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Sachgebiet2\Ziesel\EDV-Programme\Düngebedarf\"/>
    </mc:Choice>
  </mc:AlternateContent>
  <workbookProtection workbookAlgorithmName="SHA-512" workbookHashValue="MjNC1IBJiPjCVOCgZ8WdE1zjv8nBZ6WedJaIVnzC1Hg7rIYtdEWWZQlsU6iZfORygoFd+TOmmdavdnmPVRJjzg==" workbookSaltValue="8G5Q9U2PLjkYpQuY4yrc6Q==" workbookSpinCount="100000" lockStructure="1"/>
  <bookViews>
    <workbookView xWindow="-28920" yWindow="-120" windowWidth="29040" windowHeight="15840" tabRatio="858"/>
  </bookViews>
  <sheets>
    <sheet name="Betrieb" sheetId="2417" r:id="rId1"/>
    <sheet name="Daten aus 2021" sheetId="2423" r:id="rId2"/>
    <sheet name="#Protokoll" sheetId="2384" state="hidden" r:id="rId3"/>
    <sheet name="#Boden" sheetId="2341" state="hidden" r:id="rId4"/>
    <sheet name="#Frucht" sheetId="2342" state="hidden" r:id="rId5"/>
    <sheet name="#Zweitfr" sheetId="2348" state="hidden" r:id="rId6"/>
    <sheet name="#org22" sheetId="2345" state="hidden" r:id="rId7"/>
    <sheet name="#min" sheetId="2407" state="hidden" r:id="rId8"/>
    <sheet name="Vorauswahl" sheetId="2396" r:id="rId9"/>
    <sheet name="Flächen u. Kulturen" sheetId="2380" r:id="rId10"/>
    <sheet name="#BerechnungDBE" sheetId="2420" state="hidden" r:id="rId11"/>
    <sheet name="org. Düngung 22" sheetId="2413" r:id="rId12"/>
    <sheet name="#orgDung" sheetId="2421" state="hidden" r:id="rId13"/>
    <sheet name="min. Düngung 22" sheetId="2383" r:id="rId14"/>
    <sheet name="#minDung" sheetId="2422" state="hidden" r:id="rId15"/>
    <sheet name="Überblick 22" sheetId="2408" r:id="rId16"/>
    <sheet name="Optimierung rote Flächen" sheetId="2402" r:id="rId17"/>
    <sheet name="#Kürzungen" sheetId="2403" state="hidden" r:id="rId18"/>
    <sheet name="DBE Zweitfrüchte" sheetId="2405" r:id="rId19"/>
    <sheet name="DBE - N" sheetId="2390" r:id="rId20"/>
    <sheet name="DBE - P" sheetId="2406" r:id="rId21"/>
    <sheet name="Anlage 5 DüV" sheetId="2401" r:id="rId22"/>
    <sheet name="Fehler_Hinweise" sheetId="2416" r:id="rId23"/>
    <sheet name="Daten für 23" sheetId="2388" r:id="rId24"/>
    <sheet name="Notizen" sheetId="2424" r:id="rId25"/>
  </sheets>
  <definedNames>
    <definedName name="_xlnm._FilterDatabase" localSheetId="4" hidden="1">'#Frucht'!$Q$1:$Q$141</definedName>
    <definedName name="_xlnm._FilterDatabase" localSheetId="7" hidden="1">'#min'!$D$1:$M$73</definedName>
    <definedName name="_xlnm._FilterDatabase" localSheetId="19" hidden="1">'DBE - N'!#REF!</definedName>
    <definedName name="_xlnm._FilterDatabase" localSheetId="18" hidden="1">'DBE Zweitfrüchte'!#REF!</definedName>
    <definedName name="_xlnm._FilterDatabase" localSheetId="13" hidden="1">'min. Düngung 22'!$E$6:$F$111</definedName>
    <definedName name="_xlnm._FilterDatabase" localSheetId="11" hidden="1">'org. Düngung 22'!$E$7:$F$112</definedName>
    <definedName name="_xlnm._FilterDatabase" localSheetId="15" hidden="1">'Überblick 22'!$X$83:$X$245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2021'!$A$1</definedName>
    <definedName name="_xlnm.Print_Area" localSheetId="23">'Daten für 23'!$A$1</definedName>
    <definedName name="_xlnm.Print_Area" localSheetId="19">DBE_N_Druck</definedName>
    <definedName name="_xlnm.Print_Area" localSheetId="20">DBE_P_Druck</definedName>
    <definedName name="_xlnm.Print_Area" localSheetId="18">DBE_ZF_Druck</definedName>
    <definedName name="_xlnm.Print_Area" localSheetId="22">Fehler_Hinweise!$A$1:$G$27</definedName>
    <definedName name="_xlnm.Print_Area" localSheetId="9">Flächen_Druck</definedName>
    <definedName name="_xlnm.Print_Area" localSheetId="13">min_Druck</definedName>
    <definedName name="_xlnm.Print_Area" localSheetId="16">'Optimierung rote Flächen'!$C$3:$AB$40</definedName>
    <definedName name="_xlnm.Print_Area" localSheetId="11">org_Druck</definedName>
    <definedName name="_xlnm.Print_Area" localSheetId="15">'Überblick 22'!$A$1:$CR$34</definedName>
    <definedName name="_xlnm.Print_Area" localSheetId="8">Vorauswahl_Druck</definedName>
    <definedName name="_xlnm.Print_Titles" localSheetId="19">'DBE - N'!$1:$11</definedName>
    <definedName name="_xlnm.Print_Titles" localSheetId="20">'DBE - P'!$1:$9</definedName>
    <definedName name="_xlnm.Print_Titles" localSheetId="18">'DBE Zweitfrüchte'!$1:$10</definedName>
    <definedName name="_xlnm.Print_Titles" localSheetId="22">Fehler_Hinweise!$2:$2</definedName>
    <definedName name="_xlnm.Print_Titles" localSheetId="9">'Flächen u. Kulturen'!$A:$B,'Flächen u. Kulturen'!$2:$9</definedName>
    <definedName name="_xlnm.Print_Titles" localSheetId="13">'min. Düngung 22'!$A:$F,'min. Düngung 22'!$1:$11</definedName>
    <definedName name="_xlnm.Print_Titles" localSheetId="11">'org. Düngung 22'!$A:$F,'org. Düngung 22'!$2:$12</definedName>
    <definedName name="_xlnm.Print_Titles" localSheetId="8">Vorauswahl!$1:$8</definedName>
    <definedName name="Flächen_Druck">INDIRECT('Flächen u. Kulturen'!$B$116)</definedName>
    <definedName name="HF_Dropdown">'#Frucht'!$B$8:INDIRECT("'#Frucht'!B"&amp;COUNTA(Kulturen[dynDropdown22])-COUNTBLANK(Kulturen[dynDropdown22])+7)</definedName>
    <definedName name="min_Druck">INDIRECT('min. Düngung 22'!$B$116)</definedName>
    <definedName name="minDünger">'#min'!$B$6:INDIRECT("'#min'!B"&amp;COUNTA(Tab_min[dynDropdown])-COUNTBLANK(Tab_min[dynDropdown])+5)</definedName>
    <definedName name="NK_Dropdown">'#Zweitfr'!$B$8:INDIRECT("'#Zweitfr'!B"&amp;COUNTA(Nebenkultur[dynDropdown])-COUNTBLANK(Nebenkultur[dynDropdown])+7)</definedName>
    <definedName name="org_Druck">INDIRECT('org. Düngung 22'!$B$116)</definedName>
    <definedName name="orgDünger">'#org22'!$A$7:INDIRECT("'#org22'!A"&amp;COUNTA(Tab_org21[dynDropdown])-COUNTBLANK(Tab_org21[dynDropdown])+6)</definedName>
    <definedName name="Vorauswahl_1" comment="Hauptfrucht" localSheetId="8">INDIRECT(Vorauswahl!$BG$4)</definedName>
    <definedName name="Vorauswahl_10" comment="Zweitfrucht" localSheetId="8">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8">INDIRECT(Vorauswahl!$BH$4)</definedName>
    <definedName name="Vorauswahl_4">Vorauswahl!Vorauswahl_1,Vorauswahl!Vorauswahl_3</definedName>
    <definedName name="Vorauswahl_5" comment="Mineralisch" localSheetId="8">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62913"/>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2380" l="1"/>
  <c r="C10" i="2380"/>
  <c r="D10" i="2380"/>
  <c r="F10" i="2380" s="1"/>
  <c r="G10" i="2380"/>
  <c r="H10" i="2380"/>
  <c r="I10" i="2380"/>
  <c r="J10" i="2380"/>
  <c r="K10" i="2380"/>
  <c r="O10" i="2380"/>
  <c r="B11" i="2380"/>
  <c r="C11" i="2380"/>
  <c r="D11" i="2380"/>
  <c r="K11" i="2380" s="1"/>
  <c r="F11" i="2380"/>
  <c r="G11" i="2380"/>
  <c r="H11" i="2380"/>
  <c r="I11" i="2380"/>
  <c r="J11" i="2380"/>
  <c r="O11" i="2380"/>
  <c r="B18" i="2380"/>
  <c r="C18" i="2380"/>
  <c r="D18" i="2380"/>
  <c r="K18" i="2380" s="1"/>
  <c r="G18" i="2380"/>
  <c r="H18" i="2380"/>
  <c r="I18" i="2380"/>
  <c r="O18" i="2380"/>
  <c r="B19" i="2380"/>
  <c r="C19" i="2380"/>
  <c r="D19" i="2380"/>
  <c r="F19" i="2380"/>
  <c r="G19" i="2380"/>
  <c r="H19" i="2380"/>
  <c r="I19" i="2380"/>
  <c r="K19" i="2380"/>
  <c r="O19" i="2380"/>
  <c r="B20" i="2380"/>
  <c r="C20" i="2380"/>
  <c r="D20" i="2380"/>
  <c r="K20" i="2380" s="1"/>
  <c r="F20" i="2380"/>
  <c r="G20" i="2380"/>
  <c r="H20" i="2380"/>
  <c r="I20" i="2380"/>
  <c r="O20" i="2380"/>
  <c r="B21" i="2380"/>
  <c r="C21" i="2380"/>
  <c r="D21" i="2380"/>
  <c r="F21" i="2380"/>
  <c r="G21" i="2380"/>
  <c r="H21" i="2380"/>
  <c r="I21" i="2380"/>
  <c r="K21" i="2380"/>
  <c r="O21" i="2380"/>
  <c r="S24" i="2408"/>
  <c r="F18" i="2380" l="1"/>
  <c r="Z15" i="2396"/>
  <c r="AA15" i="2396"/>
  <c r="B12" i="2380"/>
  <c r="C12" i="2380"/>
  <c r="D12" i="2380"/>
  <c r="F12" i="2380"/>
  <c r="G12" i="2380"/>
  <c r="H12" i="2380"/>
  <c r="I12" i="2380"/>
  <c r="K12" i="2380"/>
  <c r="O12" i="2380"/>
  <c r="B13" i="2380"/>
  <c r="C13" i="2380"/>
  <c r="D13" i="2380"/>
  <c r="F13" i="2380"/>
  <c r="G13" i="2380"/>
  <c r="H13" i="2380"/>
  <c r="I13" i="2380"/>
  <c r="K13" i="2380"/>
  <c r="O13" i="2380"/>
  <c r="B14" i="2380"/>
  <c r="C14" i="2380"/>
  <c r="D14" i="2380"/>
  <c r="K14" i="2380" s="1"/>
  <c r="F14" i="2380"/>
  <c r="G14" i="2380"/>
  <c r="H14" i="2380"/>
  <c r="I14" i="2380"/>
  <c r="O14" i="2380"/>
  <c r="B15" i="2380"/>
  <c r="C15" i="2380"/>
  <c r="D15" i="2380"/>
  <c r="F15" i="2380"/>
  <c r="G15" i="2380"/>
  <c r="H15" i="2380"/>
  <c r="I15" i="2380"/>
  <c r="K15" i="2380"/>
  <c r="O15" i="2380"/>
  <c r="B16" i="2380"/>
  <c r="C16" i="2380"/>
  <c r="D16" i="2380"/>
  <c r="F16" i="2380"/>
  <c r="G16" i="2380"/>
  <c r="H16" i="2380"/>
  <c r="I16" i="2380"/>
  <c r="K16" i="2380"/>
  <c r="O16" i="2380"/>
  <c r="B17" i="2380"/>
  <c r="C17" i="2380"/>
  <c r="D17" i="2380"/>
  <c r="K17" i="2380" s="1"/>
  <c r="F17" i="2380"/>
  <c r="G17" i="2380"/>
  <c r="H17" i="2380"/>
  <c r="I17" i="2380"/>
  <c r="O17" i="2380"/>
  <c r="B22" i="2380"/>
  <c r="C22" i="2380"/>
  <c r="D22" i="2380"/>
  <c r="K22" i="2380" s="1"/>
  <c r="F22" i="2380"/>
  <c r="G22" i="2380"/>
  <c r="H22" i="2380"/>
  <c r="I22" i="2380"/>
  <c r="O22" i="2380"/>
  <c r="B23" i="2380"/>
  <c r="C23" i="2380"/>
  <c r="D23" i="2380"/>
  <c r="F23" i="2380"/>
  <c r="G23" i="2380"/>
  <c r="H23" i="2380"/>
  <c r="I23" i="2380"/>
  <c r="K23" i="2380"/>
  <c r="O23" i="2380"/>
  <c r="B24" i="2380"/>
  <c r="C24" i="2380"/>
  <c r="D24" i="2380"/>
  <c r="F24" i="2380"/>
  <c r="G24" i="2380"/>
  <c r="H24" i="2380"/>
  <c r="I24" i="2380"/>
  <c r="K24" i="2380"/>
  <c r="O24" i="2380"/>
  <c r="B25" i="2380"/>
  <c r="C25" i="2380"/>
  <c r="D25" i="2380"/>
  <c r="K25" i="2380" s="1"/>
  <c r="F25" i="2380"/>
  <c r="G25" i="2380"/>
  <c r="H25" i="2380"/>
  <c r="I25" i="2380"/>
  <c r="O25" i="2380"/>
  <c r="B26" i="2380"/>
  <c r="C26" i="2380"/>
  <c r="D26" i="2380"/>
  <c r="K26" i="2380" s="1"/>
  <c r="F26" i="2380"/>
  <c r="G26" i="2380"/>
  <c r="H26" i="2380"/>
  <c r="I26" i="2380"/>
  <c r="O26" i="2380"/>
  <c r="B27" i="2380"/>
  <c r="C27" i="2380"/>
  <c r="D27" i="2380"/>
  <c r="F27" i="2380"/>
  <c r="G27" i="2380"/>
  <c r="H27" i="2380"/>
  <c r="I27" i="2380"/>
  <c r="K27" i="2380"/>
  <c r="O27" i="2380"/>
  <c r="B28" i="2380"/>
  <c r="C28" i="2380"/>
  <c r="D28" i="2380"/>
  <c r="F28" i="2380"/>
  <c r="G28" i="2380"/>
  <c r="H28" i="2380"/>
  <c r="I28" i="2380"/>
  <c r="K28" i="2380"/>
  <c r="O28" i="2380"/>
  <c r="B29" i="2380"/>
  <c r="C29" i="2380"/>
  <c r="D29" i="2380"/>
  <c r="K29" i="2380" s="1"/>
  <c r="F29" i="2380"/>
  <c r="G29" i="2380"/>
  <c r="H29" i="2380"/>
  <c r="I29" i="2380"/>
  <c r="O29" i="2380"/>
  <c r="B30" i="2380"/>
  <c r="C30" i="2380"/>
  <c r="D30" i="2380"/>
  <c r="K30" i="2380" s="1"/>
  <c r="F30" i="2380"/>
  <c r="G30" i="2380"/>
  <c r="H30" i="2380"/>
  <c r="I30" i="2380"/>
  <c r="O30" i="2380"/>
  <c r="B31" i="2380"/>
  <c r="C31" i="2380"/>
  <c r="D31" i="2380"/>
  <c r="F31" i="2380"/>
  <c r="G31" i="2380"/>
  <c r="H31" i="2380"/>
  <c r="I31" i="2380"/>
  <c r="K31" i="2380"/>
  <c r="O31" i="2380"/>
  <c r="B32" i="2380"/>
  <c r="C32" i="2380"/>
  <c r="D32" i="2380"/>
  <c r="F32" i="2380"/>
  <c r="G32" i="2380"/>
  <c r="H32" i="2380"/>
  <c r="I32" i="2380"/>
  <c r="K32" i="2380"/>
  <c r="O32" i="2380"/>
  <c r="B33" i="2380"/>
  <c r="C33" i="2380"/>
  <c r="D33" i="2380"/>
  <c r="K33" i="2380" s="1"/>
  <c r="F33" i="2380"/>
  <c r="G33" i="2380"/>
  <c r="H33" i="2380"/>
  <c r="I33" i="2380"/>
  <c r="O33" i="2380"/>
  <c r="B34" i="2380"/>
  <c r="C34" i="2380"/>
  <c r="D34" i="2380"/>
  <c r="K34" i="2380" s="1"/>
  <c r="F34" i="2380"/>
  <c r="G34" i="2380"/>
  <c r="H34" i="2380"/>
  <c r="I34" i="2380"/>
  <c r="O34" i="2380"/>
  <c r="B35" i="2380"/>
  <c r="C35" i="2380"/>
  <c r="D35" i="2380"/>
  <c r="F35" i="2380"/>
  <c r="G35" i="2380"/>
  <c r="H35" i="2380"/>
  <c r="I35" i="2380"/>
  <c r="K35" i="2380"/>
  <c r="O35" i="2380"/>
  <c r="B36" i="2380"/>
  <c r="C36" i="2380"/>
  <c r="D36" i="2380"/>
  <c r="F36" i="2380"/>
  <c r="G36" i="2380"/>
  <c r="H36" i="2380"/>
  <c r="I36" i="2380"/>
  <c r="K36" i="2380"/>
  <c r="O36" i="2380"/>
  <c r="B37" i="2380"/>
  <c r="C37" i="2380"/>
  <c r="D37" i="2380"/>
  <c r="K37" i="2380" s="1"/>
  <c r="F37" i="2380"/>
  <c r="G37" i="2380"/>
  <c r="H37" i="2380"/>
  <c r="I37" i="2380"/>
  <c r="O37" i="2380"/>
  <c r="B38" i="2380"/>
  <c r="C38" i="2380"/>
  <c r="D38" i="2380"/>
  <c r="K38" i="2380" s="1"/>
  <c r="F38" i="2380"/>
  <c r="G38" i="2380"/>
  <c r="H38" i="2380"/>
  <c r="I38" i="2380"/>
  <c r="O38" i="2380"/>
  <c r="B39" i="2380"/>
  <c r="C39" i="2380"/>
  <c r="D39" i="2380"/>
  <c r="F39" i="2380"/>
  <c r="G39" i="2380"/>
  <c r="H39" i="2380"/>
  <c r="I39" i="2380"/>
  <c r="K39" i="2380"/>
  <c r="O39" i="2380"/>
  <c r="B40" i="2380"/>
  <c r="C40" i="2380"/>
  <c r="D40" i="2380"/>
  <c r="F40" i="2380"/>
  <c r="G40" i="2380"/>
  <c r="H40" i="2380"/>
  <c r="I40" i="2380"/>
  <c r="K40" i="2380"/>
  <c r="O40" i="2380"/>
  <c r="B41" i="2380"/>
  <c r="C41" i="2380"/>
  <c r="D41" i="2380"/>
  <c r="K41" i="2380" s="1"/>
  <c r="F41" i="2380"/>
  <c r="G41" i="2380"/>
  <c r="H41" i="2380"/>
  <c r="I41" i="2380"/>
  <c r="O41" i="2380"/>
  <c r="B42" i="2380"/>
  <c r="C42" i="2380"/>
  <c r="D42" i="2380"/>
  <c r="F42" i="2380"/>
  <c r="G42" i="2380"/>
  <c r="H42" i="2380"/>
  <c r="I42" i="2380"/>
  <c r="K42" i="2380"/>
  <c r="O42" i="2380"/>
  <c r="B43" i="2380"/>
  <c r="C43" i="2380"/>
  <c r="D43" i="2380"/>
  <c r="K43" i="2380" s="1"/>
  <c r="F43" i="2380"/>
  <c r="G43" i="2380"/>
  <c r="H43" i="2380"/>
  <c r="I43" i="2380"/>
  <c r="O43" i="2380"/>
  <c r="B44" i="2380"/>
  <c r="C44" i="2380"/>
  <c r="D44" i="2380"/>
  <c r="F44" i="2380"/>
  <c r="G44" i="2380"/>
  <c r="H44" i="2380"/>
  <c r="I44" i="2380"/>
  <c r="K44" i="2380"/>
  <c r="O44" i="2380"/>
  <c r="B45" i="2380"/>
  <c r="C45" i="2380"/>
  <c r="D45" i="2380"/>
  <c r="K45" i="2380" s="1"/>
  <c r="F45" i="2380"/>
  <c r="G45" i="2380"/>
  <c r="H45" i="2380"/>
  <c r="I45" i="2380"/>
  <c r="O45" i="2380"/>
  <c r="B46" i="2380"/>
  <c r="C46" i="2380"/>
  <c r="D46" i="2380"/>
  <c r="F46" i="2380"/>
  <c r="G46" i="2380"/>
  <c r="H46" i="2380"/>
  <c r="I46" i="2380"/>
  <c r="K46" i="2380"/>
  <c r="O46" i="2380"/>
  <c r="B47" i="2380"/>
  <c r="C47" i="2380"/>
  <c r="D47" i="2380"/>
  <c r="K47" i="2380" s="1"/>
  <c r="F47" i="2380"/>
  <c r="G47" i="2380"/>
  <c r="H47" i="2380"/>
  <c r="I47" i="2380"/>
  <c r="O47" i="2380"/>
  <c r="B48" i="2380"/>
  <c r="C48" i="2380"/>
  <c r="D48" i="2380"/>
  <c r="F48" i="2380"/>
  <c r="G48" i="2380"/>
  <c r="H48" i="2380"/>
  <c r="I48" i="2380"/>
  <c r="K48" i="2380"/>
  <c r="O48" i="2380"/>
  <c r="B49" i="2380"/>
  <c r="C49" i="2380"/>
  <c r="D49" i="2380"/>
  <c r="F49" i="2380"/>
  <c r="G49" i="2380"/>
  <c r="H49" i="2380"/>
  <c r="I49" i="2380"/>
  <c r="K49" i="2380"/>
  <c r="O49" i="2380"/>
  <c r="B50" i="2380"/>
  <c r="C50" i="2380"/>
  <c r="D50" i="2380"/>
  <c r="K50" i="2380" s="1"/>
  <c r="F50" i="2380"/>
  <c r="G50" i="2380"/>
  <c r="H50" i="2380"/>
  <c r="I50" i="2380"/>
  <c r="O50" i="2380"/>
  <c r="B51" i="2380"/>
  <c r="C51" i="2380"/>
  <c r="D51" i="2380"/>
  <c r="K51" i="2380" s="1"/>
  <c r="F51" i="2380"/>
  <c r="G51" i="2380"/>
  <c r="H51" i="2380"/>
  <c r="I51" i="2380"/>
  <c r="O51" i="2380"/>
  <c r="B52" i="2380"/>
  <c r="C52" i="2380"/>
  <c r="D52" i="2380"/>
  <c r="F52" i="2380"/>
  <c r="G52" i="2380"/>
  <c r="H52" i="2380"/>
  <c r="I52" i="2380"/>
  <c r="K52" i="2380"/>
  <c r="O52" i="2380"/>
  <c r="B53" i="2380"/>
  <c r="C53" i="2380"/>
  <c r="D53" i="2380"/>
  <c r="K53" i="2380" s="1"/>
  <c r="F53" i="2380"/>
  <c r="G53" i="2380"/>
  <c r="H53" i="2380"/>
  <c r="I53" i="2380"/>
  <c r="O53" i="2380"/>
  <c r="B54" i="2380"/>
  <c r="C54" i="2380"/>
  <c r="D54" i="2380"/>
  <c r="F54" i="2380"/>
  <c r="G54" i="2380"/>
  <c r="H54" i="2380"/>
  <c r="I54" i="2380"/>
  <c r="K54" i="2380"/>
  <c r="O54" i="2380"/>
  <c r="B55" i="2380"/>
  <c r="C55" i="2380"/>
  <c r="D55" i="2380"/>
  <c r="K55" i="2380" s="1"/>
  <c r="F55" i="2380"/>
  <c r="G55" i="2380"/>
  <c r="H55" i="2380"/>
  <c r="I55" i="2380"/>
  <c r="O55" i="2380"/>
  <c r="B56" i="2380"/>
  <c r="C56" i="2380"/>
  <c r="D56" i="2380"/>
  <c r="F56" i="2380"/>
  <c r="G56" i="2380"/>
  <c r="H56" i="2380"/>
  <c r="I56" i="2380"/>
  <c r="K56" i="2380"/>
  <c r="O56" i="2380"/>
  <c r="B57" i="2380"/>
  <c r="C57" i="2380"/>
  <c r="D57" i="2380"/>
  <c r="K57" i="2380" s="1"/>
  <c r="F57" i="2380"/>
  <c r="G57" i="2380"/>
  <c r="H57" i="2380"/>
  <c r="I57" i="2380"/>
  <c r="O57" i="2380"/>
  <c r="B58" i="2380"/>
  <c r="C58" i="2380"/>
  <c r="D58" i="2380"/>
  <c r="K58" i="2380" s="1"/>
  <c r="F58" i="2380"/>
  <c r="G58" i="2380"/>
  <c r="H58" i="2380"/>
  <c r="I58" i="2380"/>
  <c r="O58" i="2380"/>
  <c r="B59" i="2380"/>
  <c r="C59" i="2380"/>
  <c r="D59" i="2380"/>
  <c r="K59" i="2380" s="1"/>
  <c r="F59" i="2380"/>
  <c r="G59" i="2380"/>
  <c r="H59" i="2380"/>
  <c r="I59" i="2380"/>
  <c r="O59" i="2380"/>
  <c r="B60" i="2380"/>
  <c r="C60" i="2380"/>
  <c r="D60" i="2380"/>
  <c r="F60" i="2380"/>
  <c r="G60" i="2380"/>
  <c r="H60" i="2380"/>
  <c r="I60" i="2380"/>
  <c r="K60" i="2380"/>
  <c r="O60" i="2380"/>
  <c r="B61" i="2380"/>
  <c r="C61" i="2380"/>
  <c r="D61" i="2380"/>
  <c r="K61" i="2380" s="1"/>
  <c r="F61" i="2380"/>
  <c r="G61" i="2380"/>
  <c r="H61" i="2380"/>
  <c r="I61" i="2380"/>
  <c r="O61" i="2380"/>
  <c r="B62" i="2380"/>
  <c r="C62" i="2380"/>
  <c r="D62" i="2380"/>
  <c r="K62" i="2380" s="1"/>
  <c r="F62" i="2380"/>
  <c r="G62" i="2380"/>
  <c r="H62" i="2380"/>
  <c r="I62" i="2380"/>
  <c r="O62" i="2380"/>
  <c r="B63" i="2380"/>
  <c r="C63" i="2380"/>
  <c r="D63" i="2380"/>
  <c r="F63" i="2380"/>
  <c r="G63" i="2380"/>
  <c r="H63" i="2380"/>
  <c r="I63" i="2380"/>
  <c r="K63" i="2380"/>
  <c r="O63" i="2380"/>
  <c r="B64" i="2380"/>
  <c r="C64" i="2380"/>
  <c r="D64" i="2380"/>
  <c r="F64" i="2380"/>
  <c r="G64" i="2380"/>
  <c r="H64" i="2380"/>
  <c r="I64" i="2380"/>
  <c r="K64" i="2380"/>
  <c r="O64" i="2380"/>
  <c r="B65" i="2380"/>
  <c r="C65" i="2380"/>
  <c r="D65" i="2380"/>
  <c r="K65" i="2380" s="1"/>
  <c r="F65" i="2380"/>
  <c r="G65" i="2380"/>
  <c r="H65" i="2380"/>
  <c r="I65" i="2380"/>
  <c r="O65" i="2380"/>
  <c r="B66" i="2380"/>
  <c r="C66" i="2380"/>
  <c r="D66" i="2380"/>
  <c r="F66" i="2380"/>
  <c r="G66" i="2380"/>
  <c r="H66" i="2380"/>
  <c r="I66" i="2380"/>
  <c r="K66" i="2380"/>
  <c r="O66" i="2380"/>
  <c r="B67" i="2380"/>
  <c r="C67" i="2380"/>
  <c r="D67" i="2380"/>
  <c r="F67" i="2380"/>
  <c r="G67" i="2380"/>
  <c r="H67" i="2380"/>
  <c r="I67" i="2380"/>
  <c r="K67" i="2380"/>
  <c r="O67" i="2380"/>
  <c r="B68" i="2380"/>
  <c r="C68" i="2380"/>
  <c r="D68" i="2380"/>
  <c r="K68" i="2380" s="1"/>
  <c r="F68" i="2380"/>
  <c r="G68" i="2380"/>
  <c r="H68" i="2380"/>
  <c r="I68" i="2380"/>
  <c r="O68" i="2380"/>
  <c r="B69" i="2380"/>
  <c r="C69" i="2380"/>
  <c r="D69" i="2380"/>
  <c r="K69" i="2380" s="1"/>
  <c r="F69" i="2380"/>
  <c r="G69" i="2380"/>
  <c r="H69" i="2380"/>
  <c r="I69" i="2380"/>
  <c r="O69" i="2380"/>
  <c r="B70" i="2380"/>
  <c r="C70" i="2380"/>
  <c r="D70" i="2380"/>
  <c r="F70" i="2380"/>
  <c r="G70" i="2380"/>
  <c r="H70" i="2380"/>
  <c r="I70" i="2380"/>
  <c r="K70" i="2380"/>
  <c r="O70" i="2380"/>
  <c r="B71" i="2380"/>
  <c r="C71" i="2380"/>
  <c r="D71" i="2380"/>
  <c r="K71" i="2380" s="1"/>
  <c r="F71" i="2380"/>
  <c r="G71" i="2380"/>
  <c r="H71" i="2380"/>
  <c r="I71" i="2380"/>
  <c r="O71" i="2380"/>
  <c r="B72" i="2380"/>
  <c r="C72" i="2380"/>
  <c r="D72" i="2380"/>
  <c r="K72" i="2380" s="1"/>
  <c r="F72" i="2380"/>
  <c r="G72" i="2380"/>
  <c r="H72" i="2380"/>
  <c r="I72" i="2380"/>
  <c r="O72" i="2380"/>
  <c r="B73" i="2380"/>
  <c r="C73" i="2380"/>
  <c r="D73" i="2380"/>
  <c r="K73" i="2380" s="1"/>
  <c r="F73" i="2380"/>
  <c r="G73" i="2380"/>
  <c r="H73" i="2380"/>
  <c r="I73" i="2380"/>
  <c r="O73" i="2380"/>
  <c r="B74" i="2380"/>
  <c r="C74" i="2380"/>
  <c r="D74" i="2380"/>
  <c r="F74" i="2380"/>
  <c r="G74" i="2380"/>
  <c r="H74" i="2380"/>
  <c r="I74" i="2380"/>
  <c r="K74" i="2380"/>
  <c r="O74" i="2380"/>
  <c r="B75" i="2380"/>
  <c r="C75" i="2380"/>
  <c r="D75" i="2380"/>
  <c r="F75" i="2380"/>
  <c r="G75" i="2380"/>
  <c r="H75" i="2380"/>
  <c r="I75" i="2380"/>
  <c r="K75" i="2380"/>
  <c r="O75" i="2380"/>
  <c r="B76" i="2380"/>
  <c r="C76" i="2380"/>
  <c r="D76" i="2380"/>
  <c r="K76" i="2380" s="1"/>
  <c r="F76" i="2380"/>
  <c r="G76" i="2380"/>
  <c r="H76" i="2380"/>
  <c r="I76" i="2380"/>
  <c r="O76" i="2380"/>
  <c r="B77" i="2380"/>
  <c r="C77" i="2380"/>
  <c r="D77" i="2380"/>
  <c r="F77" i="2380"/>
  <c r="G77" i="2380"/>
  <c r="H77" i="2380"/>
  <c r="I77" i="2380"/>
  <c r="K77" i="2380"/>
  <c r="O77" i="2380"/>
  <c r="B78" i="2380"/>
  <c r="C78" i="2380"/>
  <c r="D78" i="2380"/>
  <c r="F78" i="2380"/>
  <c r="G78" i="2380"/>
  <c r="H78" i="2380"/>
  <c r="I78" i="2380"/>
  <c r="K78" i="2380"/>
  <c r="O78" i="2380"/>
  <c r="B79" i="2380"/>
  <c r="C79" i="2380"/>
  <c r="D79" i="2380"/>
  <c r="K79" i="2380" s="1"/>
  <c r="F79" i="2380"/>
  <c r="G79" i="2380"/>
  <c r="H79" i="2380"/>
  <c r="I79" i="2380"/>
  <c r="O79" i="2380"/>
  <c r="B80" i="2380"/>
  <c r="C80" i="2380"/>
  <c r="D80" i="2380"/>
  <c r="K80" i="2380" s="1"/>
  <c r="F80" i="2380"/>
  <c r="G80" i="2380"/>
  <c r="H80" i="2380"/>
  <c r="I80" i="2380"/>
  <c r="O80" i="2380"/>
  <c r="B81" i="2380"/>
  <c r="C81" i="2380"/>
  <c r="D81" i="2380"/>
  <c r="F81" i="2380"/>
  <c r="G81" i="2380"/>
  <c r="H81" i="2380"/>
  <c r="I81" i="2380"/>
  <c r="K81" i="2380"/>
  <c r="O81" i="2380"/>
  <c r="B82" i="2380"/>
  <c r="C82" i="2380"/>
  <c r="D82" i="2380"/>
  <c r="K82" i="2380" s="1"/>
  <c r="F82" i="2380"/>
  <c r="G82" i="2380"/>
  <c r="H82" i="2380"/>
  <c r="I82" i="2380"/>
  <c r="O82" i="2380"/>
  <c r="B83" i="2380"/>
  <c r="C83" i="2380"/>
  <c r="D83" i="2380"/>
  <c r="F83" i="2380"/>
  <c r="G83" i="2380"/>
  <c r="H83" i="2380"/>
  <c r="I83" i="2380"/>
  <c r="K83" i="2380"/>
  <c r="O83" i="2380"/>
  <c r="B84" i="2380"/>
  <c r="C84" i="2380"/>
  <c r="D84" i="2380"/>
  <c r="F84" i="2380"/>
  <c r="G84" i="2380"/>
  <c r="H84" i="2380"/>
  <c r="I84" i="2380"/>
  <c r="K84" i="2380"/>
  <c r="O84" i="2380"/>
  <c r="B85" i="2380"/>
  <c r="C85" i="2380"/>
  <c r="D85" i="2380"/>
  <c r="K85" i="2380" s="1"/>
  <c r="F85" i="2380"/>
  <c r="G85" i="2380"/>
  <c r="H85" i="2380"/>
  <c r="I85" i="2380"/>
  <c r="O85" i="2380"/>
  <c r="B86" i="2380"/>
  <c r="C86" i="2380"/>
  <c r="D86" i="2380"/>
  <c r="F86" i="2380"/>
  <c r="G86" i="2380"/>
  <c r="H86" i="2380"/>
  <c r="I86" i="2380"/>
  <c r="K86" i="2380"/>
  <c r="O86" i="2380"/>
  <c r="B87" i="2380"/>
  <c r="C87" i="2380"/>
  <c r="D87" i="2380"/>
  <c r="F87" i="2380"/>
  <c r="G87" i="2380"/>
  <c r="H87" i="2380"/>
  <c r="I87" i="2380"/>
  <c r="K87" i="2380"/>
  <c r="O87" i="2380"/>
  <c r="B88" i="2380"/>
  <c r="C88" i="2380"/>
  <c r="D88" i="2380"/>
  <c r="F88" i="2380"/>
  <c r="G88" i="2380"/>
  <c r="H88" i="2380"/>
  <c r="I88" i="2380"/>
  <c r="K88" i="2380"/>
  <c r="O88" i="2380"/>
  <c r="B89" i="2380"/>
  <c r="C89" i="2380"/>
  <c r="D89" i="2380"/>
  <c r="K89" i="2380" s="1"/>
  <c r="F89" i="2380"/>
  <c r="G89" i="2380"/>
  <c r="H89" i="2380"/>
  <c r="I89" i="2380"/>
  <c r="O89" i="2380"/>
  <c r="B90" i="2380"/>
  <c r="C90" i="2380"/>
  <c r="D90" i="2380"/>
  <c r="F90" i="2380"/>
  <c r="G90" i="2380"/>
  <c r="H90" i="2380"/>
  <c r="I90" i="2380"/>
  <c r="K90" i="2380"/>
  <c r="O90" i="2380"/>
  <c r="B91" i="2380"/>
  <c r="C91" i="2380"/>
  <c r="D91" i="2380"/>
  <c r="K91" i="2380" s="1"/>
  <c r="F91" i="2380"/>
  <c r="G91" i="2380"/>
  <c r="H91" i="2380"/>
  <c r="I91" i="2380"/>
  <c r="O91" i="2380"/>
  <c r="B92" i="2380"/>
  <c r="C92" i="2380"/>
  <c r="D92" i="2380"/>
  <c r="F92" i="2380"/>
  <c r="G92" i="2380"/>
  <c r="H92" i="2380"/>
  <c r="I92" i="2380"/>
  <c r="K92" i="2380"/>
  <c r="O92" i="2380"/>
  <c r="B93" i="2380"/>
  <c r="C93" i="2380"/>
  <c r="D93" i="2380"/>
  <c r="K93" i="2380" s="1"/>
  <c r="F93" i="2380"/>
  <c r="G93" i="2380"/>
  <c r="H93" i="2380"/>
  <c r="I93" i="2380"/>
  <c r="O93" i="2380"/>
  <c r="B94" i="2380"/>
  <c r="C94" i="2380"/>
  <c r="D94" i="2380"/>
  <c r="F94" i="2380"/>
  <c r="G94" i="2380"/>
  <c r="H94" i="2380"/>
  <c r="I94" i="2380"/>
  <c r="K94" i="2380"/>
  <c r="O94" i="2380"/>
  <c r="B95" i="2380"/>
  <c r="C95" i="2380"/>
  <c r="D95" i="2380"/>
  <c r="K95" i="2380" s="1"/>
  <c r="F95" i="2380"/>
  <c r="G95" i="2380"/>
  <c r="H95" i="2380"/>
  <c r="I95" i="2380"/>
  <c r="O95" i="2380"/>
  <c r="B96" i="2380"/>
  <c r="C96" i="2380"/>
  <c r="D96" i="2380"/>
  <c r="F96" i="2380"/>
  <c r="G96" i="2380"/>
  <c r="H96" i="2380"/>
  <c r="I96" i="2380"/>
  <c r="K96" i="2380"/>
  <c r="O96" i="2380"/>
  <c r="B97" i="2380"/>
  <c r="C97" i="2380"/>
  <c r="D97" i="2380"/>
  <c r="K97" i="2380" s="1"/>
  <c r="F97" i="2380"/>
  <c r="G97" i="2380"/>
  <c r="H97" i="2380"/>
  <c r="I97" i="2380"/>
  <c r="O97" i="2380"/>
  <c r="B98" i="2380"/>
  <c r="C98" i="2380"/>
  <c r="D98" i="2380"/>
  <c r="F98" i="2380"/>
  <c r="G98" i="2380"/>
  <c r="H98" i="2380"/>
  <c r="I98" i="2380"/>
  <c r="K98" i="2380"/>
  <c r="O98" i="2380"/>
  <c r="B99" i="2380"/>
  <c r="C99" i="2380"/>
  <c r="D99" i="2380"/>
  <c r="K99" i="2380" s="1"/>
  <c r="F99" i="2380"/>
  <c r="G99" i="2380"/>
  <c r="H99" i="2380"/>
  <c r="I99" i="2380"/>
  <c r="O99" i="2380"/>
  <c r="B100" i="2380"/>
  <c r="C100" i="2380"/>
  <c r="D100" i="2380"/>
  <c r="F100" i="2380"/>
  <c r="G100" i="2380"/>
  <c r="H100" i="2380"/>
  <c r="I100" i="2380"/>
  <c r="K100" i="2380"/>
  <c r="O100" i="2380"/>
  <c r="B101" i="2380"/>
  <c r="C101" i="2380"/>
  <c r="D101" i="2380"/>
  <c r="K101" i="2380" s="1"/>
  <c r="F101" i="2380"/>
  <c r="G101" i="2380"/>
  <c r="H101" i="2380"/>
  <c r="I101" i="2380"/>
  <c r="O101" i="2380"/>
  <c r="B102" i="2380"/>
  <c r="C102" i="2380"/>
  <c r="D102" i="2380"/>
  <c r="F102" i="2380"/>
  <c r="G102" i="2380"/>
  <c r="H102" i="2380"/>
  <c r="I102" i="2380"/>
  <c r="K102" i="2380"/>
  <c r="O102" i="2380"/>
  <c r="B103" i="2380"/>
  <c r="C103" i="2380"/>
  <c r="D103" i="2380"/>
  <c r="K103" i="2380" s="1"/>
  <c r="F103" i="2380"/>
  <c r="G103" i="2380"/>
  <c r="H103" i="2380"/>
  <c r="I103" i="2380"/>
  <c r="O103" i="2380"/>
  <c r="B104" i="2380"/>
  <c r="C104" i="2380"/>
  <c r="D104" i="2380"/>
  <c r="F104" i="2380"/>
  <c r="G104" i="2380"/>
  <c r="H104" i="2380"/>
  <c r="I104" i="2380"/>
  <c r="K104" i="2380"/>
  <c r="O104" i="2380"/>
  <c r="B105" i="2380"/>
  <c r="C105" i="2380"/>
  <c r="D105" i="2380"/>
  <c r="K105" i="2380" s="1"/>
  <c r="F105" i="2380"/>
  <c r="G105" i="2380"/>
  <c r="H105" i="2380"/>
  <c r="I105" i="2380"/>
  <c r="O105" i="2380"/>
  <c r="B106" i="2380"/>
  <c r="C106" i="2380"/>
  <c r="D106" i="2380"/>
  <c r="F106" i="2380"/>
  <c r="G106" i="2380"/>
  <c r="H106" i="2380"/>
  <c r="I106" i="2380"/>
  <c r="K106" i="2380"/>
  <c r="O106" i="2380"/>
  <c r="B107" i="2380"/>
  <c r="C107" i="2380"/>
  <c r="D107" i="2380"/>
  <c r="K107" i="2380" s="1"/>
  <c r="F107" i="2380"/>
  <c r="G107" i="2380"/>
  <c r="H107" i="2380"/>
  <c r="I107" i="2380"/>
  <c r="O107" i="2380"/>
  <c r="H111" i="2413"/>
  <c r="S112" i="2421" l="1"/>
  <c r="L123" i="2388" s="1"/>
  <c r="I8" i="2348" l="1"/>
  <c r="C74" i="2407" l="1"/>
  <c r="C75" i="2407"/>
  <c r="C19" i="2407"/>
  <c r="C20" i="2407"/>
  <c r="C21" i="2407"/>
  <c r="C22" i="2407"/>
  <c r="C23" i="2407"/>
  <c r="C24" i="2407"/>
  <c r="C25" i="2407"/>
  <c r="C26" i="2407"/>
  <c r="C27" i="2407"/>
  <c r="C28" i="2407"/>
  <c r="C29" i="2407"/>
  <c r="C30" i="2407"/>
  <c r="C31" i="2407"/>
  <c r="C32" i="2407"/>
  <c r="C33" i="2407"/>
  <c r="C34" i="2407"/>
  <c r="C35" i="2407"/>
  <c r="C36" i="2407"/>
  <c r="C37" i="2407"/>
  <c r="C38" i="2407"/>
  <c r="C39" i="2407"/>
  <c r="C40" i="2407"/>
  <c r="C41" i="2407"/>
  <c r="C42" i="2407"/>
  <c r="C43" i="2407"/>
  <c r="C44" i="2407"/>
  <c r="C45" i="2407"/>
  <c r="C46" i="2407"/>
  <c r="C47" i="2407"/>
  <c r="C48" i="2407"/>
  <c r="C49" i="2407"/>
  <c r="C50" i="2407"/>
  <c r="C51" i="2407"/>
  <c r="C52" i="2407"/>
  <c r="C53" i="2407"/>
  <c r="C54" i="2407"/>
  <c r="C55" i="2407"/>
  <c r="C56" i="2407"/>
  <c r="C57" i="2407"/>
  <c r="C58" i="2407"/>
  <c r="C59" i="2407"/>
  <c r="C60" i="2407"/>
  <c r="C61" i="2407"/>
  <c r="C62" i="2407"/>
  <c r="C63" i="2407"/>
  <c r="C64" i="2407"/>
  <c r="C65" i="2407"/>
  <c r="C66" i="2407"/>
  <c r="C67" i="2407"/>
  <c r="C68" i="2407"/>
  <c r="C69" i="2407"/>
  <c r="C70" i="2407"/>
  <c r="C71" i="2407"/>
  <c r="C72" i="2407"/>
  <c r="C73" i="2407"/>
  <c r="C18" i="2407"/>
  <c r="B21" i="2345"/>
  <c r="B22" i="2345"/>
  <c r="B23" i="2345"/>
  <c r="B24" i="2345"/>
  <c r="B25" i="2345"/>
  <c r="B26" i="2345"/>
  <c r="B27" i="2345"/>
  <c r="B28" i="2345"/>
  <c r="B29" i="2345"/>
  <c r="B30" i="2345"/>
  <c r="B31" i="2345"/>
  <c r="B32" i="2345"/>
  <c r="B33" i="2345"/>
  <c r="B34" i="2345"/>
  <c r="B35" i="2345"/>
  <c r="B36" i="2345"/>
  <c r="B37" i="2345"/>
  <c r="B38" i="2345"/>
  <c r="B39" i="2345"/>
  <c r="B40" i="2345"/>
  <c r="B41" i="2345"/>
  <c r="B42" i="2345"/>
  <c r="B43" i="2345"/>
  <c r="B44" i="2345"/>
  <c r="B45" i="2345"/>
  <c r="B46" i="2345"/>
  <c r="B47" i="2345"/>
  <c r="B48" i="2345"/>
  <c r="B49" i="2345"/>
  <c r="B50" i="2345"/>
  <c r="B51" i="2345"/>
  <c r="B52" i="2345"/>
  <c r="B53" i="2345"/>
  <c r="B54" i="2345"/>
  <c r="B55" i="2345"/>
  <c r="B56" i="2345"/>
  <c r="B57" i="2345"/>
  <c r="B58" i="2345"/>
  <c r="B59" i="2345"/>
  <c r="B60" i="2345"/>
  <c r="B20" i="2345"/>
  <c r="C24" i="2348"/>
  <c r="C25" i="2348"/>
  <c r="C26" i="2348"/>
  <c r="C27" i="2348"/>
  <c r="AK6" i="2420" l="1"/>
  <c r="AK7" i="2420"/>
  <c r="AK8" i="2420"/>
  <c r="AK9" i="2420"/>
  <c r="AK10" i="2420"/>
  <c r="AK11" i="2420"/>
  <c r="AK12" i="2420"/>
  <c r="AK13" i="2420"/>
  <c r="AK14" i="2420"/>
  <c r="AK16" i="2420"/>
  <c r="AK17" i="2420"/>
  <c r="AK18" i="2420"/>
  <c r="AK19" i="2420"/>
  <c r="AK20" i="2420"/>
  <c r="AK21" i="2420"/>
  <c r="AK22" i="2420"/>
  <c r="AK23" i="2420"/>
  <c r="AK24" i="2420"/>
  <c r="AK25" i="2420"/>
  <c r="AK26" i="2420"/>
  <c r="AK27" i="2420"/>
  <c r="AK28" i="2420"/>
  <c r="AK29" i="2420"/>
  <c r="AK30" i="2420"/>
  <c r="AK31" i="2420"/>
  <c r="AK32" i="2420"/>
  <c r="AK33" i="2420"/>
  <c r="AK34" i="2420"/>
  <c r="AK35" i="2420"/>
  <c r="AK36" i="2420"/>
  <c r="AK37" i="2420"/>
  <c r="AK38" i="2420"/>
  <c r="AK39" i="2420"/>
  <c r="AK40" i="2420"/>
  <c r="AK41" i="2420"/>
  <c r="AK42" i="2420"/>
  <c r="AK43" i="2420"/>
  <c r="AK44" i="2420"/>
  <c r="AK45" i="2420"/>
  <c r="AK46" i="2420"/>
  <c r="AK47" i="2420"/>
  <c r="AK48" i="2420"/>
  <c r="AK49" i="2420"/>
  <c r="AK50" i="2420"/>
  <c r="AK51" i="2420"/>
  <c r="AK52" i="2420"/>
  <c r="AK53" i="2420"/>
  <c r="AK54" i="2420"/>
  <c r="AK55" i="2420"/>
  <c r="AK56" i="2420"/>
  <c r="AK57" i="2420"/>
  <c r="AK58" i="2420"/>
  <c r="AK59" i="2420"/>
  <c r="AK60" i="2420"/>
  <c r="AK61" i="2420"/>
  <c r="AK62" i="2420"/>
  <c r="AK63" i="2420"/>
  <c r="AK64" i="2420"/>
  <c r="AK65" i="2420"/>
  <c r="AK66" i="2420"/>
  <c r="AK67" i="2420"/>
  <c r="AK68" i="2420"/>
  <c r="AK69" i="2420"/>
  <c r="AK70" i="2420"/>
  <c r="AK71" i="2420"/>
  <c r="AK72" i="2420"/>
  <c r="AK73" i="2420"/>
  <c r="AK74" i="2420"/>
  <c r="AK75" i="2420"/>
  <c r="AK76" i="2420"/>
  <c r="AK77" i="2420"/>
  <c r="AK78" i="2420"/>
  <c r="AK79" i="2420"/>
  <c r="AK80" i="2420"/>
  <c r="AK81" i="2420"/>
  <c r="AK82" i="2420"/>
  <c r="AK83" i="2420"/>
  <c r="AK84" i="2420"/>
  <c r="AK85" i="2420"/>
  <c r="AK86" i="2420"/>
  <c r="AK87" i="2420"/>
  <c r="AK88" i="2420"/>
  <c r="AK89" i="2420"/>
  <c r="AK90" i="2420"/>
  <c r="AK91" i="2420"/>
  <c r="AK92" i="2420"/>
  <c r="AK93" i="2420"/>
  <c r="AK94" i="2420"/>
  <c r="AK95" i="2420"/>
  <c r="AK96" i="2420"/>
  <c r="AK97" i="2420"/>
  <c r="AK98" i="2420"/>
  <c r="AK99" i="2420"/>
  <c r="AK100" i="2420"/>
  <c r="AK101" i="2420"/>
  <c r="AK102" i="2420"/>
  <c r="AK103" i="2420"/>
  <c r="AK104" i="2420"/>
  <c r="AK5" i="2420"/>
  <c r="DA8" i="2420"/>
  <c r="X1" i="2342" l="1"/>
  <c r="X8" i="2342" l="1"/>
  <c r="X19" i="2342"/>
  <c r="X20" i="2342"/>
  <c r="X21" i="2342"/>
  <c r="X22" i="2342"/>
  <c r="X23" i="2342"/>
  <c r="X24" i="2342"/>
  <c r="X25" i="2342"/>
  <c r="X26" i="2342"/>
  <c r="X27" i="2342"/>
  <c r="X28" i="2342"/>
  <c r="X29" i="2342"/>
  <c r="X30" i="2342"/>
  <c r="X31" i="2342"/>
  <c r="X32" i="2342"/>
  <c r="X33" i="2342"/>
  <c r="X34" i="2342"/>
  <c r="X35" i="2342"/>
  <c r="X36" i="2342"/>
  <c r="X37" i="2342"/>
  <c r="X38" i="2342"/>
  <c r="X39" i="2342"/>
  <c r="X40" i="2342"/>
  <c r="X41" i="2342"/>
  <c r="X42" i="2342"/>
  <c r="X43" i="2342"/>
  <c r="X44" i="2342"/>
  <c r="X45" i="2342"/>
  <c r="X46" i="2342"/>
  <c r="X47" i="2342"/>
  <c r="X48" i="2342"/>
  <c r="X49" i="2342"/>
  <c r="X50" i="2342"/>
  <c r="X51" i="2342"/>
  <c r="X52" i="2342"/>
  <c r="X53" i="2342"/>
  <c r="X54" i="2342"/>
  <c r="X55" i="2342"/>
  <c r="X56" i="2342"/>
  <c r="X57" i="2342"/>
  <c r="X58" i="2342"/>
  <c r="X59" i="2342"/>
  <c r="X60" i="2342"/>
  <c r="X61" i="2342"/>
  <c r="X62" i="2342"/>
  <c r="X63" i="2342"/>
  <c r="X64" i="2342"/>
  <c r="X65" i="2342"/>
  <c r="X66" i="2342"/>
  <c r="X67" i="2342"/>
  <c r="X68" i="2342"/>
  <c r="X69" i="2342"/>
  <c r="X70" i="2342"/>
  <c r="X71" i="2342"/>
  <c r="X72" i="2342"/>
  <c r="X73" i="2342"/>
  <c r="X74" i="2342"/>
  <c r="X75" i="2342"/>
  <c r="X76" i="2342"/>
  <c r="X77" i="2342"/>
  <c r="X78" i="2342"/>
  <c r="X79" i="2342"/>
  <c r="X80" i="2342"/>
  <c r="X81" i="2342"/>
  <c r="X82" i="2342"/>
  <c r="X83" i="2342"/>
  <c r="X84" i="2342"/>
  <c r="X85" i="2342"/>
  <c r="X86" i="2342"/>
  <c r="X87" i="2342"/>
  <c r="X88" i="2342"/>
  <c r="X89" i="2342"/>
  <c r="X90" i="2342"/>
  <c r="X91" i="2342"/>
  <c r="X92" i="2342"/>
  <c r="X93" i="2342"/>
  <c r="X94" i="2342"/>
  <c r="X95" i="2342"/>
  <c r="X96" i="2342"/>
  <c r="X97" i="2342"/>
  <c r="X98" i="2342"/>
  <c r="X99" i="2342"/>
  <c r="X100" i="2342"/>
  <c r="X101" i="2342"/>
  <c r="X102" i="2342"/>
  <c r="X103" i="2342"/>
  <c r="X104" i="2342"/>
  <c r="X105" i="2342"/>
  <c r="X106" i="2342"/>
  <c r="X107" i="2342"/>
  <c r="X108" i="2342"/>
  <c r="X109" i="2342"/>
  <c r="X110" i="2342"/>
  <c r="X111" i="2342"/>
  <c r="X112" i="2342"/>
  <c r="X113" i="2342"/>
  <c r="X114" i="2342"/>
  <c r="X115" i="2342"/>
  <c r="X116" i="2342"/>
  <c r="X117" i="2342"/>
  <c r="X118" i="2342"/>
  <c r="X119" i="2342"/>
  <c r="X120" i="2342"/>
  <c r="X121" i="2342"/>
  <c r="X122" i="2342"/>
  <c r="X123" i="2342"/>
  <c r="X124" i="2342"/>
  <c r="X125" i="2342"/>
  <c r="X126" i="2342"/>
  <c r="X127" i="2342"/>
  <c r="X128" i="2342"/>
  <c r="X129" i="2342"/>
  <c r="X130" i="2342"/>
  <c r="X131" i="2342"/>
  <c r="X132" i="2342"/>
  <c r="X133" i="2342"/>
  <c r="X134" i="2342"/>
  <c r="X135" i="2342"/>
  <c r="X136" i="2342"/>
  <c r="X137" i="2342"/>
  <c r="X138" i="2342"/>
  <c r="X139" i="2342"/>
  <c r="X140" i="2342"/>
  <c r="X141" i="2342"/>
  <c r="X142" i="2342"/>
  <c r="X143" i="2342"/>
  <c r="X144" i="2342"/>
  <c r="X145" i="2342"/>
  <c r="X146" i="2342"/>
  <c r="X147" i="2342"/>
  <c r="X148" i="2342"/>
  <c r="X149" i="2342"/>
  <c r="X150" i="2342"/>
  <c r="X151" i="2342"/>
  <c r="X152" i="2342"/>
  <c r="X153" i="2342"/>
  <c r="X154" i="2342"/>
  <c r="X155" i="2342"/>
  <c r="X156" i="2342"/>
  <c r="X157" i="2342"/>
  <c r="X158" i="2342"/>
  <c r="X159" i="2342"/>
  <c r="X160" i="2342"/>
  <c r="X161" i="2342"/>
  <c r="X162" i="2342"/>
  <c r="X163" i="2342"/>
  <c r="X164" i="2342"/>
  <c r="X165" i="2342"/>
  <c r="X166" i="2342"/>
  <c r="X167" i="2342"/>
  <c r="X168" i="2342"/>
  <c r="X169" i="2342"/>
  <c r="X170" i="2342"/>
  <c r="X171" i="2342"/>
  <c r="X172" i="2342"/>
  <c r="X173" i="2342"/>
  <c r="X174" i="2342"/>
  <c r="X175" i="2342"/>
  <c r="X176" i="2342"/>
  <c r="X177" i="2342"/>
  <c r="X178" i="2342"/>
  <c r="X179" i="2342"/>
  <c r="X180" i="2342"/>
  <c r="X181" i="2342"/>
  <c r="X182" i="2342"/>
  <c r="X183" i="2342"/>
  <c r="X184" i="2342"/>
  <c r="X185" i="2342"/>
  <c r="X186" i="2342"/>
  <c r="X187" i="2342"/>
  <c r="X188" i="2342"/>
  <c r="X189" i="2342"/>
  <c r="X190" i="2342"/>
  <c r="X191" i="2342"/>
  <c r="X192" i="2342"/>
  <c r="X193" i="2342"/>
  <c r="X194" i="2342"/>
  <c r="X195" i="2342"/>
  <c r="X196" i="2342"/>
  <c r="X197" i="2342"/>
  <c r="X198" i="2342"/>
  <c r="X199" i="2342"/>
  <c r="X200" i="2342"/>
  <c r="X201" i="2342"/>
  <c r="X202" i="2342"/>
  <c r="X203" i="2342"/>
  <c r="X204" i="2342"/>
  <c r="X205" i="2342"/>
  <c r="X206" i="2342"/>
  <c r="X207" i="2342"/>
  <c r="X208" i="2342"/>
  <c r="X209" i="2342"/>
  <c r="X210" i="2342"/>
  <c r="X211" i="2342"/>
  <c r="X212" i="2342"/>
  <c r="X213" i="2342"/>
  <c r="X214" i="2342"/>
  <c r="X215" i="2342"/>
  <c r="X216" i="2342"/>
  <c r="X217" i="2342"/>
  <c r="X218" i="2342"/>
  <c r="X219" i="2342"/>
  <c r="X220" i="2342"/>
  <c r="X221" i="2342"/>
  <c r="X222" i="2342"/>
  <c r="X223" i="2342"/>
  <c r="X224" i="2342"/>
  <c r="X225" i="2342"/>
  <c r="X226" i="2342"/>
  <c r="X227" i="2342"/>
  <c r="X228" i="2342"/>
  <c r="X229" i="2342"/>
  <c r="X230" i="2342"/>
  <c r="X231" i="2342"/>
  <c r="X232" i="2342"/>
  <c r="X233" i="2342"/>
  <c r="X234" i="2342"/>
  <c r="X235" i="2342"/>
  <c r="X236" i="2342"/>
  <c r="X237" i="2342"/>
  <c r="X238" i="2342"/>
  <c r="X239" i="2342"/>
  <c r="X240" i="2342"/>
  <c r="X241" i="2342"/>
  <c r="X242" i="2342"/>
  <c r="X243" i="2342"/>
  <c r="X244" i="2342"/>
  <c r="X245" i="2342"/>
  <c r="X246" i="2342"/>
  <c r="X247" i="2342"/>
  <c r="X248" i="2342"/>
  <c r="X249" i="2342"/>
  <c r="X250" i="2342"/>
  <c r="X251" i="2342"/>
  <c r="X252" i="2342"/>
  <c r="X253" i="2342"/>
  <c r="X254" i="2342"/>
  <c r="X255" i="2342"/>
  <c r="X256" i="2342"/>
  <c r="X257" i="2342"/>
  <c r="X258" i="2342"/>
  <c r="X259" i="2342"/>
  <c r="X260" i="2342"/>
  <c r="X261" i="2342"/>
  <c r="X262" i="2342"/>
  <c r="X263" i="2342"/>
  <c r="X264" i="2342"/>
  <c r="X265" i="2342"/>
  <c r="X266" i="2342"/>
  <c r="X267" i="2342"/>
  <c r="X268" i="2342"/>
  <c r="X269" i="2342"/>
  <c r="X270" i="2342"/>
  <c r="X271" i="2342"/>
  <c r="X272" i="2342"/>
  <c r="X273" i="2342"/>
  <c r="X274" i="2342"/>
  <c r="X275" i="2342"/>
  <c r="X276" i="2342"/>
  <c r="X277" i="2342"/>
  <c r="X278" i="2342"/>
  <c r="X279" i="2342"/>
  <c r="X280" i="2342"/>
  <c r="X281" i="2342"/>
  <c r="X282" i="2342"/>
  <c r="X283" i="2342"/>
  <c r="X284" i="2342"/>
  <c r="X285" i="2342"/>
  <c r="X286" i="2342"/>
  <c r="X287" i="2342"/>
  <c r="X288" i="2342"/>
  <c r="X289" i="2342"/>
  <c r="X290" i="2342"/>
  <c r="X291" i="2342"/>
  <c r="X292" i="2342"/>
  <c r="X293" i="2342"/>
  <c r="X294" i="2342"/>
  <c r="X295" i="2342"/>
  <c r="X296" i="2342"/>
  <c r="X297" i="2342"/>
  <c r="X298" i="2342"/>
  <c r="X299" i="2342"/>
  <c r="X300" i="2342"/>
  <c r="X301" i="2342"/>
  <c r="X302" i="2342"/>
  <c r="X303" i="2342"/>
  <c r="X304" i="2342"/>
  <c r="X305" i="2342"/>
  <c r="X306" i="2342"/>
  <c r="X307" i="2342"/>
  <c r="X308" i="2342"/>
  <c r="X309" i="2342"/>
  <c r="X310" i="2342"/>
  <c r="X311" i="2342"/>
  <c r="X312" i="2342"/>
  <c r="X313" i="2342"/>
  <c r="X314" i="2342"/>
  <c r="X315" i="2342"/>
  <c r="X316" i="2342"/>
  <c r="X317" i="2342"/>
  <c r="X318" i="2342"/>
  <c r="X319" i="2342"/>
  <c r="X320" i="2342"/>
  <c r="X321" i="2342"/>
  <c r="X322" i="2342"/>
  <c r="X323" i="2342"/>
  <c r="X324" i="2342"/>
  <c r="X325" i="2342"/>
  <c r="X326" i="2342"/>
  <c r="X327" i="2342"/>
  <c r="X328" i="2342"/>
  <c r="X329" i="2342"/>
  <c r="X330" i="2342"/>
  <c r="X331" i="2342"/>
  <c r="X332" i="2342"/>
  <c r="X333" i="2342"/>
  <c r="X334" i="2342"/>
  <c r="X335" i="2342"/>
  <c r="X336" i="2342"/>
  <c r="X337" i="2342"/>
  <c r="X338" i="2342"/>
  <c r="X339" i="2342"/>
  <c r="X340" i="2342"/>
  <c r="X341" i="2342"/>
  <c r="X342" i="2342"/>
  <c r="X343" i="2342"/>
  <c r="X344" i="2342"/>
  <c r="X345" i="2342"/>
  <c r="X346" i="2342"/>
  <c r="X347" i="2342"/>
  <c r="X348" i="2342"/>
  <c r="X349" i="2342"/>
  <c r="X350" i="2342"/>
  <c r="X351" i="2342"/>
  <c r="X352" i="2342"/>
  <c r="X353" i="2342"/>
  <c r="X354" i="2342"/>
  <c r="X355" i="2342"/>
  <c r="X356" i="2342"/>
  <c r="X357" i="2342"/>
  <c r="X358" i="2342"/>
  <c r="X359" i="2342"/>
  <c r="X360" i="2342"/>
  <c r="X361" i="2342"/>
  <c r="X362" i="2342"/>
  <c r="X363" i="2342"/>
  <c r="X364" i="2342"/>
  <c r="X365" i="2342"/>
  <c r="X366" i="2342"/>
  <c r="X367" i="2342"/>
  <c r="X368" i="2342"/>
  <c r="X369" i="2342"/>
  <c r="X370" i="2342"/>
  <c r="X371" i="2342"/>
  <c r="X372" i="2342"/>
  <c r="X373" i="2342"/>
  <c r="W25" i="2342"/>
  <c r="W26" i="2342"/>
  <c r="W27" i="2342"/>
  <c r="W28" i="2342"/>
  <c r="D14" i="2348"/>
  <c r="D11" i="2348"/>
  <c r="A44" i="2342"/>
  <c r="A45" i="2342"/>
  <c r="A46" i="2342"/>
  <c r="A47" i="2342"/>
  <c r="A48" i="2342"/>
  <c r="A49" i="2342"/>
  <c r="A50" i="2342"/>
  <c r="A51" i="2342"/>
  <c r="A52" i="2342"/>
  <c r="A53" i="2342"/>
  <c r="A54" i="2342"/>
  <c r="A55" i="2342"/>
  <c r="A56" i="2342"/>
  <c r="A57" i="2342"/>
  <c r="A58" i="2342"/>
  <c r="A59" i="2342"/>
  <c r="A60" i="2342"/>
  <c r="A61" i="2342"/>
  <c r="A62" i="2342"/>
  <c r="A63" i="2342"/>
  <c r="A64" i="2342"/>
  <c r="A65" i="2342"/>
  <c r="A66" i="2342"/>
  <c r="A67" i="2342"/>
  <c r="A68" i="2342"/>
  <c r="A69" i="2342"/>
  <c r="A70" i="2342"/>
  <c r="A71" i="2342"/>
  <c r="A72" i="2342"/>
  <c r="A73" i="2342"/>
  <c r="A26" i="2342"/>
  <c r="A27" i="2342"/>
  <c r="A28" i="2342"/>
  <c r="A29" i="2342"/>
  <c r="A30" i="2342"/>
  <c r="A31" i="2342"/>
  <c r="A32" i="2342"/>
  <c r="A33" i="2342"/>
  <c r="A34" i="2342"/>
  <c r="A35" i="2342"/>
  <c r="A36" i="2342"/>
  <c r="A37" i="2342"/>
  <c r="A38" i="2342"/>
  <c r="A39" i="2342"/>
  <c r="A40" i="2342"/>
  <c r="A41" i="2342"/>
  <c r="A42" i="2342"/>
  <c r="A43" i="2342"/>
  <c r="E1" i="2342" l="1"/>
  <c r="W29" i="2342"/>
  <c r="F22" i="2420" l="1"/>
  <c r="J27" i="2380" s="1"/>
  <c r="F18" i="2420"/>
  <c r="J23" i="2380" s="1"/>
  <c r="F14" i="2420"/>
  <c r="J19" i="2380" s="1"/>
  <c r="F10" i="2420"/>
  <c r="J15" i="2380" s="1"/>
  <c r="F9" i="2420"/>
  <c r="J14" i="2380" s="1"/>
  <c r="F11" i="2420"/>
  <c r="J16" i="2380" s="1"/>
  <c r="F12" i="2420"/>
  <c r="J17" i="2380" s="1"/>
  <c r="F13" i="2420"/>
  <c r="J18" i="2380" s="1"/>
  <c r="F15" i="2420"/>
  <c r="J20" i="2380" s="1"/>
  <c r="F16" i="2420"/>
  <c r="J21" i="2380" s="1"/>
  <c r="F17" i="2420"/>
  <c r="J22" i="2380" s="1"/>
  <c r="F19" i="2420"/>
  <c r="J24" i="2380" s="1"/>
  <c r="F20" i="2420"/>
  <c r="J25" i="2380" s="1"/>
  <c r="F21" i="2420"/>
  <c r="J26" i="2380" s="1"/>
  <c r="F27" i="2420"/>
  <c r="J32" i="2380" s="1"/>
  <c r="F28" i="2420"/>
  <c r="J33" i="2380" s="1"/>
  <c r="F29" i="2420"/>
  <c r="J34" i="2380" s="1"/>
  <c r="F30" i="2420"/>
  <c r="J35" i="2380" s="1"/>
  <c r="F31" i="2420"/>
  <c r="J36" i="2380" s="1"/>
  <c r="F32" i="2420"/>
  <c r="J37" i="2380" s="1"/>
  <c r="F33" i="2420"/>
  <c r="J38" i="2380" s="1"/>
  <c r="F34" i="2420"/>
  <c r="J39" i="2380" s="1"/>
  <c r="F35" i="2420"/>
  <c r="J40" i="2380" s="1"/>
  <c r="F36" i="2420"/>
  <c r="J41" i="2380" s="1"/>
  <c r="F37" i="2420"/>
  <c r="J42" i="2380" s="1"/>
  <c r="F38" i="2420"/>
  <c r="J43" i="2380" s="1"/>
  <c r="F39" i="2420"/>
  <c r="J44" i="2380" s="1"/>
  <c r="F40" i="2420"/>
  <c r="J45" i="2380" s="1"/>
  <c r="F41" i="2420"/>
  <c r="J46" i="2380" s="1"/>
  <c r="F42" i="2420"/>
  <c r="J47" i="2380" s="1"/>
  <c r="F43" i="2420"/>
  <c r="J48" i="2380" s="1"/>
  <c r="F44" i="2420"/>
  <c r="J49" i="2380" s="1"/>
  <c r="F45" i="2420"/>
  <c r="J50" i="2380" s="1"/>
  <c r="F46" i="2420"/>
  <c r="J51" i="2380" s="1"/>
  <c r="F47" i="2420"/>
  <c r="J52" i="2380" s="1"/>
  <c r="F48" i="2420"/>
  <c r="J53" i="2380" s="1"/>
  <c r="F49" i="2420"/>
  <c r="J54" i="2380" s="1"/>
  <c r="F50" i="2420"/>
  <c r="J55" i="2380" s="1"/>
  <c r="F51" i="2420"/>
  <c r="J56" i="2380" s="1"/>
  <c r="F52" i="2420"/>
  <c r="J57" i="2380" s="1"/>
  <c r="F53" i="2420"/>
  <c r="J58" i="2380" s="1"/>
  <c r="F54" i="2420"/>
  <c r="J59" i="2380" s="1"/>
  <c r="F55" i="2420"/>
  <c r="J60" i="2380" s="1"/>
  <c r="F56" i="2420"/>
  <c r="J61" i="2380" s="1"/>
  <c r="F57" i="2420"/>
  <c r="J62" i="2380" s="1"/>
  <c r="F58" i="2420"/>
  <c r="J63" i="2380" s="1"/>
  <c r="F59" i="2420"/>
  <c r="J64" i="2380" s="1"/>
  <c r="F60" i="2420"/>
  <c r="J65" i="2380" s="1"/>
  <c r="F61" i="2420"/>
  <c r="J66" i="2380" s="1"/>
  <c r="F62" i="2420"/>
  <c r="J67" i="2380" s="1"/>
  <c r="F63" i="2420"/>
  <c r="J68" i="2380" s="1"/>
  <c r="F64" i="2420"/>
  <c r="J69" i="2380" s="1"/>
  <c r="F65" i="2420"/>
  <c r="J70" i="2380" s="1"/>
  <c r="F66" i="2420"/>
  <c r="J71" i="2380" s="1"/>
  <c r="F67" i="2420"/>
  <c r="J72" i="2380" s="1"/>
  <c r="F68" i="2420"/>
  <c r="J73" i="2380" s="1"/>
  <c r="F69" i="2420"/>
  <c r="J74" i="2380" s="1"/>
  <c r="F70" i="2420"/>
  <c r="J75" i="2380" s="1"/>
  <c r="F71" i="2420"/>
  <c r="J76" i="2380" s="1"/>
  <c r="F72" i="2420"/>
  <c r="J77" i="2380" s="1"/>
  <c r="F73" i="2420"/>
  <c r="J78" i="2380" s="1"/>
  <c r="F74" i="2420"/>
  <c r="J79" i="2380" s="1"/>
  <c r="F75" i="2420"/>
  <c r="J80" i="2380" s="1"/>
  <c r="F76" i="2420"/>
  <c r="J81" i="2380" s="1"/>
  <c r="F77" i="2420"/>
  <c r="J82" i="2380" s="1"/>
  <c r="F78" i="2420"/>
  <c r="J83" i="2380" s="1"/>
  <c r="F79" i="2420"/>
  <c r="J84" i="2380" s="1"/>
  <c r="F80" i="2420"/>
  <c r="J85" i="2380" s="1"/>
  <c r="F81" i="2420"/>
  <c r="J86" i="2380" s="1"/>
  <c r="F82" i="2420"/>
  <c r="J87" i="2380" s="1"/>
  <c r="F83" i="2420"/>
  <c r="J88" i="2380" s="1"/>
  <c r="F84" i="2420"/>
  <c r="J89" i="2380" s="1"/>
  <c r="F85" i="2420"/>
  <c r="J90" i="2380" s="1"/>
  <c r="F86" i="2420"/>
  <c r="J91" i="2380" s="1"/>
  <c r="F87" i="2420"/>
  <c r="J92" i="2380" s="1"/>
  <c r="F88" i="2420"/>
  <c r="J93" i="2380" s="1"/>
  <c r="F89" i="2420"/>
  <c r="J94" i="2380" s="1"/>
  <c r="F90" i="2420"/>
  <c r="J95" i="2380" s="1"/>
  <c r="F91" i="2420"/>
  <c r="J96" i="2380" s="1"/>
  <c r="F92" i="2420"/>
  <c r="J97" i="2380" s="1"/>
  <c r="F93" i="2420"/>
  <c r="J98" i="2380" s="1"/>
  <c r="F94" i="2420"/>
  <c r="J99" i="2380" s="1"/>
  <c r="F95" i="2420"/>
  <c r="J100" i="2380" s="1"/>
  <c r="F96" i="2420"/>
  <c r="J101" i="2380" s="1"/>
  <c r="F97" i="2420"/>
  <c r="J102" i="2380" s="1"/>
  <c r="F98" i="2420"/>
  <c r="J103" i="2380" s="1"/>
  <c r="F99" i="2420"/>
  <c r="J104" i="2380" s="1"/>
  <c r="F100" i="2420"/>
  <c r="J105" i="2380" s="1"/>
  <c r="F101" i="2420"/>
  <c r="J106" i="2380" s="1"/>
  <c r="F102" i="2420"/>
  <c r="J107" i="2380" s="1"/>
  <c r="F103" i="2420"/>
  <c r="J108" i="2380" s="1"/>
  <c r="F104" i="2420"/>
  <c r="J109" i="2380" s="1"/>
  <c r="BQ50" i="2396" l="1"/>
  <c r="W8" i="2342" l="1"/>
  <c r="W19" i="2342"/>
  <c r="W20" i="2342"/>
  <c r="W21" i="2342"/>
  <c r="W22" i="2342"/>
  <c r="W23" i="2342"/>
  <c r="W24" i="2342"/>
  <c r="W30" i="2342"/>
  <c r="W31" i="2342"/>
  <c r="W32" i="2342"/>
  <c r="W33" i="2342"/>
  <c r="W34" i="2342"/>
  <c r="W35" i="2342"/>
  <c r="W36" i="2342"/>
  <c r="W37" i="2342"/>
  <c r="W38" i="2342"/>
  <c r="W39" i="2342"/>
  <c r="W40" i="2342"/>
  <c r="W41" i="2342"/>
  <c r="W42" i="2342"/>
  <c r="W43" i="2342"/>
  <c r="W44" i="2342"/>
  <c r="W45" i="2342"/>
  <c r="W46" i="2342"/>
  <c r="W47" i="2342"/>
  <c r="W48" i="2342"/>
  <c r="W49" i="2342"/>
  <c r="W50" i="2342"/>
  <c r="W51" i="2342"/>
  <c r="W52" i="2342"/>
  <c r="W53" i="2342"/>
  <c r="W54" i="2342"/>
  <c r="W55" i="2342"/>
  <c r="W56" i="2342"/>
  <c r="W57" i="2342"/>
  <c r="W58" i="2342"/>
  <c r="W59" i="2342"/>
  <c r="W60" i="2342"/>
  <c r="W61" i="2342"/>
  <c r="W62" i="2342"/>
  <c r="W63" i="2342"/>
  <c r="W64" i="2342"/>
  <c r="W65" i="2342"/>
  <c r="W66" i="2342"/>
  <c r="W67" i="2342"/>
  <c r="W68" i="2342"/>
  <c r="W69" i="2342"/>
  <c r="W70" i="2342"/>
  <c r="W71" i="2342"/>
  <c r="W72" i="2342"/>
  <c r="W73" i="2342"/>
  <c r="W74" i="2342"/>
  <c r="W75" i="2342"/>
  <c r="W76" i="2342"/>
  <c r="W77" i="2342"/>
  <c r="W78" i="2342"/>
  <c r="W79" i="2342"/>
  <c r="W80" i="2342"/>
  <c r="W81" i="2342"/>
  <c r="W82" i="2342"/>
  <c r="W83" i="2342"/>
  <c r="W84" i="2342"/>
  <c r="W85" i="2342"/>
  <c r="W86" i="2342"/>
  <c r="W87" i="2342"/>
  <c r="W88" i="2342"/>
  <c r="W89" i="2342"/>
  <c r="W90" i="2342"/>
  <c r="W91" i="2342"/>
  <c r="W92" i="2342"/>
  <c r="W93" i="2342"/>
  <c r="W94" i="2342"/>
  <c r="W95" i="2342"/>
  <c r="W96" i="2342"/>
  <c r="W97" i="2342"/>
  <c r="W98" i="2342"/>
  <c r="W99" i="2342"/>
  <c r="W100" i="2342"/>
  <c r="W101" i="2342"/>
  <c r="W102" i="2342"/>
  <c r="W103" i="2342"/>
  <c r="W104" i="2342"/>
  <c r="W105" i="2342"/>
  <c r="W106" i="2342"/>
  <c r="W107" i="2342"/>
  <c r="W108" i="2342"/>
  <c r="W109" i="2342"/>
  <c r="W110" i="2342"/>
  <c r="W111" i="2342"/>
  <c r="W112" i="2342"/>
  <c r="W113" i="2342"/>
  <c r="W114" i="2342"/>
  <c r="W115" i="2342"/>
  <c r="W116" i="2342"/>
  <c r="W117" i="2342"/>
  <c r="W118" i="2342"/>
  <c r="W119" i="2342"/>
  <c r="W120" i="2342"/>
  <c r="W121" i="2342"/>
  <c r="W122" i="2342"/>
  <c r="W123" i="2342"/>
  <c r="W124" i="2342"/>
  <c r="W125" i="2342"/>
  <c r="W126" i="2342"/>
  <c r="W127" i="2342"/>
  <c r="W128" i="2342"/>
  <c r="W129" i="2342"/>
  <c r="W130" i="2342"/>
  <c r="W131" i="2342"/>
  <c r="W132" i="2342"/>
  <c r="W133" i="2342"/>
  <c r="W134" i="2342"/>
  <c r="W135" i="2342"/>
  <c r="W136" i="2342"/>
  <c r="W137" i="2342"/>
  <c r="W138" i="2342"/>
  <c r="W139" i="2342"/>
  <c r="W140" i="2342"/>
  <c r="W141" i="2342"/>
  <c r="W142" i="2342"/>
  <c r="W143" i="2342"/>
  <c r="W144" i="2342"/>
  <c r="W145" i="2342"/>
  <c r="W146" i="2342"/>
  <c r="W147" i="2342"/>
  <c r="W148" i="2342"/>
  <c r="W149" i="2342"/>
  <c r="W150" i="2342"/>
  <c r="W151" i="2342"/>
  <c r="W152" i="2342"/>
  <c r="W153" i="2342"/>
  <c r="W154" i="2342"/>
  <c r="W155" i="2342"/>
  <c r="W156" i="2342"/>
  <c r="W157" i="2342"/>
  <c r="W158" i="2342"/>
  <c r="W159" i="2342"/>
  <c r="W160" i="2342"/>
  <c r="W161" i="2342"/>
  <c r="W162" i="2342"/>
  <c r="W163" i="2342"/>
  <c r="W164" i="2342"/>
  <c r="W165" i="2342"/>
  <c r="W166" i="2342"/>
  <c r="W167" i="2342"/>
  <c r="W168" i="2342"/>
  <c r="W169" i="2342"/>
  <c r="W170" i="2342"/>
  <c r="W171" i="2342"/>
  <c r="W172" i="2342"/>
  <c r="W173" i="2342"/>
  <c r="W174" i="2342"/>
  <c r="W175" i="2342"/>
  <c r="W176" i="2342"/>
  <c r="W177" i="2342"/>
  <c r="W178" i="2342"/>
  <c r="W179" i="2342"/>
  <c r="W180" i="2342"/>
  <c r="W181" i="2342"/>
  <c r="W182" i="2342"/>
  <c r="W183" i="2342"/>
  <c r="W184" i="2342"/>
  <c r="W185" i="2342"/>
  <c r="W186" i="2342"/>
  <c r="W187" i="2342"/>
  <c r="W188" i="2342"/>
  <c r="W189" i="2342"/>
  <c r="W190" i="2342"/>
  <c r="W191" i="2342"/>
  <c r="W192" i="2342"/>
  <c r="W193" i="2342"/>
  <c r="W194" i="2342"/>
  <c r="W195" i="2342"/>
  <c r="W196" i="2342"/>
  <c r="W197" i="2342"/>
  <c r="W198" i="2342"/>
  <c r="W199" i="2342"/>
  <c r="W200" i="2342"/>
  <c r="W201" i="2342"/>
  <c r="W202" i="2342"/>
  <c r="W203" i="2342"/>
  <c r="W204" i="2342"/>
  <c r="W205" i="2342"/>
  <c r="W206" i="2342"/>
  <c r="W207" i="2342"/>
  <c r="W208" i="2342"/>
  <c r="W209" i="2342"/>
  <c r="W210" i="2342"/>
  <c r="W211" i="2342"/>
  <c r="W212" i="2342"/>
  <c r="W213" i="2342"/>
  <c r="W214" i="2342"/>
  <c r="W215" i="2342"/>
  <c r="W216" i="2342"/>
  <c r="W217" i="2342"/>
  <c r="W218" i="2342"/>
  <c r="W219" i="2342"/>
  <c r="W220" i="2342"/>
  <c r="W221" i="2342"/>
  <c r="W222" i="2342"/>
  <c r="W223" i="2342"/>
  <c r="W224" i="2342"/>
  <c r="W225" i="2342"/>
  <c r="W226" i="2342"/>
  <c r="W227" i="2342"/>
  <c r="W228" i="2342"/>
  <c r="W229" i="2342"/>
  <c r="W230" i="2342"/>
  <c r="W231" i="2342"/>
  <c r="W232" i="2342"/>
  <c r="W233" i="2342"/>
  <c r="W234" i="2342"/>
  <c r="W235" i="2342"/>
  <c r="W236" i="2342"/>
  <c r="W237" i="2342"/>
  <c r="W238" i="2342"/>
  <c r="W239" i="2342"/>
  <c r="W240" i="2342"/>
  <c r="W241" i="2342"/>
  <c r="W242" i="2342"/>
  <c r="W243" i="2342"/>
  <c r="W244" i="2342"/>
  <c r="W245" i="2342"/>
  <c r="W246" i="2342"/>
  <c r="W247" i="2342"/>
  <c r="W248" i="2342"/>
  <c r="W249" i="2342"/>
  <c r="W250" i="2342"/>
  <c r="W251" i="2342"/>
  <c r="W252" i="2342"/>
  <c r="W253" i="2342"/>
  <c r="W254" i="2342"/>
  <c r="W255" i="2342"/>
  <c r="W256" i="2342"/>
  <c r="W257" i="2342"/>
  <c r="W258" i="2342"/>
  <c r="W259" i="2342"/>
  <c r="W260" i="2342"/>
  <c r="W261" i="2342"/>
  <c r="W262" i="2342"/>
  <c r="W263" i="2342"/>
  <c r="W264" i="2342"/>
  <c r="W265" i="2342"/>
  <c r="W266" i="2342"/>
  <c r="W267" i="2342"/>
  <c r="W268" i="2342"/>
  <c r="W269" i="2342"/>
  <c r="W270" i="2342"/>
  <c r="W271" i="2342"/>
  <c r="W272" i="2342"/>
  <c r="W273" i="2342"/>
  <c r="W274" i="2342"/>
  <c r="W275" i="2342"/>
  <c r="W276" i="2342"/>
  <c r="W277" i="2342"/>
  <c r="W278" i="2342"/>
  <c r="W279" i="2342"/>
  <c r="W280" i="2342"/>
  <c r="W281" i="2342"/>
  <c r="W282" i="2342"/>
  <c r="W283" i="2342"/>
  <c r="W284" i="2342"/>
  <c r="W285" i="2342"/>
  <c r="W286" i="2342"/>
  <c r="W287" i="2342"/>
  <c r="W288" i="2342"/>
  <c r="W289" i="2342"/>
  <c r="W290" i="2342"/>
  <c r="W291" i="2342"/>
  <c r="W292" i="2342"/>
  <c r="W293" i="2342"/>
  <c r="W294" i="2342"/>
  <c r="W295" i="2342"/>
  <c r="W296" i="2342"/>
  <c r="W297" i="2342"/>
  <c r="W298" i="2342"/>
  <c r="W299" i="2342"/>
  <c r="W300" i="2342"/>
  <c r="W301" i="2342"/>
  <c r="W302" i="2342"/>
  <c r="W303" i="2342"/>
  <c r="W304" i="2342"/>
  <c r="W305" i="2342"/>
  <c r="W306" i="2342"/>
  <c r="W307" i="2342"/>
  <c r="W308" i="2342"/>
  <c r="W309" i="2342"/>
  <c r="W310" i="2342"/>
  <c r="W311" i="2342"/>
  <c r="W312" i="2342"/>
  <c r="W313" i="2342"/>
  <c r="W314" i="2342"/>
  <c r="W315" i="2342"/>
  <c r="W316" i="2342"/>
  <c r="W317" i="2342"/>
  <c r="W318" i="2342"/>
  <c r="W319" i="2342"/>
  <c r="W320" i="2342"/>
  <c r="W321" i="2342"/>
  <c r="W322" i="2342"/>
  <c r="W323" i="2342"/>
  <c r="W324" i="2342"/>
  <c r="W325" i="2342"/>
  <c r="W326" i="2342"/>
  <c r="W327" i="2342"/>
  <c r="W328" i="2342"/>
  <c r="W329" i="2342"/>
  <c r="W330" i="2342"/>
  <c r="W331" i="2342"/>
  <c r="W332" i="2342"/>
  <c r="W333" i="2342"/>
  <c r="W334" i="2342"/>
  <c r="W335" i="2342"/>
  <c r="W336" i="2342"/>
  <c r="W337" i="2342"/>
  <c r="W338" i="2342"/>
  <c r="W339" i="2342"/>
  <c r="W340" i="2342"/>
  <c r="W341" i="2342"/>
  <c r="W342" i="2342"/>
  <c r="W343" i="2342"/>
  <c r="W344" i="2342"/>
  <c r="W345" i="2342"/>
  <c r="W346" i="2342"/>
  <c r="W347" i="2342"/>
  <c r="W348" i="2342"/>
  <c r="W349" i="2342"/>
  <c r="W350" i="2342"/>
  <c r="W351" i="2342"/>
  <c r="W352" i="2342"/>
  <c r="W353" i="2342"/>
  <c r="W354" i="2342"/>
  <c r="W355" i="2342"/>
  <c r="W356" i="2342"/>
  <c r="W357" i="2342"/>
  <c r="W358" i="2342"/>
  <c r="W359" i="2342"/>
  <c r="W360" i="2342"/>
  <c r="W361" i="2342"/>
  <c r="W362" i="2342"/>
  <c r="W363" i="2342"/>
  <c r="W364" i="2342"/>
  <c r="W365" i="2342"/>
  <c r="W366" i="2342"/>
  <c r="W367" i="2342"/>
  <c r="W368" i="2342"/>
  <c r="W369" i="2342"/>
  <c r="W370" i="2342"/>
  <c r="W371" i="2342"/>
  <c r="W372" i="2342"/>
  <c r="W373" i="2342"/>
  <c r="BF16" i="2396" l="1"/>
  <c r="BF17" i="2396"/>
  <c r="BF18" i="2396"/>
  <c r="BF19" i="2396"/>
  <c r="BF20" i="2396"/>
  <c r="BF21" i="2396"/>
  <c r="BF22" i="2396"/>
  <c r="BF23" i="2396"/>
  <c r="BF24" i="2396"/>
  <c r="BF15" i="2396"/>
  <c r="AE1" i="2345"/>
  <c r="Z65" i="2408"/>
  <c r="Z64" i="2408"/>
  <c r="Z75" i="2408"/>
  <c r="Z74" i="2408"/>
  <c r="Z73" i="2408"/>
  <c r="Z72" i="2408"/>
  <c r="Z71" i="2408"/>
  <c r="Z70" i="2408"/>
  <c r="Z69" i="2408"/>
  <c r="Z68" i="2408"/>
  <c r="Z67" i="2408"/>
  <c r="Z66" i="2408"/>
  <c r="M1" i="2345"/>
  <c r="F10" i="2345" l="1"/>
  <c r="F11" i="2345"/>
  <c r="F12" i="2345"/>
  <c r="F13" i="2345"/>
  <c r="F14" i="2345"/>
  <c r="F15" i="2345"/>
  <c r="F16" i="2345"/>
  <c r="F17" i="2345"/>
  <c r="F18" i="2345"/>
  <c r="F9" i="2345"/>
  <c r="E9" i="2345" s="1"/>
  <c r="G9" i="2345" l="1"/>
  <c r="G12" i="2407"/>
  <c r="H11" i="2407"/>
  <c r="F63" i="2345" l="1"/>
  <c r="G63" i="2345"/>
  <c r="H63" i="2345"/>
  <c r="I63" i="2345"/>
  <c r="J63" i="2345"/>
  <c r="K63" i="2345"/>
  <c r="L63" i="2345"/>
  <c r="M63" i="2345"/>
  <c r="N63" i="2345"/>
  <c r="O63" i="2345"/>
  <c r="P63" i="2345"/>
  <c r="Q63" i="2345"/>
  <c r="R63" i="2345"/>
  <c r="S63" i="2345"/>
  <c r="T63" i="2345"/>
  <c r="U63" i="2345"/>
  <c r="V63" i="2345"/>
  <c r="W63" i="2345"/>
  <c r="X63" i="2345"/>
  <c r="Y63" i="2345"/>
  <c r="Z63" i="2345"/>
  <c r="AA63" i="2345"/>
  <c r="AB63" i="2345"/>
  <c r="E63" i="2345"/>
  <c r="E10" i="2345"/>
  <c r="D63" i="2345"/>
  <c r="G10" i="2345" l="1"/>
  <c r="H10" i="2345"/>
  <c r="L10" i="2345"/>
  <c r="I10" i="2345"/>
  <c r="M10" i="2345"/>
  <c r="Z10" i="2345"/>
  <c r="Y10" i="2345"/>
  <c r="J10" i="2345"/>
  <c r="N10" i="2345"/>
  <c r="AA10" i="2345"/>
  <c r="K10" i="2345"/>
  <c r="V10" i="2345"/>
  <c r="AE59" i="2345" l="1"/>
  <c r="AE19" i="2345"/>
  <c r="AE20" i="2345"/>
  <c r="AE21" i="2345"/>
  <c r="AE22" i="2345"/>
  <c r="AE23" i="2345"/>
  <c r="AE24" i="2345"/>
  <c r="AE25" i="2345"/>
  <c r="AE26" i="2345"/>
  <c r="AE27" i="2345"/>
  <c r="AE28" i="2345"/>
  <c r="AE29" i="2345"/>
  <c r="AE30" i="2345"/>
  <c r="AE31" i="2345"/>
  <c r="AE32" i="2345"/>
  <c r="AE33" i="2345"/>
  <c r="AE34" i="2345"/>
  <c r="AE35" i="2345"/>
  <c r="AE36" i="2345"/>
  <c r="AE37" i="2345"/>
  <c r="AE38" i="2345"/>
  <c r="AE39" i="2345"/>
  <c r="AE40" i="2345"/>
  <c r="AE41" i="2345"/>
  <c r="AE42" i="2345"/>
  <c r="AE43" i="2345"/>
  <c r="AE44" i="2345"/>
  <c r="AE45" i="2345"/>
  <c r="AE46" i="2345"/>
  <c r="AE47" i="2345"/>
  <c r="AE48" i="2345"/>
  <c r="AE49" i="2345"/>
  <c r="AE50" i="2345"/>
  <c r="AE51" i="2345"/>
  <c r="AE52" i="2345"/>
  <c r="AE53" i="2345"/>
  <c r="AE54" i="2345"/>
  <c r="AE55" i="2345"/>
  <c r="AE56" i="2345"/>
  <c r="AE57" i="2345"/>
  <c r="AE58" i="2345"/>
  <c r="AE60" i="2345"/>
  <c r="N1" i="2345" l="1"/>
  <c r="D4" i="2348" l="1"/>
  <c r="C6" i="2342"/>
  <c r="B108" i="2406"/>
  <c r="C108" i="2406"/>
  <c r="C10" i="2348" l="1"/>
  <c r="C14" i="2348"/>
  <c r="C18" i="2348"/>
  <c r="C11" i="2348"/>
  <c r="C15" i="2348"/>
  <c r="C19" i="2348"/>
  <c r="C9" i="2348"/>
  <c r="C12" i="2348"/>
  <c r="C16" i="2348"/>
  <c r="C20" i="2348"/>
  <c r="C28" i="2348"/>
  <c r="C13" i="2348"/>
  <c r="C17" i="2348"/>
  <c r="C21" i="2342"/>
  <c r="C25" i="2342"/>
  <c r="C29" i="2342"/>
  <c r="C33" i="2342"/>
  <c r="C37" i="2342"/>
  <c r="C41" i="2342"/>
  <c r="C45" i="2342"/>
  <c r="C49" i="2342"/>
  <c r="C53" i="2342"/>
  <c r="C57" i="2342"/>
  <c r="C61" i="2342"/>
  <c r="C65" i="2342"/>
  <c r="C69" i="2342"/>
  <c r="C73" i="2342"/>
  <c r="C77" i="2342"/>
  <c r="C81" i="2342"/>
  <c r="C85" i="2342"/>
  <c r="C89" i="2342"/>
  <c r="C93" i="2342"/>
  <c r="C97" i="2342"/>
  <c r="C101" i="2342"/>
  <c r="C105" i="2342"/>
  <c r="C109" i="2342"/>
  <c r="C113" i="2342"/>
  <c r="C117" i="2342"/>
  <c r="C121" i="2342"/>
  <c r="C125" i="2342"/>
  <c r="C129" i="2342"/>
  <c r="C133" i="2342"/>
  <c r="C137" i="2342"/>
  <c r="C141" i="2342"/>
  <c r="C145" i="2342"/>
  <c r="C149" i="2342"/>
  <c r="C153" i="2342"/>
  <c r="C157" i="2342"/>
  <c r="C161" i="2342"/>
  <c r="C165" i="2342"/>
  <c r="C169" i="2342"/>
  <c r="C173" i="2342"/>
  <c r="C177" i="2342"/>
  <c r="C181" i="2342"/>
  <c r="C185" i="2342"/>
  <c r="C189" i="2342"/>
  <c r="C193" i="2342"/>
  <c r="C197" i="2342"/>
  <c r="C201" i="2342"/>
  <c r="C205" i="2342"/>
  <c r="C209" i="2342"/>
  <c r="C213" i="2342"/>
  <c r="C217" i="2342"/>
  <c r="C221" i="2342"/>
  <c r="C225" i="2342"/>
  <c r="C229" i="2342"/>
  <c r="C233" i="2342"/>
  <c r="C237" i="2342"/>
  <c r="C241" i="2342"/>
  <c r="C245" i="2342"/>
  <c r="C249" i="2342"/>
  <c r="C253" i="2342"/>
  <c r="C257" i="2342"/>
  <c r="C261" i="2342"/>
  <c r="C265" i="2342"/>
  <c r="C269" i="2342"/>
  <c r="C273" i="2342"/>
  <c r="C277" i="2342"/>
  <c r="C281" i="2342"/>
  <c r="C285" i="2342"/>
  <c r="C289" i="2342"/>
  <c r="C293" i="2342"/>
  <c r="C297" i="2342"/>
  <c r="C301" i="2342"/>
  <c r="C305" i="2342"/>
  <c r="C309" i="2342"/>
  <c r="C313" i="2342"/>
  <c r="C317" i="2342"/>
  <c r="C321" i="2342"/>
  <c r="C325" i="2342"/>
  <c r="C329" i="2342"/>
  <c r="C333" i="2342"/>
  <c r="C337" i="2342"/>
  <c r="C341" i="2342"/>
  <c r="C345" i="2342"/>
  <c r="C349" i="2342"/>
  <c r="C353" i="2342"/>
  <c r="C357" i="2342"/>
  <c r="C22" i="2342"/>
  <c r="C26" i="2342"/>
  <c r="C30" i="2342"/>
  <c r="C34" i="2342"/>
  <c r="C38" i="2342"/>
  <c r="C42" i="2342"/>
  <c r="C46" i="2342"/>
  <c r="C50" i="2342"/>
  <c r="C54" i="2342"/>
  <c r="C58" i="2342"/>
  <c r="C62" i="2342"/>
  <c r="C66" i="2342"/>
  <c r="C70" i="2342"/>
  <c r="C74" i="2342"/>
  <c r="C78" i="2342"/>
  <c r="C82" i="2342"/>
  <c r="C86" i="2342"/>
  <c r="C90" i="2342"/>
  <c r="C94" i="2342"/>
  <c r="C98" i="2342"/>
  <c r="C102" i="2342"/>
  <c r="C106" i="2342"/>
  <c r="C110" i="2342"/>
  <c r="C114" i="2342"/>
  <c r="C118" i="2342"/>
  <c r="C122" i="2342"/>
  <c r="C126" i="2342"/>
  <c r="C130" i="2342"/>
  <c r="C134" i="2342"/>
  <c r="C138" i="2342"/>
  <c r="C142" i="2342"/>
  <c r="C146" i="2342"/>
  <c r="C150" i="2342"/>
  <c r="C154" i="2342"/>
  <c r="C158" i="2342"/>
  <c r="C162" i="2342"/>
  <c r="C166" i="2342"/>
  <c r="C170" i="2342"/>
  <c r="C174" i="2342"/>
  <c r="C178" i="2342"/>
  <c r="C182" i="2342"/>
  <c r="C186" i="2342"/>
  <c r="C190" i="2342"/>
  <c r="C194" i="2342"/>
  <c r="C198" i="2342"/>
  <c r="C202" i="2342"/>
  <c r="C206" i="2342"/>
  <c r="C210" i="2342"/>
  <c r="C214" i="2342"/>
  <c r="C218" i="2342"/>
  <c r="C222" i="2342"/>
  <c r="C226" i="2342"/>
  <c r="C230" i="2342"/>
  <c r="C234" i="2342"/>
  <c r="C238" i="2342"/>
  <c r="C242" i="2342"/>
  <c r="C246" i="2342"/>
  <c r="C250" i="2342"/>
  <c r="C254" i="2342"/>
  <c r="C258" i="2342"/>
  <c r="C262" i="2342"/>
  <c r="C266" i="2342"/>
  <c r="C270" i="2342"/>
  <c r="C274" i="2342"/>
  <c r="C278" i="2342"/>
  <c r="C282" i="2342"/>
  <c r="C286" i="2342"/>
  <c r="C290" i="2342"/>
  <c r="C294" i="2342"/>
  <c r="C298" i="2342"/>
  <c r="C302" i="2342"/>
  <c r="C306" i="2342"/>
  <c r="C310" i="2342"/>
  <c r="C314" i="2342"/>
  <c r="C318" i="2342"/>
  <c r="C322" i="2342"/>
  <c r="C326" i="2342"/>
  <c r="C330" i="2342"/>
  <c r="C334" i="2342"/>
  <c r="C338" i="2342"/>
  <c r="C342" i="2342"/>
  <c r="C346" i="2342"/>
  <c r="C350" i="2342"/>
  <c r="C354" i="2342"/>
  <c r="C358" i="2342"/>
  <c r="C23" i="2342"/>
  <c r="C27" i="2342"/>
  <c r="C31" i="2342"/>
  <c r="C35" i="2342"/>
  <c r="C39" i="2342"/>
  <c r="C43" i="2342"/>
  <c r="C47" i="2342"/>
  <c r="C51" i="2342"/>
  <c r="C55" i="2342"/>
  <c r="C59" i="2342"/>
  <c r="C63" i="2342"/>
  <c r="C67" i="2342"/>
  <c r="C71" i="2342"/>
  <c r="C75" i="2342"/>
  <c r="C79" i="2342"/>
  <c r="C83" i="2342"/>
  <c r="C87" i="2342"/>
  <c r="C91" i="2342"/>
  <c r="C95" i="2342"/>
  <c r="C99" i="2342"/>
  <c r="C103" i="2342"/>
  <c r="C107" i="2342"/>
  <c r="C111" i="2342"/>
  <c r="C115" i="2342"/>
  <c r="C119" i="2342"/>
  <c r="C123" i="2342"/>
  <c r="C127" i="2342"/>
  <c r="C131" i="2342"/>
  <c r="C135" i="2342"/>
  <c r="C139" i="2342"/>
  <c r="C143" i="2342"/>
  <c r="C147" i="2342"/>
  <c r="C151" i="2342"/>
  <c r="C155" i="2342"/>
  <c r="C159" i="2342"/>
  <c r="C163" i="2342"/>
  <c r="C167" i="2342"/>
  <c r="C171" i="2342"/>
  <c r="C175" i="2342"/>
  <c r="C179" i="2342"/>
  <c r="C183" i="2342"/>
  <c r="C187" i="2342"/>
  <c r="C191" i="2342"/>
  <c r="C195" i="2342"/>
  <c r="C199" i="2342"/>
  <c r="C203" i="2342"/>
  <c r="C207" i="2342"/>
  <c r="C211" i="2342"/>
  <c r="C215" i="2342"/>
  <c r="C219" i="2342"/>
  <c r="C223" i="2342"/>
  <c r="C227" i="2342"/>
  <c r="C231" i="2342"/>
  <c r="C235" i="2342"/>
  <c r="C239" i="2342"/>
  <c r="C243" i="2342"/>
  <c r="C247" i="2342"/>
  <c r="C251" i="2342"/>
  <c r="C255" i="2342"/>
  <c r="C259" i="2342"/>
  <c r="C263" i="2342"/>
  <c r="C267" i="2342"/>
  <c r="C271" i="2342"/>
  <c r="C275" i="2342"/>
  <c r="C279" i="2342"/>
  <c r="C283" i="2342"/>
  <c r="C287" i="2342"/>
  <c r="C291" i="2342"/>
  <c r="C295" i="2342"/>
  <c r="C299" i="2342"/>
  <c r="C303" i="2342"/>
  <c r="C307" i="2342"/>
  <c r="C311" i="2342"/>
  <c r="C315" i="2342"/>
  <c r="C319" i="2342"/>
  <c r="C323" i="2342"/>
  <c r="C327" i="2342"/>
  <c r="C331" i="2342"/>
  <c r="C335" i="2342"/>
  <c r="C339" i="2342"/>
  <c r="C343" i="2342"/>
  <c r="C347" i="2342"/>
  <c r="C351" i="2342"/>
  <c r="C355" i="2342"/>
  <c r="C24" i="2342"/>
  <c r="C40" i="2342"/>
  <c r="C56" i="2342"/>
  <c r="C72" i="2342"/>
  <c r="C88" i="2342"/>
  <c r="C104" i="2342"/>
  <c r="C120" i="2342"/>
  <c r="C136" i="2342"/>
  <c r="C152" i="2342"/>
  <c r="C168" i="2342"/>
  <c r="C184" i="2342"/>
  <c r="C200" i="2342"/>
  <c r="C216" i="2342"/>
  <c r="C232" i="2342"/>
  <c r="C248" i="2342"/>
  <c r="C264" i="2342"/>
  <c r="C280" i="2342"/>
  <c r="C296" i="2342"/>
  <c r="C312" i="2342"/>
  <c r="C328" i="2342"/>
  <c r="C344" i="2342"/>
  <c r="C359" i="2342"/>
  <c r="C363" i="2342"/>
  <c r="C367" i="2342"/>
  <c r="C371" i="2342"/>
  <c r="C36" i="2342"/>
  <c r="C84" i="2342"/>
  <c r="C132" i="2342"/>
  <c r="C180" i="2342"/>
  <c r="C196" i="2342"/>
  <c r="C244" i="2342"/>
  <c r="C292" i="2342"/>
  <c r="C340" i="2342"/>
  <c r="C366" i="2342"/>
  <c r="C28" i="2342"/>
  <c r="C44" i="2342"/>
  <c r="C60" i="2342"/>
  <c r="C76" i="2342"/>
  <c r="C92" i="2342"/>
  <c r="C108" i="2342"/>
  <c r="C124" i="2342"/>
  <c r="C140" i="2342"/>
  <c r="C156" i="2342"/>
  <c r="C172" i="2342"/>
  <c r="C188" i="2342"/>
  <c r="C204" i="2342"/>
  <c r="C220" i="2342"/>
  <c r="C236" i="2342"/>
  <c r="C252" i="2342"/>
  <c r="C268" i="2342"/>
  <c r="C284" i="2342"/>
  <c r="C300" i="2342"/>
  <c r="C316" i="2342"/>
  <c r="C332" i="2342"/>
  <c r="C348" i="2342"/>
  <c r="C360" i="2342"/>
  <c r="C364" i="2342"/>
  <c r="C368" i="2342"/>
  <c r="C372" i="2342"/>
  <c r="C52" i="2342"/>
  <c r="C100" i="2342"/>
  <c r="C164" i="2342"/>
  <c r="C212" i="2342"/>
  <c r="C260" i="2342"/>
  <c r="C308" i="2342"/>
  <c r="C356" i="2342"/>
  <c r="C370" i="2342"/>
  <c r="C32" i="2342"/>
  <c r="C48" i="2342"/>
  <c r="C64" i="2342"/>
  <c r="C80" i="2342"/>
  <c r="C96" i="2342"/>
  <c r="C112" i="2342"/>
  <c r="C128" i="2342"/>
  <c r="C144" i="2342"/>
  <c r="C160" i="2342"/>
  <c r="C176" i="2342"/>
  <c r="C192" i="2342"/>
  <c r="C208" i="2342"/>
  <c r="C224" i="2342"/>
  <c r="C240" i="2342"/>
  <c r="C256" i="2342"/>
  <c r="C272" i="2342"/>
  <c r="C288" i="2342"/>
  <c r="C304" i="2342"/>
  <c r="C320" i="2342"/>
  <c r="C336" i="2342"/>
  <c r="C352" i="2342"/>
  <c r="C361" i="2342"/>
  <c r="C365" i="2342"/>
  <c r="C369" i="2342"/>
  <c r="C373" i="2342"/>
  <c r="C68" i="2342"/>
  <c r="C116" i="2342"/>
  <c r="C148" i="2342"/>
  <c r="C228" i="2342"/>
  <c r="C276" i="2342"/>
  <c r="C324" i="2342"/>
  <c r="C362" i="2342"/>
  <c r="C20" i="2342"/>
  <c r="E26" i="2388"/>
  <c r="E27" i="2388"/>
  <c r="E28" i="2388"/>
  <c r="E29" i="2388"/>
  <c r="E30" i="2388"/>
  <c r="E31" i="2388"/>
  <c r="E32" i="2388"/>
  <c r="E33" i="2388"/>
  <c r="E34" i="2388"/>
  <c r="E35" i="2388"/>
  <c r="E36" i="2388"/>
  <c r="E37" i="2388"/>
  <c r="E38" i="2388"/>
  <c r="E39" i="2388"/>
  <c r="E40" i="2388"/>
  <c r="E41" i="2388"/>
  <c r="E42" i="2388"/>
  <c r="E43" i="2388"/>
  <c r="E44" i="2388"/>
  <c r="E45" i="2388"/>
  <c r="E46" i="2388"/>
  <c r="E47" i="2388"/>
  <c r="E48" i="2388"/>
  <c r="E49" i="2388"/>
  <c r="E50" i="2388"/>
  <c r="E51" i="2388"/>
  <c r="E52" i="2388"/>
  <c r="E53" i="2388"/>
  <c r="E54" i="2388"/>
  <c r="E55" i="2388"/>
  <c r="E56" i="2388"/>
  <c r="E57" i="2388"/>
  <c r="E58" i="2388"/>
  <c r="E59" i="2388"/>
  <c r="E60" i="2388"/>
  <c r="E61" i="2388"/>
  <c r="E62" i="2388"/>
  <c r="E63" i="2388"/>
  <c r="E64" i="2388"/>
  <c r="E65" i="2388"/>
  <c r="E66" i="2388"/>
  <c r="E67" i="2388"/>
  <c r="E68" i="2388"/>
  <c r="E69" i="2388"/>
  <c r="E70" i="2388"/>
  <c r="E71" i="2388"/>
  <c r="E72" i="2388"/>
  <c r="E73" i="2388"/>
  <c r="E74" i="2388"/>
  <c r="E75" i="2388"/>
  <c r="E76" i="2388"/>
  <c r="E77" i="2388"/>
  <c r="E78" i="2388"/>
  <c r="E79" i="2388"/>
  <c r="E80" i="2388"/>
  <c r="E81" i="2388"/>
  <c r="E82" i="2388"/>
  <c r="E83" i="2388"/>
  <c r="E84" i="2388"/>
  <c r="E85" i="2388"/>
  <c r="E86" i="2388"/>
  <c r="E87" i="2388"/>
  <c r="E88" i="2388"/>
  <c r="E89" i="2388"/>
  <c r="E90" i="2388"/>
  <c r="E91" i="2388"/>
  <c r="E92" i="2388"/>
  <c r="E93" i="2388"/>
  <c r="E94" i="2388"/>
  <c r="E95" i="2388"/>
  <c r="E96" i="2388"/>
  <c r="E97" i="2388"/>
  <c r="E98" i="2388"/>
  <c r="E99" i="2388"/>
  <c r="E100" i="2388"/>
  <c r="E101" i="2388"/>
  <c r="E102" i="2388"/>
  <c r="E103" i="2388"/>
  <c r="E104" i="2388"/>
  <c r="E105" i="2388"/>
  <c r="E106" i="2388"/>
  <c r="E107" i="2388"/>
  <c r="E108" i="2388"/>
  <c r="E109" i="2388"/>
  <c r="E110" i="2388"/>
  <c r="E111" i="2388"/>
  <c r="E112" i="2388"/>
  <c r="E113" i="2388"/>
  <c r="E114" i="2388"/>
  <c r="E115" i="2388"/>
  <c r="E116" i="2388"/>
  <c r="E117" i="2388"/>
  <c r="E118" i="2388"/>
  <c r="E119" i="2388"/>
  <c r="E120" i="2388"/>
  <c r="E121" i="2388"/>
  <c r="E122" i="2388"/>
  <c r="E123" i="2388"/>
  <c r="E124" i="2388"/>
  <c r="E25" i="2388"/>
  <c r="BF77" i="2396" l="1"/>
  <c r="CU1" i="2420" l="1"/>
  <c r="G10" i="2342"/>
  <c r="G11" i="2342"/>
  <c r="G12" i="2342"/>
  <c r="J12" i="2342" s="1"/>
  <c r="W12" i="2342" s="1"/>
  <c r="G13" i="2342"/>
  <c r="G14" i="2342"/>
  <c r="G15" i="2342"/>
  <c r="G16" i="2342"/>
  <c r="G17" i="2342"/>
  <c r="G18" i="2342"/>
  <c r="G9" i="2342"/>
  <c r="J9" i="2342" s="1"/>
  <c r="W9" i="2342" s="1"/>
  <c r="BF51" i="2396"/>
  <c r="BF52" i="2396"/>
  <c r="BF53" i="2396"/>
  <c r="BF54" i="2396"/>
  <c r="BF55" i="2396"/>
  <c r="BF56" i="2396"/>
  <c r="BF57" i="2396"/>
  <c r="BF58" i="2396"/>
  <c r="BF59" i="2396"/>
  <c r="BF50" i="2396"/>
  <c r="X45" i="2380"/>
  <c r="X35" i="2380"/>
  <c r="EK4" i="2421"/>
  <c r="EK5" i="2421"/>
  <c r="EK6" i="2421"/>
  <c r="EK7" i="2421"/>
  <c r="EK14" i="2421"/>
  <c r="EK15" i="2421"/>
  <c r="EK16" i="2421"/>
  <c r="EK17" i="2421"/>
  <c r="EK18" i="2421"/>
  <c r="EK19" i="2421"/>
  <c r="EK20" i="2421"/>
  <c r="EK21" i="2421"/>
  <c r="EK22" i="2421"/>
  <c r="EK23" i="2421"/>
  <c r="EK24" i="2421"/>
  <c r="EK25" i="2421"/>
  <c r="EK26" i="2421"/>
  <c r="EK27" i="2421"/>
  <c r="EK28" i="2421"/>
  <c r="EK29" i="2421"/>
  <c r="EK30" i="2421"/>
  <c r="EK31" i="2421"/>
  <c r="EK32" i="2421"/>
  <c r="EK33" i="2421"/>
  <c r="EK34" i="2421"/>
  <c r="EK35" i="2421"/>
  <c r="EK36" i="2421"/>
  <c r="EK37" i="2421"/>
  <c r="EK38" i="2421"/>
  <c r="EK39" i="2421"/>
  <c r="EK40" i="2421"/>
  <c r="EK41" i="2421"/>
  <c r="EK42" i="2421"/>
  <c r="EK43" i="2421"/>
  <c r="EK44" i="2421"/>
  <c r="EK45" i="2421"/>
  <c r="EK46" i="2421"/>
  <c r="EK47" i="2421"/>
  <c r="EK48" i="2421"/>
  <c r="EK49" i="2421"/>
  <c r="EK50" i="2421"/>
  <c r="EK51" i="2421"/>
  <c r="EK52" i="2421"/>
  <c r="EK53" i="2421"/>
  <c r="EK54" i="2421"/>
  <c r="EK55" i="2421"/>
  <c r="EK56" i="2421"/>
  <c r="EK57" i="2421"/>
  <c r="EK58" i="2421"/>
  <c r="EK59" i="2421"/>
  <c r="EK60" i="2421"/>
  <c r="EK61" i="2421"/>
  <c r="EK62" i="2421"/>
  <c r="EK63" i="2421"/>
  <c r="EK64" i="2421"/>
  <c r="EK65" i="2421"/>
  <c r="EK66" i="2421"/>
  <c r="EK67" i="2421"/>
  <c r="EK68" i="2421"/>
  <c r="EK69" i="2421"/>
  <c r="EK70" i="2421"/>
  <c r="EK71" i="2421"/>
  <c r="EK72" i="2421"/>
  <c r="EK73" i="2421"/>
  <c r="EK74" i="2421"/>
  <c r="EK75" i="2421"/>
  <c r="EK76" i="2421"/>
  <c r="EK77" i="2421"/>
  <c r="EK78" i="2421"/>
  <c r="EK79" i="2421"/>
  <c r="EK80" i="2421"/>
  <c r="EK81" i="2421"/>
  <c r="EK82" i="2421"/>
  <c r="EK83" i="2421"/>
  <c r="EK84" i="2421"/>
  <c r="EK85" i="2421"/>
  <c r="EK86" i="2421"/>
  <c r="EK87" i="2421"/>
  <c r="EK88" i="2421"/>
  <c r="EK89" i="2421"/>
  <c r="EK90" i="2421"/>
  <c r="EK91" i="2421"/>
  <c r="EK92" i="2421"/>
  <c r="EK93" i="2421"/>
  <c r="EK94" i="2421"/>
  <c r="EK95" i="2421"/>
  <c r="EK96" i="2421"/>
  <c r="EK97" i="2421"/>
  <c r="EK98" i="2421"/>
  <c r="EK99" i="2421"/>
  <c r="EK100" i="2421"/>
  <c r="EK101" i="2421"/>
  <c r="EK102" i="2421"/>
  <c r="EK103" i="2421"/>
  <c r="EK104" i="2421"/>
  <c r="EK105" i="2421"/>
  <c r="EK106" i="2421"/>
  <c r="EK107" i="2421"/>
  <c r="EK108" i="2421"/>
  <c r="EK109" i="2421"/>
  <c r="EK110" i="2421"/>
  <c r="EK111" i="2421"/>
  <c r="EK112" i="2421"/>
  <c r="EK113" i="2421"/>
  <c r="J16" i="2342" l="1"/>
  <c r="W16" i="2342" s="1"/>
  <c r="X16" i="2342"/>
  <c r="J15" i="2342"/>
  <c r="W15" i="2342" s="1"/>
  <c r="X15" i="2342"/>
  <c r="J13" i="2342"/>
  <c r="W13" i="2342" s="1"/>
  <c r="X13" i="2342"/>
  <c r="J14" i="2342"/>
  <c r="W14" i="2342" s="1"/>
  <c r="X14" i="2342"/>
  <c r="J11" i="2342"/>
  <c r="W11" i="2342" s="1"/>
  <c r="X11" i="2342"/>
  <c r="J18" i="2342"/>
  <c r="W18" i="2342" s="1"/>
  <c r="X18" i="2342"/>
  <c r="J10" i="2342"/>
  <c r="W10" i="2342" s="1"/>
  <c r="X10" i="2342"/>
  <c r="J17" i="2342"/>
  <c r="W17" i="2342" s="1"/>
  <c r="X17" i="2342"/>
  <c r="EM10" i="2421"/>
  <c r="EM7" i="2421"/>
  <c r="EM5" i="2421"/>
  <c r="EM9" i="2421"/>
  <c r="EM6" i="2421"/>
  <c r="EM8" i="2421"/>
  <c r="EM4" i="2421"/>
  <c r="X37" i="2380"/>
  <c r="X33" i="2380"/>
  <c r="X44" i="2380"/>
  <c r="X40" i="2380"/>
  <c r="X36" i="2380"/>
  <c r="X32" i="2380"/>
  <c r="X43" i="2380"/>
  <c r="X39" i="2380"/>
  <c r="X46" i="2380"/>
  <c r="X42" i="2380"/>
  <c r="X38" i="2380"/>
  <c r="X41" i="2380"/>
  <c r="EP11" i="2421"/>
  <c r="EW12" i="2421"/>
  <c r="EV12" i="2421"/>
  <c r="EU12" i="2421"/>
  <c r="ET12" i="2421"/>
  <c r="ES12" i="2421"/>
  <c r="ER12" i="2421"/>
  <c r="EY12" i="2421"/>
  <c r="EQ12" i="2421"/>
  <c r="EX12" i="2421"/>
  <c r="EO12" i="2421"/>
  <c r="EL117" i="2421"/>
  <c r="EM117" i="2421" s="1"/>
  <c r="EL120" i="2421"/>
  <c r="EM120" i="2421" s="1"/>
  <c r="EL118" i="2421"/>
  <c r="EM118" i="2421" s="1"/>
  <c r="EL124" i="2421"/>
  <c r="EM124" i="2421" s="1"/>
  <c r="EL115" i="2421"/>
  <c r="EL119" i="2421"/>
  <c r="EM119" i="2421" s="1"/>
  <c r="EL125" i="2421"/>
  <c r="EM125" i="2421" s="1"/>
  <c r="EL122" i="2421"/>
  <c r="EL123" i="2421" s="1"/>
  <c r="EM123" i="2421" s="1"/>
  <c r="EM127" i="2421" l="1"/>
  <c r="EM128" i="2421"/>
  <c r="F1" i="2407" l="1"/>
  <c r="G1" i="2407"/>
  <c r="H1" i="2407"/>
  <c r="I1" i="2407"/>
  <c r="J1" i="2407"/>
  <c r="K1" i="2407"/>
  <c r="L1" i="2407"/>
  <c r="M1" i="2407"/>
  <c r="E1" i="2407"/>
  <c r="D1" i="2345"/>
  <c r="F1" i="2345"/>
  <c r="G1" i="2345"/>
  <c r="H1" i="2345"/>
  <c r="I1" i="2345"/>
  <c r="J1" i="2345"/>
  <c r="K1" i="2345"/>
  <c r="L1" i="2345"/>
  <c r="O1" i="2345"/>
  <c r="P1" i="2345"/>
  <c r="Q1" i="2345"/>
  <c r="R1" i="2345"/>
  <c r="S1" i="2345"/>
  <c r="T1" i="2345"/>
  <c r="U1" i="2345"/>
  <c r="V1" i="2345"/>
  <c r="W1" i="2345"/>
  <c r="X1" i="2345"/>
  <c r="Y1" i="2345"/>
  <c r="Z1" i="2345"/>
  <c r="AA1" i="2345"/>
  <c r="AB1" i="2345"/>
  <c r="AC1" i="2345"/>
  <c r="AD1" i="2345"/>
  <c r="E1" i="2345"/>
  <c r="F1" i="2348"/>
  <c r="K1" i="2348"/>
  <c r="G1" i="2348"/>
  <c r="J1" i="2348"/>
  <c r="I1" i="2348"/>
  <c r="L1" i="2348"/>
  <c r="M1" i="2348"/>
  <c r="N1" i="2348"/>
  <c r="O1" i="2348"/>
  <c r="H1" i="2348"/>
  <c r="Q1" i="2348"/>
  <c r="P1" i="2348"/>
  <c r="E1" i="2348"/>
  <c r="Q124" i="2422"/>
  <c r="P124" i="2422"/>
  <c r="AH133" i="2421"/>
  <c r="AG133" i="2421"/>
  <c r="CD1" i="2420"/>
  <c r="CE1" i="2420"/>
  <c r="CF1" i="2420"/>
  <c r="CG1" i="2420"/>
  <c r="CH1" i="2420"/>
  <c r="CJ1" i="2420"/>
  <c r="CK1" i="2420"/>
  <c r="CL1" i="2420"/>
  <c r="CM1" i="2420"/>
  <c r="CN1" i="2420"/>
  <c r="CO1" i="2420"/>
  <c r="CP1" i="2420"/>
  <c r="CQ1" i="2420"/>
  <c r="CR1" i="2420"/>
  <c r="CS1" i="2420"/>
  <c r="CT1" i="2420"/>
  <c r="CC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K2" i="2420"/>
  <c r="K3" i="2420" l="1"/>
  <c r="K105" i="2420" s="1"/>
  <c r="ER101" i="2421"/>
  <c r="ER83" i="2421"/>
  <c r="ER75" i="2421"/>
  <c r="ER67" i="2421"/>
  <c r="ER87" i="2421"/>
  <c r="ER98" i="2421"/>
  <c r="ER57" i="2421"/>
  <c r="ER51" i="2421"/>
  <c r="ER43" i="2421"/>
  <c r="ER35" i="2421"/>
  <c r="ER27" i="2421"/>
  <c r="ER19" i="2421"/>
  <c r="ER99" i="2421"/>
  <c r="ER82" i="2421"/>
  <c r="ER74" i="2421"/>
  <c r="ER66" i="2421"/>
  <c r="ER112" i="2421"/>
  <c r="ER95" i="2421"/>
  <c r="ER55" i="2421"/>
  <c r="ER50" i="2421"/>
  <c r="ER42" i="2421"/>
  <c r="ER34" i="2421"/>
  <c r="ER26" i="2421"/>
  <c r="ER18" i="2421"/>
  <c r="ER113" i="2421"/>
  <c r="ER97" i="2421"/>
  <c r="ER81" i="2421"/>
  <c r="ER73" i="2421"/>
  <c r="ER65" i="2421"/>
  <c r="ER110" i="2421"/>
  <c r="ER90" i="2421"/>
  <c r="ER53" i="2421"/>
  <c r="ER49" i="2421"/>
  <c r="ER41" i="2421"/>
  <c r="ER33" i="2421"/>
  <c r="ER25" i="2421"/>
  <c r="ER17" i="2421"/>
  <c r="ER111" i="2421"/>
  <c r="ER93" i="2421"/>
  <c r="ER80" i="2421"/>
  <c r="ER72" i="2421"/>
  <c r="ER64" i="2421"/>
  <c r="ER108" i="2421"/>
  <c r="ER86" i="2421"/>
  <c r="ER60" i="2421"/>
  <c r="ER48" i="2421"/>
  <c r="ER40" i="2421"/>
  <c r="ER32" i="2421"/>
  <c r="ER24" i="2421"/>
  <c r="ER16" i="2421"/>
  <c r="ER109" i="2421"/>
  <c r="ER92" i="2421"/>
  <c r="ER79" i="2421"/>
  <c r="ER71" i="2421"/>
  <c r="ER63" i="2421"/>
  <c r="ER106" i="2421"/>
  <c r="ER96" i="2421"/>
  <c r="ER58" i="2421"/>
  <c r="ER47" i="2421"/>
  <c r="ER39" i="2421"/>
  <c r="ER31" i="2421"/>
  <c r="ER23" i="2421"/>
  <c r="ER15" i="2421"/>
  <c r="ER107" i="2421"/>
  <c r="ER88" i="2421"/>
  <c r="ER78" i="2421"/>
  <c r="ER70" i="2421"/>
  <c r="ER62" i="2421"/>
  <c r="ER104" i="2421"/>
  <c r="ER89" i="2421"/>
  <c r="ER56" i="2421"/>
  <c r="ER46" i="2421"/>
  <c r="ER38" i="2421"/>
  <c r="ER30" i="2421"/>
  <c r="ER22" i="2421"/>
  <c r="ER14" i="2421"/>
  <c r="ER69" i="2421"/>
  <c r="ER54" i="2421"/>
  <c r="ER21" i="2421"/>
  <c r="ER68" i="2421"/>
  <c r="ER52" i="2421"/>
  <c r="ER20" i="2421"/>
  <c r="ER105" i="2421"/>
  <c r="ER94" i="2421"/>
  <c r="ER45" i="2421"/>
  <c r="ER103" i="2421"/>
  <c r="ER91" i="2421"/>
  <c r="ER44" i="2421"/>
  <c r="ER85" i="2421"/>
  <c r="ER102" i="2421"/>
  <c r="ER37" i="2421"/>
  <c r="ER84" i="2421"/>
  <c r="ER100" i="2421"/>
  <c r="ER36" i="2421"/>
  <c r="ER77" i="2421"/>
  <c r="ER61" i="2421"/>
  <c r="ER29" i="2421"/>
  <c r="ER76" i="2421"/>
  <c r="ER59" i="2421"/>
  <c r="ER28" i="2421"/>
  <c r="EP41" i="2421"/>
  <c r="EP33" i="2421"/>
  <c r="EP25" i="2421"/>
  <c r="EP17" i="2421"/>
  <c r="EP46" i="2421"/>
  <c r="EP38" i="2421"/>
  <c r="EP30" i="2421"/>
  <c r="EP22" i="2421"/>
  <c r="EP43" i="2421"/>
  <c r="EP35" i="2421"/>
  <c r="EP27" i="2421"/>
  <c r="EP19" i="2421"/>
  <c r="EP48" i="2421"/>
  <c r="EP40" i="2421"/>
  <c r="EP32" i="2421"/>
  <c r="EP24" i="2421"/>
  <c r="EP16" i="2421"/>
  <c r="EP45" i="2421"/>
  <c r="EP37" i="2421"/>
  <c r="EP29" i="2421"/>
  <c r="EP21" i="2421"/>
  <c r="EP15" i="2421"/>
  <c r="EP42" i="2421"/>
  <c r="EP34" i="2421"/>
  <c r="EP26" i="2421"/>
  <c r="EP18" i="2421"/>
  <c r="EP14" i="2421"/>
  <c r="EP47" i="2421"/>
  <c r="EP39" i="2421"/>
  <c r="EP31" i="2421"/>
  <c r="EP23" i="2421"/>
  <c r="EP44" i="2421"/>
  <c r="EP36" i="2421"/>
  <c r="EP28" i="2421"/>
  <c r="EP20" i="2421"/>
  <c r="EP111" i="2421"/>
  <c r="EP103" i="2421"/>
  <c r="EP86" i="2421"/>
  <c r="EP84" i="2421"/>
  <c r="EP76" i="2421"/>
  <c r="EP91" i="2421"/>
  <c r="EP62" i="2421"/>
  <c r="EP67" i="2421"/>
  <c r="EP110" i="2421"/>
  <c r="EP102" i="2421"/>
  <c r="EP97" i="2421"/>
  <c r="EP83" i="2421"/>
  <c r="EP75" i="2421"/>
  <c r="EP87" i="2421"/>
  <c r="EP66" i="2421"/>
  <c r="EP49" i="2421"/>
  <c r="EP109" i="2421"/>
  <c r="EP101" i="2421"/>
  <c r="EP93" i="2421"/>
  <c r="EP82" i="2421"/>
  <c r="EP74" i="2421"/>
  <c r="EP54" i="2421"/>
  <c r="EP53" i="2421"/>
  <c r="EP50" i="2421"/>
  <c r="EP108" i="2421"/>
  <c r="EP100" i="2421"/>
  <c r="EP89" i="2421"/>
  <c r="EP81" i="2421"/>
  <c r="EP73" i="2421"/>
  <c r="EP56" i="2421"/>
  <c r="EP55" i="2421"/>
  <c r="EP51" i="2421"/>
  <c r="EP107" i="2421"/>
  <c r="EP99" i="2421"/>
  <c r="EP94" i="2421"/>
  <c r="EP80" i="2421"/>
  <c r="EP72" i="2421"/>
  <c r="EP58" i="2421"/>
  <c r="EP57" i="2421"/>
  <c r="EP52" i="2421"/>
  <c r="EP106" i="2421"/>
  <c r="EP98" i="2421"/>
  <c r="EP92" i="2421"/>
  <c r="EP79" i="2421"/>
  <c r="EP71" i="2421"/>
  <c r="EP60" i="2421"/>
  <c r="EP59" i="2421"/>
  <c r="EP64" i="2421"/>
  <c r="EP88" i="2421"/>
  <c r="EP61" i="2421"/>
  <c r="EP85" i="2421"/>
  <c r="EP63" i="2421"/>
  <c r="EP113" i="2421"/>
  <c r="EP78" i="2421"/>
  <c r="EP68" i="2421"/>
  <c r="EP112" i="2421"/>
  <c r="EP77" i="2421"/>
  <c r="EP105" i="2421"/>
  <c r="EP70" i="2421"/>
  <c r="EP104" i="2421"/>
  <c r="EP95" i="2421"/>
  <c r="EP96" i="2421"/>
  <c r="EP65" i="2421"/>
  <c r="EP90" i="2421"/>
  <c r="EP69" i="2421"/>
  <c r="EO25" i="2421"/>
  <c r="EO19" i="2421"/>
  <c r="EU111" i="2421"/>
  <c r="EU103" i="2421"/>
  <c r="EU95" i="2421"/>
  <c r="EO108" i="2421"/>
  <c r="EO100" i="2421"/>
  <c r="EO92" i="2421"/>
  <c r="EU86" i="2421"/>
  <c r="EU79" i="2421"/>
  <c r="EU71" i="2421"/>
  <c r="EU63" i="2421"/>
  <c r="EU55" i="2421"/>
  <c r="EO85" i="2421"/>
  <c r="EO77" i="2421"/>
  <c r="EO69" i="2421"/>
  <c r="EO60" i="2421"/>
  <c r="EO48" i="2421"/>
  <c r="EO40" i="2421"/>
  <c r="EO32" i="2421"/>
  <c r="EO59" i="2421"/>
  <c r="EU47" i="2421"/>
  <c r="EU39" i="2421"/>
  <c r="EU31" i="2421"/>
  <c r="EU23" i="2421"/>
  <c r="EU15" i="2421"/>
  <c r="EO20" i="2421"/>
  <c r="EU110" i="2421"/>
  <c r="EU102" i="2421"/>
  <c r="EU94" i="2421"/>
  <c r="EO107" i="2421"/>
  <c r="EO99" i="2421"/>
  <c r="EO91" i="2421"/>
  <c r="EU89" i="2421"/>
  <c r="EU78" i="2421"/>
  <c r="EU70" i="2421"/>
  <c r="EU62" i="2421"/>
  <c r="EU54" i="2421"/>
  <c r="EO84" i="2421"/>
  <c r="EO76" i="2421"/>
  <c r="EO68" i="2421"/>
  <c r="EO58" i="2421"/>
  <c r="EO47" i="2421"/>
  <c r="EO39" i="2421"/>
  <c r="EO31" i="2421"/>
  <c r="EO57" i="2421"/>
  <c r="EU46" i="2421"/>
  <c r="EU38" i="2421"/>
  <c r="EU30" i="2421"/>
  <c r="EU22" i="2421"/>
  <c r="EU14" i="2421"/>
  <c r="EO21" i="2421"/>
  <c r="EU109" i="2421"/>
  <c r="EU101" i="2421"/>
  <c r="EU93" i="2421"/>
  <c r="EO106" i="2421"/>
  <c r="EO98" i="2421"/>
  <c r="EO90" i="2421"/>
  <c r="EU85" i="2421"/>
  <c r="EU77" i="2421"/>
  <c r="EU69" i="2421"/>
  <c r="EU61" i="2421"/>
  <c r="EU53" i="2421"/>
  <c r="EO83" i="2421"/>
  <c r="EO75" i="2421"/>
  <c r="EO67" i="2421"/>
  <c r="EO56" i="2421"/>
  <c r="EO46" i="2421"/>
  <c r="EO38" i="2421"/>
  <c r="EO30" i="2421"/>
  <c r="EO55" i="2421"/>
  <c r="EU45" i="2421"/>
  <c r="EU37" i="2421"/>
  <c r="EU29" i="2421"/>
  <c r="EU21" i="2421"/>
  <c r="EO14" i="2421"/>
  <c r="EO22" i="2421"/>
  <c r="EU108" i="2421"/>
  <c r="EU100" i="2421"/>
  <c r="EO113" i="2421"/>
  <c r="EO105" i="2421"/>
  <c r="EO97" i="2421"/>
  <c r="EO89" i="2421"/>
  <c r="EU84" i="2421"/>
  <c r="EU76" i="2421"/>
  <c r="EU68" i="2421"/>
  <c r="EU60" i="2421"/>
  <c r="EU52" i="2421"/>
  <c r="EO82" i="2421"/>
  <c r="EO74" i="2421"/>
  <c r="EO66" i="2421"/>
  <c r="EO54" i="2421"/>
  <c r="EO45" i="2421"/>
  <c r="EO37" i="2421"/>
  <c r="EO29" i="2421"/>
  <c r="EO53" i="2421"/>
  <c r="EU44" i="2421"/>
  <c r="EU36" i="2421"/>
  <c r="EU28" i="2421"/>
  <c r="EU20" i="2421"/>
  <c r="EO15" i="2421"/>
  <c r="EO23" i="2421"/>
  <c r="EU107" i="2421"/>
  <c r="EU99" i="2421"/>
  <c r="EO112" i="2421"/>
  <c r="EO104" i="2421"/>
  <c r="EO96" i="2421"/>
  <c r="EO88" i="2421"/>
  <c r="EU83" i="2421"/>
  <c r="EU75" i="2421"/>
  <c r="EU67" i="2421"/>
  <c r="EU59" i="2421"/>
  <c r="EU92" i="2421"/>
  <c r="EO81" i="2421"/>
  <c r="EO73" i="2421"/>
  <c r="EO65" i="2421"/>
  <c r="EO52" i="2421"/>
  <c r="EO44" i="2421"/>
  <c r="EO36" i="2421"/>
  <c r="EO28" i="2421"/>
  <c r="EU51" i="2421"/>
  <c r="EU43" i="2421"/>
  <c r="EU35" i="2421"/>
  <c r="EU27" i="2421"/>
  <c r="EU19" i="2421"/>
  <c r="EO16" i="2421"/>
  <c r="EO24" i="2421"/>
  <c r="EU106" i="2421"/>
  <c r="EU98" i="2421"/>
  <c r="EO111" i="2421"/>
  <c r="EO103" i="2421"/>
  <c r="EO95" i="2421"/>
  <c r="EO87" i="2421"/>
  <c r="EU82" i="2421"/>
  <c r="EU74" i="2421"/>
  <c r="EU66" i="2421"/>
  <c r="EU58" i="2421"/>
  <c r="EU88" i="2421"/>
  <c r="EO80" i="2421"/>
  <c r="EO72" i="2421"/>
  <c r="EO64" i="2421"/>
  <c r="EO51" i="2421"/>
  <c r="EO43" i="2421"/>
  <c r="EO35" i="2421"/>
  <c r="EO27" i="2421"/>
  <c r="EU50" i="2421"/>
  <c r="EU42" i="2421"/>
  <c r="EU34" i="2421"/>
  <c r="EU26" i="2421"/>
  <c r="EU18" i="2421"/>
  <c r="EO17" i="2421"/>
  <c r="EO110" i="2421"/>
  <c r="EU81" i="2421"/>
  <c r="EU91" i="2421"/>
  <c r="EO50" i="2421"/>
  <c r="EU49" i="2421"/>
  <c r="EU17" i="2421"/>
  <c r="EO18" i="2421"/>
  <c r="EO109" i="2421"/>
  <c r="EU80" i="2421"/>
  <c r="EU87" i="2421"/>
  <c r="EO49" i="2421"/>
  <c r="EU48" i="2421"/>
  <c r="EU16" i="2421"/>
  <c r="EU113" i="2421"/>
  <c r="EO102" i="2421"/>
  <c r="EU73" i="2421"/>
  <c r="EO79" i="2421"/>
  <c r="EO42" i="2421"/>
  <c r="EU41" i="2421"/>
  <c r="EU112" i="2421"/>
  <c r="EO101" i="2421"/>
  <c r="EU72" i="2421"/>
  <c r="EO78" i="2421"/>
  <c r="EO41" i="2421"/>
  <c r="EU40" i="2421"/>
  <c r="EU105" i="2421"/>
  <c r="EO94" i="2421"/>
  <c r="EU65" i="2421"/>
  <c r="EO71" i="2421"/>
  <c r="EO34" i="2421"/>
  <c r="EU33" i="2421"/>
  <c r="EU104" i="2421"/>
  <c r="EO93" i="2421"/>
  <c r="EU64" i="2421"/>
  <c r="EO70" i="2421"/>
  <c r="EO33" i="2421"/>
  <c r="EU32" i="2421"/>
  <c r="EU97" i="2421"/>
  <c r="EO86" i="2421"/>
  <c r="EU57" i="2421"/>
  <c r="EO63" i="2421"/>
  <c r="EO26" i="2421"/>
  <c r="EU25" i="2421"/>
  <c r="EU96" i="2421"/>
  <c r="EU90" i="2421"/>
  <c r="EU56" i="2421"/>
  <c r="EO62" i="2421"/>
  <c r="EO61" i="2421"/>
  <c r="EU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K106" i="2420" l="1"/>
  <c r="EQ26" i="2421"/>
  <c r="ES26" i="2421"/>
  <c r="EQ105" i="2421"/>
  <c r="ES105" i="2421"/>
  <c r="EQ93" i="2421"/>
  <c r="ES93" i="2421"/>
  <c r="EQ79" i="2421"/>
  <c r="ES79" i="2421"/>
  <c r="EQ35" i="2421"/>
  <c r="ES35" i="2421"/>
  <c r="EQ106" i="2421"/>
  <c r="ES106" i="2421"/>
  <c r="EQ61" i="2421"/>
  <c r="ES61" i="2421"/>
  <c r="EQ41" i="2421"/>
  <c r="ES41" i="2421"/>
  <c r="EQ109" i="2421"/>
  <c r="ES109" i="2421"/>
  <c r="EQ17" i="2421"/>
  <c r="ES17" i="2421"/>
  <c r="EQ43" i="2421"/>
  <c r="ES43" i="2421"/>
  <c r="EQ24" i="2421"/>
  <c r="ES24" i="2421"/>
  <c r="EQ36" i="2421"/>
  <c r="ES36" i="2421"/>
  <c r="EQ29" i="2421"/>
  <c r="ES29" i="2421"/>
  <c r="EQ55" i="2421"/>
  <c r="ES55" i="2421"/>
  <c r="EQ84" i="2421"/>
  <c r="ES84" i="2421"/>
  <c r="EQ107" i="2421"/>
  <c r="ES107" i="2421"/>
  <c r="EQ77" i="2421"/>
  <c r="ES77" i="2421"/>
  <c r="EQ100" i="2421"/>
  <c r="ES100" i="2421"/>
  <c r="EQ27" i="2421"/>
  <c r="ES27" i="2421"/>
  <c r="EQ112" i="2421"/>
  <c r="ES112" i="2421"/>
  <c r="EQ75" i="2421"/>
  <c r="ES75" i="2421"/>
  <c r="EQ60" i="2421"/>
  <c r="ES60" i="2421"/>
  <c r="EQ63" i="2421"/>
  <c r="ES63" i="2421"/>
  <c r="EQ28" i="2421"/>
  <c r="ES28" i="2421"/>
  <c r="EQ99" i="2421"/>
  <c r="ES99" i="2421"/>
  <c r="EQ92" i="2421"/>
  <c r="ES92" i="2421"/>
  <c r="EQ62" i="2421"/>
  <c r="ES62" i="2421"/>
  <c r="EQ86" i="2421"/>
  <c r="ES86" i="2421"/>
  <c r="EQ78" i="2421"/>
  <c r="ES78" i="2421"/>
  <c r="EQ102" i="2421"/>
  <c r="ES102" i="2421"/>
  <c r="EQ18" i="2421"/>
  <c r="ES18" i="2421"/>
  <c r="EQ51" i="2421"/>
  <c r="ES51" i="2421"/>
  <c r="EQ16" i="2421"/>
  <c r="ES16" i="2421"/>
  <c r="EQ44" i="2421"/>
  <c r="ES44" i="2421"/>
  <c r="EQ23" i="2421"/>
  <c r="ES23" i="2421"/>
  <c r="EQ37" i="2421"/>
  <c r="ES37" i="2421"/>
  <c r="EQ30" i="2421"/>
  <c r="ES30" i="2421"/>
  <c r="EQ57" i="2421"/>
  <c r="ES57" i="2421"/>
  <c r="EQ85" i="2421"/>
  <c r="ES85" i="2421"/>
  <c r="EQ108" i="2421"/>
  <c r="ES108" i="2421"/>
  <c r="EQ110" i="2421"/>
  <c r="ES110" i="2421"/>
  <c r="EQ53" i="2421"/>
  <c r="ES53" i="2421"/>
  <c r="EQ113" i="2421"/>
  <c r="ES113" i="2421"/>
  <c r="EQ83" i="2421"/>
  <c r="ES83" i="2421"/>
  <c r="EQ76" i="2421"/>
  <c r="ES76" i="2421"/>
  <c r="EQ69" i="2421"/>
  <c r="ES69" i="2421"/>
  <c r="EQ34" i="2421"/>
  <c r="ES34" i="2421"/>
  <c r="EQ64" i="2421"/>
  <c r="ES64" i="2421"/>
  <c r="EQ87" i="2421"/>
  <c r="ES87" i="2421"/>
  <c r="EQ52" i="2421"/>
  <c r="ES52" i="2421"/>
  <c r="EQ15" i="2421"/>
  <c r="ES15" i="2421"/>
  <c r="EQ45" i="2421"/>
  <c r="ES45" i="2421"/>
  <c r="EQ22" i="2421"/>
  <c r="ES22" i="2421"/>
  <c r="EQ38" i="2421"/>
  <c r="ES38" i="2421"/>
  <c r="EQ31" i="2421"/>
  <c r="ES31" i="2421"/>
  <c r="EQ59" i="2421"/>
  <c r="ES59" i="2421"/>
  <c r="EQ42" i="2421"/>
  <c r="ES42" i="2421"/>
  <c r="EQ54" i="2421"/>
  <c r="ES54" i="2421"/>
  <c r="EQ14" i="2421"/>
  <c r="ES14" i="2421"/>
  <c r="EQ46" i="2421"/>
  <c r="ES46" i="2421"/>
  <c r="EQ21" i="2421"/>
  <c r="ES21" i="2421"/>
  <c r="EQ33" i="2421"/>
  <c r="ES33" i="2421"/>
  <c r="EQ50" i="2421"/>
  <c r="ES50" i="2421"/>
  <c r="EQ80" i="2421"/>
  <c r="ES80" i="2421"/>
  <c r="EQ103" i="2421"/>
  <c r="ES103" i="2421"/>
  <c r="EQ73" i="2421"/>
  <c r="ES73" i="2421"/>
  <c r="EQ96" i="2421"/>
  <c r="ES96" i="2421"/>
  <c r="EQ66" i="2421"/>
  <c r="ES66" i="2421"/>
  <c r="EQ89" i="2421"/>
  <c r="ES89" i="2421"/>
  <c r="EQ56" i="2421"/>
  <c r="ES56" i="2421"/>
  <c r="EQ47" i="2421"/>
  <c r="ES47" i="2421"/>
  <c r="EQ20" i="2421"/>
  <c r="ES20" i="2421"/>
  <c r="EQ40" i="2421"/>
  <c r="ES40" i="2421"/>
  <c r="EQ68" i="2421"/>
  <c r="ES68" i="2421"/>
  <c r="EQ71" i="2421"/>
  <c r="ES71" i="2421"/>
  <c r="EQ101" i="2421"/>
  <c r="ES101" i="2421"/>
  <c r="EQ72" i="2421"/>
  <c r="ES72" i="2421"/>
  <c r="EQ95" i="2421"/>
  <c r="ES95" i="2421"/>
  <c r="EQ65" i="2421"/>
  <c r="ES65" i="2421"/>
  <c r="EQ88" i="2421"/>
  <c r="ES88" i="2421"/>
  <c r="EQ39" i="2421"/>
  <c r="ES39" i="2421"/>
  <c r="EQ32" i="2421"/>
  <c r="ES32" i="2421"/>
  <c r="EQ70" i="2421"/>
  <c r="ES70" i="2421"/>
  <c r="EQ94" i="2421"/>
  <c r="ES94" i="2421"/>
  <c r="EQ49" i="2421"/>
  <c r="ES49" i="2421"/>
  <c r="EQ111" i="2421"/>
  <c r="ES111" i="2421"/>
  <c r="EQ81" i="2421"/>
  <c r="ES81" i="2421"/>
  <c r="EQ104" i="2421"/>
  <c r="ES104" i="2421"/>
  <c r="EQ74" i="2421"/>
  <c r="ES74" i="2421"/>
  <c r="EQ97" i="2421"/>
  <c r="ES97" i="2421"/>
  <c r="EQ67" i="2421"/>
  <c r="ES67" i="2421"/>
  <c r="EQ90" i="2421"/>
  <c r="ES90" i="2421"/>
  <c r="EQ58" i="2421"/>
  <c r="ES58" i="2421"/>
  <c r="EQ48" i="2421"/>
  <c r="ES48" i="2421"/>
  <c r="EQ19" i="2421"/>
  <c r="ES19" i="2421"/>
  <c r="EQ82" i="2421"/>
  <c r="ES82" i="2421"/>
  <c r="EQ98" i="2421"/>
  <c r="ES98" i="2421"/>
  <c r="EQ91" i="2421"/>
  <c r="ES91" i="2421"/>
  <c r="EQ25" i="2421"/>
  <c r="ES25" i="2421"/>
  <c r="F114" i="2383"/>
  <c r="I115" i="2413"/>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J5" i="2421" l="1"/>
  <c r="RY15" i="2421"/>
  <c r="RY16" i="2421"/>
  <c r="RY17" i="2421"/>
  <c r="RY18" i="2421"/>
  <c r="RY19" i="2421"/>
  <c r="RY20" i="2421"/>
  <c r="RY21" i="2421"/>
  <c r="RY22" i="2421"/>
  <c r="RY23" i="2421"/>
  <c r="RY24" i="2421"/>
  <c r="RY25" i="2421"/>
  <c r="RY26" i="2421"/>
  <c r="RY27" i="2421"/>
  <c r="RY28" i="2421"/>
  <c r="RY29" i="2421"/>
  <c r="RY30" i="2421"/>
  <c r="RY31" i="2421"/>
  <c r="RY32" i="2421"/>
  <c r="RY33" i="2421"/>
  <c r="RY34" i="2421"/>
  <c r="RY35" i="2421"/>
  <c r="RY36" i="2421"/>
  <c r="RY37" i="2421"/>
  <c r="RY38" i="2421"/>
  <c r="RY39" i="2421"/>
  <c r="RY40" i="2421"/>
  <c r="RY41" i="2421"/>
  <c r="RY42" i="2421"/>
  <c r="RY43" i="2421"/>
  <c r="RY44" i="2421"/>
  <c r="RY45" i="2421"/>
  <c r="RY46" i="2421"/>
  <c r="RY47" i="2421"/>
  <c r="RY48" i="2421"/>
  <c r="RY49" i="2421"/>
  <c r="RY50" i="2421"/>
  <c r="RY51" i="2421"/>
  <c r="RY52" i="2421"/>
  <c r="RY53" i="2421"/>
  <c r="RY54" i="2421"/>
  <c r="RY55" i="2421"/>
  <c r="RY56" i="2421"/>
  <c r="RY57" i="2421"/>
  <c r="RY58" i="2421"/>
  <c r="RY59" i="2421"/>
  <c r="RY60" i="2421"/>
  <c r="RY61" i="2421"/>
  <c r="RY62" i="2421"/>
  <c r="RY63" i="2421"/>
  <c r="RY64" i="2421"/>
  <c r="RY65" i="2421"/>
  <c r="RY66" i="2421"/>
  <c r="RY67" i="2421"/>
  <c r="RY68" i="2421"/>
  <c r="RY69" i="2421"/>
  <c r="RY70" i="2421"/>
  <c r="RY71" i="2421"/>
  <c r="RY72" i="2421"/>
  <c r="RY73" i="2421"/>
  <c r="RY74" i="2421"/>
  <c r="RY75" i="2421"/>
  <c r="RY76" i="2421"/>
  <c r="RY77" i="2421"/>
  <c r="RY78" i="2421"/>
  <c r="RY79" i="2421"/>
  <c r="RY80" i="2421"/>
  <c r="RY81" i="2421"/>
  <c r="RY82" i="2421"/>
  <c r="RY83" i="2421"/>
  <c r="RY84" i="2421"/>
  <c r="RY85" i="2421"/>
  <c r="RY86" i="2421"/>
  <c r="RY87" i="2421"/>
  <c r="RY88" i="2421"/>
  <c r="RY89" i="2421"/>
  <c r="RY90" i="2421"/>
  <c r="RY91" i="2421"/>
  <c r="RY92" i="2421"/>
  <c r="RY93" i="2421"/>
  <c r="RY94" i="2421"/>
  <c r="RY95" i="2421"/>
  <c r="RY96" i="2421"/>
  <c r="RY97" i="2421"/>
  <c r="RY98" i="2421"/>
  <c r="RY99" i="2421"/>
  <c r="RY100" i="2421"/>
  <c r="RY101" i="2421"/>
  <c r="RY102" i="2421"/>
  <c r="RY103" i="2421"/>
  <c r="RY104" i="2421"/>
  <c r="RY105" i="2421"/>
  <c r="RY106" i="2421"/>
  <c r="RY107" i="2421"/>
  <c r="RY108" i="2421"/>
  <c r="RY109" i="2421"/>
  <c r="RY110" i="2421"/>
  <c r="RY111" i="2421"/>
  <c r="RY112" i="2421"/>
  <c r="RY113" i="2421"/>
  <c r="RY14" i="2421"/>
  <c r="AJ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N379" i="2396" s="1"/>
  <c r="BQ52" i="2396"/>
  <c r="BQ53" i="2396"/>
  <c r="BQ54" i="2396"/>
  <c r="BQ55" i="2396"/>
  <c r="BQ56" i="2396"/>
  <c r="N384" i="2396" s="1"/>
  <c r="BQ57" i="2396"/>
  <c r="N385" i="2396" s="1"/>
  <c r="BQ58" i="2396"/>
  <c r="N386" i="2396" s="1"/>
  <c r="BQ59" i="2396"/>
  <c r="N387"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AL17" i="2396" s="1"/>
  <c r="BM36" i="2396"/>
  <c r="BQ36" i="2396" s="1"/>
  <c r="BM37" i="2396"/>
  <c r="BQ37" i="2396" s="1"/>
  <c r="BM38" i="2396"/>
  <c r="BQ38" i="2396" s="1"/>
  <c r="BM39" i="2396"/>
  <c r="AL21" i="2396" s="1"/>
  <c r="BM40" i="2396"/>
  <c r="BQ40" i="2396" s="1"/>
  <c r="BM41" i="2396"/>
  <c r="BQ41" i="2396" s="1"/>
  <c r="BM42" i="2396"/>
  <c r="BQ42" i="2396" s="1"/>
  <c r="BM33" i="2396"/>
  <c r="BQ33" i="2396" s="1"/>
  <c r="AE10" i="2345"/>
  <c r="H11" i="2345"/>
  <c r="BR15" i="2396"/>
  <c r="BS55" i="2396" l="1"/>
  <c r="N383" i="2396"/>
  <c r="BS54" i="2396"/>
  <c r="N382" i="2396"/>
  <c r="BS53" i="2396"/>
  <c r="BS52" i="2396"/>
  <c r="N380" i="2396"/>
  <c r="BS50" i="2396"/>
  <c r="BS59" i="2396"/>
  <c r="BS57" i="2396"/>
  <c r="J17" i="2345"/>
  <c r="K17" i="2345"/>
  <c r="E17" i="2345"/>
  <c r="V17" i="2345"/>
  <c r="G17" i="2345"/>
  <c r="M17" i="2345"/>
  <c r="H17" i="2345"/>
  <c r="Z17" i="2345"/>
  <c r="Y17" i="2345"/>
  <c r="I17" i="2345"/>
  <c r="AA17" i="2345"/>
  <c r="L17" i="2345"/>
  <c r="N17" i="2345"/>
  <c r="M13" i="2345"/>
  <c r="Z13" i="2345"/>
  <c r="E13" i="2345"/>
  <c r="I13" i="2345"/>
  <c r="J13" i="2345"/>
  <c r="L13" i="2345"/>
  <c r="H13" i="2345"/>
  <c r="N13" i="2345"/>
  <c r="G13" i="2345"/>
  <c r="Y13" i="2345"/>
  <c r="AA13" i="2345"/>
  <c r="K13" i="2345"/>
  <c r="V13" i="2345"/>
  <c r="E16" i="2345"/>
  <c r="V16" i="2345"/>
  <c r="I16" i="2345"/>
  <c r="AA16" i="2345"/>
  <c r="H16" i="2345"/>
  <c r="M16" i="2345"/>
  <c r="N16" i="2345"/>
  <c r="G16" i="2345"/>
  <c r="L16" i="2345"/>
  <c r="Z16" i="2345"/>
  <c r="J16" i="2345"/>
  <c r="K16" i="2345"/>
  <c r="Y16" i="2345"/>
  <c r="E12" i="2345"/>
  <c r="Z12" i="2345"/>
  <c r="J12" i="2345"/>
  <c r="V12" i="2345"/>
  <c r="H12" i="2345"/>
  <c r="M12" i="2345"/>
  <c r="N12" i="2345"/>
  <c r="L12" i="2345"/>
  <c r="K12" i="2345"/>
  <c r="AA12" i="2345"/>
  <c r="G12" i="2345"/>
  <c r="Y12" i="2345"/>
  <c r="I12" i="2345"/>
  <c r="Z9" i="2345"/>
  <c r="P9" i="2345" s="1"/>
  <c r="J9" i="2345"/>
  <c r="Y9" i="2345"/>
  <c r="N9" i="2345"/>
  <c r="V9" i="2345"/>
  <c r="I9" i="2345"/>
  <c r="AA9" i="2345"/>
  <c r="K9" i="2345"/>
  <c r="H9" i="2345"/>
  <c r="M9" i="2345"/>
  <c r="L9" i="2345"/>
  <c r="N15" i="2345"/>
  <c r="J15" i="2345"/>
  <c r="E15" i="2345"/>
  <c r="G15" i="2345"/>
  <c r="Y15" i="2345"/>
  <c r="K15" i="2345"/>
  <c r="I15" i="2345"/>
  <c r="M15" i="2345"/>
  <c r="AA15" i="2345"/>
  <c r="V15" i="2345"/>
  <c r="H15" i="2345"/>
  <c r="Z15" i="2345"/>
  <c r="L15" i="2345"/>
  <c r="E11" i="2345"/>
  <c r="L11" i="2345"/>
  <c r="Y11" i="2345"/>
  <c r="G11" i="2345"/>
  <c r="M11" i="2345"/>
  <c r="V11" i="2345"/>
  <c r="Z11" i="2345"/>
  <c r="J11" i="2345"/>
  <c r="AA11" i="2345"/>
  <c r="K11" i="2345"/>
  <c r="N11" i="2345"/>
  <c r="I11" i="2345"/>
  <c r="H18" i="2345"/>
  <c r="E18" i="2345"/>
  <c r="Z18" i="2345"/>
  <c r="L18" i="2345"/>
  <c r="V18" i="2345"/>
  <c r="G18" i="2345"/>
  <c r="Y18" i="2345"/>
  <c r="J18" i="2345"/>
  <c r="AA18" i="2345"/>
  <c r="K18" i="2345"/>
  <c r="I18" i="2345"/>
  <c r="N18" i="2345"/>
  <c r="M18" i="2345"/>
  <c r="J14" i="2345"/>
  <c r="E14" i="2345"/>
  <c r="N14" i="2345"/>
  <c r="G14" i="2345"/>
  <c r="L14" i="2345"/>
  <c r="K14" i="2345"/>
  <c r="Y14" i="2345"/>
  <c r="I14" i="2345"/>
  <c r="Z14" i="2345"/>
  <c r="V14" i="2345"/>
  <c r="M14" i="2345"/>
  <c r="AA14" i="2345"/>
  <c r="H14" i="2345"/>
  <c r="BR71" i="2396"/>
  <c r="BS58" i="2396"/>
  <c r="BS56" i="2396"/>
  <c r="AL23" i="2396"/>
  <c r="BB37" i="2396"/>
  <c r="AL22" i="2396"/>
  <c r="BQ35" i="2396"/>
  <c r="BB36" i="2396"/>
  <c r="AL20" i="2396"/>
  <c r="BB34" i="2396"/>
  <c r="BS51" i="2396"/>
  <c r="AL19" i="2396"/>
  <c r="AL18" i="2396"/>
  <c r="BQ39" i="2396"/>
  <c r="AL16" i="2396"/>
  <c r="AL24" i="2396"/>
  <c r="AE18" i="2345" l="1"/>
  <c r="AE9" i="2345"/>
  <c r="AE12" i="2345"/>
  <c r="AE13" i="2345"/>
  <c r="AE16" i="2345"/>
  <c r="AE14" i="2345"/>
  <c r="AE11" i="2345"/>
  <c r="AE15" i="2345"/>
  <c r="AE17" i="2345"/>
  <c r="BE105" i="2420"/>
  <c r="OU4" i="2421"/>
  <c r="OU5" i="2421"/>
  <c r="OU6" i="2421"/>
  <c r="OU7" i="2421"/>
  <c r="OU14" i="2421"/>
  <c r="OU15" i="2421"/>
  <c r="OU16" i="2421"/>
  <c r="OU17" i="2421"/>
  <c r="OU18" i="2421"/>
  <c r="OU19" i="2421"/>
  <c r="OU20" i="2421"/>
  <c r="OU21" i="2421"/>
  <c r="OU22" i="2421"/>
  <c r="OU23" i="2421"/>
  <c r="OU24" i="2421"/>
  <c r="OU25" i="2421"/>
  <c r="OU26" i="2421"/>
  <c r="OU27" i="2421"/>
  <c r="OU28" i="2421"/>
  <c r="OU29" i="2421"/>
  <c r="OU30" i="2421"/>
  <c r="OU31" i="2421"/>
  <c r="OU32" i="2421"/>
  <c r="OU33" i="2421"/>
  <c r="OU34" i="2421"/>
  <c r="OU35" i="2421"/>
  <c r="OU36" i="2421"/>
  <c r="OU37" i="2421"/>
  <c r="OU38" i="2421"/>
  <c r="OU39" i="2421"/>
  <c r="OU40" i="2421"/>
  <c r="OU41" i="2421"/>
  <c r="OU42" i="2421"/>
  <c r="OU43" i="2421"/>
  <c r="OU44" i="2421"/>
  <c r="OU45" i="2421"/>
  <c r="OU46" i="2421"/>
  <c r="OU47" i="2421"/>
  <c r="OU48" i="2421"/>
  <c r="OU49" i="2421"/>
  <c r="OU50" i="2421"/>
  <c r="OU51" i="2421"/>
  <c r="OU52" i="2421"/>
  <c r="OU53" i="2421"/>
  <c r="OU54" i="2421"/>
  <c r="OU55" i="2421"/>
  <c r="OU56" i="2421"/>
  <c r="OU57" i="2421"/>
  <c r="OU58" i="2421"/>
  <c r="OU59" i="2421"/>
  <c r="OU60" i="2421"/>
  <c r="OU61" i="2421"/>
  <c r="OU62" i="2421"/>
  <c r="OU63" i="2421"/>
  <c r="OU64" i="2421"/>
  <c r="OU65" i="2421"/>
  <c r="OU66" i="2421"/>
  <c r="OU67" i="2421"/>
  <c r="OU68" i="2421"/>
  <c r="OU69" i="2421"/>
  <c r="OU70" i="2421"/>
  <c r="OU71" i="2421"/>
  <c r="OU72" i="2421"/>
  <c r="OU73" i="2421"/>
  <c r="OU74" i="2421"/>
  <c r="OU75" i="2421"/>
  <c r="OU76" i="2421"/>
  <c r="OU77" i="2421"/>
  <c r="OU78" i="2421"/>
  <c r="OU79" i="2421"/>
  <c r="OU80" i="2421"/>
  <c r="OU81" i="2421"/>
  <c r="OU82" i="2421"/>
  <c r="OU83" i="2421"/>
  <c r="OU84" i="2421"/>
  <c r="OU85" i="2421"/>
  <c r="OU86" i="2421"/>
  <c r="OU87" i="2421"/>
  <c r="OU88" i="2421"/>
  <c r="OU89" i="2421"/>
  <c r="OU90" i="2421"/>
  <c r="OU91" i="2421"/>
  <c r="OU92" i="2421"/>
  <c r="OU93" i="2421"/>
  <c r="OU94" i="2421"/>
  <c r="OU95" i="2421"/>
  <c r="OU96" i="2421"/>
  <c r="OU97" i="2421"/>
  <c r="OU98" i="2421"/>
  <c r="OU99" i="2421"/>
  <c r="OU100" i="2421"/>
  <c r="OU101" i="2421"/>
  <c r="OU102" i="2421"/>
  <c r="OU103" i="2421"/>
  <c r="OU104" i="2421"/>
  <c r="OU105" i="2421"/>
  <c r="OU106" i="2421"/>
  <c r="OU107" i="2421"/>
  <c r="OU108" i="2421"/>
  <c r="OU109" i="2421"/>
  <c r="OU110" i="2421"/>
  <c r="OU111" i="2421"/>
  <c r="OU112" i="2421"/>
  <c r="OU113" i="2421"/>
  <c r="OW7" i="2421" l="1"/>
  <c r="OW5" i="2421"/>
  <c r="OW10" i="2421"/>
  <c r="OW8" i="2421"/>
  <c r="OW6" i="2421"/>
  <c r="OW4" i="2421"/>
  <c r="OW9" i="2421"/>
  <c r="PI12" i="2421"/>
  <c r="PA12" i="2421"/>
  <c r="PH12" i="2421"/>
  <c r="OY12" i="2421"/>
  <c r="PG12" i="2421"/>
  <c r="PF12" i="2421"/>
  <c r="PE12" i="2421"/>
  <c r="PD12" i="2421"/>
  <c r="PC12" i="2421"/>
  <c r="PB12" i="2421"/>
  <c r="OZ11" i="2421"/>
  <c r="OV124" i="2421"/>
  <c r="OV120" i="2421"/>
  <c r="OW120" i="2421" s="1"/>
  <c r="OV118" i="2421"/>
  <c r="OW118" i="2421" s="1"/>
  <c r="OV117" i="2421"/>
  <c r="OW117" i="2421" s="1"/>
  <c r="OV115" i="2421"/>
  <c r="OV125" i="2421"/>
  <c r="OW125" i="2421" s="1"/>
  <c r="OV119" i="2421"/>
  <c r="OW119" i="2421" s="1"/>
  <c r="OV122" i="2421"/>
  <c r="OV123" i="2421" s="1"/>
  <c r="OW123" i="2421" s="1"/>
  <c r="OW124" i="2421"/>
  <c r="C10" i="2402"/>
  <c r="B130" i="2403"/>
  <c r="B29" i="2403"/>
  <c r="AH5" i="2420"/>
  <c r="B17" i="2390"/>
  <c r="B15" i="2406" s="1"/>
  <c r="C17" i="2390"/>
  <c r="C15" i="2406" s="1"/>
  <c r="B18" i="2390"/>
  <c r="B16" i="2406" s="1"/>
  <c r="C18" i="2390"/>
  <c r="C16" i="2406" s="1"/>
  <c r="A16" i="2422"/>
  <c r="E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E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E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E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E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E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E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E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E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E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E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E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E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E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E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E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E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E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E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E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E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E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E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E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E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E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E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E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E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E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E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E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E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E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E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E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E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E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E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E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E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E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E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E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E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E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E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E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E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E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E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E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E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E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E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E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E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E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E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E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E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E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E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E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E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E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E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E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E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E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E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E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E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E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E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E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E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E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E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E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E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E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E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E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E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E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E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E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E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E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E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E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E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E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E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E19" i="2421"/>
  <c r="AG19" i="2421"/>
  <c r="AH19" i="2421"/>
  <c r="AJ19" i="2421"/>
  <c r="AY19" i="2421"/>
  <c r="BN19" i="2421"/>
  <c r="CC19" i="2421"/>
  <c r="CR19" i="2421"/>
  <c r="DG19" i="2421"/>
  <c r="DV19" i="2421"/>
  <c r="EZ19" i="2421"/>
  <c r="FO19" i="2421"/>
  <c r="GD19" i="2421"/>
  <c r="GS19" i="2421"/>
  <c r="HH19" i="2421"/>
  <c r="HW19" i="2421"/>
  <c r="IL19" i="2421"/>
  <c r="JA19" i="2421"/>
  <c r="JP19" i="2421"/>
  <c r="KE19" i="2421"/>
  <c r="KT19" i="2421"/>
  <c r="LI19" i="2421"/>
  <c r="LX19" i="2421"/>
  <c r="MM19" i="2421"/>
  <c r="NB19" i="2421"/>
  <c r="NQ19" i="2421"/>
  <c r="OF19" i="2421"/>
  <c r="PJ19" i="2421"/>
  <c r="PY19" i="2421"/>
  <c r="QN19" i="2421"/>
  <c r="RC19" i="2421"/>
  <c r="A20" i="2421"/>
  <c r="E20" i="2421"/>
  <c r="AG20" i="2421"/>
  <c r="AH20" i="2421"/>
  <c r="AJ20" i="2421"/>
  <c r="AY20" i="2421"/>
  <c r="BN20" i="2421"/>
  <c r="CC20" i="2421"/>
  <c r="CR20" i="2421"/>
  <c r="DG20" i="2421"/>
  <c r="DV20" i="2421"/>
  <c r="EZ20" i="2421"/>
  <c r="FO20" i="2421"/>
  <c r="GD20" i="2421"/>
  <c r="GS20" i="2421"/>
  <c r="HH20" i="2421"/>
  <c r="HW20" i="2421"/>
  <c r="IL20" i="2421"/>
  <c r="JA20" i="2421"/>
  <c r="JP20" i="2421"/>
  <c r="KE20" i="2421"/>
  <c r="KT20" i="2421"/>
  <c r="LI20" i="2421"/>
  <c r="LX20" i="2421"/>
  <c r="MM20" i="2421"/>
  <c r="NB20" i="2421"/>
  <c r="NQ20" i="2421"/>
  <c r="OF20" i="2421"/>
  <c r="PJ20" i="2421"/>
  <c r="PY20" i="2421"/>
  <c r="QN20" i="2421"/>
  <c r="RC20" i="2421"/>
  <c r="A21" i="2421"/>
  <c r="E21" i="2421"/>
  <c r="AG21" i="2421"/>
  <c r="AH21" i="2421"/>
  <c r="AJ21" i="2421"/>
  <c r="AY21" i="2421"/>
  <c r="BN21" i="2421"/>
  <c r="CC21" i="2421"/>
  <c r="CR21" i="2421"/>
  <c r="DG21" i="2421"/>
  <c r="DV21" i="2421"/>
  <c r="EZ21" i="2421"/>
  <c r="FO21" i="2421"/>
  <c r="GD21" i="2421"/>
  <c r="GS21" i="2421"/>
  <c r="HH21" i="2421"/>
  <c r="HW21" i="2421"/>
  <c r="IL21" i="2421"/>
  <c r="JA21" i="2421"/>
  <c r="JP21" i="2421"/>
  <c r="KE21" i="2421"/>
  <c r="KT21" i="2421"/>
  <c r="LI21" i="2421"/>
  <c r="LX21" i="2421"/>
  <c r="MM21" i="2421"/>
  <c r="NB21" i="2421"/>
  <c r="NQ21" i="2421"/>
  <c r="OF21" i="2421"/>
  <c r="PJ21" i="2421"/>
  <c r="PY21" i="2421"/>
  <c r="QN21" i="2421"/>
  <c r="RC21" i="2421"/>
  <c r="A22" i="2421"/>
  <c r="E22" i="2421"/>
  <c r="AG22" i="2421"/>
  <c r="Y22" i="2421" s="1"/>
  <c r="AH22" i="2421"/>
  <c r="AJ22" i="2421"/>
  <c r="AY22" i="2421"/>
  <c r="BN22" i="2421"/>
  <c r="CC22" i="2421"/>
  <c r="CR22" i="2421"/>
  <c r="DG22" i="2421"/>
  <c r="DV22" i="2421"/>
  <c r="EZ22" i="2421"/>
  <c r="FO22" i="2421"/>
  <c r="GD22" i="2421"/>
  <c r="GS22" i="2421"/>
  <c r="HH22" i="2421"/>
  <c r="HW22" i="2421"/>
  <c r="IL22" i="2421"/>
  <c r="JA22" i="2421"/>
  <c r="JP22" i="2421"/>
  <c r="KE22" i="2421"/>
  <c r="KT22" i="2421"/>
  <c r="LI22" i="2421"/>
  <c r="LX22" i="2421"/>
  <c r="MM22" i="2421"/>
  <c r="NB22" i="2421"/>
  <c r="NQ22" i="2421"/>
  <c r="OF22" i="2421"/>
  <c r="PJ22" i="2421"/>
  <c r="PY22" i="2421"/>
  <c r="QN22" i="2421"/>
  <c r="RC22" i="2421"/>
  <c r="A23" i="2421"/>
  <c r="E23" i="2421"/>
  <c r="AG23" i="2421"/>
  <c r="AH23" i="2421"/>
  <c r="AJ23" i="2421"/>
  <c r="AY23" i="2421"/>
  <c r="BN23" i="2421"/>
  <c r="CC23" i="2421"/>
  <c r="CR23" i="2421"/>
  <c r="DG23" i="2421"/>
  <c r="DV23" i="2421"/>
  <c r="EZ23" i="2421"/>
  <c r="FO23" i="2421"/>
  <c r="GD23" i="2421"/>
  <c r="GS23" i="2421"/>
  <c r="HH23" i="2421"/>
  <c r="HW23" i="2421"/>
  <c r="IL23" i="2421"/>
  <c r="JA23" i="2421"/>
  <c r="JP23" i="2421"/>
  <c r="KE23" i="2421"/>
  <c r="KT23" i="2421"/>
  <c r="LI23" i="2421"/>
  <c r="LX23" i="2421"/>
  <c r="MM23" i="2421"/>
  <c r="NB23" i="2421"/>
  <c r="NQ23" i="2421"/>
  <c r="OF23" i="2421"/>
  <c r="PJ23" i="2421"/>
  <c r="PY23" i="2421"/>
  <c r="QN23" i="2421"/>
  <c r="RC23" i="2421"/>
  <c r="A24" i="2421"/>
  <c r="E24" i="2421"/>
  <c r="AG24" i="2421"/>
  <c r="AH24" i="2421"/>
  <c r="AJ24" i="2421"/>
  <c r="AY24" i="2421"/>
  <c r="BN24" i="2421"/>
  <c r="CC24" i="2421"/>
  <c r="CR24" i="2421"/>
  <c r="DG24" i="2421"/>
  <c r="DV24" i="2421"/>
  <c r="EZ24" i="2421"/>
  <c r="FO24" i="2421"/>
  <c r="GD24" i="2421"/>
  <c r="GS24" i="2421"/>
  <c r="HH24" i="2421"/>
  <c r="HW24" i="2421"/>
  <c r="IL24" i="2421"/>
  <c r="JA24" i="2421"/>
  <c r="JP24" i="2421"/>
  <c r="KE24" i="2421"/>
  <c r="KT24" i="2421"/>
  <c r="LI24" i="2421"/>
  <c r="LX24" i="2421"/>
  <c r="MM24" i="2421"/>
  <c r="NB24" i="2421"/>
  <c r="NQ24" i="2421"/>
  <c r="OF24" i="2421"/>
  <c r="PJ24" i="2421"/>
  <c r="PY24" i="2421"/>
  <c r="QN24" i="2421"/>
  <c r="RC24" i="2421"/>
  <c r="A25" i="2421"/>
  <c r="E25" i="2421"/>
  <c r="AG25" i="2421"/>
  <c r="Y25" i="2421" s="1"/>
  <c r="AH25" i="2421"/>
  <c r="AJ25" i="2421"/>
  <c r="AY25" i="2421"/>
  <c r="BN25" i="2421"/>
  <c r="CC25" i="2421"/>
  <c r="CR25" i="2421"/>
  <c r="DG25" i="2421"/>
  <c r="DV25" i="2421"/>
  <c r="EZ25" i="2421"/>
  <c r="FO25" i="2421"/>
  <c r="GD25" i="2421"/>
  <c r="GS25" i="2421"/>
  <c r="HH25" i="2421"/>
  <c r="HW25" i="2421"/>
  <c r="IL25" i="2421"/>
  <c r="JA25" i="2421"/>
  <c r="JP25" i="2421"/>
  <c r="KE25" i="2421"/>
  <c r="KT25" i="2421"/>
  <c r="LI25" i="2421"/>
  <c r="LX25" i="2421"/>
  <c r="MM25" i="2421"/>
  <c r="NB25" i="2421"/>
  <c r="NQ25" i="2421"/>
  <c r="OF25" i="2421"/>
  <c r="PJ25" i="2421"/>
  <c r="PY25" i="2421"/>
  <c r="QN25" i="2421"/>
  <c r="RC25" i="2421"/>
  <c r="A26" i="2421"/>
  <c r="E26" i="2421"/>
  <c r="AG26" i="2421"/>
  <c r="Y26" i="2421" s="1"/>
  <c r="AH26" i="2421"/>
  <c r="AJ26" i="2421"/>
  <c r="AY26" i="2421"/>
  <c r="BN26" i="2421"/>
  <c r="CC26" i="2421"/>
  <c r="CR26" i="2421"/>
  <c r="DG26" i="2421"/>
  <c r="DV26" i="2421"/>
  <c r="EZ26" i="2421"/>
  <c r="FO26" i="2421"/>
  <c r="GD26" i="2421"/>
  <c r="GS26" i="2421"/>
  <c r="HH26" i="2421"/>
  <c r="HW26" i="2421"/>
  <c r="IL26" i="2421"/>
  <c r="JA26" i="2421"/>
  <c r="JP26" i="2421"/>
  <c r="KE26" i="2421"/>
  <c r="KT26" i="2421"/>
  <c r="LI26" i="2421"/>
  <c r="LX26" i="2421"/>
  <c r="MM26" i="2421"/>
  <c r="NB26" i="2421"/>
  <c r="NQ26" i="2421"/>
  <c r="OF26" i="2421"/>
  <c r="PJ26" i="2421"/>
  <c r="PY26" i="2421"/>
  <c r="QN26" i="2421"/>
  <c r="RC26" i="2421"/>
  <c r="A27" i="2421"/>
  <c r="E27" i="2421"/>
  <c r="AG27" i="2421"/>
  <c r="AH27" i="2421"/>
  <c r="AJ27" i="2421"/>
  <c r="AY27" i="2421"/>
  <c r="BN27" i="2421"/>
  <c r="CC27" i="2421"/>
  <c r="CR27" i="2421"/>
  <c r="DG27" i="2421"/>
  <c r="DV27" i="2421"/>
  <c r="EZ27" i="2421"/>
  <c r="FO27" i="2421"/>
  <c r="GD27" i="2421"/>
  <c r="GS27" i="2421"/>
  <c r="HH27" i="2421"/>
  <c r="HW27" i="2421"/>
  <c r="IL27" i="2421"/>
  <c r="JA27" i="2421"/>
  <c r="JP27" i="2421"/>
  <c r="KE27" i="2421"/>
  <c r="KT27" i="2421"/>
  <c r="LI27" i="2421"/>
  <c r="LX27" i="2421"/>
  <c r="MM27" i="2421"/>
  <c r="NB27" i="2421"/>
  <c r="NQ27" i="2421"/>
  <c r="OF27" i="2421"/>
  <c r="PJ27" i="2421"/>
  <c r="PY27" i="2421"/>
  <c r="QN27" i="2421"/>
  <c r="RC27" i="2421"/>
  <c r="A28" i="2421"/>
  <c r="E28" i="2421"/>
  <c r="AG28" i="2421"/>
  <c r="Y28" i="2421" s="1"/>
  <c r="AH28" i="2421"/>
  <c r="AJ28" i="2421"/>
  <c r="AY28" i="2421"/>
  <c r="BN28" i="2421"/>
  <c r="CC28" i="2421"/>
  <c r="CR28" i="2421"/>
  <c r="DG28" i="2421"/>
  <c r="DV28" i="2421"/>
  <c r="EZ28" i="2421"/>
  <c r="FO28" i="2421"/>
  <c r="GD28" i="2421"/>
  <c r="GS28" i="2421"/>
  <c r="HH28" i="2421"/>
  <c r="HW28" i="2421"/>
  <c r="IL28" i="2421"/>
  <c r="JA28" i="2421"/>
  <c r="JP28" i="2421"/>
  <c r="KE28" i="2421"/>
  <c r="KT28" i="2421"/>
  <c r="LI28" i="2421"/>
  <c r="LX28" i="2421"/>
  <c r="MM28" i="2421"/>
  <c r="NB28" i="2421"/>
  <c r="NQ28" i="2421"/>
  <c r="OF28" i="2421"/>
  <c r="PJ28" i="2421"/>
  <c r="PY28" i="2421"/>
  <c r="QN28" i="2421"/>
  <c r="RC28" i="2421"/>
  <c r="A29" i="2421"/>
  <c r="E29" i="2421"/>
  <c r="AG29" i="2421"/>
  <c r="AH29" i="2421"/>
  <c r="AJ29" i="2421"/>
  <c r="AY29" i="2421"/>
  <c r="BN29" i="2421"/>
  <c r="CC29" i="2421"/>
  <c r="CR29" i="2421"/>
  <c r="DG29" i="2421"/>
  <c r="DV29" i="2421"/>
  <c r="EZ29" i="2421"/>
  <c r="FO29" i="2421"/>
  <c r="GD29" i="2421"/>
  <c r="GS29" i="2421"/>
  <c r="HH29" i="2421"/>
  <c r="HW29" i="2421"/>
  <c r="IL29" i="2421"/>
  <c r="JA29" i="2421"/>
  <c r="JP29" i="2421"/>
  <c r="KE29" i="2421"/>
  <c r="KT29" i="2421"/>
  <c r="LI29" i="2421"/>
  <c r="LX29" i="2421"/>
  <c r="MM29" i="2421"/>
  <c r="NB29" i="2421"/>
  <c r="NQ29" i="2421"/>
  <c r="OF29" i="2421"/>
  <c r="PJ29" i="2421"/>
  <c r="PY29" i="2421"/>
  <c r="QN29" i="2421"/>
  <c r="RC29" i="2421"/>
  <c r="A30" i="2421"/>
  <c r="E30" i="2421"/>
  <c r="AG30" i="2421"/>
  <c r="AH30" i="2421"/>
  <c r="AJ30" i="2421"/>
  <c r="AY30" i="2421"/>
  <c r="BN30" i="2421"/>
  <c r="CC30" i="2421"/>
  <c r="CR30" i="2421"/>
  <c r="DG30" i="2421"/>
  <c r="DV30" i="2421"/>
  <c r="EZ30" i="2421"/>
  <c r="FO30" i="2421"/>
  <c r="GD30" i="2421"/>
  <c r="GS30" i="2421"/>
  <c r="HH30" i="2421"/>
  <c r="HW30" i="2421"/>
  <c r="IL30" i="2421"/>
  <c r="JA30" i="2421"/>
  <c r="JP30" i="2421"/>
  <c r="KE30" i="2421"/>
  <c r="KT30" i="2421"/>
  <c r="LI30" i="2421"/>
  <c r="LX30" i="2421"/>
  <c r="MM30" i="2421"/>
  <c r="NB30" i="2421"/>
  <c r="NQ30" i="2421"/>
  <c r="OF30" i="2421"/>
  <c r="PJ30" i="2421"/>
  <c r="PY30" i="2421"/>
  <c r="QN30" i="2421"/>
  <c r="RC30" i="2421"/>
  <c r="A31" i="2421"/>
  <c r="E31" i="2421"/>
  <c r="AG31" i="2421"/>
  <c r="AH31" i="2421"/>
  <c r="AJ31" i="2421"/>
  <c r="AY31" i="2421"/>
  <c r="BN31" i="2421"/>
  <c r="CC31" i="2421"/>
  <c r="CR31" i="2421"/>
  <c r="DG31" i="2421"/>
  <c r="DV31" i="2421"/>
  <c r="EZ31" i="2421"/>
  <c r="FO31" i="2421"/>
  <c r="GD31" i="2421"/>
  <c r="GS31" i="2421"/>
  <c r="HH31" i="2421"/>
  <c r="HW31" i="2421"/>
  <c r="IL31" i="2421"/>
  <c r="JA31" i="2421"/>
  <c r="JP31" i="2421"/>
  <c r="KE31" i="2421"/>
  <c r="KT31" i="2421"/>
  <c r="LI31" i="2421"/>
  <c r="LX31" i="2421"/>
  <c r="MM31" i="2421"/>
  <c r="NB31" i="2421"/>
  <c r="NQ31" i="2421"/>
  <c r="OF31" i="2421"/>
  <c r="PJ31" i="2421"/>
  <c r="PY31" i="2421"/>
  <c r="QN31" i="2421"/>
  <c r="RC31" i="2421"/>
  <c r="A32" i="2421"/>
  <c r="E32" i="2421"/>
  <c r="AG32" i="2421"/>
  <c r="Y32" i="2421" s="1"/>
  <c r="AH32" i="2421"/>
  <c r="AJ32" i="2421"/>
  <c r="AY32" i="2421"/>
  <c r="BN32" i="2421"/>
  <c r="CC32" i="2421"/>
  <c r="CR32" i="2421"/>
  <c r="DG32" i="2421"/>
  <c r="DV32" i="2421"/>
  <c r="EZ32" i="2421"/>
  <c r="FO32" i="2421"/>
  <c r="GD32" i="2421"/>
  <c r="GS32" i="2421"/>
  <c r="HH32" i="2421"/>
  <c r="HW32" i="2421"/>
  <c r="IL32" i="2421"/>
  <c r="JA32" i="2421"/>
  <c r="JP32" i="2421"/>
  <c r="KE32" i="2421"/>
  <c r="KT32" i="2421"/>
  <c r="LI32" i="2421"/>
  <c r="LX32" i="2421"/>
  <c r="MM32" i="2421"/>
  <c r="NB32" i="2421"/>
  <c r="NQ32" i="2421"/>
  <c r="OF32" i="2421"/>
  <c r="PJ32" i="2421"/>
  <c r="PY32" i="2421"/>
  <c r="QN32" i="2421"/>
  <c r="RC32" i="2421"/>
  <c r="A33" i="2421"/>
  <c r="E33" i="2421"/>
  <c r="AG33" i="2421"/>
  <c r="Y33" i="2421" s="1"/>
  <c r="AH33" i="2421"/>
  <c r="AJ33" i="2421"/>
  <c r="AY33" i="2421"/>
  <c r="BN33" i="2421"/>
  <c r="CC33" i="2421"/>
  <c r="CR33" i="2421"/>
  <c r="DG33" i="2421"/>
  <c r="DV33" i="2421"/>
  <c r="EZ33" i="2421"/>
  <c r="FO33" i="2421"/>
  <c r="GD33" i="2421"/>
  <c r="GS33" i="2421"/>
  <c r="HH33" i="2421"/>
  <c r="HW33" i="2421"/>
  <c r="IL33" i="2421"/>
  <c r="JA33" i="2421"/>
  <c r="JP33" i="2421"/>
  <c r="KE33" i="2421"/>
  <c r="KT33" i="2421"/>
  <c r="LI33" i="2421"/>
  <c r="LX33" i="2421"/>
  <c r="MM33" i="2421"/>
  <c r="NB33" i="2421"/>
  <c r="NQ33" i="2421"/>
  <c r="OF33" i="2421"/>
  <c r="PJ33" i="2421"/>
  <c r="PY33" i="2421"/>
  <c r="QN33" i="2421"/>
  <c r="RC33" i="2421"/>
  <c r="A34" i="2421"/>
  <c r="E34" i="2421"/>
  <c r="AG34" i="2421"/>
  <c r="Y34" i="2421" s="1"/>
  <c r="AH34" i="2421"/>
  <c r="AJ34" i="2421"/>
  <c r="AY34" i="2421"/>
  <c r="BN34" i="2421"/>
  <c r="CC34" i="2421"/>
  <c r="CR34" i="2421"/>
  <c r="DG34" i="2421"/>
  <c r="DV34" i="2421"/>
  <c r="EZ34" i="2421"/>
  <c r="FO34" i="2421"/>
  <c r="GD34" i="2421"/>
  <c r="GS34" i="2421"/>
  <c r="HH34" i="2421"/>
  <c r="HW34" i="2421"/>
  <c r="IL34" i="2421"/>
  <c r="JA34" i="2421"/>
  <c r="JP34" i="2421"/>
  <c r="KE34" i="2421"/>
  <c r="KT34" i="2421"/>
  <c r="LI34" i="2421"/>
  <c r="LX34" i="2421"/>
  <c r="MM34" i="2421"/>
  <c r="NB34" i="2421"/>
  <c r="NQ34" i="2421"/>
  <c r="OF34" i="2421"/>
  <c r="PJ34" i="2421"/>
  <c r="PY34" i="2421"/>
  <c r="QN34" i="2421"/>
  <c r="RC34" i="2421"/>
  <c r="A35" i="2421"/>
  <c r="E35" i="2421"/>
  <c r="AG35" i="2421"/>
  <c r="Y35" i="2421" s="1"/>
  <c r="AH35" i="2421"/>
  <c r="AJ35" i="2421"/>
  <c r="AY35" i="2421"/>
  <c r="BN35" i="2421"/>
  <c r="CC35" i="2421"/>
  <c r="CR35" i="2421"/>
  <c r="DG35" i="2421"/>
  <c r="DV35" i="2421"/>
  <c r="EZ35" i="2421"/>
  <c r="FO35" i="2421"/>
  <c r="GD35" i="2421"/>
  <c r="GS35" i="2421"/>
  <c r="HH35" i="2421"/>
  <c r="HW35" i="2421"/>
  <c r="IL35" i="2421"/>
  <c r="JA35" i="2421"/>
  <c r="JP35" i="2421"/>
  <c r="KE35" i="2421"/>
  <c r="KT35" i="2421"/>
  <c r="LI35" i="2421"/>
  <c r="LX35" i="2421"/>
  <c r="MM35" i="2421"/>
  <c r="NB35" i="2421"/>
  <c r="NQ35" i="2421"/>
  <c r="OF35" i="2421"/>
  <c r="PJ35" i="2421"/>
  <c r="PY35" i="2421"/>
  <c r="QN35" i="2421"/>
  <c r="RC35" i="2421"/>
  <c r="A36" i="2421"/>
  <c r="E36" i="2421"/>
  <c r="AG36" i="2421"/>
  <c r="Y36" i="2421" s="1"/>
  <c r="AH36" i="2421"/>
  <c r="AJ36" i="2421"/>
  <c r="AY36" i="2421"/>
  <c r="BN36" i="2421"/>
  <c r="CC36" i="2421"/>
  <c r="CR36" i="2421"/>
  <c r="DG36" i="2421"/>
  <c r="DV36" i="2421"/>
  <c r="EZ36" i="2421"/>
  <c r="FO36" i="2421"/>
  <c r="GD36" i="2421"/>
  <c r="GS36" i="2421"/>
  <c r="HH36" i="2421"/>
  <c r="HW36" i="2421"/>
  <c r="IL36" i="2421"/>
  <c r="JA36" i="2421"/>
  <c r="JP36" i="2421"/>
  <c r="KE36" i="2421"/>
  <c r="KT36" i="2421"/>
  <c r="LI36" i="2421"/>
  <c r="LX36" i="2421"/>
  <c r="MM36" i="2421"/>
  <c r="NB36" i="2421"/>
  <c r="NQ36" i="2421"/>
  <c r="OF36" i="2421"/>
  <c r="PJ36" i="2421"/>
  <c r="PY36" i="2421"/>
  <c r="QN36" i="2421"/>
  <c r="RC36" i="2421"/>
  <c r="A37" i="2421"/>
  <c r="E37" i="2421"/>
  <c r="AG37" i="2421"/>
  <c r="AH37" i="2421"/>
  <c r="AJ37" i="2421"/>
  <c r="AY37" i="2421"/>
  <c r="BN37" i="2421"/>
  <c r="CC37" i="2421"/>
  <c r="CR37" i="2421"/>
  <c r="DG37" i="2421"/>
  <c r="DV37" i="2421"/>
  <c r="EZ37" i="2421"/>
  <c r="FO37" i="2421"/>
  <c r="GD37" i="2421"/>
  <c r="GS37" i="2421"/>
  <c r="HH37" i="2421"/>
  <c r="HW37" i="2421"/>
  <c r="IL37" i="2421"/>
  <c r="JA37" i="2421"/>
  <c r="JP37" i="2421"/>
  <c r="KE37" i="2421"/>
  <c r="KT37" i="2421"/>
  <c r="LI37" i="2421"/>
  <c r="LX37" i="2421"/>
  <c r="MM37" i="2421"/>
  <c r="NB37" i="2421"/>
  <c r="NQ37" i="2421"/>
  <c r="OF37" i="2421"/>
  <c r="PJ37" i="2421"/>
  <c r="PY37" i="2421"/>
  <c r="QN37" i="2421"/>
  <c r="RC37" i="2421"/>
  <c r="A38" i="2421"/>
  <c r="E38" i="2421"/>
  <c r="AG38" i="2421"/>
  <c r="Y38" i="2421" s="1"/>
  <c r="AH38" i="2421"/>
  <c r="AJ38" i="2421"/>
  <c r="AY38" i="2421"/>
  <c r="BN38" i="2421"/>
  <c r="CC38" i="2421"/>
  <c r="CR38" i="2421"/>
  <c r="DG38" i="2421"/>
  <c r="DV38" i="2421"/>
  <c r="EZ38" i="2421"/>
  <c r="FO38" i="2421"/>
  <c r="GD38" i="2421"/>
  <c r="GS38" i="2421"/>
  <c r="HH38" i="2421"/>
  <c r="HW38" i="2421"/>
  <c r="IL38" i="2421"/>
  <c r="JA38" i="2421"/>
  <c r="JP38" i="2421"/>
  <c r="KE38" i="2421"/>
  <c r="KT38" i="2421"/>
  <c r="LI38" i="2421"/>
  <c r="LX38" i="2421"/>
  <c r="MM38" i="2421"/>
  <c r="NB38" i="2421"/>
  <c r="NQ38" i="2421"/>
  <c r="OF38" i="2421"/>
  <c r="PJ38" i="2421"/>
  <c r="PY38" i="2421"/>
  <c r="QN38" i="2421"/>
  <c r="RC38" i="2421"/>
  <c r="A39" i="2421"/>
  <c r="E39" i="2421"/>
  <c r="AG39" i="2421"/>
  <c r="Y39" i="2421" s="1"/>
  <c r="AH39" i="2421"/>
  <c r="AJ39" i="2421"/>
  <c r="AY39" i="2421"/>
  <c r="BN39" i="2421"/>
  <c r="CC39" i="2421"/>
  <c r="CR39" i="2421"/>
  <c r="DG39" i="2421"/>
  <c r="DV39" i="2421"/>
  <c r="EZ39" i="2421"/>
  <c r="FO39" i="2421"/>
  <c r="GD39" i="2421"/>
  <c r="GS39" i="2421"/>
  <c r="HH39" i="2421"/>
  <c r="HW39" i="2421"/>
  <c r="IL39" i="2421"/>
  <c r="JA39" i="2421"/>
  <c r="JP39" i="2421"/>
  <c r="KE39" i="2421"/>
  <c r="KT39" i="2421"/>
  <c r="LI39" i="2421"/>
  <c r="LX39" i="2421"/>
  <c r="MM39" i="2421"/>
  <c r="NB39" i="2421"/>
  <c r="NQ39" i="2421"/>
  <c r="OF39" i="2421"/>
  <c r="PJ39" i="2421"/>
  <c r="PY39" i="2421"/>
  <c r="QN39" i="2421"/>
  <c r="RC39" i="2421"/>
  <c r="A40" i="2421"/>
  <c r="E40" i="2421"/>
  <c r="AG40" i="2421"/>
  <c r="AH40" i="2421"/>
  <c r="AJ40" i="2421"/>
  <c r="AY40" i="2421"/>
  <c r="BN40" i="2421"/>
  <c r="CC40" i="2421"/>
  <c r="CR40" i="2421"/>
  <c r="DG40" i="2421"/>
  <c r="DV40" i="2421"/>
  <c r="EZ40" i="2421"/>
  <c r="FO40" i="2421"/>
  <c r="GD40" i="2421"/>
  <c r="GS40" i="2421"/>
  <c r="HH40" i="2421"/>
  <c r="HW40" i="2421"/>
  <c r="IL40" i="2421"/>
  <c r="JA40" i="2421"/>
  <c r="JP40" i="2421"/>
  <c r="KE40" i="2421"/>
  <c r="KT40" i="2421"/>
  <c r="LI40" i="2421"/>
  <c r="LX40" i="2421"/>
  <c r="MM40" i="2421"/>
  <c r="NB40" i="2421"/>
  <c r="NQ40" i="2421"/>
  <c r="OF40" i="2421"/>
  <c r="PJ40" i="2421"/>
  <c r="PY40" i="2421"/>
  <c r="QN40" i="2421"/>
  <c r="RC40" i="2421"/>
  <c r="A41" i="2421"/>
  <c r="E41" i="2421"/>
  <c r="AG41" i="2421"/>
  <c r="Y41" i="2421" s="1"/>
  <c r="AH41" i="2421"/>
  <c r="AJ41" i="2421"/>
  <c r="AY41" i="2421"/>
  <c r="BN41" i="2421"/>
  <c r="CC41" i="2421"/>
  <c r="CR41" i="2421"/>
  <c r="DG41" i="2421"/>
  <c r="DV41" i="2421"/>
  <c r="EZ41" i="2421"/>
  <c r="FO41" i="2421"/>
  <c r="GD41" i="2421"/>
  <c r="GS41" i="2421"/>
  <c r="HH41" i="2421"/>
  <c r="HW41" i="2421"/>
  <c r="IL41" i="2421"/>
  <c r="JA41" i="2421"/>
  <c r="JP41" i="2421"/>
  <c r="KE41" i="2421"/>
  <c r="KT41" i="2421"/>
  <c r="LI41" i="2421"/>
  <c r="LX41" i="2421"/>
  <c r="MM41" i="2421"/>
  <c r="NB41" i="2421"/>
  <c r="NQ41" i="2421"/>
  <c r="OF41" i="2421"/>
  <c r="PJ41" i="2421"/>
  <c r="PY41" i="2421"/>
  <c r="QN41" i="2421"/>
  <c r="RC41" i="2421"/>
  <c r="A42" i="2421"/>
  <c r="E42" i="2421"/>
  <c r="AG42" i="2421"/>
  <c r="AH42" i="2421"/>
  <c r="AJ42" i="2421"/>
  <c r="AY42" i="2421"/>
  <c r="BN42" i="2421"/>
  <c r="CC42" i="2421"/>
  <c r="CR42" i="2421"/>
  <c r="DG42" i="2421"/>
  <c r="DV42" i="2421"/>
  <c r="EZ42" i="2421"/>
  <c r="FO42" i="2421"/>
  <c r="GD42" i="2421"/>
  <c r="GS42" i="2421"/>
  <c r="HH42" i="2421"/>
  <c r="HW42" i="2421"/>
  <c r="IL42" i="2421"/>
  <c r="JA42" i="2421"/>
  <c r="JP42" i="2421"/>
  <c r="KE42" i="2421"/>
  <c r="KT42" i="2421"/>
  <c r="LI42" i="2421"/>
  <c r="LX42" i="2421"/>
  <c r="MM42" i="2421"/>
  <c r="NB42" i="2421"/>
  <c r="NQ42" i="2421"/>
  <c r="OF42" i="2421"/>
  <c r="PJ42" i="2421"/>
  <c r="PY42" i="2421"/>
  <c r="QN42" i="2421"/>
  <c r="RC42" i="2421"/>
  <c r="A43" i="2421"/>
  <c r="E43" i="2421"/>
  <c r="AG43" i="2421"/>
  <c r="AH43" i="2421"/>
  <c r="AJ43" i="2421"/>
  <c r="AY43" i="2421"/>
  <c r="BN43" i="2421"/>
  <c r="CC43" i="2421"/>
  <c r="CR43" i="2421"/>
  <c r="DG43" i="2421"/>
  <c r="DV43" i="2421"/>
  <c r="EZ43" i="2421"/>
  <c r="FO43" i="2421"/>
  <c r="GD43" i="2421"/>
  <c r="GS43" i="2421"/>
  <c r="HH43" i="2421"/>
  <c r="HW43" i="2421"/>
  <c r="IL43" i="2421"/>
  <c r="JA43" i="2421"/>
  <c r="JP43" i="2421"/>
  <c r="KE43" i="2421"/>
  <c r="KT43" i="2421"/>
  <c r="LI43" i="2421"/>
  <c r="LX43" i="2421"/>
  <c r="MM43" i="2421"/>
  <c r="NB43" i="2421"/>
  <c r="NQ43" i="2421"/>
  <c r="OF43" i="2421"/>
  <c r="PJ43" i="2421"/>
  <c r="PY43" i="2421"/>
  <c r="QN43" i="2421"/>
  <c r="RC43" i="2421"/>
  <c r="A44" i="2421"/>
  <c r="E44" i="2421"/>
  <c r="AG44" i="2421"/>
  <c r="Y44" i="2421" s="1"/>
  <c r="AH44" i="2421"/>
  <c r="AJ44" i="2421"/>
  <c r="AY44" i="2421"/>
  <c r="BN44" i="2421"/>
  <c r="CC44" i="2421"/>
  <c r="CR44" i="2421"/>
  <c r="DG44" i="2421"/>
  <c r="DV44" i="2421"/>
  <c r="EZ44" i="2421"/>
  <c r="FO44" i="2421"/>
  <c r="GD44" i="2421"/>
  <c r="GS44" i="2421"/>
  <c r="HH44" i="2421"/>
  <c r="HW44" i="2421"/>
  <c r="IL44" i="2421"/>
  <c r="JA44" i="2421"/>
  <c r="JP44" i="2421"/>
  <c r="KE44" i="2421"/>
  <c r="KT44" i="2421"/>
  <c r="LI44" i="2421"/>
  <c r="LX44" i="2421"/>
  <c r="MM44" i="2421"/>
  <c r="NB44" i="2421"/>
  <c r="NQ44" i="2421"/>
  <c r="OF44" i="2421"/>
  <c r="PJ44" i="2421"/>
  <c r="PY44" i="2421"/>
  <c r="QN44" i="2421"/>
  <c r="RC44" i="2421"/>
  <c r="A45" i="2421"/>
  <c r="E45" i="2421"/>
  <c r="AG45" i="2421"/>
  <c r="Y45" i="2421" s="1"/>
  <c r="AH45" i="2421"/>
  <c r="AJ45" i="2421"/>
  <c r="AY45" i="2421"/>
  <c r="BN45" i="2421"/>
  <c r="CC45" i="2421"/>
  <c r="CR45" i="2421"/>
  <c r="DG45" i="2421"/>
  <c r="DV45" i="2421"/>
  <c r="EZ45" i="2421"/>
  <c r="FO45" i="2421"/>
  <c r="GD45" i="2421"/>
  <c r="GS45" i="2421"/>
  <c r="HH45" i="2421"/>
  <c r="HW45" i="2421"/>
  <c r="IL45" i="2421"/>
  <c r="JA45" i="2421"/>
  <c r="JP45" i="2421"/>
  <c r="KE45" i="2421"/>
  <c r="KT45" i="2421"/>
  <c r="LI45" i="2421"/>
  <c r="LX45" i="2421"/>
  <c r="MM45" i="2421"/>
  <c r="NB45" i="2421"/>
  <c r="NQ45" i="2421"/>
  <c r="OF45" i="2421"/>
  <c r="PJ45" i="2421"/>
  <c r="PY45" i="2421"/>
  <c r="QN45" i="2421"/>
  <c r="RC45" i="2421"/>
  <c r="A46" i="2421"/>
  <c r="E46" i="2421"/>
  <c r="AG46" i="2421"/>
  <c r="Y46" i="2421" s="1"/>
  <c r="AH46" i="2421"/>
  <c r="AJ46" i="2421"/>
  <c r="AY46" i="2421"/>
  <c r="BN46" i="2421"/>
  <c r="CC46" i="2421"/>
  <c r="CR46" i="2421"/>
  <c r="DG46" i="2421"/>
  <c r="DV46" i="2421"/>
  <c r="EZ46" i="2421"/>
  <c r="FO46" i="2421"/>
  <c r="GD46" i="2421"/>
  <c r="GS46" i="2421"/>
  <c r="HH46" i="2421"/>
  <c r="HW46" i="2421"/>
  <c r="IL46" i="2421"/>
  <c r="JA46" i="2421"/>
  <c r="JP46" i="2421"/>
  <c r="KE46" i="2421"/>
  <c r="KT46" i="2421"/>
  <c r="LI46" i="2421"/>
  <c r="LX46" i="2421"/>
  <c r="MM46" i="2421"/>
  <c r="NB46" i="2421"/>
  <c r="NQ46" i="2421"/>
  <c r="OF46" i="2421"/>
  <c r="PJ46" i="2421"/>
  <c r="PY46" i="2421"/>
  <c r="QN46" i="2421"/>
  <c r="RC46" i="2421"/>
  <c r="A47" i="2421"/>
  <c r="E47" i="2421"/>
  <c r="AG47" i="2421"/>
  <c r="Y47" i="2421" s="1"/>
  <c r="AH47" i="2421"/>
  <c r="AJ47" i="2421"/>
  <c r="AY47" i="2421"/>
  <c r="BN47" i="2421"/>
  <c r="CC47" i="2421"/>
  <c r="CR47" i="2421"/>
  <c r="DG47" i="2421"/>
  <c r="DV47" i="2421"/>
  <c r="EZ47" i="2421"/>
  <c r="FO47" i="2421"/>
  <c r="GD47" i="2421"/>
  <c r="GS47" i="2421"/>
  <c r="HH47" i="2421"/>
  <c r="HW47" i="2421"/>
  <c r="IL47" i="2421"/>
  <c r="JA47" i="2421"/>
  <c r="JP47" i="2421"/>
  <c r="KE47" i="2421"/>
  <c r="KT47" i="2421"/>
  <c r="LI47" i="2421"/>
  <c r="LX47" i="2421"/>
  <c r="MM47" i="2421"/>
  <c r="NB47" i="2421"/>
  <c r="NQ47" i="2421"/>
  <c r="OF47" i="2421"/>
  <c r="PJ47" i="2421"/>
  <c r="PY47" i="2421"/>
  <c r="QN47" i="2421"/>
  <c r="RC47" i="2421"/>
  <c r="A48" i="2421"/>
  <c r="E48" i="2421"/>
  <c r="AG48" i="2421"/>
  <c r="Y48" i="2421" s="1"/>
  <c r="AH48" i="2421"/>
  <c r="AJ48" i="2421"/>
  <c r="AY48" i="2421"/>
  <c r="BN48" i="2421"/>
  <c r="CC48" i="2421"/>
  <c r="CR48" i="2421"/>
  <c r="DG48" i="2421"/>
  <c r="DV48" i="2421"/>
  <c r="EZ48" i="2421"/>
  <c r="FO48" i="2421"/>
  <c r="GD48" i="2421"/>
  <c r="GS48" i="2421"/>
  <c r="HH48" i="2421"/>
  <c r="HW48" i="2421"/>
  <c r="IL48" i="2421"/>
  <c r="JA48" i="2421"/>
  <c r="JP48" i="2421"/>
  <c r="KE48" i="2421"/>
  <c r="KT48" i="2421"/>
  <c r="LI48" i="2421"/>
  <c r="LX48" i="2421"/>
  <c r="MM48" i="2421"/>
  <c r="NB48" i="2421"/>
  <c r="NQ48" i="2421"/>
  <c r="OF48" i="2421"/>
  <c r="PJ48" i="2421"/>
  <c r="PY48" i="2421"/>
  <c r="QN48" i="2421"/>
  <c r="RC48" i="2421"/>
  <c r="A49" i="2421"/>
  <c r="E49" i="2421"/>
  <c r="AG49" i="2421"/>
  <c r="Y49" i="2421" s="1"/>
  <c r="AH49" i="2421"/>
  <c r="AJ49" i="2421"/>
  <c r="AY49" i="2421"/>
  <c r="BN49" i="2421"/>
  <c r="CC49" i="2421"/>
  <c r="CR49" i="2421"/>
  <c r="DG49" i="2421"/>
  <c r="DV49" i="2421"/>
  <c r="EZ49" i="2421"/>
  <c r="FO49" i="2421"/>
  <c r="GD49" i="2421"/>
  <c r="GS49" i="2421"/>
  <c r="HH49" i="2421"/>
  <c r="HW49" i="2421"/>
  <c r="IL49" i="2421"/>
  <c r="JA49" i="2421"/>
  <c r="JP49" i="2421"/>
  <c r="KE49" i="2421"/>
  <c r="KT49" i="2421"/>
  <c r="LI49" i="2421"/>
  <c r="LX49" i="2421"/>
  <c r="MM49" i="2421"/>
  <c r="NB49" i="2421"/>
  <c r="NQ49" i="2421"/>
  <c r="OF49" i="2421"/>
  <c r="PJ49" i="2421"/>
  <c r="PY49" i="2421"/>
  <c r="QN49" i="2421"/>
  <c r="RC49" i="2421"/>
  <c r="A50" i="2421"/>
  <c r="E50" i="2421"/>
  <c r="AG50" i="2421"/>
  <c r="Y50" i="2421" s="1"/>
  <c r="AH50" i="2421"/>
  <c r="AJ50" i="2421"/>
  <c r="AY50" i="2421"/>
  <c r="BN50" i="2421"/>
  <c r="CC50" i="2421"/>
  <c r="CR50" i="2421"/>
  <c r="DG50" i="2421"/>
  <c r="DV50" i="2421"/>
  <c r="EZ50" i="2421"/>
  <c r="FO50" i="2421"/>
  <c r="GD50" i="2421"/>
  <c r="GS50" i="2421"/>
  <c r="HH50" i="2421"/>
  <c r="HW50" i="2421"/>
  <c r="IL50" i="2421"/>
  <c r="JA50" i="2421"/>
  <c r="JP50" i="2421"/>
  <c r="KE50" i="2421"/>
  <c r="KT50" i="2421"/>
  <c r="LI50" i="2421"/>
  <c r="LX50" i="2421"/>
  <c r="MM50" i="2421"/>
  <c r="NB50" i="2421"/>
  <c r="NQ50" i="2421"/>
  <c r="OF50" i="2421"/>
  <c r="PJ50" i="2421"/>
  <c r="PY50" i="2421"/>
  <c r="QN50" i="2421"/>
  <c r="RC50" i="2421"/>
  <c r="A51" i="2421"/>
  <c r="E51" i="2421"/>
  <c r="AG51" i="2421"/>
  <c r="AH51" i="2421"/>
  <c r="AJ51" i="2421"/>
  <c r="AY51" i="2421"/>
  <c r="BN51" i="2421"/>
  <c r="CC51" i="2421"/>
  <c r="CR51" i="2421"/>
  <c r="DG51" i="2421"/>
  <c r="DV51" i="2421"/>
  <c r="EZ51" i="2421"/>
  <c r="FO51" i="2421"/>
  <c r="GD51" i="2421"/>
  <c r="GS51" i="2421"/>
  <c r="HH51" i="2421"/>
  <c r="HW51" i="2421"/>
  <c r="IL51" i="2421"/>
  <c r="JA51" i="2421"/>
  <c r="JP51" i="2421"/>
  <c r="KE51" i="2421"/>
  <c r="KT51" i="2421"/>
  <c r="LI51" i="2421"/>
  <c r="LX51" i="2421"/>
  <c r="MM51" i="2421"/>
  <c r="NB51" i="2421"/>
  <c r="NQ51" i="2421"/>
  <c r="OF51" i="2421"/>
  <c r="PJ51" i="2421"/>
  <c r="PY51" i="2421"/>
  <c r="QN51" i="2421"/>
  <c r="RC51" i="2421"/>
  <c r="A52" i="2421"/>
  <c r="E52" i="2421"/>
  <c r="AG52" i="2421"/>
  <c r="Y52" i="2421" s="1"/>
  <c r="AH52" i="2421"/>
  <c r="AJ52" i="2421"/>
  <c r="AY52" i="2421"/>
  <c r="BN52" i="2421"/>
  <c r="CC52" i="2421"/>
  <c r="CR52" i="2421"/>
  <c r="DG52" i="2421"/>
  <c r="DV52" i="2421"/>
  <c r="EZ52" i="2421"/>
  <c r="FO52" i="2421"/>
  <c r="GD52" i="2421"/>
  <c r="GS52" i="2421"/>
  <c r="HH52" i="2421"/>
  <c r="HW52" i="2421"/>
  <c r="IL52" i="2421"/>
  <c r="JA52" i="2421"/>
  <c r="JP52" i="2421"/>
  <c r="KE52" i="2421"/>
  <c r="KT52" i="2421"/>
  <c r="LI52" i="2421"/>
  <c r="LX52" i="2421"/>
  <c r="MM52" i="2421"/>
  <c r="NB52" i="2421"/>
  <c r="NQ52" i="2421"/>
  <c r="OF52" i="2421"/>
  <c r="PJ52" i="2421"/>
  <c r="PY52" i="2421"/>
  <c r="QN52" i="2421"/>
  <c r="RC52" i="2421"/>
  <c r="A53" i="2421"/>
  <c r="E53" i="2421"/>
  <c r="AG53" i="2421"/>
  <c r="Y53" i="2421" s="1"/>
  <c r="AH53" i="2421"/>
  <c r="AJ53" i="2421"/>
  <c r="AY53" i="2421"/>
  <c r="BN53" i="2421"/>
  <c r="CC53" i="2421"/>
  <c r="CR53" i="2421"/>
  <c r="DG53" i="2421"/>
  <c r="DV53" i="2421"/>
  <c r="EZ53" i="2421"/>
  <c r="FO53" i="2421"/>
  <c r="GD53" i="2421"/>
  <c r="GS53" i="2421"/>
  <c r="HH53" i="2421"/>
  <c r="HW53" i="2421"/>
  <c r="IL53" i="2421"/>
  <c r="JA53" i="2421"/>
  <c r="JP53" i="2421"/>
  <c r="KE53" i="2421"/>
  <c r="KT53" i="2421"/>
  <c r="LI53" i="2421"/>
  <c r="LX53" i="2421"/>
  <c r="MM53" i="2421"/>
  <c r="NB53" i="2421"/>
  <c r="NQ53" i="2421"/>
  <c r="OF53" i="2421"/>
  <c r="PJ53" i="2421"/>
  <c r="PY53" i="2421"/>
  <c r="QN53" i="2421"/>
  <c r="RC53" i="2421"/>
  <c r="A54" i="2421"/>
  <c r="E54" i="2421"/>
  <c r="AG54" i="2421"/>
  <c r="Y54" i="2421" s="1"/>
  <c r="AH54" i="2421"/>
  <c r="AJ54" i="2421"/>
  <c r="AY54" i="2421"/>
  <c r="BN54" i="2421"/>
  <c r="CC54" i="2421"/>
  <c r="CR54" i="2421"/>
  <c r="DG54" i="2421"/>
  <c r="DV54" i="2421"/>
  <c r="EZ54" i="2421"/>
  <c r="FO54" i="2421"/>
  <c r="GD54" i="2421"/>
  <c r="GS54" i="2421"/>
  <c r="HH54" i="2421"/>
  <c r="HW54" i="2421"/>
  <c r="IL54" i="2421"/>
  <c r="JA54" i="2421"/>
  <c r="JP54" i="2421"/>
  <c r="KE54" i="2421"/>
  <c r="KT54" i="2421"/>
  <c r="LI54" i="2421"/>
  <c r="LX54" i="2421"/>
  <c r="MM54" i="2421"/>
  <c r="NB54" i="2421"/>
  <c r="NQ54" i="2421"/>
  <c r="OF54" i="2421"/>
  <c r="PJ54" i="2421"/>
  <c r="PY54" i="2421"/>
  <c r="QN54" i="2421"/>
  <c r="RC54" i="2421"/>
  <c r="A55" i="2421"/>
  <c r="E55" i="2421"/>
  <c r="AG55" i="2421"/>
  <c r="AH55" i="2421"/>
  <c r="AJ55" i="2421"/>
  <c r="AY55" i="2421"/>
  <c r="BN55" i="2421"/>
  <c r="CC55" i="2421"/>
  <c r="CR55" i="2421"/>
  <c r="DG55" i="2421"/>
  <c r="DV55" i="2421"/>
  <c r="EZ55" i="2421"/>
  <c r="FO55" i="2421"/>
  <c r="GD55" i="2421"/>
  <c r="GS55" i="2421"/>
  <c r="HH55" i="2421"/>
  <c r="HW55" i="2421"/>
  <c r="IL55" i="2421"/>
  <c r="JA55" i="2421"/>
  <c r="JP55" i="2421"/>
  <c r="KE55" i="2421"/>
  <c r="KT55" i="2421"/>
  <c r="LI55" i="2421"/>
  <c r="LX55" i="2421"/>
  <c r="MM55" i="2421"/>
  <c r="NB55" i="2421"/>
  <c r="NQ55" i="2421"/>
  <c r="OF55" i="2421"/>
  <c r="PJ55" i="2421"/>
  <c r="PY55" i="2421"/>
  <c r="QN55" i="2421"/>
  <c r="RC55" i="2421"/>
  <c r="A56" i="2421"/>
  <c r="E56" i="2421"/>
  <c r="AG56" i="2421"/>
  <c r="Y56" i="2421" s="1"/>
  <c r="AH56" i="2421"/>
  <c r="AJ56" i="2421"/>
  <c r="AY56" i="2421"/>
  <c r="BN56" i="2421"/>
  <c r="CC56" i="2421"/>
  <c r="CR56" i="2421"/>
  <c r="DG56" i="2421"/>
  <c r="DV56" i="2421"/>
  <c r="EZ56" i="2421"/>
  <c r="FO56" i="2421"/>
  <c r="GD56" i="2421"/>
  <c r="GS56" i="2421"/>
  <c r="HH56" i="2421"/>
  <c r="HW56" i="2421"/>
  <c r="IL56" i="2421"/>
  <c r="JA56" i="2421"/>
  <c r="JP56" i="2421"/>
  <c r="KE56" i="2421"/>
  <c r="KT56" i="2421"/>
  <c r="LI56" i="2421"/>
  <c r="LX56" i="2421"/>
  <c r="MM56" i="2421"/>
  <c r="NB56" i="2421"/>
  <c r="NQ56" i="2421"/>
  <c r="OF56" i="2421"/>
  <c r="PJ56" i="2421"/>
  <c r="PY56" i="2421"/>
  <c r="QN56" i="2421"/>
  <c r="RC56" i="2421"/>
  <c r="A57" i="2421"/>
  <c r="E57" i="2421"/>
  <c r="AG57" i="2421"/>
  <c r="Y57" i="2421" s="1"/>
  <c r="AH57" i="2421"/>
  <c r="AJ57" i="2421"/>
  <c r="AY57" i="2421"/>
  <c r="BN57" i="2421"/>
  <c r="CC57" i="2421"/>
  <c r="CR57" i="2421"/>
  <c r="DG57" i="2421"/>
  <c r="DV57" i="2421"/>
  <c r="EZ57" i="2421"/>
  <c r="FO57" i="2421"/>
  <c r="GD57" i="2421"/>
  <c r="GS57" i="2421"/>
  <c r="HH57" i="2421"/>
  <c r="HW57" i="2421"/>
  <c r="IL57" i="2421"/>
  <c r="JA57" i="2421"/>
  <c r="JP57" i="2421"/>
  <c r="KE57" i="2421"/>
  <c r="KT57" i="2421"/>
  <c r="LI57" i="2421"/>
  <c r="LX57" i="2421"/>
  <c r="MM57" i="2421"/>
  <c r="NB57" i="2421"/>
  <c r="NQ57" i="2421"/>
  <c r="OF57" i="2421"/>
  <c r="PJ57" i="2421"/>
  <c r="PY57" i="2421"/>
  <c r="QN57" i="2421"/>
  <c r="RC57" i="2421"/>
  <c r="A58" i="2421"/>
  <c r="E58" i="2421"/>
  <c r="AG58" i="2421"/>
  <c r="AH58" i="2421"/>
  <c r="AJ58" i="2421"/>
  <c r="AY58" i="2421"/>
  <c r="BN58" i="2421"/>
  <c r="CC58" i="2421"/>
  <c r="CR58" i="2421"/>
  <c r="DG58" i="2421"/>
  <c r="DV58" i="2421"/>
  <c r="EZ58" i="2421"/>
  <c r="FO58" i="2421"/>
  <c r="GD58" i="2421"/>
  <c r="GS58" i="2421"/>
  <c r="HH58" i="2421"/>
  <c r="HW58" i="2421"/>
  <c r="IL58" i="2421"/>
  <c r="JA58" i="2421"/>
  <c r="JP58" i="2421"/>
  <c r="KE58" i="2421"/>
  <c r="KT58" i="2421"/>
  <c r="LI58" i="2421"/>
  <c r="LX58" i="2421"/>
  <c r="MM58" i="2421"/>
  <c r="NB58" i="2421"/>
  <c r="NQ58" i="2421"/>
  <c r="OF58" i="2421"/>
  <c r="PJ58" i="2421"/>
  <c r="PY58" i="2421"/>
  <c r="QN58" i="2421"/>
  <c r="RC58" i="2421"/>
  <c r="A59" i="2421"/>
  <c r="E59" i="2421"/>
  <c r="AG59" i="2421"/>
  <c r="AH59" i="2421"/>
  <c r="AJ59" i="2421"/>
  <c r="AY59" i="2421"/>
  <c r="BN59" i="2421"/>
  <c r="CC59" i="2421"/>
  <c r="CR59" i="2421"/>
  <c r="DG59" i="2421"/>
  <c r="DV59" i="2421"/>
  <c r="EZ59" i="2421"/>
  <c r="FO59" i="2421"/>
  <c r="GD59" i="2421"/>
  <c r="GS59" i="2421"/>
  <c r="HH59" i="2421"/>
  <c r="HW59" i="2421"/>
  <c r="IL59" i="2421"/>
  <c r="JA59" i="2421"/>
  <c r="JP59" i="2421"/>
  <c r="KE59" i="2421"/>
  <c r="KT59" i="2421"/>
  <c r="LI59" i="2421"/>
  <c r="LX59" i="2421"/>
  <c r="MM59" i="2421"/>
  <c r="NB59" i="2421"/>
  <c r="NQ59" i="2421"/>
  <c r="OF59" i="2421"/>
  <c r="PJ59" i="2421"/>
  <c r="PY59" i="2421"/>
  <c r="QN59" i="2421"/>
  <c r="RC59" i="2421"/>
  <c r="A60" i="2421"/>
  <c r="E60" i="2421"/>
  <c r="AG60" i="2421"/>
  <c r="Y60" i="2421" s="1"/>
  <c r="AH60" i="2421"/>
  <c r="AJ60" i="2421"/>
  <c r="AY60" i="2421"/>
  <c r="BN60" i="2421"/>
  <c r="CC60" i="2421"/>
  <c r="CR60" i="2421"/>
  <c r="DG60" i="2421"/>
  <c r="DV60" i="2421"/>
  <c r="EZ60" i="2421"/>
  <c r="FO60" i="2421"/>
  <c r="GD60" i="2421"/>
  <c r="GS60" i="2421"/>
  <c r="HH60" i="2421"/>
  <c r="HW60" i="2421"/>
  <c r="IL60" i="2421"/>
  <c r="JA60" i="2421"/>
  <c r="JP60" i="2421"/>
  <c r="KE60" i="2421"/>
  <c r="KT60" i="2421"/>
  <c r="LI60" i="2421"/>
  <c r="LX60" i="2421"/>
  <c r="MM60" i="2421"/>
  <c r="NB60" i="2421"/>
  <c r="NQ60" i="2421"/>
  <c r="OF60" i="2421"/>
  <c r="PJ60" i="2421"/>
  <c r="PY60" i="2421"/>
  <c r="QN60" i="2421"/>
  <c r="RC60" i="2421"/>
  <c r="A61" i="2421"/>
  <c r="E61" i="2421"/>
  <c r="AG61" i="2421"/>
  <c r="Y61" i="2421" s="1"/>
  <c r="AH61" i="2421"/>
  <c r="AJ61" i="2421"/>
  <c r="AY61" i="2421"/>
  <c r="BN61" i="2421"/>
  <c r="CC61" i="2421"/>
  <c r="CR61" i="2421"/>
  <c r="DG61" i="2421"/>
  <c r="DV61" i="2421"/>
  <c r="EZ61" i="2421"/>
  <c r="FO61" i="2421"/>
  <c r="GD61" i="2421"/>
  <c r="GS61" i="2421"/>
  <c r="HH61" i="2421"/>
  <c r="HW61" i="2421"/>
  <c r="IL61" i="2421"/>
  <c r="JA61" i="2421"/>
  <c r="JP61" i="2421"/>
  <c r="KE61" i="2421"/>
  <c r="KT61" i="2421"/>
  <c r="LI61" i="2421"/>
  <c r="LX61" i="2421"/>
  <c r="MM61" i="2421"/>
  <c r="NB61" i="2421"/>
  <c r="NQ61" i="2421"/>
  <c r="OF61" i="2421"/>
  <c r="PJ61" i="2421"/>
  <c r="PY61" i="2421"/>
  <c r="QN61" i="2421"/>
  <c r="RC61" i="2421"/>
  <c r="A62" i="2421"/>
  <c r="E62" i="2421"/>
  <c r="AG62" i="2421"/>
  <c r="Y62" i="2421" s="1"/>
  <c r="AH62" i="2421"/>
  <c r="AJ62" i="2421"/>
  <c r="AY62" i="2421"/>
  <c r="BN62" i="2421"/>
  <c r="CC62" i="2421"/>
  <c r="CR62" i="2421"/>
  <c r="DG62" i="2421"/>
  <c r="DV62" i="2421"/>
  <c r="EZ62" i="2421"/>
  <c r="FO62" i="2421"/>
  <c r="GD62" i="2421"/>
  <c r="GS62" i="2421"/>
  <c r="HH62" i="2421"/>
  <c r="HW62" i="2421"/>
  <c r="IL62" i="2421"/>
  <c r="JA62" i="2421"/>
  <c r="JP62" i="2421"/>
  <c r="KE62" i="2421"/>
  <c r="KT62" i="2421"/>
  <c r="LI62" i="2421"/>
  <c r="LX62" i="2421"/>
  <c r="MM62" i="2421"/>
  <c r="NB62" i="2421"/>
  <c r="NQ62" i="2421"/>
  <c r="OF62" i="2421"/>
  <c r="PJ62" i="2421"/>
  <c r="PY62" i="2421"/>
  <c r="QN62" i="2421"/>
  <c r="RC62" i="2421"/>
  <c r="A63" i="2421"/>
  <c r="E63" i="2421"/>
  <c r="AG63" i="2421"/>
  <c r="Y63" i="2421" s="1"/>
  <c r="AH63" i="2421"/>
  <c r="AJ63" i="2421"/>
  <c r="AY63" i="2421"/>
  <c r="BN63" i="2421"/>
  <c r="CC63" i="2421"/>
  <c r="CR63" i="2421"/>
  <c r="DG63" i="2421"/>
  <c r="DV63" i="2421"/>
  <c r="EZ63" i="2421"/>
  <c r="FO63" i="2421"/>
  <c r="GD63" i="2421"/>
  <c r="GS63" i="2421"/>
  <c r="HH63" i="2421"/>
  <c r="HW63" i="2421"/>
  <c r="IL63" i="2421"/>
  <c r="JA63" i="2421"/>
  <c r="JP63" i="2421"/>
  <c r="KE63" i="2421"/>
  <c r="KT63" i="2421"/>
  <c r="LI63" i="2421"/>
  <c r="LX63" i="2421"/>
  <c r="MM63" i="2421"/>
  <c r="NB63" i="2421"/>
  <c r="NQ63" i="2421"/>
  <c r="OF63" i="2421"/>
  <c r="PJ63" i="2421"/>
  <c r="PY63" i="2421"/>
  <c r="QN63" i="2421"/>
  <c r="RC63" i="2421"/>
  <c r="A64" i="2421"/>
  <c r="E64" i="2421"/>
  <c r="AG64" i="2421"/>
  <c r="Y64" i="2421" s="1"/>
  <c r="AH64" i="2421"/>
  <c r="AJ64" i="2421"/>
  <c r="AY64" i="2421"/>
  <c r="BN64" i="2421"/>
  <c r="CC64" i="2421"/>
  <c r="CR64" i="2421"/>
  <c r="DG64" i="2421"/>
  <c r="DV64" i="2421"/>
  <c r="EZ64" i="2421"/>
  <c r="FO64" i="2421"/>
  <c r="GD64" i="2421"/>
  <c r="GS64" i="2421"/>
  <c r="HH64" i="2421"/>
  <c r="HW64" i="2421"/>
  <c r="IL64" i="2421"/>
  <c r="JA64" i="2421"/>
  <c r="JP64" i="2421"/>
  <c r="KE64" i="2421"/>
  <c r="KT64" i="2421"/>
  <c r="LI64" i="2421"/>
  <c r="LX64" i="2421"/>
  <c r="MM64" i="2421"/>
  <c r="NB64" i="2421"/>
  <c r="NQ64" i="2421"/>
  <c r="OF64" i="2421"/>
  <c r="PJ64" i="2421"/>
  <c r="PY64" i="2421"/>
  <c r="QN64" i="2421"/>
  <c r="RC64" i="2421"/>
  <c r="A65" i="2421"/>
  <c r="E65" i="2421"/>
  <c r="AG65" i="2421"/>
  <c r="AH65" i="2421"/>
  <c r="AJ65" i="2421"/>
  <c r="AY65" i="2421"/>
  <c r="BN65" i="2421"/>
  <c r="CC65" i="2421"/>
  <c r="CR65" i="2421"/>
  <c r="DG65" i="2421"/>
  <c r="DV65" i="2421"/>
  <c r="EZ65" i="2421"/>
  <c r="FO65" i="2421"/>
  <c r="GD65" i="2421"/>
  <c r="GS65" i="2421"/>
  <c r="HH65" i="2421"/>
  <c r="HW65" i="2421"/>
  <c r="IL65" i="2421"/>
  <c r="JA65" i="2421"/>
  <c r="JP65" i="2421"/>
  <c r="KE65" i="2421"/>
  <c r="KT65" i="2421"/>
  <c r="LI65" i="2421"/>
  <c r="LX65" i="2421"/>
  <c r="MM65" i="2421"/>
  <c r="NB65" i="2421"/>
  <c r="NQ65" i="2421"/>
  <c r="OF65" i="2421"/>
  <c r="PJ65" i="2421"/>
  <c r="PY65" i="2421"/>
  <c r="QN65" i="2421"/>
  <c r="RC65" i="2421"/>
  <c r="A66" i="2421"/>
  <c r="E66" i="2421"/>
  <c r="AG66" i="2421"/>
  <c r="Y66" i="2421" s="1"/>
  <c r="AH66" i="2421"/>
  <c r="AJ66" i="2421"/>
  <c r="AY66" i="2421"/>
  <c r="BN66" i="2421"/>
  <c r="CC66" i="2421"/>
  <c r="CR66" i="2421"/>
  <c r="DG66" i="2421"/>
  <c r="DV66" i="2421"/>
  <c r="EZ66" i="2421"/>
  <c r="FO66" i="2421"/>
  <c r="GD66" i="2421"/>
  <c r="GS66" i="2421"/>
  <c r="HH66" i="2421"/>
  <c r="HW66" i="2421"/>
  <c r="IL66" i="2421"/>
  <c r="JA66" i="2421"/>
  <c r="JP66" i="2421"/>
  <c r="KE66" i="2421"/>
  <c r="KT66" i="2421"/>
  <c r="LI66" i="2421"/>
  <c r="LX66" i="2421"/>
  <c r="MM66" i="2421"/>
  <c r="NB66" i="2421"/>
  <c r="NQ66" i="2421"/>
  <c r="OF66" i="2421"/>
  <c r="PJ66" i="2421"/>
  <c r="PY66" i="2421"/>
  <c r="QN66" i="2421"/>
  <c r="RC66" i="2421"/>
  <c r="A67" i="2421"/>
  <c r="E67" i="2421"/>
  <c r="AG67" i="2421"/>
  <c r="Y67" i="2421" s="1"/>
  <c r="AH67" i="2421"/>
  <c r="AJ67" i="2421"/>
  <c r="AY67" i="2421"/>
  <c r="BN67" i="2421"/>
  <c r="CC67" i="2421"/>
  <c r="CR67" i="2421"/>
  <c r="DG67" i="2421"/>
  <c r="DV67" i="2421"/>
  <c r="EZ67" i="2421"/>
  <c r="FO67" i="2421"/>
  <c r="GD67" i="2421"/>
  <c r="GS67" i="2421"/>
  <c r="HH67" i="2421"/>
  <c r="HW67" i="2421"/>
  <c r="IL67" i="2421"/>
  <c r="JA67" i="2421"/>
  <c r="JP67" i="2421"/>
  <c r="KE67" i="2421"/>
  <c r="KT67" i="2421"/>
  <c r="LI67" i="2421"/>
  <c r="LX67" i="2421"/>
  <c r="MM67" i="2421"/>
  <c r="NB67" i="2421"/>
  <c r="NQ67" i="2421"/>
  <c r="OF67" i="2421"/>
  <c r="PJ67" i="2421"/>
  <c r="PY67" i="2421"/>
  <c r="QN67" i="2421"/>
  <c r="RC67" i="2421"/>
  <c r="A68" i="2421"/>
  <c r="E68" i="2421"/>
  <c r="AG68" i="2421"/>
  <c r="Y68" i="2421" s="1"/>
  <c r="AH68" i="2421"/>
  <c r="AJ68" i="2421"/>
  <c r="AY68" i="2421"/>
  <c r="BN68" i="2421"/>
  <c r="CC68" i="2421"/>
  <c r="CR68" i="2421"/>
  <c r="DG68" i="2421"/>
  <c r="DV68" i="2421"/>
  <c r="EZ68" i="2421"/>
  <c r="FO68" i="2421"/>
  <c r="GD68" i="2421"/>
  <c r="GS68" i="2421"/>
  <c r="HH68" i="2421"/>
  <c r="HW68" i="2421"/>
  <c r="IL68" i="2421"/>
  <c r="JA68" i="2421"/>
  <c r="JP68" i="2421"/>
  <c r="KE68" i="2421"/>
  <c r="KT68" i="2421"/>
  <c r="LI68" i="2421"/>
  <c r="LX68" i="2421"/>
  <c r="MM68" i="2421"/>
  <c r="NB68" i="2421"/>
  <c r="NQ68" i="2421"/>
  <c r="OF68" i="2421"/>
  <c r="PJ68" i="2421"/>
  <c r="PY68" i="2421"/>
  <c r="QN68" i="2421"/>
  <c r="RC68" i="2421"/>
  <c r="A69" i="2421"/>
  <c r="E69" i="2421"/>
  <c r="AG69" i="2421"/>
  <c r="AH69" i="2421"/>
  <c r="AJ69" i="2421"/>
  <c r="AY69" i="2421"/>
  <c r="BN69" i="2421"/>
  <c r="CC69" i="2421"/>
  <c r="CR69" i="2421"/>
  <c r="DG69" i="2421"/>
  <c r="DV69" i="2421"/>
  <c r="EZ69" i="2421"/>
  <c r="FO69" i="2421"/>
  <c r="GD69" i="2421"/>
  <c r="GS69" i="2421"/>
  <c r="HH69" i="2421"/>
  <c r="HW69" i="2421"/>
  <c r="IL69" i="2421"/>
  <c r="JA69" i="2421"/>
  <c r="JP69" i="2421"/>
  <c r="KE69" i="2421"/>
  <c r="KT69" i="2421"/>
  <c r="LI69" i="2421"/>
  <c r="LX69" i="2421"/>
  <c r="MM69" i="2421"/>
  <c r="NB69" i="2421"/>
  <c r="NQ69" i="2421"/>
  <c r="OF69" i="2421"/>
  <c r="PJ69" i="2421"/>
  <c r="PY69" i="2421"/>
  <c r="QN69" i="2421"/>
  <c r="RC69" i="2421"/>
  <c r="A70" i="2421"/>
  <c r="E70" i="2421"/>
  <c r="AG70" i="2421"/>
  <c r="Y70" i="2421" s="1"/>
  <c r="AH70" i="2421"/>
  <c r="AJ70" i="2421"/>
  <c r="AY70" i="2421"/>
  <c r="BN70" i="2421"/>
  <c r="CC70" i="2421"/>
  <c r="CR70" i="2421"/>
  <c r="DG70" i="2421"/>
  <c r="DV70" i="2421"/>
  <c r="EZ70" i="2421"/>
  <c r="FO70" i="2421"/>
  <c r="GD70" i="2421"/>
  <c r="GS70" i="2421"/>
  <c r="HH70" i="2421"/>
  <c r="HW70" i="2421"/>
  <c r="IL70" i="2421"/>
  <c r="JA70" i="2421"/>
  <c r="JP70" i="2421"/>
  <c r="KE70" i="2421"/>
  <c r="KT70" i="2421"/>
  <c r="LI70" i="2421"/>
  <c r="LX70" i="2421"/>
  <c r="MM70" i="2421"/>
  <c r="NB70" i="2421"/>
  <c r="NQ70" i="2421"/>
  <c r="OF70" i="2421"/>
  <c r="PJ70" i="2421"/>
  <c r="PY70" i="2421"/>
  <c r="QN70" i="2421"/>
  <c r="RC70" i="2421"/>
  <c r="A71" i="2421"/>
  <c r="E71" i="2421"/>
  <c r="AG71" i="2421"/>
  <c r="Y71" i="2421" s="1"/>
  <c r="AH71" i="2421"/>
  <c r="AJ71" i="2421"/>
  <c r="AY71" i="2421"/>
  <c r="BN71" i="2421"/>
  <c r="CC71" i="2421"/>
  <c r="CR71" i="2421"/>
  <c r="DG71" i="2421"/>
  <c r="DV71" i="2421"/>
  <c r="EZ71" i="2421"/>
  <c r="FO71" i="2421"/>
  <c r="GD71" i="2421"/>
  <c r="GS71" i="2421"/>
  <c r="HH71" i="2421"/>
  <c r="HW71" i="2421"/>
  <c r="IL71" i="2421"/>
  <c r="JA71" i="2421"/>
  <c r="JP71" i="2421"/>
  <c r="KE71" i="2421"/>
  <c r="KT71" i="2421"/>
  <c r="LI71" i="2421"/>
  <c r="LX71" i="2421"/>
  <c r="MM71" i="2421"/>
  <c r="NB71" i="2421"/>
  <c r="NQ71" i="2421"/>
  <c r="OF71" i="2421"/>
  <c r="PJ71" i="2421"/>
  <c r="PY71" i="2421"/>
  <c r="QN71" i="2421"/>
  <c r="RC71" i="2421"/>
  <c r="A72" i="2421"/>
  <c r="E72" i="2421"/>
  <c r="AG72" i="2421"/>
  <c r="AH72" i="2421"/>
  <c r="AJ72" i="2421"/>
  <c r="AY72" i="2421"/>
  <c r="BN72" i="2421"/>
  <c r="CC72" i="2421"/>
  <c r="CR72" i="2421"/>
  <c r="DG72" i="2421"/>
  <c r="DV72" i="2421"/>
  <c r="EZ72" i="2421"/>
  <c r="FO72" i="2421"/>
  <c r="GD72" i="2421"/>
  <c r="GS72" i="2421"/>
  <c r="HH72" i="2421"/>
  <c r="HW72" i="2421"/>
  <c r="IL72" i="2421"/>
  <c r="JA72" i="2421"/>
  <c r="JP72" i="2421"/>
  <c r="KE72" i="2421"/>
  <c r="KT72" i="2421"/>
  <c r="LI72" i="2421"/>
  <c r="LX72" i="2421"/>
  <c r="MM72" i="2421"/>
  <c r="NB72" i="2421"/>
  <c r="NQ72" i="2421"/>
  <c r="OF72" i="2421"/>
  <c r="PJ72" i="2421"/>
  <c r="PY72" i="2421"/>
  <c r="QN72" i="2421"/>
  <c r="RC72" i="2421"/>
  <c r="A73" i="2421"/>
  <c r="E73" i="2421"/>
  <c r="AG73" i="2421"/>
  <c r="AH73" i="2421"/>
  <c r="AJ73" i="2421"/>
  <c r="AY73" i="2421"/>
  <c r="BN73" i="2421"/>
  <c r="CC73" i="2421"/>
  <c r="CR73" i="2421"/>
  <c r="DG73" i="2421"/>
  <c r="DV73" i="2421"/>
  <c r="EZ73" i="2421"/>
  <c r="FO73" i="2421"/>
  <c r="GD73" i="2421"/>
  <c r="GS73" i="2421"/>
  <c r="HH73" i="2421"/>
  <c r="HW73" i="2421"/>
  <c r="IL73" i="2421"/>
  <c r="JA73" i="2421"/>
  <c r="JP73" i="2421"/>
  <c r="KE73" i="2421"/>
  <c r="KT73" i="2421"/>
  <c r="LI73" i="2421"/>
  <c r="LX73" i="2421"/>
  <c r="MM73" i="2421"/>
  <c r="NB73" i="2421"/>
  <c r="NQ73" i="2421"/>
  <c r="OF73" i="2421"/>
  <c r="PJ73" i="2421"/>
  <c r="PY73" i="2421"/>
  <c r="QN73" i="2421"/>
  <c r="RC73" i="2421"/>
  <c r="A74" i="2421"/>
  <c r="E74" i="2421"/>
  <c r="AG74" i="2421"/>
  <c r="Y74" i="2421" s="1"/>
  <c r="AH74" i="2421"/>
  <c r="AJ74" i="2421"/>
  <c r="AY74" i="2421"/>
  <c r="BN74" i="2421"/>
  <c r="CC74" i="2421"/>
  <c r="CR74" i="2421"/>
  <c r="DG74" i="2421"/>
  <c r="DV74" i="2421"/>
  <c r="EZ74" i="2421"/>
  <c r="FO74" i="2421"/>
  <c r="GD74" i="2421"/>
  <c r="GS74" i="2421"/>
  <c r="HH74" i="2421"/>
  <c r="HW74" i="2421"/>
  <c r="IL74" i="2421"/>
  <c r="JA74" i="2421"/>
  <c r="JP74" i="2421"/>
  <c r="KE74" i="2421"/>
  <c r="KT74" i="2421"/>
  <c r="LI74" i="2421"/>
  <c r="LX74" i="2421"/>
  <c r="MM74" i="2421"/>
  <c r="NB74" i="2421"/>
  <c r="NQ74" i="2421"/>
  <c r="OF74" i="2421"/>
  <c r="PJ74" i="2421"/>
  <c r="PY74" i="2421"/>
  <c r="QN74" i="2421"/>
  <c r="RC74" i="2421"/>
  <c r="A75" i="2421"/>
  <c r="E75" i="2421"/>
  <c r="AG75" i="2421"/>
  <c r="AH75" i="2421"/>
  <c r="AJ75" i="2421"/>
  <c r="AY75" i="2421"/>
  <c r="BN75" i="2421"/>
  <c r="CC75" i="2421"/>
  <c r="CR75" i="2421"/>
  <c r="DG75" i="2421"/>
  <c r="DV75" i="2421"/>
  <c r="EZ75" i="2421"/>
  <c r="FO75" i="2421"/>
  <c r="GD75" i="2421"/>
  <c r="GS75" i="2421"/>
  <c r="HH75" i="2421"/>
  <c r="HW75" i="2421"/>
  <c r="IL75" i="2421"/>
  <c r="JA75" i="2421"/>
  <c r="JP75" i="2421"/>
  <c r="KE75" i="2421"/>
  <c r="KT75" i="2421"/>
  <c r="LI75" i="2421"/>
  <c r="LX75" i="2421"/>
  <c r="MM75" i="2421"/>
  <c r="NB75" i="2421"/>
  <c r="NQ75" i="2421"/>
  <c r="OF75" i="2421"/>
  <c r="PJ75" i="2421"/>
  <c r="PY75" i="2421"/>
  <c r="QN75" i="2421"/>
  <c r="RC75" i="2421"/>
  <c r="A76" i="2421"/>
  <c r="E76" i="2421"/>
  <c r="AG76" i="2421"/>
  <c r="AH76" i="2421"/>
  <c r="AJ76" i="2421"/>
  <c r="AY76" i="2421"/>
  <c r="BN76" i="2421"/>
  <c r="CC76" i="2421"/>
  <c r="CR76" i="2421"/>
  <c r="DG76" i="2421"/>
  <c r="DV76" i="2421"/>
  <c r="EZ76" i="2421"/>
  <c r="FO76" i="2421"/>
  <c r="GD76" i="2421"/>
  <c r="GS76" i="2421"/>
  <c r="HH76" i="2421"/>
  <c r="HW76" i="2421"/>
  <c r="IL76" i="2421"/>
  <c r="JA76" i="2421"/>
  <c r="JP76" i="2421"/>
  <c r="KE76" i="2421"/>
  <c r="KT76" i="2421"/>
  <c r="LI76" i="2421"/>
  <c r="LX76" i="2421"/>
  <c r="MM76" i="2421"/>
  <c r="NB76" i="2421"/>
  <c r="NQ76" i="2421"/>
  <c r="OF76" i="2421"/>
  <c r="PJ76" i="2421"/>
  <c r="PY76" i="2421"/>
  <c r="QN76" i="2421"/>
  <c r="RC76" i="2421"/>
  <c r="A77" i="2421"/>
  <c r="E77" i="2421"/>
  <c r="AG77" i="2421"/>
  <c r="AH77" i="2421"/>
  <c r="AJ77" i="2421"/>
  <c r="AY77" i="2421"/>
  <c r="BN77" i="2421"/>
  <c r="CC77" i="2421"/>
  <c r="CR77" i="2421"/>
  <c r="DG77" i="2421"/>
  <c r="DV77" i="2421"/>
  <c r="EZ77" i="2421"/>
  <c r="FO77" i="2421"/>
  <c r="GD77" i="2421"/>
  <c r="GS77" i="2421"/>
  <c r="HH77" i="2421"/>
  <c r="HW77" i="2421"/>
  <c r="IL77" i="2421"/>
  <c r="JA77" i="2421"/>
  <c r="JP77" i="2421"/>
  <c r="KE77" i="2421"/>
  <c r="KT77" i="2421"/>
  <c r="LI77" i="2421"/>
  <c r="LX77" i="2421"/>
  <c r="MM77" i="2421"/>
  <c r="NB77" i="2421"/>
  <c r="NQ77" i="2421"/>
  <c r="OF77" i="2421"/>
  <c r="PJ77" i="2421"/>
  <c r="PY77" i="2421"/>
  <c r="QN77" i="2421"/>
  <c r="RC77" i="2421"/>
  <c r="A78" i="2421"/>
  <c r="E78" i="2421"/>
  <c r="AG78" i="2421"/>
  <c r="Y78" i="2421" s="1"/>
  <c r="AH78" i="2421"/>
  <c r="AJ78" i="2421"/>
  <c r="AY78" i="2421"/>
  <c r="BN78" i="2421"/>
  <c r="CC78" i="2421"/>
  <c r="CR78" i="2421"/>
  <c r="DG78" i="2421"/>
  <c r="DV78" i="2421"/>
  <c r="EZ78" i="2421"/>
  <c r="FO78" i="2421"/>
  <c r="GD78" i="2421"/>
  <c r="GS78" i="2421"/>
  <c r="HH78" i="2421"/>
  <c r="HW78" i="2421"/>
  <c r="IL78" i="2421"/>
  <c r="JA78" i="2421"/>
  <c r="JP78" i="2421"/>
  <c r="KE78" i="2421"/>
  <c r="KT78" i="2421"/>
  <c r="LI78" i="2421"/>
  <c r="LX78" i="2421"/>
  <c r="MM78" i="2421"/>
  <c r="NB78" i="2421"/>
  <c r="NQ78" i="2421"/>
  <c r="OF78" i="2421"/>
  <c r="PJ78" i="2421"/>
  <c r="PY78" i="2421"/>
  <c r="QN78" i="2421"/>
  <c r="RC78" i="2421"/>
  <c r="A79" i="2421"/>
  <c r="E79" i="2421"/>
  <c r="AG79" i="2421"/>
  <c r="AH79" i="2421"/>
  <c r="AJ79" i="2421"/>
  <c r="AY79" i="2421"/>
  <c r="BN79" i="2421"/>
  <c r="CC79" i="2421"/>
  <c r="CR79" i="2421"/>
  <c r="DG79" i="2421"/>
  <c r="DV79" i="2421"/>
  <c r="EZ79" i="2421"/>
  <c r="FO79" i="2421"/>
  <c r="GD79" i="2421"/>
  <c r="GS79" i="2421"/>
  <c r="HH79" i="2421"/>
  <c r="HW79" i="2421"/>
  <c r="IL79" i="2421"/>
  <c r="JA79" i="2421"/>
  <c r="JP79" i="2421"/>
  <c r="KE79" i="2421"/>
  <c r="KT79" i="2421"/>
  <c r="LI79" i="2421"/>
  <c r="LX79" i="2421"/>
  <c r="MM79" i="2421"/>
  <c r="NB79" i="2421"/>
  <c r="NQ79" i="2421"/>
  <c r="OF79" i="2421"/>
  <c r="PJ79" i="2421"/>
  <c r="PY79" i="2421"/>
  <c r="QN79" i="2421"/>
  <c r="RC79" i="2421"/>
  <c r="A80" i="2421"/>
  <c r="E80" i="2421"/>
  <c r="AG80" i="2421"/>
  <c r="Y80" i="2421" s="1"/>
  <c r="AH80" i="2421"/>
  <c r="AJ80" i="2421"/>
  <c r="AY80" i="2421"/>
  <c r="BN80" i="2421"/>
  <c r="CC80" i="2421"/>
  <c r="CR80" i="2421"/>
  <c r="DG80" i="2421"/>
  <c r="DV80" i="2421"/>
  <c r="EZ80" i="2421"/>
  <c r="FO80" i="2421"/>
  <c r="GD80" i="2421"/>
  <c r="GS80" i="2421"/>
  <c r="HH80" i="2421"/>
  <c r="HW80" i="2421"/>
  <c r="IL80" i="2421"/>
  <c r="JA80" i="2421"/>
  <c r="JP80" i="2421"/>
  <c r="KE80" i="2421"/>
  <c r="KT80" i="2421"/>
  <c r="LI80" i="2421"/>
  <c r="LX80" i="2421"/>
  <c r="MM80" i="2421"/>
  <c r="NB80" i="2421"/>
  <c r="NQ80" i="2421"/>
  <c r="OF80" i="2421"/>
  <c r="PJ80" i="2421"/>
  <c r="PY80" i="2421"/>
  <c r="QN80" i="2421"/>
  <c r="RC80" i="2421"/>
  <c r="A81" i="2421"/>
  <c r="E81" i="2421"/>
  <c r="AG81" i="2421"/>
  <c r="Y81" i="2421" s="1"/>
  <c r="AH81" i="2421"/>
  <c r="AJ81" i="2421"/>
  <c r="AY81" i="2421"/>
  <c r="BN81" i="2421"/>
  <c r="CC81" i="2421"/>
  <c r="CR81" i="2421"/>
  <c r="DG81" i="2421"/>
  <c r="DV81" i="2421"/>
  <c r="EZ81" i="2421"/>
  <c r="FO81" i="2421"/>
  <c r="GD81" i="2421"/>
  <c r="GS81" i="2421"/>
  <c r="HH81" i="2421"/>
  <c r="HW81" i="2421"/>
  <c r="IL81" i="2421"/>
  <c r="JA81" i="2421"/>
  <c r="JP81" i="2421"/>
  <c r="KE81" i="2421"/>
  <c r="KT81" i="2421"/>
  <c r="LI81" i="2421"/>
  <c r="LX81" i="2421"/>
  <c r="MM81" i="2421"/>
  <c r="NB81" i="2421"/>
  <c r="NQ81" i="2421"/>
  <c r="OF81" i="2421"/>
  <c r="PJ81" i="2421"/>
  <c r="PY81" i="2421"/>
  <c r="QN81" i="2421"/>
  <c r="RC81" i="2421"/>
  <c r="A82" i="2421"/>
  <c r="E82" i="2421"/>
  <c r="AG82" i="2421"/>
  <c r="AH82" i="2421"/>
  <c r="AJ82" i="2421"/>
  <c r="AY82" i="2421"/>
  <c r="BN82" i="2421"/>
  <c r="CC82" i="2421"/>
  <c r="CR82" i="2421"/>
  <c r="DG82" i="2421"/>
  <c r="DV82" i="2421"/>
  <c r="EZ82" i="2421"/>
  <c r="FO82" i="2421"/>
  <c r="GD82" i="2421"/>
  <c r="GS82" i="2421"/>
  <c r="HH82" i="2421"/>
  <c r="HW82" i="2421"/>
  <c r="IL82" i="2421"/>
  <c r="JA82" i="2421"/>
  <c r="JP82" i="2421"/>
  <c r="KE82" i="2421"/>
  <c r="KT82" i="2421"/>
  <c r="LI82" i="2421"/>
  <c r="LX82" i="2421"/>
  <c r="MM82" i="2421"/>
  <c r="NB82" i="2421"/>
  <c r="NQ82" i="2421"/>
  <c r="OF82" i="2421"/>
  <c r="PJ82" i="2421"/>
  <c r="PY82" i="2421"/>
  <c r="QN82" i="2421"/>
  <c r="RC82" i="2421"/>
  <c r="A83" i="2421"/>
  <c r="E83" i="2421"/>
  <c r="AG83" i="2421"/>
  <c r="Y83" i="2421" s="1"/>
  <c r="AH83" i="2421"/>
  <c r="AJ83" i="2421"/>
  <c r="AY83" i="2421"/>
  <c r="BN83" i="2421"/>
  <c r="CC83" i="2421"/>
  <c r="CR83" i="2421"/>
  <c r="DG83" i="2421"/>
  <c r="DV83" i="2421"/>
  <c r="EZ83" i="2421"/>
  <c r="FO83" i="2421"/>
  <c r="GD83" i="2421"/>
  <c r="GS83" i="2421"/>
  <c r="HH83" i="2421"/>
  <c r="HW83" i="2421"/>
  <c r="IL83" i="2421"/>
  <c r="JA83" i="2421"/>
  <c r="JP83" i="2421"/>
  <c r="KE83" i="2421"/>
  <c r="KT83" i="2421"/>
  <c r="LI83" i="2421"/>
  <c r="LX83" i="2421"/>
  <c r="MM83" i="2421"/>
  <c r="NB83" i="2421"/>
  <c r="NQ83" i="2421"/>
  <c r="OF83" i="2421"/>
  <c r="PJ83" i="2421"/>
  <c r="PY83" i="2421"/>
  <c r="QN83" i="2421"/>
  <c r="RC83" i="2421"/>
  <c r="A84" i="2421"/>
  <c r="E84" i="2421"/>
  <c r="AG84" i="2421"/>
  <c r="Y84" i="2421" s="1"/>
  <c r="AH84" i="2421"/>
  <c r="AJ84" i="2421"/>
  <c r="AY84" i="2421"/>
  <c r="BN84" i="2421"/>
  <c r="CC84" i="2421"/>
  <c r="CR84" i="2421"/>
  <c r="DG84" i="2421"/>
  <c r="DV84" i="2421"/>
  <c r="EZ84" i="2421"/>
  <c r="FO84" i="2421"/>
  <c r="GD84" i="2421"/>
  <c r="GS84" i="2421"/>
  <c r="HH84" i="2421"/>
  <c r="HW84" i="2421"/>
  <c r="IL84" i="2421"/>
  <c r="JA84" i="2421"/>
  <c r="JP84" i="2421"/>
  <c r="KE84" i="2421"/>
  <c r="KT84" i="2421"/>
  <c r="LI84" i="2421"/>
  <c r="LX84" i="2421"/>
  <c r="MM84" i="2421"/>
  <c r="NB84" i="2421"/>
  <c r="NQ84" i="2421"/>
  <c r="OF84" i="2421"/>
  <c r="PJ84" i="2421"/>
  <c r="PY84" i="2421"/>
  <c r="QN84" i="2421"/>
  <c r="RC84" i="2421"/>
  <c r="A85" i="2421"/>
  <c r="E85" i="2421"/>
  <c r="AG85" i="2421"/>
  <c r="Y85" i="2421" s="1"/>
  <c r="AH85" i="2421"/>
  <c r="AJ85" i="2421"/>
  <c r="AY85" i="2421"/>
  <c r="BN85" i="2421"/>
  <c r="CC85" i="2421"/>
  <c r="CR85" i="2421"/>
  <c r="DG85" i="2421"/>
  <c r="DV85" i="2421"/>
  <c r="EZ85" i="2421"/>
  <c r="FO85" i="2421"/>
  <c r="GD85" i="2421"/>
  <c r="GS85" i="2421"/>
  <c r="HH85" i="2421"/>
  <c r="HW85" i="2421"/>
  <c r="IL85" i="2421"/>
  <c r="JA85" i="2421"/>
  <c r="JP85" i="2421"/>
  <c r="KE85" i="2421"/>
  <c r="KT85" i="2421"/>
  <c r="LI85" i="2421"/>
  <c r="LX85" i="2421"/>
  <c r="MM85" i="2421"/>
  <c r="NB85" i="2421"/>
  <c r="NQ85" i="2421"/>
  <c r="OF85" i="2421"/>
  <c r="PJ85" i="2421"/>
  <c r="PY85" i="2421"/>
  <c r="QN85" i="2421"/>
  <c r="RC85" i="2421"/>
  <c r="A86" i="2421"/>
  <c r="E86" i="2421"/>
  <c r="AG86" i="2421"/>
  <c r="Y86" i="2421" s="1"/>
  <c r="AH86" i="2421"/>
  <c r="AJ86" i="2421"/>
  <c r="AY86" i="2421"/>
  <c r="BN86" i="2421"/>
  <c r="CC86" i="2421"/>
  <c r="CR86" i="2421"/>
  <c r="DG86" i="2421"/>
  <c r="DV86" i="2421"/>
  <c r="EZ86" i="2421"/>
  <c r="FO86" i="2421"/>
  <c r="GD86" i="2421"/>
  <c r="GS86" i="2421"/>
  <c r="HH86" i="2421"/>
  <c r="HW86" i="2421"/>
  <c r="IL86" i="2421"/>
  <c r="JA86" i="2421"/>
  <c r="JP86" i="2421"/>
  <c r="KE86" i="2421"/>
  <c r="KT86" i="2421"/>
  <c r="LI86" i="2421"/>
  <c r="LX86" i="2421"/>
  <c r="MM86" i="2421"/>
  <c r="NB86" i="2421"/>
  <c r="NQ86" i="2421"/>
  <c r="OF86" i="2421"/>
  <c r="PJ86" i="2421"/>
  <c r="PY86" i="2421"/>
  <c r="QN86" i="2421"/>
  <c r="RC86" i="2421"/>
  <c r="A87" i="2421"/>
  <c r="E87" i="2421"/>
  <c r="AG87" i="2421"/>
  <c r="AH87" i="2421"/>
  <c r="AJ87" i="2421"/>
  <c r="AY87" i="2421"/>
  <c r="BN87" i="2421"/>
  <c r="CC87" i="2421"/>
  <c r="CR87" i="2421"/>
  <c r="DG87" i="2421"/>
  <c r="DV87" i="2421"/>
  <c r="EZ87" i="2421"/>
  <c r="FO87" i="2421"/>
  <c r="GD87" i="2421"/>
  <c r="GS87" i="2421"/>
  <c r="HH87" i="2421"/>
  <c r="HW87" i="2421"/>
  <c r="IL87" i="2421"/>
  <c r="JA87" i="2421"/>
  <c r="JP87" i="2421"/>
  <c r="KE87" i="2421"/>
  <c r="KT87" i="2421"/>
  <c r="LI87" i="2421"/>
  <c r="LX87" i="2421"/>
  <c r="MM87" i="2421"/>
  <c r="NB87" i="2421"/>
  <c r="NQ87" i="2421"/>
  <c r="OF87" i="2421"/>
  <c r="PJ87" i="2421"/>
  <c r="PY87" i="2421"/>
  <c r="QN87" i="2421"/>
  <c r="RC87" i="2421"/>
  <c r="A88" i="2421"/>
  <c r="E88" i="2421"/>
  <c r="AG88" i="2421"/>
  <c r="Y88" i="2421" s="1"/>
  <c r="AH88" i="2421"/>
  <c r="AJ88" i="2421"/>
  <c r="AY88" i="2421"/>
  <c r="BN88" i="2421"/>
  <c r="CC88" i="2421"/>
  <c r="CR88" i="2421"/>
  <c r="DG88" i="2421"/>
  <c r="DV88" i="2421"/>
  <c r="EZ88" i="2421"/>
  <c r="FO88" i="2421"/>
  <c r="GD88" i="2421"/>
  <c r="GS88" i="2421"/>
  <c r="HH88" i="2421"/>
  <c r="HW88" i="2421"/>
  <c r="IL88" i="2421"/>
  <c r="JA88" i="2421"/>
  <c r="JP88" i="2421"/>
  <c r="KE88" i="2421"/>
  <c r="KT88" i="2421"/>
  <c r="LI88" i="2421"/>
  <c r="LX88" i="2421"/>
  <c r="MM88" i="2421"/>
  <c r="NB88" i="2421"/>
  <c r="NQ88" i="2421"/>
  <c r="OF88" i="2421"/>
  <c r="PJ88" i="2421"/>
  <c r="PY88" i="2421"/>
  <c r="QN88" i="2421"/>
  <c r="RC88" i="2421"/>
  <c r="A89" i="2421"/>
  <c r="E89" i="2421"/>
  <c r="AG89" i="2421"/>
  <c r="AH89" i="2421"/>
  <c r="AJ89" i="2421"/>
  <c r="AY89" i="2421"/>
  <c r="BN89" i="2421"/>
  <c r="CC89" i="2421"/>
  <c r="CR89" i="2421"/>
  <c r="DG89" i="2421"/>
  <c r="DV89" i="2421"/>
  <c r="EZ89" i="2421"/>
  <c r="FO89" i="2421"/>
  <c r="GD89" i="2421"/>
  <c r="GS89" i="2421"/>
  <c r="HH89" i="2421"/>
  <c r="HW89" i="2421"/>
  <c r="IL89" i="2421"/>
  <c r="JA89" i="2421"/>
  <c r="JP89" i="2421"/>
  <c r="KE89" i="2421"/>
  <c r="KT89" i="2421"/>
  <c r="LI89" i="2421"/>
  <c r="LX89" i="2421"/>
  <c r="MM89" i="2421"/>
  <c r="NB89" i="2421"/>
  <c r="NQ89" i="2421"/>
  <c r="OF89" i="2421"/>
  <c r="PJ89" i="2421"/>
  <c r="PY89" i="2421"/>
  <c r="QN89" i="2421"/>
  <c r="RC89" i="2421"/>
  <c r="A90" i="2421"/>
  <c r="E90" i="2421"/>
  <c r="AG90" i="2421"/>
  <c r="Y90" i="2421" s="1"/>
  <c r="AH90" i="2421"/>
  <c r="AJ90" i="2421"/>
  <c r="AY90" i="2421"/>
  <c r="BN90" i="2421"/>
  <c r="CC90" i="2421"/>
  <c r="CR90" i="2421"/>
  <c r="DG90" i="2421"/>
  <c r="DV90" i="2421"/>
  <c r="EZ90" i="2421"/>
  <c r="FO90" i="2421"/>
  <c r="GD90" i="2421"/>
  <c r="GS90" i="2421"/>
  <c r="HH90" i="2421"/>
  <c r="HW90" i="2421"/>
  <c r="IL90" i="2421"/>
  <c r="JA90" i="2421"/>
  <c r="JP90" i="2421"/>
  <c r="KE90" i="2421"/>
  <c r="KT90" i="2421"/>
  <c r="LI90" i="2421"/>
  <c r="LX90" i="2421"/>
  <c r="MM90" i="2421"/>
  <c r="NB90" i="2421"/>
  <c r="NQ90" i="2421"/>
  <c r="OF90" i="2421"/>
  <c r="PJ90" i="2421"/>
  <c r="PY90" i="2421"/>
  <c r="QN90" i="2421"/>
  <c r="RC90" i="2421"/>
  <c r="A91" i="2421"/>
  <c r="E91" i="2421"/>
  <c r="AG91" i="2421"/>
  <c r="AH91" i="2421"/>
  <c r="AJ91" i="2421"/>
  <c r="AY91" i="2421"/>
  <c r="BN91" i="2421"/>
  <c r="CC91" i="2421"/>
  <c r="CR91" i="2421"/>
  <c r="DG91" i="2421"/>
  <c r="DV91" i="2421"/>
  <c r="EZ91" i="2421"/>
  <c r="FO91" i="2421"/>
  <c r="GD91" i="2421"/>
  <c r="GS91" i="2421"/>
  <c r="HH91" i="2421"/>
  <c r="HW91" i="2421"/>
  <c r="IL91" i="2421"/>
  <c r="JA91" i="2421"/>
  <c r="JP91" i="2421"/>
  <c r="KE91" i="2421"/>
  <c r="KT91" i="2421"/>
  <c r="LI91" i="2421"/>
  <c r="LX91" i="2421"/>
  <c r="MM91" i="2421"/>
  <c r="NB91" i="2421"/>
  <c r="NQ91" i="2421"/>
  <c r="OF91" i="2421"/>
  <c r="PJ91" i="2421"/>
  <c r="PY91" i="2421"/>
  <c r="QN91" i="2421"/>
  <c r="RC91" i="2421"/>
  <c r="A92" i="2421"/>
  <c r="E92" i="2421"/>
  <c r="AG92" i="2421"/>
  <c r="Y92" i="2421" s="1"/>
  <c r="AH92" i="2421"/>
  <c r="AJ92" i="2421"/>
  <c r="AY92" i="2421"/>
  <c r="BN92" i="2421"/>
  <c r="CC92" i="2421"/>
  <c r="CR92" i="2421"/>
  <c r="DG92" i="2421"/>
  <c r="DV92" i="2421"/>
  <c r="EZ92" i="2421"/>
  <c r="FO92" i="2421"/>
  <c r="GD92" i="2421"/>
  <c r="GS92" i="2421"/>
  <c r="HH92" i="2421"/>
  <c r="HW92" i="2421"/>
  <c r="IL92" i="2421"/>
  <c r="JA92" i="2421"/>
  <c r="JP92" i="2421"/>
  <c r="KE92" i="2421"/>
  <c r="KT92" i="2421"/>
  <c r="LI92" i="2421"/>
  <c r="LX92" i="2421"/>
  <c r="MM92" i="2421"/>
  <c r="NB92" i="2421"/>
  <c r="NQ92" i="2421"/>
  <c r="OF92" i="2421"/>
  <c r="PJ92" i="2421"/>
  <c r="PY92" i="2421"/>
  <c r="QN92" i="2421"/>
  <c r="RC92" i="2421"/>
  <c r="A93" i="2421"/>
  <c r="E93" i="2421"/>
  <c r="AG93" i="2421"/>
  <c r="AH93" i="2421"/>
  <c r="AJ93" i="2421"/>
  <c r="AY93" i="2421"/>
  <c r="BN93" i="2421"/>
  <c r="CC93" i="2421"/>
  <c r="CR93" i="2421"/>
  <c r="DG93" i="2421"/>
  <c r="DV93" i="2421"/>
  <c r="EZ93" i="2421"/>
  <c r="FO93" i="2421"/>
  <c r="GD93" i="2421"/>
  <c r="GS93" i="2421"/>
  <c r="HH93" i="2421"/>
  <c r="HW93" i="2421"/>
  <c r="IL93" i="2421"/>
  <c r="JA93" i="2421"/>
  <c r="JP93" i="2421"/>
  <c r="KE93" i="2421"/>
  <c r="KT93" i="2421"/>
  <c r="LI93" i="2421"/>
  <c r="LX93" i="2421"/>
  <c r="MM93" i="2421"/>
  <c r="NB93" i="2421"/>
  <c r="NQ93" i="2421"/>
  <c r="OF93" i="2421"/>
  <c r="PJ93" i="2421"/>
  <c r="PY93" i="2421"/>
  <c r="QN93" i="2421"/>
  <c r="RC93" i="2421"/>
  <c r="A94" i="2421"/>
  <c r="E94" i="2421"/>
  <c r="AG94" i="2421"/>
  <c r="Y94" i="2421" s="1"/>
  <c r="AH94" i="2421"/>
  <c r="AJ94" i="2421"/>
  <c r="AY94" i="2421"/>
  <c r="BN94" i="2421"/>
  <c r="CC94" i="2421"/>
  <c r="CR94" i="2421"/>
  <c r="DG94" i="2421"/>
  <c r="DV94" i="2421"/>
  <c r="EZ94" i="2421"/>
  <c r="FO94" i="2421"/>
  <c r="GD94" i="2421"/>
  <c r="GS94" i="2421"/>
  <c r="HH94" i="2421"/>
  <c r="HW94" i="2421"/>
  <c r="IL94" i="2421"/>
  <c r="JA94" i="2421"/>
  <c r="JP94" i="2421"/>
  <c r="KE94" i="2421"/>
  <c r="KT94" i="2421"/>
  <c r="LI94" i="2421"/>
  <c r="LX94" i="2421"/>
  <c r="MM94" i="2421"/>
  <c r="NB94" i="2421"/>
  <c r="NQ94" i="2421"/>
  <c r="OF94" i="2421"/>
  <c r="PJ94" i="2421"/>
  <c r="PY94" i="2421"/>
  <c r="QN94" i="2421"/>
  <c r="RC94" i="2421"/>
  <c r="A95" i="2421"/>
  <c r="E95" i="2421"/>
  <c r="AG95" i="2421"/>
  <c r="Y95" i="2421" s="1"/>
  <c r="AH95" i="2421"/>
  <c r="AJ95" i="2421"/>
  <c r="AY95" i="2421"/>
  <c r="BN95" i="2421"/>
  <c r="CC95" i="2421"/>
  <c r="CR95" i="2421"/>
  <c r="DG95" i="2421"/>
  <c r="DV95" i="2421"/>
  <c r="EZ95" i="2421"/>
  <c r="FO95" i="2421"/>
  <c r="GD95" i="2421"/>
  <c r="GS95" i="2421"/>
  <c r="HH95" i="2421"/>
  <c r="HW95" i="2421"/>
  <c r="IL95" i="2421"/>
  <c r="JA95" i="2421"/>
  <c r="JP95" i="2421"/>
  <c r="KE95" i="2421"/>
  <c r="KT95" i="2421"/>
  <c r="LI95" i="2421"/>
  <c r="LX95" i="2421"/>
  <c r="MM95" i="2421"/>
  <c r="NB95" i="2421"/>
  <c r="NQ95" i="2421"/>
  <c r="OF95" i="2421"/>
  <c r="PJ95" i="2421"/>
  <c r="PY95" i="2421"/>
  <c r="QN95" i="2421"/>
  <c r="RC95" i="2421"/>
  <c r="A96" i="2421"/>
  <c r="E96" i="2421"/>
  <c r="AG96" i="2421"/>
  <c r="AH96" i="2421"/>
  <c r="AJ96" i="2421"/>
  <c r="AY96" i="2421"/>
  <c r="BN96" i="2421"/>
  <c r="CC96" i="2421"/>
  <c r="CR96" i="2421"/>
  <c r="DG96" i="2421"/>
  <c r="DV96" i="2421"/>
  <c r="EZ96" i="2421"/>
  <c r="FO96" i="2421"/>
  <c r="GD96" i="2421"/>
  <c r="GS96" i="2421"/>
  <c r="HH96" i="2421"/>
  <c r="HW96" i="2421"/>
  <c r="IL96" i="2421"/>
  <c r="JA96" i="2421"/>
  <c r="JP96" i="2421"/>
  <c r="KE96" i="2421"/>
  <c r="KT96" i="2421"/>
  <c r="LI96" i="2421"/>
  <c r="LX96" i="2421"/>
  <c r="MM96" i="2421"/>
  <c r="NB96" i="2421"/>
  <c r="NQ96" i="2421"/>
  <c r="OF96" i="2421"/>
  <c r="PJ96" i="2421"/>
  <c r="PY96" i="2421"/>
  <c r="QN96" i="2421"/>
  <c r="RC96" i="2421"/>
  <c r="A97" i="2421"/>
  <c r="E97" i="2421"/>
  <c r="AG97" i="2421"/>
  <c r="AH97" i="2421"/>
  <c r="AJ97" i="2421"/>
  <c r="AY97" i="2421"/>
  <c r="BN97" i="2421"/>
  <c r="CC97" i="2421"/>
  <c r="CR97" i="2421"/>
  <c r="DG97" i="2421"/>
  <c r="DV97" i="2421"/>
  <c r="EZ97" i="2421"/>
  <c r="FO97" i="2421"/>
  <c r="GD97" i="2421"/>
  <c r="GS97" i="2421"/>
  <c r="HH97" i="2421"/>
  <c r="HW97" i="2421"/>
  <c r="IL97" i="2421"/>
  <c r="JA97" i="2421"/>
  <c r="JP97" i="2421"/>
  <c r="KE97" i="2421"/>
  <c r="KT97" i="2421"/>
  <c r="LI97" i="2421"/>
  <c r="LX97" i="2421"/>
  <c r="MM97" i="2421"/>
  <c r="NB97" i="2421"/>
  <c r="NQ97" i="2421"/>
  <c r="OF97" i="2421"/>
  <c r="PJ97" i="2421"/>
  <c r="PY97" i="2421"/>
  <c r="QN97" i="2421"/>
  <c r="RC97" i="2421"/>
  <c r="A98" i="2421"/>
  <c r="E98" i="2421"/>
  <c r="AG98" i="2421"/>
  <c r="Y98" i="2421" s="1"/>
  <c r="AH98" i="2421"/>
  <c r="AJ98" i="2421"/>
  <c r="AY98" i="2421"/>
  <c r="BN98" i="2421"/>
  <c r="CC98" i="2421"/>
  <c r="CR98" i="2421"/>
  <c r="DG98" i="2421"/>
  <c r="DV98" i="2421"/>
  <c r="EZ98" i="2421"/>
  <c r="FO98" i="2421"/>
  <c r="GD98" i="2421"/>
  <c r="GS98" i="2421"/>
  <c r="HH98" i="2421"/>
  <c r="HW98" i="2421"/>
  <c r="IL98" i="2421"/>
  <c r="JA98" i="2421"/>
  <c r="JP98" i="2421"/>
  <c r="KE98" i="2421"/>
  <c r="KT98" i="2421"/>
  <c r="LI98" i="2421"/>
  <c r="LX98" i="2421"/>
  <c r="MM98" i="2421"/>
  <c r="NB98" i="2421"/>
  <c r="NQ98" i="2421"/>
  <c r="OF98" i="2421"/>
  <c r="PJ98" i="2421"/>
  <c r="PY98" i="2421"/>
  <c r="QN98" i="2421"/>
  <c r="RC98" i="2421"/>
  <c r="A99" i="2421"/>
  <c r="E99" i="2421"/>
  <c r="AG99" i="2421"/>
  <c r="Y99" i="2421" s="1"/>
  <c r="AH99" i="2421"/>
  <c r="AJ99" i="2421"/>
  <c r="AY99" i="2421"/>
  <c r="BN99" i="2421"/>
  <c r="CC99" i="2421"/>
  <c r="CR99" i="2421"/>
  <c r="DG99" i="2421"/>
  <c r="DV99" i="2421"/>
  <c r="EZ99" i="2421"/>
  <c r="FO99" i="2421"/>
  <c r="GD99" i="2421"/>
  <c r="GS99" i="2421"/>
  <c r="HH99" i="2421"/>
  <c r="HW99" i="2421"/>
  <c r="IL99" i="2421"/>
  <c r="JA99" i="2421"/>
  <c r="JP99" i="2421"/>
  <c r="KE99" i="2421"/>
  <c r="KT99" i="2421"/>
  <c r="LI99" i="2421"/>
  <c r="LX99" i="2421"/>
  <c r="MM99" i="2421"/>
  <c r="NB99" i="2421"/>
  <c r="NQ99" i="2421"/>
  <c r="OF99" i="2421"/>
  <c r="PJ99" i="2421"/>
  <c r="PY99" i="2421"/>
  <c r="QN99" i="2421"/>
  <c r="RC99" i="2421"/>
  <c r="A100" i="2421"/>
  <c r="E100" i="2421"/>
  <c r="AG100" i="2421"/>
  <c r="Y100" i="2421" s="1"/>
  <c r="AH100" i="2421"/>
  <c r="AJ100" i="2421"/>
  <c r="AY100" i="2421"/>
  <c r="BN100" i="2421"/>
  <c r="CC100" i="2421"/>
  <c r="CR100" i="2421"/>
  <c r="DG100" i="2421"/>
  <c r="DV100" i="2421"/>
  <c r="EZ100" i="2421"/>
  <c r="FO100" i="2421"/>
  <c r="GD100" i="2421"/>
  <c r="GS100" i="2421"/>
  <c r="HH100" i="2421"/>
  <c r="HW100" i="2421"/>
  <c r="IL100" i="2421"/>
  <c r="JA100" i="2421"/>
  <c r="JP100" i="2421"/>
  <c r="KE100" i="2421"/>
  <c r="KT100" i="2421"/>
  <c r="LI100" i="2421"/>
  <c r="LX100" i="2421"/>
  <c r="MM100" i="2421"/>
  <c r="NB100" i="2421"/>
  <c r="NQ100" i="2421"/>
  <c r="OF100" i="2421"/>
  <c r="PJ100" i="2421"/>
  <c r="PY100" i="2421"/>
  <c r="QN100" i="2421"/>
  <c r="RC100" i="2421"/>
  <c r="A101" i="2421"/>
  <c r="E101" i="2421"/>
  <c r="AG101" i="2421"/>
  <c r="AH101" i="2421"/>
  <c r="AJ101" i="2421"/>
  <c r="AY101" i="2421"/>
  <c r="BN101" i="2421"/>
  <c r="CC101" i="2421"/>
  <c r="CR101" i="2421"/>
  <c r="DG101" i="2421"/>
  <c r="DV101" i="2421"/>
  <c r="EZ101" i="2421"/>
  <c r="FO101" i="2421"/>
  <c r="GD101" i="2421"/>
  <c r="GS101" i="2421"/>
  <c r="HH101" i="2421"/>
  <c r="HW101" i="2421"/>
  <c r="IL101" i="2421"/>
  <c r="JA101" i="2421"/>
  <c r="JP101" i="2421"/>
  <c r="KE101" i="2421"/>
  <c r="KT101" i="2421"/>
  <c r="LI101" i="2421"/>
  <c r="LX101" i="2421"/>
  <c r="MM101" i="2421"/>
  <c r="NB101" i="2421"/>
  <c r="NQ101" i="2421"/>
  <c r="OF101" i="2421"/>
  <c r="PJ101" i="2421"/>
  <c r="PY101" i="2421"/>
  <c r="QN101" i="2421"/>
  <c r="RC101" i="2421"/>
  <c r="A102" i="2421"/>
  <c r="E102" i="2421"/>
  <c r="AG102" i="2421"/>
  <c r="AH102" i="2421"/>
  <c r="AJ102" i="2421"/>
  <c r="AY102" i="2421"/>
  <c r="BN102" i="2421"/>
  <c r="CC102" i="2421"/>
  <c r="CR102" i="2421"/>
  <c r="DG102" i="2421"/>
  <c r="DV102" i="2421"/>
  <c r="EZ102" i="2421"/>
  <c r="FO102" i="2421"/>
  <c r="GD102" i="2421"/>
  <c r="GS102" i="2421"/>
  <c r="HH102" i="2421"/>
  <c r="HW102" i="2421"/>
  <c r="IL102" i="2421"/>
  <c r="JA102" i="2421"/>
  <c r="JP102" i="2421"/>
  <c r="KE102" i="2421"/>
  <c r="KT102" i="2421"/>
  <c r="LI102" i="2421"/>
  <c r="LX102" i="2421"/>
  <c r="MM102" i="2421"/>
  <c r="NB102" i="2421"/>
  <c r="NQ102" i="2421"/>
  <c r="OF102" i="2421"/>
  <c r="PJ102" i="2421"/>
  <c r="PY102" i="2421"/>
  <c r="QN102" i="2421"/>
  <c r="RC102" i="2421"/>
  <c r="A103" i="2421"/>
  <c r="E103" i="2421"/>
  <c r="AG103" i="2421"/>
  <c r="AH103" i="2421"/>
  <c r="AJ103" i="2421"/>
  <c r="AY103" i="2421"/>
  <c r="BN103" i="2421"/>
  <c r="CC103" i="2421"/>
  <c r="CR103" i="2421"/>
  <c r="DG103" i="2421"/>
  <c r="DV103" i="2421"/>
  <c r="EZ103" i="2421"/>
  <c r="FO103" i="2421"/>
  <c r="GD103" i="2421"/>
  <c r="GS103" i="2421"/>
  <c r="HH103" i="2421"/>
  <c r="HW103" i="2421"/>
  <c r="IL103" i="2421"/>
  <c r="JA103" i="2421"/>
  <c r="JP103" i="2421"/>
  <c r="KE103" i="2421"/>
  <c r="KT103" i="2421"/>
  <c r="LI103" i="2421"/>
  <c r="LX103" i="2421"/>
  <c r="MM103" i="2421"/>
  <c r="NB103" i="2421"/>
  <c r="NQ103" i="2421"/>
  <c r="OF103" i="2421"/>
  <c r="PJ103" i="2421"/>
  <c r="PY103" i="2421"/>
  <c r="QN103" i="2421"/>
  <c r="RC103" i="2421"/>
  <c r="A104" i="2421"/>
  <c r="E104" i="2421"/>
  <c r="AG104" i="2421"/>
  <c r="Y104" i="2421" s="1"/>
  <c r="AH104" i="2421"/>
  <c r="AJ104" i="2421"/>
  <c r="AY104" i="2421"/>
  <c r="BN104" i="2421"/>
  <c r="CC104" i="2421"/>
  <c r="CR104" i="2421"/>
  <c r="DG104" i="2421"/>
  <c r="DV104" i="2421"/>
  <c r="EZ104" i="2421"/>
  <c r="FO104" i="2421"/>
  <c r="GD104" i="2421"/>
  <c r="GS104" i="2421"/>
  <c r="HH104" i="2421"/>
  <c r="HW104" i="2421"/>
  <c r="IL104" i="2421"/>
  <c r="JA104" i="2421"/>
  <c r="JP104" i="2421"/>
  <c r="KE104" i="2421"/>
  <c r="KT104" i="2421"/>
  <c r="LI104" i="2421"/>
  <c r="LX104" i="2421"/>
  <c r="MM104" i="2421"/>
  <c r="NB104" i="2421"/>
  <c r="NQ104" i="2421"/>
  <c r="OF104" i="2421"/>
  <c r="PJ104" i="2421"/>
  <c r="PY104" i="2421"/>
  <c r="QN104" i="2421"/>
  <c r="RC104" i="2421"/>
  <c r="A105" i="2421"/>
  <c r="E105" i="2421"/>
  <c r="AG105" i="2421"/>
  <c r="Y105" i="2421" s="1"/>
  <c r="AH105" i="2421"/>
  <c r="AJ105" i="2421"/>
  <c r="AY105" i="2421"/>
  <c r="BN105" i="2421"/>
  <c r="CC105" i="2421"/>
  <c r="CR105" i="2421"/>
  <c r="DG105" i="2421"/>
  <c r="DV105" i="2421"/>
  <c r="EZ105" i="2421"/>
  <c r="FO105" i="2421"/>
  <c r="GD105" i="2421"/>
  <c r="GS105" i="2421"/>
  <c r="HH105" i="2421"/>
  <c r="HW105" i="2421"/>
  <c r="IL105" i="2421"/>
  <c r="JA105" i="2421"/>
  <c r="JP105" i="2421"/>
  <c r="KE105" i="2421"/>
  <c r="KT105" i="2421"/>
  <c r="LI105" i="2421"/>
  <c r="LX105" i="2421"/>
  <c r="MM105" i="2421"/>
  <c r="NB105" i="2421"/>
  <c r="NQ105" i="2421"/>
  <c r="OF105" i="2421"/>
  <c r="PJ105" i="2421"/>
  <c r="PY105" i="2421"/>
  <c r="QN105" i="2421"/>
  <c r="RC105" i="2421"/>
  <c r="A106" i="2421"/>
  <c r="E106" i="2421"/>
  <c r="AG106" i="2421"/>
  <c r="Y106" i="2421" s="1"/>
  <c r="AH106" i="2421"/>
  <c r="AJ106" i="2421"/>
  <c r="AY106" i="2421"/>
  <c r="BN106" i="2421"/>
  <c r="CC106" i="2421"/>
  <c r="CR106" i="2421"/>
  <c r="DG106" i="2421"/>
  <c r="DV106" i="2421"/>
  <c r="EZ106" i="2421"/>
  <c r="FO106" i="2421"/>
  <c r="GD106" i="2421"/>
  <c r="GS106" i="2421"/>
  <c r="HH106" i="2421"/>
  <c r="HW106" i="2421"/>
  <c r="IL106" i="2421"/>
  <c r="JA106" i="2421"/>
  <c r="JP106" i="2421"/>
  <c r="KE106" i="2421"/>
  <c r="KT106" i="2421"/>
  <c r="LI106" i="2421"/>
  <c r="LX106" i="2421"/>
  <c r="MM106" i="2421"/>
  <c r="NB106" i="2421"/>
  <c r="NQ106" i="2421"/>
  <c r="OF106" i="2421"/>
  <c r="PJ106" i="2421"/>
  <c r="PY106" i="2421"/>
  <c r="QN106" i="2421"/>
  <c r="RC106" i="2421"/>
  <c r="A107" i="2421"/>
  <c r="E107" i="2421"/>
  <c r="AG107" i="2421"/>
  <c r="AH107" i="2421"/>
  <c r="AJ107" i="2421"/>
  <c r="AY107" i="2421"/>
  <c r="BN107" i="2421"/>
  <c r="CC107" i="2421"/>
  <c r="CR107" i="2421"/>
  <c r="DG107" i="2421"/>
  <c r="DV107" i="2421"/>
  <c r="EZ107" i="2421"/>
  <c r="FO107" i="2421"/>
  <c r="GD107" i="2421"/>
  <c r="GS107" i="2421"/>
  <c r="HH107" i="2421"/>
  <c r="HW107" i="2421"/>
  <c r="IL107" i="2421"/>
  <c r="JA107" i="2421"/>
  <c r="JP107" i="2421"/>
  <c r="KE107" i="2421"/>
  <c r="KT107" i="2421"/>
  <c r="LI107" i="2421"/>
  <c r="LX107" i="2421"/>
  <c r="MM107" i="2421"/>
  <c r="NB107" i="2421"/>
  <c r="NQ107" i="2421"/>
  <c r="OF107" i="2421"/>
  <c r="PJ107" i="2421"/>
  <c r="PY107" i="2421"/>
  <c r="QN107" i="2421"/>
  <c r="RC107" i="2421"/>
  <c r="A108" i="2421"/>
  <c r="E108" i="2421"/>
  <c r="AG108" i="2421"/>
  <c r="Y108" i="2421" s="1"/>
  <c r="AH108" i="2421"/>
  <c r="AJ108" i="2421"/>
  <c r="AY108" i="2421"/>
  <c r="BN108" i="2421"/>
  <c r="CC108" i="2421"/>
  <c r="CR108" i="2421"/>
  <c r="DG108" i="2421"/>
  <c r="DV108" i="2421"/>
  <c r="EZ108" i="2421"/>
  <c r="FO108" i="2421"/>
  <c r="GD108" i="2421"/>
  <c r="GS108" i="2421"/>
  <c r="HH108" i="2421"/>
  <c r="HW108" i="2421"/>
  <c r="IL108" i="2421"/>
  <c r="JA108" i="2421"/>
  <c r="JP108" i="2421"/>
  <c r="KE108" i="2421"/>
  <c r="KT108" i="2421"/>
  <c r="LI108" i="2421"/>
  <c r="LX108" i="2421"/>
  <c r="MM108" i="2421"/>
  <c r="NB108" i="2421"/>
  <c r="NQ108" i="2421"/>
  <c r="OF108" i="2421"/>
  <c r="PJ108" i="2421"/>
  <c r="PY108" i="2421"/>
  <c r="QN108" i="2421"/>
  <c r="RC108" i="2421"/>
  <c r="A109" i="2421"/>
  <c r="E109" i="2421"/>
  <c r="AG109" i="2421"/>
  <c r="Y109" i="2421" s="1"/>
  <c r="AH109" i="2421"/>
  <c r="AJ109" i="2421"/>
  <c r="AY109" i="2421"/>
  <c r="BN109" i="2421"/>
  <c r="CC109" i="2421"/>
  <c r="CR109" i="2421"/>
  <c r="DG109" i="2421"/>
  <c r="DV109" i="2421"/>
  <c r="EZ109" i="2421"/>
  <c r="FO109" i="2421"/>
  <c r="GD109" i="2421"/>
  <c r="GS109" i="2421"/>
  <c r="HH109" i="2421"/>
  <c r="HW109" i="2421"/>
  <c r="IL109" i="2421"/>
  <c r="JA109" i="2421"/>
  <c r="JP109" i="2421"/>
  <c r="KE109" i="2421"/>
  <c r="KT109" i="2421"/>
  <c r="LI109" i="2421"/>
  <c r="LX109" i="2421"/>
  <c r="MM109" i="2421"/>
  <c r="NB109" i="2421"/>
  <c r="NQ109" i="2421"/>
  <c r="OF109" i="2421"/>
  <c r="PJ109" i="2421"/>
  <c r="PY109" i="2421"/>
  <c r="QN109" i="2421"/>
  <c r="RC109" i="2421"/>
  <c r="A110" i="2421"/>
  <c r="E110" i="2421"/>
  <c r="AG110" i="2421"/>
  <c r="Y110" i="2421" s="1"/>
  <c r="AH110" i="2421"/>
  <c r="AJ110" i="2421"/>
  <c r="AY110" i="2421"/>
  <c r="BN110" i="2421"/>
  <c r="CC110" i="2421"/>
  <c r="CR110" i="2421"/>
  <c r="DG110" i="2421"/>
  <c r="DV110" i="2421"/>
  <c r="EZ110" i="2421"/>
  <c r="FO110" i="2421"/>
  <c r="GD110" i="2421"/>
  <c r="GS110" i="2421"/>
  <c r="HH110" i="2421"/>
  <c r="HW110" i="2421"/>
  <c r="IL110" i="2421"/>
  <c r="JA110" i="2421"/>
  <c r="JP110" i="2421"/>
  <c r="KE110" i="2421"/>
  <c r="KT110" i="2421"/>
  <c r="LI110" i="2421"/>
  <c r="LX110" i="2421"/>
  <c r="MM110" i="2421"/>
  <c r="NB110" i="2421"/>
  <c r="NQ110" i="2421"/>
  <c r="OF110" i="2421"/>
  <c r="PJ110" i="2421"/>
  <c r="PY110" i="2421"/>
  <c r="QN110" i="2421"/>
  <c r="RC110" i="2421"/>
  <c r="A111" i="2421"/>
  <c r="E111" i="2421"/>
  <c r="AG111" i="2421"/>
  <c r="AH111" i="2421"/>
  <c r="AJ111" i="2421"/>
  <c r="AY111" i="2421"/>
  <c r="BN111" i="2421"/>
  <c r="CC111" i="2421"/>
  <c r="CR111" i="2421"/>
  <c r="DG111" i="2421"/>
  <c r="DV111" i="2421"/>
  <c r="EZ111" i="2421"/>
  <c r="FO111" i="2421"/>
  <c r="GD111" i="2421"/>
  <c r="GS111" i="2421"/>
  <c r="HH111" i="2421"/>
  <c r="HW111" i="2421"/>
  <c r="IL111" i="2421"/>
  <c r="JA111" i="2421"/>
  <c r="JP111" i="2421"/>
  <c r="KE111" i="2421"/>
  <c r="KT111" i="2421"/>
  <c r="LI111" i="2421"/>
  <c r="LX111" i="2421"/>
  <c r="MM111" i="2421"/>
  <c r="NB111" i="2421"/>
  <c r="NQ111" i="2421"/>
  <c r="OF111" i="2421"/>
  <c r="PJ111" i="2421"/>
  <c r="PY111" i="2421"/>
  <c r="QN111" i="2421"/>
  <c r="RC111" i="2421"/>
  <c r="A112" i="2421"/>
  <c r="E112" i="2421"/>
  <c r="AG112" i="2421"/>
  <c r="Y112" i="2421" s="1"/>
  <c r="AH112" i="2421"/>
  <c r="AJ112" i="2421"/>
  <c r="AY112" i="2421"/>
  <c r="BN112" i="2421"/>
  <c r="CC112" i="2421"/>
  <c r="CR112" i="2421"/>
  <c r="DG112" i="2421"/>
  <c r="DV112" i="2421"/>
  <c r="EZ112" i="2421"/>
  <c r="FO112" i="2421"/>
  <c r="GD112" i="2421"/>
  <c r="GS112" i="2421"/>
  <c r="HH112" i="2421"/>
  <c r="HW112" i="2421"/>
  <c r="IL112" i="2421"/>
  <c r="JA112" i="2421"/>
  <c r="JP112" i="2421"/>
  <c r="KE112" i="2421"/>
  <c r="KT112" i="2421"/>
  <c r="LI112" i="2421"/>
  <c r="LX112" i="2421"/>
  <c r="MM112" i="2421"/>
  <c r="NB112" i="2421"/>
  <c r="NQ112" i="2421"/>
  <c r="OF112" i="2421"/>
  <c r="PJ112" i="2421"/>
  <c r="PY112" i="2421"/>
  <c r="QN112" i="2421"/>
  <c r="RC112" i="2421"/>
  <c r="A113" i="2421"/>
  <c r="E113" i="2421"/>
  <c r="AG113" i="2421"/>
  <c r="Y113" i="2421" s="1"/>
  <c r="AH113" i="2421"/>
  <c r="AJ113" i="2421"/>
  <c r="AY113" i="2421"/>
  <c r="BN113" i="2421"/>
  <c r="CC113" i="2421"/>
  <c r="CR113" i="2421"/>
  <c r="DG113" i="2421"/>
  <c r="DV113" i="2421"/>
  <c r="EZ113" i="2421"/>
  <c r="FO113" i="2421"/>
  <c r="GD113" i="2421"/>
  <c r="GS113" i="2421"/>
  <c r="HH113" i="2421"/>
  <c r="HW113" i="2421"/>
  <c r="IL113" i="2421"/>
  <c r="JA113" i="2421"/>
  <c r="JP113" i="2421"/>
  <c r="KE113" i="2421"/>
  <c r="KT113" i="2421"/>
  <c r="LI113" i="2421"/>
  <c r="LX113" i="2421"/>
  <c r="MM113" i="2421"/>
  <c r="NB113" i="2421"/>
  <c r="NQ113" i="2421"/>
  <c r="OF113" i="2421"/>
  <c r="PJ113" i="2421"/>
  <c r="PY113" i="2421"/>
  <c r="QN113" i="2421"/>
  <c r="RC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A10" i="2420"/>
  <c r="B10" i="2420"/>
  <c r="C10" i="2420"/>
  <c r="D10" i="2420"/>
  <c r="U10" i="2420"/>
  <c r="AH10" i="2420"/>
  <c r="AI10" i="2420"/>
  <c r="CX10" i="2420"/>
  <c r="DE10" i="2420"/>
  <c r="DF10" i="2420"/>
  <c r="DJ10" i="2420"/>
  <c r="DK10" i="2420"/>
  <c r="DL10" i="2420"/>
  <c r="A11" i="2420"/>
  <c r="B11" i="2420"/>
  <c r="C11" i="2420"/>
  <c r="D11" i="2420"/>
  <c r="U11" i="2420"/>
  <c r="AH11" i="2420"/>
  <c r="AI11" i="2420"/>
  <c r="CX11" i="2420"/>
  <c r="DE11" i="2420"/>
  <c r="DF11" i="2420"/>
  <c r="DJ11" i="2420"/>
  <c r="DK11" i="2420"/>
  <c r="DL11" i="2420"/>
  <c r="A12" i="2420"/>
  <c r="B12" i="2420"/>
  <c r="C12" i="2420"/>
  <c r="D12" i="2420"/>
  <c r="U12" i="2420"/>
  <c r="AH12" i="2420"/>
  <c r="AI12" i="2420"/>
  <c r="CX12" i="2420"/>
  <c r="DE12" i="2420"/>
  <c r="DF12" i="2420"/>
  <c r="DJ12" i="2420"/>
  <c r="DK12" i="2420"/>
  <c r="DL12" i="2420"/>
  <c r="A13" i="2420"/>
  <c r="B13" i="2420"/>
  <c r="C13" i="2420"/>
  <c r="E13" i="2420" s="1"/>
  <c r="D13" i="2420"/>
  <c r="U13" i="2420"/>
  <c r="AH13" i="2420"/>
  <c r="AI13" i="2420"/>
  <c r="CX13" i="2420"/>
  <c r="DE13" i="2420"/>
  <c r="DF13" i="2420"/>
  <c r="DJ13" i="2420"/>
  <c r="DK13" i="2420"/>
  <c r="DL13" i="2420"/>
  <c r="A14" i="2420"/>
  <c r="B14" i="2420"/>
  <c r="C14" i="2420"/>
  <c r="D14" i="2420"/>
  <c r="U14" i="2420"/>
  <c r="AH14" i="2420"/>
  <c r="AI14" i="2420"/>
  <c r="CX14" i="2420"/>
  <c r="DE14" i="2420"/>
  <c r="DF14" i="2420"/>
  <c r="DJ14" i="2420"/>
  <c r="DK14" i="2420"/>
  <c r="DL14" i="2420"/>
  <c r="A15" i="2420"/>
  <c r="B15" i="2420"/>
  <c r="C15" i="2420"/>
  <c r="D15" i="2420"/>
  <c r="U15" i="2420"/>
  <c r="AH15" i="2420"/>
  <c r="AI15" i="2420"/>
  <c r="CX15" i="2420"/>
  <c r="DE15" i="2420"/>
  <c r="DF15" i="2420"/>
  <c r="DJ15" i="2420"/>
  <c r="DK15" i="2420"/>
  <c r="DL15" i="2420"/>
  <c r="A16" i="2420"/>
  <c r="B16" i="2420"/>
  <c r="C16" i="2420"/>
  <c r="D16" i="2420"/>
  <c r="U16" i="2420"/>
  <c r="AH16" i="2420"/>
  <c r="AI16" i="2420"/>
  <c r="CX16" i="2420"/>
  <c r="DE16" i="2420"/>
  <c r="DF16" i="2420"/>
  <c r="DJ16" i="2420"/>
  <c r="DK16" i="2420"/>
  <c r="DL16" i="2420"/>
  <c r="A17" i="2420"/>
  <c r="B17" i="2420"/>
  <c r="C17" i="2420"/>
  <c r="E17" i="2420" s="1"/>
  <c r="D17" i="2420"/>
  <c r="U17" i="2420"/>
  <c r="AH17" i="2420"/>
  <c r="AI17" i="2420"/>
  <c r="CX17" i="2420"/>
  <c r="DE17" i="2420"/>
  <c r="DF17" i="2420"/>
  <c r="DJ17" i="2420"/>
  <c r="DK17" i="2420"/>
  <c r="DL17" i="2420"/>
  <c r="A18" i="2420"/>
  <c r="B18" i="2420"/>
  <c r="C18" i="2420"/>
  <c r="D18" i="2420"/>
  <c r="U18" i="2420"/>
  <c r="AH18" i="2420"/>
  <c r="AI18" i="2420"/>
  <c r="CX18" i="2420"/>
  <c r="DE18" i="2420"/>
  <c r="DF18" i="2420"/>
  <c r="DJ18" i="2420"/>
  <c r="DK18" i="2420"/>
  <c r="DL18" i="2420"/>
  <c r="A19" i="2420"/>
  <c r="B19" i="2420"/>
  <c r="C19" i="2420"/>
  <c r="D19" i="2420"/>
  <c r="U19" i="2420"/>
  <c r="AH19" i="2420"/>
  <c r="AI19" i="2420"/>
  <c r="CX19" i="2420"/>
  <c r="DE19" i="2420"/>
  <c r="DF19" i="2420"/>
  <c r="DJ19" i="2420"/>
  <c r="DK19" i="2420"/>
  <c r="DL19" i="2420"/>
  <c r="A20" i="2420"/>
  <c r="B20" i="2420"/>
  <c r="C20" i="2420"/>
  <c r="D20" i="2420"/>
  <c r="U20" i="2420"/>
  <c r="AH20" i="2420"/>
  <c r="AI20" i="2420"/>
  <c r="CX20" i="2420"/>
  <c r="DE20" i="2420"/>
  <c r="DF20" i="2420"/>
  <c r="DJ20" i="2420"/>
  <c r="DK20" i="2420"/>
  <c r="DL20" i="2420"/>
  <c r="A21" i="2420"/>
  <c r="B21" i="2420"/>
  <c r="C21" i="2420"/>
  <c r="E21" i="2420" s="1"/>
  <c r="D21" i="2420"/>
  <c r="U21" i="2420"/>
  <c r="AH21" i="2420"/>
  <c r="AI21" i="2420"/>
  <c r="CX21" i="2420"/>
  <c r="DE21" i="2420"/>
  <c r="DF21" i="2420"/>
  <c r="DJ21" i="2420"/>
  <c r="DK21" i="2420"/>
  <c r="DL21" i="2420"/>
  <c r="A22" i="2420"/>
  <c r="B22" i="2420"/>
  <c r="C22" i="2420"/>
  <c r="D22" i="2420"/>
  <c r="U22" i="2420"/>
  <c r="AH22" i="2420"/>
  <c r="AI22" i="2420"/>
  <c r="CX22" i="2420"/>
  <c r="DE22" i="2420"/>
  <c r="DF22" i="2420"/>
  <c r="DJ22" i="2420"/>
  <c r="DK22" i="2420"/>
  <c r="DL22" i="2420"/>
  <c r="A23" i="2420"/>
  <c r="G43" i="2388" s="1"/>
  <c r="B23" i="2420"/>
  <c r="C23" i="2420"/>
  <c r="D23" i="2420"/>
  <c r="U23" i="2420"/>
  <c r="AH23" i="2420"/>
  <c r="AI23" i="2420"/>
  <c r="CX23" i="2420"/>
  <c r="DE23" i="2420"/>
  <c r="DF23" i="2420"/>
  <c r="DJ23" i="2420"/>
  <c r="DK23" i="2420"/>
  <c r="DL23" i="2420"/>
  <c r="A24" i="2420"/>
  <c r="B24" i="2420"/>
  <c r="C24" i="2420"/>
  <c r="D24" i="2420"/>
  <c r="U24" i="2420"/>
  <c r="AH24" i="2420"/>
  <c r="AI24" i="2420"/>
  <c r="CX24" i="2420"/>
  <c r="DE24" i="2420"/>
  <c r="DF24" i="2420"/>
  <c r="DJ24" i="2420"/>
  <c r="DK24" i="2420"/>
  <c r="DL24" i="2420"/>
  <c r="A25" i="2420"/>
  <c r="B25" i="2420"/>
  <c r="C25" i="2420"/>
  <c r="E25" i="2420" s="1"/>
  <c r="D25" i="2420"/>
  <c r="U25" i="2420"/>
  <c r="AH25" i="2420"/>
  <c r="AI25" i="2420"/>
  <c r="CX25" i="2420"/>
  <c r="DE25" i="2420"/>
  <c r="DF25" i="2420"/>
  <c r="DJ25" i="2420"/>
  <c r="DK25" i="2420"/>
  <c r="DL25" i="2420"/>
  <c r="A26" i="2420"/>
  <c r="B26" i="2420"/>
  <c r="C26" i="2420"/>
  <c r="D26" i="2420"/>
  <c r="U26" i="2420"/>
  <c r="AH26" i="2420"/>
  <c r="AI26" i="2420"/>
  <c r="CX26" i="2420"/>
  <c r="DE26" i="2420"/>
  <c r="DF26" i="2420"/>
  <c r="DJ26" i="2420"/>
  <c r="DK26" i="2420"/>
  <c r="DL26" i="2420"/>
  <c r="A27" i="2420"/>
  <c r="G47" i="2388" s="1"/>
  <c r="B27" i="2420"/>
  <c r="C27" i="2420"/>
  <c r="D27" i="2420"/>
  <c r="U27" i="2420"/>
  <c r="AH27" i="2420"/>
  <c r="AI27" i="2420"/>
  <c r="CX27" i="2420"/>
  <c r="DE27" i="2420"/>
  <c r="DF27" i="2420"/>
  <c r="DJ27" i="2420"/>
  <c r="DK27" i="2420"/>
  <c r="DL27" i="2420"/>
  <c r="A28" i="2420"/>
  <c r="G48" i="2388" s="1"/>
  <c r="B28" i="2420"/>
  <c r="C28" i="2420"/>
  <c r="D28" i="2420"/>
  <c r="U28" i="2420"/>
  <c r="AH28" i="2420"/>
  <c r="AI28" i="2420"/>
  <c r="CX28" i="2420"/>
  <c r="DE28" i="2420"/>
  <c r="DF28" i="2420"/>
  <c r="DJ28" i="2420"/>
  <c r="DK28" i="2420"/>
  <c r="DL28" i="2420"/>
  <c r="A29" i="2420"/>
  <c r="G49" i="2388" s="1"/>
  <c r="B29" i="2420"/>
  <c r="C29" i="2420"/>
  <c r="E29" i="2420" s="1"/>
  <c r="D29" i="2420"/>
  <c r="U29" i="2420"/>
  <c r="AH29" i="2420"/>
  <c r="AI29" i="2420"/>
  <c r="CX29" i="2420"/>
  <c r="DE29" i="2420"/>
  <c r="DF29" i="2420"/>
  <c r="DJ29" i="2420"/>
  <c r="DK29" i="2420"/>
  <c r="DL29" i="2420"/>
  <c r="A30" i="2420"/>
  <c r="G50" i="2388" s="1"/>
  <c r="B30" i="2420"/>
  <c r="C30" i="2420"/>
  <c r="D30" i="2420"/>
  <c r="U30" i="2420"/>
  <c r="AH30" i="2420"/>
  <c r="AI30" i="2420"/>
  <c r="CX30" i="2420"/>
  <c r="DE30" i="2420"/>
  <c r="DF30" i="2420"/>
  <c r="DJ30" i="2420"/>
  <c r="DK30" i="2420"/>
  <c r="DL30" i="2420"/>
  <c r="A31" i="2420"/>
  <c r="G51" i="2388" s="1"/>
  <c r="B31" i="2420"/>
  <c r="C31" i="2420"/>
  <c r="D31" i="2420"/>
  <c r="U31" i="2420"/>
  <c r="AH31" i="2420"/>
  <c r="AI31" i="2420"/>
  <c r="CX31" i="2420"/>
  <c r="DE31" i="2420"/>
  <c r="DF31" i="2420"/>
  <c r="DJ31" i="2420"/>
  <c r="DK31" i="2420"/>
  <c r="DL31" i="2420"/>
  <c r="A32" i="2420"/>
  <c r="G52" i="2388" s="1"/>
  <c r="B32" i="2420"/>
  <c r="C32" i="2420"/>
  <c r="D32" i="2420"/>
  <c r="U32" i="2420"/>
  <c r="AH32" i="2420"/>
  <c r="AI32" i="2420"/>
  <c r="CX32" i="2420"/>
  <c r="DE32" i="2420"/>
  <c r="DF32" i="2420"/>
  <c r="DJ32" i="2420"/>
  <c r="DK32" i="2420"/>
  <c r="DL32" i="2420"/>
  <c r="A33" i="2420"/>
  <c r="B33" i="2420"/>
  <c r="C33" i="2420"/>
  <c r="E33" i="2420" s="1"/>
  <c r="D33" i="2420"/>
  <c r="U33" i="2420"/>
  <c r="AH33" i="2420"/>
  <c r="AI33" i="2420"/>
  <c r="CX33" i="2420"/>
  <c r="DE33" i="2420"/>
  <c r="DF33" i="2420"/>
  <c r="DJ33" i="2420"/>
  <c r="DK33" i="2420"/>
  <c r="DL33" i="2420"/>
  <c r="A34" i="2420"/>
  <c r="G54" i="2388" s="1"/>
  <c r="B34" i="2420"/>
  <c r="C34" i="2420"/>
  <c r="D34" i="2420"/>
  <c r="U34" i="2420"/>
  <c r="AH34" i="2420"/>
  <c r="AI34" i="2420"/>
  <c r="CX34" i="2420"/>
  <c r="DE34" i="2420"/>
  <c r="DF34" i="2420"/>
  <c r="DJ34" i="2420"/>
  <c r="DK34" i="2420"/>
  <c r="DL34" i="2420"/>
  <c r="A35" i="2420"/>
  <c r="G55" i="2388" s="1"/>
  <c r="B35" i="2420"/>
  <c r="C35" i="2420"/>
  <c r="D35" i="2420"/>
  <c r="U35" i="2420"/>
  <c r="AH35" i="2420"/>
  <c r="AI35" i="2420"/>
  <c r="CX35" i="2420"/>
  <c r="DE35" i="2420"/>
  <c r="DF35" i="2420"/>
  <c r="DJ35" i="2420"/>
  <c r="DK35" i="2420"/>
  <c r="DL35" i="2420"/>
  <c r="A36" i="2420"/>
  <c r="G56" i="2388" s="1"/>
  <c r="B36" i="2420"/>
  <c r="C36" i="2420"/>
  <c r="D36" i="2420"/>
  <c r="U36" i="2420"/>
  <c r="AH36" i="2420"/>
  <c r="AI36" i="2420"/>
  <c r="CX36" i="2420"/>
  <c r="DE36" i="2420"/>
  <c r="DF36" i="2420"/>
  <c r="DJ36" i="2420"/>
  <c r="DK36" i="2420"/>
  <c r="DL36" i="2420"/>
  <c r="A37" i="2420"/>
  <c r="G57" i="2388" s="1"/>
  <c r="B37" i="2420"/>
  <c r="C37" i="2420"/>
  <c r="E37" i="2420" s="1"/>
  <c r="D37" i="2420"/>
  <c r="U37" i="2420"/>
  <c r="AH37" i="2420"/>
  <c r="AI37" i="2420"/>
  <c r="CX37" i="2420"/>
  <c r="DE37" i="2420"/>
  <c r="DF37" i="2420"/>
  <c r="DJ37" i="2420"/>
  <c r="DK37" i="2420"/>
  <c r="DL37" i="2420"/>
  <c r="A38" i="2420"/>
  <c r="G58" i="2388" s="1"/>
  <c r="B38" i="2420"/>
  <c r="C38" i="2420"/>
  <c r="D38" i="2420"/>
  <c r="U38" i="2420"/>
  <c r="AH38" i="2420"/>
  <c r="AI38" i="2420"/>
  <c r="CX38" i="2420"/>
  <c r="DE38" i="2420"/>
  <c r="DF38" i="2420"/>
  <c r="DJ38" i="2420"/>
  <c r="DK38" i="2420"/>
  <c r="DL38" i="2420"/>
  <c r="A39" i="2420"/>
  <c r="G59" i="2388" s="1"/>
  <c r="B39" i="2420"/>
  <c r="C39" i="2420"/>
  <c r="D39" i="2420"/>
  <c r="U39" i="2420"/>
  <c r="AH39" i="2420"/>
  <c r="AI39" i="2420"/>
  <c r="CX39" i="2420"/>
  <c r="DE39" i="2420"/>
  <c r="DF39" i="2420"/>
  <c r="DJ39" i="2420"/>
  <c r="DK39" i="2420"/>
  <c r="DL39" i="2420"/>
  <c r="A40" i="2420"/>
  <c r="G60" i="2388" s="1"/>
  <c r="B40" i="2420"/>
  <c r="C40" i="2420"/>
  <c r="D40" i="2420"/>
  <c r="U40" i="2420"/>
  <c r="AH40" i="2420"/>
  <c r="AI40" i="2420"/>
  <c r="CX40" i="2420"/>
  <c r="DE40" i="2420"/>
  <c r="DF40" i="2420"/>
  <c r="DJ40" i="2420"/>
  <c r="DK40" i="2420"/>
  <c r="DL40" i="2420"/>
  <c r="A41" i="2420"/>
  <c r="G61" i="2388" s="1"/>
  <c r="B41" i="2420"/>
  <c r="C41" i="2420"/>
  <c r="E41" i="2420" s="1"/>
  <c r="D41" i="2420"/>
  <c r="U41" i="2420"/>
  <c r="AH41" i="2420"/>
  <c r="AI41" i="2420"/>
  <c r="CX41" i="2420"/>
  <c r="DE41" i="2420"/>
  <c r="DF41" i="2420"/>
  <c r="DJ41" i="2420"/>
  <c r="DK41" i="2420"/>
  <c r="DL41" i="2420"/>
  <c r="A42" i="2420"/>
  <c r="G62" i="2388" s="1"/>
  <c r="B42" i="2420"/>
  <c r="C42" i="2420"/>
  <c r="D42" i="2420"/>
  <c r="U42" i="2420"/>
  <c r="AH42" i="2420"/>
  <c r="AI42" i="2420"/>
  <c r="CX42" i="2420"/>
  <c r="DE42" i="2420"/>
  <c r="DF42" i="2420"/>
  <c r="DJ42" i="2420"/>
  <c r="DK42" i="2420"/>
  <c r="DL42" i="2420"/>
  <c r="A43" i="2420"/>
  <c r="G63" i="2388" s="1"/>
  <c r="B43" i="2420"/>
  <c r="C43" i="2420"/>
  <c r="D43" i="2420"/>
  <c r="U43" i="2420"/>
  <c r="AH43" i="2420"/>
  <c r="AI43" i="2420"/>
  <c r="CX43" i="2420"/>
  <c r="DE43" i="2420"/>
  <c r="DF43" i="2420"/>
  <c r="DJ43" i="2420"/>
  <c r="DK43" i="2420"/>
  <c r="DL43" i="2420"/>
  <c r="A44" i="2420"/>
  <c r="G64" i="2388" s="1"/>
  <c r="B44" i="2420"/>
  <c r="C44" i="2420"/>
  <c r="D44" i="2420"/>
  <c r="U44" i="2420"/>
  <c r="AH44" i="2420"/>
  <c r="AI44" i="2420"/>
  <c r="CX44" i="2420"/>
  <c r="DE44" i="2420"/>
  <c r="DF44" i="2420"/>
  <c r="DJ44" i="2420"/>
  <c r="DK44" i="2420"/>
  <c r="DL44" i="2420"/>
  <c r="A45" i="2420"/>
  <c r="G65" i="2388" s="1"/>
  <c r="B45" i="2420"/>
  <c r="C45" i="2420"/>
  <c r="E45" i="2420" s="1"/>
  <c r="D45" i="2420"/>
  <c r="U45" i="2420"/>
  <c r="AH45" i="2420"/>
  <c r="AI45" i="2420"/>
  <c r="CX45" i="2420"/>
  <c r="DE45" i="2420"/>
  <c r="DF45" i="2420"/>
  <c r="DJ45" i="2420"/>
  <c r="DK45" i="2420"/>
  <c r="DL45" i="2420"/>
  <c r="A46" i="2420"/>
  <c r="G66" i="2388" s="1"/>
  <c r="B46" i="2420"/>
  <c r="C46" i="2420"/>
  <c r="D46" i="2420"/>
  <c r="U46" i="2420"/>
  <c r="AH46" i="2420"/>
  <c r="AI46" i="2420"/>
  <c r="CX46" i="2420"/>
  <c r="DE46" i="2420"/>
  <c r="DF46" i="2420"/>
  <c r="DJ46" i="2420"/>
  <c r="DK46" i="2420"/>
  <c r="DL46" i="2420"/>
  <c r="A47" i="2420"/>
  <c r="G67" i="2388" s="1"/>
  <c r="B47" i="2420"/>
  <c r="C47" i="2420"/>
  <c r="D47" i="2420"/>
  <c r="U47" i="2420"/>
  <c r="AH47" i="2420"/>
  <c r="AI47" i="2420"/>
  <c r="CX47" i="2420"/>
  <c r="DE47" i="2420"/>
  <c r="DF47" i="2420"/>
  <c r="DJ47" i="2420"/>
  <c r="DK47" i="2420"/>
  <c r="DL47" i="2420"/>
  <c r="A48" i="2420"/>
  <c r="G68" i="2388" s="1"/>
  <c r="B48" i="2420"/>
  <c r="C48" i="2420"/>
  <c r="D48" i="2420"/>
  <c r="U48" i="2420"/>
  <c r="AH48" i="2420"/>
  <c r="AI48" i="2420"/>
  <c r="CX48" i="2420"/>
  <c r="DE48" i="2420"/>
  <c r="DF48" i="2420"/>
  <c r="DJ48" i="2420"/>
  <c r="DK48" i="2420"/>
  <c r="DL48" i="2420"/>
  <c r="A49" i="2420"/>
  <c r="G69" i="2388" s="1"/>
  <c r="B49" i="2420"/>
  <c r="C49" i="2420"/>
  <c r="E49" i="2420" s="1"/>
  <c r="D49" i="2420"/>
  <c r="U49" i="2420"/>
  <c r="AH49" i="2420"/>
  <c r="AI49" i="2420"/>
  <c r="CX49" i="2420"/>
  <c r="DE49" i="2420"/>
  <c r="DF49" i="2420"/>
  <c r="DJ49" i="2420"/>
  <c r="DK49" i="2420"/>
  <c r="DL49" i="2420"/>
  <c r="A50" i="2420"/>
  <c r="G70" i="2388" s="1"/>
  <c r="B50" i="2420"/>
  <c r="C50" i="2420"/>
  <c r="D50" i="2420"/>
  <c r="U50" i="2420"/>
  <c r="AH50" i="2420"/>
  <c r="AI50" i="2420"/>
  <c r="CX50" i="2420"/>
  <c r="DE50" i="2420"/>
  <c r="DF50" i="2420"/>
  <c r="DJ50" i="2420"/>
  <c r="DK50" i="2420"/>
  <c r="DL50" i="2420"/>
  <c r="A51" i="2420"/>
  <c r="G71" i="2388" s="1"/>
  <c r="B51" i="2420"/>
  <c r="C51" i="2420"/>
  <c r="D51" i="2420"/>
  <c r="U51" i="2420"/>
  <c r="AH51" i="2420"/>
  <c r="AI51" i="2420"/>
  <c r="CX51" i="2420"/>
  <c r="DE51" i="2420"/>
  <c r="DF51" i="2420"/>
  <c r="DJ51" i="2420"/>
  <c r="DK51" i="2420"/>
  <c r="DL51" i="2420"/>
  <c r="A52" i="2420"/>
  <c r="G72" i="2388" s="1"/>
  <c r="B52" i="2420"/>
  <c r="C52" i="2420"/>
  <c r="D52" i="2420"/>
  <c r="U52" i="2420"/>
  <c r="AH52" i="2420"/>
  <c r="AI52" i="2420"/>
  <c r="CX52" i="2420"/>
  <c r="DE52" i="2420"/>
  <c r="DF52" i="2420"/>
  <c r="DJ52" i="2420"/>
  <c r="DK52" i="2420"/>
  <c r="DL52" i="2420"/>
  <c r="A53" i="2420"/>
  <c r="G73" i="2388" s="1"/>
  <c r="B53" i="2420"/>
  <c r="C53" i="2420"/>
  <c r="E53" i="2420" s="1"/>
  <c r="D53" i="2420"/>
  <c r="U53" i="2420"/>
  <c r="AH53" i="2420"/>
  <c r="AI53" i="2420"/>
  <c r="CX53" i="2420"/>
  <c r="DE53" i="2420"/>
  <c r="DF53" i="2420"/>
  <c r="DJ53" i="2420"/>
  <c r="DK53" i="2420"/>
  <c r="DL53" i="2420"/>
  <c r="A54" i="2420"/>
  <c r="G74" i="2388" s="1"/>
  <c r="B54" i="2420"/>
  <c r="C54" i="2420"/>
  <c r="D54" i="2420"/>
  <c r="U54" i="2420"/>
  <c r="AH54" i="2420"/>
  <c r="AI54" i="2420"/>
  <c r="CX54" i="2420"/>
  <c r="DE54" i="2420"/>
  <c r="DF54" i="2420"/>
  <c r="DJ54" i="2420"/>
  <c r="DK54" i="2420"/>
  <c r="DL54" i="2420"/>
  <c r="A55" i="2420"/>
  <c r="G75" i="2388" s="1"/>
  <c r="B55" i="2420"/>
  <c r="C55" i="2420"/>
  <c r="D55" i="2420"/>
  <c r="U55" i="2420"/>
  <c r="AH55" i="2420"/>
  <c r="AI55" i="2420"/>
  <c r="CX55" i="2420"/>
  <c r="DE55" i="2420"/>
  <c r="DF55" i="2420"/>
  <c r="DJ55" i="2420"/>
  <c r="DK55" i="2420"/>
  <c r="DL55" i="2420"/>
  <c r="A56" i="2420"/>
  <c r="G76" i="2388" s="1"/>
  <c r="B56" i="2420"/>
  <c r="C56" i="2420"/>
  <c r="D56" i="2420"/>
  <c r="U56" i="2420"/>
  <c r="AH56" i="2420"/>
  <c r="AI56" i="2420"/>
  <c r="CX56" i="2420"/>
  <c r="DE56" i="2420"/>
  <c r="DF56" i="2420"/>
  <c r="DJ56" i="2420"/>
  <c r="DK56" i="2420"/>
  <c r="DL56" i="2420"/>
  <c r="A57" i="2420"/>
  <c r="G77" i="2388" s="1"/>
  <c r="B57" i="2420"/>
  <c r="C57" i="2420"/>
  <c r="D57" i="2420"/>
  <c r="U57" i="2420"/>
  <c r="AH57" i="2420"/>
  <c r="AI57" i="2420"/>
  <c r="CX57" i="2420"/>
  <c r="DE57" i="2420"/>
  <c r="DF57" i="2420"/>
  <c r="DJ57" i="2420"/>
  <c r="DK57" i="2420"/>
  <c r="DL57" i="2420"/>
  <c r="A58" i="2420"/>
  <c r="G78" i="2388" s="1"/>
  <c r="B58" i="2420"/>
  <c r="C58" i="2420"/>
  <c r="D58" i="2420"/>
  <c r="U58" i="2420"/>
  <c r="AH58" i="2420"/>
  <c r="AI58" i="2420"/>
  <c r="CX58" i="2420"/>
  <c r="DE58" i="2420"/>
  <c r="DF58" i="2420"/>
  <c r="DJ58" i="2420"/>
  <c r="DK58" i="2420"/>
  <c r="DL58" i="2420"/>
  <c r="A59" i="2420"/>
  <c r="G79" i="2388" s="1"/>
  <c r="B59" i="2420"/>
  <c r="C59" i="2420"/>
  <c r="D59" i="2420"/>
  <c r="U59" i="2420"/>
  <c r="AH59" i="2420"/>
  <c r="AI59" i="2420"/>
  <c r="CX59" i="2420"/>
  <c r="DE59" i="2420"/>
  <c r="DF59" i="2420"/>
  <c r="DJ59" i="2420"/>
  <c r="DK59" i="2420"/>
  <c r="DL59" i="2420"/>
  <c r="A60" i="2420"/>
  <c r="G80" i="2388" s="1"/>
  <c r="B60" i="2420"/>
  <c r="C60" i="2420"/>
  <c r="D60" i="2420"/>
  <c r="U60" i="2420"/>
  <c r="AH60" i="2420"/>
  <c r="AI60" i="2420"/>
  <c r="CX60" i="2420"/>
  <c r="DE60" i="2420"/>
  <c r="DF60" i="2420"/>
  <c r="DJ60" i="2420"/>
  <c r="DK60" i="2420"/>
  <c r="DL60" i="2420"/>
  <c r="A61" i="2420"/>
  <c r="G81" i="2388" s="1"/>
  <c r="B61" i="2420"/>
  <c r="C61" i="2420"/>
  <c r="E61" i="2420" s="1"/>
  <c r="D61" i="2420"/>
  <c r="U61" i="2420"/>
  <c r="AH61" i="2420"/>
  <c r="AI61" i="2420"/>
  <c r="CX61" i="2420"/>
  <c r="DE61" i="2420"/>
  <c r="DF61" i="2420"/>
  <c r="DJ61" i="2420"/>
  <c r="DK61" i="2420"/>
  <c r="DL61" i="2420"/>
  <c r="A62" i="2420"/>
  <c r="G82" i="2388" s="1"/>
  <c r="B62" i="2420"/>
  <c r="C62" i="2420"/>
  <c r="D62" i="2420"/>
  <c r="U62" i="2420"/>
  <c r="AH62" i="2420"/>
  <c r="AI62" i="2420"/>
  <c r="CX62" i="2420"/>
  <c r="DE62" i="2420"/>
  <c r="DF62" i="2420"/>
  <c r="DJ62" i="2420"/>
  <c r="DK62" i="2420"/>
  <c r="DL62" i="2420"/>
  <c r="A63" i="2420"/>
  <c r="G83" i="2388" s="1"/>
  <c r="B63" i="2420"/>
  <c r="C63" i="2420"/>
  <c r="D63" i="2420"/>
  <c r="U63" i="2420"/>
  <c r="AH63" i="2420"/>
  <c r="AI63" i="2420"/>
  <c r="CX63" i="2420"/>
  <c r="DE63" i="2420"/>
  <c r="DF63" i="2420"/>
  <c r="DJ63" i="2420"/>
  <c r="DK63" i="2420"/>
  <c r="DL63" i="2420"/>
  <c r="A64" i="2420"/>
  <c r="G84" i="2388" s="1"/>
  <c r="B64" i="2420"/>
  <c r="C64" i="2420"/>
  <c r="D64" i="2420"/>
  <c r="U64" i="2420"/>
  <c r="AH64" i="2420"/>
  <c r="AI64" i="2420"/>
  <c r="CX64" i="2420"/>
  <c r="DE64" i="2420"/>
  <c r="DF64" i="2420"/>
  <c r="DJ64" i="2420"/>
  <c r="DK64" i="2420"/>
  <c r="DL64" i="2420"/>
  <c r="A65" i="2420"/>
  <c r="G85" i="2388" s="1"/>
  <c r="B65" i="2420"/>
  <c r="C65" i="2420"/>
  <c r="D65" i="2420"/>
  <c r="U65" i="2420"/>
  <c r="AH65" i="2420"/>
  <c r="AI65" i="2420"/>
  <c r="CX65" i="2420"/>
  <c r="DE65" i="2420"/>
  <c r="DF65" i="2420"/>
  <c r="DJ65" i="2420"/>
  <c r="DK65" i="2420"/>
  <c r="DL65" i="2420"/>
  <c r="A66" i="2420"/>
  <c r="G86" i="2388" s="1"/>
  <c r="B66" i="2420"/>
  <c r="C66" i="2420"/>
  <c r="D66" i="2420"/>
  <c r="U66" i="2420"/>
  <c r="AH66" i="2420"/>
  <c r="AI66" i="2420"/>
  <c r="CX66" i="2420"/>
  <c r="DE66" i="2420"/>
  <c r="DF66" i="2420"/>
  <c r="DJ66" i="2420"/>
  <c r="DK66" i="2420"/>
  <c r="DL66" i="2420"/>
  <c r="A67" i="2420"/>
  <c r="G87" i="2388" s="1"/>
  <c r="B67" i="2420"/>
  <c r="C67" i="2420"/>
  <c r="D67" i="2420"/>
  <c r="U67" i="2420"/>
  <c r="AH67" i="2420"/>
  <c r="AI67" i="2420"/>
  <c r="CX67" i="2420"/>
  <c r="DE67" i="2420"/>
  <c r="DF67" i="2420"/>
  <c r="DJ67" i="2420"/>
  <c r="DK67" i="2420"/>
  <c r="DL67" i="2420"/>
  <c r="A68" i="2420"/>
  <c r="G88" i="2388" s="1"/>
  <c r="B68" i="2420"/>
  <c r="C68" i="2420"/>
  <c r="D68" i="2420"/>
  <c r="U68" i="2420"/>
  <c r="AH68" i="2420"/>
  <c r="AI68" i="2420"/>
  <c r="CX68" i="2420"/>
  <c r="DE68" i="2420"/>
  <c r="DF68" i="2420"/>
  <c r="DJ68" i="2420"/>
  <c r="DK68" i="2420"/>
  <c r="DL68" i="2420"/>
  <c r="A69" i="2420"/>
  <c r="G89" i="2388" s="1"/>
  <c r="B69" i="2420"/>
  <c r="C69" i="2420"/>
  <c r="E69" i="2420" s="1"/>
  <c r="D69" i="2420"/>
  <c r="U69" i="2420"/>
  <c r="AH69" i="2420"/>
  <c r="AI69" i="2420"/>
  <c r="CX69" i="2420"/>
  <c r="DE69" i="2420"/>
  <c r="DF69" i="2420"/>
  <c r="DJ69" i="2420"/>
  <c r="DK69" i="2420"/>
  <c r="DL69" i="2420"/>
  <c r="A70" i="2420"/>
  <c r="G90" i="2388" s="1"/>
  <c r="B70" i="2420"/>
  <c r="C70" i="2420"/>
  <c r="D70" i="2420"/>
  <c r="U70" i="2420"/>
  <c r="AH70" i="2420"/>
  <c r="AI70" i="2420"/>
  <c r="CX70" i="2420"/>
  <c r="DE70" i="2420"/>
  <c r="DF70" i="2420"/>
  <c r="DJ70" i="2420"/>
  <c r="DK70" i="2420"/>
  <c r="DL70" i="2420"/>
  <c r="A71" i="2420"/>
  <c r="G91" i="2388" s="1"/>
  <c r="B71" i="2420"/>
  <c r="C71" i="2420"/>
  <c r="D71" i="2420"/>
  <c r="U71" i="2420"/>
  <c r="AH71" i="2420"/>
  <c r="AI71" i="2420"/>
  <c r="CX71" i="2420"/>
  <c r="DE71" i="2420"/>
  <c r="DF71" i="2420"/>
  <c r="DJ71" i="2420"/>
  <c r="DK71" i="2420"/>
  <c r="DL71" i="2420"/>
  <c r="A72" i="2420"/>
  <c r="G92" i="2388" s="1"/>
  <c r="B72" i="2420"/>
  <c r="C72" i="2420"/>
  <c r="D72" i="2420"/>
  <c r="U72" i="2420"/>
  <c r="AH72" i="2420"/>
  <c r="AI72" i="2420"/>
  <c r="CX72" i="2420"/>
  <c r="DE72" i="2420"/>
  <c r="DF72" i="2420"/>
  <c r="DJ72" i="2420"/>
  <c r="DK72" i="2420"/>
  <c r="DL72" i="2420"/>
  <c r="A73" i="2420"/>
  <c r="G93" i="2388" s="1"/>
  <c r="B73" i="2420"/>
  <c r="C73" i="2420"/>
  <c r="E73" i="2420" s="1"/>
  <c r="D73" i="2420"/>
  <c r="U73" i="2420"/>
  <c r="AH73" i="2420"/>
  <c r="AI73" i="2420"/>
  <c r="CX73" i="2420"/>
  <c r="DE73" i="2420"/>
  <c r="DF73" i="2420"/>
  <c r="DJ73" i="2420"/>
  <c r="DK73" i="2420"/>
  <c r="DL73" i="2420"/>
  <c r="A74" i="2420"/>
  <c r="G94" i="2388" s="1"/>
  <c r="B74" i="2420"/>
  <c r="C74" i="2420"/>
  <c r="D74" i="2420"/>
  <c r="U74" i="2420"/>
  <c r="AH74" i="2420"/>
  <c r="AI74" i="2420"/>
  <c r="CX74" i="2420"/>
  <c r="DE74" i="2420"/>
  <c r="DF74" i="2420"/>
  <c r="DJ74" i="2420"/>
  <c r="DK74" i="2420"/>
  <c r="DL74" i="2420"/>
  <c r="A75" i="2420"/>
  <c r="G95" i="2388" s="1"/>
  <c r="B75" i="2420"/>
  <c r="C75" i="2420"/>
  <c r="D75" i="2420"/>
  <c r="U75" i="2420"/>
  <c r="AH75" i="2420"/>
  <c r="AI75" i="2420"/>
  <c r="CX75" i="2420"/>
  <c r="DE75" i="2420"/>
  <c r="DF75" i="2420"/>
  <c r="DJ75" i="2420"/>
  <c r="DK75" i="2420"/>
  <c r="DL75" i="2420"/>
  <c r="A76" i="2420"/>
  <c r="G96" i="2388" s="1"/>
  <c r="B76" i="2420"/>
  <c r="C76" i="2420"/>
  <c r="D76" i="2420"/>
  <c r="U76" i="2420"/>
  <c r="AH76" i="2420"/>
  <c r="AI76" i="2420"/>
  <c r="CX76" i="2420"/>
  <c r="DE76" i="2420"/>
  <c r="DF76" i="2420"/>
  <c r="DJ76" i="2420"/>
  <c r="DK76" i="2420"/>
  <c r="DL76" i="2420"/>
  <c r="A77" i="2420"/>
  <c r="G97" i="2388" s="1"/>
  <c r="B77" i="2420"/>
  <c r="C77" i="2420"/>
  <c r="E77" i="2420" s="1"/>
  <c r="D77" i="2420"/>
  <c r="U77" i="2420"/>
  <c r="AH77" i="2420"/>
  <c r="AI77" i="2420"/>
  <c r="CX77" i="2420"/>
  <c r="DE77" i="2420"/>
  <c r="DF77" i="2420"/>
  <c r="DJ77" i="2420"/>
  <c r="DK77" i="2420"/>
  <c r="DL77" i="2420"/>
  <c r="A78" i="2420"/>
  <c r="G98" i="2388" s="1"/>
  <c r="B78" i="2420"/>
  <c r="C78" i="2420"/>
  <c r="D78" i="2420"/>
  <c r="U78" i="2420"/>
  <c r="AH78" i="2420"/>
  <c r="AI78" i="2420"/>
  <c r="CX78" i="2420"/>
  <c r="DE78" i="2420"/>
  <c r="DF78" i="2420"/>
  <c r="DJ78" i="2420"/>
  <c r="DK78" i="2420"/>
  <c r="DL78" i="2420"/>
  <c r="A79" i="2420"/>
  <c r="G99" i="2388" s="1"/>
  <c r="B79" i="2420"/>
  <c r="C79" i="2420"/>
  <c r="D79" i="2420"/>
  <c r="U79" i="2420"/>
  <c r="AH79" i="2420"/>
  <c r="AI79" i="2420"/>
  <c r="CX79" i="2420"/>
  <c r="DE79" i="2420"/>
  <c r="DF79" i="2420"/>
  <c r="DJ79" i="2420"/>
  <c r="DK79" i="2420"/>
  <c r="DL79" i="2420"/>
  <c r="A80" i="2420"/>
  <c r="G100" i="2388" s="1"/>
  <c r="B80" i="2420"/>
  <c r="C80" i="2420"/>
  <c r="D80" i="2420"/>
  <c r="U80" i="2420"/>
  <c r="AH80" i="2420"/>
  <c r="AI80" i="2420"/>
  <c r="CX80" i="2420"/>
  <c r="DE80" i="2420"/>
  <c r="DF80" i="2420"/>
  <c r="DJ80" i="2420"/>
  <c r="DK80" i="2420"/>
  <c r="DL80" i="2420"/>
  <c r="A81" i="2420"/>
  <c r="G101" i="2388" s="1"/>
  <c r="B81" i="2420"/>
  <c r="C81" i="2420"/>
  <c r="E81" i="2420" s="1"/>
  <c r="D81" i="2420"/>
  <c r="U81" i="2420"/>
  <c r="AH81" i="2420"/>
  <c r="AI81" i="2420"/>
  <c r="CX81" i="2420"/>
  <c r="DE81" i="2420"/>
  <c r="DF81" i="2420"/>
  <c r="DJ81" i="2420"/>
  <c r="DK81" i="2420"/>
  <c r="DL81" i="2420"/>
  <c r="A82" i="2420"/>
  <c r="G102" i="2388" s="1"/>
  <c r="B82" i="2420"/>
  <c r="C82" i="2420"/>
  <c r="D82" i="2420"/>
  <c r="U82" i="2420"/>
  <c r="AH82" i="2420"/>
  <c r="AI82" i="2420"/>
  <c r="CX82" i="2420"/>
  <c r="DE82" i="2420"/>
  <c r="DF82" i="2420"/>
  <c r="DJ82" i="2420"/>
  <c r="DK82" i="2420"/>
  <c r="DL82" i="2420"/>
  <c r="A83" i="2420"/>
  <c r="G103" i="2388" s="1"/>
  <c r="B83" i="2420"/>
  <c r="C83" i="2420"/>
  <c r="D83" i="2420"/>
  <c r="U83" i="2420"/>
  <c r="AH83" i="2420"/>
  <c r="AI83" i="2420"/>
  <c r="CX83" i="2420"/>
  <c r="DE83" i="2420"/>
  <c r="DF83" i="2420"/>
  <c r="DJ83" i="2420"/>
  <c r="DK83" i="2420"/>
  <c r="DL83" i="2420"/>
  <c r="A84" i="2420"/>
  <c r="G104" i="2388" s="1"/>
  <c r="B84" i="2420"/>
  <c r="C84" i="2420"/>
  <c r="D84" i="2420"/>
  <c r="U84" i="2420"/>
  <c r="AH84" i="2420"/>
  <c r="AI84" i="2420"/>
  <c r="CX84" i="2420"/>
  <c r="DE84" i="2420"/>
  <c r="DF84" i="2420"/>
  <c r="DJ84" i="2420"/>
  <c r="DK84" i="2420"/>
  <c r="DL84" i="2420"/>
  <c r="A85" i="2420"/>
  <c r="G105" i="2388" s="1"/>
  <c r="B85" i="2420"/>
  <c r="C85" i="2420"/>
  <c r="E85" i="2420" s="1"/>
  <c r="D85" i="2420"/>
  <c r="U85" i="2420"/>
  <c r="AH85" i="2420"/>
  <c r="AI85" i="2420"/>
  <c r="CX85" i="2420"/>
  <c r="DE85" i="2420"/>
  <c r="DF85" i="2420"/>
  <c r="DJ85" i="2420"/>
  <c r="DK85" i="2420"/>
  <c r="DL85" i="2420"/>
  <c r="A86" i="2420"/>
  <c r="G106" i="2388" s="1"/>
  <c r="B86" i="2420"/>
  <c r="C86" i="2420"/>
  <c r="D86" i="2420"/>
  <c r="U86" i="2420"/>
  <c r="AH86" i="2420"/>
  <c r="AI86" i="2420"/>
  <c r="CX86" i="2420"/>
  <c r="DE86" i="2420"/>
  <c r="DF86" i="2420"/>
  <c r="DJ86" i="2420"/>
  <c r="DK86" i="2420"/>
  <c r="DL86" i="2420"/>
  <c r="A87" i="2420"/>
  <c r="B87" i="2420"/>
  <c r="C87" i="2420"/>
  <c r="D87" i="2420"/>
  <c r="U87" i="2420"/>
  <c r="AH87" i="2420"/>
  <c r="AI87" i="2420"/>
  <c r="CX87" i="2420"/>
  <c r="DE87" i="2420"/>
  <c r="DF87" i="2420"/>
  <c r="DJ87" i="2420"/>
  <c r="DK87" i="2420"/>
  <c r="DL87" i="2420"/>
  <c r="A88" i="2420"/>
  <c r="G108" i="2388" s="1"/>
  <c r="B88" i="2420"/>
  <c r="C88" i="2420"/>
  <c r="D88" i="2420"/>
  <c r="U88" i="2420"/>
  <c r="AH88" i="2420"/>
  <c r="AI88" i="2420"/>
  <c r="CX88" i="2420"/>
  <c r="DE88" i="2420"/>
  <c r="DF88" i="2420"/>
  <c r="DJ88" i="2420"/>
  <c r="DK88" i="2420"/>
  <c r="DL88" i="2420"/>
  <c r="A89" i="2420"/>
  <c r="B89" i="2420"/>
  <c r="C89" i="2420"/>
  <c r="D89" i="2420"/>
  <c r="U89" i="2420"/>
  <c r="AH89" i="2420"/>
  <c r="AI89" i="2420"/>
  <c r="CX89" i="2420"/>
  <c r="DE89" i="2420"/>
  <c r="DF89" i="2420"/>
  <c r="DJ89" i="2420"/>
  <c r="DK89" i="2420"/>
  <c r="DL89" i="2420"/>
  <c r="A90" i="2420"/>
  <c r="G110" i="2388" s="1"/>
  <c r="B90" i="2420"/>
  <c r="C90" i="2420"/>
  <c r="D90" i="2420"/>
  <c r="U90" i="2420"/>
  <c r="AH90" i="2420"/>
  <c r="AI90" i="2420"/>
  <c r="CX90" i="2420"/>
  <c r="DE90" i="2420"/>
  <c r="DF90" i="2420"/>
  <c r="DJ90" i="2420"/>
  <c r="DK90" i="2420"/>
  <c r="DL90" i="2420"/>
  <c r="A91" i="2420"/>
  <c r="G111" i="2388" s="1"/>
  <c r="B91" i="2420"/>
  <c r="C91" i="2420"/>
  <c r="D91" i="2420"/>
  <c r="U91" i="2420"/>
  <c r="AH91" i="2420"/>
  <c r="AI91" i="2420"/>
  <c r="CX91" i="2420"/>
  <c r="DE91" i="2420"/>
  <c r="DF91" i="2420"/>
  <c r="DJ91" i="2420"/>
  <c r="DK91" i="2420"/>
  <c r="DL91" i="2420"/>
  <c r="A92" i="2420"/>
  <c r="G112" i="2388" s="1"/>
  <c r="B92" i="2420"/>
  <c r="C92" i="2420"/>
  <c r="D92" i="2420"/>
  <c r="U92" i="2420"/>
  <c r="AH92" i="2420"/>
  <c r="AI92" i="2420"/>
  <c r="CX92" i="2420"/>
  <c r="DE92" i="2420"/>
  <c r="DF92" i="2420"/>
  <c r="DJ92" i="2420"/>
  <c r="DK92" i="2420"/>
  <c r="DL92" i="2420"/>
  <c r="A93" i="2420"/>
  <c r="G113" i="2388" s="1"/>
  <c r="B93" i="2420"/>
  <c r="C93" i="2420"/>
  <c r="E93" i="2420" s="1"/>
  <c r="D93" i="2420"/>
  <c r="U93" i="2420"/>
  <c r="AH93" i="2420"/>
  <c r="AI93" i="2420"/>
  <c r="CX93" i="2420"/>
  <c r="DE93" i="2420"/>
  <c r="DF93" i="2420"/>
  <c r="DJ93" i="2420"/>
  <c r="DK93" i="2420"/>
  <c r="DL93" i="2420"/>
  <c r="A94" i="2420"/>
  <c r="G114" i="2388" s="1"/>
  <c r="B94" i="2420"/>
  <c r="C94" i="2420"/>
  <c r="D94" i="2420"/>
  <c r="U94" i="2420"/>
  <c r="AH94" i="2420"/>
  <c r="AI94" i="2420"/>
  <c r="CX94" i="2420"/>
  <c r="DE94" i="2420"/>
  <c r="DF94" i="2420"/>
  <c r="DJ94" i="2420"/>
  <c r="DK94" i="2420"/>
  <c r="DL94" i="2420"/>
  <c r="A95" i="2420"/>
  <c r="G115" i="2388" s="1"/>
  <c r="B95" i="2420"/>
  <c r="C95" i="2420"/>
  <c r="D95" i="2420"/>
  <c r="U95" i="2420"/>
  <c r="AH95" i="2420"/>
  <c r="AI95" i="2420"/>
  <c r="CX95" i="2420"/>
  <c r="DE95" i="2420"/>
  <c r="DF95" i="2420"/>
  <c r="DJ95" i="2420"/>
  <c r="DK95" i="2420"/>
  <c r="DL95" i="2420"/>
  <c r="A96" i="2420"/>
  <c r="G116" i="2388" s="1"/>
  <c r="B96" i="2420"/>
  <c r="C96" i="2420"/>
  <c r="D96" i="2420"/>
  <c r="U96" i="2420"/>
  <c r="AH96" i="2420"/>
  <c r="AI96" i="2420"/>
  <c r="CX96" i="2420"/>
  <c r="DE96" i="2420"/>
  <c r="DF96" i="2420"/>
  <c r="DJ96" i="2420"/>
  <c r="DK96" i="2420"/>
  <c r="DL96" i="2420"/>
  <c r="A97" i="2420"/>
  <c r="G117" i="2388" s="1"/>
  <c r="B97" i="2420"/>
  <c r="C97" i="2420"/>
  <c r="D97" i="2420"/>
  <c r="U97" i="2420"/>
  <c r="AH97" i="2420"/>
  <c r="AI97" i="2420"/>
  <c r="CX97" i="2420"/>
  <c r="DE97" i="2420"/>
  <c r="DF97" i="2420"/>
  <c r="DJ97" i="2420"/>
  <c r="DK97" i="2420"/>
  <c r="DL97" i="2420"/>
  <c r="A98" i="2420"/>
  <c r="G118" i="2388" s="1"/>
  <c r="B98" i="2420"/>
  <c r="C98" i="2420"/>
  <c r="D98" i="2420"/>
  <c r="U98" i="2420"/>
  <c r="AH98" i="2420"/>
  <c r="AI98" i="2420"/>
  <c r="CX98" i="2420"/>
  <c r="DE98" i="2420"/>
  <c r="DF98" i="2420"/>
  <c r="DJ98" i="2420"/>
  <c r="DK98" i="2420"/>
  <c r="DL98" i="2420"/>
  <c r="A99" i="2420"/>
  <c r="B99" i="2420"/>
  <c r="C99" i="2420"/>
  <c r="D99" i="2420"/>
  <c r="U99" i="2420"/>
  <c r="AH99" i="2420"/>
  <c r="AI99" i="2420"/>
  <c r="CX99" i="2420"/>
  <c r="DE99" i="2420"/>
  <c r="DF99" i="2420"/>
  <c r="DJ99" i="2420"/>
  <c r="DK99" i="2420"/>
  <c r="DL99" i="2420"/>
  <c r="A100" i="2420"/>
  <c r="G120" i="2388" s="1"/>
  <c r="B100" i="2420"/>
  <c r="C100" i="2420"/>
  <c r="D100" i="2420"/>
  <c r="U100" i="2420"/>
  <c r="AH100" i="2420"/>
  <c r="AI100" i="2420"/>
  <c r="CX100" i="2420"/>
  <c r="DE100" i="2420"/>
  <c r="DF100" i="2420"/>
  <c r="DJ100" i="2420"/>
  <c r="DK100" i="2420"/>
  <c r="DL100" i="2420"/>
  <c r="A101" i="2420"/>
  <c r="G121" i="2388" s="1"/>
  <c r="B101" i="2420"/>
  <c r="C101" i="2420"/>
  <c r="E101" i="2420" s="1"/>
  <c r="D101" i="2420"/>
  <c r="U101" i="2420"/>
  <c r="AH101" i="2420"/>
  <c r="AI101" i="2420"/>
  <c r="CX101" i="2420"/>
  <c r="DE101" i="2420"/>
  <c r="DF101" i="2420"/>
  <c r="DJ101" i="2420"/>
  <c r="DK101" i="2420"/>
  <c r="DL101" i="2420"/>
  <c r="A102" i="2420"/>
  <c r="G122" i="2388" s="1"/>
  <c r="B102" i="2420"/>
  <c r="C102" i="2420"/>
  <c r="D102" i="2420"/>
  <c r="U102" i="2420"/>
  <c r="AH102" i="2420"/>
  <c r="AI102" i="2420"/>
  <c r="CX102" i="2420"/>
  <c r="DE102" i="2420"/>
  <c r="DF102" i="2420"/>
  <c r="DJ102" i="2420"/>
  <c r="DK102" i="2420"/>
  <c r="DL102" i="2420"/>
  <c r="A103" i="2420"/>
  <c r="G108" i="2380" s="1"/>
  <c r="G123" i="2388" s="1"/>
  <c r="B103" i="2420"/>
  <c r="C103" i="2420"/>
  <c r="D103" i="2420"/>
  <c r="U103" i="2420"/>
  <c r="AH103" i="2420"/>
  <c r="AI103" i="2420"/>
  <c r="CX103" i="2420"/>
  <c r="DE103" i="2420"/>
  <c r="DF103" i="2420"/>
  <c r="DJ103" i="2420"/>
  <c r="DK103" i="2420"/>
  <c r="DL103" i="2420"/>
  <c r="A104" i="2420"/>
  <c r="G109" i="2380" s="1"/>
  <c r="G124" i="2388" s="1"/>
  <c r="B104" i="2420"/>
  <c r="C104" i="2420"/>
  <c r="D104" i="2420"/>
  <c r="U104" i="2420"/>
  <c r="AH104" i="2420"/>
  <c r="AI104" i="2420"/>
  <c r="CX104" i="2420"/>
  <c r="DE104" i="2420"/>
  <c r="DF104" i="2420"/>
  <c r="DJ104" i="2420"/>
  <c r="DK104" i="2420"/>
  <c r="DL104" i="2420"/>
  <c r="G37" i="2388"/>
  <c r="G53" i="2388"/>
  <c r="E83" i="2420" l="1"/>
  <c r="E71" i="2420"/>
  <c r="E31" i="2420"/>
  <c r="E27" i="2420"/>
  <c r="E23" i="2420"/>
  <c r="E19" i="2420"/>
  <c r="E15" i="2420"/>
  <c r="E102" i="2420"/>
  <c r="E98" i="2420"/>
  <c r="E94" i="2420"/>
  <c r="E82" i="2420"/>
  <c r="E66" i="2420"/>
  <c r="E62" i="2420"/>
  <c r="E54" i="2420"/>
  <c r="E97" i="2420"/>
  <c r="E104" i="2420"/>
  <c r="E96" i="2420"/>
  <c r="E88" i="2420"/>
  <c r="E80" i="2420"/>
  <c r="E72" i="2420"/>
  <c r="E64" i="2420"/>
  <c r="E56" i="2420"/>
  <c r="E48" i="2420"/>
  <c r="E40" i="2420"/>
  <c r="E32" i="2420"/>
  <c r="E99" i="2420"/>
  <c r="E91" i="2420"/>
  <c r="E75" i="2420"/>
  <c r="E67" i="2420"/>
  <c r="E59" i="2420"/>
  <c r="E51" i="2420"/>
  <c r="E43" i="2420"/>
  <c r="E35" i="2420"/>
  <c r="E86" i="2420"/>
  <c r="E78" i="2420"/>
  <c r="E70" i="2420"/>
  <c r="E46" i="2420"/>
  <c r="E38" i="2420"/>
  <c r="E30" i="2420"/>
  <c r="E22" i="2420"/>
  <c r="E89" i="2420"/>
  <c r="E65" i="2420"/>
  <c r="E57" i="2420"/>
  <c r="E100" i="2420"/>
  <c r="E92" i="2420"/>
  <c r="E84" i="2420"/>
  <c r="E76" i="2420"/>
  <c r="E68" i="2420"/>
  <c r="E60" i="2420"/>
  <c r="E52" i="2420"/>
  <c r="E44" i="2420"/>
  <c r="E36" i="2420"/>
  <c r="E28" i="2420"/>
  <c r="E103" i="2420"/>
  <c r="E95" i="2420"/>
  <c r="E87" i="2420"/>
  <c r="E79" i="2420"/>
  <c r="E63" i="2420"/>
  <c r="E55" i="2420"/>
  <c r="E47" i="2420"/>
  <c r="E39" i="2420"/>
  <c r="E90" i="2420"/>
  <c r="E74" i="2420"/>
  <c r="E58" i="2420"/>
  <c r="E50" i="2420"/>
  <c r="E42" i="2420"/>
  <c r="E34" i="2420"/>
  <c r="E26" i="2420"/>
  <c r="E18" i="2420"/>
  <c r="E10" i="2420"/>
  <c r="G35" i="2388"/>
  <c r="G46" i="2388"/>
  <c r="E24" i="2420"/>
  <c r="G38" i="2388"/>
  <c r="E16" i="2420"/>
  <c r="G41" i="2388"/>
  <c r="E11" i="2420"/>
  <c r="G44" i="2388"/>
  <c r="G36" i="2388"/>
  <c r="E14" i="2420"/>
  <c r="G39" i="2388"/>
  <c r="G42" i="2388"/>
  <c r="E20" i="2420"/>
  <c r="E12" i="2420"/>
  <c r="G45" i="2388"/>
  <c r="G40" i="2388"/>
  <c r="PB90" i="2421"/>
  <c r="PB94" i="2421"/>
  <c r="PB59" i="2421"/>
  <c r="PB21" i="2421"/>
  <c r="PB29" i="2421"/>
  <c r="PB37" i="2421"/>
  <c r="PB45" i="2421"/>
  <c r="PB53" i="2421"/>
  <c r="PB103" i="2421"/>
  <c r="PB112" i="2421"/>
  <c r="PB96" i="2421"/>
  <c r="PB81" i="2421"/>
  <c r="PB73" i="2421"/>
  <c r="PB65" i="2421"/>
  <c r="PB14" i="2421"/>
  <c r="PB22" i="2421"/>
  <c r="PB30" i="2421"/>
  <c r="PB38" i="2421"/>
  <c r="PB46" i="2421"/>
  <c r="PB54" i="2421"/>
  <c r="PB101" i="2421"/>
  <c r="PB110" i="2421"/>
  <c r="PB93" i="2421"/>
  <c r="PB80" i="2421"/>
  <c r="PB72" i="2421"/>
  <c r="PB64" i="2421"/>
  <c r="PB15" i="2421"/>
  <c r="PB23" i="2421"/>
  <c r="PB31" i="2421"/>
  <c r="PB39" i="2421"/>
  <c r="PB47" i="2421"/>
  <c r="PB55" i="2421"/>
  <c r="PB99" i="2421"/>
  <c r="PB108" i="2421"/>
  <c r="PB89" i="2421"/>
  <c r="PB79" i="2421"/>
  <c r="PB71" i="2421"/>
  <c r="PB63" i="2421"/>
  <c r="PB16" i="2421"/>
  <c r="PB24" i="2421"/>
  <c r="PB32" i="2421"/>
  <c r="PB40" i="2421"/>
  <c r="PB48" i="2421"/>
  <c r="PB56" i="2421"/>
  <c r="PB113" i="2421"/>
  <c r="PB97" i="2421"/>
  <c r="PB106" i="2421"/>
  <c r="PB88" i="2421"/>
  <c r="PB78" i="2421"/>
  <c r="PB70" i="2421"/>
  <c r="PB62" i="2421"/>
  <c r="PB17" i="2421"/>
  <c r="PB25" i="2421"/>
  <c r="PB33" i="2421"/>
  <c r="PB41" i="2421"/>
  <c r="PB49" i="2421"/>
  <c r="PB57" i="2421"/>
  <c r="PB87" i="2421"/>
  <c r="PB111" i="2421"/>
  <c r="PB95" i="2421"/>
  <c r="PB104" i="2421"/>
  <c r="PB85" i="2421"/>
  <c r="PB77" i="2421"/>
  <c r="PB69" i="2421"/>
  <c r="PB61" i="2421"/>
  <c r="PB18" i="2421"/>
  <c r="PB26" i="2421"/>
  <c r="PB34" i="2421"/>
  <c r="PB42" i="2421"/>
  <c r="PB50" i="2421"/>
  <c r="PB58" i="2421"/>
  <c r="PB109" i="2421"/>
  <c r="PB91" i="2421"/>
  <c r="PB102" i="2421"/>
  <c r="PB84" i="2421"/>
  <c r="PB76" i="2421"/>
  <c r="PB68" i="2421"/>
  <c r="PB60" i="2421"/>
  <c r="PB19" i="2421"/>
  <c r="PB27" i="2421"/>
  <c r="PB35" i="2421"/>
  <c r="PB43" i="2421"/>
  <c r="PB51" i="2421"/>
  <c r="PB107" i="2421"/>
  <c r="PB86" i="2421"/>
  <c r="PB100" i="2421"/>
  <c r="PB83" i="2421"/>
  <c r="PB75" i="2421"/>
  <c r="PB67" i="2421"/>
  <c r="PB105" i="2421"/>
  <c r="PB20" i="2421"/>
  <c r="PB92" i="2421"/>
  <c r="PB28" i="2421"/>
  <c r="PB98" i="2421"/>
  <c r="PB36" i="2421"/>
  <c r="PB82" i="2421"/>
  <c r="PB44" i="2421"/>
  <c r="PB74" i="2421"/>
  <c r="PB66" i="2421"/>
  <c r="PB52" i="2421"/>
  <c r="OY59" i="2421"/>
  <c r="PE53" i="2421"/>
  <c r="PE45" i="2421"/>
  <c r="PE37" i="2421"/>
  <c r="PE29" i="2421"/>
  <c r="PE58" i="2421"/>
  <c r="PE50" i="2421"/>
  <c r="PE42" i="2421"/>
  <c r="PE34" i="2421"/>
  <c r="PE55" i="2421"/>
  <c r="PE47" i="2421"/>
  <c r="PE39" i="2421"/>
  <c r="PE31" i="2421"/>
  <c r="OY60" i="2421"/>
  <c r="PE52" i="2421"/>
  <c r="PE44" i="2421"/>
  <c r="PE36" i="2421"/>
  <c r="PE57" i="2421"/>
  <c r="PE49" i="2421"/>
  <c r="PE41" i="2421"/>
  <c r="PE33" i="2421"/>
  <c r="PE56" i="2421"/>
  <c r="PE23" i="2421"/>
  <c r="PE54" i="2421"/>
  <c r="PE48" i="2421"/>
  <c r="PE28" i="2421"/>
  <c r="PE20" i="2421"/>
  <c r="PE46" i="2421"/>
  <c r="PE40" i="2421"/>
  <c r="PE25" i="2421"/>
  <c r="PE17" i="2421"/>
  <c r="PE38" i="2421"/>
  <c r="PE32" i="2421"/>
  <c r="PE22" i="2421"/>
  <c r="PE30" i="2421"/>
  <c r="PE27" i="2421"/>
  <c r="PE19" i="2421"/>
  <c r="PE51" i="2421"/>
  <c r="PE24" i="2421"/>
  <c r="PE16" i="2421"/>
  <c r="PE18" i="2421"/>
  <c r="PE15" i="2421"/>
  <c r="PE26" i="2421"/>
  <c r="PE14" i="2421"/>
  <c r="PE43" i="2421"/>
  <c r="PE35" i="2421"/>
  <c r="PE21" i="2421"/>
  <c r="PE63" i="2421"/>
  <c r="PE79" i="2421"/>
  <c r="OY17" i="2421"/>
  <c r="OY25" i="2421"/>
  <c r="OY33" i="2421"/>
  <c r="OY41" i="2421"/>
  <c r="OY49" i="2421"/>
  <c r="OY57" i="2421"/>
  <c r="PE107" i="2421"/>
  <c r="PE99" i="2421"/>
  <c r="PE91" i="2421"/>
  <c r="OY108" i="2421"/>
  <c r="OY100" i="2421"/>
  <c r="OY92" i="2421"/>
  <c r="PE87" i="2421"/>
  <c r="OY78" i="2421"/>
  <c r="OY70" i="2421"/>
  <c r="OY62" i="2421"/>
  <c r="PE62" i="2421"/>
  <c r="PE78" i="2421"/>
  <c r="PE65" i="2421"/>
  <c r="PE81" i="2421"/>
  <c r="OY18" i="2421"/>
  <c r="OY26" i="2421"/>
  <c r="OY34" i="2421"/>
  <c r="OY42" i="2421"/>
  <c r="OY50" i="2421"/>
  <c r="OY58" i="2421"/>
  <c r="PE106" i="2421"/>
  <c r="PE98" i="2421"/>
  <c r="PE90" i="2421"/>
  <c r="OY107" i="2421"/>
  <c r="OY99" i="2421"/>
  <c r="OY91" i="2421"/>
  <c r="OY85" i="2421"/>
  <c r="OY77" i="2421"/>
  <c r="OY69" i="2421"/>
  <c r="OY61" i="2421"/>
  <c r="PE64" i="2421"/>
  <c r="PE80" i="2421"/>
  <c r="PE67" i="2421"/>
  <c r="PE83" i="2421"/>
  <c r="OY19" i="2421"/>
  <c r="OY27" i="2421"/>
  <c r="OY35" i="2421"/>
  <c r="OY43" i="2421"/>
  <c r="OY51" i="2421"/>
  <c r="PE113" i="2421"/>
  <c r="PE105" i="2421"/>
  <c r="PE97" i="2421"/>
  <c r="PE89" i="2421"/>
  <c r="OY106" i="2421"/>
  <c r="OY98" i="2421"/>
  <c r="OY90" i="2421"/>
  <c r="OY84" i="2421"/>
  <c r="OY76" i="2421"/>
  <c r="OY68" i="2421"/>
  <c r="PE86" i="2421"/>
  <c r="PE66" i="2421"/>
  <c r="PE82" i="2421"/>
  <c r="PE69" i="2421"/>
  <c r="PE85" i="2421"/>
  <c r="OY20" i="2421"/>
  <c r="OY28" i="2421"/>
  <c r="OY36" i="2421"/>
  <c r="OY44" i="2421"/>
  <c r="OY52" i="2421"/>
  <c r="PE112" i="2421"/>
  <c r="PE104" i="2421"/>
  <c r="PE96" i="2421"/>
  <c r="OY113" i="2421"/>
  <c r="OY105" i="2421"/>
  <c r="OY97" i="2421"/>
  <c r="OY89" i="2421"/>
  <c r="OY83" i="2421"/>
  <c r="OY75" i="2421"/>
  <c r="OY67" i="2421"/>
  <c r="PE68" i="2421"/>
  <c r="PE84" i="2421"/>
  <c r="PE71" i="2421"/>
  <c r="OY21" i="2421"/>
  <c r="OY29" i="2421"/>
  <c r="OY37" i="2421"/>
  <c r="OY45" i="2421"/>
  <c r="OY53" i="2421"/>
  <c r="PE111" i="2421"/>
  <c r="PE103" i="2421"/>
  <c r="PE95" i="2421"/>
  <c r="OY112" i="2421"/>
  <c r="OY104" i="2421"/>
  <c r="OY96" i="2421"/>
  <c r="OY88" i="2421"/>
  <c r="OY82" i="2421"/>
  <c r="OY74" i="2421"/>
  <c r="OY66" i="2421"/>
  <c r="PE70" i="2421"/>
  <c r="PE73" i="2421"/>
  <c r="OY14" i="2421"/>
  <c r="OY22" i="2421"/>
  <c r="OY30" i="2421"/>
  <c r="OY38" i="2421"/>
  <c r="OY46" i="2421"/>
  <c r="OY54" i="2421"/>
  <c r="PE110" i="2421"/>
  <c r="PE102" i="2421"/>
  <c r="PE94" i="2421"/>
  <c r="OY111" i="2421"/>
  <c r="OY103" i="2421"/>
  <c r="OY95" i="2421"/>
  <c r="OY87" i="2421"/>
  <c r="OY81" i="2421"/>
  <c r="OY73" i="2421"/>
  <c r="OY65" i="2421"/>
  <c r="PE72" i="2421"/>
  <c r="PE75" i="2421"/>
  <c r="OY15" i="2421"/>
  <c r="OY23" i="2421"/>
  <c r="OY31" i="2421"/>
  <c r="OY39" i="2421"/>
  <c r="OY47" i="2421"/>
  <c r="OY55" i="2421"/>
  <c r="PE109" i="2421"/>
  <c r="PE101" i="2421"/>
  <c r="PE93" i="2421"/>
  <c r="OY110" i="2421"/>
  <c r="OY102" i="2421"/>
  <c r="OY94" i="2421"/>
  <c r="OY86" i="2421"/>
  <c r="OY80" i="2421"/>
  <c r="OY72" i="2421"/>
  <c r="OY64" i="2421"/>
  <c r="PE59" i="2421"/>
  <c r="PE74" i="2421"/>
  <c r="PE77" i="2421"/>
  <c r="PE100" i="2421"/>
  <c r="OY63" i="2421"/>
  <c r="PE76" i="2421"/>
  <c r="OY16" i="2421"/>
  <c r="PE92" i="2421"/>
  <c r="OY24" i="2421"/>
  <c r="OY109" i="2421"/>
  <c r="OY32" i="2421"/>
  <c r="OY101" i="2421"/>
  <c r="OY40" i="2421"/>
  <c r="OY93" i="2421"/>
  <c r="OY48" i="2421"/>
  <c r="PE88" i="2421"/>
  <c r="OY79" i="2421"/>
  <c r="OY71" i="2421"/>
  <c r="PE60" i="2421"/>
  <c r="PE61" i="2421"/>
  <c r="OY56" i="2421"/>
  <c r="PE108" i="2421"/>
  <c r="OZ110" i="2421"/>
  <c r="OZ102" i="2421"/>
  <c r="OZ90" i="2421"/>
  <c r="OZ79" i="2421"/>
  <c r="OZ71" i="2421"/>
  <c r="OZ63" i="2421"/>
  <c r="OZ92" i="2421"/>
  <c r="OZ53" i="2421"/>
  <c r="OZ45" i="2421"/>
  <c r="OZ37" i="2421"/>
  <c r="OZ29" i="2421"/>
  <c r="OZ21" i="2421"/>
  <c r="OZ89" i="2421"/>
  <c r="OZ109" i="2421"/>
  <c r="OZ101" i="2421"/>
  <c r="OZ88" i="2421"/>
  <c r="OZ78" i="2421"/>
  <c r="OZ70" i="2421"/>
  <c r="OZ62" i="2421"/>
  <c r="OZ86" i="2421"/>
  <c r="OZ52" i="2421"/>
  <c r="OZ44" i="2421"/>
  <c r="OZ36" i="2421"/>
  <c r="OZ28" i="2421"/>
  <c r="OZ20" i="2421"/>
  <c r="OZ108" i="2421"/>
  <c r="OZ100" i="2421"/>
  <c r="OZ85" i="2421"/>
  <c r="OZ77" i="2421"/>
  <c r="OZ69" i="2421"/>
  <c r="OZ61" i="2421"/>
  <c r="OZ93" i="2421"/>
  <c r="OZ51" i="2421"/>
  <c r="OZ43" i="2421"/>
  <c r="OZ35" i="2421"/>
  <c r="OZ27" i="2421"/>
  <c r="OZ19" i="2421"/>
  <c r="OZ107" i="2421"/>
  <c r="OZ99" i="2421"/>
  <c r="OZ84" i="2421"/>
  <c r="OZ76" i="2421"/>
  <c r="OZ68" i="2421"/>
  <c r="OZ60" i="2421"/>
  <c r="OZ58" i="2421"/>
  <c r="OZ50" i="2421"/>
  <c r="OZ42" i="2421"/>
  <c r="OZ34" i="2421"/>
  <c r="OZ26" i="2421"/>
  <c r="OZ18" i="2421"/>
  <c r="OZ106" i="2421"/>
  <c r="OZ98" i="2421"/>
  <c r="OZ83" i="2421"/>
  <c r="OZ75" i="2421"/>
  <c r="OZ67" i="2421"/>
  <c r="OZ59" i="2421"/>
  <c r="OZ57" i="2421"/>
  <c r="OZ49" i="2421"/>
  <c r="OZ41" i="2421"/>
  <c r="OZ33" i="2421"/>
  <c r="OZ25" i="2421"/>
  <c r="OZ17" i="2421"/>
  <c r="OZ113" i="2421"/>
  <c r="OZ105" i="2421"/>
  <c r="OZ97" i="2421"/>
  <c r="OZ82" i="2421"/>
  <c r="OZ74" i="2421"/>
  <c r="OZ66" i="2421"/>
  <c r="OZ95" i="2421"/>
  <c r="OZ56" i="2421"/>
  <c r="OZ48" i="2421"/>
  <c r="OZ40" i="2421"/>
  <c r="OZ32" i="2421"/>
  <c r="OZ24" i="2421"/>
  <c r="OZ16" i="2421"/>
  <c r="OZ112" i="2421"/>
  <c r="OZ104" i="2421"/>
  <c r="OZ96" i="2421"/>
  <c r="OZ81" i="2421"/>
  <c r="OZ73" i="2421"/>
  <c r="OZ65" i="2421"/>
  <c r="OZ91" i="2421"/>
  <c r="OZ55" i="2421"/>
  <c r="OZ47" i="2421"/>
  <c r="OZ39" i="2421"/>
  <c r="OZ31" i="2421"/>
  <c r="OZ23" i="2421"/>
  <c r="OZ15" i="2421"/>
  <c r="OZ80" i="2421"/>
  <c r="OZ22" i="2421"/>
  <c r="OZ72" i="2421"/>
  <c r="OZ14" i="2421"/>
  <c r="OZ64" i="2421"/>
  <c r="OZ87" i="2421"/>
  <c r="OZ54" i="2421"/>
  <c r="OZ111" i="2421"/>
  <c r="OZ46" i="2421"/>
  <c r="OZ103" i="2421"/>
  <c r="OZ94" i="2421"/>
  <c r="OZ38" i="2421"/>
  <c r="OZ30" i="2421"/>
  <c r="OW127" i="2421"/>
  <c r="DH3" i="2413" s="1"/>
  <c r="CZ14" i="2420"/>
  <c r="OW128" i="2421"/>
  <c r="G33" i="2388"/>
  <c r="I30" i="2388"/>
  <c r="I31" i="2388"/>
  <c r="G32" i="2388"/>
  <c r="G30" i="2388"/>
  <c r="G31" i="2388"/>
  <c r="CZ87" i="2420"/>
  <c r="G107" i="2388"/>
  <c r="CZ89" i="2420"/>
  <c r="G109" i="2388"/>
  <c r="CZ99" i="2420"/>
  <c r="G119" i="2388"/>
  <c r="F23" i="2420"/>
  <c r="J28" i="2380" s="1"/>
  <c r="Y102" i="2421"/>
  <c r="Y111" i="2421"/>
  <c r="Y107" i="2421"/>
  <c r="Y103" i="2421"/>
  <c r="Y96" i="2421"/>
  <c r="Y101" i="2421"/>
  <c r="Y97" i="2421"/>
  <c r="Y93" i="2421"/>
  <c r="Y89" i="2421"/>
  <c r="Y91" i="2421"/>
  <c r="Y87" i="2421"/>
  <c r="Y72" i="2421"/>
  <c r="Y82" i="2421"/>
  <c r="Y79" i="2421"/>
  <c r="Y76" i="2421"/>
  <c r="Y77" i="2421"/>
  <c r="Y73" i="2421"/>
  <c r="Y75" i="2421"/>
  <c r="Y65" i="2421"/>
  <c r="Y69" i="2421"/>
  <c r="Y58" i="2421"/>
  <c r="Y59" i="2421"/>
  <c r="Y55" i="2421"/>
  <c r="Y51" i="2421"/>
  <c r="Y43" i="2421"/>
  <c r="Y40" i="2421"/>
  <c r="Y42" i="2421"/>
  <c r="Y37" i="2421"/>
  <c r="Y30" i="2421"/>
  <c r="Y31" i="2421"/>
  <c r="Y24" i="2421"/>
  <c r="Y29" i="2421"/>
  <c r="Y27" i="2421"/>
  <c r="Y23" i="2421"/>
  <c r="Y21" i="2421"/>
  <c r="Y20" i="2421"/>
  <c r="Y19" i="2421"/>
  <c r="F25" i="2420"/>
  <c r="J30" i="2380" s="1"/>
  <c r="F26" i="2420"/>
  <c r="J31" i="2380" s="1"/>
  <c r="F24" i="2420"/>
  <c r="J29" i="2380" s="1"/>
  <c r="Q103" i="2420"/>
  <c r="R103" i="2420" s="1"/>
  <c r="CZ103" i="2420"/>
  <c r="Q91" i="2420"/>
  <c r="R91" i="2420" s="1"/>
  <c r="CZ43" i="2420"/>
  <c r="Q43" i="2420"/>
  <c r="R43" i="2420" s="1"/>
  <c r="CZ98" i="2420"/>
  <c r="Q98" i="2420"/>
  <c r="R98" i="2420" s="1"/>
  <c r="CZ90" i="2420"/>
  <c r="Q90" i="2420"/>
  <c r="R90" i="2420" s="1"/>
  <c r="Q82" i="2420"/>
  <c r="R82" i="2420" s="1"/>
  <c r="CZ82" i="2420"/>
  <c r="Q74" i="2420"/>
  <c r="R74" i="2420" s="1"/>
  <c r="Q66" i="2420"/>
  <c r="R66" i="2420" s="1"/>
  <c r="CZ66" i="2420"/>
  <c r="Q58" i="2420"/>
  <c r="R58" i="2420" s="1"/>
  <c r="CZ58" i="2420"/>
  <c r="CZ50" i="2420"/>
  <c r="Q50" i="2420"/>
  <c r="R50" i="2420" s="1"/>
  <c r="CZ42" i="2420"/>
  <c r="Q42" i="2420"/>
  <c r="R42" i="2420" s="1"/>
  <c r="Q34" i="2420"/>
  <c r="R34" i="2420" s="1"/>
  <c r="CZ34" i="2420"/>
  <c r="CZ10" i="2420"/>
  <c r="Q10" i="2420"/>
  <c r="R10" i="2420" s="1"/>
  <c r="CZ74" i="2420"/>
  <c r="Q67" i="2420"/>
  <c r="R67" i="2420" s="1"/>
  <c r="CZ67" i="2420"/>
  <c r="Q11" i="2420"/>
  <c r="R11" i="2420" s="1"/>
  <c r="CZ11" i="2420"/>
  <c r="CZ97" i="2420"/>
  <c r="Q97" i="2420"/>
  <c r="R97" i="2420" s="1"/>
  <c r="CZ91" i="2420"/>
  <c r="Q83" i="2420"/>
  <c r="R83" i="2420" s="1"/>
  <c r="CZ83" i="2420"/>
  <c r="Q51" i="2420"/>
  <c r="R51" i="2420" s="1"/>
  <c r="CZ51" i="2420"/>
  <c r="CZ19" i="2420"/>
  <c r="Q96" i="2420"/>
  <c r="R96" i="2420" s="1"/>
  <c r="CZ96" i="2420"/>
  <c r="CZ32" i="2420"/>
  <c r="Q32" i="2420"/>
  <c r="R32" i="2420" s="1"/>
  <c r="Q35" i="2420"/>
  <c r="R35" i="2420" s="1"/>
  <c r="CZ35" i="2420"/>
  <c r="CZ56" i="2420"/>
  <c r="Q56" i="2420"/>
  <c r="R56" i="2420" s="1"/>
  <c r="Q95" i="2420"/>
  <c r="R95" i="2420" s="1"/>
  <c r="Q87" i="2420"/>
  <c r="R87" i="2420" s="1"/>
  <c r="Q79" i="2420"/>
  <c r="R79" i="2420" s="1"/>
  <c r="CZ79" i="2420"/>
  <c r="Q71" i="2420"/>
  <c r="R71" i="2420" s="1"/>
  <c r="CZ71" i="2420"/>
  <c r="CZ63" i="2420"/>
  <c r="Q63" i="2420"/>
  <c r="R63" i="2420" s="1"/>
  <c r="Q55" i="2420"/>
  <c r="R55" i="2420" s="1"/>
  <c r="CZ55" i="2420"/>
  <c r="CZ47" i="2420"/>
  <c r="Q47" i="2420"/>
  <c r="R47" i="2420" s="1"/>
  <c r="CZ39" i="2420"/>
  <c r="Q39" i="2420"/>
  <c r="R39" i="2420" s="1"/>
  <c r="Q31" i="2420"/>
  <c r="R31" i="2420" s="1"/>
  <c r="CZ31" i="2420"/>
  <c r="CZ23" i="2420"/>
  <c r="Q23" i="2420"/>
  <c r="R23" i="2420" s="1"/>
  <c r="CZ104" i="2420"/>
  <c r="Q104" i="2420"/>
  <c r="R104" i="2420" s="1"/>
  <c r="Q75" i="2420"/>
  <c r="R75" i="2420" s="1"/>
  <c r="CZ75" i="2420"/>
  <c r="CZ27" i="2420"/>
  <c r="Q27" i="2420"/>
  <c r="R27" i="2420" s="1"/>
  <c r="CZ80" i="2420"/>
  <c r="Q80" i="2420"/>
  <c r="R80" i="2420" s="1"/>
  <c r="CZ72" i="2420"/>
  <c r="Q72" i="2420"/>
  <c r="R72" i="2420" s="1"/>
  <c r="Q48" i="2420"/>
  <c r="R48" i="2420" s="1"/>
  <c r="CZ48" i="2420"/>
  <c r="CZ24" i="2420"/>
  <c r="Q24" i="2420"/>
  <c r="R24" i="2420" s="1"/>
  <c r="CZ102" i="2420"/>
  <c r="Q102" i="2420"/>
  <c r="R102" i="2420" s="1"/>
  <c r="CZ94" i="2420"/>
  <c r="Q94" i="2420"/>
  <c r="R94" i="2420" s="1"/>
  <c r="Q86" i="2420"/>
  <c r="R86" i="2420" s="1"/>
  <c r="CZ86" i="2420"/>
  <c r="Q78" i="2420"/>
  <c r="R78" i="2420" s="1"/>
  <c r="CZ78" i="2420"/>
  <c r="Q70" i="2420"/>
  <c r="R70" i="2420" s="1"/>
  <c r="CZ70" i="2420"/>
  <c r="CZ62" i="2420"/>
  <c r="Q62" i="2420"/>
  <c r="R62" i="2420" s="1"/>
  <c r="Q54" i="2420"/>
  <c r="R54" i="2420" s="1"/>
  <c r="CZ54" i="2420"/>
  <c r="CZ46" i="2420"/>
  <c r="Q46" i="2420"/>
  <c r="R46" i="2420" s="1"/>
  <c r="CZ38" i="2420"/>
  <c r="Q38" i="2420"/>
  <c r="R38" i="2420" s="1"/>
  <c r="CZ30" i="2420"/>
  <c r="Q30" i="2420"/>
  <c r="R30" i="2420" s="1"/>
  <c r="Q99" i="2420"/>
  <c r="R99" i="2420" s="1"/>
  <c r="Q59" i="2420"/>
  <c r="R59" i="2420" s="1"/>
  <c r="CZ59" i="2420"/>
  <c r="Q88" i="2420"/>
  <c r="R88" i="2420" s="1"/>
  <c r="CZ88" i="2420"/>
  <c r="Q64" i="2420"/>
  <c r="R64" i="2420" s="1"/>
  <c r="CZ64" i="2420"/>
  <c r="Q40" i="2420"/>
  <c r="R40" i="2420" s="1"/>
  <c r="CZ40" i="2420"/>
  <c r="CZ16" i="2420"/>
  <c r="CZ101" i="2420"/>
  <c r="Q101" i="2420"/>
  <c r="R101" i="2420" s="1"/>
  <c r="CZ93" i="2420"/>
  <c r="Q93" i="2420"/>
  <c r="R93" i="2420" s="1"/>
  <c r="Q85" i="2420"/>
  <c r="R85" i="2420" s="1"/>
  <c r="CZ85" i="2420"/>
  <c r="CZ77" i="2420"/>
  <c r="Q77" i="2420"/>
  <c r="R77" i="2420" s="1"/>
  <c r="CZ69" i="2420"/>
  <c r="Q69" i="2420"/>
  <c r="R69" i="2420" s="1"/>
  <c r="Q61" i="2420"/>
  <c r="R61" i="2420" s="1"/>
  <c r="CZ61" i="2420"/>
  <c r="CZ53" i="2420"/>
  <c r="Q53" i="2420"/>
  <c r="R53" i="2420" s="1"/>
  <c r="CZ45" i="2420"/>
  <c r="Q45" i="2420"/>
  <c r="R45" i="2420" s="1"/>
  <c r="CZ37" i="2420"/>
  <c r="Q37" i="2420"/>
  <c r="R37" i="2420" s="1"/>
  <c r="CZ29" i="2420"/>
  <c r="Q29" i="2420"/>
  <c r="R29" i="2420" s="1"/>
  <c r="Q21" i="2420"/>
  <c r="R21" i="2420" s="1"/>
  <c r="CZ21" i="2420"/>
  <c r="CZ13" i="2420"/>
  <c r="Q13" i="2420"/>
  <c r="R13" i="2420" s="1"/>
  <c r="Q100" i="2420"/>
  <c r="R100" i="2420" s="1"/>
  <c r="CZ100" i="2420"/>
  <c r="Q92" i="2420"/>
  <c r="R92" i="2420" s="1"/>
  <c r="CZ92" i="2420"/>
  <c r="Q84" i="2420"/>
  <c r="R84" i="2420" s="1"/>
  <c r="CZ84" i="2420"/>
  <c r="CZ76" i="2420"/>
  <c r="Q76" i="2420"/>
  <c r="R76" i="2420" s="1"/>
  <c r="Q68" i="2420"/>
  <c r="R68" i="2420" s="1"/>
  <c r="CZ68" i="2420"/>
  <c r="CZ60" i="2420"/>
  <c r="Q60" i="2420"/>
  <c r="R60" i="2420" s="1"/>
  <c r="Q52" i="2420"/>
  <c r="R52" i="2420" s="1"/>
  <c r="CZ52" i="2420"/>
  <c r="Q44" i="2420"/>
  <c r="R44" i="2420" s="1"/>
  <c r="CZ44" i="2420"/>
  <c r="CZ36" i="2420"/>
  <c r="Q36" i="2420"/>
  <c r="R36" i="2420" s="1"/>
  <c r="Q28" i="2420"/>
  <c r="R28" i="2420" s="1"/>
  <c r="CZ28" i="2420"/>
  <c r="Q20" i="2420"/>
  <c r="R20" i="2420" s="1"/>
  <c r="CZ12" i="2420"/>
  <c r="CZ95" i="2420"/>
  <c r="Q89" i="2420"/>
  <c r="R89" i="2420" s="1"/>
  <c r="CZ81" i="2420"/>
  <c r="Q81" i="2420"/>
  <c r="R81" i="2420" s="1"/>
  <c r="CZ73" i="2420"/>
  <c r="Q73" i="2420"/>
  <c r="R73" i="2420" s="1"/>
  <c r="Q65" i="2420"/>
  <c r="R65" i="2420" s="1"/>
  <c r="CZ65" i="2420"/>
  <c r="CZ57" i="2420"/>
  <c r="Q57" i="2420"/>
  <c r="R57" i="2420" s="1"/>
  <c r="CZ49" i="2420"/>
  <c r="Q49" i="2420"/>
  <c r="R49" i="2420" s="1"/>
  <c r="CZ41" i="2420"/>
  <c r="Q41" i="2420"/>
  <c r="R41" i="2420" s="1"/>
  <c r="CZ33" i="2420"/>
  <c r="Q33" i="2420"/>
  <c r="R33" i="2420" s="1"/>
  <c r="CZ25" i="2420"/>
  <c r="CZ17" i="2420"/>
  <c r="Q17" i="2420"/>
  <c r="R17" i="2420" s="1"/>
  <c r="Q26" i="2420" l="1"/>
  <c r="R26" i="2420" s="1"/>
  <c r="CZ26" i="2420"/>
  <c r="CZ20" i="2420"/>
  <c r="Q22" i="2420"/>
  <c r="R22" i="2420" s="1"/>
  <c r="C31" i="2421" s="1"/>
  <c r="CZ15" i="2420"/>
  <c r="Q18" i="2420"/>
  <c r="R18" i="2420" s="1"/>
  <c r="C27" i="2421" s="1"/>
  <c r="Q25" i="2420"/>
  <c r="R25" i="2420" s="1"/>
  <c r="Q16" i="2420"/>
  <c r="R16" i="2420" s="1"/>
  <c r="BB16" i="2420" s="1"/>
  <c r="CZ22" i="2420"/>
  <c r="Q15" i="2420"/>
  <c r="R15" i="2420" s="1"/>
  <c r="C24" i="2421" s="1"/>
  <c r="Q19" i="2420"/>
  <c r="R19" i="2420" s="1"/>
  <c r="CZ18" i="2420"/>
  <c r="PA71" i="2421"/>
  <c r="PC71" i="2421"/>
  <c r="PA109" i="2421"/>
  <c r="PC109" i="2421"/>
  <c r="PA110" i="2421"/>
  <c r="PC110" i="2421"/>
  <c r="PA23" i="2421"/>
  <c r="PC23" i="2421"/>
  <c r="PA95" i="2421"/>
  <c r="PC95" i="2421"/>
  <c r="PA38" i="2421"/>
  <c r="PC38" i="2421"/>
  <c r="PA82" i="2421"/>
  <c r="PC82" i="2421"/>
  <c r="PA53" i="2421"/>
  <c r="PC53" i="2421"/>
  <c r="PA67" i="2421"/>
  <c r="PC67" i="2421"/>
  <c r="PA98" i="2421"/>
  <c r="PC98" i="2421"/>
  <c r="PA35" i="2421"/>
  <c r="PC35" i="2421"/>
  <c r="PA69" i="2421"/>
  <c r="PC69" i="2421"/>
  <c r="PA100" i="2421"/>
  <c r="PC100" i="2421"/>
  <c r="PA33" i="2421"/>
  <c r="PC33" i="2421"/>
  <c r="PA79" i="2421"/>
  <c r="PC79" i="2421"/>
  <c r="PA24" i="2421"/>
  <c r="PC24" i="2421"/>
  <c r="PA15" i="2421"/>
  <c r="PC15" i="2421"/>
  <c r="PA103" i="2421"/>
  <c r="PC103" i="2421"/>
  <c r="PA30" i="2421"/>
  <c r="PC30" i="2421"/>
  <c r="PA88" i="2421"/>
  <c r="PC88" i="2421"/>
  <c r="PA45" i="2421"/>
  <c r="PC45" i="2421"/>
  <c r="PA75" i="2421"/>
  <c r="PC75" i="2421"/>
  <c r="PA106" i="2421"/>
  <c r="PC106" i="2421"/>
  <c r="PA27" i="2421"/>
  <c r="PC27" i="2421"/>
  <c r="PA77" i="2421"/>
  <c r="PC77" i="2421"/>
  <c r="PA58" i="2421"/>
  <c r="PC58" i="2421"/>
  <c r="PA108" i="2421"/>
  <c r="PC108" i="2421"/>
  <c r="PA25" i="2421"/>
  <c r="PC25" i="2421"/>
  <c r="PA64" i="2421"/>
  <c r="PC64" i="2421"/>
  <c r="PA111" i="2421"/>
  <c r="PC111" i="2421"/>
  <c r="PA22" i="2421"/>
  <c r="PC22" i="2421"/>
  <c r="PA96" i="2421"/>
  <c r="PC96" i="2421"/>
  <c r="PA37" i="2421"/>
  <c r="PC37" i="2421"/>
  <c r="PA83" i="2421"/>
  <c r="PC83" i="2421"/>
  <c r="PA52" i="2421"/>
  <c r="PC52" i="2421"/>
  <c r="PA19" i="2421"/>
  <c r="PC19" i="2421"/>
  <c r="PA85" i="2421"/>
  <c r="PC85" i="2421"/>
  <c r="PA50" i="2421"/>
  <c r="PC50" i="2421"/>
  <c r="PA17" i="2421"/>
  <c r="PC17" i="2421"/>
  <c r="PA48" i="2421"/>
  <c r="PC48" i="2421"/>
  <c r="PA16" i="2421"/>
  <c r="PC16" i="2421"/>
  <c r="PA72" i="2421"/>
  <c r="PC72" i="2421"/>
  <c r="PA14" i="2421"/>
  <c r="PC14" i="2421"/>
  <c r="PA104" i="2421"/>
  <c r="PC104" i="2421"/>
  <c r="PA29" i="2421"/>
  <c r="PC29" i="2421"/>
  <c r="PA89" i="2421"/>
  <c r="PC89" i="2421"/>
  <c r="PA44" i="2421"/>
  <c r="PC44" i="2421"/>
  <c r="PA91" i="2421"/>
  <c r="PC91" i="2421"/>
  <c r="PA42" i="2421"/>
  <c r="PC42" i="2421"/>
  <c r="PA62" i="2421"/>
  <c r="PC62" i="2421"/>
  <c r="PA59" i="2421"/>
  <c r="PC59" i="2421"/>
  <c r="PA93" i="2421"/>
  <c r="PC93" i="2421"/>
  <c r="PA80" i="2421"/>
  <c r="PC80" i="2421"/>
  <c r="PA55" i="2421"/>
  <c r="PC55" i="2421"/>
  <c r="PA65" i="2421"/>
  <c r="PC65" i="2421"/>
  <c r="PA112" i="2421"/>
  <c r="PC112" i="2421"/>
  <c r="PA21" i="2421"/>
  <c r="PC21" i="2421"/>
  <c r="PA97" i="2421"/>
  <c r="PC97" i="2421"/>
  <c r="PA36" i="2421"/>
  <c r="PC36" i="2421"/>
  <c r="PA68" i="2421"/>
  <c r="PC68" i="2421"/>
  <c r="PA99" i="2421"/>
  <c r="PC99" i="2421"/>
  <c r="PA34" i="2421"/>
  <c r="PC34" i="2421"/>
  <c r="PA70" i="2421"/>
  <c r="PC70" i="2421"/>
  <c r="PA56" i="2421"/>
  <c r="PC56" i="2421"/>
  <c r="PA40" i="2421"/>
  <c r="PC40" i="2421"/>
  <c r="PA63" i="2421"/>
  <c r="PC63" i="2421"/>
  <c r="PA86" i="2421"/>
  <c r="PC86" i="2421"/>
  <c r="PA47" i="2421"/>
  <c r="PC47" i="2421"/>
  <c r="PA73" i="2421"/>
  <c r="PC73" i="2421"/>
  <c r="PA105" i="2421"/>
  <c r="PC105" i="2421"/>
  <c r="PA28" i="2421"/>
  <c r="PC28" i="2421"/>
  <c r="PA76" i="2421"/>
  <c r="PC76" i="2421"/>
  <c r="PA107" i="2421"/>
  <c r="PC107" i="2421"/>
  <c r="PA26" i="2421"/>
  <c r="PC26" i="2421"/>
  <c r="PA78" i="2421"/>
  <c r="PC78" i="2421"/>
  <c r="PA57" i="2421"/>
  <c r="PC57" i="2421"/>
  <c r="PA101" i="2421"/>
  <c r="PC101" i="2421"/>
  <c r="PA94" i="2421"/>
  <c r="PC94" i="2421"/>
  <c r="PA39" i="2421"/>
  <c r="PC39" i="2421"/>
  <c r="PA81" i="2421"/>
  <c r="PC81" i="2421"/>
  <c r="PA54" i="2421"/>
  <c r="PC54" i="2421"/>
  <c r="PA66" i="2421"/>
  <c r="PC66" i="2421"/>
  <c r="PA113" i="2421"/>
  <c r="PC113" i="2421"/>
  <c r="PA20" i="2421"/>
  <c r="PC20" i="2421"/>
  <c r="PA84" i="2421"/>
  <c r="PC84" i="2421"/>
  <c r="PA51" i="2421"/>
  <c r="PC51" i="2421"/>
  <c r="PA18" i="2421"/>
  <c r="PC18" i="2421"/>
  <c r="PA49" i="2421"/>
  <c r="PC49" i="2421"/>
  <c r="PC60" i="2421"/>
  <c r="PA60" i="2421"/>
  <c r="PA32" i="2421"/>
  <c r="PC32" i="2421"/>
  <c r="PA102" i="2421"/>
  <c r="PC102" i="2421"/>
  <c r="PA31" i="2421"/>
  <c r="PC31" i="2421"/>
  <c r="PA87" i="2421"/>
  <c r="PC87" i="2421"/>
  <c r="PA46" i="2421"/>
  <c r="PC46" i="2421"/>
  <c r="PA74" i="2421"/>
  <c r="PC74" i="2421"/>
  <c r="PA90" i="2421"/>
  <c r="PC90" i="2421"/>
  <c r="PA43" i="2421"/>
  <c r="PC43" i="2421"/>
  <c r="PA61" i="2421"/>
  <c r="PC61" i="2421"/>
  <c r="PA92" i="2421"/>
  <c r="PC92" i="2421"/>
  <c r="PA41" i="2421"/>
  <c r="PC41" i="2421"/>
  <c r="G34" i="2388"/>
  <c r="Q14" i="2420"/>
  <c r="R14" i="2420" s="1"/>
  <c r="C23" i="2421" s="1"/>
  <c r="C41" i="2421"/>
  <c r="BB32" i="2420"/>
  <c r="C26" i="2421"/>
  <c r="BB17" i="2420"/>
  <c r="C58" i="2421"/>
  <c r="BB49" i="2420"/>
  <c r="C90" i="2421"/>
  <c r="BB81" i="2420"/>
  <c r="C61" i="2421"/>
  <c r="BB52" i="2420"/>
  <c r="C93" i="2421"/>
  <c r="BB84" i="2420"/>
  <c r="C30" i="2421"/>
  <c r="BB21" i="2420"/>
  <c r="C94" i="2421"/>
  <c r="BB85" i="2420"/>
  <c r="C49" i="2421"/>
  <c r="BB40" i="2420"/>
  <c r="C55" i="2421"/>
  <c r="BB46" i="2420"/>
  <c r="C33" i="2421"/>
  <c r="BB24" i="2420"/>
  <c r="C36" i="2421"/>
  <c r="BB27" i="2420"/>
  <c r="C32" i="2421"/>
  <c r="BB23" i="2420"/>
  <c r="C96" i="2421"/>
  <c r="BB87" i="2420"/>
  <c r="C19" i="2421"/>
  <c r="BB10" i="2420"/>
  <c r="C51" i="2421"/>
  <c r="BB42" i="2420"/>
  <c r="C83" i="2421"/>
  <c r="BB74" i="2420"/>
  <c r="C98" i="2421"/>
  <c r="BB89" i="2420"/>
  <c r="C89" i="2421"/>
  <c r="BB80" i="2420"/>
  <c r="C29" i="2421"/>
  <c r="BB20" i="2420"/>
  <c r="C62" i="2421"/>
  <c r="BB53" i="2420"/>
  <c r="C43" i="2421"/>
  <c r="BB34" i="2420"/>
  <c r="C69" i="2421"/>
  <c r="BB60" i="2420"/>
  <c r="C66" i="2421"/>
  <c r="BB57" i="2420"/>
  <c r="C37" i="2421"/>
  <c r="BB28" i="2420"/>
  <c r="C101" i="2421"/>
  <c r="BB92" i="2420"/>
  <c r="C70" i="2421"/>
  <c r="BB61" i="2420"/>
  <c r="C73" i="2421"/>
  <c r="BB64" i="2420"/>
  <c r="BB22" i="2420"/>
  <c r="C72" i="2421"/>
  <c r="BB63" i="2420"/>
  <c r="C65" i="2421"/>
  <c r="BB56" i="2420"/>
  <c r="C59" i="2421"/>
  <c r="BB50" i="2420"/>
  <c r="C91" i="2421"/>
  <c r="BB82" i="2420"/>
  <c r="C82" i="2421"/>
  <c r="BB73" i="2420"/>
  <c r="C53" i="2421"/>
  <c r="BB44" i="2420"/>
  <c r="C68" i="2421"/>
  <c r="BB59" i="2420"/>
  <c r="C88" i="2421"/>
  <c r="BB79" i="2420"/>
  <c r="C75" i="2421"/>
  <c r="BB66" i="2420"/>
  <c r="C102" i="2421"/>
  <c r="BB93" i="2420"/>
  <c r="C104" i="2421"/>
  <c r="BB95" i="2420"/>
  <c r="C34" i="2421"/>
  <c r="BB25" i="2420"/>
  <c r="C45" i="2421"/>
  <c r="BB36" i="2420"/>
  <c r="C46" i="2421"/>
  <c r="BB37" i="2420"/>
  <c r="C78" i="2421"/>
  <c r="BB69" i="2420"/>
  <c r="C110" i="2421"/>
  <c r="BB101" i="2420"/>
  <c r="C63" i="2421"/>
  <c r="BB54" i="2420"/>
  <c r="C95" i="2421"/>
  <c r="BB86" i="2420"/>
  <c r="C57" i="2421"/>
  <c r="BB48" i="2420"/>
  <c r="C84" i="2421"/>
  <c r="BB75" i="2420"/>
  <c r="C40" i="2421"/>
  <c r="BB31" i="2420"/>
  <c r="C28" i="2421"/>
  <c r="BB19" i="2420"/>
  <c r="C99" i="2421"/>
  <c r="BB90" i="2420"/>
  <c r="C112" i="2421"/>
  <c r="C109" i="2422" s="1"/>
  <c r="BB103" i="2420"/>
  <c r="C50" i="2421"/>
  <c r="BB41" i="2420"/>
  <c r="C111" i="2421"/>
  <c r="BB102" i="2420"/>
  <c r="C108" i="2421"/>
  <c r="BB99" i="2420"/>
  <c r="C79" i="2421"/>
  <c r="BB70" i="2420"/>
  <c r="C92" i="2421"/>
  <c r="BB83" i="2420"/>
  <c r="C52" i="2421"/>
  <c r="BB43" i="2420"/>
  <c r="C38" i="2421"/>
  <c r="C35" i="2422" s="1"/>
  <c r="BB29" i="2420"/>
  <c r="C87" i="2421"/>
  <c r="BB78" i="2420"/>
  <c r="C64" i="2421"/>
  <c r="BB55" i="2420"/>
  <c r="C106" i="2421"/>
  <c r="BB97" i="2420"/>
  <c r="C100" i="2421"/>
  <c r="BB91" i="2420"/>
  <c r="C77" i="2421"/>
  <c r="BB68" i="2420"/>
  <c r="C109" i="2421"/>
  <c r="BB100" i="2420"/>
  <c r="C97" i="2421"/>
  <c r="BB88" i="2420"/>
  <c r="C39" i="2421"/>
  <c r="BB30" i="2420"/>
  <c r="C71" i="2421"/>
  <c r="BB62" i="2420"/>
  <c r="C103" i="2421"/>
  <c r="BB94" i="2420"/>
  <c r="C81" i="2421"/>
  <c r="BB72" i="2420"/>
  <c r="C113" i="2421"/>
  <c r="BB104" i="2420"/>
  <c r="C48" i="2421"/>
  <c r="BB39" i="2420"/>
  <c r="C20" i="2421"/>
  <c r="BB11" i="2420"/>
  <c r="C35" i="2421"/>
  <c r="BB26" i="2420"/>
  <c r="C47" i="2421"/>
  <c r="BB38" i="2420"/>
  <c r="C56" i="2421"/>
  <c r="BB47" i="2420"/>
  <c r="C76" i="2421"/>
  <c r="BB67" i="2420"/>
  <c r="C105" i="2421"/>
  <c r="BB96" i="2420"/>
  <c r="C42" i="2421"/>
  <c r="BB33" i="2420"/>
  <c r="C74" i="2421"/>
  <c r="BB65" i="2420"/>
  <c r="Q12" i="2420"/>
  <c r="R12" i="2420" s="1"/>
  <c r="C85" i="2421"/>
  <c r="BB76" i="2420"/>
  <c r="C22" i="2421"/>
  <c r="BB13" i="2420"/>
  <c r="C54" i="2421"/>
  <c r="BB45" i="2420"/>
  <c r="C86" i="2421"/>
  <c r="BB77" i="2420"/>
  <c r="C80" i="2421"/>
  <c r="BB71" i="2420"/>
  <c r="C44" i="2421"/>
  <c r="BB35" i="2420"/>
  <c r="C60" i="2421"/>
  <c r="BB51" i="2420"/>
  <c r="C67" i="2421"/>
  <c r="BB58" i="2420"/>
  <c r="C107" i="2421"/>
  <c r="BB98" i="2420"/>
  <c r="X47" i="2380"/>
  <c r="X48" i="2380"/>
  <c r="X49" i="2380"/>
  <c r="X50" i="2380"/>
  <c r="X51" i="2380"/>
  <c r="X52" i="2380"/>
  <c r="X53" i="2380"/>
  <c r="X54" i="2380"/>
  <c r="X55" i="2380"/>
  <c r="X56" i="2380"/>
  <c r="X57" i="2380"/>
  <c r="X58" i="2380"/>
  <c r="X59" i="2380"/>
  <c r="X60" i="2380"/>
  <c r="X61" i="2380"/>
  <c r="X62" i="2380"/>
  <c r="X63" i="2380"/>
  <c r="X64" i="2380"/>
  <c r="X65" i="2380"/>
  <c r="X66" i="2380"/>
  <c r="X67" i="2380"/>
  <c r="X68" i="2380"/>
  <c r="X69" i="2380"/>
  <c r="X70" i="2380"/>
  <c r="X71" i="2380"/>
  <c r="X72" i="2380"/>
  <c r="X73" i="2380"/>
  <c r="X74" i="2380"/>
  <c r="X75" i="2380"/>
  <c r="X76" i="2380"/>
  <c r="X77" i="2380"/>
  <c r="X78" i="2380"/>
  <c r="X79" i="2380"/>
  <c r="X80" i="2380"/>
  <c r="X81" i="2380"/>
  <c r="X82" i="2380"/>
  <c r="X83" i="2380"/>
  <c r="X84" i="2380"/>
  <c r="X85" i="2380"/>
  <c r="X86" i="2380"/>
  <c r="X87" i="2380"/>
  <c r="X88" i="2380"/>
  <c r="X89" i="2380"/>
  <c r="X90" i="2380"/>
  <c r="X91" i="2380"/>
  <c r="X92" i="2380"/>
  <c r="X93" i="2380"/>
  <c r="X94" i="2380"/>
  <c r="X95" i="2380"/>
  <c r="X96" i="2380"/>
  <c r="X97" i="2380"/>
  <c r="X98" i="2380"/>
  <c r="X99" i="2380"/>
  <c r="X100" i="2380"/>
  <c r="X101" i="2380"/>
  <c r="X102" i="2380"/>
  <c r="X103" i="2380"/>
  <c r="X104" i="2380"/>
  <c r="X105" i="2380"/>
  <c r="X106" i="2380"/>
  <c r="X107" i="2380"/>
  <c r="D108" i="2380"/>
  <c r="X108" i="2380" s="1"/>
  <c r="D109" i="2380"/>
  <c r="X109" i="2380" s="1"/>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08" i="2380"/>
  <c r="C108" i="2380"/>
  <c r="H108" i="2380"/>
  <c r="H123" i="2388" s="1"/>
  <c r="I108" i="2380"/>
  <c r="I123" i="2388" s="1"/>
  <c r="B109" i="2380"/>
  <c r="C109" i="2380"/>
  <c r="H109" i="2380"/>
  <c r="H124" i="2388" s="1"/>
  <c r="I109" i="2380"/>
  <c r="I124" i="2388" s="1"/>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3" i="2383"/>
  <c r="P13"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4" i="2413"/>
  <c r="Z14" i="2413"/>
  <c r="AA14" i="2413"/>
  <c r="Y17" i="2413"/>
  <c r="Z17" i="2413"/>
  <c r="AA17" i="2413"/>
  <c r="AA13" i="2413"/>
  <c r="Z13" i="2413"/>
  <c r="Y13" i="2413"/>
  <c r="U17" i="2413"/>
  <c r="V17" i="2413"/>
  <c r="W17" i="2413"/>
  <c r="NB4" i="2421"/>
  <c r="NB5" i="2421"/>
  <c r="NB6" i="2421"/>
  <c r="NB7" i="2421"/>
  <c r="NB14" i="2421"/>
  <c r="NB15" i="2421"/>
  <c r="NB16" i="2421"/>
  <c r="NB17" i="2421"/>
  <c r="NB18" i="2421"/>
  <c r="AY4" i="2421"/>
  <c r="AY5" i="2421"/>
  <c r="AY6" i="2421"/>
  <c r="AY7" i="2421"/>
  <c r="AY13" i="2421"/>
  <c r="AY14" i="2421"/>
  <c r="AY15" i="2421"/>
  <c r="AY16" i="2421"/>
  <c r="AY17" i="2421"/>
  <c r="AY18" i="2421"/>
  <c r="BN4" i="2421"/>
  <c r="BN5" i="2421"/>
  <c r="BN6" i="2421"/>
  <c r="BN7" i="2421"/>
  <c r="BN13" i="2421"/>
  <c r="BN14" i="2421"/>
  <c r="BN15" i="2421"/>
  <c r="BN16" i="2421"/>
  <c r="BN17" i="2421"/>
  <c r="BN18" i="2421"/>
  <c r="C110" i="2422" l="1"/>
  <c r="C37" i="2422"/>
  <c r="C64" i="2422"/>
  <c r="C83" i="2422"/>
  <c r="C34" i="2422"/>
  <c r="C59" i="2422"/>
  <c r="C80" i="2422"/>
  <c r="C29"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51"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BP8" i="2421"/>
  <c r="BP6" i="2421"/>
  <c r="BP4" i="2421"/>
  <c r="BR14" i="2421" s="1"/>
  <c r="BP10" i="2421"/>
  <c r="BP9" i="2421"/>
  <c r="BP7" i="2421"/>
  <c r="BP5" i="2421"/>
  <c r="ND9" i="2421"/>
  <c r="ND6" i="2421"/>
  <c r="ND10" i="2421"/>
  <c r="ND8" i="2421"/>
  <c r="ND4" i="2421"/>
  <c r="ND7" i="2421"/>
  <c r="ND5" i="2421"/>
  <c r="BB18" i="2420"/>
  <c r="C25" i="2421"/>
  <c r="BB15" i="2420"/>
  <c r="BB14" i="2420"/>
  <c r="NG11" i="2421"/>
  <c r="BU12" i="2421"/>
  <c r="CB12" i="2421"/>
  <c r="BT12" i="2421"/>
  <c r="CA12" i="2421"/>
  <c r="BR12" i="2421"/>
  <c r="BZ12" i="2421"/>
  <c r="BY12" i="2421"/>
  <c r="BX12" i="2421"/>
  <c r="BW12" i="2421"/>
  <c r="BV12" i="2421"/>
  <c r="BS11" i="2421"/>
  <c r="BI12" i="2421"/>
  <c r="BH12" i="2421"/>
  <c r="BL12" i="2421"/>
  <c r="BG12" i="2421"/>
  <c r="BF12" i="2421"/>
  <c r="BC12" i="2421"/>
  <c r="BM12" i="2421"/>
  <c r="BE12" i="2421"/>
  <c r="BK12" i="2421"/>
  <c r="BJ12" i="2421"/>
  <c r="NJ12" i="2421"/>
  <c r="NI12" i="2421"/>
  <c r="NP12" i="2421"/>
  <c r="NH12" i="2421"/>
  <c r="NO12" i="2421"/>
  <c r="NF12" i="2421"/>
  <c r="NN12" i="2421"/>
  <c r="NM12" i="2421"/>
  <c r="NL12" i="2421"/>
  <c r="NK12" i="2421"/>
  <c r="BD11" i="2421"/>
  <c r="BU14" i="2421"/>
  <c r="BS14" i="2421"/>
  <c r="BO125" i="2421"/>
  <c r="BP125" i="2421" s="1"/>
  <c r="BO119" i="2421"/>
  <c r="BP119" i="2421" s="1"/>
  <c r="NC122" i="2421"/>
  <c r="NC117" i="2421"/>
  <c r="ND117" i="2421" s="1"/>
  <c r="NC120" i="2421"/>
  <c r="ND120" i="2421" s="1"/>
  <c r="NC118" i="2421"/>
  <c r="ND118" i="2421" s="1"/>
  <c r="AZ120" i="2421"/>
  <c r="BA120" i="2421" s="1"/>
  <c r="BO118" i="2421"/>
  <c r="BP118" i="2421" s="1"/>
  <c r="BO117" i="2421"/>
  <c r="BO120" i="2421"/>
  <c r="BP120" i="2421" s="1"/>
  <c r="AZ125" i="2421"/>
  <c r="BA125" i="2421" s="1"/>
  <c r="AZ119" i="2421"/>
  <c r="BA119" i="2421" s="1"/>
  <c r="NC124" i="2421"/>
  <c r="ND124" i="2421" s="1"/>
  <c r="BO122" i="2421"/>
  <c r="AZ115" i="2421"/>
  <c r="AZ124" i="2421"/>
  <c r="BA124" i="2421" s="1"/>
  <c r="BO115" i="2421"/>
  <c r="BO124" i="2421"/>
  <c r="BP124" i="2421" s="1"/>
  <c r="AZ122" i="2421"/>
  <c r="NC115" i="2421"/>
  <c r="NC125" i="2421"/>
  <c r="ND125" i="2421" s="1"/>
  <c r="NC119" i="2421"/>
  <c r="ND119" i="2421" s="1"/>
  <c r="F82" i="2388"/>
  <c r="F121" i="2388"/>
  <c r="F113" i="2388"/>
  <c r="F105" i="2388"/>
  <c r="F89" i="2388"/>
  <c r="F81" i="2388"/>
  <c r="F65" i="2388"/>
  <c r="AX19" i="2420"/>
  <c r="DI78" i="2420"/>
  <c r="F66" i="2388"/>
  <c r="F120" i="2388"/>
  <c r="F112" i="2388"/>
  <c r="F104" i="2388"/>
  <c r="AX76" i="2420"/>
  <c r="F88" i="2388"/>
  <c r="F80" i="2388"/>
  <c r="AX60" i="2420"/>
  <c r="F72" i="2388"/>
  <c r="AX52" i="2420"/>
  <c r="AX44" i="2420"/>
  <c r="F119" i="2388"/>
  <c r="AX91" i="2420"/>
  <c r="F103" i="2388"/>
  <c r="AX83" i="2420"/>
  <c r="F87" i="2388"/>
  <c r="DI67" i="2420"/>
  <c r="F79" i="2388"/>
  <c r="DI59" i="2420"/>
  <c r="F71" i="2388"/>
  <c r="AX51" i="2420"/>
  <c r="F63" i="2388"/>
  <c r="DI43" i="2420"/>
  <c r="F37" i="2388"/>
  <c r="C21" i="2421"/>
  <c r="BB12" i="2420"/>
  <c r="AX70" i="2420"/>
  <c r="CY70" i="2420"/>
  <c r="AX90" i="2420"/>
  <c r="F110" i="2388"/>
  <c r="F94" i="2388"/>
  <c r="F78" i="2388"/>
  <c r="AX50" i="2420"/>
  <c r="F70" i="2388"/>
  <c r="DI102" i="2420"/>
  <c r="F122" i="2388"/>
  <c r="AX54" i="2420"/>
  <c r="F74" i="2388"/>
  <c r="DI97" i="2420"/>
  <c r="AX89" i="2420"/>
  <c r="DI81" i="2420"/>
  <c r="F101" i="2388"/>
  <c r="DI73" i="2420"/>
  <c r="F93" i="2388"/>
  <c r="AX65" i="2420"/>
  <c r="F85" i="2388"/>
  <c r="AX57" i="2420"/>
  <c r="F77" i="2388"/>
  <c r="DI49" i="2420"/>
  <c r="F69" i="2388"/>
  <c r="F106" i="2388"/>
  <c r="K109" i="2380"/>
  <c r="AX104" i="2420" s="1"/>
  <c r="F109" i="2380"/>
  <c r="F124" i="2388" s="1"/>
  <c r="DI96" i="2420"/>
  <c r="F116" i="2388"/>
  <c r="CY72" i="2420"/>
  <c r="F84" i="2388"/>
  <c r="F68" i="2388"/>
  <c r="DI22" i="2420"/>
  <c r="AX94" i="2420"/>
  <c r="F40" i="2388"/>
  <c r="K108" i="2380"/>
  <c r="F108" i="2380"/>
  <c r="DI95" i="2420"/>
  <c r="F115" i="2388"/>
  <c r="AX79" i="2420"/>
  <c r="F99" i="2388"/>
  <c r="F91" i="2388"/>
  <c r="DI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S67" i="2420"/>
  <c r="DS75" i="2420"/>
  <c r="DS83" i="2420"/>
  <c r="DS35" i="2420"/>
  <c r="DS99" i="2420"/>
  <c r="DS59" i="2420"/>
  <c r="DS27" i="2420"/>
  <c r="DS51" i="2420"/>
  <c r="DS91" i="2420"/>
  <c r="DS43" i="2420"/>
  <c r="DS98" i="2420"/>
  <c r="DS90" i="2420"/>
  <c r="DS82" i="2420"/>
  <c r="DS74" i="2420"/>
  <c r="DS66" i="2420"/>
  <c r="DS58" i="2420"/>
  <c r="DS50" i="2420"/>
  <c r="DS42" i="2420"/>
  <c r="DS34" i="2420"/>
  <c r="DS97" i="2420"/>
  <c r="DS89" i="2420"/>
  <c r="DS81" i="2420"/>
  <c r="DS73" i="2420"/>
  <c r="DS65" i="2420"/>
  <c r="DS57" i="2420"/>
  <c r="DS49" i="2420"/>
  <c r="DS41" i="2420"/>
  <c r="DS33" i="2420"/>
  <c r="DS104" i="2420"/>
  <c r="DS96" i="2420"/>
  <c r="DS88" i="2420"/>
  <c r="DS80" i="2420"/>
  <c r="DS72" i="2420"/>
  <c r="DS64" i="2420"/>
  <c r="DS56" i="2420"/>
  <c r="DS48" i="2420"/>
  <c r="DS40" i="2420"/>
  <c r="DS103" i="2420"/>
  <c r="DS95" i="2420"/>
  <c r="DS87" i="2420"/>
  <c r="DS79" i="2420"/>
  <c r="DS71" i="2420"/>
  <c r="DS63" i="2420"/>
  <c r="DS55" i="2420"/>
  <c r="DS47" i="2420"/>
  <c r="DS39" i="2420"/>
  <c r="DS31" i="2420"/>
  <c r="DS102" i="2420"/>
  <c r="DS94" i="2420"/>
  <c r="DS86" i="2420"/>
  <c r="DS78" i="2420"/>
  <c r="DS70" i="2420"/>
  <c r="DS62" i="2420"/>
  <c r="DS54" i="2420"/>
  <c r="DS46" i="2420"/>
  <c r="DS38" i="2420"/>
  <c r="DS101" i="2420"/>
  <c r="DS93" i="2420"/>
  <c r="DS85" i="2420"/>
  <c r="DS77" i="2420"/>
  <c r="DS69" i="2420"/>
  <c r="DS61" i="2420"/>
  <c r="DS53" i="2420"/>
  <c r="DS45" i="2420"/>
  <c r="DS37" i="2420"/>
  <c r="DS100" i="2420"/>
  <c r="DS92" i="2420"/>
  <c r="DS84" i="2420"/>
  <c r="DS76" i="2420"/>
  <c r="DS68" i="2420"/>
  <c r="DS60" i="2420"/>
  <c r="DS52" i="2420"/>
  <c r="DS44" i="2420"/>
  <c r="DS36" i="2420"/>
  <c r="DI38" i="2420"/>
  <c r="DI99" i="2420"/>
  <c r="DI27" i="2420"/>
  <c r="AX11" i="2420"/>
  <c r="DI18" i="2420"/>
  <c r="DI71" i="2420"/>
  <c r="DI28" i="2420"/>
  <c r="DI35" i="2420"/>
  <c r="DI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I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AS152" i="2403" s="1"/>
  <c r="B51" i="2403"/>
  <c r="AS51" i="2403" s="1"/>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AS167" i="2403" s="1"/>
  <c r="B66" i="2403"/>
  <c r="AS66" i="2403" s="1"/>
  <c r="B159" i="2403"/>
  <c r="AS159" i="2403" s="1"/>
  <c r="B58" i="2403"/>
  <c r="AS58" i="2403" s="1"/>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AS88" i="2403" s="1"/>
  <c r="B189" i="2403"/>
  <c r="AS189" i="2403" s="1"/>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F123" i="2388"/>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I68" i="2420"/>
  <c r="AX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3" i="2380"/>
  <c r="D112" i="2380" s="1"/>
  <c r="D121" i="2388"/>
  <c r="E108" i="2390"/>
  <c r="C109" i="2413"/>
  <c r="H109" i="2413" s="1"/>
  <c r="D117" i="2388"/>
  <c r="E104" i="2390"/>
  <c r="C105" i="2413"/>
  <c r="H105" i="2413" s="1"/>
  <c r="D113" i="2388"/>
  <c r="E100" i="2390"/>
  <c r="C101" i="2413"/>
  <c r="H101" i="2413" s="1"/>
  <c r="D109" i="2388"/>
  <c r="E96" i="2390"/>
  <c r="C97" i="2413"/>
  <c r="H97" i="2413" s="1"/>
  <c r="D105" i="2388"/>
  <c r="E92" i="2390"/>
  <c r="C93" i="2413"/>
  <c r="H93" i="2413" s="1"/>
  <c r="D101" i="2388"/>
  <c r="E88" i="2390"/>
  <c r="C89" i="2413"/>
  <c r="H89" i="2413" s="1"/>
  <c r="D97" i="2388"/>
  <c r="E84" i="2390"/>
  <c r="C85" i="2413"/>
  <c r="H85" i="2413" s="1"/>
  <c r="D93" i="2388"/>
  <c r="E80" i="2390"/>
  <c r="C81" i="2413"/>
  <c r="H81" i="2413" s="1"/>
  <c r="D89" i="2388"/>
  <c r="E76" i="2390"/>
  <c r="C77" i="2413"/>
  <c r="H77" i="2413" s="1"/>
  <c r="D85" i="2388"/>
  <c r="E72" i="2390"/>
  <c r="C73" i="2413"/>
  <c r="H73" i="2413" s="1"/>
  <c r="D81" i="2388"/>
  <c r="E68" i="2390"/>
  <c r="C69" i="2413"/>
  <c r="H69" i="2413" s="1"/>
  <c r="D77" i="2388"/>
  <c r="E64" i="2390"/>
  <c r="C65" i="2413"/>
  <c r="H65" i="2413" s="1"/>
  <c r="D73" i="2388"/>
  <c r="E60" i="2390"/>
  <c r="C61" i="2413"/>
  <c r="H61" i="2413" s="1"/>
  <c r="D69" i="2388"/>
  <c r="E56" i="2390"/>
  <c r="C57" i="2413"/>
  <c r="H57" i="2413" s="1"/>
  <c r="D65" i="2388"/>
  <c r="E52" i="2390"/>
  <c r="C53" i="2413"/>
  <c r="H53" i="2413" s="1"/>
  <c r="D61" i="2388"/>
  <c r="E48" i="2390"/>
  <c r="C49" i="2413"/>
  <c r="H49" i="2413" s="1"/>
  <c r="D57" i="2388"/>
  <c r="E44" i="2390"/>
  <c r="C45" i="2413"/>
  <c r="H45" i="2413" s="1"/>
  <c r="D53" i="2388"/>
  <c r="E40" i="2390"/>
  <c r="C41" i="2413"/>
  <c r="H41" i="2413" s="1"/>
  <c r="D49" i="2388"/>
  <c r="E36" i="2390"/>
  <c r="C37" i="2413"/>
  <c r="H37" i="2413" s="1"/>
  <c r="D45" i="2388"/>
  <c r="E32" i="2390"/>
  <c r="C33" i="2413"/>
  <c r="D41" i="2388"/>
  <c r="E28" i="2390"/>
  <c r="C29" i="2413"/>
  <c r="D37" i="2388"/>
  <c r="E24" i="2390"/>
  <c r="C25" i="2413"/>
  <c r="D33" i="2388"/>
  <c r="E20" i="2390"/>
  <c r="C21" i="2413"/>
  <c r="D124" i="2388"/>
  <c r="E111" i="2390"/>
  <c r="C112" i="2413"/>
  <c r="H112" i="2413" s="1"/>
  <c r="D120" i="2388"/>
  <c r="E107" i="2390"/>
  <c r="C108" i="2413"/>
  <c r="H108" i="2413" s="1"/>
  <c r="D116" i="2388"/>
  <c r="E103" i="2390"/>
  <c r="C104" i="2413"/>
  <c r="H104" i="2413" s="1"/>
  <c r="D112" i="2388"/>
  <c r="E99" i="2390"/>
  <c r="C100" i="2413"/>
  <c r="H100" i="2413" s="1"/>
  <c r="D108" i="2388"/>
  <c r="E95" i="2390"/>
  <c r="C96" i="2413"/>
  <c r="H96" i="2413" s="1"/>
  <c r="D104" i="2388"/>
  <c r="E91" i="2390"/>
  <c r="C92" i="2413"/>
  <c r="H92" i="2413" s="1"/>
  <c r="D100" i="2388"/>
  <c r="E87" i="2390"/>
  <c r="C88" i="2413"/>
  <c r="H88" i="2413" s="1"/>
  <c r="D96" i="2388"/>
  <c r="E83" i="2390"/>
  <c r="C84" i="2413"/>
  <c r="H84" i="2413" s="1"/>
  <c r="D92" i="2388"/>
  <c r="E79" i="2390"/>
  <c r="C80" i="2413"/>
  <c r="H80" i="2413" s="1"/>
  <c r="D88" i="2388"/>
  <c r="E75" i="2390"/>
  <c r="C76" i="2413"/>
  <c r="H76" i="2413" s="1"/>
  <c r="D84" i="2388"/>
  <c r="E71" i="2390"/>
  <c r="C72" i="2413"/>
  <c r="H72" i="2413" s="1"/>
  <c r="D80" i="2388"/>
  <c r="E67" i="2390"/>
  <c r="C68" i="2413"/>
  <c r="H68" i="2413" s="1"/>
  <c r="D76" i="2388"/>
  <c r="E63" i="2390"/>
  <c r="C64" i="2413"/>
  <c r="H64" i="2413" s="1"/>
  <c r="D72" i="2388"/>
  <c r="E59" i="2390"/>
  <c r="C60" i="2413"/>
  <c r="H60" i="2413" s="1"/>
  <c r="D68" i="2388"/>
  <c r="E55" i="2390"/>
  <c r="C56" i="2413"/>
  <c r="H56" i="2413" s="1"/>
  <c r="D64" i="2388"/>
  <c r="E51" i="2390"/>
  <c r="C52" i="2413"/>
  <c r="H52" i="2413" s="1"/>
  <c r="D60" i="2388"/>
  <c r="E47" i="2390"/>
  <c r="C48" i="2413"/>
  <c r="H48" i="2413" s="1"/>
  <c r="D56" i="2388"/>
  <c r="E43" i="2390"/>
  <c r="C44" i="2413"/>
  <c r="H44" i="2413" s="1"/>
  <c r="D52" i="2388"/>
  <c r="E39" i="2390"/>
  <c r="C40" i="2413"/>
  <c r="H40" i="2413" s="1"/>
  <c r="D48" i="2388"/>
  <c r="E35" i="2390"/>
  <c r="C36" i="2413"/>
  <c r="H36" i="2413" s="1"/>
  <c r="D44" i="2388"/>
  <c r="E31" i="2390"/>
  <c r="C32" i="2413"/>
  <c r="D40" i="2388"/>
  <c r="E27" i="2390"/>
  <c r="C28" i="2413"/>
  <c r="D36" i="2388"/>
  <c r="E23" i="2390"/>
  <c r="C24" i="2413"/>
  <c r="D32" i="2388"/>
  <c r="E19" i="2390"/>
  <c r="C20" i="2413"/>
  <c r="D123" i="2388"/>
  <c r="E110" i="2390"/>
  <c r="C111" i="2413"/>
  <c r="D119" i="2388"/>
  <c r="E106" i="2390"/>
  <c r="C107" i="2413"/>
  <c r="H107" i="2413" s="1"/>
  <c r="D115" i="2388"/>
  <c r="E102" i="2390"/>
  <c r="C103" i="2413"/>
  <c r="H103" i="2413" s="1"/>
  <c r="D111" i="2388"/>
  <c r="E98" i="2390"/>
  <c r="C99" i="2413"/>
  <c r="H99" i="2413" s="1"/>
  <c r="D107" i="2388"/>
  <c r="E94" i="2390"/>
  <c r="C95" i="2413"/>
  <c r="H95" i="2413" s="1"/>
  <c r="D103" i="2388"/>
  <c r="E90" i="2390"/>
  <c r="C91" i="2413"/>
  <c r="H91" i="2413" s="1"/>
  <c r="D99" i="2388"/>
  <c r="E86" i="2390"/>
  <c r="C87" i="2413"/>
  <c r="H87" i="2413" s="1"/>
  <c r="D95" i="2388"/>
  <c r="E82" i="2390"/>
  <c r="C83" i="2413"/>
  <c r="H83" i="2413" s="1"/>
  <c r="D91" i="2388"/>
  <c r="E78" i="2390"/>
  <c r="C79" i="2413"/>
  <c r="H79" i="2413" s="1"/>
  <c r="D87" i="2388"/>
  <c r="E74" i="2390"/>
  <c r="C75" i="2413"/>
  <c r="H75" i="2413" s="1"/>
  <c r="D83" i="2388"/>
  <c r="E70" i="2390"/>
  <c r="C71" i="2413"/>
  <c r="H71" i="2413" s="1"/>
  <c r="D79" i="2388"/>
  <c r="E66" i="2390"/>
  <c r="C67" i="2413"/>
  <c r="H67" i="2413" s="1"/>
  <c r="D75" i="2388"/>
  <c r="E62" i="2390"/>
  <c r="C63" i="2413"/>
  <c r="H63" i="2413" s="1"/>
  <c r="D71" i="2388"/>
  <c r="E58" i="2390"/>
  <c r="C59" i="2413"/>
  <c r="H59" i="2413" s="1"/>
  <c r="D67" i="2388"/>
  <c r="E54" i="2390"/>
  <c r="C55" i="2413"/>
  <c r="H55" i="2413" s="1"/>
  <c r="D63" i="2388"/>
  <c r="E50" i="2390"/>
  <c r="C51" i="2413"/>
  <c r="H51" i="2413" s="1"/>
  <c r="D59" i="2388"/>
  <c r="E46" i="2390"/>
  <c r="C47" i="2413"/>
  <c r="H47" i="2413" s="1"/>
  <c r="D55" i="2388"/>
  <c r="E42" i="2390"/>
  <c r="C43" i="2413"/>
  <c r="H43" i="2413" s="1"/>
  <c r="D51" i="2388"/>
  <c r="E38" i="2390"/>
  <c r="C39" i="2413"/>
  <c r="H39" i="2413" s="1"/>
  <c r="D47" i="2388"/>
  <c r="E34" i="2390"/>
  <c r="C35" i="2413"/>
  <c r="H35" i="2413" s="1"/>
  <c r="D43" i="2388"/>
  <c r="E30" i="2390"/>
  <c r="C31" i="2413"/>
  <c r="D39" i="2388"/>
  <c r="E26" i="2390"/>
  <c r="C27" i="2413"/>
  <c r="D35" i="2388"/>
  <c r="E22" i="2390"/>
  <c r="C23" i="2413"/>
  <c r="D31" i="2388"/>
  <c r="E18" i="2390"/>
  <c r="C19" i="2413"/>
  <c r="D122" i="2388"/>
  <c r="E109" i="2390"/>
  <c r="C110" i="2413"/>
  <c r="H110" i="2413" s="1"/>
  <c r="D118" i="2388"/>
  <c r="E105" i="2390"/>
  <c r="C106" i="2413"/>
  <c r="H106" i="2413" s="1"/>
  <c r="D114" i="2388"/>
  <c r="E101" i="2390"/>
  <c r="C102" i="2413"/>
  <c r="H102" i="2413" s="1"/>
  <c r="D110" i="2388"/>
  <c r="E97" i="2390"/>
  <c r="C98" i="2413"/>
  <c r="H98" i="2413" s="1"/>
  <c r="D106" i="2388"/>
  <c r="E93" i="2390"/>
  <c r="C94" i="2413"/>
  <c r="H94" i="2413" s="1"/>
  <c r="D102" i="2388"/>
  <c r="E89" i="2390"/>
  <c r="C90" i="2413"/>
  <c r="H90" i="2413" s="1"/>
  <c r="D98" i="2388"/>
  <c r="E85" i="2390"/>
  <c r="C86" i="2413"/>
  <c r="H86" i="2413" s="1"/>
  <c r="D94" i="2388"/>
  <c r="E81" i="2390"/>
  <c r="C82" i="2413"/>
  <c r="H82" i="2413" s="1"/>
  <c r="D90" i="2388"/>
  <c r="E77" i="2390"/>
  <c r="C78" i="2413"/>
  <c r="H78" i="2413" s="1"/>
  <c r="D86" i="2388"/>
  <c r="E73" i="2390"/>
  <c r="C74" i="2413"/>
  <c r="H74" i="2413" s="1"/>
  <c r="D82" i="2388"/>
  <c r="E69" i="2390"/>
  <c r="C70" i="2413"/>
  <c r="H70" i="2413" s="1"/>
  <c r="D78" i="2388"/>
  <c r="E65" i="2390"/>
  <c r="C66" i="2413"/>
  <c r="H66" i="2413" s="1"/>
  <c r="D74" i="2388"/>
  <c r="E61" i="2390"/>
  <c r="C62" i="2413"/>
  <c r="H62" i="2413" s="1"/>
  <c r="D70" i="2388"/>
  <c r="E57" i="2390"/>
  <c r="C58" i="2413"/>
  <c r="H58" i="2413" s="1"/>
  <c r="D66" i="2388"/>
  <c r="E53" i="2390"/>
  <c r="C54" i="2413"/>
  <c r="H54" i="2413" s="1"/>
  <c r="D62" i="2388"/>
  <c r="E49" i="2390"/>
  <c r="C50" i="2413"/>
  <c r="H50" i="2413" s="1"/>
  <c r="D58" i="2388"/>
  <c r="E45" i="2390"/>
  <c r="C46" i="2413"/>
  <c r="H46" i="2413" s="1"/>
  <c r="D54" i="2388"/>
  <c r="E41" i="2390"/>
  <c r="C42" i="2413"/>
  <c r="H42" i="2413" s="1"/>
  <c r="D50" i="2388"/>
  <c r="E37" i="2390"/>
  <c r="C38" i="2413"/>
  <c r="H38" i="2413" s="1"/>
  <c r="D46" i="2388"/>
  <c r="E33" i="2390"/>
  <c r="C34" i="2413"/>
  <c r="D42" i="2388"/>
  <c r="E29" i="2390"/>
  <c r="C30" i="2413"/>
  <c r="D38" i="2388"/>
  <c r="E25" i="2390"/>
  <c r="C26" i="2413"/>
  <c r="D34" i="2388"/>
  <c r="E21" i="2390"/>
  <c r="C22" i="2413"/>
  <c r="D30" i="2388"/>
  <c r="E17" i="2390"/>
  <c r="C18" i="2413"/>
  <c r="T79" i="2420"/>
  <c r="DA79" i="2420"/>
  <c r="DA68" i="2420"/>
  <c r="T68" i="2420"/>
  <c r="DA65" i="2420"/>
  <c r="T65" i="2420"/>
  <c r="T101" i="2420"/>
  <c r="DA101" i="2420"/>
  <c r="T88" i="2420"/>
  <c r="DA88" i="2420"/>
  <c r="AX81" i="2420"/>
  <c r="T80" i="2420"/>
  <c r="DA80" i="2420"/>
  <c r="AX78" i="2420"/>
  <c r="DA69" i="2420"/>
  <c r="T69" i="2420"/>
  <c r="T67" i="2420"/>
  <c r="DA67" i="2420"/>
  <c r="DA56" i="2420"/>
  <c r="T56" i="2420"/>
  <c r="T37" i="2420"/>
  <c r="DA37" i="2420"/>
  <c r="T35" i="2420"/>
  <c r="DA35" i="2420"/>
  <c r="T33" i="2420"/>
  <c r="DA33" i="2420"/>
  <c r="T26" i="2420"/>
  <c r="DA26" i="2420"/>
  <c r="DA15" i="2420"/>
  <c r="T15" i="2420"/>
  <c r="DI14" i="2420"/>
  <c r="AX14" i="2420"/>
  <c r="CW99" i="2420"/>
  <c r="L99" i="2420"/>
  <c r="CW91" i="2420"/>
  <c r="L91" i="2420"/>
  <c r="L83" i="2420"/>
  <c r="CW83" i="2420"/>
  <c r="CW75" i="2420"/>
  <c r="L75" i="2420"/>
  <c r="L67" i="2420"/>
  <c r="CW67" i="2420"/>
  <c r="CW59" i="2420"/>
  <c r="L59" i="2420"/>
  <c r="L51" i="2420"/>
  <c r="CW51" i="2420"/>
  <c r="L43" i="2420"/>
  <c r="CW43" i="2420"/>
  <c r="CW35" i="2420"/>
  <c r="L35" i="2420"/>
  <c r="L27" i="2420"/>
  <c r="CW27" i="2420"/>
  <c r="L19" i="2420"/>
  <c r="CW19" i="2420"/>
  <c r="L11" i="2420"/>
  <c r="CW11" i="2420"/>
  <c r="T99" i="2420"/>
  <c r="DA99" i="2420"/>
  <c r="T102" i="2420"/>
  <c r="DA102" i="2420"/>
  <c r="T70" i="2420"/>
  <c r="DA70" i="2420"/>
  <c r="T47" i="2420"/>
  <c r="DA47" i="2420"/>
  <c r="T38" i="2420"/>
  <c r="DA38" i="2420"/>
  <c r="DA28" i="2420"/>
  <c r="T28" i="2420"/>
  <c r="T25" i="2420"/>
  <c r="DA25" i="2420"/>
  <c r="AX17" i="2420"/>
  <c r="DI17" i="2420"/>
  <c r="T16" i="2420"/>
  <c r="DA16" i="2420"/>
  <c r="L98" i="2420"/>
  <c r="CW98" i="2420"/>
  <c r="L90" i="2420"/>
  <c r="CW90" i="2420"/>
  <c r="CW82" i="2420"/>
  <c r="L82" i="2420"/>
  <c r="L74" i="2420"/>
  <c r="CW74" i="2420"/>
  <c r="L66" i="2420"/>
  <c r="CW66" i="2420"/>
  <c r="CW58" i="2420"/>
  <c r="L58" i="2420"/>
  <c r="L50" i="2420"/>
  <c r="CW50" i="2420"/>
  <c r="CW42" i="2420"/>
  <c r="L42" i="2420"/>
  <c r="L34" i="2420"/>
  <c r="CW34" i="2420"/>
  <c r="L26" i="2420"/>
  <c r="CW26" i="2420"/>
  <c r="L18" i="2420"/>
  <c r="CW18" i="2420"/>
  <c r="L10" i="2420"/>
  <c r="CW10" i="2420"/>
  <c r="DA97" i="2420"/>
  <c r="T97" i="2420"/>
  <c r="DA92" i="2420"/>
  <c r="T92" i="2420"/>
  <c r="DA58" i="2420"/>
  <c r="T58" i="2420"/>
  <c r="T103" i="2420"/>
  <c r="DA103" i="2420"/>
  <c r="T91" i="2420"/>
  <c r="DA91" i="2420"/>
  <c r="T89" i="2420"/>
  <c r="DA89" i="2420"/>
  <c r="T84" i="2420"/>
  <c r="DA84" i="2420"/>
  <c r="DA81" i="2420"/>
  <c r="T81" i="2420"/>
  <c r="T71" i="2420"/>
  <c r="DA71" i="2420"/>
  <c r="DA60" i="2420"/>
  <c r="T60" i="2420"/>
  <c r="DA57" i="2420"/>
  <c r="T57" i="2420"/>
  <c r="T48" i="2420"/>
  <c r="DA48" i="2420"/>
  <c r="DA39" i="2420"/>
  <c r="T39" i="2420"/>
  <c r="T29" i="2420"/>
  <c r="DA29" i="2420"/>
  <c r="P28" i="2420"/>
  <c r="T27" i="2420"/>
  <c r="DA27" i="2420"/>
  <c r="T20" i="2420"/>
  <c r="DA20" i="2420"/>
  <c r="DA18" i="2420"/>
  <c r="T18" i="2420"/>
  <c r="L97" i="2420"/>
  <c r="CW97" i="2420"/>
  <c r="L89" i="2420"/>
  <c r="CW89" i="2420"/>
  <c r="CW81" i="2420"/>
  <c r="L81" i="2420"/>
  <c r="L73" i="2420"/>
  <c r="CW73" i="2420"/>
  <c r="L65" i="2420"/>
  <c r="CW65" i="2420"/>
  <c r="CW57" i="2420"/>
  <c r="L57" i="2420"/>
  <c r="L49" i="2420"/>
  <c r="CW49" i="2420"/>
  <c r="CW41" i="2420"/>
  <c r="L41" i="2420"/>
  <c r="CW33" i="2420"/>
  <c r="L33" i="2420"/>
  <c r="CW25" i="2420"/>
  <c r="L25" i="2420"/>
  <c r="L17" i="2420"/>
  <c r="CW17" i="2420"/>
  <c r="DA104" i="2420"/>
  <c r="T104" i="2420"/>
  <c r="DA93" i="2420"/>
  <c r="T93" i="2420"/>
  <c r="T83" i="2420"/>
  <c r="DA83" i="2420"/>
  <c r="DA72" i="2420"/>
  <c r="T72" i="2420"/>
  <c r="T61" i="2420"/>
  <c r="DA61" i="2420"/>
  <c r="DA59" i="2420"/>
  <c r="T59" i="2420"/>
  <c r="T52" i="2420"/>
  <c r="DA52" i="2420"/>
  <c r="DA50" i="2420"/>
  <c r="T50" i="2420"/>
  <c r="AX41" i="2420"/>
  <c r="DI41" i="2420"/>
  <c r="T40" i="2420"/>
  <c r="DA40" i="2420"/>
  <c r="DI31" i="2420"/>
  <c r="AX31" i="2420"/>
  <c r="DA30" i="2420"/>
  <c r="T30" i="2420"/>
  <c r="T21" i="2420"/>
  <c r="DA21" i="2420"/>
  <c r="T19" i="2420"/>
  <c r="DA19" i="2420"/>
  <c r="T17" i="2420"/>
  <c r="DA17" i="2420"/>
  <c r="DI12" i="2420"/>
  <c r="AX12" i="2420"/>
  <c r="DA10" i="2420"/>
  <c r="T10" i="2420"/>
  <c r="L104" i="2420"/>
  <c r="CW104" i="2420"/>
  <c r="L96" i="2420"/>
  <c r="CW96" i="2420"/>
  <c r="L88" i="2420"/>
  <c r="CW88" i="2420"/>
  <c r="CW80" i="2420"/>
  <c r="L80" i="2420"/>
  <c r="L72" i="2420"/>
  <c r="CW72" i="2420"/>
  <c r="L64" i="2420"/>
  <c r="CW64" i="2420"/>
  <c r="CW56" i="2420"/>
  <c r="L56" i="2420"/>
  <c r="L48" i="2420"/>
  <c r="CW48" i="2420"/>
  <c r="L40" i="2420"/>
  <c r="CW40" i="2420"/>
  <c r="CW32" i="2420"/>
  <c r="L32" i="2420"/>
  <c r="L24" i="2420"/>
  <c r="CW24" i="2420"/>
  <c r="L16" i="2420"/>
  <c r="CW16" i="2420"/>
  <c r="T82" i="2420"/>
  <c r="DA82" i="2420"/>
  <c r="DI98" i="2420"/>
  <c r="AX98" i="2420"/>
  <c r="T94" i="2420"/>
  <c r="DA94" i="2420"/>
  <c r="T85" i="2420"/>
  <c r="DA85" i="2420"/>
  <c r="DA74" i="2420"/>
  <c r="T74" i="2420"/>
  <c r="T62" i="2420"/>
  <c r="DA62" i="2420"/>
  <c r="T53" i="2420"/>
  <c r="DA53" i="2420"/>
  <c r="DA51" i="2420"/>
  <c r="T51" i="2420"/>
  <c r="T49" i="2420"/>
  <c r="DA49" i="2420"/>
  <c r="AX43" i="2420"/>
  <c r="T42" i="2420"/>
  <c r="DA42" i="2420"/>
  <c r="DA22" i="2420"/>
  <c r="T22" i="2420"/>
  <c r="CY10" i="2420"/>
  <c r="P10" i="2420"/>
  <c r="L103" i="2420"/>
  <c r="CW103" i="2420"/>
  <c r="CW95" i="2420"/>
  <c r="L95" i="2420"/>
  <c r="L87" i="2420"/>
  <c r="CW87" i="2420"/>
  <c r="CW79" i="2420"/>
  <c r="L79" i="2420"/>
  <c r="L71" i="2420"/>
  <c r="CW71" i="2420"/>
  <c r="L63" i="2420"/>
  <c r="CW63" i="2420"/>
  <c r="CW55" i="2420"/>
  <c r="L55" i="2420"/>
  <c r="L47" i="2420"/>
  <c r="CW47" i="2420"/>
  <c r="L39" i="2420"/>
  <c r="CW39" i="2420"/>
  <c r="CW31" i="2420"/>
  <c r="L31" i="2420"/>
  <c r="L23" i="2420"/>
  <c r="CW23" i="2420"/>
  <c r="L15" i="2420"/>
  <c r="CW15" i="2420"/>
  <c r="AX46" i="2420"/>
  <c r="DI46" i="2420"/>
  <c r="DI104" i="2420"/>
  <c r="T96" i="2420"/>
  <c r="DA96" i="2420"/>
  <c r="T95" i="2420"/>
  <c r="DA95" i="2420"/>
  <c r="DA86" i="2420"/>
  <c r="T86" i="2420"/>
  <c r="T76" i="2420"/>
  <c r="DA76" i="2420"/>
  <c r="CY74" i="2420"/>
  <c r="T73" i="2420"/>
  <c r="DA73" i="2420"/>
  <c r="DA64" i="2420"/>
  <c r="T64" i="2420"/>
  <c r="T63" i="2420"/>
  <c r="DA63" i="2420"/>
  <c r="DA54" i="2420"/>
  <c r="T54" i="2420"/>
  <c r="DA44" i="2420"/>
  <c r="T44" i="2420"/>
  <c r="T41" i="2420"/>
  <c r="DA41" i="2420"/>
  <c r="DI34" i="2420"/>
  <c r="AX34" i="2420"/>
  <c r="T31" i="2420"/>
  <c r="DA31" i="2420"/>
  <c r="AX30" i="2420"/>
  <c r="DI30" i="2420"/>
  <c r="DA23" i="2420"/>
  <c r="T23" i="2420"/>
  <c r="DA13" i="2420"/>
  <c r="T13" i="2420"/>
  <c r="DA12" i="2420"/>
  <c r="T12" i="2420"/>
  <c r="DA11" i="2420"/>
  <c r="T11" i="2420"/>
  <c r="CW102" i="2420"/>
  <c r="L102" i="2420"/>
  <c r="L94" i="2420"/>
  <c r="CW94" i="2420"/>
  <c r="L86" i="2420"/>
  <c r="CW86" i="2420"/>
  <c r="CW78" i="2420"/>
  <c r="L78" i="2420"/>
  <c r="L70" i="2420"/>
  <c r="CW70" i="2420"/>
  <c r="L62" i="2420"/>
  <c r="CW62" i="2420"/>
  <c r="CW54" i="2420"/>
  <c r="L54" i="2420"/>
  <c r="CW46" i="2420"/>
  <c r="L46" i="2420"/>
  <c r="CW38" i="2420"/>
  <c r="L38" i="2420"/>
  <c r="CW30" i="2420"/>
  <c r="L30" i="2420"/>
  <c r="L22" i="2420"/>
  <c r="CW22" i="2420"/>
  <c r="L14" i="2420"/>
  <c r="CW14" i="2420"/>
  <c r="AX86" i="2420"/>
  <c r="DI86" i="2420"/>
  <c r="T90" i="2420"/>
  <c r="DA90" i="2420"/>
  <c r="T100" i="2420"/>
  <c r="DA100" i="2420"/>
  <c r="DA98" i="2420"/>
  <c r="T98" i="2420"/>
  <c r="DA87" i="2420"/>
  <c r="T87" i="2420"/>
  <c r="T78" i="2420"/>
  <c r="DA78" i="2420"/>
  <c r="T77" i="2420"/>
  <c r="DA77" i="2420"/>
  <c r="DA75" i="2420"/>
  <c r="T75" i="2420"/>
  <c r="DA66" i="2420"/>
  <c r="T66" i="2420"/>
  <c r="AX62" i="2420"/>
  <c r="DI62" i="2420"/>
  <c r="T55" i="2420"/>
  <c r="DA55" i="2420"/>
  <c r="T45" i="2420"/>
  <c r="DA45" i="2420"/>
  <c r="DA43" i="2420"/>
  <c r="T43" i="2420"/>
  <c r="DI33" i="2420"/>
  <c r="AX33" i="2420"/>
  <c r="T32" i="2420"/>
  <c r="DA32" i="2420"/>
  <c r="T14" i="2420"/>
  <c r="DA14" i="2420"/>
  <c r="CW101" i="2420"/>
  <c r="L101" i="2420"/>
  <c r="L93" i="2420"/>
  <c r="CW93" i="2420"/>
  <c r="CW85" i="2420"/>
  <c r="L85" i="2420"/>
  <c r="CW77" i="2420"/>
  <c r="L77" i="2420"/>
  <c r="CW69" i="2420"/>
  <c r="L69" i="2420"/>
  <c r="CW61" i="2420"/>
  <c r="L61" i="2420"/>
  <c r="L53" i="2420"/>
  <c r="CW53" i="2420"/>
  <c r="CW45" i="2420"/>
  <c r="L45" i="2420"/>
  <c r="CW37" i="2420"/>
  <c r="L37" i="2420"/>
  <c r="CW29" i="2420"/>
  <c r="L29" i="2420"/>
  <c r="CW21" i="2420"/>
  <c r="L21" i="2420"/>
  <c r="CW13" i="2420"/>
  <c r="L13" i="2420"/>
  <c r="DA46" i="2420"/>
  <c r="T46" i="2420"/>
  <c r="P43" i="2420"/>
  <c r="T36" i="2420"/>
  <c r="DA36" i="2420"/>
  <c r="T34" i="2420"/>
  <c r="DA34" i="2420"/>
  <c r="AX25" i="2420"/>
  <c r="DI25" i="2420"/>
  <c r="T24" i="2420"/>
  <c r="DA24" i="2420"/>
  <c r="CW100" i="2420"/>
  <c r="L100" i="2420"/>
  <c r="L92" i="2420"/>
  <c r="CW92" i="2420"/>
  <c r="L84" i="2420"/>
  <c r="CW84" i="2420"/>
  <c r="CW76" i="2420"/>
  <c r="L76" i="2420"/>
  <c r="L68" i="2420"/>
  <c r="CW68" i="2420"/>
  <c r="L60" i="2420"/>
  <c r="CW60" i="2420"/>
  <c r="L52" i="2420"/>
  <c r="CW52" i="2420"/>
  <c r="L44" i="2420"/>
  <c r="CW44" i="2420"/>
  <c r="CW36" i="2420"/>
  <c r="L36" i="2420"/>
  <c r="L28" i="2420"/>
  <c r="CW28" i="2420"/>
  <c r="L20" i="2420"/>
  <c r="CW20" i="2420"/>
  <c r="L12" i="2420"/>
  <c r="CW12" i="2420"/>
  <c r="DB83" i="2420"/>
  <c r="DB19" i="2420"/>
  <c r="DB101" i="2420"/>
  <c r="DB100" i="2420"/>
  <c r="DB69" i="2420"/>
  <c r="DB51" i="2420"/>
  <c r="DB37" i="2420"/>
  <c r="DB33" i="2420"/>
  <c r="DB32" i="2420"/>
  <c r="DB18" i="2420"/>
  <c r="DB102" i="2420"/>
  <c r="DB82" i="2420"/>
  <c r="DB64" i="2420"/>
  <c r="DB38" i="2420"/>
  <c r="DB95" i="2420"/>
  <c r="DB68" i="2420"/>
  <c r="DB63" i="2420"/>
  <c r="DB50" i="2420"/>
  <c r="DB36" i="2420"/>
  <c r="DB31" i="2420"/>
  <c r="DB30" i="2420"/>
  <c r="DB25" i="2420"/>
  <c r="DB24" i="2420"/>
  <c r="DB23" i="2420"/>
  <c r="DB11" i="2420"/>
  <c r="DB10" i="2420"/>
  <c r="DB70" i="2420"/>
  <c r="DB94" i="2420"/>
  <c r="DB89" i="2420"/>
  <c r="DB88" i="2420"/>
  <c r="DB87" i="2420"/>
  <c r="DB81" i="2420"/>
  <c r="DB80" i="2420"/>
  <c r="DB75" i="2420"/>
  <c r="DB74" i="2420"/>
  <c r="DB62" i="2420"/>
  <c r="DB57" i="2420"/>
  <c r="DB56" i="2420"/>
  <c r="DB55" i="2420"/>
  <c r="DB43" i="2420"/>
  <c r="DB42" i="2420"/>
  <c r="DB29" i="2420"/>
  <c r="DB22" i="2420"/>
  <c r="DB90" i="2420"/>
  <c r="DB76" i="2420"/>
  <c r="DB58" i="2420"/>
  <c r="DB12" i="2420"/>
  <c r="DB99" i="2420"/>
  <c r="DB93" i="2420"/>
  <c r="DB92" i="2420"/>
  <c r="DB86" i="2420"/>
  <c r="DB79" i="2420"/>
  <c r="DB61" i="2420"/>
  <c r="DB54" i="2420"/>
  <c r="DB28" i="2420"/>
  <c r="DB21" i="2420"/>
  <c r="DB17" i="2420"/>
  <c r="DB16" i="2420"/>
  <c r="DB96" i="2420"/>
  <c r="DB65" i="2420"/>
  <c r="DB98" i="2420"/>
  <c r="DB85" i="2420"/>
  <c r="DB84" i="2420"/>
  <c r="DB78" i="2420"/>
  <c r="DB67" i="2420"/>
  <c r="DB66" i="2420"/>
  <c r="DB60" i="2420"/>
  <c r="DB53" i="2420"/>
  <c r="DB49" i="2420"/>
  <c r="DB48" i="2420"/>
  <c r="DB35" i="2420"/>
  <c r="DB20" i="2420"/>
  <c r="DB15" i="2420"/>
  <c r="DB14" i="2420"/>
  <c r="DB97" i="2420"/>
  <c r="DB59" i="2420"/>
  <c r="DB44" i="2420"/>
  <c r="DB104" i="2420"/>
  <c r="DB73" i="2420"/>
  <c r="DB72" i="2420"/>
  <c r="DB52" i="2420"/>
  <c r="DB47" i="2420"/>
  <c r="DB46" i="2420"/>
  <c r="DB41" i="2420"/>
  <c r="DB40" i="2420"/>
  <c r="DB34" i="2420"/>
  <c r="DB13" i="2420"/>
  <c r="DB103" i="2420"/>
  <c r="DB91" i="2420"/>
  <c r="DB77" i="2420"/>
  <c r="DB71" i="2420"/>
  <c r="DB45" i="2420"/>
  <c r="DB39" i="2420"/>
  <c r="DB27" i="2420"/>
  <c r="DB26" i="2420"/>
  <c r="AY12" i="2421"/>
  <c r="BN12" i="2421"/>
  <c r="E26" i="2413" l="1"/>
  <c r="H26" i="2413"/>
  <c r="E27" i="2413"/>
  <c r="H27" i="2413"/>
  <c r="E28" i="2413"/>
  <c r="E27" i="2383" s="1"/>
  <c r="H28" i="2413"/>
  <c r="E29" i="2413"/>
  <c r="E26" i="2406" s="1"/>
  <c r="H29" i="2413"/>
  <c r="E18" i="2413"/>
  <c r="H18" i="2413"/>
  <c r="E19" i="2413"/>
  <c r="H19" i="2413"/>
  <c r="E20" i="2413"/>
  <c r="E19" i="2383" s="1"/>
  <c r="H20" i="2413"/>
  <c r="E21" i="2413"/>
  <c r="E20" i="2383" s="1"/>
  <c r="H21" i="2413"/>
  <c r="E30" i="2413"/>
  <c r="H30" i="2413"/>
  <c r="E31" i="2413"/>
  <c r="H31" i="2413"/>
  <c r="E32" i="2413"/>
  <c r="H32" i="2413"/>
  <c r="E33" i="2413"/>
  <c r="E32" i="2383" s="1"/>
  <c r="H33" i="2413"/>
  <c r="C22" i="2422"/>
  <c r="E22" i="2413"/>
  <c r="E21" i="2383" s="1"/>
  <c r="E24" i="2413"/>
  <c r="E23" i="2383" s="1"/>
  <c r="H24" i="2413"/>
  <c r="E25" i="2413"/>
  <c r="E24" i="2383" s="1"/>
  <c r="H25" i="2413"/>
  <c r="C18" i="2422"/>
  <c r="E34" i="2413"/>
  <c r="E33" i="2383" s="1"/>
  <c r="H34" i="2413"/>
  <c r="BZ43" i="2420"/>
  <c r="BW43" i="2420"/>
  <c r="P72" i="2420"/>
  <c r="BW10" i="2420"/>
  <c r="BZ10" i="2420"/>
  <c r="BZ28" i="2420"/>
  <c r="BW28" i="2420"/>
  <c r="P74" i="2420"/>
  <c r="P67" i="2420"/>
  <c r="DI57" i="2420"/>
  <c r="DI89" i="2420"/>
  <c r="CY67" i="2420"/>
  <c r="F90" i="2388"/>
  <c r="DI70" i="2420"/>
  <c r="E46" i="2413"/>
  <c r="E45" i="2383" s="1"/>
  <c r="I46" i="2413"/>
  <c r="F46" i="2413"/>
  <c r="F45" i="2383" s="1"/>
  <c r="C45" i="2383"/>
  <c r="G45" i="2383" s="1"/>
  <c r="E62" i="2413"/>
  <c r="E61" i="2383" s="1"/>
  <c r="I62" i="2413"/>
  <c r="F62" i="2413"/>
  <c r="F61" i="2383" s="1"/>
  <c r="C61" i="2383"/>
  <c r="G61" i="2383" s="1"/>
  <c r="D63" i="2406"/>
  <c r="G63" i="2406" s="1"/>
  <c r="F65" i="2390"/>
  <c r="F63" i="2406" s="1"/>
  <c r="G65" i="2390"/>
  <c r="X65" i="2390"/>
  <c r="E78" i="2413"/>
  <c r="E77" i="2383" s="1"/>
  <c r="I78" i="2413"/>
  <c r="F78" i="2413"/>
  <c r="F77" i="2383" s="1"/>
  <c r="C77" i="2383"/>
  <c r="G77" i="2383" s="1"/>
  <c r="D79" i="2406"/>
  <c r="G79" i="2406" s="1"/>
  <c r="F81" i="2390"/>
  <c r="F79" i="2406" s="1"/>
  <c r="G81" i="2390"/>
  <c r="X81" i="2390"/>
  <c r="E94" i="2413"/>
  <c r="E93" i="2383" s="1"/>
  <c r="I94" i="2413"/>
  <c r="F94" i="2413"/>
  <c r="F93" i="2383" s="1"/>
  <c r="C93" i="2383"/>
  <c r="G93" i="2383" s="1"/>
  <c r="D95" i="2406"/>
  <c r="G95" i="2406" s="1"/>
  <c r="F97" i="2390"/>
  <c r="F95" i="2406" s="1"/>
  <c r="G97" i="2390"/>
  <c r="X97" i="2390"/>
  <c r="E110" i="2413"/>
  <c r="E109" i="2383" s="1"/>
  <c r="I110" i="2413"/>
  <c r="F110" i="2413"/>
  <c r="F109" i="2383" s="1"/>
  <c r="C109" i="2383"/>
  <c r="G109" i="2383" s="1"/>
  <c r="D32" i="2406"/>
  <c r="G32" i="2406" s="1"/>
  <c r="F34" i="2390"/>
  <c r="F32" i="2406" s="1"/>
  <c r="G34" i="2390"/>
  <c r="X34" i="2390"/>
  <c r="D48" i="2406"/>
  <c r="G48" i="2406" s="1"/>
  <c r="F50" i="2390"/>
  <c r="F48" i="2406" s="1"/>
  <c r="G50" i="2390"/>
  <c r="X50" i="2390"/>
  <c r="D64" i="2406"/>
  <c r="G64" i="2406" s="1"/>
  <c r="G66" i="2390"/>
  <c r="X66" i="2390"/>
  <c r="F66" i="2390"/>
  <c r="F64" i="2406" s="1"/>
  <c r="E79" i="2413"/>
  <c r="E78" i="2383" s="1"/>
  <c r="I79" i="2413"/>
  <c r="F79" i="2413"/>
  <c r="F78" i="2383" s="1"/>
  <c r="C78" i="2383"/>
  <c r="G78" i="2383" s="1"/>
  <c r="D80" i="2406"/>
  <c r="G80" i="2406" s="1"/>
  <c r="G82" i="2390"/>
  <c r="X82" i="2390"/>
  <c r="F82" i="2390"/>
  <c r="F80" i="2406" s="1"/>
  <c r="E95" i="2413"/>
  <c r="E94" i="2383" s="1"/>
  <c r="I95" i="2413"/>
  <c r="F95" i="2413"/>
  <c r="F94" i="2383" s="1"/>
  <c r="C94" i="2383"/>
  <c r="G94" i="2383" s="1"/>
  <c r="D96" i="2406"/>
  <c r="G96" i="2406" s="1"/>
  <c r="G98" i="2390"/>
  <c r="X98" i="2390"/>
  <c r="F98" i="2390"/>
  <c r="F96" i="2406" s="1"/>
  <c r="E111" i="2413"/>
  <c r="E110" i="2383" s="1"/>
  <c r="I111" i="2413"/>
  <c r="F111" i="2413"/>
  <c r="F110" i="2383" s="1"/>
  <c r="C110" i="2383"/>
  <c r="G110" i="2383" s="1"/>
  <c r="D49" i="2406"/>
  <c r="G49" i="2406" s="1"/>
  <c r="F51" i="2390"/>
  <c r="F49" i="2406" s="1"/>
  <c r="G51" i="2390"/>
  <c r="X51" i="2390"/>
  <c r="D65" i="2406"/>
  <c r="G65" i="2406" s="1"/>
  <c r="G67" i="2390"/>
  <c r="F67" i="2390"/>
  <c r="F65" i="2406" s="1"/>
  <c r="X67" i="2390"/>
  <c r="D81" i="2406"/>
  <c r="G81" i="2406" s="1"/>
  <c r="G83" i="2390"/>
  <c r="F83" i="2390"/>
  <c r="F81" i="2406" s="1"/>
  <c r="X83" i="2390"/>
  <c r="D97" i="2406"/>
  <c r="G97" i="2406" s="1"/>
  <c r="G99" i="2390"/>
  <c r="F99" i="2390"/>
  <c r="F97" i="2406" s="1"/>
  <c r="X99" i="2390"/>
  <c r="E112" i="2413"/>
  <c r="E111" i="2383" s="1"/>
  <c r="I112" i="2413"/>
  <c r="C111" i="2383"/>
  <c r="G111" i="2383" s="1"/>
  <c r="F112" i="2413"/>
  <c r="F111" i="2383" s="1"/>
  <c r="D34" i="2406"/>
  <c r="G34" i="2406" s="1"/>
  <c r="F36" i="2390"/>
  <c r="F34" i="2406" s="1"/>
  <c r="G36" i="2390"/>
  <c r="E49" i="2413"/>
  <c r="E48" i="2383" s="1"/>
  <c r="I49" i="2413"/>
  <c r="C48" i="2383"/>
  <c r="G48" i="2383" s="1"/>
  <c r="F49" i="2413"/>
  <c r="F48" i="2383" s="1"/>
  <c r="E65" i="2413"/>
  <c r="E64" i="2383" s="1"/>
  <c r="I65" i="2413"/>
  <c r="C64" i="2383"/>
  <c r="G64" i="2383" s="1"/>
  <c r="F65" i="2413"/>
  <c r="F64" i="2383" s="1"/>
  <c r="D66" i="2406"/>
  <c r="G66" i="2406" s="1"/>
  <c r="F68" i="2390"/>
  <c r="F66" i="2406" s="1"/>
  <c r="G68" i="2390"/>
  <c r="X68" i="2390"/>
  <c r="E81" i="2413"/>
  <c r="E80" i="2383" s="1"/>
  <c r="I81" i="2413"/>
  <c r="C80" i="2383"/>
  <c r="G80" i="2383" s="1"/>
  <c r="F81" i="2413"/>
  <c r="F80" i="2383" s="1"/>
  <c r="D82" i="2406"/>
  <c r="G82" i="2406" s="1"/>
  <c r="F84" i="2390"/>
  <c r="F82" i="2406" s="1"/>
  <c r="G84" i="2390"/>
  <c r="X84" i="2390"/>
  <c r="E97" i="2413"/>
  <c r="E96" i="2383" s="1"/>
  <c r="I97" i="2413"/>
  <c r="C96" i="2383"/>
  <c r="G96" i="2383" s="1"/>
  <c r="F97" i="2413"/>
  <c r="F96" i="2383" s="1"/>
  <c r="E38" i="2413"/>
  <c r="E37" i="2383" s="1"/>
  <c r="I38" i="2413"/>
  <c r="F38" i="2413"/>
  <c r="F37" i="2383" s="1"/>
  <c r="C37" i="2383"/>
  <c r="G37" i="2383" s="1"/>
  <c r="D39" i="2406"/>
  <c r="G39" i="2406" s="1"/>
  <c r="F41" i="2390"/>
  <c r="F39" i="2406" s="1"/>
  <c r="G41" i="2390"/>
  <c r="X41" i="2390"/>
  <c r="E54" i="2413"/>
  <c r="E53" i="2383" s="1"/>
  <c r="I54" i="2413"/>
  <c r="F54" i="2413"/>
  <c r="F53" i="2383" s="1"/>
  <c r="C53" i="2383"/>
  <c r="G53" i="2383" s="1"/>
  <c r="D55" i="2406"/>
  <c r="G55" i="2406" s="1"/>
  <c r="F57" i="2390"/>
  <c r="F55" i="2406" s="1"/>
  <c r="G57" i="2390"/>
  <c r="X57" i="2390"/>
  <c r="E70" i="2413"/>
  <c r="E69" i="2383" s="1"/>
  <c r="I70" i="2413"/>
  <c r="F70" i="2413"/>
  <c r="F69" i="2383" s="1"/>
  <c r="C69" i="2383"/>
  <c r="G69" i="2383" s="1"/>
  <c r="D71" i="2406"/>
  <c r="G71" i="2406" s="1"/>
  <c r="F73" i="2390"/>
  <c r="F71" i="2406" s="1"/>
  <c r="G73" i="2390"/>
  <c r="X73" i="2390"/>
  <c r="E86" i="2413"/>
  <c r="E85" i="2383" s="1"/>
  <c r="I86" i="2413"/>
  <c r="F86" i="2413"/>
  <c r="F85" i="2383" s="1"/>
  <c r="C85" i="2383"/>
  <c r="G85" i="2383" s="1"/>
  <c r="D87" i="2406"/>
  <c r="G87" i="2406" s="1"/>
  <c r="F89" i="2390"/>
  <c r="F87" i="2406" s="1"/>
  <c r="G89" i="2390"/>
  <c r="X89" i="2390"/>
  <c r="E102" i="2413"/>
  <c r="E101" i="2383" s="1"/>
  <c r="I102" i="2413"/>
  <c r="F102" i="2413"/>
  <c r="F101" i="2383" s="1"/>
  <c r="C101" i="2383"/>
  <c r="G101" i="2383" s="1"/>
  <c r="D103" i="2406"/>
  <c r="G103" i="2406" s="1"/>
  <c r="F105" i="2390"/>
  <c r="F103" i="2406" s="1"/>
  <c r="G105" i="2390"/>
  <c r="X105" i="2390"/>
  <c r="E39" i="2413"/>
  <c r="E38" i="2383" s="1"/>
  <c r="I39" i="2413"/>
  <c r="F39" i="2413"/>
  <c r="F38" i="2383" s="1"/>
  <c r="C38" i="2383"/>
  <c r="G38" i="2383" s="1"/>
  <c r="D40" i="2406"/>
  <c r="G40" i="2406" s="1"/>
  <c r="F42" i="2390"/>
  <c r="F40" i="2406" s="1"/>
  <c r="G42" i="2390"/>
  <c r="X42" i="2390"/>
  <c r="E55" i="2413"/>
  <c r="E54" i="2383" s="1"/>
  <c r="I55" i="2413"/>
  <c r="F55" i="2413"/>
  <c r="F54" i="2383" s="1"/>
  <c r="C54" i="2383"/>
  <c r="G54" i="2383" s="1"/>
  <c r="D56" i="2406"/>
  <c r="G56" i="2406" s="1"/>
  <c r="F58" i="2390"/>
  <c r="F56" i="2406" s="1"/>
  <c r="G58" i="2390"/>
  <c r="X58" i="2390"/>
  <c r="E71" i="2413"/>
  <c r="E70" i="2383" s="1"/>
  <c r="I71" i="2413"/>
  <c r="F71" i="2413"/>
  <c r="F70" i="2383" s="1"/>
  <c r="C70" i="2383"/>
  <c r="G70" i="2383" s="1"/>
  <c r="D72" i="2406"/>
  <c r="G72" i="2406" s="1"/>
  <c r="G74" i="2390"/>
  <c r="X74" i="2390"/>
  <c r="F74" i="2390"/>
  <c r="F72" i="2406" s="1"/>
  <c r="E87" i="2413"/>
  <c r="E86" i="2383" s="1"/>
  <c r="I87" i="2413"/>
  <c r="F87" i="2413"/>
  <c r="F86" i="2383" s="1"/>
  <c r="C86" i="2383"/>
  <c r="G86" i="2383" s="1"/>
  <c r="D88" i="2406"/>
  <c r="G88" i="2406" s="1"/>
  <c r="G90" i="2390"/>
  <c r="X90" i="2390"/>
  <c r="F90" i="2390"/>
  <c r="F88" i="2406" s="1"/>
  <c r="E103" i="2413"/>
  <c r="E102" i="2383" s="1"/>
  <c r="I103" i="2413"/>
  <c r="F103" i="2413"/>
  <c r="F102" i="2383" s="1"/>
  <c r="C102" i="2383"/>
  <c r="G102" i="2383" s="1"/>
  <c r="D104" i="2406"/>
  <c r="G104" i="2406" s="1"/>
  <c r="G106" i="2390"/>
  <c r="X106" i="2390"/>
  <c r="F106" i="2390"/>
  <c r="F104" i="2406" s="1"/>
  <c r="E40" i="2413"/>
  <c r="E39" i="2383" s="1"/>
  <c r="I40" i="2413"/>
  <c r="C39" i="2383"/>
  <c r="G39" i="2383" s="1"/>
  <c r="F40" i="2413"/>
  <c r="F39" i="2383" s="1"/>
  <c r="D41" i="2406"/>
  <c r="G41" i="2406" s="1"/>
  <c r="F43" i="2390"/>
  <c r="F41" i="2406" s="1"/>
  <c r="G43" i="2390"/>
  <c r="X43" i="2390"/>
  <c r="E56" i="2413"/>
  <c r="E55" i="2383" s="1"/>
  <c r="I56" i="2413"/>
  <c r="C55" i="2383"/>
  <c r="G55" i="2383" s="1"/>
  <c r="F56" i="2413"/>
  <c r="F55" i="2383" s="1"/>
  <c r="D57" i="2406"/>
  <c r="G57" i="2406" s="1"/>
  <c r="F59" i="2390"/>
  <c r="F57" i="2406" s="1"/>
  <c r="G59" i="2390"/>
  <c r="X59" i="2390"/>
  <c r="E72" i="2413"/>
  <c r="E71" i="2383" s="1"/>
  <c r="I72" i="2413"/>
  <c r="C71" i="2383"/>
  <c r="G71" i="2383" s="1"/>
  <c r="F72" i="2413"/>
  <c r="F71" i="2383" s="1"/>
  <c r="D73" i="2406"/>
  <c r="G73" i="2406" s="1"/>
  <c r="G75" i="2390"/>
  <c r="F75" i="2390"/>
  <c r="F73" i="2406" s="1"/>
  <c r="X75" i="2390"/>
  <c r="E88" i="2413"/>
  <c r="E87" i="2383" s="1"/>
  <c r="I88" i="2413"/>
  <c r="C87" i="2383"/>
  <c r="G87" i="2383" s="1"/>
  <c r="F88" i="2413"/>
  <c r="F87" i="2383" s="1"/>
  <c r="D89" i="2406"/>
  <c r="G89" i="2406" s="1"/>
  <c r="G91" i="2390"/>
  <c r="F91" i="2390"/>
  <c r="F89" i="2406" s="1"/>
  <c r="X91" i="2390"/>
  <c r="E104" i="2413"/>
  <c r="E103" i="2383" s="1"/>
  <c r="I104" i="2413"/>
  <c r="C103" i="2383"/>
  <c r="G103" i="2383" s="1"/>
  <c r="F104" i="2413"/>
  <c r="F103" i="2383" s="1"/>
  <c r="D105" i="2406"/>
  <c r="G105" i="2406" s="1"/>
  <c r="G107" i="2390"/>
  <c r="F107" i="2390"/>
  <c r="F105" i="2406" s="1"/>
  <c r="X107" i="2390"/>
  <c r="E41" i="2413"/>
  <c r="E40" i="2383" s="1"/>
  <c r="I41" i="2413"/>
  <c r="C40" i="2383"/>
  <c r="G40" i="2383" s="1"/>
  <c r="F41" i="2413"/>
  <c r="F40" i="2383" s="1"/>
  <c r="D42" i="2406"/>
  <c r="G42" i="2406" s="1"/>
  <c r="F44" i="2390"/>
  <c r="F42" i="2406" s="1"/>
  <c r="G44" i="2390"/>
  <c r="X44" i="2390"/>
  <c r="E57" i="2413"/>
  <c r="E56" i="2383" s="1"/>
  <c r="I57" i="2413"/>
  <c r="C56" i="2383"/>
  <c r="G56" i="2383" s="1"/>
  <c r="F57" i="2413"/>
  <c r="F56" i="2383" s="1"/>
  <c r="D58" i="2406"/>
  <c r="G58" i="2406" s="1"/>
  <c r="F60" i="2390"/>
  <c r="F58" i="2406" s="1"/>
  <c r="G60" i="2390"/>
  <c r="X60" i="2390"/>
  <c r="E73" i="2413"/>
  <c r="E72" i="2383" s="1"/>
  <c r="I73" i="2413"/>
  <c r="C72" i="2383"/>
  <c r="G72" i="2383" s="1"/>
  <c r="F73" i="2413"/>
  <c r="F72" i="2383" s="1"/>
  <c r="D74" i="2406"/>
  <c r="G74" i="2406" s="1"/>
  <c r="F76" i="2390"/>
  <c r="F74" i="2406" s="1"/>
  <c r="G76" i="2390"/>
  <c r="X76" i="2390"/>
  <c r="E89" i="2413"/>
  <c r="E88" i="2383" s="1"/>
  <c r="I89" i="2413"/>
  <c r="C88" i="2383"/>
  <c r="G88" i="2383" s="1"/>
  <c r="F89" i="2413"/>
  <c r="F88" i="2383" s="1"/>
  <c r="D90" i="2406"/>
  <c r="G90" i="2406" s="1"/>
  <c r="F92" i="2390"/>
  <c r="F90" i="2406" s="1"/>
  <c r="G92" i="2390"/>
  <c r="X92" i="2390"/>
  <c r="E105" i="2413"/>
  <c r="E104" i="2383" s="1"/>
  <c r="I105" i="2413"/>
  <c r="C104" i="2383"/>
  <c r="G104" i="2383" s="1"/>
  <c r="F105" i="2413"/>
  <c r="F104" i="2383" s="1"/>
  <c r="D106" i="2406"/>
  <c r="G106" i="2406" s="1"/>
  <c r="F108" i="2390"/>
  <c r="F106" i="2406" s="1"/>
  <c r="G108" i="2390"/>
  <c r="X108" i="2390"/>
  <c r="D35" i="2406"/>
  <c r="G35" i="2406" s="1"/>
  <c r="F37" i="2390"/>
  <c r="F35" i="2406" s="1"/>
  <c r="G37" i="2390"/>
  <c r="X37" i="2390"/>
  <c r="E50" i="2413"/>
  <c r="E49" i="2383" s="1"/>
  <c r="I50" i="2413"/>
  <c r="F50" i="2413"/>
  <c r="F49" i="2383" s="1"/>
  <c r="C49" i="2383"/>
  <c r="G49" i="2383" s="1"/>
  <c r="D51" i="2406"/>
  <c r="G51" i="2406" s="1"/>
  <c r="F53" i="2390"/>
  <c r="F51" i="2406" s="1"/>
  <c r="G53" i="2390"/>
  <c r="X53" i="2390"/>
  <c r="E66" i="2413"/>
  <c r="E65" i="2383" s="1"/>
  <c r="I66" i="2413"/>
  <c r="F66" i="2413"/>
  <c r="F65" i="2383" s="1"/>
  <c r="C65" i="2383"/>
  <c r="G65" i="2383" s="1"/>
  <c r="D67" i="2406"/>
  <c r="G67" i="2406" s="1"/>
  <c r="F69" i="2390"/>
  <c r="F67" i="2406" s="1"/>
  <c r="G69" i="2390"/>
  <c r="X69" i="2390"/>
  <c r="E82" i="2413"/>
  <c r="E81" i="2383" s="1"/>
  <c r="I82" i="2413"/>
  <c r="F82" i="2413"/>
  <c r="F81" i="2383" s="1"/>
  <c r="C81" i="2383"/>
  <c r="G81" i="2383" s="1"/>
  <c r="D83" i="2406"/>
  <c r="G83" i="2406" s="1"/>
  <c r="F85" i="2390"/>
  <c r="F83" i="2406" s="1"/>
  <c r="G85" i="2390"/>
  <c r="X85" i="2390"/>
  <c r="E98" i="2413"/>
  <c r="E97" i="2383" s="1"/>
  <c r="I98" i="2413"/>
  <c r="F98" i="2413"/>
  <c r="F97" i="2383" s="1"/>
  <c r="C97" i="2383"/>
  <c r="G97" i="2383" s="1"/>
  <c r="D99" i="2406"/>
  <c r="G99" i="2406" s="1"/>
  <c r="F101" i="2390"/>
  <c r="F99" i="2406" s="1"/>
  <c r="G101" i="2390"/>
  <c r="X101" i="2390"/>
  <c r="E35" i="2413"/>
  <c r="E34" i="2383" s="1"/>
  <c r="I35" i="2413"/>
  <c r="F35" i="2413"/>
  <c r="F34" i="2383" s="1"/>
  <c r="C34" i="2383"/>
  <c r="G34" i="2383" s="1"/>
  <c r="D36" i="2406"/>
  <c r="G36" i="2406" s="1"/>
  <c r="F38" i="2390"/>
  <c r="F36" i="2406" s="1"/>
  <c r="G38" i="2390"/>
  <c r="X38" i="2390"/>
  <c r="E51" i="2413"/>
  <c r="E50" i="2383" s="1"/>
  <c r="I51" i="2413"/>
  <c r="F51" i="2413"/>
  <c r="F50" i="2383" s="1"/>
  <c r="C50" i="2383"/>
  <c r="G50" i="2383" s="1"/>
  <c r="D52" i="2406"/>
  <c r="G52" i="2406" s="1"/>
  <c r="F54" i="2390"/>
  <c r="F52" i="2406" s="1"/>
  <c r="G54" i="2390"/>
  <c r="X54" i="2390"/>
  <c r="E67" i="2413"/>
  <c r="E66" i="2383" s="1"/>
  <c r="I67" i="2413"/>
  <c r="F67" i="2413"/>
  <c r="F66" i="2383" s="1"/>
  <c r="C66" i="2383"/>
  <c r="G66" i="2383" s="1"/>
  <c r="D68" i="2406"/>
  <c r="G68" i="2406" s="1"/>
  <c r="G70" i="2390"/>
  <c r="X70" i="2390"/>
  <c r="F70" i="2390"/>
  <c r="F68" i="2406" s="1"/>
  <c r="E83" i="2413"/>
  <c r="E82" i="2383" s="1"/>
  <c r="I83" i="2413"/>
  <c r="F83" i="2413"/>
  <c r="F82" i="2383" s="1"/>
  <c r="C82" i="2383"/>
  <c r="G82" i="2383" s="1"/>
  <c r="D84" i="2406"/>
  <c r="G84" i="2406" s="1"/>
  <c r="G86" i="2390"/>
  <c r="X86" i="2390"/>
  <c r="F86" i="2390"/>
  <c r="F84" i="2406" s="1"/>
  <c r="E99" i="2413"/>
  <c r="E98" i="2383" s="1"/>
  <c r="I99" i="2413"/>
  <c r="F99" i="2413"/>
  <c r="F98" i="2383" s="1"/>
  <c r="C98" i="2383"/>
  <c r="G98" i="2383" s="1"/>
  <c r="D100" i="2406"/>
  <c r="G100" i="2406" s="1"/>
  <c r="G102" i="2390"/>
  <c r="X102" i="2390"/>
  <c r="F102" i="2390"/>
  <c r="F100" i="2406" s="1"/>
  <c r="E36" i="2413"/>
  <c r="E35" i="2383" s="1"/>
  <c r="I36" i="2413"/>
  <c r="C35" i="2383"/>
  <c r="G35" i="2383" s="1"/>
  <c r="F36" i="2413"/>
  <c r="F35" i="2383" s="1"/>
  <c r="D37" i="2406"/>
  <c r="G37" i="2406" s="1"/>
  <c r="F39" i="2390"/>
  <c r="F37" i="2406" s="1"/>
  <c r="G39" i="2390"/>
  <c r="X39" i="2390"/>
  <c r="E52" i="2413"/>
  <c r="E51" i="2383" s="1"/>
  <c r="I52" i="2413"/>
  <c r="C51" i="2383"/>
  <c r="G51" i="2383" s="1"/>
  <c r="F52" i="2413"/>
  <c r="F51" i="2383" s="1"/>
  <c r="D53" i="2406"/>
  <c r="G53" i="2406" s="1"/>
  <c r="F55" i="2390"/>
  <c r="F53" i="2406" s="1"/>
  <c r="G55" i="2390"/>
  <c r="X55" i="2390"/>
  <c r="E68" i="2413"/>
  <c r="E67" i="2383" s="1"/>
  <c r="I68" i="2413"/>
  <c r="C67" i="2383"/>
  <c r="G67" i="2383" s="1"/>
  <c r="F68" i="2413"/>
  <c r="F67" i="2383" s="1"/>
  <c r="D69" i="2406"/>
  <c r="G69" i="2406" s="1"/>
  <c r="G71" i="2390"/>
  <c r="F71" i="2390"/>
  <c r="F69" i="2406" s="1"/>
  <c r="X71" i="2390"/>
  <c r="E84" i="2413"/>
  <c r="E83" i="2383" s="1"/>
  <c r="I84" i="2413"/>
  <c r="C83" i="2383"/>
  <c r="G83" i="2383" s="1"/>
  <c r="F84" i="2413"/>
  <c r="F83" i="2383" s="1"/>
  <c r="D85" i="2406"/>
  <c r="G85" i="2406" s="1"/>
  <c r="G87" i="2390"/>
  <c r="F87" i="2390"/>
  <c r="F85" i="2406" s="1"/>
  <c r="X87" i="2390"/>
  <c r="E100" i="2413"/>
  <c r="E99" i="2383" s="1"/>
  <c r="I100" i="2413"/>
  <c r="C99" i="2383"/>
  <c r="G99" i="2383" s="1"/>
  <c r="F100" i="2413"/>
  <c r="F99" i="2383" s="1"/>
  <c r="D101" i="2406"/>
  <c r="G101" i="2406" s="1"/>
  <c r="G103" i="2390"/>
  <c r="F103" i="2390"/>
  <c r="F101" i="2406" s="1"/>
  <c r="X103" i="2390"/>
  <c r="E37" i="2413"/>
  <c r="E36" i="2383" s="1"/>
  <c r="C36" i="2383"/>
  <c r="F37" i="2413"/>
  <c r="F36" i="2383" s="1"/>
  <c r="D38" i="2406"/>
  <c r="G38" i="2406" s="1"/>
  <c r="F40" i="2390"/>
  <c r="F38" i="2406" s="1"/>
  <c r="G40" i="2390"/>
  <c r="X40" i="2390"/>
  <c r="E53" i="2413"/>
  <c r="E52" i="2383" s="1"/>
  <c r="I53" i="2413"/>
  <c r="C52" i="2383"/>
  <c r="G52" i="2383" s="1"/>
  <c r="F53" i="2413"/>
  <c r="F52" i="2383" s="1"/>
  <c r="D54" i="2406"/>
  <c r="G54" i="2406" s="1"/>
  <c r="F56" i="2390"/>
  <c r="F54" i="2406" s="1"/>
  <c r="G56" i="2390"/>
  <c r="X56" i="2390"/>
  <c r="E69" i="2413"/>
  <c r="E68" i="2383" s="1"/>
  <c r="I69" i="2413"/>
  <c r="C68" i="2383"/>
  <c r="G68" i="2383" s="1"/>
  <c r="F69" i="2413"/>
  <c r="F68" i="2383" s="1"/>
  <c r="D70" i="2406"/>
  <c r="G70" i="2406" s="1"/>
  <c r="F72" i="2390"/>
  <c r="F70" i="2406" s="1"/>
  <c r="G72" i="2390"/>
  <c r="X72" i="2390"/>
  <c r="E85" i="2413"/>
  <c r="E84" i="2383" s="1"/>
  <c r="I85" i="2413"/>
  <c r="C84" i="2383"/>
  <c r="G84" i="2383" s="1"/>
  <c r="F85" i="2413"/>
  <c r="F84" i="2383" s="1"/>
  <c r="D86" i="2406"/>
  <c r="G86" i="2406" s="1"/>
  <c r="F88" i="2390"/>
  <c r="F86" i="2406" s="1"/>
  <c r="G88" i="2390"/>
  <c r="X88" i="2390"/>
  <c r="E101" i="2413"/>
  <c r="E100" i="2383" s="1"/>
  <c r="I101" i="2413"/>
  <c r="C100" i="2383"/>
  <c r="G100" i="2383" s="1"/>
  <c r="F101" i="2413"/>
  <c r="F100" i="2383" s="1"/>
  <c r="D102" i="2406"/>
  <c r="G102" i="2406" s="1"/>
  <c r="F104" i="2390"/>
  <c r="F102" i="2406" s="1"/>
  <c r="G104" i="2390"/>
  <c r="X104" i="2390"/>
  <c r="D47" i="2406"/>
  <c r="G47" i="2406" s="1"/>
  <c r="F49" i="2390"/>
  <c r="F47" i="2406" s="1"/>
  <c r="G49" i="2390"/>
  <c r="X49" i="2390"/>
  <c r="E47" i="2413"/>
  <c r="E46" i="2383" s="1"/>
  <c r="I47" i="2413"/>
  <c r="F47" i="2413"/>
  <c r="F46" i="2383" s="1"/>
  <c r="C46" i="2383"/>
  <c r="G46" i="2383" s="1"/>
  <c r="E63" i="2413"/>
  <c r="E62" i="2383" s="1"/>
  <c r="I63" i="2413"/>
  <c r="F63" i="2413"/>
  <c r="F62" i="2383" s="1"/>
  <c r="C62" i="2383"/>
  <c r="G62" i="2383" s="1"/>
  <c r="D33" i="2406"/>
  <c r="G33" i="2406" s="1"/>
  <c r="F35" i="2390"/>
  <c r="F33" i="2406" s="1"/>
  <c r="G35" i="2390"/>
  <c r="X35" i="2390"/>
  <c r="E48" i="2413"/>
  <c r="E47" i="2383" s="1"/>
  <c r="I48" i="2413"/>
  <c r="C47" i="2383"/>
  <c r="G47" i="2383" s="1"/>
  <c r="F48" i="2413"/>
  <c r="F47" i="2383" s="1"/>
  <c r="E64" i="2413"/>
  <c r="E63" i="2383" s="1"/>
  <c r="I64" i="2413"/>
  <c r="C63" i="2383"/>
  <c r="G63" i="2383" s="1"/>
  <c r="F64" i="2413"/>
  <c r="F63" i="2383" s="1"/>
  <c r="E80" i="2413"/>
  <c r="E79" i="2383" s="1"/>
  <c r="I80" i="2413"/>
  <c r="C79" i="2383"/>
  <c r="G79" i="2383" s="1"/>
  <c r="F80" i="2413"/>
  <c r="F79" i="2383" s="1"/>
  <c r="E96" i="2413"/>
  <c r="E95" i="2383" s="1"/>
  <c r="I96" i="2413"/>
  <c r="C95" i="2383"/>
  <c r="G95" i="2383" s="1"/>
  <c r="F96" i="2413"/>
  <c r="F95" i="2383" s="1"/>
  <c r="D50" i="2406"/>
  <c r="G50" i="2406" s="1"/>
  <c r="F52" i="2390"/>
  <c r="F50" i="2406" s="1"/>
  <c r="G52" i="2390"/>
  <c r="X52" i="2390"/>
  <c r="D98" i="2406"/>
  <c r="G98" i="2406" s="1"/>
  <c r="F100" i="2390"/>
  <c r="F98" i="2406" s="1"/>
  <c r="G100" i="2390"/>
  <c r="X100" i="2390"/>
  <c r="E42" i="2413"/>
  <c r="E41" i="2383" s="1"/>
  <c r="I42" i="2413"/>
  <c r="F42" i="2413"/>
  <c r="F41" i="2383" s="1"/>
  <c r="C41" i="2383"/>
  <c r="G41" i="2383" s="1"/>
  <c r="D43" i="2406"/>
  <c r="G43" i="2406" s="1"/>
  <c r="F45" i="2390"/>
  <c r="F43" i="2406" s="1"/>
  <c r="G45" i="2390"/>
  <c r="X45" i="2390"/>
  <c r="E58" i="2413"/>
  <c r="E57" i="2383" s="1"/>
  <c r="I58" i="2413"/>
  <c r="F58" i="2413"/>
  <c r="F57" i="2383" s="1"/>
  <c r="C57" i="2383"/>
  <c r="G57" i="2383" s="1"/>
  <c r="D59" i="2406"/>
  <c r="G59" i="2406" s="1"/>
  <c r="F61" i="2390"/>
  <c r="F59" i="2406" s="1"/>
  <c r="G61" i="2390"/>
  <c r="X61" i="2390"/>
  <c r="E74" i="2413"/>
  <c r="E73" i="2383" s="1"/>
  <c r="I74" i="2413"/>
  <c r="F74" i="2413"/>
  <c r="F73" i="2383" s="1"/>
  <c r="C73" i="2383"/>
  <c r="G73" i="2383" s="1"/>
  <c r="D75" i="2406"/>
  <c r="G75" i="2406" s="1"/>
  <c r="F77" i="2390"/>
  <c r="F75" i="2406" s="1"/>
  <c r="G77" i="2390"/>
  <c r="X77" i="2390"/>
  <c r="E90" i="2413"/>
  <c r="E89" i="2383" s="1"/>
  <c r="I90" i="2413"/>
  <c r="F90" i="2413"/>
  <c r="F89" i="2383" s="1"/>
  <c r="C89" i="2383"/>
  <c r="G89" i="2383" s="1"/>
  <c r="D91" i="2406"/>
  <c r="G91" i="2406" s="1"/>
  <c r="F93" i="2390"/>
  <c r="F91" i="2406" s="1"/>
  <c r="G93" i="2390"/>
  <c r="X93" i="2390"/>
  <c r="E106" i="2413"/>
  <c r="E105" i="2383" s="1"/>
  <c r="I106" i="2413"/>
  <c r="F106" i="2413"/>
  <c r="F105" i="2383" s="1"/>
  <c r="C105" i="2383"/>
  <c r="G105" i="2383" s="1"/>
  <c r="D107" i="2406"/>
  <c r="G107" i="2406" s="1"/>
  <c r="G109" i="2390"/>
  <c r="F109" i="2390"/>
  <c r="F107" i="2406" s="1"/>
  <c r="X109" i="2390"/>
  <c r="E43" i="2413"/>
  <c r="E42" i="2383" s="1"/>
  <c r="I43" i="2413"/>
  <c r="F43" i="2413"/>
  <c r="F42" i="2383" s="1"/>
  <c r="C42" i="2383"/>
  <c r="G42" i="2383" s="1"/>
  <c r="D44" i="2406"/>
  <c r="G44" i="2406" s="1"/>
  <c r="F46" i="2390"/>
  <c r="F44" i="2406" s="1"/>
  <c r="G46" i="2390"/>
  <c r="X46" i="2390"/>
  <c r="E59" i="2413"/>
  <c r="E58" i="2383" s="1"/>
  <c r="I59" i="2413"/>
  <c r="F59" i="2413"/>
  <c r="F58" i="2383" s="1"/>
  <c r="C58" i="2383"/>
  <c r="G58" i="2383" s="1"/>
  <c r="D60" i="2406"/>
  <c r="G60" i="2406" s="1"/>
  <c r="F62" i="2390"/>
  <c r="F60" i="2406" s="1"/>
  <c r="G62" i="2390"/>
  <c r="X62" i="2390"/>
  <c r="E75" i="2413"/>
  <c r="E74" i="2383" s="1"/>
  <c r="I75" i="2413"/>
  <c r="F75" i="2413"/>
  <c r="F74" i="2383" s="1"/>
  <c r="C74" i="2383"/>
  <c r="G74" i="2383" s="1"/>
  <c r="D76" i="2406"/>
  <c r="G76" i="2406" s="1"/>
  <c r="G78" i="2390"/>
  <c r="X78" i="2390"/>
  <c r="F78" i="2390"/>
  <c r="F76" i="2406" s="1"/>
  <c r="E91" i="2413"/>
  <c r="E90" i="2383" s="1"/>
  <c r="I91" i="2413"/>
  <c r="F91" i="2413"/>
  <c r="F90" i="2383" s="1"/>
  <c r="C90" i="2383"/>
  <c r="G90" i="2383" s="1"/>
  <c r="D92" i="2406"/>
  <c r="G92" i="2406" s="1"/>
  <c r="G94" i="2390"/>
  <c r="X94" i="2390"/>
  <c r="F94" i="2390"/>
  <c r="F92" i="2406" s="1"/>
  <c r="E107" i="2413"/>
  <c r="E106" i="2383" s="1"/>
  <c r="I107" i="2413"/>
  <c r="F107" i="2413"/>
  <c r="F106" i="2383" s="1"/>
  <c r="C106" i="2383"/>
  <c r="G106" i="2383" s="1"/>
  <c r="D108" i="2406"/>
  <c r="G108" i="2406" s="1"/>
  <c r="G110" i="2390"/>
  <c r="X110" i="2390"/>
  <c r="F110" i="2390"/>
  <c r="F108" i="2406" s="1"/>
  <c r="E44" i="2413"/>
  <c r="E43" i="2383" s="1"/>
  <c r="I44" i="2413"/>
  <c r="C43" i="2383"/>
  <c r="G43" i="2383" s="1"/>
  <c r="F44" i="2413"/>
  <c r="F43" i="2383" s="1"/>
  <c r="D45" i="2406"/>
  <c r="G45" i="2406" s="1"/>
  <c r="F47" i="2390"/>
  <c r="F45" i="2406" s="1"/>
  <c r="G47" i="2390"/>
  <c r="X47" i="2390"/>
  <c r="E60" i="2413"/>
  <c r="E59" i="2383" s="1"/>
  <c r="I60" i="2413"/>
  <c r="C59" i="2383"/>
  <c r="G59" i="2383" s="1"/>
  <c r="F60" i="2413"/>
  <c r="F59" i="2383" s="1"/>
  <c r="D61" i="2406"/>
  <c r="G61" i="2406" s="1"/>
  <c r="F63" i="2390"/>
  <c r="F61" i="2406" s="1"/>
  <c r="G63" i="2390"/>
  <c r="X63" i="2390"/>
  <c r="E76" i="2413"/>
  <c r="E75" i="2383" s="1"/>
  <c r="I76" i="2413"/>
  <c r="C75" i="2383"/>
  <c r="G75" i="2383" s="1"/>
  <c r="F76" i="2413"/>
  <c r="F75" i="2383" s="1"/>
  <c r="D77" i="2406"/>
  <c r="G77" i="2406" s="1"/>
  <c r="G79" i="2390"/>
  <c r="F79" i="2390"/>
  <c r="F77" i="2406" s="1"/>
  <c r="X79" i="2390"/>
  <c r="E92" i="2413"/>
  <c r="E91" i="2383" s="1"/>
  <c r="I92" i="2413"/>
  <c r="C91" i="2383"/>
  <c r="G91" i="2383" s="1"/>
  <c r="F92" i="2413"/>
  <c r="F91" i="2383" s="1"/>
  <c r="D93" i="2406"/>
  <c r="G93" i="2406" s="1"/>
  <c r="G95" i="2390"/>
  <c r="F95" i="2390"/>
  <c r="F93" i="2406" s="1"/>
  <c r="X95" i="2390"/>
  <c r="E108" i="2413"/>
  <c r="E107" i="2383" s="1"/>
  <c r="I108" i="2413"/>
  <c r="C107" i="2383"/>
  <c r="G107" i="2383" s="1"/>
  <c r="F108" i="2413"/>
  <c r="F107" i="2383" s="1"/>
  <c r="D109" i="2406"/>
  <c r="G109" i="2406" s="1"/>
  <c r="G111" i="2390"/>
  <c r="F111" i="2390"/>
  <c r="F109" i="2406" s="1"/>
  <c r="X111" i="2390"/>
  <c r="E45" i="2413"/>
  <c r="E44" i="2383" s="1"/>
  <c r="I45" i="2413"/>
  <c r="C44" i="2383"/>
  <c r="G44" i="2383" s="1"/>
  <c r="F45" i="2413"/>
  <c r="F44" i="2383" s="1"/>
  <c r="D46" i="2406"/>
  <c r="G46" i="2406" s="1"/>
  <c r="F48" i="2390"/>
  <c r="F46" i="2406" s="1"/>
  <c r="G48" i="2390"/>
  <c r="X48" i="2390"/>
  <c r="E61" i="2413"/>
  <c r="E60" i="2383" s="1"/>
  <c r="I61" i="2413"/>
  <c r="C60" i="2383"/>
  <c r="G60" i="2383" s="1"/>
  <c r="F61" i="2413"/>
  <c r="F60" i="2383" s="1"/>
  <c r="D62" i="2406"/>
  <c r="G62" i="2406" s="1"/>
  <c r="F64" i="2390"/>
  <c r="F62" i="2406" s="1"/>
  <c r="G64" i="2390"/>
  <c r="X64" i="2390"/>
  <c r="E77" i="2413"/>
  <c r="E76" i="2383" s="1"/>
  <c r="I77" i="2413"/>
  <c r="C76" i="2383"/>
  <c r="G76" i="2383" s="1"/>
  <c r="F77" i="2413"/>
  <c r="F76" i="2383" s="1"/>
  <c r="D78" i="2406"/>
  <c r="G78" i="2406" s="1"/>
  <c r="F80" i="2390"/>
  <c r="F78" i="2406" s="1"/>
  <c r="G80" i="2390"/>
  <c r="X80" i="2390"/>
  <c r="E93" i="2413"/>
  <c r="E92" i="2383" s="1"/>
  <c r="I93" i="2413"/>
  <c r="C92" i="2383"/>
  <c r="G92" i="2383" s="1"/>
  <c r="F93" i="2413"/>
  <c r="F92" i="2383" s="1"/>
  <c r="D94" i="2406"/>
  <c r="G94" i="2406" s="1"/>
  <c r="F96" i="2390"/>
  <c r="F94" i="2406" s="1"/>
  <c r="G96" i="2390"/>
  <c r="X96" i="2390"/>
  <c r="E109" i="2413"/>
  <c r="E108" i="2383" s="1"/>
  <c r="I109" i="2413"/>
  <c r="C108" i="2383"/>
  <c r="G108" i="2383" s="1"/>
  <c r="F109" i="2413"/>
  <c r="F108" i="2383" s="1"/>
  <c r="D15" i="2406"/>
  <c r="G15" i="2406" s="1"/>
  <c r="C29" i="2383"/>
  <c r="E29" i="2383"/>
  <c r="D16" i="2406"/>
  <c r="G16" i="2406" s="1"/>
  <c r="C30" i="2383"/>
  <c r="E30" i="2383"/>
  <c r="D17" i="2406"/>
  <c r="G17" i="2406" s="1"/>
  <c r="C31" i="2383"/>
  <c r="E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E25" i="2383"/>
  <c r="C26" i="2383"/>
  <c r="E26" i="2383"/>
  <c r="C27" i="2383"/>
  <c r="C28" i="2383"/>
  <c r="D23" i="2406"/>
  <c r="G23" i="2406" s="1"/>
  <c r="D24" i="2406"/>
  <c r="G24" i="2406" s="1"/>
  <c r="D25" i="2406"/>
  <c r="G25" i="2406" s="1"/>
  <c r="D26" i="2406"/>
  <c r="G26" i="2406" s="1"/>
  <c r="C17" i="2383"/>
  <c r="E17" i="2383"/>
  <c r="C18" i="2383"/>
  <c r="E18" i="2383"/>
  <c r="C19" i="2383"/>
  <c r="C20" i="2383"/>
  <c r="NI111" i="2421"/>
  <c r="NI94" i="2421"/>
  <c r="NI83" i="2421"/>
  <c r="NI75" i="2421"/>
  <c r="NI67" i="2421"/>
  <c r="NI59" i="2421"/>
  <c r="NI100" i="2421"/>
  <c r="NI56" i="2421"/>
  <c r="NI48" i="2421"/>
  <c r="NI40" i="2421"/>
  <c r="NI32" i="2421"/>
  <c r="NI24" i="2421"/>
  <c r="NI109" i="2421"/>
  <c r="NI90" i="2421"/>
  <c r="NI82" i="2421"/>
  <c r="NI74" i="2421"/>
  <c r="NI66" i="2421"/>
  <c r="NI58" i="2421"/>
  <c r="NI98" i="2421"/>
  <c r="NI55" i="2421"/>
  <c r="NI47" i="2421"/>
  <c r="NI39" i="2421"/>
  <c r="NI31" i="2421"/>
  <c r="NI23" i="2421"/>
  <c r="NI107" i="2421"/>
  <c r="NI89" i="2421"/>
  <c r="NI81" i="2421"/>
  <c r="NI73" i="2421"/>
  <c r="NI65" i="2421"/>
  <c r="NI112" i="2421"/>
  <c r="NI96" i="2421"/>
  <c r="NI54" i="2421"/>
  <c r="NI46" i="2421"/>
  <c r="NI38" i="2421"/>
  <c r="NI30" i="2421"/>
  <c r="NI22" i="2421"/>
  <c r="NI105" i="2421"/>
  <c r="NI95" i="2421"/>
  <c r="NI80" i="2421"/>
  <c r="NI72" i="2421"/>
  <c r="NI64" i="2421"/>
  <c r="NI110" i="2421"/>
  <c r="NI92" i="2421"/>
  <c r="NI53" i="2421"/>
  <c r="NI45" i="2421"/>
  <c r="NI37" i="2421"/>
  <c r="NI29" i="2421"/>
  <c r="NI21" i="2421"/>
  <c r="NI14" i="2421"/>
  <c r="NI103" i="2421"/>
  <c r="NI91" i="2421"/>
  <c r="NI79" i="2421"/>
  <c r="NI71" i="2421"/>
  <c r="NI63" i="2421"/>
  <c r="NI108" i="2421"/>
  <c r="NI87" i="2421"/>
  <c r="NI52" i="2421"/>
  <c r="NI44" i="2421"/>
  <c r="NI36" i="2421"/>
  <c r="NI28" i="2421"/>
  <c r="NI20" i="2421"/>
  <c r="NI15" i="2421"/>
  <c r="NI101" i="2421"/>
  <c r="NI88" i="2421"/>
  <c r="NI78" i="2421"/>
  <c r="NI70" i="2421"/>
  <c r="NI62" i="2421"/>
  <c r="NI106" i="2421"/>
  <c r="NI93" i="2421"/>
  <c r="NI51" i="2421"/>
  <c r="NI43" i="2421"/>
  <c r="NI35" i="2421"/>
  <c r="NI27" i="2421"/>
  <c r="NI19" i="2421"/>
  <c r="NI16" i="2421"/>
  <c r="NI69" i="2421"/>
  <c r="NI50" i="2421"/>
  <c r="NI18" i="2421"/>
  <c r="NI113" i="2421"/>
  <c r="NI68" i="2421"/>
  <c r="NI49" i="2421"/>
  <c r="NI99" i="2421"/>
  <c r="NI61" i="2421"/>
  <c r="NI42" i="2421"/>
  <c r="NI97" i="2421"/>
  <c r="NI60" i="2421"/>
  <c r="NI41" i="2421"/>
  <c r="NI85" i="2421"/>
  <c r="NI104" i="2421"/>
  <c r="NI34" i="2421"/>
  <c r="NI84" i="2421"/>
  <c r="NI102" i="2421"/>
  <c r="NI33" i="2421"/>
  <c r="NI77" i="2421"/>
  <c r="NI86" i="2421"/>
  <c r="NI26" i="2421"/>
  <c r="NI17" i="2421"/>
  <c r="NI76" i="2421"/>
  <c r="NI57" i="2421"/>
  <c r="NI25" i="2421"/>
  <c r="NF36" i="2421"/>
  <c r="NF17" i="2421"/>
  <c r="NL107" i="2421"/>
  <c r="NL99" i="2421"/>
  <c r="NL91" i="2421"/>
  <c r="NF107" i="2421"/>
  <c r="NF99" i="2421"/>
  <c r="NF91" i="2421"/>
  <c r="NF84" i="2421"/>
  <c r="NF76" i="2421"/>
  <c r="NF68" i="2421"/>
  <c r="NL81" i="2421"/>
  <c r="NL73" i="2421"/>
  <c r="NL65" i="2421"/>
  <c r="NF64" i="2421"/>
  <c r="NL55" i="2421"/>
  <c r="NL47" i="2421"/>
  <c r="NL39" i="2421"/>
  <c r="NL31" i="2421"/>
  <c r="NL23" i="2421"/>
  <c r="NF60" i="2421"/>
  <c r="NF51" i="2421"/>
  <c r="NF43" i="2421"/>
  <c r="NF20" i="2421"/>
  <c r="NF28" i="2421"/>
  <c r="NL15" i="2421"/>
  <c r="NF18" i="2421"/>
  <c r="NL106" i="2421"/>
  <c r="NL98" i="2421"/>
  <c r="NL90" i="2421"/>
  <c r="NF106" i="2421"/>
  <c r="NF98" i="2421"/>
  <c r="NF90" i="2421"/>
  <c r="NF83" i="2421"/>
  <c r="NF75" i="2421"/>
  <c r="NF67" i="2421"/>
  <c r="NL80" i="2421"/>
  <c r="NL72" i="2421"/>
  <c r="NL64" i="2421"/>
  <c r="NF63" i="2421"/>
  <c r="NL54" i="2421"/>
  <c r="NL46" i="2421"/>
  <c r="NL38" i="2421"/>
  <c r="NL30" i="2421"/>
  <c r="NL22" i="2421"/>
  <c r="NF58" i="2421"/>
  <c r="NF50" i="2421"/>
  <c r="NF42" i="2421"/>
  <c r="NF21" i="2421"/>
  <c r="NF29" i="2421"/>
  <c r="NL16" i="2421"/>
  <c r="NL113" i="2421"/>
  <c r="NL105" i="2421"/>
  <c r="NL97" i="2421"/>
  <c r="NF113" i="2421"/>
  <c r="NF105" i="2421"/>
  <c r="NF97" i="2421"/>
  <c r="NF89" i="2421"/>
  <c r="NF82" i="2421"/>
  <c r="NF74" i="2421"/>
  <c r="NL86" i="2421"/>
  <c r="NL79" i="2421"/>
  <c r="NL71" i="2421"/>
  <c r="NL63" i="2421"/>
  <c r="NF62" i="2421"/>
  <c r="NL53" i="2421"/>
  <c r="NL45" i="2421"/>
  <c r="NL37" i="2421"/>
  <c r="NL29" i="2421"/>
  <c r="NL21" i="2421"/>
  <c r="NF57" i="2421"/>
  <c r="NF49" i="2421"/>
  <c r="NF41" i="2421"/>
  <c r="NF22" i="2421"/>
  <c r="NF30" i="2421"/>
  <c r="NL17" i="2421"/>
  <c r="NL112" i="2421"/>
  <c r="NL104" i="2421"/>
  <c r="NL96" i="2421"/>
  <c r="NF112" i="2421"/>
  <c r="NF104" i="2421"/>
  <c r="NF96" i="2421"/>
  <c r="NF88" i="2421"/>
  <c r="NF81" i="2421"/>
  <c r="NF73" i="2421"/>
  <c r="NL89" i="2421"/>
  <c r="NL78" i="2421"/>
  <c r="NL70" i="2421"/>
  <c r="NL62" i="2421"/>
  <c r="NL59" i="2421"/>
  <c r="NL52" i="2421"/>
  <c r="NL44" i="2421"/>
  <c r="NL36" i="2421"/>
  <c r="NL28" i="2421"/>
  <c r="NL20" i="2421"/>
  <c r="NF56" i="2421"/>
  <c r="NF48" i="2421"/>
  <c r="NF40" i="2421"/>
  <c r="NF23" i="2421"/>
  <c r="NF31" i="2421"/>
  <c r="NL111" i="2421"/>
  <c r="NL103" i="2421"/>
  <c r="NL95" i="2421"/>
  <c r="NF111" i="2421"/>
  <c r="NF103" i="2421"/>
  <c r="NF95" i="2421"/>
  <c r="NF87" i="2421"/>
  <c r="NF80" i="2421"/>
  <c r="NF72" i="2421"/>
  <c r="NL85" i="2421"/>
  <c r="NL77" i="2421"/>
  <c r="NL69" i="2421"/>
  <c r="NL61" i="2421"/>
  <c r="NF61" i="2421"/>
  <c r="NL51" i="2421"/>
  <c r="NL43" i="2421"/>
  <c r="NL35" i="2421"/>
  <c r="NL27" i="2421"/>
  <c r="NL19" i="2421"/>
  <c r="NF55" i="2421"/>
  <c r="NF47" i="2421"/>
  <c r="NF39" i="2421"/>
  <c r="NF24" i="2421"/>
  <c r="NF32" i="2421"/>
  <c r="NF14" i="2421"/>
  <c r="NL110" i="2421"/>
  <c r="NL102" i="2421"/>
  <c r="NL94" i="2421"/>
  <c r="NF110" i="2421"/>
  <c r="NF102" i="2421"/>
  <c r="NF94" i="2421"/>
  <c r="NF86" i="2421"/>
  <c r="NF79" i="2421"/>
  <c r="NF71" i="2421"/>
  <c r="NL84" i="2421"/>
  <c r="NL76" i="2421"/>
  <c r="NL68" i="2421"/>
  <c r="NL88" i="2421"/>
  <c r="NF59" i="2421"/>
  <c r="NL50" i="2421"/>
  <c r="NL42" i="2421"/>
  <c r="NL34" i="2421"/>
  <c r="NL26" i="2421"/>
  <c r="NL18" i="2421"/>
  <c r="NF54" i="2421"/>
  <c r="NF46" i="2421"/>
  <c r="NF38" i="2421"/>
  <c r="NF25" i="2421"/>
  <c r="NF33" i="2421"/>
  <c r="NL101" i="2421"/>
  <c r="NF93" i="2421"/>
  <c r="NL83" i="2421"/>
  <c r="NL57" i="2421"/>
  <c r="NL25" i="2421"/>
  <c r="NF37" i="2421"/>
  <c r="NL100" i="2421"/>
  <c r="NF92" i="2421"/>
  <c r="NL82" i="2421"/>
  <c r="NL56" i="2421"/>
  <c r="NL24" i="2421"/>
  <c r="NF19" i="2421"/>
  <c r="NL14" i="2421"/>
  <c r="NL93" i="2421"/>
  <c r="NL87" i="2421"/>
  <c r="NL75" i="2421"/>
  <c r="NL49" i="2421"/>
  <c r="NL60" i="2421"/>
  <c r="NF26" i="2421"/>
  <c r="NL92" i="2421"/>
  <c r="NF85" i="2421"/>
  <c r="NL74" i="2421"/>
  <c r="NL48" i="2421"/>
  <c r="NL58" i="2421"/>
  <c r="NF27" i="2421"/>
  <c r="NF15" i="2421"/>
  <c r="NF109" i="2421"/>
  <c r="NF78" i="2421"/>
  <c r="NL67" i="2421"/>
  <c r="NL41" i="2421"/>
  <c r="NF53" i="2421"/>
  <c r="NF34" i="2421"/>
  <c r="NF16" i="2421"/>
  <c r="NF108" i="2421"/>
  <c r="NF77" i="2421"/>
  <c r="NL66" i="2421"/>
  <c r="NL40" i="2421"/>
  <c r="NF52" i="2421"/>
  <c r="NF35" i="2421"/>
  <c r="NL109" i="2421"/>
  <c r="NF101" i="2421"/>
  <c r="NF70" i="2421"/>
  <c r="NF66" i="2421"/>
  <c r="NL33" i="2421"/>
  <c r="NF45" i="2421"/>
  <c r="NL108" i="2421"/>
  <c r="NF100" i="2421"/>
  <c r="NF69" i="2421"/>
  <c r="NF65" i="2421"/>
  <c r="NL32" i="2421"/>
  <c r="NF44" i="2421"/>
  <c r="NG15" i="2421"/>
  <c r="NG18" i="2421"/>
  <c r="NG14" i="2421"/>
  <c r="NG17" i="2421"/>
  <c r="NG16" i="2421"/>
  <c r="NG113" i="2421"/>
  <c r="NG105" i="2421"/>
  <c r="NG97" i="2421"/>
  <c r="NG89" i="2421"/>
  <c r="NG81" i="2421"/>
  <c r="NG73" i="2421"/>
  <c r="NG59" i="2421"/>
  <c r="NG52" i="2421"/>
  <c r="NG44" i="2421"/>
  <c r="NG36" i="2421"/>
  <c r="NG24" i="2421"/>
  <c r="NG32" i="2421"/>
  <c r="NG112" i="2421"/>
  <c r="NG104" i="2421"/>
  <c r="NG93" i="2421"/>
  <c r="NG96" i="2421"/>
  <c r="NG80" i="2421"/>
  <c r="NG72" i="2421"/>
  <c r="NG60" i="2421"/>
  <c r="NG51" i="2421"/>
  <c r="NG43" i="2421"/>
  <c r="NG35" i="2421"/>
  <c r="NG25" i="2421"/>
  <c r="NG33" i="2421"/>
  <c r="NG111" i="2421"/>
  <c r="NG103" i="2421"/>
  <c r="NG87" i="2421"/>
  <c r="NG92" i="2421"/>
  <c r="NG79" i="2421"/>
  <c r="NG71" i="2421"/>
  <c r="NG58" i="2421"/>
  <c r="NG50" i="2421"/>
  <c r="NG42" i="2421"/>
  <c r="NG66" i="2421"/>
  <c r="NG26" i="2421"/>
  <c r="NG34" i="2421"/>
  <c r="NG110" i="2421"/>
  <c r="NG102" i="2421"/>
  <c r="NG94" i="2421"/>
  <c r="NG88" i="2421"/>
  <c r="NG78" i="2421"/>
  <c r="NG70" i="2421"/>
  <c r="NG57" i="2421"/>
  <c r="NG49" i="2421"/>
  <c r="NG41" i="2421"/>
  <c r="NG65" i="2421"/>
  <c r="NG19" i="2421"/>
  <c r="NG27" i="2421"/>
  <c r="NG109" i="2421"/>
  <c r="NG101" i="2421"/>
  <c r="NG90" i="2421"/>
  <c r="NG85" i="2421"/>
  <c r="NG77" i="2421"/>
  <c r="NG69" i="2421"/>
  <c r="NG56" i="2421"/>
  <c r="NG48" i="2421"/>
  <c r="NG40" i="2421"/>
  <c r="NG64" i="2421"/>
  <c r="NG20" i="2421"/>
  <c r="NG28" i="2421"/>
  <c r="NG108" i="2421"/>
  <c r="NG100" i="2421"/>
  <c r="NG86" i="2421"/>
  <c r="NG84" i="2421"/>
  <c r="NG76" i="2421"/>
  <c r="NG68" i="2421"/>
  <c r="NG55" i="2421"/>
  <c r="NG47" i="2421"/>
  <c r="NG39" i="2421"/>
  <c r="NG63" i="2421"/>
  <c r="NG21" i="2421"/>
  <c r="NG29" i="2421"/>
  <c r="NG99" i="2421"/>
  <c r="NG67" i="2421"/>
  <c r="NG62" i="2421"/>
  <c r="NG98" i="2421"/>
  <c r="NG61" i="2421"/>
  <c r="NG95" i="2421"/>
  <c r="NG54" i="2421"/>
  <c r="NG22" i="2421"/>
  <c r="NG91" i="2421"/>
  <c r="NG53" i="2421"/>
  <c r="NG23" i="2421"/>
  <c r="NG83" i="2421"/>
  <c r="NG46" i="2421"/>
  <c r="NG30" i="2421"/>
  <c r="NG82" i="2421"/>
  <c r="NG45" i="2421"/>
  <c r="NG31" i="2421"/>
  <c r="NG107" i="2421"/>
  <c r="NG75" i="2421"/>
  <c r="NG38" i="2421"/>
  <c r="NG106" i="2421"/>
  <c r="NG74" i="2421"/>
  <c r="NG37" i="2421"/>
  <c r="BS30" i="2421"/>
  <c r="BS18" i="2421"/>
  <c r="BS15" i="2421"/>
  <c r="BS16" i="2421"/>
  <c r="BS23" i="2421"/>
  <c r="BS27" i="2421"/>
  <c r="BS112" i="2421"/>
  <c r="BS108" i="2421"/>
  <c r="BS104" i="2421"/>
  <c r="BS100" i="2421"/>
  <c r="BS96" i="2421"/>
  <c r="BS92" i="2421"/>
  <c r="BS86" i="2421"/>
  <c r="BS79" i="2421"/>
  <c r="BS75" i="2421"/>
  <c r="BS71" i="2421"/>
  <c r="BS67" i="2421"/>
  <c r="BS63" i="2421"/>
  <c r="BS59" i="2421"/>
  <c r="BS55" i="2421"/>
  <c r="BS51" i="2421"/>
  <c r="BS47" i="2421"/>
  <c r="BS43" i="2421"/>
  <c r="BS39" i="2421"/>
  <c r="BS35" i="2421"/>
  <c r="BS31" i="2421"/>
  <c r="BS88" i="2421"/>
  <c r="BS19" i="2421"/>
  <c r="BS24" i="2421"/>
  <c r="BS28" i="2421"/>
  <c r="BS111" i="2421"/>
  <c r="BS107" i="2421"/>
  <c r="BS103" i="2421"/>
  <c r="BS99" i="2421"/>
  <c r="BS95" i="2421"/>
  <c r="BS91" i="2421"/>
  <c r="BS85" i="2421"/>
  <c r="BS78" i="2421"/>
  <c r="BS74" i="2421"/>
  <c r="BS70" i="2421"/>
  <c r="BS66" i="2421"/>
  <c r="BS62" i="2421"/>
  <c r="BS58" i="2421"/>
  <c r="BS54" i="2421"/>
  <c r="BS50" i="2421"/>
  <c r="BS46" i="2421"/>
  <c r="BS42" i="2421"/>
  <c r="BS38" i="2421"/>
  <c r="BS34" i="2421"/>
  <c r="BS80" i="2421"/>
  <c r="BS84" i="2421"/>
  <c r="BS17" i="2421"/>
  <c r="BS21" i="2421"/>
  <c r="BS25" i="2421"/>
  <c r="BS29" i="2421"/>
  <c r="BS110" i="2421"/>
  <c r="BS106" i="2421"/>
  <c r="BS102" i="2421"/>
  <c r="BS98" i="2421"/>
  <c r="BS94" i="2421"/>
  <c r="BS90" i="2421"/>
  <c r="BS83" i="2421"/>
  <c r="BS77" i="2421"/>
  <c r="BS73" i="2421"/>
  <c r="BS69" i="2421"/>
  <c r="BS65" i="2421"/>
  <c r="BS61" i="2421"/>
  <c r="BS87" i="2421"/>
  <c r="BS53" i="2421"/>
  <c r="BS49" i="2421"/>
  <c r="BS45" i="2421"/>
  <c r="BS41" i="2421"/>
  <c r="BS37" i="2421"/>
  <c r="BS33" i="2421"/>
  <c r="BS82" i="2421"/>
  <c r="BS20" i="2421"/>
  <c r="BS22" i="2421"/>
  <c r="BS26" i="2421"/>
  <c r="BS113" i="2421"/>
  <c r="BS109" i="2421"/>
  <c r="BS105" i="2421"/>
  <c r="BS101" i="2421"/>
  <c r="BS97" i="2421"/>
  <c r="BS93" i="2421"/>
  <c r="BS89" i="2421"/>
  <c r="BS81" i="2421"/>
  <c r="BS76" i="2421"/>
  <c r="BS72" i="2421"/>
  <c r="BS68" i="2421"/>
  <c r="BS64" i="2421"/>
  <c r="BS60" i="2421"/>
  <c r="BS57" i="2421"/>
  <c r="BS52" i="2421"/>
  <c r="BS48" i="2421"/>
  <c r="BS44" i="2421"/>
  <c r="BS40" i="2421"/>
  <c r="BS36" i="2421"/>
  <c r="BS32" i="2421"/>
  <c r="BS56" i="2421"/>
  <c r="BR17" i="2421"/>
  <c r="BR15" i="2421"/>
  <c r="BR16" i="2421"/>
  <c r="BX15" i="2421"/>
  <c r="BX14" i="2421"/>
  <c r="BR18" i="2421"/>
  <c r="BX110" i="2421"/>
  <c r="BX106" i="2421"/>
  <c r="BX102" i="2421"/>
  <c r="BX98" i="2421"/>
  <c r="BX94" i="2421"/>
  <c r="BX90" i="2421"/>
  <c r="BX86" i="2421"/>
  <c r="BX82" i="2421"/>
  <c r="BR113" i="2421"/>
  <c r="BR109" i="2421"/>
  <c r="BR105" i="2421"/>
  <c r="BR101" i="2421"/>
  <c r="BR97" i="2421"/>
  <c r="BR93" i="2421"/>
  <c r="BR89" i="2421"/>
  <c r="BR84" i="2421"/>
  <c r="BX77" i="2421"/>
  <c r="BX73" i="2421"/>
  <c r="BX69" i="2421"/>
  <c r="BX65" i="2421"/>
  <c r="BX61" i="2421"/>
  <c r="BX57" i="2421"/>
  <c r="BR83" i="2421"/>
  <c r="BR77" i="2421"/>
  <c r="BR73" i="2421"/>
  <c r="BR69" i="2421"/>
  <c r="BR65" i="2421"/>
  <c r="BR61" i="2421"/>
  <c r="BR54" i="2421"/>
  <c r="BR50" i="2421"/>
  <c r="BR46" i="2421"/>
  <c r="BR42" i="2421"/>
  <c r="BR38" i="2421"/>
  <c r="BR34" i="2421"/>
  <c r="BR58" i="2421"/>
  <c r="BX52" i="2421"/>
  <c r="BX48" i="2421"/>
  <c r="BX44" i="2421"/>
  <c r="BX40" i="2421"/>
  <c r="BX36" i="2421"/>
  <c r="BX32" i="2421"/>
  <c r="BX28" i="2421"/>
  <c r="BX24" i="2421"/>
  <c r="BX20" i="2421"/>
  <c r="BR20" i="2421"/>
  <c r="BR22" i="2421"/>
  <c r="BR24" i="2421"/>
  <c r="BR26" i="2421"/>
  <c r="BR28" i="2421"/>
  <c r="BR30" i="2421"/>
  <c r="BX113" i="2421"/>
  <c r="BX109" i="2421"/>
  <c r="BX105" i="2421"/>
  <c r="BX101" i="2421"/>
  <c r="BX97" i="2421"/>
  <c r="BX93" i="2421"/>
  <c r="BX89" i="2421"/>
  <c r="BX85" i="2421"/>
  <c r="BX81" i="2421"/>
  <c r="BR112" i="2421"/>
  <c r="BR108" i="2421"/>
  <c r="BR104" i="2421"/>
  <c r="BR100" i="2421"/>
  <c r="BR96" i="2421"/>
  <c r="BR92" i="2421"/>
  <c r="BR88" i="2421"/>
  <c r="BR82" i="2421"/>
  <c r="BX76" i="2421"/>
  <c r="BX72" i="2421"/>
  <c r="BX68" i="2421"/>
  <c r="BX64" i="2421"/>
  <c r="BX60" i="2421"/>
  <c r="BX56" i="2421"/>
  <c r="BR81" i="2421"/>
  <c r="BR76" i="2421"/>
  <c r="BR72" i="2421"/>
  <c r="BR68" i="2421"/>
  <c r="BR64" i="2421"/>
  <c r="BR60" i="2421"/>
  <c r="BR53" i="2421"/>
  <c r="BR49" i="2421"/>
  <c r="BR45" i="2421"/>
  <c r="BR41" i="2421"/>
  <c r="BR37" i="2421"/>
  <c r="BR33" i="2421"/>
  <c r="BR56" i="2421"/>
  <c r="BX51" i="2421"/>
  <c r="BX47" i="2421"/>
  <c r="BX43" i="2421"/>
  <c r="BX39" i="2421"/>
  <c r="BX35" i="2421"/>
  <c r="BX31" i="2421"/>
  <c r="BX27" i="2421"/>
  <c r="BX23" i="2421"/>
  <c r="BX19" i="2421"/>
  <c r="BR31" i="2421"/>
  <c r="BX112" i="2421"/>
  <c r="BX108" i="2421"/>
  <c r="BX104" i="2421"/>
  <c r="BX100" i="2421"/>
  <c r="BX96" i="2421"/>
  <c r="BX92" i="2421"/>
  <c r="BX88" i="2421"/>
  <c r="BX84" i="2421"/>
  <c r="BX80" i="2421"/>
  <c r="BR111" i="2421"/>
  <c r="BR107" i="2421"/>
  <c r="BR103" i="2421"/>
  <c r="BR99" i="2421"/>
  <c r="BR95" i="2421"/>
  <c r="BR91" i="2421"/>
  <c r="BR87" i="2421"/>
  <c r="BR80" i="2421"/>
  <c r="BX75" i="2421"/>
  <c r="BX71" i="2421"/>
  <c r="BX67" i="2421"/>
  <c r="BX63" i="2421"/>
  <c r="BX59" i="2421"/>
  <c r="BX55" i="2421"/>
  <c r="BR79" i="2421"/>
  <c r="BR75" i="2421"/>
  <c r="BR71" i="2421"/>
  <c r="BR67" i="2421"/>
  <c r="BR63" i="2421"/>
  <c r="BR57" i="2421"/>
  <c r="BR52" i="2421"/>
  <c r="BR48" i="2421"/>
  <c r="BR44" i="2421"/>
  <c r="BR40" i="2421"/>
  <c r="BR36" i="2421"/>
  <c r="BR32" i="2421"/>
  <c r="BX54" i="2421"/>
  <c r="BX50" i="2421"/>
  <c r="BX46" i="2421"/>
  <c r="BX42" i="2421"/>
  <c r="BX38" i="2421"/>
  <c r="BX34" i="2421"/>
  <c r="BX30" i="2421"/>
  <c r="BX26" i="2421"/>
  <c r="BX22" i="2421"/>
  <c r="BX18" i="2421"/>
  <c r="BR19" i="2421"/>
  <c r="BR21" i="2421"/>
  <c r="BR23" i="2421"/>
  <c r="BR25" i="2421"/>
  <c r="BR27" i="2421"/>
  <c r="BR29" i="2421"/>
  <c r="BX111" i="2421"/>
  <c r="BX107" i="2421"/>
  <c r="BX103" i="2421"/>
  <c r="BX99" i="2421"/>
  <c r="BX95" i="2421"/>
  <c r="BX91" i="2421"/>
  <c r="BX87" i="2421"/>
  <c r="BX83" i="2421"/>
  <c r="BX79" i="2421"/>
  <c r="BR110" i="2421"/>
  <c r="BR106" i="2421"/>
  <c r="BR102" i="2421"/>
  <c r="BR98" i="2421"/>
  <c r="BR94" i="2421"/>
  <c r="BR90" i="2421"/>
  <c r="BR86" i="2421"/>
  <c r="BX78" i="2421"/>
  <c r="BX74" i="2421"/>
  <c r="BX70" i="2421"/>
  <c r="BX66" i="2421"/>
  <c r="BX62" i="2421"/>
  <c r="BX58" i="2421"/>
  <c r="BR85" i="2421"/>
  <c r="BR78" i="2421"/>
  <c r="BR74" i="2421"/>
  <c r="BR70" i="2421"/>
  <c r="BR66" i="2421"/>
  <c r="BR62" i="2421"/>
  <c r="BR55" i="2421"/>
  <c r="BR51" i="2421"/>
  <c r="BR47" i="2421"/>
  <c r="BR43" i="2421"/>
  <c r="BR39" i="2421"/>
  <c r="BR35" i="2421"/>
  <c r="BR59" i="2421"/>
  <c r="BX53" i="2421"/>
  <c r="BX49" i="2421"/>
  <c r="BX45" i="2421"/>
  <c r="BX41" i="2421"/>
  <c r="BX37" i="2421"/>
  <c r="BX33" i="2421"/>
  <c r="BX29" i="2421"/>
  <c r="BX25" i="2421"/>
  <c r="BX21" i="2421"/>
  <c r="BX16" i="2421"/>
  <c r="BX17" i="2421"/>
  <c r="BU111" i="2421"/>
  <c r="BU103" i="2421"/>
  <c r="BU95" i="2421"/>
  <c r="BU86" i="2421"/>
  <c r="BU79" i="2421"/>
  <c r="BU108" i="2421"/>
  <c r="BU100" i="2421"/>
  <c r="BU92" i="2421"/>
  <c r="BU82" i="2421"/>
  <c r="BU74" i="2421"/>
  <c r="BU66" i="2421"/>
  <c r="BU59" i="2421"/>
  <c r="BU73" i="2421"/>
  <c r="BU65" i="2421"/>
  <c r="BU54" i="2421"/>
  <c r="BU50" i="2421"/>
  <c r="BU46" i="2421"/>
  <c r="BU42" i="2421"/>
  <c r="BU38" i="2421"/>
  <c r="BU34" i="2421"/>
  <c r="BU30" i="2421"/>
  <c r="BU26" i="2421"/>
  <c r="BU22" i="2421"/>
  <c r="BU18" i="2421"/>
  <c r="BU55" i="2421"/>
  <c r="BU109" i="2421"/>
  <c r="BU101" i="2421"/>
  <c r="BU93" i="2421"/>
  <c r="BU85" i="2421"/>
  <c r="BU87" i="2421"/>
  <c r="BU106" i="2421"/>
  <c r="BU98" i="2421"/>
  <c r="BU90" i="2421"/>
  <c r="BU80" i="2421"/>
  <c r="BU72" i="2421"/>
  <c r="BU64" i="2421"/>
  <c r="BU56" i="2421"/>
  <c r="BU71" i="2421"/>
  <c r="BU63" i="2421"/>
  <c r="BU53" i="2421"/>
  <c r="BU49" i="2421"/>
  <c r="BU45" i="2421"/>
  <c r="BU41" i="2421"/>
  <c r="BU37" i="2421"/>
  <c r="BU33" i="2421"/>
  <c r="BU29" i="2421"/>
  <c r="BU25" i="2421"/>
  <c r="BU21" i="2421"/>
  <c r="BU17" i="2421"/>
  <c r="BU107" i="2421"/>
  <c r="BU99" i="2421"/>
  <c r="BU91" i="2421"/>
  <c r="BU83" i="2421"/>
  <c r="BU112" i="2421"/>
  <c r="BU104" i="2421"/>
  <c r="BU96" i="2421"/>
  <c r="BU88" i="2421"/>
  <c r="BU78" i="2421"/>
  <c r="BU70" i="2421"/>
  <c r="BU62" i="2421"/>
  <c r="BU77" i="2421"/>
  <c r="BU69" i="2421"/>
  <c r="BU61" i="2421"/>
  <c r="BU52" i="2421"/>
  <c r="BU48" i="2421"/>
  <c r="BU44" i="2421"/>
  <c r="BU40" i="2421"/>
  <c r="BU36" i="2421"/>
  <c r="BU32" i="2421"/>
  <c r="BU28" i="2421"/>
  <c r="BU24" i="2421"/>
  <c r="BU20" i="2421"/>
  <c r="BU16" i="2421"/>
  <c r="BU113" i="2421"/>
  <c r="BU105" i="2421"/>
  <c r="BU97" i="2421"/>
  <c r="BU89" i="2421"/>
  <c r="BU81" i="2421"/>
  <c r="BU110" i="2421"/>
  <c r="BU102" i="2421"/>
  <c r="BU94" i="2421"/>
  <c r="BU84" i="2421"/>
  <c r="BU76" i="2421"/>
  <c r="BU68" i="2421"/>
  <c r="BU60" i="2421"/>
  <c r="BU75" i="2421"/>
  <c r="BU67" i="2421"/>
  <c r="BU58" i="2421"/>
  <c r="BU51" i="2421"/>
  <c r="BU47" i="2421"/>
  <c r="BU43" i="2421"/>
  <c r="BU39" i="2421"/>
  <c r="BU35" i="2421"/>
  <c r="BU31" i="2421"/>
  <c r="BU27" i="2421"/>
  <c r="BU23" i="2421"/>
  <c r="BU19" i="2421"/>
  <c r="BU57" i="2421"/>
  <c r="BU15" i="2421"/>
  <c r="BV14" i="2421"/>
  <c r="BT14" i="2421"/>
  <c r="AZ123" i="2421"/>
  <c r="BA123" i="2421" s="1"/>
  <c r="BA127" i="2421" s="1"/>
  <c r="P3" i="2413" s="1"/>
  <c r="BO123" i="2421"/>
  <c r="BP123" i="2421" s="1"/>
  <c r="BP127" i="2421" s="1"/>
  <c r="T3" i="2413" s="1"/>
  <c r="NC123" i="2421"/>
  <c r="ND123" i="2421" s="1"/>
  <c r="ND127" i="2421" s="1"/>
  <c r="CV3" i="2413" s="1"/>
  <c r="P17" i="2420"/>
  <c r="DI54" i="2420"/>
  <c r="AX59" i="2420"/>
  <c r="AX95" i="2420"/>
  <c r="AX49" i="2420"/>
  <c r="AX102" i="2420"/>
  <c r="KI34" i="2422"/>
  <c r="RZ37" i="2421"/>
  <c r="KI49" i="2422"/>
  <c r="RZ52" i="2421"/>
  <c r="KI73" i="2422"/>
  <c r="RZ76" i="2421"/>
  <c r="DI90" i="2420"/>
  <c r="KI16" i="2422"/>
  <c r="RZ19" i="2421"/>
  <c r="KI78" i="2422"/>
  <c r="RZ81" i="2421"/>
  <c r="DI50" i="2420"/>
  <c r="F92" i="2388"/>
  <c r="DI94" i="2420"/>
  <c r="AX96" i="2420"/>
  <c r="AX73" i="2420"/>
  <c r="DI65" i="2420"/>
  <c r="DI79" i="2420"/>
  <c r="AX97" i="2420"/>
  <c r="DI51" i="2420"/>
  <c r="DI44" i="2420"/>
  <c r="ND128" i="2421"/>
  <c r="R16" i="2413"/>
  <c r="CY99" i="2420"/>
  <c r="CY35" i="2420"/>
  <c r="CY45" i="2420"/>
  <c r="P55" i="2420"/>
  <c r="CY55" i="2420"/>
  <c r="AX27" i="2420"/>
  <c r="CY49" i="2420"/>
  <c r="P49" i="2420"/>
  <c r="DI60" i="2420"/>
  <c r="DI19" i="2420"/>
  <c r="AX22" i="2420"/>
  <c r="P48" i="2420"/>
  <c r="CY48" i="2420"/>
  <c r="AX71" i="2420"/>
  <c r="CY61" i="2420"/>
  <c r="G52" i="2413"/>
  <c r="RX53" i="2421" s="1"/>
  <c r="G84" i="2413"/>
  <c r="RX85" i="2421" s="1"/>
  <c r="G53" i="2413"/>
  <c r="RX54" i="2421" s="1"/>
  <c r="G85" i="2413"/>
  <c r="RX86" i="2421" s="1"/>
  <c r="F34" i="2388"/>
  <c r="CY14" i="2420"/>
  <c r="P14" i="2420"/>
  <c r="F98" i="2388"/>
  <c r="CY78" i="2420"/>
  <c r="F67" i="2388"/>
  <c r="F64" i="2388"/>
  <c r="F36" i="2388"/>
  <c r="CY16" i="2420"/>
  <c r="F100" i="2388"/>
  <c r="CY80" i="2420"/>
  <c r="P80" i="2420"/>
  <c r="F73" i="2388"/>
  <c r="F45" i="2388"/>
  <c r="F109" i="2388"/>
  <c r="P89" i="2420"/>
  <c r="F54" i="2388"/>
  <c r="CY34" i="2420"/>
  <c r="F118" i="2388"/>
  <c r="F47" i="2388"/>
  <c r="F111" i="2388"/>
  <c r="P91" i="2420"/>
  <c r="G82" i="2413"/>
  <c r="RX83" i="2421" s="1"/>
  <c r="G51" i="2413"/>
  <c r="RX52" i="2421" s="1"/>
  <c r="G50" i="2413"/>
  <c r="RX51" i="2421" s="1"/>
  <c r="G83" i="2413"/>
  <c r="RX84" i="2421" s="1"/>
  <c r="G70" i="2413"/>
  <c r="RX71" i="2421" s="1"/>
  <c r="G102" i="2413"/>
  <c r="RX103" i="2421" s="1"/>
  <c r="G39" i="2413"/>
  <c r="RX40" i="2421" s="1"/>
  <c r="G71" i="2413"/>
  <c r="RX72" i="2421" s="1"/>
  <c r="G103" i="2413"/>
  <c r="RX104" i="2421" s="1"/>
  <c r="G72" i="2413"/>
  <c r="RX73" i="2421" s="1"/>
  <c r="G104" i="2413"/>
  <c r="RX105" i="2421" s="1"/>
  <c r="G41" i="2413"/>
  <c r="RX42" i="2421" s="1"/>
  <c r="G73" i="2413"/>
  <c r="RX74" i="2421" s="1"/>
  <c r="G105" i="2413"/>
  <c r="RX106" i="2421" s="1"/>
  <c r="G26" i="2413"/>
  <c r="RX27" i="2421" s="1"/>
  <c r="G58" i="2413"/>
  <c r="RX59" i="2421" s="1"/>
  <c r="G90" i="2413"/>
  <c r="RX91" i="2421" s="1"/>
  <c r="G27" i="2413"/>
  <c r="RX28" i="2421" s="1"/>
  <c r="G59" i="2413"/>
  <c r="RX60" i="2421" s="1"/>
  <c r="G91" i="2413"/>
  <c r="RX92" i="2421" s="1"/>
  <c r="G28" i="2413"/>
  <c r="RX29" i="2421" s="1"/>
  <c r="G60" i="2413"/>
  <c r="RX61" i="2421" s="1"/>
  <c r="G92" i="2413"/>
  <c r="RX93" i="2421" s="1"/>
  <c r="G29" i="2413"/>
  <c r="RX30" i="2421" s="1"/>
  <c r="G61" i="2413"/>
  <c r="RX62" i="2421" s="1"/>
  <c r="G93" i="2413"/>
  <c r="RX94" i="2421" s="1"/>
  <c r="G46" i="2413"/>
  <c r="RX47" i="2421" s="1"/>
  <c r="G78" i="2413"/>
  <c r="RX79" i="2421" s="1"/>
  <c r="G110" i="2413"/>
  <c r="RX111" i="2421" s="1"/>
  <c r="G47" i="2413"/>
  <c r="RX48" i="2421" s="1"/>
  <c r="G79" i="2413"/>
  <c r="RX80" i="2421" s="1"/>
  <c r="G111" i="2413"/>
  <c r="RX112" i="2421" s="1"/>
  <c r="G48" i="2413"/>
  <c r="RX49" i="2421" s="1"/>
  <c r="G80" i="2413"/>
  <c r="RX81" i="2421" s="1"/>
  <c r="G112" i="2413"/>
  <c r="RX113" i="2421" s="1"/>
  <c r="G49" i="2413"/>
  <c r="RX50" i="2421" s="1"/>
  <c r="G81" i="2413"/>
  <c r="RX82" i="2421" s="1"/>
  <c r="G66" i="2413"/>
  <c r="RX67" i="2421" s="1"/>
  <c r="G98" i="2413"/>
  <c r="RX99" i="2421" s="1"/>
  <c r="G35" i="2413"/>
  <c r="RX36" i="2421" s="1"/>
  <c r="G67" i="2413"/>
  <c r="RX68" i="2421" s="1"/>
  <c r="G99" i="2413"/>
  <c r="RX100" i="2421" s="1"/>
  <c r="G68" i="2413"/>
  <c r="RX69" i="2421" s="1"/>
  <c r="G100" i="2413"/>
  <c r="RX101" i="2421" s="1"/>
  <c r="G69" i="2413"/>
  <c r="RX70" i="2421" s="1"/>
  <c r="G101" i="2413"/>
  <c r="RX102" i="2421" s="1"/>
  <c r="G54" i="2413"/>
  <c r="RX55" i="2421" s="1"/>
  <c r="G86" i="2413"/>
  <c r="RX87" i="2421" s="1"/>
  <c r="G55" i="2413"/>
  <c r="RX56" i="2421" s="1"/>
  <c r="G87" i="2413"/>
  <c r="RX88" i="2421" s="1"/>
  <c r="G24" i="2413"/>
  <c r="RX25" i="2421" s="1"/>
  <c r="G56" i="2413"/>
  <c r="RX57" i="2421" s="1"/>
  <c r="G88" i="2413"/>
  <c r="RX89" i="2421" s="1"/>
  <c r="G25" i="2413"/>
  <c r="RX26" i="2421" s="1"/>
  <c r="G57" i="2413"/>
  <c r="RX58" i="2421" s="1"/>
  <c r="G89" i="2413"/>
  <c r="RX90" i="2421" s="1"/>
  <c r="G42" i="2413"/>
  <c r="RX43" i="2421" s="1"/>
  <c r="G74" i="2413"/>
  <c r="RX75" i="2421" s="1"/>
  <c r="G106" i="2413"/>
  <c r="RX107" i="2421" s="1"/>
  <c r="G43" i="2413"/>
  <c r="RX44" i="2421" s="1"/>
  <c r="G75" i="2413"/>
  <c r="RX76" i="2421" s="1"/>
  <c r="G107" i="2413"/>
  <c r="RX108" i="2421" s="1"/>
  <c r="G44" i="2413"/>
  <c r="RX45" i="2421" s="1"/>
  <c r="G76" i="2413"/>
  <c r="RX77" i="2421" s="1"/>
  <c r="G108" i="2413"/>
  <c r="RX109" i="2421" s="1"/>
  <c r="G45" i="2413"/>
  <c r="RX46" i="2421" s="1"/>
  <c r="G77" i="2413"/>
  <c r="RX78" i="2421" s="1"/>
  <c r="G109" i="2413"/>
  <c r="RX110" i="2421" s="1"/>
  <c r="G30" i="2413"/>
  <c r="RX31" i="2421" s="1"/>
  <c r="G62" i="2413"/>
  <c r="RX63" i="2421" s="1"/>
  <c r="G94" i="2413"/>
  <c r="RX95" i="2421" s="1"/>
  <c r="G63" i="2413"/>
  <c r="RX64" i="2421" s="1"/>
  <c r="G95" i="2413"/>
  <c r="RX96" i="2421" s="1"/>
  <c r="G64" i="2413"/>
  <c r="RX65" i="2421" s="1"/>
  <c r="G96" i="2413"/>
  <c r="RX97" i="2421" s="1"/>
  <c r="G65" i="2413"/>
  <c r="RX66" i="2421" s="1"/>
  <c r="G97" i="2413"/>
  <c r="RX98" i="2421" s="1"/>
  <c r="F30" i="2388"/>
  <c r="CY47" i="2420"/>
  <c r="CY21" i="2420"/>
  <c r="P47" i="2420"/>
  <c r="DI52" i="2420"/>
  <c r="P51" i="2420"/>
  <c r="P22" i="2420"/>
  <c r="AX38" i="2420"/>
  <c r="P33" i="2420"/>
  <c r="AX35" i="2420"/>
  <c r="CY30" i="2420"/>
  <c r="AX63" i="2420"/>
  <c r="CY15" i="2420"/>
  <c r="P101" i="2420"/>
  <c r="P30" i="2420"/>
  <c r="CY94" i="2420"/>
  <c r="AX99" i="2420"/>
  <c r="P40" i="2420"/>
  <c r="P79" i="2420"/>
  <c r="P94" i="2420"/>
  <c r="AX75" i="2420"/>
  <c r="P86" i="2420"/>
  <c r="AX28" i="2420"/>
  <c r="P92" i="2420"/>
  <c r="DI36" i="2420"/>
  <c r="CY86" i="2420"/>
  <c r="P58" i="2420"/>
  <c r="CY92" i="2420"/>
  <c r="P69" i="2420"/>
  <c r="CY58" i="2420"/>
  <c r="CY37" i="2420"/>
  <c r="AX18" i="2420"/>
  <c r="CY69" i="2420"/>
  <c r="P37" i="2420"/>
  <c r="P97" i="2420"/>
  <c r="CY22" i="2420"/>
  <c r="CY51" i="2420"/>
  <c r="CY33" i="2420"/>
  <c r="CY97" i="2420"/>
  <c r="P11" i="2420"/>
  <c r="CY52" i="2420"/>
  <c r="P57" i="2420"/>
  <c r="CY75" i="2420"/>
  <c r="CY11" i="2420"/>
  <c r="P52" i="2420"/>
  <c r="P18" i="2420"/>
  <c r="CY57" i="2420"/>
  <c r="P56" i="2420"/>
  <c r="CY56" i="2420"/>
  <c r="DI91" i="2420"/>
  <c r="DI11" i="2420"/>
  <c r="CY46" i="2420"/>
  <c r="AX68" i="2420"/>
  <c r="P54" i="2420"/>
  <c r="DI76" i="2420"/>
  <c r="P21" i="2420"/>
  <c r="CY43" i="2420"/>
  <c r="P78" i="2420"/>
  <c r="CY93" i="2420"/>
  <c r="P25" i="2420"/>
  <c r="P93" i="2420"/>
  <c r="CY25" i="2420"/>
  <c r="CY76" i="2420"/>
  <c r="CY100" i="2420"/>
  <c r="P76" i="2420"/>
  <c r="CY50" i="2420"/>
  <c r="P100" i="2420"/>
  <c r="P50" i="2420"/>
  <c r="CY89" i="2420"/>
  <c r="P45" i="2420"/>
  <c r="CY54" i="2420"/>
  <c r="CY84" i="2420"/>
  <c r="P35" i="2420"/>
  <c r="P99" i="2420"/>
  <c r="CY104" i="2420"/>
  <c r="P84" i="2420"/>
  <c r="P104" i="2420"/>
  <c r="CY39" i="2420"/>
  <c r="P39" i="2420"/>
  <c r="CY103" i="2420"/>
  <c r="DI83" i="2420"/>
  <c r="CY68" i="2420"/>
  <c r="P81" i="2420"/>
  <c r="P103" i="2420"/>
  <c r="P68" i="2420"/>
  <c r="P42" i="2420"/>
  <c r="CY81" i="2420"/>
  <c r="CY42" i="2420"/>
  <c r="CY17" i="2420"/>
  <c r="CY40" i="2420"/>
  <c r="CY28" i="2420"/>
  <c r="P61" i="2420"/>
  <c r="CY18" i="2420"/>
  <c r="P27" i="2420"/>
  <c r="P70" i="2420"/>
  <c r="P34" i="2420"/>
  <c r="P75" i="2420"/>
  <c r="AX67" i="2420"/>
  <c r="CY27" i="2420"/>
  <c r="CY32" i="2420"/>
  <c r="P60" i="2420"/>
  <c r="P16" i="2420"/>
  <c r="P32" i="2420"/>
  <c r="P31" i="2420"/>
  <c r="CY73" i="2420"/>
  <c r="CY95" i="2420"/>
  <c r="CY60" i="2420"/>
  <c r="CY36" i="2420"/>
  <c r="CY31" i="2420"/>
  <c r="P73" i="2420"/>
  <c r="P95" i="2420"/>
  <c r="CY98" i="2420"/>
  <c r="CY20" i="2420"/>
  <c r="P36" i="2420"/>
  <c r="CY44" i="2420"/>
  <c r="P96" i="2420"/>
  <c r="P98" i="2420"/>
  <c r="P20" i="2420"/>
  <c r="CY82" i="2420"/>
  <c r="P44" i="2420"/>
  <c r="CY96" i="2420"/>
  <c r="CY91" i="2420"/>
  <c r="P82" i="2420"/>
  <c r="P15" i="2420"/>
  <c r="CY79" i="2420"/>
  <c r="P65" i="2420"/>
  <c r="CY101" i="2420"/>
  <c r="P63" i="2420"/>
  <c r="P66" i="2420"/>
  <c r="CY63" i="2420"/>
  <c r="AX20" i="2420"/>
  <c r="P59" i="2420"/>
  <c r="CY66" i="2420"/>
  <c r="CY41" i="2420"/>
  <c r="CY64" i="2420"/>
  <c r="CY59" i="2420"/>
  <c r="CY38" i="2420"/>
  <c r="P41" i="2420"/>
  <c r="P64" i="2420"/>
  <c r="CY85" i="2420"/>
  <c r="P38" i="2420"/>
  <c r="P85" i="2420"/>
  <c r="CY29" i="2420"/>
  <c r="P102" i="2420"/>
  <c r="P29" i="2420"/>
  <c r="CY102" i="2420"/>
  <c r="CY65" i="2420"/>
  <c r="CY12" i="2420"/>
  <c r="P23" i="2420"/>
  <c r="CY62" i="2420"/>
  <c r="CY19" i="2420"/>
  <c r="CY83" i="2420"/>
  <c r="CY90" i="2420"/>
  <c r="P26" i="2420"/>
  <c r="P24" i="2420"/>
  <c r="P12" i="2420"/>
  <c r="CY23" i="2420"/>
  <c r="P62" i="2420"/>
  <c r="P19" i="2420"/>
  <c r="P83" i="2420"/>
  <c r="CY71" i="2420"/>
  <c r="P90" i="2420"/>
  <c r="CY26" i="2420"/>
  <c r="CY24" i="2420"/>
  <c r="P46" i="2420"/>
  <c r="P13" i="2420"/>
  <c r="P71" i="2420"/>
  <c r="P77" i="2420"/>
  <c r="CY13" i="2420"/>
  <c r="CY77" i="2420"/>
  <c r="P53" i="2420"/>
  <c r="P87" i="2420"/>
  <c r="CY88" i="2420"/>
  <c r="CY53" i="2420"/>
  <c r="CY87" i="2420"/>
  <c r="P88" i="2420"/>
  <c r="B50" i="2422"/>
  <c r="B53" i="2421"/>
  <c r="S53" i="2421" s="1"/>
  <c r="L64" i="2388" s="1"/>
  <c r="B58" i="2422"/>
  <c r="B61" i="2421"/>
  <c r="S61" i="2421" s="1"/>
  <c r="L72" i="2388" s="1"/>
  <c r="B90" i="2422"/>
  <c r="B93" i="2421"/>
  <c r="S93" i="2421" s="1"/>
  <c r="L104" i="2388" s="1"/>
  <c r="B98" i="2422"/>
  <c r="B101" i="2421"/>
  <c r="S101" i="2421" s="1"/>
  <c r="L112" i="2388" s="1"/>
  <c r="D40" i="2422"/>
  <c r="D43" i="2421"/>
  <c r="B27" i="2422"/>
  <c r="B30" i="2421"/>
  <c r="S30" i="2421" s="1"/>
  <c r="L41" i="2388" s="1"/>
  <c r="B59" i="2422"/>
  <c r="B62" i="2421"/>
  <c r="S62" i="2421" s="1"/>
  <c r="L73" i="2388" s="1"/>
  <c r="B75" i="2422"/>
  <c r="B78" i="2421"/>
  <c r="S78" i="2421" s="1"/>
  <c r="L89" i="2388" s="1"/>
  <c r="D20" i="2422"/>
  <c r="D23" i="2421"/>
  <c r="D38" i="2422"/>
  <c r="D41" i="2421"/>
  <c r="D51" i="2422"/>
  <c r="D54" i="2421"/>
  <c r="D61" i="2422"/>
  <c r="D64" i="2421"/>
  <c r="D84" i="2422"/>
  <c r="D87" i="2421"/>
  <c r="D96" i="2422"/>
  <c r="D99" i="2421"/>
  <c r="B36" i="2422"/>
  <c r="B39" i="2421"/>
  <c r="S39" i="2421" s="1"/>
  <c r="L50" i="2388" s="1"/>
  <c r="B76" i="2422"/>
  <c r="B79" i="2421"/>
  <c r="S79" i="2421" s="1"/>
  <c r="L90" i="2388" s="1"/>
  <c r="B100" i="2422"/>
  <c r="B103" i="2421"/>
  <c r="S103" i="2421" s="1"/>
  <c r="L114" i="2388" s="1"/>
  <c r="B108" i="2422"/>
  <c r="B111" i="2421"/>
  <c r="S111" i="2421" s="1"/>
  <c r="L122" i="2388" s="1"/>
  <c r="D37" i="2422"/>
  <c r="D40" i="2421"/>
  <c r="D47" i="2422"/>
  <c r="D50" i="2421"/>
  <c r="D79" i="2422"/>
  <c r="D82" i="2421"/>
  <c r="D82" i="2422"/>
  <c r="D85" i="2421"/>
  <c r="D102" i="2422"/>
  <c r="D105" i="2421"/>
  <c r="B21" i="2422"/>
  <c r="B24" i="2421"/>
  <c r="B61" i="2422"/>
  <c r="B64" i="2421"/>
  <c r="S64" i="2421" s="1"/>
  <c r="L75" i="2388" s="1"/>
  <c r="B93" i="2422"/>
  <c r="B96" i="2421"/>
  <c r="S96" i="2421" s="1"/>
  <c r="L107" i="2388" s="1"/>
  <c r="B101" i="2422"/>
  <c r="B104" i="2421"/>
  <c r="S104" i="2421" s="1"/>
  <c r="L115" i="2388" s="1"/>
  <c r="D48" i="2422"/>
  <c r="D51" i="2421"/>
  <c r="D55" i="2422"/>
  <c r="D58" i="2421"/>
  <c r="D59" i="2422"/>
  <c r="D62" i="2421"/>
  <c r="D68" i="2422"/>
  <c r="D71" i="2421"/>
  <c r="B38" i="2422"/>
  <c r="B41" i="2421"/>
  <c r="S41" i="2421" s="1"/>
  <c r="L52" i="2388" s="1"/>
  <c r="B46" i="2422"/>
  <c r="B49" i="2421"/>
  <c r="S49" i="2421" s="1"/>
  <c r="L60" i="2388" s="1"/>
  <c r="B70" i="2422"/>
  <c r="B73" i="2421"/>
  <c r="S73" i="2421" s="1"/>
  <c r="L84" i="2388" s="1"/>
  <c r="D16" i="2422"/>
  <c r="D19" i="2421"/>
  <c r="D56" i="2422"/>
  <c r="D59" i="2421"/>
  <c r="D99" i="2422"/>
  <c r="D102" i="2421"/>
  <c r="D110" i="2422"/>
  <c r="D113" i="2421"/>
  <c r="B23" i="2422"/>
  <c r="B26" i="2421"/>
  <c r="S26" i="2421" s="1"/>
  <c r="L37" i="2388" s="1"/>
  <c r="B31" i="2422"/>
  <c r="B34" i="2421"/>
  <c r="S34" i="2421" s="1"/>
  <c r="L45" i="2388" s="1"/>
  <c r="B87" i="2422"/>
  <c r="B90" i="2421"/>
  <c r="S90" i="2421" s="1"/>
  <c r="L101" i="2388" s="1"/>
  <c r="D26" i="2422"/>
  <c r="D29" i="2421"/>
  <c r="D33" i="2422"/>
  <c r="D36" i="2421"/>
  <c r="D35" i="2422"/>
  <c r="D38" i="2421"/>
  <c r="D54" i="2422"/>
  <c r="D57" i="2421"/>
  <c r="D90" i="2422"/>
  <c r="D93" i="2421"/>
  <c r="D109" i="2422"/>
  <c r="D112" i="2421"/>
  <c r="B24" i="2422"/>
  <c r="B27" i="2421"/>
  <c r="S27" i="2421" s="1"/>
  <c r="L38" i="2388" s="1"/>
  <c r="B48" i="2422"/>
  <c r="B51" i="2421"/>
  <c r="S51" i="2421" s="1"/>
  <c r="L62" i="2388" s="1"/>
  <c r="B56" i="2422"/>
  <c r="B59" i="2421"/>
  <c r="S59" i="2421" s="1"/>
  <c r="L70" i="2388" s="1"/>
  <c r="B64" i="2422"/>
  <c r="B67" i="2421"/>
  <c r="S67" i="2421" s="1"/>
  <c r="L78" i="2388" s="1"/>
  <c r="B88" i="2422"/>
  <c r="B91" i="2421"/>
  <c r="S91" i="2421" s="1"/>
  <c r="L102" i="2388" s="1"/>
  <c r="D22" i="2422"/>
  <c r="D25" i="2421"/>
  <c r="D44" i="2422"/>
  <c r="D47" i="2421"/>
  <c r="D76" i="2422"/>
  <c r="D79" i="2421"/>
  <c r="D105" i="2422"/>
  <c r="D108" i="2421"/>
  <c r="B17" i="2422"/>
  <c r="B20" i="2421"/>
  <c r="S20" i="2421" s="1"/>
  <c r="L31" i="2388" s="1"/>
  <c r="B25" i="2422"/>
  <c r="B28" i="2421"/>
  <c r="S28" i="2421" s="1"/>
  <c r="L39" i="2388" s="1"/>
  <c r="B41" i="2422"/>
  <c r="B44" i="2421"/>
  <c r="S44" i="2421" s="1"/>
  <c r="L55" i="2388" s="1"/>
  <c r="B65" i="2422"/>
  <c r="B68" i="2421"/>
  <c r="S68" i="2421" s="1"/>
  <c r="L79" i="2388" s="1"/>
  <c r="D73" i="2422"/>
  <c r="D76" i="2421"/>
  <c r="D86" i="2422"/>
  <c r="D89" i="2421"/>
  <c r="D94" i="2422"/>
  <c r="D97" i="2421"/>
  <c r="D85" i="2422"/>
  <c r="D88" i="2421"/>
  <c r="D18" i="2413"/>
  <c r="D17" i="2383" s="1"/>
  <c r="E15" i="2406"/>
  <c r="B30" i="2388"/>
  <c r="C30" i="2388"/>
  <c r="A25" i="2390"/>
  <c r="A23" i="2406" s="1"/>
  <c r="D34" i="2413"/>
  <c r="D33" i="2383" s="1"/>
  <c r="E31" i="2406"/>
  <c r="B46" i="2388"/>
  <c r="C46" i="2388"/>
  <c r="D41" i="2390"/>
  <c r="A41" i="2390"/>
  <c r="A39" i="2406" s="1"/>
  <c r="D50" i="2413"/>
  <c r="D49" i="2383" s="1"/>
  <c r="C62" i="2388"/>
  <c r="B62" i="2388"/>
  <c r="D57" i="2390"/>
  <c r="A57" i="2390"/>
  <c r="A55" i="2406" s="1"/>
  <c r="D66" i="2413"/>
  <c r="D65" i="2383" s="1"/>
  <c r="C78" i="2388"/>
  <c r="B78" i="2388"/>
  <c r="A73" i="2390"/>
  <c r="A71" i="2406" s="1"/>
  <c r="D73" i="2390"/>
  <c r="D82" i="2413"/>
  <c r="D81" i="2383" s="1"/>
  <c r="B94" i="2388"/>
  <c r="C94" i="2388"/>
  <c r="A89" i="2390"/>
  <c r="A87" i="2406" s="1"/>
  <c r="D89" i="2390"/>
  <c r="D98" i="2413"/>
  <c r="D97" i="2383" s="1"/>
  <c r="B110" i="2388"/>
  <c r="C110" i="2388"/>
  <c r="A105" i="2390"/>
  <c r="A103" i="2406" s="1"/>
  <c r="D105" i="2390"/>
  <c r="A22" i="2390"/>
  <c r="A20" i="2406" s="1"/>
  <c r="D31" i="2413"/>
  <c r="D30" i="2383" s="1"/>
  <c r="B43" i="2388"/>
  <c r="C43" i="2388"/>
  <c r="A38" i="2390"/>
  <c r="A36" i="2406" s="1"/>
  <c r="D38" i="2390"/>
  <c r="D47" i="2413"/>
  <c r="D46" i="2383" s="1"/>
  <c r="C59" i="2388"/>
  <c r="B59" i="2388"/>
  <c r="A54" i="2390"/>
  <c r="A52" i="2406" s="1"/>
  <c r="D54" i="2390"/>
  <c r="D63" i="2413"/>
  <c r="D62" i="2383" s="1"/>
  <c r="C75" i="2388"/>
  <c r="B75" i="2388"/>
  <c r="D70" i="2390"/>
  <c r="A70" i="2390"/>
  <c r="A68" i="2406" s="1"/>
  <c r="D79" i="2413"/>
  <c r="D78" i="2383" s="1"/>
  <c r="C91" i="2388"/>
  <c r="B91" i="2388"/>
  <c r="A86" i="2390"/>
  <c r="A84" i="2406" s="1"/>
  <c r="D86" i="2390"/>
  <c r="D95" i="2413"/>
  <c r="D94" i="2383" s="1"/>
  <c r="C107" i="2388"/>
  <c r="B107" i="2388"/>
  <c r="D102" i="2390"/>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D63" i="2390"/>
  <c r="A63" i="2390"/>
  <c r="A61" i="2406" s="1"/>
  <c r="D72" i="2413"/>
  <c r="D71" i="2383" s="1"/>
  <c r="B84" i="2388"/>
  <c r="C84" i="2388"/>
  <c r="A79" i="2390"/>
  <c r="A77" i="2406" s="1"/>
  <c r="D79" i="2390"/>
  <c r="D88" i="2413"/>
  <c r="D87" i="2383" s="1"/>
  <c r="B100" i="2388"/>
  <c r="C100" i="2388"/>
  <c r="D91" i="2390"/>
  <c r="A91" i="2390"/>
  <c r="A89" i="2406" s="1"/>
  <c r="A95" i="2390"/>
  <c r="A93" i="2406" s="1"/>
  <c r="D95" i="2390"/>
  <c r="D104" i="2413"/>
  <c r="D103" i="2383" s="1"/>
  <c r="C116" i="2388"/>
  <c r="B116" i="2388"/>
  <c r="A111" i="2390"/>
  <c r="A109" i="2406" s="1"/>
  <c r="D111" i="2390"/>
  <c r="D21" i="2413"/>
  <c r="D20" i="2383" s="1"/>
  <c r="B33" i="2388"/>
  <c r="C33" i="2388"/>
  <c r="A28" i="2390"/>
  <c r="A26" i="2406" s="1"/>
  <c r="D37" i="2413"/>
  <c r="D36" i="2383" s="1"/>
  <c r="B49" i="2388"/>
  <c r="C49" i="2388"/>
  <c r="A44" i="2390"/>
  <c r="A42" i="2406" s="1"/>
  <c r="D44" i="2390"/>
  <c r="D53" i="2413"/>
  <c r="D52" i="2383" s="1"/>
  <c r="B65" i="2388"/>
  <c r="C65" i="2388"/>
  <c r="D69" i="2413"/>
  <c r="D68" i="2383" s="1"/>
  <c r="B81" i="2388"/>
  <c r="C81" i="2388"/>
  <c r="A76" i="2390"/>
  <c r="A74" i="2406" s="1"/>
  <c r="D76" i="2390"/>
  <c r="D85" i="2413"/>
  <c r="D84" i="2383" s="1"/>
  <c r="B97" i="2388"/>
  <c r="C97" i="2388"/>
  <c r="D101" i="2413"/>
  <c r="D100" i="2383" s="1"/>
  <c r="B113" i="2388"/>
  <c r="C113" i="2388"/>
  <c r="D108" i="2390"/>
  <c r="A108" i="2390"/>
  <c r="A106" i="2406" s="1"/>
  <c r="B18" i="2422"/>
  <c r="B21" i="2421"/>
  <c r="S21" i="2421" s="1"/>
  <c r="L32" i="2388" s="1"/>
  <c r="B66" i="2422"/>
  <c r="B69" i="2421"/>
  <c r="S69" i="2421" s="1"/>
  <c r="L80" i="2388" s="1"/>
  <c r="D52" i="2422"/>
  <c r="D55" i="2421"/>
  <c r="B91" i="2422"/>
  <c r="B94" i="2421"/>
  <c r="S94" i="2421" s="1"/>
  <c r="L105" i="2388" s="1"/>
  <c r="B99" i="2422"/>
  <c r="B102" i="2421"/>
  <c r="S102" i="2421" s="1"/>
  <c r="L113" i="2388" s="1"/>
  <c r="D81" i="2422"/>
  <c r="D84" i="2421"/>
  <c r="B20" i="2422"/>
  <c r="B23" i="2421"/>
  <c r="B52" i="2422"/>
  <c r="B55" i="2421"/>
  <c r="S55" i="2421" s="1"/>
  <c r="L66" i="2388" s="1"/>
  <c r="B60" i="2422"/>
  <c r="B63" i="2421"/>
  <c r="S63" i="2421" s="1"/>
  <c r="L74" i="2388" s="1"/>
  <c r="B84" i="2422"/>
  <c r="B87" i="2421"/>
  <c r="S87" i="2421" s="1"/>
  <c r="L98" i="2388" s="1"/>
  <c r="D18" i="2422"/>
  <c r="D21" i="2421"/>
  <c r="D60" i="2422"/>
  <c r="D63" i="2421"/>
  <c r="D92" i="2422"/>
  <c r="D95" i="2421"/>
  <c r="B29" i="2422"/>
  <c r="B32" i="2421"/>
  <c r="S32" i="2421" s="1"/>
  <c r="L43" i="2388" s="1"/>
  <c r="B37" i="2422"/>
  <c r="B40" i="2421"/>
  <c r="S40" i="2421" s="1"/>
  <c r="L51" i="2388" s="1"/>
  <c r="B53" i="2422"/>
  <c r="B56" i="2421"/>
  <c r="S56" i="2421" s="1"/>
  <c r="L67" i="2388" s="1"/>
  <c r="B69" i="2422"/>
  <c r="B72" i="2421"/>
  <c r="S72" i="2421" s="1"/>
  <c r="L83" i="2388" s="1"/>
  <c r="B109" i="2422"/>
  <c r="B112" i="2421"/>
  <c r="D28" i="2422"/>
  <c r="D31" i="2421"/>
  <c r="B54" i="2422"/>
  <c r="B57" i="2421"/>
  <c r="S57" i="2421" s="1"/>
  <c r="L68" i="2388" s="1"/>
  <c r="B102" i="2422"/>
  <c r="B105" i="2421"/>
  <c r="S105" i="2421" s="1"/>
  <c r="L116" i="2388" s="1"/>
  <c r="D89" i="2422"/>
  <c r="D92" i="2421"/>
  <c r="B55" i="2422"/>
  <c r="B58" i="2421"/>
  <c r="S58" i="2421" s="1"/>
  <c r="L69" i="2388" s="1"/>
  <c r="B71" i="2422"/>
  <c r="B74" i="2421"/>
  <c r="S74" i="2421" s="1"/>
  <c r="L85" i="2388" s="1"/>
  <c r="D24" i="2422"/>
  <c r="D27" i="2421"/>
  <c r="D63" i="2422"/>
  <c r="D66" i="2421"/>
  <c r="D66" i="2422"/>
  <c r="D69" i="2421"/>
  <c r="D64" i="2422"/>
  <c r="D67" i="2421"/>
  <c r="D98" i="2422"/>
  <c r="D101" i="2421"/>
  <c r="D103" i="2422"/>
  <c r="D106" i="2421"/>
  <c r="B16" i="2422"/>
  <c r="B19" i="2421"/>
  <c r="S19" i="2421" s="1"/>
  <c r="L30" i="2388" s="1"/>
  <c r="B32" i="2422"/>
  <c r="B35" i="2421"/>
  <c r="S35" i="2421" s="1"/>
  <c r="L46" i="2388" s="1"/>
  <c r="B40" i="2422"/>
  <c r="B43" i="2421"/>
  <c r="S43" i="2421" s="1"/>
  <c r="L54" i="2388" s="1"/>
  <c r="B96" i="2422"/>
  <c r="B99" i="2421"/>
  <c r="S99" i="2421" s="1"/>
  <c r="L110" i="2388" s="1"/>
  <c r="D34" i="2422"/>
  <c r="D37" i="2421"/>
  <c r="B57" i="2422"/>
  <c r="B60" i="2421"/>
  <c r="S60" i="2421" s="1"/>
  <c r="L71" i="2388" s="1"/>
  <c r="B73" i="2422"/>
  <c r="B76" i="2421"/>
  <c r="S76" i="2421" s="1"/>
  <c r="L87" i="2388" s="1"/>
  <c r="B81" i="2422"/>
  <c r="B84" i="2421"/>
  <c r="S84" i="2421" s="1"/>
  <c r="L95" i="2388" s="1"/>
  <c r="D62" i="2422"/>
  <c r="D65" i="2421"/>
  <c r="D22" i="2413"/>
  <c r="D21" i="2383" s="1"/>
  <c r="B34" i="2388"/>
  <c r="C34" i="2388"/>
  <c r="A29" i="2390"/>
  <c r="A27" i="2406" s="1"/>
  <c r="D38" i="2413"/>
  <c r="D37" i="2383" s="1"/>
  <c r="B50" i="2388"/>
  <c r="C50" i="2388"/>
  <c r="A45" i="2390"/>
  <c r="A43" i="2406" s="1"/>
  <c r="D45" i="2390"/>
  <c r="D54" i="2413"/>
  <c r="D53" i="2383" s="1"/>
  <c r="C66" i="2388"/>
  <c r="B66" i="2388"/>
  <c r="D61" i="2390"/>
  <c r="A61" i="2390"/>
  <c r="A59" i="2406" s="1"/>
  <c r="D70" i="2413"/>
  <c r="D69" i="2383" s="1"/>
  <c r="C82" i="2388"/>
  <c r="B82" i="2388"/>
  <c r="D86" i="2413"/>
  <c r="D85" i="2383" s="1"/>
  <c r="B98" i="2388"/>
  <c r="C98" i="2388"/>
  <c r="A93" i="2390"/>
  <c r="A91" i="2406" s="1"/>
  <c r="D93" i="2390"/>
  <c r="D102" i="2413"/>
  <c r="D101" i="2383" s="1"/>
  <c r="B114" i="2388"/>
  <c r="C114" i="2388"/>
  <c r="D109" i="2390"/>
  <c r="A109" i="2390"/>
  <c r="A107" i="2406" s="1"/>
  <c r="D19" i="2413"/>
  <c r="D18" i="2383" s="1"/>
  <c r="E16" i="2406"/>
  <c r="B31" i="2388"/>
  <c r="C31" i="2388"/>
  <c r="A26" i="2390"/>
  <c r="A24" i="2406" s="1"/>
  <c r="D35" i="2413"/>
  <c r="D34" i="2383" s="1"/>
  <c r="B47" i="2388"/>
  <c r="C47" i="2388"/>
  <c r="A42" i="2390"/>
  <c r="A40" i="2406" s="1"/>
  <c r="D42" i="2390"/>
  <c r="D51" i="2413"/>
  <c r="D50" i="2383" s="1"/>
  <c r="C63" i="2388"/>
  <c r="B63" i="2388"/>
  <c r="D58" i="2390"/>
  <c r="A58" i="2390"/>
  <c r="A56" i="2406" s="1"/>
  <c r="D67" i="2413"/>
  <c r="D66" i="2383" s="1"/>
  <c r="C79" i="2388"/>
  <c r="B79" i="2388"/>
  <c r="D74" i="2390"/>
  <c r="A74" i="2390"/>
  <c r="A72" i="2406" s="1"/>
  <c r="D83" i="2413"/>
  <c r="D82" i="2383" s="1"/>
  <c r="C95" i="2388"/>
  <c r="B95" i="2388"/>
  <c r="A90" i="2390"/>
  <c r="A88" i="2406" s="1"/>
  <c r="D90" i="2390"/>
  <c r="D99" i="2413"/>
  <c r="D98" i="2383" s="1"/>
  <c r="C111" i="2388"/>
  <c r="B111" i="2388"/>
  <c r="D106" i="2390"/>
  <c r="A106" i="2390"/>
  <c r="A104" i="2406" s="1"/>
  <c r="A19" i="2390"/>
  <c r="A17" i="2406" s="1"/>
  <c r="D28" i="2413"/>
  <c r="D27" i="2383" s="1"/>
  <c r="E25" i="2406"/>
  <c r="C40" i="2388"/>
  <c r="B40" i="2388"/>
  <c r="D35" i="2390"/>
  <c r="A35" i="2390"/>
  <c r="A33" i="2406" s="1"/>
  <c r="D44" i="2413"/>
  <c r="D43" i="2383" s="1"/>
  <c r="B56" i="2388"/>
  <c r="C56" i="2388"/>
  <c r="D47" i="2390"/>
  <c r="A47" i="2390"/>
  <c r="A45" i="2406" s="1"/>
  <c r="A51" i="2390"/>
  <c r="A49" i="2406" s="1"/>
  <c r="D51" i="2390"/>
  <c r="D60" i="2413"/>
  <c r="D59" i="2383" s="1"/>
  <c r="B72" i="2388"/>
  <c r="C72" i="2388"/>
  <c r="D67" i="2390"/>
  <c r="A67" i="2390"/>
  <c r="A65" i="2406" s="1"/>
  <c r="D76" i="2413"/>
  <c r="D75" i="2383" s="1"/>
  <c r="B88" i="2388"/>
  <c r="C88" i="2388"/>
  <c r="A83" i="2390"/>
  <c r="A81" i="2406" s="1"/>
  <c r="D83" i="2390"/>
  <c r="D92" i="2413"/>
  <c r="D91" i="2383" s="1"/>
  <c r="B104" i="2388"/>
  <c r="C104" i="2388"/>
  <c r="A99" i="2390"/>
  <c r="A97" i="2406" s="1"/>
  <c r="D99" i="2390"/>
  <c r="D108" i="2413"/>
  <c r="D107" i="2383" s="1"/>
  <c r="C120" i="2388"/>
  <c r="B120" i="2388"/>
  <c r="D25" i="2413"/>
  <c r="D24" i="2383" s="1"/>
  <c r="B37" i="2388"/>
  <c r="C37" i="2388"/>
  <c r="A32" i="2390"/>
  <c r="A30" i="2406" s="1"/>
  <c r="D41" i="2413"/>
  <c r="D40" i="2383" s="1"/>
  <c r="B53" i="2388"/>
  <c r="C53" i="2388"/>
  <c r="A48" i="2390"/>
  <c r="A46" i="2406" s="1"/>
  <c r="D48" i="2390"/>
  <c r="D57" i="2413"/>
  <c r="D56" i="2383" s="1"/>
  <c r="B69" i="2388"/>
  <c r="C69" i="2388"/>
  <c r="D60" i="2390"/>
  <c r="A60" i="2390"/>
  <c r="A58" i="2406" s="1"/>
  <c r="A64" i="2390"/>
  <c r="A62" i="2406" s="1"/>
  <c r="D64" i="2390"/>
  <c r="D73" i="2413"/>
  <c r="D72" i="2383" s="1"/>
  <c r="B85" i="2388"/>
  <c r="C85" i="2388"/>
  <c r="A80" i="2390"/>
  <c r="A78" i="2406" s="1"/>
  <c r="D80" i="2390"/>
  <c r="D89" i="2413"/>
  <c r="D88" i="2383" s="1"/>
  <c r="B101" i="2388"/>
  <c r="C101" i="2388"/>
  <c r="A92" i="2390"/>
  <c r="A90" i="2406" s="1"/>
  <c r="D92" i="2390"/>
  <c r="A96" i="2390"/>
  <c r="A94" i="2406" s="1"/>
  <c r="D96" i="2390"/>
  <c r="D105" i="2413"/>
  <c r="D104" i="2383" s="1"/>
  <c r="B117" i="2388"/>
  <c r="C117" i="2388"/>
  <c r="B26" i="2422"/>
  <c r="B29" i="2421"/>
  <c r="S29" i="2421" s="1"/>
  <c r="L40" i="2388" s="1"/>
  <c r="B42" i="2422"/>
  <c r="B45" i="2421"/>
  <c r="S45" i="2421" s="1"/>
  <c r="L56" i="2388" s="1"/>
  <c r="B82" i="2422"/>
  <c r="B85" i="2421"/>
  <c r="S85" i="2421" s="1"/>
  <c r="L96" i="2388" s="1"/>
  <c r="D30" i="2422"/>
  <c r="D33" i="2421"/>
  <c r="D42" i="2422"/>
  <c r="D45" i="2421"/>
  <c r="B19" i="2422"/>
  <c r="B22" i="2421"/>
  <c r="S22" i="2421" s="1"/>
  <c r="L33" i="2388" s="1"/>
  <c r="B67" i="2422"/>
  <c r="B70" i="2421"/>
  <c r="S70" i="2421" s="1"/>
  <c r="L81" i="2388" s="1"/>
  <c r="D83" i="2422"/>
  <c r="D86" i="2421"/>
  <c r="D106" i="2422"/>
  <c r="D109" i="2421"/>
  <c r="B44" i="2422"/>
  <c r="B47" i="2421"/>
  <c r="S47" i="2421" s="1"/>
  <c r="L58" i="2388" s="1"/>
  <c r="B92" i="2422"/>
  <c r="B95" i="2421"/>
  <c r="S95" i="2421" s="1"/>
  <c r="L106" i="2388" s="1"/>
  <c r="D69" i="2422"/>
  <c r="D72" i="2421"/>
  <c r="D101" i="2422"/>
  <c r="D104" i="2421"/>
  <c r="B45" i="2422"/>
  <c r="B48" i="2421"/>
  <c r="S48" i="2421" s="1"/>
  <c r="L59" i="2388" s="1"/>
  <c r="B85" i="2422"/>
  <c r="B88" i="2421"/>
  <c r="S88" i="2421" s="1"/>
  <c r="L99" i="2388" s="1"/>
  <c r="D91" i="2422"/>
  <c r="D94" i="2421"/>
  <c r="D100" i="2422"/>
  <c r="D103" i="2421"/>
  <c r="D88" i="2422"/>
  <c r="D91" i="2421"/>
  <c r="B22" i="2422"/>
  <c r="B25" i="2421"/>
  <c r="S25" i="2421" s="1"/>
  <c r="L36" i="2388" s="1"/>
  <c r="B30" i="2422"/>
  <c r="B33" i="2421"/>
  <c r="S33" i="2421" s="1"/>
  <c r="L44" i="2388" s="1"/>
  <c r="B62" i="2422"/>
  <c r="B65" i="2421"/>
  <c r="S65" i="2421" s="1"/>
  <c r="L76" i="2388" s="1"/>
  <c r="B86" i="2422"/>
  <c r="B89" i="2421"/>
  <c r="S89" i="2421" s="1"/>
  <c r="L100" i="2388" s="1"/>
  <c r="D36" i="2422"/>
  <c r="D39" i="2421"/>
  <c r="D65" i="2422"/>
  <c r="D68" i="2421"/>
  <c r="D78" i="2422"/>
  <c r="D81" i="2421"/>
  <c r="B47" i="2422"/>
  <c r="B50" i="2421"/>
  <c r="S50" i="2421" s="1"/>
  <c r="L61" i="2388" s="1"/>
  <c r="B63" i="2422"/>
  <c r="B66" i="2421"/>
  <c r="S66" i="2421" s="1"/>
  <c r="L77" i="2388" s="1"/>
  <c r="D77" i="2422"/>
  <c r="D80" i="2421"/>
  <c r="D95" i="2422"/>
  <c r="D98" i="2421"/>
  <c r="D97" i="2422"/>
  <c r="D100" i="2421"/>
  <c r="B72" i="2422"/>
  <c r="B75" i="2421"/>
  <c r="S75" i="2421" s="1"/>
  <c r="L86" i="2388" s="1"/>
  <c r="D31" i="2422"/>
  <c r="D34" i="2421"/>
  <c r="D53" i="2422"/>
  <c r="D56" i="2421"/>
  <c r="D108" i="2422"/>
  <c r="D111" i="2421"/>
  <c r="B33" i="2422"/>
  <c r="B36" i="2421"/>
  <c r="S36" i="2421" s="1"/>
  <c r="L47" i="2388" s="1"/>
  <c r="B89" i="2422"/>
  <c r="B92" i="2421"/>
  <c r="S92" i="2421" s="1"/>
  <c r="L103" i="2388" s="1"/>
  <c r="D32" i="2422"/>
  <c r="D35" i="2421"/>
  <c r="D39" i="2422"/>
  <c r="D42" i="2421"/>
  <c r="D41" i="2422"/>
  <c r="D44" i="2421"/>
  <c r="D43" i="2422"/>
  <c r="D46" i="2421"/>
  <c r="D107" i="2422"/>
  <c r="D110" i="2421"/>
  <c r="A17" i="2390"/>
  <c r="A15" i="2406" s="1"/>
  <c r="D26" i="2413"/>
  <c r="D25" i="2383" s="1"/>
  <c r="E23" i="2406"/>
  <c r="B38" i="2388"/>
  <c r="C38" i="2388"/>
  <c r="A33" i="2390"/>
  <c r="A31" i="2406" s="1"/>
  <c r="D42" i="2413"/>
  <c r="D41" i="2383" s="1"/>
  <c r="C54" i="2388"/>
  <c r="B54" i="2388"/>
  <c r="C58" i="2388"/>
  <c r="B58" i="2388"/>
  <c r="A49" i="2390"/>
  <c r="A47" i="2406" s="1"/>
  <c r="D49" i="2390"/>
  <c r="D58" i="2413"/>
  <c r="D57" i="2383" s="1"/>
  <c r="C70" i="2388"/>
  <c r="B70" i="2388"/>
  <c r="D65" i="2390"/>
  <c r="A65" i="2390"/>
  <c r="A63" i="2406" s="1"/>
  <c r="D74" i="2413"/>
  <c r="D73" i="2383" s="1"/>
  <c r="B86" i="2388"/>
  <c r="C86" i="2388"/>
  <c r="A77" i="2390"/>
  <c r="A75" i="2406" s="1"/>
  <c r="D77" i="2390"/>
  <c r="A81" i="2390"/>
  <c r="A79" i="2406" s="1"/>
  <c r="D81" i="2390"/>
  <c r="D90" i="2413"/>
  <c r="D89" i="2383" s="1"/>
  <c r="B102" i="2388"/>
  <c r="C102" i="2388"/>
  <c r="A97" i="2390"/>
  <c r="A95" i="2406" s="1"/>
  <c r="D97" i="2390"/>
  <c r="D106" i="2413"/>
  <c r="D105" i="2383" s="1"/>
  <c r="C118" i="2388"/>
  <c r="B118" i="2388"/>
  <c r="D23" i="2413"/>
  <c r="D22" i="2383" s="1"/>
  <c r="B35" i="2388"/>
  <c r="C35" i="2388"/>
  <c r="A30" i="2390"/>
  <c r="A28" i="2406" s="1"/>
  <c r="D39" i="2413"/>
  <c r="D38" i="2383" s="1"/>
  <c r="B51" i="2388"/>
  <c r="C51" i="2388"/>
  <c r="D46" i="2390"/>
  <c r="A46" i="2390"/>
  <c r="A44" i="2406" s="1"/>
  <c r="D55" i="2413"/>
  <c r="D54" i="2383" s="1"/>
  <c r="C67" i="2388"/>
  <c r="B67" i="2388"/>
  <c r="D62" i="2390"/>
  <c r="A62" i="2390"/>
  <c r="A60" i="2406" s="1"/>
  <c r="D71" i="2413"/>
  <c r="D70" i="2383" s="1"/>
  <c r="C83" i="2388"/>
  <c r="B83" i="2388"/>
  <c r="A78" i="2390"/>
  <c r="A76" i="2406" s="1"/>
  <c r="D78" i="2390"/>
  <c r="D87" i="2413"/>
  <c r="D86" i="2383" s="1"/>
  <c r="C99" i="2388"/>
  <c r="B99" i="2388"/>
  <c r="D94" i="2390"/>
  <c r="A94" i="2390"/>
  <c r="A92" i="2406" s="1"/>
  <c r="D103" i="2413"/>
  <c r="D102" i="2383" s="1"/>
  <c r="C115" i="2388"/>
  <c r="B115" i="2388"/>
  <c r="A110" i="2390"/>
  <c r="A108" i="2406" s="1"/>
  <c r="D110" i="2390"/>
  <c r="A23" i="2390"/>
  <c r="A21" i="2406" s="1"/>
  <c r="D32" i="2413"/>
  <c r="D31" i="2383" s="1"/>
  <c r="E29" i="2406"/>
  <c r="B44" i="2388"/>
  <c r="C44" i="2388"/>
  <c r="D39" i="2390"/>
  <c r="A39" i="2390"/>
  <c r="A37" i="2406" s="1"/>
  <c r="D48" i="2413"/>
  <c r="D47" i="2383" s="1"/>
  <c r="C60" i="2388"/>
  <c r="B60" i="2388"/>
  <c r="A55" i="2390"/>
  <c r="A53" i="2406" s="1"/>
  <c r="D55" i="2390"/>
  <c r="D64" i="2413"/>
  <c r="D63" i="2383" s="1"/>
  <c r="B76" i="2388"/>
  <c r="C76" i="2388"/>
  <c r="A71" i="2390"/>
  <c r="A69" i="2406" s="1"/>
  <c r="D71" i="2390"/>
  <c r="D80" i="2413"/>
  <c r="D79" i="2383" s="1"/>
  <c r="B92" i="2388"/>
  <c r="C92" i="2388"/>
  <c r="D87" i="2390"/>
  <c r="A87" i="2390"/>
  <c r="A85" i="2406" s="1"/>
  <c r="D96" i="2413"/>
  <c r="D95" i="2383" s="1"/>
  <c r="B108" i="2388"/>
  <c r="C108" i="2388"/>
  <c r="A103" i="2390"/>
  <c r="A101" i="2406" s="1"/>
  <c r="D103" i="2390"/>
  <c r="D112" i="2413"/>
  <c r="D111" i="2383" s="1"/>
  <c r="B124" i="2388"/>
  <c r="C124" i="2388"/>
  <c r="A20" i="2390"/>
  <c r="A18" i="2406" s="1"/>
  <c r="D29" i="2413"/>
  <c r="D28" i="2383" s="1"/>
  <c r="B41" i="2388"/>
  <c r="C41" i="2388"/>
  <c r="A36" i="2390"/>
  <c r="A34" i="2406" s="1"/>
  <c r="D36" i="2390"/>
  <c r="D45" i="2413"/>
  <c r="D44" i="2383" s="1"/>
  <c r="B57" i="2388"/>
  <c r="C57" i="2388"/>
  <c r="A52" i="2390"/>
  <c r="A50" i="2406" s="1"/>
  <c r="D52" i="2390"/>
  <c r="D61" i="2413"/>
  <c r="D60" i="2383" s="1"/>
  <c r="B73" i="2388"/>
  <c r="C73" i="2388"/>
  <c r="D68" i="2390"/>
  <c r="A68" i="2390"/>
  <c r="A66" i="2406" s="1"/>
  <c r="D77" i="2413"/>
  <c r="D76" i="2383" s="1"/>
  <c r="B89" i="2388"/>
  <c r="C89" i="2388"/>
  <c r="A84" i="2390"/>
  <c r="A82" i="2406" s="1"/>
  <c r="D84" i="2390"/>
  <c r="D93" i="2413"/>
  <c r="D92" i="2383" s="1"/>
  <c r="B105" i="2388"/>
  <c r="C105" i="2388"/>
  <c r="A100" i="2390"/>
  <c r="A98" i="2406" s="1"/>
  <c r="D100" i="2390"/>
  <c r="D109" i="2413"/>
  <c r="D108" i="2383" s="1"/>
  <c r="B121" i="2388"/>
  <c r="C121" i="2388"/>
  <c r="B34" i="2422"/>
  <c r="B37" i="2421"/>
  <c r="S37" i="2421" s="1"/>
  <c r="L48" i="2388" s="1"/>
  <c r="B74" i="2422"/>
  <c r="B77" i="2421"/>
  <c r="S77" i="2421" s="1"/>
  <c r="L88" i="2388" s="1"/>
  <c r="B106" i="2422"/>
  <c r="B109" i="2421"/>
  <c r="S109" i="2421" s="1"/>
  <c r="L120" i="2388" s="1"/>
  <c r="B35" i="2422"/>
  <c r="B38" i="2421"/>
  <c r="B43" i="2422"/>
  <c r="B46" i="2421"/>
  <c r="S46" i="2421" s="1"/>
  <c r="L57" i="2388" s="1"/>
  <c r="B51" i="2422"/>
  <c r="B54" i="2421"/>
  <c r="S54" i="2421" s="1"/>
  <c r="L65" i="2388" s="1"/>
  <c r="B83" i="2422"/>
  <c r="B86" i="2421"/>
  <c r="S86" i="2421" s="1"/>
  <c r="L97" i="2388" s="1"/>
  <c r="B107" i="2422"/>
  <c r="B110" i="2421"/>
  <c r="S110" i="2421" s="1"/>
  <c r="L121" i="2388" s="1"/>
  <c r="D49" i="2422"/>
  <c r="D52" i="2421"/>
  <c r="D72" i="2422"/>
  <c r="D75" i="2421"/>
  <c r="D93" i="2422"/>
  <c r="D96" i="2421"/>
  <c r="D104" i="2422"/>
  <c r="D107" i="2421"/>
  <c r="B28" i="2422"/>
  <c r="B31" i="2421"/>
  <c r="S31" i="2421" s="1"/>
  <c r="L42" i="2388" s="1"/>
  <c r="B68" i="2422"/>
  <c r="B71" i="2421"/>
  <c r="S71" i="2421" s="1"/>
  <c r="L82" i="2388" s="1"/>
  <c r="D17" i="2422"/>
  <c r="D20" i="2421"/>
  <c r="D19" i="2422"/>
  <c r="D22" i="2421"/>
  <c r="D29" i="2422"/>
  <c r="D32" i="2421"/>
  <c r="D50" i="2422"/>
  <c r="D53" i="2421"/>
  <c r="D70" i="2422"/>
  <c r="D73" i="2421"/>
  <c r="B77" i="2422"/>
  <c r="B80" i="2421"/>
  <c r="S80" i="2421" s="1"/>
  <c r="L91" i="2388" s="1"/>
  <c r="D57" i="2422"/>
  <c r="D60" i="2421"/>
  <c r="D80" i="2422"/>
  <c r="D83" i="2421"/>
  <c r="B78" i="2422"/>
  <c r="B81" i="2421"/>
  <c r="S81" i="2421" s="1"/>
  <c r="L92" i="2388" s="1"/>
  <c r="B94" i="2422"/>
  <c r="B97" i="2421"/>
  <c r="S97" i="2421" s="1"/>
  <c r="L108" i="2388" s="1"/>
  <c r="B110" i="2422"/>
  <c r="B113" i="2421"/>
  <c r="S113" i="2421" s="1"/>
  <c r="L124" i="2388" s="1"/>
  <c r="D23" i="2422"/>
  <c r="D26" i="2421"/>
  <c r="D25" i="2422"/>
  <c r="D28" i="2421"/>
  <c r="D27" i="2422"/>
  <c r="D30" i="2421"/>
  <c r="D46" i="2422"/>
  <c r="D49" i="2421"/>
  <c r="D58" i="2422"/>
  <c r="D61" i="2421"/>
  <c r="D67" i="2422"/>
  <c r="D70" i="2421"/>
  <c r="B39" i="2422"/>
  <c r="B42" i="2421"/>
  <c r="S42" i="2421" s="1"/>
  <c r="L53" i="2388" s="1"/>
  <c r="B79" i="2422"/>
  <c r="B82" i="2421"/>
  <c r="S82" i="2421" s="1"/>
  <c r="L93" i="2388" s="1"/>
  <c r="B95" i="2422"/>
  <c r="B98" i="2421"/>
  <c r="S98" i="2421" s="1"/>
  <c r="L109" i="2388" s="1"/>
  <c r="B103" i="2422"/>
  <c r="B106" i="2421"/>
  <c r="S106" i="2421" s="1"/>
  <c r="L117" i="2388" s="1"/>
  <c r="D45" i="2422"/>
  <c r="D48" i="2421"/>
  <c r="D87" i="2422"/>
  <c r="D90" i="2421"/>
  <c r="B80" i="2422"/>
  <c r="B83" i="2421"/>
  <c r="S83" i="2421" s="1"/>
  <c r="L94" i="2388" s="1"/>
  <c r="B104" i="2422"/>
  <c r="B107" i="2421"/>
  <c r="S107" i="2421" s="1"/>
  <c r="L118" i="2388" s="1"/>
  <c r="B49" i="2422"/>
  <c r="B52" i="2421"/>
  <c r="S52" i="2421" s="1"/>
  <c r="L63" i="2388" s="1"/>
  <c r="B97" i="2422"/>
  <c r="B100" i="2421"/>
  <c r="S100" i="2421" s="1"/>
  <c r="L111" i="2388" s="1"/>
  <c r="B105" i="2422"/>
  <c r="B108" i="2421"/>
  <c r="S108" i="2421" s="1"/>
  <c r="L119" i="2388" s="1"/>
  <c r="D21" i="2422"/>
  <c r="D24" i="2421"/>
  <c r="D75" i="2422"/>
  <c r="D78" i="2421"/>
  <c r="D71" i="2422"/>
  <c r="D74" i="2421"/>
  <c r="D74" i="2422"/>
  <c r="D77" i="2421"/>
  <c r="A21" i="2390"/>
  <c r="A19" i="2406" s="1"/>
  <c r="E27" i="2406"/>
  <c r="D30" i="2413"/>
  <c r="D29" i="2383" s="1"/>
  <c r="B42" i="2388"/>
  <c r="C42" i="2388"/>
  <c r="D37" i="2390"/>
  <c r="A37" i="2390"/>
  <c r="A35" i="2406" s="1"/>
  <c r="D46" i="2413"/>
  <c r="D45" i="2383" s="1"/>
  <c r="A53" i="2390"/>
  <c r="A51" i="2406" s="1"/>
  <c r="D53" i="2390"/>
  <c r="D62" i="2413"/>
  <c r="D61" i="2383" s="1"/>
  <c r="B74" i="2388"/>
  <c r="C74" i="2388"/>
  <c r="A69" i="2390"/>
  <c r="A67" i="2406" s="1"/>
  <c r="D69" i="2390"/>
  <c r="D78" i="2413"/>
  <c r="D77" i="2383" s="1"/>
  <c r="B90" i="2388"/>
  <c r="C90" i="2388"/>
  <c r="D85" i="2390"/>
  <c r="A85" i="2390"/>
  <c r="A83" i="2406" s="1"/>
  <c r="D94" i="2413"/>
  <c r="D93" i="2383" s="1"/>
  <c r="B106" i="2388"/>
  <c r="C106" i="2388"/>
  <c r="A101" i="2390"/>
  <c r="A99" i="2406" s="1"/>
  <c r="D101" i="2390"/>
  <c r="D110" i="2413"/>
  <c r="D109" i="2383" s="1"/>
  <c r="C122" i="2388"/>
  <c r="B122" i="2388"/>
  <c r="A18" i="2390"/>
  <c r="A16" i="2406" s="1"/>
  <c r="E24" i="2406"/>
  <c r="D27" i="2413"/>
  <c r="D26" i="2383" s="1"/>
  <c r="B39" i="2388"/>
  <c r="C39" i="2388"/>
  <c r="A34" i="2390"/>
  <c r="A32" i="2406" s="1"/>
  <c r="D34" i="2390"/>
  <c r="D43" i="2413"/>
  <c r="D42" i="2383" s="1"/>
  <c r="C55" i="2388"/>
  <c r="B55" i="2388"/>
  <c r="A50" i="2390"/>
  <c r="A48" i="2406" s="1"/>
  <c r="D50" i="2390"/>
  <c r="D59" i="2413"/>
  <c r="D58" i="2383" s="1"/>
  <c r="C71" i="2388"/>
  <c r="B71" i="2388"/>
  <c r="D66" i="2390"/>
  <c r="A66" i="2390"/>
  <c r="A64" i="2406" s="1"/>
  <c r="D75" i="2413"/>
  <c r="D74" i="2383" s="1"/>
  <c r="C87" i="2388"/>
  <c r="B87" i="2388"/>
  <c r="A82" i="2390"/>
  <c r="A80" i="2406" s="1"/>
  <c r="D82" i="2390"/>
  <c r="D91" i="2413"/>
  <c r="D90" i="2383" s="1"/>
  <c r="C103" i="2388"/>
  <c r="B103" i="2388"/>
  <c r="A98" i="2390"/>
  <c r="A96" i="2406" s="1"/>
  <c r="D98" i="2390"/>
  <c r="D107" i="2413"/>
  <c r="D106" i="2383" s="1"/>
  <c r="C119" i="2388"/>
  <c r="B119" i="2388"/>
  <c r="D20" i="2413"/>
  <c r="D19" i="2383" s="1"/>
  <c r="C32" i="2388"/>
  <c r="B32" i="2388"/>
  <c r="A27" i="2390"/>
  <c r="A25" i="2406" s="1"/>
  <c r="D36" i="2413"/>
  <c r="D35" i="2383" s="1"/>
  <c r="C48" i="2388"/>
  <c r="B48" i="2388"/>
  <c r="A43" i="2390"/>
  <c r="A41" i="2406" s="1"/>
  <c r="D43" i="2390"/>
  <c r="D52" i="2413"/>
  <c r="D51" i="2383" s="1"/>
  <c r="B64" i="2388"/>
  <c r="C64" i="2388"/>
  <c r="D59" i="2390"/>
  <c r="A59" i="2390"/>
  <c r="A57" i="2406" s="1"/>
  <c r="D68" i="2413"/>
  <c r="D67" i="2383" s="1"/>
  <c r="B80" i="2388"/>
  <c r="C80" i="2388"/>
  <c r="A75" i="2390"/>
  <c r="A73" i="2406" s="1"/>
  <c r="D75" i="2390"/>
  <c r="D84" i="2413"/>
  <c r="D83" i="2383" s="1"/>
  <c r="B96" i="2388"/>
  <c r="C96" i="2388"/>
  <c r="D100" i="2413"/>
  <c r="D99" i="2383" s="1"/>
  <c r="B112" i="2388"/>
  <c r="C112" i="2388"/>
  <c r="A107" i="2390"/>
  <c r="A105" i="2406" s="1"/>
  <c r="D107" i="2390"/>
  <c r="A24" i="2390"/>
  <c r="A22" i="2406" s="1"/>
  <c r="D33" i="2413"/>
  <c r="D32" i="2383" s="1"/>
  <c r="B45" i="2388"/>
  <c r="C45" i="2388"/>
  <c r="A40" i="2390"/>
  <c r="A38" i="2406" s="1"/>
  <c r="D40" i="2390"/>
  <c r="D49" i="2413"/>
  <c r="D48" i="2383" s="1"/>
  <c r="B61" i="2388"/>
  <c r="C61" i="2388"/>
  <c r="A56" i="2390"/>
  <c r="A54" i="2406" s="1"/>
  <c r="D56" i="2390"/>
  <c r="D65" i="2413"/>
  <c r="D64" i="2383" s="1"/>
  <c r="B77" i="2388"/>
  <c r="C77" i="2388"/>
  <c r="A72" i="2390"/>
  <c r="A70" i="2406" s="1"/>
  <c r="D72" i="2390"/>
  <c r="D81" i="2413"/>
  <c r="D80" i="2383" s="1"/>
  <c r="B93" i="2388"/>
  <c r="C93" i="2388"/>
  <c r="A88" i="2390"/>
  <c r="A86" i="2406" s="1"/>
  <c r="D88" i="2390"/>
  <c r="D97" i="2413"/>
  <c r="D96" i="2383" s="1"/>
  <c r="B109" i="2388"/>
  <c r="C109" i="2388"/>
  <c r="A104" i="2390"/>
  <c r="A102" i="2406" s="1"/>
  <c r="D104" i="2390"/>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I26" i="2420"/>
  <c r="AX26" i="2420"/>
  <c r="DI82" i="2420"/>
  <c r="AX82" i="2420"/>
  <c r="DI61" i="2420"/>
  <c r="AX61" i="2420"/>
  <c r="DI42" i="2420"/>
  <c r="AX42" i="2420"/>
  <c r="DI66" i="2420"/>
  <c r="AX66" i="2420"/>
  <c r="DI87" i="2420"/>
  <c r="AX87" i="2420"/>
  <c r="DI93" i="2420"/>
  <c r="AX93" i="2420"/>
  <c r="DI88" i="2420"/>
  <c r="AX88" i="2420"/>
  <c r="DI16" i="2420"/>
  <c r="AX16" i="2420"/>
  <c r="DI24" i="2420"/>
  <c r="AX24" i="2420"/>
  <c r="AX37" i="2420"/>
  <c r="DI37" i="2420"/>
  <c r="AX69" i="2420"/>
  <c r="DI69" i="2420"/>
  <c r="AX58" i="2420"/>
  <c r="DI58" i="2420"/>
  <c r="AX101" i="2420"/>
  <c r="DI101" i="2420"/>
  <c r="AX15" i="2420"/>
  <c r="DI15" i="2420"/>
  <c r="DI47" i="2420"/>
  <c r="AX47" i="2420"/>
  <c r="AX84" i="2420"/>
  <c r="DI84" i="2420"/>
  <c r="DI10" i="2420"/>
  <c r="AX10" i="2420"/>
  <c r="AX74" i="2420"/>
  <c r="DI74" i="2420"/>
  <c r="AX23" i="2420"/>
  <c r="DI23" i="2420"/>
  <c r="AX13" i="2420"/>
  <c r="DI13" i="2420"/>
  <c r="DI45" i="2420"/>
  <c r="AX45" i="2420"/>
  <c r="DI77" i="2420"/>
  <c r="AX77" i="2420"/>
  <c r="AX92" i="2420"/>
  <c r="DI92" i="2420"/>
  <c r="AX32" i="2420"/>
  <c r="DI32" i="2420"/>
  <c r="DI40" i="2420"/>
  <c r="AX40" i="2420"/>
  <c r="AX64" i="2420"/>
  <c r="DI64" i="2420"/>
  <c r="AX80" i="2420"/>
  <c r="DI80" i="2420"/>
  <c r="AX39" i="2420"/>
  <c r="DI39" i="2420"/>
  <c r="AX103" i="2420"/>
  <c r="DI103" i="2420"/>
  <c r="DI48" i="2420"/>
  <c r="AX48" i="2420"/>
  <c r="AX56" i="2420"/>
  <c r="DI56" i="2420"/>
  <c r="DI29" i="2420"/>
  <c r="AX29" i="2420"/>
  <c r="AX100" i="2420"/>
  <c r="DI100" i="2420"/>
  <c r="AX72" i="2420"/>
  <c r="DI72" i="2420"/>
  <c r="AX55" i="2420"/>
  <c r="DI55" i="2420"/>
  <c r="DI21" i="2420"/>
  <c r="AX21" i="2420"/>
  <c r="AX53" i="2420"/>
  <c r="DI53" i="2420"/>
  <c r="AX85" i="2420"/>
  <c r="DI85" i="2420"/>
  <c r="V13" i="2413"/>
  <c r="CX15" i="2413"/>
  <c r="W16" i="2413"/>
  <c r="W14" i="2413"/>
  <c r="W15" i="2413"/>
  <c r="S16" i="2413"/>
  <c r="U16" i="2413"/>
  <c r="U14" i="2413"/>
  <c r="CX16" i="2413"/>
  <c r="V16" i="2413"/>
  <c r="V14" i="2413"/>
  <c r="CY16" i="2413"/>
  <c r="B19" i="2345"/>
  <c r="E17" i="2406" l="1"/>
  <c r="E19" i="2406"/>
  <c r="V108" i="2390"/>
  <c r="U108" i="2390"/>
  <c r="V92" i="2390"/>
  <c r="U92" i="2390"/>
  <c r="V76" i="2390"/>
  <c r="U76" i="2390"/>
  <c r="V60" i="2390"/>
  <c r="U60" i="2390"/>
  <c r="V44" i="2390"/>
  <c r="U44" i="2390"/>
  <c r="U59" i="2390"/>
  <c r="V59" i="2390"/>
  <c r="V43" i="2390"/>
  <c r="U43" i="2390"/>
  <c r="U58" i="2390"/>
  <c r="V58" i="2390"/>
  <c r="U42" i="2390"/>
  <c r="V42" i="2390"/>
  <c r="V105" i="2390"/>
  <c r="U105" i="2390"/>
  <c r="U89" i="2390"/>
  <c r="V89" i="2390"/>
  <c r="V73" i="2390"/>
  <c r="U73" i="2390"/>
  <c r="V57" i="2390"/>
  <c r="U57" i="2390"/>
  <c r="U41" i="2390"/>
  <c r="V41" i="2390"/>
  <c r="U99" i="2390"/>
  <c r="V99" i="2390"/>
  <c r="U67" i="2390"/>
  <c r="V67" i="2390"/>
  <c r="V52" i="2390"/>
  <c r="U52" i="2390"/>
  <c r="V49" i="2390"/>
  <c r="U49" i="2390"/>
  <c r="U107" i="2390"/>
  <c r="V107" i="2390"/>
  <c r="U91" i="2390"/>
  <c r="V91" i="2390"/>
  <c r="U75" i="2390"/>
  <c r="V75" i="2390"/>
  <c r="U106" i="2390"/>
  <c r="V106" i="2390"/>
  <c r="V90" i="2390"/>
  <c r="U90" i="2390"/>
  <c r="U74" i="2390"/>
  <c r="V74" i="2390"/>
  <c r="U51" i="2390"/>
  <c r="V51" i="2390"/>
  <c r="U34" i="2390"/>
  <c r="V34" i="2390"/>
  <c r="V97" i="2390"/>
  <c r="U97" i="2390"/>
  <c r="V81" i="2390"/>
  <c r="U81" i="2390"/>
  <c r="V65" i="2390"/>
  <c r="U65" i="2390"/>
  <c r="V55" i="2390"/>
  <c r="U55" i="2390"/>
  <c r="U39" i="2390"/>
  <c r="V39" i="2390"/>
  <c r="U54" i="2390"/>
  <c r="V54" i="2390"/>
  <c r="V38" i="2390"/>
  <c r="U38" i="2390"/>
  <c r="V101" i="2390"/>
  <c r="U101" i="2390"/>
  <c r="U85" i="2390"/>
  <c r="V85" i="2390"/>
  <c r="V69" i="2390"/>
  <c r="U69" i="2390"/>
  <c r="V53" i="2390"/>
  <c r="U53" i="2390"/>
  <c r="V37" i="2390"/>
  <c r="U37" i="2390"/>
  <c r="V84" i="2390"/>
  <c r="U84" i="2390"/>
  <c r="V68" i="2390"/>
  <c r="U68" i="2390"/>
  <c r="V83" i="2390"/>
  <c r="U83" i="2390"/>
  <c r="V98" i="2390"/>
  <c r="U98" i="2390"/>
  <c r="V82" i="2390"/>
  <c r="U82" i="2390"/>
  <c r="U66" i="2390"/>
  <c r="V66" i="2390"/>
  <c r="V96" i="2390"/>
  <c r="U96" i="2390"/>
  <c r="V80" i="2390"/>
  <c r="U80" i="2390"/>
  <c r="V64" i="2390"/>
  <c r="U64" i="2390"/>
  <c r="V48" i="2390"/>
  <c r="U48" i="2390"/>
  <c r="V63" i="2390"/>
  <c r="U63" i="2390"/>
  <c r="V47" i="2390"/>
  <c r="U47" i="2390"/>
  <c r="U62" i="2390"/>
  <c r="V62" i="2390"/>
  <c r="V46" i="2390"/>
  <c r="U46" i="2390"/>
  <c r="V93" i="2390"/>
  <c r="U93" i="2390"/>
  <c r="V77" i="2390"/>
  <c r="U77" i="2390"/>
  <c r="U61" i="2390"/>
  <c r="V61" i="2390"/>
  <c r="V45" i="2390"/>
  <c r="U45" i="2390"/>
  <c r="V100" i="2390"/>
  <c r="U100" i="2390"/>
  <c r="U35" i="2390"/>
  <c r="V35" i="2390"/>
  <c r="U104" i="2390"/>
  <c r="V104" i="2390"/>
  <c r="V88" i="2390"/>
  <c r="U88" i="2390"/>
  <c r="V72" i="2390"/>
  <c r="U72" i="2390"/>
  <c r="V56" i="2390"/>
  <c r="U56" i="2390"/>
  <c r="V40" i="2390"/>
  <c r="U40" i="2390"/>
  <c r="V103" i="2390"/>
  <c r="U103" i="2390"/>
  <c r="U87" i="2390"/>
  <c r="V87" i="2390"/>
  <c r="V71" i="2390"/>
  <c r="U71" i="2390"/>
  <c r="V102" i="2390"/>
  <c r="U102" i="2390"/>
  <c r="V86" i="2390"/>
  <c r="U86" i="2390"/>
  <c r="U70" i="2390"/>
  <c r="V70" i="2390"/>
  <c r="V95" i="2390"/>
  <c r="U95" i="2390"/>
  <c r="V79" i="2390"/>
  <c r="U79" i="2390"/>
  <c r="U110" i="2390"/>
  <c r="V110" i="2390"/>
  <c r="U94" i="2390"/>
  <c r="V94" i="2390"/>
  <c r="V78" i="2390"/>
  <c r="U78" i="2390"/>
  <c r="U109" i="2390"/>
  <c r="V109" i="2390"/>
  <c r="V36" i="2390"/>
  <c r="U36" i="2390"/>
  <c r="U50" i="2390"/>
  <c r="V50" i="2390"/>
  <c r="E28" i="2383"/>
  <c r="E30" i="2406"/>
  <c r="E18" i="2406"/>
  <c r="V111" i="2390"/>
  <c r="U111" i="2390"/>
  <c r="E72" i="2406"/>
  <c r="E51" i="2406"/>
  <c r="BW62" i="2420"/>
  <c r="BZ62" i="2420"/>
  <c r="BW65" i="2420"/>
  <c r="BZ65" i="2420"/>
  <c r="BW27" i="2420"/>
  <c r="BZ27" i="2420"/>
  <c r="BZ45" i="2420"/>
  <c r="BW45" i="2420"/>
  <c r="BW86" i="2420"/>
  <c r="BZ86" i="2420"/>
  <c r="BW98" i="2420"/>
  <c r="BZ98" i="2420"/>
  <c r="BZ68" i="2420"/>
  <c r="BW68" i="2420"/>
  <c r="BZ52" i="2420"/>
  <c r="BW52" i="2420"/>
  <c r="BW59" i="2420"/>
  <c r="BZ59" i="2420"/>
  <c r="BW73" i="2420"/>
  <c r="BZ73" i="2420"/>
  <c r="BW23" i="2420"/>
  <c r="BZ23" i="2420"/>
  <c r="BZ84" i="2420"/>
  <c r="BW84" i="2420"/>
  <c r="BW25" i="2420"/>
  <c r="BZ25" i="2420"/>
  <c r="BW94" i="2420"/>
  <c r="BZ94" i="2420"/>
  <c r="BW55" i="2420"/>
  <c r="BZ55" i="2420"/>
  <c r="BZ53" i="2420"/>
  <c r="BW53" i="2420"/>
  <c r="BW24" i="2420"/>
  <c r="BZ24" i="2420"/>
  <c r="BW64" i="2420"/>
  <c r="BZ64" i="2420"/>
  <c r="BW82" i="2420"/>
  <c r="BZ82" i="2420"/>
  <c r="BW81" i="2420"/>
  <c r="BZ81" i="2420"/>
  <c r="BZ100" i="2420"/>
  <c r="BW100" i="2420"/>
  <c r="BW97" i="2420"/>
  <c r="BZ97" i="2420"/>
  <c r="BW58" i="2420"/>
  <c r="BZ58" i="2420"/>
  <c r="BW79" i="2420"/>
  <c r="BZ79" i="2420"/>
  <c r="BW89" i="2420"/>
  <c r="BZ89" i="2420"/>
  <c r="BZ20" i="2420"/>
  <c r="BW20" i="2420"/>
  <c r="BW42" i="2420"/>
  <c r="BZ42" i="2420"/>
  <c r="BW14" i="2420"/>
  <c r="BZ14" i="2420"/>
  <c r="BW46" i="2420"/>
  <c r="BZ46" i="2420"/>
  <c r="BW104" i="2420"/>
  <c r="BZ104" i="2420"/>
  <c r="BZ12" i="2420"/>
  <c r="BW12" i="2420"/>
  <c r="BW48" i="2420"/>
  <c r="BZ48" i="2420"/>
  <c r="BW90" i="2420"/>
  <c r="BZ90" i="2420"/>
  <c r="BW26" i="2420"/>
  <c r="BZ26" i="2420"/>
  <c r="BW41" i="2420"/>
  <c r="BZ41" i="2420"/>
  <c r="BZ36" i="2420"/>
  <c r="BW36" i="2420"/>
  <c r="BW99" i="2420"/>
  <c r="BZ99" i="2420"/>
  <c r="BW78" i="2420"/>
  <c r="BZ78" i="2420"/>
  <c r="BW57" i="2420"/>
  <c r="BZ57" i="2420"/>
  <c r="BZ37" i="2420"/>
  <c r="BW37" i="2420"/>
  <c r="BW40" i="2420"/>
  <c r="BZ40" i="2420"/>
  <c r="BW17" i="2420"/>
  <c r="BZ17" i="2420"/>
  <c r="BW18" i="2420"/>
  <c r="BZ18" i="2420"/>
  <c r="BW74" i="2420"/>
  <c r="BZ74" i="2420"/>
  <c r="BZ93" i="2420"/>
  <c r="BW93" i="2420"/>
  <c r="BW96" i="2420"/>
  <c r="BZ96" i="2420"/>
  <c r="BW50" i="2420"/>
  <c r="BZ50" i="2420"/>
  <c r="BW47" i="2420"/>
  <c r="BZ47" i="2420"/>
  <c r="BZ29" i="2420"/>
  <c r="BW29" i="2420"/>
  <c r="BW66" i="2420"/>
  <c r="BZ66" i="2420"/>
  <c r="BZ75" i="2420"/>
  <c r="BW75" i="2420"/>
  <c r="BZ35" i="2420"/>
  <c r="BW35" i="2420"/>
  <c r="BZ76" i="2420"/>
  <c r="BW76" i="2420"/>
  <c r="BW33" i="2420"/>
  <c r="BZ33" i="2420"/>
  <c r="BZ91" i="2420"/>
  <c r="BW91" i="2420"/>
  <c r="BW72" i="2420"/>
  <c r="BZ72" i="2420"/>
  <c r="BZ101" i="2420"/>
  <c r="BW101" i="2420"/>
  <c r="BW38" i="2420"/>
  <c r="BZ38" i="2420"/>
  <c r="BW87" i="2420"/>
  <c r="BZ87" i="2420"/>
  <c r="BW15" i="2420"/>
  <c r="BZ15" i="2420"/>
  <c r="BZ103" i="2420"/>
  <c r="BW103" i="2420"/>
  <c r="BW88" i="2420"/>
  <c r="BZ88" i="2420"/>
  <c r="BZ77" i="2420"/>
  <c r="BW77" i="2420"/>
  <c r="BZ83" i="2420"/>
  <c r="BW83" i="2420"/>
  <c r="BW102" i="2420"/>
  <c r="BZ102" i="2420"/>
  <c r="BZ63" i="2420"/>
  <c r="BW63" i="2420"/>
  <c r="BZ44" i="2420"/>
  <c r="BW44" i="2420"/>
  <c r="BW31" i="2420"/>
  <c r="BZ31" i="2420"/>
  <c r="BW34" i="2420"/>
  <c r="BZ34" i="2420"/>
  <c r="BZ21" i="2420"/>
  <c r="BW21" i="2420"/>
  <c r="BW56" i="2420"/>
  <c r="BZ56" i="2420"/>
  <c r="BZ11" i="2420"/>
  <c r="BW11" i="2420"/>
  <c r="BZ92" i="2420"/>
  <c r="BW92" i="2420"/>
  <c r="BW49" i="2420"/>
  <c r="BZ49" i="2420"/>
  <c r="RZ83" i="2421"/>
  <c r="BZ13" i="2420"/>
  <c r="BW13" i="2420"/>
  <c r="BZ85" i="2420"/>
  <c r="BW85" i="2420"/>
  <c r="BW16" i="2420"/>
  <c r="BZ16" i="2420"/>
  <c r="BW54" i="2420"/>
  <c r="BZ54" i="2420"/>
  <c r="BZ51" i="2420"/>
  <c r="BW51" i="2420"/>
  <c r="BZ60" i="2420"/>
  <c r="BW60" i="2420"/>
  <c r="BZ69" i="2420"/>
  <c r="BW69" i="2420"/>
  <c r="BZ61" i="2420"/>
  <c r="BW61" i="2420"/>
  <c r="BW71" i="2420"/>
  <c r="BZ71" i="2420"/>
  <c r="BZ19" i="2420"/>
  <c r="BW19" i="2420"/>
  <c r="BW95" i="2420"/>
  <c r="BZ95" i="2420"/>
  <c r="BW32" i="2420"/>
  <c r="BZ32" i="2420"/>
  <c r="BW70" i="2420"/>
  <c r="BZ70" i="2420"/>
  <c r="BW39" i="2420"/>
  <c r="BZ39" i="2420"/>
  <c r="BW30" i="2420"/>
  <c r="BZ30" i="2420"/>
  <c r="BW22" i="2420"/>
  <c r="BZ22" i="2420"/>
  <c r="BW80" i="2420"/>
  <c r="BZ80" i="2420"/>
  <c r="KI80" i="2422"/>
  <c r="BZ67" i="2420"/>
  <c r="BW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H96" i="2390"/>
  <c r="T96" i="2390"/>
  <c r="P96" i="2390"/>
  <c r="I96" i="2390"/>
  <c r="Y96" i="2390"/>
  <c r="M96" i="2390"/>
  <c r="L96" i="2390"/>
  <c r="K96" i="2390"/>
  <c r="Q96" i="2390"/>
  <c r="J96" i="2390"/>
  <c r="N96" i="2390"/>
  <c r="O96" i="2390"/>
  <c r="R96" i="2390"/>
  <c r="H80" i="2390"/>
  <c r="O80" i="2390"/>
  <c r="Y80" i="2390"/>
  <c r="Q80" i="2390"/>
  <c r="L80" i="2390"/>
  <c r="P80" i="2390"/>
  <c r="M80" i="2390"/>
  <c r="J80" i="2390"/>
  <c r="T80" i="2390"/>
  <c r="R80" i="2390"/>
  <c r="N80" i="2390"/>
  <c r="I80" i="2390"/>
  <c r="K80" i="2390"/>
  <c r="I64" i="2390"/>
  <c r="Q64" i="2390"/>
  <c r="R64" i="2390"/>
  <c r="O64" i="2390"/>
  <c r="L64" i="2390"/>
  <c r="N64" i="2390"/>
  <c r="Y64" i="2390"/>
  <c r="M64" i="2390"/>
  <c r="K64" i="2390"/>
  <c r="T64" i="2390"/>
  <c r="J64" i="2390"/>
  <c r="P64" i="2390"/>
  <c r="H64" i="2390"/>
  <c r="P48" i="2390"/>
  <c r="L48" i="2390"/>
  <c r="Y48" i="2390"/>
  <c r="O48" i="2390"/>
  <c r="M48" i="2390"/>
  <c r="Q48" i="2390"/>
  <c r="N48" i="2390"/>
  <c r="J48" i="2390"/>
  <c r="I48" i="2390"/>
  <c r="R48" i="2390"/>
  <c r="K48" i="2390"/>
  <c r="H48" i="2390"/>
  <c r="T48" i="2390"/>
  <c r="L63" i="2390"/>
  <c r="K63" i="2390"/>
  <c r="I63" i="2390"/>
  <c r="M63" i="2390"/>
  <c r="J63" i="2390"/>
  <c r="Q63" i="2390"/>
  <c r="H63" i="2390"/>
  <c r="R63" i="2390"/>
  <c r="O63" i="2390"/>
  <c r="N63" i="2390"/>
  <c r="T63" i="2390"/>
  <c r="P63" i="2390"/>
  <c r="Y63" i="2390"/>
  <c r="K47" i="2390"/>
  <c r="O47" i="2390"/>
  <c r="P47" i="2390"/>
  <c r="L47" i="2390"/>
  <c r="I47" i="2390"/>
  <c r="M47" i="2390"/>
  <c r="H47" i="2390"/>
  <c r="N47" i="2390"/>
  <c r="Q47" i="2390"/>
  <c r="Y47" i="2390"/>
  <c r="R47" i="2390"/>
  <c r="T47" i="2390"/>
  <c r="J47" i="2390"/>
  <c r="H62" i="2390"/>
  <c r="Q62" i="2390"/>
  <c r="T62" i="2390"/>
  <c r="I62" i="2390"/>
  <c r="J62" i="2390"/>
  <c r="Y62" i="2390"/>
  <c r="R62" i="2390"/>
  <c r="O62" i="2390"/>
  <c r="N62" i="2390"/>
  <c r="M62" i="2390"/>
  <c r="P62" i="2390"/>
  <c r="L62" i="2390"/>
  <c r="K62" i="2390"/>
  <c r="I46" i="2390"/>
  <c r="T46" i="2390"/>
  <c r="P46" i="2390"/>
  <c r="O46" i="2390"/>
  <c r="R46" i="2390"/>
  <c r="Q46" i="2390"/>
  <c r="J46" i="2390"/>
  <c r="Y46" i="2390"/>
  <c r="L46" i="2390"/>
  <c r="M46" i="2390"/>
  <c r="K46" i="2390"/>
  <c r="N46" i="2390"/>
  <c r="H46" i="2390"/>
  <c r="N93" i="2390"/>
  <c r="J93" i="2390"/>
  <c r="I93" i="2390"/>
  <c r="O93" i="2390"/>
  <c r="R93" i="2390"/>
  <c r="Q93" i="2390"/>
  <c r="H93" i="2390"/>
  <c r="P93" i="2390"/>
  <c r="M93" i="2390"/>
  <c r="T93" i="2390"/>
  <c r="Y93" i="2390"/>
  <c r="L93" i="2390"/>
  <c r="K93" i="2390"/>
  <c r="H77" i="2390"/>
  <c r="R77" i="2390"/>
  <c r="N77" i="2390"/>
  <c r="O77" i="2390"/>
  <c r="M77" i="2390"/>
  <c r="K77" i="2390"/>
  <c r="Q77" i="2390"/>
  <c r="Y77" i="2390"/>
  <c r="T77" i="2390"/>
  <c r="L77" i="2390"/>
  <c r="J77" i="2390"/>
  <c r="I77" i="2390"/>
  <c r="P77" i="2390"/>
  <c r="N61" i="2390"/>
  <c r="I61" i="2390"/>
  <c r="O61" i="2390"/>
  <c r="M61" i="2390"/>
  <c r="J61" i="2390"/>
  <c r="Q61" i="2390"/>
  <c r="L61" i="2390"/>
  <c r="H61" i="2390"/>
  <c r="T61" i="2390"/>
  <c r="R61" i="2390"/>
  <c r="K61" i="2390"/>
  <c r="Y61" i="2390"/>
  <c r="P61" i="2390"/>
  <c r="K45" i="2390"/>
  <c r="T45" i="2390"/>
  <c r="M45" i="2390"/>
  <c r="I45" i="2390"/>
  <c r="L45" i="2390"/>
  <c r="H45" i="2390"/>
  <c r="R45" i="2390"/>
  <c r="P45" i="2390"/>
  <c r="Y45" i="2390"/>
  <c r="O45" i="2390"/>
  <c r="J45" i="2390"/>
  <c r="Q45" i="2390"/>
  <c r="N45" i="2390"/>
  <c r="H100" i="2390"/>
  <c r="M100" i="2390"/>
  <c r="R100" i="2390"/>
  <c r="O100" i="2390"/>
  <c r="K100" i="2390"/>
  <c r="J100" i="2390"/>
  <c r="T100" i="2390"/>
  <c r="Q100" i="2390"/>
  <c r="Y100" i="2390"/>
  <c r="N100" i="2390"/>
  <c r="L100" i="2390"/>
  <c r="I100" i="2390"/>
  <c r="P100" i="2390"/>
  <c r="N52" i="2390"/>
  <c r="I52" i="2390"/>
  <c r="K52" i="2390"/>
  <c r="R52" i="2390"/>
  <c r="J52" i="2390"/>
  <c r="T52" i="2390"/>
  <c r="M52" i="2390"/>
  <c r="L52" i="2390"/>
  <c r="O52" i="2390"/>
  <c r="Q52" i="2390"/>
  <c r="Y52" i="2390"/>
  <c r="P52" i="2390"/>
  <c r="H52" i="2390"/>
  <c r="I35" i="2390"/>
  <c r="R35" i="2390"/>
  <c r="Q35" i="2390"/>
  <c r="K35" i="2390"/>
  <c r="J35" i="2390"/>
  <c r="H35" i="2390"/>
  <c r="M35" i="2390"/>
  <c r="P35" i="2390"/>
  <c r="O35" i="2390"/>
  <c r="L35" i="2390"/>
  <c r="T35" i="2390"/>
  <c r="N35" i="2390"/>
  <c r="Y35" i="2390"/>
  <c r="Y49" i="2390"/>
  <c r="K49" i="2390"/>
  <c r="I49" i="2390"/>
  <c r="T49" i="2390"/>
  <c r="O49" i="2390"/>
  <c r="M49" i="2390"/>
  <c r="H49" i="2390"/>
  <c r="R49" i="2390"/>
  <c r="N49" i="2390"/>
  <c r="L49" i="2390"/>
  <c r="P49" i="2390"/>
  <c r="J49" i="2390"/>
  <c r="Q49" i="2390"/>
  <c r="H104" i="2390"/>
  <c r="N104" i="2390"/>
  <c r="T104" i="2390"/>
  <c r="Q104" i="2390"/>
  <c r="Y104" i="2390"/>
  <c r="O104" i="2390"/>
  <c r="L104" i="2390"/>
  <c r="I104" i="2390"/>
  <c r="P104" i="2390"/>
  <c r="M104" i="2390"/>
  <c r="K104" i="2390"/>
  <c r="R104" i="2390"/>
  <c r="J104" i="2390"/>
  <c r="H88" i="2390"/>
  <c r="P88" i="2390"/>
  <c r="Q88" i="2390"/>
  <c r="M88" i="2390"/>
  <c r="O88" i="2390"/>
  <c r="T88" i="2390"/>
  <c r="J88" i="2390"/>
  <c r="N88" i="2390"/>
  <c r="I88" i="2390"/>
  <c r="R88" i="2390"/>
  <c r="L88" i="2390"/>
  <c r="K88" i="2390"/>
  <c r="Y88" i="2390"/>
  <c r="I72" i="2390"/>
  <c r="R72" i="2390"/>
  <c r="P72" i="2390"/>
  <c r="J72" i="2390"/>
  <c r="T72" i="2390"/>
  <c r="O72" i="2390"/>
  <c r="N72" i="2390"/>
  <c r="L72" i="2390"/>
  <c r="Y72" i="2390"/>
  <c r="H72" i="2390"/>
  <c r="K72" i="2390"/>
  <c r="M72" i="2390"/>
  <c r="Q72" i="2390"/>
  <c r="N56" i="2390"/>
  <c r="O56" i="2390"/>
  <c r="R56" i="2390"/>
  <c r="T56" i="2390"/>
  <c r="Q56" i="2390"/>
  <c r="J56" i="2390"/>
  <c r="L56" i="2390"/>
  <c r="K56" i="2390"/>
  <c r="I56" i="2390"/>
  <c r="M56" i="2390"/>
  <c r="Y56" i="2390"/>
  <c r="P56" i="2390"/>
  <c r="H56" i="2390"/>
  <c r="N40" i="2390"/>
  <c r="P40" i="2390"/>
  <c r="T40" i="2390"/>
  <c r="K40" i="2390"/>
  <c r="J40" i="2390"/>
  <c r="H40" i="2390"/>
  <c r="Y40" i="2390"/>
  <c r="R40" i="2390"/>
  <c r="I40" i="2390"/>
  <c r="M40" i="2390"/>
  <c r="L40" i="2390"/>
  <c r="O40" i="2390"/>
  <c r="Q40" i="2390"/>
  <c r="K55" i="2390"/>
  <c r="T55" i="2390"/>
  <c r="O55" i="2390"/>
  <c r="N55" i="2390"/>
  <c r="L55" i="2390"/>
  <c r="M55" i="2390"/>
  <c r="H55" i="2390"/>
  <c r="Q55" i="2390"/>
  <c r="P55" i="2390"/>
  <c r="J55" i="2390"/>
  <c r="I55" i="2390"/>
  <c r="Y55" i="2390"/>
  <c r="R55" i="2390"/>
  <c r="H39" i="2390"/>
  <c r="O39" i="2390"/>
  <c r="K39" i="2390"/>
  <c r="J39" i="2390"/>
  <c r="M39" i="2390"/>
  <c r="Y39" i="2390"/>
  <c r="Q39" i="2390"/>
  <c r="I39" i="2390"/>
  <c r="R39" i="2390"/>
  <c r="L39" i="2390"/>
  <c r="P39" i="2390"/>
  <c r="T39" i="2390"/>
  <c r="N39" i="2390"/>
  <c r="I54" i="2390"/>
  <c r="M54" i="2390"/>
  <c r="K54" i="2390"/>
  <c r="Y54" i="2390"/>
  <c r="H54" i="2390"/>
  <c r="L54" i="2390"/>
  <c r="O54" i="2390"/>
  <c r="J54" i="2390"/>
  <c r="T54" i="2390"/>
  <c r="P54" i="2390"/>
  <c r="R54" i="2390"/>
  <c r="N54" i="2390"/>
  <c r="Q54" i="2390"/>
  <c r="K38" i="2390"/>
  <c r="J38" i="2390"/>
  <c r="R38" i="2390"/>
  <c r="T38" i="2390"/>
  <c r="H38" i="2390"/>
  <c r="M38" i="2390"/>
  <c r="P38" i="2390"/>
  <c r="O38" i="2390"/>
  <c r="N38" i="2390"/>
  <c r="Y38" i="2390"/>
  <c r="Q38" i="2390"/>
  <c r="L38" i="2390"/>
  <c r="I38" i="2390"/>
  <c r="H101" i="2390"/>
  <c r="O101" i="2390"/>
  <c r="Q101" i="2390"/>
  <c r="N101" i="2390"/>
  <c r="M101" i="2390"/>
  <c r="R101" i="2390"/>
  <c r="J101" i="2390"/>
  <c r="I101" i="2390"/>
  <c r="T101" i="2390"/>
  <c r="Y101" i="2390"/>
  <c r="L101" i="2390"/>
  <c r="K101" i="2390"/>
  <c r="P101" i="2390"/>
  <c r="H85" i="2390"/>
  <c r="T85" i="2390"/>
  <c r="J85" i="2390"/>
  <c r="R85" i="2390"/>
  <c r="L85" i="2390"/>
  <c r="K85" i="2390"/>
  <c r="M85" i="2390"/>
  <c r="Y85" i="2390"/>
  <c r="O85" i="2390"/>
  <c r="N85" i="2390"/>
  <c r="Q85" i="2390"/>
  <c r="P85" i="2390"/>
  <c r="I85" i="2390"/>
  <c r="P69" i="2390"/>
  <c r="Y69" i="2390"/>
  <c r="O69" i="2390"/>
  <c r="Q69" i="2390"/>
  <c r="H69" i="2390"/>
  <c r="I69" i="2390"/>
  <c r="R69" i="2390"/>
  <c r="T69" i="2390"/>
  <c r="M69" i="2390"/>
  <c r="K69" i="2390"/>
  <c r="L69" i="2390"/>
  <c r="N69" i="2390"/>
  <c r="J69" i="2390"/>
  <c r="H53" i="2390"/>
  <c r="Q53" i="2390"/>
  <c r="O53" i="2390"/>
  <c r="R53" i="2390"/>
  <c r="Y53" i="2390"/>
  <c r="P53" i="2390"/>
  <c r="J53" i="2390"/>
  <c r="M53" i="2390"/>
  <c r="I53" i="2390"/>
  <c r="K53" i="2390"/>
  <c r="T53" i="2390"/>
  <c r="L53" i="2390"/>
  <c r="N53" i="2390"/>
  <c r="N37" i="2390"/>
  <c r="Q37" i="2390"/>
  <c r="H37" i="2390"/>
  <c r="R37" i="2390"/>
  <c r="O37" i="2390"/>
  <c r="P37" i="2390"/>
  <c r="I37" i="2390"/>
  <c r="L37" i="2390"/>
  <c r="Y37" i="2390"/>
  <c r="T37" i="2390"/>
  <c r="J37" i="2390"/>
  <c r="K37" i="2390"/>
  <c r="M37" i="2390"/>
  <c r="H108" i="2390"/>
  <c r="O108" i="2390"/>
  <c r="R108" i="2390"/>
  <c r="K108" i="2390"/>
  <c r="J108" i="2390"/>
  <c r="T108" i="2390"/>
  <c r="Q108" i="2390"/>
  <c r="Y108" i="2390"/>
  <c r="N108" i="2390"/>
  <c r="M108" i="2390"/>
  <c r="L108" i="2390"/>
  <c r="I108" i="2390"/>
  <c r="P108" i="2390"/>
  <c r="P92" i="2390"/>
  <c r="I92" i="2390"/>
  <c r="H92" i="2390"/>
  <c r="O92" i="2390"/>
  <c r="Q92" i="2390"/>
  <c r="M92" i="2390"/>
  <c r="N92" i="2390"/>
  <c r="Y92" i="2390"/>
  <c r="J92" i="2390"/>
  <c r="T92" i="2390"/>
  <c r="R92" i="2390"/>
  <c r="L92" i="2390"/>
  <c r="K92" i="2390"/>
  <c r="H76" i="2390"/>
  <c r="M76" i="2390"/>
  <c r="Y76" i="2390"/>
  <c r="O76" i="2390"/>
  <c r="J76" i="2390"/>
  <c r="T76" i="2390"/>
  <c r="R76" i="2390"/>
  <c r="N76" i="2390"/>
  <c r="I76" i="2390"/>
  <c r="K76" i="2390"/>
  <c r="P76" i="2390"/>
  <c r="Q76" i="2390"/>
  <c r="L76" i="2390"/>
  <c r="J60" i="2390"/>
  <c r="I60" i="2390"/>
  <c r="Q60" i="2390"/>
  <c r="K60" i="2390"/>
  <c r="T60" i="2390"/>
  <c r="M60" i="2390"/>
  <c r="L60" i="2390"/>
  <c r="R60" i="2390"/>
  <c r="O60" i="2390"/>
  <c r="H60" i="2390"/>
  <c r="P60" i="2390"/>
  <c r="N60" i="2390"/>
  <c r="Y60" i="2390"/>
  <c r="I44" i="2390"/>
  <c r="O44" i="2390"/>
  <c r="H44" i="2390"/>
  <c r="P44" i="2390"/>
  <c r="Q44" i="2390"/>
  <c r="R44" i="2390"/>
  <c r="Y44" i="2390"/>
  <c r="K44" i="2390"/>
  <c r="L44" i="2390"/>
  <c r="N44" i="2390"/>
  <c r="T44" i="2390"/>
  <c r="J44" i="2390"/>
  <c r="M44" i="2390"/>
  <c r="I59" i="2390"/>
  <c r="K59" i="2390"/>
  <c r="Q59" i="2390"/>
  <c r="T59" i="2390"/>
  <c r="J59" i="2390"/>
  <c r="N59" i="2390"/>
  <c r="H59" i="2390"/>
  <c r="R59" i="2390"/>
  <c r="L59" i="2390"/>
  <c r="P59" i="2390"/>
  <c r="Y59" i="2390"/>
  <c r="O59" i="2390"/>
  <c r="M59" i="2390"/>
  <c r="P43" i="2390"/>
  <c r="Y43" i="2390"/>
  <c r="M43" i="2390"/>
  <c r="Q43" i="2390"/>
  <c r="T43" i="2390"/>
  <c r="R43" i="2390"/>
  <c r="K43" i="2390"/>
  <c r="N43" i="2390"/>
  <c r="I43" i="2390"/>
  <c r="O43" i="2390"/>
  <c r="L43" i="2390"/>
  <c r="H43" i="2390"/>
  <c r="J43" i="2390"/>
  <c r="N58" i="2390"/>
  <c r="P58" i="2390"/>
  <c r="Q58" i="2390"/>
  <c r="T58" i="2390"/>
  <c r="K58" i="2390"/>
  <c r="Y58" i="2390"/>
  <c r="J58" i="2390"/>
  <c r="H58" i="2390"/>
  <c r="R58" i="2390"/>
  <c r="I58" i="2390"/>
  <c r="M58" i="2390"/>
  <c r="L58" i="2390"/>
  <c r="O58" i="2390"/>
  <c r="I42" i="2390"/>
  <c r="Q42" i="2390"/>
  <c r="T42" i="2390"/>
  <c r="K42" i="2390"/>
  <c r="R42" i="2390"/>
  <c r="M42" i="2390"/>
  <c r="L42" i="2390"/>
  <c r="J42" i="2390"/>
  <c r="H42" i="2390"/>
  <c r="P42" i="2390"/>
  <c r="N42" i="2390"/>
  <c r="Y42" i="2390"/>
  <c r="O42" i="2390"/>
  <c r="H105" i="2390"/>
  <c r="N105" i="2390"/>
  <c r="M105" i="2390"/>
  <c r="J105" i="2390"/>
  <c r="K105" i="2390"/>
  <c r="Q105" i="2390"/>
  <c r="Y105" i="2390"/>
  <c r="O105" i="2390"/>
  <c r="T105" i="2390"/>
  <c r="I105" i="2390"/>
  <c r="P105" i="2390"/>
  <c r="L105" i="2390"/>
  <c r="R105" i="2390"/>
  <c r="P89" i="2390"/>
  <c r="N89" i="2390"/>
  <c r="L89" i="2390"/>
  <c r="J89" i="2390"/>
  <c r="Y89" i="2390"/>
  <c r="M89" i="2390"/>
  <c r="O89" i="2390"/>
  <c r="Q89" i="2390"/>
  <c r="T89" i="2390"/>
  <c r="R89" i="2390"/>
  <c r="H89" i="2390"/>
  <c r="K89" i="2390"/>
  <c r="I89" i="2390"/>
  <c r="T73" i="2390"/>
  <c r="H73" i="2390"/>
  <c r="I73" i="2390"/>
  <c r="K73" i="2390"/>
  <c r="N73" i="2390"/>
  <c r="Q73" i="2390"/>
  <c r="J73" i="2390"/>
  <c r="O73" i="2390"/>
  <c r="L73" i="2390"/>
  <c r="M73" i="2390"/>
  <c r="Y73" i="2390"/>
  <c r="R73" i="2390"/>
  <c r="P73" i="2390"/>
  <c r="H57" i="2390"/>
  <c r="O57" i="2390"/>
  <c r="J57" i="2390"/>
  <c r="K57" i="2390"/>
  <c r="Y57" i="2390"/>
  <c r="M57" i="2390"/>
  <c r="I57" i="2390"/>
  <c r="L57" i="2390"/>
  <c r="R57" i="2390"/>
  <c r="T57" i="2390"/>
  <c r="Q57" i="2390"/>
  <c r="N57" i="2390"/>
  <c r="P57" i="2390"/>
  <c r="I41" i="2390"/>
  <c r="Q41" i="2390"/>
  <c r="K41" i="2390"/>
  <c r="T41" i="2390"/>
  <c r="O41" i="2390"/>
  <c r="P41" i="2390"/>
  <c r="M41" i="2390"/>
  <c r="L41" i="2390"/>
  <c r="Y41" i="2390"/>
  <c r="J41" i="2390"/>
  <c r="H41" i="2390"/>
  <c r="R41" i="2390"/>
  <c r="N41" i="2390"/>
  <c r="H84" i="2390"/>
  <c r="T84" i="2390"/>
  <c r="Q84" i="2390"/>
  <c r="P84" i="2390"/>
  <c r="J84" i="2390"/>
  <c r="O84" i="2390"/>
  <c r="Y84" i="2390"/>
  <c r="R84" i="2390"/>
  <c r="N84" i="2390"/>
  <c r="M84" i="2390"/>
  <c r="L84" i="2390"/>
  <c r="I84" i="2390"/>
  <c r="K84" i="2390"/>
  <c r="I68" i="2390"/>
  <c r="Q68" i="2390"/>
  <c r="Y68" i="2390"/>
  <c r="J68" i="2390"/>
  <c r="O68" i="2390"/>
  <c r="N68" i="2390"/>
  <c r="K68" i="2390"/>
  <c r="M68" i="2390"/>
  <c r="T68" i="2390"/>
  <c r="P68" i="2390"/>
  <c r="R68" i="2390"/>
  <c r="H68" i="2390"/>
  <c r="L68" i="2390"/>
  <c r="H36" i="2390"/>
  <c r="Y36" i="2390"/>
  <c r="Q36" i="2390"/>
  <c r="O36" i="2390"/>
  <c r="M36" i="2390"/>
  <c r="K36" i="2390"/>
  <c r="I36" i="2390"/>
  <c r="N36" i="2390"/>
  <c r="T36" i="2390"/>
  <c r="J36" i="2390"/>
  <c r="R36" i="2390"/>
  <c r="L36" i="2390"/>
  <c r="P36" i="2390"/>
  <c r="K51" i="2390"/>
  <c r="N51" i="2390"/>
  <c r="O51" i="2390"/>
  <c r="M51" i="2390"/>
  <c r="T51" i="2390"/>
  <c r="H51" i="2390"/>
  <c r="Q51" i="2390"/>
  <c r="L51" i="2390"/>
  <c r="J51" i="2390"/>
  <c r="P51" i="2390"/>
  <c r="R51" i="2390"/>
  <c r="Y51" i="2390"/>
  <c r="I51" i="2390"/>
  <c r="H50" i="2390"/>
  <c r="L50" i="2390"/>
  <c r="Y50" i="2390"/>
  <c r="R50" i="2390"/>
  <c r="O50" i="2390"/>
  <c r="Q50" i="2390"/>
  <c r="P50" i="2390"/>
  <c r="J50" i="2390"/>
  <c r="N50" i="2390"/>
  <c r="K50" i="2390"/>
  <c r="I50" i="2390"/>
  <c r="T50" i="2390"/>
  <c r="M50" i="2390"/>
  <c r="I34" i="2390"/>
  <c r="N34" i="2390"/>
  <c r="Y34" i="2390"/>
  <c r="O34" i="2390"/>
  <c r="J34" i="2390"/>
  <c r="L34" i="2390"/>
  <c r="R34" i="2390"/>
  <c r="H34" i="2390"/>
  <c r="T34" i="2390"/>
  <c r="M34" i="2390"/>
  <c r="P34" i="2390"/>
  <c r="K34" i="2390"/>
  <c r="Q34" i="2390"/>
  <c r="I97" i="2390"/>
  <c r="J97" i="2390"/>
  <c r="T97" i="2390"/>
  <c r="P97" i="2390"/>
  <c r="Q97" i="2390"/>
  <c r="K97" i="2390"/>
  <c r="R97" i="2390"/>
  <c r="Y97" i="2390"/>
  <c r="N97" i="2390"/>
  <c r="O97" i="2390"/>
  <c r="H97" i="2390"/>
  <c r="M97" i="2390"/>
  <c r="L97" i="2390"/>
  <c r="H81" i="2390"/>
  <c r="R81" i="2390"/>
  <c r="N81" i="2390"/>
  <c r="K81" i="2390"/>
  <c r="T81" i="2390"/>
  <c r="L81" i="2390"/>
  <c r="J81" i="2390"/>
  <c r="O81" i="2390"/>
  <c r="M81" i="2390"/>
  <c r="Q81" i="2390"/>
  <c r="Y81" i="2390"/>
  <c r="I81" i="2390"/>
  <c r="P81" i="2390"/>
  <c r="H65" i="2390"/>
  <c r="R65" i="2390"/>
  <c r="Q65" i="2390"/>
  <c r="I65" i="2390"/>
  <c r="O65" i="2390"/>
  <c r="Y65" i="2390"/>
  <c r="K65" i="2390"/>
  <c r="P65" i="2390"/>
  <c r="L65" i="2390"/>
  <c r="M65" i="2390"/>
  <c r="T65" i="2390"/>
  <c r="N65" i="2390"/>
  <c r="J65" i="2390"/>
  <c r="L111" i="2390"/>
  <c r="K111" i="2390"/>
  <c r="R111" i="2390"/>
  <c r="J111" i="2390"/>
  <c r="I111" i="2390"/>
  <c r="Q111" i="2390"/>
  <c r="O111" i="2390"/>
  <c r="P111" i="2390"/>
  <c r="T111" i="2390"/>
  <c r="H111" i="2390"/>
  <c r="M111" i="2390"/>
  <c r="N111" i="2390"/>
  <c r="Y111" i="2390"/>
  <c r="H95" i="2390"/>
  <c r="I95" i="2390"/>
  <c r="Y95" i="2390"/>
  <c r="J95" i="2390"/>
  <c r="R95" i="2390"/>
  <c r="P95" i="2390"/>
  <c r="O95" i="2390"/>
  <c r="L95" i="2390"/>
  <c r="T95" i="2390"/>
  <c r="Q95" i="2390"/>
  <c r="N95" i="2390"/>
  <c r="M95" i="2390"/>
  <c r="K95" i="2390"/>
  <c r="I79" i="2390"/>
  <c r="J79" i="2390"/>
  <c r="O79" i="2390"/>
  <c r="K79" i="2390"/>
  <c r="P79" i="2390"/>
  <c r="L79" i="2390"/>
  <c r="N79" i="2390"/>
  <c r="Y79" i="2390"/>
  <c r="R79" i="2390"/>
  <c r="Q79" i="2390"/>
  <c r="T79" i="2390"/>
  <c r="M79" i="2390"/>
  <c r="H79" i="2390"/>
  <c r="N110" i="2390"/>
  <c r="O110" i="2390"/>
  <c r="M110" i="2390"/>
  <c r="Y110" i="2390"/>
  <c r="P110" i="2390"/>
  <c r="L110" i="2390"/>
  <c r="K110" i="2390"/>
  <c r="T110" i="2390"/>
  <c r="H110" i="2390"/>
  <c r="I110" i="2390"/>
  <c r="Q110" i="2390"/>
  <c r="R110" i="2390"/>
  <c r="J110" i="2390"/>
  <c r="H94" i="2390"/>
  <c r="I94" i="2390"/>
  <c r="R94" i="2390"/>
  <c r="P94" i="2390"/>
  <c r="J94" i="2390"/>
  <c r="Y94" i="2390"/>
  <c r="Q94" i="2390"/>
  <c r="M94" i="2390"/>
  <c r="T94" i="2390"/>
  <c r="O94" i="2390"/>
  <c r="L94" i="2390"/>
  <c r="K94" i="2390"/>
  <c r="N94" i="2390"/>
  <c r="M78" i="2390"/>
  <c r="I78" i="2390"/>
  <c r="J78" i="2390"/>
  <c r="Y78" i="2390"/>
  <c r="R78" i="2390"/>
  <c r="H78" i="2390"/>
  <c r="O78" i="2390"/>
  <c r="N78" i="2390"/>
  <c r="L78" i="2390"/>
  <c r="K78" i="2390"/>
  <c r="Q78" i="2390"/>
  <c r="P78" i="2390"/>
  <c r="T78" i="2390"/>
  <c r="H109" i="2390"/>
  <c r="J109" i="2390"/>
  <c r="R109" i="2390"/>
  <c r="O109" i="2390"/>
  <c r="T109" i="2390"/>
  <c r="I109" i="2390"/>
  <c r="L109" i="2390"/>
  <c r="K109" i="2390"/>
  <c r="M109" i="2390"/>
  <c r="Y109" i="2390"/>
  <c r="N109" i="2390"/>
  <c r="Q109" i="2390"/>
  <c r="P109" i="2390"/>
  <c r="L103" i="2390"/>
  <c r="R103" i="2390"/>
  <c r="K103" i="2390"/>
  <c r="J103" i="2390"/>
  <c r="Q103" i="2390"/>
  <c r="O103" i="2390"/>
  <c r="N103" i="2390"/>
  <c r="I103" i="2390"/>
  <c r="M103" i="2390"/>
  <c r="T103" i="2390"/>
  <c r="Y103" i="2390"/>
  <c r="P103" i="2390"/>
  <c r="H103" i="2390"/>
  <c r="H87" i="2390"/>
  <c r="O87" i="2390"/>
  <c r="N87" i="2390"/>
  <c r="K87" i="2390"/>
  <c r="Q87" i="2390"/>
  <c r="Y87" i="2390"/>
  <c r="M87" i="2390"/>
  <c r="J87" i="2390"/>
  <c r="P87" i="2390"/>
  <c r="L87" i="2390"/>
  <c r="R87" i="2390"/>
  <c r="I87" i="2390"/>
  <c r="T87" i="2390"/>
  <c r="O71" i="2390"/>
  <c r="J71" i="2390"/>
  <c r="Q71" i="2390"/>
  <c r="R71" i="2390"/>
  <c r="I71" i="2390"/>
  <c r="Y71" i="2390"/>
  <c r="N71" i="2390"/>
  <c r="M71" i="2390"/>
  <c r="L71" i="2390"/>
  <c r="H71" i="2390"/>
  <c r="P71" i="2390"/>
  <c r="K71" i="2390"/>
  <c r="T71" i="2390"/>
  <c r="N102" i="2390"/>
  <c r="T102" i="2390"/>
  <c r="Q102" i="2390"/>
  <c r="Y102" i="2390"/>
  <c r="M102" i="2390"/>
  <c r="L102" i="2390"/>
  <c r="I102" i="2390"/>
  <c r="H102" i="2390"/>
  <c r="P102" i="2390"/>
  <c r="K102" i="2390"/>
  <c r="R102" i="2390"/>
  <c r="O102" i="2390"/>
  <c r="J102" i="2390"/>
  <c r="N86" i="2390"/>
  <c r="R86" i="2390"/>
  <c r="Y86" i="2390"/>
  <c r="K86" i="2390"/>
  <c r="I86" i="2390"/>
  <c r="M86" i="2390"/>
  <c r="L86" i="2390"/>
  <c r="T86" i="2390"/>
  <c r="P86" i="2390"/>
  <c r="O86" i="2390"/>
  <c r="J86" i="2390"/>
  <c r="Q86" i="2390"/>
  <c r="H86" i="2390"/>
  <c r="O70" i="2390"/>
  <c r="Y70" i="2390"/>
  <c r="P70" i="2390"/>
  <c r="H70" i="2390"/>
  <c r="Q70" i="2390"/>
  <c r="I70" i="2390"/>
  <c r="T70" i="2390"/>
  <c r="J70" i="2390"/>
  <c r="K70" i="2390"/>
  <c r="R70" i="2390"/>
  <c r="N70" i="2390"/>
  <c r="M70" i="2390"/>
  <c r="L70" i="2390"/>
  <c r="L107" i="2390"/>
  <c r="K107" i="2390"/>
  <c r="N107" i="2390"/>
  <c r="I107" i="2390"/>
  <c r="O107" i="2390"/>
  <c r="J107" i="2390"/>
  <c r="R107" i="2390"/>
  <c r="Y107" i="2390"/>
  <c r="P107" i="2390"/>
  <c r="H107" i="2390"/>
  <c r="T107" i="2390"/>
  <c r="Q107" i="2390"/>
  <c r="M107" i="2390"/>
  <c r="H91" i="2390"/>
  <c r="P91" i="2390"/>
  <c r="O91" i="2390"/>
  <c r="N91" i="2390"/>
  <c r="Q91" i="2390"/>
  <c r="R91" i="2390"/>
  <c r="Y91" i="2390"/>
  <c r="I91" i="2390"/>
  <c r="L91" i="2390"/>
  <c r="J91" i="2390"/>
  <c r="M91" i="2390"/>
  <c r="T91" i="2390"/>
  <c r="K91" i="2390"/>
  <c r="I75" i="2390"/>
  <c r="O75" i="2390"/>
  <c r="J75" i="2390"/>
  <c r="L75" i="2390"/>
  <c r="N75" i="2390"/>
  <c r="Y75" i="2390"/>
  <c r="T75" i="2390"/>
  <c r="M75" i="2390"/>
  <c r="H75" i="2390"/>
  <c r="R75" i="2390"/>
  <c r="K75" i="2390"/>
  <c r="P75" i="2390"/>
  <c r="Q75" i="2390"/>
  <c r="N106" i="2390"/>
  <c r="T106" i="2390"/>
  <c r="M106" i="2390"/>
  <c r="Q106" i="2390"/>
  <c r="P106" i="2390"/>
  <c r="I106" i="2390"/>
  <c r="H106" i="2390"/>
  <c r="O106" i="2390"/>
  <c r="K106" i="2390"/>
  <c r="J106" i="2390"/>
  <c r="Y106" i="2390"/>
  <c r="L106" i="2390"/>
  <c r="R106" i="2390"/>
  <c r="P90" i="2390"/>
  <c r="Q90" i="2390"/>
  <c r="L90" i="2390"/>
  <c r="M90" i="2390"/>
  <c r="H90" i="2390"/>
  <c r="O90" i="2390"/>
  <c r="Y90" i="2390"/>
  <c r="R90" i="2390"/>
  <c r="I90" i="2390"/>
  <c r="N90" i="2390"/>
  <c r="T90" i="2390"/>
  <c r="K90" i="2390"/>
  <c r="J90" i="2390"/>
  <c r="K74" i="2390"/>
  <c r="I74" i="2390"/>
  <c r="T74" i="2390"/>
  <c r="L74" i="2390"/>
  <c r="N74" i="2390"/>
  <c r="Q74" i="2390"/>
  <c r="P74" i="2390"/>
  <c r="O74" i="2390"/>
  <c r="J74" i="2390"/>
  <c r="M74" i="2390"/>
  <c r="Y74" i="2390"/>
  <c r="R74" i="2390"/>
  <c r="H74" i="2390"/>
  <c r="K99" i="2390"/>
  <c r="J99" i="2390"/>
  <c r="N99" i="2390"/>
  <c r="I99" i="2390"/>
  <c r="Q99" i="2390"/>
  <c r="O99" i="2390"/>
  <c r="R99" i="2390"/>
  <c r="Y99" i="2390"/>
  <c r="P99" i="2390"/>
  <c r="H99" i="2390"/>
  <c r="T99" i="2390"/>
  <c r="M99" i="2390"/>
  <c r="L99" i="2390"/>
  <c r="J83" i="2390"/>
  <c r="Y83" i="2390"/>
  <c r="O83" i="2390"/>
  <c r="R83" i="2390"/>
  <c r="N83" i="2390"/>
  <c r="I83" i="2390"/>
  <c r="K83" i="2390"/>
  <c r="Q83" i="2390"/>
  <c r="L83" i="2390"/>
  <c r="T83" i="2390"/>
  <c r="H83" i="2390"/>
  <c r="M83" i="2390"/>
  <c r="P83" i="2390"/>
  <c r="I67" i="2390"/>
  <c r="O67" i="2390"/>
  <c r="N67" i="2390"/>
  <c r="M67" i="2390"/>
  <c r="K67" i="2390"/>
  <c r="Y67" i="2390"/>
  <c r="J67" i="2390"/>
  <c r="L67" i="2390"/>
  <c r="T67" i="2390"/>
  <c r="H67" i="2390"/>
  <c r="R67" i="2390"/>
  <c r="P67" i="2390"/>
  <c r="Q67" i="2390"/>
  <c r="N98" i="2390"/>
  <c r="P98" i="2390"/>
  <c r="J98" i="2390"/>
  <c r="I98" i="2390"/>
  <c r="O98" i="2390"/>
  <c r="T98" i="2390"/>
  <c r="Y98" i="2390"/>
  <c r="Q98" i="2390"/>
  <c r="M98" i="2390"/>
  <c r="L98" i="2390"/>
  <c r="K98" i="2390"/>
  <c r="H98" i="2390"/>
  <c r="R98" i="2390"/>
  <c r="N82" i="2390"/>
  <c r="I82" i="2390"/>
  <c r="Y82" i="2390"/>
  <c r="P82" i="2390"/>
  <c r="L82" i="2390"/>
  <c r="O82" i="2390"/>
  <c r="M82" i="2390"/>
  <c r="K82" i="2390"/>
  <c r="T82" i="2390"/>
  <c r="Q82" i="2390"/>
  <c r="J82" i="2390"/>
  <c r="R82" i="2390"/>
  <c r="H82" i="2390"/>
  <c r="I66" i="2390"/>
  <c r="Q66" i="2390"/>
  <c r="J66" i="2390"/>
  <c r="Y66" i="2390"/>
  <c r="M66" i="2390"/>
  <c r="H66" i="2390"/>
  <c r="R66" i="2390"/>
  <c r="N66" i="2390"/>
  <c r="L66" i="2390"/>
  <c r="K66" i="2390"/>
  <c r="T66" i="2390"/>
  <c r="P66" i="2390"/>
  <c r="O66" i="2390"/>
  <c r="K94" i="2406"/>
  <c r="O94" i="2406"/>
  <c r="H94" i="2406"/>
  <c r="L94" i="2406"/>
  <c r="P94" i="2406"/>
  <c r="I94" i="2406"/>
  <c r="M94" i="2406"/>
  <c r="J94" i="2406"/>
  <c r="N94" i="2406"/>
  <c r="H78" i="2406"/>
  <c r="N78" i="2406"/>
  <c r="P78" i="2406"/>
  <c r="L78" i="2406"/>
  <c r="K78" i="2406"/>
  <c r="I78" i="2406"/>
  <c r="M78" i="2406"/>
  <c r="O78" i="2406"/>
  <c r="J78" i="2406"/>
  <c r="H62" i="2406"/>
  <c r="N62" i="2406"/>
  <c r="P62" i="2406"/>
  <c r="M62" i="2406"/>
  <c r="I62" i="2406"/>
  <c r="J62" i="2406"/>
  <c r="O62" i="2406"/>
  <c r="L62" i="2406"/>
  <c r="K62" i="2406"/>
  <c r="H46" i="2406"/>
  <c r="N46" i="2406"/>
  <c r="P46" i="2406"/>
  <c r="K46" i="2406"/>
  <c r="I46" i="2406"/>
  <c r="J46" i="2406"/>
  <c r="M46" i="2406"/>
  <c r="L46" i="2406"/>
  <c r="O46" i="2406"/>
  <c r="L109" i="2406"/>
  <c r="J109" i="2406"/>
  <c r="P109" i="2406"/>
  <c r="K109" i="2406"/>
  <c r="M109" i="2406"/>
  <c r="H109" i="2406"/>
  <c r="O109" i="2406"/>
  <c r="N109" i="2406"/>
  <c r="I109" i="2406"/>
  <c r="L93" i="2406"/>
  <c r="K93" i="2406"/>
  <c r="M93" i="2406"/>
  <c r="H93" i="2406"/>
  <c r="O93" i="2406"/>
  <c r="J93" i="2406"/>
  <c r="P93" i="2406"/>
  <c r="N93" i="2406"/>
  <c r="I93" i="2406"/>
  <c r="H77" i="2406"/>
  <c r="M77" i="2406"/>
  <c r="P77" i="2406"/>
  <c r="O77" i="2406"/>
  <c r="L77" i="2406"/>
  <c r="J77" i="2406"/>
  <c r="I77" i="2406"/>
  <c r="N77" i="2406"/>
  <c r="K77" i="2406"/>
  <c r="H61" i="2406"/>
  <c r="M61" i="2406"/>
  <c r="P61" i="2406"/>
  <c r="J61" i="2406"/>
  <c r="K61" i="2406"/>
  <c r="I61" i="2406"/>
  <c r="O61" i="2406"/>
  <c r="L61" i="2406"/>
  <c r="N61" i="2406"/>
  <c r="H45" i="2406"/>
  <c r="M45" i="2406"/>
  <c r="P45" i="2406"/>
  <c r="O45" i="2406"/>
  <c r="N45" i="2406"/>
  <c r="J45" i="2406"/>
  <c r="I45" i="2406"/>
  <c r="K45" i="2406"/>
  <c r="L45" i="2406"/>
  <c r="N108" i="2406"/>
  <c r="M108" i="2406"/>
  <c r="O108" i="2406"/>
  <c r="J108" i="2406"/>
  <c r="L108" i="2406"/>
  <c r="K108" i="2406"/>
  <c r="P108" i="2406"/>
  <c r="I108" i="2406"/>
  <c r="H108" i="2406"/>
  <c r="N92" i="2406"/>
  <c r="O92" i="2406"/>
  <c r="J92" i="2406"/>
  <c r="L92" i="2406"/>
  <c r="M92" i="2406"/>
  <c r="K92" i="2406"/>
  <c r="I92" i="2406"/>
  <c r="P92" i="2406"/>
  <c r="H92" i="2406"/>
  <c r="M76" i="2406"/>
  <c r="J76" i="2406"/>
  <c r="K76" i="2406"/>
  <c r="L76" i="2406"/>
  <c r="I76" i="2406"/>
  <c r="O76" i="2406"/>
  <c r="N76" i="2406"/>
  <c r="H76" i="2406"/>
  <c r="P76" i="2406"/>
  <c r="M60" i="2406"/>
  <c r="J60" i="2406"/>
  <c r="K60" i="2406"/>
  <c r="L60" i="2406"/>
  <c r="I60" i="2406"/>
  <c r="O60" i="2406"/>
  <c r="H60" i="2406"/>
  <c r="P60" i="2406"/>
  <c r="N60" i="2406"/>
  <c r="M44" i="2406"/>
  <c r="J44" i="2406"/>
  <c r="K44" i="2406"/>
  <c r="L44" i="2406"/>
  <c r="I44" i="2406"/>
  <c r="O44" i="2406"/>
  <c r="P44" i="2406"/>
  <c r="N44" i="2406"/>
  <c r="H44" i="2406"/>
  <c r="H107" i="2406"/>
  <c r="O107" i="2406"/>
  <c r="L107" i="2406"/>
  <c r="N107" i="2406"/>
  <c r="P107" i="2406"/>
  <c r="M107" i="2406"/>
  <c r="I107" i="2406"/>
  <c r="K107" i="2406"/>
  <c r="J107" i="2406"/>
  <c r="H91" i="2406"/>
  <c r="L91" i="2406"/>
  <c r="N91" i="2406"/>
  <c r="O91" i="2406"/>
  <c r="J91" i="2406"/>
  <c r="P91" i="2406"/>
  <c r="M91" i="2406"/>
  <c r="I91" i="2406"/>
  <c r="K91" i="2406"/>
  <c r="I75" i="2406"/>
  <c r="N75" i="2406"/>
  <c r="O75" i="2406"/>
  <c r="L75" i="2406"/>
  <c r="K75" i="2406"/>
  <c r="P75" i="2406"/>
  <c r="M75" i="2406"/>
  <c r="J75" i="2406"/>
  <c r="H75" i="2406"/>
  <c r="I59" i="2406"/>
  <c r="N59" i="2406"/>
  <c r="O59" i="2406"/>
  <c r="L59" i="2406"/>
  <c r="J59" i="2406"/>
  <c r="K59" i="2406"/>
  <c r="H59" i="2406"/>
  <c r="M59" i="2406"/>
  <c r="P59" i="2406"/>
  <c r="I43" i="2406"/>
  <c r="N43" i="2406"/>
  <c r="O43" i="2406"/>
  <c r="L43" i="2406"/>
  <c r="K43" i="2406"/>
  <c r="J43" i="2406"/>
  <c r="M43" i="2406"/>
  <c r="H43" i="2406"/>
  <c r="P43" i="2406"/>
  <c r="I98" i="2406"/>
  <c r="M98" i="2406"/>
  <c r="J98" i="2406"/>
  <c r="N98" i="2406"/>
  <c r="K98" i="2406"/>
  <c r="O98" i="2406"/>
  <c r="H98" i="2406"/>
  <c r="L98" i="2406"/>
  <c r="P98" i="2406"/>
  <c r="K50" i="2406"/>
  <c r="P50" i="2406"/>
  <c r="M50" i="2406"/>
  <c r="H50" i="2406"/>
  <c r="N50" i="2406"/>
  <c r="I50" i="2406"/>
  <c r="O50" i="2406"/>
  <c r="J50" i="2406"/>
  <c r="L50" i="2406"/>
  <c r="L33" i="2406"/>
  <c r="M33" i="2406"/>
  <c r="H33" i="2406"/>
  <c r="O33" i="2406"/>
  <c r="J33" i="2406"/>
  <c r="P33" i="2406"/>
  <c r="K33" i="2406"/>
  <c r="I33" i="2406"/>
  <c r="N33" i="2406"/>
  <c r="I47" i="2406"/>
  <c r="N47" i="2406"/>
  <c r="J47" i="2406"/>
  <c r="M47" i="2406"/>
  <c r="O47" i="2406"/>
  <c r="H47" i="2406"/>
  <c r="L47" i="2406"/>
  <c r="K47" i="2406"/>
  <c r="P47" i="2406"/>
  <c r="J102" i="2406"/>
  <c r="L102" i="2406"/>
  <c r="P102" i="2406"/>
  <c r="H102" i="2406"/>
  <c r="M102" i="2406"/>
  <c r="I102" i="2406"/>
  <c r="N102" i="2406"/>
  <c r="K102" i="2406"/>
  <c r="O102" i="2406"/>
  <c r="K86" i="2406"/>
  <c r="O86" i="2406"/>
  <c r="H86" i="2406"/>
  <c r="L86" i="2406"/>
  <c r="P86" i="2406"/>
  <c r="I86" i="2406"/>
  <c r="M86" i="2406"/>
  <c r="J86" i="2406"/>
  <c r="N86" i="2406"/>
  <c r="I70" i="2406"/>
  <c r="H70" i="2406"/>
  <c r="K70" i="2406"/>
  <c r="M70" i="2406"/>
  <c r="O70" i="2406"/>
  <c r="J70" i="2406"/>
  <c r="P70" i="2406"/>
  <c r="L70" i="2406"/>
  <c r="N70" i="2406"/>
  <c r="I54" i="2406"/>
  <c r="H54" i="2406"/>
  <c r="K54" i="2406"/>
  <c r="M54" i="2406"/>
  <c r="O54" i="2406"/>
  <c r="J54" i="2406"/>
  <c r="P54" i="2406"/>
  <c r="L54" i="2406"/>
  <c r="N54" i="2406"/>
  <c r="J38" i="2406"/>
  <c r="I38" i="2406"/>
  <c r="O38" i="2406"/>
  <c r="K38" i="2406"/>
  <c r="P38" i="2406"/>
  <c r="M38" i="2406"/>
  <c r="H38" i="2406"/>
  <c r="N38" i="2406"/>
  <c r="L38" i="2406"/>
  <c r="L101" i="2406"/>
  <c r="K101" i="2406"/>
  <c r="M101" i="2406"/>
  <c r="H101" i="2406"/>
  <c r="O101" i="2406"/>
  <c r="J101" i="2406"/>
  <c r="P101" i="2406"/>
  <c r="I101" i="2406"/>
  <c r="N101" i="2406"/>
  <c r="L85" i="2406"/>
  <c r="K85" i="2406"/>
  <c r="M85" i="2406"/>
  <c r="H85" i="2406"/>
  <c r="O85" i="2406"/>
  <c r="J85" i="2406"/>
  <c r="P85" i="2406"/>
  <c r="I85" i="2406"/>
  <c r="N85" i="2406"/>
  <c r="I69" i="2406"/>
  <c r="J69" i="2406"/>
  <c r="K69" i="2406"/>
  <c r="O69" i="2406"/>
  <c r="H69" i="2406"/>
  <c r="L69" i="2406"/>
  <c r="M69" i="2406"/>
  <c r="N69" i="2406"/>
  <c r="P69" i="2406"/>
  <c r="I53" i="2406"/>
  <c r="J53" i="2406"/>
  <c r="K53" i="2406"/>
  <c r="O53" i="2406"/>
  <c r="H53" i="2406"/>
  <c r="P53" i="2406"/>
  <c r="L53" i="2406"/>
  <c r="N53" i="2406"/>
  <c r="M53" i="2406"/>
  <c r="H37" i="2406"/>
  <c r="O37" i="2406"/>
  <c r="N37" i="2406"/>
  <c r="I37" i="2406"/>
  <c r="M37" i="2406"/>
  <c r="K37" i="2406"/>
  <c r="P37" i="2406"/>
  <c r="J37" i="2406"/>
  <c r="L37" i="2406"/>
  <c r="N100" i="2406"/>
  <c r="O100" i="2406"/>
  <c r="J100" i="2406"/>
  <c r="L100" i="2406"/>
  <c r="M100" i="2406"/>
  <c r="K100" i="2406"/>
  <c r="I100" i="2406"/>
  <c r="P100" i="2406"/>
  <c r="H100" i="2406"/>
  <c r="N84" i="2406"/>
  <c r="O84" i="2406"/>
  <c r="J84" i="2406"/>
  <c r="L84" i="2406"/>
  <c r="M84" i="2406"/>
  <c r="K84" i="2406"/>
  <c r="I84" i="2406"/>
  <c r="P84" i="2406"/>
  <c r="H84" i="2406"/>
  <c r="M68" i="2406"/>
  <c r="J68" i="2406"/>
  <c r="I68" i="2406"/>
  <c r="O68" i="2406"/>
  <c r="N68" i="2406"/>
  <c r="L68" i="2406"/>
  <c r="H68" i="2406"/>
  <c r="P68" i="2406"/>
  <c r="K68" i="2406"/>
  <c r="O52" i="2406"/>
  <c r="J52" i="2406"/>
  <c r="L52" i="2406"/>
  <c r="K52" i="2406"/>
  <c r="N52" i="2406"/>
  <c r="M52" i="2406"/>
  <c r="I52" i="2406"/>
  <c r="H52" i="2406"/>
  <c r="P52" i="2406"/>
  <c r="M36" i="2406"/>
  <c r="J36" i="2406"/>
  <c r="L36" i="2406"/>
  <c r="O36" i="2406"/>
  <c r="H36" i="2406"/>
  <c r="P36" i="2406"/>
  <c r="I36" i="2406"/>
  <c r="N36" i="2406"/>
  <c r="K36" i="2406"/>
  <c r="H99" i="2406"/>
  <c r="L99" i="2406"/>
  <c r="N99" i="2406"/>
  <c r="O99" i="2406"/>
  <c r="J99" i="2406"/>
  <c r="P99" i="2406"/>
  <c r="M99" i="2406"/>
  <c r="K99" i="2406"/>
  <c r="I99" i="2406"/>
  <c r="H83" i="2406"/>
  <c r="L83" i="2406"/>
  <c r="N83" i="2406"/>
  <c r="O83" i="2406"/>
  <c r="J83" i="2406"/>
  <c r="P83" i="2406"/>
  <c r="M83" i="2406"/>
  <c r="K83" i="2406"/>
  <c r="I83" i="2406"/>
  <c r="L67" i="2406"/>
  <c r="M67" i="2406"/>
  <c r="I67" i="2406"/>
  <c r="N67" i="2406"/>
  <c r="K67" i="2406"/>
  <c r="O67" i="2406"/>
  <c r="H67" i="2406"/>
  <c r="P67" i="2406"/>
  <c r="J67" i="2406"/>
  <c r="L51" i="2406"/>
  <c r="M51" i="2406"/>
  <c r="I51" i="2406"/>
  <c r="N51" i="2406"/>
  <c r="K51" i="2406"/>
  <c r="O51" i="2406"/>
  <c r="P51" i="2406"/>
  <c r="J51" i="2406"/>
  <c r="H51" i="2406"/>
  <c r="I35" i="2406"/>
  <c r="L35" i="2406"/>
  <c r="N35" i="2406"/>
  <c r="O35" i="2406"/>
  <c r="H35" i="2406"/>
  <c r="M35" i="2406"/>
  <c r="P35" i="2406"/>
  <c r="J35" i="2406"/>
  <c r="K35" i="2406"/>
  <c r="J106" i="2406"/>
  <c r="K106" i="2406"/>
  <c r="P106" i="2406"/>
  <c r="M106" i="2406"/>
  <c r="H106" i="2406"/>
  <c r="N106" i="2406"/>
  <c r="I106" i="2406"/>
  <c r="O106" i="2406"/>
  <c r="L106" i="2406"/>
  <c r="I90" i="2406"/>
  <c r="M90" i="2406"/>
  <c r="J90" i="2406"/>
  <c r="N90" i="2406"/>
  <c r="K90" i="2406"/>
  <c r="O90" i="2406"/>
  <c r="H90" i="2406"/>
  <c r="L90" i="2406"/>
  <c r="P90" i="2406"/>
  <c r="H74" i="2406"/>
  <c r="N74" i="2406"/>
  <c r="O74" i="2406"/>
  <c r="K74" i="2406"/>
  <c r="I74" i="2406"/>
  <c r="M74" i="2406"/>
  <c r="J74" i="2406"/>
  <c r="L74" i="2406"/>
  <c r="P74" i="2406"/>
  <c r="H58" i="2406"/>
  <c r="N58" i="2406"/>
  <c r="O58" i="2406"/>
  <c r="K58" i="2406"/>
  <c r="M58" i="2406"/>
  <c r="J58" i="2406"/>
  <c r="L58" i="2406"/>
  <c r="P58" i="2406"/>
  <c r="I58" i="2406"/>
  <c r="J42" i="2406"/>
  <c r="I42" i="2406"/>
  <c r="O42" i="2406"/>
  <c r="K42" i="2406"/>
  <c r="P42" i="2406"/>
  <c r="M42" i="2406"/>
  <c r="H42" i="2406"/>
  <c r="N42" i="2406"/>
  <c r="L42" i="2406"/>
  <c r="L105" i="2406"/>
  <c r="J105" i="2406"/>
  <c r="P105" i="2406"/>
  <c r="K105" i="2406"/>
  <c r="M105" i="2406"/>
  <c r="H105" i="2406"/>
  <c r="O105" i="2406"/>
  <c r="N105" i="2406"/>
  <c r="I105" i="2406"/>
  <c r="L89" i="2406"/>
  <c r="H89" i="2406"/>
  <c r="O89" i="2406"/>
  <c r="J89" i="2406"/>
  <c r="P89" i="2406"/>
  <c r="K89" i="2406"/>
  <c r="M89" i="2406"/>
  <c r="N89" i="2406"/>
  <c r="I89" i="2406"/>
  <c r="H73" i="2406"/>
  <c r="M73" i="2406"/>
  <c r="O73" i="2406"/>
  <c r="J73" i="2406"/>
  <c r="L73" i="2406"/>
  <c r="P73" i="2406"/>
  <c r="N73" i="2406"/>
  <c r="I73" i="2406"/>
  <c r="K73" i="2406"/>
  <c r="H57" i="2406"/>
  <c r="M57" i="2406"/>
  <c r="O57" i="2406"/>
  <c r="J57" i="2406"/>
  <c r="I57" i="2406"/>
  <c r="N57" i="2406"/>
  <c r="K57" i="2406"/>
  <c r="L57" i="2406"/>
  <c r="P57" i="2406"/>
  <c r="K41" i="2406"/>
  <c r="M41" i="2406"/>
  <c r="O41" i="2406"/>
  <c r="H41" i="2406"/>
  <c r="J41" i="2406"/>
  <c r="I41" i="2406"/>
  <c r="P41" i="2406"/>
  <c r="L41" i="2406"/>
  <c r="N41" i="2406"/>
  <c r="N104" i="2406"/>
  <c r="M104" i="2406"/>
  <c r="O104" i="2406"/>
  <c r="J104" i="2406"/>
  <c r="L104" i="2406"/>
  <c r="I104" i="2406"/>
  <c r="P104" i="2406"/>
  <c r="K104" i="2406"/>
  <c r="H104" i="2406"/>
  <c r="N88" i="2406"/>
  <c r="L88" i="2406"/>
  <c r="M88" i="2406"/>
  <c r="O88" i="2406"/>
  <c r="J88" i="2406"/>
  <c r="I88" i="2406"/>
  <c r="P88" i="2406"/>
  <c r="K88" i="2406"/>
  <c r="H88" i="2406"/>
  <c r="K72" i="2406"/>
  <c r="L72" i="2406"/>
  <c r="M72" i="2406"/>
  <c r="I72" i="2406"/>
  <c r="J72" i="2406"/>
  <c r="H72" i="2406"/>
  <c r="P72" i="2406"/>
  <c r="O72" i="2406"/>
  <c r="N72" i="2406"/>
  <c r="K56" i="2406"/>
  <c r="L56" i="2406"/>
  <c r="M56" i="2406"/>
  <c r="I56" i="2406"/>
  <c r="J56" i="2406"/>
  <c r="O56" i="2406"/>
  <c r="N56" i="2406"/>
  <c r="H56" i="2406"/>
  <c r="P56" i="2406"/>
  <c r="M40" i="2406"/>
  <c r="J40" i="2406"/>
  <c r="H40" i="2406"/>
  <c r="O40" i="2406"/>
  <c r="P40" i="2406"/>
  <c r="L40" i="2406"/>
  <c r="I40" i="2406"/>
  <c r="K40" i="2406"/>
  <c r="N40" i="2406"/>
  <c r="H103" i="2406"/>
  <c r="O103" i="2406"/>
  <c r="L103" i="2406"/>
  <c r="N103" i="2406"/>
  <c r="M103" i="2406"/>
  <c r="J103" i="2406"/>
  <c r="K103" i="2406"/>
  <c r="P103" i="2406"/>
  <c r="I103" i="2406"/>
  <c r="H87" i="2406"/>
  <c r="N87" i="2406"/>
  <c r="O87" i="2406"/>
  <c r="L87" i="2406"/>
  <c r="M87" i="2406"/>
  <c r="J87" i="2406"/>
  <c r="K87" i="2406"/>
  <c r="P87" i="2406"/>
  <c r="I87" i="2406"/>
  <c r="K71" i="2406"/>
  <c r="O71" i="2406"/>
  <c r="I71" i="2406"/>
  <c r="L71" i="2406"/>
  <c r="M71" i="2406"/>
  <c r="P71" i="2406"/>
  <c r="J71" i="2406"/>
  <c r="N71" i="2406"/>
  <c r="H71" i="2406"/>
  <c r="K55" i="2406"/>
  <c r="O55" i="2406"/>
  <c r="I55" i="2406"/>
  <c r="L55" i="2406"/>
  <c r="M55" i="2406"/>
  <c r="H55" i="2406"/>
  <c r="N55" i="2406"/>
  <c r="P55" i="2406"/>
  <c r="J55" i="2406"/>
  <c r="P39" i="2406"/>
  <c r="J39" i="2406"/>
  <c r="O39" i="2406"/>
  <c r="N39" i="2406"/>
  <c r="M39" i="2406"/>
  <c r="L39" i="2406"/>
  <c r="K39" i="2406"/>
  <c r="I39" i="2406"/>
  <c r="H39" i="2406"/>
  <c r="I82" i="2406"/>
  <c r="M82" i="2406"/>
  <c r="J82" i="2406"/>
  <c r="N82" i="2406"/>
  <c r="K82" i="2406"/>
  <c r="O82" i="2406"/>
  <c r="H82" i="2406"/>
  <c r="L82" i="2406"/>
  <c r="P82" i="2406"/>
  <c r="K66" i="2406"/>
  <c r="P66" i="2406"/>
  <c r="M66" i="2406"/>
  <c r="H66" i="2406"/>
  <c r="N66" i="2406"/>
  <c r="I66" i="2406"/>
  <c r="O66" i="2406"/>
  <c r="J66" i="2406"/>
  <c r="L66" i="2406"/>
  <c r="J34" i="2406"/>
  <c r="H34" i="2406"/>
  <c r="I34" i="2406"/>
  <c r="P34" i="2406"/>
  <c r="M34" i="2406"/>
  <c r="L97" i="2406"/>
  <c r="H97" i="2406"/>
  <c r="O97" i="2406"/>
  <c r="J97" i="2406"/>
  <c r="P97" i="2406"/>
  <c r="K97" i="2406"/>
  <c r="M97" i="2406"/>
  <c r="I97" i="2406"/>
  <c r="N97" i="2406"/>
  <c r="L81" i="2406"/>
  <c r="H81" i="2406"/>
  <c r="O81" i="2406"/>
  <c r="J81" i="2406"/>
  <c r="P81" i="2406"/>
  <c r="K81" i="2406"/>
  <c r="M81" i="2406"/>
  <c r="I81" i="2406"/>
  <c r="N81" i="2406"/>
  <c r="J65" i="2406"/>
  <c r="P65" i="2406"/>
  <c r="K65" i="2406"/>
  <c r="H65" i="2406"/>
  <c r="M65" i="2406"/>
  <c r="I65" i="2406"/>
  <c r="O65" i="2406"/>
  <c r="L65" i="2406"/>
  <c r="N65" i="2406"/>
  <c r="J49" i="2406"/>
  <c r="P49" i="2406"/>
  <c r="K49" i="2406"/>
  <c r="H49" i="2406"/>
  <c r="M49" i="2406"/>
  <c r="I49" i="2406"/>
  <c r="O49" i="2406"/>
  <c r="L49" i="2406"/>
  <c r="N49" i="2406"/>
  <c r="N96" i="2406"/>
  <c r="L96" i="2406"/>
  <c r="M96" i="2406"/>
  <c r="O96" i="2406"/>
  <c r="J96" i="2406"/>
  <c r="I96" i="2406"/>
  <c r="K96" i="2406"/>
  <c r="P96" i="2406"/>
  <c r="H96" i="2406"/>
  <c r="N80" i="2406"/>
  <c r="L80" i="2406"/>
  <c r="M80" i="2406"/>
  <c r="O80" i="2406"/>
  <c r="J80" i="2406"/>
  <c r="I80" i="2406"/>
  <c r="K80" i="2406"/>
  <c r="P80" i="2406"/>
  <c r="H80" i="2406"/>
  <c r="O64" i="2406"/>
  <c r="I64" i="2406"/>
  <c r="N64" i="2406"/>
  <c r="L64" i="2406"/>
  <c r="H64" i="2406"/>
  <c r="M64" i="2406"/>
  <c r="K64" i="2406"/>
  <c r="J64" i="2406"/>
  <c r="P64" i="2406"/>
  <c r="N48" i="2406"/>
  <c r="M48" i="2406"/>
  <c r="O48" i="2406"/>
  <c r="H48" i="2406"/>
  <c r="J48" i="2406"/>
  <c r="I48" i="2406"/>
  <c r="P48" i="2406"/>
  <c r="L48" i="2406"/>
  <c r="K48" i="2406"/>
  <c r="J32" i="2406"/>
  <c r="M32" i="2406"/>
  <c r="N32" i="2406"/>
  <c r="K32" i="2406"/>
  <c r="O32" i="2406"/>
  <c r="H32" i="2406"/>
  <c r="P32" i="2406"/>
  <c r="L32" i="2406"/>
  <c r="I32" i="2406"/>
  <c r="H95" i="2406"/>
  <c r="N95" i="2406"/>
  <c r="O95" i="2406"/>
  <c r="L95" i="2406"/>
  <c r="J95" i="2406"/>
  <c r="I95" i="2406"/>
  <c r="K95" i="2406"/>
  <c r="M95" i="2406"/>
  <c r="P95" i="2406"/>
  <c r="H79" i="2406"/>
  <c r="N79" i="2406"/>
  <c r="O79" i="2406"/>
  <c r="L79" i="2406"/>
  <c r="J79" i="2406"/>
  <c r="I79" i="2406"/>
  <c r="K79" i="2406"/>
  <c r="M79" i="2406"/>
  <c r="P79" i="2406"/>
  <c r="I63" i="2406"/>
  <c r="N63" i="2406"/>
  <c r="O63" i="2406"/>
  <c r="H63" i="2406"/>
  <c r="L63" i="2406"/>
  <c r="P63" i="2406"/>
  <c r="M63" i="2406"/>
  <c r="K63" i="2406"/>
  <c r="J63" i="2406"/>
  <c r="E28" i="2406"/>
  <c r="E21" i="2406"/>
  <c r="E22" i="2406"/>
  <c r="M26" i="2406"/>
  <c r="M24" i="2406"/>
  <c r="M31" i="2406"/>
  <c r="M21" i="2406"/>
  <c r="M30" i="2406"/>
  <c r="M28" i="2406"/>
  <c r="M25" i="2406"/>
  <c r="M23" i="2406"/>
  <c r="M22" i="2406"/>
  <c r="M20" i="2406"/>
  <c r="M19" i="2406"/>
  <c r="M29" i="2406"/>
  <c r="M27" i="2406"/>
  <c r="M18" i="2406"/>
  <c r="M17" i="2406"/>
  <c r="M16" i="2406"/>
  <c r="M15" i="2406"/>
  <c r="NH100" i="2421"/>
  <c r="NJ100" i="2421"/>
  <c r="NH35" i="2421"/>
  <c r="NJ35" i="2421"/>
  <c r="NH53" i="2421"/>
  <c r="NJ53" i="2421"/>
  <c r="NH25" i="2421"/>
  <c r="NJ25" i="2421"/>
  <c r="NH86" i="2421"/>
  <c r="NJ86" i="2421"/>
  <c r="NH32" i="2421"/>
  <c r="NJ32" i="2421"/>
  <c r="NH80" i="2421"/>
  <c r="NJ80" i="2421"/>
  <c r="NH31" i="2421"/>
  <c r="NJ31" i="2421"/>
  <c r="NH81" i="2421"/>
  <c r="NJ81" i="2421"/>
  <c r="NH74" i="2421"/>
  <c r="NJ74" i="2421"/>
  <c r="NH67" i="2421"/>
  <c r="NJ67" i="2421"/>
  <c r="NH52" i="2421"/>
  <c r="NJ52" i="2421"/>
  <c r="NH37" i="2421"/>
  <c r="NJ37" i="2421"/>
  <c r="NH38" i="2421"/>
  <c r="NJ38" i="2421"/>
  <c r="NH59" i="2421"/>
  <c r="NJ59" i="2421"/>
  <c r="NH94" i="2421"/>
  <c r="NJ94" i="2421"/>
  <c r="NH24" i="2421"/>
  <c r="NJ24" i="2421"/>
  <c r="NH87" i="2421"/>
  <c r="NJ87" i="2421"/>
  <c r="NH23" i="2421"/>
  <c r="NJ23" i="2421"/>
  <c r="NH88" i="2421"/>
  <c r="NJ88" i="2421"/>
  <c r="NH30" i="2421"/>
  <c r="NJ30" i="2421"/>
  <c r="NH82" i="2421"/>
  <c r="NJ82" i="2421"/>
  <c r="NH75" i="2421"/>
  <c r="NJ75" i="2421"/>
  <c r="NH18" i="2421"/>
  <c r="NJ18" i="2421"/>
  <c r="NH68" i="2421"/>
  <c r="NJ68" i="2421"/>
  <c r="NH45" i="2421"/>
  <c r="NJ45" i="2421"/>
  <c r="NH85" i="2421"/>
  <c r="NJ85" i="2421"/>
  <c r="NH46" i="2421"/>
  <c r="NJ46" i="2421"/>
  <c r="NH102" i="2421"/>
  <c r="NJ102" i="2421"/>
  <c r="NH39" i="2421"/>
  <c r="NJ39" i="2421"/>
  <c r="NH61" i="2421"/>
  <c r="NJ61" i="2421"/>
  <c r="NH95" i="2421"/>
  <c r="NJ95" i="2421"/>
  <c r="NH40" i="2421"/>
  <c r="NJ40" i="2421"/>
  <c r="NH96" i="2421"/>
  <c r="NJ96" i="2421"/>
  <c r="NH22" i="2421"/>
  <c r="NJ22" i="2421"/>
  <c r="NH89" i="2421"/>
  <c r="NJ89" i="2421"/>
  <c r="NH29" i="2421"/>
  <c r="NJ29" i="2421"/>
  <c r="NH83" i="2421"/>
  <c r="NJ83" i="2421"/>
  <c r="NH76" i="2421"/>
  <c r="NJ76" i="2421"/>
  <c r="NH17" i="2421"/>
  <c r="NJ17" i="2421"/>
  <c r="NH78" i="2421"/>
  <c r="NJ78" i="2421"/>
  <c r="NH19" i="2421"/>
  <c r="NJ19" i="2421"/>
  <c r="NH54" i="2421"/>
  <c r="NJ54" i="2421"/>
  <c r="NH110" i="2421"/>
  <c r="NJ110" i="2421"/>
  <c r="NH47" i="2421"/>
  <c r="NJ47" i="2421"/>
  <c r="NH103" i="2421"/>
  <c r="NJ103" i="2421"/>
  <c r="NH48" i="2421"/>
  <c r="NJ48" i="2421"/>
  <c r="NH104" i="2421"/>
  <c r="NJ104" i="2421"/>
  <c r="NH41" i="2421"/>
  <c r="NJ41" i="2421"/>
  <c r="NH62" i="2421"/>
  <c r="NJ62" i="2421"/>
  <c r="NH97" i="2421"/>
  <c r="NJ97" i="2421"/>
  <c r="NH21" i="2421"/>
  <c r="NJ21" i="2421"/>
  <c r="NH90" i="2421"/>
  <c r="NJ90" i="2421"/>
  <c r="NH28" i="2421"/>
  <c r="NJ28" i="2421"/>
  <c r="NH84" i="2421"/>
  <c r="NJ84" i="2421"/>
  <c r="NH36" i="2421"/>
  <c r="NJ36" i="2421"/>
  <c r="NH44" i="2421"/>
  <c r="NJ44" i="2421"/>
  <c r="NH66" i="2421"/>
  <c r="NJ66" i="2421"/>
  <c r="NH77" i="2421"/>
  <c r="NJ77" i="2421"/>
  <c r="NH109" i="2421"/>
  <c r="NJ109" i="2421"/>
  <c r="NH26" i="2421"/>
  <c r="NJ26" i="2421"/>
  <c r="NH55" i="2421"/>
  <c r="NJ55" i="2421"/>
  <c r="NH111" i="2421"/>
  <c r="NJ111" i="2421"/>
  <c r="NH56" i="2421"/>
  <c r="NJ56" i="2421"/>
  <c r="NH112" i="2421"/>
  <c r="NJ112" i="2421"/>
  <c r="NH49" i="2421"/>
  <c r="NJ49" i="2421"/>
  <c r="NH105" i="2421"/>
  <c r="NJ105" i="2421"/>
  <c r="NH42" i="2421"/>
  <c r="NJ42" i="2421"/>
  <c r="NH63" i="2421"/>
  <c r="NJ63" i="2421"/>
  <c r="NH98" i="2421"/>
  <c r="NJ98" i="2421"/>
  <c r="NH20" i="2421"/>
  <c r="NJ20" i="2421"/>
  <c r="NH91" i="2421"/>
  <c r="NJ91" i="2421"/>
  <c r="NH70" i="2421"/>
  <c r="NJ70" i="2421"/>
  <c r="NH108" i="2421"/>
  <c r="NJ108" i="2421"/>
  <c r="NH15" i="2421"/>
  <c r="NJ15" i="2421"/>
  <c r="NH93" i="2421"/>
  <c r="NJ93" i="2421"/>
  <c r="NH57" i="2421"/>
  <c r="NJ57" i="2421"/>
  <c r="NH113" i="2421"/>
  <c r="NJ113" i="2421"/>
  <c r="NH50" i="2421"/>
  <c r="NJ50" i="2421"/>
  <c r="NH106" i="2421"/>
  <c r="NJ106" i="2421"/>
  <c r="NH43" i="2421"/>
  <c r="NJ43" i="2421"/>
  <c r="NH64" i="2421"/>
  <c r="NJ64" i="2421"/>
  <c r="NH99" i="2421"/>
  <c r="NJ99" i="2421"/>
  <c r="NH65" i="2421"/>
  <c r="NJ65" i="2421"/>
  <c r="NH101" i="2421"/>
  <c r="NJ101" i="2421"/>
  <c r="NH16" i="2421"/>
  <c r="NJ16" i="2421"/>
  <c r="NH27" i="2421"/>
  <c r="NJ27" i="2421"/>
  <c r="NH71" i="2421"/>
  <c r="NJ71" i="2421"/>
  <c r="NH58" i="2421"/>
  <c r="NJ58" i="2421"/>
  <c r="NH51" i="2421"/>
  <c r="NJ51" i="2421"/>
  <c r="NH107" i="2421"/>
  <c r="NJ107" i="2421"/>
  <c r="NH69" i="2421"/>
  <c r="NJ69" i="2421"/>
  <c r="NH34" i="2421"/>
  <c r="NJ34" i="2421"/>
  <c r="NH92" i="2421"/>
  <c r="NJ92" i="2421"/>
  <c r="NH33" i="2421"/>
  <c r="NJ33" i="2421"/>
  <c r="NH79" i="2421"/>
  <c r="NJ79" i="2421"/>
  <c r="NH14" i="2421"/>
  <c r="NJ14" i="2421"/>
  <c r="NH72" i="2421"/>
  <c r="NJ72" i="2421"/>
  <c r="NH73" i="2421"/>
  <c r="NJ73" i="2421"/>
  <c r="NH60" i="2421"/>
  <c r="NJ60" i="2421"/>
  <c r="QQ46" i="2421"/>
  <c r="RF46" i="2421"/>
  <c r="QB46" i="2421"/>
  <c r="PM46" i="2421"/>
  <c r="OX46" i="2421"/>
  <c r="OI46" i="2421"/>
  <c r="NT46" i="2421"/>
  <c r="MP46" i="2421"/>
  <c r="LL46" i="2421"/>
  <c r="NE46" i="2421"/>
  <c r="MA46" i="2421"/>
  <c r="KW46" i="2421"/>
  <c r="KH46" i="2421"/>
  <c r="JS46" i="2421"/>
  <c r="JD46" i="2421"/>
  <c r="IO46" i="2421"/>
  <c r="HZ46" i="2421"/>
  <c r="GG46" i="2421"/>
  <c r="HK46" i="2421"/>
  <c r="GV46" i="2421"/>
  <c r="FR46" i="2421"/>
  <c r="FC46" i="2421"/>
  <c r="DJ46" i="2421"/>
  <c r="DY46" i="2421"/>
  <c r="EN46" i="2421"/>
  <c r="CU46" i="2421"/>
  <c r="CF46" i="2421"/>
  <c r="BB46" i="2421"/>
  <c r="BQ46" i="2421"/>
  <c r="PM95" i="2421"/>
  <c r="RF95" i="2421"/>
  <c r="QQ95" i="2421"/>
  <c r="OX95" i="2421"/>
  <c r="QB95" i="2421"/>
  <c r="NT95" i="2421"/>
  <c r="OI95" i="2421"/>
  <c r="MP95" i="2421"/>
  <c r="MA95" i="2421"/>
  <c r="NE95" i="2421"/>
  <c r="KW95" i="2421"/>
  <c r="KH95" i="2421"/>
  <c r="LL95" i="2421"/>
  <c r="JS95" i="2421"/>
  <c r="HZ95" i="2421"/>
  <c r="JD95" i="2421"/>
  <c r="IO95" i="2421"/>
  <c r="GV95" i="2421"/>
  <c r="HK95" i="2421"/>
  <c r="GG95" i="2421"/>
  <c r="FR95" i="2421"/>
  <c r="EN95" i="2421"/>
  <c r="DJ95" i="2421"/>
  <c r="FC95" i="2421"/>
  <c r="CU95" i="2421"/>
  <c r="DY95" i="2421"/>
  <c r="CF95" i="2421"/>
  <c r="BB95" i="2421"/>
  <c r="BQ95" i="2421"/>
  <c r="RF84" i="2421"/>
  <c r="QQ84" i="2421"/>
  <c r="QB84" i="2421"/>
  <c r="PM84" i="2421"/>
  <c r="OX84" i="2421"/>
  <c r="NT84" i="2421"/>
  <c r="OI84" i="2421"/>
  <c r="NE84" i="2421"/>
  <c r="MA84" i="2421"/>
  <c r="LL84" i="2421"/>
  <c r="MP84" i="2421"/>
  <c r="KW84" i="2421"/>
  <c r="JS84" i="2421"/>
  <c r="KH84" i="2421"/>
  <c r="JD84" i="2421"/>
  <c r="IO84" i="2421"/>
  <c r="HZ84" i="2421"/>
  <c r="HK84" i="2421"/>
  <c r="GG84" i="2421"/>
  <c r="FR84" i="2421"/>
  <c r="GV84" i="2421"/>
  <c r="FC84" i="2421"/>
  <c r="EN84" i="2421"/>
  <c r="DJ84" i="2421"/>
  <c r="CU84" i="2421"/>
  <c r="CF84" i="2421"/>
  <c r="DY84" i="2421"/>
  <c r="BQ84" i="2421"/>
  <c r="BB84" i="2421"/>
  <c r="PM99" i="2421"/>
  <c r="RF99" i="2421"/>
  <c r="QQ99" i="2421"/>
  <c r="OX99" i="2421"/>
  <c r="QB99" i="2421"/>
  <c r="NT99" i="2421"/>
  <c r="OI99" i="2421"/>
  <c r="MP99" i="2421"/>
  <c r="MA99" i="2421"/>
  <c r="NE99" i="2421"/>
  <c r="KW99" i="2421"/>
  <c r="LL99" i="2421"/>
  <c r="KH99" i="2421"/>
  <c r="HZ99" i="2421"/>
  <c r="JD99" i="2421"/>
  <c r="IO99" i="2421"/>
  <c r="JS99" i="2421"/>
  <c r="GV99" i="2421"/>
  <c r="HK99" i="2421"/>
  <c r="GG99" i="2421"/>
  <c r="FR99" i="2421"/>
  <c r="EN99" i="2421"/>
  <c r="DJ99" i="2421"/>
  <c r="FC99" i="2421"/>
  <c r="DY99" i="2421"/>
  <c r="CU99" i="2421"/>
  <c r="CF99" i="2421"/>
  <c r="BB99" i="2421"/>
  <c r="BQ99" i="2421"/>
  <c r="RF112" i="2421"/>
  <c r="QQ112" i="2421"/>
  <c r="NT112" i="2421"/>
  <c r="OI112" i="2421"/>
  <c r="PM112" i="2421"/>
  <c r="OX112" i="2421"/>
  <c r="QB112" i="2421"/>
  <c r="NE112" i="2421"/>
  <c r="MA112" i="2421"/>
  <c r="LL112" i="2421"/>
  <c r="MP112" i="2421"/>
  <c r="JS112" i="2421"/>
  <c r="KW112" i="2421"/>
  <c r="KH112" i="2421"/>
  <c r="JD112" i="2421"/>
  <c r="IO112" i="2421"/>
  <c r="HZ112" i="2421"/>
  <c r="GG112" i="2421"/>
  <c r="FR112" i="2421"/>
  <c r="GV112" i="2421"/>
  <c r="HK112" i="2421"/>
  <c r="FC112" i="2421"/>
  <c r="CU112" i="2421"/>
  <c r="DY112" i="2421"/>
  <c r="EN112" i="2421"/>
  <c r="DJ112" i="2421"/>
  <c r="CF112" i="2421"/>
  <c r="BQ112" i="2421"/>
  <c r="BB112" i="2421"/>
  <c r="RF32" i="2421"/>
  <c r="QQ32" i="2421"/>
  <c r="PM32" i="2421"/>
  <c r="OX32" i="2421"/>
  <c r="QB32" i="2421"/>
  <c r="OI32" i="2421"/>
  <c r="NT32" i="2421"/>
  <c r="MP32" i="2421"/>
  <c r="LL32" i="2421"/>
  <c r="NE32" i="2421"/>
  <c r="MA32" i="2421"/>
  <c r="KH32" i="2421"/>
  <c r="KW32" i="2421"/>
  <c r="JD32" i="2421"/>
  <c r="JS32" i="2421"/>
  <c r="IO32" i="2421"/>
  <c r="GG32" i="2421"/>
  <c r="HZ32" i="2421"/>
  <c r="GV32" i="2421"/>
  <c r="HK32" i="2421"/>
  <c r="FR32" i="2421"/>
  <c r="FC32" i="2421"/>
  <c r="EN32" i="2421"/>
  <c r="DJ32" i="2421"/>
  <c r="DY32" i="2421"/>
  <c r="CU32" i="2421"/>
  <c r="CF32" i="2421"/>
  <c r="BQ32" i="2421"/>
  <c r="BB32" i="2421"/>
  <c r="RF87" i="2421"/>
  <c r="QQ87" i="2421"/>
  <c r="PM87" i="2421"/>
  <c r="QB87" i="2421"/>
  <c r="OX87" i="2421"/>
  <c r="NT87" i="2421"/>
  <c r="OI87" i="2421"/>
  <c r="MP87" i="2421"/>
  <c r="NE87" i="2421"/>
  <c r="MA87" i="2421"/>
  <c r="KW87" i="2421"/>
  <c r="KH87" i="2421"/>
  <c r="HZ87" i="2421"/>
  <c r="LL87" i="2421"/>
  <c r="JS87" i="2421"/>
  <c r="JD87" i="2421"/>
  <c r="IO87" i="2421"/>
  <c r="GV87" i="2421"/>
  <c r="HK87" i="2421"/>
  <c r="FC87" i="2421"/>
  <c r="GG87" i="2421"/>
  <c r="FR87" i="2421"/>
  <c r="EN87" i="2421"/>
  <c r="DJ87" i="2421"/>
  <c r="DY87" i="2421"/>
  <c r="CF87" i="2421"/>
  <c r="CU87" i="2421"/>
  <c r="BB87" i="2421"/>
  <c r="BQ87" i="2421"/>
  <c r="QQ69" i="2421"/>
  <c r="RF69" i="2421"/>
  <c r="QB69" i="2421"/>
  <c r="PM69" i="2421"/>
  <c r="OX69" i="2421"/>
  <c r="OI69" i="2421"/>
  <c r="NT69" i="2421"/>
  <c r="MP69" i="2421"/>
  <c r="MA69" i="2421"/>
  <c r="NE69" i="2421"/>
  <c r="LL69" i="2421"/>
  <c r="KW69" i="2421"/>
  <c r="KH69" i="2421"/>
  <c r="JS69" i="2421"/>
  <c r="IO69" i="2421"/>
  <c r="HZ69" i="2421"/>
  <c r="JD69" i="2421"/>
  <c r="GV69" i="2421"/>
  <c r="HK69" i="2421"/>
  <c r="GG69" i="2421"/>
  <c r="EN69" i="2421"/>
  <c r="DY69" i="2421"/>
  <c r="DJ69" i="2421"/>
  <c r="FC69" i="2421"/>
  <c r="FR69" i="2421"/>
  <c r="CU69" i="2421"/>
  <c r="CF69" i="2421"/>
  <c r="BB69" i="2421"/>
  <c r="BQ69" i="2421"/>
  <c r="QQ68" i="2421"/>
  <c r="RF68" i="2421"/>
  <c r="QB68" i="2421"/>
  <c r="PM68" i="2421"/>
  <c r="OX68" i="2421"/>
  <c r="OI68" i="2421"/>
  <c r="NT68" i="2421"/>
  <c r="NE68" i="2421"/>
  <c r="MA68" i="2421"/>
  <c r="LL68" i="2421"/>
  <c r="KW68" i="2421"/>
  <c r="MP68" i="2421"/>
  <c r="KH68" i="2421"/>
  <c r="JS68" i="2421"/>
  <c r="JD68" i="2421"/>
  <c r="IO68" i="2421"/>
  <c r="HZ68" i="2421"/>
  <c r="HK68" i="2421"/>
  <c r="GG68" i="2421"/>
  <c r="FR68" i="2421"/>
  <c r="GV68" i="2421"/>
  <c r="FC68" i="2421"/>
  <c r="EN68" i="2421"/>
  <c r="DY68" i="2421"/>
  <c r="DJ68" i="2421"/>
  <c r="CU68" i="2421"/>
  <c r="BQ68" i="2421"/>
  <c r="BB68" i="2421"/>
  <c r="CF68" i="2421"/>
  <c r="RF91" i="2421"/>
  <c r="QQ91" i="2421"/>
  <c r="PM91" i="2421"/>
  <c r="OX91" i="2421"/>
  <c r="QB91" i="2421"/>
  <c r="NT91" i="2421"/>
  <c r="OI91" i="2421"/>
  <c r="MP91" i="2421"/>
  <c r="MA91" i="2421"/>
  <c r="NE91" i="2421"/>
  <c r="KW91" i="2421"/>
  <c r="LL91" i="2421"/>
  <c r="KH91" i="2421"/>
  <c r="JS91" i="2421"/>
  <c r="HZ91" i="2421"/>
  <c r="JD91" i="2421"/>
  <c r="IO91" i="2421"/>
  <c r="GV91" i="2421"/>
  <c r="HK91" i="2421"/>
  <c r="FC91" i="2421"/>
  <c r="GG91" i="2421"/>
  <c r="FR91" i="2421"/>
  <c r="EN91" i="2421"/>
  <c r="DJ91" i="2421"/>
  <c r="CF91" i="2421"/>
  <c r="DY91" i="2421"/>
  <c r="CU91" i="2421"/>
  <c r="BB91" i="2421"/>
  <c r="BQ91" i="2421"/>
  <c r="RF27" i="2421"/>
  <c r="QQ27" i="2421"/>
  <c r="QB27" i="2421"/>
  <c r="PM27" i="2421"/>
  <c r="OX27" i="2421"/>
  <c r="OI27" i="2421"/>
  <c r="NE27" i="2421"/>
  <c r="NT27" i="2421"/>
  <c r="KW27" i="2421"/>
  <c r="LL27" i="2421"/>
  <c r="MP27" i="2421"/>
  <c r="MA27" i="2421"/>
  <c r="KH27" i="2421"/>
  <c r="IO27" i="2421"/>
  <c r="JS27" i="2421"/>
  <c r="JD27" i="2421"/>
  <c r="GV27" i="2421"/>
  <c r="HK27" i="2421"/>
  <c r="FR27" i="2421"/>
  <c r="HZ27" i="2421"/>
  <c r="GG27" i="2421"/>
  <c r="DJ27" i="2421"/>
  <c r="DY27" i="2421"/>
  <c r="FC27" i="2421"/>
  <c r="EN27" i="2421"/>
  <c r="CU27" i="2421"/>
  <c r="BB27" i="2421"/>
  <c r="CF27" i="2421"/>
  <c r="BQ27" i="2421"/>
  <c r="QQ34" i="2421"/>
  <c r="QB34" i="2421"/>
  <c r="RF34" i="2421"/>
  <c r="OX34" i="2421"/>
  <c r="OI34" i="2421"/>
  <c r="PM34" i="2421"/>
  <c r="MP34" i="2421"/>
  <c r="NT34" i="2421"/>
  <c r="NE34" i="2421"/>
  <c r="MA34" i="2421"/>
  <c r="LL34" i="2421"/>
  <c r="KW34" i="2421"/>
  <c r="KH34" i="2421"/>
  <c r="JD34" i="2421"/>
  <c r="JS34" i="2421"/>
  <c r="IO34" i="2421"/>
  <c r="GG34" i="2421"/>
  <c r="HK34" i="2421"/>
  <c r="GV34" i="2421"/>
  <c r="HZ34" i="2421"/>
  <c r="FR34" i="2421"/>
  <c r="FC34" i="2421"/>
  <c r="DJ34" i="2421"/>
  <c r="EN34" i="2421"/>
  <c r="DY34" i="2421"/>
  <c r="CU34" i="2421"/>
  <c r="CF34" i="2421"/>
  <c r="BQ34" i="2421"/>
  <c r="BB34" i="2421"/>
  <c r="RF41" i="2421"/>
  <c r="QQ41" i="2421"/>
  <c r="OX41" i="2421"/>
  <c r="QB41" i="2421"/>
  <c r="PM41" i="2421"/>
  <c r="OI41" i="2421"/>
  <c r="NT41" i="2421"/>
  <c r="MP41" i="2421"/>
  <c r="LL41" i="2421"/>
  <c r="NE41" i="2421"/>
  <c r="MA41" i="2421"/>
  <c r="KW41" i="2421"/>
  <c r="JS41" i="2421"/>
  <c r="KH41" i="2421"/>
  <c r="HZ41" i="2421"/>
  <c r="JD41" i="2421"/>
  <c r="IO41" i="2421"/>
  <c r="GV41" i="2421"/>
  <c r="FR41" i="2421"/>
  <c r="GG41" i="2421"/>
  <c r="EN41" i="2421"/>
  <c r="DJ41" i="2421"/>
  <c r="DY41" i="2421"/>
  <c r="HK41" i="2421"/>
  <c r="FC41" i="2421"/>
  <c r="CU41" i="2421"/>
  <c r="BB41" i="2421"/>
  <c r="CF41" i="2421"/>
  <c r="BQ41" i="2421"/>
  <c r="QQ24" i="2421"/>
  <c r="PM24" i="2421"/>
  <c r="RF24" i="2421"/>
  <c r="OX24" i="2421"/>
  <c r="OI24" i="2421"/>
  <c r="QB24" i="2421"/>
  <c r="NT24" i="2421"/>
  <c r="MP24" i="2421"/>
  <c r="NE24" i="2421"/>
  <c r="MA24" i="2421"/>
  <c r="KH24" i="2421"/>
  <c r="KW24" i="2421"/>
  <c r="LL24" i="2421"/>
  <c r="JD24" i="2421"/>
  <c r="JS24" i="2421"/>
  <c r="HZ24" i="2421"/>
  <c r="GG24" i="2421"/>
  <c r="HK24" i="2421"/>
  <c r="GV24" i="2421"/>
  <c r="IO24" i="2421"/>
  <c r="FR24" i="2421"/>
  <c r="EN24" i="2421"/>
  <c r="FC24" i="2421"/>
  <c r="DJ24" i="2421"/>
  <c r="DY24" i="2421"/>
  <c r="CU24" i="2421"/>
  <c r="BQ24" i="2421"/>
  <c r="BB24" i="2421"/>
  <c r="CF24" i="2421"/>
  <c r="QQ79" i="2421"/>
  <c r="RF79" i="2421"/>
  <c r="PM79" i="2421"/>
  <c r="QB79" i="2421"/>
  <c r="OX79" i="2421"/>
  <c r="NT79" i="2421"/>
  <c r="OI79" i="2421"/>
  <c r="MP79" i="2421"/>
  <c r="MA79" i="2421"/>
  <c r="NE79" i="2421"/>
  <c r="KW79" i="2421"/>
  <c r="KH79" i="2421"/>
  <c r="JS79" i="2421"/>
  <c r="IO79" i="2421"/>
  <c r="HZ79" i="2421"/>
  <c r="JD79" i="2421"/>
  <c r="LL79" i="2421"/>
  <c r="GV79" i="2421"/>
  <c r="FC79" i="2421"/>
  <c r="HK79" i="2421"/>
  <c r="GG79" i="2421"/>
  <c r="EN79" i="2421"/>
  <c r="DY79" i="2421"/>
  <c r="DJ79" i="2421"/>
  <c r="CU79" i="2421"/>
  <c r="FR79" i="2421"/>
  <c r="CF79" i="2421"/>
  <c r="BB79" i="2421"/>
  <c r="BQ79" i="2421"/>
  <c r="QQ78" i="2421"/>
  <c r="RF78" i="2421"/>
  <c r="QB78" i="2421"/>
  <c r="PM78" i="2421"/>
  <c r="OX78" i="2421"/>
  <c r="NT78" i="2421"/>
  <c r="OI78" i="2421"/>
  <c r="MP78" i="2421"/>
  <c r="NE78" i="2421"/>
  <c r="MA78" i="2421"/>
  <c r="LL78" i="2421"/>
  <c r="KW78" i="2421"/>
  <c r="KH78" i="2421"/>
  <c r="JS78" i="2421"/>
  <c r="JD78" i="2421"/>
  <c r="IO78" i="2421"/>
  <c r="HZ78" i="2421"/>
  <c r="HK78" i="2421"/>
  <c r="GG78" i="2421"/>
  <c r="FR78" i="2421"/>
  <c r="GV78" i="2421"/>
  <c r="FC78" i="2421"/>
  <c r="EN78" i="2421"/>
  <c r="DY78" i="2421"/>
  <c r="DJ78" i="2421"/>
  <c r="CU78" i="2421"/>
  <c r="CF78" i="2421"/>
  <c r="BB78" i="2421"/>
  <c r="BQ78" i="2421"/>
  <c r="PM101" i="2421"/>
  <c r="RF101" i="2421"/>
  <c r="QQ101" i="2421"/>
  <c r="QB101" i="2421"/>
  <c r="OX101" i="2421"/>
  <c r="NT101" i="2421"/>
  <c r="OI101" i="2421"/>
  <c r="MP101" i="2421"/>
  <c r="MA101" i="2421"/>
  <c r="KW101" i="2421"/>
  <c r="NE101" i="2421"/>
  <c r="LL101" i="2421"/>
  <c r="KH101" i="2421"/>
  <c r="JS101" i="2421"/>
  <c r="HZ101" i="2421"/>
  <c r="JD101" i="2421"/>
  <c r="IO101" i="2421"/>
  <c r="GV101" i="2421"/>
  <c r="HK101" i="2421"/>
  <c r="GG101" i="2421"/>
  <c r="FR101" i="2421"/>
  <c r="FC101" i="2421"/>
  <c r="EN101" i="2421"/>
  <c r="DJ101" i="2421"/>
  <c r="DY101" i="2421"/>
  <c r="CU101" i="2421"/>
  <c r="CF101" i="2421"/>
  <c r="BB101" i="2421"/>
  <c r="BQ101" i="2421"/>
  <c r="PM113" i="2421"/>
  <c r="RF113" i="2421"/>
  <c r="QQ113" i="2421"/>
  <c r="OX113" i="2421"/>
  <c r="QB113" i="2421"/>
  <c r="NT113" i="2421"/>
  <c r="OI113" i="2421"/>
  <c r="LL113" i="2421"/>
  <c r="KW113" i="2421"/>
  <c r="MA113" i="2421"/>
  <c r="MP113" i="2421"/>
  <c r="JS113" i="2421"/>
  <c r="KH113" i="2421"/>
  <c r="HZ113" i="2421"/>
  <c r="NE113" i="2421"/>
  <c r="JD113" i="2421"/>
  <c r="IO113" i="2421"/>
  <c r="GV113" i="2421"/>
  <c r="FC113" i="2421"/>
  <c r="HK113" i="2421"/>
  <c r="GG113" i="2421"/>
  <c r="FR113" i="2421"/>
  <c r="EN113" i="2421"/>
  <c r="DJ113" i="2421"/>
  <c r="CU113" i="2421"/>
  <c r="CF113" i="2421"/>
  <c r="DY113" i="2421"/>
  <c r="BB113" i="2421"/>
  <c r="BQ113" i="2421"/>
  <c r="QQ75" i="2421"/>
  <c r="RF75" i="2421"/>
  <c r="PM75" i="2421"/>
  <c r="OX75" i="2421"/>
  <c r="QB75" i="2421"/>
  <c r="NT75" i="2421"/>
  <c r="OI75" i="2421"/>
  <c r="MP75" i="2421"/>
  <c r="MA75" i="2421"/>
  <c r="LL75" i="2421"/>
  <c r="KW75" i="2421"/>
  <c r="NE75" i="2421"/>
  <c r="KH75" i="2421"/>
  <c r="JS75" i="2421"/>
  <c r="IO75" i="2421"/>
  <c r="HZ75" i="2421"/>
  <c r="JD75" i="2421"/>
  <c r="GV75" i="2421"/>
  <c r="FC75" i="2421"/>
  <c r="HK75" i="2421"/>
  <c r="GG75" i="2421"/>
  <c r="FR75" i="2421"/>
  <c r="EN75" i="2421"/>
  <c r="DY75" i="2421"/>
  <c r="DJ75" i="2421"/>
  <c r="CU75" i="2421"/>
  <c r="CF75" i="2421"/>
  <c r="BB75" i="2421"/>
  <c r="BQ75" i="2421"/>
  <c r="QQ52" i="2421"/>
  <c r="RF52" i="2421"/>
  <c r="QB52" i="2421"/>
  <c r="PM52" i="2421"/>
  <c r="OI52" i="2421"/>
  <c r="NT52" i="2421"/>
  <c r="MP52" i="2421"/>
  <c r="OX52" i="2421"/>
  <c r="LL52" i="2421"/>
  <c r="NE52" i="2421"/>
  <c r="MA52" i="2421"/>
  <c r="KW52" i="2421"/>
  <c r="KH52" i="2421"/>
  <c r="JD52" i="2421"/>
  <c r="IO52" i="2421"/>
  <c r="HZ52" i="2421"/>
  <c r="JS52" i="2421"/>
  <c r="HK52" i="2421"/>
  <c r="GG52" i="2421"/>
  <c r="GV52" i="2421"/>
  <c r="FR52" i="2421"/>
  <c r="FC52" i="2421"/>
  <c r="EN52" i="2421"/>
  <c r="DJ52" i="2421"/>
  <c r="DY52" i="2421"/>
  <c r="CU52" i="2421"/>
  <c r="BQ52" i="2421"/>
  <c r="BB52" i="2421"/>
  <c r="CF52" i="2421"/>
  <c r="QQ42" i="2421"/>
  <c r="RF42" i="2421"/>
  <c r="QB42" i="2421"/>
  <c r="PM42" i="2421"/>
  <c r="OI42" i="2421"/>
  <c r="NT42" i="2421"/>
  <c r="OX42" i="2421"/>
  <c r="MP42" i="2421"/>
  <c r="NE42" i="2421"/>
  <c r="MA42" i="2421"/>
  <c r="LL42" i="2421"/>
  <c r="KW42" i="2421"/>
  <c r="KH42" i="2421"/>
  <c r="JS42" i="2421"/>
  <c r="JD42" i="2421"/>
  <c r="IO42" i="2421"/>
  <c r="GG42" i="2421"/>
  <c r="HK42" i="2421"/>
  <c r="GV42" i="2421"/>
  <c r="HZ42" i="2421"/>
  <c r="FR42" i="2421"/>
  <c r="FC42" i="2421"/>
  <c r="EN42" i="2421"/>
  <c r="DJ42" i="2421"/>
  <c r="DY42" i="2421"/>
  <c r="CU42" i="2421"/>
  <c r="BQ42" i="2421"/>
  <c r="CF42" i="2421"/>
  <c r="BB42" i="2421"/>
  <c r="PM97" i="2421"/>
  <c r="RF97" i="2421"/>
  <c r="QQ97" i="2421"/>
  <c r="OX97" i="2421"/>
  <c r="NT97" i="2421"/>
  <c r="QB97" i="2421"/>
  <c r="OI97" i="2421"/>
  <c r="KW97" i="2421"/>
  <c r="MA97" i="2421"/>
  <c r="MP97" i="2421"/>
  <c r="NE97" i="2421"/>
  <c r="KH97" i="2421"/>
  <c r="HZ97" i="2421"/>
  <c r="LL97" i="2421"/>
  <c r="JS97" i="2421"/>
  <c r="JD97" i="2421"/>
  <c r="IO97" i="2421"/>
  <c r="GV97" i="2421"/>
  <c r="HK97" i="2421"/>
  <c r="GG97" i="2421"/>
  <c r="FR97" i="2421"/>
  <c r="EN97" i="2421"/>
  <c r="DJ97" i="2421"/>
  <c r="FC97" i="2421"/>
  <c r="CU97" i="2421"/>
  <c r="CF97" i="2421"/>
  <c r="DY97" i="2421"/>
  <c r="BB97" i="2421"/>
  <c r="BQ97" i="2421"/>
  <c r="QQ80" i="2421"/>
  <c r="RF80" i="2421"/>
  <c r="PM80" i="2421"/>
  <c r="OX80" i="2421"/>
  <c r="NT80" i="2421"/>
  <c r="OI80" i="2421"/>
  <c r="QB80" i="2421"/>
  <c r="NE80" i="2421"/>
  <c r="MA80" i="2421"/>
  <c r="LL80" i="2421"/>
  <c r="KW80" i="2421"/>
  <c r="MP80" i="2421"/>
  <c r="KH80" i="2421"/>
  <c r="JS80" i="2421"/>
  <c r="JD80" i="2421"/>
  <c r="IO80" i="2421"/>
  <c r="HZ80" i="2421"/>
  <c r="HK80" i="2421"/>
  <c r="GG80" i="2421"/>
  <c r="FR80" i="2421"/>
  <c r="GV80" i="2421"/>
  <c r="FC80" i="2421"/>
  <c r="EN80" i="2421"/>
  <c r="DY80" i="2421"/>
  <c r="DJ80" i="2421"/>
  <c r="CU80" i="2421"/>
  <c r="CF80" i="2421"/>
  <c r="BQ80" i="2421"/>
  <c r="BB80" i="2421"/>
  <c r="RF110" i="2421"/>
  <c r="QQ110" i="2421"/>
  <c r="QB110" i="2421"/>
  <c r="PM110" i="2421"/>
  <c r="NT110" i="2421"/>
  <c r="OX110" i="2421"/>
  <c r="OI110" i="2421"/>
  <c r="NE110" i="2421"/>
  <c r="MA110" i="2421"/>
  <c r="LL110" i="2421"/>
  <c r="JS110" i="2421"/>
  <c r="KH110" i="2421"/>
  <c r="KW110" i="2421"/>
  <c r="JD110" i="2421"/>
  <c r="IO110" i="2421"/>
  <c r="HZ110" i="2421"/>
  <c r="GG110" i="2421"/>
  <c r="FR110" i="2421"/>
  <c r="MP110" i="2421"/>
  <c r="GV110" i="2421"/>
  <c r="HK110" i="2421"/>
  <c r="CU110" i="2421"/>
  <c r="DY110" i="2421"/>
  <c r="EN110" i="2421"/>
  <c r="DJ110" i="2421"/>
  <c r="FC110" i="2421"/>
  <c r="CF110" i="2421"/>
  <c r="BB110" i="2421"/>
  <c r="BQ110" i="2421"/>
  <c r="QQ38" i="2421"/>
  <c r="RF38" i="2421"/>
  <c r="PM38" i="2421"/>
  <c r="QB38" i="2421"/>
  <c r="OX38" i="2421"/>
  <c r="OI38" i="2421"/>
  <c r="NT38" i="2421"/>
  <c r="MP38" i="2421"/>
  <c r="KW38" i="2421"/>
  <c r="NE38" i="2421"/>
  <c r="MA38" i="2421"/>
  <c r="JS38" i="2421"/>
  <c r="LL38" i="2421"/>
  <c r="KH38" i="2421"/>
  <c r="JD38" i="2421"/>
  <c r="IO38" i="2421"/>
  <c r="GG38" i="2421"/>
  <c r="HZ38" i="2421"/>
  <c r="HK38" i="2421"/>
  <c r="GV38" i="2421"/>
  <c r="FR38" i="2421"/>
  <c r="FC38" i="2421"/>
  <c r="DJ38" i="2421"/>
  <c r="DY38" i="2421"/>
  <c r="EN38" i="2421"/>
  <c r="CU38" i="2421"/>
  <c r="BB38" i="2421"/>
  <c r="CF38" i="2421"/>
  <c r="BQ38" i="2421"/>
  <c r="QQ50" i="2421"/>
  <c r="QB50" i="2421"/>
  <c r="OX50" i="2421"/>
  <c r="RF50" i="2421"/>
  <c r="PM50" i="2421"/>
  <c r="OI50" i="2421"/>
  <c r="NT50" i="2421"/>
  <c r="NE50" i="2421"/>
  <c r="MP50" i="2421"/>
  <c r="MA50" i="2421"/>
  <c r="LL50" i="2421"/>
  <c r="KW50" i="2421"/>
  <c r="KH50" i="2421"/>
  <c r="JD50" i="2421"/>
  <c r="IO50" i="2421"/>
  <c r="JS50" i="2421"/>
  <c r="HZ50" i="2421"/>
  <c r="HK50" i="2421"/>
  <c r="GG50" i="2421"/>
  <c r="GV50" i="2421"/>
  <c r="FR50" i="2421"/>
  <c r="FC50" i="2421"/>
  <c r="EN50" i="2421"/>
  <c r="DJ50" i="2421"/>
  <c r="DY50" i="2421"/>
  <c r="CU50" i="2421"/>
  <c r="BQ50" i="2421"/>
  <c r="CF50" i="2421"/>
  <c r="BB50" i="2421"/>
  <c r="RF89" i="2421"/>
  <c r="QQ89" i="2421"/>
  <c r="PM89" i="2421"/>
  <c r="OX89" i="2421"/>
  <c r="QB89" i="2421"/>
  <c r="NT89" i="2421"/>
  <c r="OI89" i="2421"/>
  <c r="MP89" i="2421"/>
  <c r="MA89" i="2421"/>
  <c r="NE89" i="2421"/>
  <c r="KW89" i="2421"/>
  <c r="KH89" i="2421"/>
  <c r="HZ89" i="2421"/>
  <c r="JD89" i="2421"/>
  <c r="LL89" i="2421"/>
  <c r="JS89" i="2421"/>
  <c r="IO89" i="2421"/>
  <c r="GV89" i="2421"/>
  <c r="HK89" i="2421"/>
  <c r="FC89" i="2421"/>
  <c r="GG89" i="2421"/>
  <c r="FR89" i="2421"/>
  <c r="EN89" i="2421"/>
  <c r="DJ89" i="2421"/>
  <c r="CF89" i="2421"/>
  <c r="DY89" i="2421"/>
  <c r="CU89" i="2421"/>
  <c r="BB89" i="2421"/>
  <c r="BQ89" i="2421"/>
  <c r="RF48" i="2421"/>
  <c r="QQ48" i="2421"/>
  <c r="OX48" i="2421"/>
  <c r="PM48" i="2421"/>
  <c r="OI48" i="2421"/>
  <c r="NT48" i="2421"/>
  <c r="QB48" i="2421"/>
  <c r="MP48" i="2421"/>
  <c r="LL48" i="2421"/>
  <c r="KW48" i="2421"/>
  <c r="NE48" i="2421"/>
  <c r="MA48" i="2421"/>
  <c r="KH48" i="2421"/>
  <c r="JS48" i="2421"/>
  <c r="JD48" i="2421"/>
  <c r="IO48" i="2421"/>
  <c r="HZ48" i="2421"/>
  <c r="HK48" i="2421"/>
  <c r="GG48" i="2421"/>
  <c r="GV48" i="2421"/>
  <c r="FR48" i="2421"/>
  <c r="FC48" i="2421"/>
  <c r="DJ48" i="2421"/>
  <c r="EN48" i="2421"/>
  <c r="DY48" i="2421"/>
  <c r="CU48" i="2421"/>
  <c r="CF48" i="2421"/>
  <c r="BQ48" i="2421"/>
  <c r="BB48" i="2421"/>
  <c r="RF47" i="2421"/>
  <c r="QQ47" i="2421"/>
  <c r="OX47" i="2421"/>
  <c r="PM47" i="2421"/>
  <c r="QB47" i="2421"/>
  <c r="OI47" i="2421"/>
  <c r="NT47" i="2421"/>
  <c r="NE47" i="2421"/>
  <c r="MA47" i="2421"/>
  <c r="MP47" i="2421"/>
  <c r="KW47" i="2421"/>
  <c r="LL47" i="2421"/>
  <c r="JS47" i="2421"/>
  <c r="KH47" i="2421"/>
  <c r="IO47" i="2421"/>
  <c r="HZ47" i="2421"/>
  <c r="JD47" i="2421"/>
  <c r="GV47" i="2421"/>
  <c r="FR47" i="2421"/>
  <c r="HK47" i="2421"/>
  <c r="GG47" i="2421"/>
  <c r="DJ47" i="2421"/>
  <c r="DY47" i="2421"/>
  <c r="EN47" i="2421"/>
  <c r="FC47" i="2421"/>
  <c r="CU47" i="2421"/>
  <c r="BB47" i="2421"/>
  <c r="CF47" i="2421"/>
  <c r="BQ47" i="2421"/>
  <c r="QQ22" i="2421"/>
  <c r="RF22" i="2421"/>
  <c r="QB22" i="2421"/>
  <c r="PM22" i="2421"/>
  <c r="OX22" i="2421"/>
  <c r="OI22" i="2421"/>
  <c r="NE22" i="2421"/>
  <c r="NT22" i="2421"/>
  <c r="MP22" i="2421"/>
  <c r="MA22" i="2421"/>
  <c r="LL22" i="2421"/>
  <c r="KW22" i="2421"/>
  <c r="KH22" i="2421"/>
  <c r="JS22" i="2421"/>
  <c r="IO22" i="2421"/>
  <c r="JD22" i="2421"/>
  <c r="HZ22" i="2421"/>
  <c r="GG22" i="2421"/>
  <c r="GV22" i="2421"/>
  <c r="FR22" i="2421"/>
  <c r="HK22" i="2421"/>
  <c r="FC22" i="2421"/>
  <c r="EN22" i="2421"/>
  <c r="DY22" i="2421"/>
  <c r="DJ22" i="2421"/>
  <c r="CU22" i="2421"/>
  <c r="BB22" i="2421"/>
  <c r="BQ22" i="2421"/>
  <c r="CF22" i="2421"/>
  <c r="QQ45" i="2421"/>
  <c r="RF45" i="2421"/>
  <c r="QB45" i="2421"/>
  <c r="PM45" i="2421"/>
  <c r="OX45" i="2421"/>
  <c r="OI45" i="2421"/>
  <c r="NT45" i="2421"/>
  <c r="LL45" i="2421"/>
  <c r="MP45" i="2421"/>
  <c r="KW45" i="2421"/>
  <c r="NE45" i="2421"/>
  <c r="JS45" i="2421"/>
  <c r="MA45" i="2421"/>
  <c r="KH45" i="2421"/>
  <c r="IO45" i="2421"/>
  <c r="HZ45" i="2421"/>
  <c r="JD45" i="2421"/>
  <c r="GV45" i="2421"/>
  <c r="FR45" i="2421"/>
  <c r="GG45" i="2421"/>
  <c r="HK45" i="2421"/>
  <c r="DJ45" i="2421"/>
  <c r="DY45" i="2421"/>
  <c r="FC45" i="2421"/>
  <c r="EN45" i="2421"/>
  <c r="CU45" i="2421"/>
  <c r="CF45" i="2421"/>
  <c r="BQ45" i="2421"/>
  <c r="BB45" i="2421"/>
  <c r="RF25" i="2421"/>
  <c r="QQ25" i="2421"/>
  <c r="PM25" i="2421"/>
  <c r="OX25" i="2421"/>
  <c r="QB25" i="2421"/>
  <c r="OI25" i="2421"/>
  <c r="NE25" i="2421"/>
  <c r="NT25" i="2421"/>
  <c r="MP25" i="2421"/>
  <c r="MA25" i="2421"/>
  <c r="LL25" i="2421"/>
  <c r="KW25" i="2421"/>
  <c r="KH25" i="2421"/>
  <c r="JS25" i="2421"/>
  <c r="IO25" i="2421"/>
  <c r="JD25" i="2421"/>
  <c r="GV25" i="2421"/>
  <c r="FR25" i="2421"/>
  <c r="HZ25" i="2421"/>
  <c r="HK25" i="2421"/>
  <c r="GG25" i="2421"/>
  <c r="FC25" i="2421"/>
  <c r="DJ25" i="2421"/>
  <c r="DY25" i="2421"/>
  <c r="EN25" i="2421"/>
  <c r="CU25" i="2421"/>
  <c r="CF25" i="2421"/>
  <c r="BB25" i="2421"/>
  <c r="BQ25" i="2421"/>
  <c r="QQ76" i="2421"/>
  <c r="RF76" i="2421"/>
  <c r="QB76" i="2421"/>
  <c r="PM76" i="2421"/>
  <c r="OX76" i="2421"/>
  <c r="NT76" i="2421"/>
  <c r="OI76" i="2421"/>
  <c r="NE76" i="2421"/>
  <c r="MA76" i="2421"/>
  <c r="LL76" i="2421"/>
  <c r="KW76" i="2421"/>
  <c r="MP76" i="2421"/>
  <c r="KH76" i="2421"/>
  <c r="JS76" i="2421"/>
  <c r="JD76" i="2421"/>
  <c r="IO76" i="2421"/>
  <c r="HZ76" i="2421"/>
  <c r="HK76" i="2421"/>
  <c r="GG76" i="2421"/>
  <c r="FR76" i="2421"/>
  <c r="GV76" i="2421"/>
  <c r="FC76" i="2421"/>
  <c r="EN76" i="2421"/>
  <c r="DY76" i="2421"/>
  <c r="DJ76" i="2421"/>
  <c r="CF76" i="2421"/>
  <c r="CU76" i="2421"/>
  <c r="BQ76" i="2421"/>
  <c r="BB76" i="2421"/>
  <c r="QQ43" i="2421"/>
  <c r="RF43" i="2421"/>
  <c r="PM43" i="2421"/>
  <c r="QB43" i="2421"/>
  <c r="OX43" i="2421"/>
  <c r="OI43" i="2421"/>
  <c r="NT43" i="2421"/>
  <c r="LL43" i="2421"/>
  <c r="MP43" i="2421"/>
  <c r="KW43" i="2421"/>
  <c r="NE43" i="2421"/>
  <c r="MA43" i="2421"/>
  <c r="JS43" i="2421"/>
  <c r="KH43" i="2421"/>
  <c r="HZ43" i="2421"/>
  <c r="IO43" i="2421"/>
  <c r="JD43" i="2421"/>
  <c r="GV43" i="2421"/>
  <c r="FR43" i="2421"/>
  <c r="GG43" i="2421"/>
  <c r="HK43" i="2421"/>
  <c r="DJ43" i="2421"/>
  <c r="DY43" i="2421"/>
  <c r="FC43" i="2421"/>
  <c r="EN43" i="2421"/>
  <c r="CU43" i="2421"/>
  <c r="CF43" i="2421"/>
  <c r="BB43" i="2421"/>
  <c r="BQ43" i="2421"/>
  <c r="PM105" i="2421"/>
  <c r="RF105" i="2421"/>
  <c r="QQ105" i="2421"/>
  <c r="OX105" i="2421"/>
  <c r="QB105" i="2421"/>
  <c r="NT105" i="2421"/>
  <c r="OI105" i="2421"/>
  <c r="MA105" i="2421"/>
  <c r="NE105" i="2421"/>
  <c r="KW105" i="2421"/>
  <c r="LL105" i="2421"/>
  <c r="MP105" i="2421"/>
  <c r="KH105" i="2421"/>
  <c r="HZ105" i="2421"/>
  <c r="JS105" i="2421"/>
  <c r="JD105" i="2421"/>
  <c r="IO105" i="2421"/>
  <c r="GV105" i="2421"/>
  <c r="HK105" i="2421"/>
  <c r="GG105" i="2421"/>
  <c r="FR105" i="2421"/>
  <c r="EN105" i="2421"/>
  <c r="DJ105" i="2421"/>
  <c r="FC105" i="2421"/>
  <c r="DY105" i="2421"/>
  <c r="CF105" i="2421"/>
  <c r="CU105" i="2421"/>
  <c r="BB105" i="2421"/>
  <c r="BQ105" i="2421"/>
  <c r="QQ72" i="2421"/>
  <c r="RF72" i="2421"/>
  <c r="PM72" i="2421"/>
  <c r="OX72" i="2421"/>
  <c r="OI72" i="2421"/>
  <c r="NT72" i="2421"/>
  <c r="QB72" i="2421"/>
  <c r="NE72" i="2421"/>
  <c r="MP72" i="2421"/>
  <c r="MA72" i="2421"/>
  <c r="LL72" i="2421"/>
  <c r="KW72" i="2421"/>
  <c r="KH72" i="2421"/>
  <c r="JS72" i="2421"/>
  <c r="JD72" i="2421"/>
  <c r="IO72" i="2421"/>
  <c r="HZ72" i="2421"/>
  <c r="HK72" i="2421"/>
  <c r="GG72" i="2421"/>
  <c r="FR72" i="2421"/>
  <c r="GV72" i="2421"/>
  <c r="FC72" i="2421"/>
  <c r="EN72" i="2421"/>
  <c r="DY72" i="2421"/>
  <c r="DJ72" i="2421"/>
  <c r="CU72" i="2421"/>
  <c r="CF72" i="2421"/>
  <c r="BQ72" i="2421"/>
  <c r="BB72" i="2421"/>
  <c r="RF63" i="2421"/>
  <c r="QQ63" i="2421"/>
  <c r="PM63" i="2421"/>
  <c r="QB63" i="2421"/>
  <c r="OX63" i="2421"/>
  <c r="OI63" i="2421"/>
  <c r="NT63" i="2421"/>
  <c r="MP63" i="2421"/>
  <c r="LL63" i="2421"/>
  <c r="MA63" i="2421"/>
  <c r="NE63" i="2421"/>
  <c r="KW63" i="2421"/>
  <c r="KH63" i="2421"/>
  <c r="IO63" i="2421"/>
  <c r="HZ63" i="2421"/>
  <c r="JS63" i="2421"/>
  <c r="JD63" i="2421"/>
  <c r="GV63" i="2421"/>
  <c r="HK63" i="2421"/>
  <c r="GG63" i="2421"/>
  <c r="FC63" i="2421"/>
  <c r="EN63" i="2421"/>
  <c r="DY63" i="2421"/>
  <c r="DJ63" i="2421"/>
  <c r="FR63" i="2421"/>
  <c r="CU63" i="2421"/>
  <c r="BB63" i="2421"/>
  <c r="CF63" i="2421"/>
  <c r="BQ63" i="2421"/>
  <c r="RF102" i="2421"/>
  <c r="QQ102" i="2421"/>
  <c r="PM102" i="2421"/>
  <c r="QB102" i="2421"/>
  <c r="NT102" i="2421"/>
  <c r="OX102" i="2421"/>
  <c r="OI102" i="2421"/>
  <c r="NE102" i="2421"/>
  <c r="MA102" i="2421"/>
  <c r="LL102" i="2421"/>
  <c r="MP102" i="2421"/>
  <c r="JS102" i="2421"/>
  <c r="KW102" i="2421"/>
  <c r="KH102" i="2421"/>
  <c r="JD102" i="2421"/>
  <c r="IO102" i="2421"/>
  <c r="HZ102" i="2421"/>
  <c r="GG102" i="2421"/>
  <c r="FR102" i="2421"/>
  <c r="GV102" i="2421"/>
  <c r="HK102" i="2421"/>
  <c r="CU102" i="2421"/>
  <c r="DY102" i="2421"/>
  <c r="EN102" i="2421"/>
  <c r="DJ102" i="2421"/>
  <c r="FC102" i="2421"/>
  <c r="CF102" i="2421"/>
  <c r="BB102" i="2421"/>
  <c r="BQ102" i="2421"/>
  <c r="RF21" i="2421"/>
  <c r="QQ21" i="2421"/>
  <c r="QB21" i="2421"/>
  <c r="PM21" i="2421"/>
  <c r="OX21" i="2421"/>
  <c r="OI21" i="2421"/>
  <c r="NE21" i="2421"/>
  <c r="NT21" i="2421"/>
  <c r="LL21" i="2421"/>
  <c r="MP21" i="2421"/>
  <c r="KH21" i="2421"/>
  <c r="JS21" i="2421"/>
  <c r="MA21" i="2421"/>
  <c r="KW21" i="2421"/>
  <c r="JD21" i="2421"/>
  <c r="IO21" i="2421"/>
  <c r="GV21" i="2421"/>
  <c r="FR21" i="2421"/>
  <c r="HZ21" i="2421"/>
  <c r="HK21" i="2421"/>
  <c r="GG21" i="2421"/>
  <c r="DJ21" i="2421"/>
  <c r="FC21" i="2421"/>
  <c r="EN21" i="2421"/>
  <c r="DY21" i="2421"/>
  <c r="CU21" i="2421"/>
  <c r="BB21" i="2421"/>
  <c r="CF21" i="2421"/>
  <c r="BQ21" i="2421"/>
  <c r="QQ44" i="2421"/>
  <c r="RF44" i="2421"/>
  <c r="QB44" i="2421"/>
  <c r="PM44" i="2421"/>
  <c r="OI44" i="2421"/>
  <c r="NT44" i="2421"/>
  <c r="OX44" i="2421"/>
  <c r="MP44" i="2421"/>
  <c r="NE44" i="2421"/>
  <c r="MA44" i="2421"/>
  <c r="KW44" i="2421"/>
  <c r="LL44" i="2421"/>
  <c r="KH44" i="2421"/>
  <c r="JD44" i="2421"/>
  <c r="JS44" i="2421"/>
  <c r="IO44" i="2421"/>
  <c r="HZ44" i="2421"/>
  <c r="GG44" i="2421"/>
  <c r="HK44" i="2421"/>
  <c r="GV44" i="2421"/>
  <c r="FR44" i="2421"/>
  <c r="FC44" i="2421"/>
  <c r="EN44" i="2421"/>
  <c r="DJ44" i="2421"/>
  <c r="DY44" i="2421"/>
  <c r="CU44" i="2421"/>
  <c r="BQ44" i="2421"/>
  <c r="BB44" i="2421"/>
  <c r="CF44" i="2421"/>
  <c r="QQ67" i="2421"/>
  <c r="RF67" i="2421"/>
  <c r="PM67" i="2421"/>
  <c r="OX67" i="2421"/>
  <c r="QB67" i="2421"/>
  <c r="OI67" i="2421"/>
  <c r="NT67" i="2421"/>
  <c r="MP67" i="2421"/>
  <c r="MA67" i="2421"/>
  <c r="NE67" i="2421"/>
  <c r="KW67" i="2421"/>
  <c r="LL67" i="2421"/>
  <c r="KH67" i="2421"/>
  <c r="JS67" i="2421"/>
  <c r="IO67" i="2421"/>
  <c r="HZ67" i="2421"/>
  <c r="JD67" i="2421"/>
  <c r="GV67" i="2421"/>
  <c r="HK67" i="2421"/>
  <c r="GG67" i="2421"/>
  <c r="EN67" i="2421"/>
  <c r="DY67" i="2421"/>
  <c r="DJ67" i="2421"/>
  <c r="FC67" i="2421"/>
  <c r="FR67" i="2421"/>
  <c r="CU67" i="2421"/>
  <c r="CF67" i="2421"/>
  <c r="BB67" i="2421"/>
  <c r="BQ67" i="2421"/>
  <c r="QQ26" i="2421"/>
  <c r="RF26" i="2421"/>
  <c r="QB26" i="2421"/>
  <c r="OX26" i="2421"/>
  <c r="OI26" i="2421"/>
  <c r="PM26" i="2421"/>
  <c r="NT26" i="2421"/>
  <c r="MP26" i="2421"/>
  <c r="NE26" i="2421"/>
  <c r="MA26" i="2421"/>
  <c r="LL26" i="2421"/>
  <c r="KH26" i="2421"/>
  <c r="KW26" i="2421"/>
  <c r="JD26" i="2421"/>
  <c r="IO26" i="2421"/>
  <c r="JS26" i="2421"/>
  <c r="HZ26" i="2421"/>
  <c r="GG26" i="2421"/>
  <c r="GV26" i="2421"/>
  <c r="FR26" i="2421"/>
  <c r="FC26" i="2421"/>
  <c r="DJ26" i="2421"/>
  <c r="EN26" i="2421"/>
  <c r="DY26" i="2421"/>
  <c r="HK26" i="2421"/>
  <c r="CU26" i="2421"/>
  <c r="CF26" i="2421"/>
  <c r="BQ26" i="2421"/>
  <c r="BB26" i="2421"/>
  <c r="RF104" i="2421"/>
  <c r="QQ104" i="2421"/>
  <c r="PM104" i="2421"/>
  <c r="NT104" i="2421"/>
  <c r="OI104" i="2421"/>
  <c r="OX104" i="2421"/>
  <c r="QB104" i="2421"/>
  <c r="NE104" i="2421"/>
  <c r="MA104" i="2421"/>
  <c r="LL104" i="2421"/>
  <c r="MP104" i="2421"/>
  <c r="JS104" i="2421"/>
  <c r="KH104" i="2421"/>
  <c r="JD104" i="2421"/>
  <c r="IO104" i="2421"/>
  <c r="KW104" i="2421"/>
  <c r="HZ104" i="2421"/>
  <c r="GG104" i="2421"/>
  <c r="FR104" i="2421"/>
  <c r="GV104" i="2421"/>
  <c r="HK104" i="2421"/>
  <c r="CU104" i="2421"/>
  <c r="DY104" i="2421"/>
  <c r="EN104" i="2421"/>
  <c r="DJ104" i="2421"/>
  <c r="FC104" i="2421"/>
  <c r="CF104" i="2421"/>
  <c r="BQ104" i="2421"/>
  <c r="BB104" i="2421"/>
  <c r="RF39" i="2421"/>
  <c r="QQ39" i="2421"/>
  <c r="OX39" i="2421"/>
  <c r="QB39" i="2421"/>
  <c r="PM39" i="2421"/>
  <c r="OI39" i="2421"/>
  <c r="NT39" i="2421"/>
  <c r="MP39" i="2421"/>
  <c r="NE39" i="2421"/>
  <c r="MA39" i="2421"/>
  <c r="LL39" i="2421"/>
  <c r="KW39" i="2421"/>
  <c r="KH39" i="2421"/>
  <c r="JS39" i="2421"/>
  <c r="HZ39" i="2421"/>
  <c r="JD39" i="2421"/>
  <c r="IO39" i="2421"/>
  <c r="GV39" i="2421"/>
  <c r="FR39" i="2421"/>
  <c r="GG39" i="2421"/>
  <c r="DJ39" i="2421"/>
  <c r="HK39" i="2421"/>
  <c r="DY39" i="2421"/>
  <c r="EN39" i="2421"/>
  <c r="FC39" i="2421"/>
  <c r="CU39" i="2421"/>
  <c r="BB39" i="2421"/>
  <c r="CF39" i="2421"/>
  <c r="BQ39" i="2421"/>
  <c r="QQ62" i="2421"/>
  <c r="RF62" i="2421"/>
  <c r="QB62" i="2421"/>
  <c r="PM62" i="2421"/>
  <c r="OX62" i="2421"/>
  <c r="OI62" i="2421"/>
  <c r="NT62" i="2421"/>
  <c r="MP62" i="2421"/>
  <c r="NE62" i="2421"/>
  <c r="MA62" i="2421"/>
  <c r="KW62" i="2421"/>
  <c r="KH62" i="2421"/>
  <c r="LL62" i="2421"/>
  <c r="JS62" i="2421"/>
  <c r="JD62" i="2421"/>
  <c r="IO62" i="2421"/>
  <c r="HZ62" i="2421"/>
  <c r="HK62" i="2421"/>
  <c r="GG62" i="2421"/>
  <c r="FR62" i="2421"/>
  <c r="GV62" i="2421"/>
  <c r="FC62" i="2421"/>
  <c r="EN62" i="2421"/>
  <c r="DY62" i="2421"/>
  <c r="DJ62" i="2421"/>
  <c r="CU62" i="2421"/>
  <c r="CF62" i="2421"/>
  <c r="BB62" i="2421"/>
  <c r="BQ62" i="2421"/>
  <c r="PM93" i="2421"/>
  <c r="RF93" i="2421"/>
  <c r="QQ93" i="2421"/>
  <c r="QB93" i="2421"/>
  <c r="OX93" i="2421"/>
  <c r="NT93" i="2421"/>
  <c r="OI93" i="2421"/>
  <c r="MP93" i="2421"/>
  <c r="NE93" i="2421"/>
  <c r="KW93" i="2421"/>
  <c r="LL93" i="2421"/>
  <c r="KH93" i="2421"/>
  <c r="JS93" i="2421"/>
  <c r="MA93" i="2421"/>
  <c r="HZ93" i="2421"/>
  <c r="JD93" i="2421"/>
  <c r="IO93" i="2421"/>
  <c r="GV93" i="2421"/>
  <c r="HK93" i="2421"/>
  <c r="FC93" i="2421"/>
  <c r="GG93" i="2421"/>
  <c r="FR93" i="2421"/>
  <c r="EN93" i="2421"/>
  <c r="DJ93" i="2421"/>
  <c r="CU93" i="2421"/>
  <c r="DY93" i="2421"/>
  <c r="CF93" i="2421"/>
  <c r="BQ93" i="2421"/>
  <c r="BB93" i="2421"/>
  <c r="RF31" i="2421"/>
  <c r="QQ31" i="2421"/>
  <c r="OX31" i="2421"/>
  <c r="QB31" i="2421"/>
  <c r="PM31" i="2421"/>
  <c r="OI31" i="2421"/>
  <c r="NT31" i="2421"/>
  <c r="NE31" i="2421"/>
  <c r="MA31" i="2421"/>
  <c r="LL31" i="2421"/>
  <c r="MP31" i="2421"/>
  <c r="KW31" i="2421"/>
  <c r="KH31" i="2421"/>
  <c r="HZ31" i="2421"/>
  <c r="IO31" i="2421"/>
  <c r="JD31" i="2421"/>
  <c r="JS31" i="2421"/>
  <c r="GV31" i="2421"/>
  <c r="FR31" i="2421"/>
  <c r="HK31" i="2421"/>
  <c r="GG31" i="2421"/>
  <c r="DJ31" i="2421"/>
  <c r="DY31" i="2421"/>
  <c r="FC31" i="2421"/>
  <c r="EN31" i="2421"/>
  <c r="CU31" i="2421"/>
  <c r="BB31" i="2421"/>
  <c r="CF31" i="2421"/>
  <c r="BQ31" i="2421"/>
  <c r="PM107" i="2421"/>
  <c r="RF107" i="2421"/>
  <c r="QQ107" i="2421"/>
  <c r="OX107" i="2421"/>
  <c r="QB107" i="2421"/>
  <c r="NT107" i="2421"/>
  <c r="OI107" i="2421"/>
  <c r="MP107" i="2421"/>
  <c r="KW107" i="2421"/>
  <c r="MA107" i="2421"/>
  <c r="LL107" i="2421"/>
  <c r="NE107" i="2421"/>
  <c r="JS107" i="2421"/>
  <c r="KH107" i="2421"/>
  <c r="HZ107" i="2421"/>
  <c r="JD107" i="2421"/>
  <c r="IO107" i="2421"/>
  <c r="GV107" i="2421"/>
  <c r="HK107" i="2421"/>
  <c r="GG107" i="2421"/>
  <c r="FR107" i="2421"/>
  <c r="EN107" i="2421"/>
  <c r="DJ107" i="2421"/>
  <c r="FC107" i="2421"/>
  <c r="DY107" i="2421"/>
  <c r="CF107" i="2421"/>
  <c r="CU107" i="2421"/>
  <c r="BB107" i="2421"/>
  <c r="BQ107" i="2421"/>
  <c r="RF106" i="2421"/>
  <c r="QQ106" i="2421"/>
  <c r="QB106" i="2421"/>
  <c r="NT106" i="2421"/>
  <c r="PM106" i="2421"/>
  <c r="OI106" i="2421"/>
  <c r="OX106" i="2421"/>
  <c r="NE106" i="2421"/>
  <c r="MA106" i="2421"/>
  <c r="LL106" i="2421"/>
  <c r="MP106" i="2421"/>
  <c r="KW106" i="2421"/>
  <c r="JS106" i="2421"/>
  <c r="KH106" i="2421"/>
  <c r="JD106" i="2421"/>
  <c r="IO106" i="2421"/>
  <c r="HZ106" i="2421"/>
  <c r="GG106" i="2421"/>
  <c r="FR106" i="2421"/>
  <c r="GV106" i="2421"/>
  <c r="HK106" i="2421"/>
  <c r="CU106" i="2421"/>
  <c r="FC106" i="2421"/>
  <c r="DY106" i="2421"/>
  <c r="EN106" i="2421"/>
  <c r="DJ106" i="2421"/>
  <c r="CF106" i="2421"/>
  <c r="BQ106" i="2421"/>
  <c r="BB106" i="2421"/>
  <c r="QQ81" i="2421"/>
  <c r="RF81" i="2421"/>
  <c r="PM81" i="2421"/>
  <c r="OX81" i="2421"/>
  <c r="QB81" i="2421"/>
  <c r="NT81" i="2421"/>
  <c r="OI81" i="2421"/>
  <c r="MP81" i="2421"/>
  <c r="MA81" i="2421"/>
  <c r="KW81" i="2421"/>
  <c r="KH81" i="2421"/>
  <c r="JS81" i="2421"/>
  <c r="LL81" i="2421"/>
  <c r="IO81" i="2421"/>
  <c r="HZ81" i="2421"/>
  <c r="JD81" i="2421"/>
  <c r="NE81" i="2421"/>
  <c r="GV81" i="2421"/>
  <c r="FC81" i="2421"/>
  <c r="HK81" i="2421"/>
  <c r="GG81" i="2421"/>
  <c r="EN81" i="2421"/>
  <c r="DY81" i="2421"/>
  <c r="DJ81" i="2421"/>
  <c r="FR81" i="2421"/>
  <c r="CU81" i="2421"/>
  <c r="CF81" i="2421"/>
  <c r="BB81" i="2421"/>
  <c r="BQ81" i="2421"/>
  <c r="RF86" i="2421"/>
  <c r="QQ86" i="2421"/>
  <c r="QB86" i="2421"/>
  <c r="PM86" i="2421"/>
  <c r="OX86" i="2421"/>
  <c r="NT86" i="2421"/>
  <c r="OI86" i="2421"/>
  <c r="NE86" i="2421"/>
  <c r="MA86" i="2421"/>
  <c r="MP86" i="2421"/>
  <c r="LL86" i="2421"/>
  <c r="KW86" i="2421"/>
  <c r="JS86" i="2421"/>
  <c r="KH86" i="2421"/>
  <c r="JD86" i="2421"/>
  <c r="IO86" i="2421"/>
  <c r="HZ86" i="2421"/>
  <c r="GG86" i="2421"/>
  <c r="FR86" i="2421"/>
  <c r="GV86" i="2421"/>
  <c r="HK86" i="2421"/>
  <c r="FC86" i="2421"/>
  <c r="CU86" i="2421"/>
  <c r="EN86" i="2421"/>
  <c r="DJ86" i="2421"/>
  <c r="CF86" i="2421"/>
  <c r="DY86" i="2421"/>
  <c r="BB86" i="2421"/>
  <c r="BQ86" i="2421"/>
  <c r="PM109" i="2421"/>
  <c r="RF109" i="2421"/>
  <c r="QQ109" i="2421"/>
  <c r="QB109" i="2421"/>
  <c r="OX109" i="2421"/>
  <c r="NT109" i="2421"/>
  <c r="OI109" i="2421"/>
  <c r="NE109" i="2421"/>
  <c r="MP109" i="2421"/>
  <c r="KW109" i="2421"/>
  <c r="LL109" i="2421"/>
  <c r="JS109" i="2421"/>
  <c r="MA109" i="2421"/>
  <c r="KH109" i="2421"/>
  <c r="HZ109" i="2421"/>
  <c r="JD109" i="2421"/>
  <c r="IO109" i="2421"/>
  <c r="GV109" i="2421"/>
  <c r="HK109" i="2421"/>
  <c r="GG109" i="2421"/>
  <c r="FR109" i="2421"/>
  <c r="FC109" i="2421"/>
  <c r="EN109" i="2421"/>
  <c r="DJ109" i="2421"/>
  <c r="CU109" i="2421"/>
  <c r="CF109" i="2421"/>
  <c r="DY109" i="2421"/>
  <c r="BB109" i="2421"/>
  <c r="BQ109" i="2421"/>
  <c r="QQ65" i="2421"/>
  <c r="PM65" i="2421"/>
  <c r="OX65" i="2421"/>
  <c r="RF65" i="2421"/>
  <c r="QB65" i="2421"/>
  <c r="OI65" i="2421"/>
  <c r="NT65" i="2421"/>
  <c r="MP65" i="2421"/>
  <c r="MA65" i="2421"/>
  <c r="KW65" i="2421"/>
  <c r="NE65" i="2421"/>
  <c r="LL65" i="2421"/>
  <c r="KH65" i="2421"/>
  <c r="IO65" i="2421"/>
  <c r="HZ65" i="2421"/>
  <c r="JD65" i="2421"/>
  <c r="GV65" i="2421"/>
  <c r="JS65" i="2421"/>
  <c r="HK65" i="2421"/>
  <c r="GG65" i="2421"/>
  <c r="EN65" i="2421"/>
  <c r="DY65" i="2421"/>
  <c r="DJ65" i="2421"/>
  <c r="FR65" i="2421"/>
  <c r="FC65" i="2421"/>
  <c r="CU65" i="2421"/>
  <c r="BB65" i="2421"/>
  <c r="CF65" i="2421"/>
  <c r="BQ65" i="2421"/>
  <c r="RF29" i="2421"/>
  <c r="QQ29" i="2421"/>
  <c r="QB29" i="2421"/>
  <c r="PM29" i="2421"/>
  <c r="OX29" i="2421"/>
  <c r="OI29" i="2421"/>
  <c r="NT29" i="2421"/>
  <c r="MP29" i="2421"/>
  <c r="KW29" i="2421"/>
  <c r="LL29" i="2421"/>
  <c r="NE29" i="2421"/>
  <c r="KH29" i="2421"/>
  <c r="MA29" i="2421"/>
  <c r="JS29" i="2421"/>
  <c r="JD29" i="2421"/>
  <c r="IO29" i="2421"/>
  <c r="HK29" i="2421"/>
  <c r="GV29" i="2421"/>
  <c r="FR29" i="2421"/>
  <c r="HZ29" i="2421"/>
  <c r="GG29" i="2421"/>
  <c r="DJ29" i="2421"/>
  <c r="DY29" i="2421"/>
  <c r="EN29" i="2421"/>
  <c r="FC29" i="2421"/>
  <c r="CU29" i="2421"/>
  <c r="BB29" i="2421"/>
  <c r="CF29" i="2421"/>
  <c r="BQ29" i="2421"/>
  <c r="QQ66" i="2421"/>
  <c r="RF66" i="2421"/>
  <c r="QB66" i="2421"/>
  <c r="PM66" i="2421"/>
  <c r="OX66" i="2421"/>
  <c r="OI66" i="2421"/>
  <c r="NT66" i="2421"/>
  <c r="MP66" i="2421"/>
  <c r="NE66" i="2421"/>
  <c r="MA66" i="2421"/>
  <c r="KW66" i="2421"/>
  <c r="LL66" i="2421"/>
  <c r="KH66" i="2421"/>
  <c r="JS66" i="2421"/>
  <c r="JD66" i="2421"/>
  <c r="IO66" i="2421"/>
  <c r="HZ66" i="2421"/>
  <c r="HK66" i="2421"/>
  <c r="GG66" i="2421"/>
  <c r="FR66" i="2421"/>
  <c r="GV66" i="2421"/>
  <c r="FC66" i="2421"/>
  <c r="EN66" i="2421"/>
  <c r="DY66" i="2421"/>
  <c r="DJ66" i="2421"/>
  <c r="CU66" i="2421"/>
  <c r="BQ66" i="2421"/>
  <c r="CF66" i="2421"/>
  <c r="BB66" i="2421"/>
  <c r="QQ70" i="2421"/>
  <c r="RF70" i="2421"/>
  <c r="QB70" i="2421"/>
  <c r="PM70" i="2421"/>
  <c r="OX70" i="2421"/>
  <c r="OI70" i="2421"/>
  <c r="NT70" i="2421"/>
  <c r="NE70" i="2421"/>
  <c r="MA70" i="2421"/>
  <c r="MP70" i="2421"/>
  <c r="KW70" i="2421"/>
  <c r="LL70" i="2421"/>
  <c r="KH70" i="2421"/>
  <c r="JS70" i="2421"/>
  <c r="JD70" i="2421"/>
  <c r="IO70" i="2421"/>
  <c r="HZ70" i="2421"/>
  <c r="HK70" i="2421"/>
  <c r="GG70" i="2421"/>
  <c r="FR70" i="2421"/>
  <c r="GV70" i="2421"/>
  <c r="FC70" i="2421"/>
  <c r="EN70" i="2421"/>
  <c r="DY70" i="2421"/>
  <c r="DJ70" i="2421"/>
  <c r="CU70" i="2421"/>
  <c r="CF70" i="2421"/>
  <c r="BB70" i="2421"/>
  <c r="BQ70" i="2421"/>
  <c r="QQ60" i="2421"/>
  <c r="RF60" i="2421"/>
  <c r="QB60" i="2421"/>
  <c r="PM60" i="2421"/>
  <c r="OI60" i="2421"/>
  <c r="NT60" i="2421"/>
  <c r="OX60" i="2421"/>
  <c r="NE60" i="2421"/>
  <c r="MP60" i="2421"/>
  <c r="MA60" i="2421"/>
  <c r="KW60" i="2421"/>
  <c r="LL60" i="2421"/>
  <c r="KH60" i="2421"/>
  <c r="JD60" i="2421"/>
  <c r="JS60" i="2421"/>
  <c r="HZ60" i="2421"/>
  <c r="IO60" i="2421"/>
  <c r="HK60" i="2421"/>
  <c r="GG60" i="2421"/>
  <c r="FR60" i="2421"/>
  <c r="GV60" i="2421"/>
  <c r="FC60" i="2421"/>
  <c r="EN60" i="2421"/>
  <c r="DY60" i="2421"/>
  <c r="DJ60" i="2421"/>
  <c r="CU60" i="2421"/>
  <c r="BQ60" i="2421"/>
  <c r="BB60" i="2421"/>
  <c r="CF60" i="2421"/>
  <c r="RF35" i="2421"/>
  <c r="QQ35" i="2421"/>
  <c r="PM35" i="2421"/>
  <c r="QB35" i="2421"/>
  <c r="OX35" i="2421"/>
  <c r="OI35" i="2421"/>
  <c r="NT35" i="2421"/>
  <c r="NE35" i="2421"/>
  <c r="MA35" i="2421"/>
  <c r="KW35" i="2421"/>
  <c r="LL35" i="2421"/>
  <c r="KH35" i="2421"/>
  <c r="MP35" i="2421"/>
  <c r="HZ35" i="2421"/>
  <c r="JD35" i="2421"/>
  <c r="HK35" i="2421"/>
  <c r="GV35" i="2421"/>
  <c r="FR35" i="2421"/>
  <c r="IO35" i="2421"/>
  <c r="GG35" i="2421"/>
  <c r="DJ35" i="2421"/>
  <c r="DY35" i="2421"/>
  <c r="FC35" i="2421"/>
  <c r="JS35" i="2421"/>
  <c r="EN35" i="2421"/>
  <c r="CU35" i="2421"/>
  <c r="BB35" i="2421"/>
  <c r="CF35" i="2421"/>
  <c r="BQ35" i="2421"/>
  <c r="QQ74" i="2421"/>
  <c r="RF74" i="2421"/>
  <c r="QB74" i="2421"/>
  <c r="PM74" i="2421"/>
  <c r="OX74" i="2421"/>
  <c r="OI74" i="2421"/>
  <c r="NT74" i="2421"/>
  <c r="NE74" i="2421"/>
  <c r="MP74" i="2421"/>
  <c r="MA74" i="2421"/>
  <c r="LL74" i="2421"/>
  <c r="KW74" i="2421"/>
  <c r="KH74" i="2421"/>
  <c r="JS74" i="2421"/>
  <c r="JD74" i="2421"/>
  <c r="IO74" i="2421"/>
  <c r="HZ74" i="2421"/>
  <c r="HK74" i="2421"/>
  <c r="GG74" i="2421"/>
  <c r="FR74" i="2421"/>
  <c r="GV74" i="2421"/>
  <c r="FC74" i="2421"/>
  <c r="EN74" i="2421"/>
  <c r="DY74" i="2421"/>
  <c r="DJ74" i="2421"/>
  <c r="CF74" i="2421"/>
  <c r="CU74" i="2421"/>
  <c r="BQ74" i="2421"/>
  <c r="BB74" i="2421"/>
  <c r="RF57" i="2421"/>
  <c r="QQ57" i="2421"/>
  <c r="PM57" i="2421"/>
  <c r="OX57" i="2421"/>
  <c r="QB57" i="2421"/>
  <c r="OI57" i="2421"/>
  <c r="NT57" i="2421"/>
  <c r="MP57" i="2421"/>
  <c r="LL57" i="2421"/>
  <c r="NE57" i="2421"/>
  <c r="MA57" i="2421"/>
  <c r="JS57" i="2421"/>
  <c r="KW57" i="2421"/>
  <c r="KH57" i="2421"/>
  <c r="HZ57" i="2421"/>
  <c r="JD57" i="2421"/>
  <c r="IO57" i="2421"/>
  <c r="GV57" i="2421"/>
  <c r="FR57" i="2421"/>
  <c r="HK57" i="2421"/>
  <c r="GG57" i="2421"/>
  <c r="EN57" i="2421"/>
  <c r="DY57" i="2421"/>
  <c r="DJ57" i="2421"/>
  <c r="FC57" i="2421"/>
  <c r="CU57" i="2421"/>
  <c r="BB57" i="2421"/>
  <c r="CF57" i="2421"/>
  <c r="BQ57" i="2421"/>
  <c r="QQ56" i="2421"/>
  <c r="RF56" i="2421"/>
  <c r="OX56" i="2421"/>
  <c r="PM56" i="2421"/>
  <c r="OI56" i="2421"/>
  <c r="QB56" i="2421"/>
  <c r="NT56" i="2421"/>
  <c r="MP56" i="2421"/>
  <c r="KW56" i="2421"/>
  <c r="NE56" i="2421"/>
  <c r="MA56" i="2421"/>
  <c r="LL56" i="2421"/>
  <c r="KH56" i="2421"/>
  <c r="JD56" i="2421"/>
  <c r="IO56" i="2421"/>
  <c r="JS56" i="2421"/>
  <c r="HZ56" i="2421"/>
  <c r="HK56" i="2421"/>
  <c r="GG56" i="2421"/>
  <c r="GV56" i="2421"/>
  <c r="FR56" i="2421"/>
  <c r="FC56" i="2421"/>
  <c r="EN56" i="2421"/>
  <c r="DJ56" i="2421"/>
  <c r="DY56" i="2421"/>
  <c r="CU56" i="2421"/>
  <c r="CF56" i="2421"/>
  <c r="BQ56" i="2421"/>
  <c r="BB56" i="2421"/>
  <c r="RF55" i="2421"/>
  <c r="QQ55" i="2421"/>
  <c r="OX55" i="2421"/>
  <c r="PM55" i="2421"/>
  <c r="QB55" i="2421"/>
  <c r="OI55" i="2421"/>
  <c r="MP55" i="2421"/>
  <c r="NT55" i="2421"/>
  <c r="KW55" i="2421"/>
  <c r="NE55" i="2421"/>
  <c r="MA55" i="2421"/>
  <c r="LL55" i="2421"/>
  <c r="JS55" i="2421"/>
  <c r="KH55" i="2421"/>
  <c r="HZ55" i="2421"/>
  <c r="JD55" i="2421"/>
  <c r="IO55" i="2421"/>
  <c r="GV55" i="2421"/>
  <c r="FR55" i="2421"/>
  <c r="HK55" i="2421"/>
  <c r="GG55" i="2421"/>
  <c r="EN55" i="2421"/>
  <c r="DJ55" i="2421"/>
  <c r="DY55" i="2421"/>
  <c r="FC55" i="2421"/>
  <c r="CU55" i="2421"/>
  <c r="BB55" i="2421"/>
  <c r="CF55" i="2421"/>
  <c r="BQ55" i="2421"/>
  <c r="RF94" i="2421"/>
  <c r="QQ94" i="2421"/>
  <c r="QB94" i="2421"/>
  <c r="OX94" i="2421"/>
  <c r="PM94" i="2421"/>
  <c r="NT94" i="2421"/>
  <c r="OI94" i="2421"/>
  <c r="NE94" i="2421"/>
  <c r="MP94" i="2421"/>
  <c r="MA94" i="2421"/>
  <c r="LL94" i="2421"/>
  <c r="KW94" i="2421"/>
  <c r="JS94" i="2421"/>
  <c r="KH94" i="2421"/>
  <c r="JD94" i="2421"/>
  <c r="IO94" i="2421"/>
  <c r="HZ94" i="2421"/>
  <c r="GG94" i="2421"/>
  <c r="FR94" i="2421"/>
  <c r="GV94" i="2421"/>
  <c r="HK94" i="2421"/>
  <c r="CU94" i="2421"/>
  <c r="EN94" i="2421"/>
  <c r="DJ94" i="2421"/>
  <c r="FC94" i="2421"/>
  <c r="CF94" i="2421"/>
  <c r="DY94" i="2421"/>
  <c r="BB94" i="2421"/>
  <c r="BQ94" i="2421"/>
  <c r="RF28" i="2421"/>
  <c r="QQ28" i="2421"/>
  <c r="PM28" i="2421"/>
  <c r="QB28" i="2421"/>
  <c r="OX28" i="2421"/>
  <c r="OI28" i="2421"/>
  <c r="NT28" i="2421"/>
  <c r="MP28" i="2421"/>
  <c r="NE28" i="2421"/>
  <c r="MA28" i="2421"/>
  <c r="KW28" i="2421"/>
  <c r="LL28" i="2421"/>
  <c r="KH28" i="2421"/>
  <c r="JD28" i="2421"/>
  <c r="IO28" i="2421"/>
  <c r="HZ28" i="2421"/>
  <c r="GG28" i="2421"/>
  <c r="HK28" i="2421"/>
  <c r="GV28" i="2421"/>
  <c r="JS28" i="2421"/>
  <c r="FR28" i="2421"/>
  <c r="EN28" i="2421"/>
  <c r="FC28" i="2421"/>
  <c r="DJ28" i="2421"/>
  <c r="DY28" i="2421"/>
  <c r="CU28" i="2421"/>
  <c r="CF28" i="2421"/>
  <c r="BQ28" i="2421"/>
  <c r="BB28" i="2421"/>
  <c r="RF59" i="2421"/>
  <c r="QQ59" i="2421"/>
  <c r="PM59" i="2421"/>
  <c r="QB59" i="2421"/>
  <c r="OI59" i="2421"/>
  <c r="NT59" i="2421"/>
  <c r="MP59" i="2421"/>
  <c r="OX59" i="2421"/>
  <c r="LL59" i="2421"/>
  <c r="MA59" i="2421"/>
  <c r="NE59" i="2421"/>
  <c r="JS59" i="2421"/>
  <c r="KW59" i="2421"/>
  <c r="KH59" i="2421"/>
  <c r="HZ59" i="2421"/>
  <c r="IO59" i="2421"/>
  <c r="JD59" i="2421"/>
  <c r="GV59" i="2421"/>
  <c r="FR59" i="2421"/>
  <c r="HK59" i="2421"/>
  <c r="GG59" i="2421"/>
  <c r="EN59" i="2421"/>
  <c r="DY59" i="2421"/>
  <c r="DJ59" i="2421"/>
  <c r="FC59" i="2421"/>
  <c r="CU59" i="2421"/>
  <c r="CF59" i="2421"/>
  <c r="BB59" i="2421"/>
  <c r="BQ59" i="2421"/>
  <c r="QQ73" i="2421"/>
  <c r="RF73" i="2421"/>
  <c r="PM73" i="2421"/>
  <c r="OX73" i="2421"/>
  <c r="QB73" i="2421"/>
  <c r="OI73" i="2421"/>
  <c r="NT73" i="2421"/>
  <c r="MA73" i="2421"/>
  <c r="NE73" i="2421"/>
  <c r="LL73" i="2421"/>
  <c r="KW73" i="2421"/>
  <c r="MP73" i="2421"/>
  <c r="KH73" i="2421"/>
  <c r="JS73" i="2421"/>
  <c r="IO73" i="2421"/>
  <c r="HZ73" i="2421"/>
  <c r="JD73" i="2421"/>
  <c r="GV73" i="2421"/>
  <c r="HK73" i="2421"/>
  <c r="GG73" i="2421"/>
  <c r="EN73" i="2421"/>
  <c r="DY73" i="2421"/>
  <c r="DJ73" i="2421"/>
  <c r="FR73" i="2421"/>
  <c r="FC73" i="2421"/>
  <c r="CU73" i="2421"/>
  <c r="CF73" i="2421"/>
  <c r="BB73" i="2421"/>
  <c r="BQ73" i="2421"/>
  <c r="RF96" i="2421"/>
  <c r="QQ96" i="2421"/>
  <c r="NT96" i="2421"/>
  <c r="QB96" i="2421"/>
  <c r="PM96" i="2421"/>
  <c r="OI96" i="2421"/>
  <c r="OX96" i="2421"/>
  <c r="NE96" i="2421"/>
  <c r="MP96" i="2421"/>
  <c r="MA96" i="2421"/>
  <c r="LL96" i="2421"/>
  <c r="KW96" i="2421"/>
  <c r="JS96" i="2421"/>
  <c r="KH96" i="2421"/>
  <c r="JD96" i="2421"/>
  <c r="IO96" i="2421"/>
  <c r="HZ96" i="2421"/>
  <c r="GG96" i="2421"/>
  <c r="FR96" i="2421"/>
  <c r="GV96" i="2421"/>
  <c r="HK96" i="2421"/>
  <c r="CU96" i="2421"/>
  <c r="EN96" i="2421"/>
  <c r="DJ96" i="2421"/>
  <c r="FC96" i="2421"/>
  <c r="DY96" i="2421"/>
  <c r="CF96" i="2421"/>
  <c r="BQ96" i="2421"/>
  <c r="BB96" i="2421"/>
  <c r="PM111" i="2421"/>
  <c r="RF111" i="2421"/>
  <c r="QQ111" i="2421"/>
  <c r="OX111" i="2421"/>
  <c r="QB111" i="2421"/>
  <c r="NT111" i="2421"/>
  <c r="OI111" i="2421"/>
  <c r="LL111" i="2421"/>
  <c r="MA111" i="2421"/>
  <c r="KW111" i="2421"/>
  <c r="NE111" i="2421"/>
  <c r="MP111" i="2421"/>
  <c r="JS111" i="2421"/>
  <c r="KH111" i="2421"/>
  <c r="HZ111" i="2421"/>
  <c r="JD111" i="2421"/>
  <c r="IO111" i="2421"/>
  <c r="GV111" i="2421"/>
  <c r="FC111" i="2421"/>
  <c r="HK111" i="2421"/>
  <c r="GG111" i="2421"/>
  <c r="FR111" i="2421"/>
  <c r="EN111" i="2421"/>
  <c r="DJ111" i="2421"/>
  <c r="CU111" i="2421"/>
  <c r="DY111" i="2421"/>
  <c r="CF111" i="2421"/>
  <c r="BB111" i="2421"/>
  <c r="BQ111" i="2421"/>
  <c r="RF30" i="2421"/>
  <c r="QQ30" i="2421"/>
  <c r="QB30" i="2421"/>
  <c r="OX30" i="2421"/>
  <c r="OI30" i="2421"/>
  <c r="PM30" i="2421"/>
  <c r="NT30" i="2421"/>
  <c r="MP30" i="2421"/>
  <c r="LL30" i="2421"/>
  <c r="KW30" i="2421"/>
  <c r="NE30" i="2421"/>
  <c r="MA30" i="2421"/>
  <c r="KH30" i="2421"/>
  <c r="JS30" i="2421"/>
  <c r="JD30" i="2421"/>
  <c r="IO30" i="2421"/>
  <c r="GG30" i="2421"/>
  <c r="HZ30" i="2421"/>
  <c r="HK30" i="2421"/>
  <c r="GV30" i="2421"/>
  <c r="FR30" i="2421"/>
  <c r="FC30" i="2421"/>
  <c r="DJ30" i="2421"/>
  <c r="EN30" i="2421"/>
  <c r="DY30" i="2421"/>
  <c r="CU30" i="2421"/>
  <c r="BB30" i="2421"/>
  <c r="CF30" i="2421"/>
  <c r="BQ30" i="2421"/>
  <c r="RF61" i="2421"/>
  <c r="QQ61" i="2421"/>
  <c r="QB61" i="2421"/>
  <c r="PM61" i="2421"/>
  <c r="OX61" i="2421"/>
  <c r="OI61" i="2421"/>
  <c r="NT61" i="2421"/>
  <c r="MP61" i="2421"/>
  <c r="LL61" i="2421"/>
  <c r="NE61" i="2421"/>
  <c r="KW61" i="2421"/>
  <c r="JS61" i="2421"/>
  <c r="MA61" i="2421"/>
  <c r="KH61" i="2421"/>
  <c r="HZ61" i="2421"/>
  <c r="IO61" i="2421"/>
  <c r="JD61" i="2421"/>
  <c r="FR61" i="2421"/>
  <c r="GV61" i="2421"/>
  <c r="HK61" i="2421"/>
  <c r="GG61" i="2421"/>
  <c r="EN61" i="2421"/>
  <c r="DY61" i="2421"/>
  <c r="DJ61" i="2421"/>
  <c r="FC61" i="2421"/>
  <c r="CU61" i="2421"/>
  <c r="BB61" i="2421"/>
  <c r="CF61" i="2421"/>
  <c r="BQ61" i="2421"/>
  <c r="RF100" i="2421"/>
  <c r="QQ100" i="2421"/>
  <c r="PM100" i="2421"/>
  <c r="QB100" i="2421"/>
  <c r="OX100" i="2421"/>
  <c r="NT100" i="2421"/>
  <c r="OI100" i="2421"/>
  <c r="NE100" i="2421"/>
  <c r="MA100" i="2421"/>
  <c r="LL100" i="2421"/>
  <c r="MP100" i="2421"/>
  <c r="JS100" i="2421"/>
  <c r="KH100" i="2421"/>
  <c r="JD100" i="2421"/>
  <c r="IO100" i="2421"/>
  <c r="KW100" i="2421"/>
  <c r="HZ100" i="2421"/>
  <c r="GG100" i="2421"/>
  <c r="FR100" i="2421"/>
  <c r="GV100" i="2421"/>
  <c r="HK100" i="2421"/>
  <c r="CU100" i="2421"/>
  <c r="FC100" i="2421"/>
  <c r="DY100" i="2421"/>
  <c r="EN100" i="2421"/>
  <c r="DJ100" i="2421"/>
  <c r="CF100" i="2421"/>
  <c r="BQ100" i="2421"/>
  <c r="BB100" i="2421"/>
  <c r="RF85" i="2421"/>
  <c r="QQ85" i="2421"/>
  <c r="QB85" i="2421"/>
  <c r="PM85" i="2421"/>
  <c r="OX85" i="2421"/>
  <c r="NT85" i="2421"/>
  <c r="OI85" i="2421"/>
  <c r="MA85" i="2421"/>
  <c r="NE85" i="2421"/>
  <c r="KW85" i="2421"/>
  <c r="MP85" i="2421"/>
  <c r="LL85" i="2421"/>
  <c r="KH85" i="2421"/>
  <c r="JS85" i="2421"/>
  <c r="HZ85" i="2421"/>
  <c r="JD85" i="2421"/>
  <c r="IO85" i="2421"/>
  <c r="GV85" i="2421"/>
  <c r="FC85" i="2421"/>
  <c r="HK85" i="2421"/>
  <c r="GG85" i="2421"/>
  <c r="EN85" i="2421"/>
  <c r="DJ85" i="2421"/>
  <c r="FR85" i="2421"/>
  <c r="DY85" i="2421"/>
  <c r="CU85" i="2421"/>
  <c r="CF85" i="2421"/>
  <c r="BB85" i="2421"/>
  <c r="BQ85" i="2421"/>
  <c r="RF108" i="2421"/>
  <c r="QQ108" i="2421"/>
  <c r="QB108" i="2421"/>
  <c r="PM108" i="2421"/>
  <c r="OX108" i="2421"/>
  <c r="NT108" i="2421"/>
  <c r="OI108" i="2421"/>
  <c r="NE108" i="2421"/>
  <c r="MA108" i="2421"/>
  <c r="LL108" i="2421"/>
  <c r="MP108" i="2421"/>
  <c r="JS108" i="2421"/>
  <c r="KH108" i="2421"/>
  <c r="KW108" i="2421"/>
  <c r="JD108" i="2421"/>
  <c r="IO108" i="2421"/>
  <c r="HZ108" i="2421"/>
  <c r="GG108" i="2421"/>
  <c r="FR108" i="2421"/>
  <c r="GV108" i="2421"/>
  <c r="HK108" i="2421"/>
  <c r="CU108" i="2421"/>
  <c r="FC108" i="2421"/>
  <c r="DY108" i="2421"/>
  <c r="EN108" i="2421"/>
  <c r="DJ108" i="2421"/>
  <c r="CF108" i="2421"/>
  <c r="BQ108" i="2421"/>
  <c r="BB108" i="2421"/>
  <c r="RF83" i="2421"/>
  <c r="QQ83" i="2421"/>
  <c r="PM83" i="2421"/>
  <c r="OX83" i="2421"/>
  <c r="QB83" i="2421"/>
  <c r="NT83" i="2421"/>
  <c r="OI83" i="2421"/>
  <c r="MP83" i="2421"/>
  <c r="MA83" i="2421"/>
  <c r="NE83" i="2421"/>
  <c r="KW83" i="2421"/>
  <c r="LL83" i="2421"/>
  <c r="KH83" i="2421"/>
  <c r="JS83" i="2421"/>
  <c r="IO83" i="2421"/>
  <c r="HZ83" i="2421"/>
  <c r="JD83" i="2421"/>
  <c r="GV83" i="2421"/>
  <c r="FC83" i="2421"/>
  <c r="HK83" i="2421"/>
  <c r="GG83" i="2421"/>
  <c r="EN83" i="2421"/>
  <c r="DJ83" i="2421"/>
  <c r="FR83" i="2421"/>
  <c r="CU83" i="2421"/>
  <c r="CF83" i="2421"/>
  <c r="DY83" i="2421"/>
  <c r="BB83" i="2421"/>
  <c r="BQ83" i="2421"/>
  <c r="RF98" i="2421"/>
  <c r="QQ98" i="2421"/>
  <c r="PM98" i="2421"/>
  <c r="QB98" i="2421"/>
  <c r="NT98" i="2421"/>
  <c r="OI98" i="2421"/>
  <c r="OX98" i="2421"/>
  <c r="NE98" i="2421"/>
  <c r="MA98" i="2421"/>
  <c r="LL98" i="2421"/>
  <c r="MP98" i="2421"/>
  <c r="JS98" i="2421"/>
  <c r="KH98" i="2421"/>
  <c r="KW98" i="2421"/>
  <c r="JD98" i="2421"/>
  <c r="IO98" i="2421"/>
  <c r="HZ98" i="2421"/>
  <c r="GG98" i="2421"/>
  <c r="FR98" i="2421"/>
  <c r="GV98" i="2421"/>
  <c r="HK98" i="2421"/>
  <c r="CU98" i="2421"/>
  <c r="FC98" i="2421"/>
  <c r="DY98" i="2421"/>
  <c r="EN98" i="2421"/>
  <c r="DJ98" i="2421"/>
  <c r="CF98" i="2421"/>
  <c r="BQ98" i="2421"/>
  <c r="BB98" i="2421"/>
  <c r="QQ71" i="2421"/>
  <c r="RF71" i="2421"/>
  <c r="PM71" i="2421"/>
  <c r="QB71" i="2421"/>
  <c r="OX71" i="2421"/>
  <c r="OI71" i="2421"/>
  <c r="NT71" i="2421"/>
  <c r="MP71" i="2421"/>
  <c r="NE71" i="2421"/>
  <c r="KW71" i="2421"/>
  <c r="MA71" i="2421"/>
  <c r="LL71" i="2421"/>
  <c r="KH71" i="2421"/>
  <c r="JS71" i="2421"/>
  <c r="IO71" i="2421"/>
  <c r="HZ71" i="2421"/>
  <c r="JD71" i="2421"/>
  <c r="GV71" i="2421"/>
  <c r="HK71" i="2421"/>
  <c r="GG71" i="2421"/>
  <c r="EN71" i="2421"/>
  <c r="DY71" i="2421"/>
  <c r="DJ71" i="2421"/>
  <c r="FR71" i="2421"/>
  <c r="FC71" i="2421"/>
  <c r="CU71" i="2421"/>
  <c r="BB71" i="2421"/>
  <c r="CF71" i="2421"/>
  <c r="BQ71" i="2421"/>
  <c r="QQ54" i="2421"/>
  <c r="RF54" i="2421"/>
  <c r="QB54" i="2421"/>
  <c r="PM54" i="2421"/>
  <c r="OX54" i="2421"/>
  <c r="OI54" i="2421"/>
  <c r="NT54" i="2421"/>
  <c r="MP54" i="2421"/>
  <c r="NE54" i="2421"/>
  <c r="MA54" i="2421"/>
  <c r="KH54" i="2421"/>
  <c r="KW54" i="2421"/>
  <c r="LL54" i="2421"/>
  <c r="JD54" i="2421"/>
  <c r="JS54" i="2421"/>
  <c r="IO54" i="2421"/>
  <c r="HZ54" i="2421"/>
  <c r="HK54" i="2421"/>
  <c r="GG54" i="2421"/>
  <c r="GV54" i="2421"/>
  <c r="FR54" i="2421"/>
  <c r="FC54" i="2421"/>
  <c r="EN54" i="2421"/>
  <c r="DJ54" i="2421"/>
  <c r="DY54" i="2421"/>
  <c r="CU54" i="2421"/>
  <c r="CF54" i="2421"/>
  <c r="BB54" i="2421"/>
  <c r="BQ54" i="2421"/>
  <c r="QQ77" i="2421"/>
  <c r="RF77" i="2421"/>
  <c r="QB77" i="2421"/>
  <c r="PM77" i="2421"/>
  <c r="OX77" i="2421"/>
  <c r="NT77" i="2421"/>
  <c r="OI77" i="2421"/>
  <c r="MP77" i="2421"/>
  <c r="NE77" i="2421"/>
  <c r="KW77" i="2421"/>
  <c r="MA77" i="2421"/>
  <c r="LL77" i="2421"/>
  <c r="KH77" i="2421"/>
  <c r="JS77" i="2421"/>
  <c r="IO77" i="2421"/>
  <c r="HZ77" i="2421"/>
  <c r="JD77" i="2421"/>
  <c r="GV77" i="2421"/>
  <c r="FC77" i="2421"/>
  <c r="HK77" i="2421"/>
  <c r="GG77" i="2421"/>
  <c r="EN77" i="2421"/>
  <c r="DY77" i="2421"/>
  <c r="DJ77" i="2421"/>
  <c r="FR77" i="2421"/>
  <c r="CU77" i="2421"/>
  <c r="CF77" i="2421"/>
  <c r="BB77" i="2421"/>
  <c r="BQ77" i="2421"/>
  <c r="RF92" i="2421"/>
  <c r="QQ92" i="2421"/>
  <c r="QB92" i="2421"/>
  <c r="PM92" i="2421"/>
  <c r="OX92" i="2421"/>
  <c r="NT92" i="2421"/>
  <c r="OI92" i="2421"/>
  <c r="NE92" i="2421"/>
  <c r="MP92" i="2421"/>
  <c r="MA92" i="2421"/>
  <c r="LL92" i="2421"/>
  <c r="KW92" i="2421"/>
  <c r="JS92" i="2421"/>
  <c r="KH92" i="2421"/>
  <c r="JD92" i="2421"/>
  <c r="IO92" i="2421"/>
  <c r="HZ92" i="2421"/>
  <c r="GG92" i="2421"/>
  <c r="FR92" i="2421"/>
  <c r="GV92" i="2421"/>
  <c r="HK92" i="2421"/>
  <c r="FC92" i="2421"/>
  <c r="CU92" i="2421"/>
  <c r="EN92" i="2421"/>
  <c r="DJ92" i="2421"/>
  <c r="CF92" i="2421"/>
  <c r="DY92" i="2421"/>
  <c r="BQ92" i="2421"/>
  <c r="BB92" i="2421"/>
  <c r="RF33" i="2421"/>
  <c r="QQ33" i="2421"/>
  <c r="OX33" i="2421"/>
  <c r="PM33" i="2421"/>
  <c r="QB33" i="2421"/>
  <c r="OI33" i="2421"/>
  <c r="NT33" i="2421"/>
  <c r="MP33" i="2421"/>
  <c r="NE33" i="2421"/>
  <c r="MA33" i="2421"/>
  <c r="LL33" i="2421"/>
  <c r="KW33" i="2421"/>
  <c r="KH33" i="2421"/>
  <c r="IO33" i="2421"/>
  <c r="HZ33" i="2421"/>
  <c r="JD33" i="2421"/>
  <c r="JS33" i="2421"/>
  <c r="HK33" i="2421"/>
  <c r="GV33" i="2421"/>
  <c r="FR33" i="2421"/>
  <c r="GG33" i="2421"/>
  <c r="DJ33" i="2421"/>
  <c r="DY33" i="2421"/>
  <c r="EN33" i="2421"/>
  <c r="FC33" i="2421"/>
  <c r="CU33" i="2421"/>
  <c r="BB33" i="2421"/>
  <c r="CF33" i="2421"/>
  <c r="BQ33" i="2421"/>
  <c r="QQ82" i="2421"/>
  <c r="RF82" i="2421"/>
  <c r="QB82" i="2421"/>
  <c r="PM82" i="2421"/>
  <c r="OX82" i="2421"/>
  <c r="NT82" i="2421"/>
  <c r="OI82" i="2421"/>
  <c r="MP82" i="2421"/>
  <c r="NE82" i="2421"/>
  <c r="MA82" i="2421"/>
  <c r="LL82" i="2421"/>
  <c r="KW82" i="2421"/>
  <c r="JS82" i="2421"/>
  <c r="KH82" i="2421"/>
  <c r="JD82" i="2421"/>
  <c r="IO82" i="2421"/>
  <c r="HZ82" i="2421"/>
  <c r="HK82" i="2421"/>
  <c r="GG82" i="2421"/>
  <c r="FR82" i="2421"/>
  <c r="GV82" i="2421"/>
  <c r="FC82" i="2421"/>
  <c r="EN82" i="2421"/>
  <c r="DJ82" i="2421"/>
  <c r="CU82" i="2421"/>
  <c r="CF82" i="2421"/>
  <c r="DY82" i="2421"/>
  <c r="BQ82" i="2421"/>
  <c r="BB82" i="2421"/>
  <c r="RF37" i="2421"/>
  <c r="QQ37" i="2421"/>
  <c r="QB37" i="2421"/>
  <c r="PM37" i="2421"/>
  <c r="OX37" i="2421"/>
  <c r="OI37" i="2421"/>
  <c r="NT37" i="2421"/>
  <c r="MP37" i="2421"/>
  <c r="NE37" i="2421"/>
  <c r="MA37" i="2421"/>
  <c r="LL37" i="2421"/>
  <c r="KH37" i="2421"/>
  <c r="HZ37" i="2421"/>
  <c r="KW37" i="2421"/>
  <c r="JD37" i="2421"/>
  <c r="JS37" i="2421"/>
  <c r="IO37" i="2421"/>
  <c r="HK37" i="2421"/>
  <c r="GV37" i="2421"/>
  <c r="FR37" i="2421"/>
  <c r="GG37" i="2421"/>
  <c r="DJ37" i="2421"/>
  <c r="DY37" i="2421"/>
  <c r="FC37" i="2421"/>
  <c r="EN37" i="2421"/>
  <c r="CU37" i="2421"/>
  <c r="CF37" i="2421"/>
  <c r="BQ37" i="2421"/>
  <c r="BB37" i="2421"/>
  <c r="QQ36" i="2421"/>
  <c r="RF36" i="2421"/>
  <c r="QB36" i="2421"/>
  <c r="PM36" i="2421"/>
  <c r="OX36" i="2421"/>
  <c r="OI36" i="2421"/>
  <c r="NT36" i="2421"/>
  <c r="MP36" i="2421"/>
  <c r="LL36" i="2421"/>
  <c r="KW36" i="2421"/>
  <c r="NE36" i="2421"/>
  <c r="MA36" i="2421"/>
  <c r="KH36" i="2421"/>
  <c r="JD36" i="2421"/>
  <c r="IO36" i="2421"/>
  <c r="JS36" i="2421"/>
  <c r="HZ36" i="2421"/>
  <c r="GG36" i="2421"/>
  <c r="HK36" i="2421"/>
  <c r="GV36" i="2421"/>
  <c r="FR36" i="2421"/>
  <c r="FC36" i="2421"/>
  <c r="EN36" i="2421"/>
  <c r="DJ36" i="2421"/>
  <c r="DY36" i="2421"/>
  <c r="CU36" i="2421"/>
  <c r="CF36" i="2421"/>
  <c r="BQ36" i="2421"/>
  <c r="BB36" i="2421"/>
  <c r="RF88" i="2421"/>
  <c r="QQ88" i="2421"/>
  <c r="PM88" i="2421"/>
  <c r="OX88" i="2421"/>
  <c r="NT88" i="2421"/>
  <c r="OI88" i="2421"/>
  <c r="QB88" i="2421"/>
  <c r="NE88" i="2421"/>
  <c r="MP88" i="2421"/>
  <c r="MA88" i="2421"/>
  <c r="LL88" i="2421"/>
  <c r="KW88" i="2421"/>
  <c r="JS88" i="2421"/>
  <c r="KH88" i="2421"/>
  <c r="JD88" i="2421"/>
  <c r="IO88" i="2421"/>
  <c r="HZ88" i="2421"/>
  <c r="GG88" i="2421"/>
  <c r="FR88" i="2421"/>
  <c r="GV88" i="2421"/>
  <c r="HK88" i="2421"/>
  <c r="FC88" i="2421"/>
  <c r="CU88" i="2421"/>
  <c r="EN88" i="2421"/>
  <c r="DJ88" i="2421"/>
  <c r="DY88" i="2421"/>
  <c r="CF88" i="2421"/>
  <c r="BQ88" i="2421"/>
  <c r="BB88" i="2421"/>
  <c r="QQ19" i="2421"/>
  <c r="RF19" i="2421"/>
  <c r="QB19" i="2421"/>
  <c r="PM19" i="2421"/>
  <c r="OX19" i="2421"/>
  <c r="OI19" i="2421"/>
  <c r="NE19" i="2421"/>
  <c r="NT19" i="2421"/>
  <c r="MP19" i="2421"/>
  <c r="LL19" i="2421"/>
  <c r="MA19" i="2421"/>
  <c r="JS19" i="2421"/>
  <c r="KW19" i="2421"/>
  <c r="KH19" i="2421"/>
  <c r="IO19" i="2421"/>
  <c r="JD19" i="2421"/>
  <c r="HZ19" i="2421"/>
  <c r="HK19" i="2421"/>
  <c r="GV19" i="2421"/>
  <c r="FR19" i="2421"/>
  <c r="GG19" i="2421"/>
  <c r="DJ19" i="2421"/>
  <c r="FC19" i="2421"/>
  <c r="DY19" i="2421"/>
  <c r="EN19" i="2421"/>
  <c r="CU19" i="2421"/>
  <c r="CF19" i="2421"/>
  <c r="BB19" i="2421"/>
  <c r="BQ19" i="2421"/>
  <c r="QQ58" i="2421"/>
  <c r="RF58" i="2421"/>
  <c r="QB58" i="2421"/>
  <c r="OX58" i="2421"/>
  <c r="PM58" i="2421"/>
  <c r="OI58" i="2421"/>
  <c r="NT58" i="2421"/>
  <c r="NE58" i="2421"/>
  <c r="MP58" i="2421"/>
  <c r="MA58" i="2421"/>
  <c r="KW58" i="2421"/>
  <c r="LL58" i="2421"/>
  <c r="KH58" i="2421"/>
  <c r="JD58" i="2421"/>
  <c r="JS58" i="2421"/>
  <c r="HZ58" i="2421"/>
  <c r="HK58" i="2421"/>
  <c r="GG58" i="2421"/>
  <c r="IO58" i="2421"/>
  <c r="GV58" i="2421"/>
  <c r="FR58" i="2421"/>
  <c r="FC58" i="2421"/>
  <c r="EN58" i="2421"/>
  <c r="DY58" i="2421"/>
  <c r="DJ58" i="2421"/>
  <c r="CU58" i="2421"/>
  <c r="BQ58" i="2421"/>
  <c r="CF58" i="2421"/>
  <c r="BB58" i="2421"/>
  <c r="QQ40" i="2421"/>
  <c r="RF40" i="2421"/>
  <c r="PM40" i="2421"/>
  <c r="OX40" i="2421"/>
  <c r="OI40" i="2421"/>
  <c r="NT40" i="2421"/>
  <c r="QB40" i="2421"/>
  <c r="MP40" i="2421"/>
  <c r="NE40" i="2421"/>
  <c r="MA40" i="2421"/>
  <c r="LL40" i="2421"/>
  <c r="JS40" i="2421"/>
  <c r="KH40" i="2421"/>
  <c r="JD40" i="2421"/>
  <c r="IO40" i="2421"/>
  <c r="KW40" i="2421"/>
  <c r="GG40" i="2421"/>
  <c r="HK40" i="2421"/>
  <c r="HZ40" i="2421"/>
  <c r="GV40" i="2421"/>
  <c r="FR40" i="2421"/>
  <c r="FC40" i="2421"/>
  <c r="DJ40" i="2421"/>
  <c r="EN40" i="2421"/>
  <c r="DY40" i="2421"/>
  <c r="CU40" i="2421"/>
  <c r="CF40" i="2421"/>
  <c r="BQ40" i="2421"/>
  <c r="BB40" i="2421"/>
  <c r="RF23" i="2421"/>
  <c r="QQ23" i="2421"/>
  <c r="QB23" i="2421"/>
  <c r="PM23" i="2421"/>
  <c r="OX23" i="2421"/>
  <c r="OI23" i="2421"/>
  <c r="NE23" i="2421"/>
  <c r="NT23" i="2421"/>
  <c r="MA23" i="2421"/>
  <c r="LL23" i="2421"/>
  <c r="MP23" i="2421"/>
  <c r="KW23" i="2421"/>
  <c r="KH23" i="2421"/>
  <c r="JS23" i="2421"/>
  <c r="JD23" i="2421"/>
  <c r="IO23" i="2421"/>
  <c r="HK23" i="2421"/>
  <c r="GV23" i="2421"/>
  <c r="FR23" i="2421"/>
  <c r="HZ23" i="2421"/>
  <c r="GG23" i="2421"/>
  <c r="FC23" i="2421"/>
  <c r="DJ23" i="2421"/>
  <c r="CU23" i="2421"/>
  <c r="DY23" i="2421"/>
  <c r="EN23" i="2421"/>
  <c r="BB23" i="2421"/>
  <c r="CF23" i="2421"/>
  <c r="BQ23" i="2421"/>
  <c r="PM20" i="2421"/>
  <c r="QQ20" i="2421"/>
  <c r="QB20" i="2421"/>
  <c r="RF20" i="2421"/>
  <c r="OX20" i="2421"/>
  <c r="OI20" i="2421"/>
  <c r="NT20" i="2421"/>
  <c r="MP20" i="2421"/>
  <c r="NE20" i="2421"/>
  <c r="LL20" i="2421"/>
  <c r="MA20" i="2421"/>
  <c r="KH20" i="2421"/>
  <c r="JD20" i="2421"/>
  <c r="JS20" i="2421"/>
  <c r="IO20" i="2421"/>
  <c r="HZ20" i="2421"/>
  <c r="GG20" i="2421"/>
  <c r="HK20" i="2421"/>
  <c r="KW20" i="2421"/>
  <c r="FR20" i="2421"/>
  <c r="DY20" i="2421"/>
  <c r="EN20" i="2421"/>
  <c r="GV20" i="2421"/>
  <c r="FC20" i="2421"/>
  <c r="CU20" i="2421"/>
  <c r="DJ20" i="2421"/>
  <c r="CF20" i="2421"/>
  <c r="BQ20" i="2421"/>
  <c r="BB20" i="2421"/>
  <c r="RF51" i="2421"/>
  <c r="QQ51" i="2421"/>
  <c r="PM51" i="2421"/>
  <c r="QB51" i="2421"/>
  <c r="OX51" i="2421"/>
  <c r="OI51" i="2421"/>
  <c r="MP51" i="2421"/>
  <c r="NT51" i="2421"/>
  <c r="NE51" i="2421"/>
  <c r="MA51" i="2421"/>
  <c r="KW51" i="2421"/>
  <c r="KH51" i="2421"/>
  <c r="JS51" i="2421"/>
  <c r="HZ51" i="2421"/>
  <c r="JD51" i="2421"/>
  <c r="LL51" i="2421"/>
  <c r="IO51" i="2421"/>
  <c r="GV51" i="2421"/>
  <c r="FR51" i="2421"/>
  <c r="HK51" i="2421"/>
  <c r="GG51" i="2421"/>
  <c r="EN51" i="2421"/>
  <c r="DJ51" i="2421"/>
  <c r="DY51" i="2421"/>
  <c r="FC51" i="2421"/>
  <c r="CU51" i="2421"/>
  <c r="CF51" i="2421"/>
  <c r="BB51" i="2421"/>
  <c r="BQ51" i="2421"/>
  <c r="RF90" i="2421"/>
  <c r="QQ90" i="2421"/>
  <c r="QB90" i="2421"/>
  <c r="PM90" i="2421"/>
  <c r="OX90" i="2421"/>
  <c r="NT90" i="2421"/>
  <c r="OI90" i="2421"/>
  <c r="NE90" i="2421"/>
  <c r="MP90" i="2421"/>
  <c r="MA90" i="2421"/>
  <c r="LL90" i="2421"/>
  <c r="KW90" i="2421"/>
  <c r="JS90" i="2421"/>
  <c r="KH90" i="2421"/>
  <c r="JD90" i="2421"/>
  <c r="IO90" i="2421"/>
  <c r="HZ90" i="2421"/>
  <c r="GG90" i="2421"/>
  <c r="FR90" i="2421"/>
  <c r="GV90" i="2421"/>
  <c r="HK90" i="2421"/>
  <c r="FC90" i="2421"/>
  <c r="CU90" i="2421"/>
  <c r="EN90" i="2421"/>
  <c r="DJ90" i="2421"/>
  <c r="CF90" i="2421"/>
  <c r="DY90" i="2421"/>
  <c r="BQ90" i="2421"/>
  <c r="BB90" i="2421"/>
  <c r="RF49" i="2421"/>
  <c r="QQ49" i="2421"/>
  <c r="PM49" i="2421"/>
  <c r="OX49" i="2421"/>
  <c r="QB49" i="2421"/>
  <c r="OI49" i="2421"/>
  <c r="NT49" i="2421"/>
  <c r="MP49" i="2421"/>
  <c r="NE49" i="2421"/>
  <c r="MA49" i="2421"/>
  <c r="LL49" i="2421"/>
  <c r="KW49" i="2421"/>
  <c r="KH49" i="2421"/>
  <c r="IO49" i="2421"/>
  <c r="JS49" i="2421"/>
  <c r="HZ49" i="2421"/>
  <c r="JD49" i="2421"/>
  <c r="GV49" i="2421"/>
  <c r="FR49" i="2421"/>
  <c r="HK49" i="2421"/>
  <c r="GG49" i="2421"/>
  <c r="EN49" i="2421"/>
  <c r="DJ49" i="2421"/>
  <c r="DY49" i="2421"/>
  <c r="FC49" i="2421"/>
  <c r="CU49" i="2421"/>
  <c r="BB49" i="2421"/>
  <c r="CF49" i="2421"/>
  <c r="BQ49" i="2421"/>
  <c r="QQ64" i="2421"/>
  <c r="RF64" i="2421"/>
  <c r="PM64" i="2421"/>
  <c r="OX64" i="2421"/>
  <c r="QB64" i="2421"/>
  <c r="OI64" i="2421"/>
  <c r="NT64" i="2421"/>
  <c r="NE64" i="2421"/>
  <c r="MA64" i="2421"/>
  <c r="MP64" i="2421"/>
  <c r="KW64" i="2421"/>
  <c r="LL64" i="2421"/>
  <c r="KH64" i="2421"/>
  <c r="JS64" i="2421"/>
  <c r="JD64" i="2421"/>
  <c r="IO64" i="2421"/>
  <c r="HZ64" i="2421"/>
  <c r="HK64" i="2421"/>
  <c r="GG64" i="2421"/>
  <c r="FR64" i="2421"/>
  <c r="GV64" i="2421"/>
  <c r="FC64" i="2421"/>
  <c r="EN64" i="2421"/>
  <c r="DY64" i="2421"/>
  <c r="DJ64" i="2421"/>
  <c r="CU64" i="2421"/>
  <c r="CF64" i="2421"/>
  <c r="BQ64" i="2421"/>
  <c r="BB64" i="2421"/>
  <c r="PM103" i="2421"/>
  <c r="RF103" i="2421"/>
  <c r="QQ103" i="2421"/>
  <c r="OX103" i="2421"/>
  <c r="QB103" i="2421"/>
  <c r="NT103" i="2421"/>
  <c r="OI103" i="2421"/>
  <c r="NE103" i="2421"/>
  <c r="KW103" i="2421"/>
  <c r="MP103" i="2421"/>
  <c r="MA103" i="2421"/>
  <c r="KH103" i="2421"/>
  <c r="JS103" i="2421"/>
  <c r="HZ103" i="2421"/>
  <c r="JD103" i="2421"/>
  <c r="IO103" i="2421"/>
  <c r="LL103" i="2421"/>
  <c r="GV103" i="2421"/>
  <c r="HK103" i="2421"/>
  <c r="GG103" i="2421"/>
  <c r="FR103" i="2421"/>
  <c r="EN103" i="2421"/>
  <c r="DJ103" i="2421"/>
  <c r="FC103" i="2421"/>
  <c r="CF103" i="2421"/>
  <c r="CU103" i="2421"/>
  <c r="DY103" i="2421"/>
  <c r="BB103" i="2421"/>
  <c r="BQ103" i="2421"/>
  <c r="RF53" i="2421"/>
  <c r="QQ53" i="2421"/>
  <c r="QB53" i="2421"/>
  <c r="PM53" i="2421"/>
  <c r="OX53" i="2421"/>
  <c r="OI53" i="2421"/>
  <c r="NT53" i="2421"/>
  <c r="KW53" i="2421"/>
  <c r="MP53" i="2421"/>
  <c r="NE53" i="2421"/>
  <c r="JS53" i="2421"/>
  <c r="MA53" i="2421"/>
  <c r="KH53" i="2421"/>
  <c r="LL53" i="2421"/>
  <c r="HZ53" i="2421"/>
  <c r="JD53" i="2421"/>
  <c r="IO53" i="2421"/>
  <c r="GV53" i="2421"/>
  <c r="FR53" i="2421"/>
  <c r="FC53" i="2421"/>
  <c r="HK53" i="2421"/>
  <c r="GG53" i="2421"/>
  <c r="EN53" i="2421"/>
  <c r="DJ53" i="2421"/>
  <c r="DY53" i="2421"/>
  <c r="CU53" i="2421"/>
  <c r="BB53" i="2421"/>
  <c r="CF53" i="2421"/>
  <c r="BQ53" i="2421"/>
  <c r="BV35" i="2421"/>
  <c r="BT35" i="2421"/>
  <c r="BV51" i="2421"/>
  <c r="BT51" i="2421"/>
  <c r="BT70" i="2421"/>
  <c r="BV70" i="2421"/>
  <c r="BT94" i="2421"/>
  <c r="BV94" i="2421"/>
  <c r="BT110" i="2421"/>
  <c r="BV110" i="2421"/>
  <c r="BT25" i="2421"/>
  <c r="BV25" i="2421"/>
  <c r="BV40" i="2421"/>
  <c r="BT40" i="2421"/>
  <c r="BT57" i="2421"/>
  <c r="BV57" i="2421"/>
  <c r="BT75" i="2421"/>
  <c r="BV75" i="2421"/>
  <c r="BT80" i="2421"/>
  <c r="BV80" i="2421"/>
  <c r="BT99" i="2421"/>
  <c r="BV99" i="2421"/>
  <c r="BV33" i="2421"/>
  <c r="BT33" i="2421"/>
  <c r="BV49" i="2421"/>
  <c r="BT49" i="2421"/>
  <c r="BV68" i="2421"/>
  <c r="BT68" i="2421"/>
  <c r="BT92" i="2421"/>
  <c r="BV92" i="2421"/>
  <c r="BT108" i="2421"/>
  <c r="BV108" i="2421"/>
  <c r="BT28" i="2421"/>
  <c r="BV28" i="2421"/>
  <c r="BV20" i="2421"/>
  <c r="BT20" i="2421"/>
  <c r="BV38" i="2421"/>
  <c r="BT38" i="2421"/>
  <c r="BV54" i="2421"/>
  <c r="BT54" i="2421"/>
  <c r="BT73" i="2421"/>
  <c r="BV73" i="2421"/>
  <c r="BT97" i="2421"/>
  <c r="BV97" i="2421"/>
  <c r="BT113" i="2421"/>
  <c r="BV113" i="2421"/>
  <c r="BV16" i="2421"/>
  <c r="BT16" i="2421"/>
  <c r="BV39" i="2421"/>
  <c r="BT39" i="2421"/>
  <c r="BT55" i="2421"/>
  <c r="BV55" i="2421"/>
  <c r="BT74" i="2421"/>
  <c r="BV74" i="2421"/>
  <c r="BT98" i="2421"/>
  <c r="BV98" i="2421"/>
  <c r="BT23" i="2421"/>
  <c r="BV23" i="2421"/>
  <c r="BV44" i="2421"/>
  <c r="BT44" i="2421"/>
  <c r="BT63" i="2421"/>
  <c r="BV63" i="2421"/>
  <c r="BT79" i="2421"/>
  <c r="BV79" i="2421"/>
  <c r="BT87" i="2421"/>
  <c r="BV87" i="2421"/>
  <c r="BT103" i="2421"/>
  <c r="BV103" i="2421"/>
  <c r="BV31" i="2421"/>
  <c r="BT31" i="2421"/>
  <c r="BV37" i="2421"/>
  <c r="BT37" i="2421"/>
  <c r="BV53" i="2421"/>
  <c r="BT53" i="2421"/>
  <c r="BT72" i="2421"/>
  <c r="BV72" i="2421"/>
  <c r="BT96" i="2421"/>
  <c r="BV96" i="2421"/>
  <c r="BT112" i="2421"/>
  <c r="BV112" i="2421"/>
  <c r="BT26" i="2421"/>
  <c r="BV26" i="2421"/>
  <c r="BV42" i="2421"/>
  <c r="BT42" i="2421"/>
  <c r="BT61" i="2421"/>
  <c r="BV61" i="2421"/>
  <c r="BT77" i="2421"/>
  <c r="BV77" i="2421"/>
  <c r="BT84" i="2421"/>
  <c r="BV84" i="2421"/>
  <c r="BT101" i="2421"/>
  <c r="BV101" i="2421"/>
  <c r="BV18" i="2421"/>
  <c r="BT18" i="2421"/>
  <c r="BV15" i="2421"/>
  <c r="BT15" i="2421"/>
  <c r="BV43" i="2421"/>
  <c r="BT43" i="2421"/>
  <c r="BT62" i="2421"/>
  <c r="BV62" i="2421"/>
  <c r="BT78" i="2421"/>
  <c r="BV78" i="2421"/>
  <c r="BT86" i="2421"/>
  <c r="BV86" i="2421"/>
  <c r="BT102" i="2421"/>
  <c r="BV102" i="2421"/>
  <c r="BT29" i="2421"/>
  <c r="BV29" i="2421"/>
  <c r="BT21" i="2421"/>
  <c r="BV21" i="2421"/>
  <c r="BV32" i="2421"/>
  <c r="BT32" i="2421"/>
  <c r="BV48" i="2421"/>
  <c r="BT48" i="2421"/>
  <c r="BT67" i="2421"/>
  <c r="BV67" i="2421"/>
  <c r="BT91" i="2421"/>
  <c r="BV91" i="2421"/>
  <c r="BT107" i="2421"/>
  <c r="BV107" i="2421"/>
  <c r="BV41" i="2421"/>
  <c r="BT41" i="2421"/>
  <c r="BT60" i="2421"/>
  <c r="BV60" i="2421"/>
  <c r="BT76" i="2421"/>
  <c r="BV76" i="2421"/>
  <c r="BT82" i="2421"/>
  <c r="BV82" i="2421"/>
  <c r="BT100" i="2421"/>
  <c r="BV100" i="2421"/>
  <c r="BV24" i="2421"/>
  <c r="BT24" i="2421"/>
  <c r="BT58" i="2421"/>
  <c r="BV58" i="2421"/>
  <c r="BV46" i="2421"/>
  <c r="BT46" i="2421"/>
  <c r="BT65" i="2421"/>
  <c r="BV65" i="2421"/>
  <c r="BT83" i="2421"/>
  <c r="BV83" i="2421"/>
  <c r="BT89" i="2421"/>
  <c r="BV89" i="2421"/>
  <c r="BT105" i="2421"/>
  <c r="BV105" i="2421"/>
  <c r="BV17" i="2421"/>
  <c r="BT17" i="2421"/>
  <c r="BT59" i="2421"/>
  <c r="BV59" i="2421"/>
  <c r="BV47" i="2421"/>
  <c r="BT47" i="2421"/>
  <c r="BT66" i="2421"/>
  <c r="BV66" i="2421"/>
  <c r="BT85" i="2421"/>
  <c r="BV85" i="2421"/>
  <c r="BT90" i="2421"/>
  <c r="BV90" i="2421"/>
  <c r="BT106" i="2421"/>
  <c r="BV106" i="2421"/>
  <c r="BT27" i="2421"/>
  <c r="BV27" i="2421"/>
  <c r="BT19" i="2421"/>
  <c r="BV19" i="2421"/>
  <c r="BV36" i="2421"/>
  <c r="BT36" i="2421"/>
  <c r="BV52" i="2421"/>
  <c r="BT52" i="2421"/>
  <c r="BT71" i="2421"/>
  <c r="BV71" i="2421"/>
  <c r="BT95" i="2421"/>
  <c r="BV95" i="2421"/>
  <c r="BT111" i="2421"/>
  <c r="BV111" i="2421"/>
  <c r="BT56" i="2421"/>
  <c r="BV56" i="2421"/>
  <c r="BV45" i="2421"/>
  <c r="BT45" i="2421"/>
  <c r="BT64" i="2421"/>
  <c r="BV64" i="2421"/>
  <c r="BT81" i="2421"/>
  <c r="BV81" i="2421"/>
  <c r="BT88" i="2421"/>
  <c r="BV88" i="2421"/>
  <c r="BT104" i="2421"/>
  <c r="BV104" i="2421"/>
  <c r="BT30" i="2421"/>
  <c r="BV30" i="2421"/>
  <c r="BT22" i="2421"/>
  <c r="BV22" i="2421"/>
  <c r="BV34" i="2421"/>
  <c r="BT34" i="2421"/>
  <c r="BV50" i="2421"/>
  <c r="BT50" i="2421"/>
  <c r="BT69" i="2421"/>
  <c r="BV69" i="2421"/>
  <c r="BT93" i="2421"/>
  <c r="BV93" i="2421"/>
  <c r="BT109" i="2421"/>
  <c r="BV109" i="2421"/>
  <c r="AM108" i="2421"/>
  <c r="AM52" i="2421"/>
  <c r="AM83" i="2421"/>
  <c r="AM98" i="2421"/>
  <c r="AM42" i="2421"/>
  <c r="AM97" i="2421"/>
  <c r="AM80" i="2421"/>
  <c r="AM71" i="2421"/>
  <c r="AM110" i="2421"/>
  <c r="AM54" i="2421"/>
  <c r="AM38" i="2421"/>
  <c r="AM77" i="2421"/>
  <c r="AM92" i="2421"/>
  <c r="AM50" i="2421"/>
  <c r="AM89" i="2421"/>
  <c r="AM33" i="2421"/>
  <c r="AM48" i="2421"/>
  <c r="AM47" i="2421"/>
  <c r="AM22" i="2421"/>
  <c r="AM45" i="2421"/>
  <c r="AM76" i="2421"/>
  <c r="AM43" i="2421"/>
  <c r="AM19" i="2421"/>
  <c r="AM58" i="2421"/>
  <c r="AM105" i="2421"/>
  <c r="AM72" i="2421"/>
  <c r="AM40" i="2421"/>
  <c r="AM63" i="2421"/>
  <c r="AM23" i="2421"/>
  <c r="AM102" i="2421"/>
  <c r="AM21" i="2421"/>
  <c r="AM44" i="2421"/>
  <c r="AM20" i="2421"/>
  <c r="AM67" i="2421"/>
  <c r="AM51" i="2421"/>
  <c r="AM90" i="2421"/>
  <c r="AM26" i="2421"/>
  <c r="AM49" i="2421"/>
  <c r="AM104" i="2421"/>
  <c r="AM64" i="2421"/>
  <c r="AM103" i="2421"/>
  <c r="AM39" i="2421"/>
  <c r="AM62" i="2421"/>
  <c r="AM93" i="2421"/>
  <c r="AM53" i="2421"/>
  <c r="AM100" i="2421"/>
  <c r="AM107" i="2421"/>
  <c r="AM106" i="2421"/>
  <c r="AM82" i="2421"/>
  <c r="AM113" i="2421"/>
  <c r="AM81" i="2421"/>
  <c r="AM31" i="2421"/>
  <c r="AM86" i="2421"/>
  <c r="AM46" i="2421"/>
  <c r="AM109" i="2421"/>
  <c r="AM37" i="2421"/>
  <c r="AM36" i="2421"/>
  <c r="AM75" i="2421"/>
  <c r="AM66" i="2421"/>
  <c r="AM65" i="2421"/>
  <c r="AM25" i="2421"/>
  <c r="AM88" i="2421"/>
  <c r="AM95" i="2421"/>
  <c r="AM70" i="2421"/>
  <c r="AM85" i="2421"/>
  <c r="AM29" i="2421"/>
  <c r="AM84" i="2421"/>
  <c r="AM60" i="2421"/>
  <c r="AM99" i="2421"/>
  <c r="AM35" i="2421"/>
  <c r="AM74" i="2421"/>
  <c r="AM57" i="2421"/>
  <c r="AM112" i="2421"/>
  <c r="AM56" i="2421"/>
  <c r="AM32" i="2421"/>
  <c r="AM87" i="2421"/>
  <c r="AM55" i="2421"/>
  <c r="AM94" i="2421"/>
  <c r="AM69" i="2421"/>
  <c r="AM68" i="2421"/>
  <c r="AM28" i="2421"/>
  <c r="AM91" i="2421"/>
  <c r="AM59" i="2421"/>
  <c r="AM27" i="2421"/>
  <c r="AM34" i="2421"/>
  <c r="AM73" i="2421"/>
  <c r="AM41" i="2421"/>
  <c r="AM96" i="2421"/>
  <c r="AM24" i="2421"/>
  <c r="AM111" i="2421"/>
  <c r="AM79" i="2421"/>
  <c r="AM78" i="2421"/>
  <c r="AM30" i="2421"/>
  <c r="AM101" i="2421"/>
  <c r="AM61" i="2421"/>
  <c r="KI94" i="2422"/>
  <c r="RZ97" i="2421"/>
  <c r="KI83" i="2422"/>
  <c r="RZ86" i="2421"/>
  <c r="KI89" i="2422"/>
  <c r="RZ92" i="2421"/>
  <c r="RZ111" i="2421"/>
  <c r="KI108" i="2422"/>
  <c r="RZ72" i="2421"/>
  <c r="KI69" i="2422"/>
  <c r="KI50" i="2422"/>
  <c r="RZ53" i="2421"/>
  <c r="RZ40" i="2421"/>
  <c r="KI37" i="2422"/>
  <c r="KI40" i="2422"/>
  <c r="RZ43" i="2421"/>
  <c r="KI27" i="2422"/>
  <c r="RZ30" i="2421"/>
  <c r="KI62" i="2422"/>
  <c r="RZ65" i="2421"/>
  <c r="KI17" i="2422"/>
  <c r="RZ20" i="2421"/>
  <c r="KI98" i="2422"/>
  <c r="RZ101" i="2421"/>
  <c r="KI95" i="2422"/>
  <c r="RZ98" i="2421"/>
  <c r="RZ80" i="2421"/>
  <c r="KI77" i="2422"/>
  <c r="KI25" i="2422"/>
  <c r="RZ28" i="2421"/>
  <c r="RZ104" i="2421"/>
  <c r="KI101" i="2422"/>
  <c r="KI38" i="2422"/>
  <c r="RZ41" i="2421"/>
  <c r="RZ79" i="2421"/>
  <c r="KI76" i="2422"/>
  <c r="RZ48" i="2421"/>
  <c r="KI45" i="2422"/>
  <c r="RZ39" i="2421"/>
  <c r="KI36" i="2422"/>
  <c r="RZ31" i="2421"/>
  <c r="KI28" i="2422"/>
  <c r="RZ71" i="2421"/>
  <c r="KI68" i="2422"/>
  <c r="KI22" i="2422"/>
  <c r="RZ25" i="2421"/>
  <c r="KI97" i="2422"/>
  <c r="RZ100" i="2421"/>
  <c r="RZ55" i="2421"/>
  <c r="KI52" i="2422"/>
  <c r="RZ32" i="2421"/>
  <c r="KI29" i="2422"/>
  <c r="RZ47" i="2421"/>
  <c r="KI44" i="2422"/>
  <c r="KI104" i="2422"/>
  <c r="RZ107" i="2421"/>
  <c r="KI66" i="2422"/>
  <c r="RZ69" i="2421"/>
  <c r="KI74" i="2422"/>
  <c r="RZ77" i="2421"/>
  <c r="KI110" i="2422"/>
  <c r="RZ113" i="2421"/>
  <c r="KI99" i="2422"/>
  <c r="RZ102" i="2421"/>
  <c r="KI58" i="2422"/>
  <c r="RZ61" i="2421"/>
  <c r="KI75" i="2422"/>
  <c r="RZ78" i="2421"/>
  <c r="KI55" i="2422"/>
  <c r="RZ58" i="2421"/>
  <c r="KI26" i="2422"/>
  <c r="RZ29" i="2421"/>
  <c r="KI33" i="2422"/>
  <c r="RZ36" i="2421"/>
  <c r="KI48" i="2422"/>
  <c r="RZ51" i="2421"/>
  <c r="KI51" i="2422"/>
  <c r="RZ54" i="2421"/>
  <c r="RZ63" i="2421"/>
  <c r="KI60" i="2422"/>
  <c r="RZ95" i="2421"/>
  <c r="KI92" i="2422"/>
  <c r="RZ96" i="2421"/>
  <c r="KI93" i="2422"/>
  <c r="KI18" i="2422"/>
  <c r="RZ21" i="2421"/>
  <c r="KI65" i="2422"/>
  <c r="RZ68" i="2421"/>
  <c r="RZ24" i="2421"/>
  <c r="KI21" i="2422"/>
  <c r="KI102" i="2422"/>
  <c r="RZ105" i="2421"/>
  <c r="KI67" i="2422"/>
  <c r="RZ70" i="2421"/>
  <c r="RZ112" i="2421"/>
  <c r="KI109" i="2422"/>
  <c r="KI90" i="2422"/>
  <c r="RZ93" i="2421"/>
  <c r="KI56" i="2422"/>
  <c r="RZ59" i="2421"/>
  <c r="KI31" i="2422"/>
  <c r="RZ34" i="2421"/>
  <c r="RZ103" i="2421"/>
  <c r="KI100" i="2422"/>
  <c r="RZ56" i="2421"/>
  <c r="KI53" i="2422"/>
  <c r="KI86" i="2422"/>
  <c r="RZ89" i="2421"/>
  <c r="RZ64" i="2421"/>
  <c r="KI61" i="2422"/>
  <c r="KI19" i="2422"/>
  <c r="RZ22" i="2421"/>
  <c r="KI71" i="2422"/>
  <c r="RZ74" i="2421"/>
  <c r="KI24" i="2422"/>
  <c r="RZ27" i="2421"/>
  <c r="KI57" i="2422"/>
  <c r="RZ60" i="2421"/>
  <c r="KI59" i="2422"/>
  <c r="RZ62" i="2421"/>
  <c r="KI30" i="2422"/>
  <c r="RZ33" i="2421"/>
  <c r="KI70" i="2422"/>
  <c r="RZ73" i="2421"/>
  <c r="KI88" i="2422"/>
  <c r="RZ91" i="2421"/>
  <c r="KI87" i="2422"/>
  <c r="RZ90" i="2421"/>
  <c r="KI106" i="2422"/>
  <c r="RZ109" i="2421"/>
  <c r="KI103" i="2422"/>
  <c r="RZ106" i="2421"/>
  <c r="KI64" i="2422"/>
  <c r="RZ67" i="2421"/>
  <c r="RZ88" i="2421"/>
  <c r="KI85" i="2422"/>
  <c r="RZ23" i="2421"/>
  <c r="KI20" i="2422"/>
  <c r="KI96" i="2422"/>
  <c r="RZ99" i="2421"/>
  <c r="KI32" i="2422"/>
  <c r="RZ35" i="2421"/>
  <c r="KI47" i="2422"/>
  <c r="RZ50" i="2421"/>
  <c r="KI42" i="2422"/>
  <c r="RZ45" i="2421"/>
  <c r="KI105" i="2422"/>
  <c r="RZ108" i="2421"/>
  <c r="RZ87" i="2421"/>
  <c r="KI84" i="2422"/>
  <c r="KI63" i="2422"/>
  <c r="RZ66" i="2421"/>
  <c r="KI43" i="2422"/>
  <c r="RZ46" i="2421"/>
  <c r="KI46" i="2422"/>
  <c r="RZ49" i="2421"/>
  <c r="KI91" i="2422"/>
  <c r="RZ94" i="2421"/>
  <c r="KI79" i="2422"/>
  <c r="RZ82" i="2421"/>
  <c r="KI107" i="2422"/>
  <c r="RZ110" i="2421"/>
  <c r="KI35" i="2422"/>
  <c r="RZ38" i="2421"/>
  <c r="KI72" i="2422"/>
  <c r="RZ75" i="2421"/>
  <c r="KI81" i="2422"/>
  <c r="RZ84" i="2421"/>
  <c r="KI41" i="2422"/>
  <c r="RZ44" i="2421"/>
  <c r="KI82" i="2422"/>
  <c r="RZ85" i="2421"/>
  <c r="KI39" i="2422"/>
  <c r="RZ42" i="2421"/>
  <c r="KI54" i="2422"/>
  <c r="RZ57" i="2421"/>
  <c r="KI23" i="2422"/>
  <c r="RZ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Q16" i="2413"/>
  <c r="U15" i="2413"/>
  <c r="CW15" i="2413"/>
  <c r="M94" i="2420" l="1"/>
  <c r="M30" i="2420"/>
  <c r="M79" i="2420"/>
  <c r="M85" i="2420"/>
  <c r="M21" i="2420"/>
  <c r="P26" i="2380" s="1"/>
  <c r="M68" i="2420"/>
  <c r="M43" i="2420"/>
  <c r="M15" i="2420"/>
  <c r="P20" i="2380" s="1"/>
  <c r="M90" i="2420"/>
  <c r="M26" i="2420"/>
  <c r="M49" i="2420"/>
  <c r="M80" i="2420"/>
  <c r="M86" i="2420"/>
  <c r="M22" i="2420"/>
  <c r="P27" i="2380" s="1"/>
  <c r="M47" i="2420"/>
  <c r="M77" i="2420"/>
  <c r="M13" i="2420"/>
  <c r="P18" i="2380" s="1"/>
  <c r="M60" i="2420"/>
  <c r="M99" i="2420"/>
  <c r="M35" i="2420"/>
  <c r="M82" i="2420"/>
  <c r="M18" i="2420"/>
  <c r="P23" i="2380" s="1"/>
  <c r="M41" i="2420"/>
  <c r="M72" i="2420"/>
  <c r="M78" i="2420"/>
  <c r="M14" i="2420"/>
  <c r="P19" i="2380" s="1"/>
  <c r="M69" i="2420"/>
  <c r="M52" i="2420"/>
  <c r="M91" i="2420"/>
  <c r="M27" i="2420"/>
  <c r="M74" i="2420"/>
  <c r="M10" i="2420"/>
  <c r="P15" i="2380" s="1"/>
  <c r="M97" i="2420"/>
  <c r="M33" i="2420"/>
  <c r="M64" i="2420"/>
  <c r="M24" i="2420"/>
  <c r="M70" i="2420"/>
  <c r="M61" i="2420"/>
  <c r="M23" i="2420"/>
  <c r="M44" i="2420"/>
  <c r="M83" i="2420"/>
  <c r="M19" i="2420"/>
  <c r="P24" i="2380" s="1"/>
  <c r="M66" i="2420"/>
  <c r="M89" i="2420"/>
  <c r="M25" i="2420"/>
  <c r="M56" i="2420"/>
  <c r="M32" i="2420"/>
  <c r="M62" i="2420"/>
  <c r="M53" i="2420"/>
  <c r="M100" i="2420"/>
  <c r="M36" i="2420"/>
  <c r="M63" i="2420"/>
  <c r="M75" i="2420"/>
  <c r="M11" i="2420"/>
  <c r="P16" i="2380" s="1"/>
  <c r="M58" i="2420"/>
  <c r="M81" i="2420"/>
  <c r="M17" i="2420"/>
  <c r="P22" i="2380" s="1"/>
  <c r="M48" i="2420"/>
  <c r="M88" i="2420"/>
  <c r="M71" i="2420"/>
  <c r="M54" i="2420"/>
  <c r="M45" i="2420"/>
  <c r="M92" i="2420"/>
  <c r="M28" i="2420"/>
  <c r="M31" i="2420"/>
  <c r="M67" i="2420"/>
  <c r="M50" i="2420"/>
  <c r="M73" i="2420"/>
  <c r="M104" i="2420"/>
  <c r="P109" i="2380" s="1"/>
  <c r="AE104" i="2420" s="1"/>
  <c r="M40" i="2420"/>
  <c r="M57" i="2420"/>
  <c r="M55" i="2420"/>
  <c r="M46" i="2420"/>
  <c r="M101" i="2420"/>
  <c r="M37" i="2420"/>
  <c r="M84" i="2420"/>
  <c r="M20" i="2420"/>
  <c r="P25" i="2380" s="1"/>
  <c r="M59" i="2420"/>
  <c r="M42" i="2420"/>
  <c r="M95" i="2420"/>
  <c r="M65" i="2420"/>
  <c r="M96" i="2420"/>
  <c r="M16" i="2420"/>
  <c r="P21" i="2380" s="1"/>
  <c r="M102" i="2420"/>
  <c r="M38" i="2420"/>
  <c r="M103" i="2420"/>
  <c r="P108" i="2380" s="1"/>
  <c r="AE103" i="2420" s="1"/>
  <c r="M93" i="2420"/>
  <c r="M29" i="2420"/>
  <c r="P34" i="2380" s="1"/>
  <c r="M76" i="2420"/>
  <c r="M12" i="2420"/>
  <c r="P17" i="2380" s="1"/>
  <c r="M51" i="2420"/>
  <c r="M87" i="2420"/>
  <c r="M98" i="2420"/>
  <c r="M34" i="2420"/>
  <c r="M39" i="2420"/>
  <c r="B4" i="2345"/>
  <c r="C3" i="2407"/>
  <c r="P100" i="2380" l="1"/>
  <c r="AE95" i="2420" s="1"/>
  <c r="P60" i="2380"/>
  <c r="AE55" i="2420" s="1"/>
  <c r="P33" i="2380"/>
  <c r="AE28" i="2420" s="1"/>
  <c r="P86" i="2380"/>
  <c r="AE81" i="2420" s="1"/>
  <c r="P67" i="2380"/>
  <c r="AE62" i="2420" s="1"/>
  <c r="P49" i="2380"/>
  <c r="AE44" i="2420" s="1"/>
  <c r="P77" i="2380"/>
  <c r="AE72" i="2420" s="1"/>
  <c r="P82" i="2380"/>
  <c r="AE77" i="2420" s="1"/>
  <c r="P81" i="2380"/>
  <c r="AE76" i="2420" s="1"/>
  <c r="P44" i="2380"/>
  <c r="AE39" i="2420" s="1"/>
  <c r="P98" i="2380"/>
  <c r="AE93" i="2420" s="1"/>
  <c r="P47" i="2380"/>
  <c r="AE42" i="2420" s="1"/>
  <c r="P62" i="2380"/>
  <c r="AE57" i="2420" s="1"/>
  <c r="P97" i="2380"/>
  <c r="AE92" i="2420" s="1"/>
  <c r="P63" i="2380"/>
  <c r="AE58" i="2420" s="1"/>
  <c r="P37" i="2380"/>
  <c r="AE32" i="2420" s="1"/>
  <c r="P28" i="2380"/>
  <c r="AE23" i="2420" s="1"/>
  <c r="P79" i="2380"/>
  <c r="AE74" i="2420" s="1"/>
  <c r="P46" i="2380"/>
  <c r="AE41" i="2420" s="1"/>
  <c r="P52" i="2380"/>
  <c r="AE47" i="2420" s="1"/>
  <c r="P48" i="2380"/>
  <c r="AE43" i="2420" s="1"/>
  <c r="P39" i="2380"/>
  <c r="AE34" i="2420" s="1"/>
  <c r="P64" i="2380"/>
  <c r="AE59" i="2420" s="1"/>
  <c r="P45" i="2380"/>
  <c r="AE40" i="2420" s="1"/>
  <c r="P50" i="2380"/>
  <c r="AE45" i="2420" s="1"/>
  <c r="P61" i="2380"/>
  <c r="AE56" i="2420" s="1"/>
  <c r="P66" i="2380"/>
  <c r="AE61" i="2420" s="1"/>
  <c r="P32" i="2380"/>
  <c r="AE27" i="2420" s="1"/>
  <c r="P73" i="2380"/>
  <c r="AE68" i="2420" s="1"/>
  <c r="P103" i="2380"/>
  <c r="AE98" i="2420" s="1"/>
  <c r="P43" i="2380"/>
  <c r="AE38" i="2420" s="1"/>
  <c r="P59" i="2380"/>
  <c r="AE54" i="2420" s="1"/>
  <c r="P80" i="2380"/>
  <c r="AE75" i="2420" s="1"/>
  <c r="P30" i="2380"/>
  <c r="AE25" i="2420" s="1"/>
  <c r="P75" i="2380"/>
  <c r="AE70" i="2420" s="1"/>
  <c r="P96" i="2380"/>
  <c r="AE91" i="2420" s="1"/>
  <c r="P87" i="2380"/>
  <c r="AE82" i="2420" s="1"/>
  <c r="P91" i="2380"/>
  <c r="AE86" i="2420" s="1"/>
  <c r="P92" i="2380"/>
  <c r="AE87" i="2420" s="1"/>
  <c r="P107" i="2380"/>
  <c r="AE102" i="2420" s="1"/>
  <c r="P89" i="2380"/>
  <c r="AE84" i="2420" s="1"/>
  <c r="P78" i="2380"/>
  <c r="AE73" i="2420" s="1"/>
  <c r="P76" i="2380"/>
  <c r="AE71" i="2420" s="1"/>
  <c r="P68" i="2380"/>
  <c r="AE63" i="2420" s="1"/>
  <c r="P94" i="2380"/>
  <c r="AE89" i="2420" s="1"/>
  <c r="P29" i="2380"/>
  <c r="AE24" i="2420" s="1"/>
  <c r="P57" i="2380"/>
  <c r="AE52" i="2420" s="1"/>
  <c r="P40" i="2380"/>
  <c r="AE35" i="2420" s="1"/>
  <c r="P85" i="2380"/>
  <c r="AE80" i="2420" s="1"/>
  <c r="P90" i="2380"/>
  <c r="AE85" i="2420" s="1"/>
  <c r="P56" i="2380"/>
  <c r="AE51" i="2420" s="1"/>
  <c r="P42" i="2380"/>
  <c r="AE37" i="2420" s="1"/>
  <c r="P55" i="2380"/>
  <c r="AE50" i="2420" s="1"/>
  <c r="P93" i="2380"/>
  <c r="AE88" i="2420" s="1"/>
  <c r="P41" i="2380"/>
  <c r="AE36" i="2420" s="1"/>
  <c r="P71" i="2380"/>
  <c r="AE66" i="2420" s="1"/>
  <c r="P69" i="2380"/>
  <c r="AE64" i="2420" s="1"/>
  <c r="P74" i="2380"/>
  <c r="AE69" i="2420" s="1"/>
  <c r="P104" i="2380"/>
  <c r="AE99" i="2420" s="1"/>
  <c r="P54" i="2380"/>
  <c r="AE49" i="2420" s="1"/>
  <c r="P84" i="2380"/>
  <c r="AE79" i="2420" s="1"/>
  <c r="P101" i="2380"/>
  <c r="AE96" i="2420" s="1"/>
  <c r="P106" i="2380"/>
  <c r="AE101" i="2420" s="1"/>
  <c r="P72" i="2380"/>
  <c r="AE67" i="2420" s="1"/>
  <c r="P53" i="2380"/>
  <c r="AE48" i="2420" s="1"/>
  <c r="P105" i="2380"/>
  <c r="AE100" i="2420" s="1"/>
  <c r="P38" i="2380"/>
  <c r="AE33" i="2420" s="1"/>
  <c r="P65" i="2380"/>
  <c r="AE60" i="2420" s="1"/>
  <c r="P31" i="2380"/>
  <c r="AE26" i="2420" s="1"/>
  <c r="P35" i="2380"/>
  <c r="AE30" i="2420" s="1"/>
  <c r="P70" i="2380"/>
  <c r="AE65" i="2420" s="1"/>
  <c r="P51" i="2380"/>
  <c r="AE46" i="2420" s="1"/>
  <c r="P36" i="2380"/>
  <c r="AE31" i="2420" s="1"/>
  <c r="P58" i="2380"/>
  <c r="AE53" i="2420" s="1"/>
  <c r="P88" i="2380"/>
  <c r="AE83" i="2420" s="1"/>
  <c r="P102" i="2380"/>
  <c r="AE97" i="2420" s="1"/>
  <c r="P83" i="2380"/>
  <c r="AE78" i="2420" s="1"/>
  <c r="P95" i="2380"/>
  <c r="AE90" i="2420" s="1"/>
  <c r="P99" i="2380"/>
  <c r="AE94" i="2420" s="1"/>
  <c r="AE29" i="2420"/>
  <c r="AE15" i="2420"/>
  <c r="AE18" i="2420"/>
  <c r="AE22" i="2420"/>
  <c r="AE21" i="2420"/>
  <c r="AE20" i="2420"/>
  <c r="AE17" i="2420"/>
  <c r="AE16" i="2420"/>
  <c r="AE19" i="2420"/>
  <c r="AE14" i="2420"/>
  <c r="AE10" i="2420"/>
  <c r="AE11" i="2420"/>
  <c r="AE12" i="2420"/>
  <c r="AE13" i="2420"/>
  <c r="F24" i="2390"/>
  <c r="F22" i="2406" s="1"/>
  <c r="F25" i="2413"/>
  <c r="F24" i="2383" s="1"/>
  <c r="F22" i="2390"/>
  <c r="F20" i="2406" s="1"/>
  <c r="F23" i="2413"/>
  <c r="F22" i="2383" s="1"/>
  <c r="F30" i="2390"/>
  <c r="F28" i="2406" s="1"/>
  <c r="F31" i="2413"/>
  <c r="F30" i="2383" s="1"/>
  <c r="F30" i="2413"/>
  <c r="F29" i="2383" s="1"/>
  <c r="F29" i="2390"/>
  <c r="F27" i="2406" s="1"/>
  <c r="F26" i="2413"/>
  <c r="F25" i="2383" s="1"/>
  <c r="F25" i="2390"/>
  <c r="F23" i="2406" s="1"/>
  <c r="F28" i="2413"/>
  <c r="F27" i="2383" s="1"/>
  <c r="F27" i="2390"/>
  <c r="F25" i="2406" s="1"/>
  <c r="F32" i="2413"/>
  <c r="F31" i="2383" s="1"/>
  <c r="F31" i="2390"/>
  <c r="F29" i="2406" s="1"/>
  <c r="F24" i="2413"/>
  <c r="F23" i="2383" s="1"/>
  <c r="F23" i="2390"/>
  <c r="F21" i="2406" s="1"/>
  <c r="F33" i="2390"/>
  <c r="F31" i="2406" s="1"/>
  <c r="F34" i="2413"/>
  <c r="F33" i="2383" s="1"/>
  <c r="F26" i="2390"/>
  <c r="F24" i="2406" s="1"/>
  <c r="F27" i="2413"/>
  <c r="F26" i="2383" s="1"/>
  <c r="F33" i="2413"/>
  <c r="F32" i="2383" s="1"/>
  <c r="F32" i="2390"/>
  <c r="F30" i="2406" s="1"/>
  <c r="F29" i="2413"/>
  <c r="F28" i="2383" s="1"/>
  <c r="F28" i="2390"/>
  <c r="F26" i="2406" s="1"/>
  <c r="DP81" i="2420"/>
  <c r="K102" i="2421"/>
  <c r="J113" i="2388"/>
  <c r="DP93" i="2420"/>
  <c r="J62" i="2388"/>
  <c r="K66" i="2421"/>
  <c r="J77" i="2388"/>
  <c r="DP57" i="2420"/>
  <c r="K101" i="2421"/>
  <c r="K67" i="2421"/>
  <c r="J78" i="2388"/>
  <c r="DP58" i="2420"/>
  <c r="K32" i="2421"/>
  <c r="J43" i="2388"/>
  <c r="DP23" i="2420"/>
  <c r="DP74" i="2420"/>
  <c r="K50" i="2421"/>
  <c r="J61" i="2388"/>
  <c r="DP41" i="2420"/>
  <c r="K56" i="2421"/>
  <c r="K52" i="2421"/>
  <c r="J63" i="2388"/>
  <c r="DP43" i="2420"/>
  <c r="K37" i="2421"/>
  <c r="J48" i="2388"/>
  <c r="DP28" i="2420"/>
  <c r="K112" i="2421"/>
  <c r="J123" i="2388"/>
  <c r="DP103" i="2420"/>
  <c r="K68" i="2421"/>
  <c r="J79" i="2388"/>
  <c r="DP59" i="2420"/>
  <c r="K54" i="2421"/>
  <c r="J65" i="2388"/>
  <c r="DP45" i="2420"/>
  <c r="K70" i="2421"/>
  <c r="J81" i="2388"/>
  <c r="DP61" i="2420"/>
  <c r="J47" i="2388"/>
  <c r="K27" i="2421"/>
  <c r="J38" i="2388"/>
  <c r="DP18" i="2420"/>
  <c r="K31" i="2421"/>
  <c r="J42" i="2388"/>
  <c r="DP22" i="2420"/>
  <c r="K77" i="2421"/>
  <c r="J88" i="2388"/>
  <c r="DP68" i="2420"/>
  <c r="K107" i="2421"/>
  <c r="K47" i="2421"/>
  <c r="J58" i="2388"/>
  <c r="DP38" i="2420"/>
  <c r="K113" i="2421"/>
  <c r="J124" i="2388"/>
  <c r="DP104" i="2420"/>
  <c r="K84" i="2421"/>
  <c r="J95" i="2388"/>
  <c r="DP75" i="2420"/>
  <c r="K79" i="2421"/>
  <c r="J90" i="2388"/>
  <c r="DP70" i="2420"/>
  <c r="K100" i="2421"/>
  <c r="J111" i="2388"/>
  <c r="DP91" i="2420"/>
  <c r="K91" i="2421"/>
  <c r="J102" i="2388"/>
  <c r="DP82" i="2420"/>
  <c r="K104" i="2421"/>
  <c r="J115" i="2388"/>
  <c r="DP95" i="2420"/>
  <c r="K24" i="2421"/>
  <c r="J35" i="2388"/>
  <c r="DP15" i="2420"/>
  <c r="K93" i="2421"/>
  <c r="J104" i="2388"/>
  <c r="DP84" i="2420"/>
  <c r="DP73" i="2420"/>
  <c r="K80" i="2421"/>
  <c r="J91" i="2388"/>
  <c r="DP71" i="2420"/>
  <c r="K72" i="2421"/>
  <c r="J83" i="2388"/>
  <c r="DP63" i="2420"/>
  <c r="K98" i="2421"/>
  <c r="J109" i="2388"/>
  <c r="DP89" i="2420"/>
  <c r="K61" i="2421"/>
  <c r="J72" i="2388"/>
  <c r="DP52" i="2420"/>
  <c r="K89" i="2421"/>
  <c r="J100" i="2388"/>
  <c r="DP80" i="2420"/>
  <c r="K94" i="2421"/>
  <c r="J105" i="2388"/>
  <c r="DP85" i="2420"/>
  <c r="K38" i="2421"/>
  <c r="J49" i="2388"/>
  <c r="DP29" i="2420"/>
  <c r="K81" i="2421"/>
  <c r="J92" i="2388"/>
  <c r="DP72" i="2420"/>
  <c r="K96" i="2421"/>
  <c r="J107" i="2388"/>
  <c r="DP87" i="2420"/>
  <c r="K60" i="2421"/>
  <c r="J71" i="2388"/>
  <c r="DP51" i="2420"/>
  <c r="K25" i="2421"/>
  <c r="J36" i="2388"/>
  <c r="DP16" i="2420"/>
  <c r="K46" i="2421"/>
  <c r="J57" i="2388"/>
  <c r="DP37" i="2420"/>
  <c r="K59" i="2421"/>
  <c r="J70" i="2388"/>
  <c r="DP50" i="2420"/>
  <c r="J108" i="2388"/>
  <c r="K45" i="2421"/>
  <c r="J56" i="2388"/>
  <c r="DP36" i="2420"/>
  <c r="K73" i="2421"/>
  <c r="J84" i="2388"/>
  <c r="DP64" i="2420"/>
  <c r="K78" i="2421"/>
  <c r="J89" i="2388"/>
  <c r="DP69" i="2420"/>
  <c r="K108" i="2421"/>
  <c r="J119" i="2388"/>
  <c r="DP99" i="2420"/>
  <c r="K58" i="2421"/>
  <c r="J69" i="2388"/>
  <c r="DP49" i="2420"/>
  <c r="K88" i="2421"/>
  <c r="J99" i="2388"/>
  <c r="DP79" i="2420"/>
  <c r="K64" i="2421"/>
  <c r="J75" i="2388"/>
  <c r="DP55" i="2420"/>
  <c r="J116" i="2388"/>
  <c r="K110" i="2421"/>
  <c r="J121" i="2388"/>
  <c r="DP101" i="2420"/>
  <c r="K57" i="2421"/>
  <c r="J68" i="2388"/>
  <c r="DP48" i="2420"/>
  <c r="K109" i="2421"/>
  <c r="J120" i="2388"/>
  <c r="DP100" i="2420"/>
  <c r="K42" i="2421"/>
  <c r="J53" i="2388"/>
  <c r="DP33" i="2420"/>
  <c r="K69" i="2421"/>
  <c r="J80" i="2388"/>
  <c r="DP60" i="2420"/>
  <c r="K35" i="2421"/>
  <c r="J46" i="2388"/>
  <c r="DP26" i="2420"/>
  <c r="K71" i="2421"/>
  <c r="J82" i="2388"/>
  <c r="DP62" i="2420"/>
  <c r="K85" i="2421"/>
  <c r="J96" i="2388"/>
  <c r="DP76" i="2420"/>
  <c r="K74" i="2421"/>
  <c r="J85" i="2388"/>
  <c r="DP65" i="2420"/>
  <c r="K40" i="2421"/>
  <c r="J51" i="2388"/>
  <c r="DP31" i="2420"/>
  <c r="K62" i="2421"/>
  <c r="J73" i="2388"/>
  <c r="DP53" i="2420"/>
  <c r="K92" i="2421"/>
  <c r="J103" i="2388"/>
  <c r="DP83" i="2420"/>
  <c r="K106" i="2421"/>
  <c r="J117" i="2388"/>
  <c r="DP97" i="2420"/>
  <c r="K87" i="2421"/>
  <c r="J98" i="2388"/>
  <c r="DP78" i="2420"/>
  <c r="J110" i="2388"/>
  <c r="K103" i="2421"/>
  <c r="J114" i="2388"/>
  <c r="DP94" i="2420"/>
  <c r="AL37" i="2420"/>
  <c r="AO37" i="2420"/>
  <c r="AM37" i="2420"/>
  <c r="AP37" i="2420"/>
  <c r="H46" i="2421"/>
  <c r="N37" i="2420"/>
  <c r="Q57" i="2388" s="1"/>
  <c r="AN37" i="2420"/>
  <c r="BN37" i="2420"/>
  <c r="BO37" i="2420"/>
  <c r="Y37" i="2420"/>
  <c r="AA37" i="2420"/>
  <c r="H88" i="2421"/>
  <c r="AM79" i="2420"/>
  <c r="AL79" i="2420"/>
  <c r="AN79" i="2420"/>
  <c r="AO79" i="2420"/>
  <c r="BN79" i="2420"/>
  <c r="AP79" i="2420"/>
  <c r="BO79" i="2420"/>
  <c r="N79" i="2420"/>
  <c r="Q99" i="2388" s="1"/>
  <c r="AA79" i="2420"/>
  <c r="Y79" i="2420"/>
  <c r="H38" i="2421"/>
  <c r="BO29" i="2420"/>
  <c r="BN29" i="2420"/>
  <c r="N29" i="2420"/>
  <c r="Q49" i="2388" s="1"/>
  <c r="Y29" i="2420"/>
  <c r="AL29" i="2420"/>
  <c r="AA29" i="2420"/>
  <c r="AM29" i="2420"/>
  <c r="AN29" i="2420"/>
  <c r="AP29" i="2420"/>
  <c r="AO29" i="2420"/>
  <c r="H104" i="2421"/>
  <c r="AP95" i="2420"/>
  <c r="Y95" i="2420"/>
  <c r="BO95" i="2420"/>
  <c r="AL95" i="2420"/>
  <c r="N95" i="2420"/>
  <c r="Q115" i="2388" s="1"/>
  <c r="AA95" i="2420"/>
  <c r="AM95" i="2420"/>
  <c r="AN95" i="2420"/>
  <c r="AO95" i="2420"/>
  <c r="BN95" i="2420"/>
  <c r="BO55" i="2420"/>
  <c r="H64" i="2421"/>
  <c r="N55" i="2420"/>
  <c r="Q75" i="2388" s="1"/>
  <c r="AA55" i="2420"/>
  <c r="Y55" i="2420"/>
  <c r="AM55" i="2420"/>
  <c r="AL55" i="2420"/>
  <c r="AN55" i="2420"/>
  <c r="AO55" i="2420"/>
  <c r="BN55" i="2420"/>
  <c r="AP55" i="2420"/>
  <c r="H37" i="2421"/>
  <c r="AA28" i="2420"/>
  <c r="AL28" i="2420"/>
  <c r="AM28" i="2420"/>
  <c r="AN28" i="2420"/>
  <c r="N28" i="2420"/>
  <c r="Q48" i="2388" s="1"/>
  <c r="AO28" i="2420"/>
  <c r="AP28" i="2420"/>
  <c r="BN28" i="2420"/>
  <c r="Y28" i="2420"/>
  <c r="BO28" i="2420"/>
  <c r="H90" i="2421"/>
  <c r="AA81" i="2420"/>
  <c r="AM81" i="2420"/>
  <c r="AN81" i="2420"/>
  <c r="AO81" i="2420"/>
  <c r="BN81" i="2420"/>
  <c r="N81" i="2420"/>
  <c r="Q101" i="2388" s="1"/>
  <c r="BO81" i="2420"/>
  <c r="Y81" i="2420"/>
  <c r="AP81" i="2420"/>
  <c r="AL81" i="2420"/>
  <c r="H71" i="2421"/>
  <c r="BN62" i="2420"/>
  <c r="AN62" i="2420"/>
  <c r="AP62" i="2420"/>
  <c r="BO62" i="2420"/>
  <c r="N62" i="2420"/>
  <c r="Q82" i="2388" s="1"/>
  <c r="Y62" i="2420"/>
  <c r="AL62" i="2420"/>
  <c r="AA62" i="2420"/>
  <c r="AO62" i="2420"/>
  <c r="AM62" i="2420"/>
  <c r="H53" i="2421"/>
  <c r="AN44" i="2420"/>
  <c r="AA44" i="2420"/>
  <c r="BN44" i="2420"/>
  <c r="BO44" i="2420"/>
  <c r="AM44" i="2420"/>
  <c r="N44" i="2420"/>
  <c r="Q64" i="2388" s="1"/>
  <c r="Y44" i="2420"/>
  <c r="AO44" i="2420"/>
  <c r="AL44" i="2420"/>
  <c r="AP44" i="2420"/>
  <c r="H81" i="2421"/>
  <c r="BO72" i="2420"/>
  <c r="N72" i="2420"/>
  <c r="Q92" i="2388" s="1"/>
  <c r="Y72" i="2420"/>
  <c r="AL72" i="2420"/>
  <c r="AA72" i="2420"/>
  <c r="AO72" i="2420"/>
  <c r="AM72" i="2420"/>
  <c r="BN72" i="2420"/>
  <c r="AN72" i="2420"/>
  <c r="AP72" i="2420"/>
  <c r="H24" i="2421"/>
  <c r="AN15" i="2420"/>
  <c r="AO15" i="2420"/>
  <c r="BN15" i="2420"/>
  <c r="AP15" i="2420"/>
  <c r="BO15" i="2420"/>
  <c r="AL15" i="2420"/>
  <c r="N15" i="2420"/>
  <c r="Q35" i="2388" s="1"/>
  <c r="AA15" i="2420"/>
  <c r="Y15" i="2420"/>
  <c r="AM15" i="2420"/>
  <c r="H48" i="2421"/>
  <c r="AO39" i="2420"/>
  <c r="BN39" i="2420"/>
  <c r="AP39" i="2420"/>
  <c r="N39" i="2420"/>
  <c r="Q59" i="2388" s="1"/>
  <c r="BO39" i="2420"/>
  <c r="Y39" i="2420"/>
  <c r="AM39" i="2420"/>
  <c r="AL39" i="2420"/>
  <c r="AA39" i="2420"/>
  <c r="AN39" i="2420"/>
  <c r="H102" i="2421"/>
  <c r="AA93" i="2420"/>
  <c r="AO93" i="2420"/>
  <c r="AM93" i="2420"/>
  <c r="BN93" i="2420"/>
  <c r="AN93" i="2420"/>
  <c r="AP93" i="2420"/>
  <c r="BO93" i="2420"/>
  <c r="N93" i="2420"/>
  <c r="Q113" i="2388" s="1"/>
  <c r="Y93" i="2420"/>
  <c r="AL93" i="2420"/>
  <c r="H51" i="2421"/>
  <c r="AA42" i="2420"/>
  <c r="AM42" i="2420"/>
  <c r="AN42" i="2420"/>
  <c r="AO42" i="2420"/>
  <c r="AP42" i="2420"/>
  <c r="Y42" i="2420"/>
  <c r="BO42" i="2420"/>
  <c r="BN42" i="2420"/>
  <c r="AL42" i="2420"/>
  <c r="N42" i="2420"/>
  <c r="Q62" i="2388" s="1"/>
  <c r="H66" i="2421"/>
  <c r="Y57" i="2420"/>
  <c r="AP57" i="2420"/>
  <c r="AL57" i="2420"/>
  <c r="AA57" i="2420"/>
  <c r="AM57" i="2420"/>
  <c r="AN57" i="2420"/>
  <c r="AO57" i="2420"/>
  <c r="BN57" i="2420"/>
  <c r="N57" i="2420"/>
  <c r="Q77" i="2388" s="1"/>
  <c r="BO57" i="2420"/>
  <c r="H101" i="2421"/>
  <c r="AM92" i="2420"/>
  <c r="AL92" i="2420"/>
  <c r="AN92" i="2420"/>
  <c r="AO92" i="2420"/>
  <c r="BN92" i="2420"/>
  <c r="AP92" i="2420"/>
  <c r="BO92" i="2420"/>
  <c r="N92" i="2420"/>
  <c r="Q112" i="2388" s="1"/>
  <c r="AA92" i="2420"/>
  <c r="Y92" i="2420"/>
  <c r="H67" i="2421"/>
  <c r="AO58" i="2420"/>
  <c r="BN58" i="2420"/>
  <c r="AP58" i="2420"/>
  <c r="Y58" i="2420"/>
  <c r="BO58" i="2420"/>
  <c r="AL58" i="2420"/>
  <c r="N58" i="2420"/>
  <c r="Q78" i="2388" s="1"/>
  <c r="AA58" i="2420"/>
  <c r="AM58" i="2420"/>
  <c r="AN58" i="2420"/>
  <c r="H32" i="2421"/>
  <c r="Y23" i="2420"/>
  <c r="AA23" i="2420"/>
  <c r="AL23" i="2420"/>
  <c r="AM23" i="2420"/>
  <c r="AN23" i="2420"/>
  <c r="BO23" i="2420"/>
  <c r="AP23" i="2420"/>
  <c r="BN23" i="2420"/>
  <c r="AO23" i="2420"/>
  <c r="N23" i="2420"/>
  <c r="Q43" i="2388" s="1"/>
  <c r="AA74" i="2420"/>
  <c r="AM74" i="2420"/>
  <c r="H83" i="2421"/>
  <c r="AN74" i="2420"/>
  <c r="AO74" i="2420"/>
  <c r="BN74" i="2420"/>
  <c r="AP74" i="2420"/>
  <c r="Y74" i="2420"/>
  <c r="BO74" i="2420"/>
  <c r="AL74" i="2420"/>
  <c r="N74" i="2420"/>
  <c r="Q94" i="2388" s="1"/>
  <c r="H50" i="2421"/>
  <c r="AA41" i="2420"/>
  <c r="AN41" i="2420"/>
  <c r="BN41" i="2420"/>
  <c r="AO41" i="2420"/>
  <c r="AM41" i="2420"/>
  <c r="AP41" i="2420"/>
  <c r="BO41" i="2420"/>
  <c r="N41" i="2420"/>
  <c r="Q61" i="2388" s="1"/>
  <c r="Y41" i="2420"/>
  <c r="AL41" i="2420"/>
  <c r="H56" i="2421"/>
  <c r="BN47" i="2420"/>
  <c r="N47" i="2420"/>
  <c r="Q67" i="2388" s="1"/>
  <c r="AP47" i="2420"/>
  <c r="Y47" i="2420"/>
  <c r="BO47" i="2420"/>
  <c r="AL47" i="2420"/>
  <c r="AA47" i="2420"/>
  <c r="AM47" i="2420"/>
  <c r="AN47" i="2420"/>
  <c r="AO47" i="2420"/>
  <c r="H52" i="2421"/>
  <c r="AP43" i="2420"/>
  <c r="AM43" i="2420"/>
  <c r="BO43" i="2420"/>
  <c r="N43" i="2420"/>
  <c r="Q63" i="2388" s="1"/>
  <c r="Y43" i="2420"/>
  <c r="AL43" i="2420"/>
  <c r="AA43" i="2420"/>
  <c r="AN43" i="2420"/>
  <c r="AO43" i="2420"/>
  <c r="BN43" i="2420"/>
  <c r="H97" i="2421"/>
  <c r="AP88" i="2420"/>
  <c r="BO88" i="2420"/>
  <c r="N88" i="2420"/>
  <c r="Q108" i="2388" s="1"/>
  <c r="AA88" i="2420"/>
  <c r="Y88" i="2420"/>
  <c r="AM88" i="2420"/>
  <c r="AL88" i="2420"/>
  <c r="AN88" i="2420"/>
  <c r="AO88" i="2420"/>
  <c r="BN88" i="2420"/>
  <c r="H43" i="2421"/>
  <c r="AA34" i="2420"/>
  <c r="AM34" i="2420"/>
  <c r="AN34" i="2420"/>
  <c r="AO34" i="2420"/>
  <c r="BN34" i="2420"/>
  <c r="N34" i="2420"/>
  <c r="Q54" i="2388" s="1"/>
  <c r="AP34" i="2420"/>
  <c r="Y34" i="2420"/>
  <c r="BO34" i="2420"/>
  <c r="AL34" i="2420"/>
  <c r="H112" i="2421"/>
  <c r="AP103" i="2420"/>
  <c r="BO103" i="2420"/>
  <c r="AL103" i="2420"/>
  <c r="Y103" i="2420"/>
  <c r="AA103" i="2420"/>
  <c r="N103" i="2420"/>
  <c r="Q123" i="2388" s="1"/>
  <c r="AM103" i="2420"/>
  <c r="AN103" i="2420"/>
  <c r="AO103" i="2420"/>
  <c r="BN103" i="2420"/>
  <c r="AP59" i="2420"/>
  <c r="BO59" i="2420"/>
  <c r="Y59" i="2420"/>
  <c r="H68" i="2421"/>
  <c r="AM59" i="2420"/>
  <c r="AL59" i="2420"/>
  <c r="AO59" i="2420"/>
  <c r="AA59" i="2420"/>
  <c r="AN59" i="2420"/>
  <c r="BN59" i="2420"/>
  <c r="N59" i="2420"/>
  <c r="Q79" i="2388" s="1"/>
  <c r="H54" i="2421"/>
  <c r="AP45" i="2420"/>
  <c r="BO45" i="2420"/>
  <c r="N45" i="2420"/>
  <c r="Q65" i="2388" s="1"/>
  <c r="Y45" i="2420"/>
  <c r="AL45" i="2420"/>
  <c r="AN45" i="2420"/>
  <c r="AA45" i="2420"/>
  <c r="AO45" i="2420"/>
  <c r="AM45" i="2420"/>
  <c r="BN45" i="2420"/>
  <c r="H65" i="2421"/>
  <c r="BO56" i="2420"/>
  <c r="N56" i="2420"/>
  <c r="Q76" i="2388" s="1"/>
  <c r="Y56" i="2420"/>
  <c r="AL56" i="2420"/>
  <c r="AA56" i="2420"/>
  <c r="AO56" i="2420"/>
  <c r="AM56" i="2420"/>
  <c r="BN56" i="2420"/>
  <c r="AN56" i="2420"/>
  <c r="AP56" i="2420"/>
  <c r="H70" i="2421"/>
  <c r="N61" i="2420"/>
  <c r="Q81" i="2388" s="1"/>
  <c r="BO61" i="2420"/>
  <c r="AL61" i="2420"/>
  <c r="Y61" i="2420"/>
  <c r="AN61" i="2420"/>
  <c r="AA61" i="2420"/>
  <c r="AP61" i="2420"/>
  <c r="AM61" i="2420"/>
  <c r="AO61" i="2420"/>
  <c r="BN61" i="2420"/>
  <c r="AO27" i="2420"/>
  <c r="H36" i="2421"/>
  <c r="N27" i="2420"/>
  <c r="Q47" i="2388" s="1"/>
  <c r="AA27" i="2420"/>
  <c r="Y27" i="2420"/>
  <c r="AP27" i="2420"/>
  <c r="AN27" i="2420"/>
  <c r="AM27" i="2420"/>
  <c r="AL27" i="2420"/>
  <c r="BN27" i="2420"/>
  <c r="BO27" i="2420"/>
  <c r="H27" i="2421"/>
  <c r="AA18" i="2420"/>
  <c r="AM18" i="2420"/>
  <c r="AN18" i="2420"/>
  <c r="AP18" i="2420"/>
  <c r="BO18" i="2420"/>
  <c r="N18" i="2420"/>
  <c r="Q38" i="2388" s="1"/>
  <c r="BN18" i="2420"/>
  <c r="Y18" i="2420"/>
  <c r="AO18" i="2420"/>
  <c r="AL18" i="2420"/>
  <c r="H31" i="2421"/>
  <c r="AL22" i="2420"/>
  <c r="AN22" i="2420"/>
  <c r="AM22" i="2420"/>
  <c r="AO22" i="2420"/>
  <c r="AA22" i="2420"/>
  <c r="BN22" i="2420"/>
  <c r="AP22" i="2420"/>
  <c r="BO22" i="2420"/>
  <c r="N22" i="2420"/>
  <c r="Q42" i="2388" s="1"/>
  <c r="Y22" i="2420"/>
  <c r="H77" i="2421"/>
  <c r="AL68" i="2420"/>
  <c r="Y68" i="2420"/>
  <c r="AM68" i="2420"/>
  <c r="AP68" i="2420"/>
  <c r="AA68" i="2420"/>
  <c r="BO68" i="2420"/>
  <c r="AN68" i="2420"/>
  <c r="AO68" i="2420"/>
  <c r="BN68" i="2420"/>
  <c r="N68" i="2420"/>
  <c r="Q88" i="2388" s="1"/>
  <c r="H25" i="2421"/>
  <c r="AP16" i="2420"/>
  <c r="BO16" i="2420"/>
  <c r="N16" i="2420"/>
  <c r="Q36" i="2388" s="1"/>
  <c r="Y16" i="2420"/>
  <c r="AL16" i="2420"/>
  <c r="AN16" i="2420"/>
  <c r="AM16" i="2420"/>
  <c r="AO16" i="2420"/>
  <c r="AA16" i="2420"/>
  <c r="BN16" i="2420"/>
  <c r="AL69" i="2420"/>
  <c r="BO69" i="2420"/>
  <c r="AA69" i="2420"/>
  <c r="AM69" i="2420"/>
  <c r="H78" i="2421"/>
  <c r="N69" i="2420"/>
  <c r="Q89" i="2388" s="1"/>
  <c r="AN69" i="2420"/>
  <c r="Y69" i="2420"/>
  <c r="AO69" i="2420"/>
  <c r="AP69" i="2420"/>
  <c r="BN69" i="2420"/>
  <c r="H107" i="2421"/>
  <c r="AA98" i="2420"/>
  <c r="AM98" i="2420"/>
  <c r="AN98" i="2420"/>
  <c r="AO98" i="2420"/>
  <c r="BN98" i="2420"/>
  <c r="N98" i="2420"/>
  <c r="Q118" i="2388" s="1"/>
  <c r="AP98" i="2420"/>
  <c r="Y98" i="2420"/>
  <c r="BO98" i="2420"/>
  <c r="AL98" i="2420"/>
  <c r="H47" i="2421"/>
  <c r="AA38" i="2420"/>
  <c r="AM38" i="2420"/>
  <c r="AN38" i="2420"/>
  <c r="AP38" i="2420"/>
  <c r="AO38" i="2420"/>
  <c r="BO38" i="2420"/>
  <c r="BN38" i="2420"/>
  <c r="Y38" i="2420"/>
  <c r="N38" i="2420"/>
  <c r="Q58" i="2388" s="1"/>
  <c r="AL38" i="2420"/>
  <c r="N20" i="2420"/>
  <c r="Q40" i="2388" s="1"/>
  <c r="Y20" i="2420"/>
  <c r="AP20" i="2420"/>
  <c r="BN20" i="2420"/>
  <c r="AN20" i="2420"/>
  <c r="H113" i="2421"/>
  <c r="AO104" i="2420"/>
  <c r="BO104" i="2420"/>
  <c r="BN104" i="2420"/>
  <c r="Y104" i="2420"/>
  <c r="AA104" i="2420"/>
  <c r="AP104" i="2420"/>
  <c r="N104" i="2420"/>
  <c r="Q124" i="2388" s="1"/>
  <c r="AM104" i="2420"/>
  <c r="AN104" i="2420"/>
  <c r="AL104" i="2420"/>
  <c r="H84" i="2421"/>
  <c r="N75" i="2420"/>
  <c r="Q95" i="2388" s="1"/>
  <c r="AA75" i="2420"/>
  <c r="Y75" i="2420"/>
  <c r="AM75" i="2420"/>
  <c r="AL75" i="2420"/>
  <c r="AN75" i="2420"/>
  <c r="AO75" i="2420"/>
  <c r="BN75" i="2420"/>
  <c r="AP75" i="2420"/>
  <c r="BO75" i="2420"/>
  <c r="H34" i="2421"/>
  <c r="AN25" i="2420"/>
  <c r="AO25" i="2420"/>
  <c r="BN25" i="2420"/>
  <c r="AP25" i="2420"/>
  <c r="BO25" i="2420"/>
  <c r="AL25" i="2420"/>
  <c r="N25" i="2420"/>
  <c r="Q45" i="2388" s="1"/>
  <c r="AA25" i="2420"/>
  <c r="Y25" i="2420"/>
  <c r="AM25" i="2420"/>
  <c r="AN70" i="2420"/>
  <c r="AO70" i="2420"/>
  <c r="H79" i="2421"/>
  <c r="BN70" i="2420"/>
  <c r="AP70" i="2420"/>
  <c r="Y70" i="2420"/>
  <c r="BO70" i="2420"/>
  <c r="AL70" i="2420"/>
  <c r="N70" i="2420"/>
  <c r="Q90" i="2388" s="1"/>
  <c r="AA70" i="2420"/>
  <c r="AM70" i="2420"/>
  <c r="Y91" i="2420"/>
  <c r="BO91" i="2420"/>
  <c r="AL91" i="2420"/>
  <c r="N91" i="2420"/>
  <c r="Q111" i="2388" s="1"/>
  <c r="AA91" i="2420"/>
  <c r="AM91" i="2420"/>
  <c r="AN91" i="2420"/>
  <c r="H100" i="2421"/>
  <c r="AO91" i="2420"/>
  <c r="BN91" i="2420"/>
  <c r="AP91" i="2420"/>
  <c r="H91" i="2421"/>
  <c r="AL82" i="2420"/>
  <c r="N82" i="2420"/>
  <c r="Q102" i="2388" s="1"/>
  <c r="AA82" i="2420"/>
  <c r="AM82" i="2420"/>
  <c r="AN82" i="2420"/>
  <c r="AO82" i="2420"/>
  <c r="BN82" i="2420"/>
  <c r="AP82" i="2420"/>
  <c r="Y82" i="2420"/>
  <c r="BO82" i="2420"/>
  <c r="H95" i="2421"/>
  <c r="AO86" i="2420"/>
  <c r="BN86" i="2420"/>
  <c r="AL86" i="2420"/>
  <c r="AN86" i="2420"/>
  <c r="AP86" i="2420"/>
  <c r="Y86" i="2420"/>
  <c r="N86" i="2420"/>
  <c r="Q106" i="2388" s="1"/>
  <c r="AA86" i="2420"/>
  <c r="BO86" i="2420"/>
  <c r="AM86" i="2420"/>
  <c r="H60" i="2421"/>
  <c r="BN51" i="2420"/>
  <c r="Y51" i="2420"/>
  <c r="BO51" i="2420"/>
  <c r="AL51" i="2420"/>
  <c r="AO51" i="2420"/>
  <c r="AA51" i="2420"/>
  <c r="AM51" i="2420"/>
  <c r="AN51" i="2420"/>
  <c r="AP51" i="2420"/>
  <c r="N51" i="2420"/>
  <c r="Q71" i="2388" s="1"/>
  <c r="H73" i="2421"/>
  <c r="AO64" i="2420"/>
  <c r="BN64" i="2420"/>
  <c r="AP64" i="2420"/>
  <c r="Y64" i="2420"/>
  <c r="BO64" i="2420"/>
  <c r="AL64" i="2420"/>
  <c r="N64" i="2420"/>
  <c r="Q84" i="2388" s="1"/>
  <c r="AA64" i="2420"/>
  <c r="AM64" i="2420"/>
  <c r="AN64" i="2420"/>
  <c r="H96" i="2421"/>
  <c r="N87" i="2420"/>
  <c r="Q107" i="2388" s="1"/>
  <c r="AP87" i="2420"/>
  <c r="Y87" i="2420"/>
  <c r="AL87" i="2420"/>
  <c r="AA87" i="2420"/>
  <c r="AM87" i="2420"/>
  <c r="BN87" i="2420"/>
  <c r="AN87" i="2420"/>
  <c r="AO87" i="2420"/>
  <c r="BO87" i="2420"/>
  <c r="BN84" i="2420"/>
  <c r="AP84" i="2420"/>
  <c r="AL84" i="2420"/>
  <c r="H93" i="2421"/>
  <c r="AM84" i="2420"/>
  <c r="BO84" i="2420"/>
  <c r="AO84" i="2420"/>
  <c r="Y84" i="2420"/>
  <c r="AA84" i="2420"/>
  <c r="N84" i="2420"/>
  <c r="Q104" i="2388" s="1"/>
  <c r="AN84" i="2420"/>
  <c r="H82" i="2421"/>
  <c r="AN73" i="2420"/>
  <c r="AO73" i="2420"/>
  <c r="BN73" i="2420"/>
  <c r="N73" i="2420"/>
  <c r="Q93" i="2388" s="1"/>
  <c r="AP73" i="2420"/>
  <c r="Y73" i="2420"/>
  <c r="BO73" i="2420"/>
  <c r="AL73" i="2420"/>
  <c r="AA73" i="2420"/>
  <c r="AM73" i="2420"/>
  <c r="H80" i="2421"/>
  <c r="AM71" i="2420"/>
  <c r="AL71" i="2420"/>
  <c r="AN71" i="2420"/>
  <c r="AO71" i="2420"/>
  <c r="BN71" i="2420"/>
  <c r="AP71" i="2420"/>
  <c r="BO71" i="2420"/>
  <c r="N71" i="2420"/>
  <c r="Q91" i="2388" s="1"/>
  <c r="AA71" i="2420"/>
  <c r="Y71" i="2420"/>
  <c r="H72" i="2421"/>
  <c r="AA63" i="2420"/>
  <c r="AM63" i="2420"/>
  <c r="AN63" i="2420"/>
  <c r="AO63" i="2420"/>
  <c r="BN63" i="2420"/>
  <c r="N63" i="2420"/>
  <c r="Q83" i="2388" s="1"/>
  <c r="AP63" i="2420"/>
  <c r="Y63" i="2420"/>
  <c r="BO63" i="2420"/>
  <c r="AL63" i="2420"/>
  <c r="H98" i="2421"/>
  <c r="AO89" i="2420"/>
  <c r="AA89" i="2420"/>
  <c r="AM89" i="2420"/>
  <c r="BN89" i="2420"/>
  <c r="AN89" i="2420"/>
  <c r="AP89" i="2420"/>
  <c r="BO89" i="2420"/>
  <c r="N89" i="2420"/>
  <c r="Q109" i="2388" s="1"/>
  <c r="Y89" i="2420"/>
  <c r="AL89" i="2420"/>
  <c r="H33" i="2421"/>
  <c r="BN24" i="2420"/>
  <c r="N24" i="2420"/>
  <c r="Q44" i="2388" s="1"/>
  <c r="AP24" i="2420"/>
  <c r="Y24" i="2420"/>
  <c r="BO24" i="2420"/>
  <c r="AL24" i="2420"/>
  <c r="AA24" i="2420"/>
  <c r="AM24" i="2420"/>
  <c r="AN24" i="2420"/>
  <c r="AO24" i="2420"/>
  <c r="BO52" i="2420"/>
  <c r="AA52" i="2420"/>
  <c r="AN52" i="2420"/>
  <c r="AO52" i="2420"/>
  <c r="N52" i="2420"/>
  <c r="Q72" i="2388" s="1"/>
  <c r="AP52" i="2420"/>
  <c r="Y52" i="2420"/>
  <c r="H61" i="2421"/>
  <c r="AL52" i="2420"/>
  <c r="BN52" i="2420"/>
  <c r="AM52" i="2420"/>
  <c r="H89" i="2421"/>
  <c r="BN80" i="2420"/>
  <c r="AN80" i="2420"/>
  <c r="AP80" i="2420"/>
  <c r="BO80" i="2420"/>
  <c r="N80" i="2420"/>
  <c r="Q100" i="2388" s="1"/>
  <c r="Y80" i="2420"/>
  <c r="AL80" i="2420"/>
  <c r="AA80" i="2420"/>
  <c r="AO80" i="2420"/>
  <c r="AM80" i="2420"/>
  <c r="H94" i="2421"/>
  <c r="AN85" i="2420"/>
  <c r="AO85" i="2420"/>
  <c r="BN85" i="2420"/>
  <c r="AP85" i="2420"/>
  <c r="N85" i="2420"/>
  <c r="Q105" i="2388" s="1"/>
  <c r="Y85" i="2420"/>
  <c r="BO85" i="2420"/>
  <c r="AA85" i="2420"/>
  <c r="AL85" i="2420"/>
  <c r="AM85" i="2420"/>
  <c r="H108" i="2421"/>
  <c r="AO99" i="2420"/>
  <c r="BN99" i="2420"/>
  <c r="AP99" i="2420"/>
  <c r="Y99" i="2420"/>
  <c r="BO99" i="2420"/>
  <c r="AL99" i="2420"/>
  <c r="N99" i="2420"/>
  <c r="Q119" i="2388" s="1"/>
  <c r="AA99" i="2420"/>
  <c r="AM99" i="2420"/>
  <c r="AN99" i="2420"/>
  <c r="H45" i="2421"/>
  <c r="BN36" i="2420"/>
  <c r="Y36" i="2420"/>
  <c r="AP36" i="2420"/>
  <c r="BO36" i="2420"/>
  <c r="N36" i="2420"/>
  <c r="Q56" i="2388" s="1"/>
  <c r="AL36" i="2420"/>
  <c r="AA36" i="2420"/>
  <c r="AM36" i="2420"/>
  <c r="AO36" i="2420"/>
  <c r="AN36" i="2420"/>
  <c r="H21" i="2421"/>
  <c r="H105" i="2421"/>
  <c r="AO96" i="2420"/>
  <c r="BN96" i="2420"/>
  <c r="AP96" i="2420"/>
  <c r="BO96" i="2420"/>
  <c r="N96" i="2420"/>
  <c r="Q116" i="2388" s="1"/>
  <c r="AA96" i="2420"/>
  <c r="Y96" i="2420"/>
  <c r="AM96" i="2420"/>
  <c r="AL96" i="2420"/>
  <c r="AN96" i="2420"/>
  <c r="H110" i="2421"/>
  <c r="AA101" i="2420"/>
  <c r="BN101" i="2420"/>
  <c r="BO101" i="2420"/>
  <c r="Y101" i="2420"/>
  <c r="AL101" i="2420"/>
  <c r="AM101" i="2420"/>
  <c r="AN101" i="2420"/>
  <c r="AO101" i="2420"/>
  <c r="AP101" i="2420"/>
  <c r="N101" i="2420"/>
  <c r="Q121" i="2388" s="1"/>
  <c r="H57" i="2421"/>
  <c r="BO48" i="2420"/>
  <c r="AL48" i="2420"/>
  <c r="N48" i="2420"/>
  <c r="Q68" i="2388" s="1"/>
  <c r="AA48" i="2420"/>
  <c r="Y48" i="2420"/>
  <c r="AM48" i="2420"/>
  <c r="AN48" i="2420"/>
  <c r="AO48" i="2420"/>
  <c r="BN48" i="2420"/>
  <c r="AP48" i="2420"/>
  <c r="H109" i="2421"/>
  <c r="AP100" i="2420"/>
  <c r="BO100" i="2420"/>
  <c r="N100" i="2420"/>
  <c r="Q120" i="2388" s="1"/>
  <c r="AA100" i="2420"/>
  <c r="Y100" i="2420"/>
  <c r="AM100" i="2420"/>
  <c r="AL100" i="2420"/>
  <c r="AN100" i="2420"/>
  <c r="AO100" i="2420"/>
  <c r="BN100" i="2420"/>
  <c r="N33" i="2420"/>
  <c r="Q53" i="2388" s="1"/>
  <c r="Y33" i="2420"/>
  <c r="AL33" i="2420"/>
  <c r="AA33" i="2420"/>
  <c r="H42" i="2421"/>
  <c r="AM33" i="2420"/>
  <c r="AN33" i="2420"/>
  <c r="BO33" i="2420"/>
  <c r="BN33" i="2420"/>
  <c r="AP33" i="2420"/>
  <c r="AO33" i="2420"/>
  <c r="AL14" i="2420"/>
  <c r="AM14" i="2420"/>
  <c r="AN14" i="2420"/>
  <c r="BN14" i="2420"/>
  <c r="H23" i="2421"/>
  <c r="AP14" i="2420"/>
  <c r="BO14" i="2420"/>
  <c r="H69" i="2421"/>
  <c r="AO60" i="2420"/>
  <c r="AP60" i="2420"/>
  <c r="BN60" i="2420"/>
  <c r="BO60" i="2420"/>
  <c r="AL60" i="2420"/>
  <c r="N60" i="2420"/>
  <c r="Q80" i="2388" s="1"/>
  <c r="Y60" i="2420"/>
  <c r="AA60" i="2420"/>
  <c r="AM60" i="2420"/>
  <c r="AN60" i="2420"/>
  <c r="H35" i="2421"/>
  <c r="AO26" i="2420"/>
  <c r="AA26" i="2420"/>
  <c r="BN26" i="2420"/>
  <c r="AP26" i="2420"/>
  <c r="BO26" i="2420"/>
  <c r="N26" i="2420"/>
  <c r="Q46" i="2388" s="1"/>
  <c r="AL26" i="2420"/>
  <c r="AM26" i="2420"/>
  <c r="AN26" i="2420"/>
  <c r="Y26" i="2420"/>
  <c r="H39" i="2421"/>
  <c r="BN30" i="2420"/>
  <c r="N30" i="2420"/>
  <c r="Q50" i="2388" s="1"/>
  <c r="AP30" i="2420"/>
  <c r="Y30" i="2420"/>
  <c r="BO30" i="2420"/>
  <c r="AL30" i="2420"/>
  <c r="AA30" i="2420"/>
  <c r="AM30" i="2420"/>
  <c r="AN30" i="2420"/>
  <c r="AO30" i="2420"/>
  <c r="H59" i="2421"/>
  <c r="AN50" i="2420"/>
  <c r="AO50" i="2420"/>
  <c r="AP50" i="2420"/>
  <c r="N50" i="2420"/>
  <c r="Q70" i="2388" s="1"/>
  <c r="BN50" i="2420"/>
  <c r="Y50" i="2420"/>
  <c r="BO50" i="2420"/>
  <c r="AL50" i="2420"/>
  <c r="AA50" i="2420"/>
  <c r="AM50" i="2420"/>
  <c r="H58" i="2421"/>
  <c r="N49" i="2420"/>
  <c r="Q69" i="2388" s="1"/>
  <c r="Y49" i="2420"/>
  <c r="AL49" i="2420"/>
  <c r="AN49" i="2420"/>
  <c r="AM49" i="2420"/>
  <c r="AO49" i="2420"/>
  <c r="AA49" i="2420"/>
  <c r="BN49" i="2420"/>
  <c r="AP49" i="2420"/>
  <c r="BO49" i="2420"/>
  <c r="H85" i="2421"/>
  <c r="Y76" i="2420"/>
  <c r="AL76" i="2420"/>
  <c r="AA76" i="2420"/>
  <c r="AO76" i="2420"/>
  <c r="AM76" i="2420"/>
  <c r="BN76" i="2420"/>
  <c r="AN76" i="2420"/>
  <c r="AP76" i="2420"/>
  <c r="BO76" i="2420"/>
  <c r="N76" i="2420"/>
  <c r="Q96" i="2388" s="1"/>
  <c r="H74" i="2421"/>
  <c r="AM65" i="2420"/>
  <c r="AL65" i="2420"/>
  <c r="AN65" i="2420"/>
  <c r="AO65" i="2420"/>
  <c r="BN65" i="2420"/>
  <c r="N65" i="2420"/>
  <c r="Q85" i="2388" s="1"/>
  <c r="Y65" i="2420"/>
  <c r="AP65" i="2420"/>
  <c r="AA65" i="2420"/>
  <c r="BO65" i="2420"/>
  <c r="H40" i="2421"/>
  <c r="AN31" i="2420"/>
  <c r="AO31" i="2420"/>
  <c r="BN31" i="2420"/>
  <c r="AP31" i="2420"/>
  <c r="BO31" i="2420"/>
  <c r="AL31" i="2420"/>
  <c r="N31" i="2420"/>
  <c r="Q51" i="2388" s="1"/>
  <c r="AA31" i="2420"/>
  <c r="Y31" i="2420"/>
  <c r="AM31" i="2420"/>
  <c r="BN17" i="2420"/>
  <c r="H62" i="2421"/>
  <c r="AN53" i="2420"/>
  <c r="AO53" i="2420"/>
  <c r="BN53" i="2420"/>
  <c r="N53" i="2420"/>
  <c r="Q73" i="2388" s="1"/>
  <c r="AP53" i="2420"/>
  <c r="Y53" i="2420"/>
  <c r="BO53" i="2420"/>
  <c r="AL53" i="2420"/>
  <c r="AA53" i="2420"/>
  <c r="AM53" i="2420"/>
  <c r="AA83" i="2420"/>
  <c r="AP83" i="2420"/>
  <c r="AM83" i="2420"/>
  <c r="BO83" i="2420"/>
  <c r="AN83" i="2420"/>
  <c r="AO83" i="2420"/>
  <c r="BN83" i="2420"/>
  <c r="N83" i="2420"/>
  <c r="Q103" i="2388" s="1"/>
  <c r="Y83" i="2420"/>
  <c r="H92" i="2421"/>
  <c r="AL83" i="2420"/>
  <c r="AO97" i="2420"/>
  <c r="BN97" i="2420"/>
  <c r="AN97" i="2420"/>
  <c r="AP97" i="2420"/>
  <c r="BO97" i="2420"/>
  <c r="Y97" i="2420"/>
  <c r="H106" i="2421"/>
  <c r="AA97" i="2420"/>
  <c r="N97" i="2420"/>
  <c r="Q117" i="2388" s="1"/>
  <c r="AL97" i="2420"/>
  <c r="AM97" i="2420"/>
  <c r="H87" i="2421"/>
  <c r="Y78" i="2420"/>
  <c r="BO78" i="2420"/>
  <c r="AL78" i="2420"/>
  <c r="N78" i="2420"/>
  <c r="Q98" i="2388" s="1"/>
  <c r="AA78" i="2420"/>
  <c r="AM78" i="2420"/>
  <c r="AN78" i="2420"/>
  <c r="AO78" i="2420"/>
  <c r="BN78" i="2420"/>
  <c r="AP78" i="2420"/>
  <c r="H99" i="2421"/>
  <c r="BN90" i="2420"/>
  <c r="N90" i="2420"/>
  <c r="Q110" i="2388" s="1"/>
  <c r="BO90" i="2420"/>
  <c r="Y90" i="2420"/>
  <c r="AP90" i="2420"/>
  <c r="AL90" i="2420"/>
  <c r="AA90" i="2420"/>
  <c r="AM90" i="2420"/>
  <c r="AN90" i="2420"/>
  <c r="AO90" i="2420"/>
  <c r="H103" i="2421"/>
  <c r="BN94" i="2420"/>
  <c r="N94" i="2420"/>
  <c r="Q114" i="2388" s="1"/>
  <c r="BO94" i="2420"/>
  <c r="Y94" i="2420"/>
  <c r="AP94" i="2420"/>
  <c r="AL94" i="2420"/>
  <c r="AA94" i="2420"/>
  <c r="AM94" i="2420"/>
  <c r="AN94" i="2420"/>
  <c r="AO94" i="2420"/>
  <c r="C19" i="2342"/>
  <c r="J50" i="2388" l="1"/>
  <c r="DP98" i="2420"/>
  <c r="DP92" i="2420"/>
  <c r="K39" i="2421"/>
  <c r="J118" i="2388"/>
  <c r="J112" i="2388"/>
  <c r="DP86" i="2420"/>
  <c r="DP44" i="2420"/>
  <c r="DP90" i="2420"/>
  <c r="DP96" i="2420"/>
  <c r="DP88" i="2420"/>
  <c r="J106" i="2388"/>
  <c r="J64" i="2388"/>
  <c r="DP34" i="2420"/>
  <c r="DP24" i="2420"/>
  <c r="K95" i="2421"/>
  <c r="K53" i="2421"/>
  <c r="J54" i="2388"/>
  <c r="K99" i="2421"/>
  <c r="K105" i="2421"/>
  <c r="K97" i="2421"/>
  <c r="J44" i="2388"/>
  <c r="K43" i="2421"/>
  <c r="DP30" i="2420"/>
  <c r="K33" i="2421"/>
  <c r="J76" i="2388"/>
  <c r="J59" i="2388"/>
  <c r="DP25" i="2420"/>
  <c r="J93" i="2388"/>
  <c r="J45" i="2388"/>
  <c r="K82" i="2421"/>
  <c r="K34" i="2421"/>
  <c r="K36" i="2421"/>
  <c r="J94" i="2388"/>
  <c r="K51" i="2421"/>
  <c r="J101" i="2388"/>
  <c r="DP47" i="2420"/>
  <c r="K83" i="2421"/>
  <c r="K90" i="2421"/>
  <c r="J67" i="2388"/>
  <c r="DP56" i="2420"/>
  <c r="DP39" i="2420"/>
  <c r="DP27" i="2420"/>
  <c r="K65" i="2421"/>
  <c r="DP42" i="2420"/>
  <c r="K48" i="2421"/>
  <c r="AO35" i="2420"/>
  <c r="AP77" i="2420"/>
  <c r="K111" i="2421"/>
  <c r="AA32" i="2420"/>
  <c r="BO77" i="2420"/>
  <c r="BO54" i="2420"/>
  <c r="K44" i="2421"/>
  <c r="AP67" i="2420"/>
  <c r="Y46" i="2420"/>
  <c r="AN67" i="2420"/>
  <c r="AN40" i="2420"/>
  <c r="AO66" i="2420"/>
  <c r="AA46" i="2420"/>
  <c r="BO40" i="2420"/>
  <c r="K55" i="2421"/>
  <c r="BO102" i="2420"/>
  <c r="N46" i="2420"/>
  <c r="Q66" i="2388" s="1"/>
  <c r="H55" i="2421"/>
  <c r="AA67" i="2420"/>
  <c r="H76" i="2421"/>
  <c r="AN35" i="2420"/>
  <c r="N102" i="2420"/>
  <c r="Q122" i="2388" s="1"/>
  <c r="Y54" i="2420"/>
  <c r="AM40" i="2420"/>
  <c r="H49" i="2421"/>
  <c r="AO32" i="2420"/>
  <c r="AP66" i="2420"/>
  <c r="N77" i="2420"/>
  <c r="Q97" i="2388" s="1"/>
  <c r="Y77" i="2420"/>
  <c r="DP54" i="2420"/>
  <c r="AP46" i="2420"/>
  <c r="AL67" i="2420"/>
  <c r="Y35" i="2420"/>
  <c r="BN102" i="2420"/>
  <c r="AP54" i="2420"/>
  <c r="BN40" i="2420"/>
  <c r="AM32" i="2420"/>
  <c r="AA66" i="2420"/>
  <c r="AN66" i="2420"/>
  <c r="BN77" i="2420"/>
  <c r="H86" i="2421"/>
  <c r="DP66" i="2420"/>
  <c r="J74" i="2388"/>
  <c r="Y67" i="2420"/>
  <c r="AM35" i="2420"/>
  <c r="AO102" i="2420"/>
  <c r="AN54" i="2420"/>
  <c r="BN54" i="2420"/>
  <c r="AA40" i="2420"/>
  <c r="AN32" i="2420"/>
  <c r="AL66" i="2420"/>
  <c r="AM66" i="2420"/>
  <c r="AO77" i="2420"/>
  <c r="J86" i="2388"/>
  <c r="K63" i="2421"/>
  <c r="DP32" i="2420"/>
  <c r="AO46" i="2420"/>
  <c r="AN46" i="2420"/>
  <c r="BO67" i="2420"/>
  <c r="AL35" i="2420"/>
  <c r="AM102" i="2420"/>
  <c r="AM54" i="2420"/>
  <c r="AO54" i="2420"/>
  <c r="Y40" i="2420"/>
  <c r="AL32" i="2420"/>
  <c r="Y66" i="2420"/>
  <c r="H75" i="2421"/>
  <c r="AN77" i="2420"/>
  <c r="DP67" i="2420"/>
  <c r="K75" i="2421"/>
  <c r="J52" i="2388"/>
  <c r="AM46" i="2420"/>
  <c r="N67" i="2420"/>
  <c r="Q87" i="2388" s="1"/>
  <c r="BO35" i="2420"/>
  <c r="AA35" i="2420"/>
  <c r="AL102" i="2420"/>
  <c r="AN102" i="2420"/>
  <c r="AA54" i="2420"/>
  <c r="H63" i="2421"/>
  <c r="AL40" i="2420"/>
  <c r="BO32" i="2420"/>
  <c r="Y32" i="2420"/>
  <c r="BO66" i="2420"/>
  <c r="AM77" i="2420"/>
  <c r="J87" i="2388"/>
  <c r="DP77" i="2420"/>
  <c r="DP40" i="2420"/>
  <c r="K41" i="2421"/>
  <c r="BN67" i="2420"/>
  <c r="AP35" i="2420"/>
  <c r="N35" i="2420"/>
  <c r="Q55" i="2388" s="1"/>
  <c r="AP102" i="2420"/>
  <c r="AA102" i="2420"/>
  <c r="N54" i="2420"/>
  <c r="Q74" i="2388" s="1"/>
  <c r="AO40" i="2420"/>
  <c r="AP32" i="2420"/>
  <c r="N32" i="2420"/>
  <c r="Q52" i="2388" s="1"/>
  <c r="BN66" i="2420"/>
  <c r="AA77" i="2420"/>
  <c r="DP46" i="2420"/>
  <c r="K76" i="2421"/>
  <c r="J97" i="2388"/>
  <c r="DP35" i="2420"/>
  <c r="DP102" i="2420"/>
  <c r="J60" i="2388"/>
  <c r="BN46" i="2420"/>
  <c r="AL46" i="2420"/>
  <c r="BO46" i="2420"/>
  <c r="AM67" i="2420"/>
  <c r="AO67" i="2420"/>
  <c r="BN35" i="2420"/>
  <c r="H44" i="2421"/>
  <c r="Y102" i="2420"/>
  <c r="H111" i="2421"/>
  <c r="AL54" i="2420"/>
  <c r="AP40" i="2420"/>
  <c r="N40" i="2420"/>
  <c r="Q60" i="2388" s="1"/>
  <c r="BN32" i="2420"/>
  <c r="H41" i="2421"/>
  <c r="N66" i="2420"/>
  <c r="Q86" i="2388" s="1"/>
  <c r="AL77" i="2420"/>
  <c r="J66" i="2388"/>
  <c r="K86" i="2421"/>
  <c r="J55" i="2388"/>
  <c r="J122" i="2388"/>
  <c r="K49" i="2421"/>
  <c r="Y17" i="2420"/>
  <c r="BO20" i="2420"/>
  <c r="H29" i="2421"/>
  <c r="AA20" i="2420"/>
  <c r="DP20" i="2420"/>
  <c r="AO20" i="2420"/>
  <c r="J40" i="2388"/>
  <c r="AM20" i="2420"/>
  <c r="K29" i="2421"/>
  <c r="AL20" i="2420"/>
  <c r="N17" i="2420"/>
  <c r="Q37" i="2388" s="1"/>
  <c r="BO17" i="2420"/>
  <c r="AM17" i="2420"/>
  <c r="AP17" i="2420"/>
  <c r="DP17" i="2420"/>
  <c r="AO17" i="2420"/>
  <c r="AA17" i="2420"/>
  <c r="AN17" i="2420"/>
  <c r="J37" i="2388"/>
  <c r="AL17" i="2420"/>
  <c r="H26" i="2421"/>
  <c r="K26" i="2421"/>
  <c r="AO21" i="2420"/>
  <c r="AN19" i="2420"/>
  <c r="AA19" i="2420"/>
  <c r="AL19" i="2420"/>
  <c r="AM21" i="2420"/>
  <c r="AM19" i="2420"/>
  <c r="BN19" i="2420"/>
  <c r="AL21" i="2420"/>
  <c r="J53" i="2420"/>
  <c r="Q58" i="2380" s="1"/>
  <c r="J33" i="2420"/>
  <c r="Q38" i="2380" s="1"/>
  <c r="J63" i="2420"/>
  <c r="Q68" i="2380" s="1"/>
  <c r="J43" i="2420"/>
  <c r="Q48" i="2380" s="1"/>
  <c r="J76" i="2420"/>
  <c r="Q81" i="2380" s="1"/>
  <c r="J49" i="2420"/>
  <c r="Q54" i="2380" s="1"/>
  <c r="J50" i="2420"/>
  <c r="Q55" i="2380" s="1"/>
  <c r="AP19" i="2420"/>
  <c r="N19" i="2420"/>
  <c r="BO19" i="2420"/>
  <c r="J101" i="2420"/>
  <c r="Q106" i="2380" s="1"/>
  <c r="J96" i="2420"/>
  <c r="Q101" i="2380" s="1"/>
  <c r="J36" i="2420"/>
  <c r="Q41" i="2380" s="1"/>
  <c r="J52" i="2420"/>
  <c r="Q57" i="2380" s="1"/>
  <c r="J71" i="2420"/>
  <c r="Q76" i="2380" s="1"/>
  <c r="J64" i="2420"/>
  <c r="Q69" i="2380" s="1"/>
  <c r="J51" i="2420"/>
  <c r="Q56" i="2380" s="1"/>
  <c r="Y21" i="2420"/>
  <c r="BO21" i="2420"/>
  <c r="AN21" i="2420"/>
  <c r="J98" i="2420"/>
  <c r="Q103" i="2380" s="1"/>
  <c r="J69" i="2420"/>
  <c r="Q74" i="2380" s="1"/>
  <c r="J56" i="2420"/>
  <c r="Q61" i="2380" s="1"/>
  <c r="J103" i="2420"/>
  <c r="J47" i="2420"/>
  <c r="Q52" i="2380" s="1"/>
  <c r="J92" i="2420"/>
  <c r="Q97" i="2380" s="1"/>
  <c r="J42" i="2420"/>
  <c r="Q47" i="2380" s="1"/>
  <c r="J39" i="2420"/>
  <c r="Q44" i="2380" s="1"/>
  <c r="J77" i="2420"/>
  <c r="Q82" i="2380" s="1"/>
  <c r="J79" i="2420"/>
  <c r="Q84" i="2380" s="1"/>
  <c r="DP19" i="2420"/>
  <c r="DP21" i="2420"/>
  <c r="J73" i="2420"/>
  <c r="Q78" i="2380" s="1"/>
  <c r="J34" i="2420"/>
  <c r="Q39" i="2380" s="1"/>
  <c r="J86" i="2420"/>
  <c r="Q91" i="2380" s="1"/>
  <c r="J70" i="2420"/>
  <c r="Q75" i="2380" s="1"/>
  <c r="J68" i="2420"/>
  <c r="Q73" i="2380" s="1"/>
  <c r="J59" i="2420"/>
  <c r="Q64" i="2380" s="1"/>
  <c r="J88" i="2420"/>
  <c r="Q93" i="2380" s="1"/>
  <c r="J41" i="2420"/>
  <c r="Q46" i="2380" s="1"/>
  <c r="J93" i="2420"/>
  <c r="Q98" i="2380" s="1"/>
  <c r="J44" i="2420"/>
  <c r="Q49" i="2380" s="1"/>
  <c r="J62" i="2420"/>
  <c r="Q67" i="2380" s="1"/>
  <c r="J55" i="2420"/>
  <c r="Q60" i="2380" s="1"/>
  <c r="J95" i="2420"/>
  <c r="Q100" i="2380" s="1"/>
  <c r="J39" i="2388"/>
  <c r="J41" i="2388"/>
  <c r="J60" i="2420"/>
  <c r="Q65" i="2380" s="1"/>
  <c r="J87" i="2420"/>
  <c r="Q92" i="2380" s="1"/>
  <c r="J91" i="2420"/>
  <c r="Q96" i="2380" s="1"/>
  <c r="J81" i="2420"/>
  <c r="Q86" i="2380" s="1"/>
  <c r="J28" i="2420"/>
  <c r="Q33" i="2380" s="1"/>
  <c r="J90" i="2420"/>
  <c r="Q95" i="2380" s="1"/>
  <c r="J97" i="2420"/>
  <c r="Q102" i="2380" s="1"/>
  <c r="J83" i="2420"/>
  <c r="Q88" i="2380" s="1"/>
  <c r="J65" i="2420"/>
  <c r="Q70" i="2380" s="1"/>
  <c r="J30" i="2420"/>
  <c r="Q35" i="2380" s="1"/>
  <c r="J48" i="2420"/>
  <c r="Q53" i="2380" s="1"/>
  <c r="J99" i="2420"/>
  <c r="Q104" i="2380" s="1"/>
  <c r="J80" i="2420"/>
  <c r="Q85" i="2380" s="1"/>
  <c r="J84" i="2420"/>
  <c r="Q89" i="2380" s="1"/>
  <c r="AA21" i="2420"/>
  <c r="AP21" i="2420"/>
  <c r="H30" i="2421"/>
  <c r="J82" i="2420"/>
  <c r="Q87" i="2380" s="1"/>
  <c r="J94" i="2420"/>
  <c r="Q99" i="2380" s="1"/>
  <c r="J78" i="2420"/>
  <c r="Q83" i="2380" s="1"/>
  <c r="J31" i="2420"/>
  <c r="Q36" i="2380" s="1"/>
  <c r="Y19" i="2420"/>
  <c r="AO19" i="2420"/>
  <c r="H28" i="2421"/>
  <c r="J100" i="2420"/>
  <c r="Q105" i="2380" s="1"/>
  <c r="J85" i="2420"/>
  <c r="Q90" i="2380" s="1"/>
  <c r="J89" i="2420"/>
  <c r="Q94" i="2380" s="1"/>
  <c r="N21" i="2420"/>
  <c r="BN21" i="2420"/>
  <c r="J75" i="2420"/>
  <c r="Q80" i="2380" s="1"/>
  <c r="J104" i="2420"/>
  <c r="Q109" i="2380" s="1"/>
  <c r="J38" i="2420"/>
  <c r="Q43" i="2380" s="1"/>
  <c r="J27" i="2420"/>
  <c r="Q32" i="2380" s="1"/>
  <c r="J61" i="2420"/>
  <c r="Q66" i="2380" s="1"/>
  <c r="J45" i="2420"/>
  <c r="Q50" i="2380" s="1"/>
  <c r="J74" i="2420"/>
  <c r="Q79" i="2380" s="1"/>
  <c r="J58" i="2420"/>
  <c r="Q63" i="2380" s="1"/>
  <c r="J57" i="2420"/>
  <c r="Q62" i="2380" s="1"/>
  <c r="J72" i="2420"/>
  <c r="Q77" i="2380" s="1"/>
  <c r="J29" i="2420"/>
  <c r="Q34" i="2380" s="1"/>
  <c r="J37" i="2420"/>
  <c r="Q42" i="2380" s="1"/>
  <c r="K28" i="2421"/>
  <c r="K30" i="2421"/>
  <c r="J18" i="2420"/>
  <c r="Q23" i="2380" s="1"/>
  <c r="F18" i="2413"/>
  <c r="F17" i="2383" s="1"/>
  <c r="F17" i="2390"/>
  <c r="F15" i="2406" s="1"/>
  <c r="J20" i="2420"/>
  <c r="Q25" i="2380" s="1"/>
  <c r="AP12" i="2420"/>
  <c r="F20" i="2413"/>
  <c r="F19" i="2383" s="1"/>
  <c r="F19" i="2390"/>
  <c r="F17" i="2406" s="1"/>
  <c r="J16" i="2420"/>
  <c r="Q21" i="2380" s="1"/>
  <c r="J22" i="2420"/>
  <c r="Q27" i="2380" s="1"/>
  <c r="J15" i="2420"/>
  <c r="Q20" i="2380" s="1"/>
  <c r="J26" i="2420"/>
  <c r="Q31" i="2380" s="1"/>
  <c r="BN11" i="2420"/>
  <c r="F19" i="2413"/>
  <c r="F18" i="2383" s="1"/>
  <c r="F18" i="2390"/>
  <c r="F16" i="2406" s="1"/>
  <c r="J24" i="2420"/>
  <c r="Q29" i="2380" s="1"/>
  <c r="J23" i="2420"/>
  <c r="Q28" i="2380" s="1"/>
  <c r="F21" i="2390"/>
  <c r="F19" i="2406" s="1"/>
  <c r="F22" i="2413"/>
  <c r="F21" i="2383" s="1"/>
  <c r="AO13" i="2420"/>
  <c r="F21" i="2413"/>
  <c r="F20" i="2383" s="1"/>
  <c r="F20" i="2390"/>
  <c r="F18" i="2406" s="1"/>
  <c r="J25" i="2420"/>
  <c r="Q30" i="2380" s="1"/>
  <c r="N11" i="2420"/>
  <c r="AO11" i="2420"/>
  <c r="BO12" i="2420"/>
  <c r="K78" i="2420"/>
  <c r="K76" i="2420"/>
  <c r="K67" i="2420"/>
  <c r="K66" i="2420"/>
  <c r="K80" i="2420"/>
  <c r="K84" i="2420"/>
  <c r="K25" i="2420"/>
  <c r="R30" i="2380" s="1"/>
  <c r="K22" i="2420"/>
  <c r="R27" i="2380" s="1"/>
  <c r="K103" i="2420"/>
  <c r="R108" i="2380" s="1"/>
  <c r="W103" i="2420" s="1"/>
  <c r="K58" i="2420"/>
  <c r="K72" i="2420"/>
  <c r="K97" i="2420"/>
  <c r="K30" i="2420"/>
  <c r="K101" i="2420"/>
  <c r="K36" i="2420"/>
  <c r="K35" i="2420"/>
  <c r="K102" i="2420"/>
  <c r="K75" i="2420"/>
  <c r="K18" i="2420"/>
  <c r="R23" i="2380" s="1"/>
  <c r="K34" i="2420"/>
  <c r="K92" i="2420"/>
  <c r="K44" i="2420"/>
  <c r="K83" i="2420"/>
  <c r="K26" i="2420"/>
  <c r="R31" i="2380" s="1"/>
  <c r="K96" i="2420"/>
  <c r="K88" i="2420"/>
  <c r="K52" i="2420"/>
  <c r="K87" i="2420"/>
  <c r="K54" i="2420"/>
  <c r="K27" i="2420"/>
  <c r="K43" i="2420"/>
  <c r="K57" i="2420"/>
  <c r="K62" i="2420"/>
  <c r="R67" i="2380" s="1"/>
  <c r="W62" i="2420" s="1"/>
  <c r="H20" i="2421"/>
  <c r="K53" i="2420"/>
  <c r="K60" i="2420"/>
  <c r="K79" i="2420"/>
  <c r="K50" i="2420"/>
  <c r="K24" i="2420"/>
  <c r="R29" i="2380" s="1"/>
  <c r="K104" i="2420"/>
  <c r="R109" i="2380" s="1"/>
  <c r="W104" i="2420" s="1"/>
  <c r="K61" i="2420"/>
  <c r="K47" i="2420"/>
  <c r="K42" i="2420"/>
  <c r="K81" i="2420"/>
  <c r="AA14" i="2420"/>
  <c r="K17" i="2420"/>
  <c r="R22" i="2380" s="1"/>
  <c r="K33" i="2420"/>
  <c r="K49" i="2420"/>
  <c r="K37" i="2420"/>
  <c r="K89" i="2420"/>
  <c r="K86" i="2420"/>
  <c r="K20" i="2420"/>
  <c r="R25" i="2380" s="1"/>
  <c r="K56" i="2420"/>
  <c r="K41" i="2420"/>
  <c r="K93" i="2420"/>
  <c r="K28" i="2420"/>
  <c r="K31" i="2420"/>
  <c r="K19" i="2420"/>
  <c r="R24" i="2380" s="1"/>
  <c r="K99" i="2420"/>
  <c r="K16" i="2420"/>
  <c r="R21" i="2380" s="1"/>
  <c r="K63" i="2420"/>
  <c r="K82" i="2420"/>
  <c r="K38" i="2420"/>
  <c r="K45" i="2420"/>
  <c r="K74" i="2420"/>
  <c r="K39" i="2420"/>
  <c r="K55" i="2420"/>
  <c r="AO10" i="2420"/>
  <c r="K94" i="2420"/>
  <c r="K46" i="2420"/>
  <c r="K100" i="2420"/>
  <c r="K69" i="2420"/>
  <c r="K51" i="2420"/>
  <c r="K71" i="2420"/>
  <c r="K91" i="2420"/>
  <c r="K98" i="2420"/>
  <c r="K40" i="2420"/>
  <c r="K23" i="2420"/>
  <c r="R28" i="2380" s="1"/>
  <c r="K15" i="2420"/>
  <c r="R20" i="2380" s="1"/>
  <c r="K95" i="2420"/>
  <c r="AL12" i="2420"/>
  <c r="K90" i="2420"/>
  <c r="K65" i="2420"/>
  <c r="K48" i="2420"/>
  <c r="K64" i="2420"/>
  <c r="K85" i="2420"/>
  <c r="K73" i="2420"/>
  <c r="K70" i="2420"/>
  <c r="K68" i="2420"/>
  <c r="K59" i="2420"/>
  <c r="K32" i="2420"/>
  <c r="K77" i="2420"/>
  <c r="K29" i="2420"/>
  <c r="R34" i="2380" s="1"/>
  <c r="N14" i="2420"/>
  <c r="Q34" i="2388" s="1"/>
  <c r="AO14" i="2420"/>
  <c r="Y14" i="2420"/>
  <c r="AN11" i="2420"/>
  <c r="Y11" i="2420"/>
  <c r="AP11" i="2420"/>
  <c r="AM11" i="2420"/>
  <c r="AL11" i="2420"/>
  <c r="AA11" i="2420"/>
  <c r="BO11" i="2420"/>
  <c r="AU90" i="2420"/>
  <c r="AU49" i="2420"/>
  <c r="AU50" i="2420"/>
  <c r="AU101" i="2420"/>
  <c r="AU96" i="2420"/>
  <c r="AU89" i="2420"/>
  <c r="AU38" i="2420"/>
  <c r="AU61" i="2420"/>
  <c r="AU34" i="2420"/>
  <c r="AU43" i="2420"/>
  <c r="AU28" i="2420"/>
  <c r="AU93" i="2420"/>
  <c r="AU97" i="2420"/>
  <c r="AU48" i="2420"/>
  <c r="AU87" i="2420"/>
  <c r="AU91" i="2420"/>
  <c r="AU92" i="2420"/>
  <c r="AU39" i="2420"/>
  <c r="AU79" i="2420"/>
  <c r="AU62" i="2420"/>
  <c r="AU53" i="2420"/>
  <c r="AU33" i="2420"/>
  <c r="AU24" i="2420"/>
  <c r="AU84" i="2420"/>
  <c r="AU25" i="2420"/>
  <c r="AU68" i="2420"/>
  <c r="AU74" i="2420"/>
  <c r="AU57" i="2420"/>
  <c r="AU29" i="2420"/>
  <c r="AU76" i="2420"/>
  <c r="AU26" i="2420"/>
  <c r="AU85" i="2420"/>
  <c r="AU75" i="2420"/>
  <c r="AU104" i="2420"/>
  <c r="AU27" i="2420"/>
  <c r="AU15" i="2420"/>
  <c r="AU81" i="2420"/>
  <c r="AU78" i="2420"/>
  <c r="AU69" i="2420"/>
  <c r="AU94" i="2420"/>
  <c r="AU83" i="2420"/>
  <c r="AU65" i="2420"/>
  <c r="AU30" i="2420"/>
  <c r="AU63" i="2420"/>
  <c r="AU73" i="2420"/>
  <c r="AU18" i="2420"/>
  <c r="AU103" i="2420"/>
  <c r="AU47" i="2420"/>
  <c r="AU42" i="2420"/>
  <c r="AU77" i="2420"/>
  <c r="AU31" i="2420"/>
  <c r="AU100" i="2420"/>
  <c r="AU36" i="2420"/>
  <c r="AU52" i="2420"/>
  <c r="AU71" i="2420"/>
  <c r="AU64" i="2420"/>
  <c r="AU51" i="2420"/>
  <c r="AU20" i="2420"/>
  <c r="AU98" i="2420"/>
  <c r="AU59" i="2420"/>
  <c r="AU88" i="2420"/>
  <c r="AU23" i="2420"/>
  <c r="AU44" i="2420"/>
  <c r="AU55" i="2420"/>
  <c r="AU95" i="2420"/>
  <c r="AU56" i="2420"/>
  <c r="AU41" i="2420"/>
  <c r="AU60" i="2420"/>
  <c r="AU99" i="2420"/>
  <c r="AU80" i="2420"/>
  <c r="AU86" i="2420"/>
  <c r="AU82" i="2420"/>
  <c r="AU70" i="2420"/>
  <c r="AU16" i="2420"/>
  <c r="AU22" i="2420"/>
  <c r="AU45" i="2420"/>
  <c r="AU58" i="2420"/>
  <c r="AU72" i="2420"/>
  <c r="AU37" i="2420"/>
  <c r="BN10" i="2420"/>
  <c r="BN12" i="2420"/>
  <c r="AN10" i="2420"/>
  <c r="H19" i="2421"/>
  <c r="AA12" i="2420"/>
  <c r="AM10" i="2420"/>
  <c r="AO12" i="2420"/>
  <c r="Y10" i="2420"/>
  <c r="AM12" i="2420"/>
  <c r="N10" i="2420"/>
  <c r="Q30" i="2388" s="1"/>
  <c r="Y12" i="2420"/>
  <c r="AN12" i="2420"/>
  <c r="BO10" i="2420"/>
  <c r="N12" i="2420"/>
  <c r="Q32" i="2388" s="1"/>
  <c r="AV56" i="2420"/>
  <c r="AV53" i="2420"/>
  <c r="AV33" i="2420"/>
  <c r="AV24" i="2420"/>
  <c r="AV84" i="2420"/>
  <c r="AV25" i="2420"/>
  <c r="AV68" i="2420"/>
  <c r="AV74" i="2420"/>
  <c r="AV57" i="2420"/>
  <c r="AV29" i="2420"/>
  <c r="AV62" i="2420"/>
  <c r="G24" i="2390"/>
  <c r="AV76" i="2420"/>
  <c r="AV26" i="2420"/>
  <c r="AV85" i="2420"/>
  <c r="G28" i="2390"/>
  <c r="AV75" i="2420"/>
  <c r="AV104" i="2420"/>
  <c r="AV27" i="2420"/>
  <c r="AV15" i="2420"/>
  <c r="G22" i="2390"/>
  <c r="AV81" i="2420"/>
  <c r="AV69" i="2420"/>
  <c r="AV94" i="2420"/>
  <c r="AV83" i="2420"/>
  <c r="AV65" i="2420"/>
  <c r="AV30" i="2420"/>
  <c r="AV63" i="2420"/>
  <c r="AV73" i="2420"/>
  <c r="G25" i="2390"/>
  <c r="AV18" i="2420"/>
  <c r="AV103" i="2420"/>
  <c r="Q108" i="2380"/>
  <c r="AV47" i="2420"/>
  <c r="AV42" i="2420"/>
  <c r="AV77" i="2420"/>
  <c r="K20" i="2421"/>
  <c r="J31" i="2388"/>
  <c r="DP11" i="2420"/>
  <c r="AV41" i="2420"/>
  <c r="AV93" i="2420"/>
  <c r="AV31" i="2420"/>
  <c r="AV100" i="2420"/>
  <c r="AV36" i="2420"/>
  <c r="AV52" i="2420"/>
  <c r="AV71" i="2420"/>
  <c r="AV64" i="2420"/>
  <c r="AV51" i="2420"/>
  <c r="AV20" i="2420"/>
  <c r="G27" i="2390"/>
  <c r="AV98" i="2420"/>
  <c r="AV59" i="2420"/>
  <c r="AV88" i="2420"/>
  <c r="AV23" i="2420"/>
  <c r="AV44" i="2420"/>
  <c r="AV55" i="2420"/>
  <c r="AV95" i="2420"/>
  <c r="K23" i="2421"/>
  <c r="J34" i="2388"/>
  <c r="DP14" i="2420"/>
  <c r="AV78" i="2420"/>
  <c r="AV60" i="2420"/>
  <c r="AV99" i="2420"/>
  <c r="AV80" i="2420"/>
  <c r="AV86" i="2420"/>
  <c r="AV82" i="2420"/>
  <c r="AV70" i="2420"/>
  <c r="AV16" i="2420"/>
  <c r="AV22" i="2420"/>
  <c r="G29" i="2390"/>
  <c r="AV45" i="2420"/>
  <c r="AV58" i="2420"/>
  <c r="AV72" i="2420"/>
  <c r="AV37" i="2420"/>
  <c r="J33" i="2388"/>
  <c r="DP13" i="2420"/>
  <c r="AV90" i="2420"/>
  <c r="AV49" i="2420"/>
  <c r="AV50" i="2420"/>
  <c r="G26" i="2390"/>
  <c r="AV101" i="2420"/>
  <c r="AV96" i="2420"/>
  <c r="AV89" i="2420"/>
  <c r="AV38" i="2420"/>
  <c r="AV61" i="2420"/>
  <c r="AV34" i="2420"/>
  <c r="AV43" i="2420"/>
  <c r="AV28" i="2420"/>
  <c r="K19" i="2421"/>
  <c r="J30" i="2388"/>
  <c r="DP10" i="2420"/>
  <c r="AV97" i="2420"/>
  <c r="AV48" i="2420"/>
  <c r="AV87" i="2420"/>
  <c r="AV91" i="2420"/>
  <c r="AV54" i="2420"/>
  <c r="AV92" i="2420"/>
  <c r="AV39" i="2420"/>
  <c r="AV79" i="2420"/>
  <c r="J32" i="2388"/>
  <c r="DP12" i="2420"/>
  <c r="K21" i="2421"/>
  <c r="AL10" i="2420"/>
  <c r="AA10" i="2420"/>
  <c r="AP10" i="2420"/>
  <c r="AP13" i="2420"/>
  <c r="BN13" i="2420"/>
  <c r="H22" i="2421"/>
  <c r="BO13" i="2420"/>
  <c r="K22" i="2421"/>
  <c r="AN13" i="2420"/>
  <c r="AL13" i="2420"/>
  <c r="AM13" i="2420"/>
  <c r="Y13" i="2420"/>
  <c r="AA13" i="2420"/>
  <c r="N13" i="2420"/>
  <c r="Q33" i="2388" s="1"/>
  <c r="F99" i="2421"/>
  <c r="AT90" i="2420"/>
  <c r="BT90" i="2420"/>
  <c r="F96" i="2422"/>
  <c r="AT17" i="2420"/>
  <c r="F32" i="2422"/>
  <c r="F35" i="2421"/>
  <c r="BT26" i="2420"/>
  <c r="AT26" i="2420"/>
  <c r="AT19" i="2420"/>
  <c r="BT19" i="2420"/>
  <c r="AT73" i="2420"/>
  <c r="F79" i="2422"/>
  <c r="BT73" i="2420"/>
  <c r="F82" i="2421"/>
  <c r="F60" i="2421"/>
  <c r="AT51" i="2420"/>
  <c r="BT51" i="2420"/>
  <c r="F57" i="2422"/>
  <c r="AT56" i="2420"/>
  <c r="BT56" i="2420"/>
  <c r="F62" i="2422"/>
  <c r="F65" i="2421"/>
  <c r="AT103" i="2420"/>
  <c r="BT103" i="2420"/>
  <c r="F109" i="2422"/>
  <c r="F112" i="2421"/>
  <c r="F101" i="2421"/>
  <c r="BT92" i="2420"/>
  <c r="AT92" i="2420"/>
  <c r="F98" i="2422"/>
  <c r="F106" i="2422"/>
  <c r="AT100" i="2420"/>
  <c r="F109" i="2421"/>
  <c r="BT100" i="2420"/>
  <c r="AT84" i="2420"/>
  <c r="BT84" i="2420"/>
  <c r="F90" i="2422"/>
  <c r="F93" i="2421"/>
  <c r="F100" i="2421"/>
  <c r="AT91" i="2420"/>
  <c r="BT91" i="2420"/>
  <c r="F97" i="2422"/>
  <c r="F110" i="2422"/>
  <c r="F113" i="2421"/>
  <c r="AT104" i="2420"/>
  <c r="BT104" i="2420"/>
  <c r="F29" i="2421"/>
  <c r="F26" i="2422"/>
  <c r="BT20" i="2420"/>
  <c r="AT20" i="2420"/>
  <c r="F28" i="2422"/>
  <c r="F31" i="2421"/>
  <c r="AT22" i="2420"/>
  <c r="BT22" i="2420"/>
  <c r="AT77" i="2420"/>
  <c r="F83" i="2422"/>
  <c r="BT77" i="2420"/>
  <c r="F86" i="2421"/>
  <c r="F34" i="2422"/>
  <c r="BT28" i="2420"/>
  <c r="F37" i="2421"/>
  <c r="AT28" i="2420"/>
  <c r="F100" i="2422"/>
  <c r="BT94" i="2420"/>
  <c r="F103" i="2421"/>
  <c r="AT94" i="2420"/>
  <c r="AT65" i="2420"/>
  <c r="F71" i="2422"/>
  <c r="F74" i="2421"/>
  <c r="BT65" i="2420"/>
  <c r="F33" i="2421"/>
  <c r="AT24" i="2420"/>
  <c r="BT24" i="2420"/>
  <c r="F30" i="2422"/>
  <c r="AT89" i="2420"/>
  <c r="BT89" i="2420"/>
  <c r="F95" i="2422"/>
  <c r="F98" i="2421"/>
  <c r="AT63" i="2420"/>
  <c r="BT63" i="2420"/>
  <c r="F69" i="2422"/>
  <c r="F72" i="2421"/>
  <c r="F88" i="2422"/>
  <c r="F91" i="2421"/>
  <c r="AT82" i="2420"/>
  <c r="BT82" i="2420"/>
  <c r="F76" i="2422"/>
  <c r="F79" i="2421"/>
  <c r="AT70" i="2420"/>
  <c r="BT70" i="2420"/>
  <c r="BT68" i="2420"/>
  <c r="F74" i="2422"/>
  <c r="F77" i="2421"/>
  <c r="AT68" i="2420"/>
  <c r="BT18" i="2420"/>
  <c r="F24" i="2422"/>
  <c r="F27" i="2421"/>
  <c r="AT18" i="2420"/>
  <c r="BT43" i="2420"/>
  <c r="F49" i="2422"/>
  <c r="F52" i="2421"/>
  <c r="AT43" i="2420"/>
  <c r="F53" i="2422"/>
  <c r="F56" i="2421"/>
  <c r="AT47" i="2420"/>
  <c r="BT47" i="2420"/>
  <c r="F50" i="2421"/>
  <c r="AT41" i="2420"/>
  <c r="BT41" i="2420"/>
  <c r="F47" i="2422"/>
  <c r="F48" i="2422"/>
  <c r="F51" i="2421"/>
  <c r="BT42" i="2420"/>
  <c r="AT42" i="2420"/>
  <c r="F102" i="2421"/>
  <c r="AT93" i="2420"/>
  <c r="BT93" i="2420"/>
  <c r="F99" i="2422"/>
  <c r="BT81" i="2420"/>
  <c r="F87" i="2422"/>
  <c r="F90" i="2421"/>
  <c r="AT81" i="2420"/>
  <c r="AT49" i="2420"/>
  <c r="BT49" i="2420"/>
  <c r="F55" i="2422"/>
  <c r="F58" i="2421"/>
  <c r="F81" i="2422"/>
  <c r="F84" i="2421"/>
  <c r="BT75" i="2420"/>
  <c r="AT75" i="2420"/>
  <c r="BT54" i="2420"/>
  <c r="F44" i="2422"/>
  <c r="F47" i="2421"/>
  <c r="AT38" i="2420"/>
  <c r="BT38" i="2420"/>
  <c r="F25" i="2421"/>
  <c r="BT16" i="2420"/>
  <c r="F22" i="2422"/>
  <c r="AT16" i="2420"/>
  <c r="F70" i="2421"/>
  <c r="BT61" i="2420"/>
  <c r="AT61" i="2420"/>
  <c r="F67" i="2422"/>
  <c r="F64" i="2422"/>
  <c r="F67" i="2421"/>
  <c r="AT58" i="2420"/>
  <c r="BT58" i="2420"/>
  <c r="F39" i="2422"/>
  <c r="BT33" i="2420"/>
  <c r="F42" i="2421"/>
  <c r="AT33" i="2420"/>
  <c r="F42" i="2422"/>
  <c r="F45" i="2421"/>
  <c r="AT36" i="2420"/>
  <c r="BT36" i="2420"/>
  <c r="F84" i="2422"/>
  <c r="F87" i="2421"/>
  <c r="BT78" i="2420"/>
  <c r="AT78" i="2420"/>
  <c r="AT97" i="2420"/>
  <c r="BT97" i="2420"/>
  <c r="F103" i="2422"/>
  <c r="F106" i="2421"/>
  <c r="AT53" i="2420"/>
  <c r="F59" i="2422"/>
  <c r="BT53" i="2420"/>
  <c r="F62" i="2421"/>
  <c r="F82" i="2422"/>
  <c r="F85" i="2421"/>
  <c r="AT76" i="2420"/>
  <c r="BT76" i="2420"/>
  <c r="F107" i="2422"/>
  <c r="AT101" i="2420"/>
  <c r="F110" i="2421"/>
  <c r="BT101" i="2420"/>
  <c r="F58" i="2422"/>
  <c r="F61" i="2421"/>
  <c r="AT52" i="2420"/>
  <c r="BT52" i="2420"/>
  <c r="F104" i="2422"/>
  <c r="F107" i="2421"/>
  <c r="AT98" i="2420"/>
  <c r="BT98" i="2420"/>
  <c r="AT69" i="2420"/>
  <c r="BT69" i="2420"/>
  <c r="F75" i="2422"/>
  <c r="F78" i="2421"/>
  <c r="F65" i="2422"/>
  <c r="F68" i="2421"/>
  <c r="AT59" i="2420"/>
  <c r="BT59" i="2420"/>
  <c r="F43" i="2421"/>
  <c r="AT34" i="2420"/>
  <c r="BT34" i="2420"/>
  <c r="F40" i="2422"/>
  <c r="AT23" i="2420"/>
  <c r="BT23" i="2420"/>
  <c r="F29" i="2422"/>
  <c r="F32" i="2421"/>
  <c r="AT39" i="2420"/>
  <c r="F45" i="2422"/>
  <c r="F48" i="2421"/>
  <c r="BT39" i="2420"/>
  <c r="F61" i="2422"/>
  <c r="F64" i="2421"/>
  <c r="AT55" i="2420"/>
  <c r="BT55" i="2420"/>
  <c r="F89" i="2422"/>
  <c r="BT83" i="2420"/>
  <c r="F92" i="2421"/>
  <c r="AT83" i="2420"/>
  <c r="F37" i="2422"/>
  <c r="BT31" i="2420"/>
  <c r="F40" i="2421"/>
  <c r="AT31" i="2420"/>
  <c r="AT80" i="2420"/>
  <c r="BT80" i="2420"/>
  <c r="F86" i="2422"/>
  <c r="F89" i="2421"/>
  <c r="AT87" i="2420"/>
  <c r="F93" i="2422"/>
  <c r="BT87" i="2420"/>
  <c r="F96" i="2421"/>
  <c r="F70" i="2422"/>
  <c r="F73" i="2421"/>
  <c r="AT64" i="2420"/>
  <c r="BT64" i="2420"/>
  <c r="BT88" i="2420"/>
  <c r="F94" i="2422"/>
  <c r="AT88" i="2420"/>
  <c r="F97" i="2421"/>
  <c r="F63" i="2422"/>
  <c r="F66" i="2421"/>
  <c r="AT57" i="2420"/>
  <c r="BT57" i="2420"/>
  <c r="F21" i="2422"/>
  <c r="F24" i="2421"/>
  <c r="AT15" i="2420"/>
  <c r="BT15" i="2420"/>
  <c r="F68" i="2422"/>
  <c r="F71" i="2421"/>
  <c r="AT62" i="2420"/>
  <c r="BT62" i="2420"/>
  <c r="AT95" i="2420"/>
  <c r="BT95" i="2420"/>
  <c r="F101" i="2422"/>
  <c r="F104" i="2421"/>
  <c r="AT29" i="2420"/>
  <c r="BT29" i="2420"/>
  <c r="F35" i="2422"/>
  <c r="F38" i="2421"/>
  <c r="AT50" i="2420"/>
  <c r="F56" i="2422"/>
  <c r="BT50" i="2420"/>
  <c r="F59" i="2421"/>
  <c r="F39" i="2421"/>
  <c r="AT30" i="2420"/>
  <c r="BT30" i="2420"/>
  <c r="F36" i="2422"/>
  <c r="BT60" i="2420"/>
  <c r="F66" i="2422"/>
  <c r="AT60" i="2420"/>
  <c r="F69" i="2421"/>
  <c r="BT71" i="2420"/>
  <c r="F77" i="2422"/>
  <c r="F80" i="2421"/>
  <c r="AT71" i="2420"/>
  <c r="F33" i="2422"/>
  <c r="F36" i="2421"/>
  <c r="AT27" i="2420"/>
  <c r="BT27" i="2420"/>
  <c r="F80" i="2422"/>
  <c r="AT74" i="2420"/>
  <c r="F83" i="2421"/>
  <c r="BT74" i="2420"/>
  <c r="AT72" i="2420"/>
  <c r="BT72" i="2420"/>
  <c r="F78" i="2422"/>
  <c r="F81" i="2421"/>
  <c r="BT44" i="2420"/>
  <c r="F50" i="2422"/>
  <c r="F53" i="2421"/>
  <c r="AT44" i="2420"/>
  <c r="F85" i="2422"/>
  <c r="BT79" i="2420"/>
  <c r="F88" i="2421"/>
  <c r="AT79" i="2420"/>
  <c r="F57" i="2421"/>
  <c r="AT48" i="2420"/>
  <c r="BT48" i="2420"/>
  <c r="F54" i="2422"/>
  <c r="F102" i="2422"/>
  <c r="BT96" i="2420"/>
  <c r="F105" i="2421"/>
  <c r="AT96" i="2420"/>
  <c r="F105" i="2422"/>
  <c r="AT99" i="2420"/>
  <c r="F108" i="2421"/>
  <c r="BT99" i="2420"/>
  <c r="F94" i="2421"/>
  <c r="F91" i="2422"/>
  <c r="BT85" i="2420"/>
  <c r="AT85" i="2420"/>
  <c r="BT86" i="2420"/>
  <c r="F92" i="2422"/>
  <c r="AT86" i="2420"/>
  <c r="F95" i="2421"/>
  <c r="F34" i="2421"/>
  <c r="AT25" i="2420"/>
  <c r="BT25" i="2420"/>
  <c r="F31" i="2422"/>
  <c r="F54" i="2421"/>
  <c r="AT45" i="2420"/>
  <c r="BT45" i="2420"/>
  <c r="F51" i="2422"/>
  <c r="F43" i="2422"/>
  <c r="F46" i="2421"/>
  <c r="AT37" i="2420"/>
  <c r="BT37" i="2420"/>
  <c r="AB76" i="2420"/>
  <c r="T81" i="2380" s="1"/>
  <c r="O76" i="2420"/>
  <c r="Z76" i="2420" s="1"/>
  <c r="O49" i="2420"/>
  <c r="AB49" i="2420"/>
  <c r="T54" i="2380" s="1"/>
  <c r="O26" i="2420"/>
  <c r="Z26" i="2420" s="1"/>
  <c r="AB26" i="2420"/>
  <c r="T31" i="2380" s="1"/>
  <c r="AB96" i="2420"/>
  <c r="T101" i="2380" s="1"/>
  <c r="O96" i="2420"/>
  <c r="Z96" i="2420" s="1"/>
  <c r="AB91" i="2420"/>
  <c r="T96" i="2380" s="1"/>
  <c r="O91" i="2420"/>
  <c r="Z91" i="2420" s="1"/>
  <c r="O38" i="2420"/>
  <c r="Z38" i="2420" s="1"/>
  <c r="AB38" i="2420"/>
  <c r="T43" i="2380" s="1"/>
  <c r="AB61" i="2420"/>
  <c r="T66" i="2380" s="1"/>
  <c r="O61" i="2420"/>
  <c r="Z61" i="2420" s="1"/>
  <c r="O34" i="2420"/>
  <c r="Z34" i="2420" s="1"/>
  <c r="AB34" i="2420"/>
  <c r="T39" i="2380" s="1"/>
  <c r="O43" i="2420"/>
  <c r="AB43" i="2420"/>
  <c r="T48" i="2380" s="1"/>
  <c r="O15" i="2420"/>
  <c r="Z15" i="2420" s="1"/>
  <c r="AB15" i="2420"/>
  <c r="T20" i="2380" s="1"/>
  <c r="O78" i="2420"/>
  <c r="Z78" i="2420" s="1"/>
  <c r="AB78" i="2420"/>
  <c r="T83" i="2380" s="1"/>
  <c r="AB97" i="2420"/>
  <c r="T102" i="2380" s="1"/>
  <c r="O97" i="2420"/>
  <c r="AB70" i="2420"/>
  <c r="T75" i="2380" s="1"/>
  <c r="O70" i="2420"/>
  <c r="AB47" i="2420"/>
  <c r="T52" i="2380" s="1"/>
  <c r="O47" i="2420"/>
  <c r="Z47" i="2420" s="1"/>
  <c r="O42" i="2420"/>
  <c r="Z42" i="2420" s="1"/>
  <c r="AB42" i="2420"/>
  <c r="T47" i="2380" s="1"/>
  <c r="O95" i="2420"/>
  <c r="Z95" i="2420" s="1"/>
  <c r="AB95" i="2420"/>
  <c r="T100" i="2380" s="1"/>
  <c r="AB90" i="2420"/>
  <c r="T95" i="2380" s="1"/>
  <c r="O90" i="2420"/>
  <c r="O71" i="2420"/>
  <c r="Z71" i="2420" s="1"/>
  <c r="AB71" i="2420"/>
  <c r="T76" i="2380" s="1"/>
  <c r="O51" i="2420"/>
  <c r="Z51" i="2420" s="1"/>
  <c r="AB51" i="2420"/>
  <c r="T56" i="2380" s="1"/>
  <c r="O98" i="2420"/>
  <c r="AB98" i="2420"/>
  <c r="T103" i="2380" s="1"/>
  <c r="AB27" i="2420"/>
  <c r="T32" i="2380" s="1"/>
  <c r="O27" i="2420"/>
  <c r="Z27" i="2420" s="1"/>
  <c r="AB88" i="2420"/>
  <c r="T93" i="2380" s="1"/>
  <c r="O88" i="2420"/>
  <c r="AB41" i="2420"/>
  <c r="T46" i="2380" s="1"/>
  <c r="O41" i="2420"/>
  <c r="Z41" i="2420" s="1"/>
  <c r="O93" i="2420"/>
  <c r="AB93" i="2420"/>
  <c r="T98" i="2380" s="1"/>
  <c r="AB29" i="2420"/>
  <c r="T34" i="2380" s="1"/>
  <c r="O29" i="2420"/>
  <c r="AB94" i="2420"/>
  <c r="T99" i="2380" s="1"/>
  <c r="O94" i="2420"/>
  <c r="O83" i="2420"/>
  <c r="AB83" i="2420"/>
  <c r="T88" i="2380" s="1"/>
  <c r="AB53" i="2420"/>
  <c r="T58" i="2380" s="1"/>
  <c r="O53" i="2420"/>
  <c r="AB99" i="2420"/>
  <c r="T104" i="2380" s="1"/>
  <c r="O99" i="2420"/>
  <c r="Z99" i="2420" s="1"/>
  <c r="O80" i="2420"/>
  <c r="Z80" i="2420" s="1"/>
  <c r="AB80" i="2420"/>
  <c r="T85" i="2380" s="1"/>
  <c r="O24" i="2420"/>
  <c r="AB24" i="2420"/>
  <c r="T29" i="2380" s="1"/>
  <c r="AB86" i="2420"/>
  <c r="T91" i="2380" s="1"/>
  <c r="O86" i="2420"/>
  <c r="O16" i="2420"/>
  <c r="AB16" i="2420"/>
  <c r="T21" i="2380" s="1"/>
  <c r="O68" i="2420"/>
  <c r="AB68" i="2420"/>
  <c r="T73" i="2380" s="1"/>
  <c r="O22" i="2420"/>
  <c r="AB22" i="2420"/>
  <c r="T27" i="2380" s="1"/>
  <c r="O103" i="2420"/>
  <c r="AB103" i="2420"/>
  <c r="T108" i="2380" s="1"/>
  <c r="O57" i="2420"/>
  <c r="AB57" i="2420"/>
  <c r="T62" i="2380" s="1"/>
  <c r="AB72" i="2420"/>
  <c r="T77" i="2380" s="1"/>
  <c r="O72" i="2420"/>
  <c r="O81" i="2420"/>
  <c r="AB81" i="2420"/>
  <c r="T86" i="2380" s="1"/>
  <c r="O28" i="2420"/>
  <c r="Z28" i="2420" s="1"/>
  <c r="AB28" i="2420"/>
  <c r="T33" i="2380" s="1"/>
  <c r="AB50" i="2420"/>
  <c r="T55" i="2380" s="1"/>
  <c r="O50" i="2420"/>
  <c r="Z50" i="2420" s="1"/>
  <c r="AB19" i="2420"/>
  <c r="T24" i="2380" s="1"/>
  <c r="O19" i="2420"/>
  <c r="O101" i="2420"/>
  <c r="AB101" i="2420"/>
  <c r="T106" i="2380" s="1"/>
  <c r="AB85" i="2420"/>
  <c r="T90" i="2380" s="1"/>
  <c r="O85" i="2420"/>
  <c r="Z85" i="2420" s="1"/>
  <c r="O89" i="2420"/>
  <c r="AB89" i="2420"/>
  <c r="T94" i="2380" s="1"/>
  <c r="O75" i="2420"/>
  <c r="AB75" i="2420"/>
  <c r="T80" i="2380" s="1"/>
  <c r="O104" i="2420"/>
  <c r="Z104" i="2420" s="1"/>
  <c r="AB104" i="2420"/>
  <c r="T109" i="2380" s="1"/>
  <c r="AB69" i="2420"/>
  <c r="T74" i="2380" s="1"/>
  <c r="O69" i="2420"/>
  <c r="AB79" i="2420"/>
  <c r="T84" i="2380" s="1"/>
  <c r="O79" i="2420"/>
  <c r="AB65" i="2420"/>
  <c r="T70" i="2380" s="1"/>
  <c r="O65" i="2420"/>
  <c r="O30" i="2420"/>
  <c r="AB30" i="2420"/>
  <c r="T35" i="2380" s="1"/>
  <c r="O48" i="2420"/>
  <c r="Z48" i="2420" s="1"/>
  <c r="AB48" i="2420"/>
  <c r="T53" i="2380" s="1"/>
  <c r="AB52" i="2420"/>
  <c r="T57" i="2380" s="1"/>
  <c r="O52" i="2420"/>
  <c r="AB63" i="2420"/>
  <c r="T68" i="2380" s="1"/>
  <c r="O63" i="2420"/>
  <c r="O73" i="2420"/>
  <c r="AB73" i="2420"/>
  <c r="T78" i="2380" s="1"/>
  <c r="O87" i="2420"/>
  <c r="Z87" i="2420" s="1"/>
  <c r="AB87" i="2420"/>
  <c r="T92" i="2380" s="1"/>
  <c r="AB18" i="2420"/>
  <c r="T23" i="2380" s="1"/>
  <c r="O18" i="2420"/>
  <c r="Z18" i="2420" s="1"/>
  <c r="O92" i="2420"/>
  <c r="AB92" i="2420"/>
  <c r="T97" i="2380" s="1"/>
  <c r="O39" i="2420"/>
  <c r="AB39" i="2420"/>
  <c r="T44" i="2380" s="1"/>
  <c r="AB77" i="2420"/>
  <c r="T82" i="2380" s="1"/>
  <c r="O77" i="2420"/>
  <c r="AB44" i="2420"/>
  <c r="T49" i="2380" s="1"/>
  <c r="O44" i="2420"/>
  <c r="AB62" i="2420"/>
  <c r="T67" i="2380" s="1"/>
  <c r="O62" i="2420"/>
  <c r="O31" i="2420"/>
  <c r="AB31" i="2420"/>
  <c r="T36" i="2380" s="1"/>
  <c r="AB100" i="2420"/>
  <c r="T105" i="2380" s="1"/>
  <c r="O100" i="2420"/>
  <c r="O36" i="2420"/>
  <c r="AB36" i="2420"/>
  <c r="T41" i="2380" s="1"/>
  <c r="AB64" i="2420"/>
  <c r="T69" i="2380" s="1"/>
  <c r="O64" i="2420"/>
  <c r="AB20" i="2420"/>
  <c r="T25" i="2380" s="1"/>
  <c r="O20" i="2420"/>
  <c r="Z20" i="2420" s="1"/>
  <c r="O56" i="2420"/>
  <c r="Z56" i="2420" s="1"/>
  <c r="AB56" i="2420"/>
  <c r="T61" i="2380" s="1"/>
  <c r="AB59" i="2420"/>
  <c r="T64" i="2380" s="1"/>
  <c r="O59" i="2420"/>
  <c r="O23" i="2420"/>
  <c r="Z23" i="2420" s="1"/>
  <c r="AB23" i="2420"/>
  <c r="T28" i="2380" s="1"/>
  <c r="O37" i="2420"/>
  <c r="AB37" i="2420"/>
  <c r="T42" i="2380" s="1"/>
  <c r="AB60" i="2420"/>
  <c r="T65" i="2380" s="1"/>
  <c r="O60" i="2420"/>
  <c r="Z60" i="2420" s="1"/>
  <c r="AB33" i="2420"/>
  <c r="T38" i="2380" s="1"/>
  <c r="O33" i="2420"/>
  <c r="AB84" i="2420"/>
  <c r="T89" i="2380" s="1"/>
  <c r="O84" i="2420"/>
  <c r="O82" i="2420"/>
  <c r="Z82" i="2420" s="1"/>
  <c r="AB82" i="2420"/>
  <c r="T87" i="2380" s="1"/>
  <c r="AB25" i="2420"/>
  <c r="T30" i="2380" s="1"/>
  <c r="O25" i="2420"/>
  <c r="Z25" i="2420" s="1"/>
  <c r="AB45" i="2420"/>
  <c r="T50" i="2380" s="1"/>
  <c r="O45" i="2420"/>
  <c r="Z45" i="2420" s="1"/>
  <c r="O40" i="2420"/>
  <c r="AB74" i="2420"/>
  <c r="T79" i="2380" s="1"/>
  <c r="O74" i="2420"/>
  <c r="O58" i="2420"/>
  <c r="Z58" i="2420" s="1"/>
  <c r="AB58" i="2420"/>
  <c r="T63" i="2380" s="1"/>
  <c r="AB55" i="2420"/>
  <c r="T60" i="2380" s="1"/>
  <c r="O55" i="2420"/>
  <c r="D14" i="2407"/>
  <c r="D16" i="2407"/>
  <c r="AG24" i="2396"/>
  <c r="BF39" i="2396"/>
  <c r="BH39" i="2396"/>
  <c r="BI39" i="2396"/>
  <c r="BF40" i="2396"/>
  <c r="BH40" i="2396"/>
  <c r="BI40" i="2396"/>
  <c r="BF41" i="2396"/>
  <c r="BH41" i="2396"/>
  <c r="BI41" i="2396"/>
  <c r="BF42" i="2396"/>
  <c r="BH42" i="2396"/>
  <c r="BI42" i="2396"/>
  <c r="BF26" i="2396"/>
  <c r="G14" i="2407"/>
  <c r="H14" i="2407"/>
  <c r="J14" i="2407"/>
  <c r="G15" i="2407"/>
  <c r="H15" i="2407"/>
  <c r="J15" i="2407"/>
  <c r="G16" i="2407"/>
  <c r="H16" i="2407"/>
  <c r="J16" i="2407"/>
  <c r="G17" i="2407"/>
  <c r="H17" i="2407"/>
  <c r="J17" i="2407"/>
  <c r="E14" i="2407"/>
  <c r="E15" i="2407"/>
  <c r="E16" i="2407"/>
  <c r="E17" i="2407"/>
  <c r="O17" i="2420" l="1"/>
  <c r="Z17" i="2420" s="1"/>
  <c r="AT67" i="2420"/>
  <c r="F38" i="2422"/>
  <c r="F52" i="2422"/>
  <c r="F23" i="2422"/>
  <c r="AU17" i="2420"/>
  <c r="AU67" i="2420"/>
  <c r="AT46" i="2420"/>
  <c r="BT17" i="2420"/>
  <c r="AV17" i="2420"/>
  <c r="J46" i="2420"/>
  <c r="Q51" i="2380" s="1"/>
  <c r="F26" i="2421"/>
  <c r="AV67" i="2420"/>
  <c r="O46" i="2420"/>
  <c r="Z46" i="2420" s="1"/>
  <c r="AU32" i="2420"/>
  <c r="J32" i="2420"/>
  <c r="Q37" i="2380" s="1"/>
  <c r="V32" i="2420" s="1"/>
  <c r="AQ32" i="2420" s="1"/>
  <c r="AR32" i="2420" s="1"/>
  <c r="J67" i="2420"/>
  <c r="Q72" i="2380" s="1"/>
  <c r="AB67" i="2420"/>
  <c r="T72" i="2380" s="1"/>
  <c r="BT67" i="2420"/>
  <c r="BT32" i="2420"/>
  <c r="AB46" i="2420"/>
  <c r="T51" i="2380" s="1"/>
  <c r="X46" i="2420" s="1"/>
  <c r="O32" i="2420"/>
  <c r="G41" i="2421" s="1"/>
  <c r="AB32" i="2420"/>
  <c r="T37" i="2380" s="1"/>
  <c r="O67" i="2420"/>
  <c r="S67" i="2420" s="1"/>
  <c r="F76" i="2421"/>
  <c r="AT32" i="2420"/>
  <c r="F55" i="2421"/>
  <c r="AV32" i="2420"/>
  <c r="AB17" i="2420"/>
  <c r="T22" i="2380" s="1"/>
  <c r="X17" i="2420" s="1"/>
  <c r="F73" i="2422"/>
  <c r="F41" i="2421"/>
  <c r="BT46" i="2420"/>
  <c r="AV46" i="2420"/>
  <c r="AU46" i="2420"/>
  <c r="J17" i="2420"/>
  <c r="Q22" i="2380" s="1"/>
  <c r="BT40" i="2420"/>
  <c r="J40" i="2420"/>
  <c r="Q45" i="2380" s="1"/>
  <c r="AT40" i="2420"/>
  <c r="AU40" i="2420"/>
  <c r="Z77" i="2420"/>
  <c r="F49" i="2421"/>
  <c r="F46" i="2422"/>
  <c r="AV40" i="2420"/>
  <c r="AB40" i="2420"/>
  <c r="T45" i="2380" s="1"/>
  <c r="AB35" i="2420"/>
  <c r="T40" i="2380" s="1"/>
  <c r="DH35" i="2420" s="1"/>
  <c r="O35" i="2420"/>
  <c r="G41" i="2422" s="1"/>
  <c r="BT35" i="2420"/>
  <c r="AT35" i="2420"/>
  <c r="AV35" i="2420"/>
  <c r="F44" i="2421"/>
  <c r="PF44" i="2421" s="1"/>
  <c r="AU35" i="2420"/>
  <c r="F41" i="2422"/>
  <c r="F75" i="2421"/>
  <c r="PF75" i="2421" s="1"/>
  <c r="O66" i="2420"/>
  <c r="Z66" i="2420" s="1"/>
  <c r="F72" i="2422"/>
  <c r="AB66" i="2420"/>
  <c r="T71" i="2380" s="1"/>
  <c r="X66" i="2420" s="1"/>
  <c r="J66" i="2420"/>
  <c r="Q71" i="2380" s="1"/>
  <c r="AV66" i="2420"/>
  <c r="AU66" i="2420"/>
  <c r="BT66" i="2420"/>
  <c r="AT66" i="2420"/>
  <c r="AB54" i="2420"/>
  <c r="T59" i="2380" s="1"/>
  <c r="X54" i="2420" s="1"/>
  <c r="O102" i="2420"/>
  <c r="F63" i="2421"/>
  <c r="EV63" i="2421" s="1"/>
  <c r="AU102" i="2420"/>
  <c r="O54" i="2420"/>
  <c r="G63" i="2421" s="1"/>
  <c r="AB102" i="2420"/>
  <c r="T107" i="2380" s="1"/>
  <c r="DH102" i="2420" s="1"/>
  <c r="F60" i="2422"/>
  <c r="AT54" i="2420"/>
  <c r="F111" i="2421"/>
  <c r="EV111" i="2421" s="1"/>
  <c r="J54" i="2420"/>
  <c r="Q59" i="2380" s="1"/>
  <c r="J35" i="2420"/>
  <c r="Q40" i="2380" s="1"/>
  <c r="V35" i="2420" s="1"/>
  <c r="AQ35" i="2420" s="1"/>
  <c r="AR35" i="2420" s="1"/>
  <c r="F108" i="2422"/>
  <c r="AV102" i="2420"/>
  <c r="AU54" i="2420"/>
  <c r="BT102" i="2420"/>
  <c r="AT102" i="2420"/>
  <c r="J102" i="2420"/>
  <c r="Q107" i="2380" s="1"/>
  <c r="V102" i="2420" s="1"/>
  <c r="AQ102" i="2420" s="1"/>
  <c r="AR102" i="2420" s="1"/>
  <c r="U27" i="2390"/>
  <c r="V27" i="2390"/>
  <c r="V24" i="2390"/>
  <c r="U24" i="2390"/>
  <c r="U26" i="2390"/>
  <c r="V26" i="2390"/>
  <c r="V28" i="2390"/>
  <c r="U28" i="2390"/>
  <c r="U29" i="2390"/>
  <c r="V29" i="2390"/>
  <c r="V25" i="2390"/>
  <c r="U25" i="2390"/>
  <c r="R90" i="2380"/>
  <c r="W85" i="2420" s="1"/>
  <c r="R51" i="2380"/>
  <c r="W46" i="2420" s="1"/>
  <c r="R87" i="2380"/>
  <c r="W82" i="2420" s="1"/>
  <c r="R46" i="2380"/>
  <c r="W41" i="2420" s="1"/>
  <c r="R55" i="2380"/>
  <c r="W50" i="2420" s="1"/>
  <c r="R32" i="2380"/>
  <c r="W27" i="2420" s="1"/>
  <c r="R49" i="2380"/>
  <c r="W44" i="2420" s="1"/>
  <c r="R106" i="2380"/>
  <c r="W101" i="2420" s="1"/>
  <c r="R89" i="2380"/>
  <c r="W84" i="2420" s="1"/>
  <c r="R69" i="2380"/>
  <c r="W64" i="2420" s="1"/>
  <c r="R45" i="2380"/>
  <c r="W40" i="2420" s="1"/>
  <c r="R99" i="2380"/>
  <c r="W94" i="2420" s="1"/>
  <c r="R68" i="2380"/>
  <c r="W63" i="2420" s="1"/>
  <c r="R61" i="2380"/>
  <c r="W56" i="2420" s="1"/>
  <c r="R84" i="2380"/>
  <c r="W79" i="2420" s="1"/>
  <c r="R59" i="2380"/>
  <c r="W54" i="2420" s="1"/>
  <c r="R97" i="2380"/>
  <c r="W92" i="2420" s="1"/>
  <c r="R35" i="2380"/>
  <c r="W30" i="2420" s="1"/>
  <c r="R85" i="2380"/>
  <c r="W80" i="2420" s="1"/>
  <c r="K21" i="2420"/>
  <c r="R26" i="2380" s="1"/>
  <c r="W21" i="2420" s="1"/>
  <c r="Q41" i="2388"/>
  <c r="R82" i="2380"/>
  <c r="W77" i="2420" s="1"/>
  <c r="R53" i="2380"/>
  <c r="W48" i="2420" s="1"/>
  <c r="R103" i="2380"/>
  <c r="W98" i="2420" s="1"/>
  <c r="R86" i="2380"/>
  <c r="W81" i="2420" s="1"/>
  <c r="R65" i="2380"/>
  <c r="W60" i="2420" s="1"/>
  <c r="R92" i="2380"/>
  <c r="W87" i="2420" s="1"/>
  <c r="R39" i="2380"/>
  <c r="W34" i="2420" s="1"/>
  <c r="R102" i="2380"/>
  <c r="W97" i="2420" s="1"/>
  <c r="R71" i="2380"/>
  <c r="W66" i="2420" s="1"/>
  <c r="R37" i="2380"/>
  <c r="W32" i="2420" s="1"/>
  <c r="R70" i="2380"/>
  <c r="W65" i="2420" s="1"/>
  <c r="R96" i="2380"/>
  <c r="W91" i="2420" s="1"/>
  <c r="R60" i="2380"/>
  <c r="W55" i="2420" s="1"/>
  <c r="R104" i="2380"/>
  <c r="W99" i="2420" s="1"/>
  <c r="R91" i="2380"/>
  <c r="W86" i="2420" s="1"/>
  <c r="R47" i="2380"/>
  <c r="W42" i="2420" s="1"/>
  <c r="R58" i="2380"/>
  <c r="W53" i="2420" s="1"/>
  <c r="R57" i="2380"/>
  <c r="W52" i="2420" s="1"/>
  <c r="R77" i="2380"/>
  <c r="W72" i="2420" s="1"/>
  <c r="R72" i="2380"/>
  <c r="W67" i="2420" s="1"/>
  <c r="R64" i="2380"/>
  <c r="W59" i="2420" s="1"/>
  <c r="R95" i="2380"/>
  <c r="W90" i="2420" s="1"/>
  <c r="R76" i="2380"/>
  <c r="W71" i="2420" s="1"/>
  <c r="R44" i="2380"/>
  <c r="W39" i="2420" s="1"/>
  <c r="R94" i="2380"/>
  <c r="W89" i="2420" s="1"/>
  <c r="R52" i="2380"/>
  <c r="W47" i="2420" s="1"/>
  <c r="R93" i="2380"/>
  <c r="W88" i="2420" s="1"/>
  <c r="R80" i="2380"/>
  <c r="W75" i="2420" s="1"/>
  <c r="R63" i="2380"/>
  <c r="W58" i="2420" s="1"/>
  <c r="R81" i="2380"/>
  <c r="W76" i="2420" s="1"/>
  <c r="R73" i="2380"/>
  <c r="W68" i="2420" s="1"/>
  <c r="R56" i="2380"/>
  <c r="W51" i="2420" s="1"/>
  <c r="R79" i="2380"/>
  <c r="W74" i="2420" s="1"/>
  <c r="R36" i="2380"/>
  <c r="W31" i="2420" s="1"/>
  <c r="R42" i="2380"/>
  <c r="W37" i="2420" s="1"/>
  <c r="R66" i="2380"/>
  <c r="W61" i="2420" s="1"/>
  <c r="R101" i="2380"/>
  <c r="W96" i="2420" s="1"/>
  <c r="R107" i="2380"/>
  <c r="W102" i="2420" s="1"/>
  <c r="R83" i="2380"/>
  <c r="W78" i="2420" s="1"/>
  <c r="R75" i="2380"/>
  <c r="W70" i="2420" s="1"/>
  <c r="R100" i="2380"/>
  <c r="W95" i="2420" s="1"/>
  <c r="R74" i="2380"/>
  <c r="W69" i="2420" s="1"/>
  <c r="R50" i="2380"/>
  <c r="W45" i="2420" s="1"/>
  <c r="R33" i="2380"/>
  <c r="W28" i="2420" s="1"/>
  <c r="R54" i="2380"/>
  <c r="W49" i="2420" s="1"/>
  <c r="R62" i="2380"/>
  <c r="W57" i="2420" s="1"/>
  <c r="R40" i="2380"/>
  <c r="W35" i="2420" s="1"/>
  <c r="R78" i="2380"/>
  <c r="W73" i="2420" s="1"/>
  <c r="R105" i="2380"/>
  <c r="W100" i="2420" s="1"/>
  <c r="R43" i="2380"/>
  <c r="W38" i="2420" s="1"/>
  <c r="R98" i="2380"/>
  <c r="W93" i="2420" s="1"/>
  <c r="R38" i="2380"/>
  <c r="W33" i="2420" s="1"/>
  <c r="R48" i="2380"/>
  <c r="W43" i="2420" s="1"/>
  <c r="R88" i="2380"/>
  <c r="W83" i="2420" s="1"/>
  <c r="R41" i="2380"/>
  <c r="W36" i="2420" s="1"/>
  <c r="AV19" i="2420"/>
  <c r="Q39" i="2388"/>
  <c r="F20" i="2421"/>
  <c r="PF20" i="2421" s="1"/>
  <c r="Q31" i="2388"/>
  <c r="W29" i="2420"/>
  <c r="J19" i="2420"/>
  <c r="Q24" i="2380" s="1"/>
  <c r="V19" i="2420" s="1"/>
  <c r="AQ19" i="2420" s="1"/>
  <c r="AR19" i="2420" s="1"/>
  <c r="AV21" i="2420"/>
  <c r="AU19" i="2420"/>
  <c r="F25" i="2422"/>
  <c r="F28" i="2421"/>
  <c r="BY28" i="2421" s="1"/>
  <c r="O21" i="2420"/>
  <c r="Z21" i="2420" s="1"/>
  <c r="BT21" i="2420"/>
  <c r="AT21" i="2420"/>
  <c r="AU21" i="2420"/>
  <c r="AB21" i="2420"/>
  <c r="T26" i="2380" s="1"/>
  <c r="X21" i="2420" s="1"/>
  <c r="F30" i="2421"/>
  <c r="BY30" i="2421" s="1"/>
  <c r="J21" i="2420"/>
  <c r="Q26" i="2380" s="1"/>
  <c r="F27" i="2422"/>
  <c r="AU11" i="2420"/>
  <c r="G23" i="2390"/>
  <c r="AB11" i="2420"/>
  <c r="BT11" i="2420"/>
  <c r="AV11" i="2420"/>
  <c r="O11" i="2420"/>
  <c r="Z11" i="2420" s="1"/>
  <c r="F17" i="2422"/>
  <c r="AT11" i="2420"/>
  <c r="W19" i="2420"/>
  <c r="W18" i="2420"/>
  <c r="W15" i="2420"/>
  <c r="W22" i="2420"/>
  <c r="W23" i="2420"/>
  <c r="W17" i="2420"/>
  <c r="W24" i="2420"/>
  <c r="W16" i="2420"/>
  <c r="W20" i="2420"/>
  <c r="G33" i="2390"/>
  <c r="J24" i="2390"/>
  <c r="P24" i="2390"/>
  <c r="H24" i="2390"/>
  <c r="Y24" i="2390"/>
  <c r="I24" i="2390"/>
  <c r="R24" i="2390"/>
  <c r="Q24" i="2390"/>
  <c r="M24" i="2390"/>
  <c r="N24" i="2390"/>
  <c r="L24" i="2390"/>
  <c r="O24" i="2390"/>
  <c r="K24" i="2390"/>
  <c r="T24" i="2390"/>
  <c r="Q27" i="2390"/>
  <c r="M27" i="2390"/>
  <c r="R27" i="2390"/>
  <c r="T27" i="2390"/>
  <c r="Y27" i="2390"/>
  <c r="K27" i="2390"/>
  <c r="P27" i="2390"/>
  <c r="N27" i="2390"/>
  <c r="I27" i="2390"/>
  <c r="O27" i="2390"/>
  <c r="J27" i="2390"/>
  <c r="L27" i="2390"/>
  <c r="H27" i="2390"/>
  <c r="M26" i="2390"/>
  <c r="O26" i="2390"/>
  <c r="L26" i="2390"/>
  <c r="T26" i="2390"/>
  <c r="J26" i="2390"/>
  <c r="Q26" i="2390"/>
  <c r="Y26" i="2390"/>
  <c r="H26" i="2390"/>
  <c r="R26" i="2390"/>
  <c r="P26" i="2390"/>
  <c r="K26" i="2390"/>
  <c r="I26" i="2390"/>
  <c r="N26" i="2390"/>
  <c r="M25" i="2390"/>
  <c r="Y25" i="2390"/>
  <c r="J25" i="2390"/>
  <c r="O25" i="2390"/>
  <c r="I25" i="2390"/>
  <c r="H25" i="2390"/>
  <c r="R25" i="2390"/>
  <c r="N25" i="2390"/>
  <c r="K25" i="2390"/>
  <c r="T25" i="2390"/>
  <c r="P25" i="2390"/>
  <c r="Q25" i="2390"/>
  <c r="L25" i="2390"/>
  <c r="P29" i="2390"/>
  <c r="T29" i="2390"/>
  <c r="Q29" i="2390"/>
  <c r="L29" i="2390"/>
  <c r="N29" i="2390"/>
  <c r="Y29" i="2390"/>
  <c r="O29" i="2390"/>
  <c r="M29" i="2390"/>
  <c r="J29" i="2390"/>
  <c r="H29" i="2390"/>
  <c r="I29" i="2390"/>
  <c r="K29" i="2390"/>
  <c r="R29" i="2390"/>
  <c r="K22" i="2390"/>
  <c r="N22" i="2390"/>
  <c r="I22" i="2390"/>
  <c r="J22" i="2390"/>
  <c r="K14" i="2420"/>
  <c r="R19" i="2380" s="1"/>
  <c r="J13" i="2420"/>
  <c r="Q18" i="2380" s="1"/>
  <c r="J11" i="2420"/>
  <c r="Q16" i="2380" s="1"/>
  <c r="G30" i="2390"/>
  <c r="J12" i="2420"/>
  <c r="Q17" i="2380" s="1"/>
  <c r="G31" i="2390"/>
  <c r="H28" i="2390"/>
  <c r="J28" i="2390"/>
  <c r="R28" i="2390"/>
  <c r="Y28" i="2390"/>
  <c r="L28" i="2390"/>
  <c r="N28" i="2390"/>
  <c r="K28" i="2390"/>
  <c r="T28" i="2390"/>
  <c r="M28" i="2390"/>
  <c r="O28" i="2390"/>
  <c r="I28" i="2390"/>
  <c r="Q28" i="2390"/>
  <c r="P28" i="2390"/>
  <c r="K11" i="2420"/>
  <c r="R16" i="2380" s="1"/>
  <c r="F20" i="2422"/>
  <c r="AB14" i="2420"/>
  <c r="T19" i="2380" s="1"/>
  <c r="O14" i="2420"/>
  <c r="Z14" i="2420" s="1"/>
  <c r="BT14" i="2420"/>
  <c r="AT14" i="2420"/>
  <c r="F23" i="2421"/>
  <c r="PF23" i="2421" s="1"/>
  <c r="AV14" i="2420"/>
  <c r="K12" i="2420"/>
  <c r="R17" i="2380" s="1"/>
  <c r="AU14" i="2420"/>
  <c r="J14" i="2420"/>
  <c r="Q19" i="2380" s="1"/>
  <c r="K13" i="2420"/>
  <c r="R18" i="2380" s="1"/>
  <c r="J10" i="2420"/>
  <c r="Q15" i="2380" s="1"/>
  <c r="K10" i="2420"/>
  <c r="R15" i="2380" s="1"/>
  <c r="AV10" i="2420"/>
  <c r="AB10" i="2420"/>
  <c r="T15" i="2380" s="1"/>
  <c r="BT10" i="2420"/>
  <c r="O10" i="2420"/>
  <c r="S10" i="2420" s="1"/>
  <c r="D17" i="2390" s="1"/>
  <c r="AT10" i="2420"/>
  <c r="F19" i="2421"/>
  <c r="PF19" i="2421" s="1"/>
  <c r="F16" i="2422"/>
  <c r="F14" i="2407"/>
  <c r="PF103" i="2421"/>
  <c r="NM103" i="2421"/>
  <c r="EV103" i="2421"/>
  <c r="BY103" i="2421"/>
  <c r="PF53" i="2421"/>
  <c r="NM53" i="2421"/>
  <c r="EV53" i="2421"/>
  <c r="BY53" i="2421"/>
  <c r="PF66" i="2421"/>
  <c r="NM66" i="2421"/>
  <c r="EV66" i="2421"/>
  <c r="BY66" i="2421"/>
  <c r="PF40" i="2421"/>
  <c r="NM40" i="2421"/>
  <c r="EV40" i="2421"/>
  <c r="BY40" i="2421"/>
  <c r="PF67" i="2421"/>
  <c r="NM67" i="2421"/>
  <c r="EV67" i="2421"/>
  <c r="BY67" i="2421"/>
  <c r="PF25" i="2421"/>
  <c r="NM25" i="2421"/>
  <c r="EV25" i="2421"/>
  <c r="BY25" i="2421"/>
  <c r="NM50" i="2421"/>
  <c r="PF50" i="2421"/>
  <c r="EV50" i="2421"/>
  <c r="BY50" i="2421"/>
  <c r="PF79" i="2421"/>
  <c r="NM79" i="2421"/>
  <c r="EV79" i="2421"/>
  <c r="BY79" i="2421"/>
  <c r="PF55" i="2421"/>
  <c r="NM55" i="2421"/>
  <c r="EV55" i="2421"/>
  <c r="BY55" i="2421"/>
  <c r="NM76" i="2421"/>
  <c r="PF76" i="2421"/>
  <c r="EV76" i="2421"/>
  <c r="BY76" i="2421"/>
  <c r="PF52" i="2421"/>
  <c r="NM52" i="2421"/>
  <c r="EV52" i="2421"/>
  <c r="BY52" i="2421"/>
  <c r="PF49" i="2421"/>
  <c r="NM49" i="2421"/>
  <c r="EV49" i="2421"/>
  <c r="BY49" i="2421"/>
  <c r="PF57" i="2421"/>
  <c r="NM57" i="2421"/>
  <c r="EV57" i="2421"/>
  <c r="BY57" i="2421"/>
  <c r="PF38" i="2421"/>
  <c r="NM38" i="2421"/>
  <c r="EV38" i="2421"/>
  <c r="BY38" i="2421"/>
  <c r="PF73" i="2421"/>
  <c r="NM73" i="2421"/>
  <c r="EV73" i="2421"/>
  <c r="BY73" i="2421"/>
  <c r="PF78" i="2421"/>
  <c r="NM78" i="2421"/>
  <c r="EV78" i="2421"/>
  <c r="BY78" i="2421"/>
  <c r="PF107" i="2421"/>
  <c r="NM107" i="2421"/>
  <c r="EV107" i="2421"/>
  <c r="BY107" i="2421"/>
  <c r="PF106" i="2421"/>
  <c r="NM106" i="2421"/>
  <c r="EV106" i="2421"/>
  <c r="BY106" i="2421"/>
  <c r="PF87" i="2421"/>
  <c r="NM87" i="2421"/>
  <c r="EV87" i="2421"/>
  <c r="BY87" i="2421"/>
  <c r="PF58" i="2421"/>
  <c r="NM58" i="2421"/>
  <c r="EV58" i="2421"/>
  <c r="BY58" i="2421"/>
  <c r="PF77" i="2421"/>
  <c r="NM77" i="2421"/>
  <c r="EV77" i="2421"/>
  <c r="BY77" i="2421"/>
  <c r="PF98" i="2421"/>
  <c r="NM98" i="2421"/>
  <c r="EV98" i="2421"/>
  <c r="BY98" i="2421"/>
  <c r="PF31" i="2421"/>
  <c r="NM31" i="2421"/>
  <c r="EV31" i="2421"/>
  <c r="BY31" i="2421"/>
  <c r="PF100" i="2421"/>
  <c r="NM100" i="2421"/>
  <c r="EV100" i="2421"/>
  <c r="BY100" i="2421"/>
  <c r="PF26" i="2421"/>
  <c r="NM26" i="2421"/>
  <c r="EV26" i="2421"/>
  <c r="BY26" i="2421"/>
  <c r="PF29" i="2421"/>
  <c r="NM29" i="2421"/>
  <c r="EV29" i="2421"/>
  <c r="BY29" i="2421"/>
  <c r="PF82" i="2421"/>
  <c r="NM82" i="2421"/>
  <c r="EV82" i="2421"/>
  <c r="BY82" i="2421"/>
  <c r="PF33" i="2421"/>
  <c r="NM33" i="2421"/>
  <c r="EV33" i="2421"/>
  <c r="BY33" i="2421"/>
  <c r="F22" i="2421"/>
  <c r="AU13" i="2420"/>
  <c r="PF46" i="2421"/>
  <c r="NM46" i="2421"/>
  <c r="EV46" i="2421"/>
  <c r="BY46" i="2421"/>
  <c r="PF24" i="2421"/>
  <c r="NM24" i="2421"/>
  <c r="EV24" i="2421"/>
  <c r="BY24" i="2421"/>
  <c r="PF110" i="2421"/>
  <c r="NM110" i="2421"/>
  <c r="EV110" i="2421"/>
  <c r="BY110" i="2421"/>
  <c r="PF34" i="2421"/>
  <c r="NM34" i="2421"/>
  <c r="EV34" i="2421"/>
  <c r="BY34" i="2421"/>
  <c r="PF83" i="2421"/>
  <c r="NM83" i="2421"/>
  <c r="EV83" i="2421"/>
  <c r="BY83" i="2421"/>
  <c r="PF36" i="2421"/>
  <c r="NM36" i="2421"/>
  <c r="EV36" i="2421"/>
  <c r="BY36" i="2421"/>
  <c r="PF69" i="2421"/>
  <c r="NM69" i="2421"/>
  <c r="EV69" i="2421"/>
  <c r="BY69" i="2421"/>
  <c r="PF39" i="2421"/>
  <c r="NM39" i="2421"/>
  <c r="EV39" i="2421"/>
  <c r="BY39" i="2421"/>
  <c r="PF64" i="2421"/>
  <c r="NM64" i="2421"/>
  <c r="EV64" i="2421"/>
  <c r="BY64" i="2421"/>
  <c r="PF43" i="2421"/>
  <c r="NM43" i="2421"/>
  <c r="EV43" i="2421"/>
  <c r="BY43" i="2421"/>
  <c r="PF70" i="2421"/>
  <c r="NM70" i="2421"/>
  <c r="EV70" i="2421"/>
  <c r="BY70" i="2421"/>
  <c r="PF56" i="2421"/>
  <c r="NM56" i="2421"/>
  <c r="EV56" i="2421"/>
  <c r="BY56" i="2421"/>
  <c r="PF113" i="2421"/>
  <c r="NM113" i="2421"/>
  <c r="EV113" i="2421"/>
  <c r="BY113" i="2421"/>
  <c r="PF35" i="2421"/>
  <c r="NM35" i="2421"/>
  <c r="EV35" i="2421"/>
  <c r="BY35" i="2421"/>
  <c r="BY111" i="2421"/>
  <c r="PF93" i="2421"/>
  <c r="NM93" i="2421"/>
  <c r="EV93" i="2421"/>
  <c r="BY93" i="2421"/>
  <c r="PF112" i="2421"/>
  <c r="NM112" i="2421"/>
  <c r="EV112" i="2421"/>
  <c r="BY112" i="2421"/>
  <c r="PF94" i="2421"/>
  <c r="NM94" i="2421"/>
  <c r="EV94" i="2421"/>
  <c r="BY94" i="2421"/>
  <c r="PF97" i="2421"/>
  <c r="NM97" i="2421"/>
  <c r="EV97" i="2421"/>
  <c r="BY97" i="2421"/>
  <c r="PF85" i="2421"/>
  <c r="NM85" i="2421"/>
  <c r="EV85" i="2421"/>
  <c r="BY85" i="2421"/>
  <c r="NM42" i="2421"/>
  <c r="PF42" i="2421"/>
  <c r="EV42" i="2421"/>
  <c r="BY42" i="2421"/>
  <c r="PF51" i="2421"/>
  <c r="NM51" i="2421"/>
  <c r="EV51" i="2421"/>
  <c r="BY51" i="2421"/>
  <c r="PF95" i="2421"/>
  <c r="NM95" i="2421"/>
  <c r="EV95" i="2421"/>
  <c r="BY95" i="2421"/>
  <c r="BY44" i="2421"/>
  <c r="PF88" i="2421"/>
  <c r="NM88" i="2421"/>
  <c r="EV88" i="2421"/>
  <c r="BY88" i="2421"/>
  <c r="PF47" i="2421"/>
  <c r="NM47" i="2421"/>
  <c r="EV47" i="2421"/>
  <c r="BY47" i="2421"/>
  <c r="PF27" i="2421"/>
  <c r="NM27" i="2421"/>
  <c r="EV27" i="2421"/>
  <c r="BY27" i="2421"/>
  <c r="PF72" i="2421"/>
  <c r="NM72" i="2421"/>
  <c r="EV72" i="2421"/>
  <c r="BY72" i="2421"/>
  <c r="PF37" i="2421"/>
  <c r="NM37" i="2421"/>
  <c r="EV37" i="2421"/>
  <c r="BY37" i="2421"/>
  <c r="NM75" i="2421"/>
  <c r="EV75" i="2421"/>
  <c r="PF65" i="2421"/>
  <c r="NM65" i="2421"/>
  <c r="EV65" i="2421"/>
  <c r="BY65" i="2421"/>
  <c r="PF89" i="2421"/>
  <c r="NM89" i="2421"/>
  <c r="EV89" i="2421"/>
  <c r="BY89" i="2421"/>
  <c r="PF32" i="2421"/>
  <c r="NM32" i="2421"/>
  <c r="EV32" i="2421"/>
  <c r="BY32" i="2421"/>
  <c r="PF108" i="2421"/>
  <c r="NM108" i="2421"/>
  <c r="EV108" i="2421"/>
  <c r="BY108" i="2421"/>
  <c r="PF81" i="2421"/>
  <c r="NM81" i="2421"/>
  <c r="EV81" i="2421"/>
  <c r="BY81" i="2421"/>
  <c r="PF59" i="2421"/>
  <c r="NM59" i="2421"/>
  <c r="EV59" i="2421"/>
  <c r="BY59" i="2421"/>
  <c r="PF96" i="2421"/>
  <c r="NM96" i="2421"/>
  <c r="EV96" i="2421"/>
  <c r="BY96" i="2421"/>
  <c r="PF92" i="2421"/>
  <c r="NM92" i="2421"/>
  <c r="EV92" i="2421"/>
  <c r="BY92" i="2421"/>
  <c r="PF62" i="2421"/>
  <c r="NM62" i="2421"/>
  <c r="EV62" i="2421"/>
  <c r="BY62" i="2421"/>
  <c r="PF45" i="2421"/>
  <c r="NM45" i="2421"/>
  <c r="EV45" i="2421"/>
  <c r="BY45" i="2421"/>
  <c r="PF41" i="2421"/>
  <c r="NM41" i="2421"/>
  <c r="EV41" i="2421"/>
  <c r="BY41" i="2421"/>
  <c r="PF91" i="2421"/>
  <c r="NM91" i="2421"/>
  <c r="EV91" i="2421"/>
  <c r="BY91" i="2421"/>
  <c r="PF74" i="2421"/>
  <c r="NM74" i="2421"/>
  <c r="EV74" i="2421"/>
  <c r="BY74" i="2421"/>
  <c r="PF86" i="2421"/>
  <c r="NM86" i="2421"/>
  <c r="EV86" i="2421"/>
  <c r="BY86" i="2421"/>
  <c r="EV60" i="2421"/>
  <c r="PF60" i="2421"/>
  <c r="NM60" i="2421"/>
  <c r="BY60" i="2421"/>
  <c r="NM105" i="2421"/>
  <c r="PF105" i="2421"/>
  <c r="EV105" i="2421"/>
  <c r="BY105" i="2421"/>
  <c r="PF54" i="2421"/>
  <c r="NM54" i="2421"/>
  <c r="EV54" i="2421"/>
  <c r="BY54" i="2421"/>
  <c r="PF80" i="2421"/>
  <c r="NM80" i="2421"/>
  <c r="EV80" i="2421"/>
  <c r="BY80" i="2421"/>
  <c r="PF104" i="2421"/>
  <c r="NM104" i="2421"/>
  <c r="EV104" i="2421"/>
  <c r="BY104" i="2421"/>
  <c r="PF71" i="2421"/>
  <c r="NM71" i="2421"/>
  <c r="EV71" i="2421"/>
  <c r="BY71" i="2421"/>
  <c r="PF48" i="2421"/>
  <c r="NM48" i="2421"/>
  <c r="EV48" i="2421"/>
  <c r="BY48" i="2421"/>
  <c r="NM68" i="2421"/>
  <c r="PF68" i="2421"/>
  <c r="EV68" i="2421"/>
  <c r="BY68" i="2421"/>
  <c r="PF61" i="2421"/>
  <c r="NM61" i="2421"/>
  <c r="EV61" i="2421"/>
  <c r="BY61" i="2421"/>
  <c r="NM84" i="2421"/>
  <c r="PF84" i="2421"/>
  <c r="EV84" i="2421"/>
  <c r="BY84" i="2421"/>
  <c r="PF90" i="2421"/>
  <c r="NM90" i="2421"/>
  <c r="EV90" i="2421"/>
  <c r="BY90" i="2421"/>
  <c r="PF102" i="2421"/>
  <c r="NM102" i="2421"/>
  <c r="EV102" i="2421"/>
  <c r="BY102" i="2421"/>
  <c r="PF109" i="2421"/>
  <c r="NM109" i="2421"/>
  <c r="EV109" i="2421"/>
  <c r="BY109" i="2421"/>
  <c r="PF101" i="2421"/>
  <c r="NM101" i="2421"/>
  <c r="EV101" i="2421"/>
  <c r="BY101" i="2421"/>
  <c r="PF99" i="2421"/>
  <c r="NM99" i="2421"/>
  <c r="EV99" i="2421"/>
  <c r="BY99" i="2421"/>
  <c r="AU10" i="2420"/>
  <c r="AV12" i="2420"/>
  <c r="AU12" i="2420"/>
  <c r="BT12" i="2420"/>
  <c r="AT12" i="2420"/>
  <c r="O12" i="2420"/>
  <c r="Z12" i="2420" s="1"/>
  <c r="F21" i="2421"/>
  <c r="AB12" i="2420"/>
  <c r="T17" i="2380" s="1"/>
  <c r="F18" i="2422"/>
  <c r="AV13" i="2420"/>
  <c r="G20" i="2390"/>
  <c r="V103" i="2420"/>
  <c r="AQ103" i="2420" s="1"/>
  <c r="AR103" i="2420" s="1"/>
  <c r="V63" i="2420"/>
  <c r="AQ63" i="2420" s="1"/>
  <c r="AR63" i="2420" s="1"/>
  <c r="V71" i="2420"/>
  <c r="AQ71" i="2420" s="1"/>
  <c r="AR71" i="2420" s="1"/>
  <c r="V34" i="2420"/>
  <c r="AQ34" i="2420" s="1"/>
  <c r="AR34" i="2420" s="1"/>
  <c r="V31" i="2420"/>
  <c r="AQ31" i="2420" s="1"/>
  <c r="AR31" i="2420" s="1"/>
  <c r="V47" i="2420"/>
  <c r="AQ47" i="2420" s="1"/>
  <c r="AR47" i="2420" s="1"/>
  <c r="V99" i="2420"/>
  <c r="AQ99" i="2420" s="1"/>
  <c r="AR99" i="2420" s="1"/>
  <c r="V78" i="2420"/>
  <c r="AQ78" i="2420" s="1"/>
  <c r="AR78" i="2420" s="1"/>
  <c r="V57" i="2420"/>
  <c r="AQ57" i="2420" s="1"/>
  <c r="AR57" i="2420" s="1"/>
  <c r="V22" i="2420"/>
  <c r="AQ22" i="2420" s="1"/>
  <c r="AR22" i="2420" s="1"/>
  <c r="V49" i="2420"/>
  <c r="AQ49" i="2420" s="1"/>
  <c r="AR49" i="2420" s="1"/>
  <c r="V23" i="2420"/>
  <c r="V77" i="2420"/>
  <c r="AQ77" i="2420" s="1"/>
  <c r="AR77" i="2420" s="1"/>
  <c r="V64" i="2420"/>
  <c r="AQ64" i="2420" s="1"/>
  <c r="AR64" i="2420" s="1"/>
  <c r="V39" i="2420"/>
  <c r="AQ39" i="2420" s="1"/>
  <c r="AR39" i="2420" s="1"/>
  <c r="V38" i="2420"/>
  <c r="AQ38" i="2420" s="1"/>
  <c r="AR38" i="2420" s="1"/>
  <c r="V41" i="2420"/>
  <c r="AQ41" i="2420" s="1"/>
  <c r="AR41" i="2420" s="1"/>
  <c r="V62" i="2420"/>
  <c r="AQ62" i="2420" s="1"/>
  <c r="AR62" i="2420" s="1"/>
  <c r="V86" i="2420"/>
  <c r="AQ86" i="2420" s="1"/>
  <c r="AR86" i="2420" s="1"/>
  <c r="V29" i="2420"/>
  <c r="AQ29" i="2420" s="1"/>
  <c r="AR29" i="2420" s="1"/>
  <c r="V80" i="2420"/>
  <c r="AQ80" i="2420" s="1"/>
  <c r="AR80" i="2420" s="1"/>
  <c r="V28" i="2420"/>
  <c r="AQ28" i="2420" s="1"/>
  <c r="AR28" i="2420" s="1"/>
  <c r="V82" i="2420"/>
  <c r="AQ82" i="2420" s="1"/>
  <c r="AR82" i="2420" s="1"/>
  <c r="V53" i="2420"/>
  <c r="AQ53" i="2420" s="1"/>
  <c r="AR53" i="2420" s="1"/>
  <c r="V90" i="2420"/>
  <c r="AQ90" i="2420" s="1"/>
  <c r="AR90" i="2420" s="1"/>
  <c r="V24" i="2420"/>
  <c r="AQ24" i="2420" s="1"/>
  <c r="AR24" i="2420" s="1"/>
  <c r="V21" i="2420"/>
  <c r="AQ21" i="2420" s="1"/>
  <c r="AR21" i="2420" s="1"/>
  <c r="V76" i="2420"/>
  <c r="AQ76" i="2420" s="1"/>
  <c r="AR76" i="2420" s="1"/>
  <c r="V58" i="2420"/>
  <c r="AQ58" i="2420" s="1"/>
  <c r="AR58" i="2420" s="1"/>
  <c r="V25" i="2420"/>
  <c r="V30" i="2420"/>
  <c r="AQ30" i="2420" s="1"/>
  <c r="AR30" i="2420" s="1"/>
  <c r="V96" i="2420"/>
  <c r="AQ96" i="2420" s="1"/>
  <c r="AR96" i="2420" s="1"/>
  <c r="V40" i="2420"/>
  <c r="AQ40" i="2420" s="1"/>
  <c r="AR40" i="2420" s="1"/>
  <c r="V83" i="2420"/>
  <c r="AQ83" i="2420" s="1"/>
  <c r="AR83" i="2420" s="1"/>
  <c r="V74" i="2420"/>
  <c r="AQ74" i="2420" s="1"/>
  <c r="AR74" i="2420" s="1"/>
  <c r="V42" i="2420"/>
  <c r="AQ42" i="2420" s="1"/>
  <c r="AR42" i="2420" s="1"/>
  <c r="V70" i="2420"/>
  <c r="AQ70" i="2420" s="1"/>
  <c r="AR70" i="2420" s="1"/>
  <c r="V59" i="2420"/>
  <c r="AQ59" i="2420" s="1"/>
  <c r="AR59" i="2420" s="1"/>
  <c r="V48" i="2420"/>
  <c r="AQ48" i="2420" s="1"/>
  <c r="AR48" i="2420" s="1"/>
  <c r="V37" i="2420"/>
  <c r="AQ37" i="2420" s="1"/>
  <c r="AR37" i="2420" s="1"/>
  <c r="V88" i="2420"/>
  <c r="AQ88" i="2420" s="1"/>
  <c r="AR88" i="2420" s="1"/>
  <c r="V46" i="2420"/>
  <c r="AQ46" i="2420" s="1"/>
  <c r="AR46" i="2420" s="1"/>
  <c r="V45" i="2420"/>
  <c r="AQ45" i="2420" s="1"/>
  <c r="AR45" i="2420" s="1"/>
  <c r="AT13" i="2420"/>
  <c r="V33" i="2420"/>
  <c r="AQ33" i="2420" s="1"/>
  <c r="AR33" i="2420" s="1"/>
  <c r="V87" i="2420"/>
  <c r="AQ87" i="2420" s="1"/>
  <c r="AR87" i="2420" s="1"/>
  <c r="V43" i="2420"/>
  <c r="AQ43" i="2420" s="1"/>
  <c r="AR43" i="2420" s="1"/>
  <c r="V52" i="2420"/>
  <c r="AQ52" i="2420" s="1"/>
  <c r="AR52" i="2420" s="1"/>
  <c r="V84" i="2420"/>
  <c r="AQ84" i="2420" s="1"/>
  <c r="AR84" i="2420" s="1"/>
  <c r="V15" i="2420"/>
  <c r="AQ15" i="2420" s="1"/>
  <c r="AR15" i="2420" s="1"/>
  <c r="H22" i="2390" s="1"/>
  <c r="V85" i="2420"/>
  <c r="AQ85" i="2420" s="1"/>
  <c r="AR85" i="2420" s="1"/>
  <c r="V95" i="2420"/>
  <c r="AQ95" i="2420" s="1"/>
  <c r="AR95" i="2420" s="1"/>
  <c r="V27" i="2420"/>
  <c r="AQ27" i="2420" s="1"/>
  <c r="AR27" i="2420" s="1"/>
  <c r="V36" i="2420"/>
  <c r="AQ36" i="2420" s="1"/>
  <c r="AR36" i="2420" s="1"/>
  <c r="V44" i="2420"/>
  <c r="AQ44" i="2420" s="1"/>
  <c r="AR44" i="2420" s="1"/>
  <c r="V65" i="2420"/>
  <c r="AQ65" i="2420" s="1"/>
  <c r="AR65" i="2420" s="1"/>
  <c r="V100" i="2420"/>
  <c r="AQ100" i="2420" s="1"/>
  <c r="AR100" i="2420" s="1"/>
  <c r="V67" i="2420"/>
  <c r="AQ67" i="2420" s="1"/>
  <c r="AR67" i="2420" s="1"/>
  <c r="V69" i="2420"/>
  <c r="AQ69" i="2420" s="1"/>
  <c r="AR69" i="2420" s="1"/>
  <c r="V101" i="2420"/>
  <c r="AQ101" i="2420" s="1"/>
  <c r="AR101" i="2420" s="1"/>
  <c r="V61" i="2420"/>
  <c r="AQ61" i="2420" s="1"/>
  <c r="AR61" i="2420" s="1"/>
  <c r="V73" i="2420"/>
  <c r="AQ73" i="2420" s="1"/>
  <c r="AR73" i="2420" s="1"/>
  <c r="V56" i="2420"/>
  <c r="AQ56" i="2420" s="1"/>
  <c r="AR56" i="2420" s="1"/>
  <c r="V98" i="2420"/>
  <c r="AQ98" i="2420" s="1"/>
  <c r="AR98" i="2420" s="1"/>
  <c r="V55" i="2420"/>
  <c r="AQ55" i="2420" s="1"/>
  <c r="AR55" i="2420" s="1"/>
  <c r="V68" i="2420"/>
  <c r="AQ68" i="2420" s="1"/>
  <c r="AR68" i="2420" s="1"/>
  <c r="V17" i="2420"/>
  <c r="AQ17" i="2420" s="1"/>
  <c r="AR17" i="2420" s="1"/>
  <c r="V20" i="2420"/>
  <c r="AQ20" i="2420" s="1"/>
  <c r="AR20" i="2420" s="1"/>
  <c r="V72" i="2420"/>
  <c r="AQ72" i="2420" s="1"/>
  <c r="AR72" i="2420" s="1"/>
  <c r="V92" i="2420"/>
  <c r="AQ92" i="2420" s="1"/>
  <c r="AR92" i="2420" s="1"/>
  <c r="V91" i="2420"/>
  <c r="AQ91" i="2420" s="1"/>
  <c r="AR91" i="2420" s="1"/>
  <c r="V93" i="2420"/>
  <c r="AQ93" i="2420" s="1"/>
  <c r="AR93" i="2420" s="1"/>
  <c r="V94" i="2420"/>
  <c r="AQ94" i="2420" s="1"/>
  <c r="AR94" i="2420" s="1"/>
  <c r="V79" i="2420"/>
  <c r="AQ79" i="2420" s="1"/>
  <c r="AR79" i="2420" s="1"/>
  <c r="V26" i="2420"/>
  <c r="AQ26" i="2420" s="1"/>
  <c r="AR26" i="2420" s="1"/>
  <c r="V66" i="2420"/>
  <c r="AQ66" i="2420" s="1"/>
  <c r="AR66" i="2420" s="1"/>
  <c r="V18" i="2420"/>
  <c r="AQ18" i="2420" s="1"/>
  <c r="AR18" i="2420" s="1"/>
  <c r="V60" i="2420"/>
  <c r="AQ60" i="2420" s="1"/>
  <c r="AR60" i="2420" s="1"/>
  <c r="V75" i="2420"/>
  <c r="AQ75" i="2420" s="1"/>
  <c r="AR75" i="2420" s="1"/>
  <c r="V51" i="2420"/>
  <c r="AQ51" i="2420" s="1"/>
  <c r="AR51" i="2420" s="1"/>
  <c r="V81" i="2420"/>
  <c r="AQ81" i="2420" s="1"/>
  <c r="AR81" i="2420" s="1"/>
  <c r="V54" i="2420"/>
  <c r="AQ54" i="2420" s="1"/>
  <c r="AR54" i="2420" s="1"/>
  <c r="V104" i="2420"/>
  <c r="AQ104" i="2420" s="1"/>
  <c r="AR104" i="2420" s="1"/>
  <c r="V89" i="2420"/>
  <c r="AQ89" i="2420" s="1"/>
  <c r="AR89" i="2420" s="1"/>
  <c r="V50" i="2420"/>
  <c r="AQ50" i="2420" s="1"/>
  <c r="AR50" i="2420" s="1"/>
  <c r="V97" i="2420"/>
  <c r="AQ97" i="2420" s="1"/>
  <c r="AR97" i="2420" s="1"/>
  <c r="O13" i="2420"/>
  <c r="S13" i="2420" s="1"/>
  <c r="D20" i="2390" s="1"/>
  <c r="F19" i="2422"/>
  <c r="BT13" i="2420"/>
  <c r="AB13" i="2420"/>
  <c r="T18" i="2380" s="1"/>
  <c r="X45" i="2420"/>
  <c r="DH45" i="2420"/>
  <c r="X32" i="2420"/>
  <c r="DH32" i="2420"/>
  <c r="X20" i="2420"/>
  <c r="DH20" i="2420"/>
  <c r="X35" i="2420"/>
  <c r="X77" i="2420"/>
  <c r="DH77" i="2420"/>
  <c r="X18" i="2420"/>
  <c r="DH18" i="2420"/>
  <c r="DH63" i="2420"/>
  <c r="X63" i="2420"/>
  <c r="DH65" i="2420"/>
  <c r="X65" i="2420"/>
  <c r="X75" i="2420"/>
  <c r="DH75" i="2420"/>
  <c r="X86" i="2420"/>
  <c r="DH86" i="2420"/>
  <c r="X53" i="2420"/>
  <c r="DH53" i="2420"/>
  <c r="X29" i="2420"/>
  <c r="DH29" i="2420"/>
  <c r="X41" i="2420"/>
  <c r="DH41" i="2420"/>
  <c r="DH27" i="2420"/>
  <c r="X27" i="2420"/>
  <c r="DH90" i="2420"/>
  <c r="X90" i="2420"/>
  <c r="X43" i="2420"/>
  <c r="DH43" i="2420"/>
  <c r="DH89" i="2420"/>
  <c r="X89" i="2420"/>
  <c r="DH70" i="2420"/>
  <c r="X70" i="2420"/>
  <c r="DH61" i="2420"/>
  <c r="X61" i="2420"/>
  <c r="DH26" i="2420"/>
  <c r="X26" i="2420"/>
  <c r="X76" i="2420"/>
  <c r="DH76" i="2420"/>
  <c r="DH58" i="2420"/>
  <c r="X58" i="2420"/>
  <c r="X101" i="2420"/>
  <c r="DH101" i="2420"/>
  <c r="X33" i="2420"/>
  <c r="DH33" i="2420"/>
  <c r="X37" i="2420"/>
  <c r="DH37" i="2420"/>
  <c r="X39" i="2420"/>
  <c r="DH39" i="2420"/>
  <c r="DH54" i="2420"/>
  <c r="X69" i="2420"/>
  <c r="DH69" i="2420"/>
  <c r="DH28" i="2420"/>
  <c r="X28" i="2420"/>
  <c r="X22" i="2420"/>
  <c r="DH22" i="2420"/>
  <c r="X24" i="2420"/>
  <c r="DH24" i="2420"/>
  <c r="X67" i="2420"/>
  <c r="DH67" i="2420"/>
  <c r="X93" i="2420"/>
  <c r="DH93" i="2420"/>
  <c r="DH97" i="2420"/>
  <c r="X97" i="2420"/>
  <c r="X91" i="2420"/>
  <c r="DH91" i="2420"/>
  <c r="X82" i="2420"/>
  <c r="DH82" i="2420"/>
  <c r="X55" i="2420"/>
  <c r="DH55" i="2420"/>
  <c r="X40" i="2420"/>
  <c r="DH40" i="2420"/>
  <c r="X31" i="2420"/>
  <c r="DH31" i="2420"/>
  <c r="X57" i="2420"/>
  <c r="DH57" i="2420"/>
  <c r="DH16" i="2420"/>
  <c r="X16" i="2420"/>
  <c r="DH99" i="2420"/>
  <c r="X99" i="2420"/>
  <c r="DH83" i="2420"/>
  <c r="X83" i="2420"/>
  <c r="X98" i="2420"/>
  <c r="DH98" i="2420"/>
  <c r="DH71" i="2420"/>
  <c r="X71" i="2420"/>
  <c r="DH95" i="2420"/>
  <c r="X95" i="2420"/>
  <c r="X59" i="2420"/>
  <c r="DH59" i="2420"/>
  <c r="X23" i="2420"/>
  <c r="DH23" i="2420"/>
  <c r="X56" i="2420"/>
  <c r="DH56" i="2420"/>
  <c r="DH100" i="2420"/>
  <c r="X100" i="2420"/>
  <c r="X73" i="2420"/>
  <c r="DH73" i="2420"/>
  <c r="X30" i="2420"/>
  <c r="DH30" i="2420"/>
  <c r="DH36" i="2420"/>
  <c r="X36" i="2420"/>
  <c r="DH44" i="2420"/>
  <c r="X44" i="2420"/>
  <c r="DH52" i="2420"/>
  <c r="X52" i="2420"/>
  <c r="X104" i="2420"/>
  <c r="DH104" i="2420"/>
  <c r="DH50" i="2420"/>
  <c r="X50" i="2420"/>
  <c r="X72" i="2420"/>
  <c r="DH72" i="2420"/>
  <c r="X94" i="2420"/>
  <c r="DH94" i="2420"/>
  <c r="X88" i="2420"/>
  <c r="DH88" i="2420"/>
  <c r="DH47" i="2420"/>
  <c r="X47" i="2420"/>
  <c r="X34" i="2420"/>
  <c r="DH34" i="2420"/>
  <c r="X64" i="2420"/>
  <c r="DH64" i="2420"/>
  <c r="X102" i="2420"/>
  <c r="X78" i="2420"/>
  <c r="DH78" i="2420"/>
  <c r="X15" i="2420"/>
  <c r="DH15" i="2420"/>
  <c r="DH38" i="2420"/>
  <c r="X38" i="2420"/>
  <c r="X49" i="2420"/>
  <c r="DH49" i="2420"/>
  <c r="X79" i="2420"/>
  <c r="DH79" i="2420"/>
  <c r="X80" i="2420"/>
  <c r="DH80" i="2420"/>
  <c r="X25" i="2420"/>
  <c r="DH25" i="2420"/>
  <c r="DH84" i="2420"/>
  <c r="X84" i="2420"/>
  <c r="X60" i="2420"/>
  <c r="DH60" i="2420"/>
  <c r="X92" i="2420"/>
  <c r="DH92" i="2420"/>
  <c r="X87" i="2420"/>
  <c r="DH87" i="2420"/>
  <c r="DH68" i="2420"/>
  <c r="X68" i="2420"/>
  <c r="DH96" i="2420"/>
  <c r="X96" i="2420"/>
  <c r="X74" i="2420"/>
  <c r="DH74" i="2420"/>
  <c r="X62" i="2420"/>
  <c r="DH62" i="2420"/>
  <c r="DH48" i="2420"/>
  <c r="X48" i="2420"/>
  <c r="DH85" i="2420"/>
  <c r="X85" i="2420"/>
  <c r="X19" i="2420"/>
  <c r="DH19" i="2420"/>
  <c r="X81" i="2420"/>
  <c r="DH81" i="2420"/>
  <c r="X103" i="2420"/>
  <c r="DH103" i="2420"/>
  <c r="DH51" i="2420"/>
  <c r="X51" i="2420"/>
  <c r="X42" i="2420"/>
  <c r="DH42" i="2420"/>
  <c r="Z59" i="2420"/>
  <c r="G68" i="2421"/>
  <c r="S59" i="2420"/>
  <c r="G65" i="2422"/>
  <c r="S52" i="2420"/>
  <c r="G58" i="2422"/>
  <c r="G61" i="2421"/>
  <c r="G78" i="2421"/>
  <c r="S69" i="2420"/>
  <c r="G75" i="2422"/>
  <c r="S75" i="2420"/>
  <c r="G81" i="2422"/>
  <c r="G84" i="2421"/>
  <c r="S99" i="2420"/>
  <c r="G105" i="2422"/>
  <c r="G108" i="2421"/>
  <c r="G62" i="2421"/>
  <c r="S53" i="2420"/>
  <c r="G59" i="2422"/>
  <c r="Z93" i="2420"/>
  <c r="S93" i="2420"/>
  <c r="G99" i="2422"/>
  <c r="G102" i="2421"/>
  <c r="Z70" i="2420"/>
  <c r="S70" i="2420"/>
  <c r="G76" i="2422"/>
  <c r="G79" i="2421"/>
  <c r="Z33" i="2420"/>
  <c r="S33" i="2420"/>
  <c r="G39" i="2422"/>
  <c r="G42" i="2421"/>
  <c r="S20" i="2420"/>
  <c r="D27" i="2390" s="1"/>
  <c r="G26" i="2422"/>
  <c r="G29" i="2421"/>
  <c r="Z62" i="2420"/>
  <c r="S62" i="2420"/>
  <c r="G68" i="2422"/>
  <c r="G71" i="2421"/>
  <c r="Z54" i="2420"/>
  <c r="G60" i="2422"/>
  <c r="Z79" i="2420"/>
  <c r="G85" i="2422"/>
  <c r="G88" i="2421"/>
  <c r="S79" i="2420"/>
  <c r="G52" i="2422"/>
  <c r="Z81" i="2420"/>
  <c r="S81" i="2420"/>
  <c r="G87" i="2422"/>
  <c r="G90" i="2421"/>
  <c r="S29" i="2420"/>
  <c r="G35" i="2422"/>
  <c r="G38" i="2421"/>
  <c r="S51" i="2420"/>
  <c r="G57" i="2422"/>
  <c r="G60" i="2421"/>
  <c r="Z53" i="2420"/>
  <c r="G84" i="2422"/>
  <c r="G87" i="2421"/>
  <c r="S78" i="2420"/>
  <c r="S15" i="2420"/>
  <c r="D22" i="2390" s="1"/>
  <c r="G21" i="2422"/>
  <c r="G24" i="2421"/>
  <c r="S34" i="2420"/>
  <c r="G40" i="2422"/>
  <c r="G43" i="2421"/>
  <c r="G32" i="2422"/>
  <c r="G35" i="2421"/>
  <c r="S26" i="2420"/>
  <c r="D33" i="2390" s="1"/>
  <c r="S55" i="2420"/>
  <c r="G61" i="2422"/>
  <c r="G64" i="2421"/>
  <c r="S103" i="2420"/>
  <c r="G109" i="2422"/>
  <c r="G112" i="2421"/>
  <c r="Z68" i="2420"/>
  <c r="S68" i="2420"/>
  <c r="G74" i="2422"/>
  <c r="G77" i="2421"/>
  <c r="S86" i="2420"/>
  <c r="G92" i="2422"/>
  <c r="G95" i="2421"/>
  <c r="Z24" i="2420"/>
  <c r="S24" i="2420"/>
  <c r="D31" i="2390" s="1"/>
  <c r="G30" i="2422"/>
  <c r="G33" i="2421"/>
  <c r="S47" i="2420"/>
  <c r="G53" i="2422"/>
  <c r="G56" i="2421"/>
  <c r="G36" i="2422"/>
  <c r="G39" i="2421"/>
  <c r="S30" i="2420"/>
  <c r="G88" i="2422"/>
  <c r="G91" i="2421"/>
  <c r="S82" i="2420"/>
  <c r="G44" i="2421"/>
  <c r="S100" i="2420"/>
  <c r="G106" i="2422"/>
  <c r="G109" i="2421"/>
  <c r="S92" i="2420"/>
  <c r="G98" i="2422"/>
  <c r="G101" i="2421"/>
  <c r="Z86" i="2420"/>
  <c r="Z89" i="2420"/>
  <c r="S89" i="2420"/>
  <c r="G95" i="2422"/>
  <c r="G98" i="2421"/>
  <c r="Z101" i="2420"/>
  <c r="S101" i="2420"/>
  <c r="G107" i="2422"/>
  <c r="G110" i="2421"/>
  <c r="S50" i="2420"/>
  <c r="G56" i="2422"/>
  <c r="G59" i="2421"/>
  <c r="S41" i="2420"/>
  <c r="G47" i="2422"/>
  <c r="G50" i="2421"/>
  <c r="S27" i="2420"/>
  <c r="G33" i="2422"/>
  <c r="G36" i="2421"/>
  <c r="S98" i="2420"/>
  <c r="G104" i="2422"/>
  <c r="G107" i="2421"/>
  <c r="S95" i="2420"/>
  <c r="G101" i="2422"/>
  <c r="G104" i="2421"/>
  <c r="S97" i="2420"/>
  <c r="G103" i="2422"/>
  <c r="G106" i="2421"/>
  <c r="G44" i="2422"/>
  <c r="G47" i="2421"/>
  <c r="S38" i="2420"/>
  <c r="S96" i="2420"/>
  <c r="G102" i="2422"/>
  <c r="G105" i="2421"/>
  <c r="G86" i="2421"/>
  <c r="S77" i="2420"/>
  <c r="G83" i="2422"/>
  <c r="S73" i="2420"/>
  <c r="G79" i="2422"/>
  <c r="G82" i="2421"/>
  <c r="S37" i="2420"/>
  <c r="G43" i="2422"/>
  <c r="G46" i="2421"/>
  <c r="G27" i="2421"/>
  <c r="S18" i="2420"/>
  <c r="D25" i="2390" s="1"/>
  <c r="G24" i="2422"/>
  <c r="S63" i="2420"/>
  <c r="G69" i="2422"/>
  <c r="G72" i="2421"/>
  <c r="Z65" i="2420"/>
  <c r="S65" i="2420"/>
  <c r="G71" i="2422"/>
  <c r="G74" i="2421"/>
  <c r="G110" i="2422"/>
  <c r="G113" i="2421"/>
  <c r="S104" i="2420"/>
  <c r="Z100" i="2420"/>
  <c r="G37" i="2421"/>
  <c r="S28" i="2420"/>
  <c r="G34" i="2422"/>
  <c r="S72" i="2420"/>
  <c r="G78" i="2422"/>
  <c r="G81" i="2421"/>
  <c r="Z94" i="2420"/>
  <c r="G100" i="2422"/>
  <c r="G103" i="2421"/>
  <c r="S94" i="2420"/>
  <c r="Z72" i="2420"/>
  <c r="Z75" i="2420"/>
  <c r="S90" i="2420"/>
  <c r="G96" i="2422"/>
  <c r="G99" i="2421"/>
  <c r="Z102" i="2420"/>
  <c r="S102" i="2420"/>
  <c r="G108" i="2422"/>
  <c r="G111" i="2421"/>
  <c r="S61" i="2420"/>
  <c r="G67" i="2422"/>
  <c r="G70" i="2421"/>
  <c r="Z74" i="2420"/>
  <c r="S74" i="2420"/>
  <c r="G80" i="2422"/>
  <c r="G83" i="2421"/>
  <c r="S58" i="2420"/>
  <c r="G64" i="2422"/>
  <c r="G67" i="2421"/>
  <c r="Z103" i="2420"/>
  <c r="G49" i="2421"/>
  <c r="S40" i="2420"/>
  <c r="G46" i="2422"/>
  <c r="S25" i="2420"/>
  <c r="D32" i="2390" s="1"/>
  <c r="G31" i="2422"/>
  <c r="G34" i="2421"/>
  <c r="Z84" i="2420"/>
  <c r="G93" i="2421"/>
  <c r="S84" i="2420"/>
  <c r="G90" i="2422"/>
  <c r="S60" i="2420"/>
  <c r="G66" i="2422"/>
  <c r="G69" i="2421"/>
  <c r="S23" i="2420"/>
  <c r="D30" i="2390" s="1"/>
  <c r="G29" i="2422"/>
  <c r="G32" i="2421"/>
  <c r="Z64" i="2420"/>
  <c r="S64" i="2420"/>
  <c r="G70" i="2422"/>
  <c r="G73" i="2421"/>
  <c r="Z44" i="2420"/>
  <c r="S44" i="2420"/>
  <c r="G50" i="2422"/>
  <c r="G53" i="2421"/>
  <c r="Z40" i="2420"/>
  <c r="S85" i="2420"/>
  <c r="G91" i="2422"/>
  <c r="G94" i="2421"/>
  <c r="Z57" i="2420"/>
  <c r="G63" i="2422"/>
  <c r="G66" i="2421"/>
  <c r="S57" i="2420"/>
  <c r="Z30" i="2420"/>
  <c r="S71" i="2420"/>
  <c r="G77" i="2422"/>
  <c r="G80" i="2421"/>
  <c r="Z69" i="2420"/>
  <c r="Z43" i="2420"/>
  <c r="S43" i="2420"/>
  <c r="G49" i="2422"/>
  <c r="G52" i="2421"/>
  <c r="S91" i="2420"/>
  <c r="G97" i="2422"/>
  <c r="G100" i="2421"/>
  <c r="Z49" i="2420"/>
  <c r="S49" i="2420"/>
  <c r="G55" i="2422"/>
  <c r="G58" i="2421"/>
  <c r="S17" i="2420"/>
  <c r="D24" i="2390" s="1"/>
  <c r="G23" i="2422"/>
  <c r="G26" i="2421"/>
  <c r="Z31" i="2420"/>
  <c r="S31" i="2420"/>
  <c r="G37" i="2422"/>
  <c r="G40" i="2421"/>
  <c r="S87" i="2420"/>
  <c r="G93" i="2422"/>
  <c r="G96" i="2421"/>
  <c r="S48" i="2420"/>
  <c r="G54" i="2422"/>
  <c r="G57" i="2421"/>
  <c r="Z19" i="2420"/>
  <c r="S19" i="2420"/>
  <c r="D26" i="2390" s="1"/>
  <c r="G25" i="2422"/>
  <c r="G28" i="2421"/>
  <c r="Z92" i="2420"/>
  <c r="S22" i="2420"/>
  <c r="D29" i="2390" s="1"/>
  <c r="G28" i="2422"/>
  <c r="G31" i="2421"/>
  <c r="Z73" i="2420"/>
  <c r="S80" i="2420"/>
  <c r="G86" i="2422"/>
  <c r="G89" i="2421"/>
  <c r="Z83" i="2420"/>
  <c r="S83" i="2420"/>
  <c r="G89" i="2422"/>
  <c r="G92" i="2421"/>
  <c r="Z22" i="2420"/>
  <c r="Z52" i="2420"/>
  <c r="Z97" i="2420"/>
  <c r="S45" i="2420"/>
  <c r="G51" i="2422"/>
  <c r="G54" i="2421"/>
  <c r="Z32" i="2420"/>
  <c r="G62" i="2422"/>
  <c r="G65" i="2421"/>
  <c r="S56" i="2420"/>
  <c r="Z36" i="2420"/>
  <c r="S36" i="2420"/>
  <c r="G42" i="2422"/>
  <c r="G45" i="2421"/>
  <c r="Z55" i="2420"/>
  <c r="Z39" i="2420"/>
  <c r="G48" i="2421"/>
  <c r="S39" i="2420"/>
  <c r="G45" i="2422"/>
  <c r="G30" i="2421"/>
  <c r="S21" i="2420"/>
  <c r="D28" i="2390" s="1"/>
  <c r="G27" i="2422"/>
  <c r="S16" i="2420"/>
  <c r="D23" i="2390" s="1"/>
  <c r="G22" i="2422"/>
  <c r="G25" i="2421"/>
  <c r="Z63" i="2420"/>
  <c r="Z37" i="2420"/>
  <c r="Z88" i="2420"/>
  <c r="S88" i="2420"/>
  <c r="G94" i="2422"/>
  <c r="G97" i="2421"/>
  <c r="Z16" i="2420"/>
  <c r="Z35" i="2420"/>
  <c r="Z29" i="2420"/>
  <c r="G48" i="2422"/>
  <c r="G51" i="2421"/>
  <c r="S42" i="2420"/>
  <c r="Z98" i="2420"/>
  <c r="G82" i="2422"/>
  <c r="G85" i="2421"/>
  <c r="S76" i="2420"/>
  <c r="Z90" i="2420"/>
  <c r="BP40" i="2396"/>
  <c r="BP41" i="2396"/>
  <c r="BP42" i="2396"/>
  <c r="BP39" i="2396"/>
  <c r="F16" i="2407"/>
  <c r="D17" i="2407"/>
  <c r="F17" i="2407" s="1"/>
  <c r="AG23" i="2396"/>
  <c r="AG21" i="2396"/>
  <c r="NM63" i="2421" l="1"/>
  <c r="PF63" i="2421"/>
  <c r="Z67" i="2420"/>
  <c r="G76" i="2421"/>
  <c r="DH66" i="2420"/>
  <c r="G73" i="2422"/>
  <c r="BY63" i="2421"/>
  <c r="G75" i="2421"/>
  <c r="S32" i="2420"/>
  <c r="DH46" i="2420"/>
  <c r="S66" i="2420"/>
  <c r="G38" i="2422"/>
  <c r="G55" i="2421"/>
  <c r="BY75" i="2421"/>
  <c r="S35" i="2420"/>
  <c r="NM111" i="2421"/>
  <c r="PF111" i="2421"/>
  <c r="S46" i="2420"/>
  <c r="G72" i="2422"/>
  <c r="DH17" i="2420"/>
  <c r="EV44" i="2421"/>
  <c r="NM44" i="2421"/>
  <c r="S54" i="2420"/>
  <c r="DH21" i="2420"/>
  <c r="BY20" i="2421"/>
  <c r="NM20" i="2421"/>
  <c r="U30" i="2390"/>
  <c r="V30" i="2390"/>
  <c r="I33" i="2390"/>
  <c r="V33" i="2390"/>
  <c r="U33" i="2390"/>
  <c r="N23" i="2390"/>
  <c r="V23" i="2390"/>
  <c r="U23" i="2390"/>
  <c r="V20" i="2390"/>
  <c r="U20" i="2390"/>
  <c r="V31" i="2390"/>
  <c r="U31" i="2390"/>
  <c r="T16" i="2380"/>
  <c r="X11" i="2420" s="1"/>
  <c r="EV20" i="2421"/>
  <c r="L23" i="2390"/>
  <c r="M23" i="2390"/>
  <c r="P23" i="2390"/>
  <c r="I23" i="2390"/>
  <c r="EV28" i="2421"/>
  <c r="Q23" i="2390"/>
  <c r="J23" i="2390"/>
  <c r="NM28" i="2421"/>
  <c r="O23" i="2390"/>
  <c r="T23" i="2390"/>
  <c r="PF28" i="2421"/>
  <c r="H23" i="2390"/>
  <c r="K23" i="2390"/>
  <c r="R23" i="2390"/>
  <c r="Y23" i="2390"/>
  <c r="EV30" i="2421"/>
  <c r="NM30" i="2421"/>
  <c r="PF30" i="2421"/>
  <c r="G32" i="2390"/>
  <c r="W26" i="2420"/>
  <c r="V16" i="2420"/>
  <c r="AQ16" i="2420" s="1"/>
  <c r="AR16" i="2420" s="1"/>
  <c r="V12" i="2420"/>
  <c r="W13" i="2420"/>
  <c r="S11" i="2420"/>
  <c r="D18" i="2390" s="1"/>
  <c r="G20" i="2422"/>
  <c r="G20" i="2421"/>
  <c r="G17" i="2422"/>
  <c r="S14" i="2420"/>
  <c r="D21" i="2390" s="1"/>
  <c r="G23" i="2421"/>
  <c r="H33" i="2390"/>
  <c r="N33" i="2390"/>
  <c r="G19" i="2421"/>
  <c r="G21" i="2390"/>
  <c r="V14" i="2420"/>
  <c r="AQ14" i="2420" s="1"/>
  <c r="AR14" i="2420" s="1"/>
  <c r="DH14" i="2420"/>
  <c r="J33" i="2390"/>
  <c r="X13" i="2420"/>
  <c r="X10" i="2420"/>
  <c r="W12" i="2420"/>
  <c r="K33" i="2390"/>
  <c r="AQ23" i="2420"/>
  <c r="AR23" i="2420" s="1"/>
  <c r="G18" i="2390"/>
  <c r="V11" i="2420"/>
  <c r="AQ11" i="2420" s="1"/>
  <c r="AR11" i="2420" s="1"/>
  <c r="V10" i="2420"/>
  <c r="W25" i="2420"/>
  <c r="AQ25" i="2420" s="1"/>
  <c r="AR25" i="2420" s="1"/>
  <c r="I20" i="2390"/>
  <c r="N20" i="2390"/>
  <c r="K20" i="2390"/>
  <c r="J20" i="2390"/>
  <c r="I31" i="2390"/>
  <c r="H31" i="2390"/>
  <c r="N31" i="2390"/>
  <c r="K31" i="2390"/>
  <c r="J31" i="2390"/>
  <c r="G19" i="2390"/>
  <c r="G17" i="2390"/>
  <c r="N30" i="2390"/>
  <c r="I30" i="2390"/>
  <c r="J30" i="2390"/>
  <c r="K30" i="2390"/>
  <c r="H30" i="2390"/>
  <c r="NM23" i="2421"/>
  <c r="BY23" i="2421"/>
  <c r="EV23" i="2421"/>
  <c r="Z10" i="2420"/>
  <c r="G16" i="2422"/>
  <c r="W10" i="2420"/>
  <c r="BQ70" i="2420"/>
  <c r="BQ22" i="2420"/>
  <c r="J27" i="2406" s="1"/>
  <c r="BQ33" i="2420"/>
  <c r="BY19" i="2421"/>
  <c r="BQ61" i="2420"/>
  <c r="AS71" i="2420"/>
  <c r="EV19" i="2421"/>
  <c r="NM19" i="2421"/>
  <c r="BQ95" i="2420"/>
  <c r="BQ101" i="2420"/>
  <c r="BQ100" i="2420"/>
  <c r="BQ40" i="2420"/>
  <c r="BQ28" i="2420"/>
  <c r="BQ21" i="2420"/>
  <c r="J26" i="2406" s="1"/>
  <c r="BQ23" i="2420"/>
  <c r="J28" i="2406" s="1"/>
  <c r="G18" i="2422"/>
  <c r="G21" i="2421"/>
  <c r="S12" i="2420"/>
  <c r="D19" i="2390" s="1"/>
  <c r="BQ30" i="2420"/>
  <c r="BQ32" i="2420"/>
  <c r="BQ99" i="2420"/>
  <c r="BQ51" i="2420"/>
  <c r="BQ86" i="2420"/>
  <c r="BQ59" i="2420"/>
  <c r="BQ66" i="2420"/>
  <c r="BQ96" i="2420"/>
  <c r="G22" i="2421"/>
  <c r="BQ20" i="2420"/>
  <c r="J25" i="2406" s="1"/>
  <c r="G19" i="2422"/>
  <c r="BQ36" i="2420"/>
  <c r="BQ38" i="2420"/>
  <c r="BQ79" i="2420"/>
  <c r="BQ78" i="2420"/>
  <c r="AS63" i="2420"/>
  <c r="PF21" i="2421"/>
  <c r="NM21" i="2421"/>
  <c r="EV21" i="2421"/>
  <c r="BY21" i="2421"/>
  <c r="Z13" i="2420"/>
  <c r="BQ67" i="2420"/>
  <c r="PF22" i="2421"/>
  <c r="NM22" i="2421"/>
  <c r="EV22" i="2421"/>
  <c r="BY22" i="2421"/>
  <c r="BQ19" i="2420"/>
  <c r="J24" i="2406" s="1"/>
  <c r="BQ82" i="2420"/>
  <c r="BQ98" i="2420"/>
  <c r="BQ15" i="2420"/>
  <c r="J20" i="2406" s="1"/>
  <c r="AS103" i="2420"/>
  <c r="BQ74" i="2420"/>
  <c r="AS31" i="2420"/>
  <c r="BQ76" i="2420"/>
  <c r="BQ84" i="2420"/>
  <c r="BQ64" i="2420"/>
  <c r="BQ65" i="2420"/>
  <c r="BQ52" i="2420"/>
  <c r="BQ17" i="2420"/>
  <c r="J22" i="2406" s="1"/>
  <c r="BQ60" i="2420"/>
  <c r="BQ97" i="2420"/>
  <c r="BQ46" i="2420"/>
  <c r="BQ90" i="2420"/>
  <c r="BQ83" i="2420"/>
  <c r="BQ44" i="2420"/>
  <c r="BQ50" i="2420"/>
  <c r="BQ45" i="2420"/>
  <c r="AS33" i="2420"/>
  <c r="BQ58" i="2420"/>
  <c r="BQ47" i="2420"/>
  <c r="AS74" i="2420"/>
  <c r="BQ43" i="2420"/>
  <c r="V13" i="2420"/>
  <c r="BQ48" i="2420"/>
  <c r="BQ55" i="2420"/>
  <c r="AS88" i="2420"/>
  <c r="BQ92" i="2420"/>
  <c r="BQ87" i="2420"/>
  <c r="BQ53" i="2420"/>
  <c r="BQ88" i="2420"/>
  <c r="BQ39" i="2420"/>
  <c r="BQ27" i="2420"/>
  <c r="BQ69" i="2420"/>
  <c r="BQ81" i="2420"/>
  <c r="BQ72" i="2420"/>
  <c r="AS34" i="2420"/>
  <c r="BQ75" i="2420"/>
  <c r="BQ102" i="2420"/>
  <c r="BQ18" i="2420"/>
  <c r="J23" i="2406" s="1"/>
  <c r="BQ35" i="2420"/>
  <c r="AS65" i="2420"/>
  <c r="AS45" i="2420"/>
  <c r="BQ85" i="2420"/>
  <c r="BQ25" i="2420"/>
  <c r="J30" i="2406" s="1"/>
  <c r="AS93" i="2420"/>
  <c r="AS25" i="2420"/>
  <c r="AS29" i="2420"/>
  <c r="BQ89" i="2420"/>
  <c r="AS22" i="2420"/>
  <c r="BQ29" i="2420"/>
  <c r="AS48" i="2420"/>
  <c r="AS23" i="2420"/>
  <c r="M30" i="2390" s="1"/>
  <c r="BQ56" i="2420"/>
  <c r="BQ80" i="2420"/>
  <c r="BQ24" i="2420"/>
  <c r="J29" i="2406" s="1"/>
  <c r="AS46" i="2420"/>
  <c r="AS32" i="2420"/>
  <c r="BQ104" i="2420"/>
  <c r="BQ93" i="2420"/>
  <c r="AS50" i="2420"/>
  <c r="AS92" i="2420"/>
  <c r="AS52" i="2420"/>
  <c r="AS82" i="2420"/>
  <c r="AS39" i="2420"/>
  <c r="AS56" i="2420"/>
  <c r="AS83" i="2420"/>
  <c r="BQ94" i="2420"/>
  <c r="BQ54" i="2420"/>
  <c r="AS79" i="2420"/>
  <c r="AS59" i="2420"/>
  <c r="AS64" i="2420"/>
  <c r="AS17" i="2420"/>
  <c r="AS95" i="2420"/>
  <c r="AS102" i="2420"/>
  <c r="AS78" i="2420"/>
  <c r="AS61" i="2420"/>
  <c r="AS70" i="2420"/>
  <c r="AS81" i="2420"/>
  <c r="AS86" i="2420"/>
  <c r="AS99" i="2420"/>
  <c r="AS55" i="2420"/>
  <c r="AS38" i="2420"/>
  <c r="AS66" i="2420"/>
  <c r="AS20" i="2420"/>
  <c r="AS69" i="2420"/>
  <c r="AS47" i="2420"/>
  <c r="BQ73" i="2420"/>
  <c r="BQ42" i="2420"/>
  <c r="AS26" i="2420"/>
  <c r="M33" i="2390" s="1"/>
  <c r="AS91" i="2420"/>
  <c r="AS68" i="2420"/>
  <c r="AS73" i="2420"/>
  <c r="AS67" i="2420"/>
  <c r="AS100" i="2420"/>
  <c r="AS37" i="2420"/>
  <c r="AS42" i="2420"/>
  <c r="AS62" i="2420"/>
  <c r="AS41" i="2420"/>
  <c r="AS77" i="2420"/>
  <c r="AS49" i="2420"/>
  <c r="AS57" i="2420"/>
  <c r="BQ37" i="2420"/>
  <c r="BQ91" i="2420"/>
  <c r="AS89" i="2420"/>
  <c r="AS51" i="2420"/>
  <c r="AS44" i="2420"/>
  <c r="AS85" i="2420"/>
  <c r="AS43" i="2420"/>
  <c r="AS40" i="2420"/>
  <c r="AS58" i="2420"/>
  <c r="AS21" i="2420"/>
  <c r="AS28" i="2420"/>
  <c r="BQ68" i="2420"/>
  <c r="BQ57" i="2420"/>
  <c r="BQ26" i="2420"/>
  <c r="J31" i="2406" s="1"/>
  <c r="BQ41" i="2420"/>
  <c r="AS104" i="2420"/>
  <c r="AS75" i="2420"/>
  <c r="AS36" i="2420"/>
  <c r="AS15" i="2420"/>
  <c r="M22" i="2390" s="1"/>
  <c r="AS87" i="2420"/>
  <c r="AS96" i="2420"/>
  <c r="AS76" i="2420"/>
  <c r="AS24" i="2420"/>
  <c r="M31" i="2390" s="1"/>
  <c r="AS19" i="2420"/>
  <c r="AS80" i="2420"/>
  <c r="AS18" i="2420"/>
  <c r="AS94" i="2420"/>
  <c r="AS72" i="2420"/>
  <c r="AS98" i="2420"/>
  <c r="AS101" i="2420"/>
  <c r="BQ77" i="2420"/>
  <c r="AS97" i="2420"/>
  <c r="AS54" i="2420"/>
  <c r="AS60" i="2420"/>
  <c r="AS27" i="2420"/>
  <c r="AS84" i="2420"/>
  <c r="AS30" i="2420"/>
  <c r="AS35" i="2420"/>
  <c r="AS90" i="2420"/>
  <c r="AS53" i="2420"/>
  <c r="BQ49" i="2420"/>
  <c r="BQ62" i="2420"/>
  <c r="DH12" i="2420"/>
  <c r="X12" i="2420"/>
  <c r="BQ34" i="2420"/>
  <c r="BQ103" i="2420"/>
  <c r="BQ71" i="2420"/>
  <c r="BQ63" i="2420"/>
  <c r="BQ31" i="2420"/>
  <c r="DJ5" i="2420"/>
  <c r="DK5" i="2420"/>
  <c r="DL5" i="2420"/>
  <c r="DJ6" i="2420"/>
  <c r="DK6" i="2420"/>
  <c r="DL6" i="2420"/>
  <c r="DK7" i="2420"/>
  <c r="DL7" i="2420"/>
  <c r="DK8" i="2420"/>
  <c r="DL8" i="2420"/>
  <c r="DK9" i="2420"/>
  <c r="DL9" i="2420"/>
  <c r="J18" i="2390" l="1"/>
  <c r="U18" i="2390"/>
  <c r="V18" i="2390"/>
  <c r="I21" i="2390"/>
  <c r="V17" i="2390"/>
  <c r="U17" i="2390"/>
  <c r="U19" i="2390"/>
  <c r="V19" i="2390"/>
  <c r="N32" i="2390"/>
  <c r="V32" i="2390"/>
  <c r="U32" i="2390"/>
  <c r="DH11" i="2420"/>
  <c r="BQ16" i="2420"/>
  <c r="J21" i="2406" s="1"/>
  <c r="M32" i="2390"/>
  <c r="J32" i="2390"/>
  <c r="I32" i="2390"/>
  <c r="H32" i="2390"/>
  <c r="K32" i="2390"/>
  <c r="AS16" i="2420"/>
  <c r="BQ12" i="2420"/>
  <c r="J17" i="2406" s="1"/>
  <c r="AS12" i="2420"/>
  <c r="AQ12" i="2420"/>
  <c r="AR12" i="2420" s="1"/>
  <c r="X14" i="2420"/>
  <c r="K21" i="2390"/>
  <c r="DH10" i="2420"/>
  <c r="BQ13" i="2420"/>
  <c r="J18" i="2406" s="1"/>
  <c r="J21" i="2390"/>
  <c r="DH13" i="2420"/>
  <c r="H21" i="2390"/>
  <c r="N21" i="2390"/>
  <c r="K18" i="2390"/>
  <c r="N18" i="2390"/>
  <c r="H18" i="2390"/>
  <c r="I18" i="2390"/>
  <c r="AQ10" i="2420"/>
  <c r="AR10" i="2420" s="1"/>
  <c r="H17" i="2390" s="1"/>
  <c r="AS10" i="2420"/>
  <c r="W14" i="2420"/>
  <c r="W11" i="2420"/>
  <c r="K17" i="2390"/>
  <c r="N17" i="2390"/>
  <c r="M17" i="2390"/>
  <c r="I17" i="2390"/>
  <c r="J17" i="2390"/>
  <c r="H19" i="2390"/>
  <c r="I19" i="2390"/>
  <c r="J19" i="2390"/>
  <c r="K19" i="2390"/>
  <c r="N19" i="2390"/>
  <c r="M19" i="2390"/>
  <c r="BQ14" i="2420"/>
  <c r="J19" i="2406" s="1"/>
  <c r="AS14" i="2420"/>
  <c r="M21" i="2390" s="1"/>
  <c r="AQ13" i="2420"/>
  <c r="AR13" i="2420" s="1"/>
  <c r="H20" i="2390" s="1"/>
  <c r="AS13" i="2420"/>
  <c r="M20" i="2390" s="1"/>
  <c r="BQ10" i="2420"/>
  <c r="J15" i="2406" s="1"/>
  <c r="AS11" i="2420"/>
  <c r="M18" i="2390" s="1"/>
  <c r="BQ11" i="2420"/>
  <c r="J16" i="2406" s="1"/>
  <c r="L127" i="2420" l="1"/>
  <c r="C8" i="2420" l="1"/>
  <c r="D6" i="2420"/>
  <c r="A6" i="2420"/>
  <c r="D7" i="2420"/>
  <c r="D8" i="2420"/>
  <c r="D9" i="2420"/>
  <c r="D5" i="2420"/>
  <c r="C6" i="2420"/>
  <c r="E6" i="2420" s="1"/>
  <c r="F6" i="2420" s="1"/>
  <c r="C7" i="2420"/>
  <c r="C9" i="2420"/>
  <c r="C5" i="2420"/>
  <c r="A7" i="2420"/>
  <c r="A8" i="2420"/>
  <c r="A9" i="2420"/>
  <c r="A5" i="2420"/>
  <c r="CY5" i="2420"/>
  <c r="CW5" i="2420"/>
  <c r="E7" i="2420" l="1"/>
  <c r="F7" i="2420" s="1"/>
  <c r="J12" i="2380" s="1"/>
  <c r="E5" i="2420"/>
  <c r="F5" i="2420" s="1"/>
  <c r="E9" i="2420"/>
  <c r="E8" i="2420"/>
  <c r="CZ5" i="2420"/>
  <c r="DI7" i="2420"/>
  <c r="DJ7" i="2420"/>
  <c r="DI9" i="2420"/>
  <c r="DJ9" i="2420"/>
  <c r="DI8" i="2420" l="1"/>
  <c r="DJ8" i="2420"/>
  <c r="DI6" i="2420" l="1"/>
  <c r="DI5" i="2420"/>
  <c r="B6" i="2420" l="1"/>
  <c r="B7" i="2420"/>
  <c r="B8" i="2420"/>
  <c r="B9" i="2420"/>
  <c r="B5" i="2420"/>
  <c r="AX6" i="2420"/>
  <c r="AX7" i="2420"/>
  <c r="AX8" i="2420"/>
  <c r="AX9" i="2420"/>
  <c r="AX5" i="2420"/>
  <c r="L6" i="2420"/>
  <c r="L7" i="2420"/>
  <c r="B13" i="2422" s="1"/>
  <c r="L8" i="2420"/>
  <c r="B17" i="2421" s="1"/>
  <c r="L9" i="2420"/>
  <c r="B18" i="2421" s="1"/>
  <c r="L5" i="2420"/>
  <c r="A19" i="2342"/>
  <c r="A20" i="2342"/>
  <c r="A21" i="2342"/>
  <c r="A22" i="2342"/>
  <c r="A23" i="2342"/>
  <c r="A24" i="2342"/>
  <c r="A25" i="2342"/>
  <c r="A8" i="2342"/>
  <c r="F8" i="2420" l="1"/>
  <c r="J13" i="2380" s="1"/>
  <c r="OX17" i="2421"/>
  <c r="NE17" i="2421"/>
  <c r="EN17" i="2421"/>
  <c r="BB17" i="2421"/>
  <c r="BQ17" i="2421"/>
  <c r="OX18" i="2421"/>
  <c r="NE18" i="2421"/>
  <c r="EN18" i="2421"/>
  <c r="BQ18" i="2421"/>
  <c r="BB18" i="2421"/>
  <c r="DB5" i="2420"/>
  <c r="I29" i="2388"/>
  <c r="I28" i="2388"/>
  <c r="I27" i="2388"/>
  <c r="DB6" i="2420"/>
  <c r="B11" i="2422"/>
  <c r="B12" i="2422"/>
  <c r="B14" i="2421"/>
  <c r="B16" i="2421"/>
  <c r="B15" i="2422"/>
  <c r="B15" i="2421"/>
  <c r="B14" i="2422"/>
  <c r="OX16" i="2421" l="1"/>
  <c r="NE16" i="2421"/>
  <c r="EN16" i="2421"/>
  <c r="BQ16" i="2421"/>
  <c r="BB16" i="2421"/>
  <c r="OX15" i="2421"/>
  <c r="BB15" i="2421"/>
  <c r="BQ15" i="2421"/>
  <c r="NE15" i="2421"/>
  <c r="EN15" i="2421"/>
  <c r="BQ14" i="2421"/>
  <c r="OX14" i="2421"/>
  <c r="NE14" i="2421"/>
  <c r="EN14" i="2421"/>
  <c r="BB14" i="2421"/>
  <c r="I25" i="2388"/>
  <c r="I26" i="2388"/>
  <c r="DB7" i="2420"/>
  <c r="DB8" i="2420"/>
  <c r="DB9" i="2420"/>
  <c r="M19" i="2402"/>
  <c r="AJ15" i="2421"/>
  <c r="AM15" i="2421" s="1"/>
  <c r="AJ16" i="2421"/>
  <c r="AM16" i="2421" s="1"/>
  <c r="AJ17" i="2421"/>
  <c r="AM17" i="2421" s="1"/>
  <c r="AJ18" i="2421"/>
  <c r="AM18" i="2421" s="1"/>
  <c r="AK115" i="2421" l="1"/>
  <c r="DF9" i="2420"/>
  <c r="DE9" i="2420"/>
  <c r="DA9" i="2420"/>
  <c r="CZ9" i="2420"/>
  <c r="CY9" i="2420"/>
  <c r="CW9" i="2420"/>
  <c r="CX9" i="2420"/>
  <c r="DF8" i="2420"/>
  <c r="DE8" i="2420"/>
  <c r="CZ8" i="2420"/>
  <c r="CY8" i="2420"/>
  <c r="CW8" i="2420"/>
  <c r="CX8" i="2420"/>
  <c r="DF7" i="2420"/>
  <c r="DE7" i="2420"/>
  <c r="DA7" i="2420"/>
  <c r="CZ7" i="2420"/>
  <c r="CY7" i="2420"/>
  <c r="CW7" i="2420"/>
  <c r="CX7" i="2420"/>
  <c r="DF6" i="2420"/>
  <c r="DE6" i="2420"/>
  <c r="DA6" i="2420"/>
  <c r="CZ6" i="2420"/>
  <c r="CY6" i="2420"/>
  <c r="CW6" i="2420"/>
  <c r="CX6" i="2420"/>
  <c r="DF5" i="2420"/>
  <c r="DE5" i="2420"/>
  <c r="DB107" i="2420"/>
  <c r="DA5" i="2420"/>
  <c r="CX5" i="2420"/>
  <c r="AK124" i="2421" l="1"/>
  <c r="AL124" i="2421" s="1"/>
  <c r="CY107" i="2420"/>
  <c r="DF107" i="2420"/>
  <c r="CZ107" i="2420"/>
  <c r="CX107" i="2420"/>
  <c r="DA107" i="2420"/>
  <c r="CW107" i="2420"/>
  <c r="D9" i="2380" s="1"/>
  <c r="DE107" i="2420"/>
  <c r="C12" i="2390" l="1"/>
  <c r="C10" i="2406" s="1"/>
  <c r="U6" i="2420" l="1"/>
  <c r="U7" i="2420"/>
  <c r="U8" i="2420"/>
  <c r="U9" i="2420"/>
  <c r="U5" i="2420"/>
  <c r="Z17" i="2396" l="1"/>
  <c r="E9" i="2407"/>
  <c r="E10" i="2407"/>
  <c r="E11" i="2407"/>
  <c r="E12" i="2407"/>
  <c r="E13" i="2407"/>
  <c r="E8" i="2407"/>
  <c r="G8" i="2407"/>
  <c r="H8" i="2407"/>
  <c r="G9" i="2407"/>
  <c r="G10" i="2407"/>
  <c r="G11" i="2407"/>
  <c r="G13" i="2407"/>
  <c r="AA21" i="2396" l="1"/>
  <c r="X15" i="2345" s="1"/>
  <c r="Z21" i="2396"/>
  <c r="AA22" i="2396"/>
  <c r="X16" i="2345" s="1"/>
  <c r="Z22" i="2396"/>
  <c r="AA17" i="2396"/>
  <c r="X11" i="2345" s="1"/>
  <c r="P16" i="2345"/>
  <c r="P13" i="2345"/>
  <c r="P18" i="2345"/>
  <c r="R14" i="2345"/>
  <c r="P11" i="2345"/>
  <c r="R18" i="2345"/>
  <c r="R12" i="2345"/>
  <c r="BM22" i="2396" l="1"/>
  <c r="BQ22" i="2396" s="1"/>
  <c r="Q18" i="2345"/>
  <c r="U18" i="2345" s="1"/>
  <c r="Z23" i="2396"/>
  <c r="AA23" i="2396"/>
  <c r="X17" i="2345" s="1"/>
  <c r="AA24" i="2396"/>
  <c r="X18" i="2345" s="1"/>
  <c r="Z24" i="2396"/>
  <c r="Z20" i="2396"/>
  <c r="AA20" i="2396"/>
  <c r="X14" i="2345" s="1"/>
  <c r="Z18" i="2396"/>
  <c r="AA18" i="2396"/>
  <c r="X12" i="2345" s="1"/>
  <c r="Z19" i="2396"/>
  <c r="AA19" i="2396"/>
  <c r="X13" i="2345" s="1"/>
  <c r="BM17" i="2396"/>
  <c r="BM21" i="2396"/>
  <c r="W11" i="2345"/>
  <c r="W15" i="2345"/>
  <c r="W16" i="2345"/>
  <c r="Q16" i="2345"/>
  <c r="U16" i="2345" s="1"/>
  <c r="R16" i="2345"/>
  <c r="R13" i="2345"/>
  <c r="Q13" i="2345"/>
  <c r="U13" i="2345" s="1"/>
  <c r="P17" i="2345"/>
  <c r="Q17" i="2345"/>
  <c r="R17" i="2345"/>
  <c r="R11" i="2345"/>
  <c r="Q11" i="2345"/>
  <c r="U11" i="2345" s="1"/>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E15" i="2422"/>
  <c r="A15" i="2422"/>
  <c r="E14" i="2422"/>
  <c r="A14" i="2422"/>
  <c r="E13" i="2422"/>
  <c r="A13" i="2422"/>
  <c r="E12" i="2422"/>
  <c r="A12" i="2422"/>
  <c r="E11" i="2422"/>
  <c r="A11" i="2422"/>
  <c r="U119" i="2422" l="1"/>
  <c r="U118" i="2422"/>
  <c r="AJ5" i="2420"/>
  <c r="AJ6" i="2420"/>
  <c r="AJ10" i="2420"/>
  <c r="AJ8" i="2420"/>
  <c r="AJ7" i="2420"/>
  <c r="AJ11" i="2420"/>
  <c r="AJ22" i="2420"/>
  <c r="AJ25" i="2420"/>
  <c r="AJ14" i="2420"/>
  <c r="AJ17" i="2420"/>
  <c r="AJ20" i="2420"/>
  <c r="AJ21" i="2420"/>
  <c r="AJ24" i="2420"/>
  <c r="AJ16" i="2420"/>
  <c r="AJ9" i="2420"/>
  <c r="AJ19" i="2420"/>
  <c r="AJ12" i="2420"/>
  <c r="CI8" i="2420"/>
  <c r="CI16" i="2420"/>
  <c r="CI24" i="2420"/>
  <c r="CI32" i="2420"/>
  <c r="CI40" i="2420"/>
  <c r="CI48" i="2420"/>
  <c r="CI56" i="2420"/>
  <c r="CI64" i="2420"/>
  <c r="CI72" i="2420"/>
  <c r="CI80" i="2420"/>
  <c r="CI88" i="2420"/>
  <c r="CI96" i="2420"/>
  <c r="CI104" i="2420"/>
  <c r="CI9" i="2420"/>
  <c r="CI17" i="2420"/>
  <c r="CI25" i="2420"/>
  <c r="CI33" i="2420"/>
  <c r="CI41" i="2420"/>
  <c r="CI49" i="2420"/>
  <c r="CI57" i="2420"/>
  <c r="CI65" i="2420"/>
  <c r="CI73" i="2420"/>
  <c r="CI81" i="2420"/>
  <c r="CI89" i="2420"/>
  <c r="CI97" i="2420"/>
  <c r="CI5" i="2420"/>
  <c r="CI10" i="2420"/>
  <c r="CI18" i="2420"/>
  <c r="CI26" i="2420"/>
  <c r="CI34" i="2420"/>
  <c r="CI42" i="2420"/>
  <c r="CI50" i="2420"/>
  <c r="CI58" i="2420"/>
  <c r="CI66" i="2420"/>
  <c r="CI74" i="2420"/>
  <c r="CI82" i="2420"/>
  <c r="CI90" i="2420"/>
  <c r="CI98" i="2420"/>
  <c r="CI11" i="2420"/>
  <c r="CI19" i="2420"/>
  <c r="CI27" i="2420"/>
  <c r="CI35" i="2420"/>
  <c r="CI43" i="2420"/>
  <c r="CI51" i="2420"/>
  <c r="CI59" i="2420"/>
  <c r="CI67" i="2420"/>
  <c r="CI75" i="2420"/>
  <c r="CI83" i="2420"/>
  <c r="CI91" i="2420"/>
  <c r="CI99" i="2420"/>
  <c r="CI12" i="2420"/>
  <c r="CI20" i="2420"/>
  <c r="CI28" i="2420"/>
  <c r="CI36" i="2420"/>
  <c r="CI44" i="2420"/>
  <c r="CI52" i="2420"/>
  <c r="CI60" i="2420"/>
  <c r="CI68" i="2420"/>
  <c r="CI76" i="2420"/>
  <c r="CI84" i="2420"/>
  <c r="CI92" i="2420"/>
  <c r="CI100" i="2420"/>
  <c r="CI13" i="2420"/>
  <c r="CI21" i="2420"/>
  <c r="CI29" i="2420"/>
  <c r="CI37" i="2420"/>
  <c r="CI45" i="2420"/>
  <c r="CI53" i="2420"/>
  <c r="CI61" i="2420"/>
  <c r="CI69" i="2420"/>
  <c r="CI77" i="2420"/>
  <c r="CI85" i="2420"/>
  <c r="CI93" i="2420"/>
  <c r="CI101" i="2420"/>
  <c r="CI6" i="2420"/>
  <c r="CI14" i="2420"/>
  <c r="CI22" i="2420"/>
  <c r="CI30" i="2420"/>
  <c r="CI38" i="2420"/>
  <c r="CI46" i="2420"/>
  <c r="CI54" i="2420"/>
  <c r="CI62" i="2420"/>
  <c r="CI70" i="2420"/>
  <c r="CI78" i="2420"/>
  <c r="CI86" i="2420"/>
  <c r="CI94" i="2420"/>
  <c r="CI102" i="2420"/>
  <c r="CI7" i="2420"/>
  <c r="CI23" i="2420"/>
  <c r="CI31" i="2420"/>
  <c r="CI39" i="2420"/>
  <c r="CI47" i="2420"/>
  <c r="CI55" i="2420"/>
  <c r="CI63" i="2420"/>
  <c r="CI71" i="2420"/>
  <c r="CI79" i="2420"/>
  <c r="CI87" i="2420"/>
  <c r="CI95" i="2420"/>
  <c r="CI103" i="2420"/>
  <c r="AJ1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AJ27" i="2420"/>
  <c r="AJ35" i="2420"/>
  <c r="AJ43" i="2420"/>
  <c r="AJ51" i="2420"/>
  <c r="AJ59" i="2420"/>
  <c r="AJ67" i="2420"/>
  <c r="AJ75" i="2420"/>
  <c r="AJ83" i="2420"/>
  <c r="AJ91" i="2420"/>
  <c r="AJ99" i="2420"/>
  <c r="O109" i="2380"/>
  <c r="AJ104" i="2420" s="1"/>
  <c r="AJ28" i="2420"/>
  <c r="AJ36" i="2420"/>
  <c r="AJ44" i="2420"/>
  <c r="AJ52" i="2420"/>
  <c r="AJ60" i="2420"/>
  <c r="AJ68" i="2420"/>
  <c r="AJ76" i="2420"/>
  <c r="AJ84" i="2420"/>
  <c r="AJ92" i="2420"/>
  <c r="AJ100" i="2420"/>
  <c r="AJ97" i="2420"/>
  <c r="AJ29" i="2420"/>
  <c r="AJ37" i="2420"/>
  <c r="AJ45" i="2420"/>
  <c r="AJ53" i="2420"/>
  <c r="AJ61" i="2420"/>
  <c r="AJ69" i="2420"/>
  <c r="AJ77" i="2420"/>
  <c r="AJ85" i="2420"/>
  <c r="AJ93" i="2420"/>
  <c r="AJ101" i="2420"/>
  <c r="AJ30" i="2420"/>
  <c r="AJ38" i="2420"/>
  <c r="AJ46" i="2420"/>
  <c r="AJ54" i="2420"/>
  <c r="AJ62" i="2420"/>
  <c r="AJ70" i="2420"/>
  <c r="AJ78" i="2420"/>
  <c r="AJ86" i="2420"/>
  <c r="AJ94" i="2420"/>
  <c r="AJ102" i="2420"/>
  <c r="AJ23" i="2420"/>
  <c r="AJ31" i="2420"/>
  <c r="AJ39" i="2420"/>
  <c r="AJ47" i="2420"/>
  <c r="AJ55" i="2420"/>
  <c r="AJ63" i="2420"/>
  <c r="AJ71" i="2420"/>
  <c r="AJ79" i="2420"/>
  <c r="AJ87" i="2420"/>
  <c r="AJ95" i="2420"/>
  <c r="O108" i="2380"/>
  <c r="AJ103" i="2420" s="1"/>
  <c r="AJ32" i="2420"/>
  <c r="AJ40" i="2420"/>
  <c r="AJ48" i="2420"/>
  <c r="AJ56" i="2420"/>
  <c r="AJ64" i="2420"/>
  <c r="AJ72" i="2420"/>
  <c r="AJ80" i="2420"/>
  <c r="AJ88" i="2420"/>
  <c r="AJ96" i="2420"/>
  <c r="AJ33" i="2420"/>
  <c r="AJ41" i="2420"/>
  <c r="AJ49" i="2420"/>
  <c r="AJ57" i="2420"/>
  <c r="AJ65" i="2420"/>
  <c r="AJ73" i="2420"/>
  <c r="AJ81" i="2420"/>
  <c r="AJ89" i="2420"/>
  <c r="AJ18" i="2420"/>
  <c r="AJ26" i="2420"/>
  <c r="AJ34" i="2420"/>
  <c r="AJ42" i="2420"/>
  <c r="AJ50" i="2420"/>
  <c r="AJ58" i="2420"/>
  <c r="AJ66" i="2420"/>
  <c r="AJ74" i="2420"/>
  <c r="AJ82" i="2420"/>
  <c r="AJ90" i="2420"/>
  <c r="AJ98" i="2420"/>
  <c r="M19" i="2421"/>
  <c r="J16" i="2422" s="1"/>
  <c r="M27" i="2421"/>
  <c r="J24" i="2422" s="1"/>
  <c r="M35" i="2421"/>
  <c r="J32" i="2422" s="1"/>
  <c r="M43" i="2421"/>
  <c r="J40" i="2422" s="1"/>
  <c r="M51" i="2421"/>
  <c r="J48" i="2422" s="1"/>
  <c r="M59" i="2421"/>
  <c r="J56" i="2422" s="1"/>
  <c r="M67" i="2421"/>
  <c r="J64" i="2422" s="1"/>
  <c r="M75" i="2421"/>
  <c r="J72" i="2422" s="1"/>
  <c r="M83" i="2421"/>
  <c r="J80" i="2422" s="1"/>
  <c r="M91" i="2421"/>
  <c r="J88" i="2422" s="1"/>
  <c r="M99" i="2421"/>
  <c r="J96" i="2422" s="1"/>
  <c r="M107" i="2421"/>
  <c r="J104" i="2422" s="1"/>
  <c r="BP11" i="2420"/>
  <c r="AF16" i="2420"/>
  <c r="DO16" i="2420" s="1"/>
  <c r="BP19" i="2420"/>
  <c r="AG23" i="2420"/>
  <c r="AF24" i="2420"/>
  <c r="BP27" i="2420"/>
  <c r="AG31" i="2420"/>
  <c r="AF32" i="2420"/>
  <c r="DO32" i="2420" s="1"/>
  <c r="BP35" i="2420"/>
  <c r="AG39" i="2420"/>
  <c r="AF40" i="2420"/>
  <c r="BP43" i="2420"/>
  <c r="AG47" i="2420"/>
  <c r="AF48" i="2420"/>
  <c r="DO48" i="2420" s="1"/>
  <c r="BP51" i="2420"/>
  <c r="AG55" i="2420"/>
  <c r="AF56" i="2420"/>
  <c r="BP59" i="2420"/>
  <c r="AG63" i="2420"/>
  <c r="AF64" i="2420"/>
  <c r="DO64" i="2420" s="1"/>
  <c r="BP67" i="2420"/>
  <c r="AG71" i="2420"/>
  <c r="AF72" i="2420"/>
  <c r="BP75" i="2420"/>
  <c r="AG79" i="2420"/>
  <c r="AF80" i="2420"/>
  <c r="DO80" i="2420" s="1"/>
  <c r="BP83" i="2420"/>
  <c r="AG87" i="2420"/>
  <c r="AF88" i="2420"/>
  <c r="DO88" i="2420" s="1"/>
  <c r="BP91" i="2420"/>
  <c r="AG95" i="2420"/>
  <c r="AF96" i="2420"/>
  <c r="DO96" i="2420" s="1"/>
  <c r="BP99" i="2420"/>
  <c r="AG103" i="2420"/>
  <c r="AF104" i="2420"/>
  <c r="M20" i="2421"/>
  <c r="J17" i="2422" s="1"/>
  <c r="M28" i="2421"/>
  <c r="J25" i="2422" s="1"/>
  <c r="M36" i="2421"/>
  <c r="J33" i="2422" s="1"/>
  <c r="M44" i="2421"/>
  <c r="J41" i="2422" s="1"/>
  <c r="M52" i="2421"/>
  <c r="J49" i="2422" s="1"/>
  <c r="M60" i="2421"/>
  <c r="J57" i="2422" s="1"/>
  <c r="M68" i="2421"/>
  <c r="J65" i="2422" s="1"/>
  <c r="M76" i="2421"/>
  <c r="J73" i="2422" s="1"/>
  <c r="M84" i="2421"/>
  <c r="J81" i="2422" s="1"/>
  <c r="M92" i="2421"/>
  <c r="J89" i="2422" s="1"/>
  <c r="M100" i="2421"/>
  <c r="J97" i="2422" s="1"/>
  <c r="M108" i="2421"/>
  <c r="J105" i="2422" s="1"/>
  <c r="BP12" i="2420"/>
  <c r="AG16" i="2420"/>
  <c r="AF17" i="2420"/>
  <c r="DO17" i="2420" s="1"/>
  <c r="BP20" i="2420"/>
  <c r="AG24" i="2420"/>
  <c r="AF25" i="2420"/>
  <c r="DO25" i="2420" s="1"/>
  <c r="BP28" i="2420"/>
  <c r="AG32" i="2420"/>
  <c r="AF33" i="2420"/>
  <c r="BP36" i="2420"/>
  <c r="AG40" i="2420"/>
  <c r="AF41" i="2420"/>
  <c r="DO41" i="2420" s="1"/>
  <c r="BP44" i="2420"/>
  <c r="AG48" i="2420"/>
  <c r="AF49" i="2420"/>
  <c r="BP52" i="2420"/>
  <c r="AG56" i="2420"/>
  <c r="AF57" i="2420"/>
  <c r="DO57" i="2420" s="1"/>
  <c r="BP60" i="2420"/>
  <c r="AG64" i="2420"/>
  <c r="AF65" i="2420"/>
  <c r="BP68" i="2420"/>
  <c r="AG72" i="2420"/>
  <c r="AF73" i="2420"/>
  <c r="DO73" i="2420" s="1"/>
  <c r="BP76" i="2420"/>
  <c r="AG80" i="2420"/>
  <c r="AF81" i="2420"/>
  <c r="DO81" i="2420" s="1"/>
  <c r="BP84" i="2420"/>
  <c r="AG88" i="2420"/>
  <c r="AF89" i="2420"/>
  <c r="DO89" i="2420" s="1"/>
  <c r="BP92" i="2420"/>
  <c r="AG96" i="2420"/>
  <c r="AF97" i="2420"/>
  <c r="DO97" i="2420" s="1"/>
  <c r="BP100" i="2420"/>
  <c r="AG104" i="2420"/>
  <c r="M21" i="2421"/>
  <c r="J18" i="2422" s="1"/>
  <c r="M29" i="2421"/>
  <c r="J26" i="2422" s="1"/>
  <c r="M37" i="2421"/>
  <c r="J34" i="2422" s="1"/>
  <c r="M45" i="2421"/>
  <c r="J42" i="2422" s="1"/>
  <c r="M53" i="2421"/>
  <c r="J50" i="2422" s="1"/>
  <c r="M61" i="2421"/>
  <c r="J58" i="2422" s="1"/>
  <c r="M69" i="2421"/>
  <c r="J66" i="2422" s="1"/>
  <c r="M77" i="2421"/>
  <c r="J74" i="2422" s="1"/>
  <c r="M85" i="2421"/>
  <c r="J82" i="2422" s="1"/>
  <c r="M93" i="2421"/>
  <c r="J90" i="2422" s="1"/>
  <c r="M101" i="2421"/>
  <c r="J98" i="2422" s="1"/>
  <c r="M109" i="2421"/>
  <c r="J106" i="2422" s="1"/>
  <c r="AF10" i="2420"/>
  <c r="DO10" i="2420" s="1"/>
  <c r="BP13" i="2420"/>
  <c r="AG17" i="2420"/>
  <c r="AF18" i="2420"/>
  <c r="DO18" i="2420" s="1"/>
  <c r="BP21" i="2420"/>
  <c r="AG25" i="2420"/>
  <c r="AF26" i="2420"/>
  <c r="DO26" i="2420" s="1"/>
  <c r="BP29" i="2420"/>
  <c r="AG33" i="2420"/>
  <c r="AF34" i="2420"/>
  <c r="BP37" i="2420"/>
  <c r="AG41" i="2420"/>
  <c r="AF42" i="2420"/>
  <c r="BP45" i="2420"/>
  <c r="AG49" i="2420"/>
  <c r="AF50" i="2420"/>
  <c r="BP53" i="2420"/>
  <c r="AG57" i="2420"/>
  <c r="AF58" i="2420"/>
  <c r="DO58" i="2420" s="1"/>
  <c r="BP61" i="2420"/>
  <c r="AG65" i="2420"/>
  <c r="AF66" i="2420"/>
  <c r="DO66" i="2420" s="1"/>
  <c r="BP69" i="2420"/>
  <c r="AG73" i="2420"/>
  <c r="AF74" i="2420"/>
  <c r="BP77" i="2420"/>
  <c r="AG81" i="2420"/>
  <c r="AF82" i="2420"/>
  <c r="BP85" i="2420"/>
  <c r="AG89" i="2420"/>
  <c r="AF90" i="2420"/>
  <c r="DO90" i="2420" s="1"/>
  <c r="BP93" i="2420"/>
  <c r="AG97" i="2420"/>
  <c r="AF98" i="2420"/>
  <c r="BP101" i="2420"/>
  <c r="M22" i="2421"/>
  <c r="J19" i="2422" s="1"/>
  <c r="M30" i="2421"/>
  <c r="J27" i="2422" s="1"/>
  <c r="M38" i="2421"/>
  <c r="J35" i="2422" s="1"/>
  <c r="M46" i="2421"/>
  <c r="J43" i="2422" s="1"/>
  <c r="M54" i="2421"/>
  <c r="J51" i="2422" s="1"/>
  <c r="M62" i="2421"/>
  <c r="J59" i="2422" s="1"/>
  <c r="M70" i="2421"/>
  <c r="J67" i="2422" s="1"/>
  <c r="M78" i="2421"/>
  <c r="J75" i="2422" s="1"/>
  <c r="M86" i="2421"/>
  <c r="J83" i="2422" s="1"/>
  <c r="M94" i="2421"/>
  <c r="J91" i="2422" s="1"/>
  <c r="M102" i="2421"/>
  <c r="J99" i="2422" s="1"/>
  <c r="M110" i="2421"/>
  <c r="J107" i="2422" s="1"/>
  <c r="AG10" i="2420"/>
  <c r="AF11" i="2420"/>
  <c r="DO11" i="2420" s="1"/>
  <c r="BP14" i="2420"/>
  <c r="AG18" i="2420"/>
  <c r="AF19" i="2420"/>
  <c r="DO19" i="2420" s="1"/>
  <c r="BP22" i="2420"/>
  <c r="AG26" i="2420"/>
  <c r="AF27" i="2420"/>
  <c r="DO27" i="2420" s="1"/>
  <c r="BP30" i="2420"/>
  <c r="AG34" i="2420"/>
  <c r="AF35" i="2420"/>
  <c r="BP38" i="2420"/>
  <c r="AG42" i="2420"/>
  <c r="AF43" i="2420"/>
  <c r="BP46" i="2420"/>
  <c r="AG50" i="2420"/>
  <c r="AF51" i="2420"/>
  <c r="BP54" i="2420"/>
  <c r="AG58" i="2420"/>
  <c r="AF59" i="2420"/>
  <c r="DO59" i="2420" s="1"/>
  <c r="BP62" i="2420"/>
  <c r="AG66" i="2420"/>
  <c r="AF67" i="2420"/>
  <c r="DO67" i="2420" s="1"/>
  <c r="BP70" i="2420"/>
  <c r="AG74" i="2420"/>
  <c r="AF75" i="2420"/>
  <c r="BP78" i="2420"/>
  <c r="AG82" i="2420"/>
  <c r="AF83" i="2420"/>
  <c r="BP86" i="2420"/>
  <c r="AG90" i="2420"/>
  <c r="AF91" i="2420"/>
  <c r="DO91" i="2420" s="1"/>
  <c r="BP94" i="2420"/>
  <c r="AG98" i="2420"/>
  <c r="AF99" i="2420"/>
  <c r="BP102" i="2420"/>
  <c r="M23" i="2421"/>
  <c r="J20" i="2422" s="1"/>
  <c r="M31" i="2421"/>
  <c r="J28" i="2422" s="1"/>
  <c r="M39" i="2421"/>
  <c r="J36" i="2422" s="1"/>
  <c r="M47" i="2421"/>
  <c r="J44" i="2422" s="1"/>
  <c r="M55" i="2421"/>
  <c r="J52" i="2422" s="1"/>
  <c r="M63" i="2421"/>
  <c r="J60" i="2422" s="1"/>
  <c r="M71" i="2421"/>
  <c r="J68" i="2422" s="1"/>
  <c r="M79" i="2421"/>
  <c r="J76" i="2422" s="1"/>
  <c r="M87" i="2421"/>
  <c r="J84" i="2422" s="1"/>
  <c r="M95" i="2421"/>
  <c r="J92" i="2422" s="1"/>
  <c r="M103" i="2421"/>
  <c r="J100" i="2422" s="1"/>
  <c r="M111" i="2421"/>
  <c r="J108" i="2422" s="1"/>
  <c r="AG11" i="2420"/>
  <c r="AF12" i="2420"/>
  <c r="DO12" i="2420" s="1"/>
  <c r="AG19" i="2420"/>
  <c r="AF20" i="2420"/>
  <c r="DO20" i="2420" s="1"/>
  <c r="BP23" i="2420"/>
  <c r="AG27" i="2420"/>
  <c r="AF28" i="2420"/>
  <c r="DO28" i="2420" s="1"/>
  <c r="BP31" i="2420"/>
  <c r="AG35" i="2420"/>
  <c r="AF36" i="2420"/>
  <c r="DO36" i="2420" s="1"/>
  <c r="BP39" i="2420"/>
  <c r="AG43" i="2420"/>
  <c r="AF44" i="2420"/>
  <c r="DO44" i="2420" s="1"/>
  <c r="BP47" i="2420"/>
  <c r="AG51" i="2420"/>
  <c r="AF52" i="2420"/>
  <c r="BP55" i="2420"/>
  <c r="AG59" i="2420"/>
  <c r="AF60" i="2420"/>
  <c r="DO60" i="2420" s="1"/>
  <c r="BP63" i="2420"/>
  <c r="AG67" i="2420"/>
  <c r="AF68" i="2420"/>
  <c r="DO68" i="2420" s="1"/>
  <c r="BP71" i="2420"/>
  <c r="AG75" i="2420"/>
  <c r="AF76" i="2420"/>
  <c r="BP79" i="2420"/>
  <c r="AG83" i="2420"/>
  <c r="AF84" i="2420"/>
  <c r="BP87" i="2420"/>
  <c r="AG91" i="2420"/>
  <c r="AF92" i="2420"/>
  <c r="DO92" i="2420" s="1"/>
  <c r="BP95" i="2420"/>
  <c r="AG99" i="2420"/>
  <c r="AF100" i="2420"/>
  <c r="DO100" i="2420" s="1"/>
  <c r="BP103" i="2420"/>
  <c r="M32" i="2421"/>
  <c r="J29" i="2422" s="1"/>
  <c r="M40" i="2421"/>
  <c r="J37" i="2422" s="1"/>
  <c r="M48" i="2421"/>
  <c r="J45" i="2422" s="1"/>
  <c r="M56" i="2421"/>
  <c r="J53" i="2422" s="1"/>
  <c r="M64" i="2421"/>
  <c r="J61" i="2422" s="1"/>
  <c r="M72" i="2421"/>
  <c r="J69" i="2422" s="1"/>
  <c r="M80" i="2421"/>
  <c r="J77" i="2422" s="1"/>
  <c r="M88" i="2421"/>
  <c r="J85" i="2422" s="1"/>
  <c r="M96" i="2421"/>
  <c r="J93" i="2422" s="1"/>
  <c r="M104" i="2421"/>
  <c r="J101" i="2422" s="1"/>
  <c r="M112" i="2421"/>
  <c r="J109" i="2422" s="1"/>
  <c r="AG12" i="2420"/>
  <c r="AF13" i="2420"/>
  <c r="DO13" i="2420" s="1"/>
  <c r="BP16" i="2420"/>
  <c r="AG20" i="2420"/>
  <c r="AF21" i="2420"/>
  <c r="DO21" i="2420" s="1"/>
  <c r="BP24" i="2420"/>
  <c r="AG28" i="2420"/>
  <c r="AF29" i="2420"/>
  <c r="DO29" i="2420" s="1"/>
  <c r="BP32" i="2420"/>
  <c r="AG36" i="2420"/>
  <c r="AF37" i="2420"/>
  <c r="BP40" i="2420"/>
  <c r="AG44" i="2420"/>
  <c r="AF45" i="2420"/>
  <c r="DO45" i="2420" s="1"/>
  <c r="BP48" i="2420"/>
  <c r="AG52" i="2420"/>
  <c r="AF53" i="2420"/>
  <c r="BP56" i="2420"/>
  <c r="AG60" i="2420"/>
  <c r="AF61" i="2420"/>
  <c r="DO61" i="2420" s="1"/>
  <c r="BP64" i="2420"/>
  <c r="AG68" i="2420"/>
  <c r="AF69" i="2420"/>
  <c r="BP72" i="2420"/>
  <c r="AG76" i="2420"/>
  <c r="AF77" i="2420"/>
  <c r="DO77" i="2420" s="1"/>
  <c r="BP80" i="2420"/>
  <c r="AG84" i="2420"/>
  <c r="AF85" i="2420"/>
  <c r="DO85" i="2420" s="1"/>
  <c r="BP88" i="2420"/>
  <c r="AG92" i="2420"/>
  <c r="AF93" i="2420"/>
  <c r="DO93" i="2420" s="1"/>
  <c r="BP96" i="2420"/>
  <c r="AG100" i="2420"/>
  <c r="AF101" i="2420"/>
  <c r="BP104" i="2420"/>
  <c r="M25" i="2421"/>
  <c r="J22" i="2422" s="1"/>
  <c r="M33" i="2421"/>
  <c r="J30" i="2422" s="1"/>
  <c r="M41" i="2421"/>
  <c r="J38" i="2422" s="1"/>
  <c r="M49" i="2421"/>
  <c r="J46" i="2422" s="1"/>
  <c r="M57" i="2421"/>
  <c r="J54" i="2422" s="1"/>
  <c r="M65" i="2421"/>
  <c r="J62" i="2422" s="1"/>
  <c r="M73" i="2421"/>
  <c r="J70" i="2422" s="1"/>
  <c r="M81" i="2421"/>
  <c r="J78" i="2422" s="1"/>
  <c r="M89" i="2421"/>
  <c r="J86" i="2422" s="1"/>
  <c r="M97" i="2421"/>
  <c r="J94" i="2422" s="1"/>
  <c r="M105" i="2421"/>
  <c r="J102" i="2422" s="1"/>
  <c r="M113" i="2421"/>
  <c r="J110" i="2422" s="1"/>
  <c r="AG13" i="2420"/>
  <c r="AF14" i="2420"/>
  <c r="DO14" i="2420" s="1"/>
  <c r="BP17" i="2420"/>
  <c r="AG21" i="2420"/>
  <c r="AF22" i="2420"/>
  <c r="DO22" i="2420" s="1"/>
  <c r="BP25" i="2420"/>
  <c r="AG29" i="2420"/>
  <c r="AF30" i="2420"/>
  <c r="DO30" i="2420" s="1"/>
  <c r="BP33" i="2420"/>
  <c r="AG37" i="2420"/>
  <c r="AF38" i="2420"/>
  <c r="BP41" i="2420"/>
  <c r="AG45" i="2420"/>
  <c r="AF46" i="2420"/>
  <c r="BP49" i="2420"/>
  <c r="AG53" i="2420"/>
  <c r="AF54" i="2420"/>
  <c r="BP57" i="2420"/>
  <c r="AG61" i="2420"/>
  <c r="AF62" i="2420"/>
  <c r="DO62" i="2420" s="1"/>
  <c r="BP65" i="2420"/>
  <c r="AG69" i="2420"/>
  <c r="AF70" i="2420"/>
  <c r="DO70" i="2420" s="1"/>
  <c r="BP73" i="2420"/>
  <c r="AG77" i="2420"/>
  <c r="AF78" i="2420"/>
  <c r="BP81" i="2420"/>
  <c r="AG85" i="2420"/>
  <c r="AF86" i="2420"/>
  <c r="BP89" i="2420"/>
  <c r="AG93" i="2420"/>
  <c r="AF94" i="2420"/>
  <c r="DO94" i="2420" s="1"/>
  <c r="BP97" i="2420"/>
  <c r="AG101" i="2420"/>
  <c r="AF102" i="2420"/>
  <c r="M26" i="2421"/>
  <c r="J23" i="2422" s="1"/>
  <c r="M34" i="2421"/>
  <c r="J31" i="2422" s="1"/>
  <c r="M42" i="2421"/>
  <c r="J39" i="2422" s="1"/>
  <c r="M50" i="2421"/>
  <c r="J47" i="2422" s="1"/>
  <c r="M58" i="2421"/>
  <c r="J55" i="2422" s="1"/>
  <c r="M66" i="2421"/>
  <c r="J63" i="2422" s="1"/>
  <c r="M74" i="2421"/>
  <c r="J71" i="2422" s="1"/>
  <c r="M82" i="2421"/>
  <c r="J79" i="2422" s="1"/>
  <c r="M90" i="2421"/>
  <c r="J87" i="2422" s="1"/>
  <c r="M98" i="2421"/>
  <c r="J95" i="2422" s="1"/>
  <c r="M106" i="2421"/>
  <c r="J103" i="2422" s="1"/>
  <c r="BP10" i="2420"/>
  <c r="AG14" i="2420"/>
  <c r="BP18" i="2420"/>
  <c r="AG22" i="2420"/>
  <c r="AF23" i="2420"/>
  <c r="DO23" i="2420" s="1"/>
  <c r="BP26" i="2420"/>
  <c r="AG30" i="2420"/>
  <c r="AF31" i="2420"/>
  <c r="DO31" i="2420" s="1"/>
  <c r="BP34" i="2420"/>
  <c r="AG38" i="2420"/>
  <c r="AF39" i="2420"/>
  <c r="DO39" i="2420" s="1"/>
  <c r="BP42" i="2420"/>
  <c r="AG46" i="2420"/>
  <c r="AF47" i="2420"/>
  <c r="BP50" i="2420"/>
  <c r="AG54" i="2420"/>
  <c r="AF55" i="2420"/>
  <c r="DO55" i="2420" s="1"/>
  <c r="BP58" i="2420"/>
  <c r="AG62" i="2420"/>
  <c r="AF63" i="2420"/>
  <c r="DO63" i="2420" s="1"/>
  <c r="BP66" i="2420"/>
  <c r="AG70" i="2420"/>
  <c r="AF71" i="2420"/>
  <c r="DO71" i="2420" s="1"/>
  <c r="BP74" i="2420"/>
  <c r="AG78" i="2420"/>
  <c r="AF79" i="2420"/>
  <c r="BP82" i="2420"/>
  <c r="AG86" i="2420"/>
  <c r="AF87" i="2420"/>
  <c r="BP90" i="2420"/>
  <c r="AG94" i="2420"/>
  <c r="AF95" i="2420"/>
  <c r="DO95" i="2420" s="1"/>
  <c r="BP98" i="2420"/>
  <c r="AG102" i="2420"/>
  <c r="AF103" i="2420"/>
  <c r="DO103" i="2420" s="1"/>
  <c r="JM115" i="2422"/>
  <c r="GS115" i="2422"/>
  <c r="BE115" i="2422"/>
  <c r="HT116" i="2422"/>
  <c r="HT118" i="2422"/>
  <c r="HT119" i="2422"/>
  <c r="HT114" i="2422"/>
  <c r="EZ116" i="2422"/>
  <c r="EZ119" i="2422"/>
  <c r="EZ114" i="2422"/>
  <c r="EZ118" i="2422"/>
  <c r="CF116" i="2422"/>
  <c r="CF119" i="2422"/>
  <c r="CF114" i="2422"/>
  <c r="CF118" i="2422"/>
  <c r="AD119" i="2422"/>
  <c r="AD118" i="2422"/>
  <c r="AD116" i="2422"/>
  <c r="AM118" i="2422"/>
  <c r="AM116" i="2422"/>
  <c r="AM114" i="2422"/>
  <c r="AM119" i="2422"/>
  <c r="JD115" i="2422"/>
  <c r="HT115" i="2422"/>
  <c r="GJ115" i="2422"/>
  <c r="EZ115" i="2422"/>
  <c r="DP115" i="2422"/>
  <c r="CF115" i="2422"/>
  <c r="AV115" i="2422"/>
  <c r="IU118" i="2422"/>
  <c r="IU114" i="2422"/>
  <c r="IU116" i="2422"/>
  <c r="IU119" i="2422"/>
  <c r="HK118" i="2422"/>
  <c r="HK119" i="2422"/>
  <c r="HK116" i="2422"/>
  <c r="HK114" i="2422"/>
  <c r="GA118" i="2422"/>
  <c r="GA119" i="2422"/>
  <c r="GA116" i="2422"/>
  <c r="GA114" i="2422"/>
  <c r="EQ118" i="2422"/>
  <c r="EQ119" i="2422"/>
  <c r="EQ114" i="2422"/>
  <c r="EQ116" i="2422"/>
  <c r="DG118" i="2422"/>
  <c r="DG114" i="2422"/>
  <c r="DG116" i="2422"/>
  <c r="DG119" i="2422"/>
  <c r="BW118" i="2422"/>
  <c r="BW114" i="2422"/>
  <c r="BW116" i="2422"/>
  <c r="BW119" i="2422"/>
  <c r="IC115" i="2422"/>
  <c r="DY115" i="2422"/>
  <c r="DP116" i="2422"/>
  <c r="DP118" i="2422"/>
  <c r="DP119" i="2422"/>
  <c r="DP114" i="2422"/>
  <c r="AD115" i="2422"/>
  <c r="AM115" i="2422"/>
  <c r="IU115" i="2422"/>
  <c r="HK115" i="2422"/>
  <c r="GA115" i="2422"/>
  <c r="EQ115" i="2422"/>
  <c r="DG115" i="2422"/>
  <c r="BW115" i="2422"/>
  <c r="JV119" i="2422"/>
  <c r="JV114" i="2422"/>
  <c r="JV118" i="2422"/>
  <c r="JV116" i="2422"/>
  <c r="IL119" i="2422"/>
  <c r="IL114" i="2422"/>
  <c r="IL118" i="2422"/>
  <c r="IL116" i="2422"/>
  <c r="HB119" i="2422"/>
  <c r="HB114" i="2422"/>
  <c r="HB118" i="2422"/>
  <c r="HB116" i="2422"/>
  <c r="FR119" i="2422"/>
  <c r="FR114" i="2422"/>
  <c r="FR118" i="2422"/>
  <c r="FR116" i="2422"/>
  <c r="EH119" i="2422"/>
  <c r="EH114" i="2422"/>
  <c r="EH118" i="2422"/>
  <c r="EH116" i="2422"/>
  <c r="CX119" i="2422"/>
  <c r="CX114" i="2422"/>
  <c r="CX118" i="2422"/>
  <c r="CX116" i="2422"/>
  <c r="BN119" i="2422"/>
  <c r="BN114" i="2422"/>
  <c r="BN118" i="2422"/>
  <c r="BN116" i="2422"/>
  <c r="FI115" i="2422"/>
  <c r="CO115" i="2422"/>
  <c r="JD116" i="2422"/>
  <c r="JD118" i="2422"/>
  <c r="JD119" i="2422"/>
  <c r="JD114" i="2422"/>
  <c r="GJ116" i="2422"/>
  <c r="GJ119" i="2422"/>
  <c r="GJ114" i="2422"/>
  <c r="GJ118" i="2422"/>
  <c r="AV116" i="2422"/>
  <c r="AV118" i="2422"/>
  <c r="AV119" i="2422"/>
  <c r="AV114" i="2422"/>
  <c r="JV115" i="2422"/>
  <c r="IL115" i="2422"/>
  <c r="HB115" i="2422"/>
  <c r="FR115" i="2422"/>
  <c r="EH115" i="2422"/>
  <c r="CX115" i="2422"/>
  <c r="BN115" i="2422"/>
  <c r="JM116" i="2422"/>
  <c r="JM119" i="2422"/>
  <c r="JM114" i="2422"/>
  <c r="JM118" i="2422"/>
  <c r="IC119" i="2422"/>
  <c r="IC114" i="2422"/>
  <c r="IC118" i="2422"/>
  <c r="IC116" i="2422"/>
  <c r="GS119" i="2422"/>
  <c r="GS114" i="2422"/>
  <c r="GS116" i="2422"/>
  <c r="GS118" i="2422"/>
  <c r="FI119" i="2422"/>
  <c r="FI114" i="2422"/>
  <c r="FI116" i="2422"/>
  <c r="FI118" i="2422"/>
  <c r="DY116" i="2422"/>
  <c r="DY119" i="2422"/>
  <c r="DY114" i="2422"/>
  <c r="DY118" i="2422"/>
  <c r="CO116" i="2422"/>
  <c r="CO119" i="2422"/>
  <c r="CO114" i="2422"/>
  <c r="CO118" i="2422"/>
  <c r="BE119" i="2422"/>
  <c r="BE114"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115" i="2422"/>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115" i="2422"/>
  <c r="JE5" i="2422"/>
  <c r="JH11" i="2422" s="1"/>
  <c r="JE4" i="2422"/>
  <c r="JG12" i="2422" s="1"/>
  <c r="GK115" i="2422"/>
  <c r="GK5" i="2422"/>
  <c r="GN13" i="2422" s="1"/>
  <c r="GK4" i="2422"/>
  <c r="GM14" i="2422" s="1"/>
  <c r="DQ4" i="2422"/>
  <c r="DS14" i="2422" s="1"/>
  <c r="DQ5" i="2422"/>
  <c r="DT14" i="2422" s="1"/>
  <c r="DQ115" i="2422"/>
  <c r="AW5" i="2422"/>
  <c r="AZ14" i="2422" s="1"/>
  <c r="AW4" i="2422"/>
  <c r="AY14" i="2422" s="1"/>
  <c r="AW115" i="2422"/>
  <c r="AO13" i="2422"/>
  <c r="IE15" i="2422"/>
  <c r="FK15" i="2422"/>
  <c r="CQ15" i="2422"/>
  <c r="JF14" i="2422"/>
  <c r="GL14" i="2422"/>
  <c r="DR14" i="2422"/>
  <c r="AX14" i="2422"/>
  <c r="HM13" i="2422"/>
  <c r="ES13" i="2422"/>
  <c r="BY13" i="2422"/>
  <c r="IN12" i="2422"/>
  <c r="FT12" i="2422"/>
  <c r="CZ12" i="2422"/>
  <c r="IV5" i="2422"/>
  <c r="IY12" i="2422" s="1"/>
  <c r="IV4" i="2422"/>
  <c r="IX12" i="2422" s="1"/>
  <c r="IV115" i="2422"/>
  <c r="GB5" i="2422"/>
  <c r="GE14" i="2422" s="1"/>
  <c r="GB4" i="2422"/>
  <c r="GD11" i="2422" s="1"/>
  <c r="GB115" i="2422"/>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115" i="2422"/>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115" i="2422"/>
  <c r="ID5" i="2422"/>
  <c r="IG15" i="2422" s="1"/>
  <c r="ID4" i="2422"/>
  <c r="IF15" i="2422" s="1"/>
  <c r="FJ115" i="2422"/>
  <c r="FJ4" i="2422"/>
  <c r="FL15" i="2422" s="1"/>
  <c r="FJ5" i="2422"/>
  <c r="FM15" i="2422" s="1"/>
  <c r="CP115" i="2422"/>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115" i="2422"/>
  <c r="CG5" i="2422"/>
  <c r="CJ12" i="2422" s="1"/>
  <c r="AN5" i="2422"/>
  <c r="AQ15" i="2422" s="1"/>
  <c r="AN4" i="2422"/>
  <c r="AP15" i="2422" s="1"/>
  <c r="AN115" i="2422"/>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115" i="2422"/>
  <c r="BX4" i="2422"/>
  <c r="BZ12" i="2422" s="1"/>
  <c r="JF15" i="2422"/>
  <c r="GL15" i="2422"/>
  <c r="DR15" i="2422"/>
  <c r="AX15" i="2422"/>
  <c r="HM14" i="2422"/>
  <c r="ES14" i="2422"/>
  <c r="BY14" i="2422"/>
  <c r="IN13" i="2422"/>
  <c r="FT13" i="2422"/>
  <c r="CZ13" i="2422"/>
  <c r="JO12" i="2422"/>
  <c r="GU12" i="2422"/>
  <c r="EA12" i="2422"/>
  <c r="BG12" i="2422"/>
  <c r="JW115" i="2422"/>
  <c r="JW5" i="2422"/>
  <c r="JZ12" i="2422" s="1"/>
  <c r="JW4" i="2422"/>
  <c r="JY12" i="2422" s="1"/>
  <c r="HC115" i="2422"/>
  <c r="HC5" i="2422"/>
  <c r="HF11" i="2422" s="1"/>
  <c r="HC4" i="2422"/>
  <c r="HE12" i="2422" s="1"/>
  <c r="EI115" i="2422"/>
  <c r="EI5" i="2422"/>
  <c r="EL12" i="2422" s="1"/>
  <c r="EI4" i="2422"/>
  <c r="EK12" i="2422" s="1"/>
  <c r="BO115" i="2422"/>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E115" i="2422"/>
  <c r="AF13" i="2422"/>
  <c r="AF12" i="2422"/>
  <c r="JX11" i="2422"/>
  <c r="JO11" i="2422"/>
  <c r="JF11" i="2422"/>
  <c r="IW11" i="2422"/>
  <c r="IX11" i="2422"/>
  <c r="IN11" i="2422"/>
  <c r="IO11" i="2422"/>
  <c r="IE11" i="2422"/>
  <c r="HV11" i="2422"/>
  <c r="HM11" i="2422"/>
  <c r="HO11" i="2422"/>
  <c r="HD11" i="2422"/>
  <c r="GU11" i="2422"/>
  <c r="GV11" i="2422"/>
  <c r="GL11" i="2422"/>
  <c r="GC11" i="2422"/>
  <c r="FT11" i="2422"/>
  <c r="FK11" i="2422"/>
  <c r="FB11" i="2422"/>
  <c r="ES11" i="2422"/>
  <c r="EJ11" i="2422"/>
  <c r="EA11" i="2422"/>
  <c r="DR11" i="2422"/>
  <c r="DS11" i="2422"/>
  <c r="DI11" i="2422"/>
  <c r="CZ11" i="2422"/>
  <c r="CQ11" i="2422"/>
  <c r="CH11" i="2422"/>
  <c r="BY11" i="2422"/>
  <c r="BZ11" i="2422"/>
  <c r="BQ11" i="2422"/>
  <c r="BP11" i="2422"/>
  <c r="BG11" i="2422"/>
  <c r="BH11" i="2422"/>
  <c r="AX11" i="2422"/>
  <c r="AO11" i="2422"/>
  <c r="U115" i="2422"/>
  <c r="V115" i="2422" s="1"/>
  <c r="AA9" i="2422"/>
  <c r="AB22" i="2396"/>
  <c r="AB21" i="2396"/>
  <c r="BQ21" i="2396"/>
  <c r="AB17" i="2396"/>
  <c r="BQ17" i="2396"/>
  <c r="BM23" i="2396"/>
  <c r="BM24" i="2396"/>
  <c r="BM20" i="2396"/>
  <c r="BM18" i="2396"/>
  <c r="BM19" i="2396"/>
  <c r="W18" i="2345"/>
  <c r="W14" i="2345"/>
  <c r="W13" i="2345"/>
  <c r="W12" i="2345"/>
  <c r="W17" i="2345"/>
  <c r="BP6" i="2420"/>
  <c r="BP7" i="2420"/>
  <c r="BP8" i="2420"/>
  <c r="BP9" i="2420"/>
  <c r="M18" i="2421"/>
  <c r="M15" i="2421"/>
  <c r="M16" i="2421"/>
  <c r="M17" i="2421"/>
  <c r="U14" i="2345"/>
  <c r="U17" i="2345"/>
  <c r="U15" i="2345"/>
  <c r="U12" i="2345"/>
  <c r="AU112" i="2422"/>
  <c r="AW116" i="2422" s="1"/>
  <c r="JL112" i="2422"/>
  <c r="IB112" i="2422"/>
  <c r="ID116" i="2422" s="1"/>
  <c r="GR112" i="2422"/>
  <c r="GT116" i="2422" s="1"/>
  <c r="FH112" i="2422"/>
  <c r="FJ116" i="2422" s="1"/>
  <c r="DX112" i="2422"/>
  <c r="CN112" i="2422"/>
  <c r="CP116" i="2422" s="1"/>
  <c r="BD112" i="2422"/>
  <c r="BF116" i="2422" s="1"/>
  <c r="JC112" i="2422"/>
  <c r="JE116" i="2422" s="1"/>
  <c r="HS112" i="2422"/>
  <c r="HU116" i="2422" s="1"/>
  <c r="GI112" i="2422"/>
  <c r="GK116" i="2422" s="1"/>
  <c r="EY112" i="2422"/>
  <c r="FA116" i="2422" s="1"/>
  <c r="DO112" i="2422"/>
  <c r="DQ116" i="2422" s="1"/>
  <c r="CE112" i="2422"/>
  <c r="CG116" i="2422" s="1"/>
  <c r="FZ112" i="2422"/>
  <c r="GB116" i="2422" s="1"/>
  <c r="DF112" i="2422"/>
  <c r="DH116" i="2422" s="1"/>
  <c r="IK112" i="2422"/>
  <c r="IM116" i="2422" s="1"/>
  <c r="FQ112" i="2422"/>
  <c r="FS116" i="2422" s="1"/>
  <c r="CW112" i="2422"/>
  <c r="CY116" i="2422" s="1"/>
  <c r="HJ112" i="2422"/>
  <c r="HL116" i="2422" s="1"/>
  <c r="EP112" i="2422"/>
  <c r="BV112" i="2422"/>
  <c r="BX116" i="2422" s="1"/>
  <c r="HA112" i="2422"/>
  <c r="HC116" i="2422" s="1"/>
  <c r="EG112" i="2422"/>
  <c r="EI116" i="2422" s="1"/>
  <c r="BM112" i="2422"/>
  <c r="BO116" i="2422" s="1"/>
  <c r="IT112" i="2422"/>
  <c r="IV116" i="2422" s="1"/>
  <c r="JU112" i="2422"/>
  <c r="JW116" i="2422" s="1"/>
  <c r="AL112" i="2422"/>
  <c r="AN116" i="2422" s="1"/>
  <c r="AC112" i="2422"/>
  <c r="AC10" i="2422" s="1"/>
  <c r="T112" i="2422"/>
  <c r="T10" i="2422" s="1"/>
  <c r="AD114" i="2422" l="1"/>
  <c r="V118" i="2422"/>
  <c r="DO24" i="2420"/>
  <c r="DO102" i="2420"/>
  <c r="DO38" i="2420"/>
  <c r="DO99" i="2420"/>
  <c r="DO35" i="2420"/>
  <c r="DO98" i="2420"/>
  <c r="DO34" i="2420"/>
  <c r="DO76" i="2420"/>
  <c r="DO53" i="2420"/>
  <c r="DO56" i="2420"/>
  <c r="DO49" i="2420"/>
  <c r="DZ116" i="2422"/>
  <c r="ER116" i="2422"/>
  <c r="JN116" i="2422"/>
  <c r="DO87" i="2420"/>
  <c r="DO78" i="2420"/>
  <c r="DO46" i="2420"/>
  <c r="DO75" i="2420"/>
  <c r="DO43" i="2420"/>
  <c r="DO74" i="2420"/>
  <c r="DO42" i="2420"/>
  <c r="DO104" i="2420"/>
  <c r="DO79" i="2420"/>
  <c r="DO47" i="2420"/>
  <c r="DO84" i="2420"/>
  <c r="DO52" i="2420"/>
  <c r="DO101" i="2420"/>
  <c r="DO69" i="2420"/>
  <c r="DO37" i="2420"/>
  <c r="DO65" i="2420"/>
  <c r="DO33" i="2420"/>
  <c r="DO72" i="2420"/>
  <c r="DO40" i="2420"/>
  <c r="DO86" i="2420"/>
  <c r="DO54" i="2420"/>
  <c r="DO83" i="2420"/>
  <c r="DO51" i="2420"/>
  <c r="DO82" i="2420"/>
  <c r="DO50" i="2420"/>
  <c r="BI11" i="2422"/>
  <c r="JP11" i="2422"/>
  <c r="AQ11" i="2422"/>
  <c r="JP12" i="2422"/>
  <c r="EL11" i="2422"/>
  <c r="AY11" i="2422"/>
  <c r="JG11" i="2422"/>
  <c r="FC11" i="2422"/>
  <c r="IF11" i="2422"/>
  <c r="IY11" i="2422"/>
  <c r="GV14" i="2422"/>
  <c r="IG11" i="2422"/>
  <c r="IO13" i="2422"/>
  <c r="IX13" i="2422"/>
  <c r="BI13" i="2422"/>
  <c r="CJ94" i="2420"/>
  <c r="CB94" i="2420"/>
  <c r="CF94" i="2420"/>
  <c r="CC94" i="2420"/>
  <c r="CH94" i="2420"/>
  <c r="L103" i="2421"/>
  <c r="BR94" i="2420"/>
  <c r="BS94" i="2420" s="1"/>
  <c r="BU94" i="2420" s="1"/>
  <c r="BV94" i="2420" s="1"/>
  <c r="CD94" i="2420"/>
  <c r="CK94" i="2420"/>
  <c r="I100" i="2422"/>
  <c r="CG94" i="2420"/>
  <c r="CE94" i="2420"/>
  <c r="CL94" i="2420"/>
  <c r="CB78" i="2420"/>
  <c r="CF78" i="2420"/>
  <c r="CE78" i="2420"/>
  <c r="CH78" i="2420"/>
  <c r="BR78" i="2420"/>
  <c r="BS78" i="2420" s="1"/>
  <c r="BU78" i="2420" s="1"/>
  <c r="BV78" i="2420" s="1"/>
  <c r="CD78" i="2420"/>
  <c r="CJ78" i="2420"/>
  <c r="CK78" i="2420"/>
  <c r="I84" i="2422"/>
  <c r="CG78" i="2420"/>
  <c r="L87" i="2421"/>
  <c r="CC78" i="2420"/>
  <c r="CL78" i="2420"/>
  <c r="CE62" i="2420"/>
  <c r="CH62" i="2420"/>
  <c r="BR62" i="2420"/>
  <c r="BS62" i="2420" s="1"/>
  <c r="BU62" i="2420" s="1"/>
  <c r="BV62" i="2420" s="1"/>
  <c r="CJ62" i="2420"/>
  <c r="CB62" i="2420"/>
  <c r="CG62" i="2420"/>
  <c r="CK62" i="2420"/>
  <c r="I68" i="2422"/>
  <c r="L71" i="2421"/>
  <c r="CC62" i="2420"/>
  <c r="CD62" i="2420"/>
  <c r="CF62" i="2420"/>
  <c r="CL62" i="2420"/>
  <c r="CB46" i="2420"/>
  <c r="L55" i="2421"/>
  <c r="CH46" i="2420"/>
  <c r="CK46" i="2420"/>
  <c r="CJ46" i="2420"/>
  <c r="BR46" i="2420"/>
  <c r="BS46" i="2420" s="1"/>
  <c r="BU46" i="2420" s="1"/>
  <c r="BV46" i="2420" s="1"/>
  <c r="I52" i="2422"/>
  <c r="CE46" i="2420"/>
  <c r="CF46" i="2420"/>
  <c r="CG46" i="2420"/>
  <c r="CC46" i="2420"/>
  <c r="CD46" i="2420"/>
  <c r="CL46" i="2420"/>
  <c r="CG30" i="2420"/>
  <c r="CJ30" i="2420"/>
  <c r="CH30" i="2420"/>
  <c r="CB30" i="2420"/>
  <c r="BR30" i="2420"/>
  <c r="BS30" i="2420" s="1"/>
  <c r="CF30" i="2420"/>
  <c r="CC30" i="2420"/>
  <c r="CE30" i="2420"/>
  <c r="CK30" i="2420"/>
  <c r="I36" i="2422"/>
  <c r="CD30" i="2420"/>
  <c r="L39" i="2421"/>
  <c r="CL30" i="2420"/>
  <c r="CB14" i="2420"/>
  <c r="BR14" i="2420"/>
  <c r="CJ14" i="2420"/>
  <c r="CG14" i="2420"/>
  <c r="CD14" i="2420"/>
  <c r="I20" i="2422"/>
  <c r="L23" i="2421"/>
  <c r="CC14" i="2420"/>
  <c r="CF14" i="2420"/>
  <c r="CE14" i="2420"/>
  <c r="CL14" i="2420"/>
  <c r="CF101" i="2420"/>
  <c r="CJ101" i="2420"/>
  <c r="CK101" i="2420"/>
  <c r="CB101" i="2420"/>
  <c r="I107" i="2422"/>
  <c r="CE101" i="2420"/>
  <c r="BR101" i="2420"/>
  <c r="BS101" i="2420" s="1"/>
  <c r="BU101" i="2420" s="1"/>
  <c r="BV101" i="2420" s="1"/>
  <c r="CH101" i="2420"/>
  <c r="CD101" i="2420"/>
  <c r="CG101" i="2420"/>
  <c r="CC101" i="2420"/>
  <c r="L110" i="2421"/>
  <c r="CL101" i="2420"/>
  <c r="I91" i="2422"/>
  <c r="CD85" i="2420"/>
  <c r="L94" i="2421"/>
  <c r="BR85" i="2420"/>
  <c r="BS85" i="2420" s="1"/>
  <c r="BU85" i="2420" s="1"/>
  <c r="BV85" i="2420" s="1"/>
  <c r="CH85" i="2420"/>
  <c r="CJ85" i="2420"/>
  <c r="CB85" i="2420"/>
  <c r="CF85" i="2420"/>
  <c r="CG85" i="2420"/>
  <c r="CK85" i="2420"/>
  <c r="CE85" i="2420"/>
  <c r="CC85" i="2420"/>
  <c r="CL85" i="2420"/>
  <c r="CH69" i="2420"/>
  <c r="CJ69" i="2420"/>
  <c r="CB69" i="2420"/>
  <c r="BR69" i="2420"/>
  <c r="BS69" i="2420" s="1"/>
  <c r="BU69" i="2420" s="1"/>
  <c r="BV69" i="2420" s="1"/>
  <c r="L78" i="2421"/>
  <c r="CC69" i="2420"/>
  <c r="CD69" i="2420"/>
  <c r="CE69" i="2420"/>
  <c r="CK69" i="2420"/>
  <c r="CF69" i="2420"/>
  <c r="I75" i="2422"/>
  <c r="CG69" i="2420"/>
  <c r="CL69" i="2420"/>
  <c r="CC53" i="2420"/>
  <c r="CD53" i="2420"/>
  <c r="CF53" i="2420"/>
  <c r="BR53" i="2420"/>
  <c r="BS53" i="2420" s="1"/>
  <c r="BU53" i="2420" s="1"/>
  <c r="BV53" i="2420" s="1"/>
  <c r="CG53" i="2420"/>
  <c r="CJ53" i="2420"/>
  <c r="CH53" i="2420"/>
  <c r="CB53" i="2420"/>
  <c r="L62" i="2421"/>
  <c r="CE53" i="2420"/>
  <c r="CK53" i="2420"/>
  <c r="I59" i="2422"/>
  <c r="CL53" i="2420"/>
  <c r="CG37" i="2420"/>
  <c r="CJ37" i="2420"/>
  <c r="CH37" i="2420"/>
  <c r="CB37" i="2420"/>
  <c r="BR37" i="2420"/>
  <c r="BS37" i="2420" s="1"/>
  <c r="BU37" i="2420" s="1"/>
  <c r="BV37" i="2420" s="1"/>
  <c r="L46" i="2421"/>
  <c r="CF37" i="2420"/>
  <c r="CC37" i="2420"/>
  <c r="CD37" i="2420"/>
  <c r="CK37" i="2420"/>
  <c r="I43" i="2422"/>
  <c r="CE37" i="2420"/>
  <c r="CL37" i="2420"/>
  <c r="CJ21" i="2420"/>
  <c r="CD21" i="2420"/>
  <c r="CB21" i="2420"/>
  <c r="CH21" i="2420"/>
  <c r="CF21" i="2420"/>
  <c r="BR21" i="2420"/>
  <c r="CC21" i="2420"/>
  <c r="CG21" i="2420"/>
  <c r="CK21" i="2420"/>
  <c r="I27" i="2422"/>
  <c r="CE21" i="2420"/>
  <c r="L30" i="2421"/>
  <c r="CL21" i="2420"/>
  <c r="CH92" i="2420"/>
  <c r="BR92" i="2420"/>
  <c r="BS92" i="2420" s="1"/>
  <c r="BU92" i="2420" s="1"/>
  <c r="BV92" i="2420" s="1"/>
  <c r="CB92" i="2420"/>
  <c r="CJ92" i="2420"/>
  <c r="L101" i="2421"/>
  <c r="CD92" i="2420"/>
  <c r="CG92" i="2420"/>
  <c r="CE92" i="2420"/>
  <c r="CK92" i="2420"/>
  <c r="CC92" i="2420"/>
  <c r="I98" i="2422"/>
  <c r="CF92" i="2420"/>
  <c r="CL92" i="2420"/>
  <c r="CD76" i="2420"/>
  <c r="CB76" i="2420"/>
  <c r="CJ76" i="2420"/>
  <c r="CC76" i="2420"/>
  <c r="CE76" i="2420"/>
  <c r="CH76" i="2420"/>
  <c r="BR76" i="2420"/>
  <c r="BS76" i="2420" s="1"/>
  <c r="BU76" i="2420" s="1"/>
  <c r="BV76" i="2420" s="1"/>
  <c r="I82" i="2422"/>
  <c r="L85" i="2421"/>
  <c r="CG76" i="2420"/>
  <c r="CF76" i="2420"/>
  <c r="CK76" i="2420"/>
  <c r="CL76" i="2420"/>
  <c r="CH60" i="2420"/>
  <c r="BR60" i="2420"/>
  <c r="BS60" i="2420" s="1"/>
  <c r="BU60" i="2420" s="1"/>
  <c r="BV60" i="2420" s="1"/>
  <c r="CJ60" i="2420"/>
  <c r="CB60" i="2420"/>
  <c r="I66" i="2422"/>
  <c r="L69" i="2421"/>
  <c r="CE60" i="2420"/>
  <c r="CF60" i="2420"/>
  <c r="CG60" i="2420"/>
  <c r="CD60" i="2420"/>
  <c r="CC60" i="2420"/>
  <c r="CK60" i="2420"/>
  <c r="CL60" i="2420"/>
  <c r="CB44" i="2420"/>
  <c r="CJ44" i="2420"/>
  <c r="CH44" i="2420"/>
  <c r="BR44" i="2420"/>
  <c r="BS44" i="2420" s="1"/>
  <c r="BU44" i="2420" s="1"/>
  <c r="BV44" i="2420" s="1"/>
  <c r="L53" i="2421"/>
  <c r="CE44" i="2420"/>
  <c r="CD44" i="2420"/>
  <c r="CC44" i="2420"/>
  <c r="CG44" i="2420"/>
  <c r="CK44" i="2420"/>
  <c r="CF44" i="2420"/>
  <c r="I50" i="2422"/>
  <c r="CL44" i="2420"/>
  <c r="CH28" i="2420"/>
  <c r="BR28" i="2420"/>
  <c r="BS28" i="2420" s="1"/>
  <c r="CJ28" i="2420"/>
  <c r="CB28" i="2420"/>
  <c r="I34" i="2422"/>
  <c r="CC28" i="2420"/>
  <c r="L37" i="2421"/>
  <c r="CF28" i="2420"/>
  <c r="CD28" i="2420"/>
  <c r="CE28" i="2420"/>
  <c r="CG28" i="2420"/>
  <c r="CK28" i="2420"/>
  <c r="CL28" i="2420"/>
  <c r="CG12" i="2420"/>
  <c r="CK12" i="2420"/>
  <c r="CJ12" i="2420"/>
  <c r="I18" i="2422"/>
  <c r="CB12" i="2420"/>
  <c r="L21" i="2421"/>
  <c r="CC12" i="2420"/>
  <c r="CH12" i="2420"/>
  <c r="BR12" i="2420"/>
  <c r="CD12" i="2420"/>
  <c r="CE12" i="2420"/>
  <c r="CF12" i="2420"/>
  <c r="CL12" i="2420"/>
  <c r="CH99" i="2420"/>
  <c r="CB99" i="2420"/>
  <c r="BR99" i="2420"/>
  <c r="BS99" i="2420" s="1"/>
  <c r="BU99" i="2420" s="1"/>
  <c r="BV99" i="2420" s="1"/>
  <c r="CF99" i="2420"/>
  <c r="CJ99" i="2420"/>
  <c r="CD99" i="2420"/>
  <c r="CG99" i="2420"/>
  <c r="L108" i="2421"/>
  <c r="CK99" i="2420"/>
  <c r="I105" i="2422"/>
  <c r="CE99" i="2420"/>
  <c r="CC99" i="2420"/>
  <c r="CL99" i="2420"/>
  <c r="CH83" i="2420"/>
  <c r="BR83" i="2420"/>
  <c r="BS83" i="2420" s="1"/>
  <c r="BU83" i="2420" s="1"/>
  <c r="BV83" i="2420" s="1"/>
  <c r="CB83" i="2420"/>
  <c r="CJ83" i="2420"/>
  <c r="CE83" i="2420"/>
  <c r="CG83" i="2420"/>
  <c r="CF83" i="2420"/>
  <c r="CK83" i="2420"/>
  <c r="CC83" i="2420"/>
  <c r="CD83" i="2420"/>
  <c r="I89" i="2422"/>
  <c r="L92" i="2421"/>
  <c r="CL83" i="2420"/>
  <c r="BR67" i="2420"/>
  <c r="BS67" i="2420" s="1"/>
  <c r="BU67" i="2420" s="1"/>
  <c r="BV67" i="2420" s="1"/>
  <c r="CJ67" i="2420"/>
  <c r="CB67" i="2420"/>
  <c r="CC67" i="2420"/>
  <c r="CG67" i="2420"/>
  <c r="CH67" i="2420"/>
  <c r="CD67" i="2420"/>
  <c r="CK67" i="2420"/>
  <c r="I73" i="2422"/>
  <c r="CE67" i="2420"/>
  <c r="L76" i="2421"/>
  <c r="CF67" i="2420"/>
  <c r="CL67" i="2420"/>
  <c r="CE51" i="2420"/>
  <c r="CB51" i="2420"/>
  <c r="CH51" i="2420"/>
  <c r="CJ51" i="2420"/>
  <c r="BR51" i="2420"/>
  <c r="BS51" i="2420" s="1"/>
  <c r="BU51" i="2420" s="1"/>
  <c r="BV51" i="2420" s="1"/>
  <c r="CG51" i="2420"/>
  <c r="CK51" i="2420"/>
  <c r="CC51" i="2420"/>
  <c r="I57" i="2422"/>
  <c r="CD51" i="2420"/>
  <c r="L60" i="2421"/>
  <c r="CF51" i="2420"/>
  <c r="CL51" i="2420"/>
  <c r="CB35" i="2420"/>
  <c r="CF35" i="2420"/>
  <c r="CJ35" i="2420"/>
  <c r="CH35" i="2420"/>
  <c r="BR35" i="2420"/>
  <c r="BS35" i="2420" s="1"/>
  <c r="BU35" i="2420" s="1"/>
  <c r="BV35" i="2420" s="1"/>
  <c r="CC35" i="2420"/>
  <c r="CG35" i="2420"/>
  <c r="L44" i="2421"/>
  <c r="CE35" i="2420"/>
  <c r="CD35" i="2420"/>
  <c r="CK35" i="2420"/>
  <c r="I41" i="2422"/>
  <c r="CL35" i="2420"/>
  <c r="CH19" i="2420"/>
  <c r="CG19" i="2420"/>
  <c r="BR19" i="2420"/>
  <c r="CF19" i="2420"/>
  <c r="CJ19" i="2420"/>
  <c r="CC19" i="2420"/>
  <c r="CB19" i="2420"/>
  <c r="CE19" i="2420"/>
  <c r="CD19" i="2420"/>
  <c r="CK19" i="2420"/>
  <c r="I25" i="2422"/>
  <c r="L28" i="2421"/>
  <c r="CL19" i="2420"/>
  <c r="CK90" i="2420"/>
  <c r="CB90" i="2420"/>
  <c r="I96" i="2422"/>
  <c r="CJ90" i="2420"/>
  <c r="CE90" i="2420"/>
  <c r="CD90" i="2420"/>
  <c r="CH90" i="2420"/>
  <c r="BR90" i="2420"/>
  <c r="BS90" i="2420" s="1"/>
  <c r="BU90" i="2420" s="1"/>
  <c r="BV90" i="2420" s="1"/>
  <c r="CG90" i="2420"/>
  <c r="L99" i="2421"/>
  <c r="CF90" i="2420"/>
  <c r="CC90" i="2420"/>
  <c r="CL90" i="2420"/>
  <c r="CH74" i="2420"/>
  <c r="BR74" i="2420"/>
  <c r="BS74" i="2420" s="1"/>
  <c r="BU74" i="2420" s="1"/>
  <c r="BV74" i="2420" s="1"/>
  <c r="CB74" i="2420"/>
  <c r="CF74" i="2420"/>
  <c r="CJ74" i="2420"/>
  <c r="CG74" i="2420"/>
  <c r="CK74" i="2420"/>
  <c r="CD74" i="2420"/>
  <c r="CE74" i="2420"/>
  <c r="CC74" i="2420"/>
  <c r="I80" i="2422"/>
  <c r="L83" i="2421"/>
  <c r="CL74" i="2420"/>
  <c r="CB58" i="2420"/>
  <c r="CJ58" i="2420"/>
  <c r="CH58" i="2420"/>
  <c r="BR58" i="2420"/>
  <c r="BS58" i="2420" s="1"/>
  <c r="BU58" i="2420" s="1"/>
  <c r="BV58" i="2420" s="1"/>
  <c r="CE58" i="2420"/>
  <c r="L67" i="2421"/>
  <c r="CG58" i="2420"/>
  <c r="CF58" i="2420"/>
  <c r="CK58" i="2420"/>
  <c r="I64" i="2422"/>
  <c r="CC58" i="2420"/>
  <c r="CD58" i="2420"/>
  <c r="CL58" i="2420"/>
  <c r="CH42" i="2420"/>
  <c r="BR42" i="2420"/>
  <c r="BS42" i="2420" s="1"/>
  <c r="BU42" i="2420" s="1"/>
  <c r="BV42" i="2420" s="1"/>
  <c r="CB42" i="2420"/>
  <c r="CJ42" i="2420"/>
  <c r="CG42" i="2420"/>
  <c r="CD42" i="2420"/>
  <c r="CK42" i="2420"/>
  <c r="I48" i="2422"/>
  <c r="L51" i="2421"/>
  <c r="CF42" i="2420"/>
  <c r="CE42" i="2420"/>
  <c r="CC42" i="2420"/>
  <c r="CL42" i="2420"/>
  <c r="CB26" i="2420"/>
  <c r="CJ26" i="2420"/>
  <c r="CH26" i="2420"/>
  <c r="BR26" i="2420"/>
  <c r="CE26" i="2420"/>
  <c r="CG26" i="2420"/>
  <c r="CC26" i="2420"/>
  <c r="CK26" i="2420"/>
  <c r="CD26" i="2420"/>
  <c r="I32" i="2422"/>
  <c r="L35" i="2421"/>
  <c r="CF26" i="2420"/>
  <c r="CL26" i="2420"/>
  <c r="BR10" i="2420"/>
  <c r="CB10" i="2420"/>
  <c r="CJ10" i="2420"/>
  <c r="CG10" i="2420"/>
  <c r="CD10" i="2420"/>
  <c r="I16" i="2422"/>
  <c r="L19" i="2421"/>
  <c r="CC10" i="2420"/>
  <c r="CH10" i="2420" s="1"/>
  <c r="CK10" i="2420" s="1"/>
  <c r="CE10" i="2420"/>
  <c r="CF10" i="2420"/>
  <c r="CL10" i="2420"/>
  <c r="I103" i="2422"/>
  <c r="CB97" i="2420"/>
  <c r="CJ97" i="2420"/>
  <c r="BR97" i="2420"/>
  <c r="BS97" i="2420" s="1"/>
  <c r="BU97" i="2420" s="1"/>
  <c r="BV97" i="2420" s="1"/>
  <c r="CD97" i="2420"/>
  <c r="CH97" i="2420"/>
  <c r="CE97" i="2420"/>
  <c r="CF97" i="2420"/>
  <c r="CK97" i="2420"/>
  <c r="L106" i="2421"/>
  <c r="CG97" i="2420"/>
  <c r="CC97" i="2420"/>
  <c r="CL97" i="2420"/>
  <c r="BR81" i="2420"/>
  <c r="BS81" i="2420" s="1"/>
  <c r="BU81" i="2420" s="1"/>
  <c r="BV81" i="2420" s="1"/>
  <c r="CH81" i="2420"/>
  <c r="CF81" i="2420"/>
  <c r="CE81" i="2420"/>
  <c r="CB81" i="2420"/>
  <c r="CJ81" i="2420"/>
  <c r="CD81" i="2420"/>
  <c r="CG81" i="2420"/>
  <c r="CK81" i="2420"/>
  <c r="CC81" i="2420"/>
  <c r="I87" i="2422"/>
  <c r="L90" i="2421"/>
  <c r="CL81" i="2420"/>
  <c r="CB65" i="2420"/>
  <c r="CJ65" i="2420"/>
  <c r="CE65" i="2420"/>
  <c r="BR65" i="2420"/>
  <c r="BS65" i="2420" s="1"/>
  <c r="BU65" i="2420" s="1"/>
  <c r="BV65" i="2420" s="1"/>
  <c r="CH65" i="2420"/>
  <c r="CD65" i="2420"/>
  <c r="CG65" i="2420"/>
  <c r="CK65" i="2420"/>
  <c r="CF65" i="2420"/>
  <c r="I71" i="2422"/>
  <c r="L74" i="2421"/>
  <c r="CC65" i="2420"/>
  <c r="CL65" i="2420"/>
  <c r="CJ49" i="2420"/>
  <c r="CK49" i="2420"/>
  <c r="CC49" i="2420"/>
  <c r="I55" i="2422"/>
  <c r="BR49" i="2420"/>
  <c r="BS49" i="2420" s="1"/>
  <c r="BU49" i="2420" s="1"/>
  <c r="BV49" i="2420" s="1"/>
  <c r="L58" i="2421"/>
  <c r="CH49" i="2420"/>
  <c r="CB49" i="2420"/>
  <c r="CE49" i="2420"/>
  <c r="CF49" i="2420"/>
  <c r="CG49" i="2420"/>
  <c r="CD49" i="2420"/>
  <c r="CL49" i="2420"/>
  <c r="CJ33" i="2420"/>
  <c r="BR33" i="2420"/>
  <c r="BS33" i="2420" s="1"/>
  <c r="BU33" i="2420" s="1"/>
  <c r="BV33" i="2420" s="1"/>
  <c r="CH33" i="2420"/>
  <c r="CK33" i="2420"/>
  <c r="I39" i="2422"/>
  <c r="L42" i="2421"/>
  <c r="CB33" i="2420"/>
  <c r="CE33" i="2420"/>
  <c r="CF33" i="2420"/>
  <c r="CG33" i="2420"/>
  <c r="CC33" i="2420"/>
  <c r="CD33" i="2420"/>
  <c r="CL33" i="2420"/>
  <c r="CB17" i="2420"/>
  <c r="BR17" i="2420"/>
  <c r="CJ17" i="2420"/>
  <c r="CH17" i="2420"/>
  <c r="L26" i="2421"/>
  <c r="CE17" i="2420"/>
  <c r="CF17" i="2420"/>
  <c r="CG17" i="2420"/>
  <c r="CC17" i="2420"/>
  <c r="CD17" i="2420"/>
  <c r="CK17" i="2420"/>
  <c r="I23" i="2422"/>
  <c r="CL17" i="2420"/>
  <c r="BR104" i="2420"/>
  <c r="BS104" i="2420" s="1"/>
  <c r="BU104" i="2420" s="1"/>
  <c r="BV104" i="2420" s="1"/>
  <c r="CB104" i="2420"/>
  <c r="CH104" i="2420"/>
  <c r="CJ104" i="2420"/>
  <c r="L113" i="2421"/>
  <c r="CE104" i="2420"/>
  <c r="CF104" i="2420"/>
  <c r="CC104" i="2420"/>
  <c r="CK104" i="2420"/>
  <c r="I110" i="2422"/>
  <c r="CD104" i="2420"/>
  <c r="CG104" i="2420"/>
  <c r="CL104" i="2420"/>
  <c r="CB88" i="2420"/>
  <c r="CJ88" i="2420"/>
  <c r="CC88" i="2420"/>
  <c r="BR88" i="2420"/>
  <c r="BS88" i="2420" s="1"/>
  <c r="BU88" i="2420" s="1"/>
  <c r="BV88" i="2420" s="1"/>
  <c r="CH88" i="2420"/>
  <c r="CE88" i="2420"/>
  <c r="CK88" i="2420"/>
  <c r="I94" i="2422"/>
  <c r="L97" i="2421"/>
  <c r="CF88" i="2420"/>
  <c r="CG88" i="2420"/>
  <c r="CD88" i="2420"/>
  <c r="CL88" i="2420"/>
  <c r="CJ72" i="2420"/>
  <c r="CC72" i="2420"/>
  <c r="BR72" i="2420"/>
  <c r="BS72" i="2420" s="1"/>
  <c r="BU72" i="2420" s="1"/>
  <c r="BV72" i="2420" s="1"/>
  <c r="CK72" i="2420"/>
  <c r="CH72" i="2420"/>
  <c r="I78" i="2422"/>
  <c r="CE72" i="2420"/>
  <c r="L81" i="2421"/>
  <c r="CB72" i="2420"/>
  <c r="CF72" i="2420"/>
  <c r="CG72" i="2420"/>
  <c r="CD72" i="2420"/>
  <c r="CL72" i="2420"/>
  <c r="CD56" i="2420"/>
  <c r="BR56" i="2420"/>
  <c r="BS56" i="2420" s="1"/>
  <c r="BU56" i="2420" s="1"/>
  <c r="BV56" i="2420" s="1"/>
  <c r="CF56" i="2420"/>
  <c r="CH56" i="2420"/>
  <c r="CK56" i="2420"/>
  <c r="I62" i="2422"/>
  <c r="CB56" i="2420"/>
  <c r="L65" i="2421"/>
  <c r="CJ56" i="2420"/>
  <c r="CE56" i="2420"/>
  <c r="CG56" i="2420"/>
  <c r="CC56" i="2420"/>
  <c r="CL56" i="2420"/>
  <c r="CJ40" i="2420"/>
  <c r="I46" i="2422"/>
  <c r="L49" i="2421"/>
  <c r="BR40" i="2420"/>
  <c r="BS40" i="2420" s="1"/>
  <c r="BU40" i="2420" s="1"/>
  <c r="BV40" i="2420" s="1"/>
  <c r="CE40" i="2420"/>
  <c r="CB40" i="2420"/>
  <c r="CH40" i="2420"/>
  <c r="CK40" i="2420"/>
  <c r="CC40" i="2420"/>
  <c r="CD40" i="2420"/>
  <c r="CF40" i="2420"/>
  <c r="CG40" i="2420"/>
  <c r="CL40" i="2420"/>
  <c r="CJ24" i="2420"/>
  <c r="BR24" i="2420"/>
  <c r="CH24" i="2420"/>
  <c r="CB24" i="2420"/>
  <c r="L33" i="2421"/>
  <c r="CF24" i="2420"/>
  <c r="CC24" i="2420"/>
  <c r="CK24" i="2420"/>
  <c r="CE24" i="2420"/>
  <c r="CD24" i="2420"/>
  <c r="I30" i="2422"/>
  <c r="CG24" i="2420"/>
  <c r="CL24" i="2420"/>
  <c r="CJ103" i="2420"/>
  <c r="CB103" i="2420"/>
  <c r="CF103" i="2420"/>
  <c r="L112" i="2421"/>
  <c r="CK103" i="2420"/>
  <c r="BR103" i="2420"/>
  <c r="BS103" i="2420" s="1"/>
  <c r="BU103" i="2420" s="1"/>
  <c r="BV103" i="2420" s="1"/>
  <c r="I109" i="2422"/>
  <c r="CH103" i="2420"/>
  <c r="CE103" i="2420"/>
  <c r="CC103" i="2420"/>
  <c r="CD103" i="2420"/>
  <c r="CG103" i="2420"/>
  <c r="CL103" i="2420"/>
  <c r="CC87" i="2420"/>
  <c r="CD87" i="2420"/>
  <c r="BR87" i="2420"/>
  <c r="BS87" i="2420" s="1"/>
  <c r="BU87" i="2420" s="1"/>
  <c r="BV87" i="2420" s="1"/>
  <c r="CB87" i="2420"/>
  <c r="CH87" i="2420"/>
  <c r="CJ87" i="2420"/>
  <c r="CK87" i="2420"/>
  <c r="I93" i="2422"/>
  <c r="CF87" i="2420"/>
  <c r="L96" i="2421"/>
  <c r="CG87" i="2420"/>
  <c r="CE87" i="2420"/>
  <c r="CL87" i="2420"/>
  <c r="CD71" i="2420"/>
  <c r="CK71" i="2420"/>
  <c r="CJ71" i="2420"/>
  <c r="BR71" i="2420"/>
  <c r="BS71" i="2420" s="1"/>
  <c r="BU71" i="2420" s="1"/>
  <c r="BV71" i="2420" s="1"/>
  <c r="I77" i="2422"/>
  <c r="CB71" i="2420"/>
  <c r="CH71" i="2420"/>
  <c r="L80" i="2421"/>
  <c r="CC71" i="2420"/>
  <c r="CG71" i="2420"/>
  <c r="CF71" i="2420"/>
  <c r="CE71" i="2420"/>
  <c r="CL71" i="2420"/>
  <c r="CG55" i="2420"/>
  <c r="CC55" i="2420"/>
  <c r="CE55" i="2420"/>
  <c r="CF55" i="2420"/>
  <c r="CJ55" i="2420"/>
  <c r="CB55" i="2420"/>
  <c r="BR55" i="2420"/>
  <c r="BS55" i="2420" s="1"/>
  <c r="BU55" i="2420" s="1"/>
  <c r="BV55" i="2420" s="1"/>
  <c r="CH55" i="2420"/>
  <c r="I61" i="2422"/>
  <c r="L64" i="2421"/>
  <c r="CD55" i="2420"/>
  <c r="CK55" i="2420"/>
  <c r="CL55" i="2420"/>
  <c r="CB39" i="2420"/>
  <c r="CJ39" i="2420"/>
  <c r="CG39" i="2420"/>
  <c r="CK39" i="2420"/>
  <c r="BR39" i="2420"/>
  <c r="BS39" i="2420" s="1"/>
  <c r="BU39" i="2420" s="1"/>
  <c r="BV39" i="2420" s="1"/>
  <c r="I45" i="2422"/>
  <c r="CH39" i="2420"/>
  <c r="L48" i="2421"/>
  <c r="CE39" i="2420"/>
  <c r="CC39" i="2420"/>
  <c r="CF39" i="2420"/>
  <c r="CD39" i="2420"/>
  <c r="CL39" i="2420"/>
  <c r="CH23" i="2420"/>
  <c r="CJ23" i="2420"/>
  <c r="CB23" i="2420"/>
  <c r="BR23" i="2420"/>
  <c r="CE23" i="2420"/>
  <c r="CK23" i="2420"/>
  <c r="I29" i="2422"/>
  <c r="CF23" i="2420"/>
  <c r="L32" i="2421"/>
  <c r="CG23" i="2420"/>
  <c r="CC23" i="2420"/>
  <c r="CD23" i="2420"/>
  <c r="CL23" i="2420"/>
  <c r="K99" i="2422"/>
  <c r="N102" i="2421"/>
  <c r="AW93" i="2420"/>
  <c r="K83" i="2422"/>
  <c r="N86" i="2421"/>
  <c r="AW77" i="2420"/>
  <c r="K67" i="2422"/>
  <c r="N70" i="2421"/>
  <c r="AW61" i="2420"/>
  <c r="N54" i="2421"/>
  <c r="K51" i="2422"/>
  <c r="AW45" i="2420"/>
  <c r="K35" i="2422"/>
  <c r="N38" i="2421"/>
  <c r="AW29" i="2420"/>
  <c r="K19" i="2422"/>
  <c r="N22" i="2421"/>
  <c r="AW13" i="2420"/>
  <c r="L20" i="2390" s="1"/>
  <c r="K106" i="2422"/>
  <c r="N109" i="2421"/>
  <c r="AW100" i="2420"/>
  <c r="K90" i="2422"/>
  <c r="N93" i="2421"/>
  <c r="AW84" i="2420"/>
  <c r="K74" i="2422"/>
  <c r="N77" i="2421"/>
  <c r="AW68" i="2420"/>
  <c r="K58" i="2422"/>
  <c r="N61" i="2421"/>
  <c r="AW52" i="2420"/>
  <c r="K42" i="2422"/>
  <c r="N45" i="2421"/>
  <c r="AW36" i="2420"/>
  <c r="K26" i="2422"/>
  <c r="N29" i="2421"/>
  <c r="AW20" i="2420"/>
  <c r="K97" i="2422"/>
  <c r="N100" i="2421"/>
  <c r="AW91" i="2420"/>
  <c r="N84" i="2421"/>
  <c r="K81" i="2422"/>
  <c r="AW75" i="2420"/>
  <c r="K65" i="2422"/>
  <c r="N68" i="2421"/>
  <c r="AW59" i="2420"/>
  <c r="K49" i="2422"/>
  <c r="N52" i="2421"/>
  <c r="AW43" i="2420"/>
  <c r="K33" i="2422"/>
  <c r="N36" i="2421"/>
  <c r="AW27" i="2420"/>
  <c r="K17" i="2422"/>
  <c r="N20" i="2421"/>
  <c r="AW11" i="2420"/>
  <c r="L18" i="2390" s="1"/>
  <c r="K104" i="2422"/>
  <c r="N107" i="2421"/>
  <c r="AW98" i="2420"/>
  <c r="K88" i="2422"/>
  <c r="N91" i="2421"/>
  <c r="AW82" i="2420"/>
  <c r="K72" i="2422"/>
  <c r="N75" i="2421"/>
  <c r="AW66" i="2420"/>
  <c r="K56" i="2422"/>
  <c r="N59" i="2421"/>
  <c r="AW50" i="2420"/>
  <c r="K40" i="2422"/>
  <c r="N43" i="2421"/>
  <c r="AW34" i="2420"/>
  <c r="K24" i="2422"/>
  <c r="N27" i="2421"/>
  <c r="AW18" i="2420"/>
  <c r="K95" i="2422"/>
  <c r="N98" i="2421"/>
  <c r="AW89" i="2420"/>
  <c r="K79" i="2422"/>
  <c r="N82" i="2421"/>
  <c r="AW73" i="2420"/>
  <c r="K63" i="2422"/>
  <c r="N66" i="2421"/>
  <c r="AW57" i="2420"/>
  <c r="K47" i="2422"/>
  <c r="N50" i="2421"/>
  <c r="AW41" i="2420"/>
  <c r="K31" i="2422"/>
  <c r="N34" i="2421"/>
  <c r="AW25" i="2420"/>
  <c r="L32" i="2390" s="1"/>
  <c r="K102" i="2422"/>
  <c r="N105" i="2421"/>
  <c r="AW96" i="2420"/>
  <c r="K86" i="2422"/>
  <c r="N89" i="2421"/>
  <c r="AW80" i="2420"/>
  <c r="K70" i="2422"/>
  <c r="N73" i="2421"/>
  <c r="AW64" i="2420"/>
  <c r="K54" i="2422"/>
  <c r="N57" i="2421"/>
  <c r="AW48" i="2420"/>
  <c r="N41" i="2421"/>
  <c r="K38" i="2422"/>
  <c r="AW32" i="2420"/>
  <c r="K22" i="2422"/>
  <c r="N25" i="2421"/>
  <c r="AW16" i="2420"/>
  <c r="K109" i="2422"/>
  <c r="N112" i="2421"/>
  <c r="AW103" i="2420"/>
  <c r="K93" i="2422"/>
  <c r="N96" i="2421"/>
  <c r="AW87" i="2420"/>
  <c r="K77" i="2422"/>
  <c r="N80" i="2421"/>
  <c r="AW71" i="2420"/>
  <c r="K61" i="2422"/>
  <c r="N64" i="2421"/>
  <c r="AW55" i="2420"/>
  <c r="K45" i="2422"/>
  <c r="N48" i="2421"/>
  <c r="AW39" i="2420"/>
  <c r="K29" i="2422"/>
  <c r="N32" i="2421"/>
  <c r="AW23" i="2420"/>
  <c r="L30" i="2390" s="1"/>
  <c r="K108" i="2422"/>
  <c r="N111" i="2421"/>
  <c r="AW102" i="2420"/>
  <c r="K92" i="2422"/>
  <c r="N95" i="2421"/>
  <c r="AW86" i="2420"/>
  <c r="K76" i="2422"/>
  <c r="N79" i="2421"/>
  <c r="AW70" i="2420"/>
  <c r="K60" i="2422"/>
  <c r="N63" i="2421"/>
  <c r="AW54" i="2420"/>
  <c r="K44" i="2422"/>
  <c r="N47" i="2421"/>
  <c r="AW38" i="2420"/>
  <c r="K28" i="2422"/>
  <c r="N31" i="2421"/>
  <c r="AW22" i="2420"/>
  <c r="CJ102" i="2420"/>
  <c r="CB102" i="2420"/>
  <c r="L111" i="2421"/>
  <c r="CH102" i="2420"/>
  <c r="BR102" i="2420"/>
  <c r="BS102" i="2420" s="1"/>
  <c r="BU102" i="2420" s="1"/>
  <c r="BV102" i="2420" s="1"/>
  <c r="CG102" i="2420"/>
  <c r="CC102" i="2420"/>
  <c r="CF102" i="2420"/>
  <c r="CK102" i="2420"/>
  <c r="CE102" i="2420"/>
  <c r="I108" i="2422"/>
  <c r="CD102" i="2420"/>
  <c r="CL102" i="2420"/>
  <c r="CH86" i="2420"/>
  <c r="BR86" i="2420"/>
  <c r="BS86" i="2420" s="1"/>
  <c r="BU86" i="2420" s="1"/>
  <c r="BV86" i="2420" s="1"/>
  <c r="CD86" i="2420"/>
  <c r="CK86" i="2420"/>
  <c r="I92" i="2422"/>
  <c r="CJ86" i="2420"/>
  <c r="L95" i="2421"/>
  <c r="CB86" i="2420"/>
  <c r="CF86" i="2420"/>
  <c r="CE86" i="2420"/>
  <c r="CC86" i="2420"/>
  <c r="CG86" i="2420"/>
  <c r="CL86" i="2420"/>
  <c r="CJ70" i="2420"/>
  <c r="CB70" i="2420"/>
  <c r="CC70" i="2420"/>
  <c r="CH70" i="2420"/>
  <c r="CG70" i="2420"/>
  <c r="BR70" i="2420"/>
  <c r="BS70" i="2420" s="1"/>
  <c r="BU70" i="2420" s="1"/>
  <c r="BV70" i="2420" s="1"/>
  <c r="CD70" i="2420"/>
  <c r="CE70" i="2420"/>
  <c r="CK70" i="2420"/>
  <c r="I76" i="2422"/>
  <c r="CF70" i="2420"/>
  <c r="L79" i="2421"/>
  <c r="CL70" i="2420"/>
  <c r="I60" i="2422"/>
  <c r="L63" i="2421"/>
  <c r="CE54" i="2420"/>
  <c r="CH54" i="2420"/>
  <c r="CJ54" i="2420"/>
  <c r="BR54" i="2420"/>
  <c r="BS54" i="2420" s="1"/>
  <c r="BU54" i="2420" s="1"/>
  <c r="BV54" i="2420" s="1"/>
  <c r="CB54" i="2420"/>
  <c r="CC54" i="2420"/>
  <c r="CK54" i="2420"/>
  <c r="CD54" i="2420"/>
  <c r="CF54" i="2420"/>
  <c r="CG54" i="2420"/>
  <c r="CL54" i="2420"/>
  <c r="CH38" i="2420"/>
  <c r="CJ38" i="2420"/>
  <c r="BR38" i="2420"/>
  <c r="BS38" i="2420" s="1"/>
  <c r="BU38" i="2420" s="1"/>
  <c r="BV38" i="2420" s="1"/>
  <c r="CB38" i="2420"/>
  <c r="CK38" i="2420"/>
  <c r="CG38" i="2420"/>
  <c r="I44" i="2422"/>
  <c r="CC38" i="2420"/>
  <c r="L47" i="2421"/>
  <c r="CD38" i="2420"/>
  <c r="CE38" i="2420"/>
  <c r="CF38" i="2420"/>
  <c r="CL38" i="2420"/>
  <c r="CG22" i="2420"/>
  <c r="CJ22" i="2420"/>
  <c r="CH22" i="2420"/>
  <c r="CB22" i="2420"/>
  <c r="BR22" i="2420"/>
  <c r="CF22" i="2420"/>
  <c r="CC22" i="2420"/>
  <c r="CD22" i="2420"/>
  <c r="CK22" i="2420"/>
  <c r="I28" i="2422"/>
  <c r="L31" i="2421"/>
  <c r="CE22" i="2420"/>
  <c r="CL22" i="2420"/>
  <c r="CH93" i="2420"/>
  <c r="CJ93" i="2420"/>
  <c r="CB93" i="2420"/>
  <c r="L102" i="2421"/>
  <c r="I99" i="2422"/>
  <c r="BR93" i="2420"/>
  <c r="BS93" i="2420" s="1"/>
  <c r="BU93" i="2420" s="1"/>
  <c r="BV93" i="2420" s="1"/>
  <c r="CE93" i="2420"/>
  <c r="CC93" i="2420"/>
  <c r="CF93" i="2420"/>
  <c r="CG93" i="2420"/>
  <c r="CK93" i="2420"/>
  <c r="CD93" i="2420"/>
  <c r="CL93" i="2420"/>
  <c r="CB77" i="2420"/>
  <c r="CG77" i="2420"/>
  <c r="CK77" i="2420"/>
  <c r="I83" i="2422"/>
  <c r="CF77" i="2420"/>
  <c r="L86" i="2421"/>
  <c r="BR77" i="2420"/>
  <c r="BS77" i="2420" s="1"/>
  <c r="BU77" i="2420" s="1"/>
  <c r="BV77" i="2420" s="1"/>
  <c r="CH77" i="2420"/>
  <c r="CJ77" i="2420"/>
  <c r="CD77" i="2420"/>
  <c r="CE77" i="2420"/>
  <c r="CC77" i="2420"/>
  <c r="CL77" i="2420"/>
  <c r="BR61" i="2420"/>
  <c r="BS61" i="2420" s="1"/>
  <c r="BU61" i="2420" s="1"/>
  <c r="BV61" i="2420" s="1"/>
  <c r="CH61" i="2420"/>
  <c r="CJ61" i="2420"/>
  <c r="CB61" i="2420"/>
  <c r="CF61" i="2420"/>
  <c r="CC61" i="2420"/>
  <c r="CG61" i="2420"/>
  <c r="CK61" i="2420"/>
  <c r="CE61" i="2420"/>
  <c r="I67" i="2422"/>
  <c r="L70" i="2421"/>
  <c r="CD61" i="2420"/>
  <c r="CL61" i="2420"/>
  <c r="CB45" i="2420"/>
  <c r="CK45" i="2420"/>
  <c r="I51" i="2422"/>
  <c r="CC45" i="2420"/>
  <c r="L54" i="2421"/>
  <c r="CG45" i="2420"/>
  <c r="BR45" i="2420"/>
  <c r="BS45" i="2420" s="1"/>
  <c r="BU45" i="2420" s="1"/>
  <c r="BV45" i="2420" s="1"/>
  <c r="CJ45" i="2420"/>
  <c r="CH45" i="2420"/>
  <c r="CF45" i="2420"/>
  <c r="CE45" i="2420"/>
  <c r="CD45" i="2420"/>
  <c r="CL45" i="2420"/>
  <c r="CE29" i="2420"/>
  <c r="CK29" i="2420"/>
  <c r="I35" i="2422"/>
  <c r="CJ29" i="2420"/>
  <c r="CH29" i="2420"/>
  <c r="L38" i="2421"/>
  <c r="CB29" i="2420"/>
  <c r="BR29" i="2420"/>
  <c r="BS29" i="2420" s="1"/>
  <c r="CD29" i="2420"/>
  <c r="CF29" i="2420"/>
  <c r="CG29" i="2420"/>
  <c r="CC29" i="2420"/>
  <c r="CL29" i="2420"/>
  <c r="CB13" i="2420"/>
  <c r="CH13" i="2420"/>
  <c r="BR13" i="2420"/>
  <c r="CJ13" i="2420"/>
  <c r="CG13" i="2420"/>
  <c r="CC13" i="2420"/>
  <c r="CD13" i="2420"/>
  <c r="CE13" i="2420"/>
  <c r="CK13" i="2420"/>
  <c r="I19" i="2422"/>
  <c r="L22" i="2421"/>
  <c r="CF13" i="2420"/>
  <c r="CL13" i="2420"/>
  <c r="CG100" i="2420"/>
  <c r="CJ100" i="2420"/>
  <c r="CB100" i="2420"/>
  <c r="L109" i="2421"/>
  <c r="CK100" i="2420"/>
  <c r="CH100" i="2420"/>
  <c r="CC100" i="2420"/>
  <c r="BR100" i="2420"/>
  <c r="BS100" i="2420" s="1"/>
  <c r="BU100" i="2420" s="1"/>
  <c r="BV100" i="2420" s="1"/>
  <c r="CE100" i="2420"/>
  <c r="CF100" i="2420"/>
  <c r="I106" i="2422"/>
  <c r="CD100" i="2420"/>
  <c r="CL100" i="2420"/>
  <c r="CB84" i="2420"/>
  <c r="CH84" i="2420"/>
  <c r="BR84" i="2420"/>
  <c r="BS84" i="2420" s="1"/>
  <c r="BU84" i="2420" s="1"/>
  <c r="BV84" i="2420" s="1"/>
  <c r="CJ84" i="2420"/>
  <c r="I90" i="2422"/>
  <c r="CC84" i="2420"/>
  <c r="L93" i="2421"/>
  <c r="CE84" i="2420"/>
  <c r="CG84" i="2420"/>
  <c r="CF84" i="2420"/>
  <c r="CD84" i="2420"/>
  <c r="CK84" i="2420"/>
  <c r="CL84" i="2420"/>
  <c r="BR68" i="2420"/>
  <c r="BS68" i="2420" s="1"/>
  <c r="BU68" i="2420" s="1"/>
  <c r="BV68" i="2420" s="1"/>
  <c r="CJ68" i="2420"/>
  <c r="CB68" i="2420"/>
  <c r="CH68" i="2420"/>
  <c r="CK68" i="2420"/>
  <c r="CD68" i="2420"/>
  <c r="I74" i="2422"/>
  <c r="L77" i="2421"/>
  <c r="CE68" i="2420"/>
  <c r="CC68" i="2420"/>
  <c r="CF68" i="2420"/>
  <c r="CG68" i="2420"/>
  <c r="CL68" i="2420"/>
  <c r="CJ52" i="2420"/>
  <c r="CH52" i="2420"/>
  <c r="BR52" i="2420"/>
  <c r="BS52" i="2420" s="1"/>
  <c r="BU52" i="2420" s="1"/>
  <c r="BV52" i="2420" s="1"/>
  <c r="CK52" i="2420"/>
  <c r="I58" i="2422"/>
  <c r="L61" i="2421"/>
  <c r="CB52" i="2420"/>
  <c r="CE52" i="2420"/>
  <c r="CC52" i="2420"/>
  <c r="CF52" i="2420"/>
  <c r="CG52" i="2420"/>
  <c r="CD52" i="2420"/>
  <c r="CL52" i="2420"/>
  <c r="CH36" i="2420"/>
  <c r="BR36" i="2420"/>
  <c r="BS36" i="2420" s="1"/>
  <c r="BU36" i="2420" s="1"/>
  <c r="BV36" i="2420" s="1"/>
  <c r="CE36" i="2420"/>
  <c r="CJ36" i="2420"/>
  <c r="CB36" i="2420"/>
  <c r="CC36" i="2420"/>
  <c r="CG36" i="2420"/>
  <c r="CF36" i="2420"/>
  <c r="CK36" i="2420"/>
  <c r="I42" i="2422"/>
  <c r="L45" i="2421"/>
  <c r="CD36" i="2420"/>
  <c r="CL36" i="2420"/>
  <c r="CJ20" i="2420"/>
  <c r="CC20" i="2420"/>
  <c r="CH20" i="2420"/>
  <c r="CE20" i="2420"/>
  <c r="BR20" i="2420"/>
  <c r="CB20" i="2420"/>
  <c r="CG20" i="2420"/>
  <c r="CF20" i="2420"/>
  <c r="CK20" i="2420"/>
  <c r="I26" i="2422"/>
  <c r="CD20" i="2420"/>
  <c r="L29" i="2421"/>
  <c r="CL20" i="2420"/>
  <c r="CE91" i="2420"/>
  <c r="CJ91" i="2420"/>
  <c r="L100" i="2421"/>
  <c r="CB91" i="2420"/>
  <c r="CH91" i="2420"/>
  <c r="BR91" i="2420"/>
  <c r="BS91" i="2420" s="1"/>
  <c r="BU91" i="2420" s="1"/>
  <c r="BV91" i="2420" s="1"/>
  <c r="CD91" i="2420"/>
  <c r="CF91" i="2420"/>
  <c r="CK91" i="2420"/>
  <c r="I97" i="2422"/>
  <c r="CG91" i="2420"/>
  <c r="CC91" i="2420"/>
  <c r="CL91" i="2420"/>
  <c r="CJ75" i="2420"/>
  <c r="CD75" i="2420"/>
  <c r="CH75" i="2420"/>
  <c r="BR75" i="2420"/>
  <c r="BS75" i="2420" s="1"/>
  <c r="BU75" i="2420" s="1"/>
  <c r="BV75" i="2420" s="1"/>
  <c r="CB75" i="2420"/>
  <c r="CE75" i="2420"/>
  <c r="CK75" i="2420"/>
  <c r="CC75" i="2420"/>
  <c r="CG75" i="2420"/>
  <c r="I81" i="2422"/>
  <c r="CF75" i="2420"/>
  <c r="L84" i="2421"/>
  <c r="CL75" i="2420"/>
  <c r="CF59" i="2420"/>
  <c r="CD59" i="2420"/>
  <c r="CC59" i="2420"/>
  <c r="CB59" i="2420"/>
  <c r="CH59" i="2420"/>
  <c r="CG59" i="2420"/>
  <c r="CJ59" i="2420"/>
  <c r="BR59" i="2420"/>
  <c r="BS59" i="2420" s="1"/>
  <c r="BU59" i="2420" s="1"/>
  <c r="BV59" i="2420" s="1"/>
  <c r="CE59" i="2420"/>
  <c r="CK59" i="2420"/>
  <c r="I65" i="2422"/>
  <c r="L68" i="2421"/>
  <c r="CL59" i="2420"/>
  <c r="CJ43" i="2420"/>
  <c r="CD43" i="2420"/>
  <c r="CG43" i="2420"/>
  <c r="CE43" i="2420"/>
  <c r="CF43" i="2420"/>
  <c r="CH43" i="2420"/>
  <c r="BR43" i="2420"/>
  <c r="BS43" i="2420" s="1"/>
  <c r="BU43" i="2420" s="1"/>
  <c r="BV43" i="2420" s="1"/>
  <c r="CB43" i="2420"/>
  <c r="CC43" i="2420"/>
  <c r="CK43" i="2420"/>
  <c r="I49" i="2422"/>
  <c r="L52" i="2421"/>
  <c r="CL43" i="2420"/>
  <c r="CH27" i="2420"/>
  <c r="BR27" i="2420"/>
  <c r="BS27" i="2420" s="1"/>
  <c r="BU27" i="2420" s="1"/>
  <c r="BV27" i="2420" s="1"/>
  <c r="CB27" i="2420"/>
  <c r="CJ27" i="2420"/>
  <c r="CK27" i="2420"/>
  <c r="I33" i="2422"/>
  <c r="L36" i="2421"/>
  <c r="CG27" i="2420"/>
  <c r="CE27" i="2420"/>
  <c r="CD27" i="2420"/>
  <c r="CC27" i="2420"/>
  <c r="CF27" i="2420"/>
  <c r="CL27" i="2420"/>
  <c r="CJ11" i="2420"/>
  <c r="CH11" i="2420"/>
  <c r="BR11" i="2420"/>
  <c r="CB11" i="2420"/>
  <c r="L20" i="2421"/>
  <c r="CD11" i="2420"/>
  <c r="CE11" i="2420"/>
  <c r="CF11" i="2420"/>
  <c r="CG11" i="2420"/>
  <c r="CC11" i="2420"/>
  <c r="CK11" i="2420" s="1"/>
  <c r="I17" i="2422"/>
  <c r="CL11" i="2420"/>
  <c r="CJ98" i="2420"/>
  <c r="CH98" i="2420"/>
  <c r="BR98" i="2420"/>
  <c r="BS98" i="2420" s="1"/>
  <c r="BU98" i="2420" s="1"/>
  <c r="BV98" i="2420" s="1"/>
  <c r="CG98" i="2420"/>
  <c r="CC98" i="2420"/>
  <c r="CE98" i="2420"/>
  <c r="CB98" i="2420"/>
  <c r="CD98" i="2420"/>
  <c r="CK98" i="2420"/>
  <c r="CF98" i="2420"/>
  <c r="I104" i="2422"/>
  <c r="L107" i="2421"/>
  <c r="CL98" i="2420"/>
  <c r="CB82" i="2420"/>
  <c r="CE82" i="2420"/>
  <c r="CJ82" i="2420"/>
  <c r="CG82" i="2420"/>
  <c r="CH82" i="2420"/>
  <c r="BR82" i="2420"/>
  <c r="BS82" i="2420" s="1"/>
  <c r="BU82" i="2420" s="1"/>
  <c r="BV82" i="2420" s="1"/>
  <c r="CF82" i="2420"/>
  <c r="CK82" i="2420"/>
  <c r="CD82" i="2420"/>
  <c r="CC82" i="2420"/>
  <c r="I88" i="2422"/>
  <c r="L91" i="2421"/>
  <c r="CL82" i="2420"/>
  <c r="CJ66" i="2420"/>
  <c r="CE66" i="2420"/>
  <c r="CG66" i="2420"/>
  <c r="CH66" i="2420"/>
  <c r="BR66" i="2420"/>
  <c r="BS66" i="2420" s="1"/>
  <c r="BU66" i="2420" s="1"/>
  <c r="BV66" i="2420" s="1"/>
  <c r="CB66" i="2420"/>
  <c r="CF66" i="2420"/>
  <c r="CK66" i="2420"/>
  <c r="I72" i="2422"/>
  <c r="L75" i="2421"/>
  <c r="CD66" i="2420"/>
  <c r="CC66" i="2420"/>
  <c r="CL66" i="2420"/>
  <c r="BR50" i="2420"/>
  <c r="BS50" i="2420" s="1"/>
  <c r="BU50" i="2420" s="1"/>
  <c r="BV50" i="2420" s="1"/>
  <c r="CB50" i="2420"/>
  <c r="CJ50" i="2420"/>
  <c r="CH50" i="2420"/>
  <c r="L59" i="2421"/>
  <c r="CE50" i="2420"/>
  <c r="CG50" i="2420"/>
  <c r="CC50" i="2420"/>
  <c r="CD50" i="2420"/>
  <c r="CK50" i="2420"/>
  <c r="I56" i="2422"/>
  <c r="CF50" i="2420"/>
  <c r="CL50" i="2420"/>
  <c r="CJ34" i="2420"/>
  <c r="CH34" i="2420"/>
  <c r="BR34" i="2420"/>
  <c r="BS34" i="2420" s="1"/>
  <c r="BU34" i="2420" s="1"/>
  <c r="BV34" i="2420" s="1"/>
  <c r="CB34" i="2420"/>
  <c r="CK34" i="2420"/>
  <c r="CD34" i="2420"/>
  <c r="I40" i="2422"/>
  <c r="CE34" i="2420"/>
  <c r="L43" i="2421"/>
  <c r="CG34" i="2420"/>
  <c r="CF34" i="2420"/>
  <c r="CC34" i="2420"/>
  <c r="CL34" i="2420"/>
  <c r="BR18" i="2420"/>
  <c r="CB18" i="2420"/>
  <c r="CJ18" i="2420"/>
  <c r="CH18" i="2420"/>
  <c r="L27" i="2421"/>
  <c r="CC18" i="2420"/>
  <c r="CF18" i="2420"/>
  <c r="CE18" i="2420"/>
  <c r="CG18" i="2420"/>
  <c r="CK18" i="2420"/>
  <c r="I24" i="2422"/>
  <c r="CD18" i="2420"/>
  <c r="CL18" i="2420"/>
  <c r="CB89" i="2420"/>
  <c r="CJ89" i="2420"/>
  <c r="BR89" i="2420"/>
  <c r="BS89" i="2420" s="1"/>
  <c r="BU89" i="2420" s="1"/>
  <c r="BV89" i="2420" s="1"/>
  <c r="CH89" i="2420"/>
  <c r="I95" i="2422"/>
  <c r="L98" i="2421"/>
  <c r="CE89" i="2420"/>
  <c r="CC89" i="2420"/>
  <c r="CF89" i="2420"/>
  <c r="CD89" i="2420"/>
  <c r="CK89" i="2420"/>
  <c r="CG89" i="2420"/>
  <c r="CL89" i="2420"/>
  <c r="CB73" i="2420"/>
  <c r="CK73" i="2420"/>
  <c r="CJ73" i="2420"/>
  <c r="BR73" i="2420"/>
  <c r="BS73" i="2420" s="1"/>
  <c r="BU73" i="2420" s="1"/>
  <c r="BV73" i="2420" s="1"/>
  <c r="I79" i="2422"/>
  <c r="CH73" i="2420"/>
  <c r="L82" i="2421"/>
  <c r="CF73" i="2420"/>
  <c r="CG73" i="2420"/>
  <c r="CE73" i="2420"/>
  <c r="CD73" i="2420"/>
  <c r="CC73" i="2420"/>
  <c r="CL73" i="2420"/>
  <c r="BR57" i="2420"/>
  <c r="BS57" i="2420" s="1"/>
  <c r="BU57" i="2420" s="1"/>
  <c r="BV57" i="2420" s="1"/>
  <c r="CH57" i="2420"/>
  <c r="CC57" i="2420"/>
  <c r="CF57" i="2420"/>
  <c r="CB57" i="2420"/>
  <c r="CJ57" i="2420"/>
  <c r="CG57" i="2420"/>
  <c r="CD57" i="2420"/>
  <c r="CK57" i="2420"/>
  <c r="CE57" i="2420"/>
  <c r="I63" i="2422"/>
  <c r="L66" i="2421"/>
  <c r="CL57" i="2420"/>
  <c r="CB41" i="2420"/>
  <c r="BR41" i="2420"/>
  <c r="BS41" i="2420" s="1"/>
  <c r="BU41" i="2420" s="1"/>
  <c r="BV41" i="2420" s="1"/>
  <c r="CJ41" i="2420"/>
  <c r="CH41" i="2420"/>
  <c r="CF41" i="2420"/>
  <c r="CC41" i="2420"/>
  <c r="CD41" i="2420"/>
  <c r="CK41" i="2420"/>
  <c r="I47" i="2422"/>
  <c r="CG41" i="2420"/>
  <c r="L50" i="2421"/>
  <c r="CE41" i="2420"/>
  <c r="CL41" i="2420"/>
  <c r="CD25" i="2420"/>
  <c r="CF25" i="2420"/>
  <c r="CB25" i="2420"/>
  <c r="BR25" i="2420"/>
  <c r="CJ25" i="2420"/>
  <c r="CH25" i="2420"/>
  <c r="CG25" i="2420"/>
  <c r="I31" i="2422"/>
  <c r="CE25" i="2420"/>
  <c r="L34" i="2421"/>
  <c r="CC25" i="2420"/>
  <c r="CK25" i="2420"/>
  <c r="CL25" i="2420"/>
  <c r="CB96" i="2420"/>
  <c r="CJ96" i="2420"/>
  <c r="CG96" i="2420"/>
  <c r="CE96" i="2420"/>
  <c r="CC96" i="2420"/>
  <c r="I102" i="2422"/>
  <c r="BR96" i="2420"/>
  <c r="BS96" i="2420" s="1"/>
  <c r="BU96" i="2420" s="1"/>
  <c r="BV96" i="2420" s="1"/>
  <c r="CH96" i="2420"/>
  <c r="CD96" i="2420"/>
  <c r="CK96" i="2420"/>
  <c r="L105" i="2421"/>
  <c r="CF96" i="2420"/>
  <c r="CL96" i="2420"/>
  <c r="CF80" i="2420"/>
  <c r="CC80" i="2420"/>
  <c r="BR80" i="2420"/>
  <c r="BS80" i="2420" s="1"/>
  <c r="BU80" i="2420" s="1"/>
  <c r="BV80" i="2420" s="1"/>
  <c r="CH80" i="2420"/>
  <c r="CB80" i="2420"/>
  <c r="CJ80" i="2420"/>
  <c r="CG80" i="2420"/>
  <c r="CE80" i="2420"/>
  <c r="CK80" i="2420"/>
  <c r="I86" i="2422"/>
  <c r="CD80" i="2420"/>
  <c r="L89" i="2421"/>
  <c r="CL80" i="2420"/>
  <c r="CH64" i="2420"/>
  <c r="CK64" i="2420"/>
  <c r="CE64" i="2420"/>
  <c r="I70" i="2422"/>
  <c r="L73" i="2421"/>
  <c r="CB64" i="2420"/>
  <c r="CJ64" i="2420"/>
  <c r="CC64" i="2420"/>
  <c r="BR64" i="2420"/>
  <c r="BS64" i="2420" s="1"/>
  <c r="BU64" i="2420" s="1"/>
  <c r="BV64" i="2420" s="1"/>
  <c r="CG64" i="2420"/>
  <c r="CF64" i="2420"/>
  <c r="CD64" i="2420"/>
  <c r="CL64" i="2420"/>
  <c r="CB48" i="2420"/>
  <c r="CJ48" i="2420"/>
  <c r="CG48" i="2420"/>
  <c r="BR48" i="2420"/>
  <c r="BS48" i="2420" s="1"/>
  <c r="BU48" i="2420" s="1"/>
  <c r="BV48" i="2420" s="1"/>
  <c r="CH48" i="2420"/>
  <c r="CF48" i="2420"/>
  <c r="CD48" i="2420"/>
  <c r="CC48" i="2420"/>
  <c r="CK48" i="2420"/>
  <c r="CE48" i="2420"/>
  <c r="I54" i="2422"/>
  <c r="L57" i="2421"/>
  <c r="CL48" i="2420"/>
  <c r="BR32" i="2420"/>
  <c r="BS32" i="2420" s="1"/>
  <c r="CH32" i="2420"/>
  <c r="CC32" i="2420"/>
  <c r="CG32" i="2420"/>
  <c r="CB32" i="2420"/>
  <c r="CJ32" i="2420"/>
  <c r="CF32" i="2420"/>
  <c r="CE32" i="2420"/>
  <c r="CK32" i="2420"/>
  <c r="I38" i="2422"/>
  <c r="L41" i="2421"/>
  <c r="CD32" i="2420"/>
  <c r="CL32" i="2420"/>
  <c r="CK16" i="2420"/>
  <c r="I22" i="2422"/>
  <c r="CC16" i="2420"/>
  <c r="L25" i="2421"/>
  <c r="CB16" i="2420"/>
  <c r="BR16" i="2420"/>
  <c r="CJ16" i="2420"/>
  <c r="CH16" i="2420"/>
  <c r="CG16" i="2420"/>
  <c r="CD16" i="2420"/>
  <c r="CE16" i="2420"/>
  <c r="CF16" i="2420"/>
  <c r="CL16" i="2420"/>
  <c r="L104" i="2421"/>
  <c r="BR95" i="2420"/>
  <c r="BS95" i="2420" s="1"/>
  <c r="BU95" i="2420" s="1"/>
  <c r="BV95" i="2420" s="1"/>
  <c r="CE95" i="2420"/>
  <c r="CH95" i="2420"/>
  <c r="CJ95" i="2420"/>
  <c r="CB95" i="2420"/>
  <c r="CD95" i="2420"/>
  <c r="CC95" i="2420"/>
  <c r="CK95" i="2420"/>
  <c r="CG95" i="2420"/>
  <c r="I101" i="2422"/>
  <c r="CF95" i="2420"/>
  <c r="CL95" i="2420"/>
  <c r="CB79" i="2420"/>
  <c r="CH79" i="2420"/>
  <c r="CD79" i="2420"/>
  <c r="CJ79" i="2420"/>
  <c r="BR79" i="2420"/>
  <c r="BS79" i="2420" s="1"/>
  <c r="BU79" i="2420" s="1"/>
  <c r="BV79" i="2420" s="1"/>
  <c r="CK79" i="2420"/>
  <c r="I85" i="2422"/>
  <c r="CC79" i="2420"/>
  <c r="L88" i="2421"/>
  <c r="CG79" i="2420"/>
  <c r="CE79" i="2420"/>
  <c r="CF79" i="2420"/>
  <c r="CL79" i="2420"/>
  <c r="CJ63" i="2420"/>
  <c r="CG63" i="2420"/>
  <c r="CC63" i="2420"/>
  <c r="CB63" i="2420"/>
  <c r="BR63" i="2420"/>
  <c r="BS63" i="2420" s="1"/>
  <c r="BU63" i="2420" s="1"/>
  <c r="BV63" i="2420" s="1"/>
  <c r="CH63" i="2420"/>
  <c r="CE63" i="2420"/>
  <c r="CK63" i="2420"/>
  <c r="I69" i="2422"/>
  <c r="L72" i="2421"/>
  <c r="CD63" i="2420"/>
  <c r="CF63" i="2420"/>
  <c r="CL63" i="2420"/>
  <c r="CB47" i="2420"/>
  <c r="BR47" i="2420"/>
  <c r="BS47" i="2420" s="1"/>
  <c r="BU47" i="2420" s="1"/>
  <c r="BV47" i="2420" s="1"/>
  <c r="CH47" i="2420"/>
  <c r="CJ47" i="2420"/>
  <c r="I53" i="2422"/>
  <c r="L56" i="2421"/>
  <c r="CF47" i="2420"/>
  <c r="CG47" i="2420"/>
  <c r="CD47" i="2420"/>
  <c r="CC47" i="2420"/>
  <c r="CE47" i="2420"/>
  <c r="CK47" i="2420"/>
  <c r="CL47" i="2420"/>
  <c r="CJ31" i="2420"/>
  <c r="CE31" i="2420"/>
  <c r="CB31" i="2420"/>
  <c r="BR31" i="2420"/>
  <c r="BS31" i="2420" s="1"/>
  <c r="BU31" i="2420" s="1"/>
  <c r="BV31" i="2420" s="1"/>
  <c r="CH31" i="2420"/>
  <c r="CG31" i="2420"/>
  <c r="CC31" i="2420"/>
  <c r="CK31" i="2420"/>
  <c r="CD31" i="2420"/>
  <c r="I37" i="2422"/>
  <c r="L40" i="2421"/>
  <c r="CF31" i="2420"/>
  <c r="CL31" i="2420"/>
  <c r="K107" i="2422"/>
  <c r="N110" i="2421"/>
  <c r="AW101" i="2420"/>
  <c r="K91" i="2422"/>
  <c r="N94" i="2421"/>
  <c r="AW85" i="2420"/>
  <c r="N78" i="2421"/>
  <c r="K75" i="2422"/>
  <c r="AW69" i="2420"/>
  <c r="K59" i="2422"/>
  <c r="N62" i="2421"/>
  <c r="AW53" i="2420"/>
  <c r="K43" i="2422"/>
  <c r="N46" i="2421"/>
  <c r="AW37" i="2420"/>
  <c r="K27" i="2422"/>
  <c r="N30" i="2421"/>
  <c r="AW21" i="2420"/>
  <c r="K98" i="2422"/>
  <c r="N101" i="2421"/>
  <c r="AW92" i="2420"/>
  <c r="K82" i="2422"/>
  <c r="N85" i="2421"/>
  <c r="AW76" i="2420"/>
  <c r="K66" i="2422"/>
  <c r="N69" i="2421"/>
  <c r="AW60" i="2420"/>
  <c r="K50" i="2422"/>
  <c r="N53" i="2421"/>
  <c r="AW44" i="2420"/>
  <c r="K34" i="2422"/>
  <c r="N37" i="2421"/>
  <c r="AW28" i="2420"/>
  <c r="K18" i="2422"/>
  <c r="N21" i="2421"/>
  <c r="AW12" i="2420"/>
  <c r="L19" i="2390" s="1"/>
  <c r="K105" i="2422"/>
  <c r="N108" i="2421"/>
  <c r="AW99" i="2420"/>
  <c r="N92" i="2421"/>
  <c r="K89" i="2422"/>
  <c r="AW83" i="2420"/>
  <c r="K73" i="2422"/>
  <c r="N76" i="2421"/>
  <c r="AW67" i="2420"/>
  <c r="N60" i="2421"/>
  <c r="K57" i="2422"/>
  <c r="AW51" i="2420"/>
  <c r="K41" i="2422"/>
  <c r="N44" i="2421"/>
  <c r="AW35" i="2420"/>
  <c r="K25" i="2422"/>
  <c r="N28" i="2421"/>
  <c r="AW19" i="2420"/>
  <c r="K96" i="2422"/>
  <c r="N99" i="2421"/>
  <c r="AW90" i="2420"/>
  <c r="N83" i="2421"/>
  <c r="K80" i="2422"/>
  <c r="AW74" i="2420"/>
  <c r="K64" i="2422"/>
  <c r="N67" i="2421"/>
  <c r="AW58" i="2420"/>
  <c r="K48" i="2422"/>
  <c r="N51" i="2421"/>
  <c r="AW42" i="2420"/>
  <c r="K32" i="2422"/>
  <c r="N35" i="2421"/>
  <c r="AW26" i="2420"/>
  <c r="L33" i="2390" s="1"/>
  <c r="N19" i="2421"/>
  <c r="K16" i="2422"/>
  <c r="AW10" i="2420"/>
  <c r="L17" i="2390" s="1"/>
  <c r="K103" i="2422"/>
  <c r="N106" i="2421"/>
  <c r="AW97" i="2420"/>
  <c r="K87" i="2422"/>
  <c r="N90" i="2421"/>
  <c r="AW81" i="2420"/>
  <c r="K71" i="2422"/>
  <c r="N74" i="2421"/>
  <c r="AW65" i="2420"/>
  <c r="K55" i="2422"/>
  <c r="N58" i="2421"/>
  <c r="AW49" i="2420"/>
  <c r="K39" i="2422"/>
  <c r="N42" i="2421"/>
  <c r="AW33" i="2420"/>
  <c r="K23" i="2422"/>
  <c r="N26" i="2421"/>
  <c r="AW17" i="2420"/>
  <c r="K110" i="2422"/>
  <c r="N113" i="2421"/>
  <c r="AW104" i="2420"/>
  <c r="K94" i="2422"/>
  <c r="N97" i="2421"/>
  <c r="AW88" i="2420"/>
  <c r="K78" i="2422"/>
  <c r="N81" i="2421"/>
  <c r="AW72" i="2420"/>
  <c r="K62" i="2422"/>
  <c r="N65" i="2421"/>
  <c r="AW56" i="2420"/>
  <c r="K46" i="2422"/>
  <c r="N49" i="2421"/>
  <c r="AW40" i="2420"/>
  <c r="K30" i="2422"/>
  <c r="N33" i="2421"/>
  <c r="AW24" i="2420"/>
  <c r="L31" i="2390" s="1"/>
  <c r="K101" i="2422"/>
  <c r="N104" i="2421"/>
  <c r="AW95" i="2420"/>
  <c r="K85" i="2422"/>
  <c r="N88" i="2421"/>
  <c r="AW79" i="2420"/>
  <c r="K69" i="2422"/>
  <c r="N72" i="2421"/>
  <c r="AW63" i="2420"/>
  <c r="K53" i="2422"/>
  <c r="N56" i="2421"/>
  <c r="AW47" i="2420"/>
  <c r="K37" i="2422"/>
  <c r="N40" i="2421"/>
  <c r="AW31" i="2420"/>
  <c r="K100" i="2422"/>
  <c r="N103" i="2421"/>
  <c r="AW94" i="2420"/>
  <c r="K84" i="2422"/>
  <c r="N87" i="2421"/>
  <c r="AW78" i="2420"/>
  <c r="K68" i="2422"/>
  <c r="N71" i="2421"/>
  <c r="AW62" i="2420"/>
  <c r="K52" i="2422"/>
  <c r="N55" i="2421"/>
  <c r="AW46" i="2420"/>
  <c r="K36" i="2422"/>
  <c r="N39" i="2421"/>
  <c r="AW30" i="2420"/>
  <c r="K20" i="2422"/>
  <c r="N23" i="2421"/>
  <c r="AW14" i="2420"/>
  <c r="L21" i="2390" s="1"/>
  <c r="CA11" i="2422"/>
  <c r="ET11" i="2422"/>
  <c r="FL11" i="2422"/>
  <c r="DK11" i="2422"/>
  <c r="JG13" i="2422"/>
  <c r="AZ11" i="2422"/>
  <c r="EK11" i="2422"/>
  <c r="FV11" i="2422"/>
  <c r="GW12" i="2422"/>
  <c r="JZ11"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U114" i="2422"/>
  <c r="V114" i="2422" s="1"/>
  <c r="AP11" i="2422"/>
  <c r="BR11" i="2422"/>
  <c r="CJ11" i="2422"/>
  <c r="JY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JY107" i="2422"/>
  <c r="JY110" i="2422"/>
  <c r="JY109" i="2422"/>
  <c r="CR110" i="2383" s="1"/>
  <c r="JY108" i="2422"/>
  <c r="JY17" i="2422"/>
  <c r="JY84" i="2422"/>
  <c r="JY83" i="2422"/>
  <c r="JY82" i="2422"/>
  <c r="JY81" i="2422"/>
  <c r="JY79" i="2422"/>
  <c r="JY78" i="2422"/>
  <c r="JY77" i="2422"/>
  <c r="JY76" i="2422"/>
  <c r="JY73" i="2422"/>
  <c r="JY72" i="2422"/>
  <c r="JY69" i="2422"/>
  <c r="JY68" i="2422"/>
  <c r="JY65" i="2422"/>
  <c r="JY64" i="2422"/>
  <c r="JY62" i="2422"/>
  <c r="JY61" i="2422"/>
  <c r="JY60" i="2422"/>
  <c r="JY58" i="2422"/>
  <c r="JY56" i="2422"/>
  <c r="JY54" i="2422"/>
  <c r="JY53" i="2422"/>
  <c r="JY52" i="2422"/>
  <c r="JY51" i="2422"/>
  <c r="JY50" i="2422"/>
  <c r="JY49" i="2422"/>
  <c r="JY47" i="2422"/>
  <c r="JY46" i="2422"/>
  <c r="JY45" i="2422"/>
  <c r="JY44" i="2422"/>
  <c r="JY42" i="2422"/>
  <c r="JY41" i="2422"/>
  <c r="JY40" i="2422"/>
  <c r="JY37" i="2422"/>
  <c r="JY36" i="2422"/>
  <c r="JY34" i="2422"/>
  <c r="JY33" i="2422"/>
  <c r="JY32" i="2422"/>
  <c r="JY30" i="2422"/>
  <c r="JY29" i="2422"/>
  <c r="JY28" i="2422"/>
  <c r="JY26" i="2422"/>
  <c r="JY24" i="2422"/>
  <c r="JY22" i="2422"/>
  <c r="JY21" i="2422"/>
  <c r="JY20" i="2422"/>
  <c r="JY19" i="2422"/>
  <c r="JY16" i="2422"/>
  <c r="JY106" i="2422"/>
  <c r="JY105" i="2422"/>
  <c r="JY104" i="2422"/>
  <c r="JY102" i="2422"/>
  <c r="JY101" i="2422"/>
  <c r="JY100" i="2422"/>
  <c r="JY98" i="2422"/>
  <c r="JY97" i="2422"/>
  <c r="JY96" i="2422"/>
  <c r="JY94" i="2422"/>
  <c r="JY93" i="2422"/>
  <c r="JY92" i="2422"/>
  <c r="JY90" i="2422"/>
  <c r="JY88" i="2422"/>
  <c r="JY86" i="2422"/>
  <c r="JY85" i="2422"/>
  <c r="JY80" i="2422"/>
  <c r="JY75" i="2422"/>
  <c r="JY74" i="2422"/>
  <c r="JY71" i="2422"/>
  <c r="JY70" i="2422"/>
  <c r="JY67" i="2422"/>
  <c r="JY66" i="2422"/>
  <c r="JY63" i="2422"/>
  <c r="JY59" i="2422"/>
  <c r="JY57" i="2422"/>
  <c r="JY55" i="2422"/>
  <c r="JY48" i="2422"/>
  <c r="JY43" i="2422"/>
  <c r="JY39" i="2422"/>
  <c r="JY38" i="2422"/>
  <c r="JY35" i="2422"/>
  <c r="JY31" i="2422"/>
  <c r="JY27" i="2422"/>
  <c r="JY25" i="2422"/>
  <c r="JY23" i="2422"/>
  <c r="JY18" i="2422"/>
  <c r="JY103" i="2422"/>
  <c r="JY99" i="2422"/>
  <c r="JY95" i="2422"/>
  <c r="JY91" i="2422"/>
  <c r="JY89" i="2422"/>
  <c r="JY87"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JY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JZ107" i="2422"/>
  <c r="JZ16" i="2422"/>
  <c r="JZ110" i="2422"/>
  <c r="JZ109" i="2422"/>
  <c r="JZ108" i="2422"/>
  <c r="JZ80" i="2422"/>
  <c r="JZ75" i="2422"/>
  <c r="JZ74" i="2422"/>
  <c r="JZ71" i="2422"/>
  <c r="JZ70" i="2422"/>
  <c r="JZ67" i="2422"/>
  <c r="JZ66" i="2422"/>
  <c r="JZ63" i="2422"/>
  <c r="JZ59" i="2422"/>
  <c r="JZ57" i="2422"/>
  <c r="JZ55" i="2422"/>
  <c r="JZ48" i="2422"/>
  <c r="JZ43" i="2422"/>
  <c r="JZ39" i="2422"/>
  <c r="JZ38" i="2422"/>
  <c r="JZ35" i="2422"/>
  <c r="JZ31" i="2422"/>
  <c r="JZ27" i="2422"/>
  <c r="JZ25" i="2422"/>
  <c r="JZ23" i="2422"/>
  <c r="JZ18" i="2422"/>
  <c r="JZ17" i="2422"/>
  <c r="JZ103" i="2422"/>
  <c r="JZ99" i="2422"/>
  <c r="JZ95" i="2422"/>
  <c r="JZ91" i="2422"/>
  <c r="JZ89" i="2422"/>
  <c r="JZ87" i="2422"/>
  <c r="JZ84" i="2422"/>
  <c r="JZ83" i="2422"/>
  <c r="JZ82" i="2422"/>
  <c r="JZ81" i="2422"/>
  <c r="JZ79" i="2422"/>
  <c r="JZ78" i="2422"/>
  <c r="JZ77" i="2422"/>
  <c r="JZ76" i="2422"/>
  <c r="JZ73" i="2422"/>
  <c r="JZ72" i="2422"/>
  <c r="JZ69" i="2422"/>
  <c r="JZ68" i="2422"/>
  <c r="JZ65" i="2422"/>
  <c r="JZ64" i="2422"/>
  <c r="JZ62" i="2422"/>
  <c r="JZ61" i="2422"/>
  <c r="JZ60" i="2422"/>
  <c r="JZ58" i="2422"/>
  <c r="JZ56" i="2422"/>
  <c r="JZ54" i="2422"/>
  <c r="JZ53" i="2422"/>
  <c r="JZ52" i="2422"/>
  <c r="JZ51" i="2422"/>
  <c r="JZ50" i="2422"/>
  <c r="JZ49" i="2422"/>
  <c r="JZ47" i="2422"/>
  <c r="JZ46" i="2422"/>
  <c r="JZ45" i="2422"/>
  <c r="JZ44" i="2422"/>
  <c r="JZ42" i="2422"/>
  <c r="JZ41" i="2422"/>
  <c r="JZ40" i="2422"/>
  <c r="JZ37" i="2422"/>
  <c r="JZ36" i="2422"/>
  <c r="JZ34" i="2422"/>
  <c r="JZ33" i="2422"/>
  <c r="JZ32" i="2422"/>
  <c r="JZ30" i="2422"/>
  <c r="JZ29" i="2422"/>
  <c r="JZ28" i="2422"/>
  <c r="JZ26" i="2422"/>
  <c r="JZ24" i="2422"/>
  <c r="JZ22" i="2422"/>
  <c r="JZ21" i="2422"/>
  <c r="JZ20" i="2422"/>
  <c r="JZ19" i="2422"/>
  <c r="JZ106" i="2422"/>
  <c r="JZ105" i="2422"/>
  <c r="JZ104" i="2422"/>
  <c r="JZ102" i="2422"/>
  <c r="JZ101" i="2422"/>
  <c r="JZ100" i="2422"/>
  <c r="JZ98" i="2422"/>
  <c r="JZ97" i="2422"/>
  <c r="JZ96" i="2422"/>
  <c r="JZ94" i="2422"/>
  <c r="JZ93" i="2422"/>
  <c r="JZ92" i="2422"/>
  <c r="JZ90" i="2422"/>
  <c r="JZ88" i="2422"/>
  <c r="JZ86" i="2422"/>
  <c r="JZ8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JZ15"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AE114"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JZ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JZ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JY14"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JY13"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N121" i="2422" s="1"/>
  <c r="CN2" i="2383" s="1"/>
  <c r="JC10" i="2422"/>
  <c r="JE114" i="2422"/>
  <c r="JE121" i="2422" s="1"/>
  <c r="CK2" i="2383" s="1"/>
  <c r="JK11" i="2422"/>
  <c r="IT10" i="2422"/>
  <c r="IV114" i="2422"/>
  <c r="IV121" i="2422" s="1"/>
  <c r="CH2" i="2383" s="1"/>
  <c r="JB11" i="2422"/>
  <c r="IK10" i="2422"/>
  <c r="IM114" i="2422"/>
  <c r="IM121" i="2422" s="1"/>
  <c r="CE2" i="2383" s="1"/>
  <c r="IS11" i="2422"/>
  <c r="IB10" i="2422"/>
  <c r="ID114" i="2422"/>
  <c r="ID121" i="2422" s="1"/>
  <c r="CB2" i="2383" s="1"/>
  <c r="IJ11" i="2422"/>
  <c r="HS10" i="2422"/>
  <c r="HU114" i="2422"/>
  <c r="HU121" i="2422" s="1"/>
  <c r="BY2" i="2383" s="1"/>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R121" i="2422" s="1"/>
  <c r="AX2" i="2383" s="1"/>
  <c r="EX11" i="2422"/>
  <c r="EG10" i="2422"/>
  <c r="EI114" i="2422"/>
  <c r="EI121" i="2422" s="1"/>
  <c r="AU2" i="2383" s="1"/>
  <c r="EO11" i="2422"/>
  <c r="DX10" i="2422"/>
  <c r="DZ114" i="2422"/>
  <c r="DZ121" i="2422" s="1"/>
  <c r="AR2" i="2383" s="1"/>
  <c r="EF11" i="2422"/>
  <c r="DO10" i="2422"/>
  <c r="DQ114" i="2422"/>
  <c r="DQ121" i="2422" s="1"/>
  <c r="AO2" i="2383" s="1"/>
  <c r="DW11" i="2422"/>
  <c r="DF10" i="2422"/>
  <c r="DH114" i="2422"/>
  <c r="DH121" i="2422" s="1"/>
  <c r="AL2" i="2383" s="1"/>
  <c r="DN11" i="2422"/>
  <c r="DE11" i="2422"/>
  <c r="CW10" i="2422"/>
  <c r="CY114" i="2422"/>
  <c r="CY121" i="2422" s="1"/>
  <c r="AI2" i="2383" s="1"/>
  <c r="CN10" i="2422"/>
  <c r="CP114" i="2422"/>
  <c r="CP121" i="2422" s="1"/>
  <c r="AF2" i="2383" s="1"/>
  <c r="CV11" i="2422"/>
  <c r="CE10" i="2422"/>
  <c r="CG114" i="2422"/>
  <c r="CG121" i="2422" s="1"/>
  <c r="AC2" i="2383" s="1"/>
  <c r="CM11" i="2422"/>
  <c r="BV10" i="2422"/>
  <c r="BX114" i="2422"/>
  <c r="BX121" i="2422" s="1"/>
  <c r="Z2" i="2383" s="1"/>
  <c r="CD11" i="2422"/>
  <c r="BM10" i="2422"/>
  <c r="BO114" i="2422"/>
  <c r="BO121" i="2422" s="1"/>
  <c r="W2" i="2383" s="1"/>
  <c r="BU11" i="2422"/>
  <c r="BL11" i="2422"/>
  <c r="BD10" i="2422"/>
  <c r="BF114" i="2422"/>
  <c r="BF121" i="2422" s="1"/>
  <c r="T2" i="2383" s="1"/>
  <c r="AU10" i="2422"/>
  <c r="AW114" i="2422"/>
  <c r="AW121" i="2422" s="1"/>
  <c r="Q2" i="2383" s="1"/>
  <c r="BC11" i="2422"/>
  <c r="AL10" i="2422"/>
  <c r="AN114" i="2422"/>
  <c r="AN121" i="2422" s="1"/>
  <c r="N2" i="2383" s="1"/>
  <c r="AB20" i="2396"/>
  <c r="BQ20" i="2396"/>
  <c r="AB24" i="2396"/>
  <c r="BQ24" i="2396"/>
  <c r="AB23" i="2396"/>
  <c r="BQ23" i="2396"/>
  <c r="AB18" i="2396"/>
  <c r="BQ18" i="2396"/>
  <c r="AB19" i="2396"/>
  <c r="BQ19" i="2396"/>
  <c r="X12" i="2383"/>
  <c r="CR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C4" i="2421"/>
  <c r="CR4" i="2421"/>
  <c r="DG4" i="2421"/>
  <c r="DV4" i="2421"/>
  <c r="EZ4" i="2421"/>
  <c r="FO4" i="2421"/>
  <c r="GD4" i="2421"/>
  <c r="GS4" i="2421"/>
  <c r="HH4" i="2421"/>
  <c r="HW4" i="2421"/>
  <c r="IL4" i="2421"/>
  <c r="JA4" i="2421"/>
  <c r="JP4" i="2421"/>
  <c r="KE4" i="2421"/>
  <c r="KT4" i="2421"/>
  <c r="CC5" i="2421"/>
  <c r="CR5" i="2421"/>
  <c r="DG5" i="2421"/>
  <c r="DV5" i="2421"/>
  <c r="EZ5" i="2421"/>
  <c r="FO5" i="2421"/>
  <c r="GD5" i="2421"/>
  <c r="GS5" i="2421"/>
  <c r="HH5" i="2421"/>
  <c r="HW5" i="2421"/>
  <c r="IL5" i="2421"/>
  <c r="JA5" i="2421"/>
  <c r="JP5" i="2421"/>
  <c r="KE5" i="2421"/>
  <c r="KT5" i="2421"/>
  <c r="CC6" i="2421"/>
  <c r="CR6" i="2421"/>
  <c r="DG6" i="2421"/>
  <c r="DV6" i="2421"/>
  <c r="EZ6" i="2421"/>
  <c r="FO6" i="2421"/>
  <c r="GD6" i="2421"/>
  <c r="GS6" i="2421"/>
  <c r="HH6" i="2421"/>
  <c r="HW6" i="2421"/>
  <c r="IL6" i="2421"/>
  <c r="JA6" i="2421"/>
  <c r="JP6" i="2421"/>
  <c r="KE6" i="2421"/>
  <c r="KT6" i="2421"/>
  <c r="CC7" i="2421"/>
  <c r="CR7" i="2421"/>
  <c r="DG7" i="2421"/>
  <c r="DV7" i="2421"/>
  <c r="EZ7" i="2421"/>
  <c r="FO7" i="2421"/>
  <c r="GD7" i="2421"/>
  <c r="GS7" i="2421"/>
  <c r="HH7" i="2421"/>
  <c r="HW7" i="2421"/>
  <c r="IL7" i="2421"/>
  <c r="JA7" i="2421"/>
  <c r="JP7" i="2421"/>
  <c r="KE7" i="2421"/>
  <c r="KT7" i="2421"/>
  <c r="CC14" i="2421"/>
  <c r="CF14" i="2421" s="1"/>
  <c r="CR14" i="2421"/>
  <c r="CU14" i="2421" s="1"/>
  <c r="DG14" i="2421"/>
  <c r="DJ14" i="2421" s="1"/>
  <c r="DV14" i="2421"/>
  <c r="DY14" i="2421" s="1"/>
  <c r="EZ14" i="2421"/>
  <c r="FC14" i="2421" s="1"/>
  <c r="FO14" i="2421"/>
  <c r="FR14" i="2421" s="1"/>
  <c r="GD14" i="2421"/>
  <c r="GG14" i="2421" s="1"/>
  <c r="GS14" i="2421"/>
  <c r="GV14" i="2421" s="1"/>
  <c r="HH14" i="2421"/>
  <c r="HK14" i="2421" s="1"/>
  <c r="HW14" i="2421"/>
  <c r="HZ14" i="2421" s="1"/>
  <c r="IL14" i="2421"/>
  <c r="IO14" i="2421" s="1"/>
  <c r="JA14" i="2421"/>
  <c r="JD14" i="2421" s="1"/>
  <c r="JP14" i="2421"/>
  <c r="JS14" i="2421" s="1"/>
  <c r="KE14" i="2421"/>
  <c r="KH14" i="2421" s="1"/>
  <c r="KT14" i="2421"/>
  <c r="KW14" i="2421" s="1"/>
  <c r="CC15" i="2421"/>
  <c r="CF15" i="2421" s="1"/>
  <c r="CR15" i="2421"/>
  <c r="CU15" i="2421" s="1"/>
  <c r="DG15" i="2421"/>
  <c r="DJ15" i="2421" s="1"/>
  <c r="DV15" i="2421"/>
  <c r="DY15" i="2421" s="1"/>
  <c r="EZ15" i="2421"/>
  <c r="FC15" i="2421" s="1"/>
  <c r="FO15" i="2421"/>
  <c r="FR15" i="2421" s="1"/>
  <c r="GD15" i="2421"/>
  <c r="GG15" i="2421" s="1"/>
  <c r="GS15" i="2421"/>
  <c r="GV15" i="2421" s="1"/>
  <c r="HH15" i="2421"/>
  <c r="HK15" i="2421" s="1"/>
  <c r="HW15" i="2421"/>
  <c r="HZ15" i="2421" s="1"/>
  <c r="IL15" i="2421"/>
  <c r="IO15" i="2421" s="1"/>
  <c r="JA15" i="2421"/>
  <c r="JD15" i="2421" s="1"/>
  <c r="JP15" i="2421"/>
  <c r="JS15" i="2421" s="1"/>
  <c r="KE15" i="2421"/>
  <c r="KH15" i="2421" s="1"/>
  <c r="KT15" i="2421"/>
  <c r="KW15" i="2421" s="1"/>
  <c r="CC16" i="2421"/>
  <c r="CF16" i="2421" s="1"/>
  <c r="CR16" i="2421"/>
  <c r="CU16" i="2421" s="1"/>
  <c r="DG16" i="2421"/>
  <c r="DJ16" i="2421" s="1"/>
  <c r="DV16" i="2421"/>
  <c r="DY16" i="2421" s="1"/>
  <c r="EZ16" i="2421"/>
  <c r="FC16" i="2421" s="1"/>
  <c r="FO16" i="2421"/>
  <c r="FR16" i="2421" s="1"/>
  <c r="GD16" i="2421"/>
  <c r="GG16" i="2421" s="1"/>
  <c r="GS16" i="2421"/>
  <c r="GV16" i="2421" s="1"/>
  <c r="HH16" i="2421"/>
  <c r="HK16" i="2421" s="1"/>
  <c r="HW16" i="2421"/>
  <c r="HZ16" i="2421" s="1"/>
  <c r="IL16" i="2421"/>
  <c r="IO16" i="2421" s="1"/>
  <c r="JA16" i="2421"/>
  <c r="JD16" i="2421" s="1"/>
  <c r="JP16" i="2421"/>
  <c r="JS16" i="2421" s="1"/>
  <c r="KE16" i="2421"/>
  <c r="KH16" i="2421" s="1"/>
  <c r="KT16" i="2421"/>
  <c r="KW16" i="2421" s="1"/>
  <c r="CC17" i="2421"/>
  <c r="CF17" i="2421" s="1"/>
  <c r="CR17" i="2421"/>
  <c r="CU17" i="2421" s="1"/>
  <c r="DG17" i="2421"/>
  <c r="DJ17" i="2421" s="1"/>
  <c r="DV17" i="2421"/>
  <c r="DY17" i="2421" s="1"/>
  <c r="EZ17" i="2421"/>
  <c r="FC17" i="2421" s="1"/>
  <c r="FO17" i="2421"/>
  <c r="FR17" i="2421" s="1"/>
  <c r="GD17" i="2421"/>
  <c r="GG17" i="2421" s="1"/>
  <c r="GS17" i="2421"/>
  <c r="GV17" i="2421" s="1"/>
  <c r="HH17" i="2421"/>
  <c r="HK17" i="2421" s="1"/>
  <c r="HW17" i="2421"/>
  <c r="HZ17" i="2421" s="1"/>
  <c r="IL17" i="2421"/>
  <c r="IO17" i="2421" s="1"/>
  <c r="JA17" i="2421"/>
  <c r="JD17" i="2421" s="1"/>
  <c r="JP17" i="2421"/>
  <c r="JS17" i="2421" s="1"/>
  <c r="KE17" i="2421"/>
  <c r="KH17" i="2421" s="1"/>
  <c r="KT17" i="2421"/>
  <c r="KW17" i="2421" s="1"/>
  <c r="CC18" i="2421"/>
  <c r="CF18" i="2421" s="1"/>
  <c r="CR18" i="2421"/>
  <c r="CU18" i="2421" s="1"/>
  <c r="DG18" i="2421"/>
  <c r="DJ18" i="2421" s="1"/>
  <c r="DV18" i="2421"/>
  <c r="DY18" i="2421" s="1"/>
  <c r="EZ18" i="2421"/>
  <c r="FC18" i="2421" s="1"/>
  <c r="FO18" i="2421"/>
  <c r="FR18" i="2421" s="1"/>
  <c r="GD18" i="2421"/>
  <c r="GG18" i="2421" s="1"/>
  <c r="GS18" i="2421"/>
  <c r="GV18" i="2421" s="1"/>
  <c r="HH18" i="2421"/>
  <c r="HK18" i="2421" s="1"/>
  <c r="HW18" i="2421"/>
  <c r="HZ18" i="2421" s="1"/>
  <c r="IL18" i="2421"/>
  <c r="IO18" i="2421" s="1"/>
  <c r="JA18" i="2421"/>
  <c r="JD18" i="2421" s="1"/>
  <c r="JP18" i="2421"/>
  <c r="JS18" i="2421" s="1"/>
  <c r="KE18" i="2421"/>
  <c r="KH18" i="2421" s="1"/>
  <c r="KT18" i="2421"/>
  <c r="KW18" i="2421" s="1"/>
  <c r="PY4" i="2421"/>
  <c r="QN4" i="2421"/>
  <c r="RC4" i="2421"/>
  <c r="PY5" i="2421"/>
  <c r="QN5" i="2421"/>
  <c r="RC5" i="2421"/>
  <c r="PY6" i="2421"/>
  <c r="QN6" i="2421"/>
  <c r="RC6" i="2421"/>
  <c r="PY7" i="2421"/>
  <c r="QN7" i="2421"/>
  <c r="RC7" i="2421"/>
  <c r="PY14" i="2421"/>
  <c r="QB14" i="2421" s="1"/>
  <c r="QN14" i="2421"/>
  <c r="QQ14" i="2421" s="1"/>
  <c r="RC14" i="2421"/>
  <c r="RF14" i="2421" s="1"/>
  <c r="PY15" i="2421"/>
  <c r="QB15" i="2421" s="1"/>
  <c r="QN15" i="2421"/>
  <c r="QQ15" i="2421" s="1"/>
  <c r="RC15" i="2421"/>
  <c r="RF15" i="2421" s="1"/>
  <c r="PY16" i="2421"/>
  <c r="QB16" i="2421" s="1"/>
  <c r="QN16" i="2421"/>
  <c r="QQ16" i="2421" s="1"/>
  <c r="RC16" i="2421"/>
  <c r="RF16" i="2421" s="1"/>
  <c r="PY17" i="2421"/>
  <c r="QB17" i="2421" s="1"/>
  <c r="QN17" i="2421"/>
  <c r="QQ17" i="2421" s="1"/>
  <c r="RC17" i="2421"/>
  <c r="RF17" i="2421" s="1"/>
  <c r="PY18" i="2421"/>
  <c r="QB18" i="2421" s="1"/>
  <c r="QN18" i="2421"/>
  <c r="QQ18" i="2421" s="1"/>
  <c r="RC18" i="2421"/>
  <c r="RF18" i="2421" s="1"/>
  <c r="NQ4" i="2421"/>
  <c r="OF4" i="2421"/>
  <c r="PJ4" i="2421"/>
  <c r="NQ5" i="2421"/>
  <c r="OF5" i="2421"/>
  <c r="PJ5" i="2421"/>
  <c r="NQ6" i="2421"/>
  <c r="OF6" i="2421"/>
  <c r="PJ6" i="2421"/>
  <c r="NQ7" i="2421"/>
  <c r="OF7" i="2421"/>
  <c r="PJ7" i="2421"/>
  <c r="NQ14" i="2421"/>
  <c r="NT14" i="2421" s="1"/>
  <c r="OF14" i="2421"/>
  <c r="OI14" i="2421" s="1"/>
  <c r="PJ14" i="2421"/>
  <c r="PM14" i="2421" s="1"/>
  <c r="NQ15" i="2421"/>
  <c r="NT15" i="2421" s="1"/>
  <c r="OF15" i="2421"/>
  <c r="OI15" i="2421" s="1"/>
  <c r="PJ15" i="2421"/>
  <c r="PM15" i="2421" s="1"/>
  <c r="NQ16" i="2421"/>
  <c r="NT16" i="2421" s="1"/>
  <c r="OF16" i="2421"/>
  <c r="OI16" i="2421" s="1"/>
  <c r="PJ16" i="2421"/>
  <c r="PM16" i="2421" s="1"/>
  <c r="NQ17" i="2421"/>
  <c r="NT17" i="2421" s="1"/>
  <c r="OF17" i="2421"/>
  <c r="OI17" i="2421" s="1"/>
  <c r="PJ17" i="2421"/>
  <c r="PM17" i="2421" s="1"/>
  <c r="NQ18" i="2421"/>
  <c r="NT18" i="2421" s="1"/>
  <c r="OF18" i="2421"/>
  <c r="OI18" i="2421" s="1"/>
  <c r="PJ18" i="2421"/>
  <c r="PM18" i="2421" s="1"/>
  <c r="LI4" i="2421"/>
  <c r="LX4" i="2421"/>
  <c r="MM4" i="2421"/>
  <c r="LI5" i="2421"/>
  <c r="LX5" i="2421"/>
  <c r="MM5" i="2421"/>
  <c r="LI6" i="2421"/>
  <c r="LX6" i="2421"/>
  <c r="MM6" i="2421"/>
  <c r="LI7" i="2421"/>
  <c r="LX7" i="2421"/>
  <c r="MM7" i="2421"/>
  <c r="LI14" i="2421"/>
  <c r="LL14" i="2421" s="1"/>
  <c r="LX14" i="2421"/>
  <c r="MA14" i="2421" s="1"/>
  <c r="MM14" i="2421"/>
  <c r="MP14" i="2421" s="1"/>
  <c r="LI15" i="2421"/>
  <c r="LL15" i="2421" s="1"/>
  <c r="LX15" i="2421"/>
  <c r="MA15" i="2421" s="1"/>
  <c r="MM15" i="2421"/>
  <c r="MP15" i="2421" s="1"/>
  <c r="LI16" i="2421"/>
  <c r="LL16" i="2421" s="1"/>
  <c r="LX16" i="2421"/>
  <c r="MA16" i="2421" s="1"/>
  <c r="MM16" i="2421"/>
  <c r="MP16" i="2421" s="1"/>
  <c r="LI17" i="2421"/>
  <c r="LL17" i="2421" s="1"/>
  <c r="LX17" i="2421"/>
  <c r="MA17" i="2421" s="1"/>
  <c r="MM17" i="2421"/>
  <c r="MP17" i="2421" s="1"/>
  <c r="LI18" i="2421"/>
  <c r="LL18" i="2421" s="1"/>
  <c r="LX18" i="2421"/>
  <c r="MA18" i="2421" s="1"/>
  <c r="MM18" i="2421"/>
  <c r="MP18" i="2421" s="1"/>
  <c r="AJ6" i="2421"/>
  <c r="CH14" i="2420" l="1"/>
  <c r="CK14" i="2420" s="1"/>
  <c r="MO8" i="2421"/>
  <c r="MO6" i="2421"/>
  <c r="MO4" i="2421"/>
  <c r="MO9" i="2421"/>
  <c r="MY26" i="2421" s="1"/>
  <c r="MO10" i="2421"/>
  <c r="MO7" i="2421"/>
  <c r="MO5" i="2421"/>
  <c r="RE8" i="2421"/>
  <c r="RE6" i="2421"/>
  <c r="RE4" i="2421"/>
  <c r="RE10" i="2421"/>
  <c r="RE7" i="2421"/>
  <c r="RE5" i="2421"/>
  <c r="RE9" i="2421"/>
  <c r="KG10" i="2421"/>
  <c r="KG7" i="2421"/>
  <c r="KG5" i="2421"/>
  <c r="KG8" i="2421"/>
  <c r="KG6" i="2421"/>
  <c r="KG4" i="2421"/>
  <c r="KG9" i="2421"/>
  <c r="FQ10" i="2421"/>
  <c r="FQ7" i="2421"/>
  <c r="FQ5" i="2421"/>
  <c r="FQ9" i="2421"/>
  <c r="FQ8" i="2421"/>
  <c r="FQ6" i="2421"/>
  <c r="FQ4" i="2421"/>
  <c r="QP8" i="2421"/>
  <c r="QP6" i="2421"/>
  <c r="QY58" i="2421" s="1"/>
  <c r="QP4" i="2421"/>
  <c r="QP7" i="2421"/>
  <c r="QP5" i="2421"/>
  <c r="QP10" i="2421"/>
  <c r="QP9" i="2421"/>
  <c r="JR10" i="2421"/>
  <c r="JR7" i="2421"/>
  <c r="JR5" i="2421"/>
  <c r="JR9" i="2421"/>
  <c r="JR8" i="2421"/>
  <c r="JR6" i="2421"/>
  <c r="JR4" i="2421"/>
  <c r="FB10" i="2421"/>
  <c r="FB7" i="2421"/>
  <c r="FB5" i="2421"/>
  <c r="FB9" i="2421"/>
  <c r="FL58" i="2421" s="1"/>
  <c r="FB8" i="2421"/>
  <c r="FB6" i="2421"/>
  <c r="FK28" i="2421" s="1"/>
  <c r="FB4" i="2421"/>
  <c r="LZ8" i="2421"/>
  <c r="LZ6" i="2421"/>
  <c r="LZ4" i="2421"/>
  <c r="LZ9" i="2421"/>
  <c r="LZ10" i="2421"/>
  <c r="LZ7" i="2421"/>
  <c r="LZ5" i="2421"/>
  <c r="IN9" i="2421"/>
  <c r="IN6" i="2421"/>
  <c r="IN8" i="2421"/>
  <c r="IN4" i="2421"/>
  <c r="IN10" i="2421"/>
  <c r="IN7" i="2421"/>
  <c r="IN5" i="2421"/>
  <c r="DI8" i="2421"/>
  <c r="DI6" i="2421"/>
  <c r="DI4" i="2421"/>
  <c r="DI9" i="2421"/>
  <c r="DI10" i="2421"/>
  <c r="DI7" i="2421"/>
  <c r="DI5" i="2421"/>
  <c r="QA8" i="2421"/>
  <c r="QA6" i="2421"/>
  <c r="QJ25" i="2421" s="1"/>
  <c r="QA4" i="2421"/>
  <c r="QA5" i="2421"/>
  <c r="QA9" i="2421"/>
  <c r="QA10" i="2421"/>
  <c r="QA7" i="2421"/>
  <c r="DX8" i="2421"/>
  <c r="DX4" i="2421"/>
  <c r="DX9" i="2421"/>
  <c r="EH28" i="2421" s="1"/>
  <c r="DX10" i="2421"/>
  <c r="DX7" i="2421"/>
  <c r="DX5" i="2421"/>
  <c r="DX6" i="2421"/>
  <c r="EG71" i="2421" s="1"/>
  <c r="LK10" i="2421"/>
  <c r="LK7" i="2421"/>
  <c r="LK8" i="2421"/>
  <c r="LK6" i="2421"/>
  <c r="LK4" i="2421"/>
  <c r="LK9" i="2421"/>
  <c r="LK5" i="2421"/>
  <c r="HY9" i="2421"/>
  <c r="II69" i="2421" s="1"/>
  <c r="HY8" i="2421"/>
  <c r="HY6" i="2421"/>
  <c r="HY4" i="2421"/>
  <c r="HY10" i="2421"/>
  <c r="HY7" i="2421"/>
  <c r="HY5" i="2421"/>
  <c r="CT8" i="2421"/>
  <c r="CT6" i="2421"/>
  <c r="DC25" i="2421" s="1"/>
  <c r="CT4" i="2421"/>
  <c r="CT10" i="2421"/>
  <c r="CT7" i="2421"/>
  <c r="CT5" i="2421"/>
  <c r="CT9" i="2421"/>
  <c r="PL4" i="2421"/>
  <c r="PL8" i="2421"/>
  <c r="PL6" i="2421"/>
  <c r="PL7" i="2421"/>
  <c r="PL5" i="2421"/>
  <c r="PL10" i="2421"/>
  <c r="PL9" i="2421"/>
  <c r="HJ9" i="2421"/>
  <c r="HJ8" i="2421"/>
  <c r="HJ6" i="2421"/>
  <c r="HJ4" i="2421"/>
  <c r="HJ10" i="2421"/>
  <c r="HJ7" i="2421"/>
  <c r="HJ5" i="2421"/>
  <c r="CE8" i="2421"/>
  <c r="CE6" i="2421"/>
  <c r="CE4" i="2421"/>
  <c r="CE10" i="2421"/>
  <c r="CE5" i="2421"/>
  <c r="CE9" i="2421"/>
  <c r="CE7" i="2421"/>
  <c r="OH7" i="2421"/>
  <c r="OH5" i="2421"/>
  <c r="OH10" i="2421"/>
  <c r="OH9" i="2421"/>
  <c r="OH8" i="2421"/>
  <c r="OH6" i="2421"/>
  <c r="OH4" i="2421"/>
  <c r="GU5" i="2421"/>
  <c r="GU8" i="2421"/>
  <c r="GU6" i="2421"/>
  <c r="GU4" i="2421"/>
  <c r="GU7" i="2421"/>
  <c r="GU9" i="2421"/>
  <c r="GU10" i="2421"/>
  <c r="JC6" i="2421"/>
  <c r="JC4" i="2421"/>
  <c r="JC8" i="2421"/>
  <c r="JC10" i="2421"/>
  <c r="JC7" i="2421"/>
  <c r="JC5" i="2421"/>
  <c r="JC9" i="2421"/>
  <c r="NS6" i="2421"/>
  <c r="OB81" i="2421" s="1"/>
  <c r="NS4" i="2421"/>
  <c r="NS7" i="2421"/>
  <c r="NS5" i="2421"/>
  <c r="NS10" i="2421"/>
  <c r="NS8" i="2421"/>
  <c r="NS9" i="2421"/>
  <c r="KV7" i="2421"/>
  <c r="KV4" i="2421"/>
  <c r="KV10" i="2421"/>
  <c r="KV5" i="2421"/>
  <c r="KV8" i="2421"/>
  <c r="KV6" i="2421"/>
  <c r="KV9" i="2421"/>
  <c r="GF4" i="2421"/>
  <c r="GF5" i="2421"/>
  <c r="GF9" i="2421"/>
  <c r="GF7" i="2421"/>
  <c r="GF8" i="2421"/>
  <c r="GF6" i="2421"/>
  <c r="GF10" i="2421"/>
  <c r="BS18" i="2420"/>
  <c r="BU18" i="2420" s="1"/>
  <c r="I23" i="2406"/>
  <c r="BS16" i="2420"/>
  <c r="BU16" i="2420" s="1"/>
  <c r="I21" i="2406"/>
  <c r="BS11" i="2420"/>
  <c r="H16" i="2406" s="1"/>
  <c r="I16" i="2406"/>
  <c r="BS13" i="2420"/>
  <c r="H18" i="2406" s="1"/>
  <c r="I18" i="2406"/>
  <c r="BS20" i="2420"/>
  <c r="BU20" i="2420" s="1"/>
  <c r="I25" i="2406"/>
  <c r="BS22" i="2420"/>
  <c r="BU22" i="2420" s="1"/>
  <c r="I27" i="2406"/>
  <c r="BS24" i="2420"/>
  <c r="H29" i="2406" s="1"/>
  <c r="I29" i="2406"/>
  <c r="BS10" i="2420"/>
  <c r="H15" i="2406" s="1"/>
  <c r="I15" i="2406"/>
  <c r="BS21" i="2420"/>
  <c r="BU21" i="2420" s="1"/>
  <c r="I26" i="2406"/>
  <c r="BS14" i="2420"/>
  <c r="BU14" i="2420" s="1"/>
  <c r="I19" i="2406"/>
  <c r="BS12" i="2420"/>
  <c r="H17" i="2406" s="1"/>
  <c r="I17" i="2406"/>
  <c r="BS23" i="2420"/>
  <c r="BU23" i="2420" s="1"/>
  <c r="I28" i="2406"/>
  <c r="BS19" i="2420"/>
  <c r="BU19" i="2420" s="1"/>
  <c r="I24" i="2406"/>
  <c r="BS25" i="2420"/>
  <c r="BU25" i="2420" s="1"/>
  <c r="I30" i="2406"/>
  <c r="BS17" i="2420"/>
  <c r="BU17" i="2420" s="1"/>
  <c r="I22" i="2406"/>
  <c r="BS26" i="2420"/>
  <c r="BU26" i="2420" s="1"/>
  <c r="I31" i="2406"/>
  <c r="H23" i="2406"/>
  <c r="H21" i="2406"/>
  <c r="H25" i="2406"/>
  <c r="H27" i="2406"/>
  <c r="H28" i="2406"/>
  <c r="H24" i="2406"/>
  <c r="H31" i="2406"/>
  <c r="H26" i="2406"/>
  <c r="H30" i="2406"/>
  <c r="EY72" i="2421"/>
  <c r="EX72" i="2421"/>
  <c r="PI72" i="2421"/>
  <c r="PH72" i="2421"/>
  <c r="BM72" i="2421"/>
  <c r="NP72" i="2421"/>
  <c r="NO72" i="2421"/>
  <c r="CA72" i="2421"/>
  <c r="CB72" i="2421"/>
  <c r="BZ72" i="2421"/>
  <c r="NN72" i="2421"/>
  <c r="EW72" i="2421"/>
  <c r="PG72" i="2421"/>
  <c r="EY110" i="2421"/>
  <c r="EX110" i="2421"/>
  <c r="PH110" i="2421"/>
  <c r="PI110" i="2421"/>
  <c r="NO110" i="2421"/>
  <c r="NP110" i="2421"/>
  <c r="CA110" i="2421"/>
  <c r="BM110" i="2421"/>
  <c r="CB110" i="2421"/>
  <c r="EW110" i="2421"/>
  <c r="NN110" i="2421"/>
  <c r="PG110" i="2421"/>
  <c r="BZ110" i="2421"/>
  <c r="BU32" i="2420"/>
  <c r="BV32" i="2420" s="1"/>
  <c r="EX73" i="2421"/>
  <c r="EY73" i="2421"/>
  <c r="PI73" i="2421"/>
  <c r="PH73" i="2421"/>
  <c r="NP73" i="2421"/>
  <c r="NO73" i="2421"/>
  <c r="BM73" i="2421"/>
  <c r="CB73" i="2421"/>
  <c r="CA73" i="2421"/>
  <c r="EW73" i="2421"/>
  <c r="PG73" i="2421"/>
  <c r="NN73" i="2421"/>
  <c r="BZ73" i="2421"/>
  <c r="EY27" i="2421"/>
  <c r="EX27" i="2421"/>
  <c r="PI27" i="2421"/>
  <c r="PH27" i="2421"/>
  <c r="BM27" i="2421"/>
  <c r="NO27" i="2421"/>
  <c r="NP27" i="2421"/>
  <c r="CB27" i="2421"/>
  <c r="CA27" i="2421"/>
  <c r="EW27" i="2421"/>
  <c r="BZ27" i="2421"/>
  <c r="NN27" i="2421"/>
  <c r="PG27" i="2421"/>
  <c r="EY52" i="2421"/>
  <c r="EX52" i="2421"/>
  <c r="PH52" i="2421"/>
  <c r="PI52" i="2421"/>
  <c r="CA52" i="2421"/>
  <c r="BM52" i="2421"/>
  <c r="CB52" i="2421"/>
  <c r="NP52" i="2421"/>
  <c r="NO52" i="2421"/>
  <c r="NN52" i="2421"/>
  <c r="BZ52" i="2421"/>
  <c r="EW52" i="2421"/>
  <c r="PG52" i="2421"/>
  <c r="EY29" i="2421"/>
  <c r="EX29" i="2421"/>
  <c r="PH29" i="2421"/>
  <c r="PI29" i="2421"/>
  <c r="CB29" i="2421"/>
  <c r="NP29" i="2421"/>
  <c r="NO29" i="2421"/>
  <c r="CA29" i="2421"/>
  <c r="BM29" i="2421"/>
  <c r="PG29" i="2421"/>
  <c r="NN29" i="2421"/>
  <c r="EW29" i="2421"/>
  <c r="BZ29" i="2421"/>
  <c r="EX38" i="2421"/>
  <c r="EY38" i="2421"/>
  <c r="PH38" i="2421"/>
  <c r="PI38" i="2421"/>
  <c r="CB38" i="2421"/>
  <c r="NO38" i="2421"/>
  <c r="CA38" i="2421"/>
  <c r="NP38" i="2421"/>
  <c r="BM38" i="2421"/>
  <c r="BZ38" i="2421"/>
  <c r="EW38" i="2421"/>
  <c r="NN38" i="2421"/>
  <c r="PG38" i="2421"/>
  <c r="EY97" i="2421"/>
  <c r="EX97" i="2421"/>
  <c r="PI97" i="2421"/>
  <c r="PH97" i="2421"/>
  <c r="CB97" i="2421"/>
  <c r="NP97" i="2421"/>
  <c r="NO97" i="2421"/>
  <c r="CA97" i="2421"/>
  <c r="BM97" i="2421"/>
  <c r="NN97" i="2421"/>
  <c r="EW97" i="2421"/>
  <c r="PG97" i="2421"/>
  <c r="BZ97" i="2421"/>
  <c r="EY26" i="2421"/>
  <c r="EX26" i="2421"/>
  <c r="PH26" i="2421"/>
  <c r="PI26" i="2421"/>
  <c r="NP26" i="2421"/>
  <c r="CB26" i="2421"/>
  <c r="BM26" i="2421"/>
  <c r="NO26" i="2421"/>
  <c r="CA26" i="2421"/>
  <c r="BZ26" i="2421"/>
  <c r="EW26" i="2421"/>
  <c r="PG26" i="2421"/>
  <c r="NN26" i="2421"/>
  <c r="EY19" i="2421"/>
  <c r="EX19" i="2421"/>
  <c r="PI19" i="2421"/>
  <c r="PH19" i="2421"/>
  <c r="CB19" i="2421"/>
  <c r="CA19" i="2421"/>
  <c r="BM19" i="2421"/>
  <c r="NO19" i="2421"/>
  <c r="NP19" i="2421"/>
  <c r="BZ19" i="2421"/>
  <c r="PG19" i="2421"/>
  <c r="EW19" i="2421"/>
  <c r="NN19" i="2421"/>
  <c r="EY37" i="2421"/>
  <c r="EX37" i="2421"/>
  <c r="PI37" i="2421"/>
  <c r="PH37" i="2421"/>
  <c r="NP37" i="2421"/>
  <c r="NO37" i="2421"/>
  <c r="BM37" i="2421"/>
  <c r="CB37" i="2421"/>
  <c r="CA37" i="2421"/>
  <c r="NN37" i="2421"/>
  <c r="PG37" i="2421"/>
  <c r="BZ37" i="2421"/>
  <c r="EW37" i="2421"/>
  <c r="EY53" i="2421"/>
  <c r="EX53" i="2421"/>
  <c r="PH53" i="2421"/>
  <c r="PI53" i="2421"/>
  <c r="BM53" i="2421"/>
  <c r="CA53" i="2421"/>
  <c r="NP53" i="2421"/>
  <c r="NO53" i="2421"/>
  <c r="CB53" i="2421"/>
  <c r="NN53" i="2421"/>
  <c r="BZ53" i="2421"/>
  <c r="PG53" i="2421"/>
  <c r="EW53" i="2421"/>
  <c r="EY85" i="2421"/>
  <c r="EX85" i="2421"/>
  <c r="PH85" i="2421"/>
  <c r="PI85" i="2421"/>
  <c r="CB85" i="2421"/>
  <c r="BM85" i="2421"/>
  <c r="NP85" i="2421"/>
  <c r="NO85" i="2421"/>
  <c r="CA85" i="2421"/>
  <c r="EW85" i="2421"/>
  <c r="NN85" i="2421"/>
  <c r="BZ85" i="2421"/>
  <c r="PG85" i="2421"/>
  <c r="EY62" i="2421"/>
  <c r="EX62" i="2421"/>
  <c r="PI62" i="2421"/>
  <c r="PH62" i="2421"/>
  <c r="CB62" i="2421"/>
  <c r="NO62" i="2421"/>
  <c r="NP62" i="2421"/>
  <c r="BM62" i="2421"/>
  <c r="CA62" i="2421"/>
  <c r="NN62" i="2421"/>
  <c r="BZ62" i="2421"/>
  <c r="PG62" i="2421"/>
  <c r="EW62" i="2421"/>
  <c r="EY23" i="2421"/>
  <c r="EX23" i="2421"/>
  <c r="PH23" i="2421"/>
  <c r="PI23" i="2421"/>
  <c r="CA23" i="2421"/>
  <c r="BM23" i="2421"/>
  <c r="NO23" i="2421"/>
  <c r="NP23" i="2421"/>
  <c r="CB23" i="2421"/>
  <c r="BZ23" i="2421"/>
  <c r="NN23" i="2421"/>
  <c r="EW23" i="2421"/>
  <c r="PG23" i="2421"/>
  <c r="EY66" i="2421"/>
  <c r="EX66" i="2421"/>
  <c r="PI66" i="2421"/>
  <c r="PH66" i="2421"/>
  <c r="NP66" i="2421"/>
  <c r="CB66" i="2421"/>
  <c r="NO66" i="2421"/>
  <c r="BM66" i="2421"/>
  <c r="CA66" i="2421"/>
  <c r="PG66" i="2421"/>
  <c r="EW66" i="2421"/>
  <c r="NN66" i="2421"/>
  <c r="BZ66" i="2421"/>
  <c r="EY70" i="2421"/>
  <c r="EX70" i="2421"/>
  <c r="PH70" i="2421"/>
  <c r="PI70" i="2421"/>
  <c r="NP70" i="2421"/>
  <c r="CB70" i="2421"/>
  <c r="BM70" i="2421"/>
  <c r="NO70" i="2421"/>
  <c r="CA70" i="2421"/>
  <c r="NN70" i="2421"/>
  <c r="BZ70" i="2421"/>
  <c r="PG70" i="2421"/>
  <c r="EW70" i="2421"/>
  <c r="EY98" i="2421"/>
  <c r="EX98" i="2421"/>
  <c r="PI98" i="2421"/>
  <c r="PH98" i="2421"/>
  <c r="CB98" i="2421"/>
  <c r="NO98" i="2421"/>
  <c r="BM98" i="2421"/>
  <c r="CA98" i="2421"/>
  <c r="NP98" i="2421"/>
  <c r="BZ98" i="2421"/>
  <c r="PG98" i="2421"/>
  <c r="EW98" i="2421"/>
  <c r="NN98" i="2421"/>
  <c r="EY91" i="2421"/>
  <c r="EX91" i="2421"/>
  <c r="PH91" i="2421"/>
  <c r="PI91" i="2421"/>
  <c r="NO91" i="2421"/>
  <c r="BM91" i="2421"/>
  <c r="NP91" i="2421"/>
  <c r="CB91" i="2421"/>
  <c r="CA91" i="2421"/>
  <c r="EW91" i="2421"/>
  <c r="BZ91" i="2421"/>
  <c r="PG91" i="2421"/>
  <c r="NN91" i="2421"/>
  <c r="EY31" i="2421"/>
  <c r="EX31" i="2421"/>
  <c r="PH31" i="2421"/>
  <c r="PI31" i="2421"/>
  <c r="NO31" i="2421"/>
  <c r="NP31" i="2421"/>
  <c r="CB31" i="2421"/>
  <c r="CA31" i="2421"/>
  <c r="BM31" i="2421"/>
  <c r="EW31" i="2421"/>
  <c r="NN31" i="2421"/>
  <c r="PG31" i="2421"/>
  <c r="BZ31" i="2421"/>
  <c r="EY47" i="2421"/>
  <c r="EX47" i="2421"/>
  <c r="PH47" i="2421"/>
  <c r="PI47" i="2421"/>
  <c r="NP47" i="2421"/>
  <c r="CB47" i="2421"/>
  <c r="CA47" i="2421"/>
  <c r="BM47" i="2421"/>
  <c r="NO47" i="2421"/>
  <c r="NN47" i="2421"/>
  <c r="PG47" i="2421"/>
  <c r="BZ47" i="2421"/>
  <c r="EW47" i="2421"/>
  <c r="EY90" i="2421"/>
  <c r="EX90" i="2421"/>
  <c r="PH90" i="2421"/>
  <c r="PI90" i="2421"/>
  <c r="CB90" i="2421"/>
  <c r="NO90" i="2421"/>
  <c r="NP90" i="2421"/>
  <c r="CA90" i="2421"/>
  <c r="BM90" i="2421"/>
  <c r="BZ90" i="2421"/>
  <c r="PG90" i="2421"/>
  <c r="EW90" i="2421"/>
  <c r="NN90" i="2421"/>
  <c r="EY106" i="2421"/>
  <c r="EX106" i="2421"/>
  <c r="PI106" i="2421"/>
  <c r="PH106" i="2421"/>
  <c r="NO106" i="2421"/>
  <c r="CA106" i="2421"/>
  <c r="NP106" i="2421"/>
  <c r="CB106" i="2421"/>
  <c r="BM106" i="2421"/>
  <c r="PG106" i="2421"/>
  <c r="BZ106" i="2421"/>
  <c r="EW106" i="2421"/>
  <c r="NN106" i="2421"/>
  <c r="EX28" i="2421"/>
  <c r="EY28" i="2421"/>
  <c r="PH28" i="2421"/>
  <c r="PI28" i="2421"/>
  <c r="CB28" i="2421"/>
  <c r="BM28" i="2421"/>
  <c r="NP28" i="2421"/>
  <c r="NO28" i="2421"/>
  <c r="CA28" i="2421"/>
  <c r="EW28" i="2421"/>
  <c r="NN28" i="2421"/>
  <c r="PG28" i="2421"/>
  <c r="BZ28" i="2421"/>
  <c r="EX92" i="2421"/>
  <c r="EY92" i="2421"/>
  <c r="PH92" i="2421"/>
  <c r="PI92" i="2421"/>
  <c r="CB92" i="2421"/>
  <c r="NP92" i="2421"/>
  <c r="NO92" i="2421"/>
  <c r="CA92" i="2421"/>
  <c r="BM92" i="2421"/>
  <c r="PG92" i="2421"/>
  <c r="BZ92" i="2421"/>
  <c r="NN92" i="2421"/>
  <c r="EW92" i="2421"/>
  <c r="EY30" i="2421"/>
  <c r="EX30" i="2421"/>
  <c r="PH30" i="2421"/>
  <c r="PI30" i="2421"/>
  <c r="BM30" i="2421"/>
  <c r="CB30" i="2421"/>
  <c r="NO30" i="2421"/>
  <c r="NP30" i="2421"/>
  <c r="CA30" i="2421"/>
  <c r="EW30" i="2421"/>
  <c r="BZ30" i="2421"/>
  <c r="NN30" i="2421"/>
  <c r="PG30" i="2421"/>
  <c r="EY103" i="2421"/>
  <c r="EX103" i="2421"/>
  <c r="PH103" i="2421"/>
  <c r="PI103" i="2421"/>
  <c r="NP103" i="2421"/>
  <c r="NO103" i="2421"/>
  <c r="BM103" i="2421"/>
  <c r="CB103" i="2421"/>
  <c r="CA103" i="2421"/>
  <c r="NN103" i="2421"/>
  <c r="EW103" i="2421"/>
  <c r="PG103" i="2421"/>
  <c r="BZ103" i="2421"/>
  <c r="EY45" i="2421"/>
  <c r="EX45" i="2421"/>
  <c r="PI45" i="2421"/>
  <c r="PH45" i="2421"/>
  <c r="NP45" i="2421"/>
  <c r="NO45" i="2421"/>
  <c r="CA45" i="2421"/>
  <c r="CB45" i="2421"/>
  <c r="BM45" i="2421"/>
  <c r="NN45" i="2421"/>
  <c r="EW45" i="2421"/>
  <c r="BZ45" i="2421"/>
  <c r="PG45" i="2421"/>
  <c r="EY40" i="2421"/>
  <c r="EX40" i="2421"/>
  <c r="PI40" i="2421"/>
  <c r="PH40" i="2421"/>
  <c r="NP40" i="2421"/>
  <c r="NO40" i="2421"/>
  <c r="CA40" i="2421"/>
  <c r="CB40" i="2421"/>
  <c r="BM40" i="2421"/>
  <c r="PG40" i="2421"/>
  <c r="NN40" i="2421"/>
  <c r="BZ40" i="2421"/>
  <c r="EW40" i="2421"/>
  <c r="EY50" i="2421"/>
  <c r="EX50" i="2421"/>
  <c r="PI50" i="2421"/>
  <c r="PH50" i="2421"/>
  <c r="NP50" i="2421"/>
  <c r="CA50" i="2421"/>
  <c r="BM50" i="2421"/>
  <c r="CB50" i="2421"/>
  <c r="NO50" i="2421"/>
  <c r="NN50" i="2421"/>
  <c r="EW50" i="2421"/>
  <c r="BZ50" i="2421"/>
  <c r="PG50" i="2421"/>
  <c r="EY82" i="2421"/>
  <c r="EX82" i="2421"/>
  <c r="PI82" i="2421"/>
  <c r="PH82" i="2421"/>
  <c r="CA82" i="2421"/>
  <c r="BM82" i="2421"/>
  <c r="CB82" i="2421"/>
  <c r="NO82" i="2421"/>
  <c r="NP82" i="2421"/>
  <c r="NN82" i="2421"/>
  <c r="EW82" i="2421"/>
  <c r="BZ82" i="2421"/>
  <c r="PG82" i="2421"/>
  <c r="EY43" i="2421"/>
  <c r="EX43" i="2421"/>
  <c r="PI43" i="2421"/>
  <c r="PH43" i="2421"/>
  <c r="BM43" i="2421"/>
  <c r="NP43" i="2421"/>
  <c r="CB43" i="2421"/>
  <c r="NO43" i="2421"/>
  <c r="CA43" i="2421"/>
  <c r="NN43" i="2421"/>
  <c r="PG43" i="2421"/>
  <c r="EW43" i="2421"/>
  <c r="BZ43" i="2421"/>
  <c r="EY61" i="2421"/>
  <c r="EX61" i="2421"/>
  <c r="PI61" i="2421"/>
  <c r="PH61" i="2421"/>
  <c r="CA61" i="2421"/>
  <c r="NP61" i="2421"/>
  <c r="NO61" i="2421"/>
  <c r="CB61" i="2421"/>
  <c r="BM61" i="2421"/>
  <c r="PG61" i="2421"/>
  <c r="EW61" i="2421"/>
  <c r="BZ61" i="2421"/>
  <c r="NN61" i="2421"/>
  <c r="EY86" i="2421"/>
  <c r="EX86" i="2421"/>
  <c r="PH86" i="2421"/>
  <c r="PI86" i="2421"/>
  <c r="CA86" i="2421"/>
  <c r="BM86" i="2421"/>
  <c r="CB86" i="2421"/>
  <c r="NP86" i="2421"/>
  <c r="NO86" i="2421"/>
  <c r="NN86" i="2421"/>
  <c r="PG86" i="2421"/>
  <c r="BZ86" i="2421"/>
  <c r="EW86" i="2421"/>
  <c r="EY102" i="2421"/>
  <c r="EX102" i="2421"/>
  <c r="PI102" i="2421"/>
  <c r="PH102" i="2421"/>
  <c r="CB102" i="2421"/>
  <c r="BM102" i="2421"/>
  <c r="NO102" i="2421"/>
  <c r="NP102" i="2421"/>
  <c r="CA102" i="2421"/>
  <c r="EW102" i="2421"/>
  <c r="NN102" i="2421"/>
  <c r="PG102" i="2421"/>
  <c r="BZ102" i="2421"/>
  <c r="EY79" i="2421"/>
  <c r="EX79" i="2421"/>
  <c r="PI79" i="2421"/>
  <c r="PH79" i="2421"/>
  <c r="NP79" i="2421"/>
  <c r="CB79" i="2421"/>
  <c r="CA79" i="2421"/>
  <c r="NO79" i="2421"/>
  <c r="BM79" i="2421"/>
  <c r="EW79" i="2421"/>
  <c r="BZ79" i="2421"/>
  <c r="NN79" i="2421"/>
  <c r="PG79" i="2421"/>
  <c r="EX113" i="2421"/>
  <c r="EY113" i="2421"/>
  <c r="PI113" i="2421"/>
  <c r="PH113" i="2421"/>
  <c r="CB113" i="2421"/>
  <c r="CA113" i="2421"/>
  <c r="BM113" i="2421"/>
  <c r="NP113" i="2421"/>
  <c r="NO113" i="2421"/>
  <c r="PG113" i="2421"/>
  <c r="BZ113" i="2421"/>
  <c r="NN113" i="2421"/>
  <c r="EW113" i="2421"/>
  <c r="EX101" i="2421"/>
  <c r="EY101" i="2421"/>
  <c r="PH101" i="2421"/>
  <c r="PI101" i="2421"/>
  <c r="CB101" i="2421"/>
  <c r="CA101" i="2421"/>
  <c r="NP101" i="2421"/>
  <c r="NO101" i="2421"/>
  <c r="BM101" i="2421"/>
  <c r="EW101" i="2421"/>
  <c r="NN101" i="2421"/>
  <c r="PG101" i="2421"/>
  <c r="BZ101" i="2421"/>
  <c r="EY78" i="2421"/>
  <c r="EX78" i="2421"/>
  <c r="PI78" i="2421"/>
  <c r="PH78" i="2421"/>
  <c r="NO78" i="2421"/>
  <c r="CA78" i="2421"/>
  <c r="NP78" i="2421"/>
  <c r="BM78" i="2421"/>
  <c r="CB78" i="2421"/>
  <c r="PG78" i="2421"/>
  <c r="BZ78" i="2421"/>
  <c r="NN78" i="2421"/>
  <c r="EW78" i="2421"/>
  <c r="EY94" i="2421"/>
  <c r="EX94" i="2421"/>
  <c r="PI94" i="2421"/>
  <c r="PH94" i="2421"/>
  <c r="NP94" i="2421"/>
  <c r="CB94" i="2421"/>
  <c r="NO94" i="2421"/>
  <c r="BM94" i="2421"/>
  <c r="CA94" i="2421"/>
  <c r="EW94" i="2421"/>
  <c r="NN94" i="2421"/>
  <c r="PG94" i="2421"/>
  <c r="BZ94" i="2421"/>
  <c r="BU30" i="2420"/>
  <c r="BV30" i="2420" s="1"/>
  <c r="EY71" i="2421"/>
  <c r="EX71" i="2421"/>
  <c r="PH71" i="2421"/>
  <c r="PI71" i="2421"/>
  <c r="NP71" i="2421"/>
  <c r="BM71" i="2421"/>
  <c r="CB71" i="2421"/>
  <c r="CA71" i="2421"/>
  <c r="NO71" i="2421"/>
  <c r="PG71" i="2421"/>
  <c r="BZ71" i="2421"/>
  <c r="NN71" i="2421"/>
  <c r="EW71" i="2421"/>
  <c r="EY111" i="2421"/>
  <c r="EX111" i="2421"/>
  <c r="PH111" i="2421"/>
  <c r="PI111" i="2421"/>
  <c r="NP111" i="2421"/>
  <c r="CB111" i="2421"/>
  <c r="CA111" i="2421"/>
  <c r="NO111" i="2421"/>
  <c r="BM111" i="2421"/>
  <c r="NN111" i="2421"/>
  <c r="EW111" i="2421"/>
  <c r="PG111" i="2421"/>
  <c r="BZ111" i="2421"/>
  <c r="EY57" i="2421"/>
  <c r="EX57" i="2421"/>
  <c r="PI57" i="2421"/>
  <c r="PH57" i="2421"/>
  <c r="CB57" i="2421"/>
  <c r="CA57" i="2421"/>
  <c r="BM57" i="2421"/>
  <c r="NP57" i="2421"/>
  <c r="NO57" i="2421"/>
  <c r="EW57" i="2421"/>
  <c r="PG57" i="2421"/>
  <c r="NN57" i="2421"/>
  <c r="BZ57" i="2421"/>
  <c r="EX20" i="2421"/>
  <c r="EY20" i="2421"/>
  <c r="PI20" i="2421"/>
  <c r="PH20" i="2421"/>
  <c r="CA20" i="2421"/>
  <c r="CB20" i="2421"/>
  <c r="BM20" i="2421"/>
  <c r="NP20" i="2421"/>
  <c r="NO20" i="2421"/>
  <c r="BZ20" i="2421"/>
  <c r="PG20" i="2421"/>
  <c r="NN20" i="2421"/>
  <c r="EW20" i="2421"/>
  <c r="EY100" i="2421"/>
  <c r="EX100" i="2421"/>
  <c r="PH100" i="2421"/>
  <c r="PI100" i="2421"/>
  <c r="CB100" i="2421"/>
  <c r="NP100" i="2421"/>
  <c r="NO100" i="2421"/>
  <c r="BM100" i="2421"/>
  <c r="CA100" i="2421"/>
  <c r="NN100" i="2421"/>
  <c r="EW100" i="2421"/>
  <c r="PG100" i="2421"/>
  <c r="BZ100" i="2421"/>
  <c r="EY48" i="2421"/>
  <c r="EX48" i="2421"/>
  <c r="PH48" i="2421"/>
  <c r="PI48" i="2421"/>
  <c r="CA48" i="2421"/>
  <c r="BM48" i="2421"/>
  <c r="CB48" i="2421"/>
  <c r="NP48" i="2421"/>
  <c r="NO48" i="2421"/>
  <c r="NN48" i="2421"/>
  <c r="PG48" i="2421"/>
  <c r="EW48" i="2421"/>
  <c r="BZ48" i="2421"/>
  <c r="EY96" i="2421"/>
  <c r="EX96" i="2421"/>
  <c r="PH96" i="2421"/>
  <c r="PI96" i="2421"/>
  <c r="NP96" i="2421"/>
  <c r="NO96" i="2421"/>
  <c r="CB96" i="2421"/>
  <c r="BM96" i="2421"/>
  <c r="CA96" i="2421"/>
  <c r="NN96" i="2421"/>
  <c r="EW96" i="2421"/>
  <c r="PG96" i="2421"/>
  <c r="BZ96" i="2421"/>
  <c r="EX81" i="2421"/>
  <c r="EY81" i="2421"/>
  <c r="PI81" i="2421"/>
  <c r="PH81" i="2421"/>
  <c r="BM81" i="2421"/>
  <c r="CA81" i="2421"/>
  <c r="NP81" i="2421"/>
  <c r="NO81" i="2421"/>
  <c r="CB81" i="2421"/>
  <c r="NN81" i="2421"/>
  <c r="PG81" i="2421"/>
  <c r="BZ81" i="2421"/>
  <c r="EW81" i="2421"/>
  <c r="EY58" i="2421"/>
  <c r="EX58" i="2421"/>
  <c r="PH58" i="2421"/>
  <c r="PI58" i="2421"/>
  <c r="NP58" i="2421"/>
  <c r="CB58" i="2421"/>
  <c r="NO58" i="2421"/>
  <c r="CA58" i="2421"/>
  <c r="BM58" i="2421"/>
  <c r="PG58" i="2421"/>
  <c r="NN58" i="2421"/>
  <c r="BZ58" i="2421"/>
  <c r="EW58" i="2421"/>
  <c r="EX44" i="2421"/>
  <c r="EY44" i="2421"/>
  <c r="PI44" i="2421"/>
  <c r="PH44" i="2421"/>
  <c r="NP44" i="2421"/>
  <c r="NO44" i="2421"/>
  <c r="CA44" i="2421"/>
  <c r="CB44" i="2421"/>
  <c r="BM44" i="2421"/>
  <c r="NN44" i="2421"/>
  <c r="PG44" i="2421"/>
  <c r="BZ44" i="2421"/>
  <c r="EW44" i="2421"/>
  <c r="EY108" i="2421"/>
  <c r="EX108" i="2421"/>
  <c r="PH108" i="2421"/>
  <c r="PI108" i="2421"/>
  <c r="NP108" i="2421"/>
  <c r="NO108" i="2421"/>
  <c r="CB108" i="2421"/>
  <c r="CA108" i="2421"/>
  <c r="BM108" i="2421"/>
  <c r="BZ108" i="2421"/>
  <c r="PG108" i="2421"/>
  <c r="EW108" i="2421"/>
  <c r="NN108" i="2421"/>
  <c r="EY21" i="2421"/>
  <c r="EX21" i="2421"/>
  <c r="PI21" i="2421"/>
  <c r="PH21" i="2421"/>
  <c r="CB21" i="2421"/>
  <c r="CA21" i="2421"/>
  <c r="BM21" i="2421"/>
  <c r="NP21" i="2421"/>
  <c r="NO21" i="2421"/>
  <c r="EW21" i="2421"/>
  <c r="BZ21" i="2421"/>
  <c r="PG21" i="2421"/>
  <c r="NN21" i="2421"/>
  <c r="EY39" i="2421"/>
  <c r="EX39" i="2421"/>
  <c r="PH39" i="2421"/>
  <c r="PI39" i="2421"/>
  <c r="NP39" i="2421"/>
  <c r="BM39" i="2421"/>
  <c r="NO39" i="2421"/>
  <c r="CB39" i="2421"/>
  <c r="CA39" i="2421"/>
  <c r="EW39" i="2421"/>
  <c r="PG39" i="2421"/>
  <c r="NN39" i="2421"/>
  <c r="BZ39" i="2421"/>
  <c r="EY55" i="2421"/>
  <c r="EX55" i="2421"/>
  <c r="PI55" i="2421"/>
  <c r="PH55" i="2421"/>
  <c r="CA55" i="2421"/>
  <c r="NO55" i="2421"/>
  <c r="BM55" i="2421"/>
  <c r="NP55" i="2421"/>
  <c r="CB55" i="2421"/>
  <c r="EW55" i="2421"/>
  <c r="NN55" i="2421"/>
  <c r="PG55" i="2421"/>
  <c r="BZ55" i="2421"/>
  <c r="EY25" i="2421"/>
  <c r="EX25" i="2421"/>
  <c r="PI25" i="2421"/>
  <c r="PH25" i="2421"/>
  <c r="BM25" i="2421"/>
  <c r="CA25" i="2421"/>
  <c r="NP25" i="2421"/>
  <c r="NO25" i="2421"/>
  <c r="CB25" i="2421"/>
  <c r="NN25" i="2421"/>
  <c r="EW25" i="2421"/>
  <c r="BZ25" i="2421"/>
  <c r="PG25" i="2421"/>
  <c r="EY89" i="2421"/>
  <c r="EX89" i="2421"/>
  <c r="PH89" i="2421"/>
  <c r="PI89" i="2421"/>
  <c r="BM89" i="2421"/>
  <c r="CB89" i="2421"/>
  <c r="NP89" i="2421"/>
  <c r="NO89" i="2421"/>
  <c r="CA89" i="2421"/>
  <c r="BZ89" i="2421"/>
  <c r="NN89" i="2421"/>
  <c r="EW89" i="2421"/>
  <c r="PG89" i="2421"/>
  <c r="EY64" i="2421"/>
  <c r="EX64" i="2421"/>
  <c r="PH64" i="2421"/>
  <c r="PI64" i="2421"/>
  <c r="NP64" i="2421"/>
  <c r="NO64" i="2421"/>
  <c r="BM64" i="2421"/>
  <c r="CA64" i="2421"/>
  <c r="CB64" i="2421"/>
  <c r="NN64" i="2421"/>
  <c r="PG64" i="2421"/>
  <c r="BZ64" i="2421"/>
  <c r="EW64" i="2421"/>
  <c r="EY80" i="2421"/>
  <c r="EX80" i="2421"/>
  <c r="PI80" i="2421"/>
  <c r="PH80" i="2421"/>
  <c r="CA80" i="2421"/>
  <c r="CB80" i="2421"/>
  <c r="BM80" i="2421"/>
  <c r="NP80" i="2421"/>
  <c r="NO80" i="2421"/>
  <c r="NN80" i="2421"/>
  <c r="EW80" i="2421"/>
  <c r="BZ80" i="2421"/>
  <c r="PG80" i="2421"/>
  <c r="EY104" i="2421"/>
  <c r="EX104" i="2421"/>
  <c r="PH104" i="2421"/>
  <c r="PI104" i="2421"/>
  <c r="BM104" i="2421"/>
  <c r="NP104" i="2421"/>
  <c r="NO104" i="2421"/>
  <c r="CA104" i="2421"/>
  <c r="CB104" i="2421"/>
  <c r="PG104" i="2421"/>
  <c r="NN104" i="2421"/>
  <c r="EW104" i="2421"/>
  <c r="BZ104" i="2421"/>
  <c r="EY59" i="2421"/>
  <c r="EX59" i="2421"/>
  <c r="PH59" i="2421"/>
  <c r="PI59" i="2421"/>
  <c r="BM59" i="2421"/>
  <c r="NO59" i="2421"/>
  <c r="NP59" i="2421"/>
  <c r="CB59" i="2421"/>
  <c r="CA59" i="2421"/>
  <c r="BZ59" i="2421"/>
  <c r="PG59" i="2421"/>
  <c r="EW59" i="2421"/>
  <c r="NN59" i="2421"/>
  <c r="EY84" i="2421"/>
  <c r="EX84" i="2421"/>
  <c r="PH84" i="2421"/>
  <c r="PI84" i="2421"/>
  <c r="CA84" i="2421"/>
  <c r="CB84" i="2421"/>
  <c r="BM84" i="2421"/>
  <c r="NP84" i="2421"/>
  <c r="NO84" i="2421"/>
  <c r="EW84" i="2421"/>
  <c r="PG84" i="2421"/>
  <c r="NN84" i="2421"/>
  <c r="BZ84" i="2421"/>
  <c r="EY32" i="2421"/>
  <c r="EX32" i="2421"/>
  <c r="PH32" i="2421"/>
  <c r="PI32" i="2421"/>
  <c r="BM32" i="2421"/>
  <c r="NP32" i="2421"/>
  <c r="NO32" i="2421"/>
  <c r="CA32" i="2421"/>
  <c r="CB32" i="2421"/>
  <c r="NN32" i="2421"/>
  <c r="BZ32" i="2421"/>
  <c r="PG32" i="2421"/>
  <c r="EW32" i="2421"/>
  <c r="EX33" i="2421"/>
  <c r="EY33" i="2421"/>
  <c r="PI33" i="2421"/>
  <c r="PH33" i="2421"/>
  <c r="CB33" i="2421"/>
  <c r="NP33" i="2421"/>
  <c r="NO33" i="2421"/>
  <c r="BM33" i="2421"/>
  <c r="CA33" i="2421"/>
  <c r="EW33" i="2421"/>
  <c r="PG33" i="2421"/>
  <c r="BZ33" i="2421"/>
  <c r="NN33" i="2421"/>
  <c r="EX49" i="2421"/>
  <c r="EY49" i="2421"/>
  <c r="PH49" i="2421"/>
  <c r="PI49" i="2421"/>
  <c r="CB49" i="2421"/>
  <c r="BM49" i="2421"/>
  <c r="NP49" i="2421"/>
  <c r="NO49" i="2421"/>
  <c r="CA49" i="2421"/>
  <c r="PG49" i="2421"/>
  <c r="BZ49" i="2421"/>
  <c r="NN49" i="2421"/>
  <c r="EW49" i="2421"/>
  <c r="EY74" i="2421"/>
  <c r="EX74" i="2421"/>
  <c r="PI74" i="2421"/>
  <c r="PH74" i="2421"/>
  <c r="NO74" i="2421"/>
  <c r="CA74" i="2421"/>
  <c r="NP74" i="2421"/>
  <c r="CB74" i="2421"/>
  <c r="BM74" i="2421"/>
  <c r="PG74" i="2421"/>
  <c r="NN74" i="2421"/>
  <c r="BZ74" i="2421"/>
  <c r="EW74" i="2421"/>
  <c r="EY35" i="2421"/>
  <c r="EX35" i="2421"/>
  <c r="PI35" i="2421"/>
  <c r="PH35" i="2421"/>
  <c r="NP35" i="2421"/>
  <c r="NO35" i="2421"/>
  <c r="CB35" i="2421"/>
  <c r="BM35" i="2421"/>
  <c r="CA35" i="2421"/>
  <c r="BZ35" i="2421"/>
  <c r="EW35" i="2421"/>
  <c r="NN35" i="2421"/>
  <c r="PG35" i="2421"/>
  <c r="EY51" i="2421"/>
  <c r="EX51" i="2421"/>
  <c r="PI51" i="2421"/>
  <c r="PH51" i="2421"/>
  <c r="CB51" i="2421"/>
  <c r="CA51" i="2421"/>
  <c r="NO51" i="2421"/>
  <c r="BM51" i="2421"/>
  <c r="NP51" i="2421"/>
  <c r="EW51" i="2421"/>
  <c r="PG51" i="2421"/>
  <c r="BZ51" i="2421"/>
  <c r="NN51" i="2421"/>
  <c r="EY76" i="2421"/>
  <c r="EX76" i="2421"/>
  <c r="PI76" i="2421"/>
  <c r="PH76" i="2421"/>
  <c r="NP76" i="2421"/>
  <c r="NO76" i="2421"/>
  <c r="CA76" i="2421"/>
  <c r="CB76" i="2421"/>
  <c r="BM76" i="2421"/>
  <c r="BZ76" i="2421"/>
  <c r="PG76" i="2421"/>
  <c r="NN76" i="2421"/>
  <c r="EW76" i="2421"/>
  <c r="EY107" i="2421"/>
  <c r="EX107" i="2421"/>
  <c r="PH107" i="2421"/>
  <c r="PI107" i="2421"/>
  <c r="BM107" i="2421"/>
  <c r="NP107" i="2421"/>
  <c r="CB107" i="2421"/>
  <c r="CA107" i="2421"/>
  <c r="NO107" i="2421"/>
  <c r="BZ107" i="2421"/>
  <c r="NN107" i="2421"/>
  <c r="PG107" i="2421"/>
  <c r="EW107" i="2421"/>
  <c r="EX36" i="2421"/>
  <c r="EY36" i="2421"/>
  <c r="PH36" i="2421"/>
  <c r="PI36" i="2421"/>
  <c r="BM36" i="2421"/>
  <c r="NP36" i="2421"/>
  <c r="NO36" i="2421"/>
  <c r="CA36" i="2421"/>
  <c r="CB36" i="2421"/>
  <c r="NN36" i="2421"/>
  <c r="BZ36" i="2421"/>
  <c r="PG36" i="2421"/>
  <c r="EW36" i="2421"/>
  <c r="EY56" i="2421"/>
  <c r="EX56" i="2421"/>
  <c r="PI56" i="2421"/>
  <c r="PH56" i="2421"/>
  <c r="NP56" i="2421"/>
  <c r="NO56" i="2421"/>
  <c r="CB56" i="2421"/>
  <c r="CA56" i="2421"/>
  <c r="BM56" i="2421"/>
  <c r="PG56" i="2421"/>
  <c r="NN56" i="2421"/>
  <c r="EW56" i="2421"/>
  <c r="BZ56" i="2421"/>
  <c r="EY34" i="2421"/>
  <c r="EX34" i="2421"/>
  <c r="PI34" i="2421"/>
  <c r="PH34" i="2421"/>
  <c r="BM34" i="2421"/>
  <c r="CB34" i="2421"/>
  <c r="NP34" i="2421"/>
  <c r="NO34" i="2421"/>
  <c r="CA34" i="2421"/>
  <c r="PG34" i="2421"/>
  <c r="BZ34" i="2421"/>
  <c r="NN34" i="2421"/>
  <c r="EW34" i="2421"/>
  <c r="EY75" i="2421"/>
  <c r="EX75" i="2421"/>
  <c r="PH75" i="2421"/>
  <c r="PI75" i="2421"/>
  <c r="BM75" i="2421"/>
  <c r="NP75" i="2421"/>
  <c r="NO75" i="2421"/>
  <c r="CB75" i="2421"/>
  <c r="CA75" i="2421"/>
  <c r="NN75" i="2421"/>
  <c r="EW75" i="2421"/>
  <c r="PG75" i="2421"/>
  <c r="BZ75" i="2421"/>
  <c r="EY93" i="2421"/>
  <c r="EX93" i="2421"/>
  <c r="PI93" i="2421"/>
  <c r="PH93" i="2421"/>
  <c r="CB93" i="2421"/>
  <c r="NP93" i="2421"/>
  <c r="NO93" i="2421"/>
  <c r="CA93" i="2421"/>
  <c r="BM93" i="2421"/>
  <c r="NN93" i="2421"/>
  <c r="BZ93" i="2421"/>
  <c r="PG93" i="2421"/>
  <c r="EW93" i="2421"/>
  <c r="EY22" i="2421"/>
  <c r="EX22" i="2421"/>
  <c r="PH22" i="2421"/>
  <c r="PI22" i="2421"/>
  <c r="CA22" i="2421"/>
  <c r="BM22" i="2421"/>
  <c r="CB22" i="2421"/>
  <c r="NO22" i="2421"/>
  <c r="NP22" i="2421"/>
  <c r="EW22" i="2421"/>
  <c r="PG22" i="2421"/>
  <c r="BZ22" i="2421"/>
  <c r="NN22" i="2421"/>
  <c r="EY95" i="2421"/>
  <c r="EX95" i="2421"/>
  <c r="PI95" i="2421"/>
  <c r="PH95" i="2421"/>
  <c r="NP95" i="2421"/>
  <c r="NO95" i="2421"/>
  <c r="CB95" i="2421"/>
  <c r="CA95" i="2421"/>
  <c r="BM95" i="2421"/>
  <c r="NN95" i="2421"/>
  <c r="PG95" i="2421"/>
  <c r="BZ95" i="2421"/>
  <c r="EW95" i="2421"/>
  <c r="EY65" i="2421"/>
  <c r="EX65" i="2421"/>
  <c r="PI65" i="2421"/>
  <c r="PH65" i="2421"/>
  <c r="NP65" i="2421"/>
  <c r="NO65" i="2421"/>
  <c r="CB65" i="2421"/>
  <c r="BM65" i="2421"/>
  <c r="CA65" i="2421"/>
  <c r="BZ65" i="2421"/>
  <c r="EW65" i="2421"/>
  <c r="NN65" i="2421"/>
  <c r="PG65" i="2421"/>
  <c r="EY42" i="2421"/>
  <c r="EX42" i="2421"/>
  <c r="PH42" i="2421"/>
  <c r="PI42" i="2421"/>
  <c r="BM42" i="2421"/>
  <c r="NO42" i="2421"/>
  <c r="NP42" i="2421"/>
  <c r="CA42" i="2421"/>
  <c r="CB42" i="2421"/>
  <c r="NN42" i="2421"/>
  <c r="EW42" i="2421"/>
  <c r="BZ42" i="2421"/>
  <c r="PG42" i="2421"/>
  <c r="EY67" i="2421"/>
  <c r="EX67" i="2421"/>
  <c r="PH67" i="2421"/>
  <c r="PI67" i="2421"/>
  <c r="NO67" i="2421"/>
  <c r="NP67" i="2421"/>
  <c r="CB67" i="2421"/>
  <c r="BM67" i="2421"/>
  <c r="CA67" i="2421"/>
  <c r="EW67" i="2421"/>
  <c r="BZ67" i="2421"/>
  <c r="PG67" i="2421"/>
  <c r="NN67" i="2421"/>
  <c r="EY83" i="2421"/>
  <c r="EX83" i="2421"/>
  <c r="PI83" i="2421"/>
  <c r="PH83" i="2421"/>
  <c r="CB83" i="2421"/>
  <c r="NO83" i="2421"/>
  <c r="CA83" i="2421"/>
  <c r="BM83" i="2421"/>
  <c r="NP83" i="2421"/>
  <c r="BZ83" i="2421"/>
  <c r="PG83" i="2421"/>
  <c r="NN83" i="2421"/>
  <c r="EW83" i="2421"/>
  <c r="EY99" i="2421"/>
  <c r="EX99" i="2421"/>
  <c r="PI99" i="2421"/>
  <c r="PH99" i="2421"/>
  <c r="NO99" i="2421"/>
  <c r="NP99" i="2421"/>
  <c r="CB99" i="2421"/>
  <c r="BM99" i="2421"/>
  <c r="CA99" i="2421"/>
  <c r="PG99" i="2421"/>
  <c r="NN99" i="2421"/>
  <c r="EW99" i="2421"/>
  <c r="BZ99" i="2421"/>
  <c r="BU28" i="2420"/>
  <c r="BV28" i="2420" s="1"/>
  <c r="EX69" i="2421"/>
  <c r="EY69" i="2421"/>
  <c r="PH69" i="2421"/>
  <c r="PI69" i="2421"/>
  <c r="NP69" i="2421"/>
  <c r="NO69" i="2421"/>
  <c r="BM69" i="2421"/>
  <c r="CA69" i="2421"/>
  <c r="CB69" i="2421"/>
  <c r="EW69" i="2421"/>
  <c r="NN69" i="2421"/>
  <c r="BZ69" i="2421"/>
  <c r="PG69" i="2421"/>
  <c r="EX46" i="2421"/>
  <c r="EY46" i="2421"/>
  <c r="PI46" i="2421"/>
  <c r="PH46" i="2421"/>
  <c r="NO46" i="2421"/>
  <c r="CA46" i="2421"/>
  <c r="BM46" i="2421"/>
  <c r="NP46" i="2421"/>
  <c r="CB46" i="2421"/>
  <c r="BZ46" i="2421"/>
  <c r="EW46" i="2421"/>
  <c r="PG46" i="2421"/>
  <c r="NN46" i="2421"/>
  <c r="EY54" i="2421"/>
  <c r="EX54" i="2421"/>
  <c r="PI54" i="2421"/>
  <c r="PH54" i="2421"/>
  <c r="CA54" i="2421"/>
  <c r="BM54" i="2421"/>
  <c r="CB54" i="2421"/>
  <c r="NP54" i="2421"/>
  <c r="NO54" i="2421"/>
  <c r="EW54" i="2421"/>
  <c r="BZ54" i="2421"/>
  <c r="NN54" i="2421"/>
  <c r="PG54" i="2421"/>
  <c r="EY112" i="2421"/>
  <c r="EX112" i="2421"/>
  <c r="PH112" i="2421"/>
  <c r="PI112" i="2421"/>
  <c r="CA112" i="2421"/>
  <c r="CB112" i="2421"/>
  <c r="BM112" i="2421"/>
  <c r="NP112" i="2421"/>
  <c r="NO112" i="2421"/>
  <c r="BZ112" i="2421"/>
  <c r="NN112" i="2421"/>
  <c r="EW112" i="2421"/>
  <c r="PG112" i="2421"/>
  <c r="EY88" i="2421"/>
  <c r="EX88" i="2421"/>
  <c r="PH88" i="2421"/>
  <c r="PI88" i="2421"/>
  <c r="BM88" i="2421"/>
  <c r="CB88" i="2421"/>
  <c r="NP88" i="2421"/>
  <c r="NO88" i="2421"/>
  <c r="CA88" i="2421"/>
  <c r="BZ88" i="2421"/>
  <c r="EW88" i="2421"/>
  <c r="NN88" i="2421"/>
  <c r="PG88" i="2421"/>
  <c r="EY41" i="2421"/>
  <c r="EX41" i="2421"/>
  <c r="PH41" i="2421"/>
  <c r="PI41" i="2421"/>
  <c r="NP41" i="2421"/>
  <c r="NO41" i="2421"/>
  <c r="CA41" i="2421"/>
  <c r="BM41" i="2421"/>
  <c r="CB41" i="2421"/>
  <c r="EW41" i="2421"/>
  <c r="NN41" i="2421"/>
  <c r="PG41" i="2421"/>
  <c r="BZ41" i="2421"/>
  <c r="EX105" i="2421"/>
  <c r="EY105" i="2421"/>
  <c r="PH105" i="2421"/>
  <c r="PI105" i="2421"/>
  <c r="NP105" i="2421"/>
  <c r="NO105" i="2421"/>
  <c r="BM105" i="2421"/>
  <c r="CA105" i="2421"/>
  <c r="CB105" i="2421"/>
  <c r="BZ105" i="2421"/>
  <c r="EW105" i="2421"/>
  <c r="NN105" i="2421"/>
  <c r="PG105" i="2421"/>
  <c r="EY68" i="2421"/>
  <c r="EX68" i="2421"/>
  <c r="PH68" i="2421"/>
  <c r="PI68" i="2421"/>
  <c r="NP68" i="2421"/>
  <c r="NO68" i="2421"/>
  <c r="CB68" i="2421"/>
  <c r="BM68" i="2421"/>
  <c r="CA68" i="2421"/>
  <c r="NN68" i="2421"/>
  <c r="EW68" i="2421"/>
  <c r="BZ68" i="2421"/>
  <c r="PG68" i="2421"/>
  <c r="EX77" i="2421"/>
  <c r="EY77" i="2421"/>
  <c r="PH77" i="2421"/>
  <c r="PI77" i="2421"/>
  <c r="NP77" i="2421"/>
  <c r="NO77" i="2421"/>
  <c r="CA77" i="2421"/>
  <c r="CB77" i="2421"/>
  <c r="BM77" i="2421"/>
  <c r="EW77" i="2421"/>
  <c r="NN77" i="2421"/>
  <c r="PG77" i="2421"/>
  <c r="BZ77" i="2421"/>
  <c r="EX109" i="2421"/>
  <c r="EY109" i="2421"/>
  <c r="PI109" i="2421"/>
  <c r="PH109" i="2421"/>
  <c r="NP109" i="2421"/>
  <c r="NO109" i="2421"/>
  <c r="CA109" i="2421"/>
  <c r="CB109" i="2421"/>
  <c r="BM109" i="2421"/>
  <c r="EW109" i="2421"/>
  <c r="BZ109" i="2421"/>
  <c r="NN109" i="2421"/>
  <c r="PG109" i="2421"/>
  <c r="BU29" i="2420"/>
  <c r="EY63" i="2421"/>
  <c r="EX63" i="2421"/>
  <c r="PH63" i="2421"/>
  <c r="PI63" i="2421"/>
  <c r="NP63" i="2421"/>
  <c r="CB63" i="2421"/>
  <c r="NO63" i="2421"/>
  <c r="CA63" i="2421"/>
  <c r="BM63" i="2421"/>
  <c r="EW63" i="2421"/>
  <c r="NN63" i="2421"/>
  <c r="PG63" i="2421"/>
  <c r="BZ63" i="2421"/>
  <c r="EX60" i="2421"/>
  <c r="EY60" i="2421"/>
  <c r="PH60" i="2421"/>
  <c r="PI60" i="2421"/>
  <c r="CB60" i="2421"/>
  <c r="NP60" i="2421"/>
  <c r="NO60" i="2421"/>
  <c r="CA60" i="2421"/>
  <c r="BM60" i="2421"/>
  <c r="EW60" i="2421"/>
  <c r="NN60" i="2421"/>
  <c r="BZ60" i="2421"/>
  <c r="PG60" i="2421"/>
  <c r="EY87" i="2421"/>
  <c r="EX87" i="2421"/>
  <c r="PI87" i="2421"/>
  <c r="PH87" i="2421"/>
  <c r="CA87" i="2421"/>
  <c r="BM87" i="2421"/>
  <c r="NO87" i="2421"/>
  <c r="NP87" i="2421"/>
  <c r="CB87" i="2421"/>
  <c r="NN87" i="2421"/>
  <c r="EW87" i="2421"/>
  <c r="PG87" i="2421"/>
  <c r="BZ87" i="2421"/>
  <c r="MK110" i="2421"/>
  <c r="MK106" i="2421"/>
  <c r="MK102" i="2421"/>
  <c r="MK98" i="2421"/>
  <c r="MK94" i="2421"/>
  <c r="MK90" i="2421"/>
  <c r="MK86" i="2421"/>
  <c r="MK82" i="2421"/>
  <c r="MK78" i="2421"/>
  <c r="MK74"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K113" i="2421"/>
  <c r="MK109" i="2421"/>
  <c r="MK105" i="2421"/>
  <c r="MK101" i="2421"/>
  <c r="MK97" i="2421"/>
  <c r="MK93" i="2421"/>
  <c r="MK89" i="2421"/>
  <c r="MK85" i="2421"/>
  <c r="MK81" i="2421"/>
  <c r="MK77" i="2421"/>
  <c r="MK73" i="2421"/>
  <c r="MK69" i="2421"/>
  <c r="MK65" i="2421"/>
  <c r="MK61" i="2421"/>
  <c r="MK57" i="2421"/>
  <c r="MK53" i="2421"/>
  <c r="MK49" i="2421"/>
  <c r="MK45" i="2421"/>
  <c r="MK41" i="2421"/>
  <c r="MK37" i="2421"/>
  <c r="MK33" i="2421"/>
  <c r="MK29" i="2421"/>
  <c r="MK25" i="2421"/>
  <c r="MK21"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K112" i="2421"/>
  <c r="MK108" i="2421"/>
  <c r="MK104" i="2421"/>
  <c r="MK100" i="2421"/>
  <c r="MK96" i="2421"/>
  <c r="MK92" i="2421"/>
  <c r="MK88" i="2421"/>
  <c r="MK84" i="2421"/>
  <c r="MK80" i="2421"/>
  <c r="MK76" i="2421"/>
  <c r="MK72" i="2421"/>
  <c r="MK68" i="2421"/>
  <c r="MK64" i="2421"/>
  <c r="MK60" i="2421"/>
  <c r="MK56" i="2421"/>
  <c r="MK52" i="2421"/>
  <c r="MK48" i="2421"/>
  <c r="MK44" i="2421"/>
  <c r="MK40" i="2421"/>
  <c r="MK36" i="2421"/>
  <c r="MK32" i="2421"/>
  <c r="MK28" i="2421"/>
  <c r="MK20" i="2421"/>
  <c r="ML111" i="2421"/>
  <c r="ML107" i="2421"/>
  <c r="ML103" i="2421"/>
  <c r="ML99" i="2421"/>
  <c r="ML95" i="2421"/>
  <c r="ML91" i="2421"/>
  <c r="ML87" i="2421"/>
  <c r="ML83" i="2421"/>
  <c r="ML79" i="2421"/>
  <c r="ML75" i="2421"/>
  <c r="ML71" i="2421"/>
  <c r="ML67" i="2421"/>
  <c r="ML63" i="2421"/>
  <c r="ML59" i="2421"/>
  <c r="ML55" i="2421"/>
  <c r="ML51" i="2421"/>
  <c r="ML47" i="2421"/>
  <c r="ML43" i="2421"/>
  <c r="ML39" i="2421"/>
  <c r="ML35" i="2421"/>
  <c r="ML31" i="2421"/>
  <c r="ML27" i="2421"/>
  <c r="ML23" i="2421"/>
  <c r="ML19" i="2421"/>
  <c r="MK103" i="2421"/>
  <c r="MK87" i="2421"/>
  <c r="MK71" i="2421"/>
  <c r="MK62" i="2421"/>
  <c r="ML50" i="2421"/>
  <c r="MK39" i="2421"/>
  <c r="MK30" i="2421"/>
  <c r="ML102" i="2421"/>
  <c r="ML86" i="2421"/>
  <c r="ML70" i="2421"/>
  <c r="MK59" i="2421"/>
  <c r="MK50" i="2421"/>
  <c r="ML38" i="2421"/>
  <c r="MK27" i="2421"/>
  <c r="MK99" i="2421"/>
  <c r="MK83" i="2421"/>
  <c r="MK70" i="2421"/>
  <c r="ML58" i="2421"/>
  <c r="MK47" i="2421"/>
  <c r="MK38" i="2421"/>
  <c r="ML26" i="2421"/>
  <c r="ML98" i="2421"/>
  <c r="ML82" i="2421"/>
  <c r="MK67" i="2421"/>
  <c r="MK58" i="2421"/>
  <c r="ML46" i="2421"/>
  <c r="MK35" i="2421"/>
  <c r="MK26" i="2421"/>
  <c r="MK111" i="2421"/>
  <c r="MK95" i="2421"/>
  <c r="MK79" i="2421"/>
  <c r="ML66" i="2421"/>
  <c r="MK55" i="2421"/>
  <c r="MK46" i="2421"/>
  <c r="ML34" i="2421"/>
  <c r="MK23" i="2421"/>
  <c r="MK107" i="2421"/>
  <c r="MK91" i="2421"/>
  <c r="MK75" i="2421"/>
  <c r="MK63" i="2421"/>
  <c r="MK54" i="2421"/>
  <c r="ML42" i="2421"/>
  <c r="MK31" i="2421"/>
  <c r="MK22" i="2421"/>
  <c r="MC11" i="2421"/>
  <c r="ML78" i="2421"/>
  <c r="MK34" i="2421"/>
  <c r="ML74" i="2421"/>
  <c r="ML30" i="2421"/>
  <c r="MK66" i="2421"/>
  <c r="ML22" i="2421"/>
  <c r="ML62" i="2421"/>
  <c r="MK19" i="2421"/>
  <c r="ML110" i="2421"/>
  <c r="ML54" i="2421"/>
  <c r="ML106" i="2421"/>
  <c r="MK51" i="2421"/>
  <c r="ML94" i="2421"/>
  <c r="MK43" i="2421"/>
  <c r="ML90" i="2421"/>
  <c r="MK42" i="2421"/>
  <c r="OO12" i="2421"/>
  <c r="ON12" i="2421"/>
  <c r="OM12" i="2421"/>
  <c r="OT12" i="2421"/>
  <c r="OL12" i="2421"/>
  <c r="OR12" i="2421"/>
  <c r="OS12" i="2421"/>
  <c r="OQ12" i="2421"/>
  <c r="OP12" i="2421"/>
  <c r="OJ12" i="2421"/>
  <c r="HC12" i="2421"/>
  <c r="HB12" i="2421"/>
  <c r="HA12" i="2421"/>
  <c r="GZ12" i="2421"/>
  <c r="HG12" i="2421"/>
  <c r="GY12" i="2421"/>
  <c r="HF12" i="2421"/>
  <c r="GW12" i="2421"/>
  <c r="HE12" i="2421"/>
  <c r="HD12" i="2421"/>
  <c r="LH111" i="2421"/>
  <c r="LH107" i="2421"/>
  <c r="LG111" i="2421"/>
  <c r="LG107" i="2421"/>
  <c r="LH110" i="2421"/>
  <c r="LH106" i="2421"/>
  <c r="LG110" i="2421"/>
  <c r="LH108" i="2421"/>
  <c r="LG103" i="2421"/>
  <c r="LG99" i="2421"/>
  <c r="LH95" i="2421"/>
  <c r="LH91" i="2421"/>
  <c r="LH87" i="2421"/>
  <c r="LG84" i="2421"/>
  <c r="LG80" i="2421"/>
  <c r="LG76" i="2421"/>
  <c r="LG72" i="2421"/>
  <c r="LH68" i="2421"/>
  <c r="LH64" i="2421"/>
  <c r="LH60" i="2421"/>
  <c r="LG57" i="2421"/>
  <c r="LH53" i="2421"/>
  <c r="LG50" i="2421"/>
  <c r="LH46" i="2421"/>
  <c r="LG39" i="2421"/>
  <c r="LH35" i="2421"/>
  <c r="LG32" i="2421"/>
  <c r="LH28" i="2421"/>
  <c r="LH25" i="2421"/>
  <c r="LG108" i="2421"/>
  <c r="LH102" i="2421"/>
  <c r="LH98" i="2421"/>
  <c r="LG95" i="2421"/>
  <c r="LG91" i="2421"/>
  <c r="LG87" i="2421"/>
  <c r="LH83" i="2421"/>
  <c r="LH79" i="2421"/>
  <c r="LH75" i="2421"/>
  <c r="LH71" i="2421"/>
  <c r="LG68" i="2421"/>
  <c r="LG64" i="2421"/>
  <c r="LG60" i="2421"/>
  <c r="LH56" i="2421"/>
  <c r="LG53" i="2421"/>
  <c r="LH49" i="2421"/>
  <c r="LG46" i="2421"/>
  <c r="LH42" i="2421"/>
  <c r="LG35" i="2421"/>
  <c r="LH31" i="2421"/>
  <c r="LG28" i="2421"/>
  <c r="LG25" i="2421"/>
  <c r="LH22" i="2421"/>
  <c r="LH20" i="2421"/>
  <c r="LH113" i="2421"/>
  <c r="LG106" i="2421"/>
  <c r="LG102" i="2421"/>
  <c r="LG98" i="2421"/>
  <c r="LH94" i="2421"/>
  <c r="LH90" i="2421"/>
  <c r="LH86" i="2421"/>
  <c r="LG83" i="2421"/>
  <c r="LG79" i="2421"/>
  <c r="LG75" i="2421"/>
  <c r="LG71" i="2421"/>
  <c r="LH67" i="2421"/>
  <c r="LH63" i="2421"/>
  <c r="LH59" i="2421"/>
  <c r="LG56" i="2421"/>
  <c r="LH52" i="2421"/>
  <c r="LG49" i="2421"/>
  <c r="LH45" i="2421"/>
  <c r="LG42" i="2421"/>
  <c r="LH38" i="2421"/>
  <c r="LG31" i="2421"/>
  <c r="LH27" i="2421"/>
  <c r="LG22" i="2421"/>
  <c r="LG20" i="2421"/>
  <c r="LG113" i="2421"/>
  <c r="LH105" i="2421"/>
  <c r="LH101" i="2421"/>
  <c r="LH97" i="2421"/>
  <c r="LG94" i="2421"/>
  <c r="LG90" i="2421"/>
  <c r="LG86" i="2421"/>
  <c r="LH82" i="2421"/>
  <c r="LH78" i="2421"/>
  <c r="LH74" i="2421"/>
  <c r="LH70" i="2421"/>
  <c r="LG67" i="2421"/>
  <c r="LG63" i="2421"/>
  <c r="LG59" i="2421"/>
  <c r="LH55" i="2421"/>
  <c r="LG52" i="2421"/>
  <c r="LH48" i="2421"/>
  <c r="LG45" i="2421"/>
  <c r="LH41" i="2421"/>
  <c r="LG38" i="2421"/>
  <c r="LH34" i="2421"/>
  <c r="LG27" i="2421"/>
  <c r="KY11" i="2421"/>
  <c r="LH112" i="2421"/>
  <c r="LG105" i="2421"/>
  <c r="LG101" i="2421"/>
  <c r="LG97" i="2421"/>
  <c r="LH93" i="2421"/>
  <c r="LH89" i="2421"/>
  <c r="LH85" i="2421"/>
  <c r="LG82" i="2421"/>
  <c r="LG78" i="2421"/>
  <c r="LG74" i="2421"/>
  <c r="LG70" i="2421"/>
  <c r="LH66" i="2421"/>
  <c r="LH62" i="2421"/>
  <c r="LH109" i="2421"/>
  <c r="LG104" i="2421"/>
  <c r="LG100" i="2421"/>
  <c r="LG96" i="2421"/>
  <c r="LH92" i="2421"/>
  <c r="LH88" i="2421"/>
  <c r="LG81" i="2421"/>
  <c r="LG77" i="2421"/>
  <c r="LG73" i="2421"/>
  <c r="LG69" i="2421"/>
  <c r="LH65" i="2421"/>
  <c r="LH61" i="2421"/>
  <c r="LG58" i="2421"/>
  <c r="LH54" i="2421"/>
  <c r="LG47" i="2421"/>
  <c r="LH43" i="2421"/>
  <c r="LG40" i="2421"/>
  <c r="LH36" i="2421"/>
  <c r="LG33" i="2421"/>
  <c r="LH29" i="2421"/>
  <c r="LH26" i="2421"/>
  <c r="LH23" i="2421"/>
  <c r="LG21" i="2421"/>
  <c r="LG19" i="2421"/>
  <c r="LH96" i="2421"/>
  <c r="LH81" i="2421"/>
  <c r="LG66" i="2421"/>
  <c r="LG54" i="2421"/>
  <c r="LG44" i="2421"/>
  <c r="LG34" i="2421"/>
  <c r="LG26" i="2421"/>
  <c r="LH19" i="2421"/>
  <c r="LH80" i="2421"/>
  <c r="LG65" i="2421"/>
  <c r="LH51" i="2421"/>
  <c r="LG43" i="2421"/>
  <c r="LH33" i="2421"/>
  <c r="LG112" i="2421"/>
  <c r="LG93" i="2421"/>
  <c r="LH77" i="2421"/>
  <c r="LG62" i="2421"/>
  <c r="LG51" i="2421"/>
  <c r="LG41" i="2421"/>
  <c r="LH32" i="2421"/>
  <c r="LG109" i="2421"/>
  <c r="LG92" i="2421"/>
  <c r="LH76" i="2421"/>
  <c r="LG61" i="2421"/>
  <c r="LH50" i="2421"/>
  <c r="LH40" i="2421"/>
  <c r="LH30" i="2421"/>
  <c r="LG23" i="2421"/>
  <c r="LH104" i="2421"/>
  <c r="LG89" i="2421"/>
  <c r="LH73" i="2421"/>
  <c r="LH58" i="2421"/>
  <c r="LG48" i="2421"/>
  <c r="LH39" i="2421"/>
  <c r="LG30" i="2421"/>
  <c r="LH103" i="2421"/>
  <c r="LG88" i="2421"/>
  <c r="LH72" i="2421"/>
  <c r="LH57" i="2421"/>
  <c r="LH47" i="2421"/>
  <c r="LH37" i="2421"/>
  <c r="LG29" i="2421"/>
  <c r="LH21" i="2421"/>
  <c r="LH100" i="2421"/>
  <c r="LG85" i="2421"/>
  <c r="LH69" i="2421"/>
  <c r="LG55" i="2421"/>
  <c r="LG37" i="2421"/>
  <c r="LH84" i="2421"/>
  <c r="LH44" i="2421"/>
  <c r="LG36" i="2421"/>
  <c r="LH99"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Q112" i="2421"/>
  <c r="GQ108" i="2421"/>
  <c r="GQ104" i="2421"/>
  <c r="GQ100" i="2421"/>
  <c r="GQ96" i="2421"/>
  <c r="GQ92" i="2421"/>
  <c r="GQ88" i="2421"/>
  <c r="GQ84" i="2421"/>
  <c r="GQ80" i="2421"/>
  <c r="GQ76" i="2421"/>
  <c r="GQ72" i="2421"/>
  <c r="GQ68" i="2421"/>
  <c r="GQ64" i="2421"/>
  <c r="GQ60" i="2421"/>
  <c r="GQ56" i="2421"/>
  <c r="GQ52" i="2421"/>
  <c r="GQ48" i="2421"/>
  <c r="GQ44" i="2421"/>
  <c r="GQ40" i="2421"/>
  <c r="GQ36" i="2421"/>
  <c r="GQ32" i="2421"/>
  <c r="GQ28" i="2421"/>
  <c r="GQ20"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Q111" i="2421"/>
  <c r="GQ107" i="2421"/>
  <c r="GQ103" i="2421"/>
  <c r="GQ99" i="2421"/>
  <c r="GQ95" i="2421"/>
  <c r="GQ91" i="2421"/>
  <c r="GQ87" i="2421"/>
  <c r="GQ83" i="2421"/>
  <c r="GQ79" i="2421"/>
  <c r="GQ75" i="2421"/>
  <c r="GQ71" i="2421"/>
  <c r="GQ67" i="2421"/>
  <c r="GQ63" i="2421"/>
  <c r="GQ59" i="2421"/>
  <c r="GQ55" i="2421"/>
  <c r="GQ51" i="2421"/>
  <c r="GQ47" i="2421"/>
  <c r="GQ43" i="2421"/>
  <c r="GQ39" i="2421"/>
  <c r="GQ35" i="2421"/>
  <c r="GQ31" i="2421"/>
  <c r="GQ27" i="2421"/>
  <c r="GQ23" i="2421"/>
  <c r="GQ19"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I11" i="2421"/>
  <c r="GQ110" i="2421"/>
  <c r="GQ106" i="2421"/>
  <c r="GQ102" i="2421"/>
  <c r="GQ98" i="2421"/>
  <c r="GQ94" i="2421"/>
  <c r="GQ90" i="2421"/>
  <c r="GQ86" i="2421"/>
  <c r="GQ82" i="2421"/>
  <c r="GQ78" i="2421"/>
  <c r="GQ74" i="2421"/>
  <c r="GQ70" i="2421"/>
  <c r="GQ66" i="2421"/>
  <c r="GQ62" i="2421"/>
  <c r="GQ58" i="2421"/>
  <c r="GQ54" i="2421"/>
  <c r="GQ50" i="2421"/>
  <c r="GQ46" i="2421"/>
  <c r="GQ42" i="2421"/>
  <c r="GQ38" i="2421"/>
  <c r="GQ34" i="2421"/>
  <c r="GQ30" i="2421"/>
  <c r="GQ26" i="2421"/>
  <c r="GQ22" i="2421"/>
  <c r="GR113" i="2421"/>
  <c r="GR109" i="2421"/>
  <c r="GR105" i="2421"/>
  <c r="GR101" i="2421"/>
  <c r="GR97" i="2421"/>
  <c r="GR93" i="2421"/>
  <c r="GR89" i="2421"/>
  <c r="GR85" i="2421"/>
  <c r="GR81" i="2421"/>
  <c r="GR77" i="2421"/>
  <c r="GR73" i="2421"/>
  <c r="GR69" i="2421"/>
  <c r="GR65" i="2421"/>
  <c r="GR61" i="2421"/>
  <c r="GR57" i="2421"/>
  <c r="GR53" i="2421"/>
  <c r="GR49" i="2421"/>
  <c r="GR45" i="2421"/>
  <c r="GR41" i="2421"/>
  <c r="GR37" i="2421"/>
  <c r="GR33" i="2421"/>
  <c r="GR29" i="2421"/>
  <c r="GR25" i="2421"/>
  <c r="GR21" i="2421"/>
  <c r="GQ97" i="2421"/>
  <c r="GQ65" i="2421"/>
  <c r="GQ33" i="2421"/>
  <c r="GQ93" i="2421"/>
  <c r="GQ61" i="2421"/>
  <c r="GQ29" i="2421"/>
  <c r="GQ89" i="2421"/>
  <c r="GQ57" i="2421"/>
  <c r="GQ25" i="2421"/>
  <c r="GQ85" i="2421"/>
  <c r="GQ53" i="2421"/>
  <c r="GQ21" i="2421"/>
  <c r="GQ113" i="2421"/>
  <c r="GQ81" i="2421"/>
  <c r="GQ49" i="2421"/>
  <c r="GQ109" i="2421"/>
  <c r="GQ77" i="2421"/>
  <c r="GQ45" i="2421"/>
  <c r="GQ105" i="2421"/>
  <c r="GQ73" i="2421"/>
  <c r="GQ41" i="2421"/>
  <c r="GQ101" i="2421"/>
  <c r="GQ69" i="2421"/>
  <c r="GQ37" i="2421"/>
  <c r="KQ60" i="2421"/>
  <c r="KP75" i="2421"/>
  <c r="FZ52" i="2421"/>
  <c r="GA58" i="2421"/>
  <c r="CL12" i="2421"/>
  <c r="CN12" i="2421"/>
  <c r="CK12" i="2421"/>
  <c r="CO12" i="2421"/>
  <c r="CJ12" i="2421"/>
  <c r="CQ12" i="2421"/>
  <c r="CI12" i="2421"/>
  <c r="CP12" i="2421"/>
  <c r="CG12" i="2421"/>
  <c r="CM12" i="2421"/>
  <c r="LW112" i="2421"/>
  <c r="LW108" i="2421"/>
  <c r="LW104" i="2421"/>
  <c r="LW100" i="2421"/>
  <c r="LW96" i="2421"/>
  <c r="LW92" i="2421"/>
  <c r="LW88" i="2421"/>
  <c r="LW84" i="2421"/>
  <c r="LW80" i="2421"/>
  <c r="LW76" i="2421"/>
  <c r="LV73" i="2421"/>
  <c r="LW69" i="2421"/>
  <c r="LV66" i="2421"/>
  <c r="LW62" i="2421"/>
  <c r="LW55" i="2421"/>
  <c r="LV52" i="2421"/>
  <c r="LW48" i="2421"/>
  <c r="LV45" i="2421"/>
  <c r="LW41" i="2421"/>
  <c r="LV34" i="2421"/>
  <c r="LW31" i="2421"/>
  <c r="LV26" i="2421"/>
  <c r="LW23" i="2421"/>
  <c r="LV112" i="2421"/>
  <c r="LV108" i="2421"/>
  <c r="LV104" i="2421"/>
  <c r="LV100" i="2421"/>
  <c r="LV96" i="2421"/>
  <c r="LV92" i="2421"/>
  <c r="LV88" i="2421"/>
  <c r="LV84" i="2421"/>
  <c r="LV80" i="2421"/>
  <c r="LV76" i="2421"/>
  <c r="LW72" i="2421"/>
  <c r="LV69" i="2421"/>
  <c r="LW65" i="2421"/>
  <c r="LV62" i="2421"/>
  <c r="LW58" i="2421"/>
  <c r="LV55" i="2421"/>
  <c r="LW51" i="2421"/>
  <c r="LV48" i="2421"/>
  <c r="LW44" i="2421"/>
  <c r="LV41" i="2421"/>
  <c r="LW37" i="2421"/>
  <c r="LV31" i="2421"/>
  <c r="LW28" i="2421"/>
  <c r="LV23" i="2421"/>
  <c r="LW20" i="2421"/>
  <c r="LW111" i="2421"/>
  <c r="LW107" i="2421"/>
  <c r="LW103" i="2421"/>
  <c r="LW99" i="2421"/>
  <c r="LW95" i="2421"/>
  <c r="LW91" i="2421"/>
  <c r="LW87" i="2421"/>
  <c r="LW83" i="2421"/>
  <c r="LW79" i="2421"/>
  <c r="LW75" i="2421"/>
  <c r="LV72" i="2421"/>
  <c r="LW68" i="2421"/>
  <c r="LV65" i="2421"/>
  <c r="LW61" i="2421"/>
  <c r="LV58" i="2421"/>
  <c r="LW54" i="2421"/>
  <c r="LV51" i="2421"/>
  <c r="LW47" i="2421"/>
  <c r="LV44" i="2421"/>
  <c r="LW40" i="2421"/>
  <c r="LV37" i="2421"/>
  <c r="LW33" i="2421"/>
  <c r="LV28" i="2421"/>
  <c r="LW25" i="2421"/>
  <c r="LV20" i="2421"/>
  <c r="LV111" i="2421"/>
  <c r="LV107" i="2421"/>
  <c r="LV103" i="2421"/>
  <c r="LV99" i="2421"/>
  <c r="LV95" i="2421"/>
  <c r="LV91" i="2421"/>
  <c r="LV87" i="2421"/>
  <c r="LV83" i="2421"/>
  <c r="LV79" i="2421"/>
  <c r="LV75" i="2421"/>
  <c r="LW71" i="2421"/>
  <c r="LV68" i="2421"/>
  <c r="LW64" i="2421"/>
  <c r="LV61" i="2421"/>
  <c r="LW57" i="2421"/>
  <c r="LV54" i="2421"/>
  <c r="LW50" i="2421"/>
  <c r="LV47" i="2421"/>
  <c r="LW43" i="2421"/>
  <c r="LV40" i="2421"/>
  <c r="LW36" i="2421"/>
  <c r="LV33" i="2421"/>
  <c r="LW30" i="2421"/>
  <c r="LV25" i="2421"/>
  <c r="LW22" i="2421"/>
  <c r="LW110" i="2421"/>
  <c r="LW106" i="2421"/>
  <c r="LW102" i="2421"/>
  <c r="LW98" i="2421"/>
  <c r="LW94" i="2421"/>
  <c r="LW90" i="2421"/>
  <c r="LW86" i="2421"/>
  <c r="LW82" i="2421"/>
  <c r="LW78" i="2421"/>
  <c r="LV105" i="2421"/>
  <c r="LW93" i="2421"/>
  <c r="LV82" i="2421"/>
  <c r="LV74" i="2421"/>
  <c r="LW59" i="2421"/>
  <c r="LV53" i="2421"/>
  <c r="LW38" i="2421"/>
  <c r="LV32" i="2421"/>
  <c r="LW21" i="2421"/>
  <c r="LW113" i="2421"/>
  <c r="LV102" i="2421"/>
  <c r="LV93" i="2421"/>
  <c r="LW81" i="2421"/>
  <c r="LW73" i="2421"/>
  <c r="LW66" i="2421"/>
  <c r="LV59" i="2421"/>
  <c r="LW52" i="2421"/>
  <c r="LW45" i="2421"/>
  <c r="LV38" i="2421"/>
  <c r="LW26" i="2421"/>
  <c r="LV21" i="2421"/>
  <c r="LV113" i="2421"/>
  <c r="LW101" i="2421"/>
  <c r="LV90" i="2421"/>
  <c r="LV81" i="2421"/>
  <c r="LV71" i="2421"/>
  <c r="LV64" i="2421"/>
  <c r="LV57" i="2421"/>
  <c r="LV50" i="2421"/>
  <c r="LV43" i="2421"/>
  <c r="LV36" i="2421"/>
  <c r="LV30" i="2421"/>
  <c r="LW19" i="2421"/>
  <c r="LV110" i="2421"/>
  <c r="LV101" i="2421"/>
  <c r="LW89" i="2421"/>
  <c r="LV78" i="2421"/>
  <c r="LW63" i="2421"/>
  <c r="LW56" i="2421"/>
  <c r="LW42" i="2421"/>
  <c r="LW35" i="2421"/>
  <c r="LV19" i="2421"/>
  <c r="LW109" i="2421"/>
  <c r="LV98" i="2421"/>
  <c r="LV89" i="2421"/>
  <c r="LW77" i="2421"/>
  <c r="LW70" i="2421"/>
  <c r="LV63" i="2421"/>
  <c r="LV56" i="2421"/>
  <c r="LW49" i="2421"/>
  <c r="LV42" i="2421"/>
  <c r="LV35" i="2421"/>
  <c r="LW29" i="2421"/>
  <c r="LV106" i="2421"/>
  <c r="LV97" i="2421"/>
  <c r="LW85" i="2421"/>
  <c r="LW67" i="2421"/>
  <c r="LW60" i="2421"/>
  <c r="LW46" i="2421"/>
  <c r="LW39" i="2421"/>
  <c r="LW27" i="2421"/>
  <c r="LV22" i="2421"/>
  <c r="LN11" i="2421"/>
  <c r="LW97" i="2421"/>
  <c r="LW34" i="2421"/>
  <c r="LV94" i="2421"/>
  <c r="LV60" i="2421"/>
  <c r="LW32" i="2421"/>
  <c r="LV86" i="2421"/>
  <c r="LV29" i="2421"/>
  <c r="LV85" i="2421"/>
  <c r="LW53" i="2421"/>
  <c r="LV27" i="2421"/>
  <c r="LV77" i="2421"/>
  <c r="LV49" i="2421"/>
  <c r="LW74" i="2421"/>
  <c r="LV46" i="2421"/>
  <c r="LV109" i="2421"/>
  <c r="LV70" i="2421"/>
  <c r="LW105" i="2421"/>
  <c r="LV67" i="2421"/>
  <c r="LV39" i="2421"/>
  <c r="OD12" i="2421"/>
  <c r="NU12" i="2421"/>
  <c r="OC12" i="2421"/>
  <c r="OB12" i="2421"/>
  <c r="OA12" i="2421"/>
  <c r="NZ12" i="2421"/>
  <c r="NY12" i="2421"/>
  <c r="OE12" i="2421"/>
  <c r="NX12" i="2421"/>
  <c r="NW12" i="2421"/>
  <c r="QZ99" i="2421"/>
  <c r="LA12" i="2421"/>
  <c r="LH12" i="2421"/>
  <c r="KZ12" i="2421"/>
  <c r="LG12" i="2421"/>
  <c r="KX12" i="2421"/>
  <c r="LF12" i="2421"/>
  <c r="LC12" i="2421"/>
  <c r="LE12" i="2421"/>
  <c r="LD12" i="2421"/>
  <c r="LB12" i="2421"/>
  <c r="GL12" i="2421"/>
  <c r="GK12" i="2421"/>
  <c r="GR12" i="2421"/>
  <c r="GJ12" i="2421"/>
  <c r="GQ12" i="2421"/>
  <c r="GH12" i="2421"/>
  <c r="GP12" i="2421"/>
  <c r="GO12" i="2421"/>
  <c r="GN12" i="2421"/>
  <c r="GM12" i="2421"/>
  <c r="KR111" i="2421"/>
  <c r="KR107" i="2421"/>
  <c r="KR103" i="2421"/>
  <c r="KR99" i="2421"/>
  <c r="KR95" i="2421"/>
  <c r="KR91" i="2421"/>
  <c r="KR87" i="2421"/>
  <c r="KR83" i="2421"/>
  <c r="KR79" i="2421"/>
  <c r="KR75" i="2421"/>
  <c r="KR71" i="2421"/>
  <c r="KR67" i="2421"/>
  <c r="KR63" i="2421"/>
  <c r="KR59" i="2421"/>
  <c r="KR55" i="2421"/>
  <c r="KR51" i="2421"/>
  <c r="KR47" i="2421"/>
  <c r="KR43" i="2421"/>
  <c r="KR39" i="2421"/>
  <c r="KR35" i="2421"/>
  <c r="KR31" i="2421"/>
  <c r="KR27" i="2421"/>
  <c r="KR23"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J11" i="2421"/>
  <c r="KR110" i="2421"/>
  <c r="KR106" i="2421"/>
  <c r="KR102" i="2421"/>
  <c r="KR98" i="2421"/>
  <c r="KR94" i="2421"/>
  <c r="KR90" i="2421"/>
  <c r="KR86" i="2421"/>
  <c r="KR82" i="2421"/>
  <c r="KR78" i="2421"/>
  <c r="KR74" i="2421"/>
  <c r="KR70" i="2421"/>
  <c r="KR66" i="2421"/>
  <c r="KR62" i="2421"/>
  <c r="KR58" i="2421"/>
  <c r="KR54" i="2421"/>
  <c r="KR50" i="2421"/>
  <c r="KR46" i="2421"/>
  <c r="KR42" i="2421"/>
  <c r="KR38" i="2421"/>
  <c r="KR34" i="2421"/>
  <c r="KR30" i="2421"/>
  <c r="KR26" i="2421"/>
  <c r="KR22" i="2421"/>
  <c r="KR19" i="2421"/>
  <c r="KS113" i="2421"/>
  <c r="KS109" i="2421"/>
  <c r="KS105" i="2421"/>
  <c r="KS101" i="2421"/>
  <c r="KS97" i="2421"/>
  <c r="KS93" i="2421"/>
  <c r="KS89" i="2421"/>
  <c r="KS85" i="2421"/>
  <c r="KS81" i="2421"/>
  <c r="KS77" i="2421"/>
  <c r="KS73" i="2421"/>
  <c r="KS69" i="2421"/>
  <c r="KS65" i="2421"/>
  <c r="KS61" i="2421"/>
  <c r="KS57" i="2421"/>
  <c r="KS53" i="2421"/>
  <c r="KS49" i="2421"/>
  <c r="KS45" i="2421"/>
  <c r="KS41" i="2421"/>
  <c r="KS37" i="2421"/>
  <c r="KS33" i="2421"/>
  <c r="KS29" i="2421"/>
  <c r="KS25" i="2421"/>
  <c r="KS21" i="2421"/>
  <c r="KR112" i="2421"/>
  <c r="KR108" i="2421"/>
  <c r="KR104" i="2421"/>
  <c r="KR100" i="2421"/>
  <c r="KR96" i="2421"/>
  <c r="KR92" i="2421"/>
  <c r="KR88" i="2421"/>
  <c r="KR84" i="2421"/>
  <c r="KR80" i="2421"/>
  <c r="KR76" i="2421"/>
  <c r="KR72" i="2421"/>
  <c r="KR68" i="2421"/>
  <c r="KR64" i="2421"/>
  <c r="KR60" i="2421"/>
  <c r="KR56" i="2421"/>
  <c r="KR52" i="2421"/>
  <c r="KR48" i="2421"/>
  <c r="KR44" i="2421"/>
  <c r="KR40" i="2421"/>
  <c r="KR36" i="2421"/>
  <c r="KR32" i="2421"/>
  <c r="KR28" i="2421"/>
  <c r="KS20" i="2421"/>
  <c r="KS111" i="2421"/>
  <c r="KS100" i="2421"/>
  <c r="KR89" i="2421"/>
  <c r="KS79" i="2421"/>
  <c r="KS68" i="2421"/>
  <c r="KR57" i="2421"/>
  <c r="KS47" i="2421"/>
  <c r="KS36" i="2421"/>
  <c r="KR25" i="2421"/>
  <c r="KR109" i="2421"/>
  <c r="KS99" i="2421"/>
  <c r="KS88" i="2421"/>
  <c r="KR77" i="2421"/>
  <c r="KS67" i="2421"/>
  <c r="KS56" i="2421"/>
  <c r="KR45" i="2421"/>
  <c r="KS35" i="2421"/>
  <c r="KS108" i="2421"/>
  <c r="KR97" i="2421"/>
  <c r="KS87" i="2421"/>
  <c r="KS76" i="2421"/>
  <c r="KR65" i="2421"/>
  <c r="KS55" i="2421"/>
  <c r="KS44" i="2421"/>
  <c r="KR33" i="2421"/>
  <c r="KS23" i="2421"/>
  <c r="KS107" i="2421"/>
  <c r="KS96" i="2421"/>
  <c r="KR85" i="2421"/>
  <c r="KS75" i="2421"/>
  <c r="KS64" i="2421"/>
  <c r="KR53" i="2421"/>
  <c r="KS43" i="2421"/>
  <c r="KS32" i="2421"/>
  <c r="KR21" i="2421"/>
  <c r="KR105" i="2421"/>
  <c r="KS95" i="2421"/>
  <c r="KS84" i="2421"/>
  <c r="KR73" i="2421"/>
  <c r="KS63" i="2421"/>
  <c r="KS52" i="2421"/>
  <c r="KR41" i="2421"/>
  <c r="KS31" i="2421"/>
  <c r="KS104" i="2421"/>
  <c r="KR93" i="2421"/>
  <c r="KS83" i="2421"/>
  <c r="KS72" i="2421"/>
  <c r="KR61" i="2421"/>
  <c r="KS51" i="2421"/>
  <c r="KS40" i="2421"/>
  <c r="KR29" i="2421"/>
  <c r="KR20" i="2421"/>
  <c r="KR113" i="2421"/>
  <c r="KS103" i="2421"/>
  <c r="KS92" i="2421"/>
  <c r="KR81" i="2421"/>
  <c r="KS71" i="2421"/>
  <c r="KS60" i="2421"/>
  <c r="KR49" i="2421"/>
  <c r="KS39" i="2421"/>
  <c r="KS28" i="2421"/>
  <c r="KS112" i="2421"/>
  <c r="KS27" i="2421"/>
  <c r="KR101" i="2421"/>
  <c r="KS91" i="2421"/>
  <c r="KS80" i="2421"/>
  <c r="KR69" i="2421"/>
  <c r="KS59" i="2421"/>
  <c r="KS48" i="2421"/>
  <c r="KR37" i="2421"/>
  <c r="KP94" i="2421"/>
  <c r="KP47" i="2421"/>
  <c r="KP86" i="2421"/>
  <c r="KP64" i="2421"/>
  <c r="KP99" i="2421"/>
  <c r="KP91" i="2421"/>
  <c r="KP69" i="2421"/>
  <c r="KP78" i="2421"/>
  <c r="KP62" i="2421"/>
  <c r="GC111" i="2421"/>
  <c r="GC107" i="2421"/>
  <c r="GC103" i="2421"/>
  <c r="GC99" i="2421"/>
  <c r="GC95" i="2421"/>
  <c r="GC91" i="2421"/>
  <c r="GC87" i="2421"/>
  <c r="GC83" i="2421"/>
  <c r="GC79" i="2421"/>
  <c r="GC75" i="2421"/>
  <c r="GC71" i="2421"/>
  <c r="GC67" i="2421"/>
  <c r="GC63" i="2421"/>
  <c r="GB60" i="2421"/>
  <c r="GB53" i="2421"/>
  <c r="GB49" i="2421"/>
  <c r="GB45" i="2421"/>
  <c r="GB111" i="2421"/>
  <c r="GB107" i="2421"/>
  <c r="GB103" i="2421"/>
  <c r="GB99" i="2421"/>
  <c r="GB95" i="2421"/>
  <c r="GB91" i="2421"/>
  <c r="GB87" i="2421"/>
  <c r="GB83" i="2421"/>
  <c r="GB79" i="2421"/>
  <c r="GB75" i="2421"/>
  <c r="GB71" i="2421"/>
  <c r="GB67" i="2421"/>
  <c r="GB63" i="2421"/>
  <c r="GC59" i="2421"/>
  <c r="GC56" i="2421"/>
  <c r="GC52" i="2421"/>
  <c r="GC48" i="2421"/>
  <c r="GC44" i="2421"/>
  <c r="GC110" i="2421"/>
  <c r="GC106" i="2421"/>
  <c r="GC102" i="2421"/>
  <c r="GC98" i="2421"/>
  <c r="GC94" i="2421"/>
  <c r="GC90" i="2421"/>
  <c r="GC86" i="2421"/>
  <c r="GC82" i="2421"/>
  <c r="GC78" i="2421"/>
  <c r="GC74" i="2421"/>
  <c r="GC70" i="2421"/>
  <c r="GC66" i="2421"/>
  <c r="GC62" i="2421"/>
  <c r="GB59" i="2421"/>
  <c r="GB56" i="2421"/>
  <c r="GB52" i="2421"/>
  <c r="GB48" i="2421"/>
  <c r="GB44" i="2421"/>
  <c r="GB110" i="2421"/>
  <c r="GB106" i="2421"/>
  <c r="GB102" i="2421"/>
  <c r="GB98" i="2421"/>
  <c r="GB94" i="2421"/>
  <c r="GB90" i="2421"/>
  <c r="GB86" i="2421"/>
  <c r="GB82" i="2421"/>
  <c r="GB78" i="2421"/>
  <c r="GB74" i="2421"/>
  <c r="GB70" i="2421"/>
  <c r="GB66" i="2421"/>
  <c r="GB62"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B55" i="2421"/>
  <c r="GB51" i="2421"/>
  <c r="GB47" i="2421"/>
  <c r="GB43" i="2421"/>
  <c r="GB113" i="2421"/>
  <c r="GB109" i="2421"/>
  <c r="GB105" i="2421"/>
  <c r="GB101" i="2421"/>
  <c r="GB97" i="2421"/>
  <c r="GB93" i="2421"/>
  <c r="GB89" i="2421"/>
  <c r="GB85" i="2421"/>
  <c r="GB81" i="2421"/>
  <c r="GB77" i="2421"/>
  <c r="GB73" i="2421"/>
  <c r="GB69" i="2421"/>
  <c r="GB65" i="2421"/>
  <c r="GB61" i="2421"/>
  <c r="GB58" i="2421"/>
  <c r="GC54" i="2421"/>
  <c r="GC50" i="2421"/>
  <c r="GC46" i="2421"/>
  <c r="GC42" i="2421"/>
  <c r="GC112" i="2421"/>
  <c r="GC108" i="2421"/>
  <c r="GC104" i="2421"/>
  <c r="GC100" i="2421"/>
  <c r="GC96" i="2421"/>
  <c r="GC92" i="2421"/>
  <c r="GC88" i="2421"/>
  <c r="GC84" i="2421"/>
  <c r="GC80" i="2421"/>
  <c r="GC76" i="2421"/>
  <c r="GC72" i="2421"/>
  <c r="GC68" i="2421"/>
  <c r="GC64" i="2421"/>
  <c r="GC57" i="2421"/>
  <c r="GB54" i="2421"/>
  <c r="GB50" i="2421"/>
  <c r="GB46" i="2421"/>
  <c r="GB42" i="2421"/>
  <c r="GB108" i="2421"/>
  <c r="GB76" i="2421"/>
  <c r="GC45" i="2421"/>
  <c r="GB38" i="2421"/>
  <c r="GB34" i="2421"/>
  <c r="GB30" i="2421"/>
  <c r="GB26" i="2421"/>
  <c r="GB22" i="2421"/>
  <c r="GB104" i="2421"/>
  <c r="GB72" i="2421"/>
  <c r="GC41" i="2421"/>
  <c r="GC37" i="2421"/>
  <c r="GC33" i="2421"/>
  <c r="GC29" i="2421"/>
  <c r="GC25" i="2421"/>
  <c r="GC21" i="2421"/>
  <c r="GB100" i="2421"/>
  <c r="GB68" i="2421"/>
  <c r="GB41" i="2421"/>
  <c r="GB37" i="2421"/>
  <c r="GB33" i="2421"/>
  <c r="GB29" i="2421"/>
  <c r="GB25" i="2421"/>
  <c r="GB21" i="2421"/>
  <c r="GB96" i="2421"/>
  <c r="GB64" i="2421"/>
  <c r="GC40" i="2421"/>
  <c r="GC36" i="2421"/>
  <c r="GC32" i="2421"/>
  <c r="GC28" i="2421"/>
  <c r="GC20" i="2421"/>
  <c r="GB92" i="2421"/>
  <c r="GC60" i="2421"/>
  <c r="GB40" i="2421"/>
  <c r="GB36" i="2421"/>
  <c r="GB32" i="2421"/>
  <c r="GB28" i="2421"/>
  <c r="GB20" i="2421"/>
  <c r="GB88" i="2421"/>
  <c r="GB57" i="2421"/>
  <c r="GC39" i="2421"/>
  <c r="GC35" i="2421"/>
  <c r="GC31" i="2421"/>
  <c r="GC27" i="2421"/>
  <c r="GC23" i="2421"/>
  <c r="GC19" i="2421"/>
  <c r="FT11" i="2421"/>
  <c r="GB84" i="2421"/>
  <c r="GC53" i="2421"/>
  <c r="GB39" i="2421"/>
  <c r="GB35" i="2421"/>
  <c r="GB31" i="2421"/>
  <c r="GB27" i="2421"/>
  <c r="GB23" i="2421"/>
  <c r="GB19" i="2421"/>
  <c r="GB112" i="2421"/>
  <c r="GB80" i="2421"/>
  <c r="GC49" i="2421"/>
  <c r="GC38" i="2421"/>
  <c r="GC34" i="2421"/>
  <c r="GC30" i="2421"/>
  <c r="GC26" i="2421"/>
  <c r="GC22" i="2421"/>
  <c r="KB71" i="2421"/>
  <c r="KA25" i="2421"/>
  <c r="MX70" i="2421"/>
  <c r="PW110" i="2421"/>
  <c r="PW106" i="2421"/>
  <c r="PW102" i="2421"/>
  <c r="PW98" i="2421"/>
  <c r="PW94" i="2421"/>
  <c r="PW90" i="2421"/>
  <c r="PW86" i="2421"/>
  <c r="PW82" i="2421"/>
  <c r="PW78" i="2421"/>
  <c r="PW74" i="2421"/>
  <c r="PW70" i="2421"/>
  <c r="PW66" i="2421"/>
  <c r="PW62" i="2421"/>
  <c r="PW58" i="2421"/>
  <c r="PW54" i="2421"/>
  <c r="PW50" i="2421"/>
  <c r="PW46" i="2421"/>
  <c r="PW37" i="2421"/>
  <c r="PX34" i="2421"/>
  <c r="PW29" i="2421"/>
  <c r="PX26" i="2421"/>
  <c r="PW21"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W34" i="2421"/>
  <c r="PX31" i="2421"/>
  <c r="PW26" i="2421"/>
  <c r="PX23" i="2421"/>
  <c r="PW113" i="2421"/>
  <c r="PW109" i="2421"/>
  <c r="PW105" i="2421"/>
  <c r="PW101" i="2421"/>
  <c r="PW97" i="2421"/>
  <c r="PW93" i="2421"/>
  <c r="PW89" i="2421"/>
  <c r="PW85" i="2421"/>
  <c r="PW81" i="2421"/>
  <c r="PW77" i="2421"/>
  <c r="PW73" i="2421"/>
  <c r="PW69" i="2421"/>
  <c r="PW65" i="2421"/>
  <c r="PW61" i="2421"/>
  <c r="PW57" i="2421"/>
  <c r="PW53" i="2421"/>
  <c r="PW49" i="2421"/>
  <c r="PW45" i="2421"/>
  <c r="PW42" i="2421"/>
  <c r="PW39" i="2421"/>
  <c r="PX36" i="2421"/>
  <c r="PW31" i="2421"/>
  <c r="PX28" i="2421"/>
  <c r="PW23" i="2421"/>
  <c r="PX20" i="2421"/>
  <c r="PX112" i="2421"/>
  <c r="PX108" i="2421"/>
  <c r="PX104" i="2421"/>
  <c r="PX100" i="2421"/>
  <c r="PX96" i="2421"/>
  <c r="PX92" i="2421"/>
  <c r="PX88" i="2421"/>
  <c r="PX84" i="2421"/>
  <c r="PX80" i="2421"/>
  <c r="PX76" i="2421"/>
  <c r="PX72" i="2421"/>
  <c r="PX68" i="2421"/>
  <c r="PX64" i="2421"/>
  <c r="PX60" i="2421"/>
  <c r="PX56" i="2421"/>
  <c r="PX52" i="2421"/>
  <c r="PX48" i="2421"/>
  <c r="PX41" i="2421"/>
  <c r="PW36" i="2421"/>
  <c r="PX33" i="2421"/>
  <c r="PW28" i="2421"/>
  <c r="PX25" i="2421"/>
  <c r="PW20" i="2421"/>
  <c r="PW112" i="2421"/>
  <c r="PW108" i="2421"/>
  <c r="PW104" i="2421"/>
  <c r="PW100" i="2421"/>
  <c r="PW96" i="2421"/>
  <c r="PW92" i="2421"/>
  <c r="PW88" i="2421"/>
  <c r="PW84" i="2421"/>
  <c r="PW80" i="2421"/>
  <c r="PW76" i="2421"/>
  <c r="PW72" i="2421"/>
  <c r="PW68" i="2421"/>
  <c r="PW64" i="2421"/>
  <c r="PW60" i="2421"/>
  <c r="PW56" i="2421"/>
  <c r="PW52" i="2421"/>
  <c r="PW48" i="2421"/>
  <c r="PX44" i="2421"/>
  <c r="PW41" i="2421"/>
  <c r="PX38" i="2421"/>
  <c r="PW33" i="2421"/>
  <c r="PX30" i="2421"/>
  <c r="PW25" i="2421"/>
  <c r="PX22" i="2421"/>
  <c r="PX111" i="2421"/>
  <c r="PX107" i="2421"/>
  <c r="PX103" i="2421"/>
  <c r="PX99" i="2421"/>
  <c r="PX95" i="2421"/>
  <c r="PX91" i="2421"/>
  <c r="PX87" i="2421"/>
  <c r="PX83" i="2421"/>
  <c r="PX79" i="2421"/>
  <c r="PX75" i="2421"/>
  <c r="PX71" i="2421"/>
  <c r="PX67" i="2421"/>
  <c r="PX63" i="2421"/>
  <c r="PX59" i="2421"/>
  <c r="PX55" i="2421"/>
  <c r="PX51" i="2421"/>
  <c r="PX47" i="2421"/>
  <c r="PW44" i="2421"/>
  <c r="PW38" i="2421"/>
  <c r="PX35" i="2421"/>
  <c r="PW30" i="2421"/>
  <c r="PX27" i="2421"/>
  <c r="PW22" i="2421"/>
  <c r="PX19" i="2421"/>
  <c r="PW99" i="2421"/>
  <c r="PW83" i="2421"/>
  <c r="PW67" i="2421"/>
  <c r="PW51" i="2421"/>
  <c r="PW27" i="2421"/>
  <c r="PX98" i="2421"/>
  <c r="PX82" i="2421"/>
  <c r="PX66" i="2421"/>
  <c r="PX50" i="2421"/>
  <c r="PX37" i="2421"/>
  <c r="PW111" i="2421"/>
  <c r="PW95" i="2421"/>
  <c r="PW79" i="2421"/>
  <c r="PW63" i="2421"/>
  <c r="PW47" i="2421"/>
  <c r="PW35" i="2421"/>
  <c r="PX110" i="2421"/>
  <c r="PX94" i="2421"/>
  <c r="PX78" i="2421"/>
  <c r="PX62" i="2421"/>
  <c r="PX46" i="2421"/>
  <c r="PW107" i="2421"/>
  <c r="PW91" i="2421"/>
  <c r="PW75" i="2421"/>
  <c r="PW59" i="2421"/>
  <c r="PX43" i="2421"/>
  <c r="PX32" i="2421"/>
  <c r="PX106" i="2421"/>
  <c r="PX90" i="2421"/>
  <c r="PX74" i="2421"/>
  <c r="PX58" i="2421"/>
  <c r="PW43" i="2421"/>
  <c r="PW32" i="2421"/>
  <c r="PX21" i="2421"/>
  <c r="PW87" i="2421"/>
  <c r="PX86" i="2421"/>
  <c r="PX29" i="2421"/>
  <c r="PW71" i="2421"/>
  <c r="PW19" i="2421"/>
  <c r="PX70" i="2421"/>
  <c r="PW55" i="2421"/>
  <c r="PX54" i="2421"/>
  <c r="PO11" i="2421"/>
  <c r="PW103" i="2421"/>
  <c r="PX102" i="2421"/>
  <c r="PX40" i="2421"/>
  <c r="PW40" i="2421"/>
  <c r="RL12" i="2421"/>
  <c r="RK12" i="2421"/>
  <c r="RJ12" i="2421"/>
  <c r="RQ12" i="2421"/>
  <c r="RI12" i="2421"/>
  <c r="RP12" i="2421"/>
  <c r="RG12" i="2421"/>
  <c r="RO12" i="2421"/>
  <c r="RN12" i="2421"/>
  <c r="RM12" i="2421"/>
  <c r="KQ12" i="2421"/>
  <c r="KP12" i="2421"/>
  <c r="KO12" i="2421"/>
  <c r="KL12" i="2421"/>
  <c r="KK12" i="2421"/>
  <c r="KI12" i="2421"/>
  <c r="KS12" i="2421"/>
  <c r="KR12" i="2421"/>
  <c r="KN12" i="2421"/>
  <c r="KM12" i="2421"/>
  <c r="FX12" i="2421"/>
  <c r="FW12" i="2421"/>
  <c r="FV12" i="2421"/>
  <c r="GC12" i="2421"/>
  <c r="FU12" i="2421"/>
  <c r="GB12" i="2421"/>
  <c r="FS12" i="2421"/>
  <c r="GA12" i="2421"/>
  <c r="FZ12" i="2421"/>
  <c r="FY12" i="2421"/>
  <c r="KD113" i="2421"/>
  <c r="KD109" i="2421"/>
  <c r="KD105" i="2421"/>
  <c r="KD101" i="2421"/>
  <c r="KD97" i="2421"/>
  <c r="KD93" i="2421"/>
  <c r="KC90" i="2421"/>
  <c r="KC86" i="2421"/>
  <c r="KC82" i="2421"/>
  <c r="KD78" i="2421"/>
  <c r="KD74" i="2421"/>
  <c r="KD70" i="2421"/>
  <c r="KD66" i="2421"/>
  <c r="KC63" i="2421"/>
  <c r="KD59" i="2421"/>
  <c r="KC56" i="2421"/>
  <c r="KC52" i="2421"/>
  <c r="KC48" i="2421"/>
  <c r="KD44" i="2421"/>
  <c r="KC41" i="2421"/>
  <c r="KD37" i="2421"/>
  <c r="KC34" i="2421"/>
  <c r="KC30" i="2421"/>
  <c r="KC26" i="2421"/>
  <c r="KD22" i="2421"/>
  <c r="KC19" i="2421"/>
  <c r="KC113" i="2421"/>
  <c r="KC109" i="2421"/>
  <c r="KC105" i="2421"/>
  <c r="KC101" i="2421"/>
  <c r="KC97" i="2421"/>
  <c r="KC93" i="2421"/>
  <c r="KD89" i="2421"/>
  <c r="KD85" i="2421"/>
  <c r="KD81" i="2421"/>
  <c r="KC78" i="2421"/>
  <c r="KC74" i="2421"/>
  <c r="KC70" i="2421"/>
  <c r="KC66" i="2421"/>
  <c r="KD62" i="2421"/>
  <c r="KC59" i="2421"/>
  <c r="KD55" i="2421"/>
  <c r="KD51" i="2421"/>
  <c r="KC44" i="2421"/>
  <c r="KD40" i="2421"/>
  <c r="KC37" i="2421"/>
  <c r="KD33" i="2421"/>
  <c r="KD29" i="2421"/>
  <c r="KD25" i="2421"/>
  <c r="KC22" i="2421"/>
  <c r="KD112" i="2421"/>
  <c r="KD108" i="2421"/>
  <c r="KD104" i="2421"/>
  <c r="KD100" i="2421"/>
  <c r="KD96" i="2421"/>
  <c r="KD92" i="2421"/>
  <c r="KC89" i="2421"/>
  <c r="KC85" i="2421"/>
  <c r="KC81" i="2421"/>
  <c r="KD77" i="2421"/>
  <c r="KD73" i="2421"/>
  <c r="KD69" i="2421"/>
  <c r="KC62" i="2421"/>
  <c r="KD58" i="2421"/>
  <c r="KC55" i="2421"/>
  <c r="KC51" i="2421"/>
  <c r="KD47" i="2421"/>
  <c r="KC40" i="2421"/>
  <c r="KD36" i="2421"/>
  <c r="KC33" i="2421"/>
  <c r="KC29" i="2421"/>
  <c r="KC25" i="2421"/>
  <c r="KD21" i="2421"/>
  <c r="KC112" i="2421"/>
  <c r="KC108" i="2421"/>
  <c r="KC104" i="2421"/>
  <c r="KC100" i="2421"/>
  <c r="KC96" i="2421"/>
  <c r="KC92" i="2421"/>
  <c r="KD88" i="2421"/>
  <c r="KD84" i="2421"/>
  <c r="KC77" i="2421"/>
  <c r="KC73" i="2421"/>
  <c r="KC69" i="2421"/>
  <c r="KD65" i="2421"/>
  <c r="KC58" i="2421"/>
  <c r="KD54" i="2421"/>
  <c r="KD50" i="2421"/>
  <c r="KC47" i="2421"/>
  <c r="KD43" i="2421"/>
  <c r="KC36" i="2421"/>
  <c r="KD32" i="2421"/>
  <c r="KD28" i="2421"/>
  <c r="KC21" i="2421"/>
  <c r="KD111" i="2421"/>
  <c r="KD107" i="2421"/>
  <c r="KD103" i="2421"/>
  <c r="KD99" i="2421"/>
  <c r="KD95" i="2421"/>
  <c r="KC88" i="2421"/>
  <c r="KC84" i="2421"/>
  <c r="KD80" i="2421"/>
  <c r="KD76" i="2421"/>
  <c r="KD72" i="2421"/>
  <c r="KD68" i="2421"/>
  <c r="KC65" i="2421"/>
  <c r="KD61" i="2421"/>
  <c r="KC54" i="2421"/>
  <c r="KC50" i="2421"/>
  <c r="KD46" i="2421"/>
  <c r="KC43" i="2421"/>
  <c r="KD39" i="2421"/>
  <c r="KC32" i="2421"/>
  <c r="KC28" i="2421"/>
  <c r="KC111" i="2421"/>
  <c r="KC107" i="2421"/>
  <c r="KC103" i="2421"/>
  <c r="KC99" i="2421"/>
  <c r="KC95" i="2421"/>
  <c r="KD91" i="2421"/>
  <c r="KD87" i="2421"/>
  <c r="KD83" i="2421"/>
  <c r="KC80" i="2421"/>
  <c r="KC76" i="2421"/>
  <c r="KC72" i="2421"/>
  <c r="KC68" i="2421"/>
  <c r="KD64" i="2421"/>
  <c r="KC61" i="2421"/>
  <c r="KD57" i="2421"/>
  <c r="KD53" i="2421"/>
  <c r="KD49" i="2421"/>
  <c r="KC46" i="2421"/>
  <c r="KD42" i="2421"/>
  <c r="KC39" i="2421"/>
  <c r="KD35" i="2421"/>
  <c r="KD31" i="2421"/>
  <c r="KD27" i="2421"/>
  <c r="KD23" i="2421"/>
  <c r="KD20" i="2421"/>
  <c r="KD110" i="2421"/>
  <c r="KD106" i="2421"/>
  <c r="KD102" i="2421"/>
  <c r="KD98" i="2421"/>
  <c r="KD94" i="2421"/>
  <c r="KC91" i="2421"/>
  <c r="KC87" i="2421"/>
  <c r="KC83" i="2421"/>
  <c r="KD79" i="2421"/>
  <c r="KD75" i="2421"/>
  <c r="KD71" i="2421"/>
  <c r="KD67" i="2421"/>
  <c r="KC64" i="2421"/>
  <c r="KD60" i="2421"/>
  <c r="KC57" i="2421"/>
  <c r="KC53" i="2421"/>
  <c r="KC49" i="2421"/>
  <c r="KD45" i="2421"/>
  <c r="KC42" i="2421"/>
  <c r="KD38" i="2421"/>
  <c r="KC35" i="2421"/>
  <c r="KC31" i="2421"/>
  <c r="KC27" i="2421"/>
  <c r="KC23" i="2421"/>
  <c r="KC20" i="2421"/>
  <c r="JU11" i="2421"/>
  <c r="KC94" i="2421"/>
  <c r="KD63" i="2421"/>
  <c r="KD34" i="2421"/>
  <c r="KD90" i="2421"/>
  <c r="KC60" i="2421"/>
  <c r="KD30" i="2421"/>
  <c r="KD86" i="2421"/>
  <c r="KD56" i="2421"/>
  <c r="KD26" i="2421"/>
  <c r="KD82" i="2421"/>
  <c r="KD52" i="2421"/>
  <c r="KC110" i="2421"/>
  <c r="KC79" i="2421"/>
  <c r="KD48" i="2421"/>
  <c r="KD19" i="2421"/>
  <c r="KC106" i="2421"/>
  <c r="KC75" i="2421"/>
  <c r="KC45" i="2421"/>
  <c r="KC102" i="2421"/>
  <c r="KC71" i="2421"/>
  <c r="KD41" i="2421"/>
  <c r="KC98" i="2421"/>
  <c r="KC67" i="2421"/>
  <c r="KC38" i="2421"/>
  <c r="FM112" i="2421"/>
  <c r="FM108" i="2421"/>
  <c r="FM104" i="2421"/>
  <c r="FM100" i="2421"/>
  <c r="FM96" i="2421"/>
  <c r="FM92" i="2421"/>
  <c r="FM88" i="2421"/>
  <c r="FM84" i="2421"/>
  <c r="FM80" i="2421"/>
  <c r="FM76" i="2421"/>
  <c r="FM72" i="2421"/>
  <c r="FM68" i="2421"/>
  <c r="FM64" i="2421"/>
  <c r="FM60" i="2421"/>
  <c r="FM56"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M52" i="2421"/>
  <c r="FM48" i="2421"/>
  <c r="FM44" i="2421"/>
  <c r="FM40" i="2421"/>
  <c r="FM36" i="2421"/>
  <c r="FM32" i="2421"/>
  <c r="FM25" i="2421"/>
  <c r="FM22" i="2421"/>
  <c r="FM19" i="2421"/>
  <c r="FM111" i="2421"/>
  <c r="FM107" i="2421"/>
  <c r="FM103" i="2421"/>
  <c r="FM99" i="2421"/>
  <c r="FM95" i="2421"/>
  <c r="FM91" i="2421"/>
  <c r="FM87" i="2421"/>
  <c r="FM83" i="2421"/>
  <c r="FM79" i="2421"/>
  <c r="FM75" i="2421"/>
  <c r="FM71" i="2421"/>
  <c r="FM67" i="2421"/>
  <c r="FM63" i="2421"/>
  <c r="FM59" i="2421"/>
  <c r="FM55" i="2421"/>
  <c r="FN51" i="2421"/>
  <c r="FN47" i="2421"/>
  <c r="FN43" i="2421"/>
  <c r="FN39" i="2421"/>
  <c r="FN35" i="2421"/>
  <c r="FN31" i="2421"/>
  <c r="FN28" i="2421"/>
  <c r="FN110" i="2421"/>
  <c r="FN106" i="2421"/>
  <c r="FN102" i="2421"/>
  <c r="FN98" i="2421"/>
  <c r="FN94" i="2421"/>
  <c r="FN90" i="2421"/>
  <c r="FN86" i="2421"/>
  <c r="FN82" i="2421"/>
  <c r="FN78" i="2421"/>
  <c r="FN74" i="2421"/>
  <c r="FN70" i="2421"/>
  <c r="FN66" i="2421"/>
  <c r="FN62" i="2421"/>
  <c r="FN58" i="2421"/>
  <c r="FN54" i="2421"/>
  <c r="FM51" i="2421"/>
  <c r="FM47" i="2421"/>
  <c r="FM43" i="2421"/>
  <c r="FM39" i="2421"/>
  <c r="FM35" i="2421"/>
  <c r="FM31" i="2421"/>
  <c r="FM28" i="2421"/>
  <c r="FN21" i="2421"/>
  <c r="FM110" i="2421"/>
  <c r="FM106" i="2421"/>
  <c r="FM102" i="2421"/>
  <c r="FM98" i="2421"/>
  <c r="FM94" i="2421"/>
  <c r="FM90" i="2421"/>
  <c r="FM86" i="2421"/>
  <c r="FM82" i="2421"/>
  <c r="FM78" i="2421"/>
  <c r="FM74" i="2421"/>
  <c r="FM70" i="2421"/>
  <c r="FM66" i="2421"/>
  <c r="FM62" i="2421"/>
  <c r="FM58" i="2421"/>
  <c r="FM54" i="2421"/>
  <c r="FN50" i="2421"/>
  <c r="FN46" i="2421"/>
  <c r="FN42" i="2421"/>
  <c r="FN38" i="2421"/>
  <c r="FN34" i="2421"/>
  <c r="FN30" i="2421"/>
  <c r="FN27" i="2421"/>
  <c r="FM21" i="2421"/>
  <c r="FN113" i="2421"/>
  <c r="FN109" i="2421"/>
  <c r="FN105" i="2421"/>
  <c r="FN101" i="2421"/>
  <c r="FN97" i="2421"/>
  <c r="FN93" i="2421"/>
  <c r="FN89" i="2421"/>
  <c r="FN85" i="2421"/>
  <c r="FN81" i="2421"/>
  <c r="FN77" i="2421"/>
  <c r="FN73" i="2421"/>
  <c r="FN69" i="2421"/>
  <c r="FN65" i="2421"/>
  <c r="FN61" i="2421"/>
  <c r="FN57" i="2421"/>
  <c r="FM50" i="2421"/>
  <c r="FM46" i="2421"/>
  <c r="FM42" i="2421"/>
  <c r="FM38" i="2421"/>
  <c r="FM34" i="2421"/>
  <c r="FM30" i="2421"/>
  <c r="FM27" i="2421"/>
  <c r="FN20" i="2421"/>
  <c r="FM113" i="2421"/>
  <c r="FM109" i="2421"/>
  <c r="FM105" i="2421"/>
  <c r="FM101" i="2421"/>
  <c r="FM97" i="2421"/>
  <c r="FM93" i="2421"/>
  <c r="FM89" i="2421"/>
  <c r="FM85" i="2421"/>
  <c r="FM81" i="2421"/>
  <c r="FM77" i="2421"/>
  <c r="FM73" i="2421"/>
  <c r="FM69" i="2421"/>
  <c r="FM65" i="2421"/>
  <c r="FM61" i="2421"/>
  <c r="FM57" i="2421"/>
  <c r="FN53" i="2421"/>
  <c r="FN49" i="2421"/>
  <c r="FN45" i="2421"/>
  <c r="FN41" i="2421"/>
  <c r="FN37" i="2421"/>
  <c r="FN33" i="2421"/>
  <c r="FN29" i="2421"/>
  <c r="FN26" i="2421"/>
  <c r="FN23" i="2421"/>
  <c r="FM20" i="2421"/>
  <c r="FN112" i="2421"/>
  <c r="FN108" i="2421"/>
  <c r="FN104" i="2421"/>
  <c r="FN100" i="2421"/>
  <c r="FN96" i="2421"/>
  <c r="FN92" i="2421"/>
  <c r="FN88" i="2421"/>
  <c r="FN84" i="2421"/>
  <c r="FN80" i="2421"/>
  <c r="FN76" i="2421"/>
  <c r="FN72" i="2421"/>
  <c r="FN68" i="2421"/>
  <c r="FN64" i="2421"/>
  <c r="FN60" i="2421"/>
  <c r="FN56" i="2421"/>
  <c r="FM53" i="2421"/>
  <c r="FM49" i="2421"/>
  <c r="FM45" i="2421"/>
  <c r="FM41" i="2421"/>
  <c r="FM37" i="2421"/>
  <c r="FM33" i="2421"/>
  <c r="FM29" i="2421"/>
  <c r="FM26" i="2421"/>
  <c r="FM23" i="2421"/>
  <c r="FE11" i="2421"/>
  <c r="JM64" i="2421"/>
  <c r="JL79" i="2421"/>
  <c r="NA111" i="2421"/>
  <c r="NA107" i="2421"/>
  <c r="NA103" i="2421"/>
  <c r="NA99" i="2421"/>
  <c r="MZ92" i="2421"/>
  <c r="MZ88" i="2421"/>
  <c r="NA81" i="2421"/>
  <c r="NA78" i="2421"/>
  <c r="MZ75" i="2421"/>
  <c r="MZ72" i="2421"/>
  <c r="NA65" i="2421"/>
  <c r="NA62" i="2421"/>
  <c r="NA59" i="2421"/>
  <c r="MZ56" i="2421"/>
  <c r="MZ53" i="2421"/>
  <c r="MZ44" i="2421"/>
  <c r="NA41" i="2421"/>
  <c r="MZ36" i="2421"/>
  <c r="NA33" i="2421"/>
  <c r="MZ28" i="2421"/>
  <c r="NA25" i="2421"/>
  <c r="MZ111" i="2421"/>
  <c r="MZ107" i="2421"/>
  <c r="MZ103" i="2421"/>
  <c r="MZ99" i="2421"/>
  <c r="NA95" i="2421"/>
  <c r="NA91" i="2421"/>
  <c r="NA87" i="2421"/>
  <c r="NA84" i="2421"/>
  <c r="MZ81" i="2421"/>
  <c r="MZ78" i="2421"/>
  <c r="NA71" i="2421"/>
  <c r="NA68" i="2421"/>
  <c r="MZ65" i="2421"/>
  <c r="MZ62" i="2421"/>
  <c r="MZ59" i="2421"/>
  <c r="NA52" i="2421"/>
  <c r="NA49" i="2421"/>
  <c r="NA46" i="2421"/>
  <c r="MZ41" i="2421"/>
  <c r="NA38" i="2421"/>
  <c r="MZ33" i="2421"/>
  <c r="NA30" i="2421"/>
  <c r="MZ25" i="2421"/>
  <c r="NA22" i="2421"/>
  <c r="NA110" i="2421"/>
  <c r="NA106" i="2421"/>
  <c r="NA102" i="2421"/>
  <c r="NA98" i="2421"/>
  <c r="MZ95" i="2421"/>
  <c r="MZ91" i="2421"/>
  <c r="MZ87" i="2421"/>
  <c r="MZ84" i="2421"/>
  <c r="NA77" i="2421"/>
  <c r="NA74" i="2421"/>
  <c r="MZ71" i="2421"/>
  <c r="MZ68" i="2421"/>
  <c r="NA61" i="2421"/>
  <c r="NA58" i="2421"/>
  <c r="NA55" i="2421"/>
  <c r="MZ52" i="2421"/>
  <c r="MZ49" i="2421"/>
  <c r="MZ46" i="2421"/>
  <c r="NA43" i="2421"/>
  <c r="MZ38" i="2421"/>
  <c r="NA35" i="2421"/>
  <c r="MZ30" i="2421"/>
  <c r="NA27" i="2421"/>
  <c r="MZ22" i="2421"/>
  <c r="MZ110" i="2421"/>
  <c r="MZ106" i="2421"/>
  <c r="MZ102" i="2421"/>
  <c r="MZ98" i="2421"/>
  <c r="NA94" i="2421"/>
  <c r="NA90" i="2421"/>
  <c r="NA83" i="2421"/>
  <c r="NA80" i="2421"/>
  <c r="MZ77" i="2421"/>
  <c r="MZ74" i="2421"/>
  <c r="NA67" i="2421"/>
  <c r="NA64" i="2421"/>
  <c r="MZ61" i="2421"/>
  <c r="MZ58" i="2421"/>
  <c r="MZ55" i="2421"/>
  <c r="NA48" i="2421"/>
  <c r="MZ43" i="2421"/>
  <c r="NA40" i="2421"/>
  <c r="MZ35" i="2421"/>
  <c r="NA32" i="2421"/>
  <c r="MZ27" i="2421"/>
  <c r="NA113" i="2421"/>
  <c r="NA109" i="2421"/>
  <c r="NA105" i="2421"/>
  <c r="NA101" i="2421"/>
  <c r="NA97" i="2421"/>
  <c r="MZ94" i="2421"/>
  <c r="MZ90" i="2421"/>
  <c r="NA86" i="2421"/>
  <c r="MZ83" i="2421"/>
  <c r="MZ80" i="2421"/>
  <c r="NA73" i="2421"/>
  <c r="NA70" i="2421"/>
  <c r="MZ67" i="2421"/>
  <c r="MZ64" i="2421"/>
  <c r="NA54" i="2421"/>
  <c r="NA51" i="2421"/>
  <c r="MZ48" i="2421"/>
  <c r="NA45" i="2421"/>
  <c r="MZ40" i="2421"/>
  <c r="NA37" i="2421"/>
  <c r="MZ32" i="2421"/>
  <c r="NA29" i="2421"/>
  <c r="MZ113" i="2421"/>
  <c r="MZ109" i="2421"/>
  <c r="MZ105" i="2421"/>
  <c r="MZ101" i="2421"/>
  <c r="MZ97" i="2421"/>
  <c r="NA93" i="2421"/>
  <c r="NA89" i="2421"/>
  <c r="MZ86" i="2421"/>
  <c r="NA79" i="2421"/>
  <c r="NA76" i="2421"/>
  <c r="MZ73" i="2421"/>
  <c r="MZ70" i="2421"/>
  <c r="NA63" i="2421"/>
  <c r="NA57" i="2421"/>
  <c r="MZ54" i="2421"/>
  <c r="MZ51" i="2421"/>
  <c r="MZ45" i="2421"/>
  <c r="NA42" i="2421"/>
  <c r="MZ37" i="2421"/>
  <c r="NA34" i="2421"/>
  <c r="MZ29" i="2421"/>
  <c r="NA26" i="2421"/>
  <c r="NA112" i="2421"/>
  <c r="NA96" i="2421"/>
  <c r="NA82" i="2421"/>
  <c r="NA69" i="2421"/>
  <c r="MZ57" i="2421"/>
  <c r="MZ34" i="2421"/>
  <c r="NA23" i="2421"/>
  <c r="MZ112" i="2421"/>
  <c r="MZ96" i="2421"/>
  <c r="MZ82" i="2421"/>
  <c r="MZ69" i="2421"/>
  <c r="NA56" i="2421"/>
  <c r="NA44" i="2421"/>
  <c r="MZ23" i="2421"/>
  <c r="NA19" i="2421"/>
  <c r="MR11" i="2421"/>
  <c r="NA108" i="2421"/>
  <c r="MZ93" i="2421"/>
  <c r="MZ79" i="2421"/>
  <c r="NA66" i="2421"/>
  <c r="MZ42" i="2421"/>
  <c r="NA31" i="2421"/>
  <c r="MZ19" i="2421"/>
  <c r="MZ108" i="2421"/>
  <c r="NA92" i="2421"/>
  <c r="MZ66" i="2421"/>
  <c r="NA53" i="2421"/>
  <c r="MZ31" i="2421"/>
  <c r="NA21" i="2421"/>
  <c r="NA104" i="2421"/>
  <c r="MZ89" i="2421"/>
  <c r="MZ76" i="2421"/>
  <c r="MZ63" i="2421"/>
  <c r="NA50" i="2421"/>
  <c r="NA39" i="2421"/>
  <c r="MZ21" i="2421"/>
  <c r="MZ104" i="2421"/>
  <c r="NA88" i="2421"/>
  <c r="NA75" i="2421"/>
  <c r="MZ50" i="2421"/>
  <c r="MZ39" i="2421"/>
  <c r="NA28" i="2421"/>
  <c r="MZ26" i="2421"/>
  <c r="NA72" i="2421"/>
  <c r="NA60" i="2421"/>
  <c r="NA20" i="2421"/>
  <c r="MZ60" i="2421"/>
  <c r="MZ20" i="2421"/>
  <c r="NA100" i="2421"/>
  <c r="NA47" i="2421"/>
  <c r="NA85" i="2421"/>
  <c r="MZ47" i="2421"/>
  <c r="NA36" i="2421"/>
  <c r="MZ100" i="2421"/>
  <c r="MZ85" i="2421"/>
  <c r="OC100"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F113" i="2421"/>
  <c r="HF109" i="2421"/>
  <c r="HF105" i="2421"/>
  <c r="HF101" i="2421"/>
  <c r="HF97" i="2421"/>
  <c r="HF93" i="2421"/>
  <c r="HF89" i="2421"/>
  <c r="HF85" i="2421"/>
  <c r="HF81" i="2421"/>
  <c r="HF77" i="2421"/>
  <c r="HF73" i="2421"/>
  <c r="HF69" i="2421"/>
  <c r="HF65" i="2421"/>
  <c r="HF61" i="2421"/>
  <c r="HF57" i="2421"/>
  <c r="HF53" i="2421"/>
  <c r="HF49" i="2421"/>
  <c r="HF45" i="2421"/>
  <c r="HF41" i="2421"/>
  <c r="HF37" i="2421"/>
  <c r="HF33" i="2421"/>
  <c r="HF29" i="2421"/>
  <c r="HF25" i="2421"/>
  <c r="HF21"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F112" i="2421"/>
  <c r="HF108" i="2421"/>
  <c r="HF104" i="2421"/>
  <c r="HF100" i="2421"/>
  <c r="HF96" i="2421"/>
  <c r="HF92" i="2421"/>
  <c r="HF88" i="2421"/>
  <c r="HF84" i="2421"/>
  <c r="HF80" i="2421"/>
  <c r="HF76" i="2421"/>
  <c r="HF72" i="2421"/>
  <c r="HF68" i="2421"/>
  <c r="HF64" i="2421"/>
  <c r="HF60" i="2421"/>
  <c r="HF56" i="2421"/>
  <c r="HF52" i="2421"/>
  <c r="HF48" i="2421"/>
  <c r="HF44" i="2421"/>
  <c r="HF40" i="2421"/>
  <c r="HF36" i="2421"/>
  <c r="HF32" i="2421"/>
  <c r="HF28" i="2421"/>
  <c r="HF20"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F111" i="2421"/>
  <c r="HF107" i="2421"/>
  <c r="HF103" i="2421"/>
  <c r="HF99" i="2421"/>
  <c r="HF95" i="2421"/>
  <c r="HF91" i="2421"/>
  <c r="HF87" i="2421"/>
  <c r="HF83" i="2421"/>
  <c r="HF79" i="2421"/>
  <c r="HF75" i="2421"/>
  <c r="HF71" i="2421"/>
  <c r="HF67" i="2421"/>
  <c r="HF63" i="2421"/>
  <c r="HF59" i="2421"/>
  <c r="HF55" i="2421"/>
  <c r="HF51" i="2421"/>
  <c r="HF47" i="2421"/>
  <c r="HF43" i="2421"/>
  <c r="HF39" i="2421"/>
  <c r="HF35" i="2421"/>
  <c r="HF31" i="2421"/>
  <c r="HF27" i="2421"/>
  <c r="HF23" i="2421"/>
  <c r="HF19" i="2421"/>
  <c r="HG110" i="2421"/>
  <c r="HG106" i="2421"/>
  <c r="HG102" i="2421"/>
  <c r="HG98" i="2421"/>
  <c r="HG94" i="2421"/>
  <c r="HG90" i="2421"/>
  <c r="HG86" i="2421"/>
  <c r="HG82" i="2421"/>
  <c r="HG78" i="2421"/>
  <c r="HG74" i="2421"/>
  <c r="HG70" i="2421"/>
  <c r="HG66" i="2421"/>
  <c r="HG62" i="2421"/>
  <c r="HG58" i="2421"/>
  <c r="HG54" i="2421"/>
  <c r="HG50" i="2421"/>
  <c r="HG46" i="2421"/>
  <c r="HG42" i="2421"/>
  <c r="HG38" i="2421"/>
  <c r="HG34" i="2421"/>
  <c r="HG30" i="2421"/>
  <c r="HG26" i="2421"/>
  <c r="HG22" i="2421"/>
  <c r="GX11" i="2421"/>
  <c r="HF86" i="2421"/>
  <c r="HF54" i="2421"/>
  <c r="HF22" i="2421"/>
  <c r="HF82" i="2421"/>
  <c r="HF50" i="2421"/>
  <c r="HF110" i="2421"/>
  <c r="HF78" i="2421"/>
  <c r="HF46" i="2421"/>
  <c r="HF106" i="2421"/>
  <c r="HF74" i="2421"/>
  <c r="HF42" i="2421"/>
  <c r="HF102" i="2421"/>
  <c r="HF70" i="2421"/>
  <c r="HF38" i="2421"/>
  <c r="HF98" i="2421"/>
  <c r="HF66" i="2421"/>
  <c r="HF34" i="2421"/>
  <c r="HF94" i="2421"/>
  <c r="HF62" i="2421"/>
  <c r="HF30" i="2421"/>
  <c r="HF90" i="2421"/>
  <c r="HF58" i="2421"/>
  <c r="HF26" i="2421"/>
  <c r="GO88" i="2421"/>
  <c r="GP60" i="2421"/>
  <c r="MI93"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S20" i="2421"/>
  <c r="OS110" i="2421"/>
  <c r="OS106" i="2421"/>
  <c r="OS102" i="2421"/>
  <c r="OS98" i="2421"/>
  <c r="OS94" i="2421"/>
  <c r="OS90" i="2421"/>
  <c r="OS86" i="2421"/>
  <c r="OS82" i="2421"/>
  <c r="OS78" i="2421"/>
  <c r="OS74" i="2421"/>
  <c r="OS70" i="2421"/>
  <c r="OS66" i="2421"/>
  <c r="OS62" i="2421"/>
  <c r="OS58" i="2421"/>
  <c r="OS54" i="2421"/>
  <c r="OS50" i="2421"/>
  <c r="OS46" i="2421"/>
  <c r="OS42" i="2421"/>
  <c r="OS38" i="2421"/>
  <c r="OS34" i="2421"/>
  <c r="OS30" i="2421"/>
  <c r="OS26" i="2421"/>
  <c r="OS22"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S113" i="2421"/>
  <c r="OS109" i="2421"/>
  <c r="OS105" i="2421"/>
  <c r="OS101" i="2421"/>
  <c r="OS97" i="2421"/>
  <c r="OS93" i="2421"/>
  <c r="OS89" i="2421"/>
  <c r="OS85" i="2421"/>
  <c r="OS81" i="2421"/>
  <c r="OS77" i="2421"/>
  <c r="OS73" i="2421"/>
  <c r="OS69" i="2421"/>
  <c r="OS65" i="2421"/>
  <c r="OS61" i="2421"/>
  <c r="OS57" i="2421"/>
  <c r="OS53" i="2421"/>
  <c r="OS49" i="2421"/>
  <c r="OS45" i="2421"/>
  <c r="OS41" i="2421"/>
  <c r="OS37" i="2421"/>
  <c r="OS33" i="2421"/>
  <c r="OS29" i="2421"/>
  <c r="OS25" i="2421"/>
  <c r="OT19"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S112" i="2421"/>
  <c r="OS108" i="2421"/>
  <c r="OS104" i="2421"/>
  <c r="OS100" i="2421"/>
  <c r="OS96" i="2421"/>
  <c r="OS92" i="2421"/>
  <c r="OS88" i="2421"/>
  <c r="OS84" i="2421"/>
  <c r="OS80" i="2421"/>
  <c r="OS76" i="2421"/>
  <c r="OS72" i="2421"/>
  <c r="OS68" i="2421"/>
  <c r="OS64" i="2421"/>
  <c r="OS60" i="2421"/>
  <c r="OS56" i="2421"/>
  <c r="OS52" i="2421"/>
  <c r="OS48" i="2421"/>
  <c r="OS44" i="2421"/>
  <c r="OS40" i="2421"/>
  <c r="OS36" i="2421"/>
  <c r="OS32" i="2421"/>
  <c r="OS28" i="2421"/>
  <c r="OS21" i="2421"/>
  <c r="OK11" i="2421"/>
  <c r="OT111" i="2421"/>
  <c r="OT95" i="2421"/>
  <c r="OT79" i="2421"/>
  <c r="OT63" i="2421"/>
  <c r="OT47" i="2421"/>
  <c r="OS35" i="2421"/>
  <c r="OT23" i="2421"/>
  <c r="OS111" i="2421"/>
  <c r="OS95" i="2421"/>
  <c r="OS79" i="2421"/>
  <c r="OS63" i="2421"/>
  <c r="OS47" i="2421"/>
  <c r="OT32" i="2421"/>
  <c r="OS23" i="2421"/>
  <c r="OT107" i="2421"/>
  <c r="OT91" i="2421"/>
  <c r="OT75" i="2421"/>
  <c r="OT59" i="2421"/>
  <c r="OT43" i="2421"/>
  <c r="OT31" i="2421"/>
  <c r="OT21" i="2421"/>
  <c r="OS107" i="2421"/>
  <c r="OS91" i="2421"/>
  <c r="OS75" i="2421"/>
  <c r="OS59" i="2421"/>
  <c r="OS43" i="2421"/>
  <c r="OS31" i="2421"/>
  <c r="OT103" i="2421"/>
  <c r="OT87" i="2421"/>
  <c r="OT71" i="2421"/>
  <c r="OT55" i="2421"/>
  <c r="OT39" i="2421"/>
  <c r="OT28" i="2421"/>
  <c r="OT20" i="2421"/>
  <c r="OS103" i="2421"/>
  <c r="OS87" i="2421"/>
  <c r="OS71" i="2421"/>
  <c r="OS55" i="2421"/>
  <c r="OS39" i="2421"/>
  <c r="OT27" i="2421"/>
  <c r="OS19" i="2421"/>
  <c r="OT99" i="2421"/>
  <c r="OT36" i="2421"/>
  <c r="OS99" i="2421"/>
  <c r="OT35" i="2421"/>
  <c r="OT83" i="2421"/>
  <c r="OS27" i="2421"/>
  <c r="OS83" i="2421"/>
  <c r="OT67" i="2421"/>
  <c r="OS67" i="2421"/>
  <c r="OT51" i="2421"/>
  <c r="OS51" i="2421"/>
  <c r="QZ12" i="2421"/>
  <c r="QY12" i="2421"/>
  <c r="QX12" i="2421"/>
  <c r="QU12" i="2421"/>
  <c r="QR12" i="2421"/>
  <c r="RB12" i="2421"/>
  <c r="RA12" i="2421"/>
  <c r="QW12" i="2421"/>
  <c r="QV12" i="2421"/>
  <c r="QT12" i="2421"/>
  <c r="JZ12" i="2421"/>
  <c r="JY12" i="2421"/>
  <c r="JX12" i="2421"/>
  <c r="JW12" i="2421"/>
  <c r="KD12" i="2421"/>
  <c r="JV12" i="2421"/>
  <c r="KC12" i="2421"/>
  <c r="JT12" i="2421"/>
  <c r="KB12" i="2421"/>
  <c r="KA12" i="2421"/>
  <c r="FK12" i="2421"/>
  <c r="FJ12" i="2421"/>
  <c r="FI12" i="2421"/>
  <c r="FH12" i="2421"/>
  <c r="FG12" i="2421"/>
  <c r="FN12" i="2421"/>
  <c r="FF12" i="2421"/>
  <c r="FM12" i="2421"/>
  <c r="FD12" i="2421"/>
  <c r="FL12"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N25" i="2421"/>
  <c r="JO22" i="2421"/>
  <c r="JN20" i="2421"/>
  <c r="JN112" i="2421"/>
  <c r="JN108" i="2421"/>
  <c r="JN104" i="2421"/>
  <c r="JN100" i="2421"/>
  <c r="JN96" i="2421"/>
  <c r="JN92" i="2421"/>
  <c r="JN88" i="2421"/>
  <c r="JN84" i="2421"/>
  <c r="JN80" i="2421"/>
  <c r="JN76" i="2421"/>
  <c r="JN72" i="2421"/>
  <c r="JN68" i="2421"/>
  <c r="JN64" i="2421"/>
  <c r="JN60" i="2421"/>
  <c r="JN56" i="2421"/>
  <c r="JN52" i="2421"/>
  <c r="JN48" i="2421"/>
  <c r="JN44" i="2421"/>
  <c r="JN40" i="2421"/>
  <c r="JN36" i="2421"/>
  <c r="JN32" i="2421"/>
  <c r="JN28" i="2421"/>
  <c r="JN22"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O19" i="2421"/>
  <c r="JN111" i="2421"/>
  <c r="JN107" i="2421"/>
  <c r="JN103" i="2421"/>
  <c r="JN99" i="2421"/>
  <c r="JN95" i="2421"/>
  <c r="JN91" i="2421"/>
  <c r="JN87" i="2421"/>
  <c r="JN83" i="2421"/>
  <c r="JN79" i="2421"/>
  <c r="JN75" i="2421"/>
  <c r="JN71" i="2421"/>
  <c r="JN67" i="2421"/>
  <c r="JN63" i="2421"/>
  <c r="JN59" i="2421"/>
  <c r="JN55" i="2421"/>
  <c r="JN51" i="2421"/>
  <c r="JN47" i="2421"/>
  <c r="JN43" i="2421"/>
  <c r="JN39" i="2421"/>
  <c r="JN35" i="2421"/>
  <c r="JN31" i="2421"/>
  <c r="JN27" i="2421"/>
  <c r="JO21" i="2421"/>
  <c r="JN19"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N21" i="2421"/>
  <c r="JN110" i="2421"/>
  <c r="JN106" i="2421"/>
  <c r="JN102" i="2421"/>
  <c r="JN98" i="2421"/>
  <c r="JN94" i="2421"/>
  <c r="JN90" i="2421"/>
  <c r="JN86" i="2421"/>
  <c r="JN82" i="2421"/>
  <c r="JN78" i="2421"/>
  <c r="JN74" i="2421"/>
  <c r="JN70" i="2421"/>
  <c r="JN66" i="2421"/>
  <c r="JN62" i="2421"/>
  <c r="JN58" i="2421"/>
  <c r="JN54" i="2421"/>
  <c r="JN50" i="2421"/>
  <c r="JN46" i="2421"/>
  <c r="JN42" i="2421"/>
  <c r="JN38" i="2421"/>
  <c r="JN34" i="2421"/>
  <c r="JN30" i="2421"/>
  <c r="JN26" i="2421"/>
  <c r="JO23" i="2421"/>
  <c r="JO113" i="2421"/>
  <c r="JO109" i="2421"/>
  <c r="JO105" i="2421"/>
  <c r="JO101" i="2421"/>
  <c r="JO97" i="2421"/>
  <c r="JO93" i="2421"/>
  <c r="JO89" i="2421"/>
  <c r="JO85" i="2421"/>
  <c r="JO81" i="2421"/>
  <c r="JO77" i="2421"/>
  <c r="JO73" i="2421"/>
  <c r="JO69" i="2421"/>
  <c r="JO65" i="2421"/>
  <c r="JO61" i="2421"/>
  <c r="JO57" i="2421"/>
  <c r="JO53" i="2421"/>
  <c r="JO49" i="2421"/>
  <c r="JO45" i="2421"/>
  <c r="JO41" i="2421"/>
  <c r="JO37" i="2421"/>
  <c r="JO33" i="2421"/>
  <c r="JO29" i="2421"/>
  <c r="JN23" i="2421"/>
  <c r="JN113" i="2421"/>
  <c r="JN81" i="2421"/>
  <c r="JN49" i="2421"/>
  <c r="JO20" i="2421"/>
  <c r="JN109" i="2421"/>
  <c r="JN77" i="2421"/>
  <c r="JN45" i="2421"/>
  <c r="JN105" i="2421"/>
  <c r="JN73" i="2421"/>
  <c r="JN41" i="2421"/>
  <c r="JN101" i="2421"/>
  <c r="JN69" i="2421"/>
  <c r="JN37" i="2421"/>
  <c r="JN97" i="2421"/>
  <c r="JN65" i="2421"/>
  <c r="JN33" i="2421"/>
  <c r="JF11" i="2421"/>
  <c r="JN93" i="2421"/>
  <c r="JN61" i="2421"/>
  <c r="JN29" i="2421"/>
  <c r="JN89" i="2421"/>
  <c r="JN57" i="2421"/>
  <c r="JO25" i="2421"/>
  <c r="JN53" i="2421"/>
  <c r="JN85" i="2421"/>
  <c r="EJ113" i="2421"/>
  <c r="EJ109" i="2421"/>
  <c r="EJ105" i="2421"/>
  <c r="EJ101" i="2421"/>
  <c r="EJ97" i="2421"/>
  <c r="EJ93" i="2421"/>
  <c r="EJ89" i="2421"/>
  <c r="EJ85" i="2421"/>
  <c r="EJ81" i="2421"/>
  <c r="EJ77" i="2421"/>
  <c r="EI113" i="2421"/>
  <c r="EI109" i="2421"/>
  <c r="EI105" i="2421"/>
  <c r="EI101" i="2421"/>
  <c r="EI97" i="2421"/>
  <c r="EI93" i="2421"/>
  <c r="EI89" i="2421"/>
  <c r="EI85" i="2421"/>
  <c r="EI81" i="2421"/>
  <c r="EI77" i="2421"/>
  <c r="EI73" i="2421"/>
  <c r="EI69" i="2421"/>
  <c r="EI65" i="2421"/>
  <c r="EI61" i="2421"/>
  <c r="EI57" i="2421"/>
  <c r="EJ53" i="2421"/>
  <c r="EJ112" i="2421"/>
  <c r="EJ108" i="2421"/>
  <c r="EJ104" i="2421"/>
  <c r="EJ100" i="2421"/>
  <c r="EJ96" i="2421"/>
  <c r="EJ92" i="2421"/>
  <c r="EJ88" i="2421"/>
  <c r="EJ84" i="2421"/>
  <c r="EJ80" i="2421"/>
  <c r="EJ76" i="2421"/>
  <c r="EI112" i="2421"/>
  <c r="EI108" i="2421"/>
  <c r="EI104" i="2421"/>
  <c r="EI100" i="2421"/>
  <c r="EI96" i="2421"/>
  <c r="EI92" i="2421"/>
  <c r="EI88" i="2421"/>
  <c r="EI84" i="2421"/>
  <c r="EI80" i="2421"/>
  <c r="EI76" i="2421"/>
  <c r="EI72" i="2421"/>
  <c r="EI68" i="2421"/>
  <c r="EI64" i="2421"/>
  <c r="EI60" i="2421"/>
  <c r="EI56" i="2421"/>
  <c r="EJ52" i="2421"/>
  <c r="EJ111" i="2421"/>
  <c r="EJ107" i="2421"/>
  <c r="EJ103" i="2421"/>
  <c r="EJ99" i="2421"/>
  <c r="EJ95" i="2421"/>
  <c r="EJ91" i="2421"/>
  <c r="EJ87" i="2421"/>
  <c r="EJ83" i="2421"/>
  <c r="EJ79" i="2421"/>
  <c r="EJ75" i="2421"/>
  <c r="EJ71" i="2421"/>
  <c r="EJ67" i="2421"/>
  <c r="EI111" i="2421"/>
  <c r="EI107" i="2421"/>
  <c r="EI103" i="2421"/>
  <c r="EI99" i="2421"/>
  <c r="EI95" i="2421"/>
  <c r="EI91" i="2421"/>
  <c r="EI87" i="2421"/>
  <c r="EI83" i="2421"/>
  <c r="EI79" i="2421"/>
  <c r="EI75" i="2421"/>
  <c r="EI71" i="2421"/>
  <c r="EI67" i="2421"/>
  <c r="EI63" i="2421"/>
  <c r="EI59" i="2421"/>
  <c r="EJ55" i="2421"/>
  <c r="EJ110" i="2421"/>
  <c r="EJ106" i="2421"/>
  <c r="EJ102" i="2421"/>
  <c r="EJ98" i="2421"/>
  <c r="EJ94" i="2421"/>
  <c r="EJ90" i="2421"/>
  <c r="EJ86" i="2421"/>
  <c r="EJ82" i="2421"/>
  <c r="EJ78" i="2421"/>
  <c r="EJ74" i="2421"/>
  <c r="EI98" i="2421"/>
  <c r="EJ72" i="2421"/>
  <c r="EJ64" i="2421"/>
  <c r="EI58" i="2421"/>
  <c r="EI52" i="2421"/>
  <c r="EI48" i="2421"/>
  <c r="EI44" i="2421"/>
  <c r="EI40" i="2421"/>
  <c r="EI36" i="2421"/>
  <c r="EI32" i="2421"/>
  <c r="EI28" i="2421"/>
  <c r="EJ20" i="2421"/>
  <c r="EA11" i="2421"/>
  <c r="EI54" i="2421"/>
  <c r="EI94" i="2421"/>
  <c r="EJ70" i="2421"/>
  <c r="EJ63" i="2421"/>
  <c r="EJ57" i="2421"/>
  <c r="EJ51" i="2421"/>
  <c r="EJ47" i="2421"/>
  <c r="EJ43" i="2421"/>
  <c r="EJ39" i="2421"/>
  <c r="EJ35" i="2421"/>
  <c r="EJ31" i="2421"/>
  <c r="EJ27" i="2421"/>
  <c r="EJ23" i="2421"/>
  <c r="EI20" i="2421"/>
  <c r="EI106" i="2421"/>
  <c r="EI41" i="2421"/>
  <c r="EI29" i="2421"/>
  <c r="EI90" i="2421"/>
  <c r="EI70" i="2421"/>
  <c r="EJ62" i="2421"/>
  <c r="EJ56" i="2421"/>
  <c r="EI51" i="2421"/>
  <c r="EI47" i="2421"/>
  <c r="EI43" i="2421"/>
  <c r="EI39" i="2421"/>
  <c r="EI35" i="2421"/>
  <c r="EI31" i="2421"/>
  <c r="EI27" i="2421"/>
  <c r="EI23" i="2421"/>
  <c r="EI66" i="2421"/>
  <c r="EJ21" i="2421"/>
  <c r="EI86" i="2421"/>
  <c r="EJ69" i="2421"/>
  <c r="EI62" i="2421"/>
  <c r="EJ50" i="2421"/>
  <c r="EJ46" i="2421"/>
  <c r="EJ42" i="2421"/>
  <c r="EJ38" i="2421"/>
  <c r="EJ34" i="2421"/>
  <c r="EJ30" i="2421"/>
  <c r="EJ26" i="2421"/>
  <c r="EJ22" i="2421"/>
  <c r="EJ19" i="2421"/>
  <c r="EJ59" i="2421"/>
  <c r="EI49" i="2421"/>
  <c r="EI37" i="2421"/>
  <c r="EI25" i="2421"/>
  <c r="EI82" i="2421"/>
  <c r="EJ68" i="2421"/>
  <c r="EJ61" i="2421"/>
  <c r="EI55" i="2421"/>
  <c r="EI50" i="2421"/>
  <c r="EI46" i="2421"/>
  <c r="EI42" i="2421"/>
  <c r="EI38" i="2421"/>
  <c r="EI34" i="2421"/>
  <c r="EI30" i="2421"/>
  <c r="EI26" i="2421"/>
  <c r="EI22" i="2421"/>
  <c r="EI19" i="2421"/>
  <c r="EI74" i="2421"/>
  <c r="EI45" i="2421"/>
  <c r="EI33" i="2421"/>
  <c r="EI110" i="2421"/>
  <c r="EI78" i="2421"/>
  <c r="EJ66" i="2421"/>
  <c r="EJ60" i="2421"/>
  <c r="EJ54" i="2421"/>
  <c r="EJ49" i="2421"/>
  <c r="EJ45" i="2421"/>
  <c r="EJ41" i="2421"/>
  <c r="EJ37" i="2421"/>
  <c r="EJ33" i="2421"/>
  <c r="EJ29" i="2421"/>
  <c r="EJ25" i="2421"/>
  <c r="EI102" i="2421"/>
  <c r="EJ36" i="2421"/>
  <c r="EJ40" i="2421"/>
  <c r="EJ73" i="2421"/>
  <c r="EJ32" i="2421"/>
  <c r="EJ65" i="2421"/>
  <c r="EJ28" i="2421"/>
  <c r="EJ58" i="2421"/>
  <c r="EI53" i="2421"/>
  <c r="EI21" i="2421"/>
  <c r="EJ48" i="2421"/>
  <c r="EJ44" i="2421"/>
  <c r="IW49" i="2421"/>
  <c r="IX63" i="2421"/>
  <c r="DR62" i="2421"/>
  <c r="DS91" i="2421"/>
  <c r="PT12" i="2421"/>
  <c r="PS12" i="2421"/>
  <c r="PR12" i="2421"/>
  <c r="PQ12" i="2421"/>
  <c r="PX12" i="2421"/>
  <c r="PP12" i="2421"/>
  <c r="PW12" i="2421"/>
  <c r="PV12" i="2421"/>
  <c r="PU12" i="2421"/>
  <c r="PN12" i="2421"/>
  <c r="HT12" i="2421"/>
  <c r="HS12" i="2421"/>
  <c r="HR12" i="2421"/>
  <c r="HQ12" i="2421"/>
  <c r="HP12" i="2421"/>
  <c r="HO12" i="2421"/>
  <c r="HV12" i="2421"/>
  <c r="HN12" i="2421"/>
  <c r="HL12" i="2421"/>
  <c r="HU12" i="2421"/>
  <c r="MZ12" i="2421"/>
  <c r="MQ12" i="2421"/>
  <c r="MY12" i="2421"/>
  <c r="MX12" i="2421"/>
  <c r="MW12" i="2421"/>
  <c r="MV12" i="2421"/>
  <c r="MU12" i="2421"/>
  <c r="MT12" i="2421"/>
  <c r="MS12" i="2421"/>
  <c r="NA12" i="2421"/>
  <c r="OD112" i="2421"/>
  <c r="OD108" i="2421"/>
  <c r="OD104" i="2421"/>
  <c r="OD100" i="2421"/>
  <c r="OD96" i="2421"/>
  <c r="OD92" i="2421"/>
  <c r="OD88" i="2421"/>
  <c r="OD84" i="2421"/>
  <c r="OD80" i="2421"/>
  <c r="OD76" i="2421"/>
  <c r="OE72" i="2421"/>
  <c r="OE68" i="2421"/>
  <c r="OE64" i="2421"/>
  <c r="OE60" i="2421"/>
  <c r="OE56" i="2421"/>
  <c r="OD53" i="2421"/>
  <c r="OD49" i="2421"/>
  <c r="OD45" i="2421"/>
  <c r="OD41" i="2421"/>
  <c r="OD37" i="2421"/>
  <c r="OD33" i="2421"/>
  <c r="OD29" i="2421"/>
  <c r="OD25" i="2421"/>
  <c r="OE111" i="2421"/>
  <c r="OE107" i="2421"/>
  <c r="OE103" i="2421"/>
  <c r="OE99" i="2421"/>
  <c r="OE95" i="2421"/>
  <c r="OE91" i="2421"/>
  <c r="OE87" i="2421"/>
  <c r="OE83" i="2421"/>
  <c r="OE79" i="2421"/>
  <c r="OE75" i="2421"/>
  <c r="OD72" i="2421"/>
  <c r="OD68" i="2421"/>
  <c r="OD64" i="2421"/>
  <c r="OD60" i="2421"/>
  <c r="OD56" i="2421"/>
  <c r="OE52" i="2421"/>
  <c r="OE48" i="2421"/>
  <c r="OE44" i="2421"/>
  <c r="OE40" i="2421"/>
  <c r="OE36" i="2421"/>
  <c r="OE32" i="2421"/>
  <c r="OE28" i="2421"/>
  <c r="OE21" i="2421"/>
  <c r="OD111" i="2421"/>
  <c r="OD107" i="2421"/>
  <c r="OD103" i="2421"/>
  <c r="OD99" i="2421"/>
  <c r="OD95" i="2421"/>
  <c r="OD91" i="2421"/>
  <c r="OD87" i="2421"/>
  <c r="OD83" i="2421"/>
  <c r="OD79" i="2421"/>
  <c r="OD75" i="2421"/>
  <c r="OE71" i="2421"/>
  <c r="OE67" i="2421"/>
  <c r="OE63" i="2421"/>
  <c r="OE59" i="2421"/>
  <c r="OD52" i="2421"/>
  <c r="OD48" i="2421"/>
  <c r="OD44" i="2421"/>
  <c r="OD40" i="2421"/>
  <c r="OD36" i="2421"/>
  <c r="OD32" i="2421"/>
  <c r="OD28" i="2421"/>
  <c r="OD21" i="2421"/>
  <c r="OE110" i="2421"/>
  <c r="OE106" i="2421"/>
  <c r="OE102" i="2421"/>
  <c r="OE98" i="2421"/>
  <c r="OE94" i="2421"/>
  <c r="OE90" i="2421"/>
  <c r="OE86" i="2421"/>
  <c r="OE82" i="2421"/>
  <c r="OE78" i="2421"/>
  <c r="OE74" i="2421"/>
  <c r="OD71" i="2421"/>
  <c r="OD67" i="2421"/>
  <c r="OD63" i="2421"/>
  <c r="OD59" i="2421"/>
  <c r="OE55" i="2421"/>
  <c r="OE51" i="2421"/>
  <c r="OE47" i="2421"/>
  <c r="OE43" i="2421"/>
  <c r="OE39" i="2421"/>
  <c r="OE35" i="2421"/>
  <c r="OE31" i="2421"/>
  <c r="OE27" i="2421"/>
  <c r="OE23" i="2421"/>
  <c r="OE113" i="2421"/>
  <c r="OE109" i="2421"/>
  <c r="OE105" i="2421"/>
  <c r="OE101" i="2421"/>
  <c r="OE97" i="2421"/>
  <c r="OE93" i="2421"/>
  <c r="OE89" i="2421"/>
  <c r="OE85" i="2421"/>
  <c r="OE81" i="2421"/>
  <c r="OE77" i="2421"/>
  <c r="OD70" i="2421"/>
  <c r="OD66" i="2421"/>
  <c r="OD62" i="2421"/>
  <c r="OD58" i="2421"/>
  <c r="OE54" i="2421"/>
  <c r="OE50" i="2421"/>
  <c r="OE46" i="2421"/>
  <c r="OE42" i="2421"/>
  <c r="OE38" i="2421"/>
  <c r="OE34" i="2421"/>
  <c r="OE30" i="2421"/>
  <c r="OE26" i="2421"/>
  <c r="OD20" i="2421"/>
  <c r="OD105" i="2421"/>
  <c r="OD94" i="2421"/>
  <c r="OE84" i="2421"/>
  <c r="OE73" i="2421"/>
  <c r="OE62" i="2421"/>
  <c r="OE53" i="2421"/>
  <c r="OD42" i="2421"/>
  <c r="OD31" i="2421"/>
  <c r="OD22" i="2421"/>
  <c r="OE104" i="2421"/>
  <c r="OD93" i="2421"/>
  <c r="OD82" i="2421"/>
  <c r="OD73" i="2421"/>
  <c r="OE61" i="2421"/>
  <c r="OD51" i="2421"/>
  <c r="OE41" i="2421"/>
  <c r="OD30" i="2421"/>
  <c r="OE20" i="2421"/>
  <c r="NV11" i="2421"/>
  <c r="OD113" i="2421"/>
  <c r="OD102" i="2421"/>
  <c r="OE92" i="2421"/>
  <c r="OD81" i="2421"/>
  <c r="OE70" i="2421"/>
  <c r="OD61" i="2421"/>
  <c r="OD50" i="2421"/>
  <c r="OD39" i="2421"/>
  <c r="OE29" i="2421"/>
  <c r="OE112" i="2421"/>
  <c r="OD101" i="2421"/>
  <c r="OD90" i="2421"/>
  <c r="OE80" i="2421"/>
  <c r="OE69" i="2421"/>
  <c r="OE58" i="2421"/>
  <c r="OE49" i="2421"/>
  <c r="OD38" i="2421"/>
  <c r="OD27" i="2421"/>
  <c r="OE19" i="2421"/>
  <c r="OD110" i="2421"/>
  <c r="OE100" i="2421"/>
  <c r="OD89" i="2421"/>
  <c r="OD78" i="2421"/>
  <c r="OD69" i="2421"/>
  <c r="OE57" i="2421"/>
  <c r="OD47" i="2421"/>
  <c r="OE37" i="2421"/>
  <c r="OD26" i="2421"/>
  <c r="OD19" i="2421"/>
  <c r="OD109" i="2421"/>
  <c r="OD98" i="2421"/>
  <c r="OE88" i="2421"/>
  <c r="OD77" i="2421"/>
  <c r="OE66" i="2421"/>
  <c r="OD57" i="2421"/>
  <c r="OD46" i="2421"/>
  <c r="OD35" i="2421"/>
  <c r="OE25" i="2421"/>
  <c r="OE108" i="2421"/>
  <c r="OE65" i="2421"/>
  <c r="OD23" i="2421"/>
  <c r="OD106" i="2421"/>
  <c r="OD65" i="2421"/>
  <c r="OE22" i="2421"/>
  <c r="OD97" i="2421"/>
  <c r="OD55" i="2421"/>
  <c r="OE96" i="2421"/>
  <c r="OD54" i="2421"/>
  <c r="OD86" i="2421"/>
  <c r="OE45" i="2421"/>
  <c r="OD85" i="2421"/>
  <c r="OD43" i="2421"/>
  <c r="OE76" i="2421"/>
  <c r="OD74" i="2421"/>
  <c r="OD34" i="2421"/>
  <c r="OE33" i="2421"/>
  <c r="QI12" i="2421"/>
  <c r="QL12" i="2421"/>
  <c r="QC12" i="2421"/>
  <c r="QG12" i="2421"/>
  <c r="QF12" i="2421"/>
  <c r="QE12" i="2421"/>
  <c r="QM12" i="2421"/>
  <c r="QK12" i="2421"/>
  <c r="QJ12" i="2421"/>
  <c r="QH12" i="2421"/>
  <c r="JL12" i="2421"/>
  <c r="JK12" i="2421"/>
  <c r="JJ12" i="2421"/>
  <c r="JI12" i="2421"/>
  <c r="JH12" i="2421"/>
  <c r="JO12" i="2421"/>
  <c r="JG12" i="2421"/>
  <c r="JN12" i="2421"/>
  <c r="JE12" i="2421"/>
  <c r="JM12" i="2421"/>
  <c r="EH12" i="2421"/>
  <c r="EG12" i="2421"/>
  <c r="EJ12" i="2421"/>
  <c r="EF12" i="2421"/>
  <c r="EE12" i="2421"/>
  <c r="EB12" i="2421"/>
  <c r="ED12" i="2421"/>
  <c r="EC12" i="2421"/>
  <c r="DZ12" i="2421"/>
  <c r="EI12" i="2421"/>
  <c r="IY113" i="2421"/>
  <c r="IY109" i="2421"/>
  <c r="IZ112" i="2421"/>
  <c r="IZ108" i="2421"/>
  <c r="IZ104" i="2421"/>
  <c r="IZ100" i="2421"/>
  <c r="IZ96" i="2421"/>
  <c r="IY112" i="2421"/>
  <c r="IY108" i="2421"/>
  <c r="IY104" i="2421"/>
  <c r="IY100" i="2421"/>
  <c r="IY96" i="2421"/>
  <c r="IY110" i="2421"/>
  <c r="IY106" i="2421"/>
  <c r="IY102" i="2421"/>
  <c r="IY98" i="2421"/>
  <c r="IY111" i="2421"/>
  <c r="IZ103" i="2421"/>
  <c r="IZ97" i="2421"/>
  <c r="IY93" i="2421"/>
  <c r="IY89" i="2421"/>
  <c r="IY85" i="2421"/>
  <c r="IZ81" i="2421"/>
  <c r="IZ77" i="2421"/>
  <c r="IZ73" i="2421"/>
  <c r="IZ69" i="2421"/>
  <c r="IY66" i="2421"/>
  <c r="IZ62" i="2421"/>
  <c r="IY59" i="2421"/>
  <c r="IZ55" i="2421"/>
  <c r="IZ52" i="2421"/>
  <c r="IY49" i="2421"/>
  <c r="IY46" i="2421"/>
  <c r="IZ39" i="2421"/>
  <c r="IZ36" i="2421"/>
  <c r="IY33" i="2421"/>
  <c r="IY30" i="2421"/>
  <c r="IY27" i="2421"/>
  <c r="IY19" i="2421"/>
  <c r="IZ110" i="2421"/>
  <c r="IY103" i="2421"/>
  <c r="IY97" i="2421"/>
  <c r="IZ92" i="2421"/>
  <c r="IZ88" i="2421"/>
  <c r="IZ84" i="2421"/>
  <c r="IY81" i="2421"/>
  <c r="IY77" i="2421"/>
  <c r="IY73" i="2421"/>
  <c r="IY69" i="2421"/>
  <c r="IZ65" i="2421"/>
  <c r="IY62" i="2421"/>
  <c r="IZ58" i="2421"/>
  <c r="IY55" i="2421"/>
  <c r="IY52" i="2421"/>
  <c r="IZ45" i="2421"/>
  <c r="IZ42" i="2421"/>
  <c r="IY39" i="2421"/>
  <c r="IY36" i="2421"/>
  <c r="IZ29" i="2421"/>
  <c r="IZ21" i="2421"/>
  <c r="IZ109" i="2421"/>
  <c r="IZ102" i="2421"/>
  <c r="IY92" i="2421"/>
  <c r="IY88" i="2421"/>
  <c r="IY84" i="2421"/>
  <c r="IZ80" i="2421"/>
  <c r="IZ76" i="2421"/>
  <c r="IZ72" i="2421"/>
  <c r="IZ68" i="2421"/>
  <c r="IY65" i="2421"/>
  <c r="IZ61" i="2421"/>
  <c r="IY58" i="2421"/>
  <c r="IZ51" i="2421"/>
  <c r="IZ48" i="2421"/>
  <c r="IY45" i="2421"/>
  <c r="IY42" i="2421"/>
  <c r="IZ35" i="2421"/>
  <c r="IZ32" i="2421"/>
  <c r="IY29" i="2421"/>
  <c r="IZ26" i="2421"/>
  <c r="IY21" i="2421"/>
  <c r="IZ107" i="2421"/>
  <c r="IZ101" i="2421"/>
  <c r="IZ95" i="2421"/>
  <c r="IZ91" i="2421"/>
  <c r="IZ87" i="2421"/>
  <c r="IY80" i="2421"/>
  <c r="IY76" i="2421"/>
  <c r="IY72" i="2421"/>
  <c r="IY68" i="2421"/>
  <c r="IZ64" i="2421"/>
  <c r="IY61" i="2421"/>
  <c r="IZ57" i="2421"/>
  <c r="IZ54" i="2421"/>
  <c r="IY51" i="2421"/>
  <c r="IY48" i="2421"/>
  <c r="IZ41" i="2421"/>
  <c r="IZ38" i="2421"/>
  <c r="IY35" i="2421"/>
  <c r="IY32" i="2421"/>
  <c r="IY26" i="2421"/>
  <c r="IZ23" i="2421"/>
  <c r="IQ11" i="2421"/>
  <c r="IY107" i="2421"/>
  <c r="IY101" i="2421"/>
  <c r="IY95" i="2421"/>
  <c r="IY91" i="2421"/>
  <c r="IY87" i="2421"/>
  <c r="IZ83" i="2421"/>
  <c r="IZ79" i="2421"/>
  <c r="IZ75" i="2421"/>
  <c r="IZ71" i="2421"/>
  <c r="IY64" i="2421"/>
  <c r="IY57" i="2421"/>
  <c r="IY54" i="2421"/>
  <c r="IZ47" i="2421"/>
  <c r="IZ44" i="2421"/>
  <c r="IY41" i="2421"/>
  <c r="IY38" i="2421"/>
  <c r="IZ31" i="2421"/>
  <c r="IZ28" i="2421"/>
  <c r="IY23" i="2421"/>
  <c r="IZ20" i="2421"/>
  <c r="IZ106" i="2421"/>
  <c r="IZ99" i="2421"/>
  <c r="IZ94" i="2421"/>
  <c r="IZ90" i="2421"/>
  <c r="IZ86" i="2421"/>
  <c r="IY83" i="2421"/>
  <c r="IY79" i="2421"/>
  <c r="IY75" i="2421"/>
  <c r="IY71" i="2421"/>
  <c r="IZ67" i="2421"/>
  <c r="IZ60" i="2421"/>
  <c r="IZ53" i="2421"/>
  <c r="IZ50" i="2421"/>
  <c r="IY47" i="2421"/>
  <c r="IY44" i="2421"/>
  <c r="IZ37" i="2421"/>
  <c r="IZ34" i="2421"/>
  <c r="IY31" i="2421"/>
  <c r="IY28" i="2421"/>
  <c r="IZ25" i="2421"/>
  <c r="IY20" i="2421"/>
  <c r="IZ113" i="2421"/>
  <c r="IZ105" i="2421"/>
  <c r="IY99" i="2421"/>
  <c r="IY94" i="2421"/>
  <c r="IY90" i="2421"/>
  <c r="IY86" i="2421"/>
  <c r="IZ82" i="2421"/>
  <c r="IZ78" i="2421"/>
  <c r="IZ74" i="2421"/>
  <c r="IZ70" i="2421"/>
  <c r="IY67" i="2421"/>
  <c r="IZ63" i="2421"/>
  <c r="IY60" i="2421"/>
  <c r="IZ56" i="2421"/>
  <c r="IY53" i="2421"/>
  <c r="IY50" i="2421"/>
  <c r="IZ43" i="2421"/>
  <c r="IZ40" i="2421"/>
  <c r="IY37" i="2421"/>
  <c r="IY34" i="2421"/>
  <c r="IY25" i="2421"/>
  <c r="IZ22" i="2421"/>
  <c r="IY82" i="2421"/>
  <c r="IZ27" i="2421"/>
  <c r="IY78" i="2421"/>
  <c r="IZ49" i="2421"/>
  <c r="IZ111" i="2421"/>
  <c r="IY74" i="2421"/>
  <c r="IZ46" i="2421"/>
  <c r="IY22" i="2421"/>
  <c r="IY105" i="2421"/>
  <c r="IY70" i="2421"/>
  <c r="IY43" i="2421"/>
  <c r="IZ19" i="2421"/>
  <c r="IZ98" i="2421"/>
  <c r="IZ66" i="2421"/>
  <c r="IY40" i="2421"/>
  <c r="IZ93" i="2421"/>
  <c r="IY63" i="2421"/>
  <c r="IZ89" i="2421"/>
  <c r="IZ59" i="2421"/>
  <c r="IZ33" i="2421"/>
  <c r="IZ85" i="2421"/>
  <c r="IY56" i="2421"/>
  <c r="IZ30"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T113" i="2421"/>
  <c r="DT109" i="2421"/>
  <c r="DT105" i="2421"/>
  <c r="DT101" i="2421"/>
  <c r="DT97" i="2421"/>
  <c r="DT93" i="2421"/>
  <c r="DT89" i="2421"/>
  <c r="DT85" i="2421"/>
  <c r="DT81" i="2421"/>
  <c r="DT77" i="2421"/>
  <c r="DT73" i="2421"/>
  <c r="DT69" i="2421"/>
  <c r="DT65" i="2421"/>
  <c r="DT61" i="2421"/>
  <c r="DT57" i="2421"/>
  <c r="DT53" i="2421"/>
  <c r="DT49" i="2421"/>
  <c r="DT45" i="2421"/>
  <c r="DT41" i="2421"/>
  <c r="DT37" i="2421"/>
  <c r="DT33" i="2421"/>
  <c r="DT29" i="2421"/>
  <c r="DT25" i="2421"/>
  <c r="DT21" i="2421"/>
  <c r="DL11" i="2421"/>
  <c r="DU110" i="2421"/>
  <c r="DU98" i="2421"/>
  <c r="DU86" i="2421"/>
  <c r="DU74" i="2421"/>
  <c r="DU58" i="2421"/>
  <c r="DU50" i="2421"/>
  <c r="DU30" i="2421"/>
  <c r="DU2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U102" i="2421"/>
  <c r="DU82" i="2421"/>
  <c r="DU66" i="2421"/>
  <c r="DU42" i="2421"/>
  <c r="DT112" i="2421"/>
  <c r="DT108" i="2421"/>
  <c r="DT104" i="2421"/>
  <c r="DT100" i="2421"/>
  <c r="DT96" i="2421"/>
  <c r="DT92" i="2421"/>
  <c r="DT88" i="2421"/>
  <c r="DT84" i="2421"/>
  <c r="DT80" i="2421"/>
  <c r="DT76" i="2421"/>
  <c r="DT72" i="2421"/>
  <c r="DT68" i="2421"/>
  <c r="DT64" i="2421"/>
  <c r="DT60" i="2421"/>
  <c r="DT56" i="2421"/>
  <c r="DT52" i="2421"/>
  <c r="DT48" i="2421"/>
  <c r="DT44" i="2421"/>
  <c r="DT40" i="2421"/>
  <c r="DT36" i="2421"/>
  <c r="DT32" i="2421"/>
  <c r="DT28" i="2421"/>
  <c r="DT20" i="2421"/>
  <c r="DU106" i="2421"/>
  <c r="DU94" i="2421"/>
  <c r="DU78" i="2421"/>
  <c r="DU62" i="2421"/>
  <c r="DU38"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90" i="2421"/>
  <c r="DU70" i="2421"/>
  <c r="DU54" i="2421"/>
  <c r="DU46" i="2421"/>
  <c r="DU34" i="2421"/>
  <c r="DU26" i="2421"/>
  <c r="DT111" i="2421"/>
  <c r="DT107" i="2421"/>
  <c r="DT103" i="2421"/>
  <c r="DT99" i="2421"/>
  <c r="DT95" i="2421"/>
  <c r="DT91" i="2421"/>
  <c r="DT87" i="2421"/>
  <c r="DT83" i="2421"/>
  <c r="DT79" i="2421"/>
  <c r="DT75" i="2421"/>
  <c r="DT71" i="2421"/>
  <c r="DT67" i="2421"/>
  <c r="DT63" i="2421"/>
  <c r="DT59" i="2421"/>
  <c r="DT55" i="2421"/>
  <c r="DT51" i="2421"/>
  <c r="DT47" i="2421"/>
  <c r="DT43" i="2421"/>
  <c r="DT39" i="2421"/>
  <c r="DT35" i="2421"/>
  <c r="DT31" i="2421"/>
  <c r="DT27" i="2421"/>
  <c r="DT23" i="2421"/>
  <c r="DT19" i="2421"/>
  <c r="DT82" i="2421"/>
  <c r="DT50" i="2421"/>
  <c r="DT110" i="2421"/>
  <c r="DT78" i="2421"/>
  <c r="DT46" i="2421"/>
  <c r="DT106" i="2421"/>
  <c r="DT74" i="2421"/>
  <c r="DT42" i="2421"/>
  <c r="DT38" i="2421"/>
  <c r="DT102" i="2421"/>
  <c r="DT70" i="2421"/>
  <c r="DT86" i="2421"/>
  <c r="DT98" i="2421"/>
  <c r="DT66" i="2421"/>
  <c r="DT34" i="2421"/>
  <c r="DT22" i="2421"/>
  <c r="DT94" i="2421"/>
  <c r="DT62" i="2421"/>
  <c r="DT30" i="2421"/>
  <c r="DT54" i="2421"/>
  <c r="DT90" i="2421"/>
  <c r="DT58" i="2421"/>
  <c r="DT26" i="2421"/>
  <c r="IH40" i="2421"/>
  <c r="DD58" i="2421"/>
  <c r="QM113" i="2421"/>
  <c r="QM109" i="2421"/>
  <c r="QM105" i="2421"/>
  <c r="QM101" i="2421"/>
  <c r="QM97" i="2421"/>
  <c r="QM93" i="2421"/>
  <c r="QM89" i="2421"/>
  <c r="QM85" i="2421"/>
  <c r="QM81" i="2421"/>
  <c r="QM77" i="2421"/>
  <c r="QM73" i="2421"/>
  <c r="QM69" i="2421"/>
  <c r="QM65" i="2421"/>
  <c r="QM61" i="2421"/>
  <c r="QM57" i="2421"/>
  <c r="QM53" i="2421"/>
  <c r="QM49" i="2421"/>
  <c r="QM45" i="2421"/>
  <c r="QM41" i="2421"/>
  <c r="QM37" i="2421"/>
  <c r="QM33" i="2421"/>
  <c r="QM29" i="2421"/>
  <c r="QM25" i="2421"/>
  <c r="QM21" i="2421"/>
  <c r="QM112" i="2421"/>
  <c r="QM108" i="2421"/>
  <c r="QM104" i="2421"/>
  <c r="QM100" i="2421"/>
  <c r="QL111" i="2421"/>
  <c r="QL107" i="2421"/>
  <c r="QL103" i="2421"/>
  <c r="QL99" i="2421"/>
  <c r="QL95" i="2421"/>
  <c r="QL91" i="2421"/>
  <c r="QL87" i="2421"/>
  <c r="QL83" i="2421"/>
  <c r="QL79" i="2421"/>
  <c r="QL75" i="2421"/>
  <c r="QL71" i="2421"/>
  <c r="QL67" i="2421"/>
  <c r="QL63" i="2421"/>
  <c r="QL59" i="2421"/>
  <c r="QL55" i="2421"/>
  <c r="QL51" i="2421"/>
  <c r="QL47" i="2421"/>
  <c r="QL43" i="2421"/>
  <c r="QL39" i="2421"/>
  <c r="QL35" i="2421"/>
  <c r="QL31" i="2421"/>
  <c r="QL27" i="2421"/>
  <c r="QL23" i="2421"/>
  <c r="QL19" i="2421"/>
  <c r="QM110" i="2421"/>
  <c r="QL104" i="2421"/>
  <c r="QL98" i="2421"/>
  <c r="QM92" i="2421"/>
  <c r="QM87" i="2421"/>
  <c r="QL82" i="2421"/>
  <c r="QM76" i="2421"/>
  <c r="QM71" i="2421"/>
  <c r="QL66" i="2421"/>
  <c r="QM60" i="2421"/>
  <c r="QM55" i="2421"/>
  <c r="QL50" i="2421"/>
  <c r="QM44" i="2421"/>
  <c r="QM39" i="2421"/>
  <c r="QL34" i="2421"/>
  <c r="QM28" i="2421"/>
  <c r="QM23" i="2421"/>
  <c r="QL110" i="2421"/>
  <c r="QM103" i="2421"/>
  <c r="QL97" i="2421"/>
  <c r="QL92" i="2421"/>
  <c r="QM86" i="2421"/>
  <c r="QL81" i="2421"/>
  <c r="QL76" i="2421"/>
  <c r="QM70" i="2421"/>
  <c r="QL65" i="2421"/>
  <c r="QL60" i="2421"/>
  <c r="QM54" i="2421"/>
  <c r="QL49" i="2421"/>
  <c r="QL44" i="2421"/>
  <c r="QM38" i="2421"/>
  <c r="QL33" i="2421"/>
  <c r="QL28" i="2421"/>
  <c r="QM22" i="2421"/>
  <c r="QL109" i="2421"/>
  <c r="QM102" i="2421"/>
  <c r="QM96" i="2421"/>
  <c r="QM91" i="2421"/>
  <c r="QL86" i="2421"/>
  <c r="QM80" i="2421"/>
  <c r="QM75" i="2421"/>
  <c r="QL70" i="2421"/>
  <c r="QM64" i="2421"/>
  <c r="QM59" i="2421"/>
  <c r="QL54" i="2421"/>
  <c r="QM48" i="2421"/>
  <c r="QM43" i="2421"/>
  <c r="QL38" i="2421"/>
  <c r="QM32" i="2421"/>
  <c r="QM27" i="2421"/>
  <c r="QL22" i="2421"/>
  <c r="QL108" i="2421"/>
  <c r="QL102" i="2421"/>
  <c r="QL96" i="2421"/>
  <c r="QM90" i="2421"/>
  <c r="QL85" i="2421"/>
  <c r="QL80" i="2421"/>
  <c r="QM74" i="2421"/>
  <c r="QL69" i="2421"/>
  <c r="QL64" i="2421"/>
  <c r="QM58" i="2421"/>
  <c r="QL53" i="2421"/>
  <c r="QL48" i="2421"/>
  <c r="QM42" i="2421"/>
  <c r="QL37" i="2421"/>
  <c r="QL32" i="2421"/>
  <c r="QM26" i="2421"/>
  <c r="QL21" i="2421"/>
  <c r="QD11" i="2421"/>
  <c r="QM107" i="2421"/>
  <c r="QL101" i="2421"/>
  <c r="QM95" i="2421"/>
  <c r="QL90" i="2421"/>
  <c r="QM84" i="2421"/>
  <c r="QM79" i="2421"/>
  <c r="QL74" i="2421"/>
  <c r="QM68" i="2421"/>
  <c r="QM63" i="2421"/>
  <c r="QL58" i="2421"/>
  <c r="QM52" i="2421"/>
  <c r="QM47" i="2421"/>
  <c r="QL42" i="2421"/>
  <c r="QM36" i="2421"/>
  <c r="QM31" i="2421"/>
  <c r="QL26" i="2421"/>
  <c r="QM20" i="2421"/>
  <c r="QL113" i="2421"/>
  <c r="QM106" i="2421"/>
  <c r="QL100" i="2421"/>
  <c r="QM94" i="2421"/>
  <c r="QL89" i="2421"/>
  <c r="QL84" i="2421"/>
  <c r="QM78" i="2421"/>
  <c r="QL73" i="2421"/>
  <c r="QL68" i="2421"/>
  <c r="QM62" i="2421"/>
  <c r="QL57" i="2421"/>
  <c r="QL52" i="2421"/>
  <c r="QM46" i="2421"/>
  <c r="QL41" i="2421"/>
  <c r="QL36" i="2421"/>
  <c r="QM30" i="2421"/>
  <c r="QL25" i="2421"/>
  <c r="QL20" i="2421"/>
  <c r="QL94" i="2421"/>
  <c r="QM72" i="2421"/>
  <c r="QM51" i="2421"/>
  <c r="QL30" i="2421"/>
  <c r="QL93" i="2421"/>
  <c r="QL72" i="2421"/>
  <c r="QM50" i="2421"/>
  <c r="QL29" i="2421"/>
  <c r="QL112" i="2421"/>
  <c r="QM88" i="2421"/>
  <c r="QM67" i="2421"/>
  <c r="QL46" i="2421"/>
  <c r="QM111" i="2421"/>
  <c r="QL88" i="2421"/>
  <c r="QM66" i="2421"/>
  <c r="QL45" i="2421"/>
  <c r="QL106" i="2421"/>
  <c r="QM83" i="2421"/>
  <c r="QL62" i="2421"/>
  <c r="QM40" i="2421"/>
  <c r="QM19" i="2421"/>
  <c r="QL105" i="2421"/>
  <c r="QM82" i="2421"/>
  <c r="QL61" i="2421"/>
  <c r="QL40" i="2421"/>
  <c r="QM56" i="2421"/>
  <c r="QL56" i="2421"/>
  <c r="QM35" i="2421"/>
  <c r="QM34" i="2421"/>
  <c r="QM99" i="2421"/>
  <c r="QM98" i="2421"/>
  <c r="QL78" i="2421"/>
  <c r="QL77" i="2421"/>
  <c r="MH12" i="2421"/>
  <c r="MG12" i="2421"/>
  <c r="MF12" i="2421"/>
  <c r="ME12" i="2421"/>
  <c r="ML12" i="2421"/>
  <c r="MD12" i="2421"/>
  <c r="MK12" i="2421"/>
  <c r="MJ12" i="2421"/>
  <c r="MI12" i="2421"/>
  <c r="MB12" i="2421"/>
  <c r="RH11" i="2421"/>
  <c r="RP110" i="2421"/>
  <c r="RP106" i="2421"/>
  <c r="RP102" i="2421"/>
  <c r="RP98" i="2421"/>
  <c r="RP94" i="2421"/>
  <c r="RP90" i="2421"/>
  <c r="RP86" i="2421"/>
  <c r="RP82" i="2421"/>
  <c r="RQ78" i="2421"/>
  <c r="RQ74" i="2421"/>
  <c r="RQ70" i="2421"/>
  <c r="RQ66" i="2421"/>
  <c r="RP63" i="2421"/>
  <c r="RP59" i="2421"/>
  <c r="RP55" i="2421"/>
  <c r="RQ51" i="2421"/>
  <c r="RP48" i="2421"/>
  <c r="RQ44" i="2421"/>
  <c r="RP41" i="2421"/>
  <c r="RQ37" i="2421"/>
  <c r="RP30" i="2421"/>
  <c r="RQ26" i="2421"/>
  <c r="RP21" i="2421"/>
  <c r="RQ113" i="2421"/>
  <c r="RQ109" i="2421"/>
  <c r="RQ105" i="2421"/>
  <c r="RQ101" i="2421"/>
  <c r="RQ97" i="2421"/>
  <c r="RQ93" i="2421"/>
  <c r="RQ89" i="2421"/>
  <c r="RQ85" i="2421"/>
  <c r="RP78" i="2421"/>
  <c r="RP74" i="2421"/>
  <c r="RP70" i="2421"/>
  <c r="RP66" i="2421"/>
  <c r="RQ62" i="2421"/>
  <c r="RQ58" i="2421"/>
  <c r="RQ54" i="2421"/>
  <c r="RP51" i="2421"/>
  <c r="RQ47" i="2421"/>
  <c r="RP44" i="2421"/>
  <c r="RQ40" i="2421"/>
  <c r="RP37" i="2421"/>
  <c r="RQ33" i="2421"/>
  <c r="RQ29" i="2421"/>
  <c r="RP26" i="2421"/>
  <c r="RQ23" i="2421"/>
  <c r="RP113" i="2421"/>
  <c r="RP109" i="2421"/>
  <c r="RP105" i="2421"/>
  <c r="RP101" i="2421"/>
  <c r="RP97" i="2421"/>
  <c r="RP93" i="2421"/>
  <c r="RP89" i="2421"/>
  <c r="RP85" i="2421"/>
  <c r="RQ81" i="2421"/>
  <c r="RQ77" i="2421"/>
  <c r="RQ73" i="2421"/>
  <c r="RQ69" i="2421"/>
  <c r="RQ65" i="2421"/>
  <c r="RP62" i="2421"/>
  <c r="RP58" i="2421"/>
  <c r="RP54" i="2421"/>
  <c r="RQ50" i="2421"/>
  <c r="RP47" i="2421"/>
  <c r="RQ43" i="2421"/>
  <c r="RP40" i="2421"/>
  <c r="RQ36" i="2421"/>
  <c r="RP33" i="2421"/>
  <c r="RP29" i="2421"/>
  <c r="RP23" i="2421"/>
  <c r="RQ20" i="2421"/>
  <c r="RQ112" i="2421"/>
  <c r="RQ108" i="2421"/>
  <c r="RQ104" i="2421"/>
  <c r="RQ100" i="2421"/>
  <c r="RQ96" i="2421"/>
  <c r="RQ92" i="2421"/>
  <c r="RQ88" i="2421"/>
  <c r="RQ84" i="2421"/>
  <c r="RP81" i="2421"/>
  <c r="RP77" i="2421"/>
  <c r="RP73" i="2421"/>
  <c r="RP69" i="2421"/>
  <c r="RP65" i="2421"/>
  <c r="RQ61" i="2421"/>
  <c r="RQ57" i="2421"/>
  <c r="RP50" i="2421"/>
  <c r="RQ46" i="2421"/>
  <c r="RP43" i="2421"/>
  <c r="RQ39" i="2421"/>
  <c r="RP36" i="2421"/>
  <c r="RQ32" i="2421"/>
  <c r="RQ28" i="2421"/>
  <c r="RQ25" i="2421"/>
  <c r="RP20" i="2421"/>
  <c r="RP112" i="2421"/>
  <c r="RP108" i="2421"/>
  <c r="RP104" i="2421"/>
  <c r="RP100" i="2421"/>
  <c r="RP96" i="2421"/>
  <c r="RP92" i="2421"/>
  <c r="RP88" i="2421"/>
  <c r="RP84" i="2421"/>
  <c r="RQ80" i="2421"/>
  <c r="RQ76" i="2421"/>
  <c r="RQ72" i="2421"/>
  <c r="RQ68" i="2421"/>
  <c r="RP61" i="2421"/>
  <c r="RP57" i="2421"/>
  <c r="RQ53" i="2421"/>
  <c r="RP46" i="2421"/>
  <c r="RQ42" i="2421"/>
  <c r="RP39" i="2421"/>
  <c r="RQ35" i="2421"/>
  <c r="RP32" i="2421"/>
  <c r="RP28" i="2421"/>
  <c r="RP25" i="2421"/>
  <c r="RQ22" i="2421"/>
  <c r="RQ111" i="2421"/>
  <c r="RQ107" i="2421"/>
  <c r="RQ103" i="2421"/>
  <c r="RQ99" i="2421"/>
  <c r="RQ95" i="2421"/>
  <c r="RQ91" i="2421"/>
  <c r="RQ87" i="2421"/>
  <c r="RQ83" i="2421"/>
  <c r="RP80" i="2421"/>
  <c r="RP76" i="2421"/>
  <c r="RP72" i="2421"/>
  <c r="RP68" i="2421"/>
  <c r="RQ64" i="2421"/>
  <c r="RQ60" i="2421"/>
  <c r="RQ56" i="2421"/>
  <c r="RP53" i="2421"/>
  <c r="RQ49" i="2421"/>
  <c r="RP42" i="2421"/>
  <c r="RQ38" i="2421"/>
  <c r="RP35" i="2421"/>
  <c r="RQ31" i="2421"/>
  <c r="RQ27" i="2421"/>
  <c r="RP22" i="2421"/>
  <c r="RQ19" i="2421"/>
  <c r="RP111" i="2421"/>
  <c r="RP107" i="2421"/>
  <c r="RP103" i="2421"/>
  <c r="RP99" i="2421"/>
  <c r="RP95" i="2421"/>
  <c r="RP91" i="2421"/>
  <c r="RP87" i="2421"/>
  <c r="RP83" i="2421"/>
  <c r="RQ79" i="2421"/>
  <c r="RQ75" i="2421"/>
  <c r="RQ71" i="2421"/>
  <c r="RQ67" i="2421"/>
  <c r="RP64" i="2421"/>
  <c r="RP60" i="2421"/>
  <c r="RP56" i="2421"/>
  <c r="RQ52" i="2421"/>
  <c r="RP49" i="2421"/>
  <c r="RQ45" i="2421"/>
  <c r="RP38" i="2421"/>
  <c r="RQ34" i="2421"/>
  <c r="RP31" i="2421"/>
  <c r="RP27" i="2421"/>
  <c r="RP19" i="2421"/>
  <c r="RQ110" i="2421"/>
  <c r="RQ106" i="2421"/>
  <c r="RP75" i="2421"/>
  <c r="RP45" i="2421"/>
  <c r="RQ102" i="2421"/>
  <c r="RP71" i="2421"/>
  <c r="RQ41" i="2421"/>
  <c r="RQ98" i="2421"/>
  <c r="RP67" i="2421"/>
  <c r="RQ94" i="2421"/>
  <c r="RQ63" i="2421"/>
  <c r="RP34" i="2421"/>
  <c r="RQ90" i="2421"/>
  <c r="RQ59" i="2421"/>
  <c r="RQ30" i="2421"/>
  <c r="RQ86" i="2421"/>
  <c r="RQ55" i="2421"/>
  <c r="RQ82" i="2421"/>
  <c r="RP79" i="2421"/>
  <c r="RP52" i="2421"/>
  <c r="RQ48" i="2421"/>
  <c r="RQ21" i="2421"/>
  <c r="RN103" i="2421"/>
  <c r="RN66" i="2421"/>
  <c r="RN67" i="2421"/>
  <c r="RN73" i="2421"/>
  <c r="RN78" i="2421"/>
  <c r="RN110" i="2421"/>
  <c r="RN39" i="2421"/>
  <c r="RN44" i="2421"/>
  <c r="RN47" i="2421"/>
  <c r="RN27" i="2421"/>
  <c r="RN72" i="2421"/>
  <c r="RN32" i="2421"/>
  <c r="RN59" i="2421"/>
  <c r="RN74" i="2421"/>
  <c r="RN90" i="2421"/>
  <c r="RN26" i="2421"/>
  <c r="RN24" i="2421"/>
  <c r="RN36" i="2421"/>
  <c r="RN69" i="2421"/>
  <c r="RN93" i="2421"/>
  <c r="RN112" i="2421"/>
  <c r="RN94" i="2421"/>
  <c r="RN85" i="2421"/>
  <c r="RN92" i="2421"/>
  <c r="RN99" i="2421"/>
  <c r="RN38" i="2421"/>
  <c r="RN107" i="2421"/>
  <c r="RN56" i="2421"/>
  <c r="RN113" i="2421"/>
  <c r="RN35" i="2421"/>
  <c r="RN111" i="2421"/>
  <c r="RN42" i="2421"/>
  <c r="RN95" i="2421"/>
  <c r="RN37" i="2421"/>
  <c r="RN81" i="2421"/>
  <c r="RN96" i="2421"/>
  <c r="RN62" i="2421"/>
  <c r="RN45" i="2421"/>
  <c r="RN105" i="2421"/>
  <c r="RN53" i="2421"/>
  <c r="RN40" i="2421"/>
  <c r="RN52" i="2421"/>
  <c r="RN77" i="2421"/>
  <c r="RN33" i="2421"/>
  <c r="RN64" i="2421"/>
  <c r="RN30" i="2421"/>
  <c r="RN20" i="2421"/>
  <c r="RN63" i="2421"/>
  <c r="RN84" i="2421"/>
  <c r="RN109" i="2421"/>
  <c r="RN55" i="2421"/>
  <c r="RN87" i="2421"/>
  <c r="RN29" i="2421"/>
  <c r="RN88" i="2421"/>
  <c r="RN65" i="2421"/>
  <c r="RN23" i="2421"/>
  <c r="RN41" i="2421"/>
  <c r="RN91" i="2421"/>
  <c r="RN54" i="2421"/>
  <c r="RN68" i="2421"/>
  <c r="RN101" i="2421"/>
  <c r="RN25" i="2421"/>
  <c r="RN50" i="2421"/>
  <c r="RN76" i="2421"/>
  <c r="RN49" i="2421"/>
  <c r="RN106" i="2421"/>
  <c r="RN31" i="2421"/>
  <c r="RN100" i="2421"/>
  <c r="RN82" i="2421"/>
  <c r="RN83" i="2421"/>
  <c r="RN75" i="2421"/>
  <c r="RN108" i="2421"/>
  <c r="RN86" i="2421"/>
  <c r="RN104" i="2421"/>
  <c r="RN98" i="2421"/>
  <c r="RN46" i="2421"/>
  <c r="RN43" i="2421"/>
  <c r="RN70" i="2421"/>
  <c r="RN97" i="2421"/>
  <c r="RN60" i="2421"/>
  <c r="RN48" i="2421"/>
  <c r="RN61" i="2421"/>
  <c r="RN79" i="2421"/>
  <c r="RN57" i="2421"/>
  <c r="RN58" i="2421"/>
  <c r="RN19" i="2421"/>
  <c r="RN34" i="2421"/>
  <c r="RN51" i="2421"/>
  <c r="RN28" i="2421"/>
  <c r="RN89" i="2421"/>
  <c r="RN80" i="2421"/>
  <c r="RN71" i="2421"/>
  <c r="RN102" i="2421"/>
  <c r="RO97" i="2421"/>
  <c r="RO48" i="2421"/>
  <c r="RO98" i="2421"/>
  <c r="RO71" i="2421"/>
  <c r="RO103" i="2421"/>
  <c r="RO59" i="2421"/>
  <c r="RO77" i="2421"/>
  <c r="RO27" i="2421"/>
  <c r="RO93" i="2421"/>
  <c r="RO105" i="2421"/>
  <c r="RO99" i="2421"/>
  <c r="RO72" i="2421"/>
  <c r="RO20" i="2421"/>
  <c r="RO19" i="2421"/>
  <c r="RO50" i="2421"/>
  <c r="RO75" i="2421"/>
  <c r="RO73" i="2421"/>
  <c r="RO96" i="2421"/>
  <c r="RO68" i="2421"/>
  <c r="RO39" i="2421"/>
  <c r="RO102" i="2421"/>
  <c r="RN21" i="2421"/>
  <c r="RO56" i="2421"/>
  <c r="RO61" i="2421"/>
  <c r="RO29" i="2421"/>
  <c r="RO25" i="2421"/>
  <c r="RO88" i="2421"/>
  <c r="RO82" i="2421"/>
  <c r="RO80" i="2421"/>
  <c r="RO69" i="2421"/>
  <c r="RO76" i="2421"/>
  <c r="RO30" i="2421"/>
  <c r="RO84" i="2421"/>
  <c r="RO107" i="2421"/>
  <c r="RO74" i="2421"/>
  <c r="RO55" i="2421"/>
  <c r="RO63" i="2421"/>
  <c r="RO106" i="2421"/>
  <c r="RO41" i="2421"/>
  <c r="RO92" i="2421"/>
  <c r="RO37" i="2421"/>
  <c r="RO66" i="2421"/>
  <c r="RO112" i="2421"/>
  <c r="RO95" i="2421"/>
  <c r="RO54" i="2421"/>
  <c r="RO65" i="2421"/>
  <c r="RO89" i="2421"/>
  <c r="RO113" i="2421"/>
  <c r="RO51" i="2421"/>
  <c r="RO36" i="2421"/>
  <c r="RO44" i="2421"/>
  <c r="RO38" i="2421"/>
  <c r="RO53" i="2421"/>
  <c r="RO110" i="2421"/>
  <c r="RO49" i="2421"/>
  <c r="RO90" i="2421"/>
  <c r="RO83" i="2421"/>
  <c r="RO47" i="2421"/>
  <c r="RO91" i="2421"/>
  <c r="RO58" i="2421"/>
  <c r="RO40" i="2421"/>
  <c r="RO45" i="2421"/>
  <c r="RO111" i="2421"/>
  <c r="RO70" i="2421"/>
  <c r="RO60" i="2421"/>
  <c r="RO46" i="2421"/>
  <c r="RO86" i="2421"/>
  <c r="RO108" i="2421"/>
  <c r="RO31" i="2421"/>
  <c r="RO57" i="2421"/>
  <c r="RO81" i="2421"/>
  <c r="RO85" i="2421"/>
  <c r="RO104" i="2421"/>
  <c r="RO101" i="2421"/>
  <c r="RO28" i="2421"/>
  <c r="RO52" i="2421"/>
  <c r="RO94" i="2421"/>
  <c r="RO109" i="2421"/>
  <c r="RO64" i="2421"/>
  <c r="RO42" i="2421"/>
  <c r="RO62" i="2421"/>
  <c r="RO78" i="2421"/>
  <c r="RO26" i="2421"/>
  <c r="RO23" i="2421"/>
  <c r="RO100" i="2421"/>
  <c r="RO67" i="2421"/>
  <c r="RO87" i="2421"/>
  <c r="RO79" i="2421"/>
  <c r="RN22" i="2421"/>
  <c r="RO43" i="2421"/>
  <c r="IS12" i="2421"/>
  <c r="IZ12" i="2421"/>
  <c r="IR12" i="2421"/>
  <c r="IY12" i="2421"/>
  <c r="IP12" i="2421"/>
  <c r="IX12" i="2421"/>
  <c r="IW12" i="2421"/>
  <c r="IV12" i="2421"/>
  <c r="IU12" i="2421"/>
  <c r="IT12" i="2421"/>
  <c r="DT12" i="2421"/>
  <c r="DK12" i="2421"/>
  <c r="DS12" i="2421"/>
  <c r="DR12" i="2421"/>
  <c r="DQ12" i="2421"/>
  <c r="DP12" i="2421"/>
  <c r="DN12" i="2421"/>
  <c r="DO12" i="2421"/>
  <c r="DU12" i="2421"/>
  <c r="DM12" i="2421"/>
  <c r="IJ111" i="2421"/>
  <c r="IJ107" i="2421"/>
  <c r="IJ103" i="2421"/>
  <c r="IJ99" i="2421"/>
  <c r="IJ95" i="2421"/>
  <c r="IJ91" i="2421"/>
  <c r="IJ87" i="2421"/>
  <c r="IJ83" i="2421"/>
  <c r="IJ79" i="2421"/>
  <c r="IJ75" i="2421"/>
  <c r="IJ71" i="2421"/>
  <c r="IJ67" i="2421"/>
  <c r="IJ63" i="2421"/>
  <c r="IJ59" i="2421"/>
  <c r="IJ55" i="2421"/>
  <c r="IJ51" i="2421"/>
  <c r="IJ47" i="2421"/>
  <c r="IJ43" i="2421"/>
  <c r="IJ39" i="2421"/>
  <c r="IJ35" i="2421"/>
  <c r="IJ31" i="2421"/>
  <c r="IJ27" i="2421"/>
  <c r="IJ23"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J19" i="2421"/>
  <c r="IJ110" i="2421"/>
  <c r="IJ106" i="2421"/>
  <c r="IJ102" i="2421"/>
  <c r="IJ98" i="2421"/>
  <c r="IJ94" i="2421"/>
  <c r="IJ90" i="2421"/>
  <c r="IJ86" i="2421"/>
  <c r="IJ82" i="2421"/>
  <c r="IJ78" i="2421"/>
  <c r="IJ74" i="2421"/>
  <c r="IJ70" i="2421"/>
  <c r="IJ66" i="2421"/>
  <c r="IJ62" i="2421"/>
  <c r="IJ58" i="2421"/>
  <c r="IJ54" i="2421"/>
  <c r="IJ50" i="2421"/>
  <c r="IJ46" i="2421"/>
  <c r="IJ42" i="2421"/>
  <c r="IJ38" i="2421"/>
  <c r="IJ34" i="2421"/>
  <c r="IJ30" i="2421"/>
  <c r="IJ26" i="2421"/>
  <c r="IJ22" i="2421"/>
  <c r="IB1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J113" i="2421"/>
  <c r="IJ109" i="2421"/>
  <c r="IJ105" i="2421"/>
  <c r="IJ101" i="2421"/>
  <c r="IJ97" i="2421"/>
  <c r="IJ93" i="2421"/>
  <c r="IJ89" i="2421"/>
  <c r="IJ85" i="2421"/>
  <c r="IJ81" i="2421"/>
  <c r="IJ77" i="2421"/>
  <c r="IJ73" i="2421"/>
  <c r="IJ69" i="2421"/>
  <c r="IJ65" i="2421"/>
  <c r="IJ61" i="2421"/>
  <c r="IJ57" i="2421"/>
  <c r="IJ53" i="2421"/>
  <c r="IJ49" i="2421"/>
  <c r="IJ45" i="2421"/>
  <c r="IJ41" i="2421"/>
  <c r="IJ37" i="2421"/>
  <c r="IJ33" i="2421"/>
  <c r="IJ29" i="2421"/>
  <c r="IJ25" i="2421"/>
  <c r="IJ21"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J112" i="2421"/>
  <c r="IJ108" i="2421"/>
  <c r="IJ104" i="2421"/>
  <c r="IJ100" i="2421"/>
  <c r="IJ96" i="2421"/>
  <c r="IJ92" i="2421"/>
  <c r="IJ88" i="2421"/>
  <c r="IJ84" i="2421"/>
  <c r="IJ80" i="2421"/>
  <c r="IJ76" i="2421"/>
  <c r="IJ72" i="2421"/>
  <c r="IJ68" i="2421"/>
  <c r="IJ64" i="2421"/>
  <c r="IJ60" i="2421"/>
  <c r="IJ56" i="2421"/>
  <c r="IJ52" i="2421"/>
  <c r="IJ48" i="2421"/>
  <c r="IJ44" i="2421"/>
  <c r="IJ40" i="2421"/>
  <c r="IJ36" i="2421"/>
  <c r="IJ32" i="2421"/>
  <c r="IJ28" i="2421"/>
  <c r="IJ20" i="2421"/>
  <c r="IK111" i="2421"/>
  <c r="IK79" i="2421"/>
  <c r="IK47" i="2421"/>
  <c r="IK107" i="2421"/>
  <c r="IK75" i="2421"/>
  <c r="IK43" i="2421"/>
  <c r="IK103" i="2421"/>
  <c r="IK71" i="2421"/>
  <c r="IK39" i="2421"/>
  <c r="IK99" i="2421"/>
  <c r="IK67" i="2421"/>
  <c r="IK35" i="2421"/>
  <c r="IK95" i="2421"/>
  <c r="IK63" i="2421"/>
  <c r="IK31" i="2421"/>
  <c r="IK91" i="2421"/>
  <c r="IK59" i="2421"/>
  <c r="IK27" i="2421"/>
  <c r="IK87" i="2421"/>
  <c r="IK55" i="2421"/>
  <c r="IK23" i="2421"/>
  <c r="IK83" i="2421"/>
  <c r="IK51" i="2421"/>
  <c r="DE110" i="2421"/>
  <c r="DE106" i="2421"/>
  <c r="DE102" i="2421"/>
  <c r="DE98" i="2421"/>
  <c r="DE94" i="2421"/>
  <c r="DE90" i="2421"/>
  <c r="DE86" i="2421"/>
  <c r="DE82" i="2421"/>
  <c r="DE78" i="2421"/>
  <c r="DE74" i="2421"/>
  <c r="DE70" i="2421"/>
  <c r="DE66" i="2421"/>
  <c r="DE62" i="2421"/>
  <c r="DE58" i="2421"/>
  <c r="DF54" i="2421"/>
  <c r="DF50" i="2421"/>
  <c r="DF46" i="2421"/>
  <c r="DF42" i="2421"/>
  <c r="DF38" i="2421"/>
  <c r="DF34" i="2421"/>
  <c r="DF30" i="2421"/>
  <c r="DF27" i="2421"/>
  <c r="DE22" i="2421"/>
  <c r="DF19" i="2421"/>
  <c r="CW11" i="2421"/>
  <c r="DE87" i="2421"/>
  <c r="DF113" i="2421"/>
  <c r="DF109" i="2421"/>
  <c r="DF105" i="2421"/>
  <c r="DF101" i="2421"/>
  <c r="DF97" i="2421"/>
  <c r="DF93" i="2421"/>
  <c r="DF89" i="2421"/>
  <c r="DF85" i="2421"/>
  <c r="DF81" i="2421"/>
  <c r="DF77" i="2421"/>
  <c r="DF73" i="2421"/>
  <c r="DF69" i="2421"/>
  <c r="DF65" i="2421"/>
  <c r="DF61" i="2421"/>
  <c r="DE54" i="2421"/>
  <c r="DE50" i="2421"/>
  <c r="DE46" i="2421"/>
  <c r="DE42" i="2421"/>
  <c r="DE38" i="2421"/>
  <c r="DE34" i="2421"/>
  <c r="DE30" i="2421"/>
  <c r="DE27" i="2421"/>
  <c r="DE19" i="2421"/>
  <c r="DE107" i="2421"/>
  <c r="DE91" i="2421"/>
  <c r="DE79" i="2421"/>
  <c r="DE63" i="2421"/>
  <c r="DF51" i="2421"/>
  <c r="DF39" i="2421"/>
  <c r="DF25" i="2421"/>
  <c r="DE113" i="2421"/>
  <c r="DE109" i="2421"/>
  <c r="DE105" i="2421"/>
  <c r="DE101" i="2421"/>
  <c r="DE97" i="2421"/>
  <c r="DE93" i="2421"/>
  <c r="DE89" i="2421"/>
  <c r="DE85" i="2421"/>
  <c r="DE81" i="2421"/>
  <c r="DE77" i="2421"/>
  <c r="DE73" i="2421"/>
  <c r="DE69" i="2421"/>
  <c r="DE65" i="2421"/>
  <c r="DE61" i="2421"/>
  <c r="DF57" i="2421"/>
  <c r="DF53" i="2421"/>
  <c r="DF49" i="2421"/>
  <c r="DF45" i="2421"/>
  <c r="DF41" i="2421"/>
  <c r="DF37" i="2421"/>
  <c r="DF33" i="2421"/>
  <c r="DF29" i="2421"/>
  <c r="DF21" i="2421"/>
  <c r="DE103" i="2421"/>
  <c r="DE75" i="2421"/>
  <c r="DF55" i="2421"/>
  <c r="DF35" i="2421"/>
  <c r="DE20" i="2421"/>
  <c r="DF112" i="2421"/>
  <c r="DF108" i="2421"/>
  <c r="DF104" i="2421"/>
  <c r="DF100" i="2421"/>
  <c r="DF96" i="2421"/>
  <c r="DF92" i="2421"/>
  <c r="DF88" i="2421"/>
  <c r="DF84" i="2421"/>
  <c r="DF80" i="2421"/>
  <c r="DF76" i="2421"/>
  <c r="DF72" i="2421"/>
  <c r="DF68" i="2421"/>
  <c r="DF64" i="2421"/>
  <c r="DF60" i="2421"/>
  <c r="DE57" i="2421"/>
  <c r="DE53" i="2421"/>
  <c r="DE49" i="2421"/>
  <c r="DE45" i="2421"/>
  <c r="DE41" i="2421"/>
  <c r="DE37" i="2421"/>
  <c r="DE33" i="2421"/>
  <c r="DE29" i="2421"/>
  <c r="DF26" i="2421"/>
  <c r="DE21" i="2421"/>
  <c r="DE95" i="2421"/>
  <c r="DE71" i="2421"/>
  <c r="DF47" i="2421"/>
  <c r="DE28" i="2421"/>
  <c r="DE112" i="2421"/>
  <c r="DE108" i="2421"/>
  <c r="DE104" i="2421"/>
  <c r="DE100" i="2421"/>
  <c r="DE96" i="2421"/>
  <c r="DE92" i="2421"/>
  <c r="DE88" i="2421"/>
  <c r="DE84" i="2421"/>
  <c r="DE80" i="2421"/>
  <c r="DE76" i="2421"/>
  <c r="DE72" i="2421"/>
  <c r="DE68" i="2421"/>
  <c r="DE64" i="2421"/>
  <c r="DE60" i="2421"/>
  <c r="DF56" i="2421"/>
  <c r="DF52" i="2421"/>
  <c r="DF48" i="2421"/>
  <c r="DF44" i="2421"/>
  <c r="DF40" i="2421"/>
  <c r="DF36" i="2421"/>
  <c r="DF32" i="2421"/>
  <c r="DE26" i="2421"/>
  <c r="DF23" i="2421"/>
  <c r="DE111" i="2421"/>
  <c r="DE99" i="2421"/>
  <c r="DE83" i="2421"/>
  <c r="DE67" i="2421"/>
  <c r="DE59" i="2421"/>
  <c r="DF43" i="2421"/>
  <c r="DF31" i="2421"/>
  <c r="DF111" i="2421"/>
  <c r="DF107" i="2421"/>
  <c r="DF103" i="2421"/>
  <c r="DF99" i="2421"/>
  <c r="DF95" i="2421"/>
  <c r="DF91" i="2421"/>
  <c r="DF87" i="2421"/>
  <c r="DF83" i="2421"/>
  <c r="DF79" i="2421"/>
  <c r="DF75" i="2421"/>
  <c r="DF71" i="2421"/>
  <c r="DF67" i="2421"/>
  <c r="DF63" i="2421"/>
  <c r="DF59" i="2421"/>
  <c r="DE56" i="2421"/>
  <c r="DE52" i="2421"/>
  <c r="DE48" i="2421"/>
  <c r="DE44" i="2421"/>
  <c r="DE40" i="2421"/>
  <c r="DE36" i="2421"/>
  <c r="DE32" i="2421"/>
  <c r="DF28" i="2421"/>
  <c r="DE23" i="2421"/>
  <c r="DF20" i="2421"/>
  <c r="DF94" i="2421"/>
  <c r="DF62" i="2421"/>
  <c r="DE31" i="2421"/>
  <c r="DE51" i="2421"/>
  <c r="DF90" i="2421"/>
  <c r="DF58" i="2421"/>
  <c r="DF98" i="2421"/>
  <c r="DF86" i="2421"/>
  <c r="DE55" i="2421"/>
  <c r="DE25" i="2421"/>
  <c r="DE35" i="2421"/>
  <c r="DF82" i="2421"/>
  <c r="DF22" i="2421"/>
  <c r="DF110" i="2421"/>
  <c r="DF78" i="2421"/>
  <c r="DE47" i="2421"/>
  <c r="DF66" i="2421"/>
  <c r="DF106" i="2421"/>
  <c r="DF74" i="2421"/>
  <c r="DE43" i="2421"/>
  <c r="DF102" i="2421"/>
  <c r="DF70" i="2421"/>
  <c r="DE39" i="2421"/>
  <c r="HT112" i="2421"/>
  <c r="HS64" i="2421"/>
  <c r="CN19" i="2421"/>
  <c r="CO89" i="2421"/>
  <c r="LQ12" i="2421"/>
  <c r="LP12" i="2421"/>
  <c r="LW12" i="2421"/>
  <c r="LO12" i="2421"/>
  <c r="LV12" i="2421"/>
  <c r="LM12" i="2421"/>
  <c r="LU12" i="2421"/>
  <c r="LT12" i="2421"/>
  <c r="LS12" i="2421"/>
  <c r="LR12"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A111" i="2421"/>
  <c r="RA107" i="2421"/>
  <c r="RA103" i="2421"/>
  <c r="RA99" i="2421"/>
  <c r="RA95" i="2421"/>
  <c r="RA91" i="2421"/>
  <c r="RA87" i="2421"/>
  <c r="RA83" i="2421"/>
  <c r="RA79" i="2421"/>
  <c r="RA75" i="2421"/>
  <c r="RA71" i="2421"/>
  <c r="RA67" i="2421"/>
  <c r="RA63" i="2421"/>
  <c r="RA59" i="2421"/>
  <c r="RA55" i="2421"/>
  <c r="RA51" i="2421"/>
  <c r="RA47" i="2421"/>
  <c r="RA43" i="2421"/>
  <c r="RA39" i="2421"/>
  <c r="RA35" i="2421"/>
  <c r="RA31" i="2421"/>
  <c r="RA28" i="2421"/>
  <c r="RA20" i="2421"/>
  <c r="QS11"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B27" i="2421"/>
  <c r="RB23" i="2421"/>
  <c r="RA110" i="2421"/>
  <c r="RA106" i="2421"/>
  <c r="RA102" i="2421"/>
  <c r="RA98" i="2421"/>
  <c r="RA94" i="2421"/>
  <c r="RA90" i="2421"/>
  <c r="RA86" i="2421"/>
  <c r="RA82" i="2421"/>
  <c r="RA78" i="2421"/>
  <c r="RA74" i="2421"/>
  <c r="RA70" i="2421"/>
  <c r="RA66" i="2421"/>
  <c r="RA62" i="2421"/>
  <c r="RA58" i="2421"/>
  <c r="RA54" i="2421"/>
  <c r="RA50" i="2421"/>
  <c r="RA46" i="2421"/>
  <c r="RA42" i="2421"/>
  <c r="RA38" i="2421"/>
  <c r="RA34" i="2421"/>
  <c r="RB30" i="2421"/>
  <c r="RA27" i="2421"/>
  <c r="RA23" i="2421"/>
  <c r="RB19"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A30" i="2421"/>
  <c r="RB26" i="2421"/>
  <c r="RA113" i="2421"/>
  <c r="RA109" i="2421"/>
  <c r="RA105" i="2421"/>
  <c r="RA101" i="2421"/>
  <c r="RA97" i="2421"/>
  <c r="RA93" i="2421"/>
  <c r="RA89" i="2421"/>
  <c r="RA85" i="2421"/>
  <c r="RA81" i="2421"/>
  <c r="RA77" i="2421"/>
  <c r="RA73" i="2421"/>
  <c r="RA69" i="2421"/>
  <c r="RA65" i="2421"/>
  <c r="RA61" i="2421"/>
  <c r="RA57" i="2421"/>
  <c r="RA53" i="2421"/>
  <c r="RA49" i="2421"/>
  <c r="RA45" i="2421"/>
  <c r="RA41" i="2421"/>
  <c r="RA37" i="2421"/>
  <c r="RA33" i="2421"/>
  <c r="RB112" i="2421"/>
  <c r="RB108" i="2421"/>
  <c r="RB104" i="2421"/>
  <c r="RB100" i="2421"/>
  <c r="RB96" i="2421"/>
  <c r="RB92" i="2421"/>
  <c r="RB88" i="2421"/>
  <c r="RB84" i="2421"/>
  <c r="RB80" i="2421"/>
  <c r="RB76" i="2421"/>
  <c r="RB72" i="2421"/>
  <c r="RB68" i="2421"/>
  <c r="RB64" i="2421"/>
  <c r="RB60" i="2421"/>
  <c r="RB56" i="2421"/>
  <c r="RB52" i="2421"/>
  <c r="RB48" i="2421"/>
  <c r="RB44" i="2421"/>
  <c r="RB40" i="2421"/>
  <c r="RB36" i="2421"/>
  <c r="RB32" i="2421"/>
  <c r="RB29" i="2421"/>
  <c r="RB25" i="2421"/>
  <c r="RB21" i="2421"/>
  <c r="RA96" i="2421"/>
  <c r="RA64" i="2421"/>
  <c r="RA32" i="2421"/>
  <c r="RB20" i="2421"/>
  <c r="RA92" i="2421"/>
  <c r="RA60" i="2421"/>
  <c r="RA29" i="2421"/>
  <c r="RA19" i="2421"/>
  <c r="RA88" i="2421"/>
  <c r="RA56" i="2421"/>
  <c r="RA26" i="2421"/>
  <c r="RA84" i="2421"/>
  <c r="RA52" i="2421"/>
  <c r="RA25" i="2421"/>
  <c r="RA112" i="2421"/>
  <c r="RA80" i="2421"/>
  <c r="RA48" i="2421"/>
  <c r="RA108" i="2421"/>
  <c r="RA76" i="2421"/>
  <c r="RA44" i="2421"/>
  <c r="RB22" i="2421"/>
  <c r="RA72" i="2421"/>
  <c r="RA68" i="2421"/>
  <c r="RA40" i="2421"/>
  <c r="RA36" i="2421"/>
  <c r="RA22" i="2421"/>
  <c r="RA21" i="2421"/>
  <c r="RA104" i="2421"/>
  <c r="RA100" i="2421"/>
  <c r="QZ98" i="2421"/>
  <c r="QZ93" i="2421"/>
  <c r="QZ54" i="2421"/>
  <c r="QZ61" i="2421"/>
  <c r="QZ47" i="2421"/>
  <c r="QZ59" i="2421"/>
  <c r="QZ25" i="2421"/>
  <c r="QZ107" i="2421"/>
  <c r="QZ92" i="2421"/>
  <c r="QZ56" i="2421"/>
  <c r="QZ90" i="2421"/>
  <c r="QZ23" i="2421"/>
  <c r="QZ86" i="2421"/>
  <c r="QZ110" i="2421"/>
  <c r="QZ50" i="2421"/>
  <c r="QZ73" i="2421"/>
  <c r="QZ80" i="2421"/>
  <c r="QZ102" i="2421"/>
  <c r="QZ37" i="2421"/>
  <c r="QZ95" i="2421"/>
  <c r="QZ20" i="2421"/>
  <c r="QZ84" i="2421"/>
  <c r="IK12" i="2421"/>
  <c r="IC12" i="2421"/>
  <c r="IJ12" i="2421"/>
  <c r="IA12" i="2421"/>
  <c r="II12" i="2421"/>
  <c r="IH12" i="2421"/>
  <c r="IG12" i="2421"/>
  <c r="IF12" i="2421"/>
  <c r="IE12" i="2421"/>
  <c r="ID12" i="2421"/>
  <c r="DD12" i="2421"/>
  <c r="DC12" i="2421"/>
  <c r="DF12" i="2421"/>
  <c r="DB12" i="2421"/>
  <c r="DA12" i="2421"/>
  <c r="CZ12" i="2421"/>
  <c r="CX12" i="2421"/>
  <c r="CY12" i="2421"/>
  <c r="CV12" i="2421"/>
  <c r="DE12" i="2421"/>
  <c r="HV110" i="2421"/>
  <c r="HV106" i="2421"/>
  <c r="HV102" i="2421"/>
  <c r="HV98" i="2421"/>
  <c r="HV94" i="2421"/>
  <c r="HV90" i="2421"/>
  <c r="HV86" i="2421"/>
  <c r="HU83" i="2421"/>
  <c r="HU79" i="2421"/>
  <c r="HU75" i="2421"/>
  <c r="HU71" i="2421"/>
  <c r="HU67" i="2421"/>
  <c r="HU63" i="2421"/>
  <c r="HU59" i="2421"/>
  <c r="HU55" i="2421"/>
  <c r="HU51" i="2421"/>
  <c r="HV47" i="2421"/>
  <c r="HU44" i="2421"/>
  <c r="HV40" i="2421"/>
  <c r="HU37" i="2421"/>
  <c r="HV33" i="2421"/>
  <c r="HV30" i="2421"/>
  <c r="HV27" i="2421"/>
  <c r="HV19" i="2421"/>
  <c r="HM11" i="2421"/>
  <c r="HU110" i="2421"/>
  <c r="HU106" i="2421"/>
  <c r="HU102" i="2421"/>
  <c r="HU98" i="2421"/>
  <c r="HU94" i="2421"/>
  <c r="HU90" i="2421"/>
  <c r="HU86" i="2421"/>
  <c r="HV82" i="2421"/>
  <c r="HV78" i="2421"/>
  <c r="HV74" i="2421"/>
  <c r="HV70" i="2421"/>
  <c r="HV66" i="2421"/>
  <c r="HV62" i="2421"/>
  <c r="HV58" i="2421"/>
  <c r="HV54" i="2421"/>
  <c r="HV50" i="2421"/>
  <c r="HU47" i="2421"/>
  <c r="HV43" i="2421"/>
  <c r="HU40" i="2421"/>
  <c r="HV36" i="2421"/>
  <c r="HU33" i="2421"/>
  <c r="HU30" i="2421"/>
  <c r="HU27" i="2421"/>
  <c r="HU19" i="2421"/>
  <c r="HV113" i="2421"/>
  <c r="HV109" i="2421"/>
  <c r="HV105" i="2421"/>
  <c r="HV101" i="2421"/>
  <c r="HV97" i="2421"/>
  <c r="HV93" i="2421"/>
  <c r="HV89" i="2421"/>
  <c r="HV85" i="2421"/>
  <c r="HU82" i="2421"/>
  <c r="HU78" i="2421"/>
  <c r="HU74" i="2421"/>
  <c r="HU70" i="2421"/>
  <c r="HU66" i="2421"/>
  <c r="HU62" i="2421"/>
  <c r="HU58" i="2421"/>
  <c r="HU54" i="2421"/>
  <c r="HU50" i="2421"/>
  <c r="HV46" i="2421"/>
  <c r="HU43" i="2421"/>
  <c r="HV39" i="2421"/>
  <c r="HU36" i="2421"/>
  <c r="HV32" i="2421"/>
  <c r="HV21" i="2421"/>
  <c r="HU113" i="2421"/>
  <c r="HU109" i="2421"/>
  <c r="HU105" i="2421"/>
  <c r="HU101" i="2421"/>
  <c r="HU97" i="2421"/>
  <c r="HU93" i="2421"/>
  <c r="HU89" i="2421"/>
  <c r="HU85" i="2421"/>
  <c r="HV81" i="2421"/>
  <c r="HV77" i="2421"/>
  <c r="HV73" i="2421"/>
  <c r="HV69" i="2421"/>
  <c r="HV65" i="2421"/>
  <c r="HV61" i="2421"/>
  <c r="HV57" i="2421"/>
  <c r="HV53" i="2421"/>
  <c r="HU46" i="2421"/>
  <c r="HV42" i="2421"/>
  <c r="HU39" i="2421"/>
  <c r="HV35" i="2421"/>
  <c r="HU32" i="2421"/>
  <c r="HV29" i="2421"/>
  <c r="HV26" i="2421"/>
  <c r="HV23" i="2421"/>
  <c r="HU21" i="2421"/>
  <c r="HV112" i="2421"/>
  <c r="HV108" i="2421"/>
  <c r="HV104" i="2421"/>
  <c r="HV100" i="2421"/>
  <c r="HV96" i="2421"/>
  <c r="HV92" i="2421"/>
  <c r="HV88" i="2421"/>
  <c r="HU81" i="2421"/>
  <c r="HU77" i="2421"/>
  <c r="HU73" i="2421"/>
  <c r="HU69" i="2421"/>
  <c r="HU65" i="2421"/>
  <c r="HU61" i="2421"/>
  <c r="HU57" i="2421"/>
  <c r="HU53" i="2421"/>
  <c r="HV49" i="2421"/>
  <c r="HU42" i="2421"/>
  <c r="HV38" i="2421"/>
  <c r="HU35" i="2421"/>
  <c r="HU29" i="2421"/>
  <c r="HU26" i="2421"/>
  <c r="HU23" i="2421"/>
  <c r="HU112" i="2421"/>
  <c r="HU108" i="2421"/>
  <c r="HU104" i="2421"/>
  <c r="HU100" i="2421"/>
  <c r="HU96" i="2421"/>
  <c r="HU92" i="2421"/>
  <c r="HU88" i="2421"/>
  <c r="HV84" i="2421"/>
  <c r="HV80" i="2421"/>
  <c r="HV76" i="2421"/>
  <c r="HV72" i="2421"/>
  <c r="HV68" i="2421"/>
  <c r="HV64" i="2421"/>
  <c r="HV60" i="2421"/>
  <c r="HV56" i="2421"/>
  <c r="HV52" i="2421"/>
  <c r="HU49" i="2421"/>
  <c r="HV45" i="2421"/>
  <c r="HU38" i="2421"/>
  <c r="HV34" i="2421"/>
  <c r="HV31" i="2421"/>
  <c r="HV25" i="2421"/>
  <c r="HV20" i="2421"/>
  <c r="HV111" i="2421"/>
  <c r="HV107" i="2421"/>
  <c r="HV103" i="2421"/>
  <c r="HV99" i="2421"/>
  <c r="HV95" i="2421"/>
  <c r="HV91" i="2421"/>
  <c r="HV87" i="2421"/>
  <c r="HU84" i="2421"/>
  <c r="HU80" i="2421"/>
  <c r="HU76" i="2421"/>
  <c r="HU72" i="2421"/>
  <c r="HU68" i="2421"/>
  <c r="HU64" i="2421"/>
  <c r="HU60" i="2421"/>
  <c r="HU56" i="2421"/>
  <c r="HU52" i="2421"/>
  <c r="HV48" i="2421"/>
  <c r="HU45" i="2421"/>
  <c r="HV41" i="2421"/>
  <c r="HU34" i="2421"/>
  <c r="HU31" i="2421"/>
  <c r="HV28" i="2421"/>
  <c r="HU25" i="2421"/>
  <c r="HV22" i="2421"/>
  <c r="HU20" i="2421"/>
  <c r="HU95" i="2421"/>
  <c r="HV63" i="2421"/>
  <c r="HU91" i="2421"/>
  <c r="HV59" i="2421"/>
  <c r="HU87" i="2421"/>
  <c r="HV55" i="2421"/>
  <c r="HU28" i="2421"/>
  <c r="HV83" i="2421"/>
  <c r="HV51" i="2421"/>
  <c r="HU111" i="2421"/>
  <c r="HV79" i="2421"/>
  <c r="HU48" i="2421"/>
  <c r="HU22" i="2421"/>
  <c r="HU107" i="2421"/>
  <c r="HV75" i="2421"/>
  <c r="HV44" i="2421"/>
  <c r="HU103" i="2421"/>
  <c r="HV71" i="2421"/>
  <c r="HU41" i="2421"/>
  <c r="HU99" i="2421"/>
  <c r="HV67" i="2421"/>
  <c r="HV37"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P19" i="2421"/>
  <c r="CQ90" i="2421"/>
  <c r="CQ66" i="2421"/>
  <c r="CQ42" i="2421"/>
  <c r="CQ23" i="2421"/>
  <c r="CP113" i="2421"/>
  <c r="CP109" i="2421"/>
  <c r="CP105" i="2421"/>
  <c r="CP101" i="2421"/>
  <c r="CP97" i="2421"/>
  <c r="CP93" i="2421"/>
  <c r="CP89" i="2421"/>
  <c r="CP85" i="2421"/>
  <c r="CP81" i="2421"/>
  <c r="CP77" i="2421"/>
  <c r="CP73" i="2421"/>
  <c r="CP69" i="2421"/>
  <c r="CP65" i="2421"/>
  <c r="CP61" i="2421"/>
  <c r="CP57" i="2421"/>
  <c r="CP53" i="2421"/>
  <c r="CP49" i="2421"/>
  <c r="CP45" i="2421"/>
  <c r="CP41" i="2421"/>
  <c r="CP37" i="2421"/>
  <c r="CP33" i="2421"/>
  <c r="CP29" i="2421"/>
  <c r="CP25" i="2421"/>
  <c r="CQ102" i="2421"/>
  <c r="CQ86" i="2421"/>
  <c r="CQ70" i="2421"/>
  <c r="CQ54" i="2421"/>
  <c r="CQ34"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Q106" i="2421"/>
  <c r="CQ82" i="2421"/>
  <c r="CQ58" i="2421"/>
  <c r="CQ38" i="2421"/>
  <c r="CQ21" i="2421"/>
  <c r="CP112" i="2421"/>
  <c r="CP108" i="2421"/>
  <c r="CP104" i="2421"/>
  <c r="CP100" i="2421"/>
  <c r="CP96" i="2421"/>
  <c r="CP92" i="2421"/>
  <c r="CP88" i="2421"/>
  <c r="CP84" i="2421"/>
  <c r="CP80" i="2421"/>
  <c r="CP76" i="2421"/>
  <c r="CP72" i="2421"/>
  <c r="CP68" i="2421"/>
  <c r="CP64" i="2421"/>
  <c r="CP60" i="2421"/>
  <c r="CP56" i="2421"/>
  <c r="CP52" i="2421"/>
  <c r="CP48" i="2421"/>
  <c r="CP44" i="2421"/>
  <c r="CP40" i="2421"/>
  <c r="CP36" i="2421"/>
  <c r="CP32" i="2421"/>
  <c r="CP28" i="2421"/>
  <c r="CP22" i="2421"/>
  <c r="CQ20" i="2421"/>
  <c r="CP27" i="2421"/>
  <c r="CQ94" i="2421"/>
  <c r="CQ74" i="2421"/>
  <c r="CQ50" i="2421"/>
  <c r="CQ26"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31" i="2421"/>
  <c r="CQ27" i="2421"/>
  <c r="CP20" i="2421"/>
  <c r="CP31" i="2421"/>
  <c r="CH11" i="2421"/>
  <c r="CQ110" i="2421"/>
  <c r="CQ98" i="2421"/>
  <c r="CQ78" i="2421"/>
  <c r="CQ62" i="2421"/>
  <c r="CQ46" i="2421"/>
  <c r="CQ30" i="2421"/>
  <c r="CP111" i="2421"/>
  <c r="CP107" i="2421"/>
  <c r="CP103" i="2421"/>
  <c r="CP99" i="2421"/>
  <c r="CP95" i="2421"/>
  <c r="CP91" i="2421"/>
  <c r="CP87" i="2421"/>
  <c r="CP83" i="2421"/>
  <c r="CP79" i="2421"/>
  <c r="CP75" i="2421"/>
  <c r="CP71" i="2421"/>
  <c r="CP67" i="2421"/>
  <c r="CP63" i="2421"/>
  <c r="CP59" i="2421"/>
  <c r="CP55" i="2421"/>
  <c r="CP51" i="2421"/>
  <c r="CP47" i="2421"/>
  <c r="CP43" i="2421"/>
  <c r="CP39" i="2421"/>
  <c r="CP35" i="2421"/>
  <c r="CP82" i="2421"/>
  <c r="CP50" i="2421"/>
  <c r="CP21" i="2421"/>
  <c r="CP86" i="2421"/>
  <c r="CP110" i="2421"/>
  <c r="CP78" i="2421"/>
  <c r="CP46" i="2421"/>
  <c r="CP38" i="2421"/>
  <c r="CP106" i="2421"/>
  <c r="CP74" i="2421"/>
  <c r="CP42" i="2421"/>
  <c r="CQ19" i="2421"/>
  <c r="CP102" i="2421"/>
  <c r="CP70" i="2421"/>
  <c r="CP98" i="2421"/>
  <c r="CP66" i="2421"/>
  <c r="CP34" i="2421"/>
  <c r="CP54" i="2421"/>
  <c r="CP94" i="2421"/>
  <c r="CP62" i="2421"/>
  <c r="CP30" i="2421"/>
  <c r="CP90" i="2421"/>
  <c r="CP23" i="2421"/>
  <c r="CP58" i="2421"/>
  <c r="CP26" i="2421"/>
  <c r="AX19" i="2421"/>
  <c r="AX20" i="2421"/>
  <c r="AX21" i="2421"/>
  <c r="AX22" i="2421"/>
  <c r="AX23" i="2421"/>
  <c r="AX25" i="2421"/>
  <c r="AX26" i="2421"/>
  <c r="AX27" i="2421"/>
  <c r="AX28" i="2421"/>
  <c r="AX29" i="2421"/>
  <c r="AX30" i="2421"/>
  <c r="AX31" i="2421"/>
  <c r="AX32" i="2421"/>
  <c r="AX33" i="2421"/>
  <c r="AX34" i="2421"/>
  <c r="AX35" i="2421"/>
  <c r="AX36" i="2421"/>
  <c r="AX37" i="2421"/>
  <c r="AX38" i="2421"/>
  <c r="AX39" i="2421"/>
  <c r="AX40" i="2421"/>
  <c r="AX41" i="2421"/>
  <c r="AX42" i="2421"/>
  <c r="AX43" i="2421"/>
  <c r="AX44" i="2421"/>
  <c r="AX45" i="2421"/>
  <c r="AX46" i="2421"/>
  <c r="AX47" i="2421"/>
  <c r="AX48" i="2421"/>
  <c r="AX49" i="2421"/>
  <c r="AX50" i="2421"/>
  <c r="AX51" i="2421"/>
  <c r="AX52" i="2421"/>
  <c r="AX53" i="2421"/>
  <c r="AX54" i="2421"/>
  <c r="AX55" i="2421"/>
  <c r="AX56" i="2421"/>
  <c r="AX57" i="2421"/>
  <c r="AX58" i="2421"/>
  <c r="AX59" i="2421"/>
  <c r="AX60" i="2421"/>
  <c r="AX61" i="2421"/>
  <c r="AX62" i="2421"/>
  <c r="AX63" i="2421"/>
  <c r="AX64" i="2421"/>
  <c r="AX65" i="2421"/>
  <c r="AX66" i="2421"/>
  <c r="AX67" i="2421"/>
  <c r="AX68" i="2421"/>
  <c r="AX69" i="2421"/>
  <c r="AX70" i="2421"/>
  <c r="AX71" i="2421"/>
  <c r="AX72" i="2421"/>
  <c r="AX73" i="2421"/>
  <c r="AX74" i="2421"/>
  <c r="AX75" i="2421"/>
  <c r="AX76" i="2421"/>
  <c r="AX77" i="2421"/>
  <c r="AX78" i="2421"/>
  <c r="AX79" i="2421"/>
  <c r="AX80" i="2421"/>
  <c r="AX81" i="2421"/>
  <c r="AX82" i="2421"/>
  <c r="AX83" i="2421"/>
  <c r="AX84" i="2421"/>
  <c r="AX85" i="2421"/>
  <c r="AX86" i="2421"/>
  <c r="AX87" i="2421"/>
  <c r="AX88" i="2421"/>
  <c r="AX89" i="2421"/>
  <c r="AX90" i="2421"/>
  <c r="AX91" i="2421"/>
  <c r="AX92" i="2421"/>
  <c r="AX93" i="2421"/>
  <c r="AX94" i="2421"/>
  <c r="AX95" i="2421"/>
  <c r="AX96" i="2421"/>
  <c r="AX97" i="2421"/>
  <c r="AX98" i="2421"/>
  <c r="AX99" i="2421"/>
  <c r="AX100" i="2421"/>
  <c r="AX101" i="2421"/>
  <c r="AX102" i="2421"/>
  <c r="AX103" i="2421"/>
  <c r="AX104" i="2421"/>
  <c r="AX105" i="2421"/>
  <c r="AX106" i="2421"/>
  <c r="AX107" i="2421"/>
  <c r="AX108" i="2421"/>
  <c r="AX109" i="2421"/>
  <c r="AX110" i="2421"/>
  <c r="AX111" i="2421"/>
  <c r="AX112" i="2421"/>
  <c r="AX113" i="2421"/>
  <c r="MN122" i="2421"/>
  <c r="LY118" i="2421"/>
  <c r="LZ118" i="2421" s="1"/>
  <c r="LY120" i="2421"/>
  <c r="LZ120" i="2421" s="1"/>
  <c r="LY117" i="2421"/>
  <c r="LZ117" i="2421" s="1"/>
  <c r="LJ124" i="2421"/>
  <c r="LK124" i="2421" s="1"/>
  <c r="PK115" i="2421"/>
  <c r="OG122" i="2421"/>
  <c r="NR118" i="2421"/>
  <c r="NS118" i="2421" s="1"/>
  <c r="NR117" i="2421"/>
  <c r="NS117" i="2421" s="1"/>
  <c r="NR120" i="2421"/>
  <c r="NS120" i="2421" s="1"/>
  <c r="PK119" i="2421"/>
  <c r="PL119" i="2421" s="1"/>
  <c r="PK125" i="2421"/>
  <c r="PL125" i="2421" s="1"/>
  <c r="QO115" i="2421"/>
  <c r="PZ122" i="2421"/>
  <c r="RD124" i="2421"/>
  <c r="RE124" i="2421" s="1"/>
  <c r="QO125" i="2421"/>
  <c r="QP125" i="2421" s="1"/>
  <c r="QO119" i="2421"/>
  <c r="QP119" i="2421" s="1"/>
  <c r="JQ115" i="2421"/>
  <c r="HI115" i="2421"/>
  <c r="FA115" i="2421"/>
  <c r="CD115" i="2421"/>
  <c r="JB122" i="2421"/>
  <c r="GT122" i="2421"/>
  <c r="DW122" i="2421"/>
  <c r="KU117" i="2421"/>
  <c r="KV117" i="2421" s="1"/>
  <c r="KU120" i="2421"/>
  <c r="KV120" i="2421" s="1"/>
  <c r="KU118" i="2421"/>
  <c r="KV118" i="2421" s="1"/>
  <c r="IM117" i="2421"/>
  <c r="IN117" i="2421" s="1"/>
  <c r="IM120" i="2421"/>
  <c r="IN120" i="2421" s="1"/>
  <c r="IM118" i="2421"/>
  <c r="IN118" i="2421" s="1"/>
  <c r="GE118" i="2421"/>
  <c r="GF118" i="2421" s="1"/>
  <c r="GE120" i="2421"/>
  <c r="GF120" i="2421" s="1"/>
  <c r="GE117" i="2421"/>
  <c r="GF117" i="2421" s="1"/>
  <c r="DH120" i="2421"/>
  <c r="DI120" i="2421" s="1"/>
  <c r="DH118" i="2421"/>
  <c r="DI118" i="2421" s="1"/>
  <c r="DH117" i="2421"/>
  <c r="DI117" i="2421" s="1"/>
  <c r="KF124" i="2421"/>
  <c r="KG124" i="2421" s="1"/>
  <c r="HX124" i="2421"/>
  <c r="HY124" i="2421" s="1"/>
  <c r="FP124" i="2421"/>
  <c r="FQ124" i="2421" s="1"/>
  <c r="CS124" i="2421"/>
  <c r="CT124" i="2421" s="1"/>
  <c r="JQ125" i="2421"/>
  <c r="JR125" i="2421" s="1"/>
  <c r="JQ119" i="2421"/>
  <c r="JR119" i="2421" s="1"/>
  <c r="HI125" i="2421"/>
  <c r="HJ125" i="2421" s="1"/>
  <c r="HI119" i="2421"/>
  <c r="HJ119" i="2421" s="1"/>
  <c r="FA119" i="2421"/>
  <c r="FB119" i="2421" s="1"/>
  <c r="FA125" i="2421"/>
  <c r="CD125" i="2421"/>
  <c r="CE125" i="2421" s="1"/>
  <c r="CD119" i="2421"/>
  <c r="CE119" i="2421" s="1"/>
  <c r="MN115" i="2421"/>
  <c r="LY122" i="2421"/>
  <c r="LJ118" i="2421"/>
  <c r="LK118" i="2421" s="1"/>
  <c r="LJ117" i="2421"/>
  <c r="LK117" i="2421" s="1"/>
  <c r="LJ120" i="2421"/>
  <c r="LK120" i="2421" s="1"/>
  <c r="MN125" i="2421"/>
  <c r="MN119" i="2421"/>
  <c r="MO119" i="2421" s="1"/>
  <c r="OG115" i="2421"/>
  <c r="NR122" i="2421"/>
  <c r="PK124" i="2421"/>
  <c r="PL124" i="2421" s="1"/>
  <c r="OG125" i="2421"/>
  <c r="OH125" i="2421" s="1"/>
  <c r="OG119" i="2421"/>
  <c r="OH119" i="2421" s="1"/>
  <c r="PZ115" i="2421"/>
  <c r="RD120" i="2421"/>
  <c r="RE120" i="2421" s="1"/>
  <c r="RD118" i="2421"/>
  <c r="RE118" i="2421" s="1"/>
  <c r="RD117" i="2421"/>
  <c r="RE117" i="2421" s="1"/>
  <c r="QO124" i="2421"/>
  <c r="QP124" i="2421" s="1"/>
  <c r="PZ119" i="2421"/>
  <c r="QA119" i="2421" s="1"/>
  <c r="PZ125" i="2421"/>
  <c r="QA125" i="2421" s="1"/>
  <c r="JB115" i="2421"/>
  <c r="GT115" i="2421"/>
  <c r="DW115" i="2421"/>
  <c r="KU122" i="2421"/>
  <c r="IM122" i="2421"/>
  <c r="GE122" i="2421"/>
  <c r="DH122" i="2421"/>
  <c r="KF120" i="2421"/>
  <c r="KG120" i="2421" s="1"/>
  <c r="KF118" i="2421"/>
  <c r="KG118" i="2421" s="1"/>
  <c r="KF117" i="2421"/>
  <c r="KG117" i="2421" s="1"/>
  <c r="HX117" i="2421"/>
  <c r="HY117" i="2421" s="1"/>
  <c r="HX120" i="2421"/>
  <c r="HY120" i="2421" s="1"/>
  <c r="HX118" i="2421"/>
  <c r="HY118" i="2421" s="1"/>
  <c r="FP118" i="2421"/>
  <c r="FQ118" i="2421" s="1"/>
  <c r="FP120" i="2421"/>
  <c r="FQ120" i="2421" s="1"/>
  <c r="FP117" i="2421"/>
  <c r="FQ117" i="2421" s="1"/>
  <c r="CS120" i="2421"/>
  <c r="CT120" i="2421" s="1"/>
  <c r="CS118" i="2421"/>
  <c r="CT118" i="2421" s="1"/>
  <c r="CS117" i="2421"/>
  <c r="JQ124" i="2421"/>
  <c r="HI124" i="2421"/>
  <c r="HJ124" i="2421" s="1"/>
  <c r="FA124" i="2421"/>
  <c r="FB124" i="2421" s="1"/>
  <c r="CD124" i="2421"/>
  <c r="CE124" i="2421" s="1"/>
  <c r="JB119" i="2421"/>
  <c r="JC119" i="2421" s="1"/>
  <c r="JB125" i="2421"/>
  <c r="GT125" i="2421"/>
  <c r="GU125" i="2421" s="1"/>
  <c r="GT119" i="2421"/>
  <c r="GU119" i="2421" s="1"/>
  <c r="DW125" i="2421"/>
  <c r="DX125" i="2421" s="1"/>
  <c r="DW119" i="2421"/>
  <c r="DX119" i="2421" s="1"/>
  <c r="LY115" i="2421"/>
  <c r="LJ122" i="2421"/>
  <c r="MN124" i="2421"/>
  <c r="MO124" i="2421" s="1"/>
  <c r="LY125" i="2421"/>
  <c r="LZ125" i="2421" s="1"/>
  <c r="LY119" i="2421"/>
  <c r="LZ119" i="2421" s="1"/>
  <c r="NR115" i="2421"/>
  <c r="PK117" i="2421"/>
  <c r="PL117" i="2421" s="1"/>
  <c r="PK120" i="2421"/>
  <c r="PL120" i="2421" s="1"/>
  <c r="PK118" i="2421"/>
  <c r="PL118" i="2421" s="1"/>
  <c r="OG124" i="2421"/>
  <c r="OH124" i="2421" s="1"/>
  <c r="NR125" i="2421"/>
  <c r="NS125" i="2421" s="1"/>
  <c r="NR119" i="2421"/>
  <c r="NS119" i="2421" s="1"/>
  <c r="RD122" i="2421"/>
  <c r="QO118" i="2421"/>
  <c r="QP118" i="2421" s="1"/>
  <c r="QO120" i="2421"/>
  <c r="QP120" i="2421" s="1"/>
  <c r="QO117" i="2421"/>
  <c r="QP117" i="2421" s="1"/>
  <c r="PZ124" i="2421"/>
  <c r="QA124" i="2421" s="1"/>
  <c r="KU115" i="2421"/>
  <c r="IM115" i="2421"/>
  <c r="GE115" i="2421"/>
  <c r="DH115" i="2421"/>
  <c r="KF122" i="2421"/>
  <c r="HX122" i="2421"/>
  <c r="FP122" i="2421"/>
  <c r="CS122" i="2421"/>
  <c r="JQ118" i="2421"/>
  <c r="JR118" i="2421" s="1"/>
  <c r="JQ117" i="2421"/>
  <c r="JR117" i="2421" s="1"/>
  <c r="JQ120" i="2421"/>
  <c r="JR120" i="2421" s="1"/>
  <c r="HI117" i="2421"/>
  <c r="HJ117" i="2421" s="1"/>
  <c r="HI120" i="2421"/>
  <c r="HJ120" i="2421" s="1"/>
  <c r="HI118" i="2421"/>
  <c r="HJ118" i="2421" s="1"/>
  <c r="FA118" i="2421"/>
  <c r="FB118" i="2421" s="1"/>
  <c r="FA117" i="2421"/>
  <c r="FB117" i="2421" s="1"/>
  <c r="FA120" i="2421"/>
  <c r="FB120" i="2421" s="1"/>
  <c r="CD118" i="2421"/>
  <c r="CE118" i="2421" s="1"/>
  <c r="CD117" i="2421"/>
  <c r="CE117" i="2421" s="1"/>
  <c r="CD120" i="2421"/>
  <c r="CE120" i="2421" s="1"/>
  <c r="JB124" i="2421"/>
  <c r="JC124" i="2421" s="1"/>
  <c r="GT124" i="2421"/>
  <c r="GU124" i="2421" s="1"/>
  <c r="DW124" i="2421"/>
  <c r="DX124" i="2421" s="1"/>
  <c r="KU119" i="2421"/>
  <c r="KV119" i="2421" s="1"/>
  <c r="KU125" i="2421"/>
  <c r="KV125" i="2421" s="1"/>
  <c r="IM125" i="2421"/>
  <c r="IN125" i="2421" s="1"/>
  <c r="IM119" i="2421"/>
  <c r="IN119" i="2421" s="1"/>
  <c r="GE125" i="2421"/>
  <c r="GF125" i="2421" s="1"/>
  <c r="GE119" i="2421"/>
  <c r="GF119" i="2421" s="1"/>
  <c r="DH125" i="2421"/>
  <c r="DI125" i="2421" s="1"/>
  <c r="DH119" i="2421"/>
  <c r="DI119" i="2421" s="1"/>
  <c r="LJ115" i="2421"/>
  <c r="MN120" i="2421"/>
  <c r="MO120" i="2421" s="1"/>
  <c r="MN118" i="2421"/>
  <c r="MO118" i="2421" s="1"/>
  <c r="MN117" i="2421"/>
  <c r="MO117" i="2421" s="1"/>
  <c r="LY124" i="2421"/>
  <c r="LZ124" i="2421" s="1"/>
  <c r="LJ119" i="2421"/>
  <c r="LK119" i="2421" s="1"/>
  <c r="LJ125" i="2421"/>
  <c r="LK125" i="2421" s="1"/>
  <c r="PK122" i="2421"/>
  <c r="PK123" i="2421" s="1"/>
  <c r="PL123" i="2421" s="1"/>
  <c r="OG118" i="2421"/>
  <c r="OH118" i="2421" s="1"/>
  <c r="OG117" i="2421"/>
  <c r="OH117" i="2421" s="1"/>
  <c r="OG120" i="2421"/>
  <c r="OH120" i="2421" s="1"/>
  <c r="NR124" i="2421"/>
  <c r="NS124" i="2421" s="1"/>
  <c r="RD115" i="2421"/>
  <c r="QO122" i="2421"/>
  <c r="PZ118" i="2421"/>
  <c r="QA118" i="2421" s="1"/>
  <c r="PZ117" i="2421"/>
  <c r="QA117" i="2421" s="1"/>
  <c r="PZ120" i="2421"/>
  <c r="QA120" i="2421" s="1"/>
  <c r="RD125" i="2421"/>
  <c r="RE125" i="2421" s="1"/>
  <c r="RD119" i="2421"/>
  <c r="RE119" i="2421" s="1"/>
  <c r="KF115" i="2421"/>
  <c r="HX115" i="2421"/>
  <c r="FP115" i="2421"/>
  <c r="CS115" i="2421"/>
  <c r="JQ122" i="2421"/>
  <c r="JQ123" i="2421" s="1"/>
  <c r="JR123" i="2421" s="1"/>
  <c r="HI122" i="2421"/>
  <c r="HI123" i="2421" s="1"/>
  <c r="HJ123" i="2421" s="1"/>
  <c r="FA122" i="2421"/>
  <c r="FA123" i="2421" s="1"/>
  <c r="FB123" i="2421" s="1"/>
  <c r="CD122" i="2421"/>
  <c r="JB118" i="2421"/>
  <c r="JC118" i="2421" s="1"/>
  <c r="JB117" i="2421"/>
  <c r="JC117" i="2421" s="1"/>
  <c r="JB120" i="2421"/>
  <c r="JC120" i="2421" s="1"/>
  <c r="GT120" i="2421"/>
  <c r="GU120" i="2421" s="1"/>
  <c r="GT117" i="2421"/>
  <c r="GU117" i="2421" s="1"/>
  <c r="GT118" i="2421"/>
  <c r="GU118" i="2421" s="1"/>
  <c r="DW117" i="2421"/>
  <c r="DX117" i="2421" s="1"/>
  <c r="DW120" i="2421"/>
  <c r="DX120" i="2421" s="1"/>
  <c r="DW118" i="2421"/>
  <c r="DX118" i="2421" s="1"/>
  <c r="KU124" i="2421"/>
  <c r="KV124" i="2421" s="1"/>
  <c r="IM124" i="2421"/>
  <c r="IN124" i="2421" s="1"/>
  <c r="GE124" i="2421"/>
  <c r="GF124" i="2421" s="1"/>
  <c r="DH124" i="2421"/>
  <c r="DI124" i="2421" s="1"/>
  <c r="KF125" i="2421"/>
  <c r="KG125" i="2421" s="1"/>
  <c r="KF119" i="2421"/>
  <c r="KG119" i="2421" s="1"/>
  <c r="HX125" i="2421"/>
  <c r="HY125" i="2421" s="1"/>
  <c r="HX119" i="2421"/>
  <c r="HY119" i="2421" s="1"/>
  <c r="FP125" i="2421"/>
  <c r="FQ125" i="2421" s="1"/>
  <c r="FP119" i="2421"/>
  <c r="FQ119" i="2421" s="1"/>
  <c r="CS125" i="2421"/>
  <c r="CT125" i="2421" s="1"/>
  <c r="CS119" i="2421"/>
  <c r="CT119" i="2421" s="1"/>
  <c r="V121" i="2422"/>
  <c r="MO125" i="2421"/>
  <c r="JW122" i="2422"/>
  <c r="CQ3" i="2383" s="1"/>
  <c r="FB125" i="2421"/>
  <c r="JR124" i="2421"/>
  <c r="JC125" i="2421"/>
  <c r="AE121" i="2422"/>
  <c r="K2" i="2383" s="1"/>
  <c r="AT28" i="2383"/>
  <c r="AN28" i="2383"/>
  <c r="V18" i="2383"/>
  <c r="P18" i="2383"/>
  <c r="P109" i="2383"/>
  <c r="CS110" i="2383"/>
  <c r="AP15" i="2383"/>
  <c r="AQ15" i="2383" s="1"/>
  <c r="CP12" i="2383"/>
  <c r="BK12" i="2383"/>
  <c r="BL12" i="2383" s="1"/>
  <c r="CG12" i="2383"/>
  <c r="CD12" i="2383"/>
  <c r="AJ12" i="2383"/>
  <c r="AK12" i="2383" s="1"/>
  <c r="CA12" i="2383"/>
  <c r="CS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BU13" i="2420" l="1"/>
  <c r="H19" i="2406"/>
  <c r="QJ36" i="2421"/>
  <c r="QJ87" i="2421"/>
  <c r="QJ38" i="2421"/>
  <c r="QJ111" i="2421"/>
  <c r="QJ73" i="2421"/>
  <c r="QJ26" i="2421"/>
  <c r="QJ71" i="2421"/>
  <c r="QJ23" i="2421"/>
  <c r="QJ108" i="2421"/>
  <c r="QJ41" i="2421"/>
  <c r="QJ62" i="2421"/>
  <c r="QJ43" i="2421"/>
  <c r="BV29" i="2420"/>
  <c r="L34" i="2406" s="1"/>
  <c r="K34" i="2406"/>
  <c r="QO123" i="2421"/>
  <c r="QP123" i="2421" s="1"/>
  <c r="CD123" i="2421"/>
  <c r="CE123" i="2421" s="1"/>
  <c r="BU10" i="2420"/>
  <c r="BV10" i="2420" s="1"/>
  <c r="BU11" i="2420"/>
  <c r="BV11" i="2420" s="1"/>
  <c r="H22" i="2406"/>
  <c r="BU12" i="2420"/>
  <c r="BV12" i="2420" s="1"/>
  <c r="BU24" i="2420"/>
  <c r="K29" i="2406" s="1"/>
  <c r="BV13" i="2420"/>
  <c r="K18" i="2406"/>
  <c r="K17" i="2406"/>
  <c r="BV19" i="2420"/>
  <c r="K24" i="2406"/>
  <c r="BV20" i="2420"/>
  <c r="K25" i="2406"/>
  <c r="BV23" i="2420"/>
  <c r="K28" i="2406"/>
  <c r="BV16" i="2420"/>
  <c r="K21" i="2406"/>
  <c r="BV26" i="2420"/>
  <c r="K31" i="2406"/>
  <c r="BV14" i="2420"/>
  <c r="K19" i="2406"/>
  <c r="BV18" i="2420"/>
  <c r="K23" i="2406"/>
  <c r="K16" i="2406"/>
  <c r="K15" i="2406"/>
  <c r="BV17" i="2420"/>
  <c r="K22" i="2406"/>
  <c r="BV22" i="2420"/>
  <c r="K27" i="2406"/>
  <c r="BV25" i="2420"/>
  <c r="K30" i="2406"/>
  <c r="BV21" i="2420"/>
  <c r="K26" i="2406"/>
  <c r="QJ107" i="2421"/>
  <c r="QJ66" i="2421"/>
  <c r="QJ53" i="2421"/>
  <c r="QJ37" i="2421"/>
  <c r="QJ77" i="2421"/>
  <c r="QJ92" i="2421"/>
  <c r="QJ101" i="2421"/>
  <c r="QJ85" i="2421"/>
  <c r="QJ93" i="2421"/>
  <c r="QJ40" i="2421"/>
  <c r="QJ106" i="2421"/>
  <c r="QJ44" i="2421"/>
  <c r="KQ107" i="2421"/>
  <c r="QZ100" i="2421"/>
  <c r="QZ30" i="2421"/>
  <c r="QZ55" i="2421"/>
  <c r="QZ74" i="2421"/>
  <c r="QZ49" i="2421"/>
  <c r="QZ27" i="2421"/>
  <c r="QZ77" i="2421"/>
  <c r="QZ57" i="2421"/>
  <c r="QZ104" i="2421"/>
  <c r="QZ91" i="2421"/>
  <c r="QZ51" i="2421"/>
  <c r="QZ41" i="2421"/>
  <c r="QZ82" i="2421"/>
  <c r="QZ85" i="2421"/>
  <c r="QZ40" i="2421"/>
  <c r="QZ109" i="2421"/>
  <c r="QZ46" i="2421"/>
  <c r="QZ58" i="2421"/>
  <c r="QZ75" i="2421"/>
  <c r="QZ44" i="2421"/>
  <c r="QZ113" i="2421"/>
  <c r="QZ28" i="2421"/>
  <c r="QZ19" i="2421"/>
  <c r="QZ31" i="2421"/>
  <c r="QZ42" i="2421"/>
  <c r="QZ66" i="2421"/>
  <c r="QZ45" i="2421"/>
  <c r="QZ64" i="2421"/>
  <c r="QZ29" i="2421"/>
  <c r="QZ83" i="2421"/>
  <c r="QZ76" i="2421"/>
  <c r="QZ103" i="2421"/>
  <c r="KP49" i="2421"/>
  <c r="KP35" i="2421"/>
  <c r="KP74" i="2421"/>
  <c r="KP29" i="2421"/>
  <c r="KP113" i="2421"/>
  <c r="KP61" i="2421"/>
  <c r="KP80" i="2421"/>
  <c r="KP27" i="2421"/>
  <c r="QZ87" i="2421"/>
  <c r="QZ71" i="2421"/>
  <c r="QZ101" i="2421"/>
  <c r="QZ70" i="2421"/>
  <c r="QZ63" i="2421"/>
  <c r="QZ65" i="2421"/>
  <c r="QZ39" i="2421"/>
  <c r="QZ52" i="2421"/>
  <c r="QZ72" i="2421"/>
  <c r="QZ53" i="2421"/>
  <c r="QZ106" i="2421"/>
  <c r="QZ62" i="2421"/>
  <c r="QZ112" i="2421"/>
  <c r="QZ105" i="2421"/>
  <c r="QZ108" i="2421"/>
  <c r="QZ68" i="2421"/>
  <c r="QZ89" i="2421"/>
  <c r="QZ81" i="2421"/>
  <c r="QZ96" i="2421"/>
  <c r="QZ43" i="2421"/>
  <c r="QZ26" i="2421"/>
  <c r="QZ88" i="2421"/>
  <c r="QZ78" i="2421"/>
  <c r="QZ97" i="2421"/>
  <c r="KP24" i="2421"/>
  <c r="KP68" i="2421"/>
  <c r="KP83" i="2421"/>
  <c r="KP56" i="2421"/>
  <c r="KP45" i="2421"/>
  <c r="KP19" i="2421"/>
  <c r="KP71" i="2421"/>
  <c r="KP43" i="2421"/>
  <c r="KP39" i="2421"/>
  <c r="QZ94" i="2421"/>
  <c r="QZ69" i="2421"/>
  <c r="QZ111" i="2421"/>
  <c r="QZ48" i="2421"/>
  <c r="QZ38" i="2421"/>
  <c r="QZ67" i="2421"/>
  <c r="QZ36" i="2421"/>
  <c r="QZ79" i="2421"/>
  <c r="QZ60" i="2421"/>
  <c r="KP22" i="2421"/>
  <c r="KP33" i="2421"/>
  <c r="KP54" i="2421"/>
  <c r="KP48" i="2421"/>
  <c r="KP82" i="2421"/>
  <c r="KP96" i="2421"/>
  <c r="KP84" i="2421"/>
  <c r="KP104" i="2421"/>
  <c r="KP46" i="2421"/>
  <c r="IH113" i="2421"/>
  <c r="DS58" i="2421"/>
  <c r="DS37" i="2421"/>
  <c r="DS83" i="2421"/>
  <c r="DS74" i="2421"/>
  <c r="DS60" i="2421"/>
  <c r="DD26" i="2421"/>
  <c r="IH100" i="2421"/>
  <c r="DS55" i="2421"/>
  <c r="DS97" i="2421"/>
  <c r="DS102" i="2421"/>
  <c r="DS72" i="2421"/>
  <c r="DS48" i="2421"/>
  <c r="DS29" i="2421"/>
  <c r="IH22" i="2421"/>
  <c r="IH50" i="2421"/>
  <c r="DS79" i="2421"/>
  <c r="DS61" i="2421"/>
  <c r="DS64" i="2421"/>
  <c r="DS105" i="2421"/>
  <c r="DS103" i="2421"/>
  <c r="IH92" i="2421"/>
  <c r="IH87" i="2421"/>
  <c r="DS85" i="2421"/>
  <c r="DS108" i="2421"/>
  <c r="DS26" i="2421"/>
  <c r="DS95" i="2421"/>
  <c r="DS113" i="2421"/>
  <c r="DS86" i="2421"/>
  <c r="QY86" i="2421"/>
  <c r="EH76" i="2421"/>
  <c r="QY35" i="2421"/>
  <c r="DC26" i="2421"/>
  <c r="FZ95" i="2421"/>
  <c r="DD65" i="2421"/>
  <c r="DC75" i="2421"/>
  <c r="QY43" i="2421"/>
  <c r="QY87" i="2421"/>
  <c r="IH59" i="2421"/>
  <c r="IH93" i="2421"/>
  <c r="IH107" i="2421"/>
  <c r="IH79" i="2421"/>
  <c r="IH82" i="2421"/>
  <c r="IH71" i="2421"/>
  <c r="EH51" i="2421"/>
  <c r="QY57" i="2421"/>
  <c r="IH47" i="2421"/>
  <c r="IH66" i="2421"/>
  <c r="IH108" i="2421"/>
  <c r="IH80" i="2421"/>
  <c r="IH68" i="2421"/>
  <c r="IH112" i="2421"/>
  <c r="FZ113" i="2421"/>
  <c r="QY93" i="2421"/>
  <c r="IH53" i="2421"/>
  <c r="IH60" i="2421"/>
  <c r="IH111" i="2421"/>
  <c r="IH37" i="2421"/>
  <c r="IH97" i="2421"/>
  <c r="IH67" i="2421"/>
  <c r="OB88" i="2421"/>
  <c r="JL53" i="2421"/>
  <c r="FZ98" i="2421"/>
  <c r="KQ76" i="2421"/>
  <c r="QJ109" i="2421"/>
  <c r="QJ35" i="2421"/>
  <c r="QJ63" i="2421"/>
  <c r="QJ96" i="2421"/>
  <c r="QJ69" i="2421"/>
  <c r="QJ55" i="2421"/>
  <c r="QJ102" i="2421"/>
  <c r="QJ59" i="2421"/>
  <c r="QJ56" i="2421"/>
  <c r="QJ58" i="2421"/>
  <c r="QJ104" i="2421"/>
  <c r="QJ27" i="2421"/>
  <c r="QJ103" i="2421"/>
  <c r="QJ86" i="2421"/>
  <c r="QJ72" i="2421"/>
  <c r="QJ34" i="2421"/>
  <c r="QJ49" i="2421"/>
  <c r="QJ83" i="2421"/>
  <c r="QJ76" i="2421"/>
  <c r="QJ32" i="2421"/>
  <c r="QJ70" i="2421"/>
  <c r="QJ50" i="2421"/>
  <c r="QJ28" i="2421"/>
  <c r="QJ22" i="2421"/>
  <c r="QJ95" i="2421"/>
  <c r="QJ113" i="2421"/>
  <c r="QJ54" i="2421"/>
  <c r="QJ81" i="2421"/>
  <c r="QJ110" i="2421"/>
  <c r="QJ79" i="2421"/>
  <c r="QJ90" i="2421"/>
  <c r="QJ89" i="2421"/>
  <c r="QJ46" i="2421"/>
  <c r="QJ78" i="2421"/>
  <c r="QJ60" i="2421"/>
  <c r="QJ51" i="2421"/>
  <c r="QJ99" i="2421"/>
  <c r="QJ91" i="2421"/>
  <c r="QJ88" i="2421"/>
  <c r="QJ100" i="2421"/>
  <c r="QJ84" i="2421"/>
  <c r="QJ24" i="2421"/>
  <c r="QJ68" i="2421"/>
  <c r="QJ65" i="2421"/>
  <c r="QJ39" i="2421"/>
  <c r="QJ48" i="2421"/>
  <c r="QJ33" i="2421"/>
  <c r="QJ21" i="2421"/>
  <c r="QJ94" i="2421"/>
  <c r="QJ64" i="2421"/>
  <c r="QJ74" i="2421"/>
  <c r="QJ42" i="2421"/>
  <c r="QJ31" i="2421"/>
  <c r="QJ67" i="2421"/>
  <c r="QJ20" i="2421"/>
  <c r="QJ112" i="2421"/>
  <c r="QJ29" i="2421"/>
  <c r="QJ57" i="2421"/>
  <c r="QJ45" i="2421"/>
  <c r="QJ52" i="2421"/>
  <c r="QJ61" i="2421"/>
  <c r="QJ75" i="2421"/>
  <c r="QJ97" i="2421"/>
  <c r="QJ98" i="2421"/>
  <c r="QJ80" i="2421"/>
  <c r="QJ19" i="2421"/>
  <c r="QJ30" i="2421"/>
  <c r="QJ47" i="2421"/>
  <c r="QJ82" i="2421"/>
  <c r="QJ105" i="2421"/>
  <c r="KQ56" i="2421"/>
  <c r="FZ37" i="2421"/>
  <c r="KQ79" i="2421"/>
  <c r="FZ71" i="2421"/>
  <c r="FZ32" i="2421"/>
  <c r="KQ98" i="2421"/>
  <c r="KQ37" i="2421"/>
  <c r="IH39" i="2421"/>
  <c r="IH95" i="2421"/>
  <c r="IH23" i="2421"/>
  <c r="IH43" i="2421"/>
  <c r="QK90" i="2421"/>
  <c r="DS36" i="2421"/>
  <c r="DS107" i="2421"/>
  <c r="DS56" i="2421"/>
  <c r="DS77" i="2421"/>
  <c r="DS89" i="2421"/>
  <c r="DS54" i="2421"/>
  <c r="DS57" i="2421"/>
  <c r="DS42" i="2421"/>
  <c r="DS87" i="2421"/>
  <c r="DS68" i="2421"/>
  <c r="DS65" i="2421"/>
  <c r="DS40" i="2421"/>
  <c r="DS88" i="2421"/>
  <c r="DS66" i="2421"/>
  <c r="DS92" i="2421"/>
  <c r="DS94" i="2421"/>
  <c r="DS84" i="2421"/>
  <c r="DS41" i="2421"/>
  <c r="DS27" i="2421"/>
  <c r="DS112" i="2421"/>
  <c r="DS20" i="2421"/>
  <c r="IH105" i="2421"/>
  <c r="IH32" i="2421"/>
  <c r="IH61" i="2421"/>
  <c r="IH19" i="2421"/>
  <c r="IH90" i="2421"/>
  <c r="IH29" i="2421"/>
  <c r="IH38" i="2421"/>
  <c r="IH51" i="2421"/>
  <c r="IH83" i="2421"/>
  <c r="IH106" i="2421"/>
  <c r="IH63" i="2421"/>
  <c r="IH89" i="2421"/>
  <c r="IH64" i="2421"/>
  <c r="IH55" i="2421"/>
  <c r="IH91" i="2421"/>
  <c r="IH69" i="2421"/>
  <c r="IH52" i="2421"/>
  <c r="IH96" i="2421"/>
  <c r="IH34" i="2421"/>
  <c r="IH21" i="2421"/>
  <c r="IH74" i="2421"/>
  <c r="IH72" i="2421"/>
  <c r="IH57" i="2421"/>
  <c r="IH30" i="2421"/>
  <c r="IH85" i="2421"/>
  <c r="IH58" i="2421"/>
  <c r="IH84" i="2421"/>
  <c r="IH65" i="2421"/>
  <c r="IH98" i="2421"/>
  <c r="IH104" i="2421"/>
  <c r="IH94" i="2421"/>
  <c r="IH46" i="2421"/>
  <c r="IH49" i="2421"/>
  <c r="IH48" i="2421"/>
  <c r="IH75" i="2421"/>
  <c r="IH76" i="2421"/>
  <c r="IH33" i="2421"/>
  <c r="IH101" i="2421"/>
  <c r="IH62" i="2421"/>
  <c r="IH24" i="2421"/>
  <c r="IH25" i="2421"/>
  <c r="IH42" i="2421"/>
  <c r="IH77" i="2421"/>
  <c r="QK49" i="2421"/>
  <c r="DS101" i="2421"/>
  <c r="DS110" i="2421"/>
  <c r="DS51" i="2421"/>
  <c r="DS43" i="2421"/>
  <c r="DS93" i="2421"/>
  <c r="DS59" i="2421"/>
  <c r="DS75" i="2421"/>
  <c r="DS81" i="2421"/>
  <c r="DS69" i="2421"/>
  <c r="DS63" i="2421"/>
  <c r="DS25" i="2421"/>
  <c r="DS90" i="2421"/>
  <c r="DS50" i="2421"/>
  <c r="DS100" i="2421"/>
  <c r="DS46" i="2421"/>
  <c r="DS109" i="2421"/>
  <c r="DS52" i="2421"/>
  <c r="DS76" i="2421"/>
  <c r="DS111" i="2421"/>
  <c r="DS96" i="2421"/>
  <c r="DS30" i="2421"/>
  <c r="DS38" i="2421"/>
  <c r="IH109" i="2421"/>
  <c r="IH81" i="2421"/>
  <c r="IH44" i="2421"/>
  <c r="IH99" i="2421"/>
  <c r="IH28" i="2421"/>
  <c r="IH35" i="2421"/>
  <c r="IH102" i="2421"/>
  <c r="IH86" i="2421"/>
  <c r="IH110" i="2421"/>
  <c r="IH78" i="2421"/>
  <c r="IH27" i="2421"/>
  <c r="IH70" i="2421"/>
  <c r="IH31" i="2421"/>
  <c r="IH103" i="2421"/>
  <c r="IH41" i="2421"/>
  <c r="IH88" i="2421"/>
  <c r="IH20" i="2421"/>
  <c r="IH26" i="2421"/>
  <c r="IH54" i="2421"/>
  <c r="IH56" i="2421"/>
  <c r="IH73" i="2421"/>
  <c r="IH45" i="2421"/>
  <c r="IH36" i="2421"/>
  <c r="QK91" i="2421"/>
  <c r="DS99" i="2421"/>
  <c r="DS78" i="2421"/>
  <c r="DS98" i="2421"/>
  <c r="DS49" i="2421"/>
  <c r="DS106" i="2421"/>
  <c r="DS71" i="2421"/>
  <c r="DS82" i="2421"/>
  <c r="DS44" i="2421"/>
  <c r="DS47" i="2421"/>
  <c r="DS39" i="2421"/>
  <c r="DS80" i="2421"/>
  <c r="DS104" i="2421"/>
  <c r="DS28" i="2421"/>
  <c r="DS67" i="2421"/>
  <c r="DS31" i="2421"/>
  <c r="DS62" i="2421"/>
  <c r="DS73" i="2421"/>
  <c r="DS23" i="2421"/>
  <c r="DS70" i="2421"/>
  <c r="DS45" i="2421"/>
  <c r="DS19" i="2421"/>
  <c r="DS53" i="2421"/>
  <c r="QY94" i="2421"/>
  <c r="QY66" i="2421"/>
  <c r="QY54" i="2421"/>
  <c r="QY106" i="2421"/>
  <c r="QY67" i="2421"/>
  <c r="DD100" i="2421"/>
  <c r="DD80" i="2421"/>
  <c r="DD37" i="2421"/>
  <c r="DC92" i="2421"/>
  <c r="DC44" i="2421"/>
  <c r="DC76" i="2421"/>
  <c r="FZ56" i="2421"/>
  <c r="FZ67" i="2421"/>
  <c r="FZ60" i="2421"/>
  <c r="FZ24" i="2421"/>
  <c r="FZ46" i="2421"/>
  <c r="FZ19" i="2421"/>
  <c r="KQ66" i="2421"/>
  <c r="KQ49" i="2421"/>
  <c r="KQ45" i="2421"/>
  <c r="KQ36" i="2421"/>
  <c r="KQ46" i="2421"/>
  <c r="KQ74" i="2421"/>
  <c r="QY44" i="2421"/>
  <c r="QY82" i="2421"/>
  <c r="QY96" i="2421"/>
  <c r="QY113" i="2421"/>
  <c r="QY55" i="2421"/>
  <c r="QY80" i="2421"/>
  <c r="DD97" i="2421"/>
  <c r="DD111" i="2421"/>
  <c r="DD104" i="2421"/>
  <c r="DC59" i="2421"/>
  <c r="DC106" i="2421"/>
  <c r="DC113" i="2421"/>
  <c r="FZ66" i="2421"/>
  <c r="FZ91" i="2421"/>
  <c r="FZ39" i="2421"/>
  <c r="FZ112" i="2421"/>
  <c r="FZ90" i="2421"/>
  <c r="FZ78" i="2421"/>
  <c r="KQ31" i="2421"/>
  <c r="KQ92" i="2421"/>
  <c r="KQ103" i="2421"/>
  <c r="KQ57" i="2421"/>
  <c r="KQ83" i="2421"/>
  <c r="KQ111" i="2421"/>
  <c r="QY33" i="2421"/>
  <c r="QY81" i="2421"/>
  <c r="QY112" i="2421"/>
  <c r="QY48" i="2421"/>
  <c r="QY71" i="2421"/>
  <c r="QY45" i="2421"/>
  <c r="DD31" i="2421"/>
  <c r="DD60" i="2421"/>
  <c r="DC101" i="2421"/>
  <c r="DC31" i="2421"/>
  <c r="DC27" i="2421"/>
  <c r="MX59" i="2421"/>
  <c r="FZ65" i="2421"/>
  <c r="FZ44" i="2421"/>
  <c r="FZ50" i="2421"/>
  <c r="FZ68" i="2421"/>
  <c r="FZ74" i="2421"/>
  <c r="KQ55" i="2421"/>
  <c r="KQ91" i="2421"/>
  <c r="KQ95" i="2421"/>
  <c r="KQ84" i="2421"/>
  <c r="QY21" i="2421"/>
  <c r="QY60" i="2421"/>
  <c r="QY97" i="2421"/>
  <c r="QY38" i="2421"/>
  <c r="QY28" i="2421"/>
  <c r="QY56" i="2421"/>
  <c r="QY76" i="2421"/>
  <c r="QY32" i="2421"/>
  <c r="QY64" i="2421"/>
  <c r="QY109" i="2421"/>
  <c r="QY89" i="2421"/>
  <c r="QY46" i="2421"/>
  <c r="QY50" i="2421"/>
  <c r="QY108" i="2421"/>
  <c r="QY69" i="2421"/>
  <c r="QY92" i="2421"/>
  <c r="QY29" i="2421"/>
  <c r="QY78" i="2421"/>
  <c r="QY103" i="2421"/>
  <c r="QY74" i="2421"/>
  <c r="QY83" i="2421"/>
  <c r="QY53" i="2421"/>
  <c r="QY30" i="2421"/>
  <c r="QY37" i="2421"/>
  <c r="QY40" i="2421"/>
  <c r="QK108" i="2421"/>
  <c r="QK77" i="2421"/>
  <c r="QK19" i="2421"/>
  <c r="QK60" i="2421"/>
  <c r="FZ21" i="2421"/>
  <c r="FZ41" i="2421"/>
  <c r="FZ58" i="2421"/>
  <c r="FZ53" i="2421"/>
  <c r="FZ75" i="2421"/>
  <c r="FZ34" i="2421"/>
  <c r="FZ61" i="2421"/>
  <c r="FZ45" i="2421"/>
  <c r="FZ35" i="2421"/>
  <c r="FZ106" i="2421"/>
  <c r="FZ108" i="2421"/>
  <c r="FZ77" i="2421"/>
  <c r="FZ101" i="2421"/>
  <c r="FZ47" i="2421"/>
  <c r="FZ76" i="2421"/>
  <c r="FZ64" i="2421"/>
  <c r="FZ20" i="2421"/>
  <c r="FZ42" i="2421"/>
  <c r="FZ107" i="2421"/>
  <c r="FZ48" i="2421"/>
  <c r="FZ62" i="2421"/>
  <c r="FZ85" i="2421"/>
  <c r="FZ26" i="2421"/>
  <c r="FZ73" i="2421"/>
  <c r="KQ85" i="2421"/>
  <c r="KQ69" i="2421"/>
  <c r="KQ71" i="2421"/>
  <c r="KQ47" i="2421"/>
  <c r="KQ38" i="2421"/>
  <c r="KQ73" i="2421"/>
  <c r="KQ23" i="2421"/>
  <c r="KQ51" i="2421"/>
  <c r="KQ58" i="2421"/>
  <c r="KQ104" i="2421"/>
  <c r="KQ110" i="2421"/>
  <c r="KQ106" i="2421"/>
  <c r="KQ26" i="2421"/>
  <c r="KQ80" i="2421"/>
  <c r="KQ90" i="2421"/>
  <c r="KQ27" i="2421"/>
  <c r="KQ94" i="2421"/>
  <c r="KQ88" i="2421"/>
  <c r="KQ41" i="2421"/>
  <c r="KQ75" i="2421"/>
  <c r="KQ19" i="2421"/>
  <c r="QY22" i="2421"/>
  <c r="QY59" i="2421"/>
  <c r="QY39" i="2421"/>
  <c r="QY25" i="2421"/>
  <c r="QY27" i="2421"/>
  <c r="QY34" i="2421"/>
  <c r="QY101" i="2421"/>
  <c r="QY85" i="2421"/>
  <c r="QY110" i="2421"/>
  <c r="QY102" i="2421"/>
  <c r="QY72" i="2421"/>
  <c r="QY68" i="2421"/>
  <c r="QY65" i="2421"/>
  <c r="QY79" i="2421"/>
  <c r="QY75" i="2421"/>
  <c r="QY100" i="2421"/>
  <c r="QY49" i="2421"/>
  <c r="QY90" i="2421"/>
  <c r="QY62" i="2421"/>
  <c r="QY19" i="2421"/>
  <c r="QY63" i="2421"/>
  <c r="QY91" i="2421"/>
  <c r="QY26" i="2421"/>
  <c r="QK67" i="2421"/>
  <c r="QK71" i="2421"/>
  <c r="FZ22" i="2421"/>
  <c r="FZ81" i="2421"/>
  <c r="FZ87" i="2421"/>
  <c r="FZ84" i="2421"/>
  <c r="FZ72" i="2421"/>
  <c r="FZ110" i="2421"/>
  <c r="FZ80" i="2421"/>
  <c r="FZ59" i="2421"/>
  <c r="FZ36" i="2421"/>
  <c r="FZ25" i="2421"/>
  <c r="FZ27" i="2421"/>
  <c r="FZ38" i="2421"/>
  <c r="FZ63" i="2421"/>
  <c r="FZ51" i="2421"/>
  <c r="FZ109" i="2421"/>
  <c r="FZ82" i="2421"/>
  <c r="FZ54" i="2421"/>
  <c r="FZ43" i="2421"/>
  <c r="FZ55" i="2421"/>
  <c r="FZ104" i="2421"/>
  <c r="FZ92" i="2421"/>
  <c r="FZ93" i="2421"/>
  <c r="FZ100" i="2421"/>
  <c r="FZ49" i="2421"/>
  <c r="KQ112" i="2421"/>
  <c r="KQ99" i="2421"/>
  <c r="KQ44" i="2421"/>
  <c r="KQ64" i="2421"/>
  <c r="KQ43" i="2421"/>
  <c r="KQ61" i="2421"/>
  <c r="KQ102" i="2421"/>
  <c r="KQ52" i="2421"/>
  <c r="KQ93" i="2421"/>
  <c r="KQ113" i="2421"/>
  <c r="KQ89" i="2421"/>
  <c r="KQ67" i="2421"/>
  <c r="KQ105" i="2421"/>
  <c r="KQ42" i="2421"/>
  <c r="KQ78" i="2421"/>
  <c r="KQ28" i="2421"/>
  <c r="KQ30" i="2421"/>
  <c r="KQ62" i="2421"/>
  <c r="KQ54" i="2421"/>
  <c r="KQ50" i="2421"/>
  <c r="KQ20" i="2421"/>
  <c r="KQ97" i="2421"/>
  <c r="KQ40" i="2421"/>
  <c r="KQ68" i="2421"/>
  <c r="QY31" i="2421"/>
  <c r="QY47" i="2421"/>
  <c r="QY36" i="2421"/>
  <c r="QY105" i="2421"/>
  <c r="QY51" i="2421"/>
  <c r="QY24" i="2421"/>
  <c r="QY23" i="2421"/>
  <c r="QY70" i="2421"/>
  <c r="QY107" i="2421"/>
  <c r="QY20" i="2421"/>
  <c r="QY95" i="2421"/>
  <c r="QY73" i="2421"/>
  <c r="QY104" i="2421"/>
  <c r="QY111" i="2421"/>
  <c r="QY99" i="2421"/>
  <c r="QY88" i="2421"/>
  <c r="QY98" i="2421"/>
  <c r="QY52" i="2421"/>
  <c r="QY84" i="2421"/>
  <c r="QY42" i="2421"/>
  <c r="QY77" i="2421"/>
  <c r="QY61" i="2421"/>
  <c r="QY41" i="2421"/>
  <c r="QK64" i="2421"/>
  <c r="QK57" i="2421"/>
  <c r="FZ99" i="2421"/>
  <c r="FZ94" i="2421"/>
  <c r="FZ57" i="2421"/>
  <c r="FZ30" i="2421"/>
  <c r="FZ88" i="2421"/>
  <c r="FZ33" i="2421"/>
  <c r="FZ105" i="2421"/>
  <c r="FZ28" i="2421"/>
  <c r="FZ29" i="2421"/>
  <c r="FZ40" i="2421"/>
  <c r="FZ70" i="2421"/>
  <c r="FZ79" i="2421"/>
  <c r="FZ96" i="2421"/>
  <c r="FZ83" i="2421"/>
  <c r="FZ97" i="2421"/>
  <c r="FZ102" i="2421"/>
  <c r="FZ23" i="2421"/>
  <c r="FZ69" i="2421"/>
  <c r="FZ103" i="2421"/>
  <c r="FZ86" i="2421"/>
  <c r="FZ89" i="2421"/>
  <c r="FZ111" i="2421"/>
  <c r="FZ31" i="2421"/>
  <c r="KQ72" i="2421"/>
  <c r="KQ29" i="2421"/>
  <c r="KQ86" i="2421"/>
  <c r="KQ109" i="2421"/>
  <c r="KQ100" i="2421"/>
  <c r="KQ53" i="2421"/>
  <c r="KQ39" i="2421"/>
  <c r="KQ48" i="2421"/>
  <c r="KQ108" i="2421"/>
  <c r="KQ65" i="2421"/>
  <c r="KQ81" i="2421"/>
  <c r="KQ70" i="2421"/>
  <c r="KQ101" i="2421"/>
  <c r="KQ96" i="2421"/>
  <c r="KQ82" i="2421"/>
  <c r="KQ77" i="2421"/>
  <c r="KQ25" i="2421"/>
  <c r="KQ59" i="2421"/>
  <c r="KQ87" i="2421"/>
  <c r="KQ63" i="2421"/>
  <c r="R121" i="2422"/>
  <c r="O12" i="2408" s="1"/>
  <c r="MX21" i="2421"/>
  <c r="MX96" i="2421"/>
  <c r="MX47" i="2421"/>
  <c r="MX25" i="2421"/>
  <c r="MX37" i="2421"/>
  <c r="MX36" i="2421"/>
  <c r="MX52" i="2421"/>
  <c r="MX95" i="2421"/>
  <c r="JM19" i="2421"/>
  <c r="MX77" i="2421"/>
  <c r="MX20" i="2421"/>
  <c r="MX64" i="2421"/>
  <c r="FK87" i="2421"/>
  <c r="DC100" i="2421"/>
  <c r="DC32" i="2421"/>
  <c r="DC90" i="2421"/>
  <c r="DC73" i="2421"/>
  <c r="DC35" i="2421"/>
  <c r="DC49" i="2421"/>
  <c r="DC58" i="2421"/>
  <c r="DC95" i="2421"/>
  <c r="DC66" i="2421"/>
  <c r="DC64" i="2421"/>
  <c r="DC56" i="2421"/>
  <c r="DC78" i="2421"/>
  <c r="DC47" i="2421"/>
  <c r="DC60" i="2421"/>
  <c r="DC79" i="2421"/>
  <c r="DC69" i="2421"/>
  <c r="DC74" i="2421"/>
  <c r="DC107" i="2421"/>
  <c r="DC51" i="2421"/>
  <c r="DC99" i="2421"/>
  <c r="DC67" i="2421"/>
  <c r="DC70" i="2421"/>
  <c r="DC21" i="2421"/>
  <c r="DC104" i="2421"/>
  <c r="DC52" i="2421"/>
  <c r="DC94" i="2421"/>
  <c r="DC37" i="2421"/>
  <c r="DC109" i="2421"/>
  <c r="DC36" i="2421"/>
  <c r="DC41" i="2421"/>
  <c r="DC103" i="2421"/>
  <c r="DC93" i="2421"/>
  <c r="DC62" i="2421"/>
  <c r="DC40" i="2421"/>
  <c r="DC43" i="2421"/>
  <c r="DC105" i="2421"/>
  <c r="DC53" i="2421"/>
  <c r="DC39" i="2421"/>
  <c r="DC88" i="2421"/>
  <c r="DC63" i="2421"/>
  <c r="DC83" i="2421"/>
  <c r="DC108" i="2421"/>
  <c r="DC68" i="2421"/>
  <c r="DC34" i="2421"/>
  <c r="DC81" i="2421"/>
  <c r="DC102" i="2421"/>
  <c r="DC98" i="2421"/>
  <c r="DC22" i="2421"/>
  <c r="DC30" i="2421"/>
  <c r="DC61" i="2421"/>
  <c r="DC38" i="2421"/>
  <c r="DC42" i="2421"/>
  <c r="DC48" i="2421"/>
  <c r="DC24" i="2421"/>
  <c r="DC89" i="2421"/>
  <c r="DC54" i="2421"/>
  <c r="DC33" i="2421"/>
  <c r="DC65" i="2421"/>
  <c r="DC84" i="2421"/>
  <c r="DC87" i="2421"/>
  <c r="DC86" i="2421"/>
  <c r="DC20" i="2421"/>
  <c r="DC57" i="2421"/>
  <c r="DC97" i="2421"/>
  <c r="DC71" i="2421"/>
  <c r="DC19" i="2421"/>
  <c r="DC111" i="2421"/>
  <c r="DC96" i="2421"/>
  <c r="DC29" i="2421"/>
  <c r="DC85" i="2421"/>
  <c r="DC23" i="2421"/>
  <c r="DC50" i="2421"/>
  <c r="DC91" i="2421"/>
  <c r="DC45" i="2421"/>
  <c r="DC55" i="2421"/>
  <c r="DC110" i="2421"/>
  <c r="DC80" i="2421"/>
  <c r="DC82" i="2421"/>
  <c r="DC46" i="2421"/>
  <c r="DC28" i="2421"/>
  <c r="DC77" i="2421"/>
  <c r="DC112" i="2421"/>
  <c r="DC72" i="2421"/>
  <c r="JM48" i="2421"/>
  <c r="JM81" i="2421"/>
  <c r="MX68" i="2421"/>
  <c r="MX79" i="2421"/>
  <c r="MX111" i="2421"/>
  <c r="MX74" i="2421"/>
  <c r="MX67" i="2421"/>
  <c r="MX58" i="2421"/>
  <c r="MX41" i="2421"/>
  <c r="MX82" i="2421"/>
  <c r="MX51" i="2421"/>
  <c r="MX104" i="2421"/>
  <c r="MX103" i="2421"/>
  <c r="MX19" i="2421"/>
  <c r="FK54" i="2421"/>
  <c r="JM65" i="2421"/>
  <c r="JM71" i="2421"/>
  <c r="MX30" i="2421"/>
  <c r="MX50" i="2421"/>
  <c r="MX113" i="2421"/>
  <c r="MX89" i="2421"/>
  <c r="MX90" i="2421"/>
  <c r="MX73" i="2421"/>
  <c r="MX62" i="2421"/>
  <c r="MX31" i="2421"/>
  <c r="MX97" i="2421"/>
  <c r="MX108" i="2421"/>
  <c r="MX71" i="2421"/>
  <c r="MX106" i="2421"/>
  <c r="FK52" i="2421"/>
  <c r="JM101" i="2421"/>
  <c r="MX45" i="2421"/>
  <c r="MX99" i="2421"/>
  <c r="MX39" i="2421"/>
  <c r="MX85" i="2421"/>
  <c r="MX48" i="2421"/>
  <c r="MX55" i="2421"/>
  <c r="MX23" i="2421"/>
  <c r="MX57" i="2421"/>
  <c r="MX24" i="2421"/>
  <c r="MX65" i="2421"/>
  <c r="MX32" i="2421"/>
  <c r="MX107" i="2421"/>
  <c r="FK90" i="2421"/>
  <c r="JM39" i="2421"/>
  <c r="MX92" i="2421"/>
  <c r="MX84" i="2421"/>
  <c r="MX26" i="2421"/>
  <c r="MX43" i="2421"/>
  <c r="MX54" i="2421"/>
  <c r="MX66" i="2421"/>
  <c r="MX112" i="2421"/>
  <c r="MX40" i="2421"/>
  <c r="MX100" i="2421"/>
  <c r="MX75" i="2421"/>
  <c r="MX28" i="2421"/>
  <c r="MX76" i="2421"/>
  <c r="FK94" i="2421"/>
  <c r="JM76" i="2421"/>
  <c r="MX27" i="2421"/>
  <c r="MX80" i="2421"/>
  <c r="MX38" i="2421"/>
  <c r="MX34" i="2421"/>
  <c r="MX60" i="2421"/>
  <c r="MX101" i="2421"/>
  <c r="MX56" i="2421"/>
  <c r="MX91" i="2421"/>
  <c r="MX78" i="2421"/>
  <c r="MX88" i="2421"/>
  <c r="MX44" i="2421"/>
  <c r="FK88" i="2421"/>
  <c r="JM42" i="2421"/>
  <c r="JM66" i="2421"/>
  <c r="MX22" i="2421"/>
  <c r="MX83" i="2421"/>
  <c r="MX42" i="2421"/>
  <c r="MX102" i="2421"/>
  <c r="MX87" i="2421"/>
  <c r="MX94" i="2421"/>
  <c r="MX105" i="2421"/>
  <c r="MX46" i="2421"/>
  <c r="MX81" i="2421"/>
  <c r="MX53" i="2421"/>
  <c r="MX110" i="2421"/>
  <c r="MX35" i="2421"/>
  <c r="FK72" i="2421"/>
  <c r="JM78" i="2421"/>
  <c r="MX109" i="2421"/>
  <c r="MX29" i="2421"/>
  <c r="MX93" i="2421"/>
  <c r="MX63" i="2421"/>
  <c r="MX49" i="2421"/>
  <c r="MX69" i="2421"/>
  <c r="MX86" i="2421"/>
  <c r="MX33" i="2421"/>
  <c r="MX72" i="2421"/>
  <c r="MX61" i="2421"/>
  <c r="MX98" i="2421"/>
  <c r="FK112" i="2421"/>
  <c r="FK81" i="2421"/>
  <c r="KA36" i="2421"/>
  <c r="KA89" i="2421"/>
  <c r="OC30" i="2421"/>
  <c r="IX71" i="2421"/>
  <c r="OC91" i="2421"/>
  <c r="II88" i="2421"/>
  <c r="OC66" i="2421"/>
  <c r="JL21" i="2421"/>
  <c r="OC68" i="2421"/>
  <c r="EG72" i="2421"/>
  <c r="OC19" i="2421"/>
  <c r="OC85" i="2421"/>
  <c r="EG69" i="2421"/>
  <c r="II103" i="2421"/>
  <c r="OC108" i="2421"/>
  <c r="OC55" i="2421"/>
  <c r="OC64" i="2421"/>
  <c r="OC58" i="2421"/>
  <c r="OC41" i="2421"/>
  <c r="OC70" i="2421"/>
  <c r="JL66" i="2421"/>
  <c r="OC74" i="2421"/>
  <c r="OC86" i="2421"/>
  <c r="OC28" i="2421"/>
  <c r="OC113" i="2421"/>
  <c r="OC99" i="2421"/>
  <c r="OC76" i="2421"/>
  <c r="OC59" i="2421"/>
  <c r="OC49" i="2421"/>
  <c r="OC20" i="2421"/>
  <c r="OC96" i="2421"/>
  <c r="OC57" i="2421"/>
  <c r="EG52" i="2421"/>
  <c r="EG25" i="2421"/>
  <c r="JL92" i="2421"/>
  <c r="OC109" i="2421"/>
  <c r="OC27" i="2421"/>
  <c r="OC82" i="2421"/>
  <c r="OC77" i="2421"/>
  <c r="OC56" i="2421"/>
  <c r="OC73" i="2421"/>
  <c r="OC92" i="2421"/>
  <c r="OC107" i="2421"/>
  <c r="OC61" i="2421"/>
  <c r="OC84" i="2421"/>
  <c r="OC80" i="2421"/>
  <c r="OC31" i="2421"/>
  <c r="EG103" i="2421"/>
  <c r="EG60" i="2421"/>
  <c r="JL19" i="2421"/>
  <c r="OC94" i="2421"/>
  <c r="OC54" i="2421"/>
  <c r="OC83" i="2421"/>
  <c r="OC110" i="2421"/>
  <c r="OC89" i="2421"/>
  <c r="OC36" i="2421"/>
  <c r="OC47" i="2421"/>
  <c r="OC105" i="2421"/>
  <c r="OC93" i="2421"/>
  <c r="OC88" i="2421"/>
  <c r="OC40" i="2421"/>
  <c r="EG84" i="2421"/>
  <c r="JL63" i="2421"/>
  <c r="OC65" i="2421"/>
  <c r="OC39" i="2421"/>
  <c r="OC81" i="2421"/>
  <c r="OC75" i="2421"/>
  <c r="OC38" i="2421"/>
  <c r="OC48" i="2421"/>
  <c r="OC106" i="2421"/>
  <c r="OC52" i="2421"/>
  <c r="OC111" i="2421"/>
  <c r="OC79" i="2421"/>
  <c r="OC98" i="2421"/>
  <c r="EG35" i="2421"/>
  <c r="JL110" i="2421"/>
  <c r="OC43" i="2421"/>
  <c r="OC97" i="2421"/>
  <c r="OC46" i="2421"/>
  <c r="OC51" i="2421"/>
  <c r="OC90" i="2421"/>
  <c r="OC69" i="2421"/>
  <c r="OC26" i="2421"/>
  <c r="OC95" i="2421"/>
  <c r="EG54" i="2421"/>
  <c r="JL56" i="2421"/>
  <c r="JL88" i="2421"/>
  <c r="OC67" i="2421"/>
  <c r="OC29" i="2421"/>
  <c r="OC71" i="2421"/>
  <c r="OC37" i="2421"/>
  <c r="OC50" i="2421"/>
  <c r="OC45" i="2421"/>
  <c r="OC112" i="2421"/>
  <c r="OC62" i="2421"/>
  <c r="OC104" i="2421"/>
  <c r="OC78" i="2421"/>
  <c r="OC102" i="2421"/>
  <c r="OC101" i="2421"/>
  <c r="EG87" i="2421"/>
  <c r="JL72" i="2421"/>
  <c r="JL107" i="2421"/>
  <c r="OC42" i="2421"/>
  <c r="OC23" i="2421"/>
  <c r="OC60" i="2421"/>
  <c r="OC53" i="2421"/>
  <c r="OC87" i="2421"/>
  <c r="OC72" i="2421"/>
  <c r="OC63" i="2421"/>
  <c r="OC25" i="2421"/>
  <c r="OC44" i="2421"/>
  <c r="OC103" i="2421"/>
  <c r="EG86" i="2421"/>
  <c r="JL48" i="2421"/>
  <c r="JL95" i="2421"/>
  <c r="II19" i="2421"/>
  <c r="II86" i="2421"/>
  <c r="FK22" i="2421"/>
  <c r="FK50" i="2421"/>
  <c r="FK35" i="2421"/>
  <c r="FK75" i="2421"/>
  <c r="KA26" i="2421"/>
  <c r="II82" i="2421"/>
  <c r="FK21" i="2421"/>
  <c r="FK69" i="2421"/>
  <c r="FK78" i="2421"/>
  <c r="KA68" i="2421"/>
  <c r="II40" i="2421"/>
  <c r="II78" i="2421"/>
  <c r="FK101" i="2421"/>
  <c r="FK100" i="2421"/>
  <c r="FK48" i="2421"/>
  <c r="KA108" i="2421"/>
  <c r="II45" i="2421"/>
  <c r="FK29" i="2421"/>
  <c r="FK20" i="2421"/>
  <c r="FK67" i="2421"/>
  <c r="KA33" i="2421"/>
  <c r="FK97" i="2421"/>
  <c r="FK111" i="2421"/>
  <c r="FK70" i="2421"/>
  <c r="KA44" i="2421"/>
  <c r="HS104" i="2421"/>
  <c r="II44" i="2421"/>
  <c r="II20" i="2421"/>
  <c r="II23" i="2421"/>
  <c r="II113" i="2421"/>
  <c r="II112" i="2421"/>
  <c r="II50" i="2421"/>
  <c r="II48" i="2421"/>
  <c r="II27" i="2421"/>
  <c r="II95" i="2421"/>
  <c r="II102" i="2421"/>
  <c r="II39" i="2421"/>
  <c r="II72" i="2421"/>
  <c r="II77" i="2421"/>
  <c r="II43" i="2421"/>
  <c r="II67" i="2421"/>
  <c r="II55" i="2421"/>
  <c r="II56" i="2421"/>
  <c r="II87" i="2421"/>
  <c r="II63" i="2421"/>
  <c r="II84" i="2421"/>
  <c r="II42" i="2421"/>
  <c r="II68" i="2421"/>
  <c r="II49" i="2421"/>
  <c r="II99" i="2421"/>
  <c r="II101" i="2421"/>
  <c r="II59" i="2421"/>
  <c r="II30" i="2421"/>
  <c r="II58" i="2421"/>
  <c r="II53" i="2421"/>
  <c r="II100" i="2421"/>
  <c r="II60" i="2421"/>
  <c r="II104" i="2421"/>
  <c r="II96" i="2421"/>
  <c r="DR104" i="2421"/>
  <c r="IW90" i="2421"/>
  <c r="II80" i="2421"/>
  <c r="II93" i="2421"/>
  <c r="II29" i="2421"/>
  <c r="II66" i="2421"/>
  <c r="II64" i="2421"/>
  <c r="II25" i="2421"/>
  <c r="II71" i="2421"/>
  <c r="II26" i="2421"/>
  <c r="II70" i="2421"/>
  <c r="II98" i="2421"/>
  <c r="II110" i="2421"/>
  <c r="II47" i="2421"/>
  <c r="DR83" i="2421"/>
  <c r="IW43" i="2421"/>
  <c r="II90" i="2421"/>
  <c r="II89" i="2421"/>
  <c r="II46" i="2421"/>
  <c r="II31" i="2421"/>
  <c r="II85" i="2421"/>
  <c r="II109" i="2421"/>
  <c r="II105" i="2421"/>
  <c r="II73" i="2421"/>
  <c r="II36" i="2421"/>
  <c r="II41" i="2421"/>
  <c r="II94" i="2421"/>
  <c r="II57" i="2421"/>
  <c r="II83" i="2421"/>
  <c r="CO103" i="2421"/>
  <c r="II76" i="2421"/>
  <c r="II75" i="2421"/>
  <c r="II51" i="2421"/>
  <c r="II108" i="2421"/>
  <c r="II61" i="2421"/>
  <c r="II107" i="2421"/>
  <c r="II37" i="2421"/>
  <c r="II28" i="2421"/>
  <c r="II111" i="2421"/>
  <c r="II52" i="2421"/>
  <c r="II92" i="2421"/>
  <c r="II81" i="2421"/>
  <c r="II79" i="2421"/>
  <c r="II62" i="2421"/>
  <c r="II91" i="2421"/>
  <c r="II106" i="2421"/>
  <c r="II54" i="2421"/>
  <c r="II97" i="2421"/>
  <c r="II74" i="2421"/>
  <c r="II38" i="2421"/>
  <c r="II65" i="2421"/>
  <c r="OB64" i="2421"/>
  <c r="DR35" i="2421"/>
  <c r="DR112" i="2421"/>
  <c r="IW82" i="2421"/>
  <c r="IW75" i="2421"/>
  <c r="OB27" i="2421"/>
  <c r="DR65" i="2421"/>
  <c r="IW44" i="2421"/>
  <c r="IW54" i="2421"/>
  <c r="OB55" i="2421"/>
  <c r="DR67" i="2421"/>
  <c r="IW53" i="2421"/>
  <c r="IW56" i="2421"/>
  <c r="OB83" i="2421"/>
  <c r="DR37" i="2421"/>
  <c r="IW34" i="2421"/>
  <c r="OB73" i="2421"/>
  <c r="DR105" i="2421"/>
  <c r="IW72" i="2421"/>
  <c r="OB59" i="2421"/>
  <c r="DR49" i="2421"/>
  <c r="IW108" i="2421"/>
  <c r="OB75" i="2421"/>
  <c r="OB48" i="2421"/>
  <c r="DR70" i="2421"/>
  <c r="OB40" i="2421"/>
  <c r="OB29" i="2421"/>
  <c r="FL113" i="2421"/>
  <c r="KB77" i="2421"/>
  <c r="KB49" i="2421"/>
  <c r="KB98" i="2421"/>
  <c r="KB88" i="2421"/>
  <c r="KB111" i="2421"/>
  <c r="KB87" i="2421"/>
  <c r="KB23" i="2421"/>
  <c r="KB107" i="2421"/>
  <c r="KB85" i="2421"/>
  <c r="KB96" i="2421"/>
  <c r="KB67" i="2421"/>
  <c r="KB63" i="2421"/>
  <c r="KB100" i="2421"/>
  <c r="KB102" i="2421"/>
  <c r="KB75" i="2421"/>
  <c r="KB41" i="2421"/>
  <c r="KB68" i="2421"/>
  <c r="KB54" i="2421"/>
  <c r="KB26" i="2421"/>
  <c r="KB103" i="2421"/>
  <c r="KB30" i="2421"/>
  <c r="KB91" i="2421"/>
  <c r="KB59" i="2421"/>
  <c r="KB51" i="2421"/>
  <c r="KB112" i="2421"/>
  <c r="KB113" i="2421"/>
  <c r="KB47" i="2421"/>
  <c r="KB56" i="2421"/>
  <c r="KB39" i="2421"/>
  <c r="KB48" i="2421"/>
  <c r="KB31" i="2421"/>
  <c r="KB40" i="2421"/>
  <c r="KB101" i="2421"/>
  <c r="KB74" i="2421"/>
  <c r="KB20" i="2421"/>
  <c r="KB78" i="2421"/>
  <c r="KB95" i="2421"/>
  <c r="KB64" i="2421"/>
  <c r="KB29" i="2421"/>
  <c r="KB46" i="2421"/>
  <c r="KB80" i="2421"/>
  <c r="KB93" i="2421"/>
  <c r="KB79" i="2421"/>
  <c r="KB55" i="2421"/>
  <c r="KB19" i="2421"/>
  <c r="KB84" i="2421"/>
  <c r="KB70" i="2421"/>
  <c r="KB60" i="2421"/>
  <c r="KB43" i="2421"/>
  <c r="KB36" i="2421"/>
  <c r="KB37" i="2421"/>
  <c r="KB65" i="2421"/>
  <c r="KB62" i="2421"/>
  <c r="KB45" i="2421"/>
  <c r="KB53" i="2421"/>
  <c r="KB72" i="2421"/>
  <c r="KB58" i="2421"/>
  <c r="KB94" i="2421"/>
  <c r="KB69" i="2421"/>
  <c r="KB42" i="2421"/>
  <c r="KB66" i="2421"/>
  <c r="KB81" i="2421"/>
  <c r="KB28" i="2421"/>
  <c r="KB108" i="2421"/>
  <c r="KB44" i="2421"/>
  <c r="KB105" i="2421"/>
  <c r="KB104" i="2421"/>
  <c r="KB50" i="2421"/>
  <c r="KB106" i="2421"/>
  <c r="KB83" i="2421"/>
  <c r="KB92" i="2421"/>
  <c r="KB27" i="2421"/>
  <c r="KB82" i="2421"/>
  <c r="KB76" i="2421"/>
  <c r="KB52" i="2421"/>
  <c r="KB61" i="2421"/>
  <c r="FL56" i="2421"/>
  <c r="MY39" i="2421"/>
  <c r="MY85" i="2421"/>
  <c r="MY113" i="2421"/>
  <c r="MY84" i="2421"/>
  <c r="MY43" i="2421"/>
  <c r="MY59" i="2421"/>
  <c r="MY81" i="2421"/>
  <c r="MY93" i="2421"/>
  <c r="MY89" i="2421"/>
  <c r="MY46" i="2421"/>
  <c r="MY102" i="2421"/>
  <c r="MY30" i="2421"/>
  <c r="MY38" i="2421"/>
  <c r="MY50" i="2421"/>
  <c r="MY19" i="2421"/>
  <c r="MY40" i="2421"/>
  <c r="MY52" i="2421"/>
  <c r="MY56" i="2421"/>
  <c r="MY28" i="2421"/>
  <c r="MY49" i="2421"/>
  <c r="MY111" i="2421"/>
  <c r="MY62" i="2421"/>
  <c r="MY100" i="2421"/>
  <c r="MY92" i="2421"/>
  <c r="MY47" i="2421"/>
  <c r="MY79" i="2421"/>
  <c r="MY44" i="2421"/>
  <c r="MY107" i="2421"/>
  <c r="MY25" i="2421"/>
  <c r="MY109" i="2421"/>
  <c r="MY75" i="2421"/>
  <c r="MY20" i="2421"/>
  <c r="MY27" i="2421"/>
  <c r="MY41" i="2421"/>
  <c r="MY87" i="2421"/>
  <c r="MY53" i="2421"/>
  <c r="MY98" i="2421"/>
  <c r="MY54" i="2421"/>
  <c r="MY69" i="2421"/>
  <c r="MY55" i="2421"/>
  <c r="MY67" i="2421"/>
  <c r="MY51" i="2421"/>
  <c r="MY23" i="2421"/>
  <c r="MY65" i="2421"/>
  <c r="MY45" i="2421"/>
  <c r="MY31" i="2421"/>
  <c r="MY95" i="2421"/>
  <c r="MY91" i="2421"/>
  <c r="MY82" i="2421"/>
  <c r="MY57" i="2421"/>
  <c r="MY63" i="2421"/>
  <c r="MY112" i="2421"/>
  <c r="MY106" i="2421"/>
  <c r="MY96" i="2421"/>
  <c r="MY80" i="2421"/>
  <c r="MY66" i="2421"/>
  <c r="MY48" i="2421"/>
  <c r="MY76" i="2421"/>
  <c r="MY68" i="2421"/>
  <c r="MY94" i="2421"/>
  <c r="MY70" i="2421"/>
  <c r="MY42" i="2421"/>
  <c r="MY90" i="2421"/>
  <c r="MY86" i="2421"/>
  <c r="MY58" i="2421"/>
  <c r="MY83" i="2421"/>
  <c r="MY104" i="2421"/>
  <c r="MY74" i="2421"/>
  <c r="MY37" i="2421"/>
  <c r="MY73" i="2421"/>
  <c r="MY99" i="2421"/>
  <c r="MY29" i="2421"/>
  <c r="MY64" i="2421"/>
  <c r="MY110" i="2421"/>
  <c r="MY108" i="2421"/>
  <c r="MY36" i="2421"/>
  <c r="MY60" i="2421"/>
  <c r="MY88" i="2421"/>
  <c r="MY61" i="2421"/>
  <c r="FL37" i="2421"/>
  <c r="FL84" i="2421"/>
  <c r="KB86" i="2421"/>
  <c r="KB90" i="2421"/>
  <c r="MY71" i="2421"/>
  <c r="MY101" i="2421"/>
  <c r="FL104" i="2421"/>
  <c r="KB73" i="2421"/>
  <c r="KB89" i="2421"/>
  <c r="FL74" i="2421"/>
  <c r="DD82" i="2421"/>
  <c r="DD69" i="2421"/>
  <c r="DD42" i="2421"/>
  <c r="DD67" i="2421"/>
  <c r="DD110" i="2421"/>
  <c r="DD113" i="2421"/>
  <c r="DD96" i="2421"/>
  <c r="DD41" i="2421"/>
  <c r="DD94" i="2421"/>
  <c r="DD52" i="2421"/>
  <c r="DD93" i="2421"/>
  <c r="DD48" i="2421"/>
  <c r="DD88" i="2421"/>
  <c r="DD73" i="2421"/>
  <c r="DD25" i="2421"/>
  <c r="DD40" i="2421"/>
  <c r="DD54" i="2421"/>
  <c r="DD36" i="2421"/>
  <c r="DD91" i="2421"/>
  <c r="DD23" i="2421"/>
  <c r="DD98" i="2421"/>
  <c r="DD107" i="2421"/>
  <c r="DD29" i="2421"/>
  <c r="DD103" i="2421"/>
  <c r="DD109" i="2421"/>
  <c r="DD79" i="2421"/>
  <c r="DD44" i="2421"/>
  <c r="DD28" i="2421"/>
  <c r="DD49" i="2421"/>
  <c r="DD38" i="2421"/>
  <c r="DD74" i="2421"/>
  <c r="DD68" i="2421"/>
  <c r="DD64" i="2421"/>
  <c r="DD72" i="2421"/>
  <c r="DD102" i="2421"/>
  <c r="DD92" i="2421"/>
  <c r="DD59" i="2421"/>
  <c r="DD95" i="2421"/>
  <c r="DD53" i="2421"/>
  <c r="DD85" i="2421"/>
  <c r="DD39" i="2421"/>
  <c r="DD112" i="2421"/>
  <c r="DD106" i="2421"/>
  <c r="DD43" i="2421"/>
  <c r="DD57" i="2421"/>
  <c r="DD77" i="2421"/>
  <c r="DD84" i="2421"/>
  <c r="DD99" i="2421"/>
  <c r="DD45" i="2421"/>
  <c r="DD30" i="2421"/>
  <c r="DD46" i="2421"/>
  <c r="DD63" i="2421"/>
  <c r="DD87" i="2421"/>
  <c r="DD105" i="2421"/>
  <c r="DD108" i="2421"/>
  <c r="DD71" i="2421"/>
  <c r="DD70" i="2421"/>
  <c r="DD55" i="2421"/>
  <c r="DD89" i="2421"/>
  <c r="DD86" i="2421"/>
  <c r="DD101" i="2421"/>
  <c r="DD81" i="2421"/>
  <c r="DD62" i="2421"/>
  <c r="DD50" i="2421"/>
  <c r="DD56" i="2421"/>
  <c r="DD19" i="2421"/>
  <c r="DD20" i="2421"/>
  <c r="DD66" i="2421"/>
  <c r="DD27" i="2421"/>
  <c r="DD83" i="2421"/>
  <c r="DD47" i="2421"/>
  <c r="DD78" i="2421"/>
  <c r="DD75" i="2421"/>
  <c r="DD76" i="2421"/>
  <c r="DD51" i="2421"/>
  <c r="DD90" i="2421"/>
  <c r="DD61" i="2421"/>
  <c r="MY72" i="2421"/>
  <c r="KB99" i="2421"/>
  <c r="KB110" i="2421"/>
  <c r="FL71" i="2421"/>
  <c r="FL20" i="2421"/>
  <c r="FL59" i="2421"/>
  <c r="FL112" i="2421"/>
  <c r="FL90" i="2421"/>
  <c r="FL39" i="2421"/>
  <c r="FL101" i="2421"/>
  <c r="FL57" i="2421"/>
  <c r="FL88" i="2421"/>
  <c r="FL40" i="2421"/>
  <c r="FL19" i="2421"/>
  <c r="FL46" i="2421"/>
  <c r="FL82" i="2421"/>
  <c r="FL99" i="2421"/>
  <c r="FL96" i="2421"/>
  <c r="FL25" i="2421"/>
  <c r="FL27" i="2421"/>
  <c r="FL48" i="2421"/>
  <c r="FL43" i="2421"/>
  <c r="FL41" i="2421"/>
  <c r="FL42" i="2421"/>
  <c r="FL76" i="2421"/>
  <c r="FL78" i="2421"/>
  <c r="FL65" i="2421"/>
  <c r="FL30" i="2421"/>
  <c r="FL50" i="2421"/>
  <c r="FL45" i="2421"/>
  <c r="FL94" i="2421"/>
  <c r="FL28" i="2421"/>
  <c r="FL97" i="2421"/>
  <c r="FL29" i="2421"/>
  <c r="FL62" i="2421"/>
  <c r="FL54" i="2421"/>
  <c r="FL26" i="2421"/>
  <c r="FL23" i="2421"/>
  <c r="FL100" i="2421"/>
  <c r="FL38" i="2421"/>
  <c r="FL80" i="2421"/>
  <c r="FL86" i="2421"/>
  <c r="FL68" i="2421"/>
  <c r="FL83" i="2421"/>
  <c r="FL49" i="2421"/>
  <c r="FL52" i="2421"/>
  <c r="FL81" i="2421"/>
  <c r="FL31" i="2421"/>
  <c r="FL72" i="2421"/>
  <c r="FL111" i="2421"/>
  <c r="FL98" i="2421"/>
  <c r="FL69" i="2421"/>
  <c r="FL55" i="2421"/>
  <c r="FL103" i="2421"/>
  <c r="FL109" i="2421"/>
  <c r="FL66" i="2421"/>
  <c r="FL75" i="2421"/>
  <c r="FL44" i="2421"/>
  <c r="FL47" i="2421"/>
  <c r="FL67" i="2421"/>
  <c r="FL105" i="2421"/>
  <c r="FL92" i="2421"/>
  <c r="FL64" i="2421"/>
  <c r="FL93" i="2421"/>
  <c r="FL63" i="2421"/>
  <c r="FL51" i="2421"/>
  <c r="FL77" i="2421"/>
  <c r="FL87" i="2421"/>
  <c r="FL73" i="2421"/>
  <c r="FL53" i="2421"/>
  <c r="FL91" i="2421"/>
  <c r="FL95" i="2421"/>
  <c r="FL110" i="2421"/>
  <c r="FL79" i="2421"/>
  <c r="FL70" i="2421"/>
  <c r="FL60" i="2421"/>
  <c r="FL85" i="2421"/>
  <c r="FL106" i="2421"/>
  <c r="FL108" i="2421"/>
  <c r="FL102" i="2421"/>
  <c r="FL36" i="2421"/>
  <c r="DR97" i="2421"/>
  <c r="DR51" i="2421"/>
  <c r="DR45" i="2421"/>
  <c r="DR26" i="2421"/>
  <c r="DR80" i="2421"/>
  <c r="DR28" i="2421"/>
  <c r="DR52" i="2421"/>
  <c r="DR89" i="2421"/>
  <c r="DR111" i="2421"/>
  <c r="DR71" i="2421"/>
  <c r="DR47" i="2421"/>
  <c r="DR50" i="2421"/>
  <c r="DR20" i="2421"/>
  <c r="DR96" i="2421"/>
  <c r="DR41" i="2421"/>
  <c r="DR19" i="2421"/>
  <c r="DR87" i="2421"/>
  <c r="DR59" i="2421"/>
  <c r="DR57" i="2421"/>
  <c r="DR84" i="2421"/>
  <c r="DR85" i="2421"/>
  <c r="DR103" i="2421"/>
  <c r="DR27" i="2421"/>
  <c r="DR55" i="2421"/>
  <c r="DR68" i="2421"/>
  <c r="DR101" i="2421"/>
  <c r="DR91" i="2421"/>
  <c r="DR39" i="2421"/>
  <c r="DR46" i="2421"/>
  <c r="DR30" i="2421"/>
  <c r="DR58" i="2421"/>
  <c r="DR79" i="2421"/>
  <c r="DR95" i="2421"/>
  <c r="DR38" i="2421"/>
  <c r="DR32" i="2421"/>
  <c r="DR22" i="2421"/>
  <c r="DR21" i="2421"/>
  <c r="DR29" i="2421"/>
  <c r="DR40" i="2421"/>
  <c r="DR106" i="2421"/>
  <c r="DR63" i="2421"/>
  <c r="DR44" i="2421"/>
  <c r="DR110" i="2421"/>
  <c r="DR54" i="2421"/>
  <c r="DR82" i="2421"/>
  <c r="DR78" i="2421"/>
  <c r="DR81" i="2421"/>
  <c r="DR73" i="2421"/>
  <c r="DR90" i="2421"/>
  <c r="DR36" i="2421"/>
  <c r="DR76" i="2421"/>
  <c r="DR31" i="2421"/>
  <c r="DR99" i="2421"/>
  <c r="DR75" i="2421"/>
  <c r="DR113" i="2421"/>
  <c r="DR48" i="2421"/>
  <c r="DR94" i="2421"/>
  <c r="DR98" i="2421"/>
  <c r="DR92" i="2421"/>
  <c r="DR107" i="2421"/>
  <c r="DR102" i="2421"/>
  <c r="DR69" i="2421"/>
  <c r="DR77" i="2421"/>
  <c r="DR24" i="2421"/>
  <c r="DR53" i="2421"/>
  <c r="DR23" i="2421"/>
  <c r="DR93" i="2421"/>
  <c r="DR61" i="2421"/>
  <c r="DR42" i="2421"/>
  <c r="DR100" i="2421"/>
  <c r="DR74" i="2421"/>
  <c r="DR33" i="2421"/>
  <c r="DR109" i="2421"/>
  <c r="DR64" i="2421"/>
  <c r="DR34" i="2421"/>
  <c r="DR108" i="2421"/>
  <c r="DR25" i="2421"/>
  <c r="DR60" i="2421"/>
  <c r="DR88" i="2421"/>
  <c r="DR66" i="2421"/>
  <c r="DR72" i="2421"/>
  <c r="DR56" i="2421"/>
  <c r="DR86" i="2421"/>
  <c r="DR43" i="2421"/>
  <c r="IW35" i="2421"/>
  <c r="IW63" i="2421"/>
  <c r="IW30" i="2421"/>
  <c r="IW97" i="2421"/>
  <c r="IW106" i="2421"/>
  <c r="IW81" i="2421"/>
  <c r="IW59" i="2421"/>
  <c r="IW93" i="2421"/>
  <c r="IW107" i="2421"/>
  <c r="IW47" i="2421"/>
  <c r="IW64" i="2421"/>
  <c r="IW99" i="2421"/>
  <c r="IW94" i="2421"/>
  <c r="IW84" i="2421"/>
  <c r="IW25" i="2421"/>
  <c r="IW41" i="2421"/>
  <c r="IW58" i="2421"/>
  <c r="IW104" i="2421"/>
  <c r="IW23" i="2421"/>
  <c r="IW28" i="2421"/>
  <c r="IW36" i="2421"/>
  <c r="IW96" i="2421"/>
  <c r="IW42" i="2421"/>
  <c r="IW22" i="2421"/>
  <c r="IW85" i="2421"/>
  <c r="IW109" i="2421"/>
  <c r="IW50" i="2421"/>
  <c r="IW60" i="2421"/>
  <c r="IW100" i="2421"/>
  <c r="IW61" i="2421"/>
  <c r="IW71" i="2421"/>
  <c r="IW92" i="2421"/>
  <c r="IW69" i="2421"/>
  <c r="IW68" i="2421"/>
  <c r="IW88" i="2421"/>
  <c r="IW65" i="2421"/>
  <c r="IW55" i="2421"/>
  <c r="IW79" i="2421"/>
  <c r="IW80" i="2421"/>
  <c r="IW26" i="2421"/>
  <c r="IW78" i="2421"/>
  <c r="IW102" i="2421"/>
  <c r="IW62" i="2421"/>
  <c r="IW39" i="2421"/>
  <c r="IW40" i="2421"/>
  <c r="IW27" i="2421"/>
  <c r="IW21" i="2421"/>
  <c r="IW76" i="2421"/>
  <c r="IW89" i="2421"/>
  <c r="IW29" i="2421"/>
  <c r="IW57" i="2421"/>
  <c r="IW48" i="2421"/>
  <c r="IW46" i="2421"/>
  <c r="IW98" i="2421"/>
  <c r="IW67" i="2421"/>
  <c r="IW74" i="2421"/>
  <c r="IW113" i="2421"/>
  <c r="IW38" i="2421"/>
  <c r="IW37" i="2421"/>
  <c r="IW52" i="2421"/>
  <c r="IW91" i="2421"/>
  <c r="IW33" i="2421"/>
  <c r="IW31" i="2421"/>
  <c r="IW101" i="2421"/>
  <c r="IW51" i="2421"/>
  <c r="IW110" i="2421"/>
  <c r="IW73" i="2421"/>
  <c r="IW20" i="2421"/>
  <c r="IW111" i="2421"/>
  <c r="IW87" i="2421"/>
  <c r="IW45" i="2421"/>
  <c r="IW24" i="2421"/>
  <c r="IW105" i="2421"/>
  <c r="IW70" i="2421"/>
  <c r="IW83" i="2421"/>
  <c r="IW66" i="2421"/>
  <c r="IW32" i="2421"/>
  <c r="IW95" i="2421"/>
  <c r="IW19" i="2421"/>
  <c r="IW103" i="2421"/>
  <c r="IW112" i="2421"/>
  <c r="IW77" i="2421"/>
  <c r="IW86" i="2421"/>
  <c r="MY78" i="2421"/>
  <c r="MY103" i="2421"/>
  <c r="FL61" i="2421"/>
  <c r="FL107" i="2421"/>
  <c r="KB97" i="2421"/>
  <c r="KB109" i="2421"/>
  <c r="KB25" i="2421"/>
  <c r="MY97" i="2421"/>
  <c r="MY105" i="2421"/>
  <c r="JM68" i="2421"/>
  <c r="JM29" i="2421"/>
  <c r="JM87" i="2421"/>
  <c r="JM103" i="2421"/>
  <c r="JM99" i="2421"/>
  <c r="JM102" i="2421"/>
  <c r="JM84" i="2421"/>
  <c r="JM59" i="2421"/>
  <c r="JM89" i="2421"/>
  <c r="JM26" i="2421"/>
  <c r="JM40" i="2421"/>
  <c r="JM67" i="2421"/>
  <c r="JM43" i="2421"/>
  <c r="JM62" i="2421"/>
  <c r="JM73" i="2421"/>
  <c r="JM23" i="2421"/>
  <c r="JM52" i="2421"/>
  <c r="JM77" i="2421"/>
  <c r="JM28" i="2421"/>
  <c r="JM41" i="2421"/>
  <c r="JM69" i="2421"/>
  <c r="JM27" i="2421"/>
  <c r="JM104" i="2421"/>
  <c r="JM45" i="2421"/>
  <c r="JM79" i="2421"/>
  <c r="JM106" i="2421"/>
  <c r="JM98" i="2421"/>
  <c r="JM108" i="2421"/>
  <c r="JM55" i="2421"/>
  <c r="JM80" i="2421"/>
  <c r="JM111" i="2421"/>
  <c r="JM86" i="2421"/>
  <c r="JM90" i="2421"/>
  <c r="JM46" i="2421"/>
  <c r="JM112" i="2421"/>
  <c r="JM36" i="2421"/>
  <c r="JM60" i="2421"/>
  <c r="JM37" i="2421"/>
  <c r="JM51" i="2421"/>
  <c r="JM63" i="2421"/>
  <c r="JM109" i="2421"/>
  <c r="JM110" i="2421"/>
  <c r="JM53" i="2421"/>
  <c r="JM44" i="2421"/>
  <c r="JM54" i="2421"/>
  <c r="JM31" i="2421"/>
  <c r="JM95" i="2421"/>
  <c r="JM93" i="2421"/>
  <c r="JM96" i="2421"/>
  <c r="JM85" i="2421"/>
  <c r="JM38" i="2421"/>
  <c r="JM61" i="2421"/>
  <c r="JM58" i="2421"/>
  <c r="JM88" i="2421"/>
  <c r="JM30" i="2421"/>
  <c r="JM92" i="2421"/>
  <c r="JM94" i="2421"/>
  <c r="JM56" i="2421"/>
  <c r="JM97" i="2421"/>
  <c r="JM105" i="2421"/>
  <c r="JM91" i="2421"/>
  <c r="JM25" i="2421"/>
  <c r="JM57" i="2421"/>
  <c r="JM49" i="2421"/>
  <c r="JM82" i="2421"/>
  <c r="JM47" i="2421"/>
  <c r="JM70" i="2421"/>
  <c r="JM83" i="2421"/>
  <c r="JM100" i="2421"/>
  <c r="JM107" i="2421"/>
  <c r="JM74" i="2421"/>
  <c r="JM72" i="2421"/>
  <c r="JM50" i="2421"/>
  <c r="JM20" i="2421"/>
  <c r="JM113" i="2421"/>
  <c r="JM75" i="2421"/>
  <c r="FL89" i="2421"/>
  <c r="KB38" i="2421"/>
  <c r="MY77" i="2421"/>
  <c r="KB57" i="2421"/>
  <c r="QK84" i="2421"/>
  <c r="QK36" i="2421"/>
  <c r="QK79" i="2421"/>
  <c r="QK47" i="2421"/>
  <c r="QK29" i="2421"/>
  <c r="QK59" i="2421"/>
  <c r="QK100" i="2421"/>
  <c r="QK94" i="2421"/>
  <c r="QK20" i="2421"/>
  <c r="QK109" i="2421"/>
  <c r="QK46" i="2421"/>
  <c r="QK50" i="2421"/>
  <c r="QK52" i="2421"/>
  <c r="OB90" i="2421"/>
  <c r="OB37" i="2421"/>
  <c r="OB103" i="2421"/>
  <c r="OB33" i="2421"/>
  <c r="OB95" i="2421"/>
  <c r="OB99" i="2421"/>
  <c r="OB100" i="2421"/>
  <c r="OB76" i="2421"/>
  <c r="OB112" i="2421"/>
  <c r="OB105" i="2421"/>
  <c r="OB31" i="2421"/>
  <c r="OB94" i="2421"/>
  <c r="QK95" i="2421"/>
  <c r="QK51" i="2421"/>
  <c r="QK25" i="2421"/>
  <c r="QK80" i="2421"/>
  <c r="QK76" i="2421"/>
  <c r="QK103" i="2421"/>
  <c r="QK30" i="2421"/>
  <c r="QK89" i="2421"/>
  <c r="QK41" i="2421"/>
  <c r="QK83" i="2421"/>
  <c r="QK45" i="2421"/>
  <c r="OB20" i="2421"/>
  <c r="OB44" i="2421"/>
  <c r="OB102" i="2421"/>
  <c r="OB78" i="2421"/>
  <c r="OB51" i="2421"/>
  <c r="OB86" i="2421"/>
  <c r="OB98" i="2421"/>
  <c r="OB67" i="2421"/>
  <c r="OB34" i="2421"/>
  <c r="OB60" i="2421"/>
  <c r="OB57" i="2421"/>
  <c r="OB93" i="2421"/>
  <c r="QK112" i="2421"/>
  <c r="QK63" i="2421"/>
  <c r="QK81" i="2421"/>
  <c r="QK65" i="2421"/>
  <c r="QK93" i="2421"/>
  <c r="QK98" i="2421"/>
  <c r="QK31" i="2421"/>
  <c r="QK82" i="2421"/>
  <c r="QK44" i="2421"/>
  <c r="QK28" i="2421"/>
  <c r="QK106" i="2421"/>
  <c r="QK110" i="2421"/>
  <c r="OB21" i="2421"/>
  <c r="OB41" i="2421"/>
  <c r="OB85" i="2421"/>
  <c r="OB30" i="2421"/>
  <c r="OB25" i="2421"/>
  <c r="OB97" i="2421"/>
  <c r="OB32" i="2421"/>
  <c r="OB106" i="2421"/>
  <c r="OB101" i="2421"/>
  <c r="OB19" i="2421"/>
  <c r="OB23" i="2421"/>
  <c r="OB49" i="2421"/>
  <c r="OB35" i="2421"/>
  <c r="KA96" i="2421"/>
  <c r="KA64" i="2421"/>
  <c r="KA106" i="2421"/>
  <c r="KP21" i="2421"/>
  <c r="KP97" i="2421"/>
  <c r="KP67" i="2421"/>
  <c r="KP30" i="2421"/>
  <c r="KP73" i="2421"/>
  <c r="KP28" i="2421"/>
  <c r="KP107" i="2421"/>
  <c r="KP81" i="2421"/>
  <c r="KP31" i="2421"/>
  <c r="KP65" i="2421"/>
  <c r="KP20" i="2421"/>
  <c r="KP26" i="2421"/>
  <c r="KP110" i="2421"/>
  <c r="QK56" i="2421"/>
  <c r="QK68" i="2421"/>
  <c r="QK70" i="2421"/>
  <c r="QK61" i="2421"/>
  <c r="QK53" i="2421"/>
  <c r="QK73" i="2421"/>
  <c r="QK111" i="2421"/>
  <c r="QK101" i="2421"/>
  <c r="QK86" i="2421"/>
  <c r="QK54" i="2421"/>
  <c r="QK39" i="2421"/>
  <c r="QK26" i="2421"/>
  <c r="OB45" i="2421"/>
  <c r="OB110" i="2421"/>
  <c r="OB74" i="2421"/>
  <c r="OB66" i="2421"/>
  <c r="OB111" i="2421"/>
  <c r="OB47" i="2421"/>
  <c r="OB38" i="2421"/>
  <c r="OB109" i="2421"/>
  <c r="OB58" i="2421"/>
  <c r="OB72" i="2421"/>
  <c r="OB79" i="2421"/>
  <c r="OB26" i="2421"/>
  <c r="KA101" i="2421"/>
  <c r="KA102" i="2421"/>
  <c r="KA52" i="2421"/>
  <c r="KP112" i="2421"/>
  <c r="KP109" i="2421"/>
  <c r="KP41" i="2421"/>
  <c r="KP55" i="2421"/>
  <c r="KP44" i="2421"/>
  <c r="KP38" i="2421"/>
  <c r="KP89" i="2421"/>
  <c r="KP77" i="2421"/>
  <c r="KP37" i="2421"/>
  <c r="KP105" i="2421"/>
  <c r="KP76" i="2421"/>
  <c r="KP100" i="2421"/>
  <c r="QK105" i="2421"/>
  <c r="QK74" i="2421"/>
  <c r="QK96" i="2421"/>
  <c r="QK40" i="2421"/>
  <c r="QK48" i="2421"/>
  <c r="QK38" i="2421"/>
  <c r="QK104" i="2421"/>
  <c r="QK27" i="2421"/>
  <c r="QK43" i="2421"/>
  <c r="QK58" i="2421"/>
  <c r="QK113" i="2421"/>
  <c r="OB62" i="2421"/>
  <c r="OB82" i="2421"/>
  <c r="OB92" i="2421"/>
  <c r="OB63" i="2421"/>
  <c r="OB36" i="2421"/>
  <c r="OB43" i="2421"/>
  <c r="OB104" i="2421"/>
  <c r="OB84" i="2421"/>
  <c r="OB52" i="2421"/>
  <c r="OB42" i="2421"/>
  <c r="OB91" i="2421"/>
  <c r="OB53" i="2421"/>
  <c r="KA81" i="2421"/>
  <c r="KA111" i="2421"/>
  <c r="KA72" i="2421"/>
  <c r="KP70" i="2421"/>
  <c r="KP63" i="2421"/>
  <c r="KP59" i="2421"/>
  <c r="KP50" i="2421"/>
  <c r="KP51" i="2421"/>
  <c r="KP57" i="2421"/>
  <c r="KP72" i="2421"/>
  <c r="KP87" i="2421"/>
  <c r="KP58" i="2421"/>
  <c r="KP60" i="2421"/>
  <c r="KP101" i="2421"/>
  <c r="KP98" i="2421"/>
  <c r="QK37" i="2421"/>
  <c r="QK107" i="2421"/>
  <c r="QK69" i="2421"/>
  <c r="QK23" i="2421"/>
  <c r="QK66" i="2421"/>
  <c r="QK102" i="2421"/>
  <c r="QK72" i="2421"/>
  <c r="QK75" i="2421"/>
  <c r="QK62" i="2421"/>
  <c r="OB28" i="2421"/>
  <c r="OB77" i="2421"/>
  <c r="OB89" i="2421"/>
  <c r="OB68" i="2421"/>
  <c r="OB24" i="2421"/>
  <c r="OB39" i="2421"/>
  <c r="OB80" i="2421"/>
  <c r="OB71" i="2421"/>
  <c r="OB50" i="2421"/>
  <c r="OB113" i="2421"/>
  <c r="OB96" i="2421"/>
  <c r="KA75" i="2421"/>
  <c r="KA34" i="2421"/>
  <c r="KA82" i="2421"/>
  <c r="KP36" i="2421"/>
  <c r="KP32" i="2421"/>
  <c r="KP88" i="2421"/>
  <c r="KP25" i="2421"/>
  <c r="KP42" i="2421"/>
  <c r="KP52" i="2421"/>
  <c r="KP95" i="2421"/>
  <c r="KP79" i="2421"/>
  <c r="KP103" i="2421"/>
  <c r="KP92" i="2421"/>
  <c r="KP23" i="2421"/>
  <c r="KP66" i="2421"/>
  <c r="QK92" i="2421"/>
  <c r="QK97" i="2421"/>
  <c r="QK78" i="2421"/>
  <c r="QK99" i="2421"/>
  <c r="QK87" i="2421"/>
  <c r="QK42" i="2421"/>
  <c r="QK85" i="2421"/>
  <c r="QK55" i="2421"/>
  <c r="QK88" i="2421"/>
  <c r="OB22" i="2421"/>
  <c r="OB65" i="2421"/>
  <c r="OB107" i="2421"/>
  <c r="OB70" i="2421"/>
  <c r="OB108" i="2421"/>
  <c r="OB46" i="2421"/>
  <c r="OB69" i="2421"/>
  <c r="OB87" i="2421"/>
  <c r="OB54" i="2421"/>
  <c r="OB61" i="2421"/>
  <c r="OB56" i="2421"/>
  <c r="KA27" i="2421"/>
  <c r="KA67" i="2421"/>
  <c r="KA97" i="2421"/>
  <c r="KP34" i="2421"/>
  <c r="KP106" i="2421"/>
  <c r="KP111" i="2421"/>
  <c r="KP102" i="2421"/>
  <c r="KP93" i="2421"/>
  <c r="KP53" i="2421"/>
  <c r="KP85" i="2421"/>
  <c r="KP40" i="2421"/>
  <c r="KP90" i="2421"/>
  <c r="KP108" i="2421"/>
  <c r="EH59" i="2421"/>
  <c r="EH30" i="2421"/>
  <c r="FK84" i="2421"/>
  <c r="FK25" i="2421"/>
  <c r="FK43" i="2421"/>
  <c r="FK109" i="2421"/>
  <c r="FK31" i="2421"/>
  <c r="FK86" i="2421"/>
  <c r="FK56" i="2421"/>
  <c r="FK64" i="2421"/>
  <c r="FK59" i="2421"/>
  <c r="FK61" i="2421"/>
  <c r="FK33" i="2421"/>
  <c r="FK51" i="2421"/>
  <c r="KA21" i="2421"/>
  <c r="KA109" i="2421"/>
  <c r="KA37" i="2421"/>
  <c r="KA95" i="2421"/>
  <c r="KA79" i="2421"/>
  <c r="KA84" i="2421"/>
  <c r="KA110" i="2421"/>
  <c r="KA104" i="2421"/>
  <c r="KA88" i="2421"/>
  <c r="KA53" i="2421"/>
  <c r="KA31" i="2421"/>
  <c r="KA29" i="2421"/>
  <c r="EH29" i="2421"/>
  <c r="FK96" i="2421"/>
  <c r="FK40" i="2421"/>
  <c r="FK24" i="2421"/>
  <c r="FK104" i="2421"/>
  <c r="FK77" i="2421"/>
  <c r="FK74" i="2421"/>
  <c r="FK98" i="2421"/>
  <c r="FK110" i="2421"/>
  <c r="FK27" i="2421"/>
  <c r="FK105" i="2421"/>
  <c r="FK58" i="2421"/>
  <c r="FK34" i="2421"/>
  <c r="KA90" i="2421"/>
  <c r="KA38" i="2421"/>
  <c r="KA42" i="2421"/>
  <c r="KA63" i="2421"/>
  <c r="KA86" i="2421"/>
  <c r="KA98" i="2421"/>
  <c r="KA54" i="2421"/>
  <c r="KA56" i="2421"/>
  <c r="KA48" i="2421"/>
  <c r="KA77" i="2421"/>
  <c r="KA58" i="2421"/>
  <c r="EH54" i="2421"/>
  <c r="FK89" i="2421"/>
  <c r="FK102" i="2421"/>
  <c r="FK19" i="2421"/>
  <c r="FK62" i="2421"/>
  <c r="FK55" i="2421"/>
  <c r="FK91" i="2421"/>
  <c r="FK53" i="2421"/>
  <c r="FK46" i="2421"/>
  <c r="FK113" i="2421"/>
  <c r="FK60" i="2421"/>
  <c r="FK79" i="2421"/>
  <c r="FK57" i="2421"/>
  <c r="KA22" i="2421"/>
  <c r="KA61" i="2421"/>
  <c r="KA105" i="2421"/>
  <c r="KA40" i="2421"/>
  <c r="KA112" i="2421"/>
  <c r="KA28" i="2421"/>
  <c r="KA23" i="2421"/>
  <c r="KA107" i="2421"/>
  <c r="KA74" i="2421"/>
  <c r="KA69" i="2421"/>
  <c r="KA71" i="2421"/>
  <c r="KA66" i="2421"/>
  <c r="KA87" i="2421"/>
  <c r="EH49" i="2421"/>
  <c r="EH41" i="2421"/>
  <c r="FK65" i="2421"/>
  <c r="FK63" i="2421"/>
  <c r="FK107" i="2421"/>
  <c r="FK23" i="2421"/>
  <c r="FK103" i="2421"/>
  <c r="FK95" i="2421"/>
  <c r="FK71" i="2421"/>
  <c r="FK82" i="2421"/>
  <c r="FK36" i="2421"/>
  <c r="FK41" i="2421"/>
  <c r="FK30" i="2421"/>
  <c r="FK66" i="2421"/>
  <c r="KA91" i="2421"/>
  <c r="KA60" i="2421"/>
  <c r="KA99" i="2421"/>
  <c r="KA70" i="2421"/>
  <c r="KA93" i="2421"/>
  <c r="KA85" i="2421"/>
  <c r="KA73" i="2421"/>
  <c r="KA62" i="2421"/>
  <c r="KA46" i="2421"/>
  <c r="KA20" i="2421"/>
  <c r="KA30" i="2421"/>
  <c r="KA78" i="2421"/>
  <c r="EH52" i="2421"/>
  <c r="EH63" i="2421"/>
  <c r="FK37" i="2421"/>
  <c r="FK80" i="2421"/>
  <c r="FK38" i="2421"/>
  <c r="FK92" i="2421"/>
  <c r="FK99" i="2421"/>
  <c r="FK85" i="2421"/>
  <c r="FK32" i="2421"/>
  <c r="FK106" i="2421"/>
  <c r="FK26" i="2421"/>
  <c r="FK108" i="2421"/>
  <c r="FK45" i="2421"/>
  <c r="KA92" i="2421"/>
  <c r="KA45" i="2421"/>
  <c r="KA80" i="2421"/>
  <c r="KA39" i="2421"/>
  <c r="KA113" i="2421"/>
  <c r="KA94" i="2421"/>
  <c r="KA55" i="2421"/>
  <c r="KA59" i="2421"/>
  <c r="KA100" i="2421"/>
  <c r="KA41" i="2421"/>
  <c r="KA51" i="2421"/>
  <c r="KA57" i="2421"/>
  <c r="GA102" i="2421"/>
  <c r="KA50" i="2421"/>
  <c r="EH112" i="2421"/>
  <c r="EH27" i="2421"/>
  <c r="FK39" i="2421"/>
  <c r="FK47" i="2421"/>
  <c r="FK76" i="2421"/>
  <c r="FK83" i="2421"/>
  <c r="FK68" i="2421"/>
  <c r="FK93" i="2421"/>
  <c r="FK42" i="2421"/>
  <c r="FK73" i="2421"/>
  <c r="FK49" i="2421"/>
  <c r="FK44" i="2421"/>
  <c r="KA35" i="2421"/>
  <c r="KA65" i="2421"/>
  <c r="KA47" i="2421"/>
  <c r="KA24" i="2421"/>
  <c r="KA76" i="2421"/>
  <c r="KA83" i="2421"/>
  <c r="KA103" i="2421"/>
  <c r="KA32" i="2421"/>
  <c r="KA49" i="2421"/>
  <c r="KA43" i="2421"/>
  <c r="KA19" i="2421"/>
  <c r="EG88" i="2421"/>
  <c r="EG76" i="2421"/>
  <c r="EG99" i="2421"/>
  <c r="EG41" i="2421"/>
  <c r="EG64" i="2421"/>
  <c r="EG30" i="2421"/>
  <c r="EG40" i="2421"/>
  <c r="EG74" i="2421"/>
  <c r="EG34" i="2421"/>
  <c r="EG59" i="2421"/>
  <c r="EG91" i="2421"/>
  <c r="JL24" i="2421"/>
  <c r="JL42" i="2421"/>
  <c r="JL91" i="2421"/>
  <c r="JL101" i="2421"/>
  <c r="JL65" i="2421"/>
  <c r="JL33" i="2421"/>
  <c r="JL30" i="2421"/>
  <c r="JL29" i="2421"/>
  <c r="JL51" i="2421"/>
  <c r="JL50" i="2421"/>
  <c r="JL111" i="2421"/>
  <c r="JL103" i="2421"/>
  <c r="GA93" i="2421"/>
  <c r="EG63" i="2421"/>
  <c r="EG97" i="2421"/>
  <c r="EG50" i="2421"/>
  <c r="EG95" i="2421"/>
  <c r="EG45" i="2421"/>
  <c r="EG36" i="2421"/>
  <c r="EG92" i="2421"/>
  <c r="EG102" i="2421"/>
  <c r="EG37" i="2421"/>
  <c r="EG100" i="2421"/>
  <c r="EG81" i="2421"/>
  <c r="EG32" i="2421"/>
  <c r="JL78" i="2421"/>
  <c r="JL43" i="2421"/>
  <c r="JL41" i="2421"/>
  <c r="JL109" i="2421"/>
  <c r="JL47" i="2421"/>
  <c r="JL44" i="2421"/>
  <c r="JL81" i="2421"/>
  <c r="JL76" i="2421"/>
  <c r="JL85" i="2421"/>
  <c r="JL40" i="2421"/>
  <c r="JL113" i="2421"/>
  <c r="GA100" i="2421"/>
  <c r="GA20" i="2421"/>
  <c r="EG68" i="2421"/>
  <c r="EG46" i="2421"/>
  <c r="EG67" i="2421"/>
  <c r="EG85" i="2421"/>
  <c r="EG62" i="2421"/>
  <c r="EG29" i="2421"/>
  <c r="EG28" i="2421"/>
  <c r="EG90" i="2421"/>
  <c r="EG47" i="2421"/>
  <c r="EG98" i="2421"/>
  <c r="EG110" i="2421"/>
  <c r="EG43" i="2421"/>
  <c r="JL52" i="2421"/>
  <c r="JL26" i="2421"/>
  <c r="JL96" i="2421"/>
  <c r="JL90" i="2421"/>
  <c r="JL97" i="2421"/>
  <c r="JL70" i="2421"/>
  <c r="JL28" i="2421"/>
  <c r="JL99" i="2421"/>
  <c r="JL64" i="2421"/>
  <c r="JL68" i="2421"/>
  <c r="JL69" i="2421"/>
  <c r="GA77" i="2421"/>
  <c r="GA31" i="2421"/>
  <c r="CN48" i="2421"/>
  <c r="HT96" i="2421"/>
  <c r="EG20" i="2421"/>
  <c r="EG19" i="2421"/>
  <c r="EG109" i="2421"/>
  <c r="EG112" i="2421"/>
  <c r="EG89" i="2421"/>
  <c r="EG26" i="2421"/>
  <c r="EG27" i="2421"/>
  <c r="EG61" i="2421"/>
  <c r="EG51" i="2421"/>
  <c r="EG73" i="2421"/>
  <c r="EG24" i="2421"/>
  <c r="EG83" i="2421"/>
  <c r="JL22" i="2421"/>
  <c r="JL67" i="2421"/>
  <c r="JL77" i="2421"/>
  <c r="JL32" i="2421"/>
  <c r="JL54" i="2421"/>
  <c r="JL112" i="2421"/>
  <c r="JL82" i="2421"/>
  <c r="JL75" i="2421"/>
  <c r="JL84" i="2421"/>
  <c r="JL83" i="2421"/>
  <c r="JL104" i="2421"/>
  <c r="JL31" i="2421"/>
  <c r="GA45" i="2421"/>
  <c r="CN33" i="2421"/>
  <c r="HT82" i="2421"/>
  <c r="EG23" i="2421"/>
  <c r="EG31" i="2421"/>
  <c r="EG48" i="2421"/>
  <c r="EG111" i="2421"/>
  <c r="EG65" i="2421"/>
  <c r="EG107" i="2421"/>
  <c r="EG93" i="2421"/>
  <c r="EG104" i="2421"/>
  <c r="EG94" i="2421"/>
  <c r="EG38" i="2421"/>
  <c r="EG66" i="2421"/>
  <c r="EG82" i="2421"/>
  <c r="JL71" i="2421"/>
  <c r="JL80" i="2421"/>
  <c r="JL57" i="2421"/>
  <c r="JL46" i="2421"/>
  <c r="JL105" i="2421"/>
  <c r="JL39" i="2421"/>
  <c r="JL55" i="2421"/>
  <c r="JL94" i="2421"/>
  <c r="JL45" i="2421"/>
  <c r="JL100" i="2421"/>
  <c r="JL62" i="2421"/>
  <c r="JL73" i="2421"/>
  <c r="GA101" i="2421"/>
  <c r="CN94" i="2421"/>
  <c r="EG22" i="2421"/>
  <c r="EG21" i="2421"/>
  <c r="EG108" i="2421"/>
  <c r="EG77" i="2421"/>
  <c r="EG96" i="2421"/>
  <c r="EG70" i="2421"/>
  <c r="EG44" i="2421"/>
  <c r="EG78" i="2421"/>
  <c r="EG113" i="2421"/>
  <c r="EG80" i="2421"/>
  <c r="EG56" i="2421"/>
  <c r="EG57" i="2421"/>
  <c r="EG101" i="2421"/>
  <c r="EG58" i="2421"/>
  <c r="JL20" i="2421"/>
  <c r="JL74" i="2421"/>
  <c r="JL49" i="2421"/>
  <c r="JL58" i="2421"/>
  <c r="JL60" i="2421"/>
  <c r="JL36" i="2421"/>
  <c r="JL25" i="2421"/>
  <c r="JL93" i="2421"/>
  <c r="JL23" i="2421"/>
  <c r="JL98" i="2421"/>
  <c r="JL108" i="2421"/>
  <c r="JL38" i="2421"/>
  <c r="GA26" i="2421"/>
  <c r="GA91" i="2421"/>
  <c r="EG75" i="2421"/>
  <c r="EG106" i="2421"/>
  <c r="EG53" i="2421"/>
  <c r="EG49" i="2421"/>
  <c r="EG42" i="2421"/>
  <c r="EG55" i="2421"/>
  <c r="EG33" i="2421"/>
  <c r="EG105" i="2421"/>
  <c r="EG39" i="2421"/>
  <c r="EG79" i="2421"/>
  <c r="JL89" i="2421"/>
  <c r="JL59" i="2421"/>
  <c r="JL61" i="2421"/>
  <c r="JL87" i="2421"/>
  <c r="JL86" i="2421"/>
  <c r="JL34" i="2421"/>
  <c r="JL102" i="2421"/>
  <c r="JL35" i="2421"/>
  <c r="JL27" i="2421"/>
  <c r="JL106" i="2421"/>
  <c r="JL37" i="2421"/>
  <c r="GA105" i="2421"/>
  <c r="IX29" i="2421"/>
  <c r="IX64" i="2421"/>
  <c r="EH81" i="2421"/>
  <c r="EH48" i="2421"/>
  <c r="EH61" i="2421"/>
  <c r="EH66" i="2421"/>
  <c r="EH56" i="2421"/>
  <c r="EH57" i="2421"/>
  <c r="EH43" i="2421"/>
  <c r="EH111" i="2421"/>
  <c r="EH98" i="2421"/>
  <c r="EH68" i="2421"/>
  <c r="EH62" i="2421"/>
  <c r="GA29" i="2421"/>
  <c r="GA89" i="2421"/>
  <c r="GA51" i="2421"/>
  <c r="GA60" i="2421"/>
  <c r="GA109" i="2421"/>
  <c r="GA63" i="2421"/>
  <c r="GA41" i="2421"/>
  <c r="GA72" i="2421"/>
  <c r="GA69" i="2421"/>
  <c r="GA25" i="2421"/>
  <c r="GA96" i="2421"/>
  <c r="IX39" i="2421"/>
  <c r="IX109" i="2421"/>
  <c r="EH110" i="2421"/>
  <c r="EH105" i="2421"/>
  <c r="EH71" i="2421"/>
  <c r="EH37" i="2421"/>
  <c r="EH36" i="2421"/>
  <c r="EH79" i="2421"/>
  <c r="EH69" i="2421"/>
  <c r="EH107" i="2421"/>
  <c r="EH91" i="2421"/>
  <c r="EH58" i="2421"/>
  <c r="GA79" i="2421"/>
  <c r="GA42" i="2421"/>
  <c r="GA107" i="2421"/>
  <c r="GA47" i="2421"/>
  <c r="GA53" i="2421"/>
  <c r="GA48" i="2421"/>
  <c r="GA38" i="2421"/>
  <c r="GA88" i="2421"/>
  <c r="GA85" i="2421"/>
  <c r="GA64" i="2421"/>
  <c r="IX79" i="2421"/>
  <c r="EH70" i="2421"/>
  <c r="EH90" i="2421"/>
  <c r="EH45" i="2421"/>
  <c r="EH60" i="2421"/>
  <c r="EH23" i="2421"/>
  <c r="EH46" i="2421"/>
  <c r="EH87" i="2421"/>
  <c r="EH78" i="2421"/>
  <c r="EH97" i="2421"/>
  <c r="EH96" i="2421"/>
  <c r="EH64" i="2421"/>
  <c r="GA57" i="2421"/>
  <c r="GA104" i="2421"/>
  <c r="GA55" i="2421"/>
  <c r="GA83" i="2421"/>
  <c r="GA28" i="2421"/>
  <c r="GA78" i="2421"/>
  <c r="GA97" i="2421"/>
  <c r="GA87" i="2421"/>
  <c r="GA74" i="2421"/>
  <c r="GA61" i="2421"/>
  <c r="GA98" i="2421"/>
  <c r="HS78" i="2421"/>
  <c r="IX83" i="2421"/>
  <c r="IX27" i="2421"/>
  <c r="EH93" i="2421"/>
  <c r="EH95" i="2421"/>
  <c r="EH113" i="2421"/>
  <c r="EH31" i="2421"/>
  <c r="EH109" i="2421"/>
  <c r="EH55" i="2421"/>
  <c r="EH39" i="2421"/>
  <c r="EH101" i="2421"/>
  <c r="EH108" i="2421"/>
  <c r="EH19" i="2421"/>
  <c r="EH83" i="2421"/>
  <c r="EH47" i="2421"/>
  <c r="GA111" i="2421"/>
  <c r="GA99" i="2421"/>
  <c r="GA54" i="2421"/>
  <c r="GA82" i="2421"/>
  <c r="GA108" i="2421"/>
  <c r="GA90" i="2421"/>
  <c r="GA68" i="2421"/>
  <c r="GA30" i="2421"/>
  <c r="GA71" i="2421"/>
  <c r="GA36" i="2421"/>
  <c r="GA80" i="2421"/>
  <c r="IX94" i="2421"/>
  <c r="IX66" i="2421"/>
  <c r="EH26" i="2421"/>
  <c r="EH104" i="2421"/>
  <c r="EH73" i="2421"/>
  <c r="EH106" i="2421"/>
  <c r="EH84" i="2421"/>
  <c r="EH77" i="2421"/>
  <c r="EH25" i="2421"/>
  <c r="EH53" i="2421"/>
  <c r="EH94" i="2421"/>
  <c r="EH65" i="2421"/>
  <c r="GA46" i="2421"/>
  <c r="GA56" i="2421"/>
  <c r="GA73" i="2421"/>
  <c r="GA19" i="2421"/>
  <c r="GA50" i="2421"/>
  <c r="GA106" i="2421"/>
  <c r="GA112" i="2421"/>
  <c r="GA103" i="2421"/>
  <c r="GA49" i="2421"/>
  <c r="GA94" i="2421"/>
  <c r="GA86" i="2421"/>
  <c r="GA52" i="2421"/>
  <c r="IX92" i="2421"/>
  <c r="EH50" i="2421"/>
  <c r="EH38" i="2421"/>
  <c r="EH72" i="2421"/>
  <c r="EH89" i="2421"/>
  <c r="EH102" i="2421"/>
  <c r="EH88" i="2421"/>
  <c r="EH75" i="2421"/>
  <c r="EH74" i="2421"/>
  <c r="EH85" i="2421"/>
  <c r="EH44" i="2421"/>
  <c r="EH80" i="2421"/>
  <c r="GA84" i="2421"/>
  <c r="GA113" i="2421"/>
  <c r="GA110" i="2421"/>
  <c r="GA92" i="2421"/>
  <c r="GA95" i="2421"/>
  <c r="GA76" i="2421"/>
  <c r="GA27" i="2421"/>
  <c r="GA67" i="2421"/>
  <c r="GA81" i="2421"/>
  <c r="GA59" i="2421"/>
  <c r="GA65" i="2421"/>
  <c r="CO53" i="2421"/>
  <c r="EH99" i="2421"/>
  <c r="EH86" i="2421"/>
  <c r="EH100" i="2421"/>
  <c r="EH82" i="2421"/>
  <c r="EH67" i="2421"/>
  <c r="EH20" i="2421"/>
  <c r="EH103" i="2421"/>
  <c r="EH92" i="2421"/>
  <c r="EH42" i="2421"/>
  <c r="EH40" i="2421"/>
  <c r="GA23" i="2421"/>
  <c r="GA39" i="2421"/>
  <c r="GA44" i="2421"/>
  <c r="GA40" i="2421"/>
  <c r="GA66" i="2421"/>
  <c r="GA62" i="2421"/>
  <c r="GA70" i="2421"/>
  <c r="GA75" i="2421"/>
  <c r="GA37" i="2421"/>
  <c r="GA43" i="2421"/>
  <c r="CO96" i="2421"/>
  <c r="CO69" i="2421"/>
  <c r="HS94" i="2421"/>
  <c r="HS46" i="2421"/>
  <c r="IX53" i="2421"/>
  <c r="IX68" i="2421"/>
  <c r="IX50" i="2421"/>
  <c r="IX97" i="2421"/>
  <c r="IX52" i="2421"/>
  <c r="IX44" i="2421"/>
  <c r="IX60" i="2421"/>
  <c r="IX88" i="2421"/>
  <c r="IX80" i="2421"/>
  <c r="IX40" i="2421"/>
  <c r="IX100" i="2421"/>
  <c r="IX91" i="2421"/>
  <c r="CO105" i="2421"/>
  <c r="CO29" i="2421"/>
  <c r="HS45" i="2421"/>
  <c r="IX111" i="2421"/>
  <c r="IX58" i="2421"/>
  <c r="IX30" i="2421"/>
  <c r="IX82" i="2421"/>
  <c r="IX86" i="2421"/>
  <c r="IX98" i="2421"/>
  <c r="IX110" i="2421"/>
  <c r="IX89" i="2421"/>
  <c r="IX42" i="2421"/>
  <c r="IX85" i="2421"/>
  <c r="IX47" i="2421"/>
  <c r="HS61" i="2421"/>
  <c r="IX108" i="2421"/>
  <c r="IX96" i="2421"/>
  <c r="IX105" i="2421"/>
  <c r="IX49" i="2421"/>
  <c r="IX112" i="2421"/>
  <c r="IX28" i="2421"/>
  <c r="IX93" i="2421"/>
  <c r="IX87" i="2421"/>
  <c r="IX99" i="2421"/>
  <c r="IX65" i="2421"/>
  <c r="CO26" i="2421"/>
  <c r="CO54" i="2421"/>
  <c r="HS40" i="2421"/>
  <c r="IX36" i="2421"/>
  <c r="IX70" i="2421"/>
  <c r="IX56" i="2421"/>
  <c r="IX104" i="2421"/>
  <c r="IX102" i="2421"/>
  <c r="IX61" i="2421"/>
  <c r="IX26" i="2421"/>
  <c r="IX90" i="2421"/>
  <c r="IX48" i="2421"/>
  <c r="CO25" i="2421"/>
  <c r="HS38" i="2421"/>
  <c r="IX106" i="2421"/>
  <c r="IX107" i="2421"/>
  <c r="IX78" i="2421"/>
  <c r="IX31" i="2421"/>
  <c r="IX72" i="2421"/>
  <c r="IX59" i="2421"/>
  <c r="IX41" i="2421"/>
  <c r="IX38" i="2421"/>
  <c r="IX95" i="2421"/>
  <c r="IX57" i="2421"/>
  <c r="IX75" i="2421"/>
  <c r="CO23" i="2421"/>
  <c r="CO113" i="2421"/>
  <c r="HS80" i="2421"/>
  <c r="HS51" i="2421"/>
  <c r="IX43" i="2421"/>
  <c r="IX19" i="2421"/>
  <c r="IX73" i="2421"/>
  <c r="IX77" i="2421"/>
  <c r="IX51" i="2421"/>
  <c r="IX76" i="2421"/>
  <c r="IX74" i="2421"/>
  <c r="IX45" i="2421"/>
  <c r="IX113" i="2421"/>
  <c r="IX37" i="2421"/>
  <c r="IX101" i="2421"/>
  <c r="IX46" i="2421"/>
  <c r="IX54" i="2421"/>
  <c r="CO37" i="2421"/>
  <c r="HS83" i="2421"/>
  <c r="HS63" i="2421"/>
  <c r="IX25" i="2421"/>
  <c r="IX20" i="2421"/>
  <c r="IX84" i="2421"/>
  <c r="IX103" i="2421"/>
  <c r="IX62" i="2421"/>
  <c r="IX81" i="2421"/>
  <c r="IX55" i="2421"/>
  <c r="IX23" i="2421"/>
  <c r="IX69" i="2421"/>
  <c r="IX67" i="2421"/>
  <c r="CO92" i="2421"/>
  <c r="CO80" i="2421"/>
  <c r="CO31" i="2421"/>
  <c r="CO44" i="2421"/>
  <c r="CO81" i="2421"/>
  <c r="CO99" i="2421"/>
  <c r="CO77" i="2421"/>
  <c r="CO108" i="2421"/>
  <c r="CO52" i="2421"/>
  <c r="CO55" i="2421"/>
  <c r="CO61" i="2421"/>
  <c r="HS54" i="2421"/>
  <c r="HS110" i="2421"/>
  <c r="HS20" i="2421"/>
  <c r="HS56" i="2421"/>
  <c r="HS59" i="2421"/>
  <c r="HS30" i="2421"/>
  <c r="HS66" i="2421"/>
  <c r="HS57" i="2421"/>
  <c r="HS112" i="2421"/>
  <c r="HS86" i="2421"/>
  <c r="HS99" i="2421"/>
  <c r="HS55" i="2421"/>
  <c r="CO90" i="2421"/>
  <c r="CO111" i="2421"/>
  <c r="CO28" i="2421"/>
  <c r="CO41" i="2421"/>
  <c r="CO40" i="2421"/>
  <c r="CO49" i="2421"/>
  <c r="CO59" i="2421"/>
  <c r="CO36" i="2421"/>
  <c r="CO65" i="2421"/>
  <c r="CO27" i="2421"/>
  <c r="HS21" i="2421"/>
  <c r="HS95" i="2421"/>
  <c r="HS98" i="2421"/>
  <c r="HS41" i="2421"/>
  <c r="HS29" i="2421"/>
  <c r="HS37" i="2421"/>
  <c r="HS75" i="2421"/>
  <c r="HS101" i="2421"/>
  <c r="HS90" i="2421"/>
  <c r="HS70" i="2421"/>
  <c r="HS74" i="2421"/>
  <c r="HS102" i="2421"/>
  <c r="CO19" i="2421"/>
  <c r="CO78" i="2421"/>
  <c r="CO84" i="2421"/>
  <c r="CO58" i="2421"/>
  <c r="CO98" i="2421"/>
  <c r="CO86" i="2421"/>
  <c r="CO82" i="2421"/>
  <c r="CO47" i="2421"/>
  <c r="HS22" i="2421"/>
  <c r="HS85" i="2421"/>
  <c r="HS106" i="2421"/>
  <c r="HS62" i="2421"/>
  <c r="HS100" i="2421"/>
  <c r="HS33" i="2421"/>
  <c r="HS35" i="2421"/>
  <c r="HS105" i="2421"/>
  <c r="HS91" i="2421"/>
  <c r="HS34" i="2421"/>
  <c r="HS28" i="2421"/>
  <c r="HS81" i="2421"/>
  <c r="CO71" i="2421"/>
  <c r="CO20" i="2421"/>
  <c r="CO38" i="2421"/>
  <c r="CO79" i="2421"/>
  <c r="CO60" i="2421"/>
  <c r="CO91" i="2421"/>
  <c r="CO93" i="2421"/>
  <c r="CO107" i="2421"/>
  <c r="CO102" i="2421"/>
  <c r="CO87" i="2421"/>
  <c r="CO88" i="2421"/>
  <c r="CO39" i="2421"/>
  <c r="HS93" i="2421"/>
  <c r="HS107" i="2421"/>
  <c r="HS23" i="2421"/>
  <c r="HS31" i="2421"/>
  <c r="HS82" i="2421"/>
  <c r="HS24" i="2421"/>
  <c r="HS60" i="2421"/>
  <c r="HS92" i="2421"/>
  <c r="HS77" i="2421"/>
  <c r="HS65" i="2421"/>
  <c r="HS32" i="2421"/>
  <c r="CO104" i="2421"/>
  <c r="CO45" i="2421"/>
  <c r="CO67" i="2421"/>
  <c r="CO85" i="2421"/>
  <c r="CO64" i="2421"/>
  <c r="CO73" i="2421"/>
  <c r="CO48" i="2421"/>
  <c r="CO42" i="2421"/>
  <c r="CO112" i="2421"/>
  <c r="CO43" i="2421"/>
  <c r="CO74" i="2421"/>
  <c r="HS84" i="2421"/>
  <c r="HS111" i="2421"/>
  <c r="HS49" i="2421"/>
  <c r="HS108" i="2421"/>
  <c r="HS79" i="2421"/>
  <c r="HS52" i="2421"/>
  <c r="HS26" i="2421"/>
  <c r="HS42" i="2421"/>
  <c r="HS96" i="2421"/>
  <c r="HS87" i="2421"/>
  <c r="HS47" i="2421"/>
  <c r="HS72" i="2421"/>
  <c r="CO72" i="2421"/>
  <c r="CO106" i="2421"/>
  <c r="CO66" i="2421"/>
  <c r="CO110" i="2421"/>
  <c r="CO109" i="2421"/>
  <c r="CO75" i="2421"/>
  <c r="CO46" i="2421"/>
  <c r="CO97" i="2421"/>
  <c r="CO63" i="2421"/>
  <c r="CO101" i="2421"/>
  <c r="CO95" i="2421"/>
  <c r="CO94" i="2421"/>
  <c r="HS68" i="2421"/>
  <c r="HS113" i="2421"/>
  <c r="HS50" i="2421"/>
  <c r="HS89" i="2421"/>
  <c r="HS67" i="2421"/>
  <c r="HS76" i="2421"/>
  <c r="HS58" i="2421"/>
  <c r="HS97" i="2421"/>
  <c r="HS27" i="2421"/>
  <c r="HS73" i="2421"/>
  <c r="HS39" i="2421"/>
  <c r="HS43" i="2421"/>
  <c r="CO76" i="2421"/>
  <c r="CO62" i="2421"/>
  <c r="CO100" i="2421"/>
  <c r="CO70" i="2421"/>
  <c r="CO83" i="2421"/>
  <c r="CO50" i="2421"/>
  <c r="CO51" i="2421"/>
  <c r="CO56" i="2421"/>
  <c r="CO68" i="2421"/>
  <c r="CO57" i="2421"/>
  <c r="CO30" i="2421"/>
  <c r="HS48" i="2421"/>
  <c r="HS69" i="2421"/>
  <c r="HS103" i="2421"/>
  <c r="HS88" i="2421"/>
  <c r="HS71" i="2421"/>
  <c r="HS53" i="2421"/>
  <c r="HS25" i="2421"/>
  <c r="HS36" i="2421"/>
  <c r="HS44" i="2421"/>
  <c r="HS109" i="2421"/>
  <c r="HS19" i="2421"/>
  <c r="CN70" i="2421"/>
  <c r="CN106" i="2421"/>
  <c r="HT53" i="2421"/>
  <c r="HT28" i="2421"/>
  <c r="CN64" i="2421"/>
  <c r="HT38" i="2421"/>
  <c r="HT56" i="2421"/>
  <c r="CN62" i="2421"/>
  <c r="CN57" i="2421"/>
  <c r="HT83" i="2421"/>
  <c r="CN45" i="2421"/>
  <c r="CN85" i="2421"/>
  <c r="CN101" i="2421"/>
  <c r="CN91" i="2421"/>
  <c r="HT47" i="2421"/>
  <c r="HT49" i="2421"/>
  <c r="CN61" i="2421"/>
  <c r="CN110" i="2421"/>
  <c r="CN37" i="2421"/>
  <c r="CN49" i="2421"/>
  <c r="CN32" i="2421"/>
  <c r="CN96" i="2421"/>
  <c r="CN102" i="2421"/>
  <c r="CN34" i="2421"/>
  <c r="CN89" i="2421"/>
  <c r="CN109" i="2421"/>
  <c r="CN29" i="2421"/>
  <c r="CN105" i="2421"/>
  <c r="HT26" i="2421"/>
  <c r="HT50" i="2421"/>
  <c r="HT55" i="2421"/>
  <c r="HT110" i="2421"/>
  <c r="HT71" i="2421"/>
  <c r="HT23" i="2421"/>
  <c r="HT93" i="2421"/>
  <c r="HT19" i="2421"/>
  <c r="HT40" i="2421"/>
  <c r="HT67" i="2421"/>
  <c r="HT39" i="2421"/>
  <c r="HT81" i="2421"/>
  <c r="CN81" i="2421"/>
  <c r="CN98" i="2421"/>
  <c r="CN44" i="2421"/>
  <c r="CN66" i="2421"/>
  <c r="CN27" i="2421"/>
  <c r="CN75" i="2421"/>
  <c r="CN68" i="2421"/>
  <c r="CN31" i="2421"/>
  <c r="CN72" i="2421"/>
  <c r="CN71" i="2421"/>
  <c r="CN100" i="2421"/>
  <c r="CN65" i="2421"/>
  <c r="HT27" i="2421"/>
  <c r="HT25" i="2421"/>
  <c r="HT105" i="2421"/>
  <c r="HT107" i="2421"/>
  <c r="HT31" i="2421"/>
  <c r="HT104" i="2421"/>
  <c r="HT59" i="2421"/>
  <c r="HT30" i="2421"/>
  <c r="HT103" i="2421"/>
  <c r="HT36" i="2421"/>
  <c r="CN83" i="2421"/>
  <c r="CN80" i="2421"/>
  <c r="CN79" i="2421"/>
  <c r="CN93" i="2421"/>
  <c r="CN63" i="2421"/>
  <c r="CN35" i="2421"/>
  <c r="CN51" i="2421"/>
  <c r="CN86" i="2421"/>
  <c r="CN77" i="2421"/>
  <c r="CN88" i="2421"/>
  <c r="CN30" i="2421"/>
  <c r="CN87" i="2421"/>
  <c r="CN47" i="2421"/>
  <c r="HT58" i="2421"/>
  <c r="HT37" i="2421"/>
  <c r="HT77" i="2421"/>
  <c r="HT41" i="2421"/>
  <c r="HT73" i="2421"/>
  <c r="HT109" i="2421"/>
  <c r="HT86" i="2421"/>
  <c r="HT99" i="2421"/>
  <c r="HT64" i="2421"/>
  <c r="HT85" i="2421"/>
  <c r="HT52" i="2421"/>
  <c r="HT51" i="2421"/>
  <c r="CN59" i="2421"/>
  <c r="CN90" i="2421"/>
  <c r="CN36" i="2421"/>
  <c r="CN54" i="2421"/>
  <c r="CN46" i="2421"/>
  <c r="CN73" i="2421"/>
  <c r="CN97" i="2421"/>
  <c r="CN55" i="2421"/>
  <c r="CN43" i="2421"/>
  <c r="CN92" i="2421"/>
  <c r="CN52" i="2421"/>
  <c r="CN39" i="2421"/>
  <c r="HT43" i="2421"/>
  <c r="HT89" i="2421"/>
  <c r="HT57" i="2421"/>
  <c r="HT98" i="2421"/>
  <c r="HT44" i="2421"/>
  <c r="HT76" i="2421"/>
  <c r="HT94" i="2421"/>
  <c r="HT68" i="2421"/>
  <c r="HT97" i="2421"/>
  <c r="HT46" i="2421"/>
  <c r="HT79" i="2421"/>
  <c r="HT60" i="2421"/>
  <c r="CN22" i="2421"/>
  <c r="CN42" i="2421"/>
  <c r="CN60" i="2421"/>
  <c r="CN82" i="2421"/>
  <c r="CN74" i="2421"/>
  <c r="CN107" i="2421"/>
  <c r="CN76" i="2421"/>
  <c r="CN112" i="2421"/>
  <c r="CN84" i="2421"/>
  <c r="CN24" i="2421"/>
  <c r="CN95" i="2421"/>
  <c r="CN50" i="2421"/>
  <c r="CN38" i="2421"/>
  <c r="HT95" i="2421"/>
  <c r="HT48" i="2421"/>
  <c r="HT111" i="2421"/>
  <c r="HT80" i="2421"/>
  <c r="HT45" i="2421"/>
  <c r="HT70" i="2421"/>
  <c r="HT75" i="2421"/>
  <c r="HT91" i="2421"/>
  <c r="HT92" i="2421"/>
  <c r="HT62" i="2421"/>
  <c r="HT84" i="2421"/>
  <c r="CN21" i="2421"/>
  <c r="CN113" i="2421"/>
  <c r="CN23" i="2421"/>
  <c r="CN26" i="2421"/>
  <c r="CN41" i="2421"/>
  <c r="CN25" i="2421"/>
  <c r="CN103" i="2421"/>
  <c r="CN56" i="2421"/>
  <c r="CN20" i="2421"/>
  <c r="CN78" i="2421"/>
  <c r="CN111" i="2421"/>
  <c r="CN53" i="2421"/>
  <c r="CN67" i="2421"/>
  <c r="HT61" i="2421"/>
  <c r="HT72" i="2421"/>
  <c r="HT106" i="2421"/>
  <c r="HT100" i="2421"/>
  <c r="HT69" i="2421"/>
  <c r="HT54" i="2421"/>
  <c r="HT20" i="2421"/>
  <c r="HT78" i="2421"/>
  <c r="HT88" i="2421"/>
  <c r="HT102" i="2421"/>
  <c r="HT87" i="2421"/>
  <c r="CN28" i="2421"/>
  <c r="CN58" i="2421"/>
  <c r="CN108" i="2421"/>
  <c r="CN104" i="2421"/>
  <c r="CN99" i="2421"/>
  <c r="CN69" i="2421"/>
  <c r="CN40" i="2421"/>
  <c r="HT90" i="2421"/>
  <c r="HT113" i="2421"/>
  <c r="HT29" i="2421"/>
  <c r="HT74" i="2421"/>
  <c r="HT63" i="2421"/>
  <c r="HT66" i="2421"/>
  <c r="HT65" i="2421"/>
  <c r="HT108" i="2421"/>
  <c r="HT101" i="2421"/>
  <c r="HT42" i="2421"/>
  <c r="OK40" i="2421"/>
  <c r="OK18" i="2421"/>
  <c r="OK42" i="2421"/>
  <c r="OK17" i="2421"/>
  <c r="OK24" i="2421"/>
  <c r="OK112" i="2421"/>
  <c r="OK104" i="2421"/>
  <c r="OK96" i="2421"/>
  <c r="OK83" i="2421"/>
  <c r="OK80" i="2421"/>
  <c r="OK72" i="2421"/>
  <c r="OK64" i="2421"/>
  <c r="OK56" i="2421"/>
  <c r="OK44" i="2421"/>
  <c r="OK26" i="2421"/>
  <c r="OK33" i="2421"/>
  <c r="OK111" i="2421"/>
  <c r="OK103" i="2421"/>
  <c r="OK95" i="2421"/>
  <c r="OK81" i="2421"/>
  <c r="OK79" i="2421"/>
  <c r="OK71" i="2421"/>
  <c r="OK63" i="2421"/>
  <c r="OK55" i="2421"/>
  <c r="OK43" i="2421"/>
  <c r="OK31" i="2421"/>
  <c r="OK37" i="2421"/>
  <c r="OK19" i="2421"/>
  <c r="OK28" i="2421"/>
  <c r="OK110" i="2421"/>
  <c r="OK102" i="2421"/>
  <c r="OK94" i="2421"/>
  <c r="OK91" i="2421"/>
  <c r="OK78" i="2421"/>
  <c r="OK70" i="2421"/>
  <c r="OK62" i="2421"/>
  <c r="OK54" i="2421"/>
  <c r="OK51" i="2421"/>
  <c r="OK20" i="2421"/>
  <c r="OK30" i="2421"/>
  <c r="OK39" i="2421"/>
  <c r="OK109" i="2421"/>
  <c r="OK101" i="2421"/>
  <c r="OK93" i="2421"/>
  <c r="OK87" i="2421"/>
  <c r="OK77" i="2421"/>
  <c r="OK69" i="2421"/>
  <c r="OK61" i="2421"/>
  <c r="OK53" i="2421"/>
  <c r="OK49" i="2421"/>
  <c r="OK35" i="2421"/>
  <c r="OK21" i="2421"/>
  <c r="OK32" i="2421"/>
  <c r="OK108" i="2421"/>
  <c r="OK100" i="2421"/>
  <c r="OK89" i="2421"/>
  <c r="OK92" i="2421"/>
  <c r="OK76" i="2421"/>
  <c r="OK68" i="2421"/>
  <c r="OK60" i="2421"/>
  <c r="OK52" i="2421"/>
  <c r="OK47" i="2421"/>
  <c r="OK41" i="2421"/>
  <c r="OK16" i="2421"/>
  <c r="OK34" i="2421"/>
  <c r="OK25" i="2421"/>
  <c r="OK14" i="2421"/>
  <c r="OK107" i="2421"/>
  <c r="OK99" i="2421"/>
  <c r="OK90" i="2421"/>
  <c r="OK88" i="2421"/>
  <c r="OK75" i="2421"/>
  <c r="OK67" i="2421"/>
  <c r="OK59" i="2421"/>
  <c r="OK50" i="2421"/>
  <c r="OK45" i="2421"/>
  <c r="OK22" i="2421"/>
  <c r="OK15" i="2421"/>
  <c r="OK23" i="2421"/>
  <c r="OK36" i="2421"/>
  <c r="OK106" i="2421"/>
  <c r="OK98" i="2421"/>
  <c r="OK86" i="2421"/>
  <c r="OK84" i="2421"/>
  <c r="OK74" i="2421"/>
  <c r="OK66" i="2421"/>
  <c r="OK58" i="2421"/>
  <c r="OK48" i="2421"/>
  <c r="OK113" i="2421"/>
  <c r="OK46" i="2421"/>
  <c r="OK105" i="2421"/>
  <c r="OK27" i="2421"/>
  <c r="OK97" i="2421"/>
  <c r="OK38" i="2421"/>
  <c r="OK85" i="2421"/>
  <c r="OK29" i="2421"/>
  <c r="OK82" i="2421"/>
  <c r="OK73" i="2421"/>
  <c r="OK65" i="2421"/>
  <c r="OK57" i="2421"/>
  <c r="CG15" i="2421"/>
  <c r="CG23" i="2421"/>
  <c r="CG22" i="2421"/>
  <c r="CG25" i="2421"/>
  <c r="CG21" i="2421"/>
  <c r="CG19" i="2421"/>
  <c r="CG17" i="2421"/>
  <c r="CG14" i="2421"/>
  <c r="CG24" i="2421"/>
  <c r="CG16" i="2421"/>
  <c r="CG18" i="2421"/>
  <c r="CG20" i="2421"/>
  <c r="CM112" i="2421"/>
  <c r="CM104" i="2421"/>
  <c r="CM96" i="2421"/>
  <c r="CM88" i="2421"/>
  <c r="CM80" i="2421"/>
  <c r="CG108" i="2421"/>
  <c r="CG100" i="2421"/>
  <c r="CG92" i="2421"/>
  <c r="CG81" i="2421"/>
  <c r="CM71" i="2421"/>
  <c r="CM63" i="2421"/>
  <c r="CM55" i="2421"/>
  <c r="CG74" i="2421"/>
  <c r="CG66" i="2421"/>
  <c r="CG55" i="2421"/>
  <c r="CM53" i="2421"/>
  <c r="CM39" i="2421"/>
  <c r="CG45" i="2421"/>
  <c r="CG46" i="2421"/>
  <c r="CG36" i="2421"/>
  <c r="CM23" i="2421"/>
  <c r="CM29" i="2421"/>
  <c r="CM37" i="2421"/>
  <c r="CG27" i="2421"/>
  <c r="CM34" i="2421"/>
  <c r="CO34" i="2421" s="1"/>
  <c r="CM111" i="2421"/>
  <c r="CM103" i="2421"/>
  <c r="CM95" i="2421"/>
  <c r="CM87" i="2421"/>
  <c r="CM79" i="2421"/>
  <c r="CG107" i="2421"/>
  <c r="CG99" i="2421"/>
  <c r="CG91" i="2421"/>
  <c r="CG79" i="2421"/>
  <c r="CM70" i="2421"/>
  <c r="CM62" i="2421"/>
  <c r="CG85" i="2421"/>
  <c r="CG73" i="2421"/>
  <c r="CG65" i="2421"/>
  <c r="CM52" i="2421"/>
  <c r="CG52" i="2421"/>
  <c r="CM38" i="2421"/>
  <c r="CM42" i="2421"/>
  <c r="CM43" i="2421"/>
  <c r="CG35" i="2421"/>
  <c r="CM14" i="2421"/>
  <c r="CM18" i="2421"/>
  <c r="CG28" i="2421"/>
  <c r="CM35" i="2421"/>
  <c r="CO35" i="2421" s="1"/>
  <c r="CM110" i="2421"/>
  <c r="CM102" i="2421"/>
  <c r="CM94" i="2421"/>
  <c r="CM86" i="2421"/>
  <c r="CM78" i="2421"/>
  <c r="CG106" i="2421"/>
  <c r="CG98" i="2421"/>
  <c r="CG90" i="2421"/>
  <c r="CM77" i="2421"/>
  <c r="CM69" i="2421"/>
  <c r="CM61" i="2421"/>
  <c r="CG82" i="2421"/>
  <c r="CG72" i="2421"/>
  <c r="CG64" i="2421"/>
  <c r="CG51" i="2421"/>
  <c r="CM49" i="2421"/>
  <c r="CG57" i="2421"/>
  <c r="CG60" i="2421"/>
  <c r="CG42" i="2421"/>
  <c r="CG34" i="2421"/>
  <c r="CM19" i="2421"/>
  <c r="CM24" i="2421"/>
  <c r="CG29" i="2421"/>
  <c r="CM36" i="2421"/>
  <c r="CM109" i="2421"/>
  <c r="CM101" i="2421"/>
  <c r="CM93" i="2421"/>
  <c r="CM85" i="2421"/>
  <c r="CG113" i="2421"/>
  <c r="CG105" i="2421"/>
  <c r="CG97" i="2421"/>
  <c r="CG89" i="2421"/>
  <c r="CM76" i="2421"/>
  <c r="CM68" i="2421"/>
  <c r="CM60" i="2421"/>
  <c r="CG80" i="2421"/>
  <c r="CG71" i="2421"/>
  <c r="CG63" i="2421"/>
  <c r="CM48" i="2421"/>
  <c r="CG48" i="2421"/>
  <c r="CM54" i="2421"/>
  <c r="CG56" i="2421"/>
  <c r="CG41" i="2421"/>
  <c r="CG33" i="2421"/>
  <c r="CM15" i="2421"/>
  <c r="CM20" i="2421"/>
  <c r="CG30" i="2421"/>
  <c r="CM108" i="2421"/>
  <c r="CM100" i="2421"/>
  <c r="CM92" i="2421"/>
  <c r="CM84" i="2421"/>
  <c r="CG112" i="2421"/>
  <c r="CG104" i="2421"/>
  <c r="CG96" i="2421"/>
  <c r="CG88" i="2421"/>
  <c r="CM75" i="2421"/>
  <c r="CM67" i="2421"/>
  <c r="CM59" i="2421"/>
  <c r="CG78" i="2421"/>
  <c r="CG70" i="2421"/>
  <c r="CG62" i="2421"/>
  <c r="CG47" i="2421"/>
  <c r="CM45" i="2421"/>
  <c r="CG53" i="2421"/>
  <c r="CG54" i="2421"/>
  <c r="CG40" i="2421"/>
  <c r="CG32" i="2421"/>
  <c r="CM21" i="2421"/>
  <c r="CO21" i="2421" s="1"/>
  <c r="CM25" i="2421"/>
  <c r="CM30" i="2421"/>
  <c r="CM107" i="2421"/>
  <c r="CM99" i="2421"/>
  <c r="CM91" i="2421"/>
  <c r="CM83" i="2421"/>
  <c r="CG111" i="2421"/>
  <c r="CG103" i="2421"/>
  <c r="CG95" i="2421"/>
  <c r="CG87" i="2421"/>
  <c r="CM74" i="2421"/>
  <c r="CM66" i="2421"/>
  <c r="CM58" i="2421"/>
  <c r="CG77" i="2421"/>
  <c r="CG69" i="2421"/>
  <c r="CG61" i="2421"/>
  <c r="CM44" i="2421"/>
  <c r="CG44" i="2421"/>
  <c r="CM50" i="2421"/>
  <c r="CM51" i="2421"/>
  <c r="CG39" i="2421"/>
  <c r="CG31" i="2421"/>
  <c r="CM16" i="2421"/>
  <c r="CM26" i="2421"/>
  <c r="CM31" i="2421"/>
  <c r="CM106" i="2421"/>
  <c r="CM98" i="2421"/>
  <c r="CM90" i="2421"/>
  <c r="CM82" i="2421"/>
  <c r="CG110" i="2421"/>
  <c r="CG102" i="2421"/>
  <c r="CG94" i="2421"/>
  <c r="CG86" i="2421"/>
  <c r="CM73" i="2421"/>
  <c r="CM65" i="2421"/>
  <c r="CM57" i="2421"/>
  <c r="CG76" i="2421"/>
  <c r="CG68" i="2421"/>
  <c r="CG84" i="2421"/>
  <c r="CG43" i="2421"/>
  <c r="CM41" i="2421"/>
  <c r="CG49" i="2421"/>
  <c r="CG50" i="2421"/>
  <c r="CG38" i="2421"/>
  <c r="CM22" i="2421"/>
  <c r="CO22" i="2421" s="1"/>
  <c r="CM27" i="2421"/>
  <c r="CM32" i="2421"/>
  <c r="CO32" i="2421" s="1"/>
  <c r="CM113" i="2421"/>
  <c r="CM105" i="2421"/>
  <c r="CM97" i="2421"/>
  <c r="CM89" i="2421"/>
  <c r="CM81" i="2421"/>
  <c r="CG109" i="2421"/>
  <c r="CG101" i="2421"/>
  <c r="CG93" i="2421"/>
  <c r="CG83" i="2421"/>
  <c r="CM72" i="2421"/>
  <c r="CM64" i="2421"/>
  <c r="CM56" i="2421"/>
  <c r="CG75" i="2421"/>
  <c r="CG67" i="2421"/>
  <c r="CG59" i="2421"/>
  <c r="CG58" i="2421"/>
  <c r="CM40" i="2421"/>
  <c r="CM46" i="2421"/>
  <c r="CM47" i="2421"/>
  <c r="CG37" i="2421"/>
  <c r="CM17" i="2421"/>
  <c r="CM28" i="2421"/>
  <c r="CG26" i="2421"/>
  <c r="CM33" i="2421"/>
  <c r="CO33" i="2421" s="1"/>
  <c r="LT43" i="2421"/>
  <c r="LT77" i="2421"/>
  <c r="LT66" i="2421"/>
  <c r="LT30" i="2421"/>
  <c r="LT34" i="2421"/>
  <c r="LT25" i="2421"/>
  <c r="LT70" i="2421"/>
  <c r="LT41" i="2421"/>
  <c r="LT67" i="2421"/>
  <c r="LT32" i="2421"/>
  <c r="LT39" i="2421"/>
  <c r="LT112" i="2421"/>
  <c r="LT83" i="2421"/>
  <c r="LT85" i="2421"/>
  <c r="LT20" i="2421"/>
  <c r="LT51" i="2421"/>
  <c r="LT76" i="2421"/>
  <c r="LT35" i="2421"/>
  <c r="LT80" i="2421"/>
  <c r="LT49" i="2421"/>
  <c r="LT60" i="2421"/>
  <c r="LT94" i="2421"/>
  <c r="LT50" i="2421"/>
  <c r="LT47" i="2421"/>
  <c r="LT113" i="2421"/>
  <c r="LT95" i="2421"/>
  <c r="LT68" i="2421"/>
  <c r="LT44" i="2421"/>
  <c r="LT106" i="2421"/>
  <c r="LT42" i="2421"/>
  <c r="LT107" i="2421"/>
  <c r="LT58" i="2421"/>
  <c r="LT105" i="2421"/>
  <c r="LT65" i="2421"/>
  <c r="LT21" i="2421"/>
  <c r="LT38" i="2421"/>
  <c r="LT81" i="2421"/>
  <c r="LT111" i="2421"/>
  <c r="LT27" i="2421"/>
  <c r="LT63" i="2421"/>
  <c r="LT88" i="2421"/>
  <c r="LT31" i="2421"/>
  <c r="LT75" i="2421"/>
  <c r="LT82" i="2421"/>
  <c r="LT98" i="2421"/>
  <c r="LT48" i="2421"/>
  <c r="LT59" i="2421"/>
  <c r="LT78" i="2421"/>
  <c r="LT40" i="2421"/>
  <c r="LT93" i="2421"/>
  <c r="LT28" i="2421"/>
  <c r="LT102" i="2421"/>
  <c r="LT74" i="2421"/>
  <c r="LT26" i="2421"/>
  <c r="LT108" i="2421"/>
  <c r="LT56" i="2421"/>
  <c r="LT19" i="2421"/>
  <c r="LT101" i="2421"/>
  <c r="LT91" i="2421"/>
  <c r="LT100" i="2421"/>
  <c r="LT79" i="2421"/>
  <c r="LT37" i="2421"/>
  <c r="LT89" i="2421"/>
  <c r="LT109" i="2421"/>
  <c r="LT71" i="2421"/>
  <c r="LT33" i="2421"/>
  <c r="LT96" i="2421"/>
  <c r="LT97" i="2421"/>
  <c r="LT46" i="2421"/>
  <c r="LT52" i="2421"/>
  <c r="LT61" i="2421"/>
  <c r="LT24" i="2421"/>
  <c r="LT55" i="2421"/>
  <c r="LT86" i="2421"/>
  <c r="LT92" i="2421"/>
  <c r="LT53" i="2421"/>
  <c r="LT84" i="2421"/>
  <c r="LT36" i="2421"/>
  <c r="LT23" i="2421"/>
  <c r="LT54" i="2421"/>
  <c r="LT110" i="2421"/>
  <c r="LT73" i="2421"/>
  <c r="LT90" i="2421"/>
  <c r="LT22" i="2421"/>
  <c r="LT69" i="2421"/>
  <c r="LT57" i="2421"/>
  <c r="LT99" i="2421"/>
  <c r="LT45" i="2421"/>
  <c r="LT29" i="2421"/>
  <c r="LT103" i="2421"/>
  <c r="LT64" i="2421"/>
  <c r="LT62" i="2421"/>
  <c r="LT104" i="2421"/>
  <c r="LT72" i="2421"/>
  <c r="LT87" i="2421"/>
  <c r="DL38" i="2421"/>
  <c r="DL14" i="2421"/>
  <c r="DL16" i="2421"/>
  <c r="DL15" i="2421"/>
  <c r="DL21" i="2421"/>
  <c r="DL39" i="2421"/>
  <c r="DL18" i="2421"/>
  <c r="DL113" i="2421"/>
  <c r="DL105" i="2421"/>
  <c r="DL97" i="2421"/>
  <c r="DL89" i="2421"/>
  <c r="DL76" i="2421"/>
  <c r="DL73" i="2421"/>
  <c r="DL65" i="2421"/>
  <c r="DL49" i="2421"/>
  <c r="DL41" i="2421"/>
  <c r="DL62" i="2421"/>
  <c r="DL23" i="2421"/>
  <c r="DL112" i="2421"/>
  <c r="DL104" i="2421"/>
  <c r="DL96" i="2421"/>
  <c r="DL88" i="2421"/>
  <c r="DL85" i="2421"/>
  <c r="DL72" i="2421"/>
  <c r="DL64" i="2421"/>
  <c r="DL48" i="2421"/>
  <c r="DL61" i="2421"/>
  <c r="DL25" i="2421"/>
  <c r="DL111" i="2421"/>
  <c r="DL103" i="2421"/>
  <c r="DL95" i="2421"/>
  <c r="DL87" i="2421"/>
  <c r="DL83" i="2421"/>
  <c r="DL71" i="2421"/>
  <c r="DL63" i="2421"/>
  <c r="DL47" i="2421"/>
  <c r="DL60" i="2421"/>
  <c r="DL27" i="2421"/>
  <c r="DL30" i="2421"/>
  <c r="DL110" i="2421"/>
  <c r="DL102" i="2421"/>
  <c r="DL94" i="2421"/>
  <c r="DL86" i="2421"/>
  <c r="DL81" i="2421"/>
  <c r="DL70" i="2421"/>
  <c r="DL54" i="2421"/>
  <c r="DL31" i="2421"/>
  <c r="DL34" i="2421"/>
  <c r="DL108" i="2421"/>
  <c r="DL100" i="2421"/>
  <c r="DL92" i="2421"/>
  <c r="DL82" i="2421"/>
  <c r="DL77" i="2421"/>
  <c r="DL68" i="2421"/>
  <c r="DL52" i="2421"/>
  <c r="DL44" i="2421"/>
  <c r="DL35" i="2421"/>
  <c r="DL17" i="2421"/>
  <c r="DL107" i="2421"/>
  <c r="DL84" i="2421"/>
  <c r="DL66" i="2421"/>
  <c r="DL59" i="2421"/>
  <c r="DL20" i="2421"/>
  <c r="DL106" i="2421"/>
  <c r="DL80" i="2421"/>
  <c r="DL53" i="2421"/>
  <c r="DL58" i="2421"/>
  <c r="DL22" i="2421"/>
  <c r="DL37" i="2421"/>
  <c r="DL101" i="2421"/>
  <c r="DL78" i="2421"/>
  <c r="DL51" i="2421"/>
  <c r="DL57" i="2421"/>
  <c r="DL24" i="2421"/>
  <c r="DL99" i="2421"/>
  <c r="DL79" i="2421"/>
  <c r="DL50" i="2421"/>
  <c r="DL56" i="2421"/>
  <c r="DL26" i="2421"/>
  <c r="DL32" i="2421"/>
  <c r="DL98" i="2421"/>
  <c r="DL75" i="2421"/>
  <c r="DL46" i="2421"/>
  <c r="DL55" i="2421"/>
  <c r="DL28" i="2421"/>
  <c r="DL93" i="2421"/>
  <c r="DL74" i="2421"/>
  <c r="DL45" i="2421"/>
  <c r="DL29" i="2421"/>
  <c r="DL36" i="2421"/>
  <c r="DL91" i="2421"/>
  <c r="DL69" i="2421"/>
  <c r="DL43" i="2421"/>
  <c r="DL19" i="2421"/>
  <c r="DL109" i="2421"/>
  <c r="DL90" i="2421"/>
  <c r="DL67" i="2421"/>
  <c r="DL42" i="2421"/>
  <c r="DL33" i="2421"/>
  <c r="DL40" i="2421"/>
  <c r="IS22" i="2421"/>
  <c r="IS27" i="2421"/>
  <c r="IS19" i="2421"/>
  <c r="IS96" i="2421"/>
  <c r="IS24" i="2421"/>
  <c r="IS21" i="2421"/>
  <c r="IS16" i="2421"/>
  <c r="IS26" i="2421"/>
  <c r="IS18" i="2421"/>
  <c r="IS23" i="2421"/>
  <c r="IS15" i="2421"/>
  <c r="IS28" i="2421"/>
  <c r="IS20" i="2421"/>
  <c r="IS25" i="2421"/>
  <c r="IS17" i="2421"/>
  <c r="IS14" i="2421"/>
  <c r="IS111" i="2421"/>
  <c r="IS93" i="2421"/>
  <c r="IS80" i="2421"/>
  <c r="IS72" i="2421"/>
  <c r="IS64" i="2421"/>
  <c r="IS91" i="2421"/>
  <c r="IS100" i="2421"/>
  <c r="IS55" i="2421"/>
  <c r="IS47" i="2421"/>
  <c r="IS39" i="2421"/>
  <c r="IS31" i="2421"/>
  <c r="IS109" i="2421"/>
  <c r="IS92" i="2421"/>
  <c r="IS79" i="2421"/>
  <c r="IS71" i="2421"/>
  <c r="IS63" i="2421"/>
  <c r="IS87" i="2421"/>
  <c r="IS98" i="2421"/>
  <c r="IS54" i="2421"/>
  <c r="IS46" i="2421"/>
  <c r="IS38" i="2421"/>
  <c r="IS30" i="2421"/>
  <c r="IS107" i="2421"/>
  <c r="IS88" i="2421"/>
  <c r="IS78" i="2421"/>
  <c r="IS70" i="2421"/>
  <c r="IS62" i="2421"/>
  <c r="IS112" i="2421"/>
  <c r="IS95" i="2421"/>
  <c r="IS53" i="2421"/>
  <c r="IS45" i="2421"/>
  <c r="IS37" i="2421"/>
  <c r="IS29" i="2421"/>
  <c r="IS105" i="2421"/>
  <c r="IS85" i="2421"/>
  <c r="IS77" i="2421"/>
  <c r="IS69" i="2421"/>
  <c r="IS61" i="2421"/>
  <c r="IS110" i="2421"/>
  <c r="IS90" i="2421"/>
  <c r="IS52" i="2421"/>
  <c r="IS44" i="2421"/>
  <c r="IS36" i="2421"/>
  <c r="IS103" i="2421"/>
  <c r="IS84" i="2421"/>
  <c r="IS76" i="2421"/>
  <c r="IS68" i="2421"/>
  <c r="IS60" i="2421"/>
  <c r="IS108" i="2421"/>
  <c r="IS86" i="2421"/>
  <c r="IS51" i="2421"/>
  <c r="IS43" i="2421"/>
  <c r="IS35" i="2421"/>
  <c r="IS101" i="2421"/>
  <c r="IS83" i="2421"/>
  <c r="IS75" i="2421"/>
  <c r="IS67" i="2421"/>
  <c r="IS59" i="2421"/>
  <c r="IS106" i="2421"/>
  <c r="IS89" i="2421"/>
  <c r="IS50" i="2421"/>
  <c r="IS42" i="2421"/>
  <c r="IS34" i="2421"/>
  <c r="IS99" i="2421"/>
  <c r="IS82" i="2421"/>
  <c r="IS74" i="2421"/>
  <c r="IS66" i="2421"/>
  <c r="IS58" i="2421"/>
  <c r="IS104" i="2421"/>
  <c r="IS57" i="2421"/>
  <c r="IS49" i="2421"/>
  <c r="IS41" i="2421"/>
  <c r="IS33" i="2421"/>
  <c r="IS113" i="2421"/>
  <c r="IS97" i="2421"/>
  <c r="IS81" i="2421"/>
  <c r="IS73" i="2421"/>
  <c r="IS65" i="2421"/>
  <c r="IS94" i="2421"/>
  <c r="IS102" i="2421"/>
  <c r="IS56" i="2421"/>
  <c r="IS48" i="2421"/>
  <c r="IS40" i="2421"/>
  <c r="IS32" i="2421"/>
  <c r="GX35" i="2421"/>
  <c r="GX32" i="2421"/>
  <c r="GX34" i="2421"/>
  <c r="GX21" i="2421"/>
  <c r="GX23" i="2421"/>
  <c r="GX27" i="2421"/>
  <c r="GX28" i="2421"/>
  <c r="GX19" i="2421"/>
  <c r="GX24" i="2421"/>
  <c r="GX110" i="2421"/>
  <c r="GX102" i="2421"/>
  <c r="GX94" i="2421"/>
  <c r="GX86" i="2421"/>
  <c r="GX80" i="2421"/>
  <c r="GX70" i="2421"/>
  <c r="GX62" i="2421"/>
  <c r="GX53" i="2421"/>
  <c r="GX44" i="2421"/>
  <c r="GX56" i="2421"/>
  <c r="GX33" i="2421"/>
  <c r="GX14" i="2421"/>
  <c r="GX26" i="2421"/>
  <c r="GX109" i="2421"/>
  <c r="GX101" i="2421"/>
  <c r="GX93" i="2421"/>
  <c r="GX85" i="2421"/>
  <c r="GX78" i="2421"/>
  <c r="GX69" i="2421"/>
  <c r="GX61" i="2421"/>
  <c r="GX51" i="2421"/>
  <c r="GX43" i="2421"/>
  <c r="GX36" i="2421"/>
  <c r="GX37" i="2421"/>
  <c r="GX15" i="2421"/>
  <c r="GX108" i="2421"/>
  <c r="GX100" i="2421"/>
  <c r="GX92" i="2421"/>
  <c r="GX84" i="2421"/>
  <c r="GX76" i="2421"/>
  <c r="GX68" i="2421"/>
  <c r="GX59" i="2421"/>
  <c r="GX50" i="2421"/>
  <c r="GX42" i="2421"/>
  <c r="GX16" i="2421"/>
  <c r="GX30" i="2421"/>
  <c r="GX107" i="2421"/>
  <c r="GX99" i="2421"/>
  <c r="GX91" i="2421"/>
  <c r="GX83" i="2421"/>
  <c r="GX75" i="2421"/>
  <c r="GX67" i="2421"/>
  <c r="GX55" i="2421"/>
  <c r="GX49" i="2421"/>
  <c r="GX41" i="2421"/>
  <c r="GX17" i="2421"/>
  <c r="GX106" i="2421"/>
  <c r="GX98" i="2421"/>
  <c r="GX90" i="2421"/>
  <c r="GX81" i="2421"/>
  <c r="GX74" i="2421"/>
  <c r="GX66" i="2421"/>
  <c r="GX54" i="2421"/>
  <c r="GX48" i="2421"/>
  <c r="GX40" i="2421"/>
  <c r="GX25" i="2421"/>
  <c r="GX31" i="2421"/>
  <c r="GX18" i="2421"/>
  <c r="GX113" i="2421"/>
  <c r="GX105" i="2421"/>
  <c r="GX97" i="2421"/>
  <c r="GX89" i="2421"/>
  <c r="GX79" i="2421"/>
  <c r="GX73" i="2421"/>
  <c r="GX65" i="2421"/>
  <c r="GX52" i="2421"/>
  <c r="GX47" i="2421"/>
  <c r="GX39" i="2421"/>
  <c r="GX112" i="2421"/>
  <c r="GX77" i="2421"/>
  <c r="GX46" i="2421"/>
  <c r="GX111" i="2421"/>
  <c r="GX82" i="2421"/>
  <c r="GX45" i="2421"/>
  <c r="GX104" i="2421"/>
  <c r="GX72" i="2421"/>
  <c r="GX38" i="2421"/>
  <c r="GX103" i="2421"/>
  <c r="GX71" i="2421"/>
  <c r="GX60" i="2421"/>
  <c r="GX96" i="2421"/>
  <c r="GX64" i="2421"/>
  <c r="GX95" i="2421"/>
  <c r="GX63" i="2421"/>
  <c r="GX20" i="2421"/>
  <c r="GX88" i="2421"/>
  <c r="GX58" i="2421"/>
  <c r="GX29" i="2421"/>
  <c r="GX22" i="2421"/>
  <c r="GX87" i="2421"/>
  <c r="GX57" i="2421"/>
  <c r="OQ108" i="2421"/>
  <c r="OQ100" i="2421"/>
  <c r="OQ101" i="2421"/>
  <c r="OQ72" i="2421"/>
  <c r="OQ57" i="2421"/>
  <c r="OQ102" i="2421"/>
  <c r="OQ81" i="2421"/>
  <c r="OQ69" i="2421"/>
  <c r="OQ54" i="2421"/>
  <c r="OQ88" i="2421"/>
  <c r="OQ106" i="2421"/>
  <c r="OQ21" i="2421"/>
  <c r="OQ59" i="2421"/>
  <c r="OQ29" i="2421"/>
  <c r="OQ50" i="2421"/>
  <c r="OQ75" i="2421"/>
  <c r="OQ38" i="2421"/>
  <c r="OQ53" i="2421"/>
  <c r="OQ62" i="2421"/>
  <c r="OQ113" i="2421"/>
  <c r="OQ84" i="2421"/>
  <c r="OQ80" i="2421"/>
  <c r="OQ26" i="2421"/>
  <c r="OQ31" i="2421"/>
  <c r="OQ23" i="2421"/>
  <c r="OQ111" i="2421"/>
  <c r="OQ87" i="2421"/>
  <c r="OQ32" i="2421"/>
  <c r="OQ78" i="2421"/>
  <c r="OQ66" i="2421"/>
  <c r="OQ30" i="2421"/>
  <c r="OQ47" i="2421"/>
  <c r="OQ99" i="2421"/>
  <c r="OQ71" i="2421"/>
  <c r="OQ82" i="2421"/>
  <c r="OQ19" i="2421"/>
  <c r="OQ41" i="2421"/>
  <c r="OQ97" i="2421"/>
  <c r="OQ33" i="2421"/>
  <c r="OQ60" i="2421"/>
  <c r="OQ24" i="2421"/>
  <c r="OQ79" i="2421"/>
  <c r="OQ63" i="2421"/>
  <c r="OQ28" i="2421"/>
  <c r="OQ103" i="2421"/>
  <c r="OQ68" i="2421"/>
  <c r="OQ46" i="2421"/>
  <c r="OQ83" i="2421"/>
  <c r="OQ105" i="2421"/>
  <c r="OQ51" i="2421"/>
  <c r="OQ110" i="2421"/>
  <c r="OQ20" i="2421"/>
  <c r="OQ39" i="2421"/>
  <c r="OQ58" i="2421"/>
  <c r="OQ52" i="2421"/>
  <c r="OQ92" i="2421"/>
  <c r="OQ40" i="2421"/>
  <c r="OQ90" i="2421"/>
  <c r="OQ93" i="2421"/>
  <c r="OQ22" i="2421"/>
  <c r="OQ70" i="2421"/>
  <c r="OQ67" i="2421"/>
  <c r="OQ95" i="2421"/>
  <c r="OQ43" i="2421"/>
  <c r="OQ104" i="2421"/>
  <c r="OQ94" i="2421"/>
  <c r="OQ56" i="2421"/>
  <c r="OQ73" i="2421"/>
  <c r="OQ91" i="2421"/>
  <c r="OQ36" i="2421"/>
  <c r="OQ55" i="2421"/>
  <c r="OQ96" i="2421"/>
  <c r="OQ42" i="2421"/>
  <c r="OQ107" i="2421"/>
  <c r="OQ89" i="2421"/>
  <c r="OQ85" i="2421"/>
  <c r="OQ61" i="2421"/>
  <c r="OQ27" i="2421"/>
  <c r="OQ112" i="2421"/>
  <c r="OQ77" i="2421"/>
  <c r="OQ74" i="2421"/>
  <c r="OQ64" i="2421"/>
  <c r="OQ76" i="2421"/>
  <c r="OQ48" i="2421"/>
  <c r="OQ65" i="2421"/>
  <c r="OQ98" i="2421"/>
  <c r="OQ109" i="2421"/>
  <c r="OQ44" i="2421"/>
  <c r="OQ25" i="2421"/>
  <c r="OQ45" i="2421"/>
  <c r="OQ37" i="2421"/>
  <c r="OQ34" i="2421"/>
  <c r="OQ86" i="2421"/>
  <c r="OQ35" i="2421"/>
  <c r="OQ49" i="2421"/>
  <c r="CH29" i="2421"/>
  <c r="CH19" i="2421"/>
  <c r="CH27" i="2421"/>
  <c r="CH110" i="2421"/>
  <c r="CH102" i="2421"/>
  <c r="CH94" i="2421"/>
  <c r="CH86" i="2421"/>
  <c r="CH76" i="2421"/>
  <c r="CH68" i="2421"/>
  <c r="CH60" i="2421"/>
  <c r="CH52" i="2421"/>
  <c r="CH44" i="2421"/>
  <c r="CH38" i="2421"/>
  <c r="CH30" i="2421"/>
  <c r="CH20" i="2421"/>
  <c r="CH28" i="2421"/>
  <c r="CH109" i="2421"/>
  <c r="CH101" i="2421"/>
  <c r="CH93" i="2421"/>
  <c r="CH85" i="2421"/>
  <c r="CH75" i="2421"/>
  <c r="CH67" i="2421"/>
  <c r="CH59" i="2421"/>
  <c r="CH51" i="2421"/>
  <c r="CH43" i="2421"/>
  <c r="CH37" i="2421"/>
  <c r="CH21" i="2421"/>
  <c r="CH108" i="2421"/>
  <c r="CH100" i="2421"/>
  <c r="CH92" i="2421"/>
  <c r="CH84" i="2421"/>
  <c r="CH74" i="2421"/>
  <c r="CH66" i="2421"/>
  <c r="CH58" i="2421"/>
  <c r="CH50" i="2421"/>
  <c r="CH42" i="2421"/>
  <c r="CH36" i="2421"/>
  <c r="CH14" i="2421"/>
  <c r="CH22" i="2421"/>
  <c r="CH107" i="2421"/>
  <c r="CH99" i="2421"/>
  <c r="CH91" i="2421"/>
  <c r="CH83" i="2421"/>
  <c r="CH73" i="2421"/>
  <c r="CH65" i="2421"/>
  <c r="CH57" i="2421"/>
  <c r="CH49" i="2421"/>
  <c r="CH79" i="2421"/>
  <c r="CH35" i="2421"/>
  <c r="CH15" i="2421"/>
  <c r="CH23" i="2421"/>
  <c r="CH106" i="2421"/>
  <c r="CH98" i="2421"/>
  <c r="CH90" i="2421"/>
  <c r="CH82" i="2421"/>
  <c r="CH72" i="2421"/>
  <c r="CH64" i="2421"/>
  <c r="CH56" i="2421"/>
  <c r="CH48" i="2421"/>
  <c r="CH81" i="2421"/>
  <c r="CH34" i="2421"/>
  <c r="CH16" i="2421"/>
  <c r="CH24" i="2421"/>
  <c r="CH113" i="2421"/>
  <c r="CH105" i="2421"/>
  <c r="CH97" i="2421"/>
  <c r="CH89" i="2421"/>
  <c r="CH80" i="2421"/>
  <c r="CH71" i="2421"/>
  <c r="CH63" i="2421"/>
  <c r="CH55" i="2421"/>
  <c r="CH47" i="2421"/>
  <c r="CH41" i="2421"/>
  <c r="CH33" i="2421"/>
  <c r="CH17" i="2421"/>
  <c r="CH25" i="2421"/>
  <c r="CH112" i="2421"/>
  <c r="CH104" i="2421"/>
  <c r="CH96" i="2421"/>
  <c r="CH88" i="2421"/>
  <c r="CH78" i="2421"/>
  <c r="CH70" i="2421"/>
  <c r="CH62" i="2421"/>
  <c r="CH54" i="2421"/>
  <c r="CH46" i="2421"/>
  <c r="CH40" i="2421"/>
  <c r="CH32" i="2421"/>
  <c r="CH18" i="2421"/>
  <c r="CH26" i="2421"/>
  <c r="CH111" i="2421"/>
  <c r="CH103" i="2421"/>
  <c r="CH95" i="2421"/>
  <c r="CH87" i="2421"/>
  <c r="CH77" i="2421"/>
  <c r="CH69" i="2421"/>
  <c r="CH61" i="2421"/>
  <c r="CH53" i="2421"/>
  <c r="CH45" i="2421"/>
  <c r="CH39" i="2421"/>
  <c r="CH31" i="2421"/>
  <c r="HO107" i="2421"/>
  <c r="HO91" i="2421"/>
  <c r="HO75" i="2421"/>
  <c r="HO65" i="2421"/>
  <c r="HO57" i="2421"/>
  <c r="HO104" i="2421"/>
  <c r="HO88" i="2421"/>
  <c r="HO51" i="2421"/>
  <c r="HO43" i="2421"/>
  <c r="HO35" i="2421"/>
  <c r="HO27" i="2421"/>
  <c r="HO16" i="2421"/>
  <c r="HO24" i="2421"/>
  <c r="HO105" i="2421"/>
  <c r="HO89" i="2421"/>
  <c r="HO73" i="2421"/>
  <c r="HO64" i="2421"/>
  <c r="HO56" i="2421"/>
  <c r="HO102" i="2421"/>
  <c r="HO86" i="2421"/>
  <c r="HO50" i="2421"/>
  <c r="HO42" i="2421"/>
  <c r="HO34" i="2421"/>
  <c r="HO26" i="2421"/>
  <c r="HO17" i="2421"/>
  <c r="HO101" i="2421"/>
  <c r="HO85" i="2421"/>
  <c r="HO70" i="2421"/>
  <c r="HO62" i="2421"/>
  <c r="HO54" i="2421"/>
  <c r="HO98" i="2421"/>
  <c r="HO74" i="2421"/>
  <c r="HO48" i="2421"/>
  <c r="HO40" i="2421"/>
  <c r="HO32" i="2421"/>
  <c r="HO78" i="2421"/>
  <c r="HO19" i="2421"/>
  <c r="HO72" i="2421"/>
  <c r="HO99" i="2421"/>
  <c r="HO83" i="2421"/>
  <c r="HO69" i="2421"/>
  <c r="HO61" i="2421"/>
  <c r="HO112" i="2421"/>
  <c r="HO96" i="2421"/>
  <c r="HO84" i="2421"/>
  <c r="HO47" i="2421"/>
  <c r="HO39" i="2421"/>
  <c r="HO31" i="2421"/>
  <c r="HO20" i="2421"/>
  <c r="HO113" i="2421"/>
  <c r="HO97" i="2421"/>
  <c r="HO81" i="2421"/>
  <c r="HO68" i="2421"/>
  <c r="HO60" i="2421"/>
  <c r="HO110" i="2421"/>
  <c r="HO94" i="2421"/>
  <c r="HO76" i="2421"/>
  <c r="HO46" i="2421"/>
  <c r="HO38" i="2421"/>
  <c r="HO30" i="2421"/>
  <c r="HO80" i="2421"/>
  <c r="HO21" i="2421"/>
  <c r="HO111" i="2421"/>
  <c r="HO95" i="2421"/>
  <c r="HO79" i="2421"/>
  <c r="HO67" i="2421"/>
  <c r="HO59" i="2421"/>
  <c r="HO108" i="2421"/>
  <c r="HO92" i="2421"/>
  <c r="HO53" i="2421"/>
  <c r="HO45" i="2421"/>
  <c r="HO37" i="2421"/>
  <c r="HO29" i="2421"/>
  <c r="HO14" i="2421"/>
  <c r="HO22" i="2421"/>
  <c r="HO109" i="2421"/>
  <c r="HO93" i="2421"/>
  <c r="HO77" i="2421"/>
  <c r="HO66" i="2421"/>
  <c r="HO58" i="2421"/>
  <c r="HO106" i="2421"/>
  <c r="HO90" i="2421"/>
  <c r="HO52" i="2421"/>
  <c r="HO44" i="2421"/>
  <c r="HO36" i="2421"/>
  <c r="HO28" i="2421"/>
  <c r="HO15" i="2421"/>
  <c r="HO23" i="2421"/>
  <c r="HO55" i="2421"/>
  <c r="HO100" i="2421"/>
  <c r="HO82" i="2421"/>
  <c r="HO49" i="2421"/>
  <c r="HO103" i="2421"/>
  <c r="HO41" i="2421"/>
  <c r="HO87" i="2421"/>
  <c r="HO33" i="2421"/>
  <c r="HO18" i="2421"/>
  <c r="HO71" i="2421"/>
  <c r="HO63" i="2421"/>
  <c r="HO25" i="2421"/>
  <c r="PO43" i="2421"/>
  <c r="PO40" i="2421"/>
  <c r="PO32" i="2421"/>
  <c r="PO24" i="2421"/>
  <c r="PO37" i="2421"/>
  <c r="PO29" i="2421"/>
  <c r="PO21" i="2421"/>
  <c r="PO15" i="2421"/>
  <c r="PO34" i="2421"/>
  <c r="PO26" i="2421"/>
  <c r="PO18" i="2421"/>
  <c r="PO45" i="2421"/>
  <c r="PO39" i="2421"/>
  <c r="PO31" i="2421"/>
  <c r="PO23" i="2421"/>
  <c r="PO14" i="2421"/>
  <c r="PO36" i="2421"/>
  <c r="PO28" i="2421"/>
  <c r="PO20" i="2421"/>
  <c r="PO41" i="2421"/>
  <c r="PO33" i="2421"/>
  <c r="PO25" i="2421"/>
  <c r="PO17" i="2421"/>
  <c r="PO38" i="2421"/>
  <c r="PO27" i="2421"/>
  <c r="PO16" i="2421"/>
  <c r="PO35" i="2421"/>
  <c r="PO22" i="2421"/>
  <c r="PO30" i="2421"/>
  <c r="PO19" i="2421"/>
  <c r="PO106" i="2421"/>
  <c r="PO98" i="2421"/>
  <c r="PO90" i="2421"/>
  <c r="PO81" i="2421"/>
  <c r="PO71" i="2421"/>
  <c r="PO63" i="2421"/>
  <c r="PO62" i="2421"/>
  <c r="PO113" i="2421"/>
  <c r="PO105" i="2421"/>
  <c r="PO97" i="2421"/>
  <c r="PO89" i="2421"/>
  <c r="PO112" i="2421"/>
  <c r="PO104" i="2421"/>
  <c r="PO96" i="2421"/>
  <c r="PO88" i="2421"/>
  <c r="PO77" i="2421"/>
  <c r="PO69" i="2421"/>
  <c r="PO80" i="2421"/>
  <c r="PO111" i="2421"/>
  <c r="PO103" i="2421"/>
  <c r="PO95" i="2421"/>
  <c r="PO87" i="2421"/>
  <c r="PO76" i="2421"/>
  <c r="PO68" i="2421"/>
  <c r="PO78" i="2421"/>
  <c r="PO42" i="2421"/>
  <c r="PO50" i="2421"/>
  <c r="PO59" i="2421"/>
  <c r="PO110" i="2421"/>
  <c r="PO102" i="2421"/>
  <c r="PO94" i="2421"/>
  <c r="PO86" i="2421"/>
  <c r="PO75" i="2421"/>
  <c r="PO67" i="2421"/>
  <c r="PO58" i="2421"/>
  <c r="PO109" i="2421"/>
  <c r="PO101" i="2421"/>
  <c r="PO93" i="2421"/>
  <c r="PO85" i="2421"/>
  <c r="PO74" i="2421"/>
  <c r="PO66" i="2421"/>
  <c r="PO44" i="2421"/>
  <c r="PO52" i="2421"/>
  <c r="PO60" i="2421"/>
  <c r="PO84" i="2421"/>
  <c r="PO82" i="2421"/>
  <c r="PO47" i="2421"/>
  <c r="PO83" i="2421"/>
  <c r="PO57" i="2421"/>
  <c r="PO108" i="2421"/>
  <c r="PO79" i="2421"/>
  <c r="PO46" i="2421"/>
  <c r="PO49" i="2421"/>
  <c r="PO61" i="2421"/>
  <c r="PO107" i="2421"/>
  <c r="PO73" i="2421"/>
  <c r="PO48" i="2421"/>
  <c r="PO100" i="2421"/>
  <c r="PO72" i="2421"/>
  <c r="PO51" i="2421"/>
  <c r="PO99" i="2421"/>
  <c r="PO70" i="2421"/>
  <c r="PO54" i="2421"/>
  <c r="PO92" i="2421"/>
  <c r="PO65" i="2421"/>
  <c r="PO56" i="2421"/>
  <c r="PO55" i="2421"/>
  <c r="PO53" i="2421"/>
  <c r="PO91" i="2421"/>
  <c r="PO64" i="2421"/>
  <c r="LF19" i="2421"/>
  <c r="LF95" i="2421"/>
  <c r="LF106" i="2421"/>
  <c r="LF90" i="2421"/>
  <c r="LF39" i="2421"/>
  <c r="LF109" i="2421"/>
  <c r="LF80" i="2421"/>
  <c r="LF103" i="2421"/>
  <c r="LF91" i="2421"/>
  <c r="LF25" i="2421"/>
  <c r="LF27" i="2421"/>
  <c r="LF101" i="2421"/>
  <c r="LF82" i="2421"/>
  <c r="LF23" i="2421"/>
  <c r="LF108" i="2421"/>
  <c r="LF88" i="2421"/>
  <c r="LF45" i="2421"/>
  <c r="LF68" i="2421"/>
  <c r="LF77" i="2421"/>
  <c r="LF74" i="2421"/>
  <c r="LF67" i="2421"/>
  <c r="LF46" i="2421"/>
  <c r="LF94" i="2421"/>
  <c r="LF97" i="2421"/>
  <c r="LF38" i="2421"/>
  <c r="LF40" i="2421"/>
  <c r="LF62" i="2421"/>
  <c r="LF55" i="2421"/>
  <c r="LF29" i="2421"/>
  <c r="LF102" i="2421"/>
  <c r="LF54" i="2421"/>
  <c r="LF92" i="2421"/>
  <c r="LF63" i="2421"/>
  <c r="LF48" i="2421"/>
  <c r="LF93" i="2421"/>
  <c r="LF65" i="2421"/>
  <c r="LF57" i="2421"/>
  <c r="LF69" i="2421"/>
  <c r="LF41" i="2421"/>
  <c r="LF42" i="2421"/>
  <c r="LF99" i="2421"/>
  <c r="LF36" i="2421"/>
  <c r="LF64" i="2421"/>
  <c r="LF81" i="2421"/>
  <c r="LF86" i="2421"/>
  <c r="LF89" i="2421"/>
  <c r="LF105" i="2421"/>
  <c r="LF96" i="2421"/>
  <c r="LF61" i="2421"/>
  <c r="LF66" i="2421"/>
  <c r="LF31" i="2421"/>
  <c r="LF75" i="2421"/>
  <c r="LF111" i="2421"/>
  <c r="LF60" i="2421"/>
  <c r="LF49" i="2421"/>
  <c r="LF78" i="2421"/>
  <c r="LF28" i="2421"/>
  <c r="LF56" i="2421"/>
  <c r="LF58" i="2421"/>
  <c r="LF112" i="2421"/>
  <c r="LF104" i="2421"/>
  <c r="LF37" i="2421"/>
  <c r="LF51" i="2421"/>
  <c r="LF73" i="2421"/>
  <c r="LF70" i="2421"/>
  <c r="LF71" i="2421"/>
  <c r="LF85" i="2421"/>
  <c r="LF26" i="2421"/>
  <c r="LF52" i="2421"/>
  <c r="LF20" i="2421"/>
  <c r="LF59" i="2421"/>
  <c r="LF84" i="2421"/>
  <c r="LF43" i="2421"/>
  <c r="LF100" i="2421"/>
  <c r="LF44" i="2421"/>
  <c r="LF47" i="2421"/>
  <c r="LF110" i="2421"/>
  <c r="LF30" i="2421"/>
  <c r="LF87" i="2421"/>
  <c r="LF113" i="2421"/>
  <c r="LF50" i="2421"/>
  <c r="LF83" i="2421"/>
  <c r="LF79" i="2421"/>
  <c r="LF107" i="2421"/>
  <c r="LF53" i="2421"/>
  <c r="LF98" i="2421"/>
  <c r="LF76" i="2421"/>
  <c r="LF72" i="2421"/>
  <c r="CW25" i="2421"/>
  <c r="CW17" i="2421"/>
  <c r="CW58" i="2421"/>
  <c r="CW22" i="2421"/>
  <c r="CW27" i="2421"/>
  <c r="CW19" i="2421"/>
  <c r="CW24" i="2421"/>
  <c r="CW16" i="2421"/>
  <c r="CW29" i="2421"/>
  <c r="CW21" i="2421"/>
  <c r="CW15" i="2421"/>
  <c r="CW23" i="2421"/>
  <c r="CW26" i="2421"/>
  <c r="CW18" i="2421"/>
  <c r="CW14" i="2421"/>
  <c r="CW28" i="2421"/>
  <c r="CW20" i="2421"/>
  <c r="CW107" i="2421"/>
  <c r="CW99" i="2421"/>
  <c r="CW91" i="2421"/>
  <c r="CW83" i="2421"/>
  <c r="CW72" i="2421"/>
  <c r="CW64" i="2421"/>
  <c r="CW51" i="2421"/>
  <c r="CW43" i="2421"/>
  <c r="CW35" i="2421"/>
  <c r="CW59" i="2421"/>
  <c r="CW56" i="2421"/>
  <c r="CW106" i="2421"/>
  <c r="CW98" i="2421"/>
  <c r="CW90" i="2421"/>
  <c r="CW82" i="2421"/>
  <c r="CW71" i="2421"/>
  <c r="CW63" i="2421"/>
  <c r="CW50" i="2421"/>
  <c r="CW42" i="2421"/>
  <c r="CW34" i="2421"/>
  <c r="CW57" i="2421"/>
  <c r="CW77" i="2421"/>
  <c r="CW113" i="2421"/>
  <c r="CW105" i="2421"/>
  <c r="CW97" i="2421"/>
  <c r="CW89" i="2421"/>
  <c r="CW80" i="2421"/>
  <c r="CW70" i="2421"/>
  <c r="CW62" i="2421"/>
  <c r="CW49" i="2421"/>
  <c r="CW41" i="2421"/>
  <c r="CW33" i="2421"/>
  <c r="CW55" i="2421"/>
  <c r="CW112" i="2421"/>
  <c r="CW104" i="2421"/>
  <c r="CW96" i="2421"/>
  <c r="CW88" i="2421"/>
  <c r="CW78" i="2421"/>
  <c r="CW69" i="2421"/>
  <c r="CW61" i="2421"/>
  <c r="CW48" i="2421"/>
  <c r="CW40" i="2421"/>
  <c r="CW32" i="2421"/>
  <c r="CW111" i="2421"/>
  <c r="CW103" i="2421"/>
  <c r="CW95" i="2421"/>
  <c r="CW87" i="2421"/>
  <c r="CW76" i="2421"/>
  <c r="CW68" i="2421"/>
  <c r="CW79" i="2421"/>
  <c r="CW47" i="2421"/>
  <c r="CW39" i="2421"/>
  <c r="CW31" i="2421"/>
  <c r="CW110" i="2421"/>
  <c r="CW102" i="2421"/>
  <c r="CW94" i="2421"/>
  <c r="CW86" i="2421"/>
  <c r="CW75" i="2421"/>
  <c r="CW67" i="2421"/>
  <c r="CW54" i="2421"/>
  <c r="CW46" i="2421"/>
  <c r="CW38" i="2421"/>
  <c r="CW30" i="2421"/>
  <c r="CW109" i="2421"/>
  <c r="CW101" i="2421"/>
  <c r="CW93" i="2421"/>
  <c r="CW85" i="2421"/>
  <c r="CW74" i="2421"/>
  <c r="CW66" i="2421"/>
  <c r="CW53" i="2421"/>
  <c r="CW45" i="2421"/>
  <c r="CW37" i="2421"/>
  <c r="CW81" i="2421"/>
  <c r="CW108" i="2421"/>
  <c r="CW100" i="2421"/>
  <c r="CW92" i="2421"/>
  <c r="CW84" i="2421"/>
  <c r="CW73" i="2421"/>
  <c r="CW65" i="2421"/>
  <c r="CW52" i="2421"/>
  <c r="CW44" i="2421"/>
  <c r="CW36" i="2421"/>
  <c r="CW60" i="2421"/>
  <c r="GW24" i="2421"/>
  <c r="HC106" i="2421"/>
  <c r="GW20" i="2421"/>
  <c r="HC113" i="2421"/>
  <c r="GW14" i="2421"/>
  <c r="GW22" i="2421"/>
  <c r="HC111" i="2421"/>
  <c r="GW15" i="2421"/>
  <c r="HC110" i="2421"/>
  <c r="GW16" i="2421"/>
  <c r="HC109" i="2421"/>
  <c r="GW17" i="2421"/>
  <c r="HC108" i="2421"/>
  <c r="HC105" i="2421"/>
  <c r="HC97" i="2421"/>
  <c r="HC89" i="2421"/>
  <c r="HC81" i="2421"/>
  <c r="GW111" i="2421"/>
  <c r="GW103" i="2421"/>
  <c r="GW95" i="2421"/>
  <c r="GW87" i="2421"/>
  <c r="HC73" i="2421"/>
  <c r="HC65" i="2421"/>
  <c r="HC57" i="2421"/>
  <c r="GW84" i="2421"/>
  <c r="GW72" i="2421"/>
  <c r="GW64" i="2421"/>
  <c r="GW56" i="2421"/>
  <c r="HC46" i="2421"/>
  <c r="HC38" i="2421"/>
  <c r="HC30" i="2421"/>
  <c r="HC22" i="2421"/>
  <c r="GW49" i="2421"/>
  <c r="GW41" i="2421"/>
  <c r="GW33" i="2421"/>
  <c r="GW25" i="2421"/>
  <c r="GW21" i="2421"/>
  <c r="HC104" i="2421"/>
  <c r="HC96" i="2421"/>
  <c r="HC88" i="2421"/>
  <c r="HC80" i="2421"/>
  <c r="GW110" i="2421"/>
  <c r="GW102" i="2421"/>
  <c r="GW94" i="2421"/>
  <c r="GW86" i="2421"/>
  <c r="HC72" i="2421"/>
  <c r="HC64" i="2421"/>
  <c r="HC56" i="2421"/>
  <c r="GW82" i="2421"/>
  <c r="GW71" i="2421"/>
  <c r="GW63" i="2421"/>
  <c r="GW55" i="2421"/>
  <c r="HC45" i="2421"/>
  <c r="HC37" i="2421"/>
  <c r="HC29" i="2421"/>
  <c r="HC21" i="2421"/>
  <c r="GW48" i="2421"/>
  <c r="GW40" i="2421"/>
  <c r="GW32" i="2421"/>
  <c r="HC14" i="2421"/>
  <c r="HC103" i="2421"/>
  <c r="HC95" i="2421"/>
  <c r="HC87" i="2421"/>
  <c r="HC79" i="2421"/>
  <c r="GW109" i="2421"/>
  <c r="GW101" i="2421"/>
  <c r="GW93" i="2421"/>
  <c r="GW83" i="2421"/>
  <c r="HC71" i="2421"/>
  <c r="HC63" i="2421"/>
  <c r="HC55" i="2421"/>
  <c r="GW80" i="2421"/>
  <c r="GW70" i="2421"/>
  <c r="GW62" i="2421"/>
  <c r="GW54" i="2421"/>
  <c r="HC44" i="2421"/>
  <c r="HC36" i="2421"/>
  <c r="HC28" i="2421"/>
  <c r="HC20" i="2421"/>
  <c r="GW47" i="2421"/>
  <c r="GW39" i="2421"/>
  <c r="GW31" i="2421"/>
  <c r="HC15" i="2421"/>
  <c r="GW23" i="2421"/>
  <c r="GW18" i="2421"/>
  <c r="HC102" i="2421"/>
  <c r="HC94" i="2421"/>
  <c r="HC86" i="2421"/>
  <c r="HC78" i="2421"/>
  <c r="GW108" i="2421"/>
  <c r="GW100" i="2421"/>
  <c r="GW92" i="2421"/>
  <c r="GW81" i="2421"/>
  <c r="HC70" i="2421"/>
  <c r="HC62" i="2421"/>
  <c r="HC54" i="2421"/>
  <c r="GW78" i="2421"/>
  <c r="GW69" i="2421"/>
  <c r="GW61" i="2421"/>
  <c r="GW52" i="2421"/>
  <c r="HC43" i="2421"/>
  <c r="HC35" i="2421"/>
  <c r="HE35" i="2421" s="1"/>
  <c r="HC27" i="2421"/>
  <c r="HC19" i="2421"/>
  <c r="GW46" i="2421"/>
  <c r="GW38" i="2421"/>
  <c r="GW30" i="2421"/>
  <c r="HC16" i="2421"/>
  <c r="HC101" i="2421"/>
  <c r="HC93" i="2421"/>
  <c r="HC85" i="2421"/>
  <c r="HC77" i="2421"/>
  <c r="GW107" i="2421"/>
  <c r="GW99" i="2421"/>
  <c r="GW91" i="2421"/>
  <c r="GW79" i="2421"/>
  <c r="HC69" i="2421"/>
  <c r="HC61" i="2421"/>
  <c r="HC53" i="2421"/>
  <c r="GW76" i="2421"/>
  <c r="GW68" i="2421"/>
  <c r="GW60" i="2421"/>
  <c r="HC50" i="2421"/>
  <c r="HC42" i="2421"/>
  <c r="HC34" i="2421"/>
  <c r="HC26" i="2421"/>
  <c r="HC18" i="2421"/>
  <c r="GW45" i="2421"/>
  <c r="GW37" i="2421"/>
  <c r="GW29" i="2421"/>
  <c r="HC17" i="2421"/>
  <c r="HC100" i="2421"/>
  <c r="HC92" i="2421"/>
  <c r="HC84" i="2421"/>
  <c r="HC76" i="2421"/>
  <c r="GW106" i="2421"/>
  <c r="GW98" i="2421"/>
  <c r="GW90" i="2421"/>
  <c r="GW77" i="2421"/>
  <c r="HC68" i="2421"/>
  <c r="HC60" i="2421"/>
  <c r="HC52" i="2421"/>
  <c r="GW75" i="2421"/>
  <c r="GW67" i="2421"/>
  <c r="GW59" i="2421"/>
  <c r="HC49" i="2421"/>
  <c r="HC41" i="2421"/>
  <c r="HC33" i="2421"/>
  <c r="HC25" i="2421"/>
  <c r="GW53" i="2421"/>
  <c r="GW44" i="2421"/>
  <c r="GW36" i="2421"/>
  <c r="GW28" i="2421"/>
  <c r="HC91" i="2421"/>
  <c r="GW97" i="2421"/>
  <c r="HC59" i="2421"/>
  <c r="GW58" i="2421"/>
  <c r="HC24" i="2421"/>
  <c r="GW27" i="2421"/>
  <c r="HC90" i="2421"/>
  <c r="GW96" i="2421"/>
  <c r="HC58" i="2421"/>
  <c r="GW57" i="2421"/>
  <c r="HC23" i="2421"/>
  <c r="GW26" i="2421"/>
  <c r="HC83" i="2421"/>
  <c r="GW89" i="2421"/>
  <c r="HC51" i="2421"/>
  <c r="HC48" i="2421"/>
  <c r="GW51" i="2421"/>
  <c r="HC82" i="2421"/>
  <c r="GW88" i="2421"/>
  <c r="GW85" i="2421"/>
  <c r="HC47" i="2421"/>
  <c r="GW50" i="2421"/>
  <c r="HC112" i="2421"/>
  <c r="GW113" i="2421"/>
  <c r="HC75" i="2421"/>
  <c r="GW74" i="2421"/>
  <c r="HC40" i="2421"/>
  <c r="GW43" i="2421"/>
  <c r="GW19" i="2421"/>
  <c r="HC107" i="2421"/>
  <c r="GW112" i="2421"/>
  <c r="HC74" i="2421"/>
  <c r="GW73" i="2421"/>
  <c r="HC39" i="2421"/>
  <c r="GW42" i="2421"/>
  <c r="HC99" i="2421"/>
  <c r="GW105" i="2421"/>
  <c r="HC67" i="2421"/>
  <c r="GW66" i="2421"/>
  <c r="HC32" i="2421"/>
  <c r="GW35" i="2421"/>
  <c r="HC98" i="2421"/>
  <c r="GW104" i="2421"/>
  <c r="HC66" i="2421"/>
  <c r="GW65" i="2421"/>
  <c r="HC31" i="2421"/>
  <c r="GW34" i="2421"/>
  <c r="HD47" i="2421"/>
  <c r="HD58" i="2421"/>
  <c r="HD81" i="2421"/>
  <c r="HD42" i="2421"/>
  <c r="HD69" i="2421"/>
  <c r="HD92" i="2421"/>
  <c r="HD55" i="2421"/>
  <c r="HD64" i="2421"/>
  <c r="HD52" i="2421"/>
  <c r="HD84" i="2421"/>
  <c r="HD75" i="2421"/>
  <c r="HD106" i="2421"/>
  <c r="HD20" i="2421"/>
  <c r="HD34" i="2421"/>
  <c r="HD102" i="2421"/>
  <c r="HD72" i="2421"/>
  <c r="HD56" i="2421"/>
  <c r="HD62" i="2421"/>
  <c r="HD73" i="2421"/>
  <c r="HD97" i="2421"/>
  <c r="HD87" i="2421"/>
  <c r="HD79" i="2421"/>
  <c r="HD65" i="2421"/>
  <c r="HD98" i="2421"/>
  <c r="HD80" i="2421"/>
  <c r="HD113" i="2421"/>
  <c r="HD66" i="2421"/>
  <c r="HD23" i="2421"/>
  <c r="HD35" i="2421"/>
  <c r="HD74" i="2421"/>
  <c r="HD37" i="2421"/>
  <c r="HD51" i="2421"/>
  <c r="HD82" i="2421"/>
  <c r="HD76" i="2421"/>
  <c r="HD108" i="2421"/>
  <c r="HD24" i="2421"/>
  <c r="HD61" i="2421"/>
  <c r="HD111" i="2421"/>
  <c r="HD40" i="2421"/>
  <c r="HD86" i="2421"/>
  <c r="HD93" i="2421"/>
  <c r="HD54" i="2421"/>
  <c r="HD96" i="2421"/>
  <c r="HD105" i="2421"/>
  <c r="HD46" i="2421"/>
  <c r="HD100" i="2421"/>
  <c r="HD30" i="2421"/>
  <c r="HD110" i="2421"/>
  <c r="HD103" i="2421"/>
  <c r="HD94" i="2421"/>
  <c r="HD78" i="2421"/>
  <c r="HD71" i="2421"/>
  <c r="HD112" i="2421"/>
  <c r="HD68" i="2421"/>
  <c r="HD45" i="2421"/>
  <c r="HD63" i="2421"/>
  <c r="HD70" i="2421"/>
  <c r="HD26" i="2421"/>
  <c r="HD60" i="2421"/>
  <c r="HD83" i="2421"/>
  <c r="HD53" i="2421"/>
  <c r="HD95" i="2421"/>
  <c r="HD107" i="2421"/>
  <c r="HD99" i="2421"/>
  <c r="HD27" i="2421"/>
  <c r="HD90" i="2421"/>
  <c r="HD41" i="2421"/>
  <c r="HD109" i="2421"/>
  <c r="HD32" i="2421"/>
  <c r="HD29" i="2421"/>
  <c r="HD104" i="2421"/>
  <c r="HD39" i="2421"/>
  <c r="HD57" i="2421"/>
  <c r="HD44" i="2421"/>
  <c r="HD36" i="2421"/>
  <c r="HD77" i="2421"/>
  <c r="HD28" i="2421"/>
  <c r="HD67" i="2421"/>
  <c r="HD49" i="2421"/>
  <c r="HD101" i="2421"/>
  <c r="HD91" i="2421"/>
  <c r="HD19" i="2421"/>
  <c r="HD22" i="2421"/>
  <c r="HD88" i="2421"/>
  <c r="HD38" i="2421"/>
  <c r="HD89" i="2421"/>
  <c r="HD85" i="2421"/>
  <c r="HD33" i="2421"/>
  <c r="HD59" i="2421"/>
  <c r="HD25" i="2421"/>
  <c r="HD31" i="2421"/>
  <c r="HD50" i="2421"/>
  <c r="HD48" i="2421"/>
  <c r="HD43" i="2421"/>
  <c r="HD21" i="2421"/>
  <c r="PU46" i="2421"/>
  <c r="PU91" i="2421"/>
  <c r="PU89" i="2421"/>
  <c r="PU50" i="2421"/>
  <c r="PU32" i="2421"/>
  <c r="PU110" i="2421"/>
  <c r="PU84" i="2421"/>
  <c r="PU45" i="2421"/>
  <c r="PU26" i="2421"/>
  <c r="PU66" i="2421"/>
  <c r="PU108" i="2421"/>
  <c r="PU64" i="2421"/>
  <c r="PU80" i="2421"/>
  <c r="PU86" i="2421"/>
  <c r="PU76" i="2421"/>
  <c r="PU81" i="2421"/>
  <c r="PU34" i="2421"/>
  <c r="PU40" i="2421"/>
  <c r="PU60" i="2421"/>
  <c r="PU27" i="2421"/>
  <c r="PU67" i="2421"/>
  <c r="PU23" i="2421"/>
  <c r="PU52" i="2421"/>
  <c r="PU56" i="2421"/>
  <c r="PU79" i="2421"/>
  <c r="PU30" i="2421"/>
  <c r="PU36" i="2421"/>
  <c r="PU48" i="2421"/>
  <c r="PU113" i="2421"/>
  <c r="PU39" i="2421"/>
  <c r="PU109" i="2421"/>
  <c r="PU37" i="2421"/>
  <c r="PU55" i="2421"/>
  <c r="PU74" i="2421"/>
  <c r="PU49" i="2421"/>
  <c r="PU97" i="2421"/>
  <c r="PU77" i="2421"/>
  <c r="PU68" i="2421"/>
  <c r="PU93" i="2421"/>
  <c r="PU99" i="2421"/>
  <c r="PU111" i="2421"/>
  <c r="PU94" i="2421"/>
  <c r="PU53" i="2421"/>
  <c r="PU59" i="2421"/>
  <c r="PU73" i="2421"/>
  <c r="PU105" i="2421"/>
  <c r="PU98" i="2421"/>
  <c r="PU38" i="2421"/>
  <c r="PU31" i="2421"/>
  <c r="PU90" i="2421"/>
  <c r="PU112" i="2421"/>
  <c r="PU78" i="2421"/>
  <c r="PU75" i="2421"/>
  <c r="PU44" i="2421"/>
  <c r="PU57" i="2421"/>
  <c r="PU62" i="2421"/>
  <c r="PU87" i="2421"/>
  <c r="PU54" i="2421"/>
  <c r="PU100" i="2421"/>
  <c r="PU43" i="2421"/>
  <c r="PU70" i="2421"/>
  <c r="PU102" i="2421"/>
  <c r="PU85" i="2421"/>
  <c r="PU33" i="2421"/>
  <c r="PU92" i="2421"/>
  <c r="PU88" i="2421"/>
  <c r="PU107" i="2421"/>
  <c r="PU41" i="2421"/>
  <c r="PU83" i="2421"/>
  <c r="PU104" i="2421"/>
  <c r="PU22" i="2421"/>
  <c r="PU29" i="2421"/>
  <c r="PU35" i="2421"/>
  <c r="PU47" i="2421"/>
  <c r="PU103" i="2421"/>
  <c r="PU51" i="2421"/>
  <c r="PU19" i="2421"/>
  <c r="PU71" i="2421"/>
  <c r="PU72" i="2421"/>
  <c r="PU106" i="2421"/>
  <c r="PU20" i="2421"/>
  <c r="PU69" i="2421"/>
  <c r="PU63" i="2421"/>
  <c r="PU21" i="2421"/>
  <c r="PU82" i="2421"/>
  <c r="PU28" i="2421"/>
  <c r="PU65" i="2421"/>
  <c r="PU25" i="2421"/>
  <c r="PU95" i="2421"/>
  <c r="PU24" i="2421"/>
  <c r="PU61" i="2421"/>
  <c r="PU96" i="2421"/>
  <c r="PU58" i="2421"/>
  <c r="PU101" i="2421"/>
  <c r="PU42" i="2421"/>
  <c r="CY29" i="2421"/>
  <c r="CY33" i="2421"/>
  <c r="CY41" i="2421"/>
  <c r="CY49" i="2421"/>
  <c r="CY67" i="2421"/>
  <c r="CY21" i="2421"/>
  <c r="CY109" i="2421"/>
  <c r="CY93" i="2421"/>
  <c r="CY85" i="2421"/>
  <c r="CY98" i="2421"/>
  <c r="CY81" i="2421"/>
  <c r="CY64" i="2421"/>
  <c r="CY34" i="2421"/>
  <c r="CY42" i="2421"/>
  <c r="CY50" i="2421"/>
  <c r="CY71" i="2421"/>
  <c r="CY22" i="2421"/>
  <c r="CY107" i="2421"/>
  <c r="CY91" i="2421"/>
  <c r="CY112" i="2421"/>
  <c r="CY96" i="2421"/>
  <c r="CY79" i="2421"/>
  <c r="CY62" i="2421"/>
  <c r="CY56" i="2421"/>
  <c r="CY35" i="2421"/>
  <c r="CY43" i="2421"/>
  <c r="CY51" i="2421"/>
  <c r="CY75" i="2421"/>
  <c r="CY23" i="2421"/>
  <c r="CY105" i="2421"/>
  <c r="CY89" i="2421"/>
  <c r="CY110" i="2421"/>
  <c r="CY94" i="2421"/>
  <c r="CY77" i="2421"/>
  <c r="CY60" i="2421"/>
  <c r="CY61" i="2421"/>
  <c r="CY36" i="2421"/>
  <c r="CY44" i="2421"/>
  <c r="CY52" i="2421"/>
  <c r="CY15" i="2421"/>
  <c r="CY24" i="2421"/>
  <c r="CY103" i="2421"/>
  <c r="CY87" i="2421"/>
  <c r="CY108" i="2421"/>
  <c r="CY92" i="2421"/>
  <c r="CY74" i="2421"/>
  <c r="CY59" i="2421"/>
  <c r="CY65" i="2421"/>
  <c r="CY37" i="2421"/>
  <c r="CY45" i="2421"/>
  <c r="CY53" i="2421"/>
  <c r="CY16" i="2421"/>
  <c r="CY25" i="2421"/>
  <c r="CY101" i="2421"/>
  <c r="CY82" i="2421"/>
  <c r="CY106" i="2421"/>
  <c r="CY90" i="2421"/>
  <c r="CY72" i="2421"/>
  <c r="CY57" i="2421"/>
  <c r="CY69" i="2421"/>
  <c r="CY30" i="2421"/>
  <c r="CY38" i="2421"/>
  <c r="CY46" i="2421"/>
  <c r="CY54" i="2421"/>
  <c r="CY17" i="2421"/>
  <c r="CY26" i="2421"/>
  <c r="CY99" i="2421"/>
  <c r="CY80" i="2421"/>
  <c r="CY104" i="2421"/>
  <c r="CY88" i="2421"/>
  <c r="CY70" i="2421"/>
  <c r="CY55" i="2421"/>
  <c r="CY73" i="2421"/>
  <c r="CY31" i="2421"/>
  <c r="CY39" i="2421"/>
  <c r="CY47" i="2421"/>
  <c r="CY58" i="2421"/>
  <c r="CY18" i="2421"/>
  <c r="CY27" i="2421"/>
  <c r="CY113" i="2421"/>
  <c r="CY97" i="2421"/>
  <c r="CY78" i="2421"/>
  <c r="CY102" i="2421"/>
  <c r="CY86" i="2421"/>
  <c r="CY68" i="2421"/>
  <c r="CY14" i="2421"/>
  <c r="CY83" i="2421"/>
  <c r="CY32" i="2421"/>
  <c r="CY40" i="2421"/>
  <c r="CY48" i="2421"/>
  <c r="CY63" i="2421"/>
  <c r="CY20" i="2421"/>
  <c r="CY28" i="2421"/>
  <c r="CY111" i="2421"/>
  <c r="CY95" i="2421"/>
  <c r="CY76" i="2421"/>
  <c r="CY100" i="2421"/>
  <c r="CY84" i="2421"/>
  <c r="CY66" i="2421"/>
  <c r="CY19" i="2421"/>
  <c r="IA17" i="2421"/>
  <c r="IA19" i="2421"/>
  <c r="IA16" i="2421"/>
  <c r="IA18" i="2421"/>
  <c r="IA15" i="2421"/>
  <c r="IA14" i="2421"/>
  <c r="IA20" i="2421"/>
  <c r="IG108" i="2421"/>
  <c r="IG100" i="2421"/>
  <c r="IG92" i="2421"/>
  <c r="IG84" i="2421"/>
  <c r="IA111" i="2421"/>
  <c r="IA103" i="2421"/>
  <c r="IA95" i="2421"/>
  <c r="IA87" i="2421"/>
  <c r="IA75" i="2421"/>
  <c r="IA67" i="2421"/>
  <c r="IG76" i="2421"/>
  <c r="IG68" i="2421"/>
  <c r="IG60" i="2421"/>
  <c r="IG52" i="2421"/>
  <c r="IG44" i="2421"/>
  <c r="IA63" i="2421"/>
  <c r="IG27" i="2421"/>
  <c r="IG35" i="2421"/>
  <c r="II35" i="2421" s="1"/>
  <c r="IA54" i="2421"/>
  <c r="IA44" i="2421"/>
  <c r="IA61" i="2421"/>
  <c r="IA28" i="2421"/>
  <c r="IA36" i="2421"/>
  <c r="IA60" i="2421"/>
  <c r="IG107" i="2421"/>
  <c r="IG99" i="2421"/>
  <c r="IG91" i="2421"/>
  <c r="IG83" i="2421"/>
  <c r="IA110" i="2421"/>
  <c r="IA102" i="2421"/>
  <c r="IA94" i="2421"/>
  <c r="IA86" i="2421"/>
  <c r="IA74" i="2421"/>
  <c r="IA66" i="2421"/>
  <c r="IG75" i="2421"/>
  <c r="IG67" i="2421"/>
  <c r="IG59" i="2421"/>
  <c r="IG51" i="2421"/>
  <c r="IG43" i="2421"/>
  <c r="IG14" i="2421"/>
  <c r="IG20" i="2421"/>
  <c r="IG28" i="2421"/>
  <c r="IG36" i="2421"/>
  <c r="IA58" i="2421"/>
  <c r="IA45" i="2421"/>
  <c r="IA21" i="2421"/>
  <c r="IA29" i="2421"/>
  <c r="IA37" i="2421"/>
  <c r="IA64" i="2421"/>
  <c r="IG106" i="2421"/>
  <c r="IG98" i="2421"/>
  <c r="IG90" i="2421"/>
  <c r="IG82" i="2421"/>
  <c r="IA109" i="2421"/>
  <c r="IA101" i="2421"/>
  <c r="IA93" i="2421"/>
  <c r="IA83" i="2421"/>
  <c r="IA73" i="2421"/>
  <c r="IA65" i="2421"/>
  <c r="IG74" i="2421"/>
  <c r="IG66" i="2421"/>
  <c r="IG58" i="2421"/>
  <c r="IG50" i="2421"/>
  <c r="IA84" i="2421"/>
  <c r="IG15" i="2421"/>
  <c r="IG21" i="2421"/>
  <c r="II21" i="2421" s="1"/>
  <c r="IG29" i="2421"/>
  <c r="IG37" i="2421"/>
  <c r="IA62" i="2421"/>
  <c r="IA46" i="2421"/>
  <c r="IA22" i="2421"/>
  <c r="IA30" i="2421"/>
  <c r="IA38" i="2421"/>
  <c r="IG113" i="2421"/>
  <c r="IG105" i="2421"/>
  <c r="IG97" i="2421"/>
  <c r="IG89" i="2421"/>
  <c r="IG81" i="2421"/>
  <c r="IA108" i="2421"/>
  <c r="IA100" i="2421"/>
  <c r="IA92" i="2421"/>
  <c r="IA81" i="2421"/>
  <c r="IA72" i="2421"/>
  <c r="IA85" i="2421"/>
  <c r="IG73" i="2421"/>
  <c r="IG65" i="2421"/>
  <c r="IG57" i="2421"/>
  <c r="IG49" i="2421"/>
  <c r="IG16" i="2421"/>
  <c r="IG22" i="2421"/>
  <c r="II22" i="2421" s="1"/>
  <c r="IG30" i="2421"/>
  <c r="IG38" i="2421"/>
  <c r="IA47" i="2421"/>
  <c r="IA23" i="2421"/>
  <c r="IA31" i="2421"/>
  <c r="IA39" i="2421"/>
  <c r="IG112" i="2421"/>
  <c r="IG104" i="2421"/>
  <c r="IG96" i="2421"/>
  <c r="IG88" i="2421"/>
  <c r="IG80" i="2421"/>
  <c r="IA107" i="2421"/>
  <c r="IA99" i="2421"/>
  <c r="IA91" i="2421"/>
  <c r="IA79" i="2421"/>
  <c r="IA71" i="2421"/>
  <c r="IA82" i="2421"/>
  <c r="IG72" i="2421"/>
  <c r="IG64" i="2421"/>
  <c r="IG56" i="2421"/>
  <c r="IG48" i="2421"/>
  <c r="IA42" i="2421"/>
  <c r="IG17" i="2421"/>
  <c r="IG23" i="2421"/>
  <c r="IG31" i="2421"/>
  <c r="IG39" i="2421"/>
  <c r="IA48" i="2421"/>
  <c r="IA24" i="2421"/>
  <c r="IA32" i="2421"/>
  <c r="IA40" i="2421"/>
  <c r="IG111" i="2421"/>
  <c r="IG103" i="2421"/>
  <c r="IG95" i="2421"/>
  <c r="IG87" i="2421"/>
  <c r="IG79" i="2421"/>
  <c r="IA106" i="2421"/>
  <c r="IA98" i="2421"/>
  <c r="IA90" i="2421"/>
  <c r="IA78" i="2421"/>
  <c r="IA70" i="2421"/>
  <c r="IA80" i="2421"/>
  <c r="IG71" i="2421"/>
  <c r="IG63" i="2421"/>
  <c r="IG55" i="2421"/>
  <c r="IG47" i="2421"/>
  <c r="IA51" i="2421"/>
  <c r="IG18" i="2421"/>
  <c r="IG24" i="2421"/>
  <c r="IG32" i="2421"/>
  <c r="II32" i="2421" s="1"/>
  <c r="IG40" i="2421"/>
  <c r="IA49" i="2421"/>
  <c r="IA25" i="2421"/>
  <c r="IA33" i="2421"/>
  <c r="IG41" i="2421"/>
  <c r="IG110" i="2421"/>
  <c r="IG102" i="2421"/>
  <c r="IG94" i="2421"/>
  <c r="IG86" i="2421"/>
  <c r="IA113" i="2421"/>
  <c r="IA105" i="2421"/>
  <c r="IA97" i="2421"/>
  <c r="IA89" i="2421"/>
  <c r="IA77" i="2421"/>
  <c r="IA69" i="2421"/>
  <c r="IG78" i="2421"/>
  <c r="IG70" i="2421"/>
  <c r="IG62" i="2421"/>
  <c r="IG54" i="2421"/>
  <c r="IG46" i="2421"/>
  <c r="IA55" i="2421"/>
  <c r="IG25" i="2421"/>
  <c r="IG33" i="2421"/>
  <c r="II33" i="2421" s="1"/>
  <c r="IG42" i="2421"/>
  <c r="IA41" i="2421"/>
  <c r="IA53" i="2421"/>
  <c r="IA26" i="2421"/>
  <c r="IA34" i="2421"/>
  <c r="IA52" i="2421"/>
  <c r="IG109" i="2421"/>
  <c r="IG101" i="2421"/>
  <c r="IG93" i="2421"/>
  <c r="IG85" i="2421"/>
  <c r="IA112" i="2421"/>
  <c r="IA104" i="2421"/>
  <c r="IA96" i="2421"/>
  <c r="IA88" i="2421"/>
  <c r="IA76" i="2421"/>
  <c r="IA68" i="2421"/>
  <c r="IG77" i="2421"/>
  <c r="IG69" i="2421"/>
  <c r="IG61" i="2421"/>
  <c r="IG53" i="2421"/>
  <c r="IG45" i="2421"/>
  <c r="IA59" i="2421"/>
  <c r="IG19" i="2421"/>
  <c r="IG26" i="2421"/>
  <c r="IG34" i="2421"/>
  <c r="II34" i="2421" s="1"/>
  <c r="IA50" i="2421"/>
  <c r="IA43" i="2421"/>
  <c r="IA57" i="2421"/>
  <c r="IA27" i="2421"/>
  <c r="IA35" i="2421"/>
  <c r="IA56" i="2421"/>
  <c r="DN40" i="2421"/>
  <c r="DN109" i="2421"/>
  <c r="DN93" i="2421"/>
  <c r="DN70" i="2421"/>
  <c r="DN62" i="2421"/>
  <c r="DN85" i="2421"/>
  <c r="DN108" i="2421"/>
  <c r="DN92" i="2421"/>
  <c r="DN76" i="2421"/>
  <c r="DN47" i="2421"/>
  <c r="DN107" i="2421"/>
  <c r="DN91" i="2421"/>
  <c r="DN69" i="2421"/>
  <c r="DN61" i="2421"/>
  <c r="DN83" i="2421"/>
  <c r="DN106" i="2421"/>
  <c r="DN90" i="2421"/>
  <c r="DN54" i="2421"/>
  <c r="DN46" i="2421"/>
  <c r="DN19" i="2421"/>
  <c r="DN27" i="2421"/>
  <c r="DN105" i="2421"/>
  <c r="DN89" i="2421"/>
  <c r="DN68" i="2421"/>
  <c r="DN60" i="2421"/>
  <c r="DN81" i="2421"/>
  <c r="DN104" i="2421"/>
  <c r="DN88" i="2421"/>
  <c r="DN53" i="2421"/>
  <c r="DN45" i="2421"/>
  <c r="DN103" i="2421"/>
  <c r="DN87" i="2421"/>
  <c r="DN67" i="2421"/>
  <c r="DN59" i="2421"/>
  <c r="DN79" i="2421"/>
  <c r="DN102" i="2421"/>
  <c r="DN86" i="2421"/>
  <c r="DN52" i="2421"/>
  <c r="DN44" i="2421"/>
  <c r="DN21" i="2421"/>
  <c r="DN32" i="2421"/>
  <c r="DN99" i="2421"/>
  <c r="DN73" i="2421"/>
  <c r="DN65" i="2421"/>
  <c r="DN57" i="2421"/>
  <c r="DN75" i="2421"/>
  <c r="DN98" i="2421"/>
  <c r="DN82" i="2421"/>
  <c r="DN50" i="2421"/>
  <c r="DN42" i="2421"/>
  <c r="DN23" i="2421"/>
  <c r="DN95" i="2421"/>
  <c r="DN56" i="2421"/>
  <c r="DN84" i="2421"/>
  <c r="DN34" i="2421"/>
  <c r="DN36" i="2421"/>
  <c r="DN74" i="2421"/>
  <c r="DN55" i="2421"/>
  <c r="DN80" i="2421"/>
  <c r="DN20" i="2421"/>
  <c r="DN28" i="2421"/>
  <c r="DN72" i="2421"/>
  <c r="DN77" i="2421"/>
  <c r="DN78" i="2421"/>
  <c r="DN38" i="2421"/>
  <c r="DN29" i="2421"/>
  <c r="DN71" i="2421"/>
  <c r="DN112" i="2421"/>
  <c r="DN51" i="2421"/>
  <c r="DN25" i="2421"/>
  <c r="DN14" i="2421"/>
  <c r="DN22" i="2421"/>
  <c r="DN113" i="2421"/>
  <c r="DN66" i="2421"/>
  <c r="DN110" i="2421"/>
  <c r="DN49" i="2421"/>
  <c r="DN31" i="2421"/>
  <c r="DN15" i="2421"/>
  <c r="DN33" i="2421"/>
  <c r="DN111" i="2421"/>
  <c r="DN64" i="2421"/>
  <c r="DN100" i="2421"/>
  <c r="DN48" i="2421"/>
  <c r="DN35" i="2421"/>
  <c r="DN16" i="2421"/>
  <c r="DN24" i="2421"/>
  <c r="DN101" i="2421"/>
  <c r="DN63" i="2421"/>
  <c r="DN96" i="2421"/>
  <c r="DN43" i="2421"/>
  <c r="DN39" i="2421"/>
  <c r="DN30" i="2421"/>
  <c r="DN17" i="2421"/>
  <c r="DN37" i="2421"/>
  <c r="DN97" i="2421"/>
  <c r="DN58" i="2421"/>
  <c r="DN94" i="2421"/>
  <c r="DN41" i="2421"/>
  <c r="DN18" i="2421"/>
  <c r="DN26" i="2421"/>
  <c r="OM14" i="2421"/>
  <c r="OM101" i="2421"/>
  <c r="OM83" i="2421"/>
  <c r="OM75" i="2421"/>
  <c r="OM67" i="2421"/>
  <c r="OM59" i="2421"/>
  <c r="OM51" i="2421"/>
  <c r="OM110" i="2421"/>
  <c r="OM94" i="2421"/>
  <c r="OM43" i="2421"/>
  <c r="OM35" i="2421"/>
  <c r="OM27" i="2421"/>
  <c r="OM19" i="2421"/>
  <c r="OM99" i="2421"/>
  <c r="OM81" i="2421"/>
  <c r="OM74" i="2421"/>
  <c r="OM66" i="2421"/>
  <c r="OM58" i="2421"/>
  <c r="OM50" i="2421"/>
  <c r="OM108" i="2421"/>
  <c r="OM92" i="2421"/>
  <c r="OM42" i="2421"/>
  <c r="OM34" i="2421"/>
  <c r="OM26" i="2421"/>
  <c r="OM18" i="2421"/>
  <c r="OM113" i="2421"/>
  <c r="OM97" i="2421"/>
  <c r="OM91" i="2421"/>
  <c r="OM73" i="2421"/>
  <c r="OM65" i="2421"/>
  <c r="OM57" i="2421"/>
  <c r="OM49" i="2421"/>
  <c r="OM106" i="2421"/>
  <c r="OM88" i="2421"/>
  <c r="OM41" i="2421"/>
  <c r="OM33" i="2421"/>
  <c r="OM25" i="2421"/>
  <c r="OM17" i="2421"/>
  <c r="OM111" i="2421"/>
  <c r="OM95" i="2421"/>
  <c r="OM87" i="2421"/>
  <c r="OM72" i="2421"/>
  <c r="OM64" i="2421"/>
  <c r="OM56" i="2421"/>
  <c r="OM48" i="2421"/>
  <c r="OM104" i="2421"/>
  <c r="OM84" i="2421"/>
  <c r="OM40" i="2421"/>
  <c r="OM32" i="2421"/>
  <c r="OM24" i="2421"/>
  <c r="OM16" i="2421"/>
  <c r="OM109" i="2421"/>
  <c r="OM93" i="2421"/>
  <c r="OM79" i="2421"/>
  <c r="OM71" i="2421"/>
  <c r="OM63" i="2421"/>
  <c r="OM55" i="2421"/>
  <c r="OM47" i="2421"/>
  <c r="OM102" i="2421"/>
  <c r="OM82" i="2421"/>
  <c r="OM39" i="2421"/>
  <c r="OM31" i="2421"/>
  <c r="OM23" i="2421"/>
  <c r="OM15" i="2421"/>
  <c r="OM107" i="2421"/>
  <c r="OM90" i="2421"/>
  <c r="OM78" i="2421"/>
  <c r="OM70" i="2421"/>
  <c r="OM62" i="2421"/>
  <c r="OM54" i="2421"/>
  <c r="OM46" i="2421"/>
  <c r="OM100" i="2421"/>
  <c r="OM80" i="2421"/>
  <c r="OM38" i="2421"/>
  <c r="OM30" i="2421"/>
  <c r="OM22" i="2421"/>
  <c r="OM105" i="2421"/>
  <c r="OM86" i="2421"/>
  <c r="OM77" i="2421"/>
  <c r="OM69" i="2421"/>
  <c r="OM61" i="2421"/>
  <c r="OM53" i="2421"/>
  <c r="OM45" i="2421"/>
  <c r="OM98" i="2421"/>
  <c r="OM89" i="2421"/>
  <c r="OM37" i="2421"/>
  <c r="OM29" i="2421"/>
  <c r="OM21" i="2421"/>
  <c r="OM112" i="2421"/>
  <c r="OM96" i="2421"/>
  <c r="OM103" i="2421"/>
  <c r="OM44" i="2421"/>
  <c r="OM85" i="2421"/>
  <c r="OM36" i="2421"/>
  <c r="OM76" i="2421"/>
  <c r="OM28" i="2421"/>
  <c r="OM68" i="2421"/>
  <c r="OM20" i="2421"/>
  <c r="OM60" i="2421"/>
  <c r="OM52" i="2421"/>
  <c r="LA23" i="2421"/>
  <c r="LA22" i="2421"/>
  <c r="LA20" i="2421"/>
  <c r="LA18" i="2421"/>
  <c r="LA16" i="2421"/>
  <c r="LA19" i="2421"/>
  <c r="LA17" i="2421"/>
  <c r="LA21" i="2421"/>
  <c r="LA15" i="2421"/>
  <c r="LA14" i="2421"/>
  <c r="LA103" i="2421"/>
  <c r="LA85" i="2421"/>
  <c r="LA77" i="2421"/>
  <c r="LA69" i="2421"/>
  <c r="LA61" i="2421"/>
  <c r="LA110" i="2421"/>
  <c r="LA92" i="2421"/>
  <c r="LA51" i="2421"/>
  <c r="LA43" i="2421"/>
  <c r="LA35" i="2421"/>
  <c r="LA27" i="2421"/>
  <c r="LA101" i="2421"/>
  <c r="LA84" i="2421"/>
  <c r="LA76" i="2421"/>
  <c r="LA68" i="2421"/>
  <c r="LA60" i="2421"/>
  <c r="LA108" i="2421"/>
  <c r="LA91" i="2421"/>
  <c r="LA50" i="2421"/>
  <c r="LA42" i="2421"/>
  <c r="LA34" i="2421"/>
  <c r="LA26" i="2421"/>
  <c r="LA99" i="2421"/>
  <c r="LA83" i="2421"/>
  <c r="LA75" i="2421"/>
  <c r="LA67" i="2421"/>
  <c r="LA59" i="2421"/>
  <c r="LA106" i="2421"/>
  <c r="LA87" i="2421"/>
  <c r="LA49" i="2421"/>
  <c r="LA41" i="2421"/>
  <c r="LA33" i="2421"/>
  <c r="LA25" i="2421"/>
  <c r="LA111" i="2421"/>
  <c r="LA94" i="2421"/>
  <c r="LA81" i="2421"/>
  <c r="LA73" i="2421"/>
  <c r="LA65" i="2421"/>
  <c r="LA57" i="2421"/>
  <c r="LA102" i="2421"/>
  <c r="LA90" i="2421"/>
  <c r="LA47" i="2421"/>
  <c r="LA39" i="2421"/>
  <c r="LA31" i="2421"/>
  <c r="LA86" i="2421"/>
  <c r="LA109" i="2421"/>
  <c r="LA89" i="2421"/>
  <c r="LA80" i="2421"/>
  <c r="LA72" i="2421"/>
  <c r="LA64" i="2421"/>
  <c r="LA56" i="2421"/>
  <c r="LA100" i="2421"/>
  <c r="LA54" i="2421"/>
  <c r="LA46" i="2421"/>
  <c r="LA38" i="2421"/>
  <c r="LA30" i="2421"/>
  <c r="LA95" i="2421"/>
  <c r="LA66" i="2421"/>
  <c r="LA96" i="2421"/>
  <c r="LA37" i="2421"/>
  <c r="LA88" i="2421"/>
  <c r="LA63" i="2421"/>
  <c r="LA93" i="2421"/>
  <c r="LA36" i="2421"/>
  <c r="LA82" i="2421"/>
  <c r="LA62" i="2421"/>
  <c r="LA53" i="2421"/>
  <c r="LA32" i="2421"/>
  <c r="LA79" i="2421"/>
  <c r="LA58" i="2421"/>
  <c r="LA52" i="2421"/>
  <c r="LA29" i="2421"/>
  <c r="LA113" i="2421"/>
  <c r="LA78" i="2421"/>
  <c r="LA55" i="2421"/>
  <c r="LA48" i="2421"/>
  <c r="LA28" i="2421"/>
  <c r="LA105" i="2421"/>
  <c r="LA71" i="2421"/>
  <c r="LA104" i="2421"/>
  <c r="LA44" i="2421"/>
  <c r="LA97" i="2421"/>
  <c r="LA70" i="2421"/>
  <c r="LA98" i="2421"/>
  <c r="LA40" i="2421"/>
  <c r="LA74" i="2421"/>
  <c r="LA112" i="2421"/>
  <c r="LA45" i="2421"/>
  <c r="LA24" i="2421"/>
  <c r="LA107" i="2421"/>
  <c r="IB112" i="2421"/>
  <c r="IB104" i="2421"/>
  <c r="IB96" i="2421"/>
  <c r="IB88" i="2421"/>
  <c r="IB81" i="2421"/>
  <c r="IB72" i="2421"/>
  <c r="IB64" i="2421"/>
  <c r="IB56" i="2421"/>
  <c r="IB48" i="2421"/>
  <c r="IB40" i="2421"/>
  <c r="IB32" i="2421"/>
  <c r="IB24" i="2421"/>
  <c r="IB16" i="2421"/>
  <c r="IB111" i="2421"/>
  <c r="IB103" i="2421"/>
  <c r="IB95" i="2421"/>
  <c r="IB87" i="2421"/>
  <c r="IB79" i="2421"/>
  <c r="IB71" i="2421"/>
  <c r="IB63" i="2421"/>
  <c r="IB55" i="2421"/>
  <c r="IB47" i="2421"/>
  <c r="IB39" i="2421"/>
  <c r="IB31" i="2421"/>
  <c r="IB23" i="2421"/>
  <c r="IB15" i="2421"/>
  <c r="IB110" i="2421"/>
  <c r="IB102" i="2421"/>
  <c r="IB94" i="2421"/>
  <c r="IB86" i="2421"/>
  <c r="IB78" i="2421"/>
  <c r="IB70" i="2421"/>
  <c r="IB62" i="2421"/>
  <c r="IB54" i="2421"/>
  <c r="IB46" i="2421"/>
  <c r="IB38" i="2421"/>
  <c r="IB30" i="2421"/>
  <c r="IB22" i="2421"/>
  <c r="IB14" i="2421"/>
  <c r="IB109" i="2421"/>
  <c r="IB101" i="2421"/>
  <c r="IB93" i="2421"/>
  <c r="IB85" i="2421"/>
  <c r="IB77" i="2421"/>
  <c r="IB69" i="2421"/>
  <c r="IB61" i="2421"/>
  <c r="IB53" i="2421"/>
  <c r="IB45" i="2421"/>
  <c r="IB37" i="2421"/>
  <c r="IB29" i="2421"/>
  <c r="IB21" i="2421"/>
  <c r="IB108" i="2421"/>
  <c r="IB100" i="2421"/>
  <c r="IB92" i="2421"/>
  <c r="IB84" i="2421"/>
  <c r="IB76" i="2421"/>
  <c r="IB68" i="2421"/>
  <c r="IB60" i="2421"/>
  <c r="IB52" i="2421"/>
  <c r="IB44" i="2421"/>
  <c r="IB36" i="2421"/>
  <c r="IB28" i="2421"/>
  <c r="IB20" i="2421"/>
  <c r="IB107" i="2421"/>
  <c r="IB99" i="2421"/>
  <c r="IB91" i="2421"/>
  <c r="IB83" i="2421"/>
  <c r="IB75" i="2421"/>
  <c r="IB67" i="2421"/>
  <c r="IB59" i="2421"/>
  <c r="IB51" i="2421"/>
  <c r="IB43" i="2421"/>
  <c r="IB35" i="2421"/>
  <c r="IB27" i="2421"/>
  <c r="IB19" i="2421"/>
  <c r="IB106" i="2421"/>
  <c r="IB98" i="2421"/>
  <c r="IB90" i="2421"/>
  <c r="IB82" i="2421"/>
  <c r="IB74" i="2421"/>
  <c r="IB66" i="2421"/>
  <c r="IB58" i="2421"/>
  <c r="IB50" i="2421"/>
  <c r="IB41" i="2421"/>
  <c r="IB34" i="2421"/>
  <c r="IB26" i="2421"/>
  <c r="IB18" i="2421"/>
  <c r="IB113" i="2421"/>
  <c r="IB105" i="2421"/>
  <c r="IB97" i="2421"/>
  <c r="IB89" i="2421"/>
  <c r="IB80" i="2421"/>
  <c r="IB73" i="2421"/>
  <c r="IB65" i="2421"/>
  <c r="IB57" i="2421"/>
  <c r="IB49" i="2421"/>
  <c r="IB42" i="2421"/>
  <c r="IB33" i="2421"/>
  <c r="IB25" i="2421"/>
  <c r="IB17" i="2421"/>
  <c r="IP80" i="2421"/>
  <c r="IV43" i="2421"/>
  <c r="IV49" i="2421"/>
  <c r="IP33" i="2421"/>
  <c r="IV55" i="2421"/>
  <c r="IV39" i="2421"/>
  <c r="IP84" i="2421"/>
  <c r="IV45" i="2421"/>
  <c r="IP29" i="2421"/>
  <c r="IV51" i="2421"/>
  <c r="IP35" i="2421"/>
  <c r="IV57" i="2421"/>
  <c r="IV41" i="2421"/>
  <c r="IV47" i="2421"/>
  <c r="IP31" i="2421"/>
  <c r="IV53" i="2421"/>
  <c r="IV37" i="2421"/>
  <c r="IP15" i="2421"/>
  <c r="IP23" i="2421"/>
  <c r="IV113" i="2421"/>
  <c r="IV105" i="2421"/>
  <c r="IV97" i="2421"/>
  <c r="IP110" i="2421"/>
  <c r="IP102" i="2421"/>
  <c r="IP94" i="2421"/>
  <c r="IP86" i="2421"/>
  <c r="IV81" i="2421"/>
  <c r="IV73" i="2421"/>
  <c r="IV65" i="2421"/>
  <c r="IP73" i="2421"/>
  <c r="IP61" i="2421"/>
  <c r="IV60" i="2421"/>
  <c r="IP51" i="2421"/>
  <c r="IP43" i="2421"/>
  <c r="IP83" i="2421"/>
  <c r="IV40" i="2421"/>
  <c r="IV56" i="2421"/>
  <c r="IV20" i="2421"/>
  <c r="IV28" i="2421"/>
  <c r="IP16" i="2421"/>
  <c r="IP24" i="2421"/>
  <c r="IV31" i="2421"/>
  <c r="IV112" i="2421"/>
  <c r="IV104" i="2421"/>
  <c r="IV96" i="2421"/>
  <c r="IP109" i="2421"/>
  <c r="IP101" i="2421"/>
  <c r="IP93" i="2421"/>
  <c r="IV90" i="2421"/>
  <c r="IV80" i="2421"/>
  <c r="IV72" i="2421"/>
  <c r="IV64" i="2421"/>
  <c r="IP69" i="2421"/>
  <c r="IP59" i="2421"/>
  <c r="IV58" i="2421"/>
  <c r="IP50" i="2421"/>
  <c r="IP42" i="2421"/>
  <c r="IP79" i="2421"/>
  <c r="IP32" i="2421"/>
  <c r="IV42" i="2421"/>
  <c r="IV61" i="2421"/>
  <c r="IV21" i="2421"/>
  <c r="IX21" i="2421" s="1"/>
  <c r="IP17" i="2421"/>
  <c r="IP25" i="2421"/>
  <c r="IV111" i="2421"/>
  <c r="IV103" i="2421"/>
  <c r="IV95" i="2421"/>
  <c r="IP108" i="2421"/>
  <c r="IP100" i="2421"/>
  <c r="IP92" i="2421"/>
  <c r="IV86" i="2421"/>
  <c r="IV79" i="2421"/>
  <c r="IV71" i="2421"/>
  <c r="IV63" i="2421"/>
  <c r="IP68" i="2421"/>
  <c r="IV91" i="2421"/>
  <c r="IP57" i="2421"/>
  <c r="IP49" i="2421"/>
  <c r="IP41" i="2421"/>
  <c r="IP75" i="2421"/>
  <c r="IV44" i="2421"/>
  <c r="IP76" i="2421"/>
  <c r="IV14" i="2421"/>
  <c r="IV22" i="2421"/>
  <c r="IX22" i="2421" s="1"/>
  <c r="IV30" i="2421"/>
  <c r="IP72" i="2421"/>
  <c r="IP18" i="2421"/>
  <c r="IP26" i="2421"/>
  <c r="IV33" i="2421"/>
  <c r="IX33" i="2421" s="1"/>
  <c r="IV110" i="2421"/>
  <c r="IV102" i="2421"/>
  <c r="IV94" i="2421"/>
  <c r="IP107" i="2421"/>
  <c r="IP99" i="2421"/>
  <c r="IP91" i="2421"/>
  <c r="IV89" i="2421"/>
  <c r="IV78" i="2421"/>
  <c r="IV70" i="2421"/>
  <c r="IV92" i="2421"/>
  <c r="IP67" i="2421"/>
  <c r="IP82" i="2421"/>
  <c r="IP56" i="2421"/>
  <c r="IP48" i="2421"/>
  <c r="IP40" i="2421"/>
  <c r="IP71" i="2421"/>
  <c r="IP34" i="2421"/>
  <c r="IV46" i="2421"/>
  <c r="IV15" i="2421"/>
  <c r="IV23" i="2421"/>
  <c r="IP19" i="2421"/>
  <c r="IP27" i="2421"/>
  <c r="IV109" i="2421"/>
  <c r="IV101" i="2421"/>
  <c r="IV93" i="2421"/>
  <c r="IP106" i="2421"/>
  <c r="IP98" i="2421"/>
  <c r="IP90" i="2421"/>
  <c r="IV85" i="2421"/>
  <c r="IV77" i="2421"/>
  <c r="IV69" i="2421"/>
  <c r="IV88" i="2421"/>
  <c r="IP66" i="2421"/>
  <c r="IP78" i="2421"/>
  <c r="IP55" i="2421"/>
  <c r="IP47" i="2421"/>
  <c r="IP39" i="2421"/>
  <c r="IP62" i="2421"/>
  <c r="IV48" i="2421"/>
  <c r="IV16" i="2421"/>
  <c r="IV24" i="2421"/>
  <c r="IV32" i="2421"/>
  <c r="IX32" i="2421" s="1"/>
  <c r="IP20" i="2421"/>
  <c r="IP28" i="2421"/>
  <c r="IV35" i="2421"/>
  <c r="IX35" i="2421" s="1"/>
  <c r="IV108" i="2421"/>
  <c r="IV100" i="2421"/>
  <c r="IP113" i="2421"/>
  <c r="IP105" i="2421"/>
  <c r="IP97" i="2421"/>
  <c r="IP89" i="2421"/>
  <c r="IV84" i="2421"/>
  <c r="IV76" i="2421"/>
  <c r="IV68" i="2421"/>
  <c r="IP85" i="2421"/>
  <c r="IP65" i="2421"/>
  <c r="IP74" i="2421"/>
  <c r="IP54" i="2421"/>
  <c r="IP46" i="2421"/>
  <c r="IP38" i="2421"/>
  <c r="IP60" i="2421"/>
  <c r="IP36" i="2421"/>
  <c r="IV50" i="2421"/>
  <c r="IV17" i="2421"/>
  <c r="IV25" i="2421"/>
  <c r="IP21" i="2421"/>
  <c r="IV107" i="2421"/>
  <c r="IV99" i="2421"/>
  <c r="IP112" i="2421"/>
  <c r="IP104" i="2421"/>
  <c r="IP96" i="2421"/>
  <c r="IP88" i="2421"/>
  <c r="IV83" i="2421"/>
  <c r="IV75" i="2421"/>
  <c r="IV67" i="2421"/>
  <c r="IP81" i="2421"/>
  <c r="IP64" i="2421"/>
  <c r="IP70" i="2421"/>
  <c r="IP53" i="2421"/>
  <c r="IP45" i="2421"/>
  <c r="IP37" i="2421"/>
  <c r="IP58" i="2421"/>
  <c r="IV36" i="2421"/>
  <c r="IV52" i="2421"/>
  <c r="IV18" i="2421"/>
  <c r="IV26" i="2421"/>
  <c r="IV34" i="2421"/>
  <c r="IX34" i="2421" s="1"/>
  <c r="IP14" i="2421"/>
  <c r="IP22" i="2421"/>
  <c r="IV29" i="2421"/>
  <c r="IV106" i="2421"/>
  <c r="IV98" i="2421"/>
  <c r="IP111" i="2421"/>
  <c r="IP103" i="2421"/>
  <c r="IP95" i="2421"/>
  <c r="IP87" i="2421"/>
  <c r="IV82" i="2421"/>
  <c r="IV74" i="2421"/>
  <c r="IV66" i="2421"/>
  <c r="IP77" i="2421"/>
  <c r="IP63" i="2421"/>
  <c r="IV62" i="2421"/>
  <c r="IP52" i="2421"/>
  <c r="IP44" i="2421"/>
  <c r="IV87" i="2421"/>
  <c r="IP30" i="2421"/>
  <c r="IV38" i="2421"/>
  <c r="IV54" i="2421"/>
  <c r="IV19" i="2421"/>
  <c r="IV27" i="2421"/>
  <c r="IV59" i="2421"/>
  <c r="GZ32" i="2421"/>
  <c r="GZ16" i="2421"/>
  <c r="GZ19" i="2421"/>
  <c r="GZ17" i="2421"/>
  <c r="GZ33" i="2421"/>
  <c r="GZ23" i="2421"/>
  <c r="GZ25" i="2421"/>
  <c r="GZ14" i="2421"/>
  <c r="GZ28" i="2421"/>
  <c r="GZ15" i="2421"/>
  <c r="GZ99" i="2421"/>
  <c r="GZ74" i="2421"/>
  <c r="GZ66" i="2421"/>
  <c r="GZ58" i="2421"/>
  <c r="GZ78" i="2421"/>
  <c r="GZ100" i="2421"/>
  <c r="GZ84" i="2421"/>
  <c r="GZ47" i="2421"/>
  <c r="GZ39" i="2421"/>
  <c r="GZ52" i="2421"/>
  <c r="GZ29" i="2421"/>
  <c r="GZ113" i="2421"/>
  <c r="GZ97" i="2421"/>
  <c r="GZ73" i="2421"/>
  <c r="GZ65" i="2421"/>
  <c r="GZ57" i="2421"/>
  <c r="GZ76" i="2421"/>
  <c r="GZ98" i="2421"/>
  <c r="GZ83" i="2421"/>
  <c r="GZ46" i="2421"/>
  <c r="GZ38" i="2421"/>
  <c r="GZ22" i="2421"/>
  <c r="GZ111" i="2421"/>
  <c r="GZ95" i="2421"/>
  <c r="GZ72" i="2421"/>
  <c r="GZ64" i="2421"/>
  <c r="GZ56" i="2421"/>
  <c r="GZ112" i="2421"/>
  <c r="GZ96" i="2421"/>
  <c r="GZ81" i="2421"/>
  <c r="GZ45" i="2421"/>
  <c r="GZ37" i="2421"/>
  <c r="GZ27" i="2421"/>
  <c r="GZ109" i="2421"/>
  <c r="GZ93" i="2421"/>
  <c r="GZ71" i="2421"/>
  <c r="GZ63" i="2421"/>
  <c r="GZ55" i="2421"/>
  <c r="GZ110" i="2421"/>
  <c r="GZ94" i="2421"/>
  <c r="GZ79" i="2421"/>
  <c r="GZ44" i="2421"/>
  <c r="GZ36" i="2421"/>
  <c r="GZ24" i="2421"/>
  <c r="GZ21" i="2421"/>
  <c r="GZ107" i="2421"/>
  <c r="GZ91" i="2421"/>
  <c r="GZ70" i="2421"/>
  <c r="GZ62" i="2421"/>
  <c r="GZ54" i="2421"/>
  <c r="GZ108" i="2421"/>
  <c r="GZ92" i="2421"/>
  <c r="GZ77" i="2421"/>
  <c r="GZ43" i="2421"/>
  <c r="GZ35" i="2421"/>
  <c r="GZ31" i="2421"/>
  <c r="GZ105" i="2421"/>
  <c r="GZ89" i="2421"/>
  <c r="GZ69" i="2421"/>
  <c r="GZ61" i="2421"/>
  <c r="GZ85" i="2421"/>
  <c r="GZ106" i="2421"/>
  <c r="GZ90" i="2421"/>
  <c r="GZ50" i="2421"/>
  <c r="GZ42" i="2421"/>
  <c r="GZ34" i="2421"/>
  <c r="GZ18" i="2421"/>
  <c r="GZ26" i="2421"/>
  <c r="GZ60" i="2421"/>
  <c r="GZ49" i="2421"/>
  <c r="GZ59" i="2421"/>
  <c r="GZ48" i="2421"/>
  <c r="GZ103" i="2421"/>
  <c r="GZ82" i="2421"/>
  <c r="GZ41" i="2421"/>
  <c r="GZ101" i="2421"/>
  <c r="GZ80" i="2421"/>
  <c r="GZ40" i="2421"/>
  <c r="GZ87" i="2421"/>
  <c r="GZ104" i="2421"/>
  <c r="GZ53" i="2421"/>
  <c r="GZ75" i="2421"/>
  <c r="GZ102" i="2421"/>
  <c r="GZ51" i="2421"/>
  <c r="GZ20" i="2421"/>
  <c r="GZ68" i="2421"/>
  <c r="GZ88" i="2421"/>
  <c r="GZ67" i="2421"/>
  <c r="GZ86" i="2421"/>
  <c r="GZ30" i="2421"/>
  <c r="CJ23" i="2421"/>
  <c r="CJ21" i="2421"/>
  <c r="CJ19" i="2421"/>
  <c r="CJ17" i="2421"/>
  <c r="CJ14" i="2421"/>
  <c r="CJ20" i="2421"/>
  <c r="CJ18" i="2421"/>
  <c r="CJ22" i="2421"/>
  <c r="CJ16" i="2421"/>
  <c r="CJ15" i="2421"/>
  <c r="CJ109" i="2421"/>
  <c r="CJ93" i="2421"/>
  <c r="CJ112" i="2421"/>
  <c r="CJ96" i="2421"/>
  <c r="CJ79" i="2421"/>
  <c r="CJ38" i="2421"/>
  <c r="CJ64" i="2421"/>
  <c r="CJ60" i="2421"/>
  <c r="CJ71" i="2421"/>
  <c r="CJ52" i="2421"/>
  <c r="CJ107" i="2421"/>
  <c r="CJ91" i="2421"/>
  <c r="CJ110" i="2421"/>
  <c r="CJ94" i="2421"/>
  <c r="CJ58" i="2421"/>
  <c r="CJ37" i="2421"/>
  <c r="CJ62" i="2421"/>
  <c r="CJ56" i="2421"/>
  <c r="CJ69" i="2421"/>
  <c r="CJ48" i="2421"/>
  <c r="CJ30" i="2421"/>
  <c r="CJ24" i="2421"/>
  <c r="CJ105" i="2421"/>
  <c r="CJ89" i="2421"/>
  <c r="CJ108" i="2421"/>
  <c r="CJ92" i="2421"/>
  <c r="CJ53" i="2421"/>
  <c r="CJ76" i="2421"/>
  <c r="CJ57" i="2421"/>
  <c r="CJ51" i="2421"/>
  <c r="CJ67" i="2421"/>
  <c r="CJ44" i="2421"/>
  <c r="CJ31" i="2421"/>
  <c r="CJ25" i="2421"/>
  <c r="CJ103" i="2421"/>
  <c r="CJ87" i="2421"/>
  <c r="CJ106" i="2421"/>
  <c r="CJ90" i="2421"/>
  <c r="CJ49" i="2421"/>
  <c r="CJ74" i="2421"/>
  <c r="CJ54" i="2421"/>
  <c r="CJ47" i="2421"/>
  <c r="CJ65" i="2421"/>
  <c r="CJ32" i="2421"/>
  <c r="CJ26" i="2421"/>
  <c r="CJ101" i="2421"/>
  <c r="CJ82" i="2421"/>
  <c r="CJ104" i="2421"/>
  <c r="CJ88" i="2421"/>
  <c r="CJ45" i="2421"/>
  <c r="CJ72" i="2421"/>
  <c r="CJ50" i="2421"/>
  <c r="CJ43" i="2421"/>
  <c r="CJ63" i="2421"/>
  <c r="CJ33" i="2421"/>
  <c r="CJ27" i="2421"/>
  <c r="CJ99" i="2421"/>
  <c r="CJ80" i="2421"/>
  <c r="CJ102" i="2421"/>
  <c r="CJ86" i="2421"/>
  <c r="CJ41" i="2421"/>
  <c r="CJ70" i="2421"/>
  <c r="CJ46" i="2421"/>
  <c r="CJ77" i="2421"/>
  <c r="CJ61" i="2421"/>
  <c r="CJ34" i="2421"/>
  <c r="CJ28" i="2421"/>
  <c r="CJ113" i="2421"/>
  <c r="CJ97" i="2421"/>
  <c r="CJ78" i="2421"/>
  <c r="CJ100" i="2421"/>
  <c r="CJ84" i="2421"/>
  <c r="CJ40" i="2421"/>
  <c r="CJ68" i="2421"/>
  <c r="CJ42" i="2421"/>
  <c r="CJ75" i="2421"/>
  <c r="CJ59" i="2421"/>
  <c r="CJ35" i="2421"/>
  <c r="CJ29" i="2421"/>
  <c r="CJ111" i="2421"/>
  <c r="CJ95" i="2421"/>
  <c r="CJ85" i="2421"/>
  <c r="CJ98" i="2421"/>
  <c r="CJ81" i="2421"/>
  <c r="CJ39" i="2421"/>
  <c r="CJ66" i="2421"/>
  <c r="CJ83" i="2421"/>
  <c r="CJ73" i="2421"/>
  <c r="CJ55" i="2421"/>
  <c r="CJ36" i="2421"/>
  <c r="PQ40" i="2421"/>
  <c r="PQ21" i="2421"/>
  <c r="PQ29" i="2421"/>
  <c r="PQ37" i="2421"/>
  <c r="PQ15" i="2421"/>
  <c r="PQ23" i="2421"/>
  <c r="PQ31" i="2421"/>
  <c r="PQ39" i="2421"/>
  <c r="PQ16" i="2421"/>
  <c r="PQ24" i="2421"/>
  <c r="PQ32" i="2421"/>
  <c r="PQ17" i="2421"/>
  <c r="PQ25" i="2421"/>
  <c r="PQ33" i="2421"/>
  <c r="PQ18" i="2421"/>
  <c r="PQ26" i="2421"/>
  <c r="PQ34" i="2421"/>
  <c r="PQ19" i="2421"/>
  <c r="PQ38" i="2421"/>
  <c r="PQ105" i="2421"/>
  <c r="PQ89" i="2421"/>
  <c r="PQ108" i="2421"/>
  <c r="PQ92" i="2421"/>
  <c r="PQ77" i="2421"/>
  <c r="PQ69" i="2421"/>
  <c r="PQ61" i="2421"/>
  <c r="PQ53" i="2421"/>
  <c r="PQ45" i="2421"/>
  <c r="PQ20" i="2421"/>
  <c r="PQ103" i="2421"/>
  <c r="PQ87" i="2421"/>
  <c r="PQ106" i="2421"/>
  <c r="PQ90" i="2421"/>
  <c r="PQ76" i="2421"/>
  <c r="PQ68" i="2421"/>
  <c r="PQ60" i="2421"/>
  <c r="PQ52" i="2421"/>
  <c r="PQ44" i="2421"/>
  <c r="PQ22" i="2421"/>
  <c r="PQ101" i="2421"/>
  <c r="PQ85" i="2421"/>
  <c r="PQ104" i="2421"/>
  <c r="PQ88" i="2421"/>
  <c r="PQ75" i="2421"/>
  <c r="PQ67" i="2421"/>
  <c r="PQ59" i="2421"/>
  <c r="PQ51" i="2421"/>
  <c r="PQ43" i="2421"/>
  <c r="PQ27" i="2421"/>
  <c r="PQ99" i="2421"/>
  <c r="PQ82" i="2421"/>
  <c r="PQ102" i="2421"/>
  <c r="PQ86" i="2421"/>
  <c r="PQ74" i="2421"/>
  <c r="PQ66" i="2421"/>
  <c r="PQ58" i="2421"/>
  <c r="PQ50" i="2421"/>
  <c r="PQ42" i="2421"/>
  <c r="PQ28" i="2421"/>
  <c r="PQ113" i="2421"/>
  <c r="PQ97" i="2421"/>
  <c r="PQ80" i="2421"/>
  <c r="PQ100" i="2421"/>
  <c r="PQ84" i="2421"/>
  <c r="PQ73" i="2421"/>
  <c r="PQ65" i="2421"/>
  <c r="PQ57" i="2421"/>
  <c r="PQ49" i="2421"/>
  <c r="PQ41" i="2421"/>
  <c r="PQ30" i="2421"/>
  <c r="PQ111" i="2421"/>
  <c r="PQ95" i="2421"/>
  <c r="PQ78" i="2421"/>
  <c r="PQ98" i="2421"/>
  <c r="PQ83" i="2421"/>
  <c r="PQ72" i="2421"/>
  <c r="PQ64" i="2421"/>
  <c r="PQ56" i="2421"/>
  <c r="PQ48" i="2421"/>
  <c r="PQ35" i="2421"/>
  <c r="PQ109" i="2421"/>
  <c r="PQ93" i="2421"/>
  <c r="PQ112" i="2421"/>
  <c r="PQ96" i="2421"/>
  <c r="PQ81" i="2421"/>
  <c r="PQ71" i="2421"/>
  <c r="PQ63" i="2421"/>
  <c r="PQ55" i="2421"/>
  <c r="PQ47" i="2421"/>
  <c r="PQ14" i="2421"/>
  <c r="PQ62" i="2421"/>
  <c r="PQ36" i="2421"/>
  <c r="PQ54" i="2421"/>
  <c r="PQ107" i="2421"/>
  <c r="PQ46" i="2421"/>
  <c r="PQ91" i="2421"/>
  <c r="PQ110" i="2421"/>
  <c r="PQ94" i="2421"/>
  <c r="PQ79" i="2421"/>
  <c r="PQ70" i="2421"/>
  <c r="LD57" i="2421"/>
  <c r="LD25" i="2421"/>
  <c r="LD59" i="2421"/>
  <c r="LD27" i="2421"/>
  <c r="KX14" i="2421"/>
  <c r="KX22" i="2421"/>
  <c r="LD111" i="2421"/>
  <c r="LD103" i="2421"/>
  <c r="LD95" i="2421"/>
  <c r="KX109" i="2421"/>
  <c r="KX101" i="2421"/>
  <c r="KX93" i="2421"/>
  <c r="LD91" i="2421"/>
  <c r="KX79" i="2421"/>
  <c r="KX71" i="2421"/>
  <c r="LD84" i="2421"/>
  <c r="LD76" i="2421"/>
  <c r="LD68" i="2421"/>
  <c r="KX15" i="2421"/>
  <c r="KX23" i="2421"/>
  <c r="LD110" i="2421"/>
  <c r="LD102" i="2421"/>
  <c r="LD94" i="2421"/>
  <c r="KX108" i="2421"/>
  <c r="KX100" i="2421"/>
  <c r="KX92" i="2421"/>
  <c r="LD87" i="2421"/>
  <c r="KX78" i="2421"/>
  <c r="KX70" i="2421"/>
  <c r="LD83" i="2421"/>
  <c r="LD75" i="2421"/>
  <c r="LD67" i="2421"/>
  <c r="KX59" i="2421"/>
  <c r="KX49" i="2421"/>
  <c r="KX41" i="2421"/>
  <c r="KX33" i="2421"/>
  <c r="KX65" i="2421"/>
  <c r="LD54" i="2421"/>
  <c r="LD46" i="2421"/>
  <c r="LD38" i="2421"/>
  <c r="LD30" i="2421"/>
  <c r="LD15" i="2421"/>
  <c r="KX16" i="2421"/>
  <c r="KX24" i="2421"/>
  <c r="LD109" i="2421"/>
  <c r="LD101" i="2421"/>
  <c r="LD93" i="2421"/>
  <c r="KX107" i="2421"/>
  <c r="KX99" i="2421"/>
  <c r="KX91" i="2421"/>
  <c r="KX85" i="2421"/>
  <c r="KX77" i="2421"/>
  <c r="KX69" i="2421"/>
  <c r="LD82" i="2421"/>
  <c r="LD74" i="2421"/>
  <c r="LD66" i="2421"/>
  <c r="KX57" i="2421"/>
  <c r="KX48" i="2421"/>
  <c r="KX40" i="2421"/>
  <c r="KX32" i="2421"/>
  <c r="KX64" i="2421"/>
  <c r="LD53" i="2421"/>
  <c r="LD45" i="2421"/>
  <c r="LD37" i="2421"/>
  <c r="LD29" i="2421"/>
  <c r="LD26" i="2421"/>
  <c r="KX17" i="2421"/>
  <c r="KX26" i="2421"/>
  <c r="LD108" i="2421"/>
  <c r="LD100" i="2421"/>
  <c r="LD92" i="2421"/>
  <c r="KX106" i="2421"/>
  <c r="KX98" i="2421"/>
  <c r="KX90" i="2421"/>
  <c r="KX84" i="2421"/>
  <c r="KX76" i="2421"/>
  <c r="KX68" i="2421"/>
  <c r="LD81" i="2421"/>
  <c r="LD73" i="2421"/>
  <c r="LD65" i="2421"/>
  <c r="KX55" i="2421"/>
  <c r="KX47" i="2421"/>
  <c r="KX39" i="2421"/>
  <c r="KX31" i="2421"/>
  <c r="KX63" i="2421"/>
  <c r="LD52" i="2421"/>
  <c r="LD44" i="2421"/>
  <c r="LD36" i="2421"/>
  <c r="LD28" i="2421"/>
  <c r="KX19" i="2421"/>
  <c r="KX29" i="2421"/>
  <c r="LD106" i="2421"/>
  <c r="LD98" i="2421"/>
  <c r="KX112" i="2421"/>
  <c r="KX104" i="2421"/>
  <c r="KX96" i="2421"/>
  <c r="KX88" i="2421"/>
  <c r="KX82" i="2421"/>
  <c r="KX74" i="2421"/>
  <c r="LD86" i="2421"/>
  <c r="LD79" i="2421"/>
  <c r="LD71" i="2421"/>
  <c r="LD63" i="2421"/>
  <c r="KX53" i="2421"/>
  <c r="KX45" i="2421"/>
  <c r="KX37" i="2421"/>
  <c r="LD58" i="2421"/>
  <c r="KX61" i="2421"/>
  <c r="LD50" i="2421"/>
  <c r="LD42" i="2421"/>
  <c r="LD34" i="2421"/>
  <c r="LF34" i="2421" s="1"/>
  <c r="KX20" i="2421"/>
  <c r="KX30" i="2421"/>
  <c r="LD113" i="2421"/>
  <c r="LD105" i="2421"/>
  <c r="LD97" i="2421"/>
  <c r="KX111" i="2421"/>
  <c r="KX103" i="2421"/>
  <c r="KX95" i="2421"/>
  <c r="KX87" i="2421"/>
  <c r="KX81" i="2421"/>
  <c r="KX73" i="2421"/>
  <c r="LD89" i="2421"/>
  <c r="LD78" i="2421"/>
  <c r="LD70" i="2421"/>
  <c r="LD62" i="2421"/>
  <c r="KX52" i="2421"/>
  <c r="KX44" i="2421"/>
  <c r="KX36" i="2421"/>
  <c r="LD56" i="2421"/>
  <c r="KX60" i="2421"/>
  <c r="LD49" i="2421"/>
  <c r="LD41" i="2421"/>
  <c r="LD33" i="2421"/>
  <c r="LF33" i="2421" s="1"/>
  <c r="KX110" i="2421"/>
  <c r="KX80" i="2421"/>
  <c r="LD69" i="2421"/>
  <c r="KX43" i="2421"/>
  <c r="KX62" i="2421"/>
  <c r="LD39" i="2421"/>
  <c r="LD16" i="2421"/>
  <c r="KX25" i="2421"/>
  <c r="KX105" i="2421"/>
  <c r="KX75" i="2421"/>
  <c r="LD64" i="2421"/>
  <c r="KX42" i="2421"/>
  <c r="KX58" i="2421"/>
  <c r="LD35" i="2421"/>
  <c r="LF35" i="2421" s="1"/>
  <c r="LD17" i="2421"/>
  <c r="KX27" i="2421"/>
  <c r="LD112" i="2421"/>
  <c r="KX102" i="2421"/>
  <c r="KX72" i="2421"/>
  <c r="LD61" i="2421"/>
  <c r="KX38" i="2421"/>
  <c r="KX56" i="2421"/>
  <c r="LD32" i="2421"/>
  <c r="LF32" i="2421" s="1"/>
  <c r="LD18" i="2421"/>
  <c r="LD107" i="2421"/>
  <c r="KX97" i="2421"/>
  <c r="LD90" i="2421"/>
  <c r="LD60" i="2421"/>
  <c r="KX35" i="2421"/>
  <c r="LD51" i="2421"/>
  <c r="LD31" i="2421"/>
  <c r="LD55" i="2421"/>
  <c r="LD19" i="2421"/>
  <c r="LD104" i="2421"/>
  <c r="KX94" i="2421"/>
  <c r="LD85" i="2421"/>
  <c r="KX54" i="2421"/>
  <c r="KX34" i="2421"/>
  <c r="LD48" i="2421"/>
  <c r="LD20" i="2421"/>
  <c r="KX21" i="2421"/>
  <c r="LD96" i="2421"/>
  <c r="KX86" i="2421"/>
  <c r="LD77" i="2421"/>
  <c r="KX50" i="2421"/>
  <c r="KX67" i="2421"/>
  <c r="LD43" i="2421"/>
  <c r="LD22" i="2421"/>
  <c r="LF22" i="2421" s="1"/>
  <c r="KX28" i="2421"/>
  <c r="KX113" i="2421"/>
  <c r="KX83" i="2421"/>
  <c r="LD72" i="2421"/>
  <c r="KX46" i="2421"/>
  <c r="KX66" i="2421"/>
  <c r="LD40" i="2421"/>
  <c r="LD24" i="2421"/>
  <c r="LD14" i="2421"/>
  <c r="LD23" i="2421"/>
  <c r="KX18" i="2421"/>
  <c r="LD21" i="2421"/>
  <c r="LF21" i="2421" s="1"/>
  <c r="LD99" i="2421"/>
  <c r="KX89" i="2421"/>
  <c r="LD80" i="2421"/>
  <c r="KX51" i="2421"/>
  <c r="LD88" i="2421"/>
  <c r="LD47" i="2421"/>
  <c r="LP59" i="2421"/>
  <c r="LP21" i="2421"/>
  <c r="LP15" i="2421"/>
  <c r="LP18" i="2421"/>
  <c r="LP14" i="2421"/>
  <c r="LP23" i="2421"/>
  <c r="LP20" i="2421"/>
  <c r="LP67" i="2421"/>
  <c r="LP16" i="2421"/>
  <c r="LP25" i="2421"/>
  <c r="LP71" i="2421"/>
  <c r="LP19" i="2421"/>
  <c r="LP75" i="2421"/>
  <c r="LP17" i="2421"/>
  <c r="LP63" i="2421"/>
  <c r="LP56" i="2421"/>
  <c r="LP24" i="2421"/>
  <c r="LP22" i="2421"/>
  <c r="LP113" i="2421"/>
  <c r="LP97" i="2421"/>
  <c r="LP78" i="2421"/>
  <c r="LP100" i="2421"/>
  <c r="LP84" i="2421"/>
  <c r="LP49" i="2421"/>
  <c r="LP41" i="2421"/>
  <c r="LP33" i="2421"/>
  <c r="LP76" i="2421"/>
  <c r="LP60" i="2421"/>
  <c r="LP111" i="2421"/>
  <c r="LP95" i="2421"/>
  <c r="LP85" i="2421"/>
  <c r="LP98" i="2421"/>
  <c r="LP81" i="2421"/>
  <c r="LP48" i="2421"/>
  <c r="LP40" i="2421"/>
  <c r="LP32" i="2421"/>
  <c r="LP74" i="2421"/>
  <c r="LP57" i="2421"/>
  <c r="LP61" i="2421"/>
  <c r="LP109" i="2421"/>
  <c r="LP93" i="2421"/>
  <c r="LP112" i="2421"/>
  <c r="LP96" i="2421"/>
  <c r="LP79" i="2421"/>
  <c r="LP47" i="2421"/>
  <c r="LP39" i="2421"/>
  <c r="LP31" i="2421"/>
  <c r="LP72" i="2421"/>
  <c r="LP55" i="2421"/>
  <c r="LP65" i="2421"/>
  <c r="LP107" i="2421"/>
  <c r="LP91" i="2421"/>
  <c r="LP110" i="2421"/>
  <c r="LP94" i="2421"/>
  <c r="LP54" i="2421"/>
  <c r="LP46" i="2421"/>
  <c r="LP38" i="2421"/>
  <c r="LP30" i="2421"/>
  <c r="LP70" i="2421"/>
  <c r="LP83" i="2421"/>
  <c r="LP69" i="2421"/>
  <c r="LP105" i="2421"/>
  <c r="LP103" i="2421"/>
  <c r="LP87" i="2421"/>
  <c r="LP106" i="2421"/>
  <c r="LP90" i="2421"/>
  <c r="LP52" i="2421"/>
  <c r="LP44" i="2421"/>
  <c r="LP36" i="2421"/>
  <c r="LP28" i="2421"/>
  <c r="LP66" i="2421"/>
  <c r="LP77" i="2421"/>
  <c r="LP101" i="2421"/>
  <c r="LP82" i="2421"/>
  <c r="LP104" i="2421"/>
  <c r="LP88" i="2421"/>
  <c r="LP51" i="2421"/>
  <c r="LP43" i="2421"/>
  <c r="LP35" i="2421"/>
  <c r="LP27" i="2421"/>
  <c r="LP64" i="2421"/>
  <c r="LP86" i="2421"/>
  <c r="LP26" i="2421"/>
  <c r="LP53" i="2421"/>
  <c r="LP68" i="2421"/>
  <c r="LP73" i="2421"/>
  <c r="LP99" i="2421"/>
  <c r="LP50" i="2421"/>
  <c r="LP62" i="2421"/>
  <c r="LP89" i="2421"/>
  <c r="LP45" i="2421"/>
  <c r="LP80" i="2421"/>
  <c r="LP42" i="2421"/>
  <c r="LP58" i="2421"/>
  <c r="LP102" i="2421"/>
  <c r="LP34" i="2421"/>
  <c r="LP92" i="2421"/>
  <c r="LP29" i="2421"/>
  <c r="LP108" i="2421"/>
  <c r="LP37" i="2421"/>
  <c r="IQ66" i="2421"/>
  <c r="IQ17" i="2421"/>
  <c r="IQ14" i="2421"/>
  <c r="IQ68" i="2421"/>
  <c r="IQ61" i="2421"/>
  <c r="IQ16" i="2421"/>
  <c r="IQ64" i="2421"/>
  <c r="IQ15" i="2421"/>
  <c r="IQ31" i="2421"/>
  <c r="IQ23" i="2421"/>
  <c r="IQ110" i="2421"/>
  <c r="IQ102" i="2421"/>
  <c r="IQ97" i="2421"/>
  <c r="IQ83" i="2421"/>
  <c r="IQ75" i="2421"/>
  <c r="IQ87" i="2421"/>
  <c r="IQ50" i="2421"/>
  <c r="IQ42" i="2421"/>
  <c r="IQ60" i="2421"/>
  <c r="IQ63" i="2421"/>
  <c r="IQ24" i="2421"/>
  <c r="IQ109" i="2421"/>
  <c r="IQ101" i="2421"/>
  <c r="IQ93" i="2421"/>
  <c r="IQ82" i="2421"/>
  <c r="IQ74" i="2421"/>
  <c r="IQ57" i="2421"/>
  <c r="IQ49" i="2421"/>
  <c r="IQ41" i="2421"/>
  <c r="IQ58" i="2421"/>
  <c r="IQ30" i="2421"/>
  <c r="IQ67" i="2421"/>
  <c r="IQ33" i="2421"/>
  <c r="IQ25" i="2421"/>
  <c r="IQ108" i="2421"/>
  <c r="IQ100" i="2421"/>
  <c r="IQ89" i="2421"/>
  <c r="IQ81" i="2421"/>
  <c r="IQ73" i="2421"/>
  <c r="IQ56" i="2421"/>
  <c r="IQ48" i="2421"/>
  <c r="IQ40" i="2421"/>
  <c r="IQ18" i="2421"/>
  <c r="IQ26" i="2421"/>
  <c r="IQ107" i="2421"/>
  <c r="IQ99" i="2421"/>
  <c r="IQ94" i="2421"/>
  <c r="IQ80" i="2421"/>
  <c r="IQ72" i="2421"/>
  <c r="IQ55" i="2421"/>
  <c r="IQ47" i="2421"/>
  <c r="IQ39" i="2421"/>
  <c r="IQ32" i="2421"/>
  <c r="IQ91" i="2421"/>
  <c r="IQ35" i="2421"/>
  <c r="IQ19" i="2421"/>
  <c r="IQ27" i="2421"/>
  <c r="IQ106" i="2421"/>
  <c r="IQ98" i="2421"/>
  <c r="IQ92" i="2421"/>
  <c r="IQ79" i="2421"/>
  <c r="IQ71" i="2421"/>
  <c r="IQ54" i="2421"/>
  <c r="IQ46" i="2421"/>
  <c r="IQ38" i="2421"/>
  <c r="IQ20" i="2421"/>
  <c r="IQ28" i="2421"/>
  <c r="IQ113" i="2421"/>
  <c r="IQ105" i="2421"/>
  <c r="IQ96" i="2421"/>
  <c r="IQ88" i="2421"/>
  <c r="IQ78" i="2421"/>
  <c r="IQ70" i="2421"/>
  <c r="IQ53" i="2421"/>
  <c r="IQ45" i="2421"/>
  <c r="IQ37" i="2421"/>
  <c r="IQ34" i="2421"/>
  <c r="IQ29" i="2421"/>
  <c r="IQ59" i="2421"/>
  <c r="IQ21" i="2421"/>
  <c r="IQ112" i="2421"/>
  <c r="IQ104" i="2421"/>
  <c r="IQ90" i="2421"/>
  <c r="IQ85" i="2421"/>
  <c r="IQ77" i="2421"/>
  <c r="IQ69" i="2421"/>
  <c r="IQ52" i="2421"/>
  <c r="IQ44" i="2421"/>
  <c r="IQ36" i="2421"/>
  <c r="IQ65" i="2421"/>
  <c r="IQ22" i="2421"/>
  <c r="IQ111" i="2421"/>
  <c r="IQ103" i="2421"/>
  <c r="IQ86" i="2421"/>
  <c r="IQ84" i="2421"/>
  <c r="IQ76" i="2421"/>
  <c r="IQ95" i="2421"/>
  <c r="IQ51" i="2421"/>
  <c r="IQ43" i="2421"/>
  <c r="IQ62" i="2421"/>
  <c r="HE28" i="2421"/>
  <c r="HE51" i="2421"/>
  <c r="HE22" i="2421"/>
  <c r="HE55" i="2421"/>
  <c r="HE19" i="2421"/>
  <c r="HE48" i="2421"/>
  <c r="HE96" i="2421"/>
  <c r="HE47" i="2421"/>
  <c r="HE112" i="2421"/>
  <c r="HE56" i="2421"/>
  <c r="HE38" i="2421"/>
  <c r="HE94" i="2421"/>
  <c r="HE80" i="2421"/>
  <c r="HE106" i="2421"/>
  <c r="HE49" i="2421"/>
  <c r="HE63" i="2421"/>
  <c r="HE76" i="2421"/>
  <c r="HE34" i="2421"/>
  <c r="HE39" i="2421"/>
  <c r="HE58" i="2421"/>
  <c r="HE98" i="2421"/>
  <c r="HE100" i="2421"/>
  <c r="HE111" i="2421"/>
  <c r="HE103" i="2421"/>
  <c r="HE73" i="2421"/>
  <c r="HE46" i="2421"/>
  <c r="HE85" i="2421"/>
  <c r="HE113" i="2421"/>
  <c r="HE99" i="2421"/>
  <c r="HE77" i="2421"/>
  <c r="HE61" i="2421"/>
  <c r="HE42" i="2421"/>
  <c r="HE64" i="2421"/>
  <c r="HE52" i="2421"/>
  <c r="HE66" i="2421"/>
  <c r="HE45" i="2421"/>
  <c r="HE83" i="2421"/>
  <c r="HE69" i="2421"/>
  <c r="HE101" i="2421"/>
  <c r="HE108" i="2421"/>
  <c r="HE67" i="2421"/>
  <c r="HE53" i="2421"/>
  <c r="HE81" i="2421"/>
  <c r="HE102" i="2421"/>
  <c r="HE60" i="2421"/>
  <c r="HE88" i="2421"/>
  <c r="HE26" i="2421"/>
  <c r="HE109" i="2421"/>
  <c r="HE92" i="2421"/>
  <c r="HE23" i="2421"/>
  <c r="HE20" i="2421"/>
  <c r="HE72" i="2421"/>
  <c r="HE32" i="2421"/>
  <c r="HE29" i="2421"/>
  <c r="HE40" i="2421"/>
  <c r="HE62" i="2421"/>
  <c r="HE91" i="2421"/>
  <c r="HE84" i="2421"/>
  <c r="HE25" i="2421"/>
  <c r="HE71" i="2421"/>
  <c r="HE70" i="2421"/>
  <c r="HE107" i="2421"/>
  <c r="HE31" i="2421"/>
  <c r="HE90" i="2421"/>
  <c r="HE93" i="2421"/>
  <c r="HE87" i="2421"/>
  <c r="HE44" i="2421"/>
  <c r="HE36" i="2421"/>
  <c r="HE59" i="2421"/>
  <c r="HE104" i="2421"/>
  <c r="HE43" i="2421"/>
  <c r="HE54" i="2421"/>
  <c r="HE74" i="2421"/>
  <c r="HE105" i="2421"/>
  <c r="HE68" i="2421"/>
  <c r="HE57" i="2421"/>
  <c r="HE79" i="2421"/>
  <c r="HE95" i="2421"/>
  <c r="HE78" i="2421"/>
  <c r="HE41" i="2421"/>
  <c r="HE27" i="2421"/>
  <c r="HE82" i="2421"/>
  <c r="HE50" i="2421"/>
  <c r="HE97" i="2421"/>
  <c r="HE33" i="2421"/>
  <c r="HE110" i="2421"/>
  <c r="HE21" i="2421"/>
  <c r="HE75" i="2421"/>
  <c r="HE89" i="2421"/>
  <c r="HE30" i="2421"/>
  <c r="HE37" i="2421"/>
  <c r="HE86" i="2421"/>
  <c r="HE65" i="2421"/>
  <c r="HL17" i="2421"/>
  <c r="HL22" i="2421"/>
  <c r="HL30" i="2421"/>
  <c r="HL27" i="2421"/>
  <c r="HL24" i="2421"/>
  <c r="HL19" i="2421"/>
  <c r="HL16" i="2421"/>
  <c r="HL85" i="2421"/>
  <c r="HL32" i="2421"/>
  <c r="HL21" i="2421"/>
  <c r="HL15" i="2421"/>
  <c r="HL29" i="2421"/>
  <c r="HL23" i="2421"/>
  <c r="HL18" i="2421"/>
  <c r="HL14" i="2421"/>
  <c r="HL31" i="2421"/>
  <c r="HL25" i="2421"/>
  <c r="HL20" i="2421"/>
  <c r="HR106" i="2421"/>
  <c r="HR98" i="2421"/>
  <c r="HR90" i="2421"/>
  <c r="HR82" i="2421"/>
  <c r="HR74" i="2421"/>
  <c r="HL109" i="2421"/>
  <c r="HL101" i="2421"/>
  <c r="HL93" i="2421"/>
  <c r="HL71" i="2421"/>
  <c r="HL84" i="2421"/>
  <c r="HR69" i="2421"/>
  <c r="HR61" i="2421"/>
  <c r="HL79" i="2421"/>
  <c r="HL46" i="2421"/>
  <c r="HL38" i="2421"/>
  <c r="HL63" i="2421"/>
  <c r="HL55" i="2421"/>
  <c r="HR49" i="2421"/>
  <c r="HR41" i="2421"/>
  <c r="HR33" i="2421"/>
  <c r="HT33" i="2421" s="1"/>
  <c r="HR25" i="2421"/>
  <c r="HL26" i="2421"/>
  <c r="HR113" i="2421"/>
  <c r="HR105" i="2421"/>
  <c r="HR97" i="2421"/>
  <c r="HR89" i="2421"/>
  <c r="HR81" i="2421"/>
  <c r="HR73" i="2421"/>
  <c r="HL108" i="2421"/>
  <c r="HL100" i="2421"/>
  <c r="HL92" i="2421"/>
  <c r="HL70" i="2421"/>
  <c r="HL82" i="2421"/>
  <c r="HR68" i="2421"/>
  <c r="HR60" i="2421"/>
  <c r="HL53" i="2421"/>
  <c r="HL45" i="2421"/>
  <c r="HL37" i="2421"/>
  <c r="HL62" i="2421"/>
  <c r="HL54" i="2421"/>
  <c r="HR48" i="2421"/>
  <c r="HR40" i="2421"/>
  <c r="HR32" i="2421"/>
  <c r="HT32" i="2421" s="1"/>
  <c r="HR19" i="2421"/>
  <c r="HR112" i="2421"/>
  <c r="HR111" i="2421"/>
  <c r="HR103" i="2421"/>
  <c r="HR95" i="2421"/>
  <c r="HR87" i="2421"/>
  <c r="HR79" i="2421"/>
  <c r="HR71" i="2421"/>
  <c r="HL106" i="2421"/>
  <c r="HL98" i="2421"/>
  <c r="HL90" i="2421"/>
  <c r="HL68" i="2421"/>
  <c r="HL78" i="2421"/>
  <c r="HR66" i="2421"/>
  <c r="HR58" i="2421"/>
  <c r="HL51" i="2421"/>
  <c r="HL43" i="2421"/>
  <c r="HL35" i="2421"/>
  <c r="HL60" i="2421"/>
  <c r="HL75" i="2421"/>
  <c r="HR46" i="2421"/>
  <c r="HR38" i="2421"/>
  <c r="HR30" i="2421"/>
  <c r="HR15" i="2421"/>
  <c r="HR21" i="2421"/>
  <c r="HT21" i="2421" s="1"/>
  <c r="HR110" i="2421"/>
  <c r="HR102" i="2421"/>
  <c r="HR94" i="2421"/>
  <c r="HR86" i="2421"/>
  <c r="HR78" i="2421"/>
  <c r="HL113" i="2421"/>
  <c r="HL105" i="2421"/>
  <c r="HL97" i="2421"/>
  <c r="HL89" i="2421"/>
  <c r="HL67" i="2421"/>
  <c r="HL76" i="2421"/>
  <c r="HR65" i="2421"/>
  <c r="HR57" i="2421"/>
  <c r="HL50" i="2421"/>
  <c r="HL42" i="2421"/>
  <c r="HL34" i="2421"/>
  <c r="HL59" i="2421"/>
  <c r="HR53" i="2421"/>
  <c r="HR45" i="2421"/>
  <c r="HR37" i="2421"/>
  <c r="HR29" i="2421"/>
  <c r="HL77" i="2421"/>
  <c r="HR22" i="2421"/>
  <c r="HT22" i="2421" s="1"/>
  <c r="HR28" i="2421"/>
  <c r="HR109" i="2421"/>
  <c r="HR101" i="2421"/>
  <c r="HR93" i="2421"/>
  <c r="HR85" i="2421"/>
  <c r="HR77" i="2421"/>
  <c r="HL112" i="2421"/>
  <c r="HL104" i="2421"/>
  <c r="HL96" i="2421"/>
  <c r="HL88" i="2421"/>
  <c r="HL66" i="2421"/>
  <c r="HL74" i="2421"/>
  <c r="HR64" i="2421"/>
  <c r="HR56" i="2421"/>
  <c r="HL49" i="2421"/>
  <c r="HL41" i="2421"/>
  <c r="HL33" i="2421"/>
  <c r="HL58" i="2421"/>
  <c r="HR52" i="2421"/>
  <c r="HR44" i="2421"/>
  <c r="HR36" i="2421"/>
  <c r="HR16" i="2421"/>
  <c r="HR23" i="2421"/>
  <c r="HR108" i="2421"/>
  <c r="HR100" i="2421"/>
  <c r="HR92" i="2421"/>
  <c r="HR84" i="2421"/>
  <c r="HR76" i="2421"/>
  <c r="HL111" i="2421"/>
  <c r="HL103" i="2421"/>
  <c r="HL95" i="2421"/>
  <c r="HL87" i="2421"/>
  <c r="HL65" i="2421"/>
  <c r="HL72" i="2421"/>
  <c r="HR63" i="2421"/>
  <c r="HR55" i="2421"/>
  <c r="HL48" i="2421"/>
  <c r="HL40" i="2421"/>
  <c r="HL81" i="2421"/>
  <c r="HL57" i="2421"/>
  <c r="HR51" i="2421"/>
  <c r="HR43" i="2421"/>
  <c r="HR35" i="2421"/>
  <c r="HT35" i="2421" s="1"/>
  <c r="HR17" i="2421"/>
  <c r="HR24" i="2421"/>
  <c r="HR107" i="2421"/>
  <c r="HR99" i="2421"/>
  <c r="HR91" i="2421"/>
  <c r="HR83" i="2421"/>
  <c r="HR75" i="2421"/>
  <c r="HL110" i="2421"/>
  <c r="HL102" i="2421"/>
  <c r="HL94" i="2421"/>
  <c r="HL86" i="2421"/>
  <c r="HL64" i="2421"/>
  <c r="HR70" i="2421"/>
  <c r="HR62" i="2421"/>
  <c r="HR54" i="2421"/>
  <c r="HL47" i="2421"/>
  <c r="HL39" i="2421"/>
  <c r="HL73" i="2421"/>
  <c r="HL56" i="2421"/>
  <c r="HR50" i="2421"/>
  <c r="HR42" i="2421"/>
  <c r="HR34" i="2421"/>
  <c r="HT34" i="2421" s="1"/>
  <c r="HR18" i="2421"/>
  <c r="HR104" i="2421"/>
  <c r="HL69" i="2421"/>
  <c r="HL83" i="2421"/>
  <c r="HR27" i="2421"/>
  <c r="HR96" i="2421"/>
  <c r="HL80" i="2421"/>
  <c r="HR47" i="2421"/>
  <c r="HR14" i="2421"/>
  <c r="HR88" i="2421"/>
  <c r="HR67" i="2421"/>
  <c r="HR39" i="2421"/>
  <c r="HR20" i="2421"/>
  <c r="HR80" i="2421"/>
  <c r="HR59" i="2421"/>
  <c r="HR31" i="2421"/>
  <c r="HL28" i="2421"/>
  <c r="HR72" i="2421"/>
  <c r="HL52" i="2421"/>
  <c r="HL107" i="2421"/>
  <c r="HL44" i="2421"/>
  <c r="HL99" i="2421"/>
  <c r="HL91" i="2421"/>
  <c r="HL36" i="2421"/>
  <c r="HR26" i="2421"/>
  <c r="HL61" i="2421"/>
  <c r="PV109" i="2421"/>
  <c r="PV93" i="2421"/>
  <c r="PV84" i="2421"/>
  <c r="PV61" i="2421"/>
  <c r="PV104" i="2421"/>
  <c r="PV63" i="2421"/>
  <c r="PV100" i="2421"/>
  <c r="PV78" i="2421"/>
  <c r="PV28" i="2421"/>
  <c r="PV30" i="2421"/>
  <c r="PV41" i="2421"/>
  <c r="PV106" i="2421"/>
  <c r="PV59" i="2421"/>
  <c r="PV110" i="2421"/>
  <c r="PV65" i="2421"/>
  <c r="PV43" i="2421"/>
  <c r="PV79" i="2421"/>
  <c r="PV42" i="2421"/>
  <c r="PV87" i="2421"/>
  <c r="PV26" i="2421"/>
  <c r="PV96" i="2421"/>
  <c r="PV54" i="2421"/>
  <c r="PV81" i="2421"/>
  <c r="PV108" i="2421"/>
  <c r="PV77" i="2421"/>
  <c r="PV83" i="2421"/>
  <c r="PV47" i="2421"/>
  <c r="PV82" i="2421"/>
  <c r="PV27" i="2421"/>
  <c r="PV97" i="2421"/>
  <c r="PV69" i="2421"/>
  <c r="PV91" i="2421"/>
  <c r="PV71" i="2421"/>
  <c r="PV85" i="2421"/>
  <c r="PV23" i="2421"/>
  <c r="PV113" i="2421"/>
  <c r="PV76" i="2421"/>
  <c r="PV98" i="2421"/>
  <c r="PV64" i="2421"/>
  <c r="PV52" i="2421"/>
  <c r="PV44" i="2421"/>
  <c r="PV48" i="2421"/>
  <c r="PV92" i="2421"/>
  <c r="PV102" i="2421"/>
  <c r="PV66" i="2421"/>
  <c r="PV105" i="2421"/>
  <c r="PV45" i="2421"/>
  <c r="PV49" i="2421"/>
  <c r="PV60" i="2421"/>
  <c r="PV94" i="2421"/>
  <c r="PV19" i="2421"/>
  <c r="PV89" i="2421"/>
  <c r="PV31" i="2421"/>
  <c r="PV46" i="2421"/>
  <c r="PV55" i="2421"/>
  <c r="PV101" i="2421"/>
  <c r="PV67" i="2421"/>
  <c r="PV36" i="2421"/>
  <c r="PV72" i="2421"/>
  <c r="PV39" i="2421"/>
  <c r="PV58" i="2421"/>
  <c r="PV74" i="2421"/>
  <c r="PV37" i="2421"/>
  <c r="PV80" i="2421"/>
  <c r="PV57" i="2421"/>
  <c r="PV62" i="2421"/>
  <c r="PV112" i="2421"/>
  <c r="PV38" i="2421"/>
  <c r="PV51" i="2421"/>
  <c r="PV56" i="2421"/>
  <c r="PV107" i="2421"/>
  <c r="PV99" i="2421"/>
  <c r="PV70" i="2421"/>
  <c r="PV25" i="2421"/>
  <c r="PV95" i="2421"/>
  <c r="PV75" i="2421"/>
  <c r="PV53" i="2421"/>
  <c r="PV90" i="2421"/>
  <c r="PV111" i="2421"/>
  <c r="PV86" i="2421"/>
  <c r="PV68" i="2421"/>
  <c r="PV20" i="2421"/>
  <c r="PV103" i="2421"/>
  <c r="PV50" i="2421"/>
  <c r="PV29" i="2421"/>
  <c r="PV40" i="2421"/>
  <c r="PV73" i="2421"/>
  <c r="PV88" i="2421"/>
  <c r="KY88" i="2421"/>
  <c r="KY43" i="2421"/>
  <c r="KY21" i="2421"/>
  <c r="KY19" i="2421"/>
  <c r="KY17" i="2421"/>
  <c r="KY14" i="2421"/>
  <c r="KY39" i="2421"/>
  <c r="KY35" i="2421"/>
  <c r="KY31" i="2421"/>
  <c r="KY25" i="2421"/>
  <c r="KY85" i="2421"/>
  <c r="KY51" i="2421"/>
  <c r="KY15" i="2421"/>
  <c r="KY96" i="2421"/>
  <c r="KY18" i="2421"/>
  <c r="KY22" i="2421"/>
  <c r="KY16" i="2421"/>
  <c r="KY47" i="2421"/>
  <c r="KY69" i="2421"/>
  <c r="KY55" i="2421"/>
  <c r="KY27" i="2421"/>
  <c r="KY20" i="2421"/>
  <c r="KY36" i="2421"/>
  <c r="KY40" i="2421"/>
  <c r="KY26" i="2421"/>
  <c r="KY45" i="2421"/>
  <c r="KY111" i="2421"/>
  <c r="KY103" i="2421"/>
  <c r="KY91" i="2421"/>
  <c r="KY80" i="2421"/>
  <c r="KY67" i="2421"/>
  <c r="KY58" i="2421"/>
  <c r="KY44" i="2421"/>
  <c r="KY49" i="2421"/>
  <c r="KY110" i="2421"/>
  <c r="KY102" i="2421"/>
  <c r="KY87" i="2421"/>
  <c r="KY48" i="2421"/>
  <c r="KY28" i="2421"/>
  <c r="KY53" i="2421"/>
  <c r="KY109" i="2421"/>
  <c r="KY101" i="2421"/>
  <c r="KY94" i="2421"/>
  <c r="KY72" i="2421"/>
  <c r="KY73" i="2421"/>
  <c r="KY30" i="2421"/>
  <c r="KY59" i="2421"/>
  <c r="KY107" i="2421"/>
  <c r="KY99" i="2421"/>
  <c r="KY86" i="2421"/>
  <c r="KY83" i="2421"/>
  <c r="KY63" i="2421"/>
  <c r="KY78" i="2421"/>
  <c r="KY23" i="2421"/>
  <c r="KY33" i="2421"/>
  <c r="KY77" i="2421"/>
  <c r="KY106" i="2421"/>
  <c r="KY98" i="2421"/>
  <c r="KY95" i="2421"/>
  <c r="KY32" i="2421"/>
  <c r="KY29" i="2421"/>
  <c r="KY104" i="2421"/>
  <c r="KY68" i="2421"/>
  <c r="KY61" i="2421"/>
  <c r="KY57" i="2421"/>
  <c r="KY52" i="2421"/>
  <c r="KY37" i="2421"/>
  <c r="KY100" i="2421"/>
  <c r="KY79" i="2421"/>
  <c r="KY60" i="2421"/>
  <c r="KY81" i="2421"/>
  <c r="KY41" i="2421"/>
  <c r="KY97" i="2421"/>
  <c r="KY75" i="2421"/>
  <c r="KY56" i="2421"/>
  <c r="KY34" i="2421"/>
  <c r="KY93" i="2421"/>
  <c r="KY71" i="2421"/>
  <c r="KY92" i="2421"/>
  <c r="KY38" i="2421"/>
  <c r="KY113" i="2421"/>
  <c r="KY90" i="2421"/>
  <c r="KY66" i="2421"/>
  <c r="KY82" i="2421"/>
  <c r="KY42" i="2421"/>
  <c r="KY24" i="2421"/>
  <c r="KY108" i="2421"/>
  <c r="KY84" i="2421"/>
  <c r="KY64" i="2421"/>
  <c r="KY70" i="2421"/>
  <c r="KY50" i="2421"/>
  <c r="KY105" i="2421"/>
  <c r="KY76" i="2421"/>
  <c r="KY62" i="2421"/>
  <c r="KY54" i="2421"/>
  <c r="KY46" i="2421"/>
  <c r="KY112" i="2421"/>
  <c r="KY89" i="2421"/>
  <c r="KY65" i="2421"/>
  <c r="KY74" i="2421"/>
  <c r="LU107" i="2421"/>
  <c r="LU56" i="2421"/>
  <c r="LU28" i="2421"/>
  <c r="LU39" i="2421"/>
  <c r="LU72" i="2421"/>
  <c r="LU49" i="2421"/>
  <c r="LU103" i="2421"/>
  <c r="LU54" i="2421"/>
  <c r="LU47" i="2421"/>
  <c r="LU70" i="2421"/>
  <c r="LU109" i="2421"/>
  <c r="LU67" i="2421"/>
  <c r="LU98" i="2421"/>
  <c r="LU29" i="2421"/>
  <c r="LU96" i="2421"/>
  <c r="LU102" i="2421"/>
  <c r="LU82" i="2421"/>
  <c r="LU100" i="2421"/>
  <c r="LU59" i="2421"/>
  <c r="LU65" i="2421"/>
  <c r="LU37" i="2421"/>
  <c r="LU63" i="2421"/>
  <c r="LU112" i="2421"/>
  <c r="LU19" i="2421"/>
  <c r="LU25" i="2421"/>
  <c r="LU62" i="2421"/>
  <c r="LU52" i="2421"/>
  <c r="LU66" i="2421"/>
  <c r="LU68" i="2421"/>
  <c r="LU83" i="2421"/>
  <c r="LU55" i="2421"/>
  <c r="LU110" i="2421"/>
  <c r="LU42" i="2421"/>
  <c r="LU95" i="2421"/>
  <c r="LU51" i="2421"/>
  <c r="LU30" i="2421"/>
  <c r="LU106" i="2421"/>
  <c r="LU74" i="2421"/>
  <c r="LU87" i="2421"/>
  <c r="LU58" i="2421"/>
  <c r="LU40" i="2421"/>
  <c r="LU61" i="2421"/>
  <c r="LU46" i="2421"/>
  <c r="LU84" i="2421"/>
  <c r="LU45" i="2421"/>
  <c r="LU50" i="2421"/>
  <c r="LU111" i="2421"/>
  <c r="LU26" i="2421"/>
  <c r="LU27" i="2421"/>
  <c r="LU80" i="2421"/>
  <c r="LU113" i="2421"/>
  <c r="LU43" i="2421"/>
  <c r="LU44" i="2421"/>
  <c r="LU85" i="2421"/>
  <c r="LU108" i="2421"/>
  <c r="LU97" i="2421"/>
  <c r="LU36" i="2421"/>
  <c r="LU90" i="2421"/>
  <c r="LU60" i="2421"/>
  <c r="LU81" i="2421"/>
  <c r="LU57" i="2421"/>
  <c r="LU73" i="2421"/>
  <c r="LU86" i="2421"/>
  <c r="LU20" i="2421"/>
  <c r="LU78" i="2421"/>
  <c r="LU79" i="2421"/>
  <c r="LU69" i="2421"/>
  <c r="LU48" i="2421"/>
  <c r="LU38" i="2421"/>
  <c r="LU88" i="2421"/>
  <c r="LU71" i="2421"/>
  <c r="LU76" i="2421"/>
  <c r="LU64" i="2421"/>
  <c r="LU92" i="2421"/>
  <c r="LU41" i="2421"/>
  <c r="LU101" i="2421"/>
  <c r="LU94" i="2421"/>
  <c r="LU53" i="2421"/>
  <c r="LU89" i="2421"/>
  <c r="LU93" i="2421"/>
  <c r="LU75" i="2421"/>
  <c r="LU77" i="2421"/>
  <c r="LU104" i="2421"/>
  <c r="LU105" i="2421"/>
  <c r="LU91" i="2421"/>
  <c r="LU99" i="2421"/>
  <c r="LU23" i="2421"/>
  <c r="LU31" i="2421"/>
  <c r="OP36" i="2421"/>
  <c r="OJ15" i="2421"/>
  <c r="OJ18" i="2421"/>
  <c r="OP14" i="2421"/>
  <c r="OJ20" i="2421"/>
  <c r="OJ14" i="2421"/>
  <c r="OJ22" i="2421"/>
  <c r="OJ19" i="2421"/>
  <c r="OJ17" i="2421"/>
  <c r="OJ16" i="2421"/>
  <c r="OJ21" i="2421"/>
  <c r="OP25" i="2421"/>
  <c r="OP32" i="2421"/>
  <c r="OP109" i="2421"/>
  <c r="OP101" i="2421"/>
  <c r="OP93" i="2421"/>
  <c r="OP85" i="2421"/>
  <c r="OJ111" i="2421"/>
  <c r="OJ103" i="2421"/>
  <c r="OJ95" i="2421"/>
  <c r="OJ87" i="2421"/>
  <c r="OJ76" i="2421"/>
  <c r="OJ68" i="2421"/>
  <c r="OP77" i="2421"/>
  <c r="OP69" i="2421"/>
  <c r="OP61" i="2421"/>
  <c r="OP48" i="2421"/>
  <c r="OP38" i="2421"/>
  <c r="OJ50" i="2421"/>
  <c r="OP51" i="2421"/>
  <c r="OJ40" i="2421"/>
  <c r="OJ32" i="2421"/>
  <c r="OJ24" i="2421"/>
  <c r="OJ47" i="2421"/>
  <c r="OP30" i="2421"/>
  <c r="OP18" i="2421"/>
  <c r="OP108" i="2421"/>
  <c r="OP100" i="2421"/>
  <c r="OP92" i="2421"/>
  <c r="OP84" i="2421"/>
  <c r="OJ110" i="2421"/>
  <c r="OJ102" i="2421"/>
  <c r="OJ94" i="2421"/>
  <c r="OJ86" i="2421"/>
  <c r="OJ75" i="2421"/>
  <c r="OJ67" i="2421"/>
  <c r="OP76" i="2421"/>
  <c r="OP68" i="2421"/>
  <c r="OJ65" i="2421"/>
  <c r="OP46" i="2421"/>
  <c r="OJ62" i="2421"/>
  <c r="OJ48" i="2421"/>
  <c r="OP49" i="2421"/>
  <c r="OJ39" i="2421"/>
  <c r="OJ31" i="2421"/>
  <c r="OJ64" i="2421"/>
  <c r="OJ45" i="2421"/>
  <c r="OP17" i="2421"/>
  <c r="OP27" i="2421"/>
  <c r="OP29" i="2421"/>
  <c r="OP107" i="2421"/>
  <c r="OP99" i="2421"/>
  <c r="OP91" i="2421"/>
  <c r="OP83" i="2421"/>
  <c r="OJ109" i="2421"/>
  <c r="OJ101" i="2421"/>
  <c r="OJ93" i="2421"/>
  <c r="OJ84" i="2421"/>
  <c r="OJ74" i="2421"/>
  <c r="OJ66" i="2421"/>
  <c r="OP75" i="2421"/>
  <c r="OP67" i="2421"/>
  <c r="OJ61" i="2421"/>
  <c r="OP44" i="2421"/>
  <c r="OP60" i="2421"/>
  <c r="OJ46" i="2421"/>
  <c r="OP47" i="2421"/>
  <c r="OJ38" i="2421"/>
  <c r="OJ30" i="2421"/>
  <c r="OP58" i="2421"/>
  <c r="OP34" i="2421"/>
  <c r="OJ23" i="2421"/>
  <c r="OP106" i="2421"/>
  <c r="OP98" i="2421"/>
  <c r="OP90" i="2421"/>
  <c r="OP82" i="2421"/>
  <c r="OJ108" i="2421"/>
  <c r="OJ100" i="2421"/>
  <c r="OJ92" i="2421"/>
  <c r="OJ82" i="2421"/>
  <c r="OJ73" i="2421"/>
  <c r="OJ85" i="2421"/>
  <c r="OP74" i="2421"/>
  <c r="OP66" i="2421"/>
  <c r="OP57" i="2421"/>
  <c r="OP43" i="2421"/>
  <c r="OJ60" i="2421"/>
  <c r="OJ63" i="2421"/>
  <c r="OP45" i="2421"/>
  <c r="OJ37" i="2421"/>
  <c r="OJ29" i="2421"/>
  <c r="OJ58" i="2421"/>
  <c r="OP19" i="2421"/>
  <c r="OP31" i="2421"/>
  <c r="OP20" i="2421"/>
  <c r="OP33" i="2421"/>
  <c r="OR33" i="2421" s="1"/>
  <c r="OP24" i="2421"/>
  <c r="OP113" i="2421"/>
  <c r="OP105" i="2421"/>
  <c r="OP97" i="2421"/>
  <c r="OP89" i="2421"/>
  <c r="OP81" i="2421"/>
  <c r="OJ107" i="2421"/>
  <c r="OJ99" i="2421"/>
  <c r="OJ91" i="2421"/>
  <c r="OJ80" i="2421"/>
  <c r="OJ72" i="2421"/>
  <c r="OJ83" i="2421"/>
  <c r="OP73" i="2421"/>
  <c r="OP65" i="2421"/>
  <c r="OJ57" i="2421"/>
  <c r="OP42" i="2421"/>
  <c r="OP56" i="2421"/>
  <c r="OP59" i="2421"/>
  <c r="OJ44" i="2421"/>
  <c r="OJ36" i="2421"/>
  <c r="OJ28" i="2421"/>
  <c r="OP54" i="2421"/>
  <c r="OP112" i="2421"/>
  <c r="OP104" i="2421"/>
  <c r="OP96" i="2421"/>
  <c r="OP88" i="2421"/>
  <c r="OP80" i="2421"/>
  <c r="OJ106" i="2421"/>
  <c r="OJ98" i="2421"/>
  <c r="OJ90" i="2421"/>
  <c r="OJ79" i="2421"/>
  <c r="OJ71" i="2421"/>
  <c r="OJ81" i="2421"/>
  <c r="OP72" i="2421"/>
  <c r="OP64" i="2421"/>
  <c r="OP53" i="2421"/>
  <c r="OP41" i="2421"/>
  <c r="OJ56" i="2421"/>
  <c r="OJ59" i="2421"/>
  <c r="OJ43" i="2421"/>
  <c r="OJ35" i="2421"/>
  <c r="OJ27" i="2421"/>
  <c r="OJ54" i="2421"/>
  <c r="OP21" i="2421"/>
  <c r="OP35" i="2421"/>
  <c r="OP16" i="2421"/>
  <c r="OP37" i="2421"/>
  <c r="OP28" i="2421"/>
  <c r="OP111" i="2421"/>
  <c r="OP103" i="2421"/>
  <c r="OP95" i="2421"/>
  <c r="OP87" i="2421"/>
  <c r="OJ113" i="2421"/>
  <c r="OJ105" i="2421"/>
  <c r="OJ97" i="2421"/>
  <c r="OJ89" i="2421"/>
  <c r="OJ78" i="2421"/>
  <c r="OJ70" i="2421"/>
  <c r="OP79" i="2421"/>
  <c r="OP71" i="2421"/>
  <c r="OP63" i="2421"/>
  <c r="OJ53" i="2421"/>
  <c r="OP40" i="2421"/>
  <c r="OP52" i="2421"/>
  <c r="OP55" i="2421"/>
  <c r="OJ42" i="2421"/>
  <c r="OJ34" i="2421"/>
  <c r="OJ26" i="2421"/>
  <c r="OJ51" i="2421"/>
  <c r="OP26" i="2421"/>
  <c r="OP86" i="2421"/>
  <c r="OP70" i="2421"/>
  <c r="OJ25" i="2421"/>
  <c r="OJ112" i="2421"/>
  <c r="OP62" i="2421"/>
  <c r="OJ49" i="2421"/>
  <c r="OP22" i="2421"/>
  <c r="OJ104" i="2421"/>
  <c r="OP50" i="2421"/>
  <c r="OJ96" i="2421"/>
  <c r="OP39" i="2421"/>
  <c r="OJ88" i="2421"/>
  <c r="OJ52" i="2421"/>
  <c r="OP110" i="2421"/>
  <c r="OJ77" i="2421"/>
  <c r="OJ55" i="2421"/>
  <c r="OJ41" i="2421"/>
  <c r="OJ33" i="2421"/>
  <c r="OP102" i="2421"/>
  <c r="OP15" i="2421"/>
  <c r="OP94" i="2421"/>
  <c r="OP23" i="2421"/>
  <c r="OJ69" i="2421"/>
  <c r="OP78" i="2421"/>
  <c r="HM64" i="2421"/>
  <c r="HM50" i="2421"/>
  <c r="HM46" i="2421"/>
  <c r="HM42" i="2421"/>
  <c r="HM38" i="2421"/>
  <c r="HM34" i="2421"/>
  <c r="HM18" i="2421"/>
  <c r="HM39" i="2421"/>
  <c r="HM113" i="2421"/>
  <c r="HM105" i="2421"/>
  <c r="HM97" i="2421"/>
  <c r="HM89" i="2421"/>
  <c r="HM76" i="2421"/>
  <c r="HM75" i="2421"/>
  <c r="HM59" i="2421"/>
  <c r="HM69" i="2421"/>
  <c r="HM40" i="2421"/>
  <c r="HM45" i="2421"/>
  <c r="HM19" i="2421"/>
  <c r="HM27" i="2421"/>
  <c r="HM43" i="2421"/>
  <c r="HM112" i="2421"/>
  <c r="HM104" i="2421"/>
  <c r="HM96" i="2421"/>
  <c r="HM88" i="2421"/>
  <c r="HM74" i="2421"/>
  <c r="HM73" i="2421"/>
  <c r="HM58" i="2421"/>
  <c r="HM65" i="2421"/>
  <c r="HM44" i="2421"/>
  <c r="HM26" i="2421"/>
  <c r="HM49" i="2421"/>
  <c r="HM21" i="2421"/>
  <c r="HM29" i="2421"/>
  <c r="HM51" i="2421"/>
  <c r="HM110" i="2421"/>
  <c r="HM102" i="2421"/>
  <c r="HM94" i="2421"/>
  <c r="HM86" i="2421"/>
  <c r="HM85" i="2421"/>
  <c r="HM67" i="2421"/>
  <c r="HM56" i="2421"/>
  <c r="HM52" i="2421"/>
  <c r="HM28" i="2421"/>
  <c r="HM14" i="2421"/>
  <c r="HM22" i="2421"/>
  <c r="HM30" i="2421"/>
  <c r="HM109" i="2421"/>
  <c r="HM101" i="2421"/>
  <c r="HM93" i="2421"/>
  <c r="HM84" i="2421"/>
  <c r="HM83" i="2421"/>
  <c r="HM63" i="2421"/>
  <c r="HM55" i="2421"/>
  <c r="HM68" i="2421"/>
  <c r="HM15" i="2421"/>
  <c r="HM23" i="2421"/>
  <c r="HM31" i="2421"/>
  <c r="HM108" i="2421"/>
  <c r="HM100" i="2421"/>
  <c r="HM92" i="2421"/>
  <c r="HM82" i="2421"/>
  <c r="HM81" i="2421"/>
  <c r="HM62" i="2421"/>
  <c r="HM54" i="2421"/>
  <c r="HM33" i="2421"/>
  <c r="HM16" i="2421"/>
  <c r="HM24" i="2421"/>
  <c r="HM32" i="2421"/>
  <c r="HM107" i="2421"/>
  <c r="HM99" i="2421"/>
  <c r="HM91" i="2421"/>
  <c r="HM80" i="2421"/>
  <c r="HM79" i="2421"/>
  <c r="HM61" i="2421"/>
  <c r="HM70" i="2421"/>
  <c r="HM37" i="2421"/>
  <c r="HM17" i="2421"/>
  <c r="HM25" i="2421"/>
  <c r="HM35" i="2421"/>
  <c r="HM106" i="2421"/>
  <c r="HM98" i="2421"/>
  <c r="HM90" i="2421"/>
  <c r="HM78" i="2421"/>
  <c r="HM77" i="2421"/>
  <c r="HM60" i="2421"/>
  <c r="HM66" i="2421"/>
  <c r="HM36" i="2421"/>
  <c r="HM41" i="2421"/>
  <c r="HM57" i="2421"/>
  <c r="HM47" i="2421"/>
  <c r="HM111" i="2421"/>
  <c r="HM103" i="2421"/>
  <c r="HM95" i="2421"/>
  <c r="HM48" i="2421"/>
  <c r="HM87" i="2421"/>
  <c r="HM72" i="2421"/>
  <c r="HM71" i="2421"/>
  <c r="HM53" i="2421"/>
  <c r="HM20" i="2421"/>
  <c r="LE65" i="2421"/>
  <c r="LE49" i="2421"/>
  <c r="LE82" i="2421"/>
  <c r="LE104" i="2421"/>
  <c r="LE110" i="2421"/>
  <c r="LE67" i="2421"/>
  <c r="LE74" i="2421"/>
  <c r="LE44" i="2421"/>
  <c r="LE107" i="2421"/>
  <c r="LE102" i="2421"/>
  <c r="LE94" i="2421"/>
  <c r="LE45" i="2421"/>
  <c r="LE78" i="2421"/>
  <c r="LE64" i="2421"/>
  <c r="LE99" i="2421"/>
  <c r="LE69" i="2421"/>
  <c r="LE87" i="2421"/>
  <c r="LE86" i="2421"/>
  <c r="LE27" i="2421"/>
  <c r="LE33" i="2421"/>
  <c r="LE25" i="2421"/>
  <c r="LE95" i="2421"/>
  <c r="LE60" i="2421"/>
  <c r="LE46" i="2421"/>
  <c r="LE56" i="2421"/>
  <c r="LE66" i="2421"/>
  <c r="LE39" i="2421"/>
  <c r="LE77" i="2421"/>
  <c r="LE68" i="2421"/>
  <c r="LE28" i="2421"/>
  <c r="LE24" i="2421"/>
  <c r="LE31" i="2421"/>
  <c r="LE37" i="2421"/>
  <c r="LE22" i="2421"/>
  <c r="LE53" i="2421"/>
  <c r="LE54" i="2421"/>
  <c r="LE81" i="2421"/>
  <c r="LE113" i="2421"/>
  <c r="LE50" i="2421"/>
  <c r="LE47" i="2421"/>
  <c r="LE43" i="2421"/>
  <c r="LE84" i="2421"/>
  <c r="LE30" i="2421"/>
  <c r="LE34" i="2421"/>
  <c r="LE26" i="2421"/>
  <c r="LE92" i="2421"/>
  <c r="LE29" i="2421"/>
  <c r="LE20" i="2421"/>
  <c r="LE96" i="2421"/>
  <c r="LE111" i="2421"/>
  <c r="LE55" i="2421"/>
  <c r="LE59" i="2421"/>
  <c r="LE85" i="2421"/>
  <c r="LE103" i="2421"/>
  <c r="LE80" i="2421"/>
  <c r="LE83" i="2421"/>
  <c r="LE19" i="2421"/>
  <c r="LE41" i="2421"/>
  <c r="LE21" i="2421"/>
  <c r="LE42" i="2421"/>
  <c r="LE48" i="2421"/>
  <c r="LE57" i="2421"/>
  <c r="LE108" i="2421"/>
  <c r="LE73" i="2421"/>
  <c r="LE91" i="2421"/>
  <c r="LE88" i="2421"/>
  <c r="LE40" i="2421"/>
  <c r="LE90" i="2421"/>
  <c r="LE112" i="2421"/>
  <c r="LE36" i="2421"/>
  <c r="LE105" i="2421"/>
  <c r="LE72" i="2421"/>
  <c r="LE61" i="2421"/>
  <c r="LE106" i="2421"/>
  <c r="LE23" i="2421"/>
  <c r="LE58" i="2421"/>
  <c r="LE63" i="2421"/>
  <c r="LE89" i="2421"/>
  <c r="LE38" i="2421"/>
  <c r="LE79" i="2421"/>
  <c r="LE97" i="2421"/>
  <c r="LE70" i="2421"/>
  <c r="LE71" i="2421"/>
  <c r="LE75" i="2421"/>
  <c r="LE52" i="2421"/>
  <c r="LE98" i="2421"/>
  <c r="LE62" i="2421"/>
  <c r="LE100" i="2421"/>
  <c r="LE109" i="2421"/>
  <c r="LE32" i="2421"/>
  <c r="LE93" i="2421"/>
  <c r="LE76" i="2421"/>
  <c r="LE51" i="2421"/>
  <c r="LE35" i="2421"/>
  <c r="LE101" i="2421"/>
  <c r="CV57" i="2421"/>
  <c r="DB25" i="2421"/>
  <c r="DB107" i="2421"/>
  <c r="DB99" i="2421"/>
  <c r="DB91" i="2421"/>
  <c r="DB83" i="2421"/>
  <c r="CV113" i="2421"/>
  <c r="CV105" i="2421"/>
  <c r="CV97" i="2421"/>
  <c r="CV89" i="2421"/>
  <c r="DB75" i="2421"/>
  <c r="DB67" i="2421"/>
  <c r="DB59" i="2421"/>
  <c r="CV80" i="2421"/>
  <c r="CV70" i="2421"/>
  <c r="CV62" i="2421"/>
  <c r="CV52" i="2421"/>
  <c r="CV44" i="2421"/>
  <c r="CV36" i="2421"/>
  <c r="DB14" i="2421"/>
  <c r="CV14" i="2421"/>
  <c r="CV22" i="2421"/>
  <c r="CV30" i="2421"/>
  <c r="DB37" i="2421"/>
  <c r="DB45" i="2421"/>
  <c r="DB53" i="2421"/>
  <c r="DB26" i="2421"/>
  <c r="DB106" i="2421"/>
  <c r="DB98" i="2421"/>
  <c r="DB90" i="2421"/>
  <c r="DB82" i="2421"/>
  <c r="CV112" i="2421"/>
  <c r="CV104" i="2421"/>
  <c r="CV96" i="2421"/>
  <c r="CV88" i="2421"/>
  <c r="DB74" i="2421"/>
  <c r="DB66" i="2421"/>
  <c r="DB58" i="2421"/>
  <c r="CV78" i="2421"/>
  <c r="CV69" i="2421"/>
  <c r="CV61" i="2421"/>
  <c r="CV51" i="2421"/>
  <c r="CV43" i="2421"/>
  <c r="CV35" i="2421"/>
  <c r="DB16" i="2421"/>
  <c r="CV15" i="2421"/>
  <c r="CV23" i="2421"/>
  <c r="DB30" i="2421"/>
  <c r="DB38" i="2421"/>
  <c r="DB46" i="2421"/>
  <c r="DB27" i="2421"/>
  <c r="DB113" i="2421"/>
  <c r="DB105" i="2421"/>
  <c r="DB97" i="2421"/>
  <c r="DB89" i="2421"/>
  <c r="DB81" i="2421"/>
  <c r="CV111" i="2421"/>
  <c r="CV103" i="2421"/>
  <c r="CV95" i="2421"/>
  <c r="CV87" i="2421"/>
  <c r="DB73" i="2421"/>
  <c r="DB65" i="2421"/>
  <c r="DB57" i="2421"/>
  <c r="CV76" i="2421"/>
  <c r="CV68" i="2421"/>
  <c r="CV60" i="2421"/>
  <c r="CV50" i="2421"/>
  <c r="CV42" i="2421"/>
  <c r="CV34" i="2421"/>
  <c r="DB17" i="2421"/>
  <c r="CV16" i="2421"/>
  <c r="CV24" i="2421"/>
  <c r="DB31" i="2421"/>
  <c r="DB39" i="2421"/>
  <c r="DB47" i="2421"/>
  <c r="DB15" i="2421"/>
  <c r="DB28" i="2421"/>
  <c r="DB112" i="2421"/>
  <c r="DB104" i="2421"/>
  <c r="DB96" i="2421"/>
  <c r="DB88" i="2421"/>
  <c r="DB80" i="2421"/>
  <c r="CV110" i="2421"/>
  <c r="CV102" i="2421"/>
  <c r="CV94" i="2421"/>
  <c r="CV86" i="2421"/>
  <c r="DB72" i="2421"/>
  <c r="DB64" i="2421"/>
  <c r="DB56" i="2421"/>
  <c r="CV75" i="2421"/>
  <c r="CV67" i="2421"/>
  <c r="CV84" i="2421"/>
  <c r="CV49" i="2421"/>
  <c r="CV41" i="2421"/>
  <c r="CV33" i="2421"/>
  <c r="DB18" i="2421"/>
  <c r="CV17" i="2421"/>
  <c r="CV25" i="2421"/>
  <c r="DB32" i="2421"/>
  <c r="DD32" i="2421" s="1"/>
  <c r="DB40" i="2421"/>
  <c r="DB48" i="2421"/>
  <c r="DB20" i="2421"/>
  <c r="DB29" i="2421"/>
  <c r="DB111" i="2421"/>
  <c r="DB103" i="2421"/>
  <c r="DB95" i="2421"/>
  <c r="DB87" i="2421"/>
  <c r="DB79" i="2421"/>
  <c r="CV109" i="2421"/>
  <c r="CV101" i="2421"/>
  <c r="CV93" i="2421"/>
  <c r="CV83" i="2421"/>
  <c r="DB71" i="2421"/>
  <c r="DB63" i="2421"/>
  <c r="DB55" i="2421"/>
  <c r="CV74" i="2421"/>
  <c r="CV66" i="2421"/>
  <c r="CV58" i="2421"/>
  <c r="CV48" i="2421"/>
  <c r="CV40" i="2421"/>
  <c r="CV32" i="2421"/>
  <c r="DB19" i="2421"/>
  <c r="CV18" i="2421"/>
  <c r="CV26" i="2421"/>
  <c r="DB33" i="2421"/>
  <c r="DD33" i="2421" s="1"/>
  <c r="DB41" i="2421"/>
  <c r="DB49" i="2421"/>
  <c r="DB21" i="2421"/>
  <c r="DD21" i="2421" s="1"/>
  <c r="DB110" i="2421"/>
  <c r="DB102" i="2421"/>
  <c r="DB94" i="2421"/>
  <c r="DB86" i="2421"/>
  <c r="DB78" i="2421"/>
  <c r="CV108" i="2421"/>
  <c r="CV100" i="2421"/>
  <c r="CV92" i="2421"/>
  <c r="CV81" i="2421"/>
  <c r="DB70" i="2421"/>
  <c r="DB62" i="2421"/>
  <c r="DB54" i="2421"/>
  <c r="CV73" i="2421"/>
  <c r="CV65" i="2421"/>
  <c r="CV56" i="2421"/>
  <c r="CV47" i="2421"/>
  <c r="CV39" i="2421"/>
  <c r="CV31" i="2421"/>
  <c r="DB23" i="2421"/>
  <c r="CV19" i="2421"/>
  <c r="CV27" i="2421"/>
  <c r="DB34" i="2421"/>
  <c r="DD34" i="2421" s="1"/>
  <c r="DB42" i="2421"/>
  <c r="DB50" i="2421"/>
  <c r="DB22" i="2421"/>
  <c r="DD22" i="2421" s="1"/>
  <c r="DB109" i="2421"/>
  <c r="DB101" i="2421"/>
  <c r="DB93" i="2421"/>
  <c r="DB85" i="2421"/>
  <c r="DB77" i="2421"/>
  <c r="CV107" i="2421"/>
  <c r="CV99" i="2421"/>
  <c r="CV91" i="2421"/>
  <c r="CV79" i="2421"/>
  <c r="DB69" i="2421"/>
  <c r="DB61" i="2421"/>
  <c r="CV85" i="2421"/>
  <c r="CV72" i="2421"/>
  <c r="CV64" i="2421"/>
  <c r="CV54" i="2421"/>
  <c r="CV46" i="2421"/>
  <c r="CV38" i="2421"/>
  <c r="CV55" i="2421"/>
  <c r="CV20" i="2421"/>
  <c r="CV28" i="2421"/>
  <c r="DB35" i="2421"/>
  <c r="DD35" i="2421" s="1"/>
  <c r="DB43" i="2421"/>
  <c r="DB51" i="2421"/>
  <c r="DB24" i="2421"/>
  <c r="DB108" i="2421"/>
  <c r="DB100" i="2421"/>
  <c r="DB92" i="2421"/>
  <c r="DB84" i="2421"/>
  <c r="DB76" i="2421"/>
  <c r="CV106" i="2421"/>
  <c r="CV98" i="2421"/>
  <c r="CV90" i="2421"/>
  <c r="CV77" i="2421"/>
  <c r="DB68" i="2421"/>
  <c r="DB60" i="2421"/>
  <c r="CV82" i="2421"/>
  <c r="CV71" i="2421"/>
  <c r="CV63" i="2421"/>
  <c r="CV53" i="2421"/>
  <c r="CV45" i="2421"/>
  <c r="CV37" i="2421"/>
  <c r="CV59" i="2421"/>
  <c r="CV21" i="2421"/>
  <c r="CV29" i="2421"/>
  <c r="DB36" i="2421"/>
  <c r="DB44" i="2421"/>
  <c r="DB52" i="2421"/>
  <c r="LM53" i="2421"/>
  <c r="LM38" i="2421"/>
  <c r="LM29" i="2421"/>
  <c r="LM34" i="2421"/>
  <c r="LM26" i="2421"/>
  <c r="LM31" i="2421"/>
  <c r="LM28" i="2421"/>
  <c r="LM46" i="2421"/>
  <c r="LM27" i="2421"/>
  <c r="LM32" i="2421"/>
  <c r="LM50" i="2421"/>
  <c r="LM30" i="2421"/>
  <c r="LM54" i="2421"/>
  <c r="LM33" i="2421"/>
  <c r="LM42" i="2421"/>
  <c r="LM19" i="2421"/>
  <c r="LM37" i="2421"/>
  <c r="LS113" i="2421"/>
  <c r="LM20" i="2421"/>
  <c r="LS112" i="2421"/>
  <c r="LS104" i="2421"/>
  <c r="LS96" i="2421"/>
  <c r="LS88" i="2421"/>
  <c r="LS80" i="2421"/>
  <c r="LM108" i="2421"/>
  <c r="LM100" i="2421"/>
  <c r="LM92" i="2421"/>
  <c r="LM81" i="2421"/>
  <c r="LS71" i="2421"/>
  <c r="LS63" i="2421"/>
  <c r="LS55" i="2421"/>
  <c r="LM74" i="2421"/>
  <c r="LM66" i="2421"/>
  <c r="LM84" i="2421"/>
  <c r="LS49" i="2421"/>
  <c r="LS41" i="2421"/>
  <c r="LS33" i="2421"/>
  <c r="LU33" i="2421" s="1"/>
  <c r="LM57" i="2421"/>
  <c r="LS17" i="2421"/>
  <c r="LS25" i="2421"/>
  <c r="LM21" i="2421"/>
  <c r="LM41" i="2421"/>
  <c r="LS111" i="2421"/>
  <c r="LS103" i="2421"/>
  <c r="LS95" i="2421"/>
  <c r="LS87" i="2421"/>
  <c r="LS79" i="2421"/>
  <c r="LM107" i="2421"/>
  <c r="LM99" i="2421"/>
  <c r="LM91" i="2421"/>
  <c r="LM79" i="2421"/>
  <c r="LS70" i="2421"/>
  <c r="LS62" i="2421"/>
  <c r="LM85" i="2421"/>
  <c r="LM73" i="2421"/>
  <c r="LM65" i="2421"/>
  <c r="LM58" i="2421"/>
  <c r="LS48" i="2421"/>
  <c r="LS40" i="2421"/>
  <c r="LS32" i="2421"/>
  <c r="LU32" i="2421" s="1"/>
  <c r="LS18" i="2421"/>
  <c r="LM35" i="2421"/>
  <c r="LM14" i="2421"/>
  <c r="LM22" i="2421"/>
  <c r="LS110" i="2421"/>
  <c r="LS102" i="2421"/>
  <c r="LS94" i="2421"/>
  <c r="LS86" i="2421"/>
  <c r="LS78" i="2421"/>
  <c r="LM106" i="2421"/>
  <c r="LM98" i="2421"/>
  <c r="LM90" i="2421"/>
  <c r="LS77" i="2421"/>
  <c r="LS69" i="2421"/>
  <c r="LS61" i="2421"/>
  <c r="LM82" i="2421"/>
  <c r="LM72" i="2421"/>
  <c r="LM64" i="2421"/>
  <c r="LM56" i="2421"/>
  <c r="LS47" i="2421"/>
  <c r="LS39" i="2421"/>
  <c r="LS31" i="2421"/>
  <c r="LS19" i="2421"/>
  <c r="LM39" i="2421"/>
  <c r="LM15" i="2421"/>
  <c r="LM23" i="2421"/>
  <c r="LM45" i="2421"/>
  <c r="LS109" i="2421"/>
  <c r="LS101" i="2421"/>
  <c r="LS93" i="2421"/>
  <c r="LS85" i="2421"/>
  <c r="LM113" i="2421"/>
  <c r="LM105" i="2421"/>
  <c r="LM97" i="2421"/>
  <c r="LM89" i="2421"/>
  <c r="LS76" i="2421"/>
  <c r="LS68" i="2421"/>
  <c r="LS60" i="2421"/>
  <c r="LM80" i="2421"/>
  <c r="LM71" i="2421"/>
  <c r="LM63" i="2421"/>
  <c r="LS54" i="2421"/>
  <c r="LS46" i="2421"/>
  <c r="LS38" i="2421"/>
  <c r="LS30" i="2421"/>
  <c r="LM36" i="2421"/>
  <c r="LS20" i="2421"/>
  <c r="LM43" i="2421"/>
  <c r="LM16" i="2421"/>
  <c r="LM24" i="2421"/>
  <c r="LM49" i="2421"/>
  <c r="LS108" i="2421"/>
  <c r="LS100" i="2421"/>
  <c r="LS92" i="2421"/>
  <c r="LS84" i="2421"/>
  <c r="LM112" i="2421"/>
  <c r="LM104" i="2421"/>
  <c r="LM96" i="2421"/>
  <c r="LM88" i="2421"/>
  <c r="LS75" i="2421"/>
  <c r="LS67" i="2421"/>
  <c r="LS59" i="2421"/>
  <c r="LM78" i="2421"/>
  <c r="LM70" i="2421"/>
  <c r="LM62" i="2421"/>
  <c r="LS53" i="2421"/>
  <c r="LS45" i="2421"/>
  <c r="LS37" i="2421"/>
  <c r="LS29" i="2421"/>
  <c r="LM17" i="2421"/>
  <c r="LM25" i="2421"/>
  <c r="LS107" i="2421"/>
  <c r="LS99" i="2421"/>
  <c r="LS91" i="2421"/>
  <c r="LS83" i="2421"/>
  <c r="LM111" i="2421"/>
  <c r="LM103" i="2421"/>
  <c r="LM95" i="2421"/>
  <c r="LM87" i="2421"/>
  <c r="LS74" i="2421"/>
  <c r="LS66" i="2421"/>
  <c r="LS58" i="2421"/>
  <c r="LM77" i="2421"/>
  <c r="LM69" i="2421"/>
  <c r="LM61" i="2421"/>
  <c r="LS52" i="2421"/>
  <c r="LS44" i="2421"/>
  <c r="LS36" i="2421"/>
  <c r="LS28" i="2421"/>
  <c r="LM44" i="2421"/>
  <c r="LS14" i="2421"/>
  <c r="LS22" i="2421"/>
  <c r="LU22" i="2421" s="1"/>
  <c r="LM51" i="2421"/>
  <c r="LM18" i="2421"/>
  <c r="LS106" i="2421"/>
  <c r="LS98" i="2421"/>
  <c r="LS90" i="2421"/>
  <c r="LS82" i="2421"/>
  <c r="LM110" i="2421"/>
  <c r="LM102" i="2421"/>
  <c r="LM94" i="2421"/>
  <c r="LM86" i="2421"/>
  <c r="LS73" i="2421"/>
  <c r="LS65" i="2421"/>
  <c r="LS57" i="2421"/>
  <c r="LM76" i="2421"/>
  <c r="LM68" i="2421"/>
  <c r="LM60" i="2421"/>
  <c r="LS51" i="2421"/>
  <c r="LS43" i="2421"/>
  <c r="LS35" i="2421"/>
  <c r="LU35" i="2421" s="1"/>
  <c r="LS27" i="2421"/>
  <c r="LM48" i="2421"/>
  <c r="LS15" i="2421"/>
  <c r="LS23" i="2421"/>
  <c r="LM55" i="2421"/>
  <c r="LS105" i="2421"/>
  <c r="LS72" i="2421"/>
  <c r="LS34" i="2421"/>
  <c r="LU34" i="2421" s="1"/>
  <c r="LM52" i="2421"/>
  <c r="LS16" i="2421"/>
  <c r="LS97" i="2421"/>
  <c r="LS64" i="2421"/>
  <c r="LS26" i="2421"/>
  <c r="LS21" i="2421"/>
  <c r="LU21" i="2421" s="1"/>
  <c r="LS89" i="2421"/>
  <c r="LS56" i="2421"/>
  <c r="LS24" i="2421"/>
  <c r="LS81" i="2421"/>
  <c r="LM75" i="2421"/>
  <c r="LM47" i="2421"/>
  <c r="LM109" i="2421"/>
  <c r="LM67" i="2421"/>
  <c r="LM93" i="2421"/>
  <c r="LS50" i="2421"/>
  <c r="LM83" i="2421"/>
  <c r="LS42" i="2421"/>
  <c r="LM40" i="2421"/>
  <c r="LM101" i="2421"/>
  <c r="LM59" i="2421"/>
  <c r="DK18" i="2421"/>
  <c r="DQ106" i="2421"/>
  <c r="DQ98" i="2421"/>
  <c r="DQ90" i="2421"/>
  <c r="DQ82" i="2421"/>
  <c r="DK113" i="2421"/>
  <c r="DK105" i="2421"/>
  <c r="DK97" i="2421"/>
  <c r="DK89" i="2421"/>
  <c r="DK76" i="2421"/>
  <c r="DQ67" i="2421"/>
  <c r="DQ59" i="2421"/>
  <c r="DK79" i="2421"/>
  <c r="DK69" i="2421"/>
  <c r="DK54" i="2421"/>
  <c r="DK46" i="2421"/>
  <c r="DK38" i="2421"/>
  <c r="DK30" i="2421"/>
  <c r="DK55" i="2421"/>
  <c r="DQ47" i="2421"/>
  <c r="DQ39" i="2421"/>
  <c r="DQ31" i="2421"/>
  <c r="DQ23" i="2421"/>
  <c r="DK26" i="2421"/>
  <c r="DQ113" i="2421"/>
  <c r="DQ105" i="2421"/>
  <c r="DQ97" i="2421"/>
  <c r="DQ89" i="2421"/>
  <c r="DQ81" i="2421"/>
  <c r="DK112" i="2421"/>
  <c r="DK104" i="2421"/>
  <c r="DK96" i="2421"/>
  <c r="DK88" i="2421"/>
  <c r="DQ74" i="2421"/>
  <c r="DQ66" i="2421"/>
  <c r="DQ58" i="2421"/>
  <c r="DK77" i="2421"/>
  <c r="DK68" i="2421"/>
  <c r="DK53" i="2421"/>
  <c r="DK45" i="2421"/>
  <c r="DK37" i="2421"/>
  <c r="DK29" i="2421"/>
  <c r="DQ54" i="2421"/>
  <c r="DQ46" i="2421"/>
  <c r="DQ38" i="2421"/>
  <c r="DQ30" i="2421"/>
  <c r="DQ22" i="2421"/>
  <c r="DS22" i="2421" s="1"/>
  <c r="DQ112" i="2421"/>
  <c r="DQ104" i="2421"/>
  <c r="DQ96" i="2421"/>
  <c r="DQ88" i="2421"/>
  <c r="DQ80" i="2421"/>
  <c r="DK111" i="2421"/>
  <c r="DK103" i="2421"/>
  <c r="DK95" i="2421"/>
  <c r="DK87" i="2421"/>
  <c r="DQ73" i="2421"/>
  <c r="DQ65" i="2421"/>
  <c r="DQ57" i="2421"/>
  <c r="DK75" i="2421"/>
  <c r="DK67" i="2421"/>
  <c r="DK52" i="2421"/>
  <c r="DK44" i="2421"/>
  <c r="DK36" i="2421"/>
  <c r="DK61" i="2421"/>
  <c r="DQ53" i="2421"/>
  <c r="DQ45" i="2421"/>
  <c r="DQ37" i="2421"/>
  <c r="DQ29" i="2421"/>
  <c r="DQ21" i="2421"/>
  <c r="DS21" i="2421" s="1"/>
  <c r="DK20" i="2421"/>
  <c r="DK28" i="2421"/>
  <c r="DQ15" i="2421"/>
  <c r="DK14" i="2421"/>
  <c r="DQ111" i="2421"/>
  <c r="DQ103" i="2421"/>
  <c r="DQ95" i="2421"/>
  <c r="DQ87" i="2421"/>
  <c r="DQ79" i="2421"/>
  <c r="DK110" i="2421"/>
  <c r="DK102" i="2421"/>
  <c r="DK94" i="2421"/>
  <c r="DK86" i="2421"/>
  <c r="DQ72" i="2421"/>
  <c r="DQ64" i="2421"/>
  <c r="DQ56" i="2421"/>
  <c r="DK74" i="2421"/>
  <c r="DK66" i="2421"/>
  <c r="DK51" i="2421"/>
  <c r="DK43" i="2421"/>
  <c r="DK35" i="2421"/>
  <c r="DK60" i="2421"/>
  <c r="DQ52" i="2421"/>
  <c r="DQ44" i="2421"/>
  <c r="DQ36" i="2421"/>
  <c r="DQ28" i="2421"/>
  <c r="DQ20" i="2421"/>
  <c r="DK15" i="2421"/>
  <c r="DQ110" i="2421"/>
  <c r="DK16" i="2421"/>
  <c r="DQ109" i="2421"/>
  <c r="DQ101" i="2421"/>
  <c r="DQ93" i="2421"/>
  <c r="DQ85" i="2421"/>
  <c r="DQ77" i="2421"/>
  <c r="DK108" i="2421"/>
  <c r="DK100" i="2421"/>
  <c r="DK92" i="2421"/>
  <c r="DK82" i="2421"/>
  <c r="DQ70" i="2421"/>
  <c r="DQ62" i="2421"/>
  <c r="DK85" i="2421"/>
  <c r="DK72" i="2421"/>
  <c r="DK64" i="2421"/>
  <c r="DK49" i="2421"/>
  <c r="DK41" i="2421"/>
  <c r="DK33" i="2421"/>
  <c r="DK58" i="2421"/>
  <c r="DQ50" i="2421"/>
  <c r="DQ42" i="2421"/>
  <c r="DQ34" i="2421"/>
  <c r="DS34" i="2421" s="1"/>
  <c r="DQ26" i="2421"/>
  <c r="DQ18" i="2421"/>
  <c r="DQ92" i="2421"/>
  <c r="DK109" i="2421"/>
  <c r="DK90" i="2421"/>
  <c r="DQ61" i="2421"/>
  <c r="DK65" i="2421"/>
  <c r="DK39" i="2421"/>
  <c r="DQ49" i="2421"/>
  <c r="DQ27" i="2421"/>
  <c r="DK19" i="2421"/>
  <c r="DK27" i="2421"/>
  <c r="DQ91" i="2421"/>
  <c r="DK107" i="2421"/>
  <c r="DK84" i="2421"/>
  <c r="DQ60" i="2421"/>
  <c r="DK63" i="2421"/>
  <c r="DK34" i="2421"/>
  <c r="DQ48" i="2421"/>
  <c r="DQ25" i="2421"/>
  <c r="DK22" i="2421"/>
  <c r="DQ108" i="2421"/>
  <c r="DQ86" i="2421"/>
  <c r="DK106" i="2421"/>
  <c r="DK80" i="2421"/>
  <c r="DQ55" i="2421"/>
  <c r="DK62" i="2421"/>
  <c r="DK32" i="2421"/>
  <c r="DQ43" i="2421"/>
  <c r="DQ24" i="2421"/>
  <c r="DK24" i="2421"/>
  <c r="DK21" i="2421"/>
  <c r="DQ107" i="2421"/>
  <c r="DQ84" i="2421"/>
  <c r="DK101" i="2421"/>
  <c r="DK78" i="2421"/>
  <c r="DK83" i="2421"/>
  <c r="DK50" i="2421"/>
  <c r="DK31" i="2421"/>
  <c r="DQ41" i="2421"/>
  <c r="DQ19" i="2421"/>
  <c r="DQ102" i="2421"/>
  <c r="DQ83" i="2421"/>
  <c r="DK99" i="2421"/>
  <c r="DQ71" i="2421"/>
  <c r="DK81" i="2421"/>
  <c r="DK48" i="2421"/>
  <c r="DK59" i="2421"/>
  <c r="DQ40" i="2421"/>
  <c r="DK23" i="2421"/>
  <c r="DQ100" i="2421"/>
  <c r="DQ78" i="2421"/>
  <c r="DK98" i="2421"/>
  <c r="DQ69" i="2421"/>
  <c r="DK73" i="2421"/>
  <c r="DK47" i="2421"/>
  <c r="DK57" i="2421"/>
  <c r="DQ35" i="2421"/>
  <c r="DS35" i="2421" s="1"/>
  <c r="DQ14" i="2421"/>
  <c r="DK17" i="2421"/>
  <c r="DQ99" i="2421"/>
  <c r="DQ76" i="2421"/>
  <c r="DK93" i="2421"/>
  <c r="DQ68" i="2421"/>
  <c r="DK71" i="2421"/>
  <c r="DK42" i="2421"/>
  <c r="DK56" i="2421"/>
  <c r="DQ33" i="2421"/>
  <c r="DS33" i="2421" s="1"/>
  <c r="DQ16" i="2421"/>
  <c r="DK25" i="2421"/>
  <c r="DQ94" i="2421"/>
  <c r="DQ75" i="2421"/>
  <c r="DK91" i="2421"/>
  <c r="DQ63" i="2421"/>
  <c r="DK70" i="2421"/>
  <c r="DK40" i="2421"/>
  <c r="DQ51" i="2421"/>
  <c r="DQ32" i="2421"/>
  <c r="DS32" i="2421" s="1"/>
  <c r="DQ17" i="2421"/>
  <c r="HJ127" i="2421"/>
  <c r="OR97" i="2421"/>
  <c r="OR41" i="2421"/>
  <c r="OR50" i="2421"/>
  <c r="OR81" i="2421"/>
  <c r="OR55" i="2421"/>
  <c r="OR95" i="2421"/>
  <c r="OR28" i="2421"/>
  <c r="OR100" i="2421"/>
  <c r="OR26" i="2421"/>
  <c r="OR91" i="2421"/>
  <c r="OR73" i="2421"/>
  <c r="OR76" i="2421"/>
  <c r="OR40" i="2421"/>
  <c r="OR75" i="2421"/>
  <c r="OR38" i="2421"/>
  <c r="OR85" i="2421"/>
  <c r="OR102" i="2421"/>
  <c r="OR48" i="2421"/>
  <c r="OR58" i="2421"/>
  <c r="OR94" i="2421"/>
  <c r="OR92" i="2421"/>
  <c r="OR59" i="2421"/>
  <c r="OR34" i="2421"/>
  <c r="OR72" i="2421"/>
  <c r="OR108" i="2421"/>
  <c r="OR65" i="2421"/>
  <c r="OR19" i="2421"/>
  <c r="OR67" i="2421"/>
  <c r="OR21" i="2421"/>
  <c r="OR64" i="2421"/>
  <c r="OR74" i="2421"/>
  <c r="OR47" i="2421"/>
  <c r="OR29" i="2421"/>
  <c r="OR68" i="2421"/>
  <c r="OR103" i="2421"/>
  <c r="OR88" i="2421"/>
  <c r="OR32" i="2421"/>
  <c r="OR89" i="2421"/>
  <c r="OR69" i="2421"/>
  <c r="OR101" i="2421"/>
  <c r="OR27" i="2421"/>
  <c r="OR113" i="2421"/>
  <c r="OR78" i="2421"/>
  <c r="OR107" i="2421"/>
  <c r="OR30" i="2421"/>
  <c r="OR63" i="2421"/>
  <c r="OR110" i="2421"/>
  <c r="OR80" i="2421"/>
  <c r="OR57" i="2421"/>
  <c r="OR43" i="2421"/>
  <c r="OR45" i="2421"/>
  <c r="OR31" i="2421"/>
  <c r="OR111" i="2421"/>
  <c r="OR109" i="2421"/>
  <c r="OR66" i="2421"/>
  <c r="OR42" i="2421"/>
  <c r="OR20" i="2421"/>
  <c r="OR98" i="2421"/>
  <c r="OR35" i="2421"/>
  <c r="OR60" i="2421"/>
  <c r="OR70" i="2421"/>
  <c r="OR52" i="2421"/>
  <c r="OR46" i="2421"/>
  <c r="OR93" i="2421"/>
  <c r="OR53" i="2421"/>
  <c r="OR96" i="2421"/>
  <c r="OR90" i="2421"/>
  <c r="OR104" i="2421"/>
  <c r="OR51" i="2421"/>
  <c r="OR77" i="2421"/>
  <c r="OR49" i="2421"/>
  <c r="OR71" i="2421"/>
  <c r="OR37" i="2421"/>
  <c r="OR83" i="2421"/>
  <c r="OR86" i="2421"/>
  <c r="OR25" i="2421"/>
  <c r="OR61" i="2421"/>
  <c r="OR36" i="2421"/>
  <c r="OR84" i="2421"/>
  <c r="OR87" i="2421"/>
  <c r="OR82" i="2421"/>
  <c r="OR106" i="2421"/>
  <c r="OR62" i="2421"/>
  <c r="OR112" i="2421"/>
  <c r="OR39" i="2421"/>
  <c r="OR56" i="2421"/>
  <c r="OR23" i="2421"/>
  <c r="OR105" i="2421"/>
  <c r="OR79" i="2421"/>
  <c r="OR99" i="2421"/>
  <c r="OR44" i="2421"/>
  <c r="OR54" i="2421"/>
  <c r="OR22" i="2421"/>
  <c r="PT57" i="2421"/>
  <c r="PN15" i="2421"/>
  <c r="PN14" i="2421"/>
  <c r="PT18" i="2421"/>
  <c r="PT26" i="2421"/>
  <c r="PT34" i="2421"/>
  <c r="PV34" i="2421" s="1"/>
  <c r="PN44" i="2421"/>
  <c r="PT46" i="2421"/>
  <c r="PT54" i="2421"/>
  <c r="PN20" i="2421"/>
  <c r="PN28" i="2421"/>
  <c r="PN36" i="2421"/>
  <c r="PN47" i="2421"/>
  <c r="PT111" i="2421"/>
  <c r="PT20" i="2421"/>
  <c r="PT28" i="2421"/>
  <c r="PT36" i="2421"/>
  <c r="PN48" i="2421"/>
  <c r="PT48" i="2421"/>
  <c r="PT58" i="2421"/>
  <c r="PN22" i="2421"/>
  <c r="PN30" i="2421"/>
  <c r="PN38" i="2421"/>
  <c r="PN51" i="2421"/>
  <c r="PT21" i="2421"/>
  <c r="PV21" i="2421" s="1"/>
  <c r="PT29" i="2421"/>
  <c r="PT37" i="2421"/>
  <c r="PN50" i="2421"/>
  <c r="PN23" i="2421"/>
  <c r="PN31" i="2421"/>
  <c r="PN39" i="2421"/>
  <c r="PN53" i="2421"/>
  <c r="PT14" i="2421"/>
  <c r="PT22" i="2421"/>
  <c r="PV22" i="2421" s="1"/>
  <c r="PT30" i="2421"/>
  <c r="PT38" i="2421"/>
  <c r="PN52" i="2421"/>
  <c r="PT42" i="2421"/>
  <c r="PT50" i="2421"/>
  <c r="PN16" i="2421"/>
  <c r="PN24" i="2421"/>
  <c r="PN32" i="2421"/>
  <c r="PN40" i="2421"/>
  <c r="PT15" i="2421"/>
  <c r="PT23" i="2421"/>
  <c r="PT31" i="2421"/>
  <c r="PT39" i="2421"/>
  <c r="PN54" i="2421"/>
  <c r="PN17" i="2421"/>
  <c r="PN25" i="2421"/>
  <c r="PN33" i="2421"/>
  <c r="PN41" i="2421"/>
  <c r="PT33" i="2421"/>
  <c r="PV33" i="2421" s="1"/>
  <c r="PN19" i="2421"/>
  <c r="PN43" i="2421"/>
  <c r="PT107" i="2421"/>
  <c r="PT99" i="2421"/>
  <c r="PT91" i="2421"/>
  <c r="PT83" i="2421"/>
  <c r="PN112" i="2421"/>
  <c r="PN104" i="2421"/>
  <c r="PN96" i="2421"/>
  <c r="PN88" i="2421"/>
  <c r="PT71" i="2421"/>
  <c r="PT63" i="2421"/>
  <c r="PN85" i="2421"/>
  <c r="PN70" i="2421"/>
  <c r="PN62" i="2421"/>
  <c r="PN84" i="2421"/>
  <c r="PT56" i="2421"/>
  <c r="PT16" i="2421"/>
  <c r="PT35" i="2421"/>
  <c r="PV35" i="2421" s="1"/>
  <c r="PT44" i="2421"/>
  <c r="PN21" i="2421"/>
  <c r="PN45" i="2421"/>
  <c r="PT106" i="2421"/>
  <c r="PT98" i="2421"/>
  <c r="PT90" i="2421"/>
  <c r="PT82" i="2421"/>
  <c r="PN111" i="2421"/>
  <c r="PN103" i="2421"/>
  <c r="PN95" i="2421"/>
  <c r="PN87" i="2421"/>
  <c r="PT70" i="2421"/>
  <c r="PT62" i="2421"/>
  <c r="PN77" i="2421"/>
  <c r="PN69" i="2421"/>
  <c r="PN61" i="2421"/>
  <c r="PN82" i="2421"/>
  <c r="PT47" i="2421"/>
  <c r="PT17" i="2421"/>
  <c r="PT40" i="2421"/>
  <c r="PN26" i="2421"/>
  <c r="PN49" i="2421"/>
  <c r="PT105" i="2421"/>
  <c r="PT97" i="2421"/>
  <c r="PT89" i="2421"/>
  <c r="PT81" i="2421"/>
  <c r="PN110" i="2421"/>
  <c r="PN102" i="2421"/>
  <c r="PN94" i="2421"/>
  <c r="PN86" i="2421"/>
  <c r="PT69" i="2421"/>
  <c r="PT61" i="2421"/>
  <c r="PN76" i="2421"/>
  <c r="PN68" i="2421"/>
  <c r="PN60" i="2421"/>
  <c r="PN80" i="2421"/>
  <c r="PT19" i="2421"/>
  <c r="PN42" i="2421"/>
  <c r="PN27" i="2421"/>
  <c r="PT113" i="2421"/>
  <c r="PT104" i="2421"/>
  <c r="PT96" i="2421"/>
  <c r="PT88" i="2421"/>
  <c r="PT80" i="2421"/>
  <c r="PN109" i="2421"/>
  <c r="PN101" i="2421"/>
  <c r="PN93" i="2421"/>
  <c r="PT76" i="2421"/>
  <c r="PT68" i="2421"/>
  <c r="PT60" i="2421"/>
  <c r="PN75" i="2421"/>
  <c r="PN67" i="2421"/>
  <c r="PN59" i="2421"/>
  <c r="PN78" i="2421"/>
  <c r="PT49" i="2421"/>
  <c r="PT24" i="2421"/>
  <c r="PN46" i="2421"/>
  <c r="PT52" i="2421"/>
  <c r="PN29" i="2421"/>
  <c r="PT112" i="2421"/>
  <c r="PT103" i="2421"/>
  <c r="PT95" i="2421"/>
  <c r="PT87" i="2421"/>
  <c r="PT79" i="2421"/>
  <c r="PN108" i="2421"/>
  <c r="PN100" i="2421"/>
  <c r="PN92" i="2421"/>
  <c r="PT75" i="2421"/>
  <c r="PT67" i="2421"/>
  <c r="PT59" i="2421"/>
  <c r="PN74" i="2421"/>
  <c r="PN66" i="2421"/>
  <c r="PN58" i="2421"/>
  <c r="PT25" i="2421"/>
  <c r="PT55" i="2421"/>
  <c r="PN34" i="2421"/>
  <c r="PT110" i="2421"/>
  <c r="PT102" i="2421"/>
  <c r="PT94" i="2421"/>
  <c r="PT86" i="2421"/>
  <c r="PT78" i="2421"/>
  <c r="PN107" i="2421"/>
  <c r="PN99" i="2421"/>
  <c r="PN91" i="2421"/>
  <c r="PT74" i="2421"/>
  <c r="PT66" i="2421"/>
  <c r="PN83" i="2421"/>
  <c r="PN73" i="2421"/>
  <c r="PN65" i="2421"/>
  <c r="PN57" i="2421"/>
  <c r="PT41" i="2421"/>
  <c r="PT51" i="2421"/>
  <c r="PT27" i="2421"/>
  <c r="PN35" i="2421"/>
  <c r="PT109" i="2421"/>
  <c r="PT101" i="2421"/>
  <c r="PT93" i="2421"/>
  <c r="PT85" i="2421"/>
  <c r="PT77" i="2421"/>
  <c r="PN106" i="2421"/>
  <c r="PN98" i="2421"/>
  <c r="PN90" i="2421"/>
  <c r="PT73" i="2421"/>
  <c r="PT65" i="2421"/>
  <c r="PN81" i="2421"/>
  <c r="PN72" i="2421"/>
  <c r="PN64" i="2421"/>
  <c r="PN56" i="2421"/>
  <c r="PT43" i="2421"/>
  <c r="PN113" i="2421"/>
  <c r="PN63" i="2421"/>
  <c r="PN105" i="2421"/>
  <c r="PN55" i="2421"/>
  <c r="PN18" i="2421"/>
  <c r="PN97" i="2421"/>
  <c r="PN37" i="2421"/>
  <c r="PN89" i="2421"/>
  <c r="PT45" i="2421"/>
  <c r="PT108" i="2421"/>
  <c r="PT72" i="2421"/>
  <c r="PT53" i="2421"/>
  <c r="PT100" i="2421"/>
  <c r="PT64" i="2421"/>
  <c r="PT32" i="2421"/>
  <c r="PV32" i="2421" s="1"/>
  <c r="PT92" i="2421"/>
  <c r="PT84" i="2421"/>
  <c r="PN79" i="2421"/>
  <c r="PN71" i="2421"/>
  <c r="ID103" i="2421"/>
  <c r="ID87" i="2421"/>
  <c r="ID74" i="2421"/>
  <c r="ID66" i="2421"/>
  <c r="ID58" i="2421"/>
  <c r="ID50" i="2421"/>
  <c r="ID42" i="2421"/>
  <c r="ID100" i="2421"/>
  <c r="ID84" i="2421"/>
  <c r="ID19" i="2421"/>
  <c r="ID27" i="2421"/>
  <c r="ID35" i="2421"/>
  <c r="ID101" i="2421"/>
  <c r="ID82" i="2421"/>
  <c r="ID73" i="2421"/>
  <c r="ID65" i="2421"/>
  <c r="ID57" i="2421"/>
  <c r="ID49" i="2421"/>
  <c r="ID41" i="2421"/>
  <c r="ID98" i="2421"/>
  <c r="ID81" i="2421"/>
  <c r="ID20" i="2421"/>
  <c r="ID28" i="2421"/>
  <c r="ID36" i="2421"/>
  <c r="ID99" i="2421"/>
  <c r="ID80" i="2421"/>
  <c r="ID72" i="2421"/>
  <c r="ID64" i="2421"/>
  <c r="ID56" i="2421"/>
  <c r="ID48" i="2421"/>
  <c r="ID112" i="2421"/>
  <c r="ID96" i="2421"/>
  <c r="ID79" i="2421"/>
  <c r="ID21" i="2421"/>
  <c r="ID29" i="2421"/>
  <c r="ID37" i="2421"/>
  <c r="ID113" i="2421"/>
  <c r="ID97" i="2421"/>
  <c r="ID85" i="2421"/>
  <c r="ID71" i="2421"/>
  <c r="ID63" i="2421"/>
  <c r="ID55" i="2421"/>
  <c r="ID47" i="2421"/>
  <c r="ID110" i="2421"/>
  <c r="ID94" i="2421"/>
  <c r="ID83" i="2421"/>
  <c r="ID14" i="2421"/>
  <c r="ID22" i="2421"/>
  <c r="ID30" i="2421"/>
  <c r="ID38" i="2421"/>
  <c r="ID111" i="2421"/>
  <c r="ID95" i="2421"/>
  <c r="ID78" i="2421"/>
  <c r="ID70" i="2421"/>
  <c r="ID62" i="2421"/>
  <c r="ID54" i="2421"/>
  <c r="ID46" i="2421"/>
  <c r="ID108" i="2421"/>
  <c r="ID92" i="2421"/>
  <c r="ID15" i="2421"/>
  <c r="ID23" i="2421"/>
  <c r="ID31" i="2421"/>
  <c r="ID39" i="2421"/>
  <c r="ID109" i="2421"/>
  <c r="ID93" i="2421"/>
  <c r="ID77" i="2421"/>
  <c r="ID69" i="2421"/>
  <c r="ID61" i="2421"/>
  <c r="ID53" i="2421"/>
  <c r="ID45" i="2421"/>
  <c r="ID106" i="2421"/>
  <c r="ID90" i="2421"/>
  <c r="ID16" i="2421"/>
  <c r="ID24" i="2421"/>
  <c r="ID32" i="2421"/>
  <c r="ID40" i="2421"/>
  <c r="ID107" i="2421"/>
  <c r="ID91" i="2421"/>
  <c r="ID76" i="2421"/>
  <c r="ID68" i="2421"/>
  <c r="ID60" i="2421"/>
  <c r="ID52" i="2421"/>
  <c r="ID44" i="2421"/>
  <c r="ID104" i="2421"/>
  <c r="ID88" i="2421"/>
  <c r="ID17" i="2421"/>
  <c r="ID25" i="2421"/>
  <c r="ID33" i="2421"/>
  <c r="ID105" i="2421"/>
  <c r="ID89" i="2421"/>
  <c r="ID75" i="2421"/>
  <c r="ID67" i="2421"/>
  <c r="ID59" i="2421"/>
  <c r="ID51" i="2421"/>
  <c r="ID43" i="2421"/>
  <c r="ID102" i="2421"/>
  <c r="ID86" i="2421"/>
  <c r="ID18" i="2421"/>
  <c r="ID26" i="2421"/>
  <c r="ID34" i="2421"/>
  <c r="LN25" i="2421"/>
  <c r="LN27" i="2421"/>
  <c r="LN28" i="2421"/>
  <c r="LN18" i="2421"/>
  <c r="LN110" i="2421"/>
  <c r="LN102" i="2421"/>
  <c r="LN94" i="2421"/>
  <c r="LN86" i="2421"/>
  <c r="LN76" i="2421"/>
  <c r="LN68" i="2421"/>
  <c r="LN60" i="2421"/>
  <c r="LN54" i="2421"/>
  <c r="LN46" i="2421"/>
  <c r="LN38" i="2421"/>
  <c r="LN29" i="2421"/>
  <c r="LN19" i="2421"/>
  <c r="LN109" i="2421"/>
  <c r="LN101" i="2421"/>
  <c r="LN93" i="2421"/>
  <c r="LN85" i="2421"/>
  <c r="LN75" i="2421"/>
  <c r="LN67" i="2421"/>
  <c r="LN79" i="2421"/>
  <c r="LN53" i="2421"/>
  <c r="LN45" i="2421"/>
  <c r="LN37" i="2421"/>
  <c r="LN30" i="2421"/>
  <c r="LN20" i="2421"/>
  <c r="LN108" i="2421"/>
  <c r="LN100" i="2421"/>
  <c r="LN92" i="2421"/>
  <c r="LN84" i="2421"/>
  <c r="LN74" i="2421"/>
  <c r="LN66" i="2421"/>
  <c r="LN59" i="2421"/>
  <c r="LN52" i="2421"/>
  <c r="LN44" i="2421"/>
  <c r="LN36" i="2421"/>
  <c r="LN31" i="2421"/>
  <c r="LN21" i="2421"/>
  <c r="LN107" i="2421"/>
  <c r="LN99" i="2421"/>
  <c r="LN91" i="2421"/>
  <c r="LN83" i="2421"/>
  <c r="LN73" i="2421"/>
  <c r="LN65" i="2421"/>
  <c r="LN58" i="2421"/>
  <c r="LN51" i="2421"/>
  <c r="LN43" i="2421"/>
  <c r="LN35" i="2421"/>
  <c r="LN32" i="2421"/>
  <c r="LN33" i="2421"/>
  <c r="LN15" i="2421"/>
  <c r="LN23" i="2421"/>
  <c r="LN113" i="2421"/>
  <c r="LN105" i="2421"/>
  <c r="LN97" i="2421"/>
  <c r="LN89" i="2421"/>
  <c r="LN80" i="2421"/>
  <c r="LN71" i="2421"/>
  <c r="LN63" i="2421"/>
  <c r="LN81" i="2421"/>
  <c r="LN49" i="2421"/>
  <c r="LN41" i="2421"/>
  <c r="LN26" i="2421"/>
  <c r="LN16" i="2421"/>
  <c r="LN24" i="2421"/>
  <c r="LN112" i="2421"/>
  <c r="LN104" i="2421"/>
  <c r="LN96" i="2421"/>
  <c r="LN88" i="2421"/>
  <c r="LN78" i="2421"/>
  <c r="LN70" i="2421"/>
  <c r="LN62" i="2421"/>
  <c r="LN57" i="2421"/>
  <c r="LN48" i="2421"/>
  <c r="LN40" i="2421"/>
  <c r="LN95" i="2421"/>
  <c r="LN61" i="2421"/>
  <c r="LN90" i="2421"/>
  <c r="LN56" i="2421"/>
  <c r="LN87" i="2421"/>
  <c r="LN55" i="2421"/>
  <c r="LN14" i="2421"/>
  <c r="LN82" i="2421"/>
  <c r="LN50" i="2421"/>
  <c r="LN17" i="2421"/>
  <c r="LN111" i="2421"/>
  <c r="LN77" i="2421"/>
  <c r="LN47" i="2421"/>
  <c r="LN103" i="2421"/>
  <c r="LN69" i="2421"/>
  <c r="LN39" i="2421"/>
  <c r="LN98" i="2421"/>
  <c r="LN64" i="2421"/>
  <c r="LN34" i="2421"/>
  <c r="LN22" i="2421"/>
  <c r="LN106" i="2421"/>
  <c r="LN72" i="2421"/>
  <c r="LN42" i="2421"/>
  <c r="ME22" i="2421"/>
  <c r="ME14" i="2421"/>
  <c r="ME15" i="2421"/>
  <c r="ME16" i="2421"/>
  <c r="ME17" i="2421"/>
  <c r="ME19" i="2421"/>
  <c r="ME21" i="2421"/>
  <c r="ME109" i="2421"/>
  <c r="ME93" i="2421"/>
  <c r="ME77" i="2421"/>
  <c r="ME69" i="2421"/>
  <c r="ME61" i="2421"/>
  <c r="ME53" i="2421"/>
  <c r="ME98" i="2421"/>
  <c r="ME80" i="2421"/>
  <c r="ME48" i="2421"/>
  <c r="ME26" i="2421"/>
  <c r="ME34" i="2421"/>
  <c r="ME42" i="2421"/>
  <c r="ME107" i="2421"/>
  <c r="ME91" i="2421"/>
  <c r="ME76" i="2421"/>
  <c r="ME68" i="2421"/>
  <c r="ME60" i="2421"/>
  <c r="ME112" i="2421"/>
  <c r="ME96" i="2421"/>
  <c r="ME78" i="2421"/>
  <c r="ME46" i="2421"/>
  <c r="ME27" i="2421"/>
  <c r="ME35" i="2421"/>
  <c r="ME43" i="2421"/>
  <c r="ME105" i="2421"/>
  <c r="ME89" i="2421"/>
  <c r="ME75" i="2421"/>
  <c r="ME67" i="2421"/>
  <c r="ME59" i="2421"/>
  <c r="ME110" i="2421"/>
  <c r="ME94" i="2421"/>
  <c r="ME83" i="2421"/>
  <c r="ME44" i="2421"/>
  <c r="ME28" i="2421"/>
  <c r="ME36" i="2421"/>
  <c r="ME50" i="2421"/>
  <c r="ME103" i="2421"/>
  <c r="ME87" i="2421"/>
  <c r="ME74" i="2421"/>
  <c r="ME66" i="2421"/>
  <c r="ME58" i="2421"/>
  <c r="ME108" i="2421"/>
  <c r="ME92" i="2421"/>
  <c r="ME49" i="2421"/>
  <c r="ME29" i="2421"/>
  <c r="ME37" i="2421"/>
  <c r="ME101" i="2421"/>
  <c r="ME82" i="2421"/>
  <c r="ME73" i="2421"/>
  <c r="ME65" i="2421"/>
  <c r="ME57" i="2421"/>
  <c r="ME106" i="2421"/>
  <c r="ME90" i="2421"/>
  <c r="ME47" i="2421"/>
  <c r="ME30" i="2421"/>
  <c r="ME38" i="2421"/>
  <c r="ME99" i="2421"/>
  <c r="ME79" i="2421"/>
  <c r="ME72" i="2421"/>
  <c r="ME64" i="2421"/>
  <c r="ME56" i="2421"/>
  <c r="ME104" i="2421"/>
  <c r="ME88" i="2421"/>
  <c r="ME45" i="2421"/>
  <c r="ME23" i="2421"/>
  <c r="ME31" i="2421"/>
  <c r="ME39" i="2421"/>
  <c r="ME18" i="2421"/>
  <c r="ME113" i="2421"/>
  <c r="ME97" i="2421"/>
  <c r="ME85" i="2421"/>
  <c r="ME71" i="2421"/>
  <c r="ME63" i="2421"/>
  <c r="ME55" i="2421"/>
  <c r="ME102" i="2421"/>
  <c r="ME86" i="2421"/>
  <c r="ME52" i="2421"/>
  <c r="ME24" i="2421"/>
  <c r="ME32" i="2421"/>
  <c r="ME40" i="2421"/>
  <c r="ME20" i="2421"/>
  <c r="ME111" i="2421"/>
  <c r="ME95" i="2421"/>
  <c r="ME81" i="2421"/>
  <c r="ME70" i="2421"/>
  <c r="ME62" i="2421"/>
  <c r="ME54" i="2421"/>
  <c r="ME100" i="2421"/>
  <c r="ME84" i="2421"/>
  <c r="ME51" i="2421"/>
  <c r="ME25" i="2421"/>
  <c r="ME33" i="2421"/>
  <c r="ME41" i="2421"/>
  <c r="NV54" i="2421"/>
  <c r="NV34" i="2421"/>
  <c r="NV113" i="2421"/>
  <c r="NV105" i="2421"/>
  <c r="NV97" i="2421"/>
  <c r="NV89" i="2421"/>
  <c r="NV80" i="2421"/>
  <c r="NV38" i="2421"/>
  <c r="NV112" i="2421"/>
  <c r="NV104" i="2421"/>
  <c r="NV96" i="2421"/>
  <c r="NV88" i="2421"/>
  <c r="NV78" i="2421"/>
  <c r="NV42" i="2421"/>
  <c r="NV111" i="2421"/>
  <c r="NV103" i="2421"/>
  <c r="NV95" i="2421"/>
  <c r="NV87" i="2421"/>
  <c r="NV76" i="2421"/>
  <c r="NV46" i="2421"/>
  <c r="NV110" i="2421"/>
  <c r="NV102" i="2421"/>
  <c r="NV94" i="2421"/>
  <c r="NV86" i="2421"/>
  <c r="NV50" i="2421"/>
  <c r="NV109" i="2421"/>
  <c r="NV101" i="2421"/>
  <c r="NV93" i="2421"/>
  <c r="NV85" i="2421"/>
  <c r="NV108" i="2421"/>
  <c r="NV100" i="2421"/>
  <c r="NV92" i="2421"/>
  <c r="NV84" i="2421"/>
  <c r="NV107" i="2421"/>
  <c r="NV99" i="2421"/>
  <c r="NV91" i="2421"/>
  <c r="NV83" i="2421"/>
  <c r="NV90" i="2421"/>
  <c r="NV69" i="2421"/>
  <c r="NV79" i="2421"/>
  <c r="NV56" i="2421"/>
  <c r="NV25" i="2421"/>
  <c r="NV47" i="2421"/>
  <c r="NV14" i="2421"/>
  <c r="NV22" i="2421"/>
  <c r="NV82" i="2421"/>
  <c r="NV68" i="2421"/>
  <c r="NV57" i="2421"/>
  <c r="NV29" i="2421"/>
  <c r="NV26" i="2421"/>
  <c r="NV51" i="2421"/>
  <c r="NV15" i="2421"/>
  <c r="NV23" i="2421"/>
  <c r="NV75" i="2421"/>
  <c r="NV67" i="2421"/>
  <c r="NV55" i="2421"/>
  <c r="NV45" i="2421"/>
  <c r="NV27" i="2421"/>
  <c r="NV77" i="2421"/>
  <c r="NV16" i="2421"/>
  <c r="NV32" i="2421"/>
  <c r="NV74" i="2421"/>
  <c r="NV66" i="2421"/>
  <c r="NV81" i="2421"/>
  <c r="NV49" i="2421"/>
  <c r="NV28" i="2421"/>
  <c r="NV33" i="2421"/>
  <c r="NV17" i="2421"/>
  <c r="NV36" i="2421"/>
  <c r="NV30" i="2421"/>
  <c r="NV73" i="2421"/>
  <c r="NV65" i="2421"/>
  <c r="NV61" i="2421"/>
  <c r="NV53" i="2421"/>
  <c r="NV31" i="2421"/>
  <c r="NV37" i="2421"/>
  <c r="NV18" i="2421"/>
  <c r="NV40" i="2421"/>
  <c r="NV72" i="2421"/>
  <c r="NV64" i="2421"/>
  <c r="NV60" i="2421"/>
  <c r="NV35" i="2421"/>
  <c r="NV41" i="2421"/>
  <c r="NV19" i="2421"/>
  <c r="NV44" i="2421"/>
  <c r="NV106" i="2421"/>
  <c r="NV20" i="2421"/>
  <c r="NV98" i="2421"/>
  <c r="NV21" i="2421"/>
  <c r="NV71" i="2421"/>
  <c r="NV48" i="2421"/>
  <c r="NV70" i="2421"/>
  <c r="NV24" i="2421"/>
  <c r="NV52" i="2421"/>
  <c r="NV63" i="2421"/>
  <c r="NV39" i="2421"/>
  <c r="NV62" i="2421"/>
  <c r="NV43" i="2421"/>
  <c r="NV59" i="2421"/>
  <c r="NV58" i="2421"/>
  <c r="JH101" i="2421"/>
  <c r="JH82" i="2421"/>
  <c r="JH71" i="2421"/>
  <c r="JH63" i="2421"/>
  <c r="JH112" i="2421"/>
  <c r="JH96" i="2421"/>
  <c r="JH79" i="2421"/>
  <c r="JH19" i="2421"/>
  <c r="JH27" i="2421"/>
  <c r="JH35" i="2421"/>
  <c r="JH43" i="2421"/>
  <c r="JH51" i="2421"/>
  <c r="JH99" i="2421"/>
  <c r="JH80" i="2421"/>
  <c r="JH70" i="2421"/>
  <c r="JH62" i="2421"/>
  <c r="JH110" i="2421"/>
  <c r="JH94" i="2421"/>
  <c r="JH77" i="2421"/>
  <c r="JH20" i="2421"/>
  <c r="JH28" i="2421"/>
  <c r="JH36" i="2421"/>
  <c r="JH44" i="2421"/>
  <c r="JH53" i="2421"/>
  <c r="JH113" i="2421"/>
  <c r="JH97" i="2421"/>
  <c r="JH78" i="2421"/>
  <c r="JH69" i="2421"/>
  <c r="JH61" i="2421"/>
  <c r="JH108" i="2421"/>
  <c r="JH92" i="2421"/>
  <c r="JH83" i="2421"/>
  <c r="JH52" i="2421"/>
  <c r="JH21" i="2421"/>
  <c r="JH29" i="2421"/>
  <c r="JH37" i="2421"/>
  <c r="JH45" i="2421"/>
  <c r="JH54" i="2421"/>
  <c r="JH111" i="2421"/>
  <c r="JH95" i="2421"/>
  <c r="JH76" i="2421"/>
  <c r="JH68" i="2421"/>
  <c r="JH60" i="2421"/>
  <c r="JH106" i="2421"/>
  <c r="JH90" i="2421"/>
  <c r="JH14" i="2421"/>
  <c r="JH22" i="2421"/>
  <c r="JH30" i="2421"/>
  <c r="JH38" i="2421"/>
  <c r="JH46" i="2421"/>
  <c r="JH109" i="2421"/>
  <c r="JH93" i="2421"/>
  <c r="JH75" i="2421"/>
  <c r="JH67" i="2421"/>
  <c r="JH59" i="2421"/>
  <c r="JH104" i="2421"/>
  <c r="JH88" i="2421"/>
  <c r="JH15" i="2421"/>
  <c r="JH23" i="2421"/>
  <c r="JH31" i="2421"/>
  <c r="JH39" i="2421"/>
  <c r="JH47" i="2421"/>
  <c r="JH105" i="2421"/>
  <c r="JH89" i="2421"/>
  <c r="JH73" i="2421"/>
  <c r="JH65" i="2421"/>
  <c r="JH57" i="2421"/>
  <c r="JH100" i="2421"/>
  <c r="JH84" i="2421"/>
  <c r="JH17" i="2421"/>
  <c r="JH25" i="2421"/>
  <c r="JH33" i="2421"/>
  <c r="JH41" i="2421"/>
  <c r="JH49" i="2421"/>
  <c r="JH103" i="2421"/>
  <c r="JH87" i="2421"/>
  <c r="JH72" i="2421"/>
  <c r="JH64" i="2421"/>
  <c r="JH85" i="2421"/>
  <c r="JH98" i="2421"/>
  <c r="JH81" i="2421"/>
  <c r="JH18" i="2421"/>
  <c r="JH107" i="2421"/>
  <c r="JH32" i="2421"/>
  <c r="JH91" i="2421"/>
  <c r="JH34" i="2421"/>
  <c r="JH74" i="2421"/>
  <c r="JH40" i="2421"/>
  <c r="JH66" i="2421"/>
  <c r="JH42" i="2421"/>
  <c r="JH58" i="2421"/>
  <c r="JH48" i="2421"/>
  <c r="JH102" i="2421"/>
  <c r="JH16" i="2421"/>
  <c r="JH50" i="2421"/>
  <c r="JH86" i="2421"/>
  <c r="JH24" i="2421"/>
  <c r="JH55" i="2421"/>
  <c r="JH26" i="2421"/>
  <c r="JH56" i="2421"/>
  <c r="QS59" i="2421"/>
  <c r="QS31" i="2421"/>
  <c r="QS30" i="2421"/>
  <c r="QS15" i="2421"/>
  <c r="QS36" i="2421"/>
  <c r="QS112" i="2421"/>
  <c r="QS104" i="2421"/>
  <c r="QS92" i="2421"/>
  <c r="QS82" i="2421"/>
  <c r="QS74" i="2421"/>
  <c r="QS66" i="2421"/>
  <c r="QS90" i="2421"/>
  <c r="QS28" i="2421"/>
  <c r="QS57" i="2421"/>
  <c r="QS91" i="2421"/>
  <c r="QS16" i="2421"/>
  <c r="QS40" i="2421"/>
  <c r="QS111" i="2421"/>
  <c r="QS103" i="2421"/>
  <c r="QS89" i="2421"/>
  <c r="QS81" i="2421"/>
  <c r="QS73" i="2421"/>
  <c r="QS65" i="2421"/>
  <c r="QS60" i="2421"/>
  <c r="QS21" i="2421"/>
  <c r="QS29" i="2421"/>
  <c r="QS34" i="2421"/>
  <c r="QS35" i="2421"/>
  <c r="QS17" i="2421"/>
  <c r="QS44" i="2421"/>
  <c r="QS110" i="2421"/>
  <c r="QS102" i="2421"/>
  <c r="QS97" i="2421"/>
  <c r="QS80" i="2421"/>
  <c r="QS72" i="2421"/>
  <c r="QS64" i="2421"/>
  <c r="QS58" i="2421"/>
  <c r="QS22" i="2421"/>
  <c r="QS33" i="2421"/>
  <c r="QS38" i="2421"/>
  <c r="QS39" i="2421"/>
  <c r="QS18" i="2421"/>
  <c r="QS48" i="2421"/>
  <c r="QS109" i="2421"/>
  <c r="QS101" i="2421"/>
  <c r="QS93" i="2421"/>
  <c r="QS79" i="2421"/>
  <c r="QS71" i="2421"/>
  <c r="QS63" i="2421"/>
  <c r="QS86" i="2421"/>
  <c r="QS23" i="2421"/>
  <c r="QS37" i="2421"/>
  <c r="QS42" i="2421"/>
  <c r="QS43" i="2421"/>
  <c r="QS19" i="2421"/>
  <c r="QS52" i="2421"/>
  <c r="QS108" i="2421"/>
  <c r="QS100" i="2421"/>
  <c r="QS88" i="2421"/>
  <c r="QS78" i="2421"/>
  <c r="QS70" i="2421"/>
  <c r="QS62" i="2421"/>
  <c r="QS24" i="2421"/>
  <c r="QS41" i="2421"/>
  <c r="QS46" i="2421"/>
  <c r="QS47" i="2421"/>
  <c r="QS20" i="2421"/>
  <c r="QS56" i="2421"/>
  <c r="QS107" i="2421"/>
  <c r="QS99" i="2421"/>
  <c r="QS85" i="2421"/>
  <c r="QS77" i="2421"/>
  <c r="QS69" i="2421"/>
  <c r="QS94" i="2421"/>
  <c r="QS25" i="2421"/>
  <c r="QS45" i="2421"/>
  <c r="QS50" i="2421"/>
  <c r="QS51" i="2421"/>
  <c r="QS98" i="2421"/>
  <c r="QS87" i="2421"/>
  <c r="QS49" i="2421"/>
  <c r="QS96" i="2421"/>
  <c r="QS95" i="2421"/>
  <c r="QS53" i="2421"/>
  <c r="QS84" i="2421"/>
  <c r="QS54" i="2421"/>
  <c r="QS32" i="2421"/>
  <c r="QS83" i="2421"/>
  <c r="QS76" i="2421"/>
  <c r="QS55" i="2421"/>
  <c r="QS113" i="2421"/>
  <c r="QS75" i="2421"/>
  <c r="QS61" i="2421"/>
  <c r="QS106" i="2421"/>
  <c r="QS68" i="2421"/>
  <c r="QS26" i="2421"/>
  <c r="QS14" i="2421"/>
  <c r="QS105" i="2421"/>
  <c r="QS67" i="2421"/>
  <c r="QS27" i="2421"/>
  <c r="FV19" i="2421"/>
  <c r="FV101" i="2421"/>
  <c r="FV84" i="2421"/>
  <c r="FV71" i="2421"/>
  <c r="FV63" i="2421"/>
  <c r="FV55" i="2421"/>
  <c r="FV100" i="2421"/>
  <c r="FV85" i="2421"/>
  <c r="FV51" i="2421"/>
  <c r="FV43" i="2421"/>
  <c r="FV35" i="2421"/>
  <c r="FV27" i="2421"/>
  <c r="FV99" i="2421"/>
  <c r="FV82" i="2421"/>
  <c r="FV70" i="2421"/>
  <c r="FV62" i="2421"/>
  <c r="FV54" i="2421"/>
  <c r="FV98" i="2421"/>
  <c r="FV83" i="2421"/>
  <c r="FV50" i="2421"/>
  <c r="FV42" i="2421"/>
  <c r="FV34" i="2421"/>
  <c r="FV26" i="2421"/>
  <c r="FV113" i="2421"/>
  <c r="FV97" i="2421"/>
  <c r="FV80" i="2421"/>
  <c r="FV69" i="2421"/>
  <c r="FV61" i="2421"/>
  <c r="FV112" i="2421"/>
  <c r="FV96" i="2421"/>
  <c r="FV81" i="2421"/>
  <c r="FV49" i="2421"/>
  <c r="FV41" i="2421"/>
  <c r="FV33" i="2421"/>
  <c r="FV25" i="2421"/>
  <c r="FV14" i="2421"/>
  <c r="FV111" i="2421"/>
  <c r="FV95" i="2421"/>
  <c r="FV78" i="2421"/>
  <c r="FV68" i="2421"/>
  <c r="FV60" i="2421"/>
  <c r="FV110" i="2421"/>
  <c r="FV94" i="2421"/>
  <c r="FV79" i="2421"/>
  <c r="FV48" i="2421"/>
  <c r="FV40" i="2421"/>
  <c r="FV32" i="2421"/>
  <c r="FV24" i="2421"/>
  <c r="FV15" i="2421"/>
  <c r="FV109" i="2421"/>
  <c r="FV93" i="2421"/>
  <c r="FV76" i="2421"/>
  <c r="FV67" i="2421"/>
  <c r="FV59" i="2421"/>
  <c r="FV108" i="2421"/>
  <c r="FV92" i="2421"/>
  <c r="FV77" i="2421"/>
  <c r="FV47" i="2421"/>
  <c r="FV39" i="2421"/>
  <c r="FV31" i="2421"/>
  <c r="FV23" i="2421"/>
  <c r="FV16" i="2421"/>
  <c r="FV107" i="2421"/>
  <c r="FV91" i="2421"/>
  <c r="FV74" i="2421"/>
  <c r="FV66" i="2421"/>
  <c r="FV58" i="2421"/>
  <c r="FV106" i="2421"/>
  <c r="FV90" i="2421"/>
  <c r="FV75" i="2421"/>
  <c r="FV46" i="2421"/>
  <c r="FV38" i="2421"/>
  <c r="FV30" i="2421"/>
  <c r="FV22" i="2421"/>
  <c r="FV73" i="2421"/>
  <c r="FV88" i="2421"/>
  <c r="FV29" i="2421"/>
  <c r="FV72" i="2421"/>
  <c r="FV86" i="2421"/>
  <c r="FV28" i="2421"/>
  <c r="FV65" i="2421"/>
  <c r="FV53" i="2421"/>
  <c r="FV21" i="2421"/>
  <c r="FV64" i="2421"/>
  <c r="FV52" i="2421"/>
  <c r="FV20" i="2421"/>
  <c r="FV105" i="2421"/>
  <c r="FV57" i="2421"/>
  <c r="FV45" i="2421"/>
  <c r="FV103" i="2421"/>
  <c r="FV56" i="2421"/>
  <c r="FV44" i="2421"/>
  <c r="FV17" i="2421"/>
  <c r="FV89" i="2421"/>
  <c r="FV104" i="2421"/>
  <c r="FV37" i="2421"/>
  <c r="FV18" i="2421"/>
  <c r="FV87" i="2421"/>
  <c r="FV102" i="2421"/>
  <c r="FV36" i="2421"/>
  <c r="GP84" i="2421"/>
  <c r="GP59" i="2421"/>
  <c r="GP99" i="2421"/>
  <c r="GP57" i="2421"/>
  <c r="GP29" i="2421"/>
  <c r="GP96" i="2421"/>
  <c r="GP83" i="2421"/>
  <c r="GP51" i="2421"/>
  <c r="GP104" i="2421"/>
  <c r="GP102" i="2421"/>
  <c r="GP97" i="2421"/>
  <c r="GP108" i="2421"/>
  <c r="GP75" i="2421"/>
  <c r="GO34" i="2421"/>
  <c r="GO39" i="2421"/>
  <c r="GO40" i="2421"/>
  <c r="GO94" i="2421"/>
  <c r="GO87" i="2421"/>
  <c r="GO58" i="2421"/>
  <c r="GO67" i="2421"/>
  <c r="GO70" i="2421"/>
  <c r="GO112" i="2421"/>
  <c r="GO109" i="2421"/>
  <c r="GO44" i="2421"/>
  <c r="RJ99" i="2421"/>
  <c r="RJ78" i="2421"/>
  <c r="RJ70" i="2421"/>
  <c r="RJ62" i="2421"/>
  <c r="RJ85" i="2421"/>
  <c r="RJ102" i="2421"/>
  <c r="RJ86" i="2421"/>
  <c r="RJ48" i="2421"/>
  <c r="RJ40" i="2421"/>
  <c r="RJ32" i="2421"/>
  <c r="RJ14" i="2421"/>
  <c r="RJ22" i="2421"/>
  <c r="RJ113" i="2421"/>
  <c r="RJ97" i="2421"/>
  <c r="RJ77" i="2421"/>
  <c r="RJ69" i="2421"/>
  <c r="RJ61" i="2421"/>
  <c r="RJ82" i="2421"/>
  <c r="RJ100" i="2421"/>
  <c r="RJ84" i="2421"/>
  <c r="RJ47" i="2421"/>
  <c r="RJ39" i="2421"/>
  <c r="RJ31" i="2421"/>
  <c r="RJ15" i="2421"/>
  <c r="RJ23" i="2421"/>
  <c r="RJ111" i="2421"/>
  <c r="RJ95" i="2421"/>
  <c r="RJ76" i="2421"/>
  <c r="RJ68" i="2421"/>
  <c r="RJ60" i="2421"/>
  <c r="RJ80" i="2421"/>
  <c r="RJ98" i="2421"/>
  <c r="RJ54" i="2421"/>
  <c r="RJ46" i="2421"/>
  <c r="RJ38" i="2421"/>
  <c r="RJ30" i="2421"/>
  <c r="RJ16" i="2421"/>
  <c r="RJ24" i="2421"/>
  <c r="RJ109" i="2421"/>
  <c r="RJ93" i="2421"/>
  <c r="RJ75" i="2421"/>
  <c r="RJ67" i="2421"/>
  <c r="RJ59" i="2421"/>
  <c r="RJ112" i="2421"/>
  <c r="RJ96" i="2421"/>
  <c r="RJ53" i="2421"/>
  <c r="RJ45" i="2421"/>
  <c r="RJ37" i="2421"/>
  <c r="RJ29" i="2421"/>
  <c r="RJ17" i="2421"/>
  <c r="RJ25" i="2421"/>
  <c r="RJ107" i="2421"/>
  <c r="RJ91" i="2421"/>
  <c r="RJ74" i="2421"/>
  <c r="RJ66" i="2421"/>
  <c r="RJ58" i="2421"/>
  <c r="RJ110" i="2421"/>
  <c r="RJ94" i="2421"/>
  <c r="RJ52" i="2421"/>
  <c r="RJ44" i="2421"/>
  <c r="RJ36" i="2421"/>
  <c r="RJ28" i="2421"/>
  <c r="RJ18" i="2421"/>
  <c r="RJ26" i="2421"/>
  <c r="RJ105" i="2421"/>
  <c r="RJ89" i="2421"/>
  <c r="RJ73" i="2421"/>
  <c r="RJ65" i="2421"/>
  <c r="RJ57" i="2421"/>
  <c r="RJ108" i="2421"/>
  <c r="RJ92" i="2421"/>
  <c r="RJ51" i="2421"/>
  <c r="RJ43" i="2421"/>
  <c r="RJ35" i="2421"/>
  <c r="RJ81" i="2421"/>
  <c r="RJ19" i="2421"/>
  <c r="RJ27" i="2421"/>
  <c r="RJ72" i="2421"/>
  <c r="RJ90" i="2421"/>
  <c r="RJ83" i="2421"/>
  <c r="RJ71" i="2421"/>
  <c r="RJ88" i="2421"/>
  <c r="RJ64" i="2421"/>
  <c r="RJ50" i="2421"/>
  <c r="RJ63" i="2421"/>
  <c r="RJ49" i="2421"/>
  <c r="RJ103" i="2421"/>
  <c r="RJ56" i="2421"/>
  <c r="RJ42" i="2421"/>
  <c r="RJ101" i="2421"/>
  <c r="RJ55" i="2421"/>
  <c r="RJ41" i="2421"/>
  <c r="RJ87" i="2421"/>
  <c r="RJ106" i="2421"/>
  <c r="RJ34" i="2421"/>
  <c r="RJ20" i="2421"/>
  <c r="RJ21" i="2421"/>
  <c r="RJ79" i="2421"/>
  <c r="RJ104" i="2421"/>
  <c r="RJ33" i="2421"/>
  <c r="MJ102" i="2421"/>
  <c r="MJ91" i="2421"/>
  <c r="MJ55" i="2421"/>
  <c r="MJ31" i="2421"/>
  <c r="MJ107" i="2421"/>
  <c r="MJ85" i="2421"/>
  <c r="MJ87" i="2421"/>
  <c r="MJ96" i="2421"/>
  <c r="MJ92" i="2421"/>
  <c r="MJ50" i="2421"/>
  <c r="MJ52" i="2421"/>
  <c r="MI58" i="2421"/>
  <c r="MI65" i="2421"/>
  <c r="MI101" i="2421"/>
  <c r="MI79" i="2421"/>
  <c r="MI107" i="2421"/>
  <c r="MI43" i="2421"/>
  <c r="MI88" i="2421"/>
  <c r="MI102" i="2421"/>
  <c r="MI59" i="2421"/>
  <c r="MI25" i="2421"/>
  <c r="MI111" i="2421"/>
  <c r="EC109" i="2421"/>
  <c r="EC93" i="2421"/>
  <c r="EC85" i="2421"/>
  <c r="EC98" i="2421"/>
  <c r="EC81" i="2421"/>
  <c r="EC64" i="2421"/>
  <c r="EC71" i="2421"/>
  <c r="EC54" i="2421"/>
  <c r="EC46" i="2421"/>
  <c r="EC38" i="2421"/>
  <c r="EC30" i="2421"/>
  <c r="EC22" i="2421"/>
  <c r="EC14" i="2421"/>
  <c r="EC58" i="2421"/>
  <c r="EC107" i="2421"/>
  <c r="EC91" i="2421"/>
  <c r="EC112" i="2421"/>
  <c r="EC96" i="2421"/>
  <c r="EC79" i="2421"/>
  <c r="EC62" i="2421"/>
  <c r="EC69" i="2421"/>
  <c r="EC53" i="2421"/>
  <c r="EC45" i="2421"/>
  <c r="EC37" i="2421"/>
  <c r="EC29" i="2421"/>
  <c r="EC21" i="2421"/>
  <c r="EC105" i="2421"/>
  <c r="EC89" i="2421"/>
  <c r="EC110" i="2421"/>
  <c r="EC94" i="2421"/>
  <c r="EC77" i="2421"/>
  <c r="EC60" i="2421"/>
  <c r="EC67" i="2421"/>
  <c r="EC52" i="2421"/>
  <c r="EC44" i="2421"/>
  <c r="EC36" i="2421"/>
  <c r="EC28" i="2421"/>
  <c r="EC20" i="2421"/>
  <c r="EC103" i="2421"/>
  <c r="EC87" i="2421"/>
  <c r="EC108" i="2421"/>
  <c r="EC92" i="2421"/>
  <c r="EC74" i="2421"/>
  <c r="EC57" i="2421"/>
  <c r="EC65" i="2421"/>
  <c r="EC51" i="2421"/>
  <c r="EC43" i="2421"/>
  <c r="EC35" i="2421"/>
  <c r="EC27" i="2421"/>
  <c r="EC19" i="2421"/>
  <c r="EC101" i="2421"/>
  <c r="EC82" i="2421"/>
  <c r="EC106" i="2421"/>
  <c r="EC90" i="2421"/>
  <c r="EC72" i="2421"/>
  <c r="EC55" i="2421"/>
  <c r="EC63" i="2421"/>
  <c r="EC50" i="2421"/>
  <c r="EC42" i="2421"/>
  <c r="EC34" i="2421"/>
  <c r="EC26" i="2421"/>
  <c r="EC18" i="2421"/>
  <c r="EC99" i="2421"/>
  <c r="EC80" i="2421"/>
  <c r="EC104" i="2421"/>
  <c r="EC88" i="2421"/>
  <c r="EC70" i="2421"/>
  <c r="EC83" i="2421"/>
  <c r="EC61" i="2421"/>
  <c r="EC49" i="2421"/>
  <c r="EC41" i="2421"/>
  <c r="EC33" i="2421"/>
  <c r="EC25" i="2421"/>
  <c r="EC17" i="2421"/>
  <c r="EC97" i="2421"/>
  <c r="EC68" i="2421"/>
  <c r="EC40" i="2421"/>
  <c r="EC95" i="2421"/>
  <c r="EC66" i="2421"/>
  <c r="EC39" i="2421"/>
  <c r="EC78" i="2421"/>
  <c r="EC75" i="2421"/>
  <c r="EC32" i="2421"/>
  <c r="EC76" i="2421"/>
  <c r="EC73" i="2421"/>
  <c r="EC31" i="2421"/>
  <c r="EC102" i="2421"/>
  <c r="EC59" i="2421"/>
  <c r="EC24" i="2421"/>
  <c r="EC100" i="2421"/>
  <c r="EC56" i="2421"/>
  <c r="EC23" i="2421"/>
  <c r="EC113" i="2421"/>
  <c r="EC86" i="2421"/>
  <c r="EC48" i="2421"/>
  <c r="EC16" i="2421"/>
  <c r="EC111" i="2421"/>
  <c r="EC84" i="2421"/>
  <c r="EC47" i="2421"/>
  <c r="EC15" i="2421"/>
  <c r="QF54" i="2421"/>
  <c r="QF21" i="2421"/>
  <c r="QF29" i="2421"/>
  <c r="QF37" i="2421"/>
  <c r="QF45" i="2421"/>
  <c r="QF53" i="2421"/>
  <c r="QF111" i="2421"/>
  <c r="QF95" i="2421"/>
  <c r="QF74" i="2421"/>
  <c r="QF66" i="2421"/>
  <c r="QF58" i="2421"/>
  <c r="QF112" i="2421"/>
  <c r="QF96" i="2421"/>
  <c r="QF80" i="2421"/>
  <c r="QF14" i="2421"/>
  <c r="QF22" i="2421"/>
  <c r="QF30" i="2421"/>
  <c r="QF38" i="2421"/>
  <c r="QF46" i="2421"/>
  <c r="QF109" i="2421"/>
  <c r="QF93" i="2421"/>
  <c r="QF73" i="2421"/>
  <c r="QF65" i="2421"/>
  <c r="QF57" i="2421"/>
  <c r="QF110" i="2421"/>
  <c r="QF94" i="2421"/>
  <c r="QF78" i="2421"/>
  <c r="QF15" i="2421"/>
  <c r="QF23" i="2421"/>
  <c r="QF31" i="2421"/>
  <c r="QF39" i="2421"/>
  <c r="QF47" i="2421"/>
  <c r="QF107" i="2421"/>
  <c r="QF91" i="2421"/>
  <c r="QF72" i="2421"/>
  <c r="QF64" i="2421"/>
  <c r="QF56" i="2421"/>
  <c r="QF108" i="2421"/>
  <c r="QF92" i="2421"/>
  <c r="QF16" i="2421"/>
  <c r="QF24" i="2421"/>
  <c r="QF32" i="2421"/>
  <c r="QF40" i="2421"/>
  <c r="QF48" i="2421"/>
  <c r="QF105" i="2421"/>
  <c r="QF89" i="2421"/>
  <c r="QF71" i="2421"/>
  <c r="QF63" i="2421"/>
  <c r="QF55" i="2421"/>
  <c r="QF106" i="2421"/>
  <c r="QF90" i="2421"/>
  <c r="QF17" i="2421"/>
  <c r="QF25" i="2421"/>
  <c r="QF33" i="2421"/>
  <c r="QF41" i="2421"/>
  <c r="QF49" i="2421"/>
  <c r="QF103" i="2421"/>
  <c r="QF87" i="2421"/>
  <c r="QF70" i="2421"/>
  <c r="QF62" i="2421"/>
  <c r="QF85" i="2421"/>
  <c r="QF104" i="2421"/>
  <c r="QF88" i="2421"/>
  <c r="QF18" i="2421"/>
  <c r="QF26" i="2421"/>
  <c r="QF34" i="2421"/>
  <c r="QF42" i="2421"/>
  <c r="QF50" i="2421"/>
  <c r="QF101" i="2421"/>
  <c r="QF82" i="2421"/>
  <c r="QF69" i="2421"/>
  <c r="QF61" i="2421"/>
  <c r="QF81" i="2421"/>
  <c r="QF102" i="2421"/>
  <c r="QF86" i="2421"/>
  <c r="QF27" i="2421"/>
  <c r="QF99" i="2421"/>
  <c r="QF79" i="2421"/>
  <c r="QF28" i="2421"/>
  <c r="QF97" i="2421"/>
  <c r="QF77" i="2421"/>
  <c r="QF35" i="2421"/>
  <c r="QF76" i="2421"/>
  <c r="QF100" i="2421"/>
  <c r="QF36" i="2421"/>
  <c r="QF75" i="2421"/>
  <c r="QF98" i="2421"/>
  <c r="QF43" i="2421"/>
  <c r="QF68" i="2421"/>
  <c r="QF84" i="2421"/>
  <c r="QF44" i="2421"/>
  <c r="QF67" i="2421"/>
  <c r="QF83" i="2421"/>
  <c r="QF19" i="2421"/>
  <c r="QF51" i="2421"/>
  <c r="QF60" i="2421"/>
  <c r="QF20" i="2421"/>
  <c r="QF52" i="2421"/>
  <c r="QF113" i="2421"/>
  <c r="QF59" i="2421"/>
  <c r="KI20" i="2421"/>
  <c r="KI17" i="2421"/>
  <c r="KI19" i="2421"/>
  <c r="KI18" i="2421"/>
  <c r="KI14" i="2421"/>
  <c r="KI16" i="2421"/>
  <c r="KI15" i="2421"/>
  <c r="KI21" i="2421"/>
  <c r="KO107" i="2421"/>
  <c r="KO99" i="2421"/>
  <c r="KO91" i="2421"/>
  <c r="KO83" i="2421"/>
  <c r="KO75" i="2421"/>
  <c r="KI106" i="2421"/>
  <c r="KI98" i="2421"/>
  <c r="KI90" i="2421"/>
  <c r="KI77" i="2421"/>
  <c r="KI68" i="2421"/>
  <c r="KI60" i="2421"/>
  <c r="KI78" i="2421"/>
  <c r="KO68" i="2421"/>
  <c r="KO60" i="2421"/>
  <c r="KO52" i="2421"/>
  <c r="KO44" i="2421"/>
  <c r="KO26" i="2421"/>
  <c r="KO34" i="2421"/>
  <c r="KQ34" i="2421" s="1"/>
  <c r="KI41" i="2421"/>
  <c r="KI49" i="2421"/>
  <c r="KI29" i="2421"/>
  <c r="KI37" i="2421"/>
  <c r="KO106" i="2421"/>
  <c r="KO98" i="2421"/>
  <c r="KO90" i="2421"/>
  <c r="KO82" i="2421"/>
  <c r="KI113" i="2421"/>
  <c r="KI105" i="2421"/>
  <c r="KI97" i="2421"/>
  <c r="KI89" i="2421"/>
  <c r="KI75" i="2421"/>
  <c r="KI67" i="2421"/>
  <c r="KI59" i="2421"/>
  <c r="KI76" i="2421"/>
  <c r="KO67" i="2421"/>
  <c r="KO59" i="2421"/>
  <c r="KO51" i="2421"/>
  <c r="KO43" i="2421"/>
  <c r="KO39" i="2421"/>
  <c r="KO16" i="2421"/>
  <c r="KO20" i="2421"/>
  <c r="KO27" i="2421"/>
  <c r="KO35" i="2421"/>
  <c r="KQ35" i="2421" s="1"/>
  <c r="KI42" i="2421"/>
  <c r="KI50" i="2421"/>
  <c r="KI22" i="2421"/>
  <c r="KI30" i="2421"/>
  <c r="KI38" i="2421"/>
  <c r="KO113" i="2421"/>
  <c r="KO105" i="2421"/>
  <c r="KO97" i="2421"/>
  <c r="KO89" i="2421"/>
  <c r="KO81" i="2421"/>
  <c r="KI112" i="2421"/>
  <c r="KI104" i="2421"/>
  <c r="KI96" i="2421"/>
  <c r="KI88" i="2421"/>
  <c r="KI74" i="2421"/>
  <c r="KI66" i="2421"/>
  <c r="KI58" i="2421"/>
  <c r="KO74" i="2421"/>
  <c r="KO66" i="2421"/>
  <c r="KO58" i="2421"/>
  <c r="KO50" i="2421"/>
  <c r="KO42" i="2421"/>
  <c r="KO28" i="2421"/>
  <c r="KO36" i="2421"/>
  <c r="KI43" i="2421"/>
  <c r="KI51" i="2421"/>
  <c r="KI23" i="2421"/>
  <c r="KI31" i="2421"/>
  <c r="KI39" i="2421"/>
  <c r="KO112" i="2421"/>
  <c r="KO104" i="2421"/>
  <c r="KO96" i="2421"/>
  <c r="KO88" i="2421"/>
  <c r="KO80" i="2421"/>
  <c r="KI111" i="2421"/>
  <c r="KI103" i="2421"/>
  <c r="KI95" i="2421"/>
  <c r="KI87" i="2421"/>
  <c r="KI73" i="2421"/>
  <c r="KI65" i="2421"/>
  <c r="KI57" i="2421"/>
  <c r="KO73" i="2421"/>
  <c r="KO65" i="2421"/>
  <c r="KO57" i="2421"/>
  <c r="KO49" i="2421"/>
  <c r="KO41" i="2421"/>
  <c r="KO17" i="2421"/>
  <c r="KO21" i="2421"/>
  <c r="KQ21" i="2421" s="1"/>
  <c r="KO29" i="2421"/>
  <c r="KO37" i="2421"/>
  <c r="KI44" i="2421"/>
  <c r="KI52" i="2421"/>
  <c r="KI24" i="2421"/>
  <c r="KI32" i="2421"/>
  <c r="KO111" i="2421"/>
  <c r="KO103" i="2421"/>
  <c r="KO95" i="2421"/>
  <c r="KO87" i="2421"/>
  <c r="KO79" i="2421"/>
  <c r="KI110" i="2421"/>
  <c r="KI102" i="2421"/>
  <c r="KI94" i="2421"/>
  <c r="KI86" i="2421"/>
  <c r="KI72" i="2421"/>
  <c r="KI64" i="2421"/>
  <c r="KI85" i="2421"/>
  <c r="KO72" i="2421"/>
  <c r="KO64" i="2421"/>
  <c r="KO56" i="2421"/>
  <c r="KO48" i="2421"/>
  <c r="KO40" i="2421"/>
  <c r="KO22" i="2421"/>
  <c r="KQ22" i="2421" s="1"/>
  <c r="KO30" i="2421"/>
  <c r="KO38" i="2421"/>
  <c r="KI45" i="2421"/>
  <c r="KI53" i="2421"/>
  <c r="KI25" i="2421"/>
  <c r="KI33" i="2421"/>
  <c r="KO109" i="2421"/>
  <c r="KO101" i="2421"/>
  <c r="KO93" i="2421"/>
  <c r="KO85" i="2421"/>
  <c r="KO77" i="2421"/>
  <c r="KI108" i="2421"/>
  <c r="KI100" i="2421"/>
  <c r="KI92" i="2421"/>
  <c r="KI81" i="2421"/>
  <c r="KI70" i="2421"/>
  <c r="KI62" i="2421"/>
  <c r="KI82" i="2421"/>
  <c r="KO70" i="2421"/>
  <c r="KO62" i="2421"/>
  <c r="KO54" i="2421"/>
  <c r="KO46" i="2421"/>
  <c r="KO24" i="2421"/>
  <c r="KO32" i="2421"/>
  <c r="KQ32" i="2421" s="1"/>
  <c r="KI47" i="2421"/>
  <c r="KI55" i="2421"/>
  <c r="KI27" i="2421"/>
  <c r="KI35" i="2421"/>
  <c r="KO108" i="2421"/>
  <c r="KO100" i="2421"/>
  <c r="KO92" i="2421"/>
  <c r="KO84" i="2421"/>
  <c r="KO76" i="2421"/>
  <c r="KI107" i="2421"/>
  <c r="KI99" i="2421"/>
  <c r="KI91" i="2421"/>
  <c r="KI79" i="2421"/>
  <c r="KI69" i="2421"/>
  <c r="KI61" i="2421"/>
  <c r="KI80" i="2421"/>
  <c r="KO69" i="2421"/>
  <c r="KO61" i="2421"/>
  <c r="KO53" i="2421"/>
  <c r="KO45" i="2421"/>
  <c r="KO15" i="2421"/>
  <c r="KO19" i="2421"/>
  <c r="KO25" i="2421"/>
  <c r="KO33" i="2421"/>
  <c r="KQ33" i="2421" s="1"/>
  <c r="KI48" i="2421"/>
  <c r="KI56" i="2421"/>
  <c r="KI28" i="2421"/>
  <c r="KI36" i="2421"/>
  <c r="KI101" i="2421"/>
  <c r="KO55" i="2421"/>
  <c r="KO23" i="2421"/>
  <c r="KI26" i="2421"/>
  <c r="KI93" i="2421"/>
  <c r="KO47" i="2421"/>
  <c r="KO31" i="2421"/>
  <c r="KI34" i="2421"/>
  <c r="KO110" i="2421"/>
  <c r="KI83" i="2421"/>
  <c r="KI40" i="2421"/>
  <c r="KO102" i="2421"/>
  <c r="KI71" i="2421"/>
  <c r="KO94" i="2421"/>
  <c r="KI63" i="2421"/>
  <c r="KO86" i="2421"/>
  <c r="KI84" i="2421"/>
  <c r="KO78" i="2421"/>
  <c r="KO71" i="2421"/>
  <c r="KO14" i="2421"/>
  <c r="KI46" i="2421"/>
  <c r="KI109" i="2421"/>
  <c r="KO63" i="2421"/>
  <c r="KO18" i="2421"/>
  <c r="KI54" i="2421"/>
  <c r="GP79" i="2421"/>
  <c r="GP103" i="2421"/>
  <c r="GP49" i="2421"/>
  <c r="GP78" i="2421"/>
  <c r="GP61" i="2421"/>
  <c r="GP71" i="2421"/>
  <c r="GP80" i="2421"/>
  <c r="GP113" i="2421"/>
  <c r="GP30" i="2421"/>
  <c r="GP63" i="2421"/>
  <c r="GP54" i="2421"/>
  <c r="GP44" i="2421"/>
  <c r="GO102" i="2421"/>
  <c r="GO55" i="2421"/>
  <c r="GO69" i="2421"/>
  <c r="GO68" i="2421"/>
  <c r="GO93" i="2421"/>
  <c r="GO38" i="2421"/>
  <c r="GO57" i="2421"/>
  <c r="GO66" i="2421"/>
  <c r="GO46" i="2421"/>
  <c r="GO36" i="2421"/>
  <c r="GO84" i="2421"/>
  <c r="GO33" i="2421"/>
  <c r="MJ101" i="2421"/>
  <c r="MJ63" i="2421"/>
  <c r="MJ53" i="2421"/>
  <c r="MJ83" i="2421"/>
  <c r="MJ77" i="2421"/>
  <c r="MJ41" i="2421"/>
  <c r="MJ94" i="2421"/>
  <c r="MJ69" i="2421"/>
  <c r="MJ29" i="2421"/>
  <c r="MJ73" i="2421"/>
  <c r="MJ78" i="2421"/>
  <c r="MJ67" i="2421"/>
  <c r="MJ28" i="2421"/>
  <c r="MI38" i="2421"/>
  <c r="MI47" i="2421"/>
  <c r="MI48" i="2421"/>
  <c r="MI104" i="2421"/>
  <c r="MI49" i="2421"/>
  <c r="MI24" i="2421"/>
  <c r="MI39" i="2421"/>
  <c r="MI84" i="2421"/>
  <c r="MI32" i="2421"/>
  <c r="MI53" i="2421"/>
  <c r="MI113" i="2421"/>
  <c r="GK14" i="2421"/>
  <c r="GK99" i="2421"/>
  <c r="GK76" i="2421"/>
  <c r="GK68" i="2421"/>
  <c r="GK60" i="2421"/>
  <c r="GK79" i="2421"/>
  <c r="GK100" i="2421"/>
  <c r="GK84" i="2421"/>
  <c r="GK47" i="2421"/>
  <c r="GK39" i="2421"/>
  <c r="GK31" i="2421"/>
  <c r="GK23" i="2421"/>
  <c r="GK15" i="2421"/>
  <c r="GK113" i="2421"/>
  <c r="GK97" i="2421"/>
  <c r="GK75" i="2421"/>
  <c r="GK67" i="2421"/>
  <c r="GK59" i="2421"/>
  <c r="GK77" i="2421"/>
  <c r="GK98" i="2421"/>
  <c r="GK54" i="2421"/>
  <c r="GK46" i="2421"/>
  <c r="GK38" i="2421"/>
  <c r="GK30" i="2421"/>
  <c r="GK22" i="2421"/>
  <c r="GK78" i="2421"/>
  <c r="GK111" i="2421"/>
  <c r="GK95" i="2421"/>
  <c r="GK74" i="2421"/>
  <c r="GK66" i="2421"/>
  <c r="GK58" i="2421"/>
  <c r="GK112" i="2421"/>
  <c r="GK96" i="2421"/>
  <c r="GK53" i="2421"/>
  <c r="GK45" i="2421"/>
  <c r="GK37" i="2421"/>
  <c r="GK29" i="2421"/>
  <c r="GK21" i="2421"/>
  <c r="GK83" i="2421"/>
  <c r="GK109" i="2421"/>
  <c r="GK93" i="2421"/>
  <c r="GK73" i="2421"/>
  <c r="GK65" i="2421"/>
  <c r="GK57" i="2421"/>
  <c r="GK110" i="2421"/>
  <c r="GK94" i="2421"/>
  <c r="GK52" i="2421"/>
  <c r="GK44" i="2421"/>
  <c r="GK36" i="2421"/>
  <c r="GK28" i="2421"/>
  <c r="GK20" i="2421"/>
  <c r="GK80" i="2421"/>
  <c r="GK107" i="2421"/>
  <c r="GK91" i="2421"/>
  <c r="GK72" i="2421"/>
  <c r="GK64" i="2421"/>
  <c r="GK56" i="2421"/>
  <c r="GK108" i="2421"/>
  <c r="GK92" i="2421"/>
  <c r="GK51" i="2421"/>
  <c r="GK43" i="2421"/>
  <c r="GK35" i="2421"/>
  <c r="GK27" i="2421"/>
  <c r="GK19" i="2421"/>
  <c r="GK105" i="2421"/>
  <c r="GK89" i="2421"/>
  <c r="GK71" i="2421"/>
  <c r="GK63" i="2421"/>
  <c r="GK55" i="2421"/>
  <c r="GK106" i="2421"/>
  <c r="GK90" i="2421"/>
  <c r="GK50" i="2421"/>
  <c r="GK42" i="2421"/>
  <c r="GK34" i="2421"/>
  <c r="GK26" i="2421"/>
  <c r="GK18" i="2421"/>
  <c r="GK103" i="2421"/>
  <c r="GK85" i="2421"/>
  <c r="GK41" i="2421"/>
  <c r="GK101" i="2421"/>
  <c r="GK81" i="2421"/>
  <c r="GK40" i="2421"/>
  <c r="GK87" i="2421"/>
  <c r="GK104" i="2421"/>
  <c r="GK33" i="2421"/>
  <c r="GK82" i="2421"/>
  <c r="GK102" i="2421"/>
  <c r="GK32" i="2421"/>
  <c r="GK70" i="2421"/>
  <c r="GK88" i="2421"/>
  <c r="GK25" i="2421"/>
  <c r="GK69" i="2421"/>
  <c r="GK86" i="2421"/>
  <c r="GK24" i="2421"/>
  <c r="GK62" i="2421"/>
  <c r="GK49" i="2421"/>
  <c r="GK17" i="2421"/>
  <c r="GK61" i="2421"/>
  <c r="GK48" i="2421"/>
  <c r="GK16" i="2421"/>
  <c r="MT91" i="2421"/>
  <c r="MT96" i="2421"/>
  <c r="MT87" i="2421"/>
  <c r="MT19" i="2421"/>
  <c r="MT27" i="2421"/>
  <c r="MT35" i="2421"/>
  <c r="MT43" i="2421"/>
  <c r="MT99" i="2421"/>
  <c r="MT110" i="2421"/>
  <c r="MT92" i="2421"/>
  <c r="MT79" i="2421"/>
  <c r="MT71" i="2421"/>
  <c r="MT63" i="2421"/>
  <c r="MT55" i="2421"/>
  <c r="MT20" i="2421"/>
  <c r="MT28" i="2421"/>
  <c r="MT36" i="2421"/>
  <c r="MT44" i="2421"/>
  <c r="MT113" i="2421"/>
  <c r="MT97" i="2421"/>
  <c r="MT108" i="2421"/>
  <c r="MT88" i="2421"/>
  <c r="MT78" i="2421"/>
  <c r="MT70" i="2421"/>
  <c r="MT62" i="2421"/>
  <c r="MT54" i="2421"/>
  <c r="MT21" i="2421"/>
  <c r="MT29" i="2421"/>
  <c r="MT37" i="2421"/>
  <c r="MT45" i="2421"/>
  <c r="MT111" i="2421"/>
  <c r="MT90" i="2421"/>
  <c r="MT106" i="2421"/>
  <c r="MT85" i="2421"/>
  <c r="MT77" i="2421"/>
  <c r="MT69" i="2421"/>
  <c r="MT61" i="2421"/>
  <c r="MT53" i="2421"/>
  <c r="MT14" i="2421"/>
  <c r="MT22" i="2421"/>
  <c r="MT30" i="2421"/>
  <c r="MT38" i="2421"/>
  <c r="MT46" i="2421"/>
  <c r="MT109" i="2421"/>
  <c r="MT86" i="2421"/>
  <c r="MT104" i="2421"/>
  <c r="MT84" i="2421"/>
  <c r="MT76" i="2421"/>
  <c r="MT68" i="2421"/>
  <c r="MT60" i="2421"/>
  <c r="MT52" i="2421"/>
  <c r="MT15" i="2421"/>
  <c r="MT23" i="2421"/>
  <c r="MT31" i="2421"/>
  <c r="MT39" i="2421"/>
  <c r="MT47" i="2421"/>
  <c r="MT107" i="2421"/>
  <c r="MT94" i="2421"/>
  <c r="MT102" i="2421"/>
  <c r="MT83" i="2421"/>
  <c r="MT75" i="2421"/>
  <c r="MT67" i="2421"/>
  <c r="MT59" i="2421"/>
  <c r="MT51" i="2421"/>
  <c r="MT16" i="2421"/>
  <c r="MT24" i="2421"/>
  <c r="MT32" i="2421"/>
  <c r="MT40" i="2421"/>
  <c r="MT48" i="2421"/>
  <c r="MT105" i="2421"/>
  <c r="MT93" i="2421"/>
  <c r="MT100" i="2421"/>
  <c r="MT82" i="2421"/>
  <c r="MT74" i="2421"/>
  <c r="MT66" i="2421"/>
  <c r="MT58" i="2421"/>
  <c r="MT50" i="2421"/>
  <c r="MT17" i="2421"/>
  <c r="MT98" i="2421"/>
  <c r="MT57" i="2421"/>
  <c r="MT18" i="2421"/>
  <c r="MT95" i="2421"/>
  <c r="MT56" i="2421"/>
  <c r="MT25" i="2421"/>
  <c r="MT81" i="2421"/>
  <c r="MT49" i="2421"/>
  <c r="MT26" i="2421"/>
  <c r="MT80" i="2421"/>
  <c r="MT33" i="2421"/>
  <c r="MT103" i="2421"/>
  <c r="MT73" i="2421"/>
  <c r="MT34" i="2421"/>
  <c r="MT101" i="2421"/>
  <c r="MT72" i="2421"/>
  <c r="MT41" i="2421"/>
  <c r="MT89" i="2421"/>
  <c r="MT65" i="2421"/>
  <c r="MT42" i="2421"/>
  <c r="MT112" i="2421"/>
  <c r="MT64" i="2421"/>
  <c r="FG86" i="2421"/>
  <c r="FG105" i="2421"/>
  <c r="FG93" i="2421"/>
  <c r="FG79" i="2421"/>
  <c r="FG71" i="2421"/>
  <c r="FG63" i="2421"/>
  <c r="FG55" i="2421"/>
  <c r="FG102" i="2421"/>
  <c r="FG52" i="2421"/>
  <c r="FG44" i="2421"/>
  <c r="FG36" i="2421"/>
  <c r="FG28" i="2421"/>
  <c r="FG20" i="2421"/>
  <c r="FG14" i="2421"/>
  <c r="FG103" i="2421"/>
  <c r="FG88" i="2421"/>
  <c r="FG78" i="2421"/>
  <c r="FG70" i="2421"/>
  <c r="FG62" i="2421"/>
  <c r="FG54" i="2421"/>
  <c r="FG100" i="2421"/>
  <c r="FG51" i="2421"/>
  <c r="FG43" i="2421"/>
  <c r="FG35" i="2421"/>
  <c r="FG27" i="2421"/>
  <c r="FG19" i="2421"/>
  <c r="FG15" i="2421"/>
  <c r="FG101" i="2421"/>
  <c r="FG85" i="2421"/>
  <c r="FG77" i="2421"/>
  <c r="FG69" i="2421"/>
  <c r="FG61" i="2421"/>
  <c r="FG53" i="2421"/>
  <c r="FG98" i="2421"/>
  <c r="FG50" i="2421"/>
  <c r="FG42" i="2421"/>
  <c r="FG34" i="2421"/>
  <c r="FG26" i="2421"/>
  <c r="FG16" i="2421"/>
  <c r="FG99" i="2421"/>
  <c r="FG84" i="2421"/>
  <c r="FG76" i="2421"/>
  <c r="FG68" i="2421"/>
  <c r="FG60" i="2421"/>
  <c r="FG112" i="2421"/>
  <c r="FG96" i="2421"/>
  <c r="FG49" i="2421"/>
  <c r="FG41" i="2421"/>
  <c r="FG33" i="2421"/>
  <c r="FG25" i="2421"/>
  <c r="FG17" i="2421"/>
  <c r="FG113" i="2421"/>
  <c r="FG97" i="2421"/>
  <c r="FG83" i="2421"/>
  <c r="FG75" i="2421"/>
  <c r="FG67" i="2421"/>
  <c r="FG59" i="2421"/>
  <c r="FG110" i="2421"/>
  <c r="FG94" i="2421"/>
  <c r="FG48" i="2421"/>
  <c r="FG40" i="2421"/>
  <c r="FG32" i="2421"/>
  <c r="FG24" i="2421"/>
  <c r="FG18" i="2421"/>
  <c r="FG111" i="2421"/>
  <c r="FG95" i="2421"/>
  <c r="FG82" i="2421"/>
  <c r="FG74" i="2421"/>
  <c r="FG66" i="2421"/>
  <c r="FG58" i="2421"/>
  <c r="FG108" i="2421"/>
  <c r="FG87" i="2421"/>
  <c r="FG47" i="2421"/>
  <c r="FG39" i="2421"/>
  <c r="FG31" i="2421"/>
  <c r="FG23" i="2421"/>
  <c r="FG73" i="2421"/>
  <c r="FG91" i="2421"/>
  <c r="FG22" i="2421"/>
  <c r="FG72" i="2421"/>
  <c r="FG90" i="2421"/>
  <c r="FG21" i="2421"/>
  <c r="FG109" i="2421"/>
  <c r="FG65" i="2421"/>
  <c r="FG46" i="2421"/>
  <c r="FG107" i="2421"/>
  <c r="FG64" i="2421"/>
  <c r="FG45" i="2421"/>
  <c r="FG92" i="2421"/>
  <c r="FG57" i="2421"/>
  <c r="FG38" i="2421"/>
  <c r="FG89" i="2421"/>
  <c r="FG56" i="2421"/>
  <c r="FG37" i="2421"/>
  <c r="FG81" i="2421"/>
  <c r="FG106" i="2421"/>
  <c r="FG30" i="2421"/>
  <c r="FG80" i="2421"/>
  <c r="FG104" i="2421"/>
  <c r="FG29" i="2421"/>
  <c r="JW16" i="2421"/>
  <c r="JW15" i="2421"/>
  <c r="JW14" i="2421"/>
  <c r="JW92" i="2421"/>
  <c r="JW107" i="2421"/>
  <c r="JW89" i="2421"/>
  <c r="JW80" i="2421"/>
  <c r="JW72" i="2421"/>
  <c r="JW64" i="2421"/>
  <c r="JW56" i="2421"/>
  <c r="JW106" i="2421"/>
  <c r="JW87" i="2421"/>
  <c r="JW44" i="2421"/>
  <c r="JW36" i="2421"/>
  <c r="JW28" i="2421"/>
  <c r="JW20" i="2421"/>
  <c r="JW105" i="2421"/>
  <c r="JW90" i="2421"/>
  <c r="JW79" i="2421"/>
  <c r="JW71" i="2421"/>
  <c r="JW63" i="2421"/>
  <c r="JW55" i="2421"/>
  <c r="JW104" i="2421"/>
  <c r="JW51" i="2421"/>
  <c r="JW43" i="2421"/>
  <c r="JW35" i="2421"/>
  <c r="JW27" i="2421"/>
  <c r="JW19" i="2421"/>
  <c r="JW103" i="2421"/>
  <c r="JW88" i="2421"/>
  <c r="JW78" i="2421"/>
  <c r="JW70" i="2421"/>
  <c r="JW62" i="2421"/>
  <c r="JW54" i="2421"/>
  <c r="JW102" i="2421"/>
  <c r="JW50" i="2421"/>
  <c r="JW42" i="2421"/>
  <c r="JW34" i="2421"/>
  <c r="JW26" i="2421"/>
  <c r="JW18" i="2421"/>
  <c r="JW101" i="2421"/>
  <c r="JW85" i="2421"/>
  <c r="JW77" i="2421"/>
  <c r="JW69" i="2421"/>
  <c r="JW61" i="2421"/>
  <c r="JW53" i="2421"/>
  <c r="JW100" i="2421"/>
  <c r="JW49" i="2421"/>
  <c r="JW41" i="2421"/>
  <c r="JW33" i="2421"/>
  <c r="JW25" i="2421"/>
  <c r="JW17" i="2421"/>
  <c r="JW99" i="2421"/>
  <c r="JW84" i="2421"/>
  <c r="JW76" i="2421"/>
  <c r="JW68" i="2421"/>
  <c r="JW60" i="2421"/>
  <c r="JW52" i="2421"/>
  <c r="JW98" i="2421"/>
  <c r="JW48" i="2421"/>
  <c r="JW40" i="2421"/>
  <c r="JW32" i="2421"/>
  <c r="JW24" i="2421"/>
  <c r="JW86" i="2421"/>
  <c r="JW111" i="2421"/>
  <c r="JW95" i="2421"/>
  <c r="JW82" i="2421"/>
  <c r="JW74" i="2421"/>
  <c r="JW66" i="2421"/>
  <c r="JW58" i="2421"/>
  <c r="JW110" i="2421"/>
  <c r="JW94" i="2421"/>
  <c r="JW46" i="2421"/>
  <c r="JW38" i="2421"/>
  <c r="JW30" i="2421"/>
  <c r="JW22" i="2421"/>
  <c r="JW109" i="2421"/>
  <c r="JW93" i="2421"/>
  <c r="JW81" i="2421"/>
  <c r="JW73" i="2421"/>
  <c r="JW65" i="2421"/>
  <c r="JW57" i="2421"/>
  <c r="JW108" i="2421"/>
  <c r="JW91" i="2421"/>
  <c r="JW45" i="2421"/>
  <c r="JW37" i="2421"/>
  <c r="JW29" i="2421"/>
  <c r="JW21" i="2421"/>
  <c r="JW59" i="2421"/>
  <c r="JW112" i="2421"/>
  <c r="JW96" i="2421"/>
  <c r="JW113" i="2421"/>
  <c r="JW47" i="2421"/>
  <c r="JW97" i="2421"/>
  <c r="JW39" i="2421"/>
  <c r="JW83" i="2421"/>
  <c r="JW31" i="2421"/>
  <c r="JW75" i="2421"/>
  <c r="JW23" i="2421"/>
  <c r="JW67" i="2421"/>
  <c r="QU18" i="2421"/>
  <c r="QU16" i="2421"/>
  <c r="QU15" i="2421"/>
  <c r="QU19" i="2421"/>
  <c r="QU14" i="2421"/>
  <c r="QU17" i="2421"/>
  <c r="QU103" i="2421"/>
  <c r="QU86" i="2421"/>
  <c r="QU98" i="2421"/>
  <c r="QU79" i="2421"/>
  <c r="QU63" i="2421"/>
  <c r="QU52" i="2421"/>
  <c r="QU44" i="2421"/>
  <c r="QU36" i="2421"/>
  <c r="QU28" i="2421"/>
  <c r="QU92" i="2421"/>
  <c r="QU70" i="2421"/>
  <c r="QU20" i="2421"/>
  <c r="QU101" i="2421"/>
  <c r="QU112" i="2421"/>
  <c r="QU95" i="2421"/>
  <c r="QU77" i="2421"/>
  <c r="QU60" i="2421"/>
  <c r="QU51" i="2421"/>
  <c r="QU43" i="2421"/>
  <c r="QU35" i="2421"/>
  <c r="QU27" i="2421"/>
  <c r="QU84" i="2421"/>
  <c r="QU68" i="2421"/>
  <c r="QU99" i="2421"/>
  <c r="QU110" i="2421"/>
  <c r="QU91" i="2421"/>
  <c r="QU75" i="2421"/>
  <c r="QU58" i="2421"/>
  <c r="QU50" i="2421"/>
  <c r="QU42" i="2421"/>
  <c r="QU34" i="2421"/>
  <c r="QU26" i="2421"/>
  <c r="QU82" i="2421"/>
  <c r="QU66" i="2421"/>
  <c r="QU113" i="2421"/>
  <c r="QU97" i="2421"/>
  <c r="QU108" i="2421"/>
  <c r="QU89" i="2421"/>
  <c r="QU73" i="2421"/>
  <c r="QU62" i="2421"/>
  <c r="QU49" i="2421"/>
  <c r="QU41" i="2421"/>
  <c r="QU33" i="2421"/>
  <c r="QU25" i="2421"/>
  <c r="QU80" i="2421"/>
  <c r="QU64" i="2421"/>
  <c r="QU111" i="2421"/>
  <c r="QU93" i="2421"/>
  <c r="QU106" i="2421"/>
  <c r="QU88" i="2421"/>
  <c r="QU71" i="2421"/>
  <c r="QU56" i="2421"/>
  <c r="QU48" i="2421"/>
  <c r="QU40" i="2421"/>
  <c r="QU32" i="2421"/>
  <c r="QU24" i="2421"/>
  <c r="QU78" i="2421"/>
  <c r="QU61" i="2421"/>
  <c r="QU109" i="2421"/>
  <c r="QU87" i="2421"/>
  <c r="QU104" i="2421"/>
  <c r="QU85" i="2421"/>
  <c r="QU69" i="2421"/>
  <c r="QU55" i="2421"/>
  <c r="QU47" i="2421"/>
  <c r="QU39" i="2421"/>
  <c r="QU31" i="2421"/>
  <c r="QU23" i="2421"/>
  <c r="QU76" i="2421"/>
  <c r="QU59" i="2421"/>
  <c r="QU107" i="2421"/>
  <c r="QU67" i="2421"/>
  <c r="QU30" i="2421"/>
  <c r="QU105" i="2421"/>
  <c r="QU65" i="2421"/>
  <c r="QU29" i="2421"/>
  <c r="QU94" i="2421"/>
  <c r="QU54" i="2421"/>
  <c r="QU22" i="2421"/>
  <c r="QU90" i="2421"/>
  <c r="QU53" i="2421"/>
  <c r="QU21" i="2421"/>
  <c r="QU102" i="2421"/>
  <c r="QU46" i="2421"/>
  <c r="QU74" i="2421"/>
  <c r="QU96" i="2421"/>
  <c r="QU100" i="2421"/>
  <c r="QU45" i="2421"/>
  <c r="QU72" i="2421"/>
  <c r="QU83" i="2421"/>
  <c r="QU38" i="2421"/>
  <c r="QU57" i="2421"/>
  <c r="QU81" i="2421"/>
  <c r="QU37" i="2421"/>
  <c r="KJ39" i="2421"/>
  <c r="KJ14" i="2421"/>
  <c r="KJ22" i="2421"/>
  <c r="KJ30" i="2421"/>
  <c r="KJ38" i="2421"/>
  <c r="KJ107" i="2421"/>
  <c r="KJ99" i="2421"/>
  <c r="KJ91" i="2421"/>
  <c r="KJ83" i="2421"/>
  <c r="KJ71" i="2421"/>
  <c r="KJ63" i="2421"/>
  <c r="KJ82" i="2421"/>
  <c r="KJ46" i="2421"/>
  <c r="KJ54" i="2421"/>
  <c r="KJ15" i="2421"/>
  <c r="KJ23" i="2421"/>
  <c r="KJ31" i="2421"/>
  <c r="KJ106" i="2421"/>
  <c r="KJ98" i="2421"/>
  <c r="KJ90" i="2421"/>
  <c r="KJ81" i="2421"/>
  <c r="KJ70" i="2421"/>
  <c r="KJ62" i="2421"/>
  <c r="KJ80" i="2421"/>
  <c r="KJ47" i="2421"/>
  <c r="KJ55" i="2421"/>
  <c r="KJ16" i="2421"/>
  <c r="KJ24" i="2421"/>
  <c r="KJ32" i="2421"/>
  <c r="KJ113" i="2421"/>
  <c r="KJ105" i="2421"/>
  <c r="KJ97" i="2421"/>
  <c r="KJ89" i="2421"/>
  <c r="KJ79" i="2421"/>
  <c r="KJ69" i="2421"/>
  <c r="KJ61" i="2421"/>
  <c r="KJ78" i="2421"/>
  <c r="KJ48" i="2421"/>
  <c r="KJ17" i="2421"/>
  <c r="KJ25" i="2421"/>
  <c r="KJ33" i="2421"/>
  <c r="KJ112" i="2421"/>
  <c r="KJ104" i="2421"/>
  <c r="KJ96" i="2421"/>
  <c r="KJ88" i="2421"/>
  <c r="KJ77" i="2421"/>
  <c r="KJ68" i="2421"/>
  <c r="KJ60" i="2421"/>
  <c r="KJ76" i="2421"/>
  <c r="KJ41" i="2421"/>
  <c r="KJ49" i="2421"/>
  <c r="KJ18" i="2421"/>
  <c r="KJ26" i="2421"/>
  <c r="KJ34" i="2421"/>
  <c r="KJ111" i="2421"/>
  <c r="KJ103" i="2421"/>
  <c r="KJ95" i="2421"/>
  <c r="KJ87" i="2421"/>
  <c r="KJ75" i="2421"/>
  <c r="KJ67" i="2421"/>
  <c r="KJ59" i="2421"/>
  <c r="KJ42" i="2421"/>
  <c r="KJ50" i="2421"/>
  <c r="KJ20" i="2421"/>
  <c r="KJ28" i="2421"/>
  <c r="KJ36" i="2421"/>
  <c r="KJ109" i="2421"/>
  <c r="KJ101" i="2421"/>
  <c r="KJ93" i="2421"/>
  <c r="KJ85" i="2421"/>
  <c r="KJ73" i="2421"/>
  <c r="KJ65" i="2421"/>
  <c r="KJ57" i="2421"/>
  <c r="KJ44" i="2421"/>
  <c r="KJ52" i="2421"/>
  <c r="KJ21" i="2421"/>
  <c r="KJ29" i="2421"/>
  <c r="KJ37" i="2421"/>
  <c r="KJ108" i="2421"/>
  <c r="KJ100" i="2421"/>
  <c r="KJ92" i="2421"/>
  <c r="KJ84" i="2421"/>
  <c r="KJ72" i="2421"/>
  <c r="KJ64" i="2421"/>
  <c r="KJ56" i="2421"/>
  <c r="KJ40" i="2421"/>
  <c r="KJ45" i="2421"/>
  <c r="KJ53" i="2421"/>
  <c r="KJ102" i="2421"/>
  <c r="KJ94" i="2421"/>
  <c r="KJ86" i="2421"/>
  <c r="KJ43" i="2421"/>
  <c r="KJ74" i="2421"/>
  <c r="KJ51" i="2421"/>
  <c r="KJ19" i="2421"/>
  <c r="KJ66" i="2421"/>
  <c r="KJ27" i="2421"/>
  <c r="KJ58" i="2421"/>
  <c r="KJ35" i="2421"/>
  <c r="KJ110" i="2421"/>
  <c r="GP88" i="2421"/>
  <c r="GP58" i="2421"/>
  <c r="GP42" i="2421"/>
  <c r="GP56" i="2421"/>
  <c r="GP90" i="2421"/>
  <c r="GP64" i="2421"/>
  <c r="GP85" i="2421"/>
  <c r="GP109" i="2421"/>
  <c r="GP112" i="2421"/>
  <c r="GP45" i="2421"/>
  <c r="GO30" i="2421"/>
  <c r="GO99" i="2421"/>
  <c r="GO83" i="2421"/>
  <c r="GO81" i="2421"/>
  <c r="GO113" i="2421"/>
  <c r="GO79" i="2421"/>
  <c r="GO90" i="2421"/>
  <c r="GO101" i="2421"/>
  <c r="GO48" i="2421"/>
  <c r="GO82" i="2421"/>
  <c r="GO63" i="2421"/>
  <c r="GO77" i="2421"/>
  <c r="MJ81" i="2421"/>
  <c r="MJ74" i="2421"/>
  <c r="MJ86" i="2421"/>
  <c r="MJ66" i="2421"/>
  <c r="MJ98" i="2421"/>
  <c r="MJ111" i="2421"/>
  <c r="MJ65" i="2421"/>
  <c r="MJ109" i="2421"/>
  <c r="MJ20" i="2421"/>
  <c r="MJ36" i="2421"/>
  <c r="MJ100" i="2421"/>
  <c r="MI60" i="2421"/>
  <c r="MI66" i="2421"/>
  <c r="MI44" i="2421"/>
  <c r="MI71" i="2421"/>
  <c r="MI20" i="2421"/>
  <c r="MI76" i="2421"/>
  <c r="MI26" i="2421"/>
  <c r="MI69" i="2421"/>
  <c r="MI63" i="2421"/>
  <c r="MI89" i="2421"/>
  <c r="MI99" i="2421"/>
  <c r="MI36" i="2421"/>
  <c r="NX23" i="2421"/>
  <c r="NX21" i="2421"/>
  <c r="NX14" i="2421"/>
  <c r="NX22" i="2421"/>
  <c r="NX15" i="2421"/>
  <c r="NX16" i="2421"/>
  <c r="NX17" i="2421"/>
  <c r="NX18" i="2421"/>
  <c r="NX19" i="2421"/>
  <c r="NX109" i="2421"/>
  <c r="NX93" i="2421"/>
  <c r="NX75" i="2421"/>
  <c r="NX67" i="2421"/>
  <c r="NX59" i="2421"/>
  <c r="NX108" i="2421"/>
  <c r="NX92" i="2421"/>
  <c r="NX54" i="2421"/>
  <c r="NX46" i="2421"/>
  <c r="NX38" i="2421"/>
  <c r="NX30" i="2421"/>
  <c r="NX107" i="2421"/>
  <c r="NX91" i="2421"/>
  <c r="NX74" i="2421"/>
  <c r="NX66" i="2421"/>
  <c r="NX58" i="2421"/>
  <c r="NX106" i="2421"/>
  <c r="NX90" i="2421"/>
  <c r="NX53" i="2421"/>
  <c r="NX45" i="2421"/>
  <c r="NX37" i="2421"/>
  <c r="NX29" i="2421"/>
  <c r="NX105" i="2421"/>
  <c r="NX89" i="2421"/>
  <c r="NX73" i="2421"/>
  <c r="NX65" i="2421"/>
  <c r="NX57" i="2421"/>
  <c r="NX104" i="2421"/>
  <c r="NX88" i="2421"/>
  <c r="NX52" i="2421"/>
  <c r="NX44" i="2421"/>
  <c r="NX36" i="2421"/>
  <c r="NX28" i="2421"/>
  <c r="NX20" i="2421"/>
  <c r="NX103" i="2421"/>
  <c r="NX87" i="2421"/>
  <c r="NX72" i="2421"/>
  <c r="NX64" i="2421"/>
  <c r="NX56" i="2421"/>
  <c r="NX102" i="2421"/>
  <c r="NX86" i="2421"/>
  <c r="NX51" i="2421"/>
  <c r="NX43" i="2421"/>
  <c r="NX35" i="2421"/>
  <c r="NX27" i="2421"/>
  <c r="NX101" i="2421"/>
  <c r="NX82" i="2421"/>
  <c r="NX71" i="2421"/>
  <c r="NX63" i="2421"/>
  <c r="NX55" i="2421"/>
  <c r="NX100" i="2421"/>
  <c r="NX84" i="2421"/>
  <c r="NX50" i="2421"/>
  <c r="NX42" i="2421"/>
  <c r="NX34" i="2421"/>
  <c r="NX26" i="2421"/>
  <c r="NX99" i="2421"/>
  <c r="NX80" i="2421"/>
  <c r="NX70" i="2421"/>
  <c r="NX62" i="2421"/>
  <c r="NX85" i="2421"/>
  <c r="NX98" i="2421"/>
  <c r="NX81" i="2421"/>
  <c r="NX49" i="2421"/>
  <c r="NX41" i="2421"/>
  <c r="NX33" i="2421"/>
  <c r="NX25" i="2421"/>
  <c r="NX113" i="2421"/>
  <c r="NX61" i="2421"/>
  <c r="NX48" i="2421"/>
  <c r="NX111" i="2421"/>
  <c r="NX60" i="2421"/>
  <c r="NX47" i="2421"/>
  <c r="NX97" i="2421"/>
  <c r="NX112" i="2421"/>
  <c r="NX40" i="2421"/>
  <c r="NX95" i="2421"/>
  <c r="NX110" i="2421"/>
  <c r="NX39" i="2421"/>
  <c r="NX78" i="2421"/>
  <c r="NX96" i="2421"/>
  <c r="NX32" i="2421"/>
  <c r="NX76" i="2421"/>
  <c r="NX94" i="2421"/>
  <c r="NX31" i="2421"/>
  <c r="NX69" i="2421"/>
  <c r="NX79" i="2421"/>
  <c r="NX24" i="2421"/>
  <c r="NX68" i="2421"/>
  <c r="NX77" i="2421"/>
  <c r="NX83" i="2421"/>
  <c r="QD53" i="2421"/>
  <c r="QD20" i="2421"/>
  <c r="QD28" i="2421"/>
  <c r="QD36" i="2421"/>
  <c r="QD44" i="2421"/>
  <c r="QD52" i="2421"/>
  <c r="QD106" i="2421"/>
  <c r="QD98" i="2421"/>
  <c r="QD90" i="2421"/>
  <c r="QD82" i="2421"/>
  <c r="QD74" i="2421"/>
  <c r="QD66" i="2421"/>
  <c r="QD58" i="2421"/>
  <c r="QD21" i="2421"/>
  <c r="QD29" i="2421"/>
  <c r="QD37" i="2421"/>
  <c r="QD45" i="2421"/>
  <c r="QD113" i="2421"/>
  <c r="QD105" i="2421"/>
  <c r="QD97" i="2421"/>
  <c r="QD89" i="2421"/>
  <c r="QD80" i="2421"/>
  <c r="QD73" i="2421"/>
  <c r="QD65" i="2421"/>
  <c r="QD57" i="2421"/>
  <c r="QD14" i="2421"/>
  <c r="QD22" i="2421"/>
  <c r="QD30" i="2421"/>
  <c r="QD38" i="2421"/>
  <c r="QD46" i="2421"/>
  <c r="QD112" i="2421"/>
  <c r="QD104" i="2421"/>
  <c r="QD96" i="2421"/>
  <c r="QD88" i="2421"/>
  <c r="QD78" i="2421"/>
  <c r="QD72" i="2421"/>
  <c r="QD64" i="2421"/>
  <c r="QD56" i="2421"/>
  <c r="QD15" i="2421"/>
  <c r="QD23" i="2421"/>
  <c r="QD31" i="2421"/>
  <c r="QD39" i="2421"/>
  <c r="QD47" i="2421"/>
  <c r="QD111" i="2421"/>
  <c r="QD103" i="2421"/>
  <c r="QD95" i="2421"/>
  <c r="QD87" i="2421"/>
  <c r="QD81" i="2421"/>
  <c r="QD71" i="2421"/>
  <c r="QD63" i="2421"/>
  <c r="QD55" i="2421"/>
  <c r="QD16" i="2421"/>
  <c r="QD24" i="2421"/>
  <c r="QD32" i="2421"/>
  <c r="QD40" i="2421"/>
  <c r="QD48" i="2421"/>
  <c r="QD110" i="2421"/>
  <c r="QD102" i="2421"/>
  <c r="QD94" i="2421"/>
  <c r="QD86" i="2421"/>
  <c r="QD79" i="2421"/>
  <c r="QD70" i="2421"/>
  <c r="QD62" i="2421"/>
  <c r="QD54" i="2421"/>
  <c r="QD17" i="2421"/>
  <c r="QD25" i="2421"/>
  <c r="QD33" i="2421"/>
  <c r="QD41" i="2421"/>
  <c r="QD49" i="2421"/>
  <c r="QD109" i="2421"/>
  <c r="QD101" i="2421"/>
  <c r="QD93" i="2421"/>
  <c r="QD85" i="2421"/>
  <c r="QD77" i="2421"/>
  <c r="QD69" i="2421"/>
  <c r="QD61" i="2421"/>
  <c r="QD26" i="2421"/>
  <c r="QD108" i="2421"/>
  <c r="QD76" i="2421"/>
  <c r="QD27" i="2421"/>
  <c r="QD107" i="2421"/>
  <c r="QD75" i="2421"/>
  <c r="QD34" i="2421"/>
  <c r="QD100" i="2421"/>
  <c r="QD68" i="2421"/>
  <c r="QD35" i="2421"/>
  <c r="QD99" i="2421"/>
  <c r="QD67" i="2421"/>
  <c r="QD42" i="2421"/>
  <c r="QD92" i="2421"/>
  <c r="QD60" i="2421"/>
  <c r="QD43" i="2421"/>
  <c r="QD91" i="2421"/>
  <c r="QD59" i="2421"/>
  <c r="QD18" i="2421"/>
  <c r="QD50" i="2421"/>
  <c r="QD84" i="2421"/>
  <c r="QD19" i="2421"/>
  <c r="QD51" i="2421"/>
  <c r="QD83" i="2421"/>
  <c r="GP110" i="2421"/>
  <c r="GP91" i="2421"/>
  <c r="GP37" i="2421"/>
  <c r="GP107" i="2421"/>
  <c r="GP41" i="2421"/>
  <c r="GP93" i="2421"/>
  <c r="GP95" i="2421"/>
  <c r="GP94" i="2421"/>
  <c r="GP105" i="2421"/>
  <c r="GP47" i="2421"/>
  <c r="GP72" i="2421"/>
  <c r="GP39" i="2421"/>
  <c r="GO28" i="2421"/>
  <c r="GO71" i="2421"/>
  <c r="GO110" i="2421"/>
  <c r="GO108" i="2421"/>
  <c r="GO56" i="2421"/>
  <c r="GO50" i="2421"/>
  <c r="GO61" i="2421"/>
  <c r="GO60" i="2421"/>
  <c r="GO104" i="2421"/>
  <c r="GO26" i="2421"/>
  <c r="GO54" i="2421"/>
  <c r="GO107" i="2421"/>
  <c r="RG34" i="2421"/>
  <c r="RG24" i="2421"/>
  <c r="RG16" i="2421"/>
  <c r="RG82" i="2421"/>
  <c r="RG21" i="2421"/>
  <c r="RG15" i="2421"/>
  <c r="RG26" i="2421"/>
  <c r="RG18" i="2421"/>
  <c r="RG14" i="2421"/>
  <c r="RG54" i="2421"/>
  <c r="RG23" i="2421"/>
  <c r="RG65" i="2421"/>
  <c r="RG50" i="2421"/>
  <c r="RG20" i="2421"/>
  <c r="RG46" i="2421"/>
  <c r="RG25" i="2421"/>
  <c r="RG17" i="2421"/>
  <c r="RG42" i="2421"/>
  <c r="RG22" i="2421"/>
  <c r="RG19" i="2421"/>
  <c r="RG38" i="2421"/>
  <c r="RG27" i="2421"/>
  <c r="RM110" i="2421"/>
  <c r="RM102" i="2421"/>
  <c r="RM94" i="2421"/>
  <c r="RM86" i="2421"/>
  <c r="RG112" i="2421"/>
  <c r="RG104" i="2421"/>
  <c r="RG96" i="2421"/>
  <c r="RG88" i="2421"/>
  <c r="RM76" i="2421"/>
  <c r="RM68" i="2421"/>
  <c r="RM60" i="2421"/>
  <c r="RG74" i="2421"/>
  <c r="RG62" i="2421"/>
  <c r="RM53" i="2421"/>
  <c r="RM45" i="2421"/>
  <c r="RM37" i="2421"/>
  <c r="RM29" i="2421"/>
  <c r="RM55" i="2421"/>
  <c r="RG41" i="2421"/>
  <c r="RG77" i="2421"/>
  <c r="RM14" i="2421"/>
  <c r="RM20" i="2421"/>
  <c r="RM26" i="2421"/>
  <c r="RG44" i="2421"/>
  <c r="RG69" i="2421"/>
  <c r="RM109" i="2421"/>
  <c r="RM101" i="2421"/>
  <c r="RM93" i="2421"/>
  <c r="RM85" i="2421"/>
  <c r="RG111" i="2421"/>
  <c r="RG103" i="2421"/>
  <c r="RG95" i="2421"/>
  <c r="RG87" i="2421"/>
  <c r="RM75" i="2421"/>
  <c r="RM67" i="2421"/>
  <c r="RM59" i="2421"/>
  <c r="RG70" i="2421"/>
  <c r="RG61" i="2421"/>
  <c r="RM52" i="2421"/>
  <c r="RM44" i="2421"/>
  <c r="RM36" i="2421"/>
  <c r="RM28" i="2421"/>
  <c r="RM15" i="2421"/>
  <c r="RM21" i="2421"/>
  <c r="RO21" i="2421" s="1"/>
  <c r="RG28" i="2421"/>
  <c r="RG48" i="2421"/>
  <c r="RM108" i="2421"/>
  <c r="RM100" i="2421"/>
  <c r="RM92" i="2421"/>
  <c r="RM84" i="2421"/>
  <c r="RG110" i="2421"/>
  <c r="RG102" i="2421"/>
  <c r="RG94" i="2421"/>
  <c r="RG86" i="2421"/>
  <c r="RM74" i="2421"/>
  <c r="RM66" i="2421"/>
  <c r="RM58" i="2421"/>
  <c r="RG66" i="2421"/>
  <c r="RG60" i="2421"/>
  <c r="RM51" i="2421"/>
  <c r="RM43" i="2421"/>
  <c r="RM35" i="2421"/>
  <c r="RO35" i="2421" s="1"/>
  <c r="RM27" i="2421"/>
  <c r="RG45" i="2421"/>
  <c r="RG29" i="2421"/>
  <c r="RG52" i="2421"/>
  <c r="RG35" i="2421"/>
  <c r="RM107" i="2421"/>
  <c r="RM99" i="2421"/>
  <c r="RM91" i="2421"/>
  <c r="RM83" i="2421"/>
  <c r="RG109" i="2421"/>
  <c r="RG101" i="2421"/>
  <c r="RG93" i="2421"/>
  <c r="RG83" i="2421"/>
  <c r="RM73" i="2421"/>
  <c r="RM65" i="2421"/>
  <c r="RM57" i="2421"/>
  <c r="RG79" i="2421"/>
  <c r="RG59" i="2421"/>
  <c r="RM50" i="2421"/>
  <c r="RM42" i="2421"/>
  <c r="RM34" i="2421"/>
  <c r="RO34" i="2421" s="1"/>
  <c r="RG80" i="2421"/>
  <c r="RM16" i="2421"/>
  <c r="RM22" i="2421"/>
  <c r="RO22" i="2421" s="1"/>
  <c r="RG30" i="2421"/>
  <c r="RG73" i="2421"/>
  <c r="RG39" i="2421"/>
  <c r="RM106" i="2421"/>
  <c r="RM98" i="2421"/>
  <c r="RM90" i="2421"/>
  <c r="RM82" i="2421"/>
  <c r="RG108" i="2421"/>
  <c r="RG100" i="2421"/>
  <c r="RG92" i="2421"/>
  <c r="RG81" i="2421"/>
  <c r="RM72" i="2421"/>
  <c r="RM64" i="2421"/>
  <c r="RM56" i="2421"/>
  <c r="RG75" i="2421"/>
  <c r="RG58" i="2421"/>
  <c r="RM49" i="2421"/>
  <c r="RM41" i="2421"/>
  <c r="RM33" i="2421"/>
  <c r="RO33" i="2421" s="1"/>
  <c r="RG76" i="2421"/>
  <c r="RG33" i="2421"/>
  <c r="RG49" i="2421"/>
  <c r="RM17" i="2421"/>
  <c r="RM23" i="2421"/>
  <c r="RG31" i="2421"/>
  <c r="RG43" i="2421"/>
  <c r="RM113" i="2421"/>
  <c r="RM105" i="2421"/>
  <c r="RM97" i="2421"/>
  <c r="RM89" i="2421"/>
  <c r="RM81" i="2421"/>
  <c r="RG107" i="2421"/>
  <c r="RG99" i="2421"/>
  <c r="RG91" i="2421"/>
  <c r="RM79" i="2421"/>
  <c r="RM71" i="2421"/>
  <c r="RM63" i="2421"/>
  <c r="RG85" i="2421"/>
  <c r="RG71" i="2421"/>
  <c r="RG57" i="2421"/>
  <c r="RM48" i="2421"/>
  <c r="RM40" i="2421"/>
  <c r="RM32" i="2421"/>
  <c r="RO32" i="2421" s="1"/>
  <c r="RG72" i="2421"/>
  <c r="RM18" i="2421"/>
  <c r="RM24" i="2421"/>
  <c r="RG32" i="2421"/>
  <c r="RG47" i="2421"/>
  <c r="RM112" i="2421"/>
  <c r="RM80" i="2421"/>
  <c r="RM78" i="2421"/>
  <c r="RG67" i="2421"/>
  <c r="RM31" i="2421"/>
  <c r="RM111" i="2421"/>
  <c r="RG113" i="2421"/>
  <c r="RM77" i="2421"/>
  <c r="RG63" i="2421"/>
  <c r="RM30" i="2421"/>
  <c r="RM25" i="2421"/>
  <c r="RM104" i="2421"/>
  <c r="RG106" i="2421"/>
  <c r="RM70" i="2421"/>
  <c r="RG56" i="2421"/>
  <c r="RG68" i="2421"/>
  <c r="RG36" i="2421"/>
  <c r="RG51" i="2421"/>
  <c r="RM103" i="2421"/>
  <c r="RG105" i="2421"/>
  <c r="RM69" i="2421"/>
  <c r="RM54" i="2421"/>
  <c r="RG64" i="2421"/>
  <c r="RG40" i="2421"/>
  <c r="RG55" i="2421"/>
  <c r="RM96" i="2421"/>
  <c r="RG98" i="2421"/>
  <c r="RM62" i="2421"/>
  <c r="RM47" i="2421"/>
  <c r="RG37" i="2421"/>
  <c r="RM95" i="2421"/>
  <c r="RG97" i="2421"/>
  <c r="RM61" i="2421"/>
  <c r="RM46" i="2421"/>
  <c r="RM88" i="2421"/>
  <c r="RG90" i="2421"/>
  <c r="RG84" i="2421"/>
  <c r="RM39" i="2421"/>
  <c r="RG53" i="2421"/>
  <c r="RM87" i="2421"/>
  <c r="RG89" i="2421"/>
  <c r="RG78" i="2421"/>
  <c r="RM19" i="2421"/>
  <c r="RM38" i="2421"/>
  <c r="MJ70" i="2421"/>
  <c r="MJ60" i="2421"/>
  <c r="MJ46" i="2421"/>
  <c r="MJ49" i="2421"/>
  <c r="MJ89" i="2421"/>
  <c r="MJ26" i="2421"/>
  <c r="MJ82" i="2421"/>
  <c r="MJ47" i="2421"/>
  <c r="MJ45" i="2421"/>
  <c r="MJ90" i="2421"/>
  <c r="MJ113" i="2421"/>
  <c r="MJ56" i="2421"/>
  <c r="MI72" i="2421"/>
  <c r="MI90" i="2421"/>
  <c r="MI94" i="2421"/>
  <c r="MI105" i="2421"/>
  <c r="MI81" i="2421"/>
  <c r="MI40" i="2421"/>
  <c r="MI106" i="2421"/>
  <c r="MI29" i="2421"/>
  <c r="MI68" i="2421"/>
  <c r="MI95" i="2421"/>
  <c r="MI80" i="2421"/>
  <c r="MI83" i="2421"/>
  <c r="MB51" i="2421"/>
  <c r="MB20" i="2421"/>
  <c r="MH27" i="2421"/>
  <c r="MH35" i="2421"/>
  <c r="MJ35" i="2421" s="1"/>
  <c r="MH43" i="2421"/>
  <c r="MH107" i="2421"/>
  <c r="MH99" i="2421"/>
  <c r="MH91" i="2421"/>
  <c r="MH83" i="2421"/>
  <c r="MB111" i="2421"/>
  <c r="MB103" i="2421"/>
  <c r="MB95" i="2421"/>
  <c r="MB87" i="2421"/>
  <c r="MB74" i="2421"/>
  <c r="MB66" i="2421"/>
  <c r="MB55" i="2421"/>
  <c r="MB21" i="2421"/>
  <c r="MH28" i="2421"/>
  <c r="MH36" i="2421"/>
  <c r="MH106" i="2421"/>
  <c r="MH98" i="2421"/>
  <c r="MH90" i="2421"/>
  <c r="MH82" i="2421"/>
  <c r="MB110" i="2421"/>
  <c r="MB102" i="2421"/>
  <c r="MB94" i="2421"/>
  <c r="MB86" i="2421"/>
  <c r="MB73" i="2421"/>
  <c r="MB65" i="2421"/>
  <c r="MB14" i="2421"/>
  <c r="MB22" i="2421"/>
  <c r="MH29" i="2421"/>
  <c r="MH37" i="2421"/>
  <c r="MH113" i="2421"/>
  <c r="MH105" i="2421"/>
  <c r="MH97" i="2421"/>
  <c r="MH89" i="2421"/>
  <c r="MH81" i="2421"/>
  <c r="MB109" i="2421"/>
  <c r="MB101" i="2421"/>
  <c r="MB93" i="2421"/>
  <c r="MB83" i="2421"/>
  <c r="MB72" i="2421"/>
  <c r="MB64" i="2421"/>
  <c r="MB15" i="2421"/>
  <c r="MB23" i="2421"/>
  <c r="MH30" i="2421"/>
  <c r="MH38" i="2421"/>
  <c r="MH112" i="2421"/>
  <c r="MH104" i="2421"/>
  <c r="MH96" i="2421"/>
  <c r="MH88" i="2421"/>
  <c r="MH80" i="2421"/>
  <c r="MB108" i="2421"/>
  <c r="MB100" i="2421"/>
  <c r="MB92" i="2421"/>
  <c r="MB80" i="2421"/>
  <c r="MB71" i="2421"/>
  <c r="MB63" i="2421"/>
  <c r="MB17" i="2421"/>
  <c r="MH24" i="2421"/>
  <c r="MH32" i="2421"/>
  <c r="MJ32" i="2421" s="1"/>
  <c r="MH40" i="2421"/>
  <c r="MH110" i="2421"/>
  <c r="MH102" i="2421"/>
  <c r="MH94" i="2421"/>
  <c r="MH86" i="2421"/>
  <c r="MH78" i="2421"/>
  <c r="MB106" i="2421"/>
  <c r="MB98" i="2421"/>
  <c r="MB90" i="2421"/>
  <c r="MB77" i="2421"/>
  <c r="MB69" i="2421"/>
  <c r="MH33" i="2421"/>
  <c r="MJ33" i="2421" s="1"/>
  <c r="MH103" i="2421"/>
  <c r="MH84" i="2421"/>
  <c r="MB97" i="2421"/>
  <c r="MB70" i="2421"/>
  <c r="MH76" i="2421"/>
  <c r="MH68" i="2421"/>
  <c r="MH60" i="2421"/>
  <c r="MH52" i="2421"/>
  <c r="MB84" i="2421"/>
  <c r="MB57" i="2421"/>
  <c r="MB45" i="2421"/>
  <c r="MB37" i="2421"/>
  <c r="MB29" i="2421"/>
  <c r="MH18" i="2421"/>
  <c r="MB16" i="2421"/>
  <c r="MH34" i="2421"/>
  <c r="MH101" i="2421"/>
  <c r="MH79" i="2421"/>
  <c r="MB96" i="2421"/>
  <c r="MB68" i="2421"/>
  <c r="MH75" i="2421"/>
  <c r="MH67" i="2421"/>
  <c r="MH59" i="2421"/>
  <c r="MH51" i="2421"/>
  <c r="MB60" i="2421"/>
  <c r="MB53" i="2421"/>
  <c r="MB44" i="2421"/>
  <c r="MB36" i="2421"/>
  <c r="MB28" i="2421"/>
  <c r="MH19" i="2421"/>
  <c r="MB18" i="2421"/>
  <c r="MH39" i="2421"/>
  <c r="MH100" i="2421"/>
  <c r="MB113" i="2421"/>
  <c r="MB91" i="2421"/>
  <c r="MB67" i="2421"/>
  <c r="MH74" i="2421"/>
  <c r="MH66" i="2421"/>
  <c r="MH58" i="2421"/>
  <c r="MH50" i="2421"/>
  <c r="MB56" i="2421"/>
  <c r="MB62" i="2421"/>
  <c r="MB43" i="2421"/>
  <c r="MB35" i="2421"/>
  <c r="MB27" i="2421"/>
  <c r="MH20" i="2421"/>
  <c r="MB19" i="2421"/>
  <c r="MH41" i="2421"/>
  <c r="MH95" i="2421"/>
  <c r="MB112" i="2421"/>
  <c r="MB89" i="2421"/>
  <c r="MB82" i="2421"/>
  <c r="MH73" i="2421"/>
  <c r="MH65" i="2421"/>
  <c r="MH57" i="2421"/>
  <c r="MH49" i="2421"/>
  <c r="MB50" i="2421"/>
  <c r="MB58" i="2421"/>
  <c r="MB42" i="2421"/>
  <c r="MB34" i="2421"/>
  <c r="MB26" i="2421"/>
  <c r="MH21" i="2421"/>
  <c r="MB59" i="2421"/>
  <c r="MH23" i="2421"/>
  <c r="MH42" i="2421"/>
  <c r="MH93" i="2421"/>
  <c r="MB107" i="2421"/>
  <c r="MB88" i="2421"/>
  <c r="MB85" i="2421"/>
  <c r="MH72" i="2421"/>
  <c r="MH64" i="2421"/>
  <c r="MH56" i="2421"/>
  <c r="MH48" i="2421"/>
  <c r="MB48" i="2421"/>
  <c r="MB54" i="2421"/>
  <c r="MB41" i="2421"/>
  <c r="MB33" i="2421"/>
  <c r="MB25" i="2421"/>
  <c r="MH14" i="2421"/>
  <c r="MH22" i="2421"/>
  <c r="MJ22" i="2421" s="1"/>
  <c r="MH25" i="2421"/>
  <c r="MH111" i="2421"/>
  <c r="MH92" i="2421"/>
  <c r="MB105" i="2421"/>
  <c r="MB78" i="2421"/>
  <c r="MB81" i="2421"/>
  <c r="MH71" i="2421"/>
  <c r="MH63" i="2421"/>
  <c r="MH55" i="2421"/>
  <c r="MH47" i="2421"/>
  <c r="MB46" i="2421"/>
  <c r="MB52" i="2421"/>
  <c r="MB40" i="2421"/>
  <c r="MB32" i="2421"/>
  <c r="MB24" i="2421"/>
  <c r="MH15" i="2421"/>
  <c r="MH26" i="2421"/>
  <c r="MH109" i="2421"/>
  <c r="MH87" i="2421"/>
  <c r="MB104" i="2421"/>
  <c r="MB76" i="2421"/>
  <c r="MB79" i="2421"/>
  <c r="MH70" i="2421"/>
  <c r="MH62" i="2421"/>
  <c r="MH54" i="2421"/>
  <c r="MH46" i="2421"/>
  <c r="MH44" i="2421"/>
  <c r="MB49" i="2421"/>
  <c r="MB39" i="2421"/>
  <c r="MB31" i="2421"/>
  <c r="MH16" i="2421"/>
  <c r="MH31" i="2421"/>
  <c r="MH108" i="2421"/>
  <c r="MH85" i="2421"/>
  <c r="MB99" i="2421"/>
  <c r="MB75" i="2421"/>
  <c r="MH77" i="2421"/>
  <c r="MH69" i="2421"/>
  <c r="MH61" i="2421"/>
  <c r="MH53" i="2421"/>
  <c r="MH45" i="2421"/>
  <c r="MB61" i="2421"/>
  <c r="MB47" i="2421"/>
  <c r="MB38" i="2421"/>
  <c r="MB30" i="2421"/>
  <c r="MH17" i="2421"/>
  <c r="JF111" i="2421"/>
  <c r="JF103" i="2421"/>
  <c r="JF95" i="2421"/>
  <c r="JF87" i="2421"/>
  <c r="JF76" i="2421"/>
  <c r="JF68" i="2421"/>
  <c r="JF60" i="2421"/>
  <c r="JF52" i="2421"/>
  <c r="JF47" i="2421"/>
  <c r="JF39" i="2421"/>
  <c r="JF31" i="2421"/>
  <c r="JF23" i="2421"/>
  <c r="JF15" i="2421"/>
  <c r="JF110" i="2421"/>
  <c r="JF102" i="2421"/>
  <c r="JF94" i="2421"/>
  <c r="JF86" i="2421"/>
  <c r="JF75" i="2421"/>
  <c r="JF67" i="2421"/>
  <c r="JF59" i="2421"/>
  <c r="JF81" i="2421"/>
  <c r="JF46" i="2421"/>
  <c r="JF38" i="2421"/>
  <c r="JF30" i="2421"/>
  <c r="JF22" i="2421"/>
  <c r="JF14" i="2421"/>
  <c r="JF109" i="2421"/>
  <c r="JF101" i="2421"/>
  <c r="JF93" i="2421"/>
  <c r="JF85" i="2421"/>
  <c r="JF74" i="2421"/>
  <c r="JF66" i="2421"/>
  <c r="JF58" i="2421"/>
  <c r="JF79" i="2421"/>
  <c r="JF45" i="2421"/>
  <c r="JF37" i="2421"/>
  <c r="JF29" i="2421"/>
  <c r="JF21" i="2421"/>
  <c r="JF108" i="2421"/>
  <c r="JF100" i="2421"/>
  <c r="JF92" i="2421"/>
  <c r="JF84" i="2421"/>
  <c r="JF73" i="2421"/>
  <c r="JF65" i="2421"/>
  <c r="JF57" i="2421"/>
  <c r="JF77" i="2421"/>
  <c r="JF44" i="2421"/>
  <c r="JF36" i="2421"/>
  <c r="JF28" i="2421"/>
  <c r="JF20" i="2421"/>
  <c r="JF107" i="2421"/>
  <c r="JF99" i="2421"/>
  <c r="JF91" i="2421"/>
  <c r="JF83" i="2421"/>
  <c r="JF72" i="2421"/>
  <c r="JF64" i="2421"/>
  <c r="JF56" i="2421"/>
  <c r="JF51" i="2421"/>
  <c r="JF43" i="2421"/>
  <c r="JF35" i="2421"/>
  <c r="JF27" i="2421"/>
  <c r="JF19" i="2421"/>
  <c r="JF113" i="2421"/>
  <c r="JF105" i="2421"/>
  <c r="JF97" i="2421"/>
  <c r="JF89" i="2421"/>
  <c r="JF80" i="2421"/>
  <c r="JF70" i="2421"/>
  <c r="JF62" i="2421"/>
  <c r="JF54" i="2421"/>
  <c r="JF49" i="2421"/>
  <c r="JF41" i="2421"/>
  <c r="JF33" i="2421"/>
  <c r="JF25" i="2421"/>
  <c r="JF17" i="2421"/>
  <c r="JF112" i="2421"/>
  <c r="JF104" i="2421"/>
  <c r="JF96" i="2421"/>
  <c r="JF88" i="2421"/>
  <c r="JF78" i="2421"/>
  <c r="JF69" i="2421"/>
  <c r="JF61" i="2421"/>
  <c r="JF53" i="2421"/>
  <c r="JF48" i="2421"/>
  <c r="JF40" i="2421"/>
  <c r="JF32" i="2421"/>
  <c r="JF24" i="2421"/>
  <c r="JF16" i="2421"/>
  <c r="JF82" i="2421"/>
  <c r="JF18" i="2421"/>
  <c r="JF71" i="2421"/>
  <c r="JF63" i="2421"/>
  <c r="JF55" i="2421"/>
  <c r="JF50" i="2421"/>
  <c r="JF106" i="2421"/>
  <c r="JF42" i="2421"/>
  <c r="JF98" i="2421"/>
  <c r="JF34" i="2421"/>
  <c r="JF90" i="2421"/>
  <c r="JF26" i="2421"/>
  <c r="QI55" i="2421"/>
  <c r="QC21" i="2421"/>
  <c r="QC29" i="2421"/>
  <c r="QC37" i="2421"/>
  <c r="QC45" i="2421"/>
  <c r="QC53" i="2421"/>
  <c r="QI106" i="2421"/>
  <c r="QI98" i="2421"/>
  <c r="QI90" i="2421"/>
  <c r="QI82" i="2421"/>
  <c r="QC111" i="2421"/>
  <c r="QC103" i="2421"/>
  <c r="QC95" i="2421"/>
  <c r="QC87" i="2421"/>
  <c r="QI74" i="2421"/>
  <c r="QI66" i="2421"/>
  <c r="QI58" i="2421"/>
  <c r="QC76" i="2421"/>
  <c r="QC68" i="2421"/>
  <c r="QC60" i="2421"/>
  <c r="QI17" i="2421"/>
  <c r="QI25" i="2421"/>
  <c r="QI33" i="2421"/>
  <c r="QK33" i="2421" s="1"/>
  <c r="QI41" i="2421"/>
  <c r="QI49" i="2421"/>
  <c r="QC14" i="2421"/>
  <c r="QC22" i="2421"/>
  <c r="QC30" i="2421"/>
  <c r="QC38" i="2421"/>
  <c r="QC46" i="2421"/>
  <c r="QI113" i="2421"/>
  <c r="QI105" i="2421"/>
  <c r="QI97" i="2421"/>
  <c r="QI89" i="2421"/>
  <c r="QI81" i="2421"/>
  <c r="QC110" i="2421"/>
  <c r="QC102" i="2421"/>
  <c r="QC94" i="2421"/>
  <c r="QC86" i="2421"/>
  <c r="QI73" i="2421"/>
  <c r="QI65" i="2421"/>
  <c r="QI57" i="2421"/>
  <c r="QC75" i="2421"/>
  <c r="QC67" i="2421"/>
  <c r="QC59" i="2421"/>
  <c r="QI18" i="2421"/>
  <c r="QI26" i="2421"/>
  <c r="QI34" i="2421"/>
  <c r="QK34" i="2421" s="1"/>
  <c r="QI42" i="2421"/>
  <c r="QI50" i="2421"/>
  <c r="QC15" i="2421"/>
  <c r="QC23" i="2421"/>
  <c r="QC31" i="2421"/>
  <c r="QC39" i="2421"/>
  <c r="QC47" i="2421"/>
  <c r="QI112" i="2421"/>
  <c r="QI104" i="2421"/>
  <c r="QI96" i="2421"/>
  <c r="QI88" i="2421"/>
  <c r="QI80" i="2421"/>
  <c r="QC109" i="2421"/>
  <c r="QC101" i="2421"/>
  <c r="QC93" i="2421"/>
  <c r="QC83" i="2421"/>
  <c r="QI72" i="2421"/>
  <c r="QI64" i="2421"/>
  <c r="QI56" i="2421"/>
  <c r="QC74" i="2421"/>
  <c r="QC66" i="2421"/>
  <c r="QC58" i="2421"/>
  <c r="QI19" i="2421"/>
  <c r="QI27" i="2421"/>
  <c r="QI35" i="2421"/>
  <c r="QK35" i="2421" s="1"/>
  <c r="QI43" i="2421"/>
  <c r="QI51" i="2421"/>
  <c r="QC16" i="2421"/>
  <c r="QC24" i="2421"/>
  <c r="QC32" i="2421"/>
  <c r="QC40" i="2421"/>
  <c r="QC48" i="2421"/>
  <c r="QI111" i="2421"/>
  <c r="QI103" i="2421"/>
  <c r="QI95" i="2421"/>
  <c r="QI87" i="2421"/>
  <c r="QI79" i="2421"/>
  <c r="QC108" i="2421"/>
  <c r="QC100" i="2421"/>
  <c r="QC92" i="2421"/>
  <c r="QC82" i="2421"/>
  <c r="QI71" i="2421"/>
  <c r="QI63" i="2421"/>
  <c r="QC85" i="2421"/>
  <c r="QC73" i="2421"/>
  <c r="QC65" i="2421"/>
  <c r="QC57" i="2421"/>
  <c r="QI20" i="2421"/>
  <c r="QI28" i="2421"/>
  <c r="QI36" i="2421"/>
  <c r="QI44" i="2421"/>
  <c r="QI52" i="2421"/>
  <c r="QC17" i="2421"/>
  <c r="QC25" i="2421"/>
  <c r="QC33" i="2421"/>
  <c r="QC41" i="2421"/>
  <c r="QC49" i="2421"/>
  <c r="QI110" i="2421"/>
  <c r="QI102" i="2421"/>
  <c r="QI94" i="2421"/>
  <c r="QI86" i="2421"/>
  <c r="QI78" i="2421"/>
  <c r="QC107" i="2421"/>
  <c r="QC99" i="2421"/>
  <c r="QC91" i="2421"/>
  <c r="QC80" i="2421"/>
  <c r="QI70" i="2421"/>
  <c r="QI62" i="2421"/>
  <c r="QC84" i="2421"/>
  <c r="QC72" i="2421"/>
  <c r="QC64" i="2421"/>
  <c r="QC56" i="2421"/>
  <c r="QI21" i="2421"/>
  <c r="QK21" i="2421" s="1"/>
  <c r="QI29" i="2421"/>
  <c r="QI37" i="2421"/>
  <c r="QI45" i="2421"/>
  <c r="QI53" i="2421"/>
  <c r="QC18" i="2421"/>
  <c r="QC26" i="2421"/>
  <c r="QC34" i="2421"/>
  <c r="QC42" i="2421"/>
  <c r="QC50" i="2421"/>
  <c r="QI109" i="2421"/>
  <c r="QI101" i="2421"/>
  <c r="QI93" i="2421"/>
  <c r="QI85" i="2421"/>
  <c r="QI77" i="2421"/>
  <c r="QC106" i="2421"/>
  <c r="QC98" i="2421"/>
  <c r="QC90" i="2421"/>
  <c r="QC78" i="2421"/>
  <c r="QI69" i="2421"/>
  <c r="QI61" i="2421"/>
  <c r="QC81" i="2421"/>
  <c r="QC71" i="2421"/>
  <c r="QC63" i="2421"/>
  <c r="QC55" i="2421"/>
  <c r="QI14" i="2421"/>
  <c r="QI22" i="2421"/>
  <c r="QK22" i="2421" s="1"/>
  <c r="QI30" i="2421"/>
  <c r="QI38" i="2421"/>
  <c r="QI46" i="2421"/>
  <c r="QI54" i="2421"/>
  <c r="QC19" i="2421"/>
  <c r="QC51" i="2421"/>
  <c r="QI84" i="2421"/>
  <c r="QC89" i="2421"/>
  <c r="QC79" i="2421"/>
  <c r="QI23" i="2421"/>
  <c r="QC20" i="2421"/>
  <c r="QC52" i="2421"/>
  <c r="QI83" i="2421"/>
  <c r="QC88" i="2421"/>
  <c r="QC77" i="2421"/>
  <c r="QI24" i="2421"/>
  <c r="QC27" i="2421"/>
  <c r="QI108" i="2421"/>
  <c r="QC113" i="2421"/>
  <c r="QI76" i="2421"/>
  <c r="QC70" i="2421"/>
  <c r="QI31" i="2421"/>
  <c r="QC28" i="2421"/>
  <c r="QI107" i="2421"/>
  <c r="QC112" i="2421"/>
  <c r="QI75" i="2421"/>
  <c r="QC69" i="2421"/>
  <c r="QI32" i="2421"/>
  <c r="QK32" i="2421" s="1"/>
  <c r="QC35" i="2421"/>
  <c r="QI100" i="2421"/>
  <c r="QC105" i="2421"/>
  <c r="QI68" i="2421"/>
  <c r="QC62" i="2421"/>
  <c r="QI39" i="2421"/>
  <c r="QC36" i="2421"/>
  <c r="QI99" i="2421"/>
  <c r="QC104" i="2421"/>
  <c r="QI67" i="2421"/>
  <c r="QC61" i="2421"/>
  <c r="QI40" i="2421"/>
  <c r="QC43" i="2421"/>
  <c r="QI92" i="2421"/>
  <c r="QC97" i="2421"/>
  <c r="QI60" i="2421"/>
  <c r="QC54" i="2421"/>
  <c r="QI15" i="2421"/>
  <c r="QI47" i="2421"/>
  <c r="QC44" i="2421"/>
  <c r="QI91" i="2421"/>
  <c r="QI16" i="2421"/>
  <c r="QC96" i="2421"/>
  <c r="QI48" i="2421"/>
  <c r="QI59" i="2421"/>
  <c r="FS60" i="2421"/>
  <c r="FS57" i="2421"/>
  <c r="FS59" i="2421"/>
  <c r="FS61" i="2421"/>
  <c r="FY16" i="2421"/>
  <c r="FY15" i="2421"/>
  <c r="FY18" i="2421"/>
  <c r="FY14" i="2421"/>
  <c r="FY17" i="2421"/>
  <c r="FY19" i="2421"/>
  <c r="FS20" i="2421"/>
  <c r="FY108" i="2421"/>
  <c r="FY100" i="2421"/>
  <c r="FY92" i="2421"/>
  <c r="FY84" i="2421"/>
  <c r="FY76" i="2421"/>
  <c r="FS107" i="2421"/>
  <c r="FS99" i="2421"/>
  <c r="FS91" i="2421"/>
  <c r="FS81" i="2421"/>
  <c r="FS70" i="2421"/>
  <c r="FS62" i="2421"/>
  <c r="FY72" i="2421"/>
  <c r="FY64" i="2421"/>
  <c r="FY56" i="2421"/>
  <c r="FS47" i="2421"/>
  <c r="FS39" i="2421"/>
  <c r="FS31" i="2421"/>
  <c r="FY53" i="2421"/>
  <c r="FY45" i="2421"/>
  <c r="FY37" i="2421"/>
  <c r="FY29" i="2421"/>
  <c r="FY21" i="2421"/>
  <c r="GA21" i="2421" s="1"/>
  <c r="FS21" i="2421"/>
  <c r="FS14" i="2421"/>
  <c r="FY107" i="2421"/>
  <c r="FY99" i="2421"/>
  <c r="FY91" i="2421"/>
  <c r="FY83" i="2421"/>
  <c r="FY75" i="2421"/>
  <c r="FS106" i="2421"/>
  <c r="FS98" i="2421"/>
  <c r="FS90" i="2421"/>
  <c r="FS79" i="2421"/>
  <c r="FS69" i="2421"/>
  <c r="FS84" i="2421"/>
  <c r="FY71" i="2421"/>
  <c r="FY63" i="2421"/>
  <c r="FY54" i="2421"/>
  <c r="FS46" i="2421"/>
  <c r="FS38" i="2421"/>
  <c r="FS30" i="2421"/>
  <c r="FY52" i="2421"/>
  <c r="FY44" i="2421"/>
  <c r="FY36" i="2421"/>
  <c r="FY28" i="2421"/>
  <c r="FY20" i="2421"/>
  <c r="FS22" i="2421"/>
  <c r="FS15" i="2421"/>
  <c r="FY106" i="2421"/>
  <c r="FY98" i="2421"/>
  <c r="FY90" i="2421"/>
  <c r="FY82" i="2421"/>
  <c r="FS113" i="2421"/>
  <c r="FS105" i="2421"/>
  <c r="FS97" i="2421"/>
  <c r="FS89" i="2421"/>
  <c r="FS77" i="2421"/>
  <c r="FS68" i="2421"/>
  <c r="FS82" i="2421"/>
  <c r="FY70" i="2421"/>
  <c r="FY62" i="2421"/>
  <c r="FS53" i="2421"/>
  <c r="FS45" i="2421"/>
  <c r="FS37" i="2421"/>
  <c r="FS29" i="2421"/>
  <c r="FY51" i="2421"/>
  <c r="FY43" i="2421"/>
  <c r="FY35" i="2421"/>
  <c r="GA35" i="2421" s="1"/>
  <c r="FY27" i="2421"/>
  <c r="FS23" i="2421"/>
  <c r="FS16" i="2421"/>
  <c r="FY113" i="2421"/>
  <c r="FY105" i="2421"/>
  <c r="FY97" i="2421"/>
  <c r="FY89" i="2421"/>
  <c r="FY81" i="2421"/>
  <c r="FS112" i="2421"/>
  <c r="FS104" i="2421"/>
  <c r="FS96" i="2421"/>
  <c r="FS88" i="2421"/>
  <c r="FS75" i="2421"/>
  <c r="FS67" i="2421"/>
  <c r="FS80" i="2421"/>
  <c r="FY69" i="2421"/>
  <c r="FY61" i="2421"/>
  <c r="FS52" i="2421"/>
  <c r="FS44" i="2421"/>
  <c r="FS36" i="2421"/>
  <c r="FS28" i="2421"/>
  <c r="FY50" i="2421"/>
  <c r="FY42" i="2421"/>
  <c r="FY34" i="2421"/>
  <c r="GA34" i="2421" s="1"/>
  <c r="FY26" i="2421"/>
  <c r="FS24" i="2421"/>
  <c r="FS17" i="2421"/>
  <c r="FY112" i="2421"/>
  <c r="FY104" i="2421"/>
  <c r="FY96" i="2421"/>
  <c r="FY88" i="2421"/>
  <c r="FY80" i="2421"/>
  <c r="FS111" i="2421"/>
  <c r="FS103" i="2421"/>
  <c r="FS95" i="2421"/>
  <c r="FS87" i="2421"/>
  <c r="FS74" i="2421"/>
  <c r="FS66" i="2421"/>
  <c r="FS78" i="2421"/>
  <c r="FY68" i="2421"/>
  <c r="FY60" i="2421"/>
  <c r="FS51" i="2421"/>
  <c r="FS43" i="2421"/>
  <c r="FS35" i="2421"/>
  <c r="FS27" i="2421"/>
  <c r="FY49" i="2421"/>
  <c r="FY41" i="2421"/>
  <c r="FY33" i="2421"/>
  <c r="GA33" i="2421" s="1"/>
  <c r="FY25" i="2421"/>
  <c r="FS25" i="2421"/>
  <c r="FS18" i="2421"/>
  <c r="FS58" i="2421"/>
  <c r="FY111" i="2421"/>
  <c r="FY103" i="2421"/>
  <c r="FY95" i="2421"/>
  <c r="FY87" i="2421"/>
  <c r="FY79" i="2421"/>
  <c r="FS110" i="2421"/>
  <c r="FS102" i="2421"/>
  <c r="FS94" i="2421"/>
  <c r="FS86" i="2421"/>
  <c r="FS73" i="2421"/>
  <c r="FS65" i="2421"/>
  <c r="FS76" i="2421"/>
  <c r="FY67" i="2421"/>
  <c r="FY59" i="2421"/>
  <c r="FS50" i="2421"/>
  <c r="FS42" i="2421"/>
  <c r="FS34" i="2421"/>
  <c r="FS56" i="2421"/>
  <c r="FY48" i="2421"/>
  <c r="FY40" i="2421"/>
  <c r="FY32" i="2421"/>
  <c r="GA32" i="2421" s="1"/>
  <c r="FY24" i="2421"/>
  <c r="FS26" i="2421"/>
  <c r="FY110" i="2421"/>
  <c r="FY78" i="2421"/>
  <c r="FS85" i="2421"/>
  <c r="FY66" i="2421"/>
  <c r="FS33" i="2421"/>
  <c r="FY31" i="2421"/>
  <c r="FY109" i="2421"/>
  <c r="FY77" i="2421"/>
  <c r="FS83" i="2421"/>
  <c r="FY65" i="2421"/>
  <c r="FS32" i="2421"/>
  <c r="FY30" i="2421"/>
  <c r="FS55" i="2421"/>
  <c r="FS19" i="2421"/>
  <c r="FY102" i="2421"/>
  <c r="FS109" i="2421"/>
  <c r="FS72" i="2421"/>
  <c r="FY58" i="2421"/>
  <c r="FS54" i="2421"/>
  <c r="FY23" i="2421"/>
  <c r="FY101" i="2421"/>
  <c r="FS108" i="2421"/>
  <c r="FS71" i="2421"/>
  <c r="FY57" i="2421"/>
  <c r="FY55" i="2421"/>
  <c r="FY22" i="2421"/>
  <c r="GA22" i="2421" s="1"/>
  <c r="FY94" i="2421"/>
  <c r="FS101" i="2421"/>
  <c r="FS64" i="2421"/>
  <c r="FS49" i="2421"/>
  <c r="FY47" i="2421"/>
  <c r="FY93" i="2421"/>
  <c r="FS100" i="2421"/>
  <c r="FS63" i="2421"/>
  <c r="FS48" i="2421"/>
  <c r="FY46" i="2421"/>
  <c r="FY86" i="2421"/>
  <c r="FS93" i="2421"/>
  <c r="FY74" i="2421"/>
  <c r="FS41" i="2421"/>
  <c r="FY39" i="2421"/>
  <c r="FY85" i="2421"/>
  <c r="FS92" i="2421"/>
  <c r="FY73" i="2421"/>
  <c r="FS40" i="2421"/>
  <c r="FY38" i="2421"/>
  <c r="GP70" i="2421"/>
  <c r="GP22" i="2421"/>
  <c r="GO21" i="2421"/>
  <c r="GP52" i="2421"/>
  <c r="GP26" i="2421"/>
  <c r="GP50" i="2421"/>
  <c r="GP67" i="2421"/>
  <c r="GP92" i="2421"/>
  <c r="GP73" i="2421"/>
  <c r="GP66" i="2421"/>
  <c r="GP68" i="2421"/>
  <c r="GO95" i="2421"/>
  <c r="GO45" i="2421"/>
  <c r="GO29" i="2421"/>
  <c r="GO75" i="2421"/>
  <c r="GO43" i="2421"/>
  <c r="GO80" i="2421"/>
  <c r="GO20" i="2421"/>
  <c r="GO32" i="2421"/>
  <c r="GO74" i="2421"/>
  <c r="GO78" i="2421"/>
  <c r="GO86" i="2421"/>
  <c r="GO53" i="2421"/>
  <c r="RH27" i="2421"/>
  <c r="RH15" i="2421"/>
  <c r="RH23" i="2421"/>
  <c r="RH111" i="2421"/>
  <c r="RH103" i="2421"/>
  <c r="RH95" i="2421"/>
  <c r="RH87" i="2421"/>
  <c r="RH79" i="2421"/>
  <c r="RH71" i="2421"/>
  <c r="RH63" i="2421"/>
  <c r="RH55" i="2421"/>
  <c r="RH47" i="2421"/>
  <c r="RH39" i="2421"/>
  <c r="RH30" i="2421"/>
  <c r="RH16" i="2421"/>
  <c r="RH24" i="2421"/>
  <c r="RH110" i="2421"/>
  <c r="RH102" i="2421"/>
  <c r="RH94" i="2421"/>
  <c r="RH86" i="2421"/>
  <c r="RH78" i="2421"/>
  <c r="RH70" i="2421"/>
  <c r="RH62" i="2421"/>
  <c r="RH54" i="2421"/>
  <c r="RH46" i="2421"/>
  <c r="RH38" i="2421"/>
  <c r="RH31" i="2421"/>
  <c r="RH17" i="2421"/>
  <c r="RH25" i="2421"/>
  <c r="RH109" i="2421"/>
  <c r="RH101" i="2421"/>
  <c r="RH93" i="2421"/>
  <c r="RH85" i="2421"/>
  <c r="RH77" i="2421"/>
  <c r="RH69" i="2421"/>
  <c r="RH61" i="2421"/>
  <c r="RH53" i="2421"/>
  <c r="RH45" i="2421"/>
  <c r="RH37" i="2421"/>
  <c r="RH18" i="2421"/>
  <c r="RH26" i="2421"/>
  <c r="RH108" i="2421"/>
  <c r="RH100" i="2421"/>
  <c r="RH92" i="2421"/>
  <c r="RH84" i="2421"/>
  <c r="RH76" i="2421"/>
  <c r="RH68" i="2421"/>
  <c r="RH60" i="2421"/>
  <c r="RH52" i="2421"/>
  <c r="RH44" i="2421"/>
  <c r="RH36" i="2421"/>
  <c r="RH19" i="2421"/>
  <c r="RH107" i="2421"/>
  <c r="RH99" i="2421"/>
  <c r="RH91" i="2421"/>
  <c r="RH83" i="2421"/>
  <c r="RH75" i="2421"/>
  <c r="RH67" i="2421"/>
  <c r="RH59" i="2421"/>
  <c r="RH51" i="2421"/>
  <c r="RH43" i="2421"/>
  <c r="RH35" i="2421"/>
  <c r="RH20" i="2421"/>
  <c r="RH106" i="2421"/>
  <c r="RH98" i="2421"/>
  <c r="RH90" i="2421"/>
  <c r="RH81" i="2421"/>
  <c r="RH74" i="2421"/>
  <c r="RH66" i="2421"/>
  <c r="RH58" i="2421"/>
  <c r="RH50" i="2421"/>
  <c r="RH42" i="2421"/>
  <c r="RH34" i="2421"/>
  <c r="RH113" i="2421"/>
  <c r="RH82" i="2421"/>
  <c r="RH49" i="2421"/>
  <c r="RH28" i="2421"/>
  <c r="RH14" i="2421"/>
  <c r="RH112" i="2421"/>
  <c r="RH80" i="2421"/>
  <c r="RH48" i="2421"/>
  <c r="RH29" i="2421"/>
  <c r="RH21" i="2421"/>
  <c r="RH105" i="2421"/>
  <c r="RH73" i="2421"/>
  <c r="RH41" i="2421"/>
  <c r="RH22" i="2421"/>
  <c r="RH104" i="2421"/>
  <c r="RH72" i="2421"/>
  <c r="RH40" i="2421"/>
  <c r="RH97" i="2421"/>
  <c r="RH65" i="2421"/>
  <c r="RH33" i="2421"/>
  <c r="RH96" i="2421"/>
  <c r="RH64" i="2421"/>
  <c r="RH32" i="2421"/>
  <c r="RH89" i="2421"/>
  <c r="RH57" i="2421"/>
  <c r="RH88" i="2421"/>
  <c r="RH56" i="2421"/>
  <c r="MJ57" i="2421"/>
  <c r="MJ54" i="2421"/>
  <c r="MJ27" i="2421"/>
  <c r="MJ76" i="2421"/>
  <c r="MJ48" i="2421"/>
  <c r="MJ108" i="2421"/>
  <c r="MJ88" i="2421"/>
  <c r="MJ80" i="2421"/>
  <c r="MJ40" i="2421"/>
  <c r="MJ79" i="2421"/>
  <c r="MJ62" i="2421"/>
  <c r="MJ105" i="2421"/>
  <c r="MI51" i="2421"/>
  <c r="MI61" i="2421"/>
  <c r="MI35" i="2421"/>
  <c r="MI75" i="2421"/>
  <c r="MI27" i="2421"/>
  <c r="MI54" i="2421"/>
  <c r="MI78" i="2421"/>
  <c r="MI73" i="2421"/>
  <c r="MI30" i="2421"/>
  <c r="MI85" i="2421"/>
  <c r="MI86" i="2421"/>
  <c r="MI34" i="2421"/>
  <c r="MC22" i="2421"/>
  <c r="MC48" i="2421"/>
  <c r="MC46" i="2421"/>
  <c r="MC20" i="2421"/>
  <c r="MC108" i="2421"/>
  <c r="MC100" i="2421"/>
  <c r="MC92" i="2421"/>
  <c r="MC84" i="2421"/>
  <c r="MC76" i="2421"/>
  <c r="MC68" i="2421"/>
  <c r="MC60" i="2421"/>
  <c r="MC52" i="2421"/>
  <c r="MC42" i="2421"/>
  <c r="MC34" i="2421"/>
  <c r="MC26" i="2421"/>
  <c r="MC21" i="2421"/>
  <c r="MC107" i="2421"/>
  <c r="MC99" i="2421"/>
  <c r="MC91" i="2421"/>
  <c r="MC83" i="2421"/>
  <c r="MC75" i="2421"/>
  <c r="MC67" i="2421"/>
  <c r="MC59" i="2421"/>
  <c r="MC51" i="2421"/>
  <c r="MC41" i="2421"/>
  <c r="MC33" i="2421"/>
  <c r="MC25" i="2421"/>
  <c r="MC14" i="2421"/>
  <c r="MC106" i="2421"/>
  <c r="MC98" i="2421"/>
  <c r="MC90" i="2421"/>
  <c r="MC82" i="2421"/>
  <c r="MC74" i="2421"/>
  <c r="MC66" i="2421"/>
  <c r="MC58" i="2421"/>
  <c r="MC50" i="2421"/>
  <c r="MC40" i="2421"/>
  <c r="MC32" i="2421"/>
  <c r="MC24" i="2421"/>
  <c r="MC15" i="2421"/>
  <c r="MC113" i="2421"/>
  <c r="MC105" i="2421"/>
  <c r="MC97" i="2421"/>
  <c r="MC89" i="2421"/>
  <c r="MC81" i="2421"/>
  <c r="MC73" i="2421"/>
  <c r="MC65" i="2421"/>
  <c r="MC57" i="2421"/>
  <c r="MC49" i="2421"/>
  <c r="MC39" i="2421"/>
  <c r="MC31" i="2421"/>
  <c r="MC23" i="2421"/>
  <c r="MC16" i="2421"/>
  <c r="MC112" i="2421"/>
  <c r="MC104" i="2421"/>
  <c r="MC96" i="2421"/>
  <c r="MC88" i="2421"/>
  <c r="MC79" i="2421"/>
  <c r="MC72" i="2421"/>
  <c r="MC64" i="2421"/>
  <c r="MC56" i="2421"/>
  <c r="MC47" i="2421"/>
  <c r="MC38" i="2421"/>
  <c r="MC30" i="2421"/>
  <c r="MC17" i="2421"/>
  <c r="MC111" i="2421"/>
  <c r="MC103" i="2421"/>
  <c r="MC95" i="2421"/>
  <c r="MC87" i="2421"/>
  <c r="MC80" i="2421"/>
  <c r="MC71" i="2421"/>
  <c r="MC63" i="2421"/>
  <c r="MC55" i="2421"/>
  <c r="MC45" i="2421"/>
  <c r="MC37" i="2421"/>
  <c r="MC29" i="2421"/>
  <c r="MC18" i="2421"/>
  <c r="MC110" i="2421"/>
  <c r="MC102" i="2421"/>
  <c r="MC94" i="2421"/>
  <c r="MC86" i="2421"/>
  <c r="MC78" i="2421"/>
  <c r="MC70" i="2421"/>
  <c r="MC62" i="2421"/>
  <c r="MC54" i="2421"/>
  <c r="MC44" i="2421"/>
  <c r="MC36" i="2421"/>
  <c r="MC28" i="2421"/>
  <c r="MC19" i="2421"/>
  <c r="MC109" i="2421"/>
  <c r="MC101" i="2421"/>
  <c r="MC93" i="2421"/>
  <c r="MC85" i="2421"/>
  <c r="MC77" i="2421"/>
  <c r="MC69" i="2421"/>
  <c r="MC61" i="2421"/>
  <c r="MC53" i="2421"/>
  <c r="MC43" i="2421"/>
  <c r="MC35" i="2421"/>
  <c r="MC27" i="2421"/>
  <c r="GH32" i="2421"/>
  <c r="GH23" i="2421"/>
  <c r="GN113" i="2421"/>
  <c r="GN105" i="2421"/>
  <c r="GN97" i="2421"/>
  <c r="GN89" i="2421"/>
  <c r="GN81" i="2421"/>
  <c r="GH110" i="2421"/>
  <c r="GH102" i="2421"/>
  <c r="GH94" i="2421"/>
  <c r="GH86" i="2421"/>
  <c r="GN73" i="2421"/>
  <c r="GN65" i="2421"/>
  <c r="GH71" i="2421"/>
  <c r="GH76" i="2421"/>
  <c r="GN53" i="2421"/>
  <c r="GN45" i="2421"/>
  <c r="GN37" i="2421"/>
  <c r="GN29" i="2421"/>
  <c r="GH69" i="2421"/>
  <c r="GH66" i="2421"/>
  <c r="GH51" i="2421"/>
  <c r="GH43" i="2421"/>
  <c r="GH35" i="2421"/>
  <c r="GH27" i="2421"/>
  <c r="GH34" i="2421"/>
  <c r="GN23" i="2421"/>
  <c r="GN17" i="2421"/>
  <c r="GN112" i="2421"/>
  <c r="GN104" i="2421"/>
  <c r="GN96" i="2421"/>
  <c r="GN88" i="2421"/>
  <c r="GN80" i="2421"/>
  <c r="GH109" i="2421"/>
  <c r="GH101" i="2421"/>
  <c r="GH93" i="2421"/>
  <c r="GH83" i="2421"/>
  <c r="GN72" i="2421"/>
  <c r="GN64" i="2421"/>
  <c r="GH67" i="2421"/>
  <c r="GH72" i="2421"/>
  <c r="GN52" i="2421"/>
  <c r="GN44" i="2421"/>
  <c r="GN36" i="2421"/>
  <c r="GN28" i="2421"/>
  <c r="GH65" i="2421"/>
  <c r="GH62" i="2421"/>
  <c r="GH50" i="2421"/>
  <c r="GH42" i="2421"/>
  <c r="GH31" i="2421"/>
  <c r="GN18" i="2421"/>
  <c r="GH25" i="2421"/>
  <c r="GN111" i="2421"/>
  <c r="GN103" i="2421"/>
  <c r="GN95" i="2421"/>
  <c r="GN87" i="2421"/>
  <c r="GN79" i="2421"/>
  <c r="GH108" i="2421"/>
  <c r="GH100" i="2421"/>
  <c r="GH92" i="2421"/>
  <c r="GH82" i="2421"/>
  <c r="GN71" i="2421"/>
  <c r="GN63" i="2421"/>
  <c r="GH63" i="2421"/>
  <c r="GH68" i="2421"/>
  <c r="GN51" i="2421"/>
  <c r="GN43" i="2421"/>
  <c r="GN35" i="2421"/>
  <c r="GP35" i="2421" s="1"/>
  <c r="GN27" i="2421"/>
  <c r="GH60" i="2421"/>
  <c r="GN59" i="2421"/>
  <c r="GH49" i="2421"/>
  <c r="GH41" i="2421"/>
  <c r="GH29" i="2421"/>
  <c r="GN19" i="2421"/>
  <c r="GN110" i="2421"/>
  <c r="GN102" i="2421"/>
  <c r="GN94" i="2421"/>
  <c r="GN86" i="2421"/>
  <c r="GN78" i="2421"/>
  <c r="GH107" i="2421"/>
  <c r="GH99" i="2421"/>
  <c r="GH91" i="2421"/>
  <c r="GH80" i="2421"/>
  <c r="GN70" i="2421"/>
  <c r="GN62" i="2421"/>
  <c r="GN61" i="2421"/>
  <c r="GH64" i="2421"/>
  <c r="GN50" i="2421"/>
  <c r="GN42" i="2421"/>
  <c r="GN34" i="2421"/>
  <c r="GN26" i="2421"/>
  <c r="GH58" i="2421"/>
  <c r="GN57" i="2421"/>
  <c r="GH48" i="2421"/>
  <c r="GH40" i="2421"/>
  <c r="GN20" i="2421"/>
  <c r="GH15" i="2421"/>
  <c r="GH33" i="2421"/>
  <c r="GN109" i="2421"/>
  <c r="GN101" i="2421"/>
  <c r="GN93" i="2421"/>
  <c r="GN85" i="2421"/>
  <c r="GN77" i="2421"/>
  <c r="GH106" i="2421"/>
  <c r="GH98" i="2421"/>
  <c r="GH90" i="2421"/>
  <c r="GH78" i="2421"/>
  <c r="GN69" i="2421"/>
  <c r="GH85" i="2421"/>
  <c r="GH61" i="2421"/>
  <c r="GN60" i="2421"/>
  <c r="GN49" i="2421"/>
  <c r="GN41" i="2421"/>
  <c r="GN33" i="2421"/>
  <c r="GN25" i="2421"/>
  <c r="GH56" i="2421"/>
  <c r="GN55" i="2421"/>
  <c r="GH47" i="2421"/>
  <c r="GH39" i="2421"/>
  <c r="GH16" i="2421"/>
  <c r="GH17" i="2421"/>
  <c r="GH14" i="2421"/>
  <c r="GN21" i="2421"/>
  <c r="GP21" i="2421" s="1"/>
  <c r="GN108" i="2421"/>
  <c r="GN100" i="2421"/>
  <c r="GN92" i="2421"/>
  <c r="GN84" i="2421"/>
  <c r="GH113" i="2421"/>
  <c r="GH105" i="2421"/>
  <c r="GH97" i="2421"/>
  <c r="GH89" i="2421"/>
  <c r="GN76" i="2421"/>
  <c r="GN68" i="2421"/>
  <c r="GH84" i="2421"/>
  <c r="GH59" i="2421"/>
  <c r="GN58" i="2421"/>
  <c r="GN48" i="2421"/>
  <c r="GN40" i="2421"/>
  <c r="GN32" i="2421"/>
  <c r="GP32" i="2421" s="1"/>
  <c r="GN24" i="2421"/>
  <c r="GH79" i="2421"/>
  <c r="GH54" i="2421"/>
  <c r="GH46" i="2421"/>
  <c r="GH38" i="2421"/>
  <c r="GH18" i="2421"/>
  <c r="GN14" i="2421"/>
  <c r="GN22" i="2421"/>
  <c r="GH19" i="2421"/>
  <c r="GN99" i="2421"/>
  <c r="GH104" i="2421"/>
  <c r="GN67" i="2421"/>
  <c r="GN47" i="2421"/>
  <c r="GH74" i="2421"/>
  <c r="GH20" i="2421"/>
  <c r="GH21" i="2421"/>
  <c r="GN98" i="2421"/>
  <c r="GH103" i="2421"/>
  <c r="GN66" i="2421"/>
  <c r="GN46" i="2421"/>
  <c r="GH70" i="2421"/>
  <c r="GH22" i="2421"/>
  <c r="GN16" i="2421"/>
  <c r="GN91" i="2421"/>
  <c r="GH96" i="2421"/>
  <c r="GH81" i="2421"/>
  <c r="GN39" i="2421"/>
  <c r="GH53" i="2421"/>
  <c r="GH26" i="2421"/>
  <c r="GN15" i="2421"/>
  <c r="GN90" i="2421"/>
  <c r="GH95" i="2421"/>
  <c r="GH75" i="2421"/>
  <c r="GN38" i="2421"/>
  <c r="GH52" i="2421"/>
  <c r="GH30" i="2421"/>
  <c r="GH24" i="2421"/>
  <c r="GN83" i="2421"/>
  <c r="GH88" i="2421"/>
  <c r="GH57" i="2421"/>
  <c r="GN31" i="2421"/>
  <c r="GH45" i="2421"/>
  <c r="GH28" i="2421"/>
  <c r="GN82" i="2421"/>
  <c r="GH87" i="2421"/>
  <c r="GH55" i="2421"/>
  <c r="GN30" i="2421"/>
  <c r="GH44" i="2421"/>
  <c r="GN107" i="2421"/>
  <c r="GH112" i="2421"/>
  <c r="GN75" i="2421"/>
  <c r="GN56" i="2421"/>
  <c r="GH77" i="2421"/>
  <c r="GH37" i="2421"/>
  <c r="GN106" i="2421"/>
  <c r="GH111" i="2421"/>
  <c r="GN74" i="2421"/>
  <c r="GN54" i="2421"/>
  <c r="GH73" i="2421"/>
  <c r="GH36" i="2421"/>
  <c r="EF112" i="2421"/>
  <c r="EF104" i="2421"/>
  <c r="EF96" i="2421"/>
  <c r="EF88" i="2421"/>
  <c r="EF80" i="2421"/>
  <c r="DZ110" i="2421"/>
  <c r="DZ102" i="2421"/>
  <c r="DZ94" i="2421"/>
  <c r="DZ86" i="2421"/>
  <c r="EF72" i="2421"/>
  <c r="EF64" i="2421"/>
  <c r="EF56" i="2421"/>
  <c r="DZ75" i="2421"/>
  <c r="DZ67" i="2421"/>
  <c r="DZ84" i="2421"/>
  <c r="DZ49" i="2421"/>
  <c r="DZ41" i="2421"/>
  <c r="DZ33" i="2421"/>
  <c r="EF18" i="2421"/>
  <c r="DZ27" i="2421"/>
  <c r="EF41" i="2421"/>
  <c r="EF26" i="2421"/>
  <c r="EF21" i="2421"/>
  <c r="EH21" i="2421" s="1"/>
  <c r="DZ20" i="2421"/>
  <c r="EF38" i="2421"/>
  <c r="EF111" i="2421"/>
  <c r="EF103" i="2421"/>
  <c r="EF95" i="2421"/>
  <c r="EF87" i="2421"/>
  <c r="EF79" i="2421"/>
  <c r="DZ109" i="2421"/>
  <c r="DZ101" i="2421"/>
  <c r="DZ93" i="2421"/>
  <c r="DZ83" i="2421"/>
  <c r="EF71" i="2421"/>
  <c r="EF63" i="2421"/>
  <c r="EF55" i="2421"/>
  <c r="DZ74" i="2421"/>
  <c r="DZ66" i="2421"/>
  <c r="DZ58" i="2421"/>
  <c r="DZ48" i="2421"/>
  <c r="DZ40" i="2421"/>
  <c r="DZ32" i="2421"/>
  <c r="EF27" i="2421"/>
  <c r="EF43" i="2421"/>
  <c r="DZ24" i="2421"/>
  <c r="EF16" i="2421"/>
  <c r="DZ22" i="2421"/>
  <c r="EF40" i="2421"/>
  <c r="EF110" i="2421"/>
  <c r="EF102" i="2421"/>
  <c r="EF94" i="2421"/>
  <c r="EF86" i="2421"/>
  <c r="EF78" i="2421"/>
  <c r="DZ108" i="2421"/>
  <c r="DZ100" i="2421"/>
  <c r="DZ92" i="2421"/>
  <c r="DZ81" i="2421"/>
  <c r="EF70" i="2421"/>
  <c r="EF62" i="2421"/>
  <c r="EF54" i="2421"/>
  <c r="DZ73" i="2421"/>
  <c r="DZ65" i="2421"/>
  <c r="DZ56" i="2421"/>
  <c r="DZ47" i="2421"/>
  <c r="DZ39" i="2421"/>
  <c r="DZ31" i="2421"/>
  <c r="DZ15" i="2421"/>
  <c r="EF29" i="2421"/>
  <c r="EF45" i="2421"/>
  <c r="EF15" i="2421"/>
  <c r="EF24" i="2421"/>
  <c r="EF20" i="2421"/>
  <c r="DZ25" i="2421"/>
  <c r="EF42" i="2421"/>
  <c r="EF109" i="2421"/>
  <c r="EF101" i="2421"/>
  <c r="EF93" i="2421"/>
  <c r="EF85" i="2421"/>
  <c r="EF77" i="2421"/>
  <c r="DZ107" i="2421"/>
  <c r="DZ99" i="2421"/>
  <c r="DZ91" i="2421"/>
  <c r="DZ79" i="2421"/>
  <c r="EF69" i="2421"/>
  <c r="EF61" i="2421"/>
  <c r="DZ85" i="2421"/>
  <c r="DZ72" i="2421"/>
  <c r="DZ64" i="2421"/>
  <c r="DZ54" i="2421"/>
  <c r="DZ46" i="2421"/>
  <c r="DZ38" i="2421"/>
  <c r="DZ30" i="2421"/>
  <c r="DZ17" i="2421"/>
  <c r="EF31" i="2421"/>
  <c r="EF47" i="2421"/>
  <c r="DZ28" i="2421"/>
  <c r="EF22" i="2421"/>
  <c r="EH22" i="2421" s="1"/>
  <c r="EF25" i="2421"/>
  <c r="EF44" i="2421"/>
  <c r="EF108" i="2421"/>
  <c r="EF100" i="2421"/>
  <c r="EF92" i="2421"/>
  <c r="EF84" i="2421"/>
  <c r="EF76" i="2421"/>
  <c r="DZ106" i="2421"/>
  <c r="DZ98" i="2421"/>
  <c r="DZ90" i="2421"/>
  <c r="DZ77" i="2421"/>
  <c r="EF68" i="2421"/>
  <c r="EF60" i="2421"/>
  <c r="DZ82" i="2421"/>
  <c r="DZ71" i="2421"/>
  <c r="DZ63" i="2421"/>
  <c r="DZ53" i="2421"/>
  <c r="DZ45" i="2421"/>
  <c r="DZ37" i="2421"/>
  <c r="DZ29" i="2421"/>
  <c r="DZ19" i="2421"/>
  <c r="EF33" i="2421"/>
  <c r="EH33" i="2421" s="1"/>
  <c r="EF49" i="2421"/>
  <c r="EF17" i="2421"/>
  <c r="EF28" i="2421"/>
  <c r="DZ26" i="2421"/>
  <c r="EF30" i="2421"/>
  <c r="EF46" i="2421"/>
  <c r="EF107" i="2421"/>
  <c r="EF99" i="2421"/>
  <c r="EF91" i="2421"/>
  <c r="EF83" i="2421"/>
  <c r="DZ113" i="2421"/>
  <c r="DZ105" i="2421"/>
  <c r="DZ97" i="2421"/>
  <c r="DZ89" i="2421"/>
  <c r="EF75" i="2421"/>
  <c r="EF67" i="2421"/>
  <c r="EF59" i="2421"/>
  <c r="DZ80" i="2421"/>
  <c r="DZ70" i="2421"/>
  <c r="DZ62" i="2421"/>
  <c r="DZ52" i="2421"/>
  <c r="DZ44" i="2421"/>
  <c r="DZ36" i="2421"/>
  <c r="DZ57" i="2421"/>
  <c r="DZ21" i="2421"/>
  <c r="EF35" i="2421"/>
  <c r="EH35" i="2421" s="1"/>
  <c r="EF51" i="2421"/>
  <c r="DZ14" i="2421"/>
  <c r="EF32" i="2421"/>
  <c r="EH32" i="2421" s="1"/>
  <c r="EF48" i="2421"/>
  <c r="EF90" i="2421"/>
  <c r="DZ96" i="2421"/>
  <c r="EF58" i="2421"/>
  <c r="DZ51" i="2421"/>
  <c r="EF37" i="2421"/>
  <c r="DZ16" i="2421"/>
  <c r="EF89" i="2421"/>
  <c r="DZ95" i="2421"/>
  <c r="EF57" i="2421"/>
  <c r="DZ50" i="2421"/>
  <c r="EF39" i="2421"/>
  <c r="DZ18" i="2421"/>
  <c r="EF82" i="2421"/>
  <c r="DZ88" i="2421"/>
  <c r="DZ78" i="2421"/>
  <c r="DZ43" i="2421"/>
  <c r="EF53" i="2421"/>
  <c r="EF34" i="2421"/>
  <c r="EH34" i="2421" s="1"/>
  <c r="EF113" i="2421"/>
  <c r="EF81" i="2421"/>
  <c r="DZ87" i="2421"/>
  <c r="DZ76" i="2421"/>
  <c r="DZ42" i="2421"/>
  <c r="DZ59" i="2421"/>
  <c r="EF36" i="2421"/>
  <c r="EF106" i="2421"/>
  <c r="DZ112" i="2421"/>
  <c r="EF74" i="2421"/>
  <c r="DZ69" i="2421"/>
  <c r="DZ35" i="2421"/>
  <c r="EF19" i="2421"/>
  <c r="EF50" i="2421"/>
  <c r="EF105" i="2421"/>
  <c r="DZ111" i="2421"/>
  <c r="EF73" i="2421"/>
  <c r="DZ68" i="2421"/>
  <c r="DZ34" i="2421"/>
  <c r="EF52" i="2421"/>
  <c r="EF98" i="2421"/>
  <c r="DZ104" i="2421"/>
  <c r="EF66" i="2421"/>
  <c r="DZ61" i="2421"/>
  <c r="DZ55" i="2421"/>
  <c r="DZ23" i="2421"/>
  <c r="EF97" i="2421"/>
  <c r="DZ103" i="2421"/>
  <c r="EF65" i="2421"/>
  <c r="DZ60" i="2421"/>
  <c r="EF14" i="2421"/>
  <c r="EF23" i="2421"/>
  <c r="JE18" i="2421"/>
  <c r="JE25" i="2421"/>
  <c r="JE20" i="2421"/>
  <c r="JE15" i="2421"/>
  <c r="JE22" i="2421"/>
  <c r="JK14" i="2421"/>
  <c r="JE24" i="2421"/>
  <c r="JE17" i="2421"/>
  <c r="JE14" i="2421"/>
  <c r="JE19" i="2421"/>
  <c r="JE26" i="2421"/>
  <c r="JE21" i="2421"/>
  <c r="JE16" i="2421"/>
  <c r="JE23" i="2421"/>
  <c r="JK111" i="2421"/>
  <c r="JK103" i="2421"/>
  <c r="JK95" i="2421"/>
  <c r="JK87" i="2421"/>
  <c r="JK79" i="2421"/>
  <c r="JE109" i="2421"/>
  <c r="JE101" i="2421"/>
  <c r="JE93" i="2421"/>
  <c r="JE83" i="2421"/>
  <c r="JK71" i="2421"/>
  <c r="JK63" i="2421"/>
  <c r="JE78" i="2421"/>
  <c r="JE70" i="2421"/>
  <c r="JE62" i="2421"/>
  <c r="JE54" i="2421"/>
  <c r="JK58" i="2421"/>
  <c r="JK22" i="2421"/>
  <c r="JM22" i="2421" s="1"/>
  <c r="JK26" i="2421"/>
  <c r="JK34" i="2421"/>
  <c r="JM34" i="2421" s="1"/>
  <c r="JK42" i="2421"/>
  <c r="JK50" i="2421"/>
  <c r="JK110" i="2421"/>
  <c r="JK102" i="2421"/>
  <c r="JK94" i="2421"/>
  <c r="JK86" i="2421"/>
  <c r="JK78" i="2421"/>
  <c r="JE108" i="2421"/>
  <c r="JE100" i="2421"/>
  <c r="JE92" i="2421"/>
  <c r="JE81" i="2421"/>
  <c r="JK70" i="2421"/>
  <c r="JK62" i="2421"/>
  <c r="JE84" i="2421"/>
  <c r="JE69" i="2421"/>
  <c r="JE61" i="2421"/>
  <c r="JE53" i="2421"/>
  <c r="JK15" i="2421"/>
  <c r="JK27" i="2421"/>
  <c r="JK35" i="2421"/>
  <c r="JM35" i="2421" s="1"/>
  <c r="JK43" i="2421"/>
  <c r="JK51" i="2421"/>
  <c r="JK109" i="2421"/>
  <c r="JK101" i="2421"/>
  <c r="JK93" i="2421"/>
  <c r="JK85" i="2421"/>
  <c r="JK77" i="2421"/>
  <c r="JE107" i="2421"/>
  <c r="JE99" i="2421"/>
  <c r="JE91" i="2421"/>
  <c r="JE79" i="2421"/>
  <c r="JK69" i="2421"/>
  <c r="JK61" i="2421"/>
  <c r="JE76" i="2421"/>
  <c r="JE68" i="2421"/>
  <c r="JE60" i="2421"/>
  <c r="JK16" i="2421"/>
  <c r="JK23" i="2421"/>
  <c r="JK28" i="2421"/>
  <c r="JK36" i="2421"/>
  <c r="JK44" i="2421"/>
  <c r="JE31" i="2421"/>
  <c r="JE39" i="2421"/>
  <c r="JE47" i="2421"/>
  <c r="JK108" i="2421"/>
  <c r="JK100" i="2421"/>
  <c r="JK92" i="2421"/>
  <c r="JK84" i="2421"/>
  <c r="JK76" i="2421"/>
  <c r="JE106" i="2421"/>
  <c r="JE98" i="2421"/>
  <c r="JE90" i="2421"/>
  <c r="JE77" i="2421"/>
  <c r="JK68" i="2421"/>
  <c r="JK60" i="2421"/>
  <c r="JE75" i="2421"/>
  <c r="JE67" i="2421"/>
  <c r="JE59" i="2421"/>
  <c r="JK52" i="2421"/>
  <c r="JK17" i="2421"/>
  <c r="JK29" i="2421"/>
  <c r="JK37" i="2421"/>
  <c r="JK45" i="2421"/>
  <c r="JK107" i="2421"/>
  <c r="JK99" i="2421"/>
  <c r="JK91" i="2421"/>
  <c r="JK83" i="2421"/>
  <c r="JE113" i="2421"/>
  <c r="JE105" i="2421"/>
  <c r="JE97" i="2421"/>
  <c r="JE89" i="2421"/>
  <c r="JK75" i="2421"/>
  <c r="JK67" i="2421"/>
  <c r="JK59" i="2421"/>
  <c r="JE74" i="2421"/>
  <c r="JE66" i="2421"/>
  <c r="JE58" i="2421"/>
  <c r="JK53" i="2421"/>
  <c r="JK18" i="2421"/>
  <c r="JK24" i="2421"/>
  <c r="JK30" i="2421"/>
  <c r="JK38" i="2421"/>
  <c r="JK46" i="2421"/>
  <c r="JK113" i="2421"/>
  <c r="JK105" i="2421"/>
  <c r="JK97" i="2421"/>
  <c r="JK89" i="2421"/>
  <c r="JK81" i="2421"/>
  <c r="JE111" i="2421"/>
  <c r="JE103" i="2421"/>
  <c r="JE95" i="2421"/>
  <c r="JE87" i="2421"/>
  <c r="JK73" i="2421"/>
  <c r="JK65" i="2421"/>
  <c r="JE82" i="2421"/>
  <c r="JE72" i="2421"/>
  <c r="JE64" i="2421"/>
  <c r="JE56" i="2421"/>
  <c r="JK55" i="2421"/>
  <c r="JK20" i="2421"/>
  <c r="JK25" i="2421"/>
  <c r="JK32" i="2421"/>
  <c r="JM32" i="2421" s="1"/>
  <c r="JK40" i="2421"/>
  <c r="JK48" i="2421"/>
  <c r="JE27" i="2421"/>
  <c r="JE35" i="2421"/>
  <c r="JE43" i="2421"/>
  <c r="JK112" i="2421"/>
  <c r="JK104" i="2421"/>
  <c r="JK96" i="2421"/>
  <c r="JK88" i="2421"/>
  <c r="JK80" i="2421"/>
  <c r="JE110" i="2421"/>
  <c r="JE102" i="2421"/>
  <c r="JE94" i="2421"/>
  <c r="JE86" i="2421"/>
  <c r="JK72" i="2421"/>
  <c r="JK64" i="2421"/>
  <c r="JE80" i="2421"/>
  <c r="JE71" i="2421"/>
  <c r="JE63" i="2421"/>
  <c r="JE55" i="2421"/>
  <c r="JK56" i="2421"/>
  <c r="JK21" i="2421"/>
  <c r="JM21" i="2421" s="1"/>
  <c r="JK33" i="2421"/>
  <c r="JM33" i="2421" s="1"/>
  <c r="JK41" i="2421"/>
  <c r="JK49" i="2421"/>
  <c r="JE96" i="2421"/>
  <c r="JK19" i="2421"/>
  <c r="JK57" i="2421"/>
  <c r="JE37" i="2421"/>
  <c r="JE48" i="2421"/>
  <c r="JE88" i="2421"/>
  <c r="JE28" i="2421"/>
  <c r="JE38" i="2421"/>
  <c r="JE49" i="2421"/>
  <c r="JK106" i="2421"/>
  <c r="JK74" i="2421"/>
  <c r="JK31" i="2421"/>
  <c r="JE29" i="2421"/>
  <c r="JE40" i="2421"/>
  <c r="JE50" i="2421"/>
  <c r="JK98" i="2421"/>
  <c r="JK66" i="2421"/>
  <c r="JK39" i="2421"/>
  <c r="JE30" i="2421"/>
  <c r="JE41" i="2421"/>
  <c r="JE51" i="2421"/>
  <c r="JK90" i="2421"/>
  <c r="JE85" i="2421"/>
  <c r="JK47" i="2421"/>
  <c r="JE32" i="2421"/>
  <c r="JE42" i="2421"/>
  <c r="JE52" i="2421"/>
  <c r="JK82" i="2421"/>
  <c r="JE73" i="2421"/>
  <c r="JE33" i="2421"/>
  <c r="JE44" i="2421"/>
  <c r="JE112" i="2421"/>
  <c r="JE65" i="2421"/>
  <c r="JE34" i="2421"/>
  <c r="JE45" i="2421"/>
  <c r="JE104" i="2421"/>
  <c r="JE57" i="2421"/>
  <c r="JK54" i="2421"/>
  <c r="JE36" i="2421"/>
  <c r="JE46" i="2421"/>
  <c r="MW93" i="2421"/>
  <c r="MW85" i="2421"/>
  <c r="MW69" i="2421"/>
  <c r="MW50" i="2421"/>
  <c r="MW47" i="2421"/>
  <c r="MW39" i="2421"/>
  <c r="MW31" i="2421"/>
  <c r="MW23" i="2421"/>
  <c r="MW75" i="2421"/>
  <c r="MW56" i="2421"/>
  <c r="MW44" i="2421"/>
  <c r="MW36" i="2421"/>
  <c r="MW28" i="2421"/>
  <c r="MW81" i="2421"/>
  <c r="MW65" i="2421"/>
  <c r="MW41" i="2421"/>
  <c r="MW33" i="2421"/>
  <c r="MY33" i="2421" s="1"/>
  <c r="MW25" i="2421"/>
  <c r="MW71" i="2421"/>
  <c r="MW52" i="2421"/>
  <c r="MW46" i="2421"/>
  <c r="MW38" i="2421"/>
  <c r="MW30" i="2421"/>
  <c r="MW77" i="2421"/>
  <c r="MW61" i="2421"/>
  <c r="MW58" i="2421"/>
  <c r="MW43" i="2421"/>
  <c r="MW35" i="2421"/>
  <c r="MY35" i="2421" s="1"/>
  <c r="MW27" i="2421"/>
  <c r="MW83" i="2421"/>
  <c r="MW67" i="2421"/>
  <c r="MQ61" i="2421"/>
  <c r="MW48" i="2421"/>
  <c r="MW40" i="2421"/>
  <c r="MW32" i="2421"/>
  <c r="MY32" i="2421" s="1"/>
  <c r="MW24" i="2421"/>
  <c r="MW45" i="2421"/>
  <c r="MW20" i="2421"/>
  <c r="MW34" i="2421"/>
  <c r="MY34" i="2421" s="1"/>
  <c r="MW17" i="2421"/>
  <c r="MW54" i="2421"/>
  <c r="MW22" i="2421"/>
  <c r="MY22" i="2421" s="1"/>
  <c r="MW79" i="2421"/>
  <c r="MW42" i="2421"/>
  <c r="MW19" i="2421"/>
  <c r="MW29" i="2421"/>
  <c r="MW16" i="2421"/>
  <c r="MW63" i="2421"/>
  <c r="MW21" i="2421"/>
  <c r="MY21" i="2421" s="1"/>
  <c r="MW15" i="2421"/>
  <c r="MW73" i="2421"/>
  <c r="MW26" i="2421"/>
  <c r="MW18" i="2421"/>
  <c r="MW37" i="2421"/>
  <c r="MW14" i="2421"/>
  <c r="MQ53" i="2421"/>
  <c r="MQ16" i="2421"/>
  <c r="MQ24" i="2421"/>
  <c r="MQ32" i="2421"/>
  <c r="MQ40" i="2421"/>
  <c r="MQ48" i="2421"/>
  <c r="MW64" i="2421"/>
  <c r="MW80" i="2421"/>
  <c r="MW108" i="2421"/>
  <c r="MW100" i="2421"/>
  <c r="MQ112" i="2421"/>
  <c r="MQ104" i="2421"/>
  <c r="MQ96" i="2421"/>
  <c r="MQ88" i="2421"/>
  <c r="MQ84" i="2421"/>
  <c r="MQ76" i="2421"/>
  <c r="MQ68" i="2421"/>
  <c r="MW86" i="2421"/>
  <c r="MQ52" i="2421"/>
  <c r="MQ55" i="2421"/>
  <c r="MQ17" i="2421"/>
  <c r="MQ25" i="2421"/>
  <c r="MQ33" i="2421"/>
  <c r="MQ41" i="2421"/>
  <c r="MW49" i="2421"/>
  <c r="MW66" i="2421"/>
  <c r="MW82" i="2421"/>
  <c r="MW107" i="2421"/>
  <c r="MW99" i="2421"/>
  <c r="MQ111" i="2421"/>
  <c r="MQ103" i="2421"/>
  <c r="MQ95" i="2421"/>
  <c r="MQ87" i="2421"/>
  <c r="MQ83" i="2421"/>
  <c r="MQ75" i="2421"/>
  <c r="MQ67" i="2421"/>
  <c r="MQ54" i="2421"/>
  <c r="MQ57" i="2421"/>
  <c r="MQ18" i="2421"/>
  <c r="MQ26" i="2421"/>
  <c r="MQ34" i="2421"/>
  <c r="MQ42" i="2421"/>
  <c r="MW51" i="2421"/>
  <c r="MW68" i="2421"/>
  <c r="MW84" i="2421"/>
  <c r="MW106" i="2421"/>
  <c r="MW98" i="2421"/>
  <c r="MQ110" i="2421"/>
  <c r="MQ102" i="2421"/>
  <c r="MQ94" i="2421"/>
  <c r="MQ86" i="2421"/>
  <c r="MQ82" i="2421"/>
  <c r="MQ74" i="2421"/>
  <c r="MQ66" i="2421"/>
  <c r="MQ56" i="2421"/>
  <c r="MQ59" i="2421"/>
  <c r="MQ19" i="2421"/>
  <c r="MQ27" i="2421"/>
  <c r="MQ35" i="2421"/>
  <c r="MQ43" i="2421"/>
  <c r="MW53" i="2421"/>
  <c r="MW70" i="2421"/>
  <c r="MW113" i="2421"/>
  <c r="MW105" i="2421"/>
  <c r="MW97" i="2421"/>
  <c r="MQ109" i="2421"/>
  <c r="MQ101" i="2421"/>
  <c r="MQ93" i="2421"/>
  <c r="MW92" i="2421"/>
  <c r="MQ81" i="2421"/>
  <c r="MQ73" i="2421"/>
  <c r="MQ65" i="2421"/>
  <c r="MQ58" i="2421"/>
  <c r="MQ20" i="2421"/>
  <c r="MQ28" i="2421"/>
  <c r="MQ36" i="2421"/>
  <c r="MQ44" i="2421"/>
  <c r="MW55" i="2421"/>
  <c r="MW72" i="2421"/>
  <c r="MW112" i="2421"/>
  <c r="MW104" i="2421"/>
  <c r="MW96" i="2421"/>
  <c r="MQ108" i="2421"/>
  <c r="MQ100" i="2421"/>
  <c r="MQ92" i="2421"/>
  <c r="MW88" i="2421"/>
  <c r="MQ80" i="2421"/>
  <c r="MQ72" i="2421"/>
  <c r="MQ64" i="2421"/>
  <c r="MQ60" i="2421"/>
  <c r="MW89" i="2421"/>
  <c r="MQ21" i="2421"/>
  <c r="MQ29" i="2421"/>
  <c r="MQ37" i="2421"/>
  <c r="MQ45" i="2421"/>
  <c r="MW57" i="2421"/>
  <c r="MW74" i="2421"/>
  <c r="MW111" i="2421"/>
  <c r="MW103" i="2421"/>
  <c r="MW95" i="2421"/>
  <c r="MQ107" i="2421"/>
  <c r="MQ99" i="2421"/>
  <c r="MQ91" i="2421"/>
  <c r="MW91" i="2421"/>
  <c r="MQ79" i="2421"/>
  <c r="MQ71" i="2421"/>
  <c r="MQ63" i="2421"/>
  <c r="MW60" i="2421"/>
  <c r="MQ49" i="2421"/>
  <c r="MQ38" i="2421"/>
  <c r="MW110" i="2421"/>
  <c r="MQ98" i="2421"/>
  <c r="MQ70" i="2421"/>
  <c r="MQ51" i="2421"/>
  <c r="MQ39" i="2421"/>
  <c r="MW109" i="2421"/>
  <c r="MQ97" i="2421"/>
  <c r="MQ69" i="2421"/>
  <c r="MQ14" i="2421"/>
  <c r="MQ46" i="2421"/>
  <c r="MW102" i="2421"/>
  <c r="MQ90" i="2421"/>
  <c r="MQ62" i="2421"/>
  <c r="MQ15" i="2421"/>
  <c r="MQ47" i="2421"/>
  <c r="MW101" i="2421"/>
  <c r="MQ89" i="2421"/>
  <c r="MW90" i="2421"/>
  <c r="MQ50" i="2421"/>
  <c r="MQ22" i="2421"/>
  <c r="MW59" i="2421"/>
  <c r="MW94" i="2421"/>
  <c r="MW87" i="2421"/>
  <c r="MQ23" i="2421"/>
  <c r="MW62" i="2421"/>
  <c r="MQ113" i="2421"/>
  <c r="MQ85" i="2421"/>
  <c r="MQ30" i="2421"/>
  <c r="MW76" i="2421"/>
  <c r="MQ106" i="2421"/>
  <c r="MQ78" i="2421"/>
  <c r="MQ31" i="2421"/>
  <c r="MW78" i="2421"/>
  <c r="MQ105" i="2421"/>
  <c r="MQ77" i="2421"/>
  <c r="FT64" i="2421"/>
  <c r="FT32" i="2421"/>
  <c r="FT112" i="2421"/>
  <c r="FT104" i="2421"/>
  <c r="FT96" i="2421"/>
  <c r="FT88" i="2421"/>
  <c r="FT75" i="2421"/>
  <c r="FT74" i="2421"/>
  <c r="FT61" i="2421"/>
  <c r="FT47" i="2421"/>
  <c r="FT21" i="2421"/>
  <c r="FT37" i="2421"/>
  <c r="FT35" i="2421"/>
  <c r="FT14" i="2421"/>
  <c r="FT38" i="2421"/>
  <c r="FT36" i="2421"/>
  <c r="FT111" i="2421"/>
  <c r="FT103" i="2421"/>
  <c r="FT95" i="2421"/>
  <c r="FT87" i="2421"/>
  <c r="FT71" i="2421"/>
  <c r="FT70" i="2421"/>
  <c r="FT60" i="2421"/>
  <c r="FT22" i="2421"/>
  <c r="FT41" i="2421"/>
  <c r="FT51" i="2421"/>
  <c r="FT15" i="2421"/>
  <c r="FT42" i="2421"/>
  <c r="FT40" i="2421"/>
  <c r="FT110" i="2421"/>
  <c r="FT102" i="2421"/>
  <c r="FT94" i="2421"/>
  <c r="FT84" i="2421"/>
  <c r="FT67" i="2421"/>
  <c r="FT66" i="2421"/>
  <c r="FT59" i="2421"/>
  <c r="FT23" i="2421"/>
  <c r="FT45" i="2421"/>
  <c r="FT86" i="2421"/>
  <c r="FT16" i="2421"/>
  <c r="FT46" i="2421"/>
  <c r="FT39" i="2421"/>
  <c r="FT44" i="2421"/>
  <c r="FT109" i="2421"/>
  <c r="FT101" i="2421"/>
  <c r="FT93" i="2421"/>
  <c r="FT82" i="2421"/>
  <c r="FT63" i="2421"/>
  <c r="FT62" i="2421"/>
  <c r="FT58" i="2421"/>
  <c r="FT24" i="2421"/>
  <c r="FT49" i="2421"/>
  <c r="FT17" i="2421"/>
  <c r="FT50" i="2421"/>
  <c r="FT43" i="2421"/>
  <c r="FT48" i="2421"/>
  <c r="FT108" i="2421"/>
  <c r="FT100" i="2421"/>
  <c r="FT92" i="2421"/>
  <c r="FT80" i="2421"/>
  <c r="FT56" i="2421"/>
  <c r="FT79" i="2421"/>
  <c r="FT57" i="2421"/>
  <c r="FT25" i="2421"/>
  <c r="FT53" i="2421"/>
  <c r="FT18" i="2421"/>
  <c r="FT72" i="2421"/>
  <c r="FT52" i="2421"/>
  <c r="FT107" i="2421"/>
  <c r="FT99" i="2421"/>
  <c r="FT91" i="2421"/>
  <c r="FT78" i="2421"/>
  <c r="FT54" i="2421"/>
  <c r="FT73" i="2421"/>
  <c r="FT55" i="2421"/>
  <c r="FT26" i="2421"/>
  <c r="FT19" i="2421"/>
  <c r="FT90" i="2421"/>
  <c r="FT27" i="2421"/>
  <c r="FT28" i="2421"/>
  <c r="FT89" i="2421"/>
  <c r="FT31" i="2421"/>
  <c r="FT76" i="2421"/>
  <c r="FT113" i="2421"/>
  <c r="FT83" i="2421"/>
  <c r="FT20" i="2421"/>
  <c r="FT106" i="2421"/>
  <c r="FT85" i="2421"/>
  <c r="FT29" i="2421"/>
  <c r="FT30" i="2421"/>
  <c r="FT105" i="2421"/>
  <c r="FT77" i="2421"/>
  <c r="FT33" i="2421"/>
  <c r="FT34" i="2421"/>
  <c r="FT98" i="2421"/>
  <c r="FT69" i="2421"/>
  <c r="FT68" i="2421"/>
  <c r="FT97" i="2421"/>
  <c r="FT65" i="2421"/>
  <c r="FT81" i="2421"/>
  <c r="KL107" i="2421"/>
  <c r="KL91" i="2421"/>
  <c r="KL112" i="2421"/>
  <c r="KL96" i="2421"/>
  <c r="KL73" i="2421"/>
  <c r="KL65" i="2421"/>
  <c r="KL57" i="2421"/>
  <c r="KL49" i="2421"/>
  <c r="KL41" i="2421"/>
  <c r="KL16" i="2421"/>
  <c r="KL24" i="2421"/>
  <c r="KL32" i="2421"/>
  <c r="KL105" i="2421"/>
  <c r="KL89" i="2421"/>
  <c r="KL110" i="2421"/>
  <c r="KL94" i="2421"/>
  <c r="KL72" i="2421"/>
  <c r="KL64" i="2421"/>
  <c r="KL56" i="2421"/>
  <c r="KL48" i="2421"/>
  <c r="KL40" i="2421"/>
  <c r="KL17" i="2421"/>
  <c r="KL25" i="2421"/>
  <c r="KL33" i="2421"/>
  <c r="KL103" i="2421"/>
  <c r="KL87" i="2421"/>
  <c r="KL108" i="2421"/>
  <c r="KL92" i="2421"/>
  <c r="KL71" i="2421"/>
  <c r="KL63" i="2421"/>
  <c r="KL55" i="2421"/>
  <c r="KL47" i="2421"/>
  <c r="KL39" i="2421"/>
  <c r="KL18" i="2421"/>
  <c r="KL26" i="2421"/>
  <c r="KL34" i="2421"/>
  <c r="KL101" i="2421"/>
  <c r="KL85" i="2421"/>
  <c r="KL106" i="2421"/>
  <c r="KL90" i="2421"/>
  <c r="KL70" i="2421"/>
  <c r="KL62" i="2421"/>
  <c r="KL54" i="2421"/>
  <c r="KL46" i="2421"/>
  <c r="KL83" i="2421"/>
  <c r="KL19" i="2421"/>
  <c r="KL27" i="2421"/>
  <c r="KL35" i="2421"/>
  <c r="KL99" i="2421"/>
  <c r="KL82" i="2421"/>
  <c r="KL104" i="2421"/>
  <c r="KL88" i="2421"/>
  <c r="KL69" i="2421"/>
  <c r="KL61" i="2421"/>
  <c r="KL53" i="2421"/>
  <c r="KL45" i="2421"/>
  <c r="KL81" i="2421"/>
  <c r="KL20" i="2421"/>
  <c r="KL28" i="2421"/>
  <c r="KL36" i="2421"/>
  <c r="KL111" i="2421"/>
  <c r="KL95" i="2421"/>
  <c r="KL78" i="2421"/>
  <c r="KL100" i="2421"/>
  <c r="KL84" i="2421"/>
  <c r="KL67" i="2421"/>
  <c r="KL59" i="2421"/>
  <c r="KL51" i="2421"/>
  <c r="KL43" i="2421"/>
  <c r="KL77" i="2421"/>
  <c r="KL14" i="2421"/>
  <c r="KL22" i="2421"/>
  <c r="KL30" i="2421"/>
  <c r="KL38" i="2421"/>
  <c r="KL109" i="2421"/>
  <c r="KL93" i="2421"/>
  <c r="KL76" i="2421"/>
  <c r="KL98" i="2421"/>
  <c r="KL74" i="2421"/>
  <c r="KL66" i="2421"/>
  <c r="KL58" i="2421"/>
  <c r="KL50" i="2421"/>
  <c r="KL42" i="2421"/>
  <c r="KL75" i="2421"/>
  <c r="KL15" i="2421"/>
  <c r="KL23" i="2421"/>
  <c r="KL31" i="2421"/>
  <c r="KL60" i="2421"/>
  <c r="KL52" i="2421"/>
  <c r="KL113" i="2421"/>
  <c r="KL44" i="2421"/>
  <c r="KL97" i="2421"/>
  <c r="KL79" i="2421"/>
  <c r="KL21" i="2421"/>
  <c r="KL80" i="2421"/>
  <c r="KL29" i="2421"/>
  <c r="KL102" i="2421"/>
  <c r="KL37" i="2421"/>
  <c r="KL86" i="2421"/>
  <c r="KL68" i="2421"/>
  <c r="GP53" i="2421"/>
  <c r="GP20" i="2421"/>
  <c r="GP89" i="2421"/>
  <c r="GP62" i="2421"/>
  <c r="GP86" i="2421"/>
  <c r="GP76" i="2421"/>
  <c r="GO22" i="2421"/>
  <c r="GP69" i="2421"/>
  <c r="GP28" i="2421"/>
  <c r="GP81" i="2421"/>
  <c r="GP77" i="2421"/>
  <c r="GO51" i="2421"/>
  <c r="GO62" i="2421"/>
  <c r="GO98" i="2421"/>
  <c r="GO37" i="2421"/>
  <c r="GO24" i="2421"/>
  <c r="GO105" i="2421"/>
  <c r="GO91" i="2421"/>
  <c r="GO65" i="2421"/>
  <c r="GO96" i="2421"/>
  <c r="GO73" i="2421"/>
  <c r="GO41" i="2421"/>
  <c r="GO103" i="2421"/>
  <c r="MJ44" i="2421"/>
  <c r="MJ19" i="2421"/>
  <c r="MJ110" i="2421"/>
  <c r="MJ75" i="2421"/>
  <c r="MJ106" i="2421"/>
  <c r="MJ104" i="2421"/>
  <c r="MI22" i="2421"/>
  <c r="MJ39" i="2421"/>
  <c r="MJ95" i="2421"/>
  <c r="MJ59" i="2421"/>
  <c r="MJ37" i="2421"/>
  <c r="MI112" i="2421"/>
  <c r="MI91" i="2421"/>
  <c r="MI31" i="2421"/>
  <c r="MI70" i="2421"/>
  <c r="MI97" i="2421"/>
  <c r="MI96" i="2421"/>
  <c r="MI52" i="2421"/>
  <c r="MI55" i="2421"/>
  <c r="MI45" i="2421"/>
  <c r="MI64" i="2421"/>
  <c r="MI74" i="2421"/>
  <c r="MI77" i="2421"/>
  <c r="GI14" i="2421"/>
  <c r="GI17" i="2421"/>
  <c r="GI107" i="2421"/>
  <c r="GI99" i="2421"/>
  <c r="GI91" i="2421"/>
  <c r="GI83" i="2421"/>
  <c r="GI75" i="2421"/>
  <c r="GI67" i="2421"/>
  <c r="GI58" i="2421"/>
  <c r="GI48" i="2421"/>
  <c r="GI40" i="2421"/>
  <c r="GI32" i="2421"/>
  <c r="GI24" i="2421"/>
  <c r="GI18" i="2421"/>
  <c r="GI106" i="2421"/>
  <c r="GI98" i="2421"/>
  <c r="GI90" i="2421"/>
  <c r="GI82" i="2421"/>
  <c r="GI74" i="2421"/>
  <c r="GI66" i="2421"/>
  <c r="GI56" i="2421"/>
  <c r="GI47" i="2421"/>
  <c r="GI39" i="2421"/>
  <c r="GI31" i="2421"/>
  <c r="GI23" i="2421"/>
  <c r="GI19" i="2421"/>
  <c r="GI113" i="2421"/>
  <c r="GI105" i="2421"/>
  <c r="GI97" i="2421"/>
  <c r="GI89" i="2421"/>
  <c r="GI80" i="2421"/>
  <c r="GI73" i="2421"/>
  <c r="GI65" i="2421"/>
  <c r="GI54" i="2421"/>
  <c r="GI46" i="2421"/>
  <c r="GI38" i="2421"/>
  <c r="GI30" i="2421"/>
  <c r="GI59" i="2421"/>
  <c r="GI20" i="2421"/>
  <c r="GI112" i="2421"/>
  <c r="GI104" i="2421"/>
  <c r="GI96" i="2421"/>
  <c r="GI88" i="2421"/>
  <c r="GI78" i="2421"/>
  <c r="GI72" i="2421"/>
  <c r="GI64" i="2421"/>
  <c r="GI53" i="2421"/>
  <c r="GI45" i="2421"/>
  <c r="GI37" i="2421"/>
  <c r="GI29" i="2421"/>
  <c r="GI57" i="2421"/>
  <c r="GI21" i="2421"/>
  <c r="GI111" i="2421"/>
  <c r="GI103" i="2421"/>
  <c r="GI95" i="2421"/>
  <c r="GI87" i="2421"/>
  <c r="GI81" i="2421"/>
  <c r="GI71" i="2421"/>
  <c r="GI63" i="2421"/>
  <c r="GI52" i="2421"/>
  <c r="GI44" i="2421"/>
  <c r="GI36" i="2421"/>
  <c r="GI28" i="2421"/>
  <c r="GI55" i="2421"/>
  <c r="GI22" i="2421"/>
  <c r="GI110" i="2421"/>
  <c r="GI102" i="2421"/>
  <c r="GI94" i="2421"/>
  <c r="GI86" i="2421"/>
  <c r="GI79" i="2421"/>
  <c r="GI70" i="2421"/>
  <c r="GI62" i="2421"/>
  <c r="GI51" i="2421"/>
  <c r="GI43" i="2421"/>
  <c r="GI35" i="2421"/>
  <c r="GI27" i="2421"/>
  <c r="GI85" i="2421"/>
  <c r="GI50" i="2421"/>
  <c r="GI16" i="2421"/>
  <c r="GI84" i="2421"/>
  <c r="GI49" i="2421"/>
  <c r="GI15" i="2421"/>
  <c r="GI109" i="2421"/>
  <c r="GI77" i="2421"/>
  <c r="GI42" i="2421"/>
  <c r="GI108" i="2421"/>
  <c r="GI76" i="2421"/>
  <c r="GI41" i="2421"/>
  <c r="GI101" i="2421"/>
  <c r="GI69" i="2421"/>
  <c r="GI34" i="2421"/>
  <c r="GI100" i="2421"/>
  <c r="GI68" i="2421"/>
  <c r="GI33" i="2421"/>
  <c r="GI93" i="2421"/>
  <c r="GI61" i="2421"/>
  <c r="GI26" i="2421"/>
  <c r="GI92" i="2421"/>
  <c r="GI60" i="2421"/>
  <c r="GI25" i="2421"/>
  <c r="NU66" i="2421"/>
  <c r="OA22" i="2421"/>
  <c r="OC22" i="2421" s="1"/>
  <c r="OA19" i="2421"/>
  <c r="NU56" i="2421"/>
  <c r="OA21" i="2421"/>
  <c r="OC21" i="2421" s="1"/>
  <c r="NU74" i="2421"/>
  <c r="OA23" i="2421"/>
  <c r="OA17" i="2421"/>
  <c r="OA20" i="2421"/>
  <c r="OA16" i="2421"/>
  <c r="OA15" i="2421"/>
  <c r="OA18" i="2421"/>
  <c r="OA14" i="2421"/>
  <c r="NU24" i="2421"/>
  <c r="NU25" i="2421"/>
  <c r="NU26" i="2421"/>
  <c r="NU27" i="2421"/>
  <c r="NU59" i="2421"/>
  <c r="NU28" i="2421"/>
  <c r="NU61" i="2421"/>
  <c r="NU17" i="2421"/>
  <c r="OA113" i="2421"/>
  <c r="OA105" i="2421"/>
  <c r="OA97" i="2421"/>
  <c r="OA89" i="2421"/>
  <c r="OA81" i="2421"/>
  <c r="NU111" i="2421"/>
  <c r="NU103" i="2421"/>
  <c r="NU95" i="2421"/>
  <c r="NU87" i="2421"/>
  <c r="OA73" i="2421"/>
  <c r="OA65" i="2421"/>
  <c r="NU85" i="2421"/>
  <c r="NU63" i="2421"/>
  <c r="NU49" i="2421"/>
  <c r="NU41" i="2421"/>
  <c r="NU33" i="2421"/>
  <c r="NU64" i="2421"/>
  <c r="OA53" i="2421"/>
  <c r="OA45" i="2421"/>
  <c r="OA37" i="2421"/>
  <c r="OA29" i="2421"/>
  <c r="NU58" i="2421"/>
  <c r="NU18" i="2421"/>
  <c r="OA112" i="2421"/>
  <c r="OA104" i="2421"/>
  <c r="OA96" i="2421"/>
  <c r="OA88" i="2421"/>
  <c r="OA80" i="2421"/>
  <c r="NU110" i="2421"/>
  <c r="NU102" i="2421"/>
  <c r="NU94" i="2421"/>
  <c r="NU86" i="2421"/>
  <c r="OA72" i="2421"/>
  <c r="OA64" i="2421"/>
  <c r="NU82" i="2421"/>
  <c r="OA57" i="2421"/>
  <c r="NU48" i="2421"/>
  <c r="NU40" i="2421"/>
  <c r="NU32" i="2421"/>
  <c r="NU57" i="2421"/>
  <c r="OA52" i="2421"/>
  <c r="OA44" i="2421"/>
  <c r="OA36" i="2421"/>
  <c r="OA28" i="2421"/>
  <c r="NU60" i="2421"/>
  <c r="NU19" i="2421"/>
  <c r="OA111" i="2421"/>
  <c r="OA103" i="2421"/>
  <c r="OA95" i="2421"/>
  <c r="OA87" i="2421"/>
  <c r="OA79" i="2421"/>
  <c r="NU109" i="2421"/>
  <c r="NU101" i="2421"/>
  <c r="NU93" i="2421"/>
  <c r="NU83" i="2421"/>
  <c r="OA71" i="2421"/>
  <c r="OA63" i="2421"/>
  <c r="NU80" i="2421"/>
  <c r="OA55" i="2421"/>
  <c r="NU47" i="2421"/>
  <c r="NU39" i="2421"/>
  <c r="NU31" i="2421"/>
  <c r="NU55" i="2421"/>
  <c r="OA51" i="2421"/>
  <c r="OA43" i="2421"/>
  <c r="OA35" i="2421"/>
  <c r="OC35" i="2421" s="1"/>
  <c r="OA27" i="2421"/>
  <c r="NU62" i="2421"/>
  <c r="NU20" i="2421"/>
  <c r="OA110" i="2421"/>
  <c r="OA102" i="2421"/>
  <c r="OA94" i="2421"/>
  <c r="OA86" i="2421"/>
  <c r="OA78" i="2421"/>
  <c r="NU108" i="2421"/>
  <c r="NU100" i="2421"/>
  <c r="NU92" i="2421"/>
  <c r="NU81" i="2421"/>
  <c r="OA70" i="2421"/>
  <c r="OA62" i="2421"/>
  <c r="NU78" i="2421"/>
  <c r="NU54" i="2421"/>
  <c r="NU46" i="2421"/>
  <c r="NU38" i="2421"/>
  <c r="NU30" i="2421"/>
  <c r="NU73" i="2421"/>
  <c r="OA50" i="2421"/>
  <c r="OA42" i="2421"/>
  <c r="OA34" i="2421"/>
  <c r="OC34" i="2421" s="1"/>
  <c r="OA26" i="2421"/>
  <c r="NU21" i="2421"/>
  <c r="OA109" i="2421"/>
  <c r="OA101" i="2421"/>
  <c r="OA93" i="2421"/>
  <c r="OA85" i="2421"/>
  <c r="OA77" i="2421"/>
  <c r="NU107" i="2421"/>
  <c r="NU99" i="2421"/>
  <c r="NU91" i="2421"/>
  <c r="NU79" i="2421"/>
  <c r="OA69" i="2421"/>
  <c r="OA61" i="2421"/>
  <c r="NU84" i="2421"/>
  <c r="NU53" i="2421"/>
  <c r="NU45" i="2421"/>
  <c r="NU37" i="2421"/>
  <c r="NU29" i="2421"/>
  <c r="NU69" i="2421"/>
  <c r="OA49" i="2421"/>
  <c r="OA41" i="2421"/>
  <c r="OA33" i="2421"/>
  <c r="OC33" i="2421" s="1"/>
  <c r="OA25" i="2421"/>
  <c r="NU70" i="2421"/>
  <c r="NU14" i="2421"/>
  <c r="NU22" i="2421"/>
  <c r="OA108" i="2421"/>
  <c r="OA100" i="2421"/>
  <c r="OA92" i="2421"/>
  <c r="OA84" i="2421"/>
  <c r="OA76" i="2421"/>
  <c r="NU106" i="2421"/>
  <c r="NU98" i="2421"/>
  <c r="NU90" i="2421"/>
  <c r="NU77" i="2421"/>
  <c r="OA68" i="2421"/>
  <c r="OA60" i="2421"/>
  <c r="NU75" i="2421"/>
  <c r="NU52" i="2421"/>
  <c r="NU44" i="2421"/>
  <c r="NU36" i="2421"/>
  <c r="NU76" i="2421"/>
  <c r="NU65" i="2421"/>
  <c r="OA48" i="2421"/>
  <c r="OA40" i="2421"/>
  <c r="OA32" i="2421"/>
  <c r="OC32" i="2421" s="1"/>
  <c r="OA24" i="2421"/>
  <c r="NU15" i="2421"/>
  <c r="OA107" i="2421"/>
  <c r="NU113" i="2421"/>
  <c r="OA75" i="2421"/>
  <c r="NU51" i="2421"/>
  <c r="OA56" i="2421"/>
  <c r="NU16" i="2421"/>
  <c r="OA106" i="2421"/>
  <c r="NU112" i="2421"/>
  <c r="OA74" i="2421"/>
  <c r="NU50" i="2421"/>
  <c r="OA54" i="2421"/>
  <c r="NU23" i="2421"/>
  <c r="OA99" i="2421"/>
  <c r="NU105" i="2421"/>
  <c r="OA67" i="2421"/>
  <c r="NU43" i="2421"/>
  <c r="OA47" i="2421"/>
  <c r="OA98" i="2421"/>
  <c r="NU104" i="2421"/>
  <c r="OA66" i="2421"/>
  <c r="NU42" i="2421"/>
  <c r="OA46" i="2421"/>
  <c r="OA91" i="2421"/>
  <c r="NU97" i="2421"/>
  <c r="OA59" i="2421"/>
  <c r="NU35" i="2421"/>
  <c r="OA39" i="2421"/>
  <c r="OA90" i="2421"/>
  <c r="NU96" i="2421"/>
  <c r="OA58" i="2421"/>
  <c r="NU34" i="2421"/>
  <c r="OA38" i="2421"/>
  <c r="OA83" i="2421"/>
  <c r="NU89" i="2421"/>
  <c r="NU71" i="2421"/>
  <c r="NU72" i="2421"/>
  <c r="OA31" i="2421"/>
  <c r="OA82" i="2421"/>
  <c r="NU88" i="2421"/>
  <c r="NU67" i="2421"/>
  <c r="NU68" i="2421"/>
  <c r="OA30" i="2421"/>
  <c r="FJ58" i="2421"/>
  <c r="FJ29" i="2421"/>
  <c r="FD29" i="2421"/>
  <c r="FJ25" i="2421"/>
  <c r="FJ22" i="2421"/>
  <c r="FL22" i="2421" s="1"/>
  <c r="FJ16" i="2421"/>
  <c r="FD25" i="2421"/>
  <c r="FJ15" i="2421"/>
  <c r="FJ18" i="2421"/>
  <c r="FJ14" i="2421"/>
  <c r="FJ54" i="2421"/>
  <c r="FJ20" i="2421"/>
  <c r="FJ17" i="2421"/>
  <c r="FD23" i="2421"/>
  <c r="FJ34" i="2421"/>
  <c r="FL34" i="2421" s="1"/>
  <c r="FJ50" i="2421"/>
  <c r="FD18" i="2421"/>
  <c r="FJ27" i="2421"/>
  <c r="FJ113" i="2421"/>
  <c r="FJ105" i="2421"/>
  <c r="FJ97" i="2421"/>
  <c r="FD112" i="2421"/>
  <c r="FD104" i="2421"/>
  <c r="FD96" i="2421"/>
  <c r="FD88" i="2421"/>
  <c r="FD81" i="2421"/>
  <c r="FD73" i="2421"/>
  <c r="FJ86" i="2421"/>
  <c r="FJ79" i="2421"/>
  <c r="FJ71" i="2421"/>
  <c r="FJ63" i="2421"/>
  <c r="FJ57" i="2421"/>
  <c r="FD47" i="2421"/>
  <c r="FD39" i="2421"/>
  <c r="FJ88" i="2421"/>
  <c r="FD59" i="2421"/>
  <c r="FD22" i="2421"/>
  <c r="FJ39" i="2421"/>
  <c r="FJ36" i="2421"/>
  <c r="FJ52" i="2421"/>
  <c r="FD31" i="2421"/>
  <c r="FJ112" i="2421"/>
  <c r="FJ104" i="2421"/>
  <c r="FJ96" i="2421"/>
  <c r="FD111" i="2421"/>
  <c r="FD103" i="2421"/>
  <c r="FD95" i="2421"/>
  <c r="FD87" i="2421"/>
  <c r="FD80" i="2421"/>
  <c r="FD72" i="2421"/>
  <c r="FJ89" i="2421"/>
  <c r="FJ78" i="2421"/>
  <c r="FJ70" i="2421"/>
  <c r="FJ62" i="2421"/>
  <c r="FJ55" i="2421"/>
  <c r="FD46" i="2421"/>
  <c r="FD38" i="2421"/>
  <c r="FD66" i="2421"/>
  <c r="FD57" i="2421"/>
  <c r="FD24" i="2421"/>
  <c r="FJ41" i="2421"/>
  <c r="FD26" i="2421"/>
  <c r="FJ38" i="2421"/>
  <c r="FJ19" i="2421"/>
  <c r="FJ31" i="2421"/>
  <c r="FJ111" i="2421"/>
  <c r="FJ103" i="2421"/>
  <c r="FJ95" i="2421"/>
  <c r="FD110" i="2421"/>
  <c r="FD102" i="2421"/>
  <c r="FD94" i="2421"/>
  <c r="FD86" i="2421"/>
  <c r="FD79" i="2421"/>
  <c r="FD71" i="2421"/>
  <c r="FJ85" i="2421"/>
  <c r="FJ77" i="2421"/>
  <c r="FJ69" i="2421"/>
  <c r="FJ61" i="2421"/>
  <c r="FJ53" i="2421"/>
  <c r="FD45" i="2421"/>
  <c r="FD37" i="2421"/>
  <c r="FD65" i="2421"/>
  <c r="FD55" i="2421"/>
  <c r="FJ24" i="2421"/>
  <c r="FJ43" i="2421"/>
  <c r="FJ26" i="2421"/>
  <c r="FJ40" i="2421"/>
  <c r="FJ110" i="2421"/>
  <c r="FJ102" i="2421"/>
  <c r="FJ94" i="2421"/>
  <c r="FD109" i="2421"/>
  <c r="FD101" i="2421"/>
  <c r="FD93" i="2421"/>
  <c r="FJ87" i="2421"/>
  <c r="FD78" i="2421"/>
  <c r="FD70" i="2421"/>
  <c r="FJ84" i="2421"/>
  <c r="FJ76" i="2421"/>
  <c r="FJ68" i="2421"/>
  <c r="FJ60" i="2421"/>
  <c r="FD52" i="2421"/>
  <c r="FD44" i="2421"/>
  <c r="FD36" i="2421"/>
  <c r="FD64" i="2421"/>
  <c r="FD53" i="2421"/>
  <c r="FD28" i="2421"/>
  <c r="FJ45" i="2421"/>
  <c r="FJ42" i="2421"/>
  <c r="FD14" i="2421"/>
  <c r="FJ21" i="2421"/>
  <c r="FL21" i="2421" s="1"/>
  <c r="FJ109" i="2421"/>
  <c r="FJ101" i="2421"/>
  <c r="FJ93" i="2421"/>
  <c r="FD108" i="2421"/>
  <c r="FD100" i="2421"/>
  <c r="FD92" i="2421"/>
  <c r="FD85" i="2421"/>
  <c r="FD77" i="2421"/>
  <c r="FD69" i="2421"/>
  <c r="FJ83" i="2421"/>
  <c r="FJ75" i="2421"/>
  <c r="FJ67" i="2421"/>
  <c r="FJ59" i="2421"/>
  <c r="FD51" i="2421"/>
  <c r="FD43" i="2421"/>
  <c r="FD35" i="2421"/>
  <c r="FD63" i="2421"/>
  <c r="FJ28" i="2421"/>
  <c r="FJ47" i="2421"/>
  <c r="FD30" i="2421"/>
  <c r="FJ44" i="2421"/>
  <c r="FD15" i="2421"/>
  <c r="FJ108" i="2421"/>
  <c r="FJ100" i="2421"/>
  <c r="FJ92" i="2421"/>
  <c r="FD107" i="2421"/>
  <c r="FD99" i="2421"/>
  <c r="FD91" i="2421"/>
  <c r="FD84" i="2421"/>
  <c r="FD76" i="2421"/>
  <c r="FD68" i="2421"/>
  <c r="FJ82" i="2421"/>
  <c r="FJ74" i="2421"/>
  <c r="FJ66" i="2421"/>
  <c r="FD58" i="2421"/>
  <c r="FD50" i="2421"/>
  <c r="FD42" i="2421"/>
  <c r="FD34" i="2421"/>
  <c r="FD62" i="2421"/>
  <c r="FJ33" i="2421"/>
  <c r="FL33" i="2421" s="1"/>
  <c r="FJ49" i="2421"/>
  <c r="FJ46" i="2421"/>
  <c r="FJ107" i="2421"/>
  <c r="FD98" i="2421"/>
  <c r="FD67" i="2421"/>
  <c r="FD56" i="2421"/>
  <c r="FD61" i="2421"/>
  <c r="FJ48" i="2421"/>
  <c r="FJ106" i="2421"/>
  <c r="FD97" i="2421"/>
  <c r="FJ90" i="2421"/>
  <c r="FD54" i="2421"/>
  <c r="FD60" i="2421"/>
  <c r="FD16" i="2421"/>
  <c r="FJ99" i="2421"/>
  <c r="FD90" i="2421"/>
  <c r="FJ81" i="2421"/>
  <c r="FD49" i="2421"/>
  <c r="FD17" i="2421"/>
  <c r="FJ98" i="2421"/>
  <c r="FD89" i="2421"/>
  <c r="FJ80" i="2421"/>
  <c r="FD48" i="2421"/>
  <c r="FD20" i="2421"/>
  <c r="FD19" i="2421"/>
  <c r="FJ23" i="2421"/>
  <c r="FJ91" i="2421"/>
  <c r="FD83" i="2421"/>
  <c r="FJ73" i="2421"/>
  <c r="FD41" i="2421"/>
  <c r="FJ35" i="2421"/>
  <c r="FL35" i="2421" s="1"/>
  <c r="FD21" i="2421"/>
  <c r="FD27" i="2421"/>
  <c r="FD113" i="2421"/>
  <c r="FD82" i="2421"/>
  <c r="FJ72" i="2421"/>
  <c r="FD40" i="2421"/>
  <c r="FJ37" i="2421"/>
  <c r="FJ30" i="2421"/>
  <c r="FD106" i="2421"/>
  <c r="FD75" i="2421"/>
  <c r="FJ65" i="2421"/>
  <c r="FD33" i="2421"/>
  <c r="FJ51" i="2421"/>
  <c r="FJ32" i="2421"/>
  <c r="FL32" i="2421" s="1"/>
  <c r="FD105" i="2421"/>
  <c r="FD74" i="2421"/>
  <c r="FJ64" i="2421"/>
  <c r="FD32" i="2421"/>
  <c r="FJ56" i="2421"/>
  <c r="JT55" i="2421"/>
  <c r="JT19" i="2421"/>
  <c r="JT21" i="2421"/>
  <c r="JT17" i="2421"/>
  <c r="JT23" i="2421"/>
  <c r="JZ17" i="2421"/>
  <c r="JZ112" i="2421"/>
  <c r="JZ104" i="2421"/>
  <c r="JZ96" i="2421"/>
  <c r="JT113" i="2421"/>
  <c r="JT105" i="2421"/>
  <c r="JT97" i="2421"/>
  <c r="JT89" i="2421"/>
  <c r="JT82" i="2421"/>
  <c r="JT74" i="2421"/>
  <c r="JZ86" i="2421"/>
  <c r="JZ78" i="2421"/>
  <c r="JZ70" i="2421"/>
  <c r="JZ62" i="2421"/>
  <c r="JT65" i="2421"/>
  <c r="JT57" i="2421"/>
  <c r="JT46" i="2421"/>
  <c r="JT38" i="2421"/>
  <c r="JZ53" i="2421"/>
  <c r="JZ44" i="2421"/>
  <c r="JZ36" i="2421"/>
  <c r="JZ28" i="2421"/>
  <c r="JT25" i="2421"/>
  <c r="JT33" i="2421"/>
  <c r="JZ14" i="2421"/>
  <c r="JZ22" i="2421"/>
  <c r="KB22" i="2421" s="1"/>
  <c r="JZ111" i="2421"/>
  <c r="JZ103" i="2421"/>
  <c r="JZ95" i="2421"/>
  <c r="JT112" i="2421"/>
  <c r="JT104" i="2421"/>
  <c r="JT96" i="2421"/>
  <c r="JT88" i="2421"/>
  <c r="JT81" i="2421"/>
  <c r="JT73" i="2421"/>
  <c r="JZ85" i="2421"/>
  <c r="JZ77" i="2421"/>
  <c r="JZ69" i="2421"/>
  <c r="JZ61" i="2421"/>
  <c r="JT64" i="2421"/>
  <c r="JZ54" i="2421"/>
  <c r="JT45" i="2421"/>
  <c r="JT37" i="2421"/>
  <c r="JZ51" i="2421"/>
  <c r="JZ43" i="2421"/>
  <c r="JZ35" i="2421"/>
  <c r="KB35" i="2421" s="1"/>
  <c r="JZ27" i="2421"/>
  <c r="JT18" i="2421"/>
  <c r="JT26" i="2421"/>
  <c r="JT34" i="2421"/>
  <c r="JZ15" i="2421"/>
  <c r="JZ19" i="2421"/>
  <c r="JZ110" i="2421"/>
  <c r="JZ102" i="2421"/>
  <c r="JZ94" i="2421"/>
  <c r="JT111" i="2421"/>
  <c r="JT103" i="2421"/>
  <c r="JT95" i="2421"/>
  <c r="JT87" i="2421"/>
  <c r="JT80" i="2421"/>
  <c r="JT72" i="2421"/>
  <c r="JZ84" i="2421"/>
  <c r="JZ76" i="2421"/>
  <c r="JZ68" i="2421"/>
  <c r="JZ60" i="2421"/>
  <c r="JT63" i="2421"/>
  <c r="JZ52" i="2421"/>
  <c r="JT44" i="2421"/>
  <c r="JT36" i="2421"/>
  <c r="JZ50" i="2421"/>
  <c r="JZ42" i="2421"/>
  <c r="JZ34" i="2421"/>
  <c r="KB34" i="2421" s="1"/>
  <c r="JZ26" i="2421"/>
  <c r="JT27" i="2421"/>
  <c r="JT35" i="2421"/>
  <c r="JZ16" i="2421"/>
  <c r="JZ109" i="2421"/>
  <c r="JZ101" i="2421"/>
  <c r="JZ93" i="2421"/>
  <c r="JT110" i="2421"/>
  <c r="JT102" i="2421"/>
  <c r="JT94" i="2421"/>
  <c r="JT86" i="2421"/>
  <c r="JT79" i="2421"/>
  <c r="JT71" i="2421"/>
  <c r="JZ83" i="2421"/>
  <c r="JZ75" i="2421"/>
  <c r="JZ67" i="2421"/>
  <c r="JZ59" i="2421"/>
  <c r="JT62" i="2421"/>
  <c r="JT51" i="2421"/>
  <c r="JT43" i="2421"/>
  <c r="JZ88" i="2421"/>
  <c r="JZ49" i="2421"/>
  <c r="JZ41" i="2421"/>
  <c r="JZ33" i="2421"/>
  <c r="KB33" i="2421" s="1"/>
  <c r="JZ25" i="2421"/>
  <c r="JT20" i="2421"/>
  <c r="JT28" i="2421"/>
  <c r="JT14" i="2421"/>
  <c r="JZ21" i="2421"/>
  <c r="KB21" i="2421" s="1"/>
  <c r="JZ108" i="2421"/>
  <c r="JZ100" i="2421"/>
  <c r="JZ92" i="2421"/>
  <c r="JT109" i="2421"/>
  <c r="JT101" i="2421"/>
  <c r="JT93" i="2421"/>
  <c r="JZ87" i="2421"/>
  <c r="JT78" i="2421"/>
  <c r="JT70" i="2421"/>
  <c r="JZ82" i="2421"/>
  <c r="JZ74" i="2421"/>
  <c r="JZ66" i="2421"/>
  <c r="JZ58" i="2421"/>
  <c r="JT61" i="2421"/>
  <c r="JT50" i="2421"/>
  <c r="JT42" i="2421"/>
  <c r="JT56" i="2421"/>
  <c r="JZ48" i="2421"/>
  <c r="JZ40" i="2421"/>
  <c r="JZ32" i="2421"/>
  <c r="KB32" i="2421" s="1"/>
  <c r="JZ24" i="2421"/>
  <c r="JT29" i="2421"/>
  <c r="JZ18" i="2421"/>
  <c r="JT16" i="2421"/>
  <c r="JZ23" i="2421"/>
  <c r="JZ106" i="2421"/>
  <c r="JZ98" i="2421"/>
  <c r="JZ90" i="2421"/>
  <c r="JT107" i="2421"/>
  <c r="JT99" i="2421"/>
  <c r="JT91" i="2421"/>
  <c r="JT84" i="2421"/>
  <c r="JT76" i="2421"/>
  <c r="JT68" i="2421"/>
  <c r="JZ80" i="2421"/>
  <c r="JZ72" i="2421"/>
  <c r="JZ64" i="2421"/>
  <c r="JZ56" i="2421"/>
  <c r="JT59" i="2421"/>
  <c r="JT48" i="2421"/>
  <c r="JT40" i="2421"/>
  <c r="JT52" i="2421"/>
  <c r="JZ46" i="2421"/>
  <c r="JZ38" i="2421"/>
  <c r="JZ30" i="2421"/>
  <c r="JT31" i="2421"/>
  <c r="JZ20" i="2421"/>
  <c r="JZ113" i="2421"/>
  <c r="JZ105" i="2421"/>
  <c r="JZ97" i="2421"/>
  <c r="JZ89" i="2421"/>
  <c r="JT106" i="2421"/>
  <c r="JT98" i="2421"/>
  <c r="JT90" i="2421"/>
  <c r="JT83" i="2421"/>
  <c r="JT75" i="2421"/>
  <c r="JT67" i="2421"/>
  <c r="JZ79" i="2421"/>
  <c r="JZ71" i="2421"/>
  <c r="JZ63" i="2421"/>
  <c r="JT66" i="2421"/>
  <c r="JT58" i="2421"/>
  <c r="JT47" i="2421"/>
  <c r="JT39" i="2421"/>
  <c r="JZ55" i="2421"/>
  <c r="JZ45" i="2421"/>
  <c r="JZ37" i="2421"/>
  <c r="JZ29" i="2421"/>
  <c r="JT24" i="2421"/>
  <c r="JT32" i="2421"/>
  <c r="JT53" i="2421"/>
  <c r="JZ99" i="2421"/>
  <c r="JZ81" i="2421"/>
  <c r="JZ47" i="2421"/>
  <c r="JT22" i="2421"/>
  <c r="JZ91" i="2421"/>
  <c r="JZ73" i="2421"/>
  <c r="JZ39" i="2421"/>
  <c r="JT30" i="2421"/>
  <c r="JT108" i="2421"/>
  <c r="JZ65" i="2421"/>
  <c r="JZ31" i="2421"/>
  <c r="JT100" i="2421"/>
  <c r="JZ57" i="2421"/>
  <c r="JT15" i="2421"/>
  <c r="JT92" i="2421"/>
  <c r="JT60" i="2421"/>
  <c r="JT85" i="2421"/>
  <c r="JT49" i="2421"/>
  <c r="JT77" i="2421"/>
  <c r="JT41" i="2421"/>
  <c r="JZ107" i="2421"/>
  <c r="JT69" i="2421"/>
  <c r="JT54" i="2421"/>
  <c r="GP38" i="2421"/>
  <c r="GP43" i="2421"/>
  <c r="GP98" i="2421"/>
  <c r="GP82" i="2421"/>
  <c r="GP55" i="2421"/>
  <c r="GP40" i="2421"/>
  <c r="GP46" i="2421"/>
  <c r="GP23" i="2421"/>
  <c r="GP36" i="2421"/>
  <c r="GP65" i="2421"/>
  <c r="GP31" i="2421"/>
  <c r="GP19" i="2421"/>
  <c r="GO85" i="2421"/>
  <c r="GO89" i="2421"/>
  <c r="GO106" i="2421"/>
  <c r="GO72" i="2421"/>
  <c r="GO19" i="2421"/>
  <c r="GO23" i="2421"/>
  <c r="GO59" i="2421"/>
  <c r="GO42" i="2421"/>
  <c r="GO27" i="2421"/>
  <c r="GO49" i="2421"/>
  <c r="GO92" i="2421"/>
  <c r="MJ51" i="2421"/>
  <c r="MJ72" i="2421"/>
  <c r="MJ68" i="2421"/>
  <c r="MJ21" i="2421"/>
  <c r="MJ97" i="2421"/>
  <c r="MJ34" i="2421"/>
  <c r="MJ30" i="2421"/>
  <c r="MJ43" i="2421"/>
  <c r="MJ99" i="2421"/>
  <c r="MJ64" i="2421"/>
  <c r="MJ42" i="2421"/>
  <c r="MI56" i="2421"/>
  <c r="MI23" i="2421"/>
  <c r="MI87" i="2421"/>
  <c r="MI110" i="2421"/>
  <c r="MI46" i="2421"/>
  <c r="MI108" i="2421"/>
  <c r="MI103" i="2421"/>
  <c r="MI67" i="2421"/>
  <c r="MI62" i="2421"/>
  <c r="MI19" i="2421"/>
  <c r="MI37" i="2421"/>
  <c r="MI57" i="2421"/>
  <c r="EA20" i="2421"/>
  <c r="EA56" i="2421"/>
  <c r="EA16" i="2421"/>
  <c r="EA22" i="2421"/>
  <c r="EA14" i="2421"/>
  <c r="EA18" i="2421"/>
  <c r="EA106" i="2421"/>
  <c r="EA98" i="2421"/>
  <c r="EA90" i="2421"/>
  <c r="EA82" i="2421"/>
  <c r="EA71" i="2421"/>
  <c r="EA63" i="2421"/>
  <c r="EA53" i="2421"/>
  <c r="EA45" i="2421"/>
  <c r="EA37" i="2421"/>
  <c r="EA29" i="2421"/>
  <c r="EA57" i="2421"/>
  <c r="EA113" i="2421"/>
  <c r="EA105" i="2421"/>
  <c r="EA97" i="2421"/>
  <c r="EA89" i="2421"/>
  <c r="EA80" i="2421"/>
  <c r="EA70" i="2421"/>
  <c r="EA62" i="2421"/>
  <c r="EA52" i="2421"/>
  <c r="EA44" i="2421"/>
  <c r="EA36" i="2421"/>
  <c r="EA28" i="2421"/>
  <c r="EA55" i="2421"/>
  <c r="EA15" i="2421"/>
  <c r="EA112" i="2421"/>
  <c r="EA104" i="2421"/>
  <c r="EA96" i="2421"/>
  <c r="EA88" i="2421"/>
  <c r="EA78" i="2421"/>
  <c r="EA69" i="2421"/>
  <c r="EA61" i="2421"/>
  <c r="EA51" i="2421"/>
  <c r="EA43" i="2421"/>
  <c r="EA35" i="2421"/>
  <c r="EA27" i="2421"/>
  <c r="EA111" i="2421"/>
  <c r="EA103" i="2421"/>
  <c r="EA95" i="2421"/>
  <c r="EA87" i="2421"/>
  <c r="EA76" i="2421"/>
  <c r="EA68" i="2421"/>
  <c r="EA60" i="2421"/>
  <c r="EA50" i="2421"/>
  <c r="EA42" i="2421"/>
  <c r="EA34" i="2421"/>
  <c r="EA26" i="2421"/>
  <c r="EA17" i="2421"/>
  <c r="EA110" i="2421"/>
  <c r="EA102" i="2421"/>
  <c r="EA94" i="2421"/>
  <c r="EA86" i="2421"/>
  <c r="EA75" i="2421"/>
  <c r="EA67" i="2421"/>
  <c r="EA59" i="2421"/>
  <c r="EA49" i="2421"/>
  <c r="EA41" i="2421"/>
  <c r="EA33" i="2421"/>
  <c r="EA25" i="2421"/>
  <c r="EA109" i="2421"/>
  <c r="EA101" i="2421"/>
  <c r="EA93" i="2421"/>
  <c r="EA85" i="2421"/>
  <c r="EA74" i="2421"/>
  <c r="EA66" i="2421"/>
  <c r="EA58" i="2421"/>
  <c r="EA48" i="2421"/>
  <c r="EA40" i="2421"/>
  <c r="EA32" i="2421"/>
  <c r="EA24" i="2421"/>
  <c r="EA19" i="2421"/>
  <c r="EA77" i="2421"/>
  <c r="EA108" i="2421"/>
  <c r="EA73" i="2421"/>
  <c r="EA39" i="2421"/>
  <c r="EA107" i="2421"/>
  <c r="EA72" i="2421"/>
  <c r="EA38" i="2421"/>
  <c r="EA100" i="2421"/>
  <c r="EA65" i="2421"/>
  <c r="EA31" i="2421"/>
  <c r="EA99" i="2421"/>
  <c r="EA64" i="2421"/>
  <c r="EA30" i="2421"/>
  <c r="EA92" i="2421"/>
  <c r="EA79" i="2421"/>
  <c r="EA23" i="2421"/>
  <c r="EA91" i="2421"/>
  <c r="EA54" i="2421"/>
  <c r="EA81" i="2421"/>
  <c r="EA21" i="2421"/>
  <c r="EA84" i="2421"/>
  <c r="EA47" i="2421"/>
  <c r="EA83" i="2421"/>
  <c r="EA46" i="2421"/>
  <c r="MR112" i="2421"/>
  <c r="MR104" i="2421"/>
  <c r="MR92" i="2421"/>
  <c r="MR79" i="2421"/>
  <c r="MR71" i="2421"/>
  <c r="MR63" i="2421"/>
  <c r="MR90" i="2421"/>
  <c r="MR44" i="2421"/>
  <c r="MR36" i="2421"/>
  <c r="MR28" i="2421"/>
  <c r="MR20" i="2421"/>
  <c r="MR57" i="2421"/>
  <c r="MR93" i="2421"/>
  <c r="MR111" i="2421"/>
  <c r="MR103" i="2421"/>
  <c r="MR88" i="2421"/>
  <c r="MR78" i="2421"/>
  <c r="MR70" i="2421"/>
  <c r="MR62" i="2421"/>
  <c r="MR86" i="2421"/>
  <c r="MR43" i="2421"/>
  <c r="MR35" i="2421"/>
  <c r="MR27" i="2421"/>
  <c r="MR19" i="2421"/>
  <c r="MR55" i="2421"/>
  <c r="MR56" i="2421"/>
  <c r="MR110" i="2421"/>
  <c r="MR102" i="2421"/>
  <c r="MR85" i="2421"/>
  <c r="MR77" i="2421"/>
  <c r="MR69" i="2421"/>
  <c r="MR61" i="2421"/>
  <c r="MR95" i="2421"/>
  <c r="MR42" i="2421"/>
  <c r="MR34" i="2421"/>
  <c r="MR26" i="2421"/>
  <c r="MR18" i="2421"/>
  <c r="MR53" i="2421"/>
  <c r="MR54" i="2421"/>
  <c r="MR109" i="2421"/>
  <c r="MR101" i="2421"/>
  <c r="MR84" i="2421"/>
  <c r="MR76" i="2421"/>
  <c r="MR68" i="2421"/>
  <c r="MR60" i="2421"/>
  <c r="MR89" i="2421"/>
  <c r="MR41" i="2421"/>
  <c r="MR33" i="2421"/>
  <c r="MR25" i="2421"/>
  <c r="MR17" i="2421"/>
  <c r="MR51" i="2421"/>
  <c r="MR108" i="2421"/>
  <c r="MR100" i="2421"/>
  <c r="MR83" i="2421"/>
  <c r="MR75" i="2421"/>
  <c r="MR67" i="2421"/>
  <c r="MR97" i="2421"/>
  <c r="MR48" i="2421"/>
  <c r="MR40" i="2421"/>
  <c r="MR32" i="2421"/>
  <c r="MR24" i="2421"/>
  <c r="MR16" i="2421"/>
  <c r="MR49" i="2421"/>
  <c r="MR107" i="2421"/>
  <c r="MR99" i="2421"/>
  <c r="MR82" i="2421"/>
  <c r="MR74" i="2421"/>
  <c r="MR66" i="2421"/>
  <c r="MR91" i="2421"/>
  <c r="MR47" i="2421"/>
  <c r="MR39" i="2421"/>
  <c r="MR31" i="2421"/>
  <c r="MR23" i="2421"/>
  <c r="MR15" i="2421"/>
  <c r="MR58" i="2421"/>
  <c r="MR106" i="2421"/>
  <c r="MR65" i="2421"/>
  <c r="MR30" i="2421"/>
  <c r="MR105" i="2421"/>
  <c r="MR64" i="2421"/>
  <c r="MR29" i="2421"/>
  <c r="MR98" i="2421"/>
  <c r="MR87" i="2421"/>
  <c r="MR22" i="2421"/>
  <c r="MR96" i="2421"/>
  <c r="MR94" i="2421"/>
  <c r="MR21" i="2421"/>
  <c r="MR81" i="2421"/>
  <c r="MR46" i="2421"/>
  <c r="MR14" i="2421"/>
  <c r="MR80" i="2421"/>
  <c r="MR45" i="2421"/>
  <c r="MR59" i="2421"/>
  <c r="MR73" i="2421"/>
  <c r="MR38" i="2421"/>
  <c r="MR52" i="2421"/>
  <c r="MR113" i="2421"/>
  <c r="MR72" i="2421"/>
  <c r="MR37" i="2421"/>
  <c r="MR50" i="2421"/>
  <c r="FE110" i="2421"/>
  <c r="FE102" i="2421"/>
  <c r="FE91" i="2421"/>
  <c r="FE85" i="2421"/>
  <c r="FE49" i="2421"/>
  <c r="FE41" i="2421"/>
  <c r="FE33" i="2421"/>
  <c r="FE25" i="2421"/>
  <c r="FE65" i="2421"/>
  <c r="FE55" i="2421"/>
  <c r="FE94" i="2421"/>
  <c r="FE74" i="2421"/>
  <c r="FE109" i="2421"/>
  <c r="FE101" i="2421"/>
  <c r="FE87" i="2421"/>
  <c r="FE81" i="2421"/>
  <c r="FE48" i="2421"/>
  <c r="FE40" i="2421"/>
  <c r="FE32" i="2421"/>
  <c r="FE24" i="2421"/>
  <c r="FE64" i="2421"/>
  <c r="FE53" i="2421"/>
  <c r="FE19" i="2421"/>
  <c r="FE108" i="2421"/>
  <c r="FE100" i="2421"/>
  <c r="FE92" i="2421"/>
  <c r="FE77" i="2421"/>
  <c r="FE47" i="2421"/>
  <c r="FE39" i="2421"/>
  <c r="FE31" i="2421"/>
  <c r="FE84" i="2421"/>
  <c r="FE63" i="2421"/>
  <c r="FE83" i="2421"/>
  <c r="FE56" i="2421"/>
  <c r="FE14" i="2421"/>
  <c r="FE107" i="2421"/>
  <c r="FE99" i="2421"/>
  <c r="FE90" i="2421"/>
  <c r="FE73" i="2421"/>
  <c r="FE46" i="2421"/>
  <c r="FE38" i="2421"/>
  <c r="FE30" i="2421"/>
  <c r="FE80" i="2421"/>
  <c r="FE62" i="2421"/>
  <c r="FE79" i="2421"/>
  <c r="FE82" i="2421"/>
  <c r="FE21" i="2421"/>
  <c r="FE54" i="2421"/>
  <c r="FE15" i="2421"/>
  <c r="FE106" i="2421"/>
  <c r="FE98" i="2421"/>
  <c r="FE86" i="2421"/>
  <c r="FE69" i="2421"/>
  <c r="FE45" i="2421"/>
  <c r="FE37" i="2421"/>
  <c r="FE29" i="2421"/>
  <c r="FE76" i="2421"/>
  <c r="FE61" i="2421"/>
  <c r="FE75" i="2421"/>
  <c r="FE70" i="2421"/>
  <c r="FE16" i="2421"/>
  <c r="FE113" i="2421"/>
  <c r="FE105" i="2421"/>
  <c r="FE97" i="2421"/>
  <c r="FE93" i="2421"/>
  <c r="FE52" i="2421"/>
  <c r="FE44" i="2421"/>
  <c r="FE36" i="2421"/>
  <c r="FE28" i="2421"/>
  <c r="FE72" i="2421"/>
  <c r="FE60" i="2421"/>
  <c r="FE71" i="2421"/>
  <c r="FE23" i="2421"/>
  <c r="FE20" i="2421"/>
  <c r="FE17" i="2421"/>
  <c r="FE104" i="2421"/>
  <c r="FE43" i="2421"/>
  <c r="FE59" i="2421"/>
  <c r="FE103" i="2421"/>
  <c r="FE42" i="2421"/>
  <c r="FE57" i="2421"/>
  <c r="FE96" i="2421"/>
  <c r="FE35" i="2421"/>
  <c r="FE67" i="2421"/>
  <c r="FE18" i="2421"/>
  <c r="FE95" i="2421"/>
  <c r="FE34" i="2421"/>
  <c r="FE78" i="2421"/>
  <c r="FE89" i="2421"/>
  <c r="FE27" i="2421"/>
  <c r="FE88" i="2421"/>
  <c r="FE26" i="2421"/>
  <c r="FE112" i="2421"/>
  <c r="FE51" i="2421"/>
  <c r="FE68" i="2421"/>
  <c r="FE22" i="2421"/>
  <c r="FE111" i="2421"/>
  <c r="FE50" i="2421"/>
  <c r="FE66" i="2421"/>
  <c r="FE58" i="2421"/>
  <c r="JU73" i="2421"/>
  <c r="JU48" i="2421"/>
  <c r="JU66" i="2421"/>
  <c r="JU44" i="2421"/>
  <c r="JU81" i="2421"/>
  <c r="JU62" i="2421"/>
  <c r="JU40" i="2421"/>
  <c r="JU58" i="2421"/>
  <c r="JU36" i="2421"/>
  <c r="JU41" i="2421"/>
  <c r="JU60" i="2421"/>
  <c r="JU107" i="2421"/>
  <c r="JU99" i="2421"/>
  <c r="JU93" i="2421"/>
  <c r="JU72" i="2421"/>
  <c r="JU71" i="2421"/>
  <c r="JU31" i="2421"/>
  <c r="JU51" i="2421"/>
  <c r="JU19" i="2421"/>
  <c r="JU45" i="2421"/>
  <c r="JU64" i="2421"/>
  <c r="JU106" i="2421"/>
  <c r="JU98" i="2421"/>
  <c r="JU86" i="2421"/>
  <c r="JU68" i="2421"/>
  <c r="JU67" i="2421"/>
  <c r="JU24" i="2421"/>
  <c r="JU32" i="2421"/>
  <c r="JU57" i="2421"/>
  <c r="JU49" i="2421"/>
  <c r="JU113" i="2421"/>
  <c r="JU105" i="2421"/>
  <c r="JU97" i="2421"/>
  <c r="JU90" i="2421"/>
  <c r="JU56" i="2421"/>
  <c r="JU82" i="2421"/>
  <c r="JU25" i="2421"/>
  <c r="JU33" i="2421"/>
  <c r="JU61" i="2421"/>
  <c r="JU21" i="2421"/>
  <c r="JU59" i="2421"/>
  <c r="JU38" i="2421"/>
  <c r="JU112" i="2421"/>
  <c r="JU104" i="2421"/>
  <c r="JU96" i="2421"/>
  <c r="JU89" i="2421"/>
  <c r="JU54" i="2421"/>
  <c r="JU78" i="2421"/>
  <c r="JU18" i="2421"/>
  <c r="JU26" i="2421"/>
  <c r="JU34" i="2421"/>
  <c r="JU65" i="2421"/>
  <c r="JU63" i="2421"/>
  <c r="JU42" i="2421"/>
  <c r="JU111" i="2421"/>
  <c r="JU103" i="2421"/>
  <c r="JU95" i="2421"/>
  <c r="JU91" i="2421"/>
  <c r="JU52" i="2421"/>
  <c r="JU74" i="2421"/>
  <c r="JU27" i="2421"/>
  <c r="JU35" i="2421"/>
  <c r="JU77" i="2421"/>
  <c r="JU85" i="2421"/>
  <c r="JU15" i="2421"/>
  <c r="JU50" i="2421"/>
  <c r="JU109" i="2421"/>
  <c r="JU101" i="2421"/>
  <c r="JU92" i="2421"/>
  <c r="JU80" i="2421"/>
  <c r="JU79" i="2421"/>
  <c r="JU55" i="2421"/>
  <c r="JU29" i="2421"/>
  <c r="JU43" i="2421"/>
  <c r="JU17" i="2421"/>
  <c r="JU37" i="2421"/>
  <c r="JU16" i="2421"/>
  <c r="JU108" i="2421"/>
  <c r="JU100" i="2421"/>
  <c r="JU87" i="2421"/>
  <c r="JU76" i="2421"/>
  <c r="JU75" i="2421"/>
  <c r="JU53" i="2421"/>
  <c r="JU22" i="2421"/>
  <c r="JU30" i="2421"/>
  <c r="JU47" i="2421"/>
  <c r="JU70" i="2421"/>
  <c r="JU20" i="2421"/>
  <c r="JU46" i="2421"/>
  <c r="JU28" i="2421"/>
  <c r="JU110" i="2421"/>
  <c r="JU39" i="2421"/>
  <c r="JU102" i="2421"/>
  <c r="JU88" i="2421"/>
  <c r="JU23" i="2421"/>
  <c r="JU94" i="2421"/>
  <c r="JU69" i="2421"/>
  <c r="JU84" i="2421"/>
  <c r="JU14" i="2421"/>
  <c r="JU83" i="2421"/>
  <c r="QR20" i="2421"/>
  <c r="QR18" i="2421"/>
  <c r="QR16" i="2421"/>
  <c r="QR19" i="2421"/>
  <c r="QR17" i="2421"/>
  <c r="QR14" i="2421"/>
  <c r="QR15" i="2421"/>
  <c r="QX106" i="2421"/>
  <c r="QX98" i="2421"/>
  <c r="QX90" i="2421"/>
  <c r="QR106" i="2421"/>
  <c r="QR98" i="2421"/>
  <c r="QR90" i="2421"/>
  <c r="QX83" i="2421"/>
  <c r="QX75" i="2421"/>
  <c r="QX67" i="2421"/>
  <c r="QX59" i="2421"/>
  <c r="QR82" i="2421"/>
  <c r="QR74" i="2421"/>
  <c r="QR66" i="2421"/>
  <c r="QR55" i="2421"/>
  <c r="QR47" i="2421"/>
  <c r="QR39" i="2421"/>
  <c r="QR31" i="2421"/>
  <c r="QX54" i="2421"/>
  <c r="QX46" i="2421"/>
  <c r="QX38" i="2421"/>
  <c r="QX30" i="2421"/>
  <c r="QX22" i="2421"/>
  <c r="QZ22" i="2421" s="1"/>
  <c r="QR23" i="2421"/>
  <c r="QX113" i="2421"/>
  <c r="QX105" i="2421"/>
  <c r="QX97" i="2421"/>
  <c r="QR113" i="2421"/>
  <c r="QR105" i="2421"/>
  <c r="QR97" i="2421"/>
  <c r="QR89" i="2421"/>
  <c r="QX82" i="2421"/>
  <c r="QX74" i="2421"/>
  <c r="QX66" i="2421"/>
  <c r="QX58" i="2421"/>
  <c r="QR81" i="2421"/>
  <c r="QR73" i="2421"/>
  <c r="QR65" i="2421"/>
  <c r="QR54" i="2421"/>
  <c r="QR46" i="2421"/>
  <c r="QR38" i="2421"/>
  <c r="QR30" i="2421"/>
  <c r="QX53" i="2421"/>
  <c r="QX45" i="2421"/>
  <c r="QX37" i="2421"/>
  <c r="QX29" i="2421"/>
  <c r="QX21" i="2421"/>
  <c r="QZ21" i="2421" s="1"/>
  <c r="QR24" i="2421"/>
  <c r="QX16" i="2421"/>
  <c r="QX112" i="2421"/>
  <c r="QX104" i="2421"/>
  <c r="QX96" i="2421"/>
  <c r="QR112" i="2421"/>
  <c r="QR104" i="2421"/>
  <c r="QR96" i="2421"/>
  <c r="QR88" i="2421"/>
  <c r="QX81" i="2421"/>
  <c r="QX73" i="2421"/>
  <c r="QX65" i="2421"/>
  <c r="QX57" i="2421"/>
  <c r="QR80" i="2421"/>
  <c r="QR72" i="2421"/>
  <c r="QR64" i="2421"/>
  <c r="QR53" i="2421"/>
  <c r="QR45" i="2421"/>
  <c r="QR37" i="2421"/>
  <c r="QR63" i="2421"/>
  <c r="QX52" i="2421"/>
  <c r="QX44" i="2421"/>
  <c r="QX36" i="2421"/>
  <c r="QX28" i="2421"/>
  <c r="QX20" i="2421"/>
  <c r="QR25" i="2421"/>
  <c r="QX111" i="2421"/>
  <c r="QX103" i="2421"/>
  <c r="QX95" i="2421"/>
  <c r="QR111" i="2421"/>
  <c r="QR103" i="2421"/>
  <c r="QR95" i="2421"/>
  <c r="QR87" i="2421"/>
  <c r="QX80" i="2421"/>
  <c r="QX72" i="2421"/>
  <c r="QX64" i="2421"/>
  <c r="QX88" i="2421"/>
  <c r="QR79" i="2421"/>
  <c r="QR71" i="2421"/>
  <c r="QX86" i="2421"/>
  <c r="QR52" i="2421"/>
  <c r="QR44" i="2421"/>
  <c r="QR36" i="2421"/>
  <c r="QR62" i="2421"/>
  <c r="QX51" i="2421"/>
  <c r="QX43" i="2421"/>
  <c r="QX35" i="2421"/>
  <c r="QZ35" i="2421" s="1"/>
  <c r="QX27" i="2421"/>
  <c r="QR26" i="2421"/>
  <c r="QX17" i="2421"/>
  <c r="QX110" i="2421"/>
  <c r="QX102" i="2421"/>
  <c r="QX94" i="2421"/>
  <c r="QR110" i="2421"/>
  <c r="QR102" i="2421"/>
  <c r="QR94" i="2421"/>
  <c r="QR86" i="2421"/>
  <c r="QX79" i="2421"/>
  <c r="QX71" i="2421"/>
  <c r="QX63" i="2421"/>
  <c r="QX87" i="2421"/>
  <c r="QR78" i="2421"/>
  <c r="QR70" i="2421"/>
  <c r="QR61" i="2421"/>
  <c r="QR51" i="2421"/>
  <c r="QR43" i="2421"/>
  <c r="QR35" i="2421"/>
  <c r="QR60" i="2421"/>
  <c r="QX50" i="2421"/>
  <c r="QX42" i="2421"/>
  <c r="QX34" i="2421"/>
  <c r="QZ34" i="2421" s="1"/>
  <c r="QX26" i="2421"/>
  <c r="QR27" i="2421"/>
  <c r="QX109" i="2421"/>
  <c r="QX101" i="2421"/>
  <c r="QX93" i="2421"/>
  <c r="QR109" i="2421"/>
  <c r="QR101" i="2421"/>
  <c r="QR93" i="2421"/>
  <c r="QX89" i="2421"/>
  <c r="QX78" i="2421"/>
  <c r="QX70" i="2421"/>
  <c r="QX62" i="2421"/>
  <c r="QR85" i="2421"/>
  <c r="QR77" i="2421"/>
  <c r="QR69" i="2421"/>
  <c r="QR59" i="2421"/>
  <c r="QR50" i="2421"/>
  <c r="QR42" i="2421"/>
  <c r="QR34" i="2421"/>
  <c r="QR58" i="2421"/>
  <c r="QX49" i="2421"/>
  <c r="QX41" i="2421"/>
  <c r="QX33" i="2421"/>
  <c r="QZ33" i="2421" s="1"/>
  <c r="QX25" i="2421"/>
  <c r="QR28" i="2421"/>
  <c r="QX14" i="2421"/>
  <c r="QX18" i="2421"/>
  <c r="QX92" i="2421"/>
  <c r="QX85" i="2421"/>
  <c r="QR84" i="2421"/>
  <c r="QR49" i="2421"/>
  <c r="QX48" i="2421"/>
  <c r="QR21" i="2421"/>
  <c r="QX91" i="2421"/>
  <c r="QX84" i="2421"/>
  <c r="QR83" i="2421"/>
  <c r="QR48" i="2421"/>
  <c r="QX47" i="2421"/>
  <c r="QR22" i="2421"/>
  <c r="QR108" i="2421"/>
  <c r="QX77" i="2421"/>
  <c r="QR76" i="2421"/>
  <c r="QR41" i="2421"/>
  <c r="QX40" i="2421"/>
  <c r="QR29" i="2421"/>
  <c r="QR107" i="2421"/>
  <c r="QX76" i="2421"/>
  <c r="QR75" i="2421"/>
  <c r="QR40" i="2421"/>
  <c r="QX39" i="2421"/>
  <c r="QX15" i="2421"/>
  <c r="QX108" i="2421"/>
  <c r="QR100" i="2421"/>
  <c r="QX69" i="2421"/>
  <c r="QR68" i="2421"/>
  <c r="QR33" i="2421"/>
  <c r="QX32" i="2421"/>
  <c r="QZ32" i="2421" s="1"/>
  <c r="QX107" i="2421"/>
  <c r="QR99" i="2421"/>
  <c r="QX68" i="2421"/>
  <c r="QR67" i="2421"/>
  <c r="QR32" i="2421"/>
  <c r="QX31" i="2421"/>
  <c r="QX19" i="2421"/>
  <c r="QX100" i="2421"/>
  <c r="QR92" i="2421"/>
  <c r="QX61" i="2421"/>
  <c r="QR57" i="2421"/>
  <c r="QX56" i="2421"/>
  <c r="QX24" i="2421"/>
  <c r="QX55" i="2421"/>
  <c r="QX23" i="2421"/>
  <c r="QX99" i="2421"/>
  <c r="QR91" i="2421"/>
  <c r="QX60" i="2421"/>
  <c r="QR56" i="2421"/>
  <c r="GP33" i="2421"/>
  <c r="GP87" i="2421"/>
  <c r="GP100" i="2421"/>
  <c r="GP25" i="2421"/>
  <c r="GP74" i="2421"/>
  <c r="GP34" i="2421"/>
  <c r="GP27" i="2421"/>
  <c r="GP101" i="2421"/>
  <c r="GP106" i="2421"/>
  <c r="GP48" i="2421"/>
  <c r="GP111" i="2421"/>
  <c r="GO111" i="2421"/>
  <c r="GO64" i="2421"/>
  <c r="GO25" i="2421"/>
  <c r="GO47" i="2421"/>
  <c r="GO100" i="2421"/>
  <c r="GO31" i="2421"/>
  <c r="GO52" i="2421"/>
  <c r="GO35" i="2421"/>
  <c r="GO97" i="2421"/>
  <c r="GO76" i="2421"/>
  <c r="MI21" i="2421"/>
  <c r="MJ61" i="2421"/>
  <c r="MJ103" i="2421"/>
  <c r="MJ38" i="2421"/>
  <c r="MJ112" i="2421"/>
  <c r="MJ71" i="2421"/>
  <c r="MJ25" i="2421"/>
  <c r="MJ23" i="2421"/>
  <c r="MJ58" i="2421"/>
  <c r="MJ93" i="2421"/>
  <c r="MJ84" i="2421"/>
  <c r="MI100" i="2421"/>
  <c r="MI28" i="2421"/>
  <c r="MI50" i="2421"/>
  <c r="MI98" i="2421"/>
  <c r="MI82" i="2421"/>
  <c r="MI42" i="2421"/>
  <c r="MI41" i="2421"/>
  <c r="MI109" i="2421"/>
  <c r="MI92" i="2421"/>
  <c r="MI33" i="2421"/>
  <c r="H2" i="2383"/>
  <c r="CS123" i="2421"/>
  <c r="CT123" i="2421" s="1"/>
  <c r="CT127" i="2421" s="1"/>
  <c r="AB3" i="2413" s="1"/>
  <c r="CE127" i="2421"/>
  <c r="X3" i="2413" s="1"/>
  <c r="QP127" i="2421"/>
  <c r="PL127" i="2421"/>
  <c r="DL3" i="2413" s="1"/>
  <c r="FB127" i="2421"/>
  <c r="AR3" i="2413" s="1"/>
  <c r="KF123" i="2421"/>
  <c r="KG123" i="2421" s="1"/>
  <c r="KG127" i="2421" s="1"/>
  <c r="CB3" i="2413" s="1"/>
  <c r="RD123" i="2421"/>
  <c r="RE123" i="2421" s="1"/>
  <c r="RE127" i="2421" s="1"/>
  <c r="HX123" i="2421"/>
  <c r="HY123" i="2421" s="1"/>
  <c r="HY127" i="2421" s="1"/>
  <c r="BL3" i="2413" s="1"/>
  <c r="FP123" i="2421"/>
  <c r="FQ123" i="2421" s="1"/>
  <c r="FQ127" i="2421" s="1"/>
  <c r="AV3" i="2413" s="1"/>
  <c r="IM123" i="2421"/>
  <c r="IN123" i="2421" s="1"/>
  <c r="IN127" i="2421" s="1"/>
  <c r="BP3" i="2413" s="1"/>
  <c r="DW123" i="2421"/>
  <c r="DX123" i="2421" s="1"/>
  <c r="DX127" i="2421" s="1"/>
  <c r="MN123" i="2421"/>
  <c r="MO123" i="2421" s="1"/>
  <c r="MO127" i="2421" s="1"/>
  <c r="CR3" i="2413" s="1"/>
  <c r="GE123" i="2421"/>
  <c r="GF123" i="2421" s="1"/>
  <c r="GF127" i="2421" s="1"/>
  <c r="AZ3" i="2413" s="1"/>
  <c r="LY123" i="2421"/>
  <c r="LZ123" i="2421" s="1"/>
  <c r="LZ127" i="2421" s="1"/>
  <c r="CN3" i="2413" s="1"/>
  <c r="DH123" i="2421"/>
  <c r="DI123" i="2421" s="1"/>
  <c r="DI127" i="2421" s="1"/>
  <c r="AF3" i="2413" s="1"/>
  <c r="NR123" i="2421"/>
  <c r="NS123" i="2421" s="1"/>
  <c r="NS127" i="2421" s="1"/>
  <c r="CZ3" i="2413" s="1"/>
  <c r="JB123" i="2421"/>
  <c r="JC123" i="2421" s="1"/>
  <c r="JC127" i="2421" s="1"/>
  <c r="BT3" i="2413" s="1"/>
  <c r="LJ123" i="2421"/>
  <c r="LK123" i="2421" s="1"/>
  <c r="LK127" i="2421" s="1"/>
  <c r="CJ3" i="2413" s="1"/>
  <c r="KU123" i="2421"/>
  <c r="KV123" i="2421" s="1"/>
  <c r="KV127" i="2421" s="1"/>
  <c r="CF3" i="2413" s="1"/>
  <c r="GT123" i="2421"/>
  <c r="GU123" i="2421" s="1"/>
  <c r="GU127" i="2421" s="1"/>
  <c r="BD3" i="2413" s="1"/>
  <c r="PZ123" i="2421"/>
  <c r="QA123" i="2421" s="1"/>
  <c r="QA127" i="2421" s="1"/>
  <c r="DP3" i="2413" s="1"/>
  <c r="OG123" i="2421"/>
  <c r="OH123" i="2421" s="1"/>
  <c r="OH127" i="2421" s="1"/>
  <c r="DD3" i="2413" s="1"/>
  <c r="JR127" i="2421"/>
  <c r="BX3" i="2413" s="1"/>
  <c r="KV128" i="2421"/>
  <c r="CF4" i="2413" s="1"/>
  <c r="QP128" i="2421"/>
  <c r="RE128" i="2421"/>
  <c r="DX4" i="2413" s="1"/>
  <c r="NS128" i="2421"/>
  <c r="CE128" i="2421"/>
  <c r="JR128" i="2421"/>
  <c r="JC128" i="2421"/>
  <c r="LZ128" i="2421"/>
  <c r="GF128" i="2421"/>
  <c r="PL128" i="2421"/>
  <c r="FQ128" i="2421"/>
  <c r="HY128" i="2421"/>
  <c r="DX128" i="2421"/>
  <c r="KG128" i="2421"/>
  <c r="CB4" i="2413" s="1"/>
  <c r="QA128" i="2421"/>
  <c r="OH128" i="2421"/>
  <c r="IN128" i="2421"/>
  <c r="MO128" i="2421"/>
  <c r="GU128" i="2421"/>
  <c r="LK128" i="2421"/>
  <c r="HJ128" i="2421"/>
  <c r="DI128" i="2421"/>
  <c r="FB128" i="2421"/>
  <c r="AC13" i="2413"/>
  <c r="AC21" i="2413"/>
  <c r="AC17" i="2413"/>
  <c r="AC14" i="2413"/>
  <c r="AD14" i="2413"/>
  <c r="AD19" i="2413"/>
  <c r="AD17" i="2413"/>
  <c r="AD21" i="2413"/>
  <c r="AD13" i="2413"/>
  <c r="AE21" i="2413"/>
  <c r="AE19" i="2413"/>
  <c r="AE13" i="2413"/>
  <c r="AE17" i="2413"/>
  <c r="AE14" i="2413"/>
  <c r="AN3" i="2413"/>
  <c r="AJ3" i="2413"/>
  <c r="DT3" i="2413"/>
  <c r="DX3" i="2413"/>
  <c r="BH3" i="2413"/>
  <c r="DY1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20"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AA15"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Z15"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BV24" i="2420" l="1"/>
  <c r="L15" i="2406"/>
  <c r="L31" i="2406"/>
  <c r="L24" i="2406"/>
  <c r="L16" i="2406"/>
  <c r="L21" i="2406"/>
  <c r="L29" i="2406"/>
  <c r="L27" i="2406"/>
  <c r="L23" i="2406"/>
  <c r="L28" i="2406"/>
  <c r="L17" i="2406"/>
  <c r="L22" i="2406"/>
  <c r="L19" i="2406"/>
  <c r="L25" i="2406"/>
  <c r="L18" i="2406"/>
  <c r="L26" i="2406"/>
  <c r="L30" i="2406"/>
  <c r="QT56" i="2421"/>
  <c r="QV56" i="2421"/>
  <c r="QT37" i="2421"/>
  <c r="QV37" i="2421"/>
  <c r="JV69" i="2421"/>
  <c r="JX69" i="2421"/>
  <c r="JV98" i="2421"/>
  <c r="JX98" i="2421"/>
  <c r="JV101" i="2421"/>
  <c r="JX101" i="2421"/>
  <c r="JV95" i="2421"/>
  <c r="JX95" i="2421"/>
  <c r="FF36" i="2421"/>
  <c r="FH36" i="2421"/>
  <c r="FF94" i="2421"/>
  <c r="FH94" i="2421"/>
  <c r="FF104" i="2421"/>
  <c r="FH104" i="2421"/>
  <c r="NW14" i="2421"/>
  <c r="NY14" i="2421"/>
  <c r="NW25" i="2421"/>
  <c r="NY25" i="2421"/>
  <c r="MS67" i="2421"/>
  <c r="MU67" i="2421"/>
  <c r="JG56" i="2421"/>
  <c r="JI56" i="2421"/>
  <c r="JG106" i="2421"/>
  <c r="JI106" i="2421"/>
  <c r="EB34" i="2421"/>
  <c r="ED34" i="2421"/>
  <c r="EB70" i="2421"/>
  <c r="ED70" i="2421"/>
  <c r="EB98" i="2421"/>
  <c r="ED98" i="2421"/>
  <c r="EB31" i="2421"/>
  <c r="ED31" i="2421"/>
  <c r="GJ91" i="2421"/>
  <c r="GL91" i="2421"/>
  <c r="FU83" i="2421"/>
  <c r="FW83" i="2421"/>
  <c r="FU15" i="2421"/>
  <c r="FW15" i="2421"/>
  <c r="FU20" i="2421"/>
  <c r="FW20" i="2421"/>
  <c r="QE68" i="2421"/>
  <c r="QG68" i="2421"/>
  <c r="MD76" i="2421"/>
  <c r="MF76" i="2421"/>
  <c r="RI81" i="2421"/>
  <c r="RK81" i="2421"/>
  <c r="KK91" i="2421"/>
  <c r="KM91" i="2421"/>
  <c r="KK31" i="2421"/>
  <c r="KM31" i="2421"/>
  <c r="PP86" i="2421"/>
  <c r="PR86" i="2421"/>
  <c r="PP19" i="2421"/>
  <c r="PR19" i="2421"/>
  <c r="PP30" i="2421"/>
  <c r="PR30" i="2421"/>
  <c r="DM22" i="2421"/>
  <c r="DO22" i="2421"/>
  <c r="DM69" i="2421"/>
  <c r="DO69" i="2421"/>
  <c r="LO44" i="2421"/>
  <c r="LQ44" i="2421"/>
  <c r="LO85" i="2421"/>
  <c r="LQ85" i="2421"/>
  <c r="OL41" i="2421"/>
  <c r="ON41" i="2421"/>
  <c r="OL17" i="2421"/>
  <c r="ON17" i="2421"/>
  <c r="HN44" i="2421"/>
  <c r="HP44" i="2421"/>
  <c r="HN103" i="2421"/>
  <c r="HP103" i="2421"/>
  <c r="KZ47" i="2421"/>
  <c r="LB47" i="2421"/>
  <c r="KZ91" i="2421"/>
  <c r="LB91" i="2421"/>
  <c r="KZ109" i="2421"/>
  <c r="LB109" i="2421"/>
  <c r="IR64" i="2421"/>
  <c r="IT64" i="2421"/>
  <c r="IR39" i="2421"/>
  <c r="IT39" i="2421"/>
  <c r="IC27" i="2421"/>
  <c r="IE27" i="2421"/>
  <c r="IC34" i="2421"/>
  <c r="IE34" i="2421"/>
  <c r="IC32" i="2421"/>
  <c r="IE32" i="2421"/>
  <c r="IC31" i="2421"/>
  <c r="IE31" i="2421"/>
  <c r="GY112" i="2421"/>
  <c r="HA112" i="2421"/>
  <c r="GY67" i="2421"/>
  <c r="HA67" i="2421"/>
  <c r="GY80" i="2421"/>
  <c r="HA80" i="2421"/>
  <c r="QT68" i="2421"/>
  <c r="QV68" i="2421"/>
  <c r="QT22" i="2421"/>
  <c r="QV22" i="2421"/>
  <c r="QT49" i="2421"/>
  <c r="QV49" i="2421"/>
  <c r="QT69" i="2421"/>
  <c r="QV69" i="2421"/>
  <c r="QT101" i="2421"/>
  <c r="QV101" i="2421"/>
  <c r="QT78" i="2421"/>
  <c r="QV78" i="2421"/>
  <c r="QT110" i="2421"/>
  <c r="QV110" i="2421"/>
  <c r="QT79" i="2421"/>
  <c r="QV79" i="2421"/>
  <c r="QT111" i="2421"/>
  <c r="QV111" i="2421"/>
  <c r="QT80" i="2421"/>
  <c r="QV80" i="2421"/>
  <c r="QT112" i="2421"/>
  <c r="QV112" i="2421"/>
  <c r="QT73" i="2421"/>
  <c r="QV73" i="2421"/>
  <c r="QT105" i="2421"/>
  <c r="QV105" i="2421"/>
  <c r="QT74" i="2421"/>
  <c r="QV74" i="2421"/>
  <c r="QT106" i="2421"/>
  <c r="QV106" i="2421"/>
  <c r="QV16" i="2421"/>
  <c r="QT16" i="2421"/>
  <c r="JV85" i="2421"/>
  <c r="JX85" i="2421"/>
  <c r="JV108" i="2421"/>
  <c r="JX108" i="2421"/>
  <c r="JV39" i="2421"/>
  <c r="JX39" i="2421"/>
  <c r="JV75" i="2421"/>
  <c r="JX75" i="2421"/>
  <c r="JV48" i="2421"/>
  <c r="JX48" i="2421"/>
  <c r="JV84" i="2421"/>
  <c r="JX84" i="2421"/>
  <c r="JV16" i="2421"/>
  <c r="JX16" i="2421"/>
  <c r="JV42" i="2421"/>
  <c r="JX42" i="2421"/>
  <c r="JV78" i="2421"/>
  <c r="JX78" i="2421"/>
  <c r="JV71" i="2421"/>
  <c r="JX71" i="2421"/>
  <c r="JV36" i="2421"/>
  <c r="JX36" i="2421"/>
  <c r="JV72" i="2421"/>
  <c r="JX72" i="2421"/>
  <c r="JV113" i="2421"/>
  <c r="JX113" i="2421"/>
  <c r="JX19" i="2421"/>
  <c r="JV19" i="2421"/>
  <c r="FF83" i="2421"/>
  <c r="FH83" i="2421"/>
  <c r="FF54" i="2421"/>
  <c r="FH54" i="2421"/>
  <c r="FF98" i="2421"/>
  <c r="FH98" i="2421"/>
  <c r="FF50" i="2421"/>
  <c r="FH50" i="2421"/>
  <c r="FF91" i="2421"/>
  <c r="FH91" i="2421"/>
  <c r="FF30" i="2421"/>
  <c r="FH30" i="2421"/>
  <c r="FF108" i="2421"/>
  <c r="FH108" i="2421"/>
  <c r="FF28" i="2421"/>
  <c r="FH28" i="2421"/>
  <c r="FF65" i="2421"/>
  <c r="FH65" i="2421"/>
  <c r="FF71" i="2421"/>
  <c r="FH71" i="2421"/>
  <c r="FF66" i="2421"/>
  <c r="FH66" i="2421"/>
  <c r="FF72" i="2421"/>
  <c r="FH72" i="2421"/>
  <c r="FF39" i="2421"/>
  <c r="FH39" i="2421"/>
  <c r="FF81" i="2421"/>
  <c r="FH81" i="2421"/>
  <c r="NW72" i="2421"/>
  <c r="NY72" i="2421"/>
  <c r="NW23" i="2421"/>
  <c r="NY23" i="2421"/>
  <c r="NW51" i="2421"/>
  <c r="NY51" i="2421"/>
  <c r="NW30" i="2421"/>
  <c r="NY30" i="2421"/>
  <c r="NW92" i="2421"/>
  <c r="NY92" i="2421"/>
  <c r="NW20" i="2421"/>
  <c r="NY20" i="2421"/>
  <c r="NW39" i="2421"/>
  <c r="NY39" i="2421"/>
  <c r="NW101" i="2421"/>
  <c r="NY101" i="2421"/>
  <c r="NW60" i="2421"/>
  <c r="NY60" i="2421"/>
  <c r="NW48" i="2421"/>
  <c r="NY48" i="2421"/>
  <c r="NW110" i="2421"/>
  <c r="NY110" i="2421"/>
  <c r="NW63" i="2421"/>
  <c r="NY63" i="2421"/>
  <c r="NW59" i="2421"/>
  <c r="NY59" i="2421"/>
  <c r="MS89" i="2421"/>
  <c r="MU89" i="2421"/>
  <c r="MS14" i="2421"/>
  <c r="MU14" i="2421"/>
  <c r="MS91" i="2421"/>
  <c r="MU91" i="2421"/>
  <c r="MS45" i="2421"/>
  <c r="MU45" i="2421"/>
  <c r="MS80" i="2421"/>
  <c r="MU80" i="2421"/>
  <c r="MS73" i="2421"/>
  <c r="MU73" i="2421"/>
  <c r="MS56" i="2421"/>
  <c r="MU56" i="2421"/>
  <c r="MS18" i="2421"/>
  <c r="MU18" i="2421"/>
  <c r="MS103" i="2421"/>
  <c r="MU103" i="2421"/>
  <c r="MS33" i="2421"/>
  <c r="MU33" i="2421"/>
  <c r="MS84" i="2421"/>
  <c r="MU84" i="2421"/>
  <c r="JG33" i="2421"/>
  <c r="JI33" i="2421"/>
  <c r="JG40" i="2421"/>
  <c r="JI40" i="2421"/>
  <c r="JG88" i="2421"/>
  <c r="JI88" i="2421"/>
  <c r="JG58" i="2421"/>
  <c r="JI58" i="2421"/>
  <c r="JG105" i="2421"/>
  <c r="JI105" i="2421"/>
  <c r="JG77" i="2421"/>
  <c r="JI77" i="2421"/>
  <c r="JG99" i="2421"/>
  <c r="JI99" i="2421"/>
  <c r="JG93" i="2421"/>
  <c r="JI93" i="2421"/>
  <c r="JI23" i="2421"/>
  <c r="JG23" i="2421"/>
  <c r="EB60" i="2421"/>
  <c r="ED60" i="2421"/>
  <c r="EB104" i="2421"/>
  <c r="ED104" i="2421"/>
  <c r="EB59" i="2421"/>
  <c r="ED59" i="2421"/>
  <c r="EB43" i="2421"/>
  <c r="ED43" i="2421"/>
  <c r="EB95" i="2421"/>
  <c r="ED95" i="2421"/>
  <c r="EB44" i="2421"/>
  <c r="ED44" i="2421"/>
  <c r="EB89" i="2421"/>
  <c r="ED89" i="2421"/>
  <c r="EB29" i="2421"/>
  <c r="ED29" i="2421"/>
  <c r="EB17" i="2421"/>
  <c r="ED17" i="2421"/>
  <c r="EB73" i="2421"/>
  <c r="ED73" i="2421"/>
  <c r="EB24" i="2421"/>
  <c r="ED24" i="2421"/>
  <c r="EB74" i="2421"/>
  <c r="ED74" i="2421"/>
  <c r="EB67" i="2421"/>
  <c r="ED67" i="2421"/>
  <c r="EB110" i="2421"/>
  <c r="ED110" i="2421"/>
  <c r="GJ112" i="2421"/>
  <c r="GL112" i="2421"/>
  <c r="GJ45" i="2421"/>
  <c r="GL45" i="2421"/>
  <c r="GJ81" i="2421"/>
  <c r="GL81" i="2421"/>
  <c r="GJ103" i="2421"/>
  <c r="GL103" i="2421"/>
  <c r="GJ79" i="2421"/>
  <c r="GL79" i="2421"/>
  <c r="GJ85" i="2421"/>
  <c r="GL85" i="2421"/>
  <c r="GJ60" i="2421"/>
  <c r="GL60" i="2421"/>
  <c r="GJ65" i="2421"/>
  <c r="GL65" i="2421"/>
  <c r="GJ51" i="2421"/>
  <c r="GL51" i="2421"/>
  <c r="GJ71" i="2421"/>
  <c r="GL71" i="2421"/>
  <c r="FU101" i="2421"/>
  <c r="FW101" i="2421"/>
  <c r="FU65" i="2421"/>
  <c r="FW65" i="2421"/>
  <c r="FU78" i="2421"/>
  <c r="FW78" i="2421"/>
  <c r="FU80" i="2421"/>
  <c r="FW80" i="2421"/>
  <c r="FU82" i="2421"/>
  <c r="FW82" i="2421"/>
  <c r="FU84" i="2421"/>
  <c r="FW84" i="2421"/>
  <c r="FU62" i="2421"/>
  <c r="FW62" i="2421"/>
  <c r="QE96" i="2421"/>
  <c r="QG96" i="2421"/>
  <c r="QE97" i="2421"/>
  <c r="QG97" i="2421"/>
  <c r="QE36" i="2421"/>
  <c r="QG36" i="2421"/>
  <c r="QE69" i="2421"/>
  <c r="QG69" i="2421"/>
  <c r="QE113" i="2421"/>
  <c r="QG113" i="2421"/>
  <c r="QE20" i="2421"/>
  <c r="QG20" i="2421"/>
  <c r="QE81" i="2421"/>
  <c r="QG81" i="2421"/>
  <c r="QE18" i="2421"/>
  <c r="QG18" i="2421"/>
  <c r="QE72" i="2421"/>
  <c r="QG72" i="2421"/>
  <c r="QE25" i="2421"/>
  <c r="QG25" i="2421"/>
  <c r="QE65" i="2421"/>
  <c r="QG65" i="2421"/>
  <c r="QE108" i="2421"/>
  <c r="QG108" i="2421"/>
  <c r="QE32" i="2421"/>
  <c r="QG32" i="2421"/>
  <c r="QE58" i="2421"/>
  <c r="QG58" i="2421"/>
  <c r="QE101" i="2421"/>
  <c r="QG101" i="2421"/>
  <c r="QE39" i="2421"/>
  <c r="QG39" i="2421"/>
  <c r="QE94" i="2421"/>
  <c r="QG94" i="2421"/>
  <c r="QE46" i="2421"/>
  <c r="QG46" i="2421"/>
  <c r="QE87" i="2421"/>
  <c r="QG87" i="2421"/>
  <c r="QE53" i="2421"/>
  <c r="QG53" i="2421"/>
  <c r="MD71" i="2421"/>
  <c r="MF71" i="2421"/>
  <c r="MD83" i="2421"/>
  <c r="MF83" i="2421"/>
  <c r="MD94" i="2421"/>
  <c r="MF94" i="2421"/>
  <c r="MD111" i="2421"/>
  <c r="MF111" i="2421"/>
  <c r="MD20" i="2421"/>
  <c r="MF20" i="2421"/>
  <c r="RI37" i="2421"/>
  <c r="RK37" i="2421"/>
  <c r="RI85" i="2421"/>
  <c r="RK85" i="2421"/>
  <c r="RI49" i="2421"/>
  <c r="RK49" i="2421"/>
  <c r="RI80" i="2421"/>
  <c r="RK80" i="2421"/>
  <c r="RI102" i="2421"/>
  <c r="RK102" i="2421"/>
  <c r="RI77" i="2421"/>
  <c r="RK77" i="2421"/>
  <c r="RI74" i="2421"/>
  <c r="RK74" i="2421"/>
  <c r="RI42" i="2421"/>
  <c r="RK42" i="2421"/>
  <c r="RI54" i="2421"/>
  <c r="RK54" i="2421"/>
  <c r="RI24" i="2421"/>
  <c r="RK24" i="2421"/>
  <c r="KK40" i="2421"/>
  <c r="KM40" i="2421"/>
  <c r="KK61" i="2421"/>
  <c r="KM61" i="2421"/>
  <c r="KK81" i="2421"/>
  <c r="KM81" i="2421"/>
  <c r="KK86" i="2421"/>
  <c r="KM86" i="2421"/>
  <c r="KK73" i="2421"/>
  <c r="KM73" i="2421"/>
  <c r="KK74" i="2421"/>
  <c r="KM74" i="2421"/>
  <c r="KK76" i="2421"/>
  <c r="KM76" i="2421"/>
  <c r="KK68" i="2421"/>
  <c r="KM68" i="2421"/>
  <c r="KM17" i="2421"/>
  <c r="KK17" i="2421"/>
  <c r="PP55" i="2421"/>
  <c r="PR55" i="2421"/>
  <c r="PP81" i="2421"/>
  <c r="PR81" i="2421"/>
  <c r="PP65" i="2421"/>
  <c r="PR65" i="2421"/>
  <c r="PP58" i="2421"/>
  <c r="PR58" i="2421"/>
  <c r="PP108" i="2421"/>
  <c r="PR108" i="2421"/>
  <c r="PP46" i="2421"/>
  <c r="PR46" i="2421"/>
  <c r="PP76" i="2421"/>
  <c r="PR76" i="2421"/>
  <c r="PP82" i="2421"/>
  <c r="PR82" i="2421"/>
  <c r="PP103" i="2421"/>
  <c r="PR103" i="2421"/>
  <c r="PP17" i="2421"/>
  <c r="PR17" i="2421"/>
  <c r="PP24" i="2421"/>
  <c r="PR24" i="2421"/>
  <c r="DM47" i="2421"/>
  <c r="DO47" i="2421"/>
  <c r="DM59" i="2421"/>
  <c r="DO59" i="2421"/>
  <c r="DM21" i="2421"/>
  <c r="DO21" i="2421"/>
  <c r="DM106" i="2421"/>
  <c r="DO106" i="2421"/>
  <c r="DM39" i="2421"/>
  <c r="DO39" i="2421"/>
  <c r="DM72" i="2421"/>
  <c r="DO72" i="2421"/>
  <c r="DM51" i="2421"/>
  <c r="DO51" i="2421"/>
  <c r="DM102" i="2421"/>
  <c r="DO102" i="2421"/>
  <c r="DM61" i="2421"/>
  <c r="DO61" i="2421"/>
  <c r="DM37" i="2421"/>
  <c r="DO37" i="2421"/>
  <c r="DM88" i="2421"/>
  <c r="DO88" i="2421"/>
  <c r="DM38" i="2421"/>
  <c r="DO38" i="2421"/>
  <c r="DM89" i="2421"/>
  <c r="DO89" i="2421"/>
  <c r="DM18" i="2421"/>
  <c r="DO18" i="2421"/>
  <c r="LO67" i="2421"/>
  <c r="LQ67" i="2421"/>
  <c r="LO94" i="2421"/>
  <c r="LQ94" i="2421"/>
  <c r="LO51" i="2421"/>
  <c r="LQ51" i="2421"/>
  <c r="LO61" i="2421"/>
  <c r="LQ61" i="2421"/>
  <c r="LO103" i="2421"/>
  <c r="LQ103" i="2421"/>
  <c r="LO58" i="2421"/>
  <c r="LQ58" i="2421"/>
  <c r="LO99" i="2421"/>
  <c r="LQ99" i="2421"/>
  <c r="LO21" i="2421"/>
  <c r="LQ21" i="2421"/>
  <c r="LO66" i="2421"/>
  <c r="LQ66" i="2421"/>
  <c r="LO108" i="2421"/>
  <c r="LQ108" i="2421"/>
  <c r="LO37" i="2421"/>
  <c r="LQ37" i="2421"/>
  <c r="LO27" i="2421"/>
  <c r="LQ27" i="2421"/>
  <c r="LO53" i="2421"/>
  <c r="LQ53" i="2421"/>
  <c r="CX45" i="2421"/>
  <c r="CZ45" i="2421"/>
  <c r="CX90" i="2421"/>
  <c r="CZ90" i="2421"/>
  <c r="CX46" i="2421"/>
  <c r="CZ46" i="2421"/>
  <c r="CX91" i="2421"/>
  <c r="CZ91" i="2421"/>
  <c r="CX39" i="2421"/>
  <c r="CZ39" i="2421"/>
  <c r="CX81" i="2421"/>
  <c r="CZ81" i="2421"/>
  <c r="CX32" i="2421"/>
  <c r="CZ32" i="2421"/>
  <c r="CX17" i="2421"/>
  <c r="CZ17" i="2421"/>
  <c r="CX68" i="2421"/>
  <c r="CZ68" i="2421"/>
  <c r="CX111" i="2421"/>
  <c r="CZ111" i="2421"/>
  <c r="CX61" i="2421"/>
  <c r="CZ61" i="2421"/>
  <c r="CX104" i="2421"/>
  <c r="CZ104" i="2421"/>
  <c r="CX52" i="2421"/>
  <c r="CZ52" i="2421"/>
  <c r="CX97" i="2421"/>
  <c r="CZ97" i="2421"/>
  <c r="CX57" i="2421"/>
  <c r="CZ57" i="2421"/>
  <c r="OL88" i="2421"/>
  <c r="ON88" i="2421"/>
  <c r="OL112" i="2421"/>
  <c r="ON112" i="2421"/>
  <c r="OL42" i="2421"/>
  <c r="ON42" i="2421"/>
  <c r="OL70" i="2421"/>
  <c r="ON70" i="2421"/>
  <c r="OL27" i="2421"/>
  <c r="ON27" i="2421"/>
  <c r="OL80" i="2421"/>
  <c r="ON80" i="2421"/>
  <c r="OL37" i="2421"/>
  <c r="ON37" i="2421"/>
  <c r="OL85" i="2421"/>
  <c r="ON85" i="2421"/>
  <c r="OL46" i="2421"/>
  <c r="ON46" i="2421"/>
  <c r="OL84" i="2421"/>
  <c r="ON84" i="2421"/>
  <c r="OL48" i="2421"/>
  <c r="ON48" i="2421"/>
  <c r="OL86" i="2421"/>
  <c r="ON86" i="2421"/>
  <c r="OL95" i="2421"/>
  <c r="ON95" i="2421"/>
  <c r="HN36" i="2421"/>
  <c r="HP36" i="2421"/>
  <c r="HN65" i="2421"/>
  <c r="HP65" i="2421"/>
  <c r="HN33" i="2421"/>
  <c r="HP33" i="2421"/>
  <c r="HN96" i="2421"/>
  <c r="HP96" i="2421"/>
  <c r="HN34" i="2421"/>
  <c r="HP34" i="2421"/>
  <c r="HN97" i="2421"/>
  <c r="HP97" i="2421"/>
  <c r="HN43" i="2421"/>
  <c r="HP43" i="2421"/>
  <c r="HN106" i="2421"/>
  <c r="HP106" i="2421"/>
  <c r="HN53" i="2421"/>
  <c r="HP53" i="2421"/>
  <c r="HN18" i="2421"/>
  <c r="HP18" i="2421"/>
  <c r="HP19" i="2421"/>
  <c r="HN19" i="2421"/>
  <c r="KZ111" i="2421"/>
  <c r="LB111" i="2421"/>
  <c r="KZ63" i="2421"/>
  <c r="LB63" i="2421"/>
  <c r="KZ68" i="2421"/>
  <c r="LB68" i="2421"/>
  <c r="KZ64" i="2421"/>
  <c r="LB64" i="2421"/>
  <c r="KZ69" i="2421"/>
  <c r="LB69" i="2421"/>
  <c r="KZ65" i="2421"/>
  <c r="LB65" i="2421"/>
  <c r="KZ70" i="2421"/>
  <c r="LB70" i="2421"/>
  <c r="KZ14" i="2421"/>
  <c r="LB14" i="2421"/>
  <c r="IR44" i="2421"/>
  <c r="IT44" i="2421"/>
  <c r="IR87" i="2421"/>
  <c r="IT87" i="2421"/>
  <c r="IR14" i="2421"/>
  <c r="IT14" i="2421"/>
  <c r="IR45" i="2421"/>
  <c r="IT45" i="2421"/>
  <c r="IR88" i="2421"/>
  <c r="IT88" i="2421"/>
  <c r="IR65" i="2421"/>
  <c r="IT65" i="2421"/>
  <c r="IR113" i="2421"/>
  <c r="IT113" i="2421"/>
  <c r="IR71" i="2421"/>
  <c r="IT71" i="2421"/>
  <c r="IR42" i="2421"/>
  <c r="IT42" i="2421"/>
  <c r="IR24" i="2421"/>
  <c r="IT24" i="2421"/>
  <c r="IR51" i="2421"/>
  <c r="IT51" i="2421"/>
  <c r="IR94" i="2421"/>
  <c r="IT94" i="2421"/>
  <c r="IT29" i="2421"/>
  <c r="IR29" i="2421"/>
  <c r="IR80" i="2421"/>
  <c r="IT80" i="2421"/>
  <c r="IC68" i="2421"/>
  <c r="IE68" i="2421"/>
  <c r="IC69" i="2421"/>
  <c r="IE69" i="2421"/>
  <c r="IC70" i="2421"/>
  <c r="IE70" i="2421"/>
  <c r="IC71" i="2421"/>
  <c r="IE71" i="2421"/>
  <c r="IC81" i="2421"/>
  <c r="IE81" i="2421"/>
  <c r="IC73" i="2421"/>
  <c r="IE73" i="2421"/>
  <c r="IC66" i="2421"/>
  <c r="IE66" i="2421"/>
  <c r="IC67" i="2421"/>
  <c r="IE67" i="2421"/>
  <c r="IC17" i="2421"/>
  <c r="IE17" i="2421"/>
  <c r="GY74" i="2421"/>
  <c r="HA74" i="2421"/>
  <c r="GY57" i="2421"/>
  <c r="HA57" i="2421"/>
  <c r="GY97" i="2421"/>
  <c r="HA97" i="2421"/>
  <c r="GY77" i="2421"/>
  <c r="HA77" i="2421"/>
  <c r="GY91" i="2421"/>
  <c r="HA91" i="2421"/>
  <c r="GY30" i="2421"/>
  <c r="HA30" i="2421"/>
  <c r="GY61" i="2421"/>
  <c r="HA61" i="2421"/>
  <c r="GY100" i="2421"/>
  <c r="HA100" i="2421"/>
  <c r="GY54" i="2421"/>
  <c r="HA54" i="2421"/>
  <c r="GY93" i="2421"/>
  <c r="HA93" i="2421"/>
  <c r="GY32" i="2421"/>
  <c r="HA32" i="2421"/>
  <c r="GY63" i="2421"/>
  <c r="HA63" i="2421"/>
  <c r="GY102" i="2421"/>
  <c r="HA102" i="2421"/>
  <c r="GY33" i="2421"/>
  <c r="HA33" i="2421"/>
  <c r="GY64" i="2421"/>
  <c r="HA64" i="2421"/>
  <c r="GY103" i="2421"/>
  <c r="HA103" i="2421"/>
  <c r="GY20" i="2421"/>
  <c r="HA20" i="2421"/>
  <c r="CI37" i="2421"/>
  <c r="CK37" i="2421"/>
  <c r="CI50" i="2421"/>
  <c r="CK50" i="2421"/>
  <c r="CI88" i="2421"/>
  <c r="CK88" i="2421"/>
  <c r="CI30" i="2421"/>
  <c r="CK30" i="2421"/>
  <c r="CI97" i="2421"/>
  <c r="CK97" i="2421"/>
  <c r="CI29" i="2421"/>
  <c r="CK29" i="2421"/>
  <c r="CI51" i="2421"/>
  <c r="CK51" i="2421"/>
  <c r="CI98" i="2421"/>
  <c r="CK98" i="2421"/>
  <c r="CI28" i="2421"/>
  <c r="CK28" i="2421"/>
  <c r="CI99" i="2421"/>
  <c r="CK99" i="2421"/>
  <c r="CI27" i="2421"/>
  <c r="CK27" i="2421"/>
  <c r="CI92" i="2421"/>
  <c r="CK92" i="2421"/>
  <c r="CI20" i="2421"/>
  <c r="CK20" i="2421"/>
  <c r="CK25" i="2421"/>
  <c r="CI25" i="2421"/>
  <c r="QT57" i="2421"/>
  <c r="QV57" i="2421"/>
  <c r="QT83" i="2421"/>
  <c r="QV83" i="2421"/>
  <c r="QT35" i="2421"/>
  <c r="QV35" i="2421"/>
  <c r="QT31" i="2421"/>
  <c r="QV31" i="2421"/>
  <c r="JV24" i="2421"/>
  <c r="JX24" i="2421"/>
  <c r="JV27" i="2421"/>
  <c r="JX27" i="2421"/>
  <c r="FF27" i="2421"/>
  <c r="FH27" i="2421"/>
  <c r="NW98" i="2421"/>
  <c r="NY98" i="2421"/>
  <c r="MS36" i="2421"/>
  <c r="MU36" i="2421"/>
  <c r="MS82" i="2421"/>
  <c r="MU82" i="2421"/>
  <c r="MS104" i="2421"/>
  <c r="MU104" i="2421"/>
  <c r="JG52" i="2421"/>
  <c r="JI52" i="2421"/>
  <c r="JG35" i="2421"/>
  <c r="JI35" i="2421"/>
  <c r="JG59" i="2421"/>
  <c r="JI59" i="2421"/>
  <c r="JG92" i="2421"/>
  <c r="JI92" i="2421"/>
  <c r="JG20" i="2421"/>
  <c r="JI20" i="2421"/>
  <c r="EB53" i="2421"/>
  <c r="ED53" i="2421"/>
  <c r="GJ14" i="2421"/>
  <c r="GL14" i="2421"/>
  <c r="FU58" i="2421"/>
  <c r="FW58" i="2421"/>
  <c r="FU88" i="2421"/>
  <c r="FW88" i="2421"/>
  <c r="FU38" i="2421"/>
  <c r="FW38" i="2421"/>
  <c r="FU59" i="2421"/>
  <c r="FW59" i="2421"/>
  <c r="QE15" i="2421"/>
  <c r="QG15" i="2421"/>
  <c r="QE29" i="2421"/>
  <c r="QG29" i="2421"/>
  <c r="MD40" i="2421"/>
  <c r="MF40" i="2421"/>
  <c r="MD28" i="2421"/>
  <c r="MF28" i="2421"/>
  <c r="MD90" i="2421"/>
  <c r="MF90" i="2421"/>
  <c r="MD100" i="2421"/>
  <c r="MF100" i="2421"/>
  <c r="MD22" i="2421"/>
  <c r="MF22" i="2421"/>
  <c r="RI98" i="2421"/>
  <c r="RK98" i="2421"/>
  <c r="RI29" i="2421"/>
  <c r="RK29" i="2421"/>
  <c r="RI26" i="2421"/>
  <c r="RK26" i="2421"/>
  <c r="KK110" i="2421"/>
  <c r="KM110" i="2421"/>
  <c r="PP113" i="2421"/>
  <c r="PR113" i="2421"/>
  <c r="DM52" i="2421"/>
  <c r="DO52" i="2421"/>
  <c r="LO40" i="2421"/>
  <c r="LQ40" i="2421"/>
  <c r="LO76" i="2421"/>
  <c r="LQ76" i="2421"/>
  <c r="LO24" i="2421"/>
  <c r="LQ24" i="2421"/>
  <c r="LO64" i="2421"/>
  <c r="LQ64" i="2421"/>
  <c r="CX65" i="2421"/>
  <c r="CZ65" i="2421"/>
  <c r="CX22" i="2421"/>
  <c r="CZ22" i="2421"/>
  <c r="OL65" i="2421"/>
  <c r="ON65" i="2421"/>
  <c r="HN55" i="2421"/>
  <c r="HP55" i="2421"/>
  <c r="KZ49" i="2421"/>
  <c r="LB49" i="2421"/>
  <c r="IR111" i="2421"/>
  <c r="IT111" i="2421"/>
  <c r="IR72" i="2421"/>
  <c r="IT72" i="2421"/>
  <c r="IC97" i="2421"/>
  <c r="IE97" i="2421"/>
  <c r="IC94" i="2421"/>
  <c r="IE94" i="2421"/>
  <c r="GY45" i="2421"/>
  <c r="HA45" i="2421"/>
  <c r="GY47" i="2421"/>
  <c r="HA47" i="2421"/>
  <c r="QT32" i="2421"/>
  <c r="QV32" i="2421"/>
  <c r="QT107" i="2421"/>
  <c r="QV107" i="2421"/>
  <c r="QT84" i="2421"/>
  <c r="QV84" i="2421"/>
  <c r="QT77" i="2421"/>
  <c r="QV77" i="2421"/>
  <c r="QT109" i="2421"/>
  <c r="QV109" i="2421"/>
  <c r="QT81" i="2421"/>
  <c r="QV81" i="2421"/>
  <c r="QT113" i="2421"/>
  <c r="QV113" i="2421"/>
  <c r="QT82" i="2421"/>
  <c r="QV82" i="2421"/>
  <c r="QV18" i="2421"/>
  <c r="QT18" i="2421"/>
  <c r="JV60" i="2421"/>
  <c r="JX60" i="2421"/>
  <c r="JV30" i="2421"/>
  <c r="JX30" i="2421"/>
  <c r="JV53" i="2421"/>
  <c r="JX53" i="2421"/>
  <c r="JV47" i="2421"/>
  <c r="JX47" i="2421"/>
  <c r="JV83" i="2421"/>
  <c r="JX83" i="2421"/>
  <c r="JV59" i="2421"/>
  <c r="JX59" i="2421"/>
  <c r="JV91" i="2421"/>
  <c r="JX91" i="2421"/>
  <c r="JV50" i="2421"/>
  <c r="JX50" i="2421"/>
  <c r="JV14" i="2421"/>
  <c r="JX14" i="2421"/>
  <c r="JV43" i="2421"/>
  <c r="JX43" i="2421"/>
  <c r="JV79" i="2421"/>
  <c r="JX79" i="2421"/>
  <c r="JV44" i="2421"/>
  <c r="JX44" i="2421"/>
  <c r="JV80" i="2421"/>
  <c r="JX80" i="2421"/>
  <c r="JV55" i="2421"/>
  <c r="JX55" i="2421"/>
  <c r="FF33" i="2421"/>
  <c r="FH33" i="2421"/>
  <c r="FF82" i="2421"/>
  <c r="FH82" i="2421"/>
  <c r="FF17" i="2421"/>
  <c r="FH17" i="2421"/>
  <c r="FF58" i="2421"/>
  <c r="FH58" i="2421"/>
  <c r="FF99" i="2421"/>
  <c r="FH99" i="2421"/>
  <c r="FF53" i="2421"/>
  <c r="FH53" i="2421"/>
  <c r="FF37" i="2421"/>
  <c r="FH37" i="2421"/>
  <c r="FF79" i="2421"/>
  <c r="FH79" i="2421"/>
  <c r="FF38" i="2421"/>
  <c r="FH38" i="2421"/>
  <c r="FF80" i="2421"/>
  <c r="FH80" i="2421"/>
  <c r="FF31" i="2421"/>
  <c r="FH31" i="2421"/>
  <c r="FF47" i="2421"/>
  <c r="FH47" i="2421"/>
  <c r="FF88" i="2421"/>
  <c r="FH88" i="2421"/>
  <c r="FF18" i="2421"/>
  <c r="FH18" i="2421"/>
  <c r="NW71" i="2421"/>
  <c r="NY71" i="2421"/>
  <c r="NW104" i="2421"/>
  <c r="NY104" i="2421"/>
  <c r="NW65" i="2421"/>
  <c r="NY65" i="2421"/>
  <c r="NW77" i="2421"/>
  <c r="NY77" i="2421"/>
  <c r="NW69" i="2421"/>
  <c r="NY69" i="2421"/>
  <c r="NW79" i="2421"/>
  <c r="NY79" i="2421"/>
  <c r="NW38" i="2421"/>
  <c r="NY38" i="2421"/>
  <c r="NW100" i="2421"/>
  <c r="NY100" i="2421"/>
  <c r="NW62" i="2421"/>
  <c r="NY62" i="2421"/>
  <c r="NW47" i="2421"/>
  <c r="NY47" i="2421"/>
  <c r="NW109" i="2421"/>
  <c r="NY109" i="2421"/>
  <c r="NW85" i="2421"/>
  <c r="NY85" i="2421"/>
  <c r="NW27" i="2421"/>
  <c r="NY27" i="2421"/>
  <c r="NW66" i="2421"/>
  <c r="NY66" i="2421"/>
  <c r="MS31" i="2421"/>
  <c r="MU31" i="2421"/>
  <c r="MS23" i="2421"/>
  <c r="MU23" i="2421"/>
  <c r="MS69" i="2421"/>
  <c r="MU69" i="2421"/>
  <c r="MS38" i="2421"/>
  <c r="MU38" i="2421"/>
  <c r="MS99" i="2421"/>
  <c r="MU99" i="2421"/>
  <c r="MS37" i="2421"/>
  <c r="MU37" i="2421"/>
  <c r="MS81" i="2421"/>
  <c r="MU81" i="2421"/>
  <c r="MS66" i="2421"/>
  <c r="MU66" i="2421"/>
  <c r="MS57" i="2421"/>
  <c r="MU57" i="2421"/>
  <c r="MS111" i="2421"/>
  <c r="MU111" i="2421"/>
  <c r="MS25" i="2421"/>
  <c r="MU25" i="2421"/>
  <c r="MS88" i="2421"/>
  <c r="MU88" i="2421"/>
  <c r="MS48" i="2421"/>
  <c r="MU48" i="2421"/>
  <c r="JG57" i="2421"/>
  <c r="JI57" i="2421"/>
  <c r="JG73" i="2421"/>
  <c r="JI73" i="2421"/>
  <c r="JG51" i="2421"/>
  <c r="JI51" i="2421"/>
  <c r="JG29" i="2421"/>
  <c r="JI29" i="2421"/>
  <c r="JG48" i="2421"/>
  <c r="JI48" i="2421"/>
  <c r="JG86" i="2421"/>
  <c r="JI86" i="2421"/>
  <c r="JG87" i="2421"/>
  <c r="JI87" i="2421"/>
  <c r="JG66" i="2421"/>
  <c r="JI66" i="2421"/>
  <c r="JG113" i="2421"/>
  <c r="JI113" i="2421"/>
  <c r="JG90" i="2421"/>
  <c r="JI90" i="2421"/>
  <c r="JG47" i="2421"/>
  <c r="JI47" i="2421"/>
  <c r="JG60" i="2421"/>
  <c r="JI60" i="2421"/>
  <c r="JG107" i="2421"/>
  <c r="JI107" i="2421"/>
  <c r="JG54" i="2421"/>
  <c r="JI54" i="2421"/>
  <c r="JG101" i="2421"/>
  <c r="JI101" i="2421"/>
  <c r="JG16" i="2421"/>
  <c r="JI16" i="2421"/>
  <c r="JG22" i="2421"/>
  <c r="JI22" i="2421"/>
  <c r="EB42" i="2421"/>
  <c r="ED42" i="2421"/>
  <c r="EB78" i="2421"/>
  <c r="ED78" i="2421"/>
  <c r="EB52" i="2421"/>
  <c r="ED52" i="2421"/>
  <c r="EB97" i="2421"/>
  <c r="ED97" i="2421"/>
  <c r="EB37" i="2421"/>
  <c r="ED37" i="2421"/>
  <c r="EB77" i="2421"/>
  <c r="ED77" i="2421"/>
  <c r="EB30" i="2421"/>
  <c r="ED30" i="2421"/>
  <c r="EB75" i="2421"/>
  <c r="ED75" i="2421"/>
  <c r="GJ75" i="2421"/>
  <c r="GL75" i="2421"/>
  <c r="GJ96" i="2421"/>
  <c r="GL96" i="2421"/>
  <c r="GJ19" i="2421"/>
  <c r="GL19" i="2421"/>
  <c r="GJ56" i="2421"/>
  <c r="GL56" i="2421"/>
  <c r="GJ58" i="2421"/>
  <c r="GL58" i="2421"/>
  <c r="GJ82" i="2421"/>
  <c r="GL82" i="2421"/>
  <c r="GJ83" i="2421"/>
  <c r="GL83" i="2421"/>
  <c r="GJ66" i="2421"/>
  <c r="GL66" i="2421"/>
  <c r="FU92" i="2421"/>
  <c r="FW92" i="2421"/>
  <c r="FU48" i="2421"/>
  <c r="FW48" i="2421"/>
  <c r="FU54" i="2421"/>
  <c r="FW54" i="2421"/>
  <c r="FU32" i="2421"/>
  <c r="FW32" i="2421"/>
  <c r="FU85" i="2421"/>
  <c r="FW85" i="2421"/>
  <c r="FU56" i="2421"/>
  <c r="FW56" i="2421"/>
  <c r="FU73" i="2421"/>
  <c r="FW73" i="2421"/>
  <c r="FU66" i="2421"/>
  <c r="FW66" i="2421"/>
  <c r="FU67" i="2421"/>
  <c r="FW67" i="2421"/>
  <c r="FU68" i="2421"/>
  <c r="FW68" i="2421"/>
  <c r="FU69" i="2421"/>
  <c r="FW69" i="2421"/>
  <c r="FU70" i="2421"/>
  <c r="FW70" i="2421"/>
  <c r="QE84" i="2421"/>
  <c r="QG84" i="2421"/>
  <c r="QE17" i="2421"/>
  <c r="QG17" i="2421"/>
  <c r="QE73" i="2421"/>
  <c r="QG73" i="2421"/>
  <c r="QE24" i="2421"/>
  <c r="QG24" i="2421"/>
  <c r="QE66" i="2421"/>
  <c r="QG66" i="2421"/>
  <c r="QE109" i="2421"/>
  <c r="QG109" i="2421"/>
  <c r="QE31" i="2421"/>
  <c r="QG31" i="2421"/>
  <c r="QE59" i="2421"/>
  <c r="QG59" i="2421"/>
  <c r="QE102" i="2421"/>
  <c r="QG102" i="2421"/>
  <c r="QE38" i="2421"/>
  <c r="QG38" i="2421"/>
  <c r="QE95" i="2421"/>
  <c r="QG95" i="2421"/>
  <c r="QE45" i="2421"/>
  <c r="QG45" i="2421"/>
  <c r="MD24" i="2421"/>
  <c r="MF24" i="2421"/>
  <c r="MD59" i="2421"/>
  <c r="MF59" i="2421"/>
  <c r="MD19" i="2421"/>
  <c r="MF19" i="2421"/>
  <c r="MD18" i="2421"/>
  <c r="MF18" i="2421"/>
  <c r="MD16" i="2421"/>
  <c r="MF16" i="2421"/>
  <c r="MD69" i="2421"/>
  <c r="MF69" i="2421"/>
  <c r="MD80" i="2421"/>
  <c r="MF80" i="2421"/>
  <c r="MD93" i="2421"/>
  <c r="MF93" i="2421"/>
  <c r="MD102" i="2421"/>
  <c r="MF102" i="2421"/>
  <c r="MD21" i="2421"/>
  <c r="MF21" i="2421"/>
  <c r="MD51" i="2421"/>
  <c r="MF51" i="2421"/>
  <c r="RI84" i="2421"/>
  <c r="RK84" i="2421"/>
  <c r="RI106" i="2421"/>
  <c r="RK106" i="2421"/>
  <c r="RI33" i="2421"/>
  <c r="RK33" i="2421"/>
  <c r="RI83" i="2421"/>
  <c r="RK83" i="2421"/>
  <c r="RI35" i="2421"/>
  <c r="RK35" i="2421"/>
  <c r="RI60" i="2421"/>
  <c r="RK60" i="2421"/>
  <c r="RI110" i="2421"/>
  <c r="RK110" i="2421"/>
  <c r="RI41" i="2421"/>
  <c r="RK41" i="2421"/>
  <c r="RI17" i="2421"/>
  <c r="RK17" i="2421"/>
  <c r="RI14" i="2421"/>
  <c r="RK14" i="2421"/>
  <c r="RI34" i="2421"/>
  <c r="RK34" i="2421"/>
  <c r="KK83" i="2421"/>
  <c r="KM83" i="2421"/>
  <c r="KK69" i="2421"/>
  <c r="KM69" i="2421"/>
  <c r="KK92" i="2421"/>
  <c r="KM92" i="2421"/>
  <c r="KK33" i="2421"/>
  <c r="KM33" i="2421"/>
  <c r="KK94" i="2421"/>
  <c r="KM94" i="2421"/>
  <c r="KK32" i="2421"/>
  <c r="KM32" i="2421"/>
  <c r="KK87" i="2421"/>
  <c r="KM87" i="2421"/>
  <c r="KK88" i="2421"/>
  <c r="KM88" i="2421"/>
  <c r="KK59" i="2421"/>
  <c r="KM59" i="2421"/>
  <c r="KK77" i="2421"/>
  <c r="KM77" i="2421"/>
  <c r="KM20" i="2421"/>
  <c r="KK20" i="2421"/>
  <c r="PP71" i="2421"/>
  <c r="PR71" i="2421"/>
  <c r="PP105" i="2421"/>
  <c r="PR105" i="2421"/>
  <c r="PP73" i="2421"/>
  <c r="PR73" i="2421"/>
  <c r="PP66" i="2421"/>
  <c r="PR66" i="2421"/>
  <c r="PP61" i="2421"/>
  <c r="PR61" i="2421"/>
  <c r="PP111" i="2421"/>
  <c r="PR111" i="2421"/>
  <c r="PP54" i="2421"/>
  <c r="PR54" i="2421"/>
  <c r="PP16" i="2421"/>
  <c r="PR16" i="2421"/>
  <c r="PP53" i="2421"/>
  <c r="PR53" i="2421"/>
  <c r="PP51" i="2421"/>
  <c r="PR51" i="2421"/>
  <c r="DM93" i="2421"/>
  <c r="DO93" i="2421"/>
  <c r="DM73" i="2421"/>
  <c r="DO73" i="2421"/>
  <c r="DM48" i="2421"/>
  <c r="DO48" i="2421"/>
  <c r="DM31" i="2421"/>
  <c r="DO31" i="2421"/>
  <c r="DM24" i="2421"/>
  <c r="DO24" i="2421"/>
  <c r="DM84" i="2421"/>
  <c r="DO84" i="2421"/>
  <c r="DM65" i="2421"/>
  <c r="DO65" i="2421"/>
  <c r="DM85" i="2421"/>
  <c r="DO85" i="2421"/>
  <c r="DM66" i="2421"/>
  <c r="DO66" i="2421"/>
  <c r="DM110" i="2421"/>
  <c r="DO110" i="2421"/>
  <c r="DM28" i="2421"/>
  <c r="DO28" i="2421"/>
  <c r="DM36" i="2421"/>
  <c r="DO36" i="2421"/>
  <c r="DM87" i="2421"/>
  <c r="DO87" i="2421"/>
  <c r="DM45" i="2421"/>
  <c r="DO45" i="2421"/>
  <c r="DM96" i="2421"/>
  <c r="DO96" i="2421"/>
  <c r="DM26" i="2421"/>
  <c r="DO26" i="2421"/>
  <c r="DM46" i="2421"/>
  <c r="DO46" i="2421"/>
  <c r="DM97" i="2421"/>
  <c r="DO97" i="2421"/>
  <c r="LO59" i="2421"/>
  <c r="LQ59" i="2421"/>
  <c r="LO109" i="2421"/>
  <c r="LQ109" i="2421"/>
  <c r="LO55" i="2421"/>
  <c r="LQ55" i="2421"/>
  <c r="LO60" i="2421"/>
  <c r="LQ60" i="2421"/>
  <c r="LO102" i="2421"/>
  <c r="LQ102" i="2421"/>
  <c r="LO69" i="2421"/>
  <c r="LQ69" i="2421"/>
  <c r="LO111" i="2421"/>
  <c r="LQ111" i="2421"/>
  <c r="LO90" i="2421"/>
  <c r="LQ90" i="2421"/>
  <c r="LO22" i="2421"/>
  <c r="LQ22" i="2421"/>
  <c r="LO65" i="2421"/>
  <c r="LQ65" i="2421"/>
  <c r="LO107" i="2421"/>
  <c r="LQ107" i="2421"/>
  <c r="LO74" i="2421"/>
  <c r="LQ74" i="2421"/>
  <c r="LO19" i="2421"/>
  <c r="LQ19" i="2421"/>
  <c r="LQ46" i="2421"/>
  <c r="LO46" i="2421"/>
  <c r="CX53" i="2421"/>
  <c r="CZ53" i="2421"/>
  <c r="CX98" i="2421"/>
  <c r="CZ98" i="2421"/>
  <c r="CX54" i="2421"/>
  <c r="CZ54" i="2421"/>
  <c r="CX99" i="2421"/>
  <c r="CZ99" i="2421"/>
  <c r="CX47" i="2421"/>
  <c r="CZ47" i="2421"/>
  <c r="CX92" i="2421"/>
  <c r="CZ92" i="2421"/>
  <c r="CX40" i="2421"/>
  <c r="CZ40" i="2421"/>
  <c r="CX83" i="2421"/>
  <c r="CZ83" i="2421"/>
  <c r="CX24" i="2421"/>
  <c r="CZ24" i="2421"/>
  <c r="CX76" i="2421"/>
  <c r="CZ76" i="2421"/>
  <c r="CX69" i="2421"/>
  <c r="CZ69" i="2421"/>
  <c r="CX112" i="2421"/>
  <c r="CZ112" i="2421"/>
  <c r="CX62" i="2421"/>
  <c r="CZ62" i="2421"/>
  <c r="CX105" i="2421"/>
  <c r="CZ105" i="2421"/>
  <c r="OL25" i="2421"/>
  <c r="ON25" i="2421"/>
  <c r="OL78" i="2421"/>
  <c r="ON78" i="2421"/>
  <c r="OL35" i="2421"/>
  <c r="ON35" i="2421"/>
  <c r="OL81" i="2421"/>
  <c r="ON81" i="2421"/>
  <c r="OL91" i="2421"/>
  <c r="ON91" i="2421"/>
  <c r="OL73" i="2421"/>
  <c r="ON73" i="2421"/>
  <c r="OL93" i="2421"/>
  <c r="ON93" i="2421"/>
  <c r="OL62" i="2421"/>
  <c r="ON62" i="2421"/>
  <c r="OL94" i="2421"/>
  <c r="ON94" i="2421"/>
  <c r="OL103" i="2421"/>
  <c r="ON103" i="2421"/>
  <c r="OL21" i="2421"/>
  <c r="ON21" i="2421"/>
  <c r="ON18" i="2421"/>
  <c r="OL18" i="2421"/>
  <c r="HN91" i="2421"/>
  <c r="HP91" i="2421"/>
  <c r="HN80" i="2421"/>
  <c r="HP80" i="2421"/>
  <c r="HN57" i="2421"/>
  <c r="HP57" i="2421"/>
  <c r="HN87" i="2421"/>
  <c r="HP87" i="2421"/>
  <c r="HN41" i="2421"/>
  <c r="HP41" i="2421"/>
  <c r="HN104" i="2421"/>
  <c r="HP104" i="2421"/>
  <c r="HN42" i="2421"/>
  <c r="HP42" i="2421"/>
  <c r="HN105" i="2421"/>
  <c r="HP105" i="2421"/>
  <c r="HN51" i="2421"/>
  <c r="HP51" i="2421"/>
  <c r="HN23" i="2421"/>
  <c r="HP23" i="2421"/>
  <c r="HN24" i="2421"/>
  <c r="HP24" i="2421"/>
  <c r="KZ89" i="2421"/>
  <c r="LB89" i="2421"/>
  <c r="KZ66" i="2421"/>
  <c r="LB66" i="2421"/>
  <c r="KZ67" i="2421"/>
  <c r="LB67" i="2421"/>
  <c r="KZ34" i="2421"/>
  <c r="LB34" i="2421"/>
  <c r="KZ56" i="2421"/>
  <c r="LB56" i="2421"/>
  <c r="KZ61" i="2421"/>
  <c r="LB61" i="2421"/>
  <c r="KZ31" i="2421"/>
  <c r="LB31" i="2421"/>
  <c r="KZ76" i="2421"/>
  <c r="LB76" i="2421"/>
  <c r="KZ26" i="2421"/>
  <c r="LB26" i="2421"/>
  <c r="KZ32" i="2421"/>
  <c r="LB32" i="2421"/>
  <c r="KZ77" i="2421"/>
  <c r="LB77" i="2421"/>
  <c r="KZ24" i="2421"/>
  <c r="LB24" i="2421"/>
  <c r="KZ33" i="2421"/>
  <c r="LB33" i="2421"/>
  <c r="KZ78" i="2421"/>
  <c r="LB78" i="2421"/>
  <c r="KZ23" i="2421"/>
  <c r="LB23" i="2421"/>
  <c r="KZ93" i="2421"/>
  <c r="LB93" i="2421"/>
  <c r="IR52" i="2421"/>
  <c r="IT52" i="2421"/>
  <c r="IR95" i="2421"/>
  <c r="IT95" i="2421"/>
  <c r="IR53" i="2421"/>
  <c r="IT53" i="2421"/>
  <c r="IR96" i="2421"/>
  <c r="IT96" i="2421"/>
  <c r="IR85" i="2421"/>
  <c r="IT85" i="2421"/>
  <c r="IR40" i="2421"/>
  <c r="IT40" i="2421"/>
  <c r="IR26" i="2421"/>
  <c r="IT26" i="2421"/>
  <c r="IR75" i="2421"/>
  <c r="IT75" i="2421"/>
  <c r="IR25" i="2421"/>
  <c r="IT25" i="2421"/>
  <c r="IR50" i="2421"/>
  <c r="IT50" i="2421"/>
  <c r="IR93" i="2421"/>
  <c r="IT93" i="2421"/>
  <c r="IR16" i="2421"/>
  <c r="IT16" i="2421"/>
  <c r="IR102" i="2421"/>
  <c r="IT102" i="2421"/>
  <c r="IC56" i="2421"/>
  <c r="IE56" i="2421"/>
  <c r="IC76" i="2421"/>
  <c r="IE76" i="2421"/>
  <c r="IC77" i="2421"/>
  <c r="IE77" i="2421"/>
  <c r="IC78" i="2421"/>
  <c r="IE78" i="2421"/>
  <c r="IC79" i="2421"/>
  <c r="IE79" i="2421"/>
  <c r="IC92" i="2421"/>
  <c r="IE92" i="2421"/>
  <c r="IC38" i="2421"/>
  <c r="IE38" i="2421"/>
  <c r="IC83" i="2421"/>
  <c r="IE83" i="2421"/>
  <c r="IC64" i="2421"/>
  <c r="IE64" i="2421"/>
  <c r="IC74" i="2421"/>
  <c r="IE74" i="2421"/>
  <c r="IC75" i="2421"/>
  <c r="IE75" i="2421"/>
  <c r="GY35" i="2421"/>
  <c r="HA35" i="2421"/>
  <c r="GY73" i="2421"/>
  <c r="HA73" i="2421"/>
  <c r="GY51" i="2421"/>
  <c r="HA51" i="2421"/>
  <c r="GY90" i="2421"/>
  <c r="HA90" i="2421"/>
  <c r="GY29" i="2421"/>
  <c r="HA29" i="2421"/>
  <c r="GY60" i="2421"/>
  <c r="HA60" i="2421"/>
  <c r="GY99" i="2421"/>
  <c r="HA99" i="2421"/>
  <c r="GY38" i="2421"/>
  <c r="HA38" i="2421"/>
  <c r="GY69" i="2421"/>
  <c r="HA69" i="2421"/>
  <c r="GY108" i="2421"/>
  <c r="HA108" i="2421"/>
  <c r="GY31" i="2421"/>
  <c r="HA31" i="2421"/>
  <c r="GY62" i="2421"/>
  <c r="HA62" i="2421"/>
  <c r="GY101" i="2421"/>
  <c r="HA101" i="2421"/>
  <c r="GY40" i="2421"/>
  <c r="HA40" i="2421"/>
  <c r="GY71" i="2421"/>
  <c r="HA71" i="2421"/>
  <c r="GY110" i="2421"/>
  <c r="HA110" i="2421"/>
  <c r="GY41" i="2421"/>
  <c r="HA41" i="2421"/>
  <c r="GY72" i="2421"/>
  <c r="HA72" i="2421"/>
  <c r="GY111" i="2421"/>
  <c r="HA111" i="2421"/>
  <c r="GY16" i="2421"/>
  <c r="HA16" i="2421"/>
  <c r="CI49" i="2421"/>
  <c r="CK49" i="2421"/>
  <c r="CI44" i="2421"/>
  <c r="CK44" i="2421"/>
  <c r="CI87" i="2421"/>
  <c r="CK87" i="2421"/>
  <c r="CI47" i="2421"/>
  <c r="CK47" i="2421"/>
  <c r="CI96" i="2421"/>
  <c r="CK96" i="2421"/>
  <c r="CI63" i="2421"/>
  <c r="CK63" i="2421"/>
  <c r="CI105" i="2421"/>
  <c r="CK105" i="2421"/>
  <c r="CI64" i="2421"/>
  <c r="CK64" i="2421"/>
  <c r="CI106" i="2421"/>
  <c r="CK106" i="2421"/>
  <c r="CI65" i="2421"/>
  <c r="CK65" i="2421"/>
  <c r="CI107" i="2421"/>
  <c r="CK107" i="2421"/>
  <c r="CI55" i="2421"/>
  <c r="CK55" i="2421"/>
  <c r="CI100" i="2421"/>
  <c r="CK100" i="2421"/>
  <c r="CK18" i="2421"/>
  <c r="CI18" i="2421"/>
  <c r="CK22" i="2421"/>
  <c r="CI22" i="2421"/>
  <c r="QT67" i="2421"/>
  <c r="QV67" i="2421"/>
  <c r="QT100" i="2421"/>
  <c r="QV100" i="2421"/>
  <c r="QT29" i="2421"/>
  <c r="QV29" i="2421"/>
  <c r="QT48" i="2421"/>
  <c r="QV48" i="2421"/>
  <c r="QT85" i="2421"/>
  <c r="QV85" i="2421"/>
  <c r="QT60" i="2421"/>
  <c r="QV60" i="2421"/>
  <c r="QT62" i="2421"/>
  <c r="QV62" i="2421"/>
  <c r="QT63" i="2421"/>
  <c r="QV63" i="2421"/>
  <c r="QV20" i="2421"/>
  <c r="QT20" i="2421"/>
  <c r="JV54" i="2421"/>
  <c r="JX54" i="2421"/>
  <c r="JV92" i="2421"/>
  <c r="JX92" i="2421"/>
  <c r="JV32" i="2421"/>
  <c r="JX32" i="2421"/>
  <c r="JV58" i="2421"/>
  <c r="JX58" i="2421"/>
  <c r="JV90" i="2421"/>
  <c r="JX90" i="2421"/>
  <c r="JV31" i="2421"/>
  <c r="JX31" i="2421"/>
  <c r="JV99" i="2421"/>
  <c r="JX99" i="2421"/>
  <c r="JV29" i="2421"/>
  <c r="JX29" i="2421"/>
  <c r="JV61" i="2421"/>
  <c r="JX61" i="2421"/>
  <c r="JV93" i="2421"/>
  <c r="JX93" i="2421"/>
  <c r="JV28" i="2421"/>
  <c r="JX28" i="2421"/>
  <c r="JV51" i="2421"/>
  <c r="JX51" i="2421"/>
  <c r="JV86" i="2421"/>
  <c r="JX86" i="2421"/>
  <c r="JV35" i="2421"/>
  <c r="JX35" i="2421"/>
  <c r="JV87" i="2421"/>
  <c r="JX87" i="2421"/>
  <c r="JV37" i="2421"/>
  <c r="JX37" i="2421"/>
  <c r="JV73" i="2421"/>
  <c r="JX73" i="2421"/>
  <c r="FF113" i="2421"/>
  <c r="FH113" i="2421"/>
  <c r="FF49" i="2421"/>
  <c r="FH49" i="2421"/>
  <c r="FF97" i="2421"/>
  <c r="FH97" i="2421"/>
  <c r="FF107" i="2421"/>
  <c r="FH107" i="2421"/>
  <c r="FF64" i="2421"/>
  <c r="FH64" i="2421"/>
  <c r="FF70" i="2421"/>
  <c r="FH70" i="2421"/>
  <c r="FF45" i="2421"/>
  <c r="FH45" i="2421"/>
  <c r="FF86" i="2421"/>
  <c r="FH86" i="2421"/>
  <c r="FF46" i="2421"/>
  <c r="FH46" i="2421"/>
  <c r="FF87" i="2421"/>
  <c r="FH87" i="2421"/>
  <c r="FF96" i="2421"/>
  <c r="FH96" i="2421"/>
  <c r="NW89" i="2421"/>
  <c r="NY89" i="2421"/>
  <c r="NW35" i="2421"/>
  <c r="NY35" i="2421"/>
  <c r="NW50" i="2421"/>
  <c r="NY50" i="2421"/>
  <c r="NW113" i="2421"/>
  <c r="NY113" i="2421"/>
  <c r="NW76" i="2421"/>
  <c r="NY76" i="2421"/>
  <c r="NW90" i="2421"/>
  <c r="NY90" i="2421"/>
  <c r="NW22" i="2421"/>
  <c r="NY22" i="2421"/>
  <c r="NW29" i="2421"/>
  <c r="NY29" i="2421"/>
  <c r="NW91" i="2421"/>
  <c r="NY91" i="2421"/>
  <c r="NW21" i="2421"/>
  <c r="NY21" i="2421"/>
  <c r="NW46" i="2421"/>
  <c r="NY46" i="2421"/>
  <c r="NW108" i="2421"/>
  <c r="NY108" i="2421"/>
  <c r="NW82" i="2421"/>
  <c r="NY82" i="2421"/>
  <c r="NW26" i="2421"/>
  <c r="NY26" i="2421"/>
  <c r="MS78" i="2421"/>
  <c r="MU78" i="2421"/>
  <c r="MS47" i="2421"/>
  <c r="MU47" i="2421"/>
  <c r="MS97" i="2421"/>
  <c r="MU97" i="2421"/>
  <c r="MS49" i="2421"/>
  <c r="MU49" i="2421"/>
  <c r="MS107" i="2421"/>
  <c r="MU107" i="2421"/>
  <c r="MS29" i="2421"/>
  <c r="MU29" i="2421"/>
  <c r="MS92" i="2421"/>
  <c r="MU92" i="2421"/>
  <c r="MS44" i="2421"/>
  <c r="MU44" i="2421"/>
  <c r="MS74" i="2421"/>
  <c r="MU74" i="2421"/>
  <c r="MS54" i="2421"/>
  <c r="MU54" i="2421"/>
  <c r="MS17" i="2421"/>
  <c r="MU17" i="2421"/>
  <c r="MS96" i="2421"/>
  <c r="MU96" i="2421"/>
  <c r="MS40" i="2421"/>
  <c r="MU40" i="2421"/>
  <c r="JG104" i="2421"/>
  <c r="JI104" i="2421"/>
  <c r="JG41" i="2421"/>
  <c r="JI41" i="2421"/>
  <c r="JG37" i="2421"/>
  <c r="JI37" i="2421"/>
  <c r="JG94" i="2421"/>
  <c r="JI94" i="2421"/>
  <c r="JG43" i="2421"/>
  <c r="JI43" i="2421"/>
  <c r="JG95" i="2421"/>
  <c r="JI95" i="2421"/>
  <c r="JG74" i="2421"/>
  <c r="JI74" i="2421"/>
  <c r="JG98" i="2421"/>
  <c r="JI98" i="2421"/>
  <c r="JG39" i="2421"/>
  <c r="JI39" i="2421"/>
  <c r="JG68" i="2421"/>
  <c r="JI68" i="2421"/>
  <c r="JG81" i="2421"/>
  <c r="JI81" i="2421"/>
  <c r="JG62" i="2421"/>
  <c r="JI62" i="2421"/>
  <c r="JG109" i="2421"/>
  <c r="JI109" i="2421"/>
  <c r="JG21" i="2421"/>
  <c r="JI21" i="2421"/>
  <c r="JG15" i="2421"/>
  <c r="JI15" i="2421"/>
  <c r="EB103" i="2421"/>
  <c r="ED103" i="2421"/>
  <c r="EB35" i="2421"/>
  <c r="ED35" i="2421"/>
  <c r="EB76" i="2421"/>
  <c r="ED76" i="2421"/>
  <c r="EB88" i="2421"/>
  <c r="ED88" i="2421"/>
  <c r="EB16" i="2421"/>
  <c r="ED16" i="2421"/>
  <c r="EB14" i="2421"/>
  <c r="ED14" i="2421"/>
  <c r="EB62" i="2421"/>
  <c r="ED62" i="2421"/>
  <c r="EB105" i="2421"/>
  <c r="ED105" i="2421"/>
  <c r="EB26" i="2421"/>
  <c r="ED26" i="2421"/>
  <c r="EB45" i="2421"/>
  <c r="ED45" i="2421"/>
  <c r="EB90" i="2421"/>
  <c r="ED90" i="2421"/>
  <c r="EB38" i="2421"/>
  <c r="ED38" i="2421"/>
  <c r="EB79" i="2421"/>
  <c r="ED79" i="2421"/>
  <c r="EB15" i="2421"/>
  <c r="ED15" i="2421"/>
  <c r="EB27" i="2421"/>
  <c r="ED27" i="2421"/>
  <c r="GJ111" i="2421"/>
  <c r="GL111" i="2421"/>
  <c r="GJ44" i="2421"/>
  <c r="GL44" i="2421"/>
  <c r="GJ57" i="2421"/>
  <c r="GL57" i="2421"/>
  <c r="GJ95" i="2421"/>
  <c r="GL95" i="2421"/>
  <c r="GJ21" i="2421"/>
  <c r="GL21" i="2421"/>
  <c r="GJ89" i="2421"/>
  <c r="GL89" i="2421"/>
  <c r="GJ78" i="2421"/>
  <c r="GL78" i="2421"/>
  <c r="GJ80" i="2421"/>
  <c r="GL80" i="2421"/>
  <c r="GJ92" i="2421"/>
  <c r="GL92" i="2421"/>
  <c r="GJ25" i="2421"/>
  <c r="GL25" i="2421"/>
  <c r="GJ93" i="2421"/>
  <c r="GL93" i="2421"/>
  <c r="GJ69" i="2421"/>
  <c r="GL69" i="2421"/>
  <c r="FU63" i="2421"/>
  <c r="FW63" i="2421"/>
  <c r="FU34" i="2421"/>
  <c r="FW34" i="2421"/>
  <c r="FU86" i="2421"/>
  <c r="FW86" i="2421"/>
  <c r="FU27" i="2421"/>
  <c r="FW27" i="2421"/>
  <c r="FU74" i="2421"/>
  <c r="FW74" i="2421"/>
  <c r="FU28" i="2421"/>
  <c r="FW28" i="2421"/>
  <c r="FU75" i="2421"/>
  <c r="FW75" i="2421"/>
  <c r="FU29" i="2421"/>
  <c r="FW29" i="2421"/>
  <c r="FU77" i="2421"/>
  <c r="FW77" i="2421"/>
  <c r="FU30" i="2421"/>
  <c r="FW30" i="2421"/>
  <c r="FU79" i="2421"/>
  <c r="FW79" i="2421"/>
  <c r="FU31" i="2421"/>
  <c r="FW31" i="2421"/>
  <c r="FU81" i="2421"/>
  <c r="FW81" i="2421"/>
  <c r="FU61" i="2421"/>
  <c r="FW61" i="2421"/>
  <c r="QE43" i="2421"/>
  <c r="QG43" i="2421"/>
  <c r="QE62" i="2421"/>
  <c r="QG62" i="2421"/>
  <c r="QE112" i="2421"/>
  <c r="QG112" i="2421"/>
  <c r="QE27" i="2421"/>
  <c r="QG27" i="2421"/>
  <c r="QE79" i="2421"/>
  <c r="QG79" i="2421"/>
  <c r="QE85" i="2421"/>
  <c r="QG85" i="2421"/>
  <c r="QE16" i="2421"/>
  <c r="QG16" i="2421"/>
  <c r="QE74" i="2421"/>
  <c r="QG74" i="2421"/>
  <c r="QE23" i="2421"/>
  <c r="QG23" i="2421"/>
  <c r="QE67" i="2421"/>
  <c r="QG67" i="2421"/>
  <c r="QE110" i="2421"/>
  <c r="QG110" i="2421"/>
  <c r="QE30" i="2421"/>
  <c r="QG30" i="2421"/>
  <c r="QE60" i="2421"/>
  <c r="QG60" i="2421"/>
  <c r="QE103" i="2421"/>
  <c r="QG103" i="2421"/>
  <c r="QE37" i="2421"/>
  <c r="QG37" i="2421"/>
  <c r="MD31" i="2421"/>
  <c r="MF31" i="2421"/>
  <c r="MD79" i="2421"/>
  <c r="MF79" i="2421"/>
  <c r="MD32" i="2421"/>
  <c r="MF32" i="2421"/>
  <c r="MD81" i="2421"/>
  <c r="MF81" i="2421"/>
  <c r="MD25" i="2421"/>
  <c r="MF25" i="2421"/>
  <c r="MD77" i="2421"/>
  <c r="MF77" i="2421"/>
  <c r="MD92" i="2421"/>
  <c r="MF92" i="2421"/>
  <c r="MD101" i="2421"/>
  <c r="MF101" i="2421"/>
  <c r="MD110" i="2421"/>
  <c r="MF110" i="2421"/>
  <c r="MD55" i="2421"/>
  <c r="MF55" i="2421"/>
  <c r="RI90" i="2421"/>
  <c r="RK90" i="2421"/>
  <c r="RI105" i="2421"/>
  <c r="RK105" i="2421"/>
  <c r="RI67" i="2421"/>
  <c r="RK67" i="2421"/>
  <c r="RI72" i="2421"/>
  <c r="RK72" i="2421"/>
  <c r="RI76" i="2421"/>
  <c r="RK76" i="2421"/>
  <c r="RI93" i="2421"/>
  <c r="RK93" i="2421"/>
  <c r="RI52" i="2421"/>
  <c r="RK52" i="2421"/>
  <c r="RI66" i="2421"/>
  <c r="RK66" i="2421"/>
  <c r="RK25" i="2421"/>
  <c r="RI25" i="2421"/>
  <c r="RI18" i="2421"/>
  <c r="RK18" i="2421"/>
  <c r="KK54" i="2421"/>
  <c r="KM54" i="2421"/>
  <c r="KK84" i="2421"/>
  <c r="KM84" i="2421"/>
  <c r="KK101" i="2421"/>
  <c r="KM101" i="2421"/>
  <c r="KK79" i="2421"/>
  <c r="KM79" i="2421"/>
  <c r="KK100" i="2421"/>
  <c r="KM100" i="2421"/>
  <c r="KK25" i="2421"/>
  <c r="KM25" i="2421"/>
  <c r="KK102" i="2421"/>
  <c r="KM102" i="2421"/>
  <c r="KK24" i="2421"/>
  <c r="KM24" i="2421"/>
  <c r="KK95" i="2421"/>
  <c r="KM95" i="2421"/>
  <c r="KK39" i="2421"/>
  <c r="KM39" i="2421"/>
  <c r="KK96" i="2421"/>
  <c r="KM96" i="2421"/>
  <c r="KK38" i="2421"/>
  <c r="KM38" i="2421"/>
  <c r="KK67" i="2421"/>
  <c r="KM67" i="2421"/>
  <c r="KK90" i="2421"/>
  <c r="KM90" i="2421"/>
  <c r="KM21" i="2421"/>
  <c r="KK21" i="2421"/>
  <c r="PP79" i="2421"/>
  <c r="PR79" i="2421"/>
  <c r="PP63" i="2421"/>
  <c r="PR63" i="2421"/>
  <c r="PP83" i="2421"/>
  <c r="PR83" i="2421"/>
  <c r="PP74" i="2421"/>
  <c r="PR74" i="2421"/>
  <c r="PP93" i="2421"/>
  <c r="PR93" i="2421"/>
  <c r="PP27" i="2421"/>
  <c r="PR27" i="2421"/>
  <c r="PP69" i="2421"/>
  <c r="PR69" i="2421"/>
  <c r="PP88" i="2421"/>
  <c r="PR88" i="2421"/>
  <c r="PP43" i="2421"/>
  <c r="PR43" i="2421"/>
  <c r="PP39" i="2421"/>
  <c r="PR39" i="2421"/>
  <c r="PP38" i="2421"/>
  <c r="PR38" i="2421"/>
  <c r="PP44" i="2421"/>
  <c r="PR44" i="2421"/>
  <c r="DM25" i="2421"/>
  <c r="DO25" i="2421"/>
  <c r="DM81" i="2421"/>
  <c r="DO81" i="2421"/>
  <c r="DM50" i="2421"/>
  <c r="DO50" i="2421"/>
  <c r="DM107" i="2421"/>
  <c r="DO107" i="2421"/>
  <c r="DM74" i="2421"/>
  <c r="DO74" i="2421"/>
  <c r="DM20" i="2421"/>
  <c r="DO20" i="2421"/>
  <c r="DM44" i="2421"/>
  <c r="DO44" i="2421"/>
  <c r="DM95" i="2421"/>
  <c r="DO95" i="2421"/>
  <c r="DM53" i="2421"/>
  <c r="DO53" i="2421"/>
  <c r="DM104" i="2421"/>
  <c r="DO104" i="2421"/>
  <c r="DM54" i="2421"/>
  <c r="DO54" i="2421"/>
  <c r="DM105" i="2421"/>
  <c r="DO105" i="2421"/>
  <c r="LO101" i="2421"/>
  <c r="LQ101" i="2421"/>
  <c r="LO47" i="2421"/>
  <c r="LQ47" i="2421"/>
  <c r="LO68" i="2421"/>
  <c r="LQ68" i="2421"/>
  <c r="LO110" i="2421"/>
  <c r="LQ110" i="2421"/>
  <c r="LO77" i="2421"/>
  <c r="LQ77" i="2421"/>
  <c r="LO88" i="2421"/>
  <c r="LQ88" i="2421"/>
  <c r="LO49" i="2421"/>
  <c r="LQ49" i="2421"/>
  <c r="LO89" i="2421"/>
  <c r="LQ89" i="2421"/>
  <c r="LO45" i="2421"/>
  <c r="LQ45" i="2421"/>
  <c r="LO56" i="2421"/>
  <c r="LQ56" i="2421"/>
  <c r="LO98" i="2421"/>
  <c r="LQ98" i="2421"/>
  <c r="LO14" i="2421"/>
  <c r="LQ14" i="2421"/>
  <c r="LO73" i="2421"/>
  <c r="LQ73" i="2421"/>
  <c r="LO42" i="2421"/>
  <c r="LQ42" i="2421"/>
  <c r="LO28" i="2421"/>
  <c r="LQ28" i="2421"/>
  <c r="CX63" i="2421"/>
  <c r="CZ63" i="2421"/>
  <c r="CX106" i="2421"/>
  <c r="CZ106" i="2421"/>
  <c r="CX64" i="2421"/>
  <c r="CZ64" i="2421"/>
  <c r="CX107" i="2421"/>
  <c r="CZ107" i="2421"/>
  <c r="CX56" i="2421"/>
  <c r="CZ56" i="2421"/>
  <c r="CX100" i="2421"/>
  <c r="CZ100" i="2421"/>
  <c r="CX48" i="2421"/>
  <c r="CZ48" i="2421"/>
  <c r="CX93" i="2421"/>
  <c r="CZ93" i="2421"/>
  <c r="CX33" i="2421"/>
  <c r="CZ33" i="2421"/>
  <c r="CX16" i="2421"/>
  <c r="CZ16" i="2421"/>
  <c r="CX23" i="2421"/>
  <c r="CZ23" i="2421"/>
  <c r="CX78" i="2421"/>
  <c r="CZ78" i="2421"/>
  <c r="CX30" i="2421"/>
  <c r="CZ30" i="2421"/>
  <c r="CX70" i="2421"/>
  <c r="CZ70" i="2421"/>
  <c r="CX113" i="2421"/>
  <c r="CZ113" i="2421"/>
  <c r="OL33" i="2421"/>
  <c r="ON33" i="2421"/>
  <c r="OL96" i="2421"/>
  <c r="ON96" i="2421"/>
  <c r="OL89" i="2421"/>
  <c r="ON89" i="2421"/>
  <c r="OL43" i="2421"/>
  <c r="ON43" i="2421"/>
  <c r="OL71" i="2421"/>
  <c r="ON71" i="2421"/>
  <c r="OL99" i="2421"/>
  <c r="ON99" i="2421"/>
  <c r="OL63" i="2421"/>
  <c r="ON63" i="2421"/>
  <c r="OL82" i="2421"/>
  <c r="ON82" i="2421"/>
  <c r="OL23" i="2421"/>
  <c r="ON23" i="2421"/>
  <c r="OL101" i="2421"/>
  <c r="ON101" i="2421"/>
  <c r="OL102" i="2421"/>
  <c r="ON102" i="2421"/>
  <c r="OL47" i="2421"/>
  <c r="ON47" i="2421"/>
  <c r="OL111" i="2421"/>
  <c r="ON111" i="2421"/>
  <c r="ON16" i="2421"/>
  <c r="OL16" i="2421"/>
  <c r="OL15" i="2421"/>
  <c r="ON15" i="2421"/>
  <c r="HN99" i="2421"/>
  <c r="HP99" i="2421"/>
  <c r="HN64" i="2421"/>
  <c r="HP64" i="2421"/>
  <c r="HN81" i="2421"/>
  <c r="HP81" i="2421"/>
  <c r="HN95" i="2421"/>
  <c r="HP95" i="2421"/>
  <c r="HN49" i="2421"/>
  <c r="HP49" i="2421"/>
  <c r="HN112" i="2421"/>
  <c r="HP112" i="2421"/>
  <c r="HN77" i="2421"/>
  <c r="HP77" i="2421"/>
  <c r="HN50" i="2421"/>
  <c r="HP50" i="2421"/>
  <c r="HN113" i="2421"/>
  <c r="HP113" i="2421"/>
  <c r="HN84" i="2421"/>
  <c r="HP84" i="2421"/>
  <c r="HN29" i="2421"/>
  <c r="HP29" i="2421"/>
  <c r="HP27" i="2421"/>
  <c r="HN27" i="2421"/>
  <c r="KZ46" i="2421"/>
  <c r="LB46" i="2421"/>
  <c r="KZ50" i="2421"/>
  <c r="LB50" i="2421"/>
  <c r="KZ54" i="2421"/>
  <c r="LB54" i="2421"/>
  <c r="KZ35" i="2421"/>
  <c r="LB35" i="2421"/>
  <c r="KZ38" i="2421"/>
  <c r="LB38" i="2421"/>
  <c r="KZ58" i="2421"/>
  <c r="LB58" i="2421"/>
  <c r="KZ62" i="2421"/>
  <c r="LB62" i="2421"/>
  <c r="KZ60" i="2421"/>
  <c r="LB60" i="2421"/>
  <c r="KZ74" i="2421"/>
  <c r="LB74" i="2421"/>
  <c r="KZ29" i="2421"/>
  <c r="LB29" i="2421"/>
  <c r="KZ39" i="2421"/>
  <c r="LB39" i="2421"/>
  <c r="KZ84" i="2421"/>
  <c r="LB84" i="2421"/>
  <c r="KZ17" i="2421"/>
  <c r="LB17" i="2421"/>
  <c r="KZ40" i="2421"/>
  <c r="LB40" i="2421"/>
  <c r="KZ85" i="2421"/>
  <c r="LB85" i="2421"/>
  <c r="KZ16" i="2421"/>
  <c r="LB16" i="2421"/>
  <c r="KZ41" i="2421"/>
  <c r="LB41" i="2421"/>
  <c r="KZ15" i="2421"/>
  <c r="LB15" i="2421"/>
  <c r="KZ101" i="2421"/>
  <c r="LB101" i="2421"/>
  <c r="IR103" i="2421"/>
  <c r="IT103" i="2421"/>
  <c r="IR70" i="2421"/>
  <c r="IT70" i="2421"/>
  <c r="IR104" i="2421"/>
  <c r="IT104" i="2421"/>
  <c r="IR36" i="2421"/>
  <c r="IT36" i="2421"/>
  <c r="IR62" i="2421"/>
  <c r="IT62" i="2421"/>
  <c r="IR27" i="2421"/>
  <c r="IT27" i="2421"/>
  <c r="IR48" i="2421"/>
  <c r="IT48" i="2421"/>
  <c r="IR91" i="2421"/>
  <c r="IT91" i="2421"/>
  <c r="IR18" i="2421"/>
  <c r="IT18" i="2421"/>
  <c r="IR41" i="2421"/>
  <c r="IT41" i="2421"/>
  <c r="IR17" i="2421"/>
  <c r="IT17" i="2421"/>
  <c r="IR101" i="2421"/>
  <c r="IT101" i="2421"/>
  <c r="IR61" i="2421"/>
  <c r="IT61" i="2421"/>
  <c r="IR110" i="2421"/>
  <c r="IT110" i="2421"/>
  <c r="IT31" i="2421"/>
  <c r="IR31" i="2421"/>
  <c r="IR84" i="2421"/>
  <c r="IT84" i="2421"/>
  <c r="IC35" i="2421"/>
  <c r="IE35" i="2421"/>
  <c r="IC59" i="2421"/>
  <c r="IE59" i="2421"/>
  <c r="IC88" i="2421"/>
  <c r="IE88" i="2421"/>
  <c r="IC52" i="2421"/>
  <c r="IE52" i="2421"/>
  <c r="IC55" i="2421"/>
  <c r="IE55" i="2421"/>
  <c r="IC89" i="2421"/>
  <c r="IE89" i="2421"/>
  <c r="IC51" i="2421"/>
  <c r="IE51" i="2421"/>
  <c r="IC90" i="2421"/>
  <c r="IE90" i="2421"/>
  <c r="IC40" i="2421"/>
  <c r="IE40" i="2421"/>
  <c r="IC42" i="2421"/>
  <c r="IE42" i="2421"/>
  <c r="IC91" i="2421"/>
  <c r="IE91" i="2421"/>
  <c r="IC39" i="2421"/>
  <c r="IE39" i="2421"/>
  <c r="IC100" i="2421"/>
  <c r="IE100" i="2421"/>
  <c r="IC30" i="2421"/>
  <c r="IE30" i="2421"/>
  <c r="IC84" i="2421"/>
  <c r="IE84" i="2421"/>
  <c r="IC93" i="2421"/>
  <c r="IE93" i="2421"/>
  <c r="IC37" i="2421"/>
  <c r="IE37" i="2421"/>
  <c r="IC86" i="2421"/>
  <c r="IE86" i="2421"/>
  <c r="IC60" i="2421"/>
  <c r="IE60" i="2421"/>
  <c r="IC63" i="2421"/>
  <c r="IE63" i="2421"/>
  <c r="IC87" i="2421"/>
  <c r="IE87" i="2421"/>
  <c r="IE20" i="2421"/>
  <c r="IC20" i="2421"/>
  <c r="GY113" i="2421"/>
  <c r="HA113" i="2421"/>
  <c r="GY96" i="2421"/>
  <c r="HA96" i="2421"/>
  <c r="GY28" i="2421"/>
  <c r="HA28" i="2421"/>
  <c r="GY59" i="2421"/>
  <c r="HA59" i="2421"/>
  <c r="GY98" i="2421"/>
  <c r="HA98" i="2421"/>
  <c r="GY37" i="2421"/>
  <c r="HA37" i="2421"/>
  <c r="GY68" i="2421"/>
  <c r="HA68" i="2421"/>
  <c r="GY107" i="2421"/>
  <c r="HA107" i="2421"/>
  <c r="GY46" i="2421"/>
  <c r="HA46" i="2421"/>
  <c r="GY78" i="2421"/>
  <c r="HA78" i="2421"/>
  <c r="GY39" i="2421"/>
  <c r="HA39" i="2421"/>
  <c r="GY70" i="2421"/>
  <c r="HA70" i="2421"/>
  <c r="GY109" i="2421"/>
  <c r="HA109" i="2421"/>
  <c r="GY48" i="2421"/>
  <c r="HA48" i="2421"/>
  <c r="GY82" i="2421"/>
  <c r="HA82" i="2421"/>
  <c r="GY49" i="2421"/>
  <c r="HA49" i="2421"/>
  <c r="GY84" i="2421"/>
  <c r="HA84" i="2421"/>
  <c r="GY24" i="2421"/>
  <c r="HA24" i="2421"/>
  <c r="CI86" i="2421"/>
  <c r="CK86" i="2421"/>
  <c r="CI95" i="2421"/>
  <c r="CK95" i="2421"/>
  <c r="CI62" i="2421"/>
  <c r="CK62" i="2421"/>
  <c r="CI104" i="2421"/>
  <c r="CK104" i="2421"/>
  <c r="CI71" i="2421"/>
  <c r="CK71" i="2421"/>
  <c r="CI113" i="2421"/>
  <c r="CK113" i="2421"/>
  <c r="CI72" i="2421"/>
  <c r="CK72" i="2421"/>
  <c r="CI73" i="2421"/>
  <c r="CK73" i="2421"/>
  <c r="CI66" i="2421"/>
  <c r="CK66" i="2421"/>
  <c r="CI108" i="2421"/>
  <c r="CK108" i="2421"/>
  <c r="CK16" i="2421"/>
  <c r="CI16" i="2421"/>
  <c r="CK23" i="2421"/>
  <c r="CI23" i="2421"/>
  <c r="GY15" i="2421"/>
  <c r="HA15" i="2421"/>
  <c r="CI83" i="2421"/>
  <c r="CK83" i="2421"/>
  <c r="CI43" i="2421"/>
  <c r="CK43" i="2421"/>
  <c r="CI94" i="2421"/>
  <c r="CK94" i="2421"/>
  <c r="CI61" i="2421"/>
  <c r="CK61" i="2421"/>
  <c r="CI103" i="2421"/>
  <c r="CK103" i="2421"/>
  <c r="CI70" i="2421"/>
  <c r="CK70" i="2421"/>
  <c r="CI112" i="2421"/>
  <c r="CK112" i="2421"/>
  <c r="CI33" i="2421"/>
  <c r="CK33" i="2421"/>
  <c r="CI80" i="2421"/>
  <c r="CK80" i="2421"/>
  <c r="CI34" i="2421"/>
  <c r="CK34" i="2421"/>
  <c r="CI82" i="2421"/>
  <c r="CK82" i="2421"/>
  <c r="CI35" i="2421"/>
  <c r="CK35" i="2421"/>
  <c r="CI85" i="2421"/>
  <c r="CK85" i="2421"/>
  <c r="CI74" i="2421"/>
  <c r="CK74" i="2421"/>
  <c r="CK24" i="2421"/>
  <c r="CI24" i="2421"/>
  <c r="CK15" i="2421"/>
  <c r="CI15" i="2421"/>
  <c r="JV15" i="2421"/>
  <c r="JX15" i="2421"/>
  <c r="JV62" i="2421"/>
  <c r="JX62" i="2421"/>
  <c r="JV45" i="2421"/>
  <c r="JX45" i="2421"/>
  <c r="FF32" i="2421"/>
  <c r="FH32" i="2421"/>
  <c r="FF69" i="2421"/>
  <c r="FH69" i="2421"/>
  <c r="MS100" i="2421"/>
  <c r="MU100" i="2421"/>
  <c r="JG55" i="2421"/>
  <c r="JI55" i="2421"/>
  <c r="JG103" i="2421"/>
  <c r="JI103" i="2421"/>
  <c r="JI26" i="2421"/>
  <c r="JG26" i="2421"/>
  <c r="EB87" i="2421"/>
  <c r="ED87" i="2421"/>
  <c r="EB91" i="2421"/>
  <c r="ED91" i="2421"/>
  <c r="GJ97" i="2421"/>
  <c r="GL97" i="2421"/>
  <c r="GJ100" i="2421"/>
  <c r="GL100" i="2421"/>
  <c r="GJ101" i="2421"/>
  <c r="GL101" i="2421"/>
  <c r="FU87" i="2421"/>
  <c r="FW87" i="2421"/>
  <c r="FU37" i="2421"/>
  <c r="FW37" i="2421"/>
  <c r="FU39" i="2421"/>
  <c r="FW39" i="2421"/>
  <c r="QE89" i="2421"/>
  <c r="QG89" i="2421"/>
  <c r="QE111" i="2421"/>
  <c r="QG111" i="2421"/>
  <c r="MD78" i="2421"/>
  <c r="MF78" i="2421"/>
  <c r="MD27" i="2421"/>
  <c r="MF27" i="2421"/>
  <c r="KK53" i="2421"/>
  <c r="KM53" i="2421"/>
  <c r="KK103" i="2421"/>
  <c r="KM103" i="2421"/>
  <c r="KK30" i="2421"/>
  <c r="KM30" i="2421"/>
  <c r="KM15" i="2421"/>
  <c r="KK15" i="2421"/>
  <c r="PP101" i="2421"/>
  <c r="PR101" i="2421"/>
  <c r="DM90" i="2421"/>
  <c r="DO90" i="2421"/>
  <c r="DM112" i="2421"/>
  <c r="DO112" i="2421"/>
  <c r="DM113" i="2421"/>
  <c r="DO113" i="2421"/>
  <c r="LO75" i="2421"/>
  <c r="LQ75" i="2421"/>
  <c r="LO23" i="2421"/>
  <c r="LQ23" i="2421"/>
  <c r="CX71" i="2421"/>
  <c r="CZ71" i="2421"/>
  <c r="CX108" i="2421"/>
  <c r="CZ108" i="2421"/>
  <c r="CX86" i="2421"/>
  <c r="CZ86" i="2421"/>
  <c r="OL107" i="2421"/>
  <c r="ON107" i="2421"/>
  <c r="OL61" i="2421"/>
  <c r="ON61" i="2421"/>
  <c r="OL24" i="2421"/>
  <c r="ON24" i="2421"/>
  <c r="HN56" i="2421"/>
  <c r="HP56" i="2421"/>
  <c r="HN82" i="2421"/>
  <c r="HP82" i="2421"/>
  <c r="HN30" i="2421"/>
  <c r="HP30" i="2421"/>
  <c r="KZ43" i="2421"/>
  <c r="LB43" i="2421"/>
  <c r="KZ37" i="2421"/>
  <c r="LB37" i="2421"/>
  <c r="KZ90" i="2421"/>
  <c r="LB90" i="2421"/>
  <c r="IR63" i="2421"/>
  <c r="IT63" i="2421"/>
  <c r="IR112" i="2421"/>
  <c r="IT112" i="2421"/>
  <c r="IR19" i="2421"/>
  <c r="IT19" i="2421"/>
  <c r="IR92" i="2421"/>
  <c r="IT92" i="2421"/>
  <c r="IC33" i="2421"/>
  <c r="IE33" i="2421"/>
  <c r="GY76" i="2421"/>
  <c r="HA76" i="2421"/>
  <c r="QT99" i="2421"/>
  <c r="QV99" i="2421"/>
  <c r="QT41" i="2421"/>
  <c r="QV41" i="2421"/>
  <c r="QT34" i="2421"/>
  <c r="QV34" i="2421"/>
  <c r="QT43" i="2421"/>
  <c r="QV43" i="2421"/>
  <c r="QT44" i="2421"/>
  <c r="QV44" i="2421"/>
  <c r="QT25" i="2421"/>
  <c r="QV25" i="2421"/>
  <c r="QT45" i="2421"/>
  <c r="QV45" i="2421"/>
  <c r="QT38" i="2421"/>
  <c r="QV38" i="2421"/>
  <c r="QT39" i="2421"/>
  <c r="QV39" i="2421"/>
  <c r="QV15" i="2421"/>
  <c r="QT15" i="2421"/>
  <c r="JV106" i="2421"/>
  <c r="JX106" i="2421"/>
  <c r="JV109" i="2421"/>
  <c r="JX109" i="2421"/>
  <c r="JV102" i="2421"/>
  <c r="JX102" i="2421"/>
  <c r="JV103" i="2421"/>
  <c r="JX103" i="2421"/>
  <c r="JV26" i="2421"/>
  <c r="JX26" i="2421"/>
  <c r="JV88" i="2421"/>
  <c r="JX88" i="2421"/>
  <c r="JV46" i="2421"/>
  <c r="JX46" i="2421"/>
  <c r="JV82" i="2421"/>
  <c r="JX82" i="2421"/>
  <c r="FF106" i="2421"/>
  <c r="FH106" i="2421"/>
  <c r="FF21" i="2421"/>
  <c r="FH21" i="2421"/>
  <c r="FF20" i="2421"/>
  <c r="FH20" i="2421"/>
  <c r="FF90" i="2421"/>
  <c r="FH90" i="2421"/>
  <c r="FF35" i="2421"/>
  <c r="FH35" i="2421"/>
  <c r="FF77" i="2421"/>
  <c r="FH77" i="2421"/>
  <c r="FF44" i="2421"/>
  <c r="FH44" i="2421"/>
  <c r="FF102" i="2421"/>
  <c r="FH102" i="2421"/>
  <c r="FF26" i="2421"/>
  <c r="FH26" i="2421"/>
  <c r="FF103" i="2421"/>
  <c r="FH103" i="2421"/>
  <c r="FF112" i="2421"/>
  <c r="FH112" i="2421"/>
  <c r="FF23" i="2421"/>
  <c r="FH23" i="2421"/>
  <c r="NW67" i="2421"/>
  <c r="NY67" i="2421"/>
  <c r="NW97" i="2421"/>
  <c r="NY97" i="2421"/>
  <c r="NW43" i="2421"/>
  <c r="NY43" i="2421"/>
  <c r="NW112" i="2421"/>
  <c r="NY112" i="2421"/>
  <c r="NW15" i="2421"/>
  <c r="NY15" i="2421"/>
  <c r="NW44" i="2421"/>
  <c r="NY44" i="2421"/>
  <c r="NW106" i="2421"/>
  <c r="NY106" i="2421"/>
  <c r="NW70" i="2421"/>
  <c r="NY70" i="2421"/>
  <c r="NW45" i="2421"/>
  <c r="NY45" i="2421"/>
  <c r="NW107" i="2421"/>
  <c r="NY107" i="2421"/>
  <c r="NW78" i="2421"/>
  <c r="NY78" i="2421"/>
  <c r="NW64" i="2421"/>
  <c r="NY64" i="2421"/>
  <c r="NW87" i="2421"/>
  <c r="NY87" i="2421"/>
  <c r="NW24" i="2421"/>
  <c r="NY24" i="2421"/>
  <c r="NW74" i="2421"/>
  <c r="NY74" i="2421"/>
  <c r="MS62" i="2421"/>
  <c r="MU62" i="2421"/>
  <c r="MS39" i="2421"/>
  <c r="MU39" i="2421"/>
  <c r="MS63" i="2421"/>
  <c r="MU63" i="2421"/>
  <c r="MS108" i="2421"/>
  <c r="MU108" i="2421"/>
  <c r="MS28" i="2421"/>
  <c r="MU28" i="2421"/>
  <c r="MS101" i="2421"/>
  <c r="MU101" i="2421"/>
  <c r="MS35" i="2421"/>
  <c r="MU35" i="2421"/>
  <c r="MS86" i="2421"/>
  <c r="MU86" i="2421"/>
  <c r="MS75" i="2421"/>
  <c r="MU75" i="2421"/>
  <c r="MS52" i="2421"/>
  <c r="MU52" i="2421"/>
  <c r="MS112" i="2421"/>
  <c r="MU112" i="2421"/>
  <c r="MS24" i="2421"/>
  <c r="MU24" i="2421"/>
  <c r="JG34" i="2421"/>
  <c r="JI34" i="2421"/>
  <c r="JG42" i="2421"/>
  <c r="JI42" i="2421"/>
  <c r="JG63" i="2421"/>
  <c r="JI63" i="2421"/>
  <c r="JG110" i="2421"/>
  <c r="JI110" i="2421"/>
  <c r="JG27" i="2421"/>
  <c r="JI27" i="2421"/>
  <c r="JG64" i="2421"/>
  <c r="JI64" i="2421"/>
  <c r="JG111" i="2421"/>
  <c r="JI111" i="2421"/>
  <c r="JG67" i="2421"/>
  <c r="JI67" i="2421"/>
  <c r="JG53" i="2421"/>
  <c r="JI53" i="2421"/>
  <c r="JG100" i="2421"/>
  <c r="JI100" i="2421"/>
  <c r="JG78" i="2421"/>
  <c r="JI78" i="2421"/>
  <c r="JG19" i="2421"/>
  <c r="JI19" i="2421"/>
  <c r="JI25" i="2421"/>
  <c r="JG25" i="2421"/>
  <c r="EB23" i="2421"/>
  <c r="ED23" i="2421"/>
  <c r="EB68" i="2421"/>
  <c r="ED68" i="2421"/>
  <c r="EB18" i="2421"/>
  <c r="ED18" i="2421"/>
  <c r="EB51" i="2421"/>
  <c r="ED51" i="2421"/>
  <c r="EB80" i="2421"/>
  <c r="ED80" i="2421"/>
  <c r="EB63" i="2421"/>
  <c r="ED63" i="2421"/>
  <c r="EB106" i="2421"/>
  <c r="ED106" i="2421"/>
  <c r="EB54" i="2421"/>
  <c r="ED54" i="2421"/>
  <c r="EB99" i="2421"/>
  <c r="ED99" i="2421"/>
  <c r="EB25" i="2421"/>
  <c r="ED25" i="2421"/>
  <c r="EB39" i="2421"/>
  <c r="ED39" i="2421"/>
  <c r="EB81" i="2421"/>
  <c r="ED81" i="2421"/>
  <c r="EB40" i="2421"/>
  <c r="ED40" i="2421"/>
  <c r="EB83" i="2421"/>
  <c r="ED83" i="2421"/>
  <c r="EB33" i="2421"/>
  <c r="ED33" i="2421"/>
  <c r="GJ37" i="2421"/>
  <c r="GL37" i="2421"/>
  <c r="GJ55" i="2421"/>
  <c r="GL55" i="2421"/>
  <c r="GJ22" i="2421"/>
  <c r="GL22" i="2421"/>
  <c r="GJ74" i="2421"/>
  <c r="GL74" i="2421"/>
  <c r="GJ18" i="2421"/>
  <c r="GL18" i="2421"/>
  <c r="GJ105" i="2421"/>
  <c r="GL105" i="2421"/>
  <c r="GJ17" i="2421"/>
  <c r="GL17" i="2421"/>
  <c r="GJ98" i="2421"/>
  <c r="GL98" i="2421"/>
  <c r="GJ15" i="2421"/>
  <c r="GL15" i="2421"/>
  <c r="GJ99" i="2421"/>
  <c r="GL99" i="2421"/>
  <c r="GJ29" i="2421"/>
  <c r="GL29" i="2421"/>
  <c r="GJ108" i="2421"/>
  <c r="GL108" i="2421"/>
  <c r="GJ31" i="2421"/>
  <c r="GL31" i="2421"/>
  <c r="GJ109" i="2421"/>
  <c r="GL109" i="2421"/>
  <c r="GJ34" i="2421"/>
  <c r="GL34" i="2421"/>
  <c r="GJ94" i="2421"/>
  <c r="GL94" i="2421"/>
  <c r="GJ23" i="2421"/>
  <c r="GL23" i="2421"/>
  <c r="FU41" i="2421"/>
  <c r="FW41" i="2421"/>
  <c r="FU109" i="2421"/>
  <c r="FW109" i="2421"/>
  <c r="FU26" i="2421"/>
  <c r="FW26" i="2421"/>
  <c r="FU50" i="2421"/>
  <c r="FW50" i="2421"/>
  <c r="FU102" i="2421"/>
  <c r="FW102" i="2421"/>
  <c r="FU18" i="2421"/>
  <c r="FW18" i="2421"/>
  <c r="FU43" i="2421"/>
  <c r="FW43" i="2421"/>
  <c r="FU95" i="2421"/>
  <c r="FW95" i="2421"/>
  <c r="FU17" i="2421"/>
  <c r="FW17" i="2421"/>
  <c r="FU44" i="2421"/>
  <c r="FW44" i="2421"/>
  <c r="FU96" i="2421"/>
  <c r="FW96" i="2421"/>
  <c r="FU16" i="2421"/>
  <c r="FW16" i="2421"/>
  <c r="FU45" i="2421"/>
  <c r="FW45" i="2421"/>
  <c r="FU97" i="2421"/>
  <c r="FW97" i="2421"/>
  <c r="FU22" i="2421"/>
  <c r="FW22" i="2421"/>
  <c r="FU46" i="2421"/>
  <c r="FW46" i="2421"/>
  <c r="FU98" i="2421"/>
  <c r="FW98" i="2421"/>
  <c r="FU21" i="2421"/>
  <c r="FW21" i="2421"/>
  <c r="FU47" i="2421"/>
  <c r="FW47" i="2421"/>
  <c r="FU99" i="2421"/>
  <c r="FW99" i="2421"/>
  <c r="FU57" i="2421"/>
  <c r="FW57" i="2421"/>
  <c r="QE61" i="2421"/>
  <c r="QG61" i="2421"/>
  <c r="QE105" i="2421"/>
  <c r="QG105" i="2421"/>
  <c r="QE28" i="2421"/>
  <c r="QG28" i="2421"/>
  <c r="QE77" i="2421"/>
  <c r="QG77" i="2421"/>
  <c r="QE90" i="2421"/>
  <c r="QG90" i="2421"/>
  <c r="QE50" i="2421"/>
  <c r="QG50" i="2421"/>
  <c r="QE80" i="2421"/>
  <c r="QG80" i="2421"/>
  <c r="QE14" i="2421"/>
  <c r="QG14" i="2421"/>
  <c r="QE76" i="2421"/>
  <c r="QG76" i="2421"/>
  <c r="QE21" i="2421"/>
  <c r="QG21" i="2421"/>
  <c r="MD38" i="2421"/>
  <c r="MF38" i="2421"/>
  <c r="MD75" i="2421"/>
  <c r="MF75" i="2421"/>
  <c r="MD49" i="2421"/>
  <c r="MF49" i="2421"/>
  <c r="MD104" i="2421"/>
  <c r="MF104" i="2421"/>
  <c r="MD52" i="2421"/>
  <c r="MF52" i="2421"/>
  <c r="MD105" i="2421"/>
  <c r="MF105" i="2421"/>
  <c r="MD41" i="2421"/>
  <c r="MF41" i="2421"/>
  <c r="MD88" i="2421"/>
  <c r="MF88" i="2421"/>
  <c r="MD34" i="2421"/>
  <c r="MF34" i="2421"/>
  <c r="MD82" i="2421"/>
  <c r="MF82" i="2421"/>
  <c r="MD35" i="2421"/>
  <c r="MF35" i="2421"/>
  <c r="MD67" i="2421"/>
  <c r="MF67" i="2421"/>
  <c r="MD36" i="2421"/>
  <c r="MF36" i="2421"/>
  <c r="MD68" i="2421"/>
  <c r="MF68" i="2421"/>
  <c r="MD37" i="2421"/>
  <c r="MF37" i="2421"/>
  <c r="MD70" i="2421"/>
  <c r="MF70" i="2421"/>
  <c r="MD98" i="2421"/>
  <c r="MF98" i="2421"/>
  <c r="MD108" i="2421"/>
  <c r="MF108" i="2421"/>
  <c r="MD23" i="2421"/>
  <c r="MF23" i="2421"/>
  <c r="MD14" i="2421"/>
  <c r="MF14" i="2421"/>
  <c r="MD74" i="2421"/>
  <c r="MF74" i="2421"/>
  <c r="RI78" i="2421"/>
  <c r="RK78" i="2421"/>
  <c r="RI51" i="2421"/>
  <c r="RK51" i="2421"/>
  <c r="RI91" i="2421"/>
  <c r="RK91" i="2421"/>
  <c r="RI43" i="2421"/>
  <c r="RK43" i="2421"/>
  <c r="RI92" i="2421"/>
  <c r="RK92" i="2421"/>
  <c r="RI73" i="2421"/>
  <c r="RK73" i="2421"/>
  <c r="RI59" i="2421"/>
  <c r="RK59" i="2421"/>
  <c r="RI109" i="2421"/>
  <c r="RK109" i="2421"/>
  <c r="RI45" i="2421"/>
  <c r="RK45" i="2421"/>
  <c r="RI95" i="2421"/>
  <c r="RK95" i="2421"/>
  <c r="RI44" i="2421"/>
  <c r="RK44" i="2421"/>
  <c r="RI88" i="2421"/>
  <c r="RK88" i="2421"/>
  <c r="RI27" i="2421"/>
  <c r="RK27" i="2421"/>
  <c r="RI20" i="2421"/>
  <c r="RK20" i="2421"/>
  <c r="RI15" i="2421"/>
  <c r="RK15" i="2421"/>
  <c r="KK63" i="2421"/>
  <c r="KM63" i="2421"/>
  <c r="KK28" i="2421"/>
  <c r="KM28" i="2421"/>
  <c r="KK99" i="2421"/>
  <c r="KM99" i="2421"/>
  <c r="KK27" i="2421"/>
  <c r="KM27" i="2421"/>
  <c r="KK45" i="2421"/>
  <c r="KM45" i="2421"/>
  <c r="KK44" i="2421"/>
  <c r="KM44" i="2421"/>
  <c r="KK111" i="2421"/>
  <c r="KM111" i="2421"/>
  <c r="KK23" i="2421"/>
  <c r="KM23" i="2421"/>
  <c r="KK112" i="2421"/>
  <c r="KM112" i="2421"/>
  <c r="KK22" i="2421"/>
  <c r="KM22" i="2421"/>
  <c r="KK89" i="2421"/>
  <c r="KM89" i="2421"/>
  <c r="KK37" i="2421"/>
  <c r="KM37" i="2421"/>
  <c r="KK106" i="2421"/>
  <c r="KM106" i="2421"/>
  <c r="KM16" i="2421"/>
  <c r="KK16" i="2421"/>
  <c r="PP89" i="2421"/>
  <c r="PR89" i="2421"/>
  <c r="PP98" i="2421"/>
  <c r="PR98" i="2421"/>
  <c r="PP59" i="2421"/>
  <c r="PR59" i="2421"/>
  <c r="PP109" i="2421"/>
  <c r="PR109" i="2421"/>
  <c r="PP94" i="2421"/>
  <c r="PR94" i="2421"/>
  <c r="PP26" i="2421"/>
  <c r="PR26" i="2421"/>
  <c r="PP84" i="2421"/>
  <c r="PR84" i="2421"/>
  <c r="PP104" i="2421"/>
  <c r="PR104" i="2421"/>
  <c r="PP52" i="2421"/>
  <c r="PR52" i="2421"/>
  <c r="PP23" i="2421"/>
  <c r="PR23" i="2421"/>
  <c r="PP22" i="2421"/>
  <c r="PR22" i="2421"/>
  <c r="PP47" i="2421"/>
  <c r="PR47" i="2421"/>
  <c r="DM40" i="2421"/>
  <c r="DO40" i="2421"/>
  <c r="DM17" i="2421"/>
  <c r="DO17" i="2421"/>
  <c r="DM99" i="2421"/>
  <c r="DO99" i="2421"/>
  <c r="DM78" i="2421"/>
  <c r="DO78" i="2421"/>
  <c r="DM32" i="2421"/>
  <c r="DO32" i="2421"/>
  <c r="DM27" i="2421"/>
  <c r="DO27" i="2421"/>
  <c r="DM109" i="2421"/>
  <c r="DO109" i="2421"/>
  <c r="DM33" i="2421"/>
  <c r="DO33" i="2421"/>
  <c r="DM82" i="2421"/>
  <c r="DO82" i="2421"/>
  <c r="DM67" i="2421"/>
  <c r="DO67" i="2421"/>
  <c r="DM111" i="2421"/>
  <c r="DO111" i="2421"/>
  <c r="DM77" i="2421"/>
  <c r="DO77" i="2421"/>
  <c r="DM79" i="2421"/>
  <c r="DO79" i="2421"/>
  <c r="LO48" i="2421"/>
  <c r="LQ48" i="2421"/>
  <c r="LO62" i="2421"/>
  <c r="LQ62" i="2421"/>
  <c r="LO104" i="2421"/>
  <c r="LQ104" i="2421"/>
  <c r="LO16" i="2421"/>
  <c r="LQ16" i="2421"/>
  <c r="LO63" i="2421"/>
  <c r="LQ63" i="2421"/>
  <c r="LO105" i="2421"/>
  <c r="LQ105" i="2421"/>
  <c r="LO15" i="2421"/>
  <c r="LQ15" i="2421"/>
  <c r="LO72" i="2421"/>
  <c r="LQ72" i="2421"/>
  <c r="LQ54" i="2421"/>
  <c r="LO54" i="2421"/>
  <c r="LQ26" i="2421"/>
  <c r="LO26" i="2421"/>
  <c r="CX29" i="2421"/>
  <c r="CZ29" i="2421"/>
  <c r="CX82" i="2421"/>
  <c r="CZ82" i="2421"/>
  <c r="CX28" i="2421"/>
  <c r="CZ28" i="2421"/>
  <c r="CX85" i="2421"/>
  <c r="CZ85" i="2421"/>
  <c r="CX27" i="2421"/>
  <c r="CZ27" i="2421"/>
  <c r="CX73" i="2421"/>
  <c r="CZ73" i="2421"/>
  <c r="CX66" i="2421"/>
  <c r="CZ66" i="2421"/>
  <c r="CX109" i="2421"/>
  <c r="CZ109" i="2421"/>
  <c r="CX49" i="2421"/>
  <c r="CZ49" i="2421"/>
  <c r="CX94" i="2421"/>
  <c r="CZ94" i="2421"/>
  <c r="CX34" i="2421"/>
  <c r="CZ34" i="2421"/>
  <c r="CX14" i="2421"/>
  <c r="CZ14" i="2421"/>
  <c r="OL55" i="2421"/>
  <c r="ON55" i="2421"/>
  <c r="OL104" i="2421"/>
  <c r="ON104" i="2421"/>
  <c r="OL53" i="2421"/>
  <c r="ON53" i="2421"/>
  <c r="OL105" i="2421"/>
  <c r="ON105" i="2421"/>
  <c r="OL56" i="2421"/>
  <c r="ON56" i="2421"/>
  <c r="OL90" i="2421"/>
  <c r="ON90" i="2421"/>
  <c r="OL100" i="2421"/>
  <c r="ON100" i="2421"/>
  <c r="OL64" i="2421"/>
  <c r="ON64" i="2421"/>
  <c r="OL32" i="2421"/>
  <c r="ON32" i="2421"/>
  <c r="OL19" i="2421"/>
  <c r="ON19" i="2421"/>
  <c r="HN107" i="2421"/>
  <c r="HP107" i="2421"/>
  <c r="HN83" i="2421"/>
  <c r="HP83" i="2421"/>
  <c r="HN73" i="2421"/>
  <c r="HP73" i="2421"/>
  <c r="HN94" i="2421"/>
  <c r="HP94" i="2421"/>
  <c r="HN48" i="2421"/>
  <c r="HP48" i="2421"/>
  <c r="HN111" i="2421"/>
  <c r="HP111" i="2421"/>
  <c r="HN78" i="2421"/>
  <c r="HP78" i="2421"/>
  <c r="HN54" i="2421"/>
  <c r="HP54" i="2421"/>
  <c r="HN70" i="2421"/>
  <c r="HP70" i="2421"/>
  <c r="HN63" i="2421"/>
  <c r="HP63" i="2421"/>
  <c r="HN93" i="2421"/>
  <c r="HP93" i="2421"/>
  <c r="HN20" i="2421"/>
  <c r="HP20" i="2421"/>
  <c r="HN21" i="2421"/>
  <c r="HP21" i="2421"/>
  <c r="HN22" i="2421"/>
  <c r="HP22" i="2421"/>
  <c r="KZ18" i="2421"/>
  <c r="LB18" i="2421"/>
  <c r="KZ83" i="2421"/>
  <c r="LB83" i="2421"/>
  <c r="KZ86" i="2421"/>
  <c r="LB86" i="2421"/>
  <c r="KZ94" i="2421"/>
  <c r="LB94" i="2421"/>
  <c r="KZ72" i="2421"/>
  <c r="LB72" i="2421"/>
  <c r="KZ36" i="2421"/>
  <c r="LB36" i="2421"/>
  <c r="KZ81" i="2421"/>
  <c r="LB81" i="2421"/>
  <c r="KZ30" i="2421"/>
  <c r="LB30" i="2421"/>
  <c r="KZ45" i="2421"/>
  <c r="LB45" i="2421"/>
  <c r="KZ88" i="2421"/>
  <c r="LB88" i="2421"/>
  <c r="KZ55" i="2421"/>
  <c r="LB55" i="2421"/>
  <c r="KZ98" i="2421"/>
  <c r="LB98" i="2421"/>
  <c r="KZ57" i="2421"/>
  <c r="LB57" i="2421"/>
  <c r="KZ99" i="2421"/>
  <c r="LB99" i="2421"/>
  <c r="KZ59" i="2421"/>
  <c r="LB59" i="2421"/>
  <c r="KZ100" i="2421"/>
  <c r="LB100" i="2421"/>
  <c r="IR77" i="2421"/>
  <c r="IT77" i="2421"/>
  <c r="IR81" i="2421"/>
  <c r="IT81" i="2421"/>
  <c r="IR38" i="2421"/>
  <c r="IT38" i="2421"/>
  <c r="IR28" i="2421"/>
  <c r="IT28" i="2421"/>
  <c r="IR47" i="2421"/>
  <c r="IT47" i="2421"/>
  <c r="IR90" i="2421"/>
  <c r="IT90" i="2421"/>
  <c r="IR82" i="2421"/>
  <c r="IT82" i="2421"/>
  <c r="IR107" i="2421"/>
  <c r="IT107" i="2421"/>
  <c r="IR57" i="2421"/>
  <c r="IT57" i="2421"/>
  <c r="IR100" i="2421"/>
  <c r="IT100" i="2421"/>
  <c r="IR69" i="2421"/>
  <c r="IT69" i="2421"/>
  <c r="IC57" i="2421"/>
  <c r="IE57" i="2421"/>
  <c r="IC104" i="2421"/>
  <c r="IE104" i="2421"/>
  <c r="IC26" i="2421"/>
  <c r="IE26" i="2421"/>
  <c r="IC105" i="2421"/>
  <c r="IE105" i="2421"/>
  <c r="IC25" i="2421"/>
  <c r="IE25" i="2421"/>
  <c r="IC106" i="2421"/>
  <c r="IE106" i="2421"/>
  <c r="IC24" i="2421"/>
  <c r="IE24" i="2421"/>
  <c r="IC107" i="2421"/>
  <c r="IE107" i="2421"/>
  <c r="IC23" i="2421"/>
  <c r="IE23" i="2421"/>
  <c r="IC46" i="2421"/>
  <c r="IE46" i="2421"/>
  <c r="IC109" i="2421"/>
  <c r="IE109" i="2421"/>
  <c r="IC21" i="2421"/>
  <c r="IE21" i="2421"/>
  <c r="IC102" i="2421"/>
  <c r="IE102" i="2421"/>
  <c r="IC28" i="2421"/>
  <c r="IE28" i="2421"/>
  <c r="IC103" i="2421"/>
  <c r="IE103" i="2421"/>
  <c r="IC15" i="2421"/>
  <c r="IE15" i="2421"/>
  <c r="GY50" i="2421"/>
  <c r="HA50" i="2421"/>
  <c r="GY89" i="2421"/>
  <c r="HA89" i="2421"/>
  <c r="GY27" i="2421"/>
  <c r="HA27" i="2421"/>
  <c r="GY44" i="2421"/>
  <c r="HA44" i="2421"/>
  <c r="GY75" i="2421"/>
  <c r="HA75" i="2421"/>
  <c r="CI58" i="2421"/>
  <c r="CK58" i="2421"/>
  <c r="CI93" i="2421"/>
  <c r="CK93" i="2421"/>
  <c r="CI84" i="2421"/>
  <c r="CK84" i="2421"/>
  <c r="CI102" i="2421"/>
  <c r="CK102" i="2421"/>
  <c r="CI69" i="2421"/>
  <c r="CK69" i="2421"/>
  <c r="CI111" i="2421"/>
  <c r="CK111" i="2421"/>
  <c r="CI32" i="2421"/>
  <c r="CK32" i="2421"/>
  <c r="CI78" i="2421"/>
  <c r="CK78" i="2421"/>
  <c r="CI41" i="2421"/>
  <c r="CK41" i="2421"/>
  <c r="CI42" i="2421"/>
  <c r="CK42" i="2421"/>
  <c r="CI36" i="2421"/>
  <c r="CK36" i="2421"/>
  <c r="CI14" i="2421"/>
  <c r="CK14" i="2421"/>
  <c r="JV66" i="2421"/>
  <c r="JX66" i="2421"/>
  <c r="JV107" i="2421"/>
  <c r="JX107" i="2421"/>
  <c r="JV94" i="2421"/>
  <c r="JX94" i="2421"/>
  <c r="JV81" i="2421"/>
  <c r="JX81" i="2421"/>
  <c r="FF75" i="2421"/>
  <c r="FH75" i="2421"/>
  <c r="FF78" i="2421"/>
  <c r="FH78" i="2421"/>
  <c r="NW37" i="2421"/>
  <c r="NY37" i="2421"/>
  <c r="MS43" i="2421"/>
  <c r="MU43" i="2421"/>
  <c r="MS32" i="2421"/>
  <c r="MU32" i="2421"/>
  <c r="JG45" i="2421"/>
  <c r="JI45" i="2421"/>
  <c r="JG102" i="2421"/>
  <c r="JI102" i="2421"/>
  <c r="GJ88" i="2421"/>
  <c r="GL88" i="2421"/>
  <c r="GJ33" i="2421"/>
  <c r="GL33" i="2421"/>
  <c r="FU100" i="2421"/>
  <c r="FW100" i="2421"/>
  <c r="FU94" i="2421"/>
  <c r="FW94" i="2421"/>
  <c r="FU14" i="2421"/>
  <c r="FW14" i="2421"/>
  <c r="QE78" i="2421"/>
  <c r="QG78" i="2421"/>
  <c r="MD33" i="2421"/>
  <c r="MF33" i="2421"/>
  <c r="MD66" i="2421"/>
  <c r="MF66" i="2421"/>
  <c r="RI101" i="2421"/>
  <c r="RK101" i="2421"/>
  <c r="KK34" i="2421"/>
  <c r="KM34" i="2421"/>
  <c r="KK108" i="2421"/>
  <c r="KM108" i="2421"/>
  <c r="KK52" i="2421"/>
  <c r="KM52" i="2421"/>
  <c r="PP90" i="2421"/>
  <c r="PR90" i="2421"/>
  <c r="PP78" i="2421"/>
  <c r="PR78" i="2421"/>
  <c r="PP49" i="2421"/>
  <c r="PR49" i="2421"/>
  <c r="LO96" i="2421"/>
  <c r="LQ96" i="2421"/>
  <c r="LO31" i="2421"/>
  <c r="LQ31" i="2421"/>
  <c r="CX72" i="2421"/>
  <c r="CZ72" i="2421"/>
  <c r="OL97" i="2421"/>
  <c r="ON97" i="2421"/>
  <c r="OL57" i="2421"/>
  <c r="ON57" i="2421"/>
  <c r="OL109" i="2421"/>
  <c r="ON109" i="2421"/>
  <c r="HN86" i="2421"/>
  <c r="HP86" i="2421"/>
  <c r="HN15" i="2421"/>
  <c r="HP15" i="2421"/>
  <c r="KZ42" i="2421"/>
  <c r="LB42" i="2421"/>
  <c r="KZ82" i="2421"/>
  <c r="LB82" i="2421"/>
  <c r="KZ92" i="2421"/>
  <c r="LB92" i="2421"/>
  <c r="IR60" i="2421"/>
  <c r="IT60" i="2421"/>
  <c r="IR56" i="2421"/>
  <c r="IT56" i="2421"/>
  <c r="IR49" i="2421"/>
  <c r="IT49" i="2421"/>
  <c r="IR59" i="2421"/>
  <c r="IT59" i="2421"/>
  <c r="IR73" i="2421"/>
  <c r="IT73" i="2421"/>
  <c r="IC108" i="2421"/>
  <c r="IE108" i="2421"/>
  <c r="IC29" i="2421"/>
  <c r="IE29" i="2421"/>
  <c r="IC14" i="2421"/>
  <c r="IE14" i="2421"/>
  <c r="QT91" i="2421"/>
  <c r="QV91" i="2421"/>
  <c r="QT92" i="2421"/>
  <c r="QV92" i="2421"/>
  <c r="QT76" i="2421"/>
  <c r="QV76" i="2421"/>
  <c r="QT42" i="2421"/>
  <c r="QV42" i="2421"/>
  <c r="QT27" i="2421"/>
  <c r="QV27" i="2421"/>
  <c r="QT51" i="2421"/>
  <c r="QV51" i="2421"/>
  <c r="QT86" i="2421"/>
  <c r="QV86" i="2421"/>
  <c r="QT26" i="2421"/>
  <c r="QV26" i="2421"/>
  <c r="QT52" i="2421"/>
  <c r="QV52" i="2421"/>
  <c r="QT87" i="2421"/>
  <c r="QV87" i="2421"/>
  <c r="QT53" i="2421"/>
  <c r="QV53" i="2421"/>
  <c r="QT88" i="2421"/>
  <c r="QV88" i="2421"/>
  <c r="QT24" i="2421"/>
  <c r="QV24" i="2421"/>
  <c r="QT46" i="2421"/>
  <c r="QV46" i="2421"/>
  <c r="QT23" i="2421"/>
  <c r="QV23" i="2421"/>
  <c r="QT47" i="2421"/>
  <c r="QV47" i="2421"/>
  <c r="QT14" i="2421"/>
  <c r="QV14" i="2421"/>
  <c r="JV41" i="2421"/>
  <c r="JX41" i="2421"/>
  <c r="JV100" i="2421"/>
  <c r="JX100" i="2421"/>
  <c r="JV22" i="2421"/>
  <c r="JX22" i="2421"/>
  <c r="JV110" i="2421"/>
  <c r="JX110" i="2421"/>
  <c r="JV111" i="2421"/>
  <c r="JX111" i="2421"/>
  <c r="JV18" i="2421"/>
  <c r="JX18" i="2421"/>
  <c r="JV64" i="2421"/>
  <c r="JX64" i="2421"/>
  <c r="JV96" i="2421"/>
  <c r="JX96" i="2421"/>
  <c r="JV33" i="2421"/>
  <c r="JX33" i="2421"/>
  <c r="JV57" i="2421"/>
  <c r="JX57" i="2421"/>
  <c r="JV89" i="2421"/>
  <c r="JX89" i="2421"/>
  <c r="JX23" i="2421"/>
  <c r="JV23" i="2421"/>
  <c r="FF74" i="2421"/>
  <c r="FH74" i="2421"/>
  <c r="FF48" i="2421"/>
  <c r="FH48" i="2421"/>
  <c r="FF61" i="2421"/>
  <c r="FH61" i="2421"/>
  <c r="FF62" i="2421"/>
  <c r="FH62" i="2421"/>
  <c r="FF68" i="2421"/>
  <c r="FH68" i="2421"/>
  <c r="FF43" i="2421"/>
  <c r="FH43" i="2421"/>
  <c r="FF85" i="2421"/>
  <c r="FH85" i="2421"/>
  <c r="FF14" i="2421"/>
  <c r="FH14" i="2421"/>
  <c r="FF52" i="2421"/>
  <c r="FH52" i="2421"/>
  <c r="FF93" i="2421"/>
  <c r="FH93" i="2421"/>
  <c r="FF110" i="2421"/>
  <c r="FH110" i="2421"/>
  <c r="FF111" i="2421"/>
  <c r="FH111" i="2421"/>
  <c r="FF22" i="2421"/>
  <c r="FH22" i="2421"/>
  <c r="NW88" i="2421"/>
  <c r="NY88" i="2421"/>
  <c r="NW34" i="2421"/>
  <c r="NY34" i="2421"/>
  <c r="NW52" i="2421"/>
  <c r="NY52" i="2421"/>
  <c r="NW53" i="2421"/>
  <c r="NY53" i="2421"/>
  <c r="NW57" i="2421"/>
  <c r="NY57" i="2421"/>
  <c r="NW86" i="2421"/>
  <c r="NY86" i="2421"/>
  <c r="NW33" i="2421"/>
  <c r="NY33" i="2421"/>
  <c r="NW95" i="2421"/>
  <c r="NY95" i="2421"/>
  <c r="NW17" i="2421"/>
  <c r="NY17" i="2421"/>
  <c r="MS30" i="2421"/>
  <c r="MU30" i="2421"/>
  <c r="MS22" i="2421"/>
  <c r="MU22" i="2421"/>
  <c r="MS90" i="2421"/>
  <c r="MU90" i="2421"/>
  <c r="MS51" i="2421"/>
  <c r="MU51" i="2421"/>
  <c r="MS71" i="2421"/>
  <c r="MU71" i="2421"/>
  <c r="MS60" i="2421"/>
  <c r="MU60" i="2421"/>
  <c r="MS20" i="2421"/>
  <c r="MU20" i="2421"/>
  <c r="MS109" i="2421"/>
  <c r="MU109" i="2421"/>
  <c r="MS27" i="2421"/>
  <c r="MU27" i="2421"/>
  <c r="MS94" i="2421"/>
  <c r="MU94" i="2421"/>
  <c r="MS42" i="2421"/>
  <c r="MU42" i="2421"/>
  <c r="MS83" i="2421"/>
  <c r="MU83" i="2421"/>
  <c r="MS16" i="2421"/>
  <c r="MU16" i="2421"/>
  <c r="JG65" i="2421"/>
  <c r="JI65" i="2421"/>
  <c r="JG32" i="2421"/>
  <c r="JI32" i="2421"/>
  <c r="JG49" i="2421"/>
  <c r="JI49" i="2421"/>
  <c r="JG96" i="2421"/>
  <c r="JI96" i="2421"/>
  <c r="JG71" i="2421"/>
  <c r="JI71" i="2421"/>
  <c r="JG72" i="2421"/>
  <c r="JI72" i="2421"/>
  <c r="JG75" i="2421"/>
  <c r="JI75" i="2421"/>
  <c r="JG61" i="2421"/>
  <c r="JI61" i="2421"/>
  <c r="JG108" i="2421"/>
  <c r="JI108" i="2421"/>
  <c r="JG14" i="2421"/>
  <c r="JI14" i="2421"/>
  <c r="JG18" i="2421"/>
  <c r="JI18" i="2421"/>
  <c r="EB55" i="2421"/>
  <c r="ED55" i="2421"/>
  <c r="EB112" i="2421"/>
  <c r="ED112" i="2421"/>
  <c r="EB21" i="2421"/>
  <c r="ED21" i="2421"/>
  <c r="EB71" i="2421"/>
  <c r="ED71" i="2421"/>
  <c r="EB28" i="2421"/>
  <c r="ED28" i="2421"/>
  <c r="EB64" i="2421"/>
  <c r="ED64" i="2421"/>
  <c r="EB107" i="2421"/>
  <c r="ED107" i="2421"/>
  <c r="EB47" i="2421"/>
  <c r="ED47" i="2421"/>
  <c r="EB92" i="2421"/>
  <c r="ED92" i="2421"/>
  <c r="EB48" i="2421"/>
  <c r="ED48" i="2421"/>
  <c r="EB93" i="2421"/>
  <c r="ED93" i="2421"/>
  <c r="EB41" i="2421"/>
  <c r="ED41" i="2421"/>
  <c r="EB86" i="2421"/>
  <c r="ED86" i="2421"/>
  <c r="GJ77" i="2421"/>
  <c r="GL77" i="2421"/>
  <c r="GJ87" i="2421"/>
  <c r="GL87" i="2421"/>
  <c r="GJ24" i="2421"/>
  <c r="GL24" i="2421"/>
  <c r="GJ26" i="2421"/>
  <c r="GL26" i="2421"/>
  <c r="GJ70" i="2421"/>
  <c r="GL70" i="2421"/>
  <c r="GJ38" i="2421"/>
  <c r="GL38" i="2421"/>
  <c r="GJ113" i="2421"/>
  <c r="GL113" i="2421"/>
  <c r="GJ16" i="2421"/>
  <c r="GL16" i="2421"/>
  <c r="GJ106" i="2421"/>
  <c r="GL106" i="2421"/>
  <c r="GJ107" i="2421"/>
  <c r="GL107" i="2421"/>
  <c r="GJ41" i="2421"/>
  <c r="GL41" i="2421"/>
  <c r="GJ68" i="2421"/>
  <c r="GL68" i="2421"/>
  <c r="GJ42" i="2421"/>
  <c r="GL42" i="2421"/>
  <c r="GJ72" i="2421"/>
  <c r="GL72" i="2421"/>
  <c r="GJ27" i="2421"/>
  <c r="GL27" i="2421"/>
  <c r="GJ102" i="2421"/>
  <c r="GL102" i="2421"/>
  <c r="GJ32" i="2421"/>
  <c r="GL32" i="2421"/>
  <c r="FU71" i="2421"/>
  <c r="FW71" i="2421"/>
  <c r="FU110" i="2421"/>
  <c r="FW110" i="2421"/>
  <c r="FU25" i="2421"/>
  <c r="FW25" i="2421"/>
  <c r="FU51" i="2421"/>
  <c r="FW51" i="2421"/>
  <c r="FU103" i="2421"/>
  <c r="FW103" i="2421"/>
  <c r="FU24" i="2421"/>
  <c r="FW24" i="2421"/>
  <c r="FU52" i="2421"/>
  <c r="FW52" i="2421"/>
  <c r="FU104" i="2421"/>
  <c r="FW104" i="2421"/>
  <c r="FU23" i="2421"/>
  <c r="FW23" i="2421"/>
  <c r="FU53" i="2421"/>
  <c r="FW53" i="2421"/>
  <c r="FU105" i="2421"/>
  <c r="FW105" i="2421"/>
  <c r="FU106" i="2421"/>
  <c r="FW106" i="2421"/>
  <c r="FU107" i="2421"/>
  <c r="FW107" i="2421"/>
  <c r="FU60" i="2421"/>
  <c r="FW60" i="2421"/>
  <c r="QE88" i="2421"/>
  <c r="QG88" i="2421"/>
  <c r="QE51" i="2421"/>
  <c r="QG51" i="2421"/>
  <c r="QE55" i="2421"/>
  <c r="QG55" i="2421"/>
  <c r="QE98" i="2421"/>
  <c r="QG98" i="2421"/>
  <c r="QE42" i="2421"/>
  <c r="QG42" i="2421"/>
  <c r="QE91" i="2421"/>
  <c r="QG91" i="2421"/>
  <c r="QE49" i="2421"/>
  <c r="QG49" i="2421"/>
  <c r="QE82" i="2421"/>
  <c r="QG82" i="2421"/>
  <c r="MD47" i="2421"/>
  <c r="MF47" i="2421"/>
  <c r="MD99" i="2421"/>
  <c r="MF99" i="2421"/>
  <c r="MD46" i="2421"/>
  <c r="MF46" i="2421"/>
  <c r="MD54" i="2421"/>
  <c r="MF54" i="2421"/>
  <c r="MD107" i="2421"/>
  <c r="MF107" i="2421"/>
  <c r="MD42" i="2421"/>
  <c r="MF42" i="2421"/>
  <c r="MD89" i="2421"/>
  <c r="MF89" i="2421"/>
  <c r="MD43" i="2421"/>
  <c r="MF43" i="2421"/>
  <c r="MD91" i="2421"/>
  <c r="MF91" i="2421"/>
  <c r="MD44" i="2421"/>
  <c r="MF44" i="2421"/>
  <c r="MD96" i="2421"/>
  <c r="MF96" i="2421"/>
  <c r="MD45" i="2421"/>
  <c r="MF45" i="2421"/>
  <c r="MD97" i="2421"/>
  <c r="MF97" i="2421"/>
  <c r="MD106" i="2421"/>
  <c r="MF106" i="2421"/>
  <c r="MD15" i="2421"/>
  <c r="MF15" i="2421"/>
  <c r="MD65" i="2421"/>
  <c r="MF65" i="2421"/>
  <c r="MD87" i="2421"/>
  <c r="MF87" i="2421"/>
  <c r="RI89" i="2421"/>
  <c r="RK89" i="2421"/>
  <c r="RI55" i="2421"/>
  <c r="RK55" i="2421"/>
  <c r="RI36" i="2421"/>
  <c r="RK36" i="2421"/>
  <c r="RI63" i="2421"/>
  <c r="RK63" i="2421"/>
  <c r="RI99" i="2421"/>
  <c r="RK99" i="2421"/>
  <c r="RI31" i="2421"/>
  <c r="RK31" i="2421"/>
  <c r="RI100" i="2421"/>
  <c r="RK100" i="2421"/>
  <c r="RI30" i="2421"/>
  <c r="RK30" i="2421"/>
  <c r="RI79" i="2421"/>
  <c r="RK79" i="2421"/>
  <c r="RI103" i="2421"/>
  <c r="RK103" i="2421"/>
  <c r="RI96" i="2421"/>
  <c r="RK96" i="2421"/>
  <c r="RI38" i="2421"/>
  <c r="RK38" i="2421"/>
  <c r="RI50" i="2421"/>
  <c r="RK50" i="2421"/>
  <c r="RI21" i="2421"/>
  <c r="RK21" i="2421"/>
  <c r="KK109" i="2421"/>
  <c r="KM109" i="2421"/>
  <c r="KK56" i="2421"/>
  <c r="KM56" i="2421"/>
  <c r="KK107" i="2421"/>
  <c r="KM107" i="2421"/>
  <c r="KK55" i="2421"/>
  <c r="KM55" i="2421"/>
  <c r="KK82" i="2421"/>
  <c r="KM82" i="2421"/>
  <c r="KK85" i="2421"/>
  <c r="KM85" i="2421"/>
  <c r="KK51" i="2421"/>
  <c r="KM51" i="2421"/>
  <c r="KK50" i="2421"/>
  <c r="KM50" i="2421"/>
  <c r="KK97" i="2421"/>
  <c r="KM97" i="2421"/>
  <c r="KK29" i="2421"/>
  <c r="KM29" i="2421"/>
  <c r="KK14" i="2421"/>
  <c r="KM14" i="2421"/>
  <c r="PP37" i="2421"/>
  <c r="PR37" i="2421"/>
  <c r="PP56" i="2421"/>
  <c r="PR56" i="2421"/>
  <c r="PP106" i="2421"/>
  <c r="PR106" i="2421"/>
  <c r="PP91" i="2421"/>
  <c r="PR91" i="2421"/>
  <c r="PP34" i="2421"/>
  <c r="PR34" i="2421"/>
  <c r="PP67" i="2421"/>
  <c r="PR67" i="2421"/>
  <c r="PP80" i="2421"/>
  <c r="PR80" i="2421"/>
  <c r="PP102" i="2421"/>
  <c r="PR102" i="2421"/>
  <c r="PP62" i="2421"/>
  <c r="PR62" i="2421"/>
  <c r="PP112" i="2421"/>
  <c r="PR112" i="2421"/>
  <c r="PP41" i="2421"/>
  <c r="PR41" i="2421"/>
  <c r="PP50" i="2421"/>
  <c r="PR50" i="2421"/>
  <c r="PP36" i="2421"/>
  <c r="PR36" i="2421"/>
  <c r="DM70" i="2421"/>
  <c r="DO70" i="2421"/>
  <c r="DM56" i="2421"/>
  <c r="DO56" i="2421"/>
  <c r="DM101" i="2421"/>
  <c r="DO101" i="2421"/>
  <c r="DM62" i="2421"/>
  <c r="DO62" i="2421"/>
  <c r="DM19" i="2421"/>
  <c r="DO19" i="2421"/>
  <c r="DM41" i="2421"/>
  <c r="DO41" i="2421"/>
  <c r="DM92" i="2421"/>
  <c r="DO92" i="2421"/>
  <c r="DM16" i="2421"/>
  <c r="DO16" i="2421"/>
  <c r="DM60" i="2421"/>
  <c r="DO60" i="2421"/>
  <c r="DM75" i="2421"/>
  <c r="DO75" i="2421"/>
  <c r="LO83" i="2421"/>
  <c r="LQ83" i="2421"/>
  <c r="LO52" i="2421"/>
  <c r="LQ52" i="2421"/>
  <c r="LO70" i="2421"/>
  <c r="LQ70" i="2421"/>
  <c r="LO112" i="2421"/>
  <c r="LQ112" i="2421"/>
  <c r="LO43" i="2421"/>
  <c r="LQ43" i="2421"/>
  <c r="LO71" i="2421"/>
  <c r="LQ71" i="2421"/>
  <c r="LO113" i="2421"/>
  <c r="LQ113" i="2421"/>
  <c r="LO39" i="2421"/>
  <c r="LQ39" i="2421"/>
  <c r="LO82" i="2421"/>
  <c r="LQ82" i="2421"/>
  <c r="LO81" i="2421"/>
  <c r="LQ81" i="2421"/>
  <c r="LO30" i="2421"/>
  <c r="LQ30" i="2421"/>
  <c r="LO34" i="2421"/>
  <c r="LQ34" i="2421"/>
  <c r="CX21" i="2421"/>
  <c r="CZ21" i="2421"/>
  <c r="CX20" i="2421"/>
  <c r="CZ20" i="2421"/>
  <c r="CX19" i="2421"/>
  <c r="CZ19" i="2421"/>
  <c r="CX26" i="2421"/>
  <c r="CZ26" i="2421"/>
  <c r="CX74" i="2421"/>
  <c r="CZ74" i="2421"/>
  <c r="CX84" i="2421"/>
  <c r="CZ84" i="2421"/>
  <c r="CX102" i="2421"/>
  <c r="CZ102" i="2421"/>
  <c r="CX42" i="2421"/>
  <c r="CZ42" i="2421"/>
  <c r="CX87" i="2421"/>
  <c r="CZ87" i="2421"/>
  <c r="CX35" i="2421"/>
  <c r="CZ35" i="2421"/>
  <c r="OL69" i="2421"/>
  <c r="ON69" i="2421"/>
  <c r="OL77" i="2421"/>
  <c r="ON77" i="2421"/>
  <c r="OL51" i="2421"/>
  <c r="ON51" i="2421"/>
  <c r="OL113" i="2421"/>
  <c r="ON113" i="2421"/>
  <c r="OL98" i="2421"/>
  <c r="ON98" i="2421"/>
  <c r="OL28" i="2421"/>
  <c r="ON28" i="2421"/>
  <c r="OL108" i="2421"/>
  <c r="ON108" i="2421"/>
  <c r="OL30" i="2421"/>
  <c r="ON30" i="2421"/>
  <c r="OL31" i="2421"/>
  <c r="ON31" i="2421"/>
  <c r="OL40" i="2421"/>
  <c r="ON40" i="2421"/>
  <c r="OL68" i="2421"/>
  <c r="ON68" i="2421"/>
  <c r="ON22" i="2421"/>
  <c r="OL22" i="2421"/>
  <c r="HN52" i="2421"/>
  <c r="HP52" i="2421"/>
  <c r="HN69" i="2421"/>
  <c r="HP69" i="2421"/>
  <c r="HN39" i="2421"/>
  <c r="HP39" i="2421"/>
  <c r="HN102" i="2421"/>
  <c r="HP102" i="2421"/>
  <c r="HN74" i="2421"/>
  <c r="HP74" i="2421"/>
  <c r="HN76" i="2421"/>
  <c r="HP76" i="2421"/>
  <c r="HN75" i="2421"/>
  <c r="HP75" i="2421"/>
  <c r="HN68" i="2421"/>
  <c r="HP68" i="2421"/>
  <c r="HN62" i="2421"/>
  <c r="HP62" i="2421"/>
  <c r="HN92" i="2421"/>
  <c r="HP92" i="2421"/>
  <c r="HN38" i="2421"/>
  <c r="HP38" i="2421"/>
  <c r="HN101" i="2421"/>
  <c r="HP101" i="2421"/>
  <c r="HP25" i="2421"/>
  <c r="HN25" i="2421"/>
  <c r="HN32" i="2421"/>
  <c r="HP32" i="2421"/>
  <c r="HN17" i="2421"/>
  <c r="HP17" i="2421"/>
  <c r="KZ113" i="2421"/>
  <c r="LB113" i="2421"/>
  <c r="KZ97" i="2421"/>
  <c r="LB97" i="2421"/>
  <c r="KZ102" i="2421"/>
  <c r="LB102" i="2421"/>
  <c r="KZ75" i="2421"/>
  <c r="LB75" i="2421"/>
  <c r="KZ80" i="2421"/>
  <c r="LB80" i="2421"/>
  <c r="KZ44" i="2421"/>
  <c r="LB44" i="2421"/>
  <c r="KZ87" i="2421"/>
  <c r="LB87" i="2421"/>
  <c r="KZ20" i="2421"/>
  <c r="LB20" i="2421"/>
  <c r="KZ53" i="2421"/>
  <c r="LB53" i="2421"/>
  <c r="KZ96" i="2421"/>
  <c r="LB96" i="2421"/>
  <c r="KZ106" i="2421"/>
  <c r="LB106" i="2421"/>
  <c r="KZ107" i="2421"/>
  <c r="LB107" i="2421"/>
  <c r="KZ108" i="2421"/>
  <c r="LB108" i="2421"/>
  <c r="IR46" i="2421"/>
  <c r="IT46" i="2421"/>
  <c r="IR89" i="2421"/>
  <c r="IT89" i="2421"/>
  <c r="IR20" i="2421"/>
  <c r="IT20" i="2421"/>
  <c r="IR55" i="2421"/>
  <c r="IT55" i="2421"/>
  <c r="IR98" i="2421"/>
  <c r="IT98" i="2421"/>
  <c r="IR67" i="2421"/>
  <c r="IT67" i="2421"/>
  <c r="IR108" i="2421"/>
  <c r="IT108" i="2421"/>
  <c r="IT33" i="2421"/>
  <c r="IR33" i="2421"/>
  <c r="IC43" i="2421"/>
  <c r="IE43" i="2421"/>
  <c r="IC112" i="2421"/>
  <c r="IE112" i="2421"/>
  <c r="IC53" i="2421"/>
  <c r="IE53" i="2421"/>
  <c r="IC113" i="2421"/>
  <c r="IE113" i="2421"/>
  <c r="IC49" i="2421"/>
  <c r="IE49" i="2421"/>
  <c r="IC48" i="2421"/>
  <c r="IE48" i="2421"/>
  <c r="IC47" i="2421"/>
  <c r="IE47" i="2421"/>
  <c r="IC62" i="2421"/>
  <c r="IE62" i="2421"/>
  <c r="IC45" i="2421"/>
  <c r="IE45" i="2421"/>
  <c r="IC110" i="2421"/>
  <c r="IE110" i="2421"/>
  <c r="IC61" i="2421"/>
  <c r="IE61" i="2421"/>
  <c r="IC111" i="2421"/>
  <c r="IE111" i="2421"/>
  <c r="IC18" i="2421"/>
  <c r="IE18" i="2421"/>
  <c r="GY65" i="2421"/>
  <c r="HA65" i="2421"/>
  <c r="GY105" i="2421"/>
  <c r="HA105" i="2421"/>
  <c r="GY19" i="2421"/>
  <c r="HA19" i="2421"/>
  <c r="GY53" i="2421"/>
  <c r="HA53" i="2421"/>
  <c r="GY22" i="2421"/>
  <c r="HA22" i="2421"/>
  <c r="CI26" i="2421"/>
  <c r="CK26" i="2421"/>
  <c r="CI59" i="2421"/>
  <c r="CK59" i="2421"/>
  <c r="CI101" i="2421"/>
  <c r="CK101" i="2421"/>
  <c r="CI68" i="2421"/>
  <c r="CK68" i="2421"/>
  <c r="CI110" i="2421"/>
  <c r="CK110" i="2421"/>
  <c r="CI31" i="2421"/>
  <c r="CK31" i="2421"/>
  <c r="CI77" i="2421"/>
  <c r="CK77" i="2421"/>
  <c r="CI40" i="2421"/>
  <c r="CK40" i="2421"/>
  <c r="CI56" i="2421"/>
  <c r="CK56" i="2421"/>
  <c r="CI60" i="2421"/>
  <c r="CK60" i="2421"/>
  <c r="CI46" i="2421"/>
  <c r="CK46" i="2421"/>
  <c r="CK17" i="2421"/>
  <c r="CI17" i="2421"/>
  <c r="QT30" i="2421"/>
  <c r="QV30" i="2421"/>
  <c r="JV20" i="2421"/>
  <c r="JX20" i="2421"/>
  <c r="JV34" i="2421"/>
  <c r="JX34" i="2421"/>
  <c r="JV74" i="2421"/>
  <c r="JX74" i="2421"/>
  <c r="FF19" i="2421"/>
  <c r="FH19" i="2421"/>
  <c r="FF63" i="2421"/>
  <c r="FH63" i="2421"/>
  <c r="FF95" i="2421"/>
  <c r="FH95" i="2421"/>
  <c r="NW68" i="2421"/>
  <c r="NY68" i="2421"/>
  <c r="NW36" i="2421"/>
  <c r="NY36" i="2421"/>
  <c r="NW54" i="2421"/>
  <c r="NY54" i="2421"/>
  <c r="MS15" i="2421"/>
  <c r="MU15" i="2421"/>
  <c r="MS93" i="2421"/>
  <c r="MU93" i="2421"/>
  <c r="JG30" i="2421"/>
  <c r="JI30" i="2421"/>
  <c r="JG76" i="2421"/>
  <c r="JI76" i="2421"/>
  <c r="EB69" i="2421"/>
  <c r="ED69" i="2421"/>
  <c r="EB113" i="2421"/>
  <c r="ED113" i="2421"/>
  <c r="EB32" i="2421"/>
  <c r="ED32" i="2421"/>
  <c r="GJ20" i="2421"/>
  <c r="GL20" i="2421"/>
  <c r="GJ90" i="2421"/>
  <c r="GL90" i="2421"/>
  <c r="GJ86" i="2421"/>
  <c r="GL86" i="2421"/>
  <c r="FU42" i="2421"/>
  <c r="FW42" i="2421"/>
  <c r="FU36" i="2421"/>
  <c r="FW36" i="2421"/>
  <c r="FU90" i="2421"/>
  <c r="FW90" i="2421"/>
  <c r="QE44" i="2421"/>
  <c r="QG44" i="2421"/>
  <c r="QE75" i="2421"/>
  <c r="QG75" i="2421"/>
  <c r="MD30" i="2421"/>
  <c r="MF30" i="2421"/>
  <c r="MD85" i="2421"/>
  <c r="MF85" i="2421"/>
  <c r="MD29" i="2421"/>
  <c r="MF29" i="2421"/>
  <c r="RI87" i="2421"/>
  <c r="RK87" i="2421"/>
  <c r="RI46" i="2421"/>
  <c r="RK46" i="2421"/>
  <c r="KK35" i="2421"/>
  <c r="KM35" i="2421"/>
  <c r="KK75" i="2421"/>
  <c r="KM75" i="2421"/>
  <c r="PP77" i="2421"/>
  <c r="PR77" i="2421"/>
  <c r="PP31" i="2421"/>
  <c r="PR31" i="2421"/>
  <c r="DM83" i="2421"/>
  <c r="DO83" i="2421"/>
  <c r="DM58" i="2421"/>
  <c r="DO58" i="2421"/>
  <c r="DM68" i="2421"/>
  <c r="DO68" i="2421"/>
  <c r="LO35" i="2421"/>
  <c r="LQ35" i="2421"/>
  <c r="LQ33" i="2421"/>
  <c r="LO33" i="2421"/>
  <c r="CX58" i="2421"/>
  <c r="CZ58" i="2421"/>
  <c r="CX41" i="2421"/>
  <c r="CZ41" i="2421"/>
  <c r="CX15" i="2421"/>
  <c r="CZ15" i="2421"/>
  <c r="OL79" i="2421"/>
  <c r="ON79" i="2421"/>
  <c r="OL60" i="2421"/>
  <c r="ON60" i="2421"/>
  <c r="OL45" i="2421"/>
  <c r="ON45" i="2421"/>
  <c r="HN71" i="2421"/>
  <c r="HP71" i="2421"/>
  <c r="KZ73" i="2421"/>
  <c r="LB73" i="2421"/>
  <c r="KZ48" i="2421"/>
  <c r="LB48" i="2421"/>
  <c r="IR99" i="2421"/>
  <c r="IT99" i="2421"/>
  <c r="IR109" i="2421"/>
  <c r="IT109" i="2421"/>
  <c r="IC22" i="2421"/>
  <c r="IE22" i="2421"/>
  <c r="IC36" i="2421"/>
  <c r="IE36" i="2421"/>
  <c r="GY66" i="2421"/>
  <c r="HA66" i="2421"/>
  <c r="GY106" i="2421"/>
  <c r="HA106" i="2421"/>
  <c r="QT40" i="2421"/>
  <c r="QV40" i="2421"/>
  <c r="QT21" i="2421"/>
  <c r="QV21" i="2421"/>
  <c r="QT28" i="2421"/>
  <c r="QV28" i="2421"/>
  <c r="QT50" i="2421"/>
  <c r="QV50" i="2421"/>
  <c r="QT61" i="2421"/>
  <c r="QV61" i="2421"/>
  <c r="QT94" i="2421"/>
  <c r="QV94" i="2421"/>
  <c r="QT95" i="2421"/>
  <c r="QV95" i="2421"/>
  <c r="QT64" i="2421"/>
  <c r="QV64" i="2421"/>
  <c r="QT96" i="2421"/>
  <c r="QV96" i="2421"/>
  <c r="QT54" i="2421"/>
  <c r="QV54" i="2421"/>
  <c r="QT89" i="2421"/>
  <c r="QV89" i="2421"/>
  <c r="QT55" i="2421"/>
  <c r="QV55" i="2421"/>
  <c r="QT90" i="2421"/>
  <c r="QV90" i="2421"/>
  <c r="QV17" i="2421"/>
  <c r="QT17" i="2421"/>
  <c r="JV77" i="2421"/>
  <c r="JX77" i="2421"/>
  <c r="JV52" i="2421"/>
  <c r="JX52" i="2421"/>
  <c r="JV68" i="2421"/>
  <c r="JX68" i="2421"/>
  <c r="JV104" i="2421"/>
  <c r="JX104" i="2421"/>
  <c r="JV25" i="2421"/>
  <c r="JX25" i="2421"/>
  <c r="JV65" i="2421"/>
  <c r="JX65" i="2421"/>
  <c r="JV97" i="2421"/>
  <c r="JX97" i="2421"/>
  <c r="JX17" i="2421"/>
  <c r="JV17" i="2421"/>
  <c r="FF105" i="2421"/>
  <c r="FH105" i="2421"/>
  <c r="FF41" i="2421"/>
  <c r="FH41" i="2421"/>
  <c r="FF16" i="2421"/>
  <c r="FH16" i="2421"/>
  <c r="FF56" i="2421"/>
  <c r="FH56" i="2421"/>
  <c r="FF34" i="2421"/>
  <c r="FH34" i="2421"/>
  <c r="FF76" i="2421"/>
  <c r="FH76" i="2421"/>
  <c r="FF15" i="2421"/>
  <c r="FH15" i="2421"/>
  <c r="FF51" i="2421"/>
  <c r="FH51" i="2421"/>
  <c r="FF92" i="2421"/>
  <c r="FH92" i="2421"/>
  <c r="FF101" i="2421"/>
  <c r="FH101" i="2421"/>
  <c r="FF24" i="2421"/>
  <c r="FH24" i="2421"/>
  <c r="FF59" i="2421"/>
  <c r="FH59" i="2421"/>
  <c r="NW105" i="2421"/>
  <c r="NY105" i="2421"/>
  <c r="NW16" i="2421"/>
  <c r="NY16" i="2421"/>
  <c r="NW75" i="2421"/>
  <c r="NY75" i="2421"/>
  <c r="NW84" i="2421"/>
  <c r="NY84" i="2421"/>
  <c r="NW55" i="2421"/>
  <c r="NY55" i="2421"/>
  <c r="NW83" i="2421"/>
  <c r="NY83" i="2421"/>
  <c r="NW32" i="2421"/>
  <c r="NY32" i="2421"/>
  <c r="NW94" i="2421"/>
  <c r="NY94" i="2421"/>
  <c r="NW18" i="2421"/>
  <c r="NY18" i="2421"/>
  <c r="NW41" i="2421"/>
  <c r="NY41" i="2421"/>
  <c r="NW103" i="2421"/>
  <c r="NY103" i="2421"/>
  <c r="NW61" i="2421"/>
  <c r="NY61" i="2421"/>
  <c r="NW56" i="2421"/>
  <c r="NY56" i="2421"/>
  <c r="MS77" i="2421"/>
  <c r="MU77" i="2421"/>
  <c r="MS85" i="2421"/>
  <c r="MU85" i="2421"/>
  <c r="MS50" i="2421"/>
  <c r="MU50" i="2421"/>
  <c r="MS70" i="2421"/>
  <c r="MU70" i="2421"/>
  <c r="MS79" i="2421"/>
  <c r="MU79" i="2421"/>
  <c r="MS64" i="2421"/>
  <c r="MU64" i="2421"/>
  <c r="MS58" i="2421"/>
  <c r="MU58" i="2421"/>
  <c r="MS19" i="2421"/>
  <c r="MU19" i="2421"/>
  <c r="MS102" i="2421"/>
  <c r="MU102" i="2421"/>
  <c r="MS34" i="2421"/>
  <c r="MU34" i="2421"/>
  <c r="MS87" i="2421"/>
  <c r="MU87" i="2421"/>
  <c r="MS68" i="2421"/>
  <c r="MU68" i="2421"/>
  <c r="MS53" i="2421"/>
  <c r="MU53" i="2421"/>
  <c r="MU61" i="2421"/>
  <c r="MS61" i="2421"/>
  <c r="JG46" i="2421"/>
  <c r="JI46" i="2421"/>
  <c r="JG112" i="2421"/>
  <c r="JI112" i="2421"/>
  <c r="JG38" i="2421"/>
  <c r="JI38" i="2421"/>
  <c r="JG80" i="2421"/>
  <c r="JI80" i="2421"/>
  <c r="JG82" i="2421"/>
  <c r="JI82" i="2421"/>
  <c r="JG89" i="2421"/>
  <c r="JI89" i="2421"/>
  <c r="JG79" i="2421"/>
  <c r="JI79" i="2421"/>
  <c r="JG69" i="2421"/>
  <c r="JI69" i="2421"/>
  <c r="JG17" i="2421"/>
  <c r="JI17" i="2421"/>
  <c r="EB61" i="2421"/>
  <c r="ED61" i="2421"/>
  <c r="EB111" i="2421"/>
  <c r="ED111" i="2421"/>
  <c r="EB50" i="2421"/>
  <c r="ED50" i="2421"/>
  <c r="EB96" i="2421"/>
  <c r="ED96" i="2421"/>
  <c r="EB57" i="2421"/>
  <c r="ED57" i="2421"/>
  <c r="EB82" i="2421"/>
  <c r="ED82" i="2421"/>
  <c r="EB72" i="2421"/>
  <c r="ED72" i="2421"/>
  <c r="EB56" i="2421"/>
  <c r="ED56" i="2421"/>
  <c r="EB100" i="2421"/>
  <c r="ED100" i="2421"/>
  <c r="EB22" i="2421"/>
  <c r="ED22" i="2421"/>
  <c r="EB58" i="2421"/>
  <c r="ED58" i="2421"/>
  <c r="EB101" i="2421"/>
  <c r="ED101" i="2421"/>
  <c r="EB20" i="2421"/>
  <c r="ED20" i="2421"/>
  <c r="EB49" i="2421"/>
  <c r="ED49" i="2421"/>
  <c r="EB94" i="2421"/>
  <c r="ED94" i="2421"/>
  <c r="GJ36" i="2421"/>
  <c r="GL36" i="2421"/>
  <c r="GJ30" i="2421"/>
  <c r="GL30" i="2421"/>
  <c r="GJ53" i="2421"/>
  <c r="GL53" i="2421"/>
  <c r="GJ46" i="2421"/>
  <c r="GL46" i="2421"/>
  <c r="GJ59" i="2421"/>
  <c r="GL59" i="2421"/>
  <c r="GJ39" i="2421"/>
  <c r="GL39" i="2421"/>
  <c r="GJ40" i="2421"/>
  <c r="GL40" i="2421"/>
  <c r="GJ64" i="2421"/>
  <c r="GL64" i="2421"/>
  <c r="GJ49" i="2421"/>
  <c r="GL49" i="2421"/>
  <c r="GJ63" i="2421"/>
  <c r="GL63" i="2421"/>
  <c r="GJ50" i="2421"/>
  <c r="GL50" i="2421"/>
  <c r="GJ67" i="2421"/>
  <c r="GL67" i="2421"/>
  <c r="GJ35" i="2421"/>
  <c r="GL35" i="2421"/>
  <c r="GJ110" i="2421"/>
  <c r="GL110" i="2421"/>
  <c r="FU93" i="2421"/>
  <c r="FW93" i="2421"/>
  <c r="FU49" i="2421"/>
  <c r="FW49" i="2421"/>
  <c r="FU108" i="2421"/>
  <c r="FW108" i="2421"/>
  <c r="FU19" i="2421"/>
  <c r="FW19" i="2421"/>
  <c r="FU111" i="2421"/>
  <c r="FW111" i="2421"/>
  <c r="FU112" i="2421"/>
  <c r="FW112" i="2421"/>
  <c r="FU113" i="2421"/>
  <c r="FW113" i="2421"/>
  <c r="QE54" i="2421"/>
  <c r="QG54" i="2421"/>
  <c r="QE104" i="2421"/>
  <c r="QG104" i="2421"/>
  <c r="QE35" i="2421"/>
  <c r="QG35" i="2421"/>
  <c r="QE70" i="2421"/>
  <c r="QG70" i="2421"/>
  <c r="QE19" i="2421"/>
  <c r="QG19" i="2421"/>
  <c r="QE63" i="2421"/>
  <c r="QG63" i="2421"/>
  <c r="QE106" i="2421"/>
  <c r="QG106" i="2421"/>
  <c r="QE34" i="2421"/>
  <c r="QG34" i="2421"/>
  <c r="QE56" i="2421"/>
  <c r="QG56" i="2421"/>
  <c r="QE99" i="2421"/>
  <c r="QG99" i="2421"/>
  <c r="QE41" i="2421"/>
  <c r="QG41" i="2421"/>
  <c r="QE92" i="2421"/>
  <c r="QG92" i="2421"/>
  <c r="QE48" i="2421"/>
  <c r="QG48" i="2421"/>
  <c r="QE83" i="2421"/>
  <c r="QG83" i="2421"/>
  <c r="MD61" i="2421"/>
  <c r="MF61" i="2421"/>
  <c r="MD48" i="2421"/>
  <c r="MF48" i="2421"/>
  <c r="MD58" i="2421"/>
  <c r="MF58" i="2421"/>
  <c r="MD112" i="2421"/>
  <c r="MF112" i="2421"/>
  <c r="MD62" i="2421"/>
  <c r="MF62" i="2421"/>
  <c r="MD113" i="2421"/>
  <c r="MF113" i="2421"/>
  <c r="MD53" i="2421"/>
  <c r="MF53" i="2421"/>
  <c r="MD57" i="2421"/>
  <c r="MF57" i="2421"/>
  <c r="MD17" i="2421"/>
  <c r="MF17" i="2421"/>
  <c r="MD64" i="2421"/>
  <c r="MF64" i="2421"/>
  <c r="MD73" i="2421"/>
  <c r="MF73" i="2421"/>
  <c r="MD95" i="2421"/>
  <c r="MF95" i="2421"/>
  <c r="RI97" i="2421"/>
  <c r="RK97" i="2421"/>
  <c r="RI40" i="2421"/>
  <c r="RK40" i="2421"/>
  <c r="RI68" i="2421"/>
  <c r="RK68" i="2421"/>
  <c r="RI47" i="2421"/>
  <c r="RK47" i="2421"/>
  <c r="RI57" i="2421"/>
  <c r="RK57" i="2421"/>
  <c r="RI107" i="2421"/>
  <c r="RK107" i="2421"/>
  <c r="RI58" i="2421"/>
  <c r="RK58" i="2421"/>
  <c r="RI108" i="2421"/>
  <c r="RK108" i="2421"/>
  <c r="RI86" i="2421"/>
  <c r="RK86" i="2421"/>
  <c r="RI48" i="2421"/>
  <c r="RK48" i="2421"/>
  <c r="RI61" i="2421"/>
  <c r="RK61" i="2421"/>
  <c r="RI111" i="2421"/>
  <c r="RK111" i="2421"/>
  <c r="RI104" i="2421"/>
  <c r="RK104" i="2421"/>
  <c r="RK19" i="2421"/>
  <c r="RI19" i="2421"/>
  <c r="RI65" i="2421"/>
  <c r="RK65" i="2421"/>
  <c r="RI82" i="2421"/>
  <c r="RK82" i="2421"/>
  <c r="KK46" i="2421"/>
  <c r="KM46" i="2421"/>
  <c r="KK71" i="2421"/>
  <c r="KM71" i="2421"/>
  <c r="KK93" i="2421"/>
  <c r="KM93" i="2421"/>
  <c r="KK48" i="2421"/>
  <c r="KM48" i="2421"/>
  <c r="KK47" i="2421"/>
  <c r="KM47" i="2421"/>
  <c r="KK62" i="2421"/>
  <c r="KM62" i="2421"/>
  <c r="KK64" i="2421"/>
  <c r="KM64" i="2421"/>
  <c r="KK57" i="2421"/>
  <c r="KM57" i="2421"/>
  <c r="KK43" i="2421"/>
  <c r="KM43" i="2421"/>
  <c r="KK58" i="2421"/>
  <c r="KM58" i="2421"/>
  <c r="KK42" i="2421"/>
  <c r="KM42" i="2421"/>
  <c r="KK105" i="2421"/>
  <c r="KM105" i="2421"/>
  <c r="KK49" i="2421"/>
  <c r="KM49" i="2421"/>
  <c r="KK78" i="2421"/>
  <c r="KM78" i="2421"/>
  <c r="KM18" i="2421"/>
  <c r="KK18" i="2421"/>
  <c r="PP97" i="2421"/>
  <c r="PR97" i="2421"/>
  <c r="PP64" i="2421"/>
  <c r="PR64" i="2421"/>
  <c r="PP99" i="2421"/>
  <c r="PR99" i="2421"/>
  <c r="PP92" i="2421"/>
  <c r="PR92" i="2421"/>
  <c r="PP29" i="2421"/>
  <c r="PR29" i="2421"/>
  <c r="PP75" i="2421"/>
  <c r="PR75" i="2421"/>
  <c r="PP60" i="2421"/>
  <c r="PR60" i="2421"/>
  <c r="PP110" i="2421"/>
  <c r="PR110" i="2421"/>
  <c r="PP87" i="2421"/>
  <c r="PR87" i="2421"/>
  <c r="PP45" i="2421"/>
  <c r="PR45" i="2421"/>
  <c r="PP70" i="2421"/>
  <c r="PR70" i="2421"/>
  <c r="PP33" i="2421"/>
  <c r="PR33" i="2421"/>
  <c r="PP40" i="2421"/>
  <c r="PR40" i="2421"/>
  <c r="PP28" i="2421"/>
  <c r="PR28" i="2421"/>
  <c r="PP14" i="2421"/>
  <c r="PR14" i="2421"/>
  <c r="DM42" i="2421"/>
  <c r="DO42" i="2421"/>
  <c r="DM23" i="2421"/>
  <c r="DO23" i="2421"/>
  <c r="DM34" i="2421"/>
  <c r="DO34" i="2421"/>
  <c r="DM49" i="2421"/>
  <c r="DO49" i="2421"/>
  <c r="DM100" i="2421"/>
  <c r="DO100" i="2421"/>
  <c r="DM35" i="2421"/>
  <c r="DO35" i="2421"/>
  <c r="DM86" i="2421"/>
  <c r="DO86" i="2421"/>
  <c r="DM55" i="2421"/>
  <c r="DO55" i="2421"/>
  <c r="LO87" i="2421"/>
  <c r="LQ87" i="2421"/>
  <c r="LO25" i="2421"/>
  <c r="LQ25" i="2421"/>
  <c r="LO78" i="2421"/>
  <c r="LQ78" i="2421"/>
  <c r="LO80" i="2421"/>
  <c r="LQ80" i="2421"/>
  <c r="LO79" i="2421"/>
  <c r="LQ79" i="2421"/>
  <c r="LO92" i="2421"/>
  <c r="LQ92" i="2421"/>
  <c r="LO20" i="2421"/>
  <c r="LQ20" i="2421"/>
  <c r="LQ50" i="2421"/>
  <c r="LO50" i="2421"/>
  <c r="LQ29" i="2421"/>
  <c r="LO29" i="2421"/>
  <c r="CX59" i="2421"/>
  <c r="CZ59" i="2421"/>
  <c r="CX55" i="2421"/>
  <c r="CZ55" i="2421"/>
  <c r="CX18" i="2421"/>
  <c r="CZ18" i="2421"/>
  <c r="CX67" i="2421"/>
  <c r="CZ67" i="2421"/>
  <c r="CX110" i="2421"/>
  <c r="CZ110" i="2421"/>
  <c r="CX50" i="2421"/>
  <c r="CZ50" i="2421"/>
  <c r="CX95" i="2421"/>
  <c r="CZ95" i="2421"/>
  <c r="CX43" i="2421"/>
  <c r="CZ43" i="2421"/>
  <c r="CX88" i="2421"/>
  <c r="CZ88" i="2421"/>
  <c r="CX36" i="2421"/>
  <c r="CZ36" i="2421"/>
  <c r="OL49" i="2421"/>
  <c r="ON49" i="2421"/>
  <c r="OL26" i="2421"/>
  <c r="ON26" i="2421"/>
  <c r="OL106" i="2421"/>
  <c r="ON106" i="2421"/>
  <c r="OL36" i="2421"/>
  <c r="ON36" i="2421"/>
  <c r="OL83" i="2421"/>
  <c r="ON83" i="2421"/>
  <c r="OL58" i="2421"/>
  <c r="ON58" i="2421"/>
  <c r="OL38" i="2421"/>
  <c r="ON38" i="2421"/>
  <c r="OL66" i="2421"/>
  <c r="ON66" i="2421"/>
  <c r="OL39" i="2421"/>
  <c r="ON39" i="2421"/>
  <c r="OL67" i="2421"/>
  <c r="ON67" i="2421"/>
  <c r="OL76" i="2421"/>
  <c r="ON76" i="2421"/>
  <c r="OL14" i="2421"/>
  <c r="ON14" i="2421"/>
  <c r="HN61" i="2421"/>
  <c r="HP61" i="2421"/>
  <c r="HN47" i="2421"/>
  <c r="HP47" i="2421"/>
  <c r="HN110" i="2421"/>
  <c r="HP110" i="2421"/>
  <c r="HN66" i="2421"/>
  <c r="HP66" i="2421"/>
  <c r="HN67" i="2421"/>
  <c r="HP67" i="2421"/>
  <c r="HN60" i="2421"/>
  <c r="HP60" i="2421"/>
  <c r="HN90" i="2421"/>
  <c r="HP90" i="2421"/>
  <c r="HN37" i="2421"/>
  <c r="HP37" i="2421"/>
  <c r="HN100" i="2421"/>
  <c r="HP100" i="2421"/>
  <c r="HN26" i="2421"/>
  <c r="HP26" i="2421"/>
  <c r="HN46" i="2421"/>
  <c r="HP46" i="2421"/>
  <c r="HN109" i="2421"/>
  <c r="HP109" i="2421"/>
  <c r="HN31" i="2421"/>
  <c r="HP31" i="2421"/>
  <c r="HN85" i="2421"/>
  <c r="HP85" i="2421"/>
  <c r="KZ28" i="2421"/>
  <c r="LB28" i="2421"/>
  <c r="KZ21" i="2421"/>
  <c r="LB21" i="2421"/>
  <c r="KZ105" i="2421"/>
  <c r="LB105" i="2421"/>
  <c r="KZ110" i="2421"/>
  <c r="LB110" i="2421"/>
  <c r="KZ52" i="2421"/>
  <c r="LB52" i="2421"/>
  <c r="KZ95" i="2421"/>
  <c r="LB95" i="2421"/>
  <c r="KZ104" i="2421"/>
  <c r="LB104" i="2421"/>
  <c r="KZ71" i="2421"/>
  <c r="LB71" i="2421"/>
  <c r="IR30" i="2421"/>
  <c r="IT30" i="2421"/>
  <c r="IR58" i="2421"/>
  <c r="IT58" i="2421"/>
  <c r="IR21" i="2421"/>
  <c r="IT21" i="2421"/>
  <c r="IR54" i="2421"/>
  <c r="IT54" i="2421"/>
  <c r="IR97" i="2421"/>
  <c r="IT97" i="2421"/>
  <c r="IR78" i="2421"/>
  <c r="IT78" i="2421"/>
  <c r="IR106" i="2421"/>
  <c r="IT106" i="2421"/>
  <c r="IR68" i="2421"/>
  <c r="IT68" i="2421"/>
  <c r="IR32" i="2421"/>
  <c r="IT32" i="2421"/>
  <c r="IR83" i="2421"/>
  <c r="IT83" i="2421"/>
  <c r="IR23" i="2421"/>
  <c r="IT23" i="2421"/>
  <c r="IT35" i="2421"/>
  <c r="IR35" i="2421"/>
  <c r="IC50" i="2421"/>
  <c r="IE50" i="2421"/>
  <c r="IC41" i="2421"/>
  <c r="IE41" i="2421"/>
  <c r="IC85" i="2421"/>
  <c r="IE85" i="2421"/>
  <c r="IC58" i="2421"/>
  <c r="IE58" i="2421"/>
  <c r="IC44" i="2421"/>
  <c r="IE44" i="2421"/>
  <c r="IC16" i="2421"/>
  <c r="IE16" i="2421"/>
  <c r="GY43" i="2421"/>
  <c r="HA43" i="2421"/>
  <c r="GY85" i="2421"/>
  <c r="HA85" i="2421"/>
  <c r="GY26" i="2421"/>
  <c r="HA26" i="2421"/>
  <c r="GY58" i="2421"/>
  <c r="HA58" i="2421"/>
  <c r="GY81" i="2421"/>
  <c r="HA81" i="2421"/>
  <c r="GY18" i="2421"/>
  <c r="HA18" i="2421"/>
  <c r="GY86" i="2421"/>
  <c r="HA86" i="2421"/>
  <c r="GY21" i="2421"/>
  <c r="HA21" i="2421"/>
  <c r="GY87" i="2421"/>
  <c r="HA87" i="2421"/>
  <c r="GY14" i="2421"/>
  <c r="HA14" i="2421"/>
  <c r="CI67" i="2421"/>
  <c r="CK67" i="2421"/>
  <c r="CI109" i="2421"/>
  <c r="CK109" i="2421"/>
  <c r="CI76" i="2421"/>
  <c r="CK76" i="2421"/>
  <c r="CI39" i="2421"/>
  <c r="CK39" i="2421"/>
  <c r="CI54" i="2421"/>
  <c r="CK54" i="2421"/>
  <c r="CI57" i="2421"/>
  <c r="CK57" i="2421"/>
  <c r="CI79" i="2421"/>
  <c r="CK79" i="2421"/>
  <c r="CI45" i="2421"/>
  <c r="CK45" i="2421"/>
  <c r="CI19" i="2421"/>
  <c r="CK19" i="2421"/>
  <c r="QT58" i="2421"/>
  <c r="QV58" i="2421"/>
  <c r="QT36" i="2421"/>
  <c r="QV36" i="2421"/>
  <c r="JV63" i="2421"/>
  <c r="JX63" i="2421"/>
  <c r="JV38" i="2421"/>
  <c r="JX38" i="2421"/>
  <c r="FH25" i="2421"/>
  <c r="FF25" i="2421"/>
  <c r="NW99" i="2421"/>
  <c r="NY99" i="2421"/>
  <c r="NW80" i="2421"/>
  <c r="NY80" i="2421"/>
  <c r="MS106" i="2421"/>
  <c r="MU106" i="2421"/>
  <c r="MS21" i="2421"/>
  <c r="MU21" i="2421"/>
  <c r="MS55" i="2421"/>
  <c r="MU55" i="2421"/>
  <c r="JG31" i="2421"/>
  <c r="JI31" i="2421"/>
  <c r="JG70" i="2421"/>
  <c r="JI70" i="2421"/>
  <c r="EB46" i="2421"/>
  <c r="ED46" i="2421"/>
  <c r="FU72" i="2421"/>
  <c r="FW72" i="2421"/>
  <c r="FU35" i="2421"/>
  <c r="FW35" i="2421"/>
  <c r="FU89" i="2421"/>
  <c r="FW89" i="2421"/>
  <c r="FU91" i="2421"/>
  <c r="FW91" i="2421"/>
  <c r="QE22" i="2421"/>
  <c r="QG22" i="2421"/>
  <c r="MD39" i="2421"/>
  <c r="MF39" i="2421"/>
  <c r="MD26" i="2421"/>
  <c r="MF26" i="2421"/>
  <c r="MD109" i="2421"/>
  <c r="MF109" i="2421"/>
  <c r="RI39" i="2421"/>
  <c r="RK39" i="2421"/>
  <c r="RI69" i="2421"/>
  <c r="RK69" i="2421"/>
  <c r="KK36" i="2421"/>
  <c r="KM36" i="2421"/>
  <c r="KK104" i="2421"/>
  <c r="KM104" i="2421"/>
  <c r="KK98" i="2421"/>
  <c r="KM98" i="2421"/>
  <c r="PP35" i="2421"/>
  <c r="PR35" i="2421"/>
  <c r="PP42" i="2421"/>
  <c r="PR42" i="2421"/>
  <c r="PP96" i="2421"/>
  <c r="PR96" i="2421"/>
  <c r="DM98" i="2421"/>
  <c r="DO98" i="2421"/>
  <c r="DM103" i="2421"/>
  <c r="DO103" i="2421"/>
  <c r="LO97" i="2421"/>
  <c r="LQ97" i="2421"/>
  <c r="LO106" i="2421"/>
  <c r="LQ106" i="2421"/>
  <c r="LO57" i="2421"/>
  <c r="LQ57" i="2421"/>
  <c r="CX101" i="2421"/>
  <c r="CZ101" i="2421"/>
  <c r="CX80" i="2421"/>
  <c r="CZ80" i="2421"/>
  <c r="OL59" i="2421"/>
  <c r="ON59" i="2421"/>
  <c r="OL92" i="2421"/>
  <c r="ON92" i="2421"/>
  <c r="OL110" i="2421"/>
  <c r="ON110" i="2421"/>
  <c r="HN40" i="2421"/>
  <c r="HP40" i="2421"/>
  <c r="KZ19" i="2421"/>
  <c r="LB19" i="2421"/>
  <c r="IC96" i="2421"/>
  <c r="IE96" i="2421"/>
  <c r="IC98" i="2421"/>
  <c r="IE98" i="2421"/>
  <c r="IC99" i="2421"/>
  <c r="IE99" i="2421"/>
  <c r="IC101" i="2421"/>
  <c r="IE101" i="2421"/>
  <c r="IC95" i="2421"/>
  <c r="IE95" i="2421"/>
  <c r="GY34" i="2421"/>
  <c r="HA34" i="2421"/>
  <c r="GY36" i="2421"/>
  <c r="HA36" i="2421"/>
  <c r="QT33" i="2421"/>
  <c r="QV33" i="2421"/>
  <c r="QT75" i="2421"/>
  <c r="QV75" i="2421"/>
  <c r="QT108" i="2421"/>
  <c r="QV108" i="2421"/>
  <c r="QT59" i="2421"/>
  <c r="QV59" i="2421"/>
  <c r="QT93" i="2421"/>
  <c r="QV93" i="2421"/>
  <c r="QT70" i="2421"/>
  <c r="QV70" i="2421"/>
  <c r="QT102" i="2421"/>
  <c r="QV102" i="2421"/>
  <c r="QT71" i="2421"/>
  <c r="QV71" i="2421"/>
  <c r="QT103" i="2421"/>
  <c r="QV103" i="2421"/>
  <c r="QT72" i="2421"/>
  <c r="QV72" i="2421"/>
  <c r="QT104" i="2421"/>
  <c r="QV104" i="2421"/>
  <c r="QT65" i="2421"/>
  <c r="QV65" i="2421"/>
  <c r="QT97" i="2421"/>
  <c r="QV97" i="2421"/>
  <c r="QT66" i="2421"/>
  <c r="QV66" i="2421"/>
  <c r="QT98" i="2421"/>
  <c r="QV98" i="2421"/>
  <c r="QV19" i="2421"/>
  <c r="QT19" i="2421"/>
  <c r="JV49" i="2421"/>
  <c r="JX49" i="2421"/>
  <c r="JV67" i="2421"/>
  <c r="JX67" i="2421"/>
  <c r="JV40" i="2421"/>
  <c r="JX40" i="2421"/>
  <c r="JV76" i="2421"/>
  <c r="JX76" i="2421"/>
  <c r="JV56" i="2421"/>
  <c r="JX56" i="2421"/>
  <c r="JV70" i="2421"/>
  <c r="JX70" i="2421"/>
  <c r="JV112" i="2421"/>
  <c r="JX112" i="2421"/>
  <c r="JV105" i="2421"/>
  <c r="JX105" i="2421"/>
  <c r="JX21" i="2421"/>
  <c r="JV21" i="2421"/>
  <c r="FF40" i="2421"/>
  <c r="FH40" i="2421"/>
  <c r="FF89" i="2421"/>
  <c r="FH89" i="2421"/>
  <c r="FF60" i="2421"/>
  <c r="FH60" i="2421"/>
  <c r="FF67" i="2421"/>
  <c r="FH67" i="2421"/>
  <c r="FF42" i="2421"/>
  <c r="FH42" i="2421"/>
  <c r="FF84" i="2421"/>
  <c r="FH84" i="2421"/>
  <c r="FF100" i="2421"/>
  <c r="FH100" i="2421"/>
  <c r="FF109" i="2421"/>
  <c r="FH109" i="2421"/>
  <c r="FF55" i="2421"/>
  <c r="FH55" i="2421"/>
  <c r="FF57" i="2421"/>
  <c r="FH57" i="2421"/>
  <c r="FF73" i="2421"/>
  <c r="FH73" i="2421"/>
  <c r="FH29" i="2421"/>
  <c r="FF29" i="2421"/>
  <c r="NW96" i="2421"/>
  <c r="NY96" i="2421"/>
  <c r="NW42" i="2421"/>
  <c r="NY42" i="2421"/>
  <c r="NW73" i="2421"/>
  <c r="NY73" i="2421"/>
  <c r="NW81" i="2421"/>
  <c r="NY81" i="2421"/>
  <c r="NW31" i="2421"/>
  <c r="NY31" i="2421"/>
  <c r="NW93" i="2421"/>
  <c r="NY93" i="2421"/>
  <c r="NW19" i="2421"/>
  <c r="NY19" i="2421"/>
  <c r="NW40" i="2421"/>
  <c r="NY40" i="2421"/>
  <c r="NW102" i="2421"/>
  <c r="NY102" i="2421"/>
  <c r="NW58" i="2421"/>
  <c r="NY58" i="2421"/>
  <c r="NW49" i="2421"/>
  <c r="NY49" i="2421"/>
  <c r="NW111" i="2421"/>
  <c r="NY111" i="2421"/>
  <c r="NW28" i="2421"/>
  <c r="NY28" i="2421"/>
  <c r="MS105" i="2421"/>
  <c r="MU105" i="2421"/>
  <c r="MS113" i="2421"/>
  <c r="MU113" i="2421"/>
  <c r="MS46" i="2421"/>
  <c r="MU46" i="2421"/>
  <c r="MS98" i="2421"/>
  <c r="MU98" i="2421"/>
  <c r="MS72" i="2421"/>
  <c r="MU72" i="2421"/>
  <c r="MS65" i="2421"/>
  <c r="MU65" i="2421"/>
  <c r="MS59" i="2421"/>
  <c r="MU59" i="2421"/>
  <c r="MS110" i="2421"/>
  <c r="MU110" i="2421"/>
  <c r="MS26" i="2421"/>
  <c r="MU26" i="2421"/>
  <c r="MS95" i="2421"/>
  <c r="MU95" i="2421"/>
  <c r="MS41" i="2421"/>
  <c r="MU41" i="2421"/>
  <c r="MS76" i="2421"/>
  <c r="MU76" i="2421"/>
  <c r="JG36" i="2421"/>
  <c r="JI36" i="2421"/>
  <c r="JG44" i="2421"/>
  <c r="JI44" i="2421"/>
  <c r="JG85" i="2421"/>
  <c r="JI85" i="2421"/>
  <c r="JG50" i="2421"/>
  <c r="JI50" i="2421"/>
  <c r="JG28" i="2421"/>
  <c r="JI28" i="2421"/>
  <c r="JG97" i="2421"/>
  <c r="JI97" i="2421"/>
  <c r="JG91" i="2421"/>
  <c r="JI91" i="2421"/>
  <c r="JG84" i="2421"/>
  <c r="JI84" i="2421"/>
  <c r="JG83" i="2421"/>
  <c r="JI83" i="2421"/>
  <c r="JI24" i="2421"/>
  <c r="JG24" i="2421"/>
  <c r="EB36" i="2421"/>
  <c r="ED36" i="2421"/>
  <c r="EB19" i="2421"/>
  <c r="ED19" i="2421"/>
  <c r="EB85" i="2421"/>
  <c r="ED85" i="2421"/>
  <c r="EB65" i="2421"/>
  <c r="ED65" i="2421"/>
  <c r="EB108" i="2421"/>
  <c r="ED108" i="2421"/>
  <c r="EB66" i="2421"/>
  <c r="ED66" i="2421"/>
  <c r="EB109" i="2421"/>
  <c r="ED109" i="2421"/>
  <c r="EB84" i="2421"/>
  <c r="ED84" i="2421"/>
  <c r="EB102" i="2421"/>
  <c r="ED102" i="2421"/>
  <c r="GJ73" i="2421"/>
  <c r="GL73" i="2421"/>
  <c r="GJ28" i="2421"/>
  <c r="GL28" i="2421"/>
  <c r="GJ52" i="2421"/>
  <c r="GL52" i="2421"/>
  <c r="GJ104" i="2421"/>
  <c r="GL104" i="2421"/>
  <c r="GJ54" i="2421"/>
  <c r="GL54" i="2421"/>
  <c r="GJ84" i="2421"/>
  <c r="GL84" i="2421"/>
  <c r="GJ47" i="2421"/>
  <c r="GL47" i="2421"/>
  <c r="GJ61" i="2421"/>
  <c r="GL61" i="2421"/>
  <c r="GJ48" i="2421"/>
  <c r="GL48" i="2421"/>
  <c r="GJ62" i="2421"/>
  <c r="GL62" i="2421"/>
  <c r="GJ43" i="2421"/>
  <c r="GL43" i="2421"/>
  <c r="GJ76" i="2421"/>
  <c r="GL76" i="2421"/>
  <c r="FU40" i="2421"/>
  <c r="FW40" i="2421"/>
  <c r="FU64" i="2421"/>
  <c r="FW64" i="2421"/>
  <c r="FU55" i="2421"/>
  <c r="FW55" i="2421"/>
  <c r="FU33" i="2421"/>
  <c r="FW33" i="2421"/>
  <c r="FU76" i="2421"/>
  <c r="FW76" i="2421"/>
  <c r="QE52" i="2421"/>
  <c r="QG52" i="2421"/>
  <c r="QE71" i="2421"/>
  <c r="QG71" i="2421"/>
  <c r="QE26" i="2421"/>
  <c r="QG26" i="2421"/>
  <c r="QE64" i="2421"/>
  <c r="QG64" i="2421"/>
  <c r="QE107" i="2421"/>
  <c r="QG107" i="2421"/>
  <c r="QE33" i="2421"/>
  <c r="QG33" i="2421"/>
  <c r="QE57" i="2421"/>
  <c r="QG57" i="2421"/>
  <c r="QE100" i="2421"/>
  <c r="QG100" i="2421"/>
  <c r="QE40" i="2421"/>
  <c r="QG40" i="2421"/>
  <c r="QE93" i="2421"/>
  <c r="QG93" i="2421"/>
  <c r="QE47" i="2421"/>
  <c r="QG47" i="2421"/>
  <c r="QE86" i="2421"/>
  <c r="QG86" i="2421"/>
  <c r="MD50" i="2421"/>
  <c r="MF50" i="2421"/>
  <c r="MD56" i="2421"/>
  <c r="MF56" i="2421"/>
  <c r="MD60" i="2421"/>
  <c r="MF60" i="2421"/>
  <c r="MD84" i="2421"/>
  <c r="MF84" i="2421"/>
  <c r="MD63" i="2421"/>
  <c r="MF63" i="2421"/>
  <c r="MD72" i="2421"/>
  <c r="MF72" i="2421"/>
  <c r="MD86" i="2421"/>
  <c r="MF86" i="2421"/>
  <c r="MD103" i="2421"/>
  <c r="MF103" i="2421"/>
  <c r="RI53" i="2421"/>
  <c r="RK53" i="2421"/>
  <c r="RI64" i="2421"/>
  <c r="RK64" i="2421"/>
  <c r="RI56" i="2421"/>
  <c r="RK56" i="2421"/>
  <c r="RI113" i="2421"/>
  <c r="RK113" i="2421"/>
  <c r="RI32" i="2421"/>
  <c r="RK32" i="2421"/>
  <c r="RI71" i="2421"/>
  <c r="RK71" i="2421"/>
  <c r="RI75" i="2421"/>
  <c r="RK75" i="2421"/>
  <c r="RI94" i="2421"/>
  <c r="RK94" i="2421"/>
  <c r="RI28" i="2421"/>
  <c r="RK28" i="2421"/>
  <c r="RI70" i="2421"/>
  <c r="RK70" i="2421"/>
  <c r="RI62" i="2421"/>
  <c r="RK62" i="2421"/>
  <c r="RI112" i="2421"/>
  <c r="RK112" i="2421"/>
  <c r="RK22" i="2421"/>
  <c r="RI22" i="2421"/>
  <c r="RI23" i="2421"/>
  <c r="RK23" i="2421"/>
  <c r="RK16" i="2421"/>
  <c r="RI16" i="2421"/>
  <c r="KK26" i="2421"/>
  <c r="KM26" i="2421"/>
  <c r="KK80" i="2421"/>
  <c r="KM80" i="2421"/>
  <c r="KK70" i="2421"/>
  <c r="KM70" i="2421"/>
  <c r="KK72" i="2421"/>
  <c r="KM72" i="2421"/>
  <c r="KK65" i="2421"/>
  <c r="KM65" i="2421"/>
  <c r="KK66" i="2421"/>
  <c r="KM66" i="2421"/>
  <c r="KK113" i="2421"/>
  <c r="KM113" i="2421"/>
  <c r="KK41" i="2421"/>
  <c r="KM41" i="2421"/>
  <c r="KK60" i="2421"/>
  <c r="KM60" i="2421"/>
  <c r="KM19" i="2421"/>
  <c r="KK19" i="2421"/>
  <c r="PP18" i="2421"/>
  <c r="PR18" i="2421"/>
  <c r="PP72" i="2421"/>
  <c r="PR72" i="2421"/>
  <c r="PP57" i="2421"/>
  <c r="PR57" i="2421"/>
  <c r="PP107" i="2421"/>
  <c r="PR107" i="2421"/>
  <c r="PP100" i="2421"/>
  <c r="PR100" i="2421"/>
  <c r="PP68" i="2421"/>
  <c r="PR68" i="2421"/>
  <c r="PP95" i="2421"/>
  <c r="PR95" i="2421"/>
  <c r="PP21" i="2421"/>
  <c r="PR21" i="2421"/>
  <c r="PP85" i="2421"/>
  <c r="PR85" i="2421"/>
  <c r="PP25" i="2421"/>
  <c r="PR25" i="2421"/>
  <c r="PP32" i="2421"/>
  <c r="PR32" i="2421"/>
  <c r="PP48" i="2421"/>
  <c r="PR48" i="2421"/>
  <c r="PP20" i="2421"/>
  <c r="PR20" i="2421"/>
  <c r="PP15" i="2421"/>
  <c r="PR15" i="2421"/>
  <c r="DM91" i="2421"/>
  <c r="DO91" i="2421"/>
  <c r="DM71" i="2421"/>
  <c r="DO71" i="2421"/>
  <c r="DM57" i="2421"/>
  <c r="DO57" i="2421"/>
  <c r="DM80" i="2421"/>
  <c r="DO80" i="2421"/>
  <c r="DM63" i="2421"/>
  <c r="DO63" i="2421"/>
  <c r="DM64" i="2421"/>
  <c r="DO64" i="2421"/>
  <c r="DM108" i="2421"/>
  <c r="DO108" i="2421"/>
  <c r="DM15" i="2421"/>
  <c r="DO15" i="2421"/>
  <c r="DM43" i="2421"/>
  <c r="DO43" i="2421"/>
  <c r="DM94" i="2421"/>
  <c r="DO94" i="2421"/>
  <c r="DM14" i="2421"/>
  <c r="DO14" i="2421"/>
  <c r="DM29" i="2421"/>
  <c r="DO29" i="2421"/>
  <c r="DM30" i="2421"/>
  <c r="DO30" i="2421"/>
  <c r="DM76" i="2421"/>
  <c r="DO76" i="2421"/>
  <c r="LO93" i="2421"/>
  <c r="LQ93" i="2421"/>
  <c r="LO86" i="2421"/>
  <c r="LQ86" i="2421"/>
  <c r="LO18" i="2421"/>
  <c r="LQ18" i="2421"/>
  <c r="LO95" i="2421"/>
  <c r="LQ95" i="2421"/>
  <c r="LO17" i="2421"/>
  <c r="LQ17" i="2421"/>
  <c r="LO36" i="2421"/>
  <c r="LQ36" i="2421"/>
  <c r="LO91" i="2421"/>
  <c r="LQ91" i="2421"/>
  <c r="LO41" i="2421"/>
  <c r="LQ41" i="2421"/>
  <c r="LO84" i="2421"/>
  <c r="LQ84" i="2421"/>
  <c r="LO100" i="2421"/>
  <c r="LQ100" i="2421"/>
  <c r="LQ32" i="2421"/>
  <c r="LO32" i="2421"/>
  <c r="LO38" i="2421"/>
  <c r="LQ38" i="2421"/>
  <c r="CX37" i="2421"/>
  <c r="CZ37" i="2421"/>
  <c r="CX77" i="2421"/>
  <c r="CZ77" i="2421"/>
  <c r="CX38" i="2421"/>
  <c r="CZ38" i="2421"/>
  <c r="CX79" i="2421"/>
  <c r="CZ79" i="2421"/>
  <c r="CX31" i="2421"/>
  <c r="CZ31" i="2421"/>
  <c r="CX25" i="2421"/>
  <c r="CZ25" i="2421"/>
  <c r="CX75" i="2421"/>
  <c r="CZ75" i="2421"/>
  <c r="CX60" i="2421"/>
  <c r="CZ60" i="2421"/>
  <c r="CX103" i="2421"/>
  <c r="CZ103" i="2421"/>
  <c r="CX51" i="2421"/>
  <c r="CZ51" i="2421"/>
  <c r="CX96" i="2421"/>
  <c r="CZ96" i="2421"/>
  <c r="CX44" i="2421"/>
  <c r="CZ44" i="2421"/>
  <c r="CX89" i="2421"/>
  <c r="CZ89" i="2421"/>
  <c r="OL52" i="2421"/>
  <c r="ON52" i="2421"/>
  <c r="OL34" i="2421"/>
  <c r="ON34" i="2421"/>
  <c r="OL54" i="2421"/>
  <c r="ON54" i="2421"/>
  <c r="OL44" i="2421"/>
  <c r="ON44" i="2421"/>
  <c r="OL72" i="2421"/>
  <c r="ON72" i="2421"/>
  <c r="OL29" i="2421"/>
  <c r="ON29" i="2421"/>
  <c r="OL74" i="2421"/>
  <c r="ON74" i="2421"/>
  <c r="OL75" i="2421"/>
  <c r="ON75" i="2421"/>
  <c r="OL50" i="2421"/>
  <c r="ON50" i="2421"/>
  <c r="OL87" i="2421"/>
  <c r="ON87" i="2421"/>
  <c r="ON20" i="2421"/>
  <c r="OL20" i="2421"/>
  <c r="HN28" i="2421"/>
  <c r="HP28" i="2421"/>
  <c r="HN72" i="2421"/>
  <c r="HP72" i="2421"/>
  <c r="HN58" i="2421"/>
  <c r="HP58" i="2421"/>
  <c r="HN88" i="2421"/>
  <c r="HP88" i="2421"/>
  <c r="HN59" i="2421"/>
  <c r="HP59" i="2421"/>
  <c r="HN89" i="2421"/>
  <c r="HP89" i="2421"/>
  <c r="HN35" i="2421"/>
  <c r="HP35" i="2421"/>
  <c r="HN98" i="2421"/>
  <c r="HP98" i="2421"/>
  <c r="HN45" i="2421"/>
  <c r="HP45" i="2421"/>
  <c r="HN108" i="2421"/>
  <c r="HP108" i="2421"/>
  <c r="HN79" i="2421"/>
  <c r="HP79" i="2421"/>
  <c r="HN14" i="2421"/>
  <c r="HP14" i="2421"/>
  <c r="HP16" i="2421"/>
  <c r="HN16" i="2421"/>
  <c r="KZ51" i="2421"/>
  <c r="LB51" i="2421"/>
  <c r="KZ27" i="2421"/>
  <c r="LB27" i="2421"/>
  <c r="KZ25" i="2421"/>
  <c r="LB25" i="2421"/>
  <c r="KZ103" i="2421"/>
  <c r="LB103" i="2421"/>
  <c r="KZ112" i="2421"/>
  <c r="LB112" i="2421"/>
  <c r="KZ79" i="2421"/>
  <c r="LB79" i="2421"/>
  <c r="KZ22" i="2421"/>
  <c r="LB22" i="2421"/>
  <c r="IR22" i="2421"/>
  <c r="IT22" i="2421"/>
  <c r="IR37" i="2421"/>
  <c r="IT37" i="2421"/>
  <c r="IR74" i="2421"/>
  <c r="IT74" i="2421"/>
  <c r="IR105" i="2421"/>
  <c r="IT105" i="2421"/>
  <c r="IR66" i="2421"/>
  <c r="IT66" i="2421"/>
  <c r="IR34" i="2421"/>
  <c r="IT34" i="2421"/>
  <c r="IR76" i="2421"/>
  <c r="IT76" i="2421"/>
  <c r="IR79" i="2421"/>
  <c r="IT79" i="2421"/>
  <c r="IR43" i="2421"/>
  <c r="IT43" i="2421"/>
  <c r="IR86" i="2421"/>
  <c r="IT86" i="2421"/>
  <c r="IR15" i="2421"/>
  <c r="IT15" i="2421"/>
  <c r="IC80" i="2421"/>
  <c r="IE80" i="2421"/>
  <c r="IC82" i="2421"/>
  <c r="IE82" i="2421"/>
  <c r="IC72" i="2421"/>
  <c r="IE72" i="2421"/>
  <c r="IC65" i="2421"/>
  <c r="IE65" i="2421"/>
  <c r="IC54" i="2421"/>
  <c r="IE54" i="2421"/>
  <c r="IE19" i="2421"/>
  <c r="IC19" i="2421"/>
  <c r="GY104" i="2421"/>
  <c r="HA104" i="2421"/>
  <c r="GY42" i="2421"/>
  <c r="HA42" i="2421"/>
  <c r="GY88" i="2421"/>
  <c r="HA88" i="2421"/>
  <c r="GY79" i="2421"/>
  <c r="HA79" i="2421"/>
  <c r="GY52" i="2421"/>
  <c r="HA52" i="2421"/>
  <c r="GY92" i="2421"/>
  <c r="HA92" i="2421"/>
  <c r="GY23" i="2421"/>
  <c r="HA23" i="2421"/>
  <c r="GY83" i="2421"/>
  <c r="HA83" i="2421"/>
  <c r="GY55" i="2421"/>
  <c r="HA55" i="2421"/>
  <c r="GY94" i="2421"/>
  <c r="HA94" i="2421"/>
  <c r="GY25" i="2421"/>
  <c r="HA25" i="2421"/>
  <c r="GY56" i="2421"/>
  <c r="HA56" i="2421"/>
  <c r="GY95" i="2421"/>
  <c r="HA95" i="2421"/>
  <c r="GY17" i="2421"/>
  <c r="HA17" i="2421"/>
  <c r="CI75" i="2421"/>
  <c r="CK75" i="2421"/>
  <c r="CI38" i="2421"/>
  <c r="CK38" i="2421"/>
  <c r="CI53" i="2421"/>
  <c r="CK53" i="2421"/>
  <c r="CI48" i="2421"/>
  <c r="CK48" i="2421"/>
  <c r="CI89" i="2421"/>
  <c r="CK89" i="2421"/>
  <c r="CI90" i="2421"/>
  <c r="CK90" i="2421"/>
  <c r="CI52" i="2421"/>
  <c r="CK52" i="2421"/>
  <c r="CI91" i="2421"/>
  <c r="CK91" i="2421"/>
  <c r="CI81" i="2421"/>
  <c r="CK81" i="2421"/>
  <c r="CI21" i="2421"/>
  <c r="CK21"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20"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Y15"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J7" i="2421"/>
  <c r="AK122" i="2421" s="1"/>
  <c r="AJ4" i="2421"/>
  <c r="AG15" i="2421"/>
  <c r="Y15" i="2421" s="1"/>
  <c r="AH15" i="2421"/>
  <c r="AG16" i="2421"/>
  <c r="AH16" i="2421"/>
  <c r="AG17" i="2421"/>
  <c r="Y17" i="2421" s="1"/>
  <c r="AH17" i="2421"/>
  <c r="AG18" i="2421"/>
  <c r="Y18" i="2421" s="1"/>
  <c r="AH18" i="2421"/>
  <c r="AH14" i="2421"/>
  <c r="AG14" i="2421"/>
  <c r="Y14" i="2421" s="1"/>
  <c r="E15" i="2421"/>
  <c r="J12" i="2422"/>
  <c r="E16" i="2421"/>
  <c r="J13" i="2422"/>
  <c r="E17" i="2421"/>
  <c r="J14" i="2422"/>
  <c r="E18" i="2421"/>
  <c r="J15" i="2422"/>
  <c r="E14" i="2421"/>
  <c r="A15" i="2421"/>
  <c r="A16" i="2421"/>
  <c r="A17" i="2421"/>
  <c r="A18" i="2421"/>
  <c r="A14" i="2421"/>
  <c r="AI6" i="2420"/>
  <c r="AI7" i="2420"/>
  <c r="AI8" i="2420"/>
  <c r="AI9" i="2420"/>
  <c r="AI5" i="2420"/>
  <c r="AH6" i="2420"/>
  <c r="AH7" i="2420"/>
  <c r="AH8" i="2420"/>
  <c r="AH9" i="2420"/>
  <c r="RY128" i="2421" l="1"/>
  <c r="AK125" i="2421"/>
  <c r="AL125" i="2421" s="1"/>
  <c r="AK119" i="2421"/>
  <c r="AL119" i="2421" s="1"/>
  <c r="AK123" i="2421"/>
  <c r="AL123" i="2421" s="1"/>
  <c r="AV12" i="2421"/>
  <c r="AJ12" i="2421"/>
  <c r="Y16" i="2421"/>
  <c r="AM14" i="2421"/>
  <c r="AJ13" i="2421"/>
  <c r="AU12" i="2421"/>
  <c r="AQ12" i="2421"/>
  <c r="AT12" i="2421"/>
  <c r="AP12" i="2421"/>
  <c r="AX12" i="2421"/>
  <c r="AS12" i="2421"/>
  <c r="AN12" i="2421"/>
  <c r="AW12" i="2421"/>
  <c r="AR12" i="2421"/>
  <c r="Q5" i="2420"/>
  <c r="T6" i="2420"/>
  <c r="T7" i="2420"/>
  <c r="T8" i="2420"/>
  <c r="T9" i="2420"/>
  <c r="T5" i="2420"/>
  <c r="Q6" i="2420"/>
  <c r="R6" i="2420" s="1"/>
  <c r="BB6" i="2420" s="1"/>
  <c r="Q7" i="2420"/>
  <c r="Q8" i="2420"/>
  <c r="Q9" i="2420"/>
  <c r="P6" i="2420"/>
  <c r="P7" i="2420"/>
  <c r="P8" i="2420"/>
  <c r="P9" i="2420"/>
  <c r="P5" i="2420"/>
  <c r="BW8" i="2420" l="1"/>
  <c r="BZ8" i="2420"/>
  <c r="BW7" i="2420"/>
  <c r="BZ7" i="2420"/>
  <c r="BW9" i="2420"/>
  <c r="BZ9" i="2420"/>
  <c r="KI15" i="2422"/>
  <c r="RZ18" i="2421"/>
  <c r="AL127" i="2421"/>
  <c r="AI127" i="2421" s="1"/>
  <c r="AD28" i="2421"/>
  <c r="AD36" i="2421"/>
  <c r="AD44" i="2421"/>
  <c r="AD52" i="2421"/>
  <c r="AD60" i="2421"/>
  <c r="AD68" i="2421"/>
  <c r="AD76" i="2421"/>
  <c r="AD84" i="2421"/>
  <c r="AD92" i="2421"/>
  <c r="AD100" i="2421"/>
  <c r="AD108" i="2421"/>
  <c r="AD93" i="2421"/>
  <c r="AD109" i="2421"/>
  <c r="AD35" i="2421"/>
  <c r="AD83" i="2421"/>
  <c r="AD21" i="2421"/>
  <c r="AD29" i="2421"/>
  <c r="AD37" i="2421"/>
  <c r="AD45" i="2421"/>
  <c r="AD53" i="2421"/>
  <c r="AD61" i="2421"/>
  <c r="AD69" i="2421"/>
  <c r="AD77" i="2421"/>
  <c r="AD85" i="2421"/>
  <c r="AD101" i="2421"/>
  <c r="AD75" i="2421"/>
  <c r="AD22" i="2421"/>
  <c r="AD30" i="2421"/>
  <c r="AD38" i="2421"/>
  <c r="AD46" i="2421"/>
  <c r="AD54" i="2421"/>
  <c r="AD62" i="2421"/>
  <c r="AD70" i="2421"/>
  <c r="AD78" i="2421"/>
  <c r="AD86" i="2421"/>
  <c r="AD94" i="2421"/>
  <c r="AD102" i="2421"/>
  <c r="AD110" i="2421"/>
  <c r="AD91" i="2421"/>
  <c r="AD23" i="2421"/>
  <c r="AD31" i="2421"/>
  <c r="AD39" i="2421"/>
  <c r="AD47" i="2421"/>
  <c r="AD55" i="2421"/>
  <c r="AD63" i="2421"/>
  <c r="AD71" i="2421"/>
  <c r="AD79" i="2421"/>
  <c r="AD87" i="2421"/>
  <c r="AD95" i="2421"/>
  <c r="AD103" i="2421"/>
  <c r="AD111" i="2421"/>
  <c r="AD51" i="2421"/>
  <c r="AD32" i="2421"/>
  <c r="AD40" i="2421"/>
  <c r="AD48" i="2421"/>
  <c r="AD56" i="2421"/>
  <c r="AD64" i="2421"/>
  <c r="AD72" i="2421"/>
  <c r="AD80" i="2421"/>
  <c r="AD88" i="2421"/>
  <c r="AD96" i="2421"/>
  <c r="AD104" i="2421"/>
  <c r="AD112" i="2421"/>
  <c r="AD99" i="2421"/>
  <c r="AD25" i="2421"/>
  <c r="AD33" i="2421"/>
  <c r="AD41" i="2421"/>
  <c r="AD49" i="2421"/>
  <c r="AD57" i="2421"/>
  <c r="AD65" i="2421"/>
  <c r="AD73" i="2421"/>
  <c r="AD81" i="2421"/>
  <c r="AD89" i="2421"/>
  <c r="AD97" i="2421"/>
  <c r="AD105" i="2421"/>
  <c r="AD113" i="2421"/>
  <c r="AD43" i="2421"/>
  <c r="AD67" i="2421"/>
  <c r="AD107" i="2421"/>
  <c r="AD26" i="2421"/>
  <c r="AD34" i="2421"/>
  <c r="AD42" i="2421"/>
  <c r="AD50" i="2421"/>
  <c r="AD58" i="2421"/>
  <c r="AD66" i="2421"/>
  <c r="AD74" i="2421"/>
  <c r="AD82" i="2421"/>
  <c r="AD90" i="2421"/>
  <c r="AD98" i="2421"/>
  <c r="AD106" i="2421"/>
  <c r="AD27" i="2421"/>
  <c r="AD59" i="2421"/>
  <c r="C15" i="2421"/>
  <c r="R9" i="2420"/>
  <c r="R8" i="2420"/>
  <c r="R5" i="2420"/>
  <c r="R7" i="2420"/>
  <c r="D17" i="2421"/>
  <c r="D14" i="2422"/>
  <c r="D14" i="2421"/>
  <c r="D11" i="2422"/>
  <c r="D15" i="2421"/>
  <c r="D12" i="2422"/>
  <c r="D16" i="2421"/>
  <c r="D13" i="2422"/>
  <c r="D18" i="2421"/>
  <c r="D15" i="2422"/>
  <c r="G19" i="2342"/>
  <c r="BI50" i="2396"/>
  <c r="BR50" i="2396" s="1"/>
  <c r="N378" i="2396" s="1"/>
  <c r="C12" i="2422" l="1"/>
  <c r="C17" i="2421"/>
  <c r="BB8" i="2420"/>
  <c r="C18" i="2421"/>
  <c r="BB9" i="2420"/>
  <c r="BB5" i="2420"/>
  <c r="C16" i="2421"/>
  <c r="C13" i="2422" s="1"/>
  <c r="BB7" i="2420"/>
  <c r="L3" i="2413"/>
  <c r="AC72" i="2420"/>
  <c r="AC70" i="2420"/>
  <c r="AC55" i="2420"/>
  <c r="AC101" i="2420"/>
  <c r="AC37" i="2420"/>
  <c r="AC84" i="2420"/>
  <c r="AC20" i="2420"/>
  <c r="AC51" i="2420"/>
  <c r="AC98" i="2420"/>
  <c r="AC34" i="2420"/>
  <c r="AC81" i="2420"/>
  <c r="AC17" i="2420"/>
  <c r="AC64" i="2420"/>
  <c r="AC22" i="2420"/>
  <c r="AC47" i="2420"/>
  <c r="AC93" i="2420"/>
  <c r="AC29" i="2420"/>
  <c r="AC76" i="2420"/>
  <c r="AC12" i="2420"/>
  <c r="AC43" i="2420"/>
  <c r="AC90" i="2420"/>
  <c r="AC26" i="2420"/>
  <c r="AC73" i="2420"/>
  <c r="AC62" i="2420"/>
  <c r="AC56" i="2420"/>
  <c r="AC103" i="2420"/>
  <c r="AC39" i="2420"/>
  <c r="AC85" i="2420"/>
  <c r="AC21" i="2420"/>
  <c r="AC68" i="2420"/>
  <c r="AC99" i="2420"/>
  <c r="AC35" i="2420"/>
  <c r="AC82" i="2420"/>
  <c r="AC18" i="2420"/>
  <c r="AC65" i="2420"/>
  <c r="AC14" i="2420"/>
  <c r="AC48" i="2420"/>
  <c r="AC95" i="2420"/>
  <c r="AC31" i="2420"/>
  <c r="AC77" i="2420"/>
  <c r="AC13" i="2420"/>
  <c r="AC60" i="2420"/>
  <c r="AC91" i="2420"/>
  <c r="AC27" i="2420"/>
  <c r="AC74" i="2420"/>
  <c r="AC10" i="2420"/>
  <c r="AC57" i="2420"/>
  <c r="AC104" i="2420"/>
  <c r="AC40" i="2420"/>
  <c r="AC87" i="2420"/>
  <c r="AC23" i="2420"/>
  <c r="AC69" i="2420"/>
  <c r="AC102" i="2420"/>
  <c r="AC52" i="2420"/>
  <c r="AC83" i="2420"/>
  <c r="AC19" i="2420"/>
  <c r="AC66" i="2420"/>
  <c r="AC86" i="2420"/>
  <c r="AC49" i="2420"/>
  <c r="AC96" i="2420"/>
  <c r="AC32" i="2420"/>
  <c r="AC79" i="2420"/>
  <c r="AC15" i="2420"/>
  <c r="AC61" i="2420"/>
  <c r="AC54" i="2420"/>
  <c r="AC44" i="2420"/>
  <c r="AC75" i="2420"/>
  <c r="AC11" i="2420"/>
  <c r="AC58" i="2420"/>
  <c r="AC46" i="2420"/>
  <c r="AC41" i="2420"/>
  <c r="AC88" i="2420"/>
  <c r="AC24" i="2420"/>
  <c r="AC71" i="2420"/>
  <c r="AC94" i="2420"/>
  <c r="AC53" i="2420"/>
  <c r="AC100" i="2420"/>
  <c r="AC36" i="2420"/>
  <c r="AC67" i="2420"/>
  <c r="AC78" i="2420"/>
  <c r="AC50" i="2420"/>
  <c r="AC97" i="2420"/>
  <c r="AC33" i="2420"/>
  <c r="AC80" i="2420"/>
  <c r="AC16" i="2420"/>
  <c r="AC63" i="2420"/>
  <c r="AC38" i="2420"/>
  <c r="AC45" i="2420"/>
  <c r="AC92" i="2420"/>
  <c r="AC28" i="2420"/>
  <c r="AC59" i="2420"/>
  <c r="AC30" i="2420"/>
  <c r="AC42" i="2420"/>
  <c r="AC89" i="2420"/>
  <c r="AC25" i="2420"/>
  <c r="AD15" i="2420"/>
  <c r="DR15" i="2420" s="1"/>
  <c r="AD88" i="2420"/>
  <c r="DR88" i="2420" s="1"/>
  <c r="AD69" i="2420"/>
  <c r="DR69" i="2420" s="1"/>
  <c r="AD91" i="2420"/>
  <c r="DR91" i="2420" s="1"/>
  <c r="AD102" i="2420"/>
  <c r="DR102" i="2420" s="1"/>
  <c r="AD12" i="2420"/>
  <c r="DR12" i="2420" s="1"/>
  <c r="AD101" i="2420"/>
  <c r="DR101" i="2420" s="1"/>
  <c r="AD95" i="2420"/>
  <c r="DR95" i="2420" s="1"/>
  <c r="AD58" i="2420"/>
  <c r="DR58" i="2420" s="1"/>
  <c r="AD47" i="2420"/>
  <c r="DR47" i="2420" s="1"/>
  <c r="AD11" i="2420"/>
  <c r="DR11" i="2420" s="1"/>
  <c r="AD27" i="2420"/>
  <c r="DR27" i="2420" s="1"/>
  <c r="AD16" i="2420"/>
  <c r="DR16" i="2420" s="1"/>
  <c r="AD20" i="2420"/>
  <c r="DR20" i="2420" s="1"/>
  <c r="AD21" i="2420"/>
  <c r="DR21" i="2420" s="1"/>
  <c r="AD64" i="2420"/>
  <c r="DR64" i="2420" s="1"/>
  <c r="AD87" i="2420"/>
  <c r="DR87" i="2420" s="1"/>
  <c r="AD96" i="2420"/>
  <c r="DR96" i="2420" s="1"/>
  <c r="AD33" i="2420"/>
  <c r="DR33" i="2420" s="1"/>
  <c r="AD31" i="2420"/>
  <c r="DR31" i="2420" s="1"/>
  <c r="AD90" i="2420"/>
  <c r="DR90" i="2420" s="1"/>
  <c r="AD29" i="2420"/>
  <c r="DR29" i="2420" s="1"/>
  <c r="AD62" i="2420"/>
  <c r="DR62" i="2420" s="1"/>
  <c r="AD41" i="2420"/>
  <c r="DR41" i="2420" s="1"/>
  <c r="AD45" i="2420"/>
  <c r="DR45" i="2420" s="1"/>
  <c r="AD22" i="2420"/>
  <c r="DR22" i="2420" s="1"/>
  <c r="AD63" i="2420"/>
  <c r="DR63" i="2420" s="1"/>
  <c r="AD89" i="2420"/>
  <c r="DR89" i="2420" s="1"/>
  <c r="AD100" i="2420"/>
  <c r="DR100" i="2420" s="1"/>
  <c r="AD60" i="2420"/>
  <c r="DR60" i="2420" s="1"/>
  <c r="AD79" i="2420"/>
  <c r="DR79" i="2420" s="1"/>
  <c r="AD57" i="2420"/>
  <c r="DR57" i="2420" s="1"/>
  <c r="AD43" i="2420"/>
  <c r="DR43" i="2420" s="1"/>
  <c r="AD40" i="2420"/>
  <c r="DR40" i="2420" s="1"/>
  <c r="AD54" i="2420"/>
  <c r="DR54" i="2420" s="1"/>
  <c r="AD51" i="2420"/>
  <c r="DR51" i="2420" s="1"/>
  <c r="AD84" i="2420"/>
  <c r="DR84" i="2420" s="1"/>
  <c r="AD99" i="2420"/>
  <c r="DR99" i="2420" s="1"/>
  <c r="AD48" i="2420"/>
  <c r="DR48" i="2420" s="1"/>
  <c r="AD76" i="2420"/>
  <c r="DR76" i="2420" s="1"/>
  <c r="AD65" i="2420"/>
  <c r="DR65" i="2420" s="1"/>
  <c r="AD83" i="2420"/>
  <c r="DR83" i="2420" s="1"/>
  <c r="AD97" i="2420"/>
  <c r="DR97" i="2420" s="1"/>
  <c r="AD37" i="2420"/>
  <c r="DR37" i="2420" s="1"/>
  <c r="AD44" i="2420"/>
  <c r="DR44" i="2420" s="1"/>
  <c r="AD10" i="2420"/>
  <c r="DR10" i="2420" s="1"/>
  <c r="AD42" i="2420"/>
  <c r="DR42" i="2420" s="1"/>
  <c r="AD74" i="2420"/>
  <c r="DR74" i="2420" s="1"/>
  <c r="AD59" i="2420"/>
  <c r="DR59" i="2420" s="1"/>
  <c r="AD18" i="2420"/>
  <c r="DR18" i="2420" s="1"/>
  <c r="AD98" i="2420"/>
  <c r="DR98" i="2420" s="1"/>
  <c r="AD38" i="2420"/>
  <c r="DR38" i="2420" s="1"/>
  <c r="AD104" i="2420"/>
  <c r="DR104" i="2420" s="1"/>
  <c r="AD52" i="2420"/>
  <c r="DR52" i="2420" s="1"/>
  <c r="AD36" i="2420"/>
  <c r="DR36" i="2420" s="1"/>
  <c r="AD30" i="2420"/>
  <c r="DR30" i="2420" s="1"/>
  <c r="AD50" i="2420"/>
  <c r="DR50" i="2420" s="1"/>
  <c r="AD46" i="2420"/>
  <c r="DR46" i="2420" s="1"/>
  <c r="AD13" i="2420"/>
  <c r="DR13" i="2420" s="1"/>
  <c r="AD81" i="2420"/>
  <c r="DR81" i="2420" s="1"/>
  <c r="AD93" i="2420"/>
  <c r="DR93" i="2420" s="1"/>
  <c r="AD86" i="2420"/>
  <c r="DR86" i="2420" s="1"/>
  <c r="AD71" i="2420"/>
  <c r="DR71" i="2420" s="1"/>
  <c r="AD35" i="2420"/>
  <c r="DR35" i="2420" s="1"/>
  <c r="AD19" i="2420"/>
  <c r="DR19" i="2420" s="1"/>
  <c r="AD26" i="2420"/>
  <c r="DR26" i="2420" s="1"/>
  <c r="AD55" i="2420"/>
  <c r="DR55" i="2420" s="1"/>
  <c r="AD28" i="2420"/>
  <c r="DR28" i="2420" s="1"/>
  <c r="AD77" i="2420"/>
  <c r="DR77" i="2420" s="1"/>
  <c r="AD66" i="2420"/>
  <c r="DR66" i="2420" s="1"/>
  <c r="AD39" i="2420"/>
  <c r="DR39" i="2420" s="1"/>
  <c r="AD92" i="2420"/>
  <c r="DR92" i="2420" s="1"/>
  <c r="AD32" i="2420"/>
  <c r="DR32" i="2420" s="1"/>
  <c r="AD34" i="2420"/>
  <c r="DR34" i="2420" s="1"/>
  <c r="AD61" i="2420"/>
  <c r="DR61" i="2420" s="1"/>
  <c r="AD68" i="2420"/>
  <c r="DR68" i="2420" s="1"/>
  <c r="AD25" i="2420"/>
  <c r="DR25" i="2420" s="1"/>
  <c r="AD70" i="2420"/>
  <c r="DR70" i="2420" s="1"/>
  <c r="AD82" i="2420"/>
  <c r="DR82" i="2420" s="1"/>
  <c r="AD73" i="2420"/>
  <c r="DR73" i="2420" s="1"/>
  <c r="AD85" i="2420"/>
  <c r="DR85" i="2420" s="1"/>
  <c r="AD49" i="2420"/>
  <c r="DR49" i="2420" s="1"/>
  <c r="AD17" i="2420"/>
  <c r="DR17" i="2420" s="1"/>
  <c r="AD53" i="2420"/>
  <c r="DR53" i="2420" s="1"/>
  <c r="AD72" i="2420"/>
  <c r="DR72" i="2420" s="1"/>
  <c r="AD23" i="2420"/>
  <c r="DR23" i="2420" s="1"/>
  <c r="AD103" i="2420"/>
  <c r="DR103" i="2420" s="1"/>
  <c r="AD56" i="2420"/>
  <c r="DR56" i="2420" s="1"/>
  <c r="AD75" i="2420"/>
  <c r="DR75" i="2420" s="1"/>
  <c r="AD24" i="2420"/>
  <c r="DR24" i="2420" s="1"/>
  <c r="AD80" i="2420"/>
  <c r="DR80" i="2420" s="1"/>
  <c r="AD67" i="2420"/>
  <c r="DR67" i="2420" s="1"/>
  <c r="AD14" i="2420"/>
  <c r="DR14" i="2420" s="1"/>
  <c r="AD78" i="2420"/>
  <c r="DR78" i="2420" s="1"/>
  <c r="AD94" i="2420"/>
  <c r="DR94" i="2420" s="1"/>
  <c r="N115" i="2420"/>
  <c r="BF60" i="2396"/>
  <c r="I111" i="2421"/>
  <c r="J111" i="2421" s="1"/>
  <c r="I47" i="2421"/>
  <c r="J47" i="2421" s="1"/>
  <c r="I78" i="2421"/>
  <c r="J78" i="2421" s="1"/>
  <c r="I109" i="2421"/>
  <c r="J109" i="2421" s="1"/>
  <c r="I45" i="2421"/>
  <c r="J45" i="2421" s="1"/>
  <c r="I76" i="2421"/>
  <c r="J76" i="2421" s="1"/>
  <c r="I107" i="2421"/>
  <c r="J107" i="2421" s="1"/>
  <c r="I43" i="2421"/>
  <c r="J43" i="2421" s="1"/>
  <c r="I74" i="2421"/>
  <c r="J74" i="2421" s="1"/>
  <c r="I105" i="2421"/>
  <c r="J105" i="2421" s="1"/>
  <c r="I41" i="2421"/>
  <c r="J41" i="2421" s="1"/>
  <c r="I72" i="2421"/>
  <c r="J72" i="2421" s="1"/>
  <c r="I103" i="2421"/>
  <c r="J103" i="2421" s="1"/>
  <c r="I39" i="2421"/>
  <c r="J39" i="2421" s="1"/>
  <c r="I70" i="2421"/>
  <c r="J70" i="2421" s="1"/>
  <c r="I101" i="2421"/>
  <c r="J101" i="2421" s="1"/>
  <c r="I37" i="2421"/>
  <c r="J37" i="2421" s="1"/>
  <c r="I68" i="2421"/>
  <c r="J68" i="2421" s="1"/>
  <c r="I99" i="2421"/>
  <c r="J99" i="2421" s="1"/>
  <c r="I35" i="2421"/>
  <c r="J35" i="2421" s="1"/>
  <c r="I66" i="2421"/>
  <c r="J66" i="2421" s="1"/>
  <c r="I97" i="2421"/>
  <c r="J97" i="2421" s="1"/>
  <c r="I33" i="2421"/>
  <c r="J33" i="2421" s="1"/>
  <c r="I64" i="2421"/>
  <c r="J64" i="2421" s="1"/>
  <c r="I95" i="2421"/>
  <c r="J95" i="2421" s="1"/>
  <c r="I31" i="2421"/>
  <c r="J31" i="2421" s="1"/>
  <c r="I62" i="2421"/>
  <c r="J62" i="2421" s="1"/>
  <c r="I93" i="2421"/>
  <c r="J93" i="2421" s="1"/>
  <c r="I29" i="2421"/>
  <c r="J29" i="2421" s="1"/>
  <c r="I60" i="2421"/>
  <c r="J60" i="2421" s="1"/>
  <c r="I91" i="2421"/>
  <c r="J91" i="2421" s="1"/>
  <c r="I27" i="2421"/>
  <c r="J27" i="2421" s="1"/>
  <c r="I58" i="2421"/>
  <c r="J58" i="2421" s="1"/>
  <c r="I89" i="2421"/>
  <c r="J89" i="2421" s="1"/>
  <c r="I25" i="2421"/>
  <c r="J25" i="2421" s="1"/>
  <c r="I56" i="2421"/>
  <c r="J56" i="2421" s="1"/>
  <c r="I87" i="2421"/>
  <c r="J87" i="2421" s="1"/>
  <c r="I23" i="2421"/>
  <c r="J23" i="2421" s="1"/>
  <c r="I54" i="2421"/>
  <c r="J54" i="2421" s="1"/>
  <c r="I85" i="2421"/>
  <c r="J85" i="2421" s="1"/>
  <c r="I21" i="2421"/>
  <c r="J21" i="2421" s="1"/>
  <c r="I52" i="2421"/>
  <c r="J52" i="2421" s="1"/>
  <c r="I83" i="2421"/>
  <c r="J83" i="2421" s="1"/>
  <c r="I19" i="2421"/>
  <c r="J19" i="2421" s="1"/>
  <c r="I50" i="2421"/>
  <c r="J50" i="2421" s="1"/>
  <c r="I81" i="2421"/>
  <c r="J81" i="2421" s="1"/>
  <c r="I112" i="2421"/>
  <c r="J112" i="2421" s="1"/>
  <c r="I48" i="2421"/>
  <c r="J48" i="2421" s="1"/>
  <c r="I79" i="2421"/>
  <c r="J79" i="2421" s="1"/>
  <c r="I110" i="2421"/>
  <c r="J110" i="2421" s="1"/>
  <c r="I46" i="2421"/>
  <c r="J46" i="2421" s="1"/>
  <c r="I77" i="2421"/>
  <c r="J77" i="2421" s="1"/>
  <c r="I108" i="2421"/>
  <c r="J108" i="2421" s="1"/>
  <c r="I44" i="2421"/>
  <c r="J44" i="2421" s="1"/>
  <c r="I75" i="2421"/>
  <c r="J75" i="2421" s="1"/>
  <c r="I106" i="2421"/>
  <c r="J106" i="2421" s="1"/>
  <c r="I42" i="2421"/>
  <c r="J42" i="2421" s="1"/>
  <c r="I73" i="2421"/>
  <c r="J73" i="2421" s="1"/>
  <c r="I104" i="2421"/>
  <c r="J104" i="2421" s="1"/>
  <c r="I40" i="2421"/>
  <c r="J40" i="2421" s="1"/>
  <c r="I71" i="2421"/>
  <c r="J71" i="2421" s="1"/>
  <c r="I102" i="2421"/>
  <c r="J102" i="2421" s="1"/>
  <c r="I38" i="2421"/>
  <c r="J38" i="2421" s="1"/>
  <c r="I69" i="2421"/>
  <c r="J69" i="2421" s="1"/>
  <c r="I100" i="2421"/>
  <c r="J100" i="2421" s="1"/>
  <c r="I36" i="2421"/>
  <c r="J36" i="2421" s="1"/>
  <c r="I67" i="2421"/>
  <c r="J67" i="2421" s="1"/>
  <c r="I98" i="2421"/>
  <c r="J98" i="2421" s="1"/>
  <c r="I34" i="2421"/>
  <c r="J34" i="2421" s="1"/>
  <c r="I65" i="2421"/>
  <c r="J65" i="2421" s="1"/>
  <c r="I96" i="2421"/>
  <c r="J96" i="2421" s="1"/>
  <c r="I32" i="2421"/>
  <c r="J32" i="2421" s="1"/>
  <c r="I63" i="2421"/>
  <c r="J63" i="2421" s="1"/>
  <c r="I94" i="2421"/>
  <c r="J94" i="2421" s="1"/>
  <c r="I30" i="2421"/>
  <c r="J30" i="2421" s="1"/>
  <c r="I61" i="2421"/>
  <c r="J61" i="2421" s="1"/>
  <c r="I92" i="2421"/>
  <c r="J92" i="2421" s="1"/>
  <c r="I28" i="2421"/>
  <c r="J28" i="2421" s="1"/>
  <c r="I59" i="2421"/>
  <c r="J59" i="2421" s="1"/>
  <c r="I90" i="2421"/>
  <c r="J90" i="2421" s="1"/>
  <c r="I26" i="2421"/>
  <c r="J26" i="2421" s="1"/>
  <c r="I57" i="2421"/>
  <c r="J57" i="2421" s="1"/>
  <c r="I88" i="2421"/>
  <c r="J88" i="2421" s="1"/>
  <c r="I24" i="2421"/>
  <c r="J24" i="2421" s="1"/>
  <c r="I55" i="2421"/>
  <c r="J55" i="2421" s="1"/>
  <c r="I86" i="2421"/>
  <c r="J86" i="2421" s="1"/>
  <c r="I22" i="2421"/>
  <c r="J22" i="2421" s="1"/>
  <c r="I53" i="2421"/>
  <c r="J53" i="2421" s="1"/>
  <c r="I84" i="2421"/>
  <c r="J84" i="2421" s="1"/>
  <c r="I20" i="2421"/>
  <c r="J20" i="2421" s="1"/>
  <c r="I51" i="2421"/>
  <c r="J51" i="2421" s="1"/>
  <c r="I82" i="2421"/>
  <c r="J82" i="2421" s="1"/>
  <c r="I113" i="2421"/>
  <c r="J113" i="2421" s="1"/>
  <c r="I49" i="2421"/>
  <c r="J49" i="2421" s="1"/>
  <c r="I80" i="2421"/>
  <c r="J80" i="2421" s="1"/>
  <c r="M119" i="2420"/>
  <c r="E20" i="2408" s="1"/>
  <c r="C14" i="2421"/>
  <c r="N119" i="2420"/>
  <c r="M115" i="2420"/>
  <c r="C15" i="2422" l="1"/>
  <c r="S18" i="2421"/>
  <c r="L29" i="2388" s="1"/>
  <c r="C14" i="2422"/>
  <c r="S17" i="2421"/>
  <c r="L28" i="2388" s="1"/>
  <c r="AZ81" i="2420"/>
  <c r="QH90" i="2421"/>
  <c r="QW90" i="2421"/>
  <c r="RL90" i="2421"/>
  <c r="OO90" i="2421"/>
  <c r="PD90" i="2421"/>
  <c r="NZ90" i="2421"/>
  <c r="NK90" i="2421"/>
  <c r="MV90" i="2421"/>
  <c r="MG90" i="2421"/>
  <c r="PS90" i="2421"/>
  <c r="JY90" i="2421"/>
  <c r="KN90" i="2421"/>
  <c r="LC90" i="2421"/>
  <c r="LR90" i="2421"/>
  <c r="IU90" i="2421"/>
  <c r="IF90" i="2421"/>
  <c r="GM90" i="2421"/>
  <c r="FX90" i="2421"/>
  <c r="JJ90" i="2421"/>
  <c r="HB90" i="2421"/>
  <c r="HQ90" i="2421"/>
  <c r="FI90" i="2421"/>
  <c r="EE90" i="2421"/>
  <c r="ET90" i="2421"/>
  <c r="DP90" i="2421"/>
  <c r="DA90" i="2421"/>
  <c r="CL90" i="2421"/>
  <c r="BW90" i="2421"/>
  <c r="BH90" i="2421"/>
  <c r="AZ39" i="2420"/>
  <c r="QH48" i="2421"/>
  <c r="RL48" i="2421"/>
  <c r="PD48" i="2421"/>
  <c r="PS48" i="2421"/>
  <c r="OO48" i="2421"/>
  <c r="QW48" i="2421"/>
  <c r="NZ48" i="2421"/>
  <c r="NK48" i="2421"/>
  <c r="MG48" i="2421"/>
  <c r="LR48" i="2421"/>
  <c r="MV48" i="2421"/>
  <c r="KN48" i="2421"/>
  <c r="LC48" i="2421"/>
  <c r="IU48" i="2421"/>
  <c r="JY48" i="2421"/>
  <c r="HQ48" i="2421"/>
  <c r="GM48" i="2421"/>
  <c r="JJ48" i="2421"/>
  <c r="HB48" i="2421"/>
  <c r="IF48" i="2421"/>
  <c r="FX48" i="2421"/>
  <c r="ET48" i="2421"/>
  <c r="EE48" i="2421"/>
  <c r="FI48" i="2421"/>
  <c r="DA48" i="2421"/>
  <c r="DP48" i="2421"/>
  <c r="CL48" i="2421"/>
  <c r="BW48" i="2421"/>
  <c r="BH48" i="2421"/>
  <c r="AZ92" i="2420"/>
  <c r="RL101" i="2421"/>
  <c r="QW101" i="2421"/>
  <c r="QH101" i="2421"/>
  <c r="PS101" i="2421"/>
  <c r="NZ101" i="2421"/>
  <c r="PD101" i="2421"/>
  <c r="OO101" i="2421"/>
  <c r="MG101" i="2421"/>
  <c r="NK101" i="2421"/>
  <c r="MV101" i="2421"/>
  <c r="LC101" i="2421"/>
  <c r="LR101" i="2421"/>
  <c r="JY101" i="2421"/>
  <c r="IF101" i="2421"/>
  <c r="JJ101" i="2421"/>
  <c r="IU101" i="2421"/>
  <c r="HB101" i="2421"/>
  <c r="FI101" i="2421"/>
  <c r="HQ101" i="2421"/>
  <c r="GM101" i="2421"/>
  <c r="FX101" i="2421"/>
  <c r="KN101" i="2421"/>
  <c r="EE101" i="2421"/>
  <c r="ET101" i="2421"/>
  <c r="DA101" i="2421"/>
  <c r="CL101" i="2421"/>
  <c r="DP101" i="2421"/>
  <c r="BW101" i="2421"/>
  <c r="BH101" i="2421"/>
  <c r="AZ71" i="2420"/>
  <c r="RL80" i="2421"/>
  <c r="QH80" i="2421"/>
  <c r="PD80" i="2421"/>
  <c r="PS80" i="2421"/>
  <c r="NZ80" i="2421"/>
  <c r="OO80" i="2421"/>
  <c r="QW80" i="2421"/>
  <c r="MV80" i="2421"/>
  <c r="NK80" i="2421"/>
  <c r="MG80" i="2421"/>
  <c r="LC80" i="2421"/>
  <c r="KN80" i="2421"/>
  <c r="JY80" i="2421"/>
  <c r="LR80" i="2421"/>
  <c r="IU80" i="2421"/>
  <c r="GM80" i="2421"/>
  <c r="FX80" i="2421"/>
  <c r="JJ80" i="2421"/>
  <c r="HB80" i="2421"/>
  <c r="IF80" i="2421"/>
  <c r="HQ80" i="2421"/>
  <c r="ET80" i="2421"/>
  <c r="FI80" i="2421"/>
  <c r="EE80" i="2421"/>
  <c r="DP80" i="2421"/>
  <c r="DA80" i="2421"/>
  <c r="CL80" i="2421"/>
  <c r="BW80" i="2421"/>
  <c r="BH80" i="2421"/>
  <c r="AZ29" i="2420"/>
  <c r="QH38" i="2421"/>
  <c r="RL38" i="2421"/>
  <c r="PS38" i="2421"/>
  <c r="QW38" i="2421"/>
  <c r="OO38" i="2421"/>
  <c r="PD38" i="2421"/>
  <c r="NZ38" i="2421"/>
  <c r="NK38" i="2421"/>
  <c r="MG38" i="2421"/>
  <c r="MV38" i="2421"/>
  <c r="LR38" i="2421"/>
  <c r="KN38" i="2421"/>
  <c r="LC38" i="2421"/>
  <c r="IU38" i="2421"/>
  <c r="JY38" i="2421"/>
  <c r="GM38" i="2421"/>
  <c r="IF38" i="2421"/>
  <c r="HQ38" i="2421"/>
  <c r="HB38" i="2421"/>
  <c r="JJ38" i="2421"/>
  <c r="FX38" i="2421"/>
  <c r="EE38" i="2421"/>
  <c r="ET38" i="2421"/>
  <c r="FI38" i="2421"/>
  <c r="DP38" i="2421"/>
  <c r="DA38" i="2421"/>
  <c r="CL38" i="2421"/>
  <c r="BW38" i="2421"/>
  <c r="BH38" i="2421"/>
  <c r="AZ82" i="2420"/>
  <c r="RL91" i="2421"/>
  <c r="QW91" i="2421"/>
  <c r="QH91" i="2421"/>
  <c r="PS91" i="2421"/>
  <c r="PD91" i="2421"/>
  <c r="NZ91" i="2421"/>
  <c r="OO91" i="2421"/>
  <c r="MV91" i="2421"/>
  <c r="MG91" i="2421"/>
  <c r="NK91" i="2421"/>
  <c r="LR91" i="2421"/>
  <c r="LC91" i="2421"/>
  <c r="KN91" i="2421"/>
  <c r="IF91" i="2421"/>
  <c r="JJ91" i="2421"/>
  <c r="IU91" i="2421"/>
  <c r="HB91" i="2421"/>
  <c r="HQ91" i="2421"/>
  <c r="JY91" i="2421"/>
  <c r="GM91" i="2421"/>
  <c r="FX91" i="2421"/>
  <c r="FI91" i="2421"/>
  <c r="EE91" i="2421"/>
  <c r="ET91" i="2421"/>
  <c r="CL91" i="2421"/>
  <c r="DP91" i="2421"/>
  <c r="DA91" i="2421"/>
  <c r="BW91" i="2421"/>
  <c r="BH91" i="2421"/>
  <c r="AZ40" i="2420"/>
  <c r="RL49" i="2421"/>
  <c r="QH49" i="2421"/>
  <c r="PS49" i="2421"/>
  <c r="QW49" i="2421"/>
  <c r="PD49" i="2421"/>
  <c r="OO49" i="2421"/>
  <c r="NZ49" i="2421"/>
  <c r="MG49" i="2421"/>
  <c r="MV49" i="2421"/>
  <c r="NK49" i="2421"/>
  <c r="LC49" i="2421"/>
  <c r="LR49" i="2421"/>
  <c r="JY49" i="2421"/>
  <c r="KN49" i="2421"/>
  <c r="IF49" i="2421"/>
  <c r="JJ49" i="2421"/>
  <c r="HB49" i="2421"/>
  <c r="FX49" i="2421"/>
  <c r="HQ49" i="2421"/>
  <c r="GM49" i="2421"/>
  <c r="EE49" i="2421"/>
  <c r="IU49" i="2421"/>
  <c r="FI49" i="2421"/>
  <c r="ET49" i="2421"/>
  <c r="DP49" i="2421"/>
  <c r="CL49" i="2421"/>
  <c r="DA49" i="2421"/>
  <c r="BW49" i="2421"/>
  <c r="BH49" i="2421"/>
  <c r="AZ77" i="2420"/>
  <c r="QH86" i="2421"/>
  <c r="QW86" i="2421"/>
  <c r="PD86" i="2421"/>
  <c r="RL86" i="2421"/>
  <c r="PS86" i="2421"/>
  <c r="OO86" i="2421"/>
  <c r="NZ86" i="2421"/>
  <c r="NK86" i="2421"/>
  <c r="MG86" i="2421"/>
  <c r="MV86" i="2421"/>
  <c r="LR86" i="2421"/>
  <c r="JY86" i="2421"/>
  <c r="KN86" i="2421"/>
  <c r="IU86" i="2421"/>
  <c r="LC86" i="2421"/>
  <c r="IF86" i="2421"/>
  <c r="GM86" i="2421"/>
  <c r="FX86" i="2421"/>
  <c r="HB86" i="2421"/>
  <c r="JJ86" i="2421"/>
  <c r="HQ86" i="2421"/>
  <c r="EE86" i="2421"/>
  <c r="ET86" i="2421"/>
  <c r="FI86" i="2421"/>
  <c r="DA86" i="2421"/>
  <c r="DP86" i="2421"/>
  <c r="CL86" i="2421"/>
  <c r="BW86" i="2421"/>
  <c r="BH86" i="2421"/>
  <c r="AZ19" i="2420"/>
  <c r="QH28" i="2421"/>
  <c r="RL28" i="2421"/>
  <c r="QW28" i="2421"/>
  <c r="PS28" i="2421"/>
  <c r="PD28" i="2421"/>
  <c r="OO28" i="2421"/>
  <c r="NK28" i="2421"/>
  <c r="MG28" i="2421"/>
  <c r="MV28" i="2421"/>
  <c r="LR28" i="2421"/>
  <c r="NZ28" i="2421"/>
  <c r="JY28" i="2421"/>
  <c r="KN28" i="2421"/>
  <c r="LC28" i="2421"/>
  <c r="IU28" i="2421"/>
  <c r="IF28" i="2421"/>
  <c r="GM28" i="2421"/>
  <c r="HQ28" i="2421"/>
  <c r="HB28" i="2421"/>
  <c r="JJ28" i="2421"/>
  <c r="FI28" i="2421"/>
  <c r="EE28" i="2421"/>
  <c r="FX28" i="2421"/>
  <c r="DP28" i="2421"/>
  <c r="ET28" i="2421"/>
  <c r="DA28" i="2421"/>
  <c r="BW28" i="2421"/>
  <c r="CL28" i="2421"/>
  <c r="BH28" i="2421"/>
  <c r="AZ56" i="2420"/>
  <c r="RL65" i="2421"/>
  <c r="QH65" i="2421"/>
  <c r="PS65" i="2421"/>
  <c r="PD65" i="2421"/>
  <c r="QW65" i="2421"/>
  <c r="OO65" i="2421"/>
  <c r="NZ65" i="2421"/>
  <c r="MG65" i="2421"/>
  <c r="MV65" i="2421"/>
  <c r="NK65" i="2421"/>
  <c r="LC65" i="2421"/>
  <c r="LR65" i="2421"/>
  <c r="JY65" i="2421"/>
  <c r="IU65" i="2421"/>
  <c r="KN65" i="2421"/>
  <c r="IF65" i="2421"/>
  <c r="JJ65" i="2421"/>
  <c r="HB65" i="2421"/>
  <c r="HQ65" i="2421"/>
  <c r="GM65" i="2421"/>
  <c r="FX65" i="2421"/>
  <c r="FI65" i="2421"/>
  <c r="ET65" i="2421"/>
  <c r="DP65" i="2421"/>
  <c r="CL65" i="2421"/>
  <c r="EE65" i="2421"/>
  <c r="DA65" i="2421"/>
  <c r="BW65" i="2421"/>
  <c r="BH65" i="2421"/>
  <c r="AZ93" i="2420"/>
  <c r="QH102" i="2421"/>
  <c r="PS102" i="2421"/>
  <c r="PD102" i="2421"/>
  <c r="QW102" i="2421"/>
  <c r="RL102" i="2421"/>
  <c r="OO102" i="2421"/>
  <c r="NZ102" i="2421"/>
  <c r="NK102" i="2421"/>
  <c r="MV102" i="2421"/>
  <c r="MG102" i="2421"/>
  <c r="LC102" i="2421"/>
  <c r="LR102" i="2421"/>
  <c r="KN102" i="2421"/>
  <c r="IU102" i="2421"/>
  <c r="JY102" i="2421"/>
  <c r="IF102" i="2421"/>
  <c r="GM102" i="2421"/>
  <c r="FX102" i="2421"/>
  <c r="HB102" i="2421"/>
  <c r="FI102" i="2421"/>
  <c r="JJ102" i="2421"/>
  <c r="HQ102" i="2421"/>
  <c r="EE102" i="2421"/>
  <c r="ET102" i="2421"/>
  <c r="DA102" i="2421"/>
  <c r="DP102" i="2421"/>
  <c r="CL102" i="2421"/>
  <c r="BW102" i="2421"/>
  <c r="BH102" i="2421"/>
  <c r="AZ35" i="2420"/>
  <c r="RL44" i="2421"/>
  <c r="QH44" i="2421"/>
  <c r="QW44" i="2421"/>
  <c r="PS44" i="2421"/>
  <c r="PD44" i="2421"/>
  <c r="OO44" i="2421"/>
  <c r="NZ44" i="2421"/>
  <c r="NK44" i="2421"/>
  <c r="MG44" i="2421"/>
  <c r="MV44" i="2421"/>
  <c r="LR44" i="2421"/>
  <c r="LC44" i="2421"/>
  <c r="KN44" i="2421"/>
  <c r="JY44" i="2421"/>
  <c r="IU44" i="2421"/>
  <c r="GM44" i="2421"/>
  <c r="HQ44" i="2421"/>
  <c r="HB44" i="2421"/>
  <c r="JJ44" i="2421"/>
  <c r="IF44" i="2421"/>
  <c r="EE44" i="2421"/>
  <c r="FX44" i="2421"/>
  <c r="FI44" i="2421"/>
  <c r="ET44" i="2421"/>
  <c r="DA44" i="2421"/>
  <c r="DP44" i="2421"/>
  <c r="CL44" i="2421"/>
  <c r="BW44" i="2421"/>
  <c r="BH44" i="2421"/>
  <c r="AZ72" i="2420"/>
  <c r="RL81" i="2421"/>
  <c r="QH81" i="2421"/>
  <c r="PS81" i="2421"/>
  <c r="PD81" i="2421"/>
  <c r="QW81" i="2421"/>
  <c r="NZ81" i="2421"/>
  <c r="OO81" i="2421"/>
  <c r="MG81" i="2421"/>
  <c r="MV81" i="2421"/>
  <c r="NK81" i="2421"/>
  <c r="LR81" i="2421"/>
  <c r="LC81" i="2421"/>
  <c r="KN81" i="2421"/>
  <c r="IF81" i="2421"/>
  <c r="JJ81" i="2421"/>
  <c r="JY81" i="2421"/>
  <c r="HB81" i="2421"/>
  <c r="HQ81" i="2421"/>
  <c r="IU81" i="2421"/>
  <c r="GM81" i="2421"/>
  <c r="FX81" i="2421"/>
  <c r="FI81" i="2421"/>
  <c r="ET81" i="2421"/>
  <c r="DP81" i="2421"/>
  <c r="DA81" i="2421"/>
  <c r="CL81" i="2421"/>
  <c r="EE81" i="2421"/>
  <c r="BW81" i="2421"/>
  <c r="BH81" i="2421"/>
  <c r="AZ14" i="2420"/>
  <c r="P21" i="2390" s="1"/>
  <c r="RL23" i="2421"/>
  <c r="QW23" i="2421"/>
  <c r="QH23" i="2421"/>
  <c r="PD23" i="2421"/>
  <c r="PS23" i="2421"/>
  <c r="OO23" i="2421"/>
  <c r="MG23" i="2421"/>
  <c r="NZ23" i="2421"/>
  <c r="MV23" i="2421"/>
  <c r="NK23" i="2421"/>
  <c r="LR23" i="2421"/>
  <c r="LC23" i="2421"/>
  <c r="JY23" i="2421"/>
  <c r="KN23" i="2421"/>
  <c r="IU23" i="2421"/>
  <c r="JJ23" i="2421"/>
  <c r="HB23" i="2421"/>
  <c r="FX23" i="2421"/>
  <c r="IF23" i="2421"/>
  <c r="GM23" i="2421"/>
  <c r="HQ23" i="2421"/>
  <c r="EE23" i="2421"/>
  <c r="ET23" i="2421"/>
  <c r="FI23" i="2421"/>
  <c r="DA23" i="2421"/>
  <c r="DP23" i="2421"/>
  <c r="CL23" i="2421"/>
  <c r="BW23" i="2421"/>
  <c r="BH23" i="2421"/>
  <c r="AZ51" i="2420"/>
  <c r="QH60" i="2421"/>
  <c r="RL60" i="2421"/>
  <c r="QW60" i="2421"/>
  <c r="PD60" i="2421"/>
  <c r="OO60" i="2421"/>
  <c r="NZ60" i="2421"/>
  <c r="PS60" i="2421"/>
  <c r="NK60" i="2421"/>
  <c r="MG60" i="2421"/>
  <c r="LR60" i="2421"/>
  <c r="KN60" i="2421"/>
  <c r="LC60" i="2421"/>
  <c r="JY60" i="2421"/>
  <c r="MV60" i="2421"/>
  <c r="IU60" i="2421"/>
  <c r="GM60" i="2421"/>
  <c r="FX60" i="2421"/>
  <c r="HB60" i="2421"/>
  <c r="JJ60" i="2421"/>
  <c r="IF60" i="2421"/>
  <c r="FI60" i="2421"/>
  <c r="ET60" i="2421"/>
  <c r="HQ60" i="2421"/>
  <c r="DP60" i="2421"/>
  <c r="DA60" i="2421"/>
  <c r="EE60" i="2421"/>
  <c r="CL60" i="2421"/>
  <c r="BW60" i="2421"/>
  <c r="BH60" i="2421"/>
  <c r="AZ88" i="2420"/>
  <c r="RL97" i="2421"/>
  <c r="QW97" i="2421"/>
  <c r="QH97" i="2421"/>
  <c r="PS97" i="2421"/>
  <c r="PD97" i="2421"/>
  <c r="NZ97" i="2421"/>
  <c r="OO97" i="2421"/>
  <c r="MG97" i="2421"/>
  <c r="NK97" i="2421"/>
  <c r="MV97" i="2421"/>
  <c r="LC97" i="2421"/>
  <c r="LR97" i="2421"/>
  <c r="JY97" i="2421"/>
  <c r="KN97" i="2421"/>
  <c r="IF97" i="2421"/>
  <c r="JJ97" i="2421"/>
  <c r="IU97" i="2421"/>
  <c r="HB97" i="2421"/>
  <c r="FI97" i="2421"/>
  <c r="HQ97" i="2421"/>
  <c r="GM97" i="2421"/>
  <c r="FX97" i="2421"/>
  <c r="EE97" i="2421"/>
  <c r="ET97" i="2421"/>
  <c r="DA97" i="2421"/>
  <c r="DP97" i="2421"/>
  <c r="CL97" i="2421"/>
  <c r="BW97" i="2421"/>
  <c r="BH97" i="2421"/>
  <c r="AZ30" i="2420"/>
  <c r="QH39" i="2421"/>
  <c r="QW39" i="2421"/>
  <c r="RL39" i="2421"/>
  <c r="PS39" i="2421"/>
  <c r="OO39" i="2421"/>
  <c r="PD39" i="2421"/>
  <c r="NZ39" i="2421"/>
  <c r="MG39" i="2421"/>
  <c r="NK39" i="2421"/>
  <c r="MV39" i="2421"/>
  <c r="LR39" i="2421"/>
  <c r="LC39" i="2421"/>
  <c r="JY39" i="2421"/>
  <c r="IF39" i="2421"/>
  <c r="KN39" i="2421"/>
  <c r="JJ39" i="2421"/>
  <c r="IU39" i="2421"/>
  <c r="HB39" i="2421"/>
  <c r="FX39" i="2421"/>
  <c r="GM39" i="2421"/>
  <c r="HQ39" i="2421"/>
  <c r="ET39" i="2421"/>
  <c r="EE39" i="2421"/>
  <c r="FI39" i="2421"/>
  <c r="DP39" i="2421"/>
  <c r="DA39" i="2421"/>
  <c r="CL39" i="2421"/>
  <c r="BW39" i="2421"/>
  <c r="BH39" i="2421"/>
  <c r="AZ67" i="2420"/>
  <c r="RL76" i="2421"/>
  <c r="QH76" i="2421"/>
  <c r="QW76" i="2421"/>
  <c r="PD76" i="2421"/>
  <c r="NZ76" i="2421"/>
  <c r="OO76" i="2421"/>
  <c r="PS76" i="2421"/>
  <c r="NK76" i="2421"/>
  <c r="MV76" i="2421"/>
  <c r="MG76" i="2421"/>
  <c r="LC76" i="2421"/>
  <c r="KN76" i="2421"/>
  <c r="JY76" i="2421"/>
  <c r="LR76" i="2421"/>
  <c r="IU76" i="2421"/>
  <c r="GM76" i="2421"/>
  <c r="FX76" i="2421"/>
  <c r="HB76" i="2421"/>
  <c r="JJ76" i="2421"/>
  <c r="IF76" i="2421"/>
  <c r="FI76" i="2421"/>
  <c r="ET76" i="2421"/>
  <c r="HQ76" i="2421"/>
  <c r="DP76" i="2421"/>
  <c r="EE76" i="2421"/>
  <c r="DA76" i="2421"/>
  <c r="CL76" i="2421"/>
  <c r="BW76" i="2421"/>
  <c r="BH76" i="2421"/>
  <c r="AZ23" i="2420"/>
  <c r="P30" i="2390" s="1"/>
  <c r="QH32" i="2421"/>
  <c r="RL32" i="2421"/>
  <c r="PD32" i="2421"/>
  <c r="OO32" i="2421"/>
  <c r="PS32" i="2421"/>
  <c r="QW32" i="2421"/>
  <c r="NZ32" i="2421"/>
  <c r="NK32" i="2421"/>
  <c r="MG32" i="2421"/>
  <c r="LC32" i="2421"/>
  <c r="MV32" i="2421"/>
  <c r="LR32" i="2421"/>
  <c r="JY32" i="2421"/>
  <c r="KN32" i="2421"/>
  <c r="IU32" i="2421"/>
  <c r="GM32" i="2421"/>
  <c r="IF32" i="2421"/>
  <c r="JJ32" i="2421"/>
  <c r="HQ32" i="2421"/>
  <c r="HB32" i="2421"/>
  <c r="FX32" i="2421"/>
  <c r="EE32" i="2421"/>
  <c r="FI32" i="2421"/>
  <c r="DA32" i="2421"/>
  <c r="ET32" i="2421"/>
  <c r="DP32" i="2421"/>
  <c r="CL32" i="2421"/>
  <c r="BW32" i="2421"/>
  <c r="BH32" i="2421"/>
  <c r="AZ76" i="2420"/>
  <c r="RL85" i="2421"/>
  <c r="QH85" i="2421"/>
  <c r="QW85" i="2421"/>
  <c r="PS85" i="2421"/>
  <c r="PD85" i="2421"/>
  <c r="NZ85" i="2421"/>
  <c r="OO85" i="2421"/>
  <c r="MG85" i="2421"/>
  <c r="MV85" i="2421"/>
  <c r="NK85" i="2421"/>
  <c r="LR85" i="2421"/>
  <c r="LC85" i="2421"/>
  <c r="JY85" i="2421"/>
  <c r="IF85" i="2421"/>
  <c r="JJ85" i="2421"/>
  <c r="IU85" i="2421"/>
  <c r="HB85" i="2421"/>
  <c r="HQ85" i="2421"/>
  <c r="GM85" i="2421"/>
  <c r="FX85" i="2421"/>
  <c r="FI85" i="2421"/>
  <c r="KN85" i="2421"/>
  <c r="EE85" i="2421"/>
  <c r="ET85" i="2421"/>
  <c r="DA85" i="2421"/>
  <c r="CL85" i="2421"/>
  <c r="DP85" i="2421"/>
  <c r="BW85" i="2421"/>
  <c r="BH85" i="2421"/>
  <c r="AZ34" i="2420"/>
  <c r="RL43" i="2421"/>
  <c r="QH43" i="2421"/>
  <c r="PS43" i="2421"/>
  <c r="PD43" i="2421"/>
  <c r="QW43" i="2421"/>
  <c r="OO43" i="2421"/>
  <c r="NZ43" i="2421"/>
  <c r="MG43" i="2421"/>
  <c r="MV43" i="2421"/>
  <c r="NK43" i="2421"/>
  <c r="JY43" i="2421"/>
  <c r="LR43" i="2421"/>
  <c r="LC43" i="2421"/>
  <c r="KN43" i="2421"/>
  <c r="IF43" i="2421"/>
  <c r="IU43" i="2421"/>
  <c r="JJ43" i="2421"/>
  <c r="HB43" i="2421"/>
  <c r="FX43" i="2421"/>
  <c r="GM43" i="2421"/>
  <c r="HQ43" i="2421"/>
  <c r="EE43" i="2421"/>
  <c r="FI43" i="2421"/>
  <c r="ET43" i="2421"/>
  <c r="CL43" i="2421"/>
  <c r="DP43" i="2421"/>
  <c r="DA43" i="2421"/>
  <c r="BW43" i="2421"/>
  <c r="BH43" i="2421"/>
  <c r="AZ13" i="2420"/>
  <c r="P20" i="2390" s="1"/>
  <c r="RL22" i="2421"/>
  <c r="QH22" i="2421"/>
  <c r="QW22" i="2421"/>
  <c r="PS22" i="2421"/>
  <c r="PD22" i="2421"/>
  <c r="OO22" i="2421"/>
  <c r="NK22" i="2421"/>
  <c r="NZ22" i="2421"/>
  <c r="MG22" i="2421"/>
  <c r="MV22" i="2421"/>
  <c r="KN22" i="2421"/>
  <c r="JY22" i="2421"/>
  <c r="LR22" i="2421"/>
  <c r="LC22" i="2421"/>
  <c r="JJ22" i="2421"/>
  <c r="GM22" i="2421"/>
  <c r="IU22" i="2421"/>
  <c r="HQ22" i="2421"/>
  <c r="HB22" i="2421"/>
  <c r="IF22" i="2421"/>
  <c r="ET22" i="2421"/>
  <c r="FX22" i="2421"/>
  <c r="FI22" i="2421"/>
  <c r="EE22" i="2421"/>
  <c r="DP22" i="2421"/>
  <c r="DA22" i="2421"/>
  <c r="CL22" i="2421"/>
  <c r="BW22" i="2421"/>
  <c r="BH22" i="2421"/>
  <c r="AZ66" i="2420"/>
  <c r="RL75" i="2421"/>
  <c r="QH75" i="2421"/>
  <c r="PS75" i="2421"/>
  <c r="PD75" i="2421"/>
  <c r="QW75" i="2421"/>
  <c r="NZ75" i="2421"/>
  <c r="OO75" i="2421"/>
  <c r="MG75" i="2421"/>
  <c r="NK75" i="2421"/>
  <c r="LR75" i="2421"/>
  <c r="MV75" i="2421"/>
  <c r="LC75" i="2421"/>
  <c r="KN75" i="2421"/>
  <c r="IF75" i="2421"/>
  <c r="JJ75" i="2421"/>
  <c r="JY75" i="2421"/>
  <c r="HB75" i="2421"/>
  <c r="IU75" i="2421"/>
  <c r="HQ75" i="2421"/>
  <c r="GM75" i="2421"/>
  <c r="FX75" i="2421"/>
  <c r="FI75" i="2421"/>
  <c r="ET75" i="2421"/>
  <c r="DA75" i="2421"/>
  <c r="CL75" i="2421"/>
  <c r="DP75" i="2421"/>
  <c r="EE75" i="2421"/>
  <c r="BW75" i="2421"/>
  <c r="BH75" i="2421"/>
  <c r="AZ24" i="2420"/>
  <c r="P31" i="2390" s="1"/>
  <c r="RL33" i="2421"/>
  <c r="QH33" i="2421"/>
  <c r="PS33" i="2421"/>
  <c r="QW33" i="2421"/>
  <c r="PD33" i="2421"/>
  <c r="OO33" i="2421"/>
  <c r="NZ33" i="2421"/>
  <c r="MG33" i="2421"/>
  <c r="MV33" i="2421"/>
  <c r="NK33" i="2421"/>
  <c r="LR33" i="2421"/>
  <c r="LC33" i="2421"/>
  <c r="KN33" i="2421"/>
  <c r="IF33" i="2421"/>
  <c r="JJ33" i="2421"/>
  <c r="JY33" i="2421"/>
  <c r="HQ33" i="2421"/>
  <c r="HB33" i="2421"/>
  <c r="FX33" i="2421"/>
  <c r="IU33" i="2421"/>
  <c r="GM33" i="2421"/>
  <c r="EE33" i="2421"/>
  <c r="ET33" i="2421"/>
  <c r="FI33" i="2421"/>
  <c r="DP33" i="2421"/>
  <c r="DA33" i="2421"/>
  <c r="CL33" i="2421"/>
  <c r="BW33" i="2421"/>
  <c r="BH33" i="2421"/>
  <c r="AZ104" i="2420"/>
  <c r="RL113" i="2421"/>
  <c r="QW113" i="2421"/>
  <c r="QH113" i="2421"/>
  <c r="PS113" i="2421"/>
  <c r="PD113" i="2421"/>
  <c r="NZ113" i="2421"/>
  <c r="OO113" i="2421"/>
  <c r="MG113" i="2421"/>
  <c r="NK113" i="2421"/>
  <c r="MV113" i="2421"/>
  <c r="LC113" i="2421"/>
  <c r="LR113" i="2421"/>
  <c r="JY113" i="2421"/>
  <c r="KN113" i="2421"/>
  <c r="IF113" i="2421"/>
  <c r="JJ113" i="2421"/>
  <c r="IU113" i="2421"/>
  <c r="HB113" i="2421"/>
  <c r="FI113" i="2421"/>
  <c r="HQ113" i="2421"/>
  <c r="GM113" i="2421"/>
  <c r="FX113" i="2421"/>
  <c r="EE113" i="2421"/>
  <c r="ET113" i="2421"/>
  <c r="DA113" i="2421"/>
  <c r="DP113" i="2421"/>
  <c r="CL113" i="2421"/>
  <c r="BW113" i="2421"/>
  <c r="BH113" i="2421"/>
  <c r="AZ46" i="2420"/>
  <c r="QH55" i="2421"/>
  <c r="PS55" i="2421"/>
  <c r="QW55" i="2421"/>
  <c r="RL55" i="2421"/>
  <c r="PD55" i="2421"/>
  <c r="OO55" i="2421"/>
  <c r="NZ55" i="2421"/>
  <c r="MG55" i="2421"/>
  <c r="NK55" i="2421"/>
  <c r="LR55" i="2421"/>
  <c r="MV55" i="2421"/>
  <c r="LC55" i="2421"/>
  <c r="JY55" i="2421"/>
  <c r="IF55" i="2421"/>
  <c r="KN55" i="2421"/>
  <c r="JJ55" i="2421"/>
  <c r="IU55" i="2421"/>
  <c r="HB55" i="2421"/>
  <c r="FX55" i="2421"/>
  <c r="HQ55" i="2421"/>
  <c r="GM55" i="2421"/>
  <c r="EE55" i="2421"/>
  <c r="FI55" i="2421"/>
  <c r="ET55" i="2421"/>
  <c r="DP55" i="2421"/>
  <c r="DA55" i="2421"/>
  <c r="CL55" i="2421"/>
  <c r="BW55" i="2421"/>
  <c r="BH55" i="2421"/>
  <c r="AZ83" i="2420"/>
  <c r="QH92" i="2421"/>
  <c r="QW92" i="2421"/>
  <c r="OO92" i="2421"/>
  <c r="PS92" i="2421"/>
  <c r="RL92" i="2421"/>
  <c r="PD92" i="2421"/>
  <c r="NK92" i="2421"/>
  <c r="NZ92" i="2421"/>
  <c r="MV92" i="2421"/>
  <c r="MG92" i="2421"/>
  <c r="KN92" i="2421"/>
  <c r="LR92" i="2421"/>
  <c r="IU92" i="2421"/>
  <c r="JY92" i="2421"/>
  <c r="IF92" i="2421"/>
  <c r="LC92" i="2421"/>
  <c r="GM92" i="2421"/>
  <c r="FX92" i="2421"/>
  <c r="HB92" i="2421"/>
  <c r="HQ92" i="2421"/>
  <c r="JJ92" i="2421"/>
  <c r="EE92" i="2421"/>
  <c r="FI92" i="2421"/>
  <c r="ET92" i="2421"/>
  <c r="DP92" i="2421"/>
  <c r="DA92" i="2421"/>
  <c r="CL92" i="2421"/>
  <c r="BW92" i="2421"/>
  <c r="BH92" i="2421"/>
  <c r="AZ25" i="2420"/>
  <c r="P32" i="2390" s="1"/>
  <c r="QH34" i="2421"/>
  <c r="RL34" i="2421"/>
  <c r="PD34" i="2421"/>
  <c r="QW34" i="2421"/>
  <c r="PS34" i="2421"/>
  <c r="OO34" i="2421"/>
  <c r="NZ34" i="2421"/>
  <c r="NK34" i="2421"/>
  <c r="MG34" i="2421"/>
  <c r="LC34" i="2421"/>
  <c r="MV34" i="2421"/>
  <c r="JY34" i="2421"/>
  <c r="KN34" i="2421"/>
  <c r="IU34" i="2421"/>
  <c r="GM34" i="2421"/>
  <c r="HQ34" i="2421"/>
  <c r="HB34" i="2421"/>
  <c r="IF34" i="2421"/>
  <c r="JJ34" i="2421"/>
  <c r="ET34" i="2421"/>
  <c r="LR34" i="2421"/>
  <c r="EE34" i="2421"/>
  <c r="FX34" i="2421"/>
  <c r="FI34" i="2421"/>
  <c r="DP34" i="2421"/>
  <c r="DA34" i="2421"/>
  <c r="CL34" i="2421"/>
  <c r="BW34" i="2421"/>
  <c r="BH34" i="2421"/>
  <c r="AZ62" i="2420"/>
  <c r="RL71" i="2421"/>
  <c r="QH71" i="2421"/>
  <c r="PS71" i="2421"/>
  <c r="PD71" i="2421"/>
  <c r="QW71" i="2421"/>
  <c r="OO71" i="2421"/>
  <c r="NZ71" i="2421"/>
  <c r="MG71" i="2421"/>
  <c r="NK71" i="2421"/>
  <c r="MV71" i="2421"/>
  <c r="LR71" i="2421"/>
  <c r="IF71" i="2421"/>
  <c r="KN71" i="2421"/>
  <c r="JJ71" i="2421"/>
  <c r="LC71" i="2421"/>
  <c r="HB71" i="2421"/>
  <c r="HQ71" i="2421"/>
  <c r="GM71" i="2421"/>
  <c r="JY71" i="2421"/>
  <c r="IU71" i="2421"/>
  <c r="FX71" i="2421"/>
  <c r="FI71" i="2421"/>
  <c r="ET71" i="2421"/>
  <c r="DA71" i="2421"/>
  <c r="DP71" i="2421"/>
  <c r="EE71" i="2421"/>
  <c r="CL71" i="2421"/>
  <c r="BW71" i="2421"/>
  <c r="BH71" i="2421"/>
  <c r="AZ99" i="2420"/>
  <c r="QH108" i="2421"/>
  <c r="PD108" i="2421"/>
  <c r="QW108" i="2421"/>
  <c r="OO108" i="2421"/>
  <c r="PS108" i="2421"/>
  <c r="RL108" i="2421"/>
  <c r="NK108" i="2421"/>
  <c r="MV108" i="2421"/>
  <c r="NZ108" i="2421"/>
  <c r="MG108" i="2421"/>
  <c r="LC108" i="2421"/>
  <c r="LR108" i="2421"/>
  <c r="KN108" i="2421"/>
  <c r="IU108" i="2421"/>
  <c r="JY108" i="2421"/>
  <c r="IF108" i="2421"/>
  <c r="GM108" i="2421"/>
  <c r="FX108" i="2421"/>
  <c r="HB108" i="2421"/>
  <c r="FI108" i="2421"/>
  <c r="HQ108" i="2421"/>
  <c r="JJ108" i="2421"/>
  <c r="EE108" i="2421"/>
  <c r="ET108" i="2421"/>
  <c r="DP108" i="2421"/>
  <c r="DA108" i="2421"/>
  <c r="CL108" i="2421"/>
  <c r="BW108" i="2421"/>
  <c r="BH108" i="2421"/>
  <c r="AZ41" i="2420"/>
  <c r="QH50" i="2421"/>
  <c r="RL50" i="2421"/>
  <c r="PD50" i="2421"/>
  <c r="QW50" i="2421"/>
  <c r="OO50" i="2421"/>
  <c r="NZ50" i="2421"/>
  <c r="PS50" i="2421"/>
  <c r="MV50" i="2421"/>
  <c r="NK50" i="2421"/>
  <c r="MG50" i="2421"/>
  <c r="LR50" i="2421"/>
  <c r="LC50" i="2421"/>
  <c r="KN50" i="2421"/>
  <c r="IU50" i="2421"/>
  <c r="JY50" i="2421"/>
  <c r="IF50" i="2421"/>
  <c r="GM50" i="2421"/>
  <c r="HB50" i="2421"/>
  <c r="JJ50" i="2421"/>
  <c r="ET50" i="2421"/>
  <c r="EE50" i="2421"/>
  <c r="HQ50" i="2421"/>
  <c r="FX50" i="2421"/>
  <c r="FI50" i="2421"/>
  <c r="DP50" i="2421"/>
  <c r="DA50" i="2421"/>
  <c r="CL50" i="2421"/>
  <c r="BW50" i="2421"/>
  <c r="BH50" i="2421"/>
  <c r="AZ78" i="2420"/>
  <c r="RL87" i="2421"/>
  <c r="QW87" i="2421"/>
  <c r="QH87" i="2421"/>
  <c r="PS87" i="2421"/>
  <c r="PD87" i="2421"/>
  <c r="NZ87" i="2421"/>
  <c r="OO87" i="2421"/>
  <c r="MV87" i="2421"/>
  <c r="MG87" i="2421"/>
  <c r="NK87" i="2421"/>
  <c r="LR87" i="2421"/>
  <c r="LC87" i="2421"/>
  <c r="IF87" i="2421"/>
  <c r="KN87" i="2421"/>
  <c r="JY87" i="2421"/>
  <c r="JJ87" i="2421"/>
  <c r="IU87" i="2421"/>
  <c r="HB87" i="2421"/>
  <c r="HQ87" i="2421"/>
  <c r="GM87" i="2421"/>
  <c r="FX87" i="2421"/>
  <c r="FI87" i="2421"/>
  <c r="EE87" i="2421"/>
  <c r="ET87" i="2421"/>
  <c r="DP87" i="2421"/>
  <c r="CL87" i="2421"/>
  <c r="DA87" i="2421"/>
  <c r="BW87" i="2421"/>
  <c r="BH87" i="2421"/>
  <c r="AZ20" i="2420"/>
  <c r="RL29" i="2421"/>
  <c r="QW29" i="2421"/>
  <c r="QH29" i="2421"/>
  <c r="PS29" i="2421"/>
  <c r="PD29" i="2421"/>
  <c r="OO29" i="2421"/>
  <c r="MV29" i="2421"/>
  <c r="MG29" i="2421"/>
  <c r="NZ29" i="2421"/>
  <c r="NK29" i="2421"/>
  <c r="LR29" i="2421"/>
  <c r="LC29" i="2421"/>
  <c r="IF29" i="2421"/>
  <c r="KN29" i="2421"/>
  <c r="JY29" i="2421"/>
  <c r="JJ29" i="2421"/>
  <c r="IU29" i="2421"/>
  <c r="HB29" i="2421"/>
  <c r="FX29" i="2421"/>
  <c r="GM29" i="2421"/>
  <c r="HQ29" i="2421"/>
  <c r="EE29" i="2421"/>
  <c r="ET29" i="2421"/>
  <c r="FI29" i="2421"/>
  <c r="DA29" i="2421"/>
  <c r="DP29" i="2421"/>
  <c r="CL29" i="2421"/>
  <c r="BW29" i="2421"/>
  <c r="BH29" i="2421"/>
  <c r="AZ57" i="2420"/>
  <c r="RL66" i="2421"/>
  <c r="QH66" i="2421"/>
  <c r="QW66" i="2421"/>
  <c r="PD66" i="2421"/>
  <c r="OO66" i="2421"/>
  <c r="NZ66" i="2421"/>
  <c r="PS66" i="2421"/>
  <c r="NK66" i="2421"/>
  <c r="MG66" i="2421"/>
  <c r="LR66" i="2421"/>
  <c r="MV66" i="2421"/>
  <c r="KN66" i="2421"/>
  <c r="JY66" i="2421"/>
  <c r="LC66" i="2421"/>
  <c r="IU66" i="2421"/>
  <c r="IF66" i="2421"/>
  <c r="GM66" i="2421"/>
  <c r="FX66" i="2421"/>
  <c r="HB66" i="2421"/>
  <c r="JJ66" i="2421"/>
  <c r="ET66" i="2421"/>
  <c r="FI66" i="2421"/>
  <c r="HQ66" i="2421"/>
  <c r="DP66" i="2421"/>
  <c r="EE66" i="2421"/>
  <c r="DA66" i="2421"/>
  <c r="CL66" i="2421"/>
  <c r="BW66" i="2421"/>
  <c r="BH66" i="2421"/>
  <c r="AZ94" i="2420"/>
  <c r="RL103" i="2421"/>
  <c r="QW103" i="2421"/>
  <c r="QH103" i="2421"/>
  <c r="PS103" i="2421"/>
  <c r="NZ103" i="2421"/>
  <c r="OO103" i="2421"/>
  <c r="PD103" i="2421"/>
  <c r="MG103" i="2421"/>
  <c r="NK103" i="2421"/>
  <c r="MV103" i="2421"/>
  <c r="LC103" i="2421"/>
  <c r="LR103" i="2421"/>
  <c r="JY103" i="2421"/>
  <c r="IF103" i="2421"/>
  <c r="KN103" i="2421"/>
  <c r="JJ103" i="2421"/>
  <c r="IU103" i="2421"/>
  <c r="HB103" i="2421"/>
  <c r="FI103" i="2421"/>
  <c r="HQ103" i="2421"/>
  <c r="GM103" i="2421"/>
  <c r="FX103" i="2421"/>
  <c r="EE103" i="2421"/>
  <c r="ET103" i="2421"/>
  <c r="DP103" i="2421"/>
  <c r="CL103" i="2421"/>
  <c r="DA103" i="2421"/>
  <c r="BW103" i="2421"/>
  <c r="BH103" i="2421"/>
  <c r="AZ36" i="2420"/>
  <c r="RL45" i="2421"/>
  <c r="QH45" i="2421"/>
  <c r="QW45" i="2421"/>
  <c r="PS45" i="2421"/>
  <c r="PD45" i="2421"/>
  <c r="OO45" i="2421"/>
  <c r="NZ45" i="2421"/>
  <c r="MV45" i="2421"/>
  <c r="MG45" i="2421"/>
  <c r="NK45" i="2421"/>
  <c r="LR45" i="2421"/>
  <c r="LC45" i="2421"/>
  <c r="IU45" i="2421"/>
  <c r="IF45" i="2421"/>
  <c r="KN45" i="2421"/>
  <c r="JJ45" i="2421"/>
  <c r="JY45" i="2421"/>
  <c r="HB45" i="2421"/>
  <c r="FX45" i="2421"/>
  <c r="GM45" i="2421"/>
  <c r="HQ45" i="2421"/>
  <c r="EE45" i="2421"/>
  <c r="ET45" i="2421"/>
  <c r="FI45" i="2421"/>
  <c r="DA45" i="2421"/>
  <c r="CL45" i="2421"/>
  <c r="DP45" i="2421"/>
  <c r="BW45" i="2421"/>
  <c r="BH45" i="2421"/>
  <c r="AZ44" i="2420"/>
  <c r="RL53" i="2421"/>
  <c r="QH53" i="2421"/>
  <c r="QW53" i="2421"/>
  <c r="PS53" i="2421"/>
  <c r="PD53" i="2421"/>
  <c r="OO53" i="2421"/>
  <c r="NZ53" i="2421"/>
  <c r="MG53" i="2421"/>
  <c r="MV53" i="2421"/>
  <c r="NK53" i="2421"/>
  <c r="LR53" i="2421"/>
  <c r="JY53" i="2421"/>
  <c r="LC53" i="2421"/>
  <c r="IF53" i="2421"/>
  <c r="JJ53" i="2421"/>
  <c r="IU53" i="2421"/>
  <c r="HB53" i="2421"/>
  <c r="KN53" i="2421"/>
  <c r="FX53" i="2421"/>
  <c r="HQ53" i="2421"/>
  <c r="GM53" i="2421"/>
  <c r="EE53" i="2421"/>
  <c r="FI53" i="2421"/>
  <c r="ET53" i="2421"/>
  <c r="DA53" i="2421"/>
  <c r="CL53" i="2421"/>
  <c r="DP53" i="2421"/>
  <c r="BW53" i="2421"/>
  <c r="BH53" i="2421"/>
  <c r="AZ97" i="2420"/>
  <c r="QH106" i="2421"/>
  <c r="QW106" i="2421"/>
  <c r="PS106" i="2421"/>
  <c r="PD106" i="2421"/>
  <c r="RL106" i="2421"/>
  <c r="OO106" i="2421"/>
  <c r="NZ106" i="2421"/>
  <c r="NK106" i="2421"/>
  <c r="MV106" i="2421"/>
  <c r="MG106" i="2421"/>
  <c r="LC106" i="2421"/>
  <c r="KN106" i="2421"/>
  <c r="LR106" i="2421"/>
  <c r="IU106" i="2421"/>
  <c r="JY106" i="2421"/>
  <c r="IF106" i="2421"/>
  <c r="GM106" i="2421"/>
  <c r="FX106" i="2421"/>
  <c r="JJ106" i="2421"/>
  <c r="HB106" i="2421"/>
  <c r="FI106" i="2421"/>
  <c r="HQ106" i="2421"/>
  <c r="EE106" i="2421"/>
  <c r="ET106" i="2421"/>
  <c r="DP106" i="2421"/>
  <c r="DA106" i="2421"/>
  <c r="CL106" i="2421"/>
  <c r="BW106" i="2421"/>
  <c r="BH106" i="2421"/>
  <c r="AZ55" i="2420"/>
  <c r="QH64" i="2421"/>
  <c r="RL64" i="2421"/>
  <c r="PD64" i="2421"/>
  <c r="QW64" i="2421"/>
  <c r="PS64" i="2421"/>
  <c r="OO64" i="2421"/>
  <c r="NZ64" i="2421"/>
  <c r="MV64" i="2421"/>
  <c r="NK64" i="2421"/>
  <c r="MG64" i="2421"/>
  <c r="LR64" i="2421"/>
  <c r="LC64" i="2421"/>
  <c r="KN64" i="2421"/>
  <c r="JY64" i="2421"/>
  <c r="IU64" i="2421"/>
  <c r="GM64" i="2421"/>
  <c r="FX64" i="2421"/>
  <c r="JJ64" i="2421"/>
  <c r="HB64" i="2421"/>
  <c r="IF64" i="2421"/>
  <c r="HQ64" i="2421"/>
  <c r="ET64" i="2421"/>
  <c r="FI64" i="2421"/>
  <c r="EE64" i="2421"/>
  <c r="DA64" i="2421"/>
  <c r="DP64" i="2421"/>
  <c r="CL64" i="2421"/>
  <c r="BW64" i="2421"/>
  <c r="BH64" i="2421"/>
  <c r="AZ87" i="2420"/>
  <c r="QH96" i="2421"/>
  <c r="PD96" i="2421"/>
  <c r="QW96" i="2421"/>
  <c r="RL96" i="2421"/>
  <c r="PS96" i="2421"/>
  <c r="OO96" i="2421"/>
  <c r="NZ96" i="2421"/>
  <c r="NK96" i="2421"/>
  <c r="MV96" i="2421"/>
  <c r="MG96" i="2421"/>
  <c r="LC96" i="2421"/>
  <c r="KN96" i="2421"/>
  <c r="LR96" i="2421"/>
  <c r="IU96" i="2421"/>
  <c r="IF96" i="2421"/>
  <c r="GM96" i="2421"/>
  <c r="FX96" i="2421"/>
  <c r="JJ96" i="2421"/>
  <c r="HB96" i="2421"/>
  <c r="FI96" i="2421"/>
  <c r="HQ96" i="2421"/>
  <c r="JY96" i="2421"/>
  <c r="EE96" i="2421"/>
  <c r="ET96" i="2421"/>
  <c r="DA96" i="2421"/>
  <c r="DP96" i="2421"/>
  <c r="CL96" i="2421"/>
  <c r="BW96" i="2421"/>
  <c r="BH96" i="2421"/>
  <c r="AZ103" i="2420"/>
  <c r="QH112" i="2421"/>
  <c r="PD112" i="2421"/>
  <c r="QW112" i="2421"/>
  <c r="RL112" i="2421"/>
  <c r="PS112" i="2421"/>
  <c r="OO112" i="2421"/>
  <c r="NZ112" i="2421"/>
  <c r="NK112" i="2421"/>
  <c r="MV112" i="2421"/>
  <c r="MG112" i="2421"/>
  <c r="LR112" i="2421"/>
  <c r="LC112" i="2421"/>
  <c r="KN112" i="2421"/>
  <c r="IU112" i="2421"/>
  <c r="HQ112" i="2421"/>
  <c r="JY112" i="2421"/>
  <c r="IF112" i="2421"/>
  <c r="GM112" i="2421"/>
  <c r="FX112" i="2421"/>
  <c r="JJ112" i="2421"/>
  <c r="HB112" i="2421"/>
  <c r="FI112" i="2421"/>
  <c r="EE112" i="2421"/>
  <c r="ET112" i="2421"/>
  <c r="DA112" i="2421"/>
  <c r="DP112" i="2421"/>
  <c r="CL112" i="2421"/>
  <c r="BW112" i="2421"/>
  <c r="BH112" i="2421"/>
  <c r="AZ98" i="2420"/>
  <c r="RL107" i="2421"/>
  <c r="QW107" i="2421"/>
  <c r="QH107" i="2421"/>
  <c r="PS107" i="2421"/>
  <c r="PD107" i="2421"/>
  <c r="NZ107" i="2421"/>
  <c r="OO107" i="2421"/>
  <c r="MG107" i="2421"/>
  <c r="NK107" i="2421"/>
  <c r="MV107" i="2421"/>
  <c r="LC107" i="2421"/>
  <c r="LR107" i="2421"/>
  <c r="JY107" i="2421"/>
  <c r="KN107" i="2421"/>
  <c r="IF107" i="2421"/>
  <c r="JJ107" i="2421"/>
  <c r="IU107" i="2421"/>
  <c r="HB107" i="2421"/>
  <c r="FI107" i="2421"/>
  <c r="HQ107" i="2421"/>
  <c r="GM107" i="2421"/>
  <c r="FX107" i="2421"/>
  <c r="EE107" i="2421"/>
  <c r="ET107" i="2421"/>
  <c r="CL107" i="2421"/>
  <c r="DP107" i="2421"/>
  <c r="DA107" i="2421"/>
  <c r="BW107" i="2421"/>
  <c r="BH107" i="2421"/>
  <c r="AZ73" i="2420"/>
  <c r="QH82" i="2421"/>
  <c r="RL82" i="2421"/>
  <c r="QW82" i="2421"/>
  <c r="PD82" i="2421"/>
  <c r="OO82" i="2421"/>
  <c r="PS82" i="2421"/>
  <c r="NK82" i="2421"/>
  <c r="NZ82" i="2421"/>
  <c r="MG82" i="2421"/>
  <c r="MV82" i="2421"/>
  <c r="LC82" i="2421"/>
  <c r="JY82" i="2421"/>
  <c r="KN82" i="2421"/>
  <c r="LR82" i="2421"/>
  <c r="IU82" i="2421"/>
  <c r="IF82" i="2421"/>
  <c r="GM82" i="2421"/>
  <c r="FX82" i="2421"/>
  <c r="HB82" i="2421"/>
  <c r="FI82" i="2421"/>
  <c r="EE82" i="2421"/>
  <c r="ET82" i="2421"/>
  <c r="HQ82" i="2421"/>
  <c r="JJ82" i="2421"/>
  <c r="DP82" i="2421"/>
  <c r="DA82" i="2421"/>
  <c r="CL82" i="2421"/>
  <c r="BW82" i="2421"/>
  <c r="BH82" i="2421"/>
  <c r="AZ15" i="2420"/>
  <c r="P22" i="2390" s="1"/>
  <c r="QH24" i="2421"/>
  <c r="RL24" i="2421"/>
  <c r="PD24" i="2421"/>
  <c r="QW24" i="2421"/>
  <c r="PS24" i="2421"/>
  <c r="OO24" i="2421"/>
  <c r="MG24" i="2421"/>
  <c r="NK24" i="2421"/>
  <c r="MV24" i="2421"/>
  <c r="LR24" i="2421"/>
  <c r="NZ24" i="2421"/>
  <c r="JY24" i="2421"/>
  <c r="KN24" i="2421"/>
  <c r="JJ24" i="2421"/>
  <c r="IU24" i="2421"/>
  <c r="LC24" i="2421"/>
  <c r="HQ24" i="2421"/>
  <c r="GM24" i="2421"/>
  <c r="HB24" i="2421"/>
  <c r="FI24" i="2421"/>
  <c r="EE24" i="2421"/>
  <c r="IF24" i="2421"/>
  <c r="FX24" i="2421"/>
  <c r="ET24" i="2421"/>
  <c r="DA24" i="2421"/>
  <c r="DP24" i="2421"/>
  <c r="CL24" i="2421"/>
  <c r="BW24" i="2421"/>
  <c r="BH24" i="2421"/>
  <c r="AZ52" i="2420"/>
  <c r="QH61" i="2421"/>
  <c r="QW61" i="2421"/>
  <c r="PS61" i="2421"/>
  <c r="PD61" i="2421"/>
  <c r="OO61" i="2421"/>
  <c r="NZ61" i="2421"/>
  <c r="MG61" i="2421"/>
  <c r="RL61" i="2421"/>
  <c r="NK61" i="2421"/>
  <c r="MV61" i="2421"/>
  <c r="LC61" i="2421"/>
  <c r="LR61" i="2421"/>
  <c r="IU61" i="2421"/>
  <c r="IF61" i="2421"/>
  <c r="KN61" i="2421"/>
  <c r="JY61" i="2421"/>
  <c r="JJ61" i="2421"/>
  <c r="HB61" i="2421"/>
  <c r="HQ61" i="2421"/>
  <c r="GM61" i="2421"/>
  <c r="FX61" i="2421"/>
  <c r="FI61" i="2421"/>
  <c r="ET61" i="2421"/>
  <c r="EE61" i="2421"/>
  <c r="CL61" i="2421"/>
  <c r="DP61" i="2421"/>
  <c r="DA61" i="2421"/>
  <c r="BW61" i="2421"/>
  <c r="BH61" i="2421"/>
  <c r="AZ89" i="2420"/>
  <c r="QH98" i="2421"/>
  <c r="RL98" i="2421"/>
  <c r="PD98" i="2421"/>
  <c r="QW98" i="2421"/>
  <c r="OO98" i="2421"/>
  <c r="PS98" i="2421"/>
  <c r="NK98" i="2421"/>
  <c r="MV98" i="2421"/>
  <c r="NZ98" i="2421"/>
  <c r="MG98" i="2421"/>
  <c r="LC98" i="2421"/>
  <c r="KN98" i="2421"/>
  <c r="LR98" i="2421"/>
  <c r="IU98" i="2421"/>
  <c r="JY98" i="2421"/>
  <c r="IF98" i="2421"/>
  <c r="GM98" i="2421"/>
  <c r="FX98" i="2421"/>
  <c r="HB98" i="2421"/>
  <c r="FI98" i="2421"/>
  <c r="HQ98" i="2421"/>
  <c r="EE98" i="2421"/>
  <c r="ET98" i="2421"/>
  <c r="JJ98" i="2421"/>
  <c r="DP98" i="2421"/>
  <c r="DA98" i="2421"/>
  <c r="CL98" i="2421"/>
  <c r="BW98" i="2421"/>
  <c r="BH98" i="2421"/>
  <c r="AZ31" i="2420"/>
  <c r="QH40" i="2421"/>
  <c r="RL40" i="2421"/>
  <c r="PD40" i="2421"/>
  <c r="OO40" i="2421"/>
  <c r="NZ40" i="2421"/>
  <c r="QW40" i="2421"/>
  <c r="NK40" i="2421"/>
  <c r="MG40" i="2421"/>
  <c r="MV40" i="2421"/>
  <c r="LR40" i="2421"/>
  <c r="LC40" i="2421"/>
  <c r="KN40" i="2421"/>
  <c r="JY40" i="2421"/>
  <c r="JJ40" i="2421"/>
  <c r="GM40" i="2421"/>
  <c r="HQ40" i="2421"/>
  <c r="IF40" i="2421"/>
  <c r="HB40" i="2421"/>
  <c r="IU40" i="2421"/>
  <c r="ET40" i="2421"/>
  <c r="EE40" i="2421"/>
  <c r="PS40" i="2421"/>
  <c r="FX40" i="2421"/>
  <c r="FI40" i="2421"/>
  <c r="DA40" i="2421"/>
  <c r="DP40" i="2421"/>
  <c r="CL40" i="2421"/>
  <c r="BW40" i="2421"/>
  <c r="BH40" i="2421"/>
  <c r="AZ68" i="2420"/>
  <c r="RL77" i="2421"/>
  <c r="QH77" i="2421"/>
  <c r="QW77" i="2421"/>
  <c r="PS77" i="2421"/>
  <c r="PD77" i="2421"/>
  <c r="NZ77" i="2421"/>
  <c r="OO77" i="2421"/>
  <c r="MG77" i="2421"/>
  <c r="NK77" i="2421"/>
  <c r="MV77" i="2421"/>
  <c r="LR77" i="2421"/>
  <c r="LC77" i="2421"/>
  <c r="JY77" i="2421"/>
  <c r="IF77" i="2421"/>
  <c r="KN77" i="2421"/>
  <c r="JJ77" i="2421"/>
  <c r="HB77" i="2421"/>
  <c r="HQ77" i="2421"/>
  <c r="GM77" i="2421"/>
  <c r="IU77" i="2421"/>
  <c r="FX77" i="2421"/>
  <c r="FI77" i="2421"/>
  <c r="ET77" i="2421"/>
  <c r="EE77" i="2421"/>
  <c r="DA77" i="2421"/>
  <c r="CL77" i="2421"/>
  <c r="DP77" i="2421"/>
  <c r="BW77" i="2421"/>
  <c r="BH77" i="2421"/>
  <c r="AZ10" i="2420"/>
  <c r="P17" i="2390" s="1"/>
  <c r="RL19" i="2421"/>
  <c r="QH19" i="2421"/>
  <c r="OO19" i="2421"/>
  <c r="QW19" i="2421"/>
  <c r="PS19" i="2421"/>
  <c r="PD19" i="2421"/>
  <c r="NZ19" i="2421"/>
  <c r="MG19" i="2421"/>
  <c r="MV19" i="2421"/>
  <c r="NK19" i="2421"/>
  <c r="LR19" i="2421"/>
  <c r="LC19" i="2421"/>
  <c r="JY19" i="2421"/>
  <c r="KN19" i="2421"/>
  <c r="JJ19" i="2421"/>
  <c r="IU19" i="2421"/>
  <c r="HB19" i="2421"/>
  <c r="FX19" i="2421"/>
  <c r="IF19" i="2421"/>
  <c r="GM19" i="2421"/>
  <c r="FI19" i="2421"/>
  <c r="ET19" i="2421"/>
  <c r="HQ19" i="2421"/>
  <c r="EE19" i="2421"/>
  <c r="DA19" i="2421"/>
  <c r="DP19" i="2421"/>
  <c r="BW19" i="2421"/>
  <c r="CL19" i="2421"/>
  <c r="BH19" i="2421"/>
  <c r="AZ47" i="2420"/>
  <c r="QH56" i="2421"/>
  <c r="RL56" i="2421"/>
  <c r="PD56" i="2421"/>
  <c r="QW56" i="2421"/>
  <c r="OO56" i="2421"/>
  <c r="NZ56" i="2421"/>
  <c r="PS56" i="2421"/>
  <c r="NK56" i="2421"/>
  <c r="MG56" i="2421"/>
  <c r="MV56" i="2421"/>
  <c r="LC56" i="2421"/>
  <c r="KN56" i="2421"/>
  <c r="LR56" i="2421"/>
  <c r="JY56" i="2421"/>
  <c r="JJ56" i="2421"/>
  <c r="GM56" i="2421"/>
  <c r="IF56" i="2421"/>
  <c r="IU56" i="2421"/>
  <c r="HB56" i="2421"/>
  <c r="FX56" i="2421"/>
  <c r="FI56" i="2421"/>
  <c r="ET56" i="2421"/>
  <c r="HQ56" i="2421"/>
  <c r="EE56" i="2421"/>
  <c r="DA56" i="2421"/>
  <c r="DP56" i="2421"/>
  <c r="CL56" i="2421"/>
  <c r="BW56" i="2421"/>
  <c r="BH56" i="2421"/>
  <c r="AZ84" i="2420"/>
  <c r="RL93" i="2421"/>
  <c r="QW93" i="2421"/>
  <c r="QH93" i="2421"/>
  <c r="PD93" i="2421"/>
  <c r="PS93" i="2421"/>
  <c r="NZ93" i="2421"/>
  <c r="OO93" i="2421"/>
  <c r="MG93" i="2421"/>
  <c r="NK93" i="2421"/>
  <c r="MV93" i="2421"/>
  <c r="LR93" i="2421"/>
  <c r="LC93" i="2421"/>
  <c r="JY93" i="2421"/>
  <c r="IF93" i="2421"/>
  <c r="KN93" i="2421"/>
  <c r="JJ93" i="2421"/>
  <c r="IU93" i="2421"/>
  <c r="HB93" i="2421"/>
  <c r="HQ93" i="2421"/>
  <c r="GM93" i="2421"/>
  <c r="FX93" i="2421"/>
  <c r="FI93" i="2421"/>
  <c r="EE93" i="2421"/>
  <c r="ET93" i="2421"/>
  <c r="CL93" i="2421"/>
  <c r="DP93" i="2421"/>
  <c r="DA93" i="2421"/>
  <c r="BW93" i="2421"/>
  <c r="BH93" i="2421"/>
  <c r="AZ26" i="2420"/>
  <c r="P33" i="2390" s="1"/>
  <c r="RL35" i="2421"/>
  <c r="QH35" i="2421"/>
  <c r="PS35" i="2421"/>
  <c r="PD35" i="2421"/>
  <c r="QW35" i="2421"/>
  <c r="OO35" i="2421"/>
  <c r="NZ35" i="2421"/>
  <c r="MG35" i="2421"/>
  <c r="MV35" i="2421"/>
  <c r="NK35" i="2421"/>
  <c r="LR35" i="2421"/>
  <c r="LC35" i="2421"/>
  <c r="IF35" i="2421"/>
  <c r="JJ35" i="2421"/>
  <c r="KN35" i="2421"/>
  <c r="IU35" i="2421"/>
  <c r="JY35" i="2421"/>
  <c r="HB35" i="2421"/>
  <c r="FX35" i="2421"/>
  <c r="GM35" i="2421"/>
  <c r="EE35" i="2421"/>
  <c r="FI35" i="2421"/>
  <c r="HQ35" i="2421"/>
  <c r="ET35" i="2421"/>
  <c r="DP35" i="2421"/>
  <c r="DA35" i="2421"/>
  <c r="CL35" i="2421"/>
  <c r="BW35" i="2421"/>
  <c r="BH35" i="2421"/>
  <c r="AZ63" i="2420"/>
  <c r="RL72" i="2421"/>
  <c r="QH72" i="2421"/>
  <c r="PD72" i="2421"/>
  <c r="OO72" i="2421"/>
  <c r="NZ72" i="2421"/>
  <c r="PS72" i="2421"/>
  <c r="QW72" i="2421"/>
  <c r="NK72" i="2421"/>
  <c r="MV72" i="2421"/>
  <c r="MG72" i="2421"/>
  <c r="LR72" i="2421"/>
  <c r="LC72" i="2421"/>
  <c r="KN72" i="2421"/>
  <c r="JY72" i="2421"/>
  <c r="IU72" i="2421"/>
  <c r="JJ72" i="2421"/>
  <c r="GM72" i="2421"/>
  <c r="IF72" i="2421"/>
  <c r="FX72" i="2421"/>
  <c r="HB72" i="2421"/>
  <c r="FI72" i="2421"/>
  <c r="ET72" i="2421"/>
  <c r="HQ72" i="2421"/>
  <c r="EE72" i="2421"/>
  <c r="DA72" i="2421"/>
  <c r="DP72" i="2421"/>
  <c r="CL72" i="2421"/>
  <c r="BW72" i="2421"/>
  <c r="BH72" i="2421"/>
  <c r="AZ100" i="2420"/>
  <c r="RL109" i="2421"/>
  <c r="QW109" i="2421"/>
  <c r="QH109" i="2421"/>
  <c r="PS109" i="2421"/>
  <c r="NZ109" i="2421"/>
  <c r="PD109" i="2421"/>
  <c r="OO109" i="2421"/>
  <c r="MG109" i="2421"/>
  <c r="NK109" i="2421"/>
  <c r="MV109" i="2421"/>
  <c r="LC109" i="2421"/>
  <c r="LR109" i="2421"/>
  <c r="JY109" i="2421"/>
  <c r="IF109" i="2421"/>
  <c r="KN109" i="2421"/>
  <c r="JJ109" i="2421"/>
  <c r="IU109" i="2421"/>
  <c r="HB109" i="2421"/>
  <c r="FI109" i="2421"/>
  <c r="HQ109" i="2421"/>
  <c r="GM109" i="2421"/>
  <c r="FX109" i="2421"/>
  <c r="EE109" i="2421"/>
  <c r="ET109" i="2421"/>
  <c r="CL109" i="2421"/>
  <c r="DP109" i="2421"/>
  <c r="DA109" i="2421"/>
  <c r="BW109" i="2421"/>
  <c r="BH109" i="2421"/>
  <c r="AZ42" i="2420"/>
  <c r="RL51" i="2421"/>
  <c r="QH51" i="2421"/>
  <c r="PS51" i="2421"/>
  <c r="PD51" i="2421"/>
  <c r="QW51" i="2421"/>
  <c r="OO51" i="2421"/>
  <c r="NZ51" i="2421"/>
  <c r="MG51" i="2421"/>
  <c r="NK51" i="2421"/>
  <c r="LR51" i="2421"/>
  <c r="MV51" i="2421"/>
  <c r="JY51" i="2421"/>
  <c r="LC51" i="2421"/>
  <c r="IF51" i="2421"/>
  <c r="JJ51" i="2421"/>
  <c r="KN51" i="2421"/>
  <c r="IU51" i="2421"/>
  <c r="HB51" i="2421"/>
  <c r="FX51" i="2421"/>
  <c r="HQ51" i="2421"/>
  <c r="GM51" i="2421"/>
  <c r="EE51" i="2421"/>
  <c r="FI51" i="2421"/>
  <c r="ET51" i="2421"/>
  <c r="CL51" i="2421"/>
  <c r="DP51" i="2421"/>
  <c r="DA51" i="2421"/>
  <c r="BW51" i="2421"/>
  <c r="BH51" i="2421"/>
  <c r="AZ79" i="2420"/>
  <c r="QH88" i="2421"/>
  <c r="QW88" i="2421"/>
  <c r="RL88" i="2421"/>
  <c r="PD88" i="2421"/>
  <c r="OO88" i="2421"/>
  <c r="PS88" i="2421"/>
  <c r="NK88" i="2421"/>
  <c r="MV88" i="2421"/>
  <c r="MG88" i="2421"/>
  <c r="NZ88" i="2421"/>
  <c r="JY88" i="2421"/>
  <c r="LC88" i="2421"/>
  <c r="KN88" i="2421"/>
  <c r="LR88" i="2421"/>
  <c r="IU88" i="2421"/>
  <c r="IF88" i="2421"/>
  <c r="JJ88" i="2421"/>
  <c r="GM88" i="2421"/>
  <c r="FX88" i="2421"/>
  <c r="HB88" i="2421"/>
  <c r="HQ88" i="2421"/>
  <c r="EE88" i="2421"/>
  <c r="ET88" i="2421"/>
  <c r="FI88" i="2421"/>
  <c r="DA88" i="2421"/>
  <c r="DP88" i="2421"/>
  <c r="CL88" i="2421"/>
  <c r="BW88" i="2421"/>
  <c r="BH88" i="2421"/>
  <c r="AZ21" i="2420"/>
  <c r="QW30" i="2421"/>
  <c r="QH30" i="2421"/>
  <c r="PS30" i="2421"/>
  <c r="RL30" i="2421"/>
  <c r="PD30" i="2421"/>
  <c r="OO30" i="2421"/>
  <c r="NK30" i="2421"/>
  <c r="MG30" i="2421"/>
  <c r="MV30" i="2421"/>
  <c r="JY30" i="2421"/>
  <c r="KN30" i="2421"/>
  <c r="NZ30" i="2421"/>
  <c r="LR30" i="2421"/>
  <c r="LC30" i="2421"/>
  <c r="HQ30" i="2421"/>
  <c r="GM30" i="2421"/>
  <c r="JJ30" i="2421"/>
  <c r="IF30" i="2421"/>
  <c r="IU30" i="2421"/>
  <c r="HB30" i="2421"/>
  <c r="FX30" i="2421"/>
  <c r="ET30" i="2421"/>
  <c r="EE30" i="2421"/>
  <c r="FI30" i="2421"/>
  <c r="DP30" i="2421"/>
  <c r="DA30" i="2421"/>
  <c r="BW30" i="2421"/>
  <c r="CL30" i="2421"/>
  <c r="BH30" i="2421"/>
  <c r="AZ58" i="2420"/>
  <c r="RL67" i="2421"/>
  <c r="QH67" i="2421"/>
  <c r="PS67" i="2421"/>
  <c r="PD67" i="2421"/>
  <c r="QW67" i="2421"/>
  <c r="OO67" i="2421"/>
  <c r="NZ67" i="2421"/>
  <c r="MG67" i="2421"/>
  <c r="NK67" i="2421"/>
  <c r="MV67" i="2421"/>
  <c r="LR67" i="2421"/>
  <c r="LC67" i="2421"/>
  <c r="IU67" i="2421"/>
  <c r="JY67" i="2421"/>
  <c r="IF67" i="2421"/>
  <c r="JJ67" i="2421"/>
  <c r="KN67" i="2421"/>
  <c r="HB67" i="2421"/>
  <c r="HQ67" i="2421"/>
  <c r="GM67" i="2421"/>
  <c r="FX67" i="2421"/>
  <c r="FI67" i="2421"/>
  <c r="ET67" i="2421"/>
  <c r="CL67" i="2421"/>
  <c r="DP67" i="2421"/>
  <c r="EE67" i="2421"/>
  <c r="DA67" i="2421"/>
  <c r="BW67" i="2421"/>
  <c r="BH67" i="2421"/>
  <c r="AZ95" i="2420"/>
  <c r="QH104" i="2421"/>
  <c r="QW104" i="2421"/>
  <c r="RL104" i="2421"/>
  <c r="PS104" i="2421"/>
  <c r="PD104" i="2421"/>
  <c r="OO104" i="2421"/>
  <c r="NK104" i="2421"/>
  <c r="MV104" i="2421"/>
  <c r="MG104" i="2421"/>
  <c r="NZ104" i="2421"/>
  <c r="LC104" i="2421"/>
  <c r="KN104" i="2421"/>
  <c r="LR104" i="2421"/>
  <c r="IU104" i="2421"/>
  <c r="IF104" i="2421"/>
  <c r="JJ104" i="2421"/>
  <c r="GM104" i="2421"/>
  <c r="FX104" i="2421"/>
  <c r="HB104" i="2421"/>
  <c r="FI104" i="2421"/>
  <c r="JY104" i="2421"/>
  <c r="HQ104" i="2421"/>
  <c r="EE104" i="2421"/>
  <c r="ET104" i="2421"/>
  <c r="DA104" i="2421"/>
  <c r="DP104" i="2421"/>
  <c r="CL104" i="2421"/>
  <c r="BW104" i="2421"/>
  <c r="BH104" i="2421"/>
  <c r="AZ37" i="2420"/>
  <c r="QH46" i="2421"/>
  <c r="RL46" i="2421"/>
  <c r="QW46" i="2421"/>
  <c r="OO46" i="2421"/>
  <c r="NZ46" i="2421"/>
  <c r="PD46" i="2421"/>
  <c r="PS46" i="2421"/>
  <c r="NK46" i="2421"/>
  <c r="MG46" i="2421"/>
  <c r="LR46" i="2421"/>
  <c r="LC46" i="2421"/>
  <c r="MV46" i="2421"/>
  <c r="KN46" i="2421"/>
  <c r="JY46" i="2421"/>
  <c r="IU46" i="2421"/>
  <c r="HQ46" i="2421"/>
  <c r="GM46" i="2421"/>
  <c r="JJ46" i="2421"/>
  <c r="IF46" i="2421"/>
  <c r="HB46" i="2421"/>
  <c r="FX46" i="2421"/>
  <c r="EE46" i="2421"/>
  <c r="ET46" i="2421"/>
  <c r="FI46" i="2421"/>
  <c r="DP46" i="2421"/>
  <c r="DA46" i="2421"/>
  <c r="CL46" i="2421"/>
  <c r="BW46" i="2421"/>
  <c r="BH46" i="2421"/>
  <c r="AZ74" i="2420"/>
  <c r="RL83" i="2421"/>
  <c r="QH83" i="2421"/>
  <c r="PS83" i="2421"/>
  <c r="PD83" i="2421"/>
  <c r="QW83" i="2421"/>
  <c r="NZ83" i="2421"/>
  <c r="OO83" i="2421"/>
  <c r="MG83" i="2421"/>
  <c r="NK83" i="2421"/>
  <c r="LR83" i="2421"/>
  <c r="MV83" i="2421"/>
  <c r="IF83" i="2421"/>
  <c r="LC83" i="2421"/>
  <c r="JJ83" i="2421"/>
  <c r="KN83" i="2421"/>
  <c r="HB83" i="2421"/>
  <c r="JY83" i="2421"/>
  <c r="HQ83" i="2421"/>
  <c r="GM83" i="2421"/>
  <c r="FX83" i="2421"/>
  <c r="IU83" i="2421"/>
  <c r="FI83" i="2421"/>
  <c r="EE83" i="2421"/>
  <c r="ET83" i="2421"/>
  <c r="DA83" i="2421"/>
  <c r="CL83" i="2421"/>
  <c r="DP83" i="2421"/>
  <c r="BW83" i="2421"/>
  <c r="BH83" i="2421"/>
  <c r="AZ16" i="2420"/>
  <c r="QW25" i="2421"/>
  <c r="QH25" i="2421"/>
  <c r="PS25" i="2421"/>
  <c r="RL25" i="2421"/>
  <c r="PD25" i="2421"/>
  <c r="OO25" i="2421"/>
  <c r="MG25" i="2421"/>
  <c r="NK25" i="2421"/>
  <c r="NZ25" i="2421"/>
  <c r="MV25" i="2421"/>
  <c r="LR25" i="2421"/>
  <c r="LC25" i="2421"/>
  <c r="IU25" i="2421"/>
  <c r="JY25" i="2421"/>
  <c r="JJ25" i="2421"/>
  <c r="KN25" i="2421"/>
  <c r="HB25" i="2421"/>
  <c r="FX25" i="2421"/>
  <c r="HQ25" i="2421"/>
  <c r="IF25" i="2421"/>
  <c r="GM25" i="2421"/>
  <c r="ET25" i="2421"/>
  <c r="EE25" i="2421"/>
  <c r="FI25" i="2421"/>
  <c r="DP25" i="2421"/>
  <c r="DA25" i="2421"/>
  <c r="BW25" i="2421"/>
  <c r="CL25" i="2421"/>
  <c r="BH25" i="2421"/>
  <c r="AZ53" i="2420"/>
  <c r="QH62" i="2421"/>
  <c r="RL62" i="2421"/>
  <c r="QW62" i="2421"/>
  <c r="PD62" i="2421"/>
  <c r="OO62" i="2421"/>
  <c r="NZ62" i="2421"/>
  <c r="PS62" i="2421"/>
  <c r="NK62" i="2421"/>
  <c r="MG62" i="2421"/>
  <c r="MV62" i="2421"/>
  <c r="LR62" i="2421"/>
  <c r="KN62" i="2421"/>
  <c r="JY62" i="2421"/>
  <c r="LC62" i="2421"/>
  <c r="IU62" i="2421"/>
  <c r="GM62" i="2421"/>
  <c r="JJ62" i="2421"/>
  <c r="IF62" i="2421"/>
  <c r="FX62" i="2421"/>
  <c r="HB62" i="2421"/>
  <c r="HQ62" i="2421"/>
  <c r="FI62" i="2421"/>
  <c r="ET62" i="2421"/>
  <c r="DA62" i="2421"/>
  <c r="DP62" i="2421"/>
  <c r="EE62" i="2421"/>
  <c r="CL62" i="2421"/>
  <c r="BW62" i="2421"/>
  <c r="BH62" i="2421"/>
  <c r="AZ90" i="2420"/>
  <c r="RL99" i="2421"/>
  <c r="QW99" i="2421"/>
  <c r="QH99" i="2421"/>
  <c r="PS99" i="2421"/>
  <c r="PD99" i="2421"/>
  <c r="NZ99" i="2421"/>
  <c r="OO99" i="2421"/>
  <c r="MG99" i="2421"/>
  <c r="NK99" i="2421"/>
  <c r="MV99" i="2421"/>
  <c r="LC99" i="2421"/>
  <c r="LR99" i="2421"/>
  <c r="JY99" i="2421"/>
  <c r="IF99" i="2421"/>
  <c r="JJ99" i="2421"/>
  <c r="KN99" i="2421"/>
  <c r="IU99" i="2421"/>
  <c r="HB99" i="2421"/>
  <c r="FI99" i="2421"/>
  <c r="HQ99" i="2421"/>
  <c r="GM99" i="2421"/>
  <c r="FX99" i="2421"/>
  <c r="EE99" i="2421"/>
  <c r="ET99" i="2421"/>
  <c r="DA99" i="2421"/>
  <c r="CL99" i="2421"/>
  <c r="DP99" i="2421"/>
  <c r="BW99" i="2421"/>
  <c r="BH99" i="2421"/>
  <c r="AZ32" i="2420"/>
  <c r="QH41" i="2421"/>
  <c r="RL41" i="2421"/>
  <c r="PS41" i="2421"/>
  <c r="QW41" i="2421"/>
  <c r="PD41" i="2421"/>
  <c r="OO41" i="2421"/>
  <c r="NZ41" i="2421"/>
  <c r="MG41" i="2421"/>
  <c r="MV41" i="2421"/>
  <c r="NK41" i="2421"/>
  <c r="LR41" i="2421"/>
  <c r="LC41" i="2421"/>
  <c r="JY41" i="2421"/>
  <c r="IF41" i="2421"/>
  <c r="JJ41" i="2421"/>
  <c r="IU41" i="2421"/>
  <c r="KN41" i="2421"/>
  <c r="HB41" i="2421"/>
  <c r="FX41" i="2421"/>
  <c r="GM41" i="2421"/>
  <c r="HQ41" i="2421"/>
  <c r="EE41" i="2421"/>
  <c r="FI41" i="2421"/>
  <c r="ET41" i="2421"/>
  <c r="DP41" i="2421"/>
  <c r="CL41" i="2421"/>
  <c r="DA41" i="2421"/>
  <c r="BW41" i="2421"/>
  <c r="BH41" i="2421"/>
  <c r="AZ69" i="2420"/>
  <c r="RL78" i="2421"/>
  <c r="QH78" i="2421"/>
  <c r="QW78" i="2421"/>
  <c r="PD78" i="2421"/>
  <c r="NZ78" i="2421"/>
  <c r="OO78" i="2421"/>
  <c r="PS78" i="2421"/>
  <c r="NK78" i="2421"/>
  <c r="MG78" i="2421"/>
  <c r="LC78" i="2421"/>
  <c r="MV78" i="2421"/>
  <c r="LR78" i="2421"/>
  <c r="KN78" i="2421"/>
  <c r="JY78" i="2421"/>
  <c r="IU78" i="2421"/>
  <c r="GM78" i="2421"/>
  <c r="JJ78" i="2421"/>
  <c r="IF78" i="2421"/>
  <c r="FX78" i="2421"/>
  <c r="HB78" i="2421"/>
  <c r="HQ78" i="2421"/>
  <c r="ET78" i="2421"/>
  <c r="FI78" i="2421"/>
  <c r="DP78" i="2421"/>
  <c r="EE78" i="2421"/>
  <c r="DA78" i="2421"/>
  <c r="CL78" i="2421"/>
  <c r="BW78" i="2421"/>
  <c r="BH78" i="2421"/>
  <c r="AZ60" i="2420"/>
  <c r="RL69" i="2421"/>
  <c r="QH69" i="2421"/>
  <c r="QW69" i="2421"/>
  <c r="PS69" i="2421"/>
  <c r="PD69" i="2421"/>
  <c r="OO69" i="2421"/>
  <c r="NZ69" i="2421"/>
  <c r="MG69" i="2421"/>
  <c r="MV69" i="2421"/>
  <c r="NK69" i="2421"/>
  <c r="LR69" i="2421"/>
  <c r="LC69" i="2421"/>
  <c r="IF69" i="2421"/>
  <c r="JJ69" i="2421"/>
  <c r="JY69" i="2421"/>
  <c r="KN69" i="2421"/>
  <c r="HB69" i="2421"/>
  <c r="IU69" i="2421"/>
  <c r="HQ69" i="2421"/>
  <c r="GM69" i="2421"/>
  <c r="FX69" i="2421"/>
  <c r="FI69" i="2421"/>
  <c r="ET69" i="2421"/>
  <c r="EE69" i="2421"/>
  <c r="CL69" i="2421"/>
  <c r="DP69" i="2421"/>
  <c r="DA69" i="2421"/>
  <c r="BW69" i="2421"/>
  <c r="BH69" i="2421"/>
  <c r="AZ18" i="2420"/>
  <c r="RL27" i="2421"/>
  <c r="QW27" i="2421"/>
  <c r="QH27" i="2421"/>
  <c r="PD27" i="2421"/>
  <c r="OO27" i="2421"/>
  <c r="PS27" i="2421"/>
  <c r="MG27" i="2421"/>
  <c r="MV27" i="2421"/>
  <c r="NZ27" i="2421"/>
  <c r="LR27" i="2421"/>
  <c r="NK27" i="2421"/>
  <c r="LC27" i="2421"/>
  <c r="KN27" i="2421"/>
  <c r="IF27" i="2421"/>
  <c r="JY27" i="2421"/>
  <c r="JJ27" i="2421"/>
  <c r="IU27" i="2421"/>
  <c r="HQ27" i="2421"/>
  <c r="HB27" i="2421"/>
  <c r="FX27" i="2421"/>
  <c r="GM27" i="2421"/>
  <c r="EE27" i="2421"/>
  <c r="FI27" i="2421"/>
  <c r="ET27" i="2421"/>
  <c r="DA27" i="2421"/>
  <c r="DP27" i="2421"/>
  <c r="CL27" i="2421"/>
  <c r="BW27" i="2421"/>
  <c r="BH27" i="2421"/>
  <c r="AZ50" i="2420"/>
  <c r="QH59" i="2421"/>
  <c r="PS59" i="2421"/>
  <c r="PD59" i="2421"/>
  <c r="RL59" i="2421"/>
  <c r="QW59" i="2421"/>
  <c r="OO59" i="2421"/>
  <c r="NZ59" i="2421"/>
  <c r="MG59" i="2421"/>
  <c r="NK59" i="2421"/>
  <c r="MV59" i="2421"/>
  <c r="LC59" i="2421"/>
  <c r="LR59" i="2421"/>
  <c r="KN59" i="2421"/>
  <c r="JY59" i="2421"/>
  <c r="IF59" i="2421"/>
  <c r="IU59" i="2421"/>
  <c r="JJ59" i="2421"/>
  <c r="HB59" i="2421"/>
  <c r="HQ59" i="2421"/>
  <c r="GM59" i="2421"/>
  <c r="FX59" i="2421"/>
  <c r="FI59" i="2421"/>
  <c r="ET59" i="2421"/>
  <c r="CL59" i="2421"/>
  <c r="DP59" i="2421"/>
  <c r="EE59" i="2421"/>
  <c r="DA59" i="2421"/>
  <c r="BW59" i="2421"/>
  <c r="BH59" i="2421"/>
  <c r="AZ45" i="2420"/>
  <c r="QH54" i="2421"/>
  <c r="RL54" i="2421"/>
  <c r="QW54" i="2421"/>
  <c r="PD54" i="2421"/>
  <c r="PS54" i="2421"/>
  <c r="OO54" i="2421"/>
  <c r="NZ54" i="2421"/>
  <c r="NK54" i="2421"/>
  <c r="MG54" i="2421"/>
  <c r="MV54" i="2421"/>
  <c r="LC54" i="2421"/>
  <c r="LR54" i="2421"/>
  <c r="KN54" i="2421"/>
  <c r="JY54" i="2421"/>
  <c r="IU54" i="2421"/>
  <c r="GM54" i="2421"/>
  <c r="HB54" i="2421"/>
  <c r="JJ54" i="2421"/>
  <c r="FX54" i="2421"/>
  <c r="IF54" i="2421"/>
  <c r="FI54" i="2421"/>
  <c r="ET54" i="2421"/>
  <c r="HQ54" i="2421"/>
  <c r="EE54" i="2421"/>
  <c r="DP54" i="2421"/>
  <c r="DA54" i="2421"/>
  <c r="CL54" i="2421"/>
  <c r="BW54" i="2421"/>
  <c r="BH54" i="2421"/>
  <c r="AZ61" i="2420"/>
  <c r="RL70" i="2421"/>
  <c r="QH70" i="2421"/>
  <c r="QW70" i="2421"/>
  <c r="PD70" i="2421"/>
  <c r="PS70" i="2421"/>
  <c r="OO70" i="2421"/>
  <c r="NZ70" i="2421"/>
  <c r="NK70" i="2421"/>
  <c r="MG70" i="2421"/>
  <c r="MV70" i="2421"/>
  <c r="LC70" i="2421"/>
  <c r="LR70" i="2421"/>
  <c r="KN70" i="2421"/>
  <c r="JY70" i="2421"/>
  <c r="IU70" i="2421"/>
  <c r="GM70" i="2421"/>
  <c r="FX70" i="2421"/>
  <c r="HB70" i="2421"/>
  <c r="JJ70" i="2421"/>
  <c r="IF70" i="2421"/>
  <c r="ET70" i="2421"/>
  <c r="HQ70" i="2421"/>
  <c r="FI70" i="2421"/>
  <c r="DA70" i="2421"/>
  <c r="DP70" i="2421"/>
  <c r="EE70" i="2421"/>
  <c r="CL70" i="2421"/>
  <c r="BW70" i="2421"/>
  <c r="BH70" i="2421"/>
  <c r="AZ11" i="2420"/>
  <c r="P18" i="2390" s="1"/>
  <c r="QH20" i="2421"/>
  <c r="RL20" i="2421"/>
  <c r="PS20" i="2421"/>
  <c r="PD20" i="2421"/>
  <c r="OO20" i="2421"/>
  <c r="NK20" i="2421"/>
  <c r="NZ20" i="2421"/>
  <c r="QW20" i="2421"/>
  <c r="MV20" i="2421"/>
  <c r="MG20" i="2421"/>
  <c r="LR20" i="2421"/>
  <c r="LC20" i="2421"/>
  <c r="KN20" i="2421"/>
  <c r="JJ20" i="2421"/>
  <c r="IU20" i="2421"/>
  <c r="JY20" i="2421"/>
  <c r="GM20" i="2421"/>
  <c r="HQ20" i="2421"/>
  <c r="HB20" i="2421"/>
  <c r="IF20" i="2421"/>
  <c r="FX20" i="2421"/>
  <c r="FI20" i="2421"/>
  <c r="EE20" i="2421"/>
  <c r="DP20" i="2421"/>
  <c r="ET20" i="2421"/>
  <c r="DA20" i="2421"/>
  <c r="CL20" i="2421"/>
  <c r="BW20" i="2421"/>
  <c r="BH20" i="2421"/>
  <c r="AZ48" i="2420"/>
  <c r="QH57" i="2421"/>
  <c r="PS57" i="2421"/>
  <c r="RL57" i="2421"/>
  <c r="QW57" i="2421"/>
  <c r="PD57" i="2421"/>
  <c r="OO57" i="2421"/>
  <c r="NZ57" i="2421"/>
  <c r="MV57" i="2421"/>
  <c r="MG57" i="2421"/>
  <c r="NK57" i="2421"/>
  <c r="LR57" i="2421"/>
  <c r="LC57" i="2421"/>
  <c r="JY57" i="2421"/>
  <c r="IF57" i="2421"/>
  <c r="JJ57" i="2421"/>
  <c r="IU57" i="2421"/>
  <c r="KN57" i="2421"/>
  <c r="HB57" i="2421"/>
  <c r="FX57" i="2421"/>
  <c r="HQ57" i="2421"/>
  <c r="GM57" i="2421"/>
  <c r="FI57" i="2421"/>
  <c r="ET57" i="2421"/>
  <c r="DA57" i="2421"/>
  <c r="DP57" i="2421"/>
  <c r="CL57" i="2421"/>
  <c r="EE57" i="2421"/>
  <c r="BW57" i="2421"/>
  <c r="BH57" i="2421"/>
  <c r="AZ85" i="2420"/>
  <c r="QH94" i="2421"/>
  <c r="QW94" i="2421"/>
  <c r="RL94" i="2421"/>
  <c r="PD94" i="2421"/>
  <c r="PS94" i="2421"/>
  <c r="OO94" i="2421"/>
  <c r="NK94" i="2421"/>
  <c r="MG94" i="2421"/>
  <c r="NZ94" i="2421"/>
  <c r="LR94" i="2421"/>
  <c r="KN94" i="2421"/>
  <c r="MV94" i="2421"/>
  <c r="LC94" i="2421"/>
  <c r="IU94" i="2421"/>
  <c r="JY94" i="2421"/>
  <c r="IF94" i="2421"/>
  <c r="GM94" i="2421"/>
  <c r="JJ94" i="2421"/>
  <c r="FX94" i="2421"/>
  <c r="HB94" i="2421"/>
  <c r="FI94" i="2421"/>
  <c r="HQ94" i="2421"/>
  <c r="EE94" i="2421"/>
  <c r="ET94" i="2421"/>
  <c r="DP94" i="2421"/>
  <c r="DA94" i="2421"/>
  <c r="CL94" i="2421"/>
  <c r="BW94" i="2421"/>
  <c r="BH94" i="2421"/>
  <c r="AZ27" i="2420"/>
  <c r="QH36" i="2421"/>
  <c r="RL36" i="2421"/>
  <c r="QW36" i="2421"/>
  <c r="PS36" i="2421"/>
  <c r="PD36" i="2421"/>
  <c r="OO36" i="2421"/>
  <c r="NZ36" i="2421"/>
  <c r="NK36" i="2421"/>
  <c r="MG36" i="2421"/>
  <c r="MV36" i="2421"/>
  <c r="KN36" i="2421"/>
  <c r="LC36" i="2421"/>
  <c r="JY36" i="2421"/>
  <c r="IU36" i="2421"/>
  <c r="LR36" i="2421"/>
  <c r="GM36" i="2421"/>
  <c r="JJ36" i="2421"/>
  <c r="HQ36" i="2421"/>
  <c r="HB36" i="2421"/>
  <c r="FX36" i="2421"/>
  <c r="IF36" i="2421"/>
  <c r="EE36" i="2421"/>
  <c r="FI36" i="2421"/>
  <c r="ET36" i="2421"/>
  <c r="DA36" i="2421"/>
  <c r="DP36" i="2421"/>
  <c r="BW36" i="2421"/>
  <c r="CL36" i="2421"/>
  <c r="BH36" i="2421"/>
  <c r="AZ64" i="2420"/>
  <c r="RL73" i="2421"/>
  <c r="QH73" i="2421"/>
  <c r="PS73" i="2421"/>
  <c r="PD73" i="2421"/>
  <c r="QW73" i="2421"/>
  <c r="OO73" i="2421"/>
  <c r="NZ73" i="2421"/>
  <c r="MV73" i="2421"/>
  <c r="MG73" i="2421"/>
  <c r="NK73" i="2421"/>
  <c r="LC73" i="2421"/>
  <c r="LR73" i="2421"/>
  <c r="IF73" i="2421"/>
  <c r="JY73" i="2421"/>
  <c r="JJ73" i="2421"/>
  <c r="KN73" i="2421"/>
  <c r="IU73" i="2421"/>
  <c r="HB73" i="2421"/>
  <c r="HQ73" i="2421"/>
  <c r="GM73" i="2421"/>
  <c r="FX73" i="2421"/>
  <c r="FI73" i="2421"/>
  <c r="ET73" i="2421"/>
  <c r="DA73" i="2421"/>
  <c r="DP73" i="2421"/>
  <c r="CL73" i="2421"/>
  <c r="EE73" i="2421"/>
  <c r="BW73" i="2421"/>
  <c r="BH73" i="2421"/>
  <c r="AZ101" i="2420"/>
  <c r="QH110" i="2421"/>
  <c r="QW110" i="2421"/>
  <c r="RL110" i="2421"/>
  <c r="PD110" i="2421"/>
  <c r="PS110" i="2421"/>
  <c r="OO110" i="2421"/>
  <c r="NK110" i="2421"/>
  <c r="MV110" i="2421"/>
  <c r="MG110" i="2421"/>
  <c r="NZ110" i="2421"/>
  <c r="LC110" i="2421"/>
  <c r="KN110" i="2421"/>
  <c r="LR110" i="2421"/>
  <c r="IU110" i="2421"/>
  <c r="IF110" i="2421"/>
  <c r="JY110" i="2421"/>
  <c r="GM110" i="2421"/>
  <c r="JJ110" i="2421"/>
  <c r="FX110" i="2421"/>
  <c r="HB110" i="2421"/>
  <c r="FI110" i="2421"/>
  <c r="HQ110" i="2421"/>
  <c r="EE110" i="2421"/>
  <c r="ET110" i="2421"/>
  <c r="DP110" i="2421"/>
  <c r="DA110" i="2421"/>
  <c r="CL110" i="2421"/>
  <c r="BW110" i="2421"/>
  <c r="BH110" i="2421"/>
  <c r="AZ43" i="2420"/>
  <c r="QH52" i="2421"/>
  <c r="RL52" i="2421"/>
  <c r="QW52" i="2421"/>
  <c r="PD52" i="2421"/>
  <c r="OO52" i="2421"/>
  <c r="NZ52" i="2421"/>
  <c r="PS52" i="2421"/>
  <c r="NK52" i="2421"/>
  <c r="MG52" i="2421"/>
  <c r="MV52" i="2421"/>
  <c r="LC52" i="2421"/>
  <c r="KN52" i="2421"/>
  <c r="LR52" i="2421"/>
  <c r="IU52" i="2421"/>
  <c r="JY52" i="2421"/>
  <c r="GM52" i="2421"/>
  <c r="JJ52" i="2421"/>
  <c r="IF52" i="2421"/>
  <c r="HB52" i="2421"/>
  <c r="HQ52" i="2421"/>
  <c r="FX52" i="2421"/>
  <c r="ET52" i="2421"/>
  <c r="EE52" i="2421"/>
  <c r="FI52" i="2421"/>
  <c r="DA52" i="2421"/>
  <c r="DP52" i="2421"/>
  <c r="CL52" i="2421"/>
  <c r="BW52" i="2421"/>
  <c r="BH52" i="2421"/>
  <c r="AZ80" i="2420"/>
  <c r="RL89" i="2421"/>
  <c r="QW89" i="2421"/>
  <c r="QH89" i="2421"/>
  <c r="PS89" i="2421"/>
  <c r="PD89" i="2421"/>
  <c r="NZ89" i="2421"/>
  <c r="OO89" i="2421"/>
  <c r="MV89" i="2421"/>
  <c r="MG89" i="2421"/>
  <c r="NK89" i="2421"/>
  <c r="LR89" i="2421"/>
  <c r="LC89" i="2421"/>
  <c r="IF89" i="2421"/>
  <c r="JJ89" i="2421"/>
  <c r="KN89" i="2421"/>
  <c r="JY89" i="2421"/>
  <c r="IU89" i="2421"/>
  <c r="HB89" i="2421"/>
  <c r="HQ89" i="2421"/>
  <c r="GM89" i="2421"/>
  <c r="FX89" i="2421"/>
  <c r="FI89" i="2421"/>
  <c r="EE89" i="2421"/>
  <c r="ET89" i="2421"/>
  <c r="DP89" i="2421"/>
  <c r="CL89" i="2421"/>
  <c r="DA89" i="2421"/>
  <c r="BW89" i="2421"/>
  <c r="BH89" i="2421"/>
  <c r="AZ22" i="2420"/>
  <c r="RL31" i="2421"/>
  <c r="QH31" i="2421"/>
  <c r="QW31" i="2421"/>
  <c r="PD31" i="2421"/>
  <c r="OO31" i="2421"/>
  <c r="NZ31" i="2421"/>
  <c r="MG31" i="2421"/>
  <c r="PS31" i="2421"/>
  <c r="NK31" i="2421"/>
  <c r="MV31" i="2421"/>
  <c r="LR31" i="2421"/>
  <c r="LC31" i="2421"/>
  <c r="IU31" i="2421"/>
  <c r="IF31" i="2421"/>
  <c r="JJ31" i="2421"/>
  <c r="JY31" i="2421"/>
  <c r="KN31" i="2421"/>
  <c r="HB31" i="2421"/>
  <c r="FX31" i="2421"/>
  <c r="HQ31" i="2421"/>
  <c r="GM31" i="2421"/>
  <c r="EE31" i="2421"/>
  <c r="FI31" i="2421"/>
  <c r="ET31" i="2421"/>
  <c r="DP31" i="2421"/>
  <c r="DA31" i="2421"/>
  <c r="CL31" i="2421"/>
  <c r="BW31" i="2421"/>
  <c r="BH31" i="2421"/>
  <c r="AZ59" i="2420"/>
  <c r="RL68" i="2421"/>
  <c r="QH68" i="2421"/>
  <c r="QW68" i="2421"/>
  <c r="PD68" i="2421"/>
  <c r="OO68" i="2421"/>
  <c r="NZ68" i="2421"/>
  <c r="PS68" i="2421"/>
  <c r="NK68" i="2421"/>
  <c r="MG68" i="2421"/>
  <c r="MV68" i="2421"/>
  <c r="LR68" i="2421"/>
  <c r="KN68" i="2421"/>
  <c r="JY68" i="2421"/>
  <c r="LC68" i="2421"/>
  <c r="IU68" i="2421"/>
  <c r="GM68" i="2421"/>
  <c r="JJ68" i="2421"/>
  <c r="FX68" i="2421"/>
  <c r="IF68" i="2421"/>
  <c r="HB68" i="2421"/>
  <c r="HQ68" i="2421"/>
  <c r="ET68" i="2421"/>
  <c r="FI68" i="2421"/>
  <c r="DP68" i="2421"/>
  <c r="DA68" i="2421"/>
  <c r="EE68" i="2421"/>
  <c r="CL68" i="2421"/>
  <c r="BW68" i="2421"/>
  <c r="BH68" i="2421"/>
  <c r="AZ96" i="2420"/>
  <c r="RL105" i="2421"/>
  <c r="QW105" i="2421"/>
  <c r="QH105" i="2421"/>
  <c r="PD105" i="2421"/>
  <c r="NZ105" i="2421"/>
  <c r="PS105" i="2421"/>
  <c r="OO105" i="2421"/>
  <c r="MG105" i="2421"/>
  <c r="NK105" i="2421"/>
  <c r="MV105" i="2421"/>
  <c r="LC105" i="2421"/>
  <c r="LR105" i="2421"/>
  <c r="JY105" i="2421"/>
  <c r="IF105" i="2421"/>
  <c r="JJ105" i="2421"/>
  <c r="IU105" i="2421"/>
  <c r="KN105" i="2421"/>
  <c r="HB105" i="2421"/>
  <c r="FI105" i="2421"/>
  <c r="HQ105" i="2421"/>
  <c r="GM105" i="2421"/>
  <c r="FX105" i="2421"/>
  <c r="EE105" i="2421"/>
  <c r="ET105" i="2421"/>
  <c r="DP105" i="2421"/>
  <c r="CL105" i="2421"/>
  <c r="DA105" i="2421"/>
  <c r="BW105" i="2421"/>
  <c r="BH105" i="2421"/>
  <c r="AZ38" i="2420"/>
  <c r="RL47" i="2421"/>
  <c r="QH47" i="2421"/>
  <c r="PS47" i="2421"/>
  <c r="QW47" i="2421"/>
  <c r="PD47" i="2421"/>
  <c r="OO47" i="2421"/>
  <c r="NZ47" i="2421"/>
  <c r="MG47" i="2421"/>
  <c r="NK47" i="2421"/>
  <c r="MV47" i="2421"/>
  <c r="LC47" i="2421"/>
  <c r="LR47" i="2421"/>
  <c r="JY47" i="2421"/>
  <c r="IU47" i="2421"/>
  <c r="IF47" i="2421"/>
  <c r="JJ47" i="2421"/>
  <c r="KN47" i="2421"/>
  <c r="HB47" i="2421"/>
  <c r="FX47" i="2421"/>
  <c r="HQ47" i="2421"/>
  <c r="GM47" i="2421"/>
  <c r="ET47" i="2421"/>
  <c r="EE47" i="2421"/>
  <c r="FI47" i="2421"/>
  <c r="DP47" i="2421"/>
  <c r="DA47" i="2421"/>
  <c r="CL47" i="2421"/>
  <c r="BW47" i="2421"/>
  <c r="BH47" i="2421"/>
  <c r="AZ75" i="2420"/>
  <c r="QH84" i="2421"/>
  <c r="RL84" i="2421"/>
  <c r="QW84" i="2421"/>
  <c r="PD84" i="2421"/>
  <c r="OO84" i="2421"/>
  <c r="PS84" i="2421"/>
  <c r="NK84" i="2421"/>
  <c r="MG84" i="2421"/>
  <c r="MV84" i="2421"/>
  <c r="LC84" i="2421"/>
  <c r="NZ84" i="2421"/>
  <c r="JY84" i="2421"/>
  <c r="KN84" i="2421"/>
  <c r="LR84" i="2421"/>
  <c r="IU84" i="2421"/>
  <c r="IF84" i="2421"/>
  <c r="GM84" i="2421"/>
  <c r="JJ84" i="2421"/>
  <c r="FX84" i="2421"/>
  <c r="HB84" i="2421"/>
  <c r="HQ84" i="2421"/>
  <c r="EE84" i="2421"/>
  <c r="FI84" i="2421"/>
  <c r="ET84" i="2421"/>
  <c r="DP84" i="2421"/>
  <c r="DA84" i="2421"/>
  <c r="CL84" i="2421"/>
  <c r="BW84" i="2421"/>
  <c r="BH84" i="2421"/>
  <c r="AZ17" i="2420"/>
  <c r="RL26" i="2421"/>
  <c r="QH26" i="2421"/>
  <c r="QW26" i="2421"/>
  <c r="PS26" i="2421"/>
  <c r="PD26" i="2421"/>
  <c r="OO26" i="2421"/>
  <c r="NK26" i="2421"/>
  <c r="MG26" i="2421"/>
  <c r="NZ26" i="2421"/>
  <c r="MV26" i="2421"/>
  <c r="LC26" i="2421"/>
  <c r="JY26" i="2421"/>
  <c r="KN26" i="2421"/>
  <c r="LR26" i="2421"/>
  <c r="IU26" i="2421"/>
  <c r="GM26" i="2421"/>
  <c r="JJ26" i="2421"/>
  <c r="HB26" i="2421"/>
  <c r="HQ26" i="2421"/>
  <c r="IF26" i="2421"/>
  <c r="FI26" i="2421"/>
  <c r="FX26" i="2421"/>
  <c r="ET26" i="2421"/>
  <c r="EE26" i="2421"/>
  <c r="DP26" i="2421"/>
  <c r="DA26" i="2421"/>
  <c r="CL26" i="2421"/>
  <c r="BW26" i="2421"/>
  <c r="BH26" i="2421"/>
  <c r="AZ54" i="2420"/>
  <c r="QH63" i="2421"/>
  <c r="PS63" i="2421"/>
  <c r="PD63" i="2421"/>
  <c r="RL63" i="2421"/>
  <c r="QW63" i="2421"/>
  <c r="OO63" i="2421"/>
  <c r="NZ63" i="2421"/>
  <c r="MG63" i="2421"/>
  <c r="MV63" i="2421"/>
  <c r="NK63" i="2421"/>
  <c r="LC63" i="2421"/>
  <c r="LR63" i="2421"/>
  <c r="JY63" i="2421"/>
  <c r="IU63" i="2421"/>
  <c r="IF63" i="2421"/>
  <c r="JJ63" i="2421"/>
  <c r="KN63" i="2421"/>
  <c r="HB63" i="2421"/>
  <c r="HQ63" i="2421"/>
  <c r="GM63" i="2421"/>
  <c r="FX63" i="2421"/>
  <c r="FI63" i="2421"/>
  <c r="ET63" i="2421"/>
  <c r="DP63" i="2421"/>
  <c r="EE63" i="2421"/>
  <c r="CL63" i="2421"/>
  <c r="DA63" i="2421"/>
  <c r="BW63" i="2421"/>
  <c r="BH63" i="2421"/>
  <c r="AZ91" i="2420"/>
  <c r="QH100" i="2421"/>
  <c r="PS100" i="2421"/>
  <c r="QW100" i="2421"/>
  <c r="RL100" i="2421"/>
  <c r="PD100" i="2421"/>
  <c r="OO100" i="2421"/>
  <c r="NK100" i="2421"/>
  <c r="MV100" i="2421"/>
  <c r="MG100" i="2421"/>
  <c r="NZ100" i="2421"/>
  <c r="LC100" i="2421"/>
  <c r="KN100" i="2421"/>
  <c r="LR100" i="2421"/>
  <c r="IU100" i="2421"/>
  <c r="JY100" i="2421"/>
  <c r="IF100" i="2421"/>
  <c r="GM100" i="2421"/>
  <c r="FX100" i="2421"/>
  <c r="JJ100" i="2421"/>
  <c r="HB100" i="2421"/>
  <c r="FI100" i="2421"/>
  <c r="HQ100" i="2421"/>
  <c r="EE100" i="2421"/>
  <c r="ET100" i="2421"/>
  <c r="DP100" i="2421"/>
  <c r="DA100" i="2421"/>
  <c r="CL100" i="2421"/>
  <c r="BW100" i="2421"/>
  <c r="BH100" i="2421"/>
  <c r="AZ33" i="2420"/>
  <c r="RL42" i="2421"/>
  <c r="QH42" i="2421"/>
  <c r="PD42" i="2421"/>
  <c r="QW42" i="2421"/>
  <c r="PS42" i="2421"/>
  <c r="OO42" i="2421"/>
  <c r="NZ42" i="2421"/>
  <c r="NK42" i="2421"/>
  <c r="MG42" i="2421"/>
  <c r="LR42" i="2421"/>
  <c r="MV42" i="2421"/>
  <c r="LC42" i="2421"/>
  <c r="KN42" i="2421"/>
  <c r="JY42" i="2421"/>
  <c r="IU42" i="2421"/>
  <c r="GM42" i="2421"/>
  <c r="HQ42" i="2421"/>
  <c r="JJ42" i="2421"/>
  <c r="HB42" i="2421"/>
  <c r="IF42" i="2421"/>
  <c r="ET42" i="2421"/>
  <c r="FX42" i="2421"/>
  <c r="EE42" i="2421"/>
  <c r="FI42" i="2421"/>
  <c r="DP42" i="2421"/>
  <c r="DA42" i="2421"/>
  <c r="CL42" i="2421"/>
  <c r="BW42" i="2421"/>
  <c r="BH42" i="2421"/>
  <c r="AZ70" i="2420"/>
  <c r="RL79" i="2421"/>
  <c r="QH79" i="2421"/>
  <c r="PS79" i="2421"/>
  <c r="PD79" i="2421"/>
  <c r="QW79" i="2421"/>
  <c r="NZ79" i="2421"/>
  <c r="OO79" i="2421"/>
  <c r="MG79" i="2421"/>
  <c r="MV79" i="2421"/>
  <c r="NK79" i="2421"/>
  <c r="LR79" i="2421"/>
  <c r="LC79" i="2421"/>
  <c r="IF79" i="2421"/>
  <c r="JY79" i="2421"/>
  <c r="JJ79" i="2421"/>
  <c r="KN79" i="2421"/>
  <c r="HB79" i="2421"/>
  <c r="IU79" i="2421"/>
  <c r="HQ79" i="2421"/>
  <c r="GM79" i="2421"/>
  <c r="FX79" i="2421"/>
  <c r="FI79" i="2421"/>
  <c r="ET79" i="2421"/>
  <c r="DP79" i="2421"/>
  <c r="EE79" i="2421"/>
  <c r="CL79" i="2421"/>
  <c r="DA79" i="2421"/>
  <c r="BW79" i="2421"/>
  <c r="BH79" i="2421"/>
  <c r="AZ12" i="2420"/>
  <c r="P19" i="2390" s="1"/>
  <c r="QW21" i="2421"/>
  <c r="QH21" i="2421"/>
  <c r="PS21" i="2421"/>
  <c r="RL21" i="2421"/>
  <c r="PD21" i="2421"/>
  <c r="MV21" i="2421"/>
  <c r="MG21" i="2421"/>
  <c r="OO21" i="2421"/>
  <c r="NK21" i="2421"/>
  <c r="NZ21" i="2421"/>
  <c r="LR21" i="2421"/>
  <c r="LC21" i="2421"/>
  <c r="KN21" i="2421"/>
  <c r="JY21" i="2421"/>
  <c r="JJ21" i="2421"/>
  <c r="IU21" i="2421"/>
  <c r="HB21" i="2421"/>
  <c r="FX21" i="2421"/>
  <c r="IF21" i="2421"/>
  <c r="HQ21" i="2421"/>
  <c r="GM21" i="2421"/>
  <c r="FI21" i="2421"/>
  <c r="ET21" i="2421"/>
  <c r="DP21" i="2421"/>
  <c r="DA21" i="2421"/>
  <c r="EE21" i="2421"/>
  <c r="CL21" i="2421"/>
  <c r="BW21" i="2421"/>
  <c r="BH21" i="2421"/>
  <c r="AZ49" i="2420"/>
  <c r="QH58" i="2421"/>
  <c r="RL58" i="2421"/>
  <c r="PD58" i="2421"/>
  <c r="QW58" i="2421"/>
  <c r="OO58" i="2421"/>
  <c r="NZ58" i="2421"/>
  <c r="NK58" i="2421"/>
  <c r="MV58" i="2421"/>
  <c r="MG58" i="2421"/>
  <c r="LC58" i="2421"/>
  <c r="LR58" i="2421"/>
  <c r="KN58" i="2421"/>
  <c r="JY58" i="2421"/>
  <c r="IU58" i="2421"/>
  <c r="GM58" i="2421"/>
  <c r="JJ58" i="2421"/>
  <c r="IF58" i="2421"/>
  <c r="HB58" i="2421"/>
  <c r="FX58" i="2421"/>
  <c r="FI58" i="2421"/>
  <c r="HQ58" i="2421"/>
  <c r="ET58" i="2421"/>
  <c r="PS58" i="2421"/>
  <c r="DP58" i="2421"/>
  <c r="EE58" i="2421"/>
  <c r="DA58" i="2421"/>
  <c r="CL58" i="2421"/>
  <c r="BW58" i="2421"/>
  <c r="BH58" i="2421"/>
  <c r="AZ86" i="2420"/>
  <c r="RL95" i="2421"/>
  <c r="QW95" i="2421"/>
  <c r="QH95" i="2421"/>
  <c r="PS95" i="2421"/>
  <c r="NZ95" i="2421"/>
  <c r="OO95" i="2421"/>
  <c r="MG95" i="2421"/>
  <c r="PD95" i="2421"/>
  <c r="NK95" i="2421"/>
  <c r="LR95" i="2421"/>
  <c r="LC95" i="2421"/>
  <c r="MV95" i="2421"/>
  <c r="JY95" i="2421"/>
  <c r="IF95" i="2421"/>
  <c r="JJ95" i="2421"/>
  <c r="IU95" i="2421"/>
  <c r="KN95" i="2421"/>
  <c r="HB95" i="2421"/>
  <c r="FI95" i="2421"/>
  <c r="HQ95" i="2421"/>
  <c r="GM95" i="2421"/>
  <c r="FX95" i="2421"/>
  <c r="EE95" i="2421"/>
  <c r="ET95" i="2421"/>
  <c r="DA95" i="2421"/>
  <c r="DP95" i="2421"/>
  <c r="CL95" i="2421"/>
  <c r="BW95" i="2421"/>
  <c r="BH95" i="2421"/>
  <c r="AZ28" i="2420"/>
  <c r="RL37" i="2421"/>
  <c r="QH37" i="2421"/>
  <c r="QW37" i="2421"/>
  <c r="PS37" i="2421"/>
  <c r="OO37" i="2421"/>
  <c r="PD37" i="2421"/>
  <c r="NZ37" i="2421"/>
  <c r="MV37" i="2421"/>
  <c r="MG37" i="2421"/>
  <c r="NK37" i="2421"/>
  <c r="LR37" i="2421"/>
  <c r="LC37" i="2421"/>
  <c r="JY37" i="2421"/>
  <c r="IF37" i="2421"/>
  <c r="JJ37" i="2421"/>
  <c r="IU37" i="2421"/>
  <c r="HB37" i="2421"/>
  <c r="FX37" i="2421"/>
  <c r="KN37" i="2421"/>
  <c r="GM37" i="2421"/>
  <c r="EE37" i="2421"/>
  <c r="ET37" i="2421"/>
  <c r="FI37" i="2421"/>
  <c r="HQ37" i="2421"/>
  <c r="DA37" i="2421"/>
  <c r="DP37" i="2421"/>
  <c r="CL37" i="2421"/>
  <c r="BW37" i="2421"/>
  <c r="BH37" i="2421"/>
  <c r="AZ65" i="2420"/>
  <c r="RL74" i="2421"/>
  <c r="QH74" i="2421"/>
  <c r="QW74" i="2421"/>
  <c r="PD74" i="2421"/>
  <c r="NZ74" i="2421"/>
  <c r="OO74" i="2421"/>
  <c r="NK74" i="2421"/>
  <c r="MG74" i="2421"/>
  <c r="PS74" i="2421"/>
  <c r="LR74" i="2421"/>
  <c r="LC74" i="2421"/>
  <c r="MV74" i="2421"/>
  <c r="KN74" i="2421"/>
  <c r="JY74" i="2421"/>
  <c r="IU74" i="2421"/>
  <c r="GM74" i="2421"/>
  <c r="FX74" i="2421"/>
  <c r="JJ74" i="2421"/>
  <c r="IF74" i="2421"/>
  <c r="HB74" i="2421"/>
  <c r="FI74" i="2421"/>
  <c r="HQ74" i="2421"/>
  <c r="ET74" i="2421"/>
  <c r="DP74" i="2421"/>
  <c r="EE74" i="2421"/>
  <c r="DA74" i="2421"/>
  <c r="CL74" i="2421"/>
  <c r="BW74" i="2421"/>
  <c r="BH74" i="2421"/>
  <c r="AZ102" i="2420"/>
  <c r="RL111" i="2421"/>
  <c r="QW111" i="2421"/>
  <c r="QH111" i="2421"/>
  <c r="PS111" i="2421"/>
  <c r="NZ111" i="2421"/>
  <c r="OO111" i="2421"/>
  <c r="MG111" i="2421"/>
  <c r="NK111" i="2421"/>
  <c r="MV111" i="2421"/>
  <c r="LC111" i="2421"/>
  <c r="LR111" i="2421"/>
  <c r="PD111" i="2421"/>
  <c r="JY111" i="2421"/>
  <c r="IF111" i="2421"/>
  <c r="JJ111" i="2421"/>
  <c r="IU111" i="2421"/>
  <c r="KN111" i="2421"/>
  <c r="HB111" i="2421"/>
  <c r="FI111" i="2421"/>
  <c r="HQ111" i="2421"/>
  <c r="GM111" i="2421"/>
  <c r="FX111" i="2421"/>
  <c r="EE111" i="2421"/>
  <c r="ET111" i="2421"/>
  <c r="DA111" i="2421"/>
  <c r="DP111" i="2421"/>
  <c r="CL111" i="2421"/>
  <c r="BW111" i="2421"/>
  <c r="BH111" i="2421"/>
  <c r="AS113" i="2421"/>
  <c r="AS55" i="2421"/>
  <c r="AS82" i="2421"/>
  <c r="AS53" i="2421"/>
  <c r="AS24" i="2421"/>
  <c r="AS90" i="2421"/>
  <c r="AS61" i="2421"/>
  <c r="AS32" i="2421"/>
  <c r="AS98" i="2421"/>
  <c r="AS69" i="2421"/>
  <c r="AS40" i="2421"/>
  <c r="AS106" i="2421"/>
  <c r="AS77" i="2421"/>
  <c r="AS48" i="2421"/>
  <c r="AS19" i="2421"/>
  <c r="AS85" i="2421"/>
  <c r="AS56" i="2421"/>
  <c r="AS27" i="2421"/>
  <c r="AS93" i="2421"/>
  <c r="AS64" i="2421"/>
  <c r="AS35" i="2421"/>
  <c r="AS101" i="2421"/>
  <c r="AS72" i="2421"/>
  <c r="AS43" i="2421"/>
  <c r="AS109" i="2421"/>
  <c r="AS49" i="2421"/>
  <c r="AS84" i="2421"/>
  <c r="AS80" i="2421"/>
  <c r="AS51" i="2421"/>
  <c r="AS22" i="2421"/>
  <c r="AS88" i="2421"/>
  <c r="AS59" i="2421"/>
  <c r="AS30" i="2421"/>
  <c r="AS96" i="2421"/>
  <c r="AS67" i="2421"/>
  <c r="AS38" i="2421"/>
  <c r="AS104" i="2421"/>
  <c r="AS75" i="2421"/>
  <c r="AS46" i="2421"/>
  <c r="AS112" i="2421"/>
  <c r="AS83" i="2421"/>
  <c r="AS54" i="2421"/>
  <c r="AS25" i="2421"/>
  <c r="AS91" i="2421"/>
  <c r="AS62" i="2421"/>
  <c r="AS33" i="2421"/>
  <c r="AS99" i="2421"/>
  <c r="AS70" i="2421"/>
  <c r="AS41" i="2421"/>
  <c r="AS107" i="2421"/>
  <c r="AS78" i="2421"/>
  <c r="AS86" i="2421"/>
  <c r="AS57" i="2421"/>
  <c r="AS28" i="2421"/>
  <c r="AS94" i="2421"/>
  <c r="AS65" i="2421"/>
  <c r="AS36" i="2421"/>
  <c r="AS102" i="2421"/>
  <c r="AS73" i="2421"/>
  <c r="AS44" i="2421"/>
  <c r="AS110" i="2421"/>
  <c r="AS81" i="2421"/>
  <c r="AS52" i="2421"/>
  <c r="AS23" i="2421"/>
  <c r="AS89" i="2421"/>
  <c r="AS60" i="2421"/>
  <c r="AS31" i="2421"/>
  <c r="AS97" i="2421"/>
  <c r="AS68" i="2421"/>
  <c r="AS39" i="2421"/>
  <c r="AS105" i="2421"/>
  <c r="AS76" i="2421"/>
  <c r="AS47" i="2421"/>
  <c r="AS20" i="2421"/>
  <c r="AS26" i="2421"/>
  <c r="AS92" i="2421"/>
  <c r="AS63" i="2421"/>
  <c r="AS34" i="2421"/>
  <c r="AS100" i="2421"/>
  <c r="AS71" i="2421"/>
  <c r="AS42" i="2421"/>
  <c r="AS108" i="2421"/>
  <c r="AS79" i="2421"/>
  <c r="AS50" i="2421"/>
  <c r="AS21" i="2421"/>
  <c r="AS87" i="2421"/>
  <c r="AS58" i="2421"/>
  <c r="AS29" i="2421"/>
  <c r="AS95" i="2421"/>
  <c r="AS66" i="2421"/>
  <c r="AS37" i="2421"/>
  <c r="AS103" i="2421"/>
  <c r="AS74" i="2421"/>
  <c r="AS45" i="2421"/>
  <c r="AS111" i="2421"/>
  <c r="DQ45" i="2420"/>
  <c r="DQ78" i="2420"/>
  <c r="DQ88" i="2420"/>
  <c r="DQ61" i="2420"/>
  <c r="DQ19" i="2420"/>
  <c r="DQ104" i="2420"/>
  <c r="DQ77" i="2420"/>
  <c r="DQ35" i="2420"/>
  <c r="DQ62" i="2420"/>
  <c r="DQ93" i="2420"/>
  <c r="DQ51" i="2420"/>
  <c r="DQ25" i="2420"/>
  <c r="DQ38" i="2420"/>
  <c r="DQ67" i="2420"/>
  <c r="DQ41" i="2420"/>
  <c r="DQ15" i="2420"/>
  <c r="DQ83" i="2420"/>
  <c r="DQ57" i="2420"/>
  <c r="DQ31" i="2420"/>
  <c r="DQ99" i="2420"/>
  <c r="DQ73" i="2420"/>
  <c r="DQ47" i="2420"/>
  <c r="DQ20" i="2420"/>
  <c r="DQ89" i="2420"/>
  <c r="DQ63" i="2420"/>
  <c r="DQ36" i="2420"/>
  <c r="DQ46" i="2420"/>
  <c r="DQ79" i="2420"/>
  <c r="DQ52" i="2420"/>
  <c r="DQ10" i="2420"/>
  <c r="DQ95" i="2420"/>
  <c r="DQ68" i="2420"/>
  <c r="DQ26" i="2420"/>
  <c r="DQ22" i="2420"/>
  <c r="DQ84" i="2420"/>
  <c r="DQ42" i="2420"/>
  <c r="DQ16" i="2420"/>
  <c r="DQ100" i="2420"/>
  <c r="DQ58" i="2420"/>
  <c r="DQ32" i="2420"/>
  <c r="DQ102" i="2420"/>
  <c r="DQ74" i="2420"/>
  <c r="DQ48" i="2420"/>
  <c r="DQ21" i="2420"/>
  <c r="DQ90" i="2420"/>
  <c r="DQ64" i="2420"/>
  <c r="DQ37" i="2420"/>
  <c r="DQ30" i="2420"/>
  <c r="DQ80" i="2420"/>
  <c r="DQ53" i="2420"/>
  <c r="DQ11" i="2420"/>
  <c r="DQ96" i="2420"/>
  <c r="DQ69" i="2420"/>
  <c r="DQ27" i="2420"/>
  <c r="DQ14" i="2420"/>
  <c r="DQ85" i="2420"/>
  <c r="DQ43" i="2420"/>
  <c r="DQ17" i="2420"/>
  <c r="DQ101" i="2420"/>
  <c r="DQ59" i="2420"/>
  <c r="DQ33" i="2420"/>
  <c r="DQ94" i="2420"/>
  <c r="DQ75" i="2420"/>
  <c r="DQ49" i="2420"/>
  <c r="DQ23" i="2420"/>
  <c r="DQ91" i="2420"/>
  <c r="DQ65" i="2420"/>
  <c r="DQ39" i="2420"/>
  <c r="DQ12" i="2420"/>
  <c r="DQ81" i="2420"/>
  <c r="DQ55" i="2420"/>
  <c r="DQ28" i="2420"/>
  <c r="DQ97" i="2420"/>
  <c r="DQ71" i="2420"/>
  <c r="DQ44" i="2420"/>
  <c r="DQ86" i="2420"/>
  <c r="DQ87" i="2420"/>
  <c r="DQ60" i="2420"/>
  <c r="DQ18" i="2420"/>
  <c r="DQ103" i="2420"/>
  <c r="DQ76" i="2420"/>
  <c r="DQ34" i="2420"/>
  <c r="DQ70" i="2420"/>
  <c r="DQ92" i="2420"/>
  <c r="DQ50" i="2420"/>
  <c r="DQ24" i="2420"/>
  <c r="DQ54" i="2420"/>
  <c r="DQ66" i="2420"/>
  <c r="DQ40" i="2420"/>
  <c r="DQ13" i="2420"/>
  <c r="DQ82" i="2420"/>
  <c r="DQ56" i="2420"/>
  <c r="DQ29" i="2420"/>
  <c r="DQ98" i="2420"/>
  <c r="DQ72" i="2420"/>
  <c r="H21" i="2402"/>
  <c r="F9" i="2342"/>
  <c r="D9" i="2342" s="1"/>
  <c r="H50" i="2422"/>
  <c r="H87" i="2422"/>
  <c r="H29" i="2422"/>
  <c r="H66" i="2422"/>
  <c r="H103" i="2422"/>
  <c r="H45" i="2422"/>
  <c r="H82" i="2422"/>
  <c r="H24" i="2422"/>
  <c r="H61" i="2422"/>
  <c r="H98" i="2422"/>
  <c r="H40" i="2422"/>
  <c r="H77" i="2422"/>
  <c r="H19" i="2422"/>
  <c r="H56" i="2422"/>
  <c r="H93" i="2422"/>
  <c r="H35" i="2422"/>
  <c r="H72" i="2422"/>
  <c r="H109" i="2422"/>
  <c r="H51" i="2422"/>
  <c r="H88" i="2422"/>
  <c r="H30" i="2422"/>
  <c r="H67" i="2422"/>
  <c r="H104" i="2422"/>
  <c r="H46" i="2422"/>
  <c r="H83" i="2422"/>
  <c r="H25" i="2422"/>
  <c r="H62" i="2422"/>
  <c r="H99" i="2422"/>
  <c r="H41" i="2422"/>
  <c r="H78" i="2422"/>
  <c r="H20" i="2422"/>
  <c r="H57" i="2422"/>
  <c r="H94" i="2422"/>
  <c r="H36" i="2422"/>
  <c r="H73" i="2422"/>
  <c r="H110" i="2422"/>
  <c r="H52" i="2422"/>
  <c r="H89" i="2422"/>
  <c r="H31" i="2422"/>
  <c r="H68" i="2422"/>
  <c r="H105" i="2422"/>
  <c r="H47" i="2422"/>
  <c r="H84" i="2422"/>
  <c r="H26" i="2422"/>
  <c r="H63" i="2422"/>
  <c r="H100" i="2422"/>
  <c r="H42" i="2422"/>
  <c r="H79" i="2422"/>
  <c r="H21" i="2422"/>
  <c r="H58" i="2422"/>
  <c r="H95" i="2422"/>
  <c r="H37" i="2422"/>
  <c r="H74" i="2422"/>
  <c r="H16" i="2422"/>
  <c r="H53" i="2422"/>
  <c r="H90" i="2422"/>
  <c r="H32" i="2422"/>
  <c r="H69" i="2422"/>
  <c r="H106" i="2422"/>
  <c r="H48" i="2422"/>
  <c r="H85" i="2422"/>
  <c r="H27" i="2422"/>
  <c r="H64" i="2422"/>
  <c r="H101" i="2422"/>
  <c r="H43" i="2422"/>
  <c r="H80" i="2422"/>
  <c r="H22" i="2422"/>
  <c r="H59" i="2422"/>
  <c r="H96" i="2422"/>
  <c r="H38" i="2422"/>
  <c r="H75" i="2422"/>
  <c r="H17" i="2422"/>
  <c r="H54" i="2422"/>
  <c r="H91" i="2422"/>
  <c r="H33" i="2422"/>
  <c r="H70" i="2422"/>
  <c r="H107" i="2422"/>
  <c r="H49" i="2422"/>
  <c r="H86" i="2422"/>
  <c r="H28" i="2422"/>
  <c r="H65" i="2422"/>
  <c r="H102" i="2422"/>
  <c r="H44" i="2422"/>
  <c r="H81" i="2422"/>
  <c r="H23" i="2422"/>
  <c r="H60" i="2422"/>
  <c r="H97" i="2422"/>
  <c r="H39" i="2422"/>
  <c r="H76" i="2422"/>
  <c r="H18" i="2422"/>
  <c r="H55" i="2422"/>
  <c r="H92" i="2422"/>
  <c r="H34" i="2422"/>
  <c r="H71" i="2422"/>
  <c r="H108" i="2422"/>
  <c r="C10" i="2401"/>
  <c r="AY4" i="2408"/>
  <c r="D12" i="2408"/>
  <c r="AY2" i="2408"/>
  <c r="C11" i="2422"/>
  <c r="AG7" i="2421" a="1"/>
  <c r="AG7" i="2421" s="1"/>
  <c r="AG8" i="2421" a="1"/>
  <c r="AG8" i="2421" s="1"/>
  <c r="DC71" i="2422" l="1"/>
  <c r="DD71" i="2422" s="1"/>
  <c r="IQ71" i="2422"/>
  <c r="IR71" i="2422" s="1"/>
  <c r="AI71" i="2422"/>
  <c r="FW71" i="2422"/>
  <c r="FX71" i="2422" s="1"/>
  <c r="FN71" i="2422"/>
  <c r="FO71" i="2422" s="1"/>
  <c r="CT71" i="2422"/>
  <c r="CU71" i="2422" s="1"/>
  <c r="IH71" i="2422"/>
  <c r="II71" i="2422" s="1"/>
  <c r="HY71" i="2422"/>
  <c r="HZ71" i="2422" s="1"/>
  <c r="FE71" i="2422"/>
  <c r="FF71" i="2422" s="1"/>
  <c r="EV71" i="2422"/>
  <c r="EW71" i="2422" s="1"/>
  <c r="HP71" i="2422"/>
  <c r="HQ71" i="2422" s="1"/>
  <c r="CK71" i="2422"/>
  <c r="CL71" i="2422" s="1"/>
  <c r="HG71" i="2422"/>
  <c r="HH71" i="2422" s="1"/>
  <c r="CB71" i="2422"/>
  <c r="CC71" i="2422" s="1"/>
  <c r="KA71" i="2422"/>
  <c r="KB71" i="2422" s="1"/>
  <c r="EM71" i="2422"/>
  <c r="EN71" i="2422" s="1"/>
  <c r="BS71" i="2422"/>
  <c r="BT71" i="2422" s="1"/>
  <c r="ED71" i="2422"/>
  <c r="EE71" i="2422" s="1"/>
  <c r="JR71" i="2422"/>
  <c r="JS71" i="2422" s="1"/>
  <c r="GX71" i="2422"/>
  <c r="GY71" i="2422" s="1"/>
  <c r="BJ71" i="2422"/>
  <c r="BK71" i="2422" s="1"/>
  <c r="GO71" i="2422"/>
  <c r="GP71" i="2422" s="1"/>
  <c r="JI71" i="2422"/>
  <c r="JJ71" i="2422" s="1"/>
  <c r="BA71" i="2422"/>
  <c r="BB71" i="2422" s="1"/>
  <c r="AR71" i="2422"/>
  <c r="AS71" i="2422" s="1"/>
  <c r="IZ71" i="2422"/>
  <c r="JA71" i="2422" s="1"/>
  <c r="DU71" i="2422"/>
  <c r="DV71" i="2422" s="1"/>
  <c r="GF71" i="2422"/>
  <c r="GG71" i="2422" s="1"/>
  <c r="DL71" i="2422"/>
  <c r="DM71" i="2422" s="1"/>
  <c r="FW18" i="2422"/>
  <c r="FX18" i="2422" s="1"/>
  <c r="DC18" i="2422"/>
  <c r="DD18" i="2422" s="1"/>
  <c r="AI18" i="2422"/>
  <c r="IQ18" i="2422"/>
  <c r="IR18" i="2422" s="1"/>
  <c r="FN18" i="2422"/>
  <c r="FO18" i="2422" s="1"/>
  <c r="HY18" i="2422"/>
  <c r="HZ18" i="2422" s="1"/>
  <c r="IH18" i="2422"/>
  <c r="II18" i="2422" s="1"/>
  <c r="CT18" i="2422"/>
  <c r="CU18" i="2422" s="1"/>
  <c r="FE18" i="2422"/>
  <c r="FF18" i="2422" s="1"/>
  <c r="CK18" i="2422"/>
  <c r="CL18" i="2422" s="1"/>
  <c r="HP18" i="2422"/>
  <c r="HQ18" i="2422" s="1"/>
  <c r="EV18" i="2422"/>
  <c r="EW18" i="2422" s="1"/>
  <c r="KA18" i="2422"/>
  <c r="KB18" i="2422" s="1"/>
  <c r="CB18" i="2422"/>
  <c r="CC18" i="2422" s="1"/>
  <c r="HG18" i="2422"/>
  <c r="HH18" i="2422" s="1"/>
  <c r="EM18" i="2422"/>
  <c r="EN18" i="2422" s="1"/>
  <c r="ED18" i="2422"/>
  <c r="EE18" i="2422" s="1"/>
  <c r="BS18" i="2422"/>
  <c r="BT18" i="2422" s="1"/>
  <c r="JR18" i="2422"/>
  <c r="JS18" i="2422" s="1"/>
  <c r="GX18" i="2422"/>
  <c r="GY18" i="2422" s="1"/>
  <c r="BJ18" i="2422"/>
  <c r="BK18" i="2422" s="1"/>
  <c r="JI18" i="2422"/>
  <c r="JJ18" i="2422" s="1"/>
  <c r="AR18" i="2422"/>
  <c r="AS18" i="2422" s="1"/>
  <c r="GO18" i="2422"/>
  <c r="GP18" i="2422" s="1"/>
  <c r="IZ18" i="2422"/>
  <c r="JA18" i="2422" s="1"/>
  <c r="DU18" i="2422"/>
  <c r="DV18" i="2422" s="1"/>
  <c r="BA18" i="2422"/>
  <c r="BB18" i="2422" s="1"/>
  <c r="GF18" i="2422"/>
  <c r="GG18" i="2422" s="1"/>
  <c r="DL18" i="2422"/>
  <c r="DM18" i="2422" s="1"/>
  <c r="FW60" i="2422"/>
  <c r="FX60" i="2422" s="1"/>
  <c r="AI60" i="2422"/>
  <c r="IQ60" i="2422"/>
  <c r="IR60" i="2422" s="1"/>
  <c r="DC60" i="2422"/>
  <c r="DD60" i="2422" s="1"/>
  <c r="CT60" i="2422"/>
  <c r="CU60" i="2422" s="1"/>
  <c r="FN60" i="2422"/>
  <c r="FO60" i="2422" s="1"/>
  <c r="IH60" i="2422"/>
  <c r="II60" i="2422" s="1"/>
  <c r="HY60" i="2422"/>
  <c r="HZ60" i="2422" s="1"/>
  <c r="HP60" i="2422"/>
  <c r="HQ60" i="2422" s="1"/>
  <c r="EV60" i="2422"/>
  <c r="EW60" i="2422" s="1"/>
  <c r="CK60" i="2422"/>
  <c r="CL60" i="2422" s="1"/>
  <c r="FE60" i="2422"/>
  <c r="FF60" i="2422" s="1"/>
  <c r="EM60" i="2422"/>
  <c r="EN60" i="2422" s="1"/>
  <c r="CB60" i="2422"/>
  <c r="CC60" i="2422" s="1"/>
  <c r="KA60" i="2422"/>
  <c r="KB60" i="2422" s="1"/>
  <c r="HG60" i="2422"/>
  <c r="HH60" i="2422" s="1"/>
  <c r="BS60" i="2422"/>
  <c r="BT60" i="2422" s="1"/>
  <c r="JR60" i="2422"/>
  <c r="JS60" i="2422" s="1"/>
  <c r="GX60" i="2422"/>
  <c r="GY60" i="2422" s="1"/>
  <c r="ED60" i="2422"/>
  <c r="EE60" i="2422" s="1"/>
  <c r="JI60" i="2422"/>
  <c r="JJ60" i="2422" s="1"/>
  <c r="GO60" i="2422"/>
  <c r="GP60" i="2422" s="1"/>
  <c r="DU60" i="2422"/>
  <c r="DV60" i="2422" s="1"/>
  <c r="IZ60" i="2422"/>
  <c r="JA60" i="2422" s="1"/>
  <c r="BJ60" i="2422"/>
  <c r="BK60" i="2422" s="1"/>
  <c r="AR60" i="2422"/>
  <c r="AS60" i="2422" s="1"/>
  <c r="BA60" i="2422"/>
  <c r="BB60" i="2422" s="1"/>
  <c r="GF60" i="2422"/>
  <c r="GG60" i="2422" s="1"/>
  <c r="DL60" i="2422"/>
  <c r="DM60" i="2422" s="1"/>
  <c r="DC102" i="2422"/>
  <c r="DD102" i="2422" s="1"/>
  <c r="IH102" i="2422"/>
  <c r="II102" i="2422" s="1"/>
  <c r="AI102" i="2422"/>
  <c r="IQ102" i="2422"/>
  <c r="IR102" i="2422" s="1"/>
  <c r="FW102" i="2422"/>
  <c r="FX102" i="2422" s="1"/>
  <c r="FN102" i="2422"/>
  <c r="FO102" i="2422" s="1"/>
  <c r="HY102" i="2422"/>
  <c r="HZ102" i="2422" s="1"/>
  <c r="CT102" i="2422"/>
  <c r="CU102" i="2422" s="1"/>
  <c r="EV102" i="2422"/>
  <c r="EW102" i="2422" s="1"/>
  <c r="HP102" i="2422"/>
  <c r="HQ102" i="2422" s="1"/>
  <c r="FE102" i="2422"/>
  <c r="FF102" i="2422" s="1"/>
  <c r="CB102" i="2422"/>
  <c r="CC102" i="2422" s="1"/>
  <c r="HG102" i="2422"/>
  <c r="HH102" i="2422" s="1"/>
  <c r="KA102" i="2422"/>
  <c r="KB102" i="2422" s="1"/>
  <c r="CK102" i="2422"/>
  <c r="CL102" i="2422" s="1"/>
  <c r="EM102" i="2422"/>
  <c r="EN102" i="2422" s="1"/>
  <c r="GX102" i="2422"/>
  <c r="GY102" i="2422" s="1"/>
  <c r="JR102" i="2422"/>
  <c r="JS102" i="2422" s="1"/>
  <c r="BS102" i="2422"/>
  <c r="BT102" i="2422" s="1"/>
  <c r="ED102" i="2422"/>
  <c r="EE102" i="2422" s="1"/>
  <c r="BJ102" i="2422"/>
  <c r="BK102" i="2422" s="1"/>
  <c r="GO102" i="2422"/>
  <c r="GP102" i="2422" s="1"/>
  <c r="JI102" i="2422"/>
  <c r="JJ102" i="2422" s="1"/>
  <c r="AR102" i="2422"/>
  <c r="AS102" i="2422" s="1"/>
  <c r="IZ102" i="2422"/>
  <c r="JA102" i="2422" s="1"/>
  <c r="BA102" i="2422"/>
  <c r="BB102" i="2422" s="1"/>
  <c r="DU102" i="2422"/>
  <c r="DV102" i="2422" s="1"/>
  <c r="GF102" i="2422"/>
  <c r="GG102" i="2422" s="1"/>
  <c r="DL102" i="2422"/>
  <c r="DM102" i="2422" s="1"/>
  <c r="AI49" i="2422"/>
  <c r="IQ49" i="2422"/>
  <c r="IR49" i="2422" s="1"/>
  <c r="DC49" i="2422"/>
  <c r="DD49" i="2422" s="1"/>
  <c r="FW49" i="2422"/>
  <c r="FX49" i="2422" s="1"/>
  <c r="HY49" i="2422"/>
  <c r="HZ49" i="2422" s="1"/>
  <c r="FN49" i="2422"/>
  <c r="FO49" i="2422" s="1"/>
  <c r="IH49" i="2422"/>
  <c r="II49" i="2422" s="1"/>
  <c r="CT49" i="2422"/>
  <c r="CU49" i="2422" s="1"/>
  <c r="EV49" i="2422"/>
  <c r="EW49" i="2422" s="1"/>
  <c r="FE49" i="2422"/>
  <c r="FF49" i="2422" s="1"/>
  <c r="CK49" i="2422"/>
  <c r="CL49" i="2422" s="1"/>
  <c r="HP49" i="2422"/>
  <c r="HQ49" i="2422" s="1"/>
  <c r="HG49" i="2422"/>
  <c r="HH49" i="2422" s="1"/>
  <c r="KA49" i="2422"/>
  <c r="KB49" i="2422" s="1"/>
  <c r="CB49" i="2422"/>
  <c r="CC49" i="2422" s="1"/>
  <c r="EM49" i="2422"/>
  <c r="EN49" i="2422" s="1"/>
  <c r="BS49" i="2422"/>
  <c r="BT49" i="2422" s="1"/>
  <c r="JR49" i="2422"/>
  <c r="JS49" i="2422" s="1"/>
  <c r="GX49" i="2422"/>
  <c r="GY49" i="2422" s="1"/>
  <c r="BJ49" i="2422"/>
  <c r="BK49" i="2422" s="1"/>
  <c r="ED49" i="2422"/>
  <c r="EE49" i="2422" s="1"/>
  <c r="AR49" i="2422"/>
  <c r="AS49" i="2422" s="1"/>
  <c r="GO49" i="2422"/>
  <c r="GP49" i="2422" s="1"/>
  <c r="DU49" i="2422"/>
  <c r="DV49" i="2422" s="1"/>
  <c r="BA49" i="2422"/>
  <c r="BB49" i="2422" s="1"/>
  <c r="JI49" i="2422"/>
  <c r="JJ49" i="2422" s="1"/>
  <c r="IZ49" i="2422"/>
  <c r="JA49" i="2422" s="1"/>
  <c r="GF49" i="2422"/>
  <c r="GG49" i="2422" s="1"/>
  <c r="DL49" i="2422"/>
  <c r="DM49" i="2422" s="1"/>
  <c r="IQ91" i="2422"/>
  <c r="IR91" i="2422" s="1"/>
  <c r="FW91" i="2422"/>
  <c r="FX91" i="2422" s="1"/>
  <c r="IH91" i="2422"/>
  <c r="II91" i="2422" s="1"/>
  <c r="AI91" i="2422"/>
  <c r="DC91" i="2422"/>
  <c r="DD91" i="2422" s="1"/>
  <c r="CT91" i="2422"/>
  <c r="CU91" i="2422" s="1"/>
  <c r="HY91" i="2422"/>
  <c r="HZ91" i="2422" s="1"/>
  <c r="FN91" i="2422"/>
  <c r="FO91" i="2422" s="1"/>
  <c r="HP91" i="2422"/>
  <c r="HQ91" i="2422" s="1"/>
  <c r="FE91" i="2422"/>
  <c r="FF91" i="2422" s="1"/>
  <c r="EV91" i="2422"/>
  <c r="EW91" i="2422" s="1"/>
  <c r="CK91" i="2422"/>
  <c r="CL91" i="2422" s="1"/>
  <c r="CB91" i="2422"/>
  <c r="CC91" i="2422" s="1"/>
  <c r="HG91" i="2422"/>
  <c r="HH91" i="2422" s="1"/>
  <c r="KA91" i="2422"/>
  <c r="KB91" i="2422" s="1"/>
  <c r="JR91" i="2422"/>
  <c r="JS91" i="2422" s="1"/>
  <c r="GX91" i="2422"/>
  <c r="GY91" i="2422" s="1"/>
  <c r="BS91" i="2422"/>
  <c r="BT91" i="2422" s="1"/>
  <c r="EM91" i="2422"/>
  <c r="EN91" i="2422" s="1"/>
  <c r="BJ91" i="2422"/>
  <c r="BK91" i="2422" s="1"/>
  <c r="ED91" i="2422"/>
  <c r="EE91" i="2422" s="1"/>
  <c r="GO91" i="2422"/>
  <c r="GP91" i="2422" s="1"/>
  <c r="JI91" i="2422"/>
  <c r="JJ91" i="2422" s="1"/>
  <c r="IZ91" i="2422"/>
  <c r="JA91" i="2422" s="1"/>
  <c r="DU91" i="2422"/>
  <c r="DV91" i="2422" s="1"/>
  <c r="BA91" i="2422"/>
  <c r="BB91" i="2422" s="1"/>
  <c r="AR91" i="2422"/>
  <c r="AS91" i="2422" s="1"/>
  <c r="GF91" i="2422"/>
  <c r="GG91" i="2422" s="1"/>
  <c r="DL91" i="2422"/>
  <c r="DM91" i="2422" s="1"/>
  <c r="DC38" i="2422"/>
  <c r="DD38" i="2422" s="1"/>
  <c r="AI38" i="2422"/>
  <c r="IQ38" i="2422"/>
  <c r="IR38" i="2422" s="1"/>
  <c r="FW38" i="2422"/>
  <c r="FX38" i="2422" s="1"/>
  <c r="FN38" i="2422"/>
  <c r="FO38" i="2422" s="1"/>
  <c r="HY38" i="2422"/>
  <c r="HZ38" i="2422" s="1"/>
  <c r="IH38" i="2422"/>
  <c r="II38" i="2422" s="1"/>
  <c r="CT38" i="2422"/>
  <c r="CU38" i="2422" s="1"/>
  <c r="CK38" i="2422"/>
  <c r="CL38" i="2422" s="1"/>
  <c r="EV38" i="2422"/>
  <c r="EW38" i="2422" s="1"/>
  <c r="HP38" i="2422"/>
  <c r="HQ38" i="2422" s="1"/>
  <c r="FE38" i="2422"/>
  <c r="FF38" i="2422" s="1"/>
  <c r="HG38" i="2422"/>
  <c r="HH38" i="2422" s="1"/>
  <c r="KA38" i="2422"/>
  <c r="KB38" i="2422" s="1"/>
  <c r="CB38" i="2422"/>
  <c r="CC38" i="2422" s="1"/>
  <c r="EM38" i="2422"/>
  <c r="EN38" i="2422" s="1"/>
  <c r="BS38" i="2422"/>
  <c r="BT38" i="2422" s="1"/>
  <c r="JR38" i="2422"/>
  <c r="JS38" i="2422" s="1"/>
  <c r="GX38" i="2422"/>
  <c r="GY38" i="2422" s="1"/>
  <c r="ED38" i="2422"/>
  <c r="EE38" i="2422" s="1"/>
  <c r="GO38" i="2422"/>
  <c r="GP38" i="2422" s="1"/>
  <c r="JI38" i="2422"/>
  <c r="JJ38" i="2422" s="1"/>
  <c r="BJ38" i="2422"/>
  <c r="BK38" i="2422" s="1"/>
  <c r="AR38" i="2422"/>
  <c r="AS38" i="2422" s="1"/>
  <c r="DU38" i="2422"/>
  <c r="DV38" i="2422" s="1"/>
  <c r="BA38" i="2422"/>
  <c r="BB38" i="2422" s="1"/>
  <c r="GF38" i="2422"/>
  <c r="GG38" i="2422" s="1"/>
  <c r="DL38" i="2422"/>
  <c r="DM38" i="2422" s="1"/>
  <c r="IZ38" i="2422"/>
  <c r="JA38" i="2422" s="1"/>
  <c r="AI80" i="2422"/>
  <c r="IQ80" i="2422"/>
  <c r="IR80" i="2422" s="1"/>
  <c r="FW80" i="2422"/>
  <c r="FX80" i="2422" s="1"/>
  <c r="DC80" i="2422"/>
  <c r="DD80" i="2422" s="1"/>
  <c r="FN80" i="2422"/>
  <c r="FO80" i="2422" s="1"/>
  <c r="IH80" i="2422"/>
  <c r="II80" i="2422" s="1"/>
  <c r="CT80" i="2422"/>
  <c r="CU80" i="2422" s="1"/>
  <c r="HY80" i="2422"/>
  <c r="HZ80" i="2422" s="1"/>
  <c r="EV80" i="2422"/>
  <c r="EW80" i="2422" s="1"/>
  <c r="FE80" i="2422"/>
  <c r="FF80" i="2422" s="1"/>
  <c r="HP80" i="2422"/>
  <c r="HQ80" i="2422" s="1"/>
  <c r="CK80" i="2422"/>
  <c r="CL80" i="2422" s="1"/>
  <c r="KA80" i="2422"/>
  <c r="KB80" i="2422" s="1"/>
  <c r="CB80" i="2422"/>
  <c r="CC80" i="2422" s="1"/>
  <c r="HG80" i="2422"/>
  <c r="HH80" i="2422" s="1"/>
  <c r="EM80" i="2422"/>
  <c r="EN80" i="2422" s="1"/>
  <c r="JR80" i="2422"/>
  <c r="JS80" i="2422" s="1"/>
  <c r="GX80" i="2422"/>
  <c r="GY80" i="2422" s="1"/>
  <c r="BS80" i="2422"/>
  <c r="BT80" i="2422" s="1"/>
  <c r="ED80" i="2422"/>
  <c r="EE80" i="2422" s="1"/>
  <c r="BJ80" i="2422"/>
  <c r="BK80" i="2422" s="1"/>
  <c r="GO80" i="2422"/>
  <c r="GP80" i="2422" s="1"/>
  <c r="JI80" i="2422"/>
  <c r="JJ80" i="2422" s="1"/>
  <c r="DU80" i="2422"/>
  <c r="DV80" i="2422" s="1"/>
  <c r="BA80" i="2422"/>
  <c r="BB80" i="2422" s="1"/>
  <c r="AR80" i="2422"/>
  <c r="AS80" i="2422" s="1"/>
  <c r="IZ80" i="2422"/>
  <c r="JA80" i="2422" s="1"/>
  <c r="GF80" i="2422"/>
  <c r="GG80" i="2422" s="1"/>
  <c r="DL80" i="2422"/>
  <c r="DM80" i="2422" s="1"/>
  <c r="FW27" i="2422"/>
  <c r="FX27" i="2422" s="1"/>
  <c r="IQ27" i="2422"/>
  <c r="IR27" i="2422" s="1"/>
  <c r="AI27" i="2422"/>
  <c r="DC27" i="2422"/>
  <c r="DD27" i="2422" s="1"/>
  <c r="FN27" i="2422"/>
  <c r="FO27" i="2422" s="1"/>
  <c r="HY27" i="2422"/>
  <c r="HZ27" i="2422" s="1"/>
  <c r="IH27" i="2422"/>
  <c r="II27" i="2422" s="1"/>
  <c r="CT27" i="2422"/>
  <c r="CU27" i="2422" s="1"/>
  <c r="CK27" i="2422"/>
  <c r="CL27" i="2422" s="1"/>
  <c r="EV27" i="2422"/>
  <c r="EW27" i="2422" s="1"/>
  <c r="HP27" i="2422"/>
  <c r="HQ27" i="2422" s="1"/>
  <c r="FE27" i="2422"/>
  <c r="FF27" i="2422" s="1"/>
  <c r="CB27" i="2422"/>
  <c r="CC27" i="2422" s="1"/>
  <c r="HG27" i="2422"/>
  <c r="HH27" i="2422" s="1"/>
  <c r="KA27" i="2422"/>
  <c r="KB27" i="2422" s="1"/>
  <c r="JR27" i="2422"/>
  <c r="JS27" i="2422" s="1"/>
  <c r="GX27" i="2422"/>
  <c r="GY27" i="2422" s="1"/>
  <c r="BS27" i="2422"/>
  <c r="BT27" i="2422" s="1"/>
  <c r="EM27" i="2422"/>
  <c r="EN27" i="2422" s="1"/>
  <c r="BJ27" i="2422"/>
  <c r="BK27" i="2422" s="1"/>
  <c r="ED27" i="2422"/>
  <c r="EE27" i="2422" s="1"/>
  <c r="GO27" i="2422"/>
  <c r="GP27" i="2422" s="1"/>
  <c r="JI27" i="2422"/>
  <c r="JJ27" i="2422" s="1"/>
  <c r="DU27" i="2422"/>
  <c r="DV27" i="2422" s="1"/>
  <c r="BA27" i="2422"/>
  <c r="BB27" i="2422" s="1"/>
  <c r="AR27" i="2422"/>
  <c r="AS27" i="2422" s="1"/>
  <c r="DL27" i="2422"/>
  <c r="DM27" i="2422" s="1"/>
  <c r="IZ27" i="2422"/>
  <c r="JA27" i="2422" s="1"/>
  <c r="GF27" i="2422"/>
  <c r="GG27" i="2422" s="1"/>
  <c r="DC69" i="2422"/>
  <c r="DD69" i="2422" s="1"/>
  <c r="AI69" i="2422"/>
  <c r="IQ69" i="2422"/>
  <c r="IR69" i="2422" s="1"/>
  <c r="FW69" i="2422"/>
  <c r="FX69" i="2422" s="1"/>
  <c r="IH69" i="2422"/>
  <c r="II69" i="2422" s="1"/>
  <c r="HY69" i="2422"/>
  <c r="HZ69" i="2422" s="1"/>
  <c r="FN69" i="2422"/>
  <c r="FO69" i="2422" s="1"/>
  <c r="CT69" i="2422"/>
  <c r="CU69" i="2422" s="1"/>
  <c r="FE69" i="2422"/>
  <c r="FF69" i="2422" s="1"/>
  <c r="HP69" i="2422"/>
  <c r="HQ69" i="2422" s="1"/>
  <c r="CK69" i="2422"/>
  <c r="CL69" i="2422" s="1"/>
  <c r="EV69" i="2422"/>
  <c r="EW69" i="2422" s="1"/>
  <c r="CB69" i="2422"/>
  <c r="CC69" i="2422" s="1"/>
  <c r="KA69" i="2422"/>
  <c r="KB69" i="2422" s="1"/>
  <c r="HG69" i="2422"/>
  <c r="HH69" i="2422" s="1"/>
  <c r="JR69" i="2422"/>
  <c r="JS69" i="2422" s="1"/>
  <c r="GX69" i="2422"/>
  <c r="GY69" i="2422" s="1"/>
  <c r="BS69" i="2422"/>
  <c r="BT69" i="2422" s="1"/>
  <c r="EM69" i="2422"/>
  <c r="EN69" i="2422" s="1"/>
  <c r="BJ69" i="2422"/>
  <c r="BK69" i="2422" s="1"/>
  <c r="GO69" i="2422"/>
  <c r="GP69" i="2422" s="1"/>
  <c r="JI69" i="2422"/>
  <c r="JJ69" i="2422" s="1"/>
  <c r="ED69" i="2422"/>
  <c r="EE69" i="2422" s="1"/>
  <c r="BA69" i="2422"/>
  <c r="BB69" i="2422" s="1"/>
  <c r="DU69" i="2422"/>
  <c r="DV69" i="2422" s="1"/>
  <c r="AR69" i="2422"/>
  <c r="AS69" i="2422" s="1"/>
  <c r="GF69" i="2422"/>
  <c r="GG69" i="2422" s="1"/>
  <c r="DL69" i="2422"/>
  <c r="DM69" i="2422" s="1"/>
  <c r="IZ69" i="2422"/>
  <c r="JA69" i="2422" s="1"/>
  <c r="FW58" i="2422"/>
  <c r="FX58" i="2422" s="1"/>
  <c r="DC58" i="2422"/>
  <c r="DD58" i="2422" s="1"/>
  <c r="AI58" i="2422"/>
  <c r="IQ58" i="2422"/>
  <c r="IR58" i="2422" s="1"/>
  <c r="CT58" i="2422"/>
  <c r="CU58" i="2422" s="1"/>
  <c r="IH58" i="2422"/>
  <c r="II58" i="2422" s="1"/>
  <c r="HY58" i="2422"/>
  <c r="HZ58" i="2422" s="1"/>
  <c r="FN58" i="2422"/>
  <c r="FO58" i="2422" s="1"/>
  <c r="FE58" i="2422"/>
  <c r="FF58" i="2422" s="1"/>
  <c r="HP58" i="2422"/>
  <c r="HQ58" i="2422" s="1"/>
  <c r="CK58" i="2422"/>
  <c r="CL58" i="2422" s="1"/>
  <c r="EV58" i="2422"/>
  <c r="EW58" i="2422" s="1"/>
  <c r="CB58" i="2422"/>
  <c r="CC58" i="2422" s="1"/>
  <c r="HG58" i="2422"/>
  <c r="HH58" i="2422" s="1"/>
  <c r="KA58" i="2422"/>
  <c r="KB58" i="2422" s="1"/>
  <c r="JR58" i="2422"/>
  <c r="JS58" i="2422" s="1"/>
  <c r="BS58" i="2422"/>
  <c r="BT58" i="2422" s="1"/>
  <c r="GX58" i="2422"/>
  <c r="GY58" i="2422" s="1"/>
  <c r="EM58" i="2422"/>
  <c r="EN58" i="2422" s="1"/>
  <c r="JI58" i="2422"/>
  <c r="JJ58" i="2422" s="1"/>
  <c r="GO58" i="2422"/>
  <c r="GP58" i="2422" s="1"/>
  <c r="BJ58" i="2422"/>
  <c r="BK58" i="2422" s="1"/>
  <c r="ED58" i="2422"/>
  <c r="EE58" i="2422" s="1"/>
  <c r="BA58" i="2422"/>
  <c r="BB58" i="2422" s="1"/>
  <c r="DU58" i="2422"/>
  <c r="DV58" i="2422" s="1"/>
  <c r="AR58" i="2422"/>
  <c r="AS58" i="2422" s="1"/>
  <c r="GF58" i="2422"/>
  <c r="GG58" i="2422" s="1"/>
  <c r="DL58" i="2422"/>
  <c r="DM58" i="2422" s="1"/>
  <c r="IZ58" i="2422"/>
  <c r="JA58" i="2422" s="1"/>
  <c r="AI100" i="2422"/>
  <c r="IQ100" i="2422"/>
  <c r="IR100" i="2422" s="1"/>
  <c r="FW100" i="2422"/>
  <c r="FX100" i="2422" s="1"/>
  <c r="DC100" i="2422"/>
  <c r="DD100" i="2422" s="1"/>
  <c r="HY100" i="2422"/>
  <c r="HZ100" i="2422" s="1"/>
  <c r="FN100" i="2422"/>
  <c r="FO100" i="2422" s="1"/>
  <c r="CT100" i="2422"/>
  <c r="CU100" i="2422" s="1"/>
  <c r="IH100" i="2422"/>
  <c r="II100" i="2422" s="1"/>
  <c r="FE100" i="2422"/>
  <c r="FF100" i="2422" s="1"/>
  <c r="HP100" i="2422"/>
  <c r="HQ100" i="2422" s="1"/>
  <c r="EV100" i="2422"/>
  <c r="EW100" i="2422" s="1"/>
  <c r="CK100" i="2422"/>
  <c r="CL100" i="2422" s="1"/>
  <c r="HG100" i="2422"/>
  <c r="HH100" i="2422" s="1"/>
  <c r="CB100" i="2422"/>
  <c r="CC100" i="2422" s="1"/>
  <c r="KA100" i="2422"/>
  <c r="KB100" i="2422" s="1"/>
  <c r="ED100" i="2422"/>
  <c r="EE100" i="2422" s="1"/>
  <c r="JR100" i="2422"/>
  <c r="JS100" i="2422" s="1"/>
  <c r="EM100" i="2422"/>
  <c r="EN100" i="2422" s="1"/>
  <c r="BS100" i="2422"/>
  <c r="BT100" i="2422" s="1"/>
  <c r="GX100" i="2422"/>
  <c r="GY100" i="2422" s="1"/>
  <c r="JI100" i="2422"/>
  <c r="JJ100" i="2422" s="1"/>
  <c r="BJ100" i="2422"/>
  <c r="BK100" i="2422" s="1"/>
  <c r="GO100" i="2422"/>
  <c r="GP100" i="2422" s="1"/>
  <c r="BA100" i="2422"/>
  <c r="BB100" i="2422" s="1"/>
  <c r="AR100" i="2422"/>
  <c r="AS100" i="2422" s="1"/>
  <c r="DU100" i="2422"/>
  <c r="DV100" i="2422" s="1"/>
  <c r="IZ100" i="2422"/>
  <c r="JA100" i="2422" s="1"/>
  <c r="GF100" i="2422"/>
  <c r="GG100" i="2422" s="1"/>
  <c r="DL100" i="2422"/>
  <c r="DM100" i="2422" s="1"/>
  <c r="DC47" i="2422"/>
  <c r="DD47" i="2422" s="1"/>
  <c r="AI47" i="2422"/>
  <c r="FW47" i="2422"/>
  <c r="FX47" i="2422" s="1"/>
  <c r="IQ47" i="2422"/>
  <c r="IR47" i="2422" s="1"/>
  <c r="FN47" i="2422"/>
  <c r="FO47" i="2422" s="1"/>
  <c r="IH47" i="2422"/>
  <c r="II47" i="2422" s="1"/>
  <c r="HY47" i="2422"/>
  <c r="HZ47" i="2422" s="1"/>
  <c r="CT47" i="2422"/>
  <c r="CU47" i="2422" s="1"/>
  <c r="FE47" i="2422"/>
  <c r="FF47" i="2422" s="1"/>
  <c r="HP47" i="2422"/>
  <c r="HQ47" i="2422" s="1"/>
  <c r="EV47" i="2422"/>
  <c r="EW47" i="2422" s="1"/>
  <c r="CK47" i="2422"/>
  <c r="CL47" i="2422" s="1"/>
  <c r="CB47" i="2422"/>
  <c r="CC47" i="2422" s="1"/>
  <c r="HG47" i="2422"/>
  <c r="HH47" i="2422" s="1"/>
  <c r="KA47" i="2422"/>
  <c r="KB47" i="2422" s="1"/>
  <c r="BS47" i="2422"/>
  <c r="BT47" i="2422" s="1"/>
  <c r="GX47" i="2422"/>
  <c r="GY47" i="2422" s="1"/>
  <c r="EM47" i="2422"/>
  <c r="EN47" i="2422" s="1"/>
  <c r="JR47" i="2422"/>
  <c r="JS47" i="2422" s="1"/>
  <c r="GO47" i="2422"/>
  <c r="GP47" i="2422" s="1"/>
  <c r="BJ47" i="2422"/>
  <c r="BK47" i="2422" s="1"/>
  <c r="ED47" i="2422"/>
  <c r="EE47" i="2422" s="1"/>
  <c r="JI47" i="2422"/>
  <c r="JJ47" i="2422" s="1"/>
  <c r="BA47" i="2422"/>
  <c r="BB47" i="2422" s="1"/>
  <c r="DU47" i="2422"/>
  <c r="DV47" i="2422" s="1"/>
  <c r="AR47" i="2422"/>
  <c r="AS47" i="2422" s="1"/>
  <c r="IZ47" i="2422"/>
  <c r="JA47" i="2422" s="1"/>
  <c r="DL47" i="2422"/>
  <c r="DM47" i="2422" s="1"/>
  <c r="GF47" i="2422"/>
  <c r="GG47" i="2422" s="1"/>
  <c r="DC89" i="2422"/>
  <c r="DD89" i="2422" s="1"/>
  <c r="FW89" i="2422"/>
  <c r="FX89" i="2422" s="1"/>
  <c r="IQ89" i="2422"/>
  <c r="IR89" i="2422" s="1"/>
  <c r="AI89" i="2422"/>
  <c r="FN89" i="2422"/>
  <c r="FO89" i="2422" s="1"/>
  <c r="CT89" i="2422"/>
  <c r="CU89" i="2422" s="1"/>
  <c r="IH89" i="2422"/>
  <c r="II89" i="2422" s="1"/>
  <c r="HY89" i="2422"/>
  <c r="HZ89" i="2422" s="1"/>
  <c r="EV89" i="2422"/>
  <c r="EW89" i="2422" s="1"/>
  <c r="CK89" i="2422"/>
  <c r="CL89" i="2422" s="1"/>
  <c r="HP89" i="2422"/>
  <c r="HQ89" i="2422" s="1"/>
  <c r="FE89" i="2422"/>
  <c r="FF89" i="2422" s="1"/>
  <c r="CB89" i="2422"/>
  <c r="CC89" i="2422" s="1"/>
  <c r="KA89" i="2422"/>
  <c r="KB89" i="2422" s="1"/>
  <c r="HG89" i="2422"/>
  <c r="HH89" i="2422" s="1"/>
  <c r="ED89" i="2422"/>
  <c r="EE89" i="2422" s="1"/>
  <c r="JR89" i="2422"/>
  <c r="JS89" i="2422" s="1"/>
  <c r="BS89" i="2422"/>
  <c r="BT89" i="2422" s="1"/>
  <c r="EM89" i="2422"/>
  <c r="EN89" i="2422" s="1"/>
  <c r="GX89" i="2422"/>
  <c r="GY89" i="2422" s="1"/>
  <c r="BJ89" i="2422"/>
  <c r="BK89" i="2422" s="1"/>
  <c r="GO89" i="2422"/>
  <c r="GP89" i="2422" s="1"/>
  <c r="BA89" i="2422"/>
  <c r="BB89" i="2422" s="1"/>
  <c r="DU89" i="2422"/>
  <c r="DV89" i="2422" s="1"/>
  <c r="JI89" i="2422"/>
  <c r="JJ89" i="2422" s="1"/>
  <c r="AR89" i="2422"/>
  <c r="AS89" i="2422" s="1"/>
  <c r="IZ89" i="2422"/>
  <c r="JA89" i="2422" s="1"/>
  <c r="GF89" i="2422"/>
  <c r="GG89" i="2422" s="1"/>
  <c r="DL89" i="2422"/>
  <c r="DM89" i="2422" s="1"/>
  <c r="FW36" i="2422"/>
  <c r="FX36" i="2422" s="1"/>
  <c r="AI36" i="2422"/>
  <c r="IQ36" i="2422"/>
  <c r="IR36" i="2422" s="1"/>
  <c r="DC36" i="2422"/>
  <c r="DD36" i="2422" s="1"/>
  <c r="HY36" i="2422"/>
  <c r="HZ36" i="2422" s="1"/>
  <c r="FN36" i="2422"/>
  <c r="FO36" i="2422" s="1"/>
  <c r="IH36" i="2422"/>
  <c r="II36" i="2422" s="1"/>
  <c r="CT36" i="2422"/>
  <c r="CU36" i="2422" s="1"/>
  <c r="FE36" i="2422"/>
  <c r="FF36" i="2422" s="1"/>
  <c r="CK36" i="2422"/>
  <c r="CL36" i="2422" s="1"/>
  <c r="EV36" i="2422"/>
  <c r="EW36" i="2422" s="1"/>
  <c r="HP36" i="2422"/>
  <c r="HQ36" i="2422" s="1"/>
  <c r="HG36" i="2422"/>
  <c r="HH36" i="2422" s="1"/>
  <c r="CB36" i="2422"/>
  <c r="CC36" i="2422" s="1"/>
  <c r="KA36" i="2422"/>
  <c r="KB36" i="2422" s="1"/>
  <c r="GX36" i="2422"/>
  <c r="GY36" i="2422" s="1"/>
  <c r="ED36" i="2422"/>
  <c r="EE36" i="2422" s="1"/>
  <c r="JR36" i="2422"/>
  <c r="JS36" i="2422" s="1"/>
  <c r="EM36" i="2422"/>
  <c r="EN36" i="2422" s="1"/>
  <c r="BS36" i="2422"/>
  <c r="BT36" i="2422" s="1"/>
  <c r="JI36" i="2422"/>
  <c r="JJ36" i="2422" s="1"/>
  <c r="BJ36" i="2422"/>
  <c r="BK36" i="2422" s="1"/>
  <c r="GO36" i="2422"/>
  <c r="GP36" i="2422" s="1"/>
  <c r="IZ36" i="2422"/>
  <c r="JA36" i="2422" s="1"/>
  <c r="DU36" i="2422"/>
  <c r="DV36" i="2422" s="1"/>
  <c r="AR36" i="2422"/>
  <c r="AS36" i="2422" s="1"/>
  <c r="BA36" i="2422"/>
  <c r="BB36" i="2422" s="1"/>
  <c r="GF36" i="2422"/>
  <c r="GG36" i="2422" s="1"/>
  <c r="DL36" i="2422"/>
  <c r="DM36" i="2422" s="1"/>
  <c r="DC78" i="2422"/>
  <c r="DD78" i="2422" s="1"/>
  <c r="FW78" i="2422"/>
  <c r="FX78" i="2422" s="1"/>
  <c r="IQ78" i="2422"/>
  <c r="IR78" i="2422" s="1"/>
  <c r="AI78" i="2422"/>
  <c r="FN78" i="2422"/>
  <c r="FO78" i="2422" s="1"/>
  <c r="CT78" i="2422"/>
  <c r="CU78" i="2422" s="1"/>
  <c r="IH78" i="2422"/>
  <c r="II78" i="2422" s="1"/>
  <c r="HY78" i="2422"/>
  <c r="HZ78" i="2422" s="1"/>
  <c r="HP78" i="2422"/>
  <c r="HQ78" i="2422" s="1"/>
  <c r="EV78" i="2422"/>
  <c r="EW78" i="2422" s="1"/>
  <c r="CK78" i="2422"/>
  <c r="CL78" i="2422" s="1"/>
  <c r="FE78" i="2422"/>
  <c r="FF78" i="2422" s="1"/>
  <c r="CB78" i="2422"/>
  <c r="CC78" i="2422" s="1"/>
  <c r="KA78" i="2422"/>
  <c r="KB78" i="2422" s="1"/>
  <c r="HG78" i="2422"/>
  <c r="HH78" i="2422" s="1"/>
  <c r="EM78" i="2422"/>
  <c r="EN78" i="2422" s="1"/>
  <c r="JR78" i="2422"/>
  <c r="JS78" i="2422" s="1"/>
  <c r="BS78" i="2422"/>
  <c r="BT78" i="2422" s="1"/>
  <c r="GX78" i="2422"/>
  <c r="GY78" i="2422" s="1"/>
  <c r="BJ78" i="2422"/>
  <c r="BK78" i="2422" s="1"/>
  <c r="ED78" i="2422"/>
  <c r="EE78" i="2422" s="1"/>
  <c r="BA78" i="2422"/>
  <c r="BB78" i="2422" s="1"/>
  <c r="GO78" i="2422"/>
  <c r="GP78" i="2422" s="1"/>
  <c r="AR78" i="2422"/>
  <c r="AS78" i="2422" s="1"/>
  <c r="IZ78" i="2422"/>
  <c r="JA78" i="2422" s="1"/>
  <c r="JI78" i="2422"/>
  <c r="JJ78" i="2422" s="1"/>
  <c r="DU78" i="2422"/>
  <c r="DV78" i="2422" s="1"/>
  <c r="GF78" i="2422"/>
  <c r="GG78" i="2422" s="1"/>
  <c r="DL78" i="2422"/>
  <c r="DM78" i="2422" s="1"/>
  <c r="FW25" i="2422"/>
  <c r="FX25" i="2422" s="1"/>
  <c r="DC25" i="2422"/>
  <c r="DD25" i="2422" s="1"/>
  <c r="IQ25" i="2422"/>
  <c r="IR25" i="2422" s="1"/>
  <c r="AI25" i="2422"/>
  <c r="HY25" i="2422"/>
  <c r="HZ25" i="2422" s="1"/>
  <c r="FN25" i="2422"/>
  <c r="FO25" i="2422" s="1"/>
  <c r="CT25" i="2422"/>
  <c r="CU25" i="2422" s="1"/>
  <c r="IH25" i="2422"/>
  <c r="II25" i="2422" s="1"/>
  <c r="EV25" i="2422"/>
  <c r="EW25" i="2422" s="1"/>
  <c r="FE25" i="2422"/>
  <c r="FF25" i="2422" s="1"/>
  <c r="CK25" i="2422"/>
  <c r="CL25" i="2422" s="1"/>
  <c r="CB25" i="2422"/>
  <c r="CC25" i="2422" s="1"/>
  <c r="HP25" i="2422"/>
  <c r="HQ25" i="2422" s="1"/>
  <c r="KA25" i="2422"/>
  <c r="KB25" i="2422" s="1"/>
  <c r="HG25" i="2422"/>
  <c r="HH25" i="2422" s="1"/>
  <c r="EM25" i="2422"/>
  <c r="EN25" i="2422" s="1"/>
  <c r="JR25" i="2422"/>
  <c r="JS25" i="2422" s="1"/>
  <c r="BS25" i="2422"/>
  <c r="BT25" i="2422" s="1"/>
  <c r="GX25" i="2422"/>
  <c r="GY25" i="2422" s="1"/>
  <c r="ED25" i="2422"/>
  <c r="EE25" i="2422" s="1"/>
  <c r="GO25" i="2422"/>
  <c r="GP25" i="2422" s="1"/>
  <c r="JI25" i="2422"/>
  <c r="JJ25" i="2422" s="1"/>
  <c r="BA25" i="2422"/>
  <c r="BB25" i="2422" s="1"/>
  <c r="IZ25" i="2422"/>
  <c r="JA25" i="2422" s="1"/>
  <c r="BJ25" i="2422"/>
  <c r="BK25" i="2422" s="1"/>
  <c r="AR25" i="2422"/>
  <c r="AS25" i="2422" s="1"/>
  <c r="DU25" i="2422"/>
  <c r="DV25" i="2422" s="1"/>
  <c r="DL25" i="2422"/>
  <c r="DM25" i="2422" s="1"/>
  <c r="GF25" i="2422"/>
  <c r="GG25" i="2422" s="1"/>
  <c r="IQ67" i="2422"/>
  <c r="IR67" i="2422" s="1"/>
  <c r="DC67" i="2422"/>
  <c r="DD67" i="2422" s="1"/>
  <c r="AI67" i="2422"/>
  <c r="FW67" i="2422"/>
  <c r="FX67" i="2422" s="1"/>
  <c r="CT67" i="2422"/>
  <c r="CU67" i="2422" s="1"/>
  <c r="IH67" i="2422"/>
  <c r="II67" i="2422" s="1"/>
  <c r="FN67" i="2422"/>
  <c r="FO67" i="2422" s="1"/>
  <c r="HY67" i="2422"/>
  <c r="HZ67" i="2422" s="1"/>
  <c r="CK67" i="2422"/>
  <c r="CL67" i="2422" s="1"/>
  <c r="FE67" i="2422"/>
  <c r="FF67" i="2422" s="1"/>
  <c r="HP67" i="2422"/>
  <c r="HQ67" i="2422" s="1"/>
  <c r="EV67" i="2422"/>
  <c r="EW67" i="2422" s="1"/>
  <c r="CB67" i="2422"/>
  <c r="CC67" i="2422" s="1"/>
  <c r="HG67" i="2422"/>
  <c r="HH67" i="2422" s="1"/>
  <c r="KA67" i="2422"/>
  <c r="KB67" i="2422" s="1"/>
  <c r="EM67" i="2422"/>
  <c r="EN67" i="2422" s="1"/>
  <c r="GX67" i="2422"/>
  <c r="GY67" i="2422" s="1"/>
  <c r="BS67" i="2422"/>
  <c r="BT67" i="2422" s="1"/>
  <c r="JR67" i="2422"/>
  <c r="JS67" i="2422" s="1"/>
  <c r="ED67" i="2422"/>
  <c r="EE67" i="2422" s="1"/>
  <c r="GO67" i="2422"/>
  <c r="GP67" i="2422" s="1"/>
  <c r="BJ67" i="2422"/>
  <c r="BK67" i="2422" s="1"/>
  <c r="JI67" i="2422"/>
  <c r="JJ67" i="2422" s="1"/>
  <c r="DU67" i="2422"/>
  <c r="DV67" i="2422" s="1"/>
  <c r="AR67" i="2422"/>
  <c r="AS67" i="2422" s="1"/>
  <c r="BA67" i="2422"/>
  <c r="BB67" i="2422" s="1"/>
  <c r="IZ67" i="2422"/>
  <c r="JA67" i="2422" s="1"/>
  <c r="GF67" i="2422"/>
  <c r="GG67" i="2422" s="1"/>
  <c r="DL67" i="2422"/>
  <c r="DM67" i="2422" s="1"/>
  <c r="AI109" i="2422"/>
  <c r="IH109" i="2422"/>
  <c r="II109" i="2422" s="1"/>
  <c r="FW109" i="2422"/>
  <c r="FX109" i="2422" s="1"/>
  <c r="DC109" i="2422"/>
  <c r="DD109" i="2422" s="1"/>
  <c r="IQ109" i="2422"/>
  <c r="IR109" i="2422" s="1"/>
  <c r="FN109" i="2422"/>
  <c r="FO109" i="2422" s="1"/>
  <c r="CT109" i="2422"/>
  <c r="CU109" i="2422" s="1"/>
  <c r="HY109" i="2422"/>
  <c r="HZ109" i="2422" s="1"/>
  <c r="HP109" i="2422"/>
  <c r="HQ109" i="2422" s="1"/>
  <c r="FE109" i="2422"/>
  <c r="FF109" i="2422" s="1"/>
  <c r="CK109" i="2422"/>
  <c r="CL109" i="2422" s="1"/>
  <c r="EV109" i="2422"/>
  <c r="EW109" i="2422" s="1"/>
  <c r="CB109" i="2422"/>
  <c r="CC109" i="2422" s="1"/>
  <c r="HG109" i="2422"/>
  <c r="HH109" i="2422" s="1"/>
  <c r="KA109" i="2422"/>
  <c r="KB109" i="2422" s="1"/>
  <c r="BS109" i="2422"/>
  <c r="BT109" i="2422" s="1"/>
  <c r="EM109" i="2422"/>
  <c r="EN109" i="2422" s="1"/>
  <c r="GX109" i="2422"/>
  <c r="GY109" i="2422" s="1"/>
  <c r="JR109" i="2422"/>
  <c r="JS109" i="2422" s="1"/>
  <c r="ED109" i="2422"/>
  <c r="EE109" i="2422" s="1"/>
  <c r="GO109" i="2422"/>
  <c r="GP109" i="2422" s="1"/>
  <c r="BJ109" i="2422"/>
  <c r="BK109" i="2422" s="1"/>
  <c r="BA109" i="2422"/>
  <c r="BB109" i="2422" s="1"/>
  <c r="JI109" i="2422"/>
  <c r="JJ109" i="2422" s="1"/>
  <c r="IZ109" i="2422"/>
  <c r="JA109" i="2422" s="1"/>
  <c r="DU109" i="2422"/>
  <c r="DV109" i="2422" s="1"/>
  <c r="AR109" i="2422"/>
  <c r="AS109" i="2422" s="1"/>
  <c r="GF109" i="2422"/>
  <c r="GG109" i="2422" s="1"/>
  <c r="DL109" i="2422"/>
  <c r="DM109" i="2422" s="1"/>
  <c r="DC56" i="2422"/>
  <c r="DD56" i="2422" s="1"/>
  <c r="FW56" i="2422"/>
  <c r="FX56" i="2422" s="1"/>
  <c r="AI56" i="2422"/>
  <c r="IQ56" i="2422"/>
  <c r="IR56" i="2422" s="1"/>
  <c r="HY56" i="2422"/>
  <c r="HZ56" i="2422" s="1"/>
  <c r="IH56" i="2422"/>
  <c r="II56" i="2422" s="1"/>
  <c r="CT56" i="2422"/>
  <c r="CU56" i="2422" s="1"/>
  <c r="FN56" i="2422"/>
  <c r="FO56" i="2422" s="1"/>
  <c r="FE56" i="2422"/>
  <c r="FF56" i="2422" s="1"/>
  <c r="HP56" i="2422"/>
  <c r="HQ56" i="2422" s="1"/>
  <c r="CK56" i="2422"/>
  <c r="CL56" i="2422" s="1"/>
  <c r="KA56" i="2422"/>
  <c r="KB56" i="2422" s="1"/>
  <c r="CB56" i="2422"/>
  <c r="CC56" i="2422" s="1"/>
  <c r="EM56" i="2422"/>
  <c r="EN56" i="2422" s="1"/>
  <c r="EV56" i="2422"/>
  <c r="EW56" i="2422" s="1"/>
  <c r="HG56" i="2422"/>
  <c r="HH56" i="2422" s="1"/>
  <c r="GX56" i="2422"/>
  <c r="GY56" i="2422" s="1"/>
  <c r="JR56" i="2422"/>
  <c r="JS56" i="2422" s="1"/>
  <c r="BS56" i="2422"/>
  <c r="BT56" i="2422" s="1"/>
  <c r="BJ56" i="2422"/>
  <c r="BK56" i="2422" s="1"/>
  <c r="JI56" i="2422"/>
  <c r="JJ56" i="2422" s="1"/>
  <c r="ED56" i="2422"/>
  <c r="EE56" i="2422" s="1"/>
  <c r="GO56" i="2422"/>
  <c r="GP56" i="2422" s="1"/>
  <c r="AR56" i="2422"/>
  <c r="AS56" i="2422" s="1"/>
  <c r="DU56" i="2422"/>
  <c r="DV56" i="2422" s="1"/>
  <c r="BA56" i="2422"/>
  <c r="BB56" i="2422" s="1"/>
  <c r="IZ56" i="2422"/>
  <c r="JA56" i="2422" s="1"/>
  <c r="DL56" i="2422"/>
  <c r="DM56" i="2422" s="1"/>
  <c r="GF56" i="2422"/>
  <c r="GG56" i="2422" s="1"/>
  <c r="FW98" i="2422"/>
  <c r="FX98" i="2422" s="1"/>
  <c r="AI98" i="2422"/>
  <c r="DC98" i="2422"/>
  <c r="DD98" i="2422" s="1"/>
  <c r="IQ98" i="2422"/>
  <c r="IR98" i="2422" s="1"/>
  <c r="IH98" i="2422"/>
  <c r="II98" i="2422" s="1"/>
  <c r="HY98" i="2422"/>
  <c r="HZ98" i="2422" s="1"/>
  <c r="FN98" i="2422"/>
  <c r="FO98" i="2422" s="1"/>
  <c r="CT98" i="2422"/>
  <c r="CU98" i="2422" s="1"/>
  <c r="FE98" i="2422"/>
  <c r="FF98" i="2422" s="1"/>
  <c r="CK98" i="2422"/>
  <c r="CL98" i="2422" s="1"/>
  <c r="HP98" i="2422"/>
  <c r="HQ98" i="2422" s="1"/>
  <c r="EV98" i="2422"/>
  <c r="EW98" i="2422" s="1"/>
  <c r="CB98" i="2422"/>
  <c r="CC98" i="2422" s="1"/>
  <c r="HG98" i="2422"/>
  <c r="HH98" i="2422" s="1"/>
  <c r="KA98" i="2422"/>
  <c r="KB98" i="2422" s="1"/>
  <c r="GX98" i="2422"/>
  <c r="GY98" i="2422" s="1"/>
  <c r="BS98" i="2422"/>
  <c r="BT98" i="2422" s="1"/>
  <c r="EM98" i="2422"/>
  <c r="EN98" i="2422" s="1"/>
  <c r="JR98" i="2422"/>
  <c r="JS98" i="2422" s="1"/>
  <c r="BJ98" i="2422"/>
  <c r="BK98" i="2422" s="1"/>
  <c r="JI98" i="2422"/>
  <c r="JJ98" i="2422" s="1"/>
  <c r="ED98" i="2422"/>
  <c r="EE98" i="2422" s="1"/>
  <c r="DU98" i="2422"/>
  <c r="DV98" i="2422" s="1"/>
  <c r="BA98" i="2422"/>
  <c r="BB98" i="2422" s="1"/>
  <c r="GO98" i="2422"/>
  <c r="GP98" i="2422" s="1"/>
  <c r="AR98" i="2422"/>
  <c r="AS98" i="2422" s="1"/>
  <c r="IZ98" i="2422"/>
  <c r="JA98" i="2422" s="1"/>
  <c r="GF98" i="2422"/>
  <c r="GG98" i="2422" s="1"/>
  <c r="DL98" i="2422"/>
  <c r="DM98" i="2422" s="1"/>
  <c r="AI45" i="2422"/>
  <c r="FW45" i="2422"/>
  <c r="FX45" i="2422" s="1"/>
  <c r="DC45" i="2422"/>
  <c r="DD45" i="2422" s="1"/>
  <c r="IQ45" i="2422"/>
  <c r="IR45" i="2422" s="1"/>
  <c r="IH45" i="2422"/>
  <c r="II45" i="2422" s="1"/>
  <c r="CT45" i="2422"/>
  <c r="CU45" i="2422" s="1"/>
  <c r="FN45" i="2422"/>
  <c r="FO45" i="2422" s="1"/>
  <c r="HY45" i="2422"/>
  <c r="HZ45" i="2422" s="1"/>
  <c r="HP45" i="2422"/>
  <c r="HQ45" i="2422" s="1"/>
  <c r="FE45" i="2422"/>
  <c r="FF45" i="2422" s="1"/>
  <c r="CK45" i="2422"/>
  <c r="CL45" i="2422" s="1"/>
  <c r="EV45" i="2422"/>
  <c r="EW45" i="2422" s="1"/>
  <c r="CB45" i="2422"/>
  <c r="CC45" i="2422" s="1"/>
  <c r="HG45" i="2422"/>
  <c r="HH45" i="2422" s="1"/>
  <c r="KA45" i="2422"/>
  <c r="KB45" i="2422" s="1"/>
  <c r="BS45" i="2422"/>
  <c r="BT45" i="2422" s="1"/>
  <c r="EM45" i="2422"/>
  <c r="EN45" i="2422" s="1"/>
  <c r="JR45" i="2422"/>
  <c r="JS45" i="2422" s="1"/>
  <c r="GX45" i="2422"/>
  <c r="GY45" i="2422" s="1"/>
  <c r="BJ45" i="2422"/>
  <c r="BK45" i="2422" s="1"/>
  <c r="JI45" i="2422"/>
  <c r="JJ45" i="2422" s="1"/>
  <c r="ED45" i="2422"/>
  <c r="EE45" i="2422" s="1"/>
  <c r="GO45" i="2422"/>
  <c r="GP45" i="2422" s="1"/>
  <c r="BA45" i="2422"/>
  <c r="BB45" i="2422" s="1"/>
  <c r="AR45" i="2422"/>
  <c r="AS45" i="2422" s="1"/>
  <c r="DU45" i="2422"/>
  <c r="DV45" i="2422" s="1"/>
  <c r="IZ45" i="2422"/>
  <c r="JA45" i="2422" s="1"/>
  <c r="DL45" i="2422"/>
  <c r="DM45" i="2422" s="1"/>
  <c r="GF45" i="2422"/>
  <c r="GG45" i="2422" s="1"/>
  <c r="IQ87" i="2422"/>
  <c r="IR87" i="2422" s="1"/>
  <c r="IH87" i="2422"/>
  <c r="II87" i="2422" s="1"/>
  <c r="FW87" i="2422"/>
  <c r="FX87" i="2422" s="1"/>
  <c r="AI87" i="2422"/>
  <c r="DC87" i="2422"/>
  <c r="DD87" i="2422" s="1"/>
  <c r="FN87" i="2422"/>
  <c r="FO87" i="2422" s="1"/>
  <c r="CT87" i="2422"/>
  <c r="CU87" i="2422" s="1"/>
  <c r="HY87" i="2422"/>
  <c r="HZ87" i="2422" s="1"/>
  <c r="FE87" i="2422"/>
  <c r="FF87" i="2422" s="1"/>
  <c r="HP87" i="2422"/>
  <c r="HQ87" i="2422" s="1"/>
  <c r="CK87" i="2422"/>
  <c r="CL87" i="2422" s="1"/>
  <c r="EV87" i="2422"/>
  <c r="EW87" i="2422" s="1"/>
  <c r="KA87" i="2422"/>
  <c r="KB87" i="2422" s="1"/>
  <c r="CB87" i="2422"/>
  <c r="CC87" i="2422" s="1"/>
  <c r="HG87" i="2422"/>
  <c r="HH87" i="2422" s="1"/>
  <c r="EM87" i="2422"/>
  <c r="EN87" i="2422" s="1"/>
  <c r="JR87" i="2422"/>
  <c r="JS87" i="2422" s="1"/>
  <c r="GX87" i="2422"/>
  <c r="GY87" i="2422" s="1"/>
  <c r="BS87" i="2422"/>
  <c r="BT87" i="2422" s="1"/>
  <c r="BJ87" i="2422"/>
  <c r="BK87" i="2422" s="1"/>
  <c r="GO87" i="2422"/>
  <c r="GP87" i="2422" s="1"/>
  <c r="ED87" i="2422"/>
  <c r="EE87" i="2422" s="1"/>
  <c r="JI87" i="2422"/>
  <c r="JJ87" i="2422" s="1"/>
  <c r="BA87" i="2422"/>
  <c r="BB87" i="2422" s="1"/>
  <c r="IZ87" i="2422"/>
  <c r="JA87" i="2422" s="1"/>
  <c r="DU87" i="2422"/>
  <c r="DV87" i="2422" s="1"/>
  <c r="AR87" i="2422"/>
  <c r="AS87" i="2422" s="1"/>
  <c r="GF87" i="2422"/>
  <c r="GG87" i="2422" s="1"/>
  <c r="DL87" i="2422"/>
  <c r="DM87" i="2422" s="1"/>
  <c r="AI34" i="2422"/>
  <c r="FW34" i="2422"/>
  <c r="FX34" i="2422" s="1"/>
  <c r="IQ34" i="2422"/>
  <c r="IR34" i="2422" s="1"/>
  <c r="DC34" i="2422"/>
  <c r="DD34" i="2422" s="1"/>
  <c r="HY34" i="2422"/>
  <c r="HZ34" i="2422" s="1"/>
  <c r="IH34" i="2422"/>
  <c r="II34" i="2422" s="1"/>
  <c r="CT34" i="2422"/>
  <c r="CU34" i="2422" s="1"/>
  <c r="FN34" i="2422"/>
  <c r="FO34" i="2422" s="1"/>
  <c r="CK34" i="2422"/>
  <c r="CL34" i="2422" s="1"/>
  <c r="HP34" i="2422"/>
  <c r="HQ34" i="2422" s="1"/>
  <c r="FE34" i="2422"/>
  <c r="FF34" i="2422" s="1"/>
  <c r="EV34" i="2422"/>
  <c r="EW34" i="2422" s="1"/>
  <c r="CB34" i="2422"/>
  <c r="CC34" i="2422" s="1"/>
  <c r="HG34" i="2422"/>
  <c r="HH34" i="2422" s="1"/>
  <c r="KA34" i="2422"/>
  <c r="KB34" i="2422" s="1"/>
  <c r="BS34" i="2422"/>
  <c r="BT34" i="2422" s="1"/>
  <c r="EM34" i="2422"/>
  <c r="EN34" i="2422" s="1"/>
  <c r="JR34" i="2422"/>
  <c r="JS34" i="2422" s="1"/>
  <c r="GX34" i="2422"/>
  <c r="GY34" i="2422" s="1"/>
  <c r="JI34" i="2422"/>
  <c r="JJ34" i="2422" s="1"/>
  <c r="BJ34" i="2422"/>
  <c r="BK34" i="2422" s="1"/>
  <c r="ED34" i="2422"/>
  <c r="EE34" i="2422" s="1"/>
  <c r="BA34" i="2422"/>
  <c r="BB34" i="2422" s="1"/>
  <c r="GO34" i="2422"/>
  <c r="GP34" i="2422" s="1"/>
  <c r="DU34" i="2422"/>
  <c r="DV34" i="2422" s="1"/>
  <c r="AR34" i="2422"/>
  <c r="AS34" i="2422" s="1"/>
  <c r="IZ34" i="2422"/>
  <c r="JA34" i="2422" s="1"/>
  <c r="GF34" i="2422"/>
  <c r="GG34" i="2422" s="1"/>
  <c r="DL34" i="2422"/>
  <c r="DM34" i="2422" s="1"/>
  <c r="DC76" i="2422"/>
  <c r="DD76" i="2422" s="1"/>
  <c r="AI76" i="2422"/>
  <c r="IQ76" i="2422"/>
  <c r="IR76" i="2422" s="1"/>
  <c r="FW76" i="2422"/>
  <c r="FX76" i="2422" s="1"/>
  <c r="FN76" i="2422"/>
  <c r="FO76" i="2422" s="1"/>
  <c r="CT76" i="2422"/>
  <c r="CU76" i="2422" s="1"/>
  <c r="HY76" i="2422"/>
  <c r="HZ76" i="2422" s="1"/>
  <c r="IH76" i="2422"/>
  <c r="II76" i="2422" s="1"/>
  <c r="CK76" i="2422"/>
  <c r="CL76" i="2422" s="1"/>
  <c r="FE76" i="2422"/>
  <c r="FF76" i="2422" s="1"/>
  <c r="EV76" i="2422"/>
  <c r="EW76" i="2422" s="1"/>
  <c r="CB76" i="2422"/>
  <c r="CC76" i="2422" s="1"/>
  <c r="HG76" i="2422"/>
  <c r="HH76" i="2422" s="1"/>
  <c r="HP76" i="2422"/>
  <c r="HQ76" i="2422" s="1"/>
  <c r="KA76" i="2422"/>
  <c r="KB76" i="2422" s="1"/>
  <c r="BS76" i="2422"/>
  <c r="BT76" i="2422" s="1"/>
  <c r="GX76" i="2422"/>
  <c r="GY76" i="2422" s="1"/>
  <c r="EM76" i="2422"/>
  <c r="EN76" i="2422" s="1"/>
  <c r="JR76" i="2422"/>
  <c r="JS76" i="2422" s="1"/>
  <c r="BJ76" i="2422"/>
  <c r="BK76" i="2422" s="1"/>
  <c r="JI76" i="2422"/>
  <c r="JJ76" i="2422" s="1"/>
  <c r="ED76" i="2422"/>
  <c r="EE76" i="2422" s="1"/>
  <c r="BA76" i="2422"/>
  <c r="BB76" i="2422" s="1"/>
  <c r="GO76" i="2422"/>
  <c r="GP76" i="2422" s="1"/>
  <c r="IZ76" i="2422"/>
  <c r="JA76" i="2422" s="1"/>
  <c r="AR76" i="2422"/>
  <c r="AS76" i="2422" s="1"/>
  <c r="DU76" i="2422"/>
  <c r="DV76" i="2422" s="1"/>
  <c r="GF76" i="2422"/>
  <c r="GG76" i="2422" s="1"/>
  <c r="DL76" i="2422"/>
  <c r="DM76" i="2422" s="1"/>
  <c r="FW23" i="2422"/>
  <c r="FX23" i="2422" s="1"/>
  <c r="AI23" i="2422"/>
  <c r="DC23" i="2422"/>
  <c r="DD23" i="2422" s="1"/>
  <c r="IQ23" i="2422"/>
  <c r="IR23" i="2422" s="1"/>
  <c r="IH23" i="2422"/>
  <c r="II23" i="2422" s="1"/>
  <c r="FN23" i="2422"/>
  <c r="FO23" i="2422" s="1"/>
  <c r="CT23" i="2422"/>
  <c r="CU23" i="2422" s="1"/>
  <c r="HY23" i="2422"/>
  <c r="HZ23" i="2422" s="1"/>
  <c r="FE23" i="2422"/>
  <c r="FF23" i="2422" s="1"/>
  <c r="HP23" i="2422"/>
  <c r="HQ23" i="2422" s="1"/>
  <c r="CK23" i="2422"/>
  <c r="CL23" i="2422" s="1"/>
  <c r="CB23" i="2422"/>
  <c r="CC23" i="2422" s="1"/>
  <c r="KA23" i="2422"/>
  <c r="KB23" i="2422" s="1"/>
  <c r="EV23" i="2422"/>
  <c r="EW23" i="2422" s="1"/>
  <c r="HG23" i="2422"/>
  <c r="HH23" i="2422" s="1"/>
  <c r="EM23" i="2422"/>
  <c r="EN23" i="2422" s="1"/>
  <c r="JR23" i="2422"/>
  <c r="JS23" i="2422" s="1"/>
  <c r="BS23" i="2422"/>
  <c r="BT23" i="2422" s="1"/>
  <c r="GX23" i="2422"/>
  <c r="GY23" i="2422" s="1"/>
  <c r="JI23" i="2422"/>
  <c r="JJ23" i="2422" s="1"/>
  <c r="ED23" i="2422"/>
  <c r="EE23" i="2422" s="1"/>
  <c r="GO23" i="2422"/>
  <c r="GP23" i="2422" s="1"/>
  <c r="DU23" i="2422"/>
  <c r="DV23" i="2422" s="1"/>
  <c r="BA23" i="2422"/>
  <c r="BB23" i="2422" s="1"/>
  <c r="AR23" i="2422"/>
  <c r="AS23" i="2422" s="1"/>
  <c r="BJ23" i="2422"/>
  <c r="BK23" i="2422" s="1"/>
  <c r="GF23" i="2422"/>
  <c r="GG23" i="2422" s="1"/>
  <c r="DL23" i="2422"/>
  <c r="DM23" i="2422" s="1"/>
  <c r="IZ23" i="2422"/>
  <c r="JA23" i="2422" s="1"/>
  <c r="FW65" i="2422"/>
  <c r="FX65" i="2422" s="1"/>
  <c r="IQ65" i="2422"/>
  <c r="IR65" i="2422" s="1"/>
  <c r="AI65" i="2422"/>
  <c r="DC65" i="2422"/>
  <c r="DD65" i="2422" s="1"/>
  <c r="FN65" i="2422"/>
  <c r="FO65" i="2422" s="1"/>
  <c r="HY65" i="2422"/>
  <c r="HZ65" i="2422" s="1"/>
  <c r="CT65" i="2422"/>
  <c r="CU65" i="2422" s="1"/>
  <c r="IH65" i="2422"/>
  <c r="II65" i="2422" s="1"/>
  <c r="FE65" i="2422"/>
  <c r="FF65" i="2422" s="1"/>
  <c r="HP65" i="2422"/>
  <c r="HQ65" i="2422" s="1"/>
  <c r="EV65" i="2422"/>
  <c r="EW65" i="2422" s="1"/>
  <c r="CK65" i="2422"/>
  <c r="CL65" i="2422" s="1"/>
  <c r="KA65" i="2422"/>
  <c r="KB65" i="2422" s="1"/>
  <c r="HG65" i="2422"/>
  <c r="HH65" i="2422" s="1"/>
  <c r="CB65" i="2422"/>
  <c r="CC65" i="2422" s="1"/>
  <c r="BS65" i="2422"/>
  <c r="BT65" i="2422" s="1"/>
  <c r="GX65" i="2422"/>
  <c r="GY65" i="2422" s="1"/>
  <c r="JR65" i="2422"/>
  <c r="JS65" i="2422" s="1"/>
  <c r="EM65" i="2422"/>
  <c r="EN65" i="2422" s="1"/>
  <c r="BJ65" i="2422"/>
  <c r="BK65" i="2422" s="1"/>
  <c r="ED65" i="2422"/>
  <c r="EE65" i="2422" s="1"/>
  <c r="JI65" i="2422"/>
  <c r="JJ65" i="2422" s="1"/>
  <c r="GO65" i="2422"/>
  <c r="GP65" i="2422" s="1"/>
  <c r="AR65" i="2422"/>
  <c r="AS65" i="2422" s="1"/>
  <c r="BA65" i="2422"/>
  <c r="BB65" i="2422" s="1"/>
  <c r="DU65" i="2422"/>
  <c r="DV65" i="2422" s="1"/>
  <c r="IZ65" i="2422"/>
  <c r="JA65" i="2422" s="1"/>
  <c r="GF65" i="2422"/>
  <c r="GG65" i="2422" s="1"/>
  <c r="DL65" i="2422"/>
  <c r="DM65" i="2422" s="1"/>
  <c r="AI107" i="2422"/>
  <c r="DC107" i="2422"/>
  <c r="DD107" i="2422" s="1"/>
  <c r="FW107" i="2422"/>
  <c r="FX107" i="2422" s="1"/>
  <c r="IQ107" i="2422"/>
  <c r="IR107" i="2422" s="1"/>
  <c r="IH107" i="2422"/>
  <c r="II107" i="2422" s="1"/>
  <c r="CT107" i="2422"/>
  <c r="CU107" i="2422" s="1"/>
  <c r="FN107" i="2422"/>
  <c r="FO107" i="2422" s="1"/>
  <c r="HY107" i="2422"/>
  <c r="HZ107" i="2422" s="1"/>
  <c r="EV107" i="2422"/>
  <c r="EW107" i="2422" s="1"/>
  <c r="CK107" i="2422"/>
  <c r="CL107" i="2422" s="1"/>
  <c r="HP107" i="2422"/>
  <c r="HQ107" i="2422" s="1"/>
  <c r="CB107" i="2422"/>
  <c r="CC107" i="2422" s="1"/>
  <c r="FE107" i="2422"/>
  <c r="FF107" i="2422" s="1"/>
  <c r="KA107" i="2422"/>
  <c r="KB107" i="2422" s="1"/>
  <c r="HG107" i="2422"/>
  <c r="HH107" i="2422" s="1"/>
  <c r="JR107" i="2422"/>
  <c r="JS107" i="2422" s="1"/>
  <c r="GX107" i="2422"/>
  <c r="GY107" i="2422" s="1"/>
  <c r="EM107" i="2422"/>
  <c r="EN107" i="2422" s="1"/>
  <c r="BS107" i="2422"/>
  <c r="BT107" i="2422" s="1"/>
  <c r="BJ107" i="2422"/>
  <c r="BK107" i="2422" s="1"/>
  <c r="JI107" i="2422"/>
  <c r="JJ107" i="2422" s="1"/>
  <c r="ED107" i="2422"/>
  <c r="EE107" i="2422" s="1"/>
  <c r="BA107" i="2422"/>
  <c r="BB107" i="2422" s="1"/>
  <c r="AR107" i="2422"/>
  <c r="AS107" i="2422" s="1"/>
  <c r="IZ107" i="2422"/>
  <c r="JA107" i="2422" s="1"/>
  <c r="DU107" i="2422"/>
  <c r="DV107" i="2422" s="1"/>
  <c r="GO107" i="2422"/>
  <c r="GP107" i="2422" s="1"/>
  <c r="GF107" i="2422"/>
  <c r="GG107" i="2422" s="1"/>
  <c r="DL107" i="2422"/>
  <c r="DM107" i="2422" s="1"/>
  <c r="DC54" i="2422"/>
  <c r="DD54" i="2422" s="1"/>
  <c r="AI54" i="2422"/>
  <c r="FW54" i="2422"/>
  <c r="FX54" i="2422" s="1"/>
  <c r="IQ54" i="2422"/>
  <c r="IR54" i="2422" s="1"/>
  <c r="FN54" i="2422"/>
  <c r="FO54" i="2422" s="1"/>
  <c r="IH54" i="2422"/>
  <c r="II54" i="2422" s="1"/>
  <c r="HY54" i="2422"/>
  <c r="HZ54" i="2422" s="1"/>
  <c r="CT54" i="2422"/>
  <c r="CU54" i="2422" s="1"/>
  <c r="FE54" i="2422"/>
  <c r="FF54" i="2422" s="1"/>
  <c r="HP54" i="2422"/>
  <c r="HQ54" i="2422" s="1"/>
  <c r="CK54" i="2422"/>
  <c r="CL54" i="2422" s="1"/>
  <c r="EV54" i="2422"/>
  <c r="EW54" i="2422" s="1"/>
  <c r="KA54" i="2422"/>
  <c r="KB54" i="2422" s="1"/>
  <c r="HG54" i="2422"/>
  <c r="HH54" i="2422" s="1"/>
  <c r="CB54" i="2422"/>
  <c r="CC54" i="2422" s="1"/>
  <c r="BS54" i="2422"/>
  <c r="BT54" i="2422" s="1"/>
  <c r="JR54" i="2422"/>
  <c r="JS54" i="2422" s="1"/>
  <c r="EM54" i="2422"/>
  <c r="EN54" i="2422" s="1"/>
  <c r="BJ54" i="2422"/>
  <c r="BK54" i="2422" s="1"/>
  <c r="ED54" i="2422"/>
  <c r="EE54" i="2422" s="1"/>
  <c r="GX54" i="2422"/>
  <c r="GY54" i="2422" s="1"/>
  <c r="DU54" i="2422"/>
  <c r="DV54" i="2422" s="1"/>
  <c r="JI54" i="2422"/>
  <c r="JJ54" i="2422" s="1"/>
  <c r="GO54" i="2422"/>
  <c r="GP54" i="2422" s="1"/>
  <c r="AR54" i="2422"/>
  <c r="AS54" i="2422" s="1"/>
  <c r="BA54" i="2422"/>
  <c r="BB54" i="2422" s="1"/>
  <c r="IZ54" i="2422"/>
  <c r="JA54" i="2422" s="1"/>
  <c r="GF54" i="2422"/>
  <c r="GG54" i="2422" s="1"/>
  <c r="DL54" i="2422"/>
  <c r="DM54" i="2422" s="1"/>
  <c r="FW96" i="2422"/>
  <c r="FX96" i="2422" s="1"/>
  <c r="AI96" i="2422"/>
  <c r="IQ96" i="2422"/>
  <c r="IR96" i="2422" s="1"/>
  <c r="DC96" i="2422"/>
  <c r="DD96" i="2422" s="1"/>
  <c r="CT96" i="2422"/>
  <c r="CU96" i="2422" s="1"/>
  <c r="IH96" i="2422"/>
  <c r="II96" i="2422" s="1"/>
  <c r="HY96" i="2422"/>
  <c r="HZ96" i="2422" s="1"/>
  <c r="FN96" i="2422"/>
  <c r="FO96" i="2422" s="1"/>
  <c r="CK96" i="2422"/>
  <c r="CL96" i="2422" s="1"/>
  <c r="HP96" i="2422"/>
  <c r="HQ96" i="2422" s="1"/>
  <c r="FE96" i="2422"/>
  <c r="FF96" i="2422" s="1"/>
  <c r="EV96" i="2422"/>
  <c r="EW96" i="2422" s="1"/>
  <c r="CB96" i="2422"/>
  <c r="CC96" i="2422" s="1"/>
  <c r="HG96" i="2422"/>
  <c r="HH96" i="2422" s="1"/>
  <c r="KA96" i="2422"/>
  <c r="KB96" i="2422" s="1"/>
  <c r="ED96" i="2422"/>
  <c r="EE96" i="2422" s="1"/>
  <c r="JR96" i="2422"/>
  <c r="JS96" i="2422" s="1"/>
  <c r="EM96" i="2422"/>
  <c r="EN96" i="2422" s="1"/>
  <c r="GX96" i="2422"/>
  <c r="GY96" i="2422" s="1"/>
  <c r="BS96" i="2422"/>
  <c r="BT96" i="2422" s="1"/>
  <c r="BJ96" i="2422"/>
  <c r="BK96" i="2422" s="1"/>
  <c r="JI96" i="2422"/>
  <c r="JJ96" i="2422" s="1"/>
  <c r="GO96" i="2422"/>
  <c r="GP96" i="2422" s="1"/>
  <c r="DU96" i="2422"/>
  <c r="DV96" i="2422" s="1"/>
  <c r="AR96" i="2422"/>
  <c r="AS96" i="2422" s="1"/>
  <c r="BA96" i="2422"/>
  <c r="BB96" i="2422" s="1"/>
  <c r="IZ96" i="2422"/>
  <c r="JA96" i="2422" s="1"/>
  <c r="GF96" i="2422"/>
  <c r="GG96" i="2422" s="1"/>
  <c r="DL96" i="2422"/>
  <c r="DM96" i="2422" s="1"/>
  <c r="IQ43" i="2422"/>
  <c r="IR43" i="2422" s="1"/>
  <c r="AI43" i="2422"/>
  <c r="FW43" i="2422"/>
  <c r="FX43" i="2422" s="1"/>
  <c r="DC43" i="2422"/>
  <c r="DD43" i="2422" s="1"/>
  <c r="IH43" i="2422"/>
  <c r="II43" i="2422" s="1"/>
  <c r="CT43" i="2422"/>
  <c r="CU43" i="2422" s="1"/>
  <c r="FN43" i="2422"/>
  <c r="FO43" i="2422" s="1"/>
  <c r="HY43" i="2422"/>
  <c r="HZ43" i="2422" s="1"/>
  <c r="EV43" i="2422"/>
  <c r="EW43" i="2422" s="1"/>
  <c r="HP43" i="2422"/>
  <c r="HQ43" i="2422" s="1"/>
  <c r="CK43" i="2422"/>
  <c r="CL43" i="2422" s="1"/>
  <c r="HG43" i="2422"/>
  <c r="HH43" i="2422" s="1"/>
  <c r="CB43" i="2422"/>
  <c r="CC43" i="2422" s="1"/>
  <c r="KA43" i="2422"/>
  <c r="KB43" i="2422" s="1"/>
  <c r="FE43" i="2422"/>
  <c r="FF43" i="2422" s="1"/>
  <c r="JR43" i="2422"/>
  <c r="JS43" i="2422" s="1"/>
  <c r="EM43" i="2422"/>
  <c r="EN43" i="2422" s="1"/>
  <c r="BS43" i="2422"/>
  <c r="BT43" i="2422" s="1"/>
  <c r="GX43" i="2422"/>
  <c r="GY43" i="2422" s="1"/>
  <c r="BJ43" i="2422"/>
  <c r="BK43" i="2422" s="1"/>
  <c r="JI43" i="2422"/>
  <c r="JJ43" i="2422" s="1"/>
  <c r="ED43" i="2422"/>
  <c r="EE43" i="2422" s="1"/>
  <c r="GO43" i="2422"/>
  <c r="GP43" i="2422" s="1"/>
  <c r="DU43" i="2422"/>
  <c r="DV43" i="2422" s="1"/>
  <c r="BA43" i="2422"/>
  <c r="BB43" i="2422" s="1"/>
  <c r="AR43" i="2422"/>
  <c r="AS43" i="2422" s="1"/>
  <c r="IZ43" i="2422"/>
  <c r="JA43" i="2422" s="1"/>
  <c r="GF43" i="2422"/>
  <c r="GG43" i="2422" s="1"/>
  <c r="DL43" i="2422"/>
  <c r="DM43" i="2422" s="1"/>
  <c r="IQ85" i="2422"/>
  <c r="IR85" i="2422" s="1"/>
  <c r="DC85" i="2422"/>
  <c r="DD85" i="2422" s="1"/>
  <c r="FW85" i="2422"/>
  <c r="FX85" i="2422" s="1"/>
  <c r="AI85" i="2422"/>
  <c r="IH85" i="2422"/>
  <c r="II85" i="2422" s="1"/>
  <c r="FN85" i="2422"/>
  <c r="FO85" i="2422" s="1"/>
  <c r="HY85" i="2422"/>
  <c r="HZ85" i="2422" s="1"/>
  <c r="CT85" i="2422"/>
  <c r="CU85" i="2422" s="1"/>
  <c r="CK85" i="2422"/>
  <c r="CL85" i="2422" s="1"/>
  <c r="FE85" i="2422"/>
  <c r="FF85" i="2422" s="1"/>
  <c r="HP85" i="2422"/>
  <c r="HQ85" i="2422" s="1"/>
  <c r="KA85" i="2422"/>
  <c r="KB85" i="2422" s="1"/>
  <c r="EV85" i="2422"/>
  <c r="EW85" i="2422" s="1"/>
  <c r="EM85" i="2422"/>
  <c r="EN85" i="2422" s="1"/>
  <c r="CB85" i="2422"/>
  <c r="CC85" i="2422" s="1"/>
  <c r="HG85" i="2422"/>
  <c r="HH85" i="2422" s="1"/>
  <c r="BS85" i="2422"/>
  <c r="BT85" i="2422" s="1"/>
  <c r="JR85" i="2422"/>
  <c r="JS85" i="2422" s="1"/>
  <c r="GX85" i="2422"/>
  <c r="GY85" i="2422" s="1"/>
  <c r="JI85" i="2422"/>
  <c r="JJ85" i="2422" s="1"/>
  <c r="BJ85" i="2422"/>
  <c r="BK85" i="2422" s="1"/>
  <c r="ED85" i="2422"/>
  <c r="EE85" i="2422" s="1"/>
  <c r="BA85" i="2422"/>
  <c r="BB85" i="2422" s="1"/>
  <c r="GO85" i="2422"/>
  <c r="GP85" i="2422" s="1"/>
  <c r="DU85" i="2422"/>
  <c r="DV85" i="2422" s="1"/>
  <c r="AR85" i="2422"/>
  <c r="AS85" i="2422" s="1"/>
  <c r="IZ85" i="2422"/>
  <c r="JA85" i="2422" s="1"/>
  <c r="DL85" i="2422"/>
  <c r="DM85" i="2422" s="1"/>
  <c r="GF85" i="2422"/>
  <c r="GG85" i="2422" s="1"/>
  <c r="IQ32" i="2422"/>
  <c r="IR32" i="2422" s="1"/>
  <c r="FW32" i="2422"/>
  <c r="FX32" i="2422" s="1"/>
  <c r="AI32" i="2422"/>
  <c r="DC32" i="2422"/>
  <c r="DD32" i="2422" s="1"/>
  <c r="CT32" i="2422"/>
  <c r="CU32" i="2422" s="1"/>
  <c r="IH32" i="2422"/>
  <c r="II32" i="2422" s="1"/>
  <c r="HY32" i="2422"/>
  <c r="HZ32" i="2422" s="1"/>
  <c r="FN32" i="2422"/>
  <c r="FO32" i="2422" s="1"/>
  <c r="CK32" i="2422"/>
  <c r="CL32" i="2422" s="1"/>
  <c r="FE32" i="2422"/>
  <c r="FF32" i="2422" s="1"/>
  <c r="HP32" i="2422"/>
  <c r="HQ32" i="2422" s="1"/>
  <c r="CB32" i="2422"/>
  <c r="CC32" i="2422" s="1"/>
  <c r="EV32" i="2422"/>
  <c r="EW32" i="2422" s="1"/>
  <c r="HG32" i="2422"/>
  <c r="HH32" i="2422" s="1"/>
  <c r="KA32" i="2422"/>
  <c r="KB32" i="2422" s="1"/>
  <c r="JR32" i="2422"/>
  <c r="JS32" i="2422" s="1"/>
  <c r="BS32" i="2422"/>
  <c r="BT32" i="2422" s="1"/>
  <c r="GX32" i="2422"/>
  <c r="GY32" i="2422" s="1"/>
  <c r="EM32" i="2422"/>
  <c r="EN32" i="2422" s="1"/>
  <c r="ED32" i="2422"/>
  <c r="EE32" i="2422" s="1"/>
  <c r="GO32" i="2422"/>
  <c r="GP32" i="2422" s="1"/>
  <c r="JI32" i="2422"/>
  <c r="JJ32" i="2422" s="1"/>
  <c r="BJ32" i="2422"/>
  <c r="BK32" i="2422" s="1"/>
  <c r="IZ32" i="2422"/>
  <c r="JA32" i="2422" s="1"/>
  <c r="AR32" i="2422"/>
  <c r="AS32" i="2422" s="1"/>
  <c r="DU32" i="2422"/>
  <c r="DV32" i="2422" s="1"/>
  <c r="BA32" i="2422"/>
  <c r="BB32" i="2422" s="1"/>
  <c r="GF32" i="2422"/>
  <c r="GG32" i="2422" s="1"/>
  <c r="DL32" i="2422"/>
  <c r="DM32" i="2422" s="1"/>
  <c r="AI74" i="2422"/>
  <c r="IQ74" i="2422"/>
  <c r="IR74" i="2422" s="1"/>
  <c r="DC74" i="2422"/>
  <c r="DD74" i="2422" s="1"/>
  <c r="FW74" i="2422"/>
  <c r="FX74" i="2422" s="1"/>
  <c r="FN74" i="2422"/>
  <c r="FO74" i="2422" s="1"/>
  <c r="IH74" i="2422"/>
  <c r="II74" i="2422" s="1"/>
  <c r="HY74" i="2422"/>
  <c r="HZ74" i="2422" s="1"/>
  <c r="CT74" i="2422"/>
  <c r="CU74" i="2422" s="1"/>
  <c r="CK74" i="2422"/>
  <c r="CL74" i="2422" s="1"/>
  <c r="HP74" i="2422"/>
  <c r="HQ74" i="2422" s="1"/>
  <c r="FE74" i="2422"/>
  <c r="FF74" i="2422" s="1"/>
  <c r="EV74" i="2422"/>
  <c r="EW74" i="2422" s="1"/>
  <c r="CB74" i="2422"/>
  <c r="CC74" i="2422" s="1"/>
  <c r="HG74" i="2422"/>
  <c r="HH74" i="2422" s="1"/>
  <c r="KA74" i="2422"/>
  <c r="KB74" i="2422" s="1"/>
  <c r="EM74" i="2422"/>
  <c r="EN74" i="2422" s="1"/>
  <c r="GX74" i="2422"/>
  <c r="GY74" i="2422" s="1"/>
  <c r="JR74" i="2422"/>
  <c r="JS74" i="2422" s="1"/>
  <c r="BS74" i="2422"/>
  <c r="BT74" i="2422" s="1"/>
  <c r="ED74" i="2422"/>
  <c r="EE74" i="2422" s="1"/>
  <c r="GO74" i="2422"/>
  <c r="GP74" i="2422" s="1"/>
  <c r="BJ74" i="2422"/>
  <c r="BK74" i="2422" s="1"/>
  <c r="JI74" i="2422"/>
  <c r="JJ74" i="2422" s="1"/>
  <c r="AR74" i="2422"/>
  <c r="AS74" i="2422" s="1"/>
  <c r="IZ74" i="2422"/>
  <c r="JA74" i="2422" s="1"/>
  <c r="BA74" i="2422"/>
  <c r="BB74" i="2422" s="1"/>
  <c r="DU74" i="2422"/>
  <c r="DV74" i="2422" s="1"/>
  <c r="GF74" i="2422"/>
  <c r="GG74" i="2422" s="1"/>
  <c r="DL74" i="2422"/>
  <c r="DM74" i="2422" s="1"/>
  <c r="FW21" i="2422"/>
  <c r="FX21" i="2422" s="1"/>
  <c r="IQ21" i="2422"/>
  <c r="IR21" i="2422" s="1"/>
  <c r="DC21" i="2422"/>
  <c r="DD21" i="2422" s="1"/>
  <c r="AI21" i="2422"/>
  <c r="CT21" i="2422"/>
  <c r="CU21" i="2422" s="1"/>
  <c r="IH21" i="2422"/>
  <c r="II21" i="2422" s="1"/>
  <c r="FN21" i="2422"/>
  <c r="FO21" i="2422" s="1"/>
  <c r="HY21" i="2422"/>
  <c r="HZ21" i="2422" s="1"/>
  <c r="EV21" i="2422"/>
  <c r="EW21" i="2422" s="1"/>
  <c r="FE21" i="2422"/>
  <c r="FF21" i="2422" s="1"/>
  <c r="CK21" i="2422"/>
  <c r="CL21" i="2422" s="1"/>
  <c r="HP21" i="2422"/>
  <c r="HQ21" i="2422" s="1"/>
  <c r="KA21" i="2422"/>
  <c r="KB21" i="2422" s="1"/>
  <c r="HG21" i="2422"/>
  <c r="HH21" i="2422" s="1"/>
  <c r="EM21" i="2422"/>
  <c r="EN21" i="2422" s="1"/>
  <c r="CB21" i="2422"/>
  <c r="CC21" i="2422" s="1"/>
  <c r="BS21" i="2422"/>
  <c r="BT21" i="2422" s="1"/>
  <c r="JR21" i="2422"/>
  <c r="JS21" i="2422" s="1"/>
  <c r="GX21" i="2422"/>
  <c r="GY21" i="2422" s="1"/>
  <c r="JI21" i="2422"/>
  <c r="JJ21" i="2422" s="1"/>
  <c r="ED21" i="2422"/>
  <c r="EE21" i="2422" s="1"/>
  <c r="BJ21" i="2422"/>
  <c r="BK21" i="2422" s="1"/>
  <c r="IZ21" i="2422"/>
  <c r="JA21" i="2422" s="1"/>
  <c r="BA21" i="2422"/>
  <c r="BB21" i="2422" s="1"/>
  <c r="DU21" i="2422"/>
  <c r="DV21" i="2422" s="1"/>
  <c r="GO21" i="2422"/>
  <c r="GP21" i="2422" s="1"/>
  <c r="AR21" i="2422"/>
  <c r="AS21" i="2422" s="1"/>
  <c r="GF21" i="2422"/>
  <c r="GG21" i="2422" s="1"/>
  <c r="DL21" i="2422"/>
  <c r="DM21" i="2422" s="1"/>
  <c r="FW63" i="2422"/>
  <c r="FX63" i="2422" s="1"/>
  <c r="AI63" i="2422"/>
  <c r="IQ63" i="2422"/>
  <c r="IR63" i="2422" s="1"/>
  <c r="DC63" i="2422"/>
  <c r="DD63" i="2422" s="1"/>
  <c r="IH63" i="2422"/>
  <c r="II63" i="2422" s="1"/>
  <c r="HY63" i="2422"/>
  <c r="HZ63" i="2422" s="1"/>
  <c r="CT63" i="2422"/>
  <c r="CU63" i="2422" s="1"/>
  <c r="FN63" i="2422"/>
  <c r="FO63" i="2422" s="1"/>
  <c r="FE63" i="2422"/>
  <c r="FF63" i="2422" s="1"/>
  <c r="CK63" i="2422"/>
  <c r="CL63" i="2422" s="1"/>
  <c r="EV63" i="2422"/>
  <c r="EW63" i="2422" s="1"/>
  <c r="CB63" i="2422"/>
  <c r="CC63" i="2422" s="1"/>
  <c r="HP63" i="2422"/>
  <c r="HQ63" i="2422" s="1"/>
  <c r="EM63" i="2422"/>
  <c r="EN63" i="2422" s="1"/>
  <c r="HG63" i="2422"/>
  <c r="HH63" i="2422" s="1"/>
  <c r="KA63" i="2422"/>
  <c r="KB63" i="2422" s="1"/>
  <c r="BS63" i="2422"/>
  <c r="BT63" i="2422" s="1"/>
  <c r="JR63" i="2422"/>
  <c r="JS63" i="2422" s="1"/>
  <c r="GX63" i="2422"/>
  <c r="GY63" i="2422" s="1"/>
  <c r="BJ63" i="2422"/>
  <c r="BK63" i="2422" s="1"/>
  <c r="JI63" i="2422"/>
  <c r="JJ63" i="2422" s="1"/>
  <c r="ED63" i="2422"/>
  <c r="EE63" i="2422" s="1"/>
  <c r="GO63" i="2422"/>
  <c r="GP63" i="2422" s="1"/>
  <c r="DU63" i="2422"/>
  <c r="DV63" i="2422" s="1"/>
  <c r="BA63" i="2422"/>
  <c r="BB63" i="2422" s="1"/>
  <c r="AR63" i="2422"/>
  <c r="AS63" i="2422" s="1"/>
  <c r="IZ63" i="2422"/>
  <c r="JA63" i="2422" s="1"/>
  <c r="DL63" i="2422"/>
  <c r="DM63" i="2422" s="1"/>
  <c r="GF63" i="2422"/>
  <c r="GG63" i="2422" s="1"/>
  <c r="DC105" i="2422"/>
  <c r="DD105" i="2422" s="1"/>
  <c r="AI105" i="2422"/>
  <c r="FW105" i="2422"/>
  <c r="FX105" i="2422" s="1"/>
  <c r="IQ105" i="2422"/>
  <c r="IR105" i="2422" s="1"/>
  <c r="IH105" i="2422"/>
  <c r="II105" i="2422" s="1"/>
  <c r="CT105" i="2422"/>
  <c r="CU105" i="2422" s="1"/>
  <c r="HY105" i="2422"/>
  <c r="HZ105" i="2422" s="1"/>
  <c r="FN105" i="2422"/>
  <c r="FO105" i="2422" s="1"/>
  <c r="HP105" i="2422"/>
  <c r="HQ105" i="2422" s="1"/>
  <c r="CK105" i="2422"/>
  <c r="CL105" i="2422" s="1"/>
  <c r="EV105" i="2422"/>
  <c r="EW105" i="2422" s="1"/>
  <c r="FE105" i="2422"/>
  <c r="FF105" i="2422" s="1"/>
  <c r="HG105" i="2422"/>
  <c r="HH105" i="2422" s="1"/>
  <c r="KA105" i="2422"/>
  <c r="KB105" i="2422" s="1"/>
  <c r="CB105" i="2422"/>
  <c r="CC105" i="2422" s="1"/>
  <c r="JR105" i="2422"/>
  <c r="JS105" i="2422" s="1"/>
  <c r="GX105" i="2422"/>
  <c r="GY105" i="2422" s="1"/>
  <c r="BS105" i="2422"/>
  <c r="BT105" i="2422" s="1"/>
  <c r="EM105" i="2422"/>
  <c r="EN105" i="2422" s="1"/>
  <c r="GO105" i="2422"/>
  <c r="GP105" i="2422" s="1"/>
  <c r="ED105" i="2422"/>
  <c r="EE105" i="2422" s="1"/>
  <c r="JI105" i="2422"/>
  <c r="JJ105" i="2422" s="1"/>
  <c r="BJ105" i="2422"/>
  <c r="BK105" i="2422" s="1"/>
  <c r="AR105" i="2422"/>
  <c r="AS105" i="2422" s="1"/>
  <c r="DU105" i="2422"/>
  <c r="DV105" i="2422" s="1"/>
  <c r="BA105" i="2422"/>
  <c r="BB105" i="2422" s="1"/>
  <c r="IZ105" i="2422"/>
  <c r="JA105" i="2422" s="1"/>
  <c r="GF105" i="2422"/>
  <c r="GG105" i="2422" s="1"/>
  <c r="DL105" i="2422"/>
  <c r="DM105" i="2422" s="1"/>
  <c r="FW52" i="2422"/>
  <c r="FX52" i="2422" s="1"/>
  <c r="DC52" i="2422"/>
  <c r="DD52" i="2422" s="1"/>
  <c r="IQ52" i="2422"/>
  <c r="IR52" i="2422" s="1"/>
  <c r="AI52" i="2422"/>
  <c r="FN52" i="2422"/>
  <c r="FO52" i="2422" s="1"/>
  <c r="CT52" i="2422"/>
  <c r="CU52" i="2422" s="1"/>
  <c r="HY52" i="2422"/>
  <c r="HZ52" i="2422" s="1"/>
  <c r="IH52" i="2422"/>
  <c r="II52" i="2422" s="1"/>
  <c r="CK52" i="2422"/>
  <c r="CL52" i="2422" s="1"/>
  <c r="HP52" i="2422"/>
  <c r="HQ52" i="2422" s="1"/>
  <c r="FE52" i="2422"/>
  <c r="FF52" i="2422" s="1"/>
  <c r="KA52" i="2422"/>
  <c r="KB52" i="2422" s="1"/>
  <c r="EV52" i="2422"/>
  <c r="EW52" i="2422" s="1"/>
  <c r="CB52" i="2422"/>
  <c r="CC52" i="2422" s="1"/>
  <c r="HG52" i="2422"/>
  <c r="HH52" i="2422" s="1"/>
  <c r="EM52" i="2422"/>
  <c r="EN52" i="2422" s="1"/>
  <c r="JR52" i="2422"/>
  <c r="JS52" i="2422" s="1"/>
  <c r="GX52" i="2422"/>
  <c r="GY52" i="2422" s="1"/>
  <c r="BS52" i="2422"/>
  <c r="BT52" i="2422" s="1"/>
  <c r="BJ52" i="2422"/>
  <c r="BK52" i="2422" s="1"/>
  <c r="ED52" i="2422"/>
  <c r="EE52" i="2422" s="1"/>
  <c r="GO52" i="2422"/>
  <c r="GP52" i="2422" s="1"/>
  <c r="JI52" i="2422"/>
  <c r="JJ52" i="2422" s="1"/>
  <c r="DU52" i="2422"/>
  <c r="DV52" i="2422" s="1"/>
  <c r="IZ52" i="2422"/>
  <c r="JA52" i="2422" s="1"/>
  <c r="BA52" i="2422"/>
  <c r="BB52" i="2422" s="1"/>
  <c r="AR52" i="2422"/>
  <c r="AS52" i="2422" s="1"/>
  <c r="GF52" i="2422"/>
  <c r="GG52" i="2422" s="1"/>
  <c r="DL52" i="2422"/>
  <c r="DM52" i="2422" s="1"/>
  <c r="IQ94" i="2422"/>
  <c r="IR94" i="2422" s="1"/>
  <c r="IH94" i="2422"/>
  <c r="II94" i="2422" s="1"/>
  <c r="FW94" i="2422"/>
  <c r="FX94" i="2422" s="1"/>
  <c r="DC94" i="2422"/>
  <c r="DD94" i="2422" s="1"/>
  <c r="AI94" i="2422"/>
  <c r="FN94" i="2422"/>
  <c r="FO94" i="2422" s="1"/>
  <c r="CT94" i="2422"/>
  <c r="CU94" i="2422" s="1"/>
  <c r="HY94" i="2422"/>
  <c r="HZ94" i="2422" s="1"/>
  <c r="HP94" i="2422"/>
  <c r="HQ94" i="2422" s="1"/>
  <c r="CK94" i="2422"/>
  <c r="CL94" i="2422" s="1"/>
  <c r="EV94" i="2422"/>
  <c r="EW94" i="2422" s="1"/>
  <c r="HG94" i="2422"/>
  <c r="HH94" i="2422" s="1"/>
  <c r="FE94" i="2422"/>
  <c r="FF94" i="2422" s="1"/>
  <c r="CB94" i="2422"/>
  <c r="CC94" i="2422" s="1"/>
  <c r="KA94" i="2422"/>
  <c r="KB94" i="2422" s="1"/>
  <c r="JR94" i="2422"/>
  <c r="JS94" i="2422" s="1"/>
  <c r="GX94" i="2422"/>
  <c r="GY94" i="2422" s="1"/>
  <c r="BS94" i="2422"/>
  <c r="BT94" i="2422" s="1"/>
  <c r="EM94" i="2422"/>
  <c r="EN94" i="2422" s="1"/>
  <c r="ED94" i="2422"/>
  <c r="EE94" i="2422" s="1"/>
  <c r="GO94" i="2422"/>
  <c r="GP94" i="2422" s="1"/>
  <c r="JI94" i="2422"/>
  <c r="JJ94" i="2422" s="1"/>
  <c r="AR94" i="2422"/>
  <c r="AS94" i="2422" s="1"/>
  <c r="BJ94" i="2422"/>
  <c r="BK94" i="2422" s="1"/>
  <c r="DU94" i="2422"/>
  <c r="DV94" i="2422" s="1"/>
  <c r="BA94" i="2422"/>
  <c r="BB94" i="2422" s="1"/>
  <c r="IZ94" i="2422"/>
  <c r="JA94" i="2422" s="1"/>
  <c r="GF94" i="2422"/>
  <c r="GG94" i="2422" s="1"/>
  <c r="DL94" i="2422"/>
  <c r="DM94" i="2422" s="1"/>
  <c r="IQ41" i="2422"/>
  <c r="IR41" i="2422" s="1"/>
  <c r="DC41" i="2422"/>
  <c r="DD41" i="2422" s="1"/>
  <c r="AI41" i="2422"/>
  <c r="FW41" i="2422"/>
  <c r="FX41" i="2422" s="1"/>
  <c r="IH41" i="2422"/>
  <c r="II41" i="2422" s="1"/>
  <c r="CT41" i="2422"/>
  <c r="CU41" i="2422" s="1"/>
  <c r="HY41" i="2422"/>
  <c r="HZ41" i="2422" s="1"/>
  <c r="FN41" i="2422"/>
  <c r="FO41" i="2422" s="1"/>
  <c r="CK41" i="2422"/>
  <c r="CL41" i="2422" s="1"/>
  <c r="EV41" i="2422"/>
  <c r="EW41" i="2422" s="1"/>
  <c r="FE41" i="2422"/>
  <c r="FF41" i="2422" s="1"/>
  <c r="CB41" i="2422"/>
  <c r="CC41" i="2422" s="1"/>
  <c r="KA41" i="2422"/>
  <c r="KB41" i="2422" s="1"/>
  <c r="HG41" i="2422"/>
  <c r="HH41" i="2422" s="1"/>
  <c r="HP41" i="2422"/>
  <c r="HQ41" i="2422" s="1"/>
  <c r="JR41" i="2422"/>
  <c r="JS41" i="2422" s="1"/>
  <c r="BS41" i="2422"/>
  <c r="BT41" i="2422" s="1"/>
  <c r="GX41" i="2422"/>
  <c r="GY41" i="2422" s="1"/>
  <c r="EM41" i="2422"/>
  <c r="EN41" i="2422" s="1"/>
  <c r="GO41" i="2422"/>
  <c r="GP41" i="2422" s="1"/>
  <c r="BJ41" i="2422"/>
  <c r="BK41" i="2422" s="1"/>
  <c r="JI41" i="2422"/>
  <c r="JJ41" i="2422" s="1"/>
  <c r="ED41" i="2422"/>
  <c r="EE41" i="2422" s="1"/>
  <c r="AR41" i="2422"/>
  <c r="AS41" i="2422" s="1"/>
  <c r="DU41" i="2422"/>
  <c r="DV41" i="2422" s="1"/>
  <c r="BA41" i="2422"/>
  <c r="BB41" i="2422" s="1"/>
  <c r="GF41" i="2422"/>
  <c r="GG41" i="2422" s="1"/>
  <c r="DL41" i="2422"/>
  <c r="DM41" i="2422" s="1"/>
  <c r="IZ41" i="2422"/>
  <c r="JA41" i="2422" s="1"/>
  <c r="IQ83" i="2422"/>
  <c r="IR83" i="2422" s="1"/>
  <c r="FW83" i="2422"/>
  <c r="FX83" i="2422" s="1"/>
  <c r="AI83" i="2422"/>
  <c r="DC83" i="2422"/>
  <c r="DD83" i="2422" s="1"/>
  <c r="FN83" i="2422"/>
  <c r="FO83" i="2422" s="1"/>
  <c r="HY83" i="2422"/>
  <c r="HZ83" i="2422" s="1"/>
  <c r="CT83" i="2422"/>
  <c r="CU83" i="2422" s="1"/>
  <c r="IH83" i="2422"/>
  <c r="II83" i="2422" s="1"/>
  <c r="HP83" i="2422"/>
  <c r="HQ83" i="2422" s="1"/>
  <c r="CK83" i="2422"/>
  <c r="CL83" i="2422" s="1"/>
  <c r="FE83" i="2422"/>
  <c r="FF83" i="2422" s="1"/>
  <c r="KA83" i="2422"/>
  <c r="KB83" i="2422" s="1"/>
  <c r="HG83" i="2422"/>
  <c r="HH83" i="2422" s="1"/>
  <c r="EV83" i="2422"/>
  <c r="EW83" i="2422" s="1"/>
  <c r="CB83" i="2422"/>
  <c r="CC83" i="2422" s="1"/>
  <c r="GX83" i="2422"/>
  <c r="GY83" i="2422" s="1"/>
  <c r="BS83" i="2422"/>
  <c r="BT83" i="2422" s="1"/>
  <c r="EM83" i="2422"/>
  <c r="EN83" i="2422" s="1"/>
  <c r="JR83" i="2422"/>
  <c r="JS83" i="2422" s="1"/>
  <c r="ED83" i="2422"/>
  <c r="EE83" i="2422" s="1"/>
  <c r="JI83" i="2422"/>
  <c r="JJ83" i="2422" s="1"/>
  <c r="GO83" i="2422"/>
  <c r="GP83" i="2422" s="1"/>
  <c r="DU83" i="2422"/>
  <c r="DV83" i="2422" s="1"/>
  <c r="BJ83" i="2422"/>
  <c r="BK83" i="2422" s="1"/>
  <c r="IZ83" i="2422"/>
  <c r="JA83" i="2422" s="1"/>
  <c r="BA83" i="2422"/>
  <c r="BB83" i="2422" s="1"/>
  <c r="AR83" i="2422"/>
  <c r="AS83" i="2422" s="1"/>
  <c r="GF83" i="2422"/>
  <c r="GG83" i="2422" s="1"/>
  <c r="DL83" i="2422"/>
  <c r="DM83" i="2422" s="1"/>
  <c r="AI30" i="2422"/>
  <c r="DC30" i="2422"/>
  <c r="DD30" i="2422" s="1"/>
  <c r="FW30" i="2422"/>
  <c r="FX30" i="2422" s="1"/>
  <c r="IQ30" i="2422"/>
  <c r="IR30" i="2422" s="1"/>
  <c r="IH30" i="2422"/>
  <c r="II30" i="2422" s="1"/>
  <c r="CT30" i="2422"/>
  <c r="CU30" i="2422" s="1"/>
  <c r="HY30" i="2422"/>
  <c r="HZ30" i="2422" s="1"/>
  <c r="FN30" i="2422"/>
  <c r="FO30" i="2422" s="1"/>
  <c r="HP30" i="2422"/>
  <c r="HQ30" i="2422" s="1"/>
  <c r="CK30" i="2422"/>
  <c r="CL30" i="2422" s="1"/>
  <c r="EV30" i="2422"/>
  <c r="EW30" i="2422" s="1"/>
  <c r="KA30" i="2422"/>
  <c r="KB30" i="2422" s="1"/>
  <c r="CB30" i="2422"/>
  <c r="CC30" i="2422" s="1"/>
  <c r="FE30" i="2422"/>
  <c r="FF30" i="2422" s="1"/>
  <c r="HG30" i="2422"/>
  <c r="HH30" i="2422" s="1"/>
  <c r="JR30" i="2422"/>
  <c r="JS30" i="2422" s="1"/>
  <c r="BS30" i="2422"/>
  <c r="BT30" i="2422" s="1"/>
  <c r="GX30" i="2422"/>
  <c r="GY30" i="2422" s="1"/>
  <c r="EM30" i="2422"/>
  <c r="EN30" i="2422" s="1"/>
  <c r="GO30" i="2422"/>
  <c r="GP30" i="2422" s="1"/>
  <c r="JI30" i="2422"/>
  <c r="JJ30" i="2422" s="1"/>
  <c r="ED30" i="2422"/>
  <c r="EE30" i="2422" s="1"/>
  <c r="BJ30" i="2422"/>
  <c r="BK30" i="2422" s="1"/>
  <c r="AR30" i="2422"/>
  <c r="AS30" i="2422" s="1"/>
  <c r="DU30" i="2422"/>
  <c r="DV30" i="2422" s="1"/>
  <c r="BA30" i="2422"/>
  <c r="BB30" i="2422" s="1"/>
  <c r="GF30" i="2422"/>
  <c r="GG30" i="2422" s="1"/>
  <c r="DL30" i="2422"/>
  <c r="DM30" i="2422" s="1"/>
  <c r="IZ30" i="2422"/>
  <c r="JA30" i="2422" s="1"/>
  <c r="AI72" i="2422"/>
  <c r="IQ72" i="2422"/>
  <c r="IR72" i="2422" s="1"/>
  <c r="FW72" i="2422"/>
  <c r="FX72" i="2422" s="1"/>
  <c r="DC72" i="2422"/>
  <c r="DD72" i="2422" s="1"/>
  <c r="HY72" i="2422"/>
  <c r="HZ72" i="2422" s="1"/>
  <c r="FN72" i="2422"/>
  <c r="FO72" i="2422" s="1"/>
  <c r="CT72" i="2422"/>
  <c r="CU72" i="2422" s="1"/>
  <c r="IH72" i="2422"/>
  <c r="II72" i="2422" s="1"/>
  <c r="FE72" i="2422"/>
  <c r="FF72" i="2422" s="1"/>
  <c r="HP72" i="2422"/>
  <c r="HQ72" i="2422" s="1"/>
  <c r="EV72" i="2422"/>
  <c r="EW72" i="2422" s="1"/>
  <c r="CK72" i="2422"/>
  <c r="CL72" i="2422" s="1"/>
  <c r="KA72" i="2422"/>
  <c r="KB72" i="2422" s="1"/>
  <c r="HG72" i="2422"/>
  <c r="HH72" i="2422" s="1"/>
  <c r="CB72" i="2422"/>
  <c r="CC72" i="2422" s="1"/>
  <c r="EM72" i="2422"/>
  <c r="EN72" i="2422" s="1"/>
  <c r="JR72" i="2422"/>
  <c r="JS72" i="2422" s="1"/>
  <c r="BS72" i="2422"/>
  <c r="BT72" i="2422" s="1"/>
  <c r="GX72" i="2422"/>
  <c r="GY72" i="2422" s="1"/>
  <c r="BJ72" i="2422"/>
  <c r="BK72" i="2422" s="1"/>
  <c r="JI72" i="2422"/>
  <c r="JJ72" i="2422" s="1"/>
  <c r="GO72" i="2422"/>
  <c r="GP72" i="2422" s="1"/>
  <c r="ED72" i="2422"/>
  <c r="EE72" i="2422" s="1"/>
  <c r="AR72" i="2422"/>
  <c r="AS72" i="2422" s="1"/>
  <c r="BA72" i="2422"/>
  <c r="BB72" i="2422" s="1"/>
  <c r="IZ72" i="2422"/>
  <c r="JA72" i="2422" s="1"/>
  <c r="DU72" i="2422"/>
  <c r="DV72" i="2422" s="1"/>
  <c r="GF72" i="2422"/>
  <c r="GG72" i="2422" s="1"/>
  <c r="DL72" i="2422"/>
  <c r="DM72" i="2422" s="1"/>
  <c r="AI19" i="2422"/>
  <c r="IQ19" i="2422"/>
  <c r="IR19" i="2422" s="1"/>
  <c r="FW19" i="2422"/>
  <c r="FX19" i="2422" s="1"/>
  <c r="DC19" i="2422"/>
  <c r="DD19" i="2422" s="1"/>
  <c r="IH19" i="2422"/>
  <c r="II19" i="2422" s="1"/>
  <c r="CT19" i="2422"/>
  <c r="CU19" i="2422" s="1"/>
  <c r="HY19" i="2422"/>
  <c r="HZ19" i="2422" s="1"/>
  <c r="FN19" i="2422"/>
  <c r="FO19" i="2422" s="1"/>
  <c r="FE19" i="2422"/>
  <c r="FF19" i="2422" s="1"/>
  <c r="CK19" i="2422"/>
  <c r="CL19" i="2422" s="1"/>
  <c r="HP19" i="2422"/>
  <c r="HQ19" i="2422" s="1"/>
  <c r="EV19" i="2422"/>
  <c r="EW19" i="2422" s="1"/>
  <c r="KA19" i="2422"/>
  <c r="KB19" i="2422" s="1"/>
  <c r="HG19" i="2422"/>
  <c r="HH19" i="2422" s="1"/>
  <c r="CB19" i="2422"/>
  <c r="CC19" i="2422" s="1"/>
  <c r="BS19" i="2422"/>
  <c r="BT19" i="2422" s="1"/>
  <c r="EM19" i="2422"/>
  <c r="EN19" i="2422" s="1"/>
  <c r="JR19" i="2422"/>
  <c r="JS19" i="2422" s="1"/>
  <c r="GX19" i="2422"/>
  <c r="GY19" i="2422" s="1"/>
  <c r="BJ19" i="2422"/>
  <c r="BK19" i="2422" s="1"/>
  <c r="ED19" i="2422"/>
  <c r="EE19" i="2422" s="1"/>
  <c r="GO19" i="2422"/>
  <c r="GP19" i="2422" s="1"/>
  <c r="DU19" i="2422"/>
  <c r="DV19" i="2422" s="1"/>
  <c r="IZ19" i="2422"/>
  <c r="JA19" i="2422" s="1"/>
  <c r="JI19" i="2422"/>
  <c r="JJ19" i="2422" s="1"/>
  <c r="BA19" i="2422"/>
  <c r="BB19" i="2422" s="1"/>
  <c r="AR19" i="2422"/>
  <c r="AS19" i="2422" s="1"/>
  <c r="GF19" i="2422"/>
  <c r="GG19" i="2422" s="1"/>
  <c r="DL19" i="2422"/>
  <c r="DM19" i="2422" s="1"/>
  <c r="FW61" i="2422"/>
  <c r="FX61" i="2422" s="1"/>
  <c r="IQ61" i="2422"/>
  <c r="IR61" i="2422" s="1"/>
  <c r="AI61" i="2422"/>
  <c r="DC61" i="2422"/>
  <c r="DD61" i="2422" s="1"/>
  <c r="IH61" i="2422"/>
  <c r="II61" i="2422" s="1"/>
  <c r="CT61" i="2422"/>
  <c r="CU61" i="2422" s="1"/>
  <c r="FN61" i="2422"/>
  <c r="FO61" i="2422" s="1"/>
  <c r="HY61" i="2422"/>
  <c r="HZ61" i="2422" s="1"/>
  <c r="HP61" i="2422"/>
  <c r="HQ61" i="2422" s="1"/>
  <c r="CK61" i="2422"/>
  <c r="CL61" i="2422" s="1"/>
  <c r="FE61" i="2422"/>
  <c r="FF61" i="2422" s="1"/>
  <c r="CB61" i="2422"/>
  <c r="CC61" i="2422" s="1"/>
  <c r="KA61" i="2422"/>
  <c r="KB61" i="2422" s="1"/>
  <c r="HG61" i="2422"/>
  <c r="HH61" i="2422" s="1"/>
  <c r="EV61" i="2422"/>
  <c r="EW61" i="2422" s="1"/>
  <c r="ED61" i="2422"/>
  <c r="EE61" i="2422" s="1"/>
  <c r="JR61" i="2422"/>
  <c r="JS61" i="2422" s="1"/>
  <c r="EM61" i="2422"/>
  <c r="EN61" i="2422" s="1"/>
  <c r="BS61" i="2422"/>
  <c r="BT61" i="2422" s="1"/>
  <c r="GX61" i="2422"/>
  <c r="GY61" i="2422" s="1"/>
  <c r="BJ61" i="2422"/>
  <c r="BK61" i="2422" s="1"/>
  <c r="GO61" i="2422"/>
  <c r="GP61" i="2422" s="1"/>
  <c r="JI61" i="2422"/>
  <c r="JJ61" i="2422" s="1"/>
  <c r="DU61" i="2422"/>
  <c r="DV61" i="2422" s="1"/>
  <c r="BA61" i="2422"/>
  <c r="BB61" i="2422" s="1"/>
  <c r="AR61" i="2422"/>
  <c r="AS61" i="2422" s="1"/>
  <c r="IZ61" i="2422"/>
  <c r="JA61" i="2422" s="1"/>
  <c r="GF61" i="2422"/>
  <c r="GG61" i="2422" s="1"/>
  <c r="DL61" i="2422"/>
  <c r="DM61" i="2422" s="1"/>
  <c r="AI103" i="2422"/>
  <c r="IQ103" i="2422"/>
  <c r="IR103" i="2422" s="1"/>
  <c r="FW103" i="2422"/>
  <c r="FX103" i="2422" s="1"/>
  <c r="DC103" i="2422"/>
  <c r="DD103" i="2422" s="1"/>
  <c r="CT103" i="2422"/>
  <c r="CU103" i="2422" s="1"/>
  <c r="IH103" i="2422"/>
  <c r="II103" i="2422" s="1"/>
  <c r="FN103" i="2422"/>
  <c r="FO103" i="2422" s="1"/>
  <c r="HY103" i="2422"/>
  <c r="HZ103" i="2422" s="1"/>
  <c r="CK103" i="2422"/>
  <c r="CL103" i="2422" s="1"/>
  <c r="HP103" i="2422"/>
  <c r="HQ103" i="2422" s="1"/>
  <c r="FE103" i="2422"/>
  <c r="FF103" i="2422" s="1"/>
  <c r="EV103" i="2422"/>
  <c r="EW103" i="2422" s="1"/>
  <c r="CB103" i="2422"/>
  <c r="CC103" i="2422" s="1"/>
  <c r="HG103" i="2422"/>
  <c r="HH103" i="2422" s="1"/>
  <c r="KA103" i="2422"/>
  <c r="KB103" i="2422" s="1"/>
  <c r="JR103" i="2422"/>
  <c r="JS103" i="2422" s="1"/>
  <c r="EM103" i="2422"/>
  <c r="EN103" i="2422" s="1"/>
  <c r="BS103" i="2422"/>
  <c r="BT103" i="2422" s="1"/>
  <c r="GX103" i="2422"/>
  <c r="GY103" i="2422" s="1"/>
  <c r="ED103" i="2422"/>
  <c r="EE103" i="2422" s="1"/>
  <c r="BJ103" i="2422"/>
  <c r="BK103" i="2422" s="1"/>
  <c r="JI103" i="2422"/>
  <c r="JJ103" i="2422" s="1"/>
  <c r="GO103" i="2422"/>
  <c r="GP103" i="2422" s="1"/>
  <c r="DU103" i="2422"/>
  <c r="DV103" i="2422" s="1"/>
  <c r="AR103" i="2422"/>
  <c r="AS103" i="2422" s="1"/>
  <c r="IZ103" i="2422"/>
  <c r="JA103" i="2422" s="1"/>
  <c r="BA103" i="2422"/>
  <c r="BB103" i="2422" s="1"/>
  <c r="GF103" i="2422"/>
  <c r="GG103" i="2422" s="1"/>
  <c r="DL103" i="2422"/>
  <c r="DM103" i="2422" s="1"/>
  <c r="AI50" i="2422"/>
  <c r="DC50" i="2422"/>
  <c r="DD50" i="2422" s="1"/>
  <c r="IQ50" i="2422"/>
  <c r="IR50" i="2422" s="1"/>
  <c r="FW50" i="2422"/>
  <c r="FX50" i="2422" s="1"/>
  <c r="FN50" i="2422"/>
  <c r="FO50" i="2422" s="1"/>
  <c r="IH50" i="2422"/>
  <c r="II50" i="2422" s="1"/>
  <c r="CT50" i="2422"/>
  <c r="CU50" i="2422" s="1"/>
  <c r="HY50" i="2422"/>
  <c r="HZ50" i="2422" s="1"/>
  <c r="EV50" i="2422"/>
  <c r="EW50" i="2422" s="1"/>
  <c r="HP50" i="2422"/>
  <c r="HQ50" i="2422" s="1"/>
  <c r="CK50" i="2422"/>
  <c r="CL50" i="2422" s="1"/>
  <c r="FE50" i="2422"/>
  <c r="FF50" i="2422" s="1"/>
  <c r="CB50" i="2422"/>
  <c r="CC50" i="2422" s="1"/>
  <c r="KA50" i="2422"/>
  <c r="KB50" i="2422" s="1"/>
  <c r="HG50" i="2422"/>
  <c r="HH50" i="2422" s="1"/>
  <c r="ED50" i="2422"/>
  <c r="EE50" i="2422" s="1"/>
  <c r="JR50" i="2422"/>
  <c r="JS50" i="2422" s="1"/>
  <c r="EM50" i="2422"/>
  <c r="EN50" i="2422" s="1"/>
  <c r="BS50" i="2422"/>
  <c r="BT50" i="2422" s="1"/>
  <c r="GX50" i="2422"/>
  <c r="GY50" i="2422" s="1"/>
  <c r="BJ50" i="2422"/>
  <c r="BK50" i="2422" s="1"/>
  <c r="GO50" i="2422"/>
  <c r="GP50" i="2422" s="1"/>
  <c r="JI50" i="2422"/>
  <c r="JJ50" i="2422" s="1"/>
  <c r="DU50" i="2422"/>
  <c r="DV50" i="2422" s="1"/>
  <c r="BA50" i="2422"/>
  <c r="BB50" i="2422" s="1"/>
  <c r="AR50" i="2422"/>
  <c r="AS50" i="2422" s="1"/>
  <c r="GF50" i="2422"/>
  <c r="GG50" i="2422" s="1"/>
  <c r="DL50" i="2422"/>
  <c r="DM50" i="2422" s="1"/>
  <c r="IZ50" i="2422"/>
  <c r="JA50" i="2422" s="1"/>
  <c r="IQ92" i="2422"/>
  <c r="IR92" i="2422" s="1"/>
  <c r="FW92" i="2422"/>
  <c r="FX92" i="2422" s="1"/>
  <c r="DC92" i="2422"/>
  <c r="DD92" i="2422" s="1"/>
  <c r="AI92" i="2422"/>
  <c r="IH92" i="2422"/>
  <c r="II92" i="2422" s="1"/>
  <c r="HY92" i="2422"/>
  <c r="HZ92" i="2422" s="1"/>
  <c r="FN92" i="2422"/>
  <c r="FO92" i="2422" s="1"/>
  <c r="CT92" i="2422"/>
  <c r="CU92" i="2422" s="1"/>
  <c r="EV92" i="2422"/>
  <c r="EW92" i="2422" s="1"/>
  <c r="FE92" i="2422"/>
  <c r="FF92" i="2422" s="1"/>
  <c r="HP92" i="2422"/>
  <c r="HQ92" i="2422" s="1"/>
  <c r="KA92" i="2422"/>
  <c r="KB92" i="2422" s="1"/>
  <c r="CK92" i="2422"/>
  <c r="CL92" i="2422" s="1"/>
  <c r="EM92" i="2422"/>
  <c r="EN92" i="2422" s="1"/>
  <c r="HG92" i="2422"/>
  <c r="HH92" i="2422" s="1"/>
  <c r="CB92" i="2422"/>
  <c r="CC92" i="2422" s="1"/>
  <c r="GX92" i="2422"/>
  <c r="GY92" i="2422" s="1"/>
  <c r="JR92" i="2422"/>
  <c r="JS92" i="2422" s="1"/>
  <c r="BS92" i="2422"/>
  <c r="BT92" i="2422" s="1"/>
  <c r="BJ92" i="2422"/>
  <c r="BK92" i="2422" s="1"/>
  <c r="ED92" i="2422"/>
  <c r="EE92" i="2422" s="1"/>
  <c r="JI92" i="2422"/>
  <c r="JJ92" i="2422" s="1"/>
  <c r="GO92" i="2422"/>
  <c r="GP92" i="2422" s="1"/>
  <c r="IZ92" i="2422"/>
  <c r="JA92" i="2422" s="1"/>
  <c r="BA92" i="2422"/>
  <c r="BB92" i="2422" s="1"/>
  <c r="DU92" i="2422"/>
  <c r="DV92" i="2422" s="1"/>
  <c r="AR92" i="2422"/>
  <c r="AS92" i="2422" s="1"/>
  <c r="DL92" i="2422"/>
  <c r="DM92" i="2422" s="1"/>
  <c r="GF92" i="2422"/>
  <c r="GG92" i="2422" s="1"/>
  <c r="IQ39" i="2422"/>
  <c r="IR39" i="2422" s="1"/>
  <c r="AI39" i="2422"/>
  <c r="FW39" i="2422"/>
  <c r="FX39" i="2422" s="1"/>
  <c r="DC39" i="2422"/>
  <c r="DD39" i="2422" s="1"/>
  <c r="FN39" i="2422"/>
  <c r="FO39" i="2422" s="1"/>
  <c r="CT39" i="2422"/>
  <c r="CU39" i="2422" s="1"/>
  <c r="IH39" i="2422"/>
  <c r="II39" i="2422" s="1"/>
  <c r="HY39" i="2422"/>
  <c r="HZ39" i="2422" s="1"/>
  <c r="CK39" i="2422"/>
  <c r="CL39" i="2422" s="1"/>
  <c r="FE39" i="2422"/>
  <c r="FF39" i="2422" s="1"/>
  <c r="HP39" i="2422"/>
  <c r="HQ39" i="2422" s="1"/>
  <c r="EV39" i="2422"/>
  <c r="EW39" i="2422" s="1"/>
  <c r="CB39" i="2422"/>
  <c r="CC39" i="2422" s="1"/>
  <c r="HG39" i="2422"/>
  <c r="HH39" i="2422" s="1"/>
  <c r="KA39" i="2422"/>
  <c r="KB39" i="2422" s="1"/>
  <c r="JR39" i="2422"/>
  <c r="JS39" i="2422" s="1"/>
  <c r="EM39" i="2422"/>
  <c r="EN39" i="2422" s="1"/>
  <c r="BS39" i="2422"/>
  <c r="BT39" i="2422" s="1"/>
  <c r="GX39" i="2422"/>
  <c r="GY39" i="2422" s="1"/>
  <c r="ED39" i="2422"/>
  <c r="EE39" i="2422" s="1"/>
  <c r="GO39" i="2422"/>
  <c r="GP39" i="2422" s="1"/>
  <c r="JI39" i="2422"/>
  <c r="JJ39" i="2422" s="1"/>
  <c r="BJ39" i="2422"/>
  <c r="BK39" i="2422" s="1"/>
  <c r="IZ39" i="2422"/>
  <c r="JA39" i="2422" s="1"/>
  <c r="AR39" i="2422"/>
  <c r="AS39" i="2422" s="1"/>
  <c r="DU39" i="2422"/>
  <c r="DV39" i="2422" s="1"/>
  <c r="BA39" i="2422"/>
  <c r="BB39" i="2422" s="1"/>
  <c r="GF39" i="2422"/>
  <c r="GG39" i="2422" s="1"/>
  <c r="DL39" i="2422"/>
  <c r="DM39" i="2422" s="1"/>
  <c r="AI81" i="2422"/>
  <c r="IQ81" i="2422"/>
  <c r="IR81" i="2422" s="1"/>
  <c r="FW81" i="2422"/>
  <c r="FX81" i="2422" s="1"/>
  <c r="DC81" i="2422"/>
  <c r="DD81" i="2422" s="1"/>
  <c r="IH81" i="2422"/>
  <c r="II81" i="2422" s="1"/>
  <c r="CT81" i="2422"/>
  <c r="CU81" i="2422" s="1"/>
  <c r="FN81" i="2422"/>
  <c r="FO81" i="2422" s="1"/>
  <c r="HY81" i="2422"/>
  <c r="HZ81" i="2422" s="1"/>
  <c r="CK81" i="2422"/>
  <c r="CL81" i="2422" s="1"/>
  <c r="FE81" i="2422"/>
  <c r="FF81" i="2422" s="1"/>
  <c r="HG81" i="2422"/>
  <c r="HH81" i="2422" s="1"/>
  <c r="HP81" i="2422"/>
  <c r="HQ81" i="2422" s="1"/>
  <c r="EM81" i="2422"/>
  <c r="EN81" i="2422" s="1"/>
  <c r="CB81" i="2422"/>
  <c r="CC81" i="2422" s="1"/>
  <c r="EV81" i="2422"/>
  <c r="EW81" i="2422" s="1"/>
  <c r="KA81" i="2422"/>
  <c r="KB81" i="2422" s="1"/>
  <c r="BS81" i="2422"/>
  <c r="BT81" i="2422" s="1"/>
  <c r="GX81" i="2422"/>
  <c r="GY81" i="2422" s="1"/>
  <c r="JR81" i="2422"/>
  <c r="JS81" i="2422" s="1"/>
  <c r="BJ81" i="2422"/>
  <c r="BK81" i="2422" s="1"/>
  <c r="ED81" i="2422"/>
  <c r="EE81" i="2422" s="1"/>
  <c r="JI81" i="2422"/>
  <c r="JJ81" i="2422" s="1"/>
  <c r="GO81" i="2422"/>
  <c r="GP81" i="2422" s="1"/>
  <c r="DU81" i="2422"/>
  <c r="DV81" i="2422" s="1"/>
  <c r="AR81" i="2422"/>
  <c r="AS81" i="2422" s="1"/>
  <c r="BA81" i="2422"/>
  <c r="BB81" i="2422" s="1"/>
  <c r="IZ81" i="2422"/>
  <c r="JA81" i="2422" s="1"/>
  <c r="GF81" i="2422"/>
  <c r="GG81" i="2422" s="1"/>
  <c r="DL81" i="2422"/>
  <c r="DM81" i="2422" s="1"/>
  <c r="IQ28" i="2422"/>
  <c r="IR28" i="2422" s="1"/>
  <c r="AI28" i="2422"/>
  <c r="FW28" i="2422"/>
  <c r="FX28" i="2422" s="1"/>
  <c r="DC28" i="2422"/>
  <c r="DD28" i="2422" s="1"/>
  <c r="FN28" i="2422"/>
  <c r="FO28" i="2422" s="1"/>
  <c r="IH28" i="2422"/>
  <c r="II28" i="2422" s="1"/>
  <c r="HY28" i="2422"/>
  <c r="HZ28" i="2422" s="1"/>
  <c r="CT28" i="2422"/>
  <c r="CU28" i="2422" s="1"/>
  <c r="FE28" i="2422"/>
  <c r="FF28" i="2422" s="1"/>
  <c r="EV28" i="2422"/>
  <c r="EW28" i="2422" s="1"/>
  <c r="HP28" i="2422"/>
  <c r="HQ28" i="2422" s="1"/>
  <c r="CK28" i="2422"/>
  <c r="CL28" i="2422" s="1"/>
  <c r="KA28" i="2422"/>
  <c r="KB28" i="2422" s="1"/>
  <c r="EM28" i="2422"/>
  <c r="EN28" i="2422" s="1"/>
  <c r="HG28" i="2422"/>
  <c r="HH28" i="2422" s="1"/>
  <c r="CB28" i="2422"/>
  <c r="CC28" i="2422" s="1"/>
  <c r="GX28" i="2422"/>
  <c r="GY28" i="2422" s="1"/>
  <c r="BS28" i="2422"/>
  <c r="BT28" i="2422" s="1"/>
  <c r="JR28" i="2422"/>
  <c r="JS28" i="2422" s="1"/>
  <c r="BJ28" i="2422"/>
  <c r="BK28" i="2422" s="1"/>
  <c r="JI28" i="2422"/>
  <c r="JJ28" i="2422" s="1"/>
  <c r="ED28" i="2422"/>
  <c r="EE28" i="2422" s="1"/>
  <c r="GO28" i="2422"/>
  <c r="GP28" i="2422" s="1"/>
  <c r="IZ28" i="2422"/>
  <c r="JA28" i="2422" s="1"/>
  <c r="BA28" i="2422"/>
  <c r="BB28" i="2422" s="1"/>
  <c r="DU28" i="2422"/>
  <c r="DV28" i="2422" s="1"/>
  <c r="AR28" i="2422"/>
  <c r="AS28" i="2422" s="1"/>
  <c r="GF28" i="2422"/>
  <c r="GG28" i="2422" s="1"/>
  <c r="DL28" i="2422"/>
  <c r="DM28" i="2422" s="1"/>
  <c r="IH70" i="2422"/>
  <c r="II70" i="2422" s="1"/>
  <c r="AI70" i="2422"/>
  <c r="IQ70" i="2422"/>
  <c r="IR70" i="2422" s="1"/>
  <c r="DC70" i="2422"/>
  <c r="DD70" i="2422" s="1"/>
  <c r="FW70" i="2422"/>
  <c r="FX70" i="2422" s="1"/>
  <c r="HY70" i="2422"/>
  <c r="HZ70" i="2422" s="1"/>
  <c r="FN70" i="2422"/>
  <c r="FO70" i="2422" s="1"/>
  <c r="CT70" i="2422"/>
  <c r="CU70" i="2422" s="1"/>
  <c r="HP70" i="2422"/>
  <c r="HQ70" i="2422" s="1"/>
  <c r="CK70" i="2422"/>
  <c r="CL70" i="2422" s="1"/>
  <c r="EV70" i="2422"/>
  <c r="EW70" i="2422" s="1"/>
  <c r="HG70" i="2422"/>
  <c r="HH70" i="2422" s="1"/>
  <c r="EM70" i="2422"/>
  <c r="EN70" i="2422" s="1"/>
  <c r="FE70" i="2422"/>
  <c r="FF70" i="2422" s="1"/>
  <c r="CB70" i="2422"/>
  <c r="CC70" i="2422" s="1"/>
  <c r="KA70" i="2422"/>
  <c r="KB70" i="2422" s="1"/>
  <c r="BS70" i="2422"/>
  <c r="BT70" i="2422" s="1"/>
  <c r="GX70" i="2422"/>
  <c r="GY70" i="2422" s="1"/>
  <c r="JR70" i="2422"/>
  <c r="JS70" i="2422" s="1"/>
  <c r="BJ70" i="2422"/>
  <c r="BK70" i="2422" s="1"/>
  <c r="ED70" i="2422"/>
  <c r="EE70" i="2422" s="1"/>
  <c r="JI70" i="2422"/>
  <c r="JJ70" i="2422" s="1"/>
  <c r="GO70" i="2422"/>
  <c r="GP70" i="2422" s="1"/>
  <c r="DU70" i="2422"/>
  <c r="DV70" i="2422" s="1"/>
  <c r="BA70" i="2422"/>
  <c r="BB70" i="2422" s="1"/>
  <c r="AR70" i="2422"/>
  <c r="AS70" i="2422" s="1"/>
  <c r="IZ70" i="2422"/>
  <c r="JA70" i="2422" s="1"/>
  <c r="DL70" i="2422"/>
  <c r="DM70" i="2422" s="1"/>
  <c r="GF70" i="2422"/>
  <c r="GG70" i="2422" s="1"/>
  <c r="FW59" i="2422"/>
  <c r="FX59" i="2422" s="1"/>
  <c r="AI59" i="2422"/>
  <c r="DC59" i="2422"/>
  <c r="DD59" i="2422" s="1"/>
  <c r="IQ59" i="2422"/>
  <c r="IR59" i="2422" s="1"/>
  <c r="CT59" i="2422"/>
  <c r="CU59" i="2422" s="1"/>
  <c r="HY59" i="2422"/>
  <c r="HZ59" i="2422" s="1"/>
  <c r="IH59" i="2422"/>
  <c r="II59" i="2422" s="1"/>
  <c r="FN59" i="2422"/>
  <c r="FO59" i="2422" s="1"/>
  <c r="HP59" i="2422"/>
  <c r="HQ59" i="2422" s="1"/>
  <c r="EV59" i="2422"/>
  <c r="EW59" i="2422" s="1"/>
  <c r="FE59" i="2422"/>
  <c r="FF59" i="2422" s="1"/>
  <c r="CK59" i="2422"/>
  <c r="CL59" i="2422" s="1"/>
  <c r="KA59" i="2422"/>
  <c r="KB59" i="2422" s="1"/>
  <c r="HG59" i="2422"/>
  <c r="HH59" i="2422" s="1"/>
  <c r="CB59" i="2422"/>
  <c r="CC59" i="2422" s="1"/>
  <c r="JR59" i="2422"/>
  <c r="JS59" i="2422" s="1"/>
  <c r="GX59" i="2422"/>
  <c r="GY59" i="2422" s="1"/>
  <c r="BS59" i="2422"/>
  <c r="BT59" i="2422" s="1"/>
  <c r="EM59" i="2422"/>
  <c r="EN59" i="2422" s="1"/>
  <c r="ED59" i="2422"/>
  <c r="EE59" i="2422" s="1"/>
  <c r="GO59" i="2422"/>
  <c r="GP59" i="2422" s="1"/>
  <c r="JI59" i="2422"/>
  <c r="JJ59" i="2422" s="1"/>
  <c r="BJ59" i="2422"/>
  <c r="BK59" i="2422" s="1"/>
  <c r="DU59" i="2422"/>
  <c r="DV59" i="2422" s="1"/>
  <c r="AR59" i="2422"/>
  <c r="AS59" i="2422" s="1"/>
  <c r="IZ59" i="2422"/>
  <c r="JA59" i="2422" s="1"/>
  <c r="BA59" i="2422"/>
  <c r="BB59" i="2422" s="1"/>
  <c r="DL59" i="2422"/>
  <c r="DM59" i="2422" s="1"/>
  <c r="GF59" i="2422"/>
  <c r="GG59" i="2422" s="1"/>
  <c r="AI101" i="2422"/>
  <c r="DC101" i="2422"/>
  <c r="DD101" i="2422" s="1"/>
  <c r="IQ101" i="2422"/>
  <c r="IR101" i="2422" s="1"/>
  <c r="FW101" i="2422"/>
  <c r="FX101" i="2422" s="1"/>
  <c r="HY101" i="2422"/>
  <c r="HZ101" i="2422" s="1"/>
  <c r="IH101" i="2422"/>
  <c r="II101" i="2422" s="1"/>
  <c r="CT101" i="2422"/>
  <c r="CU101" i="2422" s="1"/>
  <c r="FN101" i="2422"/>
  <c r="FO101" i="2422" s="1"/>
  <c r="CK101" i="2422"/>
  <c r="CL101" i="2422" s="1"/>
  <c r="HP101" i="2422"/>
  <c r="HQ101" i="2422" s="1"/>
  <c r="EV101" i="2422"/>
  <c r="EW101" i="2422" s="1"/>
  <c r="KA101" i="2422"/>
  <c r="KB101" i="2422" s="1"/>
  <c r="CB101" i="2422"/>
  <c r="CC101" i="2422" s="1"/>
  <c r="FE101" i="2422"/>
  <c r="FF101" i="2422" s="1"/>
  <c r="HG101" i="2422"/>
  <c r="HH101" i="2422" s="1"/>
  <c r="BS101" i="2422"/>
  <c r="BT101" i="2422" s="1"/>
  <c r="EM101" i="2422"/>
  <c r="EN101" i="2422" s="1"/>
  <c r="JR101" i="2422"/>
  <c r="JS101" i="2422" s="1"/>
  <c r="GX101" i="2422"/>
  <c r="GY101" i="2422" s="1"/>
  <c r="ED101" i="2422"/>
  <c r="EE101" i="2422" s="1"/>
  <c r="JI101" i="2422"/>
  <c r="JJ101" i="2422" s="1"/>
  <c r="GO101" i="2422"/>
  <c r="GP101" i="2422" s="1"/>
  <c r="BJ101" i="2422"/>
  <c r="BK101" i="2422" s="1"/>
  <c r="DU101" i="2422"/>
  <c r="DV101" i="2422" s="1"/>
  <c r="AR101" i="2422"/>
  <c r="AS101" i="2422" s="1"/>
  <c r="BA101" i="2422"/>
  <c r="BB101" i="2422" s="1"/>
  <c r="IZ101" i="2422"/>
  <c r="JA101" i="2422" s="1"/>
  <c r="GF101" i="2422"/>
  <c r="GG101" i="2422" s="1"/>
  <c r="DL101" i="2422"/>
  <c r="DM101" i="2422" s="1"/>
  <c r="AI48" i="2422"/>
  <c r="DC48" i="2422"/>
  <c r="DD48" i="2422" s="1"/>
  <c r="FW48" i="2422"/>
  <c r="FX48" i="2422" s="1"/>
  <c r="IQ48" i="2422"/>
  <c r="IR48" i="2422" s="1"/>
  <c r="CT48" i="2422"/>
  <c r="CU48" i="2422" s="1"/>
  <c r="HY48" i="2422"/>
  <c r="HZ48" i="2422" s="1"/>
  <c r="FN48" i="2422"/>
  <c r="FO48" i="2422" s="1"/>
  <c r="IH48" i="2422"/>
  <c r="II48" i="2422" s="1"/>
  <c r="CK48" i="2422"/>
  <c r="CL48" i="2422" s="1"/>
  <c r="FE48" i="2422"/>
  <c r="FF48" i="2422" s="1"/>
  <c r="HP48" i="2422"/>
  <c r="HQ48" i="2422" s="1"/>
  <c r="CB48" i="2422"/>
  <c r="CC48" i="2422" s="1"/>
  <c r="EV48" i="2422"/>
  <c r="EW48" i="2422" s="1"/>
  <c r="KA48" i="2422"/>
  <c r="KB48" i="2422" s="1"/>
  <c r="HG48" i="2422"/>
  <c r="HH48" i="2422" s="1"/>
  <c r="BS48" i="2422"/>
  <c r="BT48" i="2422" s="1"/>
  <c r="GX48" i="2422"/>
  <c r="GY48" i="2422" s="1"/>
  <c r="EM48" i="2422"/>
  <c r="EN48" i="2422" s="1"/>
  <c r="JR48" i="2422"/>
  <c r="JS48" i="2422" s="1"/>
  <c r="ED48" i="2422"/>
  <c r="EE48" i="2422" s="1"/>
  <c r="BJ48" i="2422"/>
  <c r="BK48" i="2422" s="1"/>
  <c r="JI48" i="2422"/>
  <c r="JJ48" i="2422" s="1"/>
  <c r="AR48" i="2422"/>
  <c r="AS48" i="2422" s="1"/>
  <c r="DU48" i="2422"/>
  <c r="DV48" i="2422" s="1"/>
  <c r="BA48" i="2422"/>
  <c r="BB48" i="2422" s="1"/>
  <c r="IZ48" i="2422"/>
  <c r="JA48" i="2422" s="1"/>
  <c r="GO48" i="2422"/>
  <c r="GP48" i="2422" s="1"/>
  <c r="GF48" i="2422"/>
  <c r="GG48" i="2422" s="1"/>
  <c r="DL48" i="2422"/>
  <c r="DM48" i="2422" s="1"/>
  <c r="AI90" i="2422"/>
  <c r="FW90" i="2422"/>
  <c r="FX90" i="2422" s="1"/>
  <c r="DC90" i="2422"/>
  <c r="DD90" i="2422" s="1"/>
  <c r="IQ90" i="2422"/>
  <c r="IR90" i="2422" s="1"/>
  <c r="HY90" i="2422"/>
  <c r="HZ90" i="2422" s="1"/>
  <c r="IH90" i="2422"/>
  <c r="II90" i="2422" s="1"/>
  <c r="FN90" i="2422"/>
  <c r="FO90" i="2422" s="1"/>
  <c r="CT90" i="2422"/>
  <c r="CU90" i="2422" s="1"/>
  <c r="FE90" i="2422"/>
  <c r="FF90" i="2422" s="1"/>
  <c r="CK90" i="2422"/>
  <c r="CL90" i="2422" s="1"/>
  <c r="EV90" i="2422"/>
  <c r="EW90" i="2422" s="1"/>
  <c r="HP90" i="2422"/>
  <c r="HQ90" i="2422" s="1"/>
  <c r="KA90" i="2422"/>
  <c r="KB90" i="2422" s="1"/>
  <c r="HG90" i="2422"/>
  <c r="HH90" i="2422" s="1"/>
  <c r="CB90" i="2422"/>
  <c r="CC90" i="2422" s="1"/>
  <c r="BS90" i="2422"/>
  <c r="BT90" i="2422" s="1"/>
  <c r="GX90" i="2422"/>
  <c r="GY90" i="2422" s="1"/>
  <c r="EM90" i="2422"/>
  <c r="EN90" i="2422" s="1"/>
  <c r="JR90" i="2422"/>
  <c r="JS90" i="2422" s="1"/>
  <c r="ED90" i="2422"/>
  <c r="EE90" i="2422" s="1"/>
  <c r="DU90" i="2422"/>
  <c r="DV90" i="2422" s="1"/>
  <c r="JI90" i="2422"/>
  <c r="JJ90" i="2422" s="1"/>
  <c r="BJ90" i="2422"/>
  <c r="BK90" i="2422" s="1"/>
  <c r="GO90" i="2422"/>
  <c r="GP90" i="2422" s="1"/>
  <c r="IZ90" i="2422"/>
  <c r="JA90" i="2422" s="1"/>
  <c r="BA90" i="2422"/>
  <c r="BB90" i="2422" s="1"/>
  <c r="AR90" i="2422"/>
  <c r="AS90" i="2422" s="1"/>
  <c r="GF90" i="2422"/>
  <c r="GG90" i="2422" s="1"/>
  <c r="DL90" i="2422"/>
  <c r="DM90" i="2422" s="1"/>
  <c r="IQ37" i="2422"/>
  <c r="IR37" i="2422" s="1"/>
  <c r="FW37" i="2422"/>
  <c r="FX37" i="2422" s="1"/>
  <c r="AI37" i="2422"/>
  <c r="DC37" i="2422"/>
  <c r="DD37" i="2422" s="1"/>
  <c r="HY37" i="2422"/>
  <c r="HZ37" i="2422" s="1"/>
  <c r="CT37" i="2422"/>
  <c r="CU37" i="2422" s="1"/>
  <c r="IH37" i="2422"/>
  <c r="II37" i="2422" s="1"/>
  <c r="FN37" i="2422"/>
  <c r="FO37" i="2422" s="1"/>
  <c r="CK37" i="2422"/>
  <c r="CL37" i="2422" s="1"/>
  <c r="EV37" i="2422"/>
  <c r="EW37" i="2422" s="1"/>
  <c r="FE37" i="2422"/>
  <c r="FF37" i="2422" s="1"/>
  <c r="HP37" i="2422"/>
  <c r="HQ37" i="2422" s="1"/>
  <c r="KA37" i="2422"/>
  <c r="KB37" i="2422" s="1"/>
  <c r="HG37" i="2422"/>
  <c r="HH37" i="2422" s="1"/>
  <c r="CB37" i="2422"/>
  <c r="CC37" i="2422" s="1"/>
  <c r="BS37" i="2422"/>
  <c r="BT37" i="2422" s="1"/>
  <c r="EM37" i="2422"/>
  <c r="EN37" i="2422" s="1"/>
  <c r="JR37" i="2422"/>
  <c r="JS37" i="2422" s="1"/>
  <c r="GX37" i="2422"/>
  <c r="GY37" i="2422" s="1"/>
  <c r="JI37" i="2422"/>
  <c r="JJ37" i="2422" s="1"/>
  <c r="ED37" i="2422"/>
  <c r="EE37" i="2422" s="1"/>
  <c r="GO37" i="2422"/>
  <c r="GP37" i="2422" s="1"/>
  <c r="BJ37" i="2422"/>
  <c r="BK37" i="2422" s="1"/>
  <c r="IZ37" i="2422"/>
  <c r="JA37" i="2422" s="1"/>
  <c r="AR37" i="2422"/>
  <c r="AS37" i="2422" s="1"/>
  <c r="DU37" i="2422"/>
  <c r="DV37" i="2422" s="1"/>
  <c r="BA37" i="2422"/>
  <c r="BB37" i="2422" s="1"/>
  <c r="GF37" i="2422"/>
  <c r="GG37" i="2422" s="1"/>
  <c r="DL37" i="2422"/>
  <c r="DM37" i="2422" s="1"/>
  <c r="AI79" i="2422"/>
  <c r="IQ79" i="2422"/>
  <c r="IR79" i="2422" s="1"/>
  <c r="FW79" i="2422"/>
  <c r="FX79" i="2422" s="1"/>
  <c r="DC79" i="2422"/>
  <c r="DD79" i="2422" s="1"/>
  <c r="FN79" i="2422"/>
  <c r="FO79" i="2422" s="1"/>
  <c r="CT79" i="2422"/>
  <c r="CU79" i="2422" s="1"/>
  <c r="IH79" i="2422"/>
  <c r="II79" i="2422" s="1"/>
  <c r="HY79" i="2422"/>
  <c r="HZ79" i="2422" s="1"/>
  <c r="EV79" i="2422"/>
  <c r="EW79" i="2422" s="1"/>
  <c r="CK79" i="2422"/>
  <c r="CL79" i="2422" s="1"/>
  <c r="HP79" i="2422"/>
  <c r="HQ79" i="2422" s="1"/>
  <c r="HG79" i="2422"/>
  <c r="HH79" i="2422" s="1"/>
  <c r="KA79" i="2422"/>
  <c r="KB79" i="2422" s="1"/>
  <c r="CB79" i="2422"/>
  <c r="CC79" i="2422" s="1"/>
  <c r="FE79" i="2422"/>
  <c r="FF79" i="2422" s="1"/>
  <c r="JR79" i="2422"/>
  <c r="JS79" i="2422" s="1"/>
  <c r="EM79" i="2422"/>
  <c r="EN79" i="2422" s="1"/>
  <c r="BS79" i="2422"/>
  <c r="BT79" i="2422" s="1"/>
  <c r="GX79" i="2422"/>
  <c r="GY79" i="2422" s="1"/>
  <c r="JI79" i="2422"/>
  <c r="JJ79" i="2422" s="1"/>
  <c r="ED79" i="2422"/>
  <c r="EE79" i="2422" s="1"/>
  <c r="AR79" i="2422"/>
  <c r="AS79" i="2422" s="1"/>
  <c r="IZ79" i="2422"/>
  <c r="JA79" i="2422" s="1"/>
  <c r="BJ79" i="2422"/>
  <c r="BK79" i="2422" s="1"/>
  <c r="GO79" i="2422"/>
  <c r="GP79" i="2422" s="1"/>
  <c r="BA79" i="2422"/>
  <c r="BB79" i="2422" s="1"/>
  <c r="DU79" i="2422"/>
  <c r="DV79" i="2422" s="1"/>
  <c r="GF79" i="2422"/>
  <c r="GG79" i="2422" s="1"/>
  <c r="DL79" i="2422"/>
  <c r="DM79" i="2422" s="1"/>
  <c r="AI26" i="2422"/>
  <c r="IQ26" i="2422"/>
  <c r="IR26" i="2422" s="1"/>
  <c r="DC26" i="2422"/>
  <c r="DD26" i="2422" s="1"/>
  <c r="FW26" i="2422"/>
  <c r="FX26" i="2422" s="1"/>
  <c r="IH26" i="2422"/>
  <c r="II26" i="2422" s="1"/>
  <c r="HY26" i="2422"/>
  <c r="HZ26" i="2422" s="1"/>
  <c r="CT26" i="2422"/>
  <c r="CU26" i="2422" s="1"/>
  <c r="FN26" i="2422"/>
  <c r="FO26" i="2422" s="1"/>
  <c r="EV26" i="2422"/>
  <c r="EW26" i="2422" s="1"/>
  <c r="FE26" i="2422"/>
  <c r="FF26" i="2422" s="1"/>
  <c r="CK26" i="2422"/>
  <c r="CL26" i="2422" s="1"/>
  <c r="HP26" i="2422"/>
  <c r="HQ26" i="2422" s="1"/>
  <c r="KA26" i="2422"/>
  <c r="KB26" i="2422" s="1"/>
  <c r="HG26" i="2422"/>
  <c r="HH26" i="2422" s="1"/>
  <c r="CB26" i="2422"/>
  <c r="CC26" i="2422" s="1"/>
  <c r="GX26" i="2422"/>
  <c r="GY26" i="2422" s="1"/>
  <c r="BS26" i="2422"/>
  <c r="BT26" i="2422" s="1"/>
  <c r="EM26" i="2422"/>
  <c r="EN26" i="2422" s="1"/>
  <c r="JR26" i="2422"/>
  <c r="JS26" i="2422" s="1"/>
  <c r="ED26" i="2422"/>
  <c r="EE26" i="2422" s="1"/>
  <c r="BJ26" i="2422"/>
  <c r="BK26" i="2422" s="1"/>
  <c r="IZ26" i="2422"/>
  <c r="JA26" i="2422" s="1"/>
  <c r="GO26" i="2422"/>
  <c r="GP26" i="2422" s="1"/>
  <c r="JI26" i="2422"/>
  <c r="JJ26" i="2422" s="1"/>
  <c r="DU26" i="2422"/>
  <c r="DV26" i="2422" s="1"/>
  <c r="BA26" i="2422"/>
  <c r="BB26" i="2422" s="1"/>
  <c r="AR26" i="2422"/>
  <c r="AS26" i="2422" s="1"/>
  <c r="GF26" i="2422"/>
  <c r="GG26" i="2422" s="1"/>
  <c r="DL26" i="2422"/>
  <c r="DM26" i="2422" s="1"/>
  <c r="DC68" i="2422"/>
  <c r="DD68" i="2422" s="1"/>
  <c r="AI68" i="2422"/>
  <c r="IQ68" i="2422"/>
  <c r="IR68" i="2422" s="1"/>
  <c r="FW68" i="2422"/>
  <c r="FX68" i="2422" s="1"/>
  <c r="CT68" i="2422"/>
  <c r="CU68" i="2422" s="1"/>
  <c r="FN68" i="2422"/>
  <c r="FO68" i="2422" s="1"/>
  <c r="HY68" i="2422"/>
  <c r="HZ68" i="2422" s="1"/>
  <c r="IH68" i="2422"/>
  <c r="II68" i="2422" s="1"/>
  <c r="HP68" i="2422"/>
  <c r="HQ68" i="2422" s="1"/>
  <c r="CK68" i="2422"/>
  <c r="CL68" i="2422" s="1"/>
  <c r="FE68" i="2422"/>
  <c r="FF68" i="2422" s="1"/>
  <c r="EV68" i="2422"/>
  <c r="EW68" i="2422" s="1"/>
  <c r="CB68" i="2422"/>
  <c r="CC68" i="2422" s="1"/>
  <c r="KA68" i="2422"/>
  <c r="KB68" i="2422" s="1"/>
  <c r="HG68" i="2422"/>
  <c r="HH68" i="2422" s="1"/>
  <c r="JR68" i="2422"/>
  <c r="JS68" i="2422" s="1"/>
  <c r="EM68" i="2422"/>
  <c r="EN68" i="2422" s="1"/>
  <c r="BS68" i="2422"/>
  <c r="BT68" i="2422" s="1"/>
  <c r="GX68" i="2422"/>
  <c r="GY68" i="2422" s="1"/>
  <c r="ED68" i="2422"/>
  <c r="EE68" i="2422" s="1"/>
  <c r="GO68" i="2422"/>
  <c r="GP68" i="2422" s="1"/>
  <c r="JI68" i="2422"/>
  <c r="JJ68" i="2422" s="1"/>
  <c r="BA68" i="2422"/>
  <c r="BB68" i="2422" s="1"/>
  <c r="AR68" i="2422"/>
  <c r="AS68" i="2422" s="1"/>
  <c r="BJ68" i="2422"/>
  <c r="BK68" i="2422" s="1"/>
  <c r="IZ68" i="2422"/>
  <c r="JA68" i="2422" s="1"/>
  <c r="DU68" i="2422"/>
  <c r="DV68" i="2422" s="1"/>
  <c r="GF68" i="2422"/>
  <c r="GG68" i="2422" s="1"/>
  <c r="DL68" i="2422"/>
  <c r="DM68" i="2422" s="1"/>
  <c r="AI110" i="2422"/>
  <c r="FW110" i="2422"/>
  <c r="FX110" i="2422" s="1"/>
  <c r="DC110" i="2422"/>
  <c r="DD110" i="2422" s="1"/>
  <c r="IQ110" i="2422"/>
  <c r="IR110" i="2422" s="1"/>
  <c r="IH110" i="2422"/>
  <c r="II110" i="2422" s="1"/>
  <c r="FN110" i="2422"/>
  <c r="FO110" i="2422" s="1"/>
  <c r="HY110" i="2422"/>
  <c r="HZ110" i="2422" s="1"/>
  <c r="CT110" i="2422"/>
  <c r="CU110" i="2422" s="1"/>
  <c r="HP110" i="2422"/>
  <c r="HQ110" i="2422" s="1"/>
  <c r="FE110" i="2422"/>
  <c r="FF110" i="2422" s="1"/>
  <c r="EV110" i="2422"/>
  <c r="EW110" i="2422" s="1"/>
  <c r="CB110" i="2422"/>
  <c r="CC110" i="2422" s="1"/>
  <c r="CK110" i="2422"/>
  <c r="CL110" i="2422" s="1"/>
  <c r="KA110" i="2422"/>
  <c r="KB110" i="2422" s="1"/>
  <c r="HG110" i="2422"/>
  <c r="HH110" i="2422" s="1"/>
  <c r="GX110" i="2422"/>
  <c r="GY110" i="2422" s="1"/>
  <c r="BS110" i="2422"/>
  <c r="BT110" i="2422" s="1"/>
  <c r="ED110" i="2422"/>
  <c r="EE110" i="2422" s="1"/>
  <c r="EM110" i="2422"/>
  <c r="EN110" i="2422" s="1"/>
  <c r="JR110" i="2422"/>
  <c r="JS110" i="2422" s="1"/>
  <c r="BJ110" i="2422"/>
  <c r="BK110" i="2422" s="1"/>
  <c r="JI110" i="2422"/>
  <c r="JJ110" i="2422" s="1"/>
  <c r="GO110" i="2422"/>
  <c r="GP110" i="2422" s="1"/>
  <c r="DU110" i="2422"/>
  <c r="DV110" i="2422" s="1"/>
  <c r="AR110" i="2422"/>
  <c r="AS110" i="2422" s="1"/>
  <c r="IZ110" i="2422"/>
  <c r="JA110" i="2422" s="1"/>
  <c r="BA110" i="2422"/>
  <c r="BB110" i="2422" s="1"/>
  <c r="DL110" i="2422"/>
  <c r="DM110" i="2422" s="1"/>
  <c r="GF110" i="2422"/>
  <c r="GG110" i="2422" s="1"/>
  <c r="FW57" i="2422"/>
  <c r="FX57" i="2422" s="1"/>
  <c r="DC57" i="2422"/>
  <c r="DD57" i="2422" s="1"/>
  <c r="AI57" i="2422"/>
  <c r="IQ57" i="2422"/>
  <c r="IR57" i="2422" s="1"/>
  <c r="FN57" i="2422"/>
  <c r="FO57" i="2422" s="1"/>
  <c r="CT57" i="2422"/>
  <c r="CU57" i="2422" s="1"/>
  <c r="HY57" i="2422"/>
  <c r="HZ57" i="2422" s="1"/>
  <c r="IH57" i="2422"/>
  <c r="II57" i="2422" s="1"/>
  <c r="FE57" i="2422"/>
  <c r="FF57" i="2422" s="1"/>
  <c r="HP57" i="2422"/>
  <c r="HQ57" i="2422" s="1"/>
  <c r="CK57" i="2422"/>
  <c r="CL57" i="2422" s="1"/>
  <c r="KA57" i="2422"/>
  <c r="KB57" i="2422" s="1"/>
  <c r="EV57" i="2422"/>
  <c r="EW57" i="2422" s="1"/>
  <c r="HG57" i="2422"/>
  <c r="HH57" i="2422" s="1"/>
  <c r="CB57" i="2422"/>
  <c r="CC57" i="2422" s="1"/>
  <c r="GX57" i="2422"/>
  <c r="GY57" i="2422" s="1"/>
  <c r="BS57" i="2422"/>
  <c r="BT57" i="2422" s="1"/>
  <c r="EM57" i="2422"/>
  <c r="EN57" i="2422" s="1"/>
  <c r="JR57" i="2422"/>
  <c r="JS57" i="2422" s="1"/>
  <c r="BJ57" i="2422"/>
  <c r="BK57" i="2422" s="1"/>
  <c r="JI57" i="2422"/>
  <c r="JJ57" i="2422" s="1"/>
  <c r="ED57" i="2422"/>
  <c r="EE57" i="2422" s="1"/>
  <c r="DU57" i="2422"/>
  <c r="DV57" i="2422" s="1"/>
  <c r="GO57" i="2422"/>
  <c r="GP57" i="2422" s="1"/>
  <c r="BA57" i="2422"/>
  <c r="BB57" i="2422" s="1"/>
  <c r="AR57" i="2422"/>
  <c r="AS57" i="2422" s="1"/>
  <c r="IZ57" i="2422"/>
  <c r="JA57" i="2422" s="1"/>
  <c r="GF57" i="2422"/>
  <c r="GG57" i="2422" s="1"/>
  <c r="DL57" i="2422"/>
  <c r="DM57" i="2422" s="1"/>
  <c r="DC99" i="2422"/>
  <c r="DD99" i="2422" s="1"/>
  <c r="AI99" i="2422"/>
  <c r="IQ99" i="2422"/>
  <c r="IR99" i="2422" s="1"/>
  <c r="FW99" i="2422"/>
  <c r="FX99" i="2422" s="1"/>
  <c r="IH99" i="2422"/>
  <c r="II99" i="2422" s="1"/>
  <c r="HY99" i="2422"/>
  <c r="HZ99" i="2422" s="1"/>
  <c r="CT99" i="2422"/>
  <c r="CU99" i="2422" s="1"/>
  <c r="FN99" i="2422"/>
  <c r="FO99" i="2422" s="1"/>
  <c r="FE99" i="2422"/>
  <c r="FF99" i="2422" s="1"/>
  <c r="HP99" i="2422"/>
  <c r="HQ99" i="2422" s="1"/>
  <c r="CK99" i="2422"/>
  <c r="CL99" i="2422" s="1"/>
  <c r="HG99" i="2422"/>
  <c r="HH99" i="2422" s="1"/>
  <c r="EM99" i="2422"/>
  <c r="EN99" i="2422" s="1"/>
  <c r="CB99" i="2422"/>
  <c r="CC99" i="2422" s="1"/>
  <c r="EV99" i="2422"/>
  <c r="EW99" i="2422" s="1"/>
  <c r="KA99" i="2422"/>
  <c r="KB99" i="2422" s="1"/>
  <c r="GX99" i="2422"/>
  <c r="GY99" i="2422" s="1"/>
  <c r="BS99" i="2422"/>
  <c r="BT99" i="2422" s="1"/>
  <c r="JR99" i="2422"/>
  <c r="JS99" i="2422" s="1"/>
  <c r="BJ99" i="2422"/>
  <c r="BK99" i="2422" s="1"/>
  <c r="ED99" i="2422"/>
  <c r="EE99" i="2422" s="1"/>
  <c r="JI99" i="2422"/>
  <c r="JJ99" i="2422" s="1"/>
  <c r="GO99" i="2422"/>
  <c r="GP99" i="2422" s="1"/>
  <c r="BA99" i="2422"/>
  <c r="BB99" i="2422" s="1"/>
  <c r="AR99" i="2422"/>
  <c r="AS99" i="2422" s="1"/>
  <c r="DU99" i="2422"/>
  <c r="DV99" i="2422" s="1"/>
  <c r="IZ99" i="2422"/>
  <c r="JA99" i="2422" s="1"/>
  <c r="DL99" i="2422"/>
  <c r="DM99" i="2422" s="1"/>
  <c r="GF99" i="2422"/>
  <c r="GG99" i="2422" s="1"/>
  <c r="AI46" i="2422"/>
  <c r="IQ46" i="2422"/>
  <c r="IR46" i="2422" s="1"/>
  <c r="FW46" i="2422"/>
  <c r="FX46" i="2422" s="1"/>
  <c r="DC46" i="2422"/>
  <c r="DD46" i="2422" s="1"/>
  <c r="IH46" i="2422"/>
  <c r="II46" i="2422" s="1"/>
  <c r="FN46" i="2422"/>
  <c r="FO46" i="2422" s="1"/>
  <c r="HY46" i="2422"/>
  <c r="HZ46" i="2422" s="1"/>
  <c r="CT46" i="2422"/>
  <c r="CU46" i="2422" s="1"/>
  <c r="FE46" i="2422"/>
  <c r="FF46" i="2422" s="1"/>
  <c r="HP46" i="2422"/>
  <c r="HQ46" i="2422" s="1"/>
  <c r="EV46" i="2422"/>
  <c r="EW46" i="2422" s="1"/>
  <c r="CB46" i="2422"/>
  <c r="CC46" i="2422" s="1"/>
  <c r="HG46" i="2422"/>
  <c r="HH46" i="2422" s="1"/>
  <c r="KA46" i="2422"/>
  <c r="KB46" i="2422" s="1"/>
  <c r="CK46" i="2422"/>
  <c r="CL46" i="2422" s="1"/>
  <c r="GX46" i="2422"/>
  <c r="GY46" i="2422" s="1"/>
  <c r="EM46" i="2422"/>
  <c r="EN46" i="2422" s="1"/>
  <c r="BS46" i="2422"/>
  <c r="BT46" i="2422" s="1"/>
  <c r="JR46" i="2422"/>
  <c r="JS46" i="2422" s="1"/>
  <c r="ED46" i="2422"/>
  <c r="EE46" i="2422" s="1"/>
  <c r="GO46" i="2422"/>
  <c r="GP46" i="2422" s="1"/>
  <c r="JI46" i="2422"/>
  <c r="JJ46" i="2422" s="1"/>
  <c r="BJ46" i="2422"/>
  <c r="BK46" i="2422" s="1"/>
  <c r="AR46" i="2422"/>
  <c r="AS46" i="2422" s="1"/>
  <c r="DU46" i="2422"/>
  <c r="DV46" i="2422" s="1"/>
  <c r="BA46" i="2422"/>
  <c r="BB46" i="2422" s="1"/>
  <c r="DL46" i="2422"/>
  <c r="DM46" i="2422" s="1"/>
  <c r="IZ46" i="2422"/>
  <c r="JA46" i="2422" s="1"/>
  <c r="GF46" i="2422"/>
  <c r="GG46" i="2422" s="1"/>
  <c r="IQ88" i="2422"/>
  <c r="IR88" i="2422" s="1"/>
  <c r="FW88" i="2422"/>
  <c r="FX88" i="2422" s="1"/>
  <c r="DC88" i="2422"/>
  <c r="DD88" i="2422" s="1"/>
  <c r="AI88" i="2422"/>
  <c r="IH88" i="2422"/>
  <c r="II88" i="2422" s="1"/>
  <c r="CT88" i="2422"/>
  <c r="CU88" i="2422" s="1"/>
  <c r="FN88" i="2422"/>
  <c r="FO88" i="2422" s="1"/>
  <c r="HY88" i="2422"/>
  <c r="HZ88" i="2422" s="1"/>
  <c r="CK88" i="2422"/>
  <c r="CL88" i="2422" s="1"/>
  <c r="EV88" i="2422"/>
  <c r="EW88" i="2422" s="1"/>
  <c r="HP88" i="2422"/>
  <c r="HQ88" i="2422" s="1"/>
  <c r="FE88" i="2422"/>
  <c r="FF88" i="2422" s="1"/>
  <c r="EM88" i="2422"/>
  <c r="EN88" i="2422" s="1"/>
  <c r="CB88" i="2422"/>
  <c r="CC88" i="2422" s="1"/>
  <c r="KA88" i="2422"/>
  <c r="KB88" i="2422" s="1"/>
  <c r="HG88" i="2422"/>
  <c r="HH88" i="2422" s="1"/>
  <c r="BS88" i="2422"/>
  <c r="BT88" i="2422" s="1"/>
  <c r="GX88" i="2422"/>
  <c r="GY88" i="2422" s="1"/>
  <c r="JR88" i="2422"/>
  <c r="JS88" i="2422" s="1"/>
  <c r="BJ88" i="2422"/>
  <c r="BK88" i="2422" s="1"/>
  <c r="JI88" i="2422"/>
  <c r="JJ88" i="2422" s="1"/>
  <c r="ED88" i="2422"/>
  <c r="EE88" i="2422" s="1"/>
  <c r="GO88" i="2422"/>
  <c r="GP88" i="2422" s="1"/>
  <c r="BA88" i="2422"/>
  <c r="BB88" i="2422" s="1"/>
  <c r="AR88" i="2422"/>
  <c r="AS88" i="2422" s="1"/>
  <c r="IZ88" i="2422"/>
  <c r="JA88" i="2422" s="1"/>
  <c r="DU88" i="2422"/>
  <c r="DV88" i="2422" s="1"/>
  <c r="GF88" i="2422"/>
  <c r="GG88" i="2422" s="1"/>
  <c r="DL88" i="2422"/>
  <c r="DM88" i="2422" s="1"/>
  <c r="IQ35" i="2422"/>
  <c r="IR35" i="2422" s="1"/>
  <c r="AI35" i="2422"/>
  <c r="FW35" i="2422"/>
  <c r="FX35" i="2422" s="1"/>
  <c r="DC35" i="2422"/>
  <c r="DD35" i="2422" s="1"/>
  <c r="IH35" i="2422"/>
  <c r="II35" i="2422" s="1"/>
  <c r="FN35" i="2422"/>
  <c r="FO35" i="2422" s="1"/>
  <c r="HY35" i="2422"/>
  <c r="HZ35" i="2422" s="1"/>
  <c r="CT35" i="2422"/>
  <c r="CU35" i="2422" s="1"/>
  <c r="FE35" i="2422"/>
  <c r="FF35" i="2422" s="1"/>
  <c r="EV35" i="2422"/>
  <c r="EW35" i="2422" s="1"/>
  <c r="HP35" i="2422"/>
  <c r="HQ35" i="2422" s="1"/>
  <c r="HG35" i="2422"/>
  <c r="HH35" i="2422" s="1"/>
  <c r="EM35" i="2422"/>
  <c r="EN35" i="2422" s="1"/>
  <c r="CB35" i="2422"/>
  <c r="CC35" i="2422" s="1"/>
  <c r="CK35" i="2422"/>
  <c r="CL35" i="2422" s="1"/>
  <c r="KA35" i="2422"/>
  <c r="KB35" i="2422" s="1"/>
  <c r="GX35" i="2422"/>
  <c r="GY35" i="2422" s="1"/>
  <c r="BS35" i="2422"/>
  <c r="BT35" i="2422" s="1"/>
  <c r="JR35" i="2422"/>
  <c r="JS35" i="2422" s="1"/>
  <c r="JI35" i="2422"/>
  <c r="JJ35" i="2422" s="1"/>
  <c r="ED35" i="2422"/>
  <c r="EE35" i="2422" s="1"/>
  <c r="GO35" i="2422"/>
  <c r="GP35" i="2422" s="1"/>
  <c r="BJ35" i="2422"/>
  <c r="BK35" i="2422" s="1"/>
  <c r="IZ35" i="2422"/>
  <c r="JA35" i="2422" s="1"/>
  <c r="BA35" i="2422"/>
  <c r="BB35" i="2422" s="1"/>
  <c r="AR35" i="2422"/>
  <c r="AS35" i="2422" s="1"/>
  <c r="DU35" i="2422"/>
  <c r="DV35" i="2422" s="1"/>
  <c r="GF35" i="2422"/>
  <c r="GG35" i="2422" s="1"/>
  <c r="DL35" i="2422"/>
  <c r="DM35" i="2422" s="1"/>
  <c r="AI77" i="2422"/>
  <c r="DC77" i="2422"/>
  <c r="DD77" i="2422" s="1"/>
  <c r="IQ77" i="2422"/>
  <c r="IR77" i="2422" s="1"/>
  <c r="FW77" i="2422"/>
  <c r="FX77" i="2422" s="1"/>
  <c r="IH77" i="2422"/>
  <c r="II77" i="2422" s="1"/>
  <c r="CT77" i="2422"/>
  <c r="CU77" i="2422" s="1"/>
  <c r="HY77" i="2422"/>
  <c r="HZ77" i="2422" s="1"/>
  <c r="FN77" i="2422"/>
  <c r="FO77" i="2422" s="1"/>
  <c r="HP77" i="2422"/>
  <c r="HQ77" i="2422" s="1"/>
  <c r="FE77" i="2422"/>
  <c r="FF77" i="2422" s="1"/>
  <c r="CK77" i="2422"/>
  <c r="CL77" i="2422" s="1"/>
  <c r="EV77" i="2422"/>
  <c r="EW77" i="2422" s="1"/>
  <c r="HG77" i="2422"/>
  <c r="HH77" i="2422" s="1"/>
  <c r="KA77" i="2422"/>
  <c r="KB77" i="2422" s="1"/>
  <c r="CB77" i="2422"/>
  <c r="CC77" i="2422" s="1"/>
  <c r="JR77" i="2422"/>
  <c r="JS77" i="2422" s="1"/>
  <c r="GX77" i="2422"/>
  <c r="GY77" i="2422" s="1"/>
  <c r="BS77" i="2422"/>
  <c r="BT77" i="2422" s="1"/>
  <c r="EM77" i="2422"/>
  <c r="EN77" i="2422" s="1"/>
  <c r="JI77" i="2422"/>
  <c r="JJ77" i="2422" s="1"/>
  <c r="BJ77" i="2422"/>
  <c r="BK77" i="2422" s="1"/>
  <c r="ED77" i="2422"/>
  <c r="EE77" i="2422" s="1"/>
  <c r="AR77" i="2422"/>
  <c r="AS77" i="2422" s="1"/>
  <c r="GO77" i="2422"/>
  <c r="GP77" i="2422" s="1"/>
  <c r="DU77" i="2422"/>
  <c r="DV77" i="2422" s="1"/>
  <c r="BA77" i="2422"/>
  <c r="BB77" i="2422" s="1"/>
  <c r="DL77" i="2422"/>
  <c r="DM77" i="2422" s="1"/>
  <c r="IZ77" i="2422"/>
  <c r="JA77" i="2422" s="1"/>
  <c r="GF77" i="2422"/>
  <c r="GG77" i="2422" s="1"/>
  <c r="FW24" i="2422"/>
  <c r="FX24" i="2422" s="1"/>
  <c r="IQ24" i="2422"/>
  <c r="IR24" i="2422" s="1"/>
  <c r="DC24" i="2422"/>
  <c r="DD24" i="2422" s="1"/>
  <c r="AI24" i="2422"/>
  <c r="IH24" i="2422"/>
  <c r="II24" i="2422" s="1"/>
  <c r="CT24" i="2422"/>
  <c r="CU24" i="2422" s="1"/>
  <c r="FN24" i="2422"/>
  <c r="FO24" i="2422" s="1"/>
  <c r="HY24" i="2422"/>
  <c r="HZ24" i="2422" s="1"/>
  <c r="CK24" i="2422"/>
  <c r="CL24" i="2422" s="1"/>
  <c r="EV24" i="2422"/>
  <c r="EW24" i="2422" s="1"/>
  <c r="HP24" i="2422"/>
  <c r="HQ24" i="2422" s="1"/>
  <c r="FE24" i="2422"/>
  <c r="FF24" i="2422" s="1"/>
  <c r="HG24" i="2422"/>
  <c r="HH24" i="2422" s="1"/>
  <c r="KA24" i="2422"/>
  <c r="KB24" i="2422" s="1"/>
  <c r="CB24" i="2422"/>
  <c r="CC24" i="2422" s="1"/>
  <c r="EM24" i="2422"/>
  <c r="EN24" i="2422" s="1"/>
  <c r="GX24" i="2422"/>
  <c r="GY24" i="2422" s="1"/>
  <c r="JR24" i="2422"/>
  <c r="JS24" i="2422" s="1"/>
  <c r="BS24" i="2422"/>
  <c r="BT24" i="2422" s="1"/>
  <c r="ED24" i="2422"/>
  <c r="EE24" i="2422" s="1"/>
  <c r="GO24" i="2422"/>
  <c r="GP24" i="2422" s="1"/>
  <c r="BA24" i="2422"/>
  <c r="BB24" i="2422" s="1"/>
  <c r="AR24" i="2422"/>
  <c r="AS24" i="2422" s="1"/>
  <c r="JI24" i="2422"/>
  <c r="JJ24" i="2422" s="1"/>
  <c r="BJ24" i="2422"/>
  <c r="BK24" i="2422" s="1"/>
  <c r="DU24" i="2422"/>
  <c r="DV24" i="2422" s="1"/>
  <c r="IZ24" i="2422"/>
  <c r="JA24" i="2422" s="1"/>
  <c r="DL24" i="2422"/>
  <c r="DM24" i="2422" s="1"/>
  <c r="GF24" i="2422"/>
  <c r="GG24" i="2422" s="1"/>
  <c r="FW66" i="2422"/>
  <c r="FX66" i="2422" s="1"/>
  <c r="IQ66" i="2422"/>
  <c r="IR66" i="2422" s="1"/>
  <c r="DC66" i="2422"/>
  <c r="DD66" i="2422" s="1"/>
  <c r="AI66" i="2422"/>
  <c r="IH66" i="2422"/>
  <c r="II66" i="2422" s="1"/>
  <c r="CT66" i="2422"/>
  <c r="CU66" i="2422" s="1"/>
  <c r="FN66" i="2422"/>
  <c r="FO66" i="2422" s="1"/>
  <c r="HY66" i="2422"/>
  <c r="HZ66" i="2422" s="1"/>
  <c r="HP66" i="2422"/>
  <c r="HQ66" i="2422" s="1"/>
  <c r="FE66" i="2422"/>
  <c r="FF66" i="2422" s="1"/>
  <c r="CK66" i="2422"/>
  <c r="CL66" i="2422" s="1"/>
  <c r="EV66" i="2422"/>
  <c r="EW66" i="2422" s="1"/>
  <c r="KA66" i="2422"/>
  <c r="KB66" i="2422" s="1"/>
  <c r="HG66" i="2422"/>
  <c r="HH66" i="2422" s="1"/>
  <c r="CB66" i="2422"/>
  <c r="CC66" i="2422" s="1"/>
  <c r="JR66" i="2422"/>
  <c r="JS66" i="2422" s="1"/>
  <c r="GX66" i="2422"/>
  <c r="GY66" i="2422" s="1"/>
  <c r="BS66" i="2422"/>
  <c r="BT66" i="2422" s="1"/>
  <c r="EM66" i="2422"/>
  <c r="EN66" i="2422" s="1"/>
  <c r="ED66" i="2422"/>
  <c r="EE66" i="2422" s="1"/>
  <c r="GO66" i="2422"/>
  <c r="GP66" i="2422" s="1"/>
  <c r="JI66" i="2422"/>
  <c r="JJ66" i="2422" s="1"/>
  <c r="BJ66" i="2422"/>
  <c r="BK66" i="2422" s="1"/>
  <c r="DU66" i="2422"/>
  <c r="DV66" i="2422" s="1"/>
  <c r="BA66" i="2422"/>
  <c r="BB66" i="2422" s="1"/>
  <c r="AR66" i="2422"/>
  <c r="AS66" i="2422" s="1"/>
  <c r="IZ66" i="2422"/>
  <c r="JA66" i="2422" s="1"/>
  <c r="DL66" i="2422"/>
  <c r="DM66" i="2422" s="1"/>
  <c r="GF66" i="2422"/>
  <c r="GG66" i="2422" s="1"/>
  <c r="AI108" i="2422"/>
  <c r="DC108" i="2422"/>
  <c r="DD108" i="2422" s="1"/>
  <c r="IH108" i="2422"/>
  <c r="II108" i="2422" s="1"/>
  <c r="IQ108" i="2422"/>
  <c r="IR108" i="2422" s="1"/>
  <c r="FW108" i="2422"/>
  <c r="FX108" i="2422" s="1"/>
  <c r="FN108" i="2422"/>
  <c r="FO108" i="2422" s="1"/>
  <c r="CT108" i="2422"/>
  <c r="CU108" i="2422" s="1"/>
  <c r="HY108" i="2422"/>
  <c r="HZ108" i="2422" s="1"/>
  <c r="FE108" i="2422"/>
  <c r="FF108" i="2422" s="1"/>
  <c r="EV108" i="2422"/>
  <c r="EW108" i="2422" s="1"/>
  <c r="CK108" i="2422"/>
  <c r="CL108" i="2422" s="1"/>
  <c r="KA108" i="2422"/>
  <c r="KB108" i="2422" s="1"/>
  <c r="HG108" i="2422"/>
  <c r="HH108" i="2422" s="1"/>
  <c r="HP108" i="2422"/>
  <c r="HQ108" i="2422" s="1"/>
  <c r="CB108" i="2422"/>
  <c r="CC108" i="2422" s="1"/>
  <c r="EM108" i="2422"/>
  <c r="EN108" i="2422" s="1"/>
  <c r="JR108" i="2422"/>
  <c r="JS108" i="2422" s="1"/>
  <c r="GX108" i="2422"/>
  <c r="GY108" i="2422" s="1"/>
  <c r="BS108" i="2422"/>
  <c r="BT108" i="2422" s="1"/>
  <c r="ED108" i="2422"/>
  <c r="EE108" i="2422" s="1"/>
  <c r="JI108" i="2422"/>
  <c r="JJ108" i="2422" s="1"/>
  <c r="GO108" i="2422"/>
  <c r="GP108" i="2422" s="1"/>
  <c r="BJ108" i="2422"/>
  <c r="BK108" i="2422" s="1"/>
  <c r="AR108" i="2422"/>
  <c r="AS108" i="2422" s="1"/>
  <c r="BA108" i="2422"/>
  <c r="BB108" i="2422" s="1"/>
  <c r="IZ108" i="2422"/>
  <c r="JA108" i="2422" s="1"/>
  <c r="DU108" i="2422"/>
  <c r="DV108" i="2422" s="1"/>
  <c r="GF108" i="2422"/>
  <c r="GG108" i="2422" s="1"/>
  <c r="DL108" i="2422"/>
  <c r="DM108" i="2422" s="1"/>
  <c r="IQ55" i="2422"/>
  <c r="IR55" i="2422" s="1"/>
  <c r="FW55" i="2422"/>
  <c r="FX55" i="2422" s="1"/>
  <c r="AI55" i="2422"/>
  <c r="DC55" i="2422"/>
  <c r="DD55" i="2422" s="1"/>
  <c r="CT55" i="2422"/>
  <c r="CU55" i="2422" s="1"/>
  <c r="HY55" i="2422"/>
  <c r="HZ55" i="2422" s="1"/>
  <c r="IH55" i="2422"/>
  <c r="II55" i="2422" s="1"/>
  <c r="FN55" i="2422"/>
  <c r="FO55" i="2422" s="1"/>
  <c r="CK55" i="2422"/>
  <c r="CL55" i="2422" s="1"/>
  <c r="EV55" i="2422"/>
  <c r="EW55" i="2422" s="1"/>
  <c r="FE55" i="2422"/>
  <c r="FF55" i="2422" s="1"/>
  <c r="HP55" i="2422"/>
  <c r="HQ55" i="2422" s="1"/>
  <c r="KA55" i="2422"/>
  <c r="KB55" i="2422" s="1"/>
  <c r="HG55" i="2422"/>
  <c r="HH55" i="2422" s="1"/>
  <c r="CB55" i="2422"/>
  <c r="CC55" i="2422" s="1"/>
  <c r="BS55" i="2422"/>
  <c r="BT55" i="2422" s="1"/>
  <c r="GX55" i="2422"/>
  <c r="GY55" i="2422" s="1"/>
  <c r="EM55" i="2422"/>
  <c r="EN55" i="2422" s="1"/>
  <c r="JR55" i="2422"/>
  <c r="JS55" i="2422" s="1"/>
  <c r="JI55" i="2422"/>
  <c r="JJ55" i="2422" s="1"/>
  <c r="BJ55" i="2422"/>
  <c r="BK55" i="2422" s="1"/>
  <c r="GO55" i="2422"/>
  <c r="GP55" i="2422" s="1"/>
  <c r="ED55" i="2422"/>
  <c r="EE55" i="2422" s="1"/>
  <c r="DU55" i="2422"/>
  <c r="DV55" i="2422" s="1"/>
  <c r="BA55" i="2422"/>
  <c r="BB55" i="2422" s="1"/>
  <c r="IZ55" i="2422"/>
  <c r="JA55" i="2422" s="1"/>
  <c r="AR55" i="2422"/>
  <c r="AS55" i="2422" s="1"/>
  <c r="GF55" i="2422"/>
  <c r="GG55" i="2422" s="1"/>
  <c r="DL55" i="2422"/>
  <c r="DM55" i="2422" s="1"/>
  <c r="IQ97" i="2422"/>
  <c r="IR97" i="2422" s="1"/>
  <c r="FW97" i="2422"/>
  <c r="FX97" i="2422" s="1"/>
  <c r="DC97" i="2422"/>
  <c r="DD97" i="2422" s="1"/>
  <c r="AI97" i="2422"/>
  <c r="FN97" i="2422"/>
  <c r="FO97" i="2422" s="1"/>
  <c r="CT97" i="2422"/>
  <c r="CU97" i="2422" s="1"/>
  <c r="IH97" i="2422"/>
  <c r="II97" i="2422" s="1"/>
  <c r="HY97" i="2422"/>
  <c r="HZ97" i="2422" s="1"/>
  <c r="CK97" i="2422"/>
  <c r="CL97" i="2422" s="1"/>
  <c r="HP97" i="2422"/>
  <c r="HQ97" i="2422" s="1"/>
  <c r="FE97" i="2422"/>
  <c r="FF97" i="2422" s="1"/>
  <c r="CB97" i="2422"/>
  <c r="CC97" i="2422" s="1"/>
  <c r="EV97" i="2422"/>
  <c r="EW97" i="2422" s="1"/>
  <c r="HG97" i="2422"/>
  <c r="HH97" i="2422" s="1"/>
  <c r="KA97" i="2422"/>
  <c r="KB97" i="2422" s="1"/>
  <c r="JR97" i="2422"/>
  <c r="JS97" i="2422" s="1"/>
  <c r="EM97" i="2422"/>
  <c r="EN97" i="2422" s="1"/>
  <c r="BS97" i="2422"/>
  <c r="BT97" i="2422" s="1"/>
  <c r="GX97" i="2422"/>
  <c r="GY97" i="2422" s="1"/>
  <c r="ED97" i="2422"/>
  <c r="EE97" i="2422" s="1"/>
  <c r="GO97" i="2422"/>
  <c r="GP97" i="2422" s="1"/>
  <c r="JI97" i="2422"/>
  <c r="JJ97" i="2422" s="1"/>
  <c r="BJ97" i="2422"/>
  <c r="BK97" i="2422" s="1"/>
  <c r="BA97" i="2422"/>
  <c r="BB97" i="2422" s="1"/>
  <c r="DU97" i="2422"/>
  <c r="DV97" i="2422" s="1"/>
  <c r="AR97" i="2422"/>
  <c r="AS97" i="2422" s="1"/>
  <c r="IZ97" i="2422"/>
  <c r="JA97" i="2422" s="1"/>
  <c r="GF97" i="2422"/>
  <c r="GG97" i="2422" s="1"/>
  <c r="DL97" i="2422"/>
  <c r="DM97" i="2422" s="1"/>
  <c r="IQ44" i="2422"/>
  <c r="IR44" i="2422" s="1"/>
  <c r="AI44" i="2422"/>
  <c r="DC44" i="2422"/>
  <c r="DD44" i="2422" s="1"/>
  <c r="FW44" i="2422"/>
  <c r="FX44" i="2422" s="1"/>
  <c r="CT44" i="2422"/>
  <c r="CU44" i="2422" s="1"/>
  <c r="IH44" i="2422"/>
  <c r="II44" i="2422" s="1"/>
  <c r="FN44" i="2422"/>
  <c r="FO44" i="2422" s="1"/>
  <c r="HY44" i="2422"/>
  <c r="HZ44" i="2422" s="1"/>
  <c r="EV44" i="2422"/>
  <c r="EW44" i="2422" s="1"/>
  <c r="HP44" i="2422"/>
  <c r="HQ44" i="2422" s="1"/>
  <c r="FE44" i="2422"/>
  <c r="FF44" i="2422" s="1"/>
  <c r="CK44" i="2422"/>
  <c r="CL44" i="2422" s="1"/>
  <c r="KA44" i="2422"/>
  <c r="KB44" i="2422" s="1"/>
  <c r="HG44" i="2422"/>
  <c r="HH44" i="2422" s="1"/>
  <c r="CB44" i="2422"/>
  <c r="CC44" i="2422" s="1"/>
  <c r="EM44" i="2422"/>
  <c r="EN44" i="2422" s="1"/>
  <c r="JR44" i="2422"/>
  <c r="JS44" i="2422" s="1"/>
  <c r="GX44" i="2422"/>
  <c r="GY44" i="2422" s="1"/>
  <c r="BS44" i="2422"/>
  <c r="BT44" i="2422" s="1"/>
  <c r="ED44" i="2422"/>
  <c r="EE44" i="2422" s="1"/>
  <c r="JI44" i="2422"/>
  <c r="JJ44" i="2422" s="1"/>
  <c r="BJ44" i="2422"/>
  <c r="BK44" i="2422" s="1"/>
  <c r="GO44" i="2422"/>
  <c r="GP44" i="2422" s="1"/>
  <c r="DU44" i="2422"/>
  <c r="DV44" i="2422" s="1"/>
  <c r="BA44" i="2422"/>
  <c r="BB44" i="2422" s="1"/>
  <c r="AR44" i="2422"/>
  <c r="AS44" i="2422" s="1"/>
  <c r="IZ44" i="2422"/>
  <c r="JA44" i="2422" s="1"/>
  <c r="GF44" i="2422"/>
  <c r="GG44" i="2422" s="1"/>
  <c r="DL44" i="2422"/>
  <c r="DM44" i="2422" s="1"/>
  <c r="IQ86" i="2422"/>
  <c r="IR86" i="2422" s="1"/>
  <c r="FW86" i="2422"/>
  <c r="FX86" i="2422" s="1"/>
  <c r="DC86" i="2422"/>
  <c r="DD86" i="2422" s="1"/>
  <c r="AI86" i="2422"/>
  <c r="CT86" i="2422"/>
  <c r="CU86" i="2422" s="1"/>
  <c r="IH86" i="2422"/>
  <c r="II86" i="2422" s="1"/>
  <c r="FN86" i="2422"/>
  <c r="FO86" i="2422" s="1"/>
  <c r="HY86" i="2422"/>
  <c r="HZ86" i="2422" s="1"/>
  <c r="EV86" i="2422"/>
  <c r="EW86" i="2422" s="1"/>
  <c r="CK86" i="2422"/>
  <c r="CL86" i="2422" s="1"/>
  <c r="FE86" i="2422"/>
  <c r="FF86" i="2422" s="1"/>
  <c r="HP86" i="2422"/>
  <c r="HQ86" i="2422" s="1"/>
  <c r="KA86" i="2422"/>
  <c r="KB86" i="2422" s="1"/>
  <c r="CB86" i="2422"/>
  <c r="CC86" i="2422" s="1"/>
  <c r="HG86" i="2422"/>
  <c r="HH86" i="2422" s="1"/>
  <c r="JR86" i="2422"/>
  <c r="JS86" i="2422" s="1"/>
  <c r="EM86" i="2422"/>
  <c r="EN86" i="2422" s="1"/>
  <c r="BS86" i="2422"/>
  <c r="BT86" i="2422" s="1"/>
  <c r="GX86" i="2422"/>
  <c r="GY86" i="2422" s="1"/>
  <c r="ED86" i="2422"/>
  <c r="EE86" i="2422" s="1"/>
  <c r="JI86" i="2422"/>
  <c r="JJ86" i="2422" s="1"/>
  <c r="GO86" i="2422"/>
  <c r="GP86" i="2422" s="1"/>
  <c r="BJ86" i="2422"/>
  <c r="BK86" i="2422" s="1"/>
  <c r="IZ86" i="2422"/>
  <c r="JA86" i="2422" s="1"/>
  <c r="BA86" i="2422"/>
  <c r="BB86" i="2422" s="1"/>
  <c r="DU86" i="2422"/>
  <c r="DV86" i="2422" s="1"/>
  <c r="AR86" i="2422"/>
  <c r="AS86" i="2422" s="1"/>
  <c r="GF86" i="2422"/>
  <c r="GG86" i="2422" s="1"/>
  <c r="DL86" i="2422"/>
  <c r="DM86" i="2422" s="1"/>
  <c r="IQ33" i="2422"/>
  <c r="IR33" i="2422" s="1"/>
  <c r="FW33" i="2422"/>
  <c r="FX33" i="2422" s="1"/>
  <c r="DC33" i="2422"/>
  <c r="DD33" i="2422" s="1"/>
  <c r="AI33" i="2422"/>
  <c r="FN33" i="2422"/>
  <c r="FO33" i="2422" s="1"/>
  <c r="CT33" i="2422"/>
  <c r="CU33" i="2422" s="1"/>
  <c r="IH33" i="2422"/>
  <c r="II33" i="2422" s="1"/>
  <c r="HY33" i="2422"/>
  <c r="HZ33" i="2422" s="1"/>
  <c r="CK33" i="2422"/>
  <c r="CL33" i="2422" s="1"/>
  <c r="FE33" i="2422"/>
  <c r="FF33" i="2422" s="1"/>
  <c r="HP33" i="2422"/>
  <c r="HQ33" i="2422" s="1"/>
  <c r="CB33" i="2422"/>
  <c r="CC33" i="2422" s="1"/>
  <c r="HG33" i="2422"/>
  <c r="HH33" i="2422" s="1"/>
  <c r="EV33" i="2422"/>
  <c r="EW33" i="2422" s="1"/>
  <c r="KA33" i="2422"/>
  <c r="KB33" i="2422" s="1"/>
  <c r="EM33" i="2422"/>
  <c r="EN33" i="2422" s="1"/>
  <c r="JR33" i="2422"/>
  <c r="JS33" i="2422" s="1"/>
  <c r="BS33" i="2422"/>
  <c r="BT33" i="2422" s="1"/>
  <c r="GX33" i="2422"/>
  <c r="GY33" i="2422" s="1"/>
  <c r="GO33" i="2422"/>
  <c r="GP33" i="2422" s="1"/>
  <c r="BJ33" i="2422"/>
  <c r="BK33" i="2422" s="1"/>
  <c r="JI33" i="2422"/>
  <c r="JJ33" i="2422" s="1"/>
  <c r="ED33" i="2422"/>
  <c r="EE33" i="2422" s="1"/>
  <c r="IZ33" i="2422"/>
  <c r="JA33" i="2422" s="1"/>
  <c r="BA33" i="2422"/>
  <c r="BB33" i="2422" s="1"/>
  <c r="DU33" i="2422"/>
  <c r="DV33" i="2422" s="1"/>
  <c r="AR33" i="2422"/>
  <c r="AS33" i="2422" s="1"/>
  <c r="GF33" i="2422"/>
  <c r="GG33" i="2422" s="1"/>
  <c r="DL33" i="2422"/>
  <c r="DM33" i="2422" s="1"/>
  <c r="AI75" i="2422"/>
  <c r="IQ75" i="2422"/>
  <c r="IR75" i="2422" s="1"/>
  <c r="DC75" i="2422"/>
  <c r="DD75" i="2422" s="1"/>
  <c r="FW75" i="2422"/>
  <c r="FX75" i="2422" s="1"/>
  <c r="FN75" i="2422"/>
  <c r="FO75" i="2422" s="1"/>
  <c r="HY75" i="2422"/>
  <c r="HZ75" i="2422" s="1"/>
  <c r="IH75" i="2422"/>
  <c r="II75" i="2422" s="1"/>
  <c r="CT75" i="2422"/>
  <c r="CU75" i="2422" s="1"/>
  <c r="CK75" i="2422"/>
  <c r="CL75" i="2422" s="1"/>
  <c r="FE75" i="2422"/>
  <c r="FF75" i="2422" s="1"/>
  <c r="EV75" i="2422"/>
  <c r="EW75" i="2422" s="1"/>
  <c r="CB75" i="2422"/>
  <c r="CC75" i="2422" s="1"/>
  <c r="HG75" i="2422"/>
  <c r="HH75" i="2422" s="1"/>
  <c r="KA75" i="2422"/>
  <c r="KB75" i="2422" s="1"/>
  <c r="HP75" i="2422"/>
  <c r="HQ75" i="2422" s="1"/>
  <c r="EM75" i="2422"/>
  <c r="EN75" i="2422" s="1"/>
  <c r="BS75" i="2422"/>
  <c r="BT75" i="2422" s="1"/>
  <c r="GX75" i="2422"/>
  <c r="GY75" i="2422" s="1"/>
  <c r="ED75" i="2422"/>
  <c r="EE75" i="2422" s="1"/>
  <c r="JR75" i="2422"/>
  <c r="JS75" i="2422" s="1"/>
  <c r="JI75" i="2422"/>
  <c r="JJ75" i="2422" s="1"/>
  <c r="GO75" i="2422"/>
  <c r="GP75" i="2422" s="1"/>
  <c r="BJ75" i="2422"/>
  <c r="BK75" i="2422" s="1"/>
  <c r="BA75" i="2422"/>
  <c r="BB75" i="2422" s="1"/>
  <c r="IZ75" i="2422"/>
  <c r="JA75" i="2422" s="1"/>
  <c r="DU75" i="2422"/>
  <c r="DV75" i="2422" s="1"/>
  <c r="AR75" i="2422"/>
  <c r="AS75" i="2422" s="1"/>
  <c r="GF75" i="2422"/>
  <c r="GG75" i="2422" s="1"/>
  <c r="DL75" i="2422"/>
  <c r="DM75" i="2422" s="1"/>
  <c r="FW22" i="2422"/>
  <c r="FX22" i="2422" s="1"/>
  <c r="DC22" i="2422"/>
  <c r="DD22" i="2422" s="1"/>
  <c r="IQ22" i="2422"/>
  <c r="IR22" i="2422" s="1"/>
  <c r="AI22" i="2422"/>
  <c r="FN22" i="2422"/>
  <c r="FO22" i="2422" s="1"/>
  <c r="IH22" i="2422"/>
  <c r="II22" i="2422" s="1"/>
  <c r="CT22" i="2422"/>
  <c r="CU22" i="2422" s="1"/>
  <c r="HY22" i="2422"/>
  <c r="HZ22" i="2422" s="1"/>
  <c r="HP22" i="2422"/>
  <c r="HQ22" i="2422" s="1"/>
  <c r="EV22" i="2422"/>
  <c r="EW22" i="2422" s="1"/>
  <c r="CK22" i="2422"/>
  <c r="CL22" i="2422" s="1"/>
  <c r="FE22" i="2422"/>
  <c r="FF22" i="2422" s="1"/>
  <c r="KA22" i="2422"/>
  <c r="KB22" i="2422" s="1"/>
  <c r="CB22" i="2422"/>
  <c r="CC22" i="2422" s="1"/>
  <c r="HG22" i="2422"/>
  <c r="HH22" i="2422" s="1"/>
  <c r="BS22" i="2422"/>
  <c r="BT22" i="2422" s="1"/>
  <c r="EM22" i="2422"/>
  <c r="EN22" i="2422" s="1"/>
  <c r="JR22" i="2422"/>
  <c r="JS22" i="2422" s="1"/>
  <c r="GX22" i="2422"/>
  <c r="GY22" i="2422" s="1"/>
  <c r="GO22" i="2422"/>
  <c r="GP22" i="2422" s="1"/>
  <c r="BJ22" i="2422"/>
  <c r="BK22" i="2422" s="1"/>
  <c r="JI22" i="2422"/>
  <c r="JJ22" i="2422" s="1"/>
  <c r="ED22" i="2422"/>
  <c r="EE22" i="2422" s="1"/>
  <c r="IZ22" i="2422"/>
  <c r="JA22" i="2422" s="1"/>
  <c r="BA22" i="2422"/>
  <c r="BB22" i="2422" s="1"/>
  <c r="DU22" i="2422"/>
  <c r="DV22" i="2422" s="1"/>
  <c r="AR22" i="2422"/>
  <c r="AS22" i="2422" s="1"/>
  <c r="GF22" i="2422"/>
  <c r="GG22" i="2422" s="1"/>
  <c r="DL22" i="2422"/>
  <c r="DM22" i="2422" s="1"/>
  <c r="FW64" i="2422"/>
  <c r="FX64" i="2422" s="1"/>
  <c r="IQ64" i="2422"/>
  <c r="IR64" i="2422" s="1"/>
  <c r="DC64" i="2422"/>
  <c r="DD64" i="2422" s="1"/>
  <c r="AI64" i="2422"/>
  <c r="HY64" i="2422"/>
  <c r="HZ64" i="2422" s="1"/>
  <c r="FN64" i="2422"/>
  <c r="FO64" i="2422" s="1"/>
  <c r="CT64" i="2422"/>
  <c r="CU64" i="2422" s="1"/>
  <c r="IH64" i="2422"/>
  <c r="II64" i="2422" s="1"/>
  <c r="FE64" i="2422"/>
  <c r="FF64" i="2422" s="1"/>
  <c r="HP64" i="2422"/>
  <c r="HQ64" i="2422" s="1"/>
  <c r="EV64" i="2422"/>
  <c r="EW64" i="2422" s="1"/>
  <c r="CK64" i="2422"/>
  <c r="CL64" i="2422" s="1"/>
  <c r="KA64" i="2422"/>
  <c r="KB64" i="2422" s="1"/>
  <c r="HG64" i="2422"/>
  <c r="HH64" i="2422" s="1"/>
  <c r="CB64" i="2422"/>
  <c r="CC64" i="2422" s="1"/>
  <c r="ED64" i="2422"/>
  <c r="EE64" i="2422" s="1"/>
  <c r="EM64" i="2422"/>
  <c r="EN64" i="2422" s="1"/>
  <c r="BS64" i="2422"/>
  <c r="BT64" i="2422" s="1"/>
  <c r="JR64" i="2422"/>
  <c r="JS64" i="2422" s="1"/>
  <c r="GX64" i="2422"/>
  <c r="GY64" i="2422" s="1"/>
  <c r="JI64" i="2422"/>
  <c r="JJ64" i="2422" s="1"/>
  <c r="BJ64" i="2422"/>
  <c r="BK64" i="2422" s="1"/>
  <c r="GO64" i="2422"/>
  <c r="GP64" i="2422" s="1"/>
  <c r="DU64" i="2422"/>
  <c r="DV64" i="2422" s="1"/>
  <c r="BA64" i="2422"/>
  <c r="BB64" i="2422" s="1"/>
  <c r="AR64" i="2422"/>
  <c r="AS64" i="2422" s="1"/>
  <c r="IZ64" i="2422"/>
  <c r="JA64" i="2422" s="1"/>
  <c r="GF64" i="2422"/>
  <c r="GG64" i="2422" s="1"/>
  <c r="DL64" i="2422"/>
  <c r="DM64" i="2422" s="1"/>
  <c r="DC106" i="2422"/>
  <c r="DD106" i="2422" s="1"/>
  <c r="AI106" i="2422"/>
  <c r="IQ106" i="2422"/>
  <c r="IR106" i="2422" s="1"/>
  <c r="FW106" i="2422"/>
  <c r="FX106" i="2422" s="1"/>
  <c r="HY106" i="2422"/>
  <c r="HZ106" i="2422" s="1"/>
  <c r="FN106" i="2422"/>
  <c r="FO106" i="2422" s="1"/>
  <c r="CT106" i="2422"/>
  <c r="CU106" i="2422" s="1"/>
  <c r="IH106" i="2422"/>
  <c r="II106" i="2422" s="1"/>
  <c r="HP106" i="2422"/>
  <c r="HQ106" i="2422" s="1"/>
  <c r="EV106" i="2422"/>
  <c r="EW106" i="2422" s="1"/>
  <c r="CK106" i="2422"/>
  <c r="CL106" i="2422" s="1"/>
  <c r="FE106" i="2422"/>
  <c r="FF106" i="2422" s="1"/>
  <c r="HG106" i="2422"/>
  <c r="HH106" i="2422" s="1"/>
  <c r="EM106" i="2422"/>
  <c r="EN106" i="2422" s="1"/>
  <c r="CB106" i="2422"/>
  <c r="CC106" i="2422" s="1"/>
  <c r="KA106" i="2422"/>
  <c r="KB106" i="2422" s="1"/>
  <c r="JR106" i="2422"/>
  <c r="JS106" i="2422" s="1"/>
  <c r="GX106" i="2422"/>
  <c r="GY106" i="2422" s="1"/>
  <c r="BS106" i="2422"/>
  <c r="BT106" i="2422" s="1"/>
  <c r="BJ106" i="2422"/>
  <c r="BK106" i="2422" s="1"/>
  <c r="ED106" i="2422"/>
  <c r="EE106" i="2422" s="1"/>
  <c r="JI106" i="2422"/>
  <c r="JJ106" i="2422" s="1"/>
  <c r="BA106" i="2422"/>
  <c r="BB106" i="2422" s="1"/>
  <c r="DU106" i="2422"/>
  <c r="DV106" i="2422" s="1"/>
  <c r="AR106" i="2422"/>
  <c r="AS106" i="2422" s="1"/>
  <c r="GO106" i="2422"/>
  <c r="GP106" i="2422" s="1"/>
  <c r="IZ106" i="2422"/>
  <c r="JA106" i="2422" s="1"/>
  <c r="DL106" i="2422"/>
  <c r="DM106" i="2422" s="1"/>
  <c r="GF106" i="2422"/>
  <c r="GG106" i="2422" s="1"/>
  <c r="FW53" i="2422"/>
  <c r="FX53" i="2422" s="1"/>
  <c r="DC53" i="2422"/>
  <c r="DD53" i="2422" s="1"/>
  <c r="AI53" i="2422"/>
  <c r="IQ53" i="2422"/>
  <c r="IR53" i="2422" s="1"/>
  <c r="CT53" i="2422"/>
  <c r="CU53" i="2422" s="1"/>
  <c r="FN53" i="2422"/>
  <c r="FO53" i="2422" s="1"/>
  <c r="IH53" i="2422"/>
  <c r="II53" i="2422" s="1"/>
  <c r="HY53" i="2422"/>
  <c r="HZ53" i="2422" s="1"/>
  <c r="HP53" i="2422"/>
  <c r="HQ53" i="2422" s="1"/>
  <c r="CK53" i="2422"/>
  <c r="CL53" i="2422" s="1"/>
  <c r="FE53" i="2422"/>
  <c r="FF53" i="2422" s="1"/>
  <c r="EV53" i="2422"/>
  <c r="EW53" i="2422" s="1"/>
  <c r="HG53" i="2422"/>
  <c r="HH53" i="2422" s="1"/>
  <c r="EM53" i="2422"/>
  <c r="EN53" i="2422" s="1"/>
  <c r="CB53" i="2422"/>
  <c r="CC53" i="2422" s="1"/>
  <c r="KA53" i="2422"/>
  <c r="KB53" i="2422" s="1"/>
  <c r="BS53" i="2422"/>
  <c r="BT53" i="2422" s="1"/>
  <c r="JR53" i="2422"/>
  <c r="JS53" i="2422" s="1"/>
  <c r="GX53" i="2422"/>
  <c r="GY53" i="2422" s="1"/>
  <c r="BJ53" i="2422"/>
  <c r="BK53" i="2422" s="1"/>
  <c r="ED53" i="2422"/>
  <c r="EE53" i="2422" s="1"/>
  <c r="GO53" i="2422"/>
  <c r="GP53" i="2422" s="1"/>
  <c r="JI53" i="2422"/>
  <c r="JJ53" i="2422" s="1"/>
  <c r="BA53" i="2422"/>
  <c r="BB53" i="2422" s="1"/>
  <c r="DU53" i="2422"/>
  <c r="DV53" i="2422" s="1"/>
  <c r="AR53" i="2422"/>
  <c r="AS53" i="2422" s="1"/>
  <c r="GF53" i="2422"/>
  <c r="GG53" i="2422" s="1"/>
  <c r="DL53" i="2422"/>
  <c r="DM53" i="2422" s="1"/>
  <c r="IZ53" i="2422"/>
  <c r="JA53" i="2422" s="1"/>
  <c r="FW95" i="2422"/>
  <c r="FX95" i="2422" s="1"/>
  <c r="AI95" i="2422"/>
  <c r="DC95" i="2422"/>
  <c r="DD95" i="2422" s="1"/>
  <c r="IH95" i="2422"/>
  <c r="II95" i="2422" s="1"/>
  <c r="IQ95" i="2422"/>
  <c r="IR95" i="2422" s="1"/>
  <c r="CT95" i="2422"/>
  <c r="CU95" i="2422" s="1"/>
  <c r="HY95" i="2422"/>
  <c r="HZ95" i="2422" s="1"/>
  <c r="FN95" i="2422"/>
  <c r="FO95" i="2422" s="1"/>
  <c r="CK95" i="2422"/>
  <c r="CL95" i="2422" s="1"/>
  <c r="EV95" i="2422"/>
  <c r="EW95" i="2422" s="1"/>
  <c r="FE95" i="2422"/>
  <c r="FF95" i="2422" s="1"/>
  <c r="HP95" i="2422"/>
  <c r="HQ95" i="2422" s="1"/>
  <c r="KA95" i="2422"/>
  <c r="KB95" i="2422" s="1"/>
  <c r="HG95" i="2422"/>
  <c r="HH95" i="2422" s="1"/>
  <c r="CB95" i="2422"/>
  <c r="CC95" i="2422" s="1"/>
  <c r="EM95" i="2422"/>
  <c r="EN95" i="2422" s="1"/>
  <c r="GX95" i="2422"/>
  <c r="GY95" i="2422" s="1"/>
  <c r="JR95" i="2422"/>
  <c r="JS95" i="2422" s="1"/>
  <c r="BS95" i="2422"/>
  <c r="BT95" i="2422" s="1"/>
  <c r="BJ95" i="2422"/>
  <c r="BK95" i="2422" s="1"/>
  <c r="JI95" i="2422"/>
  <c r="JJ95" i="2422" s="1"/>
  <c r="ED95" i="2422"/>
  <c r="EE95" i="2422" s="1"/>
  <c r="GO95" i="2422"/>
  <c r="GP95" i="2422" s="1"/>
  <c r="DU95" i="2422"/>
  <c r="DV95" i="2422" s="1"/>
  <c r="AR95" i="2422"/>
  <c r="AS95" i="2422" s="1"/>
  <c r="BA95" i="2422"/>
  <c r="BB95" i="2422" s="1"/>
  <c r="IZ95" i="2422"/>
  <c r="JA95" i="2422" s="1"/>
  <c r="GF95" i="2422"/>
  <c r="GG95" i="2422" s="1"/>
  <c r="DL95" i="2422"/>
  <c r="DM95" i="2422" s="1"/>
  <c r="AI42" i="2422"/>
  <c r="IQ42" i="2422"/>
  <c r="IR42" i="2422" s="1"/>
  <c r="DC42" i="2422"/>
  <c r="DD42" i="2422" s="1"/>
  <c r="FW42" i="2422"/>
  <c r="FX42" i="2422" s="1"/>
  <c r="IH42" i="2422"/>
  <c r="II42" i="2422" s="1"/>
  <c r="HY42" i="2422"/>
  <c r="HZ42" i="2422" s="1"/>
  <c r="FN42" i="2422"/>
  <c r="FO42" i="2422" s="1"/>
  <c r="CT42" i="2422"/>
  <c r="CU42" i="2422" s="1"/>
  <c r="HP42" i="2422"/>
  <c r="HQ42" i="2422" s="1"/>
  <c r="CK42" i="2422"/>
  <c r="CL42" i="2422" s="1"/>
  <c r="HG42" i="2422"/>
  <c r="HH42" i="2422" s="1"/>
  <c r="FE42" i="2422"/>
  <c r="FF42" i="2422" s="1"/>
  <c r="EM42" i="2422"/>
  <c r="EN42" i="2422" s="1"/>
  <c r="EV42" i="2422"/>
  <c r="EW42" i="2422" s="1"/>
  <c r="CB42" i="2422"/>
  <c r="CC42" i="2422" s="1"/>
  <c r="KA42" i="2422"/>
  <c r="KB42" i="2422" s="1"/>
  <c r="BS42" i="2422"/>
  <c r="BT42" i="2422" s="1"/>
  <c r="JR42" i="2422"/>
  <c r="JS42" i="2422" s="1"/>
  <c r="GX42" i="2422"/>
  <c r="GY42" i="2422" s="1"/>
  <c r="JI42" i="2422"/>
  <c r="JJ42" i="2422" s="1"/>
  <c r="ED42" i="2422"/>
  <c r="EE42" i="2422" s="1"/>
  <c r="BA42" i="2422"/>
  <c r="BB42" i="2422" s="1"/>
  <c r="BJ42" i="2422"/>
  <c r="BK42" i="2422" s="1"/>
  <c r="DU42" i="2422"/>
  <c r="DV42" i="2422" s="1"/>
  <c r="AR42" i="2422"/>
  <c r="AS42" i="2422" s="1"/>
  <c r="GO42" i="2422"/>
  <c r="GP42" i="2422" s="1"/>
  <c r="IZ42" i="2422"/>
  <c r="JA42" i="2422" s="1"/>
  <c r="GF42" i="2422"/>
  <c r="GG42" i="2422" s="1"/>
  <c r="DL42" i="2422"/>
  <c r="DM42" i="2422" s="1"/>
  <c r="DC84" i="2422"/>
  <c r="DD84" i="2422" s="1"/>
  <c r="IQ84" i="2422"/>
  <c r="IR84" i="2422" s="1"/>
  <c r="FW84" i="2422"/>
  <c r="FX84" i="2422" s="1"/>
  <c r="IH84" i="2422"/>
  <c r="II84" i="2422" s="1"/>
  <c r="AI84" i="2422"/>
  <c r="HY84" i="2422"/>
  <c r="HZ84" i="2422" s="1"/>
  <c r="CT84" i="2422"/>
  <c r="CU84" i="2422" s="1"/>
  <c r="FN84" i="2422"/>
  <c r="FO84" i="2422" s="1"/>
  <c r="CK84" i="2422"/>
  <c r="CL84" i="2422" s="1"/>
  <c r="HP84" i="2422"/>
  <c r="HQ84" i="2422" s="1"/>
  <c r="EV84" i="2422"/>
  <c r="EW84" i="2422" s="1"/>
  <c r="FE84" i="2422"/>
  <c r="FF84" i="2422" s="1"/>
  <c r="KA84" i="2422"/>
  <c r="KB84" i="2422" s="1"/>
  <c r="CB84" i="2422"/>
  <c r="CC84" i="2422" s="1"/>
  <c r="HG84" i="2422"/>
  <c r="HH84" i="2422" s="1"/>
  <c r="JR84" i="2422"/>
  <c r="JS84" i="2422" s="1"/>
  <c r="BS84" i="2422"/>
  <c r="BT84" i="2422" s="1"/>
  <c r="EM84" i="2422"/>
  <c r="EN84" i="2422" s="1"/>
  <c r="BJ84" i="2422"/>
  <c r="BK84" i="2422" s="1"/>
  <c r="JI84" i="2422"/>
  <c r="JJ84" i="2422" s="1"/>
  <c r="GX84" i="2422"/>
  <c r="GY84" i="2422" s="1"/>
  <c r="ED84" i="2422"/>
  <c r="EE84" i="2422" s="1"/>
  <c r="GO84" i="2422"/>
  <c r="GP84" i="2422" s="1"/>
  <c r="DU84" i="2422"/>
  <c r="DV84" i="2422" s="1"/>
  <c r="IZ84" i="2422"/>
  <c r="JA84" i="2422" s="1"/>
  <c r="BA84" i="2422"/>
  <c r="BB84" i="2422" s="1"/>
  <c r="AR84" i="2422"/>
  <c r="AS84" i="2422" s="1"/>
  <c r="DL84" i="2422"/>
  <c r="DM84" i="2422" s="1"/>
  <c r="GF84" i="2422"/>
  <c r="GG84" i="2422" s="1"/>
  <c r="IQ31" i="2422"/>
  <c r="IR31" i="2422" s="1"/>
  <c r="FW31" i="2422"/>
  <c r="FX31" i="2422" s="1"/>
  <c r="DC31" i="2422"/>
  <c r="DD31" i="2422" s="1"/>
  <c r="AI31" i="2422"/>
  <c r="CT31" i="2422"/>
  <c r="CU31" i="2422" s="1"/>
  <c r="FN31" i="2422"/>
  <c r="FO31" i="2422" s="1"/>
  <c r="HY31" i="2422"/>
  <c r="HZ31" i="2422" s="1"/>
  <c r="IH31" i="2422"/>
  <c r="II31" i="2422" s="1"/>
  <c r="HP31" i="2422"/>
  <c r="HQ31" i="2422" s="1"/>
  <c r="EV31" i="2422"/>
  <c r="EW31" i="2422" s="1"/>
  <c r="FE31" i="2422"/>
  <c r="FF31" i="2422" s="1"/>
  <c r="CK31" i="2422"/>
  <c r="CL31" i="2422" s="1"/>
  <c r="CB31" i="2422"/>
  <c r="CC31" i="2422" s="1"/>
  <c r="KA31" i="2422"/>
  <c r="KB31" i="2422" s="1"/>
  <c r="HG31" i="2422"/>
  <c r="HH31" i="2422" s="1"/>
  <c r="BS31" i="2422"/>
  <c r="BT31" i="2422" s="1"/>
  <c r="JR31" i="2422"/>
  <c r="JS31" i="2422" s="1"/>
  <c r="EM31" i="2422"/>
  <c r="EN31" i="2422" s="1"/>
  <c r="GX31" i="2422"/>
  <c r="GY31" i="2422" s="1"/>
  <c r="ED31" i="2422"/>
  <c r="EE31" i="2422" s="1"/>
  <c r="GO31" i="2422"/>
  <c r="GP31" i="2422" s="1"/>
  <c r="JI31" i="2422"/>
  <c r="JJ31" i="2422" s="1"/>
  <c r="BJ31" i="2422"/>
  <c r="BK31" i="2422" s="1"/>
  <c r="AR31" i="2422"/>
  <c r="AS31" i="2422" s="1"/>
  <c r="DU31" i="2422"/>
  <c r="DV31" i="2422" s="1"/>
  <c r="BA31" i="2422"/>
  <c r="BB31" i="2422" s="1"/>
  <c r="GF31" i="2422"/>
  <c r="GG31" i="2422" s="1"/>
  <c r="DL31" i="2422"/>
  <c r="DM31" i="2422" s="1"/>
  <c r="IZ31" i="2422"/>
  <c r="JA31" i="2422" s="1"/>
  <c r="AI73" i="2422"/>
  <c r="IQ73" i="2422"/>
  <c r="IR73" i="2422" s="1"/>
  <c r="IH73" i="2422"/>
  <c r="II73" i="2422" s="1"/>
  <c r="DC73" i="2422"/>
  <c r="DD73" i="2422" s="1"/>
  <c r="FW73" i="2422"/>
  <c r="FX73" i="2422" s="1"/>
  <c r="HY73" i="2422"/>
  <c r="HZ73" i="2422" s="1"/>
  <c r="FN73" i="2422"/>
  <c r="FO73" i="2422" s="1"/>
  <c r="CT73" i="2422"/>
  <c r="CU73" i="2422" s="1"/>
  <c r="CK73" i="2422"/>
  <c r="CL73" i="2422" s="1"/>
  <c r="HP73" i="2422"/>
  <c r="HQ73" i="2422" s="1"/>
  <c r="EV73" i="2422"/>
  <c r="EW73" i="2422" s="1"/>
  <c r="FE73" i="2422"/>
  <c r="FF73" i="2422" s="1"/>
  <c r="HG73" i="2422"/>
  <c r="HH73" i="2422" s="1"/>
  <c r="KA73" i="2422"/>
  <c r="KB73" i="2422" s="1"/>
  <c r="CB73" i="2422"/>
  <c r="CC73" i="2422" s="1"/>
  <c r="EM73" i="2422"/>
  <c r="EN73" i="2422" s="1"/>
  <c r="JR73" i="2422"/>
  <c r="JS73" i="2422" s="1"/>
  <c r="GX73" i="2422"/>
  <c r="GY73" i="2422" s="1"/>
  <c r="BS73" i="2422"/>
  <c r="BT73" i="2422" s="1"/>
  <c r="JI73" i="2422"/>
  <c r="JJ73" i="2422" s="1"/>
  <c r="BJ73" i="2422"/>
  <c r="BK73" i="2422" s="1"/>
  <c r="ED73" i="2422"/>
  <c r="EE73" i="2422" s="1"/>
  <c r="AR73" i="2422"/>
  <c r="AS73" i="2422" s="1"/>
  <c r="DU73" i="2422"/>
  <c r="DV73" i="2422" s="1"/>
  <c r="BA73" i="2422"/>
  <c r="BB73" i="2422" s="1"/>
  <c r="GO73" i="2422"/>
  <c r="GP73" i="2422" s="1"/>
  <c r="GF73" i="2422"/>
  <c r="GG73" i="2422" s="1"/>
  <c r="DL73" i="2422"/>
  <c r="DM73" i="2422" s="1"/>
  <c r="IZ73" i="2422"/>
  <c r="JA73" i="2422" s="1"/>
  <c r="DC20" i="2422"/>
  <c r="DD20" i="2422" s="1"/>
  <c r="IQ20" i="2422"/>
  <c r="IR20" i="2422" s="1"/>
  <c r="FW20" i="2422"/>
  <c r="FX20" i="2422" s="1"/>
  <c r="AI20" i="2422"/>
  <c r="HY20" i="2422"/>
  <c r="HZ20" i="2422" s="1"/>
  <c r="IH20" i="2422"/>
  <c r="II20" i="2422" s="1"/>
  <c r="FN20" i="2422"/>
  <c r="FO20" i="2422" s="1"/>
  <c r="CT20" i="2422"/>
  <c r="CU20" i="2422" s="1"/>
  <c r="FE20" i="2422"/>
  <c r="FF20" i="2422" s="1"/>
  <c r="EV20" i="2422"/>
  <c r="EW20" i="2422" s="1"/>
  <c r="CK20" i="2422"/>
  <c r="CL20" i="2422" s="1"/>
  <c r="HP20" i="2422"/>
  <c r="HQ20" i="2422" s="1"/>
  <c r="KA20" i="2422"/>
  <c r="KB20" i="2422" s="1"/>
  <c r="CB20" i="2422"/>
  <c r="CC20" i="2422" s="1"/>
  <c r="HG20" i="2422"/>
  <c r="HH20" i="2422" s="1"/>
  <c r="JR20" i="2422"/>
  <c r="JS20" i="2422" s="1"/>
  <c r="EM20" i="2422"/>
  <c r="EN20" i="2422" s="1"/>
  <c r="BS20" i="2422"/>
  <c r="BT20" i="2422" s="1"/>
  <c r="GX20" i="2422"/>
  <c r="GY20" i="2422" s="1"/>
  <c r="JI20" i="2422"/>
  <c r="JJ20" i="2422" s="1"/>
  <c r="BJ20" i="2422"/>
  <c r="BK20" i="2422" s="1"/>
  <c r="ED20" i="2422"/>
  <c r="EE20" i="2422" s="1"/>
  <c r="GO20" i="2422"/>
  <c r="GP20" i="2422" s="1"/>
  <c r="DU20" i="2422"/>
  <c r="DV20" i="2422" s="1"/>
  <c r="BA20" i="2422"/>
  <c r="BB20" i="2422" s="1"/>
  <c r="AR20" i="2422"/>
  <c r="AS20" i="2422" s="1"/>
  <c r="IZ20" i="2422"/>
  <c r="JA20" i="2422" s="1"/>
  <c r="GF20" i="2422"/>
  <c r="GG20" i="2422" s="1"/>
  <c r="DL20" i="2422"/>
  <c r="DM20" i="2422" s="1"/>
  <c r="AI62" i="2422"/>
  <c r="FW62" i="2422"/>
  <c r="FX62" i="2422" s="1"/>
  <c r="IQ62" i="2422"/>
  <c r="IR62" i="2422" s="1"/>
  <c r="DC62" i="2422"/>
  <c r="DD62" i="2422" s="1"/>
  <c r="CT62" i="2422"/>
  <c r="CU62" i="2422" s="1"/>
  <c r="HY62" i="2422"/>
  <c r="HZ62" i="2422" s="1"/>
  <c r="FN62" i="2422"/>
  <c r="FO62" i="2422" s="1"/>
  <c r="IH62" i="2422"/>
  <c r="II62" i="2422" s="1"/>
  <c r="CK62" i="2422"/>
  <c r="CL62" i="2422" s="1"/>
  <c r="EV62" i="2422"/>
  <c r="EW62" i="2422" s="1"/>
  <c r="FE62" i="2422"/>
  <c r="FF62" i="2422" s="1"/>
  <c r="HP62" i="2422"/>
  <c r="HQ62" i="2422" s="1"/>
  <c r="CB62" i="2422"/>
  <c r="CC62" i="2422" s="1"/>
  <c r="KA62" i="2422"/>
  <c r="KB62" i="2422" s="1"/>
  <c r="HG62" i="2422"/>
  <c r="HH62" i="2422" s="1"/>
  <c r="BS62" i="2422"/>
  <c r="BT62" i="2422" s="1"/>
  <c r="EM62" i="2422"/>
  <c r="EN62" i="2422" s="1"/>
  <c r="JR62" i="2422"/>
  <c r="JS62" i="2422" s="1"/>
  <c r="GX62" i="2422"/>
  <c r="GY62" i="2422" s="1"/>
  <c r="JI62" i="2422"/>
  <c r="JJ62" i="2422" s="1"/>
  <c r="ED62" i="2422"/>
  <c r="EE62" i="2422" s="1"/>
  <c r="BJ62" i="2422"/>
  <c r="BK62" i="2422" s="1"/>
  <c r="GO62" i="2422"/>
  <c r="GP62" i="2422" s="1"/>
  <c r="DU62" i="2422"/>
  <c r="DV62" i="2422" s="1"/>
  <c r="BA62" i="2422"/>
  <c r="BB62" i="2422" s="1"/>
  <c r="AR62" i="2422"/>
  <c r="AS62" i="2422" s="1"/>
  <c r="IZ62" i="2422"/>
  <c r="JA62" i="2422" s="1"/>
  <c r="GF62" i="2422"/>
  <c r="GG62" i="2422" s="1"/>
  <c r="DL62" i="2422"/>
  <c r="DM62" i="2422" s="1"/>
  <c r="AI104" i="2422"/>
  <c r="DC104" i="2422"/>
  <c r="DD104" i="2422" s="1"/>
  <c r="FW104" i="2422"/>
  <c r="FX104" i="2422" s="1"/>
  <c r="IQ104" i="2422"/>
  <c r="IR104" i="2422" s="1"/>
  <c r="CT104" i="2422"/>
  <c r="CU104" i="2422" s="1"/>
  <c r="IH104" i="2422"/>
  <c r="II104" i="2422" s="1"/>
  <c r="FN104" i="2422"/>
  <c r="FO104" i="2422" s="1"/>
  <c r="HY104" i="2422"/>
  <c r="HZ104" i="2422" s="1"/>
  <c r="CK104" i="2422"/>
  <c r="CL104" i="2422" s="1"/>
  <c r="HP104" i="2422"/>
  <c r="HQ104" i="2422" s="1"/>
  <c r="FE104" i="2422"/>
  <c r="FF104" i="2422" s="1"/>
  <c r="EV104" i="2422"/>
  <c r="EW104" i="2422" s="1"/>
  <c r="HG104" i="2422"/>
  <c r="HH104" i="2422" s="1"/>
  <c r="CB104" i="2422"/>
  <c r="CC104" i="2422" s="1"/>
  <c r="KA104" i="2422"/>
  <c r="KB104" i="2422" s="1"/>
  <c r="EM104" i="2422"/>
  <c r="EN104" i="2422" s="1"/>
  <c r="JR104" i="2422"/>
  <c r="JS104" i="2422" s="1"/>
  <c r="BS104" i="2422"/>
  <c r="BT104" i="2422" s="1"/>
  <c r="GX104" i="2422"/>
  <c r="GY104" i="2422" s="1"/>
  <c r="GO104" i="2422"/>
  <c r="GP104" i="2422" s="1"/>
  <c r="JI104" i="2422"/>
  <c r="JJ104" i="2422" s="1"/>
  <c r="ED104" i="2422"/>
  <c r="EE104" i="2422" s="1"/>
  <c r="BJ104" i="2422"/>
  <c r="BK104" i="2422" s="1"/>
  <c r="DU104" i="2422"/>
  <c r="DV104" i="2422" s="1"/>
  <c r="BA104" i="2422"/>
  <c r="BB104" i="2422" s="1"/>
  <c r="AR104" i="2422"/>
  <c r="AS104" i="2422" s="1"/>
  <c r="IZ104" i="2422"/>
  <c r="JA104" i="2422" s="1"/>
  <c r="GF104" i="2422"/>
  <c r="GG104" i="2422" s="1"/>
  <c r="DL104" i="2422"/>
  <c r="DM104" i="2422" s="1"/>
  <c r="FW51" i="2422"/>
  <c r="FX51" i="2422" s="1"/>
  <c r="DC51" i="2422"/>
  <c r="DD51" i="2422" s="1"/>
  <c r="AI51" i="2422"/>
  <c r="IQ51" i="2422"/>
  <c r="IR51" i="2422" s="1"/>
  <c r="IH51" i="2422"/>
  <c r="II51" i="2422" s="1"/>
  <c r="CT51" i="2422"/>
  <c r="CU51" i="2422" s="1"/>
  <c r="HY51" i="2422"/>
  <c r="HZ51" i="2422" s="1"/>
  <c r="FN51" i="2422"/>
  <c r="FO51" i="2422" s="1"/>
  <c r="FE51" i="2422"/>
  <c r="FF51" i="2422" s="1"/>
  <c r="EV51" i="2422"/>
  <c r="EW51" i="2422" s="1"/>
  <c r="HP51" i="2422"/>
  <c r="HQ51" i="2422" s="1"/>
  <c r="KA51" i="2422"/>
  <c r="KB51" i="2422" s="1"/>
  <c r="CK51" i="2422"/>
  <c r="CL51" i="2422" s="1"/>
  <c r="CB51" i="2422"/>
  <c r="CC51" i="2422" s="1"/>
  <c r="HG51" i="2422"/>
  <c r="HH51" i="2422" s="1"/>
  <c r="EM51" i="2422"/>
  <c r="EN51" i="2422" s="1"/>
  <c r="JR51" i="2422"/>
  <c r="JS51" i="2422" s="1"/>
  <c r="GX51" i="2422"/>
  <c r="GY51" i="2422" s="1"/>
  <c r="BS51" i="2422"/>
  <c r="BT51" i="2422" s="1"/>
  <c r="JI51" i="2422"/>
  <c r="JJ51" i="2422" s="1"/>
  <c r="GO51" i="2422"/>
  <c r="GP51" i="2422" s="1"/>
  <c r="BJ51" i="2422"/>
  <c r="BK51" i="2422" s="1"/>
  <c r="ED51" i="2422"/>
  <c r="EE51" i="2422" s="1"/>
  <c r="DU51" i="2422"/>
  <c r="DV51" i="2422" s="1"/>
  <c r="BA51" i="2422"/>
  <c r="BB51" i="2422" s="1"/>
  <c r="IZ51" i="2422"/>
  <c r="JA51" i="2422" s="1"/>
  <c r="AR51" i="2422"/>
  <c r="AS51" i="2422" s="1"/>
  <c r="GF51" i="2422"/>
  <c r="GG51" i="2422" s="1"/>
  <c r="DL51" i="2422"/>
  <c r="DM51" i="2422" s="1"/>
  <c r="IQ93" i="2422"/>
  <c r="IR93" i="2422" s="1"/>
  <c r="FW93" i="2422"/>
  <c r="FX93" i="2422" s="1"/>
  <c r="AI93" i="2422"/>
  <c r="DC93" i="2422"/>
  <c r="DD93" i="2422" s="1"/>
  <c r="FN93" i="2422"/>
  <c r="FO93" i="2422" s="1"/>
  <c r="HY93" i="2422"/>
  <c r="HZ93" i="2422" s="1"/>
  <c r="IH93" i="2422"/>
  <c r="II93" i="2422" s="1"/>
  <c r="CT93" i="2422"/>
  <c r="CU93" i="2422" s="1"/>
  <c r="FE93" i="2422"/>
  <c r="FF93" i="2422" s="1"/>
  <c r="EV93" i="2422"/>
  <c r="EW93" i="2422" s="1"/>
  <c r="HP93" i="2422"/>
  <c r="HQ93" i="2422" s="1"/>
  <c r="KA93" i="2422"/>
  <c r="KB93" i="2422" s="1"/>
  <c r="CK93" i="2422"/>
  <c r="CL93" i="2422" s="1"/>
  <c r="HG93" i="2422"/>
  <c r="HH93" i="2422" s="1"/>
  <c r="CB93" i="2422"/>
  <c r="CC93" i="2422" s="1"/>
  <c r="GX93" i="2422"/>
  <c r="GY93" i="2422" s="1"/>
  <c r="ED93" i="2422"/>
  <c r="EE93" i="2422" s="1"/>
  <c r="JR93" i="2422"/>
  <c r="JS93" i="2422" s="1"/>
  <c r="EM93" i="2422"/>
  <c r="EN93" i="2422" s="1"/>
  <c r="BS93" i="2422"/>
  <c r="BT93" i="2422" s="1"/>
  <c r="DU93" i="2422"/>
  <c r="DV93" i="2422" s="1"/>
  <c r="BJ93" i="2422"/>
  <c r="BK93" i="2422" s="1"/>
  <c r="JI93" i="2422"/>
  <c r="JJ93" i="2422" s="1"/>
  <c r="GO93" i="2422"/>
  <c r="GP93" i="2422" s="1"/>
  <c r="BA93" i="2422"/>
  <c r="BB93" i="2422" s="1"/>
  <c r="AR93" i="2422"/>
  <c r="AS93" i="2422" s="1"/>
  <c r="IZ93" i="2422"/>
  <c r="JA93" i="2422" s="1"/>
  <c r="GF93" i="2422"/>
  <c r="GG93" i="2422" s="1"/>
  <c r="DL93" i="2422"/>
  <c r="DM93" i="2422" s="1"/>
  <c r="IQ40" i="2422"/>
  <c r="IR40" i="2422" s="1"/>
  <c r="AI40" i="2422"/>
  <c r="DC40" i="2422"/>
  <c r="DD40" i="2422" s="1"/>
  <c r="FW40" i="2422"/>
  <c r="FX40" i="2422" s="1"/>
  <c r="FN40" i="2422"/>
  <c r="FO40" i="2422" s="1"/>
  <c r="CT40" i="2422"/>
  <c r="CU40" i="2422" s="1"/>
  <c r="IH40" i="2422"/>
  <c r="II40" i="2422" s="1"/>
  <c r="HY40" i="2422"/>
  <c r="HZ40" i="2422" s="1"/>
  <c r="CK40" i="2422"/>
  <c r="CL40" i="2422" s="1"/>
  <c r="FE40" i="2422"/>
  <c r="FF40" i="2422" s="1"/>
  <c r="HP40" i="2422"/>
  <c r="HQ40" i="2422" s="1"/>
  <c r="EV40" i="2422"/>
  <c r="EW40" i="2422" s="1"/>
  <c r="CB40" i="2422"/>
  <c r="CC40" i="2422" s="1"/>
  <c r="HG40" i="2422"/>
  <c r="HH40" i="2422" s="1"/>
  <c r="KA40" i="2422"/>
  <c r="KB40" i="2422" s="1"/>
  <c r="JR40" i="2422"/>
  <c r="JS40" i="2422" s="1"/>
  <c r="EM40" i="2422"/>
  <c r="EN40" i="2422" s="1"/>
  <c r="BS40" i="2422"/>
  <c r="BT40" i="2422" s="1"/>
  <c r="GX40" i="2422"/>
  <c r="GY40" i="2422" s="1"/>
  <c r="ED40" i="2422"/>
  <c r="EE40" i="2422" s="1"/>
  <c r="GO40" i="2422"/>
  <c r="GP40" i="2422" s="1"/>
  <c r="BJ40" i="2422"/>
  <c r="BK40" i="2422" s="1"/>
  <c r="IZ40" i="2422"/>
  <c r="JA40" i="2422" s="1"/>
  <c r="BA40" i="2422"/>
  <c r="BB40" i="2422" s="1"/>
  <c r="DU40" i="2422"/>
  <c r="DV40" i="2422" s="1"/>
  <c r="JI40" i="2422"/>
  <c r="JJ40" i="2422" s="1"/>
  <c r="AR40" i="2422"/>
  <c r="AS40" i="2422" s="1"/>
  <c r="GF40" i="2422"/>
  <c r="GG40" i="2422" s="1"/>
  <c r="DL40" i="2422"/>
  <c r="DM40" i="2422" s="1"/>
  <c r="IQ82" i="2422"/>
  <c r="IR82" i="2422" s="1"/>
  <c r="AI82" i="2422"/>
  <c r="FW82" i="2422"/>
  <c r="FX82" i="2422" s="1"/>
  <c r="DC82" i="2422"/>
  <c r="DD82" i="2422" s="1"/>
  <c r="IH82" i="2422"/>
  <c r="II82" i="2422" s="1"/>
  <c r="HY82" i="2422"/>
  <c r="HZ82" i="2422" s="1"/>
  <c r="CT82" i="2422"/>
  <c r="CU82" i="2422" s="1"/>
  <c r="FN82" i="2422"/>
  <c r="FO82" i="2422" s="1"/>
  <c r="CK82" i="2422"/>
  <c r="CL82" i="2422" s="1"/>
  <c r="FE82" i="2422"/>
  <c r="FF82" i="2422" s="1"/>
  <c r="KA82" i="2422"/>
  <c r="KB82" i="2422" s="1"/>
  <c r="HP82" i="2422"/>
  <c r="HQ82" i="2422" s="1"/>
  <c r="EV82" i="2422"/>
  <c r="EW82" i="2422" s="1"/>
  <c r="CB82" i="2422"/>
  <c r="CC82" i="2422" s="1"/>
  <c r="HG82" i="2422"/>
  <c r="HH82" i="2422" s="1"/>
  <c r="EM82" i="2422"/>
  <c r="EN82" i="2422" s="1"/>
  <c r="BS82" i="2422"/>
  <c r="BT82" i="2422" s="1"/>
  <c r="GX82" i="2422"/>
  <c r="GY82" i="2422" s="1"/>
  <c r="ED82" i="2422"/>
  <c r="EE82" i="2422" s="1"/>
  <c r="JR82" i="2422"/>
  <c r="JS82" i="2422" s="1"/>
  <c r="JI82" i="2422"/>
  <c r="JJ82" i="2422" s="1"/>
  <c r="BJ82" i="2422"/>
  <c r="BK82" i="2422" s="1"/>
  <c r="AR82" i="2422"/>
  <c r="AS82" i="2422" s="1"/>
  <c r="IZ82" i="2422"/>
  <c r="JA82" i="2422" s="1"/>
  <c r="BA82" i="2422"/>
  <c r="BB82" i="2422" s="1"/>
  <c r="GO82" i="2422"/>
  <c r="GP82" i="2422" s="1"/>
  <c r="DU82" i="2422"/>
  <c r="DV82" i="2422" s="1"/>
  <c r="GF82" i="2422"/>
  <c r="GG82" i="2422" s="1"/>
  <c r="DL82" i="2422"/>
  <c r="DM82" i="2422" s="1"/>
  <c r="DC29" i="2422"/>
  <c r="DD29" i="2422" s="1"/>
  <c r="IQ29" i="2422"/>
  <c r="IR29" i="2422" s="1"/>
  <c r="AI29" i="2422"/>
  <c r="FW29" i="2422"/>
  <c r="FX29" i="2422" s="1"/>
  <c r="FN29" i="2422"/>
  <c r="FO29" i="2422" s="1"/>
  <c r="HY29" i="2422"/>
  <c r="HZ29" i="2422" s="1"/>
  <c r="IH29" i="2422"/>
  <c r="II29" i="2422" s="1"/>
  <c r="CT29" i="2422"/>
  <c r="CU29" i="2422" s="1"/>
  <c r="FE29" i="2422"/>
  <c r="FF29" i="2422" s="1"/>
  <c r="CK29" i="2422"/>
  <c r="CL29" i="2422" s="1"/>
  <c r="EV29" i="2422"/>
  <c r="EW29" i="2422" s="1"/>
  <c r="HP29" i="2422"/>
  <c r="HQ29" i="2422" s="1"/>
  <c r="KA29" i="2422"/>
  <c r="KB29" i="2422" s="1"/>
  <c r="HG29" i="2422"/>
  <c r="HH29" i="2422" s="1"/>
  <c r="CB29" i="2422"/>
  <c r="CC29" i="2422" s="1"/>
  <c r="GX29" i="2422"/>
  <c r="GY29" i="2422" s="1"/>
  <c r="ED29" i="2422"/>
  <c r="EE29" i="2422" s="1"/>
  <c r="JR29" i="2422"/>
  <c r="JS29" i="2422" s="1"/>
  <c r="EM29" i="2422"/>
  <c r="EN29" i="2422" s="1"/>
  <c r="BS29" i="2422"/>
  <c r="BT29" i="2422" s="1"/>
  <c r="BJ29" i="2422"/>
  <c r="BK29" i="2422" s="1"/>
  <c r="JI29" i="2422"/>
  <c r="JJ29" i="2422" s="1"/>
  <c r="GO29" i="2422"/>
  <c r="GP29" i="2422" s="1"/>
  <c r="IZ29" i="2422"/>
  <c r="JA29" i="2422" s="1"/>
  <c r="DU29" i="2422"/>
  <c r="DV29" i="2422" s="1"/>
  <c r="BA29" i="2422"/>
  <c r="BB29" i="2422" s="1"/>
  <c r="AR29" i="2422"/>
  <c r="AS29" i="2422" s="1"/>
  <c r="GF29" i="2422"/>
  <c r="GG29" i="2422" s="1"/>
  <c r="DL29" i="2422"/>
  <c r="DM29" i="2422" s="1"/>
  <c r="IZ16" i="2422"/>
  <c r="JA16" i="2422" s="1"/>
  <c r="BJ16" i="2422"/>
  <c r="BK16" i="2422" s="1"/>
  <c r="FE16" i="2422"/>
  <c r="FF16" i="2422" s="1"/>
  <c r="IQ16" i="2422"/>
  <c r="IR16" i="2422" s="1"/>
  <c r="HG16" i="2422"/>
  <c r="HH16" i="2422" s="1"/>
  <c r="JI16" i="2422"/>
  <c r="JJ16" i="2422" s="1"/>
  <c r="DC16" i="2422"/>
  <c r="DD16" i="2422" s="1"/>
  <c r="HP16" i="2422"/>
  <c r="HQ16" i="2422" s="1"/>
  <c r="DU16" i="2422"/>
  <c r="DV16" i="2422" s="1"/>
  <c r="HY16" i="2422"/>
  <c r="HZ16" i="2422" s="1"/>
  <c r="BS16" i="2422"/>
  <c r="BT16" i="2422" s="1"/>
  <c r="ED16" i="2422"/>
  <c r="EE16" i="2422" s="1"/>
  <c r="KA16" i="2422"/>
  <c r="KB16" i="2422" s="1"/>
  <c r="GF16" i="2422"/>
  <c r="GG16" i="2422" s="1"/>
  <c r="GO16" i="2422"/>
  <c r="GP16" i="2422" s="1"/>
  <c r="CT16" i="2422"/>
  <c r="CU16" i="2422" s="1"/>
  <c r="IH16" i="2422"/>
  <c r="II16" i="2422" s="1"/>
  <c r="BA16" i="2422"/>
  <c r="BB16" i="2422" s="1"/>
  <c r="AR16" i="2422"/>
  <c r="AS16" i="2422" s="1"/>
  <c r="CK16" i="2422"/>
  <c r="CL16" i="2422" s="1"/>
  <c r="FW16" i="2422"/>
  <c r="FX16" i="2422" s="1"/>
  <c r="AI16" i="2422"/>
  <c r="EM16" i="2422"/>
  <c r="EN16" i="2422" s="1"/>
  <c r="GX16" i="2422"/>
  <c r="GY16" i="2422" s="1"/>
  <c r="DL16" i="2422"/>
  <c r="DM16" i="2422" s="1"/>
  <c r="JR16" i="2422"/>
  <c r="JS16" i="2422" s="1"/>
  <c r="EV16" i="2422"/>
  <c r="EW16" i="2422" s="1"/>
  <c r="CB16" i="2422"/>
  <c r="CC16" i="2422" s="1"/>
  <c r="FN16" i="2422"/>
  <c r="FO16" i="2422" s="1"/>
  <c r="CB17" i="2422"/>
  <c r="CC17" i="2422" s="1"/>
  <c r="FE17" i="2422"/>
  <c r="FF17" i="2422" s="1"/>
  <c r="EM17" i="2422"/>
  <c r="EN17" i="2422" s="1"/>
  <c r="DU17" i="2422"/>
  <c r="DV17" i="2422" s="1"/>
  <c r="BJ17" i="2422"/>
  <c r="BK17" i="2422" s="1"/>
  <c r="DC17" i="2422"/>
  <c r="DD17" i="2422" s="1"/>
  <c r="IQ17" i="2422"/>
  <c r="IR17" i="2422" s="1"/>
  <c r="HY17" i="2422"/>
  <c r="HZ17" i="2422" s="1"/>
  <c r="JI17" i="2422"/>
  <c r="JJ17" i="2422" s="1"/>
  <c r="HP17" i="2422"/>
  <c r="HQ17" i="2422" s="1"/>
  <c r="GF17" i="2422"/>
  <c r="GG17" i="2422" s="1"/>
  <c r="GX17" i="2422"/>
  <c r="GY17" i="2422" s="1"/>
  <c r="ED17" i="2422"/>
  <c r="EE17" i="2422" s="1"/>
  <c r="KA17" i="2422"/>
  <c r="KB17" i="2422" s="1"/>
  <c r="BA17" i="2422"/>
  <c r="BB17" i="2422" s="1"/>
  <c r="EV17" i="2422"/>
  <c r="EW17" i="2422" s="1"/>
  <c r="CT17" i="2422"/>
  <c r="CU17" i="2422" s="1"/>
  <c r="IH17" i="2422"/>
  <c r="II17" i="2422" s="1"/>
  <c r="AI17" i="2422"/>
  <c r="BS17" i="2422"/>
  <c r="BT17" i="2422" s="1"/>
  <c r="CK17" i="2422"/>
  <c r="CL17" i="2422" s="1"/>
  <c r="FW17" i="2422"/>
  <c r="FX17" i="2422" s="1"/>
  <c r="JR17" i="2422"/>
  <c r="JS17" i="2422" s="1"/>
  <c r="AR17" i="2422"/>
  <c r="AS17" i="2422" s="1"/>
  <c r="IZ17" i="2422"/>
  <c r="JA17" i="2422" s="1"/>
  <c r="DL17" i="2422"/>
  <c r="DM17" i="2422" s="1"/>
  <c r="FN17" i="2422"/>
  <c r="FO17" i="2422" s="1"/>
  <c r="GO17" i="2422"/>
  <c r="GP17" i="2422" s="1"/>
  <c r="HG17" i="2422"/>
  <c r="HH17" i="2422" s="1"/>
  <c r="C378" i="2396"/>
  <c r="BG2" i="2396" s="1"/>
  <c r="V47" i="2421"/>
  <c r="V100" i="2421"/>
  <c r="V79" i="2421"/>
  <c r="V35" i="2421"/>
  <c r="V92" i="2421"/>
  <c r="V76" i="2421"/>
  <c r="V70" i="2421"/>
  <c r="V64" i="2421"/>
  <c r="V69" i="2421"/>
  <c r="Z76" i="2422"/>
  <c r="Z18" i="2422"/>
  <c r="V26" i="2421"/>
  <c r="V84" i="2421"/>
  <c r="V105" i="2421"/>
  <c r="V110" i="2421"/>
  <c r="V57" i="2421"/>
  <c r="V20" i="2421"/>
  <c r="V41" i="2421"/>
  <c r="V46" i="2421"/>
  <c r="V56" i="2421"/>
  <c r="V66" i="2421"/>
  <c r="V97" i="2421"/>
  <c r="V49" i="2421"/>
  <c r="V33" i="2421"/>
  <c r="V91" i="2421"/>
  <c r="V54" i="2421"/>
  <c r="Z81" i="2422"/>
  <c r="V74" i="2421"/>
  <c r="V63" i="2421"/>
  <c r="V68" i="2421"/>
  <c r="V99" i="2421"/>
  <c r="V25" i="2421"/>
  <c r="V83" i="2421"/>
  <c r="V19" i="2421"/>
  <c r="V24" i="2421"/>
  <c r="V87" i="2421"/>
  <c r="V39" i="2421"/>
  <c r="V102" i="2421"/>
  <c r="V38" i="2421"/>
  <c r="V80" i="2421"/>
  <c r="V27" i="2421"/>
  <c r="V53" i="2421"/>
  <c r="Z39" i="2422"/>
  <c r="Z44" i="2422"/>
  <c r="V21" i="2421"/>
  <c r="V58" i="2421"/>
  <c r="V89" i="2421"/>
  <c r="Z108" i="2422"/>
  <c r="Z34" i="2422"/>
  <c r="Z55" i="2422"/>
  <c r="Z60" i="2422"/>
  <c r="Z86" i="2422"/>
  <c r="Z70" i="2422"/>
  <c r="Z54" i="2422"/>
  <c r="Z75" i="2422"/>
  <c r="Z96" i="2422"/>
  <c r="Z59" i="2422"/>
  <c r="Z101" i="2422"/>
  <c r="Z69" i="2422"/>
  <c r="Z53" i="2422"/>
  <c r="Z74" i="2422"/>
  <c r="Z84" i="2422"/>
  <c r="Z89" i="2422"/>
  <c r="Z52" i="2422"/>
  <c r="Z110" i="2422"/>
  <c r="Z20" i="2422"/>
  <c r="Z78" i="2422"/>
  <c r="Z41" i="2422"/>
  <c r="Z62" i="2422"/>
  <c r="Z46" i="2422"/>
  <c r="Z88" i="2422"/>
  <c r="Z72" i="2422"/>
  <c r="Z35" i="2422"/>
  <c r="Z93" i="2422"/>
  <c r="Z19" i="2422"/>
  <c r="Z24" i="2422"/>
  <c r="Z103" i="2422"/>
  <c r="Z66" i="2422"/>
  <c r="Z50" i="2422"/>
  <c r="Z97" i="2422"/>
  <c r="V95" i="2421"/>
  <c r="V111" i="2421"/>
  <c r="Z92" i="2422"/>
  <c r="V42" i="2421"/>
  <c r="Z107" i="2422"/>
  <c r="V104" i="2421"/>
  <c r="Z64" i="2422"/>
  <c r="V30" i="2421"/>
  <c r="Z27" i="2422"/>
  <c r="V109" i="2421"/>
  <c r="Z106" i="2422"/>
  <c r="V72" i="2421"/>
  <c r="Z32" i="2422"/>
  <c r="Z16" i="2422"/>
  <c r="Z100" i="2422"/>
  <c r="V55" i="2421"/>
  <c r="Z73" i="2422"/>
  <c r="Z94" i="2422"/>
  <c r="V60" i="2421"/>
  <c r="V23" i="2421"/>
  <c r="V81" i="2421"/>
  <c r="Z99" i="2422"/>
  <c r="Z104" i="2422"/>
  <c r="Z109" i="2422"/>
  <c r="Z56" i="2422"/>
  <c r="Z77" i="2422"/>
  <c r="Z40" i="2422"/>
  <c r="Z61" i="2422"/>
  <c r="Z45" i="2422"/>
  <c r="Z29" i="2422"/>
  <c r="Z87" i="2422"/>
  <c r="Z23" i="2422"/>
  <c r="Z65" i="2422"/>
  <c r="Z28" i="2422"/>
  <c r="V52" i="2421"/>
  <c r="Z33" i="2422"/>
  <c r="Z91" i="2422"/>
  <c r="Z22" i="2422"/>
  <c r="Z80" i="2422"/>
  <c r="V67" i="2421"/>
  <c r="Z85" i="2422"/>
  <c r="Z90" i="2422"/>
  <c r="Z95" i="2422"/>
  <c r="Z21" i="2422"/>
  <c r="Z79" i="2422"/>
  <c r="V45" i="2421"/>
  <c r="V29" i="2421"/>
  <c r="Z26" i="2422"/>
  <c r="V50" i="2421"/>
  <c r="Z68" i="2422"/>
  <c r="Z25" i="2422"/>
  <c r="Z83" i="2422"/>
  <c r="Z67" i="2422"/>
  <c r="Z30" i="2422"/>
  <c r="V75" i="2421"/>
  <c r="V101" i="2421"/>
  <c r="V85" i="2421"/>
  <c r="Z82" i="2422"/>
  <c r="V48" i="2421"/>
  <c r="V106" i="2421"/>
  <c r="V32" i="2421"/>
  <c r="Z71" i="2422"/>
  <c r="Z102" i="2422"/>
  <c r="V31" i="2421"/>
  <c r="Z49" i="2422"/>
  <c r="V73" i="2421"/>
  <c r="V94" i="2421"/>
  <c r="Z17" i="2422"/>
  <c r="Z38" i="2422"/>
  <c r="V62" i="2421"/>
  <c r="Z43" i="2422"/>
  <c r="V51" i="2421"/>
  <c r="Z48" i="2422"/>
  <c r="V93" i="2421"/>
  <c r="V77" i="2421"/>
  <c r="Z37" i="2422"/>
  <c r="V98" i="2421"/>
  <c r="Z58" i="2422"/>
  <c r="V82" i="2421"/>
  <c r="Z42" i="2422"/>
  <c r="V103" i="2421"/>
  <c r="Z63" i="2422"/>
  <c r="Z47" i="2422"/>
  <c r="V108" i="2421"/>
  <c r="Z105" i="2422"/>
  <c r="V34" i="2421"/>
  <c r="Z31" i="2422"/>
  <c r="Z36" i="2422"/>
  <c r="Z57" i="2422"/>
  <c r="V44" i="2421"/>
  <c r="V28" i="2421"/>
  <c r="V86" i="2421"/>
  <c r="Z51" i="2422"/>
  <c r="V96" i="2421"/>
  <c r="V22" i="2421"/>
  <c r="Z98" i="2422"/>
  <c r="V37" i="2421"/>
  <c r="V36" i="2421"/>
  <c r="V78" i="2421"/>
  <c r="V88" i="2421"/>
  <c r="V40" i="2421"/>
  <c r="V61" i="2421"/>
  <c r="V71" i="2421"/>
  <c r="V113" i="2421"/>
  <c r="V65" i="2421"/>
  <c r="V107" i="2421"/>
  <c r="V112" i="2421"/>
  <c r="V59" i="2421"/>
  <c r="V43" i="2421"/>
  <c r="V90" i="2421"/>
  <c r="C9" i="2342"/>
  <c r="RT107" i="2421" l="1"/>
  <c r="RT61" i="2421"/>
  <c r="RT36" i="2421"/>
  <c r="RT96" i="2421"/>
  <c r="RT44" i="2421"/>
  <c r="RT34" i="2421"/>
  <c r="RT93" i="2421"/>
  <c r="RT62" i="2421"/>
  <c r="RT73" i="2421"/>
  <c r="RT45" i="2421"/>
  <c r="RT109" i="2421"/>
  <c r="RT104" i="2421"/>
  <c r="RT111" i="2421"/>
  <c r="RT58" i="2421"/>
  <c r="RT53" i="2421"/>
  <c r="RT102" i="2421"/>
  <c r="RT19" i="2421"/>
  <c r="RT68" i="2421"/>
  <c r="RT54" i="2421"/>
  <c r="RT97" i="2421"/>
  <c r="RT41" i="2421"/>
  <c r="RT105" i="2421"/>
  <c r="RT76" i="2421"/>
  <c r="RT100" i="2421"/>
  <c r="RT90" i="2421"/>
  <c r="RT43" i="2421"/>
  <c r="RT65" i="2421"/>
  <c r="RT40" i="2421"/>
  <c r="RT37" i="2421"/>
  <c r="RT103" i="2421"/>
  <c r="RT98" i="2421"/>
  <c r="RT32" i="2421"/>
  <c r="RT85" i="2421"/>
  <c r="RT50" i="2421"/>
  <c r="RT81" i="2421"/>
  <c r="RT95" i="2421"/>
  <c r="RT21" i="2421"/>
  <c r="RT27" i="2421"/>
  <c r="RT39" i="2421"/>
  <c r="RT83" i="2421"/>
  <c r="RT63" i="2421"/>
  <c r="RT91" i="2421"/>
  <c r="RT66" i="2421"/>
  <c r="RT20" i="2421"/>
  <c r="RT84" i="2421"/>
  <c r="RT69" i="2421"/>
  <c r="RT92" i="2421"/>
  <c r="RT47" i="2421"/>
  <c r="RT59" i="2421"/>
  <c r="RT88" i="2421"/>
  <c r="RT86" i="2421"/>
  <c r="RT108" i="2421"/>
  <c r="RT51" i="2421"/>
  <c r="RT31" i="2421"/>
  <c r="RT106" i="2421"/>
  <c r="RT101" i="2421"/>
  <c r="RT67" i="2421"/>
  <c r="RT23" i="2421"/>
  <c r="RT55" i="2421"/>
  <c r="RT72" i="2421"/>
  <c r="RT30" i="2421"/>
  <c r="RT42" i="2421"/>
  <c r="RT80" i="2421"/>
  <c r="RT87" i="2421"/>
  <c r="RT25" i="2421"/>
  <c r="RT74" i="2421"/>
  <c r="RT33" i="2421"/>
  <c r="RT56" i="2421"/>
  <c r="RT57" i="2421"/>
  <c r="RT26" i="2421"/>
  <c r="RT64" i="2421"/>
  <c r="RT35" i="2421"/>
  <c r="RT113" i="2421"/>
  <c r="RT112" i="2421"/>
  <c r="RT71" i="2421"/>
  <c r="RT78" i="2421"/>
  <c r="RT22" i="2421"/>
  <c r="RT28" i="2421"/>
  <c r="RT82" i="2421"/>
  <c r="RT77" i="2421"/>
  <c r="RT94" i="2421"/>
  <c r="RT48" i="2421"/>
  <c r="RT75" i="2421"/>
  <c r="RT29" i="2421"/>
  <c r="RT52" i="2421"/>
  <c r="RT60" i="2421"/>
  <c r="RT89" i="2421"/>
  <c r="RT38" i="2421"/>
  <c r="RT24" i="2421"/>
  <c r="RT99" i="2421"/>
  <c r="RT49" i="2421"/>
  <c r="RT46" i="2421"/>
  <c r="RT110" i="2421"/>
  <c r="RT70" i="2421"/>
  <c r="RT79" i="2421"/>
  <c r="O21" i="2422"/>
  <c r="O33" i="2422"/>
  <c r="O71" i="2422"/>
  <c r="O105" i="2422"/>
  <c r="O98" i="2422"/>
  <c r="O51" i="2422"/>
  <c r="O36" i="2422"/>
  <c r="O40" i="2422"/>
  <c r="O64" i="2422"/>
  <c r="O92" i="2422"/>
  <c r="O20" i="2422"/>
  <c r="O84" i="2422"/>
  <c r="O86" i="2422"/>
  <c r="O18" i="2422"/>
  <c r="O17" i="2422"/>
  <c r="O22" i="2422"/>
  <c r="O73" i="2422"/>
  <c r="O100" i="2422"/>
  <c r="O24" i="2422"/>
  <c r="O19" i="2422"/>
  <c r="O93" i="2422"/>
  <c r="O72" i="2422"/>
  <c r="O60" i="2422"/>
  <c r="O48" i="2422"/>
  <c r="O83" i="2422"/>
  <c r="O90" i="2422"/>
  <c r="O65" i="2422"/>
  <c r="O87" i="2422"/>
  <c r="O56" i="2422"/>
  <c r="O66" i="2422"/>
  <c r="O96" i="2422"/>
  <c r="O54" i="2422"/>
  <c r="O55" i="2422"/>
  <c r="O44" i="2422"/>
  <c r="O82" i="2422"/>
  <c r="O25" i="2422"/>
  <c r="O79" i="2422"/>
  <c r="O91" i="2422"/>
  <c r="O45" i="2422"/>
  <c r="O61" i="2422"/>
  <c r="O77" i="2422"/>
  <c r="O99" i="2422"/>
  <c r="O16" i="2422"/>
  <c r="O106" i="2422"/>
  <c r="O27" i="2422"/>
  <c r="O74" i="2422"/>
  <c r="O53" i="2422"/>
  <c r="O26" i="2422"/>
  <c r="O23" i="2422"/>
  <c r="O109" i="2422"/>
  <c r="O103" i="2422"/>
  <c r="O62" i="2422"/>
  <c r="O89" i="2422"/>
  <c r="O75" i="2422"/>
  <c r="O70" i="2422"/>
  <c r="O34" i="2422"/>
  <c r="O57" i="2422"/>
  <c r="O63" i="2422"/>
  <c r="O58" i="2422"/>
  <c r="O38" i="2422"/>
  <c r="O102" i="2422"/>
  <c r="O30" i="2422"/>
  <c r="O67" i="2422"/>
  <c r="O29" i="2422"/>
  <c r="O104" i="2422"/>
  <c r="O94" i="2422"/>
  <c r="O50" i="2422"/>
  <c r="O41" i="2422"/>
  <c r="O110" i="2422"/>
  <c r="O59" i="2422"/>
  <c r="O108" i="2422"/>
  <c r="O68" i="2422"/>
  <c r="O107" i="2422"/>
  <c r="O97" i="2422"/>
  <c r="O35" i="2422"/>
  <c r="O78" i="2422"/>
  <c r="O52" i="2422"/>
  <c r="O69" i="2422"/>
  <c r="O101" i="2422"/>
  <c r="O39" i="2422"/>
  <c r="O76" i="2422"/>
  <c r="O47" i="2422"/>
  <c r="O37" i="2422"/>
  <c r="O85" i="2422"/>
  <c r="O80" i="2422"/>
  <c r="O31" i="2422"/>
  <c r="O42" i="2422"/>
  <c r="O43" i="2422"/>
  <c r="O49" i="2422"/>
  <c r="O95" i="2422"/>
  <c r="O28" i="2422"/>
  <c r="O32" i="2422"/>
  <c r="O88" i="2422"/>
  <c r="O46" i="2422"/>
  <c r="O81" i="2422"/>
  <c r="E3" i="2396"/>
  <c r="E4" i="2396"/>
  <c r="E5" i="2396"/>
  <c r="C6" i="2401" l="1"/>
  <c r="C4" i="2390"/>
  <c r="E3" i="2408"/>
  <c r="C5" i="2383"/>
  <c r="C4" i="2383"/>
  <c r="C6" i="2413"/>
  <c r="C5" i="2413"/>
  <c r="D5" i="2380"/>
  <c r="E6" i="2402" l="1"/>
  <c r="M5" i="2380"/>
  <c r="G5" i="2380"/>
  <c r="CN3" i="2408" l="1"/>
  <c r="O5" i="2380"/>
  <c r="D3" i="2406"/>
  <c r="BP3" i="2408"/>
  <c r="I6" i="2402"/>
  <c r="AA3" i="2408"/>
  <c r="E4" i="2390"/>
  <c r="I3" i="2408"/>
  <c r="E3" i="2405"/>
  <c r="C7" i="2401"/>
  <c r="G25" i="2388" l="1"/>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C15" i="2413"/>
  <c r="C16" i="2413"/>
  <c r="C17" i="2413"/>
  <c r="C13" i="2413"/>
  <c r="B14" i="2413"/>
  <c r="B13" i="2383" s="1"/>
  <c r="B15" i="2413"/>
  <c r="B14" i="2383" s="1"/>
  <c r="B16" i="2413"/>
  <c r="B15" i="2383" s="1"/>
  <c r="B17" i="2413"/>
  <c r="B16" i="2383" s="1"/>
  <c r="B13" i="2413"/>
  <c r="B12" i="2383" s="1"/>
  <c r="E13" i="2413" l="1"/>
  <c r="E12" i="2383" s="1"/>
  <c r="E17" i="2413"/>
  <c r="E16" i="2383" s="1"/>
  <c r="H17" i="2413"/>
  <c r="E16" i="2413"/>
  <c r="E15" i="2383" s="1"/>
  <c r="H16" i="2413"/>
  <c r="E15" i="2413"/>
  <c r="E14" i="2383" s="1"/>
  <c r="H15" i="2413"/>
  <c r="E14" i="2413"/>
  <c r="E13" i="2383" s="1"/>
  <c r="H14" i="2413"/>
  <c r="D14" i="2406"/>
  <c r="G14" i="2406" s="1"/>
  <c r="C16" i="2383"/>
  <c r="C15" i="2383"/>
  <c r="D10" i="2406"/>
  <c r="G10" i="2406" s="1"/>
  <c r="C14" i="2383"/>
  <c r="C13" i="2383"/>
  <c r="D13" i="2406"/>
  <c r="G13" i="2406" s="1"/>
  <c r="M12" i="2406"/>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M13" i="2406"/>
  <c r="K3" i="2406"/>
  <c r="O3" i="2408" l="1"/>
  <c r="AH3" i="2408" s="1"/>
  <c r="X3" i="2408"/>
  <c r="CK3" i="2408" l="1"/>
  <c r="BN3" i="2408"/>
  <c r="BU3" i="2408"/>
  <c r="CR3" i="2408"/>
  <c r="F6" i="2407"/>
  <c r="F7" i="2407"/>
  <c r="P4" i="2390" l="1"/>
  <c r="C3" i="2405" l="1"/>
  <c r="C3" i="2406"/>
  <c r="C7" i="2413" l="1"/>
  <c r="C9" i="2401" l="1"/>
  <c r="C8" i="2401"/>
  <c r="C6" i="2383" l="1"/>
  <c r="J5" i="2380" l="1"/>
  <c r="E112" i="2380" l="1"/>
  <c r="E9" i="2380" s="1"/>
  <c r="M23" i="2348" l="1"/>
  <c r="M24" i="2348"/>
  <c r="M25" i="2348"/>
  <c r="M26" i="2348"/>
  <c r="M27" i="2348"/>
  <c r="M22" i="2348"/>
  <c r="R10" i="2342"/>
  <c r="R11" i="2342"/>
  <c r="R12" i="2342"/>
  <c r="R13" i="2342"/>
  <c r="R14" i="2342"/>
  <c r="R15" i="2342"/>
  <c r="R16" i="2342"/>
  <c r="R17" i="2342"/>
  <c r="R18" i="2342"/>
  <c r="R9" i="2342"/>
  <c r="R2" i="2342" s="1"/>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R55" i="2396" s="1"/>
  <c r="BM55" i="2396"/>
  <c r="BI56" i="2396"/>
  <c r="BM56" i="2396"/>
  <c r="BI57" i="2396"/>
  <c r="BM57" i="2396"/>
  <c r="BI58" i="2396"/>
  <c r="BM58" i="2396"/>
  <c r="BI59" i="2396"/>
  <c r="BR59" i="2396" s="1"/>
  <c r="BM59" i="2396"/>
  <c r="BF61"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7" i="2396" l="1"/>
  <c r="BR53" i="2396"/>
  <c r="N381" i="2396" s="1"/>
  <c r="C381" i="2396" s="1"/>
  <c r="C12" i="2342" s="1"/>
  <c r="BR56" i="2396"/>
  <c r="BR52" i="2396"/>
  <c r="C380" i="2396" s="1"/>
  <c r="C11" i="2342" s="1"/>
  <c r="BR51" i="2396"/>
  <c r="BR58" i="2396"/>
  <c r="C386" i="2396" s="1"/>
  <c r="C17" i="2342" s="1"/>
  <c r="BR54" i="2396"/>
  <c r="C382" i="2396" s="1"/>
  <c r="C13" i="2342" s="1"/>
  <c r="BP18" i="2396"/>
  <c r="C387" i="2396"/>
  <c r="C18" i="2342" s="1"/>
  <c r="C385" i="2396"/>
  <c r="C16" i="2342" s="1"/>
  <c r="C384" i="2396"/>
  <c r="C15" i="2342" s="1"/>
  <c r="C383"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X12" i="2342" s="1"/>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9" i="2342" l="1"/>
  <c r="F10" i="2342"/>
  <c r="D10" i="2342" s="1"/>
  <c r="C379" i="2396"/>
  <c r="A9" i="2342"/>
  <c r="A14" i="2342"/>
  <c r="A18" i="2342"/>
  <c r="A15" i="2342"/>
  <c r="A11" i="2342"/>
  <c r="A12" i="2342"/>
  <c r="A16" i="2342"/>
  <c r="A13" i="2342"/>
  <c r="A17" i="2342"/>
  <c r="A10" i="2342" l="1"/>
  <c r="K129" i="2420" a="1"/>
  <c r="K129" i="2420" s="1"/>
  <c r="C10" i="2342"/>
  <c r="DC55" i="2420"/>
  <c r="DC91" i="2420"/>
  <c r="DC16" i="2420"/>
  <c r="DC87" i="2420"/>
  <c r="DC76" i="2420"/>
  <c r="DC97" i="2420"/>
  <c r="DC65" i="2420"/>
  <c r="DC68" i="2420"/>
  <c r="DC43" i="2420"/>
  <c r="DC86" i="2420"/>
  <c r="DC18" i="2420"/>
  <c r="DC13" i="2420"/>
  <c r="DG27" i="2420"/>
  <c r="DG61" i="2420"/>
  <c r="DG82" i="2420"/>
  <c r="DG36" i="2420"/>
  <c r="DG81" i="2420"/>
  <c r="DG104" i="2420"/>
  <c r="DG63" i="2420"/>
  <c r="DG95" i="2420"/>
  <c r="DG85" i="2420"/>
  <c r="DG19" i="2420"/>
  <c r="DG10" i="2420"/>
  <c r="DG30" i="2420"/>
  <c r="DC78" i="2420"/>
  <c r="DC74" i="2420"/>
  <c r="DC46" i="2420"/>
  <c r="DC40" i="2420"/>
  <c r="DC12" i="2420"/>
  <c r="DC102" i="2420"/>
  <c r="DC96" i="2420"/>
  <c r="DC75" i="2420"/>
  <c r="DC90" i="2420"/>
  <c r="DC54" i="2420"/>
  <c r="DC89" i="2420"/>
  <c r="DC52" i="2420"/>
  <c r="DG101" i="2420"/>
  <c r="DG56" i="2420"/>
  <c r="DG99" i="2420"/>
  <c r="DG12" i="2420"/>
  <c r="DG76" i="2420"/>
  <c r="DG48" i="2420"/>
  <c r="DG70" i="2420"/>
  <c r="DG32" i="2420"/>
  <c r="DG103" i="2420"/>
  <c r="DG51" i="2420"/>
  <c r="DG92" i="2420"/>
  <c r="DG88" i="2420"/>
  <c r="DC14" i="2420"/>
  <c r="DC42" i="2420"/>
  <c r="DC101" i="2420"/>
  <c r="DC73" i="2420"/>
  <c r="DC83" i="2420"/>
  <c r="DC38" i="2420"/>
  <c r="DC64" i="2420"/>
  <c r="DC32" i="2420"/>
  <c r="DC26" i="2420"/>
  <c r="DC103" i="2420"/>
  <c r="DC57" i="2420"/>
  <c r="DC67" i="2420"/>
  <c r="DG50" i="2420"/>
  <c r="DG57" i="2420"/>
  <c r="DG54" i="2420"/>
  <c r="DG87" i="2420"/>
  <c r="DG14" i="2420"/>
  <c r="DG80" i="2420"/>
  <c r="DG91" i="2420"/>
  <c r="DG41" i="2420"/>
  <c r="DG42" i="2420"/>
  <c r="DG17" i="2420"/>
  <c r="DG47" i="2420"/>
  <c r="DG43" i="2420"/>
  <c r="DC79" i="2420"/>
  <c r="DC10" i="2420"/>
  <c r="DC37" i="2420"/>
  <c r="DC58" i="2420"/>
  <c r="DC51" i="2420"/>
  <c r="DC93" i="2420"/>
  <c r="DC36" i="2420"/>
  <c r="DC94" i="2420"/>
  <c r="DC95" i="2420"/>
  <c r="DC60" i="2420"/>
  <c r="DC56" i="2420"/>
  <c r="DC50" i="2420"/>
  <c r="DG77" i="2420"/>
  <c r="DG89" i="2420"/>
  <c r="DG45" i="2420"/>
  <c r="DG62" i="2420"/>
  <c r="DG59" i="2420"/>
  <c r="DG94" i="2420"/>
  <c r="DG78" i="2420"/>
  <c r="DG49" i="2420"/>
  <c r="DG84" i="2420"/>
  <c r="DG23" i="2420"/>
  <c r="DG71" i="2420"/>
  <c r="DG68" i="2420"/>
  <c r="DC69" i="2420"/>
  <c r="DC81" i="2420"/>
  <c r="DC44" i="2420"/>
  <c r="DC70" i="2420"/>
  <c r="DC19" i="2420"/>
  <c r="DC29" i="2420"/>
  <c r="DC11" i="2420"/>
  <c r="DC62" i="2420"/>
  <c r="DC25" i="2420"/>
  <c r="DC28" i="2420"/>
  <c r="DC104" i="2420"/>
  <c r="DC39" i="2420"/>
  <c r="DG11" i="2420"/>
  <c r="DG93" i="2420"/>
  <c r="DG22" i="2420"/>
  <c r="DG98" i="2420"/>
  <c r="DG20" i="2420"/>
  <c r="DG35" i="2420"/>
  <c r="DG37" i="2420"/>
  <c r="DG26" i="2420"/>
  <c r="DG40" i="2420"/>
  <c r="DG15" i="2420"/>
  <c r="DG24" i="2420"/>
  <c r="DG38" i="2420"/>
  <c r="DC84" i="2420"/>
  <c r="DC49" i="2420"/>
  <c r="DC31" i="2420"/>
  <c r="DC47" i="2420"/>
  <c r="DC15" i="2420"/>
  <c r="DC100" i="2420"/>
  <c r="DC33" i="2420"/>
  <c r="DC85" i="2420"/>
  <c r="DC88" i="2420"/>
  <c r="DC99" i="2420"/>
  <c r="DC22" i="2420"/>
  <c r="DC48" i="2420"/>
  <c r="DG72" i="2420"/>
  <c r="DG83" i="2420"/>
  <c r="DG58" i="2420"/>
  <c r="DG33" i="2420"/>
  <c r="DG39" i="2420"/>
  <c r="DG31" i="2420"/>
  <c r="DG18" i="2420"/>
  <c r="DG66" i="2420"/>
  <c r="DG86" i="2420"/>
  <c r="DG25" i="2420"/>
  <c r="DG28" i="2420"/>
  <c r="DG102" i="2420"/>
  <c r="DC20" i="2420"/>
  <c r="DC17" i="2420"/>
  <c r="DC59" i="2420"/>
  <c r="DC61" i="2420"/>
  <c r="DC34" i="2420"/>
  <c r="DC98" i="2420"/>
  <c r="DC30" i="2420"/>
  <c r="DC53" i="2420"/>
  <c r="DC24" i="2420"/>
  <c r="DC35" i="2420"/>
  <c r="DC77" i="2420"/>
  <c r="DC72" i="2420"/>
  <c r="DG73" i="2420"/>
  <c r="DG74" i="2420"/>
  <c r="DG64" i="2420"/>
  <c r="DG46" i="2420"/>
  <c r="DG75" i="2420"/>
  <c r="DG67" i="2420"/>
  <c r="DG44" i="2420"/>
  <c r="DG29" i="2420"/>
  <c r="DG60" i="2420"/>
  <c r="DG69" i="2420"/>
  <c r="DG100" i="2420"/>
  <c r="DC63" i="2420"/>
  <c r="DC80" i="2420"/>
  <c r="DC27" i="2420"/>
  <c r="DC23" i="2420"/>
  <c r="DC41" i="2420"/>
  <c r="DC66" i="2420"/>
  <c r="DC21" i="2420"/>
  <c r="DC92" i="2420"/>
  <c r="DC71" i="2420"/>
  <c r="DC82" i="2420"/>
  <c r="DC45" i="2420"/>
  <c r="DG97" i="2420"/>
  <c r="DG53" i="2420"/>
  <c r="DG52" i="2420"/>
  <c r="DG16" i="2420"/>
  <c r="DG13" i="2420"/>
  <c r="DG96" i="2420"/>
  <c r="DG21" i="2420"/>
  <c r="DG65" i="2420"/>
  <c r="DG90" i="2420"/>
  <c r="DG34" i="2420"/>
  <c r="DG55" i="2420"/>
  <c r="DG79" i="2420"/>
  <c r="B12" i="2342" a="1"/>
  <c r="B12" i="2342" s="1"/>
  <c r="B16" i="2342" a="1"/>
  <c r="B16" i="2342" s="1"/>
  <c r="B15" i="2342" a="1"/>
  <c r="B15" i="2342" s="1"/>
  <c r="B21" i="2342" a="1"/>
  <c r="B21" i="2342" s="1"/>
  <c r="B19" i="2342" a="1"/>
  <c r="B19" i="2342" s="1"/>
  <c r="B14" i="2342" a="1"/>
  <c r="B14" i="2342" s="1"/>
  <c r="B11" i="2342" a="1"/>
  <c r="B11" i="2342" s="1"/>
  <c r="B17" i="2342" a="1"/>
  <c r="B17" i="2342" s="1"/>
  <c r="B13" i="2342" a="1"/>
  <c r="B13" i="2342" s="1"/>
  <c r="B20" i="2342" a="1"/>
  <c r="B20" i="2342" s="1"/>
  <c r="B9" i="2342" a="1"/>
  <c r="B9" i="2342" s="1"/>
  <c r="B10" i="2342" a="1"/>
  <c r="B10" i="2342" s="1"/>
  <c r="B18" i="2342" a="1"/>
  <c r="B18" i="2342" s="1"/>
  <c r="B28" i="2342" l="1" a="1"/>
  <c r="B28" i="2342" s="1"/>
  <c r="B30" i="2342" a="1"/>
  <c r="B30" i="2342" s="1"/>
  <c r="B32" i="2342" a="1"/>
  <c r="B32" i="2342" s="1"/>
  <c r="B27" i="2342" a="1"/>
  <c r="B27" i="2342" s="1"/>
  <c r="B36" i="2342" a="1"/>
  <c r="B36" i="2342" s="1"/>
  <c r="B38" i="2342" a="1"/>
  <c r="B38" i="2342" s="1"/>
  <c r="B40" i="2342" a="1"/>
  <c r="B40" i="2342" s="1"/>
  <c r="B35" i="2342" a="1"/>
  <c r="B35" i="2342" s="1"/>
  <c r="B44" i="2342" a="1"/>
  <c r="B44" i="2342" s="1"/>
  <c r="B46" i="2342" a="1"/>
  <c r="B46" i="2342" s="1"/>
  <c r="B25" i="2342" a="1"/>
  <c r="B25" i="2342" s="1"/>
  <c r="B43" i="2342" a="1"/>
  <c r="B43" i="2342" s="1"/>
  <c r="B29" i="2342" a="1"/>
  <c r="B29" i="2342" s="1"/>
  <c r="B23" i="2342" a="1"/>
  <c r="B23" i="2342" s="1"/>
  <c r="B33" i="2342" a="1"/>
  <c r="B33" i="2342" s="1"/>
  <c r="B37" i="2342" a="1"/>
  <c r="B37" i="2342" s="1"/>
  <c r="B31" i="2342" a="1"/>
  <c r="B31" i="2342" s="1"/>
  <c r="B41" i="2342" a="1"/>
  <c r="B41" i="2342" s="1"/>
  <c r="B45" i="2342" a="1"/>
  <c r="B45" i="2342" s="1"/>
  <c r="B39" i="2342" a="1"/>
  <c r="B39" i="2342" s="1"/>
  <c r="B26" i="2342" a="1"/>
  <c r="B26" i="2342" s="1"/>
  <c r="B48" i="2342" a="1"/>
  <c r="B48" i="2342" s="1"/>
  <c r="B47" i="2342" a="1"/>
  <c r="B47" i="2342" s="1"/>
  <c r="B34" i="2342" a="1"/>
  <c r="B34" i="2342" s="1"/>
  <c r="B22" i="2342" a="1"/>
  <c r="B22" i="2342" s="1"/>
  <c r="B24" i="2342" a="1"/>
  <c r="B24" i="2342" s="1"/>
  <c r="B42" i="2342" a="1"/>
  <c r="B42" i="2342" s="1"/>
  <c r="B365" i="2342" a="1"/>
  <c r="B365" i="2342" s="1"/>
  <c r="B350" i="2342" a="1"/>
  <c r="B350" i="2342" s="1"/>
  <c r="B335" i="2342" a="1"/>
  <c r="B335" i="2342" s="1"/>
  <c r="B241" i="2342" a="1"/>
  <c r="B241" i="2342" s="1"/>
  <c r="B332" i="2342" a="1"/>
  <c r="B332" i="2342" s="1"/>
  <c r="B361" i="2342" a="1"/>
  <c r="B361" i="2342" s="1"/>
  <c r="B346" i="2342" a="1"/>
  <c r="B346" i="2342" s="1"/>
  <c r="B321" i="2342" a="1"/>
  <c r="B321" i="2342" s="1"/>
  <c r="B372" i="2342" a="1"/>
  <c r="B372" i="2342" s="1"/>
  <c r="B301" i="2342" a="1"/>
  <c r="B301" i="2342" s="1"/>
  <c r="B206" i="2342" a="1"/>
  <c r="B206" i="2342" s="1"/>
  <c r="B85" i="2342" a="1"/>
  <c r="B85" i="2342" s="1"/>
  <c r="B313" i="2342" a="1"/>
  <c r="B313" i="2342" s="1"/>
  <c r="B196" i="2342" a="1"/>
  <c r="B196" i="2342" s="1"/>
  <c r="B189" i="2342" a="1"/>
  <c r="B189" i="2342" s="1"/>
  <c r="B162" i="2342" a="1"/>
  <c r="B162" i="2342" s="1"/>
  <c r="B160" i="2342" a="1"/>
  <c r="B160" i="2342" s="1"/>
  <c r="B310" i="2342" a="1"/>
  <c r="B310" i="2342" s="1"/>
  <c r="B124" i="2342" a="1"/>
  <c r="B124" i="2342" s="1"/>
  <c r="B58" i="2342" a="1"/>
  <c r="B58" i="2342" s="1"/>
  <c r="B154" i="2342" a="1"/>
  <c r="B154" i="2342" s="1"/>
  <c r="B272" i="2342" a="1"/>
  <c r="B272" i="2342" s="1"/>
  <c r="B299" i="2342" a="1"/>
  <c r="B299" i="2342" s="1"/>
  <c r="B73" i="2342" a="1"/>
  <c r="B73" i="2342" s="1"/>
  <c r="B228" i="2342" a="1"/>
  <c r="B228" i="2342" s="1"/>
  <c r="B76" i="2342" a="1"/>
  <c r="B76" i="2342" s="1"/>
  <c r="B269" i="2342" a="1"/>
  <c r="B269" i="2342" s="1"/>
  <c r="B57" i="2342" a="1"/>
  <c r="B57" i="2342" s="1"/>
  <c r="B203" i="2342" a="1"/>
  <c r="B203" i="2342" s="1"/>
  <c r="B247" i="2342" a="1"/>
  <c r="B247" i="2342" s="1"/>
  <c r="B231" i="2342" a="1"/>
  <c r="B231" i="2342" s="1"/>
  <c r="B93" i="2342" a="1"/>
  <c r="B93" i="2342" s="1"/>
  <c r="B117" i="2342" a="1"/>
  <c r="B117" i="2342" s="1"/>
  <c r="B253" i="2342" a="1"/>
  <c r="B253" i="2342" s="1"/>
  <c r="B226" i="2342" a="1"/>
  <c r="B226" i="2342" s="1"/>
  <c r="B184" i="2342" a="1"/>
  <c r="B184" i="2342" s="1"/>
  <c r="B181" i="2342" a="1"/>
  <c r="B181" i="2342" s="1"/>
  <c r="B234" i="2342" a="1"/>
  <c r="B234" i="2342" s="1"/>
  <c r="B267" i="2342" a="1"/>
  <c r="B267" i="2342" s="1"/>
  <c r="B193" i="2342" a="1"/>
  <c r="B193" i="2342" s="1"/>
  <c r="B190" i="2342" a="1"/>
  <c r="B190" i="2342" s="1"/>
  <c r="B177" i="2342" a="1"/>
  <c r="B177" i="2342" s="1"/>
  <c r="B271" i="2342" a="1"/>
  <c r="B271" i="2342" s="1"/>
  <c r="B67" i="2342" a="1"/>
  <c r="B67" i="2342" s="1"/>
  <c r="B133" i="2342" a="1"/>
  <c r="B133" i="2342" s="1"/>
  <c r="B63" i="2342" a="1"/>
  <c r="B63" i="2342" s="1"/>
  <c r="B373" i="2342" a="1"/>
  <c r="B373" i="2342" s="1"/>
  <c r="B358" i="2342" a="1"/>
  <c r="B358" i="2342" s="1"/>
  <c r="B343" i="2342" a="1"/>
  <c r="B343" i="2342" s="1"/>
  <c r="B306" i="2342" a="1"/>
  <c r="B306" i="2342" s="1"/>
  <c r="B369" i="2342" a="1"/>
  <c r="B369" i="2342" s="1"/>
  <c r="B354" i="2342" a="1"/>
  <c r="B354" i="2342" s="1"/>
  <c r="B331" i="2342" a="1"/>
  <c r="B331" i="2342" s="1"/>
  <c r="B182" i="2342" a="1"/>
  <c r="B182" i="2342" s="1"/>
  <c r="B225" i="2342" a="1"/>
  <c r="B225" i="2342" s="1"/>
  <c r="B205" i="2342" a="1"/>
  <c r="B205" i="2342" s="1"/>
  <c r="B170" i="2342" a="1"/>
  <c r="B170" i="2342" s="1"/>
  <c r="B249" i="2342" a="1"/>
  <c r="B249" i="2342" s="1"/>
  <c r="B268" i="2342" a="1"/>
  <c r="B268" i="2342" s="1"/>
  <c r="B158" i="2342" a="1"/>
  <c r="B158" i="2342" s="1"/>
  <c r="B106" i="2342" a="1"/>
  <c r="B106" i="2342" s="1"/>
  <c r="B89" i="2342" a="1"/>
  <c r="B89" i="2342" s="1"/>
  <c r="B246" i="2342" a="1"/>
  <c r="B246" i="2342" s="1"/>
  <c r="B166" i="2342" a="1"/>
  <c r="B166" i="2342" s="1"/>
  <c r="B142" i="2342" a="1"/>
  <c r="B142" i="2342" s="1"/>
  <c r="B97" i="2342" a="1"/>
  <c r="B97" i="2342" s="1"/>
  <c r="B327" i="2342" a="1"/>
  <c r="B327" i="2342" s="1"/>
  <c r="B221" i="2342" a="1"/>
  <c r="B221" i="2342" s="1"/>
  <c r="B164" i="2342" a="1"/>
  <c r="B164" i="2342" s="1"/>
  <c r="B155" i="2342" a="1"/>
  <c r="B155" i="2342" s="1"/>
  <c r="B289" i="2342" a="1"/>
  <c r="B289" i="2342" s="1"/>
  <c r="B308" i="2342" a="1"/>
  <c r="B308" i="2342" s="1"/>
  <c r="B208" i="2342" a="1"/>
  <c r="B208" i="2342" s="1"/>
  <c r="B141" i="2342" a="1"/>
  <c r="B141" i="2342" s="1"/>
  <c r="B131" i="2342" a="1"/>
  <c r="B131" i="2342" s="1"/>
  <c r="B286" i="2342" a="1"/>
  <c r="B286" i="2342" s="1"/>
  <c r="B237" i="2342" a="1"/>
  <c r="B237" i="2342" s="1"/>
  <c r="B192" i="2342" a="1"/>
  <c r="B192" i="2342" s="1"/>
  <c r="B273" i="2342" a="1"/>
  <c r="B273" i="2342" s="1"/>
  <c r="B292" i="2342" a="1"/>
  <c r="B292" i="2342" s="1"/>
  <c r="B187" i="2342" a="1"/>
  <c r="B187" i="2342" s="1"/>
  <c r="B127" i="2342" a="1"/>
  <c r="B127" i="2342" s="1"/>
  <c r="B110" i="2342" a="1"/>
  <c r="B110" i="2342" s="1"/>
  <c r="B295" i="2342" a="1"/>
  <c r="B295" i="2342" s="1"/>
  <c r="B213" i="2342" a="1"/>
  <c r="B213" i="2342" s="1"/>
  <c r="B136" i="2342" a="1"/>
  <c r="B136" i="2342" s="1"/>
  <c r="B119" i="2342" a="1"/>
  <c r="B119" i="2342" s="1"/>
  <c r="B78" i="2342" a="1"/>
  <c r="B78" i="2342" s="1"/>
  <c r="B92" i="2342" a="1"/>
  <c r="B92" i="2342" s="1"/>
  <c r="B232" i="2342" a="1"/>
  <c r="B232" i="2342" s="1"/>
  <c r="B101" i="2342" a="1"/>
  <c r="B101" i="2342" s="1"/>
  <c r="B282" i="2342" a="1"/>
  <c r="B282" i="2342" s="1"/>
  <c r="B366" i="2342" a="1"/>
  <c r="B366" i="2342" s="1"/>
  <c r="B351" i="2342" a="1"/>
  <c r="B351" i="2342" s="1"/>
  <c r="B328" i="2342" a="1"/>
  <c r="B328" i="2342" s="1"/>
  <c r="B250" i="2342" a="1"/>
  <c r="B250" i="2342" s="1"/>
  <c r="B348" i="2342" a="1"/>
  <c r="B348" i="2342" s="1"/>
  <c r="B362" i="2342" a="1"/>
  <c r="B362" i="2342" s="1"/>
  <c r="B339" i="2342" a="1"/>
  <c r="B339" i="2342" s="1"/>
  <c r="B257" i="2342" a="1"/>
  <c r="B257" i="2342" s="1"/>
  <c r="B276" i="2342" a="1"/>
  <c r="B276" i="2342" s="1"/>
  <c r="B165" i="2342" a="1"/>
  <c r="B165" i="2342" s="1"/>
  <c r="B113" i="2342" a="1"/>
  <c r="B113" i="2342" s="1"/>
  <c r="B288" i="2342" a="1"/>
  <c r="B288" i="2342" s="1"/>
  <c r="B315" i="2342" a="1"/>
  <c r="B315" i="2342" s="1"/>
  <c r="B87" i="2342" a="1"/>
  <c r="B87" i="2342" s="1"/>
  <c r="B49" i="2342" a="1"/>
  <c r="B49" i="2342" s="1"/>
  <c r="B132" i="2342" a="1"/>
  <c r="B132" i="2342" s="1"/>
  <c r="B285" i="2342" a="1"/>
  <c r="B285" i="2342" s="1"/>
  <c r="B159" i="2342" a="1"/>
  <c r="B159" i="2342" s="1"/>
  <c r="B71" i="2342" a="1"/>
  <c r="B71" i="2342" s="1"/>
  <c r="B263" i="2342" a="1"/>
  <c r="B263" i="2342" s="1"/>
  <c r="B74" i="2342" a="1"/>
  <c r="B74" i="2342" s="1"/>
  <c r="B108" i="2342" a="1"/>
  <c r="B108" i="2342" s="1"/>
  <c r="B83" i="2342" a="1"/>
  <c r="B83" i="2342" s="1"/>
  <c r="B145" i="2342" a="1"/>
  <c r="B145" i="2342" s="1"/>
  <c r="B243" i="2342" a="1"/>
  <c r="B243" i="2342" s="1"/>
  <c r="B137" i="2342" a="1"/>
  <c r="B137" i="2342" s="1"/>
  <c r="B84" i="2342" a="1"/>
  <c r="B84" i="2342" s="1"/>
  <c r="B53" i="2342" a="1"/>
  <c r="B53" i="2342" s="1"/>
  <c r="B88" i="2342" a="1"/>
  <c r="B88" i="2342" s="1"/>
  <c r="B236" i="2342" a="1"/>
  <c r="B236" i="2342" s="1"/>
  <c r="B121" i="2342" a="1"/>
  <c r="B121" i="2342" s="1"/>
  <c r="B312" i="2342" a="1"/>
  <c r="B312" i="2342" s="1"/>
  <c r="B188" i="2342" a="1"/>
  <c r="B188" i="2342" s="1"/>
  <c r="B115" i="2342" a="1"/>
  <c r="B115" i="2342" s="1"/>
  <c r="B70" i="2342" a="1"/>
  <c r="B70" i="2342" s="1"/>
  <c r="B204" i="2342" a="1"/>
  <c r="B204" i="2342" s="1"/>
  <c r="B211" i="2342" a="1"/>
  <c r="B211" i="2342" s="1"/>
  <c r="B79" i="2342" a="1"/>
  <c r="B79" i="2342" s="1"/>
  <c r="B103" i="2342" a="1"/>
  <c r="B103" i="2342" s="1"/>
  <c r="B114" i="2342" a="1"/>
  <c r="B114" i="2342" s="1"/>
  <c r="B52" i="2342" a="1"/>
  <c r="B52" i="2342" s="1"/>
  <c r="B227" i="2342" a="1"/>
  <c r="B227" i="2342" s="1"/>
  <c r="B324" i="2342" a="1"/>
  <c r="B324" i="2342" s="1"/>
  <c r="B173" i="2342" a="1"/>
  <c r="B173" i="2342" s="1"/>
  <c r="B340" i="2342" a="1"/>
  <c r="B340" i="2342" s="1"/>
  <c r="B359" i="2342" a="1"/>
  <c r="B359" i="2342" s="1"/>
  <c r="B336" i="2342" a="1"/>
  <c r="B336" i="2342" s="1"/>
  <c r="B314" i="2342" a="1"/>
  <c r="B314" i="2342" s="1"/>
  <c r="B370" i="2342" a="1"/>
  <c r="B370" i="2342" s="1"/>
  <c r="B347" i="2342" a="1"/>
  <c r="B347" i="2342" s="1"/>
  <c r="B296" i="2342" a="1"/>
  <c r="B296" i="2342" s="1"/>
  <c r="B323" i="2342" a="1"/>
  <c r="B323" i="2342" s="1"/>
  <c r="B94" i="2342" a="1"/>
  <c r="B94" i="2342" s="1"/>
  <c r="B56" i="2342" a="1"/>
  <c r="B56" i="2342" s="1"/>
  <c r="B138" i="2342" a="1"/>
  <c r="B138" i="2342" s="1"/>
  <c r="B251" i="2342" a="1"/>
  <c r="B251" i="2342" s="1"/>
  <c r="B178" i="2342" a="1"/>
  <c r="B178" i="2342" s="1"/>
  <c r="B176" i="2342" a="1"/>
  <c r="B176" i="2342" s="1"/>
  <c r="B305" i="2342" a="1"/>
  <c r="B305" i="2342" s="1"/>
  <c r="B81" i="2342" a="1"/>
  <c r="B81" i="2342" s="1"/>
  <c r="B152" i="2342" a="1"/>
  <c r="B152" i="2342" s="1"/>
  <c r="B156" i="2342" a="1"/>
  <c r="B156" i="2342" s="1"/>
  <c r="B153" i="2342" a="1"/>
  <c r="B153" i="2342" s="1"/>
  <c r="B302" i="2342" a="1"/>
  <c r="B302" i="2342" s="1"/>
  <c r="B66" i="2342" a="1"/>
  <c r="B66" i="2342" s="1"/>
  <c r="B50" i="2342" a="1"/>
  <c r="B50" i="2342" s="1"/>
  <c r="B146" i="2342" a="1"/>
  <c r="B146" i="2342" s="1"/>
  <c r="B264" i="2342" a="1"/>
  <c r="B264" i="2342" s="1"/>
  <c r="B291" i="2342" a="1"/>
  <c r="B291" i="2342" s="1"/>
  <c r="B59" i="2342" a="1"/>
  <c r="B59" i="2342" s="1"/>
  <c r="B220" i="2342" a="1"/>
  <c r="B220" i="2342" s="1"/>
  <c r="B62" i="2342" a="1"/>
  <c r="B62" i="2342" s="1"/>
  <c r="B261" i="2342" a="1"/>
  <c r="B261" i="2342" s="1"/>
  <c r="B235" i="2342" a="1"/>
  <c r="B235" i="2342" s="1"/>
  <c r="B248" i="2342" a="1"/>
  <c r="B248" i="2342" s="1"/>
  <c r="B275" i="2342" a="1"/>
  <c r="B275" i="2342" s="1"/>
  <c r="B197" i="2342" a="1"/>
  <c r="B197" i="2342" s="1"/>
  <c r="B174" i="2342" a="1"/>
  <c r="B174" i="2342" s="1"/>
  <c r="B270" i="2342" a="1"/>
  <c r="B270" i="2342" s="1"/>
  <c r="B219" i="2342" a="1"/>
  <c r="B219" i="2342" s="1"/>
  <c r="B171" i="2342" a="1"/>
  <c r="B171" i="2342" s="1"/>
  <c r="B118" i="2342" a="1"/>
  <c r="B118" i="2342" s="1"/>
  <c r="B244" i="2342" a="1"/>
  <c r="B244" i="2342" s="1"/>
  <c r="B144" i="2342" a="1"/>
  <c r="B144" i="2342" s="1"/>
  <c r="B150" i="2342" a="1"/>
  <c r="B150" i="2342" s="1"/>
  <c r="B60" i="2342" a="1"/>
  <c r="B60" i="2342" s="1"/>
  <c r="B333" i="2342" a="1"/>
  <c r="B333" i="2342" s="1"/>
  <c r="B290" i="2342" a="1"/>
  <c r="B290" i="2342" s="1"/>
  <c r="B367" i="2342" a="1"/>
  <c r="B367" i="2342" s="1"/>
  <c r="B344" i="2342" a="1"/>
  <c r="B344" i="2342" s="1"/>
  <c r="B329" i="2342" a="1"/>
  <c r="B329" i="2342" s="1"/>
  <c r="B258" i="2342" a="1"/>
  <c r="B258" i="2342" s="1"/>
  <c r="B355" i="2342" a="1"/>
  <c r="B355" i="2342" s="1"/>
  <c r="B209" i="2342" a="1"/>
  <c r="B209" i="2342" s="1"/>
  <c r="B259" i="2342" a="1"/>
  <c r="B259" i="2342" s="1"/>
  <c r="B186" i="2342" a="1"/>
  <c r="B186" i="2342" s="1"/>
  <c r="B183" i="2342" a="1"/>
  <c r="B183" i="2342" s="1"/>
  <c r="B279" i="2342" a="1"/>
  <c r="B279" i="2342" s="1"/>
  <c r="B180" i="2342" a="1"/>
  <c r="B180" i="2342" s="1"/>
  <c r="B122" i="2342" a="1"/>
  <c r="B122" i="2342" s="1"/>
  <c r="B105" i="2342" a="1"/>
  <c r="B105" i="2342" s="1"/>
  <c r="B238" i="2342" a="1"/>
  <c r="B238" i="2342" s="1"/>
  <c r="B260" i="2342" a="1"/>
  <c r="B260" i="2342" s="1"/>
  <c r="B151" i="2342" a="1"/>
  <c r="B151" i="2342" s="1"/>
  <c r="B98" i="2342" a="1"/>
  <c r="B98" i="2342" s="1"/>
  <c r="B75" i="2342" a="1"/>
  <c r="B75" i="2342" s="1"/>
  <c r="B230" i="2342" a="1"/>
  <c r="B230" i="2342" s="1"/>
  <c r="B109" i="2342" a="1"/>
  <c r="B109" i="2342" s="1"/>
  <c r="B135" i="2342" a="1"/>
  <c r="B135" i="2342" s="1"/>
  <c r="B90" i="2342" a="1"/>
  <c r="B90" i="2342" s="1"/>
  <c r="B319" i="2342" a="1"/>
  <c r="B319" i="2342" s="1"/>
  <c r="B240" i="2342" a="1"/>
  <c r="B240" i="2342" s="1"/>
  <c r="B157" i="2342" a="1"/>
  <c r="B157" i="2342" s="1"/>
  <c r="B147" i="2342" a="1"/>
  <c r="B147" i="2342" s="1"/>
  <c r="B281" i="2342" a="1"/>
  <c r="B281" i="2342" s="1"/>
  <c r="B300" i="2342" a="1"/>
  <c r="B300" i="2342" s="1"/>
  <c r="B201" i="2342" a="1"/>
  <c r="B201" i="2342" s="1"/>
  <c r="B134" i="2342" a="1"/>
  <c r="B134" i="2342" s="1"/>
  <c r="B303" i="2342" a="1"/>
  <c r="B303" i="2342" s="1"/>
  <c r="B223" i="2342" a="1"/>
  <c r="B223" i="2342" s="1"/>
  <c r="B143" i="2342" a="1"/>
  <c r="B143" i="2342" s="1"/>
  <c r="B126" i="2342" a="1"/>
  <c r="B126" i="2342" s="1"/>
  <c r="B111" i="2342" a="1"/>
  <c r="B111" i="2342" s="1"/>
  <c r="B309" i="2342" a="1"/>
  <c r="B309" i="2342" s="1"/>
  <c r="B218" i="2342" a="1"/>
  <c r="B218" i="2342" s="1"/>
  <c r="B99" i="2342" a="1"/>
  <c r="B99" i="2342" s="1"/>
  <c r="B61" i="2342" a="1"/>
  <c r="B61" i="2342" s="1"/>
  <c r="B293" i="2342" a="1"/>
  <c r="B293" i="2342" s="1"/>
  <c r="B252" i="2342" a="1"/>
  <c r="B252" i="2342" s="1"/>
  <c r="B82" i="2342" a="1"/>
  <c r="B82" i="2342" s="1"/>
  <c r="B68" i="2342" a="1"/>
  <c r="B68" i="2342" s="1"/>
  <c r="B341" i="2342" a="1"/>
  <c r="B341" i="2342" s="1"/>
  <c r="B325" i="2342" a="1"/>
  <c r="B325" i="2342" s="1"/>
  <c r="B215" i="2342" a="1"/>
  <c r="B215" i="2342" s="1"/>
  <c r="B274" i="2342" a="1"/>
  <c r="B274" i="2342" s="1"/>
  <c r="B352" i="2342" a="1"/>
  <c r="B352" i="2342" s="1"/>
  <c r="B337" i="2342" a="1"/>
  <c r="B337" i="2342" s="1"/>
  <c r="B320" i="2342" a="1"/>
  <c r="B320" i="2342" s="1"/>
  <c r="B356" i="2342" a="1"/>
  <c r="B356" i="2342" s="1"/>
  <c r="B363" i="2342" a="1"/>
  <c r="B363" i="2342" s="1"/>
  <c r="B287" i="2342" a="1"/>
  <c r="B287" i="2342" s="1"/>
  <c r="B200" i="2342" a="1"/>
  <c r="B200" i="2342" s="1"/>
  <c r="B129" i="2342" a="1"/>
  <c r="B129" i="2342" s="1"/>
  <c r="B112" i="2342" a="1"/>
  <c r="B112" i="2342" s="1"/>
  <c r="B318" i="2342" a="1"/>
  <c r="B318" i="2342" s="1"/>
  <c r="B175" i="2342" a="1"/>
  <c r="B175" i="2342" s="1"/>
  <c r="B65" i="2342" a="1"/>
  <c r="B65" i="2342" s="1"/>
  <c r="B161" i="2342" a="1"/>
  <c r="B161" i="2342" s="1"/>
  <c r="B280" i="2342" a="1"/>
  <c r="B280" i="2342" s="1"/>
  <c r="B307" i="2342" a="1"/>
  <c r="B307" i="2342" s="1"/>
  <c r="B80" i="2342" a="1"/>
  <c r="B80" i="2342" s="1"/>
  <c r="B195" i="2342" a="1"/>
  <c r="B195" i="2342" s="1"/>
  <c r="B277" i="2342" a="1"/>
  <c r="B277" i="2342" s="1"/>
  <c r="B102" i="2342" a="1"/>
  <c r="B102" i="2342" s="1"/>
  <c r="B64" i="2342" a="1"/>
  <c r="B64" i="2342" s="1"/>
  <c r="B210" i="2342" a="1"/>
  <c r="B210" i="2342" s="1"/>
  <c r="B255" i="2342" a="1"/>
  <c r="B255" i="2342" s="1"/>
  <c r="B239" i="2342" a="1"/>
  <c r="B239" i="2342" s="1"/>
  <c r="B100" i="2342" a="1"/>
  <c r="B100" i="2342" s="1"/>
  <c r="B69" i="2342" a="1"/>
  <c r="B69" i="2342" s="1"/>
  <c r="B95" i="2342" a="1"/>
  <c r="B95" i="2342" s="1"/>
  <c r="B224" i="2342" a="1"/>
  <c r="B224" i="2342" s="1"/>
  <c r="B123" i="2342" a="1"/>
  <c r="B123" i="2342" s="1"/>
  <c r="B77" i="2342" a="1"/>
  <c r="B77" i="2342" s="1"/>
  <c r="B233" i="2342" a="1"/>
  <c r="B233" i="2342" s="1"/>
  <c r="B222" i="2342" a="1"/>
  <c r="B222" i="2342" s="1"/>
  <c r="B86" i="2342" a="1"/>
  <c r="B86" i="2342" s="1"/>
  <c r="B55" i="2342" a="1"/>
  <c r="B55" i="2342" s="1"/>
  <c r="B217" i="2342" a="1"/>
  <c r="B217" i="2342" s="1"/>
  <c r="B191" i="2342" a="1"/>
  <c r="B191" i="2342" s="1"/>
  <c r="B214" i="2342" a="1"/>
  <c r="B214" i="2342" s="1"/>
  <c r="B311" i="2342" a="1"/>
  <c r="B311" i="2342" s="1"/>
  <c r="B304" i="2342" a="1"/>
  <c r="B304" i="2342" s="1"/>
  <c r="B349" i="2342" a="1"/>
  <c r="B349" i="2342" s="1"/>
  <c r="B334" i="2342" a="1"/>
  <c r="B334" i="2342" s="1"/>
  <c r="B298" i="2342" a="1"/>
  <c r="B298" i="2342" s="1"/>
  <c r="B364" i="2342" a="1"/>
  <c r="B364" i="2342" s="1"/>
  <c r="B360" i="2342" a="1"/>
  <c r="B360" i="2342" s="1"/>
  <c r="B345" i="2342" a="1"/>
  <c r="B345" i="2342" s="1"/>
  <c r="B330" i="2342" a="1"/>
  <c r="B330" i="2342" s="1"/>
  <c r="B371" i="2342" a="1"/>
  <c r="B371" i="2342" s="1"/>
  <c r="B116" i="2342" a="1"/>
  <c r="B116" i="2342" s="1"/>
  <c r="B198" i="2342" a="1"/>
  <c r="B198" i="2342" s="1"/>
  <c r="B72" i="2342" a="1"/>
  <c r="B72" i="2342" s="1"/>
  <c r="B168" i="2342" a="1"/>
  <c r="B168" i="2342" s="1"/>
  <c r="B254" i="2342" a="1"/>
  <c r="B254" i="2342" s="1"/>
  <c r="B194" i="2342" a="1"/>
  <c r="B194" i="2342" s="1"/>
  <c r="B149" i="2342" a="1"/>
  <c r="B149" i="2342" s="1"/>
  <c r="B104" i="2342" a="1"/>
  <c r="B104" i="2342" s="1"/>
  <c r="B242" i="2342" a="1"/>
  <c r="B242" i="2342" s="1"/>
  <c r="B172" i="2342" a="1"/>
  <c r="B172" i="2342" s="1"/>
  <c r="B169" i="2342" a="1"/>
  <c r="B169" i="2342" s="1"/>
  <c r="B297" i="2342" a="1"/>
  <c r="B297" i="2342" s="1"/>
  <c r="B316" i="2342" a="1"/>
  <c r="B316" i="2342" s="1"/>
  <c r="B216" i="2342" a="1"/>
  <c r="B216" i="2342" s="1"/>
  <c r="B148" i="2342" a="1"/>
  <c r="B148" i="2342" s="1"/>
  <c r="B139" i="2342" a="1"/>
  <c r="B139" i="2342" s="1"/>
  <c r="B294" i="2342" a="1"/>
  <c r="B294" i="2342" s="1"/>
  <c r="B245" i="2342" a="1"/>
  <c r="B245" i="2342" s="1"/>
  <c r="B199" i="2342" a="1"/>
  <c r="B199" i="2342" s="1"/>
  <c r="B140" i="2342" a="1"/>
  <c r="B140" i="2342" s="1"/>
  <c r="B256" i="2342" a="1"/>
  <c r="B256" i="2342" s="1"/>
  <c r="B283" i="2342" a="1"/>
  <c r="B283" i="2342" s="1"/>
  <c r="B51" i="2342" a="1"/>
  <c r="B51" i="2342" s="1"/>
  <c r="B212" i="2342" a="1"/>
  <c r="B212" i="2342" s="1"/>
  <c r="B278" i="2342" a="1"/>
  <c r="B278" i="2342" s="1"/>
  <c r="B229" i="2342" a="1"/>
  <c r="B229" i="2342" s="1"/>
  <c r="B185" i="2342" a="1"/>
  <c r="B185" i="2342" s="1"/>
  <c r="B125" i="2342" a="1"/>
  <c r="B125" i="2342" s="1"/>
  <c r="B265" i="2342" a="1"/>
  <c r="B265" i="2342" s="1"/>
  <c r="B284" i="2342" a="1"/>
  <c r="B284" i="2342" s="1"/>
  <c r="B179" i="2342" a="1"/>
  <c r="B179" i="2342" s="1"/>
  <c r="B120" i="2342" a="1"/>
  <c r="B120" i="2342" s="1"/>
  <c r="B54" i="2342" a="1"/>
  <c r="B54" i="2342" s="1"/>
  <c r="B163" i="2342" a="1"/>
  <c r="B163" i="2342" s="1"/>
  <c r="B130" i="2342" a="1"/>
  <c r="B130" i="2342" s="1"/>
  <c r="B202" i="2342" a="1"/>
  <c r="B202" i="2342" s="1"/>
  <c r="B317" i="2342" a="1"/>
  <c r="B317" i="2342" s="1"/>
  <c r="B96" i="2342" a="1"/>
  <c r="B96" i="2342" s="1"/>
  <c r="B357" i="2342" a="1"/>
  <c r="B357" i="2342" s="1"/>
  <c r="B342" i="2342" a="1"/>
  <c r="B342" i="2342" s="1"/>
  <c r="B326" i="2342" a="1"/>
  <c r="B326" i="2342" s="1"/>
  <c r="B368" i="2342" a="1"/>
  <c r="B368" i="2342" s="1"/>
  <c r="B353" i="2342" a="1"/>
  <c r="B353" i="2342" s="1"/>
  <c r="B338" i="2342" a="1"/>
  <c r="B338" i="2342" s="1"/>
  <c r="B266" i="2342" a="1"/>
  <c r="B266" i="2342" s="1"/>
  <c r="B322" i="2342" a="1"/>
  <c r="B322" i="2342" s="1"/>
  <c r="B262" i="2342" a="1"/>
  <c r="B262" i="2342" s="1"/>
  <c r="B207" i="2342" a="1"/>
  <c r="B207" i="2342" s="1"/>
  <c r="B167" i="2342" a="1"/>
  <c r="B167" i="2342" s="1"/>
  <c r="B91" i="2342" a="1"/>
  <c r="B91" i="2342" s="1"/>
  <c r="B128" i="2342" a="1"/>
  <c r="B128" i="2342" s="1"/>
  <c r="B107" i="2342" a="1"/>
  <c r="B107" i="2342" s="1"/>
  <c r="DC7" i="2420"/>
  <c r="DC6" i="2420"/>
  <c r="AC6" i="2420"/>
  <c r="M6" i="2420"/>
  <c r="P11" i="2380" s="1"/>
  <c r="I15" i="2421"/>
  <c r="AE6" i="2420" l="1"/>
  <c r="F13" i="2390"/>
  <c r="F11" i="2406" s="1"/>
  <c r="F14" i="2413"/>
  <c r="F13" i="2383" s="1"/>
  <c r="J26" i="2388"/>
  <c r="DP6" i="2420"/>
  <c r="K15" i="2421"/>
  <c r="AC7" i="2420"/>
  <c r="M5" i="2420"/>
  <c r="P10" i="2380" s="1"/>
  <c r="I14" i="2421"/>
  <c r="DC5" i="2420"/>
  <c r="AC8" i="2420"/>
  <c r="AC5" i="2420"/>
  <c r="AC9" i="2420"/>
  <c r="DC9" i="2420"/>
  <c r="DC8" i="2420"/>
  <c r="I17" i="2421"/>
  <c r="M8" i="2420"/>
  <c r="P13" i="2380" s="1"/>
  <c r="I18" i="2421"/>
  <c r="M9" i="2420"/>
  <c r="P14" i="2380" s="1"/>
  <c r="BP17" i="2396"/>
  <c r="BP19" i="2396"/>
  <c r="BP20" i="2396"/>
  <c r="BP21" i="2396"/>
  <c r="BP22" i="2396"/>
  <c r="BP23" i="2396"/>
  <c r="BP24" i="2396"/>
  <c r="AE9" i="2420" l="1"/>
  <c r="AE8" i="2420"/>
  <c r="AL5" i="2420"/>
  <c r="AE5" i="2420"/>
  <c r="Y5" i="2420"/>
  <c r="F16" i="2413"/>
  <c r="F15" i="2383" s="1"/>
  <c r="F15" i="2390"/>
  <c r="F13" i="2406" s="1"/>
  <c r="J28" i="2388"/>
  <c r="DP8" i="2420"/>
  <c r="K17" i="2421"/>
  <c r="BO6" i="2420"/>
  <c r="AP6" i="2420"/>
  <c r="AO6" i="2420"/>
  <c r="AM6" i="2420"/>
  <c r="AL6" i="2420"/>
  <c r="BN6" i="2420"/>
  <c r="AN6" i="2420"/>
  <c r="AA6" i="2420"/>
  <c r="Y6" i="2420"/>
  <c r="N6" i="2420"/>
  <c r="Q26" i="2388" s="1"/>
  <c r="H15" i="2421"/>
  <c r="DG6" i="2420"/>
  <c r="AD6" i="2420"/>
  <c r="DC107" i="2420"/>
  <c r="BR19" i="2396"/>
  <c r="BR22" i="2396"/>
  <c r="BR18" i="2396"/>
  <c r="BR23" i="2396"/>
  <c r="BR21" i="2396"/>
  <c r="BR17" i="2396"/>
  <c r="BR20" i="2396"/>
  <c r="BR24" i="2396"/>
  <c r="F16" i="2390" l="1"/>
  <c r="F14" i="2406" s="1"/>
  <c r="F17" i="2413"/>
  <c r="F16" i="2383" s="1"/>
  <c r="DP5" i="2420"/>
  <c r="F13" i="2413"/>
  <c r="F12" i="2383" s="1"/>
  <c r="F12" i="2390"/>
  <c r="F10" i="2406" s="1"/>
  <c r="N5" i="2420"/>
  <c r="Q25" i="2388" s="1"/>
  <c r="K14" i="2421"/>
  <c r="J25" i="2388"/>
  <c r="AD5" i="2420"/>
  <c r="DR5" i="2420" s="1"/>
  <c r="AU6" i="2420"/>
  <c r="J6" i="2420"/>
  <c r="Q11" i="2380" s="1"/>
  <c r="K6" i="2420"/>
  <c r="R11" i="2380" s="1"/>
  <c r="DQ6" i="2420"/>
  <c r="DR6" i="2420"/>
  <c r="K18" i="2421"/>
  <c r="J29" i="2388"/>
  <c r="DP9" i="2420"/>
  <c r="AV6" i="2420"/>
  <c r="AA9" i="2420"/>
  <c r="H17" i="2421"/>
  <c r="BN9" i="2420"/>
  <c r="AL9" i="2420"/>
  <c r="AD9" i="2420"/>
  <c r="DG9" i="2420"/>
  <c r="BO8" i="2420"/>
  <c r="AP9" i="2420"/>
  <c r="AM9" i="2420"/>
  <c r="N9" i="2420"/>
  <c r="Q29" i="2388" s="1"/>
  <c r="Y9" i="2420"/>
  <c r="AN9" i="2420"/>
  <c r="AO9" i="2420"/>
  <c r="BO9" i="2420"/>
  <c r="H18" i="2421"/>
  <c r="F12" i="2422"/>
  <c r="F15" i="2421"/>
  <c r="AB6" i="2420"/>
  <c r="T11" i="2380" s="1"/>
  <c r="AT6" i="2420"/>
  <c r="O6" i="2420"/>
  <c r="Z6" i="2420" s="1"/>
  <c r="BT6" i="2420"/>
  <c r="AP5" i="2420"/>
  <c r="AM5" i="2420"/>
  <c r="AN5" i="2420"/>
  <c r="DG5" i="2420"/>
  <c r="BN5" i="2420"/>
  <c r="AA5" i="2420"/>
  <c r="BO5" i="2420"/>
  <c r="H14" i="2421"/>
  <c r="AO5" i="2420"/>
  <c r="AN8" i="2420"/>
  <c r="DG8" i="2420"/>
  <c r="AO8" i="2420"/>
  <c r="AP8" i="2420"/>
  <c r="AD8" i="2420"/>
  <c r="AM8" i="2420"/>
  <c r="Y8" i="2420"/>
  <c r="AL8" i="2420"/>
  <c r="N8" i="2420"/>
  <c r="Q28" i="2388" s="1"/>
  <c r="AA8" i="2420"/>
  <c r="BN8" i="2420"/>
  <c r="S22" i="2396"/>
  <c r="B16" i="2345" s="1"/>
  <c r="S23" i="2396"/>
  <c r="B17" i="2345" s="1"/>
  <c r="S20" i="2396"/>
  <c r="B14" i="2345" s="1"/>
  <c r="S24" i="2396"/>
  <c r="B18" i="2345" s="1"/>
  <c r="S19" i="2396"/>
  <c r="B13" i="2345" s="1"/>
  <c r="S18" i="2396"/>
  <c r="B12" i="2345" s="1"/>
  <c r="S17" i="2396"/>
  <c r="B11" i="2345" s="1"/>
  <c r="K5" i="2420" l="1"/>
  <c r="R10" i="2380" s="1"/>
  <c r="G13" i="2390"/>
  <c r="K9" i="2420"/>
  <c r="R14" i="2380" s="1"/>
  <c r="AB5" i="2420"/>
  <c r="T10" i="2380" s="1"/>
  <c r="DQ5" i="2420"/>
  <c r="AU5" i="2420"/>
  <c r="J5" i="2420"/>
  <c r="Q10" i="2380" s="1"/>
  <c r="AV5" i="2420"/>
  <c r="J8" i="2420"/>
  <c r="Q13" i="2380" s="1"/>
  <c r="K8" i="2420"/>
  <c r="R13" i="2380" s="1"/>
  <c r="AU9" i="2420"/>
  <c r="J9" i="2420"/>
  <c r="Q14" i="2380" s="1"/>
  <c r="DQ9" i="2420"/>
  <c r="DR9" i="2420"/>
  <c r="DQ8" i="2420"/>
  <c r="DR8" i="2420"/>
  <c r="AU8" i="2420"/>
  <c r="W6" i="2420"/>
  <c r="RN15" i="2421"/>
  <c r="PU15" i="2421"/>
  <c r="OB15" i="2421"/>
  <c r="NM15" i="2421"/>
  <c r="LT15" i="2421"/>
  <c r="KA15" i="2421"/>
  <c r="IH15" i="2421"/>
  <c r="HS15" i="2421"/>
  <c r="EG15" i="2421"/>
  <c r="CN15" i="2421"/>
  <c r="QY15" i="2421"/>
  <c r="MX15" i="2421"/>
  <c r="LE15" i="2421"/>
  <c r="KP15" i="2421"/>
  <c r="FZ15" i="2421"/>
  <c r="DR15" i="2421"/>
  <c r="PF15" i="2421"/>
  <c r="OQ15" i="2421"/>
  <c r="GO15" i="2421"/>
  <c r="FK15" i="2421"/>
  <c r="DC15" i="2421"/>
  <c r="QJ15" i="2421"/>
  <c r="MI15" i="2421"/>
  <c r="JL15" i="2421"/>
  <c r="IW15" i="2421"/>
  <c r="HD15" i="2421"/>
  <c r="EV15" i="2421"/>
  <c r="BY15" i="2421"/>
  <c r="AV9" i="2420"/>
  <c r="AV8" i="2420"/>
  <c r="V6" i="2420"/>
  <c r="F18" i="2421"/>
  <c r="AB9" i="2420"/>
  <c r="T14" i="2380" s="1"/>
  <c r="F15" i="2422"/>
  <c r="BT9" i="2420"/>
  <c r="O9" i="2420"/>
  <c r="G18" i="2421" s="1"/>
  <c r="J18" i="2421" s="1"/>
  <c r="AT9" i="2420"/>
  <c r="G12" i="2422"/>
  <c r="G15" i="2421"/>
  <c r="BT5" i="2420"/>
  <c r="AT5" i="2420"/>
  <c r="F11" i="2422"/>
  <c r="F14" i="2421"/>
  <c r="O5" i="2420"/>
  <c r="BT8" i="2420"/>
  <c r="F17" i="2421"/>
  <c r="AT8" i="2420"/>
  <c r="DH6" i="2420"/>
  <c r="O8" i="2420"/>
  <c r="G14" i="2422" s="1"/>
  <c r="AB8" i="2420"/>
  <c r="T13" i="2380" s="1"/>
  <c r="F14" i="2422"/>
  <c r="X6" i="2420"/>
  <c r="S21" i="2396"/>
  <c r="B15" i="2345" s="1"/>
  <c r="C17" i="2345"/>
  <c r="D17" i="2345" s="1"/>
  <c r="C16" i="2345"/>
  <c r="D16" i="2345" s="1"/>
  <c r="C15" i="2345"/>
  <c r="D15" i="2345" s="1"/>
  <c r="C18" i="2345"/>
  <c r="D18" i="2345" s="1"/>
  <c r="C14" i="2345"/>
  <c r="D14" i="2345" s="1"/>
  <c r="C13" i="2345"/>
  <c r="D13" i="2345" s="1"/>
  <c r="C12" i="2345"/>
  <c r="D12" i="2345" s="1"/>
  <c r="C11" i="2345"/>
  <c r="D11" i="2345" s="1"/>
  <c r="U13" i="2390" l="1"/>
  <c r="V13" i="2390"/>
  <c r="W5" i="2420"/>
  <c r="N13" i="2390"/>
  <c r="K13" i="2390"/>
  <c r="J13" i="2390"/>
  <c r="I13" i="2390"/>
  <c r="G16" i="2390"/>
  <c r="V5" i="2420"/>
  <c r="DH5" i="2420"/>
  <c r="W8" i="2420"/>
  <c r="G11" i="2422"/>
  <c r="Z5" i="2420"/>
  <c r="AQ6" i="2420"/>
  <c r="AR6" i="2420" s="1"/>
  <c r="H13" i="2390" s="1"/>
  <c r="Z9" i="2420"/>
  <c r="HD18" i="2421"/>
  <c r="QJ18" i="2421"/>
  <c r="QY18" i="2421"/>
  <c r="PU18" i="2421"/>
  <c r="OQ18" i="2421"/>
  <c r="RN18" i="2421"/>
  <c r="LT18" i="2421"/>
  <c r="NM18" i="2421"/>
  <c r="MX18" i="2421"/>
  <c r="MI18" i="2421"/>
  <c r="OB18" i="2421"/>
  <c r="KP18" i="2421"/>
  <c r="PF18" i="2421"/>
  <c r="LE18" i="2421"/>
  <c r="IH18" i="2421"/>
  <c r="HS18" i="2421"/>
  <c r="KA18" i="2421"/>
  <c r="JL18" i="2421"/>
  <c r="IW18" i="2421"/>
  <c r="FZ18" i="2421"/>
  <c r="GO18" i="2421"/>
  <c r="FK18" i="2421"/>
  <c r="DR18" i="2421"/>
  <c r="EG18" i="2421"/>
  <c r="EV18" i="2421"/>
  <c r="DC18" i="2421"/>
  <c r="CN18" i="2421"/>
  <c r="BY18" i="2421"/>
  <c r="Z8" i="2420"/>
  <c r="PU17" i="2421"/>
  <c r="QY17" i="2421"/>
  <c r="PF17" i="2421"/>
  <c r="RN17" i="2421"/>
  <c r="OB17" i="2421"/>
  <c r="QJ17" i="2421"/>
  <c r="NM17" i="2421"/>
  <c r="MX17" i="2421"/>
  <c r="MI17" i="2421"/>
  <c r="LT17" i="2421"/>
  <c r="LE17" i="2421"/>
  <c r="KP17" i="2421"/>
  <c r="OQ17" i="2421"/>
  <c r="KA17" i="2421"/>
  <c r="IH17" i="2421"/>
  <c r="HS17" i="2421"/>
  <c r="HD17" i="2421"/>
  <c r="JL17" i="2421"/>
  <c r="IW17" i="2421"/>
  <c r="DR17" i="2421"/>
  <c r="GO17" i="2421"/>
  <c r="DC17" i="2421"/>
  <c r="FZ17" i="2421"/>
  <c r="EV17" i="2421"/>
  <c r="EG17" i="2421"/>
  <c r="CN17" i="2421"/>
  <c r="FK17" i="2421"/>
  <c r="BY17" i="2421"/>
  <c r="AZ9" i="2420"/>
  <c r="RL18" i="2421"/>
  <c r="QH18" i="2421"/>
  <c r="QW18" i="2421"/>
  <c r="PS18" i="2421"/>
  <c r="PD18" i="2421"/>
  <c r="NK18" i="2421"/>
  <c r="NZ18" i="2421"/>
  <c r="OO18" i="2421"/>
  <c r="LR18" i="2421"/>
  <c r="MG18" i="2421"/>
  <c r="KN18" i="2421"/>
  <c r="MV18" i="2421"/>
  <c r="LC18" i="2421"/>
  <c r="JY18" i="2421"/>
  <c r="IU18" i="2421"/>
  <c r="JJ18" i="2421"/>
  <c r="IF18" i="2421"/>
  <c r="GM18" i="2421"/>
  <c r="HQ18" i="2421"/>
  <c r="FX18" i="2421"/>
  <c r="ET18" i="2421"/>
  <c r="FI18" i="2421"/>
  <c r="HB18" i="2421"/>
  <c r="DA18" i="2421"/>
  <c r="DP18" i="2421"/>
  <c r="EE18" i="2421"/>
  <c r="BW18" i="2421"/>
  <c r="CL18" i="2421"/>
  <c r="BH18" i="2421"/>
  <c r="LT14" i="2421"/>
  <c r="DC14" i="2421"/>
  <c r="NM14" i="2421"/>
  <c r="LE14" i="2421"/>
  <c r="KA14" i="2421"/>
  <c r="IW14" i="2421"/>
  <c r="DR14" i="2421"/>
  <c r="GO14" i="2421"/>
  <c r="HD14" i="2421"/>
  <c r="EV14" i="2421"/>
  <c r="OB14" i="2421"/>
  <c r="BY14" i="2421"/>
  <c r="RN14" i="2421"/>
  <c r="OQ14" i="2421"/>
  <c r="HS14" i="2421"/>
  <c r="IH14" i="2421"/>
  <c r="PF14" i="2421"/>
  <c r="CN14" i="2421"/>
  <c r="EG14" i="2421"/>
  <c r="JL14" i="2421"/>
  <c r="KP14" i="2421"/>
  <c r="QY14" i="2421"/>
  <c r="FK14" i="2421"/>
  <c r="FZ14" i="2421"/>
  <c r="QJ14" i="2421"/>
  <c r="MI14" i="2421"/>
  <c r="PU14" i="2421"/>
  <c r="MX14" i="2421"/>
  <c r="AS18" i="2421"/>
  <c r="AS6" i="2420"/>
  <c r="M13" i="2390" s="1"/>
  <c r="V8" i="2420"/>
  <c r="G15" i="2422"/>
  <c r="W9" i="2420"/>
  <c r="H15" i="2422"/>
  <c r="GO15" i="2422" s="1"/>
  <c r="S9" i="2420"/>
  <c r="D16" i="2390" s="1"/>
  <c r="G14" i="2421"/>
  <c r="J15" i="2421"/>
  <c r="BQ6" i="2420"/>
  <c r="J11" i="2406" s="1"/>
  <c r="S5" i="2420"/>
  <c r="D12" i="2390" s="1"/>
  <c r="DH8" i="2420"/>
  <c r="G17" i="2421"/>
  <c r="S8" i="2420"/>
  <c r="D15" i="2390" s="1"/>
  <c r="X9" i="2420"/>
  <c r="DH9" i="2420"/>
  <c r="Q10" i="2345"/>
  <c r="AC17" i="2345"/>
  <c r="V16" i="2390" l="1"/>
  <c r="U16" i="2390"/>
  <c r="AQ5" i="2420"/>
  <c r="AR5" i="2420" s="1"/>
  <c r="X5" i="2420"/>
  <c r="V9" i="2420"/>
  <c r="AQ9" i="2420" s="1"/>
  <c r="AR9" i="2420" s="1"/>
  <c r="I16" i="2390"/>
  <c r="J16" i="2390"/>
  <c r="K16" i="2390"/>
  <c r="N16" i="2390"/>
  <c r="H16" i="2390"/>
  <c r="P16" i="2390"/>
  <c r="G12" i="2390"/>
  <c r="G15" i="2390"/>
  <c r="AQ8" i="2420"/>
  <c r="AR8" i="2420" s="1"/>
  <c r="QH15" i="2421"/>
  <c r="OO15" i="2421"/>
  <c r="MV15" i="2421"/>
  <c r="MG15" i="2421"/>
  <c r="ET15" i="2421"/>
  <c r="EE15" i="2421"/>
  <c r="DA15" i="2421"/>
  <c r="BW15" i="2421"/>
  <c r="RL15" i="2421"/>
  <c r="QW15" i="2421"/>
  <c r="JY15" i="2421"/>
  <c r="DP15" i="2421"/>
  <c r="IF15" i="2421"/>
  <c r="HB15" i="2421"/>
  <c r="CL15" i="2421"/>
  <c r="PD15" i="2421"/>
  <c r="NZ15" i="2421"/>
  <c r="LC15" i="2421"/>
  <c r="KN15" i="2421"/>
  <c r="GM15" i="2421"/>
  <c r="FX15" i="2421"/>
  <c r="FI15" i="2421"/>
  <c r="BH15" i="2421"/>
  <c r="PS15" i="2421"/>
  <c r="NK15" i="2421"/>
  <c r="LR15" i="2421"/>
  <c r="JJ15" i="2421"/>
  <c r="IU15" i="2421"/>
  <c r="HQ15" i="2421"/>
  <c r="AS15" i="2421"/>
  <c r="AS5" i="2420"/>
  <c r="BQ5" i="2420"/>
  <c r="J10" i="2406" s="1"/>
  <c r="J14" i="2421"/>
  <c r="J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Z16" i="2396"/>
  <c r="AA16" i="2396"/>
  <c r="V18" i="2421"/>
  <c r="H12" i="2422"/>
  <c r="AS8" i="2420"/>
  <c r="X8" i="2420"/>
  <c r="P10" i="2345"/>
  <c r="U10" i="2345" s="1"/>
  <c r="R10" i="2345"/>
  <c r="AC13" i="2345"/>
  <c r="AC14" i="2345"/>
  <c r="AD17" i="2345"/>
  <c r="AD11" i="2345"/>
  <c r="AC11" i="2345"/>
  <c r="AC12" i="2345"/>
  <c r="AD12" i="2345"/>
  <c r="BF33" i="2396"/>
  <c r="BP33" i="2396" s="1"/>
  <c r="K15" i="2390" l="1"/>
  <c r="V15" i="2390"/>
  <c r="U15" i="2390"/>
  <c r="BQ9" i="2420"/>
  <c r="J14" i="2406" s="1"/>
  <c r="AS9" i="2420"/>
  <c r="M16" i="2390" s="1"/>
  <c r="I15" i="2390"/>
  <c r="J15" i="2390"/>
  <c r="N15" i="2390"/>
  <c r="M15" i="2390"/>
  <c r="H15" i="2390"/>
  <c r="M12" i="2390"/>
  <c r="N12" i="2390"/>
  <c r="I12" i="2390"/>
  <c r="K12" i="2390"/>
  <c r="J12" i="2390"/>
  <c r="H12" i="2390"/>
  <c r="QW17" i="2421"/>
  <c r="QH17" i="2421"/>
  <c r="RL17" i="2421"/>
  <c r="PS17" i="2421"/>
  <c r="PD17" i="2421"/>
  <c r="OO17" i="2421"/>
  <c r="NK17" i="2421"/>
  <c r="NZ17" i="2421"/>
  <c r="MV17" i="2421"/>
  <c r="MG17" i="2421"/>
  <c r="LR17" i="2421"/>
  <c r="LC17" i="2421"/>
  <c r="KN17" i="2421"/>
  <c r="IU17" i="2421"/>
  <c r="JJ17" i="2421"/>
  <c r="JY17" i="2421"/>
  <c r="HQ17" i="2421"/>
  <c r="HB17" i="2421"/>
  <c r="GM17" i="2421"/>
  <c r="FX17" i="2421"/>
  <c r="IF17" i="2421"/>
  <c r="ET17" i="2421"/>
  <c r="FI17" i="2421"/>
  <c r="EE17" i="2421"/>
  <c r="DP17" i="2421"/>
  <c r="DA17" i="2421"/>
  <c r="CL17" i="2421"/>
  <c r="BW17" i="2421"/>
  <c r="BH17" i="2421"/>
  <c r="RT18" i="2421"/>
  <c r="RL14" i="2421"/>
  <c r="QW14" i="2421"/>
  <c r="QH14" i="2421"/>
  <c r="PS14" i="2421"/>
  <c r="NK14" i="2421"/>
  <c r="MV14" i="2421"/>
  <c r="KN14" i="2421"/>
  <c r="IF14" i="2421"/>
  <c r="HB14" i="2421"/>
  <c r="EE14" i="2421"/>
  <c r="CL14" i="2421"/>
  <c r="NZ14" i="2421"/>
  <c r="PD14" i="2421"/>
  <c r="IU14" i="2421"/>
  <c r="FI14" i="2421"/>
  <c r="DA14" i="2421"/>
  <c r="BW14" i="2421"/>
  <c r="BH14" i="2421"/>
  <c r="OO14" i="2421"/>
  <c r="MG14" i="2421"/>
  <c r="LR14" i="2421"/>
  <c r="LC14" i="2421"/>
  <c r="JJ14" i="2421"/>
  <c r="HQ14" i="2421"/>
  <c r="GM14" i="2421"/>
  <c r="FX14" i="2421"/>
  <c r="ET14" i="2421"/>
  <c r="DP14" i="2421"/>
  <c r="JY14" i="2421"/>
  <c r="AS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AI12" i="2422"/>
  <c r="CB12" i="2422"/>
  <c r="CT12" i="2422"/>
  <c r="ED12" i="2422"/>
  <c r="GX12" i="2422"/>
  <c r="GF12" i="2422"/>
  <c r="HG12" i="2422"/>
  <c r="DC12" i="2422"/>
  <c r="AR12" i="2422"/>
  <c r="AS12" i="2422" s="1"/>
  <c r="FN12" i="2422"/>
  <c r="DU12" i="2422"/>
  <c r="GO12" i="2422"/>
  <c r="BQ8" i="2420"/>
  <c r="J13" i="2406" s="1"/>
  <c r="AL15" i="2396"/>
  <c r="BM16" i="2396"/>
  <c r="BR16" i="2396" s="1"/>
  <c r="W10" i="2345"/>
  <c r="BJ16" i="2396"/>
  <c r="X10" i="2345"/>
  <c r="BK16" i="2396"/>
  <c r="AD13" i="2345"/>
  <c r="AD14" i="2345"/>
  <c r="AD18" i="2345"/>
  <c r="AD15" i="2345"/>
  <c r="AC18" i="2345"/>
  <c r="AC15" i="2345"/>
  <c r="AD10" i="2345"/>
  <c r="AC10" i="2345"/>
  <c r="AC16" i="2345"/>
  <c r="AD16" i="2345"/>
  <c r="D14" i="2383"/>
  <c r="D13" i="2383"/>
  <c r="D15" i="2383"/>
  <c r="D16" i="2383"/>
  <c r="BF71" i="2396"/>
  <c r="BF72" i="2396"/>
  <c r="BF73" i="2396"/>
  <c r="BF74" i="2396"/>
  <c r="BF75" i="2396"/>
  <c r="BQ70" i="2396"/>
  <c r="BB32" i="2396" s="1"/>
  <c r="BF44" i="2396"/>
  <c r="BF34" i="2396"/>
  <c r="BP34" i="2396" s="1"/>
  <c r="BF35" i="2396"/>
  <c r="BP35" i="2396" s="1"/>
  <c r="BF36" i="2396"/>
  <c r="BP36" i="2396" s="1"/>
  <c r="BF37" i="2396"/>
  <c r="BP37" i="2396" s="1"/>
  <c r="BF38" i="2396"/>
  <c r="BP38" i="2396" s="1"/>
  <c r="N112" i="2380"/>
  <c r="N9" i="2380" s="1"/>
  <c r="M112" i="2380"/>
  <c r="M9" i="2380" s="1"/>
  <c r="L112" i="2380"/>
  <c r="H112" i="2380"/>
  <c r="H9" i="2380" s="1"/>
  <c r="G112" i="2380"/>
  <c r="G9" i="2380" s="1"/>
  <c r="F112" i="2380"/>
  <c r="F9"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Q74" i="2396"/>
  <c r="BQ71" i="2396"/>
  <c r="BB33" i="2396" s="1"/>
  <c r="BQ73" i="2396"/>
  <c r="BB35" i="2396" s="1"/>
  <c r="AB16" i="2396"/>
  <c r="S16" i="2396" s="1"/>
  <c r="B10" i="2345" s="1"/>
  <c r="BQ16" i="2396"/>
  <c r="BQ72" i="2396"/>
  <c r="BF43" i="2396"/>
  <c r="BF76" i="2396"/>
  <c r="BF25" i="2396"/>
  <c r="T13" i="2396" s="1"/>
  <c r="O14" i="2422" l="1"/>
  <c r="C10" i="2345"/>
  <c r="D10" i="2345" s="1"/>
  <c r="AR32" i="2396"/>
  <c r="D11" i="2407"/>
  <c r="F11" i="2407" s="1"/>
  <c r="AG18" i="2396"/>
  <c r="C11" i="2407" s="1"/>
  <c r="E25" i="2348"/>
  <c r="D25" i="2348" s="1"/>
  <c r="AR35" i="2396"/>
  <c r="D8" i="2407"/>
  <c r="AG15" i="2396"/>
  <c r="C8" i="2407" s="1"/>
  <c r="E27" i="2348"/>
  <c r="D27" i="2348" s="1"/>
  <c r="AR37" i="2396"/>
  <c r="D12" i="2407"/>
  <c r="F12" i="2407" s="1"/>
  <c r="AG19" i="2396"/>
  <c r="C12" i="2407" s="1"/>
  <c r="E26" i="2348"/>
  <c r="D26" i="2348" s="1"/>
  <c r="AR36" i="2396"/>
  <c r="D9" i="2407"/>
  <c r="F9" i="2407" s="1"/>
  <c r="AG16" i="2396"/>
  <c r="C9" i="2407" s="1"/>
  <c r="E24" i="2348"/>
  <c r="D24" i="2348" s="1"/>
  <c r="AR34" i="2396"/>
  <c r="D13" i="2407"/>
  <c r="F13" i="2407" s="1"/>
  <c r="AG20" i="2396"/>
  <c r="C13" i="2407" s="1"/>
  <c r="D10" i="2407"/>
  <c r="F10" i="2407" s="1"/>
  <c r="AG17" i="2396"/>
  <c r="C10" i="2407" s="1"/>
  <c r="AH14" i="2396"/>
  <c r="BA31" i="2396"/>
  <c r="BJ2" i="2396" l="1"/>
  <c r="C22" i="2348"/>
  <c r="F8" i="2407"/>
  <c r="AE5" i="2422"/>
  <c r="AE4" i="2422"/>
  <c r="B26" i="2407" a="1"/>
  <c r="B26" i="2407" s="1"/>
  <c r="B9" i="2407" a="1"/>
  <c r="B9" i="2407" s="1"/>
  <c r="B37" i="2407" a="1"/>
  <c r="B37" i="2407" s="1"/>
  <c r="B22" i="2407" a="1"/>
  <c r="B22" i="2407" s="1"/>
  <c r="B40" i="2407" a="1"/>
  <c r="B40" i="2407" s="1"/>
  <c r="B73" i="2407" a="1"/>
  <c r="B73" i="2407" s="1"/>
  <c r="B29" i="2407" a="1"/>
  <c r="B29" i="2407" s="1"/>
  <c r="B71" i="2407" a="1"/>
  <c r="B71" i="2407" s="1"/>
  <c r="B57" i="2407" a="1"/>
  <c r="B57" i="2407" s="1"/>
  <c r="B64" i="2407" a="1"/>
  <c r="B64" i="2407" s="1"/>
  <c r="B59" i="2407" a="1"/>
  <c r="B59" i="2407" s="1"/>
  <c r="B36" i="2407" a="1"/>
  <c r="B36" i="2407" s="1"/>
  <c r="B21" i="2407" a="1"/>
  <c r="B21" i="2407" s="1"/>
  <c r="B10" i="2407" a="1"/>
  <c r="B10" i="2407" s="1"/>
  <c r="B32" i="2407" a="1"/>
  <c r="B32" i="2407" s="1"/>
  <c r="B72" i="2407" a="1"/>
  <c r="B72" i="2407" s="1"/>
  <c r="B41" i="2407" a="1"/>
  <c r="B41" i="2407" s="1"/>
  <c r="B8" i="2407" a="1"/>
  <c r="B8" i="2407" s="1"/>
  <c r="B63" i="2407" a="1"/>
  <c r="B63" i="2407" s="1"/>
  <c r="B52" i="2407" a="1"/>
  <c r="B52" i="2407" s="1"/>
  <c r="B42" i="2407" a="1"/>
  <c r="B42" i="2407" s="1"/>
  <c r="B28" i="2407" a="1"/>
  <c r="B28" i="2407" s="1"/>
  <c r="B24" i="2407" a="1"/>
  <c r="B24" i="2407" s="1"/>
  <c r="B43" i="2407" a="1"/>
  <c r="B43" i="2407" s="1"/>
  <c r="B12" i="2407" a="1"/>
  <c r="B12" i="2407" s="1"/>
  <c r="B46" i="2407" a="1"/>
  <c r="B46" i="2407" s="1"/>
  <c r="B75" i="2407" a="1"/>
  <c r="B75" i="2407" s="1"/>
  <c r="B62" i="2407" a="1"/>
  <c r="B62" i="2407" s="1"/>
  <c r="B45" i="2407" a="1"/>
  <c r="B45" i="2407" s="1"/>
  <c r="B56" i="2407" a="1"/>
  <c r="B56" i="2407" s="1"/>
  <c r="B48" i="2407" a="1"/>
  <c r="B48" i="2407" s="1"/>
  <c r="B34" i="2407" a="1"/>
  <c r="B34" i="2407" s="1"/>
  <c r="B15" i="2407" a="1"/>
  <c r="B15" i="2407" s="1"/>
  <c r="B35" i="2407" a="1"/>
  <c r="B35" i="2407" s="1"/>
  <c r="B19" i="2407" a="1"/>
  <c r="B19" i="2407" s="1"/>
  <c r="B70" i="2407" a="1"/>
  <c r="B70" i="2407" s="1"/>
  <c r="B17" i="2407" a="1"/>
  <c r="B17" i="2407" s="1"/>
  <c r="B69" i="2407" a="1"/>
  <c r="B69" i="2407" s="1"/>
  <c r="B55" i="2407" a="1"/>
  <c r="B55" i="2407" s="1"/>
  <c r="B47" i="2407" a="1"/>
  <c r="B47" i="2407" s="1"/>
  <c r="B33" i="2407" a="1"/>
  <c r="B33" i="2407" s="1"/>
  <c r="B14" i="2407" a="1"/>
  <c r="B14" i="2407" s="1"/>
  <c r="B31" i="2407" a="1"/>
  <c r="B31" i="2407" s="1"/>
  <c r="B18" i="2407" a="1"/>
  <c r="B18" i="2407" s="1"/>
  <c r="B67" i="2407" a="1"/>
  <c r="B67" i="2407" s="1"/>
  <c r="B38" i="2407" a="1"/>
  <c r="B38" i="2407" s="1"/>
  <c r="B30" i="2407" a="1"/>
  <c r="B30" i="2407" s="1"/>
  <c r="B58" i="2407" a="1"/>
  <c r="B58" i="2407" s="1"/>
  <c r="B61" i="2407" a="1"/>
  <c r="B61" i="2407" s="1"/>
  <c r="B54" i="2407" a="1"/>
  <c r="B54" i="2407" s="1"/>
  <c r="B39" i="2407" a="1"/>
  <c r="B39" i="2407" s="1"/>
  <c r="B13" i="2407" a="1"/>
  <c r="B13" i="2407" s="1"/>
  <c r="B11" i="2407" a="1"/>
  <c r="B11" i="2407" s="1"/>
  <c r="B25" i="2407" a="1"/>
  <c r="B25" i="2407" s="1"/>
  <c r="B66" i="2407" a="1"/>
  <c r="B66" i="2407" s="1"/>
  <c r="B68" i="2407" a="1"/>
  <c r="B68" i="2407" s="1"/>
  <c r="B23" i="2407" a="1"/>
  <c r="B23" i="2407" s="1"/>
  <c r="B7" i="2407" a="1"/>
  <c r="B7" i="2407" s="1"/>
  <c r="B53" i="2407" a="1"/>
  <c r="B53" i="2407" s="1"/>
  <c r="B50" i="2407" a="1"/>
  <c r="B50" i="2407" s="1"/>
  <c r="B49" i="2407" a="1"/>
  <c r="B49" i="2407" s="1"/>
  <c r="B20" i="2407" a="1"/>
  <c r="B20" i="2407" s="1"/>
  <c r="B16" i="2407" a="1"/>
  <c r="B16" i="2407" s="1"/>
  <c r="B60" i="2407" a="1"/>
  <c r="B60" i="2407" s="1"/>
  <c r="B65" i="2407" a="1"/>
  <c r="B65" i="2407" s="1"/>
  <c r="B51" i="2407" a="1"/>
  <c r="B51" i="2407" s="1"/>
  <c r="B44" i="2407" a="1"/>
  <c r="B44" i="2407" s="1"/>
  <c r="B27" i="2407" a="1"/>
  <c r="B27" i="2407" s="1"/>
  <c r="E22" i="2348"/>
  <c r="D22" i="2348" s="1"/>
  <c r="D15" i="2407"/>
  <c r="O126" i="2422" s="1" a="1"/>
  <c r="AG22" i="2396"/>
  <c r="BI2" i="2396" s="1"/>
  <c r="E23" i="2348"/>
  <c r="D23" i="2348" s="1"/>
  <c r="AR33" i="2396"/>
  <c r="C23" i="2348" s="1"/>
  <c r="AJ15" i="2420" l="1"/>
  <c r="AK15" i="2420"/>
  <c r="E23" i="2413"/>
  <c r="AF15" i="2420"/>
  <c r="BP15" i="2420"/>
  <c r="CI15" i="2420"/>
  <c r="AG15" i="2420"/>
  <c r="M24" i="2421"/>
  <c r="J21" i="2422" s="1"/>
  <c r="AG13" i="2422"/>
  <c r="AK13" i="2422" s="1"/>
  <c r="AG77" i="2422"/>
  <c r="AG20" i="2422"/>
  <c r="AG21" i="2422"/>
  <c r="AG25" i="2422"/>
  <c r="AG28" i="2422"/>
  <c r="AG54" i="2422"/>
  <c r="AG31" i="2422"/>
  <c r="AG36" i="2422"/>
  <c r="AG16" i="2422"/>
  <c r="AG104" i="2422"/>
  <c r="AG102" i="2422"/>
  <c r="AG43" i="2422"/>
  <c r="AG15" i="2422"/>
  <c r="AK15" i="2422" s="1"/>
  <c r="AG14" i="2422"/>
  <c r="AK14" i="2422" s="1"/>
  <c r="AG52" i="2422"/>
  <c r="AG47" i="2422"/>
  <c r="AG37" i="2422"/>
  <c r="AG60" i="2422"/>
  <c r="AG90" i="2422"/>
  <c r="AG63" i="2422"/>
  <c r="AG68" i="2422"/>
  <c r="AG79" i="2422"/>
  <c r="AG49" i="2422"/>
  <c r="AG65" i="2422"/>
  <c r="AG75" i="2422"/>
  <c r="AG17" i="2422"/>
  <c r="AG22" i="2422"/>
  <c r="AG84" i="2422"/>
  <c r="AG46" i="2422"/>
  <c r="AG23" i="2422"/>
  <c r="AG92" i="2422"/>
  <c r="AG38" i="2422"/>
  <c r="AG95" i="2422"/>
  <c r="AG100" i="2422"/>
  <c r="AG66" i="2422"/>
  <c r="AG105" i="2422"/>
  <c r="AG85" i="2422"/>
  <c r="AG107" i="2422"/>
  <c r="AG18" i="2422"/>
  <c r="AG58" i="2422"/>
  <c r="AG82" i="2422"/>
  <c r="AG55" i="2422"/>
  <c r="AG29" i="2422"/>
  <c r="AG32" i="2422"/>
  <c r="AG97" i="2422"/>
  <c r="AG45" i="2422"/>
  <c r="AG98" i="2422"/>
  <c r="AG39" i="2422"/>
  <c r="AG44" i="2422"/>
  <c r="AG69" i="2422"/>
  <c r="AG30" i="2422"/>
  <c r="AG109" i="2422"/>
  <c r="AG89" i="2422"/>
  <c r="AG87" i="2422"/>
  <c r="AG41" i="2422"/>
  <c r="AG64" i="2422"/>
  <c r="AG62" i="2422"/>
  <c r="AG101" i="2422"/>
  <c r="AG61" i="2422"/>
  <c r="AG71" i="2422"/>
  <c r="AG76" i="2422"/>
  <c r="AG74" i="2422"/>
  <c r="AG78" i="2422"/>
  <c r="AG19" i="2422"/>
  <c r="AG24" i="2422"/>
  <c r="AG50" i="2422"/>
  <c r="AG27" i="2422"/>
  <c r="AG96" i="2422"/>
  <c r="AG94" i="2422"/>
  <c r="AG35" i="2422"/>
  <c r="AG81" i="2422"/>
  <c r="AG103" i="2422"/>
  <c r="AG108" i="2422"/>
  <c r="AG106" i="2422"/>
  <c r="AG110" i="2422"/>
  <c r="AG51" i="2422"/>
  <c r="AG56" i="2422"/>
  <c r="AG86" i="2422"/>
  <c r="AG59" i="2422"/>
  <c r="AG33" i="2422"/>
  <c r="AG42" i="2422"/>
  <c r="AG67" i="2422"/>
  <c r="AG40" i="2422"/>
  <c r="AG80" i="2422"/>
  <c r="AG93" i="2422"/>
  <c r="AG48" i="2422"/>
  <c r="AG12" i="2422"/>
  <c r="AK12" i="2422" s="1"/>
  <c r="AG73" i="2422"/>
  <c r="AG83" i="2422"/>
  <c r="AG88" i="2422"/>
  <c r="AG34" i="2422"/>
  <c r="AG91" i="2422"/>
  <c r="AG53" i="2422"/>
  <c r="AG57" i="2422"/>
  <c r="AG99" i="2422"/>
  <c r="AG72" i="2422"/>
  <c r="AG70" i="2422"/>
  <c r="AG11" i="2422"/>
  <c r="AK11" i="2422" s="1"/>
  <c r="AG26" i="2422"/>
  <c r="AH13" i="2422"/>
  <c r="AH97" i="2422"/>
  <c r="AH61" i="2422"/>
  <c r="AH16" i="2422"/>
  <c r="AH35" i="2422"/>
  <c r="AH20" i="2422"/>
  <c r="AH104" i="2422"/>
  <c r="AH56" i="2422"/>
  <c r="AH28" i="2422"/>
  <c r="AH94" i="2422"/>
  <c r="AH91" i="2422"/>
  <c r="AH36" i="2422"/>
  <c r="AH38" i="2422"/>
  <c r="AH44" i="2422"/>
  <c r="AH14" i="2422"/>
  <c r="AH48" i="2422"/>
  <c r="AH18" i="2422"/>
  <c r="AH52" i="2422"/>
  <c r="AH22" i="2422"/>
  <c r="AH88" i="2422"/>
  <c r="AH60" i="2422"/>
  <c r="AH53" i="2422"/>
  <c r="AH99" i="2422"/>
  <c r="AH68" i="2422"/>
  <c r="AH102" i="2422"/>
  <c r="AH107" i="2422"/>
  <c r="AH76" i="2422"/>
  <c r="AH46" i="2422"/>
  <c r="AH80" i="2422"/>
  <c r="AH50" i="2422"/>
  <c r="AH84" i="2422"/>
  <c r="AH54" i="2422"/>
  <c r="AH26" i="2422"/>
  <c r="AH92" i="2422"/>
  <c r="AH85" i="2422"/>
  <c r="AH34" i="2422"/>
  <c r="AH100" i="2422"/>
  <c r="AH29" i="2422"/>
  <c r="AH42" i="2422"/>
  <c r="AH108" i="2422"/>
  <c r="AH78" i="2422"/>
  <c r="AH11" i="2422"/>
  <c r="AH82" i="2422"/>
  <c r="AH15" i="2422"/>
  <c r="AH86" i="2422"/>
  <c r="AH58" i="2422"/>
  <c r="AH23" i="2422"/>
  <c r="AH32" i="2422"/>
  <c r="AH66" i="2422"/>
  <c r="AH31" i="2422"/>
  <c r="AH40" i="2422"/>
  <c r="AH74" i="2422"/>
  <c r="AH39" i="2422"/>
  <c r="AH110" i="2422"/>
  <c r="AH43" i="2422"/>
  <c r="AH17" i="2422"/>
  <c r="AH47" i="2422"/>
  <c r="AH45" i="2422"/>
  <c r="AH90" i="2422"/>
  <c r="AH55" i="2422"/>
  <c r="AH64" i="2422"/>
  <c r="AH98" i="2422"/>
  <c r="AH63" i="2422"/>
  <c r="AH106" i="2422"/>
  <c r="AH71" i="2422"/>
  <c r="AH37" i="2422"/>
  <c r="AH75" i="2422"/>
  <c r="AH41" i="2422"/>
  <c r="AH79" i="2422"/>
  <c r="AH77" i="2422"/>
  <c r="AH21" i="2422"/>
  <c r="AH87" i="2422"/>
  <c r="AH96" i="2422"/>
  <c r="AH25" i="2422"/>
  <c r="AH95" i="2422"/>
  <c r="AH12" i="2422"/>
  <c r="AH33" i="2422"/>
  <c r="AH103" i="2422"/>
  <c r="AH69" i="2422"/>
  <c r="AH19" i="2422"/>
  <c r="AH73" i="2422"/>
  <c r="AH51" i="2422"/>
  <c r="AH109" i="2422"/>
  <c r="AH49" i="2422"/>
  <c r="AH30" i="2422"/>
  <c r="AH27" i="2422"/>
  <c r="AH57" i="2422"/>
  <c r="AH72" i="2422"/>
  <c r="AH65" i="2422"/>
  <c r="AH83" i="2422"/>
  <c r="AH101" i="2422"/>
  <c r="AH93" i="2422"/>
  <c r="AH105" i="2422"/>
  <c r="AH70" i="2422"/>
  <c r="AH24" i="2422"/>
  <c r="AH81" i="2422"/>
  <c r="AH62" i="2422"/>
  <c r="AH59" i="2422"/>
  <c r="AH89" i="2422"/>
  <c r="AH67" i="2422"/>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F15" i="2407"/>
  <c r="O126" i="2422"/>
  <c r="K21" i="2422" l="1"/>
  <c r="N24" i="2421"/>
  <c r="AW15" i="2420"/>
  <c r="L22" i="2390" s="1"/>
  <c r="DO15" i="2420"/>
  <c r="BR15" i="2420"/>
  <c r="CL15" i="2420"/>
  <c r="CE15" i="2420"/>
  <c r="CJ15" i="2420"/>
  <c r="CF15" i="2420"/>
  <c r="CG15" i="2420"/>
  <c r="I21" i="2422"/>
  <c r="L24" i="2421"/>
  <c r="CB15" i="2420"/>
  <c r="CD15" i="2420"/>
  <c r="CC15" i="2420"/>
  <c r="CH15" i="2420" s="1"/>
  <c r="E20" i="2406"/>
  <c r="E22" i="2383"/>
  <c r="AK78" i="2422"/>
  <c r="AJ78" i="2422"/>
  <c r="AK98" i="2422"/>
  <c r="AJ98" i="2422"/>
  <c r="AK57" i="2422"/>
  <c r="AJ57" i="2422"/>
  <c r="AK48" i="2422"/>
  <c r="AJ48" i="2422"/>
  <c r="AK86" i="2422"/>
  <c r="AJ86" i="2422"/>
  <c r="AK35" i="2422"/>
  <c r="AJ35" i="2422"/>
  <c r="AK74" i="2422"/>
  <c r="AJ74" i="2422"/>
  <c r="AK87" i="2422"/>
  <c r="AJ87" i="2422"/>
  <c r="AK45" i="2422"/>
  <c r="AJ45" i="2422"/>
  <c r="AK107" i="2422"/>
  <c r="AJ107" i="2422"/>
  <c r="AK23" i="2422"/>
  <c r="AJ23" i="2422"/>
  <c r="AK79" i="2422"/>
  <c r="AJ79" i="2422"/>
  <c r="AK54" i="2422"/>
  <c r="AJ54" i="2422"/>
  <c r="AK18" i="2422"/>
  <c r="AJ18" i="2422"/>
  <c r="AK53" i="2422"/>
  <c r="AJ53" i="2422"/>
  <c r="AK93" i="2422"/>
  <c r="AJ93" i="2422"/>
  <c r="AK56" i="2422"/>
  <c r="AJ56" i="2422"/>
  <c r="AK94" i="2422"/>
  <c r="AJ94" i="2422"/>
  <c r="AK76" i="2422"/>
  <c r="AJ76" i="2422"/>
  <c r="AK89" i="2422"/>
  <c r="AJ89" i="2422"/>
  <c r="AK97" i="2422"/>
  <c r="AJ97" i="2422"/>
  <c r="AK85" i="2422"/>
  <c r="AJ85" i="2422"/>
  <c r="AK46" i="2422"/>
  <c r="AJ46" i="2422"/>
  <c r="AK68" i="2422"/>
  <c r="AJ68" i="2422"/>
  <c r="AK28" i="2422"/>
  <c r="AJ28" i="2422"/>
  <c r="AK59" i="2422"/>
  <c r="AJ59" i="2422"/>
  <c r="AK92" i="2422"/>
  <c r="AJ92" i="2422"/>
  <c r="AK91" i="2422"/>
  <c r="AJ91" i="2422"/>
  <c r="AK80" i="2422"/>
  <c r="AJ80" i="2422"/>
  <c r="AK51" i="2422"/>
  <c r="AJ51" i="2422"/>
  <c r="AK96" i="2422"/>
  <c r="AJ96" i="2422"/>
  <c r="AK71" i="2422"/>
  <c r="AJ71" i="2422"/>
  <c r="AK109" i="2422"/>
  <c r="AJ109" i="2422"/>
  <c r="AK32" i="2422"/>
  <c r="AJ32" i="2422"/>
  <c r="AK105" i="2422"/>
  <c r="AJ105" i="2422"/>
  <c r="AK84" i="2422"/>
  <c r="AJ84" i="2422"/>
  <c r="AK63" i="2422"/>
  <c r="AJ63" i="2422"/>
  <c r="AK43" i="2422"/>
  <c r="AJ43" i="2422"/>
  <c r="AK25" i="2422"/>
  <c r="AJ25" i="2422"/>
  <c r="AK49" i="2422"/>
  <c r="AJ49" i="2422"/>
  <c r="AK26" i="2422"/>
  <c r="AJ26" i="2422"/>
  <c r="AK34" i="2422"/>
  <c r="AJ34" i="2422"/>
  <c r="AK40" i="2422"/>
  <c r="AJ40" i="2422"/>
  <c r="AK110" i="2422"/>
  <c r="AJ110" i="2422"/>
  <c r="AK27" i="2422"/>
  <c r="AJ27" i="2422"/>
  <c r="AK61" i="2422"/>
  <c r="AJ61" i="2422"/>
  <c r="AK30" i="2422"/>
  <c r="AJ30" i="2422"/>
  <c r="AK29" i="2422"/>
  <c r="AJ29" i="2422"/>
  <c r="AK66" i="2422"/>
  <c r="AJ66" i="2422"/>
  <c r="AK22" i="2422"/>
  <c r="AJ22" i="2422"/>
  <c r="AK90" i="2422"/>
  <c r="AJ90" i="2422"/>
  <c r="AK102" i="2422"/>
  <c r="AJ102" i="2422"/>
  <c r="AK21" i="2422"/>
  <c r="AJ21" i="2422"/>
  <c r="AK31" i="2422"/>
  <c r="AJ31" i="2422"/>
  <c r="AK88" i="2422"/>
  <c r="AJ88" i="2422"/>
  <c r="AK67" i="2422"/>
  <c r="AJ67" i="2422"/>
  <c r="AK106" i="2422"/>
  <c r="AJ106" i="2422"/>
  <c r="AK50" i="2422"/>
  <c r="AJ50" i="2422"/>
  <c r="AK101" i="2422"/>
  <c r="AJ101" i="2422"/>
  <c r="AK69" i="2422"/>
  <c r="AJ69" i="2422"/>
  <c r="AK55" i="2422"/>
  <c r="AJ55" i="2422"/>
  <c r="AK100" i="2422"/>
  <c r="AJ100" i="2422"/>
  <c r="AK17" i="2422"/>
  <c r="AJ17" i="2422"/>
  <c r="AK60" i="2422"/>
  <c r="AJ60" i="2422"/>
  <c r="AK104" i="2422"/>
  <c r="AJ104" i="2422"/>
  <c r="AK20" i="2422"/>
  <c r="AJ20" i="2422"/>
  <c r="AK81" i="2422"/>
  <c r="AJ81" i="2422"/>
  <c r="AK41" i="2422"/>
  <c r="AJ41" i="2422"/>
  <c r="AK70" i="2422"/>
  <c r="AJ70" i="2422"/>
  <c r="AK83" i="2422"/>
  <c r="AJ83" i="2422"/>
  <c r="AK42" i="2422"/>
  <c r="AJ42" i="2422"/>
  <c r="AK108" i="2422"/>
  <c r="AJ108" i="2422"/>
  <c r="AK24" i="2422"/>
  <c r="AJ24" i="2422"/>
  <c r="AK62" i="2422"/>
  <c r="AJ62" i="2422"/>
  <c r="AK44" i="2422"/>
  <c r="AJ44" i="2422"/>
  <c r="AK82" i="2422"/>
  <c r="AJ82" i="2422"/>
  <c r="AK95" i="2422"/>
  <c r="AJ95" i="2422"/>
  <c r="AK75" i="2422"/>
  <c r="AJ75" i="2422"/>
  <c r="AK37" i="2422"/>
  <c r="AJ37" i="2422"/>
  <c r="AK16" i="2422"/>
  <c r="AJ16" i="2422"/>
  <c r="AK77" i="2422"/>
  <c r="AJ77" i="2422"/>
  <c r="AK99" i="2422"/>
  <c r="AJ99" i="2422"/>
  <c r="AK52" i="2422"/>
  <c r="AJ52" i="2422"/>
  <c r="AK72" i="2422"/>
  <c r="AJ72" i="2422"/>
  <c r="AK73" i="2422"/>
  <c r="AJ73" i="2422"/>
  <c r="AK33" i="2422"/>
  <c r="AJ33" i="2422"/>
  <c r="AK103" i="2422"/>
  <c r="AJ103" i="2422"/>
  <c r="AK19" i="2422"/>
  <c r="AJ19" i="2422"/>
  <c r="AK64" i="2422"/>
  <c r="AJ64" i="2422"/>
  <c r="AK39" i="2422"/>
  <c r="AJ39" i="2422"/>
  <c r="AK58" i="2422"/>
  <c r="AJ58" i="2422"/>
  <c r="AK38" i="2422"/>
  <c r="AJ38" i="2422"/>
  <c r="AK65" i="2422"/>
  <c r="AJ65" i="2422"/>
  <c r="AK47" i="2422"/>
  <c r="AJ47" i="2422"/>
  <c r="AK36" i="2422"/>
  <c r="AJ36" i="2422"/>
  <c r="P194" i="2422"/>
  <c r="Q195" i="2422"/>
  <c r="P195" i="2422"/>
  <c r="L195" i="2422" s="1"/>
  <c r="U126" i="2422"/>
  <c r="AM126" i="2422"/>
  <c r="GJ126" i="2422"/>
  <c r="CX126" i="2422"/>
  <c r="BN126" i="2422"/>
  <c r="IL126" i="2422"/>
  <c r="DP126" i="2422"/>
  <c r="FI126" i="2422"/>
  <c r="HK126" i="2422"/>
  <c r="HT126" i="2422"/>
  <c r="DG126" i="2422"/>
  <c r="EZ126" i="2422"/>
  <c r="DY126" i="2422"/>
  <c r="JV126" i="2422"/>
  <c r="GS126" i="2422"/>
  <c r="IC126" i="2422"/>
  <c r="AD126" i="2422"/>
  <c r="IU126" i="2422"/>
  <c r="EQ126" i="2422"/>
  <c r="HB126" i="2422"/>
  <c r="EH126" i="2422"/>
  <c r="BW126" i="2422"/>
  <c r="CO126" i="2422"/>
  <c r="JM126" i="2422"/>
  <c r="BE126" i="2422"/>
  <c r="AV126" i="2422"/>
  <c r="FR126" i="2422"/>
  <c r="GA126" i="2422"/>
  <c r="CF126" i="2422"/>
  <c r="JD126" i="2422"/>
  <c r="JN126" i="2422"/>
  <c r="DZ126" i="2422"/>
  <c r="JE126" i="2422"/>
  <c r="DQ126" i="2422"/>
  <c r="FS126" i="2422"/>
  <c r="ER126" i="2422"/>
  <c r="AE126" i="2422"/>
  <c r="EI126" i="2422"/>
  <c r="ID126" i="2422"/>
  <c r="CP126" i="2422"/>
  <c r="HU126" i="2422"/>
  <c r="CG126" i="2422"/>
  <c r="IV126" i="2422"/>
  <c r="DH126" i="2422"/>
  <c r="IM126" i="2422"/>
  <c r="CY126" i="2422"/>
  <c r="GT126" i="2422"/>
  <c r="BF126" i="2422"/>
  <c r="GK126" i="2422"/>
  <c r="AW126" i="2422"/>
  <c r="HL126" i="2422"/>
  <c r="BX126" i="2422"/>
  <c r="HC126" i="2422"/>
  <c r="BO126" i="2422"/>
  <c r="FJ126" i="2422"/>
  <c r="JW126" i="2422"/>
  <c r="FA126" i="2422"/>
  <c r="V126" i="2422"/>
  <c r="GB126" i="2422"/>
  <c r="AN126" i="2422"/>
  <c r="X14" i="2422"/>
  <c r="I15" i="2383" s="1"/>
  <c r="J15" i="2383" s="1"/>
  <c r="X15" i="2422"/>
  <c r="X11" i="2422"/>
  <c r="X12" i="2422"/>
  <c r="X13" i="2422"/>
  <c r="Y12" i="2422"/>
  <c r="N12" i="2422" s="1"/>
  <c r="Y14" i="2422"/>
  <c r="Y15" i="2422"/>
  <c r="Y13" i="2422"/>
  <c r="Y11" i="2422"/>
  <c r="Q127" i="2422"/>
  <c r="Z11" i="2422"/>
  <c r="O11" i="2422" s="1"/>
  <c r="AB13" i="2422"/>
  <c r="I14" i="2383"/>
  <c r="J14" i="2383" s="1"/>
  <c r="AB15" i="2422"/>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Q20" i="2422" s="1"/>
  <c r="KJ20" i="2422" s="1"/>
  <c r="X107" i="2422"/>
  <c r="AA107" i="2422" s="1"/>
  <c r="Q107" i="2422" s="1"/>
  <c r="KJ107" i="2422" s="1"/>
  <c r="X46" i="2422"/>
  <c r="AB46" i="2422" s="1"/>
  <c r="X63" i="2422"/>
  <c r="AA63" i="2422" s="1"/>
  <c r="Q63" i="2422" s="1"/>
  <c r="KJ63" i="2422" s="1"/>
  <c r="X104" i="2422"/>
  <c r="AA104" i="2422" s="1"/>
  <c r="Q104" i="2422" s="1"/>
  <c r="KJ104" i="2422" s="1"/>
  <c r="X56" i="2422"/>
  <c r="AA56" i="2422" s="1"/>
  <c r="Q56" i="2422" s="1"/>
  <c r="KJ56" i="2422" s="1"/>
  <c r="X81" i="2422"/>
  <c r="AA81" i="2422" s="1"/>
  <c r="Q81" i="2422" s="1"/>
  <c r="KJ81" i="2422" s="1"/>
  <c r="X91" i="2422"/>
  <c r="AB91" i="2422" s="1"/>
  <c r="X92" i="2422"/>
  <c r="AB92" i="2422" s="1"/>
  <c r="X41" i="2422"/>
  <c r="AB41" i="2422" s="1"/>
  <c r="X66" i="2422"/>
  <c r="AA66" i="2422" s="1"/>
  <c r="Q66" i="2422" s="1"/>
  <c r="KJ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Q21" i="2422" s="1"/>
  <c r="KJ21" i="2422" s="1"/>
  <c r="Y19" i="2422"/>
  <c r="Y109" i="2422"/>
  <c r="Y51" i="2422"/>
  <c r="Y100" i="2422"/>
  <c r="Y46" i="2422"/>
  <c r="Y64" i="2422"/>
  <c r="Y40" i="2422"/>
  <c r="Y55" i="2422"/>
  <c r="Y47" i="2422"/>
  <c r="Y95" i="2422"/>
  <c r="Y65" i="2422"/>
  <c r="Y99" i="2422"/>
  <c r="Y88" i="2422"/>
  <c r="Y53" i="2422"/>
  <c r="Y66" i="2422"/>
  <c r="X72" i="2422"/>
  <c r="AB72" i="2422" s="1"/>
  <c r="X50" i="2422"/>
  <c r="AA50" i="2422" s="1"/>
  <c r="Q50" i="2422" s="1"/>
  <c r="KJ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Q48" i="2422" s="1"/>
  <c r="KJ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Q31" i="2422" s="1"/>
  <c r="KJ31" i="2422" s="1"/>
  <c r="X74" i="2422"/>
  <c r="AA74" i="2422" s="1"/>
  <c r="Q74" i="2422" s="1"/>
  <c r="KJ74" i="2422" s="1"/>
  <c r="X103" i="2422"/>
  <c r="AA103" i="2422" s="1"/>
  <c r="Q103" i="2422" s="1"/>
  <c r="KJ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Q58" i="2422" s="1"/>
  <c r="KJ58" i="2422" s="1"/>
  <c r="X55" i="2422"/>
  <c r="AB55" i="2422" s="1"/>
  <c r="X77" i="2422"/>
  <c r="AB77" i="2422" s="1"/>
  <c r="X99" i="2422"/>
  <c r="AA99" i="2422" s="1"/>
  <c r="Q99" i="2422" s="1"/>
  <c r="KJ99" i="2422" s="1"/>
  <c r="X69" i="2422"/>
  <c r="AB69" i="2422" s="1"/>
  <c r="X36" i="2422"/>
  <c r="AA36" i="2422" s="1"/>
  <c r="Q36" i="2422" s="1"/>
  <c r="KJ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Q96" i="2422" s="1"/>
  <c r="KJ96" i="2422" s="1"/>
  <c r="X53" i="2422"/>
  <c r="AB53" i="2422" s="1"/>
  <c r="X57" i="2422"/>
  <c r="AA57" i="2422" s="1"/>
  <c r="Q57" i="2422" s="1"/>
  <c r="KJ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Q35" i="2422" s="1"/>
  <c r="KJ35" i="2422" s="1"/>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J12" i="2383" s="1"/>
  <c r="AB11" i="2422"/>
  <c r="AB12" i="2422"/>
  <c r="AB14" i="2422"/>
  <c r="L194" i="2422"/>
  <c r="Q193" i="2422"/>
  <c r="Q194" i="2422"/>
  <c r="Q192" i="2422"/>
  <c r="P193" i="2422"/>
  <c r="L193" i="2422" s="1"/>
  <c r="P192" i="2422"/>
  <c r="L192" i="2422" s="1"/>
  <c r="Q191" i="2422"/>
  <c r="P190" i="2422"/>
  <c r="L190" i="2422" s="1"/>
  <c r="P191" i="2422"/>
  <c r="L191" i="2422" s="1"/>
  <c r="Q190" i="2422"/>
  <c r="V15" i="2421"/>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N14" i="2422"/>
  <c r="CK15" i="2420" l="1"/>
  <c r="BS15" i="2420"/>
  <c r="I20" i="2406"/>
  <c r="PI24" i="2421"/>
  <c r="NN24" i="2421"/>
  <c r="LW24" i="2421"/>
  <c r="KR24" i="2421"/>
  <c r="PW24" i="2421"/>
  <c r="DF24" i="2421"/>
  <c r="CB24" i="2421"/>
  <c r="EW24" i="2421"/>
  <c r="EJ24" i="2421"/>
  <c r="IY24" i="2421"/>
  <c r="RO24" i="2421"/>
  <c r="RA24" i="2421"/>
  <c r="AX24" i="2421"/>
  <c r="NP24" i="2421"/>
  <c r="PX24" i="2421"/>
  <c r="MZ24" i="2421"/>
  <c r="OS24" i="2421"/>
  <c r="QL24" i="2421"/>
  <c r="NO24" i="2421"/>
  <c r="KS24" i="2421"/>
  <c r="FN24" i="2421"/>
  <c r="FM24" i="2421"/>
  <c r="NA24" i="2421"/>
  <c r="EI24" i="2421"/>
  <c r="IZ24" i="2421"/>
  <c r="DU24" i="2421"/>
  <c r="RP24" i="2421"/>
  <c r="BM24" i="2421"/>
  <c r="KC24" i="2421"/>
  <c r="OD24" i="2421"/>
  <c r="RQ24" i="2421"/>
  <c r="EY24" i="2421"/>
  <c r="CA24" i="2421"/>
  <c r="ML24" i="2421"/>
  <c r="MK24" i="2421"/>
  <c r="GR24" i="2421"/>
  <c r="GQ24" i="2421"/>
  <c r="LV24" i="2421"/>
  <c r="OT24" i="2421"/>
  <c r="OE24" i="2421"/>
  <c r="QM24" i="2421"/>
  <c r="HV24" i="2421"/>
  <c r="CP24" i="2421"/>
  <c r="EX24" i="2421"/>
  <c r="BZ24" i="2421"/>
  <c r="LH24" i="2421"/>
  <c r="LG24" i="2421"/>
  <c r="GC24" i="2421"/>
  <c r="GB24" i="2421"/>
  <c r="KD24" i="2421"/>
  <c r="JO24" i="2421"/>
  <c r="JN24" i="2421"/>
  <c r="PH24" i="2421"/>
  <c r="PG24" i="2421"/>
  <c r="HG24" i="2421"/>
  <c r="HF24" i="2421"/>
  <c r="DT24" i="2421"/>
  <c r="IK24" i="2421"/>
  <c r="IJ24" i="2421"/>
  <c r="DE24" i="2421"/>
  <c r="RB24" i="2421"/>
  <c r="HU24" i="2421"/>
  <c r="CQ24" i="2421"/>
  <c r="DD24" i="2421"/>
  <c r="OC24" i="2421"/>
  <c r="FL24" i="2421"/>
  <c r="JM24" i="2421"/>
  <c r="EH24" i="2421"/>
  <c r="PV24" i="2421"/>
  <c r="GA24" i="2421"/>
  <c r="CO24" i="2421"/>
  <c r="HE24" i="2421"/>
  <c r="II24" i="2421"/>
  <c r="KB24" i="2421"/>
  <c r="QK24" i="2421"/>
  <c r="KQ24" i="2421"/>
  <c r="LF24" i="2421"/>
  <c r="OR24" i="2421"/>
  <c r="GP24" i="2421"/>
  <c r="MJ24" i="2421"/>
  <c r="DS24" i="2421"/>
  <c r="IX24" i="2421"/>
  <c r="LU24" i="2421"/>
  <c r="QZ24" i="2421"/>
  <c r="MY24" i="2421"/>
  <c r="HT24" i="2421"/>
  <c r="I13" i="2383"/>
  <c r="Z12" i="2422"/>
  <c r="O12" i="2422" s="1"/>
  <c r="AZ6" i="2420" s="1"/>
  <c r="P13" i="2390" s="1"/>
  <c r="RT15" i="2421"/>
  <c r="J13" i="2383"/>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P126" i="2422"/>
  <c r="L126" i="2422" s="1"/>
  <c r="Q126" i="2422"/>
  <c r="M13" i="2422"/>
  <c r="M15" i="2422"/>
  <c r="M12" i="2422"/>
  <c r="M14" i="2422"/>
  <c r="J9" i="2407"/>
  <c r="J10" i="2407"/>
  <c r="J11" i="2407"/>
  <c r="J12" i="2407"/>
  <c r="J13" i="2407"/>
  <c r="J8" i="2407"/>
  <c r="H13" i="2407"/>
  <c r="H9" i="2407"/>
  <c r="H10" i="2407"/>
  <c r="H12" i="2407"/>
  <c r="D21" i="2348"/>
  <c r="K23" i="2348"/>
  <c r="K24" i="2348"/>
  <c r="K25" i="2348"/>
  <c r="K26" i="2348"/>
  <c r="K27" i="2348"/>
  <c r="K22" i="2348"/>
  <c r="D10" i="2348"/>
  <c r="D12" i="2348"/>
  <c r="D9" i="2348"/>
  <c r="D15" i="2348"/>
  <c r="D16" i="2348"/>
  <c r="D17" i="2348"/>
  <c r="D18" i="2348"/>
  <c r="D19" i="2348"/>
  <c r="D20" i="2348"/>
  <c r="D13" i="2348"/>
  <c r="AD24" i="2421" l="1"/>
  <c r="BU15" i="2420"/>
  <c r="K20" i="2406" s="1"/>
  <c r="H20" i="2406"/>
  <c r="R26" i="2422"/>
  <c r="R53" i="2422"/>
  <c r="R80" i="2422"/>
  <c r="CS11" i="2420"/>
  <c r="CS6" i="2420"/>
  <c r="CS26" i="2420"/>
  <c r="CS8" i="2420"/>
  <c r="CS7" i="2420"/>
  <c r="CS27" i="2420"/>
  <c r="CS24" i="2420"/>
  <c r="R42" i="2422"/>
  <c r="R95" i="2422"/>
  <c r="R48" i="2422"/>
  <c r="P91" i="2422"/>
  <c r="BK85" i="2420" s="1"/>
  <c r="R37" i="2422"/>
  <c r="R106" i="2422"/>
  <c r="P77" i="2422"/>
  <c r="BK71" i="2420" s="1"/>
  <c r="R101" i="2422"/>
  <c r="R103" i="2422"/>
  <c r="R58" i="2422"/>
  <c r="R92" i="2422"/>
  <c r="P96" i="2422"/>
  <c r="P17" i="2422"/>
  <c r="X18" i="2390" s="1"/>
  <c r="R77" i="2422"/>
  <c r="R74" i="2422"/>
  <c r="R72" i="2422"/>
  <c r="P48" i="2422"/>
  <c r="BK42" i="2420" s="1"/>
  <c r="R70" i="2422"/>
  <c r="P97" i="2422"/>
  <c r="BK91" i="2420" s="1"/>
  <c r="R110" i="2422"/>
  <c r="P20" i="2422"/>
  <c r="X21" i="2390" s="1"/>
  <c r="P25" i="2422"/>
  <c r="X26" i="2390" s="1"/>
  <c r="P99" i="2422"/>
  <c r="I117" i="2403" s="1"/>
  <c r="R45" i="2422"/>
  <c r="R87" i="2422"/>
  <c r="P83" i="2422"/>
  <c r="R102" i="2422"/>
  <c r="P67" i="2422"/>
  <c r="R75" i="2422"/>
  <c r="P56" i="2422"/>
  <c r="R34" i="2422"/>
  <c r="P19" i="2422"/>
  <c r="X20" i="2390" s="1"/>
  <c r="R61" i="2422"/>
  <c r="R49" i="2422"/>
  <c r="R16" i="2422"/>
  <c r="R79" i="2422"/>
  <c r="R39" i="2422"/>
  <c r="R69" i="2422"/>
  <c r="P102" i="2422"/>
  <c r="R91" i="2422"/>
  <c r="R25" i="2422"/>
  <c r="R94" i="2422"/>
  <c r="R96" i="2422"/>
  <c r="R27" i="2422"/>
  <c r="R67" i="2422"/>
  <c r="P75" i="2422"/>
  <c r="P29" i="2422"/>
  <c r="X30" i="2390" s="1"/>
  <c r="P93" i="2422"/>
  <c r="R56" i="2422"/>
  <c r="R22" i="2422"/>
  <c r="R20" i="2422"/>
  <c r="R100" i="2422"/>
  <c r="P42" i="2422"/>
  <c r="R109" i="2422"/>
  <c r="R19" i="2422"/>
  <c r="R18" i="2422"/>
  <c r="P43" i="2422"/>
  <c r="R54" i="2422"/>
  <c r="R21" i="2422"/>
  <c r="R41" i="2422"/>
  <c r="R24" i="2422"/>
  <c r="R52" i="2422"/>
  <c r="R38" i="2422"/>
  <c r="R57" i="2422"/>
  <c r="R44" i="2422"/>
  <c r="R43" i="2422"/>
  <c r="P105" i="2422"/>
  <c r="R105" i="2422"/>
  <c r="R31" i="2422"/>
  <c r="R62" i="2422"/>
  <c r="R36" i="2422"/>
  <c r="R64" i="2422"/>
  <c r="P45" i="2422"/>
  <c r="DD11" i="2420"/>
  <c r="DM11" i="2420" s="1"/>
  <c r="DD15" i="2420"/>
  <c r="DM15" i="2420" s="1"/>
  <c r="X20" i="2380" s="1"/>
  <c r="DD19" i="2420"/>
  <c r="DM19" i="2420" s="1"/>
  <c r="X24" i="2380" s="1"/>
  <c r="DS19" i="2420" s="1"/>
  <c r="DD23" i="2420"/>
  <c r="DM23" i="2420" s="1"/>
  <c r="X28" i="2380" s="1"/>
  <c r="DD27" i="2420"/>
  <c r="DM27" i="2420" s="1"/>
  <c r="DD31" i="2420"/>
  <c r="DM31" i="2420" s="1"/>
  <c r="DD35" i="2420"/>
  <c r="DM35" i="2420" s="1"/>
  <c r="DD39" i="2420"/>
  <c r="DM39" i="2420" s="1"/>
  <c r="DD43" i="2420"/>
  <c r="DM43" i="2420" s="1"/>
  <c r="DD47" i="2420"/>
  <c r="DM47" i="2420" s="1"/>
  <c r="DD51" i="2420"/>
  <c r="DM51" i="2420" s="1"/>
  <c r="DD55" i="2420"/>
  <c r="DM55" i="2420" s="1"/>
  <c r="DD59" i="2420"/>
  <c r="DM59" i="2420" s="1"/>
  <c r="DD63" i="2420"/>
  <c r="DM63" i="2420" s="1"/>
  <c r="DD67" i="2420"/>
  <c r="DM67" i="2420" s="1"/>
  <c r="DD71" i="2420"/>
  <c r="DM71" i="2420" s="1"/>
  <c r="DD75" i="2420"/>
  <c r="DM75" i="2420" s="1"/>
  <c r="DD79" i="2420"/>
  <c r="DM79" i="2420" s="1"/>
  <c r="DD83" i="2420"/>
  <c r="DM83" i="2420" s="1"/>
  <c r="DD87" i="2420"/>
  <c r="DM87" i="2420" s="1"/>
  <c r="DD91" i="2420"/>
  <c r="DM91" i="2420" s="1"/>
  <c r="DD95" i="2420"/>
  <c r="DM95" i="2420" s="1"/>
  <c r="DD99" i="2420"/>
  <c r="DM99" i="2420" s="1"/>
  <c r="DD103" i="2420"/>
  <c r="DM103" i="2420" s="1"/>
  <c r="DD82" i="2420"/>
  <c r="DM82" i="2420" s="1"/>
  <c r="DD90" i="2420"/>
  <c r="DM90" i="2420" s="1"/>
  <c r="DD102" i="2420"/>
  <c r="DM102" i="2420" s="1"/>
  <c r="DD10" i="2420"/>
  <c r="DM10" i="2420" s="1"/>
  <c r="X15" i="2380" s="1"/>
  <c r="DD14" i="2420"/>
  <c r="DM14" i="2420" s="1"/>
  <c r="X19" i="2380" s="1"/>
  <c r="DD18" i="2420"/>
  <c r="DM18" i="2420" s="1"/>
  <c r="X23" i="2380" s="1"/>
  <c r="DS18" i="2420" s="1"/>
  <c r="DD22" i="2420"/>
  <c r="DM22" i="2420" s="1"/>
  <c r="X27" i="2380" s="1"/>
  <c r="DS22" i="2420" s="1"/>
  <c r="DD26" i="2420"/>
  <c r="DM26" i="2420" s="1"/>
  <c r="X31" i="2380" s="1"/>
  <c r="DD30" i="2420"/>
  <c r="DM30" i="2420" s="1"/>
  <c r="DD34" i="2420"/>
  <c r="DM34" i="2420" s="1"/>
  <c r="DD38" i="2420"/>
  <c r="DM38" i="2420" s="1"/>
  <c r="DD42" i="2420"/>
  <c r="DM42" i="2420" s="1"/>
  <c r="DD46" i="2420"/>
  <c r="DM46" i="2420" s="1"/>
  <c r="DD50" i="2420"/>
  <c r="DM50" i="2420" s="1"/>
  <c r="DD54" i="2420"/>
  <c r="DM54" i="2420" s="1"/>
  <c r="DD58" i="2420"/>
  <c r="DM58" i="2420" s="1"/>
  <c r="DD62" i="2420"/>
  <c r="DM62" i="2420" s="1"/>
  <c r="DD66" i="2420"/>
  <c r="DM66" i="2420" s="1"/>
  <c r="DD70" i="2420"/>
  <c r="DM70" i="2420" s="1"/>
  <c r="DD74" i="2420"/>
  <c r="DM74" i="2420" s="1"/>
  <c r="DD78" i="2420"/>
  <c r="DM78" i="2420" s="1"/>
  <c r="DD86" i="2420"/>
  <c r="DM86" i="2420" s="1"/>
  <c r="DD94" i="2420"/>
  <c r="DM94" i="2420" s="1"/>
  <c r="DD98" i="2420"/>
  <c r="DM98" i="2420" s="1"/>
  <c r="DD81" i="2420"/>
  <c r="DM81" i="2420" s="1"/>
  <c r="DD93" i="2420"/>
  <c r="DM93" i="2420" s="1"/>
  <c r="DD104" i="2420"/>
  <c r="DM104" i="2420" s="1"/>
  <c r="DD13" i="2420"/>
  <c r="DM13" i="2420" s="1"/>
  <c r="DD17" i="2420"/>
  <c r="DM17" i="2420" s="1"/>
  <c r="X22" i="2380" s="1"/>
  <c r="DS17" i="2420" s="1"/>
  <c r="DD21" i="2420"/>
  <c r="DM21" i="2420" s="1"/>
  <c r="X26" i="2380" s="1"/>
  <c r="DS21" i="2420" s="1"/>
  <c r="DD25" i="2420"/>
  <c r="DM25" i="2420" s="1"/>
  <c r="X30" i="2380" s="1"/>
  <c r="DD29" i="2420"/>
  <c r="DM29" i="2420" s="1"/>
  <c r="X34" i="2380" s="1"/>
  <c r="DD33" i="2420"/>
  <c r="DM33" i="2420" s="1"/>
  <c r="DD37" i="2420"/>
  <c r="DM37" i="2420" s="1"/>
  <c r="DD41" i="2420"/>
  <c r="DM41" i="2420" s="1"/>
  <c r="DD45" i="2420"/>
  <c r="DM45" i="2420" s="1"/>
  <c r="DD49" i="2420"/>
  <c r="DM49" i="2420" s="1"/>
  <c r="DD53" i="2420"/>
  <c r="DM53" i="2420" s="1"/>
  <c r="DD57" i="2420"/>
  <c r="DM57" i="2420" s="1"/>
  <c r="DD61" i="2420"/>
  <c r="DM61" i="2420" s="1"/>
  <c r="DD65" i="2420"/>
  <c r="DM65" i="2420" s="1"/>
  <c r="DD69" i="2420"/>
  <c r="DM69" i="2420" s="1"/>
  <c r="DD73" i="2420"/>
  <c r="DM73" i="2420" s="1"/>
  <c r="DD77" i="2420"/>
  <c r="DM77" i="2420" s="1"/>
  <c r="DD85" i="2420"/>
  <c r="DM85" i="2420" s="1"/>
  <c r="DD89" i="2420"/>
  <c r="DM89" i="2420" s="1"/>
  <c r="DD97" i="2420"/>
  <c r="DM97" i="2420" s="1"/>
  <c r="DD101" i="2420"/>
  <c r="DM101" i="2420" s="1"/>
  <c r="DD80" i="2420"/>
  <c r="DM80" i="2420" s="1"/>
  <c r="DD92" i="2420"/>
  <c r="DM92" i="2420" s="1"/>
  <c r="DD100" i="2420"/>
  <c r="DM100" i="2420" s="1"/>
  <c r="DD12" i="2420"/>
  <c r="DM12" i="2420" s="1"/>
  <c r="DD16" i="2420"/>
  <c r="DM16" i="2420" s="1"/>
  <c r="X21" i="2380" s="1"/>
  <c r="DS16" i="2420" s="1"/>
  <c r="DD20" i="2420"/>
  <c r="DM20" i="2420" s="1"/>
  <c r="X25" i="2380" s="1"/>
  <c r="DS20" i="2420" s="1"/>
  <c r="DD24" i="2420"/>
  <c r="DM24" i="2420" s="1"/>
  <c r="X29" i="2380" s="1"/>
  <c r="DD28" i="2420"/>
  <c r="DM28" i="2420" s="1"/>
  <c r="DD32" i="2420"/>
  <c r="DM32" i="2420" s="1"/>
  <c r="DD36" i="2420"/>
  <c r="DM36" i="2420" s="1"/>
  <c r="DD40" i="2420"/>
  <c r="DM40" i="2420" s="1"/>
  <c r="DD44" i="2420"/>
  <c r="DM44" i="2420" s="1"/>
  <c r="DD48" i="2420"/>
  <c r="DM48" i="2420" s="1"/>
  <c r="DD52" i="2420"/>
  <c r="DM52" i="2420" s="1"/>
  <c r="DD56" i="2420"/>
  <c r="DM56" i="2420" s="1"/>
  <c r="DD60" i="2420"/>
  <c r="DM60" i="2420" s="1"/>
  <c r="DD64" i="2420"/>
  <c r="DM64" i="2420" s="1"/>
  <c r="DD68" i="2420"/>
  <c r="DM68" i="2420" s="1"/>
  <c r="DD72" i="2420"/>
  <c r="DM72" i="2420" s="1"/>
  <c r="DD76" i="2420"/>
  <c r="DM76" i="2420" s="1"/>
  <c r="DD84" i="2420"/>
  <c r="DM84" i="2420" s="1"/>
  <c r="DD88" i="2420"/>
  <c r="DM88" i="2420" s="1"/>
  <c r="DD96" i="2420"/>
  <c r="DM96" i="2420" s="1"/>
  <c r="P70" i="2422"/>
  <c r="P104" i="2422"/>
  <c r="P34" i="2422"/>
  <c r="P110" i="2422"/>
  <c r="P101" i="2422"/>
  <c r="P31" i="2422"/>
  <c r="X32" i="2390" s="1"/>
  <c r="P98" i="2422"/>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R47" i="2422"/>
  <c r="P26" i="2422"/>
  <c r="X27" i="2390" s="1"/>
  <c r="R98" i="2422"/>
  <c r="R46" i="2422"/>
  <c r="R23" i="2422"/>
  <c r="R65" i="2422"/>
  <c r="R97" i="2422"/>
  <c r="R99" i="2422"/>
  <c r="R60" i="2422"/>
  <c r="P68" i="2422"/>
  <c r="P60" i="2422"/>
  <c r="P40" i="2422"/>
  <c r="P63" i="2422"/>
  <c r="P37" i="2422"/>
  <c r="P16" i="2422"/>
  <c r="X17" i="2390" s="1"/>
  <c r="P74" i="2422"/>
  <c r="P32" i="2422"/>
  <c r="X33" i="2390" s="1"/>
  <c r="P92" i="2422"/>
  <c r="P84" i="2422"/>
  <c r="P95" i="2422"/>
  <c r="P103" i="2422"/>
  <c r="P24" i="2422"/>
  <c r="X25" i="2390" s="1"/>
  <c r="P38" i="2422"/>
  <c r="P64" i="2422"/>
  <c r="P35" i="2422"/>
  <c r="X36" i="2390" s="1"/>
  <c r="P52" i="2422"/>
  <c r="P94" i="2422"/>
  <c r="P90" i="2422"/>
  <c r="P46" i="2422"/>
  <c r="P39" i="2422"/>
  <c r="P21" i="2422"/>
  <c r="X22" i="2390" s="1"/>
  <c r="P30" i="2422"/>
  <c r="X31" i="2390" s="1"/>
  <c r="P33" i="2422"/>
  <c r="P106" i="2422"/>
  <c r="P88" i="2422"/>
  <c r="P65" i="2422"/>
  <c r="P41" i="2422"/>
  <c r="P58" i="2422"/>
  <c r="P82" i="2422"/>
  <c r="P107" i="2422"/>
  <c r="P50" i="2422"/>
  <c r="P109" i="2422"/>
  <c r="P87" i="2422"/>
  <c r="P85" i="2422"/>
  <c r="P49" i="2422"/>
  <c r="P78" i="2422"/>
  <c r="P108" i="2422"/>
  <c r="P57" i="2422"/>
  <c r="P61" i="2422"/>
  <c r="P44" i="2422"/>
  <c r="P18" i="2422"/>
  <c r="X19" i="2390" s="1"/>
  <c r="P23" i="2422"/>
  <c r="X24" i="2390" s="1"/>
  <c r="P100" i="2422"/>
  <c r="P36" i="2422"/>
  <c r="R76" i="2422"/>
  <c r="R78" i="2422"/>
  <c r="R108" i="2422"/>
  <c r="R28" i="2422"/>
  <c r="R40" i="2422"/>
  <c r="R104" i="2422"/>
  <c r="R90" i="2422"/>
  <c r="P79" i="2422"/>
  <c r="P51" i="2422"/>
  <c r="P73" i="2422"/>
  <c r="P62" i="2422"/>
  <c r="P54" i="2422"/>
  <c r="P72" i="2422"/>
  <c r="P71" i="2422"/>
  <c r="P81" i="2422"/>
  <c r="P22" i="2422"/>
  <c r="X23" i="2390" s="1"/>
  <c r="P28" i="2422"/>
  <c r="X29" i="2390" s="1"/>
  <c r="P69" i="2422"/>
  <c r="P76" i="2422"/>
  <c r="P66" i="2422"/>
  <c r="P47" i="2422"/>
  <c r="P86" i="2422"/>
  <c r="P27" i="2422"/>
  <c r="X28" i="2390" s="1"/>
  <c r="P55" i="2422"/>
  <c r="P89" i="2422"/>
  <c r="P80" i="2422"/>
  <c r="P53" i="2422"/>
  <c r="R11" i="2422"/>
  <c r="R15" i="2422"/>
  <c r="DD6" i="2420"/>
  <c r="DM6" i="2420" s="1"/>
  <c r="DD7" i="2420"/>
  <c r="DD8" i="2420"/>
  <c r="DM8" i="2420" s="1"/>
  <c r="DD9" i="2420"/>
  <c r="DM9" i="2420" s="1"/>
  <c r="DD5" i="2420"/>
  <c r="DM5" i="2420" s="1"/>
  <c r="BP5" i="2420"/>
  <c r="M14" i="2421"/>
  <c r="J11" i="2422" s="1"/>
  <c r="AG6" i="2420"/>
  <c r="AW6" i="2420" s="1"/>
  <c r="L13" i="2390" s="1"/>
  <c r="AF7" i="2420"/>
  <c r="AG7" i="2420"/>
  <c r="AF5" i="2420"/>
  <c r="DO5" i="2420" s="1"/>
  <c r="AF8" i="2420"/>
  <c r="DO8" i="2420" s="1"/>
  <c r="AG5" i="2420"/>
  <c r="AW5" i="2420" s="1"/>
  <c r="L12" i="2390" s="1"/>
  <c r="AG8" i="2420"/>
  <c r="AF9" i="2420"/>
  <c r="DO9" i="2420" s="1"/>
  <c r="AG9" i="2420"/>
  <c r="AF6" i="2420"/>
  <c r="DO6" i="2420" s="1"/>
  <c r="BV15" i="2420" l="1"/>
  <c r="L20" i="2406" s="1"/>
  <c r="DS15" i="2420"/>
  <c r="DS14" i="2420"/>
  <c r="V122" i="2422"/>
  <c r="X10" i="2380"/>
  <c r="DS26" i="2420"/>
  <c r="X17" i="2380"/>
  <c r="X18" i="2380"/>
  <c r="X14" i="2380"/>
  <c r="X16" i="2380"/>
  <c r="DS23" i="2420"/>
  <c r="DS25" i="2420"/>
  <c r="X13" i="2380"/>
  <c r="X11" i="2380"/>
  <c r="CB9" i="2420"/>
  <c r="CJ9" i="2420"/>
  <c r="CB8" i="2420"/>
  <c r="CJ8" i="2420"/>
  <c r="CB5" i="2420"/>
  <c r="CJ5" i="2420"/>
  <c r="CB6" i="2420"/>
  <c r="CJ6" i="2420"/>
  <c r="CJ7" i="2420"/>
  <c r="CB7" i="2420"/>
  <c r="BR8" i="2420"/>
  <c r="I13" i="2406" s="1"/>
  <c r="BR6" i="2420"/>
  <c r="CL7" i="2420"/>
  <c r="BR7" i="2420"/>
  <c r="I12" i="2406" s="1"/>
  <c r="CH7" i="2420"/>
  <c r="BR9" i="2420"/>
  <c r="BR5" i="2420"/>
  <c r="I10" i="2406" s="1"/>
  <c r="CL5" i="2420"/>
  <c r="CL8" i="2420"/>
  <c r="CL9" i="2420"/>
  <c r="CL6" i="2420"/>
  <c r="DS10" i="2420"/>
  <c r="DS32" i="2420"/>
  <c r="DS30" i="2420"/>
  <c r="DS29" i="2420"/>
  <c r="BK28" i="2420"/>
  <c r="DS28" i="2420"/>
  <c r="DS24" i="2420"/>
  <c r="BK93" i="2420"/>
  <c r="I115" i="2403"/>
  <c r="CS74" i="2420"/>
  <c r="CS47" i="2420"/>
  <c r="CS20" i="2420"/>
  <c r="I95" i="2403"/>
  <c r="I109" i="2403"/>
  <c r="CS70" i="2420"/>
  <c r="CS91" i="2420"/>
  <c r="CS78" i="2420"/>
  <c r="CS57" i="2420"/>
  <c r="CS65" i="2420"/>
  <c r="CS99" i="2420"/>
  <c r="CS35" i="2420"/>
  <c r="CS94" i="2420"/>
  <c r="CS21" i="2420"/>
  <c r="CS73" i="2420"/>
  <c r="CS104" i="2420"/>
  <c r="CS59" i="2420"/>
  <c r="CS77" i="2420"/>
  <c r="CS60" i="2420"/>
  <c r="CS44" i="2420"/>
  <c r="CS15" i="2420"/>
  <c r="CS14" i="2420"/>
  <c r="CS90" i="2420"/>
  <c r="CS10" i="2420"/>
  <c r="CS96" i="2420"/>
  <c r="CS86" i="2420"/>
  <c r="CS42" i="2420"/>
  <c r="CS84" i="2420"/>
  <c r="CS17" i="2420"/>
  <c r="CS82" i="2420"/>
  <c r="CS101" i="2420"/>
  <c r="CS87" i="2420"/>
  <c r="CS37" i="2420"/>
  <c r="CS48" i="2420"/>
  <c r="CS16" i="2420"/>
  <c r="CS88" i="2420"/>
  <c r="CS43" i="2420"/>
  <c r="CS64" i="2420"/>
  <c r="CS52" i="2420"/>
  <c r="CS89" i="2420"/>
  <c r="CS98" i="2420"/>
  <c r="CS40" i="2420"/>
  <c r="CS83" i="2420"/>
  <c r="CS29" i="2420"/>
  <c r="CS23" i="2420"/>
  <c r="CS38" i="2420"/>
  <c r="CS50" i="2420"/>
  <c r="CS19" i="2420"/>
  <c r="CS55" i="2420"/>
  <c r="CS81" i="2420"/>
  <c r="CS97" i="2420"/>
  <c r="CS36" i="2420"/>
  <c r="CS34" i="2420"/>
  <c r="CS92" i="2420"/>
  <c r="CS49" i="2420"/>
  <c r="CS67" i="2420"/>
  <c r="CS76" i="2420"/>
  <c r="CS58" i="2420"/>
  <c r="CS51" i="2420"/>
  <c r="CS12" i="2420"/>
  <c r="CS85" i="2420"/>
  <c r="CS39" i="2420"/>
  <c r="CS66" i="2420"/>
  <c r="CS95" i="2420"/>
  <c r="CS22" i="2420"/>
  <c r="CS75" i="2420"/>
  <c r="CS80" i="2420"/>
  <c r="CS30" i="2420"/>
  <c r="CS32" i="2420"/>
  <c r="CS13" i="2420"/>
  <c r="CS28" i="2420"/>
  <c r="CS68" i="2420"/>
  <c r="CS102" i="2420"/>
  <c r="CS54" i="2420"/>
  <c r="CS41" i="2420"/>
  <c r="CS45" i="2420"/>
  <c r="CS53" i="2420"/>
  <c r="CS56" i="2420"/>
  <c r="CS46" i="2420"/>
  <c r="CS103" i="2420"/>
  <c r="CS63" i="2420"/>
  <c r="CS71" i="2420"/>
  <c r="CS100" i="2420"/>
  <c r="CS9" i="2420"/>
  <c r="CS72" i="2420"/>
  <c r="CS93" i="2420"/>
  <c r="CS79" i="2420"/>
  <c r="CS62" i="2420"/>
  <c r="CS25" i="2420"/>
  <c r="CS18" i="2420"/>
  <c r="CS61" i="2420"/>
  <c r="CS33" i="2420"/>
  <c r="CS69" i="2420"/>
  <c r="CS31" i="2420"/>
  <c r="CS5" i="2420"/>
  <c r="BK81" i="2420"/>
  <c r="BK82" i="2420"/>
  <c r="BK88" i="2420"/>
  <c r="I102" i="2403"/>
  <c r="I78" i="2403"/>
  <c r="BK87" i="2420"/>
  <c r="BK13" i="2420"/>
  <c r="BK38" i="2420"/>
  <c r="BK103" i="2420"/>
  <c r="BK100" i="2420"/>
  <c r="I70" i="2403"/>
  <c r="BK86" i="2420"/>
  <c r="BK62" i="2420"/>
  <c r="BK20" i="2420"/>
  <c r="BK92" i="2420"/>
  <c r="BK23" i="2420"/>
  <c r="BK96" i="2420"/>
  <c r="I79" i="2403"/>
  <c r="I68" i="2403"/>
  <c r="BK27" i="2420"/>
  <c r="BK29" i="2420"/>
  <c r="BK26" i="2420"/>
  <c r="BK25" i="2420"/>
  <c r="I93" i="2403"/>
  <c r="BK50" i="2420"/>
  <c r="I43" i="2403"/>
  <c r="BK51" i="2420"/>
  <c r="BK101" i="2420"/>
  <c r="BK24" i="2420"/>
  <c r="I82" i="2403"/>
  <c r="BK68" i="2420"/>
  <c r="BK53" i="2420"/>
  <c r="BK95" i="2420"/>
  <c r="BK36" i="2420"/>
  <c r="I38" i="2403"/>
  <c r="I126" i="2403"/>
  <c r="BK76" i="2420"/>
  <c r="BK15" i="2420"/>
  <c r="BK32" i="2420"/>
  <c r="BK104" i="2420"/>
  <c r="BK61" i="2420"/>
  <c r="BK90" i="2420"/>
  <c r="BK30" i="2420"/>
  <c r="BK72" i="2420"/>
  <c r="BK52" i="2420"/>
  <c r="BK33" i="2420"/>
  <c r="BK18" i="2420"/>
  <c r="BK31" i="2420"/>
  <c r="I52" i="2403"/>
  <c r="BK99" i="2420"/>
  <c r="BK94" i="2420"/>
  <c r="BK43" i="2420"/>
  <c r="BK35" i="2420"/>
  <c r="BK40" i="2420"/>
  <c r="BK97" i="2420"/>
  <c r="BK57" i="2420"/>
  <c r="BK98" i="2420"/>
  <c r="BK77" i="2420"/>
  <c r="BK17" i="2420"/>
  <c r="BK79" i="2420"/>
  <c r="BK59" i="2420"/>
  <c r="I108" i="2403"/>
  <c r="BK89" i="2420"/>
  <c r="BK34" i="2420"/>
  <c r="BK64" i="2420"/>
  <c r="BK39" i="2420"/>
  <c r="BK37" i="2420"/>
  <c r="I66" i="2403"/>
  <c r="I35" i="2403"/>
  <c r="BK12" i="2420"/>
  <c r="BK11" i="2420"/>
  <c r="I34" i="2403"/>
  <c r="I63" i="2403"/>
  <c r="I85" i="2403"/>
  <c r="I114" i="2403"/>
  <c r="BK14" i="2420"/>
  <c r="I61" i="2403"/>
  <c r="I88" i="2403"/>
  <c r="BK19" i="2420"/>
  <c r="I60" i="2403"/>
  <c r="I77" i="2403"/>
  <c r="I74" i="2403"/>
  <c r="BK69" i="2420"/>
  <c r="I119" i="2403"/>
  <c r="I37" i="2403"/>
  <c r="I111" i="2403"/>
  <c r="I121" i="2403"/>
  <c r="I122" i="2403"/>
  <c r="I101" i="2403"/>
  <c r="I123" i="2403"/>
  <c r="I47" i="2403"/>
  <c r="I120" i="2403"/>
  <c r="I116" i="2403"/>
  <c r="I128" i="2403"/>
  <c r="BK10" i="2420"/>
  <c r="I49" i="2403"/>
  <c r="BK84" i="2420"/>
  <c r="I55" i="2403"/>
  <c r="I81" i="2403"/>
  <c r="BK54" i="2420"/>
  <c r="I64" i="2403"/>
  <c r="I110" i="2403"/>
  <c r="BK58" i="2420"/>
  <c r="I44" i="2403"/>
  <c r="I86" i="2403"/>
  <c r="I92" i="2403"/>
  <c r="BK78" i="2420"/>
  <c r="BK46" i="2420"/>
  <c r="I58" i="2403"/>
  <c r="I39" i="2403"/>
  <c r="I56" i="2403"/>
  <c r="I50" i="2403"/>
  <c r="I100" i="2403"/>
  <c r="I42" i="2403"/>
  <c r="I76" i="2403"/>
  <c r="I57" i="2403"/>
  <c r="I113" i="2403"/>
  <c r="BK44" i="2420"/>
  <c r="I51" i="2403"/>
  <c r="I53" i="2403"/>
  <c r="I112" i="2403"/>
  <c r="I59" i="2403"/>
  <c r="I105" i="2403"/>
  <c r="I36" i="2403"/>
  <c r="I106" i="2403"/>
  <c r="BK102" i="2420"/>
  <c r="I67" i="2403"/>
  <c r="I48" i="2403"/>
  <c r="I83" i="2403"/>
  <c r="I124" i="2403"/>
  <c r="I125" i="2403"/>
  <c r="I103" i="2403"/>
  <c r="I62" i="2403"/>
  <c r="I96" i="2403"/>
  <c r="I41" i="2403"/>
  <c r="I75" i="2403"/>
  <c r="I127" i="2403"/>
  <c r="I118" i="2403"/>
  <c r="BK55" i="2420"/>
  <c r="I54" i="2403"/>
  <c r="BK80" i="2420"/>
  <c r="I104" i="2403"/>
  <c r="BK60" i="2420"/>
  <c r="I84" i="2403"/>
  <c r="BK63" i="2420"/>
  <c r="I87" i="2403"/>
  <c r="BK65" i="2420"/>
  <c r="I89" i="2403"/>
  <c r="BK47" i="2420"/>
  <c r="I71" i="2403"/>
  <c r="BK83" i="2420"/>
  <c r="I107" i="2403"/>
  <c r="BK22" i="2420"/>
  <c r="I46" i="2403"/>
  <c r="BK67" i="2420"/>
  <c r="I91" i="2403"/>
  <c r="BK74" i="2420"/>
  <c r="I98" i="2403"/>
  <c r="BK49" i="2420"/>
  <c r="I73" i="2403"/>
  <c r="BK16" i="2420"/>
  <c r="I40" i="2403"/>
  <c r="BK66" i="2420"/>
  <c r="I90" i="2403"/>
  <c r="BK56" i="2420"/>
  <c r="I80" i="2403"/>
  <c r="BK45" i="2420"/>
  <c r="I69" i="2403"/>
  <c r="BK21" i="2420"/>
  <c r="I45" i="2403"/>
  <c r="BK41" i="2420"/>
  <c r="I65" i="2403"/>
  <c r="BK70" i="2420"/>
  <c r="I94" i="2403"/>
  <c r="BK75" i="2420"/>
  <c r="I99" i="2403"/>
  <c r="BK48" i="2420"/>
  <c r="I72" i="2403"/>
  <c r="BK73" i="2420"/>
  <c r="I97" i="2403"/>
  <c r="DD107" i="2420"/>
  <c r="L9" i="2380" s="1"/>
  <c r="CE7" i="2420"/>
  <c r="CD7" i="2420"/>
  <c r="CF7" i="2420"/>
  <c r="CC7" i="2420"/>
  <c r="CG7" i="2420"/>
  <c r="CE9" i="2420"/>
  <c r="CF9" i="2420"/>
  <c r="CC9" i="2420"/>
  <c r="CH9" i="2420" s="1"/>
  <c r="CK9" i="2420" s="1"/>
  <c r="CG9" i="2420"/>
  <c r="CD9" i="2420"/>
  <c r="CC8" i="2420"/>
  <c r="CG8" i="2420"/>
  <c r="CF8" i="2420"/>
  <c r="CD8" i="2420"/>
  <c r="CE8" i="2420"/>
  <c r="CC6" i="2420"/>
  <c r="CG6" i="2420"/>
  <c r="CD6" i="2420"/>
  <c r="CF6" i="2420"/>
  <c r="CE6" i="2420"/>
  <c r="CF5" i="2420"/>
  <c r="CG5" i="2420"/>
  <c r="CE5" i="2420"/>
  <c r="CD5" i="2420"/>
  <c r="CC5" i="2420"/>
  <c r="N122" i="2420"/>
  <c r="M122" i="2420"/>
  <c r="M120" i="2420"/>
  <c r="D16" i="2408" s="1"/>
  <c r="M121" i="2420"/>
  <c r="D15" i="2408" s="1"/>
  <c r="N120" i="2420"/>
  <c r="F16" i="2408" s="1"/>
  <c r="N121" i="2420"/>
  <c r="F15" i="2408" s="1"/>
  <c r="N18" i="2421"/>
  <c r="K15" i="2422"/>
  <c r="AW9" i="2420"/>
  <c r="L16" i="2390" s="1"/>
  <c r="N14" i="2421"/>
  <c r="K11" i="2422"/>
  <c r="L16" i="2421"/>
  <c r="I13" i="2422"/>
  <c r="E11" i="2406"/>
  <c r="L18" i="2421"/>
  <c r="I15" i="2422"/>
  <c r="L17" i="2421"/>
  <c r="I14" i="2422"/>
  <c r="L14" i="2421"/>
  <c r="I11" i="2422"/>
  <c r="K12" i="2422"/>
  <c r="N15" i="2421"/>
  <c r="L15" i="2421"/>
  <c r="I12" i="2422"/>
  <c r="K14" i="2422"/>
  <c r="N17" i="2421"/>
  <c r="AW8" i="2420"/>
  <c r="L15" i="2390" s="1"/>
  <c r="K13" i="2422"/>
  <c r="N16" i="2421"/>
  <c r="E10" i="2406"/>
  <c r="E13" i="2406"/>
  <c r="E14" i="2406"/>
  <c r="A59" i="2405" l="1"/>
  <c r="N59" i="2405" s="1"/>
  <c r="A53" i="2405"/>
  <c r="N53" i="2405" s="1"/>
  <c r="A35" i="2405"/>
  <c r="N35" i="2405" s="1"/>
  <c r="A96" i="2405"/>
  <c r="N96" i="2405" s="1"/>
  <c r="A24" i="2405"/>
  <c r="N24" i="2405" s="1"/>
  <c r="A16" i="2405"/>
  <c r="N16" i="2405" s="1"/>
  <c r="A90" i="2405"/>
  <c r="N90" i="2405" s="1"/>
  <c r="A21" i="2405"/>
  <c r="N21" i="2405" s="1"/>
  <c r="A52" i="2405"/>
  <c r="N52" i="2405" s="1"/>
  <c r="A34" i="2405"/>
  <c r="N34" i="2405" s="1"/>
  <c r="A80" i="2405"/>
  <c r="N80" i="2405" s="1"/>
  <c r="A81" i="2405"/>
  <c r="N81" i="2405" s="1"/>
  <c r="A12" i="2405"/>
  <c r="A64" i="2405"/>
  <c r="N64" i="2405" s="1"/>
  <c r="A55" i="2405"/>
  <c r="N55" i="2405" s="1"/>
  <c r="A41" i="2405"/>
  <c r="N41" i="2405" s="1"/>
  <c r="A13" i="2405"/>
  <c r="N13" i="2405" s="1"/>
  <c r="A32" i="2405"/>
  <c r="N32" i="2405" s="1"/>
  <c r="A33" i="2405"/>
  <c r="N33" i="2405" s="1"/>
  <c r="A94" i="2405"/>
  <c r="N94" i="2405" s="1"/>
  <c r="A26" i="2405"/>
  <c r="N26" i="2405" s="1"/>
  <c r="A70" i="2405"/>
  <c r="N70" i="2405" s="1"/>
  <c r="A93" i="2405"/>
  <c r="N93" i="2405" s="1"/>
  <c r="A82" i="2405"/>
  <c r="N82" i="2405" s="1"/>
  <c r="A22" i="2405"/>
  <c r="N22" i="2405" s="1"/>
  <c r="A23" i="2405"/>
  <c r="N23" i="2405" s="1"/>
  <c r="A68" i="2405"/>
  <c r="N68" i="2405" s="1"/>
  <c r="A60" i="2405"/>
  <c r="N60" i="2405" s="1"/>
  <c r="A45" i="2405"/>
  <c r="N45" i="2405" s="1"/>
  <c r="A25" i="2405"/>
  <c r="N25" i="2405" s="1"/>
  <c r="A46" i="2405"/>
  <c r="N46" i="2405" s="1"/>
  <c r="A42" i="2405"/>
  <c r="N42" i="2405" s="1"/>
  <c r="A99" i="2405"/>
  <c r="N99" i="2405" s="1"/>
  <c r="A37" i="2405"/>
  <c r="N37" i="2405" s="1"/>
  <c r="A95" i="2405"/>
  <c r="N95" i="2405" s="1"/>
  <c r="A87" i="2405"/>
  <c r="N87" i="2405" s="1"/>
  <c r="A86" i="2405"/>
  <c r="N86" i="2405" s="1"/>
  <c r="A91" i="2405"/>
  <c r="N91" i="2405" s="1"/>
  <c r="A27" i="2405"/>
  <c r="N27" i="2405" s="1"/>
  <c r="A72" i="2405"/>
  <c r="N72" i="2405" s="1"/>
  <c r="A65" i="2405"/>
  <c r="N65" i="2405" s="1"/>
  <c r="A56" i="2405"/>
  <c r="N56" i="2405" s="1"/>
  <c r="A29" i="2405"/>
  <c r="N29" i="2405" s="1"/>
  <c r="A49" i="2405"/>
  <c r="N49" i="2405" s="1"/>
  <c r="A47" i="2405"/>
  <c r="N47" i="2405" s="1"/>
  <c r="A101" i="2405"/>
  <c r="N101" i="2405" s="1"/>
  <c r="A43" i="2405"/>
  <c r="N43" i="2405" s="1"/>
  <c r="A100" i="2405"/>
  <c r="N100" i="2405" s="1"/>
  <c r="A88" i="2405"/>
  <c r="N88" i="2405" s="1"/>
  <c r="A104" i="2405"/>
  <c r="N104" i="2405" s="1"/>
  <c r="A106" i="2405"/>
  <c r="N106" i="2405" s="1"/>
  <c r="A39" i="2405"/>
  <c r="N39" i="2405" s="1"/>
  <c r="A75" i="2405"/>
  <c r="N75" i="2405" s="1"/>
  <c r="A73" i="2405"/>
  <c r="N73" i="2405" s="1"/>
  <c r="A61" i="2405"/>
  <c r="N61" i="2405" s="1"/>
  <c r="A36" i="2405"/>
  <c r="N36" i="2405" s="1"/>
  <c r="A57" i="2405"/>
  <c r="N57" i="2405" s="1"/>
  <c r="A17" i="2405"/>
  <c r="N17" i="2405" s="1"/>
  <c r="A103" i="2405"/>
  <c r="N103" i="2405" s="1"/>
  <c r="A48" i="2405"/>
  <c r="N48" i="2405" s="1"/>
  <c r="A110" i="2405"/>
  <c r="N110" i="2405" s="1"/>
  <c r="A102" i="2405"/>
  <c r="N102" i="2405" s="1"/>
  <c r="A97" i="2405"/>
  <c r="N97" i="2405" s="1"/>
  <c r="A44" i="2405"/>
  <c r="N44" i="2405" s="1"/>
  <c r="A15" i="2405"/>
  <c r="N15" i="2405" s="1"/>
  <c r="A79" i="2405"/>
  <c r="N79" i="2405" s="1"/>
  <c r="A67" i="2405"/>
  <c r="N67" i="2405" s="1"/>
  <c r="A51" i="2405"/>
  <c r="N51" i="2405" s="1"/>
  <c r="A76" i="2405"/>
  <c r="N76" i="2405" s="1"/>
  <c r="A20" i="2405"/>
  <c r="N20" i="2405" s="1"/>
  <c r="A105" i="2405"/>
  <c r="N105" i="2405" s="1"/>
  <c r="A58" i="2405"/>
  <c r="N58" i="2405" s="1"/>
  <c r="A108" i="2405"/>
  <c r="N108" i="2405" s="1"/>
  <c r="A98" i="2405"/>
  <c r="N98" i="2405" s="1"/>
  <c r="A63" i="2405"/>
  <c r="N63" i="2405" s="1"/>
  <c r="A50" i="2405"/>
  <c r="N50" i="2405" s="1"/>
  <c r="A31" i="2405"/>
  <c r="N31" i="2405" s="1"/>
  <c r="A19" i="2405"/>
  <c r="N19" i="2405" s="1"/>
  <c r="A77" i="2405"/>
  <c r="N77" i="2405" s="1"/>
  <c r="A66" i="2405"/>
  <c r="N66" i="2405" s="1"/>
  <c r="A92" i="2405"/>
  <c r="N92" i="2405" s="1"/>
  <c r="A62" i="2405"/>
  <c r="N62" i="2405" s="1"/>
  <c r="A107" i="2405"/>
  <c r="N107" i="2405" s="1"/>
  <c r="A78" i="2405"/>
  <c r="N78" i="2405" s="1"/>
  <c r="A85" i="2405"/>
  <c r="N85" i="2405" s="1"/>
  <c r="A89" i="2405"/>
  <c r="N89" i="2405" s="1"/>
  <c r="A84" i="2405"/>
  <c r="N84" i="2405" s="1"/>
  <c r="A54" i="2405"/>
  <c r="N54" i="2405" s="1"/>
  <c r="A40" i="2405"/>
  <c r="N40" i="2405" s="1"/>
  <c r="A28" i="2405"/>
  <c r="N28" i="2405" s="1"/>
  <c r="A83" i="2405"/>
  <c r="N83" i="2405" s="1"/>
  <c r="A74" i="2405"/>
  <c r="N74" i="2405" s="1"/>
  <c r="A109" i="2405"/>
  <c r="N109" i="2405" s="1"/>
  <c r="A71" i="2405"/>
  <c r="N71" i="2405" s="1"/>
  <c r="A14" i="2405"/>
  <c r="N14" i="2405" s="1"/>
  <c r="A30" i="2405"/>
  <c r="N30" i="2405" s="1"/>
  <c r="A69" i="2405"/>
  <c r="N69" i="2405" s="1"/>
  <c r="A38" i="2405"/>
  <c r="N38" i="2405" s="1"/>
  <c r="A18" i="2405"/>
  <c r="N18" i="2405" s="1"/>
  <c r="CH6" i="2420"/>
  <c r="CK6" i="2420" s="1"/>
  <c r="H3" i="2383"/>
  <c r="DS13" i="2420"/>
  <c r="DS12" i="2420"/>
  <c r="DS11" i="2420"/>
  <c r="CH8" i="2420"/>
  <c r="CK8" i="2420" s="1"/>
  <c r="BS8" i="2420"/>
  <c r="H13" i="2406" s="1"/>
  <c r="BS9" i="2420"/>
  <c r="H14" i="2406" s="1"/>
  <c r="I14" i="2406"/>
  <c r="BS6" i="2420"/>
  <c r="I11" i="2406"/>
  <c r="EY17" i="2421"/>
  <c r="EX17" i="2421"/>
  <c r="PH17" i="2421"/>
  <c r="PI17" i="2421"/>
  <c r="NP17" i="2421"/>
  <c r="NO17" i="2421"/>
  <c r="BM17" i="2421"/>
  <c r="CA17" i="2421"/>
  <c r="CB17" i="2421"/>
  <c r="PW17" i="2421"/>
  <c r="OT17" i="2421"/>
  <c r="EJ17" i="2421"/>
  <c r="EI17" i="2421"/>
  <c r="RQ17" i="2421"/>
  <c r="RP17" i="2421"/>
  <c r="IK17" i="2421"/>
  <c r="GR17" i="2421"/>
  <c r="GQ17" i="2421"/>
  <c r="KS17" i="2421"/>
  <c r="MZ17" i="2421"/>
  <c r="HG17" i="2421"/>
  <c r="OS17" i="2421"/>
  <c r="IY17" i="2421"/>
  <c r="DU17" i="2421"/>
  <c r="RB17" i="2421"/>
  <c r="ML17" i="2421"/>
  <c r="FN17" i="2421"/>
  <c r="HF17" i="2421"/>
  <c r="IZ17" i="2421"/>
  <c r="DT17" i="2421"/>
  <c r="QM17" i="2421"/>
  <c r="QL17" i="2421"/>
  <c r="DE17" i="2421"/>
  <c r="HV17" i="2421"/>
  <c r="CP17" i="2421"/>
  <c r="MK17" i="2421"/>
  <c r="LW17" i="2421"/>
  <c r="KR17" i="2421"/>
  <c r="KD17" i="2421"/>
  <c r="DF17" i="2421"/>
  <c r="PX17" i="2421"/>
  <c r="GC17" i="2421"/>
  <c r="FM17" i="2421"/>
  <c r="NA17" i="2421"/>
  <c r="IJ17" i="2421"/>
  <c r="OD17" i="2421"/>
  <c r="LH17" i="2421"/>
  <c r="LV17" i="2421"/>
  <c r="GB17" i="2421"/>
  <c r="KC17" i="2421"/>
  <c r="JO17" i="2421"/>
  <c r="OE17" i="2421"/>
  <c r="LG17" i="2421"/>
  <c r="JN17" i="2421"/>
  <c r="HU17" i="2421"/>
  <c r="CQ17" i="2421"/>
  <c r="RA17" i="2421"/>
  <c r="LF17" i="2421"/>
  <c r="HE17" i="2421"/>
  <c r="GA17" i="2421"/>
  <c r="DS17" i="2421"/>
  <c r="BZ17" i="2421"/>
  <c r="HT17" i="2421"/>
  <c r="QZ17" i="2421"/>
  <c r="PV17" i="2421"/>
  <c r="II17" i="2421"/>
  <c r="NN17" i="2421"/>
  <c r="CO17" i="2421"/>
  <c r="QK17" i="2421"/>
  <c r="MJ17" i="2421"/>
  <c r="FL17" i="2421"/>
  <c r="MY17" i="2421"/>
  <c r="IX17" i="2421"/>
  <c r="KB17" i="2421"/>
  <c r="EW17" i="2421"/>
  <c r="DD17" i="2421"/>
  <c r="GP17" i="2421"/>
  <c r="LU17" i="2421"/>
  <c r="RO17" i="2421"/>
  <c r="JM17" i="2421"/>
  <c r="KQ17" i="2421"/>
  <c r="EH17" i="2421"/>
  <c r="PG17" i="2421"/>
  <c r="OR17" i="2421"/>
  <c r="OC17" i="2421"/>
  <c r="EY16" i="2421"/>
  <c r="EX16" i="2421"/>
  <c r="PI16" i="2421"/>
  <c r="PH16" i="2421"/>
  <c r="BM16" i="2421"/>
  <c r="CA16" i="2421"/>
  <c r="NP16" i="2421"/>
  <c r="CB16" i="2421"/>
  <c r="NO16" i="2421"/>
  <c r="LV16" i="2421"/>
  <c r="GB16" i="2421"/>
  <c r="EJ16" i="2421"/>
  <c r="RB16" i="2421"/>
  <c r="HV16" i="2421"/>
  <c r="HU16" i="2421"/>
  <c r="CP16" i="2421"/>
  <c r="LG16" i="2421"/>
  <c r="FN16" i="2421"/>
  <c r="MZ16" i="2421"/>
  <c r="IY16" i="2421"/>
  <c r="RQ16" i="2421"/>
  <c r="RP16" i="2421"/>
  <c r="CQ16" i="2421"/>
  <c r="LH16" i="2421"/>
  <c r="GQ16" i="2421"/>
  <c r="KD16" i="2421"/>
  <c r="FM16" i="2421"/>
  <c r="NA16" i="2421"/>
  <c r="IZ16" i="2421"/>
  <c r="DT16" i="2421"/>
  <c r="RA16" i="2421"/>
  <c r="KR16" i="2421"/>
  <c r="EI16" i="2421"/>
  <c r="HG16" i="2421"/>
  <c r="OE16" i="2421"/>
  <c r="IK16" i="2421"/>
  <c r="ML16" i="2421"/>
  <c r="PW16" i="2421"/>
  <c r="HF16" i="2421"/>
  <c r="DU16" i="2421"/>
  <c r="QM16" i="2421"/>
  <c r="DF16" i="2421"/>
  <c r="DE16" i="2421"/>
  <c r="MK16" i="2421"/>
  <c r="LW16" i="2421"/>
  <c r="OT16" i="2421"/>
  <c r="OS16" i="2421"/>
  <c r="GR16" i="2421"/>
  <c r="KS16" i="2421"/>
  <c r="PX16" i="2421"/>
  <c r="KC16" i="2421"/>
  <c r="JO16" i="2421"/>
  <c r="OD16" i="2421"/>
  <c r="QL16" i="2421"/>
  <c r="IJ16" i="2421"/>
  <c r="GC16" i="2421"/>
  <c r="JN16" i="2421"/>
  <c r="EY18" i="2421"/>
  <c r="EX18" i="2421"/>
  <c r="PH18" i="2421"/>
  <c r="PI18" i="2421"/>
  <c r="CA18" i="2421"/>
  <c r="BM18" i="2421"/>
  <c r="NO18" i="2421"/>
  <c r="NP18" i="2421"/>
  <c r="CB18" i="2421"/>
  <c r="LG18" i="2421"/>
  <c r="GQ18" i="2421"/>
  <c r="LV18" i="2421"/>
  <c r="KS18" i="2421"/>
  <c r="MZ18" i="2421"/>
  <c r="IZ18" i="2421"/>
  <c r="DT18" i="2421"/>
  <c r="QL18" i="2421"/>
  <c r="CQ18" i="2421"/>
  <c r="GR18" i="2421"/>
  <c r="LW18" i="2421"/>
  <c r="FN18" i="2421"/>
  <c r="FM18" i="2421"/>
  <c r="NA18" i="2421"/>
  <c r="EJ18" i="2421"/>
  <c r="DU18" i="2421"/>
  <c r="HU18" i="2421"/>
  <c r="IY18" i="2421"/>
  <c r="GC18" i="2421"/>
  <c r="OT18" i="2421"/>
  <c r="OD18" i="2421"/>
  <c r="DF18" i="2421"/>
  <c r="RA18" i="2421"/>
  <c r="HV18" i="2421"/>
  <c r="CP18" i="2421"/>
  <c r="GB18" i="2421"/>
  <c r="HF18" i="2421"/>
  <c r="JN18" i="2421"/>
  <c r="OE18" i="2421"/>
  <c r="KR18" i="2421"/>
  <c r="HG18" i="2421"/>
  <c r="OS18" i="2421"/>
  <c r="EI18" i="2421"/>
  <c r="IJ18" i="2421"/>
  <c r="ML18" i="2421"/>
  <c r="MK18" i="2421"/>
  <c r="PX18" i="2421"/>
  <c r="KC18" i="2421"/>
  <c r="RQ18" i="2421"/>
  <c r="IK18" i="2421"/>
  <c r="RB18" i="2421"/>
  <c r="LH18" i="2421"/>
  <c r="PW18" i="2421"/>
  <c r="KD18" i="2421"/>
  <c r="JO18" i="2421"/>
  <c r="QM18" i="2421"/>
  <c r="RP18" i="2421"/>
  <c r="DE18" i="2421"/>
  <c r="MJ18" i="2421"/>
  <c r="GA18" i="2421"/>
  <c r="EW18" i="2421"/>
  <c r="OR18" i="2421"/>
  <c r="PV18" i="2421"/>
  <c r="RO18" i="2421"/>
  <c r="KQ18" i="2421"/>
  <c r="MY18" i="2421"/>
  <c r="EH18" i="2421"/>
  <c r="IX18" i="2421"/>
  <c r="DS18" i="2421"/>
  <c r="DD18" i="2421"/>
  <c r="QK18" i="2421"/>
  <c r="QZ18" i="2421"/>
  <c r="OC18" i="2421"/>
  <c r="GP18" i="2421"/>
  <c r="LU18" i="2421"/>
  <c r="FL18" i="2421"/>
  <c r="BZ18" i="2421"/>
  <c r="HT18" i="2421"/>
  <c r="PG18" i="2421"/>
  <c r="NN18" i="2421"/>
  <c r="CO18" i="2421"/>
  <c r="KB18" i="2421"/>
  <c r="LF18" i="2421"/>
  <c r="II18" i="2421"/>
  <c r="HE18" i="2421"/>
  <c r="JM18" i="2421"/>
  <c r="PW15" i="2421"/>
  <c r="OE15" i="2421"/>
  <c r="NA15" i="2421"/>
  <c r="HV15" i="2421"/>
  <c r="DT15" i="2421"/>
  <c r="DE15" i="2421"/>
  <c r="RB15" i="2421"/>
  <c r="QM15" i="2421"/>
  <c r="OD15" i="2421"/>
  <c r="MZ15" i="2421"/>
  <c r="HU15" i="2421"/>
  <c r="HG15" i="2421"/>
  <c r="GC15" i="2421"/>
  <c r="EJ15" i="2421"/>
  <c r="CQ15" i="2421"/>
  <c r="CB15" i="2421"/>
  <c r="JO15" i="2421"/>
  <c r="IK15" i="2421"/>
  <c r="GR15" i="2421"/>
  <c r="RA15" i="2421"/>
  <c r="QL15" i="2421"/>
  <c r="LH15" i="2421"/>
  <c r="HF15" i="2421"/>
  <c r="GB15" i="2421"/>
  <c r="FN15" i="2421"/>
  <c r="EI15" i="2421"/>
  <c r="CP15" i="2421"/>
  <c r="CA15" i="2421"/>
  <c r="NP15" i="2421"/>
  <c r="LG15" i="2421"/>
  <c r="FM15" i="2421"/>
  <c r="KS15" i="2421"/>
  <c r="KC15" i="2421"/>
  <c r="EX15" i="2421"/>
  <c r="NO15" i="2421"/>
  <c r="KD15" i="2421"/>
  <c r="EY15" i="2421"/>
  <c r="RQ15" i="2421"/>
  <c r="PI15" i="2421"/>
  <c r="OT15" i="2421"/>
  <c r="ML15" i="2421"/>
  <c r="LW15" i="2421"/>
  <c r="KR15" i="2421"/>
  <c r="JN15" i="2421"/>
  <c r="IZ15" i="2421"/>
  <c r="IJ15" i="2421"/>
  <c r="GQ15" i="2421"/>
  <c r="RP15" i="2421"/>
  <c r="PX15" i="2421"/>
  <c r="PH15" i="2421"/>
  <c r="OS15" i="2421"/>
  <c r="MK15" i="2421"/>
  <c r="LV15" i="2421"/>
  <c r="IY15" i="2421"/>
  <c r="DU15" i="2421"/>
  <c r="DF15" i="2421"/>
  <c r="BM15" i="2421"/>
  <c r="DS15" i="2421"/>
  <c r="KQ15" i="2421"/>
  <c r="RO15" i="2421"/>
  <c r="QZ15" i="2421"/>
  <c r="II15" i="2421"/>
  <c r="LF15" i="2421"/>
  <c r="PV15" i="2421"/>
  <c r="JM15" i="2421"/>
  <c r="MY15" i="2421"/>
  <c r="FL15" i="2421"/>
  <c r="CO15" i="2421"/>
  <c r="HE15" i="2421"/>
  <c r="GA15" i="2421"/>
  <c r="QK15" i="2421"/>
  <c r="KB15" i="2421"/>
  <c r="IX15" i="2421"/>
  <c r="BZ15" i="2421"/>
  <c r="GP15" i="2421"/>
  <c r="HT15" i="2421"/>
  <c r="EH15" i="2421"/>
  <c r="DD15" i="2421"/>
  <c r="NN15" i="2421"/>
  <c r="LU15" i="2421"/>
  <c r="PG15" i="2421"/>
  <c r="OC15" i="2421"/>
  <c r="MJ15" i="2421"/>
  <c r="OR15" i="2421"/>
  <c r="EW15" i="2421"/>
  <c r="CH5" i="2420"/>
  <c r="CK5" i="2420" s="1"/>
  <c r="AK120" i="2421"/>
  <c r="AL120" i="2421" s="1"/>
  <c r="QM14" i="2421"/>
  <c r="PW14" i="2421"/>
  <c r="OS14" i="2421"/>
  <c r="NA14" i="2421"/>
  <c r="LW14" i="2421"/>
  <c r="KR14" i="2421"/>
  <c r="KD14" i="2421"/>
  <c r="IY14" i="2421"/>
  <c r="HF14" i="2421"/>
  <c r="GR14" i="2421"/>
  <c r="FN14" i="2421"/>
  <c r="DE14" i="2421"/>
  <c r="CB14" i="2421"/>
  <c r="RQ14" i="2421"/>
  <c r="PI14" i="2421"/>
  <c r="OE14" i="2421"/>
  <c r="NP14" i="2421"/>
  <c r="ML14" i="2421"/>
  <c r="JN14" i="2421"/>
  <c r="EJ14" i="2421"/>
  <c r="RP14" i="2421"/>
  <c r="PX14" i="2421"/>
  <c r="RB14" i="2421"/>
  <c r="QL14" i="2421"/>
  <c r="MZ14" i="2421"/>
  <c r="LV14" i="2421"/>
  <c r="KC14" i="2421"/>
  <c r="JO14" i="2421"/>
  <c r="IK14" i="2421"/>
  <c r="GQ14" i="2421"/>
  <c r="FM14" i="2421"/>
  <c r="EY14" i="2421"/>
  <c r="CQ14" i="2421"/>
  <c r="CA14" i="2421"/>
  <c r="RA14" i="2421"/>
  <c r="LH14" i="2421"/>
  <c r="IJ14" i="2421"/>
  <c r="GC14" i="2421"/>
  <c r="EX14" i="2421"/>
  <c r="PH14" i="2421"/>
  <c r="OT14" i="2421"/>
  <c r="MK14" i="2421"/>
  <c r="LG14" i="2421"/>
  <c r="IZ14" i="2421"/>
  <c r="HU14" i="2421"/>
  <c r="HG14" i="2421"/>
  <c r="EI14" i="2421"/>
  <c r="DT14" i="2421"/>
  <c r="DF14" i="2421"/>
  <c r="HV14" i="2421"/>
  <c r="DU14" i="2421"/>
  <c r="CP14" i="2421"/>
  <c r="OD14" i="2421"/>
  <c r="NO14" i="2421"/>
  <c r="KS14" i="2421"/>
  <c r="GB14" i="2421"/>
  <c r="FL14" i="2421"/>
  <c r="JM14" i="2421"/>
  <c r="HT14" i="2421"/>
  <c r="EW14" i="2421"/>
  <c r="MY14" i="2421"/>
  <c r="KB14" i="2421"/>
  <c r="QZ14" i="2421"/>
  <c r="QK14" i="2421"/>
  <c r="BZ14" i="2421"/>
  <c r="EH14" i="2421"/>
  <c r="DS14" i="2421"/>
  <c r="GP14" i="2421"/>
  <c r="IX14" i="2421"/>
  <c r="LF14" i="2421"/>
  <c r="PV14" i="2421"/>
  <c r="GA14" i="2421"/>
  <c r="OC14" i="2421"/>
  <c r="HE14" i="2421"/>
  <c r="CO14" i="2421"/>
  <c r="KQ14" i="2421"/>
  <c r="MJ14" i="2421"/>
  <c r="OR14" i="2421"/>
  <c r="DD14" i="2421"/>
  <c r="LU14" i="2421"/>
  <c r="RO14" i="2421"/>
  <c r="II14" i="2421"/>
  <c r="NN14" i="2421"/>
  <c r="PG14" i="2421"/>
  <c r="AX16" i="2421"/>
  <c r="AX15" i="2421"/>
  <c r="AX18" i="2421"/>
  <c r="AX17" i="2421"/>
  <c r="BA122" i="2420" a="1"/>
  <c r="BA122" i="2420" s="1"/>
  <c r="A11" i="2405"/>
  <c r="AX116" i="2420" a="1"/>
  <c r="AX116" i="2420" s="1"/>
  <c r="Z12" i="2402" s="1"/>
  <c r="BP117" i="2421"/>
  <c r="BP128" i="2421" s="1"/>
  <c r="CT117" i="2421"/>
  <c r="CT128" i="2421" s="1"/>
  <c r="DS9" i="2420"/>
  <c r="DS8" i="2420"/>
  <c r="DS5" i="2420"/>
  <c r="DS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BU8" i="2420"/>
  <c r="AA14" i="2422"/>
  <c r="Q14" i="2422" s="1"/>
  <c r="KJ14" i="2422" s="1"/>
  <c r="AA12" i="2422"/>
  <c r="Q12" i="2422" s="1"/>
  <c r="KJ12" i="2422" s="1"/>
  <c r="AA11" i="2422"/>
  <c r="AA15" i="2422"/>
  <c r="Q15" i="2422" s="1"/>
  <c r="KJ15" i="2422" s="1"/>
  <c r="R6" i="2422" a="1"/>
  <c r="R6" i="2422" s="1"/>
  <c r="N16" i="2408" s="1"/>
  <c r="R5" i="2422" a="1"/>
  <c r="R5" i="2422" s="1"/>
  <c r="R7" i="2422" a="1"/>
  <c r="R7" i="2422" s="1"/>
  <c r="N15" i="2408" s="1"/>
  <c r="P141" i="2422"/>
  <c r="L141" i="2422" s="1"/>
  <c r="Q141" i="2422"/>
  <c r="CK7" i="2420"/>
  <c r="P120" i="2420"/>
  <c r="P121" i="2420"/>
  <c r="L14" i="2405" l="1"/>
  <c r="E14" i="2405"/>
  <c r="B14" i="2405"/>
  <c r="M14" i="2405"/>
  <c r="D14" i="2405"/>
  <c r="O14" i="2405" s="1"/>
  <c r="F14" i="2405"/>
  <c r="G14" i="2405"/>
  <c r="I14" i="2405"/>
  <c r="J14" i="2405"/>
  <c r="H14" i="2405"/>
  <c r="K14" i="2405"/>
  <c r="C14" i="2405"/>
  <c r="P14" i="2405"/>
  <c r="C84" i="2405"/>
  <c r="K84" i="2405"/>
  <c r="B84" i="2405"/>
  <c r="H84" i="2405"/>
  <c r="E84" i="2405"/>
  <c r="L84" i="2405"/>
  <c r="J84" i="2405"/>
  <c r="G84" i="2405"/>
  <c r="F84" i="2405"/>
  <c r="I84" i="2405"/>
  <c r="M84" i="2405"/>
  <c r="D84" i="2405"/>
  <c r="O84" i="2405" s="1"/>
  <c r="P84" i="2405"/>
  <c r="E77" i="2405"/>
  <c r="H77" i="2405"/>
  <c r="P77" i="2405"/>
  <c r="J77" i="2405"/>
  <c r="F77" i="2405"/>
  <c r="K77" i="2405"/>
  <c r="G77" i="2405"/>
  <c r="B77" i="2405"/>
  <c r="D77" i="2405"/>
  <c r="O77" i="2405" s="1"/>
  <c r="M77" i="2405"/>
  <c r="L77" i="2405"/>
  <c r="C77" i="2405"/>
  <c r="I77" i="2405"/>
  <c r="G105" i="2405"/>
  <c r="P105" i="2405"/>
  <c r="J105" i="2405"/>
  <c r="C105" i="2405"/>
  <c r="I105" i="2405"/>
  <c r="D105" i="2405"/>
  <c r="O105" i="2405" s="1"/>
  <c r="E105" i="2405"/>
  <c r="B105" i="2405"/>
  <c r="M105" i="2405"/>
  <c r="L105" i="2405"/>
  <c r="H105" i="2405"/>
  <c r="F105" i="2405"/>
  <c r="K105" i="2405"/>
  <c r="E97" i="2405"/>
  <c r="J97" i="2405"/>
  <c r="F97" i="2405"/>
  <c r="I97" i="2405"/>
  <c r="P97" i="2405"/>
  <c r="K97" i="2405"/>
  <c r="G97" i="2405"/>
  <c r="D97" i="2405"/>
  <c r="O97" i="2405" s="1"/>
  <c r="H97" i="2405"/>
  <c r="B97" i="2405"/>
  <c r="L97" i="2405"/>
  <c r="C97" i="2405"/>
  <c r="M97" i="2405"/>
  <c r="B61" i="2405"/>
  <c r="F61" i="2405"/>
  <c r="D61" i="2405"/>
  <c r="O61" i="2405" s="1"/>
  <c r="K61" i="2405"/>
  <c r="G61" i="2405"/>
  <c r="L61" i="2405"/>
  <c r="C61" i="2405"/>
  <c r="H61" i="2405"/>
  <c r="P61" i="2405"/>
  <c r="E61" i="2405"/>
  <c r="I61" i="2405"/>
  <c r="M61" i="2405"/>
  <c r="J61" i="2405"/>
  <c r="M43" i="2405"/>
  <c r="D43" i="2405"/>
  <c r="O43" i="2405" s="1"/>
  <c r="P43" i="2405"/>
  <c r="E43" i="2405"/>
  <c r="H43" i="2405"/>
  <c r="L43" i="2405"/>
  <c r="G43" i="2405"/>
  <c r="B43" i="2405"/>
  <c r="I43" i="2405"/>
  <c r="F43" i="2405"/>
  <c r="J43" i="2405"/>
  <c r="K43" i="2405"/>
  <c r="C43" i="2405"/>
  <c r="J27" i="2405"/>
  <c r="H27" i="2405"/>
  <c r="C27" i="2405"/>
  <c r="K27" i="2405"/>
  <c r="E27" i="2405"/>
  <c r="I27" i="2405"/>
  <c r="P27" i="2405"/>
  <c r="M27" i="2405"/>
  <c r="L27" i="2405"/>
  <c r="B27" i="2405"/>
  <c r="D27" i="2405"/>
  <c r="O27" i="2405" s="1"/>
  <c r="F27" i="2405"/>
  <c r="G27" i="2405"/>
  <c r="F46" i="2405"/>
  <c r="H46" i="2405"/>
  <c r="E46" i="2405"/>
  <c r="I46" i="2405"/>
  <c r="L46" i="2405"/>
  <c r="J46" i="2405"/>
  <c r="M46" i="2405"/>
  <c r="B46" i="2405"/>
  <c r="G46" i="2405"/>
  <c r="D46" i="2405"/>
  <c r="O46" i="2405" s="1"/>
  <c r="C46" i="2405"/>
  <c r="P46" i="2405"/>
  <c r="K46" i="2405"/>
  <c r="F93" i="2405"/>
  <c r="L93" i="2405"/>
  <c r="B93" i="2405"/>
  <c r="H93" i="2405"/>
  <c r="J93" i="2405"/>
  <c r="M93" i="2405"/>
  <c r="G93" i="2405"/>
  <c r="P93" i="2405"/>
  <c r="E93" i="2405"/>
  <c r="K93" i="2405"/>
  <c r="D93" i="2405"/>
  <c r="O93" i="2405" s="1"/>
  <c r="I93" i="2405"/>
  <c r="C93" i="2405"/>
  <c r="H55" i="2405"/>
  <c r="K55" i="2405"/>
  <c r="B55" i="2405"/>
  <c r="D55" i="2405"/>
  <c r="O55" i="2405" s="1"/>
  <c r="L55" i="2405"/>
  <c r="E55" i="2405"/>
  <c r="P55" i="2405"/>
  <c r="M55" i="2405"/>
  <c r="I55" i="2405"/>
  <c r="F55" i="2405"/>
  <c r="G55" i="2405"/>
  <c r="J55" i="2405"/>
  <c r="C55" i="2405"/>
  <c r="F90" i="2405"/>
  <c r="G90" i="2405"/>
  <c r="H90" i="2405"/>
  <c r="P90" i="2405"/>
  <c r="J90" i="2405"/>
  <c r="L90" i="2405"/>
  <c r="I90" i="2405"/>
  <c r="K90" i="2405"/>
  <c r="B90" i="2405"/>
  <c r="M90" i="2405"/>
  <c r="E90" i="2405"/>
  <c r="C90" i="2405"/>
  <c r="D90" i="2405"/>
  <c r="O90" i="2405" s="1"/>
  <c r="D54" i="2405"/>
  <c r="O54" i="2405" s="1"/>
  <c r="B54" i="2405"/>
  <c r="F54" i="2405"/>
  <c r="E54" i="2405"/>
  <c r="H54" i="2405"/>
  <c r="G54" i="2405"/>
  <c r="I54" i="2405"/>
  <c r="J54" i="2405"/>
  <c r="K54" i="2405"/>
  <c r="C54" i="2405"/>
  <c r="L54" i="2405"/>
  <c r="P54" i="2405"/>
  <c r="M54" i="2405"/>
  <c r="F44" i="2405"/>
  <c r="P44" i="2405"/>
  <c r="J44" i="2405"/>
  <c r="I44" i="2405"/>
  <c r="H44" i="2405"/>
  <c r="G44" i="2405"/>
  <c r="C44" i="2405"/>
  <c r="K44" i="2405"/>
  <c r="E44" i="2405"/>
  <c r="M44" i="2405"/>
  <c r="D44" i="2405"/>
  <c r="O44" i="2405" s="1"/>
  <c r="B44" i="2405"/>
  <c r="L44" i="2405"/>
  <c r="F72" i="2405"/>
  <c r="I72" i="2405"/>
  <c r="B72" i="2405"/>
  <c r="J72" i="2405"/>
  <c r="L72" i="2405"/>
  <c r="G72" i="2405"/>
  <c r="M72" i="2405"/>
  <c r="P72" i="2405"/>
  <c r="H72" i="2405"/>
  <c r="C72" i="2405"/>
  <c r="E72" i="2405"/>
  <c r="D72" i="2405"/>
  <c r="O72" i="2405" s="1"/>
  <c r="K72" i="2405"/>
  <c r="L42" i="2405"/>
  <c r="E42" i="2405"/>
  <c r="G42" i="2405"/>
  <c r="K42" i="2405"/>
  <c r="I42" i="2405"/>
  <c r="H42" i="2405"/>
  <c r="P42" i="2405"/>
  <c r="B42" i="2405"/>
  <c r="J42" i="2405"/>
  <c r="F42" i="2405"/>
  <c r="C42" i="2405"/>
  <c r="M42" i="2405"/>
  <c r="D42" i="2405"/>
  <c r="O42" i="2405" s="1"/>
  <c r="B21" i="2405"/>
  <c r="H21" i="2405"/>
  <c r="I21" i="2405"/>
  <c r="K21" i="2405"/>
  <c r="J21" i="2405"/>
  <c r="G21" i="2405"/>
  <c r="C21" i="2405"/>
  <c r="D21" i="2405"/>
  <c r="O21" i="2405" s="1"/>
  <c r="L21" i="2405"/>
  <c r="P21" i="2405"/>
  <c r="E21" i="2405"/>
  <c r="M21" i="2405"/>
  <c r="F21" i="2405"/>
  <c r="C71" i="2405"/>
  <c r="L71" i="2405"/>
  <c r="B71" i="2405"/>
  <c r="D71" i="2405"/>
  <c r="O71" i="2405" s="1"/>
  <c r="K71" i="2405"/>
  <c r="H71" i="2405"/>
  <c r="P71" i="2405"/>
  <c r="J71" i="2405"/>
  <c r="M71" i="2405"/>
  <c r="F71" i="2405"/>
  <c r="G71" i="2405"/>
  <c r="I71" i="2405"/>
  <c r="E71" i="2405"/>
  <c r="J89" i="2405"/>
  <c r="I89" i="2405"/>
  <c r="H89" i="2405"/>
  <c r="D89" i="2405"/>
  <c r="O89" i="2405" s="1"/>
  <c r="M89" i="2405"/>
  <c r="B89" i="2405"/>
  <c r="C89" i="2405"/>
  <c r="L89" i="2405"/>
  <c r="F89" i="2405"/>
  <c r="K89" i="2405"/>
  <c r="G89" i="2405"/>
  <c r="P89" i="2405"/>
  <c r="E89" i="2405"/>
  <c r="G19" i="2405"/>
  <c r="C19" i="2405"/>
  <c r="P19" i="2405"/>
  <c r="H19" i="2405"/>
  <c r="I19" i="2405"/>
  <c r="B19" i="2405"/>
  <c r="D19" i="2405"/>
  <c r="O19" i="2405" s="1"/>
  <c r="F19" i="2405"/>
  <c r="L19" i="2405"/>
  <c r="K19" i="2405"/>
  <c r="M19" i="2405"/>
  <c r="E19" i="2405"/>
  <c r="J19" i="2405"/>
  <c r="G20" i="2405"/>
  <c r="K20" i="2405"/>
  <c r="P20" i="2405"/>
  <c r="L20" i="2405"/>
  <c r="I20" i="2405"/>
  <c r="E20" i="2405"/>
  <c r="J20" i="2405"/>
  <c r="B20" i="2405"/>
  <c r="M20" i="2405"/>
  <c r="H20" i="2405"/>
  <c r="F20" i="2405"/>
  <c r="D20" i="2405"/>
  <c r="O20" i="2405" s="1"/>
  <c r="C20" i="2405"/>
  <c r="G102" i="2405"/>
  <c r="M102" i="2405"/>
  <c r="H102" i="2405"/>
  <c r="E102" i="2405"/>
  <c r="K102" i="2405"/>
  <c r="D102" i="2405"/>
  <c r="O102" i="2405" s="1"/>
  <c r="I102" i="2405"/>
  <c r="P102" i="2405"/>
  <c r="F102" i="2405"/>
  <c r="C102" i="2405"/>
  <c r="B102" i="2405"/>
  <c r="L102" i="2405"/>
  <c r="J102" i="2405"/>
  <c r="K73" i="2405"/>
  <c r="I73" i="2405"/>
  <c r="L73" i="2405"/>
  <c r="J73" i="2405"/>
  <c r="B73" i="2405"/>
  <c r="D73" i="2405"/>
  <c r="O73" i="2405" s="1"/>
  <c r="H73" i="2405"/>
  <c r="C73" i="2405"/>
  <c r="M73" i="2405"/>
  <c r="P73" i="2405"/>
  <c r="E73" i="2405"/>
  <c r="F73" i="2405"/>
  <c r="G73" i="2405"/>
  <c r="J101" i="2405"/>
  <c r="D101" i="2405"/>
  <c r="O101" i="2405" s="1"/>
  <c r="G101" i="2405"/>
  <c r="H101" i="2405"/>
  <c r="P101" i="2405"/>
  <c r="M101" i="2405"/>
  <c r="I101" i="2405"/>
  <c r="F101" i="2405"/>
  <c r="K101" i="2405"/>
  <c r="C101" i="2405"/>
  <c r="E101" i="2405"/>
  <c r="B101" i="2405"/>
  <c r="L101" i="2405"/>
  <c r="M91" i="2405"/>
  <c r="I91" i="2405"/>
  <c r="B91" i="2405"/>
  <c r="H91" i="2405"/>
  <c r="D91" i="2405"/>
  <c r="O91" i="2405" s="1"/>
  <c r="L91" i="2405"/>
  <c r="F91" i="2405"/>
  <c r="E91" i="2405"/>
  <c r="G91" i="2405"/>
  <c r="K91" i="2405"/>
  <c r="J91" i="2405"/>
  <c r="C91" i="2405"/>
  <c r="P91" i="2405"/>
  <c r="G25" i="2405"/>
  <c r="F25" i="2405"/>
  <c r="M25" i="2405"/>
  <c r="B25" i="2405"/>
  <c r="K25" i="2405"/>
  <c r="J25" i="2405"/>
  <c r="P25" i="2405"/>
  <c r="C25" i="2405"/>
  <c r="D25" i="2405"/>
  <c r="O25" i="2405" s="1"/>
  <c r="L25" i="2405"/>
  <c r="H25" i="2405"/>
  <c r="E25" i="2405"/>
  <c r="I25" i="2405"/>
  <c r="G70" i="2405"/>
  <c r="L70" i="2405"/>
  <c r="D70" i="2405"/>
  <c r="O70" i="2405" s="1"/>
  <c r="C70" i="2405"/>
  <c r="I70" i="2405"/>
  <c r="F70" i="2405"/>
  <c r="B70" i="2405"/>
  <c r="K70" i="2405"/>
  <c r="E70" i="2405"/>
  <c r="P70" i="2405"/>
  <c r="H70" i="2405"/>
  <c r="J70" i="2405"/>
  <c r="M70" i="2405"/>
  <c r="F64" i="2405"/>
  <c r="I64" i="2405"/>
  <c r="B64" i="2405"/>
  <c r="K64" i="2405"/>
  <c r="J64" i="2405"/>
  <c r="C64" i="2405"/>
  <c r="D64" i="2405"/>
  <c r="O64" i="2405" s="1"/>
  <c r="G64" i="2405"/>
  <c r="E64" i="2405"/>
  <c r="L64" i="2405"/>
  <c r="P64" i="2405"/>
  <c r="M64" i="2405"/>
  <c r="H64" i="2405"/>
  <c r="G16" i="2405"/>
  <c r="K16" i="2405"/>
  <c r="I16" i="2405"/>
  <c r="D16" i="2405"/>
  <c r="O16" i="2405" s="1"/>
  <c r="E16" i="2405"/>
  <c r="L16" i="2405"/>
  <c r="H16" i="2405"/>
  <c r="M16" i="2405"/>
  <c r="J16" i="2405"/>
  <c r="P16" i="2405"/>
  <c r="F16" i="2405"/>
  <c r="B16" i="2405"/>
  <c r="C16" i="2405"/>
  <c r="J58" i="2405"/>
  <c r="H58" i="2405"/>
  <c r="L58" i="2405"/>
  <c r="I58" i="2405"/>
  <c r="C58" i="2405"/>
  <c r="G58" i="2405"/>
  <c r="F58" i="2405"/>
  <c r="E58" i="2405"/>
  <c r="K58" i="2405"/>
  <c r="P58" i="2405"/>
  <c r="D58" i="2405"/>
  <c r="O58" i="2405" s="1"/>
  <c r="M58" i="2405"/>
  <c r="B58" i="2405"/>
  <c r="E100" i="2405"/>
  <c r="B100" i="2405"/>
  <c r="D100" i="2405"/>
  <c r="O100" i="2405" s="1"/>
  <c r="K100" i="2405"/>
  <c r="P100" i="2405"/>
  <c r="L100" i="2405"/>
  <c r="I100" i="2405"/>
  <c r="J100" i="2405"/>
  <c r="G100" i="2405"/>
  <c r="H100" i="2405"/>
  <c r="M100" i="2405"/>
  <c r="F100" i="2405"/>
  <c r="C100" i="2405"/>
  <c r="L82" i="2405"/>
  <c r="J82" i="2405"/>
  <c r="G82" i="2405"/>
  <c r="H82" i="2405"/>
  <c r="B82" i="2405"/>
  <c r="P82" i="2405"/>
  <c r="I82" i="2405"/>
  <c r="K82" i="2405"/>
  <c r="C82" i="2405"/>
  <c r="D82" i="2405"/>
  <c r="O82" i="2405" s="1"/>
  <c r="M82" i="2405"/>
  <c r="F82" i="2405"/>
  <c r="E82" i="2405"/>
  <c r="I109" i="2405"/>
  <c r="C109" i="2405"/>
  <c r="J109" i="2405"/>
  <c r="B109" i="2405"/>
  <c r="F109" i="2405"/>
  <c r="L109" i="2405"/>
  <c r="G109" i="2405"/>
  <c r="H109" i="2405"/>
  <c r="D109" i="2405"/>
  <c r="O109" i="2405" s="1"/>
  <c r="K109" i="2405"/>
  <c r="P109" i="2405"/>
  <c r="E109" i="2405"/>
  <c r="M109" i="2405"/>
  <c r="G85" i="2405"/>
  <c r="L85" i="2405"/>
  <c r="H85" i="2405"/>
  <c r="J85" i="2405"/>
  <c r="K85" i="2405"/>
  <c r="I85" i="2405"/>
  <c r="M85" i="2405"/>
  <c r="C85" i="2405"/>
  <c r="P85" i="2405"/>
  <c r="E85" i="2405"/>
  <c r="B85" i="2405"/>
  <c r="F85" i="2405"/>
  <c r="D85" i="2405"/>
  <c r="O85" i="2405" s="1"/>
  <c r="B31" i="2405"/>
  <c r="D31" i="2405"/>
  <c r="O31" i="2405" s="1"/>
  <c r="F31" i="2405"/>
  <c r="P31" i="2405"/>
  <c r="M31" i="2405"/>
  <c r="L31" i="2405"/>
  <c r="J31" i="2405"/>
  <c r="G31" i="2405"/>
  <c r="I31" i="2405"/>
  <c r="H31" i="2405"/>
  <c r="C31" i="2405"/>
  <c r="E31" i="2405"/>
  <c r="K31" i="2405"/>
  <c r="C76" i="2405"/>
  <c r="G76" i="2405"/>
  <c r="D76" i="2405"/>
  <c r="O76" i="2405" s="1"/>
  <c r="F76" i="2405"/>
  <c r="H76" i="2405"/>
  <c r="J76" i="2405"/>
  <c r="L76" i="2405"/>
  <c r="B76" i="2405"/>
  <c r="K76" i="2405"/>
  <c r="I76" i="2405"/>
  <c r="M76" i="2405"/>
  <c r="P76" i="2405"/>
  <c r="E76" i="2405"/>
  <c r="G110" i="2405"/>
  <c r="F110" i="2405"/>
  <c r="P110" i="2405"/>
  <c r="B110" i="2405"/>
  <c r="K110" i="2405"/>
  <c r="J110" i="2405"/>
  <c r="I110" i="2405"/>
  <c r="L110" i="2405"/>
  <c r="H110" i="2405"/>
  <c r="D110" i="2405"/>
  <c r="O110" i="2405" s="1"/>
  <c r="C110" i="2405"/>
  <c r="E110" i="2405"/>
  <c r="M110" i="2405"/>
  <c r="L75" i="2405"/>
  <c r="D75" i="2405"/>
  <c r="O75" i="2405" s="1"/>
  <c r="G75" i="2405"/>
  <c r="P75" i="2405"/>
  <c r="I75" i="2405"/>
  <c r="E75" i="2405"/>
  <c r="F75" i="2405"/>
  <c r="B75" i="2405"/>
  <c r="H75" i="2405"/>
  <c r="M75" i="2405"/>
  <c r="J75" i="2405"/>
  <c r="C75" i="2405"/>
  <c r="K75" i="2405"/>
  <c r="L47" i="2405"/>
  <c r="C47" i="2405"/>
  <c r="G47" i="2405"/>
  <c r="M47" i="2405"/>
  <c r="J47" i="2405"/>
  <c r="D47" i="2405"/>
  <c r="O47" i="2405" s="1"/>
  <c r="P47" i="2405"/>
  <c r="E47" i="2405"/>
  <c r="F47" i="2405"/>
  <c r="H47" i="2405"/>
  <c r="I47" i="2405"/>
  <c r="K47" i="2405"/>
  <c r="B47" i="2405"/>
  <c r="K86" i="2405"/>
  <c r="B86" i="2405"/>
  <c r="H86" i="2405"/>
  <c r="F86" i="2405"/>
  <c r="J86" i="2405"/>
  <c r="L86" i="2405"/>
  <c r="C86" i="2405"/>
  <c r="G86" i="2405"/>
  <c r="M86" i="2405"/>
  <c r="E86" i="2405"/>
  <c r="P86" i="2405"/>
  <c r="I86" i="2405"/>
  <c r="D86" i="2405"/>
  <c r="O86" i="2405" s="1"/>
  <c r="I45" i="2405"/>
  <c r="H45" i="2405"/>
  <c r="K45" i="2405"/>
  <c r="P45" i="2405"/>
  <c r="E45" i="2405"/>
  <c r="B45" i="2405"/>
  <c r="M45" i="2405"/>
  <c r="J45" i="2405"/>
  <c r="C45" i="2405"/>
  <c r="D45" i="2405"/>
  <c r="O45" i="2405" s="1"/>
  <c r="G45" i="2405"/>
  <c r="L45" i="2405"/>
  <c r="F45" i="2405"/>
  <c r="B26" i="2405"/>
  <c r="M26" i="2405"/>
  <c r="F26" i="2405"/>
  <c r="D26" i="2405"/>
  <c r="O26" i="2405" s="1"/>
  <c r="G26" i="2405"/>
  <c r="E26" i="2405"/>
  <c r="C26" i="2405"/>
  <c r="P26" i="2405"/>
  <c r="J26" i="2405"/>
  <c r="L26" i="2405"/>
  <c r="I26" i="2405"/>
  <c r="H26" i="2405"/>
  <c r="K26" i="2405"/>
  <c r="H12" i="2405"/>
  <c r="D12" i="2405"/>
  <c r="I12" i="2405"/>
  <c r="C12" i="2405"/>
  <c r="E12" i="2405"/>
  <c r="J12" i="2405"/>
  <c r="F12" i="2405"/>
  <c r="B12" i="2405"/>
  <c r="G12" i="2405"/>
  <c r="B24" i="2405"/>
  <c r="I24" i="2405"/>
  <c r="H24" i="2405"/>
  <c r="C24" i="2405"/>
  <c r="J24" i="2405"/>
  <c r="K24" i="2405"/>
  <c r="L24" i="2405"/>
  <c r="D24" i="2405"/>
  <c r="O24" i="2405" s="1"/>
  <c r="E24" i="2405"/>
  <c r="P24" i="2405"/>
  <c r="F24" i="2405"/>
  <c r="M24" i="2405"/>
  <c r="G24" i="2405"/>
  <c r="J30" i="2405"/>
  <c r="M30" i="2405"/>
  <c r="F30" i="2405"/>
  <c r="D30" i="2405"/>
  <c r="O30" i="2405" s="1"/>
  <c r="P30" i="2405"/>
  <c r="C30" i="2405"/>
  <c r="G30" i="2405"/>
  <c r="E30" i="2405"/>
  <c r="B30" i="2405"/>
  <c r="H30" i="2405"/>
  <c r="K30" i="2405"/>
  <c r="I30" i="2405"/>
  <c r="L30" i="2405"/>
  <c r="E36" i="2405"/>
  <c r="B36" i="2405"/>
  <c r="J36" i="2405"/>
  <c r="L36" i="2405"/>
  <c r="H36" i="2405"/>
  <c r="F36" i="2405"/>
  <c r="D36" i="2405"/>
  <c r="O36" i="2405" s="1"/>
  <c r="P36" i="2405"/>
  <c r="K36" i="2405"/>
  <c r="M36" i="2405"/>
  <c r="G36" i="2405"/>
  <c r="C36" i="2405"/>
  <c r="I36" i="2405"/>
  <c r="D41" i="2405"/>
  <c r="O41" i="2405" s="1"/>
  <c r="B41" i="2405"/>
  <c r="L41" i="2405"/>
  <c r="H41" i="2405"/>
  <c r="I41" i="2405"/>
  <c r="G41" i="2405"/>
  <c r="P41" i="2405"/>
  <c r="J41" i="2405"/>
  <c r="K41" i="2405"/>
  <c r="C41" i="2405"/>
  <c r="E41" i="2405"/>
  <c r="M41" i="2405"/>
  <c r="F41" i="2405"/>
  <c r="H74" i="2405"/>
  <c r="D74" i="2405"/>
  <c r="O74" i="2405" s="1"/>
  <c r="I74" i="2405"/>
  <c r="J74" i="2405"/>
  <c r="P74" i="2405"/>
  <c r="K74" i="2405"/>
  <c r="F74" i="2405"/>
  <c r="B74" i="2405"/>
  <c r="L74" i="2405"/>
  <c r="G74" i="2405"/>
  <c r="C74" i="2405"/>
  <c r="E74" i="2405"/>
  <c r="M74" i="2405"/>
  <c r="C78" i="2405"/>
  <c r="L78" i="2405"/>
  <c r="M78" i="2405"/>
  <c r="G78" i="2405"/>
  <c r="E78" i="2405"/>
  <c r="J78" i="2405"/>
  <c r="H78" i="2405"/>
  <c r="I78" i="2405"/>
  <c r="B78" i="2405"/>
  <c r="D78" i="2405"/>
  <c r="O78" i="2405" s="1"/>
  <c r="K78" i="2405"/>
  <c r="F78" i="2405"/>
  <c r="P78" i="2405"/>
  <c r="K50" i="2405"/>
  <c r="I50" i="2405"/>
  <c r="P50" i="2405"/>
  <c r="M50" i="2405"/>
  <c r="E50" i="2405"/>
  <c r="C50" i="2405"/>
  <c r="H50" i="2405"/>
  <c r="D50" i="2405"/>
  <c r="O50" i="2405" s="1"/>
  <c r="B50" i="2405"/>
  <c r="L50" i="2405"/>
  <c r="F50" i="2405"/>
  <c r="J50" i="2405"/>
  <c r="G50" i="2405"/>
  <c r="B51" i="2405"/>
  <c r="C51" i="2405"/>
  <c r="J51" i="2405"/>
  <c r="F51" i="2405"/>
  <c r="M51" i="2405"/>
  <c r="G51" i="2405"/>
  <c r="D51" i="2405"/>
  <c r="O51" i="2405" s="1"/>
  <c r="H51" i="2405"/>
  <c r="K51" i="2405"/>
  <c r="L51" i="2405"/>
  <c r="P51" i="2405"/>
  <c r="E51" i="2405"/>
  <c r="I51" i="2405"/>
  <c r="L48" i="2405"/>
  <c r="C48" i="2405"/>
  <c r="E48" i="2405"/>
  <c r="D48" i="2405"/>
  <c r="O48" i="2405" s="1"/>
  <c r="H48" i="2405"/>
  <c r="G48" i="2405"/>
  <c r="I48" i="2405"/>
  <c r="M48" i="2405"/>
  <c r="B48" i="2405"/>
  <c r="P48" i="2405"/>
  <c r="K48" i="2405"/>
  <c r="F48" i="2405"/>
  <c r="J48" i="2405"/>
  <c r="G39" i="2405"/>
  <c r="E39" i="2405"/>
  <c r="K39" i="2405"/>
  <c r="M39" i="2405"/>
  <c r="H39" i="2405"/>
  <c r="F39" i="2405"/>
  <c r="P39" i="2405"/>
  <c r="I39" i="2405"/>
  <c r="J39" i="2405"/>
  <c r="B39" i="2405"/>
  <c r="C39" i="2405"/>
  <c r="D39" i="2405"/>
  <c r="O39" i="2405" s="1"/>
  <c r="L39" i="2405"/>
  <c r="B49" i="2405"/>
  <c r="J49" i="2405"/>
  <c r="C49" i="2405"/>
  <c r="L49" i="2405"/>
  <c r="G49" i="2405"/>
  <c r="I49" i="2405"/>
  <c r="D49" i="2405"/>
  <c r="O49" i="2405" s="1"/>
  <c r="E49" i="2405"/>
  <c r="F49" i="2405"/>
  <c r="H49" i="2405"/>
  <c r="K49" i="2405"/>
  <c r="M49" i="2405"/>
  <c r="P49" i="2405"/>
  <c r="M87" i="2405"/>
  <c r="F87" i="2405"/>
  <c r="E87" i="2405"/>
  <c r="I87" i="2405"/>
  <c r="P87" i="2405"/>
  <c r="G87" i="2405"/>
  <c r="B87" i="2405"/>
  <c r="J87" i="2405"/>
  <c r="L87" i="2405"/>
  <c r="C87" i="2405"/>
  <c r="D87" i="2405"/>
  <c r="O87" i="2405" s="1"/>
  <c r="K87" i="2405"/>
  <c r="H87" i="2405"/>
  <c r="P60" i="2405"/>
  <c r="M60" i="2405"/>
  <c r="J60" i="2405"/>
  <c r="H60" i="2405"/>
  <c r="G60" i="2405"/>
  <c r="F60" i="2405"/>
  <c r="I60" i="2405"/>
  <c r="L60" i="2405"/>
  <c r="B60" i="2405"/>
  <c r="K60" i="2405"/>
  <c r="D60" i="2405"/>
  <c r="O60" i="2405" s="1"/>
  <c r="E60" i="2405"/>
  <c r="C60" i="2405"/>
  <c r="C94" i="2405"/>
  <c r="P94" i="2405"/>
  <c r="K94" i="2405"/>
  <c r="M94" i="2405"/>
  <c r="J94" i="2405"/>
  <c r="B94" i="2405"/>
  <c r="H94" i="2405"/>
  <c r="D94" i="2405"/>
  <c r="O94" i="2405" s="1"/>
  <c r="F94" i="2405"/>
  <c r="G94" i="2405"/>
  <c r="I94" i="2405"/>
  <c r="E94" i="2405"/>
  <c r="L94" i="2405"/>
  <c r="M81" i="2405"/>
  <c r="P81" i="2405"/>
  <c r="E81" i="2405"/>
  <c r="B81" i="2405"/>
  <c r="F81" i="2405"/>
  <c r="C81" i="2405"/>
  <c r="G81" i="2405"/>
  <c r="H81" i="2405"/>
  <c r="I81" i="2405"/>
  <c r="J81" i="2405"/>
  <c r="K81" i="2405"/>
  <c r="D81" i="2405"/>
  <c r="O81" i="2405" s="1"/>
  <c r="L81" i="2405"/>
  <c r="E96" i="2405"/>
  <c r="B96" i="2405"/>
  <c r="J96" i="2405"/>
  <c r="K96" i="2405"/>
  <c r="H96" i="2405"/>
  <c r="D96" i="2405"/>
  <c r="O96" i="2405" s="1"/>
  <c r="C96" i="2405"/>
  <c r="L96" i="2405"/>
  <c r="F96" i="2405"/>
  <c r="P96" i="2405"/>
  <c r="I96" i="2405"/>
  <c r="G96" i="2405"/>
  <c r="M96" i="2405"/>
  <c r="M18" i="2405"/>
  <c r="C18" i="2405"/>
  <c r="B18" i="2405"/>
  <c r="J18" i="2405"/>
  <c r="K18" i="2405"/>
  <c r="P18" i="2405"/>
  <c r="G18" i="2405"/>
  <c r="L18" i="2405"/>
  <c r="H18" i="2405"/>
  <c r="E18" i="2405"/>
  <c r="I18" i="2405"/>
  <c r="F18" i="2405"/>
  <c r="D18" i="2405"/>
  <c r="O18" i="2405" s="1"/>
  <c r="P83" i="2405"/>
  <c r="G83" i="2405"/>
  <c r="F83" i="2405"/>
  <c r="D83" i="2405"/>
  <c r="O83" i="2405" s="1"/>
  <c r="J83" i="2405"/>
  <c r="H83" i="2405"/>
  <c r="B83" i="2405"/>
  <c r="C83" i="2405"/>
  <c r="I83" i="2405"/>
  <c r="K83" i="2405"/>
  <c r="E83" i="2405"/>
  <c r="M83" i="2405"/>
  <c r="L83" i="2405"/>
  <c r="B107" i="2405"/>
  <c r="J107" i="2405"/>
  <c r="D107" i="2405"/>
  <c r="O107" i="2405" s="1"/>
  <c r="E107" i="2405"/>
  <c r="L107" i="2405"/>
  <c r="G107" i="2405"/>
  <c r="M107" i="2405"/>
  <c r="K107" i="2405"/>
  <c r="H107" i="2405"/>
  <c r="P107" i="2405"/>
  <c r="C107" i="2405"/>
  <c r="I107" i="2405"/>
  <c r="F107" i="2405"/>
  <c r="K63" i="2405"/>
  <c r="G63" i="2405"/>
  <c r="P63" i="2405"/>
  <c r="D63" i="2405"/>
  <c r="O63" i="2405" s="1"/>
  <c r="F63" i="2405"/>
  <c r="B63" i="2405"/>
  <c r="M63" i="2405"/>
  <c r="L63" i="2405"/>
  <c r="J63" i="2405"/>
  <c r="E63" i="2405"/>
  <c r="H63" i="2405"/>
  <c r="C63" i="2405"/>
  <c r="I63" i="2405"/>
  <c r="C67" i="2405"/>
  <c r="I67" i="2405"/>
  <c r="G67" i="2405"/>
  <c r="B67" i="2405"/>
  <c r="E67" i="2405"/>
  <c r="F67" i="2405"/>
  <c r="L67" i="2405"/>
  <c r="J67" i="2405"/>
  <c r="M67" i="2405"/>
  <c r="K67" i="2405"/>
  <c r="D67" i="2405"/>
  <c r="O67" i="2405" s="1"/>
  <c r="P67" i="2405"/>
  <c r="H67" i="2405"/>
  <c r="E103" i="2405"/>
  <c r="P103" i="2405"/>
  <c r="L103" i="2405"/>
  <c r="K103" i="2405"/>
  <c r="D103" i="2405"/>
  <c r="O103" i="2405" s="1"/>
  <c r="C103" i="2405"/>
  <c r="I103" i="2405"/>
  <c r="B103" i="2405"/>
  <c r="J103" i="2405"/>
  <c r="M103" i="2405"/>
  <c r="H103" i="2405"/>
  <c r="G103" i="2405"/>
  <c r="F103" i="2405"/>
  <c r="I106" i="2405"/>
  <c r="G106" i="2405"/>
  <c r="F106" i="2405"/>
  <c r="M106" i="2405"/>
  <c r="H106" i="2405"/>
  <c r="C106" i="2405"/>
  <c r="J106" i="2405"/>
  <c r="D106" i="2405"/>
  <c r="O106" i="2405" s="1"/>
  <c r="L106" i="2405"/>
  <c r="E106" i="2405"/>
  <c r="B106" i="2405"/>
  <c r="P106" i="2405"/>
  <c r="K106" i="2405"/>
  <c r="P29" i="2405"/>
  <c r="G29" i="2405"/>
  <c r="J29" i="2405"/>
  <c r="H29" i="2405"/>
  <c r="K29" i="2405"/>
  <c r="C29" i="2405"/>
  <c r="L29" i="2405"/>
  <c r="I29" i="2405"/>
  <c r="M29" i="2405"/>
  <c r="D29" i="2405"/>
  <c r="O29" i="2405" s="1"/>
  <c r="F29" i="2405"/>
  <c r="E29" i="2405"/>
  <c r="B29" i="2405"/>
  <c r="M95" i="2405"/>
  <c r="K95" i="2405"/>
  <c r="G95" i="2405"/>
  <c r="D95" i="2405"/>
  <c r="O95" i="2405" s="1"/>
  <c r="E95" i="2405"/>
  <c r="B95" i="2405"/>
  <c r="L95" i="2405"/>
  <c r="F95" i="2405"/>
  <c r="I95" i="2405"/>
  <c r="P95" i="2405"/>
  <c r="J95" i="2405"/>
  <c r="C95" i="2405"/>
  <c r="H95" i="2405"/>
  <c r="M68" i="2405"/>
  <c r="F68" i="2405"/>
  <c r="G68" i="2405"/>
  <c r="H68" i="2405"/>
  <c r="C68" i="2405"/>
  <c r="K68" i="2405"/>
  <c r="D68" i="2405"/>
  <c r="O68" i="2405" s="1"/>
  <c r="B68" i="2405"/>
  <c r="I68" i="2405"/>
  <c r="J68" i="2405"/>
  <c r="E68" i="2405"/>
  <c r="L68" i="2405"/>
  <c r="P68" i="2405"/>
  <c r="I33" i="2405"/>
  <c r="P33" i="2405"/>
  <c r="H33" i="2405"/>
  <c r="C33" i="2405"/>
  <c r="K33" i="2405"/>
  <c r="M33" i="2405"/>
  <c r="B33" i="2405"/>
  <c r="D33" i="2405"/>
  <c r="O33" i="2405" s="1"/>
  <c r="L33" i="2405"/>
  <c r="E33" i="2405"/>
  <c r="G33" i="2405"/>
  <c r="F33" i="2405"/>
  <c r="J33" i="2405"/>
  <c r="I80" i="2405"/>
  <c r="L80" i="2405"/>
  <c r="J80" i="2405"/>
  <c r="K80" i="2405"/>
  <c r="M80" i="2405"/>
  <c r="H80" i="2405"/>
  <c r="P80" i="2405"/>
  <c r="C80" i="2405"/>
  <c r="E80" i="2405"/>
  <c r="B80" i="2405"/>
  <c r="G80" i="2405"/>
  <c r="F80" i="2405"/>
  <c r="D80" i="2405"/>
  <c r="O80" i="2405" s="1"/>
  <c r="H35" i="2405"/>
  <c r="I35" i="2405"/>
  <c r="P35" i="2405"/>
  <c r="B35" i="2405"/>
  <c r="L35" i="2405"/>
  <c r="K35" i="2405"/>
  <c r="M35" i="2405"/>
  <c r="D35" i="2405"/>
  <c r="O35" i="2405" s="1"/>
  <c r="E35" i="2405"/>
  <c r="C35" i="2405"/>
  <c r="F35" i="2405"/>
  <c r="G35" i="2405"/>
  <c r="J35" i="2405"/>
  <c r="H66" i="2405"/>
  <c r="L66" i="2405"/>
  <c r="I66" i="2405"/>
  <c r="E66" i="2405"/>
  <c r="K66" i="2405"/>
  <c r="G66" i="2405"/>
  <c r="P66" i="2405"/>
  <c r="J66" i="2405"/>
  <c r="B66" i="2405"/>
  <c r="M66" i="2405"/>
  <c r="C66" i="2405"/>
  <c r="D66" i="2405"/>
  <c r="O66" i="2405" s="1"/>
  <c r="F66" i="2405"/>
  <c r="C38" i="2405"/>
  <c r="K38" i="2405"/>
  <c r="E38" i="2405"/>
  <c r="G38" i="2405"/>
  <c r="D38" i="2405"/>
  <c r="O38" i="2405" s="1"/>
  <c r="M38" i="2405"/>
  <c r="H38" i="2405"/>
  <c r="B38" i="2405"/>
  <c r="L38" i="2405"/>
  <c r="F38" i="2405"/>
  <c r="P38" i="2405"/>
  <c r="J38" i="2405"/>
  <c r="I38" i="2405"/>
  <c r="D28" i="2405"/>
  <c r="O28" i="2405" s="1"/>
  <c r="H28" i="2405"/>
  <c r="G28" i="2405"/>
  <c r="L28" i="2405"/>
  <c r="P28" i="2405"/>
  <c r="B28" i="2405"/>
  <c r="C28" i="2405"/>
  <c r="F28" i="2405"/>
  <c r="K28" i="2405"/>
  <c r="J28" i="2405"/>
  <c r="E28" i="2405"/>
  <c r="I28" i="2405"/>
  <c r="M28" i="2405"/>
  <c r="F62" i="2405"/>
  <c r="I62" i="2405"/>
  <c r="K62" i="2405"/>
  <c r="J62" i="2405"/>
  <c r="L62" i="2405"/>
  <c r="B62" i="2405"/>
  <c r="E62" i="2405"/>
  <c r="D62" i="2405"/>
  <c r="O62" i="2405" s="1"/>
  <c r="P62" i="2405"/>
  <c r="C62" i="2405"/>
  <c r="M62" i="2405"/>
  <c r="H62" i="2405"/>
  <c r="G62" i="2405"/>
  <c r="C98" i="2405"/>
  <c r="G98" i="2405"/>
  <c r="E98" i="2405"/>
  <c r="P98" i="2405"/>
  <c r="K98" i="2405"/>
  <c r="L98" i="2405"/>
  <c r="F98" i="2405"/>
  <c r="B98" i="2405"/>
  <c r="M98" i="2405"/>
  <c r="H98" i="2405"/>
  <c r="I98" i="2405"/>
  <c r="J98" i="2405"/>
  <c r="D98" i="2405"/>
  <c r="O98" i="2405" s="1"/>
  <c r="B79" i="2405"/>
  <c r="L79" i="2405"/>
  <c r="C79" i="2405"/>
  <c r="G79" i="2405"/>
  <c r="J79" i="2405"/>
  <c r="E79" i="2405"/>
  <c r="K79" i="2405"/>
  <c r="H79" i="2405"/>
  <c r="M79" i="2405"/>
  <c r="P79" i="2405"/>
  <c r="I79" i="2405"/>
  <c r="D79" i="2405"/>
  <c r="O79" i="2405" s="1"/>
  <c r="F79" i="2405"/>
  <c r="J17" i="2405"/>
  <c r="P17" i="2405"/>
  <c r="K17" i="2405"/>
  <c r="D17" i="2405"/>
  <c r="O17" i="2405" s="1"/>
  <c r="I17" i="2405"/>
  <c r="M17" i="2405"/>
  <c r="C17" i="2405"/>
  <c r="B17" i="2405"/>
  <c r="H17" i="2405"/>
  <c r="L17" i="2405"/>
  <c r="E17" i="2405"/>
  <c r="G17" i="2405"/>
  <c r="F17" i="2405"/>
  <c r="L104" i="2405"/>
  <c r="J104" i="2405"/>
  <c r="G104" i="2405"/>
  <c r="F104" i="2405"/>
  <c r="M104" i="2405"/>
  <c r="E104" i="2405"/>
  <c r="H104" i="2405"/>
  <c r="C104" i="2405"/>
  <c r="B104" i="2405"/>
  <c r="D104" i="2405"/>
  <c r="O104" i="2405" s="1"/>
  <c r="K104" i="2405"/>
  <c r="P104" i="2405"/>
  <c r="I104" i="2405"/>
  <c r="F56" i="2405"/>
  <c r="M56" i="2405"/>
  <c r="K56" i="2405"/>
  <c r="E56" i="2405"/>
  <c r="D56" i="2405"/>
  <c r="O56" i="2405" s="1"/>
  <c r="B56" i="2405"/>
  <c r="P56" i="2405"/>
  <c r="J56" i="2405"/>
  <c r="H56" i="2405"/>
  <c r="L56" i="2405"/>
  <c r="I56" i="2405"/>
  <c r="C56" i="2405"/>
  <c r="G56" i="2405"/>
  <c r="G37" i="2405"/>
  <c r="P37" i="2405"/>
  <c r="L37" i="2405"/>
  <c r="J37" i="2405"/>
  <c r="B37" i="2405"/>
  <c r="K37" i="2405"/>
  <c r="F37" i="2405"/>
  <c r="D37" i="2405"/>
  <c r="O37" i="2405" s="1"/>
  <c r="E37" i="2405"/>
  <c r="H37" i="2405"/>
  <c r="M37" i="2405"/>
  <c r="C37" i="2405"/>
  <c r="I37" i="2405"/>
  <c r="G23" i="2405"/>
  <c r="F23" i="2405"/>
  <c r="H23" i="2405"/>
  <c r="P23" i="2405"/>
  <c r="I23" i="2405"/>
  <c r="K23" i="2405"/>
  <c r="J23" i="2405"/>
  <c r="E23" i="2405"/>
  <c r="C23" i="2405"/>
  <c r="M23" i="2405"/>
  <c r="D23" i="2405"/>
  <c r="O23" i="2405" s="1"/>
  <c r="B23" i="2405"/>
  <c r="L23" i="2405"/>
  <c r="H32" i="2405"/>
  <c r="C32" i="2405"/>
  <c r="E32" i="2405"/>
  <c r="K32" i="2405"/>
  <c r="L32" i="2405"/>
  <c r="J32" i="2405"/>
  <c r="D32" i="2405"/>
  <c r="O32" i="2405" s="1"/>
  <c r="F32" i="2405"/>
  <c r="P32" i="2405"/>
  <c r="B32" i="2405"/>
  <c r="I32" i="2405"/>
  <c r="M32" i="2405"/>
  <c r="G32" i="2405"/>
  <c r="P34" i="2405"/>
  <c r="J34" i="2405"/>
  <c r="B34" i="2405"/>
  <c r="K34" i="2405"/>
  <c r="G34" i="2405"/>
  <c r="D34" i="2405"/>
  <c r="O34" i="2405" s="1"/>
  <c r="H34" i="2405"/>
  <c r="E34" i="2405"/>
  <c r="I34" i="2405"/>
  <c r="F34" i="2405"/>
  <c r="M34" i="2405"/>
  <c r="C34" i="2405"/>
  <c r="L34" i="2405"/>
  <c r="K53" i="2405"/>
  <c r="C53" i="2405"/>
  <c r="M53" i="2405"/>
  <c r="E53" i="2405"/>
  <c r="L53" i="2405"/>
  <c r="G53" i="2405"/>
  <c r="D53" i="2405"/>
  <c r="O53" i="2405" s="1"/>
  <c r="P53" i="2405"/>
  <c r="F53" i="2405"/>
  <c r="B53" i="2405"/>
  <c r="H53" i="2405"/>
  <c r="I53" i="2405"/>
  <c r="J53" i="2405"/>
  <c r="G69" i="2405"/>
  <c r="D69" i="2405"/>
  <c r="O69" i="2405" s="1"/>
  <c r="B69" i="2405"/>
  <c r="M69" i="2405"/>
  <c r="E69" i="2405"/>
  <c r="C69" i="2405"/>
  <c r="F69" i="2405"/>
  <c r="L69" i="2405"/>
  <c r="K69" i="2405"/>
  <c r="H69" i="2405"/>
  <c r="J69" i="2405"/>
  <c r="I69" i="2405"/>
  <c r="P69" i="2405"/>
  <c r="M40" i="2405"/>
  <c r="K40" i="2405"/>
  <c r="G40" i="2405"/>
  <c r="I40" i="2405"/>
  <c r="B40" i="2405"/>
  <c r="D40" i="2405"/>
  <c r="O40" i="2405" s="1"/>
  <c r="J40" i="2405"/>
  <c r="P40" i="2405"/>
  <c r="E40" i="2405"/>
  <c r="L40" i="2405"/>
  <c r="F40" i="2405"/>
  <c r="H40" i="2405"/>
  <c r="C40" i="2405"/>
  <c r="I92" i="2405"/>
  <c r="B92" i="2405"/>
  <c r="L92" i="2405"/>
  <c r="F92" i="2405"/>
  <c r="J92" i="2405"/>
  <c r="G92" i="2405"/>
  <c r="K92" i="2405"/>
  <c r="P92" i="2405"/>
  <c r="M92" i="2405"/>
  <c r="E92" i="2405"/>
  <c r="H92" i="2405"/>
  <c r="C92" i="2405"/>
  <c r="D92" i="2405"/>
  <c r="O92" i="2405" s="1"/>
  <c r="E108" i="2405"/>
  <c r="B108" i="2405"/>
  <c r="G108" i="2405"/>
  <c r="J108" i="2405"/>
  <c r="D108" i="2405"/>
  <c r="O108" i="2405" s="1"/>
  <c r="C108" i="2405"/>
  <c r="K108" i="2405"/>
  <c r="F108" i="2405"/>
  <c r="H108" i="2405"/>
  <c r="I108" i="2405"/>
  <c r="M108" i="2405"/>
  <c r="P108" i="2405"/>
  <c r="L108" i="2405"/>
  <c r="P15" i="2405"/>
  <c r="K15" i="2405"/>
  <c r="L15" i="2405"/>
  <c r="E15" i="2405"/>
  <c r="I15" i="2405"/>
  <c r="M15" i="2405"/>
  <c r="D15" i="2405"/>
  <c r="O15" i="2405" s="1"/>
  <c r="F15" i="2405"/>
  <c r="B15" i="2405"/>
  <c r="G15" i="2405"/>
  <c r="J15" i="2405"/>
  <c r="H15" i="2405"/>
  <c r="C15" i="2405"/>
  <c r="D57" i="2405"/>
  <c r="O57" i="2405" s="1"/>
  <c r="H57" i="2405"/>
  <c r="B57" i="2405"/>
  <c r="I57" i="2405"/>
  <c r="L57" i="2405"/>
  <c r="J57" i="2405"/>
  <c r="E57" i="2405"/>
  <c r="C57" i="2405"/>
  <c r="F57" i="2405"/>
  <c r="K57" i="2405"/>
  <c r="P57" i="2405"/>
  <c r="G57" i="2405"/>
  <c r="M57" i="2405"/>
  <c r="J88" i="2405"/>
  <c r="P88" i="2405"/>
  <c r="M88" i="2405"/>
  <c r="G88" i="2405"/>
  <c r="D88" i="2405"/>
  <c r="O88" i="2405" s="1"/>
  <c r="C88" i="2405"/>
  <c r="K88" i="2405"/>
  <c r="E88" i="2405"/>
  <c r="L88" i="2405"/>
  <c r="B88" i="2405"/>
  <c r="H88" i="2405"/>
  <c r="F88" i="2405"/>
  <c r="I88" i="2405"/>
  <c r="L65" i="2405"/>
  <c r="E65" i="2405"/>
  <c r="P65" i="2405"/>
  <c r="G65" i="2405"/>
  <c r="H65" i="2405"/>
  <c r="M65" i="2405"/>
  <c r="C65" i="2405"/>
  <c r="I65" i="2405"/>
  <c r="J65" i="2405"/>
  <c r="F65" i="2405"/>
  <c r="B65" i="2405"/>
  <c r="D65" i="2405"/>
  <c r="O65" i="2405" s="1"/>
  <c r="K65" i="2405"/>
  <c r="P99" i="2405"/>
  <c r="G99" i="2405"/>
  <c r="B99" i="2405"/>
  <c r="I99" i="2405"/>
  <c r="D99" i="2405"/>
  <c r="O99" i="2405" s="1"/>
  <c r="L99" i="2405"/>
  <c r="J99" i="2405"/>
  <c r="M99" i="2405"/>
  <c r="F99" i="2405"/>
  <c r="K99" i="2405"/>
  <c r="C99" i="2405"/>
  <c r="H99" i="2405"/>
  <c r="E99" i="2405"/>
  <c r="D22" i="2405"/>
  <c r="O22" i="2405" s="1"/>
  <c r="G22" i="2405"/>
  <c r="M22" i="2405"/>
  <c r="E22" i="2405"/>
  <c r="L22" i="2405"/>
  <c r="F22" i="2405"/>
  <c r="P22" i="2405"/>
  <c r="B22" i="2405"/>
  <c r="J22" i="2405"/>
  <c r="H22" i="2405"/>
  <c r="C22" i="2405"/>
  <c r="I22" i="2405"/>
  <c r="K22" i="2405"/>
  <c r="C13" i="2405"/>
  <c r="L13" i="2405"/>
  <c r="F13" i="2405"/>
  <c r="I13" i="2405"/>
  <c r="E13" i="2405"/>
  <c r="G13" i="2405"/>
  <c r="M13" i="2405"/>
  <c r="J13" i="2405"/>
  <c r="B13" i="2405"/>
  <c r="P13" i="2405"/>
  <c r="K13" i="2405"/>
  <c r="D13" i="2405"/>
  <c r="O13" i="2405" s="1"/>
  <c r="H13" i="2405"/>
  <c r="F52" i="2405"/>
  <c r="J52" i="2405"/>
  <c r="P52" i="2405"/>
  <c r="G52" i="2405"/>
  <c r="H52" i="2405"/>
  <c r="K52" i="2405"/>
  <c r="C52" i="2405"/>
  <c r="L52" i="2405"/>
  <c r="M52" i="2405"/>
  <c r="E52" i="2405"/>
  <c r="D52" i="2405"/>
  <c r="O52" i="2405" s="1"/>
  <c r="B52" i="2405"/>
  <c r="I52" i="2405"/>
  <c r="H59" i="2405"/>
  <c r="E59" i="2405"/>
  <c r="P59" i="2405"/>
  <c r="M59" i="2405"/>
  <c r="K59" i="2405"/>
  <c r="G59" i="2405"/>
  <c r="I59" i="2405"/>
  <c r="J59" i="2405"/>
  <c r="B59" i="2405"/>
  <c r="F59" i="2405"/>
  <c r="D59" i="2405"/>
  <c r="O59" i="2405" s="1"/>
  <c r="L59" i="2405"/>
  <c r="C59" i="2405"/>
  <c r="J11" i="2405"/>
  <c r="H11" i="2406"/>
  <c r="BW6" i="2420"/>
  <c r="M11" i="2406" s="1"/>
  <c r="Q11" i="2422"/>
  <c r="KJ11" i="2422" s="1"/>
  <c r="P11" i="2422"/>
  <c r="G11" i="2405"/>
  <c r="I11" i="2405"/>
  <c r="BU9" i="2420"/>
  <c r="BV9" i="2420" s="1"/>
  <c r="BU6" i="2420"/>
  <c r="K11" i="2406" s="1"/>
  <c r="K14" i="2406"/>
  <c r="BV8" i="2420"/>
  <c r="L13" i="2406" s="1"/>
  <c r="K13" i="2406"/>
  <c r="K131" i="2422"/>
  <c r="BO17" i="2408" s="1"/>
  <c r="BN17" i="2408" s="1"/>
  <c r="K169" i="2422"/>
  <c r="BO55" i="2408" s="1"/>
  <c r="BN55" i="2408" s="1"/>
  <c r="K188" i="2422"/>
  <c r="BO74" i="2408" s="1"/>
  <c r="BN74" i="2408" s="1"/>
  <c r="K175" i="2422"/>
  <c r="BO61" i="2408" s="1"/>
  <c r="BN61" i="2408" s="1"/>
  <c r="K132" i="2422"/>
  <c r="BO18" i="2408" s="1"/>
  <c r="BN18" i="2408" s="1"/>
  <c r="K133" i="2422"/>
  <c r="BO19" i="2408" s="1"/>
  <c r="BN19" i="2408" s="1"/>
  <c r="K152" i="2422"/>
  <c r="BO38" i="2408" s="1"/>
  <c r="BN38" i="2408" s="1"/>
  <c r="K171" i="2422"/>
  <c r="BO57" i="2408" s="1"/>
  <c r="BN57" i="2408" s="1"/>
  <c r="K170" i="2422"/>
  <c r="BO56" i="2408" s="1"/>
  <c r="BN56" i="2408" s="1"/>
  <c r="K195" i="2422"/>
  <c r="K139" i="2422"/>
  <c r="BO25" i="2408" s="1"/>
  <c r="BN25" i="2408" s="1"/>
  <c r="K165" i="2422"/>
  <c r="BO51" i="2408" s="1"/>
  <c r="BN51" i="2408" s="1"/>
  <c r="K164" i="2422"/>
  <c r="BO50" i="2408" s="1"/>
  <c r="BN50" i="2408" s="1"/>
  <c r="K126" i="2422"/>
  <c r="BO12" i="2408" s="1"/>
  <c r="BN12" i="2408" s="1"/>
  <c r="K168" i="2422"/>
  <c r="BO54" i="2408" s="1"/>
  <c r="BN54" i="2408" s="1"/>
  <c r="K137" i="2422"/>
  <c r="BO23" i="2408" s="1"/>
  <c r="BN23" i="2408" s="1"/>
  <c r="K148" i="2422"/>
  <c r="BO34" i="2408" s="1"/>
  <c r="BN34" i="2408" s="1"/>
  <c r="K156" i="2422"/>
  <c r="BO42" i="2408" s="1"/>
  <c r="BN42" i="2408" s="1"/>
  <c r="K172" i="2422"/>
  <c r="BO58" i="2408" s="1"/>
  <c r="BN58" i="2408" s="1"/>
  <c r="K146" i="2422"/>
  <c r="BO32" i="2408" s="1"/>
  <c r="BN32" i="2408" s="1"/>
  <c r="K150" i="2422"/>
  <c r="BO36" i="2408" s="1"/>
  <c r="BN36" i="2408" s="1"/>
  <c r="K141" i="2422"/>
  <c r="BO27" i="2408" s="1"/>
  <c r="BN27" i="2408" s="1"/>
  <c r="K173" i="2422"/>
  <c r="BO59" i="2408" s="1"/>
  <c r="BN59" i="2408" s="1"/>
  <c r="K163" i="2422"/>
  <c r="BO49" i="2408" s="1"/>
  <c r="BN49" i="2408" s="1"/>
  <c r="K138" i="2422"/>
  <c r="BO24" i="2408" s="1"/>
  <c r="BN24" i="2408" s="1"/>
  <c r="K178" i="2422"/>
  <c r="BO64" i="2408" s="1"/>
  <c r="BN64" i="2408" s="1"/>
  <c r="K153" i="2422"/>
  <c r="BO39" i="2408" s="1"/>
  <c r="BN39" i="2408" s="1"/>
  <c r="K149" i="2422"/>
  <c r="BO35" i="2408" s="1"/>
  <c r="BN35" i="2408" s="1"/>
  <c r="K180" i="2422"/>
  <c r="BO66" i="2408" s="1"/>
  <c r="BN66" i="2408" s="1"/>
  <c r="K143" i="2422"/>
  <c r="BO29" i="2408" s="1"/>
  <c r="BN29" i="2408" s="1"/>
  <c r="K190" i="2422"/>
  <c r="K158" i="2422"/>
  <c r="BO44" i="2408" s="1"/>
  <c r="BN44" i="2408" s="1"/>
  <c r="K140" i="2422"/>
  <c r="BO26" i="2408" s="1"/>
  <c r="BN26" i="2408" s="1"/>
  <c r="K162" i="2422"/>
  <c r="BO48" i="2408" s="1"/>
  <c r="BN48" i="2408" s="1"/>
  <c r="K189" i="2422"/>
  <c r="BO75" i="2408" s="1"/>
  <c r="BN75" i="2408" s="1"/>
  <c r="K187" i="2422"/>
  <c r="BO73" i="2408" s="1"/>
  <c r="BN73" i="2408" s="1"/>
  <c r="K134" i="2422"/>
  <c r="BO20" i="2408" s="1"/>
  <c r="BN20" i="2408" s="1"/>
  <c r="K157" i="2422"/>
  <c r="BO43" i="2408" s="1"/>
  <c r="BN43" i="2408" s="1"/>
  <c r="K136" i="2422"/>
  <c r="BO22" i="2408" s="1"/>
  <c r="BN22" i="2408" s="1"/>
  <c r="K161" i="2422"/>
  <c r="BO47" i="2408" s="1"/>
  <c r="BN47" i="2408" s="1"/>
  <c r="K151" i="2422"/>
  <c r="BO37" i="2408" s="1"/>
  <c r="BN37" i="2408" s="1"/>
  <c r="K130" i="2422"/>
  <c r="BO16" i="2408" s="1"/>
  <c r="BN16" i="2408" s="1"/>
  <c r="K182" i="2422"/>
  <c r="BO68" i="2408" s="1"/>
  <c r="BN68" i="2408" s="1"/>
  <c r="K174" i="2422"/>
  <c r="BO60" i="2408" s="1"/>
  <c r="BN60" i="2408" s="1"/>
  <c r="K194" i="2422"/>
  <c r="K127" i="2422"/>
  <c r="BO13" i="2408" s="1"/>
  <c r="BN13" i="2408" s="1"/>
  <c r="K128" i="2422"/>
  <c r="BO14" i="2408" s="1"/>
  <c r="BN14" i="2408" s="1"/>
  <c r="K154" i="2422"/>
  <c r="BO40" i="2408" s="1"/>
  <c r="BN40" i="2408" s="1"/>
  <c r="K135" i="2422"/>
  <c r="BO21" i="2408" s="1"/>
  <c r="BN21" i="2408" s="1"/>
  <c r="K144" i="2422"/>
  <c r="BO30" i="2408" s="1"/>
  <c r="BN30" i="2408" s="1"/>
  <c r="K181" i="2422"/>
  <c r="BO67" i="2408" s="1"/>
  <c r="BN67" i="2408" s="1"/>
  <c r="K176" i="2422"/>
  <c r="BO62" i="2408" s="1"/>
  <c r="BN62" i="2408" s="1"/>
  <c r="K167" i="2422"/>
  <c r="BO53" i="2408" s="1"/>
  <c r="BN53" i="2408" s="1"/>
  <c r="K183" i="2422"/>
  <c r="BO69" i="2408" s="1"/>
  <c r="BN69" i="2408" s="1"/>
  <c r="K191" i="2422"/>
  <c r="K147" i="2422"/>
  <c r="BO33" i="2408" s="1"/>
  <c r="BN33" i="2408" s="1"/>
  <c r="K185" i="2422"/>
  <c r="BO71" i="2408" s="1"/>
  <c r="BN71" i="2408" s="1"/>
  <c r="K177" i="2422"/>
  <c r="BO63" i="2408" s="1"/>
  <c r="BN63" i="2408" s="1"/>
  <c r="K129" i="2422"/>
  <c r="BO15" i="2408" s="1"/>
  <c r="BN15" i="2408" s="1"/>
  <c r="K166" i="2422"/>
  <c r="BO52" i="2408" s="1"/>
  <c r="BN52" i="2408" s="1"/>
  <c r="K142" i="2422"/>
  <c r="BO28" i="2408" s="1"/>
  <c r="BN28" i="2408" s="1"/>
  <c r="K160" i="2422"/>
  <c r="BO46" i="2408" s="1"/>
  <c r="BN46" i="2408" s="1"/>
  <c r="K184" i="2422"/>
  <c r="BO70" i="2408" s="1"/>
  <c r="BN70" i="2408" s="1"/>
  <c r="K186" i="2422"/>
  <c r="BO72" i="2408" s="1"/>
  <c r="BN72" i="2408" s="1"/>
  <c r="K179" i="2422"/>
  <c r="BO65" i="2408" s="1"/>
  <c r="BN65" i="2408" s="1"/>
  <c r="K155" i="2422"/>
  <c r="BO41" i="2408" s="1"/>
  <c r="BN41" i="2408" s="1"/>
  <c r="K193" i="2422"/>
  <c r="K159" i="2422"/>
  <c r="BO45" i="2408" s="1"/>
  <c r="BN45" i="2408" s="1"/>
  <c r="K192" i="2422"/>
  <c r="K145" i="2422"/>
  <c r="BO31" i="2408" s="1"/>
  <c r="BN31" i="2408" s="1"/>
  <c r="Q11" i="2405"/>
  <c r="AD16" i="2421"/>
  <c r="AD18" i="2421"/>
  <c r="AD17" i="2421"/>
  <c r="Q13" i="2405"/>
  <c r="Q12" i="2405"/>
  <c r="Q14" i="2405"/>
  <c r="Q15" i="2405"/>
  <c r="Q94" i="2405"/>
  <c r="Q80" i="2405"/>
  <c r="Q73" i="2405"/>
  <c r="Q62" i="2405"/>
  <c r="Q44" i="2405"/>
  <c r="Q25" i="2405"/>
  <c r="Q110" i="2405"/>
  <c r="Q96" i="2405"/>
  <c r="Q83" i="2405"/>
  <c r="Q67" i="2405"/>
  <c r="Q54" i="2405"/>
  <c r="Q43" i="2405"/>
  <c r="Q28" i="2405"/>
  <c r="Q101" i="2405"/>
  <c r="Q90" i="2405"/>
  <c r="Q66" i="2405"/>
  <c r="Q45" i="2405"/>
  <c r="Q27" i="2405"/>
  <c r="Q104" i="2405"/>
  <c r="Q78" i="2405"/>
  <c r="Q58" i="2405"/>
  <c r="Q41" i="2405"/>
  <c r="Q29" i="2405"/>
  <c r="Q109" i="2405"/>
  <c r="Q88" i="2405"/>
  <c r="Q79" i="2405"/>
  <c r="Q70" i="2405"/>
  <c r="Q60" i="2405"/>
  <c r="Q36" i="2405"/>
  <c r="Q23" i="2405"/>
  <c r="Q108" i="2405"/>
  <c r="Q93" i="2405"/>
  <c r="Q74" i="2405"/>
  <c r="Q63" i="2405"/>
  <c r="Q52" i="2405"/>
  <c r="Q40" i="2405"/>
  <c r="Q24" i="2405"/>
  <c r="Q99" i="2405"/>
  <c r="Q87" i="2405"/>
  <c r="Q59" i="2405"/>
  <c r="Q42" i="2405"/>
  <c r="Q20" i="2405"/>
  <c r="Q100" i="2405"/>
  <c r="Q76" i="2405"/>
  <c r="Q56" i="2405"/>
  <c r="Q38" i="2405"/>
  <c r="Q26" i="2405"/>
  <c r="Q107" i="2405"/>
  <c r="Q84" i="2405"/>
  <c r="Q77" i="2405"/>
  <c r="Q68" i="2405"/>
  <c r="Q55" i="2405"/>
  <c r="Q34" i="2405"/>
  <c r="Q21" i="2405"/>
  <c r="Q106" i="2405"/>
  <c r="Q91" i="2405"/>
  <c r="Q71" i="2405"/>
  <c r="Q61" i="2405"/>
  <c r="Q47" i="2405"/>
  <c r="Q35" i="2405"/>
  <c r="Q105" i="2405"/>
  <c r="Q95" i="2405"/>
  <c r="Q85" i="2405"/>
  <c r="Q53" i="2405"/>
  <c r="Q39" i="2405"/>
  <c r="Q19" i="2405"/>
  <c r="Q97" i="2405"/>
  <c r="Q72" i="2405"/>
  <c r="Q50" i="2405"/>
  <c r="Q37" i="2405"/>
  <c r="Q22" i="2405"/>
  <c r="H11" i="2405"/>
  <c r="Q102" i="2405"/>
  <c r="Q82" i="2405"/>
  <c r="Q75" i="2405"/>
  <c r="Q65" i="2405"/>
  <c r="Q48" i="2405"/>
  <c r="Q33" i="2405"/>
  <c r="Q16" i="2405"/>
  <c r="Q98" i="2405"/>
  <c r="Q86" i="2405"/>
  <c r="Q69" i="2405"/>
  <c r="Q57" i="2405"/>
  <c r="Q46" i="2405"/>
  <c r="Q32" i="2405"/>
  <c r="Q103" i="2405"/>
  <c r="Q92" i="2405"/>
  <c r="Q81" i="2405"/>
  <c r="Q51" i="2405"/>
  <c r="Q30" i="2405"/>
  <c r="Q18" i="2405"/>
  <c r="Q89" i="2405"/>
  <c r="Q64" i="2405"/>
  <c r="Q49" i="2405"/>
  <c r="Q31" i="2405"/>
  <c r="Q17" i="2405"/>
  <c r="P12" i="2422"/>
  <c r="X13" i="2390" s="1"/>
  <c r="P15" i="2422"/>
  <c r="X16" i="2390" s="1"/>
  <c r="P14" i="2422"/>
  <c r="X15" i="2390" s="1"/>
  <c r="B11" i="2405"/>
  <c r="F11" i="2405"/>
  <c r="P122" i="2420"/>
  <c r="BV6" i="2420" l="1"/>
  <c r="L11" i="2406" s="1"/>
  <c r="L14" i="2406"/>
  <c r="Q112" i="2405"/>
  <c r="E113" i="2405" s="1"/>
  <c r="BK5" i="2420"/>
  <c r="I29" i="2403"/>
  <c r="X12" i="2390"/>
  <c r="BK6" i="2420"/>
  <c r="I30" i="2403"/>
  <c r="I33" i="2403"/>
  <c r="BK9" i="2420"/>
  <c r="BK8" i="2420"/>
  <c r="I32" i="2403"/>
  <c r="BT52" i="2408"/>
  <c r="BU52" i="2408"/>
  <c r="BQ52" i="2408"/>
  <c r="CD52" i="2408" s="1"/>
  <c r="BR52" i="2408"/>
  <c r="BP52" i="2408"/>
  <c r="BS52" i="2408"/>
  <c r="BM52" i="2408"/>
  <c r="BQ65" i="2408"/>
  <c r="CC65" i="2408" s="1"/>
  <c r="BP65" i="2408"/>
  <c r="BR65" i="2408"/>
  <c r="BM65" i="2408"/>
  <c r="BS65" i="2408"/>
  <c r="BU65" i="2408"/>
  <c r="BT65" i="2408"/>
  <c r="BM70" i="2408"/>
  <c r="BU70" i="2408"/>
  <c r="BQ70" i="2408"/>
  <c r="BY70" i="2408" s="1"/>
  <c r="BT70" i="2408"/>
  <c r="BR70" i="2408"/>
  <c r="BP70" i="2408"/>
  <c r="BS70" i="2408"/>
  <c r="BR48" i="2408"/>
  <c r="BQ48" i="2408"/>
  <c r="BZ48" i="2408" s="1"/>
  <c r="BU48" i="2408"/>
  <c r="BT48" i="2408"/>
  <c r="BS48" i="2408"/>
  <c r="BP48" i="2408"/>
  <c r="BM48" i="2408"/>
  <c r="BM26" i="2408"/>
  <c r="BT26" i="2408"/>
  <c r="BS26" i="2408"/>
  <c r="BQ26" i="2408"/>
  <c r="BP26" i="2408"/>
  <c r="BR26" i="2408"/>
  <c r="BU26" i="2408"/>
  <c r="BS51" i="2408"/>
  <c r="BQ51" i="2408"/>
  <c r="CB51" i="2408" s="1"/>
  <c r="BT51" i="2408"/>
  <c r="BR51" i="2408"/>
  <c r="BP51" i="2408"/>
  <c r="BU51" i="2408"/>
  <c r="BM51" i="2408"/>
  <c r="BQ22" i="2408"/>
  <c r="CB22" i="2408" s="1"/>
  <c r="BT22" i="2408"/>
  <c r="BR22" i="2408"/>
  <c r="BP22" i="2408"/>
  <c r="BS22" i="2408"/>
  <c r="BU22" i="2408"/>
  <c r="BM22" i="2408"/>
  <c r="BU37" i="2408"/>
  <c r="BP37" i="2408"/>
  <c r="BQ37" i="2408"/>
  <c r="BY37" i="2408" s="1"/>
  <c r="BT37" i="2408"/>
  <c r="BR37" i="2408"/>
  <c r="BS37" i="2408"/>
  <c r="BM37" i="2408"/>
  <c r="BT63" i="2408"/>
  <c r="BP63" i="2408"/>
  <c r="BU63" i="2408"/>
  <c r="BQ63" i="2408"/>
  <c r="CB63" i="2408" s="1"/>
  <c r="BS63" i="2408"/>
  <c r="BR63" i="2408"/>
  <c r="BM63" i="2408"/>
  <c r="BU53" i="2408"/>
  <c r="BT53" i="2408"/>
  <c r="BQ53" i="2408"/>
  <c r="CD53" i="2408" s="1"/>
  <c r="BP53" i="2408"/>
  <c r="BR53" i="2408"/>
  <c r="BS53" i="2408"/>
  <c r="BM53" i="2408"/>
  <c r="BS15" i="2408"/>
  <c r="BR15" i="2408"/>
  <c r="BP15" i="2408"/>
  <c r="BQ15" i="2408"/>
  <c r="CB15" i="2408" s="1"/>
  <c r="BM15" i="2408"/>
  <c r="BQ38" i="2408"/>
  <c r="BY38" i="2408" s="1"/>
  <c r="BT38" i="2408"/>
  <c r="BR38" i="2408"/>
  <c r="BP38" i="2408"/>
  <c r="BS38" i="2408"/>
  <c r="BU38" i="2408"/>
  <c r="BM38" i="2408"/>
  <c r="BQ61" i="2408"/>
  <c r="CC61" i="2408" s="1"/>
  <c r="BT61" i="2408"/>
  <c r="BR61" i="2408"/>
  <c r="BS61" i="2408"/>
  <c r="BU61" i="2408"/>
  <c r="BP61" i="2408"/>
  <c r="BM61" i="2408"/>
  <c r="BT19" i="2408"/>
  <c r="BR19" i="2408"/>
  <c r="BM19" i="2408"/>
  <c r="BP19" i="2408"/>
  <c r="BQ19" i="2408"/>
  <c r="BS19" i="2408"/>
  <c r="BU19" i="2408"/>
  <c r="BS25" i="2408"/>
  <c r="BU25" i="2408"/>
  <c r="BP25" i="2408"/>
  <c r="BQ25" i="2408"/>
  <c r="CC25" i="2408" s="1"/>
  <c r="BT25" i="2408"/>
  <c r="BR25" i="2408"/>
  <c r="BM25" i="2408"/>
  <c r="BT74" i="2408"/>
  <c r="BS74" i="2408"/>
  <c r="BP74" i="2408"/>
  <c r="BQ74" i="2408"/>
  <c r="CB74" i="2408" s="1"/>
  <c r="BU74" i="2408"/>
  <c r="BR74" i="2408"/>
  <c r="BM74" i="2408"/>
  <c r="BP14" i="2408"/>
  <c r="BS14" i="2408"/>
  <c r="BQ14" i="2408"/>
  <c r="BX14" i="2408" s="1"/>
  <c r="BR14" i="2408"/>
  <c r="BM14" i="2408"/>
  <c r="BU35" i="2408"/>
  <c r="BS35" i="2408"/>
  <c r="BR35" i="2408"/>
  <c r="BT35" i="2408"/>
  <c r="BQ35" i="2408"/>
  <c r="CE35" i="2408" s="1"/>
  <c r="BP35" i="2408"/>
  <c r="BM35" i="2408"/>
  <c r="BU57" i="2408"/>
  <c r="BS57" i="2408"/>
  <c r="BQ57" i="2408"/>
  <c r="CD57" i="2408" s="1"/>
  <c r="BT57" i="2408"/>
  <c r="BR57" i="2408"/>
  <c r="BP57" i="2408"/>
  <c r="BM57" i="2408"/>
  <c r="BS72" i="2408"/>
  <c r="BQ72" i="2408"/>
  <c r="CD72" i="2408" s="1"/>
  <c r="BP72" i="2408"/>
  <c r="BM72" i="2408"/>
  <c r="BT72" i="2408"/>
  <c r="BR72" i="2408"/>
  <c r="BU72" i="2408"/>
  <c r="BM47" i="2408"/>
  <c r="BP47" i="2408"/>
  <c r="BS47" i="2408"/>
  <c r="BR47" i="2408"/>
  <c r="BT47" i="2408"/>
  <c r="BQ47" i="2408"/>
  <c r="BU47" i="2408"/>
  <c r="BR21" i="2408"/>
  <c r="BU21" i="2408"/>
  <c r="BS21" i="2408"/>
  <c r="BT21" i="2408"/>
  <c r="BP21" i="2408"/>
  <c r="BQ21" i="2408"/>
  <c r="CB21" i="2408" s="1"/>
  <c r="BM21" i="2408"/>
  <c r="BM68" i="2408"/>
  <c r="BS68" i="2408"/>
  <c r="BT68" i="2408"/>
  <c r="BU68" i="2408"/>
  <c r="BQ68" i="2408"/>
  <c r="BV68" i="2408" s="1"/>
  <c r="BR68" i="2408"/>
  <c r="BP68" i="2408"/>
  <c r="BQ55" i="2408"/>
  <c r="BW55" i="2408" s="1"/>
  <c r="BS55" i="2408"/>
  <c r="BR55" i="2408"/>
  <c r="BT55" i="2408"/>
  <c r="BU55" i="2408"/>
  <c r="BP55" i="2408"/>
  <c r="BM55" i="2408"/>
  <c r="BR33" i="2408"/>
  <c r="BT33" i="2408"/>
  <c r="BU33" i="2408"/>
  <c r="BP33" i="2408"/>
  <c r="BQ33" i="2408"/>
  <c r="CD33" i="2408" s="1"/>
  <c r="BS33" i="2408"/>
  <c r="BM33" i="2408"/>
  <c r="BM71" i="2408"/>
  <c r="BU71" i="2408"/>
  <c r="BS71" i="2408"/>
  <c r="BQ71" i="2408"/>
  <c r="BW71" i="2408" s="1"/>
  <c r="BT71" i="2408"/>
  <c r="BR71" i="2408"/>
  <c r="BP71" i="2408"/>
  <c r="BR16" i="2408"/>
  <c r="BQ16" i="2408"/>
  <c r="CE16" i="2408" s="1"/>
  <c r="BS16" i="2408"/>
  <c r="BP16" i="2408"/>
  <c r="BM16" i="2408"/>
  <c r="BM12" i="2408"/>
  <c r="BP12" i="2408"/>
  <c r="BR12" i="2408"/>
  <c r="BQ12" i="2408"/>
  <c r="BS12" i="2408"/>
  <c r="BM58" i="2408"/>
  <c r="BQ58" i="2408"/>
  <c r="BT58" i="2408"/>
  <c r="BS58" i="2408"/>
  <c r="BU58" i="2408"/>
  <c r="BP58" i="2408"/>
  <c r="BR58" i="2408"/>
  <c r="BQ66" i="2408"/>
  <c r="BY66" i="2408" s="1"/>
  <c r="BM66" i="2408"/>
  <c r="BU66" i="2408"/>
  <c r="BT66" i="2408"/>
  <c r="BS66" i="2408"/>
  <c r="BP66" i="2408"/>
  <c r="BR66" i="2408"/>
  <c r="BU43" i="2408"/>
  <c r="BR43" i="2408"/>
  <c r="BT43" i="2408"/>
  <c r="BP43" i="2408"/>
  <c r="BS43" i="2408"/>
  <c r="BQ43" i="2408"/>
  <c r="CE43" i="2408" s="1"/>
  <c r="BM43" i="2408"/>
  <c r="BU59" i="2408"/>
  <c r="BR59" i="2408"/>
  <c r="BT59" i="2408"/>
  <c r="BP59" i="2408"/>
  <c r="BS59" i="2408"/>
  <c r="BQ59" i="2408"/>
  <c r="CE59" i="2408" s="1"/>
  <c r="BM59" i="2408"/>
  <c r="BT31" i="2408"/>
  <c r="BP31" i="2408"/>
  <c r="BU31" i="2408"/>
  <c r="BQ31" i="2408"/>
  <c r="CA31" i="2408" s="1"/>
  <c r="BS31" i="2408"/>
  <c r="BR31" i="2408"/>
  <c r="BM31" i="2408"/>
  <c r="BS28" i="2408"/>
  <c r="BQ28" i="2408"/>
  <c r="CD28" i="2408" s="1"/>
  <c r="BU28" i="2408"/>
  <c r="BT28" i="2408"/>
  <c r="BR28" i="2408"/>
  <c r="BP28" i="2408"/>
  <c r="BM28" i="2408"/>
  <c r="BU75" i="2408"/>
  <c r="BR75" i="2408"/>
  <c r="BT75" i="2408"/>
  <c r="BM75" i="2408"/>
  <c r="BP75" i="2408"/>
  <c r="BS75" i="2408"/>
  <c r="BQ75" i="2408"/>
  <c r="BW75" i="2408" s="1"/>
  <c r="BT62" i="2408"/>
  <c r="BU62" i="2408"/>
  <c r="BP62" i="2408"/>
  <c r="BS62" i="2408"/>
  <c r="BQ62" i="2408"/>
  <c r="CC62" i="2408" s="1"/>
  <c r="BR62" i="2408"/>
  <c r="BM62" i="2408"/>
  <c r="BS56" i="2408"/>
  <c r="BQ56" i="2408"/>
  <c r="CD56" i="2408" s="1"/>
  <c r="BP56" i="2408"/>
  <c r="BT56" i="2408"/>
  <c r="BR56" i="2408"/>
  <c r="BU56" i="2408"/>
  <c r="BM56" i="2408"/>
  <c r="BU39" i="2408"/>
  <c r="BS39" i="2408"/>
  <c r="BQ39" i="2408"/>
  <c r="CE39" i="2408" s="1"/>
  <c r="BT39" i="2408"/>
  <c r="BR39" i="2408"/>
  <c r="BP39" i="2408"/>
  <c r="BM39" i="2408"/>
  <c r="BP23" i="2408"/>
  <c r="BQ23" i="2408"/>
  <c r="BW23" i="2408" s="1"/>
  <c r="BS23" i="2408"/>
  <c r="BT23" i="2408"/>
  <c r="BR23" i="2408"/>
  <c r="BU23" i="2408"/>
  <c r="BM23" i="2408"/>
  <c r="BR45" i="2408"/>
  <c r="BS45" i="2408"/>
  <c r="BU45" i="2408"/>
  <c r="BT45" i="2408"/>
  <c r="BQ45" i="2408"/>
  <c r="BW45" i="2408" s="1"/>
  <c r="BP45" i="2408"/>
  <c r="BM45" i="2408"/>
  <c r="BR46" i="2408"/>
  <c r="BT46" i="2408"/>
  <c r="BS46" i="2408"/>
  <c r="BP46" i="2408"/>
  <c r="BU46" i="2408"/>
  <c r="BQ46" i="2408"/>
  <c r="CB46" i="2408" s="1"/>
  <c r="BM46" i="2408"/>
  <c r="BQ32" i="2408"/>
  <c r="BV32" i="2408" s="1"/>
  <c r="BU32" i="2408"/>
  <c r="BT32" i="2408"/>
  <c r="BS32" i="2408"/>
  <c r="BP32" i="2408"/>
  <c r="BR32" i="2408"/>
  <c r="BM32" i="2408"/>
  <c r="BU27" i="2408"/>
  <c r="BR27" i="2408"/>
  <c r="BT27" i="2408"/>
  <c r="BP27" i="2408"/>
  <c r="BS27" i="2408"/>
  <c r="BQ27" i="2408"/>
  <c r="BW27" i="2408" s="1"/>
  <c r="BM27" i="2408"/>
  <c r="BP34" i="2408"/>
  <c r="BR34" i="2408"/>
  <c r="BQ34" i="2408"/>
  <c r="CC34" i="2408" s="1"/>
  <c r="BS34" i="2408"/>
  <c r="BT34" i="2408"/>
  <c r="BU34" i="2408"/>
  <c r="BM34" i="2408"/>
  <c r="BS24" i="2408"/>
  <c r="BU24" i="2408"/>
  <c r="BP24" i="2408"/>
  <c r="BT24" i="2408"/>
  <c r="BR24" i="2408"/>
  <c r="BQ24" i="2408"/>
  <c r="CD24" i="2408" s="1"/>
  <c r="BM24" i="2408"/>
  <c r="BP18" i="2408"/>
  <c r="BS18" i="2408"/>
  <c r="BQ18" i="2408"/>
  <c r="CB18" i="2408" s="1"/>
  <c r="BR18" i="2408"/>
  <c r="BM18" i="2408"/>
  <c r="BS44" i="2408"/>
  <c r="BQ44" i="2408"/>
  <c r="CD44" i="2408" s="1"/>
  <c r="BT44" i="2408"/>
  <c r="BU44" i="2408"/>
  <c r="BR44" i="2408"/>
  <c r="BP44" i="2408"/>
  <c r="BM44" i="2408"/>
  <c r="BU20" i="2408"/>
  <c r="BP20" i="2408"/>
  <c r="BR20" i="2408"/>
  <c r="BQ20" i="2408"/>
  <c r="CE20" i="2408" s="1"/>
  <c r="BS20" i="2408"/>
  <c r="BT20" i="2408"/>
  <c r="BM20" i="2408"/>
  <c r="BR40" i="2408"/>
  <c r="BU40" i="2408"/>
  <c r="BS40" i="2408"/>
  <c r="BQ40" i="2408"/>
  <c r="BZ40" i="2408" s="1"/>
  <c r="BP40" i="2408"/>
  <c r="BT40" i="2408"/>
  <c r="BM40" i="2408"/>
  <c r="BQ50" i="2408"/>
  <c r="CC50" i="2408" s="1"/>
  <c r="BU50" i="2408"/>
  <c r="BT50" i="2408"/>
  <c r="BS50" i="2408"/>
  <c r="BP50" i="2408"/>
  <c r="BR50" i="2408"/>
  <c r="BM50" i="2408"/>
  <c r="BM69" i="2408"/>
  <c r="BR69" i="2408"/>
  <c r="BS69" i="2408"/>
  <c r="BU69" i="2408"/>
  <c r="BT69" i="2408"/>
  <c r="BQ69" i="2408"/>
  <c r="BY69" i="2408" s="1"/>
  <c r="BP69" i="2408"/>
  <c r="BU29" i="2408"/>
  <c r="BT29" i="2408"/>
  <c r="BQ29" i="2408"/>
  <c r="BW29" i="2408" s="1"/>
  <c r="BP29" i="2408"/>
  <c r="BR29" i="2408"/>
  <c r="BS29" i="2408"/>
  <c r="BM29" i="2408"/>
  <c r="BT30" i="2408"/>
  <c r="BU30" i="2408"/>
  <c r="BP30" i="2408"/>
  <c r="BS30" i="2408"/>
  <c r="BQ30" i="2408"/>
  <c r="CC30" i="2408" s="1"/>
  <c r="BR30" i="2408"/>
  <c r="BM30" i="2408"/>
  <c r="BR17" i="2408"/>
  <c r="BP17" i="2408"/>
  <c r="BQ17" i="2408"/>
  <c r="BX17" i="2408" s="1"/>
  <c r="BS17" i="2408"/>
  <c r="BM17" i="2408"/>
  <c r="BU73" i="2408"/>
  <c r="BP73" i="2408"/>
  <c r="BQ73" i="2408"/>
  <c r="BV73" i="2408" s="1"/>
  <c r="BT73" i="2408"/>
  <c r="BM73" i="2408"/>
  <c r="BR73" i="2408"/>
  <c r="BS73" i="2408"/>
  <c r="BQ42" i="2408"/>
  <c r="CB42" i="2408" s="1"/>
  <c r="BU42" i="2408"/>
  <c r="BR42" i="2408"/>
  <c r="BT42" i="2408"/>
  <c r="BS42" i="2408"/>
  <c r="BP42" i="2408"/>
  <c r="BM42" i="2408"/>
  <c r="BM67" i="2408"/>
  <c r="BT67" i="2408"/>
  <c r="BR67" i="2408"/>
  <c r="BP67" i="2408"/>
  <c r="BQ67" i="2408"/>
  <c r="BW67" i="2408" s="1"/>
  <c r="BS67" i="2408"/>
  <c r="BU67" i="2408"/>
  <c r="BU54" i="2408"/>
  <c r="BQ54" i="2408"/>
  <c r="CC54" i="2408" s="1"/>
  <c r="BT54" i="2408"/>
  <c r="BR54" i="2408"/>
  <c r="BP54" i="2408"/>
  <c r="BS54" i="2408"/>
  <c r="BM54" i="2408"/>
  <c r="BR41" i="2408"/>
  <c r="BP41" i="2408"/>
  <c r="BU41" i="2408"/>
  <c r="BS41" i="2408"/>
  <c r="BQ41" i="2408"/>
  <c r="BV41" i="2408" s="1"/>
  <c r="BT41" i="2408"/>
  <c r="BM41" i="2408"/>
  <c r="BR36" i="2408"/>
  <c r="BQ36" i="2408"/>
  <c r="CD36" i="2408" s="1"/>
  <c r="BS36" i="2408"/>
  <c r="BT36" i="2408"/>
  <c r="BU36" i="2408"/>
  <c r="BP36" i="2408"/>
  <c r="BM36" i="2408"/>
  <c r="BS49" i="2408"/>
  <c r="BU49" i="2408"/>
  <c r="BT49" i="2408"/>
  <c r="BQ49" i="2408"/>
  <c r="CC49" i="2408" s="1"/>
  <c r="BP49" i="2408"/>
  <c r="BR49" i="2408"/>
  <c r="BM49" i="2408"/>
  <c r="BT60" i="2408"/>
  <c r="BR60" i="2408"/>
  <c r="BP60" i="2408"/>
  <c r="BS60" i="2408"/>
  <c r="BQ60" i="2408"/>
  <c r="CD60" i="2408" s="1"/>
  <c r="BU60" i="2408"/>
  <c r="BM60" i="2408"/>
  <c r="BP64" i="2408"/>
  <c r="BR64" i="2408"/>
  <c r="BQ64" i="2408"/>
  <c r="CD64" i="2408" s="1"/>
  <c r="BU64" i="2408"/>
  <c r="BT64" i="2408"/>
  <c r="BS64" i="2408"/>
  <c r="BM64" i="2408"/>
  <c r="BR13" i="2408"/>
  <c r="BS13" i="2408"/>
  <c r="BP13" i="2408"/>
  <c r="BQ13" i="2408"/>
  <c r="CC13" i="2408" s="1"/>
  <c r="BM13" i="2408"/>
  <c r="BU18" i="2408" l="1"/>
  <c r="BU16" i="2408"/>
  <c r="BT18" i="2408"/>
  <c r="BT17" i="2408"/>
  <c r="BU17" i="2408"/>
  <c r="BT16" i="2408"/>
  <c r="BU15" i="2408"/>
  <c r="BY55" i="2408"/>
  <c r="BT15" i="2408"/>
  <c r="BZ22" i="2408"/>
  <c r="CA61" i="2408"/>
  <c r="BW66" i="2408"/>
  <c r="CD32" i="2408"/>
  <c r="CE50" i="2408"/>
  <c r="BU14" i="2408"/>
  <c r="BW65" i="2408"/>
  <c r="BU13" i="2408"/>
  <c r="BW17" i="2408"/>
  <c r="CB28" i="2408"/>
  <c r="CD54" i="2408"/>
  <c r="BX28" i="2408"/>
  <c r="BY74" i="2408"/>
  <c r="BW21" i="2408"/>
  <c r="BW33" i="2408"/>
  <c r="BV48" i="2408"/>
  <c r="CB70" i="2408"/>
  <c r="BY71" i="2408"/>
  <c r="CA54" i="2408"/>
  <c r="CE28" i="2408"/>
  <c r="BX21" i="2408"/>
  <c r="BX70" i="2408"/>
  <c r="BZ30" i="2408"/>
  <c r="CD17" i="2408"/>
  <c r="CC70" i="2408"/>
  <c r="CE32" i="2408"/>
  <c r="CE61" i="2408"/>
  <c r="BX51" i="2408"/>
  <c r="CA70" i="2408"/>
  <c r="CC64" i="2408"/>
  <c r="BZ28" i="2408"/>
  <c r="CC31" i="2408"/>
  <c r="CD71" i="2408"/>
  <c r="BX74" i="2408"/>
  <c r="CD22" i="2408"/>
  <c r="BZ44" i="2408"/>
  <c r="CB14" i="2408"/>
  <c r="BW36" i="2408"/>
  <c r="CB17" i="2408"/>
  <c r="CE69" i="2408"/>
  <c r="BY18" i="2408"/>
  <c r="BV23" i="2408"/>
  <c r="CB59" i="2408"/>
  <c r="BV21" i="2408"/>
  <c r="BV62" i="2408"/>
  <c r="CA38" i="2408"/>
  <c r="BV17" i="2408"/>
  <c r="CC69" i="2408"/>
  <c r="CE18" i="2408"/>
  <c r="BV39" i="2408"/>
  <c r="BZ66" i="2408"/>
  <c r="BX16" i="2408"/>
  <c r="BW14" i="2408"/>
  <c r="BT14" i="2408"/>
  <c r="CD70" i="2408"/>
  <c r="BW52" i="2408"/>
  <c r="CB44" i="2408"/>
  <c r="CB34" i="2408"/>
  <c r="CB56" i="2408"/>
  <c r="CD31" i="2408"/>
  <c r="CD66" i="2408"/>
  <c r="CD16" i="2408"/>
  <c r="CA71" i="2408"/>
  <c r="CD21" i="2408"/>
  <c r="CE21" i="2408"/>
  <c r="CE14" i="2408"/>
  <c r="BZ74" i="2408"/>
  <c r="CE25" i="2408"/>
  <c r="BX61" i="2408"/>
  <c r="CE48" i="2408"/>
  <c r="BV74" i="2408"/>
  <c r="BX25" i="2408"/>
  <c r="CD61" i="2408"/>
  <c r="BY53" i="2408"/>
  <c r="BZ20" i="2408"/>
  <c r="BV27" i="2408"/>
  <c r="BV69" i="2408"/>
  <c r="CB20" i="2408"/>
  <c r="CC18" i="2408"/>
  <c r="BY27" i="2408"/>
  <c r="CA23" i="2408"/>
  <c r="BV31" i="2408"/>
  <c r="BX59" i="2408"/>
  <c r="CB16" i="2408"/>
  <c r="CC21" i="2408"/>
  <c r="CA21" i="2408"/>
  <c r="CD74" i="2408"/>
  <c r="BW74" i="2408"/>
  <c r="BV25" i="2408"/>
  <c r="BV61" i="2408"/>
  <c r="BX37" i="2408"/>
  <c r="CA51" i="2408"/>
  <c r="BZ70" i="2408"/>
  <c r="BV70" i="2408"/>
  <c r="CE52" i="2408"/>
  <c r="BX41" i="2408"/>
  <c r="CA36" i="2408"/>
  <c r="CA30" i="2408"/>
  <c r="CC32" i="2408"/>
  <c r="CD62" i="2408"/>
  <c r="BZ31" i="2408"/>
  <c r="CC72" i="2408"/>
  <c r="CA25" i="2408"/>
  <c r="BW25" i="2408"/>
  <c r="BY61" i="2408"/>
  <c r="BW61" i="2408"/>
  <c r="BW22" i="2408"/>
  <c r="BY51" i="2408"/>
  <c r="BW48" i="2408"/>
  <c r="BW41" i="2408"/>
  <c r="CC57" i="2408"/>
  <c r="CB45" i="2408"/>
  <c r="BZ49" i="2408"/>
  <c r="CD49" i="2408"/>
  <c r="CA41" i="2408"/>
  <c r="BZ67" i="2408"/>
  <c r="BZ17" i="2408"/>
  <c r="BX69" i="2408"/>
  <c r="CB69" i="2408"/>
  <c r="BY32" i="2408"/>
  <c r="BW46" i="2408"/>
  <c r="BZ25" i="2408"/>
  <c r="BZ61" i="2408"/>
  <c r="CB61" i="2408"/>
  <c r="CD38" i="2408"/>
  <c r="CD37" i="2408"/>
  <c r="BZ51" i="2408"/>
  <c r="CD51" i="2408"/>
  <c r="BY48" i="2408"/>
  <c r="BZ65" i="2408"/>
  <c r="BX52" i="2408"/>
  <c r="CD13" i="2408"/>
  <c r="CE42" i="2408"/>
  <c r="CB35" i="2408"/>
  <c r="BX20" i="2408"/>
  <c r="CD20" i="2408"/>
  <c r="BY34" i="2408"/>
  <c r="CC46" i="2408"/>
  <c r="CD39" i="2408"/>
  <c r="CE56" i="2408"/>
  <c r="BX75" i="2408"/>
  <c r="BV59" i="2408"/>
  <c r="BZ59" i="2408"/>
  <c r="CD43" i="2408"/>
  <c r="CE55" i="2408"/>
  <c r="CA68" i="2408"/>
  <c r="BX35" i="2408"/>
  <c r="BZ15" i="2408"/>
  <c r="BV53" i="2408"/>
  <c r="CA65" i="2408"/>
  <c r="CA75" i="2408"/>
  <c r="BW15" i="2408"/>
  <c r="BW13" i="2408"/>
  <c r="CB13" i="2408"/>
  <c r="BW49" i="2408"/>
  <c r="BX67" i="2408"/>
  <c r="CB40" i="2408"/>
  <c r="CC20" i="2408"/>
  <c r="CA20" i="2408"/>
  <c r="BY44" i="2408"/>
  <c r="BX24" i="2408"/>
  <c r="CA34" i="2408"/>
  <c r="CD27" i="2408"/>
  <c r="CA45" i="2408"/>
  <c r="BX39" i="2408"/>
  <c r="CE62" i="2408"/>
  <c r="CD75" i="2408"/>
  <c r="BY75" i="2408"/>
  <c r="CC28" i="2408"/>
  <c r="BW28" i="2408"/>
  <c r="CC59" i="2408"/>
  <c r="CB43" i="2408"/>
  <c r="BX55" i="2408"/>
  <c r="BV72" i="2408"/>
  <c r="CA35" i="2408"/>
  <c r="CC15" i="2408"/>
  <c r="BZ53" i="2408"/>
  <c r="BX53" i="2408"/>
  <c r="CB65" i="2408"/>
  <c r="CD65" i="2408"/>
  <c r="BY13" i="2408"/>
  <c r="BX43" i="2408"/>
  <c r="BZ13" i="2408"/>
  <c r="CA13" i="2408"/>
  <c r="BX13" i="2408"/>
  <c r="CE13" i="2408"/>
  <c r="BV13" i="2408"/>
  <c r="CE49" i="2408"/>
  <c r="CE36" i="2408"/>
  <c r="BZ42" i="2408"/>
  <c r="BY20" i="2408"/>
  <c r="BV20" i="2408"/>
  <c r="BW20" i="2408"/>
  <c r="CE34" i="2408"/>
  <c r="BZ27" i="2408"/>
  <c r="CE46" i="2408"/>
  <c r="BX45" i="2408"/>
  <c r="BX23" i="2408"/>
  <c r="BX56" i="2408"/>
  <c r="CA62" i="2408"/>
  <c r="CC75" i="2408"/>
  <c r="CA28" i="2408"/>
  <c r="BV28" i="2408"/>
  <c r="BY59" i="2408"/>
  <c r="BW59" i="2408"/>
  <c r="BV43" i="2408"/>
  <c r="CA66" i="2408"/>
  <c r="BZ16" i="2408"/>
  <c r="CE33" i="2408"/>
  <c r="BV55" i="2408"/>
  <c r="CE57" i="2408"/>
  <c r="BV35" i="2408"/>
  <c r="CC74" i="2408"/>
  <c r="CB25" i="2408"/>
  <c r="CE38" i="2408"/>
  <c r="CE15" i="2408"/>
  <c r="CA53" i="2408"/>
  <c r="BV63" i="2408"/>
  <c r="CC22" i="2408"/>
  <c r="BY65" i="2408"/>
  <c r="BV65" i="2408"/>
  <c r="BV60" i="2408"/>
  <c r="BZ64" i="2408"/>
  <c r="BV64" i="2408"/>
  <c r="BX36" i="2408"/>
  <c r="BY36" i="2408"/>
  <c r="CD41" i="2408"/>
  <c r="BZ41" i="2408"/>
  <c r="BY54" i="2408"/>
  <c r="CE54" i="2408"/>
  <c r="CB54" i="2408"/>
  <c r="BX42" i="2408"/>
  <c r="CD73" i="2408"/>
  <c r="CE17" i="2408"/>
  <c r="BY17" i="2408"/>
  <c r="CD30" i="2408"/>
  <c r="BX29" i="2408"/>
  <c r="BZ69" i="2408"/>
  <c r="BV50" i="2408"/>
  <c r="BW40" i="2408"/>
  <c r="BX44" i="2408"/>
  <c r="BZ18" i="2408"/>
  <c r="BV18" i="2408"/>
  <c r="BY24" i="2408"/>
  <c r="BZ34" i="2408"/>
  <c r="CA32" i="2408"/>
  <c r="BX46" i="2408"/>
  <c r="BV45" i="2408"/>
  <c r="BY23" i="2408"/>
  <c r="CA39" i="2408"/>
  <c r="BW39" i="2408"/>
  <c r="BW56" i="2408"/>
  <c r="CB62" i="2408"/>
  <c r="CB75" i="2408"/>
  <c r="BY28" i="2408"/>
  <c r="CE71" i="2408"/>
  <c r="CC33" i="2408"/>
  <c r="BZ33" i="2408"/>
  <c r="CD55" i="2408"/>
  <c r="CB68" i="2408"/>
  <c r="BY21" i="2408"/>
  <c r="BZ21" i="2408"/>
  <c r="BZ57" i="2408"/>
  <c r="CD35" i="2408"/>
  <c r="BW35" i="2408"/>
  <c r="BZ14" i="2408"/>
  <c r="BY25" i="2408"/>
  <c r="CD25" i="2408"/>
  <c r="CB38" i="2408"/>
  <c r="CA63" i="2408"/>
  <c r="BY22" i="2408"/>
  <c r="CE22" i="2408"/>
  <c r="CC51" i="2408"/>
  <c r="CA52" i="2408"/>
  <c r="CB64" i="2408"/>
  <c r="BX64" i="2408"/>
  <c r="CC41" i="2408"/>
  <c r="CE41" i="2408"/>
  <c r="BW54" i="2408"/>
  <c r="BV54" i="2408"/>
  <c r="CA42" i="2408"/>
  <c r="BY73" i="2408"/>
  <c r="CE30" i="2408"/>
  <c r="CB30" i="2408"/>
  <c r="CC29" i="2408"/>
  <c r="BZ50" i="2408"/>
  <c r="CE40" i="2408"/>
  <c r="CB24" i="2408"/>
  <c r="BZ45" i="2408"/>
  <c r="CE64" i="2408"/>
  <c r="CA60" i="2408"/>
  <c r="CC36" i="2408"/>
  <c r="BV36" i="2408"/>
  <c r="CB41" i="2408"/>
  <c r="BY41" i="2408"/>
  <c r="BZ54" i="2408"/>
  <c r="BX54" i="2408"/>
  <c r="CD42" i="2408"/>
  <c r="BW30" i="2408"/>
  <c r="BV30" i="2408"/>
  <c r="CA40" i="2408"/>
  <c r="CC24" i="2408"/>
  <c r="CA33" i="2408"/>
  <c r="CE68" i="2408"/>
  <c r="CC35" i="2408"/>
  <c r="BY35" i="2408"/>
  <c r="BX38" i="2408"/>
  <c r="BY63" i="2408"/>
  <c r="BV22" i="2408"/>
  <c r="BV51" i="2408"/>
  <c r="BY52" i="2408"/>
  <c r="BZ71" i="2408"/>
  <c r="CB33" i="2408"/>
  <c r="BV33" i="2408"/>
  <c r="CC68" i="2408"/>
  <c r="BZ35" i="2408"/>
  <c r="BX63" i="2408"/>
  <c r="BZ60" i="2408"/>
  <c r="CE67" i="2408"/>
  <c r="CC73" i="2408"/>
  <c r="CA29" i="2408"/>
  <c r="BY29" i="2408"/>
  <c r="CD50" i="2408"/>
  <c r="BT13" i="2408"/>
  <c r="BY64" i="2408"/>
  <c r="CA64" i="2408"/>
  <c r="BW64" i="2408"/>
  <c r="CB60" i="2408"/>
  <c r="CC60" i="2408"/>
  <c r="BV49" i="2408"/>
  <c r="CB49" i="2408"/>
  <c r="CB36" i="2408"/>
  <c r="BZ36" i="2408"/>
  <c r="CB67" i="2408"/>
  <c r="BV67" i="2408"/>
  <c r="BW42" i="2408"/>
  <c r="BY42" i="2408"/>
  <c r="BW73" i="2408"/>
  <c r="CB73" i="2408"/>
  <c r="CA73" i="2408"/>
  <c r="CC17" i="2408"/>
  <c r="CA17" i="2408"/>
  <c r="BX30" i="2408"/>
  <c r="BY30" i="2408"/>
  <c r="CD29" i="2408"/>
  <c r="BZ29" i="2408"/>
  <c r="BW69" i="2408"/>
  <c r="CD69" i="2408"/>
  <c r="CA69" i="2408"/>
  <c r="CB50" i="2408"/>
  <c r="BW50" i="2408"/>
  <c r="BY40" i="2408"/>
  <c r="CC40" i="2408"/>
  <c r="CA44" i="2408"/>
  <c r="CC44" i="2408"/>
  <c r="BW44" i="2408"/>
  <c r="BX18" i="2408"/>
  <c r="CD18" i="2408"/>
  <c r="BV24" i="2408"/>
  <c r="BW24" i="2408"/>
  <c r="CD34" i="2408"/>
  <c r="BX34" i="2408"/>
  <c r="CC27" i="2408"/>
  <c r="CB27" i="2408"/>
  <c r="CA27" i="2408"/>
  <c r="BX32" i="2408"/>
  <c r="BW32" i="2408"/>
  <c r="BV46" i="2408"/>
  <c r="BY46" i="2408"/>
  <c r="CD45" i="2408"/>
  <c r="CE45" i="2408"/>
  <c r="CC23" i="2408"/>
  <c r="CE23" i="2408"/>
  <c r="BZ23" i="2408"/>
  <c r="BY39" i="2408"/>
  <c r="CC39" i="2408"/>
  <c r="BZ56" i="2408"/>
  <c r="BV56" i="2408"/>
  <c r="BW62" i="2408"/>
  <c r="BX62" i="2408"/>
  <c r="BZ75" i="2408"/>
  <c r="CE75" i="2408"/>
  <c r="BV75" i="2408"/>
  <c r="BX31" i="2408"/>
  <c r="CE31" i="2408"/>
  <c r="CA59" i="2408"/>
  <c r="CD59" i="2408"/>
  <c r="BY43" i="2408"/>
  <c r="CC43" i="2408"/>
  <c r="CA43" i="2408"/>
  <c r="CC66" i="2408"/>
  <c r="BX66" i="2408"/>
  <c r="BW16" i="2408"/>
  <c r="BY16" i="2408"/>
  <c r="CA16" i="2408"/>
  <c r="CB71" i="2408"/>
  <c r="BX71" i="2408"/>
  <c r="BY33" i="2408"/>
  <c r="BX33" i="2408"/>
  <c r="CB55" i="2408"/>
  <c r="CA55" i="2408"/>
  <c r="BX68" i="2408"/>
  <c r="BZ68" i="2408"/>
  <c r="BW68" i="2408"/>
  <c r="BZ72" i="2408"/>
  <c r="BY72" i="2408"/>
  <c r="BX57" i="2408"/>
  <c r="CA57" i="2408"/>
  <c r="CD14" i="2408"/>
  <c r="CA14" i="2408"/>
  <c r="CE74" i="2408"/>
  <c r="CA74" i="2408"/>
  <c r="CC38" i="2408"/>
  <c r="BW38" i="2408"/>
  <c r="BX15" i="2408"/>
  <c r="BY15" i="2408"/>
  <c r="CE53" i="2408"/>
  <c r="CB53" i="2408"/>
  <c r="CD63" i="2408"/>
  <c r="CC63" i="2408"/>
  <c r="BZ63" i="2408"/>
  <c r="CA37" i="2408"/>
  <c r="CB37" i="2408"/>
  <c r="BX22" i="2408"/>
  <c r="CA22" i="2408"/>
  <c r="CE51" i="2408"/>
  <c r="BW51" i="2408"/>
  <c r="CB48" i="2408"/>
  <c r="CD48" i="2408"/>
  <c r="CA48" i="2408"/>
  <c r="CE70" i="2408"/>
  <c r="BW70" i="2408"/>
  <c r="BX65" i="2408"/>
  <c r="CE65" i="2408"/>
  <c r="CB52" i="2408"/>
  <c r="BV52" i="2408"/>
  <c r="CE37" i="2408"/>
  <c r="BW37" i="2408"/>
  <c r="BZ37" i="2408"/>
  <c r="BW60" i="2408"/>
  <c r="CE60" i="2408"/>
  <c r="BY60" i="2408"/>
  <c r="BY49" i="2408"/>
  <c r="CA49" i="2408"/>
  <c r="BX49" i="2408"/>
  <c r="CD67" i="2408"/>
  <c r="CA67" i="2408"/>
  <c r="CC67" i="2408"/>
  <c r="BV42" i="2408"/>
  <c r="CC42" i="2408"/>
  <c r="BZ73" i="2408"/>
  <c r="CE73" i="2408"/>
  <c r="CB29" i="2408"/>
  <c r="CE29" i="2408"/>
  <c r="BX50" i="2408"/>
  <c r="BY50" i="2408"/>
  <c r="BV40" i="2408"/>
  <c r="BX40" i="2408"/>
  <c r="CD40" i="2408"/>
  <c r="BV44" i="2408"/>
  <c r="CE44" i="2408"/>
  <c r="CA18" i="2408"/>
  <c r="BW18" i="2408"/>
  <c r="CA24" i="2408"/>
  <c r="BZ24" i="2408"/>
  <c r="CE24" i="2408"/>
  <c r="BV34" i="2408"/>
  <c r="BW34" i="2408"/>
  <c r="BX27" i="2408"/>
  <c r="CE27" i="2408"/>
  <c r="CB32" i="2408"/>
  <c r="BZ32" i="2408"/>
  <c r="CA46" i="2408"/>
  <c r="CD46" i="2408"/>
  <c r="BZ46" i="2408"/>
  <c r="CC45" i="2408"/>
  <c r="BY45" i="2408"/>
  <c r="CB23" i="2408"/>
  <c r="CD23" i="2408"/>
  <c r="BZ39" i="2408"/>
  <c r="CB39" i="2408"/>
  <c r="CC56" i="2408"/>
  <c r="CA56" i="2408"/>
  <c r="BY56" i="2408"/>
  <c r="BY62" i="2408"/>
  <c r="BZ62" i="2408"/>
  <c r="BW31" i="2408"/>
  <c r="CB31" i="2408"/>
  <c r="BY31" i="2408"/>
  <c r="BZ43" i="2408"/>
  <c r="BW43" i="2408"/>
  <c r="BV66" i="2408"/>
  <c r="CE66" i="2408"/>
  <c r="BT12" i="2408"/>
  <c r="BU12" i="2408"/>
  <c r="CC16" i="2408"/>
  <c r="BV16" i="2408"/>
  <c r="BV71" i="2408"/>
  <c r="CC71" i="2408"/>
  <c r="CC55" i="2408"/>
  <c r="BZ55" i="2408"/>
  <c r="BY68" i="2408"/>
  <c r="CD68" i="2408"/>
  <c r="BX72" i="2408"/>
  <c r="CB72" i="2408"/>
  <c r="BW72" i="2408"/>
  <c r="BW57" i="2408"/>
  <c r="CB57" i="2408"/>
  <c r="BV14" i="2408"/>
  <c r="BY14" i="2408"/>
  <c r="CA19" i="2408"/>
  <c r="CE19" i="2408"/>
  <c r="CB19" i="2408"/>
  <c r="CD19" i="2408"/>
  <c r="CC19" i="2408"/>
  <c r="BY19" i="2408"/>
  <c r="BW19" i="2408"/>
  <c r="BV19" i="2408"/>
  <c r="BX19" i="2408"/>
  <c r="BZ19" i="2408"/>
  <c r="BZ38" i="2408"/>
  <c r="BV38" i="2408"/>
  <c r="CD15" i="2408"/>
  <c r="BV15" i="2408"/>
  <c r="CA15" i="2408"/>
  <c r="BW53" i="2408"/>
  <c r="CC53" i="2408"/>
  <c r="CE63" i="2408"/>
  <c r="BW63" i="2408"/>
  <c r="CC37" i="2408"/>
  <c r="BV37" i="2408"/>
  <c r="BX48" i="2408"/>
  <c r="CC48" i="2408"/>
  <c r="BZ52" i="2408"/>
  <c r="CC52" i="2408"/>
  <c r="BX60" i="2408"/>
  <c r="BY67" i="2408"/>
  <c r="BX73" i="2408"/>
  <c r="BV29" i="2408"/>
  <c r="CA50" i="2408"/>
  <c r="CB66" i="2408"/>
  <c r="CB58" i="2408"/>
  <c r="BX58" i="2408"/>
  <c r="CC58" i="2408"/>
  <c r="BW58" i="2408"/>
  <c r="CD58" i="2408"/>
  <c r="CE58" i="2408"/>
  <c r="CA58" i="2408"/>
  <c r="BZ58" i="2408"/>
  <c r="BV58" i="2408"/>
  <c r="BY58" i="2408"/>
  <c r="BX12" i="2408"/>
  <c r="CC12" i="2408"/>
  <c r="CE12" i="2408"/>
  <c r="BW12" i="2408"/>
  <c r="CB12" i="2408"/>
  <c r="CD12" i="2408"/>
  <c r="BZ12" i="2408"/>
  <c r="BV12" i="2408"/>
  <c r="BY12" i="2408"/>
  <c r="CA12" i="2408"/>
  <c r="BW47" i="2408"/>
  <c r="BV47" i="2408"/>
  <c r="CC47" i="2408"/>
  <c r="CA47" i="2408"/>
  <c r="BY47" i="2408"/>
  <c r="BZ47" i="2408"/>
  <c r="CE47" i="2408"/>
  <c r="CD47" i="2408"/>
  <c r="BX47" i="2408"/>
  <c r="CB47" i="2408"/>
  <c r="CA72" i="2408"/>
  <c r="CE72" i="2408"/>
  <c r="BV57" i="2408"/>
  <c r="BY57" i="2408"/>
  <c r="CC14" i="2408"/>
  <c r="CC26" i="2408"/>
  <c r="CA26" i="2408"/>
  <c r="BY26" i="2408"/>
  <c r="BV26" i="2408"/>
  <c r="CD26" i="2408"/>
  <c r="BX26" i="2408"/>
  <c r="CB26" i="2408"/>
  <c r="BZ26" i="2408"/>
  <c r="BW26" i="2408"/>
  <c r="CE26" i="2408"/>
  <c r="S6" i="2420"/>
  <c r="D13" i="2390" l="1"/>
  <c r="BT10" i="2408"/>
  <c r="P119" i="2420"/>
  <c r="P115" i="2420" l="1"/>
  <c r="M21" i="2402" l="1"/>
  <c r="AY5" i="2408"/>
  <c r="AC32" i="2345"/>
  <c r="AD32" i="2345"/>
  <c r="AC33" i="2345"/>
  <c r="AD33" i="2345"/>
  <c r="AC34" i="2345"/>
  <c r="AD34" i="2345"/>
  <c r="AC35" i="2345"/>
  <c r="AD35" i="2345"/>
  <c r="AC36" i="2345"/>
  <c r="AD36" i="2345"/>
  <c r="AC37" i="2345"/>
  <c r="AD37" i="2345"/>
  <c r="AC38" i="2345"/>
  <c r="AD38" i="2345"/>
  <c r="AC40" i="2345"/>
  <c r="AD40" i="2345"/>
  <c r="AC41" i="2345"/>
  <c r="AD41" i="2345"/>
  <c r="AC42" i="2345"/>
  <c r="AD42" i="2345"/>
  <c r="AC43" i="2345"/>
  <c r="AD43" i="2345"/>
  <c r="AC44" i="2345"/>
  <c r="AD44" i="2345"/>
  <c r="AC45" i="2345"/>
  <c r="AD45" i="2345"/>
  <c r="AC47" i="2345"/>
  <c r="AD47" i="2345"/>
  <c r="AC48" i="2345"/>
  <c r="AD48" i="2345"/>
  <c r="AC49" i="2345"/>
  <c r="AD49" i="2345"/>
  <c r="AC51" i="2345"/>
  <c r="AD51" i="2345"/>
  <c r="AC52" i="2345"/>
  <c r="AD52" i="2345"/>
  <c r="AC53" i="2345"/>
  <c r="AD53" i="2345"/>
  <c r="AC54" i="2345"/>
  <c r="AD54" i="2345"/>
  <c r="AC55" i="2345"/>
  <c r="AD55" i="2345"/>
  <c r="AC56" i="2345"/>
  <c r="AD56" i="2345"/>
  <c r="AC57" i="2345"/>
  <c r="AD57" i="2345"/>
  <c r="AC58" i="2345"/>
  <c r="AD58" i="2345"/>
  <c r="AC59" i="2345"/>
  <c r="AD59" i="2345"/>
  <c r="AD21" i="2345"/>
  <c r="AD22" i="2345"/>
  <c r="AD23" i="2345"/>
  <c r="AD24" i="2345"/>
  <c r="AD25" i="2345"/>
  <c r="AC21" i="2345"/>
  <c r="AC22" i="2345"/>
  <c r="AC23" i="2345"/>
  <c r="AC24" i="2345"/>
  <c r="AC25" i="2345"/>
  <c r="AC26" i="2345"/>
  <c r="AC30" i="2345" l="1"/>
  <c r="AC28" i="2345"/>
  <c r="AC27" i="2345"/>
  <c r="AC31" i="2345"/>
  <c r="A13" i="2383" l="1"/>
  <c r="A14" i="2383"/>
  <c r="A15" i="2383"/>
  <c r="A12" i="2383"/>
  <c r="A16" i="2413" l="1"/>
  <c r="A15" i="2413"/>
  <c r="A14" i="2413"/>
  <c r="A13" i="2413"/>
  <c r="AD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AD27" i="2345" l="1"/>
  <c r="BS5" i="2420" l="1"/>
  <c r="AD30" i="2345"/>
  <c r="AD28" i="2345"/>
  <c r="AD31" i="2345"/>
  <c r="H10" i="2406" l="1"/>
  <c r="BW5" i="2420"/>
  <c r="M10" i="2406" s="1"/>
  <c r="BU5" i="2420"/>
  <c r="BV5" i="2420" l="1"/>
  <c r="L10" i="2406" s="1"/>
  <c r="K10" i="2406"/>
  <c r="BY10" i="2408" l="1"/>
  <c r="BW10" i="2408" l="1"/>
  <c r="CB10" i="2408"/>
  <c r="BV10" i="2408"/>
  <c r="C23" i="2401" s="1"/>
  <c r="D23" i="2401" s="1"/>
  <c r="CE10" i="2408"/>
  <c r="CD10" i="2408"/>
  <c r="CC10" i="2408"/>
  <c r="BZ10" i="2408"/>
  <c r="BX10" i="2408"/>
  <c r="BU10" i="2408"/>
  <c r="CA10" i="2408" l="1"/>
  <c r="F23" i="2401" s="1"/>
  <c r="G23" i="2401" s="1"/>
  <c r="X112" i="2380"/>
  <c r="C11" i="2405" l="1"/>
  <c r="E11" i="2405"/>
  <c r="B113" i="2405" l="1"/>
  <c r="BH95" i="2420" l="1"/>
  <c r="S102" i="2390" s="1"/>
  <c r="L82" i="2403"/>
  <c r="L67" i="2403"/>
  <c r="BH59" i="2420"/>
  <c r="S66" i="2390" s="1"/>
  <c r="CP72" i="2420"/>
  <c r="CQ72" i="2420" s="1"/>
  <c r="L197" i="2403"/>
  <c r="CP101" i="2420"/>
  <c r="CQ101" i="2420" s="1"/>
  <c r="L226" i="2403"/>
  <c r="CP43" i="2420"/>
  <c r="CQ43" i="2420" s="1"/>
  <c r="L168" i="2403"/>
  <c r="CP91" i="2420"/>
  <c r="CQ91" i="2420" s="1"/>
  <c r="L216" i="2403"/>
  <c r="CP58" i="2420"/>
  <c r="CQ58" i="2420" s="1"/>
  <c r="L183" i="2403"/>
  <c r="CP71" i="2420"/>
  <c r="CQ71" i="2420" s="1"/>
  <c r="L196" i="2403"/>
  <c r="CP83" i="2420"/>
  <c r="CQ83" i="2420" s="1"/>
  <c r="L208" i="2403"/>
  <c r="CP81" i="2420"/>
  <c r="CQ81" i="2420" s="1"/>
  <c r="L206" i="2403"/>
  <c r="CP103" i="2420"/>
  <c r="CQ103" i="2420" s="1"/>
  <c r="L228" i="2403"/>
  <c r="CP41" i="2420"/>
  <c r="CQ41" i="2420" s="1"/>
  <c r="L166" i="2403"/>
  <c r="CP77" i="2420"/>
  <c r="CQ77" i="2420" s="1"/>
  <c r="L202" i="2403"/>
  <c r="L214" i="2403"/>
  <c r="CP89" i="2420"/>
  <c r="CQ89" i="2420" s="1"/>
  <c r="L224" i="2403"/>
  <c r="CP99" i="2420"/>
  <c r="CQ99" i="2420" s="1"/>
  <c r="L175" i="2403"/>
  <c r="CP50" i="2420"/>
  <c r="CQ50" i="2420" s="1"/>
  <c r="CP95" i="2420"/>
  <c r="CQ95" i="2420" s="1"/>
  <c r="L220" i="2403"/>
  <c r="CP80" i="2420"/>
  <c r="CQ80" i="2420" s="1"/>
  <c r="L205" i="2403"/>
  <c r="CP27" i="2420"/>
  <c r="CQ27" i="2420" s="1"/>
  <c r="L152" i="2403"/>
  <c r="CP68" i="2420"/>
  <c r="CQ68" i="2420" s="1"/>
  <c r="L193" i="2403"/>
  <c r="L170" i="2403"/>
  <c r="CP45" i="2420"/>
  <c r="CQ45" i="2420" s="1"/>
  <c r="L181" i="2403"/>
  <c r="CP56" i="2420"/>
  <c r="CQ56" i="2420" s="1"/>
  <c r="L156" i="2403"/>
  <c r="CP31" i="2420"/>
  <c r="CQ31" i="2420" s="1"/>
  <c r="L161" i="2403"/>
  <c r="CP36" i="2420"/>
  <c r="CQ36" i="2420" s="1"/>
  <c r="CP39" i="2420"/>
  <c r="CQ39" i="2420" s="1"/>
  <c r="L164" i="2403"/>
  <c r="CP59" i="2420"/>
  <c r="CQ59" i="2420" s="1"/>
  <c r="L184" i="2403"/>
  <c r="CP87" i="2420"/>
  <c r="CQ87" i="2420" s="1"/>
  <c r="L212" i="2403"/>
  <c r="CP66" i="2420"/>
  <c r="CQ66" i="2420" s="1"/>
  <c r="L191" i="2403"/>
  <c r="CP98" i="2420"/>
  <c r="CQ98" i="2420" s="1"/>
  <c r="L223" i="2403"/>
  <c r="CP67" i="2420"/>
  <c r="CQ67" i="2420" s="1"/>
  <c r="L192" i="2403"/>
  <c r="CP70" i="2420"/>
  <c r="CQ70" i="2420" s="1"/>
  <c r="L195" i="2403"/>
  <c r="L218" i="2403"/>
  <c r="CP93" i="2420"/>
  <c r="CQ93" i="2420" s="1"/>
  <c r="CP73" i="2420"/>
  <c r="CQ73" i="2420" s="1"/>
  <c r="L198" i="2403"/>
  <c r="CP69" i="2420"/>
  <c r="CQ69" i="2420" s="1"/>
  <c r="L194" i="2403"/>
  <c r="L219" i="2403"/>
  <c r="CP94" i="2420"/>
  <c r="CQ94" i="2420" s="1"/>
  <c r="CP84" i="2420"/>
  <c r="CQ84" i="2420" s="1"/>
  <c r="L209" i="2403"/>
  <c r="L169" i="2403"/>
  <c r="CP44" i="2420"/>
  <c r="CQ44" i="2420" s="1"/>
  <c r="CP75" i="2420"/>
  <c r="CQ75" i="2420" s="1"/>
  <c r="L200" i="2403"/>
  <c r="CP102" i="2420"/>
  <c r="CQ102" i="2420" s="1"/>
  <c r="L227" i="2403"/>
  <c r="CP33" i="2420"/>
  <c r="CQ33" i="2420" s="1"/>
  <c r="L158" i="2403"/>
  <c r="L178" i="2403"/>
  <c r="CP53" i="2420"/>
  <c r="CQ53" i="2420" s="1"/>
  <c r="L182" i="2403"/>
  <c r="CP57" i="2420"/>
  <c r="CQ57" i="2420" s="1"/>
  <c r="CP65" i="2420"/>
  <c r="CQ65" i="2420" s="1"/>
  <c r="L190" i="2403"/>
  <c r="CP55" i="2420"/>
  <c r="CQ55" i="2420" s="1"/>
  <c r="L180" i="2403"/>
  <c r="CP88" i="2420"/>
  <c r="CQ88" i="2420" s="1"/>
  <c r="L213" i="2403"/>
  <c r="CP48" i="2420"/>
  <c r="CQ48" i="2420" s="1"/>
  <c r="L173" i="2403"/>
  <c r="CP76" i="2420"/>
  <c r="CQ76" i="2420" s="1"/>
  <c r="L201" i="2403"/>
  <c r="CP78" i="2420"/>
  <c r="CQ78" i="2420" s="1"/>
  <c r="L203" i="2403"/>
  <c r="CP40" i="2420"/>
  <c r="CQ40" i="2420" s="1"/>
  <c r="L165" i="2403"/>
  <c r="L210" i="2403"/>
  <c r="CP85" i="2420"/>
  <c r="CQ85" i="2420" s="1"/>
  <c r="CP104" i="2420"/>
  <c r="CQ104" i="2420" s="1"/>
  <c r="L229" i="2403"/>
  <c r="CP90" i="2420"/>
  <c r="CQ90" i="2420" s="1"/>
  <c r="L215" i="2403"/>
  <c r="CP100" i="2420"/>
  <c r="CQ100" i="2420" s="1"/>
  <c r="L225" i="2403"/>
  <c r="CP52" i="2420"/>
  <c r="CQ52" i="2420" s="1"/>
  <c r="L177" i="2403"/>
  <c r="L217" i="2403"/>
  <c r="CP92" i="2420"/>
  <c r="CQ92" i="2420" s="1"/>
  <c r="CP64" i="2420"/>
  <c r="CQ64" i="2420" s="1"/>
  <c r="L189" i="2403"/>
  <c r="L211" i="2403"/>
  <c r="CP86" i="2420"/>
  <c r="CQ86" i="2420" s="1"/>
  <c r="CP54" i="2420"/>
  <c r="CQ54" i="2420" s="1"/>
  <c r="L179" i="2403"/>
  <c r="L199" i="2403"/>
  <c r="CP74" i="2420"/>
  <c r="CQ74" i="2420" s="1"/>
  <c r="CP38" i="2420"/>
  <c r="CQ38" i="2420" s="1"/>
  <c r="L163" i="2403"/>
  <c r="L185" i="2403"/>
  <c r="CP60" i="2420"/>
  <c r="CQ60" i="2420" s="1"/>
  <c r="L174" i="2403"/>
  <c r="CP49" i="2420"/>
  <c r="CQ49" i="2420" s="1"/>
  <c r="L172" i="2403"/>
  <c r="CP47" i="2420"/>
  <c r="CQ47" i="2420" s="1"/>
  <c r="CP42" i="2420"/>
  <c r="CQ42" i="2420" s="1"/>
  <c r="L167" i="2403"/>
  <c r="CP82" i="2420"/>
  <c r="CQ82" i="2420" s="1"/>
  <c r="L207" i="2403"/>
  <c r="CP79" i="2420"/>
  <c r="CQ79" i="2420" s="1"/>
  <c r="L204" i="2403"/>
  <c r="CP96" i="2420"/>
  <c r="CQ96" i="2420" s="1"/>
  <c r="L221" i="2403"/>
  <c r="CP97" i="2420"/>
  <c r="CQ97" i="2420" s="1"/>
  <c r="L222" i="2403"/>
  <c r="L159" i="2403"/>
  <c r="CP34" i="2420"/>
  <c r="CQ34" i="2420" s="1"/>
  <c r="L171" i="2403"/>
  <c r="CP46" i="2420"/>
  <c r="CQ46" i="2420" s="1"/>
  <c r="L186" i="2403"/>
  <c r="CP61" i="2420"/>
  <c r="CQ61" i="2420" s="1"/>
  <c r="L176" i="2403"/>
  <c r="CP51" i="2420"/>
  <c r="CQ51" i="2420" s="1"/>
  <c r="L188" i="2403"/>
  <c r="CP63" i="2420"/>
  <c r="CQ63" i="2420" s="1"/>
  <c r="CP35" i="2420"/>
  <c r="CQ35" i="2420" s="1"/>
  <c r="L160" i="2403"/>
  <c r="L187" i="2403"/>
  <c r="CP62" i="2420"/>
  <c r="CQ62" i="2420" s="1"/>
  <c r="L162" i="2403"/>
  <c r="CP37" i="2420"/>
  <c r="CQ37" i="2420" s="1"/>
  <c r="BH73" i="2420"/>
  <c r="S80" i="2390" s="1"/>
  <c r="L97" i="2403"/>
  <c r="BH38" i="2420"/>
  <c r="S45" i="2390" s="1"/>
  <c r="L62" i="2403"/>
  <c r="BH37" i="2420"/>
  <c r="S44" i="2390" s="1"/>
  <c r="L61" i="2403"/>
  <c r="L104" i="2403"/>
  <c r="BH80" i="2420"/>
  <c r="S87" i="2390" s="1"/>
  <c r="BH66" i="2420"/>
  <c r="S73" i="2390" s="1"/>
  <c r="L90" i="2403"/>
  <c r="L51" i="2403"/>
  <c r="BH27" i="2420"/>
  <c r="S34" i="2390" s="1"/>
  <c r="L71" i="2403"/>
  <c r="BH47" i="2420"/>
  <c r="S54" i="2390" s="1"/>
  <c r="L74" i="2403"/>
  <c r="BH50" i="2420"/>
  <c r="S57" i="2390" s="1"/>
  <c r="L55" i="2403"/>
  <c r="BH31" i="2420"/>
  <c r="S38" i="2390" s="1"/>
  <c r="BH55" i="2420"/>
  <c r="S62" i="2390" s="1"/>
  <c r="L79" i="2403"/>
  <c r="BH58" i="2420"/>
  <c r="S65" i="2390" s="1"/>
  <c r="L63" i="2403"/>
  <c r="BH39" i="2420"/>
  <c r="S46" i="2390" s="1"/>
  <c r="L89" i="2403"/>
  <c r="BH65" i="2420"/>
  <c r="S72" i="2390" s="1"/>
  <c r="BH68" i="2420"/>
  <c r="S75" i="2390" s="1"/>
  <c r="L92" i="2403"/>
  <c r="L77" i="2403"/>
  <c r="BH53" i="2420"/>
  <c r="S60" i="2390" s="1"/>
  <c r="L64" i="2403"/>
  <c r="BH40" i="2420"/>
  <c r="S47" i="2390" s="1"/>
  <c r="L81" i="2403"/>
  <c r="BH57" i="2420"/>
  <c r="S64" i="2390" s="1"/>
  <c r="L108" i="2403"/>
  <c r="BH84" i="2420"/>
  <c r="S91" i="2390" s="1"/>
  <c r="L83" i="2403"/>
  <c r="BH44" i="2420"/>
  <c r="S51" i="2390" s="1"/>
  <c r="L68" i="2403"/>
  <c r="BH56" i="2420"/>
  <c r="S63" i="2390" s="1"/>
  <c r="L80" i="2403"/>
  <c r="L117" i="2403"/>
  <c r="BH93" i="2420"/>
  <c r="S100" i="2390" s="1"/>
  <c r="L65" i="2403"/>
  <c r="BH41" i="2420"/>
  <c r="S48" i="2390" s="1"/>
  <c r="L93" i="2403"/>
  <c r="BH69" i="2420"/>
  <c r="S76" i="2390" s="1"/>
  <c r="L69" i="2403"/>
  <c r="BH45" i="2420"/>
  <c r="S52" i="2390" s="1"/>
  <c r="L107" i="2403"/>
  <c r="BH83" i="2420"/>
  <c r="S90" i="2390" s="1"/>
  <c r="BH48" i="2420"/>
  <c r="S55" i="2390" s="1"/>
  <c r="L72" i="2403"/>
  <c r="L66" i="2403"/>
  <c r="BH42" i="2420"/>
  <c r="S49" i="2390" s="1"/>
  <c r="BH70" i="2420"/>
  <c r="S77" i="2390" s="1"/>
  <c r="L94" i="2403"/>
  <c r="L96" i="2403"/>
  <c r="BH72" i="2420"/>
  <c r="S79" i="2390" s="1"/>
  <c r="L123" i="2403"/>
  <c r="BH99" i="2420"/>
  <c r="S106" i="2390" s="1"/>
  <c r="L75" i="2403"/>
  <c r="BH51" i="2420"/>
  <c r="S58" i="2390" s="1"/>
  <c r="L78" i="2403"/>
  <c r="BH54" i="2420"/>
  <c r="S61" i="2390" s="1"/>
  <c r="L73" i="2403"/>
  <c r="BH49" i="2420"/>
  <c r="S56" i="2390" s="1"/>
  <c r="L70" i="2403"/>
  <c r="BH46" i="2420"/>
  <c r="S53" i="2390" s="1"/>
  <c r="BH78" i="2420"/>
  <c r="S85" i="2390" s="1"/>
  <c r="L102" i="2403"/>
  <c r="BH52" i="2420"/>
  <c r="S59" i="2390" s="1"/>
  <c r="L76" i="2403"/>
  <c r="BH43" i="2420" l="1"/>
  <c r="S50" i="2390" s="1"/>
  <c r="L119" i="2403"/>
  <c r="BH82" i="2420" l="1"/>
  <c r="S89" i="2390" s="1"/>
  <c r="L106" i="2403"/>
  <c r="BH67" i="2420"/>
  <c r="S74" i="2390" s="1"/>
  <c r="L91" i="2403"/>
  <c r="L95" i="2403"/>
  <c r="BH71" i="2420"/>
  <c r="S78" i="2390" s="1"/>
  <c r="L120" i="2403"/>
  <c r="BH96" i="2420"/>
  <c r="S103" i="2390" s="1"/>
  <c r="BH77" i="2420"/>
  <c r="S84" i="2390" s="1"/>
  <c r="L101" i="2403"/>
  <c r="L121" i="2403"/>
  <c r="BH97" i="2420"/>
  <c r="S104" i="2390" s="1"/>
  <c r="L105" i="2403"/>
  <c r="BH81" i="2420"/>
  <c r="S88" i="2390" s="1"/>
  <c r="L116" i="2403"/>
  <c r="BH92" i="2420"/>
  <c r="S99" i="2390" s="1"/>
  <c r="BH100" i="2420"/>
  <c r="S107" i="2390" s="1"/>
  <c r="L124" i="2403"/>
  <c r="BH76" i="2420"/>
  <c r="S83" i="2390" s="1"/>
  <c r="L100" i="2403"/>
  <c r="L98" i="2403"/>
  <c r="BH74" i="2420"/>
  <c r="S81" i="2390" s="1"/>
  <c r="BH79" i="2420"/>
  <c r="S86" i="2390" s="1"/>
  <c r="L103" i="2403"/>
  <c r="L110" i="2403"/>
  <c r="BH86" i="2420"/>
  <c r="S93" i="2390" s="1"/>
  <c r="BH64" i="2420"/>
  <c r="S71" i="2390" s="1"/>
  <c r="L88" i="2403"/>
  <c r="BH85" i="2420"/>
  <c r="S92" i="2390" s="1"/>
  <c r="L109" i="2403"/>
  <c r="L99" i="2403"/>
  <c r="BH75" i="2420"/>
  <c r="S82" i="2390" s="1"/>
  <c r="L127" i="2403" l="1"/>
  <c r="BH103" i="2420"/>
  <c r="S110" i="2390" s="1"/>
  <c r="BH104" i="2420"/>
  <c r="S111" i="2390" s="1"/>
  <c r="L128" i="2403"/>
  <c r="L115" i="2403"/>
  <c r="BH91" i="2420"/>
  <c r="S98" i="2390" s="1"/>
  <c r="L118" i="2403"/>
  <c r="BH94" i="2420"/>
  <c r="S101" i="2390" s="1"/>
  <c r="L125" i="2403"/>
  <c r="BH101" i="2420"/>
  <c r="S108" i="2390" s="1"/>
  <c r="BH102" i="2420"/>
  <c r="S109" i="2390" s="1"/>
  <c r="L126" i="2403"/>
  <c r="L122" i="2403"/>
  <c r="BH98" i="2420"/>
  <c r="S105" i="2390" s="1"/>
  <c r="I16" i="2421"/>
  <c r="J112" i="2380"/>
  <c r="J9" i="2380" s="1"/>
  <c r="M7" i="2420"/>
  <c r="P12" i="2380" s="1"/>
  <c r="AE7" i="2420" l="1"/>
  <c r="L491" i="2420"/>
  <c r="J491" i="2420" s="1"/>
  <c r="L492" i="2420"/>
  <c r="J492" i="2420" s="1"/>
  <c r="L493" i="2420"/>
  <c r="J493" i="2420" s="1"/>
  <c r="L494" i="2420"/>
  <c r="J494" i="2420" s="1"/>
  <c r="F14" i="2390"/>
  <c r="F12" i="2406" s="1"/>
  <c r="F15" i="2413"/>
  <c r="F14" i="2383" s="1"/>
  <c r="L441" i="2420"/>
  <c r="J441" i="2420" s="1"/>
  <c r="L449" i="2420"/>
  <c r="J449" i="2420" s="1"/>
  <c r="L457" i="2420"/>
  <c r="J457" i="2420" s="1"/>
  <c r="L465" i="2420"/>
  <c r="J465" i="2420" s="1"/>
  <c r="L473" i="2420"/>
  <c r="J473" i="2420" s="1"/>
  <c r="L481" i="2420"/>
  <c r="J481" i="2420" s="1"/>
  <c r="L489" i="2420"/>
  <c r="J489" i="2420" s="1"/>
  <c r="L438" i="2420"/>
  <c r="J438" i="2420" s="1"/>
  <c r="L486" i="2420"/>
  <c r="J486" i="2420" s="1"/>
  <c r="L456" i="2420"/>
  <c r="J456" i="2420" s="1"/>
  <c r="L442" i="2420"/>
  <c r="J442" i="2420" s="1"/>
  <c r="L450" i="2420"/>
  <c r="J450" i="2420" s="1"/>
  <c r="L458" i="2420"/>
  <c r="J458" i="2420" s="1"/>
  <c r="L466" i="2420"/>
  <c r="J466" i="2420" s="1"/>
  <c r="L474" i="2420"/>
  <c r="J474" i="2420" s="1"/>
  <c r="L482" i="2420"/>
  <c r="J482" i="2420" s="1"/>
  <c r="L490" i="2420"/>
  <c r="J490" i="2420" s="1"/>
  <c r="L470" i="2420"/>
  <c r="J470" i="2420" s="1"/>
  <c r="L480" i="2420"/>
  <c r="J480" i="2420" s="1"/>
  <c r="L443" i="2420"/>
  <c r="J443" i="2420" s="1"/>
  <c r="L451" i="2420"/>
  <c r="J451" i="2420" s="1"/>
  <c r="L459" i="2420"/>
  <c r="J459" i="2420" s="1"/>
  <c r="L467" i="2420"/>
  <c r="J467" i="2420" s="1"/>
  <c r="L475" i="2420"/>
  <c r="J475" i="2420" s="1"/>
  <c r="L483" i="2420"/>
  <c r="J483" i="2420" s="1"/>
  <c r="L446" i="2420"/>
  <c r="J446" i="2420" s="1"/>
  <c r="L478" i="2420"/>
  <c r="J478" i="2420" s="1"/>
  <c r="L448" i="2420"/>
  <c r="J448" i="2420" s="1"/>
  <c r="L129" i="2420"/>
  <c r="J129" i="2420" s="1"/>
  <c r="L444" i="2420"/>
  <c r="J444" i="2420" s="1"/>
  <c r="L452" i="2420"/>
  <c r="J452" i="2420" s="1"/>
  <c r="L460" i="2420"/>
  <c r="J460" i="2420" s="1"/>
  <c r="L468" i="2420"/>
  <c r="J468" i="2420" s="1"/>
  <c r="L476" i="2420"/>
  <c r="J476" i="2420" s="1"/>
  <c r="L484" i="2420"/>
  <c r="J484" i="2420" s="1"/>
  <c r="L454" i="2420"/>
  <c r="J454" i="2420" s="1"/>
  <c r="L464" i="2420"/>
  <c r="J464" i="2420" s="1"/>
  <c r="L488" i="2420"/>
  <c r="J488" i="2420" s="1"/>
  <c r="L437" i="2420"/>
  <c r="J437" i="2420" s="1"/>
  <c r="L445" i="2420"/>
  <c r="J445" i="2420" s="1"/>
  <c r="L453" i="2420"/>
  <c r="J453" i="2420" s="1"/>
  <c r="L461" i="2420"/>
  <c r="J461" i="2420" s="1"/>
  <c r="L469" i="2420"/>
  <c r="J469" i="2420" s="1"/>
  <c r="L477" i="2420"/>
  <c r="J477" i="2420" s="1"/>
  <c r="L485" i="2420"/>
  <c r="J485" i="2420" s="1"/>
  <c r="L462" i="2420"/>
  <c r="J462" i="2420" s="1"/>
  <c r="L472" i="2420"/>
  <c r="J472" i="2420" s="1"/>
  <c r="L439" i="2420"/>
  <c r="J439" i="2420" s="1"/>
  <c r="L447" i="2420"/>
  <c r="J447" i="2420" s="1"/>
  <c r="L455" i="2420"/>
  <c r="J455" i="2420" s="1"/>
  <c r="L463" i="2420"/>
  <c r="J463" i="2420" s="1"/>
  <c r="L471" i="2420"/>
  <c r="J471" i="2420" s="1"/>
  <c r="L479" i="2420"/>
  <c r="J479" i="2420" s="1"/>
  <c r="L487" i="2420"/>
  <c r="J487" i="2420" s="1"/>
  <c r="L440" i="2420"/>
  <c r="J440" i="2420" s="1"/>
  <c r="DP7" i="2420"/>
  <c r="J27" i="2388"/>
  <c r="L414" i="2420"/>
  <c r="J414" i="2420" s="1"/>
  <c r="L308" i="2420"/>
  <c r="J308" i="2420" s="1"/>
  <c r="L139" i="2420"/>
  <c r="J139" i="2420" s="1"/>
  <c r="L305" i="2420"/>
  <c r="J305" i="2420" s="1"/>
  <c r="L342" i="2420"/>
  <c r="J342" i="2420" s="1"/>
  <c r="L399" i="2420"/>
  <c r="J399" i="2420" s="1"/>
  <c r="L269" i="2420"/>
  <c r="J269" i="2420" s="1"/>
  <c r="L190" i="2420"/>
  <c r="J190" i="2420" s="1"/>
  <c r="L282" i="2420"/>
  <c r="J282" i="2420" s="1"/>
  <c r="L166" i="2420"/>
  <c r="J166" i="2420" s="1"/>
  <c r="L318" i="2420"/>
  <c r="J318" i="2420" s="1"/>
  <c r="L292" i="2420"/>
  <c r="J292" i="2420" s="1"/>
  <c r="L366" i="2420"/>
  <c r="J366" i="2420" s="1"/>
  <c r="L289" i="2420"/>
  <c r="J289" i="2420" s="1"/>
  <c r="L222" i="2420"/>
  <c r="J222" i="2420" s="1"/>
  <c r="L189" i="2420"/>
  <c r="J189" i="2420" s="1"/>
  <c r="L371" i="2420"/>
  <c r="J371" i="2420" s="1"/>
  <c r="L202" i="2420"/>
  <c r="J202" i="2420" s="1"/>
  <c r="L352" i="2420"/>
  <c r="J352" i="2420" s="1"/>
  <c r="L191" i="2420"/>
  <c r="J191" i="2420" s="1"/>
  <c r="L223" i="2420"/>
  <c r="J223" i="2420" s="1"/>
  <c r="L340" i="2420"/>
  <c r="J340" i="2420" s="1"/>
  <c r="L171" i="2420"/>
  <c r="J171" i="2420" s="1"/>
  <c r="L337" i="2420"/>
  <c r="J337" i="2420" s="1"/>
  <c r="L152" i="2420"/>
  <c r="J152" i="2420" s="1"/>
  <c r="L252" i="2420"/>
  <c r="J252" i="2420" s="1"/>
  <c r="L301" i="2420"/>
  <c r="J301" i="2420" s="1"/>
  <c r="L140" i="2420"/>
  <c r="J140" i="2420" s="1"/>
  <c r="L314" i="2420"/>
  <c r="J314" i="2420" s="1"/>
  <c r="L374" i="2420"/>
  <c r="J374" i="2420" s="1"/>
  <c r="L303" i="2420"/>
  <c r="J303" i="2420" s="1"/>
  <c r="L313" i="2420"/>
  <c r="J313" i="2420" s="1"/>
  <c r="L174" i="2420"/>
  <c r="J174" i="2420" s="1"/>
  <c r="L283" i="2420"/>
  <c r="J283" i="2420" s="1"/>
  <c r="L254" i="2420"/>
  <c r="J254" i="2420" s="1"/>
  <c r="L264" i="2420"/>
  <c r="J264" i="2420" s="1"/>
  <c r="L349" i="2420"/>
  <c r="J349" i="2420" s="1"/>
  <c r="L384" i="2420"/>
  <c r="J384" i="2420" s="1"/>
  <c r="L131" i="2420"/>
  <c r="J131" i="2420" s="1"/>
  <c r="L278" i="2420"/>
  <c r="J278" i="2420" s="1"/>
  <c r="L142" i="2420"/>
  <c r="J142" i="2420" s="1"/>
  <c r="L132" i="2420"/>
  <c r="J132" i="2420" s="1"/>
  <c r="L369" i="2420"/>
  <c r="J369" i="2420" s="1"/>
  <c r="L192" i="2420"/>
  <c r="J192" i="2420" s="1"/>
  <c r="L435" i="2420"/>
  <c r="J435" i="2420" s="1"/>
  <c r="L235" i="2420"/>
  <c r="J235" i="2420" s="1"/>
  <c r="L378" i="2420"/>
  <c r="J378" i="2420" s="1"/>
  <c r="L165" i="2420"/>
  <c r="J165" i="2420" s="1"/>
  <c r="L405" i="2420"/>
  <c r="J405" i="2420" s="1"/>
  <c r="L244" i="2420"/>
  <c r="J244" i="2420" s="1"/>
  <c r="L418" i="2420"/>
  <c r="J418" i="2420" s="1"/>
  <c r="L241" i="2420"/>
  <c r="J241" i="2420" s="1"/>
  <c r="L407" i="2420"/>
  <c r="J407" i="2420" s="1"/>
  <c r="L271" i="2420"/>
  <c r="J271" i="2420" s="1"/>
  <c r="L205" i="2420"/>
  <c r="J205" i="2420" s="1"/>
  <c r="L387" i="2420"/>
  <c r="J387" i="2420" s="1"/>
  <c r="L218" i="2420"/>
  <c r="J218" i="2420" s="1"/>
  <c r="L304" i="2420"/>
  <c r="J304" i="2420" s="1"/>
  <c r="L389" i="2420"/>
  <c r="J389" i="2420" s="1"/>
  <c r="L228" i="2420"/>
  <c r="J228" i="2420" s="1"/>
  <c r="L402" i="2420"/>
  <c r="J402" i="2420" s="1"/>
  <c r="L225" i="2420"/>
  <c r="J225" i="2420" s="1"/>
  <c r="L391" i="2420"/>
  <c r="J391" i="2420" s="1"/>
  <c r="L334" i="2420"/>
  <c r="J334" i="2420" s="1"/>
  <c r="L307" i="2420"/>
  <c r="J307" i="2420" s="1"/>
  <c r="L406" i="2420"/>
  <c r="J406" i="2420" s="1"/>
  <c r="L288" i="2420"/>
  <c r="J288" i="2420" s="1"/>
  <c r="L221" i="2420"/>
  <c r="J221" i="2420" s="1"/>
  <c r="L206" i="2420"/>
  <c r="J206" i="2420" s="1"/>
  <c r="L276" i="2420"/>
  <c r="J276" i="2420" s="1"/>
  <c r="L230" i="2420"/>
  <c r="J230" i="2420" s="1"/>
  <c r="L273" i="2420"/>
  <c r="J273" i="2420" s="1"/>
  <c r="L432" i="2420"/>
  <c r="J432" i="2420" s="1"/>
  <c r="L275" i="2420"/>
  <c r="J275" i="2420" s="1"/>
  <c r="L237" i="2420"/>
  <c r="J237" i="2420" s="1"/>
  <c r="L419" i="2420"/>
  <c r="J419" i="2420" s="1"/>
  <c r="L250" i="2420"/>
  <c r="J250" i="2420" s="1"/>
  <c r="L400" i="2420"/>
  <c r="J400" i="2420" s="1"/>
  <c r="L239" i="2420"/>
  <c r="J239" i="2420" s="1"/>
  <c r="L256" i="2420"/>
  <c r="J256" i="2420" s="1"/>
  <c r="L388" i="2420"/>
  <c r="J388" i="2420" s="1"/>
  <c r="L219" i="2420"/>
  <c r="J219" i="2420" s="1"/>
  <c r="L385" i="2420"/>
  <c r="J385" i="2420" s="1"/>
  <c r="L200" i="2420"/>
  <c r="J200" i="2420" s="1"/>
  <c r="L429" i="2420"/>
  <c r="J429" i="2420" s="1"/>
  <c r="L287" i="2420"/>
  <c r="J287" i="2420" s="1"/>
  <c r="L133" i="2420"/>
  <c r="J133" i="2420" s="1"/>
  <c r="L298" i="2420"/>
  <c r="J298" i="2420" s="1"/>
  <c r="L319" i="2420"/>
  <c r="J319" i="2420" s="1"/>
  <c r="L280" i="2420"/>
  <c r="J280" i="2420" s="1"/>
  <c r="L431" i="2420"/>
  <c r="J431" i="2420" s="1"/>
  <c r="L242" i="2420"/>
  <c r="J242" i="2420" s="1"/>
  <c r="L333" i="2420"/>
  <c r="J333" i="2420" s="1"/>
  <c r="L187" i="2420"/>
  <c r="J187" i="2420" s="1"/>
  <c r="L416" i="2420"/>
  <c r="J416" i="2420" s="1"/>
  <c r="L216" i="2420"/>
  <c r="J216" i="2420" s="1"/>
  <c r="L367" i="2420"/>
  <c r="J367" i="2420" s="1"/>
  <c r="L185" i="2420"/>
  <c r="J185" i="2420" s="1"/>
  <c r="L341" i="2420"/>
  <c r="J341" i="2420" s="1"/>
  <c r="L180" i="2420"/>
  <c r="J180" i="2420" s="1"/>
  <c r="L354" i="2420"/>
  <c r="J354" i="2420" s="1"/>
  <c r="L177" i="2420"/>
  <c r="J177" i="2420" s="1"/>
  <c r="L343" i="2420"/>
  <c r="J343" i="2420" s="1"/>
  <c r="L143" i="2420"/>
  <c r="J143" i="2420" s="1"/>
  <c r="L141" i="2420"/>
  <c r="J141" i="2420" s="1"/>
  <c r="L323" i="2420"/>
  <c r="J323" i="2420" s="1"/>
  <c r="L154" i="2420"/>
  <c r="J154" i="2420" s="1"/>
  <c r="L240" i="2420"/>
  <c r="J240" i="2420" s="1"/>
  <c r="L325" i="2420"/>
  <c r="J325" i="2420" s="1"/>
  <c r="L164" i="2420"/>
  <c r="J164" i="2420" s="1"/>
  <c r="L338" i="2420"/>
  <c r="J338" i="2420" s="1"/>
  <c r="L161" i="2420"/>
  <c r="J161" i="2420" s="1"/>
  <c r="L199" i="2420"/>
  <c r="J199" i="2420" s="1"/>
  <c r="L412" i="2420"/>
  <c r="J412" i="2420" s="1"/>
  <c r="L243" i="2420"/>
  <c r="J243" i="2420" s="1"/>
  <c r="L409" i="2420"/>
  <c r="J409" i="2420" s="1"/>
  <c r="L224" i="2420"/>
  <c r="J224" i="2420" s="1"/>
  <c r="L188" i="2420"/>
  <c r="J188" i="2420" s="1"/>
  <c r="L373" i="2420"/>
  <c r="J373" i="2420" s="1"/>
  <c r="L212" i="2420"/>
  <c r="J212" i="2420" s="1"/>
  <c r="L386" i="2420"/>
  <c r="J386" i="2420" s="1"/>
  <c r="L209" i="2420"/>
  <c r="J209" i="2420" s="1"/>
  <c r="L375" i="2420"/>
  <c r="J375" i="2420" s="1"/>
  <c r="L362" i="2420"/>
  <c r="J362" i="2420" s="1"/>
  <c r="L173" i="2420"/>
  <c r="J173" i="2420" s="1"/>
  <c r="L355" i="2420"/>
  <c r="J355" i="2420" s="1"/>
  <c r="L186" i="2420"/>
  <c r="J186" i="2420" s="1"/>
  <c r="L336" i="2420"/>
  <c r="J336" i="2420" s="1"/>
  <c r="L175" i="2420"/>
  <c r="J175" i="2420" s="1"/>
  <c r="L159" i="2420"/>
  <c r="J159" i="2420" s="1"/>
  <c r="L324" i="2420"/>
  <c r="J324" i="2420" s="1"/>
  <c r="L155" i="2420"/>
  <c r="J155" i="2420" s="1"/>
  <c r="L321" i="2420"/>
  <c r="J321" i="2420" s="1"/>
  <c r="L430" i="2420"/>
  <c r="J430" i="2420" s="1"/>
  <c r="L316" i="2420"/>
  <c r="J316" i="2420" s="1"/>
  <c r="L138" i="2420"/>
  <c r="J138" i="2420" s="1"/>
  <c r="L153" i="2420"/>
  <c r="J153" i="2420" s="1"/>
  <c r="L285" i="2420"/>
  <c r="J285" i="2420" s="1"/>
  <c r="L265" i="2420"/>
  <c r="J265" i="2420" s="1"/>
  <c r="L411" i="2420"/>
  <c r="J411" i="2420" s="1"/>
  <c r="L203" i="2420"/>
  <c r="J203" i="2420" s="1"/>
  <c r="L346" i="2420"/>
  <c r="J346" i="2420" s="1"/>
  <c r="L353" i="2420"/>
  <c r="J353" i="2420" s="1"/>
  <c r="L255" i="2420"/>
  <c r="J255" i="2420" s="1"/>
  <c r="L157" i="2420"/>
  <c r="J157" i="2420" s="1"/>
  <c r="L234" i="2420"/>
  <c r="J234" i="2420" s="1"/>
  <c r="L167" i="2420"/>
  <c r="J167" i="2420" s="1"/>
  <c r="L277" i="2420"/>
  <c r="J277" i="2420" s="1"/>
  <c r="L246" i="2420"/>
  <c r="J246" i="2420" s="1"/>
  <c r="L290" i="2420"/>
  <c r="J290" i="2420" s="1"/>
  <c r="L238" i="2420"/>
  <c r="J238" i="2420" s="1"/>
  <c r="L279" i="2420"/>
  <c r="J279" i="2420" s="1"/>
  <c r="L263" i="2420"/>
  <c r="J263" i="2420" s="1"/>
  <c r="L428" i="2420"/>
  <c r="J428" i="2420" s="1"/>
  <c r="L259" i="2420"/>
  <c r="J259" i="2420" s="1"/>
  <c r="L425" i="2420"/>
  <c r="J425" i="2420" s="1"/>
  <c r="L286" i="2420"/>
  <c r="J286" i="2420" s="1"/>
  <c r="L261" i="2420"/>
  <c r="J261" i="2420" s="1"/>
  <c r="L150" i="2420"/>
  <c r="J150" i="2420" s="1"/>
  <c r="L274" i="2420"/>
  <c r="J274" i="2420" s="1"/>
  <c r="L424" i="2420"/>
  <c r="J424" i="2420" s="1"/>
  <c r="L351" i="2420"/>
  <c r="J351" i="2420" s="1"/>
  <c r="L348" i="2420"/>
  <c r="J348" i="2420" s="1"/>
  <c r="L179" i="2420"/>
  <c r="J179" i="2420" s="1"/>
  <c r="L345" i="2420"/>
  <c r="J345" i="2420" s="1"/>
  <c r="L160" i="2420"/>
  <c r="J160" i="2420" s="1"/>
  <c r="L339" i="2420"/>
  <c r="J339" i="2420" s="1"/>
  <c r="L309" i="2420"/>
  <c r="J309" i="2420" s="1"/>
  <c r="L148" i="2420"/>
  <c r="J148" i="2420" s="1"/>
  <c r="L322" i="2420"/>
  <c r="J322" i="2420" s="1"/>
  <c r="L145" i="2420"/>
  <c r="J145" i="2420" s="1"/>
  <c r="L311" i="2420"/>
  <c r="J311" i="2420" s="1"/>
  <c r="L170" i="2420"/>
  <c r="J170" i="2420" s="1"/>
  <c r="L214" i="2420"/>
  <c r="J214" i="2420" s="1"/>
  <c r="L291" i="2420"/>
  <c r="J291" i="2420" s="1"/>
  <c r="L302" i="2420"/>
  <c r="J302" i="2420" s="1"/>
  <c r="L272" i="2420"/>
  <c r="J272" i="2420" s="1"/>
  <c r="L413" i="2420"/>
  <c r="J413" i="2420" s="1"/>
  <c r="L421" i="2420"/>
  <c r="J421" i="2420" s="1"/>
  <c r="L260" i="2420"/>
  <c r="J260" i="2420" s="1"/>
  <c r="L434" i="2420"/>
  <c r="J434" i="2420" s="1"/>
  <c r="L257" i="2420"/>
  <c r="J257" i="2420" s="1"/>
  <c r="L423" i="2420"/>
  <c r="J423" i="2420" s="1"/>
  <c r="L403" i="2420"/>
  <c r="J403" i="2420" s="1"/>
  <c r="L135" i="2420"/>
  <c r="J135" i="2420" s="1"/>
  <c r="L130" i="2420"/>
  <c r="J130" i="2420" s="1"/>
  <c r="L299" i="2420"/>
  <c r="J299" i="2420" s="1"/>
  <c r="L426" i="2420"/>
  <c r="J426" i="2420" s="1"/>
  <c r="L198" i="2420"/>
  <c r="J198" i="2420" s="1"/>
  <c r="L372" i="2420"/>
  <c r="J372" i="2420" s="1"/>
  <c r="L172" i="2420"/>
  <c r="J172" i="2420" s="1"/>
  <c r="L356" i="2420"/>
  <c r="J356" i="2420" s="1"/>
  <c r="L266" i="2420"/>
  <c r="J266" i="2420" s="1"/>
  <c r="L401" i="2420"/>
  <c r="J401" i="2420" s="1"/>
  <c r="L201" i="2420"/>
  <c r="J201" i="2420" s="1"/>
  <c r="L178" i="2420"/>
  <c r="J178" i="2420" s="1"/>
  <c r="L213" i="2420"/>
  <c r="J213" i="2420" s="1"/>
  <c r="L395" i="2420"/>
  <c r="J395" i="2420" s="1"/>
  <c r="L226" i="2420"/>
  <c r="J226" i="2420" s="1"/>
  <c r="L376" i="2420"/>
  <c r="J376" i="2420" s="1"/>
  <c r="L215" i="2420"/>
  <c r="J215" i="2420" s="1"/>
  <c r="L415" i="2420"/>
  <c r="J415" i="2420" s="1"/>
  <c r="L364" i="2420"/>
  <c r="J364" i="2420" s="1"/>
  <c r="L195" i="2420"/>
  <c r="J195" i="2420" s="1"/>
  <c r="L361" i="2420"/>
  <c r="J361" i="2420" s="1"/>
  <c r="L335" i="2420"/>
  <c r="J335" i="2420" s="1"/>
  <c r="L197" i="2420"/>
  <c r="J197" i="2420" s="1"/>
  <c r="L379" i="2420"/>
  <c r="J379" i="2420" s="1"/>
  <c r="L210" i="2420"/>
  <c r="J210" i="2420" s="1"/>
  <c r="L360" i="2420"/>
  <c r="J360" i="2420" s="1"/>
  <c r="L262" i="2420"/>
  <c r="J262" i="2420" s="1"/>
  <c r="L284" i="2420"/>
  <c r="J284" i="2420" s="1"/>
  <c r="L294" i="2420"/>
  <c r="J294" i="2420" s="1"/>
  <c r="L281" i="2420"/>
  <c r="J281" i="2420" s="1"/>
  <c r="L182" i="2420"/>
  <c r="J182" i="2420" s="1"/>
  <c r="L147" i="2420"/>
  <c r="J147" i="2420" s="1"/>
  <c r="L245" i="2420"/>
  <c r="J245" i="2420" s="1"/>
  <c r="L427" i="2420"/>
  <c r="J427" i="2420" s="1"/>
  <c r="L258" i="2420"/>
  <c r="J258" i="2420" s="1"/>
  <c r="L408" i="2420"/>
  <c r="J408" i="2420" s="1"/>
  <c r="L247" i="2420"/>
  <c r="J247" i="2420" s="1"/>
  <c r="L249" i="2420"/>
  <c r="J249" i="2420" s="1"/>
  <c r="L396" i="2420"/>
  <c r="J396" i="2420" s="1"/>
  <c r="L227" i="2420"/>
  <c r="J227" i="2420" s="1"/>
  <c r="L393" i="2420"/>
  <c r="J393" i="2420" s="1"/>
  <c r="L208" i="2420"/>
  <c r="J208" i="2420" s="1"/>
  <c r="L380" i="2420"/>
  <c r="J380" i="2420" s="1"/>
  <c r="L357" i="2420"/>
  <c r="J357" i="2420" s="1"/>
  <c r="L196" i="2420"/>
  <c r="J196" i="2420" s="1"/>
  <c r="L370" i="2420"/>
  <c r="J370" i="2420" s="1"/>
  <c r="L193" i="2420"/>
  <c r="J193" i="2420" s="1"/>
  <c r="L359" i="2420"/>
  <c r="J359" i="2420" s="1"/>
  <c r="L211" i="2420"/>
  <c r="J211" i="2420" s="1"/>
  <c r="L134" i="2420"/>
  <c r="J134" i="2420" s="1"/>
  <c r="L268" i="2420"/>
  <c r="J268" i="2420" s="1"/>
  <c r="L392" i="2420"/>
  <c r="J392" i="2420" s="1"/>
  <c r="L184" i="2420"/>
  <c r="J184" i="2420" s="1"/>
  <c r="L169" i="2420"/>
  <c r="J169" i="2420" s="1"/>
  <c r="L253" i="2420"/>
  <c r="J253" i="2420" s="1"/>
  <c r="L404" i="2420"/>
  <c r="J404" i="2420" s="1"/>
  <c r="L204" i="2420"/>
  <c r="J204" i="2420" s="1"/>
  <c r="L347" i="2420"/>
  <c r="J347" i="2420" s="1"/>
  <c r="L137" i="2420"/>
  <c r="J137" i="2420" s="1"/>
  <c r="L149" i="2420"/>
  <c r="J149" i="2420" s="1"/>
  <c r="L331" i="2420"/>
  <c r="J331" i="2420" s="1"/>
  <c r="L162" i="2420"/>
  <c r="J162" i="2420" s="1"/>
  <c r="L312" i="2420"/>
  <c r="J312" i="2420" s="1"/>
  <c r="L151" i="2420"/>
  <c r="J151" i="2420" s="1"/>
  <c r="L358" i="2420"/>
  <c r="J358" i="2420" s="1"/>
  <c r="L300" i="2420"/>
  <c r="J300" i="2420" s="1"/>
  <c r="L422" i="2420"/>
  <c r="J422" i="2420" s="1"/>
  <c r="L297" i="2420"/>
  <c r="J297" i="2420" s="1"/>
  <c r="L207" i="2420"/>
  <c r="J207" i="2420" s="1"/>
  <c r="L382" i="2420"/>
  <c r="J382" i="2420" s="1"/>
  <c r="L315" i="2420"/>
  <c r="J315" i="2420" s="1"/>
  <c r="L146" i="2420"/>
  <c r="J146" i="2420" s="1"/>
  <c r="L296" i="2420"/>
  <c r="J296" i="2420" s="1"/>
  <c r="L381" i="2420"/>
  <c r="J381" i="2420" s="1"/>
  <c r="L220" i="2420"/>
  <c r="J220" i="2420" s="1"/>
  <c r="L394" i="2420"/>
  <c r="J394" i="2420" s="1"/>
  <c r="L217" i="2420"/>
  <c r="J217" i="2420" s="1"/>
  <c r="L383" i="2420"/>
  <c r="J383" i="2420" s="1"/>
  <c r="L377" i="2420"/>
  <c r="J377" i="2420" s="1"/>
  <c r="L181" i="2420"/>
  <c r="J181" i="2420" s="1"/>
  <c r="L363" i="2420"/>
  <c r="J363" i="2420" s="1"/>
  <c r="L194" i="2420"/>
  <c r="J194" i="2420" s="1"/>
  <c r="L344" i="2420"/>
  <c r="J344" i="2420" s="1"/>
  <c r="L183" i="2420"/>
  <c r="J183" i="2420" s="1"/>
  <c r="L390" i="2420"/>
  <c r="J390" i="2420" s="1"/>
  <c r="L332" i="2420"/>
  <c r="J332" i="2420" s="1"/>
  <c r="L163" i="2420"/>
  <c r="J163" i="2420" s="1"/>
  <c r="L329" i="2420"/>
  <c r="J329" i="2420" s="1"/>
  <c r="L144" i="2420"/>
  <c r="J144" i="2420" s="1"/>
  <c r="L310" i="2420"/>
  <c r="J310" i="2420" s="1"/>
  <c r="L293" i="2420"/>
  <c r="J293" i="2420" s="1"/>
  <c r="L398" i="2420"/>
  <c r="J398" i="2420" s="1"/>
  <c r="L306" i="2420"/>
  <c r="J306" i="2420" s="1"/>
  <c r="L326" i="2420"/>
  <c r="J326" i="2420" s="1"/>
  <c r="L295" i="2420"/>
  <c r="J295" i="2420" s="1"/>
  <c r="L136" i="2420"/>
  <c r="J136" i="2420" s="1"/>
  <c r="L436" i="2420"/>
  <c r="J436" i="2420" s="1"/>
  <c r="L267" i="2420"/>
  <c r="J267" i="2420" s="1"/>
  <c r="L433" i="2420"/>
  <c r="J433" i="2420" s="1"/>
  <c r="L248" i="2420"/>
  <c r="J248" i="2420" s="1"/>
  <c r="L368" i="2420"/>
  <c r="J368" i="2420" s="1"/>
  <c r="L397" i="2420"/>
  <c r="J397" i="2420" s="1"/>
  <c r="L236" i="2420"/>
  <c r="J236" i="2420" s="1"/>
  <c r="L410" i="2420"/>
  <c r="J410" i="2420" s="1"/>
  <c r="L233" i="2420"/>
  <c r="J233" i="2420" s="1"/>
  <c r="L327" i="2420"/>
  <c r="J327" i="2420" s="1"/>
  <c r="L420" i="2420"/>
  <c r="J420" i="2420" s="1"/>
  <c r="L251" i="2420"/>
  <c r="J251" i="2420" s="1"/>
  <c r="L417" i="2420"/>
  <c r="J417" i="2420" s="1"/>
  <c r="L232" i="2420"/>
  <c r="J232" i="2420" s="1"/>
  <c r="L317" i="2420"/>
  <c r="J317" i="2420" s="1"/>
  <c r="L156" i="2420"/>
  <c r="J156" i="2420" s="1"/>
  <c r="L330" i="2420"/>
  <c r="J330" i="2420" s="1"/>
  <c r="L270" i="2420"/>
  <c r="J270" i="2420" s="1"/>
  <c r="L350" i="2420"/>
  <c r="J350" i="2420" s="1"/>
  <c r="L158" i="2420"/>
  <c r="J158" i="2420" s="1"/>
  <c r="L229" i="2420"/>
  <c r="J229" i="2420" s="1"/>
  <c r="L231" i="2420"/>
  <c r="J231" i="2420" s="1"/>
  <c r="L176" i="2420"/>
  <c r="J176" i="2420" s="1"/>
  <c r="L168" i="2420"/>
  <c r="J168" i="2420" s="1"/>
  <c r="L320" i="2420"/>
  <c r="J320" i="2420" s="1"/>
  <c r="L365" i="2420"/>
  <c r="J365" i="2420" s="1"/>
  <c r="L328" i="2420"/>
  <c r="J328" i="2420" s="1"/>
  <c r="K16" i="2421"/>
  <c r="BN7" i="2420"/>
  <c r="AL7" i="2420"/>
  <c r="AP7" i="2420"/>
  <c r="P112" i="2380"/>
  <c r="BO7" i="2420"/>
  <c r="AN7" i="2420"/>
  <c r="Y7" i="2420"/>
  <c r="AO7" i="2420"/>
  <c r="AM7" i="2420"/>
  <c r="H16" i="2421"/>
  <c r="N7" i="2420"/>
  <c r="Q27" i="2388" s="1"/>
  <c r="BH122" i="2420" l="1" a="1"/>
  <c r="BH122" i="2420" s="1"/>
  <c r="BI122" i="2420" a="1"/>
  <c r="BI122" i="2420" s="1"/>
  <c r="CJ13" i="2408"/>
  <c r="CK13" i="2408" s="1"/>
  <c r="CJ21" i="2408"/>
  <c r="CK21" i="2408" s="1"/>
  <c r="CJ29" i="2408"/>
  <c r="CK29" i="2408" s="1"/>
  <c r="CJ37" i="2408"/>
  <c r="CK37" i="2408" s="1"/>
  <c r="CJ45" i="2408"/>
  <c r="CK45" i="2408" s="1"/>
  <c r="CJ53" i="2408"/>
  <c r="CK53" i="2408" s="1"/>
  <c r="CJ61" i="2408"/>
  <c r="CK61" i="2408" s="1"/>
  <c r="CJ69" i="2408"/>
  <c r="CK69" i="2408" s="1"/>
  <c r="CJ77" i="2408"/>
  <c r="CK77" i="2408" s="1"/>
  <c r="CJ85" i="2408"/>
  <c r="CK85" i="2408" s="1"/>
  <c r="CJ93" i="2408"/>
  <c r="CK93" i="2408" s="1"/>
  <c r="CJ101" i="2408"/>
  <c r="CK101" i="2408" s="1"/>
  <c r="CJ109" i="2408"/>
  <c r="CK109" i="2408" s="1"/>
  <c r="CJ78" i="2408"/>
  <c r="CK78" i="2408" s="1"/>
  <c r="CJ102" i="2408"/>
  <c r="CK102" i="2408" s="1"/>
  <c r="CJ34" i="2408"/>
  <c r="CK34" i="2408" s="1"/>
  <c r="CJ106" i="2408"/>
  <c r="CK106" i="2408" s="1"/>
  <c r="CJ14" i="2408"/>
  <c r="CK14" i="2408" s="1"/>
  <c r="CJ22" i="2408"/>
  <c r="CK22" i="2408" s="1"/>
  <c r="CJ30" i="2408"/>
  <c r="CK30" i="2408" s="1"/>
  <c r="CJ38" i="2408"/>
  <c r="CK38" i="2408" s="1"/>
  <c r="CJ46" i="2408"/>
  <c r="CK46" i="2408" s="1"/>
  <c r="CJ54" i="2408"/>
  <c r="CK54" i="2408" s="1"/>
  <c r="CJ62" i="2408"/>
  <c r="CK62" i="2408" s="1"/>
  <c r="CJ70" i="2408"/>
  <c r="CK70" i="2408" s="1"/>
  <c r="CJ86" i="2408"/>
  <c r="CK86" i="2408" s="1"/>
  <c r="CJ94" i="2408"/>
  <c r="CK94" i="2408" s="1"/>
  <c r="CJ110" i="2408"/>
  <c r="CK110" i="2408" s="1"/>
  <c r="CJ26" i="2408"/>
  <c r="CK26" i="2408" s="1"/>
  <c r="CJ74" i="2408"/>
  <c r="CK74" i="2408" s="1"/>
  <c r="CJ15" i="2408"/>
  <c r="CK15" i="2408" s="1"/>
  <c r="CJ23" i="2408"/>
  <c r="CK23" i="2408" s="1"/>
  <c r="CJ31" i="2408"/>
  <c r="CK31" i="2408" s="1"/>
  <c r="CJ39" i="2408"/>
  <c r="CK39" i="2408" s="1"/>
  <c r="CJ47" i="2408"/>
  <c r="CK47" i="2408" s="1"/>
  <c r="CJ55" i="2408"/>
  <c r="CK55" i="2408" s="1"/>
  <c r="CJ63" i="2408"/>
  <c r="CK63" i="2408" s="1"/>
  <c r="CJ71" i="2408"/>
  <c r="CK71" i="2408" s="1"/>
  <c r="CJ79" i="2408"/>
  <c r="CK79" i="2408" s="1"/>
  <c r="CJ87" i="2408"/>
  <c r="CK87" i="2408" s="1"/>
  <c r="CJ95" i="2408"/>
  <c r="CK95" i="2408" s="1"/>
  <c r="CJ103" i="2408"/>
  <c r="CK103" i="2408" s="1"/>
  <c r="CJ111" i="2408"/>
  <c r="CK111" i="2408" s="1"/>
  <c r="CJ18" i="2408"/>
  <c r="CK18" i="2408" s="1"/>
  <c r="CJ66" i="2408"/>
  <c r="CK66" i="2408" s="1"/>
  <c r="CJ16" i="2408"/>
  <c r="CK16" i="2408" s="1"/>
  <c r="CJ24" i="2408"/>
  <c r="CK24" i="2408" s="1"/>
  <c r="CJ32" i="2408"/>
  <c r="CK32" i="2408" s="1"/>
  <c r="CJ40" i="2408"/>
  <c r="CK40" i="2408" s="1"/>
  <c r="CJ48" i="2408"/>
  <c r="CK48" i="2408" s="1"/>
  <c r="CJ56" i="2408"/>
  <c r="CK56" i="2408" s="1"/>
  <c r="CJ64" i="2408"/>
  <c r="CK64" i="2408" s="1"/>
  <c r="CJ72" i="2408"/>
  <c r="CK72" i="2408" s="1"/>
  <c r="CJ80" i="2408"/>
  <c r="CK80" i="2408" s="1"/>
  <c r="CJ88" i="2408"/>
  <c r="CK88" i="2408" s="1"/>
  <c r="CJ96" i="2408"/>
  <c r="CK96" i="2408" s="1"/>
  <c r="CJ104" i="2408"/>
  <c r="CK104" i="2408" s="1"/>
  <c r="CJ112" i="2408"/>
  <c r="CK112" i="2408" s="1"/>
  <c r="CJ42" i="2408"/>
  <c r="CK42" i="2408" s="1"/>
  <c r="CJ90" i="2408"/>
  <c r="CK90" i="2408" s="1"/>
  <c r="CJ17" i="2408"/>
  <c r="CK17" i="2408" s="1"/>
  <c r="CJ25" i="2408"/>
  <c r="CK25" i="2408" s="1"/>
  <c r="CJ33" i="2408"/>
  <c r="CK33" i="2408" s="1"/>
  <c r="CJ41" i="2408"/>
  <c r="CK41" i="2408" s="1"/>
  <c r="CJ49" i="2408"/>
  <c r="CK49" i="2408" s="1"/>
  <c r="CJ57" i="2408"/>
  <c r="CK57" i="2408" s="1"/>
  <c r="CJ65" i="2408"/>
  <c r="CK65" i="2408" s="1"/>
  <c r="CJ73" i="2408"/>
  <c r="CK73" i="2408" s="1"/>
  <c r="CJ81" i="2408"/>
  <c r="CK81" i="2408" s="1"/>
  <c r="CJ89" i="2408"/>
  <c r="CK89" i="2408" s="1"/>
  <c r="CJ97" i="2408"/>
  <c r="CK97" i="2408" s="1"/>
  <c r="CJ105" i="2408"/>
  <c r="CK105" i="2408" s="1"/>
  <c r="CJ12" i="2408"/>
  <c r="CK12" i="2408" s="1"/>
  <c r="CJ19" i="2408"/>
  <c r="CK19" i="2408" s="1"/>
  <c r="CJ27" i="2408"/>
  <c r="CK27" i="2408" s="1"/>
  <c r="CJ35" i="2408"/>
  <c r="CK35" i="2408" s="1"/>
  <c r="CJ43" i="2408"/>
  <c r="CK43" i="2408" s="1"/>
  <c r="CJ51" i="2408"/>
  <c r="CK51" i="2408" s="1"/>
  <c r="CJ59" i="2408"/>
  <c r="CK59" i="2408" s="1"/>
  <c r="CJ67" i="2408"/>
  <c r="CK67" i="2408" s="1"/>
  <c r="CJ75" i="2408"/>
  <c r="CK75" i="2408" s="1"/>
  <c r="CJ83" i="2408"/>
  <c r="CK83" i="2408" s="1"/>
  <c r="CJ91" i="2408"/>
  <c r="CK91" i="2408" s="1"/>
  <c r="CJ99" i="2408"/>
  <c r="CK99" i="2408" s="1"/>
  <c r="CJ107" i="2408"/>
  <c r="CK107" i="2408" s="1"/>
  <c r="CJ108" i="2408"/>
  <c r="CK108" i="2408" s="1"/>
  <c r="CJ50" i="2408"/>
  <c r="CK50" i="2408" s="1"/>
  <c r="CJ82" i="2408"/>
  <c r="CK82" i="2408" s="1"/>
  <c r="CJ20" i="2408"/>
  <c r="CK20" i="2408" s="1"/>
  <c r="CJ28" i="2408"/>
  <c r="CK28" i="2408" s="1"/>
  <c r="CJ36" i="2408"/>
  <c r="CK36" i="2408" s="1"/>
  <c r="CJ44" i="2408"/>
  <c r="CK44" i="2408" s="1"/>
  <c r="CJ52" i="2408"/>
  <c r="CK52" i="2408" s="1"/>
  <c r="CJ60" i="2408"/>
  <c r="CK60" i="2408" s="1"/>
  <c r="CJ68" i="2408"/>
  <c r="CK68" i="2408" s="1"/>
  <c r="CJ76" i="2408"/>
  <c r="CK76" i="2408" s="1"/>
  <c r="CJ84" i="2408"/>
  <c r="CK84" i="2408" s="1"/>
  <c r="CJ92" i="2408"/>
  <c r="CK92" i="2408" s="1"/>
  <c r="CJ100" i="2408"/>
  <c r="CK100" i="2408" s="1"/>
  <c r="CJ58" i="2408"/>
  <c r="CK58" i="2408" s="1"/>
  <c r="CJ98" i="2408"/>
  <c r="CK98" i="2408" s="1"/>
  <c r="AU7" i="2420"/>
  <c r="J7" i="2420"/>
  <c r="Q12" i="2380" s="1"/>
  <c r="K7" i="2420"/>
  <c r="R12" i="2380" s="1"/>
  <c r="AV7" i="2420"/>
  <c r="AA7" i="2420"/>
  <c r="DG7" i="2420"/>
  <c r="DG107" i="2420" s="1"/>
  <c r="P9" i="2380" s="1"/>
  <c r="AD7" i="2420"/>
  <c r="AB7" i="2420"/>
  <c r="T12" i="2380" s="1"/>
  <c r="O7" i="2420"/>
  <c r="Z7" i="2420" s="1"/>
  <c r="AT7" i="2420"/>
  <c r="M117" i="2420"/>
  <c r="AW7" i="2420"/>
  <c r="M118" i="2420"/>
  <c r="M116" i="2420"/>
  <c r="N118" i="2420"/>
  <c r="F17" i="2408" s="1"/>
  <c r="BT7" i="2420"/>
  <c r="F16" i="2421"/>
  <c r="N117" i="2420"/>
  <c r="N116" i="2420"/>
  <c r="F13" i="2422"/>
  <c r="DO7" i="2420" l="1"/>
  <c r="W7" i="2420"/>
  <c r="DQ7" i="2420"/>
  <c r="DR7" i="2420"/>
  <c r="QY16" i="2421"/>
  <c r="OB16" i="2421"/>
  <c r="MX16" i="2421"/>
  <c r="KA16" i="2421"/>
  <c r="JL16" i="2421"/>
  <c r="IW16" i="2421"/>
  <c r="FK16" i="2421"/>
  <c r="CN16" i="2421"/>
  <c r="RN16" i="2421"/>
  <c r="PU16" i="2421"/>
  <c r="PF16" i="2421"/>
  <c r="NM16" i="2421"/>
  <c r="MI16" i="2421"/>
  <c r="LE16" i="2421"/>
  <c r="KP16" i="2421"/>
  <c r="HS16" i="2421"/>
  <c r="FZ16" i="2421"/>
  <c r="EG16" i="2421"/>
  <c r="DR16" i="2421"/>
  <c r="DC16" i="2421"/>
  <c r="QJ16" i="2421"/>
  <c r="OQ16" i="2421"/>
  <c r="LT16" i="2421"/>
  <c r="IH16" i="2421"/>
  <c r="GO16" i="2421"/>
  <c r="EV16" i="2421"/>
  <c r="HD16" i="2421"/>
  <c r="BY16" i="2421"/>
  <c r="G14" i="2390"/>
  <c r="CI17" i="2408"/>
  <c r="CI63" i="2408"/>
  <c r="CI47" i="2408"/>
  <c r="CI112" i="2408"/>
  <c r="CI54" i="2408"/>
  <c r="CI91" i="2408"/>
  <c r="CI48" i="2408"/>
  <c r="CI26" i="2408"/>
  <c r="CI70" i="2408"/>
  <c r="CI16" i="2408"/>
  <c r="M7" i="2422" a="1"/>
  <c r="M7" i="2422" s="1"/>
  <c r="BK122" i="2420"/>
  <c r="DH7" i="2420"/>
  <c r="N123" i="2420"/>
  <c r="P123" i="2420"/>
  <c r="M6" i="2422" a="1"/>
  <c r="M6" i="2422" s="1"/>
  <c r="AH9" i="2421" a="1"/>
  <c r="AH9" i="2421" s="1"/>
  <c r="AG10" i="2421" a="1"/>
  <c r="AG10" i="2421" s="1"/>
  <c r="AH10" i="2421" a="1"/>
  <c r="AH10" i="2421" s="1"/>
  <c r="AG9" i="2421" a="1"/>
  <c r="AG9" i="2421" s="1"/>
  <c r="D13" i="2408"/>
  <c r="D14" i="2408" s="1"/>
  <c r="P116" i="2420"/>
  <c r="G13" i="2422"/>
  <c r="G16" i="2421"/>
  <c r="S7" i="2420"/>
  <c r="P118" i="2420"/>
  <c r="D17" i="2408"/>
  <c r="P117" i="2420"/>
  <c r="F13" i="2408"/>
  <c r="L14" i="2390" l="1"/>
  <c r="V14" i="2390"/>
  <c r="U14" i="2390"/>
  <c r="CI45" i="2408"/>
  <c r="CI22" i="2408"/>
  <c r="CI44" i="2408"/>
  <c r="CI27" i="2408"/>
  <c r="CI20" i="2408"/>
  <c r="CI99" i="2408"/>
  <c r="CI72" i="2408"/>
  <c r="CI31" i="2408"/>
  <c r="CI71" i="2408"/>
  <c r="CI55" i="2408"/>
  <c r="CI96" i="2408"/>
  <c r="CI36" i="2408"/>
  <c r="CI21" i="2408"/>
  <c r="CI68" i="2408"/>
  <c r="CI24" i="2408"/>
  <c r="CI94" i="2408"/>
  <c r="CI13" i="2408"/>
  <c r="CI32" i="2408"/>
  <c r="CI89" i="2408"/>
  <c r="CI106" i="2408"/>
  <c r="CI97" i="2408"/>
  <c r="CI23" i="2408"/>
  <c r="CI84" i="2408"/>
  <c r="CI93" i="2408"/>
  <c r="CI28" i="2408"/>
  <c r="CI82" i="2408"/>
  <c r="CI38" i="2408"/>
  <c r="CI79" i="2408"/>
  <c r="CI14" i="2408"/>
  <c r="CI41" i="2408"/>
  <c r="CI110" i="2408"/>
  <c r="CI15" i="2408"/>
  <c r="CI12" i="2408"/>
  <c r="CI104" i="2408"/>
  <c r="CI18" i="2408"/>
  <c r="CI66" i="2408"/>
  <c r="CI77" i="2408"/>
  <c r="CI19" i="2408"/>
  <c r="CI40" i="2408"/>
  <c r="CI30" i="2408"/>
  <c r="CI67" i="2408"/>
  <c r="CI25" i="2408"/>
  <c r="CI102" i="2408"/>
  <c r="CI34" i="2408"/>
  <c r="CI33" i="2408"/>
  <c r="CI50" i="2408"/>
  <c r="CI95" i="2408"/>
  <c r="CI98" i="2408"/>
  <c r="CI90" i="2408"/>
  <c r="CI35" i="2408"/>
  <c r="CI75" i="2408"/>
  <c r="KQ16" i="2421"/>
  <c r="II16" i="2421"/>
  <c r="KB16" i="2421"/>
  <c r="NN16" i="2421"/>
  <c r="DS16" i="2421"/>
  <c r="FL16" i="2421"/>
  <c r="LF16" i="2421"/>
  <c r="EW16" i="2421"/>
  <c r="HT16" i="2421"/>
  <c r="JM16" i="2421"/>
  <c r="MJ16" i="2421"/>
  <c r="OC16" i="2421"/>
  <c r="BZ16" i="2421"/>
  <c r="HE16" i="2421"/>
  <c r="QZ16" i="2421"/>
  <c r="CO16" i="2421"/>
  <c r="QK16" i="2421"/>
  <c r="IX16" i="2421"/>
  <c r="GP16" i="2421"/>
  <c r="MY16" i="2421"/>
  <c r="EH16" i="2421"/>
  <c r="PV16" i="2421"/>
  <c r="RO16" i="2421"/>
  <c r="PG16" i="2421"/>
  <c r="GA16" i="2421"/>
  <c r="OR16" i="2421"/>
  <c r="LU16" i="2421"/>
  <c r="DD16" i="2421"/>
  <c r="CI57" i="2408"/>
  <c r="CI108" i="2408"/>
  <c r="CI65" i="2408"/>
  <c r="CI87" i="2408"/>
  <c r="CI92" i="2408"/>
  <c r="CI51" i="2408"/>
  <c r="V7" i="2420"/>
  <c r="AQ7" i="2420" s="1"/>
  <c r="AR7" i="2420" s="1"/>
  <c r="H14" i="2390" s="1"/>
  <c r="N14" i="2390"/>
  <c r="J14" i="2390"/>
  <c r="CI103" i="2408"/>
  <c r="CI46" i="2408"/>
  <c r="CI100" i="2408"/>
  <c r="CI43" i="2408"/>
  <c r="CI58" i="2408"/>
  <c r="I14" i="2390"/>
  <c r="CI59" i="2408"/>
  <c r="K14" i="2390"/>
  <c r="CI39" i="2408"/>
  <c r="CI62" i="2408"/>
  <c r="CI74" i="2408"/>
  <c r="CI37" i="2408"/>
  <c r="CI111" i="2408"/>
  <c r="CI53" i="2408"/>
  <c r="CI73" i="2408"/>
  <c r="CI107" i="2408"/>
  <c r="CI86" i="2408"/>
  <c r="CI83" i="2408"/>
  <c r="CI61" i="2408"/>
  <c r="CI109" i="2408"/>
  <c r="CI101" i="2408"/>
  <c r="CI42" i="2408"/>
  <c r="CI81" i="2408"/>
  <c r="CI76" i="2408"/>
  <c r="CI80" i="2408"/>
  <c r="CI88" i="2408"/>
  <c r="CI60" i="2408"/>
  <c r="CI78" i="2408"/>
  <c r="CI69" i="2408"/>
  <c r="CI85" i="2408"/>
  <c r="CI56" i="2408"/>
  <c r="CI49" i="2408"/>
  <c r="CI64" i="2408"/>
  <c r="CI105" i="2408"/>
  <c r="CI52" i="2408"/>
  <c r="CI29" i="2408"/>
  <c r="CJ10" i="2408"/>
  <c r="J16" i="2421"/>
  <c r="T112" i="2380"/>
  <c r="X7" i="2420"/>
  <c r="DH107" i="2420"/>
  <c r="DM7" i="2420"/>
  <c r="X12" i="2380" s="1"/>
  <c r="AX113" i="2420" a="1"/>
  <c r="AX113" i="2420" s="1"/>
  <c r="D14" i="2390"/>
  <c r="F26" i="2401"/>
  <c r="F12" i="2408"/>
  <c r="F14" i="2408"/>
  <c r="BL122" i="2420"/>
  <c r="C26" i="2401"/>
  <c r="J18" i="2408"/>
  <c r="Q115" i="2420" l="1"/>
  <c r="Q118" i="2420"/>
  <c r="H17" i="2408" s="1"/>
  <c r="AS7" i="2420"/>
  <c r="M14" i="2390" s="1"/>
  <c r="T9" i="2380"/>
  <c r="QW16" i="2421"/>
  <c r="QH16" i="2421"/>
  <c r="PS16" i="2421"/>
  <c r="NZ16" i="2421"/>
  <c r="NK16" i="2421"/>
  <c r="MV16" i="2421"/>
  <c r="MG16" i="2421"/>
  <c r="IF16" i="2421"/>
  <c r="GM16" i="2421"/>
  <c r="EE16" i="2421"/>
  <c r="DP16" i="2421"/>
  <c r="BH16" i="2421"/>
  <c r="RL16" i="2421"/>
  <c r="OO16" i="2421"/>
  <c r="JY16" i="2421"/>
  <c r="JJ16" i="2421"/>
  <c r="LR16" i="2421"/>
  <c r="KN16" i="2421"/>
  <c r="IU16" i="2421"/>
  <c r="FI16" i="2421"/>
  <c r="ET16" i="2421"/>
  <c r="BW16" i="2421"/>
  <c r="PD16" i="2421"/>
  <c r="LC16" i="2421"/>
  <c r="HQ16" i="2421"/>
  <c r="HB16" i="2421"/>
  <c r="FX16" i="2421"/>
  <c r="DA16" i="2421"/>
  <c r="CL16" i="2421"/>
  <c r="AS16" i="2421"/>
  <c r="H13" i="2422"/>
  <c r="CT13" i="2422" s="1"/>
  <c r="CU13" i="2422" s="1"/>
  <c r="D11" i="2405"/>
  <c r="O11" i="2405" s="1"/>
  <c r="BQ7" i="2420"/>
  <c r="DM107" i="2420"/>
  <c r="D26" i="2401"/>
  <c r="G26" i="2401"/>
  <c r="BA121" i="2420" l="1" a="1"/>
  <c r="BA121" i="2420" s="1"/>
  <c r="BA123" i="2420" s="1"/>
  <c r="C33" i="2401" s="1"/>
  <c r="D33" i="2401" s="1"/>
  <c r="BS7" i="2420"/>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S7" i="2420"/>
  <c r="Q117" i="2420"/>
  <c r="Q116" i="2420"/>
  <c r="T115" i="2420"/>
  <c r="S9" i="2408" s="1"/>
  <c r="H12" i="2408"/>
  <c r="S15" i="2408" s="1"/>
  <c r="DS106" i="2420" l="1"/>
  <c r="BU7" i="2420"/>
  <c r="H12" i="2406"/>
  <c r="O13" i="2422"/>
  <c r="O5" i="2422" s="1" a="1"/>
  <c r="O5" i="2422" s="1"/>
  <c r="BI117" i="2420" s="1"/>
  <c r="BI128" i="2420" s="1"/>
  <c r="H13" i="2408"/>
  <c r="P13" i="2422"/>
  <c r="Q13" i="2422"/>
  <c r="KJ13" i="2422" s="1"/>
  <c r="D112" i="2406" l="1"/>
  <c r="B112" i="2406" s="1"/>
  <c r="D115" i="2390"/>
  <c r="B115" i="2390" s="1"/>
  <c r="I116" i="2413"/>
  <c r="B116" i="2413" s="1"/>
  <c r="F115" i="2383"/>
  <c r="B116" i="2383" s="1"/>
  <c r="D116" i="2380"/>
  <c r="B116" i="2380" s="1"/>
  <c r="K12" i="2406"/>
  <c r="BV7" i="2420"/>
  <c r="O4" i="2422" a="1"/>
  <c r="O4" i="2422" s="1"/>
  <c r="BH117" i="2420" s="1"/>
  <c r="BH128" i="2420" s="1"/>
  <c r="BK7" i="2420"/>
  <c r="X14" i="2390"/>
  <c r="O6" i="2422" a="1"/>
  <c r="O6" i="2422" s="1"/>
  <c r="N14" i="2408" s="1"/>
  <c r="N13" i="2408" s="1"/>
  <c r="O7" i="2422" a="1"/>
  <c r="O7" i="2422" s="1"/>
  <c r="N17" i="2408" s="1"/>
  <c r="I31" i="2403"/>
  <c r="L12" i="2406" l="1"/>
  <c r="AZ118" i="2420" a="1"/>
  <c r="AZ118" i="2420" s="1"/>
  <c r="BG117" i="2420"/>
  <c r="BG128" i="2420" s="1"/>
  <c r="N12" i="2408"/>
  <c r="BH36" i="2420"/>
  <c r="S43" i="2390" s="1"/>
  <c r="L60" i="2403"/>
  <c r="L57" i="2403"/>
  <c r="BH33" i="2420"/>
  <c r="S40" i="2390" s="1"/>
  <c r="BH34" i="2420"/>
  <c r="S41" i="2390" s="1"/>
  <c r="L58" i="2403"/>
  <c r="L59" i="2403"/>
  <c r="BH35" i="2420"/>
  <c r="S42" i="2390" s="1"/>
  <c r="BH62" i="2420" l="1"/>
  <c r="S69" i="2390" s="1"/>
  <c r="L86" i="2403"/>
  <c r="L85" i="2403"/>
  <c r="BH61" i="2420"/>
  <c r="S68" i="2390" s="1"/>
  <c r="BH63" i="2420"/>
  <c r="S70" i="2390" s="1"/>
  <c r="L87" i="2403"/>
  <c r="BH60" i="2420"/>
  <c r="S67" i="2390" s="1"/>
  <c r="L84" i="2403"/>
  <c r="BH88" i="2420" l="1"/>
  <c r="S95" i="2390" s="1"/>
  <c r="L112" i="2403"/>
  <c r="BH90" i="2420"/>
  <c r="S97" i="2390" s="1"/>
  <c r="L114" i="2403"/>
  <c r="BH89" i="2420"/>
  <c r="S96" i="2390" s="1"/>
  <c r="L113" i="2403"/>
  <c r="BH87" i="2420"/>
  <c r="S94" i="2390" s="1"/>
  <c r="L111" i="2403"/>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U9" i="2345" s="1"/>
  <c r="AC9" i="2345" l="1"/>
  <c r="AD9" i="2345"/>
  <c r="BM15" i="2396"/>
  <c r="BQ15" i="2396" s="1"/>
  <c r="X9" i="2345"/>
  <c r="W9" i="2345"/>
  <c r="BJ15" i="2396"/>
  <c r="BP15" i="2396" s="1"/>
  <c r="AB15" i="2396" l="1"/>
  <c r="C9" i="2345" s="1"/>
  <c r="D9" i="2345" l="1"/>
  <c r="AL7" i="2421"/>
  <c r="BA8" i="2421"/>
  <c r="BA4" i="2421"/>
  <c r="AL8" i="2421"/>
  <c r="AL4" i="2421"/>
  <c r="AL10" i="2421"/>
  <c r="BA5" i="2421"/>
  <c r="BA10" i="2421"/>
  <c r="AL5" i="2421"/>
  <c r="BA6" i="2421"/>
  <c r="AL6" i="2421"/>
  <c r="BA7" i="2421"/>
  <c r="BA9" i="2421"/>
  <c r="AL9" i="2421"/>
  <c r="S15" i="2396"/>
  <c r="BJ64" i="2421" l="1"/>
  <c r="BJ92" i="2421"/>
  <c r="BJ95" i="2421"/>
  <c r="BJ45" i="2421"/>
  <c r="BJ29" i="2421"/>
  <c r="BJ65" i="2421"/>
  <c r="BJ98" i="2421"/>
  <c r="BJ101" i="2421"/>
  <c r="BJ48" i="2421"/>
  <c r="BJ32" i="2421"/>
  <c r="BJ19" i="2421"/>
  <c r="BJ107" i="2421"/>
  <c r="BJ35" i="2421"/>
  <c r="BJ55" i="2421"/>
  <c r="BJ89" i="2421"/>
  <c r="BJ26" i="2421"/>
  <c r="BJ58" i="2421"/>
  <c r="BJ99" i="2421"/>
  <c r="BJ31" i="2421"/>
  <c r="BJ17" i="2421"/>
  <c r="BJ20" i="2421"/>
  <c r="BJ38" i="2421"/>
  <c r="BJ94" i="2421"/>
  <c r="BJ70" i="2421"/>
  <c r="BJ100" i="2421"/>
  <c r="BJ33" i="2421"/>
  <c r="BJ106" i="2421"/>
  <c r="BJ36" i="2421"/>
  <c r="BJ43" i="2421"/>
  <c r="BJ34" i="2421"/>
  <c r="BJ79" i="2421"/>
  <c r="BJ30" i="2421"/>
  <c r="BJ62" i="2421"/>
  <c r="BJ72" i="2421"/>
  <c r="BJ83" i="2421"/>
  <c r="BJ87" i="2421"/>
  <c r="BJ41" i="2421"/>
  <c r="BJ25" i="2421"/>
  <c r="BJ57" i="2421"/>
  <c r="BJ90" i="2421"/>
  <c r="BJ93" i="2421"/>
  <c r="BJ44" i="2421"/>
  <c r="BJ28" i="2421"/>
  <c r="BJ68" i="2421"/>
  <c r="BJ91" i="2421"/>
  <c r="BJ27" i="2421"/>
  <c r="BJ102" i="2421"/>
  <c r="BJ50" i="2421"/>
  <c r="BJ75" i="2421"/>
  <c r="BJ112" i="2421"/>
  <c r="BJ80" i="2421"/>
  <c r="BJ23" i="2421"/>
  <c r="BJ60" i="2421"/>
  <c r="BJ56" i="2421"/>
  <c r="BJ110" i="2421"/>
  <c r="BJ46" i="2421"/>
  <c r="BJ78" i="2421"/>
  <c r="BJ103" i="2421"/>
  <c r="BJ109" i="2421"/>
  <c r="BJ82" i="2421"/>
  <c r="BJ105" i="2421"/>
  <c r="BJ39" i="2421"/>
  <c r="BJ22" i="2421"/>
  <c r="BJ108" i="2421"/>
  <c r="BJ111" i="2421"/>
  <c r="BJ53" i="2421"/>
  <c r="BJ37" i="2421"/>
  <c r="BJ21" i="2421"/>
  <c r="BJ18" i="2421"/>
  <c r="BJ81" i="2421"/>
  <c r="BJ85" i="2421"/>
  <c r="BJ40" i="2421"/>
  <c r="BJ24" i="2421"/>
  <c r="BJ104" i="2421"/>
  <c r="BJ51" i="2421"/>
  <c r="BJ77" i="2421"/>
  <c r="BJ86" i="2421"/>
  <c r="BJ42" i="2421"/>
  <c r="BJ63" i="2421"/>
  <c r="BJ96" i="2421"/>
  <c r="BJ47" i="2421"/>
  <c r="BJ71" i="2421"/>
  <c r="BJ97" i="2421"/>
  <c r="BJ66" i="2421"/>
  <c r="BJ54" i="2421"/>
  <c r="BJ69" i="2421"/>
  <c r="BJ113" i="2421"/>
  <c r="BJ76" i="2421"/>
  <c r="BJ49" i="2421"/>
  <c r="BJ73" i="2421"/>
  <c r="BJ52" i="2421"/>
  <c r="BJ88" i="2421"/>
  <c r="BJ67" i="2421"/>
  <c r="BJ84" i="2421"/>
  <c r="BJ61" i="2421"/>
  <c r="BJ74" i="2421"/>
  <c r="BJ59" i="2421"/>
  <c r="BJ14" i="2421"/>
  <c r="BK97" i="2421"/>
  <c r="BK26" i="2421"/>
  <c r="BK62" i="2421"/>
  <c r="BK91" i="2421"/>
  <c r="BK101" i="2421"/>
  <c r="BK57" i="2421"/>
  <c r="BK48" i="2421"/>
  <c r="BK39" i="2421"/>
  <c r="BK80" i="2421"/>
  <c r="BK104" i="2421"/>
  <c r="BK74" i="2421"/>
  <c r="BK75" i="2421"/>
  <c r="BK95" i="2421"/>
  <c r="BK65" i="2421"/>
  <c r="BK46" i="2421"/>
  <c r="BK77" i="2421"/>
  <c r="BK60" i="2421"/>
  <c r="BK72" i="2421"/>
  <c r="BK37" i="2421"/>
  <c r="BK98" i="2421"/>
  <c r="BK106" i="2421"/>
  <c r="BK61" i="2421"/>
  <c r="BK78" i="2421"/>
  <c r="BK58" i="2421"/>
  <c r="BK89" i="2421"/>
  <c r="BK24" i="2421"/>
  <c r="BK34" i="2421"/>
  <c r="BK69" i="2421"/>
  <c r="BK29" i="2421"/>
  <c r="BK38" i="2421"/>
  <c r="BK19" i="2421"/>
  <c r="BK53" i="2421"/>
  <c r="BK66" i="2421"/>
  <c r="BK30" i="2421"/>
  <c r="BK45" i="2421"/>
  <c r="BK40" i="2421"/>
  <c r="BK82" i="2421"/>
  <c r="BK43" i="2421"/>
  <c r="BK113" i="2421"/>
  <c r="BK94" i="2421"/>
  <c r="BK71" i="2421"/>
  <c r="BK81" i="2421"/>
  <c r="BK44" i="2421"/>
  <c r="BK84" i="2421"/>
  <c r="BK32" i="2421"/>
  <c r="BK83" i="2421"/>
  <c r="BK54" i="2421"/>
  <c r="BK112" i="2421"/>
  <c r="BK109" i="2421"/>
  <c r="BK73" i="2421"/>
  <c r="BK31" i="2421"/>
  <c r="BK92" i="2421"/>
  <c r="BK86" i="2421"/>
  <c r="BK96" i="2421"/>
  <c r="BK49" i="2421"/>
  <c r="BK99" i="2421"/>
  <c r="BK68" i="2421"/>
  <c r="BK87" i="2421"/>
  <c r="BK27" i="2421"/>
  <c r="BK52" i="2421"/>
  <c r="BK85" i="2421"/>
  <c r="BK70" i="2421"/>
  <c r="BK47" i="2421"/>
  <c r="BK28" i="2421"/>
  <c r="BK103" i="2421"/>
  <c r="BK79" i="2421"/>
  <c r="BK111" i="2421"/>
  <c r="BK20" i="2421"/>
  <c r="BK100" i="2421"/>
  <c r="BK64" i="2421"/>
  <c r="BK59" i="2421"/>
  <c r="BK51" i="2421"/>
  <c r="BK76" i="2421"/>
  <c r="BK107" i="2421"/>
  <c r="BK36" i="2421"/>
  <c r="BK56" i="2421"/>
  <c r="BK93" i="2421"/>
  <c r="BK67" i="2421"/>
  <c r="BK88" i="2421"/>
  <c r="BK105" i="2421"/>
  <c r="BK63" i="2421"/>
  <c r="BK110" i="2421"/>
  <c r="BK23" i="2421"/>
  <c r="BK90" i="2421"/>
  <c r="BK50" i="2421"/>
  <c r="BK102" i="2421"/>
  <c r="BK108" i="2421"/>
  <c r="BK55" i="2421"/>
  <c r="BK25" i="2421"/>
  <c r="BK33" i="2421"/>
  <c r="BK35" i="2421"/>
  <c r="BK42" i="2421"/>
  <c r="BK41" i="2421"/>
  <c r="BK18" i="2421"/>
  <c r="BJ15" i="2421"/>
  <c r="BJ16" i="2421"/>
  <c r="BK17" i="2421"/>
  <c r="B9" i="2345"/>
  <c r="A36" i="2345" s="1" a="1"/>
  <c r="A36" i="2345" s="1"/>
  <c r="BH2" i="2396"/>
  <c r="BK2" i="2396" s="1"/>
  <c r="T4" i="2413"/>
  <c r="AW14" i="2421"/>
  <c r="AF135" i="2421" a="1"/>
  <c r="A48" i="2345" l="1"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L25" i="2421"/>
  <c r="BL97" i="2421"/>
  <c r="BL81" i="2421"/>
  <c r="BL65" i="2421"/>
  <c r="BL98" i="2421"/>
  <c r="BL49" i="2421"/>
  <c r="BL82" i="2421"/>
  <c r="BL66" i="2421"/>
  <c r="BL29" i="2421"/>
  <c r="BL50" i="2421"/>
  <c r="BL34" i="2421"/>
  <c r="BL113" i="2421"/>
  <c r="BL18" i="2421"/>
  <c r="BL83" i="2421"/>
  <c r="BL102" i="2421"/>
  <c r="BL40" i="2421"/>
  <c r="BL87" i="2421"/>
  <c r="BL90" i="2421"/>
  <c r="BL20" i="2421"/>
  <c r="BL46" i="2421"/>
  <c r="BL93" i="2421"/>
  <c r="BL96" i="2421"/>
  <c r="BL36" i="2421"/>
  <c r="BL99" i="2421"/>
  <c r="BL17" i="2421"/>
  <c r="BL56" i="2421"/>
  <c r="BL103" i="2421"/>
  <c r="BL106" i="2421"/>
  <c r="BL31" i="2421"/>
  <c r="BL41" i="2421"/>
  <c r="BL62" i="2421"/>
  <c r="BL109" i="2421"/>
  <c r="BL112" i="2421"/>
  <c r="BL52" i="2421"/>
  <c r="BL33" i="2421"/>
  <c r="BL53" i="2421"/>
  <c r="BL72" i="2421"/>
  <c r="BL39" i="2421"/>
  <c r="BL37" i="2421"/>
  <c r="BL28" i="2421"/>
  <c r="BL59" i="2421"/>
  <c r="BL78" i="2421"/>
  <c r="BL23" i="2421"/>
  <c r="BL47" i="2421"/>
  <c r="BL68" i="2421"/>
  <c r="BL22" i="2421"/>
  <c r="BL69" i="2421"/>
  <c r="BL88" i="2421"/>
  <c r="BL21" i="2421"/>
  <c r="BL57" i="2421"/>
  <c r="BL44" i="2421"/>
  <c r="BL75" i="2421"/>
  <c r="BL94" i="2421"/>
  <c r="BL16" i="2421"/>
  <c r="BL63" i="2421"/>
  <c r="BL84" i="2421"/>
  <c r="BL38" i="2421"/>
  <c r="BL85" i="2421"/>
  <c r="BL104" i="2421"/>
  <c r="BL26" i="2421"/>
  <c r="BL73" i="2421"/>
  <c r="BL60" i="2421"/>
  <c r="BL91" i="2421"/>
  <c r="BL110" i="2421"/>
  <c r="BL32" i="2421"/>
  <c r="BL79" i="2421"/>
  <c r="BL100" i="2421"/>
  <c r="BL54" i="2421"/>
  <c r="BL101" i="2421"/>
  <c r="BL27" i="2421"/>
  <c r="BL42" i="2421"/>
  <c r="BL89" i="2421"/>
  <c r="BL76" i="2421"/>
  <c r="BL107" i="2421"/>
  <c r="BL45" i="2421"/>
  <c r="BL48" i="2421"/>
  <c r="BL95" i="2421"/>
  <c r="BL51" i="2421"/>
  <c r="BL70" i="2421"/>
  <c r="BL35" i="2421"/>
  <c r="BL55" i="2421"/>
  <c r="BL58" i="2421"/>
  <c r="BL105" i="2421"/>
  <c r="BL92" i="2421"/>
  <c r="BL19" i="2421"/>
  <c r="BL61" i="2421"/>
  <c r="BL64" i="2421"/>
  <c r="BL111" i="2421"/>
  <c r="BL67" i="2421"/>
  <c r="BL86" i="2421"/>
  <c r="BL24" i="2421"/>
  <c r="BL71" i="2421"/>
  <c r="BL74" i="2421"/>
  <c r="BL43" i="2421"/>
  <c r="BL108" i="2421"/>
  <c r="BL30" i="2421"/>
  <c r="BL77" i="2421"/>
  <c r="BL80" i="2421"/>
  <c r="BL15" i="2421"/>
  <c r="BL14" i="2421"/>
  <c r="A60" i="2345" a="1"/>
  <c r="A60" i="2345" s="1"/>
  <c r="A44" i="2345" a="1"/>
  <c r="A44" i="2345" s="1"/>
  <c r="A56" i="2345" a="1"/>
  <c r="A56" i="2345" s="1"/>
  <c r="A34" i="2345" a="1"/>
  <c r="A34" i="2345" s="1"/>
  <c r="A12" i="2345" a="1"/>
  <c r="A12" i="2345" s="1"/>
  <c r="A59" i="2345" a="1"/>
  <c r="A59" i="2345" s="1"/>
  <c r="A46" i="2345" a="1"/>
  <c r="A46" i="2345" s="1"/>
  <c r="BC26" i="2421"/>
  <c r="BC44" i="2421"/>
  <c r="BC80" i="2421"/>
  <c r="BC40" i="2421"/>
  <c r="BC96" i="2421"/>
  <c r="BC59" i="2421"/>
  <c r="BC83" i="2421"/>
  <c r="BC47" i="2421"/>
  <c r="BC74" i="2421"/>
  <c r="BC31" i="2421"/>
  <c r="BC102" i="2421"/>
  <c r="BC28" i="2421"/>
  <c r="BC16" i="2421"/>
  <c r="Q15" i="2413" s="1"/>
  <c r="BC51" i="2421"/>
  <c r="BC22" i="2421"/>
  <c r="BC111" i="2421"/>
  <c r="BC79" i="2421"/>
  <c r="BC17" i="2421"/>
  <c r="BC90" i="2421"/>
  <c r="BC55" i="2421"/>
  <c r="BC76" i="2421"/>
  <c r="BC19" i="2421"/>
  <c r="BC69" i="2421"/>
  <c r="BC33" i="2421"/>
  <c r="BC62" i="2421"/>
  <c r="BC30" i="2421"/>
  <c r="BC60" i="2421"/>
  <c r="BC43" i="2421"/>
  <c r="BC49" i="2421"/>
  <c r="BC107" i="2421"/>
  <c r="BC75" i="2421"/>
  <c r="BC21" i="2421"/>
  <c r="BC84" i="2421"/>
  <c r="BC110" i="2421"/>
  <c r="BC70" i="2421"/>
  <c r="BC109" i="2421"/>
  <c r="BC64" i="2421"/>
  <c r="BC38" i="2421"/>
  <c r="BC35" i="2421"/>
  <c r="BC32" i="2421"/>
  <c r="BC101" i="2421"/>
  <c r="BC81" i="2421"/>
  <c r="BC41" i="2421"/>
  <c r="BC103" i="2421"/>
  <c r="BC71" i="2421"/>
  <c r="BC36" i="2421"/>
  <c r="BC85" i="2421"/>
  <c r="BC105" i="2421"/>
  <c r="BC65" i="2421"/>
  <c r="BC104" i="2421"/>
  <c r="BC25" i="2421"/>
  <c r="BC46" i="2421"/>
  <c r="BC92" i="2421"/>
  <c r="BC34" i="2421"/>
  <c r="BC87" i="2421"/>
  <c r="BC39" i="2421"/>
  <c r="BC52" i="2421"/>
  <c r="BC24" i="2421"/>
  <c r="BC99" i="2421"/>
  <c r="BC67" i="2421"/>
  <c r="BC48" i="2421"/>
  <c r="BC77" i="2421"/>
  <c r="BC100" i="2421"/>
  <c r="BC58" i="2421"/>
  <c r="BC98" i="2421"/>
  <c r="BC108" i="2421"/>
  <c r="BC54" i="2421"/>
  <c r="BC23" i="2421"/>
  <c r="BC42" i="2421"/>
  <c r="BC53" i="2421"/>
  <c r="BC15" i="2421"/>
  <c r="Q14" i="2413" s="1"/>
  <c r="BC95" i="2421"/>
  <c r="BC63" i="2421"/>
  <c r="BC112" i="2421"/>
  <c r="BC72" i="2421"/>
  <c r="BC94" i="2421"/>
  <c r="BC57" i="2421"/>
  <c r="BC93" i="2421"/>
  <c r="BC86" i="2421"/>
  <c r="BC113" i="2421"/>
  <c r="BC97" i="2421"/>
  <c r="BC50" i="2421"/>
  <c r="BC20" i="2421"/>
  <c r="BC29" i="2421"/>
  <c r="BC45" i="2421"/>
  <c r="BC18" i="2421"/>
  <c r="BC91" i="2421"/>
  <c r="BC56" i="2421"/>
  <c r="BC106" i="2421"/>
  <c r="BC66" i="2421"/>
  <c r="BC89" i="2421"/>
  <c r="BC27" i="2421"/>
  <c r="BC88" i="2421"/>
  <c r="BC68" i="2421"/>
  <c r="BC61" i="2421"/>
  <c r="BC78" i="2421"/>
  <c r="BC73" i="2421"/>
  <c r="BC14" i="2421"/>
  <c r="BC37" i="2421"/>
  <c r="BC82" i="2421"/>
  <c r="A54" i="2345" a="1"/>
  <c r="A54" i="2345" s="1"/>
  <c r="A43" i="2345" a="1"/>
  <c r="A43" i="2345" s="1"/>
  <c r="A26" i="2345" a="1"/>
  <c r="A26" i="2345" s="1"/>
  <c r="A8" i="2345" a="1"/>
  <c r="A8" i="2345" s="1"/>
  <c r="A17" i="2345" a="1"/>
  <c r="A17" i="2345" s="1"/>
  <c r="A41" i="2345" a="1"/>
  <c r="A41" i="2345" s="1"/>
  <c r="A37" i="2345" a="1"/>
  <c r="A37" i="2345" s="1"/>
  <c r="A55" i="2345" a="1"/>
  <c r="A55" i="2345" s="1"/>
  <c r="BF14" i="2421"/>
  <c r="S13" i="2413" s="1"/>
  <c r="BF77" i="2421"/>
  <c r="BF113" i="2421"/>
  <c r="BF84" i="2421"/>
  <c r="BF65" i="2421"/>
  <c r="BF61" i="2421"/>
  <c r="BF74" i="2421"/>
  <c r="BF96" i="2421"/>
  <c r="BF26" i="2421"/>
  <c r="BF85" i="2421"/>
  <c r="BF34" i="2421"/>
  <c r="BF48" i="2421"/>
  <c r="BF67" i="2421"/>
  <c r="BF112" i="2421"/>
  <c r="BF91" i="2421"/>
  <c r="BF20" i="2421"/>
  <c r="BF105" i="2421"/>
  <c r="BF59" i="2421"/>
  <c r="BF73" i="2421"/>
  <c r="BF52" i="2421"/>
  <c r="BF66" i="2421"/>
  <c r="BF86" i="2421"/>
  <c r="BF22" i="2421"/>
  <c r="BF104" i="2421"/>
  <c r="BF29" i="2421"/>
  <c r="BF28" i="2421"/>
  <c r="BF75" i="2421"/>
  <c r="BF68" i="2421"/>
  <c r="BF92" i="2421"/>
  <c r="BF30" i="2421"/>
  <c r="BF76" i="2421"/>
  <c r="BF19" i="2421"/>
  <c r="BF97" i="2421"/>
  <c r="BF53" i="2421"/>
  <c r="BF107" i="2421"/>
  <c r="BF47" i="2421"/>
  <c r="BF58" i="2421"/>
  <c r="BF57" i="2421"/>
  <c r="BF72" i="2421"/>
  <c r="BF94" i="2421"/>
  <c r="BF25" i="2421"/>
  <c r="BF60" i="2421"/>
  <c r="BF54" i="2421"/>
  <c r="BF63" i="2421"/>
  <c r="BF15" i="2421"/>
  <c r="S14" i="2413" s="1"/>
  <c r="BF23" i="2421"/>
  <c r="BF102" i="2421"/>
  <c r="BF18" i="2421"/>
  <c r="BF89" i="2421"/>
  <c r="BF49" i="2421"/>
  <c r="BF95" i="2421"/>
  <c r="BF42" i="2421"/>
  <c r="BF69" i="2421"/>
  <c r="BF51" i="2421"/>
  <c r="BF64" i="2421"/>
  <c r="BF82" i="2421"/>
  <c r="BF78" i="2421"/>
  <c r="BF32" i="2421"/>
  <c r="BF71" i="2421"/>
  <c r="BF88" i="2421"/>
  <c r="BF17" i="2421"/>
  <c r="BF79" i="2421"/>
  <c r="BF45" i="2421"/>
  <c r="BF83" i="2421"/>
  <c r="BF36" i="2421"/>
  <c r="BF103" i="2421"/>
  <c r="BF46" i="2421"/>
  <c r="BF56" i="2421"/>
  <c r="BF55" i="2421"/>
  <c r="BF70" i="2421"/>
  <c r="BF99" i="2421"/>
  <c r="BF87" i="2421"/>
  <c r="BF24" i="2421"/>
  <c r="BF16" i="2421"/>
  <c r="S15" i="2413" s="1"/>
  <c r="BF108" i="2421"/>
  <c r="BF41" i="2421"/>
  <c r="BF110" i="2421"/>
  <c r="BF31" i="2421"/>
  <c r="BF93" i="2421"/>
  <c r="BF40" i="2421"/>
  <c r="BF111" i="2421"/>
  <c r="BF50" i="2421"/>
  <c r="BF62" i="2421"/>
  <c r="BF90" i="2421"/>
  <c r="BF80" i="2421"/>
  <c r="BF33" i="2421"/>
  <c r="BF39" i="2421"/>
  <c r="BF21" i="2421"/>
  <c r="BF100" i="2421"/>
  <c r="BF37" i="2421"/>
  <c r="BF98" i="2421"/>
  <c r="BF27" i="2421"/>
  <c r="BF81" i="2421"/>
  <c r="BF35" i="2421"/>
  <c r="BF101" i="2421"/>
  <c r="BF44" i="2421"/>
  <c r="BF109" i="2421"/>
  <c r="BF43" i="2421"/>
  <c r="BF38" i="2421"/>
  <c r="BF106" i="2421"/>
  <c r="A49" i="2345" a="1"/>
  <c r="A49" i="2345" s="1"/>
  <c r="A52" i="2345" a="1"/>
  <c r="A52" i="2345" s="1"/>
  <c r="A40" i="2345" a="1"/>
  <c r="A40" i="2345" s="1"/>
  <c r="A27" i="2345" a="1"/>
  <c r="A27" i="2345" s="1"/>
  <c r="A57" i="2345" a="1"/>
  <c r="A57" i="2345" s="1"/>
  <c r="A32" i="2345" a="1"/>
  <c r="A32" i="2345" s="1"/>
  <c r="BD14" i="2421"/>
  <c r="R13" i="2413" s="1"/>
  <c r="BD82" i="2421"/>
  <c r="BD107" i="2421"/>
  <c r="BD72" i="2421"/>
  <c r="BD38" i="2421"/>
  <c r="BD101" i="2421"/>
  <c r="BD66" i="2421"/>
  <c r="BD98" i="2421"/>
  <c r="BD34" i="2421"/>
  <c r="BD96" i="2421"/>
  <c r="BD58" i="2421"/>
  <c r="BD102" i="2421"/>
  <c r="BD36" i="2421"/>
  <c r="BD76" i="2421"/>
  <c r="BD110" i="2421"/>
  <c r="BD33" i="2421"/>
  <c r="BD103" i="2421"/>
  <c r="BD68" i="2421"/>
  <c r="BD22" i="2421"/>
  <c r="BD97" i="2421"/>
  <c r="BD84" i="2421"/>
  <c r="BD90" i="2421"/>
  <c r="BD23" i="2421"/>
  <c r="BD88" i="2421"/>
  <c r="BD100" i="2421"/>
  <c r="BD94" i="2421"/>
  <c r="BD25" i="2421"/>
  <c r="BD70" i="2421"/>
  <c r="BD37" i="2421"/>
  <c r="BD31" i="2421"/>
  <c r="BD99" i="2421"/>
  <c r="BD64" i="2421"/>
  <c r="BD18" i="2421"/>
  <c r="BD93" i="2421"/>
  <c r="BD80" i="2421"/>
  <c r="BD79" i="2421"/>
  <c r="BD27" i="2421"/>
  <c r="BD77" i="2421"/>
  <c r="BD83" i="2421"/>
  <c r="BD86" i="2421"/>
  <c r="BD108" i="2421"/>
  <c r="BD42" i="2421"/>
  <c r="BD104" i="2421"/>
  <c r="BD60" i="2421"/>
  <c r="BD29" i="2421"/>
  <c r="BD95" i="2421"/>
  <c r="BD59" i="2421"/>
  <c r="BD15" i="2421"/>
  <c r="R14" i="2413" s="1"/>
  <c r="BD89" i="2421"/>
  <c r="BD52" i="2421"/>
  <c r="BD71" i="2421"/>
  <c r="BD92" i="2421"/>
  <c r="BD69" i="2421"/>
  <c r="BD65" i="2421"/>
  <c r="BD75" i="2421"/>
  <c r="BD73" i="2421"/>
  <c r="BD30" i="2421"/>
  <c r="BD106" i="2421"/>
  <c r="BD56" i="2421"/>
  <c r="BD24" i="2421"/>
  <c r="BD91" i="2421"/>
  <c r="BD54" i="2421"/>
  <c r="BD19" i="2421"/>
  <c r="BD85" i="2421"/>
  <c r="BD48" i="2421"/>
  <c r="BD63" i="2421"/>
  <c r="BD55" i="2421"/>
  <c r="BD61" i="2421"/>
  <c r="BD40" i="2421"/>
  <c r="BD67" i="2421"/>
  <c r="BD47" i="2421"/>
  <c r="BD32" i="2421"/>
  <c r="BD17" i="2421"/>
  <c r="BD87" i="2421"/>
  <c r="BD50" i="2421"/>
  <c r="BD113" i="2421"/>
  <c r="BD78" i="2421"/>
  <c r="BD44" i="2421"/>
  <c r="BD53" i="2421"/>
  <c r="BD16" i="2421"/>
  <c r="R15" i="2413" s="1"/>
  <c r="BD51" i="2421"/>
  <c r="BD26" i="2421"/>
  <c r="BD57" i="2421"/>
  <c r="BD35" i="2421"/>
  <c r="BD105" i="2421"/>
  <c r="BD41" i="2421"/>
  <c r="BD28" i="2421"/>
  <c r="BD21" i="2421"/>
  <c r="BD81" i="2421"/>
  <c r="BD46" i="2421"/>
  <c r="BD109" i="2421"/>
  <c r="BD74" i="2421"/>
  <c r="BD62" i="2421"/>
  <c r="BD45" i="2421"/>
  <c r="BD112" i="2421"/>
  <c r="BD43" i="2421"/>
  <c r="BD20" i="2421"/>
  <c r="BD49" i="2421"/>
  <c r="BD111" i="2421"/>
  <c r="BD39" i="2421"/>
  <c r="A18" i="2345" a="1"/>
  <c r="A18" i="2345" s="1"/>
  <c r="A30" i="2345" a="1"/>
  <c r="A30" i="2345" s="1"/>
  <c r="A20" i="2345" a="1"/>
  <c r="A20" i="2345" s="1"/>
  <c r="A13" i="2345" a="1"/>
  <c r="A13" i="2345" s="1"/>
  <c r="A50" i="2345" a="1"/>
  <c r="A50" i="2345" s="1"/>
  <c r="A42" i="2345" a="1"/>
  <c r="A42" i="2345" s="1"/>
  <c r="AZ118" i="2421"/>
  <c r="BA118" i="2421" s="1"/>
  <c r="AO11" i="2421"/>
  <c r="AV25" i="2421"/>
  <c r="AV33" i="2421"/>
  <c r="AV41" i="2421"/>
  <c r="AV49" i="2421"/>
  <c r="AV57" i="2421"/>
  <c r="AV65" i="2421"/>
  <c r="AV73" i="2421"/>
  <c r="AV81" i="2421"/>
  <c r="AV89" i="2421"/>
  <c r="AV97" i="2421"/>
  <c r="AV105" i="2421"/>
  <c r="AV113" i="2421"/>
  <c r="AV26" i="2421"/>
  <c r="AV34" i="2421"/>
  <c r="AV42" i="2421"/>
  <c r="AV50" i="2421"/>
  <c r="AV58" i="2421"/>
  <c r="AV66" i="2421"/>
  <c r="AV74" i="2421"/>
  <c r="AV82" i="2421"/>
  <c r="AV90" i="2421"/>
  <c r="AV98" i="2421"/>
  <c r="AV106" i="2421"/>
  <c r="AV19"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23" i="2421"/>
  <c r="AV31" i="2421"/>
  <c r="AV39" i="2421"/>
  <c r="AV47" i="2421"/>
  <c r="AV55" i="2421"/>
  <c r="AV63" i="2421"/>
  <c r="AV71" i="2421"/>
  <c r="AV79" i="2421"/>
  <c r="AV87" i="2421"/>
  <c r="AV95" i="2421"/>
  <c r="AV103" i="2421"/>
  <c r="AV111" i="2421"/>
  <c r="AV24" i="2421"/>
  <c r="AV32" i="2421"/>
  <c r="AV40" i="2421"/>
  <c r="AV48" i="2421"/>
  <c r="AV56" i="2421"/>
  <c r="AV64" i="2421"/>
  <c r="AV72" i="2421"/>
  <c r="AV80" i="2421"/>
  <c r="AV88" i="2421"/>
  <c r="AV96" i="2421"/>
  <c r="AV104" i="2421"/>
  <c r="AV112" i="2421"/>
  <c r="AV18" i="2421"/>
  <c r="AV17" i="2421"/>
  <c r="AV16" i="2421"/>
  <c r="AU16" i="2421"/>
  <c r="AU24" i="2421"/>
  <c r="AU32" i="2421"/>
  <c r="AU40" i="2421"/>
  <c r="AU48" i="2421"/>
  <c r="AU56" i="2421"/>
  <c r="AU64" i="2421"/>
  <c r="AU72" i="2421"/>
  <c r="AU80" i="2421"/>
  <c r="AU88" i="2421"/>
  <c r="AU96" i="2421"/>
  <c r="AU104" i="2421"/>
  <c r="AU112" i="2421"/>
  <c r="AU17" i="2421"/>
  <c r="AU25" i="2421"/>
  <c r="AU33" i="2421"/>
  <c r="AU41" i="2421"/>
  <c r="AU49" i="2421"/>
  <c r="AU57" i="2421"/>
  <c r="AU65" i="2421"/>
  <c r="AU73" i="2421"/>
  <c r="AU81" i="2421"/>
  <c r="AU89" i="2421"/>
  <c r="AU97" i="2421"/>
  <c r="AU105" i="2421"/>
  <c r="AU113" i="2421"/>
  <c r="AU18" i="2421"/>
  <c r="AU26" i="2421"/>
  <c r="AU34" i="2421"/>
  <c r="AU42" i="2421"/>
  <c r="AU50" i="2421"/>
  <c r="AU58" i="2421"/>
  <c r="AU66" i="2421"/>
  <c r="AU74" i="2421"/>
  <c r="AU82" i="2421"/>
  <c r="AU90" i="2421"/>
  <c r="AU98" i="2421"/>
  <c r="AU106" i="2421"/>
  <c r="AU19" i="2421"/>
  <c r="AU27" i="2421"/>
  <c r="AU35" i="2421"/>
  <c r="AU43" i="2421"/>
  <c r="AU51" i="2421"/>
  <c r="AU59" i="2421"/>
  <c r="AU67" i="2421"/>
  <c r="AU75" i="2421"/>
  <c r="AU83" i="2421"/>
  <c r="AU91" i="2421"/>
  <c r="AU99" i="2421"/>
  <c r="AU107" i="2421"/>
  <c r="AU20" i="2421"/>
  <c r="AU28" i="2421"/>
  <c r="AU36" i="2421"/>
  <c r="AU44" i="2421"/>
  <c r="AU52" i="2421"/>
  <c r="AU60" i="2421"/>
  <c r="AU68" i="2421"/>
  <c r="AU76" i="2421"/>
  <c r="AU84" i="2421"/>
  <c r="AU92" i="2421"/>
  <c r="AU100" i="2421"/>
  <c r="AU108" i="2421"/>
  <c r="AU21" i="2421"/>
  <c r="AU29" i="2421"/>
  <c r="AU37" i="2421"/>
  <c r="AU45" i="2421"/>
  <c r="AU53" i="2421"/>
  <c r="AU61" i="2421"/>
  <c r="AU69" i="2421"/>
  <c r="AU77" i="2421"/>
  <c r="AU85" i="2421"/>
  <c r="AU93" i="2421"/>
  <c r="AU101" i="2421"/>
  <c r="AU109" i="2421"/>
  <c r="AU22" i="2421"/>
  <c r="AU30" i="2421"/>
  <c r="AU38" i="2421"/>
  <c r="AU46" i="2421"/>
  <c r="AU54" i="2421"/>
  <c r="AU62" i="2421"/>
  <c r="AU70" i="2421"/>
  <c r="AU78" i="2421"/>
  <c r="AU86" i="2421"/>
  <c r="AU94" i="2421"/>
  <c r="AU102" i="2421"/>
  <c r="AU110" i="2421"/>
  <c r="AU15" i="2421"/>
  <c r="AU23" i="2421"/>
  <c r="AU31" i="2421"/>
  <c r="AU39" i="2421"/>
  <c r="AU47" i="2421"/>
  <c r="AU55" i="2421"/>
  <c r="AU63" i="2421"/>
  <c r="AU71" i="2421"/>
  <c r="AU79" i="2421"/>
  <c r="AU87" i="2421"/>
  <c r="AU95" i="2421"/>
  <c r="AU103" i="2421"/>
  <c r="AU111" i="2421"/>
  <c r="AW32" i="2421"/>
  <c r="AW48" i="2421"/>
  <c r="AW64" i="2421"/>
  <c r="AW80" i="2421"/>
  <c r="AW96" i="2421"/>
  <c r="AW112" i="2421"/>
  <c r="AW43" i="2421"/>
  <c r="AW75" i="2421"/>
  <c r="AW99" i="2421"/>
  <c r="AW42" i="2421"/>
  <c r="AW78" i="2421"/>
  <c r="AW29" i="2421"/>
  <c r="AW61" i="2421"/>
  <c r="AW93" i="2421"/>
  <c r="AW31" i="2421"/>
  <c r="AW63" i="2421"/>
  <c r="AW107" i="2421"/>
  <c r="AW50" i="2421"/>
  <c r="AW74" i="2421"/>
  <c r="AW102" i="2421"/>
  <c r="AW41" i="2421"/>
  <c r="AW73" i="2421"/>
  <c r="AW105" i="2421"/>
  <c r="AW92" i="2421"/>
  <c r="AW67" i="2421"/>
  <c r="AW21" i="2421"/>
  <c r="AW55" i="2421"/>
  <c r="AW70" i="2421"/>
  <c r="AW97" i="2421"/>
  <c r="AW20" i="2421"/>
  <c r="AW36" i="2421"/>
  <c r="AW52" i="2421"/>
  <c r="AW68" i="2421"/>
  <c r="AW84" i="2421"/>
  <c r="AW100" i="2421"/>
  <c r="AW19" i="2421"/>
  <c r="AW51" i="2421"/>
  <c r="AW79" i="2421"/>
  <c r="AW103" i="2421"/>
  <c r="AW46" i="2421"/>
  <c r="AW86" i="2421"/>
  <c r="AW37" i="2421"/>
  <c r="AW69" i="2421"/>
  <c r="AW101" i="2421"/>
  <c r="AW39" i="2421"/>
  <c r="AW71" i="2421"/>
  <c r="AW111" i="2421"/>
  <c r="AW54" i="2421"/>
  <c r="AW82" i="2421"/>
  <c r="AW110" i="2421"/>
  <c r="AW49" i="2421"/>
  <c r="AW81" i="2421"/>
  <c r="AW113" i="2421"/>
  <c r="AW28" i="2421"/>
  <c r="AW60" i="2421"/>
  <c r="AW108" i="2421"/>
  <c r="AW91" i="2421"/>
  <c r="AW66" i="2421"/>
  <c r="AW85" i="2421"/>
  <c r="AW95" i="2421"/>
  <c r="AW98" i="2421"/>
  <c r="AW65" i="2421"/>
  <c r="AW24" i="2421"/>
  <c r="AW40" i="2421"/>
  <c r="AW56" i="2421"/>
  <c r="AW72" i="2421"/>
  <c r="AW88" i="2421"/>
  <c r="AW104" i="2421"/>
  <c r="AW27" i="2421"/>
  <c r="AW59" i="2421"/>
  <c r="AW87" i="2421"/>
  <c r="AW34" i="2421"/>
  <c r="AW62" i="2421"/>
  <c r="AW94" i="2421"/>
  <c r="AW45" i="2421"/>
  <c r="AW77" i="2421"/>
  <c r="AW109" i="2421"/>
  <c r="AW47" i="2421"/>
  <c r="AW83" i="2421"/>
  <c r="AW22" i="2421"/>
  <c r="AW58" i="2421"/>
  <c r="AW90" i="2421"/>
  <c r="AW25" i="2421"/>
  <c r="AW57" i="2421"/>
  <c r="AW89" i="2421"/>
  <c r="AW30" i="2421"/>
  <c r="AW44" i="2421"/>
  <c r="AW76" i="2421"/>
  <c r="AW35" i="2421"/>
  <c r="AW38" i="2421"/>
  <c r="AW53" i="2421"/>
  <c r="AW23" i="2421"/>
  <c r="AW26" i="2421"/>
  <c r="AW33" i="2421"/>
  <c r="AW106" i="2421"/>
  <c r="AW16" i="2421"/>
  <c r="AW18" i="2421"/>
  <c r="AW17" i="2421"/>
  <c r="AW15" i="2421"/>
  <c r="EM172" i="2421"/>
  <c r="EM154" i="2421"/>
  <c r="EM136" i="2421"/>
  <c r="EM163" i="2421"/>
  <c r="EL186" i="2421"/>
  <c r="EL178" i="2421"/>
  <c r="EL170" i="2421"/>
  <c r="EL162" i="2421"/>
  <c r="EL154" i="2421"/>
  <c r="EL146" i="2421"/>
  <c r="EL138" i="2421"/>
  <c r="EM167" i="2421"/>
  <c r="EM185" i="2421"/>
  <c r="EM153" i="2421"/>
  <c r="EL185" i="2421"/>
  <c r="EL177" i="2421"/>
  <c r="EL169" i="2421"/>
  <c r="EL161" i="2421"/>
  <c r="EL153" i="2421"/>
  <c r="EL145" i="2421"/>
  <c r="EL137" i="2421"/>
  <c r="EM174" i="2421"/>
  <c r="EM160" i="2421"/>
  <c r="EM146" i="2421"/>
  <c r="EM173" i="2421"/>
  <c r="EM139" i="2421"/>
  <c r="EM184" i="2421"/>
  <c r="EM168" i="2421"/>
  <c r="EM150" i="2421"/>
  <c r="EM187" i="2421"/>
  <c r="EM155" i="2421"/>
  <c r="EL184" i="2421"/>
  <c r="EL176" i="2421"/>
  <c r="EL168" i="2421"/>
  <c r="EL160" i="2421"/>
  <c r="EL152" i="2421"/>
  <c r="EL144" i="2421"/>
  <c r="EL136" i="2421"/>
  <c r="EM159" i="2421"/>
  <c r="EM177" i="2421"/>
  <c r="EM145" i="2421"/>
  <c r="EL183" i="2421"/>
  <c r="EL175" i="2421"/>
  <c r="EL167" i="2421"/>
  <c r="EL159" i="2421"/>
  <c r="EL151" i="2421"/>
  <c r="EL143" i="2421"/>
  <c r="EM186" i="2421"/>
  <c r="EM170" i="2421"/>
  <c r="EM156" i="2421"/>
  <c r="EM142" i="2421"/>
  <c r="EM165" i="2421"/>
  <c r="EM180" i="2421"/>
  <c r="EM164" i="2421"/>
  <c r="EM144" i="2421"/>
  <c r="EM179" i="2421"/>
  <c r="EM149" i="2421"/>
  <c r="EL182" i="2421"/>
  <c r="EL174" i="2421"/>
  <c r="EL166" i="2421"/>
  <c r="EL158" i="2421"/>
  <c r="EL150" i="2421"/>
  <c r="EL142" i="2421"/>
  <c r="EM183" i="2421"/>
  <c r="EM151" i="2421"/>
  <c r="EM169" i="2421"/>
  <c r="EM137" i="2421"/>
  <c r="EL181" i="2421"/>
  <c r="EL173" i="2421"/>
  <c r="EL165" i="2421"/>
  <c r="EL157" i="2421"/>
  <c r="EL149" i="2421"/>
  <c r="EL141" i="2421"/>
  <c r="EM182" i="2421"/>
  <c r="EM166" i="2421"/>
  <c r="EM152" i="2421"/>
  <c r="EM138" i="2421"/>
  <c r="EM157" i="2421"/>
  <c r="EM176" i="2421"/>
  <c r="EM158" i="2421"/>
  <c r="EM140" i="2421"/>
  <c r="EM171" i="2421"/>
  <c r="EM143" i="2421"/>
  <c r="EL180" i="2421"/>
  <c r="EL172" i="2421"/>
  <c r="EL164" i="2421"/>
  <c r="EL156" i="2421"/>
  <c r="EL148" i="2421"/>
  <c r="EL140" i="2421"/>
  <c r="EM175" i="2421"/>
  <c r="EM141" i="2421"/>
  <c r="EM161" i="2421"/>
  <c r="EL187" i="2421"/>
  <c r="EL179" i="2421"/>
  <c r="EL171" i="2421"/>
  <c r="EL163" i="2421"/>
  <c r="EL155" i="2421"/>
  <c r="EL147" i="2421"/>
  <c r="EL139" i="2421"/>
  <c r="EM178" i="2421"/>
  <c r="EM162" i="2421"/>
  <c r="EM148" i="2421"/>
  <c r="EM181" i="2421"/>
  <c r="EM147" i="2421"/>
  <c r="AL140" i="2421"/>
  <c r="AL172" i="2421"/>
  <c r="AK159" i="2421"/>
  <c r="AL149" i="2421"/>
  <c r="AK136" i="2421"/>
  <c r="AK184" i="2421"/>
  <c r="AL181" i="2421"/>
  <c r="AK182" i="2421"/>
  <c r="AL166" i="2421"/>
  <c r="AK145" i="2421"/>
  <c r="AK177" i="2421"/>
  <c r="AL151" i="2421"/>
  <c r="AL183" i="2421"/>
  <c r="AK162" i="2421"/>
  <c r="AL147" i="2421"/>
  <c r="AL152" i="2421"/>
  <c r="AL184" i="2421"/>
  <c r="AK163" i="2421"/>
  <c r="AL187" i="2421"/>
  <c r="AL161" i="2421"/>
  <c r="AK140" i="2421"/>
  <c r="AK172" i="2421"/>
  <c r="AL138" i="2421"/>
  <c r="AL170" i="2421"/>
  <c r="AK157" i="2421"/>
  <c r="AL179" i="2421"/>
  <c r="AL148" i="2421"/>
  <c r="AL180" i="2421"/>
  <c r="AK167" i="2421"/>
  <c r="AL157" i="2421"/>
  <c r="AK144" i="2421"/>
  <c r="AL139" i="2421"/>
  <c r="AK152" i="2421"/>
  <c r="AL142" i="2421"/>
  <c r="AL174" i="2421"/>
  <c r="AK153" i="2421"/>
  <c r="AK185" i="2421"/>
  <c r="AL159" i="2421"/>
  <c r="AK138" i="2421"/>
  <c r="AK170" i="2421"/>
  <c r="AK150" i="2421"/>
  <c r="AL160" i="2421"/>
  <c r="AK139" i="2421"/>
  <c r="AK171" i="2421"/>
  <c r="AL137" i="2421"/>
  <c r="AL169" i="2421"/>
  <c r="AK148" i="2421"/>
  <c r="AK180" i="2421"/>
  <c r="AL146" i="2421"/>
  <c r="AL178" i="2421"/>
  <c r="AK165" i="2421"/>
  <c r="AK166" i="2421"/>
  <c r="AL156" i="2421"/>
  <c r="AK143" i="2421"/>
  <c r="AK175" i="2421"/>
  <c r="AL165" i="2421"/>
  <c r="AK160" i="2421"/>
  <c r="AK142" i="2421"/>
  <c r="AK176" i="2421"/>
  <c r="AL150" i="2421"/>
  <c r="AL182" i="2421"/>
  <c r="AK161" i="2421"/>
  <c r="AL155" i="2421"/>
  <c r="AL167" i="2421"/>
  <c r="AK146" i="2421"/>
  <c r="AK178" i="2421"/>
  <c r="AL136" i="2421"/>
  <c r="AL168" i="2421"/>
  <c r="AK147" i="2421"/>
  <c r="AK179" i="2421"/>
  <c r="AL145" i="2421"/>
  <c r="AL177" i="2421"/>
  <c r="AK156" i="2421"/>
  <c r="AL163" i="2421"/>
  <c r="AL154" i="2421"/>
  <c r="AL186" i="2421"/>
  <c r="AK173" i="2421"/>
  <c r="AL164" i="2421"/>
  <c r="AK151" i="2421"/>
  <c r="AK183" i="2421"/>
  <c r="AL173" i="2421"/>
  <c r="AK168" i="2421"/>
  <c r="AL141" i="2421"/>
  <c r="AL171" i="2421"/>
  <c r="AL158" i="2421"/>
  <c r="AK137" i="2421"/>
  <c r="AK169" i="2421"/>
  <c r="AL143" i="2421"/>
  <c r="AL175" i="2421"/>
  <c r="AK154" i="2421"/>
  <c r="AK186" i="2421"/>
  <c r="AL144" i="2421"/>
  <c r="AL176" i="2421"/>
  <c r="AK155" i="2421"/>
  <c r="AK187" i="2421"/>
  <c r="AL153" i="2421"/>
  <c r="AL185" i="2421"/>
  <c r="AK164" i="2421"/>
  <c r="AK174" i="2421"/>
  <c r="AL162" i="2421"/>
  <c r="AK141" i="2421"/>
  <c r="AK181" i="2421"/>
  <c r="OW180" i="2421"/>
  <c r="OW164" i="2421"/>
  <c r="OW148" i="2421"/>
  <c r="OV184" i="2421"/>
  <c r="OV176" i="2421"/>
  <c r="OV168" i="2421"/>
  <c r="OV160" i="2421"/>
  <c r="OV152" i="2421"/>
  <c r="OV144" i="2421"/>
  <c r="OV136" i="2421"/>
  <c r="OW173" i="2421"/>
  <c r="OW159" i="2421"/>
  <c r="OW143" i="2421"/>
  <c r="OW179" i="2421"/>
  <c r="OW163" i="2421"/>
  <c r="OW145" i="2421"/>
  <c r="OV185" i="2421"/>
  <c r="OV177" i="2421"/>
  <c r="OV169" i="2421"/>
  <c r="OV161" i="2421"/>
  <c r="OV153" i="2421"/>
  <c r="OV145" i="2421"/>
  <c r="OV137" i="2421"/>
  <c r="OW174" i="2421"/>
  <c r="OW158" i="2421"/>
  <c r="OW142" i="2421"/>
  <c r="OW176" i="2421"/>
  <c r="OW160" i="2421"/>
  <c r="OW144" i="2421"/>
  <c r="OV182" i="2421"/>
  <c r="OV174" i="2421"/>
  <c r="OV166" i="2421"/>
  <c r="OV158" i="2421"/>
  <c r="OV150" i="2421"/>
  <c r="OV142" i="2421"/>
  <c r="OW185" i="2421"/>
  <c r="OW169" i="2421"/>
  <c r="OW155" i="2421"/>
  <c r="OW139" i="2421"/>
  <c r="OW175" i="2421"/>
  <c r="OW157" i="2421"/>
  <c r="OW141" i="2421"/>
  <c r="OV183" i="2421"/>
  <c r="OV175" i="2421"/>
  <c r="OV167" i="2421"/>
  <c r="OV159" i="2421"/>
  <c r="OV151" i="2421"/>
  <c r="OV143" i="2421"/>
  <c r="OW186" i="2421"/>
  <c r="OW170" i="2421"/>
  <c r="OW154" i="2421"/>
  <c r="OW138" i="2421"/>
  <c r="OW172" i="2421"/>
  <c r="OW156" i="2421"/>
  <c r="OW140" i="2421"/>
  <c r="OV180" i="2421"/>
  <c r="OV172" i="2421"/>
  <c r="OV164" i="2421"/>
  <c r="OV156" i="2421"/>
  <c r="OV148" i="2421"/>
  <c r="OV140" i="2421"/>
  <c r="OW181" i="2421"/>
  <c r="OW165" i="2421"/>
  <c r="OW151" i="2421"/>
  <c r="OW187" i="2421"/>
  <c r="OW171" i="2421"/>
  <c r="OW153" i="2421"/>
  <c r="OW137" i="2421"/>
  <c r="OV181" i="2421"/>
  <c r="OV173" i="2421"/>
  <c r="OV165" i="2421"/>
  <c r="OV157" i="2421"/>
  <c r="OV149" i="2421"/>
  <c r="OV141" i="2421"/>
  <c r="OW182" i="2421"/>
  <c r="OW166" i="2421"/>
  <c r="OW150" i="2421"/>
  <c r="OW136" i="2421"/>
  <c r="OW184" i="2421"/>
  <c r="OW168" i="2421"/>
  <c r="OW152" i="2421"/>
  <c r="OV186" i="2421"/>
  <c r="OV178" i="2421"/>
  <c r="OV170" i="2421"/>
  <c r="OV162" i="2421"/>
  <c r="OV154" i="2421"/>
  <c r="OV146" i="2421"/>
  <c r="OV138" i="2421"/>
  <c r="OW177" i="2421"/>
  <c r="OW161" i="2421"/>
  <c r="OW147" i="2421"/>
  <c r="OW183" i="2421"/>
  <c r="OW167" i="2421"/>
  <c r="OW149" i="2421"/>
  <c r="OV187" i="2421"/>
  <c r="OV179" i="2421"/>
  <c r="OV171" i="2421"/>
  <c r="OV163" i="2421"/>
  <c r="OV155" i="2421"/>
  <c r="OV147" i="2421"/>
  <c r="OV139" i="2421"/>
  <c r="OW178" i="2421"/>
  <c r="OW162" i="2421"/>
  <c r="OW146" i="2421"/>
  <c r="ND180" i="2421"/>
  <c r="ND158" i="2421"/>
  <c r="ND142" i="2421"/>
  <c r="ND171" i="2421"/>
  <c r="ND139" i="2421"/>
  <c r="NC180" i="2421"/>
  <c r="NC172" i="2421"/>
  <c r="NC164" i="2421"/>
  <c r="NC156" i="2421"/>
  <c r="NC148" i="2421"/>
  <c r="NC140" i="2421"/>
  <c r="ND175" i="2421"/>
  <c r="ND143" i="2421"/>
  <c r="ND161" i="2421"/>
  <c r="NC187" i="2421"/>
  <c r="NC179" i="2421"/>
  <c r="NC171" i="2421"/>
  <c r="NC163" i="2421"/>
  <c r="NC155" i="2421"/>
  <c r="NC147" i="2421"/>
  <c r="NC139" i="2421"/>
  <c r="ND178" i="2421"/>
  <c r="ND166" i="2421"/>
  <c r="ND152" i="2421"/>
  <c r="ND138" i="2421"/>
  <c r="ND159" i="2421"/>
  <c r="BP174" i="2421"/>
  <c r="BP154" i="2421"/>
  <c r="BP136" i="2421"/>
  <c r="BP155" i="2421"/>
  <c r="BO184" i="2421"/>
  <c r="BO176" i="2421"/>
  <c r="BO168" i="2421"/>
  <c r="BO160" i="2421"/>
  <c r="BO152" i="2421"/>
  <c r="BO144" i="2421"/>
  <c r="BO136" i="2421"/>
  <c r="BP165" i="2421"/>
  <c r="BP179" i="2421"/>
  <c r="BP143" i="2421"/>
  <c r="BO181" i="2421"/>
  <c r="BO173" i="2421"/>
  <c r="BO165" i="2421"/>
  <c r="BO157" i="2421"/>
  <c r="BO149" i="2421"/>
  <c r="BO141" i="2421"/>
  <c r="BP182" i="2421"/>
  <c r="BP170" i="2421"/>
  <c r="BP156" i="2421"/>
  <c r="BP142" i="2421"/>
  <c r="BP175" i="2421"/>
  <c r="BP147" i="2421"/>
  <c r="AZ182" i="2421"/>
  <c r="BA165" i="2421"/>
  <c r="BA149" i="2421"/>
  <c r="BA180" i="2421"/>
  <c r="BA181" i="2421"/>
  <c r="AZ165" i="2421"/>
  <c r="AZ149" i="2421"/>
  <c r="BA184" i="2421"/>
  <c r="BA172" i="2421"/>
  <c r="BA156" i="2421"/>
  <c r="BA140" i="2421"/>
  <c r="AZ184" i="2421"/>
  <c r="BA167" i="2421"/>
  <c r="BA151" i="2421"/>
  <c r="AZ164" i="2421"/>
  <c r="BA179" i="2421"/>
  <c r="AZ163" i="2421"/>
  <c r="AZ147" i="2421"/>
  <c r="AZ187" i="2421"/>
  <c r="BA170" i="2421"/>
  <c r="BA154" i="2421"/>
  <c r="BA138" i="2421"/>
  <c r="BA182" i="2421"/>
  <c r="AZ166" i="2421"/>
  <c r="AZ150" i="2421"/>
  <c r="AZ172" i="2421"/>
  <c r="ND174" i="2421"/>
  <c r="ND154" i="2421"/>
  <c r="ND136" i="2421"/>
  <c r="ND163" i="2421"/>
  <c r="NC186" i="2421"/>
  <c r="NC178" i="2421"/>
  <c r="NC170" i="2421"/>
  <c r="NC162" i="2421"/>
  <c r="NC154" i="2421"/>
  <c r="NC146" i="2421"/>
  <c r="NC138" i="2421"/>
  <c r="ND165" i="2421"/>
  <c r="ND185" i="2421"/>
  <c r="ND153" i="2421"/>
  <c r="NC185" i="2421"/>
  <c r="NC177" i="2421"/>
  <c r="NC169" i="2421"/>
  <c r="NC161" i="2421"/>
  <c r="NC153" i="2421"/>
  <c r="NC145" i="2421"/>
  <c r="NC137" i="2421"/>
  <c r="ND176" i="2421"/>
  <c r="ND162" i="2421"/>
  <c r="ND148" i="2421"/>
  <c r="ND181" i="2421"/>
  <c r="ND151" i="2421"/>
  <c r="BP168" i="2421"/>
  <c r="BP150" i="2421"/>
  <c r="BP181" i="2421"/>
  <c r="BP145" i="2421"/>
  <c r="BO182" i="2421"/>
  <c r="BO174" i="2421"/>
  <c r="BO166" i="2421"/>
  <c r="BO158" i="2421"/>
  <c r="BO150" i="2421"/>
  <c r="BO142" i="2421"/>
  <c r="BP185" i="2421"/>
  <c r="BP157" i="2421"/>
  <c r="BP169" i="2421"/>
  <c r="BO187" i="2421"/>
  <c r="BO179" i="2421"/>
  <c r="BO171" i="2421"/>
  <c r="BO163" i="2421"/>
  <c r="BO155" i="2421"/>
  <c r="BO147" i="2421"/>
  <c r="BO139" i="2421"/>
  <c r="BP180" i="2421"/>
  <c r="BP166" i="2421"/>
  <c r="BP152" i="2421"/>
  <c r="BP138" i="2421"/>
  <c r="BP167" i="2421"/>
  <c r="BP139" i="2421"/>
  <c r="BA177" i="2421"/>
  <c r="BA161" i="2421"/>
  <c r="BA145" i="2421"/>
  <c r="AZ148" i="2421"/>
  <c r="AZ177" i="2421"/>
  <c r="AZ161" i="2421"/>
  <c r="AZ145" i="2421"/>
  <c r="AZ185" i="2421"/>
  <c r="BA168" i="2421"/>
  <c r="BA152" i="2421"/>
  <c r="BA136" i="2421"/>
  <c r="AZ180" i="2421"/>
  <c r="BA163" i="2421"/>
  <c r="BA147" i="2421"/>
  <c r="AZ144" i="2421"/>
  <c r="AZ175" i="2421"/>
  <c r="AZ159" i="2421"/>
  <c r="AZ143" i="2421"/>
  <c r="AZ183" i="2421"/>
  <c r="BA166" i="2421"/>
  <c r="BA150" i="2421"/>
  <c r="AZ176" i="2421"/>
  <c r="AZ178" i="2421"/>
  <c r="AZ162" i="2421"/>
  <c r="AZ146" i="2421"/>
  <c r="AZ156" i="2421"/>
  <c r="ND164" i="2421"/>
  <c r="ND179" i="2421"/>
  <c r="NC182" i="2421"/>
  <c r="NC158" i="2421"/>
  <c r="NC150" i="2421"/>
  <c r="ND183" i="2421"/>
  <c r="ND169" i="2421"/>
  <c r="NC181" i="2421"/>
  <c r="NC165" i="2421"/>
  <c r="NC157" i="2421"/>
  <c r="NC149" i="2421"/>
  <c r="ND182" i="2421"/>
  <c r="ND156" i="2421"/>
  <c r="ND167" i="2421"/>
  <c r="BP178" i="2421"/>
  <c r="BP158" i="2421"/>
  <c r="BP140" i="2421"/>
  <c r="BP163" i="2421"/>
  <c r="BO186" i="2421"/>
  <c r="BO178" i="2421"/>
  <c r="BO170" i="2421"/>
  <c r="BO162" i="2421"/>
  <c r="BO154" i="2421"/>
  <c r="BO138" i="2421"/>
  <c r="BP171" i="2421"/>
  <c r="BP151" i="2421"/>
  <c r="BO175" i="2421"/>
  <c r="BO159" i="2421"/>
  <c r="BO143" i="2421"/>
  <c r="BP172" i="2421"/>
  <c r="BP146" i="2421"/>
  <c r="BP183" i="2421"/>
  <c r="AZ186" i="2421"/>
  <c r="BA169" i="2421"/>
  <c r="BA153" i="2421"/>
  <c r="BA137" i="2421"/>
  <c r="BA185" i="2421"/>
  <c r="AZ169" i="2421"/>
  <c r="AZ153" i="2421"/>
  <c r="AZ137" i="2421"/>
  <c r="BA176" i="2421"/>
  <c r="BA160" i="2421"/>
  <c r="BA144" i="2421"/>
  <c r="BA178" i="2421"/>
  <c r="BA171" i="2421"/>
  <c r="BA155" i="2421"/>
  <c r="BA139" i="2421"/>
  <c r="BA183" i="2421"/>
  <c r="AZ167" i="2421"/>
  <c r="AZ151" i="2421"/>
  <c r="AZ160" i="2421"/>
  <c r="BA174" i="2421"/>
  <c r="BA158" i="2421"/>
  <c r="BA142" i="2421"/>
  <c r="BA186" i="2421"/>
  <c r="AZ170" i="2421"/>
  <c r="AZ154" i="2421"/>
  <c r="AZ138" i="2421"/>
  <c r="ND168" i="2421"/>
  <c r="ND150" i="2421"/>
  <c r="ND187" i="2421"/>
  <c r="ND155" i="2421"/>
  <c r="NC184" i="2421"/>
  <c r="NC176" i="2421"/>
  <c r="NC168" i="2421"/>
  <c r="NC160" i="2421"/>
  <c r="NC152" i="2421"/>
  <c r="NC144" i="2421"/>
  <c r="NC136" i="2421"/>
  <c r="ND157" i="2421"/>
  <c r="ND177" i="2421"/>
  <c r="ND145" i="2421"/>
  <c r="NC183" i="2421"/>
  <c r="NC175" i="2421"/>
  <c r="NC167" i="2421"/>
  <c r="NC159" i="2421"/>
  <c r="NC151" i="2421"/>
  <c r="NC143" i="2421"/>
  <c r="ND186" i="2421"/>
  <c r="ND172" i="2421"/>
  <c r="ND160" i="2421"/>
  <c r="ND144" i="2421"/>
  <c r="ND173" i="2421"/>
  <c r="ND141" i="2421"/>
  <c r="BP184" i="2421"/>
  <c r="BP162" i="2421"/>
  <c r="BP144" i="2421"/>
  <c r="BP173" i="2421"/>
  <c r="BP137" i="2421"/>
  <c r="BO180" i="2421"/>
  <c r="BO172" i="2421"/>
  <c r="BO164" i="2421"/>
  <c r="BO156" i="2421"/>
  <c r="BO148" i="2421"/>
  <c r="BO140" i="2421"/>
  <c r="BP177" i="2421"/>
  <c r="BP149" i="2421"/>
  <c r="BP161" i="2421"/>
  <c r="BO185" i="2421"/>
  <c r="BO177" i="2421"/>
  <c r="BO169" i="2421"/>
  <c r="BO161" i="2421"/>
  <c r="BO153" i="2421"/>
  <c r="BO145" i="2421"/>
  <c r="BO137" i="2421"/>
  <c r="BP176" i="2421"/>
  <c r="BP164" i="2421"/>
  <c r="BP148" i="2421"/>
  <c r="BP187" i="2421"/>
  <c r="BP159" i="2421"/>
  <c r="BA173" i="2421"/>
  <c r="BA157" i="2421"/>
  <c r="BA141" i="2421"/>
  <c r="AZ136" i="2421"/>
  <c r="AZ173" i="2421"/>
  <c r="AZ157" i="2421"/>
  <c r="AZ141" i="2421"/>
  <c r="AZ181" i="2421"/>
  <c r="BA164" i="2421"/>
  <c r="BA148" i="2421"/>
  <c r="AZ168" i="2421"/>
  <c r="BA175" i="2421"/>
  <c r="BA159" i="2421"/>
  <c r="BA143" i="2421"/>
  <c r="BA187" i="2421"/>
  <c r="AZ171" i="2421"/>
  <c r="AZ155" i="2421"/>
  <c r="AZ139" i="2421"/>
  <c r="AZ179" i="2421"/>
  <c r="BA162" i="2421"/>
  <c r="BA146" i="2421"/>
  <c r="AZ152" i="2421"/>
  <c r="AZ174" i="2421"/>
  <c r="AZ158" i="2421"/>
  <c r="AZ142" i="2421"/>
  <c r="AZ140" i="2421"/>
  <c r="ND184" i="2421"/>
  <c r="ND146" i="2421"/>
  <c r="ND147" i="2421"/>
  <c r="NC174" i="2421"/>
  <c r="NC166" i="2421"/>
  <c r="NC142" i="2421"/>
  <c r="ND149" i="2421"/>
  <c r="ND137" i="2421"/>
  <c r="NC173" i="2421"/>
  <c r="NC141" i="2421"/>
  <c r="ND170" i="2421"/>
  <c r="ND140" i="2421"/>
  <c r="BO146" i="2421"/>
  <c r="BP141" i="2421"/>
  <c r="BO183" i="2421"/>
  <c r="BO167" i="2421"/>
  <c r="BO151" i="2421"/>
  <c r="BP186" i="2421"/>
  <c r="BP160" i="2421"/>
  <c r="BP153" i="2421"/>
  <c r="LK184" i="2421"/>
  <c r="LK170" i="2421"/>
  <c r="LK154" i="2421"/>
  <c r="LK136" i="2421"/>
  <c r="LK163" i="2421"/>
  <c r="LJ186" i="2421"/>
  <c r="LJ178" i="2421"/>
  <c r="LJ170" i="2421"/>
  <c r="LJ162" i="2421"/>
  <c r="LJ154" i="2421"/>
  <c r="LJ146" i="2421"/>
  <c r="LJ138" i="2421"/>
  <c r="LK167" i="2421"/>
  <c r="LK187" i="2421"/>
  <c r="LK153" i="2421"/>
  <c r="LJ185" i="2421"/>
  <c r="LJ177" i="2421"/>
  <c r="LJ169" i="2421"/>
  <c r="LJ161" i="2421"/>
  <c r="LJ153" i="2421"/>
  <c r="LJ145" i="2421"/>
  <c r="LJ137" i="2421"/>
  <c r="LK174" i="2421"/>
  <c r="LK156" i="2421"/>
  <c r="LK142" i="2421"/>
  <c r="LK165" i="2421"/>
  <c r="RE164" i="2421"/>
  <c r="RE136" i="2421"/>
  <c r="RD180" i="2421"/>
  <c r="RD172" i="2421"/>
  <c r="RD164" i="2421"/>
  <c r="RD156" i="2421"/>
  <c r="RD148" i="2421"/>
  <c r="RD140" i="2421"/>
  <c r="RE183" i="2421"/>
  <c r="RE171" i="2421"/>
  <c r="RE157" i="2421"/>
  <c r="RE143" i="2421"/>
  <c r="RE175" i="2421"/>
  <c r="RE153" i="2421"/>
  <c r="RE137" i="2421"/>
  <c r="RD181" i="2421"/>
  <c r="RD173" i="2421"/>
  <c r="RD165" i="2421"/>
  <c r="RD157" i="2421"/>
  <c r="RD149" i="2421"/>
  <c r="RD141" i="2421"/>
  <c r="RE182" i="2421"/>
  <c r="RE172" i="2421"/>
  <c r="RE160" i="2421"/>
  <c r="RE148" i="2421"/>
  <c r="RE138" i="2421"/>
  <c r="KG176" i="2421"/>
  <c r="KG162" i="2421"/>
  <c r="KG146" i="2421"/>
  <c r="KG173" i="2421"/>
  <c r="KG151" i="2421"/>
  <c r="KF184" i="2421"/>
  <c r="KF176" i="2421"/>
  <c r="KF168" i="2421"/>
  <c r="KF160" i="2421"/>
  <c r="KF152" i="2421"/>
  <c r="KF144" i="2421"/>
  <c r="KF136" i="2421"/>
  <c r="KG159" i="2421"/>
  <c r="KG179" i="2421"/>
  <c r="KG143" i="2421"/>
  <c r="KF181" i="2421"/>
  <c r="KF173" i="2421"/>
  <c r="KF165" i="2421"/>
  <c r="KF157" i="2421"/>
  <c r="KF149" i="2421"/>
  <c r="KF141" i="2421"/>
  <c r="KG182" i="2421"/>
  <c r="KG166" i="2421"/>
  <c r="KG148" i="2421"/>
  <c r="KG185" i="2421"/>
  <c r="KG147" i="2421"/>
  <c r="HY178" i="2421"/>
  <c r="HY158" i="2421"/>
  <c r="HY140" i="2421"/>
  <c r="HY175" i="2421"/>
  <c r="HY153" i="2421"/>
  <c r="HX184" i="2421"/>
  <c r="HX176" i="2421"/>
  <c r="HX168" i="2421"/>
  <c r="HX160" i="2421"/>
  <c r="HX152" i="2421"/>
  <c r="HX144" i="2421"/>
  <c r="HX136" i="2421"/>
  <c r="HY151" i="2421"/>
  <c r="HY171" i="2421"/>
  <c r="HY137" i="2421"/>
  <c r="HX181" i="2421"/>
  <c r="HX173" i="2421"/>
  <c r="HX165" i="2421"/>
  <c r="HX157" i="2421"/>
  <c r="HX149" i="2421"/>
  <c r="HX141" i="2421"/>
  <c r="HY182" i="2421"/>
  <c r="HY168" i="2421"/>
  <c r="HY152" i="2421"/>
  <c r="HY136" i="2421"/>
  <c r="HY149" i="2421"/>
  <c r="FQ176" i="2421"/>
  <c r="FQ160" i="2421"/>
  <c r="FQ144" i="2421"/>
  <c r="FQ179" i="2421"/>
  <c r="FQ161" i="2421"/>
  <c r="FP186" i="2421"/>
  <c r="FP178" i="2421"/>
  <c r="FP170" i="2421"/>
  <c r="FP162" i="2421"/>
  <c r="FP154" i="2421"/>
  <c r="FP146" i="2421"/>
  <c r="FP138" i="2421"/>
  <c r="FQ147" i="2421"/>
  <c r="FQ169" i="2421"/>
  <c r="FQ143" i="2421"/>
  <c r="FP183" i="2421"/>
  <c r="FP175" i="2421"/>
  <c r="FP167" i="2421"/>
  <c r="FP159" i="2421"/>
  <c r="FP151" i="2421"/>
  <c r="FP143" i="2421"/>
  <c r="FQ186" i="2421"/>
  <c r="FQ170" i="2421"/>
  <c r="FQ154" i="2421"/>
  <c r="FQ138" i="2421"/>
  <c r="FQ153" i="2421"/>
  <c r="CT176" i="2421"/>
  <c r="CT162" i="2421"/>
  <c r="CT148" i="2421"/>
  <c r="CT183" i="2421"/>
  <c r="CT157" i="2421"/>
  <c r="CS184" i="2421"/>
  <c r="CS176" i="2421"/>
  <c r="CS168" i="2421"/>
  <c r="CS160" i="2421"/>
  <c r="CS152" i="2421"/>
  <c r="CS144" i="2421"/>
  <c r="CS136" i="2421"/>
  <c r="CT161" i="2421"/>
  <c r="CT185" i="2421"/>
  <c r="CT149" i="2421"/>
  <c r="CS183" i="2421"/>
  <c r="CS175" i="2421"/>
  <c r="CS167" i="2421"/>
  <c r="CS159" i="2421"/>
  <c r="CS151" i="2421"/>
  <c r="CS143" i="2421"/>
  <c r="CT186" i="2421"/>
  <c r="CT170" i="2421"/>
  <c r="CT150" i="2421"/>
  <c r="CT181" i="2421"/>
  <c r="CT147" i="2421"/>
  <c r="PL176" i="2421"/>
  <c r="PL160" i="2421"/>
  <c r="PL140" i="2421"/>
  <c r="PK182" i="2421"/>
  <c r="PK174" i="2421"/>
  <c r="PK166" i="2421"/>
  <c r="PK158" i="2421"/>
  <c r="PK150" i="2421"/>
  <c r="PK142" i="2421"/>
  <c r="PL185" i="2421"/>
  <c r="PL171" i="2421"/>
  <c r="PL155" i="2421"/>
  <c r="PL141" i="2421"/>
  <c r="PL177" i="2421"/>
  <c r="PL161" i="2421"/>
  <c r="PL143" i="2421"/>
  <c r="PK183" i="2421"/>
  <c r="PK175" i="2421"/>
  <c r="PK167" i="2421"/>
  <c r="PK159" i="2421"/>
  <c r="PK151" i="2421"/>
  <c r="PK143" i="2421"/>
  <c r="PL184" i="2421"/>
  <c r="PL170" i="2421"/>
  <c r="PL156" i="2421"/>
  <c r="PL142" i="2421"/>
  <c r="QP174" i="2421"/>
  <c r="QP160" i="2421"/>
  <c r="QP144" i="2421"/>
  <c r="QO184" i="2421"/>
  <c r="QO176" i="2421"/>
  <c r="QO168" i="2421"/>
  <c r="QO160" i="2421"/>
  <c r="QO152" i="2421"/>
  <c r="QO144" i="2421"/>
  <c r="QO136" i="2421"/>
  <c r="QP177" i="2421"/>
  <c r="QP163" i="2421"/>
  <c r="QP147" i="2421"/>
  <c r="QP181" i="2421"/>
  <c r="QP161" i="2421"/>
  <c r="QP145" i="2421"/>
  <c r="QO185" i="2421"/>
  <c r="QO177" i="2421"/>
  <c r="QO169" i="2421"/>
  <c r="QO161" i="2421"/>
  <c r="QO153" i="2421"/>
  <c r="QO145" i="2421"/>
  <c r="QO137" i="2421"/>
  <c r="QP176" i="2421"/>
  <c r="QP158" i="2421"/>
  <c r="QP142" i="2421"/>
  <c r="JR174" i="2421"/>
  <c r="JR154" i="2421"/>
  <c r="JR138" i="2421"/>
  <c r="JR157" i="2421"/>
  <c r="JQ186" i="2421"/>
  <c r="JQ178" i="2421"/>
  <c r="JQ170" i="2421"/>
  <c r="JQ162" i="2421"/>
  <c r="JQ154" i="2421"/>
  <c r="JQ146" i="2421"/>
  <c r="JQ138" i="2421"/>
  <c r="JR167" i="2421"/>
  <c r="JR187" i="2421"/>
  <c r="JR155" i="2421"/>
  <c r="JQ185" i="2421"/>
  <c r="JQ177" i="2421"/>
  <c r="JQ169" i="2421"/>
  <c r="JQ161" i="2421"/>
  <c r="JQ153" i="2421"/>
  <c r="JQ145" i="2421"/>
  <c r="JQ137" i="2421"/>
  <c r="JR176" i="2421"/>
  <c r="JR162" i="2421"/>
  <c r="JR148" i="2421"/>
  <c r="JR185" i="2421"/>
  <c r="JR151" i="2421"/>
  <c r="HJ180" i="2421"/>
  <c r="HJ168" i="2421"/>
  <c r="HJ152" i="2421"/>
  <c r="HJ187" i="2421"/>
  <c r="HJ157" i="2421"/>
  <c r="HJ137" i="2421"/>
  <c r="HI180" i="2421"/>
  <c r="HI172" i="2421"/>
  <c r="HI164" i="2421"/>
  <c r="HI156" i="2421"/>
  <c r="HI148" i="2421"/>
  <c r="HI140" i="2421"/>
  <c r="HJ177" i="2421"/>
  <c r="HJ181" i="2421"/>
  <c r="HJ147" i="2421"/>
  <c r="HI183" i="2421"/>
  <c r="HI175" i="2421"/>
  <c r="HI167" i="2421"/>
  <c r="HI159" i="2421"/>
  <c r="HI151" i="2421"/>
  <c r="HI143" i="2421"/>
  <c r="HJ184" i="2421"/>
  <c r="HJ162" i="2421"/>
  <c r="HJ144" i="2421"/>
  <c r="HJ183" i="2421"/>
  <c r="HJ151" i="2421"/>
  <c r="FB172" i="2421"/>
  <c r="FB158" i="2421"/>
  <c r="FB144" i="2421"/>
  <c r="FB183" i="2421"/>
  <c r="FB151" i="2421"/>
  <c r="FA182" i="2421"/>
  <c r="FA174" i="2421"/>
  <c r="FA166" i="2421"/>
  <c r="FA158" i="2421"/>
  <c r="FA150" i="2421"/>
  <c r="FA142" i="2421"/>
  <c r="FB179" i="2421"/>
  <c r="FB147" i="2421"/>
  <c r="FB165" i="2421"/>
  <c r="FA187" i="2421"/>
  <c r="FA179" i="2421"/>
  <c r="FA171" i="2421"/>
  <c r="FA163" i="2421"/>
  <c r="FA155" i="2421"/>
  <c r="FA147" i="2421"/>
  <c r="FA139" i="2421"/>
  <c r="FB180" i="2421"/>
  <c r="FB166" i="2421"/>
  <c r="FB146" i="2421"/>
  <c r="FB177" i="2421"/>
  <c r="FB145" i="2421"/>
  <c r="CE178" i="2421"/>
  <c r="CE162" i="2421"/>
  <c r="CE146" i="2421"/>
  <c r="CE175" i="2421"/>
  <c r="CE139" i="2421"/>
  <c r="CD180" i="2421"/>
  <c r="CD172" i="2421"/>
  <c r="CD164" i="2421"/>
  <c r="CD156" i="2421"/>
  <c r="CD148" i="2421"/>
  <c r="CD140" i="2421"/>
  <c r="CE179" i="2421"/>
  <c r="CE149" i="2421"/>
  <c r="CE161" i="2421"/>
  <c r="CD187" i="2421"/>
  <c r="CD179" i="2421"/>
  <c r="CD171" i="2421"/>
  <c r="CD163" i="2421"/>
  <c r="CD155" i="2421"/>
  <c r="CD147" i="2421"/>
  <c r="CD139" i="2421"/>
  <c r="CE176" i="2421"/>
  <c r="CE160" i="2421"/>
  <c r="CE144" i="2421"/>
  <c r="CE177" i="2421"/>
  <c r="CE151" i="2421"/>
  <c r="MO172" i="2421"/>
  <c r="MO154" i="2421"/>
  <c r="MO140" i="2421"/>
  <c r="MO179" i="2421"/>
  <c r="MO153" i="2421"/>
  <c r="MN184" i="2421"/>
  <c r="MN176" i="2421"/>
  <c r="MN168" i="2421"/>
  <c r="MN160" i="2421"/>
  <c r="MN152" i="2421"/>
  <c r="MN144" i="2421"/>
  <c r="MN136" i="2421"/>
  <c r="MO151" i="2421"/>
  <c r="MO169" i="2421"/>
  <c r="MO139" i="2421"/>
  <c r="MN181" i="2421"/>
  <c r="MN173" i="2421"/>
  <c r="MN165" i="2421"/>
  <c r="MN157" i="2421"/>
  <c r="MN149" i="2421"/>
  <c r="MN141" i="2421"/>
  <c r="MO182" i="2421"/>
  <c r="MO166" i="2421"/>
  <c r="MO152" i="2421"/>
  <c r="MO175" i="2421"/>
  <c r="MO137" i="2421"/>
  <c r="OH172" i="2421"/>
  <c r="OH150" i="2421"/>
  <c r="OH143" i="2421"/>
  <c r="OG180" i="2421"/>
  <c r="OG172" i="2421"/>
  <c r="OG164" i="2421"/>
  <c r="OG156" i="2421"/>
  <c r="OG148" i="2421"/>
  <c r="OG140" i="2421"/>
  <c r="OH183" i="2421"/>
  <c r="OH169" i="2421"/>
  <c r="OH153" i="2421"/>
  <c r="OH185" i="2421"/>
  <c r="OH167" i="2421"/>
  <c r="OH151" i="2421"/>
  <c r="OG185" i="2421"/>
  <c r="OG177" i="2421"/>
  <c r="OG169" i="2421"/>
  <c r="OG161" i="2421"/>
  <c r="LK180" i="2421"/>
  <c r="LK166" i="2421"/>
  <c r="LK150" i="2421"/>
  <c r="LK185" i="2421"/>
  <c r="LK155" i="2421"/>
  <c r="LJ184" i="2421"/>
  <c r="LJ176" i="2421"/>
  <c r="LJ168" i="2421"/>
  <c r="LJ160" i="2421"/>
  <c r="LJ152" i="2421"/>
  <c r="LJ144" i="2421"/>
  <c r="LJ136" i="2421"/>
  <c r="LK159" i="2421"/>
  <c r="LK177" i="2421"/>
  <c r="LK145" i="2421"/>
  <c r="LJ183" i="2421"/>
  <c r="LJ175" i="2421"/>
  <c r="LJ167" i="2421"/>
  <c r="LJ159" i="2421"/>
  <c r="LJ151" i="2421"/>
  <c r="LJ143" i="2421"/>
  <c r="LK186" i="2421"/>
  <c r="LK168" i="2421"/>
  <c r="LK152" i="2421"/>
  <c r="LK138" i="2421"/>
  <c r="LK157" i="2421"/>
  <c r="RE186" i="2421"/>
  <c r="RE158" i="2421"/>
  <c r="RD186" i="2421"/>
  <c r="RD178" i="2421"/>
  <c r="RD170" i="2421"/>
  <c r="RD162" i="2421"/>
  <c r="RD154" i="2421"/>
  <c r="RD146" i="2421"/>
  <c r="RD138" i="2421"/>
  <c r="RE179" i="2421"/>
  <c r="RE167" i="2421"/>
  <c r="RE155" i="2421"/>
  <c r="RE139" i="2421"/>
  <c r="RE169" i="2421"/>
  <c r="RE149" i="2421"/>
  <c r="RD187" i="2421"/>
  <c r="RD179" i="2421"/>
  <c r="RD171" i="2421"/>
  <c r="RD163" i="2421"/>
  <c r="RD155" i="2421"/>
  <c r="RD147" i="2421"/>
  <c r="RD139" i="2421"/>
  <c r="RE180" i="2421"/>
  <c r="RE168" i="2421"/>
  <c r="RE156" i="2421"/>
  <c r="RE146" i="2421"/>
  <c r="KG172" i="2421"/>
  <c r="KG158" i="2421"/>
  <c r="KG142" i="2421"/>
  <c r="KG169" i="2421"/>
  <c r="KG145" i="2421"/>
  <c r="KF182" i="2421"/>
  <c r="KF174" i="2421"/>
  <c r="KF166" i="2421"/>
  <c r="KF158" i="2421"/>
  <c r="KF150" i="2421"/>
  <c r="KF142" i="2421"/>
  <c r="KG187" i="2421"/>
  <c r="KG149" i="2421"/>
  <c r="KG171" i="2421"/>
  <c r="KF187" i="2421"/>
  <c r="KF179" i="2421"/>
  <c r="KF171" i="2421"/>
  <c r="KF163" i="2421"/>
  <c r="KF155" i="2421"/>
  <c r="KF147" i="2421"/>
  <c r="KF139" i="2421"/>
  <c r="KG178" i="2421"/>
  <c r="KG160" i="2421"/>
  <c r="KG144" i="2421"/>
  <c r="KG177" i="2421"/>
  <c r="KG139" i="2421"/>
  <c r="HY172" i="2421"/>
  <c r="HY154" i="2421"/>
  <c r="HY138" i="2421"/>
  <c r="HY173" i="2421"/>
  <c r="HY145" i="2421"/>
  <c r="HX182" i="2421"/>
  <c r="HX174" i="2421"/>
  <c r="HX166" i="2421"/>
  <c r="HX158" i="2421"/>
  <c r="HX150" i="2421"/>
  <c r="HX142" i="2421"/>
  <c r="HY181" i="2421"/>
  <c r="HY143" i="2421"/>
  <c r="HY163" i="2421"/>
  <c r="HX187" i="2421"/>
  <c r="HX179" i="2421"/>
  <c r="HX171" i="2421"/>
  <c r="HX163" i="2421"/>
  <c r="HX155" i="2421"/>
  <c r="HX147" i="2421"/>
  <c r="HX139" i="2421"/>
  <c r="HY176" i="2421"/>
  <c r="HY164" i="2421"/>
  <c r="HY150" i="2421"/>
  <c r="HY179" i="2421"/>
  <c r="HY141" i="2421"/>
  <c r="FQ172" i="2421"/>
  <c r="FQ156" i="2421"/>
  <c r="FQ140" i="2421"/>
  <c r="FQ175" i="2421"/>
  <c r="FQ155" i="2421"/>
  <c r="FP184" i="2421"/>
  <c r="FP176" i="2421"/>
  <c r="FP168" i="2421"/>
  <c r="FP160" i="2421"/>
  <c r="FP152" i="2421"/>
  <c r="FP144" i="2421"/>
  <c r="FP136" i="2421"/>
  <c r="FQ137" i="2421"/>
  <c r="FQ165" i="2421"/>
  <c r="FQ139" i="2421"/>
  <c r="FP181" i="2421"/>
  <c r="FP173" i="2421"/>
  <c r="FP165" i="2421"/>
  <c r="FP157" i="2421"/>
  <c r="FP149" i="2421"/>
  <c r="FP141" i="2421"/>
  <c r="FQ182" i="2421"/>
  <c r="FQ166" i="2421"/>
  <c r="FQ150" i="2421"/>
  <c r="FQ187" i="2421"/>
  <c r="FQ145" i="2421"/>
  <c r="CT172" i="2421"/>
  <c r="CT158" i="2421"/>
  <c r="CT146" i="2421"/>
  <c r="CT177" i="2421"/>
  <c r="CT151" i="2421"/>
  <c r="CS182" i="2421"/>
  <c r="CS174" i="2421"/>
  <c r="CS166" i="2421"/>
  <c r="CS158" i="2421"/>
  <c r="CS150" i="2421"/>
  <c r="CS142" i="2421"/>
  <c r="CT187" i="2421"/>
  <c r="CT153" i="2421"/>
  <c r="CT179" i="2421"/>
  <c r="CT137" i="2421"/>
  <c r="CS181" i="2421"/>
  <c r="CS173" i="2421"/>
  <c r="CS165" i="2421"/>
  <c r="CS157" i="2421"/>
  <c r="CS149" i="2421"/>
  <c r="CS141" i="2421"/>
  <c r="CT182" i="2421"/>
  <c r="CT166" i="2421"/>
  <c r="CT144" i="2421"/>
  <c r="CT171" i="2421"/>
  <c r="CT141" i="2421"/>
  <c r="PL172" i="2421"/>
  <c r="PL154" i="2421"/>
  <c r="PL136" i="2421"/>
  <c r="PK180" i="2421"/>
  <c r="PK172" i="2421"/>
  <c r="PK164" i="2421"/>
  <c r="PK156" i="2421"/>
  <c r="PK148" i="2421"/>
  <c r="PK140" i="2421"/>
  <c r="PL181" i="2421"/>
  <c r="PL167" i="2421"/>
  <c r="PL151" i="2421"/>
  <c r="PL137" i="2421"/>
  <c r="PL173" i="2421"/>
  <c r="PL157" i="2421"/>
  <c r="PL139" i="2421"/>
  <c r="PK181" i="2421"/>
  <c r="PK173" i="2421"/>
  <c r="PK165" i="2421"/>
  <c r="PK157" i="2421"/>
  <c r="PK149" i="2421"/>
  <c r="PK141" i="2421"/>
  <c r="PL182" i="2421"/>
  <c r="PL166" i="2421"/>
  <c r="PL152" i="2421"/>
  <c r="PL138" i="2421"/>
  <c r="QP170" i="2421"/>
  <c r="QP156" i="2421"/>
  <c r="QP140" i="2421"/>
  <c r="QO182" i="2421"/>
  <c r="QO174" i="2421"/>
  <c r="QO166" i="2421"/>
  <c r="QO158" i="2421"/>
  <c r="QO150" i="2421"/>
  <c r="QO142" i="2421"/>
  <c r="QP187" i="2421"/>
  <c r="QP173" i="2421"/>
  <c r="QP159" i="2421"/>
  <c r="QP143" i="2421"/>
  <c r="QP175" i="2421"/>
  <c r="QP157" i="2421"/>
  <c r="QP141" i="2421"/>
  <c r="QO183" i="2421"/>
  <c r="QO175" i="2421"/>
  <c r="QO167" i="2421"/>
  <c r="QO159" i="2421"/>
  <c r="QO151" i="2421"/>
  <c r="QO143" i="2421"/>
  <c r="QP186" i="2421"/>
  <c r="QP172" i="2421"/>
  <c r="QP154" i="2421"/>
  <c r="QP138" i="2421"/>
  <c r="JR170" i="2421"/>
  <c r="JR150" i="2421"/>
  <c r="JR181" i="2421"/>
  <c r="JR153" i="2421"/>
  <c r="JQ184" i="2421"/>
  <c r="JQ176" i="2421"/>
  <c r="JQ168" i="2421"/>
  <c r="JQ160" i="2421"/>
  <c r="JQ152" i="2421"/>
  <c r="JQ144" i="2421"/>
  <c r="JQ136" i="2421"/>
  <c r="JR159" i="2421"/>
  <c r="JR179" i="2421"/>
  <c r="JR145" i="2421"/>
  <c r="JQ183" i="2421"/>
  <c r="JQ175" i="2421"/>
  <c r="JQ167" i="2421"/>
  <c r="JQ159" i="2421"/>
  <c r="JQ151" i="2421"/>
  <c r="JQ143" i="2421"/>
  <c r="JR184" i="2421"/>
  <c r="JR172" i="2421"/>
  <c r="JR158" i="2421"/>
  <c r="JR144" i="2421"/>
  <c r="JR177" i="2421"/>
  <c r="JR143" i="2421"/>
  <c r="HJ176" i="2421"/>
  <c r="HJ164" i="2421"/>
  <c r="HJ148" i="2421"/>
  <c r="HJ179" i="2421"/>
  <c r="HJ153" i="2421"/>
  <c r="HI186" i="2421"/>
  <c r="HI178" i="2421"/>
  <c r="HI170" i="2421"/>
  <c r="HI162" i="2421"/>
  <c r="HI154" i="2421"/>
  <c r="HI146" i="2421"/>
  <c r="HI138" i="2421"/>
  <c r="HJ169" i="2421"/>
  <c r="HJ171" i="2421"/>
  <c r="HJ143" i="2421"/>
  <c r="HI181" i="2421"/>
  <c r="HI173" i="2421"/>
  <c r="HI165" i="2421"/>
  <c r="HI157" i="2421"/>
  <c r="HI149" i="2421"/>
  <c r="HI141" i="2421"/>
  <c r="HJ178" i="2421"/>
  <c r="HJ158" i="2421"/>
  <c r="HJ140" i="2421"/>
  <c r="HJ175" i="2421"/>
  <c r="HJ139" i="2421"/>
  <c r="FB168" i="2421"/>
  <c r="FB154" i="2421"/>
  <c r="FB140" i="2421"/>
  <c r="FB175" i="2421"/>
  <c r="FB143" i="2421"/>
  <c r="FA180" i="2421"/>
  <c r="FA172" i="2421"/>
  <c r="FA164" i="2421"/>
  <c r="FA156" i="2421"/>
  <c r="FA148" i="2421"/>
  <c r="FA140" i="2421"/>
  <c r="FB171" i="2421"/>
  <c r="FB139" i="2421"/>
  <c r="FB157" i="2421"/>
  <c r="FA185" i="2421"/>
  <c r="FA177" i="2421"/>
  <c r="FA169" i="2421"/>
  <c r="FA161" i="2421"/>
  <c r="FA153" i="2421"/>
  <c r="FA145" i="2421"/>
  <c r="FA137" i="2421"/>
  <c r="FB176" i="2421"/>
  <c r="FB162" i="2421"/>
  <c r="LK176" i="2421"/>
  <c r="LK162" i="2421"/>
  <c r="LK144" i="2421"/>
  <c r="LK179" i="2421"/>
  <c r="LK147" i="2421"/>
  <c r="LJ182" i="2421"/>
  <c r="LJ174" i="2421"/>
  <c r="LJ166" i="2421"/>
  <c r="LJ158" i="2421"/>
  <c r="LJ150" i="2421"/>
  <c r="LJ142" i="2421"/>
  <c r="LK181" i="2421"/>
  <c r="LK151" i="2421"/>
  <c r="LK169" i="2421"/>
  <c r="LK137" i="2421"/>
  <c r="LJ181" i="2421"/>
  <c r="LJ173" i="2421"/>
  <c r="LJ165" i="2421"/>
  <c r="LJ157" i="2421"/>
  <c r="LJ149" i="2421"/>
  <c r="LJ141" i="2421"/>
  <c r="LK182" i="2421"/>
  <c r="LK164" i="2421"/>
  <c r="LK148" i="2421"/>
  <c r="LK183" i="2421"/>
  <c r="LK149" i="2421"/>
  <c r="RE178" i="2421"/>
  <c r="RE150" i="2421"/>
  <c r="RD184" i="2421"/>
  <c r="RD176" i="2421"/>
  <c r="RD168" i="2421"/>
  <c r="RD160" i="2421"/>
  <c r="RD152" i="2421"/>
  <c r="RD144" i="2421"/>
  <c r="RD136" i="2421"/>
  <c r="RE177" i="2421"/>
  <c r="RE163" i="2421"/>
  <c r="RE151" i="2421"/>
  <c r="RE187" i="2421"/>
  <c r="RE165" i="2421"/>
  <c r="RE145" i="2421"/>
  <c r="RD185" i="2421"/>
  <c r="RD177" i="2421"/>
  <c r="RD169" i="2421"/>
  <c r="RD161" i="2421"/>
  <c r="RD153" i="2421"/>
  <c r="RD145" i="2421"/>
  <c r="RD137" i="2421"/>
  <c r="RE176" i="2421"/>
  <c r="RE166" i="2421"/>
  <c r="RE154" i="2421"/>
  <c r="RE142" i="2421"/>
  <c r="KG184" i="2421"/>
  <c r="KG168" i="2421"/>
  <c r="KG154" i="2421"/>
  <c r="KG138" i="2421"/>
  <c r="KG161" i="2421"/>
  <c r="KG137" i="2421"/>
  <c r="KF180" i="2421"/>
  <c r="KF172" i="2421"/>
  <c r="KF164" i="2421"/>
  <c r="KF156" i="2421"/>
  <c r="KF148" i="2421"/>
  <c r="KF140" i="2421"/>
  <c r="KG175" i="2421"/>
  <c r="KG141" i="2421"/>
  <c r="KG163" i="2421"/>
  <c r="KF185" i="2421"/>
  <c r="KF177" i="2421"/>
  <c r="KF169" i="2421"/>
  <c r="KF161" i="2421"/>
  <c r="KF153" i="2421"/>
  <c r="KF145" i="2421"/>
  <c r="KF137" i="2421"/>
  <c r="KG174" i="2421"/>
  <c r="KG156" i="2421"/>
  <c r="KG140" i="2421"/>
  <c r="KG165" i="2421"/>
  <c r="HY184" i="2421"/>
  <c r="HY166" i="2421"/>
  <c r="HY148" i="2421"/>
  <c r="HY187" i="2421"/>
  <c r="HY165" i="2421"/>
  <c r="HY139" i="2421"/>
  <c r="HX180" i="2421"/>
  <c r="HX172" i="2421"/>
  <c r="HX164" i="2421"/>
  <c r="HX156" i="2421"/>
  <c r="HX148" i="2421"/>
  <c r="HX140" i="2421"/>
  <c r="HY169" i="2421"/>
  <c r="HY185" i="2421"/>
  <c r="HY155" i="2421"/>
  <c r="HX185" i="2421"/>
  <c r="HX177" i="2421"/>
  <c r="HX169" i="2421"/>
  <c r="HX161" i="2421"/>
  <c r="HX153" i="2421"/>
  <c r="HX145" i="2421"/>
  <c r="HX137" i="2421"/>
  <c r="HY174" i="2421"/>
  <c r="HY160" i="2421"/>
  <c r="HY146" i="2421"/>
  <c r="HY167" i="2421"/>
  <c r="FQ184" i="2421"/>
  <c r="FQ168" i="2421"/>
  <c r="FQ152" i="2421"/>
  <c r="FQ136" i="2421"/>
  <c r="FQ171" i="2421"/>
  <c r="FQ149" i="2421"/>
  <c r="FP182" i="2421"/>
  <c r="FP174" i="2421"/>
  <c r="FP166" i="2421"/>
  <c r="FP158" i="2421"/>
  <c r="FP150" i="2421"/>
  <c r="FP142" i="2421"/>
  <c r="FQ183" i="2421"/>
  <c r="FQ181" i="2421"/>
  <c r="FQ159" i="2421"/>
  <c r="FP187" i="2421"/>
  <c r="FP179" i="2421"/>
  <c r="FP171" i="2421"/>
  <c r="FP163" i="2421"/>
  <c r="FP155" i="2421"/>
  <c r="FP147" i="2421"/>
  <c r="FP139" i="2421"/>
  <c r="FQ178" i="2421"/>
  <c r="FQ162" i="2421"/>
  <c r="FQ146" i="2421"/>
  <c r="FQ173" i="2421"/>
  <c r="CT184" i="2421"/>
  <c r="CT168" i="2421"/>
  <c r="CT156" i="2421"/>
  <c r="CT142" i="2421"/>
  <c r="CT173" i="2421"/>
  <c r="CT139" i="2421"/>
  <c r="CS180" i="2421"/>
  <c r="CS172" i="2421"/>
  <c r="CS164" i="2421"/>
  <c r="CS156" i="2421"/>
  <c r="CS148" i="2421"/>
  <c r="CS140" i="2421"/>
  <c r="CT175" i="2421"/>
  <c r="CT145" i="2421"/>
  <c r="CT169" i="2421"/>
  <c r="CS187" i="2421"/>
  <c r="CS179" i="2421"/>
  <c r="CS171" i="2421"/>
  <c r="CS163" i="2421"/>
  <c r="CS155" i="2421"/>
  <c r="CS147" i="2421"/>
  <c r="CS139" i="2421"/>
  <c r="CT178" i="2421"/>
  <c r="CT160" i="2421"/>
  <c r="CT140" i="2421"/>
  <c r="CT163" i="2421"/>
  <c r="PL186" i="2421"/>
  <c r="PL168" i="2421"/>
  <c r="PL148" i="2421"/>
  <c r="PK186" i="2421"/>
  <c r="PK178" i="2421"/>
  <c r="PK170" i="2421"/>
  <c r="PK162" i="2421"/>
  <c r="PK154" i="2421"/>
  <c r="PK146" i="2421"/>
  <c r="PK138" i="2421"/>
  <c r="PL179" i="2421"/>
  <c r="PL163" i="2421"/>
  <c r="PL149" i="2421"/>
  <c r="PL187" i="2421"/>
  <c r="PL169" i="2421"/>
  <c r="PL153" i="2421"/>
  <c r="PK187" i="2421"/>
  <c r="PK179" i="2421"/>
  <c r="PK171" i="2421"/>
  <c r="PK163" i="2421"/>
  <c r="PK155" i="2421"/>
  <c r="PK147" i="2421"/>
  <c r="PK139" i="2421"/>
  <c r="PL178" i="2421"/>
  <c r="PL162" i="2421"/>
  <c r="PL150" i="2421"/>
  <c r="QP182" i="2421"/>
  <c r="QP168" i="2421"/>
  <c r="QP152" i="2421"/>
  <c r="QP136" i="2421"/>
  <c r="QO180" i="2421"/>
  <c r="QO172" i="2421"/>
  <c r="QO164" i="2421"/>
  <c r="QO156" i="2421"/>
  <c r="QO148" i="2421"/>
  <c r="QO140" i="2421"/>
  <c r="QP183" i="2421"/>
  <c r="QP169" i="2421"/>
  <c r="QP155" i="2421"/>
  <c r="QP139" i="2421"/>
  <c r="QP171" i="2421"/>
  <c r="QP153" i="2421"/>
  <c r="QP137" i="2421"/>
  <c r="QO181" i="2421"/>
  <c r="QO173" i="2421"/>
  <c r="QO165" i="2421"/>
  <c r="QO157" i="2421"/>
  <c r="QO149" i="2421"/>
  <c r="QO141" i="2421"/>
  <c r="QP184" i="2421"/>
  <c r="QP166" i="2421"/>
  <c r="QP150" i="2421"/>
  <c r="JR186" i="2421"/>
  <c r="JR166" i="2421"/>
  <c r="JR146" i="2421"/>
  <c r="JR173" i="2421"/>
  <c r="JR147" i="2421"/>
  <c r="JQ182" i="2421"/>
  <c r="JQ174" i="2421"/>
  <c r="JQ166" i="2421"/>
  <c r="JQ158" i="2421"/>
  <c r="JQ150" i="2421"/>
  <c r="JQ142" i="2421"/>
  <c r="JR183" i="2421"/>
  <c r="JR149" i="2421"/>
  <c r="JR171" i="2421"/>
  <c r="JR137" i="2421"/>
  <c r="JQ181" i="2421"/>
  <c r="JQ173" i="2421"/>
  <c r="JQ165" i="2421"/>
  <c r="JQ157" i="2421"/>
  <c r="JQ149" i="2421"/>
  <c r="JQ141" i="2421"/>
  <c r="JR182" i="2421"/>
  <c r="JR168" i="2421"/>
  <c r="JR156" i="2421"/>
  <c r="JR140" i="2421"/>
  <c r="JR169" i="2421"/>
  <c r="HJ186" i="2421"/>
  <c r="HJ174" i="2421"/>
  <c r="HJ160" i="2421"/>
  <c r="HJ146" i="2421"/>
  <c r="HJ173" i="2421"/>
  <c r="HJ145" i="2421"/>
  <c r="HI184" i="2421"/>
  <c r="HI176" i="2421"/>
  <c r="HI168" i="2421"/>
  <c r="HI160" i="2421"/>
  <c r="HI152" i="2421"/>
  <c r="HI144" i="2421"/>
  <c r="HI136" i="2421"/>
  <c r="HJ161" i="2421"/>
  <c r="HJ163" i="2421"/>
  <c r="HI187" i="2421"/>
  <c r="HI179" i="2421"/>
  <c r="HI171" i="2421"/>
  <c r="HI163" i="2421"/>
  <c r="HI155" i="2421"/>
  <c r="HI147" i="2421"/>
  <c r="HI139" i="2421"/>
  <c r="HJ172" i="2421"/>
  <c r="HJ154" i="2421"/>
  <c r="HJ138" i="2421"/>
  <c r="HJ167" i="2421"/>
  <c r="FB184" i="2421"/>
  <c r="FB164" i="2421"/>
  <c r="FB150" i="2421"/>
  <c r="FB136" i="2421"/>
  <c r="FB167" i="2421"/>
  <c r="FA186" i="2421"/>
  <c r="FA178" i="2421"/>
  <c r="FA170" i="2421"/>
  <c r="FA162" i="2421"/>
  <c r="FA154" i="2421"/>
  <c r="FA146" i="2421"/>
  <c r="FA138" i="2421"/>
  <c r="FB163" i="2421"/>
  <c r="FB181" i="2421"/>
  <c r="FB149" i="2421"/>
  <c r="FA183" i="2421"/>
  <c r="FA175" i="2421"/>
  <c r="FA167" i="2421"/>
  <c r="FA159" i="2421"/>
  <c r="FA151" i="2421"/>
  <c r="FA143" i="2421"/>
  <c r="FB186" i="2421"/>
  <c r="FB174" i="2421"/>
  <c r="FB156" i="2421"/>
  <c r="LK172" i="2421"/>
  <c r="LK158" i="2421"/>
  <c r="LK140" i="2421"/>
  <c r="LK171" i="2421"/>
  <c r="LK139" i="2421"/>
  <c r="LJ180" i="2421"/>
  <c r="LJ172" i="2421"/>
  <c r="LJ164" i="2421"/>
  <c r="LJ156" i="2421"/>
  <c r="LJ148" i="2421"/>
  <c r="LJ140" i="2421"/>
  <c r="LK173" i="2421"/>
  <c r="LK143" i="2421"/>
  <c r="LK161" i="2421"/>
  <c r="LJ187" i="2421"/>
  <c r="LJ179" i="2421"/>
  <c r="LJ171" i="2421"/>
  <c r="LJ163" i="2421"/>
  <c r="LJ155" i="2421"/>
  <c r="LJ147" i="2421"/>
  <c r="LJ139" i="2421"/>
  <c r="LK178" i="2421"/>
  <c r="LK160" i="2421"/>
  <c r="LK146" i="2421"/>
  <c r="LK175" i="2421"/>
  <c r="LK141" i="2421"/>
  <c r="RE170" i="2421"/>
  <c r="RE144" i="2421"/>
  <c r="RD182" i="2421"/>
  <c r="RD174" i="2421"/>
  <c r="RD166" i="2421"/>
  <c r="RD158" i="2421"/>
  <c r="RD150" i="2421"/>
  <c r="RD142" i="2421"/>
  <c r="RE185" i="2421"/>
  <c r="RE173" i="2421"/>
  <c r="RE161" i="2421"/>
  <c r="RE147" i="2421"/>
  <c r="RE181" i="2421"/>
  <c r="RE159" i="2421"/>
  <c r="RE141" i="2421"/>
  <c r="RD183" i="2421"/>
  <c r="RD175" i="2421"/>
  <c r="RD167" i="2421"/>
  <c r="RD159" i="2421"/>
  <c r="RD151" i="2421"/>
  <c r="RD143" i="2421"/>
  <c r="RE184" i="2421"/>
  <c r="RE174" i="2421"/>
  <c r="RE162" i="2421"/>
  <c r="RE152" i="2421"/>
  <c r="RE140" i="2421"/>
  <c r="KG180" i="2421"/>
  <c r="KG164" i="2421"/>
  <c r="KG150" i="2421"/>
  <c r="KG181" i="2421"/>
  <c r="KG157" i="2421"/>
  <c r="KF186" i="2421"/>
  <c r="KF178" i="2421"/>
  <c r="KF170" i="2421"/>
  <c r="KF162" i="2421"/>
  <c r="KF154" i="2421"/>
  <c r="KF146" i="2421"/>
  <c r="KF138" i="2421"/>
  <c r="KG167" i="2421"/>
  <c r="KG183" i="2421"/>
  <c r="KG153" i="2421"/>
  <c r="KF183" i="2421"/>
  <c r="KF175" i="2421"/>
  <c r="KF167" i="2421"/>
  <c r="KF159" i="2421"/>
  <c r="KF151" i="2421"/>
  <c r="KF143" i="2421"/>
  <c r="KG186" i="2421"/>
  <c r="KG170" i="2421"/>
  <c r="KG152" i="2421"/>
  <c r="KG136" i="2421"/>
  <c r="KG155" i="2421"/>
  <c r="HY180" i="2421"/>
  <c r="HY162" i="2421"/>
  <c r="HY144" i="2421"/>
  <c r="HY183" i="2421"/>
  <c r="HY157" i="2421"/>
  <c r="HX186" i="2421"/>
  <c r="HX178" i="2421"/>
  <c r="HX170" i="2421"/>
  <c r="HX162" i="2421"/>
  <c r="HX154" i="2421"/>
  <c r="HX146" i="2421"/>
  <c r="HX138" i="2421"/>
  <c r="HY161" i="2421"/>
  <c r="HY177" i="2421"/>
  <c r="HY147" i="2421"/>
  <c r="HX183" i="2421"/>
  <c r="HX175" i="2421"/>
  <c r="HX167" i="2421"/>
  <c r="HX159" i="2421"/>
  <c r="HX151" i="2421"/>
  <c r="HX143" i="2421"/>
  <c r="HY186" i="2421"/>
  <c r="HY170" i="2421"/>
  <c r="HY156" i="2421"/>
  <c r="HY142" i="2421"/>
  <c r="HY159" i="2421"/>
  <c r="FQ180" i="2421"/>
  <c r="FQ164" i="2421"/>
  <c r="FQ148" i="2421"/>
  <c r="FQ185" i="2421"/>
  <c r="FQ167" i="2421"/>
  <c r="FQ141" i="2421"/>
  <c r="FP180" i="2421"/>
  <c r="FP172" i="2421"/>
  <c r="FP164" i="2421"/>
  <c r="FP156" i="2421"/>
  <c r="FP148" i="2421"/>
  <c r="FP140" i="2421"/>
  <c r="FQ157" i="2421"/>
  <c r="FQ177" i="2421"/>
  <c r="FQ151" i="2421"/>
  <c r="FP185" i="2421"/>
  <c r="FP177" i="2421"/>
  <c r="FP169" i="2421"/>
  <c r="FP161" i="2421"/>
  <c r="FP153" i="2421"/>
  <c r="FP145" i="2421"/>
  <c r="FP137" i="2421"/>
  <c r="FQ174" i="2421"/>
  <c r="FQ158" i="2421"/>
  <c r="FQ142" i="2421"/>
  <c r="FQ163" i="2421"/>
  <c r="CT180" i="2421"/>
  <c r="CT164" i="2421"/>
  <c r="CT152" i="2421"/>
  <c r="CT138" i="2421"/>
  <c r="CT165" i="2421"/>
  <c r="CS186" i="2421"/>
  <c r="CS178" i="2421"/>
  <c r="CS170" i="2421"/>
  <c r="CS162" i="2421"/>
  <c r="CS154" i="2421"/>
  <c r="CS146" i="2421"/>
  <c r="CS138" i="2421"/>
  <c r="CT167" i="2421"/>
  <c r="CT143" i="2421"/>
  <c r="CT159" i="2421"/>
  <c r="CS185" i="2421"/>
  <c r="CS177" i="2421"/>
  <c r="CS169" i="2421"/>
  <c r="CS161" i="2421"/>
  <c r="CS153" i="2421"/>
  <c r="CS145" i="2421"/>
  <c r="CS137" i="2421"/>
  <c r="CT174" i="2421"/>
  <c r="CT154" i="2421"/>
  <c r="CT136" i="2421"/>
  <c r="CT155" i="2421"/>
  <c r="PL180" i="2421"/>
  <c r="PL164" i="2421"/>
  <c r="PL144" i="2421"/>
  <c r="PK184" i="2421"/>
  <c r="PK176" i="2421"/>
  <c r="PK168" i="2421"/>
  <c r="PK160" i="2421"/>
  <c r="PK152" i="2421"/>
  <c r="PK144" i="2421"/>
  <c r="PK136" i="2421"/>
  <c r="PL175" i="2421"/>
  <c r="PL159" i="2421"/>
  <c r="PL145" i="2421"/>
  <c r="PL183" i="2421"/>
  <c r="PL165" i="2421"/>
  <c r="PL147" i="2421"/>
  <c r="PK185" i="2421"/>
  <c r="PK177" i="2421"/>
  <c r="PK169" i="2421"/>
  <c r="PK161" i="2421"/>
  <c r="PK153" i="2421"/>
  <c r="PK145" i="2421"/>
  <c r="PK137" i="2421"/>
  <c r="PL174" i="2421"/>
  <c r="PL158" i="2421"/>
  <c r="PL146" i="2421"/>
  <c r="QP178" i="2421"/>
  <c r="QP164" i="2421"/>
  <c r="QP148" i="2421"/>
  <c r="QO186" i="2421"/>
  <c r="QO178" i="2421"/>
  <c r="QO170" i="2421"/>
  <c r="QO162" i="2421"/>
  <c r="QO154" i="2421"/>
  <c r="QO146" i="2421"/>
  <c r="QO138" i="2421"/>
  <c r="QP179" i="2421"/>
  <c r="QP165" i="2421"/>
  <c r="QP151" i="2421"/>
  <c r="QP185" i="2421"/>
  <c r="QP167" i="2421"/>
  <c r="QP149" i="2421"/>
  <c r="QO187" i="2421"/>
  <c r="QO179" i="2421"/>
  <c r="QO171" i="2421"/>
  <c r="QO163" i="2421"/>
  <c r="QO155" i="2421"/>
  <c r="QO147" i="2421"/>
  <c r="QO139" i="2421"/>
  <c r="QP180" i="2421"/>
  <c r="QP162" i="2421"/>
  <c r="QP146" i="2421"/>
  <c r="JR180" i="2421"/>
  <c r="JR160" i="2421"/>
  <c r="JR142" i="2421"/>
  <c r="JR165" i="2421"/>
  <c r="JR139" i="2421"/>
  <c r="JQ180" i="2421"/>
  <c r="JQ172" i="2421"/>
  <c r="JQ164" i="2421"/>
  <c r="JQ156" i="2421"/>
  <c r="JQ148" i="2421"/>
  <c r="JQ140" i="2421"/>
  <c r="JR175" i="2421"/>
  <c r="JR141" i="2421"/>
  <c r="JR163" i="2421"/>
  <c r="JQ187" i="2421"/>
  <c r="JQ179" i="2421"/>
  <c r="JQ171" i="2421"/>
  <c r="JQ163" i="2421"/>
  <c r="JQ155" i="2421"/>
  <c r="JQ147" i="2421"/>
  <c r="JQ139" i="2421"/>
  <c r="JR178" i="2421"/>
  <c r="JR164" i="2421"/>
  <c r="JR152" i="2421"/>
  <c r="JR136" i="2421"/>
  <c r="JR161" i="2421"/>
  <c r="HJ182" i="2421"/>
  <c r="HJ170" i="2421"/>
  <c r="HJ156" i="2421"/>
  <c r="HJ142" i="2421"/>
  <c r="HJ165" i="2421"/>
  <c r="HJ141" i="2421"/>
  <c r="HI182" i="2421"/>
  <c r="HI174" i="2421"/>
  <c r="HI166" i="2421"/>
  <c r="HI158" i="2421"/>
  <c r="HI150" i="2421"/>
  <c r="HI142" i="2421"/>
  <c r="HJ185" i="2421"/>
  <c r="HJ149" i="2421"/>
  <c r="HJ155" i="2421"/>
  <c r="HI185" i="2421"/>
  <c r="HI177" i="2421"/>
  <c r="HI169" i="2421"/>
  <c r="HI161" i="2421"/>
  <c r="HI153" i="2421"/>
  <c r="HI145" i="2421"/>
  <c r="HI137" i="2421"/>
  <c r="HJ166" i="2421"/>
  <c r="HJ150" i="2421"/>
  <c r="HJ136" i="2421"/>
  <c r="HJ159" i="2421"/>
  <c r="FB178" i="2421"/>
  <c r="FB160" i="2421"/>
  <c r="FB148" i="2421"/>
  <c r="FB187" i="2421"/>
  <c r="FB159" i="2421"/>
  <c r="FA184" i="2421"/>
  <c r="FA176" i="2421"/>
  <c r="FA168" i="2421"/>
  <c r="FA160" i="2421"/>
  <c r="FA152" i="2421"/>
  <c r="FA144" i="2421"/>
  <c r="FA136" i="2421"/>
  <c r="FB155" i="2421"/>
  <c r="FB173" i="2421"/>
  <c r="FB141" i="2421"/>
  <c r="FA181" i="2421"/>
  <c r="FA173" i="2421"/>
  <c r="FA165" i="2421"/>
  <c r="FA157" i="2421"/>
  <c r="FA149" i="2421"/>
  <c r="FA141" i="2421"/>
  <c r="FB182" i="2421"/>
  <c r="FB170" i="2421"/>
  <c r="FB152" i="2421"/>
  <c r="FB185" i="2421"/>
  <c r="FB153" i="2421"/>
  <c r="CE182" i="2421"/>
  <c r="CE166" i="2421"/>
  <c r="CE150" i="2421"/>
  <c r="CE183" i="2421"/>
  <c r="CE147" i="2421"/>
  <c r="CD182" i="2421"/>
  <c r="CD174" i="2421"/>
  <c r="CD166" i="2421"/>
  <c r="CD158" i="2421"/>
  <c r="CD150" i="2421"/>
  <c r="CD142" i="2421"/>
  <c r="CE187" i="2421"/>
  <c r="CE157" i="2421"/>
  <c r="CE169" i="2421"/>
  <c r="CE137" i="2421"/>
  <c r="CD181" i="2421"/>
  <c r="CD173" i="2421"/>
  <c r="CD165" i="2421"/>
  <c r="CD157" i="2421"/>
  <c r="CD149" i="2421"/>
  <c r="CD141" i="2421"/>
  <c r="CE180" i="2421"/>
  <c r="CE164" i="2421"/>
  <c r="CE148" i="2421"/>
  <c r="CE185" i="2421"/>
  <c r="CE159" i="2421"/>
  <c r="MO176" i="2421"/>
  <c r="MO160" i="2421"/>
  <c r="MO142" i="2421"/>
  <c r="MO183" i="2421"/>
  <c r="MO159" i="2421"/>
  <c r="MN186" i="2421"/>
  <c r="MN178" i="2421"/>
  <c r="MN170" i="2421"/>
  <c r="MN162" i="2421"/>
  <c r="MN154" i="2421"/>
  <c r="MN146" i="2421"/>
  <c r="MN138" i="2421"/>
  <c r="MO161" i="2421"/>
  <c r="MO177" i="2421"/>
  <c r="MO149" i="2421"/>
  <c r="MN183" i="2421"/>
  <c r="MN175" i="2421"/>
  <c r="MN167" i="2421"/>
  <c r="MN159" i="2421"/>
  <c r="MN151" i="2421"/>
  <c r="MN143" i="2421"/>
  <c r="MO186" i="2421"/>
  <c r="MO170" i="2421"/>
  <c r="MO156" i="2421"/>
  <c r="MO185" i="2421"/>
  <c r="MO145" i="2421"/>
  <c r="OH178" i="2421"/>
  <c r="OH156" i="2421"/>
  <c r="OH136" i="2421"/>
  <c r="OG182" i="2421"/>
  <c r="OG174" i="2421"/>
  <c r="OG166" i="2421"/>
  <c r="OG158" i="2421"/>
  <c r="OG150" i="2421"/>
  <c r="OG142" i="2421"/>
  <c r="OH187" i="2421"/>
  <c r="OH173" i="2421"/>
  <c r="OH157" i="2421"/>
  <c r="OH139" i="2421"/>
  <c r="OH171" i="2421"/>
  <c r="OH155" i="2421"/>
  <c r="OG187" i="2421"/>
  <c r="OG179" i="2421"/>
  <c r="OG171" i="2421"/>
  <c r="OG163" i="2421"/>
  <c r="FB142" i="2421"/>
  <c r="FB137" i="2421"/>
  <c r="CE158" i="2421"/>
  <c r="CE163" i="2421"/>
  <c r="CD178" i="2421"/>
  <c r="CD162" i="2421"/>
  <c r="CD146" i="2421"/>
  <c r="CE173" i="2421"/>
  <c r="CE153" i="2421"/>
  <c r="CD177" i="2421"/>
  <c r="CD161" i="2421"/>
  <c r="CD145" i="2421"/>
  <c r="CE172" i="2421"/>
  <c r="CE140" i="2421"/>
  <c r="CE143" i="2421"/>
  <c r="MO184" i="2421"/>
  <c r="MO150" i="2421"/>
  <c r="MO171" i="2421"/>
  <c r="MN182" i="2421"/>
  <c r="MN166" i="2421"/>
  <c r="MN150" i="2421"/>
  <c r="MO187" i="2421"/>
  <c r="MO163" i="2421"/>
  <c r="MN179" i="2421"/>
  <c r="MN163" i="2421"/>
  <c r="MN147" i="2421"/>
  <c r="MO178" i="2421"/>
  <c r="MO148" i="2421"/>
  <c r="OH186" i="2421"/>
  <c r="OH146" i="2421"/>
  <c r="OG178" i="2421"/>
  <c r="OG162" i="2421"/>
  <c r="OG146" i="2421"/>
  <c r="OH179" i="2421"/>
  <c r="OH149" i="2421"/>
  <c r="OH163" i="2421"/>
  <c r="OG183" i="2421"/>
  <c r="OG167" i="2421"/>
  <c r="OG155" i="2421"/>
  <c r="OG147" i="2421"/>
  <c r="OG139" i="2421"/>
  <c r="OH176" i="2421"/>
  <c r="OH164" i="2421"/>
  <c r="OH152" i="2421"/>
  <c r="OH138" i="2421"/>
  <c r="QA184" i="2421"/>
  <c r="QA164" i="2421"/>
  <c r="QA144" i="2421"/>
  <c r="PZ184" i="2421"/>
  <c r="PZ176" i="2421"/>
  <c r="PZ168" i="2421"/>
  <c r="PZ160" i="2421"/>
  <c r="PZ152" i="2421"/>
  <c r="PZ144" i="2421"/>
  <c r="PZ136" i="2421"/>
  <c r="QA175" i="2421"/>
  <c r="QA155" i="2421"/>
  <c r="QA141" i="2421"/>
  <c r="QA177" i="2421"/>
  <c r="QA159" i="2421"/>
  <c r="QA139" i="2421"/>
  <c r="PZ181" i="2421"/>
  <c r="PZ173" i="2421"/>
  <c r="PZ165" i="2421"/>
  <c r="PZ157" i="2421"/>
  <c r="PZ149" i="2421"/>
  <c r="PZ141" i="2421"/>
  <c r="QA182" i="2421"/>
  <c r="QA170" i="2421"/>
  <c r="QA156" i="2421"/>
  <c r="QA142" i="2421"/>
  <c r="JC182" i="2421"/>
  <c r="JC166" i="2421"/>
  <c r="JC150" i="2421"/>
  <c r="JC183" i="2421"/>
  <c r="JC159" i="2421"/>
  <c r="JB186" i="2421"/>
  <c r="JB178" i="2421"/>
  <c r="JB170" i="2421"/>
  <c r="JB162" i="2421"/>
  <c r="JB154" i="2421"/>
  <c r="JB146" i="2421"/>
  <c r="JB138" i="2421"/>
  <c r="JC167" i="2421"/>
  <c r="JC177" i="2421"/>
  <c r="JC149" i="2421"/>
  <c r="JB185" i="2421"/>
  <c r="JB177" i="2421"/>
  <c r="JB169" i="2421"/>
  <c r="JB161" i="2421"/>
  <c r="JB153" i="2421"/>
  <c r="JB145" i="2421"/>
  <c r="JB137" i="2421"/>
  <c r="JC172" i="2421"/>
  <c r="JC156" i="2421"/>
  <c r="JC140" i="2421"/>
  <c r="JC165" i="2421"/>
  <c r="GU182" i="2421"/>
  <c r="GU166" i="2421"/>
  <c r="GU148" i="2421"/>
  <c r="GU177" i="2421"/>
  <c r="GU157" i="2421"/>
  <c r="GU137" i="2421"/>
  <c r="GT180" i="2421"/>
  <c r="GT172" i="2421"/>
  <c r="GT164" i="2421"/>
  <c r="GT156" i="2421"/>
  <c r="GT148" i="2421"/>
  <c r="GT140" i="2421"/>
  <c r="GU181" i="2421"/>
  <c r="GU159" i="2421"/>
  <c r="GU139" i="2421"/>
  <c r="GT181" i="2421"/>
  <c r="GT173" i="2421"/>
  <c r="GT165" i="2421"/>
  <c r="GT157" i="2421"/>
  <c r="GT149" i="2421"/>
  <c r="GT141" i="2421"/>
  <c r="GU180" i="2421"/>
  <c r="GU164" i="2421"/>
  <c r="GU150" i="2421"/>
  <c r="GU136" i="2421"/>
  <c r="GU161" i="2421"/>
  <c r="DX180" i="2421"/>
  <c r="DX162" i="2421"/>
  <c r="DX146" i="2421"/>
  <c r="DX181" i="2421"/>
  <c r="DX159" i="2421"/>
  <c r="DW186" i="2421"/>
  <c r="DW178" i="2421"/>
  <c r="DW170" i="2421"/>
  <c r="DW162" i="2421"/>
  <c r="DW154" i="2421"/>
  <c r="DW146" i="2421"/>
  <c r="DW138" i="2421"/>
  <c r="DX165" i="2421"/>
  <c r="DX169" i="2421"/>
  <c r="DX141" i="2421"/>
  <c r="DW181" i="2421"/>
  <c r="DW173" i="2421"/>
  <c r="DW165" i="2421"/>
  <c r="DW157" i="2421"/>
  <c r="DW149" i="2421"/>
  <c r="DW141" i="2421"/>
  <c r="DX182" i="2421"/>
  <c r="DX168" i="2421"/>
  <c r="DX152" i="2421"/>
  <c r="DX138" i="2421"/>
  <c r="DX155" i="2421"/>
  <c r="LZ180" i="2421"/>
  <c r="LZ170" i="2421"/>
  <c r="LZ154" i="2421"/>
  <c r="LZ142" i="2421"/>
  <c r="LZ169" i="2421"/>
  <c r="LY186" i="2421"/>
  <c r="LY178" i="2421"/>
  <c r="LY170" i="2421"/>
  <c r="LY162" i="2421"/>
  <c r="LY154" i="2421"/>
  <c r="LY146" i="2421"/>
  <c r="LY138" i="2421"/>
  <c r="LZ171" i="2421"/>
  <c r="LZ143" i="2421"/>
  <c r="LZ167" i="2421"/>
  <c r="LY185" i="2421"/>
  <c r="LY177" i="2421"/>
  <c r="LY169" i="2421"/>
  <c r="LY161" i="2421"/>
  <c r="LY153" i="2421"/>
  <c r="LY145" i="2421"/>
  <c r="LY137" i="2421"/>
  <c r="LZ164" i="2421"/>
  <c r="LZ144" i="2421"/>
  <c r="LZ173" i="2421"/>
  <c r="LZ145" i="2421"/>
  <c r="NS184" i="2421"/>
  <c r="NS166" i="2421"/>
  <c r="NS152" i="2421"/>
  <c r="NS136" i="2421"/>
  <c r="NS141" i="2421"/>
  <c r="NR180" i="2421"/>
  <c r="NR172" i="2421"/>
  <c r="NR164" i="2421"/>
  <c r="NR156" i="2421"/>
  <c r="NR148" i="2421"/>
  <c r="NR140" i="2421"/>
  <c r="NS181" i="2421"/>
  <c r="NS163" i="2421"/>
  <c r="NS187" i="2421"/>
  <c r="NS171" i="2421"/>
  <c r="NS145" i="2421"/>
  <c r="NR181" i="2421"/>
  <c r="NR173" i="2421"/>
  <c r="NR165" i="2421"/>
  <c r="NR157" i="2421"/>
  <c r="NR149" i="2421"/>
  <c r="NR141" i="2421"/>
  <c r="NS182" i="2421"/>
  <c r="NS168" i="2421"/>
  <c r="NS150" i="2421"/>
  <c r="NS161" i="2421"/>
  <c r="KV178" i="2421"/>
  <c r="KV160" i="2421"/>
  <c r="KV140" i="2421"/>
  <c r="KV171" i="2421"/>
  <c r="KV141" i="2421"/>
  <c r="KU182" i="2421"/>
  <c r="KU174" i="2421"/>
  <c r="KU166" i="2421"/>
  <c r="KU158" i="2421"/>
  <c r="KU150" i="2421"/>
  <c r="KU142" i="2421"/>
  <c r="KV187" i="2421"/>
  <c r="KV153" i="2421"/>
  <c r="KV163" i="2421"/>
  <c r="KU187" i="2421"/>
  <c r="KU179" i="2421"/>
  <c r="KU171" i="2421"/>
  <c r="KU163" i="2421"/>
  <c r="KU155" i="2421"/>
  <c r="KU147" i="2421"/>
  <c r="KU139" i="2421"/>
  <c r="KV180" i="2421"/>
  <c r="KV164" i="2421"/>
  <c r="KV152" i="2421"/>
  <c r="KV138" i="2421"/>
  <c r="KV159" i="2421"/>
  <c r="IN180" i="2421"/>
  <c r="IN162" i="2421"/>
  <c r="IN142" i="2421"/>
  <c r="IN179" i="2421"/>
  <c r="IN151" i="2421"/>
  <c r="IM182" i="2421"/>
  <c r="IM174" i="2421"/>
  <c r="IM166" i="2421"/>
  <c r="IM158" i="2421"/>
  <c r="IM150" i="2421"/>
  <c r="IM142" i="2421"/>
  <c r="IN181" i="2421"/>
  <c r="IN149" i="2421"/>
  <c r="IN169" i="2421"/>
  <c r="IN141" i="2421"/>
  <c r="IM181" i="2421"/>
  <c r="IM173" i="2421"/>
  <c r="IM165" i="2421"/>
  <c r="IM157" i="2421"/>
  <c r="IM149" i="2421"/>
  <c r="IM141" i="2421"/>
  <c r="IN182" i="2421"/>
  <c r="IN168" i="2421"/>
  <c r="IN154" i="2421"/>
  <c r="IN140" i="2421"/>
  <c r="IN153" i="2421"/>
  <c r="GF180" i="2421"/>
  <c r="GF164" i="2421"/>
  <c r="GF150" i="2421"/>
  <c r="GF136" i="2421"/>
  <c r="GF169" i="2421"/>
  <c r="GF147" i="2421"/>
  <c r="GE184" i="2421"/>
  <c r="GE176" i="2421"/>
  <c r="GE168" i="2421"/>
  <c r="GE160" i="2421"/>
  <c r="GE152" i="2421"/>
  <c r="GE144" i="2421"/>
  <c r="GE136" i="2421"/>
  <c r="GF171" i="2421"/>
  <c r="GF151" i="2421"/>
  <c r="GE187" i="2421"/>
  <c r="GE179" i="2421"/>
  <c r="GE171" i="2421"/>
  <c r="GE163" i="2421"/>
  <c r="GE155" i="2421"/>
  <c r="GE147" i="2421"/>
  <c r="GE139" i="2421"/>
  <c r="GF178" i="2421"/>
  <c r="GF162" i="2421"/>
  <c r="GF144" i="2421"/>
  <c r="GF167" i="2421"/>
  <c r="DI180" i="2421"/>
  <c r="DI164" i="2421"/>
  <c r="DI146" i="2421"/>
  <c r="DI179" i="2421"/>
  <c r="DI151" i="2421"/>
  <c r="DH184" i="2421"/>
  <c r="DH176" i="2421"/>
  <c r="DH168" i="2421"/>
  <c r="DH160" i="2421"/>
  <c r="DH152" i="2421"/>
  <c r="DH144" i="2421"/>
  <c r="DH136" i="2421"/>
  <c r="DI159" i="2421"/>
  <c r="DI169" i="2421"/>
  <c r="DH181" i="2421"/>
  <c r="DH173" i="2421"/>
  <c r="DH157" i="2421"/>
  <c r="DH149" i="2421"/>
  <c r="DH141" i="2421"/>
  <c r="DI182" i="2421"/>
  <c r="DI166" i="2421"/>
  <c r="DI152" i="2421"/>
  <c r="DI138" i="2421"/>
  <c r="DI157" i="2421"/>
  <c r="FB138" i="2421"/>
  <c r="CE186" i="2421"/>
  <c r="CE154" i="2421"/>
  <c r="CE155" i="2421"/>
  <c r="CD176" i="2421"/>
  <c r="CD160" i="2421"/>
  <c r="CD144" i="2421"/>
  <c r="CE167" i="2421"/>
  <c r="CE145" i="2421"/>
  <c r="CD175" i="2421"/>
  <c r="CD159" i="2421"/>
  <c r="CD143" i="2421"/>
  <c r="CE168" i="2421"/>
  <c r="CE138" i="2421"/>
  <c r="MO180" i="2421"/>
  <c r="MO144" i="2421"/>
  <c r="MO167" i="2421"/>
  <c r="MN180" i="2421"/>
  <c r="MN164" i="2421"/>
  <c r="MN148" i="2421"/>
  <c r="MO173" i="2421"/>
  <c r="MO157" i="2421"/>
  <c r="MN177" i="2421"/>
  <c r="MN161" i="2421"/>
  <c r="MN145" i="2421"/>
  <c r="MO174" i="2421"/>
  <c r="MO146" i="2421"/>
  <c r="OH182" i="2421"/>
  <c r="OH140" i="2421"/>
  <c r="OG176" i="2421"/>
  <c r="OG160" i="2421"/>
  <c r="OG144" i="2421"/>
  <c r="OH177" i="2421"/>
  <c r="OH145" i="2421"/>
  <c r="OH159" i="2421"/>
  <c r="OG181" i="2421"/>
  <c r="OG165" i="2421"/>
  <c r="OG153" i="2421"/>
  <c r="OG145" i="2421"/>
  <c r="OG137" i="2421"/>
  <c r="OH174" i="2421"/>
  <c r="OH160" i="2421"/>
  <c r="OH148" i="2421"/>
  <c r="OH137" i="2421"/>
  <c r="QA178" i="2421"/>
  <c r="QA158" i="2421"/>
  <c r="QA138" i="2421"/>
  <c r="PZ182" i="2421"/>
  <c r="PZ174" i="2421"/>
  <c r="PZ166" i="2421"/>
  <c r="PZ158" i="2421"/>
  <c r="PZ150" i="2421"/>
  <c r="PZ142" i="2421"/>
  <c r="QA187" i="2421"/>
  <c r="QA171" i="2421"/>
  <c r="QA151" i="2421"/>
  <c r="QA137" i="2421"/>
  <c r="QA173" i="2421"/>
  <c r="QA153" i="2421"/>
  <c r="PZ187" i="2421"/>
  <c r="PZ179" i="2421"/>
  <c r="PZ171" i="2421"/>
  <c r="PZ163" i="2421"/>
  <c r="PZ155" i="2421"/>
  <c r="PZ147" i="2421"/>
  <c r="PZ139" i="2421"/>
  <c r="QA180" i="2421"/>
  <c r="QA166" i="2421"/>
  <c r="QA152" i="2421"/>
  <c r="QA140" i="2421"/>
  <c r="JC178" i="2421"/>
  <c r="JC162" i="2421"/>
  <c r="JC146" i="2421"/>
  <c r="JC179" i="2421"/>
  <c r="JC151" i="2421"/>
  <c r="JB184" i="2421"/>
  <c r="JB176" i="2421"/>
  <c r="JB168" i="2421"/>
  <c r="JB160" i="2421"/>
  <c r="JB152" i="2421"/>
  <c r="JB144" i="2421"/>
  <c r="JB136" i="2421"/>
  <c r="JC155" i="2421"/>
  <c r="JC169" i="2421"/>
  <c r="JC145" i="2421"/>
  <c r="JB183" i="2421"/>
  <c r="JB175" i="2421"/>
  <c r="JB167" i="2421"/>
  <c r="JB159" i="2421"/>
  <c r="JB151" i="2421"/>
  <c r="JB143" i="2421"/>
  <c r="JC184" i="2421"/>
  <c r="JC168" i="2421"/>
  <c r="JC152" i="2421"/>
  <c r="JC136" i="2421"/>
  <c r="JC153" i="2421"/>
  <c r="GU178" i="2421"/>
  <c r="GU162" i="2421"/>
  <c r="GU144" i="2421"/>
  <c r="GU173" i="2421"/>
  <c r="GU151" i="2421"/>
  <c r="GT186" i="2421"/>
  <c r="GT178" i="2421"/>
  <c r="GT170" i="2421"/>
  <c r="GT162" i="2421"/>
  <c r="GT154" i="2421"/>
  <c r="GT146" i="2421"/>
  <c r="GT138" i="2421"/>
  <c r="GU175" i="2421"/>
  <c r="GU155" i="2421"/>
  <c r="GT187" i="2421"/>
  <c r="GT179" i="2421"/>
  <c r="GT171" i="2421"/>
  <c r="GT163" i="2421"/>
  <c r="GT155" i="2421"/>
  <c r="GT147" i="2421"/>
  <c r="GT139" i="2421"/>
  <c r="GU176" i="2421"/>
  <c r="GU160" i="2421"/>
  <c r="GU146" i="2421"/>
  <c r="GU185" i="2421"/>
  <c r="GU153" i="2421"/>
  <c r="DX176" i="2421"/>
  <c r="DX158" i="2421"/>
  <c r="DX142" i="2421"/>
  <c r="DX177" i="2421"/>
  <c r="DX151" i="2421"/>
  <c r="DW184" i="2421"/>
  <c r="DW176" i="2421"/>
  <c r="DW168" i="2421"/>
  <c r="DW160" i="2421"/>
  <c r="DW152" i="2421"/>
  <c r="DW144" i="2421"/>
  <c r="DW136" i="2421"/>
  <c r="DX153" i="2421"/>
  <c r="DX161" i="2421"/>
  <c r="DW187" i="2421"/>
  <c r="DW179" i="2421"/>
  <c r="DW171" i="2421"/>
  <c r="DW163" i="2421"/>
  <c r="DW155" i="2421"/>
  <c r="DW147" i="2421"/>
  <c r="DW139" i="2421"/>
  <c r="DX178" i="2421"/>
  <c r="DX164" i="2421"/>
  <c r="DX148" i="2421"/>
  <c r="DX185" i="2421"/>
  <c r="DX147" i="2421"/>
  <c r="LZ178" i="2421"/>
  <c r="LZ166" i="2421"/>
  <c r="LZ152" i="2421"/>
  <c r="LZ136" i="2421"/>
  <c r="LZ161" i="2421"/>
  <c r="LY184" i="2421"/>
  <c r="LY176" i="2421"/>
  <c r="LY168" i="2421"/>
  <c r="LY160" i="2421"/>
  <c r="LY152" i="2421"/>
  <c r="LY144" i="2421"/>
  <c r="LY136" i="2421"/>
  <c r="LZ165" i="2421"/>
  <c r="LZ137" i="2421"/>
  <c r="LZ159" i="2421"/>
  <c r="LY183" i="2421"/>
  <c r="LY175" i="2421"/>
  <c r="LY167" i="2421"/>
  <c r="LY159" i="2421"/>
  <c r="LY151" i="2421"/>
  <c r="LY143" i="2421"/>
  <c r="LZ184" i="2421"/>
  <c r="LZ160" i="2421"/>
  <c r="LZ140" i="2421"/>
  <c r="LZ163" i="2421"/>
  <c r="LZ139" i="2421"/>
  <c r="NS178" i="2421"/>
  <c r="NS162" i="2421"/>
  <c r="NS148" i="2421"/>
  <c r="NS167" i="2421"/>
  <c r="NR186" i="2421"/>
  <c r="NR178" i="2421"/>
  <c r="NR170" i="2421"/>
  <c r="NR162" i="2421"/>
  <c r="NR154" i="2421"/>
  <c r="NR146" i="2421"/>
  <c r="NR138" i="2421"/>
  <c r="NS177" i="2421"/>
  <c r="NS155" i="2421"/>
  <c r="NS183" i="2421"/>
  <c r="NS165" i="2421"/>
  <c r="NR187" i="2421"/>
  <c r="NR179" i="2421"/>
  <c r="NR171" i="2421"/>
  <c r="NR163" i="2421"/>
  <c r="NR155" i="2421"/>
  <c r="NR147" i="2421"/>
  <c r="NR139" i="2421"/>
  <c r="NS180" i="2421"/>
  <c r="NS164" i="2421"/>
  <c r="NS146" i="2421"/>
  <c r="NS151" i="2421"/>
  <c r="KV174" i="2421"/>
  <c r="KV156" i="2421"/>
  <c r="KV136" i="2421"/>
  <c r="KV165" i="2421"/>
  <c r="KV137" i="2421"/>
  <c r="KU180" i="2421"/>
  <c r="KU172" i="2421"/>
  <c r="KU164" i="2421"/>
  <c r="KU156" i="2421"/>
  <c r="KU148" i="2421"/>
  <c r="KU140" i="2421"/>
  <c r="KV177" i="2421"/>
  <c r="KV145" i="2421"/>
  <c r="KV155" i="2421"/>
  <c r="KU185" i="2421"/>
  <c r="KU177" i="2421"/>
  <c r="KU169" i="2421"/>
  <c r="KU161" i="2421"/>
  <c r="KU153" i="2421"/>
  <c r="KU145" i="2421"/>
  <c r="KU137" i="2421"/>
  <c r="KV176" i="2421"/>
  <c r="KV162" i="2421"/>
  <c r="KV148" i="2421"/>
  <c r="KV185" i="2421"/>
  <c r="KV151" i="2421"/>
  <c r="IN176" i="2421"/>
  <c r="IN156" i="2421"/>
  <c r="IN138" i="2421"/>
  <c r="IN175" i="2421"/>
  <c r="IN143" i="2421"/>
  <c r="IM180" i="2421"/>
  <c r="IM172" i="2421"/>
  <c r="IM164" i="2421"/>
  <c r="IM156" i="2421"/>
  <c r="IM148" i="2421"/>
  <c r="IM140" i="2421"/>
  <c r="IN173" i="2421"/>
  <c r="IN139" i="2421"/>
  <c r="IN161" i="2421"/>
  <c r="IM187" i="2421"/>
  <c r="IM179" i="2421"/>
  <c r="IM171" i="2421"/>
  <c r="IM163" i="2421"/>
  <c r="IM155" i="2421"/>
  <c r="IM147" i="2421"/>
  <c r="IM139" i="2421"/>
  <c r="IN178" i="2421"/>
  <c r="IN164" i="2421"/>
  <c r="IN150" i="2421"/>
  <c r="IN183" i="2421"/>
  <c r="IN147" i="2421"/>
  <c r="GF176" i="2421"/>
  <c r="GF160" i="2421"/>
  <c r="GF146" i="2421"/>
  <c r="GF183" i="2421"/>
  <c r="GF163" i="2421"/>
  <c r="GF143" i="2421"/>
  <c r="GE182" i="2421"/>
  <c r="GE174" i="2421"/>
  <c r="GE166" i="2421"/>
  <c r="GE158" i="2421"/>
  <c r="GE150" i="2421"/>
  <c r="GE142" i="2421"/>
  <c r="GF187" i="2421"/>
  <c r="GF165" i="2421"/>
  <c r="GF145" i="2421"/>
  <c r="GE185" i="2421"/>
  <c r="GE177" i="2421"/>
  <c r="GE169" i="2421"/>
  <c r="GE161" i="2421"/>
  <c r="GE153" i="2421"/>
  <c r="GE145" i="2421"/>
  <c r="GE137" i="2421"/>
  <c r="GF174" i="2421"/>
  <c r="GF158" i="2421"/>
  <c r="GF138" i="2421"/>
  <c r="GF157" i="2421"/>
  <c r="DI176" i="2421"/>
  <c r="DI158" i="2421"/>
  <c r="DI140" i="2421"/>
  <c r="DI171" i="2421"/>
  <c r="DI143" i="2421"/>
  <c r="DH182" i="2421"/>
  <c r="DH174" i="2421"/>
  <c r="DH166" i="2421"/>
  <c r="DH158" i="2421"/>
  <c r="DH150" i="2421"/>
  <c r="DH142" i="2421"/>
  <c r="DI183" i="2421"/>
  <c r="DI145" i="2421"/>
  <c r="DI161" i="2421"/>
  <c r="DH187" i="2421"/>
  <c r="DH179" i="2421"/>
  <c r="DH171" i="2421"/>
  <c r="DH163" i="2421"/>
  <c r="DH155" i="2421"/>
  <c r="DH147" i="2421"/>
  <c r="DH139" i="2421"/>
  <c r="DI178" i="2421"/>
  <c r="DI162" i="2421"/>
  <c r="DI148" i="2421"/>
  <c r="DI181" i="2421"/>
  <c r="DI147" i="2421"/>
  <c r="KV166" i="2421"/>
  <c r="KV179" i="2421"/>
  <c r="KU184" i="2421"/>
  <c r="KU168" i="2421"/>
  <c r="KU152" i="2421"/>
  <c r="KU136" i="2421"/>
  <c r="KV173" i="2421"/>
  <c r="KU181" i="2421"/>
  <c r="KU173" i="2421"/>
  <c r="KU157" i="2421"/>
  <c r="KU141" i="2421"/>
  <c r="KV168" i="2421"/>
  <c r="KV142" i="2421"/>
  <c r="IN146" i="2421"/>
  <c r="IN159" i="2421"/>
  <c r="IM176" i="2421"/>
  <c r="IM152" i="2421"/>
  <c r="IM136" i="2421"/>
  <c r="IN177" i="2421"/>
  <c r="IM183" i="2421"/>
  <c r="IM167" i="2421"/>
  <c r="IM151" i="2421"/>
  <c r="IN184" i="2421"/>
  <c r="IN158" i="2421"/>
  <c r="IN163" i="2421"/>
  <c r="GF184" i="2421"/>
  <c r="GF168" i="2421"/>
  <c r="GF154" i="2421"/>
  <c r="GF173" i="2421"/>
  <c r="GF153" i="2421"/>
  <c r="GE178" i="2421"/>
  <c r="GE170" i="2421"/>
  <c r="GE154" i="2421"/>
  <c r="GE146" i="2421"/>
  <c r="GF177" i="2421"/>
  <c r="GF137" i="2421"/>
  <c r="GE181" i="2421"/>
  <c r="GE165" i="2421"/>
  <c r="GE149" i="2421"/>
  <c r="GF182" i="2421"/>
  <c r="GF148" i="2421"/>
  <c r="GF175" i="2421"/>
  <c r="DI184" i="2421"/>
  <c r="DI150" i="2421"/>
  <c r="DI155" i="2421"/>
  <c r="DH178" i="2421"/>
  <c r="DH162" i="2421"/>
  <c r="DH146" i="2421"/>
  <c r="DI167" i="2421"/>
  <c r="DI149" i="2421"/>
  <c r="DH175" i="2421"/>
  <c r="DH159" i="2421"/>
  <c r="DH143" i="2421"/>
  <c r="DI170" i="2421"/>
  <c r="DI142" i="2421"/>
  <c r="DH165" i="2421"/>
  <c r="FB169" i="2421"/>
  <c r="CE174" i="2421"/>
  <c r="CE142" i="2421"/>
  <c r="CD186" i="2421"/>
  <c r="CD170" i="2421"/>
  <c r="CD154" i="2421"/>
  <c r="CD138" i="2421"/>
  <c r="CE141" i="2421"/>
  <c r="CD185" i="2421"/>
  <c r="CD169" i="2421"/>
  <c r="CD153" i="2421"/>
  <c r="CD137" i="2421"/>
  <c r="CE156" i="2421"/>
  <c r="CE171" i="2421"/>
  <c r="MO168" i="2421"/>
  <c r="MO138" i="2421"/>
  <c r="MO147" i="2421"/>
  <c r="MN174" i="2421"/>
  <c r="MN158" i="2421"/>
  <c r="MN142" i="2421"/>
  <c r="MO143" i="2421"/>
  <c r="MN187" i="2421"/>
  <c r="MN171" i="2421"/>
  <c r="MN155" i="2421"/>
  <c r="MN139" i="2421"/>
  <c r="MO162" i="2421"/>
  <c r="MO165" i="2421"/>
  <c r="OH168" i="2421"/>
  <c r="OG186" i="2421"/>
  <c r="OG170" i="2421"/>
  <c r="OG154" i="2421"/>
  <c r="OG138" i="2421"/>
  <c r="OH165" i="2421"/>
  <c r="OH181" i="2421"/>
  <c r="OH147" i="2421"/>
  <c r="OG175" i="2421"/>
  <c r="OG159" i="2421"/>
  <c r="OG151" i="2421"/>
  <c r="OG143" i="2421"/>
  <c r="OH184" i="2421"/>
  <c r="OH170" i="2421"/>
  <c r="OH158" i="2421"/>
  <c r="OH144" i="2421"/>
  <c r="QA172" i="2421"/>
  <c r="QA154" i="2421"/>
  <c r="QA157" i="2421"/>
  <c r="PZ180" i="2421"/>
  <c r="PZ172" i="2421"/>
  <c r="PZ164" i="2421"/>
  <c r="PZ156" i="2421"/>
  <c r="PZ148" i="2421"/>
  <c r="PZ140" i="2421"/>
  <c r="QA183" i="2421"/>
  <c r="QA167" i="2421"/>
  <c r="QA147" i="2421"/>
  <c r="QA185" i="2421"/>
  <c r="QA169" i="2421"/>
  <c r="QA149" i="2421"/>
  <c r="PZ185" i="2421"/>
  <c r="PZ177" i="2421"/>
  <c r="PZ169" i="2421"/>
  <c r="PZ161" i="2421"/>
  <c r="PZ153" i="2421"/>
  <c r="PZ145" i="2421"/>
  <c r="PZ137" i="2421"/>
  <c r="QA176" i="2421"/>
  <c r="QA162" i="2421"/>
  <c r="QA148" i="2421"/>
  <c r="QA136" i="2421"/>
  <c r="JC174" i="2421"/>
  <c r="JC158" i="2421"/>
  <c r="JC142" i="2421"/>
  <c r="JC171" i="2421"/>
  <c r="JC147" i="2421"/>
  <c r="JB182" i="2421"/>
  <c r="JB174" i="2421"/>
  <c r="JB166" i="2421"/>
  <c r="JB158" i="2421"/>
  <c r="JB150" i="2421"/>
  <c r="JB142" i="2421"/>
  <c r="JC185" i="2421"/>
  <c r="JC143" i="2421"/>
  <c r="JC161" i="2421"/>
  <c r="JC137" i="2421"/>
  <c r="JB181" i="2421"/>
  <c r="JB173" i="2421"/>
  <c r="JB165" i="2421"/>
  <c r="JB157" i="2421"/>
  <c r="JB149" i="2421"/>
  <c r="JB141" i="2421"/>
  <c r="JC180" i="2421"/>
  <c r="JC164" i="2421"/>
  <c r="JC148" i="2421"/>
  <c r="JC187" i="2421"/>
  <c r="JC141" i="2421"/>
  <c r="GU174" i="2421"/>
  <c r="GU158" i="2421"/>
  <c r="GU138" i="2421"/>
  <c r="GU167" i="2421"/>
  <c r="GU147" i="2421"/>
  <c r="GT184" i="2421"/>
  <c r="GT176" i="2421"/>
  <c r="GT168" i="2421"/>
  <c r="GT160" i="2421"/>
  <c r="GT152" i="2421"/>
  <c r="GT144" i="2421"/>
  <c r="GT136" i="2421"/>
  <c r="GU171" i="2421"/>
  <c r="GU149" i="2421"/>
  <c r="GT185" i="2421"/>
  <c r="GT177" i="2421"/>
  <c r="GT169" i="2421"/>
  <c r="GT161" i="2421"/>
  <c r="GT153" i="2421"/>
  <c r="GT145" i="2421"/>
  <c r="GT137" i="2421"/>
  <c r="GU172" i="2421"/>
  <c r="GU156" i="2421"/>
  <c r="GU142" i="2421"/>
  <c r="GU179" i="2421"/>
  <c r="GU143" i="2421"/>
  <c r="DX170" i="2421"/>
  <c r="DX154" i="2421"/>
  <c r="DX136" i="2421"/>
  <c r="DX171" i="2421"/>
  <c r="DX145" i="2421"/>
  <c r="DW182" i="2421"/>
  <c r="DW174" i="2421"/>
  <c r="DW166" i="2421"/>
  <c r="DW158" i="2421"/>
  <c r="DW150" i="2421"/>
  <c r="DW142" i="2421"/>
  <c r="DX183" i="2421"/>
  <c r="DX143" i="2421"/>
  <c r="DX157" i="2421"/>
  <c r="DW185" i="2421"/>
  <c r="DW177" i="2421"/>
  <c r="DW169" i="2421"/>
  <c r="DW161" i="2421"/>
  <c r="DW153" i="2421"/>
  <c r="DW145" i="2421"/>
  <c r="DW137" i="2421"/>
  <c r="DX174" i="2421"/>
  <c r="DX160" i="2421"/>
  <c r="DX144" i="2421"/>
  <c r="DX175" i="2421"/>
  <c r="DX137" i="2421"/>
  <c r="LZ186" i="2421"/>
  <c r="LZ176" i="2421"/>
  <c r="LZ162" i="2421"/>
  <c r="LZ148" i="2421"/>
  <c r="LZ185" i="2421"/>
  <c r="LZ153" i="2421"/>
  <c r="LY182" i="2421"/>
  <c r="LY174" i="2421"/>
  <c r="LY166" i="2421"/>
  <c r="LY158" i="2421"/>
  <c r="LY150" i="2421"/>
  <c r="LY142" i="2421"/>
  <c r="LZ187" i="2421"/>
  <c r="LZ157" i="2421"/>
  <c r="LZ183" i="2421"/>
  <c r="LZ147" i="2421"/>
  <c r="LY181" i="2421"/>
  <c r="LY173" i="2421"/>
  <c r="LY165" i="2421"/>
  <c r="LY157" i="2421"/>
  <c r="LY149" i="2421"/>
  <c r="LY141" i="2421"/>
  <c r="LZ174" i="2421"/>
  <c r="LZ156" i="2421"/>
  <c r="LZ138" i="2421"/>
  <c r="LZ155" i="2421"/>
  <c r="NS174" i="2421"/>
  <c r="NS158" i="2421"/>
  <c r="NS144" i="2421"/>
  <c r="NS157" i="2421"/>
  <c r="NR184" i="2421"/>
  <c r="NR176" i="2421"/>
  <c r="NR168" i="2421"/>
  <c r="NR160" i="2421"/>
  <c r="NR152" i="2421"/>
  <c r="NR144" i="2421"/>
  <c r="NR136" i="2421"/>
  <c r="NS173" i="2421"/>
  <c r="NS147" i="2421"/>
  <c r="NS179" i="2421"/>
  <c r="NS159" i="2421"/>
  <c r="NR185" i="2421"/>
  <c r="NR177" i="2421"/>
  <c r="NR169" i="2421"/>
  <c r="NR161" i="2421"/>
  <c r="NR153" i="2421"/>
  <c r="NR145" i="2421"/>
  <c r="NR137" i="2421"/>
  <c r="NS176" i="2421"/>
  <c r="NS160" i="2421"/>
  <c r="NS142" i="2421"/>
  <c r="NS143" i="2421"/>
  <c r="KV170" i="2421"/>
  <c r="KV150" i="2421"/>
  <c r="KV183" i="2421"/>
  <c r="KV157" i="2421"/>
  <c r="KU186" i="2421"/>
  <c r="KU178" i="2421"/>
  <c r="KU170" i="2421"/>
  <c r="KU162" i="2421"/>
  <c r="KU154" i="2421"/>
  <c r="KU146" i="2421"/>
  <c r="KU138" i="2421"/>
  <c r="KV169" i="2421"/>
  <c r="KV181" i="2421"/>
  <c r="KV147" i="2421"/>
  <c r="KU183" i="2421"/>
  <c r="KU175" i="2421"/>
  <c r="KU167" i="2421"/>
  <c r="KU159" i="2421"/>
  <c r="KU151" i="2421"/>
  <c r="KU143" i="2421"/>
  <c r="KV186" i="2421"/>
  <c r="KV172" i="2421"/>
  <c r="KV158" i="2421"/>
  <c r="KV144" i="2421"/>
  <c r="KV175" i="2421"/>
  <c r="KV143" i="2421"/>
  <c r="IN170" i="2421"/>
  <c r="IN152" i="2421"/>
  <c r="IN136" i="2421"/>
  <c r="IN167" i="2421"/>
  <c r="IM186" i="2421"/>
  <c r="IM178" i="2421"/>
  <c r="IM170" i="2421"/>
  <c r="IM162" i="2421"/>
  <c r="IM154" i="2421"/>
  <c r="IM146" i="2421"/>
  <c r="IM138" i="2421"/>
  <c r="IN165" i="2421"/>
  <c r="IN185" i="2421"/>
  <c r="IN155" i="2421"/>
  <c r="IM185" i="2421"/>
  <c r="IM177" i="2421"/>
  <c r="IM169" i="2421"/>
  <c r="IM161" i="2421"/>
  <c r="IM153" i="2421"/>
  <c r="IM145" i="2421"/>
  <c r="IM137" i="2421"/>
  <c r="IN174" i="2421"/>
  <c r="IN160" i="2421"/>
  <c r="IN148" i="2421"/>
  <c r="IN171" i="2421"/>
  <c r="IN137" i="2421"/>
  <c r="GF172" i="2421"/>
  <c r="GF156" i="2421"/>
  <c r="GF142" i="2421"/>
  <c r="GF179" i="2421"/>
  <c r="GF159" i="2421"/>
  <c r="GF139" i="2421"/>
  <c r="GE180" i="2421"/>
  <c r="GE172" i="2421"/>
  <c r="GE164" i="2421"/>
  <c r="GE156" i="2421"/>
  <c r="GE148" i="2421"/>
  <c r="GE140" i="2421"/>
  <c r="GF181" i="2421"/>
  <c r="GF161" i="2421"/>
  <c r="GF141" i="2421"/>
  <c r="GE183" i="2421"/>
  <c r="GE175" i="2421"/>
  <c r="GE167" i="2421"/>
  <c r="GE159" i="2421"/>
  <c r="GE151" i="2421"/>
  <c r="GE143" i="2421"/>
  <c r="GF186" i="2421"/>
  <c r="GF170" i="2421"/>
  <c r="GF152" i="2421"/>
  <c r="GF185" i="2421"/>
  <c r="GF149" i="2421"/>
  <c r="DI172" i="2421"/>
  <c r="DI154" i="2421"/>
  <c r="DI136" i="2421"/>
  <c r="DI163" i="2421"/>
  <c r="DI137" i="2421"/>
  <c r="DH180" i="2421"/>
  <c r="DH172" i="2421"/>
  <c r="DH164" i="2421"/>
  <c r="DH156" i="2421"/>
  <c r="DH148" i="2421"/>
  <c r="DH140" i="2421"/>
  <c r="DI175" i="2421"/>
  <c r="DI187" i="2421"/>
  <c r="DI153" i="2421"/>
  <c r="DH185" i="2421"/>
  <c r="DH177" i="2421"/>
  <c r="DH169" i="2421"/>
  <c r="DH161" i="2421"/>
  <c r="DH153" i="2421"/>
  <c r="DH145" i="2421"/>
  <c r="DH137" i="2421"/>
  <c r="DI174" i="2421"/>
  <c r="DI160" i="2421"/>
  <c r="DI144" i="2421"/>
  <c r="DI173" i="2421"/>
  <c r="DI139" i="2421"/>
  <c r="KV182" i="2421"/>
  <c r="KV146" i="2421"/>
  <c r="KV149" i="2421"/>
  <c r="KU176" i="2421"/>
  <c r="KU160" i="2421"/>
  <c r="KU144" i="2421"/>
  <c r="KV161" i="2421"/>
  <c r="KV139" i="2421"/>
  <c r="KU165" i="2421"/>
  <c r="KU149" i="2421"/>
  <c r="KV184" i="2421"/>
  <c r="KV154" i="2421"/>
  <c r="KV167" i="2421"/>
  <c r="IN186" i="2421"/>
  <c r="IN166" i="2421"/>
  <c r="IN187" i="2421"/>
  <c r="IM184" i="2421"/>
  <c r="IM168" i="2421"/>
  <c r="IM160" i="2421"/>
  <c r="IM144" i="2421"/>
  <c r="IN157" i="2421"/>
  <c r="IN145" i="2421"/>
  <c r="IM175" i="2421"/>
  <c r="IM159" i="2421"/>
  <c r="IM143" i="2421"/>
  <c r="IN172" i="2421"/>
  <c r="IN144" i="2421"/>
  <c r="GF140" i="2421"/>
  <c r="GE186" i="2421"/>
  <c r="GE162" i="2421"/>
  <c r="GE138" i="2421"/>
  <c r="GF155" i="2421"/>
  <c r="GE173" i="2421"/>
  <c r="GE157" i="2421"/>
  <c r="GE141" i="2421"/>
  <c r="GF166" i="2421"/>
  <c r="DI168" i="2421"/>
  <c r="DI185" i="2421"/>
  <c r="DH186" i="2421"/>
  <c r="DH170" i="2421"/>
  <c r="DH154" i="2421"/>
  <c r="DH138" i="2421"/>
  <c r="DI177" i="2421"/>
  <c r="DH183" i="2421"/>
  <c r="DH167" i="2421"/>
  <c r="DH151" i="2421"/>
  <c r="DI186" i="2421"/>
  <c r="DI156" i="2421"/>
  <c r="DI165" i="2421"/>
  <c r="DI141" i="2421"/>
  <c r="FB161" i="2421"/>
  <c r="CE170" i="2421"/>
  <c r="CE136" i="2421"/>
  <c r="CD184" i="2421"/>
  <c r="CD168" i="2421"/>
  <c r="CD152" i="2421"/>
  <c r="CD136" i="2421"/>
  <c r="CE181" i="2421"/>
  <c r="CD183" i="2421"/>
  <c r="CD167" i="2421"/>
  <c r="CD151" i="2421"/>
  <c r="CE184" i="2421"/>
  <c r="CE152" i="2421"/>
  <c r="CE165" i="2421"/>
  <c r="MO164" i="2421"/>
  <c r="MO136" i="2421"/>
  <c r="MO141" i="2421"/>
  <c r="MN172" i="2421"/>
  <c r="MN156" i="2421"/>
  <c r="MN140" i="2421"/>
  <c r="MO181" i="2421"/>
  <c r="MN185" i="2421"/>
  <c r="MN169" i="2421"/>
  <c r="MN153" i="2421"/>
  <c r="MN137" i="2421"/>
  <c r="MO158" i="2421"/>
  <c r="MO155" i="2421"/>
  <c r="OH162" i="2421"/>
  <c r="OG184" i="2421"/>
  <c r="OG168" i="2421"/>
  <c r="OG152" i="2421"/>
  <c r="OG136" i="2421"/>
  <c r="OH161" i="2421"/>
  <c r="OH175" i="2421"/>
  <c r="OH141" i="2421"/>
  <c r="OG173" i="2421"/>
  <c r="OG157" i="2421"/>
  <c r="OG149" i="2421"/>
  <c r="OG141" i="2421"/>
  <c r="OH180" i="2421"/>
  <c r="OH166" i="2421"/>
  <c r="OH154" i="2421"/>
  <c r="OH142" i="2421"/>
  <c r="QA168" i="2421"/>
  <c r="QA150" i="2421"/>
  <c r="PZ186" i="2421"/>
  <c r="PZ178" i="2421"/>
  <c r="PZ170" i="2421"/>
  <c r="PZ162" i="2421"/>
  <c r="PZ154" i="2421"/>
  <c r="PZ146" i="2421"/>
  <c r="PZ138" i="2421"/>
  <c r="QA179" i="2421"/>
  <c r="QA161" i="2421"/>
  <c r="QA143" i="2421"/>
  <c r="QA181" i="2421"/>
  <c r="QA165" i="2421"/>
  <c r="QA145" i="2421"/>
  <c r="PZ183" i="2421"/>
  <c r="PZ175" i="2421"/>
  <c r="PZ167" i="2421"/>
  <c r="PZ159" i="2421"/>
  <c r="PZ151" i="2421"/>
  <c r="PZ143" i="2421"/>
  <c r="QA186" i="2421"/>
  <c r="QA174" i="2421"/>
  <c r="QA160" i="2421"/>
  <c r="QA146" i="2421"/>
  <c r="QA163" i="2421"/>
  <c r="JC186" i="2421"/>
  <c r="JC170" i="2421"/>
  <c r="JC154" i="2421"/>
  <c r="JC138" i="2421"/>
  <c r="JC163" i="2421"/>
  <c r="JC139" i="2421"/>
  <c r="JB180" i="2421"/>
  <c r="JB172" i="2421"/>
  <c r="JB164" i="2421"/>
  <c r="JB156" i="2421"/>
  <c r="JB148" i="2421"/>
  <c r="JB140" i="2421"/>
  <c r="JC175" i="2421"/>
  <c r="JC181" i="2421"/>
  <c r="JC157" i="2421"/>
  <c r="JB187" i="2421"/>
  <c r="JB179" i="2421"/>
  <c r="JB171" i="2421"/>
  <c r="JB163" i="2421"/>
  <c r="JB155" i="2421"/>
  <c r="JB147" i="2421"/>
  <c r="JB139" i="2421"/>
  <c r="JC176" i="2421"/>
  <c r="JC160" i="2421"/>
  <c r="JC144" i="2421"/>
  <c r="JC173" i="2421"/>
  <c r="GU186" i="2421"/>
  <c r="GU170" i="2421"/>
  <c r="GU152" i="2421"/>
  <c r="GU183" i="2421"/>
  <c r="GU163" i="2421"/>
  <c r="GU141" i="2421"/>
  <c r="GT182" i="2421"/>
  <c r="GT174" i="2421"/>
  <c r="GT166" i="2421"/>
  <c r="GT158" i="2421"/>
  <c r="GT150" i="2421"/>
  <c r="GT142" i="2421"/>
  <c r="GU187" i="2421"/>
  <c r="GU165" i="2421"/>
  <c r="GU145" i="2421"/>
  <c r="GT183" i="2421"/>
  <c r="GT175" i="2421"/>
  <c r="GT167" i="2421"/>
  <c r="GT159" i="2421"/>
  <c r="GT151" i="2421"/>
  <c r="GT143" i="2421"/>
  <c r="GU184" i="2421"/>
  <c r="GU168" i="2421"/>
  <c r="GU154" i="2421"/>
  <c r="GU140" i="2421"/>
  <c r="GU169" i="2421"/>
  <c r="DX184" i="2421"/>
  <c r="DX166" i="2421"/>
  <c r="DX150" i="2421"/>
  <c r="DX187" i="2421"/>
  <c r="DX163" i="2421"/>
  <c r="DX139" i="2421"/>
  <c r="DW180" i="2421"/>
  <c r="DW172" i="2421"/>
  <c r="DW164" i="2421"/>
  <c r="DW156" i="2421"/>
  <c r="DW148" i="2421"/>
  <c r="DW140" i="2421"/>
  <c r="DX173" i="2421"/>
  <c r="DX179" i="2421"/>
  <c r="DX149" i="2421"/>
  <c r="DW183" i="2421"/>
  <c r="DW175" i="2421"/>
  <c r="DW167" i="2421"/>
  <c r="DW159" i="2421"/>
  <c r="DW151" i="2421"/>
  <c r="DW143" i="2421"/>
  <c r="DX186" i="2421"/>
  <c r="DX172" i="2421"/>
  <c r="DX156" i="2421"/>
  <c r="DX140" i="2421"/>
  <c r="DX167" i="2421"/>
  <c r="LZ182" i="2421"/>
  <c r="LZ172" i="2421"/>
  <c r="LZ158" i="2421"/>
  <c r="LZ146" i="2421"/>
  <c r="LZ177" i="2421"/>
  <c r="LZ141" i="2421"/>
  <c r="LY180" i="2421"/>
  <c r="LY172" i="2421"/>
  <c r="LY164" i="2421"/>
  <c r="LY156" i="2421"/>
  <c r="LY148" i="2421"/>
  <c r="LY140" i="2421"/>
  <c r="LZ179" i="2421"/>
  <c r="LZ151" i="2421"/>
  <c r="LZ175" i="2421"/>
  <c r="LY187" i="2421"/>
  <c r="LY179" i="2421"/>
  <c r="LY171" i="2421"/>
  <c r="LY163" i="2421"/>
  <c r="LY155" i="2421"/>
  <c r="LY147" i="2421"/>
  <c r="LY139" i="2421"/>
  <c r="LZ168" i="2421"/>
  <c r="LZ150" i="2421"/>
  <c r="LZ181" i="2421"/>
  <c r="LZ149" i="2421"/>
  <c r="NS170" i="2421"/>
  <c r="NS156" i="2421"/>
  <c r="NS140" i="2421"/>
  <c r="NS149" i="2421"/>
  <c r="NR182" i="2421"/>
  <c r="NR174" i="2421"/>
  <c r="NR166" i="2421"/>
  <c r="NR158" i="2421"/>
  <c r="NR150" i="2421"/>
  <c r="NR142" i="2421"/>
  <c r="NS185" i="2421"/>
  <c r="NS169" i="2421"/>
  <c r="NS139" i="2421"/>
  <c r="NS175" i="2421"/>
  <c r="NS153" i="2421"/>
  <c r="NR183" i="2421"/>
  <c r="NR175" i="2421"/>
  <c r="NR167" i="2421"/>
  <c r="NR159" i="2421"/>
  <c r="NR151" i="2421"/>
  <c r="NR143" i="2421"/>
  <c r="NS186" i="2421"/>
  <c r="NS172" i="2421"/>
  <c r="NS154" i="2421"/>
  <c r="NS138" i="2421"/>
  <c r="NS137" i="2421"/>
  <c r="AK149" i="2421"/>
  <c r="AK158" i="2421"/>
  <c r="AN15" i="2421"/>
  <c r="AN16" i="2421"/>
  <c r="AN17" i="2421"/>
  <c r="AN18" i="2421"/>
  <c r="AN19" i="2421"/>
  <c r="AN20" i="2421"/>
  <c r="AN21" i="2421"/>
  <c r="AN22" i="2421"/>
  <c r="AN23" i="2421"/>
  <c r="AN24" i="2421"/>
  <c r="AN25" i="2421"/>
  <c r="AN26" i="2421"/>
  <c r="AN27" i="2421"/>
  <c r="AN28" i="2421"/>
  <c r="AN29" i="2421"/>
  <c r="AN30" i="2421"/>
  <c r="AN31" i="2421"/>
  <c r="AN32" i="2421"/>
  <c r="AN33" i="2421"/>
  <c r="AN34" i="2421"/>
  <c r="AN35" i="2421"/>
  <c r="AN36" i="2421"/>
  <c r="AN37" i="2421"/>
  <c r="AN38" i="2421"/>
  <c r="AN39" i="2421"/>
  <c r="AN40" i="2421"/>
  <c r="AN41" i="2421"/>
  <c r="AN42" i="2421"/>
  <c r="AN43" i="2421"/>
  <c r="AN44" i="2421"/>
  <c r="AN45" i="2421"/>
  <c r="AN46" i="2421"/>
  <c r="AN47" i="2421"/>
  <c r="AN48" i="2421"/>
  <c r="AN49" i="2421"/>
  <c r="AN50" i="2421"/>
  <c r="AN51" i="2421"/>
  <c r="AN52" i="2421"/>
  <c r="AN53" i="2421"/>
  <c r="AN54" i="2421"/>
  <c r="AN55" i="2421"/>
  <c r="AN56" i="2421"/>
  <c r="AN57" i="2421"/>
  <c r="AN58" i="2421"/>
  <c r="AN59" i="2421"/>
  <c r="AN60" i="2421"/>
  <c r="AN61" i="2421"/>
  <c r="AN62" i="2421"/>
  <c r="AN63" i="2421"/>
  <c r="AN64" i="2421"/>
  <c r="AN65" i="2421"/>
  <c r="AN66" i="2421"/>
  <c r="AN67" i="2421"/>
  <c r="AN68" i="2421"/>
  <c r="AN69" i="2421"/>
  <c r="AN70" i="2421"/>
  <c r="AN71" i="2421"/>
  <c r="AN72" i="2421"/>
  <c r="AN73" i="2421"/>
  <c r="AN74" i="2421"/>
  <c r="AN75" i="2421"/>
  <c r="AN76" i="2421"/>
  <c r="AN77" i="2421"/>
  <c r="AN78" i="2421"/>
  <c r="AN79" i="2421"/>
  <c r="AN80" i="2421"/>
  <c r="AN81" i="2421"/>
  <c r="AN82" i="2421"/>
  <c r="AN83" i="2421"/>
  <c r="AN84" i="2421"/>
  <c r="AN85" i="2421"/>
  <c r="AN86" i="2421"/>
  <c r="AN87" i="2421"/>
  <c r="AN88" i="2421"/>
  <c r="AN89" i="2421"/>
  <c r="AN90" i="2421"/>
  <c r="AN91" i="2421"/>
  <c r="AN92" i="2421"/>
  <c r="AN93" i="2421"/>
  <c r="AN94" i="2421"/>
  <c r="AN95" i="2421"/>
  <c r="AN96" i="2421"/>
  <c r="AN97" i="2421"/>
  <c r="AN98" i="2421"/>
  <c r="AN99" i="2421"/>
  <c r="AN100" i="2421"/>
  <c r="AN101" i="2421"/>
  <c r="AN102" i="2421"/>
  <c r="AN103" i="2421"/>
  <c r="AN104" i="2421"/>
  <c r="AN105" i="2421"/>
  <c r="AN106" i="2421"/>
  <c r="AN107" i="2421"/>
  <c r="AN108" i="2421"/>
  <c r="AN109" i="2421"/>
  <c r="AN110" i="2421"/>
  <c r="AN111" i="2421"/>
  <c r="AN112" i="2421"/>
  <c r="AN113" i="2421"/>
  <c r="AO18" i="2421"/>
  <c r="AO22" i="2421"/>
  <c r="AO26" i="2421"/>
  <c r="AO30" i="2421"/>
  <c r="AO34" i="2421"/>
  <c r="AO38" i="2421"/>
  <c r="AO42" i="2421"/>
  <c r="AO46" i="2421"/>
  <c r="AO50" i="2421"/>
  <c r="AO54" i="2421"/>
  <c r="AO58" i="2421"/>
  <c r="AO62" i="2421"/>
  <c r="AO66" i="2421"/>
  <c r="AO70" i="2421"/>
  <c r="AO74" i="2421"/>
  <c r="AO78" i="2421"/>
  <c r="AO82" i="2421"/>
  <c r="AO86" i="2421"/>
  <c r="AO90" i="2421"/>
  <c r="AO94" i="2421"/>
  <c r="AO98" i="2421"/>
  <c r="AO102" i="2421"/>
  <c r="AO106" i="2421"/>
  <c r="AO110" i="2421"/>
  <c r="AO25" i="2421"/>
  <c r="AO33" i="2421"/>
  <c r="AO41" i="2421"/>
  <c r="AO49" i="2421"/>
  <c r="AO57" i="2421"/>
  <c r="AO65" i="2421"/>
  <c r="AO73" i="2421"/>
  <c r="AO77" i="2421"/>
  <c r="AO85" i="2421"/>
  <c r="AO89" i="2421"/>
  <c r="AO97" i="2421"/>
  <c r="AO101" i="2421"/>
  <c r="AO113" i="2421"/>
  <c r="AO20" i="2421"/>
  <c r="AO24" i="2421"/>
  <c r="AO28" i="2421"/>
  <c r="AO32" i="2421"/>
  <c r="AO40" i="2421"/>
  <c r="AO48" i="2421"/>
  <c r="AO56" i="2421"/>
  <c r="AO60" i="2421"/>
  <c r="AO104" i="2421"/>
  <c r="AO112" i="2421"/>
  <c r="AO19" i="2421"/>
  <c r="AO27" i="2421"/>
  <c r="AO35" i="2421"/>
  <c r="AO43" i="2421"/>
  <c r="AO51" i="2421"/>
  <c r="AO59" i="2421"/>
  <c r="AO67" i="2421"/>
  <c r="AO75" i="2421"/>
  <c r="AO83" i="2421"/>
  <c r="AO91" i="2421"/>
  <c r="AO95" i="2421"/>
  <c r="AO99" i="2421"/>
  <c r="AO107" i="2421"/>
  <c r="AO17" i="2421"/>
  <c r="AO21" i="2421"/>
  <c r="AO29" i="2421"/>
  <c r="AO37" i="2421"/>
  <c r="AO45" i="2421"/>
  <c r="AO53" i="2421"/>
  <c r="AO61" i="2421"/>
  <c r="AO69" i="2421"/>
  <c r="AO81" i="2421"/>
  <c r="AO93" i="2421"/>
  <c r="AO105" i="2421"/>
  <c r="AO109" i="2421"/>
  <c r="AO16" i="2421"/>
  <c r="AO68" i="2421"/>
  <c r="AO76" i="2421"/>
  <c r="AO80" i="2421"/>
  <c r="AO92" i="2421"/>
  <c r="AO96" i="2421"/>
  <c r="AO108" i="2421"/>
  <c r="AO15" i="2421"/>
  <c r="N14" i="2413" s="1"/>
  <c r="AO23" i="2421"/>
  <c r="AO31" i="2421"/>
  <c r="AO39" i="2421"/>
  <c r="AO47" i="2421"/>
  <c r="AO55" i="2421"/>
  <c r="AO63" i="2421"/>
  <c r="AO71" i="2421"/>
  <c r="AO79" i="2421"/>
  <c r="AO87" i="2421"/>
  <c r="AO103" i="2421"/>
  <c r="AO111" i="2421"/>
  <c r="AO36" i="2421"/>
  <c r="AO44" i="2421"/>
  <c r="AO52" i="2421"/>
  <c r="AO64" i="2421"/>
  <c r="AO72" i="2421"/>
  <c r="AO84" i="2421"/>
  <c r="AO88" i="2421"/>
  <c r="AO100" i="2421"/>
  <c r="AQ15" i="2421"/>
  <c r="O14" i="2413" s="1"/>
  <c r="AQ16" i="2421"/>
  <c r="AQ17" i="2421"/>
  <c r="AQ18" i="2421"/>
  <c r="AQ19" i="2421"/>
  <c r="AQ20" i="2421"/>
  <c r="AQ21" i="2421"/>
  <c r="AQ22" i="2421"/>
  <c r="AQ23" i="2421"/>
  <c r="AQ24" i="2421"/>
  <c r="AQ25" i="2421"/>
  <c r="AQ26" i="2421"/>
  <c r="AQ27" i="2421"/>
  <c r="AQ28" i="2421"/>
  <c r="AQ29" i="2421"/>
  <c r="AQ30" i="2421"/>
  <c r="AQ31" i="2421"/>
  <c r="AQ32" i="2421"/>
  <c r="AQ33" i="2421"/>
  <c r="AQ34" i="2421"/>
  <c r="AQ35" i="2421"/>
  <c r="AQ36" i="2421"/>
  <c r="AQ37" i="2421"/>
  <c r="AQ38" i="2421"/>
  <c r="AQ39" i="2421"/>
  <c r="AQ40" i="2421"/>
  <c r="AQ41" i="2421"/>
  <c r="AQ42" i="2421"/>
  <c r="AQ43" i="2421"/>
  <c r="AQ44" i="2421"/>
  <c r="AQ45" i="2421"/>
  <c r="AQ46" i="2421"/>
  <c r="AQ47" i="2421"/>
  <c r="AQ48" i="2421"/>
  <c r="AQ49" i="2421"/>
  <c r="AQ50" i="2421"/>
  <c r="AQ51" i="2421"/>
  <c r="AQ52" i="2421"/>
  <c r="AQ53" i="2421"/>
  <c r="AQ54" i="2421"/>
  <c r="AQ55" i="2421"/>
  <c r="AQ56" i="2421"/>
  <c r="AQ57" i="2421"/>
  <c r="AQ58" i="2421"/>
  <c r="AQ59" i="2421"/>
  <c r="AQ60" i="2421"/>
  <c r="AQ61" i="2421"/>
  <c r="AQ62" i="2421"/>
  <c r="AQ63" i="2421"/>
  <c r="AQ64" i="2421"/>
  <c r="AQ65" i="2421"/>
  <c r="AQ66" i="2421"/>
  <c r="AQ67" i="2421"/>
  <c r="AQ68" i="2421"/>
  <c r="AQ69" i="2421"/>
  <c r="AQ70" i="2421"/>
  <c r="AQ71" i="2421"/>
  <c r="AQ72" i="2421"/>
  <c r="AQ73" i="2421"/>
  <c r="AQ74" i="2421"/>
  <c r="AQ75" i="2421"/>
  <c r="AQ76" i="2421"/>
  <c r="AQ77" i="2421"/>
  <c r="AQ78" i="2421"/>
  <c r="AQ79" i="2421"/>
  <c r="AQ80" i="2421"/>
  <c r="AQ81" i="2421"/>
  <c r="AQ82" i="2421"/>
  <c r="AQ83" i="2421"/>
  <c r="AQ84" i="2421"/>
  <c r="AQ85" i="2421"/>
  <c r="AQ86" i="2421"/>
  <c r="AQ87" i="2421"/>
  <c r="AQ88" i="2421"/>
  <c r="AQ89" i="2421"/>
  <c r="AQ90" i="2421"/>
  <c r="AQ91" i="2421"/>
  <c r="AQ92" i="2421"/>
  <c r="AQ93" i="2421"/>
  <c r="AQ94" i="2421"/>
  <c r="AQ95" i="2421"/>
  <c r="AQ96" i="2421"/>
  <c r="AQ97" i="2421"/>
  <c r="AQ98" i="2421"/>
  <c r="AQ99" i="2421"/>
  <c r="AQ100" i="2421"/>
  <c r="AQ101" i="2421"/>
  <c r="AQ102" i="2421"/>
  <c r="AQ103" i="2421"/>
  <c r="AQ104" i="2421"/>
  <c r="AQ105" i="2421"/>
  <c r="AQ106" i="2421"/>
  <c r="AQ107" i="2421"/>
  <c r="AQ108" i="2421"/>
  <c r="AQ109" i="2421"/>
  <c r="AQ110" i="2421"/>
  <c r="AQ111" i="2421"/>
  <c r="AQ112" i="2421"/>
  <c r="AQ113" i="2421"/>
  <c r="AN4" i="2413"/>
  <c r="BX4" i="2413"/>
  <c r="AL108" i="2413"/>
  <c r="Q110" i="2413"/>
  <c r="AK108" i="2413"/>
  <c r="S110" i="2413"/>
  <c r="S17" i="2413"/>
  <c r="AM108" i="2413"/>
  <c r="DZ13" i="2413"/>
  <c r="EA13" i="2413"/>
  <c r="R110" i="2413"/>
  <c r="R17" i="2413"/>
  <c r="AU14" i="2421"/>
  <c r="AK118" i="2421"/>
  <c r="AL118" i="2421" s="1"/>
  <c r="N21" i="2413"/>
  <c r="N109" i="2413"/>
  <c r="N20" i="2413"/>
  <c r="N18" i="2413"/>
  <c r="AO14" i="2421"/>
  <c r="N13" i="2413" s="1"/>
  <c r="N15" i="2413"/>
  <c r="N17" i="2413"/>
  <c r="N16" i="2413"/>
  <c r="N19" i="2413"/>
  <c r="AN14" i="2421"/>
  <c r="AX14" i="2421" s="1"/>
  <c r="O20" i="2413"/>
  <c r="O18" i="2413"/>
  <c r="O109" i="2413"/>
  <c r="O16" i="2413"/>
  <c r="O21" i="2413"/>
  <c r="O15" i="2413"/>
  <c r="AQ14" i="2421"/>
  <c r="O17" i="2413"/>
  <c r="O19" i="2413"/>
  <c r="AF135" i="2421"/>
  <c r="BM14" i="2421" l="1"/>
  <c r="Q13" i="2413"/>
  <c r="AZ117" i="2421"/>
  <c r="BA117" i="2421" s="1"/>
  <c r="BA128" i="2421" s="1"/>
  <c r="P4" i="2413" s="1"/>
  <c r="BE98" i="2421"/>
  <c r="BG98" i="2421"/>
  <c r="BI98" i="2421" s="1"/>
  <c r="BE84" i="2421"/>
  <c r="BG84" i="2421"/>
  <c r="BI84" i="2421" s="1"/>
  <c r="BG26" i="2421"/>
  <c r="BI26" i="2421" s="1"/>
  <c r="BE26" i="2421"/>
  <c r="BE37" i="2421"/>
  <c r="BG37" i="2421"/>
  <c r="BI37" i="2421" s="1"/>
  <c r="BG89" i="2421"/>
  <c r="BI89" i="2421" s="1"/>
  <c r="BE89" i="2421"/>
  <c r="BE20" i="2421"/>
  <c r="BG20" i="2421"/>
  <c r="BI20" i="2421" s="1"/>
  <c r="BE72" i="2421"/>
  <c r="BG72" i="2421"/>
  <c r="BI72" i="2421" s="1"/>
  <c r="BG54" i="2421"/>
  <c r="BI54" i="2421" s="1"/>
  <c r="BE54" i="2421"/>
  <c r="BE99" i="2421"/>
  <c r="BG99" i="2421"/>
  <c r="BI99" i="2421" s="1"/>
  <c r="BE25" i="2421"/>
  <c r="BG25" i="2421"/>
  <c r="BI25" i="2421" s="1"/>
  <c r="BG41" i="2421"/>
  <c r="BI41" i="2421" s="1"/>
  <c r="BE41" i="2421"/>
  <c r="BG70" i="2421"/>
  <c r="BI70" i="2421" s="1"/>
  <c r="BE70" i="2421"/>
  <c r="BG60" i="2421"/>
  <c r="BI60" i="2421" s="1"/>
  <c r="BE60" i="2421"/>
  <c r="BE90" i="2421"/>
  <c r="BG90" i="2421"/>
  <c r="BI90" i="2421" s="1"/>
  <c r="BE102" i="2421"/>
  <c r="BG102" i="2421"/>
  <c r="BI102" i="2421" s="1"/>
  <c r="BG80" i="2421"/>
  <c r="BI80" i="2421" s="1"/>
  <c r="BE80" i="2421"/>
  <c r="BG73" i="2421"/>
  <c r="BI73" i="2421" s="1"/>
  <c r="BE73" i="2421"/>
  <c r="BG63" i="2421"/>
  <c r="BI63" i="2421" s="1"/>
  <c r="BE63" i="2421"/>
  <c r="BE101" i="2421"/>
  <c r="BG101" i="2421"/>
  <c r="BI101" i="2421" s="1"/>
  <c r="BE74" i="2421"/>
  <c r="BG74" i="2421"/>
  <c r="BI74" i="2421" s="1"/>
  <c r="BE14" i="2421"/>
  <c r="BG14" i="2421"/>
  <c r="BI14" i="2421" s="1"/>
  <c r="BK14" i="2421" s="1"/>
  <c r="BE66" i="2421"/>
  <c r="BG66" i="2421"/>
  <c r="BI66" i="2421" s="1"/>
  <c r="BG50" i="2421"/>
  <c r="BI50" i="2421" s="1"/>
  <c r="BE50" i="2421"/>
  <c r="BG112" i="2421"/>
  <c r="BI112" i="2421" s="1"/>
  <c r="BE112" i="2421"/>
  <c r="BE108" i="2421"/>
  <c r="BG108" i="2421"/>
  <c r="BI108" i="2421" s="1"/>
  <c r="BG24" i="2421"/>
  <c r="BI24" i="2421" s="1"/>
  <c r="BE24" i="2421"/>
  <c r="BG104" i="2421"/>
  <c r="BI104" i="2421" s="1"/>
  <c r="BE104" i="2421"/>
  <c r="BE81" i="2421"/>
  <c r="BG81" i="2421"/>
  <c r="BI81" i="2421" s="1"/>
  <c r="BG110" i="2421"/>
  <c r="BI110" i="2421" s="1"/>
  <c r="BE110" i="2421"/>
  <c r="BG30" i="2421"/>
  <c r="BI30" i="2421" s="1"/>
  <c r="BE30" i="2421"/>
  <c r="BE17" i="2421"/>
  <c r="BG17" i="2421"/>
  <c r="BI17" i="2421" s="1"/>
  <c r="BG31" i="2421"/>
  <c r="BI31" i="2421" s="1"/>
  <c r="BE31" i="2421"/>
  <c r="BE44" i="2421"/>
  <c r="BG44" i="2421"/>
  <c r="BI44" i="2421" s="1"/>
  <c r="BE78" i="2421"/>
  <c r="BG78" i="2421"/>
  <c r="BI78" i="2421" s="1"/>
  <c r="BE56" i="2421"/>
  <c r="BG56" i="2421"/>
  <c r="BI56" i="2421" s="1"/>
  <c r="BG113" i="2421"/>
  <c r="BI113" i="2421" s="1"/>
  <c r="BE113" i="2421"/>
  <c r="BE95" i="2421"/>
  <c r="BG95" i="2421"/>
  <c r="BI95" i="2421" s="1"/>
  <c r="BG58" i="2421"/>
  <c r="BI58" i="2421" s="1"/>
  <c r="BE58" i="2421"/>
  <c r="BE39" i="2421"/>
  <c r="BG39" i="2421"/>
  <c r="BI39" i="2421" s="1"/>
  <c r="BE105" i="2421"/>
  <c r="BG105" i="2421"/>
  <c r="BI105" i="2421" s="1"/>
  <c r="BE32" i="2421"/>
  <c r="BG32" i="2421"/>
  <c r="BI32" i="2421" s="1"/>
  <c r="BE21" i="2421"/>
  <c r="BG21" i="2421"/>
  <c r="BI21" i="2421" s="1"/>
  <c r="BK21" i="2421" s="1"/>
  <c r="BE33" i="2421"/>
  <c r="BG33" i="2421"/>
  <c r="BI33" i="2421" s="1"/>
  <c r="BE111" i="2421"/>
  <c r="BG111" i="2421"/>
  <c r="BI111" i="2421" s="1"/>
  <c r="BE47" i="2421"/>
  <c r="BG47" i="2421"/>
  <c r="BI47" i="2421" s="1"/>
  <c r="BG97" i="2421"/>
  <c r="BI97" i="2421" s="1"/>
  <c r="BE97" i="2421"/>
  <c r="BG65" i="2421"/>
  <c r="BI65" i="2421" s="1"/>
  <c r="BE65" i="2421"/>
  <c r="BE79" i="2421"/>
  <c r="BG79" i="2421"/>
  <c r="BI79" i="2421" s="1"/>
  <c r="BE61" i="2421"/>
  <c r="BG61" i="2421"/>
  <c r="BI61" i="2421" s="1"/>
  <c r="BE91" i="2421"/>
  <c r="BG91" i="2421"/>
  <c r="BI91" i="2421" s="1"/>
  <c r="BG86" i="2421"/>
  <c r="BI86" i="2421" s="1"/>
  <c r="BE86" i="2421"/>
  <c r="BE15" i="2421"/>
  <c r="BG15" i="2421"/>
  <c r="BI15" i="2421" s="1"/>
  <c r="BK15" i="2421" s="1"/>
  <c r="BE100" i="2421"/>
  <c r="BG100" i="2421"/>
  <c r="BI100" i="2421" s="1"/>
  <c r="BG87" i="2421"/>
  <c r="BI87" i="2421" s="1"/>
  <c r="BE87" i="2421"/>
  <c r="BE85" i="2421"/>
  <c r="BG85" i="2421"/>
  <c r="BI85" i="2421" s="1"/>
  <c r="BE35" i="2421"/>
  <c r="BG35" i="2421"/>
  <c r="BI35" i="2421" s="1"/>
  <c r="BE75" i="2421"/>
  <c r="BG75" i="2421"/>
  <c r="BI75" i="2421" s="1"/>
  <c r="BE69" i="2421"/>
  <c r="BG69" i="2421"/>
  <c r="BI69" i="2421" s="1"/>
  <c r="BG22" i="2421"/>
  <c r="BI22" i="2421" s="1"/>
  <c r="BK22" i="2421" s="1"/>
  <c r="BE22" i="2421"/>
  <c r="BE83" i="2421"/>
  <c r="BG83" i="2421"/>
  <c r="BI83" i="2421" s="1"/>
  <c r="BG68" i="2421"/>
  <c r="BI68" i="2421" s="1"/>
  <c r="BE68" i="2421"/>
  <c r="BG18" i="2421"/>
  <c r="BI18" i="2421" s="1"/>
  <c r="BE18" i="2421"/>
  <c r="BE93" i="2421"/>
  <c r="BG93" i="2421"/>
  <c r="BI93" i="2421" s="1"/>
  <c r="BG53" i="2421"/>
  <c r="BI53" i="2421" s="1"/>
  <c r="BE53" i="2421"/>
  <c r="BE77" i="2421"/>
  <c r="BG77" i="2421"/>
  <c r="BI77" i="2421" s="1"/>
  <c r="BE34" i="2421"/>
  <c r="BG34" i="2421"/>
  <c r="BI34" i="2421" s="1"/>
  <c r="BE36" i="2421"/>
  <c r="BG36" i="2421"/>
  <c r="BI36" i="2421" s="1"/>
  <c r="BE38" i="2421"/>
  <c r="BG38" i="2421"/>
  <c r="BI38" i="2421" s="1"/>
  <c r="BE107" i="2421"/>
  <c r="BG107" i="2421"/>
  <c r="BI107" i="2421" s="1"/>
  <c r="BE19" i="2421"/>
  <c r="BG19" i="2421"/>
  <c r="BI19" i="2421" s="1"/>
  <c r="BG51" i="2421"/>
  <c r="BI51" i="2421" s="1"/>
  <c r="BE51" i="2421"/>
  <c r="BG59" i="2421"/>
  <c r="BI59" i="2421" s="1"/>
  <c r="BE59" i="2421"/>
  <c r="BE88" i="2421"/>
  <c r="BG88" i="2421"/>
  <c r="BI88" i="2421" s="1"/>
  <c r="BG45" i="2421"/>
  <c r="BI45" i="2421" s="1"/>
  <c r="BE45" i="2421"/>
  <c r="BE57" i="2421"/>
  <c r="BG57" i="2421"/>
  <c r="BI57" i="2421" s="1"/>
  <c r="BE42" i="2421"/>
  <c r="BG42" i="2421"/>
  <c r="BI42" i="2421" s="1"/>
  <c r="BG48" i="2421"/>
  <c r="BI48" i="2421" s="1"/>
  <c r="BE48" i="2421"/>
  <c r="BE92" i="2421"/>
  <c r="BG92" i="2421"/>
  <c r="BI92" i="2421" s="1"/>
  <c r="BG71" i="2421"/>
  <c r="BI71" i="2421" s="1"/>
  <c r="BE71" i="2421"/>
  <c r="BE64" i="2421"/>
  <c r="BG64" i="2421"/>
  <c r="BI64" i="2421" s="1"/>
  <c r="BE49" i="2421"/>
  <c r="BG49" i="2421"/>
  <c r="BI49" i="2421" s="1"/>
  <c r="BG76" i="2421"/>
  <c r="BI76" i="2421" s="1"/>
  <c r="BE76" i="2421"/>
  <c r="BE16" i="2421"/>
  <c r="BG16" i="2421"/>
  <c r="BI16" i="2421" s="1"/>
  <c r="BK16" i="2421" s="1"/>
  <c r="BE96" i="2421"/>
  <c r="BG96" i="2421"/>
  <c r="BI96" i="2421" s="1"/>
  <c r="BG106" i="2421"/>
  <c r="BI106" i="2421" s="1"/>
  <c r="BE106" i="2421"/>
  <c r="BE52" i="2421"/>
  <c r="BG52" i="2421"/>
  <c r="BI52" i="2421" s="1"/>
  <c r="BE62" i="2421"/>
  <c r="BG62" i="2421"/>
  <c r="BI62" i="2421" s="1"/>
  <c r="BG82" i="2421"/>
  <c r="BI82" i="2421" s="1"/>
  <c r="BE82" i="2421"/>
  <c r="BE27" i="2421"/>
  <c r="BG27" i="2421"/>
  <c r="BI27" i="2421" s="1"/>
  <c r="BE29" i="2421"/>
  <c r="BG29" i="2421"/>
  <c r="BI29" i="2421" s="1"/>
  <c r="BE94" i="2421"/>
  <c r="BG94" i="2421"/>
  <c r="BI94" i="2421" s="1"/>
  <c r="BE23" i="2421"/>
  <c r="BG23" i="2421"/>
  <c r="BI23" i="2421" s="1"/>
  <c r="BG67" i="2421"/>
  <c r="BI67" i="2421" s="1"/>
  <c r="BE67" i="2421"/>
  <c r="BG46" i="2421"/>
  <c r="BI46" i="2421" s="1"/>
  <c r="BE46" i="2421"/>
  <c r="BG103" i="2421"/>
  <c r="BI103" i="2421" s="1"/>
  <c r="BE103" i="2421"/>
  <c r="BE109" i="2421"/>
  <c r="BG109" i="2421"/>
  <c r="BI109" i="2421" s="1"/>
  <c r="BG43" i="2421"/>
  <c r="BI43" i="2421" s="1"/>
  <c r="BE43" i="2421"/>
  <c r="BE55" i="2421"/>
  <c r="BG55" i="2421"/>
  <c r="BI55" i="2421" s="1"/>
  <c r="BG28" i="2421"/>
  <c r="BI28" i="2421" s="1"/>
  <c r="BE28" i="2421"/>
  <c r="BE40" i="2421"/>
  <c r="BG40" i="2421"/>
  <c r="BI40" i="2421" s="1"/>
  <c r="AR14" i="2421"/>
  <c r="AT14" i="2421" s="1"/>
  <c r="AV14" i="2421" s="1"/>
  <c r="AS14" i="2421"/>
  <c r="AP111" i="2421"/>
  <c r="AR111" i="2421"/>
  <c r="AT111" i="2421" s="1"/>
  <c r="AP99" i="2421"/>
  <c r="AR99" i="2421"/>
  <c r="AT99" i="2421" s="1"/>
  <c r="AP83" i="2421"/>
  <c r="AR83" i="2421"/>
  <c r="AT83" i="2421" s="1"/>
  <c r="AP67" i="2421"/>
  <c r="AR67" i="2421"/>
  <c r="AT67" i="2421" s="1"/>
  <c r="AP59" i="2421"/>
  <c r="AR59" i="2421"/>
  <c r="AT59" i="2421" s="1"/>
  <c r="AP47" i="2421"/>
  <c r="AR47" i="2421"/>
  <c r="AT47" i="2421" s="1"/>
  <c r="AP39" i="2421"/>
  <c r="AR39" i="2421"/>
  <c r="AT39" i="2421" s="1"/>
  <c r="AP31" i="2421"/>
  <c r="AR31" i="2421"/>
  <c r="AT31" i="2421" s="1"/>
  <c r="AP19" i="2421"/>
  <c r="AR19" i="2421"/>
  <c r="AT19" i="2421" s="1"/>
  <c r="AP107" i="2421"/>
  <c r="AR107" i="2421"/>
  <c r="AT107" i="2421" s="1"/>
  <c r="AP95" i="2421"/>
  <c r="AR95" i="2421"/>
  <c r="AT95" i="2421" s="1"/>
  <c r="AP87" i="2421"/>
  <c r="AR87" i="2421"/>
  <c r="AT87" i="2421" s="1"/>
  <c r="AP79" i="2421"/>
  <c r="AR79" i="2421"/>
  <c r="AT79" i="2421" s="1"/>
  <c r="AP71" i="2421"/>
  <c r="AR71" i="2421"/>
  <c r="AT71" i="2421" s="1"/>
  <c r="AP63" i="2421"/>
  <c r="AR63" i="2421"/>
  <c r="AT63" i="2421" s="1"/>
  <c r="AP51" i="2421"/>
  <c r="AR51" i="2421"/>
  <c r="AT51" i="2421" s="1"/>
  <c r="AP43" i="2421"/>
  <c r="AR43" i="2421"/>
  <c r="AT43" i="2421" s="1"/>
  <c r="AP35" i="2421"/>
  <c r="AR35" i="2421"/>
  <c r="AT35" i="2421" s="1"/>
  <c r="AP27" i="2421"/>
  <c r="AR27" i="2421"/>
  <c r="AT27" i="2421" s="1"/>
  <c r="AP23" i="2421"/>
  <c r="AR23" i="2421"/>
  <c r="AT23" i="2421" s="1"/>
  <c r="AP15" i="2421"/>
  <c r="AR15" i="2421"/>
  <c r="AT15" i="2421" s="1"/>
  <c r="AV15" i="2421" s="1"/>
  <c r="AP110" i="2421"/>
  <c r="AR110" i="2421"/>
  <c r="AT110" i="2421" s="1"/>
  <c r="AP106" i="2421"/>
  <c r="AR106" i="2421"/>
  <c r="AT106" i="2421" s="1"/>
  <c r="AP102" i="2421"/>
  <c r="AR102" i="2421"/>
  <c r="AT102" i="2421" s="1"/>
  <c r="AP98" i="2421"/>
  <c r="AR98" i="2421"/>
  <c r="AT98" i="2421" s="1"/>
  <c r="AP94" i="2421"/>
  <c r="AR94" i="2421"/>
  <c r="AT94" i="2421" s="1"/>
  <c r="AP90" i="2421"/>
  <c r="AR90" i="2421"/>
  <c r="AT90" i="2421" s="1"/>
  <c r="AP86" i="2421"/>
  <c r="AR86" i="2421"/>
  <c r="AT86" i="2421" s="1"/>
  <c r="AP82" i="2421"/>
  <c r="AR82" i="2421"/>
  <c r="AT82" i="2421" s="1"/>
  <c r="AP78" i="2421"/>
  <c r="AR78" i="2421"/>
  <c r="AT78" i="2421" s="1"/>
  <c r="AP74" i="2421"/>
  <c r="AR74" i="2421"/>
  <c r="AT74" i="2421" s="1"/>
  <c r="AP70" i="2421"/>
  <c r="AR70" i="2421"/>
  <c r="AT70" i="2421" s="1"/>
  <c r="AP66" i="2421"/>
  <c r="AR66" i="2421"/>
  <c r="AT66" i="2421" s="1"/>
  <c r="AP62" i="2421"/>
  <c r="AR62" i="2421"/>
  <c r="AT62" i="2421" s="1"/>
  <c r="AP58" i="2421"/>
  <c r="AR58" i="2421"/>
  <c r="AT58" i="2421" s="1"/>
  <c r="AP54" i="2421"/>
  <c r="AR54" i="2421"/>
  <c r="AT54" i="2421" s="1"/>
  <c r="AP50" i="2421"/>
  <c r="AR50" i="2421"/>
  <c r="AT50" i="2421" s="1"/>
  <c r="AP46" i="2421"/>
  <c r="AR46" i="2421"/>
  <c r="AT46" i="2421" s="1"/>
  <c r="AP42" i="2421"/>
  <c r="AR42" i="2421"/>
  <c r="AT42" i="2421" s="1"/>
  <c r="AP38" i="2421"/>
  <c r="AR38" i="2421"/>
  <c r="AT38" i="2421" s="1"/>
  <c r="AP34" i="2421"/>
  <c r="AR34" i="2421"/>
  <c r="AT34" i="2421" s="1"/>
  <c r="AP30" i="2421"/>
  <c r="AR30" i="2421"/>
  <c r="AT30" i="2421" s="1"/>
  <c r="AP26" i="2421"/>
  <c r="AR26" i="2421"/>
  <c r="AT26" i="2421" s="1"/>
  <c r="AP22" i="2421"/>
  <c r="AR22" i="2421"/>
  <c r="AT22" i="2421" s="1"/>
  <c r="AP18" i="2421"/>
  <c r="AR18" i="2421"/>
  <c r="AT18" i="2421" s="1"/>
  <c r="AP103" i="2421"/>
  <c r="AR103" i="2421"/>
  <c r="AT103" i="2421" s="1"/>
  <c r="AP91" i="2421"/>
  <c r="AR91" i="2421"/>
  <c r="AT91" i="2421" s="1"/>
  <c r="AP75" i="2421"/>
  <c r="AR75" i="2421"/>
  <c r="AT75" i="2421" s="1"/>
  <c r="AP55" i="2421"/>
  <c r="AR55" i="2421"/>
  <c r="AT55" i="2421" s="1"/>
  <c r="KU135" i="2421"/>
  <c r="BO135" i="2421"/>
  <c r="KF135" i="2421"/>
  <c r="QO135" i="2421"/>
  <c r="HI135" i="2421"/>
  <c r="NR135" i="2421"/>
  <c r="EL135" i="2421"/>
  <c r="IM135" i="2421"/>
  <c r="RD135" i="2421"/>
  <c r="HX135" i="2421"/>
  <c r="OG135" i="2421"/>
  <c r="FA135" i="2421"/>
  <c r="LJ135" i="2421"/>
  <c r="CD135" i="2421"/>
  <c r="PK135" i="2421"/>
  <c r="GE135" i="2421"/>
  <c r="OV135" i="2421"/>
  <c r="FP135" i="2421"/>
  <c r="LY135" i="2421"/>
  <c r="CS135" i="2421"/>
  <c r="JB135" i="2421"/>
  <c r="AZ135" i="2421"/>
  <c r="NC135" i="2421"/>
  <c r="DW135" i="2421"/>
  <c r="MN135" i="2421"/>
  <c r="DH135" i="2421"/>
  <c r="JQ135" i="2421"/>
  <c r="PZ135" i="2421"/>
  <c r="GT135" i="2421"/>
  <c r="AK135" i="2421"/>
  <c r="KG135" i="2421"/>
  <c r="IN135" i="2421"/>
  <c r="JR135" i="2421"/>
  <c r="ND135" i="2421"/>
  <c r="NS135" i="2421"/>
  <c r="EM135" i="2421"/>
  <c r="DX135" i="2421"/>
  <c r="HY135" i="2421"/>
  <c r="HJ135" i="2421"/>
  <c r="LK135" i="2421"/>
  <c r="AL135" i="2421"/>
  <c r="FQ135" i="2421"/>
  <c r="FB135" i="2421"/>
  <c r="JC135" i="2421"/>
  <c r="BA135" i="2421"/>
  <c r="QP135" i="2421"/>
  <c r="OW135" i="2421"/>
  <c r="PL135" i="2421"/>
  <c r="KV135" i="2421"/>
  <c r="OH135" i="2421"/>
  <c r="MO135" i="2421"/>
  <c r="DI135" i="2421"/>
  <c r="LZ135" i="2421"/>
  <c r="CT135" i="2421"/>
  <c r="QA135" i="2421"/>
  <c r="GU135" i="2421"/>
  <c r="GF135" i="2421"/>
  <c r="RE135" i="2421"/>
  <c r="BP135" i="2421"/>
  <c r="CE135" i="2421"/>
  <c r="AP113" i="2421"/>
  <c r="AR113" i="2421"/>
  <c r="AT113" i="2421" s="1"/>
  <c r="AP109" i="2421"/>
  <c r="AR109" i="2421"/>
  <c r="AT109" i="2421" s="1"/>
  <c r="AP105" i="2421"/>
  <c r="AR105" i="2421"/>
  <c r="AT105" i="2421" s="1"/>
  <c r="AP101" i="2421"/>
  <c r="AR101" i="2421"/>
  <c r="AT101" i="2421" s="1"/>
  <c r="AP97" i="2421"/>
  <c r="AR97" i="2421"/>
  <c r="AT97" i="2421" s="1"/>
  <c r="AP93" i="2421"/>
  <c r="AR93" i="2421"/>
  <c r="AT93" i="2421" s="1"/>
  <c r="AP89" i="2421"/>
  <c r="AR89" i="2421"/>
  <c r="AT89" i="2421" s="1"/>
  <c r="AP85" i="2421"/>
  <c r="AR85" i="2421"/>
  <c r="AT85" i="2421" s="1"/>
  <c r="AP81" i="2421"/>
  <c r="AR81" i="2421"/>
  <c r="AT81" i="2421" s="1"/>
  <c r="AP77" i="2421"/>
  <c r="AR77" i="2421"/>
  <c r="AT77" i="2421" s="1"/>
  <c r="AP73" i="2421"/>
  <c r="AR73" i="2421"/>
  <c r="AT73" i="2421" s="1"/>
  <c r="AP69" i="2421"/>
  <c r="AR69" i="2421"/>
  <c r="AT69" i="2421" s="1"/>
  <c r="AP65" i="2421"/>
  <c r="AR65" i="2421"/>
  <c r="AT65" i="2421" s="1"/>
  <c r="AP61" i="2421"/>
  <c r="AR61" i="2421"/>
  <c r="AT61" i="2421" s="1"/>
  <c r="AP57" i="2421"/>
  <c r="AR57" i="2421"/>
  <c r="AT57" i="2421" s="1"/>
  <c r="AP53" i="2421"/>
  <c r="AR53" i="2421"/>
  <c r="AT53" i="2421" s="1"/>
  <c r="AP49" i="2421"/>
  <c r="AR49" i="2421"/>
  <c r="AT49" i="2421" s="1"/>
  <c r="AP45" i="2421"/>
  <c r="AR45" i="2421"/>
  <c r="AT45" i="2421" s="1"/>
  <c r="AP41" i="2421"/>
  <c r="AR41" i="2421"/>
  <c r="AT41" i="2421" s="1"/>
  <c r="AP37" i="2421"/>
  <c r="AR37" i="2421"/>
  <c r="AT37" i="2421" s="1"/>
  <c r="AP33" i="2421"/>
  <c r="AR33" i="2421"/>
  <c r="AT33" i="2421" s="1"/>
  <c r="AP29" i="2421"/>
  <c r="AR29" i="2421"/>
  <c r="AT29" i="2421" s="1"/>
  <c r="AP25" i="2421"/>
  <c r="AR25" i="2421"/>
  <c r="AT25" i="2421" s="1"/>
  <c r="AP21" i="2421"/>
  <c r="AR21" i="2421"/>
  <c r="AT21" i="2421" s="1"/>
  <c r="AP17" i="2421"/>
  <c r="AR17" i="2421"/>
  <c r="AT17" i="2421" s="1"/>
  <c r="AP112" i="2421"/>
  <c r="AR112" i="2421"/>
  <c r="AT112" i="2421" s="1"/>
  <c r="AP108" i="2421"/>
  <c r="AR108" i="2421"/>
  <c r="AT108" i="2421" s="1"/>
  <c r="AP104" i="2421"/>
  <c r="AR104" i="2421"/>
  <c r="AT104" i="2421" s="1"/>
  <c r="AP100" i="2421"/>
  <c r="AR100" i="2421"/>
  <c r="AT100" i="2421" s="1"/>
  <c r="AP96" i="2421"/>
  <c r="AR96" i="2421"/>
  <c r="AT96" i="2421" s="1"/>
  <c r="AP92" i="2421"/>
  <c r="AR92" i="2421"/>
  <c r="AT92" i="2421" s="1"/>
  <c r="AP88" i="2421"/>
  <c r="AR88" i="2421"/>
  <c r="AT88" i="2421" s="1"/>
  <c r="AP84" i="2421"/>
  <c r="AR84" i="2421"/>
  <c r="AT84" i="2421" s="1"/>
  <c r="AP80" i="2421"/>
  <c r="AR80" i="2421"/>
  <c r="AT80" i="2421" s="1"/>
  <c r="AP76" i="2421"/>
  <c r="AR76" i="2421"/>
  <c r="AT76" i="2421" s="1"/>
  <c r="AP72" i="2421"/>
  <c r="AR72" i="2421"/>
  <c r="AT72" i="2421" s="1"/>
  <c r="AP68" i="2421"/>
  <c r="AR68" i="2421"/>
  <c r="AT68" i="2421" s="1"/>
  <c r="AP64" i="2421"/>
  <c r="AR64" i="2421"/>
  <c r="AT64" i="2421" s="1"/>
  <c r="AP60" i="2421"/>
  <c r="AR60" i="2421"/>
  <c r="AT60" i="2421" s="1"/>
  <c r="AP56" i="2421"/>
  <c r="AR56" i="2421"/>
  <c r="AT56" i="2421" s="1"/>
  <c r="AP52" i="2421"/>
  <c r="AR52" i="2421"/>
  <c r="AT52" i="2421" s="1"/>
  <c r="AP48" i="2421"/>
  <c r="AR48" i="2421"/>
  <c r="AT48" i="2421" s="1"/>
  <c r="AP44" i="2421"/>
  <c r="AR44" i="2421"/>
  <c r="AT44" i="2421" s="1"/>
  <c r="AP40" i="2421"/>
  <c r="AR40" i="2421"/>
  <c r="AT40" i="2421" s="1"/>
  <c r="AP36" i="2421"/>
  <c r="AR36" i="2421"/>
  <c r="AT36" i="2421" s="1"/>
  <c r="AP32" i="2421"/>
  <c r="AR32" i="2421"/>
  <c r="AT32" i="2421" s="1"/>
  <c r="AP28" i="2421"/>
  <c r="AR28" i="2421"/>
  <c r="AT28" i="2421" s="1"/>
  <c r="AP24" i="2421"/>
  <c r="AR24" i="2421"/>
  <c r="AT24" i="2421" s="1"/>
  <c r="AP20" i="2421"/>
  <c r="AR20" i="2421"/>
  <c r="AT20" i="2421" s="1"/>
  <c r="AP16" i="2421"/>
  <c r="AR16" i="2421"/>
  <c r="AT16" i="2421" s="1"/>
  <c r="Q14" i="2421"/>
  <c r="Q19" i="2421"/>
  <c r="Q18" i="2421"/>
  <c r="Q15" i="2421"/>
  <c r="Q20" i="2421"/>
  <c r="Q78" i="2421"/>
  <c r="Q109" i="2421"/>
  <c r="Q37" i="2421"/>
  <c r="Q90" i="2421"/>
  <c r="Q54" i="2421"/>
  <c r="Q44" i="2421"/>
  <c r="Q77" i="2421"/>
  <c r="Q92" i="2421"/>
  <c r="Q21" i="2421"/>
  <c r="Q68" i="2421"/>
  <c r="Q75" i="2421"/>
  <c r="Q49" i="2421"/>
  <c r="Q102" i="2421"/>
  <c r="Q58" i="2421"/>
  <c r="Q99" i="2421"/>
  <c r="Q111" i="2421"/>
  <c r="Q55" i="2421"/>
  <c r="Q25" i="2421"/>
  <c r="Q45" i="2421"/>
  <c r="Q108" i="2421"/>
  <c r="Q96" i="2421"/>
  <c r="Q112" i="2421"/>
  <c r="Q85" i="2421"/>
  <c r="Q57" i="2421"/>
  <c r="Q53" i="2421"/>
  <c r="Q67" i="2421"/>
  <c r="Q23" i="2421"/>
  <c r="Q98" i="2421"/>
  <c r="Q33" i="2421"/>
  <c r="Q107" i="2421"/>
  <c r="Q72" i="2421"/>
  <c r="Q38" i="2421"/>
  <c r="Q64" i="2421"/>
  <c r="Q100" i="2421"/>
  <c r="Q95" i="2421"/>
  <c r="Q74" i="2421"/>
  <c r="Q28" i="2421"/>
  <c r="Q51" i="2421"/>
  <c r="Q60" i="2421"/>
  <c r="Q71" i="2421"/>
  <c r="Q73" i="2421"/>
  <c r="Q106" i="2421"/>
  <c r="Q84" i="2421"/>
  <c r="Q104" i="2421"/>
  <c r="Q24" i="2421"/>
  <c r="Q26" i="2421"/>
  <c r="Q39" i="2421"/>
  <c r="Q22" i="2421"/>
  <c r="Q40" i="2421"/>
  <c r="Q46" i="2421"/>
  <c r="Q87" i="2421"/>
  <c r="Q61" i="2421"/>
  <c r="Q66" i="2421"/>
  <c r="Q52" i="2421"/>
  <c r="Q31" i="2421"/>
  <c r="Q35" i="2421"/>
  <c r="Q94" i="2421"/>
  <c r="Q76" i="2421"/>
  <c r="Q103" i="2421"/>
  <c r="Q56" i="2421"/>
  <c r="Q97" i="2421"/>
  <c r="Q50" i="2421"/>
  <c r="Q91" i="2421"/>
  <c r="Q110" i="2421"/>
  <c r="Q113" i="2421"/>
  <c r="Q79" i="2421"/>
  <c r="Q86" i="2421"/>
  <c r="Q81" i="2421"/>
  <c r="Q69" i="2421"/>
  <c r="Q101" i="2421"/>
  <c r="Q16" i="2421"/>
  <c r="Q70" i="2421"/>
  <c r="Q89" i="2421"/>
  <c r="Q29" i="2421"/>
  <c r="Q105" i="2421"/>
  <c r="Q43" i="2421"/>
  <c r="Q83" i="2421"/>
  <c r="Q34" i="2421"/>
  <c r="Q36" i="2421"/>
  <c r="Q17" i="2421"/>
  <c r="Q62" i="2421"/>
  <c r="Q88" i="2421"/>
  <c r="Q80" i="2421"/>
  <c r="Q59" i="2421"/>
  <c r="Q42" i="2421"/>
  <c r="Q30" i="2421"/>
  <c r="Q63" i="2421"/>
  <c r="Q32" i="2421"/>
  <c r="Q65" i="2421"/>
  <c r="Q47" i="2421"/>
  <c r="Q41" i="2421"/>
  <c r="Q48" i="2421"/>
  <c r="Q27" i="2421"/>
  <c r="Q93" i="2421"/>
  <c r="Q82" i="2421"/>
  <c r="AD20" i="2421"/>
  <c r="AD19" i="2421"/>
  <c r="M17" i="2413"/>
  <c r="AD14" i="2421"/>
  <c r="CN4" i="2413"/>
  <c r="BH4" i="2413"/>
  <c r="AJ4" i="2413"/>
  <c r="M109" i="2413"/>
  <c r="M20" i="2413"/>
  <c r="M18" i="2413"/>
  <c r="M19" i="2413"/>
  <c r="M21" i="2413"/>
  <c r="BD4" i="2413"/>
  <c r="M16" i="2413"/>
  <c r="V17" i="2421"/>
  <c r="AZ8" i="2420" s="1"/>
  <c r="P15" i="2390" s="1"/>
  <c r="M15" i="2413"/>
  <c r="X47" i="2421"/>
  <c r="X50" i="2421"/>
  <c r="DL4" i="2413"/>
  <c r="DH4" i="2413"/>
  <c r="AZ4" i="2413"/>
  <c r="BP4" i="2413"/>
  <c r="BL4" i="2413"/>
  <c r="CJ4" i="2413"/>
  <c r="X57" i="2421"/>
  <c r="X20" i="2421"/>
  <c r="DT4" i="2413"/>
  <c r="AR4" i="2413"/>
  <c r="CZ4" i="2413"/>
  <c r="X4" i="2413"/>
  <c r="CR4" i="2413"/>
  <c r="DD4" i="2413"/>
  <c r="DP4" i="2413"/>
  <c r="BT4" i="2413"/>
  <c r="AF4" i="2413"/>
  <c r="AB4" i="2413"/>
  <c r="X69" i="2421"/>
  <c r="X87" i="2421"/>
  <c r="X35" i="2421"/>
  <c r="X42" i="2421"/>
  <c r="X26" i="2421"/>
  <c r="X17" i="2421"/>
  <c r="X83" i="2421"/>
  <c r="X86" i="2421"/>
  <c r="X78" i="2421"/>
  <c r="X25" i="2421"/>
  <c r="X103" i="2421"/>
  <c r="X90" i="2421"/>
  <c r="X68" i="2421"/>
  <c r="X70" i="2421"/>
  <c r="X30" i="2421"/>
  <c r="X39" i="2421"/>
  <c r="X24" i="2421"/>
  <c r="X74" i="2421"/>
  <c r="X45" i="2421"/>
  <c r="X110" i="2421"/>
  <c r="X66" i="2421"/>
  <c r="X37" i="2421"/>
  <c r="X112" i="2421"/>
  <c r="X108" i="2421"/>
  <c r="X94" i="2421"/>
  <c r="X27" i="2421"/>
  <c r="X43" i="2421"/>
  <c r="X102" i="2421"/>
  <c r="X19" i="2421"/>
  <c r="X75" i="2421"/>
  <c r="X58" i="2421"/>
  <c r="X59" i="2421"/>
  <c r="X96" i="2421"/>
  <c r="X32" i="2421"/>
  <c r="X111" i="2421"/>
  <c r="X105" i="2421"/>
  <c r="X100" i="2421"/>
  <c r="X76" i="2421"/>
  <c r="X38" i="2421"/>
  <c r="X80" i="2421"/>
  <c r="X33" i="2421"/>
  <c r="X113" i="2421"/>
  <c r="X106" i="2421"/>
  <c r="X61" i="2421"/>
  <c r="X34" i="2421"/>
  <c r="X55" i="2421"/>
  <c r="X23" i="2421"/>
  <c r="AV4" i="2413"/>
  <c r="CV4" i="2413"/>
  <c r="X36" i="2421"/>
  <c r="X51" i="2421"/>
  <c r="X67" i="2421"/>
  <c r="X44" i="2421"/>
  <c r="X97" i="2421"/>
  <c r="X107" i="2421"/>
  <c r="X109" i="2421"/>
  <c r="X49" i="2421"/>
  <c r="X28" i="2421"/>
  <c r="X29" i="2421"/>
  <c r="X81" i="2421"/>
  <c r="X104" i="2421"/>
  <c r="X63" i="2421"/>
  <c r="X46" i="2421"/>
  <c r="X31" i="2421"/>
  <c r="X18" i="2421"/>
  <c r="X85" i="2421"/>
  <c r="X92" i="2421"/>
  <c r="X82" i="2421"/>
  <c r="X99" i="2421"/>
  <c r="X60" i="2421"/>
  <c r="X53" i="2421"/>
  <c r="X56" i="2421"/>
  <c r="X91" i="2421"/>
  <c r="X79" i="2421"/>
  <c r="X16" i="2421"/>
  <c r="X21" i="2421"/>
  <c r="X64" i="2421"/>
  <c r="X40" i="2421"/>
  <c r="X84" i="2421"/>
  <c r="X65" i="2421"/>
  <c r="X62" i="2421"/>
  <c r="X88" i="2421"/>
  <c r="X72" i="2421"/>
  <c r="X89" i="2421"/>
  <c r="X98" i="2421"/>
  <c r="X93" i="2421"/>
  <c r="X22" i="2421"/>
  <c r="X101" i="2421"/>
  <c r="X48" i="2421"/>
  <c r="X41" i="2421"/>
  <c r="X15" i="2421"/>
  <c r="X52" i="2421"/>
  <c r="X73" i="2421"/>
  <c r="AK117" i="2421"/>
  <c r="AL117" i="2421" s="1"/>
  <c r="AL128" i="2421" s="1"/>
  <c r="L4" i="2413" s="1"/>
  <c r="X54" i="2421"/>
  <c r="X71" i="2421"/>
  <c r="X77" i="2421"/>
  <c r="X14" i="2421"/>
  <c r="X95" i="2421"/>
  <c r="Q17" i="2413"/>
  <c r="M14" i="2413"/>
  <c r="M13" i="2413"/>
  <c r="V14" i="2421"/>
  <c r="AZ5" i="2420" s="1"/>
  <c r="O13" i="2413"/>
  <c r="V16" i="2421"/>
  <c r="AZ7" i="2420" s="1"/>
  <c r="AH159" i="2421"/>
  <c r="AH165" i="2421"/>
  <c r="AG180" i="2421"/>
  <c r="AC180" i="2421" s="1"/>
  <c r="AG144" i="2421"/>
  <c r="AC144" i="2421" s="1"/>
  <c r="AG178" i="2421"/>
  <c r="AC178" i="2421" s="1"/>
  <c r="AG176" i="2421"/>
  <c r="AC176" i="2421" s="1"/>
  <c r="AH155" i="2421"/>
  <c r="AG173" i="2421"/>
  <c r="AC173" i="2421" s="1"/>
  <c r="AG147" i="2421"/>
  <c r="AC147" i="2421" s="1"/>
  <c r="AG171" i="2421"/>
  <c r="AC171" i="2421" s="1"/>
  <c r="AH156" i="2421"/>
  <c r="AH180" i="2421"/>
  <c r="AH181" i="2421"/>
  <c r="T81" i="2421"/>
  <c r="BX72" i="2420" s="1"/>
  <c r="T20" i="2421"/>
  <c r="BX11" i="2420" s="1"/>
  <c r="T36" i="2421"/>
  <c r="BX27" i="2420" s="1"/>
  <c r="T69" i="2421"/>
  <c r="BX60" i="2420" s="1"/>
  <c r="T113" i="2421"/>
  <c r="BX104" i="2420" s="1"/>
  <c r="T17" i="2421"/>
  <c r="BX8" i="2420" s="1"/>
  <c r="T56" i="2421"/>
  <c r="BX47" i="2420" s="1"/>
  <c r="T51" i="2421"/>
  <c r="BX42" i="2420" s="1"/>
  <c r="T84" i="2421"/>
  <c r="BX75" i="2420" s="1"/>
  <c r="T88" i="2421"/>
  <c r="BX79" i="2420" s="1"/>
  <c r="T93" i="2421"/>
  <c r="BX84" i="2420" s="1"/>
  <c r="T85" i="2421"/>
  <c r="BX76" i="2420" s="1"/>
  <c r="AE84" i="2421"/>
  <c r="RW84" i="2421" s="1"/>
  <c r="AE59" i="2421"/>
  <c r="RW59" i="2421" s="1"/>
  <c r="AE27" i="2421"/>
  <c r="AE42" i="2421"/>
  <c r="RW42" i="2421" s="1"/>
  <c r="AE71" i="2421"/>
  <c r="RW71" i="2421" s="1"/>
  <c r="AE95" i="2421"/>
  <c r="RW95" i="2421" s="1"/>
  <c r="AE22" i="2421"/>
  <c r="AE108" i="2421"/>
  <c r="RW108" i="2421" s="1"/>
  <c r="AE31" i="2421"/>
  <c r="AE38" i="2421"/>
  <c r="AE52" i="2421"/>
  <c r="RW52" i="2421" s="1"/>
  <c r="AE112" i="2421"/>
  <c r="RW112" i="2421" s="1"/>
  <c r="P17" i="2421"/>
  <c r="P96" i="2421"/>
  <c r="P112" i="2421"/>
  <c r="P85" i="2421"/>
  <c r="P32" i="2421"/>
  <c r="P70" i="2421"/>
  <c r="P76" i="2421"/>
  <c r="P90" i="2421"/>
  <c r="P98" i="2421"/>
  <c r="P88" i="2421"/>
  <c r="P27" i="2421"/>
  <c r="P40" i="2421"/>
  <c r="P55" i="2421"/>
  <c r="P87" i="2421"/>
  <c r="AG153" i="2421"/>
  <c r="AC153" i="2421" s="1"/>
  <c r="AH163" i="2421"/>
  <c r="AG150" i="2421"/>
  <c r="AC150" i="2421" s="1"/>
  <c r="AG187" i="2421"/>
  <c r="AC187" i="2421" s="1"/>
  <c r="AG168" i="2421"/>
  <c r="AC168" i="2421" s="1"/>
  <c r="AH186" i="2421"/>
  <c r="AH150" i="2421"/>
  <c r="AG155" i="2421"/>
  <c r="AC155" i="2421" s="1"/>
  <c r="AH152" i="2421"/>
  <c r="AG143" i="2421"/>
  <c r="AC143" i="2421" s="1"/>
  <c r="AH153" i="2421"/>
  <c r="AH141" i="2421"/>
  <c r="AG164" i="2421"/>
  <c r="AC164" i="2421" s="1"/>
  <c r="T40" i="2421"/>
  <c r="BX31" i="2420" s="1"/>
  <c r="T75" i="2421"/>
  <c r="BX66" i="2420" s="1"/>
  <c r="T30" i="2421"/>
  <c r="BX21" i="2420" s="1"/>
  <c r="T14" i="2421"/>
  <c r="BX5" i="2420" s="1"/>
  <c r="BY5" i="2420" s="1"/>
  <c r="T43" i="2421"/>
  <c r="BX34" i="2420" s="1"/>
  <c r="T31" i="2421"/>
  <c r="BX22" i="2420" s="1"/>
  <c r="T107" i="2421"/>
  <c r="BX98" i="2420" s="1"/>
  <c r="T47" i="2421"/>
  <c r="BX38" i="2420" s="1"/>
  <c r="T111" i="2421"/>
  <c r="BX102" i="2420" s="1"/>
  <c r="T49" i="2421"/>
  <c r="BX40" i="2420" s="1"/>
  <c r="T64" i="2421"/>
  <c r="BX55" i="2420" s="1"/>
  <c r="T76" i="2421"/>
  <c r="BX67" i="2420" s="1"/>
  <c r="AE55" i="2421"/>
  <c r="RW55" i="2421" s="1"/>
  <c r="AE44" i="2421"/>
  <c r="RW44" i="2421" s="1"/>
  <c r="AE65" i="2421"/>
  <c r="RW65" i="2421" s="1"/>
  <c r="AE15" i="2421"/>
  <c r="AE96" i="2421"/>
  <c r="RW96" i="2421" s="1"/>
  <c r="AE107" i="2421"/>
  <c r="RW107" i="2421" s="1"/>
  <c r="AE30" i="2421"/>
  <c r="AE79" i="2421"/>
  <c r="RW79" i="2421" s="1"/>
  <c r="AE90" i="2421"/>
  <c r="RW90" i="2421" s="1"/>
  <c r="AE20" i="2421"/>
  <c r="AE41" i="2421"/>
  <c r="AE104" i="2421"/>
  <c r="RW104" i="2421" s="1"/>
  <c r="P54" i="2421"/>
  <c r="P64" i="2421"/>
  <c r="P100" i="2421"/>
  <c r="P95" i="2421"/>
  <c r="P68" i="2421"/>
  <c r="P65" i="2421"/>
  <c r="P89" i="2421"/>
  <c r="P26" i="2421"/>
  <c r="P22" i="2421"/>
  <c r="P111" i="2421"/>
  <c r="P104" i="2421"/>
  <c r="P38" i="2421"/>
  <c r="P110" i="2421"/>
  <c r="AG148" i="2421"/>
  <c r="AC148" i="2421" s="1"/>
  <c r="AH177" i="2421"/>
  <c r="AH170" i="2421"/>
  <c r="AG146" i="2421"/>
  <c r="AC146" i="2421" s="1"/>
  <c r="AG139" i="2421"/>
  <c r="AC139" i="2421" s="1"/>
  <c r="AG182" i="2421"/>
  <c r="AC182" i="2421" s="1"/>
  <c r="AG169" i="2421"/>
  <c r="AC169" i="2421" s="1"/>
  <c r="AH138" i="2421"/>
  <c r="AH137" i="2421"/>
  <c r="AG172" i="2421"/>
  <c r="AC172" i="2421" s="1"/>
  <c r="AH144" i="2421"/>
  <c r="AG185" i="2421"/>
  <c r="AC185" i="2421" s="1"/>
  <c r="AG138" i="2421"/>
  <c r="AC138" i="2421" s="1"/>
  <c r="T89" i="2421"/>
  <c r="BX80" i="2420" s="1"/>
  <c r="T87" i="2421"/>
  <c r="BX78" i="2420" s="1"/>
  <c r="T18" i="2421"/>
  <c r="BX9" i="2420" s="1"/>
  <c r="T16" i="2421"/>
  <c r="BX7" i="2420" s="1"/>
  <c r="T34" i="2421"/>
  <c r="BX25" i="2420" s="1"/>
  <c r="T97" i="2421"/>
  <c r="BX88" i="2420" s="1"/>
  <c r="T77" i="2421"/>
  <c r="BX68" i="2420" s="1"/>
  <c r="T72" i="2421"/>
  <c r="BX63" i="2420" s="1"/>
  <c r="T55" i="2421"/>
  <c r="BX46" i="2420" s="1"/>
  <c r="T112" i="2421"/>
  <c r="BX103" i="2420" s="1"/>
  <c r="T105" i="2421"/>
  <c r="BX96" i="2420" s="1"/>
  <c r="T24" i="2421"/>
  <c r="BX15" i="2420" s="1"/>
  <c r="AE54" i="2421"/>
  <c r="RW54" i="2421" s="1"/>
  <c r="AE103" i="2421"/>
  <c r="RW103" i="2421" s="1"/>
  <c r="AE99" i="2421"/>
  <c r="RW99" i="2421" s="1"/>
  <c r="AE29" i="2421"/>
  <c r="AE26" i="2421"/>
  <c r="AE37" i="2421"/>
  <c r="AE39" i="2421"/>
  <c r="AE76" i="2421"/>
  <c r="RW76" i="2421" s="1"/>
  <c r="AE109" i="2421"/>
  <c r="RW109" i="2421" s="1"/>
  <c r="AE64" i="2421"/>
  <c r="RW64" i="2421" s="1"/>
  <c r="AE53" i="2421"/>
  <c r="RW53" i="2421" s="1"/>
  <c r="AE82" i="2421"/>
  <c r="RW82" i="2421" s="1"/>
  <c r="P61" i="2421"/>
  <c r="P78" i="2421"/>
  <c r="P109" i="2421"/>
  <c r="P62" i="2421"/>
  <c r="P57" i="2421"/>
  <c r="P75" i="2421"/>
  <c r="P47" i="2421"/>
  <c r="P103" i="2421"/>
  <c r="P60" i="2421"/>
  <c r="P105" i="2421"/>
  <c r="P107" i="2421"/>
  <c r="P50" i="2421"/>
  <c r="P36" i="2421"/>
  <c r="AG136" i="2421"/>
  <c r="AC136" i="2421" s="1"/>
  <c r="AG140" i="2421"/>
  <c r="AC140" i="2421" s="1"/>
  <c r="AG142" i="2421"/>
  <c r="AC142" i="2421" s="1"/>
  <c r="AH185" i="2421"/>
  <c r="AH148" i="2421"/>
  <c r="AH173" i="2421"/>
  <c r="AH175" i="2421"/>
  <c r="AG163" i="2421"/>
  <c r="AC163" i="2421" s="1"/>
  <c r="AG157" i="2421"/>
  <c r="AC157" i="2421" s="1"/>
  <c r="AG177" i="2421"/>
  <c r="AC177" i="2421" s="1"/>
  <c r="AH161" i="2421"/>
  <c r="AH178" i="2421"/>
  <c r="T73" i="2421"/>
  <c r="BX64" i="2420" s="1"/>
  <c r="T38" i="2421"/>
  <c r="BX29" i="2420" s="1"/>
  <c r="N34" i="2406" s="1"/>
  <c r="T25" i="2421"/>
  <c r="BX16" i="2420" s="1"/>
  <c r="T90" i="2421"/>
  <c r="BX81" i="2420" s="1"/>
  <c r="T50" i="2421"/>
  <c r="BX41" i="2420" s="1"/>
  <c r="T78" i="2421"/>
  <c r="BX69" i="2420" s="1"/>
  <c r="T83" i="2421"/>
  <c r="BX74" i="2420" s="1"/>
  <c r="T67" i="2421"/>
  <c r="BX58" i="2420" s="1"/>
  <c r="T45" i="2421"/>
  <c r="BX36" i="2420" s="1"/>
  <c r="T68" i="2421"/>
  <c r="BX59" i="2420" s="1"/>
  <c r="T95" i="2421"/>
  <c r="BX86" i="2420" s="1"/>
  <c r="T21" i="2421"/>
  <c r="BX12" i="2420" s="1"/>
  <c r="AE89" i="2421"/>
  <c r="RW89" i="2421" s="1"/>
  <c r="AE23" i="2421"/>
  <c r="AE78" i="2421"/>
  <c r="RW78" i="2421" s="1"/>
  <c r="AE87" i="2421"/>
  <c r="RW87" i="2421" s="1"/>
  <c r="AE91" i="2421"/>
  <c r="RW91" i="2421" s="1"/>
  <c r="AE113" i="2421"/>
  <c r="RW113" i="2421" s="1"/>
  <c r="AE68" i="2421"/>
  <c r="RW68" i="2421" s="1"/>
  <c r="AE92" i="2421"/>
  <c r="RW92" i="2421" s="1"/>
  <c r="AE110" i="2421"/>
  <c r="RW110" i="2421" s="1"/>
  <c r="AE50" i="2421"/>
  <c r="RW50" i="2421" s="1"/>
  <c r="AE100" i="2421"/>
  <c r="RW100" i="2421" s="1"/>
  <c r="AE75" i="2421"/>
  <c r="RW75" i="2421" s="1"/>
  <c r="P80" i="2421"/>
  <c r="P108" i="2421"/>
  <c r="P79" i="2421"/>
  <c r="P74" i="2421"/>
  <c r="P53" i="2421"/>
  <c r="P49" i="2421"/>
  <c r="P102" i="2421"/>
  <c r="P97" i="2421"/>
  <c r="P73" i="2421"/>
  <c r="P83" i="2421"/>
  <c r="P82" i="2421"/>
  <c r="AG186" i="2421"/>
  <c r="AC186" i="2421" s="1"/>
  <c r="AH147" i="2421"/>
  <c r="AG137" i="2421"/>
  <c r="AC137" i="2421" s="1"/>
  <c r="AG152" i="2421"/>
  <c r="AC152" i="2421" s="1"/>
  <c r="AG167" i="2421"/>
  <c r="AC167" i="2421" s="1"/>
  <c r="AG174" i="2421"/>
  <c r="AC174" i="2421" s="1"/>
  <c r="AG184" i="2421"/>
  <c r="AC184" i="2421" s="1"/>
  <c r="AG170" i="2421"/>
  <c r="AC170" i="2421" s="1"/>
  <c r="AH143" i="2421"/>
  <c r="AG181" i="2421"/>
  <c r="AC181" i="2421" s="1"/>
  <c r="AH142" i="2421"/>
  <c r="AH158" i="2421"/>
  <c r="AH174" i="2421"/>
  <c r="AG179" i="2421"/>
  <c r="AC179" i="2421" s="1"/>
  <c r="T28" i="2421"/>
  <c r="BX19" i="2420" s="1"/>
  <c r="T42" i="2421"/>
  <c r="BX33" i="2420" s="1"/>
  <c r="T79" i="2421"/>
  <c r="BX70" i="2420" s="1"/>
  <c r="T32" i="2421"/>
  <c r="BX23" i="2420" s="1"/>
  <c r="T86" i="2421"/>
  <c r="BX77" i="2420" s="1"/>
  <c r="T33" i="2421"/>
  <c r="BX24" i="2420" s="1"/>
  <c r="T94" i="2421"/>
  <c r="BX85" i="2420" s="1"/>
  <c r="T63" i="2421"/>
  <c r="BX54" i="2420" s="1"/>
  <c r="T65" i="2421"/>
  <c r="BX56" i="2420" s="1"/>
  <c r="T99" i="2421"/>
  <c r="BX90" i="2420" s="1"/>
  <c r="T100" i="2421"/>
  <c r="BX91" i="2420" s="1"/>
  <c r="T109" i="2421"/>
  <c r="BX100" i="2420" s="1"/>
  <c r="T101" i="2421"/>
  <c r="BX92" i="2420" s="1"/>
  <c r="AE17" i="2421"/>
  <c r="AE80" i="2421"/>
  <c r="RW80" i="2421" s="1"/>
  <c r="AE69" i="2421"/>
  <c r="RW69" i="2421" s="1"/>
  <c r="AE102" i="2421"/>
  <c r="RW102" i="2421" s="1"/>
  <c r="AE74" i="2421"/>
  <c r="RW74" i="2421" s="1"/>
  <c r="AE63" i="2421"/>
  <c r="RW63" i="2421" s="1"/>
  <c r="AE86" i="2421"/>
  <c r="RW86" i="2421" s="1"/>
  <c r="AE21" i="2421"/>
  <c r="AE97" i="2421"/>
  <c r="RW97" i="2421" s="1"/>
  <c r="AE34" i="2421"/>
  <c r="AE47" i="2421"/>
  <c r="RW47" i="2421" s="1"/>
  <c r="AE70" i="2421"/>
  <c r="RW70" i="2421" s="1"/>
  <c r="AE101" i="2421"/>
  <c r="RW101" i="2421" s="1"/>
  <c r="P86" i="2421"/>
  <c r="P66" i="2421"/>
  <c r="P52" i="2421"/>
  <c r="P19" i="2421"/>
  <c r="P28" i="2421"/>
  <c r="P67" i="2421"/>
  <c r="P23" i="2421"/>
  <c r="P29" i="2421"/>
  <c r="P48" i="2421"/>
  <c r="P43" i="2421"/>
  <c r="P25" i="2421"/>
  <c r="AH176" i="2421"/>
  <c r="AH184" i="2421"/>
  <c r="AG141" i="2421"/>
  <c r="AC141" i="2421" s="1"/>
  <c r="AH145" i="2421"/>
  <c r="AG165" i="2421"/>
  <c r="AC165" i="2421" s="1"/>
  <c r="AH164" i="2421"/>
  <c r="AH167" i="2421"/>
  <c r="AH140" i="2421"/>
  <c r="AG151" i="2421"/>
  <c r="AC151" i="2421" s="1"/>
  <c r="AH169" i="2421"/>
  <c r="AH171" i="2421"/>
  <c r="AH162" i="2421"/>
  <c r="AH157" i="2421"/>
  <c r="T41" i="2421"/>
  <c r="BX32" i="2420" s="1"/>
  <c r="T61" i="2421"/>
  <c r="BX52" i="2420" s="1"/>
  <c r="T15" i="2421"/>
  <c r="BX6" i="2420" s="1"/>
  <c r="BZ6" i="2420" s="1"/>
  <c r="T37" i="2421"/>
  <c r="BX28" i="2420" s="1"/>
  <c r="T53" i="2421"/>
  <c r="BX44" i="2420" s="1"/>
  <c r="T39" i="2421"/>
  <c r="BX30" i="2420" s="1"/>
  <c r="T29" i="2421"/>
  <c r="BX20" i="2420" s="1"/>
  <c r="T71" i="2421"/>
  <c r="BX62" i="2420" s="1"/>
  <c r="T82" i="2421"/>
  <c r="BX73" i="2420" s="1"/>
  <c r="T102" i="2421"/>
  <c r="BX93" i="2420" s="1"/>
  <c r="T98" i="2421"/>
  <c r="BX89" i="2420" s="1"/>
  <c r="T48" i="2421"/>
  <c r="BX39" i="2420" s="1"/>
  <c r="T96" i="2421"/>
  <c r="BX87" i="2420" s="1"/>
  <c r="AE111" i="2421"/>
  <c r="RW111" i="2421" s="1"/>
  <c r="AE16" i="2421"/>
  <c r="AE73" i="2421"/>
  <c r="RW73" i="2421" s="1"/>
  <c r="AE40" i="2421"/>
  <c r="RW40" i="2421" s="1"/>
  <c r="AE32" i="2421"/>
  <c r="AE66" i="2421"/>
  <c r="RW66" i="2421" s="1"/>
  <c r="AE35" i="2421"/>
  <c r="AE49" i="2421"/>
  <c r="RW49" i="2421" s="1"/>
  <c r="AE46" i="2421"/>
  <c r="RW46" i="2421" s="1"/>
  <c r="AE67" i="2421"/>
  <c r="RW67" i="2421" s="1"/>
  <c r="AE58" i="2421"/>
  <c r="RW58" i="2421" s="1"/>
  <c r="AE72" i="2421"/>
  <c r="RW72" i="2421" s="1"/>
  <c r="AE88" i="2421"/>
  <c r="RW88" i="2421" s="1"/>
  <c r="P59" i="2421"/>
  <c r="P81" i="2421"/>
  <c r="P69" i="2421"/>
  <c r="P31" i="2421"/>
  <c r="P44" i="2421"/>
  <c r="P37" i="2421"/>
  <c r="AP14" i="2421"/>
  <c r="P14" i="2421"/>
  <c r="P41" i="2421"/>
  <c r="P113" i="2421"/>
  <c r="P99" i="2421"/>
  <c r="P72" i="2421"/>
  <c r="P46" i="2421"/>
  <c r="P84" i="2421"/>
  <c r="AH136" i="2421"/>
  <c r="AH149" i="2421"/>
  <c r="AH166" i="2421"/>
  <c r="AH182" i="2421"/>
  <c r="AG154" i="2421"/>
  <c r="AC154" i="2421" s="1"/>
  <c r="AG156" i="2421"/>
  <c r="AC156" i="2421" s="1"/>
  <c r="AG161" i="2421"/>
  <c r="AC161" i="2421" s="1"/>
  <c r="AH139" i="2421"/>
  <c r="AH151" i="2421"/>
  <c r="AG175" i="2421"/>
  <c r="AC175" i="2421" s="1"/>
  <c r="AH154" i="2421"/>
  <c r="AG145" i="2421"/>
  <c r="AC145" i="2421" s="1"/>
  <c r="AG159" i="2421"/>
  <c r="AC159" i="2421" s="1"/>
  <c r="T80" i="2421"/>
  <c r="BX71" i="2420" s="1"/>
  <c r="T108" i="2421"/>
  <c r="BX99" i="2420" s="1"/>
  <c r="T44" i="2421"/>
  <c r="BX35" i="2420" s="1"/>
  <c r="T52" i="2421"/>
  <c r="BX43" i="2420" s="1"/>
  <c r="T104" i="2421"/>
  <c r="BX95" i="2420" s="1"/>
  <c r="T35" i="2421"/>
  <c r="BX26" i="2420" s="1"/>
  <c r="T23" i="2421"/>
  <c r="BX14" i="2420" s="1"/>
  <c r="T110" i="2421"/>
  <c r="BX101" i="2420" s="1"/>
  <c r="T106" i="2421"/>
  <c r="BX97" i="2420" s="1"/>
  <c r="T66" i="2421"/>
  <c r="BX57" i="2420" s="1"/>
  <c r="T19" i="2421"/>
  <c r="BX10" i="2420" s="1"/>
  <c r="T70" i="2421"/>
  <c r="BX61" i="2420" s="1"/>
  <c r="T58" i="2421"/>
  <c r="BX49" i="2420" s="1"/>
  <c r="AE18" i="2421"/>
  <c r="AE60" i="2421"/>
  <c r="RW60" i="2421" s="1"/>
  <c r="AE62" i="2421"/>
  <c r="RW62" i="2421" s="1"/>
  <c r="AE85" i="2421"/>
  <c r="RW85" i="2421" s="1"/>
  <c r="AE57" i="2421"/>
  <c r="RW57" i="2421" s="1"/>
  <c r="AE106" i="2421"/>
  <c r="RW106" i="2421" s="1"/>
  <c r="AE105" i="2421"/>
  <c r="RW105" i="2421" s="1"/>
  <c r="AE45" i="2421"/>
  <c r="RW45" i="2421" s="1"/>
  <c r="AE51" i="2421"/>
  <c r="RW51" i="2421" s="1"/>
  <c r="AE98" i="2421"/>
  <c r="RW98" i="2421" s="1"/>
  <c r="AE48" i="2421"/>
  <c r="RW48" i="2421" s="1"/>
  <c r="AE93" i="2421"/>
  <c r="RW93" i="2421" s="1"/>
  <c r="AE14" i="2421"/>
  <c r="P77" i="2421"/>
  <c r="P42" i="2421"/>
  <c r="P30" i="2421"/>
  <c r="P101" i="2421"/>
  <c r="P35" i="2421"/>
  <c r="P15" i="2421"/>
  <c r="P45" i="2421"/>
  <c r="P39" i="2421"/>
  <c r="P33" i="2421"/>
  <c r="P91" i="2421"/>
  <c r="P24" i="2421"/>
  <c r="AH168" i="2421"/>
  <c r="AG162" i="2421"/>
  <c r="AC162" i="2421" s="1"/>
  <c r="AH179" i="2421"/>
  <c r="AH160" i="2421"/>
  <c r="AH187" i="2421"/>
  <c r="AH183" i="2421"/>
  <c r="AG149" i="2421"/>
  <c r="AC149" i="2421" s="1"/>
  <c r="AG166" i="2421"/>
  <c r="AC166" i="2421" s="1"/>
  <c r="AH172" i="2421"/>
  <c r="AH146" i="2421"/>
  <c r="AG183" i="2421"/>
  <c r="AC183" i="2421" s="1"/>
  <c r="AG158" i="2421"/>
  <c r="AC158" i="2421" s="1"/>
  <c r="AG160" i="2421"/>
  <c r="AC160" i="2421" s="1"/>
  <c r="T59" i="2421"/>
  <c r="BX50" i="2420" s="1"/>
  <c r="T46" i="2421"/>
  <c r="BX37" i="2420" s="1"/>
  <c r="T103" i="2421"/>
  <c r="BX94" i="2420" s="1"/>
  <c r="T26" i="2421"/>
  <c r="BX17" i="2420" s="1"/>
  <c r="T22" i="2421"/>
  <c r="BX13" i="2420" s="1"/>
  <c r="T54" i="2421"/>
  <c r="BX45" i="2420" s="1"/>
  <c r="T27" i="2421"/>
  <c r="BX18" i="2420" s="1"/>
  <c r="T62" i="2421"/>
  <c r="BX53" i="2420" s="1"/>
  <c r="T74" i="2421"/>
  <c r="BX65" i="2420" s="1"/>
  <c r="T92" i="2421"/>
  <c r="BX83" i="2420" s="1"/>
  <c r="T60" i="2421"/>
  <c r="BX51" i="2420" s="1"/>
  <c r="T91" i="2421"/>
  <c r="BX82" i="2420" s="1"/>
  <c r="T57" i="2421"/>
  <c r="BX48" i="2420" s="1"/>
  <c r="AE43" i="2421"/>
  <c r="RW43" i="2421" s="1"/>
  <c r="AE28" i="2421"/>
  <c r="AE61" i="2421"/>
  <c r="RW61" i="2421" s="1"/>
  <c r="AE19" i="2421"/>
  <c r="AE81" i="2421"/>
  <c r="RW81" i="2421" s="1"/>
  <c r="AE33" i="2421"/>
  <c r="AE56" i="2421"/>
  <c r="RW56" i="2421" s="1"/>
  <c r="AE36" i="2421"/>
  <c r="RW36" i="2421" s="1"/>
  <c r="AE24" i="2421"/>
  <c r="AE77" i="2421"/>
  <c r="RW77" i="2421" s="1"/>
  <c r="AE83" i="2421"/>
  <c r="RW83" i="2421" s="1"/>
  <c r="AE25" i="2421"/>
  <c r="AE94" i="2421"/>
  <c r="RW94" i="2421" s="1"/>
  <c r="P92" i="2421"/>
  <c r="P21" i="2421"/>
  <c r="P63" i="2421"/>
  <c r="P16" i="2421"/>
  <c r="P94" i="2421"/>
  <c r="P20" i="2421"/>
  <c r="P51" i="2421"/>
  <c r="P58" i="2421"/>
  <c r="P56" i="2421"/>
  <c r="P71" i="2421"/>
  <c r="P18" i="2421"/>
  <c r="P93" i="2421"/>
  <c r="P106" i="2421"/>
  <c r="P34" i="2421"/>
  <c r="BZ5" i="2420" l="1"/>
  <c r="P10" i="2406" s="1"/>
  <c r="KI12" i="2422"/>
  <c r="RZ15" i="2421"/>
  <c r="RU24" i="2421"/>
  <c r="RU58" i="2421"/>
  <c r="RU91" i="2421"/>
  <c r="RU42" i="2421"/>
  <c r="RU48" i="2421"/>
  <c r="RU86" i="2421"/>
  <c r="RU74" i="2421"/>
  <c r="RU36" i="2421"/>
  <c r="RU57" i="2421"/>
  <c r="RU89" i="2421"/>
  <c r="RU88" i="2421"/>
  <c r="RU96" i="2421"/>
  <c r="RU26" i="2421"/>
  <c r="RU112" i="2421"/>
  <c r="RU33" i="2421"/>
  <c r="RU77" i="2421"/>
  <c r="RU84" i="2421"/>
  <c r="RU37" i="2421"/>
  <c r="RU29" i="2421"/>
  <c r="RU82" i="2421"/>
  <c r="RU79" i="2421"/>
  <c r="RU50" i="2421"/>
  <c r="RU62" i="2421"/>
  <c r="RU65" i="2421"/>
  <c r="RU98" i="2421"/>
  <c r="RU17" i="2421"/>
  <c r="RU66" i="2421"/>
  <c r="RU53" i="2421"/>
  <c r="RU27" i="2421"/>
  <c r="RU51" i="2421"/>
  <c r="RU34" i="2421"/>
  <c r="RU20" i="2421"/>
  <c r="RU39" i="2421"/>
  <c r="RU46" i="2421"/>
  <c r="RU44" i="2421"/>
  <c r="RU23" i="2421"/>
  <c r="RU83" i="2421"/>
  <c r="RU108" i="2421"/>
  <c r="RU107" i="2421"/>
  <c r="RU109" i="2421"/>
  <c r="RU110" i="2421"/>
  <c r="RU68" i="2421"/>
  <c r="RU90" i="2421"/>
  <c r="RU92" i="2421"/>
  <c r="RU43" i="2421"/>
  <c r="RU106" i="2421"/>
  <c r="RU45" i="2421"/>
  <c r="RU72" i="2421"/>
  <c r="RU31" i="2421"/>
  <c r="RU67" i="2421"/>
  <c r="RU73" i="2421"/>
  <c r="RU80" i="2421"/>
  <c r="RU105" i="2421"/>
  <c r="RU78" i="2421"/>
  <c r="RU38" i="2421"/>
  <c r="RU95" i="2421"/>
  <c r="RU76" i="2421"/>
  <c r="RU75" i="2421"/>
  <c r="RU94" i="2421"/>
  <c r="RU93" i="2421"/>
  <c r="RU16" i="2421"/>
  <c r="RU15" i="2421"/>
  <c r="RU99" i="2421"/>
  <c r="RU69" i="2421"/>
  <c r="RU28" i="2421"/>
  <c r="RU97" i="2421"/>
  <c r="RU60" i="2421"/>
  <c r="RU61" i="2421"/>
  <c r="RU104" i="2421"/>
  <c r="RU100" i="2421"/>
  <c r="RU87" i="2421"/>
  <c r="RU70" i="2421"/>
  <c r="RU56" i="2421"/>
  <c r="RU30" i="2421"/>
  <c r="RU63" i="2421"/>
  <c r="RU35" i="2421"/>
  <c r="RU113" i="2421"/>
  <c r="RU81" i="2421"/>
  <c r="RU19" i="2421"/>
  <c r="RU102" i="2421"/>
  <c r="RU103" i="2421"/>
  <c r="RU111" i="2421"/>
  <c r="RU64" i="2421"/>
  <c r="RU55" i="2421"/>
  <c r="RU32" i="2421"/>
  <c r="RU18" i="2421"/>
  <c r="RU71" i="2421"/>
  <c r="RU21" i="2421"/>
  <c r="RU101" i="2421"/>
  <c r="RU41" i="2421"/>
  <c r="RU59" i="2421"/>
  <c r="RU25" i="2421"/>
  <c r="RU52" i="2421"/>
  <c r="RU49" i="2421"/>
  <c r="RU47" i="2421"/>
  <c r="RU22" i="2421"/>
  <c r="RU54" i="2421"/>
  <c r="RU40" i="2421"/>
  <c r="RU85" i="2421"/>
  <c r="RU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T17" i="2421"/>
  <c r="AD15" i="2421"/>
  <c r="AD7" i="2421" s="1" a="1"/>
  <c r="AD7" i="2421" s="1"/>
  <c r="CM24" i="2420"/>
  <c r="CN24" i="2420" s="1"/>
  <c r="CO24" i="2420" s="1"/>
  <c r="CM52" i="2420"/>
  <c r="CR52" i="2420" s="1"/>
  <c r="CT52" i="2420" s="1"/>
  <c r="CM68" i="2420"/>
  <c r="CN68" i="2420" s="1"/>
  <c r="CO68" i="2420" s="1"/>
  <c r="CM19" i="2420"/>
  <c r="CM48" i="2420"/>
  <c r="CR48" i="2420" s="1"/>
  <c r="CT48" i="2420" s="1"/>
  <c r="CM37" i="2420"/>
  <c r="CN37" i="2420" s="1"/>
  <c r="CO37" i="2420" s="1"/>
  <c r="CM102" i="2420"/>
  <c r="CN102" i="2420" s="1"/>
  <c r="CO102" i="2420" s="1"/>
  <c r="CM61" i="2420"/>
  <c r="CR61" i="2420" s="1"/>
  <c r="CT61" i="2420" s="1"/>
  <c r="CM93" i="2420"/>
  <c r="CN93" i="2420" s="1"/>
  <c r="CO93" i="2420" s="1"/>
  <c r="CM59" i="2420"/>
  <c r="CN59" i="2420" s="1"/>
  <c r="CO59" i="2420" s="1"/>
  <c r="CM30" i="2420"/>
  <c r="CM95" i="2420"/>
  <c r="CN95" i="2420" s="1"/>
  <c r="CO95" i="2420" s="1"/>
  <c r="CM6" i="2420"/>
  <c r="CM22" i="2420"/>
  <c r="CM75" i="2420"/>
  <c r="CN75" i="2420" s="1"/>
  <c r="CO75" i="2420" s="1"/>
  <c r="CM74" i="2420"/>
  <c r="CN74" i="2420" s="1"/>
  <c r="CO74" i="2420" s="1"/>
  <c r="CM15" i="2420"/>
  <c r="CM34" i="2420"/>
  <c r="CR34" i="2420" s="1"/>
  <c r="CT34" i="2420" s="1"/>
  <c r="CM84" i="2420"/>
  <c r="CR84" i="2420" s="1"/>
  <c r="CT84" i="2420" s="1"/>
  <c r="CM76" i="2420"/>
  <c r="CR76" i="2420" s="1"/>
  <c r="CT76" i="2420" s="1"/>
  <c r="CM40" i="2420"/>
  <c r="CN40" i="2420" s="1"/>
  <c r="CO40" i="2420" s="1"/>
  <c r="CM38" i="2420"/>
  <c r="CR38" i="2420" s="1"/>
  <c r="CT38" i="2420" s="1"/>
  <c r="CM60" i="2420"/>
  <c r="CN60" i="2420" s="1"/>
  <c r="CO60" i="2420" s="1"/>
  <c r="CM104" i="2420"/>
  <c r="CR104" i="2420" s="1"/>
  <c r="CT104" i="2420" s="1"/>
  <c r="CM28" i="2420"/>
  <c r="CM32" i="2420"/>
  <c r="CM56" i="2420"/>
  <c r="CN56" i="2420" s="1"/>
  <c r="CO56" i="2420" s="1"/>
  <c r="CM99" i="2420"/>
  <c r="CN99" i="2420" s="1"/>
  <c r="CO99" i="2420" s="1"/>
  <c r="CM27" i="2420"/>
  <c r="CN27" i="2420" s="1"/>
  <c r="CO27" i="2420" s="1"/>
  <c r="CM39" i="2420"/>
  <c r="CN39" i="2420" s="1"/>
  <c r="CO39" i="2420" s="1"/>
  <c r="CM53" i="2420"/>
  <c r="CR53" i="2420" s="1"/>
  <c r="CT53" i="2420" s="1"/>
  <c r="CM26" i="2420"/>
  <c r="CN26" i="2420" s="1"/>
  <c r="CO26" i="2420" s="1"/>
  <c r="CM25" i="2420"/>
  <c r="CN25" i="2420" s="1"/>
  <c r="CO25" i="2420" s="1"/>
  <c r="CM71" i="2420"/>
  <c r="CR71" i="2420" s="1"/>
  <c r="CT71" i="2420" s="1"/>
  <c r="CM82" i="2420"/>
  <c r="CR82" i="2420" s="1"/>
  <c r="CT82" i="2420" s="1"/>
  <c r="CM17" i="2420"/>
  <c r="CM11" i="2420"/>
  <c r="CM35" i="2420"/>
  <c r="CN35" i="2420" s="1"/>
  <c r="CO35" i="2420" s="1"/>
  <c r="CM13" i="2420"/>
  <c r="CM47" i="2420"/>
  <c r="CN47" i="2420" s="1"/>
  <c r="CO47" i="2420" s="1"/>
  <c r="CM89" i="2420"/>
  <c r="CR89" i="2420" s="1"/>
  <c r="CT89" i="2420" s="1"/>
  <c r="CM51" i="2420"/>
  <c r="CN51" i="2420" s="1"/>
  <c r="CO51" i="2420" s="1"/>
  <c r="CM57" i="2420"/>
  <c r="CN57" i="2420" s="1"/>
  <c r="CO57" i="2420" s="1"/>
  <c r="CM88" i="2420"/>
  <c r="CN88" i="2420" s="1"/>
  <c r="CO88" i="2420" s="1"/>
  <c r="CM8" i="2420"/>
  <c r="CN8" i="2420" s="1"/>
  <c r="CO8" i="2420" s="1"/>
  <c r="CM66" i="2420"/>
  <c r="CN66" i="2420" s="1"/>
  <c r="CO66" i="2420" s="1"/>
  <c r="CM78" i="2420"/>
  <c r="CR78" i="2420" s="1"/>
  <c r="CT78" i="2420" s="1"/>
  <c r="CM73" i="2420"/>
  <c r="CR73" i="2420" s="1"/>
  <c r="CT73" i="2420" s="1"/>
  <c r="CM20" i="2420"/>
  <c r="CM81" i="2420"/>
  <c r="CN81" i="2420" s="1"/>
  <c r="CO81" i="2420" s="1"/>
  <c r="CM46" i="2420"/>
  <c r="CR46" i="2420" s="1"/>
  <c r="CT46" i="2420" s="1"/>
  <c r="CM86" i="2420"/>
  <c r="CN86" i="2420" s="1"/>
  <c r="CO86" i="2420" s="1"/>
  <c r="CM42" i="2420"/>
  <c r="CR42" i="2420" s="1"/>
  <c r="CT42" i="2420" s="1"/>
  <c r="CM9" i="2420"/>
  <c r="CN9" i="2420" s="1"/>
  <c r="CO9" i="2420" s="1"/>
  <c r="CM79" i="2420"/>
  <c r="CR79" i="2420" s="1"/>
  <c r="CT79" i="2420" s="1"/>
  <c r="CM23" i="2420"/>
  <c r="CN23" i="2420" s="1"/>
  <c r="CO23" i="2420" s="1"/>
  <c r="CM12" i="2420"/>
  <c r="CN12" i="2420" s="1"/>
  <c r="CO12" i="2420" s="1"/>
  <c r="CM91" i="2420"/>
  <c r="CN91" i="2420" s="1"/>
  <c r="CO91" i="2420" s="1"/>
  <c r="CM69" i="2420"/>
  <c r="CR69" i="2420" s="1"/>
  <c r="CT69" i="2420" s="1"/>
  <c r="CM44" i="2420"/>
  <c r="CN44" i="2420" s="1"/>
  <c r="CO44" i="2420" s="1"/>
  <c r="CM90" i="2420"/>
  <c r="CR90" i="2420" s="1"/>
  <c r="CT90" i="2420" s="1"/>
  <c r="CM70" i="2420"/>
  <c r="CN70" i="2420" s="1"/>
  <c r="CO70" i="2420" s="1"/>
  <c r="CM62" i="2420"/>
  <c r="CN62" i="2420" s="1"/>
  <c r="CO62" i="2420" s="1"/>
  <c r="CM85" i="2420"/>
  <c r="CN85" i="2420" s="1"/>
  <c r="CO85" i="2420" s="1"/>
  <c r="CM72" i="2420"/>
  <c r="CN72" i="2420" s="1"/>
  <c r="CO72" i="2420" s="1"/>
  <c r="CM36" i="2420"/>
  <c r="CR36" i="2420" s="1"/>
  <c r="CT36" i="2420" s="1"/>
  <c r="CM63" i="2420"/>
  <c r="CN63" i="2420" s="1"/>
  <c r="CO63" i="2420" s="1"/>
  <c r="CM31" i="2420"/>
  <c r="CR31" i="2420" s="1"/>
  <c r="CT31" i="2420" s="1"/>
  <c r="CM77" i="2420"/>
  <c r="CN77" i="2420" s="1"/>
  <c r="CO77" i="2420" s="1"/>
  <c r="CM41" i="2420"/>
  <c r="CN41" i="2420" s="1"/>
  <c r="CO41" i="2420" s="1"/>
  <c r="CM14" i="2420"/>
  <c r="CM55" i="2420"/>
  <c r="CN55" i="2420" s="1"/>
  <c r="CO55" i="2420" s="1"/>
  <c r="CM94" i="2420"/>
  <c r="CR94" i="2420" s="1"/>
  <c r="CT94" i="2420" s="1"/>
  <c r="CM21" i="2420"/>
  <c r="CN21" i="2420" s="1"/>
  <c r="CO21" i="2420" s="1"/>
  <c r="CM103" i="2420"/>
  <c r="CN103" i="2420" s="1"/>
  <c r="CO103" i="2420" s="1"/>
  <c r="CM33" i="2420"/>
  <c r="CR33" i="2420" s="1"/>
  <c r="CT33" i="2420" s="1"/>
  <c r="CM10" i="2420"/>
  <c r="CM96" i="2420"/>
  <c r="CN96" i="2420" s="1"/>
  <c r="CO96" i="2420" s="1"/>
  <c r="CM49" i="2420"/>
  <c r="CR49" i="2420" s="1"/>
  <c r="CT49" i="2420" s="1"/>
  <c r="CM64" i="2420"/>
  <c r="CN64" i="2420" s="1"/>
  <c r="CO64" i="2420" s="1"/>
  <c r="CM54" i="2420"/>
  <c r="CR54" i="2420" s="1"/>
  <c r="CT54" i="2420" s="1"/>
  <c r="CM101" i="2420"/>
  <c r="CN101" i="2420" s="1"/>
  <c r="CO101" i="2420" s="1"/>
  <c r="CM80" i="2420"/>
  <c r="CN80" i="2420" s="1"/>
  <c r="CO80" i="2420" s="1"/>
  <c r="CM100" i="2420"/>
  <c r="CN100" i="2420" s="1"/>
  <c r="CO100" i="2420" s="1"/>
  <c r="CM45" i="2420"/>
  <c r="CR45" i="2420" s="1"/>
  <c r="CT45" i="2420" s="1"/>
  <c r="CM98" i="2420"/>
  <c r="CN98" i="2420" s="1"/>
  <c r="CO98" i="2420" s="1"/>
  <c r="CM43" i="2420"/>
  <c r="CN43" i="2420" s="1"/>
  <c r="CO43" i="2420" s="1"/>
  <c r="CM18" i="2420"/>
  <c r="CM16" i="2420"/>
  <c r="CN16" i="2420" s="1"/>
  <c r="CO16" i="2420" s="1"/>
  <c r="CM97" i="2420"/>
  <c r="CR97" i="2420" s="1"/>
  <c r="CT97" i="2420" s="1"/>
  <c r="CM58" i="2420"/>
  <c r="CR58" i="2420" s="1"/>
  <c r="CT58" i="2420" s="1"/>
  <c r="CM7" i="2420"/>
  <c r="CM92" i="2420"/>
  <c r="CN92" i="2420" s="1"/>
  <c r="CO92" i="2420" s="1"/>
  <c r="CM65" i="2420"/>
  <c r="CR65" i="2420" s="1"/>
  <c r="CT65" i="2420" s="1"/>
  <c r="CM83" i="2420"/>
  <c r="CN83" i="2420" s="1"/>
  <c r="CO83" i="2420" s="1"/>
  <c r="CM67" i="2420"/>
  <c r="CR67" i="2420" s="1"/>
  <c r="CT67" i="2420" s="1"/>
  <c r="CM87" i="2420"/>
  <c r="CN87" i="2420" s="1"/>
  <c r="CO87" i="2420" s="1"/>
  <c r="CM29" i="2420"/>
  <c r="CN29" i="2420" s="1"/>
  <c r="CO29" i="2420" s="1"/>
  <c r="CM50" i="2420"/>
  <c r="CN50" i="2420" s="1"/>
  <c r="CO50" i="2420" s="1"/>
  <c r="CM5" i="2420"/>
  <c r="P14" i="2390"/>
  <c r="RT16" i="2421"/>
  <c r="P12" i="2390"/>
  <c r="RT14" i="2421"/>
  <c r="R58" i="2421"/>
  <c r="R24" i="2421"/>
  <c r="S24" i="2421" s="1"/>
  <c r="L35" i="2388" s="1"/>
  <c r="R18" i="2421"/>
  <c r="R56" i="2421"/>
  <c r="R92" i="2421"/>
  <c r="R93" i="2421"/>
  <c r="R106" i="2421"/>
  <c r="U20" i="2421"/>
  <c r="AC20" i="2421" s="1"/>
  <c r="R16" i="2421"/>
  <c r="S16" i="2421" s="1"/>
  <c r="L27" i="2388" s="1"/>
  <c r="R21" i="2421"/>
  <c r="BY65" i="2420"/>
  <c r="BY50" i="2420"/>
  <c r="U24" i="2421"/>
  <c r="R33" i="2421"/>
  <c r="U35" i="2421"/>
  <c r="AC35" i="2421" s="1"/>
  <c r="BY97" i="2420"/>
  <c r="BY71" i="2420"/>
  <c r="U72" i="2421"/>
  <c r="AC72" i="2421" s="1"/>
  <c r="U113" i="2421"/>
  <c r="AC113" i="2421" s="1"/>
  <c r="Q114" i="2421"/>
  <c r="B23" i="2388" s="1"/>
  <c r="R44" i="2421"/>
  <c r="BY20" i="2420"/>
  <c r="O25" i="2406" s="1"/>
  <c r="R25" i="2421"/>
  <c r="BY85" i="2420"/>
  <c r="U83" i="2421"/>
  <c r="AC83" i="2421" s="1"/>
  <c r="R97" i="2421"/>
  <c r="U49" i="2421"/>
  <c r="AC49" i="2421" s="1"/>
  <c r="R74" i="2421"/>
  <c r="R108" i="2421"/>
  <c r="BY12" i="2420"/>
  <c r="O17" i="2406" s="1"/>
  <c r="BY81" i="2420"/>
  <c r="R36" i="2421"/>
  <c r="U107" i="2421"/>
  <c r="AC107" i="2421" s="1"/>
  <c r="U47" i="2421"/>
  <c r="AC47" i="2421" s="1"/>
  <c r="BY25" i="2420"/>
  <c r="O30" i="2406" s="1"/>
  <c r="R38" i="2421"/>
  <c r="S38" i="2421" s="1"/>
  <c r="L49" i="2388" s="1"/>
  <c r="R65" i="2421"/>
  <c r="R95" i="2421"/>
  <c r="R64" i="2421"/>
  <c r="BY22" i="2420"/>
  <c r="O27" i="2406" s="1"/>
  <c r="R87" i="2421"/>
  <c r="U40" i="2421"/>
  <c r="AC40" i="2421" s="1"/>
  <c r="U70" i="2421"/>
  <c r="AC70" i="2421" s="1"/>
  <c r="U85" i="2421"/>
  <c r="AC85" i="2421" s="1"/>
  <c r="BY76" i="2420"/>
  <c r="BY60" i="2420"/>
  <c r="U94" i="2421"/>
  <c r="AC94" i="2421" s="1"/>
  <c r="U71" i="2421"/>
  <c r="AC71" i="2421" s="1"/>
  <c r="R20" i="2421"/>
  <c r="U16" i="2421"/>
  <c r="K27" i="2388" s="1"/>
  <c r="U21" i="2421"/>
  <c r="AC21" i="2421" s="1"/>
  <c r="BY53" i="2420"/>
  <c r="R30" i="2421"/>
  <c r="U77" i="2421"/>
  <c r="AC77" i="2421" s="1"/>
  <c r="BY101" i="2420"/>
  <c r="U84" i="2421"/>
  <c r="AC84" i="2421" s="1"/>
  <c r="R72" i="2421"/>
  <c r="R113" i="2421"/>
  <c r="U14" i="2421"/>
  <c r="U44" i="2421"/>
  <c r="AC44" i="2421" s="1"/>
  <c r="R69" i="2421"/>
  <c r="BY30" i="2420"/>
  <c r="R43" i="2421"/>
  <c r="U29" i="2421"/>
  <c r="AC29" i="2421" s="1"/>
  <c r="BY24" i="2420"/>
  <c r="O29" i="2406" s="1"/>
  <c r="R83" i="2421"/>
  <c r="BY86" i="2420"/>
  <c r="BY16" i="2420"/>
  <c r="O21" i="2406" s="1"/>
  <c r="R105" i="2421"/>
  <c r="U103" i="2421"/>
  <c r="AC103" i="2421" s="1"/>
  <c r="U75" i="2421"/>
  <c r="AC75" i="2421" s="1"/>
  <c r="R78" i="2421"/>
  <c r="BY15" i="2420"/>
  <c r="O20" i="2406" s="1"/>
  <c r="BY7" i="2420"/>
  <c r="O12" i="2406" s="1"/>
  <c r="U111" i="2421"/>
  <c r="AC111" i="2421" s="1"/>
  <c r="U26" i="2421"/>
  <c r="AC26" i="2421" s="1"/>
  <c r="BY34" i="2420"/>
  <c r="R40" i="2421"/>
  <c r="U88" i="2421"/>
  <c r="AC88" i="2421" s="1"/>
  <c r="U90" i="2421"/>
  <c r="AC90" i="2421" s="1"/>
  <c r="U96" i="2421"/>
  <c r="AC96" i="2421" s="1"/>
  <c r="BY84" i="2420"/>
  <c r="BY27" i="2420"/>
  <c r="U34" i="2421"/>
  <c r="AC34" i="2421" s="1"/>
  <c r="U93" i="2421"/>
  <c r="AC93" i="2421" s="1"/>
  <c r="BY18" i="2420"/>
  <c r="O23" i="2406" s="1"/>
  <c r="U33" i="2421"/>
  <c r="AC33" i="2421" s="1"/>
  <c r="R45" i="2421"/>
  <c r="R35" i="2421"/>
  <c r="BY14" i="2420"/>
  <c r="O19" i="2406" s="1"/>
  <c r="R14" i="2421"/>
  <c r="S14" i="2421" s="1"/>
  <c r="L25" i="2388" s="1"/>
  <c r="R59" i="2421"/>
  <c r="BY87" i="2420"/>
  <c r="BY44" i="2420"/>
  <c r="U67" i="2421"/>
  <c r="AC67" i="2421" s="1"/>
  <c r="R19" i="2421"/>
  <c r="U66" i="2421"/>
  <c r="AC66" i="2421" s="1"/>
  <c r="BY92" i="2420"/>
  <c r="BY77" i="2420"/>
  <c r="R79" i="2421"/>
  <c r="BY59" i="2420"/>
  <c r="BY29" i="2420"/>
  <c r="O34" i="2406" s="1"/>
  <c r="U62" i="2421"/>
  <c r="AC62" i="2421" s="1"/>
  <c r="BY96" i="2420"/>
  <c r="BY9" i="2420"/>
  <c r="O14" i="2406" s="1"/>
  <c r="AH135" i="2421"/>
  <c r="U38" i="2421"/>
  <c r="AC38" i="2421" s="1"/>
  <c r="R111" i="2421"/>
  <c r="R26" i="2421"/>
  <c r="U95" i="2421"/>
  <c r="AC95" i="2421" s="1"/>
  <c r="U64" i="2421"/>
  <c r="AC64" i="2421" s="1"/>
  <c r="BY67" i="2420"/>
  <c r="O10" i="2406"/>
  <c r="R27" i="2421"/>
  <c r="U76" i="2421"/>
  <c r="AC76" i="2421" s="1"/>
  <c r="BY79" i="2420"/>
  <c r="BY11" i="2420"/>
  <c r="O16" i="2406" s="1"/>
  <c r="U18" i="2421"/>
  <c r="K29" i="2388" s="1"/>
  <c r="U56" i="2421"/>
  <c r="AC56" i="2421" s="1"/>
  <c r="R94" i="2421"/>
  <c r="R63" i="2421"/>
  <c r="U92" i="2421"/>
  <c r="AC92" i="2421" s="1"/>
  <c r="BY45" i="2420"/>
  <c r="U39" i="2421"/>
  <c r="AC39" i="2421" s="1"/>
  <c r="R15" i="2421"/>
  <c r="U42" i="2421"/>
  <c r="AC42" i="2421" s="1"/>
  <c r="BY26" i="2420"/>
  <c r="O31" i="2406" s="1"/>
  <c r="U41" i="2421"/>
  <c r="AC41" i="2421" s="1"/>
  <c r="U37" i="2421"/>
  <c r="AC37" i="2421" s="1"/>
  <c r="R31" i="2421"/>
  <c r="U81" i="2421"/>
  <c r="AC81" i="2421" s="1"/>
  <c r="BY39" i="2420"/>
  <c r="BY28" i="2420"/>
  <c r="U43" i="2421"/>
  <c r="AC43" i="2421" s="1"/>
  <c r="R29" i="2421"/>
  <c r="R67" i="2421"/>
  <c r="U19" i="2421"/>
  <c r="K30" i="2388" s="1"/>
  <c r="R66" i="2421"/>
  <c r="BY100" i="2420"/>
  <c r="BY23" i="2420"/>
  <c r="O28" i="2406" s="1"/>
  <c r="U82" i="2421"/>
  <c r="AC82" i="2421" s="1"/>
  <c r="U73" i="2421"/>
  <c r="AC73" i="2421" s="1"/>
  <c r="U102" i="2421"/>
  <c r="AC102" i="2421" s="1"/>
  <c r="R53" i="2421"/>
  <c r="U80" i="2421"/>
  <c r="AC80" i="2421" s="1"/>
  <c r="BY36" i="2420"/>
  <c r="BY64" i="2420"/>
  <c r="R50" i="2421"/>
  <c r="R75" i="2421"/>
  <c r="U78" i="2421"/>
  <c r="AC78" i="2421" s="1"/>
  <c r="BY103" i="2420"/>
  <c r="BY78" i="2420"/>
  <c r="U65" i="2421"/>
  <c r="AC65" i="2421" s="1"/>
  <c r="BY55" i="2420"/>
  <c r="BY21" i="2420"/>
  <c r="O26" i="2406" s="1"/>
  <c r="R55" i="2421"/>
  <c r="U98" i="2421"/>
  <c r="AC98" i="2421" s="1"/>
  <c r="R32" i="2421"/>
  <c r="R112" i="2421"/>
  <c r="R17" i="2421"/>
  <c r="BY75" i="2420"/>
  <c r="BY72" i="2420"/>
  <c r="U106" i="2421"/>
  <c r="AC106" i="2421" s="1"/>
  <c r="R51" i="2421"/>
  <c r="BY48" i="2420"/>
  <c r="BY13" i="2420"/>
  <c r="O18" i="2406" s="1"/>
  <c r="R39" i="2421"/>
  <c r="U15" i="2421"/>
  <c r="K26" i="2388" s="1"/>
  <c r="R101" i="2421"/>
  <c r="BY49" i="2420"/>
  <c r="BY95" i="2420"/>
  <c r="R99" i="2421"/>
  <c r="BY89" i="2420"/>
  <c r="BY6" i="2420"/>
  <c r="O11" i="2406" s="1"/>
  <c r="BY91" i="2420"/>
  <c r="BY70" i="2420"/>
  <c r="R82" i="2421"/>
  <c r="R73" i="2421"/>
  <c r="R102" i="2421"/>
  <c r="U53" i="2421"/>
  <c r="AC53" i="2421" s="1"/>
  <c r="U79" i="2421"/>
  <c r="AC79" i="2421" s="1"/>
  <c r="R80" i="2421"/>
  <c r="BY58" i="2420"/>
  <c r="U50" i="2421"/>
  <c r="AC50" i="2421" s="1"/>
  <c r="U105" i="2421"/>
  <c r="AC105" i="2421" s="1"/>
  <c r="R103" i="2421"/>
  <c r="R62" i="2421"/>
  <c r="BY46" i="2420"/>
  <c r="BY80" i="2420"/>
  <c r="AG135" i="2421"/>
  <c r="AC135" i="2421" s="1"/>
  <c r="AB135" i="2421" s="1"/>
  <c r="U110" i="2421"/>
  <c r="AC110" i="2421" s="1"/>
  <c r="U89" i="2421"/>
  <c r="AC89" i="2421" s="1"/>
  <c r="R100" i="2421"/>
  <c r="R54" i="2421"/>
  <c r="BY40" i="2420"/>
  <c r="BY66" i="2420"/>
  <c r="U55" i="2421"/>
  <c r="AC55" i="2421" s="1"/>
  <c r="U27" i="2421"/>
  <c r="AC27" i="2421" s="1"/>
  <c r="R98" i="2421"/>
  <c r="R76" i="2421"/>
  <c r="U32" i="2421"/>
  <c r="AC32" i="2421" s="1"/>
  <c r="U112" i="2421"/>
  <c r="AC112" i="2421" s="1"/>
  <c r="U17" i="2421"/>
  <c r="K28" i="2388" s="1"/>
  <c r="BY42" i="2420"/>
  <c r="BY82" i="2420"/>
  <c r="BY17" i="2420"/>
  <c r="O22" i="2406" s="1"/>
  <c r="R91" i="2421"/>
  <c r="U101" i="2421"/>
  <c r="AC101" i="2421" s="1"/>
  <c r="R42" i="2421"/>
  <c r="BY61" i="2420"/>
  <c r="BY43" i="2420"/>
  <c r="R46" i="2421"/>
  <c r="U99" i="2421"/>
  <c r="AC99" i="2421" s="1"/>
  <c r="R41" i="2421"/>
  <c r="U31" i="2421"/>
  <c r="AC31" i="2421" s="1"/>
  <c r="BY93" i="2420"/>
  <c r="BY52" i="2420"/>
  <c r="U25" i="2421"/>
  <c r="AC25" i="2421" s="1"/>
  <c r="R48" i="2421"/>
  <c r="R52" i="2421"/>
  <c r="U86" i="2421"/>
  <c r="AC86" i="2421" s="1"/>
  <c r="BY90" i="2420"/>
  <c r="BY33" i="2420"/>
  <c r="BY74" i="2420"/>
  <c r="U57" i="2421"/>
  <c r="AC57" i="2421" s="1"/>
  <c r="R61" i="2421"/>
  <c r="BY63" i="2420"/>
  <c r="U22" i="2421"/>
  <c r="AC22" i="2421" s="1"/>
  <c r="R68" i="2421"/>
  <c r="BY102" i="2420"/>
  <c r="BY31" i="2420"/>
  <c r="BY47" i="2420"/>
  <c r="U51" i="2421"/>
  <c r="AC51" i="2421" s="1"/>
  <c r="BY51" i="2420"/>
  <c r="BY94" i="2420"/>
  <c r="U91" i="2421"/>
  <c r="AC91" i="2421" s="1"/>
  <c r="BY10" i="2420"/>
  <c r="O15" i="2406" s="1"/>
  <c r="BY35" i="2420"/>
  <c r="U46" i="2421"/>
  <c r="AC46" i="2421" s="1"/>
  <c r="R37" i="2421"/>
  <c r="R81" i="2421"/>
  <c r="BY73" i="2420"/>
  <c r="BY32" i="2420"/>
  <c r="U23" i="2421"/>
  <c r="R28" i="2421"/>
  <c r="BY56" i="2420"/>
  <c r="BY19" i="2420"/>
  <c r="O24" i="2406" s="1"/>
  <c r="U97" i="2421"/>
  <c r="AC97" i="2421" s="1"/>
  <c r="U74" i="2421"/>
  <c r="AC74" i="2421" s="1"/>
  <c r="BY69" i="2420"/>
  <c r="R107" i="2421"/>
  <c r="R60" i="2421"/>
  <c r="R47" i="2421"/>
  <c r="R109" i="2421"/>
  <c r="BY68" i="2420"/>
  <c r="R110" i="2421"/>
  <c r="R104" i="2421"/>
  <c r="R89" i="2421"/>
  <c r="U68" i="2421"/>
  <c r="AC68" i="2421" s="1"/>
  <c r="U54" i="2421"/>
  <c r="AC54" i="2421" s="1"/>
  <c r="BY38" i="2420"/>
  <c r="R90" i="2421"/>
  <c r="R70" i="2421"/>
  <c r="R85" i="2421"/>
  <c r="R96" i="2421"/>
  <c r="BY8" i="2420"/>
  <c r="O13" i="2406" s="1"/>
  <c r="U63" i="2421"/>
  <c r="AC63" i="2421" s="1"/>
  <c r="R34" i="2421"/>
  <c r="R71" i="2421"/>
  <c r="U58" i="2421"/>
  <c r="AC58" i="2421" s="1"/>
  <c r="BY83" i="2420"/>
  <c r="BY37" i="2420"/>
  <c r="U45" i="2421"/>
  <c r="AC45" i="2421" s="1"/>
  <c r="U30" i="2421"/>
  <c r="AC30" i="2421" s="1"/>
  <c r="R77" i="2421"/>
  <c r="BY57" i="2420"/>
  <c r="BY99" i="2420"/>
  <c r="R84" i="2421"/>
  <c r="U69" i="2421"/>
  <c r="AC69" i="2421" s="1"/>
  <c r="U59" i="2421"/>
  <c r="AC59" i="2421" s="1"/>
  <c r="BY62" i="2420"/>
  <c r="U48" i="2421"/>
  <c r="AC48" i="2421" s="1"/>
  <c r="R23" i="2421"/>
  <c r="S23" i="2421" s="1"/>
  <c r="L34" i="2388" s="1"/>
  <c r="U28" i="2421"/>
  <c r="AC28" i="2421" s="1"/>
  <c r="U52" i="2421"/>
  <c r="AC52" i="2421" s="1"/>
  <c r="R86" i="2421"/>
  <c r="BY54" i="2420"/>
  <c r="R49" i="2421"/>
  <c r="U108" i="2421"/>
  <c r="AC108" i="2421" s="1"/>
  <c r="BY41" i="2420"/>
  <c r="U36" i="2421"/>
  <c r="AC36" i="2421" s="1"/>
  <c r="U60" i="2421"/>
  <c r="AC60" i="2421" s="1"/>
  <c r="R57" i="2421"/>
  <c r="U109" i="2421"/>
  <c r="AC109" i="2421" s="1"/>
  <c r="U61" i="2421"/>
  <c r="AC61" i="2421" s="1"/>
  <c r="BY88" i="2420"/>
  <c r="U104" i="2421"/>
  <c r="AC104" i="2421" s="1"/>
  <c r="R22" i="2421"/>
  <c r="U100" i="2421"/>
  <c r="AC100" i="2421" s="1"/>
  <c r="BY98" i="2420"/>
  <c r="U87" i="2421"/>
  <c r="AC87" i="2421" s="1"/>
  <c r="R88" i="2421"/>
  <c r="BY104" i="2420"/>
  <c r="CN15" i="2420" l="1"/>
  <c r="CO15" i="2420" s="1"/>
  <c r="K12" i="2405"/>
  <c r="AC24" i="2421"/>
  <c r="H23" i="2413"/>
  <c r="AC23" i="2421"/>
  <c r="H22" i="2413"/>
  <c r="AC14" i="2421"/>
  <c r="KF11" i="2422" s="1"/>
  <c r="H13" i="2413"/>
  <c r="S15" i="2421"/>
  <c r="L26" i="2388" s="1"/>
  <c r="RT128" i="2421"/>
  <c r="RU128" i="2421"/>
  <c r="BY106" i="2420" a="1"/>
  <c r="BY106" i="2420" s="1"/>
  <c r="G5" i="2406" s="1"/>
  <c r="RZ14" i="2421"/>
  <c r="KI11" i="2422"/>
  <c r="AC19" i="2421"/>
  <c r="KF16" i="2422" s="1"/>
  <c r="AC15" i="2421"/>
  <c r="KF12" i="2422" s="1"/>
  <c r="AC16" i="2421"/>
  <c r="KF13" i="2422" s="1"/>
  <c r="AC18" i="2421"/>
  <c r="KF15" i="2422" s="1"/>
  <c r="AC17" i="2421"/>
  <c r="KF14" i="2422" s="1"/>
  <c r="CN10" i="2420"/>
  <c r="CO10" i="2420" s="1"/>
  <c r="RZ17" i="2421"/>
  <c r="KI14" i="2422"/>
  <c r="RZ16" i="2421"/>
  <c r="KI13" i="2422"/>
  <c r="CN5" i="2420"/>
  <c r="CO5" i="2420" s="1"/>
  <c r="K11" i="2405"/>
  <c r="CN6" i="2420"/>
  <c r="CO6" i="2420" s="1"/>
  <c r="CR74" i="2420"/>
  <c r="CN67" i="2420"/>
  <c r="CO67" i="2420" s="1"/>
  <c r="CN48" i="2420"/>
  <c r="CO48" i="2420" s="1"/>
  <c r="CN53" i="2420"/>
  <c r="CO53" i="2420" s="1"/>
  <c r="CN82" i="2420"/>
  <c r="CO82" i="2420" s="1"/>
  <c r="CN33" i="2420"/>
  <c r="CO33" i="2420" s="1"/>
  <c r="CR93" i="2420"/>
  <c r="CT93" i="2420" s="1"/>
  <c r="CN71" i="2420"/>
  <c r="CO71" i="2420" s="1"/>
  <c r="CR39" i="2420"/>
  <c r="CT39" i="2420" s="1"/>
  <c r="CN31" i="2420"/>
  <c r="CO31" i="2420" s="1"/>
  <c r="CR85" i="2420"/>
  <c r="CT85" i="2420" s="1"/>
  <c r="CR44" i="2420"/>
  <c r="CT44" i="2420" s="1"/>
  <c r="CR77" i="2420"/>
  <c r="CT77" i="2420" s="1"/>
  <c r="CR72" i="2420"/>
  <c r="CT72" i="2420" s="1"/>
  <c r="CR83" i="2420"/>
  <c r="CR70" i="2420"/>
  <c r="CR88" i="2420"/>
  <c r="CT88" i="2420" s="1"/>
  <c r="CR75" i="2420"/>
  <c r="CN18" i="2420"/>
  <c r="CO18" i="2420" s="1"/>
  <c r="A4" i="2406"/>
  <c r="AB36" i="2421"/>
  <c r="K47" i="2388"/>
  <c r="AB63" i="2421"/>
  <c r="K74" i="2388"/>
  <c r="AB54" i="2421"/>
  <c r="K65" i="2388"/>
  <c r="AB74" i="2421"/>
  <c r="K85" i="2388"/>
  <c r="AB91" i="2421"/>
  <c r="K102" i="2388"/>
  <c r="AB73" i="2421"/>
  <c r="K84" i="2388"/>
  <c r="AB41" i="2421"/>
  <c r="K52" i="2388"/>
  <c r="AB34" i="2421"/>
  <c r="K45" i="2388"/>
  <c r="AB26" i="2421"/>
  <c r="K37" i="2388"/>
  <c r="AB71" i="2421"/>
  <c r="K82" i="2388"/>
  <c r="AB85" i="2421"/>
  <c r="K96" i="2388"/>
  <c r="AB72" i="2421"/>
  <c r="K83" i="2388"/>
  <c r="K33" i="2388"/>
  <c r="AB27" i="2421"/>
  <c r="K38" i="2388"/>
  <c r="AB61" i="2421"/>
  <c r="K72" i="2388"/>
  <c r="AB48" i="2421"/>
  <c r="K59" i="2388"/>
  <c r="AB23" i="2421"/>
  <c r="K34" i="2388"/>
  <c r="AB95" i="2421"/>
  <c r="K106" i="2388"/>
  <c r="AB90" i="2421"/>
  <c r="K101" i="2388"/>
  <c r="AB107" i="2421"/>
  <c r="K118" i="2388"/>
  <c r="AB24" i="2421"/>
  <c r="K35" i="2388"/>
  <c r="K31" i="2388"/>
  <c r="AB30" i="2421"/>
  <c r="K41" i="2388"/>
  <c r="AB68" i="2421"/>
  <c r="K79" i="2388"/>
  <c r="AB97" i="2421"/>
  <c r="K108" i="2388"/>
  <c r="AB46" i="2421"/>
  <c r="K57" i="2388"/>
  <c r="AB31" i="2421"/>
  <c r="K42" i="2388"/>
  <c r="AB112" i="2421"/>
  <c r="K123" i="2388"/>
  <c r="AB55" i="2421"/>
  <c r="K66" i="2388"/>
  <c r="AB89" i="2421"/>
  <c r="K100" i="2388"/>
  <c r="AB82" i="2421"/>
  <c r="K93" i="2388"/>
  <c r="AB33" i="2421"/>
  <c r="K44" i="2388"/>
  <c r="K122" i="2388"/>
  <c r="AB75" i="2421"/>
  <c r="K86" i="2388"/>
  <c r="AB84" i="2421"/>
  <c r="K95" i="2388"/>
  <c r="AB94" i="2421"/>
  <c r="K105" i="2388"/>
  <c r="AB70" i="2421"/>
  <c r="K81" i="2388"/>
  <c r="AB49" i="2421"/>
  <c r="K60" i="2388"/>
  <c r="AB25" i="2421"/>
  <c r="K36" i="2388"/>
  <c r="AB78" i="2421"/>
  <c r="K89" i="2388"/>
  <c r="AB80" i="2421"/>
  <c r="K91" i="2388"/>
  <c r="AB81" i="2421"/>
  <c r="K92" i="2388"/>
  <c r="AB92" i="2421"/>
  <c r="K103" i="2388"/>
  <c r="AB66" i="2421"/>
  <c r="K77" i="2388"/>
  <c r="AB88" i="2421"/>
  <c r="K99" i="2388"/>
  <c r="K32" i="2388"/>
  <c r="AB108" i="2421"/>
  <c r="K119" i="2388"/>
  <c r="AB52" i="2421"/>
  <c r="K63" i="2388"/>
  <c r="AB45" i="2421"/>
  <c r="K56" i="2388"/>
  <c r="AB58" i="2421"/>
  <c r="K69" i="2388"/>
  <c r="AB32" i="2421"/>
  <c r="K43" i="2388"/>
  <c r="K121" i="2388"/>
  <c r="AB79" i="2421"/>
  <c r="K90" i="2388"/>
  <c r="AB42" i="2421"/>
  <c r="K53" i="2388"/>
  <c r="AB103" i="2421"/>
  <c r="K114" i="2388"/>
  <c r="AB40" i="2421"/>
  <c r="K51" i="2388"/>
  <c r="AB100" i="2421"/>
  <c r="K111" i="2388"/>
  <c r="AB87" i="2421"/>
  <c r="K98" i="2388"/>
  <c r="AB104" i="2421"/>
  <c r="K115" i="2388"/>
  <c r="AB59" i="2421"/>
  <c r="K70" i="2388"/>
  <c r="AB99" i="2421"/>
  <c r="K110" i="2388"/>
  <c r="AB105" i="2421"/>
  <c r="K116" i="2388"/>
  <c r="AB106" i="2421"/>
  <c r="K117" i="2388"/>
  <c r="AB65" i="2421"/>
  <c r="K76" i="2388"/>
  <c r="AB43" i="2421"/>
  <c r="K54" i="2388"/>
  <c r="AB38" i="2421"/>
  <c r="K49" i="2388"/>
  <c r="AB44" i="2421"/>
  <c r="K55" i="2388"/>
  <c r="AB83" i="2421"/>
  <c r="K94" i="2388"/>
  <c r="K120" i="2388"/>
  <c r="AB60" i="2421"/>
  <c r="K71" i="2388"/>
  <c r="AB28" i="2421"/>
  <c r="K39" i="2388"/>
  <c r="AB51" i="2421"/>
  <c r="K62" i="2388"/>
  <c r="AB57" i="2421"/>
  <c r="K68" i="2388"/>
  <c r="AB53" i="2421"/>
  <c r="K64" i="2388"/>
  <c r="AB98" i="2421"/>
  <c r="K109" i="2388"/>
  <c r="AB102" i="2421"/>
  <c r="K113" i="2388"/>
  <c r="AB37" i="2421"/>
  <c r="K48" i="2388"/>
  <c r="AB62" i="2421"/>
  <c r="K73" i="2388"/>
  <c r="AB67" i="2421"/>
  <c r="K78" i="2388"/>
  <c r="AB93" i="2421"/>
  <c r="K104" i="2388"/>
  <c r="K25" i="2388"/>
  <c r="AB77" i="2421"/>
  <c r="K88" i="2388"/>
  <c r="AB113" i="2421"/>
  <c r="K124" i="2388"/>
  <c r="AB35" i="2421"/>
  <c r="K46" i="2388"/>
  <c r="AB69" i="2421"/>
  <c r="K80" i="2388"/>
  <c r="AB86" i="2421"/>
  <c r="K97" i="2388"/>
  <c r="AB101" i="2421"/>
  <c r="K112" i="2388"/>
  <c r="AB50" i="2421"/>
  <c r="K61" i="2388"/>
  <c r="AB39" i="2421"/>
  <c r="K50" i="2388"/>
  <c r="AB56" i="2421"/>
  <c r="K67" i="2388"/>
  <c r="AB76" i="2421"/>
  <c r="K87" i="2388"/>
  <c r="AB64" i="2421"/>
  <c r="K75" i="2388"/>
  <c r="AB96" i="2421"/>
  <c r="K107" i="2388"/>
  <c r="AB29" i="2421"/>
  <c r="K40" i="2388"/>
  <c r="AB47" i="2421"/>
  <c r="K58" i="2388"/>
  <c r="CN94" i="2420"/>
  <c r="CO94" i="2420" s="1"/>
  <c r="CR99" i="2420"/>
  <c r="CN90" i="2420"/>
  <c r="CO90" i="2420" s="1"/>
  <c r="CN76" i="2420"/>
  <c r="CO76" i="2420" s="1"/>
  <c r="CR47" i="2420"/>
  <c r="CT47" i="2420" s="1"/>
  <c r="CR57" i="2420"/>
  <c r="CN13" i="2420"/>
  <c r="CO13" i="2420" s="1"/>
  <c r="CR56" i="2420"/>
  <c r="CT56" i="2420" s="1"/>
  <c r="CR60" i="2420"/>
  <c r="CT60" i="2420" s="1"/>
  <c r="CN84" i="2420"/>
  <c r="CO84" i="2420" s="1"/>
  <c r="CR55" i="2420"/>
  <c r="CT55" i="2420" s="1"/>
  <c r="KH48" i="2422"/>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40" i="2422"/>
  <c r="KH54" i="2422"/>
  <c r="KH90" i="2422"/>
  <c r="KH64" i="2422"/>
  <c r="KH55" i="2422"/>
  <c r="KH59" i="2422"/>
  <c r="KH42" i="2422"/>
  <c r="KH95" i="2422"/>
  <c r="CR66" i="2420"/>
  <c r="CT66" i="2420" s="1"/>
  <c r="CR81" i="2420"/>
  <c r="CT81" i="2420" s="1"/>
  <c r="CR43" i="2420"/>
  <c r="CT43" i="2420" s="1"/>
  <c r="CN49" i="2420"/>
  <c r="CO49" i="2420" s="1"/>
  <c r="CN17" i="2420"/>
  <c r="CO17" i="2420" s="1"/>
  <c r="CR37" i="2420"/>
  <c r="CT37" i="2420" s="1"/>
  <c r="CR59" i="2420"/>
  <c r="CT59" i="2420" s="1"/>
  <c r="CR64" i="2420"/>
  <c r="CT64" i="2420" s="1"/>
  <c r="CN52" i="2420"/>
  <c r="CO52" i="2420" s="1"/>
  <c r="CN46" i="2420"/>
  <c r="CO46" i="2420" s="1"/>
  <c r="CN78" i="2420"/>
  <c r="CO78" i="2420" s="1"/>
  <c r="CR100" i="2420"/>
  <c r="CT100" i="2420" s="1"/>
  <c r="CN45" i="2420"/>
  <c r="CO45" i="2420" s="1"/>
  <c r="CN54" i="2420"/>
  <c r="CO54" i="2420" s="1"/>
  <c r="CN28" i="2420"/>
  <c r="CO28" i="2420" s="1"/>
  <c r="CR27" i="2420"/>
  <c r="CT27" i="2420" s="1"/>
  <c r="CN11" i="2420"/>
  <c r="CO11" i="2420" s="1"/>
  <c r="CN104" i="2420"/>
  <c r="CO104" i="2420" s="1"/>
  <c r="CR50" i="2420"/>
  <c r="CT50" i="2420" s="1"/>
  <c r="KF80" i="2422"/>
  <c r="CR80" i="2420"/>
  <c r="CT80" i="2420" s="1"/>
  <c r="CN38" i="2420"/>
  <c r="CO38" i="2420" s="1"/>
  <c r="CN34" i="2420"/>
  <c r="CO34" i="2420" s="1"/>
  <c r="CR103" i="2420"/>
  <c r="CT103" i="2420" s="1"/>
  <c r="CR62" i="2420"/>
  <c r="CT62" i="2420" s="1"/>
  <c r="CN32" i="2420"/>
  <c r="CO32" i="2420" s="1"/>
  <c r="CR63" i="2420"/>
  <c r="CT63" i="2420" s="1"/>
  <c r="CN79" i="2420"/>
  <c r="CO79" i="2420" s="1"/>
  <c r="CR35" i="2420"/>
  <c r="CT35" i="2420" s="1"/>
  <c r="CN14" i="2420"/>
  <c r="CO14" i="2420" s="1"/>
  <c r="CN69" i="2420"/>
  <c r="CO69" i="2420" s="1"/>
  <c r="CN22" i="2420"/>
  <c r="CO22" i="2420" s="1"/>
  <c r="CR51" i="2420"/>
  <c r="CT51" i="2420" s="1"/>
  <c r="CR102" i="2420"/>
  <c r="CT102" i="2420" s="1"/>
  <c r="CN73" i="2420"/>
  <c r="CO73" i="2420" s="1"/>
  <c r="CR92" i="2420"/>
  <c r="CT92" i="2420" s="1"/>
  <c r="CN36" i="2420"/>
  <c r="CO36" i="2420" s="1"/>
  <c r="CR40" i="2420"/>
  <c r="CT40" i="2420" s="1"/>
  <c r="CN97" i="2420"/>
  <c r="CO97" i="2420" s="1"/>
  <c r="CR101" i="2420"/>
  <c r="CT101" i="2420" s="1"/>
  <c r="CR91" i="2420"/>
  <c r="CT91" i="2420" s="1"/>
  <c r="CR41" i="2420"/>
  <c r="CT41" i="2420" s="1"/>
  <c r="CR96" i="2420"/>
  <c r="CT96" i="2420" s="1"/>
  <c r="CN7" i="2420"/>
  <c r="CO7" i="2420" s="1"/>
  <c r="CN30" i="2420"/>
  <c r="CO30" i="2420" s="1"/>
  <c r="CR86" i="2420"/>
  <c r="CT86" i="2420" s="1"/>
  <c r="CR68" i="2420"/>
  <c r="CT68" i="2420" s="1"/>
  <c r="CR87" i="2420"/>
  <c r="CT87" i="2420" s="1"/>
  <c r="CR98" i="2420"/>
  <c r="CT98" i="2420" s="1"/>
  <c r="AD9" i="2421" a="1"/>
  <c r="AD9" i="2421" s="1"/>
  <c r="BA114" i="2420" s="1"/>
  <c r="KF59" i="2422"/>
  <c r="CN61" i="2420"/>
  <c r="CO61" i="2420" s="1"/>
  <c r="CN20" i="2420"/>
  <c r="CO20" i="2420" s="1"/>
  <c r="CN89" i="2420"/>
  <c r="CO89" i="2420" s="1"/>
  <c r="CN19" i="2420"/>
  <c r="CO19" i="2420" s="1"/>
  <c r="CR95" i="2420"/>
  <c r="CT95" i="2420" s="1"/>
  <c r="CN42" i="2420"/>
  <c r="CO42" i="2420" s="1"/>
  <c r="CN65" i="2420"/>
  <c r="CO65" i="2420" s="1"/>
  <c r="CN58" i="2420"/>
  <c r="CO58" i="2420" s="1"/>
  <c r="KF21" i="2422"/>
  <c r="BG112" i="2420" a="1"/>
  <c r="BG112" i="2420" s="1"/>
  <c r="BH112" i="2420" a="1"/>
  <c r="BH112" i="2420" s="1"/>
  <c r="KF17" i="2422"/>
  <c r="KF44" i="2422"/>
  <c r="W30" i="2421"/>
  <c r="SA30" i="2421" s="1"/>
  <c r="W91" i="2421"/>
  <c r="SA91" i="2421" s="1"/>
  <c r="W104" i="2421"/>
  <c r="SA104" i="2421" s="1"/>
  <c r="W109" i="2421"/>
  <c r="SA109" i="2421" s="1"/>
  <c r="W63" i="2421"/>
  <c r="SA63" i="2421" s="1"/>
  <c r="W97" i="2421"/>
  <c r="SA97" i="2421" s="1"/>
  <c r="W86" i="2421"/>
  <c r="SA86" i="2421" s="1"/>
  <c r="W112" i="2421"/>
  <c r="SA112" i="2421" s="1"/>
  <c r="W55" i="2421"/>
  <c r="SA55" i="2421" s="1"/>
  <c r="W53" i="2421"/>
  <c r="SA53" i="2421" s="1"/>
  <c r="W19" i="2421"/>
  <c r="SA19" i="2421" s="1"/>
  <c r="W92" i="2421"/>
  <c r="SA92" i="2421" s="1"/>
  <c r="W64" i="2421"/>
  <c r="SA64" i="2421" s="1"/>
  <c r="W67" i="2421"/>
  <c r="SA67" i="2421" s="1"/>
  <c r="W33" i="2421"/>
  <c r="SA33" i="2421" s="1"/>
  <c r="W96" i="2421"/>
  <c r="SA96" i="2421" s="1"/>
  <c r="W107" i="2421"/>
  <c r="SA107" i="2421" s="1"/>
  <c r="W48" i="2421"/>
  <c r="SA48" i="2421" s="1"/>
  <c r="W45" i="2421"/>
  <c r="SA45" i="2421" s="1"/>
  <c r="W23" i="2421"/>
  <c r="SA23" i="2421" s="1"/>
  <c r="W51" i="2421"/>
  <c r="SA51" i="2421" s="1"/>
  <c r="W57" i="2421"/>
  <c r="SA57" i="2421" s="1"/>
  <c r="W99" i="2421"/>
  <c r="SA99" i="2421" s="1"/>
  <c r="W78" i="2421"/>
  <c r="SA78" i="2421" s="1"/>
  <c r="W102" i="2421"/>
  <c r="SA102" i="2421" s="1"/>
  <c r="W41" i="2421"/>
  <c r="SA41" i="2421" s="1"/>
  <c r="W75" i="2421"/>
  <c r="SA75" i="2421" s="1"/>
  <c r="W77" i="2421"/>
  <c r="SA77" i="2421" s="1"/>
  <c r="W94" i="2421"/>
  <c r="SA94" i="2421" s="1"/>
  <c r="W22" i="2421"/>
  <c r="SA22" i="2421" s="1"/>
  <c r="W32" i="2421"/>
  <c r="SA32" i="2421" s="1"/>
  <c r="W39" i="2421"/>
  <c r="SA39" i="2421" s="1"/>
  <c r="W95" i="2421"/>
  <c r="SA95" i="2421" s="1"/>
  <c r="W62" i="2421"/>
  <c r="SA62" i="2421" s="1"/>
  <c r="W90" i="2421"/>
  <c r="SA90" i="2421" s="1"/>
  <c r="W21" i="2421"/>
  <c r="SA21" i="2421" s="1"/>
  <c r="W24" i="2421"/>
  <c r="SA24" i="2421" s="1"/>
  <c r="W54" i="2421"/>
  <c r="SA54" i="2421" s="1"/>
  <c r="W101" i="2421"/>
  <c r="SA101" i="2421" s="1"/>
  <c r="W105" i="2421"/>
  <c r="SA105" i="2421" s="1"/>
  <c r="W73" i="2421"/>
  <c r="SA73" i="2421" s="1"/>
  <c r="W26" i="2421"/>
  <c r="SA26" i="2421" s="1"/>
  <c r="W103" i="2421"/>
  <c r="SA103" i="2421" s="1"/>
  <c r="W29" i="2421"/>
  <c r="SA29" i="2421" s="1"/>
  <c r="W84" i="2421"/>
  <c r="SA84" i="2421" s="1"/>
  <c r="W85" i="2421"/>
  <c r="SA85" i="2421" s="1"/>
  <c r="W49" i="2421"/>
  <c r="SA49" i="2421" s="1"/>
  <c r="W113" i="2421"/>
  <c r="SA113" i="2421" s="1"/>
  <c r="W52" i="2421"/>
  <c r="SA52" i="2421" s="1"/>
  <c r="W58" i="2421"/>
  <c r="SA58" i="2421" s="1"/>
  <c r="W25" i="2421"/>
  <c r="SA25" i="2421" s="1"/>
  <c r="W89" i="2421"/>
  <c r="SA89" i="2421" s="1"/>
  <c r="W15" i="2421"/>
  <c r="SA15" i="2421" s="1"/>
  <c r="W98" i="2421"/>
  <c r="SA98" i="2421" s="1"/>
  <c r="W43" i="2421"/>
  <c r="SA43" i="2421" s="1"/>
  <c r="W81" i="2421"/>
  <c r="SA81" i="2421" s="1"/>
  <c r="W56" i="2421"/>
  <c r="SA56" i="2421" s="1"/>
  <c r="W93" i="2421"/>
  <c r="SA93" i="2421" s="1"/>
  <c r="W88" i="2421"/>
  <c r="SA88" i="2421" s="1"/>
  <c r="W59" i="2421"/>
  <c r="SA59" i="2421" s="1"/>
  <c r="W60" i="2421"/>
  <c r="SA60" i="2421" s="1"/>
  <c r="W108" i="2421"/>
  <c r="SA108" i="2421" s="1"/>
  <c r="W69" i="2421"/>
  <c r="SA69" i="2421" s="1"/>
  <c r="W100" i="2421"/>
  <c r="SA100" i="2421" s="1"/>
  <c r="W36" i="2421"/>
  <c r="SA36" i="2421" s="1"/>
  <c r="W68" i="2421"/>
  <c r="SA68" i="2421" s="1"/>
  <c r="W46" i="2421"/>
  <c r="SA46" i="2421" s="1"/>
  <c r="W50" i="2421"/>
  <c r="SA50" i="2421" s="1"/>
  <c r="W82" i="2421"/>
  <c r="SA82" i="2421" s="1"/>
  <c r="W66" i="2421"/>
  <c r="SA66" i="2421" s="1"/>
  <c r="W111" i="2421"/>
  <c r="SA111" i="2421" s="1"/>
  <c r="W44" i="2421"/>
  <c r="SA44" i="2421" s="1"/>
  <c r="W70" i="2421"/>
  <c r="SA70" i="2421" s="1"/>
  <c r="W72" i="2421"/>
  <c r="SA72" i="2421" s="1"/>
  <c r="W87" i="2421"/>
  <c r="SA87" i="2421" s="1"/>
  <c r="W61" i="2421"/>
  <c r="SA61" i="2421" s="1"/>
  <c r="W28" i="2421"/>
  <c r="SA28" i="2421" s="1"/>
  <c r="W74" i="2421"/>
  <c r="SA74" i="2421" s="1"/>
  <c r="W31" i="2421"/>
  <c r="SA31" i="2421" s="1"/>
  <c r="W27" i="2421"/>
  <c r="SA27" i="2421" s="1"/>
  <c r="W110" i="2421"/>
  <c r="SA110" i="2421" s="1"/>
  <c r="W79" i="2421"/>
  <c r="SA79" i="2421" s="1"/>
  <c r="W106" i="2421"/>
  <c r="SA106" i="2421" s="1"/>
  <c r="W80" i="2421"/>
  <c r="SA80" i="2421" s="1"/>
  <c r="W18" i="2421"/>
  <c r="SA18" i="2421" s="1"/>
  <c r="W76" i="2421"/>
  <c r="SA76" i="2421" s="1"/>
  <c r="W38" i="2421"/>
  <c r="SA38" i="2421" s="1"/>
  <c r="W34" i="2421"/>
  <c r="SA34" i="2421" s="1"/>
  <c r="W47" i="2421"/>
  <c r="SA47" i="2421" s="1"/>
  <c r="W83" i="2421"/>
  <c r="SA83" i="2421" s="1"/>
  <c r="W20" i="2421"/>
  <c r="SA20" i="2421" s="1"/>
  <c r="W65" i="2421"/>
  <c r="SA65" i="2421" s="1"/>
  <c r="W37" i="2421"/>
  <c r="SA37" i="2421" s="1"/>
  <c r="W42" i="2421"/>
  <c r="SA42" i="2421" s="1"/>
  <c r="W14" i="2421"/>
  <c r="W71" i="2421"/>
  <c r="SA71" i="2421" s="1"/>
  <c r="W40" i="2421"/>
  <c r="SA40" i="2421" s="1"/>
  <c r="W35" i="2421"/>
  <c r="SA35" i="2421" s="1"/>
  <c r="W17" i="2421"/>
  <c r="SA17" i="2421" s="1"/>
  <c r="KF82" i="2422"/>
  <c r="KF46" i="2422"/>
  <c r="KF110" i="2422"/>
  <c r="KF81" i="2422"/>
  <c r="KF108" i="2422"/>
  <c r="KF104" i="2422"/>
  <c r="KF63" i="2422"/>
  <c r="KF53" i="2422"/>
  <c r="KF92" i="2422"/>
  <c r="KF36" i="2422"/>
  <c r="KF99" i="2422"/>
  <c r="KF91" i="2422"/>
  <c r="KF70" i="2422"/>
  <c r="KF69" i="2422"/>
  <c r="KF74" i="2422"/>
  <c r="KF73" i="2422"/>
  <c r="KF78" i="2422"/>
  <c r="KF38" i="2422"/>
  <c r="KF107" i="2422"/>
  <c r="KF100" i="2422"/>
  <c r="KF23" i="2422"/>
  <c r="KF40" i="2422"/>
  <c r="KF37" i="2422"/>
  <c r="KF86" i="2422"/>
  <c r="KF50" i="2422"/>
  <c r="KF64" i="2422"/>
  <c r="KF89" i="2422"/>
  <c r="KF61" i="2422"/>
  <c r="KF52" i="2422"/>
  <c r="KF51" i="2422"/>
  <c r="KF76" i="2422"/>
  <c r="KF35" i="2422"/>
  <c r="KF95" i="2422"/>
  <c r="KF77" i="2422"/>
  <c r="KF96" i="2422"/>
  <c r="KF39" i="2422"/>
  <c r="KF32" i="2422"/>
  <c r="KF103" i="2422"/>
  <c r="KF34" i="2422"/>
  <c r="KF68" i="2422"/>
  <c r="KF28" i="2422"/>
  <c r="KF24" i="2422"/>
  <c r="KF72" i="2422"/>
  <c r="KF75" i="2422"/>
  <c r="KF67" i="2422"/>
  <c r="KF41" i="2422"/>
  <c r="KF109" i="2422"/>
  <c r="KF29" i="2422"/>
  <c r="KF19" i="2422"/>
  <c r="KF18" i="2422"/>
  <c r="KF79" i="2422"/>
  <c r="KF65" i="2422"/>
  <c r="KF22" i="2422"/>
  <c r="KF98" i="2422"/>
  <c r="KF26" i="2422"/>
  <c r="KF88" i="2422"/>
  <c r="W16" i="2421"/>
  <c r="SA16" i="2421" s="1"/>
  <c r="KF54" i="2422"/>
  <c r="KF62" i="2422"/>
  <c r="KF84" i="2422"/>
  <c r="KF87" i="2422"/>
  <c r="KF27" i="2422"/>
  <c r="KF56" i="2422"/>
  <c r="KF48" i="2422"/>
  <c r="KF85" i="2422"/>
  <c r="KF83" i="2422"/>
  <c r="KF105" i="2422"/>
  <c r="KF55" i="2422"/>
  <c r="KF57" i="2422"/>
  <c r="KF49" i="2422"/>
  <c r="AB160" i="2421"/>
  <c r="Y37" i="2408" s="1"/>
  <c r="AB182" i="2421"/>
  <c r="Y59" i="2408" s="1"/>
  <c r="AB141" i="2421"/>
  <c r="Y18" i="2408" s="1"/>
  <c r="AB168" i="2421"/>
  <c r="Y45" i="2408" s="1"/>
  <c r="AB163" i="2421"/>
  <c r="Y40" i="2408" s="1"/>
  <c r="AB166" i="2421"/>
  <c r="Y43" i="2408" s="1"/>
  <c r="AB177" i="2421"/>
  <c r="Y54" i="2408" s="1"/>
  <c r="AB150" i="2421"/>
  <c r="Y27" i="2408" s="1"/>
  <c r="AB176" i="2421"/>
  <c r="Y53" i="2408" s="1"/>
  <c r="AB180" i="2421"/>
  <c r="Y57" i="2408" s="1"/>
  <c r="AB151" i="2421"/>
  <c r="Y28" i="2408" s="1"/>
  <c r="AB184" i="2421"/>
  <c r="Y61" i="2408" s="1"/>
  <c r="AB140" i="2421"/>
  <c r="Y17" i="2408" s="1"/>
  <c r="AB175" i="2421"/>
  <c r="Y52" i="2408" s="1"/>
  <c r="AB174" i="2421"/>
  <c r="Y51" i="2408" s="1"/>
  <c r="AB161" i="2421"/>
  <c r="Y38" i="2408" s="1"/>
  <c r="AB143" i="2421"/>
  <c r="Y20" i="2408" s="1"/>
  <c r="AB167" i="2421"/>
  <c r="Y44" i="2408" s="1"/>
  <c r="AB186" i="2421"/>
  <c r="Y63" i="2408" s="1"/>
  <c r="AB136" i="2421"/>
  <c r="Y13" i="2408" s="1"/>
  <c r="AB159" i="2421"/>
  <c r="Y36" i="2408" s="1"/>
  <c r="AB156" i="2421"/>
  <c r="Y33" i="2408" s="1"/>
  <c r="AB144" i="2421"/>
  <c r="Y21" i="2408" s="1"/>
  <c r="AB155" i="2421"/>
  <c r="Y32" i="2408" s="1"/>
  <c r="AB165" i="2421"/>
  <c r="Y42" i="2408" s="1"/>
  <c r="AB146" i="2421"/>
  <c r="Y23" i="2408" s="1"/>
  <c r="AB173" i="2421"/>
  <c r="Y50" i="2408" s="1"/>
  <c r="AB158" i="2421"/>
  <c r="Y35" i="2408" s="1"/>
  <c r="AB153" i="2421"/>
  <c r="Y30" i="2408" s="1"/>
  <c r="Y12" i="2408"/>
  <c r="AB142" i="2421"/>
  <c r="Y19" i="2408" s="1"/>
  <c r="AB162" i="2421"/>
  <c r="Y39" i="2408" s="1"/>
  <c r="AB157" i="2421"/>
  <c r="Y34" i="2408" s="1"/>
  <c r="AB171" i="2421"/>
  <c r="Y48" i="2408" s="1"/>
  <c r="AB181" i="2421"/>
  <c r="Y58" i="2408" s="1"/>
  <c r="AB178" i="2421"/>
  <c r="Y55" i="2408" s="1"/>
  <c r="AB137" i="2421"/>
  <c r="Y14" i="2408" s="1"/>
  <c r="AB148" i="2421"/>
  <c r="Y25" i="2408" s="1"/>
  <c r="AB164" i="2421"/>
  <c r="Y41" i="2408" s="1"/>
  <c r="AB169" i="2421"/>
  <c r="Y46" i="2408" s="1"/>
  <c r="AB139" i="2421"/>
  <c r="Y16" i="2408" s="1"/>
  <c r="AB147" i="2421"/>
  <c r="Y24" i="2408" s="1"/>
  <c r="AB185" i="2421"/>
  <c r="Y62" i="2408" s="1"/>
  <c r="AB187" i="2421"/>
  <c r="AB145" i="2421"/>
  <c r="Y22" i="2408" s="1"/>
  <c r="AB172" i="2421"/>
  <c r="Y49" i="2408" s="1"/>
  <c r="AB149" i="2421"/>
  <c r="Y26" i="2408" s="1"/>
  <c r="AB152" i="2421"/>
  <c r="Y29" i="2408" s="1"/>
  <c r="AB183" i="2421"/>
  <c r="Y60" i="2408" s="1"/>
  <c r="AB138" i="2421"/>
  <c r="Y15" i="2408" s="1"/>
  <c r="AB170" i="2421"/>
  <c r="Y47" i="2408" s="1"/>
  <c r="AB154" i="2421"/>
  <c r="Y31" i="2408" s="1"/>
  <c r="AB179" i="2421"/>
  <c r="Y56" i="2408" s="1"/>
  <c r="KF102" i="2422"/>
  <c r="KF47" i="2422"/>
  <c r="KF71" i="2422"/>
  <c r="KF93" i="2422"/>
  <c r="KF25" i="2422"/>
  <c r="KF97" i="2422"/>
  <c r="KF43" i="2422"/>
  <c r="KF42" i="2422"/>
  <c r="KF20" i="2422"/>
  <c r="KF33" i="2422"/>
  <c r="KF66" i="2422"/>
  <c r="KF94" i="2422"/>
  <c r="KF30" i="2422"/>
  <c r="KF90" i="2422"/>
  <c r="KF58" i="2422"/>
  <c r="KF45" i="2422"/>
  <c r="KF60" i="2422"/>
  <c r="KF101" i="2422"/>
  <c r="U10" i="2421" a="1"/>
  <c r="U10" i="2421" s="1"/>
  <c r="J17" i="2408" s="1"/>
  <c r="U9" i="2421" a="1"/>
  <c r="U9" i="2421" s="1"/>
  <c r="J14" i="2408" s="1"/>
  <c r="KF31" i="2422"/>
  <c r="KF106" i="2422"/>
  <c r="KF122" i="2422" l="1"/>
  <c r="BB60" i="2408"/>
  <c r="AF60" i="2408"/>
  <c r="AE60" i="2408"/>
  <c r="AD60" i="2408"/>
  <c r="AC60" i="2408"/>
  <c r="AB60" i="2408"/>
  <c r="AA60" i="2408"/>
  <c r="BE60" i="2408"/>
  <c r="Z60" i="2408"/>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BB29" i="2408"/>
  <c r="AC32" i="2408"/>
  <c r="AB32" i="2408"/>
  <c r="AA32" i="2408"/>
  <c r="BE32" i="2408"/>
  <c r="Z32" i="2408"/>
  <c r="AU32" i="2408" s="1"/>
  <c r="BB32" i="2408"/>
  <c r="AF32" i="2408"/>
  <c r="AE32" i="2408"/>
  <c r="AD32" i="2408"/>
  <c r="BE27" i="2408"/>
  <c r="Z27" i="2408"/>
  <c r="AL27" i="2408" s="1"/>
  <c r="BB27" i="2408"/>
  <c r="BC27" i="2408" s="1"/>
  <c r="AF27" i="2408"/>
  <c r="AE27" i="2408"/>
  <c r="AD27" i="2408"/>
  <c r="AC27" i="2408"/>
  <c r="AB27" i="2408"/>
  <c r="AA27" i="2408"/>
  <c r="AA26" i="2408"/>
  <c r="BE26" i="2408"/>
  <c r="Z26" i="2408"/>
  <c r="AP26" i="2408" s="1"/>
  <c r="BB26" i="2408"/>
  <c r="AF26" i="2408"/>
  <c r="AE26" i="2408"/>
  <c r="AD26" i="2408"/>
  <c r="AC26" i="2408"/>
  <c r="AB26" i="2408"/>
  <c r="AB41" i="2408"/>
  <c r="AA41" i="2408"/>
  <c r="BE41" i="2408"/>
  <c r="Z41" i="2408"/>
  <c r="AT41" i="2408" s="1"/>
  <c r="BB41" i="2408"/>
  <c r="AF41" i="2408"/>
  <c r="AE41" i="2408"/>
  <c r="AD41" i="2408"/>
  <c r="AC41" i="2408"/>
  <c r="BE19" i="2408"/>
  <c r="Z19" i="2408"/>
  <c r="BB19" i="2408"/>
  <c r="BC19" i="2408" s="1"/>
  <c r="AF19" i="2408"/>
  <c r="AE19" i="2408"/>
  <c r="AD19" i="2408"/>
  <c r="AC19" i="2408"/>
  <c r="AB19" i="2408"/>
  <c r="AA19" i="2408"/>
  <c r="AF21" i="2408"/>
  <c r="AE21" i="2408"/>
  <c r="AD21" i="2408"/>
  <c r="AC21" i="2408"/>
  <c r="AB21" i="2408"/>
  <c r="AA21" i="2408"/>
  <c r="BE21" i="2408"/>
  <c r="Z21" i="2408"/>
  <c r="AI21" i="2408" s="1"/>
  <c r="BB21" i="2408"/>
  <c r="BE51" i="2408"/>
  <c r="Z51" i="2408"/>
  <c r="BB51" i="2408"/>
  <c r="BC51" i="2408" s="1"/>
  <c r="AF51" i="2408"/>
  <c r="AE51" i="2408"/>
  <c r="AD51" i="2408"/>
  <c r="AC51" i="2408"/>
  <c r="AB51" i="2408"/>
  <c r="AA51" i="2408"/>
  <c r="AE54" i="2408"/>
  <c r="AD54" i="2408"/>
  <c r="AC54" i="2408"/>
  <c r="AB54" i="2408"/>
  <c r="AA54" i="2408"/>
  <c r="BE54" i="2408"/>
  <c r="Z54" i="2408"/>
  <c r="BB54" i="2408"/>
  <c r="BC54" i="2408" s="1"/>
  <c r="AF54" i="2408"/>
  <c r="AC48" i="2408"/>
  <c r="AB48" i="2408"/>
  <c r="AA48" i="2408"/>
  <c r="BE48" i="2408"/>
  <c r="Z48" i="2408"/>
  <c r="AT48" i="2408" s="1"/>
  <c r="BB48" i="2408"/>
  <c r="AF48" i="2408"/>
  <c r="AE48" i="2408"/>
  <c r="AD48" i="2408"/>
  <c r="AB57" i="2408"/>
  <c r="AA57" i="2408"/>
  <c r="BE57" i="2408"/>
  <c r="Z57" i="2408"/>
  <c r="AT57" i="2408" s="1"/>
  <c r="BB57" i="2408"/>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T57" i="2420"/>
  <c r="KH81" i="2422"/>
  <c r="CT75" i="2420"/>
  <c r="KH105" i="2422"/>
  <c r="CT99" i="2420"/>
  <c r="KH80" i="2422"/>
  <c r="CT74" i="2420"/>
  <c r="KH76" i="2422"/>
  <c r="CT70" i="2420"/>
  <c r="KH89" i="2422"/>
  <c r="CT83" i="2420"/>
  <c r="SA14" i="2421"/>
  <c r="KH45" i="2422"/>
  <c r="KH99" i="2422"/>
  <c r="KH91" i="2422"/>
  <c r="KH50" i="2422"/>
  <c r="KH78" i="2422"/>
  <c r="KH83" i="2422"/>
  <c r="KH94" i="2422"/>
  <c r="AF14" i="2421"/>
  <c r="AY5" i="2420"/>
  <c r="AY7" i="2420"/>
  <c r="AF18" i="2421"/>
  <c r="BD61" i="2420"/>
  <c r="Z82" i="2421"/>
  <c r="BD27" i="2420"/>
  <c r="Z60" i="2421"/>
  <c r="BD47" i="2420"/>
  <c r="BD43" i="2420"/>
  <c r="BD75" i="2420"/>
  <c r="BD64" i="2420"/>
  <c r="BD15" i="2420"/>
  <c r="BD86" i="2420"/>
  <c r="BD85" i="2420"/>
  <c r="BD93" i="2420"/>
  <c r="BD42" i="2420"/>
  <c r="Z107" i="2421"/>
  <c r="Z64" i="2421"/>
  <c r="BD46" i="2420"/>
  <c r="Z63" i="2421"/>
  <c r="BD21" i="2420"/>
  <c r="Z34" i="2421"/>
  <c r="BD18" i="2420"/>
  <c r="BD35" i="2420"/>
  <c r="Z50" i="2421"/>
  <c r="BD91" i="2420"/>
  <c r="BD50" i="2420"/>
  <c r="Z81" i="2421"/>
  <c r="Z89" i="2421"/>
  <c r="Z113" i="2421"/>
  <c r="Z29" i="2421"/>
  <c r="Z105" i="2421"/>
  <c r="Z21" i="2421"/>
  <c r="Z39" i="2421"/>
  <c r="BD68" i="2420"/>
  <c r="Z78" i="2421"/>
  <c r="Z23" i="2421"/>
  <c r="Z96" i="2421"/>
  <c r="Z92" i="2421"/>
  <c r="BD103" i="2420"/>
  <c r="Z109" i="2421"/>
  <c r="Z87" i="2421"/>
  <c r="BD34" i="2420"/>
  <c r="Z25" i="2421"/>
  <c r="BD40" i="2420"/>
  <c r="Z103" i="2421"/>
  <c r="BD92" i="2420"/>
  <c r="BD81" i="2420"/>
  <c r="Z32" i="2421"/>
  <c r="Z75" i="2421"/>
  <c r="BD90" i="2420"/>
  <c r="BD36" i="2420"/>
  <c r="BD24" i="2420"/>
  <c r="BD10" i="2420"/>
  <c r="BD77" i="2420"/>
  <c r="BD95" i="2420"/>
  <c r="BD57" i="2420"/>
  <c r="BD84" i="2420"/>
  <c r="Z98" i="2421"/>
  <c r="BD49" i="2420"/>
  <c r="Z85" i="2421"/>
  <c r="BD17" i="2420"/>
  <c r="Z54" i="2421"/>
  <c r="BD53" i="2420"/>
  <c r="BD13" i="2420"/>
  <c r="BD32" i="2420"/>
  <c r="BD48" i="2420"/>
  <c r="Z48" i="2421"/>
  <c r="Z67" i="2421"/>
  <c r="Z53" i="2421"/>
  <c r="Z97" i="2421"/>
  <c r="Z91" i="2421"/>
  <c r="KH53" i="2422"/>
  <c r="Z15" i="2421"/>
  <c r="Z14" i="2421"/>
  <c r="KH62" i="2422"/>
  <c r="KH66" i="2422"/>
  <c r="AY73" i="2420"/>
  <c r="AY33" i="2420"/>
  <c r="BA33" i="2420" s="1"/>
  <c r="AF54" i="2421"/>
  <c r="AF43" i="2421"/>
  <c r="AY98" i="2420"/>
  <c r="BA98" i="2420" s="1"/>
  <c r="AY92" i="2420"/>
  <c r="AF112" i="2421"/>
  <c r="AY62" i="2420"/>
  <c r="BA62" i="2420" s="1"/>
  <c r="AY58" i="2420"/>
  <c r="AY32" i="2420"/>
  <c r="AF39" i="2421"/>
  <c r="AF113" i="2421"/>
  <c r="AF25" i="2421"/>
  <c r="AF17" i="2421"/>
  <c r="AY28" i="2420"/>
  <c r="AY89" i="2420"/>
  <c r="AF53" i="2421"/>
  <c r="AY72" i="2420"/>
  <c r="AF95" i="2421"/>
  <c r="AY40" i="2420"/>
  <c r="BA40" i="2420" s="1"/>
  <c r="AF47" i="2421"/>
  <c r="AF62" i="2421"/>
  <c r="AF68" i="2421"/>
  <c r="AY61" i="2420"/>
  <c r="AY26" i="2420"/>
  <c r="AF79" i="2421"/>
  <c r="AF40" i="2421"/>
  <c r="AF77" i="2421"/>
  <c r="AF66" i="2421"/>
  <c r="AF19" i="2421"/>
  <c r="AF44" i="2421"/>
  <c r="AF106" i="2421"/>
  <c r="AF38" i="2421"/>
  <c r="AY80" i="2420"/>
  <c r="BA80" i="2420" s="1"/>
  <c r="AY67" i="2420"/>
  <c r="BA67" i="2420" s="1"/>
  <c r="AF56" i="2421"/>
  <c r="AY76" i="2420"/>
  <c r="BA76" i="2420" s="1"/>
  <c r="AY11" i="2420"/>
  <c r="O18" i="2390" s="1"/>
  <c r="AF83" i="2421"/>
  <c r="AF21" i="2421"/>
  <c r="AF75" i="2421"/>
  <c r="AY90" i="2420"/>
  <c r="AY46" i="2420"/>
  <c r="BA46" i="2420" s="1"/>
  <c r="AF26" i="2421"/>
  <c r="AF73" i="2421"/>
  <c r="AY102" i="2420"/>
  <c r="AF22" i="2421"/>
  <c r="AY71" i="2420"/>
  <c r="AY55" i="2420"/>
  <c r="BA55" i="2420" s="1"/>
  <c r="AF103" i="2421"/>
  <c r="AY85" i="2420"/>
  <c r="BA85" i="2420" s="1"/>
  <c r="AY15" i="2420"/>
  <c r="O22" i="2390" s="1"/>
  <c r="AY69" i="2420"/>
  <c r="BA69" i="2420" s="1"/>
  <c r="AY63" i="2420"/>
  <c r="AF27" i="2421"/>
  <c r="AY20" i="2420"/>
  <c r="AF32" i="2421"/>
  <c r="AY22" i="2420"/>
  <c r="AY6" i="2420"/>
  <c r="AY83" i="2420"/>
  <c r="BA83" i="2420" s="1"/>
  <c r="AY101" i="2420"/>
  <c r="AF102" i="2421"/>
  <c r="AY75" i="2420"/>
  <c r="KH61" i="2422"/>
  <c r="KH74" i="2422"/>
  <c r="KH92" i="2422"/>
  <c r="KH107" i="2422"/>
  <c r="KH109" i="2422"/>
  <c r="KH33"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AY74" i="2420"/>
  <c r="AY38" i="2420"/>
  <c r="AY53" i="2420"/>
  <c r="Z56" i="2421"/>
  <c r="Z51" i="2421"/>
  <c r="Z84" i="2421"/>
  <c r="Z102" i="2421"/>
  <c r="Z24" i="2421"/>
  <c r="Z55" i="2421"/>
  <c r="BD98" i="2420"/>
  <c r="Z94" i="2421"/>
  <c r="BD55" i="2420"/>
  <c r="Z30" i="2421"/>
  <c r="Z52" i="2421"/>
  <c r="Z73" i="2421"/>
  <c r="BD54" i="2420"/>
  <c r="Z95" i="2421"/>
  <c r="BD73" i="2420"/>
  <c r="BD51" i="2420"/>
  <c r="Z36" i="2421"/>
  <c r="Z70" i="2421"/>
  <c r="Z22" i="2421"/>
  <c r="Z62" i="2421"/>
  <c r="BD44" i="2420"/>
  <c r="BD76" i="2420"/>
  <c r="BD88" i="2420"/>
  <c r="Z57" i="2421"/>
  <c r="Z93" i="2421"/>
  <c r="AF24" i="2421"/>
  <c r="Z41" i="2421"/>
  <c r="BD89" i="2420"/>
  <c r="Z26" i="2421"/>
  <c r="BD45" i="2420"/>
  <c r="Z58" i="2421"/>
  <c r="BD39" i="2420"/>
  <c r="BD58" i="2420"/>
  <c r="BD82" i="2420"/>
  <c r="BH118" i="2420" a="1"/>
  <c r="BH118" i="2420" s="1"/>
  <c r="BG118" i="2420" a="1"/>
  <c r="BG118" i="2420" s="1"/>
  <c r="BD30" i="2420"/>
  <c r="AF20" i="2421"/>
  <c r="BD100" i="2420"/>
  <c r="BD6" i="2420"/>
  <c r="BD69" i="2420"/>
  <c r="BD72" i="2420"/>
  <c r="BD104" i="2420"/>
  <c r="Z77" i="2421"/>
  <c r="BD96" i="2420"/>
  <c r="BD87" i="2420"/>
  <c r="BD20" i="2420"/>
  <c r="BD80" i="2420"/>
  <c r="BD83" i="2420"/>
  <c r="BD41" i="2420"/>
  <c r="Z100" i="2421"/>
  <c r="BD12" i="2420"/>
  <c r="Z59" i="2421"/>
  <c r="BD14" i="2420"/>
  <c r="Z112" i="2421"/>
  <c r="Z19" i="2421"/>
  <c r="Z90" i="2421"/>
  <c r="Z49" i="2421"/>
  <c r="Z45" i="2421"/>
  <c r="BD94" i="2420"/>
  <c r="Z99" i="2421"/>
  <c r="Z104" i="2421"/>
  <c r="Z101" i="2421"/>
  <c r="BD66" i="2420"/>
  <c r="Z33" i="2421"/>
  <c r="Z86" i="2421"/>
  <c r="BD23" i="2420"/>
  <c r="Z44" i="2421"/>
  <c r="Z80" i="2421"/>
  <c r="Z27" i="2421"/>
  <c r="BD71" i="2420"/>
  <c r="BD56" i="2420"/>
  <c r="BD25" i="2420"/>
  <c r="BD99" i="2420"/>
  <c r="BI112" i="2420"/>
  <c r="Z108" i="2421"/>
  <c r="Z65" i="2421"/>
  <c r="Z61" i="2421"/>
  <c r="BD52" i="2420"/>
  <c r="BD11" i="2420"/>
  <c r="BD29" i="2420"/>
  <c r="Z106" i="2421"/>
  <c r="Z31" i="2421"/>
  <c r="BD78" i="2420"/>
  <c r="Z111" i="2421"/>
  <c r="Z46" i="2421"/>
  <c r="BD60" i="2420"/>
  <c r="Z88" i="2421"/>
  <c r="Z43" i="2421"/>
  <c r="BD16" i="2420"/>
  <c r="Z35" i="2421"/>
  <c r="Z42" i="2421"/>
  <c r="Z83" i="2421"/>
  <c r="Z76" i="2421"/>
  <c r="Z79" i="2421"/>
  <c r="BD65" i="2420"/>
  <c r="BD63" i="2420"/>
  <c r="Z66" i="2421"/>
  <c r="Z68" i="2421"/>
  <c r="Z37" i="2421"/>
  <c r="Z47" i="2421"/>
  <c r="Z18" i="2421"/>
  <c r="BD101" i="2420"/>
  <c r="Z28" i="2421"/>
  <c r="BD31" i="2420"/>
  <c r="Z17" i="2421"/>
  <c r="Z71" i="2421"/>
  <c r="BD62" i="2420"/>
  <c r="AF49" i="2421"/>
  <c r="Z110" i="2421"/>
  <c r="Z72" i="2421"/>
  <c r="Z74" i="2421"/>
  <c r="BD70" i="2420"/>
  <c r="BD59" i="2420"/>
  <c r="BD33" i="2420"/>
  <c r="BD67" i="2420"/>
  <c r="AF72" i="2421"/>
  <c r="BD9" i="2420"/>
  <c r="BD26" i="2420"/>
  <c r="Z38" i="2421"/>
  <c r="BD22" i="2420"/>
  <c r="BD102" i="2420"/>
  <c r="BD37" i="2420"/>
  <c r="BD79" i="2420"/>
  <c r="Z69" i="2421"/>
  <c r="BD97" i="2420"/>
  <c r="Z20" i="2421"/>
  <c r="BD74" i="2420"/>
  <c r="AY104" i="2420"/>
  <c r="AY10" i="2420"/>
  <c r="O17" i="2390" s="1"/>
  <c r="AF89" i="2421"/>
  <c r="AF107" i="2421"/>
  <c r="AF84" i="2421"/>
  <c r="AF41" i="2421"/>
  <c r="BD5" i="2420"/>
  <c r="Z40" i="2421"/>
  <c r="BD19" i="2420"/>
  <c r="BD38" i="2420"/>
  <c r="AF85" i="2421"/>
  <c r="BD28" i="2420"/>
  <c r="AF16" i="2421"/>
  <c r="BD8" i="2420"/>
  <c r="AY57" i="2420"/>
  <c r="AF111" i="2421"/>
  <c r="AY47" i="2420"/>
  <c r="AF98" i="2421"/>
  <c r="AY86" i="2420"/>
  <c r="AF81" i="2421"/>
  <c r="AF37" i="2421"/>
  <c r="AY30" i="2420"/>
  <c r="AY93" i="2420"/>
  <c r="AF92" i="2421"/>
  <c r="AY35" i="2420"/>
  <c r="AF94" i="2421"/>
  <c r="AY68" i="2420"/>
  <c r="AF35" i="2421"/>
  <c r="AY64" i="2420"/>
  <c r="AF76" i="2421"/>
  <c r="AF31" i="2421"/>
  <c r="AF110" i="2421"/>
  <c r="AF15" i="2421"/>
  <c r="AY23" i="2420"/>
  <c r="O30" i="2390" s="1"/>
  <c r="AF101" i="2421"/>
  <c r="AF71" i="2421"/>
  <c r="AF67" i="2421"/>
  <c r="AY9" i="2420"/>
  <c r="O16" i="2390" s="1"/>
  <c r="AY103" i="2420"/>
  <c r="AF80" i="2421"/>
  <c r="AF64" i="2421"/>
  <c r="AY94" i="2420"/>
  <c r="AF29" i="2421"/>
  <c r="AY17" i="2420"/>
  <c r="AY34" i="2420"/>
  <c r="AF42" i="2421"/>
  <c r="AY70" i="2420"/>
  <c r="AY31" i="2420"/>
  <c r="AF70" i="2421"/>
  <c r="AY44" i="2420"/>
  <c r="AY8" i="2420"/>
  <c r="O15" i="2390" s="1"/>
  <c r="AF99" i="2421"/>
  <c r="AY59" i="2420"/>
  <c r="AF55" i="2421"/>
  <c r="AY66" i="2420"/>
  <c r="AY29" i="2420"/>
  <c r="AY97" i="2420"/>
  <c r="AF82" i="2421"/>
  <c r="AY45" i="2420"/>
  <c r="AY12" i="2420"/>
  <c r="O19" i="2390" s="1"/>
  <c r="AF78" i="2421"/>
  <c r="AY18" i="2420"/>
  <c r="AY13" i="2420"/>
  <c r="O20" i="2390" s="1"/>
  <c r="AY16" i="2420"/>
  <c r="BG14" i="2408"/>
  <c r="AY14" i="2408"/>
  <c r="X14" i="2408"/>
  <c r="W14" i="2408"/>
  <c r="AY40" i="2408"/>
  <c r="AZ40" i="2408" s="1"/>
  <c r="BA40" i="2408"/>
  <c r="AX40" i="2408"/>
  <c r="AH40" i="2408"/>
  <c r="BD40" i="2408"/>
  <c r="X40" i="2408"/>
  <c r="AR40" i="2408"/>
  <c r="AG40" i="2408"/>
  <c r="W40" i="2408"/>
  <c r="BG40" i="2408"/>
  <c r="AQ40" i="2408"/>
  <c r="AY19" i="2420"/>
  <c r="AF28" i="2421"/>
  <c r="AY24" i="2408"/>
  <c r="AZ24" i="2408" s="1"/>
  <c r="AH24" i="2408"/>
  <c r="AR24" i="2408"/>
  <c r="BD24" i="2408"/>
  <c r="BG24" i="2408"/>
  <c r="AQ24" i="2408"/>
  <c r="BA24" i="2408"/>
  <c r="AX24" i="2408"/>
  <c r="X24" i="2408"/>
  <c r="AG24" i="2408"/>
  <c r="W24" i="2408"/>
  <c r="BC57" i="2408"/>
  <c r="AQ57" i="2408"/>
  <c r="W57" i="2408"/>
  <c r="AY57" i="2408"/>
  <c r="AZ57" i="2408" s="1"/>
  <c r="AG57" i="2408"/>
  <c r="AX57" i="2408"/>
  <c r="BG57" i="2408"/>
  <c r="X57" i="2408"/>
  <c r="BD57" i="2408"/>
  <c r="AH57" i="2408"/>
  <c r="BA57" i="2408"/>
  <c r="AR57" i="2408"/>
  <c r="AF58" i="2421"/>
  <c r="AY49" i="2420"/>
  <c r="AY60" i="2408"/>
  <c r="AZ60" i="2408" s="1"/>
  <c r="BC60" i="2408"/>
  <c r="AQ60" i="2408"/>
  <c r="BD60" i="2408"/>
  <c r="BA60" i="2408"/>
  <c r="AX60" i="2408"/>
  <c r="W60" i="2408"/>
  <c r="AG60" i="2408"/>
  <c r="AH60" i="2408"/>
  <c r="AR60" i="2408"/>
  <c r="AL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F108" i="2421"/>
  <c r="AY99" i="2420"/>
  <c r="AF90" i="2421"/>
  <c r="AY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AY84" i="2420"/>
  <c r="AF93" i="2421"/>
  <c r="AY91" i="2420"/>
  <c r="AF100" i="2421"/>
  <c r="BD20" i="2408"/>
  <c r="AG20" i="2408"/>
  <c r="BG20" i="2408"/>
  <c r="AQ20" i="2408"/>
  <c r="AY20" i="2408"/>
  <c r="AZ20" i="2408" s="1"/>
  <c r="AR20" i="2408"/>
  <c r="W20" i="2408"/>
  <c r="BA20" i="2408"/>
  <c r="AX20" i="2408"/>
  <c r="X20" i="2408"/>
  <c r="AH20" i="2408"/>
  <c r="AF109" i="2421"/>
  <c r="AY100" i="2420"/>
  <c r="AF69" i="2421"/>
  <c r="AY60" i="2420"/>
  <c r="AF23" i="2421"/>
  <c r="AY14" i="2420"/>
  <c r="O21" i="2390" s="1"/>
  <c r="AF74" i="2421"/>
  <c r="AY65" i="2420"/>
  <c r="BC29" i="2408"/>
  <c r="AY29" i="2408"/>
  <c r="AZ29" i="2408" s="1"/>
  <c r="AX29" i="2408"/>
  <c r="AG29" i="2408"/>
  <c r="AH29" i="2408"/>
  <c r="AQ29" i="2408"/>
  <c r="BD29" i="2408"/>
  <c r="AL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C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AY21" i="2420"/>
  <c r="AF30" i="2421"/>
  <c r="AF57" i="2421"/>
  <c r="AY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BC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F96" i="2421"/>
  <c r="AY87" i="2420"/>
  <c r="AF50" i="2421"/>
  <c r="AY41" i="2420"/>
  <c r="BC26" i="2408"/>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BC41" i="2408"/>
  <c r="AQ41" i="2408"/>
  <c r="AY19" i="2408"/>
  <c r="AZ19" i="2408" s="1"/>
  <c r="AR19" i="2408"/>
  <c r="BD19" i="2408"/>
  <c r="W19" i="2408"/>
  <c r="AG19" i="2408"/>
  <c r="AN19" i="2408"/>
  <c r="BG19" i="2408"/>
  <c r="AQ19" i="2408"/>
  <c r="X19" i="2408"/>
  <c r="BA19" i="2408"/>
  <c r="AH19" i="2408"/>
  <c r="AX19" i="2408"/>
  <c r="BC21" i="2408"/>
  <c r="AY21" i="2408"/>
  <c r="AZ21" i="2408" s="1"/>
  <c r="AQ21" i="2408"/>
  <c r="BG21" i="2408"/>
  <c r="AH21" i="2408"/>
  <c r="AX21" i="2408"/>
  <c r="X21" i="2408"/>
  <c r="BA21" i="2408"/>
  <c r="AR21" i="2408"/>
  <c r="W21" i="2408"/>
  <c r="BD21" i="2408"/>
  <c r="AG21" i="2408"/>
  <c r="AY51" i="2408"/>
  <c r="AZ51" i="2408" s="1"/>
  <c r="W51" i="2408"/>
  <c r="AI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O54" i="2408"/>
  <c r="AF59" i="2421"/>
  <c r="AY50" i="2420"/>
  <c r="AY56" i="2420"/>
  <c r="AF65" i="2421"/>
  <c r="AY25" i="2420"/>
  <c r="O32" i="2390" s="1"/>
  <c r="AF34" i="2421"/>
  <c r="AY22" i="2408"/>
  <c r="AZ22" i="2408" s="1"/>
  <c r="BA22" i="2408"/>
  <c r="AH22" i="2408"/>
  <c r="AU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AY51" i="2420"/>
  <c r="AF60" i="2421"/>
  <c r="AY52" i="2420"/>
  <c r="AF61" i="2421"/>
  <c r="AG23" i="2408"/>
  <c r="AQ23" i="2408"/>
  <c r="BD23" i="2408"/>
  <c r="BA23" i="2408"/>
  <c r="W23" i="2408"/>
  <c r="AY23" i="2408"/>
  <c r="AZ23" i="2408" s="1"/>
  <c r="BG23" i="2408"/>
  <c r="AX23" i="2408"/>
  <c r="X23" i="2408"/>
  <c r="AR23" i="2408"/>
  <c r="AH23" i="2408"/>
  <c r="AF51" i="2421"/>
  <c r="AY42" i="2420"/>
  <c r="AF36" i="2421"/>
  <c r="AY27" i="2420"/>
  <c r="AY16" i="2408"/>
  <c r="AZ16" i="2408" s="1"/>
  <c r="AG16" i="2408"/>
  <c r="AH16" i="2408"/>
  <c r="X16" i="2408"/>
  <c r="BD16" i="2408"/>
  <c r="AR16" i="2408"/>
  <c r="AQ16" i="2408"/>
  <c r="BG16" i="2408"/>
  <c r="AX16" i="2408"/>
  <c r="BA16" i="2408"/>
  <c r="W16" i="2408"/>
  <c r="AY95" i="2420"/>
  <c r="AF104" i="2421"/>
  <c r="AF63" i="2421"/>
  <c r="AY54" i="2420"/>
  <c r="AY24" i="2420"/>
  <c r="O31" i="2390" s="1"/>
  <c r="AF33" i="2421"/>
  <c r="BD49" i="2408"/>
  <c r="AH49" i="2408"/>
  <c r="AG49" i="2408"/>
  <c r="AY49" i="2408"/>
  <c r="AZ49" i="2408" s="1"/>
  <c r="BG49" i="2408"/>
  <c r="AI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F52" i="2421"/>
  <c r="AY43" i="2420"/>
  <c r="AF86" i="2421"/>
  <c r="AY77" i="2420"/>
  <c r="AC10" i="2421" a="1"/>
  <c r="AC10" i="2421" s="1"/>
  <c r="J15" i="2408" s="1"/>
  <c r="AF91" i="2421"/>
  <c r="AY82" i="2420"/>
  <c r="AY36" i="2420"/>
  <c r="AF45" i="2421"/>
  <c r="AY56" i="2408"/>
  <c r="AZ56" i="2408" s="1"/>
  <c r="AG56" i="2408"/>
  <c r="W56" i="2408"/>
  <c r="AQ56" i="2408"/>
  <c r="AH56" i="2408"/>
  <c r="BD56" i="2408"/>
  <c r="X56" i="2408"/>
  <c r="AR56" i="2408"/>
  <c r="BG56" i="2408"/>
  <c r="AX56" i="2408"/>
  <c r="BA56" i="2408"/>
  <c r="AQ30" i="2408"/>
  <c r="AX30" i="2408"/>
  <c r="BD30" i="2408"/>
  <c r="BG30" i="2408"/>
  <c r="AU30" i="2408"/>
  <c r="AG30" i="2408"/>
  <c r="AH30" i="2408"/>
  <c r="X30" i="2408"/>
  <c r="AR30" i="2408"/>
  <c r="BA30" i="2408"/>
  <c r="W30" i="2408"/>
  <c r="AY30" i="2408"/>
  <c r="AZ30" i="2408" s="1"/>
  <c r="AF46" i="2421"/>
  <c r="AY37" i="2420"/>
  <c r="AF105" i="2421"/>
  <c r="AY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F87" i="2421"/>
  <c r="AY78" i="2420"/>
  <c r="BD7" i="2420"/>
  <c r="Z16" i="2421"/>
  <c r="AY39" i="2420"/>
  <c r="AF48" i="2421"/>
  <c r="AY88" i="2420"/>
  <c r="AF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BC63"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F88" i="2421"/>
  <c r="AY79" i="2420"/>
  <c r="AC9" i="2421" a="1"/>
  <c r="AC9" i="2421" s="1"/>
  <c r="J16" i="2408" s="1"/>
  <c r="BA26" i="2420" l="1"/>
  <c r="Q33" i="2390" s="1"/>
  <c r="O33" i="2390"/>
  <c r="BA6" i="2420"/>
  <c r="Q13" i="2390" s="1"/>
  <c r="O13" i="2390"/>
  <c r="BA5" i="2420"/>
  <c r="Q12" i="2390" s="1"/>
  <c r="O12" i="2390"/>
  <c r="BA7" i="2420"/>
  <c r="Q14" i="2390" s="1"/>
  <c r="O14" i="2390"/>
  <c r="BA32" i="2420"/>
  <c r="BC69" i="2420"/>
  <c r="BI76" i="2420"/>
  <c r="BI98" i="2420"/>
  <c r="BC85" i="2420"/>
  <c r="BC46" i="2420"/>
  <c r="BI67" i="2420"/>
  <c r="BC80" i="2420"/>
  <c r="BI33" i="2420"/>
  <c r="BC55" i="2420"/>
  <c r="BC62" i="2420"/>
  <c r="AB16" i="2421"/>
  <c r="BF17" i="2420"/>
  <c r="BF15" i="2420"/>
  <c r="R22" i="2390" s="1"/>
  <c r="BF44" i="2420"/>
  <c r="BF94" i="2420"/>
  <c r="BF87" i="2420"/>
  <c r="BF104" i="2420"/>
  <c r="BF25" i="2420"/>
  <c r="R32" i="2390" s="1"/>
  <c r="BF53" i="2420"/>
  <c r="BF64" i="2420"/>
  <c r="BF93" i="2420"/>
  <c r="BF58" i="2420"/>
  <c r="BF76" i="2420"/>
  <c r="BF14" i="2420"/>
  <c r="R21" i="2390" s="1"/>
  <c r="BF80" i="2420"/>
  <c r="BF73" i="2420"/>
  <c r="BF32" i="2420"/>
  <c r="BF43" i="2420"/>
  <c r="BF75" i="2420"/>
  <c r="BF39" i="2420"/>
  <c r="BF16" i="2420"/>
  <c r="BF69" i="2420"/>
  <c r="BF72" i="2420"/>
  <c r="BF54" i="2420"/>
  <c r="BF61" i="2420"/>
  <c r="BF21" i="2420"/>
  <c r="BF42" i="2420"/>
  <c r="BF89" i="2420"/>
  <c r="AB19" i="2421"/>
  <c r="BF84" i="2420"/>
  <c r="BF27" i="2420"/>
  <c r="BF47" i="2420"/>
  <c r="AB15" i="2421"/>
  <c r="BF66" i="2420"/>
  <c r="BF78" i="2420"/>
  <c r="BF30" i="2420"/>
  <c r="BF55" i="2420"/>
  <c r="AB20" i="2421"/>
  <c r="BF48" i="2420"/>
  <c r="BF85" i="2420"/>
  <c r="BF23" i="2420"/>
  <c r="R30" i="2390" s="1"/>
  <c r="AB109" i="2421"/>
  <c r="BF41" i="2420"/>
  <c r="BF98" i="2420"/>
  <c r="AB110" i="2421"/>
  <c r="AB18" i="2421"/>
  <c r="BF49" i="2420"/>
  <c r="BF82" i="2420"/>
  <c r="BF96" i="2420"/>
  <c r="AB17" i="2421"/>
  <c r="AB111" i="2421"/>
  <c r="BF86" i="2420"/>
  <c r="BF46" i="2420"/>
  <c r="BF88" i="2420"/>
  <c r="BF45" i="2420"/>
  <c r="BF83" i="2420"/>
  <c r="BF20" i="2420"/>
  <c r="BF51" i="2420"/>
  <c r="BF5" i="2420"/>
  <c r="R12" i="2390" s="1"/>
  <c r="BF13" i="2420"/>
  <c r="R20" i="2390" s="1"/>
  <c r="AB22" i="2421"/>
  <c r="BF12" i="2420"/>
  <c r="R19" i="2390" s="1"/>
  <c r="AB21" i="2421"/>
  <c r="BF100" i="2420"/>
  <c r="BA11" i="2420"/>
  <c r="Q18" i="2390" s="1"/>
  <c r="BA58" i="2420"/>
  <c r="BF6" i="2420"/>
  <c r="R13" i="2390" s="1"/>
  <c r="BA92" i="2420"/>
  <c r="BA72" i="2420"/>
  <c r="BA63" i="2420"/>
  <c r="BA22" i="2420"/>
  <c r="BC33" i="2420"/>
  <c r="BA102" i="2420"/>
  <c r="BA90" i="2420"/>
  <c r="BA101" i="2420"/>
  <c r="BA73" i="2420"/>
  <c r="BA28" i="2420"/>
  <c r="BA89" i="2420"/>
  <c r="BA75" i="2420"/>
  <c r="BA20" i="2420"/>
  <c r="BC83" i="2420"/>
  <c r="BI83" i="2420"/>
  <c r="BI40" i="2420"/>
  <c r="BC40" i="2420"/>
  <c r="BA61" i="2420"/>
  <c r="BA71" i="2420"/>
  <c r="BA15" i="2420"/>
  <c r="Q22" i="2390" s="1"/>
  <c r="BC76" i="2420"/>
  <c r="BC98" i="2420"/>
  <c r="BI46" i="2420"/>
  <c r="BI62" i="2420"/>
  <c r="BI85" i="2420"/>
  <c r="BI80" i="2420"/>
  <c r="BI55" i="2420"/>
  <c r="BI69" i="2420"/>
  <c r="BC67" i="2420"/>
  <c r="BA79" i="2420"/>
  <c r="BA87" i="2420"/>
  <c r="BA99" i="2420"/>
  <c r="BA16" i="2420"/>
  <c r="BA29" i="2420"/>
  <c r="BA31" i="2420"/>
  <c r="BA96" i="2420"/>
  <c r="BA43" i="2420"/>
  <c r="BA24" i="2420"/>
  <c r="Q31" i="2390" s="1"/>
  <c r="BA51" i="2420"/>
  <c r="BA13" i="2420"/>
  <c r="Q20" i="2390" s="1"/>
  <c r="BA66" i="2420"/>
  <c r="BA70" i="2420"/>
  <c r="BA103" i="2420"/>
  <c r="BA93" i="2420"/>
  <c r="BA57" i="2420"/>
  <c r="BA78" i="2420"/>
  <c r="BA54" i="2420"/>
  <c r="BA27" i="2420"/>
  <c r="BA50" i="2420"/>
  <c r="BA65" i="2420"/>
  <c r="BA60" i="2420"/>
  <c r="BA49" i="2420"/>
  <c r="BA18" i="2420"/>
  <c r="BA30" i="2420"/>
  <c r="BA36" i="2420"/>
  <c r="BA91" i="2420"/>
  <c r="BA59" i="2420"/>
  <c r="BA34" i="2420"/>
  <c r="BA64" i="2420"/>
  <c r="BA53" i="2420"/>
  <c r="BA37" i="2420"/>
  <c r="BA82" i="2420"/>
  <c r="BA42" i="2420"/>
  <c r="BA48" i="2420"/>
  <c r="BA100" i="2420"/>
  <c r="BA81" i="2420"/>
  <c r="BA12" i="2420"/>
  <c r="Q19" i="2390" s="1"/>
  <c r="BA17" i="2420"/>
  <c r="BA38" i="2420"/>
  <c r="BA88" i="2420"/>
  <c r="BA25" i="2420"/>
  <c r="Q32" i="2390" s="1"/>
  <c r="BA39" i="2420"/>
  <c r="BA95" i="2420"/>
  <c r="BA19" i="2420"/>
  <c r="BA45" i="2420"/>
  <c r="BA8" i="2420"/>
  <c r="Q15" i="2390" s="1"/>
  <c r="BA68" i="2420"/>
  <c r="BA86" i="2420"/>
  <c r="BA74" i="2420"/>
  <c r="BA41" i="2420"/>
  <c r="BA14" i="2420"/>
  <c r="Q21" i="2390" s="1"/>
  <c r="BA44" i="2420"/>
  <c r="BA94" i="2420"/>
  <c r="BA23" i="2420"/>
  <c r="Q30" i="2390" s="1"/>
  <c r="BA77" i="2420"/>
  <c r="BA52" i="2420"/>
  <c r="BA56" i="2420"/>
  <c r="BA21" i="2420"/>
  <c r="BA84" i="2420"/>
  <c r="BA97" i="2420"/>
  <c r="BA35" i="2420"/>
  <c r="BA47" i="2420"/>
  <c r="BA104" i="2420"/>
  <c r="AX14" i="2408"/>
  <c r="BD14" i="2408"/>
  <c r="AQ14" i="2408"/>
  <c r="AZ14" i="2408"/>
  <c r="BA14" i="2408" s="1"/>
  <c r="AH14" i="2408"/>
  <c r="AG14" i="2408"/>
  <c r="AR14" i="2408"/>
  <c r="AZ13" i="2408"/>
  <c r="BF13" i="2408" s="1"/>
  <c r="AG13" i="2408"/>
  <c r="AX13" i="2408"/>
  <c r="AR13" i="2408"/>
  <c r="AQ13" i="2408"/>
  <c r="AH13" i="2408"/>
  <c r="AL13" i="2408"/>
  <c r="BA10" i="2420"/>
  <c r="Q17" i="2390" s="1"/>
  <c r="BI118" i="2420"/>
  <c r="BF31" i="2420"/>
  <c r="BF29" i="2420"/>
  <c r="BF65" i="2420"/>
  <c r="BF34" i="2420"/>
  <c r="BF90" i="2420"/>
  <c r="BF50" i="2420"/>
  <c r="BF11" i="2420"/>
  <c r="R18" i="2390" s="1"/>
  <c r="BF63" i="2420"/>
  <c r="BF19" i="2420"/>
  <c r="BF79" i="2420"/>
  <c r="BF68" i="2420"/>
  <c r="BF101" i="2420"/>
  <c r="BF70" i="2420"/>
  <c r="BF36" i="2420"/>
  <c r="BF91" i="2420"/>
  <c r="BF60" i="2420"/>
  <c r="BF9" i="2420"/>
  <c r="R16" i="2390" s="1"/>
  <c r="BF67" i="2420"/>
  <c r="BF37" i="2420"/>
  <c r="BF52" i="2420"/>
  <c r="BF77" i="2420"/>
  <c r="BF40" i="2420"/>
  <c r="BF38" i="2420"/>
  <c r="BF74" i="2420"/>
  <c r="BF102" i="2420"/>
  <c r="BF56" i="2420"/>
  <c r="BF18" i="2420"/>
  <c r="BF35" i="2420"/>
  <c r="BF24" i="2420"/>
  <c r="R31" i="2390" s="1"/>
  <c r="BF81" i="2420"/>
  <c r="BF28" i="2420"/>
  <c r="BF33" i="2420"/>
  <c r="BF99" i="2420"/>
  <c r="BF71" i="2420"/>
  <c r="BF10" i="2420"/>
  <c r="R17" i="2390" s="1"/>
  <c r="BF7" i="2420"/>
  <c r="R14" i="2390" s="1"/>
  <c r="BF62" i="2420"/>
  <c r="BF59" i="2420"/>
  <c r="BF26" i="2420"/>
  <c r="R33" i="2390" s="1"/>
  <c r="BF22" i="2420"/>
  <c r="BF92" i="2420"/>
  <c r="BF103" i="2420"/>
  <c r="BF8" i="2420"/>
  <c r="R15" i="2390" s="1"/>
  <c r="BF57" i="2420"/>
  <c r="BF97" i="2420"/>
  <c r="BF95" i="2420"/>
  <c r="AB14" i="2421"/>
  <c r="AX12" i="2408"/>
  <c r="AH12" i="2408"/>
  <c r="AQ12" i="2408"/>
  <c r="AR12" i="2408"/>
  <c r="AG12" i="2408"/>
  <c r="BA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V36" i="2408"/>
  <c r="AS36" i="2408"/>
  <c r="AP37" i="2408"/>
  <c r="AP36" i="2408"/>
  <c r="AO49" i="2408"/>
  <c r="AV37" i="2408"/>
  <c r="BF24" i="2408"/>
  <c r="AU49" i="2408"/>
  <c r="AT59" i="2408"/>
  <c r="AV20" i="2408"/>
  <c r="AL49" i="2408"/>
  <c r="AI58" i="2408"/>
  <c r="AM63" i="2408"/>
  <c r="AN32" i="2408"/>
  <c r="AJ32" i="2408"/>
  <c r="AK49" i="2408"/>
  <c r="BF27" i="2408"/>
  <c r="AT32" i="2408"/>
  <c r="AL25" i="2408"/>
  <c r="AV49" i="2408"/>
  <c r="AP32" i="2408"/>
  <c r="BF43" i="2408"/>
  <c r="AN39" i="2408"/>
  <c r="AU21" i="2408"/>
  <c r="BF59" i="2408"/>
  <c r="AS49" i="2408"/>
  <c r="AK32" i="2408"/>
  <c r="AM16" i="2408"/>
  <c r="AP47" i="2408"/>
  <c r="AN51" i="2408"/>
  <c r="AV59" i="2408"/>
  <c r="AS59" i="2408"/>
  <c r="AN59" i="2408"/>
  <c r="AJ59" i="2408"/>
  <c r="AP18" i="2408"/>
  <c r="AU18" i="2408"/>
  <c r="AL16" i="2408"/>
  <c r="AN16" i="2408"/>
  <c r="AO16" i="2408"/>
  <c r="BF60" i="2408"/>
  <c r="AI16" i="2408"/>
  <c r="AV16" i="2408"/>
  <c r="AS16" i="2408"/>
  <c r="AJ51" i="2408"/>
  <c r="AN21" i="2408"/>
  <c r="AU59" i="2408"/>
  <c r="AI63" i="2408"/>
  <c r="AU63" i="2408"/>
  <c r="AT16" i="2408"/>
  <c r="AO51" i="2408"/>
  <c r="AL59" i="2408"/>
  <c r="AU40" i="2408"/>
  <c r="AT18" i="2408"/>
  <c r="AM51" i="2408"/>
  <c r="AU51" i="2408"/>
  <c r="AV32"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V51" i="2408"/>
  <c r="AT19" i="2408"/>
  <c r="AN61" i="2408"/>
  <c r="AK51" i="2408"/>
  <c r="AV42" i="2408"/>
  <c r="AV13" i="2408"/>
  <c r="AI35" i="2408"/>
  <c r="BF35" i="2408"/>
  <c r="AM25" i="2408"/>
  <c r="AJ50" i="2408"/>
  <c r="AO61" i="2408"/>
  <c r="AJ36" i="2408"/>
  <c r="AT61" i="2408"/>
  <c r="AV23" i="2408"/>
  <c r="AN37" i="2408"/>
  <c r="BF48" i="2408"/>
  <c r="AS25" i="2408"/>
  <c r="AU27" i="2408"/>
  <c r="AU53" i="2408"/>
  <c r="AO59" i="2408"/>
  <c r="AT17" i="2408"/>
  <c r="AL34" i="2408"/>
  <c r="AT53" i="2408"/>
  <c r="AT22" i="2408"/>
  <c r="AO25" i="2408"/>
  <c r="AK16" i="2408"/>
  <c r="AP59" i="2408"/>
  <c r="AP27" i="2408"/>
  <c r="AM14" i="2408"/>
  <c r="AM50" i="2408"/>
  <c r="AV61" i="2408"/>
  <c r="AL33" i="2408"/>
  <c r="AI25" i="2408"/>
  <c r="AO23" i="2408"/>
  <c r="AV43" i="2408"/>
  <c r="AK25" i="2408"/>
  <c r="AV17" i="2408"/>
  <c r="AT34" i="2408"/>
  <c r="AN46" i="2408"/>
  <c r="AK53" i="2408"/>
  <c r="AP62" i="2408"/>
  <c r="AK47" i="2408"/>
  <c r="AI13" i="2408"/>
  <c r="AU35" i="2408"/>
  <c r="AV35" i="2408"/>
  <c r="AI30" i="2408"/>
  <c r="AT12"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V47" i="2408"/>
  <c r="AM47" i="2408"/>
  <c r="AM35" i="2408"/>
  <c r="AK43" i="2408"/>
  <c r="AN41" i="2408"/>
  <c r="AJ26" i="2408"/>
  <c r="AP63" i="2408"/>
  <c r="AO63" i="2408"/>
  <c r="AS62" i="2408"/>
  <c r="AJ35" i="2408"/>
  <c r="AL35" i="2408"/>
  <c r="AK35" i="2408"/>
  <c r="AP43" i="2408"/>
  <c r="AU48" i="2408"/>
  <c r="AV29" i="2408"/>
  <c r="AJ28" i="2408"/>
  <c r="AP61" i="2408"/>
  <c r="AK61" i="2408"/>
  <c r="BF30" i="2408"/>
  <c r="AO56" i="2408"/>
  <c r="AJ52" i="2408"/>
  <c r="AV52" i="2408"/>
  <c r="AN54" i="2408"/>
  <c r="AV21" i="2408"/>
  <c r="AP48" i="2408"/>
  <c r="AK38" i="2408"/>
  <c r="AI38" i="2408"/>
  <c r="AM46" i="2408"/>
  <c r="AN29" i="2408"/>
  <c r="AU29" i="2408"/>
  <c r="AO20" i="2408"/>
  <c r="AS44" i="2408"/>
  <c r="AO53" i="2408"/>
  <c r="AO42" i="2408"/>
  <c r="AT60" i="2408"/>
  <c r="BF57" i="2408"/>
  <c r="AV28"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V44" i="2408"/>
  <c r="AK42" i="2408"/>
  <c r="AO28" i="2408"/>
  <c r="AL61" i="2408"/>
  <c r="AT55" i="2408"/>
  <c r="AP52" i="2408"/>
  <c r="AJ23" i="2408"/>
  <c r="AN23" i="2408"/>
  <c r="AK54" i="2408"/>
  <c r="AT21" i="2408"/>
  <c r="AV19" i="2408"/>
  <c r="AT27" i="2408"/>
  <c r="AN27" i="2408"/>
  <c r="BF29" i="2408"/>
  <c r="AJ53" i="2408"/>
  <c r="AL42" i="2408"/>
  <c r="AI60" i="2408"/>
  <c r="AN60" i="2408"/>
  <c r="AJ14" i="2408"/>
  <c r="AP28" i="2408"/>
  <c r="BF63" i="2408"/>
  <c r="AU55" i="2408"/>
  <c r="AM30" i="2408"/>
  <c r="AK30" i="2408"/>
  <c r="AS56" i="2408"/>
  <c r="AV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V27" i="2408"/>
  <c r="AM38" i="2408"/>
  <c r="AL38" i="2408"/>
  <c r="AP38" i="2408"/>
  <c r="AT38" i="2408"/>
  <c r="BF39" i="2408"/>
  <c r="AK29" i="2408"/>
  <c r="AM20" i="2408"/>
  <c r="AV53" i="2408"/>
  <c r="AM53" i="2408"/>
  <c r="AO62" i="2408"/>
  <c r="AK62" i="2408"/>
  <c r="AO45" i="2408"/>
  <c r="AP45" i="2408"/>
  <c r="AJ45" i="2408"/>
  <c r="AJ17" i="2408"/>
  <c r="AV26"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V24" i="2408"/>
  <c r="AS40" i="2408"/>
  <c r="AP14" i="2408"/>
  <c r="BF50" i="2408"/>
  <c r="AN58" i="2408"/>
  <c r="AT62" i="2408"/>
  <c r="AN62" i="2408"/>
  <c r="AM45" i="2408"/>
  <c r="AP31" i="2408"/>
  <c r="AL17" i="2408"/>
  <c r="AN22" i="2408"/>
  <c r="AP41" i="2408"/>
  <c r="AP57" i="2408"/>
  <c r="AK24" i="2408"/>
  <c r="AT52" i="2408"/>
  <c r="AV33" i="2408"/>
  <c r="AO12" i="2408"/>
  <c r="AN12" i="2408"/>
  <c r="AV12" i="2408"/>
  <c r="AN25" i="2408"/>
  <c r="AV25" i="2408"/>
  <c r="AP49" i="2408"/>
  <c r="AN49" i="2408"/>
  <c r="AM23" i="2408"/>
  <c r="BF23" i="2408"/>
  <c r="AN17" i="2408"/>
  <c r="AP17" i="2408"/>
  <c r="AI22" i="2408"/>
  <c r="AV54" i="2408"/>
  <c r="AJ54" i="2408"/>
  <c r="AI54" i="2408"/>
  <c r="AS51" i="2408"/>
  <c r="AP21" i="2408"/>
  <c r="AO21" i="2408"/>
  <c r="AL41" i="2408"/>
  <c r="AN26" i="2408"/>
  <c r="AJ34" i="2408"/>
  <c r="AV34" i="2408"/>
  <c r="BF34" i="2408"/>
  <c r="AI48" i="2408"/>
  <c r="BF36" i="2408"/>
  <c r="AM36" i="2408"/>
  <c r="AK27" i="2408"/>
  <c r="AI27" i="2408"/>
  <c r="BF38" i="2408"/>
  <c r="AU39" i="2408"/>
  <c r="AK46" i="2408"/>
  <c r="AV46" i="2408"/>
  <c r="AS20" i="2408"/>
  <c r="BF20" i="2408"/>
  <c r="AK44" i="2408"/>
  <c r="AM44" i="2408"/>
  <c r="AJ44" i="2408"/>
  <c r="AV15" i="2408"/>
  <c r="AL15" i="2408"/>
  <c r="AL53" i="2408"/>
  <c r="AP42" i="2408"/>
  <c r="AT42" i="2408"/>
  <c r="AS60" i="2408"/>
  <c r="AS57" i="2408"/>
  <c r="AV57" i="2408"/>
  <c r="AN24" i="2408"/>
  <c r="AT24" i="2408"/>
  <c r="AJ24" i="2408"/>
  <c r="AT40" i="2408"/>
  <c r="AO40" i="2408"/>
  <c r="AL40" i="2408"/>
  <c r="BF28" i="2408"/>
  <c r="AN50" i="2408"/>
  <c r="AT58" i="2408"/>
  <c r="BF47" i="2408"/>
  <c r="BF45" i="2408"/>
  <c r="BF61" i="2408"/>
  <c r="AK13" i="2408"/>
  <c r="AV55" i="2408"/>
  <c r="AJ31" i="2408"/>
  <c r="AV30"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V31" i="2408"/>
  <c r="AT30" i="2408"/>
  <c r="AL30" i="2408"/>
  <c r="AU56" i="2408"/>
  <c r="AT33" i="2408"/>
  <c r="AP33" i="2408"/>
  <c r="AY10" i="2408"/>
  <c r="AZ12" i="2408"/>
  <c r="AV22" i="2408"/>
  <c r="AJ22" i="2408"/>
  <c r="BF54" i="2408"/>
  <c r="AV41" i="2408"/>
  <c r="AU26" i="2408"/>
  <c r="AO34" i="2408"/>
  <c r="AS48" i="2408"/>
  <c r="AV48" i="2408"/>
  <c r="AJ27" i="2408"/>
  <c r="AS39" i="2408"/>
  <c r="AP39" i="2408"/>
  <c r="AI39" i="2408"/>
  <c r="AM15" i="2408"/>
  <c r="AN53" i="2408"/>
  <c r="BF42" i="2408"/>
  <c r="AU60" i="2408"/>
  <c r="AV60" i="2408"/>
  <c r="AM57" i="2408"/>
  <c r="AO24" i="2408"/>
  <c r="AS24" i="2408"/>
  <c r="AV40" i="2408"/>
  <c r="AP40" i="2408"/>
  <c r="AJ40" i="2408"/>
  <c r="AO14" i="2408"/>
  <c r="AN14" i="2408"/>
  <c r="AJ18" i="2408"/>
  <c r="AI18" i="2408"/>
  <c r="AU28" i="2408"/>
  <c r="AM58" i="2408"/>
  <c r="AM18" i="2408"/>
  <c r="AO18" i="2408"/>
  <c r="AI28" i="2408"/>
  <c r="AL63" i="2408"/>
  <c r="AT50" i="2408"/>
  <c r="AK58" i="2408"/>
  <c r="AV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V14" i="2408"/>
  <c r="AT14" i="2408"/>
  <c r="AK14" i="2408"/>
  <c r="AK45" i="2408"/>
  <c r="AO50" i="2408"/>
  <c r="AV50" i="2408"/>
  <c r="AV62" i="2408"/>
  <c r="AV45" i="2408"/>
  <c r="AU45" i="2408"/>
  <c r="AL55" i="2408"/>
  <c r="AN31" i="2408"/>
  <c r="AM31" i="2408"/>
  <c r="AP30" i="2408"/>
  <c r="AU33" i="2408"/>
  <c r="AO33" i="2408"/>
  <c r="AM33" i="2408"/>
  <c r="AK22" i="2408"/>
  <c r="AO22" i="2408"/>
  <c r="AT39" i="2408"/>
  <c r="AU46" i="2408"/>
  <c r="BC6" i="2420" l="1"/>
  <c r="BC26" i="2420"/>
  <c r="BC5" i="2420"/>
  <c r="BC7" i="2420"/>
  <c r="BC32" i="2420"/>
  <c r="AA71" i="2421"/>
  <c r="RS71" i="2421" s="1"/>
  <c r="AA49" i="2421"/>
  <c r="RS49" i="2421" s="1"/>
  <c r="AA55" i="2421"/>
  <c r="RS55" i="2421" s="1"/>
  <c r="AA85" i="2421"/>
  <c r="RS85" i="2421" s="1"/>
  <c r="AA35" i="2421"/>
  <c r="RS35" i="2421" s="1"/>
  <c r="AA94" i="2421"/>
  <c r="RS94" i="2421" s="1"/>
  <c r="AA78" i="2421"/>
  <c r="RS78" i="2421" s="1"/>
  <c r="AA64" i="2421"/>
  <c r="RS64" i="2421" s="1"/>
  <c r="AA89" i="2421"/>
  <c r="RS89" i="2421" s="1"/>
  <c r="AA92" i="2421"/>
  <c r="RS92" i="2421" s="1"/>
  <c r="AA42" i="2421"/>
  <c r="RS42" i="2421" s="1"/>
  <c r="BI58" i="2420"/>
  <c r="AA14" i="2421"/>
  <c r="RS14" i="2421" s="1"/>
  <c r="AA15" i="2421"/>
  <c r="RS15" i="2421" s="1"/>
  <c r="AA76" i="2421"/>
  <c r="RS76" i="2421" s="1"/>
  <c r="AA107" i="2421"/>
  <c r="RS107" i="2421" s="1"/>
  <c r="BI84" i="2420"/>
  <c r="BC14" i="2420"/>
  <c r="BC95" i="2420"/>
  <c r="BI100" i="2420"/>
  <c r="BC59" i="2420"/>
  <c r="BC65" i="2420"/>
  <c r="BC70" i="2420"/>
  <c r="BC29" i="2420"/>
  <c r="BC90" i="2420"/>
  <c r="BC41" i="2420"/>
  <c r="BC39" i="2420"/>
  <c r="BI48" i="2420"/>
  <c r="BI91" i="2420"/>
  <c r="BC50" i="2420"/>
  <c r="BC66" i="2420"/>
  <c r="BI102" i="2420"/>
  <c r="BC92" i="2420"/>
  <c r="BC56" i="2420"/>
  <c r="BC42" i="2420"/>
  <c r="BC36" i="2420"/>
  <c r="BI27" i="2420"/>
  <c r="BC99" i="2420"/>
  <c r="BI52" i="2420"/>
  <c r="BI86" i="2420"/>
  <c r="BI88" i="2420"/>
  <c r="BI82" i="2420"/>
  <c r="BC30" i="2420"/>
  <c r="BC54" i="2420"/>
  <c r="BC51" i="2420"/>
  <c r="BC87" i="2420"/>
  <c r="BI71" i="2420"/>
  <c r="BC73" i="2420"/>
  <c r="BC22" i="2420"/>
  <c r="BC104" i="2420"/>
  <c r="BC77" i="2420"/>
  <c r="BI68" i="2420"/>
  <c r="BC37" i="2420"/>
  <c r="BC78" i="2420"/>
  <c r="BC24" i="2420"/>
  <c r="BC79" i="2420"/>
  <c r="BC61" i="2420"/>
  <c r="BC63" i="2420"/>
  <c r="AA16" i="2421"/>
  <c r="RS16" i="2421" s="1"/>
  <c r="BC58" i="2420"/>
  <c r="BC57" i="2420"/>
  <c r="BI43" i="2420"/>
  <c r="BC35" i="2420"/>
  <c r="BI94" i="2420"/>
  <c r="BC45" i="2420"/>
  <c r="BI64" i="2420"/>
  <c r="BI49" i="2420"/>
  <c r="BI93" i="2420"/>
  <c r="BC96" i="2420"/>
  <c r="BC72" i="2420"/>
  <c r="BI47" i="2420"/>
  <c r="BI97" i="2420"/>
  <c r="BC44" i="2420"/>
  <c r="BC19" i="2420"/>
  <c r="BI81" i="2420"/>
  <c r="BC34" i="2420"/>
  <c r="BI60" i="2420"/>
  <c r="BC103" i="2420"/>
  <c r="BC31" i="2420"/>
  <c r="BI89" i="2420"/>
  <c r="BI101" i="2420"/>
  <c r="BF14" i="2408"/>
  <c r="BC13" i="2420"/>
  <c r="BI90" i="2420"/>
  <c r="BC11" i="2420"/>
  <c r="BI92" i="2420"/>
  <c r="BC102" i="2420"/>
  <c r="BI72" i="2420"/>
  <c r="BI63" i="2420"/>
  <c r="BC101" i="2420"/>
  <c r="BI73" i="2420"/>
  <c r="BI96" i="2420"/>
  <c r="BC89" i="2420"/>
  <c r="BC28" i="2420"/>
  <c r="BI61" i="2420"/>
  <c r="BC20" i="2420"/>
  <c r="BI75" i="2420"/>
  <c r="BC75" i="2420"/>
  <c r="BI95" i="2420"/>
  <c r="BC100" i="2420"/>
  <c r="BC71" i="2420"/>
  <c r="BC15" i="2420"/>
  <c r="BC25" i="2420"/>
  <c r="BI42" i="2420"/>
  <c r="BC48" i="2420"/>
  <c r="BI41" i="2420"/>
  <c r="BC16" i="2420"/>
  <c r="BC21" i="2420"/>
  <c r="BI39" i="2420"/>
  <c r="BC91" i="2420"/>
  <c r="BI50" i="2420"/>
  <c r="BC81" i="2420"/>
  <c r="BI70" i="2420"/>
  <c r="BI59" i="2420"/>
  <c r="BC84" i="2420"/>
  <c r="BC52" i="2420"/>
  <c r="BI54" i="2420"/>
  <c r="BC88" i="2420"/>
  <c r="BC82" i="2420"/>
  <c r="BI87" i="2420"/>
  <c r="BI51" i="2420"/>
  <c r="BC86" i="2420"/>
  <c r="BC8" i="2420"/>
  <c r="BC18" i="2420"/>
  <c r="BI56" i="2420"/>
  <c r="BI65" i="2420"/>
  <c r="BI99" i="2420"/>
  <c r="BC27" i="2420"/>
  <c r="BI34" i="2420"/>
  <c r="BI31" i="2420"/>
  <c r="BI103" i="2420"/>
  <c r="BC60" i="2420"/>
  <c r="BC13" i="2408"/>
  <c r="BI36" i="2420"/>
  <c r="BI79" i="2420"/>
  <c r="BI78" i="2420"/>
  <c r="BC68" i="2420"/>
  <c r="BI37" i="2420"/>
  <c r="BI104" i="2420"/>
  <c r="BI77" i="2420"/>
  <c r="BI66" i="2420"/>
  <c r="BC49" i="2420"/>
  <c r="BC97" i="2420"/>
  <c r="BI35" i="2420"/>
  <c r="BC93" i="2420"/>
  <c r="BI44" i="2420"/>
  <c r="BC64" i="2420"/>
  <c r="BC94" i="2420"/>
  <c r="BC43" i="2420"/>
  <c r="BC17" i="2420"/>
  <c r="BC47" i="2420"/>
  <c r="BC23" i="2420"/>
  <c r="BI57" i="2420"/>
  <c r="BC12" i="2420"/>
  <c r="BI45" i="2420"/>
  <c r="BC53" i="2420"/>
  <c r="BI53" i="2420"/>
  <c r="BC74" i="2420"/>
  <c r="BI74" i="2420"/>
  <c r="BI38" i="2420"/>
  <c r="BC38" i="2420"/>
  <c r="AQ10" i="2408"/>
  <c r="F24" i="2401" s="1"/>
  <c r="G24" i="2401" s="1"/>
  <c r="AZ10" i="2408"/>
  <c r="AZ11" i="2408" s="1"/>
  <c r="BA13" i="2408"/>
  <c r="AG10" i="2408"/>
  <c r="AR10" i="2408"/>
  <c r="F27" i="2401" s="1"/>
  <c r="G27" i="2401" s="1"/>
  <c r="AH10" i="2408"/>
  <c r="AX10" i="2408"/>
  <c r="AX11" i="2408" s="1"/>
  <c r="BC10" i="2420"/>
  <c r="BC12" i="2408"/>
  <c r="BA12" i="2408"/>
  <c r="AX111" i="2420" a="1"/>
  <c r="AX111" i="2420" s="1"/>
  <c r="AX115" i="2420" s="1"/>
  <c r="AX118" i="2420" s="1"/>
  <c r="BC9" i="2420"/>
  <c r="AT10" i="2408"/>
  <c r="F30" i="2401" s="1"/>
  <c r="G30" i="2401" s="1"/>
  <c r="AU10" i="2408"/>
  <c r="F31" i="2401" s="1"/>
  <c r="G31" i="2401" s="1"/>
  <c r="AI10" i="2408"/>
  <c r="C24" i="2401" s="1"/>
  <c r="D24" i="2401" s="1"/>
  <c r="AJ10" i="2408"/>
  <c r="C25" i="2401" s="1"/>
  <c r="AK10" i="2408"/>
  <c r="C27" i="2401" s="1"/>
  <c r="D27" i="2401" s="1"/>
  <c r="AP10" i="2408"/>
  <c r="C32" i="2401" s="1"/>
  <c r="D32" i="2401" s="1"/>
  <c r="AL10" i="2408"/>
  <c r="C28" i="2401" s="1"/>
  <c r="D28" i="2401" s="1"/>
  <c r="AM10" i="2408"/>
  <c r="C29" i="2401" s="1"/>
  <c r="D29" i="2401" s="1"/>
  <c r="AS10" i="2408"/>
  <c r="F29" i="2401" s="1"/>
  <c r="G29" i="2401" s="1"/>
  <c r="AO10" i="2408"/>
  <c r="C31" i="2401" s="1"/>
  <c r="D31" i="2401" s="1"/>
  <c r="BF12" i="2408"/>
  <c r="AV10" i="2408"/>
  <c r="F32" i="2401" s="1"/>
  <c r="G32" i="2401" s="1"/>
  <c r="AN10" i="2408"/>
  <c r="C30" i="2401" s="1"/>
  <c r="D30" i="2401" s="1"/>
  <c r="AA41" i="2421" l="1"/>
  <c r="BE62" i="2420"/>
  <c r="BG62" i="2420" s="1"/>
  <c r="BE69" i="2420"/>
  <c r="BG69" i="2420" s="1"/>
  <c r="BE98" i="2420"/>
  <c r="BG98" i="2420" s="1"/>
  <c r="BE55" i="2420"/>
  <c r="BG55" i="2420" s="1"/>
  <c r="BE85" i="2420"/>
  <c r="BG85" i="2420" s="1"/>
  <c r="BE26" i="2420"/>
  <c r="BG26" i="2420" s="1"/>
  <c r="BE40" i="2420"/>
  <c r="BG40" i="2420" s="1"/>
  <c r="BE6" i="2420"/>
  <c r="BG6" i="2420" s="1"/>
  <c r="BE46" i="2420"/>
  <c r="BG46" i="2420" s="1"/>
  <c r="BE5" i="2420"/>
  <c r="BG5" i="2420" s="1"/>
  <c r="BE76" i="2420"/>
  <c r="BG76" i="2420" s="1"/>
  <c r="AA96" i="2421"/>
  <c r="RS96" i="2421" s="1"/>
  <c r="AA91" i="2421"/>
  <c r="RS91" i="2421" s="1"/>
  <c r="AA104" i="2421"/>
  <c r="RS104" i="2421" s="1"/>
  <c r="AA79" i="2421"/>
  <c r="RS79" i="2421" s="1"/>
  <c r="BE80" i="2420"/>
  <c r="BG80" i="2420" s="1"/>
  <c r="AA31" i="2421"/>
  <c r="RS31" i="2421" s="1"/>
  <c r="BE33" i="2420"/>
  <c r="BG33" i="2420" s="1"/>
  <c r="AA33" i="2421"/>
  <c r="RS33" i="2421" s="1"/>
  <c r="AA86" i="2421"/>
  <c r="RS86" i="2421" s="1"/>
  <c r="BE67" i="2420"/>
  <c r="BG67" i="2420" s="1"/>
  <c r="AA112" i="2421"/>
  <c r="RS112" i="2421" s="1"/>
  <c r="AA72" i="2421"/>
  <c r="RS72" i="2421" s="1"/>
  <c r="AA108" i="2421"/>
  <c r="RS108" i="2421" s="1"/>
  <c r="AA51" i="2421"/>
  <c r="RS51" i="2421" s="1"/>
  <c r="AA75" i="2421"/>
  <c r="RS75" i="2421" s="1"/>
  <c r="AA67" i="2421"/>
  <c r="RS67" i="2421" s="1"/>
  <c r="AA50" i="2421"/>
  <c r="RS50" i="2421" s="1"/>
  <c r="AA28" i="2421"/>
  <c r="RS28" i="2421" s="1"/>
  <c r="AA98" i="2421"/>
  <c r="RS98" i="2421" s="1"/>
  <c r="AA58" i="2421"/>
  <c r="RS58" i="2421" s="1"/>
  <c r="AA103" i="2421"/>
  <c r="RS103" i="2421" s="1"/>
  <c r="AA77" i="2421"/>
  <c r="RS77" i="2421" s="1"/>
  <c r="AA39" i="2421"/>
  <c r="RS39" i="2421" s="1"/>
  <c r="AA61" i="2421"/>
  <c r="RS61" i="2421" s="1"/>
  <c r="AA88" i="2421"/>
  <c r="RS88" i="2421" s="1"/>
  <c r="AA26" i="2421"/>
  <c r="RS26" i="2421" s="1"/>
  <c r="AA101" i="2421"/>
  <c r="RS101" i="2421" s="1"/>
  <c r="AA27" i="2421"/>
  <c r="RS27" i="2421" s="1"/>
  <c r="AA100" i="2421"/>
  <c r="RS100" i="2421" s="1"/>
  <c r="AA30" i="2421"/>
  <c r="RS30" i="2421" s="1"/>
  <c r="AA80" i="2421"/>
  <c r="RS80" i="2421" s="1"/>
  <c r="AA18" i="2421"/>
  <c r="RS18" i="2421" s="1"/>
  <c r="AA36" i="2421"/>
  <c r="RS36" i="2421" s="1"/>
  <c r="AA65" i="2421"/>
  <c r="RS65" i="2421" s="1"/>
  <c r="AA111" i="2421"/>
  <c r="RS111" i="2421" s="1"/>
  <c r="AA56" i="2421"/>
  <c r="RS56" i="2421" s="1"/>
  <c r="AA105" i="2421"/>
  <c r="RS105" i="2421" s="1"/>
  <c r="AA52" i="2421"/>
  <c r="RS52" i="2421" s="1"/>
  <c r="AA69" i="2421"/>
  <c r="RS69" i="2421" s="1"/>
  <c r="AA53" i="2421"/>
  <c r="RS53" i="2421" s="1"/>
  <c r="AA102" i="2421"/>
  <c r="RS102" i="2421" s="1"/>
  <c r="AA54" i="2421"/>
  <c r="RS54" i="2421" s="1"/>
  <c r="AA66" i="2421"/>
  <c r="RS66" i="2421" s="1"/>
  <c r="AA70" i="2421"/>
  <c r="RS70" i="2421" s="1"/>
  <c r="AA46" i="2421"/>
  <c r="RS46" i="2421" s="1"/>
  <c r="AA37" i="2421"/>
  <c r="RS37" i="2421" s="1"/>
  <c r="AA45" i="2421"/>
  <c r="RS45" i="2421" s="1"/>
  <c r="AA25" i="2421"/>
  <c r="RS25" i="2421" s="1"/>
  <c r="AA84" i="2421"/>
  <c r="RS84" i="2421" s="1"/>
  <c r="AA40" i="2421"/>
  <c r="RS40" i="2421" s="1"/>
  <c r="AA90" i="2421"/>
  <c r="RS90" i="2421" s="1"/>
  <c r="AA48" i="2421"/>
  <c r="RS48" i="2421" s="1"/>
  <c r="AA17" i="2421"/>
  <c r="RS17" i="2421" s="1"/>
  <c r="AA29" i="2421"/>
  <c r="RS29" i="2421" s="1"/>
  <c r="AA95" i="2421"/>
  <c r="RS95" i="2421" s="1"/>
  <c r="AA68" i="2421"/>
  <c r="RS68" i="2421" s="1"/>
  <c r="AA93" i="2421"/>
  <c r="RS93" i="2421" s="1"/>
  <c r="AA63" i="2421"/>
  <c r="RS63" i="2421" s="1"/>
  <c r="AA59" i="2421"/>
  <c r="RS59" i="2421" s="1"/>
  <c r="AA110" i="2421"/>
  <c r="RS110" i="2421" s="1"/>
  <c r="BE83" i="2420"/>
  <c r="BG83" i="2420" s="1"/>
  <c r="AA43" i="2421"/>
  <c r="RS43" i="2421" s="1"/>
  <c r="AA24" i="2421"/>
  <c r="RS24" i="2421" s="1"/>
  <c r="AA38" i="2421"/>
  <c r="RS38" i="2421" s="1"/>
  <c r="AA109" i="2421"/>
  <c r="RS109" i="2421" s="1"/>
  <c r="AA81" i="2421"/>
  <c r="RS81" i="2421" s="1"/>
  <c r="AA73" i="2421"/>
  <c r="RS73" i="2421" s="1"/>
  <c r="AA44" i="2421"/>
  <c r="RS44" i="2421" s="1"/>
  <c r="AA87" i="2421"/>
  <c r="RS87" i="2421" s="1"/>
  <c r="AA113" i="2421"/>
  <c r="RS113" i="2421" s="1"/>
  <c r="AA82" i="2421"/>
  <c r="RS82" i="2421" s="1"/>
  <c r="AA60" i="2421"/>
  <c r="RS60" i="2421" s="1"/>
  <c r="AA97" i="2421"/>
  <c r="RS97" i="2421" s="1"/>
  <c r="AA106" i="2421"/>
  <c r="RS106" i="2421" s="1"/>
  <c r="AA57" i="2421"/>
  <c r="RS57" i="2421" s="1"/>
  <c r="AA32" i="2421"/>
  <c r="RS32" i="2421" s="1"/>
  <c r="AA34" i="2421"/>
  <c r="RS34" i="2421" s="1"/>
  <c r="AA99" i="2421"/>
  <c r="RS99" i="2421" s="1"/>
  <c r="AA74" i="2421"/>
  <c r="RS74" i="2421" s="1"/>
  <c r="AA23" i="2421"/>
  <c r="RS23" i="2421" s="1"/>
  <c r="AA83" i="2421"/>
  <c r="RS83" i="2421" s="1"/>
  <c r="AA47" i="2421"/>
  <c r="RS47" i="2421" s="1"/>
  <c r="AA62" i="2421"/>
  <c r="RS62" i="2421" s="1"/>
  <c r="AA21" i="2421"/>
  <c r="RS21" i="2421" s="1"/>
  <c r="AA19" i="2421"/>
  <c r="RS19" i="2421" s="1"/>
  <c r="AA22" i="2421"/>
  <c r="RS22" i="2421" s="1"/>
  <c r="AA20" i="2421"/>
  <c r="RS20" i="2421" s="1"/>
  <c r="BE7" i="2420"/>
  <c r="BG7" i="2420" s="1"/>
  <c r="BF10" i="2408"/>
  <c r="BF11" i="2408" s="1"/>
  <c r="BC10" i="2408"/>
  <c r="BC11" i="2408" s="1"/>
  <c r="BG13" i="2408"/>
  <c r="BD13" i="2408"/>
  <c r="BA10" i="2408"/>
  <c r="BA11" i="2408" s="1"/>
  <c r="BG12" i="2408"/>
  <c r="BD12" i="2408"/>
  <c r="BG111" i="2420" a="1"/>
  <c r="BG111" i="2420" s="1"/>
  <c r="BH111" i="2420" a="1"/>
  <c r="BH111" i="2420" s="1"/>
  <c r="BK111" i="2420" s="1"/>
  <c r="C37" i="2401"/>
  <c r="D37" i="2401" s="1"/>
  <c r="D25" i="2401"/>
  <c r="F35" i="2401"/>
  <c r="G35" i="2401" s="1"/>
  <c r="C35" i="2401"/>
  <c r="D35" i="2401" s="1"/>
  <c r="BE32" i="2420" l="1"/>
  <c r="BG32" i="2420" s="1"/>
  <c r="RS41" i="2421"/>
  <c r="RS128" i="2421" s="1"/>
  <c r="BE8" i="2420"/>
  <c r="BG8" i="2420" s="1"/>
  <c r="BJ85" i="2420"/>
  <c r="BL85" i="2420" s="1"/>
  <c r="BM46" i="2420"/>
  <c r="RV55" i="2421" s="1"/>
  <c r="BJ46" i="2420"/>
  <c r="BM67" i="2420"/>
  <c r="RV76" i="2421" s="1"/>
  <c r="BM40" i="2420"/>
  <c r="RV49" i="2421" s="1"/>
  <c r="BM98" i="2420"/>
  <c r="RV107" i="2421" s="1"/>
  <c r="BM33" i="2420"/>
  <c r="RV42" i="2421" s="1"/>
  <c r="BM69" i="2420"/>
  <c r="RV78" i="2421" s="1"/>
  <c r="BM80" i="2420"/>
  <c r="RV89" i="2421" s="1"/>
  <c r="BM85" i="2420"/>
  <c r="RV94" i="2421" s="1"/>
  <c r="BJ98" i="2420"/>
  <c r="BJ55" i="2420"/>
  <c r="BL55" i="2420" s="1"/>
  <c r="BM55" i="2420"/>
  <c r="RV64" i="2421" s="1"/>
  <c r="BJ69" i="2420"/>
  <c r="BL69" i="2420" s="1"/>
  <c r="BM62" i="2420"/>
  <c r="RV71" i="2421" s="1"/>
  <c r="BJ62" i="2420"/>
  <c r="BL62" i="2420" s="1"/>
  <c r="BJ40" i="2420"/>
  <c r="BL40" i="2420" s="1"/>
  <c r="BE78" i="2420"/>
  <c r="BG78" i="2420" s="1"/>
  <c r="BE60" i="2420"/>
  <c r="BG60" i="2420" s="1"/>
  <c r="BE17" i="2420"/>
  <c r="BG17" i="2420" s="1"/>
  <c r="BE19" i="2420"/>
  <c r="BG19" i="2420" s="1"/>
  <c r="BE82" i="2420"/>
  <c r="BG82" i="2420" s="1"/>
  <c r="BE35" i="2420"/>
  <c r="BG35" i="2420" s="1"/>
  <c r="BE28" i="2420"/>
  <c r="BG28" i="2420" s="1"/>
  <c r="BE9" i="2420"/>
  <c r="BG9" i="2420" s="1"/>
  <c r="BE79" i="2420"/>
  <c r="BG79" i="2420" s="1"/>
  <c r="BE41" i="2420"/>
  <c r="BG41" i="2420" s="1"/>
  <c r="BE77" i="2420"/>
  <c r="BG77" i="2420" s="1"/>
  <c r="BE87" i="2420"/>
  <c r="BG87" i="2420" s="1"/>
  <c r="BE50" i="2420"/>
  <c r="BG50" i="2420" s="1"/>
  <c r="BE39" i="2420"/>
  <c r="BG39" i="2420" s="1"/>
  <c r="BE37" i="2420"/>
  <c r="BG37" i="2420" s="1"/>
  <c r="BE43" i="2420"/>
  <c r="BG43" i="2420" s="1"/>
  <c r="BE71" i="2420"/>
  <c r="BG71" i="2420" s="1"/>
  <c r="BE52" i="2420"/>
  <c r="BG52" i="2420" s="1"/>
  <c r="BE58" i="2420"/>
  <c r="BG58" i="2420" s="1"/>
  <c r="BE24" i="2420"/>
  <c r="BG24" i="2420" s="1"/>
  <c r="BE97" i="2420"/>
  <c r="BG97" i="2420" s="1"/>
  <c r="BE54" i="2420"/>
  <c r="BG54" i="2420" s="1"/>
  <c r="BE81" i="2420"/>
  <c r="BG81" i="2420" s="1"/>
  <c r="BE21" i="2420"/>
  <c r="BG21" i="2420" s="1"/>
  <c r="BE30" i="2420"/>
  <c r="BG30" i="2420" s="1"/>
  <c r="BE66" i="2420"/>
  <c r="BG66" i="2420" s="1"/>
  <c r="BE88" i="2420"/>
  <c r="BG88" i="2420" s="1"/>
  <c r="BE100" i="2420"/>
  <c r="BG100" i="2420" s="1"/>
  <c r="BE84" i="2420"/>
  <c r="BG84" i="2420" s="1"/>
  <c r="BE31" i="2420"/>
  <c r="BG31" i="2420" s="1"/>
  <c r="BE57" i="2420"/>
  <c r="BG57" i="2420" s="1"/>
  <c r="BE91" i="2420"/>
  <c r="BG91" i="2420" s="1"/>
  <c r="BE68" i="2420"/>
  <c r="BG68" i="2420" s="1"/>
  <c r="BE42" i="2420"/>
  <c r="BG42" i="2420" s="1"/>
  <c r="BE22" i="2420"/>
  <c r="BG22" i="2420" s="1"/>
  <c r="BE90" i="2420"/>
  <c r="BG90" i="2420" s="1"/>
  <c r="BE51" i="2420"/>
  <c r="BG51" i="2420" s="1"/>
  <c r="BE29" i="2420"/>
  <c r="BG29" i="2420" s="1"/>
  <c r="BE59" i="2420"/>
  <c r="BG59" i="2420" s="1"/>
  <c r="BE45" i="2420"/>
  <c r="BG45" i="2420" s="1"/>
  <c r="BE102" i="2420"/>
  <c r="BG102" i="2420" s="1"/>
  <c r="BE18" i="2420"/>
  <c r="BG18" i="2420" s="1"/>
  <c r="BE94" i="2420"/>
  <c r="BG94" i="2420" s="1"/>
  <c r="BE99" i="2420"/>
  <c r="BG99" i="2420" s="1"/>
  <c r="BE73" i="2420"/>
  <c r="BG73" i="2420" s="1"/>
  <c r="BE86" i="2420"/>
  <c r="BG86" i="2420" s="1"/>
  <c r="BE16" i="2420"/>
  <c r="BG16" i="2420" s="1"/>
  <c r="BE93" i="2420"/>
  <c r="BG93" i="2420" s="1"/>
  <c r="BE56" i="2420"/>
  <c r="BG56" i="2420" s="1"/>
  <c r="BE92" i="2420"/>
  <c r="BG92" i="2420" s="1"/>
  <c r="BE63" i="2420"/>
  <c r="BG63" i="2420" s="1"/>
  <c r="BE25" i="2420"/>
  <c r="BG25" i="2420" s="1"/>
  <c r="BE20" i="2420"/>
  <c r="BG20" i="2420" s="1"/>
  <c r="BE36" i="2420"/>
  <c r="BG36" i="2420" s="1"/>
  <c r="BE44" i="2420"/>
  <c r="BG44" i="2420" s="1"/>
  <c r="BE27" i="2420"/>
  <c r="BG27" i="2420" s="1"/>
  <c r="BE89" i="2420"/>
  <c r="BG89" i="2420" s="1"/>
  <c r="BM76" i="2420"/>
  <c r="RV85" i="2421" s="1"/>
  <c r="BJ76" i="2420"/>
  <c r="BE61" i="2420"/>
  <c r="BG61" i="2420" s="1"/>
  <c r="BJ80" i="2420"/>
  <c r="BE95" i="2420"/>
  <c r="BG95" i="2420" s="1"/>
  <c r="BE101" i="2420"/>
  <c r="BG101" i="2420" s="1"/>
  <c r="BE103" i="2420"/>
  <c r="BG103" i="2420" s="1"/>
  <c r="BE70" i="2420"/>
  <c r="BG70" i="2420" s="1"/>
  <c r="BJ67" i="2420"/>
  <c r="BL67" i="2420" s="1"/>
  <c r="BE47" i="2420"/>
  <c r="BG47" i="2420" s="1"/>
  <c r="BE49" i="2420"/>
  <c r="BG49" i="2420" s="1"/>
  <c r="BE34" i="2420"/>
  <c r="BG34" i="2420" s="1"/>
  <c r="BE48" i="2420"/>
  <c r="BG48" i="2420" s="1"/>
  <c r="BJ33" i="2420"/>
  <c r="BL33" i="2420" s="1"/>
  <c r="BE64" i="2420"/>
  <c r="BG64" i="2420" s="1"/>
  <c r="BE96" i="2420"/>
  <c r="BG96" i="2420" s="1"/>
  <c r="BE104" i="2420"/>
  <c r="BG104" i="2420" s="1"/>
  <c r="BE14" i="2420"/>
  <c r="BG14" i="2420" s="1"/>
  <c r="BE65" i="2420"/>
  <c r="BG65" i="2420" s="1"/>
  <c r="BE23" i="2420"/>
  <c r="BG23" i="2420" s="1"/>
  <c r="BM83" i="2420"/>
  <c r="RV92" i="2421" s="1"/>
  <c r="BJ83" i="2420"/>
  <c r="BL83" i="2420" s="1"/>
  <c r="BE75" i="2420"/>
  <c r="BG75" i="2420" s="1"/>
  <c r="BE72" i="2420"/>
  <c r="BG72" i="2420" s="1"/>
  <c r="BE15" i="2420"/>
  <c r="BG15" i="2420" s="1"/>
  <c r="BE74" i="2420"/>
  <c r="BG74" i="2420" s="1"/>
  <c r="BE53" i="2420"/>
  <c r="BG53" i="2420" s="1"/>
  <c r="BE12" i="2420"/>
  <c r="BG12" i="2420" s="1"/>
  <c r="BE38" i="2420"/>
  <c r="BG38" i="2420" s="1"/>
  <c r="BE11" i="2420"/>
  <c r="BG11" i="2420" s="1"/>
  <c r="BE10" i="2420"/>
  <c r="BG10" i="2420" s="1"/>
  <c r="BE13" i="2420"/>
  <c r="BG13" i="2420" s="1"/>
  <c r="BG10" i="2408"/>
  <c r="BG11" i="2408" s="1"/>
  <c r="BD10" i="2408"/>
  <c r="BD11" i="2408" s="1"/>
  <c r="BI111" i="2420"/>
  <c r="BL111" i="2420" s="1"/>
  <c r="KG86" i="2422" l="1"/>
  <c r="BL80" i="2420"/>
  <c r="KG104" i="2422"/>
  <c r="BL98" i="2420"/>
  <c r="KG52" i="2422"/>
  <c r="BL46" i="2420"/>
  <c r="KG82" i="2422"/>
  <c r="BL76" i="2420"/>
  <c r="KG91" i="2422"/>
  <c r="BJ60" i="2420"/>
  <c r="BL60" i="2420" s="1"/>
  <c r="BJ44" i="2420"/>
  <c r="BL44" i="2420" s="1"/>
  <c r="BJ63" i="2420"/>
  <c r="BJ59" i="2420"/>
  <c r="BL59" i="2420" s="1"/>
  <c r="BJ57" i="2420"/>
  <c r="BL57" i="2420" s="1"/>
  <c r="BM58" i="2420"/>
  <c r="RV67" i="2421" s="1"/>
  <c r="BJ37" i="2420"/>
  <c r="BL37" i="2420" s="1"/>
  <c r="BJ65" i="2420"/>
  <c r="BL65" i="2420" s="1"/>
  <c r="BJ103" i="2420"/>
  <c r="KG68" i="2422"/>
  <c r="BJ36" i="2420"/>
  <c r="BJ92" i="2420"/>
  <c r="BL92" i="2420" s="1"/>
  <c r="BJ42" i="2420"/>
  <c r="BL42" i="2420" s="1"/>
  <c r="BJ66" i="2420"/>
  <c r="BM39" i="2420"/>
  <c r="RV48" i="2421" s="1"/>
  <c r="BM41" i="2420"/>
  <c r="RV50" i="2421" s="1"/>
  <c r="BJ35" i="2420"/>
  <c r="BJ61" i="2420"/>
  <c r="BJ72" i="2420"/>
  <c r="BJ104" i="2420"/>
  <c r="BL104" i="2420" s="1"/>
  <c r="BJ56" i="2420"/>
  <c r="BL56" i="2420" s="1"/>
  <c r="BJ51" i="2420"/>
  <c r="BJ50" i="2420"/>
  <c r="BL50" i="2420" s="1"/>
  <c r="BM79" i="2420"/>
  <c r="RV88" i="2421" s="1"/>
  <c r="BJ78" i="2420"/>
  <c r="BL78" i="2420" s="1"/>
  <c r="BJ70" i="2420"/>
  <c r="BL70" i="2420" s="1"/>
  <c r="BJ34" i="2420"/>
  <c r="BJ95" i="2420"/>
  <c r="BL95" i="2420" s="1"/>
  <c r="BJ96" i="2420"/>
  <c r="BL96" i="2420" s="1"/>
  <c r="BJ99" i="2420"/>
  <c r="BJ45" i="2420"/>
  <c r="BJ90" i="2420"/>
  <c r="KG61" i="2422"/>
  <c r="KG75" i="2422"/>
  <c r="BM43" i="2420"/>
  <c r="RV52" i="2421" s="1"/>
  <c r="BM99" i="2420"/>
  <c r="RV108" i="2421" s="1"/>
  <c r="BM100" i="2420"/>
  <c r="RV109" i="2421" s="1"/>
  <c r="BJ100" i="2420"/>
  <c r="BL100" i="2420" s="1"/>
  <c r="BM45" i="2420"/>
  <c r="RV54" i="2421" s="1"/>
  <c r="BJ43" i="2420"/>
  <c r="BL43" i="2420" s="1"/>
  <c r="BM87" i="2420"/>
  <c r="RV96" i="2421" s="1"/>
  <c r="BM68" i="2420"/>
  <c r="RV77" i="2421" s="1"/>
  <c r="BM71" i="2420"/>
  <c r="RV80" i="2421" s="1"/>
  <c r="BJ79" i="2420"/>
  <c r="BL79" i="2420" s="1"/>
  <c r="BJ97" i="2420"/>
  <c r="BM102" i="2420"/>
  <c r="RV111" i="2421" s="1"/>
  <c r="BM78" i="2420"/>
  <c r="RV87" i="2421" s="1"/>
  <c r="BJ27" i="2420"/>
  <c r="BL27" i="2420" s="1"/>
  <c r="BM27" i="2420"/>
  <c r="RV36" i="2421" s="1"/>
  <c r="BM97" i="2420"/>
  <c r="RV106" i="2421" s="1"/>
  <c r="BJ73" i="2420"/>
  <c r="BL73" i="2420" s="1"/>
  <c r="BM73" i="2420"/>
  <c r="RV82" i="2421" s="1"/>
  <c r="BJ91" i="2420"/>
  <c r="BL91" i="2420" s="1"/>
  <c r="BJ87" i="2420"/>
  <c r="BL87" i="2420" s="1"/>
  <c r="BJ93" i="2420"/>
  <c r="BL93" i="2420" s="1"/>
  <c r="BM91" i="2420"/>
  <c r="RV100" i="2421" s="1"/>
  <c r="BM90" i="2420"/>
  <c r="RV99" i="2421" s="1"/>
  <c r="BM93" i="2420"/>
  <c r="RV102" i="2421" s="1"/>
  <c r="BJ84" i="2420"/>
  <c r="BL84" i="2420" s="1"/>
  <c r="BJ82" i="2420"/>
  <c r="BJ89" i="2420"/>
  <c r="BL89" i="2420" s="1"/>
  <c r="BM56" i="2420"/>
  <c r="RV65" i="2421" s="1"/>
  <c r="BJ71" i="2420"/>
  <c r="BM84" i="2420"/>
  <c r="RV93" i="2421" s="1"/>
  <c r="BJ102" i="2420"/>
  <c r="BJ68" i="2420"/>
  <c r="BM50" i="2420"/>
  <c r="RV59" i="2421" s="1"/>
  <c r="BM82" i="2420"/>
  <c r="RV91" i="2421" s="1"/>
  <c r="BM89" i="2420"/>
  <c r="RV98" i="2421" s="1"/>
  <c r="BM51" i="2420"/>
  <c r="RV60" i="2421" s="1"/>
  <c r="BM35" i="2420"/>
  <c r="RV44" i="2421" s="1"/>
  <c r="BM66" i="2420"/>
  <c r="RV75" i="2421" s="1"/>
  <c r="BM31" i="2420"/>
  <c r="RV40" i="2421" s="1"/>
  <c r="BM42" i="2420"/>
  <c r="RV51" i="2421" s="1"/>
  <c r="BJ52" i="2420"/>
  <c r="BL52" i="2420" s="1"/>
  <c r="BM60" i="2420"/>
  <c r="RV69" i="2421" s="1"/>
  <c r="BJ31" i="2420"/>
  <c r="BM92" i="2420"/>
  <c r="RV101" i="2421" s="1"/>
  <c r="BJ39" i="2420"/>
  <c r="BL39" i="2420" s="1"/>
  <c r="BM52" i="2420"/>
  <c r="RV61" i="2421" s="1"/>
  <c r="BJ41" i="2420"/>
  <c r="BL41" i="2420" s="1"/>
  <c r="BM54" i="2420"/>
  <c r="RV63" i="2421" s="1"/>
  <c r="BJ86" i="2420"/>
  <c r="BL86" i="2420" s="1"/>
  <c r="BJ54" i="2420"/>
  <c r="BL54" i="2420" s="1"/>
  <c r="BM86" i="2420"/>
  <c r="RV95" i="2421" s="1"/>
  <c r="BM36" i="2420"/>
  <c r="RV45" i="2421" s="1"/>
  <c r="BM77" i="2420"/>
  <c r="RV86" i="2421" s="1"/>
  <c r="BJ77" i="2420"/>
  <c r="BJ58" i="2420"/>
  <c r="BJ94" i="2420"/>
  <c r="BJ88" i="2420"/>
  <c r="BM63" i="2420"/>
  <c r="RV72" i="2421" s="1"/>
  <c r="BM94" i="2420"/>
  <c r="RV103" i="2421" s="1"/>
  <c r="BM37" i="2420"/>
  <c r="RV46" i="2421" s="1"/>
  <c r="BM88" i="2420"/>
  <c r="RV97" i="2421" s="1"/>
  <c r="BM44" i="2420"/>
  <c r="RV53" i="2421" s="1"/>
  <c r="BM57" i="2420"/>
  <c r="RV66" i="2421" s="1"/>
  <c r="BJ81" i="2420"/>
  <c r="BM59" i="2420"/>
  <c r="RV68" i="2421" s="1"/>
  <c r="BM81" i="2420"/>
  <c r="RV90" i="2421" s="1"/>
  <c r="KG46" i="2422"/>
  <c r="BM70" i="2420"/>
  <c r="RV79" i="2421" s="1"/>
  <c r="BJ47" i="2420"/>
  <c r="BL47" i="2420" s="1"/>
  <c r="BM34" i="2420"/>
  <c r="RV43" i="2421" s="1"/>
  <c r="BM47" i="2420"/>
  <c r="RV56" i="2421" s="1"/>
  <c r="BM104" i="2420"/>
  <c r="RV113" i="2421" s="1"/>
  <c r="BJ101" i="2420"/>
  <c r="BL101" i="2420" s="1"/>
  <c r="BM101" i="2420"/>
  <c r="RV110" i="2421" s="1"/>
  <c r="BM103" i="2420"/>
  <c r="RV112" i="2421" s="1"/>
  <c r="BM95" i="2420"/>
  <c r="RV104" i="2421" s="1"/>
  <c r="BM61" i="2420"/>
  <c r="RV70" i="2421" s="1"/>
  <c r="BM96" i="2420"/>
  <c r="RV105" i="2421" s="1"/>
  <c r="BJ49" i="2420"/>
  <c r="BL49" i="2420" s="1"/>
  <c r="BM49" i="2420"/>
  <c r="RV58" i="2421" s="1"/>
  <c r="BM65" i="2420"/>
  <c r="RV74" i="2421" s="1"/>
  <c r="KG73" i="2422"/>
  <c r="BM48" i="2420"/>
  <c r="RV57" i="2421" s="1"/>
  <c r="BJ48" i="2420"/>
  <c r="BL48" i="2420" s="1"/>
  <c r="KG39" i="2422"/>
  <c r="BM72" i="2420"/>
  <c r="RV81" i="2421" s="1"/>
  <c r="BJ64" i="2420"/>
  <c r="BL64" i="2420" s="1"/>
  <c r="BM64" i="2420"/>
  <c r="RV73" i="2421" s="1"/>
  <c r="KG89" i="2422"/>
  <c r="BM75" i="2420"/>
  <c r="RV84" i="2421" s="1"/>
  <c r="BJ75" i="2420"/>
  <c r="BL75" i="2420" s="1"/>
  <c r="BM74" i="2420"/>
  <c r="RV83" i="2421" s="1"/>
  <c r="BJ74" i="2420"/>
  <c r="BL74" i="2420" s="1"/>
  <c r="BM53" i="2420"/>
  <c r="RV62" i="2421" s="1"/>
  <c r="BJ53" i="2420"/>
  <c r="BL53" i="2420" s="1"/>
  <c r="BM38" i="2420"/>
  <c r="RV47" i="2421" s="1"/>
  <c r="BJ38" i="2420"/>
  <c r="BL38" i="2420" s="1"/>
  <c r="KG50" i="2422" l="1"/>
  <c r="KG87" i="2422"/>
  <c r="BL81" i="2420"/>
  <c r="KG64" i="2422"/>
  <c r="BL58" i="2420"/>
  <c r="KG88" i="2422"/>
  <c r="BL82" i="2420"/>
  <c r="KG105" i="2422"/>
  <c r="BL99" i="2420"/>
  <c r="KG69" i="2422"/>
  <c r="BL63" i="2420"/>
  <c r="KG83" i="2422"/>
  <c r="BL77" i="2420"/>
  <c r="KG77" i="2422"/>
  <c r="BL71" i="2420"/>
  <c r="KG41" i="2422"/>
  <c r="BL35" i="2420"/>
  <c r="KG109" i="2422"/>
  <c r="BL103" i="2420"/>
  <c r="KG100" i="2422"/>
  <c r="BL94" i="2420"/>
  <c r="KG37" i="2422"/>
  <c r="BL31" i="2420"/>
  <c r="KG74" i="2422"/>
  <c r="BL68" i="2420"/>
  <c r="KG96" i="2422"/>
  <c r="BL90" i="2420"/>
  <c r="KG94" i="2422"/>
  <c r="BL88" i="2420"/>
  <c r="KG57" i="2422"/>
  <c r="BL51" i="2420"/>
  <c r="KG67" i="2422"/>
  <c r="BL61" i="2420"/>
  <c r="KG72" i="2422"/>
  <c r="BL66" i="2420"/>
  <c r="KG108" i="2422"/>
  <c r="BL102" i="2420"/>
  <c r="KG103" i="2422"/>
  <c r="BL97" i="2420"/>
  <c r="KG51" i="2422"/>
  <c r="BL45" i="2420"/>
  <c r="KG40" i="2422"/>
  <c r="BL34" i="2420"/>
  <c r="KG78" i="2422"/>
  <c r="BL72" i="2420"/>
  <c r="KG42" i="2422"/>
  <c r="BL36" i="2420"/>
  <c r="KG71" i="2422"/>
  <c r="KG66" i="2422"/>
  <c r="KG76" i="2422"/>
  <c r="KG98" i="2422"/>
  <c r="KG62" i="2422"/>
  <c r="KG84" i="2422"/>
  <c r="KG102" i="2422"/>
  <c r="KG63" i="2422"/>
  <c r="KG56" i="2422"/>
  <c r="KG43" i="2422"/>
  <c r="KG48" i="2422"/>
  <c r="KG110" i="2422"/>
  <c r="KG65" i="2422"/>
  <c r="KG101" i="2422"/>
  <c r="BH116" i="2420" a="1"/>
  <c r="BH116" i="2420" s="1"/>
  <c r="BH119" i="2420" s="1"/>
  <c r="BH120" i="2420" s="1"/>
  <c r="KG47" i="2422"/>
  <c r="KG106" i="2422"/>
  <c r="KG79" i="2422"/>
  <c r="KG97" i="2422"/>
  <c r="KG85" i="2422"/>
  <c r="KG33" i="2422"/>
  <c r="KG49" i="2422"/>
  <c r="KG93" i="2422"/>
  <c r="KG92" i="2422"/>
  <c r="KG95" i="2422"/>
  <c r="KG99" i="2422"/>
  <c r="KG60" i="2422"/>
  <c r="KG90" i="2422"/>
  <c r="KG45" i="2422"/>
  <c r="KG58" i="2422"/>
  <c r="KG107" i="2422"/>
  <c r="KG53" i="2422"/>
  <c r="KG55" i="2422"/>
  <c r="KG54" i="2422"/>
  <c r="KG70" i="2422"/>
  <c r="KG81" i="2422"/>
  <c r="KG80" i="2422"/>
  <c r="KG59" i="2422"/>
  <c r="KG44" i="2422"/>
  <c r="BG116" i="2420" a="1"/>
  <c r="BG116" i="2420" s="1"/>
  <c r="BK119" i="2420" l="1"/>
  <c r="BI116" i="2420"/>
  <c r="BK120" i="2420" l="1"/>
  <c r="O24" i="2402" s="1"/>
  <c r="P24" i="2402" s="1"/>
  <c r="BI119" i="2420" l="1"/>
  <c r="BG119" i="2420"/>
  <c r="BL119" i="2420" l="1"/>
  <c r="N13" i="2402" s="1"/>
  <c r="L12" i="2408"/>
  <c r="S13" i="2408" l="1"/>
  <c r="Z10" i="2402" l="1"/>
  <c r="C7" i="2402"/>
  <c r="C2" i="2406"/>
  <c r="C17" i="2401"/>
  <c r="D17" i="2401" s="1"/>
  <c r="A5" i="240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R17" i="2402"/>
  <c r="R20" i="2402"/>
  <c r="G22" i="2413" l="1"/>
  <c r="RX23" i="2421" s="1"/>
  <c r="G23" i="2413"/>
  <c r="RX24" i="2421" s="1"/>
  <c r="G31" i="2413"/>
  <c r="RX32" i="2421" s="1"/>
  <c r="G34" i="2413"/>
  <c r="RX35" i="2421" s="1"/>
  <c r="L25" i="2408"/>
  <c r="G33" i="2413"/>
  <c r="RX34" i="2421" s="1"/>
  <c r="J26" i="2408"/>
  <c r="G40" i="2413"/>
  <c r="RX41" i="2421" s="1"/>
  <c r="G37" i="2413"/>
  <c r="RX38" i="2421" s="1"/>
  <c r="G38" i="2413"/>
  <c r="RX39" i="2421" s="1"/>
  <c r="G32" i="2413"/>
  <c r="RX33" i="2421" s="1"/>
  <c r="G36" i="2413"/>
  <c r="RX37" i="2421" s="1"/>
  <c r="G21" i="2413"/>
  <c r="RX22" i="2421" s="1"/>
  <c r="G18" i="2413"/>
  <c r="RX19" i="2421" s="1"/>
  <c r="G20" i="2413"/>
  <c r="RX21" i="2421" s="1"/>
  <c r="G16" i="2413"/>
  <c r="RX17" i="2421" s="1"/>
  <c r="G17" i="2413"/>
  <c r="RX18" i="2421" s="1"/>
  <c r="G19" i="2413"/>
  <c r="RX20" i="2421" s="1"/>
  <c r="G15" i="2413"/>
  <c r="RX16" i="2421" s="1"/>
  <c r="AE36" i="2402"/>
  <c r="AC36" i="2402" s="1"/>
  <c r="G14" i="2413"/>
  <c r="RX15" i="2421" s="1"/>
  <c r="G13" i="2413"/>
  <c r="RX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Q29" i="2403" s="1"/>
  <c r="A133" i="2403"/>
  <c r="A168" i="2403"/>
  <c r="A196" i="2403"/>
  <c r="A147" i="2403"/>
  <c r="A131" i="2403"/>
  <c r="A134" i="2403"/>
  <c r="A74" i="2403"/>
  <c r="A204" i="2403"/>
  <c r="A181" i="2403"/>
  <c r="A200" i="2403"/>
  <c r="A187" i="2403"/>
  <c r="A193" i="2403"/>
  <c r="A33" i="2403"/>
  <c r="A31" i="2403"/>
  <c r="A132" i="2403"/>
  <c r="A73" i="2403"/>
  <c r="A92" i="2403"/>
  <c r="A36" i="2403"/>
  <c r="RX128" i="2421" l="1"/>
  <c r="J28" i="2408"/>
  <c r="J29" i="2408" s="1"/>
  <c r="AQ187" i="2403"/>
  <c r="CU62" i="2420" s="1"/>
  <c r="V187" i="2403"/>
  <c r="AO187" i="2403"/>
  <c r="AH187" i="2403"/>
  <c r="W187" i="2403"/>
  <c r="M187" i="2403"/>
  <c r="AP187" i="2403"/>
  <c r="AK187" i="2403"/>
  <c r="T187" i="2403"/>
  <c r="H187" i="2403"/>
  <c r="AT187" i="2403"/>
  <c r="AF187" i="2403"/>
  <c r="K187" i="2403"/>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CU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CU90" i="2420" s="1"/>
  <c r="AF215" i="2403"/>
  <c r="E215" i="2403"/>
  <c r="K215" i="2403"/>
  <c r="Y215" i="2403"/>
  <c r="C215" i="2403"/>
  <c r="O215" i="2403"/>
  <c r="AD215" i="2403"/>
  <c r="M215" i="2403"/>
  <c r="J215" i="2403"/>
  <c r="AC215" i="2403"/>
  <c r="AK215" i="2403"/>
  <c r="AR215" i="2403"/>
  <c r="AA215" i="2403"/>
  <c r="AI215" i="2403"/>
  <c r="U215" i="2403"/>
  <c r="AN215" i="2403"/>
  <c r="K219" i="2403"/>
  <c r="AI219" i="2403"/>
  <c r="E219" i="2403"/>
  <c r="AB219" i="2403"/>
  <c r="AL219" i="2403"/>
  <c r="T219" i="2403"/>
  <c r="AC219" i="2403"/>
  <c r="AQ219" i="2403"/>
  <c r="CU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H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CU14" i="2420" s="1"/>
  <c r="AD139" i="2403"/>
  <c r="AB139" i="2403"/>
  <c r="AI139" i="2403"/>
  <c r="M139" i="2403"/>
  <c r="AH139" i="2403"/>
  <c r="W139" i="2403"/>
  <c r="AA139" i="2403"/>
  <c r="H139" i="2403"/>
  <c r="AT139" i="2403"/>
  <c r="AS139" i="2403" s="1"/>
  <c r="CP14" i="2420" s="1"/>
  <c r="CQ14" i="2420" s="1"/>
  <c r="AN139" i="2403"/>
  <c r="O139" i="2403"/>
  <c r="N139" i="2403"/>
  <c r="R139" i="2403"/>
  <c r="I139" i="2403"/>
  <c r="C139" i="2403"/>
  <c r="X139" i="2403"/>
  <c r="AJ139" i="2403" s="1"/>
  <c r="AQ159" i="2403"/>
  <c r="CU34" i="2420" s="1"/>
  <c r="S159" i="2403"/>
  <c r="W159" i="2403"/>
  <c r="J159" i="2403"/>
  <c r="O159" i="2403"/>
  <c r="N159" i="2403"/>
  <c r="AF159" i="2403"/>
  <c r="AP159" i="2403"/>
  <c r="AN159" i="2403"/>
  <c r="AM159" i="2403"/>
  <c r="AT159" i="2403"/>
  <c r="AO159" i="2403"/>
  <c r="I159" i="2403"/>
  <c r="AI159" i="2403"/>
  <c r="AE159" i="2403"/>
  <c r="AH159" i="2403"/>
  <c r="AA159" i="2403"/>
  <c r="D159" i="2403"/>
  <c r="Q159" i="2403"/>
  <c r="H159" i="2403"/>
  <c r="AR159" i="2403"/>
  <c r="R159" i="2403"/>
  <c r="C159" i="2403"/>
  <c r="M159" i="2403"/>
  <c r="AK159" i="2403"/>
  <c r="G159" i="2403"/>
  <c r="AB159" i="2403"/>
  <c r="K159" i="2403"/>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CU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CU48" i="2420" s="1"/>
  <c r="AE173" i="2403"/>
  <c r="AM173" i="2403"/>
  <c r="N173" i="2403"/>
  <c r="G173" i="2403"/>
  <c r="AA173" i="2403"/>
  <c r="K173" i="2403"/>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W223" i="2403"/>
  <c r="AN223" i="2403"/>
  <c r="AG223" i="2403"/>
  <c r="D223" i="2403"/>
  <c r="P223" i="2403"/>
  <c r="AF223" i="2403"/>
  <c r="AQ223" i="2403"/>
  <c r="CU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P24" i="2420" s="1"/>
  <c r="CQ24" i="2420" s="1"/>
  <c r="X149" i="2403"/>
  <c r="AJ149" i="2403" s="1"/>
  <c r="AA149" i="2403"/>
  <c r="D149" i="2403"/>
  <c r="AD149" i="2403"/>
  <c r="AN149" i="2403"/>
  <c r="G149" i="2403"/>
  <c r="N149" i="2403"/>
  <c r="T149" i="2403"/>
  <c r="AE149" i="2403"/>
  <c r="V149" i="2403"/>
  <c r="Z149" i="2403"/>
  <c r="W149" i="2403"/>
  <c r="K149" i="2403"/>
  <c r="L149" i="2403" s="1"/>
  <c r="AP149" i="2403"/>
  <c r="AQ149" i="2403"/>
  <c r="CU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P25" i="2420" s="1"/>
  <c r="CQ25" i="2420" s="1"/>
  <c r="W150" i="2403"/>
  <c r="AN150" i="2403"/>
  <c r="J150" i="2403"/>
  <c r="AM150" i="2403"/>
  <c r="AP150" i="2403"/>
  <c r="O150" i="2403"/>
  <c r="AG150" i="2403"/>
  <c r="Z150" i="2403"/>
  <c r="AQ150" i="2403"/>
  <c r="CU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CU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AQ175" i="2403"/>
  <c r="CU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N172" i="2403"/>
  <c r="J172" i="2403"/>
  <c r="AE172" i="2403"/>
  <c r="U172" i="2403"/>
  <c r="AM172" i="2403"/>
  <c r="AD172" i="2403"/>
  <c r="G172" i="2403"/>
  <c r="AQ172" i="2403"/>
  <c r="CU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AO200" i="2403"/>
  <c r="AD200" i="2403"/>
  <c r="E200" i="2403"/>
  <c r="AQ200" i="2403"/>
  <c r="CU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CU43" i="2420" s="1"/>
  <c r="AT168" i="2403"/>
  <c r="AR168" i="2403"/>
  <c r="AD168" i="2403"/>
  <c r="AC168" i="2403"/>
  <c r="D168" i="2403"/>
  <c r="W168" i="2403"/>
  <c r="K168" i="2403"/>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P10" i="2420" s="1"/>
  <c r="AQ135" i="2403"/>
  <c r="CU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AA163" i="2403"/>
  <c r="AD163" i="2403"/>
  <c r="AB163" i="2403"/>
  <c r="M163" i="2403"/>
  <c r="R163" i="2403"/>
  <c r="AQ163" i="2403"/>
  <c r="CU38" i="2420" s="1"/>
  <c r="U163" i="2403"/>
  <c r="C163" i="2403"/>
  <c r="T163" i="2403"/>
  <c r="AC163" i="2403"/>
  <c r="E163" i="2403"/>
  <c r="W163" i="2403"/>
  <c r="AO163" i="2403"/>
  <c r="O163" i="2403"/>
  <c r="V163" i="2403"/>
  <c r="AH163" i="2403"/>
  <c r="AE163" i="2403"/>
  <c r="K195" i="2403"/>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CU70" i="2420" s="1"/>
  <c r="AE195" i="2403"/>
  <c r="X195" i="2403"/>
  <c r="AJ195" i="2403" s="1"/>
  <c r="R160" i="2403"/>
  <c r="AR160" i="2403"/>
  <c r="J160" i="2403"/>
  <c r="H160" i="2403"/>
  <c r="AP160" i="2403"/>
  <c r="AK160" i="2403"/>
  <c r="P160" i="2403"/>
  <c r="U160" i="2403"/>
  <c r="AQ160" i="2403"/>
  <c r="CU35" i="2420" s="1"/>
  <c r="AO160" i="2403"/>
  <c r="N160" i="2403"/>
  <c r="AI160" i="2403"/>
  <c r="G160" i="2403"/>
  <c r="AL160" i="2403"/>
  <c r="AM160" i="2403"/>
  <c r="Z160" i="2403"/>
  <c r="M160" i="2403"/>
  <c r="AB160" i="2403"/>
  <c r="K160" i="2403"/>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CU66" i="2420" s="1"/>
  <c r="AL191" i="2403"/>
  <c r="H191" i="2403"/>
  <c r="K191" i="2403"/>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CU16" i="2420" s="1"/>
  <c r="AH141" i="2403"/>
  <c r="V141" i="2403"/>
  <c r="X141" i="2403"/>
  <c r="AJ141" i="2403" s="1"/>
  <c r="O141" i="2403"/>
  <c r="U141" i="2403"/>
  <c r="C141" i="2403"/>
  <c r="AP141" i="2403"/>
  <c r="AT141" i="2403"/>
  <c r="AS141" i="2403" s="1"/>
  <c r="CP16" i="2420" s="1"/>
  <c r="CQ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P19" i="2420" s="1"/>
  <c r="CQ19" i="2420" s="1"/>
  <c r="AD144" i="2403"/>
  <c r="C144" i="2403"/>
  <c r="H144" i="2403"/>
  <c r="P144" i="2403"/>
  <c r="V144" i="2403"/>
  <c r="G144" i="2403"/>
  <c r="AC144" i="2403"/>
  <c r="AQ144" i="2403"/>
  <c r="CU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CU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AB216" i="2403"/>
  <c r="AO216" i="2403"/>
  <c r="T41" i="2403"/>
  <c r="N41" i="2403"/>
  <c r="AO41" i="2403"/>
  <c r="C41" i="2403"/>
  <c r="K41" i="2403"/>
  <c r="L41" i="2403" s="1"/>
  <c r="V41" i="2403"/>
  <c r="O41" i="2403"/>
  <c r="D41" i="2403"/>
  <c r="Y41" i="2403"/>
  <c r="AR41" i="2403"/>
  <c r="G41" i="2403"/>
  <c r="AA41" i="2403"/>
  <c r="M41" i="2403"/>
  <c r="AD41" i="2403"/>
  <c r="AT41" i="2403"/>
  <c r="AS41" i="2403" s="1"/>
  <c r="BH17" i="2420" s="1"/>
  <c r="U41" i="2403"/>
  <c r="AP41" i="2403"/>
  <c r="AF41" i="2403"/>
  <c r="AM41" i="2403"/>
  <c r="P41" i="2403"/>
  <c r="R41" i="2403"/>
  <c r="S41" i="2403"/>
  <c r="AH41" i="2403"/>
  <c r="E41" i="2403"/>
  <c r="AL41" i="2403"/>
  <c r="AG41" i="2403"/>
  <c r="AE41" i="2403"/>
  <c r="Z41" i="2403"/>
  <c r="H41" i="2403"/>
  <c r="AN41" i="2403"/>
  <c r="AU41" i="2403"/>
  <c r="AC41" i="2403"/>
  <c r="W41" i="2403"/>
  <c r="Q41" i="2403"/>
  <c r="AI41" i="2403"/>
  <c r="AQ41" i="2403"/>
  <c r="AB41" i="2403"/>
  <c r="J41" i="2403"/>
  <c r="AK41" i="2403"/>
  <c r="X41" i="2403"/>
  <c r="AJ41" i="2403" s="1"/>
  <c r="AT213" i="2403"/>
  <c r="D213" i="2403"/>
  <c r="Q213" i="2403"/>
  <c r="Z213" i="2403"/>
  <c r="C213" i="2403"/>
  <c r="AI213" i="2403"/>
  <c r="I213" i="2403"/>
  <c r="E213" i="2403"/>
  <c r="AD213" i="2403"/>
  <c r="AH213" i="2403"/>
  <c r="X213" i="2403"/>
  <c r="AJ213" i="2403" s="1"/>
  <c r="J213" i="2403"/>
  <c r="AK213" i="2403"/>
  <c r="AQ213" i="2403"/>
  <c r="CU88" i="2420" s="1"/>
  <c r="AC213" i="2403"/>
  <c r="AE213" i="2403"/>
  <c r="R213" i="2403"/>
  <c r="O213" i="2403"/>
  <c r="S213" i="2403"/>
  <c r="Y213" i="2403"/>
  <c r="K213" i="2403"/>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Y210" i="2403"/>
  <c r="S210" i="2403"/>
  <c r="AK210" i="2403"/>
  <c r="AN210" i="2403"/>
  <c r="AQ210" i="2403"/>
  <c r="CU85" i="2420" s="1"/>
  <c r="X210" i="2403"/>
  <c r="AJ210" i="2403" s="1"/>
  <c r="AP210" i="2403"/>
  <c r="AD210" i="2403"/>
  <c r="AG210" i="2403"/>
  <c r="I210" i="2403"/>
  <c r="V210" i="2403"/>
  <c r="AE210" i="2403"/>
  <c r="O210" i="2403"/>
  <c r="AC210" i="2403"/>
  <c r="G210" i="2403"/>
  <c r="R210" i="2403"/>
  <c r="W148" i="2403"/>
  <c r="R148" i="2403"/>
  <c r="AP148" i="2403"/>
  <c r="AQ148" i="2403"/>
  <c r="CU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P23" i="2420" s="1"/>
  <c r="CQ23" i="2420" s="1"/>
  <c r="M148" i="2403"/>
  <c r="O148" i="2403"/>
  <c r="AL148" i="2403"/>
  <c r="H148" i="2403"/>
  <c r="AE148" i="2403"/>
  <c r="AD148" i="2403"/>
  <c r="Q148" i="2403"/>
  <c r="Z148" i="2403"/>
  <c r="AO148" i="2403"/>
  <c r="G148" i="2403"/>
  <c r="K148" i="2403"/>
  <c r="L148" i="2403" s="1"/>
  <c r="N148" i="2403"/>
  <c r="AK148" i="2403"/>
  <c r="H104" i="2403"/>
  <c r="V104" i="2403"/>
  <c r="K104" i="2403"/>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H20" i="2420" s="1"/>
  <c r="AE44" i="2403"/>
  <c r="AU44" i="2403"/>
  <c r="AP44" i="2403"/>
  <c r="W44" i="2403"/>
  <c r="E44" i="2403"/>
  <c r="AH44" i="2403"/>
  <c r="D44" i="2403"/>
  <c r="AR44" i="2403"/>
  <c r="AA44" i="2403"/>
  <c r="U44" i="2403"/>
  <c r="AQ44" i="2403"/>
  <c r="G44" i="2403"/>
  <c r="AM44" i="2403"/>
  <c r="N44" i="2403"/>
  <c r="AI44" i="2403"/>
  <c r="AL44" i="2403"/>
  <c r="O44" i="2403"/>
  <c r="R44" i="2403"/>
  <c r="H44" i="2403"/>
  <c r="AK44" i="2403"/>
  <c r="X44" i="2403"/>
  <c r="AJ44" i="2403" s="1"/>
  <c r="AG65" i="2403"/>
  <c r="Q65" i="2403"/>
  <c r="M65" i="2403"/>
  <c r="T65" i="2403"/>
  <c r="D65" i="2403"/>
  <c r="E65" i="2403"/>
  <c r="G65" i="2403"/>
  <c r="O65" i="2403"/>
  <c r="K65" i="2403"/>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P156" i="2403"/>
  <c r="AC156" i="2403"/>
  <c r="AQ156" i="2403"/>
  <c r="CU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CU8" i="2420" s="1"/>
  <c r="AD133" i="2403"/>
  <c r="T133" i="2403"/>
  <c r="Z133" i="2403"/>
  <c r="U133" i="2403"/>
  <c r="I133" i="2403"/>
  <c r="AA133" i="2403"/>
  <c r="S133" i="2403"/>
  <c r="X133" i="2403"/>
  <c r="AJ133" i="2403" s="1"/>
  <c r="AT133" i="2403"/>
  <c r="AS133" i="2403" s="1"/>
  <c r="CP8" i="2420" s="1"/>
  <c r="CQ8" i="2420" s="1"/>
  <c r="RW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H22" i="2420" s="1"/>
  <c r="AI46" i="2403"/>
  <c r="AH46" i="2403"/>
  <c r="AA197" i="2403"/>
  <c r="U197" i="2403"/>
  <c r="AP197" i="2403"/>
  <c r="AQ197" i="2403"/>
  <c r="CU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W111" i="2403"/>
  <c r="AD111" i="2403"/>
  <c r="AH111" i="2403"/>
  <c r="X111" i="2403"/>
  <c r="AJ111" i="2403" s="1"/>
  <c r="K184" i="2403"/>
  <c r="U184" i="2403"/>
  <c r="AM184" i="2403"/>
  <c r="AG184" i="2403"/>
  <c r="AB184" i="2403"/>
  <c r="AF184" i="2403"/>
  <c r="C184" i="2403"/>
  <c r="S184" i="2403"/>
  <c r="J184" i="2403"/>
  <c r="X184" i="2403"/>
  <c r="AJ184" i="2403" s="1"/>
  <c r="H184" i="2403"/>
  <c r="I184" i="2403"/>
  <c r="AL184" i="2403"/>
  <c r="AO184" i="2403"/>
  <c r="AQ184" i="2403"/>
  <c r="CU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CU92" i="2420" s="1"/>
  <c r="AH217" i="2403"/>
  <c r="U217" i="2403"/>
  <c r="AT217" i="2403"/>
  <c r="AL217" i="2403"/>
  <c r="O217" i="2403"/>
  <c r="V217" i="2403"/>
  <c r="Q217" i="2403"/>
  <c r="AP217" i="2403"/>
  <c r="C217" i="2403"/>
  <c r="Z217" i="2403"/>
  <c r="AD217" i="2403"/>
  <c r="J217" i="2403"/>
  <c r="T217" i="2403"/>
  <c r="R217" i="2403"/>
  <c r="H217" i="2403"/>
  <c r="K217" i="2403"/>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CU93" i="2420" s="1"/>
  <c r="O218" i="2403"/>
  <c r="AH218" i="2403"/>
  <c r="V218" i="2403"/>
  <c r="AM218" i="2403"/>
  <c r="S218" i="2403"/>
  <c r="P218" i="2403"/>
  <c r="AN218" i="2403"/>
  <c r="C218" i="2403"/>
  <c r="G218" i="2403"/>
  <c r="Y218" i="2403"/>
  <c r="U218" i="2403"/>
  <c r="AE218" i="2403"/>
  <c r="D218" i="2403"/>
  <c r="Z218" i="2403"/>
  <c r="J218" i="2403"/>
  <c r="N218" i="2403"/>
  <c r="K218" i="2403"/>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Q192" i="2403"/>
  <c r="Z192" i="2403"/>
  <c r="AD192" i="2403"/>
  <c r="E192" i="2403"/>
  <c r="AO192" i="2403"/>
  <c r="AP192" i="2403"/>
  <c r="AQ192" i="2403"/>
  <c r="CU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CU18" i="2420" s="1"/>
  <c r="D143" i="2403"/>
  <c r="AT143" i="2403"/>
  <c r="AS143" i="2403" s="1"/>
  <c r="CP18" i="2420" s="1"/>
  <c r="CQ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CU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AT45" i="2403"/>
  <c r="AS45" i="2403" s="1"/>
  <c r="BH21" i="2420" s="1"/>
  <c r="O45" i="2403"/>
  <c r="AC45" i="2403"/>
  <c r="C45" i="2403"/>
  <c r="AE45" i="2403"/>
  <c r="E45" i="2403"/>
  <c r="AP45" i="2403"/>
  <c r="R45" i="2403"/>
  <c r="AL45" i="2403"/>
  <c r="S45" i="2403"/>
  <c r="W45" i="2403"/>
  <c r="AU45" i="2403"/>
  <c r="Z45" i="2403"/>
  <c r="V45" i="2403"/>
  <c r="Y45" i="2403"/>
  <c r="N45" i="2403"/>
  <c r="H45" i="2403"/>
  <c r="AN45" i="2403"/>
  <c r="AA45" i="2403"/>
  <c r="J45" i="2403"/>
  <c r="K45" i="2403"/>
  <c r="L45" i="2403" s="1"/>
  <c r="T45" i="2403"/>
  <c r="AH45" i="2403"/>
  <c r="AD45" i="2403"/>
  <c r="M45" i="2403"/>
  <c r="G45" i="2403"/>
  <c r="AI45" i="2403"/>
  <c r="AO45" i="2403"/>
  <c r="P45" i="2403"/>
  <c r="D45" i="2403"/>
  <c r="AQ45" i="2403"/>
  <c r="AB45" i="2403"/>
  <c r="AK45" i="2403"/>
  <c r="Q45" i="2403"/>
  <c r="AR45" i="2403"/>
  <c r="AM45" i="2403"/>
  <c r="AF45" i="2403"/>
  <c r="U45" i="2403"/>
  <c r="AG45" i="2403"/>
  <c r="X45" i="2403"/>
  <c r="AJ45" i="2403" s="1"/>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K167" i="2403"/>
  <c r="AC167" i="2403"/>
  <c r="J167" i="2403"/>
  <c r="Q167" i="2403"/>
  <c r="AE167" i="2403"/>
  <c r="M167" i="2403"/>
  <c r="AP167" i="2403"/>
  <c r="N167" i="2403"/>
  <c r="K167" i="2403"/>
  <c r="I167" i="2403"/>
  <c r="AQ167" i="2403"/>
  <c r="CU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CU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P12" i="2420" s="1"/>
  <c r="CQ12" i="2420" s="1"/>
  <c r="RW21" i="2421" s="1"/>
  <c r="AG137" i="2403"/>
  <c r="AO137" i="2403"/>
  <c r="AF137" i="2403"/>
  <c r="X137" i="2403"/>
  <c r="AJ137" i="2403" s="1"/>
  <c r="G138" i="2403"/>
  <c r="H138" i="2403"/>
  <c r="AI138" i="2403"/>
  <c r="AQ138" i="2403"/>
  <c r="CU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P13" i="2420" s="1"/>
  <c r="CQ13" i="2420" s="1"/>
  <c r="RW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CU100" i="2420" s="1"/>
  <c r="AR225" i="2403"/>
  <c r="U225" i="2403"/>
  <c r="AD225" i="2403"/>
  <c r="E225" i="2403"/>
  <c r="AG225" i="2403"/>
  <c r="I225" i="2403"/>
  <c r="J225" i="2403"/>
  <c r="O225" i="2403"/>
  <c r="AB225" i="2403"/>
  <c r="K225" i="2403"/>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CU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Q181" i="2403"/>
  <c r="O181" i="2403"/>
  <c r="E181" i="2403"/>
  <c r="AC181" i="2403"/>
  <c r="AE181" i="2403"/>
  <c r="AG181" i="2403"/>
  <c r="N181" i="2403"/>
  <c r="X181" i="2403"/>
  <c r="AJ181" i="2403" s="1"/>
  <c r="R181" i="2403"/>
  <c r="J181" i="2403"/>
  <c r="AD181" i="2403"/>
  <c r="T181" i="2403"/>
  <c r="W73" i="2403"/>
  <c r="AG73" i="2403"/>
  <c r="O73" i="2403"/>
  <c r="K73" i="2403"/>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CU79" i="2420" s="1"/>
  <c r="S204" i="2403"/>
  <c r="AK204" i="2403"/>
  <c r="I204" i="2403"/>
  <c r="G204" i="2403"/>
  <c r="AI204" i="2403"/>
  <c r="R204" i="2403"/>
  <c r="AO204" i="2403"/>
  <c r="AH204" i="2403"/>
  <c r="AG204" i="2403"/>
  <c r="AE204" i="2403"/>
  <c r="AN204" i="2403"/>
  <c r="W204" i="2403"/>
  <c r="Z204" i="2403"/>
  <c r="U204" i="2403"/>
  <c r="K204" i="2403"/>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AR32" i="2403"/>
  <c r="AQ32" i="2403"/>
  <c r="Y15" i="2390"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P208" i="2403"/>
  <c r="AB208" i="2403"/>
  <c r="AR208" i="2403"/>
  <c r="G208" i="2403"/>
  <c r="AO208" i="2403"/>
  <c r="AL208" i="2403"/>
  <c r="Z208" i="2403"/>
  <c r="AM208" i="2403"/>
  <c r="D208" i="2403"/>
  <c r="Y208" i="2403"/>
  <c r="AH208" i="2403"/>
  <c r="AQ208" i="2403"/>
  <c r="CU83" i="2420" s="1"/>
  <c r="AN208" i="2403"/>
  <c r="X208" i="2403"/>
  <c r="AJ208" i="2403" s="1"/>
  <c r="AR116" i="2403"/>
  <c r="M116" i="2403"/>
  <c r="AG116" i="2403"/>
  <c r="K116" i="2403"/>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AQ161" i="2403"/>
  <c r="CU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T209" i="2403"/>
  <c r="AG209" i="2403"/>
  <c r="S209" i="2403"/>
  <c r="AO209" i="2403"/>
  <c r="N209" i="2403"/>
  <c r="AR209" i="2403"/>
  <c r="AQ209" i="2403"/>
  <c r="CU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AR76" i="2403"/>
  <c r="N76" i="2403"/>
  <c r="AB76" i="2403"/>
  <c r="AG76" i="2403"/>
  <c r="AH76" i="2403"/>
  <c r="R76" i="2403"/>
  <c r="AO76" i="2403"/>
  <c r="AN76" i="2403"/>
  <c r="AT76" i="2403"/>
  <c r="H76" i="2403"/>
  <c r="AE76" i="2403"/>
  <c r="Y152" i="2403"/>
  <c r="Z152" i="2403"/>
  <c r="K152" i="2403"/>
  <c r="AA152" i="2403"/>
  <c r="AR152" i="2403"/>
  <c r="V152" i="2403"/>
  <c r="P152" i="2403"/>
  <c r="AE152" i="2403"/>
  <c r="E152" i="2403"/>
  <c r="AP152" i="2403"/>
  <c r="C152" i="2403"/>
  <c r="AQ152" i="2403"/>
  <c r="CU27" i="2420" s="1"/>
  <c r="AC152" i="2403"/>
  <c r="S152" i="2403"/>
  <c r="AN152" i="2403"/>
  <c r="O152" i="2403"/>
  <c r="D152" i="2403"/>
  <c r="AT152" i="2403"/>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H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CU63" i="2420" s="1"/>
  <c r="AE188" i="2403"/>
  <c r="I188" i="2403"/>
  <c r="AC188" i="2403"/>
  <c r="Z188" i="2403"/>
  <c r="AO188" i="2403"/>
  <c r="O188" i="2403"/>
  <c r="Y188" i="2403"/>
  <c r="K188" i="2403"/>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CU74" i="2420" s="1"/>
  <c r="T199" i="2403"/>
  <c r="V199" i="2403"/>
  <c r="H199" i="2403"/>
  <c r="O199" i="2403"/>
  <c r="K199" i="2403"/>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P17" i="2420" s="1"/>
  <c r="CQ17" i="2420" s="1"/>
  <c r="C142" i="2403"/>
  <c r="AQ142" i="2403"/>
  <c r="CU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CU86" i="2420" s="1"/>
  <c r="Q211" i="2403"/>
  <c r="AE211" i="2403"/>
  <c r="AD211" i="2403"/>
  <c r="J211" i="2403"/>
  <c r="P211" i="2403"/>
  <c r="AB211" i="2403"/>
  <c r="R151" i="2403"/>
  <c r="Q151" i="2403"/>
  <c r="P151" i="2403"/>
  <c r="AA151" i="2403"/>
  <c r="AL151" i="2403"/>
  <c r="D151" i="2403"/>
  <c r="G151" i="2403"/>
  <c r="AQ151" i="2403"/>
  <c r="CU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P26" i="2420" s="1"/>
  <c r="CQ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CU58" i="2420" s="1"/>
  <c r="I183" i="2403"/>
  <c r="AI183" i="2403"/>
  <c r="AR183" i="2403"/>
  <c r="AN183" i="2403"/>
  <c r="Z183" i="2403"/>
  <c r="AE183" i="2403"/>
  <c r="V183" i="2403"/>
  <c r="AL183" i="2403"/>
  <c r="H183" i="2403"/>
  <c r="AF183" i="2403"/>
  <c r="AB183" i="2403"/>
  <c r="AT183" i="2403"/>
  <c r="AC183" i="2403"/>
  <c r="K183" i="2403"/>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CU7" i="2420" s="1"/>
  <c r="H132" i="2403"/>
  <c r="Z132" i="2403"/>
  <c r="V132" i="2403"/>
  <c r="AI132" i="2403"/>
  <c r="AP132" i="2403"/>
  <c r="AT132" i="2403"/>
  <c r="AS132" i="2403" s="1"/>
  <c r="CP7" i="2420" s="1"/>
  <c r="X132" i="2403"/>
  <c r="AJ132" i="2403" s="1"/>
  <c r="AK132" i="2403"/>
  <c r="O74" i="2403"/>
  <c r="U74" i="2403"/>
  <c r="J74" i="2403"/>
  <c r="AG74" i="2403"/>
  <c r="K74" i="2403"/>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P32" i="2420" s="1"/>
  <c r="CQ32" i="2420" s="1"/>
  <c r="U157" i="2403"/>
  <c r="AN157" i="2403"/>
  <c r="AH157" i="2403"/>
  <c r="E157" i="2403"/>
  <c r="AI157" i="2403"/>
  <c r="Q157" i="2403"/>
  <c r="Y157" i="2403"/>
  <c r="AO157" i="2403"/>
  <c r="AF157" i="2403"/>
  <c r="J157" i="2403"/>
  <c r="H157" i="2403"/>
  <c r="M157" i="2403"/>
  <c r="AE157" i="2403"/>
  <c r="AQ157" i="2403"/>
  <c r="CU32" i="2420" s="1"/>
  <c r="O157" i="2403"/>
  <c r="AA157" i="2403"/>
  <c r="T157" i="2403"/>
  <c r="AG157" i="2403"/>
  <c r="Z157" i="2403"/>
  <c r="I157" i="2403"/>
  <c r="X157" i="2403"/>
  <c r="AJ157" i="2403" s="1"/>
  <c r="Z179" i="2403"/>
  <c r="K179" i="2403"/>
  <c r="AH179" i="2403"/>
  <c r="AM179" i="2403"/>
  <c r="T179" i="2403"/>
  <c r="AG179" i="2403"/>
  <c r="G179" i="2403"/>
  <c r="AD179" i="2403"/>
  <c r="M179" i="2403"/>
  <c r="AN179" i="2403"/>
  <c r="P179" i="2403"/>
  <c r="AQ179" i="2403"/>
  <c r="CU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G176" i="2403"/>
  <c r="Z176" i="2403"/>
  <c r="AN176" i="2403"/>
  <c r="I176" i="2403"/>
  <c r="AL176" i="2403"/>
  <c r="U176" i="2403"/>
  <c r="D176" i="2403"/>
  <c r="AG176" i="2403"/>
  <c r="N176" i="2403"/>
  <c r="R176" i="2403"/>
  <c r="AR176" i="2403"/>
  <c r="AE176" i="2403"/>
  <c r="P176" i="2403"/>
  <c r="C176" i="2403"/>
  <c r="AQ176" i="2403"/>
  <c r="CU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V178" i="2403"/>
  <c r="S178" i="2403"/>
  <c r="AI178" i="2403"/>
  <c r="P178" i="2403"/>
  <c r="AP178" i="2403"/>
  <c r="AQ178" i="2403"/>
  <c r="CU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G122" i="2403"/>
  <c r="T122" i="2403"/>
  <c r="P122" i="2403"/>
  <c r="AT122" i="2403"/>
  <c r="AE80" i="2403"/>
  <c r="AK80" i="2403"/>
  <c r="AD80" i="2403"/>
  <c r="K80" i="2403"/>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CU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T89" i="2403"/>
  <c r="W89" i="2403"/>
  <c r="AM89" i="2403"/>
  <c r="Z89" i="2403"/>
  <c r="AA89" i="2403"/>
  <c r="AG89" i="2403"/>
  <c r="AL89" i="2403"/>
  <c r="AB89" i="2403"/>
  <c r="X89" i="2403"/>
  <c r="AJ89" i="2403" s="1"/>
  <c r="H89" i="2403"/>
  <c r="AO89" i="2403"/>
  <c r="AC89" i="2403"/>
  <c r="AD89" i="2403"/>
  <c r="AR140" i="2403"/>
  <c r="G140" i="2403"/>
  <c r="H140" i="2403" s="1"/>
  <c r="I140" i="2403"/>
  <c r="AQ140" i="2403"/>
  <c r="CU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P28" i="2420" s="1"/>
  <c r="CQ28" i="2420" s="1"/>
  <c r="AO153" i="2403"/>
  <c r="AR153" i="2403"/>
  <c r="AN153" i="2403"/>
  <c r="AM153" i="2403"/>
  <c r="D153" i="2403"/>
  <c r="AQ153" i="2403"/>
  <c r="CU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E212" i="2403"/>
  <c r="T212" i="2403"/>
  <c r="W212" i="2403"/>
  <c r="AT212" i="2403"/>
  <c r="AL212" i="2403"/>
  <c r="AN212" i="2403"/>
  <c r="AK212" i="2403"/>
  <c r="Z212" i="2403"/>
  <c r="H212" i="2403"/>
  <c r="O212" i="2403"/>
  <c r="I212" i="2403"/>
  <c r="AQ212" i="2403"/>
  <c r="CU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CU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X120" i="2403"/>
  <c r="AJ120" i="2403" s="1"/>
  <c r="AQ226" i="2403"/>
  <c r="CU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AA226" i="2403"/>
  <c r="C226" i="2403"/>
  <c r="AE226" i="2403"/>
  <c r="E226" i="2403"/>
  <c r="J226" i="2403"/>
  <c r="AR226" i="2403"/>
  <c r="D226" i="2403"/>
  <c r="Y226" i="2403"/>
  <c r="X226" i="2403"/>
  <c r="AJ226" i="2403" s="1"/>
  <c r="AR134" i="2403"/>
  <c r="I134" i="2403"/>
  <c r="D134" i="2403"/>
  <c r="E134" i="2403" s="1"/>
  <c r="AT134" i="2403" s="1"/>
  <c r="AS134" i="2403" s="1"/>
  <c r="CP9" i="2420" s="1"/>
  <c r="CQ9" i="2420" s="1"/>
  <c r="RW18" i="2421" s="1"/>
  <c r="AQ134" i="2403"/>
  <c r="CU9" i="2420" s="1"/>
  <c r="G134" i="2403"/>
  <c r="H134" i="2403" s="1"/>
  <c r="C134" i="2403"/>
  <c r="X134" i="2403" s="1"/>
  <c r="K134" i="2403"/>
  <c r="L134" i="2403" s="1"/>
  <c r="O154" i="2403"/>
  <c r="U154" i="2403"/>
  <c r="AR154" i="2403"/>
  <c r="AT154" i="2403"/>
  <c r="AS154" i="2403" s="1"/>
  <c r="CP29" i="2420" s="1"/>
  <c r="CQ29" i="2420" s="1"/>
  <c r="AI154" i="2403"/>
  <c r="D154" i="2403"/>
  <c r="M154" i="2403"/>
  <c r="Z154" i="2403"/>
  <c r="G154" i="2403"/>
  <c r="AK154" i="2403"/>
  <c r="AP154" i="2403"/>
  <c r="Y154" i="2403"/>
  <c r="AN154" i="2403"/>
  <c r="I154" i="2403"/>
  <c r="AO154" i="2403"/>
  <c r="P154" i="2403"/>
  <c r="V154" i="2403"/>
  <c r="K154" i="2403"/>
  <c r="L154" i="2403" s="1"/>
  <c r="AQ154" i="2403"/>
  <c r="CU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CU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P21" i="2420" s="1"/>
  <c r="CQ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CU44" i="2420" s="1"/>
  <c r="S169" i="2403"/>
  <c r="V169" i="2403"/>
  <c r="AK169" i="2403"/>
  <c r="C169" i="2403"/>
  <c r="T169" i="2403"/>
  <c r="K169" i="2403"/>
  <c r="J169" i="2403"/>
  <c r="AL169" i="2403"/>
  <c r="AT169" i="2403"/>
  <c r="AR169" i="2403"/>
  <c r="Z169" i="2403"/>
  <c r="Y169" i="2403"/>
  <c r="AN169" i="2403"/>
  <c r="AG169" i="2403"/>
  <c r="AE169" i="2403"/>
  <c r="D169" i="2403"/>
  <c r="O169" i="2403"/>
  <c r="W169" i="2403"/>
  <c r="G169" i="2403"/>
  <c r="E66" i="2403"/>
  <c r="AE66" i="2403"/>
  <c r="AF66" i="2403"/>
  <c r="Q66" i="2403"/>
  <c r="AM66" i="2403"/>
  <c r="O66" i="2403"/>
  <c r="AU66" i="2403"/>
  <c r="AT66" i="2403"/>
  <c r="AK66" i="2403"/>
  <c r="AB66" i="2403"/>
  <c r="S66" i="2403"/>
  <c r="AO66" i="2403"/>
  <c r="Z66" i="2403"/>
  <c r="AR66" i="2403"/>
  <c r="AN66" i="2403"/>
  <c r="H66" i="2403"/>
  <c r="U66" i="2403"/>
  <c r="G66" i="2403"/>
  <c r="AD66" i="2403"/>
  <c r="R66" i="2403"/>
  <c r="AA66" i="2403"/>
  <c r="AI66" i="2403"/>
  <c r="AC66" i="2403"/>
  <c r="W66" i="2403"/>
  <c r="Y66" i="2403"/>
  <c r="T66" i="2403"/>
  <c r="C66" i="2403"/>
  <c r="M66" i="2403"/>
  <c r="N66" i="2403"/>
  <c r="AH66" i="2403"/>
  <c r="V66" i="2403"/>
  <c r="K66" i="2403"/>
  <c r="D66" i="2403"/>
  <c r="J66" i="2403"/>
  <c r="AQ66" i="2403"/>
  <c r="AL66" i="2403"/>
  <c r="AP66" i="2403"/>
  <c r="P66" i="2403"/>
  <c r="AG66" i="2403"/>
  <c r="X66" i="2403"/>
  <c r="AJ66" i="2403" s="1"/>
  <c r="AL214" i="2403"/>
  <c r="J214" i="2403"/>
  <c r="Q214" i="2403"/>
  <c r="AI214" i="2403"/>
  <c r="S214" i="2403"/>
  <c r="I214" i="2403"/>
  <c r="AD214" i="2403"/>
  <c r="AA214" i="2403"/>
  <c r="AP214" i="2403"/>
  <c r="W214" i="2403"/>
  <c r="T214" i="2403"/>
  <c r="C214" i="2403"/>
  <c r="AF214" i="2403"/>
  <c r="AQ214" i="2403"/>
  <c r="CU89" i="2420" s="1"/>
  <c r="Y214" i="2403"/>
  <c r="P214" i="2403"/>
  <c r="AB214" i="2403"/>
  <c r="G214" i="2403"/>
  <c r="U214" i="2403"/>
  <c r="M214" i="2403"/>
  <c r="E214" i="2403"/>
  <c r="O214" i="2403"/>
  <c r="X214" i="2403"/>
  <c r="AJ214" i="2403" s="1"/>
  <c r="D214" i="2403"/>
  <c r="AM214" i="2403"/>
  <c r="AR214" i="2403"/>
  <c r="AC214" i="2403"/>
  <c r="AK214" i="2403"/>
  <c r="R214" i="2403"/>
  <c r="K214" i="2403"/>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CU45" i="2420" s="1"/>
  <c r="T170" i="2403"/>
  <c r="V170" i="2403"/>
  <c r="AP170" i="2403"/>
  <c r="AB170" i="2403"/>
  <c r="AF170" i="2403"/>
  <c r="AG170" i="2403"/>
  <c r="C170" i="2403"/>
  <c r="K170" i="2403"/>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P84" i="2403"/>
  <c r="X84" i="2403"/>
  <c r="AJ84" i="2403" s="1"/>
  <c r="R84" i="2403"/>
  <c r="AK84" i="2403"/>
  <c r="U84" i="2403"/>
  <c r="M84" i="2403"/>
  <c r="AQ84" i="2403"/>
  <c r="E177" i="2403"/>
  <c r="AD177" i="2403"/>
  <c r="P177" i="2403"/>
  <c r="N177" i="2403"/>
  <c r="C177" i="2403"/>
  <c r="AB177" i="2403"/>
  <c r="AQ177" i="2403"/>
  <c r="CU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Q177" i="2403"/>
  <c r="H177" i="2403"/>
  <c r="O115" i="2403"/>
  <c r="D115" i="2403"/>
  <c r="Z115" i="2403"/>
  <c r="AL115" i="2403"/>
  <c r="V115" i="2403"/>
  <c r="N115" i="2403"/>
  <c r="M115" i="2403"/>
  <c r="S115" i="2403"/>
  <c r="AN115" i="2403"/>
  <c r="K115" i="2403"/>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CU39" i="2420" s="1"/>
  <c r="P164" i="2403"/>
  <c r="AA164" i="2403"/>
  <c r="AL164" i="2403"/>
  <c r="D164" i="2403"/>
  <c r="S164" i="2403"/>
  <c r="AM164" i="2403"/>
  <c r="AE164" i="2403"/>
  <c r="Y164" i="2403"/>
  <c r="AH164" i="2403"/>
  <c r="AK164" i="2403"/>
  <c r="K164" i="2403"/>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P11" i="2420" s="1"/>
  <c r="CQ11" i="2420" s="1"/>
  <c r="RW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CU11" i="2420" s="1"/>
  <c r="P136" i="2403"/>
  <c r="X136" i="2403"/>
  <c r="AJ136" i="2403" s="1"/>
  <c r="AN42" i="2403"/>
  <c r="Q42" i="2403"/>
  <c r="W42" i="2403"/>
  <c r="AM42" i="2403"/>
  <c r="U42" i="2403"/>
  <c r="AB42" i="2403"/>
  <c r="T42" i="2403"/>
  <c r="AF42" i="2403"/>
  <c r="AE42" i="2403"/>
  <c r="AH42" i="2403"/>
  <c r="O42" i="2403"/>
  <c r="D42" i="2403"/>
  <c r="AT42" i="2403"/>
  <c r="AS42" i="2403" s="1"/>
  <c r="BH18" i="2420" s="1"/>
  <c r="AK42" i="2403"/>
  <c r="V42" i="2403"/>
  <c r="AL42" i="2403"/>
  <c r="K42" i="2403"/>
  <c r="L42" i="2403" s="1"/>
  <c r="P42" i="2403"/>
  <c r="AC42" i="2403"/>
  <c r="Z42" i="2403"/>
  <c r="H42" i="2403"/>
  <c r="AD42" i="2403"/>
  <c r="AR42" i="2403"/>
  <c r="M42" i="2403"/>
  <c r="AA42" i="2403"/>
  <c r="AU42" i="2403"/>
  <c r="AO42" i="2403"/>
  <c r="E42" i="2403"/>
  <c r="AQ42" i="2403"/>
  <c r="J42" i="2403"/>
  <c r="G42" i="2403"/>
  <c r="C42" i="2403"/>
  <c r="AG42" i="2403"/>
  <c r="N42" i="2403"/>
  <c r="AP42" i="2403"/>
  <c r="S42" i="2403"/>
  <c r="Y42" i="2403"/>
  <c r="R42" i="2403"/>
  <c r="AI42" i="2403"/>
  <c r="X42" i="2403"/>
  <c r="AJ42" i="2403" s="1"/>
  <c r="AQ174" i="2403"/>
  <c r="CU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P20" i="2420" s="1"/>
  <c r="CQ20" i="2420" s="1"/>
  <c r="AL145" i="2403"/>
  <c r="AG145" i="2403"/>
  <c r="O145" i="2403"/>
  <c r="AQ145" i="2403"/>
  <c r="CU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E228" i="2403"/>
  <c r="Q228" i="2403"/>
  <c r="AH228" i="2403"/>
  <c r="AM228" i="2403"/>
  <c r="AL228" i="2403"/>
  <c r="P228" i="2403"/>
  <c r="AQ228" i="2403"/>
  <c r="CU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AR31" i="2403"/>
  <c r="AQ31" i="2403"/>
  <c r="Y14" i="2390"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AT131" i="2403" s="1"/>
  <c r="AS131" i="2403" s="1"/>
  <c r="CP6" i="2420" s="1"/>
  <c r="I131" i="2403"/>
  <c r="AR131" i="2403"/>
  <c r="AQ131" i="2403"/>
  <c r="CU6" i="2420" s="1"/>
  <c r="S158" i="2403"/>
  <c r="M158" i="2403"/>
  <c r="K158" i="2403"/>
  <c r="V158" i="2403"/>
  <c r="G158" i="2403"/>
  <c r="U158" i="2403"/>
  <c r="AN158" i="2403"/>
  <c r="AI158" i="2403"/>
  <c r="H158" i="2403"/>
  <c r="I158" i="2403"/>
  <c r="R158" i="2403"/>
  <c r="Q158" i="2403"/>
  <c r="AG158" i="2403"/>
  <c r="AE158" i="2403"/>
  <c r="AA158" i="2403"/>
  <c r="AF158" i="2403"/>
  <c r="P158" i="2403"/>
  <c r="AQ158" i="2403"/>
  <c r="CU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CU64" i="2420" s="1"/>
  <c r="AE189" i="2403"/>
  <c r="AL189" i="2403"/>
  <c r="Y189" i="2403"/>
  <c r="AT189" i="2403"/>
  <c r="Q189" i="2403"/>
  <c r="AR189" i="2403"/>
  <c r="X189" i="2403"/>
  <c r="AJ189" i="2403" s="1"/>
  <c r="AR107" i="2403"/>
  <c r="Q107" i="2403"/>
  <c r="AI107" i="2403"/>
  <c r="Z107" i="2403"/>
  <c r="K107" i="2403"/>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AL185" i="2403"/>
  <c r="S185" i="2403"/>
  <c r="R185" i="2403"/>
  <c r="Y185" i="2403"/>
  <c r="Z185" i="2403"/>
  <c r="AQ185" i="2403"/>
  <c r="CU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AH43" i="2403"/>
  <c r="Y43" i="2403"/>
  <c r="V43" i="2403"/>
  <c r="AB43" i="2403"/>
  <c r="AD43" i="2403"/>
  <c r="D43" i="2403"/>
  <c r="M43" i="2403"/>
  <c r="J43" i="2403"/>
  <c r="X43" i="2403"/>
  <c r="AJ43" i="2403" s="1"/>
  <c r="H43" i="2403"/>
  <c r="AC43" i="2403"/>
  <c r="AE43" i="2403"/>
  <c r="O43" i="2403"/>
  <c r="AG43" i="2403"/>
  <c r="AF43" i="2403"/>
  <c r="AT43" i="2403"/>
  <c r="AS43" i="2403" s="1"/>
  <c r="BH19" i="2420" s="1"/>
  <c r="W43" i="2403"/>
  <c r="AK43" i="2403"/>
  <c r="AA43" i="2403"/>
  <c r="AU43" i="2403"/>
  <c r="T43" i="2403"/>
  <c r="U43" i="2403"/>
  <c r="P43" i="2403"/>
  <c r="Z43" i="2403"/>
  <c r="AP43" i="2403"/>
  <c r="C43" i="2403"/>
  <c r="AM43" i="2403"/>
  <c r="R43" i="2403"/>
  <c r="N43" i="2403"/>
  <c r="AI43" i="2403"/>
  <c r="AL43" i="2403"/>
  <c r="S43" i="2403"/>
  <c r="AR43" i="2403"/>
  <c r="AO43" i="2403"/>
  <c r="Q43" i="2403"/>
  <c r="K43" i="2403"/>
  <c r="L43" i="2403" s="1"/>
  <c r="G43" i="2403"/>
  <c r="E43" i="2403"/>
  <c r="AN43" i="2403"/>
  <c r="AP98" i="2403"/>
  <c r="W98" i="2403"/>
  <c r="AU98" i="2403"/>
  <c r="AM98" i="2403"/>
  <c r="AT98" i="2403"/>
  <c r="X98" i="2403"/>
  <c r="AJ98" i="2403" s="1"/>
  <c r="K98" i="2403"/>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AN201" i="2403"/>
  <c r="AC201" i="2403"/>
  <c r="C201" i="2403"/>
  <c r="S201" i="2403"/>
  <c r="I201" i="2403"/>
  <c r="W201" i="2403"/>
  <c r="E201" i="2403"/>
  <c r="AH201" i="2403"/>
  <c r="R201" i="2403"/>
  <c r="AQ201" i="2403"/>
  <c r="CU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CU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R171" i="2403"/>
  <c r="AE171" i="2403"/>
  <c r="AF171" i="2403"/>
  <c r="AT171" i="2403"/>
  <c r="AQ171" i="2403"/>
  <c r="CU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CU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CU40" i="2420" s="1"/>
  <c r="AD165" i="2403"/>
  <c r="P165" i="2403"/>
  <c r="AT165" i="2403"/>
  <c r="K165" i="2403"/>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V162" i="2403"/>
  <c r="N162" i="2403"/>
  <c r="R162" i="2403"/>
  <c r="S162" i="2403"/>
  <c r="AN162" i="2403"/>
  <c r="G162" i="2403"/>
  <c r="M162" i="2403"/>
  <c r="O162" i="2403"/>
  <c r="H162" i="2403"/>
  <c r="AL162" i="2403"/>
  <c r="AE162" i="2403"/>
  <c r="E162" i="2403"/>
  <c r="AK162" i="2403"/>
  <c r="AQ162" i="2403"/>
  <c r="CU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CU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CU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AO108" i="2403"/>
  <c r="AR108" i="2403"/>
  <c r="X108" i="2403"/>
  <c r="AJ108" i="2403" s="1"/>
  <c r="AB193" i="2403"/>
  <c r="AO193" i="2403"/>
  <c r="J193" i="2403"/>
  <c r="C193" i="2403"/>
  <c r="W193" i="2403"/>
  <c r="AP193" i="2403"/>
  <c r="AM193" i="2403"/>
  <c r="K193" i="2403"/>
  <c r="S193" i="2403"/>
  <c r="O193" i="2403"/>
  <c r="AQ193" i="2403"/>
  <c r="CU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CU22" i="2420" s="1"/>
  <c r="C147" i="2403"/>
  <c r="AR147" i="2403"/>
  <c r="AK147" i="2403"/>
  <c r="AA147" i="2403"/>
  <c r="X147" i="2403"/>
  <c r="AJ147" i="2403" s="1"/>
  <c r="W147" i="2403"/>
  <c r="AC147" i="2403"/>
  <c r="AD147" i="2403"/>
  <c r="AB147" i="2403"/>
  <c r="Y147" i="2403"/>
  <c r="AE147" i="2403"/>
  <c r="R147" i="2403"/>
  <c r="AM147" i="2403"/>
  <c r="M147" i="2403"/>
  <c r="AT147" i="2403"/>
  <c r="AS147" i="2403" s="1"/>
  <c r="CP22" i="2420" s="1"/>
  <c r="CQ22" i="2420" s="1"/>
  <c r="M68" i="2403"/>
  <c r="AP68" i="2403"/>
  <c r="W68" i="2403"/>
  <c r="AC68" i="2403"/>
  <c r="E68" i="2403"/>
  <c r="T68" i="2403"/>
  <c r="V68" i="2403"/>
  <c r="R68" i="2403"/>
  <c r="C68" i="2403"/>
  <c r="Z68" i="2403"/>
  <c r="AR68" i="2403"/>
  <c r="AA68" i="2403"/>
  <c r="AD68" i="2403"/>
  <c r="K68" i="2403"/>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C51" i="2403"/>
  <c r="R51" i="2403"/>
  <c r="AU51" i="2403"/>
  <c r="U51" i="2403"/>
  <c r="AB51" i="2403"/>
  <c r="AO51" i="2403"/>
  <c r="O51" i="2403"/>
  <c r="E51" i="2403"/>
  <c r="C51" i="2403"/>
  <c r="Z51" i="2403"/>
  <c r="AL51" i="2403"/>
  <c r="AR51" i="2403"/>
  <c r="AK51" i="2403"/>
  <c r="AM51" i="2403"/>
  <c r="K51" i="2403"/>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CU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T40" i="2403"/>
  <c r="O40" i="2403"/>
  <c r="AD40" i="2403"/>
  <c r="D40" i="2403"/>
  <c r="AM40" i="2403"/>
  <c r="AU40" i="2403"/>
  <c r="AP40" i="2403"/>
  <c r="AL40" i="2403"/>
  <c r="AK40" i="2403"/>
  <c r="E40" i="2403"/>
  <c r="C40" i="2403"/>
  <c r="Y40" i="2403"/>
  <c r="AI40" i="2403"/>
  <c r="AH40" i="2403"/>
  <c r="AB40" i="2403"/>
  <c r="Z40" i="2403"/>
  <c r="AN40" i="2403"/>
  <c r="AT40" i="2403"/>
  <c r="AS40" i="2403" s="1"/>
  <c r="BH16" i="2420" s="1"/>
  <c r="AA40" i="2403"/>
  <c r="AC40" i="2403"/>
  <c r="X40" i="2403"/>
  <c r="AJ40" i="2403" s="1"/>
  <c r="AK220" i="2403"/>
  <c r="AH220" i="2403"/>
  <c r="O220" i="2403"/>
  <c r="J220" i="2403"/>
  <c r="V220" i="2403"/>
  <c r="AG220" i="2403"/>
  <c r="C220" i="2403"/>
  <c r="N220" i="2403"/>
  <c r="AQ220" i="2403"/>
  <c r="CU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AB221" i="2403"/>
  <c r="AH221" i="2403"/>
  <c r="AP221" i="2403"/>
  <c r="H221" i="2403"/>
  <c r="G221" i="2403"/>
  <c r="AT221" i="2403"/>
  <c r="D221" i="2403"/>
  <c r="M221" i="2403"/>
  <c r="T221" i="2403"/>
  <c r="AL221" i="2403"/>
  <c r="C221" i="2403"/>
  <c r="AR221" i="2403"/>
  <c r="R221" i="2403"/>
  <c r="AC221" i="2403"/>
  <c r="Z221" i="2403"/>
  <c r="K221" i="2403"/>
  <c r="AQ221" i="2403"/>
  <c r="CU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AI58" i="2403"/>
  <c r="N58" i="2403"/>
  <c r="Q58" i="2403"/>
  <c r="P58" i="2403"/>
  <c r="AC58" i="2403"/>
  <c r="AO58" i="2403"/>
  <c r="AL58" i="2403"/>
  <c r="D58" i="2403"/>
  <c r="K58" i="2403"/>
  <c r="AN58" i="2403"/>
  <c r="T58" i="2403"/>
  <c r="AG58" i="2403"/>
  <c r="AU58" i="2403"/>
  <c r="V58" i="2403"/>
  <c r="AF58" i="2403"/>
  <c r="J58" i="2403"/>
  <c r="Y58" i="2403"/>
  <c r="AB58" i="2403"/>
  <c r="AQ58" i="2403"/>
  <c r="R58" i="2403"/>
  <c r="E58" i="2403"/>
  <c r="U58" i="2403"/>
  <c r="AT58" i="2403"/>
  <c r="Z58" i="2403"/>
  <c r="AM58" i="2403"/>
  <c r="AH58" i="2403"/>
  <c r="AA58" i="2403"/>
  <c r="AR58" i="2403"/>
  <c r="H58" i="2403"/>
  <c r="AP58" i="2403"/>
  <c r="AE58" i="2403"/>
  <c r="M58" i="2403"/>
  <c r="W58" i="2403"/>
  <c r="S58" i="2403"/>
  <c r="AD58" i="2403"/>
  <c r="AK58" i="2403"/>
  <c r="G58" i="2403"/>
  <c r="O58" i="2403"/>
  <c r="X58" i="2403"/>
  <c r="A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CU30" i="2420" s="1"/>
  <c r="AP155" i="2403"/>
  <c r="AT155" i="2403"/>
  <c r="AS155" i="2403" s="1"/>
  <c r="CP30" i="2420" s="1"/>
  <c r="CQ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CU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CU102" i="2420" s="1"/>
  <c r="T227" i="2403"/>
  <c r="AB227" i="2403"/>
  <c r="W227" i="2403"/>
  <c r="J227" i="2403"/>
  <c r="AN227" i="2403"/>
  <c r="AF227" i="2403"/>
  <c r="I227" i="2403"/>
  <c r="U227" i="2403"/>
  <c r="AE227" i="2403"/>
  <c r="AP227" i="2403"/>
  <c r="V227" i="2403"/>
  <c r="G227" i="2403"/>
  <c r="AK227" i="2403"/>
  <c r="Q227" i="2403"/>
  <c r="N227" i="2403"/>
  <c r="P227" i="2403"/>
  <c r="K227" i="2403"/>
  <c r="AD227" i="2403"/>
  <c r="X227" i="2403"/>
  <c r="AJ227" i="2403" s="1"/>
  <c r="Z227" i="2403"/>
  <c r="M227" i="2403"/>
  <c r="AA227" i="2403"/>
  <c r="AT227" i="2403"/>
  <c r="AC227" i="2403"/>
  <c r="N110" i="2403"/>
  <c r="S110" i="2403"/>
  <c r="AD110" i="2403"/>
  <c r="K110" i="2403"/>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CU78" i="2420" s="1"/>
  <c r="AG203" i="2403"/>
  <c r="S203" i="2403"/>
  <c r="AH203" i="2403"/>
  <c r="AB203" i="2403"/>
  <c r="N203" i="2403"/>
  <c r="AM203" i="2403"/>
  <c r="H203" i="2403"/>
  <c r="AR203" i="2403"/>
  <c r="AT203" i="2403"/>
  <c r="T203" i="2403"/>
  <c r="AD203" i="2403"/>
  <c r="Z203" i="2403"/>
  <c r="I203" i="2403"/>
  <c r="D203" i="2403"/>
  <c r="O203" i="2403"/>
  <c r="E203" i="2403"/>
  <c r="K203" i="2403"/>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CU57" i="2420" s="1"/>
  <c r="H182" i="2403"/>
  <c r="AA182" i="2403"/>
  <c r="S182" i="2403"/>
  <c r="AO182" i="2403"/>
  <c r="M182" i="2403"/>
  <c r="D182" i="2403"/>
  <c r="AM182" i="2403"/>
  <c r="O182" i="2403"/>
  <c r="AK182" i="2403"/>
  <c r="AE182" i="2403"/>
  <c r="AL182" i="2403"/>
  <c r="C182" i="2403"/>
  <c r="X182" i="2403"/>
  <c r="AJ182" i="2403" s="1"/>
  <c r="K182" i="2403"/>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AQ166" i="2403"/>
  <c r="CU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AQ88" i="2403"/>
  <c r="AG88" i="2403"/>
  <c r="AF88" i="2403"/>
  <c r="P88" i="2403"/>
  <c r="H88" i="2403"/>
  <c r="V88" i="2403"/>
  <c r="AO88" i="2403"/>
  <c r="AR88" i="2403"/>
  <c r="U88" i="2403"/>
  <c r="S88" i="2403"/>
  <c r="AI88" i="2403"/>
  <c r="AK88" i="2403"/>
  <c r="M88" i="2403"/>
  <c r="AH88" i="2403"/>
  <c r="Y88" i="2403"/>
  <c r="E88" i="2403"/>
  <c r="Q88" i="2403"/>
  <c r="X88" i="2403"/>
  <c r="AJ88" i="2403" s="1"/>
  <c r="Z124" i="2403"/>
  <c r="AL124" i="2403"/>
  <c r="AE124" i="2403"/>
  <c r="AG124" i="2403"/>
  <c r="AT124" i="2403"/>
  <c r="R124" i="2403"/>
  <c r="G124" i="2403"/>
  <c r="H124" i="2403"/>
  <c r="AQ124" i="2403"/>
  <c r="AO124" i="2403"/>
  <c r="T124" i="2403"/>
  <c r="AN124" i="2403"/>
  <c r="Q124" i="2403"/>
  <c r="AH124" i="2403"/>
  <c r="J124" i="2403"/>
  <c r="K124" i="2403"/>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CU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H194" i="2403"/>
  <c r="AN194" i="2403"/>
  <c r="AH194" i="2403"/>
  <c r="T194" i="2403"/>
  <c r="Z194" i="2403"/>
  <c r="AI194" i="2403"/>
  <c r="X194" i="2403"/>
  <c r="AJ194" i="2403" s="1"/>
  <c r="X39" i="2403" l="1"/>
  <c r="AJ39" i="2403" s="1"/>
  <c r="AK39" i="2403" s="1"/>
  <c r="AK140" i="2403"/>
  <c r="M140" i="2403"/>
  <c r="N140" i="2403" s="1"/>
  <c r="J140" i="2403"/>
  <c r="Y140" i="2403"/>
  <c r="R39" i="2403"/>
  <c r="N39" i="2403"/>
  <c r="BH14" i="2420"/>
  <c r="BI14" i="2420" s="1"/>
  <c r="BJ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Q10" i="2420"/>
  <c r="RW19" i="2421" s="1"/>
  <c r="Y135" i="2403"/>
  <c r="AJ134" i="2403"/>
  <c r="AK134" i="2403" s="1"/>
  <c r="Y134" i="2403"/>
  <c r="M134" i="2403"/>
  <c r="X34" i="2403"/>
  <c r="AJ34" i="2403" s="1"/>
  <c r="AK47" i="2403"/>
  <c r="M47" i="2403"/>
  <c r="R47" i="2403" s="1"/>
  <c r="T47" i="2403" s="1"/>
  <c r="S25" i="2390"/>
  <c r="BI18" i="2420"/>
  <c r="BJ18" i="2420" s="1"/>
  <c r="BM18" i="2420"/>
  <c r="RV27" i="2421" s="1"/>
  <c r="RW29" i="2421"/>
  <c r="CR20" i="2420"/>
  <c r="Y47" i="2403"/>
  <c r="RW25" i="2421"/>
  <c r="CR16" i="2420"/>
  <c r="S23" i="2390"/>
  <c r="BI16" i="2420"/>
  <c r="BJ16" i="2420" s="1"/>
  <c r="BM16" i="2420"/>
  <c r="RV25" i="2421" s="1"/>
  <c r="I24" i="2413" s="1"/>
  <c r="S26" i="2390"/>
  <c r="BI19" i="2420"/>
  <c r="BJ19" i="2420" s="1"/>
  <c r="BM19" i="2420"/>
  <c r="RV28" i="2421" s="1"/>
  <c r="RW26" i="2421"/>
  <c r="CR17" i="2420"/>
  <c r="RW28" i="2421"/>
  <c r="CR19" i="2420"/>
  <c r="S24" i="2390"/>
  <c r="BI17" i="2420"/>
  <c r="BJ17" i="2420" s="1"/>
  <c r="BM17" i="2420"/>
  <c r="RV26" i="2421" s="1"/>
  <c r="RW35" i="2421"/>
  <c r="CR26" i="2420"/>
  <c r="S27" i="2390"/>
  <c r="BI20" i="2420"/>
  <c r="BJ20" i="2420" s="1"/>
  <c r="BM20" i="2420"/>
  <c r="RV29" i="2421" s="1"/>
  <c r="RW32" i="2421"/>
  <c r="CR23" i="2420"/>
  <c r="RW27" i="2421"/>
  <c r="CR18" i="2420"/>
  <c r="S29" i="2390"/>
  <c r="BI22" i="2420"/>
  <c r="BJ22" i="2420" s="1"/>
  <c r="BM22" i="2420"/>
  <c r="RV31" i="2421" s="1"/>
  <c r="S33" i="2390"/>
  <c r="BI26" i="2420"/>
  <c r="BJ26" i="2420" s="1"/>
  <c r="BM26" i="2420"/>
  <c r="RV35" i="2421" s="1"/>
  <c r="M49" i="2403"/>
  <c r="N49" i="2403" s="1"/>
  <c r="RW23" i="2421"/>
  <c r="CR14" i="2420"/>
  <c r="RW31" i="2421"/>
  <c r="CR22" i="2420"/>
  <c r="AJ49" i="2403"/>
  <c r="AK49" i="2403" s="1"/>
  <c r="Y49" i="2403"/>
  <c r="RW34" i="2421"/>
  <c r="CR25" i="2420"/>
  <c r="RW30" i="2421"/>
  <c r="CR21" i="2420"/>
  <c r="S28" i="2390"/>
  <c r="BI21" i="2420"/>
  <c r="BJ21" i="2420" s="1"/>
  <c r="BM21" i="2420"/>
  <c r="RV30" i="2421" s="1"/>
  <c r="I29" i="2413" s="1"/>
  <c r="AJ131" i="2403"/>
  <c r="AK131" i="2403" s="1"/>
  <c r="Y131" i="2403"/>
  <c r="CQ6" i="2420"/>
  <c r="RW15" i="2421" s="1"/>
  <c r="R131" i="2403"/>
  <c r="AK34" i="2403"/>
  <c r="X32" i="2403"/>
  <c r="AJ32" i="2403" s="1"/>
  <c r="AK32" i="2403" s="1"/>
  <c r="BH32" i="2420"/>
  <c r="S39" i="2390" s="1"/>
  <c r="R56" i="2403"/>
  <c r="RW41" i="2421"/>
  <c r="CR32" i="2420"/>
  <c r="CT32" i="2420" s="1"/>
  <c r="Y56" i="2403"/>
  <c r="N56" i="2403"/>
  <c r="R54" i="2403"/>
  <c r="N54" i="2403"/>
  <c r="BI30" i="2420"/>
  <c r="BJ30" i="2420" s="1"/>
  <c r="BL30" i="2420" s="1"/>
  <c r="BM30" i="2420"/>
  <c r="RV39" i="2421" s="1"/>
  <c r="X54" i="2403"/>
  <c r="M53" i="2403"/>
  <c r="R53" i="2403" s="1"/>
  <c r="RW39" i="2421"/>
  <c r="CR30" i="2420"/>
  <c r="CT30" i="2420" s="1"/>
  <c r="BH29" i="2420"/>
  <c r="S36" i="2390" s="1"/>
  <c r="AJ53" i="2403"/>
  <c r="AK53" i="2403" s="1"/>
  <c r="Y53" i="2403"/>
  <c r="RW38" i="2421"/>
  <c r="CR29" i="2420"/>
  <c r="CT29" i="2420" s="1"/>
  <c r="N53" i="2403"/>
  <c r="AK48" i="2403"/>
  <c r="BH28" i="2420"/>
  <c r="S35" i="2390" s="1"/>
  <c r="AJ52" i="2403"/>
  <c r="AK52" i="2403" s="1"/>
  <c r="Y52" i="2403"/>
  <c r="M48" i="2403"/>
  <c r="R48" i="2403" s="1"/>
  <c r="M52" i="2403"/>
  <c r="RW37" i="2421"/>
  <c r="CR28" i="2420"/>
  <c r="CT28" i="2420" s="1"/>
  <c r="BH24" i="2420"/>
  <c r="S31" i="2390" s="1"/>
  <c r="Y48" i="2403"/>
  <c r="RW33" i="2421"/>
  <c r="CR24" i="2420"/>
  <c r="CT24" i="2420" s="1"/>
  <c r="BH13" i="2420"/>
  <c r="S20" i="2390" s="1"/>
  <c r="R37" i="2403"/>
  <c r="N37" i="2403"/>
  <c r="X37" i="2403"/>
  <c r="CR13" i="2420"/>
  <c r="CT13" i="2420" s="1"/>
  <c r="R36" i="2403"/>
  <c r="N36" i="2403"/>
  <c r="BH12" i="2420"/>
  <c r="S19" i="2390" s="1"/>
  <c r="X36" i="2403"/>
  <c r="CR12" i="2420"/>
  <c r="CT12" i="2420" s="1"/>
  <c r="N34" i="2403"/>
  <c r="R34" i="2403"/>
  <c r="Y34" i="2403"/>
  <c r="BH9" i="2420"/>
  <c r="S16" i="2390" s="1"/>
  <c r="AJ33" i="2403"/>
  <c r="AK33" i="2403" s="1"/>
  <c r="Y33" i="2403"/>
  <c r="M33" i="2403"/>
  <c r="BH8" i="2420"/>
  <c r="S15" i="2390" s="1"/>
  <c r="N32" i="2403"/>
  <c r="R32" i="2403"/>
  <c r="X31" i="2403"/>
  <c r="AJ31" i="2403" s="1"/>
  <c r="AK31" i="2403" s="1"/>
  <c r="N31" i="2403"/>
  <c r="R31" i="2403"/>
  <c r="J130" i="2403"/>
  <c r="R130" i="2403" s="1"/>
  <c r="N130" i="2403"/>
  <c r="X130" i="2403"/>
  <c r="AK35" i="2403"/>
  <c r="M35" i="2403"/>
  <c r="N35" i="2403" s="1"/>
  <c r="BH11" i="2420"/>
  <c r="S18" i="2390" s="1"/>
  <c r="CR11" i="2420"/>
  <c r="CT11" i="2420" s="1"/>
  <c r="Y35" i="2403"/>
  <c r="M29" i="2403"/>
  <c r="N29" i="2403" s="1"/>
  <c r="AJ29" i="2403"/>
  <c r="AK29" i="2403" s="1"/>
  <c r="Y29" i="2403"/>
  <c r="AJ30" i="2403"/>
  <c r="AK30" i="2403" s="1"/>
  <c r="Y30" i="2403"/>
  <c r="M30" i="2403"/>
  <c r="CR9" i="2420"/>
  <c r="CT9" i="2420" s="1"/>
  <c r="E230" i="2403"/>
  <c r="E231" i="2403" s="1"/>
  <c r="L231" i="2403"/>
  <c r="CQ7" i="2420"/>
  <c r="RW16" i="2421" s="1"/>
  <c r="CR8" i="2420"/>
  <c r="CT8" i="2420" s="1"/>
  <c r="Y39" i="2403" l="1"/>
  <c r="R140" i="2403"/>
  <c r="T140" i="2403" s="1"/>
  <c r="S21" i="2390"/>
  <c r="BM14" i="2420"/>
  <c r="RV23" i="2421" s="1"/>
  <c r="I22" i="2413" s="1"/>
  <c r="Z140" i="2403"/>
  <c r="Z39" i="2403"/>
  <c r="T39" i="2403"/>
  <c r="R38" i="2403"/>
  <c r="N38" i="2403"/>
  <c r="Z38" i="2403"/>
  <c r="CR10" i="2420"/>
  <c r="CT10" i="2420" s="1"/>
  <c r="Y32" i="2403"/>
  <c r="Z32" i="2403" s="1"/>
  <c r="Z135" i="2403"/>
  <c r="T135" i="2403"/>
  <c r="R134" i="2403"/>
  <c r="N134" i="2403"/>
  <c r="Z134" i="2403"/>
  <c r="I25" i="2413"/>
  <c r="BL26" i="2420"/>
  <c r="T33" i="2390"/>
  <c r="KG32" i="2422"/>
  <c r="R49" i="2403"/>
  <c r="N47" i="2403"/>
  <c r="I26" i="2413"/>
  <c r="I27" i="2413"/>
  <c r="I28" i="2413"/>
  <c r="CT17" i="2420"/>
  <c r="KH23" i="2422"/>
  <c r="CT16" i="2420"/>
  <c r="KH22" i="2422"/>
  <c r="BL18" i="2420"/>
  <c r="KG24" i="2422"/>
  <c r="CT22" i="2420"/>
  <c r="KH28" i="2422"/>
  <c r="I34" i="2413"/>
  <c r="KH29" i="2422"/>
  <c r="CT23" i="2420"/>
  <c r="BL17" i="2420"/>
  <c r="KG23" i="2422"/>
  <c r="CT18" i="2420"/>
  <c r="KH24" i="2422"/>
  <c r="Z47" i="2403"/>
  <c r="CT14" i="2420"/>
  <c r="N11" i="2405" s="1"/>
  <c r="KH20" i="2422"/>
  <c r="CT19" i="2420"/>
  <c r="KH25" i="2422"/>
  <c r="I30" i="2413"/>
  <c r="BL20" i="2420"/>
  <c r="KG26" i="2422"/>
  <c r="BL19" i="2420"/>
  <c r="KG25" i="2422"/>
  <c r="G26" i="2383" s="1"/>
  <c r="BL22" i="2420"/>
  <c r="KG28" i="2422"/>
  <c r="G29" i="2383" s="1"/>
  <c r="CT20" i="2420"/>
  <c r="KH26" i="2422"/>
  <c r="KG20" i="2422"/>
  <c r="BL14" i="2420"/>
  <c r="CT26" i="2420"/>
  <c r="KH32" i="2422"/>
  <c r="G33" i="2383" s="1"/>
  <c r="KG22" i="2422"/>
  <c r="G23" i="2383" s="1"/>
  <c r="BL16" i="2420"/>
  <c r="CT21" i="2420"/>
  <c r="KH27" i="2422"/>
  <c r="CT25" i="2420"/>
  <c r="KH31" i="2422"/>
  <c r="T49" i="2403"/>
  <c r="BL21" i="2420"/>
  <c r="KG27" i="2422"/>
  <c r="Z49" i="2403"/>
  <c r="CR6" i="2420"/>
  <c r="T131" i="2403"/>
  <c r="Z131" i="2403"/>
  <c r="Y31" i="2403"/>
  <c r="Z31" i="2403" s="1"/>
  <c r="KH38" i="2422"/>
  <c r="T56" i="2403"/>
  <c r="BI32" i="2420"/>
  <c r="BJ32" i="2420" s="1"/>
  <c r="BL32" i="2420" s="1"/>
  <c r="BM32" i="2420"/>
  <c r="RV41" i="2421" s="1"/>
  <c r="Z56" i="2403"/>
  <c r="AJ54" i="2403"/>
  <c r="AK54" i="2403" s="1"/>
  <c r="Y54" i="2403"/>
  <c r="KG36" i="2422"/>
  <c r="KH36" i="2422"/>
  <c r="T54" i="2403"/>
  <c r="Z53" i="2403"/>
  <c r="T53" i="2403"/>
  <c r="KH35" i="2422"/>
  <c r="BI29" i="2420"/>
  <c r="BJ29" i="2420" s="1"/>
  <c r="BL29" i="2420" s="1"/>
  <c r="BM29" i="2420"/>
  <c r="RV38" i="2421" s="1"/>
  <c r="I37" i="2413" s="1"/>
  <c r="N52" i="2403"/>
  <c r="R52" i="2403"/>
  <c r="N48" i="2403"/>
  <c r="Z52" i="2403"/>
  <c r="KH34" i="2422"/>
  <c r="BI28" i="2420"/>
  <c r="BJ28" i="2420" s="1"/>
  <c r="BL28" i="2420" s="1"/>
  <c r="BM28" i="2420"/>
  <c r="RV37" i="2421" s="1"/>
  <c r="Z48" i="2403"/>
  <c r="BI24" i="2420"/>
  <c r="BJ24" i="2420" s="1"/>
  <c r="BM24" i="2420"/>
  <c r="RV33" i="2421" s="1"/>
  <c r="I32" i="2413" s="1"/>
  <c r="KH30" i="2422"/>
  <c r="T48" i="2403"/>
  <c r="L232" i="2403"/>
  <c r="AJ37" i="2403"/>
  <c r="AK37" i="2403" s="1"/>
  <c r="Y37" i="2403"/>
  <c r="T37" i="2403"/>
  <c r="KH19" i="2422"/>
  <c r="BM13" i="2420"/>
  <c r="RV22" i="2421" s="1"/>
  <c r="I21" i="2413" s="1"/>
  <c r="BI13" i="2420"/>
  <c r="AJ36" i="2403"/>
  <c r="AK36" i="2403" s="1"/>
  <c r="Y36" i="2403"/>
  <c r="BM12" i="2420"/>
  <c r="RV21" i="2421" s="1"/>
  <c r="I20" i="2413" s="1"/>
  <c r="BI12" i="2420"/>
  <c r="T36" i="2403"/>
  <c r="KH18" i="2422"/>
  <c r="BM9" i="2420"/>
  <c r="RV18" i="2421" s="1"/>
  <c r="I17" i="2413" s="1"/>
  <c r="BI9" i="2420"/>
  <c r="BJ9" i="2420" s="1"/>
  <c r="Z34" i="2403"/>
  <c r="T34" i="2403"/>
  <c r="N33" i="2403"/>
  <c r="R33" i="2403"/>
  <c r="Z33" i="2403"/>
  <c r="BI8" i="2420"/>
  <c r="BM8" i="2420"/>
  <c r="RV17" i="2421" s="1"/>
  <c r="I16" i="2413" s="1"/>
  <c r="T32" i="2403"/>
  <c r="T31" i="2403"/>
  <c r="AJ130" i="2403"/>
  <c r="AK130" i="2403" s="1"/>
  <c r="Y130" i="2403"/>
  <c r="T130" i="2403"/>
  <c r="R35" i="2403"/>
  <c r="T35" i="2403" s="1"/>
  <c r="KH17" i="2422"/>
  <c r="BM11" i="2420"/>
  <c r="RV20" i="2421" s="1"/>
  <c r="I19" i="2413" s="1"/>
  <c r="BI11" i="2420"/>
  <c r="Z35" i="2403"/>
  <c r="R29" i="2403"/>
  <c r="T29" i="2403" s="1"/>
  <c r="Z29" i="2403"/>
  <c r="R30" i="2403"/>
  <c r="N30" i="2403"/>
  <c r="Z30" i="2403"/>
  <c r="KH15" i="2422"/>
  <c r="KH14" i="2422"/>
  <c r="CR7" i="2420"/>
  <c r="CT7" i="2420" s="1"/>
  <c r="U21" i="2390" l="1"/>
  <c r="V21" i="2390"/>
  <c r="G21" i="2383"/>
  <c r="T38" i="2403"/>
  <c r="KH16" i="2422"/>
  <c r="BL9" i="2420"/>
  <c r="T16" i="2390"/>
  <c r="T134" i="2403"/>
  <c r="G24" i="2383"/>
  <c r="BL24" i="2420"/>
  <c r="T31" i="2390"/>
  <c r="G25" i="2383"/>
  <c r="G28" i="2383"/>
  <c r="G27" i="2383"/>
  <c r="KH12" i="2422"/>
  <c r="CT6" i="2420"/>
  <c r="KG38" i="2422"/>
  <c r="Z54" i="2403"/>
  <c r="KG35" i="2422"/>
  <c r="G36" i="2383" s="1"/>
  <c r="KG34" i="2422"/>
  <c r="T52" i="2403"/>
  <c r="KG30" i="2422"/>
  <c r="G31" i="2383" s="1"/>
  <c r="N231" i="2403"/>
  <c r="O231" i="2403" s="1"/>
  <c r="BJ8" i="2420"/>
  <c r="T15" i="2390" s="1"/>
  <c r="O37" i="2403"/>
  <c r="P37" i="2403" s="1"/>
  <c r="Z37" i="2403"/>
  <c r="BJ13" i="2420"/>
  <c r="BJ12" i="2420"/>
  <c r="Z36" i="2403"/>
  <c r="T33" i="2403"/>
  <c r="O35" i="2403"/>
  <c r="P35" i="2403" s="1"/>
  <c r="Q35" i="2403" s="1"/>
  <c r="Z130" i="2403"/>
  <c r="BJ11" i="2420"/>
  <c r="T30" i="2403"/>
  <c r="KH13" i="2422"/>
  <c r="KG15" i="2422"/>
  <c r="G16" i="2383" s="1"/>
  <c r="O39" i="2403" l="1"/>
  <c r="P39" i="2403" s="1"/>
  <c r="Q39" i="2403" s="1"/>
  <c r="O140" i="2403"/>
  <c r="P140" i="2403" s="1"/>
  <c r="O135" i="2403"/>
  <c r="P135" i="2403" s="1"/>
  <c r="O38" i="2403"/>
  <c r="P38" i="2403" s="1"/>
  <c r="BL13" i="2420"/>
  <c r="T20" i="2390"/>
  <c r="BL11" i="2420"/>
  <c r="T18" i="2390"/>
  <c r="BL12" i="2420"/>
  <c r="T19" i="2390"/>
  <c r="Q135" i="2403"/>
  <c r="S135" i="2403"/>
  <c r="O47" i="2403"/>
  <c r="P47" i="2403" s="1"/>
  <c r="O134" i="2403"/>
  <c r="P134" i="2403" s="1"/>
  <c r="Q47" i="2403"/>
  <c r="S47" i="2403"/>
  <c r="O130" i="2403"/>
  <c r="P130" i="2403" s="1"/>
  <c r="Q130" i="2403" s="1"/>
  <c r="O49" i="2403"/>
  <c r="P49" i="2403" s="1"/>
  <c r="KG14" i="2422"/>
  <c r="G15" i="2383" s="1"/>
  <c r="BL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S35" i="2403"/>
  <c r="KG17" i="2422"/>
  <c r="G18" i="2383" s="1"/>
  <c r="S39" i="2403" l="1"/>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W35" i="2403"/>
  <c r="V35" i="2403"/>
  <c r="AD35" i="2403" s="1"/>
  <c r="S231" i="2403" l="1"/>
  <c r="S232" i="2403"/>
  <c r="V32" i="2403"/>
  <c r="AD32" i="2403" s="1"/>
  <c r="W56" i="2403"/>
  <c r="V56" i="2403"/>
  <c r="AD56" i="2403" s="1"/>
  <c r="W54" i="2403"/>
  <c r="V54" i="2403"/>
  <c r="AD54" i="2403" s="1"/>
  <c r="V53" i="2403"/>
  <c r="AD53" i="2403" s="1"/>
  <c r="W53" i="2403"/>
  <c r="V52" i="2403"/>
  <c r="AD52" i="2403" s="1"/>
  <c r="W52" i="2403"/>
  <c r="V48" i="2403"/>
  <c r="AD48" i="2403" s="1"/>
  <c r="W48" i="2403"/>
  <c r="W37" i="2403"/>
  <c r="V37" i="2403"/>
  <c r="AD37" i="2403" s="1"/>
  <c r="V36" i="2403"/>
  <c r="AD36" i="2403" s="1"/>
  <c r="W36" i="2403"/>
  <c r="AF35" i="2403"/>
  <c r="V140" i="2403" l="1"/>
  <c r="AD140" i="2403" s="1"/>
  <c r="W140" i="2403"/>
  <c r="W39" i="2403"/>
  <c r="V39" i="2403"/>
  <c r="AD39" i="2403" s="1"/>
  <c r="U231" i="2403"/>
  <c r="U140" i="2403" s="1"/>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V131" i="2403"/>
  <c r="AD131" i="2403" s="1"/>
  <c r="W131" i="2403"/>
  <c r="U131" i="2403"/>
  <c r="W34" i="2403"/>
  <c r="W33" i="2403"/>
  <c r="V33" i="2403"/>
  <c r="AD33" i="2403" s="1"/>
  <c r="AF33" i="2403" s="1"/>
  <c r="AF56" i="2403"/>
  <c r="U48" i="2403"/>
  <c r="U54" i="2403"/>
  <c r="AF54" i="2403"/>
  <c r="U53" i="2403"/>
  <c r="AF53" i="2403"/>
  <c r="U37" i="2403"/>
  <c r="U52" i="2403"/>
  <c r="AF52" i="2403"/>
  <c r="AF48" i="2403"/>
  <c r="AF37" i="2403"/>
  <c r="U36" i="2403"/>
  <c r="AF36" i="2403"/>
  <c r="U35" i="2403"/>
  <c r="AF32" i="2403"/>
  <c r="AF140" i="2403" l="1"/>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F131" i="2403"/>
  <c r="AA54" i="2403"/>
  <c r="AB54" i="2403" s="1"/>
  <c r="AC54" i="2403" s="1"/>
  <c r="AA56" i="2403"/>
  <c r="AB56" i="2403" s="1"/>
  <c r="AE54" i="2403"/>
  <c r="AA52" i="2403"/>
  <c r="AB52" i="2403" s="1"/>
  <c r="AC52" i="2403" s="1"/>
  <c r="AE52" i="2403"/>
  <c r="AA37" i="2403"/>
  <c r="AB37" i="2403" s="1"/>
  <c r="AC37" i="2403" s="1"/>
  <c r="AA48" i="2403"/>
  <c r="AB48" i="2403" s="1"/>
  <c r="AE37" i="2403"/>
  <c r="AA35" i="2403"/>
  <c r="AB35" i="2403" s="1"/>
  <c r="AC35" i="2403" s="1"/>
  <c r="AE35" i="2403"/>
  <c r="W29" i="2403" l="1"/>
  <c r="V30" i="2403"/>
  <c r="AD30" i="2403" s="1"/>
  <c r="AF30" i="2403" s="1"/>
  <c r="AF231" i="2403" s="1"/>
  <c r="W30" i="2403"/>
  <c r="AC56" i="2403"/>
  <c r="AE56" i="2403"/>
  <c r="AC48" i="2403"/>
  <c r="AE48" i="2403"/>
  <c r="W231" i="2403" l="1"/>
  <c r="W232" i="2403" s="1"/>
  <c r="AA231" i="2403" s="1"/>
  <c r="AI37" i="2403"/>
  <c r="AH37" i="2403"/>
  <c r="AL37" i="2403" s="1"/>
  <c r="AM37" i="2403" s="1"/>
  <c r="AH35" i="2403"/>
  <c r="AL35" i="2403" s="1"/>
  <c r="AM35" i="2403" s="1"/>
  <c r="AI35" i="2403"/>
  <c r="AA39" i="2403" l="1"/>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G37" i="2403"/>
  <c r="AG35" i="2403"/>
  <c r="AE39" i="2403" l="1"/>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36" i="2403"/>
  <c r="AL36" i="2403" s="1"/>
  <c r="AM36" i="2403" s="1"/>
  <c r="AI36" i="2403"/>
  <c r="AG36" i="2403"/>
  <c r="AO37" i="2403"/>
  <c r="AU37" i="2403" s="1"/>
  <c r="AP37" i="2403"/>
  <c r="AN35" i="2403"/>
  <c r="AO35" i="2403" s="1"/>
  <c r="AU35" i="2403" s="1"/>
  <c r="AI140" i="2403" l="1"/>
  <c r="AT140" i="2403" s="1"/>
  <c r="AS140" i="2403" s="1"/>
  <c r="CP15" i="2420" s="1"/>
  <c r="AH140" i="2403"/>
  <c r="AL140" i="2403" s="1"/>
  <c r="AM140" i="2403" s="1"/>
  <c r="AH39" i="2403"/>
  <c r="AL39" i="2403" s="1"/>
  <c r="AM39" i="2403" s="1"/>
  <c r="AI39" i="2403"/>
  <c r="AT39" i="2403" s="1"/>
  <c r="AS39" i="2403" s="1"/>
  <c r="BH15" i="2420" s="1"/>
  <c r="AH38" i="2403"/>
  <c r="AL38" i="2403" s="1"/>
  <c r="AM38" i="2403" s="1"/>
  <c r="AI38" i="2403"/>
  <c r="AG231" i="2403"/>
  <c r="AG140" i="2403" s="1"/>
  <c r="AI53" i="2403"/>
  <c r="AH53" i="2403"/>
  <c r="AL53" i="2403" s="1"/>
  <c r="AM53" i="2403" s="1"/>
  <c r="AH131" i="2403"/>
  <c r="AL131" i="2403" s="1"/>
  <c r="AM131" i="2403" s="1"/>
  <c r="AI131" i="2403"/>
  <c r="AI135" i="2403"/>
  <c r="AH135" i="2403"/>
  <c r="AL135" i="2403" s="1"/>
  <c r="AM135" i="2403" s="1"/>
  <c r="AH134" i="2403"/>
  <c r="AL134" i="2403" s="1"/>
  <c r="AM134" i="2403" s="1"/>
  <c r="AI134" i="2403"/>
  <c r="AH34" i="2403"/>
  <c r="AL34" i="2403" s="1"/>
  <c r="AM34" i="2403" s="1"/>
  <c r="AI34" i="2403"/>
  <c r="AT34" i="2403" s="1"/>
  <c r="AS34" i="2403" s="1"/>
  <c r="BH10" i="2420" s="1"/>
  <c r="AI33" i="2403"/>
  <c r="AH33" i="2403"/>
  <c r="AL33" i="2403" s="1"/>
  <c r="AM33" i="2403" s="1"/>
  <c r="AH32" i="2403"/>
  <c r="AL32" i="2403" s="1"/>
  <c r="AM32" i="2403" s="1"/>
  <c r="AI32" i="2403"/>
  <c r="AH47" i="2403"/>
  <c r="AL47" i="2403" s="1"/>
  <c r="AM47" i="2403" s="1"/>
  <c r="AI47" i="2403"/>
  <c r="AT47" i="2403" s="1"/>
  <c r="AS47" i="2403" s="1"/>
  <c r="BH23" i="2420" s="1"/>
  <c r="AI30" i="2403"/>
  <c r="AT30" i="2403" s="1"/>
  <c r="AS30" i="2403" s="1"/>
  <c r="BH6" i="2420" s="1"/>
  <c r="S13" i="2390" s="1"/>
  <c r="AI49" i="2403"/>
  <c r="AT49" i="2403" s="1"/>
  <c r="AS49" i="2403" s="1"/>
  <c r="AH49" i="2403"/>
  <c r="AL49" i="2403" s="1"/>
  <c r="AM49" i="2403" s="1"/>
  <c r="AH30" i="2403"/>
  <c r="AL30" i="2403" s="1"/>
  <c r="AM30" i="2403" s="1"/>
  <c r="AH31" i="2403"/>
  <c r="AL31" i="2403" s="1"/>
  <c r="AM31" i="2403" s="1"/>
  <c r="AI31" i="2403"/>
  <c r="AT31" i="2403" s="1"/>
  <c r="AS31" i="2403" s="1"/>
  <c r="BH7" i="2420" s="1"/>
  <c r="AN54" i="2403"/>
  <c r="AN56" i="2403"/>
  <c r="AO54" i="2403"/>
  <c r="AU54" i="2403" s="1"/>
  <c r="AP54" i="2403"/>
  <c r="AN52" i="2403"/>
  <c r="AO52" i="2403"/>
  <c r="AU52" i="2403" s="1"/>
  <c r="AP52" i="2403"/>
  <c r="AN37" i="2403"/>
  <c r="AN48" i="2403"/>
  <c r="AP35" i="2403"/>
  <c r="S22" i="2390" l="1"/>
  <c r="BM15" i="2420"/>
  <c r="RV24" i="2421" s="1"/>
  <c r="BI15" i="2420"/>
  <c r="BJ15" i="2420" s="1"/>
  <c r="L12" i="2405"/>
  <c r="CQ15" i="2420"/>
  <c r="AG38" i="2403"/>
  <c r="AG39" i="2403"/>
  <c r="AG131" i="2403"/>
  <c r="AG53" i="2403"/>
  <c r="AG134" i="2403"/>
  <c r="AG135" i="2403"/>
  <c r="AG32" i="2403"/>
  <c r="AG34" i="2403"/>
  <c r="S17" i="2390"/>
  <c r="BI10" i="2420"/>
  <c r="BJ10" i="2420" s="1"/>
  <c r="T17" i="2390" s="1"/>
  <c r="BM10" i="2420"/>
  <c r="RV19" i="2421" s="1"/>
  <c r="I18" i="2413" s="1"/>
  <c r="AG130" i="2403"/>
  <c r="AG33" i="2403"/>
  <c r="AG31" i="2403"/>
  <c r="AG49" i="2403"/>
  <c r="AG47" i="2403"/>
  <c r="S30" i="2390"/>
  <c r="BI23" i="2420"/>
  <c r="BJ23" i="2420" s="1"/>
  <c r="BM23" i="2420"/>
  <c r="RV32" i="2421" s="1"/>
  <c r="I31" i="2413" s="1"/>
  <c r="BH25" i="2420"/>
  <c r="AG29" i="2403"/>
  <c r="AG30" i="2403"/>
  <c r="S14" i="2390"/>
  <c r="BI7" i="2420"/>
  <c r="BJ7" i="2420" s="1"/>
  <c r="BL7" i="2420" s="1"/>
  <c r="BM7" i="2420"/>
  <c r="RV16" i="2421" s="1"/>
  <c r="I15" i="2413" s="1"/>
  <c r="AO56" i="2403"/>
  <c r="AU56" i="2403" s="1"/>
  <c r="AP56" i="2403"/>
  <c r="AO48" i="2403"/>
  <c r="AU48" i="2403" s="1"/>
  <c r="AP48" i="2403"/>
  <c r="BM6" i="2420"/>
  <c r="BI6" i="2420"/>
  <c r="BJ6" i="2420" s="1"/>
  <c r="AQ33" i="2403"/>
  <c r="Y16" i="2390" s="1"/>
  <c r="RW24" i="2421" l="1"/>
  <c r="I23" i="2413" s="1"/>
  <c r="CR15" i="2420"/>
  <c r="M11" i="2405" s="1"/>
  <c r="T22" i="2390"/>
  <c r="BL15" i="2420"/>
  <c r="KG21" i="2422"/>
  <c r="AH130" i="2403"/>
  <c r="AL130" i="2403" s="1"/>
  <c r="AM130" i="2403" s="1"/>
  <c r="AI130" i="2403"/>
  <c r="AT130" i="2403" s="1"/>
  <c r="AS130" i="2403" s="1"/>
  <c r="CP5" i="2420" s="1"/>
  <c r="AI29" i="2403"/>
  <c r="AT29" i="2403" s="1"/>
  <c r="AS29" i="2403" s="1"/>
  <c r="AS232" i="2403" s="1"/>
  <c r="AH29" i="2403"/>
  <c r="AL29" i="2403" s="1"/>
  <c r="AM29" i="2403" s="1"/>
  <c r="AM231" i="2403" s="1"/>
  <c r="KG16" i="2422"/>
  <c r="G17" i="2383" s="1"/>
  <c r="BL10" i="2420"/>
  <c r="BL23" i="2420"/>
  <c r="T30" i="2390"/>
  <c r="KG29" i="2422"/>
  <c r="G30" i="2383" s="1"/>
  <c r="S32" i="2390"/>
  <c r="BI25" i="2420"/>
  <c r="BJ25" i="2420" s="1"/>
  <c r="T32" i="2390" s="1"/>
  <c r="BM25" i="2420"/>
  <c r="RV34" i="2421" s="1"/>
  <c r="I33" i="2413" s="1"/>
  <c r="BL6" i="2420"/>
  <c r="T13" i="2390"/>
  <c r="T14" i="2390"/>
  <c r="KG13" i="2422"/>
  <c r="AN36" i="2403"/>
  <c r="RV15" i="2421"/>
  <c r="KG12" i="2422"/>
  <c r="U22" i="2390" l="1"/>
  <c r="V22" i="2390"/>
  <c r="M12" i="2405"/>
  <c r="CT15" i="2420"/>
  <c r="N12" i="2405" s="1"/>
  <c r="O12" i="2405" s="1"/>
  <c r="KH21" i="2422"/>
  <c r="G22" i="2383" s="1"/>
  <c r="I14" i="2413"/>
  <c r="G14" i="2383"/>
  <c r="G13" i="2383"/>
  <c r="BH5" i="2420"/>
  <c r="S12" i="2390" s="1"/>
  <c r="AT232" i="2403"/>
  <c r="AI231" i="2403"/>
  <c r="AI232" i="2403" s="1"/>
  <c r="O25" i="2408" s="1"/>
  <c r="CQ5" i="2420"/>
  <c r="L11" i="2405"/>
  <c r="KG31" i="2422"/>
  <c r="G32" i="2383" s="1"/>
  <c r="BL25" i="2420"/>
  <c r="AO36" i="2403"/>
  <c r="AU36" i="2403" s="1"/>
  <c r="AP36" i="2403"/>
  <c r="AX120" i="2420" l="1"/>
  <c r="BM5" i="2420"/>
  <c r="RV14" i="2421" s="1"/>
  <c r="RV128" i="2421" s="1"/>
  <c r="BI5" i="2420"/>
  <c r="BJ5" i="2420" s="1"/>
  <c r="BG127" i="2420" s="1" a="1"/>
  <c r="BG127" i="2420" s="1"/>
  <c r="AN231" i="2403"/>
  <c r="CQ105" i="2420" a="1"/>
  <c r="CQ105" i="2420" s="1"/>
  <c r="BA113" i="2420" s="1"/>
  <c r="CR5" i="2420"/>
  <c r="CR105" i="2420" s="1" a="1"/>
  <c r="CR105" i="2420" s="1"/>
  <c r="RW14" i="2421"/>
  <c r="RW128" i="2421" s="1"/>
  <c r="AO135" i="2403"/>
  <c r="AP135" i="2403"/>
  <c r="AN34" i="2403"/>
  <c r="AN134" i="2403"/>
  <c r="AP34" i="2403"/>
  <c r="AO34" i="2403"/>
  <c r="AU34" i="2403" s="1"/>
  <c r="AN32" i="2403"/>
  <c r="AN33" i="2403"/>
  <c r="AN130" i="2403"/>
  <c r="AN31" i="2403"/>
  <c r="AN49" i="2403"/>
  <c r="AO49" i="2403" s="1"/>
  <c r="AU49" i="2403" s="1"/>
  <c r="AN47" i="2403"/>
  <c r="AP49" i="2403"/>
  <c r="AN30" i="2403"/>
  <c r="BM106" i="2420" a="1"/>
  <c r="BM106" i="2420" s="1"/>
  <c r="BA111" i="2420" s="1"/>
  <c r="AN39" i="2403" l="1"/>
  <c r="AO39" i="2403" s="1"/>
  <c r="AU39" i="2403" s="1"/>
  <c r="AN140" i="2403"/>
  <c r="AN53" i="2403"/>
  <c r="AN38" i="2403"/>
  <c r="T12" i="2390"/>
  <c r="T113" i="2390" s="1"/>
  <c r="A5" i="2390" s="1"/>
  <c r="BJ106" i="2420" a="1"/>
  <c r="BJ106" i="2420" s="1"/>
  <c r="F6" i="2390" s="1"/>
  <c r="AO53" i="2403"/>
  <c r="AU53" i="2403" s="1"/>
  <c r="AP53" i="2403"/>
  <c r="AN135" i="2403"/>
  <c r="AN131" i="2403"/>
  <c r="AN29" i="2403"/>
  <c r="BH127" i="2420" a="1"/>
  <c r="BH127" i="2420" s="1"/>
  <c r="BI127" i="2420" s="1"/>
  <c r="BA115" i="2420"/>
  <c r="C16" i="2401" s="1"/>
  <c r="D16" i="2401" s="1"/>
  <c r="KG11" i="2422"/>
  <c r="KG122" i="2422" s="1"/>
  <c r="BL5" i="2420"/>
  <c r="I13" i="2413"/>
  <c r="CT5" i="2420"/>
  <c r="BH129" i="2420" a="1"/>
  <c r="BH129" i="2420" s="1"/>
  <c r="BG129" i="2420" a="1"/>
  <c r="BG129" i="2420" s="1"/>
  <c r="BG130" i="2420" s="1"/>
  <c r="M113" i="2405"/>
  <c r="A4" i="2405" s="1"/>
  <c r="KH11" i="2422"/>
  <c r="KH122" i="2422" s="1"/>
  <c r="AO134" i="2403"/>
  <c r="AP134" i="2403"/>
  <c r="AO33" i="2403"/>
  <c r="AU33" i="2403" s="1"/>
  <c r="AP33" i="2403"/>
  <c r="AR33" i="2403" s="1"/>
  <c r="AO32" i="2403"/>
  <c r="AU32" i="2403" s="1"/>
  <c r="AP32" i="2403"/>
  <c r="AO31" i="2403"/>
  <c r="AU31" i="2403" s="1"/>
  <c r="AP31" i="2403"/>
  <c r="AO130" i="2403"/>
  <c r="AQ130" i="2403" s="1"/>
  <c r="CU5" i="2420" s="1"/>
  <c r="P11" i="2405" s="1"/>
  <c r="AP130" i="2403"/>
  <c r="AR130" i="2403" s="1"/>
  <c r="AO47" i="2403"/>
  <c r="AU47" i="2403" s="1"/>
  <c r="AP47" i="2403"/>
  <c r="AO30" i="2403"/>
  <c r="AP30" i="2403"/>
  <c r="AR30" i="2403" s="1"/>
  <c r="AP29" i="2403"/>
  <c r="AO29" i="2403"/>
  <c r="AI128" i="2421"/>
  <c r="M12" i="2408" s="1"/>
  <c r="AP39" i="2403" l="1"/>
  <c r="AO140" i="2403"/>
  <c r="AP140" i="2403"/>
  <c r="AO38" i="2403"/>
  <c r="AU38" i="2403" s="1"/>
  <c r="AP38" i="2403"/>
  <c r="V12" i="2390"/>
  <c r="U12" i="2390"/>
  <c r="AO131" i="2403"/>
  <c r="AP131" i="2403"/>
  <c r="AU30" i="2403"/>
  <c r="AQ30" i="2403"/>
  <c r="Y13" i="2390" s="1"/>
  <c r="R122" i="2422"/>
  <c r="P12" i="2408" s="1"/>
  <c r="BH130" i="2420"/>
  <c r="BK130" i="2420" s="1"/>
  <c r="I13" i="2402" s="1"/>
  <c r="S13" i="2402" s="1"/>
  <c r="AE38" i="2402" s="1"/>
  <c r="BL106" i="2420" a="1"/>
  <c r="BL106" i="2420" s="1"/>
  <c r="M6" i="2390" s="1"/>
  <c r="F5" i="2405"/>
  <c r="CT105" i="2420"/>
  <c r="L5" i="2405" s="1"/>
  <c r="BI129" i="2420"/>
  <c r="BI130" i="2420" s="1"/>
  <c r="G12" i="2383"/>
  <c r="AU29" i="2403"/>
  <c r="Y12" i="2390"/>
  <c r="AR29" i="2403"/>
  <c r="AP231" i="2403" l="1"/>
  <c r="AR233" i="2403" s="1"/>
  <c r="AS233" i="2403" s="1"/>
  <c r="I25" i="2402"/>
  <c r="J24" i="2402" s="1"/>
  <c r="J25" i="2402" s="1"/>
  <c r="B36" i="2402" s="1"/>
  <c r="C36" i="2402" s="1"/>
  <c r="AE39" i="2402"/>
  <c r="B37" i="2402" l="1"/>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 r="O195" i="2422"/>
  <c r="O194" i="2422"/>
  <c r="O193" i="2422"/>
  <c r="O192" i="2422"/>
  <c r="O191" i="2422"/>
  <c r="O190" i="2422"/>
  <c r="O189" i="2422"/>
  <c r="O188" i="2422"/>
  <c r="O187" i="2422"/>
  <c r="O186" i="2422"/>
  <c r="O185" i="2422"/>
  <c r="O184" i="2422"/>
  <c r="O183" i="2422"/>
  <c r="O182" i="2422"/>
  <c r="O181" i="2422"/>
  <c r="O180" i="2422"/>
  <c r="O179" i="2422"/>
  <c r="O178" i="2422"/>
  <c r="O177" i="2422"/>
  <c r="O176" i="2422"/>
  <c r="O175" i="2422"/>
  <c r="O174" i="2422"/>
  <c r="O173" i="2422"/>
  <c r="O172" i="2422"/>
  <c r="O171" i="2422"/>
  <c r="O170" i="2422"/>
  <c r="O169" i="2422"/>
  <c r="O168" i="2422"/>
  <c r="O167" i="2422"/>
  <c r="O166" i="2422"/>
  <c r="O165" i="2422"/>
  <c r="O164" i="2422"/>
  <c r="O163" i="2422"/>
  <c r="O162" i="2422"/>
  <c r="O161" i="2422"/>
  <c r="O160" i="2422"/>
  <c r="O159" i="2422"/>
  <c r="O158" i="2422"/>
  <c r="O157" i="2422"/>
  <c r="O156" i="2422"/>
  <c r="O155" i="2422"/>
  <c r="O154" i="2422"/>
  <c r="O153" i="2422"/>
  <c r="O152" i="2422"/>
  <c r="O151" i="2422"/>
  <c r="O150" i="2422"/>
  <c r="O149" i="2422"/>
  <c r="O148" i="2422"/>
  <c r="O147" i="2422"/>
  <c r="O146" i="2422"/>
  <c r="O145" i="2422"/>
  <c r="O144" i="2422"/>
  <c r="O143" i="2422"/>
  <c r="O142" i="2422"/>
  <c r="O141" i="2422"/>
  <c r="O140" i="2422"/>
  <c r="O139" i="2422"/>
  <c r="O138" i="2422"/>
  <c r="O137" i="2422"/>
  <c r="O136" i="2422"/>
  <c r="O135" i="2422"/>
  <c r="O134" i="2422"/>
  <c r="O133" i="2422"/>
  <c r="O132" i="2422"/>
  <c r="O131" i="2422"/>
  <c r="O130" i="2422"/>
  <c r="O129" i="2422"/>
  <c r="O128" i="2422"/>
  <c r="O127" i="2422"/>
  <c r="AF188" i="2421"/>
  <c r="AF187" i="2421"/>
  <c r="AF186" i="2421"/>
  <c r="AF185" i="2421"/>
  <c r="AF184" i="2421"/>
  <c r="AF183" i="2421"/>
  <c r="AF182" i="2421"/>
  <c r="AF181" i="2421"/>
  <c r="AF180" i="2421"/>
  <c r="AF179" i="2421"/>
  <c r="AF178" i="2421"/>
  <c r="AF177" i="2421"/>
  <c r="AF176" i="2421"/>
  <c r="AF175" i="2421"/>
  <c r="AF174" i="2421"/>
  <c r="AF173" i="2421"/>
  <c r="AF172" i="2421"/>
  <c r="AF171" i="2421"/>
  <c r="AF170" i="2421"/>
  <c r="AF169" i="2421"/>
  <c r="AF168" i="2421"/>
  <c r="AF167" i="2421"/>
  <c r="AF166" i="2421"/>
  <c r="AF165" i="2421"/>
  <c r="AF164" i="2421"/>
  <c r="AF163" i="2421"/>
  <c r="AF162" i="2421"/>
  <c r="AF161" i="2421"/>
  <c r="AF160" i="2421"/>
  <c r="AF159" i="2421"/>
  <c r="AF158" i="2421"/>
  <c r="AF157" i="2421"/>
  <c r="AF156" i="2421"/>
  <c r="AF155" i="2421"/>
  <c r="AF154" i="2421"/>
  <c r="AF153" i="2421"/>
  <c r="AF152" i="2421"/>
  <c r="AF151" i="2421"/>
  <c r="AF150" i="2421"/>
  <c r="AF149" i="2421"/>
  <c r="AF148" i="2421"/>
  <c r="AF147" i="2421"/>
  <c r="AF146" i="2421"/>
  <c r="AF145" i="2421"/>
  <c r="AF144" i="2421"/>
  <c r="AF143" i="2421"/>
  <c r="AF142" i="2421"/>
  <c r="AF141" i="2421"/>
  <c r="AF140" i="2421"/>
  <c r="AF139" i="2421"/>
  <c r="AF138" i="2421"/>
  <c r="AF137" i="2421"/>
  <c r="AF136" i="2421"/>
  <c r="K494" i="2420"/>
  <c r="K493" i="2420"/>
  <c r="K492" i="2420"/>
  <c r="K491" i="2420"/>
  <c r="K490" i="2420"/>
  <c r="K489" i="2420"/>
  <c r="K488" i="2420"/>
  <c r="K487" i="2420"/>
  <c r="K486" i="2420"/>
  <c r="K485" i="2420"/>
  <c r="K484" i="2420"/>
  <c r="K483" i="2420"/>
  <c r="K482" i="2420"/>
  <c r="K481" i="2420"/>
  <c r="K480" i="2420"/>
  <c r="K479" i="2420"/>
  <c r="K478" i="2420"/>
  <c r="K477" i="2420"/>
  <c r="K476" i="2420"/>
  <c r="K475" i="2420"/>
  <c r="K474" i="2420"/>
  <c r="K473" i="2420"/>
  <c r="K472" i="2420"/>
  <c r="K471" i="2420"/>
  <c r="K470" i="2420"/>
  <c r="K469" i="2420"/>
  <c r="K468" i="2420"/>
  <c r="K467" i="2420"/>
  <c r="K466" i="2420"/>
  <c r="K465" i="2420"/>
  <c r="K464" i="2420"/>
  <c r="K463" i="2420"/>
  <c r="K462" i="2420"/>
  <c r="K461" i="2420"/>
  <c r="K460" i="2420"/>
  <c r="K459" i="2420"/>
  <c r="K458" i="2420"/>
  <c r="K457" i="2420"/>
  <c r="K456" i="2420"/>
  <c r="K455" i="2420"/>
  <c r="K454" i="2420"/>
  <c r="K453" i="2420"/>
  <c r="K452" i="2420"/>
  <c r="K451" i="2420"/>
  <c r="K450" i="2420"/>
  <c r="K449" i="2420"/>
  <c r="K448" i="2420"/>
  <c r="K447" i="2420"/>
  <c r="K446" i="2420"/>
  <c r="K445" i="2420"/>
  <c r="K444" i="2420"/>
  <c r="K443" i="2420"/>
  <c r="K442" i="2420"/>
  <c r="K441" i="2420"/>
  <c r="K440" i="2420"/>
  <c r="K439" i="2420"/>
  <c r="K438" i="2420"/>
  <c r="K437" i="2420"/>
  <c r="K436" i="2420"/>
  <c r="K435" i="2420"/>
  <c r="K434" i="2420"/>
  <c r="K433" i="2420"/>
  <c r="K432" i="2420"/>
  <c r="K431" i="2420"/>
  <c r="K430" i="2420"/>
  <c r="K429" i="2420"/>
  <c r="K428" i="2420"/>
  <c r="K427" i="2420"/>
  <c r="K426" i="2420"/>
  <c r="K425" i="2420"/>
  <c r="K424" i="2420"/>
  <c r="K423" i="2420"/>
  <c r="K422" i="2420"/>
  <c r="K421" i="2420"/>
  <c r="K420" i="2420"/>
  <c r="K419" i="2420"/>
  <c r="K418" i="2420"/>
  <c r="K417" i="2420"/>
  <c r="K416" i="2420"/>
  <c r="K415" i="2420"/>
  <c r="K414" i="2420"/>
  <c r="K413" i="2420"/>
  <c r="K412" i="2420"/>
  <c r="K411" i="2420"/>
  <c r="K410" i="2420"/>
  <c r="K409" i="2420"/>
  <c r="K408" i="2420"/>
  <c r="K407" i="2420"/>
  <c r="K406" i="2420"/>
  <c r="K405" i="2420"/>
  <c r="K404" i="2420"/>
  <c r="K403" i="2420"/>
  <c r="K402" i="2420"/>
  <c r="K401" i="2420"/>
  <c r="K400" i="2420"/>
  <c r="K399" i="2420"/>
  <c r="K398" i="2420"/>
  <c r="K397" i="2420"/>
  <c r="K396" i="2420"/>
  <c r="K395" i="2420"/>
  <c r="K394" i="2420"/>
  <c r="K393" i="2420"/>
  <c r="K392" i="2420"/>
  <c r="K391" i="2420"/>
  <c r="K390" i="2420"/>
  <c r="K389" i="2420"/>
  <c r="K388" i="2420"/>
  <c r="K387" i="2420"/>
  <c r="K386" i="2420"/>
  <c r="K385" i="2420"/>
  <c r="K384" i="2420"/>
  <c r="K383" i="2420"/>
  <c r="K382" i="2420"/>
  <c r="K381" i="2420"/>
  <c r="K380" i="2420"/>
  <c r="K379" i="2420"/>
  <c r="K378" i="2420"/>
  <c r="K377" i="2420"/>
  <c r="K376" i="2420"/>
  <c r="K375" i="2420"/>
  <c r="K374" i="2420"/>
  <c r="K373" i="2420"/>
  <c r="K372" i="2420"/>
  <c r="K371" i="2420"/>
  <c r="K370" i="2420"/>
  <c r="K369" i="2420"/>
  <c r="K368" i="2420"/>
  <c r="K367" i="2420"/>
  <c r="K366" i="2420"/>
  <c r="K365" i="2420"/>
  <c r="K364" i="2420"/>
  <c r="K363" i="2420"/>
  <c r="K362" i="2420"/>
  <c r="K361" i="2420"/>
  <c r="K360" i="2420"/>
  <c r="K359" i="2420"/>
  <c r="K358" i="2420"/>
  <c r="K357" i="2420"/>
  <c r="K356" i="2420"/>
  <c r="K355" i="2420"/>
  <c r="K354" i="2420"/>
  <c r="K353" i="2420"/>
  <c r="K352" i="2420"/>
  <c r="K351" i="2420"/>
  <c r="K350" i="2420"/>
  <c r="K349" i="2420"/>
  <c r="K348" i="2420"/>
  <c r="K347" i="2420"/>
  <c r="K346" i="2420"/>
  <c r="K345" i="2420"/>
  <c r="K344" i="2420"/>
  <c r="K343" i="2420"/>
  <c r="K342" i="2420"/>
  <c r="K341" i="2420"/>
  <c r="K340" i="2420"/>
  <c r="K339" i="2420"/>
  <c r="K338" i="2420"/>
  <c r="K337" i="2420"/>
  <c r="K336" i="2420"/>
  <c r="K335" i="2420"/>
  <c r="K334" i="2420"/>
  <c r="K333" i="2420"/>
  <c r="K332" i="2420"/>
  <c r="K331" i="2420"/>
  <c r="K330" i="2420"/>
  <c r="K329" i="2420"/>
  <c r="K328" i="2420"/>
  <c r="K327" i="2420"/>
  <c r="K326" i="2420"/>
  <c r="K325" i="2420"/>
  <c r="K324" i="2420"/>
  <c r="K323" i="2420"/>
  <c r="K322" i="2420"/>
  <c r="K321" i="2420"/>
  <c r="K320" i="2420"/>
  <c r="K319" i="2420"/>
  <c r="K318" i="2420"/>
  <c r="K317" i="2420"/>
  <c r="K316" i="2420"/>
  <c r="K315" i="2420"/>
  <c r="K314" i="2420"/>
  <c r="K313" i="2420"/>
  <c r="K312" i="2420"/>
  <c r="K311" i="2420"/>
  <c r="K310" i="2420"/>
  <c r="K309" i="2420"/>
  <c r="K308" i="2420"/>
  <c r="K307" i="2420"/>
  <c r="K306" i="2420"/>
  <c r="K305" i="2420"/>
  <c r="K304" i="2420"/>
  <c r="K303" i="2420"/>
  <c r="K302" i="2420"/>
  <c r="K301" i="2420"/>
  <c r="K300" i="2420"/>
  <c r="K299" i="2420"/>
  <c r="K298" i="2420"/>
  <c r="K297" i="2420"/>
  <c r="K296" i="2420"/>
  <c r="K295" i="2420"/>
  <c r="K294" i="2420"/>
  <c r="K293" i="2420"/>
  <c r="K292" i="2420"/>
  <c r="K291" i="2420"/>
  <c r="K290" i="2420"/>
  <c r="K289" i="2420"/>
  <c r="K288" i="2420"/>
  <c r="K287" i="2420"/>
  <c r="K286" i="2420"/>
  <c r="K285" i="2420"/>
  <c r="K284" i="2420"/>
  <c r="K283" i="2420"/>
  <c r="K282" i="2420"/>
  <c r="K281" i="2420"/>
  <c r="K280" i="2420"/>
  <c r="K279" i="2420"/>
  <c r="K278" i="2420"/>
  <c r="K277" i="2420"/>
  <c r="K276" i="2420"/>
  <c r="K275" i="2420"/>
  <c r="K274" i="2420"/>
  <c r="K273" i="2420"/>
  <c r="K272" i="2420"/>
  <c r="K271" i="2420"/>
  <c r="K270" i="2420"/>
  <c r="K269" i="2420"/>
  <c r="K268" i="2420"/>
  <c r="K267" i="2420"/>
  <c r="K266" i="2420"/>
  <c r="K265" i="2420"/>
  <c r="K264" i="2420"/>
  <c r="K263" i="2420"/>
  <c r="K262" i="2420"/>
  <c r="K261" i="2420"/>
  <c r="K260" i="2420"/>
  <c r="K259" i="2420"/>
  <c r="K258" i="2420"/>
  <c r="K257" i="2420"/>
  <c r="K256" i="2420"/>
  <c r="K255" i="2420"/>
  <c r="K254" i="2420"/>
  <c r="K253" i="2420"/>
  <c r="K252" i="2420"/>
  <c r="K251" i="2420"/>
  <c r="K250" i="2420"/>
  <c r="K249" i="2420"/>
  <c r="K248" i="2420"/>
  <c r="K247" i="2420"/>
  <c r="K246" i="2420"/>
  <c r="K245" i="2420"/>
  <c r="K244" i="2420"/>
  <c r="K243" i="2420"/>
  <c r="K242" i="2420"/>
  <c r="K241" i="2420"/>
  <c r="K240" i="2420"/>
  <c r="K239" i="2420"/>
  <c r="K238" i="2420"/>
  <c r="K237" i="2420"/>
  <c r="K236" i="2420"/>
  <c r="K235" i="2420"/>
  <c r="K234" i="2420"/>
  <c r="K233" i="2420"/>
  <c r="K232" i="2420"/>
  <c r="K231" i="2420"/>
  <c r="K230" i="2420"/>
  <c r="K229" i="2420"/>
  <c r="K228" i="2420"/>
  <c r="K227" i="2420"/>
  <c r="K226" i="2420"/>
  <c r="K225" i="2420"/>
  <c r="K224" i="2420"/>
  <c r="K223" i="2420"/>
  <c r="K222" i="2420"/>
  <c r="K221" i="2420"/>
  <c r="K220" i="2420"/>
  <c r="K219" i="2420"/>
  <c r="K218" i="2420"/>
  <c r="K217" i="2420"/>
  <c r="K216" i="2420"/>
  <c r="K215" i="2420"/>
  <c r="K214" i="2420"/>
  <c r="K213" i="2420"/>
  <c r="K212" i="2420"/>
  <c r="K211" i="2420"/>
  <c r="K210" i="2420"/>
  <c r="K209" i="2420"/>
  <c r="K208" i="2420"/>
  <c r="K207" i="2420"/>
  <c r="K206" i="2420"/>
  <c r="K205" i="2420"/>
  <c r="K204" i="2420"/>
  <c r="K203" i="2420"/>
  <c r="K202" i="2420"/>
  <c r="K201" i="2420"/>
  <c r="K200" i="2420"/>
  <c r="K199" i="2420"/>
  <c r="K198" i="2420"/>
  <c r="K197" i="2420"/>
  <c r="K196" i="2420"/>
  <c r="K195" i="2420"/>
  <c r="K194" i="2420"/>
  <c r="K193" i="2420"/>
  <c r="K192" i="2420"/>
  <c r="K191" i="2420"/>
  <c r="K190" i="2420"/>
  <c r="K189" i="2420"/>
  <c r="K188" i="2420"/>
  <c r="K187" i="2420"/>
  <c r="K186" i="2420"/>
  <c r="K185" i="2420"/>
  <c r="K184" i="2420"/>
  <c r="K183" i="2420"/>
  <c r="K182" i="2420"/>
  <c r="K181" i="2420"/>
  <c r="K180" i="2420"/>
  <c r="K179" i="2420"/>
  <c r="K178" i="2420"/>
  <c r="K177" i="2420"/>
  <c r="K176" i="2420"/>
  <c r="K175" i="2420"/>
  <c r="K174" i="2420"/>
  <c r="K173" i="2420"/>
  <c r="K172" i="2420"/>
  <c r="K171" i="2420"/>
  <c r="K170" i="2420"/>
  <c r="K169" i="2420"/>
  <c r="K168" i="2420"/>
  <c r="K167" i="2420"/>
  <c r="K166" i="2420"/>
  <c r="K165" i="2420"/>
  <c r="K164" i="2420"/>
  <c r="K163" i="2420"/>
  <c r="K162" i="2420"/>
  <c r="K161" i="2420"/>
  <c r="K160" i="2420"/>
  <c r="K159" i="2420"/>
  <c r="K158" i="2420"/>
  <c r="K157" i="2420"/>
  <c r="K156" i="2420"/>
  <c r="K155" i="2420"/>
  <c r="K154" i="2420"/>
  <c r="K153" i="2420"/>
  <c r="K152" i="2420"/>
  <c r="K151" i="2420"/>
  <c r="K150" i="2420"/>
  <c r="K149" i="2420"/>
  <c r="K148" i="2420"/>
  <c r="K147" i="2420"/>
  <c r="K146" i="2420"/>
  <c r="K145" i="2420"/>
  <c r="K144" i="2420"/>
  <c r="K143" i="2420"/>
  <c r="K142" i="2420"/>
  <c r="K141" i="2420"/>
  <c r="K140" i="2420"/>
  <c r="K139" i="2420"/>
  <c r="K138" i="2420"/>
  <c r="K137" i="2420"/>
  <c r="K136" i="2420"/>
  <c r="K135" i="2420"/>
  <c r="K134" i="2420"/>
  <c r="K133" i="2420"/>
  <c r="K132" i="2420"/>
  <c r="K131" i="2420"/>
  <c r="K130" i="2420"/>
</calcChain>
</file>

<file path=xl/comments1.xml><?xml version="1.0" encoding="utf-8"?>
<comments xmlns="http://schemas.openxmlformats.org/spreadsheetml/2006/main">
  <authors>
    <author>Offenberger, Konrad (LfL)</author>
  </authors>
  <commentList>
    <comment ref="B1" authorId="0" shapeId="0">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List>
</comments>
</file>

<file path=xl/comments10.xml><?xml version="1.0" encoding="utf-8"?>
<comments xmlns="http://schemas.openxmlformats.org/spreadsheetml/2006/main">
  <authors>
    <author>Schmücker, Rebekka (LfL)</author>
  </authors>
  <commentList>
    <comment ref="L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text>
        <r>
          <rPr>
            <sz val="9"/>
            <color indexed="81"/>
            <rFont val="Segoe UI"/>
            <family val="2"/>
          </rPr>
          <t>Rote Flächen sind mit "x" markiert.</t>
        </r>
      </text>
    </comment>
    <comment ref="E9" authorId="0" shapeId="0">
      <text>
        <r>
          <rPr>
            <sz val="9"/>
            <color indexed="81"/>
            <rFont val="Segoe UI"/>
            <family val="2"/>
          </rPr>
          <t>Werden die unten stehenden Notizen auf Ihrem Bildschirm nicht vollständig abgebildet, finden Sie eine vollständige Liste im Tabellenblatt "Vorauswahl".</t>
        </r>
      </text>
    </comment>
    <comment ref="G9" authorId="0" shapeId="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text>
        <r>
          <rPr>
            <sz val="9"/>
            <color indexed="81"/>
            <rFont val="Segoe UI"/>
            <family val="2"/>
          </rPr>
          <t>Die Menge an Gesamtstickstoff (Nges in kg N/ha) zur Hauptfrucht wird im folgenden Planungsjahr 2022/23 benötigt, um die Nachlieferung der organischen Düngung zur Vorfrucht berechnen zu können. Der N-Anfall über Weide wird nicht einberechnet.</t>
        </r>
      </text>
    </comment>
    <comment ref="I9" authorId="0" shapeId="0">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text>
        <r>
          <rPr>
            <sz val="9"/>
            <color indexed="81"/>
            <rFont val="Segoe UI"/>
            <family val="2"/>
          </rPr>
          <t>Der Nährstoffanfall kann im</t>
        </r>
        <r>
          <rPr>
            <b/>
            <sz val="9"/>
            <color indexed="81"/>
            <rFont val="Segoe UI"/>
            <family val="2"/>
          </rPr>
          <t xml:space="preserve"> Programm zur Berechnung des Lagerraumes</t>
        </r>
        <r>
          <rPr>
            <sz val="9"/>
            <color indexed="81"/>
            <rFont val="Segoe UI"/>
            <family val="2"/>
          </rPr>
          <t xml:space="preserve"> ermittelt werden. https://www.lfl.bayern.de/lagerkapazitaet/</t>
        </r>
      </text>
    </comment>
    <comment ref="L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authors>
    <author>Schmücker, Rebekka (LfL)</author>
  </authors>
  <commentList>
    <comment ref="U3" authorId="0" shapeId="0">
      <text>
        <r>
          <rPr>
            <b/>
            <sz val="9"/>
            <color indexed="81"/>
            <rFont val="Segoe UI"/>
            <family val="2"/>
          </rPr>
          <t>für 10 % Nachwirkung im Folgejahr</t>
        </r>
      </text>
    </comment>
    <comment ref="X3" authorId="0" shapeId="0">
      <text>
        <r>
          <rPr>
            <b/>
            <sz val="9"/>
            <color indexed="81"/>
            <rFont val="Segoe UI"/>
            <family val="2"/>
          </rPr>
          <t xml:space="preserve">Weide immer mit angerechnet
</t>
        </r>
      </text>
    </comment>
    <comment ref="RZ128" authorId="0" shapeId="0">
      <text>
        <r>
          <rPr>
            <b/>
            <sz val="9"/>
            <color indexed="81"/>
            <rFont val="Segoe UI"/>
            <family val="2"/>
          </rPr>
          <t>Anzahl Fehler nicht einberechnen, da Phosphat überdüngung im Online-Deckblatt auch nicht abgeprüft wird</t>
        </r>
      </text>
    </comment>
    <comment ref="SA128" authorId="0" shapeId="0">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authors>
    <author>Schmücker, Rebekka (LfL)</author>
  </authors>
  <commentList>
    <comment ref="B1" authorId="0" shapeId="0">
      <text>
        <r>
          <rPr>
            <sz val="9"/>
            <color indexed="81"/>
            <rFont val="Segoe UI"/>
            <family val="2"/>
          </rPr>
          <t>Zur Dokumentation der mineralischen Düngung im Düngejahr 2021/22 gehören die Düngergaben zur Zwischen- oder Zweitfrucht im Kalenderjahr 2021, die Herbstdüngung der Hauptfrüchte im Kalenderjahr 2021 und alle Düngergaben vor der Ernte der Hauptfrucht bzw. dem letzten Schnitt</t>
        </r>
      </text>
    </comment>
    <comment ref="H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K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N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Q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T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W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Z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C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F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I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L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O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R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U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X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A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D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G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J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M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P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S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V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Y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B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E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H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K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N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Q6" authorId="0" shapeId="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D8" authorId="0" shapeId="0">
      <text>
        <r>
          <rPr>
            <sz val="9"/>
            <color indexed="81"/>
            <rFont val="Segoe UI"/>
            <family val="2"/>
          </rPr>
          <t>Rote Flächen sind mit "x" markiert.</t>
        </r>
      </text>
    </comment>
    <comment ref="E8" authorId="0" shapeId="0">
      <text>
        <r>
          <rPr>
            <sz val="9"/>
            <color indexed="81"/>
            <rFont val="Segoe UI"/>
            <family val="2"/>
          </rPr>
          <t>Werden die unten stehenden Notizen auf Ihrem Bildschirm nicht vollständig abgebildet, finden Sie eine vollständige Liste im Tabellenblatt "Vorauswahl".</t>
        </r>
      </text>
    </comment>
    <comment ref="G8" authorId="0" shapeId="0">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text>
        <r>
          <rPr>
            <sz val="9"/>
            <color indexed="81"/>
            <rFont val="Segoe UI"/>
            <family val="2"/>
          </rPr>
          <t>Eine Planung der mineralischen Düngergaben ist nicht notwendig. Daher ist hier die Dokumentation voreingestellt.</t>
        </r>
      </text>
    </comment>
    <comment ref="K10" authorId="0" shapeId="0">
      <text>
        <r>
          <rPr>
            <sz val="9"/>
            <color indexed="81"/>
            <rFont val="Segoe UI"/>
            <family val="2"/>
          </rPr>
          <t>Eine Planung der mineralischen Düngergaben ist nicht notwendig. Daher ist hier die Dokumentation voreingestellt.</t>
        </r>
      </text>
    </comment>
    <comment ref="N10" authorId="0" shapeId="0">
      <text>
        <r>
          <rPr>
            <sz val="9"/>
            <color indexed="81"/>
            <rFont val="Segoe UI"/>
            <family val="2"/>
          </rPr>
          <t>Eine Planung der mineralischen Düngergaben ist nicht notwendig. Daher ist hier die Dokumentation voreingestellt.</t>
        </r>
      </text>
    </comment>
    <comment ref="Q10" authorId="0" shapeId="0">
      <text>
        <r>
          <rPr>
            <sz val="9"/>
            <color indexed="81"/>
            <rFont val="Segoe UI"/>
            <family val="2"/>
          </rPr>
          <t>Eine Planung der mineralischen Düngergaben ist nicht notwendig. Daher ist hier die Dokumentation voreingestellt.</t>
        </r>
      </text>
    </comment>
    <comment ref="T10" authorId="0" shapeId="0">
      <text>
        <r>
          <rPr>
            <sz val="9"/>
            <color indexed="81"/>
            <rFont val="Segoe UI"/>
            <family val="2"/>
          </rPr>
          <t>Eine Planung der mineralischen Düngergaben ist nicht notwendig. Daher ist hier die Dokumentation voreingestellt.</t>
        </r>
      </text>
    </comment>
    <comment ref="W10" authorId="0" shapeId="0">
      <text>
        <r>
          <rPr>
            <sz val="9"/>
            <color indexed="81"/>
            <rFont val="Segoe UI"/>
            <family val="2"/>
          </rPr>
          <t>Eine Planung der mineralischen Düngergaben ist nicht notwendig. Daher ist hier die Dokumentation voreingestellt.</t>
        </r>
      </text>
    </comment>
    <comment ref="Z10" authorId="0" shapeId="0">
      <text>
        <r>
          <rPr>
            <sz val="9"/>
            <color indexed="81"/>
            <rFont val="Segoe UI"/>
            <family val="2"/>
          </rPr>
          <t>Eine Planung der mineralischen Düngergaben ist nicht notwendig. Daher ist hier die Dokumentation voreingestellt.</t>
        </r>
      </text>
    </comment>
    <comment ref="AC10" authorId="0" shapeId="0">
      <text>
        <r>
          <rPr>
            <sz val="9"/>
            <color indexed="81"/>
            <rFont val="Segoe UI"/>
            <family val="2"/>
          </rPr>
          <t>Eine Planung der mineralischen Düngergaben ist nicht notwendig. Daher ist hier die Dokumentation voreingestellt.</t>
        </r>
      </text>
    </comment>
    <comment ref="AF10" authorId="0" shapeId="0">
      <text>
        <r>
          <rPr>
            <sz val="9"/>
            <color indexed="81"/>
            <rFont val="Segoe UI"/>
            <family val="2"/>
          </rPr>
          <t>Eine Planung der mineralischen Düngergaben ist nicht notwendig. Daher ist hier die Dokumentation voreingestellt.</t>
        </r>
      </text>
    </comment>
    <comment ref="AI10" authorId="0" shapeId="0">
      <text>
        <r>
          <rPr>
            <sz val="9"/>
            <color indexed="81"/>
            <rFont val="Segoe UI"/>
            <family val="2"/>
          </rPr>
          <t>Eine Planung der mineralischen Düngergaben ist nicht notwendig. Daher ist hier die Dokumentation voreingestellt.</t>
        </r>
      </text>
    </comment>
    <comment ref="AL10" authorId="0" shapeId="0">
      <text>
        <r>
          <rPr>
            <sz val="9"/>
            <color indexed="81"/>
            <rFont val="Segoe UI"/>
            <family val="2"/>
          </rPr>
          <t>Eine Planung der mineralischen Düngergaben ist nicht notwendig. Daher ist hier die Dokumentation voreingestellt.</t>
        </r>
      </text>
    </comment>
    <comment ref="AO10" authorId="0" shapeId="0">
      <text>
        <r>
          <rPr>
            <sz val="9"/>
            <color indexed="81"/>
            <rFont val="Segoe UI"/>
            <family val="2"/>
          </rPr>
          <t>Eine Planung der mineralischen Düngergaben ist nicht notwendig. Daher ist hier die Dokumentation voreingestellt.</t>
        </r>
      </text>
    </comment>
    <comment ref="AR10" authorId="0" shapeId="0">
      <text>
        <r>
          <rPr>
            <sz val="9"/>
            <color indexed="81"/>
            <rFont val="Segoe UI"/>
            <family val="2"/>
          </rPr>
          <t>Eine Planung der mineralischen Düngergaben ist nicht notwendig. Daher ist hier die Dokumentation voreingestellt.</t>
        </r>
      </text>
    </comment>
    <comment ref="AU10" authorId="0" shapeId="0">
      <text>
        <r>
          <rPr>
            <sz val="9"/>
            <color indexed="81"/>
            <rFont val="Segoe UI"/>
            <family val="2"/>
          </rPr>
          <t>Eine Planung der mineralischen Düngergaben ist nicht notwendig. Daher ist hier die Dokumentation voreingestellt.</t>
        </r>
      </text>
    </comment>
    <comment ref="AX10" authorId="0" shapeId="0">
      <text>
        <r>
          <rPr>
            <sz val="9"/>
            <color indexed="81"/>
            <rFont val="Segoe UI"/>
            <family val="2"/>
          </rPr>
          <t>Eine Planung der mineralischen Düngergaben ist nicht notwendig. Daher ist hier die Dokumentation voreingestellt.</t>
        </r>
      </text>
    </comment>
    <comment ref="BA10" authorId="0" shapeId="0">
      <text>
        <r>
          <rPr>
            <sz val="9"/>
            <color indexed="81"/>
            <rFont val="Segoe UI"/>
            <family val="2"/>
          </rPr>
          <t>Eine Planung der mineralischen Düngergaben ist nicht notwendig. Daher ist hier die Dokumentation voreingestellt.</t>
        </r>
      </text>
    </comment>
    <comment ref="BD10" authorId="0" shapeId="0">
      <text>
        <r>
          <rPr>
            <sz val="9"/>
            <color indexed="81"/>
            <rFont val="Segoe UI"/>
            <family val="2"/>
          </rPr>
          <t>Eine Planung der mineralischen Düngergaben ist nicht notwendig. Daher ist hier die Dokumentation voreingestellt.</t>
        </r>
      </text>
    </comment>
    <comment ref="BG10" authorId="0" shapeId="0">
      <text>
        <r>
          <rPr>
            <sz val="9"/>
            <color indexed="81"/>
            <rFont val="Segoe UI"/>
            <family val="2"/>
          </rPr>
          <t>Eine Planung der mineralischen Düngergaben ist nicht notwendig. Daher ist hier die Dokumentation voreingestellt.</t>
        </r>
      </text>
    </comment>
    <comment ref="BJ10" authorId="0" shapeId="0">
      <text>
        <r>
          <rPr>
            <sz val="9"/>
            <color indexed="81"/>
            <rFont val="Segoe UI"/>
            <family val="2"/>
          </rPr>
          <t>Eine Planung der mineralischen Düngergaben ist nicht notwendig. Daher ist hier die Dokumentation voreingestellt.</t>
        </r>
      </text>
    </comment>
    <comment ref="BM10" authorId="0" shapeId="0">
      <text>
        <r>
          <rPr>
            <sz val="9"/>
            <color indexed="81"/>
            <rFont val="Segoe UI"/>
            <family val="2"/>
          </rPr>
          <t>Eine Planung der mineralischen Düngergaben ist nicht notwendig. Daher ist hier die Dokumentation voreingestellt.</t>
        </r>
      </text>
    </comment>
    <comment ref="BP10" authorId="0" shapeId="0">
      <text>
        <r>
          <rPr>
            <sz val="9"/>
            <color indexed="81"/>
            <rFont val="Segoe UI"/>
            <family val="2"/>
          </rPr>
          <t>Eine Planung der mineralischen Düngergaben ist nicht notwendig. Daher ist hier die Dokumentation voreingestellt.</t>
        </r>
      </text>
    </comment>
    <comment ref="BS10" authorId="0" shapeId="0">
      <text>
        <r>
          <rPr>
            <sz val="9"/>
            <color indexed="81"/>
            <rFont val="Segoe UI"/>
            <family val="2"/>
          </rPr>
          <t>Eine Planung der mineralischen Düngergaben ist nicht notwendig. Daher ist hier die Dokumentation voreingestellt.</t>
        </r>
      </text>
    </comment>
    <comment ref="BV10" authorId="0" shapeId="0">
      <text>
        <r>
          <rPr>
            <sz val="9"/>
            <color indexed="81"/>
            <rFont val="Segoe UI"/>
            <family val="2"/>
          </rPr>
          <t>Eine Planung der mineralischen Düngergaben ist nicht notwendig. Daher ist hier die Dokumentation voreingestellt.</t>
        </r>
      </text>
    </comment>
    <comment ref="BY10" authorId="0" shapeId="0">
      <text>
        <r>
          <rPr>
            <sz val="9"/>
            <color indexed="81"/>
            <rFont val="Segoe UI"/>
            <family val="2"/>
          </rPr>
          <t>Eine Planung der mineralischen Düngergaben ist nicht notwendig. Daher ist hier die Dokumentation voreingestellt.</t>
        </r>
      </text>
    </comment>
    <comment ref="CB10" authorId="0" shapeId="0">
      <text>
        <r>
          <rPr>
            <sz val="9"/>
            <color indexed="81"/>
            <rFont val="Segoe UI"/>
            <family val="2"/>
          </rPr>
          <t>Eine Planung der mineralischen Düngergaben ist nicht notwendig. Daher ist hier die Dokumentation voreingestellt.</t>
        </r>
      </text>
    </comment>
    <comment ref="CE10" authorId="0" shapeId="0">
      <text>
        <r>
          <rPr>
            <sz val="9"/>
            <color indexed="81"/>
            <rFont val="Segoe UI"/>
            <family val="2"/>
          </rPr>
          <t>Eine Planung der mineralischen Düngergaben ist nicht notwendig. Daher ist hier die Dokumentation voreingestellt.</t>
        </r>
      </text>
    </comment>
    <comment ref="CH10" authorId="0" shapeId="0">
      <text>
        <r>
          <rPr>
            <sz val="9"/>
            <color indexed="81"/>
            <rFont val="Segoe UI"/>
            <family val="2"/>
          </rPr>
          <t>Eine Planung der mineralischen Düngergaben ist nicht notwendig. Daher ist hier die Dokumentation voreingestellt.</t>
        </r>
      </text>
    </comment>
    <comment ref="CK10" authorId="0" shapeId="0">
      <text>
        <r>
          <rPr>
            <sz val="9"/>
            <color indexed="81"/>
            <rFont val="Segoe UI"/>
            <family val="2"/>
          </rPr>
          <t>Eine Planung der mineralischen Düngergaben ist nicht notwendig. Daher ist hier die Dokumentation voreingestellt.</t>
        </r>
      </text>
    </comment>
    <comment ref="CN10" authorId="0" shapeId="0">
      <text>
        <r>
          <rPr>
            <sz val="9"/>
            <color indexed="81"/>
            <rFont val="Segoe UI"/>
            <family val="2"/>
          </rPr>
          <t>Eine Planung der mineralischen Düngergaben ist nicht notwendig. Daher ist hier die Dokumentation voreingestellt.</t>
        </r>
      </text>
    </comment>
    <comment ref="CQ10" authorId="0" shapeId="0">
      <text>
        <r>
          <rPr>
            <sz val="9"/>
            <color indexed="81"/>
            <rFont val="Segoe UI"/>
            <family val="2"/>
          </rPr>
          <t>Eine Planung der mineralischen Düngergaben ist nicht notwendig. Daher ist hier die Dokumentation voreingestellt.</t>
        </r>
      </text>
    </comment>
    <comment ref="H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authors>
    <author>Schmücker, Rebekka (LfL)</author>
  </authors>
  <commentList>
    <comment ref="R5" authorId="0" shapeId="0">
      <text>
        <r>
          <rPr>
            <b/>
            <sz val="9"/>
            <color indexed="81"/>
            <rFont val="Segoe UI"/>
            <family val="2"/>
          </rPr>
          <t xml:space="preserve">Zwischenfrucht rot
</t>
        </r>
      </text>
    </comment>
  </commentList>
</comments>
</file>

<file path=xl/comments14.xml><?xml version="1.0" encoding="utf-8"?>
<comments xmlns="http://schemas.openxmlformats.org/spreadsheetml/2006/main">
  <authors>
    <author>Schmücker, Rebekka (LfL)</author>
    <author>Offenberger, Konrad (LfL)</author>
    <author>Sperger, Christian (LfL)</author>
  </authors>
  <commentList>
    <comment ref="H7" authorId="0" shapeId="0">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22"</t>
        </r>
        <r>
          <rPr>
            <sz val="9"/>
            <color indexed="81"/>
            <rFont val="Segoe UI"/>
            <family val="2"/>
          </rPr>
          <t xml:space="preserve"> und beachten Sie die Fehlermeldungen.
Die Erklärung der Fehler- und Hinweismeldungen ist auf dem Tabellenblatt "Fehler_Hinweise" zu finden.</t>
        </r>
      </text>
    </comment>
    <comment ref="M8" authorId="0" shapeId="0">
      <text>
        <r>
          <rPr>
            <sz val="9"/>
            <color indexed="81"/>
            <rFont val="Segoe UI"/>
            <family val="2"/>
          </rPr>
          <t>Hinweise geben Informationen zur DüV-Konformität der Düngergaben im aktuellen Jahr.</t>
        </r>
      </text>
    </comment>
    <comment ref="O8" authorId="0" shapeId="0">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22"</t>
        </r>
        <r>
          <rPr>
            <sz val="9"/>
            <color indexed="81"/>
            <rFont val="Segoe UI"/>
            <family val="2"/>
          </rPr>
          <t xml:space="preserve"> und beachten Sie die Fehlermeldungen.
Die Erklärung der Fehler- und Hinweismeldungen ist auf dem Tabellenblatt "Fehler_Hinweise" zu finden.</t>
        </r>
      </text>
    </comment>
    <comment ref="P8" authorId="0" shapeId="0">
      <text>
        <r>
          <rPr>
            <sz val="9"/>
            <color indexed="81"/>
            <rFont val="Segoe UI"/>
            <family val="2"/>
          </rPr>
          <t>Hinweise geben Informationen zur DüV-Konformität der Düngergaben im aktuellen Jahr.</t>
        </r>
      </text>
    </comment>
    <comment ref="Z9" authorId="0" shapeId="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text>
        <r>
          <rPr>
            <sz val="9"/>
            <color indexed="81"/>
            <rFont val="Tahoma"/>
            <family val="2"/>
          </rPr>
          <t xml:space="preserve">inkl. Weide
</t>
        </r>
      </text>
    </comment>
    <comment ref="K12" authorId="2" shapeId="0">
      <text>
        <r>
          <rPr>
            <sz val="9"/>
            <color indexed="81"/>
            <rFont val="Tahoma"/>
            <family val="2"/>
          </rPr>
          <t>Diese Zahl dient zur Abschätzung der ausgebrachten organischen Düngung (Die 170 kg Grenze kann damit nicht berechnet werden).</t>
        </r>
      </text>
    </comment>
    <comment ref="S13" authorId="0" shapeId="0">
      <text>
        <r>
          <rPr>
            <b/>
            <sz val="9"/>
            <color indexed="81"/>
            <rFont val="Segoe UI"/>
            <family val="2"/>
          </rPr>
          <t xml:space="preserve">1=vollständig
2=unvollständig
</t>
        </r>
      </text>
    </comment>
    <comment ref="S15" authorId="0" shapeId="0">
      <text>
        <r>
          <rPr>
            <b/>
            <sz val="9"/>
            <color indexed="81"/>
            <rFont val="Segoe UI"/>
            <family val="2"/>
          </rPr>
          <t xml:space="preserve">1=vollständig
2=unvollständig
</t>
        </r>
      </text>
    </comment>
  </commentList>
</comments>
</file>

<file path=xl/comments15.xml><?xml version="1.0" encoding="utf-8"?>
<comments xmlns="http://schemas.openxmlformats.org/spreadsheetml/2006/main">
  <authors>
    <author>Schmücker, Rebekka (LfL)</author>
    <author>Offenberger, Konrad (LfL)</author>
  </authors>
  <commentList>
    <comment ref="C3" authorId="0" shapeId="0">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t>
        </r>
      </text>
    </comment>
    <comment ref="C8" authorId="0" shapeId="0">
      <text>
        <r>
          <rPr>
            <sz val="9"/>
            <color indexed="81"/>
            <rFont val="Segoe UI"/>
            <family val="2"/>
          </rPr>
          <t xml:space="preserve">Nur wenn </t>
        </r>
        <r>
          <rPr>
            <b/>
            <sz val="9"/>
            <color indexed="81"/>
            <rFont val="Segoe UI"/>
            <family val="2"/>
          </rPr>
          <t>alle roten Flächen des Betriebs</t>
        </r>
        <r>
          <rPr>
            <sz val="9"/>
            <color indexed="81"/>
            <rFont val="Segoe UI"/>
            <family val="2"/>
          </rPr>
          <t xml:space="preserve"> angelegt sind inklusive</t>
        </r>
        <r>
          <rPr>
            <b/>
            <sz val="9"/>
            <color indexed="81"/>
            <rFont val="Segoe UI"/>
            <family val="2"/>
          </rPr>
          <t xml:space="preserve"> aller zu dokumentierenden Düngemaßnahmen</t>
        </r>
        <r>
          <rPr>
            <sz val="9"/>
            <color indexed="81"/>
            <rFont val="Segoe UI"/>
            <family val="2"/>
          </rPr>
          <t xml:space="preserve"> (mineralisch und organisch in 2020 und 2021) sowie die </t>
        </r>
        <r>
          <rPr>
            <b/>
            <sz val="9"/>
            <color indexed="81"/>
            <rFont val="Segoe UI"/>
            <family val="2"/>
          </rPr>
          <t>Planung der organischen Dünger</t>
        </r>
        <r>
          <rPr>
            <sz val="9"/>
            <color indexed="81"/>
            <rFont val="Segoe UI"/>
            <family val="2"/>
          </rPr>
          <t xml:space="preserve"> in 2021 und</t>
        </r>
        <r>
          <rPr>
            <b/>
            <sz val="9"/>
            <color indexed="81"/>
            <rFont val="Segoe UI"/>
            <family val="2"/>
          </rPr>
          <t xml:space="preserve"> keine Fehlermeldungen</t>
        </r>
        <r>
          <rPr>
            <sz val="9"/>
            <color indexed="81"/>
            <rFont val="Segoe UI"/>
            <family val="2"/>
          </rPr>
          <t xml:space="preserve"> erscheinen kann die 160/80 Regel abgeprüft werden. Fehlende Angaben können zu falschen Ergebnissen führen.</t>
        </r>
      </text>
    </comment>
    <comment ref="Y10" authorId="0" shapeId="0">
      <text>
        <r>
          <rPr>
            <sz val="9"/>
            <color indexed="81"/>
            <rFont val="Segoe UI"/>
            <family val="2"/>
          </rPr>
          <t>Menge Stickstoff muss zur Einhaltung der 20 % Kürzung insgesamt gekürzt werden.</t>
        </r>
      </text>
    </comment>
    <comment ref="I11" authorId="1" shapeId="0">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text>
        <r>
          <rPr>
            <sz val="9"/>
            <color indexed="81"/>
            <rFont val="Segoe UI"/>
            <family val="2"/>
          </rPr>
          <t>Der Wert setzt sich zusammmen aus dem Gesamtstickstoff der dokumentierten und geplanten organischen Düngung im Düngejahr 2022.</t>
        </r>
      </text>
    </comment>
    <comment ref="Y11" authorId="0" shapeId="0">
      <text>
        <r>
          <rPr>
            <sz val="9"/>
            <color indexed="81"/>
            <rFont val="Segoe UI"/>
            <family val="2"/>
          </rPr>
          <t>Menge Stickstoff muss insgesamt gekürzt werden, um die Regel 160/80 einzuhalten. Dabei wird nur die mineralische Empfehlung gekürzt. Organische Dünger müssen selber geändert werden.</t>
        </r>
      </text>
    </comment>
    <comment ref="Y12" authorId="0" shapeId="0">
      <text>
        <r>
          <rPr>
            <sz val="9"/>
            <color indexed="81"/>
            <rFont val="Segoe UI"/>
            <family val="2"/>
          </rPr>
          <t>Summe der eigenen Kürzung aus dem Tabellenblatt "Flächen u. Kulturen", 
Spalten V und W.</t>
        </r>
      </text>
    </comment>
    <comment ref="D17" authorId="0" shapeId="0">
      <text>
        <r>
          <rPr>
            <b/>
            <sz val="9"/>
            <color indexed="81"/>
            <rFont val="Segoe UI"/>
            <family val="2"/>
          </rPr>
          <t xml:space="preserve">Mindestwirksamkeit
</t>
        </r>
      </text>
    </comment>
    <comment ref="AC38" authorId="1" shapeId="0">
      <text>
        <r>
          <rPr>
            <b/>
            <sz val="9"/>
            <color indexed="81"/>
            <rFont val="Tahoma"/>
            <family val="2"/>
          </rPr>
          <t>Abhängig von den anderen Maßnahme</t>
        </r>
      </text>
    </comment>
  </commentList>
</comments>
</file>

<file path=xl/comments16.xml><?xml version="1.0" encoding="utf-8"?>
<comments xmlns="http://schemas.openxmlformats.org/spreadsheetml/2006/main">
  <authors>
    <author>Offenberger, Konrad (LfL)</author>
    <author>Schmücker, Rebekka (LfL)</author>
  </authors>
  <commentList>
    <comment ref="C26" authorId="0" shapeId="0">
      <text>
        <r>
          <rPr>
            <b/>
            <sz val="9"/>
            <color indexed="81"/>
            <rFont val="Tahoma"/>
            <family val="2"/>
          </rPr>
          <t>nur HF</t>
        </r>
      </text>
    </comment>
    <comment ref="D26" authorId="0" shapeId="0">
      <text>
        <r>
          <rPr>
            <b/>
            <sz val="9"/>
            <color indexed="81"/>
            <rFont val="Tahoma"/>
            <family val="2"/>
          </rPr>
          <t>2021: nur HF
2022: HF + Zweitfrucht (ohne
 Zwischenfrucht)</t>
        </r>
      </text>
    </comment>
    <comment ref="F26" authorId="0" shapeId="0">
      <text>
        <r>
          <rPr>
            <b/>
            <sz val="9"/>
            <color indexed="81"/>
            <rFont val="Tahoma"/>
            <family val="2"/>
          </rPr>
          <t>HF+ZWF+ ZWF</t>
        </r>
      </text>
    </comment>
    <comment ref="I26" authorId="0" shapeId="0">
      <text>
        <r>
          <rPr>
            <b/>
            <sz val="9"/>
            <color indexed="81"/>
            <rFont val="Tahoma"/>
            <family val="2"/>
          </rPr>
          <t>2021: nur HF
2022: HF + ZWF + ZWF</t>
        </r>
        <r>
          <rPr>
            <sz val="9"/>
            <color indexed="81"/>
            <rFont val="Tahoma"/>
            <family val="2"/>
          </rPr>
          <t xml:space="preserve">
</t>
        </r>
      </text>
    </comment>
    <comment ref="S27" authorId="1" shapeId="0">
      <text>
        <r>
          <rPr>
            <b/>
            <sz val="9"/>
            <color indexed="81"/>
            <rFont val="Segoe UI"/>
            <family val="2"/>
          </rPr>
          <t>wenn weniger kann als soll, wird 100% vom kann abgezogen und ist damit fest eingeplant</t>
        </r>
      </text>
    </comment>
    <comment ref="V27" authorId="1" shapeId="0">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text>
        <r>
          <rPr>
            <b/>
            <sz val="9"/>
            <color indexed="81"/>
            <rFont val="Segoe UI"/>
            <family val="2"/>
          </rPr>
          <t>wenn weniger kann als soll, wird 100% vom kann abgezogen</t>
        </r>
      </text>
    </comment>
    <comment ref="A129" authorId="1" shapeId="0">
      <text>
        <r>
          <rPr>
            <b/>
            <sz val="9"/>
            <color indexed="81"/>
            <rFont val="Segoe UI"/>
            <family val="2"/>
          </rPr>
          <t>Zweitfrüchte</t>
        </r>
      </text>
    </comment>
  </commentList>
</comments>
</file>

<file path=xl/comments17.xml><?xml version="1.0" encoding="utf-8"?>
<comments xmlns="http://schemas.openxmlformats.org/spreadsheetml/2006/main">
  <authors>
    <author>Schmücker, Rebekka (LfL)</author>
    <author>Offenberger, Konrad (LfL)</author>
  </authors>
  <commentList>
    <comment ref="D7" authorId="0" shapeId="0">
      <text>
        <r>
          <rPr>
            <sz val="9"/>
            <color indexed="81"/>
            <rFont val="Segoe UI"/>
            <family val="2"/>
          </rPr>
          <t>Flächen, die nach DüV um 20 % vom Düngebedarf gekürzt werden müssen, sind mit x gekennzeichnet (rote Flächen).</t>
        </r>
      </text>
    </comment>
    <comment ref="H7" authorId="0" shapeId="0">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 xml:space="preserve"> sowie den Abzug der </t>
        </r>
        <r>
          <rPr>
            <b/>
            <sz val="9"/>
            <color indexed="81"/>
            <rFont val="Segoe UI"/>
            <family val="2"/>
          </rPr>
          <t>Stickstofffixierung</t>
        </r>
        <r>
          <rPr>
            <sz val="9"/>
            <color indexed="81"/>
            <rFont val="Segoe UI"/>
            <family val="2"/>
          </rPr>
          <t>.</t>
        </r>
      </text>
    </comment>
    <comment ref="J7" authorId="0" shapeId="0">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Diese Spalte ist nicht im Druckbereich enthalten und muss für eine vollständige Düngebedarfsermittlung nicht ausgedruckt werden. 
</t>
        </r>
      </text>
    </comment>
    <comment ref="M7" authorId="0" shapeId="0">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authors>
    <author>Offenberger, Konrad (LfL)</author>
    <author>Schmücker, Rebekka (LfL)</author>
  </authors>
  <commentList>
    <comment ref="F6" authorId="0" shapeId="0">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V8" authorId="1" shapeId="0">
      <text>
        <r>
          <rPr>
            <sz val="9"/>
            <color indexed="81"/>
            <rFont val="Segoe UI"/>
            <family val="2"/>
          </rPr>
          <t>Diese Spalte gibt die Menge an Kalkammonsalpeter je Hektar aus, die der Menge an noch zu düngendem Stickstoff entspricht.</t>
        </r>
      </text>
    </comment>
    <comment ref="X8" authorId="1" shapeId="0">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 ref="O11" authorId="1" shapeId="0">
      <text>
        <r>
          <rPr>
            <sz val="9"/>
            <color indexed="81"/>
            <rFont val="Segoe UI"/>
            <family val="2"/>
          </rPr>
          <t xml:space="preserve">Anrechnung der organischen Düngung zu </t>
        </r>
        <r>
          <rPr>
            <b/>
            <sz val="9"/>
            <color indexed="81"/>
            <rFont val="Segoe UI"/>
            <family val="2"/>
          </rPr>
          <t>Zwischen- oder Zweitfrüchen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authors>
    <author>Schmücker, Rebekka (LfL)</author>
  </authors>
  <commentList>
    <comment ref="E6" authorId="0" shapeId="0">
      <text>
        <r>
          <rPr>
            <sz val="9"/>
            <color indexed="81"/>
            <rFont val="Segoe UI"/>
            <family val="2"/>
          </rPr>
          <t>Werden die unten stehenden Notizen auf Ihrem Bildschirm nicht vollständig abgebildet, finden Sie eine vollständige Liste im Tabellenblatt "Vorauswahl".</t>
        </r>
      </text>
    </comment>
    <comment ref="L6" authorId="0" shapeId="0">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M6" authorId="0" shapeId="0">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2021/22. Bereits dokumentierte Dünger wurden </t>
        </r>
        <r>
          <rPr>
            <b/>
            <sz val="9"/>
            <color indexed="81"/>
            <rFont val="Segoe UI"/>
            <family val="2"/>
          </rPr>
          <t>nicht abgezogen</t>
        </r>
        <r>
          <rPr>
            <sz val="9"/>
            <color indexed="81"/>
            <rFont val="Segoe UI"/>
            <family val="2"/>
          </rPr>
          <t>.</t>
        </r>
      </text>
    </comment>
    <comment ref="P6" authorId="0" shapeId="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authors>
    <author>Schmücker, Rebekka (LfL)</author>
  </authors>
  <commentList>
    <comment ref="G50" authorId="0" shapeId="0">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authors>
    <author>Schmücker, Rebekka (LfL)</author>
    <author>Offenberger, Konrad (LfL)</author>
  </authors>
  <commentList>
    <comment ref="C16" authorId="0" shapeId="0">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7" authorId="0" shapeId="0">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7" authorId="0" shapeId="0">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5" authorId="0" shapeId="0">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5" authorId="0" shapeId="0">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6" authorId="1" shapeId="0">
      <text>
        <r>
          <rPr>
            <sz val="9"/>
            <color indexed="81"/>
            <rFont val="Segoe UI"/>
            <family val="2"/>
          </rPr>
          <t>Berechnung 170 kg N/ha betriebsbezogen mit separatem Programm (z.B. Excel-Programm Lagerraum und Nährstoffanfall mit Berechnung 170 kg N Grenze).</t>
        </r>
      </text>
    </comment>
  </commentList>
</comments>
</file>

<file path=xl/comments21.xml><?xml version="1.0" encoding="utf-8"?>
<comments xmlns="http://schemas.openxmlformats.org/spreadsheetml/2006/main">
  <authors>
    <author>Schmücker, Rebekka (LfL)</author>
  </authors>
  <commentList>
    <comment ref="B2" authorId="0" shapeId="0">
      <text>
        <r>
          <rPr>
            <b/>
            <sz val="9"/>
            <color indexed="81"/>
            <rFont val="Segoe UI"/>
            <family val="2"/>
          </rPr>
          <t>Berechnungen können nicht durchgeführt werden</t>
        </r>
        <r>
          <rPr>
            <sz val="9"/>
            <color indexed="81"/>
            <rFont val="Segoe UI"/>
            <family val="2"/>
          </rPr>
          <t>, solange Fehlermeldungen aktiv sind.</t>
        </r>
      </text>
    </comment>
    <comment ref="C2" authorId="0" shapeId="0">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authors>
    <author>Brandl, Maria (LfL)</author>
    <author>Schmücker, Rebekka (LfL)</author>
    <author>Sperger, Christian (LfL)</author>
  </authors>
  <commentList>
    <comment ref="G4" authorId="0" shapeId="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text>
        <r>
          <rPr>
            <sz val="9"/>
            <color indexed="81"/>
            <rFont val="Tahoma"/>
            <family val="2"/>
          </rPr>
          <t xml:space="preserve">Abschläge für DBE Acker bei landwirtschaftlichen Betrieben, wenn diese Kultur Vorfrucht ist.
Bei Gemüsebaubetrieben andere Spalte
</t>
        </r>
      </text>
    </comment>
    <comment ref="W4" authorId="1" shapeId="0">
      <text>
        <r>
          <rPr>
            <b/>
            <sz val="9"/>
            <color indexed="81"/>
            <rFont val="Segoe UI"/>
            <family val="2"/>
          </rPr>
          <t>1=Acker, 2= Feldfutterbau, 3=GL</t>
        </r>
      </text>
    </comment>
    <comment ref="N5" authorId="1" shapeId="0">
      <text>
        <r>
          <rPr>
            <b/>
            <sz val="9"/>
            <color indexed="81"/>
            <rFont val="Segoe UI"/>
            <family val="2"/>
          </rPr>
          <t>Bei Grünland Abzug je Kleeanteil unabhängig vom Ertrag (als negativer Wert)</t>
        </r>
      </text>
    </comment>
    <comment ref="P5" authorId="2" shapeId="0">
      <text>
        <r>
          <rPr>
            <b/>
            <sz val="9"/>
            <color indexed="81"/>
            <rFont val="Tahoma"/>
            <family val="2"/>
          </rPr>
          <t>für Plausi, anstatt Abfrage von Saatdatum der zu planenden HF</t>
        </r>
      </text>
    </comment>
    <comment ref="DS369" authorId="0" shapeId="0">
      <text>
        <r>
          <rPr>
            <sz val="9"/>
            <color indexed="81"/>
            <rFont val="Segoe UI"/>
            <family val="2"/>
          </rPr>
          <t xml:space="preserve">syn. Gartenpimpinelle
</t>
        </r>
      </text>
    </comment>
  </commentList>
</comments>
</file>

<file path=xl/comments4.xml><?xml version="1.0" encoding="utf-8"?>
<comments xmlns="http://schemas.openxmlformats.org/spreadsheetml/2006/main">
  <authors>
    <author>Brandl, Maria (LfL)</author>
    <author>Schmücker, Rebekka (LfL)</author>
  </authors>
  <commentList>
    <comment ref="G6" authorId="0" shapeId="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text>
        <r>
          <rPr>
            <b/>
            <sz val="9"/>
            <color indexed="81"/>
            <rFont val="Tahoma"/>
            <family val="2"/>
          </rPr>
          <t>1: &lt;=75%
2: &gt;75%</t>
        </r>
      </text>
    </comment>
  </commentList>
</comments>
</file>

<file path=xl/comments5.xml><?xml version="1.0" encoding="utf-8"?>
<comments xmlns="http://schemas.openxmlformats.org/spreadsheetml/2006/main">
  <authors>
    <author>Brandl, Maria (LfL)</author>
    <author>Schmücker, Rebekka (LfL)</author>
  </authors>
  <commentList>
    <comment ref="F6" authorId="0" shapeId="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text>
        <r>
          <rPr>
            <b/>
            <sz val="9"/>
            <color indexed="81"/>
            <rFont val="Tahoma"/>
            <family val="2"/>
          </rPr>
          <t>Für Einheit im Programm
1= flüssig
2= fest</t>
        </r>
        <r>
          <rPr>
            <sz val="9"/>
            <color indexed="81"/>
            <rFont val="Tahoma"/>
            <family val="2"/>
          </rPr>
          <t xml:space="preserve">
</t>
        </r>
      </text>
    </comment>
    <comment ref="J6" authorId="0" shapeId="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text>
        <r>
          <rPr>
            <b/>
            <sz val="9"/>
            <color indexed="81"/>
            <rFont val="Segoe UI"/>
            <family val="2"/>
          </rPr>
          <t xml:space="preserve">Dünger von Huf- und Klauentier 
</t>
        </r>
        <r>
          <rPr>
            <sz val="9"/>
            <color indexed="81"/>
            <rFont val="Segoe UI"/>
            <family val="2"/>
          </rPr>
          <t xml:space="preserve">1= ja 
2= nein
</t>
        </r>
      </text>
    </comment>
    <comment ref="L6" authorId="0" shapeId="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text>
        <r>
          <rPr>
            <b/>
            <sz val="9"/>
            <color indexed="81"/>
            <rFont val="Segoe UI"/>
            <family val="2"/>
          </rPr>
          <t xml:space="preserve">1: ja (Gülle)
2: nein (Mist
</t>
        </r>
      </text>
    </comment>
    <comment ref="Q6" authorId="0" shapeId="0">
      <text>
        <r>
          <rPr>
            <sz val="9"/>
            <color indexed="81"/>
            <rFont val="Tahoma"/>
            <family val="2"/>
          </rPr>
          <t xml:space="preserve">Fehlende Angaben (-) bedeuten, dass nur noch unbedeutende NH4-N Mengen enthalten sind. 
</t>
        </r>
      </text>
    </comment>
    <comment ref="Z6" authorId="0" shapeId="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AA6" authorId="0" shapeId="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AC6" authorId="1" shapeId="0">
      <text>
        <r>
          <rPr>
            <b/>
            <sz val="9"/>
            <color indexed="81"/>
            <rFont val="Tahoma"/>
            <family val="2"/>
          </rPr>
          <t xml:space="preserve">kg/t bzw. m^3
</t>
        </r>
      </text>
    </comment>
    <comment ref="AD6" authorId="1" shapeId="0">
      <text>
        <r>
          <rPr>
            <b/>
            <sz val="9"/>
            <color indexed="81"/>
            <rFont val="Tahoma"/>
            <family val="2"/>
          </rPr>
          <t xml:space="preserve">kg/t bzw. m^3
</t>
        </r>
      </text>
    </comment>
    <comment ref="AE6" authorId="1" shapeId="0">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authors>
    <author>Brandl, Maria (LfL)</author>
  </authors>
  <commentList>
    <comment ref="G5" authorId="0" shapeId="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authors>
    <author>Schmücker, Rebekka (LfL)</author>
  </authors>
  <commentList>
    <comment ref="BF7" authorId="0" shapeId="0">
      <text>
        <r>
          <rPr>
            <b/>
            <sz val="9"/>
            <color indexed="81"/>
            <rFont val="Segoe UI"/>
            <family val="2"/>
          </rPr>
          <t>Im Namensmanager Formel für Druckbereich dieser Seite</t>
        </r>
      </text>
    </comment>
    <comment ref="U11" authorId="0" shapeId="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text>
        <r>
          <rPr>
            <sz val="9"/>
            <color indexed="81"/>
            <rFont val="Segoe UI"/>
            <family val="2"/>
          </rPr>
          <t>Die Nährstoffgehalte sind bezogen auf die Frischmasse des jeweiligen Düngers.</t>
        </r>
      </text>
    </comment>
    <comment ref="AB11" authorId="0" shapeId="0">
      <text>
        <r>
          <rPr>
            <sz val="9"/>
            <color indexed="81"/>
            <rFont val="Segoe UI"/>
            <family val="2"/>
          </rPr>
          <t xml:space="preserve">Die Erklärung der Fehler- und Hinweismeldungen ist auf dem Tabellenblatt "Fehler_Hinweise" zu finden.
</t>
        </r>
      </text>
    </comment>
    <comment ref="AI11" authorId="0" shapeId="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text>
        <r>
          <rPr>
            <sz val="9"/>
            <color indexed="81"/>
            <rFont val="Segoe UI"/>
            <family val="2"/>
          </rPr>
          <t xml:space="preserve">Die Erklärung der Fehler- und Hinweismeldungen ist auf dem Tabellenblatt "Fehler_Hinweise" zu finden.
</t>
        </r>
      </text>
    </comment>
    <comment ref="AS29" authorId="0" shapeId="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text>
        <r>
          <rPr>
            <sz val="9"/>
            <color indexed="81"/>
            <rFont val="Segoe UI"/>
            <family val="2"/>
          </rPr>
          <t xml:space="preserve">Die Erklärung der Fehler- und Hinweismeldungen ist auf dem Tabellenblatt "Fehler_Hinweise" zu finden.
</t>
        </r>
      </text>
    </comment>
    <comment ref="B375" authorId="0" shapeId="0">
      <text>
        <r>
          <rPr>
            <sz val="9"/>
            <color indexed="81"/>
            <rFont val="Segoe UI"/>
            <family val="2"/>
          </rPr>
          <t xml:space="preserve">
</t>
        </r>
      </text>
    </comment>
    <comment ref="D375" authorId="0" shapeId="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5" authorId="0" shapeId="0">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5" authorId="0" shapeId="0">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authors>
    <author>Schmücker, Rebekka (LfL)</author>
    <author>Sperger, Christian (LfL)</author>
    <author>Offenberger, Konrad (LfL)</author>
  </authors>
  <commentList>
    <comment ref="C2" authorId="0" shapeId="0">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text>
        <r>
          <rPr>
            <sz val="9"/>
            <color indexed="81"/>
            <rFont val="Segoe UI"/>
            <family val="2"/>
          </rPr>
          <t>Nehmen Sie hier das "x" heraus, wenn der Schlag im Düngejahr 2022 nicht im Betrieb war bzw. nicht gedüngt und nicht genutzt wurde.</t>
        </r>
        <r>
          <rPr>
            <b/>
            <sz val="9"/>
            <color indexed="81"/>
            <rFont val="Segoe UI"/>
            <family val="2"/>
          </rPr>
          <t xml:space="preserve"> </t>
        </r>
      </text>
    </comment>
    <comment ref="F8" authorId="0" shapeId="0">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text>
        <r>
          <rPr>
            <sz val="9"/>
            <color indexed="81"/>
            <rFont val="Tahoma"/>
            <family val="2"/>
          </rPr>
          <t>Befindet sich der Schlag in einem mit Nitrat belasteten Gebiet gemäß der ab 01.01.2021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die von der Kürzung befreit sind.</t>
        </r>
      </text>
    </comment>
    <comment ref="I8" authorId="0" shapeId="0">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J8" authorId="1" shapeId="0">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K8" authorId="2" shapeId="0">
      <text>
        <r>
          <rPr>
            <sz val="9"/>
            <color indexed="81"/>
            <rFont val="Segoe UI"/>
            <family val="2"/>
          </rPr>
          <t>organische Düngung (Ngesamt im Herbst und Frühjahr) zur Hauptfrucht im Düngejahr 2021 ohne Nährstoffanfall Weide.</t>
        </r>
      </text>
    </comment>
    <comment ref="L8" authorId="0" shapeId="0">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N8" authorId="0" shapeId="0">
      <text>
        <r>
          <rPr>
            <sz val="9"/>
            <color indexed="81"/>
            <rFont val="Segoe UI"/>
            <family val="2"/>
          </rPr>
          <t>Wird im Anschluss an die Zwischenfrucht eine Mulchsaat durchgeführt ist der Zeitraum der Mulchsaat anzugeben</t>
        </r>
      </text>
    </comment>
    <comment ref="O8" authorId="0" shapeId="0">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P8" authorId="1" shapeId="0">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Q8" authorId="0" shapeId="0">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V8" authorId="0" shapeId="0">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text>
        <r>
          <rPr>
            <sz val="9"/>
            <color indexed="81"/>
            <rFont val="Segoe UI"/>
            <family val="2"/>
          </rPr>
          <t xml:space="preserve">Die Erklärung der Fehler- und Hinweismeldungen ist auf dem Tabellenblatt "Fehler_Hinweise" zu finden.  </t>
        </r>
      </text>
    </comment>
  </commentList>
</comments>
</file>

<file path=xl/comments9.xml><?xml version="1.0" encoding="utf-8"?>
<comments xmlns="http://schemas.openxmlformats.org/spreadsheetml/2006/main">
  <authors>
    <author>Schmücker, Rebekka (LfL)</author>
  </authors>
  <commentList>
    <comment ref="N4" authorId="0" shapeId="0">
      <text>
        <r>
          <rPr>
            <b/>
            <sz val="9"/>
            <color indexed="81"/>
            <rFont val="Segoe UI"/>
            <family val="2"/>
          </rPr>
          <t xml:space="preserve">1=Acker
2=FFB
3=GL
</t>
        </r>
      </text>
    </comment>
    <comment ref="O4" authorId="0" shapeId="0">
      <text>
        <r>
          <rPr>
            <b/>
            <sz val="9"/>
            <color indexed="81"/>
            <rFont val="Segoe UI"/>
            <family val="2"/>
          </rPr>
          <t xml:space="preserve">1=Acker
2=FFB (VF + HF)
3=GL
</t>
        </r>
      </text>
    </comment>
    <comment ref="S4" authorId="0" shapeId="0">
      <text>
        <r>
          <rPr>
            <b/>
            <sz val="9"/>
            <color indexed="81"/>
            <rFont val="Segoe UI"/>
            <family val="2"/>
          </rPr>
          <t xml:space="preserve">1: Ja
2: Nein
</t>
        </r>
      </text>
    </comment>
    <comment ref="AB4" authorId="0" shapeId="0">
      <text>
        <r>
          <rPr>
            <b/>
            <sz val="9"/>
            <color indexed="81"/>
            <rFont val="Segoe UI"/>
            <family val="2"/>
          </rPr>
          <t xml:space="preserve">1= Haupternteprodukt, 2=Nebenernetprod.,
3=Ganzpflanze
4= keine Kultur ausgewählt
für Vorbelegung Stroh-Blattbergung
</t>
        </r>
      </text>
    </comment>
    <comment ref="AD4" authorId="0" shapeId="0">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G4" authorId="0" shapeId="0">
      <text>
        <r>
          <rPr>
            <b/>
            <sz val="9"/>
            <color indexed="81"/>
            <rFont val="Segoe UI"/>
            <family val="2"/>
          </rPr>
          <t>1: &lt;75%
2: &gt;75%</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<sst xmlns="http://schemas.openxmlformats.org/spreadsheetml/2006/main" count="33609" uniqueCount="2457">
  <si>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</si>
  <si>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</si>
  <si>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</si>
  <si>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</si>
  <si>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</si>
  <si>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</si>
  <si>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</si>
  <si>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</si>
  <si>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</si>
  <si>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</si>
  <si>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</si>
  <si>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</si>
  <si>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</si>
  <si>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</si>
  <si>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</si>
  <si>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</si>
  <si>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</si>
  <si>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</si>
  <si>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</si>
  <si>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</si>
  <si>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</si>
  <si>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</si>
  <si>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</si>
  <si>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</si>
  <si>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</si>
  <si>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</si>
  <si>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</si>
  <si>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</si>
  <si>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</si>
  <si>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</si>
  <si>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</si>
  <si>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</si>
  <si>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</si>
  <si>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</si>
  <si>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</si>
  <si>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</si>
  <si>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</si>
  <si>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</si>
  <si>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Ackergras 5 Schnitte/Jahr</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</si>
  <si>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</si>
  <si>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</si>
  <si>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</si>
  <si>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</si>
  <si>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</si>
  <si>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</si>
  <si>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</si>
  <si>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</si>
  <si>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</si>
  <si>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</si>
  <si>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</si>
  <si>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</si>
  <si>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</si>
  <si>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</si>
  <si>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</si>
  <si>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</si>
  <si>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</si>
  <si>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</si>
  <si>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</si>
  <si>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</si>
  <si>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</si>
  <si>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</si>
  <si>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</si>
  <si>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</si>
  <si>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</si>
  <si>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</si>
  <si>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</si>
  <si>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</si>
  <si>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</si>
  <si>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</si>
  <si>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</si>
  <si>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</si>
  <si>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</si>
  <si>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</si>
  <si>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</si>
  <si>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</si>
  <si>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Erdbeeren, Frühjahr</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</si>
  <si>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</si>
  <si>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</si>
  <si>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</si>
  <si>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</si>
  <si>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</si>
  <si>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</si>
  <si>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</si>
  <si>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</si>
  <si>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</si>
  <si>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</si>
  <si>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</si>
  <si>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</si>
  <si>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</si>
  <si>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</si>
  <si>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</si>
  <si>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</si>
  <si>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</si>
  <si>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</si>
  <si>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</si>
  <si>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</si>
  <si>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</si>
  <si>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</si>
  <si>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</si>
  <si>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</si>
  <si>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</si>
  <si>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</si>
  <si>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</si>
  <si>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</si>
  <si>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</si>
  <si>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</si>
  <si>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</si>
  <si>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</si>
  <si>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</si>
  <si>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</si>
  <si>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WW-AB</t>
  </si>
  <si>
    <t>GL</t>
  </si>
  <si>
    <t>SM</t>
  </si>
  <si>
    <t>WW-C</t>
  </si>
  <si>
    <t>WW-E</t>
  </si>
  <si>
    <t>HA</t>
  </si>
  <si>
    <t>KM</t>
  </si>
  <si>
    <t>allgemeine Schlagangaben</t>
  </si>
  <si>
    <t>Einarbeitung</t>
  </si>
  <si>
    <t>org.</t>
  </si>
  <si>
    <t>Fläche rot</t>
  </si>
  <si>
    <t>Nährstoffanfall Weide</t>
  </si>
  <si>
    <t>Ertragsstufe</t>
  </si>
  <si>
    <t>Ertrag DüV</t>
  </si>
  <si>
    <t>TM</t>
  </si>
  <si>
    <t>FM</t>
  </si>
  <si>
    <t>N-Fix</t>
  </si>
  <si>
    <t>Summe</t>
  </si>
  <si>
    <t>Anrechnung</t>
  </si>
  <si>
    <t>Anteil</t>
  </si>
  <si>
    <t>Bodenhilfsstoffe</t>
  </si>
  <si>
    <t xml:space="preserve">Ertrag </t>
  </si>
  <si>
    <t xml:space="preserve">differenz </t>
  </si>
  <si>
    <t>in %</t>
  </si>
  <si>
    <t>tierischer Anteil</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</si>
  <si>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</si>
  <si>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</si>
  <si>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</si>
  <si>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</si>
  <si>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</si>
  <si>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</si>
  <si>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</si>
  <si>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</si>
  <si>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</si>
  <si>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</si>
  <si>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</si>
  <si>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</si>
  <si>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</si>
  <si>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</si>
  <si>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</si>
  <si>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</si>
  <si>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</si>
  <si>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</si>
  <si>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</si>
  <si>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</si>
  <si>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</si>
  <si>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</si>
  <si>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</si>
  <si>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</si>
  <si>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</si>
  <si>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</si>
  <si>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</si>
  <si>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</si>
  <si>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</si>
  <si>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</si>
  <si>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</si>
  <si>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</si>
  <si>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</si>
  <si>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</si>
  <si>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</si>
  <si>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</si>
  <si>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</si>
  <si>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</si>
  <si>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</si>
  <si>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</si>
  <si>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</si>
  <si>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</si>
  <si>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</si>
  <si>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</si>
  <si>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</si>
  <si>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</si>
  <si>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</si>
  <si>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</si>
  <si>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</si>
  <si>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</si>
  <si>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</si>
  <si>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</si>
  <si>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</si>
  <si>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</si>
  <si>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</si>
  <si>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</si>
  <si>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</si>
  <si>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</si>
  <si>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</si>
  <si>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</si>
  <si>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</si>
  <si>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</si>
  <si>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</si>
  <si>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</si>
  <si>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AHL / PIASAN 28</t>
  </si>
  <si>
    <t>ALZON neo-N</t>
  </si>
  <si>
    <t>Ammonsulfatsalpeter (ASS)</t>
  </si>
  <si>
    <t>Dolophos 6</t>
  </si>
  <si>
    <t>Dolophos 15</t>
  </si>
  <si>
    <t>Entec 25+15</t>
  </si>
  <si>
    <t>Harnstoff / PIAGRAN 46</t>
  </si>
  <si>
    <t>Kali 60er</t>
  </si>
  <si>
    <t>KALISOP (Kaliumsulfat)</t>
  </si>
  <si>
    <t>Kalkammonsalpeter</t>
  </si>
  <si>
    <t>KAS + S</t>
  </si>
  <si>
    <t>Kalkstickstoff geperlt (Perlka)</t>
  </si>
  <si>
    <t>Korn-Kali</t>
  </si>
  <si>
    <t>Magnesia-Kainit</t>
  </si>
  <si>
    <t>NovaPhos 23</t>
  </si>
  <si>
    <t>NPK 12+12+17 S/Cl</t>
  </si>
  <si>
    <t>Nitrophoska 15+13+13</t>
  </si>
  <si>
    <t>P 26</t>
  </si>
  <si>
    <t>Patentkali / Kalimagnesia</t>
  </si>
  <si>
    <t>PKPluS 7+21 (+ 5 MgO + 9 S)</t>
  </si>
  <si>
    <t>PKPluS 12+24 (+ 2 MgO + 7 S)</t>
  </si>
  <si>
    <t>PKPluS 16+12 (+ 2 MgO + 9 S)</t>
  </si>
  <si>
    <t>PKPluS 16+16 (+ 2 MgO + 8 S)</t>
  </si>
  <si>
    <t>Triple-Superphosphat</t>
  </si>
  <si>
    <t>Weicherdiges Rohphosphat</t>
  </si>
  <si>
    <t>YaraBela SULFAN</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</si>
  <si>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</si>
  <si>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</si>
  <si>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</si>
  <si>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</si>
  <si>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</si>
  <si>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</si>
  <si>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</si>
  <si>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</si>
  <si>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</si>
  <si>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</si>
  <si>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</si>
  <si>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</si>
  <si>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</si>
  <si>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</si>
  <si>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</si>
  <si>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</si>
  <si>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</si>
  <si>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</si>
  <si>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</si>
  <si>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</si>
  <si>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</si>
  <si>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</si>
  <si>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</si>
  <si>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</si>
  <si>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</si>
  <si>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</si>
  <si>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</si>
  <si>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</si>
  <si>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</si>
  <si>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</si>
  <si>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</si>
  <si>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</si>
  <si>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</si>
  <si>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</si>
  <si>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</si>
  <si>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</si>
  <si>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</si>
  <si>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</si>
  <si>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</si>
  <si>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</si>
  <si>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</si>
  <si>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</si>
  <si>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</si>
  <si>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</si>
  <si>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</si>
  <si>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</si>
  <si>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</si>
  <si>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</si>
  <si>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</si>
  <si>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</si>
  <si>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</si>
  <si>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</si>
  <si>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</si>
  <si>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</si>
  <si>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</si>
  <si>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</si>
  <si>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</si>
  <si>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</si>
  <si>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</si>
  <si>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</si>
  <si>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</si>
  <si>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</si>
  <si>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</si>
  <si>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</si>
  <si>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</si>
  <si>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</si>
  <si>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</si>
  <si>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</si>
  <si>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</si>
  <si>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</si>
  <si>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</si>
  <si>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</si>
  <si>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</si>
  <si>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</si>
  <si>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</si>
  <si>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</si>
  <si>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</si>
  <si>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</si>
  <si>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</si>
  <si>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</si>
  <si>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</si>
  <si>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</si>
  <si>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</si>
  <si>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</si>
  <si>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</si>
  <si>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</si>
  <si>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</si>
  <si>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</si>
  <si>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</si>
  <si>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</si>
  <si>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</si>
  <si>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</si>
  <si>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Ammoniumsulfat/Domogran 45</t>
  </si>
  <si>
    <t>Ammoniumsulfat-Harnstoff/PIAMON 33-S</t>
  </si>
  <si>
    <t>Entec perfekt  15+5+20</t>
  </si>
  <si>
    <t>Harnstoff + Ureaseinhibitor</t>
  </si>
  <si>
    <t>ESTA Kieserit granuliert</t>
  </si>
  <si>
    <t>L.A.T NAC 27 N</t>
  </si>
  <si>
    <t>Nitrophoska 13+9+16</t>
  </si>
  <si>
    <t>Nitrophoska 20+10+10</t>
  </si>
  <si>
    <t>ÖKOPHOS PLUS</t>
  </si>
  <si>
    <t>PotashPluS 37</t>
  </si>
  <si>
    <t>YaraBela NITROMAG</t>
  </si>
  <si>
    <t>YaraMila GETREIDE</t>
  </si>
  <si>
    <t>YaraMila MAIS</t>
  </si>
  <si>
    <t>YaraMila UNIVERSAL V</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</si>
  <si>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</si>
  <si>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</si>
  <si>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</si>
  <si>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</si>
  <si>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</si>
  <si>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</si>
  <si>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</si>
  <si>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</si>
  <si>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</si>
  <si>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</si>
  <si>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</si>
  <si>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</si>
  <si>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</si>
  <si>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</si>
  <si>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</si>
  <si>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</si>
  <si>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2 Wochen</t>
  </si>
  <si>
    <t>4 Wochen</t>
  </si>
  <si>
    <t>Sperrfrist 2020/2021</t>
  </si>
  <si>
    <t xml:space="preserve">  -    - außer Zweitfrucht</t>
  </si>
  <si>
    <t>(ausblenden)</t>
  </si>
  <si>
    <t>ausblenden</t>
  </si>
  <si>
    <t>Programmname</t>
  </si>
  <si>
    <t>Art 1</t>
  </si>
  <si>
    <t>edv code*</t>
  </si>
  <si>
    <t>Art 1*</t>
  </si>
  <si>
    <t>Art 3</t>
  </si>
  <si>
    <t>Art 2</t>
  </si>
  <si>
    <t>Art 3*</t>
  </si>
  <si>
    <t>Art 4</t>
  </si>
  <si>
    <t>Art 4*</t>
  </si>
  <si>
    <t>Art 5</t>
  </si>
  <si>
    <t>Art 5*</t>
  </si>
  <si>
    <t>Greift 30/60</t>
  </si>
  <si>
    <t>NH4N</t>
  </si>
  <si>
    <t>NH4 %*</t>
  </si>
  <si>
    <t>Mg*</t>
  </si>
  <si>
    <t>K*</t>
  </si>
  <si>
    <t>N anteil Stroh</t>
  </si>
  <si>
    <t>orgduenger_edvname</t>
  </si>
  <si>
    <t>edv_code</t>
  </si>
  <si>
    <t>eigene_untersuchung</t>
  </si>
  <si>
    <t>orgduenger_art1</t>
  </si>
  <si>
    <t>orgduenger_art2</t>
  </si>
  <si>
    <t>orgduenger_art3</t>
  </si>
  <si>
    <t>orgduenger_art4</t>
  </si>
  <si>
    <t>orgduenger_art5</t>
  </si>
  <si>
    <t>duenger_anlage5</t>
  </si>
  <si>
    <t>regel_30_60_num</t>
  </si>
  <si>
    <t>tm</t>
  </si>
  <si>
    <t>gehalt_fm_nges</t>
  </si>
  <si>
    <t>gehalt_fm_nh4</t>
  </si>
  <si>
    <t>gehalt_fm_p2o5</t>
  </si>
  <si>
    <t>gehalt_fm_k2o</t>
  </si>
  <si>
    <t>gehalt_fm_mgo</t>
  </si>
  <si>
    <t>anteil_nh4_an_nges</t>
  </si>
  <si>
    <t>anteil_stroh_an_nges</t>
  </si>
  <si>
    <t>anteil_tier_an_nges</t>
  </si>
  <si>
    <t>anteil_tier_an_p2o5</t>
  </si>
  <si>
    <t>verluste_stalllager</t>
  </si>
  <si>
    <t>n_mindestwirksamkeit_acker</t>
  </si>
  <si>
    <t>n_mindestwirksamkeit_gruenland</t>
  </si>
  <si>
    <t>gehalt_nges_tm</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</si>
  <si>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</si>
  <si>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</si>
  <si>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</si>
  <si>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</si>
  <si>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</si>
  <si>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</si>
  <si>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</si>
  <si>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</si>
  <si>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</si>
  <si>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</si>
  <si>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</si>
  <si>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</si>
  <si>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</si>
  <si>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</si>
  <si>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</si>
  <si>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</si>
  <si>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</si>
  <si>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</si>
  <si>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</si>
  <si>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</si>
  <si>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</si>
  <si>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</si>
  <si>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</si>
  <si>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</si>
  <si>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</si>
  <si>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</si>
  <si>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</si>
  <si>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</si>
  <si>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</si>
  <si>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</si>
  <si>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</si>
  <si>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</si>
  <si>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</si>
  <si>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</si>
  <si>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Hühnermist (50 % TM)</t>
  </si>
  <si>
    <t>GM310</t>
  </si>
  <si>
    <t>GG320</t>
  </si>
  <si>
    <t>Putenmist (50 % TM)</t>
  </si>
  <si>
    <t>GM330</t>
  </si>
  <si>
    <t>Masthähnchenmist (60 % TM)</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</si>
  <si>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</si>
  <si>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</si>
  <si>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</si>
  <si>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</si>
  <si>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</si>
  <si>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</si>
  <si>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</si>
  <si>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</si>
  <si>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</si>
  <si>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</si>
  <si>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</si>
  <si>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</si>
  <si>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</si>
  <si>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</si>
  <si>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</si>
  <si>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</si>
  <si>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</si>
  <si>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</si>
  <si>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</si>
  <si>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</si>
  <si>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</si>
  <si>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</si>
  <si>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</si>
  <si>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</si>
  <si>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</si>
  <si>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</si>
  <si>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eigene Unters+</t>
  </si>
  <si>
    <t>T510</t>
  </si>
  <si>
    <t>T520</t>
  </si>
  <si>
    <t>T530</t>
  </si>
  <si>
    <t>T540</t>
  </si>
  <si>
    <t>T550</t>
  </si>
  <si>
    <t>T560</t>
  </si>
  <si>
    <t xml:space="preserve"> +++Gärrest, Klärschlamm+++</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</si>
  <si>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</si>
  <si>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</si>
  <si>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</si>
  <si>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</si>
  <si>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</si>
  <si>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</si>
  <si>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</si>
  <si>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</si>
  <si>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</si>
  <si>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</si>
  <si>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</si>
  <si>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</si>
  <si>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</si>
  <si>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</si>
  <si>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</si>
  <si>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</si>
  <si>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</si>
  <si>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</si>
  <si>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</si>
  <si>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</si>
  <si>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</si>
  <si>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</si>
  <si>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</si>
  <si>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</si>
  <si>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</si>
  <si>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</si>
  <si>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</si>
  <si>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</si>
  <si>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 xml:space="preserve"> --  </t>
  </si>
  <si>
    <t>Nebenfrucht Anzeige</t>
  </si>
  <si>
    <t>Nebenfrucht</t>
  </si>
  <si>
    <t xml:space="preserve"> +++Zwischenfrucht+++</t>
  </si>
  <si>
    <t>Zwischenfrucht mit 0 - 25 % Leg.</t>
  </si>
  <si>
    <t>Zwischenfrucht mit &gt; 75 % Leg.</t>
  </si>
  <si>
    <t xml:space="preserve"> +++Zweitfrucht (2. Hauptfrucht)+++</t>
  </si>
  <si>
    <t>GPS Winterraps</t>
  </si>
  <si>
    <t>Ein- oder Mehrschnittig</t>
  </si>
  <si>
    <t>1=Acker; 2=GL</t>
  </si>
  <si>
    <t>kultur_edvname</t>
  </si>
  <si>
    <t>erntehaeufigkeit_je_jahr</t>
  </si>
  <si>
    <t>dbe_schema</t>
  </si>
  <si>
    <t>nfix_je_dt</t>
  </si>
  <si>
    <t>ertrag_fm_durchschnitt</t>
  </si>
  <si>
    <t>Ø</t>
  </si>
  <si>
    <t>dbe_nbedarfswert</t>
  </si>
  <si>
    <t>dbe_ertragsdifferenz_dt_ha</t>
  </si>
  <si>
    <t>dbe_ertrag_zuschlag</t>
  </si>
  <si>
    <t>dbe_ertrag_abschlag</t>
  </si>
  <si>
    <t>Stickstoff bedarfs wert</t>
  </si>
  <si>
    <t>Zwischenfrucht mit &gt;25 - 75 % Leg.</t>
  </si>
  <si>
    <t>Leguminosen
anteil</t>
  </si>
  <si>
    <t xml:space="preserve"> +++ eigene Kulturen +++</t>
  </si>
  <si>
    <t>fruchtartengruppe</t>
  </si>
  <si>
    <t>Frucharten-</t>
  </si>
  <si>
    <t>herbstduengung_möglich</t>
  </si>
  <si>
    <t>Herbstdüngung</t>
  </si>
  <si>
    <t>unter bestimmten Bedingungen möglich?</t>
  </si>
  <si>
    <t>gehalt_hauptprodukt_fm_p2o5</t>
  </si>
  <si>
    <t>gehalt_gesamtprodukt_fm_p2o5</t>
  </si>
  <si>
    <t>dbe_vorfrucht_abschlag</t>
  </si>
  <si>
    <t>Abschläge Vorfrucht</t>
  </si>
  <si>
    <t>landwirts. Betrieb</t>
  </si>
  <si>
    <t>optimierung_kuerzung_stickstoffbedarf</t>
  </si>
  <si>
    <t>liebend Kultur</t>
  </si>
  <si>
    <t>WW-BR</t>
  </si>
  <si>
    <t>Sommerweizen</t>
  </si>
  <si>
    <t>SW</t>
  </si>
  <si>
    <t>WG-6</t>
  </si>
  <si>
    <t>WG-2</t>
  </si>
  <si>
    <t>WG-BR</t>
  </si>
  <si>
    <t>SG-F</t>
  </si>
  <si>
    <t>SG-BR</t>
  </si>
  <si>
    <t>WRO</t>
  </si>
  <si>
    <t>SRO</t>
  </si>
  <si>
    <t>TR</t>
  </si>
  <si>
    <t>Dinkel</t>
  </si>
  <si>
    <t>DI</t>
  </si>
  <si>
    <t>EM</t>
  </si>
  <si>
    <t>DU</t>
  </si>
  <si>
    <t>BW</t>
  </si>
  <si>
    <t>HI</t>
  </si>
  <si>
    <t>Amarant</t>
  </si>
  <si>
    <t>AM</t>
  </si>
  <si>
    <t>QU</t>
  </si>
  <si>
    <t>AB</t>
  </si>
  <si>
    <t>WI</t>
  </si>
  <si>
    <t>LUP</t>
  </si>
  <si>
    <t>LI</t>
  </si>
  <si>
    <t>SJ</t>
  </si>
  <si>
    <t>SRA</t>
  </si>
  <si>
    <t>RU</t>
  </si>
  <si>
    <t>KS</t>
  </si>
  <si>
    <t>LN</t>
  </si>
  <si>
    <t>LD</t>
  </si>
  <si>
    <t>FL</t>
  </si>
  <si>
    <t>Kartoffel (Speise, Stärke)</t>
  </si>
  <si>
    <t>KA</t>
  </si>
  <si>
    <t>KA-V</t>
  </si>
  <si>
    <t>KA-F</t>
  </si>
  <si>
    <t>Zuckerrüben</t>
  </si>
  <si>
    <t>ZR</t>
  </si>
  <si>
    <t>Futter-, Runkelrüben</t>
  </si>
  <si>
    <t>FR-G</t>
  </si>
  <si>
    <t>Kohl-, Steckrüben</t>
  </si>
  <si>
    <t>KR</t>
  </si>
  <si>
    <t>Corn-Cop-Mix (CCM)</t>
  </si>
  <si>
    <t>CCM</t>
  </si>
  <si>
    <t>Lieschkolbensilage</t>
  </si>
  <si>
    <t>LKS</t>
  </si>
  <si>
    <t>GPS Weizen</t>
  </si>
  <si>
    <t>GPS-W</t>
  </si>
  <si>
    <t>GPS Wintergerste</t>
  </si>
  <si>
    <t>GPS-G</t>
  </si>
  <si>
    <t>GPS Sommergerste</t>
  </si>
  <si>
    <t>GPS-SG</t>
  </si>
  <si>
    <t>GPS-T</t>
  </si>
  <si>
    <t>GPS-RO</t>
  </si>
  <si>
    <t>GPS Hafer</t>
  </si>
  <si>
    <t>GPS-HA</t>
  </si>
  <si>
    <t>GPS Lupinen</t>
  </si>
  <si>
    <t>GPS-LP</t>
  </si>
  <si>
    <t>GPS Erbsen/Ackerb.</t>
  </si>
  <si>
    <t>GPS-AB</t>
  </si>
  <si>
    <t>GPS-WI</t>
  </si>
  <si>
    <t>GPS Sonnenblumen</t>
  </si>
  <si>
    <t>GPS-SB</t>
  </si>
  <si>
    <t>GPS-RU</t>
  </si>
  <si>
    <t>GPS-RA</t>
  </si>
  <si>
    <t>SUG</t>
  </si>
  <si>
    <t>GPS-AM</t>
  </si>
  <si>
    <t>GPS-BW</t>
  </si>
  <si>
    <t>GPS-QU</t>
  </si>
  <si>
    <t>GSV</t>
  </si>
  <si>
    <t>KLSV</t>
  </si>
  <si>
    <t>LUZSV</t>
  </si>
  <si>
    <t>PHASV</t>
  </si>
  <si>
    <t>Wildkräutervermehr. (Legum.)</t>
  </si>
  <si>
    <t>WIKV-L</t>
  </si>
  <si>
    <t>Wildkräuterverm. (Nichtleg.)</t>
  </si>
  <si>
    <t>WIKV-NL</t>
  </si>
  <si>
    <t>TOP</t>
  </si>
  <si>
    <t>TAB</t>
  </si>
  <si>
    <t>EBE-F</t>
  </si>
  <si>
    <t>ESP</t>
  </si>
  <si>
    <t>WEG5</t>
  </si>
  <si>
    <t>KLG30</t>
  </si>
  <si>
    <t>KLG50</t>
  </si>
  <si>
    <t>KLG70</t>
  </si>
  <si>
    <t>LUZG30</t>
  </si>
  <si>
    <t>LUZG50</t>
  </si>
  <si>
    <t>LUZG70</t>
  </si>
  <si>
    <t>Klee (Reinkultur)</t>
  </si>
  <si>
    <t>RKL</t>
  </si>
  <si>
    <t>Luzerne (Reinkultur)</t>
  </si>
  <si>
    <t>LUZ</t>
  </si>
  <si>
    <t>SI-1</t>
  </si>
  <si>
    <t>Silphie (ab 2. Standjahr)</t>
  </si>
  <si>
    <t>SI</t>
  </si>
  <si>
    <t>SID</t>
  </si>
  <si>
    <t>IGN</t>
  </si>
  <si>
    <t>RWG</t>
  </si>
  <si>
    <t>MIS</t>
  </si>
  <si>
    <t>SWI</t>
  </si>
  <si>
    <t>RGG</t>
  </si>
  <si>
    <t>Streuwiese</t>
  </si>
  <si>
    <t>GRL-STREU</t>
  </si>
  <si>
    <t>gehalt_nges</t>
  </si>
  <si>
    <t>gehalt_nh4</t>
  </si>
  <si>
    <t>gehalt_p2o5</t>
  </si>
  <si>
    <t>gehalt_k2o</t>
  </si>
  <si>
    <t>gehalt_mgo</t>
  </si>
  <si>
    <t xml:space="preserve">kalkwirkung </t>
  </si>
  <si>
    <t>AHL28</t>
  </si>
  <si>
    <t>ALZONNEO</t>
  </si>
  <si>
    <t>SSA</t>
  </si>
  <si>
    <t>PIAMON-33S</t>
  </si>
  <si>
    <t>ASS</t>
  </si>
  <si>
    <t>DOLOPH6</t>
  </si>
  <si>
    <t>DOLOPH15</t>
  </si>
  <si>
    <t>DOLOPH26</t>
  </si>
  <si>
    <t>ENTEC15-5-20</t>
  </si>
  <si>
    <t>ENTEC25-15</t>
  </si>
  <si>
    <t>HARN46</t>
  </si>
  <si>
    <t>HARN46-U</t>
  </si>
  <si>
    <t>KALI60</t>
  </si>
  <si>
    <t>KALISOP</t>
  </si>
  <si>
    <t>KAS</t>
  </si>
  <si>
    <t>KAS-S</t>
  </si>
  <si>
    <t>PERLKA</t>
  </si>
  <si>
    <t>KIESERIT-G</t>
  </si>
  <si>
    <t>KORN-KALI</t>
  </si>
  <si>
    <t>LAT-12-12-17</t>
  </si>
  <si>
    <t>LAT-14-10-20</t>
  </si>
  <si>
    <t>LAT-20-20</t>
  </si>
  <si>
    <t>LAT-20-10-8</t>
  </si>
  <si>
    <t>LAT-24-14</t>
  </si>
  <si>
    <t>LAT-27</t>
  </si>
  <si>
    <t>MG-KAINIT</t>
  </si>
  <si>
    <t>NOVAPH23</t>
  </si>
  <si>
    <t>NP18-46</t>
  </si>
  <si>
    <t>NIPH12-12-17</t>
  </si>
  <si>
    <t>NPK12-12-17</t>
  </si>
  <si>
    <t>NPK12-12-17-CL</t>
  </si>
  <si>
    <t>NPK13-9-16</t>
  </si>
  <si>
    <t>NIPH15-13-13</t>
  </si>
  <si>
    <t>NPK15-15-15</t>
  </si>
  <si>
    <t>NIPH15-5-20</t>
  </si>
  <si>
    <t>NPK20-8-8</t>
  </si>
  <si>
    <t>NIPH20-10-10</t>
  </si>
  <si>
    <t>OEKOPH</t>
  </si>
  <si>
    <t>P-26</t>
  </si>
  <si>
    <t>POLY-SO4</t>
  </si>
  <si>
    <t>POTASHPLU</t>
  </si>
  <si>
    <t>KAMG</t>
  </si>
  <si>
    <t>PKPLUS7-21</t>
  </si>
  <si>
    <t>PKPLUS16-12</t>
  </si>
  <si>
    <t>PKPLUS16-16</t>
  </si>
  <si>
    <t>TRIPLE-SP</t>
  </si>
  <si>
    <t>ROHP</t>
  </si>
  <si>
    <t>Y-NITROMAG</t>
  </si>
  <si>
    <t>Y-SULFAN</t>
  </si>
  <si>
    <t>Y-WEIDE-S</t>
  </si>
  <si>
    <t>Y-GETREIDE</t>
  </si>
  <si>
    <t>Y-MAIS</t>
  </si>
  <si>
    <t>Y-UNIVERSAL</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</si>
  <si>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</si>
  <si>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</si>
  <si>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</si>
  <si>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</si>
  <si>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</si>
  <si>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</si>
  <si>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</si>
  <si>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</si>
  <si>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</si>
  <si>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</si>
  <si>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</si>
  <si>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</si>
  <si>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</si>
  <si>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</si>
  <si>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</si>
  <si>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</si>
  <si>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</si>
  <si>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</si>
  <si>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</si>
  <si>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</si>
  <si>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</si>
  <si>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</si>
  <si>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</si>
  <si>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</si>
  <si>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</si>
  <si>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</si>
  <si>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</si>
  <si>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</si>
  <si>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</si>
  <si>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</si>
  <si>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</si>
  <si>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</si>
  <si>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</si>
  <si>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</si>
  <si>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Nährstoffgehalt K2O</t>
  </si>
  <si>
    <t>Nährstoffgehalt MgO</t>
  </si>
  <si>
    <t>N-Anteil aus Stroh in % an Ngesamt</t>
  </si>
  <si>
    <r>
      <t>NH</t>
    </r>
    <r>
      <rPr>
        <b/>
        <vertAlign val="subscript"/>
        <sz val="10"/>
        <color theme="1"/>
        <rFont val="Arial"/>
        <family val="2"/>
      </rPr>
      <t>4</t>
    </r>
    <r>
      <rPr>
        <b/>
        <sz val="10"/>
        <color theme="1"/>
        <rFont val="Arial"/>
        <family val="2"/>
      </rPr>
      <t>- Anteil in % an Ngesamt</t>
    </r>
  </si>
  <si>
    <t>tierischer Anteil in % an Ngesamt</t>
  </si>
  <si>
    <t>tierischer Anteil in % an P2O5</t>
  </si>
  <si>
    <t>N-Stall- u. Lagerungsverluste in %</t>
  </si>
  <si>
    <t>N-Mindest- wirksamtkeit Ngesamt in % Acker</t>
  </si>
  <si>
    <t>N-Mindest- wirksamkeit Ngesamt in % Grünland</t>
  </si>
  <si>
    <r>
      <t>% N</t>
    </r>
    <r>
      <rPr>
        <b/>
        <vertAlign val="subscript"/>
        <sz val="10"/>
        <rFont val="Arial"/>
        <family val="2"/>
      </rPr>
      <t xml:space="preserve">gesamt </t>
    </r>
    <r>
      <rPr>
        <b/>
        <sz val="10"/>
        <rFont val="Arial"/>
        <family val="2"/>
      </rPr>
      <t>Gehalt in der TM</t>
    </r>
  </si>
  <si>
    <t>anrechenbarer N bei DBE Acker</t>
  </si>
  <si>
    <t>anrechenbarer N bei DBE Grünland</t>
  </si>
  <si>
    <t>Blumenkohl</t>
  </si>
  <si>
    <t>Blattsalate, grün</t>
  </si>
  <si>
    <t xml:space="preserve">tierischer </t>
  </si>
  <si>
    <t>Igniscum</t>
  </si>
  <si>
    <t>Sonnenblumen</t>
  </si>
  <si>
    <t>Öllein, Faserflachs</t>
  </si>
  <si>
    <t>Ackergras 3-4 Schnitte/Jahr</t>
  </si>
  <si>
    <r>
      <t xml:space="preserve"> </t>
    </r>
    <r>
      <rPr>
        <sz val="10"/>
        <rFont val="Calibri"/>
        <family val="2"/>
      </rPr>
      <t>≤</t>
    </r>
    <r>
      <rPr>
        <sz val="10"/>
        <rFont val="Arial"/>
        <family val="2"/>
      </rPr>
      <t xml:space="preserve"> 4%</t>
    </r>
  </si>
  <si>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</si>
  <si>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</si>
  <si>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</si>
  <si>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</si>
  <si>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</si>
  <si>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</si>
  <si>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</si>
  <si>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</si>
  <si>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</si>
  <si>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</si>
  <si>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</si>
  <si>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</si>
  <si>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Buschbohnen</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</si>
  <si>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</si>
  <si>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</si>
  <si>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</si>
  <si>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</si>
  <si>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</si>
  <si>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</si>
  <si>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</si>
  <si>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</si>
  <si>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</si>
  <si>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</si>
  <si>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</si>
  <si>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</si>
  <si>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</si>
  <si>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</si>
  <si>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</si>
  <si>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</si>
  <si>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</si>
  <si>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</si>
  <si>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</si>
  <si>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</si>
  <si>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</si>
  <si>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</si>
  <si>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</si>
  <si>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</si>
  <si>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</si>
  <si>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</si>
  <si>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</si>
  <si>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</si>
  <si>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</si>
  <si>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</si>
  <si>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</si>
  <si>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</si>
  <si>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</si>
  <si>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</si>
  <si>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</si>
  <si>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</si>
  <si>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</si>
  <si>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</si>
  <si>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</si>
  <si>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</si>
  <si>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</si>
  <si>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</si>
  <si>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</si>
  <si>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</si>
  <si>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</si>
  <si>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</si>
  <si>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</si>
  <si>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</si>
  <si>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</si>
  <si>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</si>
  <si>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</si>
  <si>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</si>
  <si>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</si>
  <si>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</si>
  <si>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</si>
  <si>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</si>
  <si>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</si>
  <si>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</si>
  <si>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</si>
  <si>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</si>
  <si>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</si>
  <si>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</si>
  <si>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</si>
  <si>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</si>
  <si>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</si>
  <si>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</si>
  <si>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</si>
  <si>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</si>
  <si>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</si>
  <si>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t>Kalkwirkung je 100 kg Dünger</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</si>
  <si>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</si>
  <si>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</si>
  <si>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</si>
  <si>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r>
      <t>Nährstoffgehalt K</t>
    </r>
    <r>
      <rPr>
        <b/>
        <vertAlign val="subscript"/>
        <sz val="9"/>
        <rFont val="Arial"/>
        <family val="2"/>
      </rPr>
      <t>2</t>
    </r>
    <r>
      <rPr>
        <b/>
        <sz val="9"/>
        <rFont val="Arial"/>
        <family val="2"/>
      </rPr>
      <t>O</t>
    </r>
  </si>
  <si>
    <t>Zwisch./Zweitfr.</t>
  </si>
  <si>
    <t>Gär_Lager</t>
  </si>
  <si>
    <t>ART</t>
  </si>
  <si>
    <t>AUB</t>
  </si>
  <si>
    <t>SALAT-BL-R</t>
  </si>
  <si>
    <t>SALAT-BL-G</t>
  </si>
  <si>
    <t>KOHL-BLU</t>
  </si>
  <si>
    <t>BROK</t>
  </si>
  <si>
    <t>BOH-BU</t>
  </si>
  <si>
    <t>CHIC</t>
  </si>
  <si>
    <t>SALAT-CHINA</t>
  </si>
  <si>
    <t>SALAT-EIS</t>
  </si>
  <si>
    <t>SALAT-ENDI-F</t>
  </si>
  <si>
    <t>SALAT-ENDI-G</t>
  </si>
  <si>
    <t>SALAT-FELD</t>
  </si>
  <si>
    <t>SALAT-FELD-G</t>
  </si>
  <si>
    <t>ER-GMU</t>
  </si>
  <si>
    <t>KOHL-GRUN</t>
  </si>
  <si>
    <t>GUR</t>
  </si>
  <si>
    <t>FEN-KNOL</t>
  </si>
  <si>
    <t>KOHRA</t>
  </si>
  <si>
    <t>SALAT-KOPF</t>
  </si>
  <si>
    <t>KUE-OEL</t>
  </si>
  <si>
    <t>KUE</t>
  </si>
  <si>
    <t>MR</t>
  </si>
  <si>
    <t>MOE-B</t>
  </si>
  <si>
    <t>MOE-I</t>
  </si>
  <si>
    <t>MOE</t>
  </si>
  <si>
    <t>PAP</t>
  </si>
  <si>
    <t>PAST</t>
  </si>
  <si>
    <t>PET-W</t>
  </si>
  <si>
    <t>POR</t>
  </si>
  <si>
    <t>SALAT-RADIC</t>
  </si>
  <si>
    <t>RAD</t>
  </si>
  <si>
    <t>RET-B</t>
  </si>
  <si>
    <t>RET-D</t>
  </si>
  <si>
    <t>RET-J</t>
  </si>
  <si>
    <t>RHA1</t>
  </si>
  <si>
    <t>RHA2</t>
  </si>
  <si>
    <t>RHA3</t>
  </si>
  <si>
    <t>RHA4</t>
  </si>
  <si>
    <t>RHA2NE</t>
  </si>
  <si>
    <t>RHA3NE</t>
  </si>
  <si>
    <t>RHA4NE</t>
  </si>
  <si>
    <t>SALAT-ROMA</t>
  </si>
  <si>
    <t>SALAT-HERZ</t>
  </si>
  <si>
    <t>KOHL-ROSEN</t>
  </si>
  <si>
    <t>RORUE</t>
  </si>
  <si>
    <t>KOHL-ROT</t>
  </si>
  <si>
    <t>RUC-F</t>
  </si>
  <si>
    <t>RUC-G</t>
  </si>
  <si>
    <t>SALAT</t>
  </si>
  <si>
    <t>SWWU</t>
  </si>
  <si>
    <t>SEL-BUND</t>
  </si>
  <si>
    <t>SEL-KNOL</t>
  </si>
  <si>
    <t>SEL-STANG</t>
  </si>
  <si>
    <t>SPA-1</t>
  </si>
  <si>
    <t>SPA-2</t>
  </si>
  <si>
    <t>SPA-3</t>
  </si>
  <si>
    <t>SPA-4</t>
  </si>
  <si>
    <t>SPI-F</t>
  </si>
  <si>
    <t>SPI</t>
  </si>
  <si>
    <t>SPI-H</t>
  </si>
  <si>
    <t>BOH-STANG</t>
  </si>
  <si>
    <t>SUEKA</t>
  </si>
  <si>
    <t>TEL</t>
  </si>
  <si>
    <t>TOM</t>
  </si>
  <si>
    <t>KOHL-WEISF</t>
  </si>
  <si>
    <t>KOHL-WEISI</t>
  </si>
  <si>
    <t>WIRS</t>
  </si>
  <si>
    <t>ZUC</t>
  </si>
  <si>
    <t>ZUKHUT</t>
  </si>
  <si>
    <t>ZUKMAIS</t>
  </si>
  <si>
    <t>ZWI-B</t>
  </si>
  <si>
    <t>ZWI-T</t>
  </si>
  <si>
    <t>AHALM</t>
  </si>
  <si>
    <t>AKE</t>
  </si>
  <si>
    <t>ALANT</t>
  </si>
  <si>
    <t>AMPF-K</t>
  </si>
  <si>
    <t>AMPF-W</t>
  </si>
  <si>
    <t>ANIS</t>
  </si>
  <si>
    <t>ARTI</t>
  </si>
  <si>
    <t>FEN-ARZ</t>
  </si>
  <si>
    <t>ARZR</t>
  </si>
  <si>
    <t>BAER</t>
  </si>
  <si>
    <t>BAIK</t>
  </si>
  <si>
    <t>BALD</t>
  </si>
  <si>
    <t>BAS</t>
  </si>
  <si>
    <t>ARNIKA</t>
  </si>
  <si>
    <t>BEBOKR</t>
  </si>
  <si>
    <t>BES</t>
  </si>
  <si>
    <t>BIB</t>
  </si>
  <si>
    <t>MALV-K</t>
  </si>
  <si>
    <t>MALV-B</t>
  </si>
  <si>
    <t>KL-BOCKS</t>
  </si>
  <si>
    <t>BOH-KRAUT</t>
  </si>
  <si>
    <t>BOR</t>
  </si>
  <si>
    <t>BRAUN</t>
  </si>
  <si>
    <t>BREN-GR</t>
  </si>
  <si>
    <t>BREN-KL</t>
  </si>
  <si>
    <t>KRES-BRUN</t>
  </si>
  <si>
    <t>DIL-F</t>
  </si>
  <si>
    <t>DIL-I</t>
  </si>
  <si>
    <t>DOST</t>
  </si>
  <si>
    <t>DRAKO</t>
  </si>
  <si>
    <t>EIBISCH</t>
  </si>
  <si>
    <t>EISKR</t>
  </si>
  <si>
    <t>ENWURZ-E</t>
  </si>
  <si>
    <t>ENWURZ-C</t>
  </si>
  <si>
    <t>ENZ-OE</t>
  </si>
  <si>
    <t>ENZ</t>
  </si>
  <si>
    <t>EST</t>
  </si>
  <si>
    <t>FADIS</t>
  </si>
  <si>
    <t>FEDER1</t>
  </si>
  <si>
    <t>FEDER2</t>
  </si>
  <si>
    <t>FRAMA</t>
  </si>
  <si>
    <t>GALE</t>
  </si>
  <si>
    <t>KRES-GAR</t>
  </si>
  <si>
    <t>GOLD</t>
  </si>
  <si>
    <t>JOHKRAUT</t>
  </si>
  <si>
    <t>KAMI</t>
  </si>
  <si>
    <t>KAP</t>
  </si>
  <si>
    <t>KERB</t>
  </si>
  <si>
    <t>KORI-K</t>
  </si>
  <si>
    <t>KORI-S</t>
  </si>
  <si>
    <t>KORNBL-K</t>
  </si>
  <si>
    <t>KORNBL-B</t>
  </si>
  <si>
    <t>KUM</t>
  </si>
  <si>
    <t>LAV</t>
  </si>
  <si>
    <t>LIS</t>
  </si>
  <si>
    <t>LOZ</t>
  </si>
  <si>
    <t>LOZ-KA</t>
  </si>
  <si>
    <t>MAED</t>
  </si>
  <si>
    <t>MAJ</t>
  </si>
  <si>
    <t>MADIS</t>
  </si>
  <si>
    <t>MER</t>
  </si>
  <si>
    <t>MEL</t>
  </si>
  <si>
    <t>MO</t>
  </si>
  <si>
    <t>SALBEI-MUS</t>
  </si>
  <si>
    <t>MUTKR</t>
  </si>
  <si>
    <t>MUTKR-C</t>
  </si>
  <si>
    <t>NAKE</t>
  </si>
  <si>
    <t>PET</t>
  </si>
  <si>
    <t>PET-N1S</t>
  </si>
  <si>
    <t>PET-V</t>
  </si>
  <si>
    <t>PFM</t>
  </si>
  <si>
    <t>RIBL-K</t>
  </si>
  <si>
    <t>RIBL-B</t>
  </si>
  <si>
    <t>ROS</t>
  </si>
  <si>
    <t>ROWU</t>
  </si>
  <si>
    <t>SALBEI</t>
  </si>
  <si>
    <t>SAPOS</t>
  </si>
  <si>
    <t>SAUCO</t>
  </si>
  <si>
    <t>KL-SCHAB</t>
  </si>
  <si>
    <t>SGARBE</t>
  </si>
  <si>
    <t>SCHLEIF</t>
  </si>
  <si>
    <t>SCHLUS</t>
  </si>
  <si>
    <t>SCHNIKNO</t>
  </si>
  <si>
    <t>SCHNIT</t>
  </si>
  <si>
    <t>SCHNIT-N1S</t>
  </si>
  <si>
    <t>SCHNIT-T</t>
  </si>
  <si>
    <t>SCHNIT-V</t>
  </si>
  <si>
    <t>SCHMOL</t>
  </si>
  <si>
    <t>SCHNISEL</t>
  </si>
  <si>
    <t>SENF-BR</t>
  </si>
  <si>
    <t>SENF-GB</t>
  </si>
  <si>
    <t>SIEG</t>
  </si>
  <si>
    <t>SOH-A-K</t>
  </si>
  <si>
    <t>SOH-PA-K</t>
  </si>
  <si>
    <t>SOH-PU-K</t>
  </si>
  <si>
    <t>SPITZ</t>
  </si>
  <si>
    <t>KL-STEIN</t>
  </si>
  <si>
    <t>SWKUM</t>
  </si>
  <si>
    <t>THYM</t>
  </si>
  <si>
    <t>TOLL</t>
  </si>
  <si>
    <t>TRAG</t>
  </si>
  <si>
    <t>WER</t>
  </si>
  <si>
    <t>WIKN-KL</t>
  </si>
  <si>
    <t>HEZWI-W</t>
  </si>
  <si>
    <t>YSOP</t>
  </si>
  <si>
    <t>ZMEL</t>
  </si>
  <si>
    <t>ZITVERB</t>
  </si>
  <si>
    <t>Gemüse</t>
  </si>
  <si>
    <t>nach DüV</t>
  </si>
  <si>
    <t>Hopfen (ohne Herkules)</t>
  </si>
  <si>
    <t>Hopfen (Herkules)</t>
  </si>
  <si>
    <t>HO</t>
  </si>
  <si>
    <t>HO-H</t>
  </si>
  <si>
    <t>dbe_ertragsdifferenz</t>
  </si>
  <si>
    <t>Wiesenknopf, Kleiner (Kr)</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</si>
  <si>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</si>
  <si>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</si>
  <si>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</si>
  <si>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</si>
  <si>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</si>
  <si>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</si>
  <si>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</si>
  <si>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</si>
  <si>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</si>
  <si>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</si>
  <si>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</si>
  <si>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</si>
  <si>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</si>
  <si>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</si>
  <si>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</si>
  <si>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</si>
  <si>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</si>
  <si>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</si>
  <si>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</si>
  <si>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</si>
  <si>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</si>
  <si>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Nebenfrucht lang</t>
  </si>
  <si>
    <t xml:space="preserve"> +++Zweitfr. (2. HF)+++</t>
  </si>
  <si>
    <t xml:space="preserve"> +++Zwischenfrucht++</t>
  </si>
  <si>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</si>
  <si>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</si>
  <si>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</si>
  <si>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</si>
  <si>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</si>
  <si>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</si>
  <si>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</si>
  <si>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</si>
  <si>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</si>
  <si>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</si>
  <si>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</si>
  <si>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</si>
  <si>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</si>
  <si>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</si>
  <si>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</si>
  <si>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</si>
  <si>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</si>
  <si>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</si>
  <si>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</si>
  <si>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</si>
  <si>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</si>
  <si>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</si>
  <si>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</si>
  <si>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</si>
  <si>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09</t>
  </si>
  <si>
    <t>org. Düngung*</t>
  </si>
  <si>
    <t>je ha**</t>
  </si>
  <si>
    <t>** Es wurden zur Berechnung</t>
  </si>
  <si>
    <t>dokumentiert</t>
  </si>
  <si>
    <t>min. Düngung</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</si>
  <si>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</si>
  <si>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</si>
  <si>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</si>
  <si>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</si>
  <si>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</si>
  <si>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</si>
  <si>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</si>
  <si>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</si>
  <si>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</si>
  <si>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</si>
  <si>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</si>
  <si>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</si>
  <si>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</si>
  <si>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</si>
  <si>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+++Feldfutterbau +++</t>
  </si>
  <si>
    <t xml:space="preserve">  -- </t>
  </si>
  <si>
    <t>Angaben vollständig?</t>
  </si>
  <si>
    <t>keine, abfrierend</t>
  </si>
  <si>
    <t>keine, winterhart</t>
  </si>
  <si>
    <t xml:space="preserve"> &gt; 4%</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</si>
  <si>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</si>
  <si>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</si>
  <si>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</si>
  <si>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</si>
  <si>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</si>
  <si>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</si>
  <si>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</si>
  <si>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</si>
  <si>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</si>
  <si>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</si>
  <si>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</si>
  <si>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</si>
  <si>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</si>
  <si>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</si>
  <si>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</si>
  <si>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</si>
  <si>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</si>
  <si>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</si>
  <si>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</si>
  <si>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</si>
  <si>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</si>
  <si>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</si>
  <si>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</si>
  <si>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</si>
  <si>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</si>
  <si>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</si>
  <si>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</si>
  <si>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</si>
  <si>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</si>
  <si>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</si>
  <si>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</si>
  <si>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</si>
  <si>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</si>
  <si>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</si>
  <si>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</si>
  <si>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</si>
  <si>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</si>
  <si>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 Eine Auflistung der geplanten und dokumentierten Dünger finden sie auf diesem Arbeitsblatt rechts</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</si>
  <si>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</si>
  <si>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</si>
  <si>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</si>
  <si>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</si>
  <si>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</si>
  <si>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</si>
  <si>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</si>
  <si>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</si>
  <si>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</si>
  <si>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</si>
  <si>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</si>
  <si>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Nährstoffgehalte 
je dt</t>
  </si>
  <si>
    <t>Flächenübersicht</t>
  </si>
  <si>
    <t>organische Dünger</t>
  </si>
  <si>
    <t>mineralische Dünger</t>
  </si>
  <si>
    <t>davon Hauptfrucht</t>
  </si>
  <si>
    <t>Zu-/Abschläge Boden</t>
  </si>
  <si>
    <t>davon 
Zwischen-/Zweitfr.</t>
  </si>
  <si>
    <t>Düngebedarf gesamt (kg N/ha)</t>
  </si>
  <si>
    <r>
      <t xml:space="preserve">mineralische Empfehlung </t>
    </r>
    <r>
      <rPr>
        <sz val="8"/>
        <rFont val="Arial"/>
        <family val="2"/>
      </rPr>
      <t>(kg N/ha)</t>
    </r>
  </si>
  <si>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</si>
  <si>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</si>
  <si>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</si>
  <si>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</si>
  <si>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</si>
  <si>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</si>
  <si>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</si>
  <si>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</si>
  <si>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Hühnerkot (50 % TM)</t>
  </si>
  <si>
    <t>Nitrophoska special 12+12+17</t>
  </si>
  <si>
    <t>NPK 12+12+17</t>
  </si>
  <si>
    <t>NPK 15+15+15+S</t>
  </si>
  <si>
    <t>Nitrophoska perfect 15+5+20 chloridarm</t>
  </si>
  <si>
    <t>NPK 20+8+8</t>
  </si>
  <si>
    <t>Polysulfat</t>
  </si>
  <si>
    <t>PKPLUS12-24</t>
  </si>
  <si>
    <t>Dolophos 26</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</si>
  <si>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</si>
  <si>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</si>
  <si>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</si>
  <si>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</si>
  <si>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</si>
  <si>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</si>
  <si>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</si>
  <si>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</si>
  <si>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</si>
  <si>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Gehaltsklasse P</t>
    </r>
    <r>
      <rPr>
        <vertAlign val="subscript"/>
        <sz val="10"/>
        <rFont val="Arial"/>
        <family val="2"/>
      </rPr>
      <t>2</t>
    </r>
    <r>
      <rPr>
        <sz val="10"/>
        <rFont val="Arial"/>
        <family val="2"/>
      </rPr>
      <t>O</t>
    </r>
    <r>
      <rPr>
        <sz val="9"/>
        <rFont val="Arial"/>
        <family val="2"/>
      </rPr>
      <t>5 -</t>
    </r>
    <r>
      <rPr>
        <sz val="10"/>
        <rFont val="Arial"/>
        <family val="2"/>
      </rPr>
      <t xml:space="preserve">
Bodenversorgung</t>
    </r>
  </si>
  <si>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</si>
  <si>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</si>
  <si>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</si>
  <si>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</si>
  <si>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</si>
  <si>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</si>
  <si>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</si>
  <si>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</si>
  <si>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</si>
  <si>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</si>
  <si>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Klärschlamm flüssig (kleiner 15 % TM)</t>
  </si>
  <si>
    <t>Klärschlamm fest (ab 15 % TM)</t>
  </si>
  <si>
    <t>Sägemehl</t>
  </si>
  <si>
    <t>Rindenmulch</t>
  </si>
  <si>
    <t>Kartoffelfruchtwasser</t>
  </si>
  <si>
    <t>Schlempe (Kartoffeln)</t>
  </si>
  <si>
    <t>Weinhefe flüssig</t>
  </si>
  <si>
    <t>Obsttrester</t>
  </si>
  <si>
    <t>Melasse</t>
  </si>
  <si>
    <t>Rhizinusschrot</t>
  </si>
  <si>
    <t>Kompost BioAbfV (Grüngut)</t>
  </si>
  <si>
    <t>Kompost BioAbfV(Bioabfall)</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</si>
  <si>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</si>
  <si>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</si>
  <si>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</si>
  <si>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</si>
  <si>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</si>
  <si>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</si>
  <si>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</si>
  <si>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</si>
  <si>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</si>
  <si>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</si>
  <si>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</si>
  <si>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</si>
  <si>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</si>
  <si>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dynamischer Druckbereich kontrollieren</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</si>
  <si>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</si>
  <si>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</si>
  <si>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</si>
  <si>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</si>
  <si>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</si>
  <si>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</si>
  <si>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</si>
  <si>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</si>
  <si>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</si>
  <si>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</si>
  <si>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</si>
  <si>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</si>
  <si>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</si>
  <si>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</si>
  <si>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</si>
  <si>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</si>
  <si>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</si>
  <si>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</si>
  <si>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</si>
  <si>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</si>
  <si>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</si>
  <si>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</si>
  <si>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</si>
  <si>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</si>
  <si>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</si>
  <si>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</si>
  <si>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</si>
  <si>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</si>
  <si>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</si>
  <si>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</si>
  <si>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</si>
  <si>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</si>
  <si>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</si>
  <si>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Fläche 2022 im Betrieb</t>
  </si>
  <si>
    <t>Zwischenfrüchte
Zweitfrüchte 
2021/22</t>
  </si>
  <si>
    <t>Auswahl mit "x"</t>
  </si>
  <si>
    <t>Kulturen nach Vorlage</t>
  </si>
  <si>
    <t xml:space="preserve"> +++ Grünland +++</t>
  </si>
  <si>
    <t>ext. Grünland &lt; 5 % Legum.</t>
  </si>
  <si>
    <t>ext. Grünland 10,1 -20 % Leg.</t>
  </si>
  <si>
    <t>Grünland &lt; 5 % Legum.</t>
  </si>
  <si>
    <t>Dynamische dropdown HF 22</t>
  </si>
  <si>
    <t>Auswahl</t>
  </si>
  <si>
    <t>Ertragsstufen</t>
  </si>
  <si>
    <t>N-liebende Kultur</t>
  </si>
  <si>
    <t>dynDropdown22</t>
  </si>
  <si>
    <t>Berechnungsschema</t>
  </si>
  <si>
    <t>Anzahl Zellen mit x=</t>
  </si>
  <si>
    <t xml:space="preserve"> ++ nach Vorlage ++</t>
  </si>
  <si>
    <t>Fläche ha</t>
  </si>
  <si>
    <t>P-Gehaltsklasse</t>
  </si>
  <si>
    <t>sonst. Acker</t>
  </si>
  <si>
    <t>Feldfutter</t>
  </si>
  <si>
    <t>Berechnungsschema Formel nicht aus Basisdaten</t>
  </si>
  <si>
    <t>Nutzung22</t>
  </si>
  <si>
    <t>Nutzung 21</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</si>
  <si>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</si>
  <si>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</si>
  <si>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</si>
  <si>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</si>
  <si>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</si>
  <si>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</si>
  <si>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</si>
  <si>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</si>
  <si>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</si>
  <si>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</si>
  <si>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</si>
  <si>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</si>
  <si>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</si>
  <si>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</si>
  <si>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</si>
  <si>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</si>
  <si>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</si>
  <si>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</si>
  <si>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</si>
  <si>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</si>
  <si>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</si>
  <si>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</si>
  <si>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</si>
  <si>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</si>
  <si>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</si>
  <si>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</si>
  <si>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</si>
  <si>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</si>
  <si>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</si>
  <si>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</si>
  <si>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</si>
  <si>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</si>
  <si>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</si>
  <si>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22 im Betrieb</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</si>
  <si>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</si>
  <si>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</si>
  <si>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</si>
  <si>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</si>
  <si>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</si>
  <si>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</si>
  <si>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</si>
  <si>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</si>
  <si>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</si>
  <si>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</si>
  <si>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</si>
  <si>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</si>
  <si>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</si>
  <si>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</si>
  <si>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</si>
  <si>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Dateneingabe org. Düngung 22</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</si>
  <si>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</si>
  <si>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</si>
  <si>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</si>
  <si>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</si>
  <si>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</si>
  <si>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</si>
  <si>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</si>
  <si>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</si>
  <si>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</si>
  <si>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</si>
  <si>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</si>
  <si>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</si>
  <si>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</si>
  <si>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</si>
  <si>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</si>
  <si>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</si>
  <si>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</si>
  <si>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</si>
  <si>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</si>
  <si>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</si>
  <si>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</si>
  <si>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</si>
  <si>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</si>
  <si>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</si>
  <si>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</si>
  <si>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</si>
  <si>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</si>
  <si>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</si>
  <si>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</si>
  <si>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</si>
  <si>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</si>
  <si>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</si>
  <si>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</si>
  <si>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</si>
  <si>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</si>
  <si>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</si>
  <si>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</si>
  <si>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</si>
  <si>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</si>
  <si>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</si>
  <si>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</si>
  <si>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</si>
  <si>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</si>
  <si>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</si>
  <si>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</si>
  <si>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</si>
  <si>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</si>
  <si>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</si>
  <si>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</si>
  <si>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</si>
  <si>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</si>
  <si>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</si>
  <si>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</si>
  <si>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</si>
  <si>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</si>
  <si>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</si>
  <si>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</si>
  <si>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</si>
  <si>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</si>
  <si>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</si>
  <si>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</si>
  <si>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</si>
  <si>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</si>
  <si>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</si>
  <si>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</si>
  <si>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</si>
  <si>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</si>
  <si>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</si>
  <si>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</si>
  <si>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</si>
  <si>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</si>
  <si>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</si>
  <si>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</si>
  <si>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</si>
  <si>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</si>
  <si>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</si>
  <si>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</si>
  <si>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</si>
  <si>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</si>
  <si>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</si>
  <si>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</si>
  <si>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</si>
  <si>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</si>
  <si>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 xml:space="preserve"> +++Zweitfrucht (2. Hauptfr.)+++</t>
  </si>
  <si>
    <t>Menge gesamt</t>
  </si>
  <si>
    <t>Menge rot</t>
  </si>
  <si>
    <t>Fläche rot (1=ja, 2=nein)</t>
  </si>
  <si>
    <t>Menge ges.</t>
  </si>
  <si>
    <t>Acker/Zwischenfr.</t>
  </si>
  <si>
    <t>GL/Zweitfr.</t>
  </si>
  <si>
    <t>Menge für Verweis</t>
  </si>
  <si>
    <t>eigene Kürzung Hauptfrucht
 (optional) 
kg N/ha</t>
  </si>
  <si>
    <t>Fläche 22 im Betrieb</t>
  </si>
  <si>
    <t>Fläche rot (Eingabe)</t>
  </si>
  <si>
    <t>Fläche rot (1=ja; 2=nein</t>
  </si>
  <si>
    <t>Ackerfläche mit Leguminosen? (1=ja)</t>
  </si>
  <si>
    <t>Nanr. Im Frühjahr</t>
  </si>
  <si>
    <t>Fehlermeldung: manuelle Kürzung &gt; Düngebedarf</t>
  </si>
  <si>
    <t>P-Abfuhr</t>
  </si>
  <si>
    <t>HF + Stroh</t>
  </si>
  <si>
    <t>HF ohne Stroh</t>
  </si>
  <si>
    <t>NK</t>
  </si>
  <si>
    <t>P-Gehalte</t>
  </si>
  <si>
    <t>Boden -P-Klasse</t>
  </si>
  <si>
    <t>Zu-/Abschlag</t>
  </si>
  <si>
    <t>P max (D &amp; E Flächen)</t>
  </si>
  <si>
    <t>Nr. Zweitfr.</t>
  </si>
  <si>
    <t>min. Dokumentiert</t>
  </si>
  <si>
    <t>2022 im Betrieb</t>
  </si>
  <si>
    <t>Boden - P-Klasse</t>
  </si>
  <si>
    <t>HF 2021</t>
  </si>
  <si>
    <t>Nutzung NK</t>
  </si>
  <si>
    <t>HF 2022</t>
  </si>
  <si>
    <t>Kopierfehler Zeile</t>
  </si>
  <si>
    <t>To Do</t>
  </si>
  <si>
    <t>Zwischenfr.</t>
  </si>
  <si>
    <t>P- Düngebedarf</t>
  </si>
  <si>
    <t xml:space="preserve">N-fixierung </t>
  </si>
  <si>
    <t>gesamt</t>
  </si>
  <si>
    <t>Acker Herbst</t>
  </si>
  <si>
    <t>Acker inkl. Herbst</t>
  </si>
  <si>
    <t>min Empfehlung inkl. Man. Kürzung ohne neg</t>
  </si>
  <si>
    <t>Zweitfr.</t>
  </si>
  <si>
    <t>min Herbst</t>
  </si>
  <si>
    <t>Auswahl nach Vorlage</t>
  </si>
  <si>
    <t xml:space="preserve"> &lt; 8%</t>
  </si>
  <si>
    <t>4 Schnittnutzungen</t>
  </si>
  <si>
    <t xml:space="preserve"> --           </t>
  </si>
  <si>
    <t>Daten aus 21</t>
  </si>
  <si>
    <t>Datenimport</t>
  </si>
  <si>
    <t>leer falls Formel aus HF 22 in HF 21 kopiert wird</t>
  </si>
  <si>
    <t>Alte Kulturen Grünland</t>
  </si>
  <si>
    <t xml:space="preserve"> ++Schnittnutzung++</t>
  </si>
  <si>
    <t>1 Schnittnutzung</t>
  </si>
  <si>
    <t>2 Schnittnutzungen</t>
  </si>
  <si>
    <t>3 Schnittnutzungen</t>
  </si>
  <si>
    <t>5 Schnittnutzungen</t>
  </si>
  <si>
    <t>6 Schnittnutzungen</t>
  </si>
  <si>
    <t xml:space="preserve"> ++Mähweide (MW)++</t>
  </si>
  <si>
    <t>MW ext. 20 % W.</t>
  </si>
  <si>
    <t>MW mittelint. 20 % W.</t>
  </si>
  <si>
    <t>MW int. 20 % W.</t>
  </si>
  <si>
    <t>MW ext. 60 % W.</t>
  </si>
  <si>
    <t>MW mittelint. 60 % W.</t>
  </si>
  <si>
    <t>MW int. 60 % W.</t>
  </si>
  <si>
    <t xml:space="preserve"> ++Weide++</t>
  </si>
  <si>
    <t>Weide extensiv</t>
  </si>
  <si>
    <t>Weide mittel</t>
  </si>
  <si>
    <t>Weide intensiv</t>
  </si>
  <si>
    <t>Hutungen</t>
  </si>
  <si>
    <t>Almen</t>
  </si>
  <si>
    <t>Neu</t>
  </si>
  <si>
    <t>alt</t>
  </si>
  <si>
    <t>neu</t>
  </si>
  <si>
    <t>ext. Grünland</t>
  </si>
  <si>
    <t>Grünland 10,1 -20 % Leg.</t>
  </si>
  <si>
    <t>ext. Grünland &gt; 20 % Legum.</t>
  </si>
  <si>
    <t>Grünland &gt; 20 % Legum.</t>
  </si>
  <si>
    <t xml:space="preserve"> &lt; 5 % Legum.</t>
  </si>
  <si>
    <t>ext. Grünland 5-10 % Legum.</t>
  </si>
  <si>
    <t>Grünland 5-10 % Legum.</t>
  </si>
  <si>
    <t xml:space="preserve"> 5-10 % Legum.</t>
  </si>
  <si>
    <t xml:space="preserve"> 10,1 -20 % Leg.</t>
  </si>
  <si>
    <t xml:space="preserve"> &gt; 20 % Legum.</t>
  </si>
  <si>
    <t>Kultur GL</t>
  </si>
  <si>
    <t>verketten</t>
  </si>
  <si>
    <t>alte Vorfrucht</t>
  </si>
  <si>
    <t>N-fix</t>
  </si>
  <si>
    <r>
      <t>N</t>
    </r>
    <r>
      <rPr>
        <vertAlign val="subscript"/>
        <sz val="10"/>
        <color theme="4"/>
        <rFont val="Arial"/>
        <family val="2"/>
      </rPr>
      <t>gesamt</t>
    </r>
  </si>
  <si>
    <t>N-Bedarfsw.</t>
  </si>
  <si>
    <t>Nutzungsh.</t>
  </si>
  <si>
    <t>Idee dyn. Dropdown: wenn x bei Unterüberschrift (z.B. +++ Getreide +++), dann auswahl aller Getreide</t>
  </si>
  <si>
    <t>Hauptfrüchte</t>
  </si>
  <si>
    <t>Weitere s. Vorauswahl</t>
  </si>
  <si>
    <t>Kopieren von HF 22 auf HF 21 und umgekehrt möglich --&gt; Prüfen, ob Zielzelle der Formel in HF 22 zbter #Berechnng DBE noch am richtigen Platz ist.</t>
  </si>
  <si>
    <r>
      <t xml:space="preserve">Ertrag Acker 2022
(dt </t>
    </r>
    <r>
      <rPr>
        <b/>
        <sz val="10"/>
        <rFont val="Arial"/>
        <family val="2"/>
      </rPr>
      <t>FM</t>
    </r>
    <r>
      <rPr>
        <sz val="10"/>
        <rFont val="Arial"/>
        <family val="2"/>
      </rPr>
      <t>/ha)</t>
    </r>
  </si>
  <si>
    <r>
      <t xml:space="preserve">Ertrag Dauergrünland 2022 (dt </t>
    </r>
    <r>
      <rPr>
        <b/>
        <sz val="10"/>
        <rFont val="Arial"/>
        <family val="2"/>
      </rPr>
      <t>TM</t>
    </r>
    <r>
      <rPr>
        <sz val="10"/>
        <rFont val="Arial"/>
        <family val="2"/>
      </rPr>
      <t>/ha)</t>
    </r>
  </si>
  <si>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</si>
  <si>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</si>
  <si>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</si>
  <si>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</si>
  <si>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</si>
  <si>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</si>
  <si>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</si>
  <si>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</si>
  <si>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</si>
  <si>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</si>
  <si>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</si>
  <si>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</si>
  <si>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</si>
  <si>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</si>
  <si>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</si>
  <si>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</si>
  <si>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</si>
  <si>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</si>
  <si>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</si>
  <si>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</si>
  <si>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</si>
  <si>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</si>
  <si>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</si>
  <si>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</si>
  <si>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</si>
  <si>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</si>
  <si>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</si>
  <si>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</si>
  <si>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</si>
  <si>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</si>
  <si>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</si>
  <si>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</si>
  <si>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</si>
  <si>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</si>
  <si>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</si>
  <si>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</si>
  <si>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</si>
  <si>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</si>
  <si>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</si>
  <si>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</si>
  <si>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</si>
  <si>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</si>
  <si>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</si>
  <si>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</si>
  <si>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</si>
  <si>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</si>
  <si>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</si>
  <si>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</si>
  <si>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</si>
  <si>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</si>
  <si>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</si>
  <si>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</si>
  <si>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</si>
  <si>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</si>
  <si>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</si>
  <si>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</si>
  <si>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</si>
  <si>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</si>
  <si>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</si>
  <si>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</si>
  <si>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</si>
  <si>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Vorjahr 2020/21</t>
  </si>
  <si>
    <t>org. Düng. Vorjahr 2020/21 (kg N/ha)</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</si>
  <si>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</si>
  <si>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</si>
  <si>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</si>
  <si>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</si>
  <si>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</si>
  <si>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</si>
  <si>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</si>
  <si>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</si>
  <si>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</si>
  <si>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</si>
  <si>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</si>
  <si>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</si>
  <si>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</si>
  <si>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</si>
  <si>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</si>
  <si>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</si>
  <si>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31.12.</t>
  </si>
  <si>
    <t>15.10.</t>
  </si>
  <si>
    <t>30.10.</t>
  </si>
  <si>
    <t>30.9.</t>
  </si>
  <si>
    <t>Fragen</t>
  </si>
  <si>
    <t>Vorbelegung Stoh- Blattbergung Hopfen (in Basisdaten Ernteprodukt = Haupternteprodukt = Stroh- Blattbergung nein, was falsch ist)</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</si>
  <si>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</si>
  <si>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</si>
  <si>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</si>
  <si>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</si>
  <si>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</si>
  <si>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</si>
  <si>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</si>
  <si>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</si>
  <si>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</si>
  <si>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</si>
  <si>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r>
      <t xml:space="preserve">Düngebedarfsermittlung und Dokumentation für das </t>
    </r>
    <r>
      <rPr>
        <b/>
        <sz val="12"/>
        <rFont val="Arial"/>
        <family val="2"/>
      </rPr>
      <t>Düngejahr* 2021/22</t>
    </r>
  </si>
  <si>
    <t>Düngejahr 2021/22</t>
  </si>
  <si>
    <t>organische Düngung im Düngejahr 2021/22</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</si>
  <si>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</si>
  <si>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</si>
  <si>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</si>
  <si>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</si>
  <si>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</si>
  <si>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</si>
  <si>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</si>
  <si>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</si>
  <si>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</si>
  <si>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von Ihnen verwendete Prokukte nicht in der unten stehenden Liste vorbelegt, können Sie diese hier eintragen.</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</si>
  <si>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</si>
  <si>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</si>
  <si>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</si>
  <si>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</si>
  <si>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r>
      <t>Düngebedarfsermittlung Stickstoff 2021/22</t>
    </r>
    <r>
      <rPr>
        <sz val="14"/>
        <rFont val="Arial"/>
        <family val="2"/>
      </rPr>
      <t xml:space="preserve"> - Hauptfrüchte</t>
    </r>
  </si>
  <si>
    <t>Hauptfrucht 2021/22</t>
  </si>
  <si>
    <t>2021/22</t>
  </si>
  <si>
    <t>Düngebedarfsermittlung Phosphat 2021/22</t>
  </si>
  <si>
    <r>
      <t>Düngebedarfsermittlung Stickstoff 2021/22</t>
    </r>
    <r>
      <rPr>
        <sz val="14"/>
        <rFont val="Arial"/>
        <family val="2"/>
      </rPr>
      <t xml:space="preserve"> - Zweitfrüchte</t>
    </r>
  </si>
  <si>
    <t>Zweitfrucht 2021/22</t>
  </si>
  <si>
    <t>mineralische Düngung Düngejahr 2021/22</t>
  </si>
  <si>
    <t>Erfasste Daten 2021/22</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</si>
  <si>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</si>
  <si>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</si>
  <si>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</si>
  <si>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</si>
  <si>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</si>
  <si>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</si>
  <si>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</si>
  <si>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</si>
  <si>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</si>
  <si>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</si>
  <si>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</si>
  <si>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</si>
  <si>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</si>
  <si>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</si>
  <si>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</si>
  <si>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</si>
  <si>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</si>
  <si>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</si>
  <si>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</si>
  <si>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</si>
  <si>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</si>
  <si>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</si>
  <si>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</si>
  <si>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</si>
  <si>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</si>
  <si>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</si>
  <si>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</si>
  <si>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</si>
  <si>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</si>
  <si>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</si>
  <si>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</si>
  <si>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</si>
  <si>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</si>
  <si>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</si>
  <si>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</si>
  <si>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</si>
  <si>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</si>
  <si>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</si>
  <si>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t>Schlagspezifische Grenze 170 kg N/ha auf roter Fläche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</si>
  <si>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</si>
  <si>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</si>
  <si>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</si>
  <si>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</si>
  <si>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</si>
  <si>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</si>
  <si>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 xml:space="preserve">Zur Übertragung Ihrer Daten in das Excel-Berechnungsprogramm 2023 markieren Sie alle Zellen, die im schwarz umrandeten Kasten liegen. Nach unten liegt die Begrenzung an der Anzahl Ihrer Schläge. </t>
  </si>
  <si>
    <t>Überblick organische Dünger 2021/22</t>
  </si>
  <si>
    <t>Überblick mineralische Dünger 2021/22</t>
  </si>
  <si>
    <t xml:space="preserve">Rote Flächen 2021/22: Mögliche Nutzung der 160/80 Regel </t>
  </si>
  <si>
    <t>Daten aus 2021</t>
  </si>
  <si>
    <t>Einfügen der kopierten Daten der Excel-Düngebedarfsermittlung 2020/21 (Daten für 2022) möglich.</t>
  </si>
  <si>
    <t>Vorauswahl</t>
  </si>
  <si>
    <t>Planung und Dokumentation der organischen Düngung im Düngejahr 2021/22</t>
  </si>
  <si>
    <t>Dokumentation der mineralischen Düngung im Düngejahr 2021/22</t>
  </si>
  <si>
    <t>Zusammenfassung der Datenerfassung für 2021/22</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</si>
  <si>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</si>
  <si>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zur Düngebedarfsermittlung und Dokumentation 2021/22</t>
  </si>
  <si>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</si>
  <si>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</si>
  <si>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</si>
  <si>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</si>
  <si>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</si>
  <si>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AE9:AM24</t>
  </si>
  <si>
    <t>org</t>
  </si>
  <si>
    <t>ZF</t>
  </si>
  <si>
    <t>Q9:AC24</t>
  </si>
  <si>
    <t>X</t>
  </si>
  <si>
    <t>Zeile Druckbereich</t>
  </si>
  <si>
    <t>Flächen und Kulturen 2021/22</t>
  </si>
  <si>
    <t>Spaltennummer</t>
  </si>
  <si>
    <t>Q</t>
  </si>
  <si>
    <t>W</t>
  </si>
  <si>
    <r>
      <t xml:space="preserve">Hauptfrucht 
 Düngejahr 2020/21 
Acker + Grünland
</t>
    </r>
    <r>
      <rPr>
        <sz val="8"/>
        <rFont val="Arial"/>
        <family val="2"/>
      </rPr>
      <t>Vorauswahl angebauter Kulturen in "Vorauswahl" möglich</t>
    </r>
  </si>
  <si>
    <r>
      <t xml:space="preserve">Hauptfrucht 
Düngejahr 2021/22
Acker + Grünland
</t>
    </r>
    <r>
      <rPr>
        <sz val="8"/>
        <rFont val="Arial"/>
        <family val="2"/>
      </rPr>
      <t>Vorauswahl angebauter Kulturen in "Vorauswahl" möglich</t>
    </r>
  </si>
  <si>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</si>
  <si>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</si>
  <si>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</si>
  <si>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</si>
  <si>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</si>
  <si>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</si>
  <si>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</si>
  <si>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</si>
  <si>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</si>
  <si>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</si>
  <si>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</si>
  <si>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</si>
  <si>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</si>
  <si>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</si>
  <si>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</si>
  <si>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</si>
  <si>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</si>
  <si>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</si>
  <si>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</si>
  <si>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</si>
  <si>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</si>
  <si>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</si>
  <si>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</si>
  <si>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</si>
  <si>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</si>
  <si>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</si>
  <si>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</si>
  <si>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</si>
  <si>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</si>
  <si>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</si>
  <si>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</si>
  <si>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</si>
  <si>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</si>
  <si>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</si>
  <si>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</si>
  <si>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</si>
  <si>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</si>
  <si>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</si>
  <si>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</si>
  <si>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</si>
  <si>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</si>
  <si>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</si>
  <si>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</si>
  <si>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</si>
  <si>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</si>
  <si>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</si>
  <si>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</si>
  <si>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</si>
  <si>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</si>
  <si>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</si>
  <si>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</si>
  <si>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</si>
  <si>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</si>
  <si>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</si>
  <si>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</si>
  <si>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</si>
  <si>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</si>
  <si>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</si>
  <si>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</si>
  <si>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</si>
  <si>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</si>
  <si>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</si>
  <si>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</si>
  <si>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</si>
  <si>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</si>
  <si>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</si>
  <si>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</si>
  <si>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</si>
  <si>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</si>
  <si>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</si>
  <si>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</si>
  <si>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</si>
  <si>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</si>
  <si>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</si>
  <si>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</si>
  <si>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</si>
  <si>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</si>
  <si>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</si>
  <si>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</si>
  <si>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</si>
  <si>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</si>
  <si>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</si>
  <si>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</si>
  <si>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</si>
  <si>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</si>
  <si>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</si>
  <si>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</si>
  <si>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</si>
  <si>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</si>
  <si>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</si>
  <si>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</si>
  <si>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</si>
  <si>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</si>
  <si>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</si>
  <si>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</si>
  <si>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</si>
  <si>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</si>
  <si>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</si>
  <si>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</si>
  <si>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</si>
  <si>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</si>
  <si>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</si>
  <si>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</si>
  <si>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</si>
  <si>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</si>
  <si>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 xml:space="preserve"> Schraffierte Zellen müssen nicht ausgefüllt werden. Dateneingabe aus letztem Jahr in Daten aus 2021</t>
  </si>
  <si>
    <t>Überblick Hauptfrüchte 2021/22</t>
  </si>
  <si>
    <t>Kürzung** mineralisch (kg/ha)</t>
  </si>
  <si>
    <t>Kürzung org je ha</t>
  </si>
  <si>
    <t>Datenexport in Berechnungsdatei 2023 (optional)</t>
  </si>
  <si>
    <r>
      <rPr>
        <u/>
        <sz val="10"/>
        <color rgb="FFFF0000"/>
        <rFont val="Arial"/>
        <family val="2"/>
      </rPr>
      <t>Neue Funktion</t>
    </r>
    <r>
      <rPr>
        <sz val="10"/>
        <color rgb="FFFF0000"/>
        <rFont val="Arial"/>
        <family val="2"/>
      </rPr>
      <t>:</t>
    </r>
    <r>
      <rPr>
        <sz val="10"/>
        <rFont val="Arial"/>
        <family val="2"/>
      </rPr>
      <t xml:space="preserve"> Auswahl der im Betrieb verwendeten Kulturen und Dünger zum schnelleren Bedienen der Dropdown-Listen. Zusätzlich Erfassung organischer Dünger mit eigenen Untersuchungsergebnissen sowie Kulturen und mineralische Dünger, die nicht in den Dropdown-Listen enthalten sind </t>
    </r>
  </si>
  <si>
    <t>Flächen u. Kulturen</t>
  </si>
  <si>
    <t>org. Düngung 22</t>
  </si>
  <si>
    <t>min. Düngung 22</t>
  </si>
  <si>
    <t>Überblick 22</t>
  </si>
  <si>
    <t>Optimierung rote Flächen</t>
  </si>
  <si>
    <t>DBE Zweitfrüchte</t>
  </si>
  <si>
    <t>DBE - N</t>
  </si>
  <si>
    <t>DBE - P</t>
  </si>
  <si>
    <t>Fehler_Hinweise</t>
  </si>
  <si>
    <t>Daten für 23</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</si>
  <si>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</si>
  <si>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</si>
  <si>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</si>
  <si>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</si>
  <si>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</si>
  <si>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</si>
  <si>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</si>
  <si>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Düngung nur erlaubt, wenn Ausbringung vor einer Ernte im Herbst (Feldfutterbau)</t>
  </si>
  <si>
    <t>Feldfutter im Ansaatjahr mit Herbstdüngung</t>
  </si>
  <si>
    <t>HF im Herbst oder Frucht</t>
  </si>
  <si>
    <t>Datum der Düngung passt nicht zur Zuordnung HF ab Frühjahr / HF im Herbst bzw. Zwisch./Zweitfrucht</t>
  </si>
  <si>
    <t>Späteste Nebenkulturdüngung</t>
  </si>
  <si>
    <t>Max. Herbstdüngemenge</t>
  </si>
  <si>
    <t>F</t>
  </si>
  <si>
    <t>G</t>
  </si>
  <si>
    <t>H</t>
  </si>
  <si>
    <t>I</t>
  </si>
  <si>
    <t>J</t>
  </si>
  <si>
    <t>K</t>
  </si>
  <si>
    <t>L</t>
  </si>
  <si>
    <t>M</t>
  </si>
  <si>
    <t>R</t>
  </si>
  <si>
    <t>S</t>
  </si>
  <si>
    <t>T</t>
  </si>
  <si>
    <t>U</t>
  </si>
  <si>
    <t>V</t>
  </si>
  <si>
    <t>Y</t>
  </si>
  <si>
    <t>Z</t>
  </si>
  <si>
    <t>Zuchtsauengülle (5 % TM), N-/P-red. Fütterung 5)</t>
  </si>
  <si>
    <t>Heil- und Gewürzpflanzenstiele, frisch (12% TM)</t>
  </si>
  <si>
    <t>Einspielen Basisdaten</t>
  </si>
  <si>
    <t>Carbokalk</t>
  </si>
  <si>
    <t>L.A.T COMPLEX S/Cl 12/12/17 +2MgO+12SO3+B+Zn</t>
  </si>
  <si>
    <t>L.A.T COMPLEX 14/10/20 +10SO3</t>
  </si>
  <si>
    <t>L.A.T COMPLEX 20/20 +7SO3+Zn</t>
  </si>
  <si>
    <t>L.A.T COMPLEX 20/10/8 +12SO3</t>
  </si>
  <si>
    <t>L.A.T COMPLEX 24/14 +7SO3</t>
  </si>
  <si>
    <t>DAP 18+46 (Lifosa)</t>
  </si>
  <si>
    <t>Schwarzkalk</t>
  </si>
  <si>
    <t>YaraBela SULFAN Grünland</t>
  </si>
  <si>
    <t>CARBOKALK</t>
  </si>
  <si>
    <t>SW-KALK</t>
  </si>
  <si>
    <t/>
  </si>
  <si>
    <t>Basisdaten 2022</t>
  </si>
  <si>
    <t>org. Dünger: * wegnehmen, da die nur bei Auswahl eigener Dünger ausgegeben werden.</t>
  </si>
  <si>
    <t>org + min: Abkürzungen Kommentar auf Vollständigkeit überprüfen</t>
  </si>
  <si>
    <t>HACKS1</t>
  </si>
  <si>
    <t>Hackschnitzel</t>
  </si>
  <si>
    <t>Filterhelfe stichfest</t>
  </si>
  <si>
    <t>Pilzsubstrat (Champost)</t>
  </si>
  <si>
    <t>Greift im Herbst 30/60 mit Rebenh</t>
  </si>
  <si>
    <t>GPS Getreide</t>
  </si>
  <si>
    <t>Sonstige GPS, Hanf</t>
  </si>
  <si>
    <t>Küchenkräuter</t>
  </si>
  <si>
    <t>Weidelgras (inkl. Leg. bis 30 %)</t>
  </si>
  <si>
    <t>Kleegras, Gemenge (30 - 70 % Leg.)</t>
  </si>
  <si>
    <t>Kleegras , Gemenge ( &gt; 70 % Leg.)</t>
  </si>
  <si>
    <t>GPS Getreide, GPS Hirse</t>
  </si>
  <si>
    <t>Druschfrucht (≤ 50 % Leg.)</t>
  </si>
  <si>
    <t>2.K70</t>
  </si>
  <si>
    <t>2.DR</t>
  </si>
  <si>
    <t>2.KR</t>
  </si>
  <si>
    <t>2.GG</t>
  </si>
  <si>
    <t>2.GS</t>
  </si>
  <si>
    <t>Zweitfrüchte: nicht alle Spalten werden benötigt. / Abkürzungen: EDV-Code zu lang</t>
  </si>
  <si>
    <t xml:space="preserve">Zwischenfrüchte: Zusätzliche Spalte zur Identifizierung, ob Düngebedarf gegeben ist </t>
  </si>
  <si>
    <t>AP27:BC38</t>
  </si>
  <si>
    <t>Basisdaten 22</t>
  </si>
  <si>
    <t>Ändert sich die Anzahl an Zeilen bei HF und ZF müssen unter Vorauswahl die Druckbereiche angepasst werden</t>
  </si>
  <si>
    <t>GRL-EXT</t>
  </si>
  <si>
    <t>GRL-INT</t>
  </si>
  <si>
    <t>Stilllegung Grünland</t>
  </si>
  <si>
    <t>GRL-STILG</t>
  </si>
  <si>
    <t>+++Getreide+++</t>
  </si>
  <si>
    <t>Winterbraugerste</t>
  </si>
  <si>
    <t>+++Körnermais, sonstige Körnernutzung+++</t>
  </si>
  <si>
    <t>Körnermais</t>
  </si>
  <si>
    <t>+++Körnerleguminosen+++</t>
  </si>
  <si>
    <t>ER</t>
  </si>
  <si>
    <t>+++Ölfrüchte+++</t>
  </si>
  <si>
    <t>WRA</t>
  </si>
  <si>
    <t>SB</t>
  </si>
  <si>
    <t>Körnerhanf</t>
  </si>
  <si>
    <t>HF-KORN</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</si>
  <si>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</si>
  <si>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</si>
  <si>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</si>
  <si>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</si>
  <si>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</si>
  <si>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</si>
  <si>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</si>
  <si>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</si>
  <si>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</si>
  <si>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</si>
  <si>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</si>
  <si>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</si>
  <si>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</si>
  <si>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</si>
  <si>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</si>
  <si>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</si>
  <si>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RAND</t>
  </si>
  <si>
    <t>Blühfläche, Blühstreifen</t>
  </si>
  <si>
    <t>BLUEHFL</t>
  </si>
  <si>
    <t>Brache</t>
  </si>
  <si>
    <t>BRACHE</t>
  </si>
  <si>
    <t>Stilllegung Acker</t>
  </si>
  <si>
    <t>STILA</t>
  </si>
  <si>
    <t>Dauerbrache (Nicht-LF)</t>
  </si>
  <si>
    <t>DB</t>
  </si>
  <si>
    <t>Teichfläche (Nicht-LF)</t>
  </si>
  <si>
    <t>TEICH</t>
  </si>
  <si>
    <t>Aufforstung (Nicht-LF)</t>
  </si>
  <si>
    <t>FORST</t>
  </si>
  <si>
    <t>Feldgehölz, Feldrain (Nicht-LF)</t>
  </si>
  <si>
    <t>FELDRAIN</t>
  </si>
  <si>
    <t>sonstige Fläche (Nicht-LF)</t>
  </si>
  <si>
    <t>NICHTLF</t>
  </si>
  <si>
    <t>+++Gemüse+++</t>
  </si>
  <si>
    <t>Dicke Bohnen, ohne Hülsen</t>
  </si>
  <si>
    <t>BOH-DICK</t>
  </si>
  <si>
    <t>Kichererbsen</t>
  </si>
  <si>
    <t>KIER</t>
  </si>
  <si>
    <t>Kohlrübe</t>
  </si>
  <si>
    <t>KOHRU</t>
  </si>
  <si>
    <t>Kürbis, Hokkaido</t>
  </si>
  <si>
    <t>KUE-HOK</t>
  </si>
  <si>
    <t>Mangold</t>
  </si>
  <si>
    <t>MANGOLD</t>
  </si>
  <si>
    <t>Melone, Wasser-</t>
  </si>
  <si>
    <t>MEL-WAS</t>
  </si>
  <si>
    <t>Melone, Zucker-, Honig-</t>
  </si>
  <si>
    <t>MEL-ZUK</t>
  </si>
  <si>
    <t>Markerbse, früh bis mittelfrüh</t>
  </si>
  <si>
    <t>ER-MARK1</t>
  </si>
  <si>
    <t>Markerbse, mittelspät</t>
  </si>
  <si>
    <t>ER-MARK2</t>
  </si>
  <si>
    <t>Pak Choi</t>
  </si>
  <si>
    <t>PAK-CHOI</t>
  </si>
  <si>
    <t>Portulak Sommer bis 1. Schnitt</t>
  </si>
  <si>
    <t>PORTU-SO1S</t>
  </si>
  <si>
    <t>Portulak Sommer nach einem Schnitt</t>
  </si>
  <si>
    <t>PORTU-SONS</t>
  </si>
  <si>
    <t>Portulak Winter bis 1. Schnitt</t>
  </si>
  <si>
    <t>PORTU-WI1S</t>
  </si>
  <si>
    <t>Portulak Winter nach einem Schnitt</t>
  </si>
  <si>
    <t>PORTU-WINS</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</si>
  <si>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</si>
  <si>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</si>
  <si>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</si>
  <si>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</si>
  <si>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</si>
  <si>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</si>
  <si>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</si>
  <si>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</si>
  <si>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</si>
  <si>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</si>
  <si>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</si>
  <si>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</si>
  <si>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</si>
  <si>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ZWI-SCHA</t>
  </si>
  <si>
    <t>+++Heil- und Gewürzpflanzen</t>
  </si>
  <si>
    <t>Ackerschachtelhalm (Kraut)</t>
  </si>
  <si>
    <t>Ackerstiefmütterchen (Blühendes Kraut)</t>
  </si>
  <si>
    <t>ASTIEFMUE</t>
  </si>
  <si>
    <t>Akelei (Blühendes Kraut)</t>
  </si>
  <si>
    <t>Alant (Wurzeln)</t>
  </si>
  <si>
    <t>Ampfer, Krauser (Kraut nach der Blüte)</t>
  </si>
  <si>
    <t>Ampfer, Wiesen- (Blatt)</t>
  </si>
  <si>
    <t>Andorn (Blühendes Kraut)</t>
  </si>
  <si>
    <t>ANDORN</t>
  </si>
  <si>
    <t>Artischocke (Kardone) (Kraut)</t>
  </si>
  <si>
    <t>Arzneifenchel (Samen)</t>
  </si>
  <si>
    <t>Arzneirhabarber (Wurzeln)</t>
  </si>
  <si>
    <t>Bärlauch (Blätter)</t>
  </si>
  <si>
    <t>Bärwurz (Wurzel)</t>
  </si>
  <si>
    <t>BAERWU</t>
  </si>
  <si>
    <t>Baikal-Helmkraut (Wurzeln)</t>
  </si>
  <si>
    <t>Baldrian (Wurzeln)</t>
  </si>
  <si>
    <t>Ballonrebe (Kraut)</t>
  </si>
  <si>
    <t>BALLON</t>
  </si>
  <si>
    <t>Basilikum (Kraut b. Blühbeginn)</t>
  </si>
  <si>
    <t>Beinwell (Wurzeln)</t>
  </si>
  <si>
    <t>BEINW</t>
  </si>
  <si>
    <t>Bergbohnenkraut (Blühendes Kraut)</t>
  </si>
  <si>
    <t>Bertram, Römischer (Wurzeln)</t>
  </si>
  <si>
    <t>BERTRAM</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</si>
  <si>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</si>
  <si>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</si>
  <si>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</si>
  <si>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</si>
  <si>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</si>
  <si>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</si>
  <si>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</si>
  <si>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</si>
  <si>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</si>
  <si>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</si>
  <si>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DIL-SPI</t>
  </si>
  <si>
    <t>Dost, Oregano (Blühendes Kraut)</t>
  </si>
  <si>
    <t>Drachenkopf, Türkischer (Blühendes Kraut)</t>
  </si>
  <si>
    <t>Drachenkopf, Iberischer (Samen)</t>
  </si>
  <si>
    <t>DRAKO-IB</t>
  </si>
  <si>
    <t>Efeu (Kraut)</t>
  </si>
  <si>
    <t>EFEU</t>
  </si>
  <si>
    <t>Eibisch (Wurzeln)</t>
  </si>
  <si>
    <t>Eisenkraut, Echtes (Kraut)</t>
  </si>
  <si>
    <t>Engelwurz, Europäische (Wurzeln)</t>
  </si>
  <si>
    <t>Engelwurz, Sibirische (Wurzeln)</t>
  </si>
  <si>
    <t>Enzian, Erntejahr (Wurzeln nach 4 Jahren)</t>
  </si>
  <si>
    <t>Estragon, Deutscher (Nicht blühendes Kraut)</t>
  </si>
  <si>
    <t>Färberwaid (Kraut)</t>
  </si>
  <si>
    <t>FAERBERW</t>
  </si>
  <si>
    <t>Federmohn, 1. Standjahr (Kraut)</t>
  </si>
  <si>
    <t>Federmohn, ab 2. Standjahr (Kraut)</t>
  </si>
  <si>
    <t>Frauenmantel, Gewöhnlicher (Blühendes Kraut)</t>
  </si>
  <si>
    <t>Galega (Geißraute) (Kraut)</t>
  </si>
  <si>
    <t>Gartenkresse (Kraut)</t>
  </si>
  <si>
    <t>Gartenpimpinelle (Kraut)</t>
  </si>
  <si>
    <t>Getreidegras (Kraut)</t>
  </si>
  <si>
    <t>GETGRAS</t>
  </si>
  <si>
    <t>Ginseng (Wurzeln)</t>
  </si>
  <si>
    <t>GINSENG</t>
  </si>
  <si>
    <t>Hafer, Grüner (Kraut v. Milchreife)</t>
  </si>
  <si>
    <t>HA-GRUE</t>
  </si>
  <si>
    <t>Ingwer (Rhizom)</t>
  </si>
  <si>
    <t>INGWER</t>
  </si>
  <si>
    <t>Johanniskraut (Blühendes Kraut)</t>
  </si>
  <si>
    <t>Kamille (Blüten)</t>
  </si>
  <si>
    <t>KAMI_BLUE</t>
  </si>
  <si>
    <t>Kamille (Blühhorizont)</t>
  </si>
  <si>
    <t>Kapuzinerkresse (Blühendes Kraut)</t>
  </si>
  <si>
    <t>Kerbel (Kraut)</t>
  </si>
  <si>
    <t>Koriander (Kraut)</t>
  </si>
  <si>
    <t>Kornblume (Blühendes Kraut)</t>
  </si>
  <si>
    <t>Kornblume (Blüten)</t>
  </si>
  <si>
    <t>Knoblauch (Zwiebel ganz)</t>
  </si>
  <si>
    <t>KNO</t>
  </si>
  <si>
    <t>Kümmel, einjährig, (Samen)</t>
  </si>
  <si>
    <t>Kümmel, zweijährig, ohne Ernte</t>
  </si>
  <si>
    <t>KUM-2OE</t>
  </si>
  <si>
    <t>Kümmel, zweijährig, Erntejahr</t>
  </si>
  <si>
    <t>KUM-2ME</t>
  </si>
  <si>
    <t>Kuhschelle, Wiesen- (Kraut)</t>
  </si>
  <si>
    <t>KUHSCHE-K</t>
  </si>
  <si>
    <t>Kuhschelle, Wiesen- (Ganzpflanze)</t>
  </si>
  <si>
    <t>KUHSCHE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</si>
  <si>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</si>
  <si>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</si>
  <si>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</si>
  <si>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</si>
  <si>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</si>
  <si>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</si>
  <si>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</si>
  <si>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</si>
  <si>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MADIS-K</t>
  </si>
  <si>
    <t>Meerrettich (Wurzeln)</t>
  </si>
  <si>
    <t>Meisterwurz (Wurzel)</t>
  </si>
  <si>
    <t>MEIWU</t>
  </si>
  <si>
    <t>Melde (Kraut)</t>
  </si>
  <si>
    <t>Muskatteller Salbei (Blühendes Kraut)</t>
  </si>
  <si>
    <t>Mutterkraut (T. parthenium) (Blühendes Kraut)</t>
  </si>
  <si>
    <t>Mutterkraut, Chin. (L. jap.) (Blühendes Kraut)</t>
  </si>
  <si>
    <t>Odermennig (Kraut)</t>
  </si>
  <si>
    <t>ODERM</t>
  </si>
  <si>
    <t>Pestwurz (Blätter)</t>
  </si>
  <si>
    <t>PESTW</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</si>
  <si>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</si>
  <si>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</si>
  <si>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</si>
  <si>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</si>
  <si>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</si>
  <si>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</si>
  <si>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</si>
  <si>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ROSENW</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</si>
  <si>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</si>
  <si>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</si>
  <si>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</si>
  <si>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</si>
  <si>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</si>
  <si>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</si>
  <si>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</si>
  <si>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</si>
  <si>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</si>
  <si>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SCHLUS-BL</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</si>
  <si>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</si>
  <si>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</si>
  <si>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</si>
  <si>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</si>
  <si>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</si>
  <si>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</si>
  <si>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</si>
  <si>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</si>
  <si>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SENF-SW</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</si>
  <si>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</si>
  <si>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</si>
  <si>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</si>
  <si>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</si>
  <si>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</si>
  <si>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</si>
  <si>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</si>
  <si>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KL-STEIN-W</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</si>
  <si>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</si>
  <si>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</si>
  <si>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</si>
  <si>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</si>
  <si>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</si>
  <si>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</si>
  <si>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</si>
  <si>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</si>
  <si>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</si>
  <si>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</si>
  <si>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</si>
  <si>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Frucht: Zuordung der alten zu den neuen Namen notwendig, damit Datenimport funktionieren kann</t>
  </si>
  <si>
    <t>leere Zellen mit 0 füllen (bei zugriff auf Tabellen wird nicht einfach eine 0 genommen)</t>
  </si>
  <si>
    <t xml:space="preserve">  +++ Faserpflanzen+++</t>
  </si>
  <si>
    <t xml:space="preserve"> Flachs (Faserlein)</t>
  </si>
  <si>
    <t xml:space="preserve"> Hanf</t>
  </si>
  <si>
    <t xml:space="preserve">  +++Hackfrüchte+++</t>
  </si>
  <si>
    <t xml:space="preserve"> Kartoffel (Speise, Stärke)</t>
  </si>
  <si>
    <t xml:space="preserve"> Kartoffel (Veredelung)</t>
  </si>
  <si>
    <t xml:space="preserve"> Frühkartoffel</t>
  </si>
  <si>
    <t xml:space="preserve"> Zuckerrüben</t>
  </si>
  <si>
    <t xml:space="preserve"> Futter-, Runkelrüben</t>
  </si>
  <si>
    <t xml:space="preserve"> Kohl-, Steckrüben</t>
  </si>
  <si>
    <t xml:space="preserve">  +++Futterpflanzen+++</t>
  </si>
  <si>
    <t xml:space="preserve"> Silomais (32 % TM)</t>
  </si>
  <si>
    <t xml:space="preserve"> Corn-Cop-Mix (CCM)</t>
  </si>
  <si>
    <t xml:space="preserve"> Lieschkolbensilage</t>
  </si>
  <si>
    <t xml:space="preserve"> GPS Weizen</t>
  </si>
  <si>
    <t xml:space="preserve"> GPS Wintergerste</t>
  </si>
  <si>
    <t xml:space="preserve"> GPS Sommergerste</t>
  </si>
  <si>
    <t xml:space="preserve"> GPS Tritikale</t>
  </si>
  <si>
    <t xml:space="preserve"> GPS Roggen</t>
  </si>
  <si>
    <t xml:space="preserve"> GPS Hafer</t>
  </si>
  <si>
    <t xml:space="preserve"> GPS Lupinen</t>
  </si>
  <si>
    <t xml:space="preserve"> GPS Erbsen/Ackerb.</t>
  </si>
  <si>
    <t xml:space="preserve"> GPS Wicken </t>
  </si>
  <si>
    <t xml:space="preserve"> GPS Rübsen </t>
  </si>
  <si>
    <t xml:space="preserve"> GPS Winterraps</t>
  </si>
  <si>
    <t xml:space="preserve">  +++Energiepflanzen+++</t>
  </si>
  <si>
    <t xml:space="preserve"> Sorgumhirse</t>
  </si>
  <si>
    <t xml:space="preserve"> GPS Sonnenblumen</t>
  </si>
  <si>
    <t xml:space="preserve"> GPS Amarant </t>
  </si>
  <si>
    <t xml:space="preserve"> GPS Buchweizen</t>
  </si>
  <si>
    <t xml:space="preserve"> GPS Quinoa </t>
  </si>
  <si>
    <t xml:space="preserve">  +++Vermehrungspfl.+++</t>
  </si>
  <si>
    <t xml:space="preserve"> Grassamenvermehrung</t>
  </si>
  <si>
    <t xml:space="preserve"> Kleesamenvermehrung</t>
  </si>
  <si>
    <t xml:space="preserve"> Luzernesamenvermehrung</t>
  </si>
  <si>
    <t xml:space="preserve"> Phaceliasamenvermehrung</t>
  </si>
  <si>
    <t xml:space="preserve"> Wildkräutervermehr. (Legum.)</t>
  </si>
  <si>
    <t xml:space="preserve"> Wildkräuterverm. (Nichtleg.)</t>
  </si>
  <si>
    <t xml:space="preserve">  +++Dauerkulturen+++</t>
  </si>
  <si>
    <t xml:space="preserve"> Hopfen (ohne Herkules)</t>
  </si>
  <si>
    <t xml:space="preserve"> Hopfen (Herkules)</t>
  </si>
  <si>
    <t xml:space="preserve"> Topinambur </t>
  </si>
  <si>
    <t xml:space="preserve"> Tabak (Burley dachtrocken)</t>
  </si>
  <si>
    <t xml:space="preserve"> Erdbeeren, Frühjahr</t>
  </si>
  <si>
    <t xml:space="preserve">  +++Feldfutterbau +++</t>
  </si>
  <si>
    <t xml:space="preserve"> Esparsette</t>
  </si>
  <si>
    <t xml:space="preserve"> Ackergras 3-4 Schnitte/Jahr</t>
  </si>
  <si>
    <t xml:space="preserve"> Ackergras 5 Schnitte/Jahr</t>
  </si>
  <si>
    <t xml:space="preserve"> Kleegras (Kleeanteil 30 %)</t>
  </si>
  <si>
    <t xml:space="preserve"> Kleegras (Kleeanteil 50 %)</t>
  </si>
  <si>
    <t xml:space="preserve"> Kleegras (Kleeanteil 70 %)</t>
  </si>
  <si>
    <t xml:space="preserve"> Luzernegras (Luz.anteil 30 %)</t>
  </si>
  <si>
    <t xml:space="preserve"> Luzernegras (Luz.anteil 50 %)</t>
  </si>
  <si>
    <t xml:space="preserve"> Luzernegras (Luz.anteil 70 %)</t>
  </si>
  <si>
    <t xml:space="preserve"> Klee (Reinkultur)</t>
  </si>
  <si>
    <t xml:space="preserve"> Luzerne (Reinkultur)</t>
  </si>
  <si>
    <t xml:space="preserve"> Silphie (HF im Ansaatjahr)</t>
  </si>
  <si>
    <t xml:space="preserve"> Silphie (ab 2. Standjahr)</t>
  </si>
  <si>
    <t xml:space="preserve"> Sida (Virginiamalve)</t>
  </si>
  <si>
    <t xml:space="preserve"> Igniscum</t>
  </si>
  <si>
    <t xml:space="preserve"> Riesenweizengras (Szarvasi)</t>
  </si>
  <si>
    <t xml:space="preserve"> Chinaschilf (Miscanthus)</t>
  </si>
  <si>
    <t xml:space="preserve"> Switchgras</t>
  </si>
  <si>
    <t xml:space="preserve"> Rohrglanzgras</t>
  </si>
  <si>
    <t xml:space="preserve">  +++Gemüse+++</t>
  </si>
  <si>
    <t xml:space="preserve"> Artischocke</t>
  </si>
  <si>
    <t xml:space="preserve"> Auberginen</t>
  </si>
  <si>
    <t xml:space="preserve"> Blattsalate, grün</t>
  </si>
  <si>
    <t xml:space="preserve"> Blattsalate, rot</t>
  </si>
  <si>
    <t xml:space="preserve"> Blumenkohl</t>
  </si>
  <si>
    <t xml:space="preserve"> Brokkoli</t>
  </si>
  <si>
    <t xml:space="preserve"> Buschbohnen</t>
  </si>
  <si>
    <t xml:space="preserve"> Chicoréerüben</t>
  </si>
  <si>
    <t xml:space="preserve"> Chinakohl</t>
  </si>
  <si>
    <t xml:space="preserve"> Eissalat</t>
  </si>
  <si>
    <t xml:space="preserve"> Endivie, Frisée</t>
  </si>
  <si>
    <t xml:space="preserve"> Endivie, glattblättrig</t>
  </si>
  <si>
    <t xml:space="preserve"> Feldsalat, Rapunzel</t>
  </si>
  <si>
    <t xml:space="preserve"> Feldsalat, großblättrig</t>
  </si>
  <si>
    <t xml:space="preserve"> Gemüseerbsen</t>
  </si>
  <si>
    <t xml:space="preserve"> Grünkohl</t>
  </si>
  <si>
    <t xml:space="preserve"> Gurke, Einlege-</t>
  </si>
  <si>
    <t xml:space="preserve"> Knollenfenchel</t>
  </si>
  <si>
    <t xml:space="preserve"> Kohlrabi</t>
  </si>
  <si>
    <t xml:space="preserve"> Kopfsalat</t>
  </si>
  <si>
    <t xml:space="preserve"> Kürbis, Öl-</t>
  </si>
  <si>
    <t xml:space="preserve"> Kürbis, Speise-</t>
  </si>
  <si>
    <t xml:space="preserve"> Mairüben (mit Laub)</t>
  </si>
  <si>
    <t xml:space="preserve"> Möhren, Bund-</t>
  </si>
  <si>
    <t xml:space="preserve"> Möhren, Industrie-</t>
  </si>
  <si>
    <t xml:space="preserve"> Möhren, Wasch-</t>
  </si>
  <si>
    <t xml:space="preserve"> Paprika</t>
  </si>
  <si>
    <t xml:space="preserve"> Pastinake</t>
  </si>
  <si>
    <t xml:space="preserve"> Petersilie, Wurzel-</t>
  </si>
  <si>
    <t xml:space="preserve"> Porree</t>
  </si>
  <si>
    <t xml:space="preserve"> Radicchio</t>
  </si>
  <si>
    <t xml:space="preserve"> Radies</t>
  </si>
  <si>
    <t xml:space="preserve"> Rettich, Bund-</t>
  </si>
  <si>
    <t xml:space="preserve"> Rettich, deutsch</t>
  </si>
  <si>
    <t xml:space="preserve"> Rettich, japanisch</t>
  </si>
  <si>
    <t xml:space="preserve"> Rhabarber 1. Standj.</t>
  </si>
  <si>
    <t xml:space="preserve"> Rhabarber 2. Standj. Austrieb</t>
  </si>
  <si>
    <t xml:space="preserve"> Rhabarber 3. Standj. Austrieb</t>
  </si>
  <si>
    <t xml:space="preserve"> Rhabarber &gt;4. Standj. Austr.</t>
  </si>
  <si>
    <t xml:space="preserve"> Rhabarber 2. Standj. n. Ernte</t>
  </si>
  <si>
    <t xml:space="preserve"> Rhabarber 3. Standj. n. Ernte</t>
  </si>
  <si>
    <t xml:space="preserve"> Rhabarber &gt;4. Standj. n. Ernte</t>
  </si>
  <si>
    <t xml:space="preserve"> Romana</t>
  </si>
  <si>
    <t xml:space="preserve"> Romana, Herzen</t>
  </si>
  <si>
    <t xml:space="preserve"> Rosenkohl, nur Röschen</t>
  </si>
  <si>
    <t xml:space="preserve"> Rote Rüben</t>
  </si>
  <si>
    <t xml:space="preserve"> Rotkohl</t>
  </si>
  <si>
    <t xml:space="preserve"> Rucola, Feinware</t>
  </si>
  <si>
    <t xml:space="preserve"> Rucola, Grobware</t>
  </si>
  <si>
    <t xml:space="preserve"> Salate, Baby Leaf Lettuce</t>
  </si>
  <si>
    <t xml:space="preserve"> Schwarzwurzel</t>
  </si>
  <si>
    <t xml:space="preserve"> Sellerie, Bund-</t>
  </si>
  <si>
    <t xml:space="preserve"> Sellerie, Knollen-</t>
  </si>
  <si>
    <t xml:space="preserve"> Sellerie, Stangen-</t>
  </si>
  <si>
    <t xml:space="preserve"> Spargel 1. Standjahr </t>
  </si>
  <si>
    <t xml:space="preserve"> Spargel 2. Standjahr </t>
  </si>
  <si>
    <t xml:space="preserve"> Spargel 3. Standjahr </t>
  </si>
  <si>
    <t xml:space="preserve"> Spargel ab 4. Standjahr </t>
  </si>
  <si>
    <t xml:space="preserve"> Spinat, Blatt-, Baby</t>
  </si>
  <si>
    <t xml:space="preserve"> Spinat, Blatt-, Standard</t>
  </si>
  <si>
    <t xml:space="preserve"> Spinat, Hack-, Standard</t>
  </si>
  <si>
    <t xml:space="preserve"> Stangenbohne</t>
  </si>
  <si>
    <t xml:space="preserve"> Süßkartoffel</t>
  </si>
  <si>
    <t xml:space="preserve"> Teltower Rübchen</t>
  </si>
  <si>
    <t xml:space="preserve"> Tomate</t>
  </si>
  <si>
    <t xml:space="preserve"> Weißkohl, Frischmarkt-</t>
  </si>
  <si>
    <t xml:space="preserve"> Weißkohl, Industrie-</t>
  </si>
  <si>
    <t xml:space="preserve"> Wirsing</t>
  </si>
  <si>
    <t xml:space="preserve"> Zucchini</t>
  </si>
  <si>
    <t xml:space="preserve"> Zuckerhut</t>
  </si>
  <si>
    <t xml:space="preserve"> Zuckermais</t>
  </si>
  <si>
    <t xml:space="preserve"> Zwiebel, Bund-</t>
  </si>
  <si>
    <t xml:space="preserve"> Zwiebel, Trocken-</t>
  </si>
  <si>
    <t xml:space="preserve">  +++Heil- und Gewürzpflanzen</t>
  </si>
  <si>
    <t xml:space="preserve"> Ackerschachtelhalm (Kr)</t>
  </si>
  <si>
    <t xml:space="preserve"> Akelei (Blühendes Kr)</t>
  </si>
  <si>
    <t xml:space="preserve"> Alant (W)</t>
  </si>
  <si>
    <t xml:space="preserve"> Ampfer, Krauser (Kr n. Blü)</t>
  </si>
  <si>
    <t xml:space="preserve"> Ampfer, Wiesen- (Bl)</t>
  </si>
  <si>
    <t xml:space="preserve"> Anis (Samen)</t>
  </si>
  <si>
    <t xml:space="preserve"> Artischocke (Kardone) (Kr)</t>
  </si>
  <si>
    <t xml:space="preserve"> Arzneifenchel (Fr)</t>
  </si>
  <si>
    <t xml:space="preserve"> Arzneirhabarber (W)</t>
  </si>
  <si>
    <t xml:space="preserve"> Bärlauch (Bl)</t>
  </si>
  <si>
    <t xml:space="preserve"> Baikal-Helmkraut (W)</t>
  </si>
  <si>
    <t xml:space="preserve"> Baldrian (W)</t>
  </si>
  <si>
    <t xml:space="preserve"> Basilikum (Kr b. Blühbeginn)</t>
  </si>
  <si>
    <t xml:space="preserve"> Bergarnika (Blütenkörbe)</t>
  </si>
  <si>
    <t xml:space="preserve"> Bergbohnenkraut (Blüh. Kr)</t>
  </si>
  <si>
    <t xml:space="preserve"> Besenbeifuß (Kr)</t>
  </si>
  <si>
    <t xml:space="preserve"> Bibernelle, Kleine (W)</t>
  </si>
  <si>
    <t xml:space="preserve"> Blaue Malve (Blüh. Kr)</t>
  </si>
  <si>
    <t xml:space="preserve"> Blaue Malve (Blü)</t>
  </si>
  <si>
    <t xml:space="preserve"> Bockshornklee (Samen)</t>
  </si>
  <si>
    <t xml:space="preserve"> Bohnenkraut, einj (Blüh. Kr)</t>
  </si>
  <si>
    <t xml:space="preserve"> Borretsch (Blüh. Kr)</t>
  </si>
  <si>
    <t xml:space="preserve"> Braunelle (Kr; Ende d. Blüte)</t>
  </si>
  <si>
    <t xml:space="preserve"> Brennnessel, Gr. (N. blüh. Kr)</t>
  </si>
  <si>
    <t xml:space="preserve"> Brennnessel, Kl. (Blüh. Kr)</t>
  </si>
  <si>
    <t xml:space="preserve"> Brunnenkresse (Kr)</t>
  </si>
  <si>
    <t xml:space="preserve"> Dill, Frischmarkt (Kr)</t>
  </si>
  <si>
    <t xml:space="preserve"> Dill, Industrie (Kr b. Kn.-ansatz)</t>
  </si>
  <si>
    <t xml:space="preserve"> Dost, Oregano (Blüh. Kr)</t>
  </si>
  <si>
    <t xml:space="preserve"> Drachenkopf (Blüh. Kr)</t>
  </si>
  <si>
    <t xml:space="preserve"> Eibisch (W)</t>
  </si>
  <si>
    <t xml:space="preserve"> Eisenkraut, Echtes (Kr)</t>
  </si>
  <si>
    <t xml:space="preserve"> Engelwurz, Europ. (W)</t>
  </si>
  <si>
    <t xml:space="preserve"> Engelwurz, Sibirische (W)</t>
  </si>
  <si>
    <t xml:space="preserve"> Enzian, ohne Ernte</t>
  </si>
  <si>
    <t xml:space="preserve"> Enzian, Erntej. (W n. 4 J.)</t>
  </si>
  <si>
    <t xml:space="preserve"> Estragon, De. (N. blüh Kr)</t>
  </si>
  <si>
    <t xml:space="preserve"> Färberdistel (Samen)</t>
  </si>
  <si>
    <t xml:space="preserve"> Federmohn, 1. Standj. (Kr)</t>
  </si>
  <si>
    <t xml:space="preserve"> Federmohn, &gt;2. Standj. (Kr)</t>
  </si>
  <si>
    <t xml:space="preserve"> Frauenmantel, Gew. (Blüh. Kr)</t>
  </si>
  <si>
    <t xml:space="preserve"> Galega (Geißraute) (Kr)</t>
  </si>
  <si>
    <t xml:space="preserve"> Gartenkresse (Kr)</t>
  </si>
  <si>
    <t xml:space="preserve"> Goldrute (Blühhorizont)</t>
  </si>
  <si>
    <t xml:space="preserve"> Johanniskraut (Blüh Kr)</t>
  </si>
  <si>
    <t xml:space="preserve"> Kamille (Blü, Blühhorizont)</t>
  </si>
  <si>
    <t xml:space="preserve"> Kapuzinerkresse (Blüh. Kr)</t>
  </si>
  <si>
    <t xml:space="preserve"> Kerbel (Kr)</t>
  </si>
  <si>
    <t xml:space="preserve"> Koriander (Kr)</t>
  </si>
  <si>
    <t xml:space="preserve"> Koriander (Samen)</t>
  </si>
  <si>
    <t xml:space="preserve"> Kornblume (Blüh. Kr)</t>
  </si>
  <si>
    <t xml:space="preserve"> Kornblume (Blü)</t>
  </si>
  <si>
    <t xml:space="preserve"> Kümmel, einjährig, (Fr)</t>
  </si>
  <si>
    <t xml:space="preserve"> Lavendel (Blütenähren)</t>
  </si>
  <si>
    <t xml:space="preserve"> Liebstöckel (N. blüh. Kr)</t>
  </si>
  <si>
    <t xml:space="preserve"> Löwenzahn (Kr)</t>
  </si>
  <si>
    <t xml:space="preserve"> Löwenzahn, Kaukas. (W)</t>
  </si>
  <si>
    <t xml:space="preserve"> Mädesüß (Blüh. Kr)</t>
  </si>
  <si>
    <t xml:space="preserve"> Majoran (Kr. bei Blühbeg.)</t>
  </si>
  <si>
    <t xml:space="preserve"> Mariendistel (Samen)</t>
  </si>
  <si>
    <t xml:space="preserve"> Meerrettich (W)</t>
  </si>
  <si>
    <t xml:space="preserve"> Melde (Kr)</t>
  </si>
  <si>
    <t xml:space="preserve"> Mohn (Samen und Kapseln)</t>
  </si>
  <si>
    <t xml:space="preserve"> Muskatteller Salbei (Blüh. Kr)</t>
  </si>
  <si>
    <t xml:space="preserve"> Mutterkraut (Blüh. Kr)</t>
  </si>
  <si>
    <t xml:space="preserve"> Mutterkraut, Chin. (Blüh. Kr)</t>
  </si>
  <si>
    <t xml:space="preserve"> Nachtkerze (Samen)</t>
  </si>
  <si>
    <t xml:space="preserve"> Petersilie, Blatt- (bis 1. Schn.)</t>
  </si>
  <si>
    <t xml:space="preserve"> Petersilie, Blatt- (n. 1. Schn.)</t>
  </si>
  <si>
    <t xml:space="preserve"> Petersilie, Blatt-, Verarb.</t>
  </si>
  <si>
    <t xml:space="preserve"> (Pfeffer-)Minze (N. blüh. Kr)</t>
  </si>
  <si>
    <t xml:space="preserve"> Ringelblume, (Blüh. Kr)</t>
  </si>
  <si>
    <t xml:space="preserve"> Ringelblume (Blütenkörbe)</t>
  </si>
  <si>
    <t xml:space="preserve"> Rosmarin (N. blüh. Kr)</t>
  </si>
  <si>
    <t xml:space="preserve"> Rotwurzelsalbei (W)</t>
  </si>
  <si>
    <t xml:space="preserve"> Salbei (N. blüh. Kr)</t>
  </si>
  <si>
    <t xml:space="preserve"> Saposhnikovia (W)</t>
  </si>
  <si>
    <t xml:space="preserve"> Saussurea costus (W)</t>
  </si>
  <si>
    <t xml:space="preserve"> Schabzigerklee (Blüh. Kr)</t>
  </si>
  <si>
    <t xml:space="preserve"> Schafgarbe (Blühhorizont)</t>
  </si>
  <si>
    <t xml:space="preserve"> Schleifenblume, Bittere (Kr)</t>
  </si>
  <si>
    <t xml:space="preserve"> Schlüsselblume (W)</t>
  </si>
  <si>
    <t xml:space="preserve"> Schnittknoblauch (Kr)</t>
  </si>
  <si>
    <t xml:space="preserve"> Schnittlauch (Kr bis 1. Schn.)</t>
  </si>
  <si>
    <t xml:space="preserve"> Schnittlauch (Kr n. 1 Schn.)</t>
  </si>
  <si>
    <t xml:space="preserve"> Schnittlauch, Treiberei (Ballen)</t>
  </si>
  <si>
    <t xml:space="preserve"> Schnittlauch, Verarb, alle Schn.</t>
  </si>
  <si>
    <t xml:space="preserve"> Schöllkraut (Blüh. Kr)</t>
  </si>
  <si>
    <t xml:space="preserve"> Sellerie, Schnitt- (Kr)</t>
  </si>
  <si>
    <t xml:space="preserve"> Senf, Brauner (Samen)</t>
  </si>
  <si>
    <t xml:space="preserve"> Senf, Gelber/Weißer (Samen)</t>
  </si>
  <si>
    <t xml:space="preserve"> Siegesbeckia (Blüh. Kr)</t>
  </si>
  <si>
    <t xml:space="preserve"> Sonnenhut (E.ang.) (Blüh. Kr)</t>
  </si>
  <si>
    <t xml:space="preserve"> Sonnenhut (E.pallida) (Blüh. Kr)</t>
  </si>
  <si>
    <t xml:space="preserve"> Sonnenhut (E.purp.) (Blüh. Kr)</t>
  </si>
  <si>
    <t xml:space="preserve"> Spitzwegerich (Kr)</t>
  </si>
  <si>
    <t xml:space="preserve"> Steinklee, Gelber (Blüh. Kr)</t>
  </si>
  <si>
    <t xml:space="preserve"> Schwarzkümmel (Samen)</t>
  </si>
  <si>
    <t xml:space="preserve"> Thymian (Blüh. Kr)</t>
  </si>
  <si>
    <t xml:space="preserve"> Tollkirsche (Kr)</t>
  </si>
  <si>
    <t xml:space="preserve"> Tragant, Chinesischer (W)</t>
  </si>
  <si>
    <t xml:space="preserve"> Wermut, Beifuß (N. blüh. Kr)</t>
  </si>
  <si>
    <t xml:space="preserve"> Winterheckenzwiebel (Kr)</t>
  </si>
  <si>
    <t xml:space="preserve"> Ysop (Blüh. Kr)</t>
  </si>
  <si>
    <t xml:space="preserve"> Zitronenmelisse (N. blüh. Kr)</t>
  </si>
  <si>
    <t xml:space="preserve"> Zitronenverbene (Kr)</t>
  </si>
  <si>
    <t>Almen &lt; 5 % Legum.</t>
  </si>
  <si>
    <t>kultur_edvname_kurz</t>
  </si>
  <si>
    <t>GRL-ALM</t>
  </si>
  <si>
    <t>Almen 5-10 % Legum.</t>
  </si>
  <si>
    <t>Almen 10,1 -20 % Leg.</t>
  </si>
  <si>
    <t>Almen &gt; 20 % Legum.</t>
  </si>
  <si>
    <t xml:space="preserve">Frucht: Grünland ext. / intensiv /Almen nur ab edv_code für jeden Leguminosengehalt kopieren / Nfix je ha je Leguminosengehalt einfügen (als negativer Wert!), nachschauen, ob bedarfswert/Zu- u. Abschlag da ist, ggf. nachtragen (in eigentlicher Basisdatentabelle nicht vorhanden. Zu und Abschlag = N-Gehalt </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</si>
  <si>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</si>
  <si>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</si>
  <si>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</si>
  <si>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</si>
  <si>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</si>
  <si>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</si>
  <si>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</si>
  <si>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</si>
  <si>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</si>
  <si>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</si>
  <si>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</si>
  <si>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</si>
  <si>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</si>
  <si>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</si>
  <si>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</si>
  <si>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</si>
  <si>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</si>
  <si>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</si>
  <si>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</si>
  <si>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</si>
  <si>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</si>
  <si>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</si>
  <si>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</si>
  <si>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</si>
  <si>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</si>
  <si>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</si>
  <si>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</si>
  <si>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</si>
  <si>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</si>
  <si>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</si>
  <si>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</si>
  <si>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</si>
  <si>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</si>
  <si>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</si>
  <si>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</si>
  <si>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</si>
  <si>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</si>
  <si>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</si>
  <si>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</si>
  <si>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</si>
  <si>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</si>
  <si>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</si>
  <si>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</si>
  <si>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ernteprodukt_art</t>
  </si>
  <si>
    <t>herbstduengemenge_duevgrenze</t>
  </si>
  <si>
    <t>Jährlicher betrieblicher Nährstoffeinsatz - Anlage 5 DüV</t>
  </si>
  <si>
    <t>Anlage 5 DüV</t>
  </si>
  <si>
    <t>Jährlicher betrieblicher Nährstoffeinsatz nach Anlage 5 DüV für 2021/22</t>
  </si>
  <si>
    <t>A372:O388</t>
  </si>
  <si>
    <t>Hopfen (ohne/mit Herkules): Zahl für Ernteprodukt auf 3 (Ganzpflanze) stellen</t>
  </si>
  <si>
    <t>Summe eigene Kürzung:</t>
  </si>
  <si>
    <t>* Optimierte Kürzung und Kürzung zur Einhaltung 160/80 nur möglich, wenn rote Flächen vollständig eingegeben sind.</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</si>
  <si>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</si>
  <si>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</si>
  <si>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</si>
  <si>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</si>
  <si>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</si>
  <si>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</si>
  <si>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rPr>
      <t>O</t>
    </r>
    <r>
      <rPr>
        <vertAlign val="subscript"/>
        <sz val="10"/>
        <rFont val="Arial"/>
        <family val="2"/>
      </rPr>
      <t>5</t>
    </r>
  </si>
  <si>
    <t>Silomais (32 % TM)</t>
  </si>
  <si>
    <t>Ausgabe 170 für 23</t>
  </si>
  <si>
    <t>Wählen Sie Zelle B7 aus. Führen Sie den Befehl Einfügen - Werte einfügen - aus (Siehe Bild)</t>
  </si>
  <si>
    <t xml:space="preserve">Markieren und kopieren Sie die Datenblock aus der Berechnungsdatei 2020/21 - Tabellenblatt: Daten für 2022. </t>
  </si>
  <si>
    <t>Hier können eigene Notizen gemacht werden:</t>
  </si>
  <si>
    <t>Notizen</t>
  </si>
  <si>
    <t>Hier können eigene Notizen gemacht werden</t>
  </si>
  <si>
    <t>Datenübernahme aus 2020/21 (optional)</t>
  </si>
  <si>
    <t xml:space="preserve">*Das Düngejahr beginnt nach der Ernte der Hauptfrucht 2021 und endet mit der Ernte der Hauptfrucht 2022, bzw. bei Grünland und Feldfutterbau beginnt es nach dem letzten Schnitt 2021 und endet mit dem letzten Schnitt 2022. </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</si>
  <si>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</si>
  <si>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</si>
  <si>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</si>
  <si>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</si>
  <si>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</si>
  <si>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Da ackergras nur noch 1: Bei Datenübernahme Umweg in #Berechnung DBE, wenn ackergras 3-4, dann such nach ackergras 5</t>
  </si>
  <si>
    <t>Spargel: Fruchtartengruppe auf 5 ändern, damit gerechnet werden kann.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</si>
</sst>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0.0"/>
    <numFmt numFmtId="166" formatCode="0.000000"/>
    <numFmt numFmtId="167" formatCode="0.0%"/>
    <numFmt numFmtId="168" formatCode="_-* #,##0\ _€_-;\-* #,##0\ _€_-;_-* &quot;-&quot;??\ _€_-;_-@_-"/>
    <numFmt numFmtId="169" formatCode="0;\-0;;@"/>
  </numFmts>
  <fonts count="75" x14ac:knownFonts="1">
    <font>
      <sz val="10"/>
      <name val="Arial"/>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4"/>
      <name val="Arial"/>
      <family val="2"/>
    </font>
    <font>
      <sz val="10"/>
      <color rgb="FF0070C0"/>
      <name val="Arial"/>
      <family val="2"/>
    </font>
    <font>
      <b/>
      <sz val="9"/>
      <color indexed="81"/>
      <name val="Segoe UI"/>
      <family val="2"/>
    </font>
    <font>
      <sz val="8"/>
      <name val="Arial"/>
      <family val="2"/>
    </font>
    <font>
      <b/>
      <sz val="10"/>
      <color rgb="FF0070C0"/>
      <name val="Arial"/>
      <family val="2"/>
    </font>
    <font>
      <b/>
      <vertAlign val="subscript"/>
      <sz val="10"/>
      <color theme="1"/>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sz val="10"/>
      <color indexed="12"/>
      <name val="Arial"/>
      <family val="2"/>
    </font>
    <font>
      <b/>
      <sz val="11"/>
      <name val="Calibri"/>
      <family val="2"/>
    </font>
    <font>
      <sz val="8"/>
      <color rgb="FF0070C0"/>
      <name val="Arial"/>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sz val="8"/>
      <color rgb="FF000000"/>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color rgb="FFFF0000"/>
      <name val="Arial"/>
      <family val="2"/>
    </font>
    <font>
      <u/>
      <sz val="10"/>
      <name val="Arial"/>
      <family val="2"/>
    </font>
  </fonts>
  <fills count="41">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theme="7" tint="0.39997558519241921"/>
        <bgColor indexed="64"/>
      </patternFill>
    </fill>
    <fill>
      <patternFill patternType="solid">
        <fgColor rgb="FFFF0000"/>
        <bgColor indexed="64"/>
      </patternFill>
    </fill>
  </fills>
  <borders count="144">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theme="1" tint="0.499984740745262"/>
      </left>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medium">
        <color indexed="64"/>
      </left>
      <right style="medium">
        <color indexed="64"/>
      </right>
      <top style="thin">
        <color theme="4" tint="0.39997558519241921"/>
      </top>
      <bottom style="thin">
        <color theme="4" tint="0.39997558519241921"/>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1">
    <xf numFmtId="0" fontId="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2" fillId="0" borderId="0"/>
    <xf numFmtId="0" fontId="18" fillId="0" borderId="0"/>
    <xf numFmtId="0" fontId="2" fillId="0" borderId="0"/>
    <xf numFmtId="0" fontId="18" fillId="0" borderId="0"/>
    <xf numFmtId="0" fontId="2"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Font="0" applyFill="0" applyBorder="0" applyAlignment="0" applyProtection="0"/>
  </cellStyleXfs>
  <cellXfs count="1859">
    <xf numFmtId="0" fontId="0" fillId="0" borderId="0" xfId="0"/>
    <xf numFmtId="0" fontId="3" fillId="0" borderId="0" xfId="0" applyFont="1"/>
    <xf numFmtId="0" fontId="4" fillId="0" borderId="5" xfId="24" applyFont="1" applyFill="1" applyBorder="1"/>
    <xf numFmtId="0" fontId="4" fillId="0" borderId="7" xfId="24" applyFont="1" applyFill="1" applyBorder="1" applyAlignment="1">
      <alignment horizontal="center"/>
    </xf>
    <xf numFmtId="0" fontId="8" fillId="0" borderId="0" xfId="0" applyFont="1" applyBorder="1"/>
    <xf numFmtId="0" fontId="9" fillId="0" borderId="0" xfId="0" applyFont="1" applyFill="1" applyBorder="1" applyAlignment="1">
      <alignment horizontal="center"/>
    </xf>
    <xf numFmtId="0" fontId="10" fillId="0" borderId="0" xfId="0" applyFont="1" applyBorder="1" applyAlignment="1">
      <alignment horizontal="center"/>
    </xf>
    <xf numFmtId="0" fontId="10" fillId="0" borderId="0" xfId="0" applyFont="1" applyAlignment="1">
      <alignment horizontal="center"/>
    </xf>
    <xf numFmtId="0" fontId="10" fillId="0" borderId="0" xfId="0" applyFont="1" applyFill="1" applyAlignment="1">
      <alignment horizontal="center"/>
    </xf>
    <xf numFmtId="0" fontId="10" fillId="0" borderId="0" xfId="0" applyFont="1"/>
    <xf numFmtId="0" fontId="10" fillId="0" borderId="0" xfId="0" applyFont="1" applyAlignment="1">
      <alignment horizontal="center" vertical="top"/>
    </xf>
    <xf numFmtId="0" fontId="19" fillId="0" borderId="0" xfId="0" applyFont="1" applyBorder="1" applyAlignment="1">
      <alignment horizontal="center"/>
    </xf>
    <xf numFmtId="0" fontId="19" fillId="0" borderId="7" xfId="0" applyFont="1" applyBorder="1" applyAlignment="1">
      <alignment horizontal="center"/>
    </xf>
    <xf numFmtId="0" fontId="20" fillId="0" borderId="6" xfId="0" applyFont="1" applyBorder="1" applyAlignment="1">
      <alignment horizontal="center" vertical="top"/>
    </xf>
    <xf numFmtId="0" fontId="20" fillId="0" borderId="7" xfId="0" applyFont="1" applyBorder="1" applyAlignment="1">
      <alignment horizontal="center"/>
    </xf>
    <xf numFmtId="0" fontId="20" fillId="0" borderId="18" xfId="0" applyFont="1" applyBorder="1"/>
    <xf numFmtId="165" fontId="3" fillId="0" borderId="0" xfId="24" applyNumberFormat="1" applyFont="1" applyFill="1" applyBorder="1" applyAlignment="1">
      <alignment horizontal="center"/>
    </xf>
    <xf numFmtId="0" fontId="2" fillId="0" borderId="0" xfId="0" applyFont="1" applyAlignment="1">
      <alignment horizontal="left"/>
    </xf>
    <xf numFmtId="0" fontId="2" fillId="0" borderId="0" xfId="0" applyFont="1"/>
    <xf numFmtId="0" fontId="3" fillId="0" borderId="0" xfId="24" applyFill="1" applyBorder="1"/>
    <xf numFmtId="0" fontId="4" fillId="0" borderId="0" xfId="24" applyFont="1" applyFill="1" applyBorder="1" applyAlignment="1">
      <alignment horizontal="center"/>
    </xf>
    <xf numFmtId="0" fontId="3" fillId="0" borderId="0" xfId="24" applyFont="1" applyFill="1" applyBorder="1" applyAlignment="1">
      <alignment horizontal="center"/>
    </xf>
    <xf numFmtId="1" fontId="3" fillId="0" borderId="0" xfId="24" applyNumberFormat="1" applyFont="1" applyFill="1" applyBorder="1" applyAlignment="1">
      <alignment horizontal="center"/>
    </xf>
    <xf numFmtId="0" fontId="0" fillId="0" borderId="0" xfId="0" applyFill="1" applyBorder="1"/>
    <xf numFmtId="0" fontId="3" fillId="0" borderId="0" xfId="24" applyFont="1" applyFill="1" applyBorder="1"/>
    <xf numFmtId="0" fontId="2" fillId="0" borderId="0" xfId="0" quotePrefix="1" applyFont="1"/>
    <xf numFmtId="0" fontId="2" fillId="0" borderId="0" xfId="24" applyFont="1" applyFill="1" applyBorder="1"/>
    <xf numFmtId="0" fontId="20" fillId="0" borderId="0" xfId="0" applyFont="1" applyBorder="1" applyAlignment="1">
      <alignment horizontal="center"/>
    </xf>
    <xf numFmtId="1" fontId="4"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0" fillId="0" borderId="7" xfId="25" applyNumberFormat="1" applyFont="1" applyFill="1" applyBorder="1" applyAlignment="1">
      <alignment horizontal="center" vertical="top"/>
    </xf>
    <xf numFmtId="0" fontId="2"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2"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2" fillId="0" borderId="0" xfId="0" applyFont="1" applyFill="1" applyBorder="1"/>
    <xf numFmtId="0" fontId="2" fillId="0" borderId="0" xfId="0" applyFont="1" applyAlignment="1">
      <alignment wrapText="1"/>
    </xf>
    <xf numFmtId="0" fontId="19" fillId="0" borderId="0" xfId="0" applyFont="1" applyBorder="1" applyAlignment="1">
      <alignment horizontal="center" vertical="top"/>
    </xf>
    <xf numFmtId="0" fontId="19" fillId="0" borderId="9" xfId="0" applyFont="1" applyBorder="1" applyAlignment="1">
      <alignment horizontal="center"/>
    </xf>
    <xf numFmtId="1" fontId="0" fillId="0" borderId="0" xfId="0" applyNumberFormat="1"/>
    <xf numFmtId="0" fontId="4" fillId="0" borderId="0" xfId="24" applyFont="1" applyFill="1" applyBorder="1"/>
    <xf numFmtId="165" fontId="0" fillId="0" borderId="0" xfId="0" applyNumberFormat="1"/>
    <xf numFmtId="0" fontId="0" fillId="0" borderId="0" xfId="0" applyBorder="1" applyAlignment="1">
      <alignment horizontal="center" vertical="center"/>
    </xf>
    <xf numFmtId="0" fontId="5"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6" xfId="0" applyFill="1" applyBorder="1"/>
    <xf numFmtId="0" fontId="0" fillId="14" borderId="43" xfId="0" applyFill="1" applyBorder="1"/>
    <xf numFmtId="0" fontId="0" fillId="14" borderId="45" xfId="0" applyFill="1" applyBorder="1"/>
    <xf numFmtId="0" fontId="0" fillId="0" borderId="0" xfId="0" applyAlignment="1">
      <alignment horizontal="left" vertical="center"/>
    </xf>
    <xf numFmtId="0" fontId="0" fillId="11" borderId="46" xfId="0" applyFill="1" applyBorder="1"/>
    <xf numFmtId="0" fontId="0" fillId="11" borderId="43"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2" fillId="0" borderId="0" xfId="0" applyFont="1" applyFill="1"/>
    <xf numFmtId="0" fontId="2" fillId="0" borderId="0" xfId="0" applyFont="1" applyFill="1" applyProtection="1">
      <protection locked="0"/>
    </xf>
    <xf numFmtId="0" fontId="25" fillId="0" borderId="0" xfId="25" applyFont="1" applyFill="1" applyBorder="1"/>
    <xf numFmtId="0" fontId="7" fillId="0" borderId="0" xfId="0" applyFont="1" applyFill="1" applyBorder="1" applyAlignment="1" applyProtection="1"/>
    <xf numFmtId="0" fontId="2" fillId="0" borderId="1" xfId="0" applyFont="1" applyBorder="1"/>
    <xf numFmtId="0" fontId="2" fillId="0" borderId="0" xfId="0" applyFont="1" applyBorder="1"/>
    <xf numFmtId="0" fontId="0" fillId="0" borderId="43" xfId="0" applyBorder="1"/>
    <xf numFmtId="0" fontId="2" fillId="0" borderId="23" xfId="0" applyFont="1" applyBorder="1"/>
    <xf numFmtId="0" fontId="2" fillId="0" borderId="39" xfId="0" applyFont="1" applyBorder="1"/>
    <xf numFmtId="0" fontId="0" fillId="0" borderId="40" xfId="0" applyBorder="1"/>
    <xf numFmtId="0" fontId="0" fillId="0" borderId="0" xfId="0" applyFill="1" applyAlignment="1">
      <alignment vertical="center" wrapText="1"/>
    </xf>
    <xf numFmtId="0" fontId="6" fillId="0" borderId="29" xfId="0" applyFont="1" applyFill="1" applyBorder="1"/>
    <xf numFmtId="0" fontId="0" fillId="0" borderId="24" xfId="0" applyBorder="1" applyAlignment="1">
      <alignment horizontal="center"/>
    </xf>
    <xf numFmtId="0" fontId="0" fillId="0" borderId="39" xfId="0" applyBorder="1"/>
    <xf numFmtId="0" fontId="2" fillId="0" borderId="0" xfId="0" applyFont="1" applyAlignment="1">
      <alignment vertical="center"/>
    </xf>
    <xf numFmtId="0" fontId="2" fillId="0" borderId="0" xfId="0" applyFont="1" applyFill="1" applyBorder="1" applyAlignment="1">
      <alignment vertical="center"/>
    </xf>
    <xf numFmtId="0" fontId="0" fillId="0" borderId="0" xfId="0"/>
    <xf numFmtId="0" fontId="0" fillId="0" borderId="23" xfId="0" applyBorder="1" applyAlignment="1">
      <alignment horizontal="center"/>
    </xf>
    <xf numFmtId="0" fontId="24" fillId="0" borderId="0" xfId="0" applyFont="1"/>
    <xf numFmtId="0" fontId="0" fillId="0" borderId="0" xfId="0" applyAlignment="1">
      <alignment horizontal="center"/>
    </xf>
    <xf numFmtId="0" fontId="0" fillId="0" borderId="32" xfId="0" applyBorder="1" applyAlignment="1">
      <alignment horizontal="center"/>
    </xf>
    <xf numFmtId="0" fontId="2"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2"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8"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2" fillId="0" borderId="0" xfId="0" applyFont="1" applyAlignment="1"/>
    <xf numFmtId="0" fontId="2" fillId="0" borderId="0" xfId="0" applyFont="1"/>
    <xf numFmtId="0" fontId="0" fillId="3" borderId="0" xfId="0" applyFill="1"/>
    <xf numFmtId="0" fontId="2" fillId="3" borderId="0" xfId="0" applyFont="1" applyFill="1"/>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2" fillId="0" borderId="0" xfId="0" applyFont="1"/>
    <xf numFmtId="0" fontId="30" fillId="0" borderId="0" xfId="0" applyFont="1" applyAlignment="1">
      <alignment horizontal="left"/>
    </xf>
    <xf numFmtId="0" fontId="0" fillId="0" borderId="0" xfId="0"/>
    <xf numFmtId="0" fontId="2" fillId="0" borderId="0" xfId="0" applyFont="1"/>
    <xf numFmtId="0" fontId="0" fillId="0" borderId="0" xfId="0"/>
    <xf numFmtId="0" fontId="2" fillId="0" borderId="0" xfId="0" applyFont="1"/>
    <xf numFmtId="0" fontId="2" fillId="4" borderId="0" xfId="30" applyNumberFormat="1" applyFont="1" applyFill="1"/>
    <xf numFmtId="0" fontId="2" fillId="4" borderId="0" xfId="0" applyFont="1" applyFill="1"/>
    <xf numFmtId="0" fontId="0" fillId="0" borderId="0" xfId="0" applyFont="1"/>
    <xf numFmtId="0" fontId="2"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2" fillId="0" borderId="15" xfId="25" applyBorder="1" applyProtection="1">
      <protection locked="0"/>
    </xf>
    <xf numFmtId="0" fontId="32" fillId="0" borderId="18" xfId="25" applyFont="1" applyBorder="1" applyProtection="1">
      <protection locked="0"/>
    </xf>
    <xf numFmtId="0" fontId="2" fillId="0" borderId="0" xfId="25" applyProtection="1">
      <protection locked="0"/>
    </xf>
    <xf numFmtId="0" fontId="2" fillId="0" borderId="18" xfId="25" applyBorder="1" applyProtection="1">
      <protection locked="0"/>
    </xf>
    <xf numFmtId="0" fontId="2" fillId="0" borderId="8" xfId="25" applyBorder="1" applyAlignment="1" applyProtection="1">
      <alignment horizontal="center"/>
      <protection locked="0"/>
    </xf>
    <xf numFmtId="0" fontId="2" fillId="0" borderId="23" xfId="25" applyBorder="1" applyAlignment="1" applyProtection="1">
      <alignment horizontal="center"/>
      <protection locked="0"/>
    </xf>
    <xf numFmtId="0" fontId="2" fillId="0" borderId="9" xfId="25" applyBorder="1" applyAlignment="1" applyProtection="1">
      <alignment horizontal="centerContinuous"/>
      <protection locked="0"/>
    </xf>
    <xf numFmtId="0" fontId="2" fillId="0" borderId="9" xfId="25" applyBorder="1" applyAlignment="1" applyProtection="1">
      <alignment horizontal="center"/>
      <protection locked="0"/>
    </xf>
    <xf numFmtId="0" fontId="2" fillId="0" borderId="16" xfId="25" applyBorder="1" applyProtection="1">
      <protection locked="0"/>
    </xf>
    <xf numFmtId="0" fontId="0" fillId="0" borderId="0" xfId="0" applyAlignment="1">
      <alignment horizontal="center" vertical="center"/>
    </xf>
    <xf numFmtId="0" fontId="0" fillId="0" borderId="0" xfId="0"/>
    <xf numFmtId="0" fontId="0" fillId="0" borderId="0" xfId="0"/>
    <xf numFmtId="1" fontId="0" fillId="18" borderId="1" xfId="0" applyNumberFormat="1" applyFill="1" applyBorder="1" applyAlignment="1">
      <alignment horizontal="center" vertical="center"/>
    </xf>
    <xf numFmtId="0" fontId="0" fillId="18" borderId="1" xfId="0" applyFill="1" applyBorder="1" applyAlignment="1">
      <alignment horizontal="center" vertical="center"/>
    </xf>
    <xf numFmtId="0" fontId="0" fillId="18" borderId="0" xfId="0" applyFill="1" applyAlignment="1">
      <alignment horizontal="center" vertical="center"/>
    </xf>
    <xf numFmtId="0" fontId="0" fillId="18" borderId="0" xfId="0" applyFill="1"/>
    <xf numFmtId="0" fontId="0" fillId="0" borderId="0" xfId="0"/>
    <xf numFmtId="0" fontId="2" fillId="0" borderId="0" xfId="0" applyFont="1"/>
    <xf numFmtId="0" fontId="0" fillId="0" borderId="0" xfId="0" applyAlignment="1">
      <alignment horizontal="right"/>
    </xf>
    <xf numFmtId="14" fontId="0" fillId="17" borderId="0" xfId="0" applyNumberFormat="1" applyFill="1"/>
    <xf numFmtId="0" fontId="0" fillId="0" borderId="0" xfId="0"/>
    <xf numFmtId="0" fontId="0" fillId="0" borderId="0" xfId="0"/>
    <xf numFmtId="0" fontId="2" fillId="0" borderId="0" xfId="0" applyFont="1"/>
    <xf numFmtId="0" fontId="0" fillId="0" borderId="24" xfId="0" applyBorder="1"/>
    <xf numFmtId="0" fontId="2" fillId="0" borderId="29" xfId="0" applyFont="1" applyBorder="1"/>
    <xf numFmtId="165" fontId="2"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2" fillId="0" borderId="0" xfId="0" applyFont="1" applyAlignment="1" applyProtection="1">
      <alignment horizontal="left" vertical="center"/>
    </xf>
    <xf numFmtId="165" fontId="2" fillId="0" borderId="43" xfId="0" applyNumberFormat="1" applyFont="1" applyFill="1" applyBorder="1"/>
    <xf numFmtId="165" fontId="0" fillId="0" borderId="43" xfId="0" applyNumberFormat="1" applyFill="1" applyBorder="1"/>
    <xf numFmtId="165" fontId="0" fillId="0" borderId="29" xfId="0" applyNumberFormat="1" applyBorder="1"/>
    <xf numFmtId="0" fontId="10" fillId="0" borderId="0" xfId="0" applyFont="1" applyAlignment="1">
      <alignment horizontal="left"/>
    </xf>
    <xf numFmtId="0" fontId="32" fillId="9" borderId="0" xfId="0" applyFont="1" applyFill="1" applyAlignment="1">
      <alignment horizontal="left"/>
    </xf>
    <xf numFmtId="0" fontId="19" fillId="0" borderId="5" xfId="0" applyFont="1" applyBorder="1"/>
    <xf numFmtId="0" fontId="4" fillId="0" borderId="7" xfId="0" applyFont="1" applyBorder="1" applyAlignment="1">
      <alignment horizontal="center" wrapText="1"/>
    </xf>
    <xf numFmtId="0" fontId="19" fillId="0" borderId="18" xfId="0" applyFont="1" applyBorder="1" applyAlignment="1">
      <alignment horizontal="center" wrapText="1"/>
    </xf>
    <xf numFmtId="0" fontId="0" fillId="0" borderId="7" xfId="0" applyBorder="1"/>
    <xf numFmtId="0" fontId="2" fillId="0" borderId="7" xfId="0" applyFont="1" applyBorder="1" applyAlignment="1">
      <alignment vertical="top" wrapText="1"/>
    </xf>
    <xf numFmtId="1" fontId="20" fillId="0" borderId="18" xfId="0" applyNumberFormat="1" applyFont="1" applyBorder="1" applyAlignment="1">
      <alignment horizontal="center" vertical="top"/>
    </xf>
    <xf numFmtId="0" fontId="20" fillId="0" borderId="7" xfId="0" applyFont="1" applyBorder="1" applyAlignment="1">
      <alignment vertical="top" wrapText="1"/>
    </xf>
    <xf numFmtId="0" fontId="19" fillId="0" borderId="31" xfId="0" applyFont="1" applyBorder="1" applyAlignment="1">
      <alignment vertical="top" wrapText="1"/>
    </xf>
    <xf numFmtId="0" fontId="20" fillId="0" borderId="29" xfId="0" applyFont="1" applyBorder="1" applyAlignment="1">
      <alignment horizontal="center" vertical="top"/>
    </xf>
    <xf numFmtId="0" fontId="20" fillId="0" borderId="31" xfId="0" applyFont="1" applyBorder="1" applyAlignment="1">
      <alignment horizontal="center" vertical="top"/>
    </xf>
    <xf numFmtId="0" fontId="20" fillId="0" borderId="22" xfId="0" applyFont="1" applyBorder="1" applyAlignment="1">
      <alignment horizontal="center" vertical="top"/>
    </xf>
    <xf numFmtId="1" fontId="20" fillId="0" borderId="22" xfId="0" applyNumberFormat="1" applyFont="1" applyBorder="1" applyAlignment="1">
      <alignment horizontal="center" vertical="top"/>
    </xf>
    <xf numFmtId="165" fontId="20" fillId="0" borderId="28" xfId="0" applyNumberFormat="1" applyFont="1" applyBorder="1" applyAlignment="1">
      <alignment horizontal="center" vertical="top"/>
    </xf>
    <xf numFmtId="2" fontId="20" fillId="0" borderId="30" xfId="0" applyNumberFormat="1" applyFont="1" applyBorder="1" applyAlignment="1">
      <alignment horizontal="center" vertical="top"/>
    </xf>
    <xf numFmtId="165" fontId="20" fillId="0" borderId="30" xfId="0" applyNumberFormat="1" applyFont="1" applyBorder="1" applyAlignment="1">
      <alignment horizontal="center" vertical="top"/>
    </xf>
    <xf numFmtId="165" fontId="20" fillId="0" borderId="29" xfId="0" applyNumberFormat="1" applyFont="1" applyBorder="1" applyAlignment="1">
      <alignment horizontal="center" vertical="top"/>
    </xf>
    <xf numFmtId="165" fontId="2" fillId="0" borderId="31" xfId="0" applyNumberFormat="1" applyFont="1" applyBorder="1" applyAlignment="1">
      <alignment horizontal="center" vertical="top"/>
    </xf>
    <xf numFmtId="1" fontId="2" fillId="0" borderId="31" xfId="0" applyNumberFormat="1" applyFont="1" applyBorder="1" applyAlignment="1">
      <alignment horizontal="center" vertical="top"/>
    </xf>
    <xf numFmtId="1" fontId="2" fillId="0" borderId="29" xfId="0" applyNumberFormat="1" applyFont="1" applyBorder="1" applyAlignment="1">
      <alignment horizontal="center" vertical="top"/>
    </xf>
    <xf numFmtId="1" fontId="2" fillId="0" borderId="27" xfId="0" applyNumberFormat="1" applyFont="1" applyBorder="1" applyAlignment="1">
      <alignment horizontal="center" vertical="top"/>
    </xf>
    <xf numFmtId="0" fontId="37" fillId="0" borderId="31" xfId="0" applyFont="1" applyBorder="1" applyAlignment="1">
      <alignment horizontal="center" vertical="top"/>
    </xf>
    <xf numFmtId="165" fontId="10" fillId="0" borderId="31" xfId="0" applyNumberFormat="1" applyFont="1" applyBorder="1" applyAlignment="1">
      <alignment horizontal="center" vertical="top"/>
    </xf>
    <xf numFmtId="0" fontId="2" fillId="0" borderId="7" xfId="0" quotePrefix="1" applyFont="1" applyBorder="1" applyAlignment="1">
      <alignment vertical="top" wrapText="1"/>
    </xf>
    <xf numFmtId="0" fontId="32" fillId="0" borderId="7" xfId="0" applyFont="1" applyBorder="1" applyAlignment="1">
      <alignment vertical="top" wrapText="1"/>
    </xf>
    <xf numFmtId="0" fontId="19" fillId="0" borderId="31" xfId="0" quotePrefix="1" applyFont="1" applyBorder="1" applyAlignment="1">
      <alignment vertical="top" wrapText="1"/>
    </xf>
    <xf numFmtId="0" fontId="20" fillId="0" borderId="29" xfId="0" quotePrefix="1" applyFont="1" applyBorder="1" applyAlignment="1">
      <alignment horizontal="center" vertical="top"/>
    </xf>
    <xf numFmtId="0" fontId="20" fillId="0" borderId="31" xfId="0" quotePrefix="1" applyFont="1" applyBorder="1" applyAlignment="1">
      <alignment horizontal="center" vertical="top"/>
    </xf>
    <xf numFmtId="0" fontId="20" fillId="0" borderId="22" xfId="0" quotePrefix="1" applyFont="1" applyBorder="1" applyAlignment="1">
      <alignment horizontal="center" vertical="top"/>
    </xf>
    <xf numFmtId="0" fontId="21" fillId="0" borderId="31" xfId="0" applyFont="1" applyBorder="1" applyAlignment="1">
      <alignment horizontal="center" vertical="top"/>
    </xf>
    <xf numFmtId="165" fontId="2" fillId="0" borderId="29" xfId="0" applyNumberFormat="1" applyFont="1" applyBorder="1" applyAlignment="1">
      <alignment horizontal="center" vertical="top"/>
    </xf>
    <xf numFmtId="165" fontId="2" fillId="0" borderId="27" xfId="0" applyNumberFormat="1" applyFont="1" applyBorder="1" applyAlignment="1">
      <alignment horizontal="center" vertical="top"/>
    </xf>
    <xf numFmtId="0" fontId="10" fillId="0" borderId="7" xfId="0" applyFont="1" applyBorder="1" applyAlignment="1">
      <alignment vertical="top" wrapText="1"/>
    </xf>
    <xf numFmtId="0" fontId="8" fillId="0" borderId="31" xfId="0" applyFont="1" applyBorder="1" applyAlignment="1">
      <alignment vertical="top" wrapText="1"/>
    </xf>
    <xf numFmtId="0" fontId="10" fillId="0" borderId="29" xfId="0" applyFont="1" applyBorder="1" applyAlignment="1">
      <alignment horizontal="center" vertical="top"/>
    </xf>
    <xf numFmtId="0" fontId="10" fillId="0" borderId="31" xfId="0" applyFont="1" applyBorder="1" applyAlignment="1">
      <alignment horizontal="center" vertical="top"/>
    </xf>
    <xf numFmtId="1" fontId="10" fillId="0" borderId="22" xfId="0" applyNumberFormat="1" applyFont="1" applyBorder="1" applyAlignment="1">
      <alignment horizontal="center" vertical="top"/>
    </xf>
    <xf numFmtId="0" fontId="10" fillId="0" borderId="28" xfId="0" applyFont="1" applyBorder="1" applyAlignment="1">
      <alignment horizontal="center" vertical="top"/>
    </xf>
    <xf numFmtId="165" fontId="10" fillId="0" borderId="28" xfId="0" applyNumberFormat="1" applyFont="1" applyBorder="1" applyAlignment="1">
      <alignment horizontal="center" vertical="top"/>
    </xf>
    <xf numFmtId="2" fontId="10" fillId="0" borderId="30" xfId="0" applyNumberFormat="1" applyFont="1" applyBorder="1" applyAlignment="1">
      <alignment horizontal="center" vertical="top"/>
    </xf>
    <xf numFmtId="165" fontId="10" fillId="0" borderId="30" xfId="0" applyNumberFormat="1" applyFont="1" applyBorder="1" applyAlignment="1">
      <alignment horizontal="center" vertical="top"/>
    </xf>
    <xf numFmtId="165" fontId="10" fillId="0" borderId="29" xfId="0" applyNumberFormat="1" applyFont="1" applyBorder="1" applyAlignment="1">
      <alignment horizontal="center" vertical="top"/>
    </xf>
    <xf numFmtId="165" fontId="41" fillId="0" borderId="31" xfId="0" applyNumberFormat="1" applyFont="1" applyBorder="1" applyAlignment="1">
      <alignment horizontal="center" vertical="top"/>
    </xf>
    <xf numFmtId="0" fontId="10" fillId="0" borderId="19" xfId="0" applyFont="1" applyBorder="1" applyAlignment="1">
      <alignment vertical="top" wrapText="1"/>
    </xf>
    <xf numFmtId="0" fontId="2" fillId="0" borderId="7" xfId="25" applyBorder="1" applyProtection="1">
      <protection locked="0"/>
    </xf>
    <xf numFmtId="0" fontId="19"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0" fillId="0" borderId="7" xfId="0" applyFont="1" applyBorder="1"/>
    <xf numFmtId="0" fontId="20" fillId="6" borderId="0" xfId="0" applyFont="1" applyFill="1" applyBorder="1" applyAlignment="1">
      <alignment horizontal="center"/>
    </xf>
    <xf numFmtId="0" fontId="2" fillId="3" borderId="7" xfId="0" quotePrefix="1" applyFont="1" applyFill="1" applyBorder="1" applyAlignment="1">
      <alignment vertical="top" wrapText="1"/>
    </xf>
    <xf numFmtId="166" fontId="20"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2" fillId="0" borderId="0" xfId="0" applyFont="1"/>
    <xf numFmtId="0" fontId="0" fillId="0" borderId="0" xfId="0" applyAlignment="1" applyProtection="1">
      <alignment horizontal="left" vertical="center"/>
    </xf>
    <xf numFmtId="165" fontId="0" fillId="0" borderId="0" xfId="0" applyNumberFormat="1" applyBorder="1"/>
    <xf numFmtId="0" fontId="0" fillId="0" borderId="61" xfId="0" applyFill="1" applyBorder="1" applyAlignment="1">
      <alignment vertical="center"/>
    </xf>
    <xf numFmtId="0" fontId="0" fillId="0" borderId="0" xfId="0" applyFill="1" applyAlignment="1">
      <alignment horizontal="center" vertical="center"/>
    </xf>
    <xf numFmtId="0" fontId="0" fillId="0" borderId="0" xfId="0"/>
    <xf numFmtId="0" fontId="2" fillId="0" borderId="0" xfId="0" applyFont="1"/>
    <xf numFmtId="0" fontId="2" fillId="4" borderId="0" xfId="0" applyFont="1" applyFill="1"/>
    <xf numFmtId="0" fontId="0" fillId="0" borderId="0" xfId="0" applyFill="1" applyBorder="1"/>
    <xf numFmtId="0" fontId="2" fillId="0" borderId="0" xfId="0" quotePrefix="1" applyFont="1"/>
    <xf numFmtId="0" fontId="0" fillId="0" borderId="38" xfId="0" applyFill="1" applyBorder="1" applyAlignment="1">
      <alignment vertical="center"/>
    </xf>
    <xf numFmtId="0" fontId="2"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0" fillId="0" borderId="0" xfId="0" applyFont="1"/>
    <xf numFmtId="0" fontId="0" fillId="0" borderId="0" xfId="0"/>
    <xf numFmtId="0" fontId="2" fillId="0" borderId="7" xfId="0" applyFont="1" applyBorder="1" applyProtection="1">
      <protection locked="0"/>
    </xf>
    <xf numFmtId="0" fontId="4" fillId="0" borderId="61" xfId="0" applyFont="1" applyBorder="1" applyProtection="1">
      <protection locked="0"/>
    </xf>
    <xf numFmtId="0" fontId="34" fillId="0" borderId="0" xfId="25" applyFont="1" applyAlignment="1" applyProtection="1">
      <alignment horizontal="left"/>
      <protection locked="0"/>
    </xf>
    <xf numFmtId="0" fontId="2" fillId="0" borderId="0" xfId="0" applyFont="1" applyProtection="1">
      <protection locked="0"/>
    </xf>
    <xf numFmtId="0" fontId="2" fillId="0" borderId="0" xfId="25" applyAlignment="1" applyProtection="1">
      <alignment horizontal="center"/>
      <protection locked="0"/>
    </xf>
    <xf numFmtId="0" fontId="4" fillId="0" borderId="15" xfId="25" applyFont="1" applyBorder="1" applyAlignment="1" applyProtection="1">
      <alignment horizontal="center"/>
      <protection locked="0"/>
    </xf>
    <xf numFmtId="0" fontId="4" fillId="0" borderId="18" xfId="25" applyFont="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0" fontId="4" fillId="0" borderId="9" xfId="25" applyFont="1" applyBorder="1" applyAlignment="1" applyProtection="1">
      <alignment horizontal="center" vertical="center"/>
      <protection locked="0"/>
    </xf>
    <xf numFmtId="0" fontId="19" fillId="0" borderId="37" xfId="25" applyFont="1" applyBorder="1" applyAlignment="1" applyProtection="1">
      <alignment horizontal="center"/>
      <protection locked="0"/>
    </xf>
    <xf numFmtId="1" fontId="4" fillId="0" borderId="6" xfId="25" applyNumberFormat="1" applyFont="1" applyBorder="1" applyAlignment="1" applyProtection="1">
      <alignment horizontal="center"/>
      <protection locked="0"/>
    </xf>
    <xf numFmtId="0" fontId="8" fillId="0" borderId="10" xfId="25" applyFont="1" applyBorder="1" applyAlignment="1" applyProtection="1">
      <alignment horizontal="center" vertical="top" wrapText="1"/>
      <protection locked="0"/>
    </xf>
    <xf numFmtId="1" fontId="4" fillId="0" borderId="0" xfId="25" applyNumberFormat="1" applyFont="1" applyAlignment="1" applyProtection="1">
      <alignment horizontal="center" vertical="top"/>
      <protection locked="0"/>
    </xf>
    <xf numFmtId="1" fontId="4" fillId="0" borderId="9" xfId="25" applyNumberFormat="1" applyFont="1" applyBorder="1" applyAlignment="1" applyProtection="1">
      <alignment horizontal="center" vertical="top"/>
      <protection locked="0"/>
    </xf>
    <xf numFmtId="1" fontId="4" fillId="0" borderId="10" xfId="25" applyNumberFormat="1" applyFont="1" applyBorder="1" applyAlignment="1" applyProtection="1">
      <alignment horizontal="center" vertical="top"/>
      <protection locked="0"/>
    </xf>
    <xf numFmtId="0" fontId="4" fillId="0" borderId="44" xfId="0" applyFont="1" applyBorder="1" applyProtection="1">
      <protection locked="0"/>
    </xf>
    <xf numFmtId="0" fontId="2" fillId="0" borderId="7" xfId="0" applyFont="1" applyBorder="1"/>
    <xf numFmtId="0" fontId="2" fillId="0" borderId="5" xfId="0" applyFont="1" applyBorder="1"/>
    <xf numFmtId="0" fontId="4" fillId="0" borderId="7" xfId="25" applyFont="1" applyBorder="1" applyAlignment="1" applyProtection="1">
      <alignment horizontal="center"/>
      <protection locked="0"/>
    </xf>
    <xf numFmtId="1" fontId="4" fillId="0" borderId="7" xfId="24" applyNumberFormat="1" applyFont="1" applyFill="1" applyBorder="1" applyAlignment="1">
      <alignment horizontal="center" wrapText="1"/>
    </xf>
    <xf numFmtId="0" fontId="2" fillId="0" borderId="3" xfId="25" applyBorder="1" applyAlignment="1" applyProtection="1">
      <alignment horizontal="center"/>
      <protection locked="0"/>
    </xf>
    <xf numFmtId="0" fontId="32" fillId="9" borderId="0" xfId="25" applyFont="1" applyFill="1" applyProtection="1">
      <protection locked="0"/>
    </xf>
    <xf numFmtId="0" fontId="35" fillId="0" borderId="0" xfId="0" applyFont="1" applyAlignment="1">
      <alignment horizontal="center" wrapText="1"/>
    </xf>
    <xf numFmtId="0" fontId="2" fillId="0" borderId="5" xfId="25" applyBorder="1" applyProtection="1">
      <protection locked="0"/>
    </xf>
    <xf numFmtId="0" fontId="2" fillId="0" borderId="6" xfId="25" applyBorder="1" applyAlignment="1" applyProtection="1">
      <alignment horizontal="center"/>
      <protection locked="0"/>
    </xf>
    <xf numFmtId="0" fontId="4" fillId="6" borderId="8" xfId="25" applyFont="1" applyFill="1" applyBorder="1" applyAlignment="1" applyProtection="1">
      <alignment horizontal="center"/>
      <protection locked="0"/>
    </xf>
    <xf numFmtId="0" fontId="4" fillId="6" borderId="23" xfId="25" applyFont="1" applyFill="1" applyBorder="1" applyAlignment="1" applyProtection="1">
      <alignment horizontal="center"/>
      <protection locked="0"/>
    </xf>
    <xf numFmtId="0" fontId="4" fillId="6" borderId="9" xfId="25" applyFont="1" applyFill="1" applyBorder="1" applyAlignment="1" applyProtection="1">
      <alignment horizontal="centerContinuous"/>
      <protection locked="0"/>
    </xf>
    <xf numFmtId="1" fontId="4" fillId="6" borderId="7" xfId="25" applyNumberFormat="1" applyFont="1" applyFill="1" applyBorder="1" applyAlignment="1" applyProtection="1">
      <alignment horizontal="center"/>
      <protection locked="0"/>
    </xf>
    <xf numFmtId="0" fontId="25" fillId="0" borderId="5" xfId="25" applyFont="1" applyFill="1" applyBorder="1"/>
    <xf numFmtId="0" fontId="25" fillId="0" borderId="7" xfId="25" applyFont="1" applyFill="1" applyBorder="1"/>
    <xf numFmtId="0" fontId="2" fillId="0" borderId="0" xfId="25" applyFill="1" applyBorder="1" applyProtection="1">
      <protection locked="0"/>
    </xf>
    <xf numFmtId="0" fontId="2" fillId="0" borderId="0" xfId="25" applyFill="1" applyBorder="1" applyAlignment="1" applyProtection="1">
      <alignment horizontal="center"/>
      <protection locked="0"/>
    </xf>
    <xf numFmtId="0" fontId="2" fillId="12" borderId="9" xfId="25" applyFill="1" applyBorder="1" applyAlignment="1" applyProtection="1">
      <alignment horizontal="centerContinuous"/>
      <protection locked="0"/>
    </xf>
    <xf numFmtId="0" fontId="2" fillId="12" borderId="23" xfId="25" applyFill="1" applyBorder="1" applyAlignment="1" applyProtection="1">
      <alignment horizontal="center"/>
      <protection locked="0"/>
    </xf>
    <xf numFmtId="0" fontId="32" fillId="12" borderId="9" xfId="25" applyFont="1" applyFill="1" applyBorder="1" applyAlignment="1" applyProtection="1">
      <alignment horizontal="centerContinuous"/>
      <protection locked="0"/>
    </xf>
    <xf numFmtId="0" fontId="32" fillId="12" borderId="23" xfId="25" applyFont="1" applyFill="1" applyBorder="1" applyAlignment="1" applyProtection="1">
      <alignment horizontal="center"/>
      <protection locked="0"/>
    </xf>
    <xf numFmtId="0" fontId="20" fillId="12" borderId="23" xfId="25" applyFont="1" applyFill="1" applyBorder="1" applyAlignment="1" applyProtection="1">
      <alignment horizontal="center"/>
      <protection locked="0"/>
    </xf>
    <xf numFmtId="0" fontId="2" fillId="0" borderId="0" xfId="25" applyBorder="1" applyAlignment="1" applyProtection="1">
      <alignment horizontal="center"/>
      <protection locked="0"/>
    </xf>
    <xf numFmtId="0" fontId="2" fillId="0" borderId="0" xfId="0" applyFont="1" applyFill="1" applyAlignment="1"/>
    <xf numFmtId="0" fontId="0" fillId="0" borderId="0" xfId="0"/>
    <xf numFmtId="0" fontId="0" fillId="0" borderId="0" xfId="0"/>
    <xf numFmtId="0" fontId="0" fillId="0" borderId="32" xfId="0" applyBorder="1"/>
    <xf numFmtId="0" fontId="45" fillId="0" borderId="0" xfId="0" applyFont="1" applyFill="1" applyBorder="1"/>
    <xf numFmtId="0" fontId="0" fillId="0" borderId="0" xfId="0"/>
    <xf numFmtId="0" fontId="2" fillId="0" borderId="0" xfId="0" applyFont="1"/>
    <xf numFmtId="165" fontId="6" fillId="0" borderId="0" xfId="0" applyNumberFormat="1" applyFont="1" applyFill="1" applyBorder="1" applyAlignment="1" applyProtection="1">
      <alignment horizontal="left"/>
    </xf>
    <xf numFmtId="0" fontId="0" fillId="0" borderId="0" xfId="0" applyProtection="1"/>
    <xf numFmtId="0" fontId="19" fillId="0" borderId="3" xfId="0" applyFont="1" applyBorder="1" applyAlignment="1">
      <alignment horizontal="center"/>
    </xf>
    <xf numFmtId="0" fontId="19" fillId="0" borderId="18" xfId="0" applyFont="1" applyBorder="1" applyAlignment="1">
      <alignment horizontal="center"/>
    </xf>
    <xf numFmtId="0" fontId="35" fillId="0" borderId="3" xfId="0" applyFont="1" applyBorder="1" applyAlignment="1">
      <alignment horizontal="center"/>
    </xf>
    <xf numFmtId="0" fontId="2" fillId="0" borderId="0" xfId="0" applyFont="1"/>
    <xf numFmtId="49" fontId="2" fillId="0" borderId="0" xfId="0" quotePrefix="1" applyNumberFormat="1" applyFont="1"/>
    <xf numFmtId="49" fontId="2" fillId="4" borderId="0" xfId="0" applyNumberFormat="1" applyFont="1" applyFill="1"/>
    <xf numFmtId="0" fontId="0" fillId="0" borderId="0" xfId="0"/>
    <xf numFmtId="0" fontId="2" fillId="0" borderId="0" xfId="0" applyFont="1"/>
    <xf numFmtId="0" fontId="19" fillId="0" borderId="5" xfId="0" applyFont="1" applyBorder="1" applyAlignment="1">
      <alignment vertical="top"/>
    </xf>
    <xf numFmtId="0" fontId="0" fillId="0" borderId="7" xfId="0" applyBorder="1" applyAlignment="1">
      <alignment vertical="top"/>
    </xf>
    <xf numFmtId="0" fontId="20" fillId="0" borderId="5" xfId="0" applyFont="1" applyBorder="1" applyAlignment="1">
      <alignment horizontal="center" vertical="top"/>
    </xf>
    <xf numFmtId="0" fontId="20"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0" fillId="0" borderId="2" xfId="0" applyFont="1" applyBorder="1" applyAlignment="1">
      <alignment horizontal="center" vertical="top"/>
    </xf>
    <xf numFmtId="2" fontId="20" fillId="0" borderId="17" xfId="0" applyNumberFormat="1" applyFont="1" applyBorder="1" applyAlignment="1">
      <alignment horizontal="center" vertical="top"/>
    </xf>
    <xf numFmtId="0" fontId="20" fillId="0" borderId="17" xfId="0" applyFont="1" applyBorder="1" applyAlignment="1">
      <alignment horizontal="center" vertical="top"/>
    </xf>
    <xf numFmtId="165" fontId="2" fillId="0" borderId="5" xfId="0" applyNumberFormat="1" applyFont="1" applyBorder="1" applyAlignment="1">
      <alignment horizontal="center" vertical="top"/>
    </xf>
    <xf numFmtId="1" fontId="2" fillId="0" borderId="5" xfId="0" applyNumberFormat="1" applyFont="1" applyBorder="1" applyAlignment="1">
      <alignment horizontal="center" vertical="top"/>
    </xf>
    <xf numFmtId="1" fontId="2" fillId="0" borderId="6" xfId="0" applyNumberFormat="1" applyFont="1" applyBorder="1" applyAlignment="1">
      <alignment horizontal="center" vertical="top"/>
    </xf>
    <xf numFmtId="1" fontId="2" fillId="0" borderId="37" xfId="0" applyNumberFormat="1" applyFont="1" applyBorder="1" applyAlignment="1">
      <alignment horizontal="center" vertical="top"/>
    </xf>
    <xf numFmtId="0" fontId="21" fillId="0" borderId="5" xfId="0" applyFont="1" applyBorder="1" applyAlignment="1">
      <alignment horizontal="center" vertical="top"/>
    </xf>
    <xf numFmtId="0" fontId="19" fillId="0" borderId="15" xfId="0" applyFont="1" applyBorder="1"/>
    <xf numFmtId="0" fontId="19" fillId="0" borderId="18" xfId="0" applyFont="1" applyBorder="1"/>
    <xf numFmtId="0" fontId="19" fillId="0" borderId="22" xfId="0" applyFont="1" applyBorder="1" applyAlignment="1">
      <alignment vertical="top" wrapText="1"/>
    </xf>
    <xf numFmtId="0" fontId="19" fillId="0" borderId="22" xfId="0" quotePrefix="1" applyFont="1" applyBorder="1" applyAlignment="1">
      <alignment vertical="top" wrapText="1"/>
    </xf>
    <xf numFmtId="0" fontId="19" fillId="0" borderId="7" xfId="0" applyFont="1" applyBorder="1" applyAlignment="1">
      <alignment horizontal="center" vertical="top" wrapText="1"/>
    </xf>
    <xf numFmtId="0" fontId="19" fillId="0" borderId="0" xfId="0" applyFont="1" applyBorder="1" applyAlignment="1">
      <alignment horizontal="center" wrapText="1"/>
    </xf>
    <xf numFmtId="0" fontId="19" fillId="0" borderId="3" xfId="0" applyFont="1" applyBorder="1" applyAlignment="1">
      <alignment horizontal="center" wrapText="1"/>
    </xf>
    <xf numFmtId="0" fontId="19" fillId="0" borderId="18" xfId="0" applyFont="1" applyBorder="1" applyAlignment="1">
      <alignment wrapText="1"/>
    </xf>
    <xf numFmtId="0" fontId="19" fillId="0" borderId="7" xfId="0" applyFont="1" applyBorder="1" applyAlignment="1">
      <alignment horizontal="center" wrapText="1"/>
    </xf>
    <xf numFmtId="0" fontId="0" fillId="0" borderId="0" xfId="0" applyAlignment="1">
      <alignment wrapText="1"/>
    </xf>
    <xf numFmtId="0" fontId="19" fillId="0" borderId="13" xfId="0" applyFont="1" applyBorder="1" applyAlignment="1">
      <alignment horizontal="center" wrapText="1"/>
    </xf>
    <xf numFmtId="10" fontId="2" fillId="0" borderId="0" xfId="0" applyNumberFormat="1" applyFont="1"/>
    <xf numFmtId="0" fontId="19" fillId="19" borderId="69" xfId="0" applyFont="1" applyFill="1" applyBorder="1" applyAlignment="1">
      <alignment vertical="top" wrapText="1"/>
    </xf>
    <xf numFmtId="0" fontId="19" fillId="0" borderId="69" xfId="0" applyFont="1" applyBorder="1" applyAlignment="1">
      <alignment vertical="top" wrapText="1"/>
    </xf>
    <xf numFmtId="0" fontId="19" fillId="19" borderId="70" xfId="0" applyFont="1" applyFill="1" applyBorder="1"/>
    <xf numFmtId="0" fontId="20" fillId="19" borderId="68" xfId="0" applyFont="1" applyFill="1" applyBorder="1"/>
    <xf numFmtId="0" fontId="19" fillId="19" borderId="68" xfId="0" applyFont="1" applyFill="1" applyBorder="1"/>
    <xf numFmtId="0" fontId="19" fillId="0" borderId="68" xfId="0" applyFont="1" applyBorder="1"/>
    <xf numFmtId="0" fontId="25" fillId="0" borderId="0" xfId="25" applyFont="1" applyFill="1" applyBorder="1" applyAlignment="1">
      <alignment horizontal="center" wrapText="1"/>
    </xf>
    <xf numFmtId="0" fontId="4" fillId="0" borderId="5" xfId="25" applyFont="1" applyBorder="1" applyAlignment="1" applyProtection="1">
      <alignment horizontal="center" wrapText="1"/>
      <protection locked="0"/>
    </xf>
    <xf numFmtId="0" fontId="25" fillId="0" borderId="3" xfId="25" applyFont="1" applyFill="1" applyBorder="1" applyAlignment="1">
      <alignment wrapText="1"/>
    </xf>
    <xf numFmtId="0" fontId="25" fillId="0" borderId="0" xfId="25" applyFont="1" applyFill="1" applyBorder="1" applyAlignment="1">
      <alignment wrapText="1"/>
    </xf>
    <xf numFmtId="0" fontId="25" fillId="0" borderId="18" xfId="25" applyFont="1" applyFill="1" applyBorder="1" applyAlignment="1">
      <alignment wrapText="1"/>
    </xf>
    <xf numFmtId="0" fontId="4" fillId="0" borderId="3" xfId="25" applyFont="1" applyBorder="1" applyAlignment="1" applyProtection="1">
      <alignment horizontal="center" wrapText="1"/>
      <protection locked="0"/>
    </xf>
    <xf numFmtId="0" fontId="2" fillId="12" borderId="3" xfId="25" applyFill="1" applyBorder="1" applyAlignment="1" applyProtection="1">
      <alignment horizontal="center"/>
      <protection locked="0"/>
    </xf>
    <xf numFmtId="0" fontId="32" fillId="12" borderId="3" xfId="25" applyFont="1" applyFill="1" applyBorder="1" applyAlignment="1" applyProtection="1">
      <alignment horizontal="center"/>
      <protection locked="0"/>
    </xf>
    <xf numFmtId="0" fontId="2" fillId="0" borderId="0" xfId="0" applyFont="1" applyAlignment="1">
      <alignment horizontal="right"/>
    </xf>
    <xf numFmtId="0" fontId="2" fillId="0" borderId="0" xfId="0" applyFont="1"/>
    <xf numFmtId="0" fontId="0" fillId="0" borderId="0" xfId="0"/>
    <xf numFmtId="0" fontId="0" fillId="0" borderId="0" xfId="0"/>
    <xf numFmtId="0" fontId="2" fillId="0" borderId="0" xfId="0" applyFont="1"/>
    <xf numFmtId="0" fontId="2"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2" fillId="0" borderId="0" xfId="0" applyFont="1" applyFill="1" applyBorder="1" applyProtection="1"/>
    <xf numFmtId="0" fontId="2" fillId="0" borderId="0" xfId="25" applyFont="1" applyFill="1" applyBorder="1" applyProtection="1"/>
    <xf numFmtId="0" fontId="2" fillId="0" borderId="0" xfId="25" applyFont="1" applyBorder="1" applyProtection="1"/>
    <xf numFmtId="0" fontId="2"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2"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2" fillId="0" borderId="2" xfId="0" applyFont="1" applyFill="1" applyBorder="1" applyAlignment="1">
      <alignment vertical="center"/>
    </xf>
    <xf numFmtId="0" fontId="2" fillId="0" borderId="6" xfId="0" applyFont="1" applyFill="1" applyBorder="1" applyAlignment="1">
      <alignment vertical="center"/>
    </xf>
    <xf numFmtId="0" fontId="2" fillId="0" borderId="3" xfId="0" applyFont="1" applyFill="1" applyBorder="1" applyAlignment="1">
      <alignmen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56" xfId="0" applyFont="1" applyFill="1" applyBorder="1" applyAlignment="1">
      <alignment horizontal="left" vertical="center"/>
    </xf>
    <xf numFmtId="0" fontId="2" fillId="3" borderId="26" xfId="0" applyFont="1" applyFill="1" applyBorder="1" applyAlignment="1">
      <alignment horizontal="center" vertical="center"/>
    </xf>
    <xf numFmtId="0" fontId="2" fillId="3" borderId="26" xfId="0" applyFont="1" applyFill="1" applyBorder="1" applyAlignment="1">
      <alignment vertical="center"/>
    </xf>
    <xf numFmtId="0" fontId="20" fillId="0" borderId="0" xfId="0" applyFont="1" applyFill="1" applyBorder="1" applyAlignment="1">
      <alignment vertical="center"/>
    </xf>
    <xf numFmtId="0" fontId="4" fillId="0" borderId="6" xfId="0" applyFont="1" applyFill="1" applyBorder="1" applyAlignment="1">
      <alignment vertical="center"/>
    </xf>
    <xf numFmtId="0" fontId="4" fillId="0" borderId="0" xfId="0" applyFont="1" applyFill="1" applyBorder="1" applyAlignment="1">
      <alignment vertical="center"/>
    </xf>
    <xf numFmtId="0" fontId="2" fillId="8" borderId="65" xfId="0" applyFont="1" applyFill="1" applyBorder="1" applyAlignment="1">
      <alignment horizontal="center" vertical="center" wrapText="1"/>
    </xf>
    <xf numFmtId="0" fontId="2" fillId="8" borderId="67" xfId="0" applyFont="1" applyFill="1" applyBorder="1" applyAlignment="1">
      <alignment horizontal="center" vertical="center" wrapText="1"/>
    </xf>
    <xf numFmtId="0" fontId="2" fillId="8" borderId="65" xfId="0" applyFont="1" applyFill="1" applyBorder="1" applyAlignment="1">
      <alignment horizontal="center" vertical="center"/>
    </xf>
    <xf numFmtId="0" fontId="20" fillId="0" borderId="3" xfId="0" applyFont="1" applyFill="1" applyBorder="1" applyAlignment="1">
      <alignment horizontal="center" vertical="center"/>
    </xf>
    <xf numFmtId="0" fontId="4"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0" fillId="8" borderId="26" xfId="0" applyFont="1" applyFill="1" applyBorder="1" applyAlignment="1">
      <alignment horizontal="center" vertical="center"/>
    </xf>
    <xf numFmtId="0" fontId="2" fillId="0" borderId="0" xfId="0" applyFont="1" applyFill="1" applyBorder="1" applyAlignment="1">
      <alignment horizontal="left" vertical="center"/>
    </xf>
    <xf numFmtId="0" fontId="20" fillId="0" borderId="3" xfId="0" applyFont="1" applyFill="1" applyBorder="1" applyAlignment="1">
      <alignment horizontal="left" vertical="center"/>
    </xf>
    <xf numFmtId="0" fontId="2" fillId="0" borderId="21" xfId="0" applyFont="1" applyFill="1" applyBorder="1" applyAlignment="1">
      <alignment horizontal="left" vertical="center"/>
    </xf>
    <xf numFmtId="0" fontId="2" fillId="0" borderId="57" xfId="0" applyFont="1" applyFill="1" applyBorder="1" applyAlignment="1">
      <alignment horizontal="left" vertical="center"/>
    </xf>
    <xf numFmtId="1" fontId="4" fillId="0" borderId="66" xfId="0" applyNumberFormat="1" applyFont="1" applyFill="1" applyBorder="1" applyAlignment="1">
      <alignment horizontal="center" vertical="center"/>
    </xf>
    <xf numFmtId="0" fontId="2"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0" fontId="2" fillId="0" borderId="0" xfId="0" applyFont="1"/>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0" fillId="0" borderId="0" xfId="0"/>
    <xf numFmtId="0" fontId="2" fillId="0" borderId="0" xfId="0" applyFont="1"/>
    <xf numFmtId="0" fontId="2" fillId="0" borderId="0" xfId="0" applyFont="1" applyFill="1" applyAlignment="1" applyProtection="1">
      <alignment horizontal="center" vertical="center"/>
    </xf>
    <xf numFmtId="0" fontId="30" fillId="0" borderId="0" xfId="0" applyFont="1" applyProtection="1"/>
    <xf numFmtId="0" fontId="0" fillId="0" borderId="0" xfId="0" applyBorder="1" applyProtection="1"/>
    <xf numFmtId="0" fontId="2" fillId="0" borderId="0" xfId="0" applyFont="1" applyBorder="1" applyProtection="1"/>
    <xf numFmtId="0" fontId="19" fillId="0" borderId="0" xfId="0" applyFont="1" applyFill="1" applyBorder="1" applyAlignment="1" applyProtection="1">
      <alignment horizontal="center"/>
    </xf>
    <xf numFmtId="165" fontId="7" fillId="0" borderId="0" xfId="0" applyNumberFormat="1" applyFont="1" applyFill="1" applyBorder="1" applyAlignment="1" applyProtection="1">
      <alignment horizontal="center"/>
    </xf>
    <xf numFmtId="0" fontId="4" fillId="0" borderId="0" xfId="0" applyFont="1" applyAlignment="1" applyProtection="1"/>
    <xf numFmtId="0" fontId="4" fillId="0" borderId="0" xfId="0" applyFont="1" applyProtection="1"/>
    <xf numFmtId="0" fontId="34" fillId="0" borderId="0" xfId="0" applyFont="1" applyAlignment="1" applyProtection="1">
      <alignment horizontal="left" vertical="center"/>
    </xf>
    <xf numFmtId="1" fontId="4" fillId="0" borderId="0" xfId="24" applyNumberFormat="1" applyFont="1" applyFill="1" applyBorder="1" applyAlignment="1" applyProtection="1">
      <alignment horizontal="left"/>
    </xf>
    <xf numFmtId="0" fontId="2" fillId="0" borderId="46" xfId="0" applyFont="1" applyBorder="1" applyAlignment="1">
      <alignment vertical="center"/>
    </xf>
    <xf numFmtId="0" fontId="2" fillId="0" borderId="39" xfId="0" applyFont="1" applyBorder="1" applyAlignment="1">
      <alignment vertical="center"/>
    </xf>
    <xf numFmtId="0" fontId="0" fillId="0" borderId="46" xfId="0" applyFill="1" applyBorder="1" applyAlignment="1">
      <alignment vertical="center"/>
    </xf>
    <xf numFmtId="0" fontId="2" fillId="0" borderId="0" xfId="0" applyFont="1" applyBorder="1" applyAlignment="1"/>
    <xf numFmtId="0" fontId="0" fillId="0" borderId="18" xfId="0" applyBorder="1" applyAlignment="1">
      <alignment horizontal="center"/>
    </xf>
    <xf numFmtId="0" fontId="30" fillId="0" borderId="0" xfId="0" applyFont="1" applyAlignment="1">
      <alignment horizontal="center"/>
    </xf>
    <xf numFmtId="0" fontId="5"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2" fillId="0" borderId="33" xfId="0" applyFont="1" applyBorder="1" applyAlignment="1">
      <alignment horizontal="center"/>
    </xf>
    <xf numFmtId="0" fontId="2"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4" fillId="0" borderId="0" xfId="0" applyFont="1" applyBorder="1" applyAlignment="1">
      <alignment vertical="center"/>
    </xf>
    <xf numFmtId="165" fontId="7" fillId="0" borderId="0" xfId="0" applyNumberFormat="1" applyFont="1" applyFill="1" applyBorder="1" applyAlignment="1" applyProtection="1">
      <alignment horizontal="left"/>
    </xf>
    <xf numFmtId="0" fontId="0" fillId="0" borderId="3" xfId="0" applyFill="1" applyBorder="1" applyAlignment="1">
      <alignment horizontal="center"/>
    </xf>
    <xf numFmtId="0" fontId="2" fillId="0" borderId="9" xfId="0" applyFont="1" applyBorder="1" applyAlignment="1">
      <alignment horizontal="center"/>
    </xf>
    <xf numFmtId="0" fontId="0" fillId="0" borderId="9" xfId="0" applyBorder="1" applyAlignment="1">
      <alignment horizontal="center" vertical="center"/>
    </xf>
    <xf numFmtId="0" fontId="0" fillId="0" borderId="72"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3" xfId="0" applyBorder="1" applyAlignment="1">
      <alignment horizontal="center"/>
    </xf>
    <xf numFmtId="0" fontId="2"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4" xfId="0" applyFill="1" applyBorder="1" applyAlignment="1">
      <alignment horizontal="center"/>
    </xf>
    <xf numFmtId="0" fontId="0" fillId="0" borderId="75" xfId="0" applyFill="1" applyBorder="1" applyAlignment="1">
      <alignment horizontal="center"/>
    </xf>
    <xf numFmtId="0" fontId="2" fillId="0" borderId="13" xfId="0" applyFont="1" applyBorder="1" applyAlignment="1">
      <alignment horizontal="center"/>
    </xf>
    <xf numFmtId="0" fontId="2" fillId="0" borderId="36" xfId="0" applyFont="1" applyBorder="1" applyAlignment="1">
      <alignment horizontal="center"/>
    </xf>
    <xf numFmtId="0" fontId="2" fillId="0" borderId="74" xfId="0" applyFont="1" applyBorder="1" applyAlignment="1">
      <alignment horizontal="center"/>
    </xf>
    <xf numFmtId="0" fontId="2"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2" fillId="0" borderId="0" xfId="0" applyNumberFormat="1" applyFont="1" applyAlignment="1">
      <alignment horizontal="center"/>
    </xf>
    <xf numFmtId="0" fontId="48" fillId="0" borderId="0" xfId="0" applyFont="1" applyAlignment="1">
      <alignment vertical="center"/>
    </xf>
    <xf numFmtId="0" fontId="2" fillId="0" borderId="46" xfId="0" applyFont="1" applyBorder="1" applyAlignment="1"/>
    <xf numFmtId="165" fontId="2" fillId="23" borderId="38" xfId="0" applyNumberFormat="1" applyFont="1" applyFill="1" applyBorder="1" applyAlignment="1" applyProtection="1">
      <alignment horizontal="center"/>
      <protection locked="0"/>
    </xf>
    <xf numFmtId="1" fontId="6" fillId="23" borderId="38" xfId="0" applyNumberFormat="1" applyFont="1" applyFill="1" applyBorder="1" applyAlignment="1" applyProtection="1">
      <alignment horizontal="center"/>
      <protection locked="0"/>
    </xf>
    <xf numFmtId="2" fontId="6" fillId="23" borderId="38" xfId="0" applyNumberFormat="1" applyFont="1" applyFill="1" applyBorder="1" applyAlignment="1" applyProtection="1">
      <alignment horizontal="center"/>
      <protection locked="0"/>
    </xf>
    <xf numFmtId="1" fontId="6" fillId="23" borderId="46"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0"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5" fillId="0" borderId="0" xfId="0" applyFont="1" applyAlignment="1" applyProtection="1">
      <alignment vertical="center"/>
    </xf>
    <xf numFmtId="0" fontId="2" fillId="0" borderId="0" xfId="0" applyFont="1" applyAlignment="1" applyProtection="1"/>
    <xf numFmtId="1" fontId="2" fillId="23" borderId="38" xfId="0" applyNumberFormat="1" applyFont="1" applyFill="1" applyBorder="1" applyAlignment="1" applyProtection="1">
      <alignment horizontal="center"/>
      <protection locked="0"/>
    </xf>
    <xf numFmtId="1" fontId="2" fillId="23" borderId="46" xfId="0" applyNumberFormat="1" applyFont="1" applyFill="1" applyBorder="1" applyAlignment="1" applyProtection="1">
      <alignment horizontal="center"/>
      <protection locked="0"/>
    </xf>
    <xf numFmtId="0" fontId="0" fillId="0" borderId="0" xfId="0" applyBorder="1" applyAlignment="1">
      <alignment horizontal="left" vertical="center"/>
    </xf>
    <xf numFmtId="0" fontId="2"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2" fillId="0" borderId="0" xfId="0" applyFont="1"/>
    <xf numFmtId="1" fontId="10" fillId="0" borderId="59" xfId="0" applyNumberFormat="1" applyFont="1" applyBorder="1" applyAlignment="1">
      <alignment vertical="top"/>
    </xf>
    <xf numFmtId="0" fontId="10" fillId="0" borderId="59" xfId="0" applyFont="1" applyBorder="1" applyAlignment="1">
      <alignment horizontal="center" vertical="top"/>
    </xf>
    <xf numFmtId="0" fontId="20" fillId="0" borderId="77" xfId="0" applyFont="1" applyBorder="1" applyAlignment="1">
      <alignment horizontal="center" vertical="top"/>
    </xf>
    <xf numFmtId="1" fontId="10" fillId="0" borderId="59" xfId="0" applyNumberFormat="1" applyFont="1" applyBorder="1" applyAlignment="1">
      <alignment horizontal="center" vertical="top"/>
    </xf>
    <xf numFmtId="165" fontId="20" fillId="0" borderId="31" xfId="0" applyNumberFormat="1" applyFont="1" applyBorder="1" applyAlignment="1">
      <alignment horizontal="center" vertical="top"/>
    </xf>
    <xf numFmtId="165" fontId="10" fillId="0" borderId="59" xfId="0" applyNumberFormat="1" applyFont="1" applyBorder="1" applyAlignment="1">
      <alignment horizontal="center" vertical="top"/>
    </xf>
    <xf numFmtId="2" fontId="2" fillId="0" borderId="59" xfId="0" applyNumberFormat="1" applyFont="1" applyBorder="1" applyAlignment="1">
      <alignment horizontal="center" vertical="top"/>
    </xf>
    <xf numFmtId="165" fontId="4" fillId="0" borderId="59" xfId="0" applyNumberFormat="1" applyFont="1" applyBorder="1" applyAlignment="1">
      <alignment horizontal="center" vertical="top" wrapText="1"/>
    </xf>
    <xf numFmtId="165" fontId="19" fillId="0" borderId="59" xfId="0" applyNumberFormat="1" applyFont="1" applyBorder="1" applyAlignment="1">
      <alignment horizontal="center" vertical="top" wrapText="1"/>
    </xf>
    <xf numFmtId="1" fontId="0" fillId="11" borderId="43"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2" fillId="8" borderId="9" xfId="0" applyFont="1" applyFill="1" applyBorder="1"/>
    <xf numFmtId="0" fontId="2" fillId="8" borderId="41" xfId="0" applyFont="1" applyFill="1" applyBorder="1"/>
    <xf numFmtId="0" fontId="2" fillId="0" borderId="0" xfId="0" applyFont="1" applyBorder="1" applyAlignment="1">
      <alignment horizontal="right"/>
    </xf>
    <xf numFmtId="1" fontId="0" fillId="0" borderId="0" xfId="0" applyNumberFormat="1" applyBorder="1"/>
    <xf numFmtId="0" fontId="30" fillId="0" borderId="0" xfId="0" applyFont="1" applyBorder="1"/>
    <xf numFmtId="0" fontId="4" fillId="0" borderId="0" xfId="25" applyFont="1" applyBorder="1" applyAlignment="1" applyProtection="1">
      <alignment horizontal="center" wrapText="1"/>
      <protection locked="0"/>
    </xf>
    <xf numFmtId="0" fontId="2" fillId="0" borderId="0" xfId="25" applyBorder="1" applyProtection="1">
      <protection locked="0"/>
    </xf>
    <xf numFmtId="0" fontId="2" fillId="0" borderId="6" xfId="25" applyBorder="1" applyProtection="1">
      <protection locked="0"/>
    </xf>
    <xf numFmtId="0" fontId="0" fillId="8" borderId="41" xfId="0" applyFill="1" applyBorder="1"/>
    <xf numFmtId="165" fontId="2" fillId="0" borderId="0" xfId="0" applyNumberFormat="1" applyFont="1" applyFill="1" applyBorder="1"/>
    <xf numFmtId="0" fontId="0" fillId="0" borderId="0" xfId="0"/>
    <xf numFmtId="0" fontId="5" fillId="0" borderId="0" xfId="0" applyFont="1" applyAlignment="1">
      <alignment horizontal="right"/>
    </xf>
    <xf numFmtId="0" fontId="5" fillId="0" borderId="0" xfId="0" applyFont="1" applyAlignment="1"/>
    <xf numFmtId="0" fontId="0" fillId="0" borderId="0" xfId="0"/>
    <xf numFmtId="0" fontId="2" fillId="0" borderId="0" xfId="0" applyFont="1"/>
    <xf numFmtId="0" fontId="0" fillId="0" borderId="3" xfId="0" applyBorder="1"/>
    <xf numFmtId="0" fontId="7" fillId="0" borderId="33" xfId="0" applyFont="1" applyBorder="1"/>
    <xf numFmtId="0" fontId="0" fillId="0" borderId="23" xfId="0" applyFill="1" applyBorder="1"/>
    <xf numFmtId="0" fontId="2"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19" fillId="0" borderId="55" xfId="0" applyNumberFormat="1" applyFont="1" applyFill="1" applyBorder="1" applyAlignment="1">
      <alignment horizontal="center" vertical="center"/>
    </xf>
    <xf numFmtId="0" fontId="50" fillId="0" borderId="0" xfId="0" applyFont="1"/>
    <xf numFmtId="0" fontId="0" fillId="0" borderId="0" xfId="0" applyAlignment="1">
      <alignment horizontal="center"/>
    </xf>
    <xf numFmtId="0" fontId="2" fillId="0" borderId="18" xfId="25" applyFill="1" applyBorder="1" applyProtection="1">
      <protection locked="0"/>
    </xf>
    <xf numFmtId="0" fontId="2" fillId="0" borderId="7" xfId="25" applyFill="1" applyBorder="1" applyProtection="1">
      <protection locked="0"/>
    </xf>
    <xf numFmtId="0" fontId="2" fillId="0" borderId="0" xfId="25" applyFill="1" applyAlignment="1" applyProtection="1">
      <alignment horizontal="center"/>
      <protection locked="0"/>
    </xf>
    <xf numFmtId="0" fontId="2" fillId="0" borderId="0" xfId="0" applyFont="1" applyBorder="1" applyAlignment="1">
      <alignment horizontal="center" vertical="center"/>
    </xf>
    <xf numFmtId="0" fontId="0" fillId="0" borderId="0" xfId="0"/>
    <xf numFmtId="0" fontId="0" fillId="0" borderId="0" xfId="0"/>
    <xf numFmtId="0" fontId="2"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2" fillId="8" borderId="9" xfId="0" applyFont="1" applyFill="1" applyBorder="1" applyAlignment="1">
      <alignment horizontal="center" vertical="center" wrapText="1"/>
    </xf>
    <xf numFmtId="165" fontId="6" fillId="23"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xf numFmtId="0" fontId="2" fillId="0" borderId="0" xfId="0" applyFont="1" applyAlignment="1">
      <alignment horizontal="center" vertical="center"/>
    </xf>
    <xf numFmtId="165" fontId="6" fillId="23" borderId="46" xfId="0" applyNumberFormat="1" applyFont="1" applyFill="1" applyBorder="1" applyAlignment="1" applyProtection="1">
      <alignment horizontal="center"/>
      <protection locked="0"/>
    </xf>
    <xf numFmtId="0" fontId="2" fillId="0" borderId="0" xfId="0" applyFont="1"/>
    <xf numFmtId="0" fontId="0" fillId="0" borderId="0" xfId="0" applyAlignment="1">
      <alignment horizontal="left" vertical="center"/>
    </xf>
    <xf numFmtId="0" fontId="2"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2" fillId="0" borderId="32" xfId="0" applyFont="1" applyBorder="1"/>
    <xf numFmtId="0" fontId="0" fillId="0" borderId="84" xfId="0" applyBorder="1" applyAlignment="1">
      <alignment horizontal="center" vertical="center"/>
    </xf>
    <xf numFmtId="0" fontId="0" fillId="0" borderId="91" xfId="0" applyBorder="1" applyAlignment="1">
      <alignment horizontal="center" vertical="center"/>
    </xf>
    <xf numFmtId="1" fontId="0" fillId="0" borderId="84" xfId="0" applyNumberFormat="1" applyBorder="1" applyAlignment="1">
      <alignment horizontal="center" vertical="center"/>
    </xf>
    <xf numFmtId="165" fontId="0" fillId="0" borderId="84" xfId="0" applyNumberFormat="1" applyBorder="1" applyAlignment="1">
      <alignment horizontal="center" vertical="center"/>
    </xf>
    <xf numFmtId="1" fontId="0" fillId="0" borderId="93" xfId="0" applyNumberFormat="1" applyBorder="1" applyAlignment="1">
      <alignment horizontal="center" vertical="center"/>
    </xf>
    <xf numFmtId="1" fontId="0" fillId="0" borderId="94" xfId="0" applyNumberFormat="1" applyBorder="1" applyAlignment="1">
      <alignment horizontal="center" vertical="center"/>
    </xf>
    <xf numFmtId="0" fontId="0" fillId="0" borderId="94" xfId="0" applyBorder="1" applyAlignment="1">
      <alignment horizontal="center" vertical="center"/>
    </xf>
    <xf numFmtId="165" fontId="0" fillId="0" borderId="94" xfId="0" applyNumberFormat="1" applyBorder="1" applyAlignment="1">
      <alignment horizontal="center" vertical="center"/>
    </xf>
    <xf numFmtId="1" fontId="0" fillId="0" borderId="95"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 fontId="0" fillId="0" borderId="91" xfId="0" applyNumberFormat="1" applyBorder="1" applyAlignment="1">
      <alignment horizontal="center" vertical="center"/>
    </xf>
    <xf numFmtId="165" fontId="0" fillId="0" borderId="91" xfId="0" applyNumberFormat="1" applyBorder="1" applyAlignment="1">
      <alignment horizontal="center" vertical="center"/>
    </xf>
    <xf numFmtId="1" fontId="0" fillId="0" borderId="92" xfId="0" applyNumberFormat="1" applyBorder="1" applyAlignment="1">
      <alignment horizontal="center" vertical="center"/>
    </xf>
    <xf numFmtId="0" fontId="2" fillId="0" borderId="0" xfId="0" applyFont="1" applyAlignment="1" applyProtection="1">
      <alignment horizontal="center"/>
      <protection locked="0"/>
    </xf>
    <xf numFmtId="1" fontId="0" fillId="0" borderId="85" xfId="0" applyNumberFormat="1" applyBorder="1" applyAlignment="1">
      <alignment horizontal="center" vertical="center"/>
    </xf>
    <xf numFmtId="0" fontId="54" fillId="0" borderId="0" xfId="0" applyFont="1" applyAlignment="1">
      <alignment vertical="center"/>
    </xf>
    <xf numFmtId="1" fontId="2" fillId="2" borderId="66" xfId="0" applyNumberFormat="1" applyFont="1" applyFill="1" applyBorder="1" applyAlignment="1">
      <alignment horizontal="center" vertical="center"/>
    </xf>
    <xf numFmtId="0" fontId="0" fillId="0" borderId="0" xfId="0"/>
    <xf numFmtId="0" fontId="20" fillId="0" borderId="0" xfId="0" applyFont="1" applyAlignment="1">
      <alignment vertical="center" wrapText="1"/>
    </xf>
    <xf numFmtId="0" fontId="30" fillId="0" borderId="0" xfId="0" applyFont="1" applyAlignment="1">
      <alignment vertical="center" wrapText="1"/>
    </xf>
    <xf numFmtId="0" fontId="2" fillId="0" borderId="29" xfId="0" quotePrefix="1" applyNumberFormat="1" applyFont="1" applyFill="1" applyBorder="1" applyAlignment="1">
      <alignment horizontal="right"/>
    </xf>
    <xf numFmtId="0" fontId="4" fillId="0" borderId="0" xfId="0" applyFont="1" applyBorder="1"/>
    <xf numFmtId="0" fontId="7" fillId="9" borderId="0" xfId="0" applyFont="1" applyFill="1" applyAlignment="1" applyProtection="1"/>
    <xf numFmtId="0" fontId="60" fillId="0" borderId="0" xfId="0" applyFont="1"/>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horizontal="left" vertical="center"/>
    </xf>
    <xf numFmtId="0" fontId="2" fillId="0" borderId="24" xfId="0" applyFont="1" applyBorder="1"/>
    <xf numFmtId="0" fontId="2"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2" fillId="0" borderId="0" xfId="0" applyFont="1"/>
    <xf numFmtId="0" fontId="0" fillId="0" borderId="0" xfId="0"/>
    <xf numFmtId="0" fontId="4" fillId="0" borderId="24" xfId="0" applyFont="1" applyBorder="1" applyAlignment="1">
      <alignment horizontal="left"/>
    </xf>
    <xf numFmtId="0" fontId="0" fillId="0" borderId="24" xfId="0" applyBorder="1" applyAlignment="1">
      <alignment horizontal="left"/>
    </xf>
    <xf numFmtId="0" fontId="0" fillId="0" borderId="94" xfId="0" applyNumberFormat="1" applyBorder="1" applyAlignment="1">
      <alignment horizontal="center" vertical="center" shrinkToFit="1"/>
    </xf>
    <xf numFmtId="0" fontId="0" fillId="0" borderId="84" xfId="0" applyNumberFormat="1" applyBorder="1" applyAlignment="1">
      <alignment horizontal="center" vertical="center" shrinkToFit="1"/>
    </xf>
    <xf numFmtId="0" fontId="0" fillId="0" borderId="91"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2" fillId="0" borderId="0" xfId="0" applyNumberFormat="1" applyFont="1" applyBorder="1" applyAlignment="1">
      <alignment horizontal="center"/>
    </xf>
    <xf numFmtId="1" fontId="2" fillId="0" borderId="23" xfId="0" applyNumberFormat="1" applyFont="1" applyBorder="1" applyAlignment="1">
      <alignment horizontal="center"/>
    </xf>
    <xf numFmtId="0" fontId="2" fillId="0" borderId="0" xfId="0" applyFont="1"/>
    <xf numFmtId="0" fontId="0" fillId="0" borderId="0" xfId="0"/>
    <xf numFmtId="0" fontId="2" fillId="0" borderId="0" xfId="0" applyFont="1"/>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2" fillId="0" borderId="0" xfId="0" applyFont="1"/>
    <xf numFmtId="0" fontId="2" fillId="23" borderId="46" xfId="0" applyFont="1" applyFill="1" applyBorder="1" applyProtection="1">
      <protection locked="0"/>
    </xf>
    <xf numFmtId="165" fontId="2" fillId="23" borderId="46" xfId="0" applyNumberFormat="1" applyFont="1" applyFill="1" applyBorder="1" applyAlignment="1" applyProtection="1">
      <alignment horizontal="center" shrinkToFit="1"/>
      <protection locked="0"/>
    </xf>
    <xf numFmtId="0" fontId="2" fillId="0" borderId="0" xfId="0" quotePrefix="1" applyFont="1" applyFill="1"/>
    <xf numFmtId="0" fontId="2" fillId="0" borderId="0" xfId="0" applyFont="1" applyFill="1" applyAlignment="1">
      <alignment wrapText="1"/>
    </xf>
    <xf numFmtId="165" fontId="6" fillId="23" borderId="46" xfId="0" applyNumberFormat="1" applyFont="1" applyFill="1" applyBorder="1" applyAlignment="1" applyProtection="1">
      <protection locked="0"/>
    </xf>
    <xf numFmtId="0" fontId="0" fillId="0" borderId="0" xfId="0"/>
    <xf numFmtId="0" fontId="2" fillId="0" borderId="0" xfId="0" applyFont="1" applyAlignment="1">
      <alignment horizontal="center"/>
    </xf>
    <xf numFmtId="0" fontId="2" fillId="0" borderId="0" xfId="0" applyFont="1"/>
    <xf numFmtId="0" fontId="0" fillId="25" borderId="0" xfId="0" applyFill="1" applyBorder="1" applyProtection="1"/>
    <xf numFmtId="0" fontId="0" fillId="27" borderId="0" xfId="0" applyFill="1" applyBorder="1" applyProtection="1"/>
    <xf numFmtId="0" fontId="34" fillId="27" borderId="0" xfId="25" applyFont="1" applyFill="1" applyAlignment="1" applyProtection="1">
      <alignment horizontal="left"/>
    </xf>
    <xf numFmtId="0" fontId="34" fillId="27" borderId="0" xfId="25" applyFont="1" applyFill="1" applyAlignment="1" applyProtection="1">
      <alignment horizontal="center"/>
    </xf>
    <xf numFmtId="1" fontId="34" fillId="27" borderId="0" xfId="25" applyNumberFormat="1" applyFont="1" applyFill="1" applyAlignment="1" applyProtection="1">
      <alignment horizontal="left"/>
    </xf>
    <xf numFmtId="0" fontId="43" fillId="27" borderId="0" xfId="25" applyFont="1" applyFill="1" applyAlignment="1" applyProtection="1">
      <alignment horizontal="left"/>
    </xf>
    <xf numFmtId="0" fontId="34" fillId="27" borderId="0" xfId="25" applyFont="1" applyFill="1" applyAlignment="1" applyProtection="1">
      <alignment horizontal="left"/>
      <protection locked="0"/>
    </xf>
    <xf numFmtId="0" fontId="4" fillId="27" borderId="0" xfId="25" applyFont="1" applyFill="1" applyBorder="1" applyProtection="1"/>
    <xf numFmtId="0" fontId="4" fillId="27" borderId="0" xfId="25" applyFont="1" applyFill="1" applyProtection="1"/>
    <xf numFmtId="0" fontId="4" fillId="27" borderId="0" xfId="25" applyFont="1" applyFill="1" applyAlignment="1" applyProtection="1">
      <alignment horizontal="center"/>
    </xf>
    <xf numFmtId="0" fontId="2" fillId="27" borderId="0" xfId="25" applyFill="1" applyAlignment="1" applyProtection="1">
      <alignment horizontal="center"/>
    </xf>
    <xf numFmtId="0" fontId="4" fillId="27" borderId="15" xfId="25" applyFont="1" applyFill="1" applyBorder="1" applyAlignment="1" applyProtection="1">
      <alignment horizontal="center"/>
    </xf>
    <xf numFmtId="0" fontId="4" fillId="27" borderId="5" xfId="25" applyFont="1" applyFill="1" applyBorder="1" applyAlignment="1" applyProtection="1">
      <alignment horizontal="center"/>
    </xf>
    <xf numFmtId="0" fontId="42" fillId="27" borderId="17" xfId="0" applyFont="1" applyFill="1" applyBorder="1" applyAlignment="1" applyProtection="1">
      <alignment horizontal="center" vertical="center"/>
    </xf>
    <xf numFmtId="0" fontId="19" fillId="27" borderId="37" xfId="25" applyFont="1" applyFill="1" applyBorder="1" applyAlignment="1" applyProtection="1">
      <alignment horizontal="center"/>
    </xf>
    <xf numFmtId="1" fontId="4" fillId="27" borderId="6" xfId="25" applyNumberFormat="1" applyFont="1" applyFill="1" applyBorder="1" applyAlignment="1" applyProtection="1">
      <alignment horizontal="center"/>
    </xf>
    <xf numFmtId="1" fontId="4" fillId="27" borderId="5" xfId="25" applyNumberFormat="1" applyFont="1" applyFill="1" applyBorder="1" applyAlignment="1" applyProtection="1">
      <alignment horizontal="center" wrapText="1"/>
    </xf>
    <xf numFmtId="0" fontId="19" fillId="27" borderId="6" xfId="25" applyFont="1" applyFill="1" applyBorder="1" applyAlignment="1" applyProtection="1">
      <alignment horizontal="center"/>
    </xf>
    <xf numFmtId="0" fontId="4" fillId="27" borderId="0" xfId="25" applyFont="1" applyFill="1" applyAlignment="1" applyProtection="1">
      <alignment horizontal="center"/>
      <protection locked="0"/>
    </xf>
    <xf numFmtId="0" fontId="4" fillId="27" borderId="0" xfId="25" applyFont="1" applyFill="1" applyBorder="1" applyAlignment="1" applyProtection="1">
      <alignment horizontal="center"/>
    </xf>
    <xf numFmtId="0" fontId="2" fillId="27" borderId="0" xfId="25" applyFill="1" applyAlignment="1" applyProtection="1">
      <alignment horizontal="center" wrapText="1"/>
    </xf>
    <xf numFmtId="0" fontId="4" fillId="27" borderId="18" xfId="25" applyFont="1" applyFill="1" applyBorder="1" applyAlignment="1" applyProtection="1">
      <alignment horizontal="center" vertical="center"/>
    </xf>
    <xf numFmtId="0" fontId="4" fillId="27" borderId="7" xfId="25" applyFont="1" applyFill="1" applyBorder="1" applyAlignment="1" applyProtection="1">
      <alignment horizontal="center" wrapText="1"/>
    </xf>
    <xf numFmtId="0" fontId="4" fillId="27" borderId="9" xfId="25" applyFont="1" applyFill="1" applyBorder="1" applyAlignment="1" applyProtection="1">
      <alignment horizontal="center" vertical="center"/>
    </xf>
    <xf numFmtId="0" fontId="8" fillId="27" borderId="10" xfId="25" applyFont="1" applyFill="1" applyBorder="1" applyAlignment="1" applyProtection="1">
      <alignment horizontal="center" vertical="top" wrapText="1"/>
    </xf>
    <xf numFmtId="1" fontId="4" fillId="27" borderId="0" xfId="25" applyNumberFormat="1" applyFont="1" applyFill="1" applyAlignment="1" applyProtection="1">
      <alignment horizontal="center" vertical="top"/>
    </xf>
    <xf numFmtId="1" fontId="4" fillId="27" borderId="9" xfId="25" applyNumberFormat="1" applyFont="1" applyFill="1" applyBorder="1" applyAlignment="1" applyProtection="1">
      <alignment horizontal="center" vertical="top"/>
    </xf>
    <xf numFmtId="1" fontId="4" fillId="27" borderId="10" xfId="25" applyNumberFormat="1" applyFont="1" applyFill="1" applyBorder="1" applyAlignment="1" applyProtection="1">
      <alignment horizontal="center" vertical="top"/>
    </xf>
    <xf numFmtId="1" fontId="4" fillId="27" borderId="7" xfId="25" applyNumberFormat="1" applyFont="1" applyFill="1" applyBorder="1" applyAlignment="1" applyProtection="1">
      <alignment horizontal="center" vertical="top" wrapText="1"/>
    </xf>
    <xf numFmtId="0" fontId="8" fillId="27" borderId="0" xfId="25" applyFont="1" applyFill="1" applyAlignment="1" applyProtection="1">
      <alignment horizontal="center" wrapText="1"/>
    </xf>
    <xf numFmtId="0" fontId="4" fillId="27" borderId="21" xfId="25" applyFont="1" applyFill="1" applyBorder="1" applyProtection="1"/>
    <xf numFmtId="0" fontId="2" fillId="27" borderId="0" xfId="0" applyFont="1" applyFill="1" applyBorder="1" applyProtection="1"/>
    <xf numFmtId="0" fontId="4" fillId="27" borderId="16" xfId="25" applyFont="1" applyFill="1" applyBorder="1" applyAlignment="1" applyProtection="1">
      <alignment horizontal="center"/>
    </xf>
    <xf numFmtId="0" fontId="4" fillId="27" borderId="11" xfId="25" applyFont="1" applyFill="1" applyBorder="1" applyAlignment="1" applyProtection="1">
      <alignment horizontal="center"/>
    </xf>
    <xf numFmtId="0" fontId="25" fillId="27" borderId="13" xfId="25" applyFont="1" applyFill="1" applyBorder="1" applyAlignment="1" applyProtection="1">
      <alignment horizontal="center"/>
    </xf>
    <xf numFmtId="0" fontId="8" fillId="27" borderId="14" xfId="25" applyFont="1" applyFill="1" applyBorder="1" applyAlignment="1" applyProtection="1">
      <alignment horizontal="center"/>
    </xf>
    <xf numFmtId="1" fontId="4" fillId="27" borderId="13" xfId="25" applyNumberFormat="1" applyFont="1" applyFill="1" applyBorder="1" applyAlignment="1" applyProtection="1">
      <alignment horizontal="center"/>
    </xf>
    <xf numFmtId="1" fontId="4" fillId="27" borderId="14" xfId="25" applyNumberFormat="1" applyFont="1" applyFill="1" applyBorder="1" applyAlignment="1" applyProtection="1">
      <alignment horizontal="center"/>
    </xf>
    <xf numFmtId="0" fontId="8" fillId="27" borderId="21" xfId="25" applyFont="1" applyFill="1" applyBorder="1" applyAlignment="1" applyProtection="1">
      <alignment horizontal="center"/>
    </xf>
    <xf numFmtId="0" fontId="0" fillId="27" borderId="0" xfId="0" applyFill="1" applyBorder="1" applyAlignment="1" applyProtection="1">
      <alignment horizontal="center"/>
    </xf>
    <xf numFmtId="0" fontId="2" fillId="27" borderId="0" xfId="0" applyFont="1" applyFill="1" applyProtection="1"/>
    <xf numFmtId="0" fontId="2" fillId="27" borderId="0" xfId="0" applyFont="1" applyFill="1" applyAlignment="1" applyProtection="1">
      <alignment horizontal="center"/>
    </xf>
    <xf numFmtId="0" fontId="34" fillId="27" borderId="0" xfId="0" applyFont="1" applyFill="1" applyProtection="1"/>
    <xf numFmtId="0" fontId="4" fillId="27" borderId="0" xfId="25" applyFont="1" applyFill="1" applyBorder="1" applyAlignment="1" applyProtection="1">
      <alignment horizontal="center" wrapText="1"/>
    </xf>
    <xf numFmtId="0" fontId="4" fillId="25" borderId="0" xfId="0" applyNumberFormat="1" applyFont="1" applyFill="1" applyBorder="1" applyAlignment="1" applyProtection="1"/>
    <xf numFmtId="0" fontId="2" fillId="25" borderId="0" xfId="0" applyFont="1" applyFill="1" applyBorder="1" applyProtection="1"/>
    <xf numFmtId="0" fontId="4" fillId="25" borderId="0" xfId="0" applyNumberFormat="1" applyFont="1" applyFill="1" applyBorder="1" applyAlignment="1" applyProtection="1">
      <alignment horizontal="center"/>
    </xf>
    <xf numFmtId="0" fontId="4" fillId="25" borderId="7" xfId="0" applyNumberFormat="1" applyFont="1" applyFill="1" applyBorder="1" applyAlignment="1" applyProtection="1">
      <alignment horizontal="center"/>
    </xf>
    <xf numFmtId="0" fontId="25" fillId="25" borderId="0" xfId="0" applyNumberFormat="1" applyFont="1" applyFill="1" applyBorder="1" applyAlignment="1" applyProtection="1">
      <alignment horizontal="center"/>
    </xf>
    <xf numFmtId="1" fontId="4" fillId="25" borderId="9" xfId="0" applyNumberFormat="1" applyFont="1" applyFill="1" applyBorder="1" applyAlignment="1" applyProtection="1">
      <alignment horizontal="center"/>
    </xf>
    <xf numFmtId="1" fontId="4" fillId="25" borderId="24" xfId="0" applyNumberFormat="1" applyFont="1" applyFill="1" applyBorder="1" applyAlignment="1" applyProtection="1">
      <alignment horizontal="center"/>
    </xf>
    <xf numFmtId="1" fontId="4" fillId="25" borderId="10" xfId="0" applyNumberFormat="1" applyFont="1" applyFill="1" applyBorder="1" applyAlignment="1" applyProtection="1">
      <alignment horizontal="center"/>
    </xf>
    <xf numFmtId="0" fontId="61" fillId="25" borderId="0" xfId="0" applyNumberFormat="1" applyFont="1" applyFill="1" applyBorder="1" applyAlignment="1" applyProtection="1">
      <alignment horizontal="center"/>
    </xf>
    <xf numFmtId="0" fontId="0" fillId="0" borderId="0" xfId="0"/>
    <xf numFmtId="0" fontId="2" fillId="0" borderId="0" xfId="0" applyFont="1" applyAlignment="1">
      <alignment horizontal="center"/>
    </xf>
    <xf numFmtId="0" fontId="2" fillId="0" borderId="0" xfId="0" applyFont="1"/>
    <xf numFmtId="0" fontId="4" fillId="27" borderId="6" xfId="25" applyFont="1" applyFill="1" applyBorder="1" applyAlignment="1" applyProtection="1">
      <alignment horizontal="left"/>
    </xf>
    <xf numFmtId="0" fontId="4" fillId="27" borderId="6" xfId="25" applyFont="1" applyFill="1" applyBorder="1" applyAlignment="1" applyProtection="1">
      <alignment horizontal="right" wrapText="1"/>
    </xf>
    <xf numFmtId="1" fontId="4" fillId="25" borderId="0" xfId="25" applyNumberFormat="1" applyFont="1" applyFill="1" applyAlignment="1" applyProtection="1">
      <alignment horizontal="center"/>
    </xf>
    <xf numFmtId="0" fontId="2" fillId="29" borderId="0" xfId="0" applyFont="1" applyFill="1"/>
    <xf numFmtId="0" fontId="0" fillId="29" borderId="0" xfId="0" applyFill="1"/>
    <xf numFmtId="0" fontId="0" fillId="0" borderId="0" xfId="0"/>
    <xf numFmtId="0" fontId="2" fillId="0" borderId="0" xfId="0" applyFont="1"/>
    <xf numFmtId="1" fontId="2" fillId="0" borderId="0" xfId="0" applyNumberFormat="1" applyFont="1"/>
    <xf numFmtId="0" fontId="2" fillId="20" borderId="0" xfId="0" applyFont="1" applyFill="1" applyAlignment="1"/>
    <xf numFmtId="0" fontId="2" fillId="20" borderId="0" xfId="0" applyFont="1" applyFill="1" applyAlignment="1">
      <alignment wrapText="1"/>
    </xf>
    <xf numFmtId="0" fontId="54" fillId="0" borderId="0" xfId="0" applyFont="1" applyFill="1" applyBorder="1" applyAlignment="1" applyProtection="1">
      <alignment horizontal="center" vertical="center"/>
    </xf>
    <xf numFmtId="0" fontId="2" fillId="16" borderId="0" xfId="0" applyFont="1" applyFill="1" applyAlignment="1"/>
    <xf numFmtId="0" fontId="0" fillId="16" borderId="0" xfId="0" applyFill="1" applyAlignment="1"/>
    <xf numFmtId="0" fontId="2" fillId="30" borderId="0" xfId="0" applyFont="1" applyFill="1"/>
    <xf numFmtId="0" fontId="0" fillId="30" borderId="0" xfId="0" applyFill="1"/>
    <xf numFmtId="0" fontId="2" fillId="31" borderId="0" xfId="0" applyFont="1" applyFill="1"/>
    <xf numFmtId="0" fontId="0" fillId="31" borderId="0" xfId="0" applyFill="1"/>
    <xf numFmtId="0" fontId="0" fillId="32" borderId="0" xfId="0" applyFill="1"/>
    <xf numFmtId="0" fontId="2" fillId="32" borderId="0" xfId="0" applyFont="1" applyFill="1"/>
    <xf numFmtId="2" fontId="0" fillId="0" borderId="29" xfId="0" applyNumberFormat="1" applyBorder="1"/>
    <xf numFmtId="1" fontId="0" fillId="0" borderId="29" xfId="0" applyNumberFormat="1" applyBorder="1"/>
    <xf numFmtId="0" fontId="2" fillId="23" borderId="46" xfId="0" applyFont="1" applyFill="1" applyBorder="1" applyAlignment="1" applyProtection="1">
      <alignment shrinkToFit="1"/>
      <protection locked="0"/>
    </xf>
    <xf numFmtId="0" fontId="2" fillId="23" borderId="46" xfId="0" applyFont="1" applyFill="1" applyBorder="1" applyAlignment="1" applyProtection="1">
      <protection locked="0"/>
    </xf>
    <xf numFmtId="0" fontId="4" fillId="0" borderId="18" xfId="0" applyFont="1" applyBorder="1" applyAlignment="1">
      <alignment horizontal="center" wrapText="1"/>
    </xf>
    <xf numFmtId="0" fontId="20" fillId="19" borderId="97" xfId="0" applyFont="1" applyFill="1" applyBorder="1"/>
    <xf numFmtId="14" fontId="0" fillId="22" borderId="0" xfId="0" applyNumberFormat="1" applyFill="1"/>
    <xf numFmtId="0" fontId="0" fillId="22" borderId="0" xfId="0" applyFill="1"/>
    <xf numFmtId="0" fontId="0" fillId="22" borderId="29" xfId="0" applyFill="1" applyBorder="1"/>
    <xf numFmtId="0" fontId="0" fillId="0" borderId="0" xfId="0"/>
    <xf numFmtId="0" fontId="2" fillId="0" borderId="24" xfId="0" applyFont="1" applyBorder="1"/>
    <xf numFmtId="0" fontId="2" fillId="0" borderId="0" xfId="0" applyFont="1"/>
    <xf numFmtId="0" fontId="2" fillId="0" borderId="0" xfId="0" applyFont="1" applyAlignment="1">
      <alignment horizontal="center"/>
    </xf>
    <xf numFmtId="0" fontId="0" fillId="0" borderId="0" xfId="0"/>
    <xf numFmtId="0" fontId="0" fillId="0" borderId="0" xfId="0" applyAlignment="1">
      <alignment horizontal="center"/>
    </xf>
    <xf numFmtId="0" fontId="2" fillId="0" borderId="0" xfId="0" applyFont="1"/>
    <xf numFmtId="0" fontId="62" fillId="0" borderId="0" xfId="0" applyFont="1" applyProtection="1"/>
    <xf numFmtId="14" fontId="2" fillId="0" borderId="0" xfId="0" applyNumberFormat="1" applyFont="1"/>
    <xf numFmtId="165" fontId="2" fillId="23" borderId="33" xfId="0" applyNumberFormat="1" applyFont="1" applyFill="1" applyBorder="1" applyAlignment="1" applyProtection="1">
      <alignment horizontal="center" shrinkToFit="1"/>
      <protection locked="0"/>
    </xf>
    <xf numFmtId="0" fontId="2" fillId="23" borderId="33" xfId="0" applyFont="1" applyFill="1" applyBorder="1" applyProtection="1">
      <protection locked="0"/>
    </xf>
    <xf numFmtId="165" fontId="2" fillId="23" borderId="30" xfId="0" applyNumberFormat="1" applyFont="1" applyFill="1" applyBorder="1" applyAlignment="1" applyProtection="1">
      <alignment horizontal="center"/>
      <protection locked="0"/>
    </xf>
    <xf numFmtId="0" fontId="25" fillId="0" borderId="0" xfId="25" applyFont="1" applyFill="1" applyAlignment="1">
      <alignment wrapText="1"/>
    </xf>
    <xf numFmtId="0" fontId="2" fillId="34" borderId="33" xfId="0" applyFont="1" applyFill="1" applyBorder="1"/>
    <xf numFmtId="0" fontId="2" fillId="34" borderId="32" xfId="0" applyFont="1" applyFill="1" applyBorder="1"/>
    <xf numFmtId="0" fontId="2" fillId="0" borderId="24" xfId="0" applyFont="1" applyBorder="1" applyAlignment="1">
      <alignment wrapText="1"/>
    </xf>
    <xf numFmtId="0" fontId="2" fillId="0" borderId="23" xfId="0" applyFont="1" applyBorder="1" applyAlignment="1">
      <alignment wrapText="1"/>
    </xf>
    <xf numFmtId="0" fontId="2" fillId="0" borderId="39" xfId="0" applyFont="1" applyBorder="1" applyAlignment="1">
      <alignment wrapText="1"/>
    </xf>
    <xf numFmtId="0" fontId="0" fillId="34" borderId="32" xfId="0" applyFill="1" applyBorder="1"/>
    <xf numFmtId="0" fontId="0" fillId="22" borderId="0" xfId="0" applyFill="1" applyBorder="1"/>
    <xf numFmtId="2" fontId="0" fillId="0" borderId="0" xfId="0" applyNumberFormat="1" applyBorder="1"/>
    <xf numFmtId="0" fontId="0" fillId="0" borderId="1" xfId="0" applyFont="1" applyBorder="1"/>
    <xf numFmtId="0" fontId="0" fillId="29" borderId="0" xfId="0" applyFill="1" applyAlignment="1">
      <alignment wrapText="1"/>
    </xf>
    <xf numFmtId="0" fontId="2" fillId="29" borderId="0" xfId="0" applyFont="1" applyFill="1" applyAlignment="1">
      <alignment wrapText="1"/>
    </xf>
    <xf numFmtId="0" fontId="2" fillId="0" borderId="0" xfId="0" applyFont="1" applyBorder="1" applyProtection="1">
      <protection locked="0"/>
    </xf>
    <xf numFmtId="0" fontId="2" fillId="0" borderId="0" xfId="24" applyFont="1" applyFill="1" applyAlignment="1">
      <alignment horizontal="center"/>
    </xf>
    <xf numFmtId="1" fontId="4" fillId="0" borderId="21" xfId="25" applyNumberFormat="1" applyFont="1" applyFill="1" applyBorder="1" applyAlignment="1" applyProtection="1">
      <alignment horizontal="center"/>
      <protection locked="0"/>
    </xf>
    <xf numFmtId="0" fontId="66" fillId="25" borderId="0" xfId="0" applyFont="1" applyFill="1" applyBorder="1" applyProtection="1"/>
    <xf numFmtId="0" fontId="0" fillId="0" borderId="0" xfId="0" applyAlignment="1">
      <alignment horizontal="left" vertical="top"/>
    </xf>
    <xf numFmtId="1" fontId="0" fillId="0" borderId="98" xfId="0" applyNumberFormat="1" applyBorder="1" applyAlignment="1">
      <alignment horizontal="center" vertical="center"/>
    </xf>
    <xf numFmtId="1" fontId="0" fillId="0" borderId="99" xfId="0" applyNumberFormat="1" applyBorder="1" applyAlignment="1">
      <alignment horizontal="center" vertical="center"/>
    </xf>
    <xf numFmtId="0" fontId="0" fillId="0" borderId="0" xfId="0"/>
    <xf numFmtId="0" fontId="0" fillId="0" borderId="0" xfId="0" applyAlignment="1">
      <alignment horizontal="center"/>
    </xf>
    <xf numFmtId="0" fontId="2" fillId="0" borderId="0" xfId="0" applyFont="1"/>
    <xf numFmtId="0" fontId="4" fillId="0" borderId="0" xfId="0" applyFont="1"/>
    <xf numFmtId="0" fontId="0" fillId="0" borderId="0" xfId="0"/>
    <xf numFmtId="0" fontId="2" fillId="0" borderId="0" xfId="0" applyFont="1"/>
    <xf numFmtId="0" fontId="2" fillId="0" borderId="1" xfId="0" applyFont="1" applyBorder="1" applyAlignment="1">
      <alignment wrapText="1"/>
    </xf>
    <xf numFmtId="0" fontId="2" fillId="0" borderId="40" xfId="0" applyFont="1" applyBorder="1" applyAlignment="1">
      <alignment wrapText="1"/>
    </xf>
    <xf numFmtId="0" fontId="2" fillId="34" borderId="0" xfId="0" applyFont="1" applyFill="1"/>
    <xf numFmtId="0" fontId="0" fillId="34" borderId="0" xfId="0" applyFill="1"/>
    <xf numFmtId="0" fontId="62" fillId="0" borderId="0" xfId="0" applyFont="1" applyBorder="1" applyAlignment="1" applyProtection="1">
      <alignment horizontal="center" vertical="center"/>
      <protection locked="0"/>
    </xf>
    <xf numFmtId="0" fontId="62" fillId="0" borderId="0" xfId="0" applyFont="1" applyProtection="1">
      <protection locked="0"/>
    </xf>
    <xf numFmtId="0" fontId="4" fillId="27" borderId="0" xfId="25" applyFont="1" applyFill="1" applyBorder="1" applyAlignment="1" applyProtection="1">
      <alignment horizontal="center" wrapText="1"/>
    </xf>
    <xf numFmtId="0" fontId="0" fillId="0" borderId="0" xfId="0"/>
    <xf numFmtId="0" fontId="2" fillId="0" borderId="0" xfId="0" applyFont="1"/>
    <xf numFmtId="0" fontId="0" fillId="0" borderId="0" xfId="0"/>
    <xf numFmtId="0" fontId="2" fillId="3" borderId="0" xfId="0" applyFont="1" applyFill="1" applyAlignment="1">
      <alignment wrapText="1"/>
    </xf>
    <xf numFmtId="0" fontId="4" fillId="0" borderId="7" xfId="25" applyFont="1" applyBorder="1"/>
    <xf numFmtId="0" fontId="20" fillId="0" borderId="31" xfId="25" applyFont="1" applyBorder="1"/>
    <xf numFmtId="0" fontId="20" fillId="0" borderId="7" xfId="25" applyFont="1" applyBorder="1"/>
    <xf numFmtId="0" fontId="4" fillId="0" borderId="42" xfId="25" applyFont="1" applyBorder="1"/>
    <xf numFmtId="0" fontId="20" fillId="0" borderId="19" xfId="25" applyFont="1" applyBorder="1"/>
    <xf numFmtId="0" fontId="20" fillId="2" borderId="19" xfId="25" applyFont="1" applyFill="1" applyBorder="1"/>
    <xf numFmtId="0" fontId="2" fillId="0" borderId="7" xfId="25" applyBorder="1" applyAlignment="1">
      <alignment horizontal="left"/>
    </xf>
    <xf numFmtId="0" fontId="2" fillId="0" borderId="11" xfId="25" applyBorder="1" applyAlignment="1">
      <alignment horizontal="left"/>
    </xf>
    <xf numFmtId="0" fontId="2" fillId="0" borderId="0" xfId="25"/>
    <xf numFmtId="0" fontId="19" fillId="27" borderId="0" xfId="25" applyNumberFormat="1" applyFont="1" applyFill="1" applyBorder="1" applyAlignment="1"/>
    <xf numFmtId="0" fontId="4" fillId="0" borderId="0" xfId="25" applyFont="1" applyFill="1" applyBorder="1" applyProtection="1"/>
    <xf numFmtId="1" fontId="2" fillId="0" borderId="0" xfId="25" applyNumberFormat="1" applyFont="1" applyFill="1" applyBorder="1" applyAlignment="1" applyProtection="1">
      <alignment horizontal="center"/>
    </xf>
    <xf numFmtId="0" fontId="2" fillId="0" borderId="3" xfId="25" applyFill="1" applyBorder="1" applyAlignment="1" applyProtection="1">
      <alignment horizontal="center"/>
      <protection locked="0"/>
    </xf>
    <xf numFmtId="0" fontId="2" fillId="0" borderId="9" xfId="25" applyFill="1" applyBorder="1" applyAlignment="1" applyProtection="1">
      <alignment horizontal="center"/>
      <protection locked="0"/>
    </xf>
    <xf numFmtId="0" fontId="2" fillId="0" borderId="0" xfId="0" applyFont="1" applyFill="1" applyBorder="1" applyAlignment="1" applyProtection="1">
      <alignment horizontal="center"/>
    </xf>
    <xf numFmtId="0" fontId="3" fillId="0" borderId="0" xfId="24" applyFill="1"/>
    <xf numFmtId="0" fontId="2" fillId="0" borderId="7" xfId="25" applyFont="1" applyFill="1" applyBorder="1"/>
    <xf numFmtId="0" fontId="2"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9" fillId="0" borderId="0" xfId="0" applyFont="1" applyAlignment="1">
      <alignment horizontal="center" vertical="top"/>
    </xf>
    <xf numFmtId="0" fontId="67" fillId="0" borderId="7" xfId="0" applyFont="1" applyFill="1" applyBorder="1" applyAlignment="1">
      <alignment horizontal="center" vertical="top"/>
    </xf>
    <xf numFmtId="0" fontId="69" fillId="0" borderId="7" xfId="0" applyFont="1" applyFill="1" applyBorder="1" applyAlignment="1">
      <alignment horizontal="center" vertical="top"/>
    </xf>
    <xf numFmtId="0" fontId="69" fillId="0" borderId="7" xfId="0" applyFont="1" applyBorder="1" applyAlignment="1">
      <alignment horizontal="center" vertical="top"/>
    </xf>
    <xf numFmtId="1" fontId="69" fillId="0" borderId="18" xfId="0" applyNumberFormat="1" applyFont="1" applyBorder="1" applyAlignment="1">
      <alignment horizontal="center" vertical="top"/>
    </xf>
    <xf numFmtId="165" fontId="2" fillId="0" borderId="7" xfId="25" applyNumberFormat="1" applyFill="1" applyBorder="1" applyAlignment="1">
      <alignment horizontal="center" vertical="center"/>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7" fillId="0" borderId="7" xfId="0" applyNumberFormat="1" applyFont="1" applyBorder="1" applyAlignment="1">
      <alignment horizontal="center" vertical="top"/>
    </xf>
    <xf numFmtId="0" fontId="2" fillId="0" borderId="7" xfId="25" applyFill="1" applyBorder="1" applyAlignment="1">
      <alignment horizontal="center" vertical="center"/>
    </xf>
    <xf numFmtId="165" fontId="10" fillId="0" borderId="7" xfId="0" applyNumberFormat="1" applyFont="1" applyBorder="1" applyAlignment="1">
      <alignment horizontal="center"/>
    </xf>
    <xf numFmtId="166" fontId="67" fillId="0" borderId="7" xfId="25" applyNumberFormat="1" applyFont="1" applyFill="1" applyBorder="1" applyAlignment="1">
      <alignment horizontal="center" vertical="top"/>
    </xf>
    <xf numFmtId="0" fontId="2" fillId="0" borderId="8" xfId="25" applyFill="1" applyBorder="1" applyAlignment="1" applyProtection="1">
      <alignment horizontal="center"/>
      <protection locked="0"/>
    </xf>
    <xf numFmtId="0" fontId="2" fillId="0" borderId="23" xfId="25" applyFill="1" applyBorder="1" applyAlignment="1" applyProtection="1">
      <alignment horizontal="center"/>
      <protection locked="0"/>
    </xf>
    <xf numFmtId="0" fontId="2" fillId="0" borderId="9" xfId="25" applyFill="1" applyBorder="1" applyAlignment="1" applyProtection="1">
      <alignment horizontal="centerContinuous"/>
      <protection locked="0"/>
    </xf>
    <xf numFmtId="0" fontId="2" fillId="0" borderId="20" xfId="25" applyBorder="1" applyProtection="1">
      <protection locked="0"/>
    </xf>
    <xf numFmtId="0" fontId="2" fillId="0" borderId="1" xfId="25" applyBorder="1" applyAlignment="1" applyProtection="1">
      <alignment horizontal="center"/>
      <protection locked="0"/>
    </xf>
    <xf numFmtId="0" fontId="20" fillId="0" borderId="19" xfId="0" applyFont="1" applyBorder="1" applyAlignment="1">
      <alignment vertical="top" wrapText="1"/>
    </xf>
    <xf numFmtId="166" fontId="20" fillId="0" borderId="19" xfId="25" applyNumberFormat="1" applyFont="1" applyFill="1" applyBorder="1" applyAlignment="1">
      <alignment horizontal="center" vertical="top"/>
    </xf>
    <xf numFmtId="0" fontId="2" fillId="0" borderId="1" xfId="0" applyFont="1" applyFill="1" applyBorder="1" applyAlignment="1">
      <alignment horizontal="center"/>
    </xf>
    <xf numFmtId="0" fontId="2" fillId="0" borderId="18" xfId="0" applyFont="1" applyBorder="1" applyAlignment="1">
      <alignment vertical="top" wrapText="1"/>
    </xf>
    <xf numFmtId="0" fontId="0" fillId="0" borderId="0" xfId="0"/>
    <xf numFmtId="0" fontId="0" fillId="0" borderId="0" xfId="0" applyAlignment="1">
      <alignment horizontal="center"/>
    </xf>
    <xf numFmtId="0" fontId="2" fillId="0" borderId="0" xfId="0" applyFont="1"/>
    <xf numFmtId="0" fontId="0" fillId="0" borderId="0" xfId="0"/>
    <xf numFmtId="0" fontId="2" fillId="0" borderId="0" xfId="0" applyFont="1"/>
    <xf numFmtId="0" fontId="0" fillId="0" borderId="0" xfId="0" applyFont="1" applyAlignment="1">
      <alignment horizontal="center"/>
    </xf>
    <xf numFmtId="0" fontId="0" fillId="0" borderId="0" xfId="0"/>
    <xf numFmtId="0" fontId="2" fillId="0" borderId="0" xfId="0" applyFont="1"/>
    <xf numFmtId="0" fontId="0" fillId="0" borderId="46" xfId="0" applyBorder="1"/>
    <xf numFmtId="0" fontId="0" fillId="0" borderId="45" xfId="0" applyBorder="1"/>
    <xf numFmtId="169" fontId="0" fillId="0" borderId="43" xfId="0" applyNumberFormat="1" applyBorder="1" applyAlignment="1">
      <alignment horizontal="center" vertical="center"/>
    </xf>
    <xf numFmtId="1" fontId="2" fillId="0" borderId="0" xfId="0" applyNumberFormat="1" applyFont="1" applyFill="1" applyBorder="1"/>
    <xf numFmtId="169" fontId="0" fillId="0" borderId="0" xfId="0" applyNumberFormat="1" applyBorder="1" applyAlignment="1">
      <alignment horizontal="center" vertical="center"/>
    </xf>
    <xf numFmtId="0" fontId="2" fillId="35" borderId="0" xfId="0" applyFont="1" applyFill="1"/>
    <xf numFmtId="0" fontId="0" fillId="35" borderId="0" xfId="0" applyFill="1"/>
    <xf numFmtId="0" fontId="0" fillId="0" borderId="0" xfId="0"/>
    <xf numFmtId="0" fontId="2" fillId="0" borderId="0" xfId="0" applyFont="1" applyAlignment="1" applyProtection="1">
      <alignment horizontal="center"/>
    </xf>
    <xf numFmtId="0" fontId="2" fillId="0" borderId="0" xfId="0" applyFont="1"/>
    <xf numFmtId="0" fontId="2" fillId="0" borderId="0" xfId="0" applyFont="1" applyBorder="1" applyAlignment="1">
      <alignment vertical="top" wrapText="1"/>
    </xf>
    <xf numFmtId="0" fontId="2" fillId="0" borderId="46" xfId="0" applyFont="1" applyFill="1" applyBorder="1" applyAlignment="1" applyProtection="1">
      <alignment horizontal="center"/>
      <protection hidden="1"/>
    </xf>
    <xf numFmtId="0" fontId="2" fillId="25" borderId="0" xfId="0" applyFont="1" applyFill="1" applyBorder="1" applyAlignment="1" applyProtection="1">
      <alignment horizontal="center"/>
      <protection locked="0"/>
    </xf>
    <xf numFmtId="0" fontId="0" fillId="0" borderId="0" xfId="0"/>
    <xf numFmtId="0" fontId="2" fillId="0" borderId="0" xfId="0" applyFont="1"/>
    <xf numFmtId="0" fontId="0" fillId="0" borderId="1" xfId="0" applyBorder="1" applyProtection="1"/>
    <xf numFmtId="0" fontId="2" fillId="0" borderId="0" xfId="0" applyFont="1" applyAlignment="1">
      <alignment horizontal="center"/>
    </xf>
    <xf numFmtId="0" fontId="4"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2" fillId="0" borderId="0" xfId="0" applyFont="1"/>
    <xf numFmtId="0" fontId="0" fillId="0" borderId="0" xfId="0"/>
    <xf numFmtId="0" fontId="0" fillId="0" borderId="0" xfId="0" applyAlignment="1">
      <alignment horizontal="center"/>
    </xf>
    <xf numFmtId="0" fontId="2" fillId="0" borderId="0" xfId="0" applyFont="1"/>
    <xf numFmtId="0" fontId="62" fillId="0" borderId="0" xfId="0" applyFont="1" applyAlignment="1" applyProtection="1">
      <alignment horizontal="center"/>
    </xf>
    <xf numFmtId="0" fontId="66" fillId="25" borderId="0" xfId="0" applyFont="1" applyFill="1" applyAlignment="1" applyProtection="1">
      <alignment horizontal="center"/>
      <protection locked="0"/>
    </xf>
    <xf numFmtId="0" fontId="62" fillId="0" borderId="0" xfId="0" applyFont="1" applyAlignment="1" applyProtection="1">
      <alignment horizontal="center"/>
      <protection locked="0"/>
    </xf>
    <xf numFmtId="0" fontId="0" fillId="0" borderId="24" xfId="0" applyBorder="1" applyProtection="1">
      <protection hidden="1"/>
    </xf>
    <xf numFmtId="0" fontId="0" fillId="0" borderId="46" xfId="0" applyFill="1" applyBorder="1" applyAlignment="1" applyProtection="1">
      <alignment horizontal="center"/>
      <protection hidden="1"/>
    </xf>
    <xf numFmtId="0" fontId="61" fillId="25" borderId="0" xfId="0" applyFont="1" applyFill="1" applyBorder="1" applyProtection="1"/>
    <xf numFmtId="0" fontId="2" fillId="0" borderId="0" xfId="0" applyFont="1" applyBorder="1" applyAlignment="1" applyProtection="1">
      <alignment horizontal="center" vertical="top"/>
    </xf>
    <xf numFmtId="1" fontId="2" fillId="0" borderId="0" xfId="0" applyNumberFormat="1" applyFont="1" applyBorder="1" applyAlignment="1" applyProtection="1">
      <alignment horizontal="center"/>
    </xf>
    <xf numFmtId="0" fontId="2" fillId="0" borderId="0" xfId="0" applyFont="1" applyBorder="1" applyAlignment="1" applyProtection="1">
      <alignment horizontal="center"/>
    </xf>
    <xf numFmtId="2" fontId="2" fillId="0" borderId="0" xfId="0" applyNumberFormat="1" applyFont="1" applyBorder="1" applyAlignment="1" applyProtection="1">
      <alignment horizontal="center" vertical="top"/>
    </xf>
    <xf numFmtId="2" fontId="2" fillId="0" borderId="0" xfId="25" applyNumberFormat="1" applyFont="1" applyBorder="1" applyAlignment="1" applyProtection="1">
      <alignment horizontal="center"/>
    </xf>
    <xf numFmtId="49" fontId="2" fillId="23" borderId="46"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4" xfId="0" applyFill="1" applyBorder="1" applyAlignment="1">
      <alignment horizontal="center"/>
    </xf>
    <xf numFmtId="0" fontId="0" fillId="12" borderId="43" xfId="0" applyFill="1" applyBorder="1" applyAlignment="1">
      <alignment horizontal="center" vertical="center"/>
    </xf>
    <xf numFmtId="0" fontId="0" fillId="12" borderId="43" xfId="0" applyFill="1" applyBorder="1" applyAlignment="1">
      <alignment horizontal="center"/>
    </xf>
    <xf numFmtId="0" fontId="0" fillId="12" borderId="46" xfId="0" applyFill="1" applyBorder="1" applyAlignment="1">
      <alignment horizontal="center"/>
    </xf>
    <xf numFmtId="167" fontId="0" fillId="12" borderId="43" xfId="0" applyNumberFormat="1" applyFill="1" applyBorder="1" applyAlignment="1">
      <alignment horizontal="center"/>
    </xf>
    <xf numFmtId="0" fontId="0" fillId="12" borderId="45" xfId="0" applyFill="1" applyBorder="1" applyAlignment="1">
      <alignment horizontal="center"/>
    </xf>
    <xf numFmtId="0" fontId="2" fillId="12" borderId="45" xfId="0" applyFont="1" applyFill="1" applyBorder="1" applyAlignment="1">
      <alignment horizontal="center"/>
    </xf>
    <xf numFmtId="1" fontId="0" fillId="12" borderId="43" xfId="0" applyNumberFormat="1" applyFill="1" applyBorder="1" applyAlignment="1">
      <alignment horizontal="center"/>
    </xf>
    <xf numFmtId="0" fontId="0" fillId="12" borderId="45" xfId="0" applyFill="1" applyBorder="1"/>
    <xf numFmtId="0" fontId="0" fillId="12" borderId="43" xfId="0" applyFill="1" applyBorder="1"/>
    <xf numFmtId="0" fontId="0" fillId="12" borderId="43" xfId="30" applyNumberFormat="1" applyFont="1" applyFill="1" applyBorder="1"/>
    <xf numFmtId="0" fontId="2" fillId="3" borderId="17" xfId="0" applyFont="1" applyFill="1" applyBorder="1" applyAlignment="1">
      <alignment horizontal="center"/>
    </xf>
    <xf numFmtId="0" fontId="0" fillId="3" borderId="9" xfId="0" applyFill="1" applyBorder="1" applyAlignment="1">
      <alignment horizontal="center"/>
    </xf>
    <xf numFmtId="0" fontId="2" fillId="3" borderId="13" xfId="0" applyFont="1" applyFill="1" applyBorder="1" applyAlignment="1">
      <alignment horizontal="center"/>
    </xf>
    <xf numFmtId="0" fontId="0" fillId="3" borderId="0" xfId="0" applyFill="1" applyBorder="1" applyAlignment="1">
      <alignment horizontal="center"/>
    </xf>
    <xf numFmtId="0" fontId="0" fillId="36" borderId="43" xfId="0" applyFill="1" applyBorder="1" applyAlignment="1">
      <alignment horizontal="center"/>
    </xf>
    <xf numFmtId="0" fontId="0" fillId="0" borderId="0" xfId="0"/>
    <xf numFmtId="0" fontId="2" fillId="0" borderId="0" xfId="0" applyFont="1"/>
    <xf numFmtId="0" fontId="0" fillId="0" borderId="23" xfId="0" applyBorder="1" applyAlignment="1">
      <alignment horizontal="center"/>
    </xf>
    <xf numFmtId="0" fontId="0" fillId="37"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2" fillId="12" borderId="0" xfId="0" applyFont="1" applyFill="1" applyAlignment="1">
      <alignment horizontal="center"/>
    </xf>
    <xf numFmtId="0" fontId="5"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2" fillId="0" borderId="24" xfId="0" applyFont="1" applyBorder="1"/>
    <xf numFmtId="0" fontId="2" fillId="0" borderId="0" xfId="0" applyFont="1"/>
    <xf numFmtId="0" fontId="0" fillId="0" borderId="23" xfId="0" applyBorder="1" applyAlignment="1">
      <alignment horizontal="center"/>
    </xf>
    <xf numFmtId="0" fontId="0" fillId="21" borderId="32" xfId="0" applyFill="1" applyBorder="1" applyAlignment="1">
      <alignment horizontal="center"/>
    </xf>
    <xf numFmtId="0" fontId="0" fillId="21" borderId="33" xfId="0" applyFill="1" applyBorder="1" applyAlignment="1">
      <alignment horizontal="center"/>
    </xf>
    <xf numFmtId="0" fontId="0" fillId="21" borderId="23" xfId="0" applyFill="1" applyBorder="1" applyAlignment="1">
      <alignment horizontal="center"/>
    </xf>
    <xf numFmtId="0" fontId="0" fillId="21" borderId="24" xfId="0" applyFill="1" applyBorder="1" applyAlignment="1">
      <alignment horizontal="center"/>
    </xf>
    <xf numFmtId="0" fontId="0" fillId="21" borderId="40" xfId="0" applyFill="1" applyBorder="1" applyAlignment="1">
      <alignment horizontal="center"/>
    </xf>
    <xf numFmtId="0" fontId="0" fillId="21" borderId="39" xfId="0" applyFill="1" applyBorder="1" applyAlignment="1">
      <alignment horizontal="center"/>
    </xf>
    <xf numFmtId="0" fontId="0" fillId="0" borderId="0" xfId="0"/>
    <xf numFmtId="0" fontId="0" fillId="0" borderId="0" xfId="0" applyAlignment="1">
      <alignment horizontal="center"/>
    </xf>
    <xf numFmtId="0" fontId="4" fillId="0" borderId="0" xfId="25" applyFont="1" applyProtection="1">
      <protection locked="0"/>
    </xf>
    <xf numFmtId="0" fontId="2" fillId="0" borderId="46" xfId="0" applyFont="1" applyFill="1" applyBorder="1" applyAlignment="1">
      <alignment horizontal="center" vertical="center"/>
    </xf>
    <xf numFmtId="165" fontId="34" fillId="0" borderId="102" xfId="0" applyNumberFormat="1" applyFont="1" applyFill="1" applyBorder="1" applyAlignment="1" applyProtection="1">
      <alignment horizontal="center" vertical="center"/>
      <protection hidden="1"/>
    </xf>
    <xf numFmtId="165" fontId="34" fillId="0" borderId="45"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2" fillId="0" borderId="46" xfId="0" applyFont="1" applyBorder="1" applyAlignment="1">
      <alignment horizontal="center" vertical="center"/>
    </xf>
    <xf numFmtId="0" fontId="34" fillId="0" borderId="102" xfId="0" applyFont="1" applyFill="1" applyBorder="1" applyAlignment="1" applyProtection="1">
      <alignment horizontal="center" vertical="center"/>
      <protection hidden="1"/>
    </xf>
    <xf numFmtId="0" fontId="0" fillId="0" borderId="0" xfId="0"/>
    <xf numFmtId="0" fontId="5" fillId="0" borderId="0" xfId="0" applyFont="1" applyAlignment="1">
      <alignment horizontal="right"/>
    </xf>
    <xf numFmtId="0" fontId="2" fillId="8" borderId="9" xfId="0" applyFont="1" applyFill="1" applyBorder="1" applyAlignment="1">
      <alignment horizontal="center" vertical="center"/>
    </xf>
    <xf numFmtId="0" fontId="2" fillId="8" borderId="24" xfId="0" applyFont="1" applyFill="1" applyBorder="1" applyAlignment="1">
      <alignment horizontal="center" vertical="center"/>
    </xf>
    <xf numFmtId="0" fontId="0" fillId="0" borderId="9" xfId="0" applyFill="1" applyBorder="1" applyAlignment="1">
      <alignment horizontal="center"/>
    </xf>
    <xf numFmtId="0" fontId="2" fillId="8" borderId="0" xfId="0" applyFont="1" applyFill="1" applyBorder="1" applyAlignment="1"/>
    <xf numFmtId="0" fontId="2" fillId="8" borderId="24" xfId="0" applyFont="1" applyFill="1" applyBorder="1" applyAlignment="1"/>
    <xf numFmtId="0" fontId="0" fillId="0" borderId="0" xfId="0"/>
    <xf numFmtId="0" fontId="0" fillId="0" borderId="29" xfId="0" applyBorder="1" applyAlignment="1">
      <alignment horizontal="center"/>
    </xf>
    <xf numFmtId="0" fontId="2"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4" fillId="0" borderId="0" xfId="25" applyFont="1" applyFill="1" applyBorder="1" applyAlignment="1" applyProtection="1">
      <alignment horizontal="center"/>
    </xf>
    <xf numFmtId="0" fontId="4" fillId="0" borderId="6" xfId="0" applyFont="1" applyBorder="1" applyProtection="1">
      <protection locked="0"/>
    </xf>
    <xf numFmtId="0" fontId="4" fillId="0" borderId="18" xfId="0" applyFont="1" applyBorder="1" applyAlignment="1" applyProtection="1">
      <alignment vertical="top" wrapText="1"/>
      <protection locked="0"/>
    </xf>
    <xf numFmtId="0" fontId="4" fillId="0" borderId="16" xfId="0" applyFont="1" applyBorder="1" applyAlignment="1" applyProtection="1">
      <alignment horizontal="center"/>
      <protection locked="0"/>
    </xf>
    <xf numFmtId="0" fontId="0" fillId="0" borderId="0" xfId="0"/>
    <xf numFmtId="0" fontId="2"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2" fillId="0" borderId="0" xfId="0" applyFont="1" applyBorder="1" applyAlignment="1">
      <alignment horizontal="left" vertical="center"/>
    </xf>
    <xf numFmtId="0" fontId="0" fillId="38" borderId="0" xfId="0" applyFill="1"/>
    <xf numFmtId="0" fontId="0" fillId="0" borderId="30" xfId="0" applyFill="1" applyBorder="1" applyAlignment="1">
      <alignment vertical="center"/>
    </xf>
    <xf numFmtId="0" fontId="0" fillId="3" borderId="29" xfId="0" applyFill="1" applyBorder="1"/>
    <xf numFmtId="0" fontId="37" fillId="29" borderId="0" xfId="0" applyFont="1" applyFill="1"/>
    <xf numFmtId="0" fontId="0" fillId="0" borderId="0" xfId="0"/>
    <xf numFmtId="0" fontId="0" fillId="0" borderId="38" xfId="0" applyFill="1" applyBorder="1" applyAlignment="1" applyProtection="1">
      <alignment horizontal="center"/>
      <protection hidden="1"/>
    </xf>
    <xf numFmtId="165" fontId="6" fillId="23" borderId="38" xfId="0" applyNumberFormat="1" applyFont="1" applyFill="1" applyBorder="1" applyAlignment="1" applyProtection="1">
      <protection locked="0"/>
    </xf>
    <xf numFmtId="165" fontId="7" fillId="0" borderId="24" xfId="0" applyNumberFormat="1" applyFont="1" applyFill="1" applyBorder="1" applyAlignment="1" applyProtection="1">
      <alignment horizontal="center"/>
    </xf>
    <xf numFmtId="0" fontId="7" fillId="0" borderId="24" xfId="0" applyFont="1" applyFill="1" applyBorder="1" applyAlignment="1" applyProtection="1"/>
    <xf numFmtId="0" fontId="7" fillId="0" borderId="0" xfId="0" applyFont="1" applyFill="1" applyAlignment="1" applyProtection="1"/>
    <xf numFmtId="0" fontId="2"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2" fillId="8" borderId="3" xfId="0" applyFont="1" applyFill="1" applyBorder="1" applyAlignment="1">
      <alignment horizontal="center" vertical="center"/>
    </xf>
    <xf numFmtId="0" fontId="2" fillId="8" borderId="49" xfId="0" applyFont="1" applyFill="1" applyBorder="1" applyAlignment="1">
      <alignment horizontal="center" vertical="center"/>
    </xf>
    <xf numFmtId="0" fontId="20" fillId="8" borderId="44" xfId="0" applyFont="1" applyFill="1" applyBorder="1" applyAlignment="1">
      <alignment horizontal="center" vertical="center"/>
    </xf>
    <xf numFmtId="0" fontId="2" fillId="0" borderId="0" xfId="0" applyFont="1" applyAlignment="1" applyProtection="1">
      <alignment horizontal="center"/>
      <protection locked="0"/>
    </xf>
    <xf numFmtId="0" fontId="20"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2" fillId="0" borderId="0" xfId="0" applyNumberFormat="1" applyFont="1" applyProtection="1">
      <protection locked="0"/>
    </xf>
    <xf numFmtId="165" fontId="34" fillId="0" borderId="43" xfId="0" applyNumberFormat="1" applyFont="1" applyFill="1" applyBorder="1" applyAlignment="1" applyProtection="1">
      <alignment horizontal="center" vertical="center"/>
      <protection hidden="1"/>
    </xf>
    <xf numFmtId="0" fontId="2" fillId="0" borderId="24" xfId="0" applyFont="1" applyFill="1" applyBorder="1" applyAlignment="1">
      <alignment horizontal="center" vertical="center"/>
    </xf>
    <xf numFmtId="0" fontId="2" fillId="3" borderId="105" xfId="0" applyFont="1" applyFill="1" applyBorder="1" applyAlignment="1">
      <alignment vertical="center"/>
    </xf>
    <xf numFmtId="1" fontId="4" fillId="0" borderId="106" xfId="0" applyNumberFormat="1" applyFont="1" applyFill="1" applyBorder="1" applyAlignment="1">
      <alignment horizontal="center" vertical="center"/>
    </xf>
    <xf numFmtId="0" fontId="2" fillId="3" borderId="107" xfId="0" applyFont="1" applyFill="1" applyBorder="1" applyAlignment="1">
      <alignment vertical="center"/>
    </xf>
    <xf numFmtId="0" fontId="2" fillId="3" borderId="50" xfId="0" applyFont="1" applyFill="1" applyBorder="1" applyAlignment="1">
      <alignment vertical="center"/>
    </xf>
    <xf numFmtId="0" fontId="2" fillId="3" borderId="108" xfId="0" applyFont="1" applyFill="1" applyBorder="1" applyAlignment="1">
      <alignment horizontal="center" vertical="center"/>
    </xf>
    <xf numFmtId="0" fontId="2" fillId="3" borderId="109" xfId="0" applyFont="1" applyFill="1" applyBorder="1" applyAlignment="1">
      <alignment horizontal="center" vertical="center"/>
    </xf>
    <xf numFmtId="0" fontId="2" fillId="3" borderId="110" xfId="0" applyFont="1" applyFill="1" applyBorder="1" applyAlignment="1">
      <alignment horizontal="center" vertical="center"/>
    </xf>
    <xf numFmtId="0" fontId="2" fillId="3" borderId="111" xfId="0" applyFont="1" applyFill="1" applyBorder="1" applyAlignment="1">
      <alignment horizontal="center" vertical="center"/>
    </xf>
    <xf numFmtId="0" fontId="2" fillId="3" borderId="51" xfId="0" applyFont="1" applyFill="1" applyBorder="1" applyAlignment="1">
      <alignment horizontal="center" vertical="center"/>
    </xf>
    <xf numFmtId="9" fontId="4" fillId="11" borderId="112" xfId="30" applyFont="1" applyFill="1" applyBorder="1" applyAlignment="1">
      <alignment horizontal="center" vertical="center" shrinkToFit="1"/>
    </xf>
    <xf numFmtId="0" fontId="4" fillId="11" borderId="108" xfId="30" applyNumberFormat="1" applyFont="1" applyFill="1" applyBorder="1" applyAlignment="1">
      <alignment horizontal="center" vertical="center" shrinkToFit="1"/>
    </xf>
    <xf numFmtId="0" fontId="2" fillId="3" borderId="51" xfId="0" applyFont="1" applyFill="1" applyBorder="1" applyAlignment="1">
      <alignment vertical="center"/>
    </xf>
    <xf numFmtId="0" fontId="20" fillId="8" borderId="25" xfId="0" applyFont="1" applyFill="1" applyBorder="1" applyAlignment="1">
      <alignment vertical="center"/>
    </xf>
    <xf numFmtId="0" fontId="20" fillId="8" borderId="26" xfId="0" applyFont="1" applyFill="1" applyBorder="1" applyAlignment="1">
      <alignment vertical="center"/>
    </xf>
    <xf numFmtId="0" fontId="4" fillId="0" borderId="24" xfId="0" applyFont="1" applyBorder="1" applyAlignment="1">
      <alignment horizontal="center" vertical="center"/>
    </xf>
    <xf numFmtId="0" fontId="0" fillId="0" borderId="24" xfId="0" applyBorder="1" applyAlignment="1">
      <alignment horizontal="center" vertical="center"/>
    </xf>
    <xf numFmtId="0" fontId="2" fillId="8" borderId="67" xfId="0" applyFont="1" applyFill="1" applyBorder="1" applyAlignment="1">
      <alignment horizontal="center" vertical="center"/>
    </xf>
    <xf numFmtId="0" fontId="2" fillId="0" borderId="23" xfId="0" applyFont="1" applyBorder="1" applyAlignment="1">
      <alignment vertical="top" wrapText="1"/>
    </xf>
    <xf numFmtId="0" fontId="2" fillId="0" borderId="0" xfId="0" applyFont="1" applyAlignment="1">
      <alignment horizontal="center"/>
    </xf>
    <xf numFmtId="0" fontId="7" fillId="9" borderId="0" xfId="0" applyFont="1" applyFill="1" applyAlignment="1" applyProtection="1">
      <alignment horizontal="center"/>
    </xf>
    <xf numFmtId="0" fontId="6" fillId="0" borderId="0" xfId="0" applyFont="1" applyAlignment="1" applyProtection="1">
      <alignment horizontal="left" wrapText="1"/>
    </xf>
    <xf numFmtId="0" fontId="2" fillId="0" borderId="0" xfId="0" applyFont="1" applyAlignment="1" applyProtection="1">
      <alignment horizontal="left" wrapText="1"/>
    </xf>
    <xf numFmtId="0" fontId="70" fillId="0" borderId="0" xfId="0" applyFont="1" applyFill="1" applyBorder="1" applyAlignment="1" applyProtection="1">
      <alignment horizontal="center" vertical="center" wrapText="1"/>
    </xf>
    <xf numFmtId="165" fontId="2" fillId="0" borderId="0" xfId="0" applyNumberFormat="1" applyFont="1" applyFill="1" applyBorder="1" applyAlignment="1" applyProtection="1">
      <alignment horizontal="left"/>
    </xf>
    <xf numFmtId="0" fontId="2" fillId="0" borderId="0" xfId="0" applyFont="1" applyBorder="1" applyAlignment="1" applyProtection="1">
      <alignment horizontal="left" wrapText="1"/>
    </xf>
    <xf numFmtId="0" fontId="25" fillId="0" borderId="0" xfId="0" applyFont="1" applyBorder="1" applyAlignment="1" applyProtection="1">
      <alignment horizontal="center" vertical="center" wrapText="1"/>
    </xf>
    <xf numFmtId="0" fontId="2" fillId="3" borderId="0" xfId="0" applyFont="1" applyFill="1" applyAlignment="1">
      <alignment vertical="center"/>
    </xf>
    <xf numFmtId="0" fontId="2" fillId="0" borderId="33" xfId="0" applyFont="1" applyBorder="1"/>
    <xf numFmtId="0" fontId="2" fillId="0" borderId="0" xfId="0" quotePrefix="1" applyFont="1" applyAlignment="1">
      <alignment horizontal="center"/>
    </xf>
    <xf numFmtId="0" fontId="2" fillId="8" borderId="0" xfId="0" applyFont="1" applyFill="1" applyBorder="1" applyAlignment="1">
      <alignment horizontal="center" vertical="center"/>
    </xf>
    <xf numFmtId="1" fontId="0" fillId="0" borderId="115" xfId="0" applyNumberFormat="1" applyBorder="1" applyAlignment="1">
      <alignment horizontal="center" vertical="center"/>
    </xf>
    <xf numFmtId="165" fontId="0" fillId="0" borderId="116" xfId="0" applyNumberFormat="1"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8" xfId="0" applyNumberFormat="1" applyBorder="1" applyAlignment="1">
      <alignment horizontal="center" vertical="center"/>
    </xf>
    <xf numFmtId="0" fontId="0" fillId="0" borderId="118" xfId="0" applyBorder="1" applyAlignment="1">
      <alignment horizontal="center" vertical="center"/>
    </xf>
    <xf numFmtId="1" fontId="0" fillId="0" borderId="114" xfId="0" applyNumberFormat="1" applyBorder="1" applyAlignment="1">
      <alignment horizontal="center" vertical="center"/>
    </xf>
    <xf numFmtId="0" fontId="0" fillId="0" borderId="114" xfId="0" applyBorder="1" applyAlignment="1">
      <alignment horizontal="center" vertical="center"/>
    </xf>
    <xf numFmtId="0" fontId="0" fillId="0" borderId="116" xfId="0" applyBorder="1" applyAlignment="1">
      <alignment horizontal="center" vertical="center"/>
    </xf>
    <xf numFmtId="1" fontId="0" fillId="0" borderId="119" xfId="0" applyNumberFormat="1" applyBorder="1" applyAlignment="1">
      <alignment horizontal="center" vertical="center"/>
    </xf>
    <xf numFmtId="1" fontId="0" fillId="0" borderId="86" xfId="0" applyNumberFormat="1" applyBorder="1" applyAlignment="1">
      <alignment horizontal="center" vertical="center"/>
    </xf>
    <xf numFmtId="169" fontId="0" fillId="0" borderId="117" xfId="0" applyNumberFormat="1" applyBorder="1" applyAlignment="1">
      <alignment horizontal="center" vertical="center"/>
    </xf>
    <xf numFmtId="169" fontId="0" fillId="0" borderId="114" xfId="0" applyNumberFormat="1" applyBorder="1" applyAlignment="1">
      <alignment horizontal="center" vertical="center"/>
    </xf>
    <xf numFmtId="1" fontId="0" fillId="0" borderId="121" xfId="0" applyNumberFormat="1" applyBorder="1" applyAlignment="1">
      <alignment horizontal="center" vertical="center"/>
    </xf>
    <xf numFmtId="1" fontId="0" fillId="0" borderId="122" xfId="0" applyNumberFormat="1" applyBorder="1" applyAlignment="1">
      <alignment horizontal="center" vertical="center"/>
    </xf>
    <xf numFmtId="169" fontId="0" fillId="0" borderId="123" xfId="0" applyNumberFormat="1" applyBorder="1" applyAlignment="1">
      <alignment horizontal="center" vertical="center"/>
    </xf>
    <xf numFmtId="0" fontId="2" fillId="3" borderId="112" xfId="0" applyFont="1" applyFill="1" applyBorder="1" applyAlignment="1">
      <alignment horizontal="center" vertical="center"/>
    </xf>
    <xf numFmtId="0" fontId="2" fillId="3" borderId="124"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26" xfId="0" applyFont="1" applyFill="1" applyBorder="1" applyAlignment="1">
      <alignment horizontal="center" vertical="center"/>
    </xf>
    <xf numFmtId="0" fontId="2" fillId="3" borderId="0"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67" xfId="0" applyFont="1" applyFill="1" applyBorder="1" applyAlignment="1">
      <alignment horizontal="center" vertical="center"/>
    </xf>
    <xf numFmtId="0" fontId="2" fillId="3" borderId="113"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25" xfId="0" applyFont="1" applyFill="1" applyBorder="1" applyAlignment="1">
      <alignment horizontal="center" vertical="center"/>
    </xf>
    <xf numFmtId="0" fontId="20" fillId="3" borderId="124" xfId="0" applyFont="1" applyFill="1" applyBorder="1" applyAlignment="1">
      <alignment horizontal="center" vertical="center"/>
    </xf>
    <xf numFmtId="0" fontId="20" fillId="3" borderId="125" xfId="0" applyFont="1" applyFill="1" applyBorder="1" applyAlignment="1">
      <alignment horizontal="center" vertical="center"/>
    </xf>
    <xf numFmtId="1" fontId="2" fillId="0" borderId="106" xfId="0" applyNumberFormat="1" applyFont="1" applyFill="1" applyBorder="1" applyAlignment="1">
      <alignment horizontal="center" vertical="center"/>
    </xf>
    <xf numFmtId="1" fontId="2" fillId="0" borderId="65" xfId="0" applyNumberFormat="1" applyFont="1" applyFill="1" applyBorder="1" applyAlignment="1">
      <alignment horizontal="center" vertical="center"/>
    </xf>
    <xf numFmtId="1" fontId="2" fillId="0" borderId="107" xfId="0" applyNumberFormat="1" applyFont="1" applyFill="1" applyBorder="1" applyAlignment="1">
      <alignment horizontal="center" vertical="center"/>
    </xf>
    <xf numFmtId="1" fontId="2" fillId="0" borderId="127" xfId="0" applyNumberFormat="1" applyFont="1" applyFill="1" applyBorder="1" applyAlignment="1">
      <alignment horizontal="center" vertical="center"/>
    </xf>
    <xf numFmtId="0" fontId="63" fillId="33" borderId="0" xfId="0" applyFont="1" applyFill="1" applyBorder="1" applyAlignment="1" applyProtection="1">
      <alignment horizontal="center"/>
      <protection locked="0"/>
    </xf>
    <xf numFmtId="0" fontId="61" fillId="25" borderId="0" xfId="25" applyFont="1" applyFill="1" applyBorder="1" applyAlignment="1" applyProtection="1">
      <alignment horizontal="center" vertical="center"/>
      <protection locked="0"/>
    </xf>
    <xf numFmtId="165" fontId="34" fillId="0" borderId="136" xfId="0" applyNumberFormat="1" applyFont="1" applyFill="1" applyBorder="1" applyAlignment="1" applyProtection="1">
      <alignment horizontal="center" vertical="center"/>
      <protection hidden="1"/>
    </xf>
    <xf numFmtId="0" fontId="2" fillId="8" borderId="0" xfId="0" applyFont="1" applyFill="1" applyBorder="1" applyAlignment="1">
      <alignment horizontal="center"/>
    </xf>
    <xf numFmtId="0" fontId="4" fillId="0" borderId="24" xfId="0" applyFont="1" applyBorder="1" applyAlignment="1">
      <alignment vertical="center"/>
    </xf>
    <xf numFmtId="0" fontId="0" fillId="0" borderId="24" xfId="0" applyBorder="1" applyAlignment="1">
      <alignment vertical="center"/>
    </xf>
    <xf numFmtId="0" fontId="2" fillId="0" borderId="0" xfId="0" applyFont="1" applyBorder="1" applyAlignment="1">
      <alignment vertical="center"/>
    </xf>
    <xf numFmtId="0" fontId="7" fillId="0" borderId="33" xfId="0" applyFont="1" applyBorder="1" applyAlignment="1">
      <alignment vertical="center"/>
    </xf>
    <xf numFmtId="0" fontId="7" fillId="0" borderId="24" xfId="0" applyFont="1" applyBorder="1" applyAlignment="1">
      <alignment vertical="center"/>
    </xf>
    <xf numFmtId="165" fontId="2" fillId="23" borderId="38" xfId="0" applyNumberFormat="1" applyFont="1" applyFill="1" applyBorder="1" applyAlignment="1" applyProtection="1">
      <alignment horizontal="center" vertical="center" shrinkToFit="1"/>
      <protection locked="0"/>
    </xf>
    <xf numFmtId="165" fontId="0" fillId="23" borderId="38" xfId="0" applyNumberFormat="1" applyFill="1" applyBorder="1" applyAlignment="1" applyProtection="1">
      <alignment horizontal="center" vertical="center" shrinkToFit="1"/>
      <protection locked="0"/>
    </xf>
    <xf numFmtId="165" fontId="2" fillId="23" borderId="46" xfId="0" applyNumberFormat="1" applyFont="1" applyFill="1" applyBorder="1" applyAlignment="1" applyProtection="1">
      <alignment horizontal="center" vertical="center" shrinkToFit="1"/>
      <protection locked="0"/>
    </xf>
    <xf numFmtId="1" fontId="34" fillId="0" borderId="102" xfId="0" applyNumberFormat="1" applyFont="1" applyFill="1" applyBorder="1" applyAlignment="1" applyProtection="1">
      <alignment horizontal="center" vertical="center" shrinkToFit="1"/>
      <protection hidden="1"/>
    </xf>
    <xf numFmtId="1" fontId="34" fillId="0" borderId="136" xfId="0" applyNumberFormat="1" applyFont="1" applyFill="1" applyBorder="1" applyAlignment="1" applyProtection="1">
      <alignment horizontal="center" vertical="center" shrinkToFit="1"/>
      <protection hidden="1"/>
    </xf>
    <xf numFmtId="0" fontId="2" fillId="0" borderId="0" xfId="0" applyFont="1" applyAlignment="1">
      <alignment horizontal="center"/>
    </xf>
    <xf numFmtId="2" fontId="2" fillId="0" borderId="29" xfId="0" applyNumberFormat="1" applyFont="1" applyBorder="1"/>
    <xf numFmtId="1" fontId="34" fillId="0" borderId="104" xfId="0" applyNumberFormat="1" applyFont="1" applyFill="1" applyBorder="1" applyAlignment="1" applyProtection="1">
      <alignment horizontal="center" vertical="center" shrinkToFit="1"/>
      <protection hidden="1"/>
    </xf>
    <xf numFmtId="0" fontId="0" fillId="0" borderId="0" xfId="0" applyNumberFormat="1"/>
    <xf numFmtId="0" fontId="0" fillId="0" borderId="33" xfId="0" applyBorder="1" applyProtection="1">
      <protection locked="0"/>
    </xf>
    <xf numFmtId="0" fontId="0" fillId="0" borderId="29" xfId="0" applyBorder="1" applyProtection="1">
      <protection locked="0"/>
    </xf>
    <xf numFmtId="0" fontId="2" fillId="0" borderId="29" xfId="0" applyFont="1" applyBorder="1" applyProtection="1">
      <protection locked="0"/>
    </xf>
    <xf numFmtId="0" fontId="0" fillId="0" borderId="32" xfId="0" applyBorder="1" applyProtection="1">
      <protection locked="0"/>
    </xf>
    <xf numFmtId="0" fontId="0" fillId="0" borderId="24" xfId="0" applyBorder="1" applyProtection="1">
      <protection locked="0"/>
    </xf>
    <xf numFmtId="0" fontId="0" fillId="0" borderId="23" xfId="0" applyBorder="1" applyProtection="1">
      <protection locked="0"/>
    </xf>
    <xf numFmtId="0" fontId="0" fillId="0" borderId="41" xfId="0" applyBorder="1" applyAlignment="1">
      <alignment horizontal="center" vertical="center"/>
    </xf>
    <xf numFmtId="0" fontId="4" fillId="0" borderId="46" xfId="0" applyFont="1" applyBorder="1" applyAlignment="1">
      <alignment horizontal="center" vertical="center"/>
    </xf>
    <xf numFmtId="0" fontId="4" fillId="0" borderId="46" xfId="0" applyFont="1" applyBorder="1" applyAlignment="1">
      <alignment horizontal="center" vertical="center" textRotation="90"/>
    </xf>
    <xf numFmtId="0" fontId="0" fillId="0" borderId="0" xfId="0" applyProtection="1">
      <protection hidden="1"/>
    </xf>
    <xf numFmtId="0" fontId="2" fillId="0" borderId="0" xfId="0" applyFont="1" applyAlignment="1" applyProtection="1">
      <alignment horizontal="center"/>
      <protection hidden="1"/>
    </xf>
    <xf numFmtId="0" fontId="2"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7" fillId="9" borderId="0" xfId="0" applyFont="1" applyFill="1" applyAlignment="1" applyProtection="1">
      <protection hidden="1"/>
    </xf>
    <xf numFmtId="0" fontId="7" fillId="9" borderId="0" xfId="0" applyFont="1" applyFill="1" applyAlignment="1" applyProtection="1">
      <alignment horizontal="center"/>
      <protection hidden="1"/>
    </xf>
    <xf numFmtId="0" fontId="63" fillId="0" borderId="29" xfId="25" applyFont="1" applyFill="1" applyBorder="1" applyAlignment="1" applyProtection="1">
      <alignment horizontal="center" vertical="center"/>
      <protection hidden="1"/>
    </xf>
    <xf numFmtId="0" fontId="62" fillId="0" borderId="0" xfId="0" applyFont="1" applyFill="1" applyProtection="1">
      <protection hidden="1"/>
    </xf>
    <xf numFmtId="165" fontId="7" fillId="0" borderId="0" xfId="0" applyNumberFormat="1" applyFont="1" applyFill="1" applyBorder="1" applyAlignment="1" applyProtection="1">
      <alignment horizontal="center"/>
      <protection hidden="1"/>
    </xf>
    <xf numFmtId="0" fontId="61" fillId="25" borderId="0" xfId="25" applyFont="1" applyFill="1" applyBorder="1" applyAlignment="1" applyProtection="1">
      <alignment horizontal="left" vertical="center"/>
      <protection hidden="1"/>
    </xf>
    <xf numFmtId="0" fontId="61" fillId="0" borderId="0" xfId="25" applyFont="1" applyFill="1" applyBorder="1" applyAlignment="1" applyProtection="1">
      <alignment horizontal="left" vertical="center"/>
      <protection hidden="1"/>
    </xf>
    <xf numFmtId="0" fontId="4" fillId="0" borderId="0" xfId="25" applyFont="1" applyBorder="1" applyProtection="1">
      <protection hidden="1"/>
    </xf>
    <xf numFmtId="0" fontId="2" fillId="0" borderId="0" xfId="25" applyFill="1" applyBorder="1" applyProtection="1">
      <protection hidden="1"/>
    </xf>
    <xf numFmtId="0" fontId="0" fillId="0" borderId="0" xfId="0" applyFill="1" applyBorder="1" applyProtection="1">
      <protection hidden="1"/>
    </xf>
    <xf numFmtId="0" fontId="20" fillId="0" borderId="0" xfId="25" applyFont="1" applyBorder="1" applyProtection="1">
      <protection hidden="1"/>
    </xf>
    <xf numFmtId="0" fontId="4" fillId="0" borderId="0" xfId="0" applyFont="1" applyAlignment="1" applyProtection="1">
      <protection hidden="1"/>
    </xf>
    <xf numFmtId="0" fontId="19" fillId="0" borderId="0" xfId="0" applyFont="1" applyFill="1" applyBorder="1" applyAlignment="1" applyProtection="1">
      <alignment horizontal="center"/>
      <protection hidden="1"/>
    </xf>
    <xf numFmtId="0" fontId="4" fillId="0" borderId="0" xfId="0" applyFont="1" applyFill="1" applyBorder="1" applyAlignment="1" applyProtection="1">
      <protection hidden="1"/>
    </xf>
    <xf numFmtId="0" fontId="2" fillId="0" borderId="0" xfId="25" applyBorder="1" applyAlignment="1" applyProtection="1">
      <alignment horizontal="left"/>
      <protection hidden="1"/>
    </xf>
    <xf numFmtId="1" fontId="4" fillId="0" borderId="0" xfId="24" applyNumberFormat="1" applyFont="1" applyFill="1" applyBorder="1" applyAlignment="1" applyProtection="1">
      <alignment horizontal="left"/>
      <protection hidden="1"/>
    </xf>
    <xf numFmtId="0" fontId="7" fillId="0" borderId="0" xfId="0" applyFont="1" applyFill="1" applyAlignment="1" applyProtection="1">
      <protection hidden="1"/>
    </xf>
    <xf numFmtId="0" fontId="0" fillId="0" borderId="0" xfId="0" applyBorder="1" applyProtection="1">
      <protection hidden="1"/>
    </xf>
    <xf numFmtId="0" fontId="4" fillId="0" borderId="30" xfId="0" applyFont="1" applyBorder="1" applyAlignment="1" applyProtection="1">
      <alignment horizontal="center"/>
      <protection hidden="1"/>
    </xf>
    <xf numFmtId="0" fontId="4" fillId="0" borderId="30" xfId="0" applyFont="1" applyFill="1" applyBorder="1" applyAlignment="1" applyProtection="1">
      <alignment horizontal="center"/>
      <protection hidden="1"/>
    </xf>
    <xf numFmtId="0" fontId="4" fillId="0" borderId="32" xfId="0" applyFont="1" applyBorder="1" applyAlignment="1" applyProtection="1">
      <alignment horizontal="center"/>
      <protection hidden="1"/>
    </xf>
    <xf numFmtId="0" fontId="4" fillId="0" borderId="32" xfId="0" applyFont="1" applyFill="1" applyBorder="1" applyAlignment="1" applyProtection="1">
      <alignment horizontal="center"/>
      <protection hidden="1"/>
    </xf>
    <xf numFmtId="0" fontId="4" fillId="0" borderId="9" xfId="0" applyFont="1" applyBorder="1" applyAlignment="1" applyProtection="1">
      <alignment horizontal="center" vertical="top"/>
      <protection hidden="1"/>
    </xf>
    <xf numFmtId="0" fontId="4" fillId="0" borderId="24"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9" xfId="25" applyFont="1" applyFill="1" applyBorder="1" applyAlignment="1" applyProtection="1">
      <alignment horizontal="center" vertical="top" wrapText="1"/>
      <protection hidden="1"/>
    </xf>
    <xf numFmtId="0" fontId="4" fillId="0" borderId="23" xfId="0" applyFont="1" applyBorder="1" applyAlignment="1" applyProtection="1">
      <alignment horizontal="center" wrapText="1"/>
      <protection hidden="1"/>
    </xf>
    <xf numFmtId="0" fontId="4" fillId="0" borderId="23" xfId="0" applyFont="1" applyBorder="1" applyAlignment="1" applyProtection="1">
      <alignment horizontal="center" vertical="center" wrapText="1"/>
      <protection hidden="1"/>
    </xf>
    <xf numFmtId="0" fontId="0" fillId="0" borderId="41" xfId="0" applyBorder="1" applyProtection="1">
      <protection hidden="1"/>
    </xf>
    <xf numFmtId="0" fontId="2" fillId="0" borderId="41" xfId="0" applyFont="1" applyBorder="1" applyAlignment="1" applyProtection="1">
      <alignment horizontal="center"/>
      <protection hidden="1"/>
    </xf>
    <xf numFmtId="0" fontId="46" fillId="0" borderId="1" xfId="0" applyFont="1" applyBorder="1" applyAlignment="1" applyProtection="1">
      <alignment horizontal="center"/>
      <protection hidden="1"/>
    </xf>
    <xf numFmtId="0" fontId="4" fillId="0" borderId="9" xfId="0" applyFont="1" applyBorder="1" applyAlignment="1" applyProtection="1">
      <alignment horizontal="center"/>
      <protection hidden="1"/>
    </xf>
    <xf numFmtId="0" fontId="4" fillId="0" borderId="41" xfId="0" applyFont="1" applyBorder="1" applyAlignment="1" applyProtection="1">
      <alignment horizontal="center"/>
      <protection hidden="1"/>
    </xf>
    <xf numFmtId="0" fontId="4" fillId="0" borderId="39" xfId="0" applyFont="1" applyBorder="1" applyAlignment="1" applyProtection="1">
      <alignment horizontal="center"/>
      <protection hidden="1"/>
    </xf>
    <xf numFmtId="0" fontId="4" fillId="0" borderId="41" xfId="25" applyFont="1" applyFill="1" applyBorder="1" applyAlignment="1" applyProtection="1">
      <alignment horizontal="center"/>
      <protection hidden="1"/>
    </xf>
    <xf numFmtId="0" fontId="4" fillId="0" borderId="40" xfId="0" applyFont="1" applyBorder="1" applyAlignment="1" applyProtection="1">
      <alignment horizontal="center"/>
      <protection hidden="1"/>
    </xf>
    <xf numFmtId="0" fontId="4" fillId="0" borderId="23" xfId="0" applyFont="1" applyBorder="1" applyAlignment="1" applyProtection="1">
      <alignment horizontal="center"/>
      <protection hidden="1"/>
    </xf>
    <xf numFmtId="165" fontId="6" fillId="0" borderId="38" xfId="0" applyNumberFormat="1" applyFont="1" applyFill="1" applyBorder="1" applyAlignment="1" applyProtection="1">
      <alignment horizontal="left"/>
      <protection hidden="1"/>
    </xf>
    <xf numFmtId="0" fontId="0" fillId="0" borderId="38" xfId="0" applyBorder="1" applyProtection="1">
      <protection hidden="1"/>
    </xf>
    <xf numFmtId="0" fontId="2" fillId="0" borderId="38" xfId="0" applyFont="1" applyBorder="1" applyProtection="1">
      <protection hidden="1"/>
    </xf>
    <xf numFmtId="165" fontId="2" fillId="0" borderId="38" xfId="0" applyNumberFormat="1" applyFont="1" applyFill="1" applyBorder="1" applyAlignment="1" applyProtection="1">
      <alignment horizontal="left"/>
      <protection hidden="1"/>
    </xf>
    <xf numFmtId="0" fontId="0" fillId="0" borderId="0" xfId="0" applyFill="1" applyProtection="1">
      <protection hidden="1"/>
    </xf>
    <xf numFmtId="0" fontId="47" fillId="0" borderId="39" xfId="0" applyFont="1" applyBorder="1" applyAlignment="1" applyProtection="1">
      <alignment horizontal="center"/>
      <protection hidden="1"/>
    </xf>
    <xf numFmtId="0" fontId="4" fillId="0" borderId="9" xfId="0" applyFont="1" applyFill="1" applyBorder="1" applyAlignment="1" applyProtection="1">
      <alignment horizontal="center" vertical="center"/>
      <protection hidden="1"/>
    </xf>
    <xf numFmtId="0" fontId="2" fillId="0" borderId="24" xfId="0" applyFont="1" applyBorder="1" applyAlignment="1" applyProtection="1">
      <alignment horizontal="center"/>
      <protection hidden="1"/>
    </xf>
    <xf numFmtId="0" fontId="2" fillId="0" borderId="38" xfId="0" applyFont="1" applyFill="1" applyBorder="1" applyAlignment="1" applyProtection="1">
      <alignment horizontal="center"/>
      <protection hidden="1"/>
    </xf>
    <xf numFmtId="0" fontId="61" fillId="33" borderId="0" xfId="0" applyFont="1" applyFill="1" applyBorder="1" applyProtection="1">
      <protection hidden="1"/>
    </xf>
    <xf numFmtId="0" fontId="63" fillId="33" borderId="0" xfId="0" applyFont="1" applyFill="1" applyBorder="1" applyProtection="1">
      <protection hidden="1"/>
    </xf>
    <xf numFmtId="0" fontId="71" fillId="33" borderId="0" xfId="0" applyFont="1" applyFill="1" applyBorder="1" applyAlignment="1" applyProtection="1">
      <alignment wrapText="1"/>
      <protection hidden="1"/>
    </xf>
    <xf numFmtId="0" fontId="2" fillId="0" borderId="0" xfId="0" applyFont="1" applyBorder="1" applyProtection="1">
      <protection hidden="1"/>
    </xf>
    <xf numFmtId="0" fontId="2" fillId="0" borderId="0" xfId="0" applyFont="1" applyBorder="1" applyAlignment="1" applyProtection="1">
      <alignment vertical="top" wrapText="1"/>
      <protection hidden="1"/>
    </xf>
    <xf numFmtId="165" fontId="20" fillId="0" borderId="0" xfId="0" applyNumberFormat="1" applyFont="1" applyBorder="1" applyAlignment="1" applyProtection="1">
      <alignment horizontal="center" vertical="top"/>
      <protection hidden="1"/>
    </xf>
    <xf numFmtId="2" fontId="20" fillId="0" borderId="0" xfId="0" applyNumberFormat="1" applyFont="1" applyBorder="1" applyAlignment="1" applyProtection="1">
      <alignment horizontal="center" vertical="top"/>
      <protection hidden="1"/>
    </xf>
    <xf numFmtId="1" fontId="2" fillId="0" borderId="0" xfId="0" applyNumberFormat="1" applyFont="1" applyBorder="1" applyAlignment="1" applyProtection="1">
      <alignment horizontal="center" vertical="top"/>
      <protection hidden="1"/>
    </xf>
    <xf numFmtId="0" fontId="20" fillId="0" borderId="0" xfId="0" applyFont="1" applyBorder="1" applyAlignment="1" applyProtection="1">
      <alignment vertical="top" wrapText="1"/>
      <protection hidden="1"/>
    </xf>
    <xf numFmtId="0" fontId="2" fillId="0" borderId="0" xfId="0" quotePrefix="1" applyFont="1" applyBorder="1" applyAlignment="1" applyProtection="1">
      <alignment vertical="top" wrapText="1"/>
      <protection hidden="1"/>
    </xf>
    <xf numFmtId="0" fontId="20" fillId="0" borderId="0" xfId="0" applyFont="1" applyBorder="1" applyAlignment="1" applyProtection="1">
      <alignment horizontal="center" vertical="top"/>
      <protection hidden="1"/>
    </xf>
    <xf numFmtId="165" fontId="2" fillId="0" borderId="0" xfId="0" applyNumberFormat="1" applyFont="1" applyBorder="1" applyAlignment="1" applyProtection="1">
      <alignment horizontal="center" vertical="top"/>
      <protection hidden="1"/>
    </xf>
    <xf numFmtId="2" fontId="2" fillId="0" borderId="0" xfId="0" applyNumberFormat="1" applyFont="1" applyBorder="1" applyAlignment="1" applyProtection="1">
      <alignment horizontal="center" vertical="top"/>
      <protection hidden="1"/>
    </xf>
    <xf numFmtId="0" fontId="10" fillId="0" borderId="0" xfId="0" applyFont="1" applyBorder="1" applyAlignment="1" applyProtection="1">
      <alignment vertical="top" wrapText="1"/>
      <protection hidden="1"/>
    </xf>
    <xf numFmtId="165" fontId="10" fillId="0" borderId="0" xfId="0" applyNumberFormat="1" applyFont="1" applyBorder="1" applyAlignment="1" applyProtection="1">
      <alignment horizontal="center" vertical="top"/>
      <protection hidden="1"/>
    </xf>
    <xf numFmtId="2" fontId="10" fillId="0" borderId="0" xfId="0" applyNumberFormat="1" applyFont="1" applyBorder="1" applyAlignment="1" applyProtection="1">
      <alignment horizontal="center" vertical="top"/>
      <protection hidden="1"/>
    </xf>
    <xf numFmtId="0" fontId="7" fillId="0" borderId="0" xfId="0" applyFont="1" applyAlignment="1" applyProtection="1">
      <protection hidden="1"/>
    </xf>
    <xf numFmtId="0" fontId="6" fillId="0" borderId="0" xfId="0" applyFont="1" applyProtection="1">
      <protection hidden="1"/>
    </xf>
    <xf numFmtId="0" fontId="4" fillId="0" borderId="0" xfId="0" applyFont="1" applyProtection="1">
      <protection hidden="1"/>
    </xf>
    <xf numFmtId="0" fontId="47" fillId="0" borderId="24" xfId="0" applyFont="1" applyBorder="1" applyAlignment="1" applyProtection="1">
      <alignment horizontal="center"/>
      <protection hidden="1"/>
    </xf>
    <xf numFmtId="0" fontId="4" fillId="0" borderId="24" xfId="0" applyFont="1" applyFill="1" applyBorder="1" applyAlignment="1" applyProtection="1">
      <alignment horizontal="center" vertical="center"/>
      <protection hidden="1"/>
    </xf>
    <xf numFmtId="0" fontId="4" fillId="0" borderId="9" xfId="0" applyFont="1" applyFill="1" applyBorder="1" applyAlignment="1" applyProtection="1">
      <alignment horizontal="center"/>
      <protection hidden="1"/>
    </xf>
    <xf numFmtId="0" fontId="25" fillId="0" borderId="0" xfId="25" applyFont="1" applyFill="1" applyBorder="1" applyAlignment="1" applyProtection="1">
      <alignment horizontal="center" wrapText="1"/>
    </xf>
    <xf numFmtId="0" fontId="34" fillId="0" borderId="0" xfId="0" applyFont="1" applyAlignment="1" applyProtection="1">
      <alignment horizontal="left" vertical="center"/>
      <protection hidden="1"/>
    </xf>
    <xf numFmtId="0" fontId="4" fillId="0" borderId="33" xfId="0" applyFont="1" applyBorder="1" applyAlignment="1" applyProtection="1">
      <alignment horizontal="center"/>
      <protection hidden="1"/>
    </xf>
    <xf numFmtId="0" fontId="4" fillId="0" borderId="30" xfId="24" applyFont="1" applyFill="1" applyBorder="1" applyAlignment="1" applyProtection="1">
      <alignment horizontal="center"/>
      <protection hidden="1"/>
    </xf>
    <xf numFmtId="1" fontId="4" fillId="0" borderId="30" xfId="24" applyNumberFormat="1" applyFont="1" applyFill="1" applyBorder="1" applyAlignment="1" applyProtection="1">
      <alignment horizontal="center"/>
      <protection hidden="1"/>
    </xf>
    <xf numFmtId="1" fontId="4" fillId="0" borderId="32" xfId="24" applyNumberFormat="1" applyFont="1" applyFill="1" applyBorder="1" applyAlignment="1" applyProtection="1">
      <alignment horizontal="center" vertical="center"/>
      <protection hidden="1"/>
    </xf>
    <xf numFmtId="0" fontId="7" fillId="0" borderId="0" xfId="0" applyFont="1" applyFill="1" applyBorder="1" applyAlignment="1" applyProtection="1">
      <protection hidden="1"/>
    </xf>
    <xf numFmtId="0" fontId="4" fillId="0" borderId="24" xfId="0" applyFont="1" applyBorder="1" applyAlignment="1" applyProtection="1">
      <alignment horizontal="center"/>
      <protection hidden="1"/>
    </xf>
    <xf numFmtId="0" fontId="4" fillId="0" borderId="9" xfId="24" applyFont="1" applyBorder="1" applyAlignment="1" applyProtection="1">
      <alignment horizontal="center"/>
      <protection hidden="1"/>
    </xf>
    <xf numFmtId="1" fontId="4" fillId="0" borderId="9" xfId="24" applyNumberFormat="1" applyFont="1" applyFill="1" applyBorder="1" applyAlignment="1" applyProtection="1">
      <alignment horizontal="center"/>
      <protection hidden="1"/>
    </xf>
    <xf numFmtId="0" fontId="4" fillId="0" borderId="9" xfId="0" applyFont="1" applyBorder="1" applyAlignment="1" applyProtection="1">
      <alignment horizontal="center" wrapText="1"/>
      <protection hidden="1"/>
    </xf>
    <xf numFmtId="0" fontId="4" fillId="0" borderId="23" xfId="0" applyFont="1" applyBorder="1" applyAlignment="1" applyProtection="1">
      <alignment horizontal="center" vertical="center"/>
      <protection hidden="1"/>
    </xf>
    <xf numFmtId="0" fontId="0" fillId="0" borderId="39" xfId="0" applyBorder="1" applyProtection="1">
      <protection hidden="1"/>
    </xf>
    <xf numFmtId="0" fontId="4" fillId="0" borderId="41" xfId="24" applyFont="1" applyFill="1" applyBorder="1" applyAlignment="1" applyProtection="1">
      <alignment horizontal="center"/>
      <protection hidden="1"/>
    </xf>
    <xf numFmtId="1" fontId="4" fillId="0" borderId="41" xfId="24" applyNumberFormat="1" applyFont="1" applyBorder="1" applyAlignment="1" applyProtection="1">
      <alignment horizontal="center"/>
      <protection hidden="1"/>
    </xf>
    <xf numFmtId="0" fontId="27" fillId="0" borderId="40" xfId="0" applyFont="1" applyBorder="1" applyAlignment="1" applyProtection="1">
      <alignment horizontal="center" vertical="center"/>
      <protection hidden="1"/>
    </xf>
    <xf numFmtId="1" fontId="4" fillId="0" borderId="30" xfId="24" applyNumberFormat="1" applyFont="1" applyFill="1" applyBorder="1" applyAlignment="1" applyProtection="1">
      <alignment horizontal="left"/>
      <protection hidden="1"/>
    </xf>
    <xf numFmtId="0" fontId="4" fillId="0" borderId="9" xfId="0" applyFont="1" applyBorder="1" applyProtection="1">
      <protection hidden="1"/>
    </xf>
    <xf numFmtId="0" fontId="0" fillId="0" borderId="9" xfId="0" applyBorder="1" applyProtection="1">
      <protection hidden="1"/>
    </xf>
    <xf numFmtId="0" fontId="2" fillId="0" borderId="0" xfId="0" applyFont="1" applyFill="1" applyAlignment="1" applyProtection="1">
      <alignment horizontal="left"/>
      <protection hidden="1"/>
    </xf>
    <xf numFmtId="0" fontId="5" fillId="0" borderId="0" xfId="0" applyFont="1" applyAlignment="1" applyProtection="1">
      <alignment vertical="center"/>
      <protection hidden="1"/>
    </xf>
    <xf numFmtId="0" fontId="2" fillId="0" borderId="0" xfId="0" applyFont="1" applyAlignment="1" applyProtection="1">
      <protection hidden="1"/>
    </xf>
    <xf numFmtId="0" fontId="0" fillId="0" borderId="0" xfId="0" applyAlignment="1" applyProtection="1">
      <alignment vertical="center"/>
      <protection hidden="1"/>
    </xf>
    <xf numFmtId="0" fontId="2" fillId="0" borderId="0" xfId="0" applyFont="1" applyFill="1" applyBorder="1" applyAlignment="1" applyProtection="1">
      <protection hidden="1"/>
    </xf>
    <xf numFmtId="0" fontId="11" fillId="0" borderId="33" xfId="0" applyFont="1" applyBorder="1" applyAlignment="1" applyProtection="1">
      <alignment horizontal="left" textRotation="90" wrapText="1"/>
      <protection hidden="1"/>
    </xf>
    <xf numFmtId="0" fontId="11" fillId="0" borderId="32" xfId="0" applyFont="1" applyBorder="1" applyAlignment="1" applyProtection="1">
      <alignment textRotation="90" wrapText="1"/>
      <protection hidden="1"/>
    </xf>
    <xf numFmtId="0" fontId="2" fillId="0" borderId="24" xfId="0" applyFont="1" applyBorder="1" applyAlignment="1" applyProtection="1">
      <alignment shrinkToFit="1"/>
      <protection hidden="1"/>
    </xf>
    <xf numFmtId="0" fontId="2" fillId="0" borderId="23" xfId="0" applyFont="1" applyBorder="1" applyProtection="1">
      <protection hidden="1"/>
    </xf>
    <xf numFmtId="0" fontId="2" fillId="0" borderId="46" xfId="0" applyFont="1" applyFill="1" applyBorder="1" applyAlignment="1" applyProtection="1">
      <alignment vertical="center"/>
      <protection hidden="1"/>
    </xf>
    <xf numFmtId="0" fontId="2" fillId="0" borderId="45" xfId="0" applyFont="1" applyFill="1" applyBorder="1" applyAlignment="1" applyProtection="1">
      <alignment vertical="center"/>
      <protection hidden="1"/>
    </xf>
    <xf numFmtId="0" fontId="0" fillId="0" borderId="9" xfId="0" applyBorder="1" applyAlignment="1" applyProtection="1">
      <alignment horizontal="center"/>
      <protection hidden="1"/>
    </xf>
    <xf numFmtId="0" fontId="2" fillId="0" borderId="9" xfId="0" applyFont="1" applyBorder="1" applyAlignment="1" applyProtection="1">
      <alignment horizontal="center" textRotation="90"/>
      <protection hidden="1"/>
    </xf>
    <xf numFmtId="0" fontId="2" fillId="2" borderId="0" xfId="0" applyFont="1" applyFill="1" applyBorder="1" applyAlignment="1" applyProtection="1">
      <alignment horizontal="center" textRotation="90" wrapText="1"/>
      <protection hidden="1"/>
    </xf>
    <xf numFmtId="0" fontId="2" fillId="0" borderId="9" xfId="0" applyFont="1" applyBorder="1" applyAlignment="1" applyProtection="1">
      <alignment horizontal="center" textRotation="90" wrapText="1"/>
      <protection hidden="1"/>
    </xf>
    <xf numFmtId="0" fontId="2" fillId="0" borderId="9"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2" fillId="0" borderId="30" xfId="0" applyFont="1" applyFill="1" applyBorder="1" applyAlignment="1" applyProtection="1">
      <alignment horizontal="center" textRotation="90" wrapText="1"/>
      <protection hidden="1"/>
    </xf>
    <xf numFmtId="0" fontId="2" fillId="0" borderId="24" xfId="0" applyFont="1" applyBorder="1" applyAlignment="1" applyProtection="1">
      <alignment horizontal="center" wrapText="1"/>
      <protection hidden="1"/>
    </xf>
    <xf numFmtId="0" fontId="2" fillId="0" borderId="23" xfId="0" applyFont="1" applyBorder="1" applyAlignment="1" applyProtection="1">
      <alignment horizontal="center" textRotation="90" wrapText="1"/>
      <protection hidden="1"/>
    </xf>
    <xf numFmtId="0" fontId="2" fillId="0" borderId="24" xfId="0" applyFont="1" applyBorder="1" applyAlignment="1" applyProtection="1">
      <alignment horizontal="center" textRotation="90" wrapText="1"/>
      <protection hidden="1"/>
    </xf>
    <xf numFmtId="0" fontId="2" fillId="0" borderId="30" xfId="0" applyFont="1" applyBorder="1" applyAlignment="1" applyProtection="1">
      <alignment horizontal="center" textRotation="90"/>
      <protection hidden="1"/>
    </xf>
    <xf numFmtId="0" fontId="2" fillId="0" borderId="32" xfId="0" applyFont="1" applyBorder="1" applyAlignment="1" applyProtection="1">
      <alignment horizontal="center" wrapText="1"/>
      <protection hidden="1"/>
    </xf>
    <xf numFmtId="0" fontId="2" fillId="0" borderId="29"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2" fillId="0" borderId="41" xfId="0" applyFont="1" applyBorder="1" applyAlignment="1" applyProtection="1">
      <alignment horizontal="center" vertical="center"/>
      <protection hidden="1"/>
    </xf>
    <xf numFmtId="0" fontId="27" fillId="0" borderId="41" xfId="0" applyFont="1" applyBorder="1" applyAlignment="1" applyProtection="1">
      <alignment horizontal="center" shrinkToFit="1"/>
      <protection hidden="1"/>
    </xf>
    <xf numFmtId="0" fontId="27" fillId="2" borderId="0" xfId="0" applyFont="1" applyFill="1" applyBorder="1" applyAlignment="1" applyProtection="1">
      <alignment horizontal="center" shrinkToFit="1"/>
      <protection hidden="1"/>
    </xf>
    <xf numFmtId="0" fontId="27" fillId="0" borderId="39" xfId="0" applyFont="1" applyBorder="1" applyAlignment="1" applyProtection="1">
      <alignment horizontal="center" shrinkToFit="1"/>
      <protection hidden="1"/>
    </xf>
    <xf numFmtId="0" fontId="27" fillId="0" borderId="40" xfId="0" applyFont="1" applyBorder="1" applyAlignment="1" applyProtection="1">
      <alignment horizontal="center" shrinkToFit="1"/>
      <protection hidden="1"/>
    </xf>
    <xf numFmtId="0" fontId="2"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2" fillId="0" borderId="40" xfId="0" applyFont="1" applyBorder="1" applyAlignment="1" applyProtection="1">
      <alignment horizontal="center"/>
      <protection hidden="1"/>
    </xf>
    <xf numFmtId="0" fontId="2" fillId="0" borderId="0" xfId="0" applyFont="1" applyBorder="1" applyAlignment="1" applyProtection="1">
      <alignment horizontal="center"/>
      <protection hidden="1"/>
    </xf>
    <xf numFmtId="0" fontId="30" fillId="0" borderId="0" xfId="0" applyFont="1" applyAlignment="1" applyProtection="1">
      <alignment horizontal="left"/>
      <protection hidden="1"/>
    </xf>
    <xf numFmtId="0" fontId="0" fillId="0" borderId="0" xfId="0" applyAlignment="1" applyProtection="1">
      <alignment horizontal="center"/>
      <protection hidden="1"/>
    </xf>
    <xf numFmtId="0" fontId="30" fillId="0" borderId="0" xfId="0" applyFont="1" applyAlignment="1" applyProtection="1">
      <alignment horizontal="center"/>
      <protection hidden="1"/>
    </xf>
    <xf numFmtId="0" fontId="0" fillId="0" borderId="0" xfId="0" applyAlignment="1" applyProtection="1">
      <protection hidden="1"/>
    </xf>
    <xf numFmtId="0" fontId="2" fillId="0" borderId="0" xfId="0" applyFont="1" applyAlignment="1" applyProtection="1">
      <alignment horizontal="right"/>
      <protection hidden="1"/>
    </xf>
    <xf numFmtId="0" fontId="5" fillId="0" borderId="0" xfId="0" applyFont="1" applyAlignment="1" applyProtection="1">
      <alignment horizontal="center" vertical="center"/>
      <protection hidden="1"/>
    </xf>
    <xf numFmtId="0" fontId="2"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6" fillId="0" borderId="0" xfId="0" applyFont="1" applyAlignment="1" applyProtection="1">
      <alignment horizontal="center"/>
      <protection hidden="1"/>
    </xf>
    <xf numFmtId="0" fontId="0" fillId="28" borderId="0" xfId="0" applyFill="1" applyProtection="1">
      <protection hidden="1"/>
    </xf>
    <xf numFmtId="0" fontId="30"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49" fillId="0" borderId="0" xfId="0" applyFont="1" applyAlignment="1" applyProtection="1">
      <alignment horizontal="left" vertical="center"/>
      <protection hidden="1"/>
    </xf>
    <xf numFmtId="0" fontId="2" fillId="0" borderId="0" xfId="0" applyFont="1" applyAlignment="1" applyProtection="1">
      <alignment horizontal="center" vertical="center"/>
      <protection hidden="1"/>
    </xf>
    <xf numFmtId="0" fontId="22" fillId="0" borderId="0" xfId="0" applyFont="1" applyProtection="1">
      <protection hidden="1"/>
    </xf>
    <xf numFmtId="14" fontId="0" fillId="0" borderId="0" xfId="0" applyNumberFormat="1" applyAlignment="1" applyProtection="1">
      <alignment horizontal="center" vertical="center"/>
      <protection hidden="1"/>
    </xf>
    <xf numFmtId="0" fontId="30" fillId="0" borderId="0" xfId="0" applyFont="1" applyAlignment="1" applyProtection="1">
      <alignment horizontal="center" vertical="center"/>
      <protection hidden="1"/>
    </xf>
    <xf numFmtId="0" fontId="2"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5"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2" fillId="0" borderId="38" xfId="0" applyNumberFormat="1" applyFont="1" applyFill="1" applyBorder="1" applyAlignment="1" applyProtection="1">
      <alignment horizontal="center" vertical="center"/>
      <protection hidden="1"/>
    </xf>
    <xf numFmtId="0" fontId="49" fillId="0" borderId="0" xfId="0" applyFont="1" applyAlignment="1" applyProtection="1">
      <alignment horizontal="right"/>
      <protection hidden="1"/>
    </xf>
    <xf numFmtId="0" fontId="49" fillId="0" borderId="0" xfId="0" applyFont="1" applyAlignment="1" applyProtection="1">
      <alignment horizontal="left"/>
      <protection hidden="1"/>
    </xf>
    <xf numFmtId="0" fontId="30"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1" fillId="0" borderId="38" xfId="0" applyFont="1" applyBorder="1" applyAlignment="1" applyProtection="1">
      <alignment horizontal="center" vertical="center"/>
      <protection hidden="1"/>
    </xf>
    <xf numFmtId="0" fontId="5" fillId="0" borderId="0" xfId="0" applyFont="1" applyAlignment="1" applyProtection="1">
      <alignment horizontal="right"/>
      <protection hidden="1"/>
    </xf>
    <xf numFmtId="0" fontId="2" fillId="0" borderId="40" xfId="0" applyFont="1" applyBorder="1" applyAlignment="1">
      <alignment horizontal="center" vertical="center"/>
    </xf>
    <xf numFmtId="0" fontId="2" fillId="0" borderId="0" xfId="0" applyFont="1" applyAlignment="1" applyProtection="1">
      <alignment horizontal="left"/>
      <protection hidden="1"/>
    </xf>
    <xf numFmtId="0" fontId="46" fillId="0" borderId="0" xfId="0" applyFont="1" applyProtection="1">
      <protection hidden="1"/>
    </xf>
    <xf numFmtId="0" fontId="47" fillId="0" borderId="0" xfId="0" applyFont="1" applyAlignment="1" applyProtection="1">
      <alignment vertical="top"/>
      <protection hidden="1"/>
    </xf>
    <xf numFmtId="0" fontId="2"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7" fillId="0" borderId="0" xfId="0" applyFont="1" applyAlignment="1" applyProtection="1">
      <alignment vertical="center"/>
      <protection hidden="1"/>
    </xf>
    <xf numFmtId="0" fontId="2"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6" xfId="0" applyBorder="1" applyAlignment="1" applyProtection="1">
      <alignment horizontal="left" vertical="center"/>
      <protection hidden="1"/>
    </xf>
    <xf numFmtId="0" fontId="0" fillId="0" borderId="43"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1" borderId="38" xfId="0" applyFill="1" applyBorder="1" applyAlignment="1" applyProtection="1">
      <alignment horizontal="center" vertical="center"/>
      <protection hidden="1"/>
    </xf>
    <xf numFmtId="0" fontId="0" fillId="21" borderId="38" xfId="0" applyFill="1" applyBorder="1" applyAlignment="1" applyProtection="1">
      <alignment horizontal="left" vertical="center"/>
      <protection hidden="1"/>
    </xf>
    <xf numFmtId="0" fontId="2" fillId="8" borderId="46" xfId="0" applyFont="1" applyFill="1" applyBorder="1" applyProtection="1">
      <protection hidden="1"/>
    </xf>
    <xf numFmtId="0" fontId="0" fillId="8" borderId="43" xfId="0" applyFill="1" applyBorder="1" applyAlignment="1" applyProtection="1">
      <alignment horizontal="center" vertical="center"/>
      <protection hidden="1"/>
    </xf>
    <xf numFmtId="0" fontId="0" fillId="8" borderId="45"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6"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6" xfId="0" applyFill="1" applyBorder="1" applyProtection="1">
      <protection hidden="1"/>
    </xf>
    <xf numFmtId="0" fontId="0" fillId="8" borderId="45"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3" fillId="0" borderId="0" xfId="0" applyFont="1" applyAlignment="1" applyProtection="1">
      <alignment horizontal="left" vertical="center"/>
      <protection hidden="1"/>
    </xf>
    <xf numFmtId="0" fontId="7" fillId="0" borderId="0" xfId="0" applyFont="1" applyProtection="1">
      <protection hidden="1"/>
    </xf>
    <xf numFmtId="0" fontId="0" fillId="11" borderId="43" xfId="0" applyFill="1" applyBorder="1" applyAlignment="1" applyProtection="1">
      <alignment horizontal="left" vertical="center"/>
      <protection hidden="1"/>
    </xf>
    <xf numFmtId="0" fontId="0" fillId="11" borderId="43"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5"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5" fillId="0" borderId="0" xfId="0" applyFont="1" applyAlignment="1" applyProtection="1">
      <alignment horizontal="center"/>
      <protection hidden="1"/>
    </xf>
    <xf numFmtId="0" fontId="5"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2" fillId="0" borderId="0" xfId="0" applyNumberFormat="1" applyFont="1" applyAlignment="1" applyProtection="1">
      <alignment horizontal="left"/>
      <protection hidden="1"/>
    </xf>
    <xf numFmtId="0" fontId="2" fillId="8" borderId="30" xfId="0" applyFont="1" applyFill="1" applyBorder="1" applyAlignment="1" applyProtection="1">
      <alignment vertical="center" wrapText="1"/>
      <protection hidden="1"/>
    </xf>
    <xf numFmtId="0" fontId="2" fillId="8" borderId="32" xfId="0" applyFont="1" applyFill="1" applyBorder="1" applyAlignment="1" applyProtection="1">
      <alignment horizontal="center" textRotation="90" wrapText="1"/>
      <protection hidden="1"/>
    </xf>
    <xf numFmtId="0" fontId="2" fillId="8" borderId="9" xfId="0" applyFont="1" applyFill="1" applyBorder="1" applyAlignment="1" applyProtection="1">
      <alignment vertical="center" wrapText="1"/>
      <protection hidden="1"/>
    </xf>
    <xf numFmtId="0" fontId="2" fillId="8" borderId="23" xfId="0" applyFont="1" applyFill="1" applyBorder="1" applyAlignment="1" applyProtection="1">
      <alignment horizontal="center" textRotation="90" wrapText="1"/>
      <protection hidden="1"/>
    </xf>
    <xf numFmtId="0" fontId="2" fillId="8" borderId="9" xfId="0" applyFont="1" applyFill="1" applyBorder="1" applyAlignment="1" applyProtection="1">
      <alignment horizontal="center" vertical="center" wrapText="1"/>
      <protection hidden="1"/>
    </xf>
    <xf numFmtId="0" fontId="2" fillId="8" borderId="41" xfId="0" applyFont="1" applyFill="1" applyBorder="1" applyAlignment="1" applyProtection="1">
      <alignment horizontal="center" vertical="center" wrapText="1"/>
      <protection hidden="1"/>
    </xf>
    <xf numFmtId="0" fontId="2" fillId="8" borderId="40" xfId="0" applyFont="1" applyFill="1" applyBorder="1" applyAlignment="1" applyProtection="1">
      <alignment horizontal="center" textRotation="90" wrapText="1"/>
      <protection hidden="1"/>
    </xf>
    <xf numFmtId="0" fontId="0" fillId="0" borderId="85" xfId="0" applyBorder="1" applyAlignment="1" applyProtection="1">
      <alignment horizontal="center" vertical="center" shrinkToFit="1"/>
      <protection hidden="1"/>
    </xf>
    <xf numFmtId="0" fontId="0" fillId="0" borderId="91" xfId="0" applyBorder="1" applyAlignment="1" applyProtection="1">
      <alignment horizontal="center" vertical="center" shrinkToFit="1"/>
      <protection hidden="1"/>
    </xf>
    <xf numFmtId="0" fontId="49" fillId="0" borderId="0" xfId="0" applyFont="1" applyAlignment="1" applyProtection="1">
      <protection hidden="1"/>
    </xf>
    <xf numFmtId="0" fontId="49" fillId="0" borderId="0" xfId="0" applyFont="1" applyAlignment="1" applyProtection="1">
      <alignment horizontal="center"/>
      <protection hidden="1"/>
    </xf>
    <xf numFmtId="1" fontId="0" fillId="0" borderId="0" xfId="0" applyNumberFormat="1" applyProtection="1">
      <protection hidden="1"/>
    </xf>
    <xf numFmtId="0" fontId="30"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6" fillId="0" borderId="0" xfId="0" applyFont="1" applyAlignment="1" applyProtection="1">
      <protection hidden="1"/>
    </xf>
    <xf numFmtId="0" fontId="46" fillId="0" borderId="0" xfId="0" applyFont="1" applyAlignment="1" applyProtection="1">
      <alignment vertical="center"/>
      <protection hidden="1"/>
    </xf>
    <xf numFmtId="0" fontId="4" fillId="0" borderId="0" xfId="0" applyFont="1" applyFill="1" applyAlignment="1" applyProtection="1">
      <alignment horizontal="center"/>
      <protection hidden="1"/>
    </xf>
    <xf numFmtId="0" fontId="4" fillId="0" borderId="0" xfId="0" applyFont="1" applyFill="1" applyProtection="1">
      <protection hidden="1"/>
    </xf>
    <xf numFmtId="0" fontId="2"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5" xfId="0" applyNumberFormat="1" applyFont="1" applyBorder="1" applyAlignment="1" applyProtection="1">
      <alignment horizontal="center" vertical="center" shrinkToFit="1"/>
      <protection hidden="1"/>
    </xf>
    <xf numFmtId="0" fontId="0" fillId="0" borderId="84" xfId="0" applyBorder="1" applyAlignment="1" applyProtection="1">
      <alignment horizontal="center" vertical="center" shrinkToFit="1"/>
      <protection hidden="1"/>
    </xf>
    <xf numFmtId="1" fontId="34" fillId="0" borderId="91"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5" fillId="0" borderId="0" xfId="0" applyFont="1" applyProtection="1">
      <protection hidden="1"/>
    </xf>
    <xf numFmtId="0" fontId="4"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2" fillId="0" borderId="2" xfId="0" applyFont="1" applyBorder="1" applyProtection="1">
      <protection hidden="1"/>
    </xf>
    <xf numFmtId="0" fontId="0" fillId="0" borderId="6" xfId="0" applyBorder="1" applyProtection="1">
      <protection hidden="1"/>
    </xf>
    <xf numFmtId="0" fontId="2" fillId="0" borderId="15" xfId="0" applyFont="1" applyBorder="1" applyAlignment="1" applyProtection="1">
      <alignment vertical="center"/>
      <protection hidden="1"/>
    </xf>
    <xf numFmtId="0" fontId="0" fillId="0" borderId="3" xfId="0" applyBorder="1" applyProtection="1">
      <protection hidden="1"/>
    </xf>
    <xf numFmtId="0" fontId="2" fillId="0" borderId="10"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1" fontId="0" fillId="0" borderId="71" xfId="0" applyNumberFormat="1" applyBorder="1" applyAlignment="1" applyProtection="1">
      <alignment horizontal="center" vertical="center"/>
      <protection hidden="1"/>
    </xf>
    <xf numFmtId="1" fontId="0" fillId="0" borderId="63" xfId="0" applyNumberFormat="1" applyBorder="1" applyAlignment="1" applyProtection="1">
      <alignment horizontal="center" vertical="center"/>
      <protection hidden="1"/>
    </xf>
    <xf numFmtId="1" fontId="0" fillId="0" borderId="80" xfId="0" applyNumberFormat="1" applyBorder="1" applyAlignment="1" applyProtection="1">
      <alignment horizontal="center" vertical="center"/>
      <protection hidden="1"/>
    </xf>
    <xf numFmtId="1" fontId="0" fillId="0" borderId="103" xfId="0" applyNumberFormat="1" applyBorder="1" applyAlignment="1" applyProtection="1">
      <alignment horizontal="center" vertical="center"/>
      <protection hidden="1"/>
    </xf>
    <xf numFmtId="0" fontId="0" fillId="0" borderId="5" xfId="0" applyBorder="1" applyProtection="1">
      <protection hidden="1"/>
    </xf>
    <xf numFmtId="0" fontId="2" fillId="0" borderId="37" xfId="0" applyFont="1" applyBorder="1" applyAlignment="1" applyProtection="1">
      <alignment horizontal="center" vertical="center"/>
      <protection hidden="1"/>
    </xf>
    <xf numFmtId="0" fontId="0" fillId="0" borderId="7" xfId="0" applyBorder="1" applyProtection="1">
      <protection hidden="1"/>
    </xf>
    <xf numFmtId="0" fontId="2" fillId="0" borderId="24" xfId="0" applyFont="1" applyBorder="1" applyAlignment="1" applyProtection="1">
      <alignment horizontal="center" vertical="center"/>
      <protection hidden="1"/>
    </xf>
    <xf numFmtId="0" fontId="0" fillId="0" borderId="19" xfId="0" applyBorder="1" applyProtection="1">
      <protection hidden="1"/>
    </xf>
    <xf numFmtId="0" fontId="2" fillId="0" borderId="39" xfId="0" applyFont="1" applyBorder="1" applyAlignment="1" applyProtection="1">
      <alignment horizontal="center" vertical="center"/>
      <protection hidden="1"/>
    </xf>
    <xf numFmtId="0" fontId="2" fillId="0" borderId="60" xfId="0" applyFont="1" applyBorder="1" applyAlignment="1" applyProtection="1">
      <alignment horizontal="center" vertical="center"/>
      <protection hidden="1"/>
    </xf>
    <xf numFmtId="0" fontId="2" fillId="0" borderId="20" xfId="0" applyFont="1"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2" fillId="0" borderId="76"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6" xfId="0" applyBorder="1" applyProtection="1">
      <protection hidden="1"/>
    </xf>
    <xf numFmtId="1" fontId="0" fillId="0" borderId="71"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7"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2"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2" fillId="0" borderId="78" xfId="0" applyFont="1" applyBorder="1" applyProtection="1">
      <protection hidden="1"/>
    </xf>
    <xf numFmtId="1" fontId="0" fillId="0" borderId="79" xfId="0" applyNumberFormat="1" applyBorder="1" applyAlignment="1" applyProtection="1">
      <alignment horizontal="center" vertical="center"/>
      <protection hidden="1"/>
    </xf>
    <xf numFmtId="0" fontId="0" fillId="0" borderId="78" xfId="0" applyBorder="1" applyProtection="1">
      <protection hidden="1"/>
    </xf>
    <xf numFmtId="0" fontId="0" fillId="0" borderId="80"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38" xfId="0" applyFont="1" applyFill="1" applyBorder="1" applyAlignment="1" applyProtection="1">
      <alignment horizontal="center" vertical="center"/>
      <protection locked="0"/>
    </xf>
    <xf numFmtId="2" fontId="0" fillId="23" borderId="45" xfId="0" applyNumberFormat="1" applyFill="1" applyBorder="1" applyAlignment="1" applyProtection="1">
      <alignment horizontal="center" vertical="center"/>
      <protection locked="0"/>
    </xf>
    <xf numFmtId="0" fontId="2" fillId="23" borderId="46" xfId="0" applyFont="1" applyFill="1" applyBorder="1" applyAlignment="1" applyProtection="1">
      <alignment horizontal="center" vertical="center" shrinkToFit="1"/>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0" fillId="23" borderId="46" xfId="0" applyFill="1" applyBorder="1" applyAlignment="1" applyProtection="1">
      <alignment horizontal="center" vertical="center" shrinkToFit="1"/>
      <protection locked="0"/>
    </xf>
    <xf numFmtId="0" fontId="0" fillId="23" borderId="38" xfId="0" applyFill="1" applyBorder="1" applyAlignment="1" applyProtection="1">
      <alignment horizontal="center" vertical="center"/>
      <protection locked="0"/>
    </xf>
    <xf numFmtId="0" fontId="2" fillId="23" borderId="43" xfId="0" applyFont="1" applyFill="1" applyBorder="1" applyAlignment="1" applyProtection="1">
      <alignment vertical="center"/>
      <protection locked="0"/>
    </xf>
    <xf numFmtId="165" fontId="2" fillId="23" borderId="38" xfId="0" applyNumberFormat="1" applyFont="1" applyFill="1" applyBorder="1" applyAlignment="1" applyProtection="1">
      <alignment horizontal="center" vertical="center"/>
      <protection locked="0"/>
    </xf>
    <xf numFmtId="165" fontId="2" fillId="23" borderId="46"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2"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2" fillId="0" borderId="21" xfId="0" applyFont="1" applyBorder="1" applyAlignment="1">
      <alignment vertical="center"/>
    </xf>
    <xf numFmtId="0" fontId="0" fillId="0" borderId="21" xfId="0" applyBorder="1"/>
    <xf numFmtId="0" fontId="0" fillId="0" borderId="16" xfId="0" applyBorder="1"/>
    <xf numFmtId="0" fontId="4" fillId="8" borderId="2" xfId="0" applyFont="1" applyFill="1" applyBorder="1"/>
    <xf numFmtId="0" fontId="0" fillId="8" borderId="6" xfId="0" applyFill="1" applyBorder="1"/>
    <xf numFmtId="0" fontId="2" fillId="8" borderId="6" xfId="0" applyFont="1" applyFill="1" applyBorder="1"/>
    <xf numFmtId="0" fontId="0" fillId="8" borderId="15" xfId="0" applyFill="1" applyBorder="1"/>
    <xf numFmtId="0" fontId="0" fillId="8" borderId="58" xfId="0" applyFill="1" applyBorder="1"/>
    <xf numFmtId="0" fontId="0" fillId="8" borderId="1" xfId="0" applyFill="1" applyBorder="1"/>
    <xf numFmtId="0" fontId="0" fillId="8" borderId="20" xfId="0" applyFill="1" applyBorder="1"/>
    <xf numFmtId="0" fontId="2" fillId="0" borderId="64" xfId="0" applyFont="1" applyBorder="1"/>
    <xf numFmtId="0" fontId="2" fillId="0" borderId="63" xfId="0" applyFont="1" applyBorder="1"/>
    <xf numFmtId="0" fontId="2" fillId="0" borderId="64" xfId="0" applyFont="1" applyBorder="1" applyAlignment="1">
      <alignment vertical="center"/>
    </xf>
    <xf numFmtId="0" fontId="0" fillId="0" borderId="43" xfId="0" applyBorder="1" applyAlignment="1">
      <alignment vertical="center"/>
    </xf>
    <xf numFmtId="1" fontId="0" fillId="0" borderId="43" xfId="0" applyNumberFormat="1" applyBorder="1" applyAlignment="1">
      <alignment horizontal="right" vertical="center"/>
    </xf>
    <xf numFmtId="0" fontId="2" fillId="0" borderId="43" xfId="0" applyFont="1" applyBorder="1" applyAlignment="1">
      <alignment vertical="center"/>
    </xf>
    <xf numFmtId="0" fontId="0" fillId="0" borderId="74" xfId="0" applyBorder="1"/>
    <xf numFmtId="0" fontId="0" fillId="0" borderId="23" xfId="0" applyBorder="1" applyAlignment="1">
      <alignment horizontal="center" vertical="center"/>
    </xf>
    <xf numFmtId="0" fontId="2" fillId="0" borderId="23" xfId="0" applyFont="1" applyBorder="1" applyAlignment="1">
      <alignment horizontal="center" vertical="center"/>
    </xf>
    <xf numFmtId="0" fontId="2" fillId="0" borderId="0" xfId="0" applyFont="1" applyBorder="1" applyAlignment="1">
      <alignment wrapText="1"/>
    </xf>
    <xf numFmtId="0" fontId="2" fillId="0" borderId="0" xfId="0" applyFont="1" applyAlignment="1" applyProtection="1">
      <protection locked="0"/>
    </xf>
    <xf numFmtId="14" fontId="2"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34" fillId="39" borderId="0" xfId="25" applyFont="1" applyFill="1" applyAlignment="1" applyProtection="1">
      <alignment horizontal="left"/>
    </xf>
    <xf numFmtId="0" fontId="8" fillId="39" borderId="0" xfId="0" applyFont="1" applyFill="1" applyBorder="1"/>
    <xf numFmtId="0" fontId="10" fillId="39" borderId="0" xfId="0" applyFont="1" applyFill="1" applyBorder="1" applyAlignment="1">
      <alignment horizontal="center"/>
    </xf>
    <xf numFmtId="0" fontId="9" fillId="39" borderId="0" xfId="0" applyFont="1" applyFill="1" applyBorder="1" applyAlignment="1">
      <alignment horizontal="center"/>
    </xf>
    <xf numFmtId="0" fontId="0" fillId="39" borderId="0" xfId="0" applyFill="1"/>
    <xf numFmtId="0" fontId="0" fillId="39" borderId="0" xfId="0" applyFill="1" applyAlignment="1">
      <alignment horizontal="center"/>
    </xf>
    <xf numFmtId="0" fontId="10" fillId="39" borderId="0" xfId="0" applyFont="1" applyFill="1" applyBorder="1" applyAlignment="1">
      <alignment horizontal="center" vertical="top"/>
    </xf>
    <xf numFmtId="0" fontId="10" fillId="39" borderId="0" xfId="0" applyFont="1" applyFill="1" applyBorder="1"/>
    <xf numFmtId="0" fontId="10" fillId="39" borderId="0" xfId="0" applyFont="1" applyFill="1" applyAlignment="1">
      <alignment horizontal="center"/>
    </xf>
    <xf numFmtId="0" fontId="8" fillId="39" borderId="0" xfId="0" applyFont="1" applyFill="1" applyBorder="1" applyAlignment="1">
      <alignment horizontal="center"/>
    </xf>
    <xf numFmtId="0" fontId="2" fillId="39" borderId="0" xfId="25" applyFill="1" applyProtection="1">
      <protection locked="0"/>
    </xf>
    <xf numFmtId="0" fontId="19" fillId="0" borderId="18" xfId="0" applyFont="1" applyBorder="1" applyAlignment="1"/>
    <xf numFmtId="0" fontId="19" fillId="0" borderId="22" xfId="0" applyFont="1" applyBorder="1" applyAlignment="1">
      <alignment vertical="top"/>
    </xf>
    <xf numFmtId="0" fontId="19" fillId="0" borderId="69" xfId="0" applyFont="1" applyBorder="1" applyAlignment="1">
      <alignment vertical="top"/>
    </xf>
    <xf numFmtId="0" fontId="19" fillId="0" borderId="31"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6" fillId="0" borderId="0" xfId="0" applyFont="1" applyFill="1" applyBorder="1"/>
    <xf numFmtId="0" fontId="2" fillId="0" borderId="1" xfId="0" applyFont="1" applyBorder="1" applyAlignment="1" applyProtection="1">
      <alignment horizontal="left" wrapText="1"/>
      <protection hidden="1"/>
    </xf>
    <xf numFmtId="0" fontId="20" fillId="0" borderId="7" xfId="0" applyFont="1" applyBorder="1" applyProtection="1">
      <protection locked="0"/>
    </xf>
    <xf numFmtId="0" fontId="2" fillId="0" borderId="0" xfId="0" applyFont="1" applyBorder="1" applyAlignment="1" applyProtection="1">
      <alignment horizontal="center"/>
      <protection locked="0"/>
    </xf>
    <xf numFmtId="0" fontId="2" fillId="25" borderId="0" xfId="0" applyFont="1" applyFill="1" applyProtection="1"/>
    <xf numFmtId="0" fontId="2" fillId="25" borderId="0" xfId="0" applyFont="1" applyFill="1" applyBorder="1" applyAlignment="1" applyProtection="1">
      <alignment horizontal="center"/>
    </xf>
    <xf numFmtId="0" fontId="20" fillId="0" borderId="0" xfId="25" applyNumberFormat="1" applyFont="1" applyFill="1" applyBorder="1" applyAlignment="1"/>
    <xf numFmtId="0" fontId="20" fillId="0" borderId="138" xfId="25" applyFont="1" applyBorder="1"/>
    <xf numFmtId="0" fontId="20" fillId="26" borderId="138" xfId="25" applyFont="1" applyFill="1" applyBorder="1"/>
    <xf numFmtId="0" fontId="19" fillId="0" borderId="62" xfId="25" applyFont="1" applyBorder="1"/>
    <xf numFmtId="49" fontId="10" fillId="0" borderId="138" xfId="25" applyNumberFormat="1" applyFont="1" applyBorder="1" applyAlignment="1">
      <alignment horizontal="left"/>
    </xf>
    <xf numFmtId="49" fontId="10" fillId="26" borderId="138" xfId="25" applyNumberFormat="1" applyFont="1" applyFill="1" applyBorder="1" applyAlignment="1">
      <alignment horizontal="left"/>
    </xf>
    <xf numFmtId="0" fontId="20" fillId="26" borderId="138" xfId="25" applyFont="1" applyFill="1" applyBorder="1" applyAlignment="1">
      <alignment horizontal="left"/>
    </xf>
    <xf numFmtId="0" fontId="2" fillId="0" borderId="0" xfId="25" applyFill="1" applyProtection="1">
      <protection hidden="1"/>
    </xf>
    <xf numFmtId="0" fontId="2" fillId="0" borderId="0" xfId="0" applyFont="1" applyFill="1" applyAlignment="1" applyProtection="1">
      <alignment horizontal="center"/>
      <protection locked="0"/>
    </xf>
    <xf numFmtId="0" fontId="20" fillId="0" borderId="0" xfId="25" applyFont="1" applyFill="1" applyBorder="1" applyProtection="1">
      <protection hidden="1"/>
    </xf>
    <xf numFmtId="0" fontId="2" fillId="0" borderId="0" xfId="25" applyFill="1" applyBorder="1" applyAlignment="1" applyProtection="1">
      <alignment horizontal="left"/>
      <protection hidden="1"/>
    </xf>
    <xf numFmtId="1" fontId="2" fillId="0" borderId="0" xfId="0" applyNumberFormat="1" applyFont="1" applyAlignment="1">
      <alignment horizontal="center"/>
    </xf>
    <xf numFmtId="0" fontId="20" fillId="0" borderId="18" xfId="0" applyFont="1" applyFill="1" applyBorder="1" applyAlignment="1">
      <alignment horizontal="center" vertical="top"/>
    </xf>
    <xf numFmtId="0" fontId="10" fillId="0" borderId="7" xfId="0" applyFont="1" applyFill="1" applyBorder="1" applyAlignment="1">
      <alignment horizontal="center" vertical="top"/>
    </xf>
    <xf numFmtId="0" fontId="2" fillId="0" borderId="0" xfId="0" applyFont="1" applyAlignment="1" applyProtection="1">
      <alignment horizontal="left" wrapText="1"/>
      <protection hidden="1"/>
    </xf>
    <xf numFmtId="0" fontId="2" fillId="0" borderId="0" xfId="0" applyFont="1" applyBorder="1" applyAlignment="1">
      <alignment horizontal="left" vertical="center"/>
    </xf>
    <xf numFmtId="0" fontId="20" fillId="0" borderId="0" xfId="25" applyFont="1" applyFill="1" applyBorder="1"/>
    <xf numFmtId="0" fontId="0" fillId="27" borderId="0" xfId="0" applyFill="1" applyBorder="1" applyAlignment="1" applyProtection="1">
      <alignment horizontal="center" vertical="center"/>
    </xf>
    <xf numFmtId="0" fontId="20" fillId="0" borderId="28" xfId="25" applyFont="1" applyBorder="1"/>
    <xf numFmtId="0" fontId="2" fillId="0" borderId="0" xfId="25" applyNumberFormat="1" applyFont="1" applyFill="1" applyBorder="1" applyAlignment="1"/>
    <xf numFmtId="0" fontId="2" fillId="0" borderId="0" xfId="25" applyFont="1" applyFill="1" applyBorder="1" applyAlignment="1" applyProtection="1">
      <alignment horizontal="center"/>
    </xf>
    <xf numFmtId="0" fontId="2" fillId="0" borderId="0" xfId="25" applyNumberFormat="1" applyFont="1" applyFill="1" applyBorder="1" applyAlignment="1">
      <alignment horizontal="left" vertical="center"/>
    </xf>
    <xf numFmtId="1" fontId="2" fillId="0" borderId="0" xfId="25" applyNumberFormat="1" applyFont="1" applyBorder="1" applyAlignment="1">
      <alignment horizontal="center"/>
    </xf>
    <xf numFmtId="2" fontId="2" fillId="0" borderId="0" xfId="0" applyNumberFormat="1" applyFont="1" applyBorder="1" applyAlignment="1">
      <alignment horizontal="center"/>
    </xf>
    <xf numFmtId="0" fontId="2" fillId="0" borderId="0" xfId="25" applyFont="1" applyFill="1" applyBorder="1" applyAlignment="1" applyProtection="1">
      <alignment horizontal="left"/>
    </xf>
    <xf numFmtId="1" fontId="4" fillId="0" borderId="0" xfId="25" applyNumberFormat="1" applyFont="1" applyFill="1" applyBorder="1" applyAlignment="1" applyProtection="1">
      <alignment horizontal="center"/>
    </xf>
    <xf numFmtId="0" fontId="2" fillId="0" borderId="0" xfId="25" applyFont="1" applyFill="1" applyBorder="1" applyAlignment="1" applyProtection="1">
      <alignment horizontal="center"/>
      <protection locked="0"/>
    </xf>
    <xf numFmtId="2" fontId="2" fillId="0" borderId="0" xfId="0" applyNumberFormat="1" applyFont="1" applyFill="1" applyBorder="1" applyAlignment="1" applyProtection="1">
      <alignment horizontal="center"/>
    </xf>
    <xf numFmtId="1" fontId="2" fillId="0" borderId="0" xfId="0" applyNumberFormat="1" applyFont="1" applyFill="1" applyBorder="1" applyAlignment="1" applyProtection="1">
      <alignment horizontal="center"/>
    </xf>
    <xf numFmtId="0" fontId="2" fillId="0" borderId="0" xfId="0" applyNumberFormat="1" applyFont="1" applyBorder="1" applyAlignment="1">
      <alignment horizontal="center"/>
    </xf>
    <xf numFmtId="0" fontId="2" fillId="0" borderId="0" xfId="0" applyNumberFormat="1" applyFont="1" applyBorder="1" applyAlignment="1">
      <alignment horizontal="center" vertical="center"/>
    </xf>
    <xf numFmtId="0" fontId="2" fillId="0" borderId="0" xfId="0" applyNumberFormat="1" applyFont="1" applyFill="1" applyBorder="1" applyAlignment="1">
      <alignment horizontal="center" vertical="center"/>
    </xf>
    <xf numFmtId="168" fontId="2" fillId="0" borderId="0" xfId="50" applyNumberFormat="1" applyFont="1" applyFill="1" applyBorder="1" applyAlignment="1" applyProtection="1">
      <alignment horizontal="center"/>
      <protection locked="0"/>
    </xf>
    <xf numFmtId="2" fontId="2" fillId="0" borderId="0" xfId="25" applyNumberFormat="1" applyFont="1" applyFill="1" applyBorder="1" applyAlignment="1" applyProtection="1">
      <alignment horizontal="center"/>
    </xf>
    <xf numFmtId="2" fontId="2" fillId="0" borderId="0" xfId="25" applyNumberFormat="1" applyFont="1" applyFill="1" applyBorder="1" applyAlignment="1" applyProtection="1">
      <alignment horizontal="center"/>
      <protection locked="0"/>
    </xf>
    <xf numFmtId="1" fontId="2" fillId="0" borderId="0" xfId="25" applyNumberFormat="1" applyFont="1" applyFill="1" applyBorder="1" applyAlignment="1" applyProtection="1">
      <alignment horizontal="center"/>
      <protection locked="0"/>
    </xf>
    <xf numFmtId="0" fontId="2" fillId="0" borderId="0" xfId="0" applyNumberFormat="1" applyFont="1" applyFill="1" applyBorder="1" applyAlignment="1" applyProtection="1">
      <alignment horizontal="center"/>
    </xf>
    <xf numFmtId="0" fontId="2" fillId="0" borderId="0" xfId="0" applyNumberFormat="1" applyFont="1" applyFill="1" applyBorder="1" applyAlignment="1">
      <alignment horizontal="center"/>
    </xf>
    <xf numFmtId="1" fontId="2" fillId="0" borderId="0" xfId="50" applyNumberFormat="1" applyFont="1" applyFill="1" applyBorder="1" applyAlignment="1" applyProtection="1">
      <alignment horizontal="center"/>
      <protection locked="0"/>
    </xf>
    <xf numFmtId="0" fontId="4" fillId="0" borderId="0" xfId="25" applyFont="1" applyFill="1" applyBorder="1" applyProtection="1">
      <protection locked="0"/>
    </xf>
    <xf numFmtId="0" fontId="4" fillId="0" borderId="7" xfId="24" applyFont="1" applyFill="1" applyBorder="1"/>
    <xf numFmtId="0" fontId="25" fillId="0" borderId="9" xfId="25" applyFont="1" applyBorder="1" applyAlignment="1" applyProtection="1">
      <alignment horizontal="center"/>
      <protection locked="0"/>
    </xf>
    <xf numFmtId="0" fontId="4" fillId="0" borderId="18" xfId="25" applyFont="1" applyBorder="1" applyAlignment="1" applyProtection="1">
      <alignment horizontal="center"/>
      <protection locked="0"/>
    </xf>
    <xf numFmtId="0" fontId="4" fillId="0" borderId="7" xfId="25" applyFont="1" applyBorder="1" applyAlignment="1" applyProtection="1">
      <alignment horizontal="center" wrapText="1"/>
      <protection locked="0"/>
    </xf>
    <xf numFmtId="0" fontId="8" fillId="0" borderId="10" xfId="25" applyFont="1" applyBorder="1" applyAlignment="1" applyProtection="1">
      <alignment horizontal="center"/>
      <protection locked="0"/>
    </xf>
    <xf numFmtId="1" fontId="4" fillId="0" borderId="9" xfId="25" applyNumberFormat="1" applyFont="1" applyBorder="1" applyAlignment="1" applyProtection="1">
      <alignment horizontal="center"/>
      <protection locked="0"/>
    </xf>
    <xf numFmtId="1" fontId="4" fillId="0" borderId="10" xfId="25" applyNumberFormat="1" applyFont="1" applyBorder="1" applyAlignment="1" applyProtection="1">
      <alignment horizontal="center"/>
      <protection locked="0"/>
    </xf>
    <xf numFmtId="1" fontId="4" fillId="0" borderId="0" xfId="25" applyNumberFormat="1" applyFont="1" applyFill="1" applyBorder="1" applyAlignment="1" applyProtection="1">
      <alignment horizontal="center"/>
      <protection locked="0"/>
    </xf>
    <xf numFmtId="1"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0" fontId="2" fillId="0" borderId="0" xfId="24" applyFont="1" applyFill="1" applyBorder="1" applyAlignment="1">
      <alignment horizontal="center" vertical="center"/>
    </xf>
    <xf numFmtId="0" fontId="2" fillId="0" borderId="0" xfId="25" applyFill="1" applyBorder="1" applyAlignment="1" applyProtection="1">
      <alignment horizontal="center" vertical="center"/>
      <protection locked="0"/>
    </xf>
    <xf numFmtId="2" fontId="2" fillId="0" borderId="0" xfId="25" applyNumberFormat="1" applyFill="1" applyBorder="1" applyAlignment="1" applyProtection="1">
      <alignment horizontal="center" vertical="center"/>
      <protection locked="0"/>
    </xf>
    <xf numFmtId="2" fontId="2" fillId="0" borderId="0"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165" fontId="3" fillId="0" borderId="0" xfId="24" applyNumberFormat="1" applyFont="1" applyFill="1" applyBorder="1" applyAlignment="1">
      <alignment horizontal="center" vertical="center"/>
    </xf>
    <xf numFmtId="0" fontId="3" fillId="0" borderId="0" xfId="24" applyFont="1" applyFill="1" applyBorder="1" applyAlignment="1">
      <alignment horizontal="center" vertical="center"/>
    </xf>
    <xf numFmtId="1" fontId="3" fillId="0" borderId="0" xfId="24" applyNumberFormat="1" applyFont="1" applyFill="1" applyBorder="1" applyAlignment="1">
      <alignment horizontal="center" vertical="center"/>
    </xf>
    <xf numFmtId="0" fontId="4" fillId="0" borderId="0" xfId="25" applyFont="1" applyFill="1" applyBorder="1" applyAlignment="1">
      <alignment horizontal="center" vertical="center"/>
    </xf>
    <xf numFmtId="0" fontId="2" fillId="0" borderId="0" xfId="25" applyFont="1" applyFill="1" applyBorder="1" applyAlignment="1">
      <alignment horizontal="center" vertical="center"/>
    </xf>
    <xf numFmtId="0" fontId="4" fillId="0" borderId="0" xfId="24" quotePrefix="1" applyFont="1" applyFill="1" applyBorder="1" applyAlignment="1">
      <alignment horizontal="center" vertical="center"/>
    </xf>
    <xf numFmtId="0" fontId="3"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2" fillId="0" borderId="0" xfId="25" applyNumberFormat="1" applyFont="1" applyBorder="1" applyAlignment="1" applyProtection="1">
      <alignment horizontal="center"/>
    </xf>
    <xf numFmtId="0" fontId="27" fillId="0" borderId="0" xfId="0" applyFont="1" applyFill="1" applyBorder="1" applyProtection="1"/>
    <xf numFmtId="0" fontId="2" fillId="0" borderId="0" xfId="0" applyFont="1" applyAlignment="1">
      <alignment horizontal="center"/>
    </xf>
    <xf numFmtId="0" fontId="0" fillId="0" borderId="0" xfId="0" applyAlignment="1">
      <alignment horizontal="center" wrapText="1"/>
    </xf>
    <xf numFmtId="0" fontId="2" fillId="12" borderId="0" xfId="0" applyFont="1" applyFill="1" applyAlignment="1">
      <alignment horizontal="center"/>
    </xf>
    <xf numFmtId="0" fontId="2" fillId="0" borderId="0" xfId="0" applyFont="1" applyAlignment="1" applyProtection="1">
      <alignment wrapText="1"/>
      <protection hidden="1"/>
    </xf>
    <xf numFmtId="0" fontId="0" fillId="0" borderId="0" xfId="0" applyAlignment="1">
      <alignment horizontal="center"/>
    </xf>
    <xf numFmtId="165" fontId="0" fillId="0" borderId="85" xfId="0" applyNumberFormat="1" applyBorder="1" applyAlignment="1" applyProtection="1">
      <alignment horizontal="center" vertical="center" shrinkToFit="1"/>
      <protection hidden="1"/>
    </xf>
    <xf numFmtId="165" fontId="0" fillId="0" borderId="91" xfId="0" applyNumberFormat="1" applyBorder="1" applyAlignment="1" applyProtection="1">
      <alignment horizontal="center" vertical="center" shrinkToFit="1"/>
      <protection hidden="1"/>
    </xf>
    <xf numFmtId="1" fontId="19" fillId="11" borderId="53" xfId="0" applyNumberFormat="1" applyFont="1" applyFill="1" applyBorder="1" applyAlignment="1">
      <alignment horizontal="center" vertical="center" shrinkToFit="1"/>
    </xf>
    <xf numFmtId="1" fontId="19" fillId="11" borderId="143" xfId="0" applyNumberFormat="1" applyFont="1" applyFill="1" applyBorder="1" applyAlignment="1">
      <alignment horizontal="center" vertical="center" shrinkToFit="1"/>
    </xf>
    <xf numFmtId="165" fontId="0" fillId="0" borderId="96" xfId="0" applyNumberFormat="1" applyBorder="1" applyAlignment="1" applyProtection="1">
      <alignment horizontal="center" vertical="center" shrinkToFit="1"/>
      <protection hidden="1"/>
    </xf>
    <xf numFmtId="165" fontId="0" fillId="0" borderId="137" xfId="0" applyNumberFormat="1" applyBorder="1" applyAlignment="1" applyProtection="1">
      <alignment horizontal="center" vertical="center" shrinkToFit="1"/>
      <protection hidden="1"/>
    </xf>
    <xf numFmtId="0" fontId="0" fillId="0" borderId="86" xfId="0" applyBorder="1" applyAlignment="1" applyProtection="1">
      <alignment horizontal="center" vertical="center" shrinkToFit="1"/>
      <protection hidden="1"/>
    </xf>
    <xf numFmtId="2" fontId="0" fillId="0" borderId="85" xfId="0" applyNumberFormat="1" applyBorder="1" applyAlignment="1" applyProtection="1">
      <alignment horizontal="center" vertical="center" shrinkToFit="1"/>
      <protection hidden="1"/>
    </xf>
    <xf numFmtId="1" fontId="0" fillId="0" borderId="8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2" fontId="0" fillId="0" borderId="91" xfId="0" applyNumberFormat="1" applyBorder="1" applyAlignment="1" applyProtection="1">
      <alignment horizontal="center" vertical="center" shrinkToFit="1"/>
      <protection hidden="1"/>
    </xf>
    <xf numFmtId="1" fontId="0" fillId="0" borderId="91" xfId="0" applyNumberFormat="1" applyBorder="1" applyAlignment="1" applyProtection="1">
      <alignment horizontal="center" vertical="center" shrinkToFit="1"/>
      <protection hidden="1"/>
    </xf>
    <xf numFmtId="1" fontId="0" fillId="0" borderId="101" xfId="0" applyNumberFormat="1" applyBorder="1" applyAlignment="1" applyProtection="1">
      <alignment horizontal="center" vertical="center" shrinkToFit="1"/>
      <protection hidden="1"/>
    </xf>
    <xf numFmtId="0" fontId="0" fillId="0" borderId="93" xfId="0" applyBorder="1" applyAlignment="1" applyProtection="1">
      <alignment horizontal="center" vertical="center" shrinkToFit="1"/>
      <protection hidden="1"/>
    </xf>
    <xf numFmtId="1" fontId="34" fillId="0" borderId="84" xfId="0" applyNumberFormat="1" applyFont="1" applyBorder="1" applyAlignment="1" applyProtection="1">
      <alignment horizontal="center" vertical="center" shrinkToFit="1"/>
      <protection hidden="1"/>
    </xf>
    <xf numFmtId="1" fontId="0" fillId="0" borderId="96" xfId="0" applyNumberFormat="1" applyBorder="1" applyAlignment="1" applyProtection="1">
      <alignment horizontal="center" vertical="center" shrinkToFit="1"/>
      <protection hidden="1"/>
    </xf>
    <xf numFmtId="1" fontId="0" fillId="0" borderId="134"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88" xfId="0" applyBorder="1" applyAlignment="1" applyProtection="1">
      <alignment horizontal="center" vertical="center" shrinkToFit="1"/>
      <protection hidden="1"/>
    </xf>
    <xf numFmtId="165" fontId="0" fillId="0" borderId="84" xfId="0" applyNumberFormat="1" applyBorder="1" applyAlignment="1" applyProtection="1">
      <alignment horizontal="center" vertical="center" shrinkToFit="1"/>
      <protection hidden="1"/>
    </xf>
    <xf numFmtId="1" fontId="0" fillId="0" borderId="137"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2" fillId="0" borderId="87"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5" fillId="0" borderId="0" xfId="0" applyFont="1"/>
    <xf numFmtId="0" fontId="4" fillId="0" borderId="39" xfId="0" applyFont="1" applyBorder="1" applyAlignment="1">
      <alignment vertical="center"/>
    </xf>
    <xf numFmtId="0" fontId="48" fillId="0" borderId="0" xfId="0" applyFont="1" applyAlignment="1">
      <alignment vertical="top"/>
    </xf>
    <xf numFmtId="0" fontId="2" fillId="0" borderId="0" xfId="0" applyFont="1" applyAlignment="1">
      <alignment horizontal="center"/>
    </xf>
    <xf numFmtId="0" fontId="0" fillId="0" borderId="0" xfId="0" applyAlignment="1">
      <alignment horizontal="center"/>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2" fontId="2" fillId="0" borderId="38" xfId="0" applyNumberFormat="1" applyFont="1" applyFill="1" applyBorder="1" applyAlignment="1" applyProtection="1">
      <alignment horizontal="center"/>
      <protection hidden="1"/>
    </xf>
    <xf numFmtId="2" fontId="2" fillId="0" borderId="46" xfId="0" applyNumberFormat="1" applyFont="1" applyFill="1" applyBorder="1" applyAlignment="1" applyProtection="1">
      <alignment horizontal="center"/>
      <protection hidden="1"/>
    </xf>
    <xf numFmtId="2" fontId="2" fillId="23" borderId="38" xfId="0" applyNumberFormat="1" applyFont="1" applyFill="1" applyBorder="1" applyAlignment="1" applyProtection="1">
      <alignment horizontal="center"/>
      <protection locked="0"/>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0" fillId="0" borderId="0" xfId="0" applyFill="1" applyBorder="1" applyAlignment="1" applyProtection="1">
      <alignment horizontal="left" vertical="center"/>
    </xf>
    <xf numFmtId="0" fontId="2" fillId="0" borderId="0" xfId="25" applyBorder="1" applyAlignment="1" applyProtection="1">
      <alignment horizontal="center"/>
    </xf>
    <xf numFmtId="1" fontId="0" fillId="0" borderId="94" xfId="0" applyNumberFormat="1" applyBorder="1" applyAlignment="1" applyProtection="1">
      <alignment horizontal="center" vertical="center" shrinkToFit="1"/>
      <protection hidden="1"/>
    </xf>
    <xf numFmtId="0" fontId="0" fillId="23" borderId="46" xfId="0" applyFill="1" applyBorder="1" applyAlignment="1" applyProtection="1">
      <alignment horizontal="center" vertical="center"/>
      <protection locked="0"/>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0" fillId="23" borderId="41" xfId="0" applyFill="1" applyBorder="1" applyAlignment="1" applyProtection="1">
      <alignment horizontal="center" vertical="center"/>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2" fillId="23" borderId="0" xfId="0" applyFont="1" applyFill="1" applyBorder="1" applyAlignment="1" applyProtection="1">
      <alignment horizontal="center"/>
      <protection locked="0"/>
    </xf>
    <xf numFmtId="0" fontId="2" fillId="23" borderId="0" xfId="0" applyFont="1" applyFill="1" applyAlignment="1" applyProtection="1">
      <alignment horizontal="center"/>
      <protection locked="0"/>
    </xf>
    <xf numFmtId="0" fontId="4" fillId="23" borderId="0" xfId="25" applyFont="1" applyFill="1" applyBorder="1" applyAlignment="1" applyProtection="1">
      <alignment horizontal="center" vertical="center"/>
      <protection locked="0"/>
    </xf>
    <xf numFmtId="0" fontId="0" fillId="23" borderId="0" xfId="0" applyFill="1" applyBorder="1" applyAlignment="1" applyProtection="1">
      <alignment horizontal="center"/>
      <protection locked="0"/>
    </xf>
    <xf numFmtId="0" fontId="2" fillId="23" borderId="0" xfId="0" applyFont="1" applyFill="1" applyAlignment="1" applyProtection="1">
      <alignment horizontal="center" vertical="center"/>
      <protection locked="0"/>
    </xf>
    <xf numFmtId="0" fontId="0" fillId="23" borderId="0" xfId="0" applyFill="1" applyAlignment="1" applyProtection="1">
      <alignment horizontal="center"/>
      <protection locked="0"/>
    </xf>
    <xf numFmtId="0" fontId="0" fillId="40" borderId="0" xfId="0" applyFill="1"/>
    <xf numFmtId="0" fontId="44" fillId="0" borderId="0" xfId="0" applyFont="1" applyAlignment="1">
      <alignment horizontal="center" vertical="center"/>
    </xf>
    <xf numFmtId="0" fontId="2" fillId="0" borderId="0" xfId="0" applyFont="1" applyBorder="1" applyAlignment="1">
      <alignment horizontal="left"/>
    </xf>
    <xf numFmtId="0" fontId="2" fillId="0" borderId="23" xfId="0" applyFont="1" applyBorder="1" applyAlignment="1">
      <alignment horizontal="left"/>
    </xf>
    <xf numFmtId="0" fontId="59" fillId="0" borderId="0" xfId="0" applyFont="1" applyAlignment="1">
      <alignment horizontal="left" vertical="center" wrapText="1"/>
    </xf>
    <xf numFmtId="0" fontId="25" fillId="0" borderId="0" xfId="0" applyFont="1" applyAlignment="1">
      <alignment horizontal="left" vertical="top" wrapText="1"/>
    </xf>
    <xf numFmtId="0" fontId="2" fillId="23" borderId="43" xfId="0" applyFont="1" applyFill="1" applyBorder="1" applyAlignment="1" applyProtection="1">
      <alignment horizontal="left" vertical="center"/>
      <protection locked="0"/>
    </xf>
    <xf numFmtId="0" fontId="2" fillId="23" borderId="45" xfId="0" applyFont="1" applyFill="1" applyBorder="1" applyAlignment="1" applyProtection="1">
      <alignment horizontal="left" vertical="center"/>
      <protection locked="0"/>
    </xf>
    <xf numFmtId="0" fontId="2" fillId="0" borderId="0" xfId="0" applyFont="1" applyBorder="1" applyAlignment="1">
      <alignment horizontal="left" vertical="center" wrapText="1"/>
    </xf>
    <xf numFmtId="0" fontId="2" fillId="0" borderId="23" xfId="0" applyFont="1" applyBorder="1" applyAlignment="1">
      <alignment horizontal="left" vertical="center" wrapText="1"/>
    </xf>
    <xf numFmtId="0" fontId="4" fillId="0" borderId="24" xfId="0" applyFont="1" applyBorder="1" applyAlignment="1">
      <alignment horizontal="left" vertical="center"/>
    </xf>
    <xf numFmtId="0" fontId="2" fillId="0" borderId="1" xfId="0" applyFont="1" applyBorder="1" applyAlignment="1">
      <alignment horizontal="left" vertical="center" wrapText="1"/>
    </xf>
    <xf numFmtId="0" fontId="2" fillId="0" borderId="40" xfId="0" applyFont="1" applyBorder="1" applyAlignment="1">
      <alignment horizontal="left" vertical="center" wrapText="1"/>
    </xf>
    <xf numFmtId="0" fontId="4" fillId="0" borderId="39" xfId="0" applyFont="1" applyBorder="1" applyAlignment="1">
      <alignment horizontal="left" vertical="center"/>
    </xf>
    <xf numFmtId="0" fontId="25" fillId="0" borderId="24" xfId="0" applyFont="1" applyBorder="1" applyAlignment="1">
      <alignment horizontal="left" vertical="center"/>
    </xf>
    <xf numFmtId="0" fontId="4" fillId="0" borderId="0" xfId="0" applyFont="1" applyBorder="1" applyAlignment="1">
      <alignment horizontal="left" vertical="center"/>
    </xf>
    <xf numFmtId="0" fontId="4" fillId="0" borderId="1" xfId="0" applyFont="1" applyBorder="1" applyAlignment="1">
      <alignment horizontal="left" vertical="center"/>
    </xf>
    <xf numFmtId="0" fontId="49" fillId="0" borderId="0" xfId="0" applyFont="1" applyAlignment="1">
      <alignment horizontal="center" vertical="center"/>
    </xf>
    <xf numFmtId="0" fontId="6" fillId="0" borderId="0" xfId="0" applyFont="1" applyAlignment="1">
      <alignment horizontal="center" vertical="center"/>
    </xf>
    <xf numFmtId="0" fontId="4" fillId="0" borderId="24" xfId="0" applyFont="1" applyBorder="1" applyAlignment="1">
      <alignment horizontal="left" vertical="center" wrapText="1"/>
    </xf>
    <xf numFmtId="0" fontId="4" fillId="0" borderId="0" xfId="0" applyFont="1" applyBorder="1" applyAlignment="1">
      <alignment horizontal="left" vertical="center" wrapText="1"/>
    </xf>
    <xf numFmtId="0" fontId="0" fillId="23" borderId="29" xfId="0" applyFill="1" applyBorder="1" applyAlignment="1" applyProtection="1">
      <alignment horizontal="left"/>
      <protection locked="0"/>
    </xf>
    <xf numFmtId="0" fontId="0" fillId="23" borderId="32" xfId="0" applyFill="1" applyBorder="1" applyAlignment="1" applyProtection="1">
      <alignment horizontal="left"/>
      <protection locked="0"/>
    </xf>
    <xf numFmtId="0" fontId="2" fillId="23" borderId="1" xfId="0" applyFont="1" applyFill="1" applyBorder="1" applyAlignment="1" applyProtection="1">
      <alignment vertical="center"/>
      <protection locked="0"/>
    </xf>
    <xf numFmtId="0" fontId="0" fillId="23" borderId="1" xfId="0" applyFill="1" applyBorder="1" applyAlignment="1" applyProtection="1">
      <alignment vertical="center"/>
      <protection locked="0"/>
    </xf>
    <xf numFmtId="0" fontId="0" fillId="23" borderId="40" xfId="0" applyFill="1" applyBorder="1" applyAlignment="1" applyProtection="1">
      <alignment vertical="center"/>
      <protection locked="0"/>
    </xf>
    <xf numFmtId="0" fontId="2" fillId="0" borderId="0" xfId="0" applyFont="1" applyAlignment="1">
      <alignment horizontal="center"/>
    </xf>
    <xf numFmtId="1" fontId="4" fillId="27" borderId="36" xfId="25" applyNumberFormat="1" applyFont="1" applyFill="1" applyBorder="1" applyAlignment="1" applyProtection="1">
      <alignment horizontal="center"/>
    </xf>
    <xf numFmtId="1" fontId="4" fillId="27" borderId="15" xfId="25" applyNumberFormat="1" applyFont="1" applyFill="1" applyBorder="1" applyAlignment="1" applyProtection="1">
      <alignment horizontal="center"/>
    </xf>
    <xf numFmtId="0" fontId="4" fillId="27" borderId="0" xfId="25" applyFont="1" applyFill="1" applyBorder="1" applyAlignment="1" applyProtection="1">
      <alignment horizontal="center" wrapText="1"/>
    </xf>
    <xf numFmtId="0" fontId="0" fillId="0" borderId="0" xfId="0" applyAlignment="1">
      <alignment horizontal="center" wrapText="1"/>
    </xf>
    <xf numFmtId="1" fontId="4" fillId="0" borderId="36" xfId="25" applyNumberFormat="1" applyFont="1" applyBorder="1" applyAlignment="1" applyProtection="1">
      <alignment horizontal="center"/>
      <protection locked="0"/>
    </xf>
    <xf numFmtId="1" fontId="4" fillId="0" borderId="15" xfId="25" applyNumberFormat="1" applyFont="1" applyBorder="1" applyAlignment="1" applyProtection="1">
      <alignment horizontal="center"/>
      <protection locked="0"/>
    </xf>
    <xf numFmtId="0" fontId="7" fillId="9" borderId="0" xfId="0" applyFont="1" applyFill="1" applyAlignment="1" applyProtection="1">
      <alignment horizontal="center"/>
      <protection hidden="1"/>
    </xf>
    <xf numFmtId="0" fontId="4" fillId="0" borderId="33"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30"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24" xfId="0" applyFont="1" applyFill="1" applyBorder="1" applyAlignment="1" applyProtection="1">
      <alignment horizontal="center"/>
      <protection hidden="1"/>
    </xf>
    <xf numFmtId="0" fontId="4" fillId="0" borderId="23" xfId="0" applyFont="1" applyFill="1" applyBorder="1" applyAlignment="1" applyProtection="1">
      <alignment horizontal="center"/>
      <protection hidden="1"/>
    </xf>
    <xf numFmtId="0" fontId="4" fillId="0" borderId="33" xfId="0" applyFont="1" applyBorder="1" applyAlignment="1" applyProtection="1">
      <alignment horizontal="center"/>
      <protection hidden="1"/>
    </xf>
    <xf numFmtId="0" fontId="4" fillId="0" borderId="29" xfId="0" applyFont="1" applyBorder="1" applyAlignment="1" applyProtection="1">
      <alignment horizontal="center"/>
      <protection hidden="1"/>
    </xf>
    <xf numFmtId="0" fontId="4" fillId="0" borderId="38" xfId="0" applyFont="1" applyBorder="1" applyAlignment="1" applyProtection="1">
      <alignment horizontal="center" wrapText="1"/>
    </xf>
    <xf numFmtId="0" fontId="4" fillId="0" borderId="38" xfId="0"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0" fontId="4" fillId="0" borderId="30"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41" xfId="0" applyFont="1" applyBorder="1" applyAlignment="1" applyProtection="1">
      <alignment horizontal="center" vertical="center" wrapText="1"/>
      <protection hidden="1"/>
    </xf>
    <xf numFmtId="0" fontId="6" fillId="0" borderId="0" xfId="0" applyFont="1" applyAlignment="1" applyProtection="1">
      <alignment horizontal="left" wrapText="1"/>
      <protection hidden="1"/>
    </xf>
    <xf numFmtId="0" fontId="25" fillId="0" borderId="30"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41"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protection hidden="1"/>
    </xf>
    <xf numFmtId="0" fontId="2" fillId="0" borderId="0" xfId="25" applyFont="1" applyBorder="1" applyAlignment="1" applyProtection="1">
      <alignment horizontal="center"/>
    </xf>
    <xf numFmtId="1" fontId="4" fillId="0" borderId="33" xfId="24" applyNumberFormat="1" applyFont="1" applyFill="1" applyBorder="1" applyAlignment="1" applyProtection="1">
      <alignment horizontal="center"/>
      <protection hidden="1"/>
    </xf>
    <xf numFmtId="1" fontId="4" fillId="0" borderId="32" xfId="24" applyNumberFormat="1" applyFont="1" applyFill="1" applyBorder="1" applyAlignment="1" applyProtection="1">
      <alignment horizontal="center"/>
      <protection hidden="1"/>
    </xf>
    <xf numFmtId="0" fontId="25" fillId="0" borderId="33" xfId="0" applyFont="1" applyFill="1" applyBorder="1" applyAlignment="1" applyProtection="1">
      <alignment horizontal="center" vertical="center" wrapText="1"/>
      <protection hidden="1"/>
    </xf>
    <xf numFmtId="0" fontId="25" fillId="0" borderId="24" xfId="0" applyFont="1" applyFill="1" applyBorder="1" applyAlignment="1" applyProtection="1">
      <alignment horizontal="center" vertical="center" wrapText="1"/>
      <protection hidden="1"/>
    </xf>
    <xf numFmtId="0" fontId="25" fillId="0" borderId="39" xfId="0" applyFont="1" applyFill="1" applyBorder="1" applyAlignment="1" applyProtection="1">
      <alignment horizontal="center" vertical="center" wrapText="1"/>
      <protection hidden="1"/>
    </xf>
    <xf numFmtId="0" fontId="4" fillId="0" borderId="33"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0" fontId="4" fillId="0" borderId="24"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70" fillId="0" borderId="30" xfId="0" applyFont="1" applyFill="1" applyBorder="1" applyAlignment="1" applyProtection="1">
      <alignment horizontal="center" vertical="center" wrapText="1"/>
      <protection hidden="1"/>
    </xf>
    <xf numFmtId="0" fontId="70" fillId="0" borderId="9" xfId="0" applyFont="1" applyFill="1" applyBorder="1" applyAlignment="1" applyProtection="1">
      <alignment horizontal="center" vertical="center" wrapText="1"/>
      <protection hidden="1"/>
    </xf>
    <xf numFmtId="0" fontId="4" fillId="0" borderId="33" xfId="0" applyFont="1" applyFill="1" applyBorder="1" applyAlignment="1" applyProtection="1">
      <alignment horizontal="center" wrapText="1"/>
      <protection hidden="1"/>
    </xf>
    <xf numFmtId="0" fontId="4" fillId="0" borderId="32" xfId="0" applyFont="1" applyFill="1" applyBorder="1" applyAlignment="1" applyProtection="1">
      <alignment horizontal="center" wrapText="1"/>
      <protection hidden="1"/>
    </xf>
    <xf numFmtId="0" fontId="4" fillId="0" borderId="24" xfId="0" applyFont="1" applyFill="1" applyBorder="1" applyAlignment="1" applyProtection="1">
      <alignment horizontal="center" wrapText="1"/>
      <protection hidden="1"/>
    </xf>
    <xf numFmtId="0" fontId="4" fillId="0" borderId="23" xfId="0" applyFont="1" applyFill="1" applyBorder="1" applyAlignment="1" applyProtection="1">
      <alignment horizontal="center" wrapText="1"/>
      <protection hidden="1"/>
    </xf>
    <xf numFmtId="0" fontId="5"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4" fillId="0" borderId="33"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14" fontId="0" fillId="0" borderId="0" xfId="0" applyNumberFormat="1" applyAlignment="1" applyProtection="1">
      <alignment horizontal="left"/>
      <protection hidden="1"/>
    </xf>
    <xf numFmtId="0" fontId="4" fillId="0" borderId="32"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33" xfId="0" applyFont="1" applyBorder="1" applyAlignment="1" applyProtection="1">
      <alignment horizontal="center" wrapText="1"/>
      <protection hidden="1"/>
    </xf>
    <xf numFmtId="0" fontId="4" fillId="0" borderId="29" xfId="0" applyFont="1" applyBorder="1" applyAlignment="1" applyProtection="1">
      <alignment horizontal="center" wrapText="1"/>
      <protection hidden="1"/>
    </xf>
    <xf numFmtId="0" fontId="4" fillId="0" borderId="32"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4" fillId="0" borderId="0" xfId="0" applyFont="1" applyBorder="1" applyAlignment="1" applyProtection="1">
      <alignment horizontal="center" wrapText="1"/>
      <protection hidden="1"/>
    </xf>
    <xf numFmtId="0" fontId="4" fillId="0" borderId="23" xfId="0" applyFont="1" applyBorder="1" applyAlignment="1" applyProtection="1">
      <alignment horizontal="center" wrapText="1"/>
      <protection hidden="1"/>
    </xf>
    <xf numFmtId="0" fontId="2" fillId="0" borderId="0" xfId="0" applyFont="1" applyAlignment="1" applyProtection="1">
      <alignment horizontal="left" wrapText="1"/>
      <protection hidden="1"/>
    </xf>
    <xf numFmtId="0" fontId="5"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2" fillId="0" borderId="0" xfId="0" applyFont="1" applyBorder="1" applyAlignment="1" applyProtection="1">
      <alignment horizontal="left" vertical="center" shrinkToFit="1"/>
      <protection hidden="1"/>
    </xf>
    <xf numFmtId="0" fontId="2" fillId="22" borderId="0" xfId="0" applyFont="1" applyFill="1" applyBorder="1" applyAlignment="1" applyProtection="1">
      <alignment horizontal="center"/>
      <protection hidden="1"/>
    </xf>
    <xf numFmtId="0" fontId="2" fillId="28" borderId="0" xfId="0" applyFont="1" applyFill="1" applyAlignment="1" applyProtection="1">
      <alignment horizontal="center"/>
      <protection hidden="1"/>
    </xf>
    <xf numFmtId="0" fontId="2" fillId="8" borderId="0" xfId="0" applyFont="1" applyFill="1" applyBorder="1" applyAlignment="1" applyProtection="1">
      <alignment horizontal="center"/>
      <protection hidden="1"/>
    </xf>
    <xf numFmtId="0" fontId="2" fillId="24" borderId="1" xfId="0" applyFont="1" applyFill="1" applyBorder="1" applyAlignment="1" applyProtection="1">
      <alignment horizontal="center"/>
      <protection hidden="1"/>
    </xf>
    <xf numFmtId="0" fontId="2"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2" fillId="12" borderId="0" xfId="0" applyFont="1" applyFill="1" applyAlignment="1">
      <alignment horizontal="center"/>
    </xf>
    <xf numFmtId="0" fontId="2"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 fillId="0" borderId="33" xfId="0" applyFont="1" applyBorder="1" applyAlignment="1">
      <alignment horizontal="center" wrapText="1"/>
    </xf>
    <xf numFmtId="0" fontId="2" fillId="0" borderId="32" xfId="0" applyFont="1" applyBorder="1" applyAlignment="1">
      <alignment horizontal="center" wrapText="1"/>
    </xf>
    <xf numFmtId="0" fontId="2" fillId="15" borderId="0" xfId="0" applyFont="1" applyFill="1" applyAlignment="1">
      <alignment horizontal="center"/>
    </xf>
    <xf numFmtId="0" fontId="37" fillId="29" borderId="0" xfId="0" applyFont="1" applyFill="1" applyAlignment="1">
      <alignment horizontal="center" wrapText="1"/>
    </xf>
    <xf numFmtId="0" fontId="0" fillId="0" borderId="0" xfId="0" applyAlignment="1">
      <alignment horizontal="center"/>
    </xf>
    <xf numFmtId="0" fontId="49" fillId="0" borderId="0" xfId="0" applyFont="1" applyAlignment="1" applyProtection="1">
      <alignment horizontal="right" vertical="center"/>
      <protection hidden="1"/>
    </xf>
    <xf numFmtId="0" fontId="46" fillId="0" borderId="0" xfId="0" applyFont="1" applyAlignment="1">
      <alignment horizontal="center"/>
    </xf>
    <xf numFmtId="0" fontId="22" fillId="0" borderId="0" xfId="0" applyFont="1" applyAlignment="1">
      <alignment horizontal="center" shrinkToFit="1"/>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2" fillId="8" borderId="30" xfId="0" applyFont="1" applyFill="1" applyBorder="1" applyAlignment="1" applyProtection="1">
      <alignment horizontal="center" wrapText="1"/>
      <protection hidden="1"/>
    </xf>
    <xf numFmtId="0" fontId="2" fillId="8" borderId="9" xfId="0" applyFont="1" applyFill="1" applyBorder="1" applyAlignment="1" applyProtection="1">
      <alignment horizontal="center" wrapText="1"/>
      <protection hidden="1"/>
    </xf>
    <xf numFmtId="0" fontId="2"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2" fillId="8" borderId="30" xfId="0" applyFont="1" applyFill="1" applyBorder="1" applyAlignment="1" applyProtection="1">
      <alignment horizontal="center" textRotation="90" wrapText="1"/>
      <protection hidden="1"/>
    </xf>
    <xf numFmtId="0" fontId="2" fillId="8" borderId="9" xfId="0" applyFont="1" applyFill="1" applyBorder="1" applyAlignment="1" applyProtection="1">
      <alignment horizontal="center" textRotation="90" wrapText="1"/>
      <protection hidden="1"/>
    </xf>
    <xf numFmtId="0" fontId="2"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2" fillId="8" borderId="30" xfId="0" applyFont="1" applyFill="1" applyBorder="1" applyAlignment="1" applyProtection="1">
      <alignment horizontal="center"/>
      <protection hidden="1"/>
    </xf>
    <xf numFmtId="0" fontId="2" fillId="8" borderId="9" xfId="0" applyFont="1" applyFill="1" applyBorder="1" applyAlignment="1" applyProtection="1">
      <alignment horizontal="center"/>
      <protection hidden="1"/>
    </xf>
    <xf numFmtId="0" fontId="2" fillId="8" borderId="41" xfId="0" applyFont="1" applyFill="1" applyBorder="1" applyAlignment="1" applyProtection="1">
      <alignment horizontal="center"/>
      <protection hidden="1"/>
    </xf>
    <xf numFmtId="0" fontId="2" fillId="8" borderId="33"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0" fillId="23" borderId="46" xfId="0" applyFill="1" applyBorder="1" applyAlignment="1" applyProtection="1">
      <alignment horizontal="center" vertical="center"/>
      <protection locked="0"/>
    </xf>
    <xf numFmtId="0" fontId="0" fillId="23" borderId="43"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0" borderId="1" xfId="0" applyFont="1" applyBorder="1" applyAlignment="1">
      <alignment horizontal="center" vertical="center"/>
    </xf>
    <xf numFmtId="14" fontId="0" fillId="23" borderId="46" xfId="0" applyNumberFormat="1" applyFill="1" applyBorder="1" applyAlignment="1" applyProtection="1">
      <alignment horizontal="center" vertical="center"/>
      <protection locked="0"/>
    </xf>
    <xf numFmtId="14" fontId="0" fillId="23" borderId="43" xfId="0" applyNumberFormat="1" applyFill="1" applyBorder="1" applyAlignment="1" applyProtection="1">
      <alignment horizontal="center" vertical="center"/>
      <protection locked="0"/>
    </xf>
    <xf numFmtId="14" fontId="0" fillId="23" borderId="45" xfId="0" applyNumberFormat="1" applyFill="1" applyBorder="1" applyAlignment="1" applyProtection="1">
      <alignment horizontal="center" vertical="center"/>
      <protection locked="0"/>
    </xf>
    <xf numFmtId="0" fontId="2" fillId="0" borderId="46" xfId="0" applyFont="1" applyFill="1" applyBorder="1" applyAlignment="1">
      <alignment horizontal="center" vertical="center"/>
    </xf>
    <xf numFmtId="0" fontId="2" fillId="0" borderId="43" xfId="0" applyFont="1" applyFill="1" applyBorder="1" applyAlignment="1">
      <alignment horizontal="center" vertical="center"/>
    </xf>
    <xf numFmtId="0" fontId="2" fillId="0" borderId="45" xfId="0" applyFont="1" applyFill="1" applyBorder="1" applyAlignment="1">
      <alignment horizontal="center" vertical="center"/>
    </xf>
    <xf numFmtId="0" fontId="11" fillId="23" borderId="46" xfId="0" applyFont="1" applyFill="1" applyBorder="1" applyAlignment="1" applyProtection="1">
      <alignment horizontal="center"/>
      <protection locked="0"/>
    </xf>
    <xf numFmtId="0" fontId="11" fillId="23" borderId="43" xfId="0" applyFont="1" applyFill="1" applyBorder="1" applyAlignment="1" applyProtection="1">
      <alignment horizontal="center"/>
      <protection locked="0"/>
    </xf>
    <xf numFmtId="0" fontId="11" fillId="23" borderId="45" xfId="0" applyFont="1" applyFill="1" applyBorder="1" applyAlignment="1" applyProtection="1">
      <alignment horizontal="center"/>
      <protection locked="0"/>
    </xf>
    <xf numFmtId="0" fontId="11" fillId="0" borderId="33" xfId="0" applyFont="1" applyFill="1" applyBorder="1" applyAlignment="1">
      <alignment horizontal="center" vertical="center"/>
    </xf>
    <xf numFmtId="0" fontId="11" fillId="0" borderId="29" xfId="0" applyFont="1" applyFill="1" applyBorder="1" applyAlignment="1">
      <alignment horizontal="center" vertical="center"/>
    </xf>
    <xf numFmtId="0" fontId="11" fillId="0" borderId="32" xfId="0" applyFont="1" applyFill="1" applyBorder="1" applyAlignment="1">
      <alignment horizontal="center" vertical="center"/>
    </xf>
    <xf numFmtId="0" fontId="0" fillId="23" borderId="39" xfId="0" applyFill="1" applyBorder="1" applyAlignment="1" applyProtection="1">
      <alignment horizontal="center" vertical="center"/>
      <protection locked="0"/>
    </xf>
    <xf numFmtId="0" fontId="0" fillId="23" borderId="1" xfId="0" applyFill="1" applyBorder="1" applyAlignment="1" applyProtection="1">
      <alignment horizontal="center" vertical="center"/>
      <protection locked="0"/>
    </xf>
    <xf numFmtId="0" fontId="0" fillId="23" borderId="40" xfId="0" applyFill="1" applyBorder="1" applyAlignment="1" applyProtection="1">
      <alignment horizontal="center" vertical="center"/>
      <protection locked="0"/>
    </xf>
    <xf numFmtId="0" fontId="2"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0" applyFont="1" applyAlignment="1" applyProtection="1">
      <alignment horizontal="right"/>
      <protection hidden="1"/>
    </xf>
    <xf numFmtId="0" fontId="0" fillId="0" borderId="46" xfId="0" applyFill="1" applyBorder="1" applyAlignment="1" applyProtection="1">
      <alignment horizontal="center"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45" xfId="0" applyFont="1" applyFill="1" applyBorder="1" applyAlignment="1">
      <alignment horizontal="center" vertical="center"/>
    </xf>
    <xf numFmtId="0" fontId="2" fillId="23" borderId="46" xfId="0" applyFont="1" applyFill="1" applyBorder="1" applyAlignment="1" applyProtection="1">
      <alignment horizontal="center" vertical="center"/>
      <protection locked="0"/>
    </xf>
    <xf numFmtId="0" fontId="2" fillId="23" borderId="43"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2" fillId="0" borderId="1" xfId="0" applyFont="1" applyBorder="1" applyAlignment="1">
      <alignment horizontal="center"/>
    </xf>
    <xf numFmtId="0" fontId="0" fillId="0" borderId="0" xfId="0" applyAlignment="1">
      <alignment horizontal="left" vertical="center" shrinkToFit="1"/>
    </xf>
    <xf numFmtId="0" fontId="0" fillId="0" borderId="0" xfId="0"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29" xfId="0" applyBorder="1" applyAlignment="1">
      <alignment horizontal="center" vertical="center"/>
    </xf>
    <xf numFmtId="0" fontId="2" fillId="8" borderId="38" xfId="0" applyFont="1" applyFill="1" applyBorder="1" applyAlignment="1">
      <alignment horizontal="center"/>
    </xf>
    <xf numFmtId="0" fontId="0" fillId="8" borderId="38" xfId="0" applyFill="1" applyBorder="1" applyAlignment="1">
      <alignment horizontal="center"/>
    </xf>
    <xf numFmtId="0" fontId="2" fillId="7" borderId="0" xfId="0" applyFont="1" applyFill="1" applyAlignment="1">
      <alignment horizontal="center"/>
    </xf>
    <xf numFmtId="0" fontId="2" fillId="8" borderId="33" xfId="0" applyFont="1" applyFill="1" applyBorder="1" applyAlignment="1">
      <alignment horizontal="center" wrapText="1"/>
    </xf>
    <xf numFmtId="0" fontId="2" fillId="8" borderId="32" xfId="0" applyFont="1" applyFill="1" applyBorder="1" applyAlignment="1">
      <alignment horizontal="center"/>
    </xf>
    <xf numFmtId="0" fontId="2" fillId="8" borderId="24" xfId="0" applyFont="1" applyFill="1" applyBorder="1" applyAlignment="1">
      <alignment horizontal="center"/>
    </xf>
    <xf numFmtId="0" fontId="2" fillId="8" borderId="23" xfId="0" applyFont="1" applyFill="1" applyBorder="1" applyAlignment="1">
      <alignment horizontal="center"/>
    </xf>
    <xf numFmtId="0" fontId="2" fillId="8" borderId="9" xfId="0" applyFont="1" applyFill="1" applyBorder="1" applyAlignment="1">
      <alignment horizontal="center" vertical="center"/>
    </xf>
    <xf numFmtId="0" fontId="2" fillId="8" borderId="41" xfId="0" applyFont="1" applyFill="1" applyBorder="1" applyAlignment="1">
      <alignment horizontal="center" vertical="center"/>
    </xf>
    <xf numFmtId="0" fontId="2" fillId="16" borderId="0" xfId="0" applyFont="1" applyFill="1" applyAlignment="1">
      <alignment horizontal="center"/>
    </xf>
    <xf numFmtId="0" fontId="2" fillId="8" borderId="38" xfId="0" applyFont="1" applyFill="1" applyBorder="1" applyAlignment="1">
      <alignment horizontal="center" vertical="center" wrapText="1"/>
    </xf>
    <xf numFmtId="0" fontId="2" fillId="8" borderId="38" xfId="0" applyFont="1" applyFill="1" applyBorder="1" applyAlignment="1">
      <alignment horizontal="center" vertical="center"/>
    </xf>
    <xf numFmtId="0" fontId="0" fillId="8" borderId="38" xfId="0" applyFill="1" applyBorder="1" applyAlignment="1">
      <alignment horizontal="center" vertical="center"/>
    </xf>
    <xf numFmtId="0" fontId="2" fillId="8" borderId="33"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24"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39" xfId="0" applyFont="1" applyFill="1" applyBorder="1" applyAlignment="1">
      <alignment horizontal="center" vertical="center"/>
    </xf>
    <xf numFmtId="0" fontId="2" fillId="8" borderId="40" xfId="0" applyFont="1" applyFill="1" applyBorder="1" applyAlignment="1">
      <alignment horizontal="center" vertical="center"/>
    </xf>
    <xf numFmtId="0" fontId="2" fillId="0" borderId="33" xfId="0" applyFont="1" applyBorder="1" applyAlignment="1">
      <alignment horizontal="center"/>
    </xf>
    <xf numFmtId="0" fontId="0" fillId="0" borderId="120" xfId="0" applyBorder="1" applyAlignment="1">
      <alignment horizontal="center" vertical="center"/>
    </xf>
    <xf numFmtId="0" fontId="0" fillId="0" borderId="32" xfId="0" applyBorder="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2" fillId="8" borderId="38" xfId="0" applyFont="1" applyFill="1" applyBorder="1" applyAlignment="1">
      <alignment horizontal="center" wrapText="1"/>
    </xf>
    <xf numFmtId="0" fontId="0" fillId="0" borderId="0" xfId="0" applyBorder="1" applyAlignment="1">
      <alignment horizontal="center" vertical="center" shrinkToFit="1"/>
    </xf>
    <xf numFmtId="0" fontId="2" fillId="0" borderId="29" xfId="0" applyFont="1" applyBorder="1" applyAlignment="1">
      <alignment horizontal="center"/>
    </xf>
    <xf numFmtId="0" fontId="2" fillId="0" borderId="32" xfId="0" applyFont="1" applyBorder="1" applyAlignment="1">
      <alignment horizontal="center"/>
    </xf>
    <xf numFmtId="0" fontId="2" fillId="8" borderId="47" xfId="0" applyFont="1" applyFill="1" applyBorder="1" applyAlignment="1">
      <alignment horizontal="center" vertical="center" wrapText="1"/>
    </xf>
    <xf numFmtId="0" fontId="20" fillId="8" borderId="25" xfId="0" applyFont="1" applyFill="1" applyBorder="1" applyAlignment="1">
      <alignment horizontal="center" vertical="center"/>
    </xf>
    <xf numFmtId="0" fontId="20" fillId="8" borderId="26"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2" fillId="0" borderId="29" xfId="0" applyFont="1" applyBorder="1" applyAlignment="1">
      <alignment horizontal="left" vertical="center"/>
    </xf>
    <xf numFmtId="0" fontId="2" fillId="0" borderId="1" xfId="0" applyFont="1" applyBorder="1" applyAlignment="1">
      <alignment horizontal="left" vertical="center"/>
    </xf>
    <xf numFmtId="1" fontId="2" fillId="0" borderId="2" xfId="0" applyNumberFormat="1" applyFont="1" applyFill="1" applyBorder="1" applyAlignment="1">
      <alignment horizontal="center" vertical="center"/>
    </xf>
    <xf numFmtId="1" fontId="2" fillId="0" borderId="129" xfId="0" applyNumberFormat="1" applyFont="1" applyFill="1" applyBorder="1" applyAlignment="1">
      <alignment horizontal="center" vertical="center"/>
    </xf>
    <xf numFmtId="9" fontId="2" fillId="0" borderId="112" xfId="30" applyFont="1" applyFill="1" applyBorder="1" applyAlignment="1">
      <alignment horizontal="center" vertical="center"/>
    </xf>
    <xf numFmtId="9" fontId="2" fillId="0" borderId="15" xfId="30" applyFont="1" applyFill="1" applyBorder="1" applyAlignment="1">
      <alignment horizontal="center" vertical="center"/>
    </xf>
    <xf numFmtId="1" fontId="20" fillId="0" borderId="0" xfId="0" applyNumberFormat="1" applyFont="1" applyFill="1" applyBorder="1" applyAlignment="1">
      <alignment horizontal="center" vertical="center"/>
    </xf>
    <xf numFmtId="1" fontId="20" fillId="0" borderId="49" xfId="0" applyNumberFormat="1" applyFont="1" applyFill="1" applyBorder="1" applyAlignment="1">
      <alignment horizontal="center" vertical="center"/>
    </xf>
    <xf numFmtId="1" fontId="20" fillId="0" borderId="128" xfId="0" applyNumberFormat="1" applyFont="1" applyFill="1" applyBorder="1" applyAlignment="1">
      <alignment horizontal="center" vertical="center"/>
    </xf>
    <xf numFmtId="1" fontId="20" fillId="0" borderId="131" xfId="0" applyNumberFormat="1" applyFont="1" applyFill="1" applyBorder="1" applyAlignment="1">
      <alignment horizontal="center" vertical="center"/>
    </xf>
    <xf numFmtId="0" fontId="20" fillId="3" borderId="47" xfId="0" applyFont="1" applyFill="1" applyBorder="1" applyAlignment="1">
      <alignment horizontal="center" vertical="center"/>
    </xf>
    <xf numFmtId="0" fontId="20" fillId="3" borderId="18" xfId="0" applyFont="1" applyFill="1" applyBorder="1" applyAlignment="1">
      <alignment horizontal="center" vertical="center"/>
    </xf>
    <xf numFmtId="1" fontId="2" fillId="0" borderId="6" xfId="0" applyNumberFormat="1" applyFont="1" applyFill="1" applyBorder="1" applyAlignment="1">
      <alignment horizontal="center" vertical="center"/>
    </xf>
    <xf numFmtId="0" fontId="2" fillId="8" borderId="3" xfId="0" applyFont="1" applyFill="1" applyBorder="1" applyAlignment="1">
      <alignment horizontal="center" vertical="top"/>
    </xf>
    <xf numFmtId="0" fontId="2" fillId="8" borderId="0" xfId="0" applyFont="1" applyFill="1" applyBorder="1" applyAlignment="1">
      <alignment horizontal="center" vertical="top"/>
    </xf>
    <xf numFmtId="0" fontId="2" fillId="8" borderId="18" xfId="0" applyFont="1" applyFill="1" applyBorder="1" applyAlignment="1">
      <alignment horizontal="center" vertical="top"/>
    </xf>
    <xf numFmtId="0" fontId="2" fillId="8" borderId="21" xfId="0" applyFont="1" applyFill="1" applyBorder="1" applyAlignment="1">
      <alignment horizontal="center" vertical="center"/>
    </xf>
    <xf numFmtId="0" fontId="2" fillId="8" borderId="52" xfId="0" applyFont="1" applyFill="1" applyBorder="1" applyAlignment="1">
      <alignment horizontal="center" vertical="center"/>
    </xf>
    <xf numFmtId="0" fontId="2" fillId="8" borderId="49" xfId="0" applyFont="1" applyFill="1" applyBorder="1" applyAlignment="1">
      <alignment horizontal="center" vertical="top"/>
    </xf>
    <xf numFmtId="0" fontId="2" fillId="8" borderId="0" xfId="0" applyFont="1" applyFill="1" applyBorder="1" applyAlignment="1">
      <alignment horizontal="center" vertical="center"/>
    </xf>
    <xf numFmtId="0" fontId="2" fillId="8" borderId="49"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2" fillId="8" borderId="25"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67" xfId="0" applyFont="1" applyFill="1" applyBorder="1" applyAlignment="1">
      <alignment horizontal="center" vertical="center" wrapText="1"/>
    </xf>
    <xf numFmtId="0" fontId="2" fillId="8" borderId="113" xfId="0" applyFont="1" applyFill="1" applyBorder="1" applyAlignment="1">
      <alignment horizontal="center" vertical="center" wrapText="1"/>
    </xf>
    <xf numFmtId="1" fontId="4" fillId="0" borderId="25" xfId="0" applyNumberFormat="1" applyFont="1" applyFill="1" applyBorder="1" applyAlignment="1">
      <alignment horizontal="center" vertical="center"/>
    </xf>
    <xf numFmtId="1" fontId="4" fillId="0" borderId="54" xfId="0" applyNumberFormat="1" applyFont="1" applyFill="1" applyBorder="1" applyAlignment="1">
      <alignment horizontal="center" vertical="center"/>
    </xf>
    <xf numFmtId="9" fontId="19" fillId="11" borderId="53" xfId="30" applyFont="1" applyFill="1" applyBorder="1" applyAlignment="1">
      <alignment horizontal="center" vertical="center"/>
    </xf>
    <xf numFmtId="9" fontId="19" fillId="11" borderId="44" xfId="30" applyFont="1" applyFill="1" applyBorder="1" applyAlignment="1">
      <alignment horizontal="center" vertical="center"/>
    </xf>
    <xf numFmtId="1" fontId="19" fillId="0" borderId="53" xfId="0" applyNumberFormat="1" applyFont="1" applyFill="1" applyBorder="1" applyAlignment="1">
      <alignment horizontal="center" vertical="center"/>
    </xf>
    <xf numFmtId="1" fontId="19" fillId="0" borderId="54" xfId="0" applyNumberFormat="1" applyFont="1" applyFill="1" applyBorder="1" applyAlignment="1">
      <alignment horizontal="center" vertical="center"/>
    </xf>
    <xf numFmtId="0" fontId="2" fillId="8" borderId="47" xfId="0" applyFont="1" applyFill="1" applyBorder="1" applyAlignment="1">
      <alignment horizontal="center" vertical="top"/>
    </xf>
    <xf numFmtId="0" fontId="2" fillId="8" borderId="4" xfId="0" applyFont="1" applyFill="1" applyBorder="1" applyAlignment="1">
      <alignment horizontal="center" vertical="center"/>
    </xf>
    <xf numFmtId="0" fontId="2" fillId="8" borderId="50"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47" xfId="0" applyFont="1" applyFill="1" applyBorder="1" applyAlignment="1">
      <alignment horizontal="center" vertical="center"/>
    </xf>
    <xf numFmtId="0" fontId="20" fillId="8" borderId="44" xfId="0" applyFont="1" applyFill="1" applyBorder="1" applyAlignment="1">
      <alignment horizontal="center" vertical="center"/>
    </xf>
    <xf numFmtId="0" fontId="2" fillId="8" borderId="46" xfId="0" applyFont="1" applyFill="1" applyBorder="1" applyAlignment="1">
      <alignment horizontal="center" wrapText="1"/>
    </xf>
    <xf numFmtId="0" fontId="2" fillId="8" borderId="46" xfId="0" applyFont="1" applyFill="1" applyBorder="1" applyAlignment="1">
      <alignment horizontal="center"/>
    </xf>
    <xf numFmtId="0" fontId="2" fillId="8" borderId="29" xfId="0" applyFont="1" applyFill="1" applyBorder="1" applyAlignment="1">
      <alignment horizontal="center" vertical="center"/>
    </xf>
    <xf numFmtId="0" fontId="2" fillId="8" borderId="29" xfId="0" applyFont="1" applyFill="1" applyBorder="1" applyAlignment="1">
      <alignment horizontal="center"/>
    </xf>
    <xf numFmtId="1" fontId="2" fillId="0" borderId="132" xfId="0" applyNumberFormat="1" applyFont="1" applyFill="1" applyBorder="1" applyAlignment="1">
      <alignment horizontal="center" vertical="center"/>
    </xf>
    <xf numFmtId="1" fontId="2" fillId="0" borderId="131" xfId="0" applyNumberFormat="1" applyFont="1" applyFill="1" applyBorder="1" applyAlignment="1">
      <alignment horizontal="center" vertical="center"/>
    </xf>
    <xf numFmtId="0" fontId="2" fillId="3" borderId="125" xfId="0" applyFont="1" applyFill="1" applyBorder="1" applyAlignment="1">
      <alignment horizontal="center" vertical="center"/>
    </xf>
    <xf numFmtId="0" fontId="2" fillId="3" borderId="130" xfId="0" applyFont="1" applyFill="1" applyBorder="1" applyAlignment="1">
      <alignment horizontal="center" vertical="center"/>
    </xf>
    <xf numFmtId="0" fontId="20" fillId="3" borderId="125" xfId="0" applyFont="1" applyFill="1" applyBorder="1" applyAlignment="1">
      <alignment horizontal="center" vertical="center"/>
    </xf>
    <xf numFmtId="0" fontId="20" fillId="3" borderId="130" xfId="0" applyFont="1" applyFill="1" applyBorder="1" applyAlignment="1">
      <alignment horizontal="center" vertical="center"/>
    </xf>
    <xf numFmtId="1" fontId="2" fillId="0" borderId="3" xfId="0" applyNumberFormat="1" applyFont="1" applyFill="1" applyBorder="1" applyAlignment="1">
      <alignment horizontal="center" vertical="center"/>
    </xf>
    <xf numFmtId="1" fontId="2" fillId="0" borderId="49" xfId="0" applyNumberFormat="1" applyFont="1" applyFill="1" applyBorder="1" applyAlignment="1">
      <alignment horizontal="center" vertical="center"/>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58" xfId="0" applyFont="1" applyBorder="1" applyAlignment="1">
      <alignment horizontal="left" vertical="center" wrapText="1"/>
    </xf>
    <xf numFmtId="0" fontId="2" fillId="8" borderId="48" xfId="0" applyFont="1" applyFill="1" applyBorder="1" applyAlignment="1">
      <alignment horizontal="center" vertical="center" wrapText="1"/>
    </xf>
    <xf numFmtId="0" fontId="2" fillId="8" borderId="51" xfId="0" applyFont="1" applyFill="1" applyBorder="1" applyAlignment="1">
      <alignment horizontal="center" vertical="center" wrapText="1"/>
    </xf>
    <xf numFmtId="0" fontId="19" fillId="0" borderId="25" xfId="0" applyFont="1" applyFill="1" applyBorder="1" applyAlignment="1">
      <alignment horizontal="left" vertical="center"/>
    </xf>
    <xf numFmtId="0" fontId="19" fillId="0" borderId="26" xfId="0" applyFont="1" applyFill="1" applyBorder="1" applyAlignment="1">
      <alignment horizontal="left" vertical="center"/>
    </xf>
    <xf numFmtId="0" fontId="2" fillId="3" borderId="25" xfId="0" applyFont="1" applyFill="1" applyBorder="1" applyAlignment="1">
      <alignment horizontal="center" vertical="center"/>
    </xf>
    <xf numFmtId="0" fontId="2" fillId="3" borderId="54" xfId="0" applyFont="1" applyFill="1" applyBorder="1" applyAlignment="1">
      <alignment horizontal="center" vertical="center"/>
    </xf>
    <xf numFmtId="0" fontId="2" fillId="3" borderId="53" xfId="0" applyFont="1" applyFill="1" applyBorder="1" applyAlignment="1">
      <alignment horizontal="center" vertical="center"/>
    </xf>
    <xf numFmtId="0" fontId="2" fillId="3" borderId="44" xfId="0" applyFont="1" applyFill="1" applyBorder="1" applyAlignment="1">
      <alignment horizontal="center" vertical="center"/>
    </xf>
    <xf numFmtId="1" fontId="2" fillId="0" borderId="128" xfId="0" applyNumberFormat="1" applyFont="1" applyFill="1" applyBorder="1" applyAlignment="1">
      <alignment horizontal="center" vertical="center"/>
    </xf>
    <xf numFmtId="1" fontId="2" fillId="0" borderId="21" xfId="0" applyNumberFormat="1" applyFont="1" applyFill="1" applyBorder="1" applyAlignment="1">
      <alignment horizontal="center" vertical="center"/>
    </xf>
    <xf numFmtId="1" fontId="2" fillId="0" borderId="52"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9" fontId="2" fillId="0" borderId="50" xfId="30" applyFont="1" applyFill="1" applyBorder="1" applyAlignment="1">
      <alignment horizontal="center" vertical="center"/>
    </xf>
    <xf numFmtId="9" fontId="2" fillId="0" borderId="16" xfId="30" applyFont="1" applyFill="1" applyBorder="1" applyAlignment="1">
      <alignment horizontal="center" vertical="center"/>
    </xf>
    <xf numFmtId="0" fontId="46" fillId="0" borderId="0" xfId="0" applyFont="1" applyAlignment="1" applyProtection="1">
      <alignment horizontal="left" vertical="center" wrapText="1"/>
      <protection hidden="1"/>
    </xf>
    <xf numFmtId="0" fontId="48" fillId="0" borderId="0" xfId="0" applyFont="1" applyAlignment="1">
      <alignment horizontal="center" vertical="center"/>
    </xf>
    <xf numFmtId="0" fontId="2" fillId="23" borderId="0" xfId="0" applyFont="1" applyFill="1" applyAlignment="1" applyProtection="1">
      <alignment horizontal="left" vertical="center"/>
      <protection locked="0"/>
    </xf>
    <xf numFmtId="0" fontId="2"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24" xfId="0" applyBorder="1" applyAlignment="1">
      <alignment horizontal="center"/>
    </xf>
    <xf numFmtId="0" fontId="0" fillId="0" borderId="23" xfId="0" applyBorder="1" applyAlignment="1">
      <alignment horizontal="center"/>
    </xf>
    <xf numFmtId="0" fontId="0" fillId="0" borderId="46" xfId="0" applyBorder="1" applyAlignment="1">
      <alignment horizontal="center"/>
    </xf>
    <xf numFmtId="0" fontId="0" fillId="0" borderId="43" xfId="0" applyBorder="1" applyAlignment="1">
      <alignment horizontal="center"/>
    </xf>
    <xf numFmtId="0" fontId="0" fillId="0" borderId="45" xfId="0" applyBorder="1" applyAlignment="1">
      <alignment horizontal="center"/>
    </xf>
    <xf numFmtId="0" fontId="2" fillId="0" borderId="46" xfId="0" applyFont="1" applyBorder="1" applyAlignment="1">
      <alignment horizontal="center"/>
    </xf>
    <xf numFmtId="0" fontId="2" fillId="0" borderId="45" xfId="0" applyFont="1" applyBorder="1" applyAlignment="1">
      <alignment horizontal="center"/>
    </xf>
    <xf numFmtId="0" fontId="2" fillId="8" borderId="32" xfId="0" applyFont="1" applyFill="1" applyBorder="1" applyAlignment="1" applyProtection="1">
      <alignment horizontal="center" textRotation="90" wrapText="1"/>
      <protection hidden="1"/>
    </xf>
    <xf numFmtId="0" fontId="2" fillId="8" borderId="23" xfId="0" applyFont="1" applyFill="1" applyBorder="1" applyAlignment="1" applyProtection="1">
      <alignment horizontal="center" textRotation="90" wrapText="1"/>
      <protection hidden="1"/>
    </xf>
    <xf numFmtId="0" fontId="2" fillId="8" borderId="40" xfId="0" applyFont="1" applyFill="1" applyBorder="1" applyAlignment="1" applyProtection="1">
      <alignment horizontal="center" textRotation="90" wrapText="1"/>
      <protection hidden="1"/>
    </xf>
    <xf numFmtId="14" fontId="2" fillId="0" borderId="0" xfId="0" applyNumberFormat="1" applyFont="1" applyAlignment="1" applyProtection="1">
      <alignment horizontal="left"/>
      <protection hidden="1"/>
    </xf>
    <xf numFmtId="0" fontId="2" fillId="8" borderId="30" xfId="0" applyFont="1" applyFill="1" applyBorder="1" applyAlignment="1" applyProtection="1">
      <alignment horizontal="left" textRotation="90" wrapText="1"/>
      <protection hidden="1"/>
    </xf>
    <xf numFmtId="0" fontId="2" fillId="8" borderId="9" xfId="0" applyFont="1" applyFill="1" applyBorder="1" applyAlignment="1" applyProtection="1">
      <alignment horizontal="left" textRotation="90" wrapText="1"/>
      <protection hidden="1"/>
    </xf>
    <xf numFmtId="0" fontId="2" fillId="8" borderId="39" xfId="0" applyFont="1" applyFill="1" applyBorder="1" applyAlignment="1" applyProtection="1">
      <alignment horizontal="left" textRotation="90" wrapText="1"/>
      <protection hidden="1"/>
    </xf>
    <xf numFmtId="0" fontId="2" fillId="8" borderId="30" xfId="0" applyFont="1" applyFill="1" applyBorder="1" applyAlignment="1" applyProtection="1">
      <alignment horizontal="center" vertical="center"/>
      <protection hidden="1"/>
    </xf>
    <xf numFmtId="0" fontId="2" fillId="8" borderId="9" xfId="0" applyFont="1" applyFill="1" applyBorder="1" applyAlignment="1" applyProtection="1">
      <alignment horizontal="center" vertical="center"/>
      <protection hidden="1"/>
    </xf>
    <xf numFmtId="0" fontId="2" fillId="8" borderId="41" xfId="0" applyFont="1" applyFill="1" applyBorder="1" applyAlignment="1" applyProtection="1">
      <alignment horizontal="center" vertical="center"/>
      <protection hidden="1"/>
    </xf>
    <xf numFmtId="0" fontId="2" fillId="8" borderId="30" xfId="0" applyFont="1" applyFill="1" applyBorder="1" applyAlignment="1" applyProtection="1">
      <alignment horizontal="center" vertical="center" wrapText="1"/>
      <protection hidden="1"/>
    </xf>
    <xf numFmtId="0" fontId="2" fillId="8" borderId="9" xfId="0" applyFont="1" applyFill="1" applyBorder="1" applyAlignment="1" applyProtection="1">
      <alignment horizontal="center" vertical="center" wrapText="1"/>
      <protection hidden="1"/>
    </xf>
    <xf numFmtId="0" fontId="2" fillId="8" borderId="41" xfId="0" applyFont="1" applyFill="1" applyBorder="1" applyAlignment="1" applyProtection="1">
      <alignment horizontal="center" vertical="center" wrapText="1"/>
      <protection hidden="1"/>
    </xf>
    <xf numFmtId="0" fontId="2" fillId="8" borderId="30" xfId="0" applyFont="1" applyFill="1" applyBorder="1" applyAlignment="1" applyProtection="1">
      <alignment horizontal="center" vertical="center" textRotation="90"/>
      <protection hidden="1"/>
    </xf>
    <xf numFmtId="0" fontId="2" fillId="8" borderId="9" xfId="0" applyFont="1" applyFill="1" applyBorder="1" applyAlignment="1" applyProtection="1">
      <alignment horizontal="center" vertical="center" textRotation="90"/>
      <protection hidden="1"/>
    </xf>
    <xf numFmtId="0" fontId="2" fillId="8" borderId="41" xfId="0" applyFont="1" applyFill="1" applyBorder="1" applyAlignment="1" applyProtection="1">
      <alignment horizontal="center" vertical="center" textRotation="90"/>
      <protection hidden="1"/>
    </xf>
    <xf numFmtId="0" fontId="5" fillId="0" borderId="0" xfId="0" applyFont="1" applyAlignment="1" applyProtection="1">
      <alignment horizontal="center"/>
      <protection hidden="1"/>
    </xf>
    <xf numFmtId="1" fontId="2" fillId="0" borderId="0" xfId="0" applyNumberFormat="1" applyFont="1" applyAlignment="1" applyProtection="1">
      <alignment horizontal="right" vertical="center"/>
      <protection hidden="1"/>
    </xf>
    <xf numFmtId="0" fontId="2" fillId="8" borderId="33" xfId="0" applyFont="1" applyFill="1" applyBorder="1" applyAlignment="1" applyProtection="1">
      <alignment horizontal="center" textRotation="90" wrapText="1"/>
      <protection hidden="1"/>
    </xf>
    <xf numFmtId="0" fontId="2" fillId="8" borderId="24" xfId="0" applyFont="1" applyFill="1" applyBorder="1" applyAlignment="1" applyProtection="1">
      <alignment horizontal="center" textRotation="90" wrapText="1"/>
      <protection hidden="1"/>
    </xf>
    <xf numFmtId="0" fontId="2" fillId="8" borderId="39" xfId="0" applyFont="1" applyFill="1" applyBorder="1" applyAlignment="1" applyProtection="1">
      <alignment horizontal="center" textRotation="90" wrapText="1"/>
      <protection hidden="1"/>
    </xf>
    <xf numFmtId="0" fontId="2" fillId="8" borderId="29" xfId="0" applyFont="1" applyFill="1" applyBorder="1" applyAlignment="1" applyProtection="1">
      <alignment horizontal="center" textRotation="90" wrapText="1"/>
      <protection hidden="1"/>
    </xf>
    <xf numFmtId="0" fontId="2" fillId="8" borderId="0" xfId="0" applyFont="1" applyFill="1" applyBorder="1" applyAlignment="1" applyProtection="1">
      <alignment horizontal="center" textRotation="90" wrapText="1"/>
      <protection hidden="1"/>
    </xf>
    <xf numFmtId="0" fontId="2"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2" fillId="8" borderId="33" xfId="0" applyFont="1" applyFill="1" applyBorder="1" applyAlignment="1" applyProtection="1">
      <alignment horizontal="center" vertical="center" wrapText="1"/>
      <protection hidden="1"/>
    </xf>
    <xf numFmtId="0" fontId="2" fillId="8" borderId="29" xfId="0" applyFont="1" applyFill="1" applyBorder="1" applyAlignment="1" applyProtection="1">
      <alignment horizontal="center" vertical="center" wrapText="1"/>
      <protection hidden="1"/>
    </xf>
    <xf numFmtId="0" fontId="2" fillId="8" borderId="32" xfId="0" applyFont="1" applyFill="1" applyBorder="1" applyAlignment="1" applyProtection="1">
      <alignment horizontal="center" vertical="center" wrapText="1"/>
      <protection hidden="1"/>
    </xf>
    <xf numFmtId="0" fontId="2" fillId="8" borderId="24" xfId="0" applyFont="1" applyFill="1" applyBorder="1" applyAlignment="1" applyProtection="1">
      <alignment horizontal="center" vertical="center" wrapText="1"/>
      <protection hidden="1"/>
    </xf>
    <xf numFmtId="0" fontId="2" fillId="8" borderId="0" xfId="0" applyFont="1" applyFill="1" applyBorder="1" applyAlignment="1" applyProtection="1">
      <alignment horizontal="center" vertical="center" wrapText="1"/>
      <protection hidden="1"/>
    </xf>
    <xf numFmtId="0" fontId="2"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2"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2"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1" fillId="8" borderId="30" xfId="0" applyFont="1" applyFill="1" applyBorder="1" applyAlignment="1" applyProtection="1">
      <alignment horizontal="center" textRotation="90" wrapText="1"/>
      <protection hidden="1"/>
    </xf>
    <xf numFmtId="0" fontId="2" fillId="0" borderId="36"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4" fillId="0" borderId="72"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35" xfId="0" applyFont="1" applyBorder="1" applyAlignment="1" applyProtection="1">
      <alignment horizontal="center" vertical="center"/>
      <protection hidden="1"/>
    </xf>
    <xf numFmtId="0" fontId="2" fillId="0" borderId="82" xfId="0" applyFont="1" applyBorder="1" applyAlignment="1" applyProtection="1">
      <alignment horizontal="center"/>
      <protection hidden="1"/>
    </xf>
    <xf numFmtId="0" fontId="2" fillId="0" borderId="83" xfId="0" applyFont="1" applyBorder="1" applyAlignment="1" applyProtection="1">
      <alignment horizontal="center"/>
      <protection hidden="1"/>
    </xf>
    <xf numFmtId="0" fontId="2" fillId="0" borderId="64" xfId="0" applyFont="1" applyBorder="1" applyAlignment="1" applyProtection="1">
      <alignment horizontal="center"/>
      <protection hidden="1"/>
    </xf>
    <xf numFmtId="0" fontId="2" fillId="0" borderId="45" xfId="0" applyFont="1" applyBorder="1" applyAlignment="1" applyProtection="1">
      <alignment horizontal="center"/>
      <protection hidden="1"/>
    </xf>
    <xf numFmtId="0" fontId="2" fillId="0" borderId="24" xfId="0" applyFont="1" applyBorder="1" applyAlignment="1">
      <alignment horizontal="left" vertical="center"/>
    </xf>
    <xf numFmtId="0" fontId="2" fillId="0" borderId="0" xfId="0" applyFont="1" applyBorder="1" applyAlignment="1">
      <alignment horizontal="left" vertical="center"/>
    </xf>
    <xf numFmtId="0" fontId="2" fillId="0" borderId="23" xfId="0" applyFont="1" applyBorder="1" applyAlignment="1">
      <alignment horizontal="left" vertical="center"/>
    </xf>
    <xf numFmtId="0" fontId="2" fillId="0" borderId="24" xfId="0" applyFont="1" applyBorder="1" applyAlignment="1">
      <alignment horizontal="left" vertical="center" wrapText="1"/>
    </xf>
    <xf numFmtId="0" fontId="4" fillId="0" borderId="46"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5" xfId="0" applyFont="1" applyBorder="1" applyAlignment="1">
      <alignment horizontal="center" vertical="center" wrapText="1"/>
    </xf>
  </cellXfs>
  <cellStyles count="51">
    <cellStyle name="Komma 2" xfId="50"/>
    <cellStyle name="Prozent" xfId="30" builtinId="5"/>
    <cellStyle name="Prozent 2" xfId="1"/>
    <cellStyle name="Prozent 2 2" xfId="2"/>
    <cellStyle name="Prozent 3" xfId="3"/>
    <cellStyle name="Prozent 4" xfId="4"/>
    <cellStyle name="Prozent 4 2" xfId="5"/>
    <cellStyle name="Prozent 4 2 2" xfId="32"/>
    <cellStyle name="Prozent 4 3" xfId="31"/>
    <cellStyle name="Prozent 5" xfId="6"/>
    <cellStyle name="Standard" xfId="0" builtinId="0"/>
    <cellStyle name="Standard 2" xfId="7"/>
    <cellStyle name="Standard 2 2" xfId="8"/>
    <cellStyle name="Standard 2 3" xfId="9"/>
    <cellStyle name="Standard 2 3 2" xfId="10"/>
    <cellStyle name="Standard 2 3 2 2" xfId="11"/>
    <cellStyle name="Standard 2 3 2 2 2" xfId="35"/>
    <cellStyle name="Standard 2 3 2 3" xfId="12"/>
    <cellStyle name="Standard 2 3 2 3 2" xfId="36"/>
    <cellStyle name="Standard 2 3 2 4" xfId="13"/>
    <cellStyle name="Standard 2 3 2 4 2" xfId="14"/>
    <cellStyle name="Standard 2 3 2 4 2 2" xfId="38"/>
    <cellStyle name="Standard 2 3 2 4 3" xfId="37"/>
    <cellStyle name="Standard 2 3 2 5" xfId="34"/>
    <cellStyle name="Standard 2 3 3" xfId="15"/>
    <cellStyle name="Standard 2 3 3 2" xfId="39"/>
    <cellStyle name="Standard 2 3 4" xfId="16"/>
    <cellStyle name="Standard 2 3 4 2" xfId="40"/>
    <cellStyle name="Standard 2 3 5" xfId="33"/>
    <cellStyle name="Standard 2 4" xfId="17"/>
    <cellStyle name="Standard 2 4 2" xfId="18"/>
    <cellStyle name="Standard 2 4 2 2" xfId="42"/>
    <cellStyle name="Standard 2 4 3" xfId="19"/>
    <cellStyle name="Standard 2 4 3 2" xfId="43"/>
    <cellStyle name="Standard 2 4 4" xfId="20"/>
    <cellStyle name="Standard 2 4 4 2" xfId="21"/>
    <cellStyle name="Standard 2 4 4 2 2" xfId="45"/>
    <cellStyle name="Standard 2 4 4 3" xfId="44"/>
    <cellStyle name="Standard 2 4 5" xfId="41"/>
    <cellStyle name="Standard 2 5" xfId="22"/>
    <cellStyle name="Standard 2 5 2" xfId="46"/>
    <cellStyle name="Standard 2 6" xfId="23"/>
    <cellStyle name="Standard 2 6 2" xfId="47"/>
    <cellStyle name="Standard 3" xfId="24"/>
    <cellStyle name="Standard 3 2" xfId="25"/>
    <cellStyle name="Standard 4" xfId="26"/>
    <cellStyle name="Standard 4 2" xfId="27"/>
    <cellStyle name="Standard 4 3" xfId="28"/>
    <cellStyle name="Standard 4 3 2" xfId="49"/>
    <cellStyle name="Standard 4 4" xfId="48"/>
    <cellStyle name="Standard 5" xfId="29"/>
  </cellStyles>
  <dxfs count="232">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medium">
          <color indexed="64"/>
        </left>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Continuous"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numFmt numFmtId="0" formatCode="General"/>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165" formatCode="0.0"/>
      <alignment horizontal="center" vertical="bottom"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165" formatCode="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8F896"/>
      <color rgb="FFFFFF99"/>
      <color rgb="FFF8F8FF"/>
      <color rgb="FFE2CC00"/>
      <color rgb="FF000000"/>
      <color rgb="FFFF66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486651" y="1419226"/>
          <a:ext cx="438149" cy="148345"/>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1</xdr:colOff>
      <xdr:row>0</xdr:row>
      <xdr:rowOff>0</xdr:rowOff>
    </xdr:from>
    <xdr:to>
      <xdr:col>0</xdr:col>
      <xdr:colOff>1066801</xdr:colOff>
      <xdr:row>1</xdr:row>
      <xdr:rowOff>124000</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 y="0"/>
          <a:ext cx="1066800" cy="552625"/>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281940</xdr:colOff>
      <xdr:row>3</xdr:row>
      <xdr:rowOff>133525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361950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10</xdr:col>
      <xdr:colOff>666750</xdr:colOff>
      <xdr:row>3</xdr:row>
      <xdr:rowOff>9700</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39050" y="0"/>
          <a:ext cx="1066800" cy="552625"/>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1581150</xdr:colOff>
      <xdr:row>1</xdr:row>
      <xdr:rowOff>552625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465092" y="1373982"/>
          <a:ext cx="2278857" cy="159781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132125</xdr:colOff>
      <xdr:row>7</xdr:row>
      <xdr:rowOff>104775</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10</xdr:col>
      <xdr:colOff>171450</xdr:colOff>
      <xdr:row>0</xdr:row>
      <xdr:rowOff>66675</xdr:rowOff>
    </xdr:from>
    <xdr:to>
      <xdr:col>11</xdr:col>
      <xdr:colOff>581026</xdr:colOff>
      <xdr:row>5</xdr:row>
      <xdr:rowOff>120367</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7791450" y="66675"/>
          <a:ext cx="1171576" cy="2320642"/>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704850</xdr:colOff>
      <xdr:row>32</xdr:row>
      <xdr:rowOff>95251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668655</xdr:colOff>
      <xdr:row>2</xdr:row>
      <xdr:rowOff>135430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428625</xdr:colOff>
      <xdr:row>2</xdr:row>
      <xdr:rowOff>54235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157972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143050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id="6" name="Kulturen" displayName="Kulturen" ref="B7:DP373" totalsRowShown="0" headerRowDxfId="231" dataDxfId="230" headerRowCellStyle="Standard 3 2">
  <autoFilter ref="B7:DP37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name="dynDropdown22" dataDxfId="229"/>
    <tableColumn id="3" name="Auswahl" dataDxfId="228" dataCellStyle="Standard 3 2">
      <calculatedColumnFormula>Vorauswahl!C377</calculatedColumnFormula>
    </tableColumn>
    <tableColumn id="5" name="HF" dataDxfId="227" dataCellStyle="Standard 3 2"/>
    <tableColumn id="1" name="NameHFkurz" dataDxfId="226" dataCellStyle="Standard 3 2"/>
    <tableColumn id="6" name="edvCode" dataDxfId="225" dataCellStyle="Standard 3 2"/>
    <tableColumn id="7" name="fruchtartengruppe" dataDxfId="224"/>
    <tableColumn id="9" name="HerbstdüngungMöglich" dataDxfId="223" dataCellStyle="Standard 3 2"/>
    <tableColumn id="4" name="Ernteprodukt" dataDxfId="222" dataCellStyle="Standard 3 2"/>
    <tableColumn id="10" name="Berechnungsschema" dataDxfId="221" dataCellStyle="Standard 3 2"/>
    <tableColumn id="12" name="PGehalt" dataDxfId="220" dataCellStyle="Standard 3 2"/>
    <tableColumn id="13" name="PmitStroh" dataDxfId="219" dataCellStyle="Standard 3 2"/>
    <tableColumn id="14" name="Ertrag" dataDxfId="218" dataCellStyle="Standard 3 2"/>
    <tableColumn id="120" name="Nfix" dataDxfId="217" dataCellStyle="Standard 3 2"/>
    <tableColumn id="121" name="EinOderMehrschnittig" dataDxfId="216" dataCellStyle="Standard 3 2"/>
    <tableColumn id="22" name="Saat Winterungen" dataDxfId="215" dataCellStyle="Standard 3 2"/>
    <tableColumn id="15" name="NBedarfswert" dataDxfId="214" dataCellStyle="Standard 3 2"/>
    <tableColumn id="16" name="Ertragsstufen" dataDxfId="213" dataCellStyle="Standard 3 2"/>
    <tableColumn id="17" name="Zuschläge" dataDxfId="212" dataCellStyle="Komma 2"/>
    <tableColumn id="18" name="Abschläge" dataDxfId="211" dataCellStyle="Komma 2"/>
    <tableColumn id="19" name="Vorfruchtwirkung" dataDxfId="210" dataCellStyle="Komma 2"/>
    <tableColumn id="20" name="NliebendeKultur" dataDxfId="209" dataCellStyle="Standard 3 2"/>
    <tableColumn id="21" name="Berechnungsgruppe" dataDxfId="208">
      <calculatedColumnFormula>IF(Kulturen[[#This Row],[Berechnungsschema]]=13,3,IF(Kulturen[[#This Row],[Berechnungsschema]]=6,2,1))</calculatedColumnFormula>
    </tableColumn>
    <tableColumn id="8" name="SollwertMinusNfix" dataDxfId="207">
      <calculatedColumnFormula>IF(Kulturen[[#This Row],[fruchtartengruppe]]=13,Kulturen[[#This Row],[NBedarfswert]],MAX(0,Kulturen[[#This Row],[NBedarfswert]]-Kulturen[[#This Row],[Ertrag]]*Kulturen[[#This Row],[Nfix]]))</calculatedColumnFormula>
    </tableColumn>
    <tableColumn id="23" name="161" dataDxfId="206"/>
    <tableColumn id="24" name="162" dataDxfId="205"/>
    <tableColumn id="25" name="163" dataDxfId="204"/>
    <tableColumn id="26" name="171" dataDxfId="203"/>
    <tableColumn id="27" name="172" dataDxfId="202"/>
    <tableColumn id="28" name="173" dataDxfId="201"/>
    <tableColumn id="29" name="174" dataDxfId="200"/>
    <tableColumn id="30" name="175" dataDxfId="199"/>
    <tableColumn id="31" name="176" dataDxfId="198"/>
    <tableColumn id="32" name="177" dataDxfId="197"/>
    <tableColumn id="33" name="178" dataDxfId="196"/>
    <tableColumn id="34" name="179" dataDxfId="195"/>
    <tableColumn id="35" name="180" dataDxfId="194"/>
    <tableColumn id="36" name="181" dataDxfId="193"/>
    <tableColumn id="37" name="182" dataDxfId="192"/>
    <tableColumn id="38" name="183" dataDxfId="191"/>
    <tableColumn id="39" name="184" dataDxfId="190"/>
    <tableColumn id="40" name="185" dataDxfId="189"/>
    <tableColumn id="41" name="186" dataDxfId="188"/>
    <tableColumn id="42" name="187" dataDxfId="187"/>
    <tableColumn id="43" name="188" dataDxfId="186"/>
    <tableColumn id="44" name="189" dataDxfId="185"/>
    <tableColumn id="45" name="190" dataDxfId="184"/>
    <tableColumn id="46" name="261" dataDxfId="183"/>
    <tableColumn id="47" name="262" dataDxfId="182"/>
    <tableColumn id="48" name="263" dataDxfId="181"/>
    <tableColumn id="49" name="271" dataDxfId="180"/>
    <tableColumn id="50" name="272" dataDxfId="179"/>
    <tableColumn id="51" name="273" dataDxfId="178"/>
    <tableColumn id="52" name="274" dataDxfId="177"/>
    <tableColumn id="53" name="275" dataDxfId="176"/>
    <tableColumn id="54" name="276" dataDxfId="175"/>
    <tableColumn id="55" name="277" dataDxfId="174"/>
    <tableColumn id="56" name="278" dataDxfId="173"/>
    <tableColumn id="57" name="279" dataDxfId="172"/>
    <tableColumn id="58" name="361" dataDxfId="171"/>
    <tableColumn id="59" name="362" dataDxfId="170"/>
    <tableColumn id="60" name="363" dataDxfId="169"/>
    <tableColumn id="61" name="371" dataDxfId="168"/>
    <tableColumn id="62" name="372" dataDxfId="167"/>
    <tableColumn id="63" name="373" dataDxfId="166"/>
    <tableColumn id="64" name="374" dataDxfId="165"/>
    <tableColumn id="65" name="375" dataDxfId="164"/>
    <tableColumn id="66" name="376" dataDxfId="163"/>
    <tableColumn id="67" name="377" dataDxfId="162"/>
    <tableColumn id="68" name="461" dataDxfId="161"/>
    <tableColumn id="69" name="462" dataDxfId="160"/>
    <tableColumn id="70" name="463" dataDxfId="159"/>
    <tableColumn id="71" name="464" dataDxfId="158"/>
    <tableColumn id="72" name="471" dataDxfId="157"/>
    <tableColumn id="73" name="472" dataDxfId="156"/>
    <tableColumn id="74" name="473" dataDxfId="155"/>
    <tableColumn id="75" name="474" dataDxfId="154"/>
    <tableColumn id="76" name="475" dataDxfId="153"/>
    <tableColumn id="77" name="476" dataDxfId="152"/>
    <tableColumn id="78" name="477" dataDxfId="151"/>
    <tableColumn id="79" name="478" dataDxfId="150"/>
    <tableColumn id="80" name="479" dataDxfId="149"/>
    <tableColumn id="81" name="561" dataDxfId="148"/>
    <tableColumn id="82" name="562" dataDxfId="147"/>
    <tableColumn id="83" name="563" dataDxfId="146"/>
    <tableColumn id="84" name="564" dataDxfId="145"/>
    <tableColumn id="85" name="565" dataDxfId="144"/>
    <tableColumn id="86" name="571" dataDxfId="143"/>
    <tableColumn id="87" name="572" dataDxfId="142"/>
    <tableColumn id="88" name="573" dataDxfId="141"/>
    <tableColumn id="89" name="574" dataDxfId="140"/>
    <tableColumn id="90" name="575" dataDxfId="139"/>
    <tableColumn id="91" name="576" dataDxfId="138"/>
    <tableColumn id="92" name="577" dataDxfId="137"/>
    <tableColumn id="93" name="661" dataDxfId="136"/>
    <tableColumn id="94" name="662" dataDxfId="135"/>
    <tableColumn id="95" name="663" dataDxfId="134"/>
    <tableColumn id="96" name="671" dataDxfId="133"/>
    <tableColumn id="97" name="672" dataDxfId="132"/>
    <tableColumn id="98" name="673" dataDxfId="131"/>
    <tableColumn id="99" name="674" dataDxfId="130"/>
    <tableColumn id="100" name="675" dataDxfId="129"/>
    <tableColumn id="101" name="676" dataDxfId="128"/>
    <tableColumn id="102" name="677" dataDxfId="127"/>
    <tableColumn id="103" name="678" dataDxfId="126"/>
    <tableColumn id="104" name="679" dataDxfId="125"/>
    <tableColumn id="105" name="761" dataDxfId="124"/>
    <tableColumn id="106" name="762" dataDxfId="123"/>
    <tableColumn id="107" name="763" dataDxfId="122"/>
    <tableColumn id="108" name="764" dataDxfId="121"/>
    <tableColumn id="109" name="771" dataDxfId="120"/>
    <tableColumn id="110" name="772" dataDxfId="119"/>
    <tableColumn id="111" name="773" dataDxfId="118"/>
    <tableColumn id="112" name="774" dataDxfId="117"/>
    <tableColumn id="113" name="775" dataDxfId="116"/>
    <tableColumn id="114" name="776" dataDxfId="115"/>
    <tableColumn id="115" name="777" dataDxfId="114"/>
    <tableColumn id="116" name="778" dataDxfId="113"/>
    <tableColumn id="117" name="779" dataDxfId="112"/>
    <tableColumn id="118" name="780" dataDxfId="111"/>
  </tableColumns>
  <tableStyleInfo name="TableStyleMedium2" showFirstColumn="0" showLastColumn="0" showRowStripes="1" showColumnStripes="0"/>
</table>
</file>

<file path=xl/tables/table2.xml><?xml version="1.0" encoding="utf-8"?>
<table xmlns="http://schemas.openxmlformats.org/spreadsheetml/2006/main" id="5" name="Nebenkultur" displayName="Nebenkultur" ref="B7:Q28" totalsRowShown="0" headerRowDxfId="110" dataDxfId="108" headerRowBorderDxfId="109" headerRowCellStyle="Standard 3 2" dataCellStyle="Standard 3">
  <autoFilter ref="B7:Q28"/>
  <tableColumns count="16">
    <tableColumn id="14" name="dynDropdown" dataDxfId="107" dataCellStyle="Standard 3"/>
    <tableColumn id="15" name="Auswahl" dataDxfId="106" dataCellStyle="Standard 3"/>
    <tableColumn id="1" name="Nebenkultur" dataDxfId="105" dataCellStyle="Standard 3 2"/>
    <tableColumn id="2" name="Nebenkultur Basisdaten" dataDxfId="104" dataCellStyle="Standard 3"/>
    <tableColumn id="3" name="Abkürzung" dataDxfId="103" dataCellStyle="Standard 3"/>
    <tableColumn id="5" name="Berechnungsschema" dataDxfId="102"/>
    <tableColumn id="21" name="P2O5" dataDxfId="101" dataCellStyle="Standard 3"/>
    <tableColumn id="22" name="Ertrag" dataDxfId="100" dataCellStyle="Standard 3"/>
    <tableColumn id="6" name="Nfix" dataDxfId="99"/>
    <tableColumn id="19" name="Schnitthäufigkeit" dataDxfId="98" dataCellStyle="Standard 3"/>
    <tableColumn id="8" name="N-Bedarf" dataDxfId="97" dataCellStyle="Standard 3"/>
    <tableColumn id="9" name="Ertragsdifferenz" dataDxfId="96" dataCellStyle="Standard 3"/>
    <tableColumn id="10" name="Zuschlag" dataDxfId="95" dataCellStyle="Standard 3"/>
    <tableColumn id="11" name="Abschlag" dataDxfId="94" dataCellStyle="Standard 3"/>
    <tableColumn id="4" name="N-liebende Kultur" dataDxfId="93" dataCellStyle="Standard 3"/>
    <tableColumn id="13" name="Legum. Zwischenfr." dataDxfId="92"/>
  </tableColumns>
  <tableStyleInfo name="TableStyleMedium2" showFirstColumn="0" showLastColumn="0" showRowStripes="1" showColumnStripes="0"/>
</table>
</file>

<file path=xl/tables/table3.xml><?xml version="1.0" encoding="utf-8"?>
<table xmlns="http://schemas.openxmlformats.org/spreadsheetml/2006/main" id="1" name="Tab_org21" displayName="Tab_org21" ref="A6:AE60" totalsRowShown="0" headerRowDxfId="91" tableBorderDxfId="90">
  <tableColumns count="31">
    <tableColumn id="29" name="dynDropdown" dataDxfId="89"/>
    <tableColumn id="30" name="Auswahl" dataDxfId="88"/>
    <tableColumn id="1" name="Dünger" dataDxfId="87"/>
    <tableColumn id="32" name="Name Lang"/>
    <tableColumn id="2" name="EDV Code" dataDxfId="86"/>
    <tableColumn id="3" name="eigene Untersuchung" dataDxfId="85"/>
    <tableColumn id="4" name="Art 1" dataDxfId="84"/>
    <tableColumn id="5" name="Art 2" dataDxfId="83"/>
    <tableColumn id="6" name="Art 3" dataDxfId="82"/>
    <tableColumn id="7" name="Art 4" dataDxfId="81"/>
    <tableColumn id="8" name="Art 5" dataDxfId="80"/>
    <tableColumn id="9" name="Düngerart für Doku Anlage 5" dataDxfId="79"/>
    <tableColumn id="10" name="Greift im Herbst 30/60 Regelung?" dataDxfId="78"/>
    <tableColumn id="31" name="Max. Herbstdüngemenge" dataDxfId="77"/>
    <tableColumn id="12" name="TM in %"/>
    <tableColumn id="13" name="Nährstoffgehalt Ngesamt"/>
    <tableColumn id="14" name="Nährstoffgehalt NH4-N"/>
    <tableColumn id="15" name="Nährstoffgehalt P2O5"/>
    <tableColumn id="16" name="Nährstoffgehalt K2O"/>
    <tableColumn id="17" name="Nährstoffgehalt MgO"/>
    <tableColumn id="18" name="NH4- Anteil in % an Ngesamt" dataDxfId="76" dataCellStyle="Standard 3 2"/>
    <tableColumn id="19" name="N-Anteil aus Stroh in % an Ngesamt" dataDxfId="75"/>
    <tableColumn id="20" name="tierischer Anteil in % an Ngesamt" dataDxfId="74"/>
    <tableColumn id="21" name="tierischer Anteil in % an P2O5" dataDxfId="73"/>
    <tableColumn id="22" name="N-Stall- u. Lagerungsverluste in %" dataDxfId="72"/>
    <tableColumn id="23" name="N-Mindest- wirksamtkeit Ngesamt in % Acker" dataDxfId="71" dataCellStyle="Standard 3 2"/>
    <tableColumn id="24" name="N-Mindest- wirksamkeit Ngesamt in % Grünland" dataDxfId="70" dataCellStyle="Standard 3 2"/>
    <tableColumn id="25" name="% Ngesamt Gehalt in der TM" dataDxfId="69"/>
    <tableColumn id="26" name="anrechenbarer N bei DBE Acker" dataDxfId="68" dataCellStyle="Standard 3 2">
      <calculatedColumnFormula>IF(Z7&gt;=(Q7/P7*100),P7*Z7/100,P7*Q7/P7)</calculatedColumnFormula>
    </tableColumn>
    <tableColumn id="27" name="anrechenbarer N bei DBE Grünland" dataDxfId="67">
      <calculatedColumnFormula>IF(AA7&gt;=(Q7/P7*100),P7*AA7/100,P7*Q7/P7)</calculatedColumnFormula>
    </tableColumn>
    <tableColumn id="11" name="Greift im Herbst 30/60 mit Rebenh" dataDxfId="66">
      <calculatedColumnFormula>IF(Tab_org21[[#This Row],[Max. Herbstdüngemenge]]=5,3,Tab_org21[[#This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id="4" name="Tab_min" displayName="Tab_min" ref="B5:M75" totalsRowShown="0" headerRowDxfId="65" tableBorderDxfId="64" headerRowCellStyle="Standard 3 2">
  <autoFilter ref="B5:M75"/>
  <tableColumns count="12">
    <tableColumn id="11" name="dynDropdown" dataDxfId="63" dataCellStyle="Standard 3 2"/>
    <tableColumn id="12" name="Auswahl" dataDxfId="62" dataCellStyle="Standard 3 2"/>
    <tableColumn id="1" name="Mineraldünger" dataDxfId="61" dataCellStyle="Standard 3 2"/>
    <tableColumn id="2" name="EDV Code" dataDxfId="60" dataCellStyle="Standard 3 2"/>
    <tableColumn id="10" name="Name lang" dataDxfId="59" dataCellStyle="Standard 3 2">
      <calculatedColumnFormula>Tab_min[[#This Row],[Mineraldünger]]</calculatedColumnFormula>
    </tableColumn>
    <tableColumn id="3" name="Düngerart für Dokumentation Anlage 5" dataDxfId="58" dataCellStyle="Standard 3 2"/>
    <tableColumn id="4" name="Nährstoffgehalt Ngesamt" dataDxfId="57" dataCellStyle="Standard 3 2"/>
    <tableColumn id="5" name="Nährstoffgehalt NH4-N" dataDxfId="56" dataCellStyle="Standard 3 2"/>
    <tableColumn id="6" name="Nährstoffgehalt P2O5" dataDxfId="55" dataCellStyle="Standard 3 2"/>
    <tableColumn id="7" name="Nährstoffgehalt K2O" dataDxfId="54" dataCellStyle="Standard 3 2"/>
    <tableColumn id="8" name="Nährstoffgehalt MgO" dataDxfId="53" dataCellStyle="Standard 3 2"/>
    <tableColumn id="9" name="Kalkwirkung je 100 kg Dünger" dataDxfId="52" dataCellStyle="Standard 3 2"/>
  </tableColumns>
  <tableStyleInfo name="TableStyleMedium7" showFirstColumn="0" showLastColumn="0" showRowStripes="1" showColumnStripes="0"/>
</table>
</file>

<file path=xl/tables/table5.xml><?xml version="1.0" encoding="utf-8"?>
<table xmlns="http://schemas.openxmlformats.org/spreadsheetml/2006/main" id="3" name="Tabelle3" displayName="Tabelle3" ref="C18:D371" totalsRowShown="0">
  <autoFilter ref="C18:D371">
    <filterColumn colId="0" hiddenButton="1"/>
    <filterColumn colId="1" hiddenButton="1"/>
  </autoFilter>
  <tableColumns count="2">
    <tableColumn id="1" name="Auswahl" dataDxfId="51"/>
    <tableColumn id="2" name="Kulturen nach Vorlage" dataDxfId="50" dataCellStyle="Standard 3 2"/>
  </tableColumns>
  <tableStyleInfo name="TableStyleMedium2" showFirstColumn="0" showLastColumn="0" showRowStripes="1" showColumnStripes="0"/>
</table>
</file>

<file path=xl/tables/table6.xml><?xml version="1.0" encoding="utf-8"?>
<table xmlns="http://schemas.openxmlformats.org/spreadsheetml/2006/main" id="7" name="Tabelle7" displayName="Tabelle7" ref="S25:AA65" totalsRowShown="0" headerRowDxfId="49">
  <autoFilter ref="S25:AA6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Auswahl" dataDxfId="48"/>
    <tableColumn id="1" name="Dünger nach Vorlage" dataDxfId="47"/>
    <tableColumn id="3" name="Kürzel (Auswahlliste)" dataDxfId="46"/>
    <tableColumn id="4" name=" -" dataDxfId="45"/>
    <tableColumn id="5" name="Ngesamt" dataDxfId="44"/>
    <tableColumn id="6" name="NH4-N" dataDxfId="43"/>
    <tableColumn id="7" name="P2O5" dataDxfId="42"/>
    <tableColumn id="8" name="N tierisch" dataDxfId="41"/>
    <tableColumn id="9" name="P2O5 tierisch" dataDxfId="40"/>
  </tableColumns>
  <tableStyleInfo name="TableStyleMedium2" showFirstColumn="0" showLastColumn="0" showRowStripes="1" showColumnStripes="0"/>
</table>
</file>

<file path=xl/tables/table7.xml><?xml version="1.0" encoding="utf-8"?>
<table xmlns="http://schemas.openxmlformats.org/spreadsheetml/2006/main" id="8" name="Tabelle8" displayName="Tabelle8" ref="AG25:AK81" totalsRowShown="0" headerRowDxfId="39" dataDxfId="38" tableBorderDxfId="37">
  <autoFilter ref="AG25:AK81">
    <filterColumn colId="0" hiddenButton="1"/>
    <filterColumn colId="1" hiddenButton="1"/>
    <filterColumn colId="2" hiddenButton="1"/>
    <filterColumn colId="3" hiddenButton="1"/>
    <filterColumn colId="4" hiddenButton="1"/>
  </autoFilter>
  <tableColumns count="5">
    <tableColumn id="1" name="Auswahl" dataDxfId="36"/>
    <tableColumn id="2" name="Mineraldünger nach Vorlage" dataDxfId="35" dataCellStyle="Standard 3 2"/>
    <tableColumn id="3" name="Kürzel (Auswahlliste)" dataDxfId="34"/>
    <tableColumn id="4" name="Ngesamt" dataDxfId="33" dataCellStyle="Standard 3 2"/>
    <tableColumn id="5" name="P2O5" dataDxfId="32"/>
  </tableColumns>
  <tableStyleInfo name="TableStyleMedium2" showFirstColumn="0" showLastColumn="0" showRowStripes="1" showColumnStripes="0"/>
</table>
</file>

<file path=xl/tables/table8.xml><?xml version="1.0" encoding="utf-8"?>
<table xmlns="http://schemas.openxmlformats.org/spreadsheetml/2006/main" id="9" name="Tabelle9" displayName="Tabelle9" ref="AR13:BB25" totalsRowShown="0" headerRowDxfId="31" dataDxfId="30" tableBorderDxfId="29">
  <autoFilter ref="AR13:BB2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Auswahl" dataDxfId="28"/>
    <tableColumn id="2" name="Kultur" dataDxfId="27"/>
    <tableColumn id="4" name="Ertrag" dataDxfId="26"/>
    <tableColumn id="5" name="N-Bedarfsw." dataDxfId="25"/>
    <tableColumn id="6" name="Ertragsdiff." dataDxfId="24"/>
    <tableColumn id="7" name="Zuschlag" dataDxfId="23"/>
    <tableColumn id="8" name="Abschlag" dataDxfId="22"/>
    <tableColumn id="9" name="P2O5" dataDxfId="21"/>
    <tableColumn id="10" name="N-fix" dataDxfId="20"/>
    <tableColumn id="11" name="Nutzungsh." dataDxfId="19"/>
    <tableColumn id="3" name="Kürzel" dataDxfId="18"/>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3.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6.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9.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4.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5.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6.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F8F896"/>
  </sheetPr>
  <dimension ref="A1:V48"/>
  <sheetViews>
    <sheetView showGridLines="0" tabSelected="1" zoomScaleNormal="100" workbookViewId="0">
      <selection activeCell="C8" sqref="C8:E8"/>
    </sheetView>
  </sheetViews>
  <sheetFormatPr baseColWidth="10" defaultColWidth="11.28515625" defaultRowHeight="12.75" x14ac:dyDescent="0.2"/>
  <cols>
    <col min="1" max="1" width="17.28515625" customWidth="1"/>
    <col min="2" max="2" width="5.7109375" customWidth="1"/>
    <col min="3" max="3" width="10.28515625" customWidth="1"/>
    <col min="4" max="4" width="3" customWidth="1"/>
    <col min="5" max="5" width="17.5703125" customWidth="1"/>
    <col min="6" max="6" width="8.140625" style="405" customWidth="1"/>
    <col min="7" max="7" width="7" style="293" customWidth="1"/>
    <col min="8" max="8" width="3" customWidth="1"/>
    <col min="9" max="9" width="5.42578125" customWidth="1"/>
    <col min="10" max="10" width="3.28515625" customWidth="1"/>
    <col min="11" max="11" width="10.140625" customWidth="1"/>
    <col min="12" max="12" width="11.42578125" customWidth="1"/>
    <col min="13" max="13" width="15.5703125" customWidth="1"/>
    <col min="14" max="14" width="15.28515625" customWidth="1"/>
  </cols>
  <sheetData>
    <row r="1" spans="1:14" ht="33.75" customHeight="1" x14ac:dyDescent="0.2">
      <c r="B1" s="1509" t="s">
        <v>1116</v>
      </c>
      <c r="C1" s="1509"/>
      <c r="D1" s="1509"/>
      <c r="E1" s="1509"/>
      <c r="F1" s="1509"/>
      <c r="G1" s="1509"/>
      <c r="H1" s="1509"/>
      <c r="I1" s="1509"/>
      <c r="J1" s="1509"/>
      <c r="K1" s="1509"/>
      <c r="L1" s="1509"/>
      <c r="M1" s="1509"/>
      <c r="N1" s="1509"/>
    </row>
    <row r="2" spans="1:14" s="36" customFormat="1" ht="16.5" customHeight="1" x14ac:dyDescent="0.2">
      <c r="A2" s="1525" t="s">
        <v>1597</v>
      </c>
      <c r="B2" s="1525"/>
      <c r="C2" s="1525"/>
      <c r="D2" s="1525"/>
      <c r="E2" s="1525"/>
      <c r="F2" s="1525"/>
      <c r="G2" s="1525"/>
      <c r="H2" s="1525"/>
      <c r="I2" s="1525"/>
      <c r="J2" s="1525"/>
      <c r="K2" s="1525"/>
      <c r="L2" s="1525"/>
      <c r="M2" s="1525"/>
    </row>
    <row r="3" spans="1:14" s="36" customFormat="1" ht="8.25" customHeight="1" x14ac:dyDescent="0.2">
      <c r="A3" s="1526"/>
      <c r="B3" s="1526"/>
      <c r="C3" s="1526"/>
      <c r="D3" s="1526"/>
      <c r="E3" s="1526"/>
      <c r="F3" s="1526"/>
      <c r="G3" s="1526"/>
      <c r="H3" s="1526"/>
      <c r="I3" s="1526"/>
      <c r="J3" s="1526"/>
      <c r="K3" s="1526"/>
      <c r="L3" s="1526"/>
      <c r="M3" s="1526"/>
    </row>
    <row r="4" spans="1:14" ht="5.25" customHeight="1" x14ac:dyDescent="0.2">
      <c r="A4" s="1512" t="s">
        <v>2449</v>
      </c>
      <c r="B4" s="1512"/>
      <c r="C4" s="1512"/>
      <c r="D4" s="1512"/>
      <c r="E4" s="1512"/>
      <c r="F4" s="1512"/>
      <c r="G4" s="1512"/>
      <c r="H4" s="1512"/>
      <c r="I4" s="1512"/>
      <c r="J4" s="1512"/>
      <c r="K4" s="1512"/>
      <c r="L4" s="1512"/>
      <c r="M4" s="1512"/>
      <c r="N4" s="1512"/>
    </row>
    <row r="5" spans="1:14" ht="17.25" customHeight="1" x14ac:dyDescent="0.2">
      <c r="A5" s="1512"/>
      <c r="B5" s="1512"/>
      <c r="C5" s="1512"/>
      <c r="D5" s="1512"/>
      <c r="E5" s="1512"/>
      <c r="F5" s="1512"/>
      <c r="G5" s="1512"/>
      <c r="H5" s="1512"/>
      <c r="I5" s="1512"/>
      <c r="J5" s="1512"/>
      <c r="K5" s="1512"/>
      <c r="L5" s="1512"/>
      <c r="M5" s="1512"/>
      <c r="N5" s="1512"/>
    </row>
    <row r="6" spans="1:14" ht="6.75" customHeight="1" x14ac:dyDescent="0.2"/>
    <row r="7" spans="1:14" s="36" customFormat="1" ht="15" customHeight="1" x14ac:dyDescent="0.2">
      <c r="A7" s="445" t="s">
        <v>1117</v>
      </c>
      <c r="B7" s="484"/>
      <c r="C7" s="131"/>
      <c r="D7" s="131"/>
      <c r="E7" s="131"/>
      <c r="I7" s="1513" t="s">
        <v>1227</v>
      </c>
      <c r="J7" s="1513"/>
      <c r="K7" s="1513"/>
      <c r="L7" s="1513"/>
      <c r="M7" s="1513"/>
      <c r="N7" s="1513"/>
    </row>
    <row r="8" spans="1:14" ht="15" customHeight="1" x14ac:dyDescent="0.2">
      <c r="A8" s="469" t="s">
        <v>63</v>
      </c>
      <c r="B8" s="588" t="s">
        <v>1072</v>
      </c>
      <c r="C8" s="1529"/>
      <c r="D8" s="1529"/>
      <c r="E8" s="1530"/>
      <c r="I8" s="1513"/>
      <c r="J8" s="1513"/>
      <c r="K8" s="1513"/>
      <c r="L8" s="1513"/>
      <c r="M8" s="1513"/>
      <c r="N8" s="1513"/>
    </row>
    <row r="9" spans="1:14" ht="15" customHeight="1" x14ac:dyDescent="0.2">
      <c r="A9" s="426" t="s">
        <v>1087</v>
      </c>
      <c r="B9" s="1514"/>
      <c r="C9" s="1514"/>
      <c r="D9" s="1514"/>
      <c r="E9" s="1515"/>
      <c r="I9" s="1513"/>
      <c r="J9" s="1513"/>
      <c r="K9" s="1513"/>
      <c r="L9" s="1513"/>
      <c r="M9" s="1513"/>
      <c r="N9" s="1513"/>
    </row>
    <row r="10" spans="1:14" ht="15" customHeight="1" x14ac:dyDescent="0.2">
      <c r="A10" s="426" t="s">
        <v>706</v>
      </c>
      <c r="B10" s="1531"/>
      <c r="C10" s="1532"/>
      <c r="D10" s="1532"/>
      <c r="E10" s="1533"/>
      <c r="I10" s="1513"/>
      <c r="J10" s="1513"/>
      <c r="K10" s="1513"/>
      <c r="L10" s="1513"/>
      <c r="M10" s="1513"/>
      <c r="N10" s="1513"/>
    </row>
    <row r="11" spans="1:14" ht="15" customHeight="1" x14ac:dyDescent="0.2">
      <c r="A11" s="427" t="s">
        <v>151</v>
      </c>
      <c r="B11" s="1531"/>
      <c r="C11" s="1532"/>
      <c r="D11" s="1532"/>
      <c r="E11" s="1533"/>
      <c r="I11" s="1513"/>
      <c r="J11" s="1513"/>
      <c r="K11" s="1513"/>
      <c r="L11" s="1513"/>
      <c r="M11" s="1513"/>
      <c r="N11" s="1513"/>
    </row>
    <row r="12" spans="1:14" ht="15" customHeight="1" x14ac:dyDescent="0.2">
      <c r="I12" s="1513"/>
      <c r="J12" s="1513"/>
      <c r="K12" s="1513"/>
      <c r="L12" s="1513"/>
      <c r="M12" s="1513"/>
      <c r="N12" s="1513"/>
    </row>
    <row r="13" spans="1:14" ht="20.25" customHeight="1" x14ac:dyDescent="0.25">
      <c r="A13" s="296" t="s">
        <v>707</v>
      </c>
      <c r="I13" s="1513"/>
      <c r="J13" s="1513"/>
      <c r="K13" s="1513"/>
      <c r="L13" s="1513"/>
      <c r="M13" s="1513"/>
      <c r="N13" s="1513"/>
    </row>
    <row r="14" spans="1:14" ht="6.75" customHeight="1" x14ac:dyDescent="0.2"/>
    <row r="15" spans="1:14" s="525" customFormat="1" ht="15" customHeight="1" x14ac:dyDescent="0.25">
      <c r="A15" s="528" t="s">
        <v>1224</v>
      </c>
      <c r="B15" s="57"/>
      <c r="C15" s="57"/>
      <c r="D15" s="57"/>
      <c r="E15" s="57"/>
      <c r="F15" s="57"/>
      <c r="G15" s="295"/>
      <c r="I15" s="528" t="s">
        <v>1225</v>
      </c>
      <c r="J15" s="57"/>
      <c r="K15" s="57"/>
      <c r="L15" s="57"/>
      <c r="M15" s="57"/>
      <c r="N15" s="295"/>
    </row>
    <row r="16" spans="1:14" s="525" customFormat="1" ht="9.75" customHeight="1" x14ac:dyDescent="0.2">
      <c r="A16" s="170"/>
      <c r="B16" s="46"/>
      <c r="C16" s="46"/>
      <c r="D16" s="46"/>
      <c r="E16" s="46"/>
      <c r="F16" s="46"/>
      <c r="G16" s="47"/>
      <c r="I16" s="170"/>
      <c r="J16" s="46"/>
      <c r="K16" s="46"/>
      <c r="L16" s="46"/>
      <c r="M16" s="46"/>
      <c r="N16" s="47"/>
    </row>
    <row r="17" spans="1:18" ht="12.75" customHeight="1" x14ac:dyDescent="0.2">
      <c r="A17" s="1518" t="s">
        <v>1671</v>
      </c>
      <c r="B17" s="1516" t="s">
        <v>1672</v>
      </c>
      <c r="C17" s="1516"/>
      <c r="D17" s="1516"/>
      <c r="E17" s="1516"/>
      <c r="F17" s="1516"/>
      <c r="G17" s="1517"/>
      <c r="I17" s="1018" t="s">
        <v>1810</v>
      </c>
      <c r="J17" s="131"/>
      <c r="K17" s="131"/>
      <c r="L17" s="77" t="s">
        <v>1676</v>
      </c>
      <c r="M17" s="46"/>
      <c r="N17" s="47"/>
    </row>
    <row r="18" spans="1:18" ht="5.85" customHeight="1" x14ac:dyDescent="0.2">
      <c r="A18" s="1518"/>
      <c r="B18" s="1516"/>
      <c r="C18" s="1516"/>
      <c r="D18" s="1516"/>
      <c r="E18" s="1516"/>
      <c r="F18" s="1516"/>
      <c r="G18" s="1517"/>
      <c r="I18" s="1018"/>
      <c r="J18" s="131"/>
      <c r="K18" s="131"/>
      <c r="L18" s="77"/>
      <c r="M18" s="46"/>
      <c r="N18" s="47"/>
    </row>
    <row r="19" spans="1:18" s="293" customFormat="1" x14ac:dyDescent="0.2">
      <c r="A19" s="1518"/>
      <c r="B19" s="1516"/>
      <c r="C19" s="1516"/>
      <c r="D19" s="1516"/>
      <c r="E19" s="1516"/>
      <c r="F19" s="1516"/>
      <c r="G19" s="1517"/>
      <c r="I19" s="1527" t="s">
        <v>1811</v>
      </c>
      <c r="J19" s="1528"/>
      <c r="K19" s="1528"/>
      <c r="L19" s="1516" t="s">
        <v>1236</v>
      </c>
      <c r="M19" s="1516"/>
      <c r="N19" s="1517"/>
      <c r="R19" s="603"/>
    </row>
    <row r="20" spans="1:18" ht="5.85" customHeight="1" x14ac:dyDescent="0.2">
      <c r="A20" s="605"/>
      <c r="B20" s="822"/>
      <c r="C20" s="822"/>
      <c r="D20" s="822"/>
      <c r="E20" s="822"/>
      <c r="F20" s="822"/>
      <c r="G20" s="967"/>
      <c r="I20" s="1527"/>
      <c r="J20" s="1528"/>
      <c r="K20" s="1528"/>
      <c r="L20" s="1516"/>
      <c r="M20" s="1516"/>
      <c r="N20" s="1517"/>
    </row>
    <row r="21" spans="1:18" ht="12.75" customHeight="1" x14ac:dyDescent="0.2">
      <c r="A21" s="1518" t="s">
        <v>1673</v>
      </c>
      <c r="B21" s="1516" t="s">
        <v>1806</v>
      </c>
      <c r="C21" s="1516"/>
      <c r="D21" s="1516"/>
      <c r="E21" s="1516"/>
      <c r="F21" s="1516"/>
      <c r="G21" s="1517"/>
      <c r="I21" s="1527"/>
      <c r="J21" s="1528"/>
      <c r="K21" s="1528"/>
      <c r="L21" s="1516"/>
      <c r="M21" s="1516"/>
      <c r="N21" s="1517"/>
    </row>
    <row r="22" spans="1:18" ht="5.85" customHeight="1" x14ac:dyDescent="0.2">
      <c r="A22" s="1518"/>
      <c r="B22" s="1516"/>
      <c r="C22" s="1516"/>
      <c r="D22" s="1516"/>
      <c r="E22" s="1516"/>
      <c r="F22" s="1516"/>
      <c r="G22" s="1517"/>
      <c r="I22" s="1019"/>
      <c r="J22" s="131"/>
      <c r="K22" s="131"/>
      <c r="L22" s="46"/>
      <c r="M22" s="46"/>
      <c r="N22" s="47"/>
    </row>
    <row r="23" spans="1:18" ht="12.75" customHeight="1" x14ac:dyDescent="0.2">
      <c r="A23" s="1518"/>
      <c r="B23" s="1516"/>
      <c r="C23" s="1516"/>
      <c r="D23" s="1516"/>
      <c r="E23" s="1516"/>
      <c r="F23" s="1516"/>
      <c r="G23" s="1517"/>
      <c r="I23" s="1018" t="s">
        <v>1812</v>
      </c>
      <c r="J23" s="131"/>
      <c r="K23" s="131"/>
      <c r="L23" s="77" t="s">
        <v>1175</v>
      </c>
      <c r="M23" s="46"/>
      <c r="N23" s="47"/>
    </row>
    <row r="24" spans="1:18" ht="5.85" customHeight="1" x14ac:dyDescent="0.2">
      <c r="A24" s="1518"/>
      <c r="B24" s="1516"/>
      <c r="C24" s="1516"/>
      <c r="D24" s="1516"/>
      <c r="E24" s="1516"/>
      <c r="F24" s="1516"/>
      <c r="G24" s="1517"/>
      <c r="I24" s="1019"/>
      <c r="J24" s="131"/>
      <c r="K24" s="131"/>
      <c r="L24" s="46"/>
      <c r="M24" s="46"/>
      <c r="N24" s="47"/>
    </row>
    <row r="25" spans="1:18" s="938" customFormat="1" x14ac:dyDescent="0.2">
      <c r="A25" s="1518"/>
      <c r="B25" s="1516"/>
      <c r="C25" s="1516"/>
      <c r="D25" s="1516"/>
      <c r="E25" s="1516"/>
      <c r="F25" s="1516"/>
      <c r="G25" s="1517"/>
      <c r="I25" s="1018" t="s">
        <v>1813</v>
      </c>
      <c r="J25" s="131"/>
      <c r="K25" s="131"/>
      <c r="L25" s="77" t="s">
        <v>708</v>
      </c>
      <c r="M25" s="46"/>
      <c r="N25" s="47"/>
    </row>
    <row r="26" spans="1:18" ht="5.85" customHeight="1" x14ac:dyDescent="0.2">
      <c r="A26" s="1518"/>
      <c r="B26" s="1516"/>
      <c r="C26" s="1516"/>
      <c r="D26" s="1516"/>
      <c r="E26" s="1516"/>
      <c r="F26" s="1516"/>
      <c r="G26" s="1517"/>
      <c r="I26" s="1019"/>
      <c r="J26" s="131"/>
      <c r="K26" s="131"/>
      <c r="L26" s="46"/>
      <c r="M26" s="46"/>
      <c r="N26" s="47"/>
    </row>
    <row r="27" spans="1:18" s="938" customFormat="1" x14ac:dyDescent="0.2">
      <c r="A27" s="1518"/>
      <c r="B27" s="1516"/>
      <c r="C27" s="1516"/>
      <c r="D27" s="1516"/>
      <c r="E27" s="1516"/>
      <c r="F27" s="1516"/>
      <c r="G27" s="1517"/>
      <c r="I27" s="1018" t="s">
        <v>1814</v>
      </c>
      <c r="J27" s="131"/>
      <c r="K27" s="1020"/>
      <c r="L27" s="77" t="s">
        <v>1157</v>
      </c>
      <c r="M27" s="46"/>
      <c r="N27" s="47"/>
    </row>
    <row r="28" spans="1:18" ht="5.85" customHeight="1" x14ac:dyDescent="0.2">
      <c r="A28" s="606"/>
      <c r="B28" s="46"/>
      <c r="C28" s="46"/>
      <c r="D28" s="46"/>
      <c r="E28" s="46"/>
      <c r="F28" s="46"/>
      <c r="G28" s="47"/>
      <c r="I28" s="1019"/>
      <c r="J28" s="131"/>
      <c r="K28" s="131"/>
      <c r="L28" s="46"/>
      <c r="M28" s="46"/>
      <c r="N28" s="47"/>
    </row>
    <row r="29" spans="1:18" ht="12.75" customHeight="1" x14ac:dyDescent="0.2">
      <c r="A29" s="1522" t="s">
        <v>1807</v>
      </c>
      <c r="B29" s="1516" t="s">
        <v>1229</v>
      </c>
      <c r="C29" s="1516"/>
      <c r="D29" s="1516"/>
      <c r="E29" s="1516"/>
      <c r="F29" s="1516"/>
      <c r="G29" s="1517"/>
      <c r="I29" s="1518" t="s">
        <v>2428</v>
      </c>
      <c r="J29" s="1523"/>
      <c r="K29" s="1523"/>
      <c r="L29" s="1516" t="s">
        <v>2429</v>
      </c>
      <c r="M29" s="1516"/>
      <c r="N29" s="1517"/>
    </row>
    <row r="30" spans="1:18" ht="5.85" customHeight="1" x14ac:dyDescent="0.2">
      <c r="A30" s="1522"/>
      <c r="B30" s="1516"/>
      <c r="C30" s="1516"/>
      <c r="D30" s="1516"/>
      <c r="E30" s="1516"/>
      <c r="F30" s="1516"/>
      <c r="G30" s="1517"/>
      <c r="I30" s="1518"/>
      <c r="J30" s="1523"/>
      <c r="K30" s="1523"/>
      <c r="L30" s="1516"/>
      <c r="M30" s="1516"/>
      <c r="N30" s="1517"/>
    </row>
    <row r="31" spans="1:18" ht="12.75" customHeight="1" x14ac:dyDescent="0.2">
      <c r="A31" s="1522"/>
      <c r="B31" s="1516"/>
      <c r="C31" s="1516"/>
      <c r="D31" s="1516"/>
      <c r="E31" s="1516"/>
      <c r="F31" s="1516"/>
      <c r="G31" s="1517"/>
      <c r="I31" s="1521"/>
      <c r="J31" s="1524"/>
      <c r="K31" s="1524"/>
      <c r="L31" s="1519"/>
      <c r="M31" s="1519"/>
      <c r="N31" s="1520"/>
    </row>
    <row r="32" spans="1:18" s="599" customFormat="1" ht="5.85" customHeight="1" x14ac:dyDescent="0.2">
      <c r="A32" s="605"/>
      <c r="B32" s="46"/>
      <c r="C32" s="46"/>
      <c r="D32" s="46"/>
      <c r="E32" s="46"/>
      <c r="F32" s="46"/>
      <c r="G32" s="47"/>
      <c r="I32" s="445"/>
      <c r="J32" s="131"/>
      <c r="K32" s="1020"/>
      <c r="L32" s="77"/>
      <c r="M32" s="46"/>
      <c r="N32" s="530"/>
    </row>
    <row r="33" spans="1:22" s="293" customFormat="1" ht="12.75" customHeight="1" x14ac:dyDescent="0.2">
      <c r="A33" s="1518" t="s">
        <v>1808</v>
      </c>
      <c r="B33" s="1516" t="s">
        <v>1674</v>
      </c>
      <c r="C33" s="1516"/>
      <c r="D33" s="1516"/>
      <c r="E33" s="1516"/>
      <c r="F33" s="1516"/>
      <c r="G33" s="1517"/>
      <c r="I33" s="1021" t="s">
        <v>1226</v>
      </c>
      <c r="J33" s="506"/>
      <c r="K33" s="506"/>
      <c r="L33" s="57"/>
      <c r="M33" s="57"/>
      <c r="N33" s="295"/>
    </row>
    <row r="34" spans="1:22" ht="5.85" customHeight="1" x14ac:dyDescent="0.2">
      <c r="A34" s="1518"/>
      <c r="B34" s="1516"/>
      <c r="C34" s="1516"/>
      <c r="D34" s="1516"/>
      <c r="E34" s="1516"/>
      <c r="F34" s="1516"/>
      <c r="G34" s="1517"/>
      <c r="I34" s="1022"/>
      <c r="J34" s="131"/>
      <c r="K34" s="131"/>
      <c r="L34" s="46"/>
      <c r="M34" s="46"/>
      <c r="N34" s="47"/>
    </row>
    <row r="35" spans="1:22" x14ac:dyDescent="0.2">
      <c r="A35" s="1518"/>
      <c r="B35" s="1516"/>
      <c r="C35" s="1516"/>
      <c r="D35" s="1516"/>
      <c r="E35" s="1516"/>
      <c r="F35" s="1516"/>
      <c r="G35" s="1517"/>
      <c r="I35" s="1018" t="s">
        <v>1815</v>
      </c>
      <c r="J35" s="131"/>
      <c r="K35" s="131"/>
      <c r="L35" s="1510" t="s">
        <v>1173</v>
      </c>
      <c r="M35" s="1510"/>
      <c r="N35" s="1511"/>
    </row>
    <row r="36" spans="1:22" ht="5.85" customHeight="1" x14ac:dyDescent="0.2">
      <c r="A36" s="605"/>
      <c r="B36" s="46"/>
      <c r="C36" s="46"/>
      <c r="D36" s="46"/>
      <c r="E36" s="46"/>
      <c r="F36" s="46"/>
      <c r="G36" s="47"/>
      <c r="I36" s="1019"/>
      <c r="J36" s="131"/>
      <c r="K36" s="131"/>
      <c r="L36" s="46"/>
      <c r="M36" s="46"/>
      <c r="N36" s="47"/>
    </row>
    <row r="37" spans="1:22" x14ac:dyDescent="0.2">
      <c r="A37" s="1518" t="s">
        <v>1809</v>
      </c>
      <c r="B37" s="1516" t="s">
        <v>1675</v>
      </c>
      <c r="C37" s="1516"/>
      <c r="D37" s="1516"/>
      <c r="E37" s="1516"/>
      <c r="F37" s="1516"/>
      <c r="G37" s="1517"/>
      <c r="I37" s="1018" t="s">
        <v>1816</v>
      </c>
      <c r="J37" s="131"/>
      <c r="K37" s="131"/>
      <c r="L37" s="1510" t="s">
        <v>1805</v>
      </c>
      <c r="M37" s="1510"/>
      <c r="N37" s="1511"/>
    </row>
    <row r="38" spans="1:22" s="293" customFormat="1" ht="5.85" customHeight="1" x14ac:dyDescent="0.2">
      <c r="A38" s="1518"/>
      <c r="B38" s="1516"/>
      <c r="C38" s="1516"/>
      <c r="D38" s="1516"/>
      <c r="E38" s="1516"/>
      <c r="F38" s="1516"/>
      <c r="G38" s="1517"/>
      <c r="I38" s="1019"/>
      <c r="J38" s="131"/>
      <c r="K38" s="131"/>
      <c r="L38" s="46"/>
      <c r="M38" s="46"/>
      <c r="N38" s="47"/>
    </row>
    <row r="39" spans="1:22" ht="15" customHeight="1" x14ac:dyDescent="0.2">
      <c r="A39" s="1521"/>
      <c r="B39" s="1519"/>
      <c r="C39" s="1519"/>
      <c r="D39" s="1519"/>
      <c r="E39" s="1519"/>
      <c r="F39" s="1519"/>
      <c r="G39" s="1520"/>
      <c r="I39" s="1482" t="s">
        <v>2446</v>
      </c>
      <c r="J39" s="58"/>
      <c r="K39" s="58"/>
      <c r="L39" s="76" t="s">
        <v>2447</v>
      </c>
      <c r="M39" s="58"/>
      <c r="N39" s="81"/>
    </row>
    <row r="40" spans="1:22" s="585" customFormat="1" ht="7.5" customHeight="1" x14ac:dyDescent="0.2">
      <c r="I40" s="589"/>
      <c r="J40" s="46"/>
      <c r="K40" s="46"/>
      <c r="L40" s="936"/>
      <c r="M40" s="936"/>
      <c r="N40" s="936"/>
    </row>
    <row r="41" spans="1:22" x14ac:dyDescent="0.2">
      <c r="Q41" s="589"/>
      <c r="R41" s="46"/>
      <c r="S41" s="46"/>
      <c r="T41" s="429"/>
      <c r="U41" s="429"/>
      <c r="V41" s="429"/>
    </row>
    <row r="42" spans="1:22" ht="5.85" customHeight="1" x14ac:dyDescent="0.2"/>
    <row r="44" spans="1:22" s="585" customFormat="1" ht="6" customHeight="1" x14ac:dyDescent="0.2">
      <c r="I44"/>
      <c r="J44"/>
      <c r="K44"/>
      <c r="L44"/>
      <c r="M44"/>
      <c r="N44"/>
    </row>
    <row r="45" spans="1:22" s="585" customFormat="1" ht="6" customHeight="1" x14ac:dyDescent="0.2">
      <c r="I45"/>
      <c r="J45"/>
      <c r="K45"/>
      <c r="L45"/>
      <c r="M45"/>
      <c r="N45"/>
      <c r="O45" s="46"/>
    </row>
    <row r="46" spans="1:22" x14ac:dyDescent="0.2">
      <c r="A46" s="591"/>
      <c r="B46" s="587"/>
      <c r="C46" s="587"/>
      <c r="D46" s="587"/>
      <c r="E46" s="587"/>
      <c r="F46" s="587"/>
      <c r="G46" s="587"/>
      <c r="H46" s="587"/>
    </row>
    <row r="47" spans="1:22" s="585" customFormat="1" x14ac:dyDescent="0.2">
      <c r="A47" s="586"/>
      <c r="B47" s="587"/>
      <c r="C47" s="587"/>
      <c r="D47" s="587"/>
      <c r="E47" s="587"/>
      <c r="F47" s="587"/>
      <c r="G47" s="587"/>
      <c r="H47" s="587"/>
      <c r="I47"/>
      <c r="J47"/>
      <c r="K47"/>
      <c r="L47"/>
      <c r="M47"/>
      <c r="N47"/>
    </row>
    <row r="48" spans="1:22" x14ac:dyDescent="0.2">
      <c r="A48" s="587"/>
      <c r="B48" s="587"/>
      <c r="C48" s="587"/>
      <c r="D48" s="587"/>
      <c r="E48" s="587"/>
      <c r="F48" s="587"/>
      <c r="G48" s="587"/>
      <c r="H48" s="587"/>
    </row>
  </sheetData>
  <sheetProtection algorithmName="SHA-512" hashValue="9A7jWrPj4P27Yqcs4ucHHRU+kK/Kmr+RSynpAUGVY+gZFNOlV/inyXBfO5kOGvzhZxUioryI1cIXiRA/n9d3BA==" saltValue="nNVbzQlZqtJhrg1lhu0Vzw=="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5">
    <mergeCell ref="I29:K31"/>
    <mergeCell ref="A17:A19"/>
    <mergeCell ref="A2:M2"/>
    <mergeCell ref="A3:M3"/>
    <mergeCell ref="I19:K21"/>
    <mergeCell ref="L19:N21"/>
    <mergeCell ref="C8:E8"/>
    <mergeCell ref="B10:E10"/>
    <mergeCell ref="B11:E11"/>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 ref="A29:A31"/>
  </mergeCells>
  <dataValidations count="2">
    <dataValidation allowBlank="1" showInputMessage="1" showErrorMessage="1" errorTitle="Betriebsnummer" error="Die Betriebsnummer muss zwischen 10 und 12 Zeichen lang sein._x000a_" sqref="B8"/>
    <dataValidation type="whole" allowBlank="1" showInputMessage="1" showErrorMessage="1" errorTitle="Betriebsnummer" error="Die Betriebsnummer muss zwischen 10 und 12 Zeichen lang sein._x000a_" sqref="C8">
      <formula1>1000000000</formula1>
      <formula2>9999999999</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Sr, Sp, Ka), Stand: 13.12.2021&amp;RSeite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8F896"/>
  </sheetPr>
  <dimension ref="A1:BP229"/>
  <sheetViews>
    <sheetView showGridLines="0" topLeftCell="A2" workbookViewId="0">
      <pane xSplit="3" ySplit="8" topLeftCell="D10" activePane="bottomRight" state="frozen"/>
      <selection activeCell="C8" sqref="C8:E8"/>
      <selection pane="topRight" activeCell="C8" sqref="C8:E8"/>
      <selection pane="bottomLeft" activeCell="C8" sqref="C8:E8"/>
      <selection pane="bottomRight" activeCell="B10" sqref="B10"/>
    </sheetView>
  </sheetViews>
  <sheetFormatPr baseColWidth="10" defaultRowHeight="15" customHeight="1" x14ac:dyDescent="0.2"/>
  <cols>
    <col min="1" max="1" width="3.85546875" style="173" customWidth="1"/>
    <col min="2" max="2" width="22" style="357" customWidth="1"/>
    <col min="3" max="3" width="12.5703125" style="357" customWidth="1"/>
    <col min="4" max="4" width="7.28515625" style="357" customWidth="1"/>
    <col min="5" max="5" width="4.85546875" style="746" customWidth="1"/>
    <col min="6" max="6" width="5.85546875" style="362" customWidth="1"/>
    <col min="7" max="8" width="4.7109375" style="357" customWidth="1"/>
    <col min="9" max="9" width="15.85546875" style="620" customWidth="1"/>
    <col min="10" max="10" width="23.85546875" style="40" customWidth="1"/>
    <col min="11" max="11" width="5.42578125" style="891" customWidth="1"/>
    <col min="12" max="12" width="20.42578125" style="40" customWidth="1"/>
    <col min="13" max="13" width="14.28515625" style="357" customWidth="1"/>
    <col min="14" max="14" width="7.42578125" style="357" customWidth="1"/>
    <col min="15" max="15" width="4.28515625" style="891" customWidth="1"/>
    <col min="16" max="16" width="23.85546875" style="30" customWidth="1"/>
    <col min="17" max="17" width="4.85546875" style="30" customWidth="1"/>
    <col min="18" max="18" width="4.85546875" style="357" customWidth="1"/>
    <col min="19" max="19" width="4.28515625" style="30" customWidth="1"/>
    <col min="20" max="20" width="4.7109375" style="146" customWidth="1"/>
    <col min="21" max="21" width="5.42578125" style="531" hidden="1" customWidth="1"/>
    <col min="22" max="22" width="10.42578125" style="487" customWidth="1"/>
    <col min="23" max="23" width="10.42578125" style="805" customWidth="1"/>
    <col min="24" max="24" width="3.85546875" customWidth="1"/>
    <col min="25" max="25" width="11.140625" style="355" customWidth="1"/>
    <col min="27" max="27" width="11.42578125" style="352" customWidth="1"/>
    <col min="28" max="28" width="11.42578125" style="405" customWidth="1"/>
    <col min="29" max="29" width="11.42578125" style="235" customWidth="1"/>
    <col min="30" max="30" width="11.42578125" style="297" customWidth="1"/>
    <col min="31" max="46" width="11.42578125" style="235" customWidth="1"/>
    <col min="47" max="48" width="11.42578125" customWidth="1"/>
    <col min="49" max="49" width="11.42578125" style="252" customWidth="1"/>
    <col min="50" max="55" width="11.42578125" customWidth="1"/>
    <col min="56" max="56" width="11.42578125" style="158" customWidth="1"/>
    <col min="57" max="63" width="11.42578125" customWidth="1"/>
    <col min="64" max="64" width="11.28515625" customWidth="1"/>
    <col min="65" max="66" width="11.42578125" customWidth="1"/>
    <col min="67" max="68" width="11.42578125" style="46" customWidth="1"/>
    <col min="69" max="74" width="11.42578125" customWidth="1"/>
  </cols>
  <sheetData>
    <row r="1" spans="1:68" s="365" customFormat="1" ht="14.25" hidden="1" customHeight="1" x14ac:dyDescent="0.2">
      <c r="A1" s="1168" t="s">
        <v>2452</v>
      </c>
      <c r="B1" s="1169">
        <f>COLUMN(B1)-COLUMN($A$1)+1</f>
        <v>2</v>
      </c>
      <c r="C1" s="1169">
        <f t="shared" ref="C1:X1" si="0">COLUMN(C1)-COLUMN($A$1)+1</f>
        <v>3</v>
      </c>
      <c r="D1" s="1169">
        <f t="shared" si="0"/>
        <v>4</v>
      </c>
      <c r="E1" s="1169">
        <f t="shared" si="0"/>
        <v>5</v>
      </c>
      <c r="F1" s="1169">
        <f t="shared" si="0"/>
        <v>6</v>
      </c>
      <c r="G1" s="1169">
        <f t="shared" si="0"/>
        <v>7</v>
      </c>
      <c r="H1" s="1169">
        <f t="shared" si="0"/>
        <v>8</v>
      </c>
      <c r="I1" s="1169">
        <f t="shared" si="0"/>
        <v>9</v>
      </c>
      <c r="J1" s="1169">
        <f t="shared" si="0"/>
        <v>10</v>
      </c>
      <c r="K1" s="1169">
        <f t="shared" si="0"/>
        <v>11</v>
      </c>
      <c r="L1" s="1169">
        <f t="shared" si="0"/>
        <v>12</v>
      </c>
      <c r="M1" s="1169">
        <f t="shared" si="0"/>
        <v>13</v>
      </c>
      <c r="N1" s="1169">
        <f t="shared" si="0"/>
        <v>14</v>
      </c>
      <c r="O1" s="1169">
        <f t="shared" si="0"/>
        <v>15</v>
      </c>
      <c r="P1" s="1169">
        <f t="shared" si="0"/>
        <v>16</v>
      </c>
      <c r="Q1" s="1169">
        <f t="shared" si="0"/>
        <v>17</v>
      </c>
      <c r="R1" s="1169">
        <f t="shared" si="0"/>
        <v>18</v>
      </c>
      <c r="S1" s="1169">
        <f t="shared" si="0"/>
        <v>19</v>
      </c>
      <c r="T1" s="1169">
        <f t="shared" si="0"/>
        <v>20</v>
      </c>
      <c r="U1" s="1169">
        <f t="shared" si="0"/>
        <v>21</v>
      </c>
      <c r="V1" s="1169">
        <f t="shared" si="0"/>
        <v>22</v>
      </c>
      <c r="W1" s="1169">
        <f t="shared" si="0"/>
        <v>23</v>
      </c>
      <c r="X1" s="1169">
        <f t="shared" si="0"/>
        <v>24</v>
      </c>
      <c r="Y1" s="1169"/>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36"/>
      <c r="BO1" s="46"/>
      <c r="BP1" s="46"/>
    </row>
    <row r="2" spans="1:68" s="167" customFormat="1" ht="21" customHeight="1" x14ac:dyDescent="0.2">
      <c r="A2" s="1134"/>
      <c r="B2" s="1041"/>
      <c r="C2" s="1592" t="s">
        <v>1690</v>
      </c>
      <c r="D2" s="1592"/>
      <c r="E2" s="1592"/>
      <c r="F2" s="1592"/>
      <c r="G2" s="1592"/>
      <c r="H2" s="1592"/>
      <c r="I2" s="1592"/>
      <c r="J2" s="1592"/>
      <c r="K2" s="1170"/>
      <c r="L2" s="1134"/>
      <c r="M2" s="1592" t="s">
        <v>1690</v>
      </c>
      <c r="N2" s="1592"/>
      <c r="O2" s="1592"/>
      <c r="P2" s="1592"/>
      <c r="Q2" s="1592"/>
      <c r="R2" s="1592"/>
      <c r="S2" s="1592"/>
      <c r="T2" s="1592"/>
      <c r="U2" s="1168"/>
      <c r="V2" s="1169"/>
      <c r="W2" s="1169"/>
      <c r="X2" s="1134"/>
      <c r="Y2" s="1134"/>
    </row>
    <row r="3" spans="1:68" s="70" customFormat="1" ht="12" customHeight="1" x14ac:dyDescent="0.2">
      <c r="A3" s="1169"/>
      <c r="B3" s="1171"/>
      <c r="C3" s="1135" t="s">
        <v>1801</v>
      </c>
      <c r="D3" s="1135"/>
      <c r="E3" s="1135"/>
      <c r="F3" s="1135"/>
      <c r="G3" s="1135"/>
      <c r="H3" s="1135"/>
      <c r="I3" s="1135"/>
      <c r="J3" s="1171"/>
      <c r="K3" s="1169"/>
      <c r="L3" s="1135"/>
      <c r="M3" s="1135"/>
      <c r="N3" s="1135"/>
      <c r="O3" s="1042"/>
      <c r="P3" s="1172"/>
      <c r="Q3" s="1171"/>
      <c r="R3" s="1171"/>
      <c r="S3" s="1171"/>
      <c r="T3" s="1135"/>
      <c r="U3" s="1171"/>
      <c r="V3" s="1169"/>
      <c r="W3" s="1169"/>
      <c r="X3" s="1135"/>
      <c r="Y3" s="1135"/>
    </row>
    <row r="4" spans="1:68" s="355" customFormat="1" ht="4.5" customHeight="1" x14ac:dyDescent="0.2">
      <c r="A4" s="1042"/>
      <c r="B4" s="1042"/>
      <c r="C4" s="1042"/>
      <c r="D4" s="1135"/>
      <c r="E4" s="1135"/>
      <c r="F4" s="1042"/>
      <c r="G4" s="1135"/>
      <c r="H4" s="1135"/>
      <c r="I4" s="1042"/>
      <c r="J4" s="1042"/>
      <c r="K4" s="1169"/>
      <c r="L4" s="1042"/>
      <c r="M4" s="1042"/>
      <c r="N4" s="1042"/>
      <c r="O4" s="1042"/>
      <c r="P4" s="1173"/>
      <c r="Q4" s="1173"/>
      <c r="R4" s="1173"/>
      <c r="S4" s="1169"/>
      <c r="T4" s="1169"/>
      <c r="U4" s="1041"/>
      <c r="V4" s="1169"/>
      <c r="W4" s="1169"/>
      <c r="X4" s="1041"/>
      <c r="Y4" s="1041"/>
    </row>
    <row r="5" spans="1:68" s="36" customFormat="1" ht="15" customHeight="1" x14ac:dyDescent="0.2">
      <c r="A5" s="1136"/>
      <c r="B5" s="1136"/>
      <c r="C5" s="1174" t="s">
        <v>1056</v>
      </c>
      <c r="D5" s="1594" t="str">
        <f>IF(Betrieb!C8="","Bitte in ''Betrieb'' eintragen",CONCATENATE(Betrieb!B8,Betrieb!C8))</f>
        <v>Bitte in ''Betrieb'' eintragen</v>
      </c>
      <c r="E5" s="1594"/>
      <c r="F5" s="1594"/>
      <c r="G5" s="1599" t="str">
        <f>CONCATENATE("Name: ",Vorauswahl!E4)</f>
        <v>Name: Bitte in ''Betrieb'' eintragen</v>
      </c>
      <c r="H5" s="1599"/>
      <c r="I5" s="1599"/>
      <c r="J5" s="1175">
        <f ca="1">TODAY()</f>
        <v>44551</v>
      </c>
      <c r="K5" s="1176"/>
      <c r="L5" s="1174" t="s">
        <v>1056</v>
      </c>
      <c r="M5" s="1600" t="str">
        <f>D5</f>
        <v>Bitte in ''Betrieb'' eintragen</v>
      </c>
      <c r="N5" s="1601"/>
      <c r="O5" s="1178" t="str">
        <f>G5</f>
        <v>Name: Bitte in ''Betrieb'' eintragen</v>
      </c>
      <c r="P5" s="1136"/>
      <c r="Q5" s="1136"/>
      <c r="R5" s="1179"/>
      <c r="S5" s="1179"/>
      <c r="T5" s="1179"/>
      <c r="U5" s="1136"/>
      <c r="V5" s="1593">
        <f ca="1">TODAY()</f>
        <v>44551</v>
      </c>
      <c r="W5" s="1593"/>
      <c r="X5" s="1136"/>
      <c r="Y5" s="1136"/>
    </row>
    <row r="6" spans="1:68" ht="4.5" customHeight="1" x14ac:dyDescent="0.2">
      <c r="A6" s="1041"/>
      <c r="B6" s="1169"/>
      <c r="C6" s="1169"/>
      <c r="D6" s="1171"/>
      <c r="E6" s="1171"/>
      <c r="F6" s="1169"/>
      <c r="G6" s="1041"/>
      <c r="H6" s="1171"/>
      <c r="I6" s="1169"/>
      <c r="J6" s="1041"/>
      <c r="K6" s="1169"/>
      <c r="L6" s="1041"/>
      <c r="M6" s="1041"/>
      <c r="N6" s="1041"/>
      <c r="O6" s="1169"/>
      <c r="P6" s="1180"/>
      <c r="Q6" s="1180"/>
      <c r="R6" s="1180"/>
      <c r="S6" s="1169"/>
      <c r="T6" s="1169"/>
      <c r="U6" s="1041"/>
      <c r="V6" s="1169"/>
      <c r="W6" s="1169"/>
      <c r="X6" s="1041"/>
      <c r="Y6" s="1041"/>
    </row>
    <row r="7" spans="1:68" ht="12.75" customHeight="1" x14ac:dyDescent="0.2">
      <c r="A7" s="1597" t="s">
        <v>117</v>
      </c>
      <c r="B7" s="1597"/>
      <c r="C7" s="1597"/>
      <c r="D7" s="1597"/>
      <c r="E7" s="1597"/>
      <c r="F7" s="1597"/>
      <c r="G7" s="1597"/>
      <c r="H7" s="1597"/>
      <c r="I7" s="1597"/>
      <c r="J7" s="1596" t="s">
        <v>1563</v>
      </c>
      <c r="K7" s="1596"/>
      <c r="L7" s="1595" t="s">
        <v>1598</v>
      </c>
      <c r="M7" s="1595"/>
      <c r="N7" s="1595"/>
      <c r="O7" s="1595"/>
      <c r="P7" s="1595"/>
      <c r="Q7" s="1595"/>
      <c r="R7" s="1595"/>
      <c r="S7" s="1595"/>
      <c r="T7" s="1595"/>
      <c r="U7" s="1181"/>
      <c r="V7" s="1598" t="s">
        <v>1132</v>
      </c>
      <c r="W7" s="1598"/>
      <c r="X7" s="1137"/>
      <c r="Y7" s="1137"/>
    </row>
    <row r="8" spans="1:68" s="70" customFormat="1" ht="100.5" customHeight="1" x14ac:dyDescent="0.2">
      <c r="A8" s="1144" t="s">
        <v>84</v>
      </c>
      <c r="B8" s="1144" t="s">
        <v>101</v>
      </c>
      <c r="C8" s="1144" t="s">
        <v>100</v>
      </c>
      <c r="D8" s="1145" t="s">
        <v>1052</v>
      </c>
      <c r="E8" s="1146" t="s">
        <v>1252</v>
      </c>
      <c r="F8" s="1147" t="s">
        <v>1182</v>
      </c>
      <c r="G8" s="1147" t="s">
        <v>1567</v>
      </c>
      <c r="H8" s="1145" t="s">
        <v>1222</v>
      </c>
      <c r="I8" s="1148" t="s">
        <v>1246</v>
      </c>
      <c r="J8" s="1149" t="s">
        <v>1694</v>
      </c>
      <c r="K8" s="1150" t="s">
        <v>1564</v>
      </c>
      <c r="L8" s="1151" t="s">
        <v>1253</v>
      </c>
      <c r="M8" s="1148" t="s">
        <v>1053</v>
      </c>
      <c r="N8" s="1147" t="s">
        <v>1055</v>
      </c>
      <c r="O8" s="1147" t="s">
        <v>1054</v>
      </c>
      <c r="P8" s="1124" t="s">
        <v>1695</v>
      </c>
      <c r="Q8" s="1152" t="s">
        <v>1500</v>
      </c>
      <c r="R8" s="1153" t="s">
        <v>1501</v>
      </c>
      <c r="S8" s="1145" t="s">
        <v>1183</v>
      </c>
      <c r="T8" s="1154" t="s">
        <v>492</v>
      </c>
      <c r="U8" s="1150" t="s">
        <v>1186</v>
      </c>
      <c r="V8" s="1155" t="s">
        <v>1416</v>
      </c>
      <c r="W8" s="1156" t="s">
        <v>1502</v>
      </c>
      <c r="X8" s="1138" t="s">
        <v>1094</v>
      </c>
      <c r="Y8" s="1139"/>
    </row>
    <row r="9" spans="1:68" s="235" customFormat="1" ht="13.5" customHeight="1" x14ac:dyDescent="0.2">
      <c r="A9" s="1157"/>
      <c r="B9" s="1158"/>
      <c r="C9" s="1159" t="s">
        <v>1051</v>
      </c>
      <c r="D9" s="1160" t="str">
        <f>IF(D112='#BerechnungDBE'!CW107,"",$C$113)</f>
        <v/>
      </c>
      <c r="E9" s="1161" t="str">
        <f>IF(E112='#BerechnungDBE'!CX107,"",$C$113)</f>
        <v/>
      </c>
      <c r="F9" s="1160" t="str">
        <f>IF(F112='#BerechnungDBE'!CY107,"",$C$113)</f>
        <v/>
      </c>
      <c r="G9" s="1160" t="str">
        <f>IF(G112='#BerechnungDBE'!CZ107,"",$C$113)</f>
        <v/>
      </c>
      <c r="H9" s="1160" t="str">
        <f>IF(H112='#BerechnungDBE'!DA107,"",$C$113)</f>
        <v/>
      </c>
      <c r="I9" s="1160"/>
      <c r="J9" s="1160" t="str">
        <f>IF(J112&lt;='#BerechnungDBE'!DC107,"",$C$113)</f>
        <v/>
      </c>
      <c r="K9" s="1158"/>
      <c r="L9" s="1162" t="str">
        <f>IF(L112&lt;='#BerechnungDBE'!DD107,"",$C$113)</f>
        <v/>
      </c>
      <c r="M9" s="1160" t="str">
        <f>IF(M112='#BerechnungDBE'!DE107,"",$C$113)</f>
        <v/>
      </c>
      <c r="N9" s="1160" t="str">
        <f>IF(N112='#BerechnungDBE'!DF107,"",$C$113)</f>
        <v/>
      </c>
      <c r="O9" s="1160"/>
      <c r="P9" s="1160" t="str">
        <f>IF(P112&lt;='#BerechnungDBE'!DG107,"",$C$113)</f>
        <v/>
      </c>
      <c r="Q9" s="1163"/>
      <c r="R9" s="1164"/>
      <c r="S9" s="1160"/>
      <c r="T9" s="1160" t="str">
        <f>IF(T112='#BerechnungDBE'!DH107,"",$C$113)</f>
        <v/>
      </c>
      <c r="U9" s="1165"/>
      <c r="V9" s="1166"/>
      <c r="W9" s="1167"/>
      <c r="X9" s="1140"/>
      <c r="Y9" s="1141"/>
    </row>
    <row r="10" spans="1:68" s="130" customFormat="1" ht="15" customHeight="1" x14ac:dyDescent="0.2">
      <c r="A10" s="174">
        <v>1</v>
      </c>
      <c r="B10" s="1319" t="str">
        <f>IF('Daten aus 2021'!B7="","",'Daten aus 2021'!B7)</f>
        <v/>
      </c>
      <c r="C10" s="1498" t="str">
        <f>IF('Daten aus 2021'!C7="","",'Daten aus 2021'!C7)</f>
        <v/>
      </c>
      <c r="D10" s="1320" t="str">
        <f>IF('Daten aus 2021'!D7="","",'Daten aus 2021'!D7)</f>
        <v/>
      </c>
      <c r="E10" s="1321" t="s">
        <v>315</v>
      </c>
      <c r="F10" s="1500" t="str">
        <f>IF('Daten aus 2021'!E7="",IF(AND(D10&lt;1,D10&lt;&gt;""),'#Boden'!$G$6,'#Boden'!$G$4),'Daten aus 2021'!E7)</f>
        <v xml:space="preserve"> --</v>
      </c>
      <c r="G10" s="1319" t="str">
        <f>'#BerechnungDBE'!A5</f>
        <v xml:space="preserve"> --</v>
      </c>
      <c r="H10" s="1501" t="str">
        <f>IF('Daten aus 2021'!G7="",'#Boden'!$B$24,'Daten aus 2021'!G7)</f>
        <v>ja</v>
      </c>
      <c r="I10" s="1500" t="str">
        <f>'#BerechnungDBE'!B5</f>
        <v xml:space="preserve"> --         </v>
      </c>
      <c r="J10" s="1324" t="str">
        <f>'#BerechnungDBE'!F5</f>
        <v xml:space="preserve"> --  </v>
      </c>
      <c r="K10" s="1319" t="str">
        <f>IF(D10="","",IF('Daten aus 2021'!AA7="","",'Daten aus 2021'!AA7))</f>
        <v/>
      </c>
      <c r="L10" s="1321" t="s">
        <v>699</v>
      </c>
      <c r="M10" s="1319" t="s">
        <v>700</v>
      </c>
      <c r="N10" s="1325" t="s">
        <v>701</v>
      </c>
      <c r="O10" s="1325" t="str">
        <f>IF(L10="",'#Zweitfr'!$I$8,VLOOKUP(L10,Nebenkultur[[Nebenkultur]:[Legum. Zwischenfr.]],'#Zweitfr'!$I$1,FALSE))</f>
        <v/>
      </c>
      <c r="P10" s="1324" t="str">
        <f>IF('#BerechnungDBE'!M5=3,J10,'#Frucht'!$D$8)</f>
        <v xml:space="preserve"> --  </v>
      </c>
      <c r="Q10" s="1499" t="str">
        <f>'#BerechnungDBE'!J5</f>
        <v/>
      </c>
      <c r="R10" s="1497" t="str">
        <f>'#BerechnungDBE'!K5</f>
        <v/>
      </c>
      <c r="S10" s="1325"/>
      <c r="T10" s="1497" t="str">
        <f>IF('#BerechnungDBE'!AB5=4,'#Boden'!$B$30,IF('#BerechnungDBE'!AB5=3,'#Boden'!$B$31,'#Boden'!$B$32))</f>
        <v xml:space="preserve">  -- </v>
      </c>
      <c r="U10" s="1326"/>
      <c r="V10" s="1327"/>
      <c r="W10" s="1328"/>
      <c r="X10" s="1142" t="str">
        <f>IF(AND(B10="",C10="",D10=""),"",IF('#BerechnungDBE'!DM5&gt;0,"KOPIE",IF(COUNT('#BerechnungDBE'!DO5:DR5)=0,"OK",TRIM(CONCATENATE('#BerechnungDBE'!DN5," ",'#BerechnungDBE'!DO5," ",'#BerechnungDBE'!DP5," ",'#BerechnungDBE'!DQ5," ",'#BerechnungDBE'!DR5)))))</f>
        <v/>
      </c>
      <c r="Y10" s="1143"/>
    </row>
    <row r="11" spans="1:68" s="130" customFormat="1" ht="15" customHeight="1" x14ac:dyDescent="0.2">
      <c r="A11" s="174">
        <v>2</v>
      </c>
      <c r="B11" s="1319" t="str">
        <f>IF('Daten aus 2021'!B8="","",'Daten aus 2021'!B8)</f>
        <v/>
      </c>
      <c r="C11" s="1498" t="str">
        <f>IF('Daten aus 2021'!C8="","",'Daten aus 2021'!C8)</f>
        <v/>
      </c>
      <c r="D11" s="1320" t="str">
        <f>IF('Daten aus 2021'!D8="","",'Daten aus 2021'!D8)</f>
        <v/>
      </c>
      <c r="E11" s="1321" t="s">
        <v>315</v>
      </c>
      <c r="F11" s="1500" t="str">
        <f>IF('Daten aus 2021'!E8="",IF(AND(D11&lt;1,D11&lt;&gt;""),'#Boden'!$G$6,'#Boden'!$G$4),'Daten aus 2021'!E8)</f>
        <v xml:space="preserve"> --</v>
      </c>
      <c r="G11" s="1319" t="str">
        <f>'#BerechnungDBE'!A6</f>
        <v xml:space="preserve"> --</v>
      </c>
      <c r="H11" s="1501" t="str">
        <f>IF('Daten aus 2021'!G8="",'#Boden'!$B$24,'Daten aus 2021'!G8)</f>
        <v>ja</v>
      </c>
      <c r="I11" s="1500" t="str">
        <f>'#BerechnungDBE'!B6</f>
        <v xml:space="preserve"> --         </v>
      </c>
      <c r="J11" s="1324" t="str">
        <f>'#BerechnungDBE'!F6</f>
        <v xml:space="preserve"> --  </v>
      </c>
      <c r="K11" s="1319" t="str">
        <f>IF(D11="","",IF('Daten aus 2021'!AA8="","",'Daten aus 2021'!AA8))</f>
        <v/>
      </c>
      <c r="L11" s="1321" t="s">
        <v>699</v>
      </c>
      <c r="M11" s="1319" t="s">
        <v>700</v>
      </c>
      <c r="N11" s="1325" t="s">
        <v>701</v>
      </c>
      <c r="O11" s="1325" t="str">
        <f>IF(L11="",'#Zweitfr'!$I$8,VLOOKUP(L11,Nebenkultur[[Nebenkultur]:[Legum. Zwischenfr.]],'#Zweitfr'!$I$1,FALSE))</f>
        <v/>
      </c>
      <c r="P11" s="1324" t="str">
        <f>IF('#BerechnungDBE'!M6=3,J11,'#Frucht'!$D$8)</f>
        <v xml:space="preserve"> --  </v>
      </c>
      <c r="Q11" s="1499" t="str">
        <f>'#BerechnungDBE'!J6</f>
        <v/>
      </c>
      <c r="R11" s="1497" t="str">
        <f>'#BerechnungDBE'!K6</f>
        <v/>
      </c>
      <c r="S11" s="1325"/>
      <c r="T11" s="1497" t="str">
        <f>IF('#BerechnungDBE'!AB6=4,'#Boden'!$B$30,IF('#BerechnungDBE'!AB6=3,'#Boden'!$B$31,'#Boden'!$B$32))</f>
        <v xml:space="preserve">  -- </v>
      </c>
      <c r="U11" s="1326"/>
      <c r="V11" s="1327"/>
      <c r="W11" s="1328"/>
      <c r="X11" s="1142" t="str">
        <f>IF(AND(B11="",C11="",D11=""),"",IF('#BerechnungDBE'!DM6&gt;0,"KOPIE",IF(COUNT('#BerechnungDBE'!DO6:DR6)=0,"OK",TRIM(CONCATENATE('#BerechnungDBE'!DN6," ",'#BerechnungDBE'!DO6," ",'#BerechnungDBE'!DP6," ",'#BerechnungDBE'!DQ6," ",'#BerechnungDBE'!DR6)))))</f>
        <v/>
      </c>
      <c r="Y11" s="1143"/>
    </row>
    <row r="12" spans="1:68" s="130" customFormat="1" ht="15" customHeight="1" x14ac:dyDescent="0.2">
      <c r="A12" s="876">
        <v>3</v>
      </c>
      <c r="B12" s="1319" t="str">
        <f>IF('Daten aus 2021'!B9="","",'Daten aus 2021'!B9)</f>
        <v/>
      </c>
      <c r="C12" s="1487" t="str">
        <f>IF('Daten aus 2021'!C9="","",'Daten aus 2021'!C9)</f>
        <v/>
      </c>
      <c r="D12" s="1320" t="str">
        <f>IF('Daten aus 2021'!D9="","",'Daten aus 2021'!D9)</f>
        <v/>
      </c>
      <c r="E12" s="1321" t="s">
        <v>315</v>
      </c>
      <c r="F12" s="1322" t="str">
        <f>IF('Daten aus 2021'!E9="",IF(AND(D12&lt;1,D12&lt;&gt;""),'#Boden'!$G$6,'#Boden'!$G$4),'Daten aus 2021'!E9)</f>
        <v xml:space="preserve"> --</v>
      </c>
      <c r="G12" s="1319" t="str">
        <f>'#BerechnungDBE'!A7</f>
        <v xml:space="preserve"> --</v>
      </c>
      <c r="H12" s="1323" t="str">
        <f>IF('Daten aus 2021'!G9="",'#Boden'!$B$24,'Daten aus 2021'!G9)</f>
        <v>ja</v>
      </c>
      <c r="I12" s="1322" t="str">
        <f>'#BerechnungDBE'!B7</f>
        <v xml:space="preserve"> --         </v>
      </c>
      <c r="J12" s="1324" t="str">
        <f>'#BerechnungDBE'!F7</f>
        <v xml:space="preserve"> --  </v>
      </c>
      <c r="K12" s="1319" t="str">
        <f>IF(D12="","",IF('Daten aus 2021'!AA9="","",'Daten aus 2021'!AA9))</f>
        <v/>
      </c>
      <c r="L12" s="1321" t="s">
        <v>699</v>
      </c>
      <c r="M12" s="1319" t="s">
        <v>700</v>
      </c>
      <c r="N12" s="1325" t="s">
        <v>701</v>
      </c>
      <c r="O12" s="1325" t="str">
        <f>IF(L12="",'#Zweitfr'!$I$8,VLOOKUP(L12,Nebenkultur[[Nebenkultur]:[Legum. Zwischenfr.]],'#Zweitfr'!$I$1,FALSE))</f>
        <v/>
      </c>
      <c r="P12" s="1324" t="str">
        <f>IF('#BerechnungDBE'!M7=3,J12,'#Frucht'!$D$8)</f>
        <v xml:space="preserve"> --  </v>
      </c>
      <c r="Q12" s="1499" t="str">
        <f>'#BerechnungDBE'!J7</f>
        <v/>
      </c>
      <c r="R12" s="1496" t="str">
        <f>'#BerechnungDBE'!K7</f>
        <v/>
      </c>
      <c r="S12" s="1325"/>
      <c r="T12" s="1486" t="str">
        <f>IF('#BerechnungDBE'!AB7=4,'#Boden'!$B$30,IF('#BerechnungDBE'!AB7=3,'#Boden'!$B$31,'#Boden'!$B$32))</f>
        <v xml:space="preserve">  -- </v>
      </c>
      <c r="U12" s="1326"/>
      <c r="V12" s="1327"/>
      <c r="W12" s="1328"/>
      <c r="X12" s="1142" t="str">
        <f>IF(AND(B12="",C12="",D12=""),"",IF('#BerechnungDBE'!DM7&gt;0,"KOPIE",IF(COUNT('#BerechnungDBE'!DO7:DR7)=0,"OK",TRIM(CONCATENATE('#BerechnungDBE'!DN7," ",'#BerechnungDBE'!DO7," ",'#BerechnungDBE'!DP7," ",'#BerechnungDBE'!DQ7," ",'#BerechnungDBE'!DR7)))))</f>
        <v/>
      </c>
      <c r="Y12" s="1143"/>
    </row>
    <row r="13" spans="1:68" s="130" customFormat="1" ht="15" customHeight="1" x14ac:dyDescent="0.2">
      <c r="A13" s="876">
        <v>4</v>
      </c>
      <c r="B13" s="1319" t="str">
        <f>IF('Daten aus 2021'!B10="","",'Daten aus 2021'!B10)</f>
        <v/>
      </c>
      <c r="C13" s="1487" t="str">
        <f>IF('Daten aus 2021'!C10="","",'Daten aus 2021'!C10)</f>
        <v/>
      </c>
      <c r="D13" s="1320" t="str">
        <f>IF('Daten aus 2021'!D10="","",'Daten aus 2021'!D10)</f>
        <v/>
      </c>
      <c r="E13" s="1321" t="s">
        <v>315</v>
      </c>
      <c r="F13" s="1322" t="str">
        <f>IF('Daten aus 2021'!E10="",IF(AND(D13&lt;1,D13&lt;&gt;""),'#Boden'!$G$6,'#Boden'!$G$4),'Daten aus 2021'!E10)</f>
        <v xml:space="preserve"> --</v>
      </c>
      <c r="G13" s="1319" t="str">
        <f>'#BerechnungDBE'!A8</f>
        <v xml:space="preserve"> --</v>
      </c>
      <c r="H13" s="1323" t="str">
        <f>IF('Daten aus 2021'!G10="",'#Boden'!$B$24,'Daten aus 2021'!G10)</f>
        <v>ja</v>
      </c>
      <c r="I13" s="1322" t="str">
        <f>'#BerechnungDBE'!B8</f>
        <v xml:space="preserve"> --         </v>
      </c>
      <c r="J13" s="1324" t="str">
        <f>'#BerechnungDBE'!F8</f>
        <v xml:space="preserve"> --  </v>
      </c>
      <c r="K13" s="1319" t="str">
        <f>IF(D13="","",IF('Daten aus 2021'!AA10="","",'Daten aus 2021'!AA10))</f>
        <v/>
      </c>
      <c r="L13" s="1321" t="s">
        <v>699</v>
      </c>
      <c r="M13" s="1325" t="s">
        <v>700</v>
      </c>
      <c r="N13" s="1325" t="s">
        <v>701</v>
      </c>
      <c r="O13" s="1325" t="str">
        <f>IF(L13="",'#Zweitfr'!$I$8,VLOOKUP(L13,Nebenkultur[[Nebenkultur]:[Legum. Zwischenfr.]],'#Zweitfr'!$I$1,FALSE))</f>
        <v/>
      </c>
      <c r="P13" s="1324" t="str">
        <f>IF('#BerechnungDBE'!M8=3,J13,'#Frucht'!$D$8)</f>
        <v xml:space="preserve"> --  </v>
      </c>
      <c r="Q13" s="1499" t="str">
        <f>'#BerechnungDBE'!J8</f>
        <v/>
      </c>
      <c r="R13" s="1496" t="str">
        <f>'#BerechnungDBE'!K8</f>
        <v/>
      </c>
      <c r="S13" s="1325"/>
      <c r="T13" s="1486" t="str">
        <f>IF('#BerechnungDBE'!AB8=4,'#Boden'!$B$30,IF('#BerechnungDBE'!AB8=3,'#Boden'!$B$31,'#Boden'!$B$32))</f>
        <v xml:space="preserve">  -- </v>
      </c>
      <c r="U13" s="1326"/>
      <c r="V13" s="1327"/>
      <c r="W13" s="1328"/>
      <c r="X13" s="1142" t="str">
        <f>IF(AND(B13="",C13="",D13=""),"",IF('#BerechnungDBE'!DM8&gt;0,"KOPIE",IF(COUNT('#BerechnungDBE'!DO8:DR8)=0,"OK",TRIM(CONCATENATE('#BerechnungDBE'!DN8," ",'#BerechnungDBE'!DO8," ",'#BerechnungDBE'!DP8," ",'#BerechnungDBE'!DQ8," ",'#BerechnungDBE'!DR8)))))</f>
        <v/>
      </c>
      <c r="Y13" s="1143"/>
    </row>
    <row r="14" spans="1:68" s="130" customFormat="1" ht="15" customHeight="1" x14ac:dyDescent="0.2">
      <c r="A14" s="876">
        <v>5</v>
      </c>
      <c r="B14" s="1319" t="str">
        <f>IF('Daten aus 2021'!B11="","",'Daten aus 2021'!B11)</f>
        <v/>
      </c>
      <c r="C14" s="1487" t="str">
        <f>IF('Daten aus 2021'!C11="","",'Daten aus 2021'!C11)</f>
        <v/>
      </c>
      <c r="D14" s="1320" t="str">
        <f>IF('Daten aus 2021'!D11="","",'Daten aus 2021'!D11)</f>
        <v/>
      </c>
      <c r="E14" s="1321" t="s">
        <v>315</v>
      </c>
      <c r="F14" s="1322" t="str">
        <f>IF('Daten aus 2021'!E11="",IF(AND(D14&lt;1,D14&lt;&gt;""),'#Boden'!$G$6,'#Boden'!$G$4),'Daten aus 2021'!E11)</f>
        <v xml:space="preserve"> --</v>
      </c>
      <c r="G14" s="1319" t="str">
        <f>'#BerechnungDBE'!A9</f>
        <v xml:space="preserve"> --</v>
      </c>
      <c r="H14" s="1323" t="str">
        <f>IF('Daten aus 2021'!G11="",'#Boden'!$B$24,'Daten aus 2021'!G11)</f>
        <v>ja</v>
      </c>
      <c r="I14" s="1322" t="str">
        <f>'#BerechnungDBE'!B9</f>
        <v xml:space="preserve"> --         </v>
      </c>
      <c r="J14" s="1324" t="str">
        <f>'#BerechnungDBE'!F9</f>
        <v xml:space="preserve"> --  </v>
      </c>
      <c r="K14" s="1319" t="str">
        <f>IF(D14="","",IF('Daten aus 2021'!AA11="","",'Daten aus 2021'!AA11))</f>
        <v/>
      </c>
      <c r="L14" s="1321" t="s">
        <v>699</v>
      </c>
      <c r="M14" s="1319" t="s">
        <v>700</v>
      </c>
      <c r="N14" s="1325" t="s">
        <v>701</v>
      </c>
      <c r="O14" s="1325" t="str">
        <f>IF(L14="",'#Zweitfr'!$I$8,VLOOKUP(L14,Nebenkultur[[Nebenkultur]:[Legum. Zwischenfr.]],'#Zweitfr'!$I$1,FALSE))</f>
        <v/>
      </c>
      <c r="P14" s="1324" t="str">
        <f>IF('#BerechnungDBE'!M9=3,J14,'#Frucht'!$D$8)</f>
        <v xml:space="preserve"> --  </v>
      </c>
      <c r="Q14" s="1499" t="str">
        <f>'#BerechnungDBE'!J9</f>
        <v/>
      </c>
      <c r="R14" s="1496" t="str">
        <f>'#BerechnungDBE'!K9</f>
        <v/>
      </c>
      <c r="S14" s="1325"/>
      <c r="T14" s="1486" t="str">
        <f>IF('#BerechnungDBE'!AB9=4,'#Boden'!$B$30,IF('#BerechnungDBE'!AB9=3,'#Boden'!$B$31,'#Boden'!$B$32))</f>
        <v xml:space="preserve">  -- </v>
      </c>
      <c r="U14" s="1326"/>
      <c r="V14" s="1327"/>
      <c r="W14" s="1328"/>
      <c r="X14" s="1142" t="str">
        <f>IF(AND(B14="",C14="",D14=""),"",IF('#BerechnungDBE'!DM9&gt;0,"KOPIE",IF(COUNT('#BerechnungDBE'!DO9:DR9)=0,"OK",TRIM(CONCATENATE('#BerechnungDBE'!DN9," ",'#BerechnungDBE'!DO9," ",'#BerechnungDBE'!DP9," ",'#BerechnungDBE'!DQ9," ",'#BerechnungDBE'!DR9)))))</f>
        <v/>
      </c>
      <c r="Y14" s="1143"/>
    </row>
    <row r="15" spans="1:68" s="130" customFormat="1" ht="15" customHeight="1" x14ac:dyDescent="0.2">
      <c r="A15" s="876">
        <v>6</v>
      </c>
      <c r="B15" s="1319" t="str">
        <f>IF('Daten aus 2021'!B12="","",'Daten aus 2021'!B12)</f>
        <v/>
      </c>
      <c r="C15" s="1487" t="str">
        <f>IF('Daten aus 2021'!C12="","",'Daten aus 2021'!C12)</f>
        <v/>
      </c>
      <c r="D15" s="1320" t="str">
        <f>IF('Daten aus 2021'!D12="","",'Daten aus 2021'!D12)</f>
        <v/>
      </c>
      <c r="E15" s="1321" t="s">
        <v>315</v>
      </c>
      <c r="F15" s="1322" t="str">
        <f>IF('Daten aus 2021'!E12="",IF(AND(D15&lt;1,D15&lt;&gt;""),'#Boden'!$G$6,'#Boden'!$G$4),'Daten aus 2021'!E12)</f>
        <v xml:space="preserve"> --</v>
      </c>
      <c r="G15" s="1319" t="str">
        <f>'#BerechnungDBE'!A10</f>
        <v xml:space="preserve"> --</v>
      </c>
      <c r="H15" s="1323" t="str">
        <f>IF('Daten aus 2021'!G12="",'#Boden'!$B$24,'Daten aus 2021'!G12)</f>
        <v>ja</v>
      </c>
      <c r="I15" s="1322" t="str">
        <f>'#BerechnungDBE'!B10</f>
        <v xml:space="preserve"> --         </v>
      </c>
      <c r="J15" s="1324" t="str">
        <f>'#BerechnungDBE'!F10</f>
        <v xml:space="preserve"> --  </v>
      </c>
      <c r="K15" s="1319" t="str">
        <f>IF(D15="","",IF('Daten aus 2021'!AA12="","",'Daten aus 2021'!AA12))</f>
        <v/>
      </c>
      <c r="L15" s="1321" t="s">
        <v>699</v>
      </c>
      <c r="M15" s="1325" t="s">
        <v>700</v>
      </c>
      <c r="N15" s="1325" t="s">
        <v>701</v>
      </c>
      <c r="O15" s="1325" t="str">
        <f>IF(L15="",'#Zweitfr'!$I$8,VLOOKUP(L15,Nebenkultur[[Nebenkultur]:[Legum. Zwischenfr.]],'#Zweitfr'!$I$1,FALSE))</f>
        <v/>
      </c>
      <c r="P15" s="1324" t="str">
        <f>IF('#BerechnungDBE'!M10=3,J15,'#Frucht'!$D$8)</f>
        <v xml:space="preserve"> --  </v>
      </c>
      <c r="Q15" s="1499" t="str">
        <f>'#BerechnungDBE'!J10</f>
        <v/>
      </c>
      <c r="R15" s="1496" t="str">
        <f>'#BerechnungDBE'!K10</f>
        <v/>
      </c>
      <c r="S15" s="1325"/>
      <c r="T15" s="1486" t="str">
        <f>IF('#BerechnungDBE'!AB10=4,'#Boden'!$B$30,IF('#BerechnungDBE'!AB10=3,'#Boden'!$B$31,'#Boden'!$B$32))</f>
        <v xml:space="preserve">  -- </v>
      </c>
      <c r="U15" s="1326"/>
      <c r="V15" s="1327"/>
      <c r="W15" s="1328"/>
      <c r="X15" s="1142" t="str">
        <f>IF(AND(B15="",C15="",D15=""),"",IF('#BerechnungDBE'!DM10&gt;0,"KOPIE",IF(COUNT('#BerechnungDBE'!DO10:DR10)=0,"OK",TRIM(CONCATENATE('#BerechnungDBE'!DN10," ",'#BerechnungDBE'!DO10," ",'#BerechnungDBE'!DP10," ",'#BerechnungDBE'!DQ10," ",'#BerechnungDBE'!DR10)))))</f>
        <v/>
      </c>
      <c r="Y15" s="1143"/>
    </row>
    <row r="16" spans="1:68" s="130" customFormat="1" ht="15" customHeight="1" x14ac:dyDescent="0.2">
      <c r="A16" s="876">
        <v>7</v>
      </c>
      <c r="B16" s="1319" t="str">
        <f>IF('Daten aus 2021'!B13="","",'Daten aus 2021'!B13)</f>
        <v/>
      </c>
      <c r="C16" s="1487" t="str">
        <f>IF('Daten aus 2021'!C13="","",'Daten aus 2021'!C13)</f>
        <v/>
      </c>
      <c r="D16" s="1320" t="str">
        <f>IF('Daten aus 2021'!D13="","",'Daten aus 2021'!D13)</f>
        <v/>
      </c>
      <c r="E16" s="1321" t="s">
        <v>315</v>
      </c>
      <c r="F16" s="1322" t="str">
        <f>IF('Daten aus 2021'!E13="",IF(AND(D16&lt;1,D16&lt;&gt;""),'#Boden'!$G$6,'#Boden'!$G$4),'Daten aus 2021'!E13)</f>
        <v xml:space="preserve"> --</v>
      </c>
      <c r="G16" s="1319" t="str">
        <f>'#BerechnungDBE'!A11</f>
        <v xml:space="preserve"> --</v>
      </c>
      <c r="H16" s="1323" t="str">
        <f>IF('Daten aus 2021'!G13="",'#Boden'!$B$24,'Daten aus 2021'!G13)</f>
        <v>ja</v>
      </c>
      <c r="I16" s="1322" t="str">
        <f>'#BerechnungDBE'!B11</f>
        <v xml:space="preserve"> --         </v>
      </c>
      <c r="J16" s="1324" t="str">
        <f>'#BerechnungDBE'!F11</f>
        <v xml:space="preserve"> --  </v>
      </c>
      <c r="K16" s="1319" t="str">
        <f>IF(D16="","",IF('Daten aus 2021'!AA13="","",'Daten aus 2021'!AA13))</f>
        <v/>
      </c>
      <c r="L16" s="1321" t="s">
        <v>699</v>
      </c>
      <c r="M16" s="1319" t="s">
        <v>700</v>
      </c>
      <c r="N16" s="1325" t="s">
        <v>701</v>
      </c>
      <c r="O16" s="1325" t="str">
        <f>IF(L16="",'#Zweitfr'!$I$8,VLOOKUP(L16,Nebenkultur[[Nebenkultur]:[Legum. Zwischenfr.]],'#Zweitfr'!$I$1,FALSE))</f>
        <v/>
      </c>
      <c r="P16" s="1324" t="str">
        <f>IF('#BerechnungDBE'!M11=3,J16,'#Frucht'!$D$8)</f>
        <v xml:space="preserve"> --  </v>
      </c>
      <c r="Q16" s="1499" t="str">
        <f>'#BerechnungDBE'!J11</f>
        <v/>
      </c>
      <c r="R16" s="1496" t="str">
        <f>'#BerechnungDBE'!K11</f>
        <v/>
      </c>
      <c r="S16" s="1325"/>
      <c r="T16" s="1486" t="str">
        <f>IF('#BerechnungDBE'!AB11=4,'#Boden'!$B$30,IF('#BerechnungDBE'!AB11=3,'#Boden'!$B$31,'#Boden'!$B$32))</f>
        <v xml:space="preserve">  -- </v>
      </c>
      <c r="U16" s="1326"/>
      <c r="V16" s="1327"/>
      <c r="W16" s="1328"/>
      <c r="X16" s="1142" t="str">
        <f>IF(AND(B16="",C16="",D16=""),"",IF('#BerechnungDBE'!DM11&gt;0,"KOPIE",IF(COUNT('#BerechnungDBE'!DO11:DR11)=0,"OK",TRIM(CONCATENATE('#BerechnungDBE'!DN11," ",'#BerechnungDBE'!DO11," ",'#BerechnungDBE'!DP11," ",'#BerechnungDBE'!DQ11," ",'#BerechnungDBE'!DR11)))))</f>
        <v/>
      </c>
      <c r="Y16" s="1143"/>
    </row>
    <row r="17" spans="1:25" s="130" customFormat="1" ht="15" customHeight="1" x14ac:dyDescent="0.2">
      <c r="A17" s="876">
        <v>8</v>
      </c>
      <c r="B17" s="1319" t="str">
        <f>IF('Daten aus 2021'!B14="","",'Daten aus 2021'!B14)</f>
        <v/>
      </c>
      <c r="C17" s="1487" t="str">
        <f>IF('Daten aus 2021'!C14="","",'Daten aus 2021'!C14)</f>
        <v/>
      </c>
      <c r="D17" s="1320" t="str">
        <f>IF('Daten aus 2021'!D14="","",'Daten aus 2021'!D14)</f>
        <v/>
      </c>
      <c r="E17" s="1321" t="s">
        <v>315</v>
      </c>
      <c r="F17" s="1322" t="str">
        <f>IF('Daten aus 2021'!E14="",IF(AND(D17&lt;1,D17&lt;&gt;""),'#Boden'!$G$6,'#Boden'!$G$4),'Daten aus 2021'!E14)</f>
        <v xml:space="preserve"> --</v>
      </c>
      <c r="G17" s="1319" t="str">
        <f>'#BerechnungDBE'!A12</f>
        <v xml:space="preserve"> --</v>
      </c>
      <c r="H17" s="1323" t="str">
        <f>IF('Daten aus 2021'!G14="",'#Boden'!$B$24,'Daten aus 2021'!G14)</f>
        <v>ja</v>
      </c>
      <c r="I17" s="1322" t="str">
        <f>'#BerechnungDBE'!B12</f>
        <v xml:space="preserve"> --         </v>
      </c>
      <c r="J17" s="1324" t="str">
        <f>'#BerechnungDBE'!F12</f>
        <v xml:space="preserve"> --  </v>
      </c>
      <c r="K17" s="1319" t="str">
        <f>IF(D17="","",IF('Daten aus 2021'!AA14="","",'Daten aus 2021'!AA14))</f>
        <v/>
      </c>
      <c r="L17" s="1321" t="s">
        <v>699</v>
      </c>
      <c r="M17" s="1325" t="s">
        <v>700</v>
      </c>
      <c r="N17" s="1325" t="s">
        <v>701</v>
      </c>
      <c r="O17" s="1325" t="str">
        <f>IF(L17="",'#Zweitfr'!$I$8,VLOOKUP(L17,Nebenkultur[[Nebenkultur]:[Legum. Zwischenfr.]],'#Zweitfr'!$I$1,FALSE))</f>
        <v/>
      </c>
      <c r="P17" s="1324" t="str">
        <f>IF('#BerechnungDBE'!M12=3,J17,'#Frucht'!$D$8)</f>
        <v xml:space="preserve"> --  </v>
      </c>
      <c r="Q17" s="1499" t="str">
        <f>'#BerechnungDBE'!J12</f>
        <v/>
      </c>
      <c r="R17" s="1496" t="str">
        <f>'#BerechnungDBE'!K12</f>
        <v/>
      </c>
      <c r="S17" s="1325"/>
      <c r="T17" s="1486" t="str">
        <f>IF('#BerechnungDBE'!AB12=4,'#Boden'!$B$30,IF('#BerechnungDBE'!AB12=3,'#Boden'!$B$31,'#Boden'!$B$32))</f>
        <v xml:space="preserve">  -- </v>
      </c>
      <c r="U17" s="1326"/>
      <c r="V17" s="1327"/>
      <c r="W17" s="1328"/>
      <c r="X17" s="1142" t="str">
        <f>IF(AND(B17="",C17="",D17=""),"",IF('#BerechnungDBE'!DM12&gt;0,"KOPIE",IF(COUNT('#BerechnungDBE'!DO12:DR12)=0,"OK",TRIM(CONCATENATE('#BerechnungDBE'!DN12," ",'#BerechnungDBE'!DO12," ",'#BerechnungDBE'!DP12," ",'#BerechnungDBE'!DQ12," ",'#BerechnungDBE'!DR12)))))</f>
        <v/>
      </c>
      <c r="Y17" s="1143"/>
    </row>
    <row r="18" spans="1:25" s="130" customFormat="1" ht="15" customHeight="1" x14ac:dyDescent="0.2">
      <c r="A18" s="876">
        <v>9</v>
      </c>
      <c r="B18" s="1319" t="str">
        <f>IF('Daten aus 2021'!B15="","",'Daten aus 2021'!B15)</f>
        <v/>
      </c>
      <c r="C18" s="1492" t="str">
        <f>IF('Daten aus 2021'!C15="","",'Daten aus 2021'!C15)</f>
        <v/>
      </c>
      <c r="D18" s="1320" t="str">
        <f>IF('Daten aus 2021'!D15="","",'Daten aus 2021'!D15)</f>
        <v/>
      </c>
      <c r="E18" s="1321" t="s">
        <v>315</v>
      </c>
      <c r="F18" s="1322" t="str">
        <f>IF('Daten aus 2021'!E15="",IF(AND(D18&lt;1,D18&lt;&gt;""),'#Boden'!$G$6,'#Boden'!$G$4),'Daten aus 2021'!E15)</f>
        <v xml:space="preserve"> --</v>
      </c>
      <c r="G18" s="1319" t="str">
        <f>'#BerechnungDBE'!A13</f>
        <v xml:space="preserve"> --</v>
      </c>
      <c r="H18" s="1323" t="str">
        <f>IF('Daten aus 2021'!G15="",'#Boden'!$B$24,'Daten aus 2021'!G15)</f>
        <v>ja</v>
      </c>
      <c r="I18" s="1322" t="str">
        <f>'#BerechnungDBE'!B13</f>
        <v xml:space="preserve"> --         </v>
      </c>
      <c r="J18" s="1324" t="str">
        <f>'#BerechnungDBE'!F13</f>
        <v xml:space="preserve"> --  </v>
      </c>
      <c r="K18" s="1319" t="str">
        <f>IF(D18="","",IF('Daten aus 2021'!AA15="","",'Daten aus 2021'!AA15))</f>
        <v/>
      </c>
      <c r="L18" s="1321" t="s">
        <v>699</v>
      </c>
      <c r="M18" s="1319" t="s">
        <v>700</v>
      </c>
      <c r="N18" s="1325" t="s">
        <v>701</v>
      </c>
      <c r="O18" s="1325" t="str">
        <f>IF(L18="",'#Zweitfr'!$I$8,VLOOKUP(L18,Nebenkultur[[Nebenkultur]:[Legum. Zwischenfr.]],'#Zweitfr'!$I$1,FALSE))</f>
        <v/>
      </c>
      <c r="P18" s="1324" t="str">
        <f>IF('#BerechnungDBE'!M13=3,J18,'#Frucht'!$D$8)</f>
        <v xml:space="preserve"> --  </v>
      </c>
      <c r="Q18" s="1499" t="str">
        <f>'#BerechnungDBE'!J13</f>
        <v/>
      </c>
      <c r="R18" s="1496" t="str">
        <f>'#BerechnungDBE'!K13</f>
        <v/>
      </c>
      <c r="S18" s="1325"/>
      <c r="T18" s="1491" t="str">
        <f>IF('#BerechnungDBE'!AB13=4,'#Boden'!$B$30,IF('#BerechnungDBE'!AB13=3,'#Boden'!$B$31,'#Boden'!$B$32))</f>
        <v xml:space="preserve">  -- </v>
      </c>
      <c r="U18" s="1326"/>
      <c r="V18" s="1327"/>
      <c r="W18" s="1328"/>
      <c r="X18" s="1142" t="str">
        <f>IF(AND(B18="",C18="",D18=""),"",IF('#BerechnungDBE'!DM13&gt;0,"KOPIE",IF(COUNT('#BerechnungDBE'!DO13:DR13)=0,"OK",TRIM(CONCATENATE('#BerechnungDBE'!DN13," ",'#BerechnungDBE'!DO13," ",'#BerechnungDBE'!DP13," ",'#BerechnungDBE'!DQ13," ",'#BerechnungDBE'!DR13)))))</f>
        <v/>
      </c>
      <c r="Y18" s="1143"/>
    </row>
    <row r="19" spans="1:25" s="130" customFormat="1" ht="15" customHeight="1" x14ac:dyDescent="0.2">
      <c r="A19" s="876">
        <v>10</v>
      </c>
      <c r="B19" s="1319" t="str">
        <f>IF('Daten aus 2021'!B16="","",'Daten aus 2021'!B16)</f>
        <v/>
      </c>
      <c r="C19" s="1492" t="str">
        <f>IF('Daten aus 2021'!C16="","",'Daten aus 2021'!C16)</f>
        <v/>
      </c>
      <c r="D19" s="1320" t="str">
        <f>IF('Daten aus 2021'!D16="","",'Daten aus 2021'!D16)</f>
        <v/>
      </c>
      <c r="E19" s="1321" t="s">
        <v>315</v>
      </c>
      <c r="F19" s="1322" t="str">
        <f>IF('Daten aus 2021'!E16="",IF(AND(D19&lt;1,D19&lt;&gt;""),'#Boden'!$G$6,'#Boden'!$G$4),'Daten aus 2021'!E16)</f>
        <v xml:space="preserve"> --</v>
      </c>
      <c r="G19" s="1319" t="str">
        <f>'#BerechnungDBE'!A14</f>
        <v xml:space="preserve"> --</v>
      </c>
      <c r="H19" s="1323" t="str">
        <f>IF('Daten aus 2021'!G16="",'#Boden'!$B$24,'Daten aus 2021'!G16)</f>
        <v>ja</v>
      </c>
      <c r="I19" s="1322" t="str">
        <f>'#BerechnungDBE'!B14</f>
        <v xml:space="preserve"> --         </v>
      </c>
      <c r="J19" s="1324" t="str">
        <f>'#BerechnungDBE'!F14</f>
        <v xml:space="preserve"> --  </v>
      </c>
      <c r="K19" s="1319" t="str">
        <f>IF(D19="","",IF('Daten aus 2021'!AA16="","",'Daten aus 2021'!AA16))</f>
        <v/>
      </c>
      <c r="L19" s="1321" t="s">
        <v>699</v>
      </c>
      <c r="M19" s="1319" t="s">
        <v>700</v>
      </c>
      <c r="N19" s="1325" t="s">
        <v>701</v>
      </c>
      <c r="O19" s="1325" t="str">
        <f>IF(L19="",'#Zweitfr'!$I$8,VLOOKUP(L19,Nebenkultur[[Nebenkultur]:[Legum. Zwischenfr.]],'#Zweitfr'!$I$1,FALSE))</f>
        <v/>
      </c>
      <c r="P19" s="1324" t="str">
        <f>IF('#BerechnungDBE'!M14=3,J19,'#Frucht'!$D$8)</f>
        <v xml:space="preserve"> --  </v>
      </c>
      <c r="Q19" s="1499" t="str">
        <f>'#BerechnungDBE'!J14</f>
        <v/>
      </c>
      <c r="R19" s="1496" t="str">
        <f>'#BerechnungDBE'!K14</f>
        <v/>
      </c>
      <c r="S19" s="1325"/>
      <c r="T19" s="1491" t="str">
        <f>IF('#BerechnungDBE'!AB14=4,'#Boden'!$B$30,IF('#BerechnungDBE'!AB14=3,'#Boden'!$B$31,'#Boden'!$B$32))</f>
        <v xml:space="preserve">  -- </v>
      </c>
      <c r="U19" s="1326"/>
      <c r="V19" s="1327"/>
      <c r="W19" s="1328"/>
      <c r="X19" s="1142" t="str">
        <f>IF(AND(B19="",C19="",D19=""),"",IF('#BerechnungDBE'!DM14&gt;0,"KOPIE",IF(COUNT('#BerechnungDBE'!DO14:DR14)=0,"OK",TRIM(CONCATENATE('#BerechnungDBE'!DN14," ",'#BerechnungDBE'!DO14," ",'#BerechnungDBE'!DP14," ",'#BerechnungDBE'!DQ14," ",'#BerechnungDBE'!DR14)))))</f>
        <v/>
      </c>
      <c r="Y19" s="1143"/>
    </row>
    <row r="20" spans="1:25" s="130" customFormat="1" ht="15" customHeight="1" x14ac:dyDescent="0.2">
      <c r="A20" s="876">
        <v>11</v>
      </c>
      <c r="B20" s="1319" t="str">
        <f>IF('Daten aus 2021'!B17="","",'Daten aus 2021'!B17)</f>
        <v/>
      </c>
      <c r="C20" s="1492" t="str">
        <f>IF('Daten aus 2021'!C17="","",'Daten aus 2021'!C17)</f>
        <v/>
      </c>
      <c r="D20" s="1320" t="str">
        <f>IF('Daten aus 2021'!D17="","",'Daten aus 2021'!D17)</f>
        <v/>
      </c>
      <c r="E20" s="1321" t="s">
        <v>315</v>
      </c>
      <c r="F20" s="1322" t="str">
        <f>IF('Daten aus 2021'!E17="",IF(AND(D20&lt;1,D20&lt;&gt;""),'#Boden'!$G$6,'#Boden'!$G$4),'Daten aus 2021'!E17)</f>
        <v xml:space="preserve"> --</v>
      </c>
      <c r="G20" s="1319" t="str">
        <f>'#BerechnungDBE'!A15</f>
        <v xml:space="preserve"> --</v>
      </c>
      <c r="H20" s="1323" t="str">
        <f>IF('Daten aus 2021'!G17="",'#Boden'!$B$24,'Daten aus 2021'!G17)</f>
        <v>ja</v>
      </c>
      <c r="I20" s="1322" t="str">
        <f>'#BerechnungDBE'!B15</f>
        <v xml:space="preserve"> --         </v>
      </c>
      <c r="J20" s="1324" t="str">
        <f>'#BerechnungDBE'!F15</f>
        <v xml:space="preserve"> --  </v>
      </c>
      <c r="K20" s="1319" t="str">
        <f>IF(D20="","",IF('Daten aus 2021'!AA17="","",'Daten aus 2021'!AA17))</f>
        <v/>
      </c>
      <c r="L20" s="1321" t="s">
        <v>699</v>
      </c>
      <c r="M20" s="1319" t="s">
        <v>700</v>
      </c>
      <c r="N20" s="1325" t="s">
        <v>701</v>
      </c>
      <c r="O20" s="1325" t="str">
        <f>IF(L20="",'#Zweitfr'!$I$8,VLOOKUP(L20,Nebenkultur[[Nebenkultur]:[Legum. Zwischenfr.]],'#Zweitfr'!$I$1,FALSE))</f>
        <v/>
      </c>
      <c r="P20" s="1324" t="str">
        <f>IF('#BerechnungDBE'!M15=3,J20,'#Frucht'!$D$8)</f>
        <v xml:space="preserve"> --  </v>
      </c>
      <c r="Q20" s="1499" t="str">
        <f>'#BerechnungDBE'!J15</f>
        <v/>
      </c>
      <c r="R20" s="1496" t="str">
        <f>'#BerechnungDBE'!K15</f>
        <v/>
      </c>
      <c r="S20" s="1325"/>
      <c r="T20" s="1491" t="str">
        <f>IF('#BerechnungDBE'!AB15=4,'#Boden'!$B$30,IF('#BerechnungDBE'!AB15=3,'#Boden'!$B$31,'#Boden'!$B$32))</f>
        <v xml:space="preserve">  -- </v>
      </c>
      <c r="U20" s="1326"/>
      <c r="V20" s="1327"/>
      <c r="W20" s="1328"/>
      <c r="X20" s="1142" t="str">
        <f>IF(AND(B20="",C20="",D20=""),"",IF('#BerechnungDBE'!DM15&gt;0,"KOPIE",IF(COUNT('#BerechnungDBE'!DO15:DR15)=0,"OK",TRIM(CONCATENATE('#BerechnungDBE'!DN15," ",'#BerechnungDBE'!DO15," ",'#BerechnungDBE'!DP15," ",'#BerechnungDBE'!DQ15," ",'#BerechnungDBE'!DR15)))))</f>
        <v/>
      </c>
      <c r="Y20" s="1143"/>
    </row>
    <row r="21" spans="1:25" s="130" customFormat="1" ht="15" customHeight="1" x14ac:dyDescent="0.2">
      <c r="A21" s="876">
        <v>12</v>
      </c>
      <c r="B21" s="1319" t="str">
        <f>IF('Daten aus 2021'!B18="","",'Daten aus 2021'!B18)</f>
        <v/>
      </c>
      <c r="C21" s="1492" t="str">
        <f>IF('Daten aus 2021'!C18="","",'Daten aus 2021'!C18)</f>
        <v/>
      </c>
      <c r="D21" s="1320" t="str">
        <f>IF('Daten aus 2021'!D18="","",'Daten aus 2021'!D18)</f>
        <v/>
      </c>
      <c r="E21" s="1321" t="s">
        <v>315</v>
      </c>
      <c r="F21" s="1322" t="str">
        <f>IF('Daten aus 2021'!E18="",IF(AND(D21&lt;1,D21&lt;&gt;""),'#Boden'!$G$6,'#Boden'!$G$4),'Daten aus 2021'!E18)</f>
        <v xml:space="preserve"> --</v>
      </c>
      <c r="G21" s="1319" t="str">
        <f>'#BerechnungDBE'!A16</f>
        <v xml:space="preserve"> --</v>
      </c>
      <c r="H21" s="1323" t="str">
        <f>IF('Daten aus 2021'!G18="",'#Boden'!$B$24,'Daten aus 2021'!G18)</f>
        <v>ja</v>
      </c>
      <c r="I21" s="1322" t="str">
        <f>'#BerechnungDBE'!B16</f>
        <v xml:space="preserve"> --         </v>
      </c>
      <c r="J21" s="1324" t="str">
        <f>'#BerechnungDBE'!F16</f>
        <v xml:space="preserve"> --  </v>
      </c>
      <c r="K21" s="1319" t="str">
        <f>IF(D21="","",IF('Daten aus 2021'!AA18="","",'Daten aus 2021'!AA18))</f>
        <v/>
      </c>
      <c r="L21" s="1321" t="s">
        <v>699</v>
      </c>
      <c r="M21" s="1319" t="s">
        <v>700</v>
      </c>
      <c r="N21" s="1325" t="s">
        <v>701</v>
      </c>
      <c r="O21" s="1325" t="str">
        <f>IF(L21="",'#Zweitfr'!$I$8,VLOOKUP(L21,Nebenkultur[[Nebenkultur]:[Legum. Zwischenfr.]],'#Zweitfr'!$I$1,FALSE))</f>
        <v/>
      </c>
      <c r="P21" s="1324" t="str">
        <f>IF('#BerechnungDBE'!M16=3,J21,'#Frucht'!$D$8)</f>
        <v xml:space="preserve"> --  </v>
      </c>
      <c r="Q21" s="1499" t="str">
        <f>'#BerechnungDBE'!J16</f>
        <v/>
      </c>
      <c r="R21" s="1496" t="str">
        <f>'#BerechnungDBE'!K16</f>
        <v/>
      </c>
      <c r="S21" s="1325"/>
      <c r="T21" s="1491" t="str">
        <f>IF('#BerechnungDBE'!AB16=4,'#Boden'!$B$30,IF('#BerechnungDBE'!AB16=3,'#Boden'!$B$31,'#Boden'!$B$32))</f>
        <v xml:space="preserve">  -- </v>
      </c>
      <c r="U21" s="1326"/>
      <c r="V21" s="1327"/>
      <c r="W21" s="1328"/>
      <c r="X21" s="1142" t="str">
        <f>IF(AND(B21="",C21="",D21=""),"",IF('#BerechnungDBE'!DM16&gt;0,"KOPIE",IF(COUNT('#BerechnungDBE'!DO16:DR16)=0,"OK",TRIM(CONCATENATE('#BerechnungDBE'!DN16," ",'#BerechnungDBE'!DO16," ",'#BerechnungDBE'!DP16," ",'#BerechnungDBE'!DQ16," ",'#BerechnungDBE'!DR16)))))</f>
        <v/>
      </c>
      <c r="Y21" s="1143"/>
    </row>
    <row r="22" spans="1:25" s="130" customFormat="1" ht="15" customHeight="1" x14ac:dyDescent="0.2">
      <c r="A22" s="876">
        <v>13</v>
      </c>
      <c r="B22" s="1319" t="str">
        <f>IF('Daten aus 2021'!B19="","",'Daten aus 2021'!B19)</f>
        <v/>
      </c>
      <c r="C22" s="1487" t="str">
        <f>IF('Daten aus 2021'!C19="","",'Daten aus 2021'!C19)</f>
        <v/>
      </c>
      <c r="D22" s="1320" t="str">
        <f>IF('Daten aus 2021'!D19="","",'Daten aus 2021'!D19)</f>
        <v/>
      </c>
      <c r="E22" s="1321" t="s">
        <v>315</v>
      </c>
      <c r="F22" s="1322" t="str">
        <f>IF('Daten aus 2021'!E19="",IF(AND(D22&lt;1,D22&lt;&gt;""),'#Boden'!$G$6,'#Boden'!$G$4),'Daten aus 2021'!E19)</f>
        <v xml:space="preserve"> --</v>
      </c>
      <c r="G22" s="1319" t="str">
        <f>'#BerechnungDBE'!A17</f>
        <v xml:space="preserve"> --</v>
      </c>
      <c r="H22" s="1323" t="str">
        <f>IF('Daten aus 2021'!G19="",'#Boden'!$B$24,'Daten aus 2021'!G19)</f>
        <v>ja</v>
      </c>
      <c r="I22" s="1322" t="str">
        <f>'#BerechnungDBE'!B17</f>
        <v xml:space="preserve"> --         </v>
      </c>
      <c r="J22" s="1324" t="str">
        <f>'#BerechnungDBE'!F17</f>
        <v xml:space="preserve"> --  </v>
      </c>
      <c r="K22" s="1319" t="str">
        <f>IF(D22="","",IF('Daten aus 2021'!AA19="","",'Daten aus 2021'!AA19))</f>
        <v/>
      </c>
      <c r="L22" s="1321" t="s">
        <v>699</v>
      </c>
      <c r="M22" s="1319" t="s">
        <v>700</v>
      </c>
      <c r="N22" s="1325" t="s">
        <v>701</v>
      </c>
      <c r="O22" s="1325" t="str">
        <f>IF(L22="",'#Zweitfr'!$I$8,VLOOKUP(L22,Nebenkultur[[Nebenkultur]:[Legum. Zwischenfr.]],'#Zweitfr'!$I$1,FALSE))</f>
        <v/>
      </c>
      <c r="P22" s="1324" t="str">
        <f>IF('#BerechnungDBE'!M17=3,J22,'#Frucht'!$D$8)</f>
        <v xml:space="preserve"> --  </v>
      </c>
      <c r="Q22" s="1499" t="str">
        <f>'#BerechnungDBE'!J17</f>
        <v/>
      </c>
      <c r="R22" s="1496" t="str">
        <f>'#BerechnungDBE'!K17</f>
        <v/>
      </c>
      <c r="S22" s="1325"/>
      <c r="T22" s="1486" t="str">
        <f>IF('#BerechnungDBE'!AB17=4,'#Boden'!$B$30,IF('#BerechnungDBE'!AB17=3,'#Boden'!$B$31,'#Boden'!$B$32))</f>
        <v xml:space="preserve">  -- </v>
      </c>
      <c r="U22" s="1326"/>
      <c r="V22" s="1327"/>
      <c r="W22" s="1328"/>
      <c r="X22" s="1142" t="str">
        <f>IF(AND(B22="",C22="",D22=""),"",IF('#BerechnungDBE'!DM17&gt;0,"KOPIE",IF(COUNT('#BerechnungDBE'!DO17:DR17)=0,"OK",TRIM(CONCATENATE('#BerechnungDBE'!DN17," ",'#BerechnungDBE'!DO17," ",'#BerechnungDBE'!DP17," ",'#BerechnungDBE'!DQ17," ",'#BerechnungDBE'!DR17)))))</f>
        <v/>
      </c>
      <c r="Y22" s="1143"/>
    </row>
    <row r="23" spans="1:25" s="130" customFormat="1" ht="15" customHeight="1" x14ac:dyDescent="0.2">
      <c r="A23" s="876">
        <v>14</v>
      </c>
      <c r="B23" s="1319" t="str">
        <f>IF('Daten aus 2021'!B20="","",'Daten aus 2021'!B20)</f>
        <v/>
      </c>
      <c r="C23" s="1487" t="str">
        <f>IF('Daten aus 2021'!C20="","",'Daten aus 2021'!C20)</f>
        <v/>
      </c>
      <c r="D23" s="1320" t="str">
        <f>IF('Daten aus 2021'!D20="","",'Daten aus 2021'!D20)</f>
        <v/>
      </c>
      <c r="E23" s="1321" t="s">
        <v>315</v>
      </c>
      <c r="F23" s="1322" t="str">
        <f>IF('Daten aus 2021'!E20="",IF(AND(D23&lt;1,D23&lt;&gt;""),'#Boden'!$G$6,'#Boden'!$G$4),'Daten aus 2021'!E20)</f>
        <v xml:space="preserve"> --</v>
      </c>
      <c r="G23" s="1319" t="str">
        <f>'#BerechnungDBE'!A18</f>
        <v xml:space="preserve"> --</v>
      </c>
      <c r="H23" s="1323" t="str">
        <f>IF('Daten aus 2021'!G20="",'#Boden'!$B$24,'Daten aus 2021'!G20)</f>
        <v>ja</v>
      </c>
      <c r="I23" s="1322" t="str">
        <f>'#BerechnungDBE'!B18</f>
        <v xml:space="preserve"> --         </v>
      </c>
      <c r="J23" s="1324" t="str">
        <f>'#BerechnungDBE'!F18</f>
        <v xml:space="preserve"> --  </v>
      </c>
      <c r="K23" s="1319" t="str">
        <f>IF(D23="","",IF('Daten aus 2021'!AA20="","",'Daten aus 2021'!AA20))</f>
        <v/>
      </c>
      <c r="L23" s="1321" t="s">
        <v>699</v>
      </c>
      <c r="M23" s="1325" t="s">
        <v>700</v>
      </c>
      <c r="N23" s="1325" t="s">
        <v>701</v>
      </c>
      <c r="O23" s="1325" t="str">
        <f>IF(L23="",'#Zweitfr'!$I$8,VLOOKUP(L23,Nebenkultur[[Nebenkultur]:[Legum. Zwischenfr.]],'#Zweitfr'!$I$1,FALSE))</f>
        <v/>
      </c>
      <c r="P23" s="1324" t="str">
        <f>IF('#BerechnungDBE'!M18=3,J23,'#Frucht'!$D$8)</f>
        <v xml:space="preserve"> --  </v>
      </c>
      <c r="Q23" s="1499" t="str">
        <f>'#BerechnungDBE'!J18</f>
        <v/>
      </c>
      <c r="R23" s="1496" t="str">
        <f>'#BerechnungDBE'!K18</f>
        <v/>
      </c>
      <c r="S23" s="1325"/>
      <c r="T23" s="1486" t="str">
        <f>IF('#BerechnungDBE'!AB18=4,'#Boden'!$B$30,IF('#BerechnungDBE'!AB18=3,'#Boden'!$B$31,'#Boden'!$B$32))</f>
        <v xml:space="preserve">  -- </v>
      </c>
      <c r="U23" s="1326"/>
      <c r="V23" s="1327"/>
      <c r="W23" s="1328"/>
      <c r="X23" s="1142" t="str">
        <f>IF(AND(B23="",C23="",D23=""),"",IF('#BerechnungDBE'!DM18&gt;0,"KOPIE",IF(COUNT('#BerechnungDBE'!DO18:DR18)=0,"OK",TRIM(CONCATENATE('#BerechnungDBE'!DN18," ",'#BerechnungDBE'!DO18," ",'#BerechnungDBE'!DP18," ",'#BerechnungDBE'!DQ18," ",'#BerechnungDBE'!DR18)))))</f>
        <v/>
      </c>
      <c r="Y23" s="1143"/>
    </row>
    <row r="24" spans="1:25" s="130" customFormat="1" ht="15" customHeight="1" x14ac:dyDescent="0.2">
      <c r="A24" s="876">
        <v>15</v>
      </c>
      <c r="B24" s="1319" t="str">
        <f>IF('Daten aus 2021'!B21="","",'Daten aus 2021'!B21)</f>
        <v/>
      </c>
      <c r="C24" s="1487" t="str">
        <f>IF('Daten aus 2021'!C21="","",'Daten aus 2021'!C21)</f>
        <v/>
      </c>
      <c r="D24" s="1320" t="str">
        <f>IF('Daten aus 2021'!D21="","",'Daten aus 2021'!D21)</f>
        <v/>
      </c>
      <c r="E24" s="1321" t="s">
        <v>315</v>
      </c>
      <c r="F24" s="1322" t="str">
        <f>IF('Daten aus 2021'!E21="",IF(AND(D24&lt;1,D24&lt;&gt;""),'#Boden'!$G$6,'#Boden'!$G$4),'Daten aus 2021'!E21)</f>
        <v xml:space="preserve"> --</v>
      </c>
      <c r="G24" s="1319" t="str">
        <f>'#BerechnungDBE'!A19</f>
        <v xml:space="preserve"> --</v>
      </c>
      <c r="H24" s="1323" t="str">
        <f>IF('Daten aus 2021'!G21="",'#Boden'!$B$24,'Daten aus 2021'!G21)</f>
        <v>ja</v>
      </c>
      <c r="I24" s="1322" t="str">
        <f>'#BerechnungDBE'!B19</f>
        <v xml:space="preserve"> --         </v>
      </c>
      <c r="J24" s="1324" t="str">
        <f>'#BerechnungDBE'!F19</f>
        <v xml:space="preserve"> --  </v>
      </c>
      <c r="K24" s="1319" t="str">
        <f>IF(D24="","",IF('Daten aus 2021'!AA21="","",'Daten aus 2021'!AA21))</f>
        <v/>
      </c>
      <c r="L24" s="1321" t="s">
        <v>699</v>
      </c>
      <c r="M24" s="1319" t="s">
        <v>700</v>
      </c>
      <c r="N24" s="1325" t="s">
        <v>701</v>
      </c>
      <c r="O24" s="1325" t="str">
        <f>IF(L24="",'#Zweitfr'!$I$8,VLOOKUP(L24,Nebenkultur[[Nebenkultur]:[Legum. Zwischenfr.]],'#Zweitfr'!$I$1,FALSE))</f>
        <v/>
      </c>
      <c r="P24" s="1324" t="str">
        <f>IF('#BerechnungDBE'!M19=3,J24,'#Frucht'!$D$8)</f>
        <v xml:space="preserve"> --  </v>
      </c>
      <c r="Q24" s="1499" t="str">
        <f>'#BerechnungDBE'!J19</f>
        <v/>
      </c>
      <c r="R24" s="1496" t="str">
        <f>'#BerechnungDBE'!K19</f>
        <v/>
      </c>
      <c r="S24" s="1325"/>
      <c r="T24" s="1486" t="str">
        <f>IF('#BerechnungDBE'!AB19=4,'#Boden'!$B$30,IF('#BerechnungDBE'!AB19=3,'#Boden'!$B$31,'#Boden'!$B$32))</f>
        <v xml:space="preserve">  -- </v>
      </c>
      <c r="U24" s="1326"/>
      <c r="V24" s="1327"/>
      <c r="W24" s="1328"/>
      <c r="X24" s="1142" t="str">
        <f>IF(AND(B24="",C24="",D24=""),"",IF('#BerechnungDBE'!DM19&gt;0,"KOPIE",IF(COUNT('#BerechnungDBE'!DO19:DR19)=0,"OK",TRIM(CONCATENATE('#BerechnungDBE'!DN19," ",'#BerechnungDBE'!DO19," ",'#BerechnungDBE'!DP19," ",'#BerechnungDBE'!DQ19," ",'#BerechnungDBE'!DR19)))))</f>
        <v/>
      </c>
      <c r="Y24" s="1143"/>
    </row>
    <row r="25" spans="1:25" s="130" customFormat="1" ht="15" customHeight="1" x14ac:dyDescent="0.2">
      <c r="A25" s="876">
        <v>16</v>
      </c>
      <c r="B25" s="1319" t="str">
        <f>IF('Daten aus 2021'!B22="","",'Daten aus 2021'!B22)</f>
        <v/>
      </c>
      <c r="C25" s="1487" t="str">
        <f>IF('Daten aus 2021'!C22="","",'Daten aus 2021'!C22)</f>
        <v/>
      </c>
      <c r="D25" s="1320" t="str">
        <f>IF('Daten aus 2021'!D22="","",'Daten aus 2021'!D22)</f>
        <v/>
      </c>
      <c r="E25" s="1321" t="s">
        <v>315</v>
      </c>
      <c r="F25" s="1322" t="str">
        <f>IF('Daten aus 2021'!E22="",IF(AND(D25&lt;1,D25&lt;&gt;""),'#Boden'!$G$6,'#Boden'!$G$4),'Daten aus 2021'!E22)</f>
        <v xml:space="preserve"> --</v>
      </c>
      <c r="G25" s="1319" t="str">
        <f>'#BerechnungDBE'!A20</f>
        <v xml:space="preserve"> --</v>
      </c>
      <c r="H25" s="1323" t="str">
        <f>IF('Daten aus 2021'!G22="",'#Boden'!$B$24,'Daten aus 2021'!G22)</f>
        <v>ja</v>
      </c>
      <c r="I25" s="1322" t="str">
        <f>'#BerechnungDBE'!B20</f>
        <v xml:space="preserve"> --         </v>
      </c>
      <c r="J25" s="1324" t="str">
        <f>'#BerechnungDBE'!F20</f>
        <v xml:space="preserve"> --  </v>
      </c>
      <c r="K25" s="1319" t="str">
        <f>IF(D25="","",IF('Daten aus 2021'!AA22="","",'Daten aus 2021'!AA22))</f>
        <v/>
      </c>
      <c r="L25" s="1321" t="s">
        <v>699</v>
      </c>
      <c r="M25" s="1325" t="s">
        <v>700</v>
      </c>
      <c r="N25" s="1325" t="s">
        <v>701</v>
      </c>
      <c r="O25" s="1325" t="str">
        <f>IF(L25="",'#Zweitfr'!$I$8,VLOOKUP(L25,Nebenkultur[[Nebenkultur]:[Legum. Zwischenfr.]],'#Zweitfr'!$I$1,FALSE))</f>
        <v/>
      </c>
      <c r="P25" s="1324" t="str">
        <f>IF('#BerechnungDBE'!M20=3,J25,'#Frucht'!$D$8)</f>
        <v xml:space="preserve"> --  </v>
      </c>
      <c r="Q25" s="1499" t="str">
        <f>'#BerechnungDBE'!J20</f>
        <v/>
      </c>
      <c r="R25" s="1496" t="str">
        <f>'#BerechnungDBE'!K20</f>
        <v/>
      </c>
      <c r="S25" s="1325"/>
      <c r="T25" s="1486" t="str">
        <f>IF('#BerechnungDBE'!AB20=4,'#Boden'!$B$30,IF('#BerechnungDBE'!AB20=3,'#Boden'!$B$31,'#Boden'!$B$32))</f>
        <v xml:space="preserve">  -- </v>
      </c>
      <c r="U25" s="1326"/>
      <c r="V25" s="1327"/>
      <c r="W25" s="1328"/>
      <c r="X25" s="1142" t="str">
        <f>IF(AND(B25="",C25="",D25=""),"",IF('#BerechnungDBE'!DM20&gt;0,"KOPIE",IF(COUNT('#BerechnungDBE'!DO20:DR20)=0,"OK",TRIM(CONCATENATE('#BerechnungDBE'!DN20," ",'#BerechnungDBE'!DO20," ",'#BerechnungDBE'!DP20," ",'#BerechnungDBE'!DQ20," ",'#BerechnungDBE'!DR20)))))</f>
        <v/>
      </c>
      <c r="Y25" s="1143"/>
    </row>
    <row r="26" spans="1:25" s="130" customFormat="1" ht="15" customHeight="1" x14ac:dyDescent="0.2">
      <c r="A26" s="876">
        <v>17</v>
      </c>
      <c r="B26" s="1319" t="str">
        <f>IF('Daten aus 2021'!B23="","",'Daten aus 2021'!B23)</f>
        <v/>
      </c>
      <c r="C26" s="1487" t="str">
        <f>IF('Daten aus 2021'!C23="","",'Daten aus 2021'!C23)</f>
        <v/>
      </c>
      <c r="D26" s="1320" t="str">
        <f>IF('Daten aus 2021'!D23="","",'Daten aus 2021'!D23)</f>
        <v/>
      </c>
      <c r="E26" s="1321" t="s">
        <v>315</v>
      </c>
      <c r="F26" s="1322" t="str">
        <f>IF('Daten aus 2021'!E23="",IF(AND(D26&lt;1,D26&lt;&gt;""),'#Boden'!$G$6,'#Boden'!$G$4),'Daten aus 2021'!E23)</f>
        <v xml:space="preserve"> --</v>
      </c>
      <c r="G26" s="1319" t="str">
        <f>'#BerechnungDBE'!A21</f>
        <v xml:space="preserve"> --</v>
      </c>
      <c r="H26" s="1323" t="str">
        <f>IF('Daten aus 2021'!G23="",'#Boden'!$B$24,'Daten aus 2021'!G23)</f>
        <v>ja</v>
      </c>
      <c r="I26" s="1322" t="str">
        <f>'#BerechnungDBE'!B21</f>
        <v xml:space="preserve"> --         </v>
      </c>
      <c r="J26" s="1324" t="str">
        <f>'#BerechnungDBE'!F21</f>
        <v xml:space="preserve"> --  </v>
      </c>
      <c r="K26" s="1319" t="str">
        <f>IF(D26="","",IF('Daten aus 2021'!AA23="","",'Daten aus 2021'!AA23))</f>
        <v/>
      </c>
      <c r="L26" s="1321" t="s">
        <v>699</v>
      </c>
      <c r="M26" s="1319" t="s">
        <v>700</v>
      </c>
      <c r="N26" s="1325" t="s">
        <v>701</v>
      </c>
      <c r="O26" s="1325" t="str">
        <f>IF(L26="",'#Zweitfr'!$I$8,VLOOKUP(L26,Nebenkultur[[Nebenkultur]:[Legum. Zwischenfr.]],'#Zweitfr'!$I$1,FALSE))</f>
        <v/>
      </c>
      <c r="P26" s="1324" t="str">
        <f>IF('#BerechnungDBE'!M21=3,J26,'#Frucht'!$D$8)</f>
        <v xml:space="preserve"> --  </v>
      </c>
      <c r="Q26" s="1499" t="str">
        <f>'#BerechnungDBE'!J21</f>
        <v/>
      </c>
      <c r="R26" s="1496" t="str">
        <f>'#BerechnungDBE'!K21</f>
        <v/>
      </c>
      <c r="S26" s="1325"/>
      <c r="T26" s="1486" t="str">
        <f>IF('#BerechnungDBE'!AB21=4,'#Boden'!$B$30,IF('#BerechnungDBE'!AB21=3,'#Boden'!$B$31,'#Boden'!$B$32))</f>
        <v xml:space="preserve">  -- </v>
      </c>
      <c r="U26" s="1326"/>
      <c r="V26" s="1327"/>
      <c r="W26" s="1328"/>
      <c r="X26" s="1142" t="str">
        <f>IF(AND(B26="",C26="",D26=""),"",IF('#BerechnungDBE'!DM21&gt;0,"KOPIE",IF(COUNT('#BerechnungDBE'!DO21:DR21)=0,"OK",TRIM(CONCATENATE('#BerechnungDBE'!DN21," ",'#BerechnungDBE'!DO21," ",'#BerechnungDBE'!DP21," ",'#BerechnungDBE'!DQ21," ",'#BerechnungDBE'!DR21)))))</f>
        <v/>
      </c>
      <c r="Y26" s="1143"/>
    </row>
    <row r="27" spans="1:25" s="130" customFormat="1" ht="15" customHeight="1" x14ac:dyDescent="0.2">
      <c r="A27" s="876">
        <v>18</v>
      </c>
      <c r="B27" s="1319" t="str">
        <f>IF('Daten aus 2021'!B24="","",'Daten aus 2021'!B24)</f>
        <v/>
      </c>
      <c r="C27" s="1487" t="str">
        <f>IF('Daten aus 2021'!C24="","",'Daten aus 2021'!C24)</f>
        <v/>
      </c>
      <c r="D27" s="1320" t="str">
        <f>IF('Daten aus 2021'!D24="","",'Daten aus 2021'!D24)</f>
        <v/>
      </c>
      <c r="E27" s="1321" t="s">
        <v>315</v>
      </c>
      <c r="F27" s="1322" t="str">
        <f>IF('Daten aus 2021'!E24="",IF(AND(D27&lt;1,D27&lt;&gt;""),'#Boden'!$G$6,'#Boden'!$G$4),'Daten aus 2021'!E24)</f>
        <v xml:space="preserve"> --</v>
      </c>
      <c r="G27" s="1319" t="str">
        <f>'#BerechnungDBE'!A22</f>
        <v xml:space="preserve"> --</v>
      </c>
      <c r="H27" s="1323" t="str">
        <f>IF('Daten aus 2021'!G24="",'#Boden'!$B$24,'Daten aus 2021'!G24)</f>
        <v>ja</v>
      </c>
      <c r="I27" s="1322" t="str">
        <f>'#BerechnungDBE'!B22</f>
        <v xml:space="preserve"> --         </v>
      </c>
      <c r="J27" s="1324" t="str">
        <f>'#BerechnungDBE'!F22</f>
        <v xml:space="preserve"> --  </v>
      </c>
      <c r="K27" s="1319" t="str">
        <f>IF(D27="","",IF('Daten aus 2021'!AA24="","",'Daten aus 2021'!AA24))</f>
        <v/>
      </c>
      <c r="L27" s="1321" t="s">
        <v>699</v>
      </c>
      <c r="M27" s="1325" t="s">
        <v>700</v>
      </c>
      <c r="N27" s="1325" t="s">
        <v>701</v>
      </c>
      <c r="O27" s="1325" t="str">
        <f>IF(L27="",'#Zweitfr'!$I$8,VLOOKUP(L27,Nebenkultur[[Nebenkultur]:[Legum. Zwischenfr.]],'#Zweitfr'!$I$1,FALSE))</f>
        <v/>
      </c>
      <c r="P27" s="1324" t="str">
        <f>IF('#BerechnungDBE'!M22=3,J27,'#Frucht'!$D$8)</f>
        <v xml:space="preserve"> --  </v>
      </c>
      <c r="Q27" s="1499" t="str">
        <f>'#BerechnungDBE'!J22</f>
        <v/>
      </c>
      <c r="R27" s="1496" t="str">
        <f>'#BerechnungDBE'!K22</f>
        <v/>
      </c>
      <c r="S27" s="1325"/>
      <c r="T27" s="1486" t="str">
        <f>IF('#BerechnungDBE'!AB22=4,'#Boden'!$B$30,IF('#BerechnungDBE'!AB22=3,'#Boden'!$B$31,'#Boden'!$B$32))</f>
        <v xml:space="preserve">  -- </v>
      </c>
      <c r="U27" s="1326"/>
      <c r="V27" s="1327"/>
      <c r="W27" s="1328"/>
      <c r="X27" s="1142" t="str">
        <f>IF(AND(B27="",C27="",D27=""),"",IF('#BerechnungDBE'!DM22&gt;0,"KOPIE",IF(COUNT('#BerechnungDBE'!DO22:DR22)=0,"OK",TRIM(CONCATENATE('#BerechnungDBE'!DN22," ",'#BerechnungDBE'!DO22," ",'#BerechnungDBE'!DP22," ",'#BerechnungDBE'!DQ22," ",'#BerechnungDBE'!DR22)))))</f>
        <v/>
      </c>
      <c r="Y27" s="1143"/>
    </row>
    <row r="28" spans="1:25" s="130" customFormat="1" ht="15" customHeight="1" x14ac:dyDescent="0.2">
      <c r="A28" s="876">
        <v>19</v>
      </c>
      <c r="B28" s="1319" t="str">
        <f>IF('Daten aus 2021'!B25="","",'Daten aus 2021'!B25)</f>
        <v/>
      </c>
      <c r="C28" s="1487" t="str">
        <f>IF('Daten aus 2021'!C25="","",'Daten aus 2021'!C25)</f>
        <v/>
      </c>
      <c r="D28" s="1320" t="str">
        <f>IF('Daten aus 2021'!D25="","",'Daten aus 2021'!D25)</f>
        <v/>
      </c>
      <c r="E28" s="1321" t="s">
        <v>315</v>
      </c>
      <c r="F28" s="1322" t="str">
        <f>IF('Daten aus 2021'!E25="",IF(AND(D28&lt;1,D28&lt;&gt;""),'#Boden'!$G$6,'#Boden'!$G$4),'Daten aus 2021'!E25)</f>
        <v xml:space="preserve"> --</v>
      </c>
      <c r="G28" s="1319" t="str">
        <f>'#BerechnungDBE'!A23</f>
        <v xml:space="preserve"> --</v>
      </c>
      <c r="H28" s="1323" t="str">
        <f>IF('Daten aus 2021'!G25="",'#Boden'!$B$24,'Daten aus 2021'!G25)</f>
        <v>ja</v>
      </c>
      <c r="I28" s="1322" t="str">
        <f>'#BerechnungDBE'!B23</f>
        <v xml:space="preserve"> --         </v>
      </c>
      <c r="J28" s="1324" t="str">
        <f>'#BerechnungDBE'!F23</f>
        <v xml:space="preserve"> --  </v>
      </c>
      <c r="K28" s="1319" t="str">
        <f>IF(D28="","",IF('Daten aus 2021'!AA25="","",'Daten aus 2021'!AA25))</f>
        <v/>
      </c>
      <c r="L28" s="1321" t="s">
        <v>699</v>
      </c>
      <c r="M28" s="1319" t="s">
        <v>700</v>
      </c>
      <c r="N28" s="1325" t="s">
        <v>701</v>
      </c>
      <c r="O28" s="1325" t="str">
        <f>IF(L28="",'#Zweitfr'!$I$8,VLOOKUP(L28,Nebenkultur[[Nebenkultur]:[Legum. Zwischenfr.]],'#Zweitfr'!$I$1,FALSE))</f>
        <v/>
      </c>
      <c r="P28" s="1324" t="str">
        <f>IF('#BerechnungDBE'!M23=3,J28,'#Frucht'!$D$8)</f>
        <v xml:space="preserve"> --  </v>
      </c>
      <c r="Q28" s="1499" t="str">
        <f>'#BerechnungDBE'!J23</f>
        <v/>
      </c>
      <c r="R28" s="1496" t="str">
        <f>'#BerechnungDBE'!K23</f>
        <v/>
      </c>
      <c r="S28" s="1325"/>
      <c r="T28" s="1486" t="str">
        <f>IF('#BerechnungDBE'!AB23=4,'#Boden'!$B$30,IF('#BerechnungDBE'!AB23=3,'#Boden'!$B$31,'#Boden'!$B$32))</f>
        <v xml:space="preserve">  -- </v>
      </c>
      <c r="U28" s="1326"/>
      <c r="V28" s="1327"/>
      <c r="W28" s="1328"/>
      <c r="X28" s="1142" t="str">
        <f>IF(AND(B28="",C28="",D28=""),"",IF('#BerechnungDBE'!DM23&gt;0,"KOPIE",IF(COUNT('#BerechnungDBE'!DO23:DR23)=0,"OK",TRIM(CONCATENATE('#BerechnungDBE'!DN23," ",'#BerechnungDBE'!DO23," ",'#BerechnungDBE'!DP23," ",'#BerechnungDBE'!DQ23," ",'#BerechnungDBE'!DR23)))))</f>
        <v/>
      </c>
      <c r="Y28" s="1143"/>
    </row>
    <row r="29" spans="1:25" s="130" customFormat="1" ht="15" customHeight="1" x14ac:dyDescent="0.2">
      <c r="A29" s="876">
        <v>20</v>
      </c>
      <c r="B29" s="1319" t="str">
        <f>IF('Daten aus 2021'!B26="","",'Daten aus 2021'!B26)</f>
        <v/>
      </c>
      <c r="C29" s="1487" t="str">
        <f>IF('Daten aus 2021'!C26="","",'Daten aus 2021'!C26)</f>
        <v/>
      </c>
      <c r="D29" s="1320" t="str">
        <f>IF('Daten aus 2021'!D26="","",'Daten aus 2021'!D26)</f>
        <v/>
      </c>
      <c r="E29" s="1321" t="s">
        <v>315</v>
      </c>
      <c r="F29" s="1322" t="str">
        <f>IF('Daten aus 2021'!E26="",IF(AND(D29&lt;1,D29&lt;&gt;""),'#Boden'!$G$6,'#Boden'!$G$4),'Daten aus 2021'!E26)</f>
        <v xml:space="preserve"> --</v>
      </c>
      <c r="G29" s="1319" t="str">
        <f>'#BerechnungDBE'!A24</f>
        <v xml:space="preserve"> --</v>
      </c>
      <c r="H29" s="1323" t="str">
        <f>IF('Daten aus 2021'!G26="",'#Boden'!$B$24,'Daten aus 2021'!G26)</f>
        <v>ja</v>
      </c>
      <c r="I29" s="1322" t="str">
        <f>'#BerechnungDBE'!B24</f>
        <v xml:space="preserve"> --         </v>
      </c>
      <c r="J29" s="1324" t="str">
        <f>'#BerechnungDBE'!F24</f>
        <v xml:space="preserve"> --  </v>
      </c>
      <c r="K29" s="1319" t="str">
        <f>IF(D29="","",IF('Daten aus 2021'!AA26="","",'Daten aus 2021'!AA26))</f>
        <v/>
      </c>
      <c r="L29" s="1321" t="s">
        <v>699</v>
      </c>
      <c r="M29" s="1325" t="s">
        <v>700</v>
      </c>
      <c r="N29" s="1325" t="s">
        <v>701</v>
      </c>
      <c r="O29" s="1325" t="str">
        <f>IF(L29="",'#Zweitfr'!$I$8,VLOOKUP(L29,Nebenkultur[[Nebenkultur]:[Legum. Zwischenfr.]],'#Zweitfr'!$I$1,FALSE))</f>
        <v/>
      </c>
      <c r="P29" s="1324" t="str">
        <f>IF('#BerechnungDBE'!M24=3,J29,'#Frucht'!$D$8)</f>
        <v xml:space="preserve"> --  </v>
      </c>
      <c r="Q29" s="1499" t="str">
        <f>'#BerechnungDBE'!J24</f>
        <v/>
      </c>
      <c r="R29" s="1496" t="str">
        <f>'#BerechnungDBE'!K24</f>
        <v/>
      </c>
      <c r="S29" s="1325"/>
      <c r="T29" s="1486" t="str">
        <f>IF('#BerechnungDBE'!AB24=4,'#Boden'!$B$30,IF('#BerechnungDBE'!AB24=3,'#Boden'!$B$31,'#Boden'!$B$32))</f>
        <v xml:space="preserve">  -- </v>
      </c>
      <c r="U29" s="1326"/>
      <c r="V29" s="1327"/>
      <c r="W29" s="1328"/>
      <c r="X29" s="1142" t="str">
        <f>IF(AND(B29="",C29="",D29=""),"",IF('#BerechnungDBE'!DM24&gt;0,"KOPIE",IF(COUNT('#BerechnungDBE'!DO24:DR24)=0,"OK",TRIM(CONCATENATE('#BerechnungDBE'!DN24," ",'#BerechnungDBE'!DO24," ",'#BerechnungDBE'!DP24," ",'#BerechnungDBE'!DQ24," ",'#BerechnungDBE'!DR24)))))</f>
        <v/>
      </c>
      <c r="Y29" s="1143"/>
    </row>
    <row r="30" spans="1:25" s="130" customFormat="1" ht="15" customHeight="1" x14ac:dyDescent="0.2">
      <c r="A30" s="876">
        <v>21</v>
      </c>
      <c r="B30" s="1319" t="str">
        <f>IF('Daten aus 2021'!B27="","",'Daten aus 2021'!B27)</f>
        <v/>
      </c>
      <c r="C30" s="1487" t="str">
        <f>IF('Daten aus 2021'!C27="","",'Daten aus 2021'!C27)</f>
        <v/>
      </c>
      <c r="D30" s="1320" t="str">
        <f>IF('Daten aus 2021'!D27="","",'Daten aus 2021'!D27)</f>
        <v/>
      </c>
      <c r="E30" s="1321" t="s">
        <v>315</v>
      </c>
      <c r="F30" s="1322" t="str">
        <f>IF('Daten aus 2021'!E27="",IF(AND(D30&lt;1,D30&lt;&gt;""),'#Boden'!$G$6,'#Boden'!$G$4),'Daten aus 2021'!E27)</f>
        <v xml:space="preserve"> --</v>
      </c>
      <c r="G30" s="1319" t="str">
        <f>'#BerechnungDBE'!A25</f>
        <v xml:space="preserve"> --</v>
      </c>
      <c r="H30" s="1323" t="str">
        <f>IF('Daten aus 2021'!G27="",'#Boden'!$B$24,'Daten aus 2021'!G27)</f>
        <v>ja</v>
      </c>
      <c r="I30" s="1322" t="str">
        <f>'#BerechnungDBE'!B25</f>
        <v xml:space="preserve"> --         </v>
      </c>
      <c r="J30" s="1324" t="str">
        <f>'#BerechnungDBE'!F25</f>
        <v xml:space="preserve"> --  </v>
      </c>
      <c r="K30" s="1319" t="str">
        <f>IF(D30="","",IF('Daten aus 2021'!AA27="","",'Daten aus 2021'!AA27))</f>
        <v/>
      </c>
      <c r="L30" s="1321" t="s">
        <v>699</v>
      </c>
      <c r="M30" s="1319" t="s">
        <v>700</v>
      </c>
      <c r="N30" s="1325" t="s">
        <v>701</v>
      </c>
      <c r="O30" s="1325" t="str">
        <f>IF(L30="",'#Zweitfr'!$I$8,VLOOKUP(L30,Nebenkultur[[Nebenkultur]:[Legum. Zwischenfr.]],'#Zweitfr'!$I$1,FALSE))</f>
        <v/>
      </c>
      <c r="P30" s="1324" t="str">
        <f>IF('#BerechnungDBE'!M25=3,J30,'#Frucht'!$D$8)</f>
        <v xml:space="preserve"> --  </v>
      </c>
      <c r="Q30" s="1499" t="str">
        <f>'#BerechnungDBE'!J25</f>
        <v/>
      </c>
      <c r="R30" s="1496" t="str">
        <f>'#BerechnungDBE'!K25</f>
        <v/>
      </c>
      <c r="S30" s="1325"/>
      <c r="T30" s="1486" t="str">
        <f>IF('#BerechnungDBE'!AB25=4,'#Boden'!$B$30,IF('#BerechnungDBE'!AB25=3,'#Boden'!$B$31,'#Boden'!$B$32))</f>
        <v xml:space="preserve">  -- </v>
      </c>
      <c r="U30" s="1326"/>
      <c r="V30" s="1327"/>
      <c r="W30" s="1328"/>
      <c r="X30" s="1142" t="str">
        <f>IF(AND(B30="",C30="",D30=""),"",IF('#BerechnungDBE'!DM25&gt;0,"KOPIE",IF(COUNT('#BerechnungDBE'!DO25:DR25)=0,"OK",TRIM(CONCATENATE('#BerechnungDBE'!DN25," ",'#BerechnungDBE'!DO25," ",'#BerechnungDBE'!DP25," ",'#BerechnungDBE'!DQ25," ",'#BerechnungDBE'!DR25)))))</f>
        <v/>
      </c>
      <c r="Y30" s="1143"/>
    </row>
    <row r="31" spans="1:25" s="130" customFormat="1" ht="15" customHeight="1" x14ac:dyDescent="0.2">
      <c r="A31" s="876">
        <v>22</v>
      </c>
      <c r="B31" s="1319" t="str">
        <f>IF('Daten aus 2021'!B28="","",'Daten aus 2021'!B28)</f>
        <v/>
      </c>
      <c r="C31" s="1487" t="str">
        <f>IF('Daten aus 2021'!C28="","",'Daten aus 2021'!C28)</f>
        <v/>
      </c>
      <c r="D31" s="1320" t="str">
        <f>IF('Daten aus 2021'!D28="","",'Daten aus 2021'!D28)</f>
        <v/>
      </c>
      <c r="E31" s="1321" t="s">
        <v>315</v>
      </c>
      <c r="F31" s="1322" t="str">
        <f>IF('Daten aus 2021'!E28="",IF(AND(D31&lt;1,D31&lt;&gt;""),'#Boden'!$G$6,'#Boden'!$G$4),'Daten aus 2021'!E28)</f>
        <v xml:space="preserve"> --</v>
      </c>
      <c r="G31" s="1319" t="str">
        <f>'#BerechnungDBE'!A26</f>
        <v xml:space="preserve"> --</v>
      </c>
      <c r="H31" s="1323" t="str">
        <f>IF('Daten aus 2021'!G28="",'#Boden'!$B$24,'Daten aus 2021'!G28)</f>
        <v>ja</v>
      </c>
      <c r="I31" s="1322" t="str">
        <f>'#BerechnungDBE'!B26</f>
        <v xml:space="preserve"> --         </v>
      </c>
      <c r="J31" s="1324" t="str">
        <f>'#BerechnungDBE'!F26</f>
        <v xml:space="preserve"> --  </v>
      </c>
      <c r="K31" s="1319" t="str">
        <f>IF(D31="","",IF('Daten aus 2021'!AA28="","",'Daten aus 2021'!AA28))</f>
        <v/>
      </c>
      <c r="L31" s="1321" t="s">
        <v>699</v>
      </c>
      <c r="M31" s="1325" t="s">
        <v>700</v>
      </c>
      <c r="N31" s="1325" t="s">
        <v>701</v>
      </c>
      <c r="O31" s="1325" t="str">
        <f>IF(L31="",'#Zweitfr'!$I$8,VLOOKUP(L31,Nebenkultur[[Nebenkultur]:[Legum. Zwischenfr.]],'#Zweitfr'!$I$1,FALSE))</f>
        <v/>
      </c>
      <c r="P31" s="1324" t="str">
        <f>IF('#BerechnungDBE'!M26=3,J31,'#Frucht'!$D$8)</f>
        <v xml:space="preserve"> --  </v>
      </c>
      <c r="Q31" s="1499" t="str">
        <f>'#BerechnungDBE'!J26</f>
        <v/>
      </c>
      <c r="R31" s="1496" t="str">
        <f>'#BerechnungDBE'!K26</f>
        <v/>
      </c>
      <c r="S31" s="1325"/>
      <c r="T31" s="1486" t="str">
        <f>IF('#BerechnungDBE'!AB26=4,'#Boden'!$B$30,IF('#BerechnungDBE'!AB26=3,'#Boden'!$B$31,'#Boden'!$B$32))</f>
        <v xml:space="preserve">  -- </v>
      </c>
      <c r="U31" s="1326"/>
      <c r="V31" s="1327"/>
      <c r="W31" s="1328"/>
      <c r="X31" s="1142" t="str">
        <f>IF(AND(B31="",C31="",D31=""),"",IF('#BerechnungDBE'!DM26&gt;0,"KOPIE",IF(COUNT('#BerechnungDBE'!DO26:DR26)=0,"OK",TRIM(CONCATENATE('#BerechnungDBE'!DN26," ",'#BerechnungDBE'!DO26," ",'#BerechnungDBE'!DP26," ",'#BerechnungDBE'!DQ26," ",'#BerechnungDBE'!DR26)))))</f>
        <v/>
      </c>
      <c r="Y31" s="1143"/>
    </row>
    <row r="32" spans="1:25" s="130" customFormat="1" ht="15" customHeight="1" x14ac:dyDescent="0.2">
      <c r="A32" s="876">
        <v>23</v>
      </c>
      <c r="B32" s="1319" t="str">
        <f>IF('Daten aus 2021'!B29="","",'Daten aus 2021'!B29)</f>
        <v/>
      </c>
      <c r="C32" s="1487" t="str">
        <f>IF('Daten aus 2021'!C29="","",'Daten aus 2021'!C29)</f>
        <v/>
      </c>
      <c r="D32" s="1320" t="str">
        <f>IF('Daten aus 2021'!D29="","",'Daten aus 2021'!D29)</f>
        <v/>
      </c>
      <c r="E32" s="1321" t="s">
        <v>315</v>
      </c>
      <c r="F32" s="1322" t="str">
        <f>IF('Daten aus 2021'!E29="",IF(AND(D32&lt;1,D32&lt;&gt;""),'#Boden'!$G$6,'#Boden'!$G$4),'Daten aus 2021'!E29)</f>
        <v xml:space="preserve"> --</v>
      </c>
      <c r="G32" s="1319" t="str">
        <f>'#BerechnungDBE'!A27</f>
        <v xml:space="preserve"> --</v>
      </c>
      <c r="H32" s="1323" t="str">
        <f>IF('Daten aus 2021'!G29="",'#Boden'!$B$24,'Daten aus 2021'!G29)</f>
        <v>ja</v>
      </c>
      <c r="I32" s="1322" t="str">
        <f>'#BerechnungDBE'!B27</f>
        <v xml:space="preserve"> --         </v>
      </c>
      <c r="J32" s="1324" t="str">
        <f>'#BerechnungDBE'!F27</f>
        <v xml:space="preserve"> --  </v>
      </c>
      <c r="K32" s="1319" t="str">
        <f>IF(D32="","",IF('Daten aus 2021'!AA29="","",'Daten aus 2021'!AA29))</f>
        <v/>
      </c>
      <c r="L32" s="1321" t="s">
        <v>699</v>
      </c>
      <c r="M32" s="1319" t="s">
        <v>700</v>
      </c>
      <c r="N32" s="1325" t="s">
        <v>701</v>
      </c>
      <c r="O32" s="1325" t="str">
        <f>IF(L32="",'#Zweitfr'!$I$8,VLOOKUP(L32,Nebenkultur[[Nebenkultur]:[Legum. Zwischenfr.]],'#Zweitfr'!$I$1,FALSE))</f>
        <v/>
      </c>
      <c r="P32" s="1324" t="str">
        <f>IF('#BerechnungDBE'!M27=3,J32,'#Frucht'!$D$8)</f>
        <v xml:space="preserve"> --  </v>
      </c>
      <c r="Q32" s="1499" t="str">
        <f>'#BerechnungDBE'!J27</f>
        <v/>
      </c>
      <c r="R32" s="1496" t="str">
        <f>'#BerechnungDBE'!K27</f>
        <v/>
      </c>
      <c r="S32" s="1325"/>
      <c r="T32" s="1486" t="str">
        <f>IF('#BerechnungDBE'!AB27=4,'#Boden'!$B$30,IF('#BerechnungDBE'!AB27=3,'#Boden'!$B$31,'#Boden'!$B$32))</f>
        <v xml:space="preserve">  -- </v>
      </c>
      <c r="U32" s="1326"/>
      <c r="V32" s="1327"/>
      <c r="W32" s="1328"/>
      <c r="X32" s="1142" t="str">
        <f>IF(AND(B32="",C32="",D32=""),"",IF('#BerechnungDBE'!DM27&gt;0,"KOPIE",IF(COUNT('#BerechnungDBE'!DO27:DR27)=0,"OK",TRIM(CONCATENATE('#BerechnungDBE'!DN27," ",'#BerechnungDBE'!DO27," ",'#BerechnungDBE'!DP27," ",'#BerechnungDBE'!DQ27," ",'#BerechnungDBE'!DR27)))))</f>
        <v/>
      </c>
      <c r="Y32" s="1143"/>
    </row>
    <row r="33" spans="1:25" s="130" customFormat="1" ht="15" customHeight="1" x14ac:dyDescent="0.2">
      <c r="A33" s="876">
        <v>24</v>
      </c>
      <c r="B33" s="1319" t="str">
        <f>IF('Daten aus 2021'!B30="","",'Daten aus 2021'!B30)</f>
        <v/>
      </c>
      <c r="C33" s="1487" t="str">
        <f>IF('Daten aus 2021'!C30="","",'Daten aus 2021'!C30)</f>
        <v/>
      </c>
      <c r="D33" s="1320" t="str">
        <f>IF('Daten aus 2021'!D30="","",'Daten aus 2021'!D30)</f>
        <v/>
      </c>
      <c r="E33" s="1321" t="s">
        <v>315</v>
      </c>
      <c r="F33" s="1322" t="str">
        <f>IF('Daten aus 2021'!E30="",IF(AND(D33&lt;1,D33&lt;&gt;""),'#Boden'!$G$6,'#Boden'!$G$4),'Daten aus 2021'!E30)</f>
        <v xml:space="preserve"> --</v>
      </c>
      <c r="G33" s="1319" t="str">
        <f>'#BerechnungDBE'!A28</f>
        <v xml:space="preserve"> --</v>
      </c>
      <c r="H33" s="1323" t="str">
        <f>IF('Daten aus 2021'!G30="",'#Boden'!$B$24,'Daten aus 2021'!G30)</f>
        <v>ja</v>
      </c>
      <c r="I33" s="1322" t="str">
        <f>'#BerechnungDBE'!B28</f>
        <v xml:space="preserve"> --         </v>
      </c>
      <c r="J33" s="1324" t="str">
        <f>'#BerechnungDBE'!F28</f>
        <v xml:space="preserve"> --  </v>
      </c>
      <c r="K33" s="1319" t="str">
        <f>IF(D33="","",IF('Daten aus 2021'!AA30="","",'Daten aus 2021'!AA30))</f>
        <v/>
      </c>
      <c r="L33" s="1321" t="s">
        <v>699</v>
      </c>
      <c r="M33" s="1325" t="s">
        <v>700</v>
      </c>
      <c r="N33" s="1325" t="s">
        <v>701</v>
      </c>
      <c r="O33" s="1325" t="str">
        <f>IF(L33="",'#Zweitfr'!$I$8,VLOOKUP(L33,Nebenkultur[[Nebenkultur]:[Legum. Zwischenfr.]],'#Zweitfr'!$I$1,FALSE))</f>
        <v/>
      </c>
      <c r="P33" s="1324" t="str">
        <f>IF('#BerechnungDBE'!M28=3,J33,'#Frucht'!$D$8)</f>
        <v xml:space="preserve"> --  </v>
      </c>
      <c r="Q33" s="1499" t="str">
        <f>'#BerechnungDBE'!J28</f>
        <v/>
      </c>
      <c r="R33" s="1496" t="str">
        <f>'#BerechnungDBE'!K28</f>
        <v/>
      </c>
      <c r="S33" s="1325"/>
      <c r="T33" s="1486" t="str">
        <f>IF('#BerechnungDBE'!AB28=4,'#Boden'!$B$30,IF('#BerechnungDBE'!AB28=3,'#Boden'!$B$31,'#Boden'!$B$32))</f>
        <v xml:space="preserve">  -- </v>
      </c>
      <c r="U33" s="1326"/>
      <c r="V33" s="1327"/>
      <c r="W33" s="1328"/>
      <c r="X33" s="1142" t="str">
        <f>IF(AND(B33="",C33="",D33=""),"",IF('#BerechnungDBE'!DM28&gt;0,"KOPIE",IF(COUNT('#BerechnungDBE'!DO28:DR28)=0,"OK",TRIM(CONCATENATE('#BerechnungDBE'!DN28," ",'#BerechnungDBE'!DO28," ",'#BerechnungDBE'!DP28," ",'#BerechnungDBE'!DQ28," ",'#BerechnungDBE'!DR28)))))</f>
        <v/>
      </c>
      <c r="Y33" s="1143"/>
    </row>
    <row r="34" spans="1:25" s="130" customFormat="1" ht="15" customHeight="1" x14ac:dyDescent="0.2">
      <c r="A34" s="876">
        <v>25</v>
      </c>
      <c r="B34" s="1319" t="str">
        <f>IF('Daten aus 2021'!B31="","",'Daten aus 2021'!B31)</f>
        <v/>
      </c>
      <c r="C34" s="1487" t="str">
        <f>IF('Daten aus 2021'!C31="","",'Daten aus 2021'!C31)</f>
        <v/>
      </c>
      <c r="D34" s="1320" t="str">
        <f>IF('Daten aus 2021'!D31="","",'Daten aus 2021'!D31)</f>
        <v/>
      </c>
      <c r="E34" s="1321" t="s">
        <v>315</v>
      </c>
      <c r="F34" s="1322" t="str">
        <f>IF('Daten aus 2021'!E31="",IF(AND(D34&lt;1,D34&lt;&gt;""),'#Boden'!$G$6,'#Boden'!$G$4),'Daten aus 2021'!E31)</f>
        <v xml:space="preserve"> --</v>
      </c>
      <c r="G34" s="1319" t="str">
        <f>'#BerechnungDBE'!A29</f>
        <v xml:space="preserve"> --</v>
      </c>
      <c r="H34" s="1323" t="str">
        <f>IF('Daten aus 2021'!G31="",'#Boden'!$B$24,'Daten aus 2021'!G31)</f>
        <v>ja</v>
      </c>
      <c r="I34" s="1322" t="str">
        <f>'#BerechnungDBE'!B29</f>
        <v xml:space="preserve"> --         </v>
      </c>
      <c r="J34" s="1324" t="str">
        <f>'#BerechnungDBE'!F29</f>
        <v xml:space="preserve"> --  </v>
      </c>
      <c r="K34" s="1319" t="str">
        <f>IF(D34="","",IF('Daten aus 2021'!AA31="","",'Daten aus 2021'!AA31))</f>
        <v/>
      </c>
      <c r="L34" s="1321" t="s">
        <v>699</v>
      </c>
      <c r="M34" s="1319" t="s">
        <v>700</v>
      </c>
      <c r="N34" s="1325" t="s">
        <v>701</v>
      </c>
      <c r="O34" s="1325" t="str">
        <f>IF(L34="",'#Zweitfr'!$I$8,VLOOKUP(L34,Nebenkultur[[Nebenkultur]:[Legum. Zwischenfr.]],'#Zweitfr'!$I$1,FALSE))</f>
        <v/>
      </c>
      <c r="P34" s="1324" t="str">
        <f>IF('#BerechnungDBE'!M29=3,J34,'#Frucht'!$D$8)</f>
        <v xml:space="preserve"> --  </v>
      </c>
      <c r="Q34" s="1499" t="str">
        <f>'#BerechnungDBE'!J29</f>
        <v/>
      </c>
      <c r="R34" s="1496" t="str">
        <f>'#BerechnungDBE'!K29</f>
        <v/>
      </c>
      <c r="S34" s="1325"/>
      <c r="T34" s="1486" t="str">
        <f>IF('#BerechnungDBE'!AB29=4,'#Boden'!$B$30,IF('#BerechnungDBE'!AB29=3,'#Boden'!$B$31,'#Boden'!$B$32))</f>
        <v xml:space="preserve">  -- </v>
      </c>
      <c r="U34" s="1326"/>
      <c r="V34" s="1327"/>
      <c r="W34" s="1328"/>
      <c r="X34" s="1142" t="str">
        <f>IF(AND(B34="",C34="",D34=""),"",IF('#BerechnungDBE'!DM29&gt;0,"KOPIE",IF(COUNT('#BerechnungDBE'!DO29:DR29)=0,"OK",TRIM(CONCATENATE('#BerechnungDBE'!DN29," ",'#BerechnungDBE'!DO29," ",'#BerechnungDBE'!DP29," ",'#BerechnungDBE'!DQ29," ",'#BerechnungDBE'!DR29)))))</f>
        <v/>
      </c>
      <c r="Y34" s="1143"/>
    </row>
    <row r="35" spans="1:25" s="130" customFormat="1" ht="15" customHeight="1" x14ac:dyDescent="0.2">
      <c r="A35" s="876">
        <v>26</v>
      </c>
      <c r="B35" s="1319" t="str">
        <f>IF('Daten aus 2021'!B32="","",'Daten aus 2021'!B32)</f>
        <v/>
      </c>
      <c r="C35" s="1487" t="str">
        <f>IF('Daten aus 2021'!C32="","",'Daten aus 2021'!C32)</f>
        <v/>
      </c>
      <c r="D35" s="1320" t="str">
        <f>IF('Daten aus 2021'!D32="","",'Daten aus 2021'!D32)</f>
        <v/>
      </c>
      <c r="E35" s="1321" t="s">
        <v>315</v>
      </c>
      <c r="F35" s="1322" t="str">
        <f>IF('Daten aus 2021'!E32="",IF(AND(D35&lt;1,D35&lt;&gt;""),'#Boden'!$G$6,'#Boden'!$G$4),'Daten aus 2021'!E32)</f>
        <v xml:space="preserve"> --</v>
      </c>
      <c r="G35" s="1319" t="str">
        <f>'#BerechnungDBE'!A30</f>
        <v xml:space="preserve"> --</v>
      </c>
      <c r="H35" s="1323" t="str">
        <f>IF('Daten aus 2021'!G32="",'#Boden'!$B$24,'Daten aus 2021'!G32)</f>
        <v>ja</v>
      </c>
      <c r="I35" s="1322" t="str">
        <f>'#BerechnungDBE'!B30</f>
        <v xml:space="preserve"> --         </v>
      </c>
      <c r="J35" s="1324" t="str">
        <f>'#BerechnungDBE'!F30</f>
        <v xml:space="preserve"> --  </v>
      </c>
      <c r="K35" s="1319" t="str">
        <f>IF(D35="","",IF('Daten aus 2021'!AA32="","",'Daten aus 2021'!AA32))</f>
        <v/>
      </c>
      <c r="L35" s="1321" t="s">
        <v>699</v>
      </c>
      <c r="M35" s="1325" t="s">
        <v>700</v>
      </c>
      <c r="N35" s="1325" t="s">
        <v>701</v>
      </c>
      <c r="O35" s="1325" t="str">
        <f>IF(L35="",'#Zweitfr'!$I$8,VLOOKUP(L35,Nebenkultur[[Nebenkultur]:[Legum. Zwischenfr.]],'#Zweitfr'!$I$1,FALSE))</f>
        <v/>
      </c>
      <c r="P35" s="1324" t="str">
        <f>IF('#BerechnungDBE'!M30=3,J35,'#Frucht'!$D$8)</f>
        <v xml:space="preserve"> --  </v>
      </c>
      <c r="Q35" s="1499" t="str">
        <f>'#BerechnungDBE'!J30</f>
        <v/>
      </c>
      <c r="R35" s="1496" t="str">
        <f>'#BerechnungDBE'!K30</f>
        <v/>
      </c>
      <c r="S35" s="1325"/>
      <c r="T35" s="1486" t="str">
        <f>IF('#BerechnungDBE'!AB30=4,'#Boden'!$B$30,IF('#BerechnungDBE'!AB30=3,'#Boden'!$B$31,'#Boden'!$B$32))</f>
        <v xml:space="preserve">  -- </v>
      </c>
      <c r="U35" s="1326"/>
      <c r="V35" s="1327"/>
      <c r="W35" s="1328"/>
      <c r="X35" s="1142" t="str">
        <f>IF(AND(B35="",C35="",D35=""),"",IF('#BerechnungDBE'!DM30&gt;0,"KOPIE",IF(COUNT('#BerechnungDBE'!DO30:DR30)=0,"OK",TRIM(CONCATENATE('#BerechnungDBE'!DN30," ",'#BerechnungDBE'!DO30," ",'#BerechnungDBE'!DP30," ",'#BerechnungDBE'!DQ30," ",'#BerechnungDBE'!DR30)))))</f>
        <v/>
      </c>
      <c r="Y35" s="1143"/>
    </row>
    <row r="36" spans="1:25" s="130" customFormat="1" ht="15" customHeight="1" x14ac:dyDescent="0.2">
      <c r="A36" s="876">
        <v>27</v>
      </c>
      <c r="B36" s="1319" t="str">
        <f>IF('Daten aus 2021'!B33="","",'Daten aus 2021'!B33)</f>
        <v/>
      </c>
      <c r="C36" s="1487" t="str">
        <f>IF('Daten aus 2021'!C33="","",'Daten aus 2021'!C33)</f>
        <v/>
      </c>
      <c r="D36" s="1320" t="str">
        <f>IF('Daten aus 2021'!D33="","",'Daten aus 2021'!D33)</f>
        <v/>
      </c>
      <c r="E36" s="1321" t="s">
        <v>315</v>
      </c>
      <c r="F36" s="1322" t="str">
        <f>IF('Daten aus 2021'!E33="",IF(AND(D36&lt;1,D36&lt;&gt;""),'#Boden'!$G$6,'#Boden'!$G$4),'Daten aus 2021'!E33)</f>
        <v xml:space="preserve"> --</v>
      </c>
      <c r="G36" s="1319" t="str">
        <f>'#BerechnungDBE'!A31</f>
        <v xml:space="preserve"> --</v>
      </c>
      <c r="H36" s="1323" t="str">
        <f>IF('Daten aus 2021'!G33="",'#Boden'!$B$24,'Daten aus 2021'!G33)</f>
        <v>ja</v>
      </c>
      <c r="I36" s="1322" t="str">
        <f>'#BerechnungDBE'!B31</f>
        <v xml:space="preserve"> --         </v>
      </c>
      <c r="J36" s="1324" t="str">
        <f>'#BerechnungDBE'!F31</f>
        <v xml:space="preserve"> --  </v>
      </c>
      <c r="K36" s="1319" t="str">
        <f>IF(D36="","",IF('Daten aus 2021'!AA33="","",'Daten aus 2021'!AA33))</f>
        <v/>
      </c>
      <c r="L36" s="1321" t="s">
        <v>699</v>
      </c>
      <c r="M36" s="1319" t="s">
        <v>700</v>
      </c>
      <c r="N36" s="1325" t="s">
        <v>701</v>
      </c>
      <c r="O36" s="1325" t="str">
        <f>IF(L36="",'#Zweitfr'!$I$8,VLOOKUP(L36,Nebenkultur[[Nebenkultur]:[Legum. Zwischenfr.]],'#Zweitfr'!$I$1,FALSE))</f>
        <v/>
      </c>
      <c r="P36" s="1324" t="str">
        <f>IF('#BerechnungDBE'!M31=3,J36,'#Frucht'!$D$8)</f>
        <v xml:space="preserve"> --  </v>
      </c>
      <c r="Q36" s="1499" t="str">
        <f>'#BerechnungDBE'!J31</f>
        <v/>
      </c>
      <c r="R36" s="1496" t="str">
        <f>'#BerechnungDBE'!K31</f>
        <v/>
      </c>
      <c r="S36" s="1325"/>
      <c r="T36" s="1486" t="str">
        <f>IF('#BerechnungDBE'!AB31=4,'#Boden'!$B$30,IF('#BerechnungDBE'!AB31=3,'#Boden'!$B$31,'#Boden'!$B$32))</f>
        <v xml:space="preserve">  -- </v>
      </c>
      <c r="U36" s="1326"/>
      <c r="V36" s="1327"/>
      <c r="W36" s="1328"/>
      <c r="X36" s="1142" t="str">
        <f>IF(AND(B36="",C36="",D36=""),"",IF('#BerechnungDBE'!DM31&gt;0,"KOPIE",IF(COUNT('#BerechnungDBE'!DO31:DR31)=0,"OK",TRIM(CONCATENATE('#BerechnungDBE'!DN31," ",'#BerechnungDBE'!DO31," ",'#BerechnungDBE'!DP31," ",'#BerechnungDBE'!DQ31," ",'#BerechnungDBE'!DR31)))))</f>
        <v/>
      </c>
      <c r="Y36" s="1143"/>
    </row>
    <row r="37" spans="1:25" s="130" customFormat="1" ht="15" customHeight="1" x14ac:dyDescent="0.2">
      <c r="A37" s="876">
        <v>28</v>
      </c>
      <c r="B37" s="1319" t="str">
        <f>IF('Daten aus 2021'!B34="","",'Daten aus 2021'!B34)</f>
        <v/>
      </c>
      <c r="C37" s="1487" t="str">
        <f>IF('Daten aus 2021'!C34="","",'Daten aus 2021'!C34)</f>
        <v/>
      </c>
      <c r="D37" s="1320" t="str">
        <f>IF('Daten aus 2021'!D34="","",'Daten aus 2021'!D34)</f>
        <v/>
      </c>
      <c r="E37" s="1321" t="s">
        <v>315</v>
      </c>
      <c r="F37" s="1322" t="str">
        <f>IF('Daten aus 2021'!E34="",IF(AND(D37&lt;1,D37&lt;&gt;""),'#Boden'!$G$6,'#Boden'!$G$4),'Daten aus 2021'!E34)</f>
        <v xml:space="preserve"> --</v>
      </c>
      <c r="G37" s="1319" t="str">
        <f>'#BerechnungDBE'!A32</f>
        <v xml:space="preserve"> --</v>
      </c>
      <c r="H37" s="1323" t="str">
        <f>IF('Daten aus 2021'!G34="",'#Boden'!$B$24,'Daten aus 2021'!G34)</f>
        <v>ja</v>
      </c>
      <c r="I37" s="1322" t="str">
        <f>'#BerechnungDBE'!B32</f>
        <v xml:space="preserve"> --         </v>
      </c>
      <c r="J37" s="1324" t="str">
        <f>'#BerechnungDBE'!F32</f>
        <v xml:space="preserve"> --  </v>
      </c>
      <c r="K37" s="1319" t="str">
        <f>IF(D37="","",IF('Daten aus 2021'!AA34="","",'Daten aus 2021'!AA34))</f>
        <v/>
      </c>
      <c r="L37" s="1321" t="s">
        <v>699</v>
      </c>
      <c r="M37" s="1325" t="s">
        <v>700</v>
      </c>
      <c r="N37" s="1325" t="s">
        <v>701</v>
      </c>
      <c r="O37" s="1325" t="str">
        <f>IF(L37="",'#Zweitfr'!$I$8,VLOOKUP(L37,Nebenkultur[[Nebenkultur]:[Legum. Zwischenfr.]],'#Zweitfr'!$I$1,FALSE))</f>
        <v/>
      </c>
      <c r="P37" s="1324" t="str">
        <f>IF('#BerechnungDBE'!M32=3,J37,'#Frucht'!$D$8)</f>
        <v xml:space="preserve"> --  </v>
      </c>
      <c r="Q37" s="1499" t="str">
        <f>'#BerechnungDBE'!J32</f>
        <v/>
      </c>
      <c r="R37" s="1496" t="str">
        <f>'#BerechnungDBE'!K32</f>
        <v/>
      </c>
      <c r="S37" s="1325"/>
      <c r="T37" s="1486" t="str">
        <f>IF('#BerechnungDBE'!AB32=4,'#Boden'!$B$30,IF('#BerechnungDBE'!AB32=3,'#Boden'!$B$31,'#Boden'!$B$32))</f>
        <v xml:space="preserve">  -- </v>
      </c>
      <c r="U37" s="1326"/>
      <c r="V37" s="1327"/>
      <c r="W37" s="1328"/>
      <c r="X37" s="1142" t="str">
        <f>IF(AND(B37="",C37="",D37=""),"",IF('#BerechnungDBE'!DM32&gt;0,"KOPIE",IF(COUNT('#BerechnungDBE'!DO32:DR32)=0,"OK",TRIM(CONCATENATE('#BerechnungDBE'!DN32," ",'#BerechnungDBE'!DO32," ",'#BerechnungDBE'!DP32," ",'#BerechnungDBE'!DQ32," ",'#BerechnungDBE'!DR32)))))</f>
        <v/>
      </c>
      <c r="Y37" s="1143"/>
    </row>
    <row r="38" spans="1:25" s="130" customFormat="1" ht="15" customHeight="1" x14ac:dyDescent="0.2">
      <c r="A38" s="876">
        <v>29</v>
      </c>
      <c r="B38" s="1319" t="str">
        <f>IF('Daten aus 2021'!B35="","",'Daten aus 2021'!B35)</f>
        <v/>
      </c>
      <c r="C38" s="1487" t="str">
        <f>IF('Daten aus 2021'!C35="","",'Daten aus 2021'!C35)</f>
        <v/>
      </c>
      <c r="D38" s="1320" t="str">
        <f>IF('Daten aus 2021'!D35="","",'Daten aus 2021'!D35)</f>
        <v/>
      </c>
      <c r="E38" s="1321" t="s">
        <v>315</v>
      </c>
      <c r="F38" s="1322" t="str">
        <f>IF('Daten aus 2021'!E35="",IF(AND(D38&lt;1,D38&lt;&gt;""),'#Boden'!$G$6,'#Boden'!$G$4),'Daten aus 2021'!E35)</f>
        <v xml:space="preserve"> --</v>
      </c>
      <c r="G38" s="1319" t="str">
        <f>'#BerechnungDBE'!A33</f>
        <v xml:space="preserve"> --</v>
      </c>
      <c r="H38" s="1323" t="str">
        <f>IF('Daten aus 2021'!G35="",'#Boden'!$B$24,'Daten aus 2021'!G35)</f>
        <v>ja</v>
      </c>
      <c r="I38" s="1322" t="str">
        <f>'#BerechnungDBE'!B33</f>
        <v xml:space="preserve"> --         </v>
      </c>
      <c r="J38" s="1324" t="str">
        <f>'#BerechnungDBE'!F33</f>
        <v xml:space="preserve"> --  </v>
      </c>
      <c r="K38" s="1319" t="str">
        <f>IF(D38="","",IF('Daten aus 2021'!AA35="","",'Daten aus 2021'!AA35))</f>
        <v/>
      </c>
      <c r="L38" s="1321" t="s">
        <v>699</v>
      </c>
      <c r="M38" s="1319" t="s">
        <v>700</v>
      </c>
      <c r="N38" s="1325" t="s">
        <v>701</v>
      </c>
      <c r="O38" s="1325" t="str">
        <f>IF(L38="",'#Zweitfr'!$I$8,VLOOKUP(L38,Nebenkultur[[Nebenkultur]:[Legum. Zwischenfr.]],'#Zweitfr'!$I$1,FALSE))</f>
        <v/>
      </c>
      <c r="P38" s="1324" t="str">
        <f>IF('#BerechnungDBE'!M33=3,J38,'#Frucht'!$D$8)</f>
        <v xml:space="preserve"> --  </v>
      </c>
      <c r="Q38" s="1499" t="str">
        <f>'#BerechnungDBE'!J33</f>
        <v/>
      </c>
      <c r="R38" s="1496" t="str">
        <f>'#BerechnungDBE'!K33</f>
        <v/>
      </c>
      <c r="S38" s="1325"/>
      <c r="T38" s="1486" t="str">
        <f>IF('#BerechnungDBE'!AB33=4,'#Boden'!$B$30,IF('#BerechnungDBE'!AB33=3,'#Boden'!$B$31,'#Boden'!$B$32))</f>
        <v xml:space="preserve">  -- </v>
      </c>
      <c r="U38" s="1326"/>
      <c r="V38" s="1327"/>
      <c r="W38" s="1328"/>
      <c r="X38" s="1142" t="str">
        <f>IF(AND(B38="",C38="",D38=""),"",IF('#BerechnungDBE'!DM33&gt;0,"KOPIE",IF(COUNT('#BerechnungDBE'!DO33:DR33)=0,"OK",TRIM(CONCATENATE('#BerechnungDBE'!DN33," ",'#BerechnungDBE'!DO33," ",'#BerechnungDBE'!DP33," ",'#BerechnungDBE'!DQ33," ",'#BerechnungDBE'!DR33)))))</f>
        <v/>
      </c>
      <c r="Y38" s="1143"/>
    </row>
    <row r="39" spans="1:25" s="130" customFormat="1" ht="15" customHeight="1" x14ac:dyDescent="0.2">
      <c r="A39" s="876">
        <v>30</v>
      </c>
      <c r="B39" s="1319" t="str">
        <f>IF('Daten aus 2021'!B36="","",'Daten aus 2021'!B36)</f>
        <v/>
      </c>
      <c r="C39" s="1487" t="str">
        <f>IF('Daten aus 2021'!C36="","",'Daten aus 2021'!C36)</f>
        <v/>
      </c>
      <c r="D39" s="1320" t="str">
        <f>IF('Daten aus 2021'!D36="","",'Daten aus 2021'!D36)</f>
        <v/>
      </c>
      <c r="E39" s="1321" t="s">
        <v>315</v>
      </c>
      <c r="F39" s="1322" t="str">
        <f>IF('Daten aus 2021'!E36="",IF(AND(D39&lt;1,D39&lt;&gt;""),'#Boden'!$G$6,'#Boden'!$G$4),'Daten aus 2021'!E36)</f>
        <v xml:space="preserve"> --</v>
      </c>
      <c r="G39" s="1319" t="str">
        <f>'#BerechnungDBE'!A34</f>
        <v xml:space="preserve"> --</v>
      </c>
      <c r="H39" s="1323" t="str">
        <f>IF('Daten aus 2021'!G36="",'#Boden'!$B$24,'Daten aus 2021'!G36)</f>
        <v>ja</v>
      </c>
      <c r="I39" s="1322" t="str">
        <f>'#BerechnungDBE'!B34</f>
        <v xml:space="preserve"> --         </v>
      </c>
      <c r="J39" s="1324" t="str">
        <f>'#BerechnungDBE'!F34</f>
        <v xml:space="preserve"> --  </v>
      </c>
      <c r="K39" s="1319" t="str">
        <f>IF(D39="","",IF('Daten aus 2021'!AA36="","",'Daten aus 2021'!AA36))</f>
        <v/>
      </c>
      <c r="L39" s="1321" t="s">
        <v>699</v>
      </c>
      <c r="M39" s="1325" t="s">
        <v>700</v>
      </c>
      <c r="N39" s="1325" t="s">
        <v>701</v>
      </c>
      <c r="O39" s="1325" t="str">
        <f>IF(L39="",'#Zweitfr'!$I$8,VLOOKUP(L39,Nebenkultur[[Nebenkultur]:[Legum. Zwischenfr.]],'#Zweitfr'!$I$1,FALSE))</f>
        <v/>
      </c>
      <c r="P39" s="1324" t="str">
        <f>IF('#BerechnungDBE'!M34=3,J39,'#Frucht'!$D$8)</f>
        <v xml:space="preserve"> --  </v>
      </c>
      <c r="Q39" s="1499" t="str">
        <f>'#BerechnungDBE'!J34</f>
        <v/>
      </c>
      <c r="R39" s="1496" t="str">
        <f>'#BerechnungDBE'!K34</f>
        <v/>
      </c>
      <c r="S39" s="1325"/>
      <c r="T39" s="1486" t="str">
        <f>IF('#BerechnungDBE'!AB34=4,'#Boden'!$B$30,IF('#BerechnungDBE'!AB34=3,'#Boden'!$B$31,'#Boden'!$B$32))</f>
        <v xml:space="preserve">  -- </v>
      </c>
      <c r="U39" s="1326"/>
      <c r="V39" s="1327"/>
      <c r="W39" s="1328"/>
      <c r="X39" s="1142" t="str">
        <f>IF(AND(B39="",C39="",D39=""),"",IF('#BerechnungDBE'!DM34&gt;0,"KOPIE",IF(COUNT('#BerechnungDBE'!DO34:DR34)=0,"OK",TRIM(CONCATENATE('#BerechnungDBE'!DN34," ",'#BerechnungDBE'!DO34," ",'#BerechnungDBE'!DP34," ",'#BerechnungDBE'!DQ34," ",'#BerechnungDBE'!DR34)))))</f>
        <v/>
      </c>
      <c r="Y39" s="1143"/>
    </row>
    <row r="40" spans="1:25" s="130" customFormat="1" ht="15" customHeight="1" x14ac:dyDescent="0.2">
      <c r="A40" s="876">
        <v>31</v>
      </c>
      <c r="B40" s="1319" t="str">
        <f>IF('Daten aus 2021'!B37="","",'Daten aus 2021'!B37)</f>
        <v/>
      </c>
      <c r="C40" s="1487" t="str">
        <f>IF('Daten aus 2021'!C37="","",'Daten aus 2021'!C37)</f>
        <v/>
      </c>
      <c r="D40" s="1320" t="str">
        <f>IF('Daten aus 2021'!D37="","",'Daten aus 2021'!D37)</f>
        <v/>
      </c>
      <c r="E40" s="1321" t="s">
        <v>315</v>
      </c>
      <c r="F40" s="1322" t="str">
        <f>IF('Daten aus 2021'!E37="",IF(AND(D40&lt;1,D40&lt;&gt;""),'#Boden'!$G$6,'#Boden'!$G$4),'Daten aus 2021'!E37)</f>
        <v xml:space="preserve"> --</v>
      </c>
      <c r="G40" s="1319" t="str">
        <f>'#BerechnungDBE'!A35</f>
        <v xml:space="preserve"> --</v>
      </c>
      <c r="H40" s="1323" t="str">
        <f>IF('Daten aus 2021'!G37="",'#Boden'!$B$24,'Daten aus 2021'!G37)</f>
        <v>ja</v>
      </c>
      <c r="I40" s="1322" t="str">
        <f>'#BerechnungDBE'!B35</f>
        <v xml:space="preserve"> --         </v>
      </c>
      <c r="J40" s="1324" t="str">
        <f>'#BerechnungDBE'!F35</f>
        <v xml:space="preserve"> --  </v>
      </c>
      <c r="K40" s="1319" t="str">
        <f>IF(D40="","",IF('Daten aus 2021'!AA37="","",'Daten aus 2021'!AA37))</f>
        <v/>
      </c>
      <c r="L40" s="1321" t="s">
        <v>699</v>
      </c>
      <c r="M40" s="1319" t="s">
        <v>700</v>
      </c>
      <c r="N40" s="1325" t="s">
        <v>701</v>
      </c>
      <c r="O40" s="1325" t="str">
        <f>IF(L40="",'#Zweitfr'!$I$8,VLOOKUP(L40,Nebenkultur[[Nebenkultur]:[Legum. Zwischenfr.]],'#Zweitfr'!$I$1,FALSE))</f>
        <v/>
      </c>
      <c r="P40" s="1324" t="str">
        <f>IF('#BerechnungDBE'!M35=3,J40,'#Frucht'!$D$8)</f>
        <v xml:space="preserve"> --  </v>
      </c>
      <c r="Q40" s="1499" t="str">
        <f>'#BerechnungDBE'!J35</f>
        <v/>
      </c>
      <c r="R40" s="1496" t="str">
        <f>'#BerechnungDBE'!K35</f>
        <v/>
      </c>
      <c r="S40" s="1325"/>
      <c r="T40" s="1486" t="str">
        <f>IF('#BerechnungDBE'!AB35=4,'#Boden'!$B$30,IF('#BerechnungDBE'!AB35=3,'#Boden'!$B$31,'#Boden'!$B$32))</f>
        <v xml:space="preserve">  -- </v>
      </c>
      <c r="U40" s="1326"/>
      <c r="V40" s="1327"/>
      <c r="W40" s="1328"/>
      <c r="X40" s="1142" t="str">
        <f>IF(AND(B40="",C40="",D40=""),"",IF('#BerechnungDBE'!DM35&gt;0,"KOPIE",IF(COUNT('#BerechnungDBE'!DO35:DR35)=0,"OK",TRIM(CONCATENATE('#BerechnungDBE'!DN35," ",'#BerechnungDBE'!DO35," ",'#BerechnungDBE'!DP35," ",'#BerechnungDBE'!DQ35," ",'#BerechnungDBE'!DR35)))))</f>
        <v/>
      </c>
      <c r="Y40" s="1143"/>
    </row>
    <row r="41" spans="1:25" s="130" customFormat="1" ht="15" customHeight="1" x14ac:dyDescent="0.2">
      <c r="A41" s="876">
        <v>32</v>
      </c>
      <c r="B41" s="1319" t="str">
        <f>IF('Daten aus 2021'!B38="","",'Daten aus 2021'!B38)</f>
        <v/>
      </c>
      <c r="C41" s="1487" t="str">
        <f>IF('Daten aus 2021'!C38="","",'Daten aus 2021'!C38)</f>
        <v/>
      </c>
      <c r="D41" s="1320" t="str">
        <f>IF('Daten aus 2021'!D38="","",'Daten aus 2021'!D38)</f>
        <v/>
      </c>
      <c r="E41" s="1321" t="s">
        <v>315</v>
      </c>
      <c r="F41" s="1322" t="str">
        <f>IF('Daten aus 2021'!E38="",IF(AND(D41&lt;1,D41&lt;&gt;""),'#Boden'!$G$6,'#Boden'!$G$4),'Daten aus 2021'!E38)</f>
        <v xml:space="preserve"> --</v>
      </c>
      <c r="G41" s="1319" t="str">
        <f>'#BerechnungDBE'!A36</f>
        <v xml:space="preserve"> --</v>
      </c>
      <c r="H41" s="1323" t="str">
        <f>IF('Daten aus 2021'!G38="",'#Boden'!$B$24,'Daten aus 2021'!G38)</f>
        <v>ja</v>
      </c>
      <c r="I41" s="1322" t="str">
        <f>'#BerechnungDBE'!B36</f>
        <v xml:space="preserve"> --         </v>
      </c>
      <c r="J41" s="1324" t="str">
        <f>'#BerechnungDBE'!F36</f>
        <v xml:space="preserve"> --  </v>
      </c>
      <c r="K41" s="1319" t="str">
        <f>IF(D41="","",IF('Daten aus 2021'!AA38="","",'Daten aus 2021'!AA38))</f>
        <v/>
      </c>
      <c r="L41" s="1321" t="s">
        <v>699</v>
      </c>
      <c r="M41" s="1325" t="s">
        <v>700</v>
      </c>
      <c r="N41" s="1325" t="s">
        <v>701</v>
      </c>
      <c r="O41" s="1325" t="str">
        <f>IF(L41="",'#Zweitfr'!$I$8,VLOOKUP(L41,Nebenkultur[[Nebenkultur]:[Legum. Zwischenfr.]],'#Zweitfr'!$I$1,FALSE))</f>
        <v/>
      </c>
      <c r="P41" s="1324" t="str">
        <f>IF('#BerechnungDBE'!M36=3,J41,'#Frucht'!$D$8)</f>
        <v xml:space="preserve"> --  </v>
      </c>
      <c r="Q41" s="1499" t="str">
        <f>'#BerechnungDBE'!J36</f>
        <v/>
      </c>
      <c r="R41" s="1496" t="str">
        <f>'#BerechnungDBE'!K36</f>
        <v/>
      </c>
      <c r="S41" s="1325"/>
      <c r="T41" s="1486" t="str">
        <f>IF('#BerechnungDBE'!AB36=4,'#Boden'!$B$30,IF('#BerechnungDBE'!AB36=3,'#Boden'!$B$31,'#Boden'!$B$32))</f>
        <v xml:space="preserve">  -- </v>
      </c>
      <c r="U41" s="1326"/>
      <c r="V41" s="1327"/>
      <c r="W41" s="1328"/>
      <c r="X41" s="1142" t="str">
        <f>IF(AND(B41="",C41="",D41=""),"",IF('#BerechnungDBE'!DM36&gt;0,"KOPIE",IF(COUNT('#BerechnungDBE'!DO36:DR36)=0,"OK",TRIM(CONCATENATE('#BerechnungDBE'!DN36," ",'#BerechnungDBE'!DO36," ",'#BerechnungDBE'!DP36," ",'#BerechnungDBE'!DQ36," ",'#BerechnungDBE'!DR36)))))</f>
        <v/>
      </c>
      <c r="Y41" s="1143"/>
    </row>
    <row r="42" spans="1:25" s="130" customFormat="1" ht="15" customHeight="1" x14ac:dyDescent="0.2">
      <c r="A42" s="876">
        <v>33</v>
      </c>
      <c r="B42" s="1319" t="str">
        <f>IF('Daten aus 2021'!B39="","",'Daten aus 2021'!B39)</f>
        <v/>
      </c>
      <c r="C42" s="1487" t="str">
        <f>IF('Daten aus 2021'!C39="","",'Daten aus 2021'!C39)</f>
        <v/>
      </c>
      <c r="D42" s="1320" t="str">
        <f>IF('Daten aus 2021'!D39="","",'Daten aus 2021'!D39)</f>
        <v/>
      </c>
      <c r="E42" s="1321" t="s">
        <v>315</v>
      </c>
      <c r="F42" s="1322" t="str">
        <f>IF('Daten aus 2021'!E39="",IF(AND(D42&lt;1,D42&lt;&gt;""),'#Boden'!$G$6,'#Boden'!$G$4),'Daten aus 2021'!E39)</f>
        <v xml:space="preserve"> --</v>
      </c>
      <c r="G42" s="1319" t="str">
        <f>'#BerechnungDBE'!A37</f>
        <v xml:space="preserve"> --</v>
      </c>
      <c r="H42" s="1323" t="str">
        <f>IF('Daten aus 2021'!G39="",'#Boden'!$B$24,'Daten aus 2021'!G39)</f>
        <v>ja</v>
      </c>
      <c r="I42" s="1322" t="str">
        <f>'#BerechnungDBE'!B37</f>
        <v xml:space="preserve"> --         </v>
      </c>
      <c r="J42" s="1324" t="str">
        <f>'#BerechnungDBE'!F37</f>
        <v xml:space="preserve"> --  </v>
      </c>
      <c r="K42" s="1319" t="str">
        <f>IF(D42="","",IF('Daten aus 2021'!AA39="","",'Daten aus 2021'!AA39))</f>
        <v/>
      </c>
      <c r="L42" s="1321" t="s">
        <v>699</v>
      </c>
      <c r="M42" s="1319" t="s">
        <v>700</v>
      </c>
      <c r="N42" s="1325" t="s">
        <v>701</v>
      </c>
      <c r="O42" s="1325" t="str">
        <f>IF(L42="",'#Zweitfr'!$I$8,VLOOKUP(L42,Nebenkultur[[Nebenkultur]:[Legum. Zwischenfr.]],'#Zweitfr'!$I$1,FALSE))</f>
        <v/>
      </c>
      <c r="P42" s="1324" t="str">
        <f>IF('#BerechnungDBE'!M37=3,J42,'#Frucht'!$D$8)</f>
        <v xml:space="preserve"> --  </v>
      </c>
      <c r="Q42" s="1499" t="str">
        <f>'#BerechnungDBE'!J37</f>
        <v/>
      </c>
      <c r="R42" s="1496" t="str">
        <f>'#BerechnungDBE'!K37</f>
        <v/>
      </c>
      <c r="S42" s="1325"/>
      <c r="T42" s="1486" t="str">
        <f>IF('#BerechnungDBE'!AB37=4,'#Boden'!$B$30,IF('#BerechnungDBE'!AB37=3,'#Boden'!$B$31,'#Boden'!$B$32))</f>
        <v xml:space="preserve">  -- </v>
      </c>
      <c r="U42" s="1326"/>
      <c r="V42" s="1327"/>
      <c r="W42" s="1328"/>
      <c r="X42" s="1142" t="str">
        <f>IF(AND(B42="",C42="",D42=""),"",IF('#BerechnungDBE'!DM37&gt;0,"KOPIE",IF(COUNT('#BerechnungDBE'!DO37:DR37)=0,"OK",TRIM(CONCATENATE('#BerechnungDBE'!DN37," ",'#BerechnungDBE'!DO37," ",'#BerechnungDBE'!DP37," ",'#BerechnungDBE'!DQ37," ",'#BerechnungDBE'!DR37)))))</f>
        <v/>
      </c>
      <c r="Y42" s="1143"/>
    </row>
    <row r="43" spans="1:25" s="130" customFormat="1" ht="15" customHeight="1" x14ac:dyDescent="0.2">
      <c r="A43" s="876">
        <v>34</v>
      </c>
      <c r="B43" s="1319" t="str">
        <f>IF('Daten aus 2021'!B40="","",'Daten aus 2021'!B40)</f>
        <v/>
      </c>
      <c r="C43" s="1487" t="str">
        <f>IF('Daten aus 2021'!C40="","",'Daten aus 2021'!C40)</f>
        <v/>
      </c>
      <c r="D43" s="1320" t="str">
        <f>IF('Daten aus 2021'!D40="","",'Daten aus 2021'!D40)</f>
        <v/>
      </c>
      <c r="E43" s="1321" t="s">
        <v>315</v>
      </c>
      <c r="F43" s="1322" t="str">
        <f>IF('Daten aus 2021'!E40="",IF(AND(D43&lt;1,D43&lt;&gt;""),'#Boden'!$G$6,'#Boden'!$G$4),'Daten aus 2021'!E40)</f>
        <v xml:space="preserve"> --</v>
      </c>
      <c r="G43" s="1319" t="str">
        <f>'#BerechnungDBE'!A38</f>
        <v xml:space="preserve"> --</v>
      </c>
      <c r="H43" s="1323" t="str">
        <f>IF('Daten aus 2021'!G40="",'#Boden'!$B$24,'Daten aus 2021'!G40)</f>
        <v>ja</v>
      </c>
      <c r="I43" s="1322" t="str">
        <f>'#BerechnungDBE'!B38</f>
        <v xml:space="preserve"> --         </v>
      </c>
      <c r="J43" s="1324" t="str">
        <f>'#BerechnungDBE'!F38</f>
        <v xml:space="preserve"> --  </v>
      </c>
      <c r="K43" s="1319" t="str">
        <f>IF(D43="","",IF('Daten aus 2021'!AA40="","",'Daten aus 2021'!AA40))</f>
        <v/>
      </c>
      <c r="L43" s="1321" t="s">
        <v>699</v>
      </c>
      <c r="M43" s="1325" t="s">
        <v>700</v>
      </c>
      <c r="N43" s="1325" t="s">
        <v>701</v>
      </c>
      <c r="O43" s="1325" t="str">
        <f>IF(L43="",'#Zweitfr'!$I$8,VLOOKUP(L43,Nebenkultur[[Nebenkultur]:[Legum. Zwischenfr.]],'#Zweitfr'!$I$1,FALSE))</f>
        <v/>
      </c>
      <c r="P43" s="1324" t="str">
        <f>IF('#BerechnungDBE'!M38=3,J43,'#Frucht'!$D$8)</f>
        <v xml:space="preserve"> --  </v>
      </c>
      <c r="Q43" s="1499" t="str">
        <f>'#BerechnungDBE'!J38</f>
        <v/>
      </c>
      <c r="R43" s="1496" t="str">
        <f>'#BerechnungDBE'!K38</f>
        <v/>
      </c>
      <c r="S43" s="1325"/>
      <c r="T43" s="1486" t="str">
        <f>IF('#BerechnungDBE'!AB38=4,'#Boden'!$B$30,IF('#BerechnungDBE'!AB38=3,'#Boden'!$B$31,'#Boden'!$B$32))</f>
        <v xml:space="preserve">  -- </v>
      </c>
      <c r="U43" s="1326"/>
      <c r="V43" s="1327"/>
      <c r="W43" s="1328"/>
      <c r="X43" s="1142" t="str">
        <f>IF(AND(B43="",C43="",D43=""),"",IF('#BerechnungDBE'!DM38&gt;0,"KOPIE",IF(COUNT('#BerechnungDBE'!DO38:DR38)=0,"OK",TRIM(CONCATENATE('#BerechnungDBE'!DN38," ",'#BerechnungDBE'!DO38," ",'#BerechnungDBE'!DP38," ",'#BerechnungDBE'!DQ38," ",'#BerechnungDBE'!DR38)))))</f>
        <v/>
      </c>
      <c r="Y43" s="1143"/>
    </row>
    <row r="44" spans="1:25" s="130" customFormat="1" ht="15" customHeight="1" x14ac:dyDescent="0.2">
      <c r="A44" s="876">
        <v>35</v>
      </c>
      <c r="B44" s="1319" t="str">
        <f>IF('Daten aus 2021'!B41="","",'Daten aus 2021'!B41)</f>
        <v/>
      </c>
      <c r="C44" s="1487" t="str">
        <f>IF('Daten aus 2021'!C41="","",'Daten aus 2021'!C41)</f>
        <v/>
      </c>
      <c r="D44" s="1320" t="str">
        <f>IF('Daten aus 2021'!D41="","",'Daten aus 2021'!D41)</f>
        <v/>
      </c>
      <c r="E44" s="1321" t="s">
        <v>315</v>
      </c>
      <c r="F44" s="1322" t="str">
        <f>IF('Daten aus 2021'!E41="",IF(AND(D44&lt;1,D44&lt;&gt;""),'#Boden'!$G$6,'#Boden'!$G$4),'Daten aus 2021'!E41)</f>
        <v xml:space="preserve"> --</v>
      </c>
      <c r="G44" s="1319" t="str">
        <f>'#BerechnungDBE'!A39</f>
        <v xml:space="preserve"> --</v>
      </c>
      <c r="H44" s="1323" t="str">
        <f>IF('Daten aus 2021'!G41="",'#Boden'!$B$24,'Daten aus 2021'!G41)</f>
        <v>ja</v>
      </c>
      <c r="I44" s="1322" t="str">
        <f>'#BerechnungDBE'!B39</f>
        <v xml:space="preserve"> --         </v>
      </c>
      <c r="J44" s="1324" t="str">
        <f>'#BerechnungDBE'!F39</f>
        <v xml:space="preserve"> --  </v>
      </c>
      <c r="K44" s="1319" t="str">
        <f>IF(D44="","",IF('Daten aus 2021'!AA41="","",'Daten aus 2021'!AA41))</f>
        <v/>
      </c>
      <c r="L44" s="1321" t="s">
        <v>699</v>
      </c>
      <c r="M44" s="1319" t="s">
        <v>700</v>
      </c>
      <c r="N44" s="1325" t="s">
        <v>701</v>
      </c>
      <c r="O44" s="1325" t="str">
        <f>IF(L44="",'#Zweitfr'!$I$8,VLOOKUP(L44,Nebenkultur[[Nebenkultur]:[Legum. Zwischenfr.]],'#Zweitfr'!$I$1,FALSE))</f>
        <v/>
      </c>
      <c r="P44" s="1324" t="str">
        <f>IF('#BerechnungDBE'!M39=3,J44,'#Frucht'!$D$8)</f>
        <v xml:space="preserve"> --  </v>
      </c>
      <c r="Q44" s="1499" t="str">
        <f>'#BerechnungDBE'!J39</f>
        <v/>
      </c>
      <c r="R44" s="1496" t="str">
        <f>'#BerechnungDBE'!K39</f>
        <v/>
      </c>
      <c r="S44" s="1325"/>
      <c r="T44" s="1486" t="str">
        <f>IF('#BerechnungDBE'!AB39=4,'#Boden'!$B$30,IF('#BerechnungDBE'!AB39=3,'#Boden'!$B$31,'#Boden'!$B$32))</f>
        <v xml:space="preserve">  -- </v>
      </c>
      <c r="U44" s="1326"/>
      <c r="V44" s="1327"/>
      <c r="W44" s="1328"/>
      <c r="X44" s="1142" t="str">
        <f>IF(AND(B44="",C44="",D44=""),"",IF('#BerechnungDBE'!DM39&gt;0,"KOPIE",IF(COUNT('#BerechnungDBE'!DO39:DR39)=0,"OK",TRIM(CONCATENATE('#BerechnungDBE'!DN39," ",'#BerechnungDBE'!DO39," ",'#BerechnungDBE'!DP39," ",'#BerechnungDBE'!DQ39," ",'#BerechnungDBE'!DR39)))))</f>
        <v/>
      </c>
      <c r="Y44" s="1143"/>
    </row>
    <row r="45" spans="1:25" s="130" customFormat="1" ht="15" customHeight="1" x14ac:dyDescent="0.2">
      <c r="A45" s="876">
        <v>36</v>
      </c>
      <c r="B45" s="1319" t="str">
        <f>IF('Daten aus 2021'!B42="","",'Daten aus 2021'!B42)</f>
        <v/>
      </c>
      <c r="C45" s="1487" t="str">
        <f>IF('Daten aus 2021'!C42="","",'Daten aus 2021'!C42)</f>
        <v/>
      </c>
      <c r="D45" s="1320" t="str">
        <f>IF('Daten aus 2021'!D42="","",'Daten aus 2021'!D42)</f>
        <v/>
      </c>
      <c r="E45" s="1321" t="s">
        <v>315</v>
      </c>
      <c r="F45" s="1322" t="str">
        <f>IF('Daten aus 2021'!E42="",IF(AND(D45&lt;1,D45&lt;&gt;""),'#Boden'!$G$6,'#Boden'!$G$4),'Daten aus 2021'!E42)</f>
        <v xml:space="preserve"> --</v>
      </c>
      <c r="G45" s="1319" t="str">
        <f>'#BerechnungDBE'!A40</f>
        <v xml:space="preserve"> --</v>
      </c>
      <c r="H45" s="1323" t="str">
        <f>IF('Daten aus 2021'!G42="",'#Boden'!$B$24,'Daten aus 2021'!G42)</f>
        <v>ja</v>
      </c>
      <c r="I45" s="1322" t="str">
        <f>'#BerechnungDBE'!B40</f>
        <v xml:space="preserve"> --         </v>
      </c>
      <c r="J45" s="1324" t="str">
        <f>'#BerechnungDBE'!F40</f>
        <v xml:space="preserve"> --  </v>
      </c>
      <c r="K45" s="1319" t="str">
        <f>IF(D45="","",IF('Daten aus 2021'!AA42="","",'Daten aus 2021'!AA42))</f>
        <v/>
      </c>
      <c r="L45" s="1321" t="s">
        <v>699</v>
      </c>
      <c r="M45" s="1325" t="s">
        <v>700</v>
      </c>
      <c r="N45" s="1325" t="s">
        <v>701</v>
      </c>
      <c r="O45" s="1325" t="str">
        <f>IF(L45="",'#Zweitfr'!$I$8,VLOOKUP(L45,Nebenkultur[[Nebenkultur]:[Legum. Zwischenfr.]],'#Zweitfr'!$I$1,FALSE))</f>
        <v/>
      </c>
      <c r="P45" s="1324" t="str">
        <f>IF('#BerechnungDBE'!M40=3,J45,'#Frucht'!$D$8)</f>
        <v xml:space="preserve"> --  </v>
      </c>
      <c r="Q45" s="1499" t="str">
        <f>'#BerechnungDBE'!J40</f>
        <v/>
      </c>
      <c r="R45" s="1496" t="str">
        <f>'#BerechnungDBE'!K40</f>
        <v/>
      </c>
      <c r="S45" s="1325"/>
      <c r="T45" s="1486" t="str">
        <f>IF('#BerechnungDBE'!AB40=4,'#Boden'!$B$30,IF('#BerechnungDBE'!AB40=3,'#Boden'!$B$31,'#Boden'!$B$32))</f>
        <v xml:space="preserve">  -- </v>
      </c>
      <c r="U45" s="1326"/>
      <c r="V45" s="1327"/>
      <c r="W45" s="1328"/>
      <c r="X45" s="1142" t="str">
        <f>IF(AND(B45="",C45="",D45=""),"",IF('#BerechnungDBE'!DM40&gt;0,"KOPIE",IF(COUNT('#BerechnungDBE'!DO40:DR40)=0,"OK",TRIM(CONCATENATE('#BerechnungDBE'!DN40," ",'#BerechnungDBE'!DO40," ",'#BerechnungDBE'!DP40," ",'#BerechnungDBE'!DQ40," ",'#BerechnungDBE'!DR40)))))</f>
        <v/>
      </c>
      <c r="Y45" s="1143"/>
    </row>
    <row r="46" spans="1:25" s="130" customFormat="1" ht="15" customHeight="1" x14ac:dyDescent="0.2">
      <c r="A46" s="876">
        <v>37</v>
      </c>
      <c r="B46" s="1319" t="str">
        <f>IF('Daten aus 2021'!B43="","",'Daten aus 2021'!B43)</f>
        <v/>
      </c>
      <c r="C46" s="1487" t="str">
        <f>IF('Daten aus 2021'!C43="","",'Daten aus 2021'!C43)</f>
        <v/>
      </c>
      <c r="D46" s="1320" t="str">
        <f>IF('Daten aus 2021'!D43="","",'Daten aus 2021'!D43)</f>
        <v/>
      </c>
      <c r="E46" s="1321" t="s">
        <v>315</v>
      </c>
      <c r="F46" s="1322" t="str">
        <f>IF('Daten aus 2021'!E43="",IF(AND(D46&lt;1,D46&lt;&gt;""),'#Boden'!$G$6,'#Boden'!$G$4),'Daten aus 2021'!E43)</f>
        <v xml:space="preserve"> --</v>
      </c>
      <c r="G46" s="1319" t="str">
        <f>'#BerechnungDBE'!A41</f>
        <v xml:space="preserve"> --</v>
      </c>
      <c r="H46" s="1323" t="str">
        <f>IF('Daten aus 2021'!G43="",'#Boden'!$B$24,'Daten aus 2021'!G43)</f>
        <v>ja</v>
      </c>
      <c r="I46" s="1322" t="str">
        <f>'#BerechnungDBE'!B41</f>
        <v xml:space="preserve"> --         </v>
      </c>
      <c r="J46" s="1324" t="str">
        <f>'#BerechnungDBE'!F41</f>
        <v xml:space="preserve"> --  </v>
      </c>
      <c r="K46" s="1319" t="str">
        <f>IF(D46="","",IF('Daten aus 2021'!AA43="","",'Daten aus 2021'!AA43))</f>
        <v/>
      </c>
      <c r="L46" s="1321" t="s">
        <v>699</v>
      </c>
      <c r="M46" s="1319" t="s">
        <v>700</v>
      </c>
      <c r="N46" s="1325" t="s">
        <v>701</v>
      </c>
      <c r="O46" s="1325" t="str">
        <f>IF(L46="",'#Zweitfr'!$I$8,VLOOKUP(L46,Nebenkultur[[Nebenkultur]:[Legum. Zwischenfr.]],'#Zweitfr'!$I$1,FALSE))</f>
        <v/>
      </c>
      <c r="P46" s="1324" t="str">
        <f>IF('#BerechnungDBE'!M41=3,J46,'#Frucht'!$D$8)</f>
        <v xml:space="preserve"> --  </v>
      </c>
      <c r="Q46" s="1499" t="str">
        <f>'#BerechnungDBE'!J41</f>
        <v/>
      </c>
      <c r="R46" s="1496" t="str">
        <f>'#BerechnungDBE'!K41</f>
        <v/>
      </c>
      <c r="S46" s="1325"/>
      <c r="T46" s="1486" t="str">
        <f>IF('#BerechnungDBE'!AB41=4,'#Boden'!$B$30,IF('#BerechnungDBE'!AB41=3,'#Boden'!$B$31,'#Boden'!$B$32))</f>
        <v xml:space="preserve">  -- </v>
      </c>
      <c r="U46" s="1326"/>
      <c r="V46" s="1327"/>
      <c r="W46" s="1328"/>
      <c r="X46" s="1142" t="str">
        <f>IF(AND(B46="",C46="",D46=""),"",IF('#BerechnungDBE'!DM41&gt;0,"KOPIE",IF(COUNT('#BerechnungDBE'!DO41:DR41)=0,"OK",TRIM(CONCATENATE('#BerechnungDBE'!DN41," ",'#BerechnungDBE'!DO41," ",'#BerechnungDBE'!DP41," ",'#BerechnungDBE'!DQ41," ",'#BerechnungDBE'!DR41)))))</f>
        <v/>
      </c>
      <c r="Y46" s="1143"/>
    </row>
    <row r="47" spans="1:25" s="130" customFormat="1" ht="15" customHeight="1" x14ac:dyDescent="0.2">
      <c r="A47" s="876">
        <v>38</v>
      </c>
      <c r="B47" s="1319" t="str">
        <f>IF('Daten aus 2021'!B44="","",'Daten aus 2021'!B44)</f>
        <v/>
      </c>
      <c r="C47" s="1487" t="str">
        <f>IF('Daten aus 2021'!C44="","",'Daten aus 2021'!C44)</f>
        <v/>
      </c>
      <c r="D47" s="1320" t="str">
        <f>IF('Daten aus 2021'!D44="","",'Daten aus 2021'!D44)</f>
        <v/>
      </c>
      <c r="E47" s="1321" t="s">
        <v>315</v>
      </c>
      <c r="F47" s="1322" t="str">
        <f>IF('Daten aus 2021'!E44="",IF(AND(D47&lt;1,D47&lt;&gt;""),'#Boden'!$G$6,'#Boden'!$G$4),'Daten aus 2021'!E44)</f>
        <v xml:space="preserve"> --</v>
      </c>
      <c r="G47" s="1319" t="str">
        <f>'#BerechnungDBE'!A42</f>
        <v xml:space="preserve"> --</v>
      </c>
      <c r="H47" s="1323" t="str">
        <f>IF('Daten aus 2021'!G44="",'#Boden'!$B$24,'Daten aus 2021'!G44)</f>
        <v>ja</v>
      </c>
      <c r="I47" s="1322" t="str">
        <f>'#BerechnungDBE'!B42</f>
        <v xml:space="preserve"> --         </v>
      </c>
      <c r="J47" s="1324" t="str">
        <f>'#BerechnungDBE'!F42</f>
        <v xml:space="preserve"> --  </v>
      </c>
      <c r="K47" s="1319" t="str">
        <f>IF(D47="","",IF('Daten aus 2021'!AA44="","",'Daten aus 2021'!AA44))</f>
        <v/>
      </c>
      <c r="L47" s="1321" t="s">
        <v>699</v>
      </c>
      <c r="M47" s="1325" t="s">
        <v>700</v>
      </c>
      <c r="N47" s="1325" t="s">
        <v>701</v>
      </c>
      <c r="O47" s="1325" t="str">
        <f>IF(L47="",'#Zweitfr'!$I$8,VLOOKUP(L47,Nebenkultur[[Nebenkultur]:[Legum. Zwischenfr.]],'#Zweitfr'!$I$1,FALSE))</f>
        <v/>
      </c>
      <c r="P47" s="1324" t="str">
        <f>IF('#BerechnungDBE'!M42=3,J47,'#Frucht'!$D$8)</f>
        <v xml:space="preserve"> --  </v>
      </c>
      <c r="Q47" s="1499" t="str">
        <f>'#BerechnungDBE'!J42</f>
        <v/>
      </c>
      <c r="R47" s="1496" t="str">
        <f>'#BerechnungDBE'!K42</f>
        <v/>
      </c>
      <c r="S47" s="1325"/>
      <c r="T47" s="1486" t="str">
        <f>IF('#BerechnungDBE'!AB42=4,'#Boden'!$B$30,IF('#BerechnungDBE'!AB42=3,'#Boden'!$B$31,'#Boden'!$B$32))</f>
        <v xml:space="preserve">  -- </v>
      </c>
      <c r="U47" s="1326"/>
      <c r="V47" s="1327"/>
      <c r="W47" s="1328"/>
      <c r="X47" s="1142" t="str">
        <f>IF(AND(B47="",C47="",D47=""),"",IF('#BerechnungDBE'!DM42&gt;0,"KOPIE",IF(COUNT('#BerechnungDBE'!DO42:DR42)=0,"OK",TRIM(CONCATENATE('#BerechnungDBE'!DN42," ",'#BerechnungDBE'!DO42," ",'#BerechnungDBE'!DP42," ",'#BerechnungDBE'!DQ42," ",'#BerechnungDBE'!DR42)))))</f>
        <v/>
      </c>
      <c r="Y47" s="1143"/>
    </row>
    <row r="48" spans="1:25" s="130" customFormat="1" ht="15" customHeight="1" x14ac:dyDescent="0.2">
      <c r="A48" s="876">
        <v>39</v>
      </c>
      <c r="B48" s="1319" t="str">
        <f>IF('Daten aus 2021'!B45="","",'Daten aus 2021'!B45)</f>
        <v/>
      </c>
      <c r="C48" s="1487" t="str">
        <f>IF('Daten aus 2021'!C45="","",'Daten aus 2021'!C45)</f>
        <v/>
      </c>
      <c r="D48" s="1320" t="str">
        <f>IF('Daten aus 2021'!D45="","",'Daten aus 2021'!D45)</f>
        <v/>
      </c>
      <c r="E48" s="1321" t="s">
        <v>315</v>
      </c>
      <c r="F48" s="1322" t="str">
        <f>IF('Daten aus 2021'!E45="",IF(AND(D48&lt;1,D48&lt;&gt;""),'#Boden'!$G$6,'#Boden'!$G$4),'Daten aus 2021'!E45)</f>
        <v xml:space="preserve"> --</v>
      </c>
      <c r="G48" s="1319" t="str">
        <f>'#BerechnungDBE'!A43</f>
        <v xml:space="preserve"> --</v>
      </c>
      <c r="H48" s="1323" t="str">
        <f>IF('Daten aus 2021'!G45="",'#Boden'!$B$24,'Daten aus 2021'!G45)</f>
        <v>ja</v>
      </c>
      <c r="I48" s="1322" t="str">
        <f>'#BerechnungDBE'!B43</f>
        <v xml:space="preserve"> --         </v>
      </c>
      <c r="J48" s="1324" t="str">
        <f>'#BerechnungDBE'!F43</f>
        <v xml:space="preserve"> --  </v>
      </c>
      <c r="K48" s="1319" t="str">
        <f>IF(D48="","",IF('Daten aus 2021'!AA45="","",'Daten aus 2021'!AA45))</f>
        <v/>
      </c>
      <c r="L48" s="1321" t="s">
        <v>699</v>
      </c>
      <c r="M48" s="1319" t="s">
        <v>700</v>
      </c>
      <c r="N48" s="1325" t="s">
        <v>701</v>
      </c>
      <c r="O48" s="1325" t="str">
        <f>IF(L48="",'#Zweitfr'!$I$8,VLOOKUP(L48,Nebenkultur[[Nebenkultur]:[Legum. Zwischenfr.]],'#Zweitfr'!$I$1,FALSE))</f>
        <v/>
      </c>
      <c r="P48" s="1324" t="str">
        <f>IF('#BerechnungDBE'!M43=3,J48,'#Frucht'!$D$8)</f>
        <v xml:space="preserve"> --  </v>
      </c>
      <c r="Q48" s="1499" t="str">
        <f>'#BerechnungDBE'!J43</f>
        <v/>
      </c>
      <c r="R48" s="1496" t="str">
        <f>'#BerechnungDBE'!K43</f>
        <v/>
      </c>
      <c r="S48" s="1325"/>
      <c r="T48" s="1486" t="str">
        <f>IF('#BerechnungDBE'!AB43=4,'#Boden'!$B$30,IF('#BerechnungDBE'!AB43=3,'#Boden'!$B$31,'#Boden'!$B$32))</f>
        <v xml:space="preserve">  -- </v>
      </c>
      <c r="U48" s="1326"/>
      <c r="V48" s="1327"/>
      <c r="W48" s="1328"/>
      <c r="X48" s="1142" t="str">
        <f>IF(AND(B48="",C48="",D48=""),"",IF('#BerechnungDBE'!DM43&gt;0,"KOPIE",IF(COUNT('#BerechnungDBE'!DO43:DR43)=0,"OK",TRIM(CONCATENATE('#BerechnungDBE'!DN43," ",'#BerechnungDBE'!DO43," ",'#BerechnungDBE'!DP43," ",'#BerechnungDBE'!DQ43," ",'#BerechnungDBE'!DR43)))))</f>
        <v/>
      </c>
      <c r="Y48" s="1143"/>
    </row>
    <row r="49" spans="1:25" s="130" customFormat="1" ht="15" customHeight="1" x14ac:dyDescent="0.2">
      <c r="A49" s="876">
        <v>40</v>
      </c>
      <c r="B49" s="1319" t="str">
        <f>IF('Daten aus 2021'!B46="","",'Daten aus 2021'!B46)</f>
        <v/>
      </c>
      <c r="C49" s="1487" t="str">
        <f>IF('Daten aus 2021'!C46="","",'Daten aus 2021'!C46)</f>
        <v/>
      </c>
      <c r="D49" s="1320" t="str">
        <f>IF('Daten aus 2021'!D46="","",'Daten aus 2021'!D46)</f>
        <v/>
      </c>
      <c r="E49" s="1321" t="s">
        <v>315</v>
      </c>
      <c r="F49" s="1322" t="str">
        <f>IF('Daten aus 2021'!E46="",IF(AND(D49&lt;1,D49&lt;&gt;""),'#Boden'!$G$6,'#Boden'!$G$4),'Daten aus 2021'!E46)</f>
        <v xml:space="preserve"> --</v>
      </c>
      <c r="G49" s="1319" t="str">
        <f>'#BerechnungDBE'!A44</f>
        <v xml:space="preserve"> --</v>
      </c>
      <c r="H49" s="1323" t="str">
        <f>IF('Daten aus 2021'!G46="",'#Boden'!$B$24,'Daten aus 2021'!G46)</f>
        <v>ja</v>
      </c>
      <c r="I49" s="1322" t="str">
        <f>'#BerechnungDBE'!B44</f>
        <v xml:space="preserve"> --         </v>
      </c>
      <c r="J49" s="1324" t="str">
        <f>'#BerechnungDBE'!F44</f>
        <v xml:space="preserve"> --  </v>
      </c>
      <c r="K49" s="1319" t="str">
        <f>IF(D49="","",IF('Daten aus 2021'!AA46="","",'Daten aus 2021'!AA46))</f>
        <v/>
      </c>
      <c r="L49" s="1321" t="s">
        <v>699</v>
      </c>
      <c r="M49" s="1325" t="s">
        <v>700</v>
      </c>
      <c r="N49" s="1325" t="s">
        <v>701</v>
      </c>
      <c r="O49" s="1325" t="str">
        <f>IF(L49="",'#Zweitfr'!$I$8,VLOOKUP(L49,Nebenkultur[[Nebenkultur]:[Legum. Zwischenfr.]],'#Zweitfr'!$I$1,FALSE))</f>
        <v/>
      </c>
      <c r="P49" s="1324" t="str">
        <f>IF('#BerechnungDBE'!M44=3,J49,'#Frucht'!$D$8)</f>
        <v xml:space="preserve"> --  </v>
      </c>
      <c r="Q49" s="1499" t="str">
        <f>'#BerechnungDBE'!J44</f>
        <v/>
      </c>
      <c r="R49" s="1496" t="str">
        <f>'#BerechnungDBE'!K44</f>
        <v/>
      </c>
      <c r="S49" s="1325"/>
      <c r="T49" s="1486" t="str">
        <f>IF('#BerechnungDBE'!AB44=4,'#Boden'!$B$30,IF('#BerechnungDBE'!AB44=3,'#Boden'!$B$31,'#Boden'!$B$32))</f>
        <v xml:space="preserve">  -- </v>
      </c>
      <c r="U49" s="1326"/>
      <c r="V49" s="1327"/>
      <c r="W49" s="1328"/>
      <c r="X49" s="1142" t="str">
        <f>IF(AND(B49="",C49="",D49=""),"",IF('#BerechnungDBE'!DM44&gt;0,"KOPIE",IF(COUNT('#BerechnungDBE'!DO44:DR44)=0,"OK",TRIM(CONCATENATE('#BerechnungDBE'!DN44," ",'#BerechnungDBE'!DO44," ",'#BerechnungDBE'!DP44," ",'#BerechnungDBE'!DQ44," ",'#BerechnungDBE'!DR44)))))</f>
        <v/>
      </c>
      <c r="Y49" s="1143"/>
    </row>
    <row r="50" spans="1:25" s="130" customFormat="1" ht="15" customHeight="1" x14ac:dyDescent="0.2">
      <c r="A50" s="876">
        <v>41</v>
      </c>
      <c r="B50" s="1319" t="str">
        <f>IF('Daten aus 2021'!B47="","",'Daten aus 2021'!B47)</f>
        <v/>
      </c>
      <c r="C50" s="1487" t="str">
        <f>IF('Daten aus 2021'!C47="","",'Daten aus 2021'!C47)</f>
        <v/>
      </c>
      <c r="D50" s="1320" t="str">
        <f>IF('Daten aus 2021'!D47="","",'Daten aus 2021'!D47)</f>
        <v/>
      </c>
      <c r="E50" s="1321" t="s">
        <v>315</v>
      </c>
      <c r="F50" s="1322" t="str">
        <f>IF('Daten aus 2021'!E47="",IF(AND(D50&lt;1,D50&lt;&gt;""),'#Boden'!$G$6,'#Boden'!$G$4),'Daten aus 2021'!E47)</f>
        <v xml:space="preserve"> --</v>
      </c>
      <c r="G50" s="1319" t="str">
        <f>'#BerechnungDBE'!A45</f>
        <v xml:space="preserve"> --</v>
      </c>
      <c r="H50" s="1323" t="str">
        <f>IF('Daten aus 2021'!G47="",'#Boden'!$B$24,'Daten aus 2021'!G47)</f>
        <v>ja</v>
      </c>
      <c r="I50" s="1322" t="str">
        <f>'#BerechnungDBE'!B45</f>
        <v xml:space="preserve"> --         </v>
      </c>
      <c r="J50" s="1324" t="str">
        <f>'#BerechnungDBE'!F45</f>
        <v xml:space="preserve"> --  </v>
      </c>
      <c r="K50" s="1319" t="str">
        <f>IF(D50="","",IF('Daten aus 2021'!AA47="","",'Daten aus 2021'!AA47))</f>
        <v/>
      </c>
      <c r="L50" s="1321" t="s">
        <v>699</v>
      </c>
      <c r="M50" s="1319" t="s">
        <v>700</v>
      </c>
      <c r="N50" s="1325" t="s">
        <v>701</v>
      </c>
      <c r="O50" s="1325" t="str">
        <f>IF(L50="",'#Zweitfr'!$I$8,VLOOKUP(L50,Nebenkultur[[Nebenkultur]:[Legum. Zwischenfr.]],'#Zweitfr'!$I$1,FALSE))</f>
        <v/>
      </c>
      <c r="P50" s="1324" t="str">
        <f>IF('#BerechnungDBE'!M45=3,J50,'#Frucht'!$D$8)</f>
        <v xml:space="preserve"> --  </v>
      </c>
      <c r="Q50" s="1499" t="str">
        <f>'#BerechnungDBE'!J45</f>
        <v/>
      </c>
      <c r="R50" s="1496" t="str">
        <f>'#BerechnungDBE'!K45</f>
        <v/>
      </c>
      <c r="S50" s="1325"/>
      <c r="T50" s="1486" t="str">
        <f>IF('#BerechnungDBE'!AB45=4,'#Boden'!$B$30,IF('#BerechnungDBE'!AB45=3,'#Boden'!$B$31,'#Boden'!$B$32))</f>
        <v xml:space="preserve">  -- </v>
      </c>
      <c r="U50" s="1326"/>
      <c r="V50" s="1327"/>
      <c r="W50" s="1328"/>
      <c r="X50" s="1142" t="str">
        <f>IF(AND(B50="",C50="",D50=""),"",IF('#BerechnungDBE'!DM45&gt;0,"KOPIE",IF(COUNT('#BerechnungDBE'!DO45:DR45)=0,"OK",TRIM(CONCATENATE('#BerechnungDBE'!DN45," ",'#BerechnungDBE'!DO45," ",'#BerechnungDBE'!DP45," ",'#BerechnungDBE'!DQ45," ",'#BerechnungDBE'!DR45)))))</f>
        <v/>
      </c>
      <c r="Y50" s="1143"/>
    </row>
    <row r="51" spans="1:25" s="130" customFormat="1" ht="15" customHeight="1" x14ac:dyDescent="0.2">
      <c r="A51" s="876">
        <v>42</v>
      </c>
      <c r="B51" s="1319" t="str">
        <f>IF('Daten aus 2021'!B48="","",'Daten aus 2021'!B48)</f>
        <v/>
      </c>
      <c r="C51" s="1487" t="str">
        <f>IF('Daten aus 2021'!C48="","",'Daten aus 2021'!C48)</f>
        <v/>
      </c>
      <c r="D51" s="1320" t="str">
        <f>IF('Daten aus 2021'!D48="","",'Daten aus 2021'!D48)</f>
        <v/>
      </c>
      <c r="E51" s="1321" t="s">
        <v>315</v>
      </c>
      <c r="F51" s="1322" t="str">
        <f>IF('Daten aus 2021'!E48="",IF(AND(D51&lt;1,D51&lt;&gt;""),'#Boden'!$G$6,'#Boden'!$G$4),'Daten aus 2021'!E48)</f>
        <v xml:space="preserve"> --</v>
      </c>
      <c r="G51" s="1319" t="str">
        <f>'#BerechnungDBE'!A46</f>
        <v xml:space="preserve"> --</v>
      </c>
      <c r="H51" s="1323" t="str">
        <f>IF('Daten aus 2021'!G48="",'#Boden'!$B$24,'Daten aus 2021'!G48)</f>
        <v>ja</v>
      </c>
      <c r="I51" s="1322" t="str">
        <f>'#BerechnungDBE'!B46</f>
        <v xml:space="preserve"> --         </v>
      </c>
      <c r="J51" s="1324" t="str">
        <f>'#BerechnungDBE'!F46</f>
        <v xml:space="preserve"> --  </v>
      </c>
      <c r="K51" s="1319" t="str">
        <f>IF(D51="","",IF('Daten aus 2021'!AA48="","",'Daten aus 2021'!AA48))</f>
        <v/>
      </c>
      <c r="L51" s="1321" t="s">
        <v>699</v>
      </c>
      <c r="M51" s="1325" t="s">
        <v>700</v>
      </c>
      <c r="N51" s="1325" t="s">
        <v>701</v>
      </c>
      <c r="O51" s="1325" t="str">
        <f>IF(L51="",'#Zweitfr'!$I$8,VLOOKUP(L51,Nebenkultur[[Nebenkultur]:[Legum. Zwischenfr.]],'#Zweitfr'!$I$1,FALSE))</f>
        <v/>
      </c>
      <c r="P51" s="1324" t="str">
        <f>IF('#BerechnungDBE'!M46=3,J51,'#Frucht'!$D$8)</f>
        <v xml:space="preserve"> --  </v>
      </c>
      <c r="Q51" s="1499" t="str">
        <f>'#BerechnungDBE'!J46</f>
        <v/>
      </c>
      <c r="R51" s="1496" t="str">
        <f>'#BerechnungDBE'!K46</f>
        <v/>
      </c>
      <c r="S51" s="1325"/>
      <c r="T51" s="1486" t="str">
        <f>IF('#BerechnungDBE'!AB46=4,'#Boden'!$B$30,IF('#BerechnungDBE'!AB46=3,'#Boden'!$B$31,'#Boden'!$B$32))</f>
        <v xml:space="preserve">  -- </v>
      </c>
      <c r="U51" s="1326"/>
      <c r="V51" s="1327"/>
      <c r="W51" s="1328"/>
      <c r="X51" s="1142" t="str">
        <f>IF(AND(B51="",C51="",D51=""),"",IF('#BerechnungDBE'!DM46&gt;0,"KOPIE",IF(COUNT('#BerechnungDBE'!DO46:DR46)=0,"OK",TRIM(CONCATENATE('#BerechnungDBE'!DN46," ",'#BerechnungDBE'!DO46," ",'#BerechnungDBE'!DP46," ",'#BerechnungDBE'!DQ46," ",'#BerechnungDBE'!DR46)))))</f>
        <v/>
      </c>
      <c r="Y51" s="1143"/>
    </row>
    <row r="52" spans="1:25" s="130" customFormat="1" ht="15" customHeight="1" x14ac:dyDescent="0.2">
      <c r="A52" s="876">
        <v>43</v>
      </c>
      <c r="B52" s="1319" t="str">
        <f>IF('Daten aus 2021'!B49="","",'Daten aus 2021'!B49)</f>
        <v/>
      </c>
      <c r="C52" s="1487" t="str">
        <f>IF('Daten aus 2021'!C49="","",'Daten aus 2021'!C49)</f>
        <v/>
      </c>
      <c r="D52" s="1320" t="str">
        <f>IF('Daten aus 2021'!D49="","",'Daten aus 2021'!D49)</f>
        <v/>
      </c>
      <c r="E52" s="1321" t="s">
        <v>315</v>
      </c>
      <c r="F52" s="1322" t="str">
        <f>IF('Daten aus 2021'!E49="",IF(AND(D52&lt;1,D52&lt;&gt;""),'#Boden'!$G$6,'#Boden'!$G$4),'Daten aus 2021'!E49)</f>
        <v xml:space="preserve"> --</v>
      </c>
      <c r="G52" s="1319" t="str">
        <f>'#BerechnungDBE'!A47</f>
        <v xml:space="preserve"> --</v>
      </c>
      <c r="H52" s="1323" t="str">
        <f>IF('Daten aus 2021'!G49="",'#Boden'!$B$24,'Daten aus 2021'!G49)</f>
        <v>ja</v>
      </c>
      <c r="I52" s="1322" t="str">
        <f>'#BerechnungDBE'!B47</f>
        <v xml:space="preserve"> --         </v>
      </c>
      <c r="J52" s="1324" t="str">
        <f>'#BerechnungDBE'!F47</f>
        <v xml:space="preserve"> --  </v>
      </c>
      <c r="K52" s="1319" t="str">
        <f>IF(D52="","",IF('Daten aus 2021'!AA49="","",'Daten aus 2021'!AA49))</f>
        <v/>
      </c>
      <c r="L52" s="1321" t="s">
        <v>699</v>
      </c>
      <c r="M52" s="1319" t="s">
        <v>700</v>
      </c>
      <c r="N52" s="1325" t="s">
        <v>701</v>
      </c>
      <c r="O52" s="1325" t="str">
        <f>IF(L52="",'#Zweitfr'!$I$8,VLOOKUP(L52,Nebenkultur[[Nebenkultur]:[Legum. Zwischenfr.]],'#Zweitfr'!$I$1,FALSE))</f>
        <v/>
      </c>
      <c r="P52" s="1324" t="str">
        <f>IF('#BerechnungDBE'!M47=3,J52,'#Frucht'!$D$8)</f>
        <v xml:space="preserve"> --  </v>
      </c>
      <c r="Q52" s="1499" t="str">
        <f>'#BerechnungDBE'!J47</f>
        <v/>
      </c>
      <c r="R52" s="1496" t="str">
        <f>'#BerechnungDBE'!K47</f>
        <v/>
      </c>
      <c r="S52" s="1325"/>
      <c r="T52" s="1486" t="str">
        <f>IF('#BerechnungDBE'!AB47=4,'#Boden'!$B$30,IF('#BerechnungDBE'!AB47=3,'#Boden'!$B$31,'#Boden'!$B$32))</f>
        <v xml:space="preserve">  -- </v>
      </c>
      <c r="U52" s="1326"/>
      <c r="V52" s="1327"/>
      <c r="W52" s="1328"/>
      <c r="X52" s="1142" t="str">
        <f>IF(AND(B52="",C52="",D52=""),"",IF('#BerechnungDBE'!DM47&gt;0,"KOPIE",IF(COUNT('#BerechnungDBE'!DO47:DR47)=0,"OK",TRIM(CONCATENATE('#BerechnungDBE'!DN47," ",'#BerechnungDBE'!DO47," ",'#BerechnungDBE'!DP47," ",'#BerechnungDBE'!DQ47," ",'#BerechnungDBE'!DR47)))))</f>
        <v/>
      </c>
      <c r="Y52" s="1143"/>
    </row>
    <row r="53" spans="1:25" s="130" customFormat="1" ht="15" customHeight="1" x14ac:dyDescent="0.2">
      <c r="A53" s="876">
        <v>44</v>
      </c>
      <c r="B53" s="1319" t="str">
        <f>IF('Daten aus 2021'!B50="","",'Daten aus 2021'!B50)</f>
        <v/>
      </c>
      <c r="C53" s="1487" t="str">
        <f>IF('Daten aus 2021'!C50="","",'Daten aus 2021'!C50)</f>
        <v/>
      </c>
      <c r="D53" s="1320" t="str">
        <f>IF('Daten aus 2021'!D50="","",'Daten aus 2021'!D50)</f>
        <v/>
      </c>
      <c r="E53" s="1321" t="s">
        <v>315</v>
      </c>
      <c r="F53" s="1322" t="str">
        <f>IF('Daten aus 2021'!E50="",IF(AND(D53&lt;1,D53&lt;&gt;""),'#Boden'!$G$6,'#Boden'!$G$4),'Daten aus 2021'!E50)</f>
        <v xml:space="preserve"> --</v>
      </c>
      <c r="G53" s="1319" t="str">
        <f>'#BerechnungDBE'!A48</f>
        <v xml:space="preserve"> --</v>
      </c>
      <c r="H53" s="1323" t="str">
        <f>IF('Daten aus 2021'!G50="",'#Boden'!$B$24,'Daten aus 2021'!G50)</f>
        <v>ja</v>
      </c>
      <c r="I53" s="1322" t="str">
        <f>'#BerechnungDBE'!B48</f>
        <v xml:space="preserve"> --         </v>
      </c>
      <c r="J53" s="1324" t="str">
        <f>'#BerechnungDBE'!F48</f>
        <v xml:space="preserve"> --  </v>
      </c>
      <c r="K53" s="1319" t="str">
        <f>IF(D53="","",IF('Daten aus 2021'!AA50="","",'Daten aus 2021'!AA50))</f>
        <v/>
      </c>
      <c r="L53" s="1321" t="s">
        <v>699</v>
      </c>
      <c r="M53" s="1325" t="s">
        <v>700</v>
      </c>
      <c r="N53" s="1325" t="s">
        <v>701</v>
      </c>
      <c r="O53" s="1325" t="str">
        <f>IF(L53="",'#Zweitfr'!$I$8,VLOOKUP(L53,Nebenkultur[[Nebenkultur]:[Legum. Zwischenfr.]],'#Zweitfr'!$I$1,FALSE))</f>
        <v/>
      </c>
      <c r="P53" s="1324" t="str">
        <f>IF('#BerechnungDBE'!M48=3,J53,'#Frucht'!$D$8)</f>
        <v xml:space="preserve"> --  </v>
      </c>
      <c r="Q53" s="1499" t="str">
        <f>'#BerechnungDBE'!J48</f>
        <v/>
      </c>
      <c r="R53" s="1496" t="str">
        <f>'#BerechnungDBE'!K48</f>
        <v/>
      </c>
      <c r="S53" s="1325"/>
      <c r="T53" s="1486" t="str">
        <f>IF('#BerechnungDBE'!AB48=4,'#Boden'!$B$30,IF('#BerechnungDBE'!AB48=3,'#Boden'!$B$31,'#Boden'!$B$32))</f>
        <v xml:space="preserve">  -- </v>
      </c>
      <c r="U53" s="1326"/>
      <c r="V53" s="1327"/>
      <c r="W53" s="1328"/>
      <c r="X53" s="1142" t="str">
        <f>IF(AND(B53="",C53="",D53=""),"",IF('#BerechnungDBE'!DM48&gt;0,"KOPIE",IF(COUNT('#BerechnungDBE'!DO48:DR48)=0,"OK",TRIM(CONCATENATE('#BerechnungDBE'!DN48," ",'#BerechnungDBE'!DO48," ",'#BerechnungDBE'!DP48," ",'#BerechnungDBE'!DQ48," ",'#BerechnungDBE'!DR48)))))</f>
        <v/>
      </c>
      <c r="Y53" s="1143"/>
    </row>
    <row r="54" spans="1:25" s="130" customFormat="1" ht="15" customHeight="1" x14ac:dyDescent="0.2">
      <c r="A54" s="876">
        <v>45</v>
      </c>
      <c r="B54" s="1319" t="str">
        <f>IF('Daten aus 2021'!B51="","",'Daten aus 2021'!B51)</f>
        <v/>
      </c>
      <c r="C54" s="1487" t="str">
        <f>IF('Daten aus 2021'!C51="","",'Daten aus 2021'!C51)</f>
        <v/>
      </c>
      <c r="D54" s="1320" t="str">
        <f>IF('Daten aus 2021'!D51="","",'Daten aus 2021'!D51)</f>
        <v/>
      </c>
      <c r="E54" s="1321" t="s">
        <v>315</v>
      </c>
      <c r="F54" s="1322" t="str">
        <f>IF('Daten aus 2021'!E51="",IF(AND(D54&lt;1,D54&lt;&gt;""),'#Boden'!$G$6,'#Boden'!$G$4),'Daten aus 2021'!E51)</f>
        <v xml:space="preserve"> --</v>
      </c>
      <c r="G54" s="1319" t="str">
        <f>'#BerechnungDBE'!A49</f>
        <v xml:space="preserve"> --</v>
      </c>
      <c r="H54" s="1323" t="str">
        <f>IF('Daten aus 2021'!G51="",'#Boden'!$B$24,'Daten aus 2021'!G51)</f>
        <v>ja</v>
      </c>
      <c r="I54" s="1322" t="str">
        <f>'#BerechnungDBE'!B49</f>
        <v xml:space="preserve"> --         </v>
      </c>
      <c r="J54" s="1324" t="str">
        <f>'#BerechnungDBE'!F49</f>
        <v xml:space="preserve"> --  </v>
      </c>
      <c r="K54" s="1319" t="str">
        <f>IF(D54="","",IF('Daten aus 2021'!AA51="","",'Daten aus 2021'!AA51))</f>
        <v/>
      </c>
      <c r="L54" s="1321" t="s">
        <v>699</v>
      </c>
      <c r="M54" s="1319" t="s">
        <v>700</v>
      </c>
      <c r="N54" s="1325" t="s">
        <v>701</v>
      </c>
      <c r="O54" s="1325" t="str">
        <f>IF(L54="",'#Zweitfr'!$I$8,VLOOKUP(L54,Nebenkultur[[Nebenkultur]:[Legum. Zwischenfr.]],'#Zweitfr'!$I$1,FALSE))</f>
        <v/>
      </c>
      <c r="P54" s="1324" t="str">
        <f>IF('#BerechnungDBE'!M49=3,J54,'#Frucht'!$D$8)</f>
        <v xml:space="preserve"> --  </v>
      </c>
      <c r="Q54" s="1499" t="str">
        <f>'#BerechnungDBE'!J49</f>
        <v/>
      </c>
      <c r="R54" s="1496" t="str">
        <f>'#BerechnungDBE'!K49</f>
        <v/>
      </c>
      <c r="S54" s="1325"/>
      <c r="T54" s="1486" t="str">
        <f>IF('#BerechnungDBE'!AB49=4,'#Boden'!$B$30,IF('#BerechnungDBE'!AB49=3,'#Boden'!$B$31,'#Boden'!$B$32))</f>
        <v xml:space="preserve">  -- </v>
      </c>
      <c r="U54" s="1326"/>
      <c r="V54" s="1327"/>
      <c r="W54" s="1328"/>
      <c r="X54" s="1142" t="str">
        <f>IF(AND(B54="",C54="",D54=""),"",IF('#BerechnungDBE'!DM49&gt;0,"KOPIE",IF(COUNT('#BerechnungDBE'!DO49:DR49)=0,"OK",TRIM(CONCATENATE('#BerechnungDBE'!DN49," ",'#BerechnungDBE'!DO49," ",'#BerechnungDBE'!DP49," ",'#BerechnungDBE'!DQ49," ",'#BerechnungDBE'!DR49)))))</f>
        <v/>
      </c>
      <c r="Y54" s="1143"/>
    </row>
    <row r="55" spans="1:25" s="130" customFormat="1" ht="15" customHeight="1" x14ac:dyDescent="0.2">
      <c r="A55" s="876">
        <v>46</v>
      </c>
      <c r="B55" s="1319" t="str">
        <f>IF('Daten aus 2021'!B52="","",'Daten aus 2021'!B52)</f>
        <v/>
      </c>
      <c r="C55" s="1487" t="str">
        <f>IF('Daten aus 2021'!C52="","",'Daten aus 2021'!C52)</f>
        <v/>
      </c>
      <c r="D55" s="1320" t="str">
        <f>IF('Daten aus 2021'!D52="","",'Daten aus 2021'!D52)</f>
        <v/>
      </c>
      <c r="E55" s="1321" t="s">
        <v>315</v>
      </c>
      <c r="F55" s="1322" t="str">
        <f>IF('Daten aus 2021'!E52="",IF(AND(D55&lt;1,D55&lt;&gt;""),'#Boden'!$G$6,'#Boden'!$G$4),'Daten aus 2021'!E52)</f>
        <v xml:space="preserve"> --</v>
      </c>
      <c r="G55" s="1319" t="str">
        <f>'#BerechnungDBE'!A50</f>
        <v xml:space="preserve"> --</v>
      </c>
      <c r="H55" s="1323" t="str">
        <f>IF('Daten aus 2021'!G52="",'#Boden'!$B$24,'Daten aus 2021'!G52)</f>
        <v>ja</v>
      </c>
      <c r="I55" s="1322" t="str">
        <f>'#BerechnungDBE'!B50</f>
        <v xml:space="preserve"> --         </v>
      </c>
      <c r="J55" s="1324" t="str">
        <f>'#BerechnungDBE'!F50</f>
        <v xml:space="preserve"> --  </v>
      </c>
      <c r="K55" s="1319" t="str">
        <f>IF(D55="","",IF('Daten aus 2021'!AA52="","",'Daten aus 2021'!AA52))</f>
        <v/>
      </c>
      <c r="L55" s="1321" t="s">
        <v>699</v>
      </c>
      <c r="M55" s="1325" t="s">
        <v>700</v>
      </c>
      <c r="N55" s="1325" t="s">
        <v>701</v>
      </c>
      <c r="O55" s="1325" t="str">
        <f>IF(L55="",'#Zweitfr'!$I$8,VLOOKUP(L55,Nebenkultur[[Nebenkultur]:[Legum. Zwischenfr.]],'#Zweitfr'!$I$1,FALSE))</f>
        <v/>
      </c>
      <c r="P55" s="1324" t="str">
        <f>IF('#BerechnungDBE'!M50=3,J55,'#Frucht'!$D$8)</f>
        <v xml:space="preserve"> --  </v>
      </c>
      <c r="Q55" s="1499" t="str">
        <f>'#BerechnungDBE'!J50</f>
        <v/>
      </c>
      <c r="R55" s="1496" t="str">
        <f>'#BerechnungDBE'!K50</f>
        <v/>
      </c>
      <c r="S55" s="1325"/>
      <c r="T55" s="1486" t="str">
        <f>IF('#BerechnungDBE'!AB50=4,'#Boden'!$B$30,IF('#BerechnungDBE'!AB50=3,'#Boden'!$B$31,'#Boden'!$B$32))</f>
        <v xml:space="preserve">  -- </v>
      </c>
      <c r="U55" s="1326"/>
      <c r="V55" s="1327"/>
      <c r="W55" s="1328"/>
      <c r="X55" s="1142" t="str">
        <f>IF(AND(B55="",C55="",D55=""),"",IF('#BerechnungDBE'!DM50&gt;0,"KOPIE",IF(COUNT('#BerechnungDBE'!DO50:DR50)=0,"OK",TRIM(CONCATENATE('#BerechnungDBE'!DN50," ",'#BerechnungDBE'!DO50," ",'#BerechnungDBE'!DP50," ",'#BerechnungDBE'!DQ50," ",'#BerechnungDBE'!DR50)))))</f>
        <v/>
      </c>
      <c r="Y55" s="1143"/>
    </row>
    <row r="56" spans="1:25" s="130" customFormat="1" ht="15" customHeight="1" x14ac:dyDescent="0.2">
      <c r="A56" s="876">
        <v>47</v>
      </c>
      <c r="B56" s="1319" t="str">
        <f>IF('Daten aus 2021'!B53="","",'Daten aus 2021'!B53)</f>
        <v/>
      </c>
      <c r="C56" s="1487" t="str">
        <f>IF('Daten aus 2021'!C53="","",'Daten aus 2021'!C53)</f>
        <v/>
      </c>
      <c r="D56" s="1320" t="str">
        <f>IF('Daten aus 2021'!D53="","",'Daten aus 2021'!D53)</f>
        <v/>
      </c>
      <c r="E56" s="1321" t="s">
        <v>315</v>
      </c>
      <c r="F56" s="1322" t="str">
        <f>IF('Daten aus 2021'!E53="",IF(AND(D56&lt;1,D56&lt;&gt;""),'#Boden'!$G$6,'#Boden'!$G$4),'Daten aus 2021'!E53)</f>
        <v xml:space="preserve"> --</v>
      </c>
      <c r="G56" s="1319" t="str">
        <f>'#BerechnungDBE'!A51</f>
        <v xml:space="preserve"> --</v>
      </c>
      <c r="H56" s="1323" t="str">
        <f>IF('Daten aus 2021'!G53="",'#Boden'!$B$24,'Daten aus 2021'!G53)</f>
        <v>ja</v>
      </c>
      <c r="I56" s="1322" t="str">
        <f>'#BerechnungDBE'!B51</f>
        <v xml:space="preserve"> --         </v>
      </c>
      <c r="J56" s="1324" t="str">
        <f>'#BerechnungDBE'!F51</f>
        <v xml:space="preserve"> --  </v>
      </c>
      <c r="K56" s="1319" t="str">
        <f>IF(D56="","",IF('Daten aus 2021'!AA53="","",'Daten aus 2021'!AA53))</f>
        <v/>
      </c>
      <c r="L56" s="1321" t="s">
        <v>699</v>
      </c>
      <c r="M56" s="1319" t="s">
        <v>700</v>
      </c>
      <c r="N56" s="1325" t="s">
        <v>701</v>
      </c>
      <c r="O56" s="1325" t="str">
        <f>IF(L56="",'#Zweitfr'!$I$8,VLOOKUP(L56,Nebenkultur[[Nebenkultur]:[Legum. Zwischenfr.]],'#Zweitfr'!$I$1,FALSE))</f>
        <v/>
      </c>
      <c r="P56" s="1324" t="str">
        <f>IF('#BerechnungDBE'!M51=3,J56,'#Frucht'!$D$8)</f>
        <v xml:space="preserve"> --  </v>
      </c>
      <c r="Q56" s="1499" t="str">
        <f>'#BerechnungDBE'!J51</f>
        <v/>
      </c>
      <c r="R56" s="1496" t="str">
        <f>'#BerechnungDBE'!K51</f>
        <v/>
      </c>
      <c r="S56" s="1325"/>
      <c r="T56" s="1486" t="str">
        <f>IF('#BerechnungDBE'!AB51=4,'#Boden'!$B$30,IF('#BerechnungDBE'!AB51=3,'#Boden'!$B$31,'#Boden'!$B$32))</f>
        <v xml:space="preserve">  -- </v>
      </c>
      <c r="U56" s="1326"/>
      <c r="V56" s="1327"/>
      <c r="W56" s="1328"/>
      <c r="X56" s="1142" t="str">
        <f>IF(AND(B56="",C56="",D56=""),"",IF('#BerechnungDBE'!DM51&gt;0,"KOPIE",IF(COUNT('#BerechnungDBE'!DO51:DR51)=0,"OK",TRIM(CONCATENATE('#BerechnungDBE'!DN51," ",'#BerechnungDBE'!DO51," ",'#BerechnungDBE'!DP51," ",'#BerechnungDBE'!DQ51," ",'#BerechnungDBE'!DR51)))))</f>
        <v/>
      </c>
      <c r="Y56" s="1143"/>
    </row>
    <row r="57" spans="1:25" s="130" customFormat="1" ht="15" customHeight="1" x14ac:dyDescent="0.2">
      <c r="A57" s="876">
        <v>48</v>
      </c>
      <c r="B57" s="1319" t="str">
        <f>IF('Daten aus 2021'!B54="","",'Daten aus 2021'!B54)</f>
        <v/>
      </c>
      <c r="C57" s="1487" t="str">
        <f>IF('Daten aus 2021'!C54="","",'Daten aus 2021'!C54)</f>
        <v/>
      </c>
      <c r="D57" s="1320" t="str">
        <f>IF('Daten aus 2021'!D54="","",'Daten aus 2021'!D54)</f>
        <v/>
      </c>
      <c r="E57" s="1321" t="s">
        <v>315</v>
      </c>
      <c r="F57" s="1322" t="str">
        <f>IF('Daten aus 2021'!E54="",IF(AND(D57&lt;1,D57&lt;&gt;""),'#Boden'!$G$6,'#Boden'!$G$4),'Daten aus 2021'!E54)</f>
        <v xml:space="preserve"> --</v>
      </c>
      <c r="G57" s="1319" t="str">
        <f>'#BerechnungDBE'!A52</f>
        <v xml:space="preserve"> --</v>
      </c>
      <c r="H57" s="1323" t="str">
        <f>IF('Daten aus 2021'!G54="",'#Boden'!$B$24,'Daten aus 2021'!G54)</f>
        <v>ja</v>
      </c>
      <c r="I57" s="1322" t="str">
        <f>'#BerechnungDBE'!B52</f>
        <v xml:space="preserve"> --         </v>
      </c>
      <c r="J57" s="1324" t="str">
        <f>'#BerechnungDBE'!F52</f>
        <v xml:space="preserve"> --  </v>
      </c>
      <c r="K57" s="1319" t="str">
        <f>IF(D57="","",IF('Daten aus 2021'!AA54="","",'Daten aus 2021'!AA54))</f>
        <v/>
      </c>
      <c r="L57" s="1321" t="s">
        <v>699</v>
      </c>
      <c r="M57" s="1325" t="s">
        <v>700</v>
      </c>
      <c r="N57" s="1325" t="s">
        <v>701</v>
      </c>
      <c r="O57" s="1325" t="str">
        <f>IF(L57="",'#Zweitfr'!$I$8,VLOOKUP(L57,Nebenkultur[[Nebenkultur]:[Legum. Zwischenfr.]],'#Zweitfr'!$I$1,FALSE))</f>
        <v/>
      </c>
      <c r="P57" s="1324" t="str">
        <f>IF('#BerechnungDBE'!M52=3,J57,'#Frucht'!$D$8)</f>
        <v xml:space="preserve"> --  </v>
      </c>
      <c r="Q57" s="1499" t="str">
        <f>'#BerechnungDBE'!J52</f>
        <v/>
      </c>
      <c r="R57" s="1496" t="str">
        <f>'#BerechnungDBE'!K52</f>
        <v/>
      </c>
      <c r="S57" s="1325"/>
      <c r="T57" s="1486" t="str">
        <f>IF('#BerechnungDBE'!AB52=4,'#Boden'!$B$30,IF('#BerechnungDBE'!AB52=3,'#Boden'!$B$31,'#Boden'!$B$32))</f>
        <v xml:space="preserve">  -- </v>
      </c>
      <c r="U57" s="1326"/>
      <c r="V57" s="1327"/>
      <c r="W57" s="1328"/>
      <c r="X57" s="1142" t="str">
        <f>IF(AND(B57="",C57="",D57=""),"",IF('#BerechnungDBE'!DM52&gt;0,"KOPIE",IF(COUNT('#BerechnungDBE'!DO52:DR52)=0,"OK",TRIM(CONCATENATE('#BerechnungDBE'!DN52," ",'#BerechnungDBE'!DO52," ",'#BerechnungDBE'!DP52," ",'#BerechnungDBE'!DQ52," ",'#BerechnungDBE'!DR52)))))</f>
        <v/>
      </c>
      <c r="Y57" s="1143"/>
    </row>
    <row r="58" spans="1:25" s="130" customFormat="1" ht="15" customHeight="1" x14ac:dyDescent="0.2">
      <c r="A58" s="876">
        <v>49</v>
      </c>
      <c r="B58" s="1319" t="str">
        <f>IF('Daten aus 2021'!B55="","",'Daten aus 2021'!B55)</f>
        <v/>
      </c>
      <c r="C58" s="1487" t="str">
        <f>IF('Daten aus 2021'!C55="","",'Daten aus 2021'!C55)</f>
        <v/>
      </c>
      <c r="D58" s="1320" t="str">
        <f>IF('Daten aus 2021'!D55="","",'Daten aus 2021'!D55)</f>
        <v/>
      </c>
      <c r="E58" s="1321" t="s">
        <v>315</v>
      </c>
      <c r="F58" s="1322" t="str">
        <f>IF('Daten aus 2021'!E55="",IF(AND(D58&lt;1,D58&lt;&gt;""),'#Boden'!$G$6,'#Boden'!$G$4),'Daten aus 2021'!E55)</f>
        <v xml:space="preserve"> --</v>
      </c>
      <c r="G58" s="1319" t="str">
        <f>'#BerechnungDBE'!A53</f>
        <v xml:space="preserve"> --</v>
      </c>
      <c r="H58" s="1323" t="str">
        <f>IF('Daten aus 2021'!G55="",'#Boden'!$B$24,'Daten aus 2021'!G55)</f>
        <v>ja</v>
      </c>
      <c r="I58" s="1322" t="str">
        <f>'#BerechnungDBE'!B53</f>
        <v xml:space="preserve"> --         </v>
      </c>
      <c r="J58" s="1324" t="str">
        <f>'#BerechnungDBE'!F53</f>
        <v xml:space="preserve"> --  </v>
      </c>
      <c r="K58" s="1319" t="str">
        <f>IF(D58="","",IF('Daten aus 2021'!AA55="","",'Daten aus 2021'!AA55))</f>
        <v/>
      </c>
      <c r="L58" s="1321" t="s">
        <v>699</v>
      </c>
      <c r="M58" s="1319" t="s">
        <v>700</v>
      </c>
      <c r="N58" s="1325" t="s">
        <v>701</v>
      </c>
      <c r="O58" s="1325" t="str">
        <f>IF(L58="",'#Zweitfr'!$I$8,VLOOKUP(L58,Nebenkultur[[Nebenkultur]:[Legum. Zwischenfr.]],'#Zweitfr'!$I$1,FALSE))</f>
        <v/>
      </c>
      <c r="P58" s="1324" t="str">
        <f>IF('#BerechnungDBE'!M53=3,J58,'#Frucht'!$D$8)</f>
        <v xml:space="preserve"> --  </v>
      </c>
      <c r="Q58" s="1499" t="str">
        <f>'#BerechnungDBE'!J53</f>
        <v/>
      </c>
      <c r="R58" s="1496" t="str">
        <f>'#BerechnungDBE'!K53</f>
        <v/>
      </c>
      <c r="S58" s="1325"/>
      <c r="T58" s="1486" t="str">
        <f>IF('#BerechnungDBE'!AB53=4,'#Boden'!$B$30,IF('#BerechnungDBE'!AB53=3,'#Boden'!$B$31,'#Boden'!$B$32))</f>
        <v xml:space="preserve">  -- </v>
      </c>
      <c r="U58" s="1326"/>
      <c r="V58" s="1327"/>
      <c r="W58" s="1328"/>
      <c r="X58" s="1142" t="str">
        <f>IF(AND(B58="",C58="",D58=""),"",IF('#BerechnungDBE'!DM53&gt;0,"KOPIE",IF(COUNT('#BerechnungDBE'!DO53:DR53)=0,"OK",TRIM(CONCATENATE('#BerechnungDBE'!DN53," ",'#BerechnungDBE'!DO53," ",'#BerechnungDBE'!DP53," ",'#BerechnungDBE'!DQ53," ",'#BerechnungDBE'!DR53)))))</f>
        <v/>
      </c>
      <c r="Y58" s="1143"/>
    </row>
    <row r="59" spans="1:25" s="130" customFormat="1" ht="15" customHeight="1" x14ac:dyDescent="0.2">
      <c r="A59" s="876">
        <v>50</v>
      </c>
      <c r="B59" s="1319" t="str">
        <f>IF('Daten aus 2021'!B56="","",'Daten aus 2021'!B56)</f>
        <v/>
      </c>
      <c r="C59" s="1487" t="str">
        <f>IF('Daten aus 2021'!C56="","",'Daten aus 2021'!C56)</f>
        <v/>
      </c>
      <c r="D59" s="1320" t="str">
        <f>IF('Daten aus 2021'!D56="","",'Daten aus 2021'!D56)</f>
        <v/>
      </c>
      <c r="E59" s="1321" t="s">
        <v>315</v>
      </c>
      <c r="F59" s="1322" t="str">
        <f>IF('Daten aus 2021'!E56="",IF(AND(D59&lt;1,D59&lt;&gt;""),'#Boden'!$G$6,'#Boden'!$G$4),'Daten aus 2021'!E56)</f>
        <v xml:space="preserve"> --</v>
      </c>
      <c r="G59" s="1319" t="str">
        <f>'#BerechnungDBE'!A54</f>
        <v xml:space="preserve"> --</v>
      </c>
      <c r="H59" s="1323" t="str">
        <f>IF('Daten aus 2021'!G56="",'#Boden'!$B$24,'Daten aus 2021'!G56)</f>
        <v>ja</v>
      </c>
      <c r="I59" s="1322" t="str">
        <f>'#BerechnungDBE'!B54</f>
        <v xml:space="preserve"> --         </v>
      </c>
      <c r="J59" s="1324" t="str">
        <f>'#BerechnungDBE'!F54</f>
        <v xml:space="preserve"> --  </v>
      </c>
      <c r="K59" s="1319" t="str">
        <f>IF(D59="","",IF('Daten aus 2021'!AA56="","",'Daten aus 2021'!AA56))</f>
        <v/>
      </c>
      <c r="L59" s="1321" t="s">
        <v>699</v>
      </c>
      <c r="M59" s="1325" t="s">
        <v>700</v>
      </c>
      <c r="N59" s="1325" t="s">
        <v>701</v>
      </c>
      <c r="O59" s="1325" t="str">
        <f>IF(L59="",'#Zweitfr'!$I$8,VLOOKUP(L59,Nebenkultur[[Nebenkultur]:[Legum. Zwischenfr.]],'#Zweitfr'!$I$1,FALSE))</f>
        <v/>
      </c>
      <c r="P59" s="1324" t="str">
        <f>IF('#BerechnungDBE'!M54=3,J59,'#Frucht'!$D$8)</f>
        <v xml:space="preserve"> --  </v>
      </c>
      <c r="Q59" s="1499" t="str">
        <f>'#BerechnungDBE'!J54</f>
        <v/>
      </c>
      <c r="R59" s="1496" t="str">
        <f>'#BerechnungDBE'!K54</f>
        <v/>
      </c>
      <c r="S59" s="1325"/>
      <c r="T59" s="1486" t="str">
        <f>IF('#BerechnungDBE'!AB54=4,'#Boden'!$B$30,IF('#BerechnungDBE'!AB54=3,'#Boden'!$B$31,'#Boden'!$B$32))</f>
        <v xml:space="preserve">  -- </v>
      </c>
      <c r="U59" s="1326"/>
      <c r="V59" s="1327"/>
      <c r="W59" s="1328"/>
      <c r="X59" s="1142" t="str">
        <f>IF(AND(B59="",C59="",D59=""),"",IF('#BerechnungDBE'!DM54&gt;0,"KOPIE",IF(COUNT('#BerechnungDBE'!DO54:DR54)=0,"OK",TRIM(CONCATENATE('#BerechnungDBE'!DN54," ",'#BerechnungDBE'!DO54," ",'#BerechnungDBE'!DP54," ",'#BerechnungDBE'!DQ54," ",'#BerechnungDBE'!DR54)))))</f>
        <v/>
      </c>
      <c r="Y59" s="1143"/>
    </row>
    <row r="60" spans="1:25" s="130" customFormat="1" ht="15" customHeight="1" x14ac:dyDescent="0.2">
      <c r="A60" s="876">
        <v>51</v>
      </c>
      <c r="B60" s="1319" t="str">
        <f>IF('Daten aus 2021'!B57="","",'Daten aus 2021'!B57)</f>
        <v/>
      </c>
      <c r="C60" s="1487" t="str">
        <f>IF('Daten aus 2021'!C57="","",'Daten aus 2021'!C57)</f>
        <v/>
      </c>
      <c r="D60" s="1320" t="str">
        <f>IF('Daten aus 2021'!D57="","",'Daten aus 2021'!D57)</f>
        <v/>
      </c>
      <c r="E60" s="1321" t="s">
        <v>315</v>
      </c>
      <c r="F60" s="1322" t="str">
        <f>IF('Daten aus 2021'!E57="",IF(AND(D60&lt;1,D60&lt;&gt;""),'#Boden'!$G$6,'#Boden'!$G$4),'Daten aus 2021'!E57)</f>
        <v xml:space="preserve"> --</v>
      </c>
      <c r="G60" s="1319" t="str">
        <f>'#BerechnungDBE'!A55</f>
        <v xml:space="preserve"> --</v>
      </c>
      <c r="H60" s="1323" t="str">
        <f>IF('Daten aus 2021'!G57="",'#Boden'!$B$24,'Daten aus 2021'!G57)</f>
        <v>ja</v>
      </c>
      <c r="I60" s="1322" t="str">
        <f>'#BerechnungDBE'!B55</f>
        <v xml:space="preserve"> --         </v>
      </c>
      <c r="J60" s="1324" t="str">
        <f>'#BerechnungDBE'!F55</f>
        <v xml:space="preserve"> --  </v>
      </c>
      <c r="K60" s="1319" t="str">
        <f>IF(D60="","",IF('Daten aus 2021'!AA57="","",'Daten aus 2021'!AA57))</f>
        <v/>
      </c>
      <c r="L60" s="1321" t="s">
        <v>699</v>
      </c>
      <c r="M60" s="1319" t="s">
        <v>700</v>
      </c>
      <c r="N60" s="1325" t="s">
        <v>701</v>
      </c>
      <c r="O60" s="1325" t="str">
        <f>IF(L60="",'#Zweitfr'!$I$8,VLOOKUP(L60,Nebenkultur[[Nebenkultur]:[Legum. Zwischenfr.]],'#Zweitfr'!$I$1,FALSE))</f>
        <v/>
      </c>
      <c r="P60" s="1324" t="str">
        <f>IF('#BerechnungDBE'!M55=3,J60,'#Frucht'!$D$8)</f>
        <v xml:space="preserve"> --  </v>
      </c>
      <c r="Q60" s="1499" t="str">
        <f>'#BerechnungDBE'!J55</f>
        <v/>
      </c>
      <c r="R60" s="1496" t="str">
        <f>'#BerechnungDBE'!K55</f>
        <v/>
      </c>
      <c r="S60" s="1325"/>
      <c r="T60" s="1486" t="str">
        <f>IF('#BerechnungDBE'!AB55=4,'#Boden'!$B$30,IF('#BerechnungDBE'!AB55=3,'#Boden'!$B$31,'#Boden'!$B$32))</f>
        <v xml:space="preserve">  -- </v>
      </c>
      <c r="U60" s="1326"/>
      <c r="V60" s="1327"/>
      <c r="W60" s="1328"/>
      <c r="X60" s="1142" t="str">
        <f>IF(AND(B60="",C60="",D60=""),"",IF('#BerechnungDBE'!DM55&gt;0,"KOPIE",IF(COUNT('#BerechnungDBE'!DO55:DR55)=0,"OK",TRIM(CONCATENATE('#BerechnungDBE'!DN55," ",'#BerechnungDBE'!DO55," ",'#BerechnungDBE'!DP55," ",'#BerechnungDBE'!DQ55," ",'#BerechnungDBE'!DR55)))))</f>
        <v/>
      </c>
      <c r="Y60" s="1143"/>
    </row>
    <row r="61" spans="1:25" s="130" customFormat="1" ht="15" customHeight="1" x14ac:dyDescent="0.2">
      <c r="A61" s="876">
        <v>52</v>
      </c>
      <c r="B61" s="1319" t="str">
        <f>IF('Daten aus 2021'!B58="","",'Daten aus 2021'!B58)</f>
        <v/>
      </c>
      <c r="C61" s="1487" t="str">
        <f>IF('Daten aus 2021'!C58="","",'Daten aus 2021'!C58)</f>
        <v/>
      </c>
      <c r="D61" s="1320" t="str">
        <f>IF('Daten aus 2021'!D58="","",'Daten aus 2021'!D58)</f>
        <v/>
      </c>
      <c r="E61" s="1321" t="s">
        <v>315</v>
      </c>
      <c r="F61" s="1322" t="str">
        <f>IF('Daten aus 2021'!E58="",IF(AND(D61&lt;1,D61&lt;&gt;""),'#Boden'!$G$6,'#Boden'!$G$4),'Daten aus 2021'!E58)</f>
        <v xml:space="preserve"> --</v>
      </c>
      <c r="G61" s="1319" t="str">
        <f>'#BerechnungDBE'!A56</f>
        <v xml:space="preserve"> --</v>
      </c>
      <c r="H61" s="1323" t="str">
        <f>IF('Daten aus 2021'!G58="",'#Boden'!$B$24,'Daten aus 2021'!G58)</f>
        <v>ja</v>
      </c>
      <c r="I61" s="1322" t="str">
        <f>'#BerechnungDBE'!B56</f>
        <v xml:space="preserve"> --         </v>
      </c>
      <c r="J61" s="1324" t="str">
        <f>'#BerechnungDBE'!F56</f>
        <v xml:space="preserve"> --  </v>
      </c>
      <c r="K61" s="1319" t="str">
        <f>IF(D61="","",IF('Daten aus 2021'!AA58="","",'Daten aus 2021'!AA58))</f>
        <v/>
      </c>
      <c r="L61" s="1321" t="s">
        <v>699</v>
      </c>
      <c r="M61" s="1325" t="s">
        <v>700</v>
      </c>
      <c r="N61" s="1325" t="s">
        <v>701</v>
      </c>
      <c r="O61" s="1325" t="str">
        <f>IF(L61="",'#Zweitfr'!$I$8,VLOOKUP(L61,Nebenkultur[[Nebenkultur]:[Legum. Zwischenfr.]],'#Zweitfr'!$I$1,FALSE))</f>
        <v/>
      </c>
      <c r="P61" s="1324" t="str">
        <f>IF('#BerechnungDBE'!M56=3,J61,'#Frucht'!$D$8)</f>
        <v xml:space="preserve"> --  </v>
      </c>
      <c r="Q61" s="1499" t="str">
        <f>'#BerechnungDBE'!J56</f>
        <v/>
      </c>
      <c r="R61" s="1496" t="str">
        <f>'#BerechnungDBE'!K56</f>
        <v/>
      </c>
      <c r="S61" s="1325"/>
      <c r="T61" s="1486" t="str">
        <f>IF('#BerechnungDBE'!AB56=4,'#Boden'!$B$30,IF('#BerechnungDBE'!AB56=3,'#Boden'!$B$31,'#Boden'!$B$32))</f>
        <v xml:space="preserve">  -- </v>
      </c>
      <c r="U61" s="1326"/>
      <c r="V61" s="1327"/>
      <c r="W61" s="1328"/>
      <c r="X61" s="1142" t="str">
        <f>IF(AND(B61="",C61="",D61=""),"",IF('#BerechnungDBE'!DM56&gt;0,"KOPIE",IF(COUNT('#BerechnungDBE'!DO56:DR56)=0,"OK",TRIM(CONCATENATE('#BerechnungDBE'!DN56," ",'#BerechnungDBE'!DO56," ",'#BerechnungDBE'!DP56," ",'#BerechnungDBE'!DQ56," ",'#BerechnungDBE'!DR56)))))</f>
        <v/>
      </c>
      <c r="Y61" s="1143"/>
    </row>
    <row r="62" spans="1:25" s="130" customFormat="1" ht="15" customHeight="1" x14ac:dyDescent="0.2">
      <c r="A62" s="876">
        <v>53</v>
      </c>
      <c r="B62" s="1319" t="str">
        <f>IF('Daten aus 2021'!B59="","",'Daten aus 2021'!B59)</f>
        <v/>
      </c>
      <c r="C62" s="1487" t="str">
        <f>IF('Daten aus 2021'!C59="","",'Daten aus 2021'!C59)</f>
        <v/>
      </c>
      <c r="D62" s="1320" t="str">
        <f>IF('Daten aus 2021'!D59="","",'Daten aus 2021'!D59)</f>
        <v/>
      </c>
      <c r="E62" s="1321" t="s">
        <v>315</v>
      </c>
      <c r="F62" s="1322" t="str">
        <f>IF('Daten aus 2021'!E59="",IF(AND(D62&lt;1,D62&lt;&gt;""),'#Boden'!$G$6,'#Boden'!$G$4),'Daten aus 2021'!E59)</f>
        <v xml:space="preserve"> --</v>
      </c>
      <c r="G62" s="1319" t="str">
        <f>'#BerechnungDBE'!A57</f>
        <v xml:space="preserve"> --</v>
      </c>
      <c r="H62" s="1323" t="str">
        <f>IF('Daten aus 2021'!G59="",'#Boden'!$B$24,'Daten aus 2021'!G59)</f>
        <v>ja</v>
      </c>
      <c r="I62" s="1322" t="str">
        <f>'#BerechnungDBE'!B57</f>
        <v xml:space="preserve"> --         </v>
      </c>
      <c r="J62" s="1324" t="str">
        <f>'#BerechnungDBE'!F57</f>
        <v xml:space="preserve"> --  </v>
      </c>
      <c r="K62" s="1319" t="str">
        <f>IF(D62="","",IF('Daten aus 2021'!AA59="","",'Daten aus 2021'!AA59))</f>
        <v/>
      </c>
      <c r="L62" s="1321" t="s">
        <v>699</v>
      </c>
      <c r="M62" s="1319" t="s">
        <v>700</v>
      </c>
      <c r="N62" s="1325" t="s">
        <v>701</v>
      </c>
      <c r="O62" s="1325" t="str">
        <f>IF(L62="",'#Zweitfr'!$I$8,VLOOKUP(L62,Nebenkultur[[Nebenkultur]:[Legum. Zwischenfr.]],'#Zweitfr'!$I$1,FALSE))</f>
        <v/>
      </c>
      <c r="P62" s="1324" t="str">
        <f>IF('#BerechnungDBE'!M57=3,J62,'#Frucht'!$D$8)</f>
        <v xml:space="preserve"> --  </v>
      </c>
      <c r="Q62" s="1499" t="str">
        <f>'#BerechnungDBE'!J57</f>
        <v/>
      </c>
      <c r="R62" s="1496" t="str">
        <f>'#BerechnungDBE'!K57</f>
        <v/>
      </c>
      <c r="S62" s="1325"/>
      <c r="T62" s="1486" t="str">
        <f>IF('#BerechnungDBE'!AB57=4,'#Boden'!$B$30,IF('#BerechnungDBE'!AB57=3,'#Boden'!$B$31,'#Boden'!$B$32))</f>
        <v xml:space="preserve">  -- </v>
      </c>
      <c r="U62" s="1326"/>
      <c r="V62" s="1327"/>
      <c r="W62" s="1328"/>
      <c r="X62" s="1142" t="str">
        <f>IF(AND(B62="",C62="",D62=""),"",IF('#BerechnungDBE'!DM57&gt;0,"KOPIE",IF(COUNT('#BerechnungDBE'!DO57:DR57)=0,"OK",TRIM(CONCATENATE('#BerechnungDBE'!DN57," ",'#BerechnungDBE'!DO57," ",'#BerechnungDBE'!DP57," ",'#BerechnungDBE'!DQ57," ",'#BerechnungDBE'!DR57)))))</f>
        <v/>
      </c>
      <c r="Y62" s="1143"/>
    </row>
    <row r="63" spans="1:25" s="130" customFormat="1" ht="15" customHeight="1" x14ac:dyDescent="0.2">
      <c r="A63" s="876">
        <v>54</v>
      </c>
      <c r="B63" s="1319" t="str">
        <f>IF('Daten aus 2021'!B60="","",'Daten aus 2021'!B60)</f>
        <v/>
      </c>
      <c r="C63" s="1487" t="str">
        <f>IF('Daten aus 2021'!C60="","",'Daten aus 2021'!C60)</f>
        <v/>
      </c>
      <c r="D63" s="1320" t="str">
        <f>IF('Daten aus 2021'!D60="","",'Daten aus 2021'!D60)</f>
        <v/>
      </c>
      <c r="E63" s="1321" t="s">
        <v>315</v>
      </c>
      <c r="F63" s="1322" t="str">
        <f>IF('Daten aus 2021'!E60="",IF(AND(D63&lt;1,D63&lt;&gt;""),'#Boden'!$G$6,'#Boden'!$G$4),'Daten aus 2021'!E60)</f>
        <v xml:space="preserve"> --</v>
      </c>
      <c r="G63" s="1319" t="str">
        <f>'#BerechnungDBE'!A58</f>
        <v xml:space="preserve"> --</v>
      </c>
      <c r="H63" s="1323" t="str">
        <f>IF('Daten aus 2021'!G60="",'#Boden'!$B$24,'Daten aus 2021'!G60)</f>
        <v>ja</v>
      </c>
      <c r="I63" s="1322" t="str">
        <f>'#BerechnungDBE'!B58</f>
        <v xml:space="preserve"> --         </v>
      </c>
      <c r="J63" s="1324" t="str">
        <f>'#BerechnungDBE'!F58</f>
        <v xml:space="preserve"> --  </v>
      </c>
      <c r="K63" s="1319" t="str">
        <f>IF(D63="","",IF('Daten aus 2021'!AA60="","",'Daten aus 2021'!AA60))</f>
        <v/>
      </c>
      <c r="L63" s="1321" t="s">
        <v>699</v>
      </c>
      <c r="M63" s="1325" t="s">
        <v>700</v>
      </c>
      <c r="N63" s="1325" t="s">
        <v>701</v>
      </c>
      <c r="O63" s="1325" t="str">
        <f>IF(L63="",'#Zweitfr'!$I$8,VLOOKUP(L63,Nebenkultur[[Nebenkultur]:[Legum. Zwischenfr.]],'#Zweitfr'!$I$1,FALSE))</f>
        <v/>
      </c>
      <c r="P63" s="1324" t="str">
        <f>IF('#BerechnungDBE'!M58=3,J63,'#Frucht'!$D$8)</f>
        <v xml:space="preserve"> --  </v>
      </c>
      <c r="Q63" s="1499" t="str">
        <f>'#BerechnungDBE'!J58</f>
        <v/>
      </c>
      <c r="R63" s="1496" t="str">
        <f>'#BerechnungDBE'!K58</f>
        <v/>
      </c>
      <c r="S63" s="1325"/>
      <c r="T63" s="1486" t="str">
        <f>IF('#BerechnungDBE'!AB58=4,'#Boden'!$B$30,IF('#BerechnungDBE'!AB58=3,'#Boden'!$B$31,'#Boden'!$B$32))</f>
        <v xml:space="preserve">  -- </v>
      </c>
      <c r="U63" s="1326"/>
      <c r="V63" s="1327"/>
      <c r="W63" s="1328"/>
      <c r="X63" s="1142" t="str">
        <f>IF(AND(B63="",C63="",D63=""),"",IF('#BerechnungDBE'!DM58&gt;0,"KOPIE",IF(COUNT('#BerechnungDBE'!DO58:DR58)=0,"OK",TRIM(CONCATENATE('#BerechnungDBE'!DN58," ",'#BerechnungDBE'!DO58," ",'#BerechnungDBE'!DP58," ",'#BerechnungDBE'!DQ58," ",'#BerechnungDBE'!DR58)))))</f>
        <v/>
      </c>
      <c r="Y63" s="1143"/>
    </row>
    <row r="64" spans="1:25" s="130" customFormat="1" ht="15" customHeight="1" x14ac:dyDescent="0.2">
      <c r="A64" s="876">
        <v>55</v>
      </c>
      <c r="B64" s="1319" t="str">
        <f>IF('Daten aus 2021'!B61="","",'Daten aus 2021'!B61)</f>
        <v/>
      </c>
      <c r="C64" s="1487" t="str">
        <f>IF('Daten aus 2021'!C61="","",'Daten aus 2021'!C61)</f>
        <v/>
      </c>
      <c r="D64" s="1320" t="str">
        <f>IF('Daten aus 2021'!D61="","",'Daten aus 2021'!D61)</f>
        <v/>
      </c>
      <c r="E64" s="1321" t="s">
        <v>315</v>
      </c>
      <c r="F64" s="1322" t="str">
        <f>IF('Daten aus 2021'!E61="",IF(AND(D64&lt;1,D64&lt;&gt;""),'#Boden'!$G$6,'#Boden'!$G$4),'Daten aus 2021'!E61)</f>
        <v xml:space="preserve"> --</v>
      </c>
      <c r="G64" s="1319" t="str">
        <f>'#BerechnungDBE'!A59</f>
        <v xml:space="preserve"> --</v>
      </c>
      <c r="H64" s="1323" t="str">
        <f>IF('Daten aus 2021'!G61="",'#Boden'!$B$24,'Daten aus 2021'!G61)</f>
        <v>ja</v>
      </c>
      <c r="I64" s="1322" t="str">
        <f>'#BerechnungDBE'!B59</f>
        <v xml:space="preserve"> --         </v>
      </c>
      <c r="J64" s="1324" t="str">
        <f>'#BerechnungDBE'!F59</f>
        <v xml:space="preserve"> --  </v>
      </c>
      <c r="K64" s="1319" t="str">
        <f>IF(D64="","",IF('Daten aus 2021'!AA61="","",'Daten aus 2021'!AA61))</f>
        <v/>
      </c>
      <c r="L64" s="1321" t="s">
        <v>699</v>
      </c>
      <c r="M64" s="1319" t="s">
        <v>700</v>
      </c>
      <c r="N64" s="1325" t="s">
        <v>701</v>
      </c>
      <c r="O64" s="1325" t="str">
        <f>IF(L64="",'#Zweitfr'!$I$8,VLOOKUP(L64,Nebenkultur[[Nebenkultur]:[Legum. Zwischenfr.]],'#Zweitfr'!$I$1,FALSE))</f>
        <v/>
      </c>
      <c r="P64" s="1324" t="str">
        <f>IF('#BerechnungDBE'!M59=3,J64,'#Frucht'!$D$8)</f>
        <v xml:space="preserve"> --  </v>
      </c>
      <c r="Q64" s="1499" t="str">
        <f>'#BerechnungDBE'!J59</f>
        <v/>
      </c>
      <c r="R64" s="1496" t="str">
        <f>'#BerechnungDBE'!K59</f>
        <v/>
      </c>
      <c r="S64" s="1325"/>
      <c r="T64" s="1486" t="str">
        <f>IF('#BerechnungDBE'!AB59=4,'#Boden'!$B$30,IF('#BerechnungDBE'!AB59=3,'#Boden'!$B$31,'#Boden'!$B$32))</f>
        <v xml:space="preserve">  -- </v>
      </c>
      <c r="U64" s="1326"/>
      <c r="V64" s="1327"/>
      <c r="W64" s="1328"/>
      <c r="X64" s="1142" t="str">
        <f>IF(AND(B64="",C64="",D64=""),"",IF('#BerechnungDBE'!DM59&gt;0,"KOPIE",IF(COUNT('#BerechnungDBE'!DO59:DR59)=0,"OK",TRIM(CONCATENATE('#BerechnungDBE'!DN59," ",'#BerechnungDBE'!DO59," ",'#BerechnungDBE'!DP59," ",'#BerechnungDBE'!DQ59," ",'#BerechnungDBE'!DR59)))))</f>
        <v/>
      </c>
      <c r="Y64" s="1143"/>
    </row>
    <row r="65" spans="1:25" s="130" customFormat="1" ht="15" customHeight="1" x14ac:dyDescent="0.2">
      <c r="A65" s="876">
        <v>56</v>
      </c>
      <c r="B65" s="1319" t="str">
        <f>IF('Daten aus 2021'!B62="","",'Daten aus 2021'!B62)</f>
        <v/>
      </c>
      <c r="C65" s="1487" t="str">
        <f>IF('Daten aus 2021'!C62="","",'Daten aus 2021'!C62)</f>
        <v/>
      </c>
      <c r="D65" s="1320" t="str">
        <f>IF('Daten aus 2021'!D62="","",'Daten aus 2021'!D62)</f>
        <v/>
      </c>
      <c r="E65" s="1321" t="s">
        <v>315</v>
      </c>
      <c r="F65" s="1322" t="str">
        <f>IF('Daten aus 2021'!E62="",IF(AND(D65&lt;1,D65&lt;&gt;""),'#Boden'!$G$6,'#Boden'!$G$4),'Daten aus 2021'!E62)</f>
        <v xml:space="preserve"> --</v>
      </c>
      <c r="G65" s="1319" t="str">
        <f>'#BerechnungDBE'!A60</f>
        <v xml:space="preserve"> --</v>
      </c>
      <c r="H65" s="1323" t="str">
        <f>IF('Daten aus 2021'!G62="",'#Boden'!$B$24,'Daten aus 2021'!G62)</f>
        <v>ja</v>
      </c>
      <c r="I65" s="1322" t="str">
        <f>'#BerechnungDBE'!B60</f>
        <v xml:space="preserve"> --         </v>
      </c>
      <c r="J65" s="1324" t="str">
        <f>'#BerechnungDBE'!F60</f>
        <v xml:space="preserve"> --  </v>
      </c>
      <c r="K65" s="1319" t="str">
        <f>IF(D65="","",IF('Daten aus 2021'!AA62="","",'Daten aus 2021'!AA62))</f>
        <v/>
      </c>
      <c r="L65" s="1321" t="s">
        <v>699</v>
      </c>
      <c r="M65" s="1325" t="s">
        <v>700</v>
      </c>
      <c r="N65" s="1325" t="s">
        <v>701</v>
      </c>
      <c r="O65" s="1325" t="str">
        <f>IF(L65="",'#Zweitfr'!$I$8,VLOOKUP(L65,Nebenkultur[[Nebenkultur]:[Legum. Zwischenfr.]],'#Zweitfr'!$I$1,FALSE))</f>
        <v/>
      </c>
      <c r="P65" s="1324" t="str">
        <f>IF('#BerechnungDBE'!M60=3,J65,'#Frucht'!$D$8)</f>
        <v xml:space="preserve"> --  </v>
      </c>
      <c r="Q65" s="1499" t="str">
        <f>'#BerechnungDBE'!J60</f>
        <v/>
      </c>
      <c r="R65" s="1496" t="str">
        <f>'#BerechnungDBE'!K60</f>
        <v/>
      </c>
      <c r="S65" s="1325"/>
      <c r="T65" s="1486" t="str">
        <f>IF('#BerechnungDBE'!AB60=4,'#Boden'!$B$30,IF('#BerechnungDBE'!AB60=3,'#Boden'!$B$31,'#Boden'!$B$32))</f>
        <v xml:space="preserve">  -- </v>
      </c>
      <c r="U65" s="1326"/>
      <c r="V65" s="1327"/>
      <c r="W65" s="1328"/>
      <c r="X65" s="1142" t="str">
        <f>IF(AND(B65="",C65="",D65=""),"",IF('#BerechnungDBE'!DM60&gt;0,"KOPIE",IF(COUNT('#BerechnungDBE'!DO60:DR60)=0,"OK",TRIM(CONCATENATE('#BerechnungDBE'!DN60," ",'#BerechnungDBE'!DO60," ",'#BerechnungDBE'!DP60," ",'#BerechnungDBE'!DQ60," ",'#BerechnungDBE'!DR60)))))</f>
        <v/>
      </c>
      <c r="Y65" s="1143"/>
    </row>
    <row r="66" spans="1:25" s="130" customFormat="1" ht="15" customHeight="1" x14ac:dyDescent="0.2">
      <c r="A66" s="876">
        <v>57</v>
      </c>
      <c r="B66" s="1319" t="str">
        <f>IF('Daten aus 2021'!B63="","",'Daten aus 2021'!B63)</f>
        <v/>
      </c>
      <c r="C66" s="1487" t="str">
        <f>IF('Daten aus 2021'!C63="","",'Daten aus 2021'!C63)</f>
        <v/>
      </c>
      <c r="D66" s="1320" t="str">
        <f>IF('Daten aus 2021'!D63="","",'Daten aus 2021'!D63)</f>
        <v/>
      </c>
      <c r="E66" s="1321" t="s">
        <v>315</v>
      </c>
      <c r="F66" s="1322" t="str">
        <f>IF('Daten aus 2021'!E63="",IF(AND(D66&lt;1,D66&lt;&gt;""),'#Boden'!$G$6,'#Boden'!$G$4),'Daten aus 2021'!E63)</f>
        <v xml:space="preserve"> --</v>
      </c>
      <c r="G66" s="1319" t="str">
        <f>'#BerechnungDBE'!A61</f>
        <v xml:space="preserve"> --</v>
      </c>
      <c r="H66" s="1323" t="str">
        <f>IF('Daten aus 2021'!G63="",'#Boden'!$B$24,'Daten aus 2021'!G63)</f>
        <v>ja</v>
      </c>
      <c r="I66" s="1322" t="str">
        <f>'#BerechnungDBE'!B61</f>
        <v xml:space="preserve"> --         </v>
      </c>
      <c r="J66" s="1324" t="str">
        <f>'#BerechnungDBE'!F61</f>
        <v xml:space="preserve"> --  </v>
      </c>
      <c r="K66" s="1319" t="str">
        <f>IF(D66="","",IF('Daten aus 2021'!AA63="","",'Daten aus 2021'!AA63))</f>
        <v/>
      </c>
      <c r="L66" s="1321" t="s">
        <v>699</v>
      </c>
      <c r="M66" s="1319" t="s">
        <v>700</v>
      </c>
      <c r="N66" s="1325" t="s">
        <v>701</v>
      </c>
      <c r="O66" s="1325" t="str">
        <f>IF(L66="",'#Zweitfr'!$I$8,VLOOKUP(L66,Nebenkultur[[Nebenkultur]:[Legum. Zwischenfr.]],'#Zweitfr'!$I$1,FALSE))</f>
        <v/>
      </c>
      <c r="P66" s="1324" t="str">
        <f>IF('#BerechnungDBE'!M61=3,J66,'#Frucht'!$D$8)</f>
        <v xml:space="preserve"> --  </v>
      </c>
      <c r="Q66" s="1499" t="str">
        <f>'#BerechnungDBE'!J61</f>
        <v/>
      </c>
      <c r="R66" s="1496" t="str">
        <f>'#BerechnungDBE'!K61</f>
        <v/>
      </c>
      <c r="S66" s="1325"/>
      <c r="T66" s="1486" t="str">
        <f>IF('#BerechnungDBE'!AB61=4,'#Boden'!$B$30,IF('#BerechnungDBE'!AB61=3,'#Boden'!$B$31,'#Boden'!$B$32))</f>
        <v xml:space="preserve">  -- </v>
      </c>
      <c r="U66" s="1326"/>
      <c r="V66" s="1327"/>
      <c r="W66" s="1328"/>
      <c r="X66" s="1142" t="str">
        <f>IF(AND(B66="",C66="",D66=""),"",IF('#BerechnungDBE'!DM61&gt;0,"KOPIE",IF(COUNT('#BerechnungDBE'!DO61:DR61)=0,"OK",TRIM(CONCATENATE('#BerechnungDBE'!DN61," ",'#BerechnungDBE'!DO61," ",'#BerechnungDBE'!DP61," ",'#BerechnungDBE'!DQ61," ",'#BerechnungDBE'!DR61)))))</f>
        <v/>
      </c>
      <c r="Y66" s="1143"/>
    </row>
    <row r="67" spans="1:25" s="130" customFormat="1" ht="15" customHeight="1" x14ac:dyDescent="0.2">
      <c r="A67" s="876">
        <v>58</v>
      </c>
      <c r="B67" s="1319" t="str">
        <f>IF('Daten aus 2021'!B64="","",'Daten aus 2021'!B64)</f>
        <v/>
      </c>
      <c r="C67" s="1487" t="str">
        <f>IF('Daten aus 2021'!C64="","",'Daten aus 2021'!C64)</f>
        <v/>
      </c>
      <c r="D67" s="1320" t="str">
        <f>IF('Daten aus 2021'!D64="","",'Daten aus 2021'!D64)</f>
        <v/>
      </c>
      <c r="E67" s="1321" t="s">
        <v>315</v>
      </c>
      <c r="F67" s="1322" t="str">
        <f>IF('Daten aus 2021'!E64="",IF(AND(D67&lt;1,D67&lt;&gt;""),'#Boden'!$G$6,'#Boden'!$G$4),'Daten aus 2021'!E64)</f>
        <v xml:space="preserve"> --</v>
      </c>
      <c r="G67" s="1319" t="str">
        <f>'#BerechnungDBE'!A62</f>
        <v xml:space="preserve"> --</v>
      </c>
      <c r="H67" s="1323" t="str">
        <f>IF('Daten aus 2021'!G64="",'#Boden'!$B$24,'Daten aus 2021'!G64)</f>
        <v>ja</v>
      </c>
      <c r="I67" s="1322" t="str">
        <f>'#BerechnungDBE'!B62</f>
        <v xml:space="preserve"> --         </v>
      </c>
      <c r="J67" s="1324" t="str">
        <f>'#BerechnungDBE'!F62</f>
        <v xml:space="preserve"> --  </v>
      </c>
      <c r="K67" s="1319" t="str">
        <f>IF(D67="","",IF('Daten aus 2021'!AA64="","",'Daten aus 2021'!AA64))</f>
        <v/>
      </c>
      <c r="L67" s="1321" t="s">
        <v>699</v>
      </c>
      <c r="M67" s="1325" t="s">
        <v>700</v>
      </c>
      <c r="N67" s="1325" t="s">
        <v>701</v>
      </c>
      <c r="O67" s="1325" t="str">
        <f>IF(L67="",'#Zweitfr'!$I$8,VLOOKUP(L67,Nebenkultur[[Nebenkultur]:[Legum. Zwischenfr.]],'#Zweitfr'!$I$1,FALSE))</f>
        <v/>
      </c>
      <c r="P67" s="1324" t="str">
        <f>IF('#BerechnungDBE'!M62=3,J67,'#Frucht'!$D$8)</f>
        <v xml:space="preserve"> --  </v>
      </c>
      <c r="Q67" s="1499" t="str">
        <f>'#BerechnungDBE'!J62</f>
        <v/>
      </c>
      <c r="R67" s="1496" t="str">
        <f>'#BerechnungDBE'!K62</f>
        <v/>
      </c>
      <c r="S67" s="1325"/>
      <c r="T67" s="1486" t="str">
        <f>IF('#BerechnungDBE'!AB62=4,'#Boden'!$B$30,IF('#BerechnungDBE'!AB62=3,'#Boden'!$B$31,'#Boden'!$B$32))</f>
        <v xml:space="preserve">  -- </v>
      </c>
      <c r="U67" s="1326"/>
      <c r="V67" s="1327"/>
      <c r="W67" s="1328"/>
      <c r="X67" s="1142" t="str">
        <f>IF(AND(B67="",C67="",D67=""),"",IF('#BerechnungDBE'!DM62&gt;0,"KOPIE",IF(COUNT('#BerechnungDBE'!DO62:DR62)=0,"OK",TRIM(CONCATENATE('#BerechnungDBE'!DN62," ",'#BerechnungDBE'!DO62," ",'#BerechnungDBE'!DP62," ",'#BerechnungDBE'!DQ62," ",'#BerechnungDBE'!DR62)))))</f>
        <v/>
      </c>
      <c r="Y67" s="1143"/>
    </row>
    <row r="68" spans="1:25" s="130" customFormat="1" ht="15" customHeight="1" x14ac:dyDescent="0.2">
      <c r="A68" s="876">
        <v>59</v>
      </c>
      <c r="B68" s="1319" t="str">
        <f>IF('Daten aus 2021'!B65="","",'Daten aus 2021'!B65)</f>
        <v/>
      </c>
      <c r="C68" s="1487" t="str">
        <f>IF('Daten aus 2021'!C65="","",'Daten aus 2021'!C65)</f>
        <v/>
      </c>
      <c r="D68" s="1320" t="str">
        <f>IF('Daten aus 2021'!D65="","",'Daten aus 2021'!D65)</f>
        <v/>
      </c>
      <c r="E68" s="1321" t="s">
        <v>315</v>
      </c>
      <c r="F68" s="1322" t="str">
        <f>IF('Daten aus 2021'!E65="",IF(AND(D68&lt;1,D68&lt;&gt;""),'#Boden'!$G$6,'#Boden'!$G$4),'Daten aus 2021'!E65)</f>
        <v xml:space="preserve"> --</v>
      </c>
      <c r="G68" s="1319" t="str">
        <f>'#BerechnungDBE'!A63</f>
        <v xml:space="preserve"> --</v>
      </c>
      <c r="H68" s="1323" t="str">
        <f>IF('Daten aus 2021'!G65="",'#Boden'!$B$24,'Daten aus 2021'!G65)</f>
        <v>ja</v>
      </c>
      <c r="I68" s="1322" t="str">
        <f>'#BerechnungDBE'!B63</f>
        <v xml:space="preserve"> --         </v>
      </c>
      <c r="J68" s="1324" t="str">
        <f>'#BerechnungDBE'!F63</f>
        <v xml:space="preserve"> --  </v>
      </c>
      <c r="K68" s="1319" t="str">
        <f>IF(D68="","",IF('Daten aus 2021'!AA65="","",'Daten aus 2021'!AA65))</f>
        <v/>
      </c>
      <c r="L68" s="1321" t="s">
        <v>699</v>
      </c>
      <c r="M68" s="1319" t="s">
        <v>700</v>
      </c>
      <c r="N68" s="1325" t="s">
        <v>701</v>
      </c>
      <c r="O68" s="1325" t="str">
        <f>IF(L68="",'#Zweitfr'!$I$8,VLOOKUP(L68,Nebenkultur[[Nebenkultur]:[Legum. Zwischenfr.]],'#Zweitfr'!$I$1,FALSE))</f>
        <v/>
      </c>
      <c r="P68" s="1324" t="str">
        <f>IF('#BerechnungDBE'!M63=3,J68,'#Frucht'!$D$8)</f>
        <v xml:space="preserve"> --  </v>
      </c>
      <c r="Q68" s="1499" t="str">
        <f>'#BerechnungDBE'!J63</f>
        <v/>
      </c>
      <c r="R68" s="1496" t="str">
        <f>'#BerechnungDBE'!K63</f>
        <v/>
      </c>
      <c r="S68" s="1325"/>
      <c r="T68" s="1486" t="str">
        <f>IF('#BerechnungDBE'!AB63=4,'#Boden'!$B$30,IF('#BerechnungDBE'!AB63=3,'#Boden'!$B$31,'#Boden'!$B$32))</f>
        <v xml:space="preserve">  -- </v>
      </c>
      <c r="U68" s="1326"/>
      <c r="V68" s="1327"/>
      <c r="W68" s="1328"/>
      <c r="X68" s="1142" t="str">
        <f>IF(AND(B68="",C68="",D68=""),"",IF('#BerechnungDBE'!DM63&gt;0,"KOPIE",IF(COUNT('#BerechnungDBE'!DO63:DR63)=0,"OK",TRIM(CONCATENATE('#BerechnungDBE'!DN63," ",'#BerechnungDBE'!DO63," ",'#BerechnungDBE'!DP63," ",'#BerechnungDBE'!DQ63," ",'#BerechnungDBE'!DR63)))))</f>
        <v/>
      </c>
      <c r="Y68" s="1143"/>
    </row>
    <row r="69" spans="1:25" s="130" customFormat="1" ht="15" customHeight="1" x14ac:dyDescent="0.2">
      <c r="A69" s="876">
        <v>60</v>
      </c>
      <c r="B69" s="1319" t="str">
        <f>IF('Daten aus 2021'!B66="","",'Daten aus 2021'!B66)</f>
        <v/>
      </c>
      <c r="C69" s="1487" t="str">
        <f>IF('Daten aus 2021'!C66="","",'Daten aus 2021'!C66)</f>
        <v/>
      </c>
      <c r="D69" s="1320" t="str">
        <f>IF('Daten aus 2021'!D66="","",'Daten aus 2021'!D66)</f>
        <v/>
      </c>
      <c r="E69" s="1321" t="s">
        <v>315</v>
      </c>
      <c r="F69" s="1322" t="str">
        <f>IF('Daten aus 2021'!E66="",IF(AND(D69&lt;1,D69&lt;&gt;""),'#Boden'!$G$6,'#Boden'!$G$4),'Daten aus 2021'!E66)</f>
        <v xml:space="preserve"> --</v>
      </c>
      <c r="G69" s="1319" t="str">
        <f>'#BerechnungDBE'!A64</f>
        <v xml:space="preserve"> --</v>
      </c>
      <c r="H69" s="1323" t="str">
        <f>IF('Daten aus 2021'!G66="",'#Boden'!$B$24,'Daten aus 2021'!G66)</f>
        <v>ja</v>
      </c>
      <c r="I69" s="1322" t="str">
        <f>'#BerechnungDBE'!B64</f>
        <v xml:space="preserve"> --         </v>
      </c>
      <c r="J69" s="1324" t="str">
        <f>'#BerechnungDBE'!F64</f>
        <v xml:space="preserve"> --  </v>
      </c>
      <c r="K69" s="1319" t="str">
        <f>IF(D69="","",IF('Daten aus 2021'!AA66="","",'Daten aus 2021'!AA66))</f>
        <v/>
      </c>
      <c r="L69" s="1321" t="s">
        <v>699</v>
      </c>
      <c r="M69" s="1325" t="s">
        <v>700</v>
      </c>
      <c r="N69" s="1325" t="s">
        <v>701</v>
      </c>
      <c r="O69" s="1325" t="str">
        <f>IF(L69="",'#Zweitfr'!$I$8,VLOOKUP(L69,Nebenkultur[[Nebenkultur]:[Legum. Zwischenfr.]],'#Zweitfr'!$I$1,FALSE))</f>
        <v/>
      </c>
      <c r="P69" s="1324" t="str">
        <f>IF('#BerechnungDBE'!M64=3,J69,'#Frucht'!$D$8)</f>
        <v xml:space="preserve"> --  </v>
      </c>
      <c r="Q69" s="1499" t="str">
        <f>'#BerechnungDBE'!J64</f>
        <v/>
      </c>
      <c r="R69" s="1496" t="str">
        <f>'#BerechnungDBE'!K64</f>
        <v/>
      </c>
      <c r="S69" s="1325"/>
      <c r="T69" s="1486" t="str">
        <f>IF('#BerechnungDBE'!AB64=4,'#Boden'!$B$30,IF('#BerechnungDBE'!AB64=3,'#Boden'!$B$31,'#Boden'!$B$32))</f>
        <v xml:space="preserve">  -- </v>
      </c>
      <c r="U69" s="1326"/>
      <c r="V69" s="1327"/>
      <c r="W69" s="1328"/>
      <c r="X69" s="1142" t="str">
        <f>IF(AND(B69="",C69="",D69=""),"",IF('#BerechnungDBE'!DM64&gt;0,"KOPIE",IF(COUNT('#BerechnungDBE'!DO64:DR64)=0,"OK",TRIM(CONCATENATE('#BerechnungDBE'!DN64," ",'#BerechnungDBE'!DO64," ",'#BerechnungDBE'!DP64," ",'#BerechnungDBE'!DQ64," ",'#BerechnungDBE'!DR64)))))</f>
        <v/>
      </c>
      <c r="Y69" s="1143"/>
    </row>
    <row r="70" spans="1:25" s="130" customFormat="1" ht="15" customHeight="1" x14ac:dyDescent="0.2">
      <c r="A70" s="876">
        <v>61</v>
      </c>
      <c r="B70" s="1319" t="str">
        <f>IF('Daten aus 2021'!B67="","",'Daten aus 2021'!B67)</f>
        <v/>
      </c>
      <c r="C70" s="1487" t="str">
        <f>IF('Daten aus 2021'!C67="","",'Daten aus 2021'!C67)</f>
        <v/>
      </c>
      <c r="D70" s="1320" t="str">
        <f>IF('Daten aus 2021'!D67="","",'Daten aus 2021'!D67)</f>
        <v/>
      </c>
      <c r="E70" s="1321" t="s">
        <v>315</v>
      </c>
      <c r="F70" s="1322" t="str">
        <f>IF('Daten aus 2021'!E67="",IF(AND(D70&lt;1,D70&lt;&gt;""),'#Boden'!$G$6,'#Boden'!$G$4),'Daten aus 2021'!E67)</f>
        <v xml:space="preserve"> --</v>
      </c>
      <c r="G70" s="1319" t="str">
        <f>'#BerechnungDBE'!A65</f>
        <v xml:space="preserve"> --</v>
      </c>
      <c r="H70" s="1323" t="str">
        <f>IF('Daten aus 2021'!G67="",'#Boden'!$B$24,'Daten aus 2021'!G67)</f>
        <v>ja</v>
      </c>
      <c r="I70" s="1322" t="str">
        <f>'#BerechnungDBE'!B65</f>
        <v xml:space="preserve"> --         </v>
      </c>
      <c r="J70" s="1324" t="str">
        <f>'#BerechnungDBE'!F65</f>
        <v xml:space="preserve"> --  </v>
      </c>
      <c r="K70" s="1319" t="str">
        <f>IF(D70="","",IF('Daten aus 2021'!AA67="","",'Daten aus 2021'!AA67))</f>
        <v/>
      </c>
      <c r="L70" s="1321" t="s">
        <v>699</v>
      </c>
      <c r="M70" s="1319" t="s">
        <v>700</v>
      </c>
      <c r="N70" s="1325" t="s">
        <v>701</v>
      </c>
      <c r="O70" s="1325" t="str">
        <f>IF(L70="",'#Zweitfr'!$I$8,VLOOKUP(L70,Nebenkultur[[Nebenkultur]:[Legum. Zwischenfr.]],'#Zweitfr'!$I$1,FALSE))</f>
        <v/>
      </c>
      <c r="P70" s="1324" t="str">
        <f>IF('#BerechnungDBE'!M65=3,J70,'#Frucht'!$D$8)</f>
        <v xml:space="preserve"> --  </v>
      </c>
      <c r="Q70" s="1499" t="str">
        <f>'#BerechnungDBE'!J65</f>
        <v/>
      </c>
      <c r="R70" s="1496" t="str">
        <f>'#BerechnungDBE'!K65</f>
        <v/>
      </c>
      <c r="S70" s="1325"/>
      <c r="T70" s="1486" t="str">
        <f>IF('#BerechnungDBE'!AB65=4,'#Boden'!$B$30,IF('#BerechnungDBE'!AB65=3,'#Boden'!$B$31,'#Boden'!$B$32))</f>
        <v xml:space="preserve">  -- </v>
      </c>
      <c r="U70" s="1326"/>
      <c r="V70" s="1327"/>
      <c r="W70" s="1328"/>
      <c r="X70" s="1142" t="str">
        <f>IF(AND(B70="",C70="",D70=""),"",IF('#BerechnungDBE'!DM65&gt;0,"KOPIE",IF(COUNT('#BerechnungDBE'!DO65:DR65)=0,"OK",TRIM(CONCATENATE('#BerechnungDBE'!DN65," ",'#BerechnungDBE'!DO65," ",'#BerechnungDBE'!DP65," ",'#BerechnungDBE'!DQ65," ",'#BerechnungDBE'!DR65)))))</f>
        <v/>
      </c>
      <c r="Y70" s="1143"/>
    </row>
    <row r="71" spans="1:25" s="130" customFormat="1" ht="15" customHeight="1" x14ac:dyDescent="0.2">
      <c r="A71" s="876">
        <v>62</v>
      </c>
      <c r="B71" s="1319" t="str">
        <f>IF('Daten aus 2021'!B68="","",'Daten aus 2021'!B68)</f>
        <v/>
      </c>
      <c r="C71" s="1487" t="str">
        <f>IF('Daten aus 2021'!C68="","",'Daten aus 2021'!C68)</f>
        <v/>
      </c>
      <c r="D71" s="1320" t="str">
        <f>IF('Daten aus 2021'!D68="","",'Daten aus 2021'!D68)</f>
        <v/>
      </c>
      <c r="E71" s="1321" t="s">
        <v>315</v>
      </c>
      <c r="F71" s="1322" t="str">
        <f>IF('Daten aus 2021'!E68="",IF(AND(D71&lt;1,D71&lt;&gt;""),'#Boden'!$G$6,'#Boden'!$G$4),'Daten aus 2021'!E68)</f>
        <v xml:space="preserve"> --</v>
      </c>
      <c r="G71" s="1319" t="str">
        <f>'#BerechnungDBE'!A66</f>
        <v xml:space="preserve"> --</v>
      </c>
      <c r="H71" s="1323" t="str">
        <f>IF('Daten aus 2021'!G68="",'#Boden'!$B$24,'Daten aus 2021'!G68)</f>
        <v>ja</v>
      </c>
      <c r="I71" s="1322" t="str">
        <f>'#BerechnungDBE'!B66</f>
        <v xml:space="preserve"> --         </v>
      </c>
      <c r="J71" s="1324" t="str">
        <f>'#BerechnungDBE'!F66</f>
        <v xml:space="preserve"> --  </v>
      </c>
      <c r="K71" s="1319" t="str">
        <f>IF(D71="","",IF('Daten aus 2021'!AA68="","",'Daten aus 2021'!AA68))</f>
        <v/>
      </c>
      <c r="L71" s="1321" t="s">
        <v>699</v>
      </c>
      <c r="M71" s="1325" t="s">
        <v>700</v>
      </c>
      <c r="N71" s="1325" t="s">
        <v>701</v>
      </c>
      <c r="O71" s="1325" t="str">
        <f>IF(L71="",'#Zweitfr'!$I$8,VLOOKUP(L71,Nebenkultur[[Nebenkultur]:[Legum. Zwischenfr.]],'#Zweitfr'!$I$1,FALSE))</f>
        <v/>
      </c>
      <c r="P71" s="1324" t="str">
        <f>IF('#BerechnungDBE'!M66=3,J71,'#Frucht'!$D$8)</f>
        <v xml:space="preserve"> --  </v>
      </c>
      <c r="Q71" s="1499" t="str">
        <f>'#BerechnungDBE'!J66</f>
        <v/>
      </c>
      <c r="R71" s="1496" t="str">
        <f>'#BerechnungDBE'!K66</f>
        <v/>
      </c>
      <c r="S71" s="1325"/>
      <c r="T71" s="1486" t="str">
        <f>IF('#BerechnungDBE'!AB66=4,'#Boden'!$B$30,IF('#BerechnungDBE'!AB66=3,'#Boden'!$B$31,'#Boden'!$B$32))</f>
        <v xml:space="preserve">  -- </v>
      </c>
      <c r="U71" s="1326"/>
      <c r="V71" s="1327"/>
      <c r="W71" s="1328"/>
      <c r="X71" s="1142" t="str">
        <f>IF(AND(B71="",C71="",D71=""),"",IF('#BerechnungDBE'!DM66&gt;0,"KOPIE",IF(COUNT('#BerechnungDBE'!DO66:DR66)=0,"OK",TRIM(CONCATENATE('#BerechnungDBE'!DN66," ",'#BerechnungDBE'!DO66," ",'#BerechnungDBE'!DP66," ",'#BerechnungDBE'!DQ66," ",'#BerechnungDBE'!DR66)))))</f>
        <v/>
      </c>
      <c r="Y71" s="1143"/>
    </row>
    <row r="72" spans="1:25" s="130" customFormat="1" ht="15" customHeight="1" x14ac:dyDescent="0.2">
      <c r="A72" s="876">
        <v>63</v>
      </c>
      <c r="B72" s="1319" t="str">
        <f>IF('Daten aus 2021'!B69="","",'Daten aus 2021'!B69)</f>
        <v/>
      </c>
      <c r="C72" s="1487" t="str">
        <f>IF('Daten aus 2021'!C69="","",'Daten aus 2021'!C69)</f>
        <v/>
      </c>
      <c r="D72" s="1320" t="str">
        <f>IF('Daten aus 2021'!D69="","",'Daten aus 2021'!D69)</f>
        <v/>
      </c>
      <c r="E72" s="1321" t="s">
        <v>315</v>
      </c>
      <c r="F72" s="1322" t="str">
        <f>IF('Daten aus 2021'!E69="",IF(AND(D72&lt;1,D72&lt;&gt;""),'#Boden'!$G$6,'#Boden'!$G$4),'Daten aus 2021'!E69)</f>
        <v xml:space="preserve"> --</v>
      </c>
      <c r="G72" s="1319" t="str">
        <f>'#BerechnungDBE'!A67</f>
        <v xml:space="preserve"> --</v>
      </c>
      <c r="H72" s="1323" t="str">
        <f>IF('Daten aus 2021'!G69="",'#Boden'!$B$24,'Daten aus 2021'!G69)</f>
        <v>ja</v>
      </c>
      <c r="I72" s="1322" t="str">
        <f>'#BerechnungDBE'!B67</f>
        <v xml:space="preserve"> --         </v>
      </c>
      <c r="J72" s="1324" t="str">
        <f>'#BerechnungDBE'!F67</f>
        <v xml:space="preserve"> --  </v>
      </c>
      <c r="K72" s="1319" t="str">
        <f>IF(D72="","",IF('Daten aus 2021'!AA69="","",'Daten aus 2021'!AA69))</f>
        <v/>
      </c>
      <c r="L72" s="1321" t="s">
        <v>699</v>
      </c>
      <c r="M72" s="1319" t="s">
        <v>700</v>
      </c>
      <c r="N72" s="1325" t="s">
        <v>701</v>
      </c>
      <c r="O72" s="1325" t="str">
        <f>IF(L72="",'#Zweitfr'!$I$8,VLOOKUP(L72,Nebenkultur[[Nebenkultur]:[Legum. Zwischenfr.]],'#Zweitfr'!$I$1,FALSE))</f>
        <v/>
      </c>
      <c r="P72" s="1324" t="str">
        <f>IF('#BerechnungDBE'!M67=3,J72,'#Frucht'!$D$8)</f>
        <v xml:space="preserve"> --  </v>
      </c>
      <c r="Q72" s="1499" t="str">
        <f>'#BerechnungDBE'!J67</f>
        <v/>
      </c>
      <c r="R72" s="1496" t="str">
        <f>'#BerechnungDBE'!K67</f>
        <v/>
      </c>
      <c r="S72" s="1325"/>
      <c r="T72" s="1486" t="str">
        <f>IF('#BerechnungDBE'!AB67=4,'#Boden'!$B$30,IF('#BerechnungDBE'!AB67=3,'#Boden'!$B$31,'#Boden'!$B$32))</f>
        <v xml:space="preserve">  -- </v>
      </c>
      <c r="U72" s="1326"/>
      <c r="V72" s="1327"/>
      <c r="W72" s="1328"/>
      <c r="X72" s="1142" t="str">
        <f>IF(AND(B72="",C72="",D72=""),"",IF('#BerechnungDBE'!DM67&gt;0,"KOPIE",IF(COUNT('#BerechnungDBE'!DO67:DR67)=0,"OK",TRIM(CONCATENATE('#BerechnungDBE'!DN67," ",'#BerechnungDBE'!DO67," ",'#BerechnungDBE'!DP67," ",'#BerechnungDBE'!DQ67," ",'#BerechnungDBE'!DR67)))))</f>
        <v/>
      </c>
      <c r="Y72" s="1143"/>
    </row>
    <row r="73" spans="1:25" s="130" customFormat="1" ht="15" customHeight="1" x14ac:dyDescent="0.2">
      <c r="A73" s="876">
        <v>64</v>
      </c>
      <c r="B73" s="1319" t="str">
        <f>IF('Daten aus 2021'!B70="","",'Daten aus 2021'!B70)</f>
        <v/>
      </c>
      <c r="C73" s="1487" t="str">
        <f>IF('Daten aus 2021'!C70="","",'Daten aus 2021'!C70)</f>
        <v/>
      </c>
      <c r="D73" s="1320" t="str">
        <f>IF('Daten aus 2021'!D70="","",'Daten aus 2021'!D70)</f>
        <v/>
      </c>
      <c r="E73" s="1321" t="s">
        <v>315</v>
      </c>
      <c r="F73" s="1322" t="str">
        <f>IF('Daten aus 2021'!E70="",IF(AND(D73&lt;1,D73&lt;&gt;""),'#Boden'!$G$6,'#Boden'!$G$4),'Daten aus 2021'!E70)</f>
        <v xml:space="preserve"> --</v>
      </c>
      <c r="G73" s="1319" t="str">
        <f>'#BerechnungDBE'!A68</f>
        <v xml:space="preserve"> --</v>
      </c>
      <c r="H73" s="1323" t="str">
        <f>IF('Daten aus 2021'!G70="",'#Boden'!$B$24,'Daten aus 2021'!G70)</f>
        <v>ja</v>
      </c>
      <c r="I73" s="1322" t="str">
        <f>'#BerechnungDBE'!B68</f>
        <v xml:space="preserve"> --         </v>
      </c>
      <c r="J73" s="1324" t="str">
        <f>'#BerechnungDBE'!F68</f>
        <v xml:space="preserve"> --  </v>
      </c>
      <c r="K73" s="1319" t="str">
        <f>IF(D73="","",IF('Daten aus 2021'!AA70="","",'Daten aus 2021'!AA70))</f>
        <v/>
      </c>
      <c r="L73" s="1321" t="s">
        <v>699</v>
      </c>
      <c r="M73" s="1325" t="s">
        <v>700</v>
      </c>
      <c r="N73" s="1325" t="s">
        <v>701</v>
      </c>
      <c r="O73" s="1325" t="str">
        <f>IF(L73="",'#Zweitfr'!$I$8,VLOOKUP(L73,Nebenkultur[[Nebenkultur]:[Legum. Zwischenfr.]],'#Zweitfr'!$I$1,FALSE))</f>
        <v/>
      </c>
      <c r="P73" s="1324" t="str">
        <f>IF('#BerechnungDBE'!M68=3,J73,'#Frucht'!$D$8)</f>
        <v xml:space="preserve"> --  </v>
      </c>
      <c r="Q73" s="1499" t="str">
        <f>'#BerechnungDBE'!J68</f>
        <v/>
      </c>
      <c r="R73" s="1496" t="str">
        <f>'#BerechnungDBE'!K68</f>
        <v/>
      </c>
      <c r="S73" s="1325"/>
      <c r="T73" s="1486" t="str">
        <f>IF('#BerechnungDBE'!AB68=4,'#Boden'!$B$30,IF('#BerechnungDBE'!AB68=3,'#Boden'!$B$31,'#Boden'!$B$32))</f>
        <v xml:space="preserve">  -- </v>
      </c>
      <c r="U73" s="1326"/>
      <c r="V73" s="1327"/>
      <c r="W73" s="1328"/>
      <c r="X73" s="1142" t="str">
        <f>IF(AND(B73="",C73="",D73=""),"",IF('#BerechnungDBE'!DM68&gt;0,"KOPIE",IF(COUNT('#BerechnungDBE'!DO68:DR68)=0,"OK",TRIM(CONCATENATE('#BerechnungDBE'!DN68," ",'#BerechnungDBE'!DO68," ",'#BerechnungDBE'!DP68," ",'#BerechnungDBE'!DQ68," ",'#BerechnungDBE'!DR68)))))</f>
        <v/>
      </c>
      <c r="Y73" s="1143"/>
    </row>
    <row r="74" spans="1:25" s="130" customFormat="1" ht="15" customHeight="1" x14ac:dyDescent="0.2">
      <c r="A74" s="876">
        <v>65</v>
      </c>
      <c r="B74" s="1319" t="str">
        <f>IF('Daten aus 2021'!B71="","",'Daten aus 2021'!B71)</f>
        <v/>
      </c>
      <c r="C74" s="1487" t="str">
        <f>IF('Daten aus 2021'!C71="","",'Daten aus 2021'!C71)</f>
        <v/>
      </c>
      <c r="D74" s="1320" t="str">
        <f>IF('Daten aus 2021'!D71="","",'Daten aus 2021'!D71)</f>
        <v/>
      </c>
      <c r="E74" s="1321" t="s">
        <v>315</v>
      </c>
      <c r="F74" s="1322" t="str">
        <f>IF('Daten aus 2021'!E71="",IF(AND(D74&lt;1,D74&lt;&gt;""),'#Boden'!$G$6,'#Boden'!$G$4),'Daten aus 2021'!E71)</f>
        <v xml:space="preserve"> --</v>
      </c>
      <c r="G74" s="1319" t="str">
        <f>'#BerechnungDBE'!A69</f>
        <v xml:space="preserve"> --</v>
      </c>
      <c r="H74" s="1323" t="str">
        <f>IF('Daten aus 2021'!G71="",'#Boden'!$B$24,'Daten aus 2021'!G71)</f>
        <v>ja</v>
      </c>
      <c r="I74" s="1322" t="str">
        <f>'#BerechnungDBE'!B69</f>
        <v xml:space="preserve"> --         </v>
      </c>
      <c r="J74" s="1324" t="str">
        <f>'#BerechnungDBE'!F69</f>
        <v xml:space="preserve"> --  </v>
      </c>
      <c r="K74" s="1319" t="str">
        <f>IF(D74="","",IF('Daten aus 2021'!AA71="","",'Daten aus 2021'!AA71))</f>
        <v/>
      </c>
      <c r="L74" s="1321" t="s">
        <v>699</v>
      </c>
      <c r="M74" s="1319" t="s">
        <v>700</v>
      </c>
      <c r="N74" s="1325" t="s">
        <v>701</v>
      </c>
      <c r="O74" s="1325" t="str">
        <f>IF(L74="",'#Zweitfr'!$I$8,VLOOKUP(L74,Nebenkultur[[Nebenkultur]:[Legum. Zwischenfr.]],'#Zweitfr'!$I$1,FALSE))</f>
        <v/>
      </c>
      <c r="P74" s="1324" t="str">
        <f>IF('#BerechnungDBE'!M69=3,J74,'#Frucht'!$D$8)</f>
        <v xml:space="preserve"> --  </v>
      </c>
      <c r="Q74" s="1499" t="str">
        <f>'#BerechnungDBE'!J69</f>
        <v/>
      </c>
      <c r="R74" s="1496" t="str">
        <f>'#BerechnungDBE'!K69</f>
        <v/>
      </c>
      <c r="S74" s="1325"/>
      <c r="T74" s="1486" t="str">
        <f>IF('#BerechnungDBE'!AB69=4,'#Boden'!$B$30,IF('#BerechnungDBE'!AB69=3,'#Boden'!$B$31,'#Boden'!$B$32))</f>
        <v xml:space="preserve">  -- </v>
      </c>
      <c r="U74" s="1326"/>
      <c r="V74" s="1327"/>
      <c r="W74" s="1328"/>
      <c r="X74" s="1142" t="str">
        <f>IF(AND(B74="",C74="",D74=""),"",IF('#BerechnungDBE'!DM69&gt;0,"KOPIE",IF(COUNT('#BerechnungDBE'!DO69:DR69)=0,"OK",TRIM(CONCATENATE('#BerechnungDBE'!DN69," ",'#BerechnungDBE'!DO69," ",'#BerechnungDBE'!DP69," ",'#BerechnungDBE'!DQ69," ",'#BerechnungDBE'!DR69)))))</f>
        <v/>
      </c>
      <c r="Y74" s="1143"/>
    </row>
    <row r="75" spans="1:25" s="130" customFormat="1" ht="15" customHeight="1" x14ac:dyDescent="0.2">
      <c r="A75" s="876">
        <v>66</v>
      </c>
      <c r="B75" s="1319" t="str">
        <f>IF('Daten aus 2021'!B72="","",'Daten aus 2021'!B72)</f>
        <v/>
      </c>
      <c r="C75" s="1487" t="str">
        <f>IF('Daten aus 2021'!C72="","",'Daten aus 2021'!C72)</f>
        <v/>
      </c>
      <c r="D75" s="1320" t="str">
        <f>IF('Daten aus 2021'!D72="","",'Daten aus 2021'!D72)</f>
        <v/>
      </c>
      <c r="E75" s="1321" t="s">
        <v>315</v>
      </c>
      <c r="F75" s="1322" t="str">
        <f>IF('Daten aus 2021'!E72="",IF(AND(D75&lt;1,D75&lt;&gt;""),'#Boden'!$G$6,'#Boden'!$G$4),'Daten aus 2021'!E72)</f>
        <v xml:space="preserve"> --</v>
      </c>
      <c r="G75" s="1319" t="str">
        <f>'#BerechnungDBE'!A70</f>
        <v xml:space="preserve"> --</v>
      </c>
      <c r="H75" s="1323" t="str">
        <f>IF('Daten aus 2021'!G72="",'#Boden'!$B$24,'Daten aus 2021'!G72)</f>
        <v>ja</v>
      </c>
      <c r="I75" s="1322" t="str">
        <f>'#BerechnungDBE'!B70</f>
        <v xml:space="preserve"> --         </v>
      </c>
      <c r="J75" s="1324" t="str">
        <f>'#BerechnungDBE'!F70</f>
        <v xml:space="preserve"> --  </v>
      </c>
      <c r="K75" s="1319" t="str">
        <f>IF(D75="","",IF('Daten aus 2021'!AA72="","",'Daten aus 2021'!AA72))</f>
        <v/>
      </c>
      <c r="L75" s="1321" t="s">
        <v>699</v>
      </c>
      <c r="M75" s="1325" t="s">
        <v>700</v>
      </c>
      <c r="N75" s="1325" t="s">
        <v>701</v>
      </c>
      <c r="O75" s="1325" t="str">
        <f>IF(L75="",'#Zweitfr'!$I$8,VLOOKUP(L75,Nebenkultur[[Nebenkultur]:[Legum. Zwischenfr.]],'#Zweitfr'!$I$1,FALSE))</f>
        <v/>
      </c>
      <c r="P75" s="1324" t="str">
        <f>IF('#BerechnungDBE'!M70=3,J75,'#Frucht'!$D$8)</f>
        <v xml:space="preserve"> --  </v>
      </c>
      <c r="Q75" s="1499" t="str">
        <f>'#BerechnungDBE'!J70</f>
        <v/>
      </c>
      <c r="R75" s="1496" t="str">
        <f>'#BerechnungDBE'!K70</f>
        <v/>
      </c>
      <c r="S75" s="1325"/>
      <c r="T75" s="1486" t="str">
        <f>IF('#BerechnungDBE'!AB70=4,'#Boden'!$B$30,IF('#BerechnungDBE'!AB70=3,'#Boden'!$B$31,'#Boden'!$B$32))</f>
        <v xml:space="preserve">  -- </v>
      </c>
      <c r="U75" s="1326"/>
      <c r="V75" s="1327"/>
      <c r="W75" s="1328"/>
      <c r="X75" s="1142" t="str">
        <f>IF(AND(B75="",C75="",D75=""),"",IF('#BerechnungDBE'!DM70&gt;0,"KOPIE",IF(COUNT('#BerechnungDBE'!DO70:DR70)=0,"OK",TRIM(CONCATENATE('#BerechnungDBE'!DN70," ",'#BerechnungDBE'!DO70," ",'#BerechnungDBE'!DP70," ",'#BerechnungDBE'!DQ70," ",'#BerechnungDBE'!DR70)))))</f>
        <v/>
      </c>
      <c r="Y75" s="1143"/>
    </row>
    <row r="76" spans="1:25" s="130" customFormat="1" ht="15" customHeight="1" x14ac:dyDescent="0.2">
      <c r="A76" s="876">
        <v>67</v>
      </c>
      <c r="B76" s="1319" t="str">
        <f>IF('Daten aus 2021'!B73="","",'Daten aus 2021'!B73)</f>
        <v/>
      </c>
      <c r="C76" s="1487" t="str">
        <f>IF('Daten aus 2021'!C73="","",'Daten aus 2021'!C73)</f>
        <v/>
      </c>
      <c r="D76" s="1320" t="str">
        <f>IF('Daten aus 2021'!D73="","",'Daten aus 2021'!D73)</f>
        <v/>
      </c>
      <c r="E76" s="1321" t="s">
        <v>315</v>
      </c>
      <c r="F76" s="1322" t="str">
        <f>IF('Daten aus 2021'!E73="",IF(AND(D76&lt;1,D76&lt;&gt;""),'#Boden'!$G$6,'#Boden'!$G$4),'Daten aus 2021'!E73)</f>
        <v xml:space="preserve"> --</v>
      </c>
      <c r="G76" s="1319" t="str">
        <f>'#BerechnungDBE'!A71</f>
        <v xml:space="preserve"> --</v>
      </c>
      <c r="H76" s="1323" t="str">
        <f>IF('Daten aus 2021'!G73="",'#Boden'!$B$24,'Daten aus 2021'!G73)</f>
        <v>ja</v>
      </c>
      <c r="I76" s="1322" t="str">
        <f>'#BerechnungDBE'!B71</f>
        <v xml:space="preserve"> --         </v>
      </c>
      <c r="J76" s="1324" t="str">
        <f>'#BerechnungDBE'!F71</f>
        <v xml:space="preserve"> --  </v>
      </c>
      <c r="K76" s="1319" t="str">
        <f>IF(D76="","",IF('Daten aus 2021'!AA73="","",'Daten aus 2021'!AA73))</f>
        <v/>
      </c>
      <c r="L76" s="1321" t="s">
        <v>699</v>
      </c>
      <c r="M76" s="1319" t="s">
        <v>700</v>
      </c>
      <c r="N76" s="1325" t="s">
        <v>701</v>
      </c>
      <c r="O76" s="1325" t="str">
        <f>IF(L76="",'#Zweitfr'!$I$8,VLOOKUP(L76,Nebenkultur[[Nebenkultur]:[Legum. Zwischenfr.]],'#Zweitfr'!$I$1,FALSE))</f>
        <v/>
      </c>
      <c r="P76" s="1324" t="str">
        <f>IF('#BerechnungDBE'!M71=3,J76,'#Frucht'!$D$8)</f>
        <v xml:space="preserve"> --  </v>
      </c>
      <c r="Q76" s="1499" t="str">
        <f>'#BerechnungDBE'!J71</f>
        <v/>
      </c>
      <c r="R76" s="1496" t="str">
        <f>'#BerechnungDBE'!K71</f>
        <v/>
      </c>
      <c r="S76" s="1325"/>
      <c r="T76" s="1486" t="str">
        <f>IF('#BerechnungDBE'!AB71=4,'#Boden'!$B$30,IF('#BerechnungDBE'!AB71=3,'#Boden'!$B$31,'#Boden'!$B$32))</f>
        <v xml:space="preserve">  -- </v>
      </c>
      <c r="U76" s="1326"/>
      <c r="V76" s="1327"/>
      <c r="W76" s="1328"/>
      <c r="X76" s="1142" t="str">
        <f>IF(AND(B76="",C76="",D76=""),"",IF('#BerechnungDBE'!DM71&gt;0,"KOPIE",IF(COUNT('#BerechnungDBE'!DO71:DR71)=0,"OK",TRIM(CONCATENATE('#BerechnungDBE'!DN71," ",'#BerechnungDBE'!DO71," ",'#BerechnungDBE'!DP71," ",'#BerechnungDBE'!DQ71," ",'#BerechnungDBE'!DR71)))))</f>
        <v/>
      </c>
      <c r="Y76" s="1143"/>
    </row>
    <row r="77" spans="1:25" s="130" customFormat="1" ht="15" customHeight="1" x14ac:dyDescent="0.2">
      <c r="A77" s="876">
        <v>68</v>
      </c>
      <c r="B77" s="1319" t="str">
        <f>IF('Daten aus 2021'!B74="","",'Daten aus 2021'!B74)</f>
        <v/>
      </c>
      <c r="C77" s="1487" t="str">
        <f>IF('Daten aus 2021'!C74="","",'Daten aus 2021'!C74)</f>
        <v/>
      </c>
      <c r="D77" s="1320" t="str">
        <f>IF('Daten aus 2021'!D74="","",'Daten aus 2021'!D74)</f>
        <v/>
      </c>
      <c r="E77" s="1321" t="s">
        <v>315</v>
      </c>
      <c r="F77" s="1322" t="str">
        <f>IF('Daten aus 2021'!E74="",IF(AND(D77&lt;1,D77&lt;&gt;""),'#Boden'!$G$6,'#Boden'!$G$4),'Daten aus 2021'!E74)</f>
        <v xml:space="preserve"> --</v>
      </c>
      <c r="G77" s="1319" t="str">
        <f>'#BerechnungDBE'!A72</f>
        <v xml:space="preserve"> --</v>
      </c>
      <c r="H77" s="1323" t="str">
        <f>IF('Daten aus 2021'!G74="",'#Boden'!$B$24,'Daten aus 2021'!G74)</f>
        <v>ja</v>
      </c>
      <c r="I77" s="1322" t="str">
        <f>'#BerechnungDBE'!B72</f>
        <v xml:space="preserve"> --         </v>
      </c>
      <c r="J77" s="1324" t="str">
        <f>'#BerechnungDBE'!F72</f>
        <v xml:space="preserve"> --  </v>
      </c>
      <c r="K77" s="1319" t="str">
        <f>IF(D77="","",IF('Daten aus 2021'!AA74="","",'Daten aus 2021'!AA74))</f>
        <v/>
      </c>
      <c r="L77" s="1321" t="s">
        <v>699</v>
      </c>
      <c r="M77" s="1325" t="s">
        <v>700</v>
      </c>
      <c r="N77" s="1325" t="s">
        <v>701</v>
      </c>
      <c r="O77" s="1325" t="str">
        <f>IF(L77="",'#Zweitfr'!$I$8,VLOOKUP(L77,Nebenkultur[[Nebenkultur]:[Legum. Zwischenfr.]],'#Zweitfr'!$I$1,FALSE))</f>
        <v/>
      </c>
      <c r="P77" s="1324" t="str">
        <f>IF('#BerechnungDBE'!M72=3,J77,'#Frucht'!$D$8)</f>
        <v xml:space="preserve"> --  </v>
      </c>
      <c r="Q77" s="1499" t="str">
        <f>'#BerechnungDBE'!J72</f>
        <v/>
      </c>
      <c r="R77" s="1496" t="str">
        <f>'#BerechnungDBE'!K72</f>
        <v/>
      </c>
      <c r="S77" s="1325"/>
      <c r="T77" s="1486" t="str">
        <f>IF('#BerechnungDBE'!AB72=4,'#Boden'!$B$30,IF('#BerechnungDBE'!AB72=3,'#Boden'!$B$31,'#Boden'!$B$32))</f>
        <v xml:space="preserve">  -- </v>
      </c>
      <c r="U77" s="1326"/>
      <c r="V77" s="1327"/>
      <c r="W77" s="1328"/>
      <c r="X77" s="1142" t="str">
        <f>IF(AND(B77="",C77="",D77=""),"",IF('#BerechnungDBE'!DM72&gt;0,"KOPIE",IF(COUNT('#BerechnungDBE'!DO72:DR72)=0,"OK",TRIM(CONCATENATE('#BerechnungDBE'!DN72," ",'#BerechnungDBE'!DO72," ",'#BerechnungDBE'!DP72," ",'#BerechnungDBE'!DQ72," ",'#BerechnungDBE'!DR72)))))</f>
        <v/>
      </c>
      <c r="Y77" s="1143"/>
    </row>
    <row r="78" spans="1:25" s="130" customFormat="1" ht="15" customHeight="1" x14ac:dyDescent="0.2">
      <c r="A78" s="876">
        <v>69</v>
      </c>
      <c r="B78" s="1319" t="str">
        <f>IF('Daten aus 2021'!B75="","",'Daten aus 2021'!B75)</f>
        <v/>
      </c>
      <c r="C78" s="1487" t="str">
        <f>IF('Daten aus 2021'!C75="","",'Daten aus 2021'!C75)</f>
        <v/>
      </c>
      <c r="D78" s="1320" t="str">
        <f>IF('Daten aus 2021'!D75="","",'Daten aus 2021'!D75)</f>
        <v/>
      </c>
      <c r="E78" s="1321" t="s">
        <v>315</v>
      </c>
      <c r="F78" s="1322" t="str">
        <f>IF('Daten aus 2021'!E75="",IF(AND(D78&lt;1,D78&lt;&gt;""),'#Boden'!$G$6,'#Boden'!$G$4),'Daten aus 2021'!E75)</f>
        <v xml:space="preserve"> --</v>
      </c>
      <c r="G78" s="1319" t="str">
        <f>'#BerechnungDBE'!A73</f>
        <v xml:space="preserve"> --</v>
      </c>
      <c r="H78" s="1323" t="str">
        <f>IF('Daten aus 2021'!G75="",'#Boden'!$B$24,'Daten aus 2021'!G75)</f>
        <v>ja</v>
      </c>
      <c r="I78" s="1322" t="str">
        <f>'#BerechnungDBE'!B73</f>
        <v xml:space="preserve"> --         </v>
      </c>
      <c r="J78" s="1324" t="str">
        <f>'#BerechnungDBE'!F73</f>
        <v xml:space="preserve"> --  </v>
      </c>
      <c r="K78" s="1319" t="str">
        <f>IF(D78="","",IF('Daten aus 2021'!AA75="","",'Daten aus 2021'!AA75))</f>
        <v/>
      </c>
      <c r="L78" s="1321" t="s">
        <v>699</v>
      </c>
      <c r="M78" s="1319" t="s">
        <v>700</v>
      </c>
      <c r="N78" s="1325" t="s">
        <v>701</v>
      </c>
      <c r="O78" s="1325" t="str">
        <f>IF(L78="",'#Zweitfr'!$I$8,VLOOKUP(L78,Nebenkultur[[Nebenkultur]:[Legum. Zwischenfr.]],'#Zweitfr'!$I$1,FALSE))</f>
        <v/>
      </c>
      <c r="P78" s="1324" t="str">
        <f>IF('#BerechnungDBE'!M73=3,J78,'#Frucht'!$D$8)</f>
        <v xml:space="preserve"> --  </v>
      </c>
      <c r="Q78" s="1499" t="str">
        <f>'#BerechnungDBE'!J73</f>
        <v/>
      </c>
      <c r="R78" s="1496" t="str">
        <f>'#BerechnungDBE'!K73</f>
        <v/>
      </c>
      <c r="S78" s="1325"/>
      <c r="T78" s="1486" t="str">
        <f>IF('#BerechnungDBE'!AB73=4,'#Boden'!$B$30,IF('#BerechnungDBE'!AB73=3,'#Boden'!$B$31,'#Boden'!$B$32))</f>
        <v xml:space="preserve">  -- </v>
      </c>
      <c r="U78" s="1326"/>
      <c r="V78" s="1327"/>
      <c r="W78" s="1328"/>
      <c r="X78" s="1142" t="str">
        <f>IF(AND(B78="",C78="",D78=""),"",IF('#BerechnungDBE'!DM73&gt;0,"KOPIE",IF(COUNT('#BerechnungDBE'!DO73:DR73)=0,"OK",TRIM(CONCATENATE('#BerechnungDBE'!DN73," ",'#BerechnungDBE'!DO73," ",'#BerechnungDBE'!DP73," ",'#BerechnungDBE'!DQ73," ",'#BerechnungDBE'!DR73)))))</f>
        <v/>
      </c>
      <c r="Y78" s="1143"/>
    </row>
    <row r="79" spans="1:25" s="130" customFormat="1" ht="15" customHeight="1" x14ac:dyDescent="0.2">
      <c r="A79" s="876">
        <v>70</v>
      </c>
      <c r="B79" s="1319" t="str">
        <f>IF('Daten aus 2021'!B76="","",'Daten aus 2021'!B76)</f>
        <v/>
      </c>
      <c r="C79" s="1487" t="str">
        <f>IF('Daten aus 2021'!C76="","",'Daten aus 2021'!C76)</f>
        <v/>
      </c>
      <c r="D79" s="1320" t="str">
        <f>IF('Daten aus 2021'!D76="","",'Daten aus 2021'!D76)</f>
        <v/>
      </c>
      <c r="E79" s="1321" t="s">
        <v>315</v>
      </c>
      <c r="F79" s="1322" t="str">
        <f>IF('Daten aus 2021'!E76="",IF(AND(D79&lt;1,D79&lt;&gt;""),'#Boden'!$G$6,'#Boden'!$G$4),'Daten aus 2021'!E76)</f>
        <v xml:space="preserve"> --</v>
      </c>
      <c r="G79" s="1319" t="str">
        <f>'#BerechnungDBE'!A74</f>
        <v xml:space="preserve"> --</v>
      </c>
      <c r="H79" s="1323" t="str">
        <f>IF('Daten aus 2021'!G76="",'#Boden'!$B$24,'Daten aus 2021'!G76)</f>
        <v>ja</v>
      </c>
      <c r="I79" s="1322" t="str">
        <f>'#BerechnungDBE'!B74</f>
        <v xml:space="preserve"> --         </v>
      </c>
      <c r="J79" s="1324" t="str">
        <f>'#BerechnungDBE'!F74</f>
        <v xml:space="preserve"> --  </v>
      </c>
      <c r="K79" s="1319" t="str">
        <f>IF(D79="","",IF('Daten aus 2021'!AA76="","",'Daten aus 2021'!AA76))</f>
        <v/>
      </c>
      <c r="L79" s="1321" t="s">
        <v>699</v>
      </c>
      <c r="M79" s="1325" t="s">
        <v>700</v>
      </c>
      <c r="N79" s="1325" t="s">
        <v>701</v>
      </c>
      <c r="O79" s="1325" t="str">
        <f>IF(L79="",'#Zweitfr'!$I$8,VLOOKUP(L79,Nebenkultur[[Nebenkultur]:[Legum. Zwischenfr.]],'#Zweitfr'!$I$1,FALSE))</f>
        <v/>
      </c>
      <c r="P79" s="1324" t="str">
        <f>IF('#BerechnungDBE'!M74=3,J79,'#Frucht'!$D$8)</f>
        <v xml:space="preserve"> --  </v>
      </c>
      <c r="Q79" s="1499" t="str">
        <f>'#BerechnungDBE'!J74</f>
        <v/>
      </c>
      <c r="R79" s="1496" t="str">
        <f>'#BerechnungDBE'!K74</f>
        <v/>
      </c>
      <c r="S79" s="1325"/>
      <c r="T79" s="1486" t="str">
        <f>IF('#BerechnungDBE'!AB74=4,'#Boden'!$B$30,IF('#BerechnungDBE'!AB74=3,'#Boden'!$B$31,'#Boden'!$B$32))</f>
        <v xml:space="preserve">  -- </v>
      </c>
      <c r="U79" s="1326"/>
      <c r="V79" s="1327"/>
      <c r="W79" s="1328"/>
      <c r="X79" s="1142" t="str">
        <f>IF(AND(B79="",C79="",D79=""),"",IF('#BerechnungDBE'!DM74&gt;0,"KOPIE",IF(COUNT('#BerechnungDBE'!DO74:DR74)=0,"OK",TRIM(CONCATENATE('#BerechnungDBE'!DN74," ",'#BerechnungDBE'!DO74," ",'#BerechnungDBE'!DP74," ",'#BerechnungDBE'!DQ74," ",'#BerechnungDBE'!DR74)))))</f>
        <v/>
      </c>
      <c r="Y79" s="1143"/>
    </row>
    <row r="80" spans="1:25" s="130" customFormat="1" ht="15" customHeight="1" x14ac:dyDescent="0.2">
      <c r="A80" s="876">
        <v>71</v>
      </c>
      <c r="B80" s="1319" t="str">
        <f>IF('Daten aus 2021'!B77="","",'Daten aus 2021'!B77)</f>
        <v/>
      </c>
      <c r="C80" s="1487" t="str">
        <f>IF('Daten aus 2021'!C77="","",'Daten aus 2021'!C77)</f>
        <v/>
      </c>
      <c r="D80" s="1320" t="str">
        <f>IF('Daten aus 2021'!D77="","",'Daten aus 2021'!D77)</f>
        <v/>
      </c>
      <c r="E80" s="1321" t="s">
        <v>315</v>
      </c>
      <c r="F80" s="1322" t="str">
        <f>IF('Daten aus 2021'!E77="",IF(AND(D80&lt;1,D80&lt;&gt;""),'#Boden'!$G$6,'#Boden'!$G$4),'Daten aus 2021'!E77)</f>
        <v xml:space="preserve"> --</v>
      </c>
      <c r="G80" s="1319" t="str">
        <f>'#BerechnungDBE'!A75</f>
        <v xml:space="preserve"> --</v>
      </c>
      <c r="H80" s="1323" t="str">
        <f>IF('Daten aus 2021'!G77="",'#Boden'!$B$24,'Daten aus 2021'!G77)</f>
        <v>ja</v>
      </c>
      <c r="I80" s="1322" t="str">
        <f>'#BerechnungDBE'!B75</f>
        <v xml:space="preserve"> --         </v>
      </c>
      <c r="J80" s="1324" t="str">
        <f>'#BerechnungDBE'!F75</f>
        <v xml:space="preserve"> --  </v>
      </c>
      <c r="K80" s="1319" t="str">
        <f>IF(D80="","",IF('Daten aus 2021'!AA77="","",'Daten aus 2021'!AA77))</f>
        <v/>
      </c>
      <c r="L80" s="1321" t="s">
        <v>699</v>
      </c>
      <c r="M80" s="1319" t="s">
        <v>700</v>
      </c>
      <c r="N80" s="1325" t="s">
        <v>701</v>
      </c>
      <c r="O80" s="1325" t="str">
        <f>IF(L80="",'#Zweitfr'!$I$8,VLOOKUP(L80,Nebenkultur[[Nebenkultur]:[Legum. Zwischenfr.]],'#Zweitfr'!$I$1,FALSE))</f>
        <v/>
      </c>
      <c r="P80" s="1324" t="str">
        <f>IF('#BerechnungDBE'!M75=3,J80,'#Frucht'!$D$8)</f>
        <v xml:space="preserve"> --  </v>
      </c>
      <c r="Q80" s="1499" t="str">
        <f>'#BerechnungDBE'!J75</f>
        <v/>
      </c>
      <c r="R80" s="1496" t="str">
        <f>'#BerechnungDBE'!K75</f>
        <v/>
      </c>
      <c r="S80" s="1325"/>
      <c r="T80" s="1486" t="str">
        <f>IF('#BerechnungDBE'!AB75=4,'#Boden'!$B$30,IF('#BerechnungDBE'!AB75=3,'#Boden'!$B$31,'#Boden'!$B$32))</f>
        <v xml:space="preserve">  -- </v>
      </c>
      <c r="U80" s="1326"/>
      <c r="V80" s="1327"/>
      <c r="W80" s="1328"/>
      <c r="X80" s="1142" t="str">
        <f>IF(AND(B80="",C80="",D80=""),"",IF('#BerechnungDBE'!DM75&gt;0,"KOPIE",IF(COUNT('#BerechnungDBE'!DO75:DR75)=0,"OK",TRIM(CONCATENATE('#BerechnungDBE'!DN75," ",'#BerechnungDBE'!DO75," ",'#BerechnungDBE'!DP75," ",'#BerechnungDBE'!DQ75," ",'#BerechnungDBE'!DR75)))))</f>
        <v/>
      </c>
      <c r="Y80" s="1143"/>
    </row>
    <row r="81" spans="1:25" s="130" customFormat="1" ht="15" customHeight="1" x14ac:dyDescent="0.2">
      <c r="A81" s="876">
        <v>72</v>
      </c>
      <c r="B81" s="1319" t="str">
        <f>IF('Daten aus 2021'!B78="","",'Daten aus 2021'!B78)</f>
        <v/>
      </c>
      <c r="C81" s="1487" t="str">
        <f>IF('Daten aus 2021'!C78="","",'Daten aus 2021'!C78)</f>
        <v/>
      </c>
      <c r="D81" s="1320" t="str">
        <f>IF('Daten aus 2021'!D78="","",'Daten aus 2021'!D78)</f>
        <v/>
      </c>
      <c r="E81" s="1321" t="s">
        <v>315</v>
      </c>
      <c r="F81" s="1322" t="str">
        <f>IF('Daten aus 2021'!E78="",IF(AND(D81&lt;1,D81&lt;&gt;""),'#Boden'!$G$6,'#Boden'!$G$4),'Daten aus 2021'!E78)</f>
        <v xml:space="preserve"> --</v>
      </c>
      <c r="G81" s="1319" t="str">
        <f>'#BerechnungDBE'!A76</f>
        <v xml:space="preserve"> --</v>
      </c>
      <c r="H81" s="1323" t="str">
        <f>IF('Daten aus 2021'!G78="",'#Boden'!$B$24,'Daten aus 2021'!G78)</f>
        <v>ja</v>
      </c>
      <c r="I81" s="1322" t="str">
        <f>'#BerechnungDBE'!B76</f>
        <v xml:space="preserve"> --         </v>
      </c>
      <c r="J81" s="1324" t="str">
        <f>'#BerechnungDBE'!F76</f>
        <v xml:space="preserve"> --  </v>
      </c>
      <c r="K81" s="1319" t="str">
        <f>IF(D81="","",IF('Daten aus 2021'!AA78="","",'Daten aus 2021'!AA78))</f>
        <v/>
      </c>
      <c r="L81" s="1321" t="s">
        <v>699</v>
      </c>
      <c r="M81" s="1325" t="s">
        <v>700</v>
      </c>
      <c r="N81" s="1325" t="s">
        <v>701</v>
      </c>
      <c r="O81" s="1325" t="str">
        <f>IF(L81="",'#Zweitfr'!$I$8,VLOOKUP(L81,Nebenkultur[[Nebenkultur]:[Legum. Zwischenfr.]],'#Zweitfr'!$I$1,FALSE))</f>
        <v/>
      </c>
      <c r="P81" s="1324" t="str">
        <f>IF('#BerechnungDBE'!M76=3,J81,'#Frucht'!$D$8)</f>
        <v xml:space="preserve"> --  </v>
      </c>
      <c r="Q81" s="1499" t="str">
        <f>'#BerechnungDBE'!J76</f>
        <v/>
      </c>
      <c r="R81" s="1496" t="str">
        <f>'#BerechnungDBE'!K76</f>
        <v/>
      </c>
      <c r="S81" s="1325"/>
      <c r="T81" s="1486" t="str">
        <f>IF('#BerechnungDBE'!AB76=4,'#Boden'!$B$30,IF('#BerechnungDBE'!AB76=3,'#Boden'!$B$31,'#Boden'!$B$32))</f>
        <v xml:space="preserve">  -- </v>
      </c>
      <c r="U81" s="1326"/>
      <c r="V81" s="1327"/>
      <c r="W81" s="1328"/>
      <c r="X81" s="1142" t="str">
        <f>IF(AND(B81="",C81="",D81=""),"",IF('#BerechnungDBE'!DM76&gt;0,"KOPIE",IF(COUNT('#BerechnungDBE'!DO76:DR76)=0,"OK",TRIM(CONCATENATE('#BerechnungDBE'!DN76," ",'#BerechnungDBE'!DO76," ",'#BerechnungDBE'!DP76," ",'#BerechnungDBE'!DQ76," ",'#BerechnungDBE'!DR76)))))</f>
        <v/>
      </c>
      <c r="Y81" s="1143"/>
    </row>
    <row r="82" spans="1:25" s="130" customFormat="1" ht="15" customHeight="1" x14ac:dyDescent="0.2">
      <c r="A82" s="876">
        <v>73</v>
      </c>
      <c r="B82" s="1319" t="str">
        <f>IF('Daten aus 2021'!B79="","",'Daten aus 2021'!B79)</f>
        <v/>
      </c>
      <c r="C82" s="1487" t="str">
        <f>IF('Daten aus 2021'!C79="","",'Daten aus 2021'!C79)</f>
        <v/>
      </c>
      <c r="D82" s="1320" t="str">
        <f>IF('Daten aus 2021'!D79="","",'Daten aus 2021'!D79)</f>
        <v/>
      </c>
      <c r="E82" s="1321" t="s">
        <v>315</v>
      </c>
      <c r="F82" s="1322" t="str">
        <f>IF('Daten aus 2021'!E79="",IF(AND(D82&lt;1,D82&lt;&gt;""),'#Boden'!$G$6,'#Boden'!$G$4),'Daten aus 2021'!E79)</f>
        <v xml:space="preserve"> --</v>
      </c>
      <c r="G82" s="1319" t="str">
        <f>'#BerechnungDBE'!A77</f>
        <v xml:space="preserve"> --</v>
      </c>
      <c r="H82" s="1323" t="str">
        <f>IF('Daten aus 2021'!G79="",'#Boden'!$B$24,'Daten aus 2021'!G79)</f>
        <v>ja</v>
      </c>
      <c r="I82" s="1322" t="str">
        <f>'#BerechnungDBE'!B77</f>
        <v xml:space="preserve"> --         </v>
      </c>
      <c r="J82" s="1324" t="str">
        <f>'#BerechnungDBE'!F77</f>
        <v xml:space="preserve"> --  </v>
      </c>
      <c r="K82" s="1319" t="str">
        <f>IF(D82="","",IF('Daten aus 2021'!AA79="","",'Daten aus 2021'!AA79))</f>
        <v/>
      </c>
      <c r="L82" s="1321" t="s">
        <v>699</v>
      </c>
      <c r="M82" s="1319" t="s">
        <v>700</v>
      </c>
      <c r="N82" s="1325" t="s">
        <v>701</v>
      </c>
      <c r="O82" s="1325" t="str">
        <f>IF(L82="",'#Zweitfr'!$I$8,VLOOKUP(L82,Nebenkultur[[Nebenkultur]:[Legum. Zwischenfr.]],'#Zweitfr'!$I$1,FALSE))</f>
        <v/>
      </c>
      <c r="P82" s="1324" t="str">
        <f>IF('#BerechnungDBE'!M77=3,J82,'#Frucht'!$D$8)</f>
        <v xml:space="preserve"> --  </v>
      </c>
      <c r="Q82" s="1499" t="str">
        <f>'#BerechnungDBE'!J77</f>
        <v/>
      </c>
      <c r="R82" s="1496" t="str">
        <f>'#BerechnungDBE'!K77</f>
        <v/>
      </c>
      <c r="S82" s="1325"/>
      <c r="T82" s="1486" t="str">
        <f>IF('#BerechnungDBE'!AB77=4,'#Boden'!$B$30,IF('#BerechnungDBE'!AB77=3,'#Boden'!$B$31,'#Boden'!$B$32))</f>
        <v xml:space="preserve">  -- </v>
      </c>
      <c r="U82" s="1326"/>
      <c r="V82" s="1327"/>
      <c r="W82" s="1328"/>
      <c r="X82" s="1142" t="str">
        <f>IF(AND(B82="",C82="",D82=""),"",IF('#BerechnungDBE'!DM77&gt;0,"KOPIE",IF(COUNT('#BerechnungDBE'!DO77:DR77)=0,"OK",TRIM(CONCATENATE('#BerechnungDBE'!DN77," ",'#BerechnungDBE'!DO77," ",'#BerechnungDBE'!DP77," ",'#BerechnungDBE'!DQ77," ",'#BerechnungDBE'!DR77)))))</f>
        <v/>
      </c>
      <c r="Y82" s="1143"/>
    </row>
    <row r="83" spans="1:25" s="130" customFormat="1" ht="15" customHeight="1" x14ac:dyDescent="0.2">
      <c r="A83" s="876">
        <v>74</v>
      </c>
      <c r="B83" s="1319" t="str">
        <f>IF('Daten aus 2021'!B80="","",'Daten aus 2021'!B80)</f>
        <v/>
      </c>
      <c r="C83" s="1487" t="str">
        <f>IF('Daten aus 2021'!C80="","",'Daten aus 2021'!C80)</f>
        <v/>
      </c>
      <c r="D83" s="1320" t="str">
        <f>IF('Daten aus 2021'!D80="","",'Daten aus 2021'!D80)</f>
        <v/>
      </c>
      <c r="E83" s="1321" t="s">
        <v>315</v>
      </c>
      <c r="F83" s="1322" t="str">
        <f>IF('Daten aus 2021'!E80="",IF(AND(D83&lt;1,D83&lt;&gt;""),'#Boden'!$G$6,'#Boden'!$G$4),'Daten aus 2021'!E80)</f>
        <v xml:space="preserve"> --</v>
      </c>
      <c r="G83" s="1319" t="str">
        <f>'#BerechnungDBE'!A78</f>
        <v xml:space="preserve"> --</v>
      </c>
      <c r="H83" s="1323" t="str">
        <f>IF('Daten aus 2021'!G80="",'#Boden'!$B$24,'Daten aus 2021'!G80)</f>
        <v>ja</v>
      </c>
      <c r="I83" s="1322" t="str">
        <f>'#BerechnungDBE'!B78</f>
        <v xml:space="preserve"> --         </v>
      </c>
      <c r="J83" s="1324" t="str">
        <f>'#BerechnungDBE'!F78</f>
        <v xml:space="preserve"> --  </v>
      </c>
      <c r="K83" s="1319" t="str">
        <f>IF(D83="","",IF('Daten aus 2021'!AA80="","",'Daten aus 2021'!AA80))</f>
        <v/>
      </c>
      <c r="L83" s="1321" t="s">
        <v>699</v>
      </c>
      <c r="M83" s="1325" t="s">
        <v>700</v>
      </c>
      <c r="N83" s="1325" t="s">
        <v>701</v>
      </c>
      <c r="O83" s="1325" t="str">
        <f>IF(L83="",'#Zweitfr'!$I$8,VLOOKUP(L83,Nebenkultur[[Nebenkultur]:[Legum. Zwischenfr.]],'#Zweitfr'!$I$1,FALSE))</f>
        <v/>
      </c>
      <c r="P83" s="1324" t="str">
        <f>IF('#BerechnungDBE'!M78=3,J83,'#Frucht'!$D$8)</f>
        <v xml:space="preserve"> --  </v>
      </c>
      <c r="Q83" s="1499" t="str">
        <f>'#BerechnungDBE'!J78</f>
        <v/>
      </c>
      <c r="R83" s="1496" t="str">
        <f>'#BerechnungDBE'!K78</f>
        <v/>
      </c>
      <c r="S83" s="1325"/>
      <c r="T83" s="1486" t="str">
        <f>IF('#BerechnungDBE'!AB78=4,'#Boden'!$B$30,IF('#BerechnungDBE'!AB78=3,'#Boden'!$B$31,'#Boden'!$B$32))</f>
        <v xml:space="preserve">  -- </v>
      </c>
      <c r="U83" s="1326"/>
      <c r="V83" s="1327"/>
      <c r="W83" s="1328"/>
      <c r="X83" s="1142" t="str">
        <f>IF(AND(B83="",C83="",D83=""),"",IF('#BerechnungDBE'!DM78&gt;0,"KOPIE",IF(COUNT('#BerechnungDBE'!DO78:DR78)=0,"OK",TRIM(CONCATENATE('#BerechnungDBE'!DN78," ",'#BerechnungDBE'!DO78," ",'#BerechnungDBE'!DP78," ",'#BerechnungDBE'!DQ78," ",'#BerechnungDBE'!DR78)))))</f>
        <v/>
      </c>
      <c r="Y83" s="1143"/>
    </row>
    <row r="84" spans="1:25" s="130" customFormat="1" ht="15" customHeight="1" x14ac:dyDescent="0.2">
      <c r="A84" s="876">
        <v>75</v>
      </c>
      <c r="B84" s="1319" t="str">
        <f>IF('Daten aus 2021'!B81="","",'Daten aus 2021'!B81)</f>
        <v/>
      </c>
      <c r="C84" s="1487" t="str">
        <f>IF('Daten aus 2021'!C81="","",'Daten aus 2021'!C81)</f>
        <v/>
      </c>
      <c r="D84" s="1320" t="str">
        <f>IF('Daten aus 2021'!D81="","",'Daten aus 2021'!D81)</f>
        <v/>
      </c>
      <c r="E84" s="1321" t="s">
        <v>315</v>
      </c>
      <c r="F84" s="1322" t="str">
        <f>IF('Daten aus 2021'!E81="",IF(AND(D84&lt;1,D84&lt;&gt;""),'#Boden'!$G$6,'#Boden'!$G$4),'Daten aus 2021'!E81)</f>
        <v xml:space="preserve"> --</v>
      </c>
      <c r="G84" s="1319" t="str">
        <f>'#BerechnungDBE'!A79</f>
        <v xml:space="preserve"> --</v>
      </c>
      <c r="H84" s="1323" t="str">
        <f>IF('Daten aus 2021'!G81="",'#Boden'!$B$24,'Daten aus 2021'!G81)</f>
        <v>ja</v>
      </c>
      <c r="I84" s="1322" t="str">
        <f>'#BerechnungDBE'!B79</f>
        <v xml:space="preserve"> --         </v>
      </c>
      <c r="J84" s="1324" t="str">
        <f>'#BerechnungDBE'!F79</f>
        <v xml:space="preserve"> --  </v>
      </c>
      <c r="K84" s="1319" t="str">
        <f>IF(D84="","",IF('Daten aus 2021'!AA81="","",'Daten aus 2021'!AA81))</f>
        <v/>
      </c>
      <c r="L84" s="1321" t="s">
        <v>699</v>
      </c>
      <c r="M84" s="1319" t="s">
        <v>700</v>
      </c>
      <c r="N84" s="1325" t="s">
        <v>701</v>
      </c>
      <c r="O84" s="1325" t="str">
        <f>IF(L84="",'#Zweitfr'!$I$8,VLOOKUP(L84,Nebenkultur[[Nebenkultur]:[Legum. Zwischenfr.]],'#Zweitfr'!$I$1,FALSE))</f>
        <v/>
      </c>
      <c r="P84" s="1324" t="str">
        <f>IF('#BerechnungDBE'!M79=3,J84,'#Frucht'!$D$8)</f>
        <v xml:space="preserve"> --  </v>
      </c>
      <c r="Q84" s="1499" t="str">
        <f>'#BerechnungDBE'!J79</f>
        <v/>
      </c>
      <c r="R84" s="1496" t="str">
        <f>'#BerechnungDBE'!K79</f>
        <v/>
      </c>
      <c r="S84" s="1325"/>
      <c r="T84" s="1486" t="str">
        <f>IF('#BerechnungDBE'!AB79=4,'#Boden'!$B$30,IF('#BerechnungDBE'!AB79=3,'#Boden'!$B$31,'#Boden'!$B$32))</f>
        <v xml:space="preserve">  -- </v>
      </c>
      <c r="U84" s="1326"/>
      <c r="V84" s="1327"/>
      <c r="W84" s="1328"/>
      <c r="X84" s="1142" t="str">
        <f>IF(AND(B84="",C84="",D84=""),"",IF('#BerechnungDBE'!DM79&gt;0,"KOPIE",IF(COUNT('#BerechnungDBE'!DO79:DR79)=0,"OK",TRIM(CONCATENATE('#BerechnungDBE'!DN79," ",'#BerechnungDBE'!DO79," ",'#BerechnungDBE'!DP79," ",'#BerechnungDBE'!DQ79," ",'#BerechnungDBE'!DR79)))))</f>
        <v/>
      </c>
      <c r="Y84" s="1143"/>
    </row>
    <row r="85" spans="1:25" s="130" customFormat="1" ht="15" customHeight="1" x14ac:dyDescent="0.2">
      <c r="A85" s="876">
        <v>76</v>
      </c>
      <c r="B85" s="1319" t="str">
        <f>IF('Daten aus 2021'!B82="","",'Daten aus 2021'!B82)</f>
        <v/>
      </c>
      <c r="C85" s="1487" t="str">
        <f>IF('Daten aus 2021'!C82="","",'Daten aus 2021'!C82)</f>
        <v/>
      </c>
      <c r="D85" s="1320" t="str">
        <f>IF('Daten aus 2021'!D82="","",'Daten aus 2021'!D82)</f>
        <v/>
      </c>
      <c r="E85" s="1321" t="s">
        <v>315</v>
      </c>
      <c r="F85" s="1322" t="str">
        <f>IF('Daten aus 2021'!E82="",IF(AND(D85&lt;1,D85&lt;&gt;""),'#Boden'!$G$6,'#Boden'!$G$4),'Daten aus 2021'!E82)</f>
        <v xml:space="preserve"> --</v>
      </c>
      <c r="G85" s="1319" t="str">
        <f>'#BerechnungDBE'!A80</f>
        <v xml:space="preserve"> --</v>
      </c>
      <c r="H85" s="1323" t="str">
        <f>IF('Daten aus 2021'!G82="",'#Boden'!$B$24,'Daten aus 2021'!G82)</f>
        <v>ja</v>
      </c>
      <c r="I85" s="1322" t="str">
        <f>'#BerechnungDBE'!B80</f>
        <v xml:space="preserve"> --         </v>
      </c>
      <c r="J85" s="1324" t="str">
        <f>'#BerechnungDBE'!F80</f>
        <v xml:space="preserve"> --  </v>
      </c>
      <c r="K85" s="1319" t="str">
        <f>IF(D85="","",IF('Daten aus 2021'!AA82="","",'Daten aus 2021'!AA82))</f>
        <v/>
      </c>
      <c r="L85" s="1321" t="s">
        <v>699</v>
      </c>
      <c r="M85" s="1325" t="s">
        <v>700</v>
      </c>
      <c r="N85" s="1325" t="s">
        <v>701</v>
      </c>
      <c r="O85" s="1325" t="str">
        <f>IF(L85="",'#Zweitfr'!$I$8,VLOOKUP(L85,Nebenkultur[[Nebenkultur]:[Legum. Zwischenfr.]],'#Zweitfr'!$I$1,FALSE))</f>
        <v/>
      </c>
      <c r="P85" s="1324" t="str">
        <f>IF('#BerechnungDBE'!M80=3,J85,'#Frucht'!$D$8)</f>
        <v xml:space="preserve"> --  </v>
      </c>
      <c r="Q85" s="1499" t="str">
        <f>'#BerechnungDBE'!J80</f>
        <v/>
      </c>
      <c r="R85" s="1496" t="str">
        <f>'#BerechnungDBE'!K80</f>
        <v/>
      </c>
      <c r="S85" s="1325"/>
      <c r="T85" s="1486" t="str">
        <f>IF('#BerechnungDBE'!AB80=4,'#Boden'!$B$30,IF('#BerechnungDBE'!AB80=3,'#Boden'!$B$31,'#Boden'!$B$32))</f>
        <v xml:space="preserve">  -- </v>
      </c>
      <c r="U85" s="1326"/>
      <c r="V85" s="1327"/>
      <c r="W85" s="1328"/>
      <c r="X85" s="1142" t="str">
        <f>IF(AND(B85="",C85="",D85=""),"",IF('#BerechnungDBE'!DM80&gt;0,"KOPIE",IF(COUNT('#BerechnungDBE'!DO80:DR80)=0,"OK",TRIM(CONCATENATE('#BerechnungDBE'!DN80," ",'#BerechnungDBE'!DO80," ",'#BerechnungDBE'!DP80," ",'#BerechnungDBE'!DQ80," ",'#BerechnungDBE'!DR80)))))</f>
        <v/>
      </c>
      <c r="Y85" s="1143"/>
    </row>
    <row r="86" spans="1:25" s="130" customFormat="1" ht="15" customHeight="1" x14ac:dyDescent="0.2">
      <c r="A86" s="876">
        <v>77</v>
      </c>
      <c r="B86" s="1319" t="str">
        <f>IF('Daten aus 2021'!B83="","",'Daten aus 2021'!B83)</f>
        <v/>
      </c>
      <c r="C86" s="1487" t="str">
        <f>IF('Daten aus 2021'!C83="","",'Daten aus 2021'!C83)</f>
        <v/>
      </c>
      <c r="D86" s="1320" t="str">
        <f>IF('Daten aus 2021'!D83="","",'Daten aus 2021'!D83)</f>
        <v/>
      </c>
      <c r="E86" s="1321" t="s">
        <v>315</v>
      </c>
      <c r="F86" s="1322" t="str">
        <f>IF('Daten aus 2021'!E83="",IF(AND(D86&lt;1,D86&lt;&gt;""),'#Boden'!$G$6,'#Boden'!$G$4),'Daten aus 2021'!E83)</f>
        <v xml:space="preserve"> --</v>
      </c>
      <c r="G86" s="1319" t="str">
        <f>'#BerechnungDBE'!A81</f>
        <v xml:space="preserve"> --</v>
      </c>
      <c r="H86" s="1323" t="str">
        <f>IF('Daten aus 2021'!G83="",'#Boden'!$B$24,'Daten aus 2021'!G83)</f>
        <v>ja</v>
      </c>
      <c r="I86" s="1322" t="str">
        <f>'#BerechnungDBE'!B81</f>
        <v xml:space="preserve"> --         </v>
      </c>
      <c r="J86" s="1324" t="str">
        <f>'#BerechnungDBE'!F81</f>
        <v xml:space="preserve"> --  </v>
      </c>
      <c r="K86" s="1319" t="str">
        <f>IF(D86="","",IF('Daten aus 2021'!AA83="","",'Daten aus 2021'!AA83))</f>
        <v/>
      </c>
      <c r="L86" s="1321" t="s">
        <v>699</v>
      </c>
      <c r="M86" s="1319" t="s">
        <v>700</v>
      </c>
      <c r="N86" s="1325" t="s">
        <v>701</v>
      </c>
      <c r="O86" s="1325" t="str">
        <f>IF(L86="",'#Zweitfr'!$I$8,VLOOKUP(L86,Nebenkultur[[Nebenkultur]:[Legum. Zwischenfr.]],'#Zweitfr'!$I$1,FALSE))</f>
        <v/>
      </c>
      <c r="P86" s="1324" t="str">
        <f>IF('#BerechnungDBE'!M81=3,J86,'#Frucht'!$D$8)</f>
        <v xml:space="preserve"> --  </v>
      </c>
      <c r="Q86" s="1499" t="str">
        <f>'#BerechnungDBE'!J81</f>
        <v/>
      </c>
      <c r="R86" s="1496" t="str">
        <f>'#BerechnungDBE'!K81</f>
        <v/>
      </c>
      <c r="S86" s="1325"/>
      <c r="T86" s="1486" t="str">
        <f>IF('#BerechnungDBE'!AB81=4,'#Boden'!$B$30,IF('#BerechnungDBE'!AB81=3,'#Boden'!$B$31,'#Boden'!$B$32))</f>
        <v xml:space="preserve">  -- </v>
      </c>
      <c r="U86" s="1326"/>
      <c r="V86" s="1327"/>
      <c r="W86" s="1328"/>
      <c r="X86" s="1142" t="str">
        <f>IF(AND(B86="",C86="",D86=""),"",IF('#BerechnungDBE'!DM81&gt;0,"KOPIE",IF(COUNT('#BerechnungDBE'!DO81:DR81)=0,"OK",TRIM(CONCATENATE('#BerechnungDBE'!DN81," ",'#BerechnungDBE'!DO81," ",'#BerechnungDBE'!DP81," ",'#BerechnungDBE'!DQ81," ",'#BerechnungDBE'!DR81)))))</f>
        <v/>
      </c>
      <c r="Y86" s="1143"/>
    </row>
    <row r="87" spans="1:25" s="130" customFormat="1" ht="15" customHeight="1" x14ac:dyDescent="0.2">
      <c r="A87" s="876">
        <v>78</v>
      </c>
      <c r="B87" s="1319" t="str">
        <f>IF('Daten aus 2021'!B84="","",'Daten aus 2021'!B84)</f>
        <v/>
      </c>
      <c r="C87" s="1487" t="str">
        <f>IF('Daten aus 2021'!C84="","",'Daten aus 2021'!C84)</f>
        <v/>
      </c>
      <c r="D87" s="1320" t="str">
        <f>IF('Daten aus 2021'!D84="","",'Daten aus 2021'!D84)</f>
        <v/>
      </c>
      <c r="E87" s="1321" t="s">
        <v>315</v>
      </c>
      <c r="F87" s="1322" t="str">
        <f>IF('Daten aus 2021'!E84="",IF(AND(D87&lt;1,D87&lt;&gt;""),'#Boden'!$G$6,'#Boden'!$G$4),'Daten aus 2021'!E84)</f>
        <v xml:space="preserve"> --</v>
      </c>
      <c r="G87" s="1319" t="str">
        <f>'#BerechnungDBE'!A82</f>
        <v xml:space="preserve"> --</v>
      </c>
      <c r="H87" s="1323" t="str">
        <f>IF('Daten aus 2021'!G84="",'#Boden'!$B$24,'Daten aus 2021'!G84)</f>
        <v>ja</v>
      </c>
      <c r="I87" s="1322" t="str">
        <f>'#BerechnungDBE'!B82</f>
        <v xml:space="preserve"> --         </v>
      </c>
      <c r="J87" s="1324" t="str">
        <f>'#BerechnungDBE'!F82</f>
        <v xml:space="preserve"> --  </v>
      </c>
      <c r="K87" s="1319" t="str">
        <f>IF(D87="","",IF('Daten aus 2021'!AA84="","",'Daten aus 2021'!AA84))</f>
        <v/>
      </c>
      <c r="L87" s="1321" t="s">
        <v>699</v>
      </c>
      <c r="M87" s="1325" t="s">
        <v>700</v>
      </c>
      <c r="N87" s="1325" t="s">
        <v>701</v>
      </c>
      <c r="O87" s="1325" t="str">
        <f>IF(L87="",'#Zweitfr'!$I$8,VLOOKUP(L87,Nebenkultur[[Nebenkultur]:[Legum. Zwischenfr.]],'#Zweitfr'!$I$1,FALSE))</f>
        <v/>
      </c>
      <c r="P87" s="1324" t="str">
        <f>IF('#BerechnungDBE'!M82=3,J87,'#Frucht'!$D$8)</f>
        <v xml:space="preserve"> --  </v>
      </c>
      <c r="Q87" s="1499" t="str">
        <f>'#BerechnungDBE'!J82</f>
        <v/>
      </c>
      <c r="R87" s="1496" t="str">
        <f>'#BerechnungDBE'!K82</f>
        <v/>
      </c>
      <c r="S87" s="1325"/>
      <c r="T87" s="1486" t="str">
        <f>IF('#BerechnungDBE'!AB82=4,'#Boden'!$B$30,IF('#BerechnungDBE'!AB82=3,'#Boden'!$B$31,'#Boden'!$B$32))</f>
        <v xml:space="preserve">  -- </v>
      </c>
      <c r="U87" s="1326"/>
      <c r="V87" s="1327"/>
      <c r="W87" s="1328"/>
      <c r="X87" s="1142" t="str">
        <f>IF(AND(B87="",C87="",D87=""),"",IF('#BerechnungDBE'!DM82&gt;0,"KOPIE",IF(COUNT('#BerechnungDBE'!DO82:DR82)=0,"OK",TRIM(CONCATENATE('#BerechnungDBE'!DN82," ",'#BerechnungDBE'!DO82," ",'#BerechnungDBE'!DP82," ",'#BerechnungDBE'!DQ82," ",'#BerechnungDBE'!DR82)))))</f>
        <v/>
      </c>
      <c r="Y87" s="1143"/>
    </row>
    <row r="88" spans="1:25" s="130" customFormat="1" ht="15" customHeight="1" x14ac:dyDescent="0.2">
      <c r="A88" s="876">
        <v>79</v>
      </c>
      <c r="B88" s="1319" t="str">
        <f>IF('Daten aus 2021'!B85="","",'Daten aus 2021'!B85)</f>
        <v/>
      </c>
      <c r="C88" s="1487" t="str">
        <f>IF('Daten aus 2021'!C85="","",'Daten aus 2021'!C85)</f>
        <v/>
      </c>
      <c r="D88" s="1320" t="str">
        <f>IF('Daten aus 2021'!D85="","",'Daten aus 2021'!D85)</f>
        <v/>
      </c>
      <c r="E88" s="1321" t="s">
        <v>315</v>
      </c>
      <c r="F88" s="1322" t="str">
        <f>IF('Daten aus 2021'!E85="",IF(AND(D88&lt;1,D88&lt;&gt;""),'#Boden'!$G$6,'#Boden'!$G$4),'Daten aus 2021'!E85)</f>
        <v xml:space="preserve"> --</v>
      </c>
      <c r="G88" s="1319" t="str">
        <f>'#BerechnungDBE'!A83</f>
        <v xml:space="preserve"> --</v>
      </c>
      <c r="H88" s="1323" t="str">
        <f>IF('Daten aus 2021'!G85="",'#Boden'!$B$24,'Daten aus 2021'!G85)</f>
        <v>ja</v>
      </c>
      <c r="I88" s="1322" t="str">
        <f>'#BerechnungDBE'!B83</f>
        <v xml:space="preserve"> --         </v>
      </c>
      <c r="J88" s="1324" t="str">
        <f>'#BerechnungDBE'!F83</f>
        <v xml:space="preserve"> --  </v>
      </c>
      <c r="K88" s="1319" t="str">
        <f>IF(D88="","",IF('Daten aus 2021'!AA85="","",'Daten aus 2021'!AA85))</f>
        <v/>
      </c>
      <c r="L88" s="1321" t="s">
        <v>699</v>
      </c>
      <c r="M88" s="1319" t="s">
        <v>700</v>
      </c>
      <c r="N88" s="1325" t="s">
        <v>701</v>
      </c>
      <c r="O88" s="1325" t="str">
        <f>IF(L88="",'#Zweitfr'!$I$8,VLOOKUP(L88,Nebenkultur[[Nebenkultur]:[Legum. Zwischenfr.]],'#Zweitfr'!$I$1,FALSE))</f>
        <v/>
      </c>
      <c r="P88" s="1324" t="str">
        <f>IF('#BerechnungDBE'!M83=3,J88,'#Frucht'!$D$8)</f>
        <v xml:space="preserve"> --  </v>
      </c>
      <c r="Q88" s="1499" t="str">
        <f>'#BerechnungDBE'!J83</f>
        <v/>
      </c>
      <c r="R88" s="1496" t="str">
        <f>'#BerechnungDBE'!K83</f>
        <v/>
      </c>
      <c r="S88" s="1325"/>
      <c r="T88" s="1486" t="str">
        <f>IF('#BerechnungDBE'!AB83=4,'#Boden'!$B$30,IF('#BerechnungDBE'!AB83=3,'#Boden'!$B$31,'#Boden'!$B$32))</f>
        <v xml:space="preserve">  -- </v>
      </c>
      <c r="U88" s="1326"/>
      <c r="V88" s="1327"/>
      <c r="W88" s="1328"/>
      <c r="X88" s="1142" t="str">
        <f>IF(AND(B88="",C88="",D88=""),"",IF('#BerechnungDBE'!DM83&gt;0,"KOPIE",IF(COUNT('#BerechnungDBE'!DO83:DR83)=0,"OK",TRIM(CONCATENATE('#BerechnungDBE'!DN83," ",'#BerechnungDBE'!DO83," ",'#BerechnungDBE'!DP83," ",'#BerechnungDBE'!DQ83," ",'#BerechnungDBE'!DR83)))))</f>
        <v/>
      </c>
      <c r="Y88" s="1143"/>
    </row>
    <row r="89" spans="1:25" s="130" customFormat="1" ht="15" customHeight="1" x14ac:dyDescent="0.2">
      <c r="A89" s="876">
        <v>80</v>
      </c>
      <c r="B89" s="1319" t="str">
        <f>IF('Daten aus 2021'!B86="","",'Daten aus 2021'!B86)</f>
        <v/>
      </c>
      <c r="C89" s="1487" t="str">
        <f>IF('Daten aus 2021'!C86="","",'Daten aus 2021'!C86)</f>
        <v/>
      </c>
      <c r="D89" s="1320" t="str">
        <f>IF('Daten aus 2021'!D86="","",'Daten aus 2021'!D86)</f>
        <v/>
      </c>
      <c r="E89" s="1321" t="s">
        <v>315</v>
      </c>
      <c r="F89" s="1322" t="str">
        <f>IF('Daten aus 2021'!E86="",IF(AND(D89&lt;1,D89&lt;&gt;""),'#Boden'!$G$6,'#Boden'!$G$4),'Daten aus 2021'!E86)</f>
        <v xml:space="preserve"> --</v>
      </c>
      <c r="G89" s="1319" t="str">
        <f>'#BerechnungDBE'!A84</f>
        <v xml:space="preserve"> --</v>
      </c>
      <c r="H89" s="1323" t="str">
        <f>IF('Daten aus 2021'!G86="",'#Boden'!$B$24,'Daten aus 2021'!G86)</f>
        <v>ja</v>
      </c>
      <c r="I89" s="1322" t="str">
        <f>'#BerechnungDBE'!B84</f>
        <v xml:space="preserve"> --         </v>
      </c>
      <c r="J89" s="1324" t="str">
        <f>'#BerechnungDBE'!F84</f>
        <v xml:space="preserve"> --  </v>
      </c>
      <c r="K89" s="1319" t="str">
        <f>IF(D89="","",IF('Daten aus 2021'!AA86="","",'Daten aus 2021'!AA86))</f>
        <v/>
      </c>
      <c r="L89" s="1321" t="s">
        <v>699</v>
      </c>
      <c r="M89" s="1325" t="s">
        <v>700</v>
      </c>
      <c r="N89" s="1325" t="s">
        <v>701</v>
      </c>
      <c r="O89" s="1325" t="str">
        <f>IF(L89="",'#Zweitfr'!$I$8,VLOOKUP(L89,Nebenkultur[[Nebenkultur]:[Legum. Zwischenfr.]],'#Zweitfr'!$I$1,FALSE))</f>
        <v/>
      </c>
      <c r="P89" s="1324" t="str">
        <f>IF('#BerechnungDBE'!M84=3,J89,'#Frucht'!$D$8)</f>
        <v xml:space="preserve"> --  </v>
      </c>
      <c r="Q89" s="1499" t="str">
        <f>'#BerechnungDBE'!J84</f>
        <v/>
      </c>
      <c r="R89" s="1496" t="str">
        <f>'#BerechnungDBE'!K84</f>
        <v/>
      </c>
      <c r="S89" s="1325"/>
      <c r="T89" s="1486" t="str">
        <f>IF('#BerechnungDBE'!AB84=4,'#Boden'!$B$30,IF('#BerechnungDBE'!AB84=3,'#Boden'!$B$31,'#Boden'!$B$32))</f>
        <v xml:space="preserve">  -- </v>
      </c>
      <c r="U89" s="1326"/>
      <c r="V89" s="1327"/>
      <c r="W89" s="1328"/>
      <c r="X89" s="1142" t="str">
        <f>IF(AND(B89="",C89="",D89=""),"",IF('#BerechnungDBE'!DM84&gt;0,"KOPIE",IF(COUNT('#BerechnungDBE'!DO84:DR84)=0,"OK",TRIM(CONCATENATE('#BerechnungDBE'!DN84," ",'#BerechnungDBE'!DO84," ",'#BerechnungDBE'!DP84," ",'#BerechnungDBE'!DQ84," ",'#BerechnungDBE'!DR84)))))</f>
        <v/>
      </c>
      <c r="Y89" s="1143"/>
    </row>
    <row r="90" spans="1:25" s="130" customFormat="1" ht="15" customHeight="1" x14ac:dyDescent="0.2">
      <c r="A90" s="876">
        <v>81</v>
      </c>
      <c r="B90" s="1319" t="str">
        <f>IF('Daten aus 2021'!B87="","",'Daten aus 2021'!B87)</f>
        <v/>
      </c>
      <c r="C90" s="1487" t="str">
        <f>IF('Daten aus 2021'!C87="","",'Daten aus 2021'!C87)</f>
        <v/>
      </c>
      <c r="D90" s="1320" t="str">
        <f>IF('Daten aus 2021'!D87="","",'Daten aus 2021'!D87)</f>
        <v/>
      </c>
      <c r="E90" s="1321" t="s">
        <v>315</v>
      </c>
      <c r="F90" s="1322" t="str">
        <f>IF('Daten aus 2021'!E87="",IF(AND(D90&lt;1,D90&lt;&gt;""),'#Boden'!$G$6,'#Boden'!$G$4),'Daten aus 2021'!E87)</f>
        <v xml:space="preserve"> --</v>
      </c>
      <c r="G90" s="1319" t="str">
        <f>'#BerechnungDBE'!A85</f>
        <v xml:space="preserve"> --</v>
      </c>
      <c r="H90" s="1323" t="str">
        <f>IF('Daten aus 2021'!G87="",'#Boden'!$B$24,'Daten aus 2021'!G87)</f>
        <v>ja</v>
      </c>
      <c r="I90" s="1322" t="str">
        <f>'#BerechnungDBE'!B85</f>
        <v xml:space="preserve"> --         </v>
      </c>
      <c r="J90" s="1324" t="str">
        <f>'#BerechnungDBE'!F85</f>
        <v xml:space="preserve"> --  </v>
      </c>
      <c r="K90" s="1319" t="str">
        <f>IF(D90="","",IF('Daten aus 2021'!AA87="","",'Daten aus 2021'!AA87))</f>
        <v/>
      </c>
      <c r="L90" s="1321" t="s">
        <v>699</v>
      </c>
      <c r="M90" s="1319" t="s">
        <v>700</v>
      </c>
      <c r="N90" s="1325" t="s">
        <v>701</v>
      </c>
      <c r="O90" s="1325" t="str">
        <f>IF(L90="",'#Zweitfr'!$I$8,VLOOKUP(L90,Nebenkultur[[Nebenkultur]:[Legum. Zwischenfr.]],'#Zweitfr'!$I$1,FALSE))</f>
        <v/>
      </c>
      <c r="P90" s="1324" t="str">
        <f>IF('#BerechnungDBE'!M85=3,J90,'#Frucht'!$D$8)</f>
        <v xml:space="preserve"> --  </v>
      </c>
      <c r="Q90" s="1499" t="str">
        <f>'#BerechnungDBE'!J85</f>
        <v/>
      </c>
      <c r="R90" s="1496" t="str">
        <f>'#BerechnungDBE'!K85</f>
        <v/>
      </c>
      <c r="S90" s="1325"/>
      <c r="T90" s="1486" t="str">
        <f>IF('#BerechnungDBE'!AB85=4,'#Boden'!$B$30,IF('#BerechnungDBE'!AB85=3,'#Boden'!$B$31,'#Boden'!$B$32))</f>
        <v xml:space="preserve">  -- </v>
      </c>
      <c r="U90" s="1326"/>
      <c r="V90" s="1327"/>
      <c r="W90" s="1328"/>
      <c r="X90" s="1142" t="str">
        <f>IF(AND(B90="",C90="",D90=""),"",IF('#BerechnungDBE'!DM85&gt;0,"KOPIE",IF(COUNT('#BerechnungDBE'!DO85:DR85)=0,"OK",TRIM(CONCATENATE('#BerechnungDBE'!DN85," ",'#BerechnungDBE'!DO85," ",'#BerechnungDBE'!DP85," ",'#BerechnungDBE'!DQ85," ",'#BerechnungDBE'!DR85)))))</f>
        <v/>
      </c>
      <c r="Y90" s="1143"/>
    </row>
    <row r="91" spans="1:25" s="130" customFormat="1" ht="15" customHeight="1" x14ac:dyDescent="0.2">
      <c r="A91" s="876">
        <v>82</v>
      </c>
      <c r="B91" s="1319" t="str">
        <f>IF('Daten aus 2021'!B88="","",'Daten aus 2021'!B88)</f>
        <v/>
      </c>
      <c r="C91" s="1487" t="str">
        <f>IF('Daten aus 2021'!C88="","",'Daten aus 2021'!C88)</f>
        <v/>
      </c>
      <c r="D91" s="1320" t="str">
        <f>IF('Daten aus 2021'!D88="","",'Daten aus 2021'!D88)</f>
        <v/>
      </c>
      <c r="E91" s="1321" t="s">
        <v>315</v>
      </c>
      <c r="F91" s="1322" t="str">
        <f>IF('Daten aus 2021'!E88="",IF(AND(D91&lt;1,D91&lt;&gt;""),'#Boden'!$G$6,'#Boden'!$G$4),'Daten aus 2021'!E88)</f>
        <v xml:space="preserve"> --</v>
      </c>
      <c r="G91" s="1319" t="str">
        <f>'#BerechnungDBE'!A86</f>
        <v xml:space="preserve"> --</v>
      </c>
      <c r="H91" s="1323" t="str">
        <f>IF('Daten aus 2021'!G88="",'#Boden'!$B$24,'Daten aus 2021'!G88)</f>
        <v>ja</v>
      </c>
      <c r="I91" s="1322" t="str">
        <f>'#BerechnungDBE'!B86</f>
        <v xml:space="preserve"> --         </v>
      </c>
      <c r="J91" s="1324" t="str">
        <f>'#BerechnungDBE'!F86</f>
        <v xml:space="preserve"> --  </v>
      </c>
      <c r="K91" s="1319" t="str">
        <f>IF(D91="","",IF('Daten aus 2021'!AA88="","",'Daten aus 2021'!AA88))</f>
        <v/>
      </c>
      <c r="L91" s="1321" t="s">
        <v>699</v>
      </c>
      <c r="M91" s="1325" t="s">
        <v>700</v>
      </c>
      <c r="N91" s="1325" t="s">
        <v>701</v>
      </c>
      <c r="O91" s="1325" t="str">
        <f>IF(L91="",'#Zweitfr'!$I$8,VLOOKUP(L91,Nebenkultur[[Nebenkultur]:[Legum. Zwischenfr.]],'#Zweitfr'!$I$1,FALSE))</f>
        <v/>
      </c>
      <c r="P91" s="1324" t="str">
        <f>IF('#BerechnungDBE'!M86=3,J91,'#Frucht'!$D$8)</f>
        <v xml:space="preserve"> --  </v>
      </c>
      <c r="Q91" s="1499" t="str">
        <f>'#BerechnungDBE'!J86</f>
        <v/>
      </c>
      <c r="R91" s="1496" t="str">
        <f>'#BerechnungDBE'!K86</f>
        <v/>
      </c>
      <c r="S91" s="1325"/>
      <c r="T91" s="1486" t="str">
        <f>IF('#BerechnungDBE'!AB86=4,'#Boden'!$B$30,IF('#BerechnungDBE'!AB86=3,'#Boden'!$B$31,'#Boden'!$B$32))</f>
        <v xml:space="preserve">  -- </v>
      </c>
      <c r="U91" s="1326"/>
      <c r="V91" s="1327"/>
      <c r="W91" s="1328"/>
      <c r="X91" s="1142" t="str">
        <f>IF(AND(B91="",C91="",D91=""),"",IF('#BerechnungDBE'!DM86&gt;0,"KOPIE",IF(COUNT('#BerechnungDBE'!DO86:DR86)=0,"OK",TRIM(CONCATENATE('#BerechnungDBE'!DN86," ",'#BerechnungDBE'!DO86," ",'#BerechnungDBE'!DP86," ",'#BerechnungDBE'!DQ86," ",'#BerechnungDBE'!DR86)))))</f>
        <v/>
      </c>
      <c r="Y91" s="1143"/>
    </row>
    <row r="92" spans="1:25" s="130" customFormat="1" ht="15" customHeight="1" x14ac:dyDescent="0.2">
      <c r="A92" s="876">
        <v>83</v>
      </c>
      <c r="B92" s="1319" t="str">
        <f>IF('Daten aus 2021'!B89="","",'Daten aus 2021'!B89)</f>
        <v/>
      </c>
      <c r="C92" s="1487" t="str">
        <f>IF('Daten aus 2021'!C89="","",'Daten aus 2021'!C89)</f>
        <v/>
      </c>
      <c r="D92" s="1320" t="str">
        <f>IF('Daten aus 2021'!D89="","",'Daten aus 2021'!D89)</f>
        <v/>
      </c>
      <c r="E92" s="1321" t="s">
        <v>315</v>
      </c>
      <c r="F92" s="1322" t="str">
        <f>IF('Daten aus 2021'!E89="",IF(AND(D92&lt;1,D92&lt;&gt;""),'#Boden'!$G$6,'#Boden'!$G$4),'Daten aus 2021'!E89)</f>
        <v xml:space="preserve"> --</v>
      </c>
      <c r="G92" s="1319" t="str">
        <f>'#BerechnungDBE'!A87</f>
        <v xml:space="preserve"> --</v>
      </c>
      <c r="H92" s="1323" t="str">
        <f>IF('Daten aus 2021'!G89="",'#Boden'!$B$24,'Daten aus 2021'!G89)</f>
        <v>ja</v>
      </c>
      <c r="I92" s="1322" t="str">
        <f>'#BerechnungDBE'!B87</f>
        <v xml:space="preserve"> --         </v>
      </c>
      <c r="J92" s="1324" t="str">
        <f>'#BerechnungDBE'!F87</f>
        <v xml:space="preserve"> --  </v>
      </c>
      <c r="K92" s="1319" t="str">
        <f>IF(D92="","",IF('Daten aus 2021'!AA89="","",'Daten aus 2021'!AA89))</f>
        <v/>
      </c>
      <c r="L92" s="1321" t="s">
        <v>699</v>
      </c>
      <c r="M92" s="1319" t="s">
        <v>700</v>
      </c>
      <c r="N92" s="1325" t="s">
        <v>701</v>
      </c>
      <c r="O92" s="1325" t="str">
        <f>IF(L92="",'#Zweitfr'!$I$8,VLOOKUP(L92,Nebenkultur[[Nebenkultur]:[Legum. Zwischenfr.]],'#Zweitfr'!$I$1,FALSE))</f>
        <v/>
      </c>
      <c r="P92" s="1324" t="str">
        <f>IF('#BerechnungDBE'!M87=3,J92,'#Frucht'!$D$8)</f>
        <v xml:space="preserve"> --  </v>
      </c>
      <c r="Q92" s="1499" t="str">
        <f>'#BerechnungDBE'!J87</f>
        <v/>
      </c>
      <c r="R92" s="1496" t="str">
        <f>'#BerechnungDBE'!K87</f>
        <v/>
      </c>
      <c r="S92" s="1325"/>
      <c r="T92" s="1486" t="str">
        <f>IF('#BerechnungDBE'!AB87=4,'#Boden'!$B$30,IF('#BerechnungDBE'!AB87=3,'#Boden'!$B$31,'#Boden'!$B$32))</f>
        <v xml:space="preserve">  -- </v>
      </c>
      <c r="U92" s="1326"/>
      <c r="V92" s="1327"/>
      <c r="W92" s="1328"/>
      <c r="X92" s="1142" t="str">
        <f>IF(AND(B92="",C92="",D92=""),"",IF('#BerechnungDBE'!DM87&gt;0,"KOPIE",IF(COUNT('#BerechnungDBE'!DO87:DR87)=0,"OK",TRIM(CONCATENATE('#BerechnungDBE'!DN87," ",'#BerechnungDBE'!DO87," ",'#BerechnungDBE'!DP87," ",'#BerechnungDBE'!DQ87," ",'#BerechnungDBE'!DR87)))))</f>
        <v/>
      </c>
      <c r="Y92" s="1143"/>
    </row>
    <row r="93" spans="1:25" s="130" customFormat="1" ht="15" customHeight="1" x14ac:dyDescent="0.2">
      <c r="A93" s="876">
        <v>84</v>
      </c>
      <c r="B93" s="1319" t="str">
        <f>IF('Daten aus 2021'!B90="","",'Daten aus 2021'!B90)</f>
        <v/>
      </c>
      <c r="C93" s="1487" t="str">
        <f>IF('Daten aus 2021'!C90="","",'Daten aus 2021'!C90)</f>
        <v/>
      </c>
      <c r="D93" s="1320" t="str">
        <f>IF('Daten aus 2021'!D90="","",'Daten aus 2021'!D90)</f>
        <v/>
      </c>
      <c r="E93" s="1321" t="s">
        <v>315</v>
      </c>
      <c r="F93" s="1322" t="str">
        <f>IF('Daten aus 2021'!E90="",IF(AND(D93&lt;1,D93&lt;&gt;""),'#Boden'!$G$6,'#Boden'!$G$4),'Daten aus 2021'!E90)</f>
        <v xml:space="preserve"> --</v>
      </c>
      <c r="G93" s="1319" t="str">
        <f>'#BerechnungDBE'!A88</f>
        <v xml:space="preserve"> --</v>
      </c>
      <c r="H93" s="1323" t="str">
        <f>IF('Daten aus 2021'!G90="",'#Boden'!$B$24,'Daten aus 2021'!G90)</f>
        <v>ja</v>
      </c>
      <c r="I93" s="1322" t="str">
        <f>'#BerechnungDBE'!B88</f>
        <v xml:space="preserve"> --         </v>
      </c>
      <c r="J93" s="1324" t="str">
        <f>'#BerechnungDBE'!F88</f>
        <v xml:space="preserve"> --  </v>
      </c>
      <c r="K93" s="1319" t="str">
        <f>IF(D93="","",IF('Daten aus 2021'!AA90="","",'Daten aus 2021'!AA90))</f>
        <v/>
      </c>
      <c r="L93" s="1321" t="s">
        <v>699</v>
      </c>
      <c r="M93" s="1325" t="s">
        <v>700</v>
      </c>
      <c r="N93" s="1325" t="s">
        <v>701</v>
      </c>
      <c r="O93" s="1325" t="str">
        <f>IF(L93="",'#Zweitfr'!$I$8,VLOOKUP(L93,Nebenkultur[[Nebenkultur]:[Legum. Zwischenfr.]],'#Zweitfr'!$I$1,FALSE))</f>
        <v/>
      </c>
      <c r="P93" s="1324" t="str">
        <f>IF('#BerechnungDBE'!M88=3,J93,'#Frucht'!$D$8)</f>
        <v xml:space="preserve"> --  </v>
      </c>
      <c r="Q93" s="1499" t="str">
        <f>'#BerechnungDBE'!J88</f>
        <v/>
      </c>
      <c r="R93" s="1496" t="str">
        <f>'#BerechnungDBE'!K88</f>
        <v/>
      </c>
      <c r="S93" s="1325"/>
      <c r="T93" s="1486" t="str">
        <f>IF('#BerechnungDBE'!AB88=4,'#Boden'!$B$30,IF('#BerechnungDBE'!AB88=3,'#Boden'!$B$31,'#Boden'!$B$32))</f>
        <v xml:space="preserve">  -- </v>
      </c>
      <c r="U93" s="1326"/>
      <c r="V93" s="1327"/>
      <c r="W93" s="1328"/>
      <c r="X93" s="1142" t="str">
        <f>IF(AND(B93="",C93="",D93=""),"",IF('#BerechnungDBE'!DM88&gt;0,"KOPIE",IF(COUNT('#BerechnungDBE'!DO88:DR88)=0,"OK",TRIM(CONCATENATE('#BerechnungDBE'!DN88," ",'#BerechnungDBE'!DO88," ",'#BerechnungDBE'!DP88," ",'#BerechnungDBE'!DQ88," ",'#BerechnungDBE'!DR88)))))</f>
        <v/>
      </c>
      <c r="Y93" s="1143"/>
    </row>
    <row r="94" spans="1:25" s="130" customFormat="1" ht="15" customHeight="1" x14ac:dyDescent="0.2">
      <c r="A94" s="876">
        <v>85</v>
      </c>
      <c r="B94" s="1319" t="str">
        <f>IF('Daten aus 2021'!B91="","",'Daten aus 2021'!B91)</f>
        <v/>
      </c>
      <c r="C94" s="1487" t="str">
        <f>IF('Daten aus 2021'!C91="","",'Daten aus 2021'!C91)</f>
        <v/>
      </c>
      <c r="D94" s="1320" t="str">
        <f>IF('Daten aus 2021'!D91="","",'Daten aus 2021'!D91)</f>
        <v/>
      </c>
      <c r="E94" s="1321" t="s">
        <v>315</v>
      </c>
      <c r="F94" s="1322" t="str">
        <f>IF('Daten aus 2021'!E91="",IF(AND(D94&lt;1,D94&lt;&gt;""),'#Boden'!$G$6,'#Boden'!$G$4),'Daten aus 2021'!E91)</f>
        <v xml:space="preserve"> --</v>
      </c>
      <c r="G94" s="1319" t="str">
        <f>'#BerechnungDBE'!A89</f>
        <v xml:space="preserve"> --</v>
      </c>
      <c r="H94" s="1323" t="str">
        <f>IF('Daten aus 2021'!G91="",'#Boden'!$B$24,'Daten aus 2021'!G91)</f>
        <v>ja</v>
      </c>
      <c r="I94" s="1322" t="str">
        <f>'#BerechnungDBE'!B89</f>
        <v xml:space="preserve"> --         </v>
      </c>
      <c r="J94" s="1324" t="str">
        <f>'#BerechnungDBE'!F89</f>
        <v xml:space="preserve"> --  </v>
      </c>
      <c r="K94" s="1319" t="str">
        <f>IF(D94="","",IF('Daten aus 2021'!AA91="","",'Daten aus 2021'!AA91))</f>
        <v/>
      </c>
      <c r="L94" s="1321" t="s">
        <v>699</v>
      </c>
      <c r="M94" s="1319" t="s">
        <v>700</v>
      </c>
      <c r="N94" s="1325" t="s">
        <v>701</v>
      </c>
      <c r="O94" s="1325" t="str">
        <f>IF(L94="",'#Zweitfr'!$I$8,VLOOKUP(L94,Nebenkultur[[Nebenkultur]:[Legum. Zwischenfr.]],'#Zweitfr'!$I$1,FALSE))</f>
        <v/>
      </c>
      <c r="P94" s="1324" t="str">
        <f>IF('#BerechnungDBE'!M89=3,J94,'#Frucht'!$D$8)</f>
        <v xml:space="preserve"> --  </v>
      </c>
      <c r="Q94" s="1499" t="str">
        <f>'#BerechnungDBE'!J89</f>
        <v/>
      </c>
      <c r="R94" s="1496" t="str">
        <f>'#BerechnungDBE'!K89</f>
        <v/>
      </c>
      <c r="S94" s="1325"/>
      <c r="T94" s="1486" t="str">
        <f>IF('#BerechnungDBE'!AB89=4,'#Boden'!$B$30,IF('#BerechnungDBE'!AB89=3,'#Boden'!$B$31,'#Boden'!$B$32))</f>
        <v xml:space="preserve">  -- </v>
      </c>
      <c r="U94" s="1326"/>
      <c r="V94" s="1327"/>
      <c r="W94" s="1328"/>
      <c r="X94" s="1142" t="str">
        <f>IF(AND(B94="",C94="",D94=""),"",IF('#BerechnungDBE'!DM89&gt;0,"KOPIE",IF(COUNT('#BerechnungDBE'!DO89:DR89)=0,"OK",TRIM(CONCATENATE('#BerechnungDBE'!DN89," ",'#BerechnungDBE'!DO89," ",'#BerechnungDBE'!DP89," ",'#BerechnungDBE'!DQ89," ",'#BerechnungDBE'!DR89)))))</f>
        <v/>
      </c>
      <c r="Y94" s="1143"/>
    </row>
    <row r="95" spans="1:25" s="130" customFormat="1" ht="15" customHeight="1" x14ac:dyDescent="0.2">
      <c r="A95" s="876">
        <v>86</v>
      </c>
      <c r="B95" s="1319" t="str">
        <f>IF('Daten aus 2021'!B92="","",'Daten aus 2021'!B92)</f>
        <v/>
      </c>
      <c r="C95" s="1487" t="str">
        <f>IF('Daten aus 2021'!C92="","",'Daten aus 2021'!C92)</f>
        <v/>
      </c>
      <c r="D95" s="1320" t="str">
        <f>IF('Daten aus 2021'!D92="","",'Daten aus 2021'!D92)</f>
        <v/>
      </c>
      <c r="E95" s="1321" t="s">
        <v>315</v>
      </c>
      <c r="F95" s="1322" t="str">
        <f>IF('Daten aus 2021'!E92="",IF(AND(D95&lt;1,D95&lt;&gt;""),'#Boden'!$G$6,'#Boden'!$G$4),'Daten aus 2021'!E92)</f>
        <v xml:space="preserve"> --</v>
      </c>
      <c r="G95" s="1319" t="str">
        <f>'#BerechnungDBE'!A90</f>
        <v xml:space="preserve"> --</v>
      </c>
      <c r="H95" s="1323" t="str">
        <f>IF('Daten aus 2021'!G92="",'#Boden'!$B$24,'Daten aus 2021'!G92)</f>
        <v>ja</v>
      </c>
      <c r="I95" s="1322" t="str">
        <f>'#BerechnungDBE'!B90</f>
        <v xml:space="preserve"> --         </v>
      </c>
      <c r="J95" s="1324" t="str">
        <f>'#BerechnungDBE'!F90</f>
        <v xml:space="preserve"> --  </v>
      </c>
      <c r="K95" s="1319" t="str">
        <f>IF(D95="","",IF('Daten aus 2021'!AA92="","",'Daten aus 2021'!AA92))</f>
        <v/>
      </c>
      <c r="L95" s="1321" t="s">
        <v>699</v>
      </c>
      <c r="M95" s="1325" t="s">
        <v>700</v>
      </c>
      <c r="N95" s="1325" t="s">
        <v>701</v>
      </c>
      <c r="O95" s="1325" t="str">
        <f>IF(L95="",'#Zweitfr'!$I$8,VLOOKUP(L95,Nebenkultur[[Nebenkultur]:[Legum. Zwischenfr.]],'#Zweitfr'!$I$1,FALSE))</f>
        <v/>
      </c>
      <c r="P95" s="1324" t="str">
        <f>IF('#BerechnungDBE'!M90=3,J95,'#Frucht'!$D$8)</f>
        <v xml:space="preserve"> --  </v>
      </c>
      <c r="Q95" s="1499" t="str">
        <f>'#BerechnungDBE'!J90</f>
        <v/>
      </c>
      <c r="R95" s="1496" t="str">
        <f>'#BerechnungDBE'!K90</f>
        <v/>
      </c>
      <c r="S95" s="1325"/>
      <c r="T95" s="1486" t="str">
        <f>IF('#BerechnungDBE'!AB90=4,'#Boden'!$B$30,IF('#BerechnungDBE'!AB90=3,'#Boden'!$B$31,'#Boden'!$B$32))</f>
        <v xml:space="preserve">  -- </v>
      </c>
      <c r="U95" s="1326"/>
      <c r="V95" s="1327"/>
      <c r="W95" s="1328"/>
      <c r="X95" s="1142" t="str">
        <f>IF(AND(B95="",C95="",D95=""),"",IF('#BerechnungDBE'!DM90&gt;0,"KOPIE",IF(COUNT('#BerechnungDBE'!DO90:DR90)=0,"OK",TRIM(CONCATENATE('#BerechnungDBE'!DN90," ",'#BerechnungDBE'!DO90," ",'#BerechnungDBE'!DP90," ",'#BerechnungDBE'!DQ90," ",'#BerechnungDBE'!DR90)))))</f>
        <v/>
      </c>
      <c r="Y95" s="1143"/>
    </row>
    <row r="96" spans="1:25" s="130" customFormat="1" ht="15" customHeight="1" x14ac:dyDescent="0.2">
      <c r="A96" s="876">
        <v>87</v>
      </c>
      <c r="B96" s="1319" t="str">
        <f>IF('Daten aus 2021'!B93="","",'Daten aus 2021'!B93)</f>
        <v/>
      </c>
      <c r="C96" s="1487" t="str">
        <f>IF('Daten aus 2021'!C93="","",'Daten aus 2021'!C93)</f>
        <v/>
      </c>
      <c r="D96" s="1320" t="str">
        <f>IF('Daten aus 2021'!D93="","",'Daten aus 2021'!D93)</f>
        <v/>
      </c>
      <c r="E96" s="1321" t="s">
        <v>315</v>
      </c>
      <c r="F96" s="1322" t="str">
        <f>IF('Daten aus 2021'!E93="",IF(AND(D96&lt;1,D96&lt;&gt;""),'#Boden'!$G$6,'#Boden'!$G$4),'Daten aus 2021'!E93)</f>
        <v xml:space="preserve"> --</v>
      </c>
      <c r="G96" s="1319" t="str">
        <f>'#BerechnungDBE'!A91</f>
        <v xml:space="preserve"> --</v>
      </c>
      <c r="H96" s="1323" t="str">
        <f>IF('Daten aus 2021'!G93="",'#Boden'!$B$24,'Daten aus 2021'!G93)</f>
        <v>ja</v>
      </c>
      <c r="I96" s="1322" t="str">
        <f>'#BerechnungDBE'!B91</f>
        <v xml:space="preserve"> --         </v>
      </c>
      <c r="J96" s="1324" t="str">
        <f>'#BerechnungDBE'!F91</f>
        <v xml:space="preserve"> --  </v>
      </c>
      <c r="K96" s="1319" t="str">
        <f>IF(D96="","",IF('Daten aus 2021'!AA93="","",'Daten aus 2021'!AA93))</f>
        <v/>
      </c>
      <c r="L96" s="1321" t="s">
        <v>699</v>
      </c>
      <c r="M96" s="1319" t="s">
        <v>700</v>
      </c>
      <c r="N96" s="1325" t="s">
        <v>701</v>
      </c>
      <c r="O96" s="1325" t="str">
        <f>IF(L96="",'#Zweitfr'!$I$8,VLOOKUP(L96,Nebenkultur[[Nebenkultur]:[Legum. Zwischenfr.]],'#Zweitfr'!$I$1,FALSE))</f>
        <v/>
      </c>
      <c r="P96" s="1324" t="str">
        <f>IF('#BerechnungDBE'!M91=3,J96,'#Frucht'!$D$8)</f>
        <v xml:space="preserve"> --  </v>
      </c>
      <c r="Q96" s="1499" t="str">
        <f>'#BerechnungDBE'!J91</f>
        <v/>
      </c>
      <c r="R96" s="1496" t="str">
        <f>'#BerechnungDBE'!K91</f>
        <v/>
      </c>
      <c r="S96" s="1325"/>
      <c r="T96" s="1486" t="str">
        <f>IF('#BerechnungDBE'!AB91=4,'#Boden'!$B$30,IF('#BerechnungDBE'!AB91=3,'#Boden'!$B$31,'#Boden'!$B$32))</f>
        <v xml:space="preserve">  -- </v>
      </c>
      <c r="U96" s="1326"/>
      <c r="V96" s="1327"/>
      <c r="W96" s="1328"/>
      <c r="X96" s="1142" t="str">
        <f>IF(AND(B96="",C96="",D96=""),"",IF('#BerechnungDBE'!DM91&gt;0,"KOPIE",IF(COUNT('#BerechnungDBE'!DO91:DR91)=0,"OK",TRIM(CONCATENATE('#BerechnungDBE'!DN91," ",'#BerechnungDBE'!DO91," ",'#BerechnungDBE'!DP91," ",'#BerechnungDBE'!DQ91," ",'#BerechnungDBE'!DR91)))))</f>
        <v/>
      </c>
      <c r="Y96" s="1143"/>
    </row>
    <row r="97" spans="1:25" s="130" customFormat="1" ht="15" customHeight="1" x14ac:dyDescent="0.2">
      <c r="A97" s="876">
        <v>88</v>
      </c>
      <c r="B97" s="1319" t="str">
        <f>IF('Daten aus 2021'!B94="","",'Daten aus 2021'!B94)</f>
        <v/>
      </c>
      <c r="C97" s="1487" t="str">
        <f>IF('Daten aus 2021'!C94="","",'Daten aus 2021'!C94)</f>
        <v/>
      </c>
      <c r="D97" s="1320" t="str">
        <f>IF('Daten aus 2021'!D94="","",'Daten aus 2021'!D94)</f>
        <v/>
      </c>
      <c r="E97" s="1321" t="s">
        <v>315</v>
      </c>
      <c r="F97" s="1322" t="str">
        <f>IF('Daten aus 2021'!E94="",IF(AND(D97&lt;1,D97&lt;&gt;""),'#Boden'!$G$6,'#Boden'!$G$4),'Daten aus 2021'!E94)</f>
        <v xml:space="preserve"> --</v>
      </c>
      <c r="G97" s="1319" t="str">
        <f>'#BerechnungDBE'!A92</f>
        <v xml:space="preserve"> --</v>
      </c>
      <c r="H97" s="1323" t="str">
        <f>IF('Daten aus 2021'!G94="",'#Boden'!$B$24,'Daten aus 2021'!G94)</f>
        <v>ja</v>
      </c>
      <c r="I97" s="1322" t="str">
        <f>'#BerechnungDBE'!B92</f>
        <v xml:space="preserve"> --         </v>
      </c>
      <c r="J97" s="1324" t="str">
        <f>'#BerechnungDBE'!F92</f>
        <v xml:space="preserve"> --  </v>
      </c>
      <c r="K97" s="1319" t="str">
        <f>IF(D97="","",IF('Daten aus 2021'!AA94="","",'Daten aus 2021'!AA94))</f>
        <v/>
      </c>
      <c r="L97" s="1321" t="s">
        <v>699</v>
      </c>
      <c r="M97" s="1325" t="s">
        <v>700</v>
      </c>
      <c r="N97" s="1325" t="s">
        <v>701</v>
      </c>
      <c r="O97" s="1325" t="str">
        <f>IF(L97="",'#Zweitfr'!$I$8,VLOOKUP(L97,Nebenkultur[[Nebenkultur]:[Legum. Zwischenfr.]],'#Zweitfr'!$I$1,FALSE))</f>
        <v/>
      </c>
      <c r="P97" s="1324" t="str">
        <f>IF('#BerechnungDBE'!M92=3,J97,'#Frucht'!$D$8)</f>
        <v xml:space="preserve"> --  </v>
      </c>
      <c r="Q97" s="1499" t="str">
        <f>'#BerechnungDBE'!J92</f>
        <v/>
      </c>
      <c r="R97" s="1496" t="str">
        <f>'#BerechnungDBE'!K92</f>
        <v/>
      </c>
      <c r="S97" s="1325"/>
      <c r="T97" s="1486" t="str">
        <f>IF('#BerechnungDBE'!AB92=4,'#Boden'!$B$30,IF('#BerechnungDBE'!AB92=3,'#Boden'!$B$31,'#Boden'!$B$32))</f>
        <v xml:space="preserve">  -- </v>
      </c>
      <c r="U97" s="1326"/>
      <c r="V97" s="1327"/>
      <c r="W97" s="1328"/>
      <c r="X97" s="1142" t="str">
        <f>IF(AND(B97="",C97="",D97=""),"",IF('#BerechnungDBE'!DM92&gt;0,"KOPIE",IF(COUNT('#BerechnungDBE'!DO92:DR92)=0,"OK",TRIM(CONCATENATE('#BerechnungDBE'!DN92," ",'#BerechnungDBE'!DO92," ",'#BerechnungDBE'!DP92," ",'#BerechnungDBE'!DQ92," ",'#BerechnungDBE'!DR92)))))</f>
        <v/>
      </c>
      <c r="Y97" s="1143"/>
    </row>
    <row r="98" spans="1:25" s="130" customFormat="1" ht="15" customHeight="1" x14ac:dyDescent="0.2">
      <c r="A98" s="876">
        <v>89</v>
      </c>
      <c r="B98" s="1319" t="str">
        <f>IF('Daten aus 2021'!B95="","",'Daten aus 2021'!B95)</f>
        <v/>
      </c>
      <c r="C98" s="1487" t="str">
        <f>IF('Daten aus 2021'!C95="","",'Daten aus 2021'!C95)</f>
        <v/>
      </c>
      <c r="D98" s="1320" t="str">
        <f>IF('Daten aus 2021'!D95="","",'Daten aus 2021'!D95)</f>
        <v/>
      </c>
      <c r="E98" s="1321" t="s">
        <v>315</v>
      </c>
      <c r="F98" s="1322" t="str">
        <f>IF('Daten aus 2021'!E95="",IF(AND(D98&lt;1,D98&lt;&gt;""),'#Boden'!$G$6,'#Boden'!$G$4),'Daten aus 2021'!E95)</f>
        <v xml:space="preserve"> --</v>
      </c>
      <c r="G98" s="1319" t="str">
        <f>'#BerechnungDBE'!A93</f>
        <v xml:space="preserve"> --</v>
      </c>
      <c r="H98" s="1323" t="str">
        <f>IF('Daten aus 2021'!G95="",'#Boden'!$B$24,'Daten aus 2021'!G95)</f>
        <v>ja</v>
      </c>
      <c r="I98" s="1322" t="str">
        <f>'#BerechnungDBE'!B93</f>
        <v xml:space="preserve"> --         </v>
      </c>
      <c r="J98" s="1324" t="str">
        <f>'#BerechnungDBE'!F93</f>
        <v xml:space="preserve"> --  </v>
      </c>
      <c r="K98" s="1319" t="str">
        <f>IF(D98="","",IF('Daten aus 2021'!AA95="","",'Daten aus 2021'!AA95))</f>
        <v/>
      </c>
      <c r="L98" s="1321" t="s">
        <v>699</v>
      </c>
      <c r="M98" s="1319" t="s">
        <v>700</v>
      </c>
      <c r="N98" s="1325" t="s">
        <v>701</v>
      </c>
      <c r="O98" s="1325" t="str">
        <f>IF(L98="",'#Zweitfr'!$I$8,VLOOKUP(L98,Nebenkultur[[Nebenkultur]:[Legum. Zwischenfr.]],'#Zweitfr'!$I$1,FALSE))</f>
        <v/>
      </c>
      <c r="P98" s="1324" t="str">
        <f>IF('#BerechnungDBE'!M93=3,J98,'#Frucht'!$D$8)</f>
        <v xml:space="preserve"> --  </v>
      </c>
      <c r="Q98" s="1499" t="str">
        <f>'#BerechnungDBE'!J93</f>
        <v/>
      </c>
      <c r="R98" s="1496" t="str">
        <f>'#BerechnungDBE'!K93</f>
        <v/>
      </c>
      <c r="S98" s="1325"/>
      <c r="T98" s="1486" t="str">
        <f>IF('#BerechnungDBE'!AB93=4,'#Boden'!$B$30,IF('#BerechnungDBE'!AB93=3,'#Boden'!$B$31,'#Boden'!$B$32))</f>
        <v xml:space="preserve">  -- </v>
      </c>
      <c r="U98" s="1326"/>
      <c r="V98" s="1327"/>
      <c r="W98" s="1328"/>
      <c r="X98" s="1142" t="str">
        <f>IF(AND(B98="",C98="",D98=""),"",IF('#BerechnungDBE'!DM93&gt;0,"KOPIE",IF(COUNT('#BerechnungDBE'!DO93:DR93)=0,"OK",TRIM(CONCATENATE('#BerechnungDBE'!DN93," ",'#BerechnungDBE'!DO93," ",'#BerechnungDBE'!DP93," ",'#BerechnungDBE'!DQ93," ",'#BerechnungDBE'!DR93)))))</f>
        <v/>
      </c>
      <c r="Y98" s="1143"/>
    </row>
    <row r="99" spans="1:25" s="130" customFormat="1" ht="15" customHeight="1" x14ac:dyDescent="0.2">
      <c r="A99" s="876">
        <v>90</v>
      </c>
      <c r="B99" s="1319" t="str">
        <f>IF('Daten aus 2021'!B96="","",'Daten aus 2021'!B96)</f>
        <v/>
      </c>
      <c r="C99" s="1487" t="str">
        <f>IF('Daten aus 2021'!C96="","",'Daten aus 2021'!C96)</f>
        <v/>
      </c>
      <c r="D99" s="1320" t="str">
        <f>IF('Daten aus 2021'!D96="","",'Daten aus 2021'!D96)</f>
        <v/>
      </c>
      <c r="E99" s="1321" t="s">
        <v>315</v>
      </c>
      <c r="F99" s="1322" t="str">
        <f>IF('Daten aus 2021'!E96="",IF(AND(D99&lt;1,D99&lt;&gt;""),'#Boden'!$G$6,'#Boden'!$G$4),'Daten aus 2021'!E96)</f>
        <v xml:space="preserve"> --</v>
      </c>
      <c r="G99" s="1319" t="str">
        <f>'#BerechnungDBE'!A94</f>
        <v xml:space="preserve"> --</v>
      </c>
      <c r="H99" s="1323" t="str">
        <f>IF('Daten aus 2021'!G96="",'#Boden'!$B$24,'Daten aus 2021'!G96)</f>
        <v>ja</v>
      </c>
      <c r="I99" s="1322" t="str">
        <f>'#BerechnungDBE'!B94</f>
        <v xml:space="preserve"> --         </v>
      </c>
      <c r="J99" s="1324" t="str">
        <f>'#BerechnungDBE'!F94</f>
        <v xml:space="preserve"> --  </v>
      </c>
      <c r="K99" s="1319" t="str">
        <f>IF(D99="","",IF('Daten aus 2021'!AA96="","",'Daten aus 2021'!AA96))</f>
        <v/>
      </c>
      <c r="L99" s="1321" t="s">
        <v>699</v>
      </c>
      <c r="M99" s="1325" t="s">
        <v>700</v>
      </c>
      <c r="N99" s="1325" t="s">
        <v>701</v>
      </c>
      <c r="O99" s="1325" t="str">
        <f>IF(L99="",'#Zweitfr'!$I$8,VLOOKUP(L99,Nebenkultur[[Nebenkultur]:[Legum. Zwischenfr.]],'#Zweitfr'!$I$1,FALSE))</f>
        <v/>
      </c>
      <c r="P99" s="1324" t="str">
        <f>IF('#BerechnungDBE'!M94=3,J99,'#Frucht'!$D$8)</f>
        <v xml:space="preserve"> --  </v>
      </c>
      <c r="Q99" s="1499" t="str">
        <f>'#BerechnungDBE'!J94</f>
        <v/>
      </c>
      <c r="R99" s="1496" t="str">
        <f>'#BerechnungDBE'!K94</f>
        <v/>
      </c>
      <c r="S99" s="1325"/>
      <c r="T99" s="1486" t="str">
        <f>IF('#BerechnungDBE'!AB94=4,'#Boden'!$B$30,IF('#BerechnungDBE'!AB94=3,'#Boden'!$B$31,'#Boden'!$B$32))</f>
        <v xml:space="preserve">  -- </v>
      </c>
      <c r="U99" s="1326"/>
      <c r="V99" s="1327"/>
      <c r="W99" s="1328"/>
      <c r="X99" s="1142" t="str">
        <f>IF(AND(B99="",C99="",D99=""),"",IF('#BerechnungDBE'!DM94&gt;0,"KOPIE",IF(COUNT('#BerechnungDBE'!DO94:DR94)=0,"OK",TRIM(CONCATENATE('#BerechnungDBE'!DN94," ",'#BerechnungDBE'!DO94," ",'#BerechnungDBE'!DP94," ",'#BerechnungDBE'!DQ94," ",'#BerechnungDBE'!DR94)))))</f>
        <v/>
      </c>
      <c r="Y99" s="1143"/>
    </row>
    <row r="100" spans="1:25" s="130" customFormat="1" ht="15" customHeight="1" x14ac:dyDescent="0.2">
      <c r="A100" s="876">
        <v>91</v>
      </c>
      <c r="B100" s="1319" t="str">
        <f>IF('Daten aus 2021'!B97="","",'Daten aus 2021'!B97)</f>
        <v/>
      </c>
      <c r="C100" s="1487" t="str">
        <f>IF('Daten aus 2021'!C97="","",'Daten aus 2021'!C97)</f>
        <v/>
      </c>
      <c r="D100" s="1320" t="str">
        <f>IF('Daten aus 2021'!D97="","",'Daten aus 2021'!D97)</f>
        <v/>
      </c>
      <c r="E100" s="1321" t="s">
        <v>315</v>
      </c>
      <c r="F100" s="1322" t="str">
        <f>IF('Daten aus 2021'!E97="",IF(AND(D100&lt;1,D100&lt;&gt;""),'#Boden'!$G$6,'#Boden'!$G$4),'Daten aus 2021'!E97)</f>
        <v xml:space="preserve"> --</v>
      </c>
      <c r="G100" s="1319" t="str">
        <f>'#BerechnungDBE'!A95</f>
        <v xml:space="preserve"> --</v>
      </c>
      <c r="H100" s="1323" t="str">
        <f>IF('Daten aus 2021'!G97="",'#Boden'!$B$24,'Daten aus 2021'!G97)</f>
        <v>ja</v>
      </c>
      <c r="I100" s="1322" t="str">
        <f>'#BerechnungDBE'!B95</f>
        <v xml:space="preserve"> --         </v>
      </c>
      <c r="J100" s="1324" t="str">
        <f>'#BerechnungDBE'!F95</f>
        <v xml:space="preserve"> --  </v>
      </c>
      <c r="K100" s="1319" t="str">
        <f>IF(D100="","",IF('Daten aus 2021'!AA97="","",'Daten aus 2021'!AA97))</f>
        <v/>
      </c>
      <c r="L100" s="1321" t="s">
        <v>699</v>
      </c>
      <c r="M100" s="1319" t="s">
        <v>700</v>
      </c>
      <c r="N100" s="1325" t="s">
        <v>701</v>
      </c>
      <c r="O100" s="1325" t="str">
        <f>IF(L100="",'#Zweitfr'!$I$8,VLOOKUP(L100,Nebenkultur[[Nebenkultur]:[Legum. Zwischenfr.]],'#Zweitfr'!$I$1,FALSE))</f>
        <v/>
      </c>
      <c r="P100" s="1324" t="str">
        <f>IF('#BerechnungDBE'!M95=3,J100,'#Frucht'!$D$8)</f>
        <v xml:space="preserve"> --  </v>
      </c>
      <c r="Q100" s="1499" t="str">
        <f>'#BerechnungDBE'!J95</f>
        <v/>
      </c>
      <c r="R100" s="1496" t="str">
        <f>'#BerechnungDBE'!K95</f>
        <v/>
      </c>
      <c r="S100" s="1325"/>
      <c r="T100" s="1486" t="str">
        <f>IF('#BerechnungDBE'!AB95=4,'#Boden'!$B$30,IF('#BerechnungDBE'!AB95=3,'#Boden'!$B$31,'#Boden'!$B$32))</f>
        <v xml:space="preserve">  -- </v>
      </c>
      <c r="U100" s="1326"/>
      <c r="V100" s="1327"/>
      <c r="W100" s="1328"/>
      <c r="X100" s="1142" t="str">
        <f>IF(AND(B100="",C100="",D100=""),"",IF('#BerechnungDBE'!DM95&gt;0,"KOPIE",IF(COUNT('#BerechnungDBE'!DO95:DR95)=0,"OK",TRIM(CONCATENATE('#BerechnungDBE'!DN95," ",'#BerechnungDBE'!DO95," ",'#BerechnungDBE'!DP95," ",'#BerechnungDBE'!DQ95," ",'#BerechnungDBE'!DR95)))))</f>
        <v/>
      </c>
      <c r="Y100" s="1143"/>
    </row>
    <row r="101" spans="1:25" s="130" customFormat="1" ht="15" customHeight="1" x14ac:dyDescent="0.2">
      <c r="A101" s="876">
        <v>92</v>
      </c>
      <c r="B101" s="1319" t="str">
        <f>IF('Daten aus 2021'!B98="","",'Daten aus 2021'!B98)</f>
        <v/>
      </c>
      <c r="C101" s="1487" t="str">
        <f>IF('Daten aus 2021'!C98="","",'Daten aus 2021'!C98)</f>
        <v/>
      </c>
      <c r="D101" s="1320" t="str">
        <f>IF('Daten aus 2021'!D98="","",'Daten aus 2021'!D98)</f>
        <v/>
      </c>
      <c r="E101" s="1321" t="s">
        <v>315</v>
      </c>
      <c r="F101" s="1322" t="str">
        <f>IF('Daten aus 2021'!E98="",IF(AND(D101&lt;1,D101&lt;&gt;""),'#Boden'!$G$6,'#Boden'!$G$4),'Daten aus 2021'!E98)</f>
        <v xml:space="preserve"> --</v>
      </c>
      <c r="G101" s="1319" t="str">
        <f>'#BerechnungDBE'!A96</f>
        <v xml:space="preserve"> --</v>
      </c>
      <c r="H101" s="1323" t="str">
        <f>IF('Daten aus 2021'!G98="",'#Boden'!$B$24,'Daten aus 2021'!G98)</f>
        <v>ja</v>
      </c>
      <c r="I101" s="1322" t="str">
        <f>'#BerechnungDBE'!B96</f>
        <v xml:space="preserve"> --         </v>
      </c>
      <c r="J101" s="1324" t="str">
        <f>'#BerechnungDBE'!F96</f>
        <v xml:space="preserve"> --  </v>
      </c>
      <c r="K101" s="1319" t="str">
        <f>IF(D101="","",IF('Daten aus 2021'!AA98="","",'Daten aus 2021'!AA98))</f>
        <v/>
      </c>
      <c r="L101" s="1321" t="s">
        <v>699</v>
      </c>
      <c r="M101" s="1325" t="s">
        <v>700</v>
      </c>
      <c r="N101" s="1325" t="s">
        <v>701</v>
      </c>
      <c r="O101" s="1325" t="str">
        <f>IF(L101="",'#Zweitfr'!$I$8,VLOOKUP(L101,Nebenkultur[[Nebenkultur]:[Legum. Zwischenfr.]],'#Zweitfr'!$I$1,FALSE))</f>
        <v/>
      </c>
      <c r="P101" s="1324" t="str">
        <f>IF('#BerechnungDBE'!M96=3,J101,'#Frucht'!$D$8)</f>
        <v xml:space="preserve"> --  </v>
      </c>
      <c r="Q101" s="1499" t="str">
        <f>'#BerechnungDBE'!J96</f>
        <v/>
      </c>
      <c r="R101" s="1496" t="str">
        <f>'#BerechnungDBE'!K96</f>
        <v/>
      </c>
      <c r="S101" s="1325"/>
      <c r="T101" s="1486" t="str">
        <f>IF('#BerechnungDBE'!AB96=4,'#Boden'!$B$30,IF('#BerechnungDBE'!AB96=3,'#Boden'!$B$31,'#Boden'!$B$32))</f>
        <v xml:space="preserve">  -- </v>
      </c>
      <c r="U101" s="1326"/>
      <c r="V101" s="1327"/>
      <c r="W101" s="1328"/>
      <c r="X101" s="1142" t="str">
        <f>IF(AND(B101="",C101="",D101=""),"",IF('#BerechnungDBE'!DM96&gt;0,"KOPIE",IF(COUNT('#BerechnungDBE'!DO96:DR96)=0,"OK",TRIM(CONCATENATE('#BerechnungDBE'!DN96," ",'#BerechnungDBE'!DO96," ",'#BerechnungDBE'!DP96," ",'#BerechnungDBE'!DQ96," ",'#BerechnungDBE'!DR96)))))</f>
        <v/>
      </c>
      <c r="Y101" s="1143"/>
    </row>
    <row r="102" spans="1:25" s="130" customFormat="1" ht="15" customHeight="1" x14ac:dyDescent="0.2">
      <c r="A102" s="876">
        <v>93</v>
      </c>
      <c r="B102" s="1319" t="str">
        <f>IF('Daten aus 2021'!B99="","",'Daten aus 2021'!B99)</f>
        <v/>
      </c>
      <c r="C102" s="1487" t="str">
        <f>IF('Daten aus 2021'!C99="","",'Daten aus 2021'!C99)</f>
        <v/>
      </c>
      <c r="D102" s="1320" t="str">
        <f>IF('Daten aus 2021'!D99="","",'Daten aus 2021'!D99)</f>
        <v/>
      </c>
      <c r="E102" s="1321" t="s">
        <v>315</v>
      </c>
      <c r="F102" s="1322" t="str">
        <f>IF('Daten aus 2021'!E99="",IF(AND(D102&lt;1,D102&lt;&gt;""),'#Boden'!$G$6,'#Boden'!$G$4),'Daten aus 2021'!E99)</f>
        <v xml:space="preserve"> --</v>
      </c>
      <c r="G102" s="1319" t="str">
        <f>'#BerechnungDBE'!A97</f>
        <v xml:space="preserve"> --</v>
      </c>
      <c r="H102" s="1323" t="str">
        <f>IF('Daten aus 2021'!G99="",'#Boden'!$B$24,'Daten aus 2021'!G99)</f>
        <v>ja</v>
      </c>
      <c r="I102" s="1322" t="str">
        <f>'#BerechnungDBE'!B97</f>
        <v xml:space="preserve"> --         </v>
      </c>
      <c r="J102" s="1324" t="str">
        <f>'#BerechnungDBE'!F97</f>
        <v xml:space="preserve"> --  </v>
      </c>
      <c r="K102" s="1319" t="str">
        <f>IF(D102="","",IF('Daten aus 2021'!AA99="","",'Daten aus 2021'!AA99))</f>
        <v/>
      </c>
      <c r="L102" s="1321" t="s">
        <v>699</v>
      </c>
      <c r="M102" s="1319" t="s">
        <v>700</v>
      </c>
      <c r="N102" s="1325" t="s">
        <v>701</v>
      </c>
      <c r="O102" s="1325" t="str">
        <f>IF(L102="",'#Zweitfr'!$I$8,VLOOKUP(L102,Nebenkultur[[Nebenkultur]:[Legum. Zwischenfr.]],'#Zweitfr'!$I$1,FALSE))</f>
        <v/>
      </c>
      <c r="P102" s="1324" t="str">
        <f>IF('#BerechnungDBE'!M97=3,J102,'#Frucht'!$D$8)</f>
        <v xml:space="preserve"> --  </v>
      </c>
      <c r="Q102" s="1499" t="str">
        <f>'#BerechnungDBE'!J97</f>
        <v/>
      </c>
      <c r="R102" s="1496" t="str">
        <f>'#BerechnungDBE'!K97</f>
        <v/>
      </c>
      <c r="S102" s="1325"/>
      <c r="T102" s="1486" t="str">
        <f>IF('#BerechnungDBE'!AB97=4,'#Boden'!$B$30,IF('#BerechnungDBE'!AB97=3,'#Boden'!$B$31,'#Boden'!$B$32))</f>
        <v xml:space="preserve">  -- </v>
      </c>
      <c r="U102" s="1326"/>
      <c r="V102" s="1327"/>
      <c r="W102" s="1328"/>
      <c r="X102" s="1142" t="str">
        <f>IF(AND(B102="",C102="",D102=""),"",IF('#BerechnungDBE'!DM97&gt;0,"KOPIE",IF(COUNT('#BerechnungDBE'!DO97:DR97)=0,"OK",TRIM(CONCATENATE('#BerechnungDBE'!DN97," ",'#BerechnungDBE'!DO97," ",'#BerechnungDBE'!DP97," ",'#BerechnungDBE'!DQ97," ",'#BerechnungDBE'!DR97)))))</f>
        <v/>
      </c>
      <c r="Y102" s="1143"/>
    </row>
    <row r="103" spans="1:25" s="130" customFormat="1" ht="15" customHeight="1" x14ac:dyDescent="0.2">
      <c r="A103" s="876">
        <v>94</v>
      </c>
      <c r="B103" s="1319" t="str">
        <f>IF('Daten aus 2021'!B100="","",'Daten aus 2021'!B100)</f>
        <v/>
      </c>
      <c r="C103" s="1487" t="str">
        <f>IF('Daten aus 2021'!C100="","",'Daten aus 2021'!C100)</f>
        <v/>
      </c>
      <c r="D103" s="1320" t="str">
        <f>IF('Daten aus 2021'!D100="","",'Daten aus 2021'!D100)</f>
        <v/>
      </c>
      <c r="E103" s="1321" t="s">
        <v>315</v>
      </c>
      <c r="F103" s="1322" t="str">
        <f>IF('Daten aus 2021'!E100="",IF(AND(D103&lt;1,D103&lt;&gt;""),'#Boden'!$G$6,'#Boden'!$G$4),'Daten aus 2021'!E100)</f>
        <v xml:space="preserve"> --</v>
      </c>
      <c r="G103" s="1319" t="str">
        <f>'#BerechnungDBE'!A98</f>
        <v xml:space="preserve"> --</v>
      </c>
      <c r="H103" s="1323" t="str">
        <f>IF('Daten aus 2021'!G100="",'#Boden'!$B$24,'Daten aus 2021'!G100)</f>
        <v>ja</v>
      </c>
      <c r="I103" s="1322" t="str">
        <f>'#BerechnungDBE'!B98</f>
        <v xml:space="preserve"> --         </v>
      </c>
      <c r="J103" s="1324" t="str">
        <f>'#BerechnungDBE'!F98</f>
        <v xml:space="preserve"> --  </v>
      </c>
      <c r="K103" s="1319" t="str">
        <f>IF(D103="","",IF('Daten aus 2021'!AA100="","",'Daten aus 2021'!AA100))</f>
        <v/>
      </c>
      <c r="L103" s="1321" t="s">
        <v>699</v>
      </c>
      <c r="M103" s="1325" t="s">
        <v>700</v>
      </c>
      <c r="N103" s="1325" t="s">
        <v>701</v>
      </c>
      <c r="O103" s="1325" t="str">
        <f>IF(L103="",'#Zweitfr'!$I$8,VLOOKUP(L103,Nebenkultur[[Nebenkultur]:[Legum. Zwischenfr.]],'#Zweitfr'!$I$1,FALSE))</f>
        <v/>
      </c>
      <c r="P103" s="1324" t="str">
        <f>IF('#BerechnungDBE'!M98=3,J103,'#Frucht'!$D$8)</f>
        <v xml:space="preserve"> --  </v>
      </c>
      <c r="Q103" s="1499" t="str">
        <f>'#BerechnungDBE'!J98</f>
        <v/>
      </c>
      <c r="R103" s="1496" t="str">
        <f>'#BerechnungDBE'!K98</f>
        <v/>
      </c>
      <c r="S103" s="1325"/>
      <c r="T103" s="1486" t="str">
        <f>IF('#BerechnungDBE'!AB98=4,'#Boden'!$B$30,IF('#BerechnungDBE'!AB98=3,'#Boden'!$B$31,'#Boden'!$B$32))</f>
        <v xml:space="preserve">  -- </v>
      </c>
      <c r="U103" s="1326"/>
      <c r="V103" s="1327"/>
      <c r="W103" s="1328"/>
      <c r="X103" s="1142" t="str">
        <f>IF(AND(B103="",C103="",D103=""),"",IF('#BerechnungDBE'!DM98&gt;0,"KOPIE",IF(COUNT('#BerechnungDBE'!DO98:DR98)=0,"OK",TRIM(CONCATENATE('#BerechnungDBE'!DN98," ",'#BerechnungDBE'!DO98," ",'#BerechnungDBE'!DP98," ",'#BerechnungDBE'!DQ98," ",'#BerechnungDBE'!DR98)))))</f>
        <v/>
      </c>
      <c r="Y103" s="1143"/>
    </row>
    <row r="104" spans="1:25" s="130" customFormat="1" ht="15" customHeight="1" x14ac:dyDescent="0.2">
      <c r="A104" s="876">
        <v>95</v>
      </c>
      <c r="B104" s="1319" t="str">
        <f>IF('Daten aus 2021'!B101="","",'Daten aus 2021'!B101)</f>
        <v/>
      </c>
      <c r="C104" s="1487" t="str">
        <f>IF('Daten aus 2021'!C101="","",'Daten aus 2021'!C101)</f>
        <v/>
      </c>
      <c r="D104" s="1320" t="str">
        <f>IF('Daten aus 2021'!D101="","",'Daten aus 2021'!D101)</f>
        <v/>
      </c>
      <c r="E104" s="1321" t="s">
        <v>315</v>
      </c>
      <c r="F104" s="1322" t="str">
        <f>IF('Daten aus 2021'!E101="",IF(AND(D104&lt;1,D104&lt;&gt;""),'#Boden'!$G$6,'#Boden'!$G$4),'Daten aus 2021'!E101)</f>
        <v xml:space="preserve"> --</v>
      </c>
      <c r="G104" s="1319" t="str">
        <f>'#BerechnungDBE'!A99</f>
        <v xml:space="preserve"> --</v>
      </c>
      <c r="H104" s="1323" t="str">
        <f>IF('Daten aus 2021'!G101="",'#Boden'!$B$24,'Daten aus 2021'!G101)</f>
        <v>ja</v>
      </c>
      <c r="I104" s="1322" t="str">
        <f>'#BerechnungDBE'!B99</f>
        <v xml:space="preserve"> --         </v>
      </c>
      <c r="J104" s="1324" t="str">
        <f>'#BerechnungDBE'!F99</f>
        <v xml:space="preserve"> --  </v>
      </c>
      <c r="K104" s="1319" t="str">
        <f>IF(D104="","",IF('Daten aus 2021'!AA101="","",'Daten aus 2021'!AA101))</f>
        <v/>
      </c>
      <c r="L104" s="1321" t="s">
        <v>699</v>
      </c>
      <c r="M104" s="1319" t="s">
        <v>700</v>
      </c>
      <c r="N104" s="1325" t="s">
        <v>701</v>
      </c>
      <c r="O104" s="1325" t="str">
        <f>IF(L104="",'#Zweitfr'!$I$8,VLOOKUP(L104,Nebenkultur[[Nebenkultur]:[Legum. Zwischenfr.]],'#Zweitfr'!$I$1,FALSE))</f>
        <v/>
      </c>
      <c r="P104" s="1324" t="str">
        <f>IF('#BerechnungDBE'!M99=3,J104,'#Frucht'!$D$8)</f>
        <v xml:space="preserve"> --  </v>
      </c>
      <c r="Q104" s="1499" t="str">
        <f>'#BerechnungDBE'!J99</f>
        <v/>
      </c>
      <c r="R104" s="1496" t="str">
        <f>'#BerechnungDBE'!K99</f>
        <v/>
      </c>
      <c r="S104" s="1325"/>
      <c r="T104" s="1486" t="str">
        <f>IF('#BerechnungDBE'!AB99=4,'#Boden'!$B$30,IF('#BerechnungDBE'!AB99=3,'#Boden'!$B$31,'#Boden'!$B$32))</f>
        <v xml:space="preserve">  -- </v>
      </c>
      <c r="U104" s="1326"/>
      <c r="V104" s="1327"/>
      <c r="W104" s="1328"/>
      <c r="X104" s="1142" t="str">
        <f>IF(AND(B104="",C104="",D104=""),"",IF('#BerechnungDBE'!DM99&gt;0,"KOPIE",IF(COUNT('#BerechnungDBE'!DO99:DR99)=0,"OK",TRIM(CONCATENATE('#BerechnungDBE'!DN99," ",'#BerechnungDBE'!DO99," ",'#BerechnungDBE'!DP99," ",'#BerechnungDBE'!DQ99," ",'#BerechnungDBE'!DR99)))))</f>
        <v/>
      </c>
      <c r="Y104" s="1143"/>
    </row>
    <row r="105" spans="1:25" s="130" customFormat="1" ht="15" customHeight="1" x14ac:dyDescent="0.2">
      <c r="A105" s="876">
        <v>96</v>
      </c>
      <c r="B105" s="1319" t="str">
        <f>IF('Daten aus 2021'!B102="","",'Daten aus 2021'!B102)</f>
        <v/>
      </c>
      <c r="C105" s="1487" t="str">
        <f>IF('Daten aus 2021'!C102="","",'Daten aus 2021'!C102)</f>
        <v/>
      </c>
      <c r="D105" s="1320" t="str">
        <f>IF('Daten aus 2021'!D102="","",'Daten aus 2021'!D102)</f>
        <v/>
      </c>
      <c r="E105" s="1321" t="s">
        <v>315</v>
      </c>
      <c r="F105" s="1322" t="str">
        <f>IF('Daten aus 2021'!E102="",IF(AND(D105&lt;1,D105&lt;&gt;""),'#Boden'!$G$6,'#Boden'!$G$4),'Daten aus 2021'!E102)</f>
        <v xml:space="preserve"> --</v>
      </c>
      <c r="G105" s="1319" t="str">
        <f>'#BerechnungDBE'!A100</f>
        <v xml:space="preserve"> --</v>
      </c>
      <c r="H105" s="1323" t="str">
        <f>IF('Daten aus 2021'!G102="",'#Boden'!$B$24,'Daten aus 2021'!G102)</f>
        <v>ja</v>
      </c>
      <c r="I105" s="1322" t="str">
        <f>'#BerechnungDBE'!B100</f>
        <v xml:space="preserve"> --         </v>
      </c>
      <c r="J105" s="1324" t="str">
        <f>'#BerechnungDBE'!F100</f>
        <v xml:space="preserve"> --  </v>
      </c>
      <c r="K105" s="1319" t="str">
        <f>IF(D105="","",IF('Daten aus 2021'!AA102="","",'Daten aus 2021'!AA102))</f>
        <v/>
      </c>
      <c r="L105" s="1321" t="s">
        <v>699</v>
      </c>
      <c r="M105" s="1325" t="s">
        <v>700</v>
      </c>
      <c r="N105" s="1325" t="s">
        <v>701</v>
      </c>
      <c r="O105" s="1325" t="str">
        <f>IF(L105="",'#Zweitfr'!$I$8,VLOOKUP(L105,Nebenkultur[[Nebenkultur]:[Legum. Zwischenfr.]],'#Zweitfr'!$I$1,FALSE))</f>
        <v/>
      </c>
      <c r="P105" s="1324" t="str">
        <f>IF('#BerechnungDBE'!M100=3,J105,'#Frucht'!$D$8)</f>
        <v xml:space="preserve"> --  </v>
      </c>
      <c r="Q105" s="1499" t="str">
        <f>'#BerechnungDBE'!J100</f>
        <v/>
      </c>
      <c r="R105" s="1496" t="str">
        <f>'#BerechnungDBE'!K100</f>
        <v/>
      </c>
      <c r="S105" s="1325"/>
      <c r="T105" s="1486" t="str">
        <f>IF('#BerechnungDBE'!AB100=4,'#Boden'!$B$30,IF('#BerechnungDBE'!AB100=3,'#Boden'!$B$31,'#Boden'!$B$32))</f>
        <v xml:space="preserve">  -- </v>
      </c>
      <c r="U105" s="1326"/>
      <c r="V105" s="1327"/>
      <c r="W105" s="1328"/>
      <c r="X105" s="1142" t="str">
        <f>IF(AND(B105="",C105="",D105=""),"",IF('#BerechnungDBE'!DM100&gt;0,"KOPIE",IF(COUNT('#BerechnungDBE'!DO100:DR100)=0,"OK",TRIM(CONCATENATE('#BerechnungDBE'!DN100," ",'#BerechnungDBE'!DO100," ",'#BerechnungDBE'!DP100," ",'#BerechnungDBE'!DQ100," ",'#BerechnungDBE'!DR100)))))</f>
        <v/>
      </c>
      <c r="Y105" s="1143"/>
    </row>
    <row r="106" spans="1:25" s="130" customFormat="1" ht="15" customHeight="1" x14ac:dyDescent="0.2">
      <c r="A106" s="876">
        <v>97</v>
      </c>
      <c r="B106" s="1319" t="str">
        <f>IF('Daten aus 2021'!B103="","",'Daten aus 2021'!B103)</f>
        <v/>
      </c>
      <c r="C106" s="1487" t="str">
        <f>IF('Daten aus 2021'!C103="","",'Daten aus 2021'!C103)</f>
        <v/>
      </c>
      <c r="D106" s="1320" t="str">
        <f>IF('Daten aus 2021'!D103="","",'Daten aus 2021'!D103)</f>
        <v/>
      </c>
      <c r="E106" s="1321" t="s">
        <v>315</v>
      </c>
      <c r="F106" s="1322" t="str">
        <f>IF('Daten aus 2021'!E103="",IF(AND(D106&lt;1,D106&lt;&gt;""),'#Boden'!$G$6,'#Boden'!$G$4),'Daten aus 2021'!E103)</f>
        <v xml:space="preserve"> --</v>
      </c>
      <c r="G106" s="1319" t="str">
        <f>'#BerechnungDBE'!A101</f>
        <v xml:space="preserve"> --</v>
      </c>
      <c r="H106" s="1323" t="str">
        <f>IF('Daten aus 2021'!G103="",'#Boden'!$B$24,'Daten aus 2021'!G103)</f>
        <v>ja</v>
      </c>
      <c r="I106" s="1322" t="str">
        <f>'#BerechnungDBE'!B101</f>
        <v xml:space="preserve"> --         </v>
      </c>
      <c r="J106" s="1324" t="str">
        <f>'#BerechnungDBE'!F101</f>
        <v xml:space="preserve"> --  </v>
      </c>
      <c r="K106" s="1319" t="str">
        <f>IF(D106="","",IF('Daten aus 2021'!AA103="","",'Daten aus 2021'!AA103))</f>
        <v/>
      </c>
      <c r="L106" s="1321" t="s">
        <v>699</v>
      </c>
      <c r="M106" s="1319" t="s">
        <v>700</v>
      </c>
      <c r="N106" s="1325" t="s">
        <v>701</v>
      </c>
      <c r="O106" s="1325" t="str">
        <f>IF(L106="",'#Zweitfr'!$I$8,VLOOKUP(L106,Nebenkultur[[Nebenkultur]:[Legum. Zwischenfr.]],'#Zweitfr'!$I$1,FALSE))</f>
        <v/>
      </c>
      <c r="P106" s="1324" t="str">
        <f>IF('#BerechnungDBE'!M101=3,J106,'#Frucht'!$D$8)</f>
        <v xml:space="preserve"> --  </v>
      </c>
      <c r="Q106" s="1499" t="str">
        <f>'#BerechnungDBE'!J101</f>
        <v/>
      </c>
      <c r="R106" s="1496" t="str">
        <f>'#BerechnungDBE'!K101</f>
        <v/>
      </c>
      <c r="S106" s="1325"/>
      <c r="T106" s="1486" t="str">
        <f>IF('#BerechnungDBE'!AB101=4,'#Boden'!$B$30,IF('#BerechnungDBE'!AB101=3,'#Boden'!$B$31,'#Boden'!$B$32))</f>
        <v xml:space="preserve">  -- </v>
      </c>
      <c r="U106" s="1326"/>
      <c r="V106" s="1327"/>
      <c r="W106" s="1328"/>
      <c r="X106" s="1142" t="str">
        <f>IF(AND(B106="",C106="",D106=""),"",IF('#BerechnungDBE'!DM101&gt;0,"KOPIE",IF(COUNT('#BerechnungDBE'!DO101:DR101)=0,"OK",TRIM(CONCATENATE('#BerechnungDBE'!DN101," ",'#BerechnungDBE'!DO101," ",'#BerechnungDBE'!DP101," ",'#BerechnungDBE'!DQ101," ",'#BerechnungDBE'!DR101)))))</f>
        <v/>
      </c>
      <c r="Y106" s="1143"/>
    </row>
    <row r="107" spans="1:25" s="130" customFormat="1" ht="15" customHeight="1" x14ac:dyDescent="0.2">
      <c r="A107" s="876">
        <v>98</v>
      </c>
      <c r="B107" s="1319" t="str">
        <f>IF('Daten aus 2021'!B104="","",'Daten aus 2021'!B104)</f>
        <v/>
      </c>
      <c r="C107" s="1487" t="str">
        <f>IF('Daten aus 2021'!C104="","",'Daten aus 2021'!C104)</f>
        <v/>
      </c>
      <c r="D107" s="1320" t="str">
        <f>IF('Daten aus 2021'!D104="","",'Daten aus 2021'!D104)</f>
        <v/>
      </c>
      <c r="E107" s="1321" t="s">
        <v>315</v>
      </c>
      <c r="F107" s="1322" t="str">
        <f>IF('Daten aus 2021'!E104="",IF(AND(D107&lt;1,D107&lt;&gt;""),'#Boden'!$G$6,'#Boden'!$G$4),'Daten aus 2021'!E104)</f>
        <v xml:space="preserve"> --</v>
      </c>
      <c r="G107" s="1319" t="str">
        <f>'#BerechnungDBE'!A102</f>
        <v xml:space="preserve"> --</v>
      </c>
      <c r="H107" s="1323" t="str">
        <f>IF('Daten aus 2021'!G104="",'#Boden'!$B$24,'Daten aus 2021'!G104)</f>
        <v>ja</v>
      </c>
      <c r="I107" s="1322" t="str">
        <f>'#BerechnungDBE'!B102</f>
        <v xml:space="preserve"> --         </v>
      </c>
      <c r="J107" s="1324" t="str">
        <f>'#BerechnungDBE'!F102</f>
        <v xml:space="preserve"> --  </v>
      </c>
      <c r="K107" s="1319" t="str">
        <f>IF(D107="","",IF('Daten aus 2021'!AA104="","",'Daten aus 2021'!AA104))</f>
        <v/>
      </c>
      <c r="L107" s="1321" t="s">
        <v>699</v>
      </c>
      <c r="M107" s="1325" t="s">
        <v>700</v>
      </c>
      <c r="N107" s="1325" t="s">
        <v>701</v>
      </c>
      <c r="O107" s="1325" t="str">
        <f>IF(L107="",'#Zweitfr'!$I$8,VLOOKUP(L107,Nebenkultur[[Nebenkultur]:[Legum. Zwischenfr.]],'#Zweitfr'!$I$1,FALSE))</f>
        <v/>
      </c>
      <c r="P107" s="1324" t="str">
        <f>IF('#BerechnungDBE'!M102=3,J107,'#Frucht'!$D$8)</f>
        <v xml:space="preserve"> --  </v>
      </c>
      <c r="Q107" s="1499" t="str">
        <f>'#BerechnungDBE'!J102</f>
        <v/>
      </c>
      <c r="R107" s="1496" t="str">
        <f>'#BerechnungDBE'!K102</f>
        <v/>
      </c>
      <c r="S107" s="1325"/>
      <c r="T107" s="1486" t="str">
        <f>IF('#BerechnungDBE'!AB102=4,'#Boden'!$B$30,IF('#BerechnungDBE'!AB102=3,'#Boden'!$B$31,'#Boden'!$B$32))</f>
        <v xml:space="preserve">  -- </v>
      </c>
      <c r="U107" s="1326"/>
      <c r="V107" s="1327"/>
      <c r="W107" s="1328"/>
      <c r="X107" s="1142" t="str">
        <f>IF(AND(B107="",C107="",D107=""),"",IF('#BerechnungDBE'!DM102&gt;0,"KOPIE",IF(COUNT('#BerechnungDBE'!DO102:DR102)=0,"OK",TRIM(CONCATENATE('#BerechnungDBE'!DN102," ",'#BerechnungDBE'!DO102," ",'#BerechnungDBE'!DP102," ",'#BerechnungDBE'!DQ102," ",'#BerechnungDBE'!DR102)))))</f>
        <v/>
      </c>
      <c r="Y107" s="1143"/>
    </row>
    <row r="108" spans="1:25" s="130" customFormat="1" ht="15" customHeight="1" x14ac:dyDescent="0.2">
      <c r="A108" s="876">
        <v>99</v>
      </c>
      <c r="B108" s="1319" t="str">
        <f>IF('Daten aus 2021'!B105="","",'Daten aus 2021'!B105)</f>
        <v/>
      </c>
      <c r="C108" s="1318" t="str">
        <f>IF('Daten aus 2021'!C105="","",'Daten aus 2021'!C105)</f>
        <v/>
      </c>
      <c r="D108" s="1320" t="str">
        <f>IF('Daten aus 2021'!D105="","",'Daten aus 2021'!D105)</f>
        <v/>
      </c>
      <c r="E108" s="1321" t="s">
        <v>315</v>
      </c>
      <c r="F108" s="1322" t="str">
        <f>IF('Daten aus 2021'!E105="",IF(AND(D108&lt;1,D108&lt;&gt;""),'#Boden'!$G$6,'#Boden'!$G$4),'Daten aus 2021'!E105)</f>
        <v xml:space="preserve"> --</v>
      </c>
      <c r="G108" s="1319" t="str">
        <f>'#BerechnungDBE'!A103</f>
        <v xml:space="preserve"> --</v>
      </c>
      <c r="H108" s="1323" t="str">
        <f>IF('Daten aus 2021'!G105="",'#Boden'!$B$24,'Daten aus 2021'!G105)</f>
        <v>ja</v>
      </c>
      <c r="I108" s="1322" t="str">
        <f>'#BerechnungDBE'!B103</f>
        <v xml:space="preserve"> --         </v>
      </c>
      <c r="J108" s="1324" t="str">
        <f>'#BerechnungDBE'!F103</f>
        <v xml:space="preserve"> --  </v>
      </c>
      <c r="K108" s="1319" t="str">
        <f>IF(D108="","",IF('Daten aus 2021'!AA105="","",'Daten aus 2021'!AA105))</f>
        <v/>
      </c>
      <c r="L108" s="1321" t="s">
        <v>699</v>
      </c>
      <c r="M108" s="1319" t="s">
        <v>700</v>
      </c>
      <c r="N108" s="1325" t="s">
        <v>701</v>
      </c>
      <c r="O108" s="1325" t="str">
        <f>IF(L108="",'#Zweitfr'!$I$8,VLOOKUP(L108,Nebenkultur[[Nebenkultur]:[Legum. Zwischenfr.]],'#Zweitfr'!$I$1,FALSE))</f>
        <v/>
      </c>
      <c r="P108" s="1324" t="str">
        <f>IF('#BerechnungDBE'!M103=3,J108,'#Frucht'!$D$8)</f>
        <v xml:space="preserve"> --  </v>
      </c>
      <c r="Q108" s="1499" t="str">
        <f>'#BerechnungDBE'!J103</f>
        <v/>
      </c>
      <c r="R108" s="1496" t="str">
        <f>'#BerechnungDBE'!K103</f>
        <v/>
      </c>
      <c r="S108" s="1325"/>
      <c r="T108" s="1317" t="str">
        <f>IF('#BerechnungDBE'!AB103=4,'#Boden'!$B$30,IF('#BerechnungDBE'!AB103=3,'#Boden'!$B$31,'#Boden'!$B$32))</f>
        <v xml:space="preserve">  -- </v>
      </c>
      <c r="U108" s="1326"/>
      <c r="V108" s="1327"/>
      <c r="W108" s="1328"/>
      <c r="X108" s="1142" t="str">
        <f>IF(AND(B108="",C108="",D108=""),"",IF('#BerechnungDBE'!DM103&gt;0,"KOPIE",IF(COUNT('#BerechnungDBE'!DO103:DR103)=0,"OK",TRIM(CONCATENATE('#BerechnungDBE'!DN103," ",'#BerechnungDBE'!DO103," ",'#BerechnungDBE'!DP103," ",'#BerechnungDBE'!DQ103," ",'#BerechnungDBE'!DR103)))))</f>
        <v/>
      </c>
      <c r="Y108" s="1143"/>
    </row>
    <row r="109" spans="1:25" s="130" customFormat="1" ht="15" customHeight="1" x14ac:dyDescent="0.2">
      <c r="A109" s="876">
        <v>100</v>
      </c>
      <c r="B109" s="1319" t="str">
        <f>IF('Daten aus 2021'!B106="","",'Daten aus 2021'!B106)</f>
        <v/>
      </c>
      <c r="C109" s="1318" t="str">
        <f>IF('Daten aus 2021'!C106="","",'Daten aus 2021'!C106)</f>
        <v/>
      </c>
      <c r="D109" s="1320" t="str">
        <f>IF('Daten aus 2021'!D106="","",'Daten aus 2021'!D106)</f>
        <v/>
      </c>
      <c r="E109" s="1321" t="s">
        <v>315</v>
      </c>
      <c r="F109" s="1322" t="str">
        <f>IF('Daten aus 2021'!E106="",IF(AND(D109&lt;1,D109&lt;&gt;""),'#Boden'!$G$6,'#Boden'!$G$4),'Daten aus 2021'!E106)</f>
        <v xml:space="preserve"> --</v>
      </c>
      <c r="G109" s="1319" t="str">
        <f>'#BerechnungDBE'!A104</f>
        <v xml:space="preserve"> --</v>
      </c>
      <c r="H109" s="1323" t="str">
        <f>IF('Daten aus 2021'!G106="",'#Boden'!$B$24,'Daten aus 2021'!G106)</f>
        <v>ja</v>
      </c>
      <c r="I109" s="1322" t="str">
        <f>'#BerechnungDBE'!B104</f>
        <v xml:space="preserve"> --         </v>
      </c>
      <c r="J109" s="1324" t="str">
        <f>'#BerechnungDBE'!F104</f>
        <v xml:space="preserve"> --  </v>
      </c>
      <c r="K109" s="1319" t="str">
        <f>IF(D109="","",IF('Daten aus 2021'!AA106="","",'Daten aus 2021'!AA106))</f>
        <v/>
      </c>
      <c r="L109" s="1321" t="s">
        <v>699</v>
      </c>
      <c r="M109" s="1325" t="s">
        <v>700</v>
      </c>
      <c r="N109" s="1325" t="s">
        <v>701</v>
      </c>
      <c r="O109" s="1325" t="str">
        <f>IF(L109="",'#Zweitfr'!$I$8,VLOOKUP(L109,Nebenkultur[[Nebenkultur]:[Legum. Zwischenfr.]],'#Zweitfr'!$I$1,FALSE))</f>
        <v/>
      </c>
      <c r="P109" s="1324" t="str">
        <f>IF('#BerechnungDBE'!M104=3,J109,'#Frucht'!$D$8)</f>
        <v xml:space="preserve"> --  </v>
      </c>
      <c r="Q109" s="1499" t="str">
        <f>'#BerechnungDBE'!J104</f>
        <v/>
      </c>
      <c r="R109" s="1496" t="str">
        <f>'#BerechnungDBE'!K104</f>
        <v/>
      </c>
      <c r="S109" s="1325"/>
      <c r="T109" s="1317" t="str">
        <f>IF('#BerechnungDBE'!AB104=4,'#Boden'!$B$30,IF('#BerechnungDBE'!AB104=3,'#Boden'!$B$31,'#Boden'!$B$32))</f>
        <v xml:space="preserve">  -- </v>
      </c>
      <c r="U109" s="1326"/>
      <c r="V109" s="1327"/>
      <c r="W109" s="1328"/>
      <c r="X109" s="1142" t="str">
        <f>IF(AND(B109="",C109="",D109=""),"",IF('#BerechnungDBE'!DM104&gt;0,"KOPIE",IF(COUNT('#BerechnungDBE'!DO104:DR104)=0,"OK",TRIM(CONCATENATE('#BerechnungDBE'!DN104," ",'#BerechnungDBE'!DO104," ",'#BerechnungDBE'!DP104," ",'#BerechnungDBE'!DQ104," ",'#BerechnungDBE'!DR104)))))</f>
        <v/>
      </c>
      <c r="Y109" s="1143"/>
    </row>
    <row r="110" spans="1:25" s="36" customFormat="1" ht="18" hidden="1" customHeight="1" x14ac:dyDescent="0.2">
      <c r="A110" s="175"/>
      <c r="B110" s="504"/>
      <c r="C110" s="504"/>
      <c r="D110" s="504"/>
      <c r="E110" s="601"/>
      <c r="F110" s="504"/>
      <c r="G110" s="504"/>
      <c r="H110" s="504"/>
      <c r="I110" s="504"/>
      <c r="J110" s="506"/>
      <c r="K110" s="504"/>
      <c r="L110" s="507"/>
      <c r="M110" s="504"/>
      <c r="N110" s="504"/>
      <c r="O110" s="504"/>
      <c r="P110" s="504"/>
      <c r="Q110" s="504"/>
      <c r="R110" s="41"/>
      <c r="S110" s="41"/>
      <c r="T110" s="41"/>
      <c r="U110" s="41"/>
      <c r="V110" s="504"/>
      <c r="W110" s="504"/>
      <c r="X110" s="41"/>
      <c r="Y110" s="41"/>
    </row>
    <row r="111" spans="1:25" s="36" customFormat="1" ht="18" hidden="1" customHeight="1" thickBot="1" x14ac:dyDescent="0.25">
      <c r="A111" s="175"/>
      <c r="B111" s="504"/>
      <c r="C111" s="504"/>
      <c r="D111" s="504"/>
      <c r="E111" s="601"/>
      <c r="F111" s="504"/>
      <c r="G111" s="504"/>
      <c r="H111" s="504"/>
      <c r="I111" s="504"/>
      <c r="J111" s="131"/>
      <c r="K111" s="504"/>
      <c r="L111" s="505"/>
      <c r="M111" s="504"/>
      <c r="N111" s="504"/>
      <c r="O111" s="504"/>
      <c r="P111" s="504"/>
      <c r="Q111" s="504"/>
      <c r="R111" s="41"/>
      <c r="S111" s="41"/>
      <c r="T111" s="41"/>
      <c r="U111" s="41"/>
      <c r="V111" s="504"/>
      <c r="W111" s="504"/>
      <c r="X111" s="41"/>
      <c r="Y111" s="41"/>
    </row>
    <row r="112" spans="1:25" s="36" customFormat="1" ht="18" hidden="1" customHeight="1" thickBot="1" x14ac:dyDescent="0.25">
      <c r="A112" s="238" t="s">
        <v>490</v>
      </c>
      <c r="B112" s="356"/>
      <c r="C112" s="356"/>
      <c r="D112" s="356">
        <f>(100-D113)*2</f>
        <v>0</v>
      </c>
      <c r="E112" s="406">
        <f>COUNTA(E10:E109)*2</f>
        <v>200</v>
      </c>
      <c r="F112" s="356">
        <f>COUNTA(F10:F109)*2</f>
        <v>200</v>
      </c>
      <c r="G112" s="356">
        <f>COUNTA(G10:G109)*2</f>
        <v>200</v>
      </c>
      <c r="H112" s="356">
        <f>COUNTA(H10:H109)*2</f>
        <v>200</v>
      </c>
      <c r="I112" s="504"/>
      <c r="J112" s="504">
        <f>COUNTA(J10:J109)*2</f>
        <v>200</v>
      </c>
      <c r="K112" s="504"/>
      <c r="L112" s="504">
        <f>COUNTA(L10:L109)*2</f>
        <v>200</v>
      </c>
      <c r="M112" s="356">
        <f>COUNTA(M10:M109)*2</f>
        <v>200</v>
      </c>
      <c r="N112" s="356">
        <f>COUNTA(N10:N109)*2</f>
        <v>200</v>
      </c>
      <c r="O112" s="504"/>
      <c r="P112" s="236">
        <f>COUNTA(P10:P109)*2</f>
        <v>200</v>
      </c>
      <c r="Q112" s="236"/>
      <c r="S112" s="236"/>
      <c r="T112" s="236">
        <f>COUNTA(T10:T109)*2</f>
        <v>200</v>
      </c>
      <c r="U112" s="41"/>
      <c r="V112" s="488"/>
      <c r="W112" s="504"/>
      <c r="X112" s="240">
        <f>SUM(F112:H112)</f>
        <v>600</v>
      </c>
      <c r="Y112" s="41"/>
    </row>
    <row r="113" spans="1:68" s="36" customFormat="1" ht="18" hidden="1" customHeight="1" x14ac:dyDescent="0.2">
      <c r="A113" s="175"/>
      <c r="B113" s="410"/>
      <c r="C113" s="416" t="s">
        <v>1083</v>
      </c>
      <c r="D113" s="36">
        <f>COUNTBLANK(D10:D109)</f>
        <v>100</v>
      </c>
      <c r="F113" s="410"/>
      <c r="G113" s="410"/>
      <c r="H113" s="410"/>
      <c r="I113" s="410"/>
      <c r="J113" s="504"/>
      <c r="K113" s="504"/>
      <c r="L113" s="504"/>
      <c r="N113" s="356"/>
      <c r="O113" s="504"/>
      <c r="P113" s="38"/>
      <c r="Q113" s="38"/>
      <c r="R113" s="356"/>
      <c r="S113" s="38"/>
      <c r="T113" s="145"/>
      <c r="U113" s="41"/>
      <c r="V113" s="488"/>
      <c r="W113" s="504"/>
      <c r="X113" s="41"/>
      <c r="Y113" s="41"/>
      <c r="BO113" s="131"/>
      <c r="BP113" s="131"/>
    </row>
    <row r="114" spans="1:68" s="36" customFormat="1" ht="18" hidden="1" customHeight="1" x14ac:dyDescent="0.2">
      <c r="A114" s="176"/>
      <c r="B114" s="410"/>
      <c r="C114" s="410"/>
      <c r="D114" s="410"/>
      <c r="E114" s="410"/>
      <c r="F114" s="410"/>
      <c r="G114" s="410"/>
      <c r="H114" s="410"/>
      <c r="I114" s="410"/>
      <c r="J114" s="504"/>
      <c r="K114" s="504"/>
      <c r="L114" s="505"/>
      <c r="M114" s="250"/>
      <c r="N114" s="356"/>
      <c r="O114" s="504"/>
      <c r="P114" s="38"/>
      <c r="Q114" s="38"/>
      <c r="R114" s="356"/>
      <c r="S114" s="38"/>
      <c r="T114" s="145"/>
      <c r="U114" s="41"/>
      <c r="V114" s="488"/>
      <c r="W114" s="504"/>
      <c r="X114" s="41"/>
      <c r="Y114" s="41"/>
      <c r="BO114" s="131"/>
      <c r="BP114" s="131"/>
    </row>
    <row r="115" spans="1:68" s="36" customFormat="1" ht="18" hidden="1" customHeight="1" x14ac:dyDescent="0.2">
      <c r="A115" s="175"/>
      <c r="B115" s="410" t="s">
        <v>1216</v>
      </c>
      <c r="C115" s="410" t="s">
        <v>1217</v>
      </c>
      <c r="D115" s="410" t="s">
        <v>711</v>
      </c>
      <c r="E115" s="410"/>
      <c r="F115" s="410"/>
      <c r="G115" s="411"/>
      <c r="H115" s="410"/>
      <c r="I115" s="410"/>
      <c r="J115" s="504"/>
      <c r="K115" s="504"/>
      <c r="L115" s="503"/>
      <c r="M115" s="249"/>
      <c r="N115" s="356"/>
      <c r="O115" s="504"/>
      <c r="P115" s="38"/>
      <c r="Q115" s="241"/>
      <c r="R115" s="356"/>
      <c r="S115" s="38"/>
      <c r="T115" s="145"/>
      <c r="U115" s="41"/>
      <c r="V115" s="488"/>
      <c r="W115" s="504"/>
      <c r="X115" s="41"/>
      <c r="Y115" s="41"/>
      <c r="BO115" s="131"/>
      <c r="BP115" s="131"/>
    </row>
    <row r="116" spans="1:68" s="36" customFormat="1" ht="18" hidden="1" customHeight="1" x14ac:dyDescent="0.2">
      <c r="A116" s="143"/>
      <c r="B116" s="503" t="str">
        <f>CONCATENATE("A1",":",C116,D116)</f>
        <v>A1:X34</v>
      </c>
      <c r="C116" s="143" t="s">
        <v>1688</v>
      </c>
      <c r="D116" s="36">
        <f>'#BerechnungDBE'!DS106</f>
        <v>34</v>
      </c>
      <c r="E116" s="143"/>
      <c r="F116" s="143"/>
      <c r="G116" s="413"/>
      <c r="H116" s="143"/>
      <c r="I116" s="143"/>
      <c r="J116" s="503"/>
      <c r="K116" s="504"/>
      <c r="L116" s="504"/>
      <c r="M116" s="356"/>
      <c r="N116" s="356"/>
      <c r="O116" s="504"/>
      <c r="P116" s="38"/>
      <c r="Q116" s="38"/>
      <c r="R116" s="356"/>
      <c r="S116" s="38"/>
      <c r="T116" s="145"/>
      <c r="U116" s="41"/>
      <c r="V116" s="488"/>
      <c r="W116" s="504"/>
      <c r="X116" s="41"/>
      <c r="Y116" s="41"/>
      <c r="BO116" s="131"/>
      <c r="BP116" s="131"/>
    </row>
    <row r="117" spans="1:68" s="36" customFormat="1" ht="18" customHeight="1" x14ac:dyDescent="0.2">
      <c r="A117" s="143"/>
      <c r="B117" s="412"/>
      <c r="C117" s="143"/>
      <c r="D117" s="143"/>
      <c r="E117" s="143"/>
      <c r="F117" s="143"/>
      <c r="G117" s="412"/>
      <c r="H117" s="143"/>
      <c r="I117" s="143"/>
      <c r="J117" s="503"/>
      <c r="K117" s="504"/>
      <c r="L117" s="504"/>
      <c r="M117" s="356"/>
      <c r="N117" s="356"/>
      <c r="O117" s="504"/>
      <c r="P117" s="38"/>
      <c r="Q117" s="38"/>
      <c r="R117" s="356"/>
      <c r="S117" s="38"/>
      <c r="T117" s="145"/>
      <c r="U117" s="41"/>
      <c r="V117" s="488"/>
      <c r="W117" s="504"/>
      <c r="X117" s="41"/>
      <c r="Y117" s="41"/>
      <c r="BO117" s="131"/>
      <c r="BP117" s="131"/>
    </row>
    <row r="118" spans="1:68" ht="15" customHeight="1" x14ac:dyDescent="0.2">
      <c r="A118" s="175"/>
    </row>
    <row r="119" spans="1:68" ht="15" customHeight="1" x14ac:dyDescent="0.2">
      <c r="A119" s="175"/>
    </row>
    <row r="120" spans="1:68" ht="15" customHeight="1" x14ac:dyDescent="0.2">
      <c r="A120" s="175"/>
    </row>
    <row r="121" spans="1:68" ht="15" customHeight="1" x14ac:dyDescent="0.2">
      <c r="A121" s="175"/>
    </row>
    <row r="122" spans="1:68" ht="15" customHeight="1" x14ac:dyDescent="0.2">
      <c r="A122" s="175"/>
      <c r="P122" s="880"/>
    </row>
    <row r="123" spans="1:68" ht="15" customHeight="1" x14ac:dyDescent="0.2">
      <c r="A123" s="175"/>
    </row>
    <row r="124" spans="1:68" ht="15" customHeight="1" x14ac:dyDescent="0.2">
      <c r="A124" s="175"/>
    </row>
    <row r="125" spans="1:68" ht="15" customHeight="1" x14ac:dyDescent="0.2">
      <c r="A125" s="175"/>
    </row>
    <row r="126" spans="1:68" ht="15" customHeight="1" x14ac:dyDescent="0.2">
      <c r="A126" s="175"/>
    </row>
    <row r="127" spans="1:68" ht="15" customHeight="1" x14ac:dyDescent="0.2">
      <c r="A127" s="175"/>
    </row>
    <row r="128" spans="1:68" ht="15" customHeight="1" x14ac:dyDescent="0.2">
      <c r="A128" s="175"/>
    </row>
    <row r="129" spans="1:1" ht="15" customHeight="1" x14ac:dyDescent="0.2">
      <c r="A129" s="175"/>
    </row>
    <row r="130" spans="1:1" ht="15" customHeight="1" x14ac:dyDescent="0.2">
      <c r="A130" s="175"/>
    </row>
    <row r="131" spans="1:1" ht="15" customHeight="1" x14ac:dyDescent="0.2">
      <c r="A131" s="175"/>
    </row>
    <row r="132" spans="1:1" ht="15" customHeight="1" x14ac:dyDescent="0.2">
      <c r="A132" s="175"/>
    </row>
    <row r="133" spans="1:1" ht="15" customHeight="1" x14ac:dyDescent="0.2">
      <c r="A133" s="175"/>
    </row>
    <row r="134" spans="1:1" ht="15" customHeight="1" x14ac:dyDescent="0.2">
      <c r="A134" s="175"/>
    </row>
    <row r="135" spans="1:1" ht="15" customHeight="1" x14ac:dyDescent="0.2">
      <c r="A135" s="175"/>
    </row>
    <row r="136" spans="1:1" ht="15" customHeight="1" x14ac:dyDescent="0.2">
      <c r="A136" s="175"/>
    </row>
    <row r="137" spans="1:1" ht="15" customHeight="1" x14ac:dyDescent="0.2">
      <c r="A137" s="175"/>
    </row>
    <row r="138" spans="1:1" ht="15" customHeight="1" x14ac:dyDescent="0.2">
      <c r="A138" s="175"/>
    </row>
    <row r="139" spans="1:1" ht="15" customHeight="1" x14ac:dyDescent="0.2">
      <c r="A139" s="175"/>
    </row>
    <row r="140" spans="1:1" ht="15" customHeight="1" x14ac:dyDescent="0.2">
      <c r="A140" s="175"/>
    </row>
    <row r="141" spans="1:1" ht="15" customHeight="1" x14ac:dyDescent="0.2">
      <c r="A141" s="175"/>
    </row>
    <row r="142" spans="1:1" ht="15" customHeight="1" x14ac:dyDescent="0.2">
      <c r="A142" s="175"/>
    </row>
    <row r="143" spans="1:1" ht="15" customHeight="1" x14ac:dyDescent="0.2">
      <c r="A143" s="175"/>
    </row>
    <row r="144" spans="1:1" ht="15" customHeight="1" x14ac:dyDescent="0.2">
      <c r="A144" s="175"/>
    </row>
    <row r="145" spans="1:1" ht="15" customHeight="1" x14ac:dyDescent="0.2">
      <c r="A145" s="175"/>
    </row>
    <row r="146" spans="1:1" ht="15" customHeight="1" x14ac:dyDescent="0.2">
      <c r="A146" s="175"/>
    </row>
    <row r="147" spans="1:1" ht="15" customHeight="1" x14ac:dyDescent="0.2">
      <c r="A147" s="175"/>
    </row>
    <row r="148" spans="1:1" ht="15" customHeight="1" x14ac:dyDescent="0.2">
      <c r="A148" s="175"/>
    </row>
    <row r="149" spans="1:1" ht="15" customHeight="1" x14ac:dyDescent="0.2">
      <c r="A149" s="175"/>
    </row>
    <row r="150" spans="1:1" ht="15" customHeight="1" x14ac:dyDescent="0.2">
      <c r="A150" s="175"/>
    </row>
    <row r="151" spans="1:1" ht="15" customHeight="1" x14ac:dyDescent="0.2">
      <c r="A151" s="175"/>
    </row>
    <row r="152" spans="1:1" ht="15" customHeight="1" x14ac:dyDescent="0.2">
      <c r="A152" s="175"/>
    </row>
    <row r="153" spans="1:1" ht="15" customHeight="1" x14ac:dyDescent="0.2">
      <c r="A153" s="175"/>
    </row>
    <row r="154" spans="1:1" ht="15" customHeight="1" x14ac:dyDescent="0.2">
      <c r="A154" s="175"/>
    </row>
    <row r="155" spans="1:1" ht="15" customHeight="1" x14ac:dyDescent="0.2">
      <c r="A155" s="175"/>
    </row>
    <row r="156" spans="1:1" ht="15" customHeight="1" x14ac:dyDescent="0.2">
      <c r="A156" s="175"/>
    </row>
    <row r="157" spans="1:1" ht="15" customHeight="1" x14ac:dyDescent="0.2">
      <c r="A157" s="175"/>
    </row>
    <row r="158" spans="1:1" ht="15" customHeight="1" x14ac:dyDescent="0.2">
      <c r="A158" s="175"/>
    </row>
    <row r="159" spans="1:1" ht="15" customHeight="1" x14ac:dyDescent="0.2">
      <c r="A159" s="175"/>
    </row>
    <row r="160" spans="1:1" ht="15" customHeight="1" x14ac:dyDescent="0.2">
      <c r="A160" s="175"/>
    </row>
    <row r="161" spans="1:1" ht="15" customHeight="1" x14ac:dyDescent="0.2">
      <c r="A161" s="175"/>
    </row>
    <row r="162" spans="1:1" ht="15" customHeight="1" x14ac:dyDescent="0.2">
      <c r="A162" s="175"/>
    </row>
    <row r="163" spans="1:1" ht="15" customHeight="1" x14ac:dyDescent="0.2">
      <c r="A163" s="175"/>
    </row>
    <row r="164" spans="1:1" ht="15" customHeight="1" x14ac:dyDescent="0.2">
      <c r="A164" s="175"/>
    </row>
    <row r="165" spans="1:1" ht="15" customHeight="1" x14ac:dyDescent="0.2">
      <c r="A165" s="175"/>
    </row>
    <row r="166" spans="1:1" ht="15" customHeight="1" x14ac:dyDescent="0.2">
      <c r="A166" s="175"/>
    </row>
    <row r="167" spans="1:1" ht="15" customHeight="1" x14ac:dyDescent="0.2">
      <c r="A167" s="175"/>
    </row>
    <row r="168" spans="1:1" ht="15" customHeight="1" x14ac:dyDescent="0.2">
      <c r="A168" s="175"/>
    </row>
    <row r="169" spans="1:1" ht="15" customHeight="1" x14ac:dyDescent="0.2">
      <c r="A169" s="175"/>
    </row>
    <row r="170" spans="1:1" ht="15" customHeight="1" x14ac:dyDescent="0.2">
      <c r="A170" s="175"/>
    </row>
    <row r="171" spans="1:1" ht="15" customHeight="1" x14ac:dyDescent="0.2">
      <c r="A171" s="175"/>
    </row>
    <row r="172" spans="1:1" ht="15" customHeight="1" x14ac:dyDescent="0.2">
      <c r="A172" s="175"/>
    </row>
    <row r="173" spans="1:1" ht="15" customHeight="1" x14ac:dyDescent="0.2">
      <c r="A173" s="175"/>
    </row>
    <row r="174" spans="1:1" ht="15" customHeight="1" x14ac:dyDescent="0.2">
      <c r="A174" s="175"/>
    </row>
    <row r="175" spans="1:1" ht="15" customHeight="1" x14ac:dyDescent="0.2">
      <c r="A175" s="175"/>
    </row>
    <row r="176" spans="1:1" ht="15" customHeight="1" x14ac:dyDescent="0.2">
      <c r="A176" s="175"/>
    </row>
    <row r="177" spans="1:1" ht="15" customHeight="1" x14ac:dyDescent="0.2">
      <c r="A177" s="175"/>
    </row>
    <row r="178" spans="1:1" ht="15" customHeight="1" x14ac:dyDescent="0.2">
      <c r="A178" s="175"/>
    </row>
    <row r="179" spans="1:1" ht="15" customHeight="1" x14ac:dyDescent="0.2">
      <c r="A179" s="175"/>
    </row>
    <row r="180" spans="1:1" ht="15" customHeight="1" x14ac:dyDescent="0.2">
      <c r="A180" s="175"/>
    </row>
    <row r="181" spans="1:1" ht="15" customHeight="1" x14ac:dyDescent="0.2">
      <c r="A181" s="175"/>
    </row>
    <row r="182" spans="1:1" ht="15" customHeight="1" x14ac:dyDescent="0.2">
      <c r="A182" s="175"/>
    </row>
    <row r="183" spans="1:1" ht="15" customHeight="1" x14ac:dyDescent="0.2">
      <c r="A183" s="175"/>
    </row>
    <row r="184" spans="1:1" ht="15" customHeight="1" x14ac:dyDescent="0.2">
      <c r="A184" s="175"/>
    </row>
    <row r="185" spans="1:1" ht="15" customHeight="1" x14ac:dyDescent="0.2">
      <c r="A185" s="175"/>
    </row>
    <row r="186" spans="1:1" ht="15" customHeight="1" x14ac:dyDescent="0.2">
      <c r="A186" s="175"/>
    </row>
    <row r="187" spans="1:1" ht="15" customHeight="1" x14ac:dyDescent="0.2">
      <c r="A187" s="175"/>
    </row>
    <row r="188" spans="1:1" ht="15" customHeight="1" x14ac:dyDescent="0.2">
      <c r="A188" s="175"/>
    </row>
    <row r="189" spans="1:1" ht="15" customHeight="1" x14ac:dyDescent="0.2">
      <c r="A189" s="175"/>
    </row>
    <row r="190" spans="1:1" ht="15" customHeight="1" x14ac:dyDescent="0.2">
      <c r="A190" s="175"/>
    </row>
    <row r="191" spans="1:1" ht="15" customHeight="1" x14ac:dyDescent="0.2">
      <c r="A191" s="175"/>
    </row>
    <row r="192" spans="1:1" ht="15" customHeight="1" x14ac:dyDescent="0.2">
      <c r="A192" s="175"/>
    </row>
    <row r="193" spans="1:1" ht="15" customHeight="1" x14ac:dyDescent="0.2">
      <c r="A193" s="175"/>
    </row>
    <row r="194" spans="1:1" ht="15" customHeight="1" x14ac:dyDescent="0.2">
      <c r="A194" s="175"/>
    </row>
    <row r="195" spans="1:1" ht="15" customHeight="1" x14ac:dyDescent="0.2">
      <c r="A195" s="175"/>
    </row>
    <row r="196" spans="1:1" ht="15" customHeight="1" x14ac:dyDescent="0.2">
      <c r="A196" s="175"/>
    </row>
    <row r="197" spans="1:1" ht="15" customHeight="1" x14ac:dyDescent="0.2">
      <c r="A197" s="175"/>
    </row>
    <row r="198" spans="1:1" ht="15" customHeight="1" x14ac:dyDescent="0.2">
      <c r="A198" s="175"/>
    </row>
    <row r="199" spans="1:1" ht="15" customHeight="1" x14ac:dyDescent="0.2">
      <c r="A199" s="175"/>
    </row>
    <row r="200" spans="1:1" ht="15" customHeight="1" x14ac:dyDescent="0.2">
      <c r="A200" s="175"/>
    </row>
    <row r="201" spans="1:1" ht="15" customHeight="1" x14ac:dyDescent="0.2">
      <c r="A201" s="175"/>
    </row>
    <row r="202" spans="1:1" ht="15" customHeight="1" x14ac:dyDescent="0.2">
      <c r="A202" s="175"/>
    </row>
    <row r="203" spans="1:1" ht="15" customHeight="1" x14ac:dyDescent="0.2">
      <c r="A203" s="175"/>
    </row>
    <row r="204" spans="1:1" ht="15" customHeight="1" x14ac:dyDescent="0.2">
      <c r="A204" s="175"/>
    </row>
    <row r="205" spans="1:1" ht="15" customHeight="1" x14ac:dyDescent="0.2">
      <c r="A205" s="175"/>
    </row>
    <row r="206" spans="1:1" ht="15" customHeight="1" x14ac:dyDescent="0.2">
      <c r="A206" s="175"/>
    </row>
    <row r="207" spans="1:1" ht="15" customHeight="1" x14ac:dyDescent="0.2">
      <c r="A207" s="175"/>
    </row>
    <row r="208" spans="1:1" ht="15" customHeight="1" x14ac:dyDescent="0.2">
      <c r="A208" s="175"/>
    </row>
    <row r="209" spans="1:1" ht="15" customHeight="1" x14ac:dyDescent="0.2">
      <c r="A209" s="175"/>
    </row>
    <row r="210" spans="1:1" ht="15" customHeight="1" x14ac:dyDescent="0.2">
      <c r="A210" s="175"/>
    </row>
    <row r="211" spans="1:1" ht="15" customHeight="1" x14ac:dyDescent="0.2">
      <c r="A211" s="175"/>
    </row>
    <row r="212" spans="1:1" ht="15" customHeight="1" x14ac:dyDescent="0.2">
      <c r="A212" s="175"/>
    </row>
    <row r="213" spans="1:1" ht="15" customHeight="1" x14ac:dyDescent="0.2">
      <c r="A213" s="175"/>
    </row>
    <row r="214" spans="1:1" ht="15" customHeight="1" x14ac:dyDescent="0.2">
      <c r="A214" s="175"/>
    </row>
    <row r="215" spans="1:1" ht="15" customHeight="1" x14ac:dyDescent="0.2">
      <c r="A215" s="175"/>
    </row>
    <row r="216" spans="1:1" ht="15" customHeight="1" x14ac:dyDescent="0.2">
      <c r="A216" s="175"/>
    </row>
    <row r="217" spans="1:1" ht="15" customHeight="1" x14ac:dyDescent="0.2">
      <c r="A217" s="175"/>
    </row>
    <row r="218" spans="1:1" ht="15" customHeight="1" x14ac:dyDescent="0.2">
      <c r="A218" s="175"/>
    </row>
    <row r="219" spans="1:1" ht="15" customHeight="1" x14ac:dyDescent="0.2">
      <c r="A219" s="175"/>
    </row>
    <row r="220" spans="1:1" ht="15" customHeight="1" x14ac:dyDescent="0.2">
      <c r="A220" s="175"/>
    </row>
    <row r="221" spans="1:1" ht="15" customHeight="1" x14ac:dyDescent="0.2">
      <c r="A221" s="175"/>
    </row>
    <row r="222" spans="1:1" ht="15" customHeight="1" x14ac:dyDescent="0.2">
      <c r="A222" s="175"/>
    </row>
    <row r="223" spans="1:1" ht="15" customHeight="1" x14ac:dyDescent="0.2">
      <c r="A223" s="175"/>
    </row>
    <row r="224" spans="1:1" ht="15" customHeight="1" x14ac:dyDescent="0.2">
      <c r="A224" s="175"/>
    </row>
    <row r="225" spans="1:1" ht="15" customHeight="1" x14ac:dyDescent="0.2">
      <c r="A225" s="175"/>
    </row>
    <row r="226" spans="1:1" ht="15" customHeight="1" x14ac:dyDescent="0.2">
      <c r="A226" s="175"/>
    </row>
    <row r="227" spans="1:1" ht="15" customHeight="1" x14ac:dyDescent="0.2">
      <c r="A227" s="175"/>
    </row>
    <row r="228" spans="1:1" ht="15" customHeight="1" x14ac:dyDescent="0.2">
      <c r="A228" s="175"/>
    </row>
    <row r="229" spans="1:1" ht="15" customHeight="1" x14ac:dyDescent="0.2">
      <c r="A229" s="175"/>
    </row>
  </sheetData>
  <sheetProtection algorithmName="SHA-512" hashValue="wMpq1xv+BWryP0BXTtgfDmPuudhDbFlJKdEdse/rle+5JSrZc7+6Gu21mhO98B/koRSMFs1JhK4EKmJ1jT9x8Q==" saltValue="ZlgtGCUbuTyxKDtZUzb32A=="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10">
    <mergeCell ref="C2:J2"/>
    <mergeCell ref="M2:T2"/>
    <mergeCell ref="V5:W5"/>
    <mergeCell ref="D5:F5"/>
    <mergeCell ref="L7:T7"/>
    <mergeCell ref="J7:K7"/>
    <mergeCell ref="A7:I7"/>
    <mergeCell ref="V7:W7"/>
    <mergeCell ref="G5:I5"/>
    <mergeCell ref="M5:N5"/>
  </mergeCells>
  <phoneticPr fontId="34" type="noConversion"/>
  <dataValidations count="12">
    <dataValidation type="whole" operator="greaterThanOrEqual" allowBlank="1" showInputMessage="1" showErrorMessage="1" errorTitle="Ungültige Eingabe" error="Eingabe einer positive, ganzen Zahl notwendig." sqref="Q10:R109">
      <formula1>0</formula1>
    </dataValidation>
    <dataValidation type="whole" operator="greaterThanOrEqual" allowBlank="1" showInputMessage="1" showErrorMessage="1" errorTitle="Fehler Ertrag" error="Geben Sie ihren Ertrag in positiven Werten ein" sqref="R10:R109">
      <formula1>0</formula1>
    </dataValidation>
    <dataValidation type="textLength" operator="lessThanOrEqual" allowBlank="1" showInputMessage="1" showErrorMessage="1" errorTitle="Textlänge" error="Sie haben die maximale Textlänge von 21 Zeichen überschritten. " sqref="B10:B109">
      <formula1>21</formula1>
    </dataValidation>
    <dataValidation type="whole" operator="greaterThanOrEqual" allowBlank="1" showInputMessage="1" showErrorMessage="1" errorTitle="Fehlerhafte Eingabe" error="Hier dürfen nur positive Zahlen eingegeben werden." sqref="O10:O109">
      <formula1>0</formula1>
    </dataValidation>
    <dataValidation type="list" allowBlank="1" showInputMessage="1" showErrorMessage="1" sqref="P10:P109 J10:J109">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0:S10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9 V101 V105 V107 V103 V95 V97 V99 V93 V29 V31 V33:V35 V37 V39 V41 V43 V45 V47 V49 V51 V53 V55 V57 V59 V61 V63 V65 V67 V69 V71 V73 V75 V77 V79 V81 V83 V85 V87 V89 V91 W10:W109">
      <formula1>0</formula1>
      <formula2>1000.1</formula2>
    </dataValidation>
    <dataValidation type="list" allowBlank="1" showInputMessage="1" showErrorMessage="1" sqref="L10:L109">
      <formula1>NK_Dropdown</formula1>
    </dataValidation>
    <dataValidation type="whole" operator="greaterThanOrEqual" allowBlank="1" showInputMessage="1" showErrorMessage="1" errorTitle="Ungültige Eingabe" error="Eingabe des organischen Düngers (Ngesamt) des Vorjahres als positive, ganze Zahl." sqref="K10:K109">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4 V106 V108 V102 V96 V98 V100 V30 V32 V94 V36 V38 V40 V42 V44 V46 V48 V50 V52 V54 V56 V58 V60 V62 V64 V66 V68 V70 V72 V74 V76 V78 V80 V82 V84 V86 V88 V90 V92 V10:V28">
      <formula1>0</formula1>
      <formula2>1000.1</formula2>
    </dataValidation>
    <dataValidation type="decimal" allowBlank="1" showInputMessage="1" showErrorMessage="1" errorTitle="Fehler Dateneingabe" error="Bitte geben Sie hier eine Dezimalzahl mit maximal einer Nachkommastelle an." sqref="U10:U109">
      <formula1>-1000.1</formula1>
      <formula2>1000.1</formula2>
    </dataValidation>
    <dataValidation type="whole" operator="greaterThanOrEqual" allowBlank="1" showInputMessage="1" showErrorMessage="1" errorTitle="Ungültige Eingabe" error="Eingabe der organischen Düngung (Ngesamt) des Vorjahres als positive Zahl." sqref="K10:K1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Sr, Sp, Ka), Stand: 13.12.2021&amp;RSeite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00000000-000E-0000-0A00-00003E000000}">
            <xm:f>'#BerechnungDBE'!$O5&gt;1</xm:f>
            <x14:dxf>
              <fill>
                <patternFill patternType="lightDown"/>
              </fill>
            </x14:dxf>
          </x14:cfRule>
          <xm:sqref>L10:L109</xm:sqref>
        </x14:conditionalFormatting>
        <x14:conditionalFormatting xmlns:xm="http://schemas.microsoft.com/office/excel/2006/main">
          <x14:cfRule type="expression" priority="95" id="{00000000-000E-0000-0A00-000038000000}">
            <xm:f>'#BerechnungDBE'!$N5&gt;1</xm:f>
            <x14:dxf>
              <fill>
                <patternFill patternType="lightDown"/>
              </fill>
            </x14:dxf>
          </x14:cfRule>
          <xm:sqref>S10:T109</xm:sqref>
        </x14:conditionalFormatting>
        <x14:conditionalFormatting xmlns:xm="http://schemas.microsoft.com/office/excel/2006/main">
          <x14:cfRule type="expression" priority="89" id="{00000000-000E-0000-0A00-000032000000}">
            <xm:f>'#BerechnungDBE'!$AF5=0</xm:f>
            <x14:dxf>
              <fill>
                <patternFill patternType="lightDown"/>
              </fill>
            </x14:dxf>
          </x14:cfRule>
          <xm:sqref>N10:N109</xm:sqref>
        </x14:conditionalFormatting>
        <x14:conditionalFormatting xmlns:xm="http://schemas.microsoft.com/office/excel/2006/main">
          <x14:cfRule type="expression" priority="87" id="{00000000-000E-0000-0A00-000030000000}">
            <xm:f>OR('#BerechnungDBE'!$AF5=70,'#BerechnungDBE'!$AF5=0)</xm:f>
            <x14:dxf>
              <fill>
                <patternFill patternType="lightDown"/>
              </fill>
            </x14:dxf>
          </x14:cfRule>
          <xm:sqref>M10:M109</xm:sqref>
        </x14:conditionalFormatting>
        <x14:conditionalFormatting xmlns:xm="http://schemas.microsoft.com/office/excel/2006/main">
          <x14:cfRule type="expression" priority="265" id="{00000000-000E-0000-0A00-000007000000}">
            <xm:f>OR(AND('#BerechnungDBE'!$AH5&lt;4,'#BerechnungDBE'!$AF5=80),'#BerechnungDBE'!$AF5=0)</xm:f>
            <x14:dxf>
              <fill>
                <patternFill patternType="lightDown"/>
              </fill>
            </x14:dxf>
          </x14:cfRule>
          <xm:sqref>O10:O109</xm:sqref>
        </x14:conditionalFormatting>
        <x14:conditionalFormatting xmlns:xm="http://schemas.microsoft.com/office/excel/2006/main">
          <x14:cfRule type="expression" priority="38" id="{FFCD6DDA-1CD6-47BF-83C6-170981D44CE4}">
            <xm:f>'#BerechnungDBE'!$N5=3</xm:f>
            <x14:dxf>
              <fill>
                <patternFill patternType="lightDown"/>
              </fill>
            </x14:dxf>
          </x14:cfRule>
          <xm:sqref>Q10:Q109</xm:sqref>
        </x14:conditionalFormatting>
        <x14:conditionalFormatting xmlns:xm="http://schemas.microsoft.com/office/excel/2006/main">
          <x14:cfRule type="expression" priority="37" id="{F2B61AEB-501D-4C98-A404-BCE812E39D75}">
            <xm:f>'#BerechnungDBE'!$N5&lt;&gt;3</xm:f>
            <x14:dxf>
              <fill>
                <patternFill patternType="lightDown"/>
              </fill>
            </x14:dxf>
          </x14:cfRule>
          <xm:sqref>R10:R109</xm:sqref>
        </x14:conditionalFormatting>
        <x14:conditionalFormatting xmlns:xm="http://schemas.microsoft.com/office/excel/2006/main">
          <x14:cfRule type="expression" priority="36" id="{45B169AE-A913-41C4-929A-9272ABD75B45}">
            <xm:f>'#BerechnungDBE'!$R5=2</xm:f>
            <x14:dxf>
              <fill>
                <patternFill patternType="lightDown"/>
              </fill>
            </x14:dxf>
          </x14:cfRule>
          <xm:sqref>V10:W109</xm:sqref>
        </x14:conditionalFormatting>
        <x14:conditionalFormatting xmlns:xm="http://schemas.microsoft.com/office/excel/2006/main">
          <x14:cfRule type="expression" priority="35" id="{CBF1EEF8-B8CC-4068-A9E1-6757E7B29080}">
            <xm:f>'#BerechnungDBE'!$AF5&lt;&gt;70</xm:f>
            <x14:dxf>
              <fill>
                <patternFill patternType="lightDown"/>
              </fill>
            </x14:dxf>
          </x14:cfRule>
          <xm:sqref>W10:W109</xm:sqref>
        </x14:conditionalFormatting>
        <x14:conditionalFormatting xmlns:xm="http://schemas.microsoft.com/office/excel/2006/main">
          <x14:cfRule type="expression" priority="34" id="{FE68E75E-203A-4CAB-85DC-53CA98035138}">
            <xm:f>'#BerechnungDBE'!$N5=2</xm:f>
            <x14:dxf>
              <fill>
                <patternFill patternType="lightDown"/>
              </fill>
            </x14:dxf>
          </x14:cfRule>
          <xm:sqref>I10:I109</xm:sqref>
        </x14:conditionalFormatting>
        <x14:conditionalFormatting xmlns:xm="http://schemas.microsoft.com/office/excel/2006/main">
          <x14:cfRule type="expression" priority="11" id="{3125E407-4C1C-48E8-8625-DBAF1A1AE7B2}">
            <xm:f>AND('#BerechnungDBE'!$AL5=0,'#BerechnungDBE'!$AB5&lt;4)</xm:f>
            <x14:dxf>
              <fill>
                <patternFill patternType="lightDown"/>
              </fill>
            </x14:dxf>
          </x14:cfRule>
          <xm:sqref>S10:S109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14:formula1>
            <xm:f>'#Boden'!$B$47</xm:f>
          </x14:formula1>
          <xm:sqref>E10:E109</xm:sqref>
        </x14:dataValidation>
        <x14:dataValidation type="list" allowBlank="1" showInputMessage="1" showErrorMessage="1">
          <x14:formula1>
            <xm:f>'#Boden'!$B$26:$B$29</xm:f>
          </x14:formula1>
          <xm:sqref>G10:G109</xm:sqref>
        </x14:dataValidation>
        <x14:dataValidation type="list" allowBlank="1" showInputMessage="1" showErrorMessage="1">
          <x14:formula1>
            <xm:f>'#Boden'!$B$30:$B$32</xm:f>
          </x14:formula1>
          <xm:sqref>T10:T109</xm:sqref>
        </x14:dataValidation>
        <x14:dataValidation type="list" allowBlank="1" showInputMessage="1" showErrorMessage="1">
          <x14:formula1>
            <xm:f>'#Boden'!$G$22:$G$24</xm:f>
          </x14:formula1>
          <xm:sqref>N10:N109</xm:sqref>
        </x14:dataValidation>
        <x14:dataValidation type="list" allowBlank="1" showInputMessage="1" showErrorMessage="1">
          <x14:formula1>
            <xm:f>'#Boden'!$B$9:$B$15</xm:f>
          </x14:formula1>
          <xm:sqref>I10:I109</xm:sqref>
        </x14:dataValidation>
        <x14:dataValidation type="list" allowBlank="1" showInputMessage="1" showErrorMessage="1">
          <x14:formula1>
            <xm:f>'#Boden'!$B$23:$B$25</xm:f>
          </x14:formula1>
          <xm:sqref>H10:I109</xm:sqref>
        </x14:dataValidation>
        <x14:dataValidation type="list" allowBlank="1" showInputMessage="1" showErrorMessage="1">
          <x14:formula1>
            <xm:f>'#Boden'!$B$47</xm:f>
          </x14:formula1>
          <xm:sqref>E10:E109</xm:sqref>
        </x14:dataValidation>
        <x14:dataValidation type="list" allowBlank="1" showInputMessage="1" showErrorMessage="1">
          <x14:formula1>
            <xm:f>'#Boden'!$B$37:$B$39</xm:f>
          </x14:formula1>
          <xm:sqref>R116:R117</xm:sqref>
        </x14:dataValidation>
        <x14:dataValidation type="list" allowBlank="1" showInputMessage="1" showErrorMessage="1">
          <x14:formula1>
            <xm:f>'#Boden'!$G$17:$G$21</xm:f>
          </x14:formula1>
          <xm:sqref>M10:M109</xm:sqref>
        </x14:dataValidation>
        <x14:dataValidation type="list" allowBlank="1" showInputMessage="1" showErrorMessage="1">
          <x14:formula1>
            <xm:f>'#Boden'!$G$4:$G$8</xm:f>
          </x14:formula1>
          <xm:sqref>F10:F109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DS570"/>
  <sheetViews>
    <sheetView topLeftCell="CY1" workbookViewId="0">
      <selection activeCell="DR5" sqref="DR5"/>
    </sheetView>
  </sheetViews>
  <sheetFormatPr baseColWidth="10" defaultRowHeight="12.75" x14ac:dyDescent="0.2"/>
  <cols>
    <col min="2" max="5" width="11.42578125" style="758"/>
    <col min="6" max="6" width="20.7109375" style="758" customWidth="1"/>
    <col min="7" max="10" width="11.42578125" style="758"/>
    <col min="11" max="11" width="12.28515625" bestFit="1" customWidth="1"/>
    <col min="13" max="13" width="11.42578125" style="627"/>
    <col min="14" max="14" width="10.42578125" customWidth="1"/>
    <col min="15" max="15" width="12" customWidth="1"/>
    <col min="16" max="16" width="12" style="627" customWidth="1"/>
    <col min="18" max="18" width="11.42578125" style="718"/>
    <col min="19" max="19" width="11.42578125" style="627"/>
    <col min="21" max="21" width="11.42578125" style="718"/>
    <col min="22" max="23" width="11.42578125" style="938"/>
    <col min="26" max="26" width="11.42578125" style="718"/>
    <col min="27" max="27" width="11.5703125" style="830"/>
    <col min="28" max="28" width="11.5703125" style="875"/>
    <col min="29" max="30" width="11.42578125" style="921"/>
    <col min="31" max="31" width="11.42578125" style="938"/>
    <col min="35" max="35" width="11.42578125" style="683"/>
    <col min="36" max="36" width="11.42578125" style="938"/>
    <col min="37" max="37" width="11.5703125" style="830"/>
    <col min="39" max="39" width="11.42578125" style="683"/>
    <col min="43" max="43" width="11.42578125" style="627"/>
    <col min="44" max="44" width="11.42578125" style="683"/>
    <col min="46" max="46" width="11.42578125" style="627"/>
    <col min="54" max="55" width="11.42578125" style="627"/>
    <col min="56" max="56" width="11.42578125" style="127"/>
    <col min="57" max="57" width="11.42578125" style="910"/>
    <col min="58" max="60" width="11.42578125" style="718"/>
    <col min="61" max="65" width="11.42578125" style="871"/>
    <col min="66" max="66" width="11.42578125" style="906"/>
    <col min="67" max="67" width="11.42578125" style="745"/>
    <col min="81" max="81" width="11.42578125" style="745"/>
    <col min="87" max="87" width="11.42578125" style="938"/>
    <col min="91" max="91" width="11.42578125" style="807"/>
    <col min="93" max="93" width="11.5703125" style="836"/>
    <col min="94" max="97" width="11.42578125" style="871"/>
    <col min="99" max="99" width="11.42578125" style="938"/>
    <col min="100" max="100" width="11.42578125" style="871"/>
    <col min="103" max="103" width="11.42578125" style="745"/>
    <col min="114" max="117" width="11.42578125" style="810"/>
    <col min="120" max="120" width="11.42578125" style="910"/>
  </cols>
  <sheetData>
    <row r="1" spans="1:123" x14ac:dyDescent="0.2">
      <c r="A1" s="759" t="s">
        <v>1454</v>
      </c>
      <c r="B1" s="759"/>
      <c r="C1" s="759"/>
      <c r="D1" s="759"/>
      <c r="E1" s="759"/>
      <c r="F1" s="759"/>
      <c r="G1" s="759"/>
      <c r="H1" s="759"/>
      <c r="I1" s="759"/>
      <c r="J1" s="882" t="s">
        <v>1794</v>
      </c>
      <c r="L1" s="882" t="s">
        <v>1600</v>
      </c>
      <c r="BH1" s="871"/>
      <c r="BM1" s="906"/>
      <c r="BN1" s="745"/>
      <c r="BO1"/>
      <c r="CB1" s="745">
        <v>1</v>
      </c>
      <c r="CC1">
        <f>COLUMN(CC1)-COLUMN($CB$1)+1</f>
        <v>2</v>
      </c>
      <c r="CD1" s="938">
        <f t="shared" ref="CD1:CU1" si="0">COLUMN(CD1)-COLUMN($CB$1)+1</f>
        <v>3</v>
      </c>
      <c r="CE1" s="938">
        <f t="shared" si="0"/>
        <v>4</v>
      </c>
      <c r="CF1" s="938">
        <f t="shared" si="0"/>
        <v>5</v>
      </c>
      <c r="CG1" s="938">
        <f t="shared" si="0"/>
        <v>6</v>
      </c>
      <c r="CH1" s="938">
        <f t="shared" si="0"/>
        <v>7</v>
      </c>
      <c r="CJ1" s="938">
        <f t="shared" si="0"/>
        <v>9</v>
      </c>
      <c r="CK1" s="938">
        <f t="shared" si="0"/>
        <v>10</v>
      </c>
      <c r="CL1" s="938">
        <f t="shared" si="0"/>
        <v>11</v>
      </c>
      <c r="CM1" s="938">
        <f t="shared" si="0"/>
        <v>12</v>
      </c>
      <c r="CN1" s="938">
        <f t="shared" si="0"/>
        <v>13</v>
      </c>
      <c r="CO1" s="938">
        <f t="shared" si="0"/>
        <v>14</v>
      </c>
      <c r="CP1" s="938">
        <f t="shared" si="0"/>
        <v>15</v>
      </c>
      <c r="CQ1" s="938">
        <f t="shared" si="0"/>
        <v>16</v>
      </c>
      <c r="CR1" s="938">
        <f t="shared" si="0"/>
        <v>17</v>
      </c>
      <c r="CS1" s="938">
        <f t="shared" si="0"/>
        <v>18</v>
      </c>
      <c r="CT1" s="938">
        <f t="shared" si="0"/>
        <v>19</v>
      </c>
      <c r="CU1" s="938">
        <f t="shared" si="0"/>
        <v>20</v>
      </c>
      <c r="CV1"/>
      <c r="CW1" s="297"/>
      <c r="CX1" s="745"/>
      <c r="CY1" s="235"/>
      <c r="CZ1" s="235"/>
      <c r="DA1" s="235"/>
      <c r="DB1" s="235"/>
      <c r="DC1" s="235"/>
      <c r="DD1" s="235"/>
      <c r="DE1" s="235"/>
      <c r="DF1" s="235"/>
      <c r="DG1" s="235"/>
      <c r="DH1" s="235"/>
      <c r="DI1" s="810"/>
      <c r="DM1" s="235"/>
      <c r="DO1" s="910"/>
      <c r="DP1" s="167"/>
    </row>
    <row r="2" spans="1:123" s="627" customFormat="1" x14ac:dyDescent="0.2">
      <c r="B2" s="758" t="s">
        <v>2176</v>
      </c>
      <c r="C2" s="758"/>
      <c r="D2" s="758"/>
      <c r="E2" s="938"/>
      <c r="F2" s="758"/>
      <c r="G2" s="758"/>
      <c r="H2" s="758"/>
      <c r="I2" s="758"/>
      <c r="J2" s="977" t="s">
        <v>1793</v>
      </c>
      <c r="K2" s="295" t="str">
        <f>LEFT(Betrieb!$C$8,3)</f>
        <v/>
      </c>
      <c r="M2" s="1602" t="s">
        <v>1278</v>
      </c>
      <c r="N2" s="1602"/>
      <c r="O2" s="1602"/>
      <c r="P2" s="1602"/>
      <c r="Q2" s="1602"/>
      <c r="R2" s="1602"/>
      <c r="S2" s="1602"/>
      <c r="T2" s="1602"/>
      <c r="U2" s="1602"/>
      <c r="V2" s="1602"/>
      <c r="W2" s="1602"/>
      <c r="X2" s="1602"/>
      <c r="Y2" s="1602"/>
      <c r="Z2" s="1602"/>
      <c r="AA2" s="1602"/>
      <c r="AB2" s="877"/>
      <c r="AC2" s="922"/>
      <c r="AD2" s="922"/>
      <c r="AE2" s="1449"/>
      <c r="AF2" s="1534" t="s">
        <v>1279</v>
      </c>
      <c r="AG2" s="1534"/>
      <c r="AH2" s="1534"/>
      <c r="AI2" s="684"/>
      <c r="AJ2" s="1028"/>
      <c r="AK2" s="828"/>
      <c r="AL2" s="689" t="s">
        <v>1297</v>
      </c>
      <c r="AM2" s="689"/>
      <c r="AN2" s="690"/>
      <c r="AO2" s="690"/>
      <c r="AP2" s="690"/>
      <c r="AQ2" s="690"/>
      <c r="AR2" s="690"/>
      <c r="AS2" s="690"/>
      <c r="AT2" s="690"/>
      <c r="AU2" s="690"/>
      <c r="AV2" s="690"/>
      <c r="AW2" s="690"/>
      <c r="AX2" s="690"/>
      <c r="AY2" s="690"/>
      <c r="AZ2" s="690"/>
      <c r="BA2" s="1610" t="s">
        <v>1405</v>
      </c>
      <c r="BB2" s="690"/>
      <c r="BC2" s="1610" t="s">
        <v>1407</v>
      </c>
      <c r="BD2" s="926"/>
      <c r="BE2" s="690"/>
      <c r="BF2" s="690"/>
      <c r="BG2" s="690"/>
      <c r="BH2" s="690"/>
      <c r="BI2" s="690"/>
      <c r="BJ2" s="690"/>
      <c r="BK2" s="690"/>
      <c r="BL2" s="690"/>
      <c r="BM2" s="929" t="s">
        <v>1576</v>
      </c>
      <c r="BN2" s="753" t="s">
        <v>1306</v>
      </c>
      <c r="BO2" s="754"/>
      <c r="BP2" s="754"/>
      <c r="BQ2" s="754"/>
      <c r="BR2" s="754"/>
      <c r="BS2" s="754"/>
      <c r="BT2" s="754"/>
      <c r="BU2" s="754"/>
      <c r="BV2" s="754"/>
      <c r="BW2" s="754"/>
      <c r="BX2" s="754"/>
      <c r="BY2" s="754"/>
      <c r="BZ2" s="754"/>
      <c r="CB2" s="817" t="s">
        <v>1307</v>
      </c>
      <c r="CC2" s="818"/>
      <c r="CD2" s="818"/>
      <c r="CE2" s="818"/>
      <c r="CF2" s="818"/>
      <c r="CG2" s="818"/>
      <c r="CH2" s="818"/>
      <c r="CI2" s="818"/>
      <c r="CJ2" s="818"/>
      <c r="CK2" s="818"/>
      <c r="CL2" s="818"/>
      <c r="CM2" s="818"/>
      <c r="CN2" s="818"/>
      <c r="CO2" s="818"/>
      <c r="CP2" s="818"/>
      <c r="CQ2" s="818"/>
      <c r="CR2" s="818"/>
      <c r="CS2" s="818"/>
      <c r="CT2" s="818"/>
      <c r="CU2" s="818"/>
      <c r="CV2" s="170" t="s">
        <v>491</v>
      </c>
      <c r="CW2" s="235"/>
      <c r="CX2" s="745"/>
      <c r="CY2" s="235"/>
      <c r="CZ2" s="235"/>
      <c r="DA2" s="235"/>
      <c r="DB2" s="235"/>
      <c r="DC2" s="235"/>
      <c r="DD2" s="235"/>
      <c r="DE2" s="235"/>
      <c r="DF2" s="235"/>
      <c r="DG2" s="235"/>
      <c r="DH2" s="235"/>
      <c r="DI2" s="810"/>
      <c r="DJ2" s="810"/>
      <c r="DK2" s="810"/>
      <c r="DL2" s="810"/>
      <c r="DM2" s="235"/>
      <c r="DN2"/>
      <c r="DO2" s="353" t="s">
        <v>344</v>
      </c>
      <c r="DP2" s="70"/>
      <c r="DQ2"/>
    </row>
    <row r="3" spans="1:123" s="627" customFormat="1" ht="25.5" customHeight="1" x14ac:dyDescent="0.2">
      <c r="B3" s="758" t="s">
        <v>2177</v>
      </c>
      <c r="C3" s="758"/>
      <c r="D3" s="758"/>
      <c r="E3" s="758"/>
      <c r="F3" s="758"/>
      <c r="G3" s="758"/>
      <c r="H3" s="758"/>
      <c r="I3" s="758"/>
      <c r="J3" s="80" t="s">
        <v>1217</v>
      </c>
      <c r="K3" s="81">
        <f>IFERROR(MATCH(K2,Kulturen[[#Headers],[161]:[780]],0)+'#Frucht'!Y1-1,0)</f>
        <v>0</v>
      </c>
      <c r="M3" s="628"/>
      <c r="N3" s="628"/>
      <c r="O3" s="628"/>
      <c r="P3" s="628"/>
      <c r="Q3" s="628"/>
      <c r="R3" s="717"/>
      <c r="S3" s="628"/>
      <c r="T3" s="628"/>
      <c r="U3" s="1392"/>
      <c r="V3" s="968"/>
      <c r="W3" s="978"/>
      <c r="X3" s="628"/>
      <c r="Z3" s="718"/>
      <c r="AA3" s="830"/>
      <c r="AB3" s="875"/>
      <c r="AC3" s="921"/>
      <c r="AD3" s="921"/>
      <c r="AE3" s="1447"/>
      <c r="AF3" s="628"/>
      <c r="AG3" s="628"/>
      <c r="AH3" s="628"/>
      <c r="AI3" s="684"/>
      <c r="AJ3" s="1028"/>
      <c r="AK3" s="828"/>
      <c r="AL3" s="694" t="s">
        <v>65</v>
      </c>
      <c r="AM3" s="694"/>
      <c r="AN3" s="694"/>
      <c r="AO3" s="694"/>
      <c r="AP3" s="694"/>
      <c r="AQ3" s="694"/>
      <c r="AR3" s="694"/>
      <c r="AS3" s="697" t="s">
        <v>1293</v>
      </c>
      <c r="AT3" s="697"/>
      <c r="AU3" s="698"/>
      <c r="AV3" s="698"/>
      <c r="AW3" s="698"/>
      <c r="AX3" s="1609" t="s">
        <v>1294</v>
      </c>
      <c r="AY3" s="1609"/>
      <c r="AZ3" s="1609"/>
      <c r="BA3" s="1610"/>
      <c r="BB3" s="628"/>
      <c r="BC3" s="1610"/>
      <c r="BD3" s="926"/>
      <c r="BE3" s="690"/>
      <c r="BF3" s="690"/>
      <c r="BG3" s="690"/>
      <c r="BH3" s="690"/>
      <c r="BI3" s="690"/>
      <c r="BJ3" s="690"/>
      <c r="BK3" s="690"/>
      <c r="BL3" s="690"/>
      <c r="BM3" s="690"/>
      <c r="BN3" s="1604" t="s">
        <v>1427</v>
      </c>
      <c r="BO3" s="1605"/>
      <c r="BP3" s="1606"/>
      <c r="BQ3" s="1604" t="s">
        <v>1423</v>
      </c>
      <c r="BR3" s="1605"/>
      <c r="BS3" s="1606"/>
      <c r="BT3" s="1607" t="s">
        <v>1428</v>
      </c>
      <c r="BU3" s="1608"/>
      <c r="CB3" s="745"/>
      <c r="CI3" s="938"/>
      <c r="CL3" s="807"/>
      <c r="CN3" s="836"/>
      <c r="CO3" s="871"/>
      <c r="CP3" s="871"/>
      <c r="CQ3" s="871"/>
      <c r="CR3" s="871"/>
      <c r="CT3" s="871"/>
      <c r="CU3" s="938"/>
      <c r="CW3" s="298"/>
      <c r="CX3" s="747"/>
      <c r="CY3" s="237"/>
      <c r="CZ3" s="237"/>
      <c r="DA3" s="237"/>
      <c r="DB3" s="237"/>
      <c r="DC3" s="237"/>
      <c r="DD3" s="237"/>
      <c r="DE3" s="237"/>
      <c r="DF3" s="237"/>
      <c r="DG3" s="237"/>
      <c r="DH3" s="237"/>
      <c r="DI3" s="811"/>
      <c r="DJ3" s="811"/>
      <c r="DK3" s="811"/>
      <c r="DL3" s="811"/>
      <c r="DM3" s="237"/>
      <c r="DN3"/>
      <c r="DO3" s="49" t="s">
        <v>1594</v>
      </c>
      <c r="DP3" s="125" t="s">
        <v>1604</v>
      </c>
      <c r="DQ3" s="882" t="s">
        <v>1603</v>
      </c>
      <c r="DR3" s="882" t="s">
        <v>2126</v>
      </c>
    </row>
    <row r="4" spans="1:123" ht="89.25" x14ac:dyDescent="0.2">
      <c r="A4" s="759" t="s">
        <v>120</v>
      </c>
      <c r="B4" s="759" t="s">
        <v>1246</v>
      </c>
      <c r="C4" s="759" t="s">
        <v>1489</v>
      </c>
      <c r="D4" s="759" t="s">
        <v>188</v>
      </c>
      <c r="E4" s="759" t="s">
        <v>1490</v>
      </c>
      <c r="F4" s="759" t="s">
        <v>14</v>
      </c>
      <c r="G4" s="761" t="s">
        <v>1455</v>
      </c>
      <c r="I4" s="759"/>
      <c r="J4" s="882" t="s">
        <v>1795</v>
      </c>
      <c r="K4" s="882" t="s">
        <v>1796</v>
      </c>
      <c r="L4" t="s">
        <v>1268</v>
      </c>
      <c r="M4" s="685" t="s">
        <v>1274</v>
      </c>
      <c r="N4" s="49" t="s">
        <v>1273</v>
      </c>
      <c r="O4" s="332" t="s">
        <v>1300</v>
      </c>
      <c r="P4" s="49" t="s">
        <v>1269</v>
      </c>
      <c r="Q4" s="49" t="s">
        <v>1418</v>
      </c>
      <c r="R4" s="49" t="s">
        <v>1419</v>
      </c>
      <c r="S4" s="629" t="s">
        <v>1286</v>
      </c>
      <c r="T4" s="49" t="s">
        <v>1275</v>
      </c>
      <c r="U4" s="49" t="s">
        <v>1417</v>
      </c>
      <c r="V4" s="49" t="s">
        <v>1797</v>
      </c>
      <c r="W4" s="49" t="s">
        <v>1798</v>
      </c>
      <c r="X4" s="49" t="s">
        <v>1277</v>
      </c>
      <c r="Y4" s="49" t="s">
        <v>1291</v>
      </c>
      <c r="Z4" s="49" t="s">
        <v>1420</v>
      </c>
      <c r="AA4" s="49" t="s">
        <v>1263</v>
      </c>
      <c r="AB4" s="49" t="s">
        <v>1562</v>
      </c>
      <c r="AC4" s="49" t="s">
        <v>1602</v>
      </c>
      <c r="AD4" s="49" t="s">
        <v>1601</v>
      </c>
      <c r="AE4" s="49" t="s">
        <v>2423</v>
      </c>
      <c r="AF4" s="49" t="s">
        <v>1280</v>
      </c>
      <c r="AG4" s="49" t="s">
        <v>1285</v>
      </c>
      <c r="AH4" s="49" t="s">
        <v>1304</v>
      </c>
      <c r="AI4" s="49" t="s">
        <v>1305</v>
      </c>
      <c r="AJ4" s="49" t="s">
        <v>13</v>
      </c>
      <c r="AK4" s="49" t="s">
        <v>1263</v>
      </c>
      <c r="AL4" s="49" t="s">
        <v>1288</v>
      </c>
      <c r="AM4" s="696" t="s">
        <v>1303</v>
      </c>
      <c r="AN4" s="49" t="s">
        <v>1179</v>
      </c>
      <c r="AO4" s="49" t="s">
        <v>1290</v>
      </c>
      <c r="AP4" s="49" t="s">
        <v>1289</v>
      </c>
      <c r="AQ4" s="695" t="s">
        <v>65</v>
      </c>
      <c r="AR4" s="695" t="s">
        <v>1404</v>
      </c>
      <c r="AS4" s="49" t="s">
        <v>1291</v>
      </c>
      <c r="AT4" s="49" t="s">
        <v>102</v>
      </c>
      <c r="AU4" s="49" t="s">
        <v>104</v>
      </c>
      <c r="AV4" s="49" t="s">
        <v>14</v>
      </c>
      <c r="AW4" s="49" t="s">
        <v>1292</v>
      </c>
      <c r="AX4" s="49" t="s">
        <v>1295</v>
      </c>
      <c r="AY4" s="49" t="s">
        <v>1296</v>
      </c>
      <c r="AZ4" s="625" t="s">
        <v>1391</v>
      </c>
      <c r="BA4" s="736" t="s">
        <v>1298</v>
      </c>
      <c r="BB4" s="49" t="s">
        <v>1119</v>
      </c>
      <c r="BC4" s="737" t="s">
        <v>1406</v>
      </c>
      <c r="BD4" s="761" t="s">
        <v>1390</v>
      </c>
      <c r="BE4" s="49" t="s">
        <v>1589</v>
      </c>
      <c r="BF4" s="625" t="s">
        <v>1421</v>
      </c>
      <c r="BG4" s="49" t="s">
        <v>1446</v>
      </c>
      <c r="BH4" s="49" t="s">
        <v>1558</v>
      </c>
      <c r="BI4" s="49" t="s">
        <v>1532</v>
      </c>
      <c r="BJ4" s="49" t="s">
        <v>1554</v>
      </c>
      <c r="BK4" s="49" t="s">
        <v>1559</v>
      </c>
      <c r="BL4" s="49" t="s">
        <v>1560</v>
      </c>
      <c r="BM4" s="49" t="s">
        <v>1591</v>
      </c>
      <c r="BN4" s="731" t="s">
        <v>1425</v>
      </c>
      <c r="BO4" s="751" t="s">
        <v>1424</v>
      </c>
      <c r="BP4" s="752" t="s">
        <v>1426</v>
      </c>
      <c r="BQ4" s="731" t="s">
        <v>67</v>
      </c>
      <c r="BR4" s="751" t="s">
        <v>1426</v>
      </c>
      <c r="BS4" s="752" t="s">
        <v>175</v>
      </c>
      <c r="BT4" s="731" t="s">
        <v>68</v>
      </c>
      <c r="BU4" s="752" t="s">
        <v>1429</v>
      </c>
      <c r="BV4" s="49" t="s">
        <v>198</v>
      </c>
      <c r="BW4" s="49" t="s">
        <v>1430</v>
      </c>
      <c r="BX4" s="49" t="s">
        <v>82</v>
      </c>
      <c r="BY4" s="49" t="s">
        <v>311</v>
      </c>
      <c r="BZ4" s="49" t="s">
        <v>1174</v>
      </c>
      <c r="CB4" s="49" t="s">
        <v>1431</v>
      </c>
      <c r="CC4" s="696" t="s">
        <v>1303</v>
      </c>
      <c r="CD4" s="49" t="s">
        <v>1288</v>
      </c>
      <c r="CE4" s="49" t="s">
        <v>122</v>
      </c>
      <c r="CF4" s="49" t="s">
        <v>1283</v>
      </c>
      <c r="CG4" s="49" t="s">
        <v>1284</v>
      </c>
      <c r="CH4" s="49" t="s">
        <v>65</v>
      </c>
      <c r="CI4" s="49" t="s">
        <v>1821</v>
      </c>
      <c r="CJ4" s="49" t="s">
        <v>192</v>
      </c>
      <c r="CK4" s="49" t="s">
        <v>1298</v>
      </c>
      <c r="CL4" s="49" t="s">
        <v>1511</v>
      </c>
      <c r="CM4" s="49" t="s">
        <v>82</v>
      </c>
      <c r="CN4" s="49" t="s">
        <v>1552</v>
      </c>
      <c r="CO4" s="49" t="s">
        <v>1557</v>
      </c>
      <c r="CP4" s="49" t="s">
        <v>1553</v>
      </c>
      <c r="CQ4" s="49" t="s">
        <v>1532</v>
      </c>
      <c r="CR4" s="49" t="s">
        <v>1554</v>
      </c>
      <c r="CS4" s="49" t="s">
        <v>1432</v>
      </c>
      <c r="CT4" s="49" t="s">
        <v>1556</v>
      </c>
      <c r="CU4" s="49" t="s">
        <v>1804</v>
      </c>
      <c r="CV4"/>
      <c r="CW4" s="298" t="s">
        <v>10</v>
      </c>
      <c r="CX4" s="49" t="s">
        <v>1433</v>
      </c>
      <c r="CY4" s="49" t="s">
        <v>1434</v>
      </c>
      <c r="CZ4" s="747" t="s">
        <v>120</v>
      </c>
      <c r="DA4" s="49" t="s">
        <v>1275</v>
      </c>
      <c r="DB4" s="747" t="s">
        <v>1246</v>
      </c>
      <c r="DC4" s="49" t="s">
        <v>1435</v>
      </c>
      <c r="DD4" s="747" t="s">
        <v>1426</v>
      </c>
      <c r="DE4" s="49" t="s">
        <v>1436</v>
      </c>
      <c r="DF4" s="747" t="s">
        <v>118</v>
      </c>
      <c r="DG4" s="49" t="s">
        <v>1437</v>
      </c>
      <c r="DH4" s="747" t="s">
        <v>492</v>
      </c>
      <c r="DI4" s="49" t="s">
        <v>1512</v>
      </c>
      <c r="DJ4" s="811" t="s">
        <v>1513</v>
      </c>
      <c r="DK4" s="49" t="s">
        <v>1514</v>
      </c>
      <c r="DL4" s="811" t="s">
        <v>1515</v>
      </c>
      <c r="DM4" s="49" t="s">
        <v>1438</v>
      </c>
      <c r="DN4" s="235"/>
      <c r="DO4" s="910">
        <v>1</v>
      </c>
      <c r="DP4" s="245">
        <v>2</v>
      </c>
      <c r="DQ4">
        <v>3</v>
      </c>
      <c r="DR4">
        <v>20</v>
      </c>
      <c r="DS4" t="s">
        <v>1689</v>
      </c>
    </row>
    <row r="5" spans="1:123" x14ac:dyDescent="0.2">
      <c r="A5" s="758" t="str">
        <f>IF('Daten aus 2021'!H7="",'#Boden'!$B$26,IF('Daten aus 2021'!H7='#Boden'!$B$39,IF('Daten aus 2021'!F7='#Boden'!$B$29,'#Boden'!$B$29,IF('Daten aus 2021'!K7='#Boden'!$B$34,'#Boden'!$B$28,'#Boden'!$B$27)),'Daten aus 2021'!F7))</f>
        <v xml:space="preserve"> --</v>
      </c>
      <c r="B5" s="758" t="str">
        <f>IF('Daten aus 2021'!H7='#Boden'!$B$39,IF('Daten aus 2021'!L7='#Boden'!$B$61,'#Boden'!$B$11,'Daten aus 2021'!L7),IF('Daten aus 2021'!P7='#Boden'!$B$58,'#Boden'!$B$11,IF('Daten aus 2021'!P7='#Boden'!$B$57,'#Boden'!$B$10,'#Boden'!$B$9)))</f>
        <v xml:space="preserve"> --         </v>
      </c>
      <c r="C5" s="758" t="str">
        <f>IF('Daten aus 2021'!N7="","",VLOOKUP('Daten aus 2021'!N7,'#Boden'!$B$68:$C$89,2,FALSE))</f>
        <v/>
      </c>
      <c r="D5" s="758" t="str">
        <f>IF('Daten aus 2021'!M7="","",VLOOKUP('Daten aus 2021'!M7,'#Boden'!$D$69:$E$73,2,FALSE))</f>
        <v/>
      </c>
      <c r="E5" s="758" t="str">
        <f>IF(OR(C5='#Boden'!$C$68,C5='#Boden'!$C$70),C5,CONCATENATE(C5,D5))</f>
        <v/>
      </c>
      <c r="F5" s="882" t="str">
        <f>IFERROR(IF('Daten aus 2021'!H7="",'#Frucht'!$D$8,IF('Daten aus 2021'!H7='#Boden'!$B$39,E5,IF('Daten aus 2021'!H7='#Boden'!$B$38,IF(CONCATENATE(" ",'Daten aus 2021'!W7)=$B$2,VLOOKUP($B$3,'#Frucht'!$A$8:$D$372,4,FALSE),VLOOKUP(CONCATENATE(" ",'Daten aus 2021'!W7),'#Frucht'!$A$8:$D$372,4,FALSE)),IF(OR(LEFT('Daten aus 2021'!Q7,5)=" *10 ",LEFT('Daten aus 2021'!Q7,5)=" *11 ",LEFT('Daten aus 2021'!Q7,5)=" *12 ",LEFT('Daten aus 2021'!Q7,5)=" *13 ",LEFT('Daten aus 2021'!Q7,5)=" *14 ",LEFT('Daten aus 2021'!Q7,5)=" *15 "),VLOOKUP(RIGHT('Daten aus 2021'!Q7,LEN('Daten aus 2021'!Q7)-4),'#Frucht'!$A$8:$D$372,4,FALSE),IF(LEFT('Daten aus 2021'!Q7,2)=" *",VLOOKUP(RIGHT('Daten aus 2021'!Q7,LEN('Daten aus 2021'!Q7)-3),'#Frucht'!$A$8:$D$372,4,FALSE),VLOOKUP('Daten aus 2021'!Q7,'#Frucht'!$A$8:$D$372,4,FALSE)))))),'#Frucht'!$D$8)</f>
        <v xml:space="preserve"> --  </v>
      </c>
      <c r="G5" s="127"/>
      <c r="H5" s="31"/>
      <c r="J5" s="938" t="str">
        <f>IF(OR(N5=3,$K$3=0,'Flächen u. Kulturen'!P10=""),"",IF(VLOOKUP('Flächen u. Kulturen'!P10,Kulturen[[HF]:[780]],'#BerechnungDBE'!$K$3,FALSE)=".","",VLOOKUP('Flächen u. Kulturen'!P10,Kulturen[[HF]:[780]],'#BerechnungDBE'!$K$3,FALSE)))</f>
        <v/>
      </c>
      <c r="K5" s="938" t="str">
        <f>IF(OR($K$3=0,'Flächen u. Kulturen'!P10=""),"",IF(N5=3,IF(VLOOKUP('Flächen u. Kulturen'!P10,Kulturen[[HF]:[780]],'#BerechnungDBE'!$K$3,FALSE)=".","",VLOOKUP('Flächen u. Kulturen'!P10,Kulturen[[HF]:[780]],'#BerechnungDBE'!$K$3,FALSE)),""))</f>
        <v/>
      </c>
      <c r="L5" s="367">
        <f>IF('Flächen u. Kulturen'!D10="",0,'Flächen u. Kulturen'!D10)</f>
        <v>0</v>
      </c>
      <c r="M5" s="693">
        <f>IF('Flächen u. Kulturen'!J10="",0,VLOOKUP('Flächen u. Kulturen'!J10,Kulturen[[HF]:[Berechnungsgruppe]],'#Frucht'!$W$1,FALSE))</f>
        <v>1</v>
      </c>
      <c r="N5" s="693">
        <f>IF('Flächen u. Kulturen'!P10="",0,VLOOKUP('Flächen u. Kulturen'!P10,Kulturen[[HF]:[Berechnungsgruppe]],'#Frucht'!$W$1,FALSE))</f>
        <v>1</v>
      </c>
      <c r="O5">
        <f>IF(N5&lt;&gt;2,N5,IF('Flächen u. Kulturen'!J10='Flächen u. Kulturen'!P10,2,1))</f>
        <v>1</v>
      </c>
      <c r="P5" s="627">
        <f>IF('Flächen u. Kulturen'!F10="",0,VLOOKUP('Flächen u. Kulturen'!F10,'#Boden'!$G$4:$H$8,'#Boden'!$H$1,FALSE))</f>
        <v>1</v>
      </c>
      <c r="Q5">
        <f>IF('Flächen u. Kulturen'!G10="",0,VLOOKUP('Flächen u. Kulturen'!G10,'#Boden'!$B$26:$C$29,'#Boden'!$C$1,FALSE))</f>
        <v>1</v>
      </c>
      <c r="R5" s="57">
        <f>IF(Q5&lt;4,1,2)</f>
        <v>1</v>
      </c>
      <c r="S5" s="627">
        <f>IF(AND(O5=3,Q5&gt;2),2,IF(AND(O5&lt;&gt;3,Q5&gt;3),2,1))</f>
        <v>1</v>
      </c>
      <c r="T5">
        <f>IF('Flächen u. Kulturen'!H10="",0,VLOOKUP('Flächen u. Kulturen'!H10,'#Boden'!$B$23:$C$25,'#Boden'!$C$1,FALSE))</f>
        <v>2</v>
      </c>
      <c r="U5" s="718" t="str">
        <f>'Flächen u. Kulturen'!E10</f>
        <v>x</v>
      </c>
      <c r="V5" s="938">
        <f>IF('Flächen u. Kulturen'!Q10="",0,_xlfn.NUMBERVALUE('Flächen u. Kulturen'!Q10))</f>
        <v>0</v>
      </c>
      <c r="W5" s="938">
        <f>IF('Flächen u. Kulturen'!R10="",0,_xlfn.NUMBERVALUE('Flächen u. Kulturen'!R10))</f>
        <v>0</v>
      </c>
      <c r="X5">
        <f>IF('Flächen u. Kulturen'!T10="",0,VLOOKUP('Flächen u. Kulturen'!T10,'#Boden'!$B$30:$C$32,'#Boden'!$C$1,FALSE))</f>
        <v>1</v>
      </c>
      <c r="Y5" s="683">
        <f>IF('Flächen u. Kulturen'!P10="",0,VLOOKUP('Flächen u. Kulturen'!P10,Kulturen[[HF]:[Berechnungsgruppe]],'#Frucht'!$N$1,FALSE))</f>
        <v>0</v>
      </c>
      <c r="Z5" s="718">
        <f>IF(AND(Y5&lt;&gt;0,O5&lt;3),1,2)</f>
        <v>2</v>
      </c>
      <c r="AA5" s="830">
        <f>IF('Flächen u. Kulturen'!P10="",0,VLOOKUP('Flächen u. Kulturen'!P10,Kulturen[[HF]:[Berechnungsgruppe]],'#Frucht'!$V$1,FALSE))</f>
        <v>0</v>
      </c>
      <c r="AB5" s="875">
        <f>IF(N5=1,VLOOKUP('Flächen u. Kulturen'!P10,Kulturen[[HF]:[Ernteprodukt]],'#Frucht'!$I$1,FALSE),4)</f>
        <v>4</v>
      </c>
      <c r="AC5" s="921">
        <f>IF('Flächen u. Kulturen'!J10="",0,VLOOKUP('Flächen u. Kulturen'!J10,Kulturen[[HF]:[Berechnungsgruppe]],'#Frucht'!$G$1,FALSE))</f>
        <v>90</v>
      </c>
      <c r="AD5" s="921">
        <f>IF('Flächen u. Kulturen'!P10="",0,VLOOKUP('Flächen u. Kulturen'!P10,Kulturen[[HF]:[Berechnungsgruppe]],'#Frucht'!$G$1,FALSE))</f>
        <v>90</v>
      </c>
      <c r="AE5" s="938">
        <f>IF('Flächen u. Kulturen'!P10="",0,VLOOKUP('Flächen u. Kulturen'!P10,Kulturen[[HF]:[SollwertMinusNfix]],'#Frucht'!$X$1,FALSE))</f>
        <v>0</v>
      </c>
      <c r="AF5">
        <f>IF('Flächen u. Kulturen'!L10="",0,VLOOKUP('Flächen u. Kulturen'!L10,Nebenkultur[[Nebenkultur]:[Berechnungsschema]],'#Zweitfr'!$G$1,FALSE))</f>
        <v>0</v>
      </c>
      <c r="AG5" s="627">
        <f>IF('Flächen u. Kulturen'!L10="",0,VLOOKUP('Flächen u. Kulturen'!L10,'#Zweitfr'!$D$8:$Q$27,'#Zweitfr'!$Q$1,FALSE))</f>
        <v>0</v>
      </c>
      <c r="AH5" s="627">
        <f>IF('Flächen u. Kulturen'!M10="",0,VLOOKUP('Flächen u. Kulturen'!M10,'#Boden'!$G$17:$H$21,2,FALSE))</f>
        <v>1</v>
      </c>
      <c r="AI5" s="683">
        <f>IF('Flächen u. Kulturen'!N10="",0,VLOOKUP('Flächen u. Kulturen'!N10,'#Boden'!$G$22:$H$24,'#Boden'!$H$1,FALSE))</f>
        <v>1</v>
      </c>
      <c r="AJ5" s="938">
        <f>IF('Flächen u. Kulturen'!O10="",0,_xlfn.NUMBERVALUE('Flächen u. Kulturen'!O10))</f>
        <v>0</v>
      </c>
      <c r="AK5" s="830">
        <f>IF('Flächen u. Kulturen'!L10="",0,VLOOKUP('Flächen u. Kulturen'!L10,Nebenkultur[[Nebenkultur]:[Legum. Zwischenfr.]],'#Zweitfr'!$P$1,FALSE))</f>
        <v>0</v>
      </c>
      <c r="AL5">
        <f>IF('Flächen u. Kulturen'!P10="",0,VLOOKUP('Flächen u. Kulturen'!P10,Kulturen[[HF]:[Berechnungsgruppe]],'#Frucht'!$Q$1,FALSE))</f>
        <v>0</v>
      </c>
      <c r="AM5" s="683">
        <f>IF('Flächen u. Kulturen'!P10="",0,VLOOKUP('Flächen u. Kulturen'!P10,Kulturen[[HF]:[Berechnungsgruppe]],'#Frucht'!$M$1,FALSE))</f>
        <v>0</v>
      </c>
      <c r="AN5" s="683">
        <f>IF('Flächen u. Kulturen'!P10="",1,VLOOKUP('Flächen u. Kulturen'!P10,Kulturen[[HF]:[Berechnungsgruppe]],'#Frucht'!$R$1,FALSE))</f>
        <v>10</v>
      </c>
      <c r="AO5" s="683">
        <f>IF('Flächen u. Kulturen'!P10="",0,VLOOKUP('Flächen u. Kulturen'!P10,Kulturen[[HF]:[Berechnungsgruppe]],'#Frucht'!$S$1,FALSE))</f>
        <v>0</v>
      </c>
      <c r="AP5" s="683">
        <f>IF('Flächen u. Kulturen'!P10="",0,VLOOKUP('Flächen u. Kulturen'!P10,Kulturen[[HF]:[Berechnungsgruppe]],'#Frucht'!$T$1,FALSE))</f>
        <v>0</v>
      </c>
      <c r="AQ5" s="627">
        <f t="shared" ref="AQ5:AQ36" si="1">IF(N5=3,IF(W5&lt;=AM5,AL5-(AM5-W5)/AN5*AP5,AL5+(W5-AM5)/AN5*AO5),IF(V5&lt;=AM5,AL5-(AM5-V5)/AN5*AP5,AL5+(V5-AM5)/AN5*AO5))</f>
        <v>0</v>
      </c>
      <c r="AR5" s="683">
        <f t="shared" ref="AR5:AR36" si="2">IF(N5=1,IF(AQ5&gt;AL5+40,AL5+40,AQ5),AQ5)</f>
        <v>0</v>
      </c>
      <c r="AS5">
        <f t="shared" ref="AS5:AS36" si="3">IF(N5=3,Y5,Y5*V5*-1)</f>
        <v>0</v>
      </c>
      <c r="AT5" s="627">
        <f>IF(N5=1,'Flächen u. Kulturen'!S10*-1,"--")</f>
        <v>0</v>
      </c>
      <c r="AU5">
        <f>IF(OR(N5=2,'Flächen u. Kulturen'!I10=""),"--",IF(N5=3,VLOOKUP('Flächen u. Kulturen'!I10,'#Boden'!$B$9:$E$15,'#Boden'!$D$1,FALSE),VLOOKUP('Flächen u. Kulturen'!I10,'#Boden'!$B$9:$E$15,'#Boden'!$E$1,FALSE)))</f>
        <v>0</v>
      </c>
      <c r="AV5">
        <f>IF(N5=1,IF('Flächen u. Kulturen'!J10="",0,VLOOKUP('Flächen u. Kulturen'!J10,Kulturen[[HF]:[Berechnungsgruppe]],'#Frucht'!$U$1,FALSE)*-1),"--")</f>
        <v>0</v>
      </c>
      <c r="AW5" s="683">
        <f t="shared" ref="AW5:AW36" si="4">IF(N5=1,IF(AND(AG5=1,AH5=3,AI5=3),-20,IF(AG5=2,IF(AND(AH5=3,AI5=3),-40,-10),0)),"--")</f>
        <v>0</v>
      </c>
      <c r="AX5">
        <f>IF('Flächen u. Kulturen'!K10="",0,'Flächen u. Kulturen'!K10*-0.1)</f>
        <v>0</v>
      </c>
      <c r="AY5" s="683">
        <f>IF(N5&lt;3,'#orgDung'!AC14*0.1*-1,"--")</f>
        <v>0</v>
      </c>
      <c r="AZ5" s="31" t="str">
        <f>IF(AND('#orgDung'!J14&lt;&gt;2,'#orgDung'!F14=1),('#orgDung'!V14+'#minDung'!O11)*-1,"--")</f>
        <v>--</v>
      </c>
      <c r="BA5">
        <f>MAX(0,SUM(AR5:AZ5))</f>
        <v>0</v>
      </c>
      <c r="BB5" s="627">
        <f>IF(R5=2,0,'Flächen u. Kulturen'!V10*-1)</f>
        <v>0</v>
      </c>
      <c r="BC5" s="627">
        <f>SUM(BA5:BB5)</f>
        <v>0</v>
      </c>
      <c r="BD5" s="127">
        <f>'#orgDung'!W14*-1</f>
        <v>0</v>
      </c>
      <c r="BE5" s="910">
        <f>'#orgDung'!AA14*-1</f>
        <v>0</v>
      </c>
      <c r="BF5" s="718">
        <f>'#orgDung'!Z14*-1</f>
        <v>0</v>
      </c>
      <c r="BG5" s="749">
        <f>MAX(0,IF(BA5+BE5&lt;0,BC5+BF5+BE5,BC5+BF5))</f>
        <v>0</v>
      </c>
      <c r="BH5" s="871">
        <f>'#Kürzungen'!AS29*-1</f>
        <v>0</v>
      </c>
      <c r="BI5" s="871">
        <f t="shared" ref="BI5:BI36" si="5">BA5+BH5</f>
        <v>0</v>
      </c>
      <c r="BJ5" s="871">
        <f t="shared" ref="BJ5:BJ36" si="6">IF(BA5+BE5&lt;0,MAX(0,BI5+BE5)+BF5-BE5+BH5,BI5+BF5)</f>
        <v>0</v>
      </c>
      <c r="BK5" s="871">
        <f>'#minDung'!P11</f>
        <v>0</v>
      </c>
      <c r="BL5" s="871">
        <f>BJ5-BK5</f>
        <v>0</v>
      </c>
      <c r="BM5" s="938">
        <f t="shared" ref="BM5:BM36" si="7">MAX(MAX(0,SUM(AR5:AY5))+BH5,BE5*-1)</f>
        <v>0</v>
      </c>
      <c r="BN5" s="745">
        <f>IF('Flächen u. Kulturen'!P10="",0,VLOOKUP('Flächen u. Kulturen'!P10,Kulturen[[HF]:[Berechnungsgruppe]],'#Frucht'!$K$1,FALSE))</f>
        <v>0</v>
      </c>
      <c r="BO5">
        <f>IF('Flächen u. Kulturen'!P10="",0,VLOOKUP('Flächen u. Kulturen'!P10,Kulturen[[HF]:[Berechnungsgruppe]],'#Frucht'!$L$1,FALSE))</f>
        <v>0</v>
      </c>
      <c r="BP5">
        <f>IF('Flächen u. Kulturen'!L10="",0,VLOOKUP('Flächen u. Kulturen'!L10,Nebenkultur[[Nebenkultur]:[Legum. Zwischenfr.]],'#Zweitfr'!$H$1,FALSE))</f>
        <v>0</v>
      </c>
      <c r="BQ5">
        <f>IF(N5=3,W5*BO5,IF('Flächen u. Kulturen'!T10='#Boden'!$B$32,V5*BN5,V5*BO5))</f>
        <v>0</v>
      </c>
      <c r="BR5" s="890">
        <f t="shared" ref="BR5:BR36" si="8">IF(AND(AF5=80,AH5&lt;4),0,AJ5*BP5)</f>
        <v>0</v>
      </c>
      <c r="BS5">
        <f>BQ5+BR5</f>
        <v>0</v>
      </c>
      <c r="BT5" s="745">
        <f>IF('Flächen u. Kulturen'!F10="",0,IF(N5=3,VLOOKUP('Flächen u. Kulturen'!F10,'#Boden'!$G$4:$J$8,'#Boden'!$J$1,FALSE),VLOOKUP('Flächen u. Kulturen'!F10,'#Boden'!$G$4:$J$8,'#Boden'!$I$1,FALSE)))</f>
        <v>0</v>
      </c>
      <c r="BU5" s="41">
        <f>IF(BT5&gt;0,BT5,BS5*BT5)</f>
        <v>0</v>
      </c>
      <c r="BV5" s="247">
        <f>BS5+BU5</f>
        <v>0</v>
      </c>
      <c r="BW5" s="745" t="str">
        <f>IF(P5&gt;3,BS5,"")</f>
        <v/>
      </c>
      <c r="BX5" s="745">
        <f>'#orgDung'!T14*-1</f>
        <v>0</v>
      </c>
      <c r="BY5" s="247">
        <f>IF(P5&lt;4,MAX(0,BV5+BX5),IF(BW5+BX5&lt;0,BW5+BX5,MAX(0,BV5+BX5)))</f>
        <v>0</v>
      </c>
      <c r="BZ5" t="str">
        <f>IF(U5&lt;&gt;"x",0,IF(P5&lt;4,"",(BW5+BX5-'#minDung'!N11)*-1))</f>
        <v/>
      </c>
      <c r="CB5" s="745">
        <f>IF(AND(AF5=70,U5="x"),'Flächen u. Kulturen'!A10,1000)</f>
        <v>1000</v>
      </c>
      <c r="CC5" t="str">
        <f>IF(AF5=70,VLOOKUP('Flächen u. Kulturen'!L10,Nebenkultur[[Nebenkultur]:[Legum. Zwischenfr.]],'#Zweitfr'!$I$1,FALSE),"--")</f>
        <v>--</v>
      </c>
      <c r="CD5" s="745" t="str">
        <f>IF(AF5=70,VLOOKUP('Flächen u. Kulturen'!L10,Nebenkultur[[Nebenkultur]:[Legum. Zwischenfr.]],'#Zweitfr'!$L$1,FALSE),"--")</f>
        <v>--</v>
      </c>
      <c r="CE5" s="745" t="str">
        <f>IF(AF5=70,VLOOKUP('Flächen u. Kulturen'!L10,Nebenkultur[[Nebenkultur]:[Legum. Zwischenfr.]],'#Zweitfr'!$M$1,FALSE),"--")</f>
        <v>--</v>
      </c>
      <c r="CF5" s="745" t="str">
        <f>IF(AF5=70,VLOOKUP('Flächen u. Kulturen'!L10,Nebenkultur[[Nebenkultur]:[Legum. Zwischenfr.]],'#Zweitfr'!$N$1,FALSE),"--")</f>
        <v>--</v>
      </c>
      <c r="CG5" s="745" t="str">
        <f>IF(AF5=70,VLOOKUP('Flächen u. Kulturen'!L10,Nebenkultur[[Nebenkultur]:[Legum. Zwischenfr.]],'#Zweitfr'!$O$1,FALSE),"--")</f>
        <v>--</v>
      </c>
      <c r="CH5" s="247" t="str">
        <f t="shared" ref="CH5:CH36" si="9">IF(AF5=70,IF(AJ5&lt;=CC5,CD5-(CC5-AJ5)/CE5*CG5,CD5+(AJ5-CC5)/CE5*CF5),"--")</f>
        <v>--</v>
      </c>
      <c r="CI5" s="247">
        <f>IF('Flächen u. Kulturen'!L10="",0,VLOOKUP('Flächen u. Kulturen'!L10,Nebenkultur[[Nebenkultur]:[Legum. Zwischenfr.]],'#Zweitfr'!$J$1,FALSE))</f>
        <v>0</v>
      </c>
      <c r="CJ5" s="247">
        <f t="shared" ref="CJ5:CJ36" si="10">IF(AND(AF5=80,AJ5=0),150*CI5*-1,AJ5*CI5*-1)</f>
        <v>0</v>
      </c>
      <c r="CK5">
        <f t="shared" ref="CK5:CK36" si="11">MAX(0,IF(AF5=70,CH5+CJ5,0))</f>
        <v>0</v>
      </c>
      <c r="CL5" s="807">
        <f>IF(AND(R5=1,AF5=70),'Flächen u. Kulturen'!W10*-1,0)</f>
        <v>0</v>
      </c>
      <c r="CM5">
        <f>'#orgDung'!AE14*-1</f>
        <v>0</v>
      </c>
      <c r="CN5" s="836">
        <f>SUM(CK5:CM5)</f>
        <v>0</v>
      </c>
      <c r="CO5" s="871">
        <f>MAX(0,CN5)</f>
        <v>0</v>
      </c>
      <c r="CP5" s="871">
        <f>'#Kürzungen'!AS130*-1</f>
        <v>0</v>
      </c>
      <c r="CQ5" s="871">
        <f>CK5+CP5</f>
        <v>0</v>
      </c>
      <c r="CR5" s="871">
        <f>CQ5+CM5</f>
        <v>0</v>
      </c>
      <c r="CS5">
        <f>'#minDung'!R11</f>
        <v>0</v>
      </c>
      <c r="CT5" s="871">
        <f>CR5-CS5</f>
        <v>0</v>
      </c>
      <c r="CU5" s="52" t="str">
        <f>'#Kürzungen'!AQ130</f>
        <v xml:space="preserve"> </v>
      </c>
      <c r="CV5"/>
      <c r="CW5" s="247">
        <f>IF('Flächen u. Kulturen'!D10="",0,IF(ISNUMBER('Flächen u. Kulturen'!D10)=TRUE,2,1))</f>
        <v>0</v>
      </c>
      <c r="CX5" s="247">
        <f>IF('Flächen u. Kulturen'!E10="",0,COUNTIF('#Boden'!$B$47,'Flächen u. Kulturen'!E10)+1)</f>
        <v>2</v>
      </c>
      <c r="CY5" s="43">
        <f>IF('Flächen u. Kulturen'!F10="",0,COUNTIF('#Boden'!$G$4:$G$8,'Flächen u. Kulturen'!F10)+1)</f>
        <v>2</v>
      </c>
      <c r="CZ5" s="43">
        <f>IF('Flächen u. Kulturen'!G10="",0,COUNTIF('#Boden'!$B$26:$B$29,'Flächen u. Kulturen'!G10)+1)</f>
        <v>2</v>
      </c>
      <c r="DA5" s="43">
        <f>IF('Flächen u. Kulturen'!H10="",0,COUNTIF('#Boden'!$B$26:$B$29,'Flächen u. Kulturen'!H10)+1)</f>
        <v>2</v>
      </c>
      <c r="DB5" s="43">
        <f>IF('Flächen u. Kulturen'!I10="",0,COUNTIF('#Boden'!$B$9:$B$15,'Flächen u. Kulturen'!I10)+1)</f>
        <v>2</v>
      </c>
      <c r="DC5" s="43">
        <f>IF('Flächen u. Kulturen'!J10="",0,COUNTIF(Kulturen[HF],'Flächen u. Kulturen'!J10)+1)</f>
        <v>2</v>
      </c>
      <c r="DD5" s="43">
        <f>IF('Flächen u. Kulturen'!L10="",0,COUNTIF(Nebenkultur[Nebenkultur],'Flächen u. Kulturen'!L10)+1)</f>
        <v>2</v>
      </c>
      <c r="DE5" s="43">
        <f>IF('Flächen u. Kulturen'!M10="",0,COUNTIF('#Boden'!$G$17:$G$21,'Flächen u. Kulturen'!M10)+1)</f>
        <v>2</v>
      </c>
      <c r="DF5" s="43">
        <f>IF('Flächen u. Kulturen'!N10="",0,COUNTIF('#Boden'!$G$22:$G$24,'Flächen u. Kulturen'!N10)+1)</f>
        <v>2</v>
      </c>
      <c r="DG5" s="43">
        <f>IF('Flächen u. Kulturen'!P10="",0,COUNTIF(Kulturen[HF],'Flächen u. Kulturen'!P10)+1)</f>
        <v>2</v>
      </c>
      <c r="DH5" s="43">
        <f>IF('Flächen u. Kulturen'!T10="",0,COUNTIF('#Boden'!$B$30:$B$32,'Flächen u. Kulturen'!T10)+1)</f>
        <v>2</v>
      </c>
      <c r="DI5" s="247">
        <f>IF('Flächen u. Kulturen'!K10="",0,IF(ISNUMBER('Flächen u. Kulturen'!K10)=TRUE,2,1))</f>
        <v>0</v>
      </c>
      <c r="DJ5" s="247">
        <f>IF('Flächen u. Kulturen'!U10="",0,IF(ISNUMBER('Flächen u. Kulturen'!U10)=TRUE,2,1))</f>
        <v>0</v>
      </c>
      <c r="DK5" s="247">
        <f>IF('Flächen u. Kulturen'!V10="",0,IF(ISNUMBER('Flächen u. Kulturen'!V10)=TRUE,2,1))</f>
        <v>0</v>
      </c>
      <c r="DL5" s="247">
        <f>IF('Flächen u. Kulturen'!W10="",0,IF(ISNUMBER('Flächen u. Kulturen'!W10)=TRUE,2,1))</f>
        <v>0</v>
      </c>
      <c r="DM5" s="43">
        <f>COUNTIF(CW5:DH5,1)</f>
        <v>0</v>
      </c>
      <c r="DN5" s="43" t="s">
        <v>344</v>
      </c>
      <c r="DO5" s="247">
        <f>IF(U5&lt;&gt;"x","",IF(OR('Flächen u. Kulturen'!B10="",'Flächen u. Kulturen'!C10="",'Flächen u. Kulturen'!D10="",'Flächen u. Kulturen'!D10=0,'Flächen u. Kulturen'!F10="",'Flächen u. Kulturen'!F10='#Boden'!$G$4,'Flächen u. Kulturen'!G10="",'Flächen u. Kulturen'!G10='#Boden'!$B$26,'Flächen u. Kulturen'!H10="",'Flächen u. Kulturen'!H10='#Boden'!$B$23,AND(N5&lt;&gt;2,OR('Flächen u. Kulturen'!I10="",'Flächen u. Kulturen'!I10='#Boden'!$B$9)),'Flächen u. Kulturen'!J10="",'Flächen u. Kulturen'!J10='#Frucht'!$B$8,'Flächen u. Kulturen'!J10='#Boden'!$G$50,'Flächen u. Kulturen'!K10="",'Flächen u. Kulturen'!L10='#Boden'!$G$50,'Flächen u. Kulturen'!P10="",'Flächen u. Kulturen'!P10='#Frucht'!$B$8,'Flächen u. Kulturen'!P10='#Boden'!$G$50,AND('Flächen u. Kulturen'!Q10="",'#BerechnungDBE'!N5&lt;3),AND('Flächen u. Kulturen'!R10="",'#BerechnungDBE'!N5=3),AND(N5=1,AL5&gt;0,'Flächen u. Kulturen'!S10=""),AND(N5=1,OR('Flächen u. Kulturen'!T10="",'Flächen u. Kulturen'!T10='#Boden'!$B$30)),AND('#BerechnungDBE'!AF5=70,OR('Flächen u. Kulturen'!N10="",'Flächen u. Kulturen'!N10='#Boden'!$G$22,'Flächen u. Kulturen'!O10="")),AND('#BerechnungDBE'!AF5=80,OR('Flächen u. Kulturen'!M10="",'Flächen u. Kulturen'!M10='#Boden'!$G$17,'Flächen u. Kulturen'!N10="",'Flächen u. Kulturen'!N10='#Boden'!$G$22))),$DO$4,""))</f>
        <v>1</v>
      </c>
      <c r="DP5" s="247" t="str">
        <f>IF(U5&lt;&gt;"x","",IF(OR(LEFT('Flächen u. Kulturen'!J10,2)=" +",LEFT('Flächen u. Kulturen'!L10,2)=" +",LEFT('Flächen u. Kulturen'!P10,2)=" +"),$DP$4,""))</f>
        <v/>
      </c>
      <c r="DQ5" s="428" t="str">
        <f t="shared" ref="DQ5:DQ36" si="12">IF(U5&lt;&gt;"x","",IF(AND(AC5=12,AD5=12),$DQ$4,""))</f>
        <v/>
      </c>
      <c r="DR5" t="str">
        <f t="shared" ref="DR5:DR36" si="13">IF(AND(AD5=11,U5="x"),$DR$4,"")</f>
        <v/>
      </c>
      <c r="DS5" t="str">
        <f>IF('Flächen u. Kulturen'!X10="","",ROW('Flächen u. Kulturen'!X10))</f>
        <v/>
      </c>
    </row>
    <row r="6" spans="1:123" x14ac:dyDescent="0.2">
      <c r="A6" s="760" t="str">
        <f>IF('Daten aus 2021'!H8="",'#Boden'!$B$26,IF('Daten aus 2021'!H8='#Boden'!$B$39,IF('Daten aus 2021'!F8='#Boden'!$B$29,'#Boden'!$B$29,IF('Daten aus 2021'!K8='#Boden'!$B$34,'#Boden'!$B$28,'#Boden'!$B$27)),'Daten aus 2021'!F8))</f>
        <v xml:space="preserve"> --</v>
      </c>
      <c r="B6" s="758" t="str">
        <f>IF('Daten aus 2021'!H8='#Boden'!$B$39,IF('Daten aus 2021'!L8='#Boden'!$B$61,'#Boden'!$B$11,'Daten aus 2021'!L8),IF('Daten aus 2021'!P8='#Boden'!$B$58,'#Boden'!$B$11,IF('Daten aus 2021'!P8='#Boden'!$B$57,'#Boden'!$B$10,'#Boden'!$B$9)))</f>
        <v xml:space="preserve"> --         </v>
      </c>
      <c r="C6" s="760" t="str">
        <f>IF('Daten aus 2021'!N8="","",VLOOKUP('Daten aus 2021'!N8,'#Boden'!$B$68:$C$89,2,FALSE))</f>
        <v/>
      </c>
      <c r="D6" s="760" t="str">
        <f>IF('Daten aus 2021'!M8="","",VLOOKUP('Daten aus 2021'!M8,'#Boden'!$D$69:$E$73,2,FALSE))</f>
        <v/>
      </c>
      <c r="E6" s="938" t="str">
        <f>IF(OR(C6='#Boden'!$C$68,C6='#Boden'!$C$70),C6,CONCATENATE(C6,D6))</f>
        <v/>
      </c>
      <c r="F6" s="882" t="str">
        <f>IFERROR(IF('Daten aus 2021'!H8="",'#Frucht'!$D$8,IF('Daten aus 2021'!H8='#Boden'!$B$39,E6,IF('Daten aus 2021'!H8='#Boden'!$B$38,IF(CONCATENATE(" ",'Daten aus 2021'!W8)=$B$2,VLOOKUP($B$3,'#Frucht'!$A$8:$D$372,4,FALSE),VLOOKUP(CONCATENATE(" ",'Daten aus 2021'!W8),'#Frucht'!$A$8:$D$372,4,FALSE)),IF(OR(LEFT('Daten aus 2021'!Q8,5)=" *10 ",LEFT('Daten aus 2021'!Q8,5)=" *11 ",LEFT('Daten aus 2021'!Q8,5)=" *12 ",LEFT('Daten aus 2021'!Q8,5)=" *13 ",LEFT('Daten aus 2021'!Q8,5)=" *14 ",LEFT('Daten aus 2021'!Q8,5)=" *15 "),VLOOKUP(RIGHT('Daten aus 2021'!Q8,LEN('Daten aus 2021'!Q8)-4),'#Frucht'!$A$8:$D$372,4,FALSE),IF(LEFT('Daten aus 2021'!Q8,2)=" *",VLOOKUP(RIGHT('Daten aus 2021'!Q8,LEN('Daten aus 2021'!Q8)-3),'#Frucht'!$A$8:$D$372,4,FALSE),VLOOKUP('Daten aus 2021'!Q8,'#Frucht'!$A$8:$D$372,4,FALSE)))))),'#Frucht'!$D$8)</f>
        <v xml:space="preserve"> --  </v>
      </c>
      <c r="G6" s="127"/>
      <c r="H6" s="31"/>
      <c r="J6" s="938" t="str">
        <f>IF(OR(N6=3,$K$3=0,'Flächen u. Kulturen'!P11=""),"",IF(VLOOKUP('Flächen u. Kulturen'!P11,Kulturen[[HF]:[780]],'#BerechnungDBE'!$K$3,FALSE)=".","",VLOOKUP('Flächen u. Kulturen'!P11,Kulturen[[HF]:[780]],'#BerechnungDBE'!$K$3,FALSE)))</f>
        <v/>
      </c>
      <c r="K6" s="938" t="str">
        <f>IF(OR($K$3=0,'Flächen u. Kulturen'!P11=""),"",IF(N6=3,IF(VLOOKUP('Flächen u. Kulturen'!P11,Kulturen[[HF]:[780]],'#BerechnungDBE'!$K$3,FALSE)=".","",VLOOKUP('Flächen u. Kulturen'!P11,Kulturen[[HF]:[780]],'#BerechnungDBE'!$K$3,FALSE)),""))</f>
        <v/>
      </c>
      <c r="L6" s="367">
        <f>IF('Flächen u. Kulturen'!D11="",0,'Flächen u. Kulturen'!D11)</f>
        <v>0</v>
      </c>
      <c r="M6" s="693">
        <f>IF('Flächen u. Kulturen'!J11="",0,VLOOKUP('Flächen u. Kulturen'!J11,Kulturen[[HF]:[Berechnungsgruppe]],'#Frucht'!$W$1,FALSE))</f>
        <v>1</v>
      </c>
      <c r="N6" s="693">
        <f>IF('Flächen u. Kulturen'!P11="",0,VLOOKUP('Flächen u. Kulturen'!P11,Kulturen[[HF]:[Berechnungsgruppe]],'#Frucht'!$W$1,FALSE))</f>
        <v>1</v>
      </c>
      <c r="O6" s="758">
        <f>IF(N6&lt;&gt;2,N6,IF('Flächen u. Kulturen'!J11='Flächen u. Kulturen'!P11,2,1))</f>
        <v>1</v>
      </c>
      <c r="P6" s="627">
        <f>IF('Flächen u. Kulturen'!F11="",0,VLOOKUP('Flächen u. Kulturen'!F11,'#Boden'!$G$4:$H$8,'#Boden'!$H$1,FALSE))</f>
        <v>1</v>
      </c>
      <c r="Q6" s="627">
        <f>IF('Flächen u. Kulturen'!G11="",0,VLOOKUP('Flächen u. Kulturen'!G11,'#Boden'!$B$26:$C$29,'#Boden'!$C$1,FALSE))</f>
        <v>1</v>
      </c>
      <c r="R6" s="718">
        <f>IF(Q6&lt;4,1,2)</f>
        <v>1</v>
      </c>
      <c r="S6" s="627">
        <f>IF(AND(O6=3,Q6&gt;2),2,IF(AND(O6&lt;&gt;3,Q6&gt;3),2,1))</f>
        <v>1</v>
      </c>
      <c r="T6" s="627">
        <f>IF('Flächen u. Kulturen'!H11="",0,VLOOKUP('Flächen u. Kulturen'!H11,'#Boden'!$B$23:$C$25,'#Boden'!$C$1,FALSE))</f>
        <v>2</v>
      </c>
      <c r="U6" s="718" t="str">
        <f>'Flächen u. Kulturen'!E11</f>
        <v>x</v>
      </c>
      <c r="V6" s="938">
        <f>IF('Flächen u. Kulturen'!Q11="",0,_xlfn.NUMBERVALUE('Flächen u. Kulturen'!Q11))</f>
        <v>0</v>
      </c>
      <c r="W6" s="938">
        <f>IF('Flächen u. Kulturen'!R11="",0,_xlfn.NUMBERVALUE('Flächen u. Kulturen'!R11))</f>
        <v>0</v>
      </c>
      <c r="X6" s="627">
        <f>IF('Flächen u. Kulturen'!T11="",0,VLOOKUP('Flächen u. Kulturen'!T11,'#Boden'!$B$30:$C$32,'#Boden'!$C$1,FALSE))</f>
        <v>1</v>
      </c>
      <c r="Y6" s="683">
        <f>IF('Flächen u. Kulturen'!P11="",0,VLOOKUP('Flächen u. Kulturen'!P11,Kulturen[[HF]:[Berechnungsgruppe]],'#Frucht'!$N$1,FALSE))</f>
        <v>0</v>
      </c>
      <c r="Z6" s="718">
        <f>IF(AND(Y6&lt;&gt;0,O6&lt;3),1,2)</f>
        <v>2</v>
      </c>
      <c r="AA6" s="830">
        <f>IF('Flächen u. Kulturen'!P11="",0,VLOOKUP('Flächen u. Kulturen'!P11,Kulturen[[HF]:[Berechnungsgruppe]],'#Frucht'!$V$1,FALSE))</f>
        <v>0</v>
      </c>
      <c r="AB6" s="875">
        <f>IF(N6=1,VLOOKUP('Flächen u. Kulturen'!P11,Kulturen[[HF]:[Ernteprodukt]],'#Frucht'!$I$1,FALSE),4)</f>
        <v>4</v>
      </c>
      <c r="AC6" s="921">
        <f>IF('Flächen u. Kulturen'!J11="",0,VLOOKUP('Flächen u. Kulturen'!J11,Kulturen[[HF]:[Berechnungsgruppe]],'#Frucht'!$G$1,FALSE))</f>
        <v>90</v>
      </c>
      <c r="AD6" s="921">
        <f>IF('Flächen u. Kulturen'!P11="",0,VLOOKUP('Flächen u. Kulturen'!P11,Kulturen[[HF]:[Berechnungsgruppe]],'#Frucht'!$G$1,FALSE))</f>
        <v>90</v>
      </c>
      <c r="AE6" s="938">
        <f>IF('Flächen u. Kulturen'!P11="",0,VLOOKUP('Flächen u. Kulturen'!P11,Kulturen[[HF]:[SollwertMinusNfix]],'#Frucht'!$X$1,FALSE))</f>
        <v>0</v>
      </c>
      <c r="AF6" s="627">
        <f>IF('Flächen u. Kulturen'!L11="",0,VLOOKUP('Flächen u. Kulturen'!L11,Nebenkultur[[Nebenkultur]:[Berechnungsschema]],'#Zweitfr'!$G$1,FALSE))</f>
        <v>0</v>
      </c>
      <c r="AG6" s="627">
        <f>IF('Flächen u. Kulturen'!L11="",0,VLOOKUP('Flächen u. Kulturen'!L11,'#Zweitfr'!$D$8:$Q$27,'#Zweitfr'!$Q$1,FALSE))</f>
        <v>0</v>
      </c>
      <c r="AH6" s="683">
        <f>IF('Flächen u. Kulturen'!M11="",0,VLOOKUP('Flächen u. Kulturen'!M11,'#Boden'!$G$17:$H$21,2,FALSE))</f>
        <v>1</v>
      </c>
      <c r="AI6" s="683">
        <f>IF('Flächen u. Kulturen'!N11="",0,VLOOKUP('Flächen u. Kulturen'!N11,'#Boden'!$G$22:$H$24,'#Boden'!$H$1,FALSE))</f>
        <v>1</v>
      </c>
      <c r="AJ6" s="938">
        <f>IF('Flächen u. Kulturen'!O11="",0,_xlfn.NUMBERVALUE('Flächen u. Kulturen'!O11))</f>
        <v>0</v>
      </c>
      <c r="AK6" s="938">
        <f>IF('Flächen u. Kulturen'!L11="",0,VLOOKUP('Flächen u. Kulturen'!L11,Nebenkultur[[Nebenkultur]:[Legum. Zwischenfr.]],'#Zweitfr'!$P$1,FALSE))</f>
        <v>0</v>
      </c>
      <c r="AL6" s="683">
        <f>IF('Flächen u. Kulturen'!P11="",0,VLOOKUP('Flächen u. Kulturen'!P11,Kulturen[[HF]:[Berechnungsgruppe]],'#Frucht'!$Q$1,FALSE))</f>
        <v>0</v>
      </c>
      <c r="AM6" s="683">
        <f>IF('Flächen u. Kulturen'!P11="",0,VLOOKUP('Flächen u. Kulturen'!P11,Kulturen[[HF]:[Berechnungsgruppe]],'#Frucht'!$M$1,FALSE))</f>
        <v>0</v>
      </c>
      <c r="AN6" s="683">
        <f>IF('Flächen u. Kulturen'!P11="",1,VLOOKUP('Flächen u. Kulturen'!P11,Kulturen[[HF]:[Berechnungsgruppe]],'#Frucht'!$R$1,FALSE))</f>
        <v>10</v>
      </c>
      <c r="AO6" s="683">
        <f>IF('Flächen u. Kulturen'!P11="",0,VLOOKUP('Flächen u. Kulturen'!P11,Kulturen[[HF]:[Berechnungsgruppe]],'#Frucht'!$S$1,FALSE))</f>
        <v>0</v>
      </c>
      <c r="AP6" s="683">
        <f>IF('Flächen u. Kulturen'!P11="",0,VLOOKUP('Flächen u. Kulturen'!P11,Kulturen[[HF]:[Berechnungsgruppe]],'#Frucht'!$T$1,FALSE))</f>
        <v>0</v>
      </c>
      <c r="AQ6" s="938">
        <f t="shared" si="1"/>
        <v>0</v>
      </c>
      <c r="AR6" s="683">
        <f t="shared" si="2"/>
        <v>0</v>
      </c>
      <c r="AS6" s="938">
        <f t="shared" si="3"/>
        <v>0</v>
      </c>
      <c r="AT6" s="683">
        <f>IF(N6=1,'Flächen u. Kulturen'!S11*-1,"--")</f>
        <v>0</v>
      </c>
      <c r="AU6" s="938">
        <f>IF(OR(N6=2,'Flächen u. Kulturen'!I11=""),"--",IF(N6=3,VLOOKUP('Flächen u. Kulturen'!I11,'#Boden'!$B$9:$E$15,'#Boden'!$D$1,FALSE),VLOOKUP('Flächen u. Kulturen'!I11,'#Boden'!$B$9:$E$15,'#Boden'!$E$1,FALSE)))</f>
        <v>0</v>
      </c>
      <c r="AV6" s="938">
        <f>IF(N6=1,IF('Flächen u. Kulturen'!J11="",0,VLOOKUP('Flächen u. Kulturen'!J11,Kulturen[[HF]:[Berechnungsgruppe]],'#Frucht'!$U$1,FALSE)*-1),"--")</f>
        <v>0</v>
      </c>
      <c r="AW6" s="683">
        <f t="shared" si="4"/>
        <v>0</v>
      </c>
      <c r="AX6" s="758">
        <f>IF('Flächen u. Kulturen'!K11="",0,'Flächen u. Kulturen'!K11*-0.1)</f>
        <v>0</v>
      </c>
      <c r="AY6" s="714">
        <f>IF(N6&lt;3,'#orgDung'!AC15*0.1*-1,"--")</f>
        <v>0</v>
      </c>
      <c r="AZ6" s="31" t="str">
        <f>IF(AND('#orgDung'!J15&lt;&gt;2,'#orgDung'!F15=1),('#orgDung'!V15+'#minDung'!O12)*-1,"--")</f>
        <v>--</v>
      </c>
      <c r="BA6" s="714">
        <f>MAX(0,SUM(AR6:AZ6))</f>
        <v>0</v>
      </c>
      <c r="BB6" s="938">
        <f>IF(R6=2,0,'Flächen u. Kulturen'!V11*-1)</f>
        <v>0</v>
      </c>
      <c r="BC6" s="718">
        <f>SUM(BA6:BB6)</f>
        <v>0</v>
      </c>
      <c r="BD6" s="127">
        <f>'#orgDung'!W15*-1</f>
        <v>0</v>
      </c>
      <c r="BE6" s="910">
        <f>'#orgDung'!AA15*-1</f>
        <v>0</v>
      </c>
      <c r="BF6" s="749">
        <f>'#orgDung'!Z15*-1</f>
        <v>0</v>
      </c>
      <c r="BG6" s="938">
        <f t="shared" ref="BG6:BG69" si="14">MAX(0,IF(BA6+BE6&lt;0,BC6+BF6+BE6,BC6+BF6))</f>
        <v>0</v>
      </c>
      <c r="BH6" s="871">
        <f>'#Kürzungen'!AS30*-1</f>
        <v>0</v>
      </c>
      <c r="BI6" s="871">
        <f t="shared" si="5"/>
        <v>0</v>
      </c>
      <c r="BJ6" s="910">
        <f t="shared" si="6"/>
        <v>0</v>
      </c>
      <c r="BK6" s="871">
        <f>'#minDung'!P12</f>
        <v>0</v>
      </c>
      <c r="BL6" s="938">
        <f t="shared" ref="BL6:BL69" si="15">BJ6-BK6</f>
        <v>0</v>
      </c>
      <c r="BM6" s="938">
        <f t="shared" si="7"/>
        <v>0</v>
      </c>
      <c r="BN6" s="745">
        <f>IF('Flächen u. Kulturen'!P11="",0,VLOOKUP('Flächen u. Kulturen'!P11,Kulturen[[HF]:[Berechnungsgruppe]],'#Frucht'!$K$1,FALSE))</f>
        <v>0</v>
      </c>
      <c r="BO6" s="745">
        <f>IF('Flächen u. Kulturen'!P11="",0,VLOOKUP('Flächen u. Kulturen'!P11,Kulturen[[HF]:[Berechnungsgruppe]],'#Frucht'!$L$1,FALSE))</f>
        <v>0</v>
      </c>
      <c r="BP6" s="745">
        <f>IF('Flächen u. Kulturen'!L11="",0,VLOOKUP('Flächen u. Kulturen'!L11,Nebenkultur[[Nebenkultur]:[Legum. Zwischenfr.]],'#Zweitfr'!$H$1,FALSE))</f>
        <v>0</v>
      </c>
      <c r="BQ6" s="938">
        <f>IF(N6=3,W6*BO6,IF('Flächen u. Kulturen'!T11='#Boden'!$B$32,V6*BN6,V6*BO6))</f>
        <v>0</v>
      </c>
      <c r="BR6" s="938">
        <f t="shared" si="8"/>
        <v>0</v>
      </c>
      <c r="BS6" s="745">
        <f>BQ6+BR6</f>
        <v>0</v>
      </c>
      <c r="BT6" s="745">
        <f>IF('Flächen u. Kulturen'!F11="",0,IF(N6=3,VLOOKUP('Flächen u. Kulturen'!F11,'#Boden'!$G$4:$J$8,'#Boden'!$J$1,FALSE),VLOOKUP('Flächen u. Kulturen'!F11,'#Boden'!$G$4:$J$8,'#Boden'!$I$1,FALSE)))</f>
        <v>0</v>
      </c>
      <c r="BU6" s="41">
        <f>IF(BT6&gt;0,BT6,BS6*BT6)</f>
        <v>0</v>
      </c>
      <c r="BV6">
        <f>BS6+BU6</f>
        <v>0</v>
      </c>
      <c r="BW6" s="938" t="str">
        <f t="shared" ref="BW6:BW69" si="16">IF(P6&gt;3,BS6,"")</f>
        <v/>
      </c>
      <c r="BX6" s="745">
        <f>'#orgDung'!T15*-1</f>
        <v>0</v>
      </c>
      <c r="BY6">
        <f t="shared" ref="BY6:BY36" si="17">IF(P6&lt;4,MAX(0,BV6+BX6),IF(BW6+BX6&lt;0,BW6+BX6,MAX(0,BV6+BX6)))</f>
        <v>0</v>
      </c>
      <c r="BZ6" s="938" t="str">
        <f>IF(U6&lt;&gt;"x",0,IF(P6&lt;4,"",(BW6+BX6-'#minDung'!N12)*-1))</f>
        <v/>
      </c>
      <c r="CB6" s="938">
        <f>IF(AND(AF6=70,U6="x"),'Flächen u. Kulturen'!A11,1000)</f>
        <v>1000</v>
      </c>
      <c r="CC6" t="str">
        <f>IF(AF6=70,VLOOKUP('Flächen u. Kulturen'!L11,Nebenkultur[[Nebenkultur]:[Legum. Zwischenfr.]],'#Zweitfr'!$I$1,FALSE),"--")</f>
        <v>--</v>
      </c>
      <c r="CD6" t="str">
        <f>IF(AF6=70,VLOOKUP('Flächen u. Kulturen'!L11,Nebenkultur[[Nebenkultur]:[Legum. Zwischenfr.]],'#Zweitfr'!$L$1,FALSE),"--")</f>
        <v>--</v>
      </c>
      <c r="CE6" t="str">
        <f>IF(AF6=70,VLOOKUP('Flächen u. Kulturen'!L11,Nebenkultur[[Nebenkultur]:[Legum. Zwischenfr.]],'#Zweitfr'!$M$1,FALSE),"--")</f>
        <v>--</v>
      </c>
      <c r="CF6" t="str">
        <f>IF(AF6=70,VLOOKUP('Flächen u. Kulturen'!L11,Nebenkultur[[Nebenkultur]:[Legum. Zwischenfr.]],'#Zweitfr'!$N$1,FALSE),"--")</f>
        <v>--</v>
      </c>
      <c r="CG6" t="str">
        <f>IF(AF6=70,VLOOKUP('Flächen u. Kulturen'!L11,Nebenkultur[[Nebenkultur]:[Legum. Zwischenfr.]],'#Zweitfr'!$O$1,FALSE),"--")</f>
        <v>--</v>
      </c>
      <c r="CH6" t="str">
        <f t="shared" si="9"/>
        <v>--</v>
      </c>
      <c r="CI6" s="938">
        <f>IF('Flächen u. Kulturen'!L11="",0,VLOOKUP('Flächen u. Kulturen'!L11,Nebenkultur[[Nebenkultur]:[Legum. Zwischenfr.]],'#Zweitfr'!$J$1,FALSE))</f>
        <v>0</v>
      </c>
      <c r="CJ6">
        <f t="shared" si="10"/>
        <v>0</v>
      </c>
      <c r="CK6" s="890">
        <f t="shared" si="11"/>
        <v>0</v>
      </c>
      <c r="CL6" s="938">
        <f>IF(AND(R6=1,AF6=70),'Flächen u. Kulturen'!W11*-1,0)</f>
        <v>0</v>
      </c>
      <c r="CM6" s="745">
        <f>'#orgDung'!AE15*-1</f>
        <v>0</v>
      </c>
      <c r="CN6" s="836">
        <f>SUM(CK6:CM6)</f>
        <v>0</v>
      </c>
      <c r="CO6" s="871">
        <f>MAX(0,CN6)</f>
        <v>0</v>
      </c>
      <c r="CP6" s="871">
        <f>'#Kürzungen'!AS131*-1</f>
        <v>0</v>
      </c>
      <c r="CQ6" s="871">
        <f>CK6+CP6</f>
        <v>0</v>
      </c>
      <c r="CR6" s="871">
        <f>CQ6+CM6</f>
        <v>0</v>
      </c>
      <c r="CS6" s="745">
        <f>'#minDung'!R12</f>
        <v>0</v>
      </c>
      <c r="CT6" s="938">
        <f t="shared" ref="CT6:CT69" si="18">CR6-CS6</f>
        <v>0</v>
      </c>
      <c r="CU6" s="52" t="str">
        <f>'#Kürzungen'!AQ131</f>
        <v xml:space="preserve"> </v>
      </c>
      <c r="CV6"/>
      <c r="CW6" s="247">
        <f>IF('Flächen u. Kulturen'!D11="",0,IF(ISNUMBER('Flächen u. Kulturen'!D11)=TRUE,2,1))</f>
        <v>0</v>
      </c>
      <c r="CX6" s="247">
        <f>IF('Flächen u. Kulturen'!E11="",0,COUNTIF('#Boden'!$B$47,'Flächen u. Kulturen'!E11)+1)</f>
        <v>2</v>
      </c>
      <c r="CY6" s="247">
        <f>IF('Flächen u. Kulturen'!F11="",0,COUNTIF('#Boden'!$G$4:$G$8,'Flächen u. Kulturen'!F11)+1)</f>
        <v>2</v>
      </c>
      <c r="CZ6" s="247">
        <f>IF('Flächen u. Kulturen'!G11="",0,COUNTIF('#Boden'!$B$26:$B$29,'Flächen u. Kulturen'!G11)+1)</f>
        <v>2</v>
      </c>
      <c r="DA6" s="247">
        <f>IF('Flächen u. Kulturen'!H11="",0,COUNTIF('#Boden'!$B$26:$B$29,'Flächen u. Kulturen'!H11)+1)</f>
        <v>2</v>
      </c>
      <c r="DB6" s="247">
        <f>IF('Flächen u. Kulturen'!I11="",0,COUNTIF('#Boden'!$B$9:$B$15,'Flächen u. Kulturen'!I11)+1)</f>
        <v>2</v>
      </c>
      <c r="DC6" s="247">
        <f>IF('Flächen u. Kulturen'!J11="",0,COUNTIF(Kulturen[HF],'Flächen u. Kulturen'!J11)+1)</f>
        <v>2</v>
      </c>
      <c r="DD6" s="247">
        <f>IF('Flächen u. Kulturen'!L11="",0,COUNTIF(Nebenkultur[Nebenkultur],'Flächen u. Kulturen'!L11)+1)</f>
        <v>2</v>
      </c>
      <c r="DE6" s="247">
        <f>IF('Flächen u. Kulturen'!M11="",0,COUNTIF('#Boden'!$G$17:$G$21,'Flächen u. Kulturen'!M11)+1)</f>
        <v>2</v>
      </c>
      <c r="DF6" s="247">
        <f>IF('Flächen u. Kulturen'!N11="",0,COUNTIF('#Boden'!$G$22:$G$24,'Flächen u. Kulturen'!N11)+1)</f>
        <v>2</v>
      </c>
      <c r="DG6" s="247">
        <f>IF('Flächen u. Kulturen'!P11="",0,COUNTIF(Kulturen[HF],'Flächen u. Kulturen'!P11)+1)</f>
        <v>2</v>
      </c>
      <c r="DH6" s="247">
        <f>IF('Flächen u. Kulturen'!T11="",0,COUNTIF('#Boden'!$B$30:$B$32,'Flächen u. Kulturen'!T11)+1)</f>
        <v>2</v>
      </c>
      <c r="DI6" s="247">
        <f>IF('Flächen u. Kulturen'!K11="",0,IF(ISNUMBER('Flächen u. Kulturen'!K11)=TRUE,2,1))</f>
        <v>0</v>
      </c>
      <c r="DJ6" s="247">
        <f>IF('Flächen u. Kulturen'!U11="",0,IF(ISNUMBER('Flächen u. Kulturen'!U11)=TRUE,2,1))</f>
        <v>0</v>
      </c>
      <c r="DK6" s="247">
        <f>IF('Flächen u. Kulturen'!V11="",0,IF(ISNUMBER('Flächen u. Kulturen'!V11)=TRUE,2,1))</f>
        <v>0</v>
      </c>
      <c r="DL6" s="247">
        <f>IF('Flächen u. Kulturen'!W11="",0,IF(ISNUMBER('Flächen u. Kulturen'!W11)=TRUE,2,1))</f>
        <v>0</v>
      </c>
      <c r="DM6" s="247">
        <f>COUNTIF(CW6:DH6,1)</f>
        <v>0</v>
      </c>
      <c r="DN6" s="247" t="s">
        <v>344</v>
      </c>
      <c r="DO6" s="247">
        <f>IF(U6&lt;&gt;"x","",IF(OR('Flächen u. Kulturen'!B11="",'Flächen u. Kulturen'!C11="",'Flächen u. Kulturen'!D11="",'Flächen u. Kulturen'!D11=0,'Flächen u. Kulturen'!F11="",'Flächen u. Kulturen'!F11='#Boden'!$G$4,'Flächen u. Kulturen'!G11="",'Flächen u. Kulturen'!G11='#Boden'!$B$26,'Flächen u. Kulturen'!H11="",'Flächen u. Kulturen'!H11='#Boden'!$B$23,AND(N6&lt;&gt;2,OR('Flächen u. Kulturen'!I11="",'Flächen u. Kulturen'!I11='#Boden'!$B$9)),'Flächen u. Kulturen'!J11="",'Flächen u. Kulturen'!J11='#Frucht'!$B$8,'Flächen u. Kulturen'!J11='#Boden'!$G$50,'Flächen u. Kulturen'!K11="",'Flächen u. Kulturen'!L11='#Boden'!$G$50,'Flächen u. Kulturen'!P11="",'Flächen u. Kulturen'!P11='#Frucht'!$B$8,'Flächen u. Kulturen'!P11='#Boden'!$G$50,AND('Flächen u. Kulturen'!Q11="",'#BerechnungDBE'!N6&lt;3),AND('Flächen u. Kulturen'!R11="",'#BerechnungDBE'!N6=3),AND(N6=1,AL6&gt;0,'Flächen u. Kulturen'!S11=""),AND(N6=1,OR('Flächen u. Kulturen'!T11="",'Flächen u. Kulturen'!T11='#Boden'!$B$30)),AND('#BerechnungDBE'!AF6=70,OR('Flächen u. Kulturen'!N11="",'Flächen u. Kulturen'!N11='#Boden'!$G$22,'Flächen u. Kulturen'!O11="")),AND('#BerechnungDBE'!AF6=80,OR('Flächen u. Kulturen'!M11="",'Flächen u. Kulturen'!M11='#Boden'!$G$17,'Flächen u. Kulturen'!N11="",'Flächen u. Kulturen'!N11='#Boden'!$G$22))),$DO$4,""))</f>
        <v>1</v>
      </c>
      <c r="DP6" s="247" t="str">
        <f>IF(U6&lt;&gt;"x","",IF(OR(LEFT('Flächen u. Kulturen'!J11,2)=" +",LEFT('Flächen u. Kulturen'!L11,2)=" +",LEFT('Flächen u. Kulturen'!P11,2)=" +"),$DP$4,""))</f>
        <v/>
      </c>
      <c r="DQ6" s="428" t="str">
        <f t="shared" si="12"/>
        <v/>
      </c>
      <c r="DR6" s="938" t="str">
        <f t="shared" si="13"/>
        <v/>
      </c>
      <c r="DS6" s="938" t="str">
        <f>IF('Flächen u. Kulturen'!X11="","",ROW('Flächen u. Kulturen'!X11))</f>
        <v/>
      </c>
    </row>
    <row r="7" spans="1:123" x14ac:dyDescent="0.2">
      <c r="A7" s="760" t="str">
        <f>IF('Daten aus 2021'!H9="",'#Boden'!$B$26,IF('Daten aus 2021'!H9='#Boden'!$B$39,IF('Daten aus 2021'!F9='#Boden'!$B$29,'#Boden'!$B$29,IF('Daten aus 2021'!K9='#Boden'!$B$34,'#Boden'!$B$28,'#Boden'!$B$27)),'Daten aus 2021'!F9))</f>
        <v xml:space="preserve"> --</v>
      </c>
      <c r="B7" s="758" t="str">
        <f>IF('Daten aus 2021'!H9='#Boden'!$B$39,IF('Daten aus 2021'!L9='#Boden'!$B$61,'#Boden'!$B$11,'Daten aus 2021'!L9),IF('Daten aus 2021'!P9='#Boden'!$B$58,'#Boden'!$B$11,IF('Daten aus 2021'!P9='#Boden'!$B$57,'#Boden'!$B$10,'#Boden'!$B$9)))</f>
        <v xml:space="preserve"> --         </v>
      </c>
      <c r="C7" s="760" t="str">
        <f>IF('Daten aus 2021'!N9="","",VLOOKUP('Daten aus 2021'!N9,'#Boden'!$B$68:$C$89,2,FALSE))</f>
        <v/>
      </c>
      <c r="D7" s="760" t="str">
        <f>IF('Daten aus 2021'!M9="","",VLOOKUP('Daten aus 2021'!M9,'#Boden'!$D$69:$E$73,2,FALSE))</f>
        <v/>
      </c>
      <c r="E7" s="938" t="str">
        <f>IF(OR(C7='#Boden'!$C$68,C7='#Boden'!$C$70),C7,CONCATENATE(C7,D7))</f>
        <v/>
      </c>
      <c r="F7" s="882" t="str">
        <f>IFERROR(IF('Daten aus 2021'!H9="",'#Frucht'!$D$8,IF('Daten aus 2021'!H9='#Boden'!$B$39,E7,IF('Daten aus 2021'!H9='#Boden'!$B$38,IF(CONCATENATE(" ",'Daten aus 2021'!W9)=$B$2,VLOOKUP($B$3,'#Frucht'!$A$8:$D$372,4,FALSE),VLOOKUP(CONCATENATE(" ",'Daten aus 2021'!W9),'#Frucht'!$A$8:$D$372,4,FALSE)),IF(OR(LEFT('Daten aus 2021'!Q9,5)=" *10 ",LEFT('Daten aus 2021'!Q9,5)=" *11 ",LEFT('Daten aus 2021'!Q9,5)=" *12 ",LEFT('Daten aus 2021'!Q9,5)=" *13 ",LEFT('Daten aus 2021'!Q9,5)=" *14 ",LEFT('Daten aus 2021'!Q9,5)=" *15 "),VLOOKUP(RIGHT('Daten aus 2021'!Q9,LEN('Daten aus 2021'!Q9)-4),'#Frucht'!$A$8:$D$372,4,FALSE),IF(LEFT('Daten aus 2021'!Q9,2)=" *",VLOOKUP(RIGHT('Daten aus 2021'!Q9,LEN('Daten aus 2021'!Q9)-3),'#Frucht'!$A$8:$D$372,4,FALSE),VLOOKUP('Daten aus 2021'!Q9,'#Frucht'!$A$8:$D$372,4,FALSE)))))),'#Frucht'!$D$8)</f>
        <v xml:space="preserve"> --  </v>
      </c>
      <c r="G7" s="127"/>
      <c r="H7" s="31"/>
      <c r="J7" s="938" t="str">
        <f>IF(OR(N7=3,$K$3=0,'Flächen u. Kulturen'!P12=""),"",IF(VLOOKUP('Flächen u. Kulturen'!P12,Kulturen[[HF]:[780]],'#BerechnungDBE'!$K$3,FALSE)=".","",VLOOKUP('Flächen u. Kulturen'!P12,Kulturen[[HF]:[780]],'#BerechnungDBE'!$K$3,FALSE)))</f>
        <v/>
      </c>
      <c r="K7" s="938" t="str">
        <f>IF(OR($K$3=0,'Flächen u. Kulturen'!P12=""),"",IF(N7=3,IF(VLOOKUP('Flächen u. Kulturen'!P12,Kulturen[[HF]:[780]],'#BerechnungDBE'!$K$3,FALSE)=".","",VLOOKUP('Flächen u. Kulturen'!P12,Kulturen[[HF]:[780]],'#BerechnungDBE'!$K$3,FALSE)),""))</f>
        <v/>
      </c>
      <c r="L7" s="367">
        <f>IF('Flächen u. Kulturen'!D12="",0,'Flächen u. Kulturen'!D12)</f>
        <v>0</v>
      </c>
      <c r="M7" s="693">
        <f>IF('Flächen u. Kulturen'!J12="",0,VLOOKUP('Flächen u. Kulturen'!J12,Kulturen[[HF]:[Berechnungsgruppe]],'#Frucht'!$W$1,FALSE))</f>
        <v>1</v>
      </c>
      <c r="N7" s="693">
        <f>IF('Flächen u. Kulturen'!P12="",0,VLOOKUP('Flächen u. Kulturen'!P12,Kulturen[[HF]:[Berechnungsgruppe]],'#Frucht'!$W$1,FALSE))</f>
        <v>1</v>
      </c>
      <c r="O7" s="758">
        <f>IF(N7&lt;&gt;2,N7,IF('Flächen u. Kulturen'!J12='Flächen u. Kulturen'!P12,2,1))</f>
        <v>1</v>
      </c>
      <c r="P7" s="627">
        <f>IF('Flächen u. Kulturen'!F12="",0,VLOOKUP('Flächen u. Kulturen'!F12,'#Boden'!$G$4:$H$8,'#Boden'!$H$1,FALSE))</f>
        <v>1</v>
      </c>
      <c r="Q7" s="627">
        <f>IF('Flächen u. Kulturen'!G12="",0,VLOOKUP('Flächen u. Kulturen'!G12,'#Boden'!$B$26:$C$29,'#Boden'!$C$1,FALSE))</f>
        <v>1</v>
      </c>
      <c r="R7" s="718">
        <f>IF(Q7&lt;4,1,2)</f>
        <v>1</v>
      </c>
      <c r="S7" s="627">
        <f>IF(AND(O7=3,Q7&gt;2),2,IF(AND(O7&lt;&gt;3,Q7&gt;3),2,1))</f>
        <v>1</v>
      </c>
      <c r="T7" s="627">
        <f>IF('Flächen u. Kulturen'!H12="",0,VLOOKUP('Flächen u. Kulturen'!H12,'#Boden'!$B$23:$C$25,'#Boden'!$C$1,FALSE))</f>
        <v>2</v>
      </c>
      <c r="U7" s="718" t="str">
        <f>'Flächen u. Kulturen'!E12</f>
        <v>x</v>
      </c>
      <c r="V7" s="938">
        <f>IF('Flächen u. Kulturen'!Q12="",0,_xlfn.NUMBERVALUE('Flächen u. Kulturen'!Q12))</f>
        <v>0</v>
      </c>
      <c r="W7" s="938">
        <f>IF('Flächen u. Kulturen'!R12="",0,_xlfn.NUMBERVALUE('Flächen u. Kulturen'!R12))</f>
        <v>0</v>
      </c>
      <c r="X7" s="627">
        <f>IF('Flächen u. Kulturen'!T12="",0,VLOOKUP('Flächen u. Kulturen'!T12,'#Boden'!$B$30:$C$32,'#Boden'!$C$1,FALSE))</f>
        <v>1</v>
      </c>
      <c r="Y7" s="683">
        <f>IF('Flächen u. Kulturen'!P12="",0,VLOOKUP('Flächen u. Kulturen'!P12,Kulturen[[HF]:[Berechnungsgruppe]],'#Frucht'!$N$1,FALSE))</f>
        <v>0</v>
      </c>
      <c r="Z7" s="718">
        <f>IF(AND(Y7&lt;&gt;0,O7&lt;3),1,2)</f>
        <v>2</v>
      </c>
      <c r="AA7" s="830">
        <f>IF('Flächen u. Kulturen'!P12="",0,VLOOKUP('Flächen u. Kulturen'!P12,Kulturen[[HF]:[Berechnungsgruppe]],'#Frucht'!$V$1,FALSE))</f>
        <v>0</v>
      </c>
      <c r="AB7" s="875">
        <f>IF(N7=1,VLOOKUP('Flächen u. Kulturen'!P12,Kulturen[[HF]:[Ernteprodukt]],'#Frucht'!$I$1,FALSE),4)</f>
        <v>4</v>
      </c>
      <c r="AC7" s="921">
        <f>IF('Flächen u. Kulturen'!J12="",0,VLOOKUP('Flächen u. Kulturen'!J12,Kulturen[[HF]:[Berechnungsgruppe]],'#Frucht'!$G$1,FALSE))</f>
        <v>90</v>
      </c>
      <c r="AD7" s="921">
        <f>IF('Flächen u. Kulturen'!P12="",0,VLOOKUP('Flächen u. Kulturen'!P12,Kulturen[[HF]:[Berechnungsgruppe]],'#Frucht'!$G$1,FALSE))</f>
        <v>90</v>
      </c>
      <c r="AE7" s="938">
        <f>IF('Flächen u. Kulturen'!P12="",0,VLOOKUP('Flächen u. Kulturen'!P12,Kulturen[[HF]:[SollwertMinusNfix]],'#Frucht'!$X$1,FALSE))</f>
        <v>0</v>
      </c>
      <c r="AF7" s="627">
        <f>IF('Flächen u. Kulturen'!L12="",0,VLOOKUP('Flächen u. Kulturen'!L12,Nebenkultur[[Nebenkultur]:[Berechnungsschema]],'#Zweitfr'!$G$1,FALSE))</f>
        <v>0</v>
      </c>
      <c r="AG7" s="627">
        <f>IF('Flächen u. Kulturen'!L12="",0,VLOOKUP('Flächen u. Kulturen'!L12,'#Zweitfr'!$D$8:$Q$27,'#Zweitfr'!$Q$1,FALSE))</f>
        <v>0</v>
      </c>
      <c r="AH7" s="683">
        <f>IF('Flächen u. Kulturen'!M12="",0,VLOOKUP('Flächen u. Kulturen'!M12,'#Boden'!$G$17:$H$21,2,FALSE))</f>
        <v>1</v>
      </c>
      <c r="AI7" s="683">
        <f>IF('Flächen u. Kulturen'!N12="",0,VLOOKUP('Flächen u. Kulturen'!N12,'#Boden'!$G$22:$H$24,'#Boden'!$H$1,FALSE))</f>
        <v>1</v>
      </c>
      <c r="AJ7" s="938">
        <f>IF('Flächen u. Kulturen'!O12="",0,_xlfn.NUMBERVALUE('Flächen u. Kulturen'!O12))</f>
        <v>0</v>
      </c>
      <c r="AK7" s="938">
        <f>IF('Flächen u. Kulturen'!L12="",0,VLOOKUP('Flächen u. Kulturen'!L12,Nebenkultur[[Nebenkultur]:[Legum. Zwischenfr.]],'#Zweitfr'!$P$1,FALSE))</f>
        <v>0</v>
      </c>
      <c r="AL7" s="683">
        <f>IF('Flächen u. Kulturen'!P12="",0,VLOOKUP('Flächen u. Kulturen'!P12,Kulturen[[HF]:[Berechnungsgruppe]],'#Frucht'!$Q$1,FALSE))</f>
        <v>0</v>
      </c>
      <c r="AM7" s="683">
        <f>IF('Flächen u. Kulturen'!P12="",0,VLOOKUP('Flächen u. Kulturen'!P12,Kulturen[[HF]:[Berechnungsgruppe]],'#Frucht'!$M$1,FALSE))</f>
        <v>0</v>
      </c>
      <c r="AN7" s="683">
        <f>IF('Flächen u. Kulturen'!P12="",1,VLOOKUP('Flächen u. Kulturen'!P12,Kulturen[[HF]:[Berechnungsgruppe]],'#Frucht'!$R$1,FALSE))</f>
        <v>10</v>
      </c>
      <c r="AO7" s="683">
        <f>IF('Flächen u. Kulturen'!P12="",0,VLOOKUP('Flächen u. Kulturen'!P12,Kulturen[[HF]:[Berechnungsgruppe]],'#Frucht'!$S$1,FALSE))</f>
        <v>0</v>
      </c>
      <c r="AP7" s="683">
        <f>IF('Flächen u. Kulturen'!P12="",0,VLOOKUP('Flächen u. Kulturen'!P12,Kulturen[[HF]:[Berechnungsgruppe]],'#Frucht'!$T$1,FALSE))</f>
        <v>0</v>
      </c>
      <c r="AQ7" s="938">
        <f t="shared" si="1"/>
        <v>0</v>
      </c>
      <c r="AR7" s="683">
        <f t="shared" si="2"/>
        <v>0</v>
      </c>
      <c r="AS7" s="938">
        <f t="shared" si="3"/>
        <v>0</v>
      </c>
      <c r="AT7" s="683">
        <f>IF(N7=1,'Flächen u. Kulturen'!S12*-1,"--")</f>
        <v>0</v>
      </c>
      <c r="AU7" s="938">
        <f>IF(OR(N7=2,'Flächen u. Kulturen'!I12=""),"--",IF(N7=3,VLOOKUP('Flächen u. Kulturen'!I12,'#Boden'!$B$9:$E$15,'#Boden'!$D$1,FALSE),VLOOKUP('Flächen u. Kulturen'!I12,'#Boden'!$B$9:$E$15,'#Boden'!$E$1,FALSE)))</f>
        <v>0</v>
      </c>
      <c r="AV7" s="938">
        <f>IF(N7=1,IF('Flächen u. Kulturen'!J12="",0,VLOOKUP('Flächen u. Kulturen'!J12,Kulturen[[HF]:[Berechnungsgruppe]],'#Frucht'!$U$1,FALSE)*-1),"--")</f>
        <v>0</v>
      </c>
      <c r="AW7" s="683">
        <f t="shared" si="4"/>
        <v>0</v>
      </c>
      <c r="AX7" s="758">
        <f>IF('Flächen u. Kulturen'!K12="",0,'Flächen u. Kulturen'!K12*-0.1)</f>
        <v>0</v>
      </c>
      <c r="AY7" s="714">
        <f>IF(N7&lt;3,'#orgDung'!AC16*0.1*-1,"--")</f>
        <v>0</v>
      </c>
      <c r="AZ7" s="31" t="str">
        <f>IF(AND('#orgDung'!J16&lt;&gt;2,'#orgDung'!F16=1),('#orgDung'!V16+'#minDung'!O13)*-1,"--")</f>
        <v>--</v>
      </c>
      <c r="BA7" s="714">
        <f>MAX(0,SUM(AR7:AZ7))</f>
        <v>0</v>
      </c>
      <c r="BB7" s="938">
        <f>IF(R7=2,0,'Flächen u. Kulturen'!V12*-1)</f>
        <v>0</v>
      </c>
      <c r="BC7" s="718">
        <f>SUM(BA7:BB7)</f>
        <v>0</v>
      </c>
      <c r="BD7" s="127">
        <f>'#orgDung'!W16*-1</f>
        <v>0</v>
      </c>
      <c r="BE7" s="910">
        <f>'#orgDung'!AA16*-1</f>
        <v>0</v>
      </c>
      <c r="BF7" s="749">
        <f>'#orgDung'!Z16*-1</f>
        <v>0</v>
      </c>
      <c r="BG7" s="938">
        <f t="shared" si="14"/>
        <v>0</v>
      </c>
      <c r="BH7" s="871">
        <f>'#Kürzungen'!AS31*-1</f>
        <v>0</v>
      </c>
      <c r="BI7" s="871">
        <f t="shared" si="5"/>
        <v>0</v>
      </c>
      <c r="BJ7" s="910">
        <f t="shared" si="6"/>
        <v>0</v>
      </c>
      <c r="BK7" s="871">
        <f>'#minDung'!P13</f>
        <v>0</v>
      </c>
      <c r="BL7" s="938">
        <f t="shared" si="15"/>
        <v>0</v>
      </c>
      <c r="BM7" s="938">
        <f t="shared" si="7"/>
        <v>0</v>
      </c>
      <c r="BN7" s="745">
        <f>IF('Flächen u. Kulturen'!P12="",0,VLOOKUP('Flächen u. Kulturen'!P12,Kulturen[[HF]:[Berechnungsgruppe]],'#Frucht'!$K$1,FALSE))</f>
        <v>0</v>
      </c>
      <c r="BO7" s="745">
        <f>IF('Flächen u. Kulturen'!P12="",0,VLOOKUP('Flächen u. Kulturen'!P12,Kulturen[[HF]:[Berechnungsgruppe]],'#Frucht'!$L$1,FALSE))</f>
        <v>0</v>
      </c>
      <c r="BP7" s="745">
        <f>IF('Flächen u. Kulturen'!L12="",0,VLOOKUP('Flächen u. Kulturen'!L12,Nebenkultur[[Nebenkultur]:[Legum. Zwischenfr.]],'#Zweitfr'!$H$1,FALSE))</f>
        <v>0</v>
      </c>
      <c r="BQ7" s="938">
        <f>IF(N7=3,W7*BO7,IF('Flächen u. Kulturen'!T12='#Boden'!$B$32,V7*BN7,V7*BO7))</f>
        <v>0</v>
      </c>
      <c r="BR7" s="938">
        <f t="shared" si="8"/>
        <v>0</v>
      </c>
      <c r="BS7" s="745">
        <f>BQ7+BR7</f>
        <v>0</v>
      </c>
      <c r="BT7" s="745">
        <f>IF('Flächen u. Kulturen'!F12="",0,IF(N7=3,VLOOKUP('Flächen u. Kulturen'!F12,'#Boden'!$G$4:$J$8,'#Boden'!$J$1,FALSE),VLOOKUP('Flächen u. Kulturen'!F12,'#Boden'!$G$4:$J$8,'#Boden'!$I$1,FALSE)))</f>
        <v>0</v>
      </c>
      <c r="BU7" s="41">
        <f>IF(BT7&gt;0,BT7,BS7*BT7)</f>
        <v>0</v>
      </c>
      <c r="BV7">
        <f>BS7+BU7</f>
        <v>0</v>
      </c>
      <c r="BW7" s="938" t="str">
        <f t="shared" si="16"/>
        <v/>
      </c>
      <c r="BX7" s="745">
        <f>'#orgDung'!T16*-1</f>
        <v>0</v>
      </c>
      <c r="BY7">
        <f t="shared" si="17"/>
        <v>0</v>
      </c>
      <c r="BZ7" s="938" t="str">
        <f>IF(U7&lt;&gt;"x",0,IF(P7&lt;4,"",(BW7+BX7-'#minDung'!N13)*-1))</f>
        <v/>
      </c>
      <c r="CB7" s="938">
        <f>IF(AND(AF7=70,U7="x"),'Flächen u. Kulturen'!A12,1000)</f>
        <v>1000</v>
      </c>
      <c r="CC7" t="str">
        <f>IF(AF7=70,VLOOKUP('Flächen u. Kulturen'!L12,Nebenkultur[[Nebenkultur]:[Legum. Zwischenfr.]],'#Zweitfr'!$I$1,FALSE),"--")</f>
        <v>--</v>
      </c>
      <c r="CD7" t="str">
        <f>IF(AF7=70,VLOOKUP('Flächen u. Kulturen'!L12,Nebenkultur[[Nebenkultur]:[Legum. Zwischenfr.]],'#Zweitfr'!$L$1,FALSE),"--")</f>
        <v>--</v>
      </c>
      <c r="CE7" t="str">
        <f>IF(AF7=70,VLOOKUP('Flächen u. Kulturen'!L12,Nebenkultur[[Nebenkultur]:[Legum. Zwischenfr.]],'#Zweitfr'!$M$1,FALSE),"--")</f>
        <v>--</v>
      </c>
      <c r="CF7" t="str">
        <f>IF(AF7=70,VLOOKUP('Flächen u. Kulturen'!L12,Nebenkultur[[Nebenkultur]:[Legum. Zwischenfr.]],'#Zweitfr'!$N$1,FALSE),"--")</f>
        <v>--</v>
      </c>
      <c r="CG7" t="str">
        <f>IF(AF7=70,VLOOKUP('Flächen u. Kulturen'!L12,Nebenkultur[[Nebenkultur]:[Legum. Zwischenfr.]],'#Zweitfr'!$O$1,FALSE),"--")</f>
        <v>--</v>
      </c>
      <c r="CH7" t="str">
        <f t="shared" si="9"/>
        <v>--</v>
      </c>
      <c r="CI7" s="938">
        <f>IF('Flächen u. Kulturen'!L12="",0,VLOOKUP('Flächen u. Kulturen'!L12,Nebenkultur[[Nebenkultur]:[Legum. Zwischenfr.]],'#Zweitfr'!$J$1,FALSE))</f>
        <v>0</v>
      </c>
      <c r="CJ7">
        <f t="shared" si="10"/>
        <v>0</v>
      </c>
      <c r="CK7" s="890">
        <f t="shared" si="11"/>
        <v>0</v>
      </c>
      <c r="CL7" s="938">
        <f>IF(AND(R7=1,AF7=70),'Flächen u. Kulturen'!W12*-1,0)</f>
        <v>0</v>
      </c>
      <c r="CM7" s="745">
        <f>'#orgDung'!AE16*-1</f>
        <v>0</v>
      </c>
      <c r="CN7" s="836">
        <f>SUM(CK7:CM7)</f>
        <v>0</v>
      </c>
      <c r="CO7" s="871">
        <f>MAX(0,CN7)</f>
        <v>0</v>
      </c>
      <c r="CP7" s="871">
        <f>'#Kürzungen'!AS132*-1</f>
        <v>0</v>
      </c>
      <c r="CQ7" s="871">
        <f>CK7+CP7</f>
        <v>0</v>
      </c>
      <c r="CR7" s="871">
        <f>CQ7+CM7</f>
        <v>0</v>
      </c>
      <c r="CS7" s="745">
        <f>'#minDung'!R13</f>
        <v>0</v>
      </c>
      <c r="CT7" s="938">
        <f t="shared" si="18"/>
        <v>0</v>
      </c>
      <c r="CU7" s="52" t="str">
        <f>'#Kürzungen'!AQ132</f>
        <v xml:space="preserve"> </v>
      </c>
      <c r="CV7"/>
      <c r="CW7" s="247">
        <f>IF('Flächen u. Kulturen'!D12="",0,IF(ISNUMBER('Flächen u. Kulturen'!D12)=TRUE,2,1))</f>
        <v>0</v>
      </c>
      <c r="CX7" s="247">
        <f>IF('Flächen u. Kulturen'!E12="",0,COUNTIF('#Boden'!$B$47,'Flächen u. Kulturen'!E12)+1)</f>
        <v>2</v>
      </c>
      <c r="CY7" s="247">
        <f>IF('Flächen u. Kulturen'!F12="",0,COUNTIF('#Boden'!$G$4:$G$8,'Flächen u. Kulturen'!F12)+1)</f>
        <v>2</v>
      </c>
      <c r="CZ7" s="247">
        <f>IF('Flächen u. Kulturen'!G12="",0,COUNTIF('#Boden'!$B$26:$B$29,'Flächen u. Kulturen'!G12)+1)</f>
        <v>2</v>
      </c>
      <c r="DA7" s="247">
        <f>IF('Flächen u. Kulturen'!H12="",0,COUNTIF('#Boden'!$B$26:$B$29,'Flächen u. Kulturen'!H12)+1)</f>
        <v>2</v>
      </c>
      <c r="DB7" s="247">
        <f>IF('Flächen u. Kulturen'!I12="",0,COUNTIF('#Boden'!$B$9:$B$15,'Flächen u. Kulturen'!I12)+1)</f>
        <v>2</v>
      </c>
      <c r="DC7" s="247">
        <f>IF('Flächen u. Kulturen'!J12="",0,COUNTIF(Kulturen[HF],'Flächen u. Kulturen'!J12)+1)</f>
        <v>2</v>
      </c>
      <c r="DD7" s="247">
        <f>IF('Flächen u. Kulturen'!L12="",0,COUNTIF(Nebenkultur[Nebenkultur],'Flächen u. Kulturen'!L12)+1)</f>
        <v>2</v>
      </c>
      <c r="DE7" s="247">
        <f>IF('Flächen u. Kulturen'!M12="",0,COUNTIF('#Boden'!$G$17:$G$21,'Flächen u. Kulturen'!M12)+1)</f>
        <v>2</v>
      </c>
      <c r="DF7" s="247">
        <f>IF('Flächen u. Kulturen'!N12="",0,COUNTIF('#Boden'!$G$22:$G$24,'Flächen u. Kulturen'!N12)+1)</f>
        <v>2</v>
      </c>
      <c r="DG7" s="247">
        <f>IF('Flächen u. Kulturen'!P12="",0,COUNTIF(Kulturen[HF],'Flächen u. Kulturen'!P12)+1)</f>
        <v>2</v>
      </c>
      <c r="DH7" s="247">
        <f>IF('Flächen u. Kulturen'!T12="",0,COUNTIF('#Boden'!$B$30:$B$32,'Flächen u. Kulturen'!T12)+1)</f>
        <v>2</v>
      </c>
      <c r="DI7" s="247">
        <f>IF('Flächen u. Kulturen'!K12="",0,IF(ISNUMBER('Flächen u. Kulturen'!K12)=TRUE,2,1))</f>
        <v>0</v>
      </c>
      <c r="DJ7" s="247">
        <f>IF('Flächen u. Kulturen'!U12="",0,IF(ISNUMBER('Flächen u. Kulturen'!U12)=TRUE,2,1))</f>
        <v>0</v>
      </c>
      <c r="DK7" s="247">
        <f>IF('Flächen u. Kulturen'!V12="",0,IF(ISNUMBER('Flächen u. Kulturen'!V12)=TRUE,2,1))</f>
        <v>0</v>
      </c>
      <c r="DL7" s="247">
        <f>IF('Flächen u. Kulturen'!W12="",0,IF(ISNUMBER('Flächen u. Kulturen'!W12)=TRUE,2,1))</f>
        <v>0</v>
      </c>
      <c r="DM7" s="247">
        <f>COUNTIF(CW7:DH7,1)</f>
        <v>0</v>
      </c>
      <c r="DN7" s="247" t="s">
        <v>344</v>
      </c>
      <c r="DO7" s="247">
        <f>IF(U7&lt;&gt;"x","",IF(OR('Flächen u. Kulturen'!B12="",'Flächen u. Kulturen'!C12="",'Flächen u. Kulturen'!D12="",'Flächen u. Kulturen'!D12=0,'Flächen u. Kulturen'!F12="",'Flächen u. Kulturen'!F12='#Boden'!$G$4,'Flächen u. Kulturen'!G12="",'Flächen u. Kulturen'!G12='#Boden'!$B$26,'Flächen u. Kulturen'!H12="",'Flächen u. Kulturen'!H12='#Boden'!$B$23,AND(N7&lt;&gt;2,OR('Flächen u. Kulturen'!I12="",'Flächen u. Kulturen'!I12='#Boden'!$B$9)),'Flächen u. Kulturen'!J12="",'Flächen u. Kulturen'!J12='#Frucht'!$B$8,'Flächen u. Kulturen'!J12='#Boden'!$G$50,'Flächen u. Kulturen'!K12="",'Flächen u. Kulturen'!L12='#Boden'!$G$50,'Flächen u. Kulturen'!P12="",'Flächen u. Kulturen'!P12='#Frucht'!$B$8,'Flächen u. Kulturen'!P12='#Boden'!$G$50,AND('Flächen u. Kulturen'!Q12="",'#BerechnungDBE'!N7&lt;3),AND('Flächen u. Kulturen'!R12="",'#BerechnungDBE'!N7=3),AND(N7=1,AL7&gt;0,'Flächen u. Kulturen'!S12=""),AND(N7=1,OR('Flächen u. Kulturen'!T12="",'Flächen u. Kulturen'!T12='#Boden'!$B$30)),AND('#BerechnungDBE'!AF7=70,OR('Flächen u. Kulturen'!N12="",'Flächen u. Kulturen'!N12='#Boden'!$G$22,'Flächen u. Kulturen'!O12="")),AND('#BerechnungDBE'!AF7=80,OR('Flächen u. Kulturen'!M12="",'Flächen u. Kulturen'!M12='#Boden'!$G$17,'Flächen u. Kulturen'!N12="",'Flächen u. Kulturen'!N12='#Boden'!$G$22))),$DO$4,""))</f>
        <v>1</v>
      </c>
      <c r="DP7" s="247" t="str">
        <f>IF(U7&lt;&gt;"x","",IF(OR(LEFT('Flächen u. Kulturen'!J12,2)=" +",LEFT('Flächen u. Kulturen'!L12,2)=" +",LEFT('Flächen u. Kulturen'!P12,2)=" +"),$DP$4,""))</f>
        <v/>
      </c>
      <c r="DQ7" s="428" t="str">
        <f t="shared" si="12"/>
        <v/>
      </c>
      <c r="DR7" s="938" t="str">
        <f t="shared" si="13"/>
        <v/>
      </c>
      <c r="DS7" s="938" t="str">
        <f>IF('Flächen u. Kulturen'!X12="","",ROW('Flächen u. Kulturen'!X12))</f>
        <v/>
      </c>
    </row>
    <row r="8" spans="1:123" x14ac:dyDescent="0.2">
      <c r="A8" s="760" t="str">
        <f>IF('Daten aus 2021'!H10="",'#Boden'!$B$26,IF('Daten aus 2021'!H10='#Boden'!$B$39,IF('Daten aus 2021'!F10='#Boden'!$B$29,'#Boden'!$B$29,IF('Daten aus 2021'!K10='#Boden'!$B$34,'#Boden'!$B$28,'#Boden'!$B$27)),'Daten aus 2021'!F10))</f>
        <v xml:space="preserve"> --</v>
      </c>
      <c r="B8" s="758" t="str">
        <f>IF('Daten aus 2021'!H10='#Boden'!$B$39,IF('Daten aus 2021'!L10='#Boden'!$B$61,'#Boden'!$B$11,'Daten aus 2021'!L10),IF('Daten aus 2021'!P10='#Boden'!$B$58,'#Boden'!$B$11,IF('Daten aus 2021'!P10='#Boden'!$B$57,'#Boden'!$B$10,'#Boden'!$B$9)))</f>
        <v xml:space="preserve"> --         </v>
      </c>
      <c r="C8" s="760" t="str">
        <f>IF('Daten aus 2021'!N10="","",VLOOKUP('Daten aus 2021'!N10,'#Boden'!$B$68:$C$89,2,FALSE))</f>
        <v/>
      </c>
      <c r="D8" s="760" t="str">
        <f>IF('Daten aus 2021'!M10="","",VLOOKUP('Daten aus 2021'!M10,'#Boden'!$D$69:$E$73,2,FALSE))</f>
        <v/>
      </c>
      <c r="E8" s="938" t="str">
        <f>IF(OR(C8='#Boden'!$C$68,C8='#Boden'!$C$70),C8,CONCATENATE(C8,D8))</f>
        <v/>
      </c>
      <c r="F8" s="882" t="str">
        <f>IFERROR(IF('Daten aus 2021'!H10="",'#Frucht'!$D$8,IF('Daten aus 2021'!H10='#Boden'!$B$39,E8,IF('Daten aus 2021'!H10='#Boden'!$B$38,IF(CONCATENATE(" ",'Daten aus 2021'!W10)=$B$2,VLOOKUP($B$3,'#Frucht'!$A$8:$D$372,4,FALSE),VLOOKUP(CONCATENATE(" ",'Daten aus 2021'!W10),'#Frucht'!$A$8:$D$372,4,FALSE)),IF(OR(LEFT('Daten aus 2021'!Q10,5)=" *10 ",LEFT('Daten aus 2021'!Q10,5)=" *11 ",LEFT('Daten aus 2021'!Q10,5)=" *12 ",LEFT('Daten aus 2021'!Q10,5)=" *13 ",LEFT('Daten aus 2021'!Q10,5)=" *14 ",LEFT('Daten aus 2021'!Q10,5)=" *15 "),VLOOKUP(RIGHT('Daten aus 2021'!Q10,LEN('Daten aus 2021'!Q10)-4),'#Frucht'!$A$8:$D$372,4,FALSE),IF(LEFT('Daten aus 2021'!Q10,2)=" *",VLOOKUP(RIGHT('Daten aus 2021'!Q10,LEN('Daten aus 2021'!Q10)-3),'#Frucht'!$A$8:$D$372,4,FALSE),VLOOKUP('Daten aus 2021'!Q10,'#Frucht'!$A$8:$D$372,4,FALSE)))))),'#Frucht'!$D$8)</f>
        <v xml:space="preserve"> --  </v>
      </c>
      <c r="G8" s="127"/>
      <c r="H8" s="31"/>
      <c r="J8" s="938" t="str">
        <f>IF(OR(N8=3,$K$3=0,'Flächen u. Kulturen'!P13=""),"",IF(VLOOKUP('Flächen u. Kulturen'!P13,Kulturen[[HF]:[780]],'#BerechnungDBE'!$K$3,FALSE)=".","",VLOOKUP('Flächen u. Kulturen'!P13,Kulturen[[HF]:[780]],'#BerechnungDBE'!$K$3,FALSE)))</f>
        <v/>
      </c>
      <c r="K8" s="938" t="str">
        <f>IF(OR($K$3=0,'Flächen u. Kulturen'!P13=""),"",IF(N8=3,IF(VLOOKUP('Flächen u. Kulturen'!P13,Kulturen[[HF]:[780]],'#BerechnungDBE'!$K$3,FALSE)=".","",VLOOKUP('Flächen u. Kulturen'!P13,Kulturen[[HF]:[780]],'#BerechnungDBE'!$K$3,FALSE)),""))</f>
        <v/>
      </c>
      <c r="L8" s="367">
        <f>IF('Flächen u. Kulturen'!D13="",0,'Flächen u. Kulturen'!D13)</f>
        <v>0</v>
      </c>
      <c r="M8" s="693">
        <f>IF('Flächen u. Kulturen'!J13="",0,VLOOKUP('Flächen u. Kulturen'!J13,Kulturen[[HF]:[Berechnungsgruppe]],'#Frucht'!$W$1,FALSE))</f>
        <v>1</v>
      </c>
      <c r="N8" s="693">
        <f>IF('Flächen u. Kulturen'!P13="",0,VLOOKUP('Flächen u. Kulturen'!P13,Kulturen[[HF]:[Berechnungsgruppe]],'#Frucht'!$W$1,FALSE))</f>
        <v>1</v>
      </c>
      <c r="O8" s="758">
        <f>IF(N8&lt;&gt;2,N8,IF('Flächen u. Kulturen'!J13='Flächen u. Kulturen'!P13,2,1))</f>
        <v>1</v>
      </c>
      <c r="P8" s="627">
        <f>IF('Flächen u. Kulturen'!F13="",0,VLOOKUP('Flächen u. Kulturen'!F13,'#Boden'!$G$4:$H$8,'#Boden'!$H$1,FALSE))</f>
        <v>1</v>
      </c>
      <c r="Q8" s="627">
        <f>IF('Flächen u. Kulturen'!G13="",0,VLOOKUP('Flächen u. Kulturen'!G13,'#Boden'!$B$26:$C$29,'#Boden'!$C$1,FALSE))</f>
        <v>1</v>
      </c>
      <c r="R8" s="718">
        <f>IF(Q8&lt;4,1,2)</f>
        <v>1</v>
      </c>
      <c r="S8" s="627">
        <f>IF(AND(O8=3,Q8&gt;2),2,IF(AND(O8&lt;&gt;3,Q8&gt;3),2,1))</f>
        <v>1</v>
      </c>
      <c r="T8" s="627">
        <f>IF('Flächen u. Kulturen'!H13="",0,VLOOKUP('Flächen u. Kulturen'!H13,'#Boden'!$B$23:$C$25,'#Boden'!$C$1,FALSE))</f>
        <v>2</v>
      </c>
      <c r="U8" s="718" t="str">
        <f>'Flächen u. Kulturen'!E13</f>
        <v>x</v>
      </c>
      <c r="V8" s="938">
        <f>IF('Flächen u. Kulturen'!Q13="",0,_xlfn.NUMBERVALUE('Flächen u. Kulturen'!Q13))</f>
        <v>0</v>
      </c>
      <c r="W8" s="938">
        <f>IF('Flächen u. Kulturen'!R13="",0,_xlfn.NUMBERVALUE('Flächen u. Kulturen'!R13))</f>
        <v>0</v>
      </c>
      <c r="X8" s="627">
        <f>IF('Flächen u. Kulturen'!T13="",0,VLOOKUP('Flächen u. Kulturen'!T13,'#Boden'!$B$30:$C$32,'#Boden'!$C$1,FALSE))</f>
        <v>1</v>
      </c>
      <c r="Y8" s="683">
        <f>IF('Flächen u. Kulturen'!P13="",0,VLOOKUP('Flächen u. Kulturen'!P13,Kulturen[[HF]:[Berechnungsgruppe]],'#Frucht'!$N$1,FALSE))</f>
        <v>0</v>
      </c>
      <c r="Z8" s="718">
        <f>IF(AND(Y8&lt;&gt;0,O8&lt;3),1,2)</f>
        <v>2</v>
      </c>
      <c r="AA8" s="830">
        <f>IF('Flächen u. Kulturen'!P13="",0,VLOOKUP('Flächen u. Kulturen'!P13,Kulturen[[HF]:[Berechnungsgruppe]],'#Frucht'!$V$1,FALSE))</f>
        <v>0</v>
      </c>
      <c r="AB8" s="875">
        <f>IF(N8=1,VLOOKUP('Flächen u. Kulturen'!P13,Kulturen[[HF]:[Ernteprodukt]],'#Frucht'!$I$1,FALSE),4)</f>
        <v>4</v>
      </c>
      <c r="AC8" s="921">
        <f>IF('Flächen u. Kulturen'!J13="",0,VLOOKUP('Flächen u. Kulturen'!J13,Kulturen[[HF]:[Berechnungsgruppe]],'#Frucht'!$G$1,FALSE))</f>
        <v>90</v>
      </c>
      <c r="AD8" s="921">
        <f>IF('Flächen u. Kulturen'!P13="",0,VLOOKUP('Flächen u. Kulturen'!P13,Kulturen[[HF]:[Berechnungsgruppe]],'#Frucht'!$G$1,FALSE))</f>
        <v>90</v>
      </c>
      <c r="AE8" s="938">
        <f>IF('Flächen u. Kulturen'!P13="",0,VLOOKUP('Flächen u. Kulturen'!P13,Kulturen[[HF]:[SollwertMinusNfix]],'#Frucht'!$X$1,FALSE))</f>
        <v>0</v>
      </c>
      <c r="AF8" s="627">
        <f>IF('Flächen u. Kulturen'!L13="",0,VLOOKUP('Flächen u. Kulturen'!L13,Nebenkultur[[Nebenkultur]:[Berechnungsschema]],'#Zweitfr'!$G$1,FALSE))</f>
        <v>0</v>
      </c>
      <c r="AG8" s="627">
        <f>IF('Flächen u. Kulturen'!L13="",0,VLOOKUP('Flächen u. Kulturen'!L13,'#Zweitfr'!$D$8:$Q$27,'#Zweitfr'!$Q$1,FALSE))</f>
        <v>0</v>
      </c>
      <c r="AH8" s="683">
        <f>IF('Flächen u. Kulturen'!M13="",0,VLOOKUP('Flächen u. Kulturen'!M13,'#Boden'!$G$17:$H$21,2,FALSE))</f>
        <v>1</v>
      </c>
      <c r="AI8" s="683">
        <f>IF('Flächen u. Kulturen'!N13="",0,VLOOKUP('Flächen u. Kulturen'!N13,'#Boden'!$G$22:$H$24,'#Boden'!$H$1,FALSE))</f>
        <v>1</v>
      </c>
      <c r="AJ8" s="938">
        <f>IF('Flächen u. Kulturen'!O13="",0,_xlfn.NUMBERVALUE('Flächen u. Kulturen'!O13))</f>
        <v>0</v>
      </c>
      <c r="AK8" s="938">
        <f>IF('Flächen u. Kulturen'!L13="",0,VLOOKUP('Flächen u. Kulturen'!L13,Nebenkultur[[Nebenkultur]:[Legum. Zwischenfr.]],'#Zweitfr'!$P$1,FALSE))</f>
        <v>0</v>
      </c>
      <c r="AL8" s="683">
        <f>IF('Flächen u. Kulturen'!P13="",0,VLOOKUP('Flächen u. Kulturen'!P13,Kulturen[[HF]:[Berechnungsgruppe]],'#Frucht'!$Q$1,FALSE))</f>
        <v>0</v>
      </c>
      <c r="AM8" s="683">
        <f>IF('Flächen u. Kulturen'!P13="",0,VLOOKUP('Flächen u. Kulturen'!P13,Kulturen[[HF]:[Berechnungsgruppe]],'#Frucht'!$M$1,FALSE))</f>
        <v>0</v>
      </c>
      <c r="AN8" s="683">
        <f>IF('Flächen u. Kulturen'!P13="",1,VLOOKUP('Flächen u. Kulturen'!P13,Kulturen[[HF]:[Berechnungsgruppe]],'#Frucht'!$R$1,FALSE))</f>
        <v>10</v>
      </c>
      <c r="AO8" s="683">
        <f>IF('Flächen u. Kulturen'!P13="",0,VLOOKUP('Flächen u. Kulturen'!P13,Kulturen[[HF]:[Berechnungsgruppe]],'#Frucht'!$S$1,FALSE))</f>
        <v>0</v>
      </c>
      <c r="AP8" s="683">
        <f>IF('Flächen u. Kulturen'!P13="",0,VLOOKUP('Flächen u. Kulturen'!P13,Kulturen[[HF]:[Berechnungsgruppe]],'#Frucht'!$T$1,FALSE))</f>
        <v>0</v>
      </c>
      <c r="AQ8" s="938">
        <f t="shared" si="1"/>
        <v>0</v>
      </c>
      <c r="AR8" s="683">
        <f t="shared" si="2"/>
        <v>0</v>
      </c>
      <c r="AS8" s="938">
        <f t="shared" si="3"/>
        <v>0</v>
      </c>
      <c r="AT8" s="683">
        <f>IF(N8=1,'Flächen u. Kulturen'!S13*-1,"--")</f>
        <v>0</v>
      </c>
      <c r="AU8" s="938">
        <f>IF(OR(N8=2,'Flächen u. Kulturen'!I13=""),"--",IF(N8=3,VLOOKUP('Flächen u. Kulturen'!I13,'#Boden'!$B$9:$E$15,'#Boden'!$D$1,FALSE),VLOOKUP('Flächen u. Kulturen'!I13,'#Boden'!$B$9:$E$15,'#Boden'!$E$1,FALSE)))</f>
        <v>0</v>
      </c>
      <c r="AV8" s="938">
        <f>IF(N8=1,IF('Flächen u. Kulturen'!J13="",0,VLOOKUP('Flächen u. Kulturen'!J13,Kulturen[[HF]:[Berechnungsgruppe]],'#Frucht'!$U$1,FALSE)*-1),"--")</f>
        <v>0</v>
      </c>
      <c r="AW8" s="683">
        <f t="shared" si="4"/>
        <v>0</v>
      </c>
      <c r="AX8" s="758">
        <f>IF('Flächen u. Kulturen'!K13="",0,'Flächen u. Kulturen'!K13*-0.1)</f>
        <v>0</v>
      </c>
      <c r="AY8" s="714">
        <f>IF(N8&lt;3,'#orgDung'!AC17*0.1*-1,"--")</f>
        <v>0</v>
      </c>
      <c r="AZ8" s="31" t="str">
        <f>IF(AND('#orgDung'!J17&lt;&gt;2,'#orgDung'!F17=1),('#orgDung'!V17+'#minDung'!O14)*-1,"--")</f>
        <v>--</v>
      </c>
      <c r="BA8" s="714">
        <f>MAX(0,SUM(AR8:AZ8))</f>
        <v>0</v>
      </c>
      <c r="BB8" s="938">
        <f>IF(R8=2,0,'Flächen u. Kulturen'!V13*-1)</f>
        <v>0</v>
      </c>
      <c r="BC8" s="718">
        <f>SUM(BA8:BB8)</f>
        <v>0</v>
      </c>
      <c r="BD8" s="127">
        <f>'#orgDung'!W17*-1</f>
        <v>0</v>
      </c>
      <c r="BE8" s="910">
        <f>'#orgDung'!AA17*-1</f>
        <v>0</v>
      </c>
      <c r="BF8" s="749">
        <f>'#orgDung'!Z17*-1</f>
        <v>0</v>
      </c>
      <c r="BG8" s="938">
        <f t="shared" si="14"/>
        <v>0</v>
      </c>
      <c r="BH8" s="871">
        <f>'#Kürzungen'!AS32*-1</f>
        <v>0</v>
      </c>
      <c r="BI8" s="871">
        <f t="shared" si="5"/>
        <v>0</v>
      </c>
      <c r="BJ8" s="910">
        <f t="shared" si="6"/>
        <v>0</v>
      </c>
      <c r="BK8" s="871">
        <f>'#minDung'!P14</f>
        <v>0</v>
      </c>
      <c r="BL8" s="938">
        <f t="shared" si="15"/>
        <v>0</v>
      </c>
      <c r="BM8" s="938">
        <f t="shared" si="7"/>
        <v>0</v>
      </c>
      <c r="BN8" s="745">
        <f>IF('Flächen u. Kulturen'!P13="",0,VLOOKUP('Flächen u. Kulturen'!P13,Kulturen[[HF]:[Berechnungsgruppe]],'#Frucht'!$K$1,FALSE))</f>
        <v>0</v>
      </c>
      <c r="BO8" s="745">
        <f>IF('Flächen u. Kulturen'!P13="",0,VLOOKUP('Flächen u. Kulturen'!P13,Kulturen[[HF]:[Berechnungsgruppe]],'#Frucht'!$L$1,FALSE))</f>
        <v>0</v>
      </c>
      <c r="BP8" s="745">
        <f>IF('Flächen u. Kulturen'!L13="",0,VLOOKUP('Flächen u. Kulturen'!L13,Nebenkultur[[Nebenkultur]:[Legum. Zwischenfr.]],'#Zweitfr'!$H$1,FALSE))</f>
        <v>0</v>
      </c>
      <c r="BQ8" s="938">
        <f>IF(N8=3,W8*BO8,IF('Flächen u. Kulturen'!T13='#Boden'!$B$32,V8*BN8,V8*BO8))</f>
        <v>0</v>
      </c>
      <c r="BR8" s="938">
        <f t="shared" si="8"/>
        <v>0</v>
      </c>
      <c r="BS8" s="745">
        <f>BQ8+BR8</f>
        <v>0</v>
      </c>
      <c r="BT8" s="745">
        <f>IF('Flächen u. Kulturen'!F13="",0,IF(N8=3,VLOOKUP('Flächen u. Kulturen'!F13,'#Boden'!$G$4:$J$8,'#Boden'!$J$1,FALSE),VLOOKUP('Flächen u. Kulturen'!F13,'#Boden'!$G$4:$J$8,'#Boden'!$I$1,FALSE)))</f>
        <v>0</v>
      </c>
      <c r="BU8" s="41">
        <f>IF(BT8&gt;0,BT8,BS8*BT8)</f>
        <v>0</v>
      </c>
      <c r="BV8">
        <f>BS8+BU8</f>
        <v>0</v>
      </c>
      <c r="BW8" s="938" t="str">
        <f t="shared" si="16"/>
        <v/>
      </c>
      <c r="BX8" s="745">
        <f>'#orgDung'!T17*-1</f>
        <v>0</v>
      </c>
      <c r="BY8">
        <f t="shared" si="17"/>
        <v>0</v>
      </c>
      <c r="BZ8" s="938" t="str">
        <f>IF(U8&lt;&gt;"x",0,IF(P8&lt;4,"",(BW8+BX8-'#minDung'!N14)*-1))</f>
        <v/>
      </c>
      <c r="CB8" s="938">
        <f>IF(AND(AF8=70,U8="x"),'Flächen u. Kulturen'!A13,1000)</f>
        <v>1000</v>
      </c>
      <c r="CC8" t="str">
        <f>IF(AF8=70,VLOOKUP('Flächen u. Kulturen'!L13,Nebenkultur[[Nebenkultur]:[Legum. Zwischenfr.]],'#Zweitfr'!$I$1,FALSE),"--")</f>
        <v>--</v>
      </c>
      <c r="CD8" t="str">
        <f>IF(AF8=70,VLOOKUP('Flächen u. Kulturen'!L13,Nebenkultur[[Nebenkultur]:[Legum. Zwischenfr.]],'#Zweitfr'!$L$1,FALSE),"--")</f>
        <v>--</v>
      </c>
      <c r="CE8" t="str">
        <f>IF(AF8=70,VLOOKUP('Flächen u. Kulturen'!L13,Nebenkultur[[Nebenkultur]:[Legum. Zwischenfr.]],'#Zweitfr'!$M$1,FALSE),"--")</f>
        <v>--</v>
      </c>
      <c r="CF8" t="str">
        <f>IF(AF8=70,VLOOKUP('Flächen u. Kulturen'!L13,Nebenkultur[[Nebenkultur]:[Legum. Zwischenfr.]],'#Zweitfr'!$N$1,FALSE),"--")</f>
        <v>--</v>
      </c>
      <c r="CG8" t="str">
        <f>IF(AF8=70,VLOOKUP('Flächen u. Kulturen'!L13,Nebenkultur[[Nebenkultur]:[Legum. Zwischenfr.]],'#Zweitfr'!$O$1,FALSE),"--")</f>
        <v>--</v>
      </c>
      <c r="CH8" t="str">
        <f t="shared" si="9"/>
        <v>--</v>
      </c>
      <c r="CI8" s="938">
        <f>IF('Flächen u. Kulturen'!L13="",0,VLOOKUP('Flächen u. Kulturen'!L13,Nebenkultur[[Nebenkultur]:[Legum. Zwischenfr.]],'#Zweitfr'!$J$1,FALSE))</f>
        <v>0</v>
      </c>
      <c r="CJ8">
        <f t="shared" si="10"/>
        <v>0</v>
      </c>
      <c r="CK8" s="890">
        <f t="shared" si="11"/>
        <v>0</v>
      </c>
      <c r="CL8" s="938">
        <f>IF(AND(R8=1,AF8=70),'Flächen u. Kulturen'!W13*-1,0)</f>
        <v>0</v>
      </c>
      <c r="CM8" s="745">
        <f>'#orgDung'!AE17*-1</f>
        <v>0</v>
      </c>
      <c r="CN8" s="836">
        <f>SUM(CK8:CM8)</f>
        <v>0</v>
      </c>
      <c r="CO8" s="871">
        <f>MAX(0,CN8)</f>
        <v>0</v>
      </c>
      <c r="CP8" s="871">
        <f>'#Kürzungen'!AS133*-1</f>
        <v>0</v>
      </c>
      <c r="CQ8" s="871">
        <f>CK8+CP8</f>
        <v>0</v>
      </c>
      <c r="CR8" s="871">
        <f>CQ8+CM8</f>
        <v>0</v>
      </c>
      <c r="CS8" s="745">
        <f>'#minDung'!R14</f>
        <v>0</v>
      </c>
      <c r="CT8" s="938">
        <f t="shared" si="18"/>
        <v>0</v>
      </c>
      <c r="CU8" s="52" t="str">
        <f>'#Kürzungen'!AQ133</f>
        <v xml:space="preserve"> </v>
      </c>
      <c r="CV8"/>
      <c r="CW8" s="247">
        <f>IF('Flächen u. Kulturen'!D13="",0,IF(ISNUMBER('Flächen u. Kulturen'!D13)=TRUE,2,1))</f>
        <v>0</v>
      </c>
      <c r="CX8" s="247">
        <f>IF('Flächen u. Kulturen'!E13="",0,COUNTIF('#Boden'!$B$47,'Flächen u. Kulturen'!E13)+1)</f>
        <v>2</v>
      </c>
      <c r="CY8" s="247">
        <f>IF('Flächen u. Kulturen'!F13="",0,COUNTIF('#Boden'!$G$4:$G$8,'Flächen u. Kulturen'!F13)+1)</f>
        <v>2</v>
      </c>
      <c r="CZ8" s="247">
        <f>IF('Flächen u. Kulturen'!G13="",0,COUNTIF('#Boden'!$B$26:$B$29,'Flächen u. Kulturen'!G13)+1)</f>
        <v>2</v>
      </c>
      <c r="DA8" s="247">
        <f>IF('Flächen u. Kulturen'!H13="",0,COUNTIF('#Boden'!$B$26:$B$29,'Flächen u. Kulturen'!H13)+1)</f>
        <v>2</v>
      </c>
      <c r="DB8" s="247">
        <f>IF('Flächen u. Kulturen'!I13="",0,COUNTIF('#Boden'!$B$9:$B$15,'Flächen u. Kulturen'!I13)+1)</f>
        <v>2</v>
      </c>
      <c r="DC8" s="247">
        <f>IF('Flächen u. Kulturen'!J13="",0,COUNTIF(Kulturen[HF],'Flächen u. Kulturen'!J13)+1)</f>
        <v>2</v>
      </c>
      <c r="DD8" s="247">
        <f>IF('Flächen u. Kulturen'!L13="",0,COUNTIF(Nebenkultur[Nebenkultur],'Flächen u. Kulturen'!L13)+1)</f>
        <v>2</v>
      </c>
      <c r="DE8" s="247">
        <f>IF('Flächen u. Kulturen'!M13="",0,COUNTIF('#Boden'!$G$17:$G$21,'Flächen u. Kulturen'!M13)+1)</f>
        <v>2</v>
      </c>
      <c r="DF8" s="247">
        <f>IF('Flächen u. Kulturen'!N13="",0,COUNTIF('#Boden'!$G$22:$G$24,'Flächen u. Kulturen'!N13)+1)</f>
        <v>2</v>
      </c>
      <c r="DG8" s="247">
        <f>IF('Flächen u. Kulturen'!P13="",0,COUNTIF(Kulturen[HF],'Flächen u. Kulturen'!P13)+1)</f>
        <v>2</v>
      </c>
      <c r="DH8" s="247">
        <f>IF('Flächen u. Kulturen'!T13="",0,COUNTIF('#Boden'!$B$30:$B$32,'Flächen u. Kulturen'!T13)+1)</f>
        <v>2</v>
      </c>
      <c r="DI8" s="247">
        <f>IF('Flächen u. Kulturen'!K13="",0,IF(ISNUMBER('Flächen u. Kulturen'!K13)=TRUE,2,1))</f>
        <v>0</v>
      </c>
      <c r="DJ8" s="247">
        <f>IF('Flächen u. Kulturen'!U13="",0,IF(ISNUMBER('Flächen u. Kulturen'!U13)=TRUE,2,1))</f>
        <v>0</v>
      </c>
      <c r="DK8" s="247">
        <f>IF('Flächen u. Kulturen'!V13="",0,IF(ISNUMBER('Flächen u. Kulturen'!V13)=TRUE,2,1))</f>
        <v>0</v>
      </c>
      <c r="DL8" s="247">
        <f>IF('Flächen u. Kulturen'!W13="",0,IF(ISNUMBER('Flächen u. Kulturen'!W13)=TRUE,2,1))</f>
        <v>0</v>
      </c>
      <c r="DM8" s="247">
        <f>COUNTIF(CW8:DH8,1)</f>
        <v>0</v>
      </c>
      <c r="DN8" s="247" t="s">
        <v>344</v>
      </c>
      <c r="DO8" s="247">
        <f>IF(U8&lt;&gt;"x","",IF(OR('Flächen u. Kulturen'!B13="",'Flächen u. Kulturen'!C13="",'Flächen u. Kulturen'!D13="",'Flächen u. Kulturen'!D13=0,'Flächen u. Kulturen'!F13="",'Flächen u. Kulturen'!F13='#Boden'!$G$4,'Flächen u. Kulturen'!G13="",'Flächen u. Kulturen'!G13='#Boden'!$B$26,'Flächen u. Kulturen'!H13="",'Flächen u. Kulturen'!H13='#Boden'!$B$23,AND(N8&lt;&gt;2,OR('Flächen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Kulturen'!Q13="",'#BerechnungDBE'!N8&lt;3),AND('Flächen u. Kulturen'!R13="",'#BerechnungDBE'!N8=3),AND(N8=1,AL8&gt;0,'Flächen u. Kulturen'!S13=""),AND(N8=1,OR('Flächen u. Kulturen'!T13="",'Flächen u. Kulturen'!T13='#Boden'!$B$30)),AND('#BerechnungDBE'!AF8=70,OR('Flächen u. Kulturen'!N13="",'Flächen u. Kulturen'!N13='#Boden'!$G$22,'Flächen u. Kulturen'!O13="")),AND('#BerechnungDBE'!AF8=80,OR('Flächen u. Kulturen'!M13="",'Flächen u. Kulturen'!M13='#Boden'!$G$17,'Flächen u. Kulturen'!N13="",'Flächen u. Kulturen'!N13='#Boden'!$G$22))),$DO$4,""))</f>
        <v>1</v>
      </c>
      <c r="DP8" s="247" t="str">
        <f>IF(U8&lt;&gt;"x","",IF(OR(LEFT('Flächen u. Kulturen'!J13,2)=" +",LEFT('Flächen u. Kulturen'!L13,2)=" +",LEFT('Flächen u. Kulturen'!P13,2)=" +"),$DP$4,""))</f>
        <v/>
      </c>
      <c r="DQ8" s="428" t="str">
        <f t="shared" si="12"/>
        <v/>
      </c>
      <c r="DR8" s="938" t="str">
        <f t="shared" si="13"/>
        <v/>
      </c>
      <c r="DS8" s="938" t="str">
        <f>IF('Flächen u. Kulturen'!X13="","",ROW('Flächen u. Kulturen'!X13))</f>
        <v/>
      </c>
    </row>
    <row r="9" spans="1:123" x14ac:dyDescent="0.2">
      <c r="A9" s="760" t="str">
        <f>IF('Daten aus 2021'!H11="",'#Boden'!$B$26,IF('Daten aus 2021'!H11='#Boden'!$B$39,IF('Daten aus 2021'!F11='#Boden'!$B$29,'#Boden'!$B$29,IF('Daten aus 2021'!K11='#Boden'!$B$34,'#Boden'!$B$28,'#Boden'!$B$27)),'Daten aus 2021'!F11))</f>
        <v xml:space="preserve"> --</v>
      </c>
      <c r="B9" s="758" t="str">
        <f>IF('Daten aus 2021'!H11='#Boden'!$B$39,IF('Daten aus 2021'!L11='#Boden'!$B$61,'#Boden'!$B$11,'Daten aus 2021'!L11),IF('Daten aus 2021'!P11='#Boden'!$B$58,'#Boden'!$B$11,IF('Daten aus 2021'!P11='#Boden'!$B$57,'#Boden'!$B$10,'#Boden'!$B$9)))</f>
        <v xml:space="preserve"> --         </v>
      </c>
      <c r="C9" s="760" t="str">
        <f>IF('Daten aus 2021'!N11="","",VLOOKUP('Daten aus 2021'!N11,'#Boden'!$B$68:$C$89,2,FALSE))</f>
        <v/>
      </c>
      <c r="D9" s="760" t="str">
        <f>IF('Daten aus 2021'!M11="","",VLOOKUP('Daten aus 2021'!M11,'#Boden'!$D$69:$E$73,2,FALSE))</f>
        <v/>
      </c>
      <c r="E9" s="938" t="str">
        <f>IF(OR(C9='#Boden'!$C$68,C9='#Boden'!$C$70),C9,CONCATENATE(C9,D9))</f>
        <v/>
      </c>
      <c r="F9" s="882" t="str">
        <f>IFERROR(IF('Daten aus 2021'!H11="",'#Frucht'!$D$8,IF('Daten aus 2021'!H11='#Boden'!$B$39,E9,IF('Daten aus 2021'!H11='#Boden'!$B$38,IF(CONCATENATE(" ",'Daten aus 2021'!W11)=$B$2,VLOOKUP($B$3,'#Frucht'!$A$8:$D$372,4,FALSE),VLOOKUP(CONCATENATE(" ",'Daten aus 2021'!W11),'#Frucht'!$A$8:$D$372,4,FALSE)),IF(OR(LEFT('Daten aus 2021'!Q11,5)=" *10 ",LEFT('Daten aus 2021'!Q11,5)=" *11 ",LEFT('Daten aus 2021'!Q11,5)=" *12 ",LEFT('Daten aus 2021'!Q11,5)=" *13 ",LEFT('Daten aus 2021'!Q11,5)=" *14 ",LEFT('Daten aus 2021'!Q11,5)=" *15 "),VLOOKUP(RIGHT('Daten aus 2021'!Q11,LEN('Daten aus 2021'!Q11)-4),'#Frucht'!$A$8:$D$372,4,FALSE),IF(LEFT('Daten aus 2021'!Q11,2)=" *",VLOOKUP(RIGHT('Daten aus 2021'!Q11,LEN('Daten aus 2021'!Q11)-3),'#Frucht'!$A$8:$D$372,4,FALSE),VLOOKUP('Daten aus 2021'!Q11,'#Frucht'!$A$8:$D$372,4,FALSE)))))),'#Frucht'!$D$8)</f>
        <v xml:space="preserve"> --  </v>
      </c>
      <c r="G9" s="127"/>
      <c r="H9" s="31"/>
      <c r="J9" s="938" t="str">
        <f>IF(OR(N9=3,$K$3=0,'Flächen u. Kulturen'!P14=""),"",IF(VLOOKUP('Flächen u. Kulturen'!P14,Kulturen[[HF]:[780]],'#BerechnungDBE'!$K$3,FALSE)=".","",VLOOKUP('Flächen u. Kulturen'!P14,Kulturen[[HF]:[780]],'#BerechnungDBE'!$K$3,FALSE)))</f>
        <v/>
      </c>
      <c r="K9" s="938" t="str">
        <f>IF(OR($K$3=0,'Flächen u. Kulturen'!P14=""),"",IF(N9=3,IF(VLOOKUP('Flächen u. Kulturen'!P14,Kulturen[[HF]:[780]],'#BerechnungDBE'!$K$3,FALSE)=".","",VLOOKUP('Flächen u. Kulturen'!P14,Kulturen[[HF]:[780]],'#BerechnungDBE'!$K$3,FALSE)),""))</f>
        <v/>
      </c>
      <c r="L9" s="367">
        <f>IF('Flächen u. Kulturen'!D14="",0,'Flächen u. Kulturen'!D14)</f>
        <v>0</v>
      </c>
      <c r="M9" s="693">
        <f>IF('Flächen u. Kulturen'!J14="",0,VLOOKUP('Flächen u. Kulturen'!J14,Kulturen[[HF]:[Berechnungsgruppe]],'#Frucht'!$W$1,FALSE))</f>
        <v>1</v>
      </c>
      <c r="N9" s="693">
        <f>IF('Flächen u. Kulturen'!P14="",0,VLOOKUP('Flächen u. Kulturen'!P14,Kulturen[[HF]:[Berechnungsgruppe]],'#Frucht'!$W$1,FALSE))</f>
        <v>1</v>
      </c>
      <c r="O9" s="758">
        <f>IF(N9&lt;&gt;2,N9,IF('Flächen u. Kulturen'!J14='Flächen u. Kulturen'!P14,2,1))</f>
        <v>1</v>
      </c>
      <c r="P9" s="627">
        <f>IF('Flächen u. Kulturen'!F14="",0,VLOOKUP('Flächen u. Kulturen'!F14,'#Boden'!$G$4:$H$8,'#Boden'!$H$1,FALSE))</f>
        <v>1</v>
      </c>
      <c r="Q9" s="627">
        <f>IF('Flächen u. Kulturen'!G14="",0,VLOOKUP('Flächen u. Kulturen'!G14,'#Boden'!$B$26:$C$29,'#Boden'!$C$1,FALSE))</f>
        <v>1</v>
      </c>
      <c r="R9" s="718">
        <f>IF(Q9&lt;4,1,2)</f>
        <v>1</v>
      </c>
      <c r="S9" s="627">
        <f>IF(AND(O9=3,Q9&gt;2),2,IF(AND(O9&lt;&gt;3,Q9&gt;3),2,1))</f>
        <v>1</v>
      </c>
      <c r="T9" s="627">
        <f>IF('Flächen u. Kulturen'!H14="",0,VLOOKUP('Flächen u. Kulturen'!H14,'#Boden'!$B$23:$C$25,'#Boden'!$C$1,FALSE))</f>
        <v>2</v>
      </c>
      <c r="U9" s="718" t="str">
        <f>'Flächen u. Kulturen'!E14</f>
        <v>x</v>
      </c>
      <c r="V9" s="938">
        <f>IF('Flächen u. Kulturen'!Q14="",0,_xlfn.NUMBERVALUE('Flächen u. Kulturen'!Q14))</f>
        <v>0</v>
      </c>
      <c r="W9" s="938">
        <f>IF('Flächen u. Kulturen'!R14="",0,_xlfn.NUMBERVALUE('Flächen u. Kulturen'!R14))</f>
        <v>0</v>
      </c>
      <c r="X9" s="627">
        <f>IF('Flächen u. Kulturen'!T14="",0,VLOOKUP('Flächen u. Kulturen'!T14,'#Boden'!$B$30:$C$32,'#Boden'!$C$1,FALSE))</f>
        <v>1</v>
      </c>
      <c r="Y9" s="683">
        <f>IF('Flächen u. Kulturen'!P14="",0,VLOOKUP('Flächen u. Kulturen'!P14,Kulturen[[HF]:[Berechnungsgruppe]],'#Frucht'!$N$1,FALSE))</f>
        <v>0</v>
      </c>
      <c r="Z9" s="718">
        <f>IF(AND(Y9&lt;&gt;0,O9&lt;3),1,2)</f>
        <v>2</v>
      </c>
      <c r="AA9" s="830">
        <f>IF('Flächen u. Kulturen'!P14="",0,VLOOKUP('Flächen u. Kulturen'!P14,Kulturen[[HF]:[Berechnungsgruppe]],'#Frucht'!$V$1,FALSE))</f>
        <v>0</v>
      </c>
      <c r="AB9" s="875">
        <f>IF(N9=1,VLOOKUP('Flächen u. Kulturen'!P14,Kulturen[[HF]:[Ernteprodukt]],'#Frucht'!$I$1,FALSE),4)</f>
        <v>4</v>
      </c>
      <c r="AC9" s="921">
        <f>IF('Flächen u. Kulturen'!J14="",0,VLOOKUP('Flächen u. Kulturen'!J14,Kulturen[[HF]:[Berechnungsgruppe]],'#Frucht'!$G$1,FALSE))</f>
        <v>90</v>
      </c>
      <c r="AD9" s="921">
        <f>IF('Flächen u. Kulturen'!P14="",0,VLOOKUP('Flächen u. Kulturen'!P14,Kulturen[[HF]:[Berechnungsgruppe]],'#Frucht'!$G$1,FALSE))</f>
        <v>90</v>
      </c>
      <c r="AE9" s="938">
        <f>IF('Flächen u. Kulturen'!P14="",0,VLOOKUP('Flächen u. Kulturen'!P14,Kulturen[[HF]:[SollwertMinusNfix]],'#Frucht'!$X$1,FALSE))</f>
        <v>0</v>
      </c>
      <c r="AF9" s="627">
        <f>IF('Flächen u. Kulturen'!L14="",0,VLOOKUP('Flächen u. Kulturen'!L14,Nebenkultur[[Nebenkultur]:[Berechnungsschema]],'#Zweitfr'!$G$1,FALSE))</f>
        <v>0</v>
      </c>
      <c r="AG9" s="627">
        <f>IF('Flächen u. Kulturen'!L14="",0,VLOOKUP('Flächen u. Kulturen'!L14,'#Zweitfr'!$D$8:$Q$27,'#Zweitfr'!$Q$1,FALSE))</f>
        <v>0</v>
      </c>
      <c r="AH9" s="683">
        <f>IF('Flächen u. Kulturen'!M14="",0,VLOOKUP('Flächen u. Kulturen'!M14,'#Boden'!$G$17:$H$21,2,FALSE))</f>
        <v>1</v>
      </c>
      <c r="AI9" s="683">
        <f>IF('Flächen u. Kulturen'!N14="",0,VLOOKUP('Flächen u. Kulturen'!N14,'#Boden'!$G$22:$H$24,'#Boden'!$H$1,FALSE))</f>
        <v>1</v>
      </c>
      <c r="AJ9" s="938">
        <f>IF('Flächen u. Kulturen'!O14="",0,_xlfn.NUMBERVALUE('Flächen u. Kulturen'!O14))</f>
        <v>0</v>
      </c>
      <c r="AK9" s="938">
        <f>IF('Flächen u. Kulturen'!L14="",0,VLOOKUP('Flächen u. Kulturen'!L14,Nebenkultur[[Nebenkultur]:[Legum. Zwischenfr.]],'#Zweitfr'!$P$1,FALSE))</f>
        <v>0</v>
      </c>
      <c r="AL9" s="683">
        <f>IF('Flächen u. Kulturen'!P14="",0,VLOOKUP('Flächen u. Kulturen'!P14,Kulturen[[HF]:[Berechnungsgruppe]],'#Frucht'!$Q$1,FALSE))</f>
        <v>0</v>
      </c>
      <c r="AM9" s="683">
        <f>IF('Flächen u. Kulturen'!P14="",0,VLOOKUP('Flächen u. Kulturen'!P14,Kulturen[[HF]:[Berechnungsgruppe]],'#Frucht'!$M$1,FALSE))</f>
        <v>0</v>
      </c>
      <c r="AN9" s="683">
        <f>IF('Flächen u. Kulturen'!P14="",1,VLOOKUP('Flächen u. Kulturen'!P14,Kulturen[[HF]:[Berechnungsgruppe]],'#Frucht'!$R$1,FALSE))</f>
        <v>10</v>
      </c>
      <c r="AO9" s="683">
        <f>IF('Flächen u. Kulturen'!P14="",0,VLOOKUP('Flächen u. Kulturen'!P14,Kulturen[[HF]:[Berechnungsgruppe]],'#Frucht'!$S$1,FALSE))</f>
        <v>0</v>
      </c>
      <c r="AP9" s="683">
        <f>IF('Flächen u. Kulturen'!P14="",0,VLOOKUP('Flächen u. Kulturen'!P14,Kulturen[[HF]:[Berechnungsgruppe]],'#Frucht'!$T$1,FALSE))</f>
        <v>0</v>
      </c>
      <c r="AQ9" s="938">
        <f t="shared" si="1"/>
        <v>0</v>
      </c>
      <c r="AR9" s="683">
        <f t="shared" si="2"/>
        <v>0</v>
      </c>
      <c r="AS9" s="938">
        <f t="shared" si="3"/>
        <v>0</v>
      </c>
      <c r="AT9" s="683">
        <f>IF(N9=1,'Flächen u. Kulturen'!S14*-1,"--")</f>
        <v>0</v>
      </c>
      <c r="AU9" s="938">
        <f>IF(OR(N9=2,'Flächen u. Kulturen'!I14=""),"--",IF(N9=3,VLOOKUP('Flächen u. Kulturen'!I14,'#Boden'!$B$9:$E$15,'#Boden'!$D$1,FALSE),VLOOKUP('Flächen u. Kulturen'!I14,'#Boden'!$B$9:$E$15,'#Boden'!$E$1,FALSE)))</f>
        <v>0</v>
      </c>
      <c r="AV9" s="938">
        <f>IF(N9=1,IF('Flächen u. Kulturen'!J14="",0,VLOOKUP('Flächen u. Kulturen'!J14,Kulturen[[HF]:[Berechnungsgruppe]],'#Frucht'!$U$1,FALSE)*-1),"--")</f>
        <v>0</v>
      </c>
      <c r="AW9" s="683">
        <f t="shared" si="4"/>
        <v>0</v>
      </c>
      <c r="AX9" s="758">
        <f>IF('Flächen u. Kulturen'!K14="",0,'Flächen u. Kulturen'!K14*-0.1)</f>
        <v>0</v>
      </c>
      <c r="AY9" s="714">
        <f>IF(N9&lt;3,'#orgDung'!AC18*0.1*-1,"--")</f>
        <v>0</v>
      </c>
      <c r="AZ9" s="31" t="str">
        <f>IF(AND('#orgDung'!J18&lt;&gt;2,'#orgDung'!F18=1),('#orgDung'!V18+'#minDung'!O15)*-1,"--")</f>
        <v>--</v>
      </c>
      <c r="BA9" s="714">
        <f>MAX(0,SUM(AR9:AZ9))</f>
        <v>0</v>
      </c>
      <c r="BB9" s="938">
        <f>IF(R9=2,0,'Flächen u. Kulturen'!V14*-1)</f>
        <v>0</v>
      </c>
      <c r="BC9" s="718">
        <f>SUM(BA9:BB9)</f>
        <v>0</v>
      </c>
      <c r="BD9" s="127">
        <f>'#orgDung'!W18*-1</f>
        <v>0</v>
      </c>
      <c r="BE9" s="910">
        <f>'#orgDung'!AA18*-1</f>
        <v>0</v>
      </c>
      <c r="BF9" s="749">
        <f>'#orgDung'!Z18*-1</f>
        <v>0</v>
      </c>
      <c r="BG9" s="938">
        <f t="shared" si="14"/>
        <v>0</v>
      </c>
      <c r="BH9" s="871">
        <f>'#Kürzungen'!AS33*-1</f>
        <v>0</v>
      </c>
      <c r="BI9" s="871">
        <f t="shared" si="5"/>
        <v>0</v>
      </c>
      <c r="BJ9" s="910">
        <f t="shared" si="6"/>
        <v>0</v>
      </c>
      <c r="BK9" s="871">
        <f>'#minDung'!P15</f>
        <v>0</v>
      </c>
      <c r="BL9" s="938">
        <f t="shared" si="15"/>
        <v>0</v>
      </c>
      <c r="BM9" s="938">
        <f t="shared" si="7"/>
        <v>0</v>
      </c>
      <c r="BN9" s="745">
        <f>IF('Flächen u. Kulturen'!P14="",0,VLOOKUP('Flächen u. Kulturen'!P14,Kulturen[[HF]:[Berechnungsgruppe]],'#Frucht'!$K$1,FALSE))</f>
        <v>0</v>
      </c>
      <c r="BO9" s="745">
        <f>IF('Flächen u. Kulturen'!P14="",0,VLOOKUP('Flächen u. Kulturen'!P14,Kulturen[[HF]:[Berechnungsgruppe]],'#Frucht'!$L$1,FALSE))</f>
        <v>0</v>
      </c>
      <c r="BP9" s="745">
        <f>IF('Flächen u. Kulturen'!L14="",0,VLOOKUP('Flächen u. Kulturen'!L14,Nebenkultur[[Nebenkultur]:[Legum. Zwischenfr.]],'#Zweitfr'!$H$1,FALSE))</f>
        <v>0</v>
      </c>
      <c r="BQ9" s="938">
        <f>IF(N9=3,W9*BO9,IF('Flächen u. Kulturen'!T14='#Boden'!$B$32,V9*BN9,V9*BO9))</f>
        <v>0</v>
      </c>
      <c r="BR9" s="938">
        <f t="shared" si="8"/>
        <v>0</v>
      </c>
      <c r="BS9" s="745">
        <f>BQ9+BR9</f>
        <v>0</v>
      </c>
      <c r="BT9" s="745">
        <f>IF('Flächen u. Kulturen'!F14="",0,IF(N9=3,VLOOKUP('Flächen u. Kulturen'!F14,'#Boden'!$G$4:$J$8,'#Boden'!$J$1,FALSE),VLOOKUP('Flächen u. Kulturen'!F14,'#Boden'!$G$4:$J$8,'#Boden'!$I$1,FALSE)))</f>
        <v>0</v>
      </c>
      <c r="BU9" s="41">
        <f>IF(BT9&gt;0,BT9,BS9*BT9)</f>
        <v>0</v>
      </c>
      <c r="BV9">
        <f>BS9+BU9</f>
        <v>0</v>
      </c>
      <c r="BW9" s="938" t="str">
        <f t="shared" si="16"/>
        <v/>
      </c>
      <c r="BX9" s="745">
        <f>'#orgDung'!T18*-1</f>
        <v>0</v>
      </c>
      <c r="BY9">
        <f t="shared" si="17"/>
        <v>0</v>
      </c>
      <c r="BZ9" s="938" t="str">
        <f>IF(U9&lt;&gt;"x",0,IF(P9&lt;4,"",(BW9+BX9-'#minDung'!N15)*-1))</f>
        <v/>
      </c>
      <c r="CB9" s="938">
        <f>IF(AND(AF9=70,U9="x"),'Flächen u. Kulturen'!A14,1000)</f>
        <v>1000</v>
      </c>
      <c r="CC9" t="str">
        <f>IF(AF9=70,VLOOKUP('Flächen u. Kulturen'!L14,Nebenkultur[[Nebenkultur]:[Legum. Zwischenfr.]],'#Zweitfr'!$I$1,FALSE),"--")</f>
        <v>--</v>
      </c>
      <c r="CD9" t="str">
        <f>IF(AF9=70,VLOOKUP('Flächen u. Kulturen'!L14,Nebenkultur[[Nebenkultur]:[Legum. Zwischenfr.]],'#Zweitfr'!$L$1,FALSE),"--")</f>
        <v>--</v>
      </c>
      <c r="CE9" t="str">
        <f>IF(AF9=70,VLOOKUP('Flächen u. Kulturen'!L14,Nebenkultur[[Nebenkultur]:[Legum. Zwischenfr.]],'#Zweitfr'!$M$1,FALSE),"--")</f>
        <v>--</v>
      </c>
      <c r="CF9" t="str">
        <f>IF(AF9=70,VLOOKUP('Flächen u. Kulturen'!L14,Nebenkultur[[Nebenkultur]:[Legum. Zwischenfr.]],'#Zweitfr'!$N$1,FALSE),"--")</f>
        <v>--</v>
      </c>
      <c r="CG9" t="str">
        <f>IF(AF9=70,VLOOKUP('Flächen u. Kulturen'!L14,Nebenkultur[[Nebenkultur]:[Legum. Zwischenfr.]],'#Zweitfr'!$O$1,FALSE),"--")</f>
        <v>--</v>
      </c>
      <c r="CH9" t="str">
        <f t="shared" si="9"/>
        <v>--</v>
      </c>
      <c r="CI9" s="938">
        <f>IF('Flächen u. Kulturen'!L14="",0,VLOOKUP('Flächen u. Kulturen'!L14,Nebenkultur[[Nebenkultur]:[Legum. Zwischenfr.]],'#Zweitfr'!$J$1,FALSE))</f>
        <v>0</v>
      </c>
      <c r="CJ9">
        <f t="shared" si="10"/>
        <v>0</v>
      </c>
      <c r="CK9" s="890">
        <f t="shared" si="11"/>
        <v>0</v>
      </c>
      <c r="CL9" s="938">
        <f>IF(AND(R9=1,AF9=70),'Flächen u. Kulturen'!W14*-1,0)</f>
        <v>0</v>
      </c>
      <c r="CM9" s="745">
        <f>'#orgDung'!AE18*-1</f>
        <v>0</v>
      </c>
      <c r="CN9" s="836">
        <f>SUM(CK9:CM9)</f>
        <v>0</v>
      </c>
      <c r="CO9" s="871">
        <f>MAX(0,CN9)</f>
        <v>0</v>
      </c>
      <c r="CP9" s="871">
        <f>'#Kürzungen'!AS134*-1</f>
        <v>0</v>
      </c>
      <c r="CQ9" s="871">
        <f>CK9+CP9</f>
        <v>0</v>
      </c>
      <c r="CR9" s="871">
        <f>CQ9+CM9</f>
        <v>0</v>
      </c>
      <c r="CS9" s="745">
        <f>'#minDung'!R15</f>
        <v>0</v>
      </c>
      <c r="CT9" s="938">
        <f t="shared" si="18"/>
        <v>0</v>
      </c>
      <c r="CU9" s="52" t="str">
        <f>'#Kürzungen'!AQ134</f>
        <v xml:space="preserve"> </v>
      </c>
      <c r="CV9"/>
      <c r="CW9" s="247">
        <f>IF('Flächen u. Kulturen'!D14="",0,IF(ISNUMBER('Flächen u. Kulturen'!D14)=TRUE,2,1))</f>
        <v>0</v>
      </c>
      <c r="CX9" s="247">
        <f>IF('Flächen u. Kulturen'!E14="",0,COUNTIF('#Boden'!$B$47,'Flächen u. Kulturen'!E14)+1)</f>
        <v>2</v>
      </c>
      <c r="CY9" s="247">
        <f>IF('Flächen u. Kulturen'!F14="",0,COUNTIF('#Boden'!$G$4:$G$8,'Flächen u. Kulturen'!F14)+1)</f>
        <v>2</v>
      </c>
      <c r="CZ9" s="247">
        <f>IF('Flächen u. Kulturen'!G14="",0,COUNTIF('#Boden'!$B$26:$B$29,'Flächen u. Kulturen'!G14)+1)</f>
        <v>2</v>
      </c>
      <c r="DA9" s="247">
        <f>IF('Flächen u. Kulturen'!H14="",0,COUNTIF('#Boden'!$B$26:$B$29,'Flächen u. Kulturen'!H14)+1)</f>
        <v>2</v>
      </c>
      <c r="DB9" s="247">
        <f>IF('Flächen u. Kulturen'!I14="",0,COUNTIF('#Boden'!$B$9:$B$15,'Flächen u. Kulturen'!I14)+1)</f>
        <v>2</v>
      </c>
      <c r="DC9" s="247">
        <f>IF('Flächen u. Kulturen'!J14="",0,COUNTIF(Kulturen[HF],'Flächen u. Kulturen'!J14)+1)</f>
        <v>2</v>
      </c>
      <c r="DD9" s="247">
        <f>IF('Flächen u. Kulturen'!L14="",0,COUNTIF(Nebenkultur[Nebenkultur],'Flächen u. Kulturen'!L14)+1)</f>
        <v>2</v>
      </c>
      <c r="DE9" s="247">
        <f>IF('Flächen u. Kulturen'!M14="",0,COUNTIF('#Boden'!$G$17:$G$21,'Flächen u. Kulturen'!M14)+1)</f>
        <v>2</v>
      </c>
      <c r="DF9" s="247">
        <f>IF('Flächen u. Kulturen'!N14="",0,COUNTIF('#Boden'!$G$22:$G$24,'Flächen u. Kulturen'!N14)+1)</f>
        <v>2</v>
      </c>
      <c r="DG9" s="247">
        <f>IF('Flächen u. Kulturen'!P14="",0,COUNTIF(Kulturen[HF],'Flächen u. Kulturen'!P14)+1)</f>
        <v>2</v>
      </c>
      <c r="DH9" s="247">
        <f>IF('Flächen u. Kulturen'!T14="",0,COUNTIF('#Boden'!$B$30:$B$32,'Flächen u. Kulturen'!T14)+1)</f>
        <v>2</v>
      </c>
      <c r="DI9" s="247">
        <f>IF('Flächen u. Kulturen'!K14="",0,IF(ISNUMBER('Flächen u. Kulturen'!K14)=TRUE,2,1))</f>
        <v>0</v>
      </c>
      <c r="DJ9" s="247">
        <f>IF('Flächen u. Kulturen'!U14="",0,IF(ISNUMBER('Flächen u. Kulturen'!U14)=TRUE,2,1))</f>
        <v>0</v>
      </c>
      <c r="DK9" s="247">
        <f>IF('Flächen u. Kulturen'!V14="",0,IF(ISNUMBER('Flächen u. Kulturen'!V14)=TRUE,2,1))</f>
        <v>0</v>
      </c>
      <c r="DL9" s="247">
        <f>IF('Flächen u. Kulturen'!W14="",0,IF(ISNUMBER('Flächen u. Kulturen'!W14)=TRUE,2,1))</f>
        <v>0</v>
      </c>
      <c r="DM9" s="247">
        <f>COUNTIF(CW9:DH9,1)</f>
        <v>0</v>
      </c>
      <c r="DN9" s="247" t="s">
        <v>344</v>
      </c>
      <c r="DO9" s="247">
        <f>IF(U9&lt;&gt;"x","",IF(OR('Flächen u. Kulturen'!B14="",'Flächen u. Kulturen'!C14="",'Flächen u. Kulturen'!D14="",'Flächen u. Kulturen'!D14=0,'Flächen u. Kulturen'!F14="",'Flächen u. Kulturen'!F14='#Boden'!$G$4,'Flächen u. Kulturen'!G14="",'Flächen u. Kulturen'!G14='#Boden'!$B$26,'Flächen u. Kulturen'!H14="",'Flächen u. Kulturen'!H14='#Boden'!$B$23,AND(N9&lt;&gt;2,OR('Flächen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Kulturen'!Q14="",'#BerechnungDBE'!N9&lt;3),AND('Flächen u. Kulturen'!R14="",'#BerechnungDBE'!N9=3),AND(N9=1,AL9&gt;0,'Flächen u. Kulturen'!S14=""),AND(N9=1,OR('Flächen u. Kulturen'!T14="",'Flächen u. Kulturen'!T14='#Boden'!$B$30)),AND('#BerechnungDBE'!AF9=70,OR('Flächen u. Kulturen'!N14="",'Flächen u. Kulturen'!N14='#Boden'!$G$22,'Flächen u. Kulturen'!O14="")),AND('#BerechnungDBE'!AF9=80,OR('Flächen u. Kulturen'!M14="",'Flächen u. Kulturen'!M14='#Boden'!$G$17,'Flächen u. Kulturen'!N14="",'Flächen u. Kulturen'!N14='#Boden'!$G$22))),$DO$4,""))</f>
        <v>1</v>
      </c>
      <c r="DP9" s="247" t="str">
        <f>IF(U9&lt;&gt;"x","",IF(OR(LEFT('Flächen u. Kulturen'!J14,2)=" +",LEFT('Flächen u. Kulturen'!L14,2)=" +",LEFT('Flächen u. Kulturen'!P14,2)=" +"),$DP$4,""))</f>
        <v/>
      </c>
      <c r="DQ9" s="428" t="str">
        <f t="shared" si="12"/>
        <v/>
      </c>
      <c r="DR9" s="938" t="str">
        <f t="shared" si="13"/>
        <v/>
      </c>
      <c r="DS9" s="938" t="str">
        <f>IF('Flächen u. Kulturen'!X14="","",ROW('Flächen u. Kulturen'!X14))</f>
        <v/>
      </c>
    </row>
    <row r="10" spans="1:123" s="875" customFormat="1" x14ac:dyDescent="0.2">
      <c r="A10" s="875" t="str">
        <f>IF('Daten aus 2021'!H12="",'#Boden'!$B$26,IF('Daten aus 2021'!H12='#Boden'!$B$39,IF('Daten aus 2021'!F12='#Boden'!$B$29,'#Boden'!$B$29,IF('Daten aus 2021'!K12='#Boden'!$B$34,'#Boden'!$B$28,'#Boden'!$B$27)),'Daten aus 2021'!F12))</f>
        <v xml:space="preserve"> --</v>
      </c>
      <c r="B10" s="875" t="str">
        <f>IF('Daten aus 2021'!H12='#Boden'!$B$39,IF('Daten aus 2021'!L12='#Boden'!$B$61,'#Boden'!$B$11,'Daten aus 2021'!L12),IF('Daten aus 2021'!P12='#Boden'!$B$58,'#Boden'!$B$11,IF('Daten aus 2021'!P12='#Boden'!$B$57,'#Boden'!$B$10,'#Boden'!$B$9)))</f>
        <v xml:space="preserve"> --         </v>
      </c>
      <c r="C10" s="875" t="str">
        <f>IF('Daten aus 2021'!N12="","",VLOOKUP('Daten aus 2021'!N12,'#Boden'!$B$68:$C$89,2,FALSE))</f>
        <v/>
      </c>
      <c r="D10" s="875" t="str">
        <f>IF('Daten aus 2021'!M12="","",VLOOKUP('Daten aus 2021'!M12,'#Boden'!$D$69:$E$73,2,FALSE))</f>
        <v/>
      </c>
      <c r="E10" s="938" t="str">
        <f>IF(OR(C10='#Boden'!$C$68,C10='#Boden'!$C$70),C10,CONCATENATE(C10,D10))</f>
        <v/>
      </c>
      <c r="F10" s="882" t="str">
        <f>IFERROR(IF('Daten aus 2021'!H12="",'#Frucht'!$D$8,IF('Daten aus 2021'!H12='#Boden'!$B$39,E10,IF('Daten aus 2021'!H12='#Boden'!$B$38,IF(CONCATENATE(" ",'Daten aus 2021'!W12)=$B$2,VLOOKUP($B$3,'#Frucht'!$A$8:$D$372,4,FALSE),VLOOKUP(CONCATENATE(" ",'Daten aus 2021'!W12),'#Frucht'!$A$8:$D$372,4,FALSE)),IF(OR(LEFT('Daten aus 2021'!Q12,5)=" *10 ",LEFT('Daten aus 2021'!Q12,5)=" *11 ",LEFT('Daten aus 2021'!Q12,5)=" *12 ",LEFT('Daten aus 2021'!Q12,5)=" *13 ",LEFT('Daten aus 2021'!Q12,5)=" *14 ",LEFT('Daten aus 2021'!Q12,5)=" *15 "),VLOOKUP(RIGHT('Daten aus 2021'!Q12,LEN('Daten aus 2021'!Q12)-4),'#Frucht'!$A$8:$D$372,4,FALSE),IF(LEFT('Daten aus 2021'!Q12,2)=" *",VLOOKUP(RIGHT('Daten aus 2021'!Q12,LEN('Daten aus 2021'!Q12)-3),'#Frucht'!$A$8:$D$372,4,FALSE),VLOOKUP('Daten aus 2021'!Q12,'#Frucht'!$A$8:$D$372,4,FALSE)))))),'#Frucht'!$D$8)</f>
        <v xml:space="preserve"> --  </v>
      </c>
      <c r="G10" s="127"/>
      <c r="H10" s="31"/>
      <c r="J10" s="938" t="str">
        <f>IF(OR(N10=3,$K$3=0,'Flächen u. Kulturen'!P15=""),"",IF(VLOOKUP('Flächen u. Kulturen'!P15,Kulturen[[HF]:[780]],'#BerechnungDBE'!$K$3,FALSE)=".","",VLOOKUP('Flächen u. Kulturen'!P15,Kulturen[[HF]:[780]],'#BerechnungDBE'!$K$3,FALSE)))</f>
        <v/>
      </c>
      <c r="K10" s="938" t="str">
        <f>IF(OR($K$3=0,'Flächen u. Kulturen'!P15=""),"",IF(N10=3,IF(VLOOKUP('Flächen u. Kulturen'!P15,Kulturen[[HF]:[780]],'#BerechnungDBE'!$K$3,FALSE)=".","",VLOOKUP('Flächen u. Kulturen'!P15,Kulturen[[HF]:[780]],'#BerechnungDBE'!$K$3,FALSE)),""))</f>
        <v/>
      </c>
      <c r="L10" s="367">
        <f>IF('Flächen u. Kulturen'!D15="",0,'Flächen u. Kulturen'!D15)</f>
        <v>0</v>
      </c>
      <c r="M10" s="693">
        <f>IF('Flächen u. Kulturen'!J15="",0,VLOOKUP('Flächen u. Kulturen'!J15,Kulturen[[HF]:[Berechnungsgruppe]],'#Frucht'!$W$1,FALSE))</f>
        <v>1</v>
      </c>
      <c r="N10" s="693">
        <f>IF('Flächen u. Kulturen'!P15="",0,VLOOKUP('Flächen u. Kulturen'!P15,Kulturen[[HF]:[Berechnungsgruppe]],'#Frucht'!$W$1,FALSE))</f>
        <v>1</v>
      </c>
      <c r="O10" s="875">
        <f>IF(N10&lt;&gt;2,N10,IF('Flächen u. Kulturen'!J15='Flächen u. Kulturen'!P15,2,1))</f>
        <v>1</v>
      </c>
      <c r="P10" s="875">
        <f>IF('Flächen u. Kulturen'!F15="",0,VLOOKUP('Flächen u. Kulturen'!F15,'#Boden'!$G$4:$H$8,'#Boden'!$H$1,FALSE))</f>
        <v>1</v>
      </c>
      <c r="Q10" s="875">
        <f>IF('Flächen u. Kulturen'!G15="",0,VLOOKUP('Flächen u. Kulturen'!G15,'#Boden'!$B$26:$C$29,'#Boden'!$C$1,FALSE))</f>
        <v>1</v>
      </c>
      <c r="R10" s="875">
        <f t="shared" ref="R10:R73" si="19">IF(Q10&lt;4,1,2)</f>
        <v>1</v>
      </c>
      <c r="S10" s="875">
        <f t="shared" ref="S10:S73" si="20">IF(AND(O10=3,Q10&gt;2),2,IF(AND(O10&lt;&gt;3,Q10&gt;3),2,1))</f>
        <v>1</v>
      </c>
      <c r="T10" s="875">
        <f>IF('Flächen u. Kulturen'!H15="",0,VLOOKUP('Flächen u. Kulturen'!H15,'#Boden'!$B$23:$C$25,'#Boden'!$C$1,FALSE))</f>
        <v>2</v>
      </c>
      <c r="U10" s="875" t="str">
        <f>'Flächen u. Kulturen'!E15</f>
        <v>x</v>
      </c>
      <c r="V10" s="938">
        <f>IF('Flächen u. Kulturen'!Q15="",0,_xlfn.NUMBERVALUE('Flächen u. Kulturen'!Q15))</f>
        <v>0</v>
      </c>
      <c r="W10" s="938">
        <f>IF('Flächen u. Kulturen'!R15="",0,_xlfn.NUMBERVALUE('Flächen u. Kulturen'!R15))</f>
        <v>0</v>
      </c>
      <c r="X10" s="875">
        <f>IF('Flächen u. Kulturen'!T15="",0,VLOOKUP('Flächen u. Kulturen'!T15,'#Boden'!$B$30:$C$32,'#Boden'!$C$1,FALSE))</f>
        <v>1</v>
      </c>
      <c r="Y10" s="875">
        <f>IF('Flächen u. Kulturen'!P15="",0,VLOOKUP('Flächen u. Kulturen'!P15,Kulturen[[HF]:[Berechnungsgruppe]],'#Frucht'!$N$1,FALSE))</f>
        <v>0</v>
      </c>
      <c r="Z10" s="875">
        <f t="shared" ref="Z10:Z73" si="21">IF(AND(Y10&lt;&gt;0,O10&lt;3),1,2)</f>
        <v>2</v>
      </c>
      <c r="AA10" s="875">
        <f>IF('Flächen u. Kulturen'!P15="",0,VLOOKUP('Flächen u. Kulturen'!P15,Kulturen[[HF]:[Berechnungsgruppe]],'#Frucht'!$V$1,FALSE))</f>
        <v>0</v>
      </c>
      <c r="AB10" s="875">
        <f>IF(N10=1,VLOOKUP('Flächen u. Kulturen'!P15,Kulturen[[HF]:[Ernteprodukt]],'#Frucht'!$I$1,FALSE),4)</f>
        <v>4</v>
      </c>
      <c r="AC10" s="921">
        <f>IF('Flächen u. Kulturen'!J15="",0,VLOOKUP('Flächen u. Kulturen'!J15,Kulturen[[HF]:[Berechnungsgruppe]],'#Frucht'!$G$1,FALSE))</f>
        <v>90</v>
      </c>
      <c r="AD10" s="921">
        <f>IF('Flächen u. Kulturen'!P15="",0,VLOOKUP('Flächen u. Kulturen'!P15,Kulturen[[HF]:[Berechnungsgruppe]],'#Frucht'!$G$1,FALSE))</f>
        <v>90</v>
      </c>
      <c r="AE10" s="938">
        <f>IF('Flächen u. Kulturen'!P15="",0,VLOOKUP('Flächen u. Kulturen'!P15,Kulturen[[HF]:[SollwertMinusNfix]],'#Frucht'!$X$1,FALSE))</f>
        <v>0</v>
      </c>
      <c r="AF10" s="875">
        <f>IF('Flächen u. Kulturen'!L15="",0,VLOOKUP('Flächen u. Kulturen'!L15,Nebenkultur[[Nebenkultur]:[Berechnungsschema]],'#Zweitfr'!$G$1,FALSE))</f>
        <v>0</v>
      </c>
      <c r="AG10" s="875">
        <f>IF('Flächen u. Kulturen'!L15="",0,VLOOKUP('Flächen u. Kulturen'!L15,'#Zweitfr'!$D$8:$Q$27,'#Zweitfr'!$Q$1,FALSE))</f>
        <v>0</v>
      </c>
      <c r="AH10" s="875">
        <f>IF('Flächen u. Kulturen'!M15="",0,VLOOKUP('Flächen u. Kulturen'!M15,'#Boden'!$G$17:$H$21,2,FALSE))</f>
        <v>1</v>
      </c>
      <c r="AI10" s="875">
        <f>IF('Flächen u. Kulturen'!N15="",0,VLOOKUP('Flächen u. Kulturen'!N15,'#Boden'!$G$22:$H$24,'#Boden'!$H$1,FALSE))</f>
        <v>1</v>
      </c>
      <c r="AJ10" s="938">
        <f>IF('Flächen u. Kulturen'!O15="",0,_xlfn.NUMBERVALUE('Flächen u. Kulturen'!O15))</f>
        <v>0</v>
      </c>
      <c r="AK10" s="938">
        <f>IF('Flächen u. Kulturen'!L15="",0,VLOOKUP('Flächen u. Kulturen'!L15,Nebenkultur[[Nebenkultur]:[Legum. Zwischenfr.]],'#Zweitfr'!$P$1,FALSE))</f>
        <v>0</v>
      </c>
      <c r="AL10" s="875">
        <f>IF('Flächen u. Kulturen'!P15="",0,VLOOKUP('Flächen u. Kulturen'!P15,Kulturen[[HF]:[Berechnungsgruppe]],'#Frucht'!$Q$1,FALSE))</f>
        <v>0</v>
      </c>
      <c r="AM10" s="875">
        <f>IF('Flächen u. Kulturen'!P15="",0,VLOOKUP('Flächen u. Kulturen'!P15,Kulturen[[HF]:[Berechnungsgruppe]],'#Frucht'!$M$1,FALSE))</f>
        <v>0</v>
      </c>
      <c r="AN10" s="875">
        <f>IF('Flächen u. Kulturen'!P15="",1,VLOOKUP('Flächen u. Kulturen'!P15,Kulturen[[HF]:[Berechnungsgruppe]],'#Frucht'!$R$1,FALSE))</f>
        <v>10</v>
      </c>
      <c r="AO10" s="875">
        <f>IF('Flächen u. Kulturen'!P15="",0,VLOOKUP('Flächen u. Kulturen'!P15,Kulturen[[HF]:[Berechnungsgruppe]],'#Frucht'!$S$1,FALSE))</f>
        <v>0</v>
      </c>
      <c r="AP10" s="875">
        <f>IF('Flächen u. Kulturen'!P15="",0,VLOOKUP('Flächen u. Kulturen'!P15,Kulturen[[HF]:[Berechnungsgruppe]],'#Frucht'!$T$1,FALSE))</f>
        <v>0</v>
      </c>
      <c r="AQ10" s="938">
        <f t="shared" si="1"/>
        <v>0</v>
      </c>
      <c r="AR10" s="875">
        <f t="shared" si="2"/>
        <v>0</v>
      </c>
      <c r="AS10" s="938">
        <f t="shared" si="3"/>
        <v>0</v>
      </c>
      <c r="AT10" s="875">
        <f>IF(N10=1,'Flächen u. Kulturen'!S15*-1,"--")</f>
        <v>0</v>
      </c>
      <c r="AU10" s="938">
        <f>IF(OR(N10=2,'Flächen u. Kulturen'!I15=""),"--",IF(N10=3,VLOOKUP('Flächen u. Kulturen'!I15,'#Boden'!$B$9:$E$15,'#Boden'!$D$1,FALSE),VLOOKUP('Flächen u. Kulturen'!I15,'#Boden'!$B$9:$E$15,'#Boden'!$E$1,FALSE)))</f>
        <v>0</v>
      </c>
      <c r="AV10" s="938">
        <f>IF(N10=1,IF('Flächen u. Kulturen'!J15="",0,VLOOKUP('Flächen u. Kulturen'!J15,Kulturen[[HF]:[Berechnungsgruppe]],'#Frucht'!$U$1,FALSE)*-1),"--")</f>
        <v>0</v>
      </c>
      <c r="AW10" s="875">
        <f t="shared" si="4"/>
        <v>0</v>
      </c>
      <c r="AX10" s="875">
        <f>IF('Flächen u. Kulturen'!K15="",0,'Flächen u. Kulturen'!K15*-0.1)</f>
        <v>0</v>
      </c>
      <c r="AY10" s="875">
        <f>IF(N10&lt;3,'#orgDung'!AC19*0.1*-1,"--")</f>
        <v>0</v>
      </c>
      <c r="AZ10" s="31" t="str">
        <f>IF(AND('#orgDung'!J19&lt;&gt;2,'#orgDung'!F19=1),('#orgDung'!V19+'#minDung'!O16)*-1,"--")</f>
        <v>--</v>
      </c>
      <c r="BA10" s="875">
        <f t="shared" ref="BA10:BA73" si="22">MAX(0,SUM(AR10:AZ10))</f>
        <v>0</v>
      </c>
      <c r="BB10" s="938">
        <f>IF(R10=2,0,'Flächen u. Kulturen'!V15*-1)</f>
        <v>0</v>
      </c>
      <c r="BC10" s="875">
        <f t="shared" ref="BC10:BC73" si="23">SUM(BA10:BB10)</f>
        <v>0</v>
      </c>
      <c r="BD10" s="127">
        <f>'#orgDung'!W19*-1</f>
        <v>0</v>
      </c>
      <c r="BE10" s="910">
        <f>'#orgDung'!AA19*-1</f>
        <v>0</v>
      </c>
      <c r="BF10" s="875">
        <f>'#orgDung'!Z19*-1</f>
        <v>0</v>
      </c>
      <c r="BG10" s="938">
        <f t="shared" si="14"/>
        <v>0</v>
      </c>
      <c r="BH10" s="875">
        <f>'#Kürzungen'!AS34*-1</f>
        <v>0</v>
      </c>
      <c r="BI10" s="875">
        <f t="shared" si="5"/>
        <v>0</v>
      </c>
      <c r="BJ10" s="910">
        <f t="shared" si="6"/>
        <v>0</v>
      </c>
      <c r="BK10" s="875">
        <f>'#minDung'!P16</f>
        <v>0</v>
      </c>
      <c r="BL10" s="938">
        <f t="shared" si="15"/>
        <v>0</v>
      </c>
      <c r="BM10" s="938">
        <f t="shared" si="7"/>
        <v>0</v>
      </c>
      <c r="BN10" s="875">
        <f>IF('Flächen u. Kulturen'!P15="",0,VLOOKUP('Flächen u. Kulturen'!P15,Kulturen[[HF]:[Berechnungsgruppe]],'#Frucht'!$K$1,FALSE))</f>
        <v>0</v>
      </c>
      <c r="BO10" s="875">
        <f>IF('Flächen u. Kulturen'!P15="",0,VLOOKUP('Flächen u. Kulturen'!P15,Kulturen[[HF]:[Berechnungsgruppe]],'#Frucht'!$L$1,FALSE))</f>
        <v>0</v>
      </c>
      <c r="BP10" s="875">
        <f>IF('Flächen u. Kulturen'!L15="",0,VLOOKUP('Flächen u. Kulturen'!L15,Nebenkultur[[Nebenkultur]:[Legum. Zwischenfr.]],'#Zweitfr'!$H$1,FALSE))</f>
        <v>0</v>
      </c>
      <c r="BQ10" s="938">
        <f>IF(N10=3,W10*BO10,IF('Flächen u. Kulturen'!T15='#Boden'!$B$32,V10*BN10,V10*BO10))</f>
        <v>0</v>
      </c>
      <c r="BR10" s="938">
        <f t="shared" si="8"/>
        <v>0</v>
      </c>
      <c r="BS10" s="875">
        <f t="shared" ref="BS10:BS73" si="24">BQ10+BR10</f>
        <v>0</v>
      </c>
      <c r="BT10" s="875">
        <f>IF('Flächen u. Kulturen'!F15="",0,IF(N10=3,VLOOKUP('Flächen u. Kulturen'!F15,'#Boden'!$G$4:$J$8,'#Boden'!$J$1,FALSE),VLOOKUP('Flächen u. Kulturen'!F15,'#Boden'!$G$4:$J$8,'#Boden'!$I$1,FALSE)))</f>
        <v>0</v>
      </c>
      <c r="BU10" s="41">
        <f t="shared" ref="BU10:BU73" si="25">IF(BT10&gt;0,BT10,BS10*BT10)</f>
        <v>0</v>
      </c>
      <c r="BV10" s="875">
        <f t="shared" ref="BV10:BV73" si="26">BS10+BU10</f>
        <v>0</v>
      </c>
      <c r="BW10" s="938" t="str">
        <f t="shared" si="16"/>
        <v/>
      </c>
      <c r="BX10" s="875">
        <f>'#orgDung'!T19*-1</f>
        <v>0</v>
      </c>
      <c r="BY10" s="875">
        <f t="shared" si="17"/>
        <v>0</v>
      </c>
      <c r="BZ10" s="938" t="str">
        <f>IF(U10&lt;&gt;"x",0,IF(P10&lt;4,"",(BW10+BX10-'#minDung'!N16)*-1))</f>
        <v/>
      </c>
      <c r="CB10" s="938">
        <f>IF(AND(AF10=70,U10="x"),'Flächen u. Kulturen'!A15,1000)</f>
        <v>1000</v>
      </c>
      <c r="CC10" s="875" t="str">
        <f>IF(AF10=70,VLOOKUP('Flächen u. Kulturen'!L15,Nebenkultur[[Nebenkultur]:[Legum. Zwischenfr.]],'#Zweitfr'!$I$1,FALSE),"--")</f>
        <v>--</v>
      </c>
      <c r="CD10" s="875" t="str">
        <f>IF(AF10=70,VLOOKUP('Flächen u. Kulturen'!L15,Nebenkultur[[Nebenkultur]:[Legum. Zwischenfr.]],'#Zweitfr'!$L$1,FALSE),"--")</f>
        <v>--</v>
      </c>
      <c r="CE10" s="875" t="str">
        <f>IF(AF10=70,VLOOKUP('Flächen u. Kulturen'!L15,Nebenkultur[[Nebenkultur]:[Legum. Zwischenfr.]],'#Zweitfr'!$M$1,FALSE),"--")</f>
        <v>--</v>
      </c>
      <c r="CF10" s="875" t="str">
        <f>IF(AF10=70,VLOOKUP('Flächen u. Kulturen'!L15,Nebenkultur[[Nebenkultur]:[Legum. Zwischenfr.]],'#Zweitfr'!$N$1,FALSE),"--")</f>
        <v>--</v>
      </c>
      <c r="CG10" s="875" t="str">
        <f>IF(AF10=70,VLOOKUP('Flächen u. Kulturen'!L15,Nebenkultur[[Nebenkultur]:[Legum. Zwischenfr.]],'#Zweitfr'!$O$1,FALSE),"--")</f>
        <v>--</v>
      </c>
      <c r="CH10" s="875" t="str">
        <f t="shared" si="9"/>
        <v>--</v>
      </c>
      <c r="CI10" s="938">
        <f>IF('Flächen u. Kulturen'!L15="",0,VLOOKUP('Flächen u. Kulturen'!L15,Nebenkultur[[Nebenkultur]:[Legum. Zwischenfr.]],'#Zweitfr'!$J$1,FALSE))</f>
        <v>0</v>
      </c>
      <c r="CJ10" s="875">
        <f t="shared" si="10"/>
        <v>0</v>
      </c>
      <c r="CK10" s="890">
        <f t="shared" si="11"/>
        <v>0</v>
      </c>
      <c r="CL10" s="938">
        <f>IF(AND(R10=1,AF10=70),'Flächen u. Kulturen'!W15*-1,0)</f>
        <v>0</v>
      </c>
      <c r="CM10" s="875">
        <f>'#orgDung'!AE19*-1</f>
        <v>0</v>
      </c>
      <c r="CN10" s="875">
        <f t="shared" ref="CN10:CN73" si="27">SUM(CK10:CM10)</f>
        <v>0</v>
      </c>
      <c r="CO10" s="875">
        <f t="shared" ref="CO10:CO73" si="28">MAX(0,CN10)</f>
        <v>0</v>
      </c>
      <c r="CP10" s="875">
        <f>'#Kürzungen'!AS135*-1</f>
        <v>0</v>
      </c>
      <c r="CQ10" s="875">
        <f t="shared" ref="CQ10:CQ73" si="29">CK10+CP10</f>
        <v>0</v>
      </c>
      <c r="CR10" s="875">
        <f t="shared" ref="CR10:CR73" si="30">CQ10+CM10</f>
        <v>0</v>
      </c>
      <c r="CS10" s="875">
        <f>'#minDung'!R16</f>
        <v>0</v>
      </c>
      <c r="CT10" s="938">
        <f t="shared" si="18"/>
        <v>0</v>
      </c>
      <c r="CU10" s="52" t="str">
        <f>'#Kürzungen'!AQ135</f>
        <v xml:space="preserve"> </v>
      </c>
      <c r="CW10" s="247">
        <f>IF('Flächen u. Kulturen'!D15="",0,IF(ISNUMBER('Flächen u. Kulturen'!D15)=TRUE,2,1))</f>
        <v>0</v>
      </c>
      <c r="CX10" s="247">
        <f>IF('Flächen u. Kulturen'!E15="",0,COUNTIF('#Boden'!$B$47,'Flächen u. Kulturen'!E15)+1)</f>
        <v>2</v>
      </c>
      <c r="CY10" s="247">
        <f>IF('Flächen u. Kulturen'!F15="",0,COUNTIF('#Boden'!$G$4:$G$8,'Flächen u. Kulturen'!F15)+1)</f>
        <v>2</v>
      </c>
      <c r="CZ10" s="247">
        <f>IF('Flächen u. Kulturen'!G15="",0,COUNTIF('#Boden'!$B$26:$B$29,'Flächen u. Kulturen'!G15)+1)</f>
        <v>2</v>
      </c>
      <c r="DA10" s="247">
        <f>IF('Flächen u. Kulturen'!H15="",0,COUNTIF('#Boden'!$B$26:$B$29,'Flächen u. Kulturen'!H15)+1)</f>
        <v>2</v>
      </c>
      <c r="DB10" s="247">
        <f>IF('Flächen u. Kulturen'!I15="",0,COUNTIF('#Boden'!$B$9:$B$15,'Flächen u. Kulturen'!I15)+1)</f>
        <v>2</v>
      </c>
      <c r="DC10" s="247">
        <f>IF('Flächen u. Kulturen'!J15="",0,COUNTIF(Kulturen[HF],'Flächen u. Kulturen'!J15)+1)</f>
        <v>2</v>
      </c>
      <c r="DD10" s="247">
        <f>IF('Flächen u. Kulturen'!L15="",0,COUNTIF(Nebenkultur[Nebenkultur],'Flächen u. Kulturen'!L15)+1)</f>
        <v>2</v>
      </c>
      <c r="DE10" s="247">
        <f>IF('Flächen u. Kulturen'!M15="",0,COUNTIF('#Boden'!$G$17:$G$21,'Flächen u. Kulturen'!M15)+1)</f>
        <v>2</v>
      </c>
      <c r="DF10" s="247">
        <f>IF('Flächen u. Kulturen'!N15="",0,COUNTIF('#Boden'!$G$22:$G$24,'Flächen u. Kulturen'!N15)+1)</f>
        <v>2</v>
      </c>
      <c r="DG10" s="247">
        <f>IF('Flächen u. Kulturen'!P15="",0,COUNTIF(Kulturen[HF],'Flächen u. Kulturen'!P15)+1)</f>
        <v>2</v>
      </c>
      <c r="DH10" s="247">
        <f>IF('Flächen u. Kulturen'!T15="",0,COUNTIF('#Boden'!$B$30:$B$32,'Flächen u. Kulturen'!T15)+1)</f>
        <v>2</v>
      </c>
      <c r="DI10" s="247">
        <f>IF('Flächen u. Kulturen'!K15="",0,IF(ISNUMBER('Flächen u. Kulturen'!K15)=TRUE,2,1))</f>
        <v>0</v>
      </c>
      <c r="DJ10" s="247">
        <f>IF('Flächen u. Kulturen'!U15="",0,IF(ISNUMBER('Flächen u. Kulturen'!U15)=TRUE,2,1))</f>
        <v>0</v>
      </c>
      <c r="DK10" s="247">
        <f>IF('Flächen u. Kulturen'!V15="",0,IF(ISNUMBER('Flächen u. Kulturen'!V15)=TRUE,2,1))</f>
        <v>0</v>
      </c>
      <c r="DL10" s="247">
        <f>IF('Flächen u. Kulturen'!W15="",0,IF(ISNUMBER('Flächen u. Kulturen'!W15)=TRUE,2,1))</f>
        <v>0</v>
      </c>
      <c r="DM10" s="247">
        <f t="shared" ref="DM10:DM73" si="31">COUNTIF(CW10:DH10,1)</f>
        <v>0</v>
      </c>
      <c r="DN10" s="247" t="s">
        <v>344</v>
      </c>
      <c r="DO10" s="247">
        <f>IF(U10&lt;&gt;"x","",IF(OR('Flächen u. Kulturen'!B15="",'Flächen u. Kulturen'!C15="",'Flächen u. Kulturen'!D15="",'Flächen u. Kulturen'!D15=0,'Flächen u. Kulturen'!F15="",'Flächen u. Kulturen'!F15='#Boden'!$G$4,'Flächen u. Kulturen'!G15="",'Flächen u. Kulturen'!G15='#Boden'!$B$26,'Flächen u. Kulturen'!H15="",'Flächen u. Kulturen'!H15='#Boden'!$B$23,AND(N10&lt;&gt;2,OR('Flächen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Kulturen'!Q15="",'#BerechnungDBE'!N10&lt;3),AND('Flächen u. Kulturen'!R15="",'#BerechnungDBE'!N10=3),AND(N10=1,AL10&gt;0,'Flächen u. Kulturen'!S15=""),AND(N10=1,OR('Flächen u. Kulturen'!T15="",'Flächen u. Kulturen'!T15='#Boden'!$B$30)),AND('#BerechnungDBE'!AF10=70,OR('Flächen u. Kulturen'!N15="",'Flächen u. Kulturen'!N15='#Boden'!$G$22,'Flächen u. Kulturen'!O15="")),AND('#BerechnungDBE'!AF10=80,OR('Flächen u. Kulturen'!M15="",'Flächen u. Kulturen'!M15='#Boden'!$G$17,'Flächen u. Kulturen'!N15="",'Flächen u. Kulturen'!N15='#Boden'!$G$22))),$DO$4,""))</f>
        <v>1</v>
      </c>
      <c r="DP10" s="247" t="str">
        <f>IF(U10&lt;&gt;"x","",IF(OR(LEFT('Flächen u. Kulturen'!J15,2)=" +",LEFT('Flächen u. Kulturen'!L15,2)=" +",LEFT('Flächen u. Kulturen'!P15,2)=" +"),$DP$4,""))</f>
        <v/>
      </c>
      <c r="DQ10" s="428" t="str">
        <f t="shared" si="12"/>
        <v/>
      </c>
      <c r="DR10" s="938" t="str">
        <f t="shared" si="13"/>
        <v/>
      </c>
      <c r="DS10" s="938" t="str">
        <f>IF('Flächen u. Kulturen'!X15="","",ROW('Flächen u. Kulturen'!X15))</f>
        <v/>
      </c>
    </row>
    <row r="11" spans="1:123" s="875" customFormat="1" x14ac:dyDescent="0.2">
      <c r="A11" s="875" t="str">
        <f>IF('Daten aus 2021'!H13="",'#Boden'!$B$26,IF('Daten aus 2021'!H13='#Boden'!$B$39,IF('Daten aus 2021'!F13='#Boden'!$B$29,'#Boden'!$B$29,IF('Daten aus 2021'!K13='#Boden'!$B$34,'#Boden'!$B$28,'#Boden'!$B$27)),'Daten aus 2021'!F13))</f>
        <v xml:space="preserve"> --</v>
      </c>
      <c r="B11" s="875" t="str">
        <f>IF('Daten aus 2021'!H13='#Boden'!$B$39,IF('Daten aus 2021'!L13='#Boden'!$B$61,'#Boden'!$B$11,'Daten aus 2021'!L13),IF('Daten aus 2021'!P13='#Boden'!$B$58,'#Boden'!$B$11,IF('Daten aus 2021'!P13='#Boden'!$B$57,'#Boden'!$B$10,'#Boden'!$B$9)))</f>
        <v xml:space="preserve"> --         </v>
      </c>
      <c r="C11" s="875" t="str">
        <f>IF('Daten aus 2021'!N13="","",VLOOKUP('Daten aus 2021'!N13,'#Boden'!$B$68:$C$89,2,FALSE))</f>
        <v/>
      </c>
      <c r="D11" s="875" t="str">
        <f>IF('Daten aus 2021'!M13="","",VLOOKUP('Daten aus 2021'!M13,'#Boden'!$D$69:$E$73,2,FALSE))</f>
        <v/>
      </c>
      <c r="E11" s="938" t="str">
        <f>IF(OR(C11='#Boden'!$C$68,C11='#Boden'!$C$70),C11,CONCATENATE(C11,D11))</f>
        <v/>
      </c>
      <c r="F11" s="882" t="str">
        <f>IFERROR(IF('Daten aus 2021'!H13="",'#Frucht'!$D$8,IF('Daten aus 2021'!H13='#Boden'!$B$39,E11,IF('Daten aus 2021'!H13='#Boden'!$B$38,IF(CONCATENATE(" ",'Daten aus 2021'!W13)=$B$2,VLOOKUP($B$3,'#Frucht'!$A$8:$D$372,4,FALSE),VLOOKUP(CONCATENATE(" ",'Daten aus 2021'!W13),'#Frucht'!$A$8:$D$372,4,FALSE)),IF(OR(LEFT('Daten aus 2021'!Q13,5)=" *10 ",LEFT('Daten aus 2021'!Q13,5)=" *11 ",LEFT('Daten aus 2021'!Q13,5)=" *12 ",LEFT('Daten aus 2021'!Q13,5)=" *13 ",LEFT('Daten aus 2021'!Q13,5)=" *14 ",LEFT('Daten aus 2021'!Q13,5)=" *15 "),VLOOKUP(RIGHT('Daten aus 2021'!Q13,LEN('Daten aus 2021'!Q13)-4),'#Frucht'!$A$8:$D$372,4,FALSE),IF(LEFT('Daten aus 2021'!Q13,2)=" *",VLOOKUP(RIGHT('Daten aus 2021'!Q13,LEN('Daten aus 2021'!Q13)-3),'#Frucht'!$A$8:$D$372,4,FALSE),VLOOKUP('Daten aus 2021'!Q13,'#Frucht'!$A$8:$D$372,4,FALSE)))))),'#Frucht'!$D$8)</f>
        <v xml:space="preserve"> --  </v>
      </c>
      <c r="G11" s="127"/>
      <c r="H11" s="31"/>
      <c r="J11" s="938" t="str">
        <f>IF(OR(N11=3,$K$3=0,'Flächen u. Kulturen'!P16=""),"",IF(VLOOKUP('Flächen u. Kulturen'!P16,Kulturen[[HF]:[780]],'#BerechnungDBE'!$K$3,FALSE)=".","",VLOOKUP('Flächen u. Kulturen'!P16,Kulturen[[HF]:[780]],'#BerechnungDBE'!$K$3,FALSE)))</f>
        <v/>
      </c>
      <c r="K11" s="938" t="str">
        <f>IF(OR($K$3=0,'Flächen u. Kulturen'!P16=""),"",IF(N11=3,IF(VLOOKUP('Flächen u. Kulturen'!P16,Kulturen[[HF]:[780]],'#BerechnungDBE'!$K$3,FALSE)=".","",VLOOKUP('Flächen u. Kulturen'!P16,Kulturen[[HF]:[780]],'#BerechnungDBE'!$K$3,FALSE)),""))</f>
        <v/>
      </c>
      <c r="L11" s="367">
        <f>IF('Flächen u. Kulturen'!D16="",0,'Flächen u. Kulturen'!D16)</f>
        <v>0</v>
      </c>
      <c r="M11" s="693">
        <f>IF('Flächen u. Kulturen'!J16="",0,VLOOKUP('Flächen u. Kulturen'!J16,Kulturen[[HF]:[Berechnungsgruppe]],'#Frucht'!$W$1,FALSE))</f>
        <v>1</v>
      </c>
      <c r="N11" s="693">
        <f>IF('Flächen u. Kulturen'!P16="",0,VLOOKUP('Flächen u. Kulturen'!P16,Kulturen[[HF]:[Berechnungsgruppe]],'#Frucht'!$W$1,FALSE))</f>
        <v>1</v>
      </c>
      <c r="O11" s="875">
        <f>IF(N11&lt;&gt;2,N11,IF('Flächen u. Kulturen'!J16='Flächen u. Kulturen'!P16,2,1))</f>
        <v>1</v>
      </c>
      <c r="P11" s="875">
        <f>IF('Flächen u. Kulturen'!F16="",0,VLOOKUP('Flächen u. Kulturen'!F16,'#Boden'!$G$4:$H$8,'#Boden'!$H$1,FALSE))</f>
        <v>1</v>
      </c>
      <c r="Q11" s="875">
        <f>IF('Flächen u. Kulturen'!G16="",0,VLOOKUP('Flächen u. Kulturen'!G16,'#Boden'!$B$26:$C$29,'#Boden'!$C$1,FALSE))</f>
        <v>1</v>
      </c>
      <c r="R11" s="875">
        <f t="shared" si="19"/>
        <v>1</v>
      </c>
      <c r="S11" s="875">
        <f t="shared" si="20"/>
        <v>1</v>
      </c>
      <c r="T11" s="875">
        <f>IF('Flächen u. Kulturen'!H16="",0,VLOOKUP('Flächen u. Kulturen'!H16,'#Boden'!$B$23:$C$25,'#Boden'!$C$1,FALSE))</f>
        <v>2</v>
      </c>
      <c r="U11" s="875" t="str">
        <f>'Flächen u. Kulturen'!E16</f>
        <v>x</v>
      </c>
      <c r="V11" s="938">
        <f>IF('Flächen u. Kulturen'!Q16="",0,_xlfn.NUMBERVALUE('Flächen u. Kulturen'!Q16))</f>
        <v>0</v>
      </c>
      <c r="W11" s="938">
        <f>IF('Flächen u. Kulturen'!R16="",0,_xlfn.NUMBERVALUE('Flächen u. Kulturen'!R16))</f>
        <v>0</v>
      </c>
      <c r="X11" s="875">
        <f>IF('Flächen u. Kulturen'!T16="",0,VLOOKUP('Flächen u. Kulturen'!T16,'#Boden'!$B$30:$C$32,'#Boden'!$C$1,FALSE))</f>
        <v>1</v>
      </c>
      <c r="Y11" s="875">
        <f>IF('Flächen u. Kulturen'!P16="",0,VLOOKUP('Flächen u. Kulturen'!P16,Kulturen[[HF]:[Berechnungsgruppe]],'#Frucht'!$N$1,FALSE))</f>
        <v>0</v>
      </c>
      <c r="Z11" s="875">
        <f t="shared" si="21"/>
        <v>2</v>
      </c>
      <c r="AA11" s="875">
        <f>IF('Flächen u. Kulturen'!P16="",0,VLOOKUP('Flächen u. Kulturen'!P16,Kulturen[[HF]:[Berechnungsgruppe]],'#Frucht'!$V$1,FALSE))</f>
        <v>0</v>
      </c>
      <c r="AB11" s="875">
        <f>IF(N11=1,VLOOKUP('Flächen u. Kulturen'!P16,Kulturen[[HF]:[Ernteprodukt]],'#Frucht'!$I$1,FALSE),4)</f>
        <v>4</v>
      </c>
      <c r="AC11" s="921">
        <f>IF('Flächen u. Kulturen'!J16="",0,VLOOKUP('Flächen u. Kulturen'!J16,Kulturen[[HF]:[Berechnungsgruppe]],'#Frucht'!$G$1,FALSE))</f>
        <v>90</v>
      </c>
      <c r="AD11" s="921">
        <f>IF('Flächen u. Kulturen'!P16="",0,VLOOKUP('Flächen u. Kulturen'!P16,Kulturen[[HF]:[Berechnungsgruppe]],'#Frucht'!$G$1,FALSE))</f>
        <v>90</v>
      </c>
      <c r="AE11" s="938">
        <f>IF('Flächen u. Kulturen'!P16="",0,VLOOKUP('Flächen u. Kulturen'!P16,Kulturen[[HF]:[SollwertMinusNfix]],'#Frucht'!$X$1,FALSE))</f>
        <v>0</v>
      </c>
      <c r="AF11" s="875">
        <f>IF('Flächen u. Kulturen'!L16="",0,VLOOKUP('Flächen u. Kulturen'!L16,Nebenkultur[[Nebenkultur]:[Berechnungsschema]],'#Zweitfr'!$G$1,FALSE))</f>
        <v>0</v>
      </c>
      <c r="AG11" s="875">
        <f>IF('Flächen u. Kulturen'!L16="",0,VLOOKUP('Flächen u. Kulturen'!L16,'#Zweitfr'!$D$8:$Q$27,'#Zweitfr'!$Q$1,FALSE))</f>
        <v>0</v>
      </c>
      <c r="AH11" s="875">
        <f>IF('Flächen u. Kulturen'!M16="",0,VLOOKUP('Flächen u. Kulturen'!M16,'#Boden'!$G$17:$H$21,2,FALSE))</f>
        <v>1</v>
      </c>
      <c r="AI11" s="875">
        <f>IF('Flächen u. Kulturen'!N16="",0,VLOOKUP('Flächen u. Kulturen'!N16,'#Boden'!$G$22:$H$24,'#Boden'!$H$1,FALSE))</f>
        <v>1</v>
      </c>
      <c r="AJ11" s="938">
        <f>IF('Flächen u. Kulturen'!O16="",0,_xlfn.NUMBERVALUE('Flächen u. Kulturen'!O16))</f>
        <v>0</v>
      </c>
      <c r="AK11" s="938">
        <f>IF('Flächen u. Kulturen'!L16="",0,VLOOKUP('Flächen u. Kulturen'!L16,Nebenkultur[[Nebenkultur]:[Legum. Zwischenfr.]],'#Zweitfr'!$P$1,FALSE))</f>
        <v>0</v>
      </c>
      <c r="AL11" s="875">
        <f>IF('Flächen u. Kulturen'!P16="",0,VLOOKUP('Flächen u. Kulturen'!P16,Kulturen[[HF]:[Berechnungsgruppe]],'#Frucht'!$Q$1,FALSE))</f>
        <v>0</v>
      </c>
      <c r="AM11" s="875">
        <f>IF('Flächen u. Kulturen'!P16="",0,VLOOKUP('Flächen u. Kulturen'!P16,Kulturen[[HF]:[Berechnungsgruppe]],'#Frucht'!$M$1,FALSE))</f>
        <v>0</v>
      </c>
      <c r="AN11" s="875">
        <f>IF('Flächen u. Kulturen'!P16="",1,VLOOKUP('Flächen u. Kulturen'!P16,Kulturen[[HF]:[Berechnungsgruppe]],'#Frucht'!$R$1,FALSE))</f>
        <v>10</v>
      </c>
      <c r="AO11" s="875">
        <f>IF('Flächen u. Kulturen'!P16="",0,VLOOKUP('Flächen u. Kulturen'!P16,Kulturen[[HF]:[Berechnungsgruppe]],'#Frucht'!$S$1,FALSE))</f>
        <v>0</v>
      </c>
      <c r="AP11" s="875">
        <f>IF('Flächen u. Kulturen'!P16="",0,VLOOKUP('Flächen u. Kulturen'!P16,Kulturen[[HF]:[Berechnungsgruppe]],'#Frucht'!$T$1,FALSE))</f>
        <v>0</v>
      </c>
      <c r="AQ11" s="938">
        <f t="shared" si="1"/>
        <v>0</v>
      </c>
      <c r="AR11" s="875">
        <f t="shared" si="2"/>
        <v>0</v>
      </c>
      <c r="AS11" s="938">
        <f t="shared" si="3"/>
        <v>0</v>
      </c>
      <c r="AT11" s="875">
        <f>IF(N11=1,'Flächen u. Kulturen'!S16*-1,"--")</f>
        <v>0</v>
      </c>
      <c r="AU11" s="938">
        <f>IF(OR(N11=2,'Flächen u. Kulturen'!I16=""),"--",IF(N11=3,VLOOKUP('Flächen u. Kulturen'!I16,'#Boden'!$B$9:$E$15,'#Boden'!$D$1,FALSE),VLOOKUP('Flächen u. Kulturen'!I16,'#Boden'!$B$9:$E$15,'#Boden'!$E$1,FALSE)))</f>
        <v>0</v>
      </c>
      <c r="AV11" s="938">
        <f>IF(N11=1,IF('Flächen u. Kulturen'!J16="",0,VLOOKUP('Flächen u. Kulturen'!J16,Kulturen[[HF]:[Berechnungsgruppe]],'#Frucht'!$U$1,FALSE)*-1),"--")</f>
        <v>0</v>
      </c>
      <c r="AW11" s="875">
        <f t="shared" si="4"/>
        <v>0</v>
      </c>
      <c r="AX11" s="875">
        <f>IF('Flächen u. Kulturen'!K16="",0,'Flächen u. Kulturen'!K16*-0.1)</f>
        <v>0</v>
      </c>
      <c r="AY11" s="875">
        <f>IF(N11&lt;3,'#orgDung'!AC20*0.1*-1,"--")</f>
        <v>0</v>
      </c>
      <c r="AZ11" s="31" t="str">
        <f>IF(AND('#orgDung'!J20&lt;&gt;2,'#orgDung'!F20=1),('#orgDung'!V20+'#minDung'!O17)*-1,"--")</f>
        <v>--</v>
      </c>
      <c r="BA11" s="875">
        <f t="shared" si="22"/>
        <v>0</v>
      </c>
      <c r="BB11" s="938">
        <f>IF(R11=2,0,'Flächen u. Kulturen'!V16*-1)</f>
        <v>0</v>
      </c>
      <c r="BC11" s="875">
        <f t="shared" si="23"/>
        <v>0</v>
      </c>
      <c r="BD11" s="127">
        <f>'#orgDung'!W20*-1</f>
        <v>0</v>
      </c>
      <c r="BE11" s="910">
        <f>'#orgDung'!AA20*-1</f>
        <v>0</v>
      </c>
      <c r="BF11" s="875">
        <f>'#orgDung'!Z20*-1</f>
        <v>0</v>
      </c>
      <c r="BG11" s="938">
        <f t="shared" si="14"/>
        <v>0</v>
      </c>
      <c r="BH11" s="875">
        <f>'#Kürzungen'!AS35*-1</f>
        <v>0</v>
      </c>
      <c r="BI11" s="875">
        <f t="shared" si="5"/>
        <v>0</v>
      </c>
      <c r="BJ11" s="910">
        <f t="shared" si="6"/>
        <v>0</v>
      </c>
      <c r="BK11" s="875">
        <f>'#minDung'!P17</f>
        <v>0</v>
      </c>
      <c r="BL11" s="938">
        <f t="shared" si="15"/>
        <v>0</v>
      </c>
      <c r="BM11" s="938">
        <f t="shared" si="7"/>
        <v>0</v>
      </c>
      <c r="BN11" s="875">
        <f>IF('Flächen u. Kulturen'!P16="",0,VLOOKUP('Flächen u. Kulturen'!P16,Kulturen[[HF]:[Berechnungsgruppe]],'#Frucht'!$K$1,FALSE))</f>
        <v>0</v>
      </c>
      <c r="BO11" s="875">
        <f>IF('Flächen u. Kulturen'!P16="",0,VLOOKUP('Flächen u. Kulturen'!P16,Kulturen[[HF]:[Berechnungsgruppe]],'#Frucht'!$L$1,FALSE))</f>
        <v>0</v>
      </c>
      <c r="BP11" s="875">
        <f>IF('Flächen u. Kulturen'!L16="",0,VLOOKUP('Flächen u. Kulturen'!L16,Nebenkultur[[Nebenkultur]:[Legum. Zwischenfr.]],'#Zweitfr'!$H$1,FALSE))</f>
        <v>0</v>
      </c>
      <c r="BQ11" s="938">
        <f>IF(N11=3,W11*BO11,IF('Flächen u. Kulturen'!T16='#Boden'!$B$32,V11*BN11,V11*BO11))</f>
        <v>0</v>
      </c>
      <c r="BR11" s="938">
        <f t="shared" si="8"/>
        <v>0</v>
      </c>
      <c r="BS11" s="875">
        <f t="shared" si="24"/>
        <v>0</v>
      </c>
      <c r="BT11" s="875">
        <f>IF('Flächen u. Kulturen'!F16="",0,IF(N11=3,VLOOKUP('Flächen u. Kulturen'!F16,'#Boden'!$G$4:$J$8,'#Boden'!$J$1,FALSE),VLOOKUP('Flächen u. Kulturen'!F16,'#Boden'!$G$4:$J$8,'#Boden'!$I$1,FALSE)))</f>
        <v>0</v>
      </c>
      <c r="BU11" s="41">
        <f t="shared" si="25"/>
        <v>0</v>
      </c>
      <c r="BV11" s="875">
        <f t="shared" si="26"/>
        <v>0</v>
      </c>
      <c r="BW11" s="938" t="str">
        <f t="shared" si="16"/>
        <v/>
      </c>
      <c r="BX11" s="875">
        <f>'#orgDung'!T20*-1</f>
        <v>0</v>
      </c>
      <c r="BY11" s="875">
        <f t="shared" si="17"/>
        <v>0</v>
      </c>
      <c r="BZ11" s="938" t="str">
        <f>IF(U11&lt;&gt;"x",0,IF(P11&lt;4,"",(BW11+BX11-'#minDung'!N17)*-1))</f>
        <v/>
      </c>
      <c r="CB11" s="938">
        <f>IF(AND(AF11=70,U11="x"),'Flächen u. Kulturen'!A16,1000)</f>
        <v>1000</v>
      </c>
      <c r="CC11" s="875" t="str">
        <f>IF(AF11=70,VLOOKUP('Flächen u. Kulturen'!L16,Nebenkultur[[Nebenkultur]:[Legum. Zwischenfr.]],'#Zweitfr'!$I$1,FALSE),"--")</f>
        <v>--</v>
      </c>
      <c r="CD11" s="875" t="str">
        <f>IF(AF11=70,VLOOKUP('Flächen u. Kulturen'!L16,Nebenkultur[[Nebenkultur]:[Legum. Zwischenfr.]],'#Zweitfr'!$L$1,FALSE),"--")</f>
        <v>--</v>
      </c>
      <c r="CE11" s="875" t="str">
        <f>IF(AF11=70,VLOOKUP('Flächen u. Kulturen'!L16,Nebenkultur[[Nebenkultur]:[Legum. Zwischenfr.]],'#Zweitfr'!$M$1,FALSE),"--")</f>
        <v>--</v>
      </c>
      <c r="CF11" s="875" t="str">
        <f>IF(AF11=70,VLOOKUP('Flächen u. Kulturen'!L16,Nebenkultur[[Nebenkultur]:[Legum. Zwischenfr.]],'#Zweitfr'!$N$1,FALSE),"--")</f>
        <v>--</v>
      </c>
      <c r="CG11" s="875" t="str">
        <f>IF(AF11=70,VLOOKUP('Flächen u. Kulturen'!L16,Nebenkultur[[Nebenkultur]:[Legum. Zwischenfr.]],'#Zweitfr'!$O$1,FALSE),"--")</f>
        <v>--</v>
      </c>
      <c r="CH11" s="875" t="str">
        <f t="shared" si="9"/>
        <v>--</v>
      </c>
      <c r="CI11" s="938">
        <f>IF('Flächen u. Kulturen'!L16="",0,VLOOKUP('Flächen u. Kulturen'!L16,Nebenkultur[[Nebenkultur]:[Legum. Zwischenfr.]],'#Zweitfr'!$J$1,FALSE))</f>
        <v>0</v>
      </c>
      <c r="CJ11" s="875">
        <f t="shared" si="10"/>
        <v>0</v>
      </c>
      <c r="CK11" s="890">
        <f t="shared" si="11"/>
        <v>0</v>
      </c>
      <c r="CL11" s="938">
        <f>IF(AND(R11=1,AF11=70),'Flächen u. Kulturen'!W16*-1,0)</f>
        <v>0</v>
      </c>
      <c r="CM11" s="875">
        <f>'#orgDung'!AE20*-1</f>
        <v>0</v>
      </c>
      <c r="CN11" s="875">
        <f t="shared" si="27"/>
        <v>0</v>
      </c>
      <c r="CO11" s="875">
        <f t="shared" si="28"/>
        <v>0</v>
      </c>
      <c r="CP11" s="875">
        <f>'#Kürzungen'!AS136*-1</f>
        <v>0</v>
      </c>
      <c r="CQ11" s="875">
        <f t="shared" si="29"/>
        <v>0</v>
      </c>
      <c r="CR11" s="875">
        <f t="shared" si="30"/>
        <v>0</v>
      </c>
      <c r="CS11" s="875">
        <f>'#minDung'!R17</f>
        <v>0</v>
      </c>
      <c r="CT11" s="938">
        <f t="shared" si="18"/>
        <v>0</v>
      </c>
      <c r="CU11" s="52" t="str">
        <f>'#Kürzungen'!AQ136</f>
        <v xml:space="preserve"> </v>
      </c>
      <c r="CW11" s="247">
        <f>IF('Flächen u. Kulturen'!D16="",0,IF(ISNUMBER('Flächen u. Kulturen'!D16)=TRUE,2,1))</f>
        <v>0</v>
      </c>
      <c r="CX11" s="247">
        <f>IF('Flächen u. Kulturen'!E16="",0,COUNTIF('#Boden'!$B$47,'Flächen u. Kulturen'!E16)+1)</f>
        <v>2</v>
      </c>
      <c r="CY11" s="247">
        <f>IF('Flächen u. Kulturen'!F16="",0,COUNTIF('#Boden'!$G$4:$G$8,'Flächen u. Kulturen'!F16)+1)</f>
        <v>2</v>
      </c>
      <c r="CZ11" s="247">
        <f>IF('Flächen u. Kulturen'!G16="",0,COUNTIF('#Boden'!$B$26:$B$29,'Flächen u. Kulturen'!G16)+1)</f>
        <v>2</v>
      </c>
      <c r="DA11" s="247">
        <f>IF('Flächen u. Kulturen'!H16="",0,COUNTIF('#Boden'!$B$26:$B$29,'Flächen u. Kulturen'!H16)+1)</f>
        <v>2</v>
      </c>
      <c r="DB11" s="247">
        <f>IF('Flächen u. Kulturen'!I16="",0,COUNTIF('#Boden'!$B$9:$B$15,'Flächen u. Kulturen'!I16)+1)</f>
        <v>2</v>
      </c>
      <c r="DC11" s="247">
        <f>IF('Flächen u. Kulturen'!J16="",0,COUNTIF(Kulturen[HF],'Flächen u. Kulturen'!J16)+1)</f>
        <v>2</v>
      </c>
      <c r="DD11" s="247">
        <f>IF('Flächen u. Kulturen'!L16="",0,COUNTIF(Nebenkultur[Nebenkultur],'Flächen u. Kulturen'!L16)+1)</f>
        <v>2</v>
      </c>
      <c r="DE11" s="247">
        <f>IF('Flächen u. Kulturen'!M16="",0,COUNTIF('#Boden'!$G$17:$G$21,'Flächen u. Kulturen'!M16)+1)</f>
        <v>2</v>
      </c>
      <c r="DF11" s="247">
        <f>IF('Flächen u. Kulturen'!N16="",0,COUNTIF('#Boden'!$G$22:$G$24,'Flächen u. Kulturen'!N16)+1)</f>
        <v>2</v>
      </c>
      <c r="DG11" s="247">
        <f>IF('Flächen u. Kulturen'!P16="",0,COUNTIF(Kulturen[HF],'Flächen u. Kulturen'!P16)+1)</f>
        <v>2</v>
      </c>
      <c r="DH11" s="247">
        <f>IF('Flächen u. Kulturen'!T16="",0,COUNTIF('#Boden'!$B$30:$B$32,'Flächen u. Kulturen'!T16)+1)</f>
        <v>2</v>
      </c>
      <c r="DI11" s="247">
        <f>IF('Flächen u. Kulturen'!K16="",0,IF(ISNUMBER('Flächen u. Kulturen'!K16)=TRUE,2,1))</f>
        <v>0</v>
      </c>
      <c r="DJ11" s="247">
        <f>IF('Flächen u. Kulturen'!U16="",0,IF(ISNUMBER('Flächen u. Kulturen'!U16)=TRUE,2,1))</f>
        <v>0</v>
      </c>
      <c r="DK11" s="247">
        <f>IF('Flächen u. Kulturen'!V16="",0,IF(ISNUMBER('Flächen u. Kulturen'!V16)=TRUE,2,1))</f>
        <v>0</v>
      </c>
      <c r="DL11" s="247">
        <f>IF('Flächen u. Kulturen'!W16="",0,IF(ISNUMBER('Flächen u. Kulturen'!W16)=TRUE,2,1))</f>
        <v>0</v>
      </c>
      <c r="DM11" s="247">
        <f t="shared" si="31"/>
        <v>0</v>
      </c>
      <c r="DN11" s="247" t="s">
        <v>344</v>
      </c>
      <c r="DO11" s="247">
        <f>IF(U11&lt;&gt;"x","",IF(OR('Flächen u. Kulturen'!B16="",'Flächen u. Kulturen'!C16="",'Flächen u. Kulturen'!D16="",'Flächen u. Kulturen'!D16=0,'Flächen u. Kulturen'!F16="",'Flächen u. Kulturen'!F16='#Boden'!$G$4,'Flächen u. Kulturen'!G16="",'Flächen u. Kulturen'!G16='#Boden'!$B$26,'Flächen u. Kulturen'!H16="",'Flächen u. Kulturen'!H16='#Boden'!$B$23,AND(N11&lt;&gt;2,OR('Flächen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Kulturen'!Q16="",'#BerechnungDBE'!N11&lt;3),AND('Flächen u. Kulturen'!R16="",'#BerechnungDBE'!N11=3),AND(N11=1,AL11&gt;0,'Flächen u. Kulturen'!S16=""),AND(N11=1,OR('Flächen u. Kulturen'!T16="",'Flächen u. Kulturen'!T16='#Boden'!$B$30)),AND('#BerechnungDBE'!AF11=70,OR('Flächen u. Kulturen'!N16="",'Flächen u. Kulturen'!N16='#Boden'!$G$22,'Flächen u. Kulturen'!O16="")),AND('#BerechnungDBE'!AF11=80,OR('Flächen u. Kulturen'!M16="",'Flächen u. Kulturen'!M16='#Boden'!$G$17,'Flächen u. Kulturen'!N16="",'Flächen u. Kulturen'!N16='#Boden'!$G$22))),$DO$4,""))</f>
        <v>1</v>
      </c>
      <c r="DP11" s="247" t="str">
        <f>IF(U11&lt;&gt;"x","",IF(OR(LEFT('Flächen u. Kulturen'!J16,2)=" +",LEFT('Flächen u. Kulturen'!L16,2)=" +",LEFT('Flächen u. Kulturen'!P16,2)=" +"),$DP$4,""))</f>
        <v/>
      </c>
      <c r="DQ11" s="428" t="str">
        <f t="shared" si="12"/>
        <v/>
      </c>
      <c r="DR11" s="938" t="str">
        <f t="shared" si="13"/>
        <v/>
      </c>
      <c r="DS11" s="938" t="str">
        <f>IF('Flächen u. Kulturen'!X16="","",ROW('Flächen u. Kulturen'!X16))</f>
        <v/>
      </c>
    </row>
    <row r="12" spans="1:123" s="875" customFormat="1" x14ac:dyDescent="0.2">
      <c r="A12" s="875" t="str">
        <f>IF('Daten aus 2021'!H14="",'#Boden'!$B$26,IF('Daten aus 2021'!H14='#Boden'!$B$39,IF('Daten aus 2021'!F14='#Boden'!$B$29,'#Boden'!$B$29,IF('Daten aus 2021'!K14='#Boden'!$B$34,'#Boden'!$B$28,'#Boden'!$B$27)),'Daten aus 2021'!F14))</f>
        <v xml:space="preserve"> --</v>
      </c>
      <c r="B12" s="875" t="str">
        <f>IF('Daten aus 2021'!H14='#Boden'!$B$39,IF('Daten aus 2021'!L14='#Boden'!$B$61,'#Boden'!$B$11,'Daten aus 2021'!L14),IF('Daten aus 2021'!P14='#Boden'!$B$58,'#Boden'!$B$11,IF('Daten aus 2021'!P14='#Boden'!$B$57,'#Boden'!$B$10,'#Boden'!$B$9)))</f>
        <v xml:space="preserve"> --         </v>
      </c>
      <c r="C12" s="875" t="str">
        <f>IF('Daten aus 2021'!N14="","",VLOOKUP('Daten aus 2021'!N14,'#Boden'!$B$68:$C$89,2,FALSE))</f>
        <v/>
      </c>
      <c r="D12" s="875" t="str">
        <f>IF('Daten aus 2021'!M14="","",VLOOKUP('Daten aus 2021'!M14,'#Boden'!$D$69:$E$73,2,FALSE))</f>
        <v/>
      </c>
      <c r="E12" s="938" t="str">
        <f>IF(OR(C12='#Boden'!$C$68,C12='#Boden'!$C$70),C12,CONCATENATE(C12,D12))</f>
        <v/>
      </c>
      <c r="F12" s="882" t="str">
        <f>IFERROR(IF('Daten aus 2021'!H14="",'#Frucht'!$D$8,IF('Daten aus 2021'!H14='#Boden'!$B$39,E12,IF('Daten aus 2021'!H14='#Boden'!$B$38,IF(CONCATENATE(" ",'Daten aus 2021'!W14)=$B$2,VLOOKUP($B$3,'#Frucht'!$A$8:$D$372,4,FALSE),VLOOKUP(CONCATENATE(" ",'Daten aus 2021'!W14),'#Frucht'!$A$8:$D$372,4,FALSE)),IF(OR(LEFT('Daten aus 2021'!Q14,5)=" *10 ",LEFT('Daten aus 2021'!Q14,5)=" *11 ",LEFT('Daten aus 2021'!Q14,5)=" *12 ",LEFT('Daten aus 2021'!Q14,5)=" *13 ",LEFT('Daten aus 2021'!Q14,5)=" *14 ",LEFT('Daten aus 2021'!Q14,5)=" *15 "),VLOOKUP(RIGHT('Daten aus 2021'!Q14,LEN('Daten aus 2021'!Q14)-4),'#Frucht'!$A$8:$D$372,4,FALSE),IF(LEFT('Daten aus 2021'!Q14,2)=" *",VLOOKUP(RIGHT('Daten aus 2021'!Q14,LEN('Daten aus 2021'!Q14)-3),'#Frucht'!$A$8:$D$372,4,FALSE),VLOOKUP('Daten aus 2021'!Q14,'#Frucht'!$A$8:$D$372,4,FALSE)))))),'#Frucht'!$D$8)</f>
        <v xml:space="preserve"> --  </v>
      </c>
      <c r="G12" s="127"/>
      <c r="H12" s="31"/>
      <c r="J12" s="938" t="str">
        <f>IF(OR(N12=3,$K$3=0,'Flächen u. Kulturen'!P17=""),"",IF(VLOOKUP('Flächen u. Kulturen'!P17,Kulturen[[HF]:[780]],'#BerechnungDBE'!$K$3,FALSE)=".","",VLOOKUP('Flächen u. Kulturen'!P17,Kulturen[[HF]:[780]],'#BerechnungDBE'!$K$3,FALSE)))</f>
        <v/>
      </c>
      <c r="K12" s="938" t="str">
        <f>IF(OR($K$3=0,'Flächen u. Kulturen'!P17=""),"",IF(N12=3,IF(VLOOKUP('Flächen u. Kulturen'!P17,Kulturen[[HF]:[780]],'#BerechnungDBE'!$K$3,FALSE)=".","",VLOOKUP('Flächen u. Kulturen'!P17,Kulturen[[HF]:[780]],'#BerechnungDBE'!$K$3,FALSE)),""))</f>
        <v/>
      </c>
      <c r="L12" s="367">
        <f>IF('Flächen u. Kulturen'!D17="",0,'Flächen u. Kulturen'!D17)</f>
        <v>0</v>
      </c>
      <c r="M12" s="693">
        <f>IF('Flächen u. Kulturen'!J17="",0,VLOOKUP('Flächen u. Kulturen'!J17,Kulturen[[HF]:[Berechnungsgruppe]],'#Frucht'!$W$1,FALSE))</f>
        <v>1</v>
      </c>
      <c r="N12" s="693">
        <f>IF('Flächen u. Kulturen'!P17="",0,VLOOKUP('Flächen u. Kulturen'!P17,Kulturen[[HF]:[Berechnungsgruppe]],'#Frucht'!$W$1,FALSE))</f>
        <v>1</v>
      </c>
      <c r="O12" s="875">
        <f>IF(N12&lt;&gt;2,N12,IF('Flächen u. Kulturen'!J17='Flächen u. Kulturen'!P17,2,1))</f>
        <v>1</v>
      </c>
      <c r="P12" s="875">
        <f>IF('Flächen u. Kulturen'!F17="",0,VLOOKUP('Flächen u. Kulturen'!F17,'#Boden'!$G$4:$H$8,'#Boden'!$H$1,FALSE))</f>
        <v>1</v>
      </c>
      <c r="Q12" s="875">
        <f>IF('Flächen u. Kulturen'!G17="",0,VLOOKUP('Flächen u. Kulturen'!G17,'#Boden'!$B$26:$C$29,'#Boden'!$C$1,FALSE))</f>
        <v>1</v>
      </c>
      <c r="R12" s="875">
        <f t="shared" si="19"/>
        <v>1</v>
      </c>
      <c r="S12" s="875">
        <f t="shared" si="20"/>
        <v>1</v>
      </c>
      <c r="T12" s="875">
        <f>IF('Flächen u. Kulturen'!H17="",0,VLOOKUP('Flächen u. Kulturen'!H17,'#Boden'!$B$23:$C$25,'#Boden'!$C$1,FALSE))</f>
        <v>2</v>
      </c>
      <c r="U12" s="875" t="str">
        <f>'Flächen u. Kulturen'!E17</f>
        <v>x</v>
      </c>
      <c r="V12" s="938">
        <f>IF('Flächen u. Kulturen'!Q17="",0,_xlfn.NUMBERVALUE('Flächen u. Kulturen'!Q17))</f>
        <v>0</v>
      </c>
      <c r="W12" s="938">
        <f>IF('Flächen u. Kulturen'!R17="",0,_xlfn.NUMBERVALUE('Flächen u. Kulturen'!R17))</f>
        <v>0</v>
      </c>
      <c r="X12" s="875">
        <f>IF('Flächen u. Kulturen'!T17="",0,VLOOKUP('Flächen u. Kulturen'!T17,'#Boden'!$B$30:$C$32,'#Boden'!$C$1,FALSE))</f>
        <v>1</v>
      </c>
      <c r="Y12" s="875">
        <f>IF('Flächen u. Kulturen'!P17="",0,VLOOKUP('Flächen u. Kulturen'!P17,Kulturen[[HF]:[Berechnungsgruppe]],'#Frucht'!$N$1,FALSE))</f>
        <v>0</v>
      </c>
      <c r="Z12" s="875">
        <f t="shared" si="21"/>
        <v>2</v>
      </c>
      <c r="AA12" s="875">
        <f>IF('Flächen u. Kulturen'!P17="",0,VLOOKUP('Flächen u. Kulturen'!P17,Kulturen[[HF]:[Berechnungsgruppe]],'#Frucht'!$V$1,FALSE))</f>
        <v>0</v>
      </c>
      <c r="AB12" s="875">
        <f>IF(N12=1,VLOOKUP('Flächen u. Kulturen'!P17,Kulturen[[HF]:[Ernteprodukt]],'#Frucht'!$I$1,FALSE),4)</f>
        <v>4</v>
      </c>
      <c r="AC12" s="921">
        <f>IF('Flächen u. Kulturen'!J17="",0,VLOOKUP('Flächen u. Kulturen'!J17,Kulturen[[HF]:[Berechnungsgruppe]],'#Frucht'!$G$1,FALSE))</f>
        <v>90</v>
      </c>
      <c r="AD12" s="921">
        <f>IF('Flächen u. Kulturen'!P17="",0,VLOOKUP('Flächen u. Kulturen'!P17,Kulturen[[HF]:[Berechnungsgruppe]],'#Frucht'!$G$1,FALSE))</f>
        <v>90</v>
      </c>
      <c r="AE12" s="938">
        <f>IF('Flächen u. Kulturen'!P17="",0,VLOOKUP('Flächen u. Kulturen'!P17,Kulturen[[HF]:[SollwertMinusNfix]],'#Frucht'!$X$1,FALSE))</f>
        <v>0</v>
      </c>
      <c r="AF12" s="875">
        <f>IF('Flächen u. Kulturen'!L17="",0,VLOOKUP('Flächen u. Kulturen'!L17,Nebenkultur[[Nebenkultur]:[Berechnungsschema]],'#Zweitfr'!$G$1,FALSE))</f>
        <v>0</v>
      </c>
      <c r="AG12" s="875">
        <f>IF('Flächen u. Kulturen'!L17="",0,VLOOKUP('Flächen u. Kulturen'!L17,'#Zweitfr'!$D$8:$Q$27,'#Zweitfr'!$Q$1,FALSE))</f>
        <v>0</v>
      </c>
      <c r="AH12" s="875">
        <f>IF('Flächen u. Kulturen'!M17="",0,VLOOKUP('Flächen u. Kulturen'!M17,'#Boden'!$G$17:$H$21,2,FALSE))</f>
        <v>1</v>
      </c>
      <c r="AI12" s="875">
        <f>IF('Flächen u. Kulturen'!N17="",0,VLOOKUP('Flächen u. Kulturen'!N17,'#Boden'!$G$22:$H$24,'#Boden'!$H$1,FALSE))</f>
        <v>1</v>
      </c>
      <c r="AJ12" s="938">
        <f>IF('Flächen u. Kulturen'!O17="",0,_xlfn.NUMBERVALUE('Flächen u. Kulturen'!O17))</f>
        <v>0</v>
      </c>
      <c r="AK12" s="938">
        <f>IF('Flächen u. Kulturen'!L17="",0,VLOOKUP('Flächen u. Kulturen'!L17,Nebenkultur[[Nebenkultur]:[Legum. Zwischenfr.]],'#Zweitfr'!$P$1,FALSE))</f>
        <v>0</v>
      </c>
      <c r="AL12" s="875">
        <f>IF('Flächen u. Kulturen'!P17="",0,VLOOKUP('Flächen u. Kulturen'!P17,Kulturen[[HF]:[Berechnungsgruppe]],'#Frucht'!$Q$1,FALSE))</f>
        <v>0</v>
      </c>
      <c r="AM12" s="875">
        <f>IF('Flächen u. Kulturen'!P17="",0,VLOOKUP('Flächen u. Kulturen'!P17,Kulturen[[HF]:[Berechnungsgruppe]],'#Frucht'!$M$1,FALSE))</f>
        <v>0</v>
      </c>
      <c r="AN12" s="875">
        <f>IF('Flächen u. Kulturen'!P17="",1,VLOOKUP('Flächen u. Kulturen'!P17,Kulturen[[HF]:[Berechnungsgruppe]],'#Frucht'!$R$1,FALSE))</f>
        <v>10</v>
      </c>
      <c r="AO12" s="875">
        <f>IF('Flächen u. Kulturen'!P17="",0,VLOOKUP('Flächen u. Kulturen'!P17,Kulturen[[HF]:[Berechnungsgruppe]],'#Frucht'!$S$1,FALSE))</f>
        <v>0</v>
      </c>
      <c r="AP12" s="875">
        <f>IF('Flächen u. Kulturen'!P17="",0,VLOOKUP('Flächen u. Kulturen'!P17,Kulturen[[HF]:[Berechnungsgruppe]],'#Frucht'!$T$1,FALSE))</f>
        <v>0</v>
      </c>
      <c r="AQ12" s="938">
        <f t="shared" si="1"/>
        <v>0</v>
      </c>
      <c r="AR12" s="875">
        <f t="shared" si="2"/>
        <v>0</v>
      </c>
      <c r="AS12" s="938">
        <f t="shared" si="3"/>
        <v>0</v>
      </c>
      <c r="AT12" s="875">
        <f>IF(N12=1,'Flächen u. Kulturen'!S17*-1,"--")</f>
        <v>0</v>
      </c>
      <c r="AU12" s="938">
        <f>IF(OR(N12=2,'Flächen u. Kulturen'!I17=""),"--",IF(N12=3,VLOOKUP('Flächen u. Kulturen'!I17,'#Boden'!$B$9:$E$15,'#Boden'!$D$1,FALSE),VLOOKUP('Flächen u. Kulturen'!I17,'#Boden'!$B$9:$E$15,'#Boden'!$E$1,FALSE)))</f>
        <v>0</v>
      </c>
      <c r="AV12" s="938">
        <f>IF(N12=1,IF('Flächen u. Kulturen'!J17="",0,VLOOKUP('Flächen u. Kulturen'!J17,Kulturen[[HF]:[Berechnungsgruppe]],'#Frucht'!$U$1,FALSE)*-1),"--")</f>
        <v>0</v>
      </c>
      <c r="AW12" s="875">
        <f t="shared" si="4"/>
        <v>0</v>
      </c>
      <c r="AX12" s="875">
        <f>IF('Flächen u. Kulturen'!K17="",0,'Flächen u. Kulturen'!K17*-0.1)</f>
        <v>0</v>
      </c>
      <c r="AY12" s="875">
        <f>IF(N12&lt;3,'#orgDung'!AC21*0.1*-1,"--")</f>
        <v>0</v>
      </c>
      <c r="AZ12" s="31" t="str">
        <f>IF(AND('#orgDung'!J21&lt;&gt;2,'#orgDung'!F21=1),('#orgDung'!V21+'#minDung'!O18)*-1,"--")</f>
        <v>--</v>
      </c>
      <c r="BA12" s="875">
        <f t="shared" si="22"/>
        <v>0</v>
      </c>
      <c r="BB12" s="938">
        <f>IF(R12=2,0,'Flächen u. Kulturen'!V17*-1)</f>
        <v>0</v>
      </c>
      <c r="BC12" s="875">
        <f t="shared" si="23"/>
        <v>0</v>
      </c>
      <c r="BD12" s="127">
        <f>'#orgDung'!W21*-1</f>
        <v>0</v>
      </c>
      <c r="BE12" s="910">
        <f>'#orgDung'!AA21*-1</f>
        <v>0</v>
      </c>
      <c r="BF12" s="875">
        <f>'#orgDung'!Z21*-1</f>
        <v>0</v>
      </c>
      <c r="BG12" s="938">
        <f t="shared" si="14"/>
        <v>0</v>
      </c>
      <c r="BH12" s="875">
        <f>'#Kürzungen'!AS36*-1</f>
        <v>0</v>
      </c>
      <c r="BI12" s="875">
        <f t="shared" si="5"/>
        <v>0</v>
      </c>
      <c r="BJ12" s="910">
        <f t="shared" si="6"/>
        <v>0</v>
      </c>
      <c r="BK12" s="875">
        <f>'#minDung'!P18</f>
        <v>0</v>
      </c>
      <c r="BL12" s="938">
        <f t="shared" si="15"/>
        <v>0</v>
      </c>
      <c r="BM12" s="938">
        <f t="shared" si="7"/>
        <v>0</v>
      </c>
      <c r="BN12" s="875">
        <f>IF('Flächen u. Kulturen'!P17="",0,VLOOKUP('Flächen u. Kulturen'!P17,Kulturen[[HF]:[Berechnungsgruppe]],'#Frucht'!$K$1,FALSE))</f>
        <v>0</v>
      </c>
      <c r="BO12" s="875">
        <f>IF('Flächen u. Kulturen'!P17="",0,VLOOKUP('Flächen u. Kulturen'!P17,Kulturen[[HF]:[Berechnungsgruppe]],'#Frucht'!$L$1,FALSE))</f>
        <v>0</v>
      </c>
      <c r="BP12" s="875">
        <f>IF('Flächen u. Kulturen'!L17="",0,VLOOKUP('Flächen u. Kulturen'!L17,Nebenkultur[[Nebenkultur]:[Legum. Zwischenfr.]],'#Zweitfr'!$H$1,FALSE))</f>
        <v>0</v>
      </c>
      <c r="BQ12" s="938">
        <f>IF(N12=3,W12*BO12,IF('Flächen u. Kulturen'!T17='#Boden'!$B$32,V12*BN12,V12*BO12))</f>
        <v>0</v>
      </c>
      <c r="BR12" s="938">
        <f t="shared" si="8"/>
        <v>0</v>
      </c>
      <c r="BS12" s="875">
        <f t="shared" si="24"/>
        <v>0</v>
      </c>
      <c r="BT12" s="875">
        <f>IF('Flächen u. Kulturen'!F17="",0,IF(N12=3,VLOOKUP('Flächen u. Kulturen'!F17,'#Boden'!$G$4:$J$8,'#Boden'!$J$1,FALSE),VLOOKUP('Flächen u. Kulturen'!F17,'#Boden'!$G$4:$J$8,'#Boden'!$I$1,FALSE)))</f>
        <v>0</v>
      </c>
      <c r="BU12" s="41">
        <f t="shared" si="25"/>
        <v>0</v>
      </c>
      <c r="BV12" s="875">
        <f t="shared" si="26"/>
        <v>0</v>
      </c>
      <c r="BW12" s="938" t="str">
        <f t="shared" si="16"/>
        <v/>
      </c>
      <c r="BX12" s="875">
        <f>'#orgDung'!T21*-1</f>
        <v>0</v>
      </c>
      <c r="BY12" s="875">
        <f t="shared" si="17"/>
        <v>0</v>
      </c>
      <c r="BZ12" s="938" t="str">
        <f>IF(U12&lt;&gt;"x",0,IF(P12&lt;4,"",(BW12+BX12-'#minDung'!N18)*-1))</f>
        <v/>
      </c>
      <c r="CB12" s="938">
        <f>IF(AND(AF12=70,U12="x"),'Flächen u. Kulturen'!A17,1000)</f>
        <v>1000</v>
      </c>
      <c r="CC12" s="875" t="str">
        <f>IF(AF12=70,VLOOKUP('Flächen u. Kulturen'!L17,Nebenkultur[[Nebenkultur]:[Legum. Zwischenfr.]],'#Zweitfr'!$I$1,FALSE),"--")</f>
        <v>--</v>
      </c>
      <c r="CD12" s="875" t="str">
        <f>IF(AF12=70,VLOOKUP('Flächen u. Kulturen'!L17,Nebenkultur[[Nebenkultur]:[Legum. Zwischenfr.]],'#Zweitfr'!$L$1,FALSE),"--")</f>
        <v>--</v>
      </c>
      <c r="CE12" s="875" t="str">
        <f>IF(AF12=70,VLOOKUP('Flächen u. Kulturen'!L17,Nebenkultur[[Nebenkultur]:[Legum. Zwischenfr.]],'#Zweitfr'!$M$1,FALSE),"--")</f>
        <v>--</v>
      </c>
      <c r="CF12" s="875" t="str">
        <f>IF(AF12=70,VLOOKUP('Flächen u. Kulturen'!L17,Nebenkultur[[Nebenkultur]:[Legum. Zwischenfr.]],'#Zweitfr'!$N$1,FALSE),"--")</f>
        <v>--</v>
      </c>
      <c r="CG12" s="875" t="str">
        <f>IF(AF12=70,VLOOKUP('Flächen u. Kulturen'!L17,Nebenkultur[[Nebenkultur]:[Legum. Zwischenfr.]],'#Zweitfr'!$O$1,FALSE),"--")</f>
        <v>--</v>
      </c>
      <c r="CH12" s="875" t="str">
        <f t="shared" si="9"/>
        <v>--</v>
      </c>
      <c r="CI12" s="938">
        <f>IF('Flächen u. Kulturen'!L17="",0,VLOOKUP('Flächen u. Kulturen'!L17,Nebenkultur[[Nebenkultur]:[Legum. Zwischenfr.]],'#Zweitfr'!$J$1,FALSE))</f>
        <v>0</v>
      </c>
      <c r="CJ12" s="875">
        <f t="shared" si="10"/>
        <v>0</v>
      </c>
      <c r="CK12" s="890">
        <f t="shared" si="11"/>
        <v>0</v>
      </c>
      <c r="CL12" s="938">
        <f>IF(AND(R12=1,AF12=70),'Flächen u. Kulturen'!W17*-1,0)</f>
        <v>0</v>
      </c>
      <c r="CM12" s="875">
        <f>'#orgDung'!AE21*-1</f>
        <v>0</v>
      </c>
      <c r="CN12" s="875">
        <f t="shared" si="27"/>
        <v>0</v>
      </c>
      <c r="CO12" s="875">
        <f t="shared" si="28"/>
        <v>0</v>
      </c>
      <c r="CP12" s="875">
        <f>'#Kürzungen'!AS137*-1</f>
        <v>0</v>
      </c>
      <c r="CQ12" s="875">
        <f t="shared" si="29"/>
        <v>0</v>
      </c>
      <c r="CR12" s="875">
        <f t="shared" si="30"/>
        <v>0</v>
      </c>
      <c r="CS12" s="875">
        <f>'#minDung'!R18</f>
        <v>0</v>
      </c>
      <c r="CT12" s="938">
        <f t="shared" si="18"/>
        <v>0</v>
      </c>
      <c r="CU12" s="52" t="str">
        <f>'#Kürzungen'!AQ137</f>
        <v xml:space="preserve"> </v>
      </c>
      <c r="CW12" s="247">
        <f>IF('Flächen u. Kulturen'!D17="",0,IF(ISNUMBER('Flächen u. Kulturen'!D17)=TRUE,2,1))</f>
        <v>0</v>
      </c>
      <c r="CX12" s="247">
        <f>IF('Flächen u. Kulturen'!E17="",0,COUNTIF('#Boden'!$B$47,'Flächen u. Kulturen'!E17)+1)</f>
        <v>2</v>
      </c>
      <c r="CY12" s="247">
        <f>IF('Flächen u. Kulturen'!F17="",0,COUNTIF('#Boden'!$G$4:$G$8,'Flächen u. Kulturen'!F17)+1)</f>
        <v>2</v>
      </c>
      <c r="CZ12" s="247">
        <f>IF('Flächen u. Kulturen'!G17="",0,COUNTIF('#Boden'!$B$26:$B$29,'Flächen u. Kulturen'!G17)+1)</f>
        <v>2</v>
      </c>
      <c r="DA12" s="247">
        <f>IF('Flächen u. Kulturen'!H17="",0,COUNTIF('#Boden'!$B$26:$B$29,'Flächen u. Kulturen'!H17)+1)</f>
        <v>2</v>
      </c>
      <c r="DB12" s="247">
        <f>IF('Flächen u. Kulturen'!I17="",0,COUNTIF('#Boden'!$B$9:$B$15,'Flächen u. Kulturen'!I17)+1)</f>
        <v>2</v>
      </c>
      <c r="DC12" s="247">
        <f>IF('Flächen u. Kulturen'!J17="",0,COUNTIF(Kulturen[HF],'Flächen u. Kulturen'!J17)+1)</f>
        <v>2</v>
      </c>
      <c r="DD12" s="247">
        <f>IF('Flächen u. Kulturen'!L17="",0,COUNTIF(Nebenkultur[Nebenkultur],'Flächen u. Kulturen'!L17)+1)</f>
        <v>2</v>
      </c>
      <c r="DE12" s="247">
        <f>IF('Flächen u. Kulturen'!M17="",0,COUNTIF('#Boden'!$G$17:$G$21,'Flächen u. Kulturen'!M17)+1)</f>
        <v>2</v>
      </c>
      <c r="DF12" s="247">
        <f>IF('Flächen u. Kulturen'!N17="",0,COUNTIF('#Boden'!$G$22:$G$24,'Flächen u. Kulturen'!N17)+1)</f>
        <v>2</v>
      </c>
      <c r="DG12" s="247">
        <f>IF('Flächen u. Kulturen'!P17="",0,COUNTIF(Kulturen[HF],'Flächen u. Kulturen'!P17)+1)</f>
        <v>2</v>
      </c>
      <c r="DH12" s="247">
        <f>IF('Flächen u. Kulturen'!T17="",0,COUNTIF('#Boden'!$B$30:$B$32,'Flächen u. Kulturen'!T17)+1)</f>
        <v>2</v>
      </c>
      <c r="DI12" s="247">
        <f>IF('Flächen u. Kulturen'!K17="",0,IF(ISNUMBER('Flächen u. Kulturen'!K17)=TRUE,2,1))</f>
        <v>0</v>
      </c>
      <c r="DJ12" s="247">
        <f>IF('Flächen u. Kulturen'!U17="",0,IF(ISNUMBER('Flächen u. Kulturen'!U17)=TRUE,2,1))</f>
        <v>0</v>
      </c>
      <c r="DK12" s="247">
        <f>IF('Flächen u. Kulturen'!V17="",0,IF(ISNUMBER('Flächen u. Kulturen'!V17)=TRUE,2,1))</f>
        <v>0</v>
      </c>
      <c r="DL12" s="247">
        <f>IF('Flächen u. Kulturen'!W17="",0,IF(ISNUMBER('Flächen u. Kulturen'!W17)=TRUE,2,1))</f>
        <v>0</v>
      </c>
      <c r="DM12" s="247">
        <f t="shared" si="31"/>
        <v>0</v>
      </c>
      <c r="DN12" s="247" t="s">
        <v>344</v>
      </c>
      <c r="DO12" s="247">
        <f>IF(U12&lt;&gt;"x","",IF(OR('Flächen u. Kulturen'!B17="",'Flächen u. Kulturen'!C17="",'Flächen u. Kulturen'!D17="",'Flächen u. Kulturen'!D17=0,'Flächen u. Kulturen'!F17="",'Flächen u. Kulturen'!F17='#Boden'!$G$4,'Flächen u. Kulturen'!G17="",'Flächen u. Kulturen'!G17='#Boden'!$B$26,'Flächen u. Kulturen'!H17="",'Flächen u. Kulturen'!H17='#Boden'!$B$23,AND(N12&lt;&gt;2,OR('Flächen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Kulturen'!Q17="",'#BerechnungDBE'!N12&lt;3),AND('Flächen u. Kulturen'!R17="",'#BerechnungDBE'!N12=3),AND(N12=1,AL12&gt;0,'Flächen u. Kulturen'!S17=""),AND(N12=1,OR('Flächen u. Kulturen'!T17="",'Flächen u. Kulturen'!T17='#Boden'!$B$30)),AND('#BerechnungDBE'!AF12=70,OR('Flächen u. Kulturen'!N17="",'Flächen u. Kulturen'!N17='#Boden'!$G$22,'Flächen u. Kulturen'!O17="")),AND('#BerechnungDBE'!AF12=80,OR('Flächen u. Kulturen'!M17="",'Flächen u. Kulturen'!M17='#Boden'!$G$17,'Flächen u. Kulturen'!N17="",'Flächen u. Kulturen'!N17='#Boden'!$G$22))),$DO$4,""))</f>
        <v>1</v>
      </c>
      <c r="DP12" s="247" t="str">
        <f>IF(U12&lt;&gt;"x","",IF(OR(LEFT('Flächen u. Kulturen'!J17,2)=" +",LEFT('Flächen u. Kulturen'!L17,2)=" +",LEFT('Flächen u. Kulturen'!P17,2)=" +"),$DP$4,""))</f>
        <v/>
      </c>
      <c r="DQ12" s="428" t="str">
        <f t="shared" si="12"/>
        <v/>
      </c>
      <c r="DR12" s="938" t="str">
        <f t="shared" si="13"/>
        <v/>
      </c>
      <c r="DS12" s="938" t="str">
        <f>IF('Flächen u. Kulturen'!X17="","",ROW('Flächen u. Kulturen'!X17))</f>
        <v/>
      </c>
    </row>
    <row r="13" spans="1:123" s="875" customFormat="1" x14ac:dyDescent="0.2">
      <c r="A13" s="875" t="str">
        <f>IF('Daten aus 2021'!H15="",'#Boden'!$B$26,IF('Daten aus 2021'!H15='#Boden'!$B$39,IF('Daten aus 2021'!F15='#Boden'!$B$29,'#Boden'!$B$29,IF('Daten aus 2021'!K15='#Boden'!$B$34,'#Boden'!$B$28,'#Boden'!$B$27)),'Daten aus 2021'!F15))</f>
        <v xml:space="preserve"> --</v>
      </c>
      <c r="B13" s="875" t="str">
        <f>IF('Daten aus 2021'!H15='#Boden'!$B$39,IF('Daten aus 2021'!L15='#Boden'!$B$61,'#Boden'!$B$11,'Daten aus 2021'!L15),IF('Daten aus 2021'!P15='#Boden'!$B$58,'#Boden'!$B$11,IF('Daten aus 2021'!P15='#Boden'!$B$57,'#Boden'!$B$10,'#Boden'!$B$9)))</f>
        <v xml:space="preserve"> --         </v>
      </c>
      <c r="C13" s="875" t="str">
        <f>IF('Daten aus 2021'!N15="","",VLOOKUP('Daten aus 2021'!N15,'#Boden'!$B$68:$C$89,2,FALSE))</f>
        <v/>
      </c>
      <c r="D13" s="875" t="str">
        <f>IF('Daten aus 2021'!M15="","",VLOOKUP('Daten aus 2021'!M15,'#Boden'!$D$69:$E$73,2,FALSE))</f>
        <v/>
      </c>
      <c r="E13" s="938" t="str">
        <f>IF(OR(C13='#Boden'!$C$68,C13='#Boden'!$C$70),C13,CONCATENATE(C13,D13))</f>
        <v/>
      </c>
      <c r="F13" s="882" t="str">
        <f>IFERROR(IF('Daten aus 2021'!H15="",'#Frucht'!$D$8,IF('Daten aus 2021'!H15='#Boden'!$B$39,E13,IF('Daten aus 2021'!H15='#Boden'!$B$38,IF(CONCATENATE(" ",'Daten aus 2021'!W15)=$B$2,VLOOKUP($B$3,'#Frucht'!$A$8:$D$372,4,FALSE),VLOOKUP(CONCATENATE(" ",'Daten aus 2021'!W15),'#Frucht'!$A$8:$D$372,4,FALSE)),IF(OR(LEFT('Daten aus 2021'!Q15,5)=" *10 ",LEFT('Daten aus 2021'!Q15,5)=" *11 ",LEFT('Daten aus 2021'!Q15,5)=" *12 ",LEFT('Daten aus 2021'!Q15,5)=" *13 ",LEFT('Daten aus 2021'!Q15,5)=" *14 ",LEFT('Daten aus 2021'!Q15,5)=" *15 "),VLOOKUP(RIGHT('Daten aus 2021'!Q15,LEN('Daten aus 2021'!Q15)-4),'#Frucht'!$A$8:$D$372,4,FALSE),IF(LEFT('Daten aus 2021'!Q15,2)=" *",VLOOKUP(RIGHT('Daten aus 2021'!Q15,LEN('Daten aus 2021'!Q15)-3),'#Frucht'!$A$8:$D$372,4,FALSE),VLOOKUP('Daten aus 2021'!Q15,'#Frucht'!$A$8:$D$372,4,FALSE)))))),'#Frucht'!$D$8)</f>
        <v xml:space="preserve"> --  </v>
      </c>
      <c r="G13" s="127"/>
      <c r="H13" s="31"/>
      <c r="J13" s="938" t="str">
        <f>IF(OR(N13=3,$K$3=0,'Flächen u. Kulturen'!P18=""),"",IF(VLOOKUP('Flächen u. Kulturen'!P18,Kulturen[[HF]:[780]],'#BerechnungDBE'!$K$3,FALSE)=".","",VLOOKUP('Flächen u. Kulturen'!P18,Kulturen[[HF]:[780]],'#BerechnungDBE'!$K$3,FALSE)))</f>
        <v/>
      </c>
      <c r="K13" s="938" t="str">
        <f>IF(OR($K$3=0,'Flächen u. Kulturen'!P18=""),"",IF(N13=3,IF(VLOOKUP('Flächen u. Kulturen'!P18,Kulturen[[HF]:[780]],'#BerechnungDBE'!$K$3,FALSE)=".","",VLOOKUP('Flächen u. Kulturen'!P18,Kulturen[[HF]:[780]],'#BerechnungDBE'!$K$3,FALSE)),""))</f>
        <v/>
      </c>
      <c r="L13" s="367">
        <f>IF('Flächen u. Kulturen'!D18="",0,'Flächen u. Kulturen'!D18)</f>
        <v>0</v>
      </c>
      <c r="M13" s="693">
        <f>IF('Flächen u. Kulturen'!J18="",0,VLOOKUP('Flächen u. Kulturen'!J18,Kulturen[[HF]:[Berechnungsgruppe]],'#Frucht'!$W$1,FALSE))</f>
        <v>1</v>
      </c>
      <c r="N13" s="693">
        <f>IF('Flächen u. Kulturen'!P18="",0,VLOOKUP('Flächen u. Kulturen'!P18,Kulturen[[HF]:[Berechnungsgruppe]],'#Frucht'!$W$1,FALSE))</f>
        <v>1</v>
      </c>
      <c r="O13" s="875">
        <f>IF(N13&lt;&gt;2,N13,IF('Flächen u. Kulturen'!J18='Flächen u. Kulturen'!P18,2,1))</f>
        <v>1</v>
      </c>
      <c r="P13" s="875">
        <f>IF('Flächen u. Kulturen'!F18="",0,VLOOKUP('Flächen u. Kulturen'!F18,'#Boden'!$G$4:$H$8,'#Boden'!$H$1,FALSE))</f>
        <v>1</v>
      </c>
      <c r="Q13" s="875">
        <f>IF('Flächen u. Kulturen'!G18="",0,VLOOKUP('Flächen u. Kulturen'!G18,'#Boden'!$B$26:$C$29,'#Boden'!$C$1,FALSE))</f>
        <v>1</v>
      </c>
      <c r="R13" s="875">
        <f t="shared" si="19"/>
        <v>1</v>
      </c>
      <c r="S13" s="875">
        <f t="shared" si="20"/>
        <v>1</v>
      </c>
      <c r="T13" s="875">
        <f>IF('Flächen u. Kulturen'!H18="",0,VLOOKUP('Flächen u. Kulturen'!H18,'#Boden'!$B$23:$C$25,'#Boden'!$C$1,FALSE))</f>
        <v>2</v>
      </c>
      <c r="U13" s="875" t="str">
        <f>'Flächen u. Kulturen'!E18</f>
        <v>x</v>
      </c>
      <c r="V13" s="938">
        <f>IF('Flächen u. Kulturen'!Q18="",0,_xlfn.NUMBERVALUE('Flächen u. Kulturen'!Q18))</f>
        <v>0</v>
      </c>
      <c r="W13" s="938">
        <f>IF('Flächen u. Kulturen'!R18="",0,_xlfn.NUMBERVALUE('Flächen u. Kulturen'!R18))</f>
        <v>0</v>
      </c>
      <c r="X13" s="875">
        <f>IF('Flächen u. Kulturen'!T18="",0,VLOOKUP('Flächen u. Kulturen'!T18,'#Boden'!$B$30:$C$32,'#Boden'!$C$1,FALSE))</f>
        <v>1</v>
      </c>
      <c r="Y13" s="875">
        <f>IF('Flächen u. Kulturen'!P18="",0,VLOOKUP('Flächen u. Kulturen'!P18,Kulturen[[HF]:[Berechnungsgruppe]],'#Frucht'!$N$1,FALSE))</f>
        <v>0</v>
      </c>
      <c r="Z13" s="875">
        <f t="shared" si="21"/>
        <v>2</v>
      </c>
      <c r="AA13" s="875">
        <f>IF('Flächen u. Kulturen'!P18="",0,VLOOKUP('Flächen u. Kulturen'!P18,Kulturen[[HF]:[Berechnungsgruppe]],'#Frucht'!$V$1,FALSE))</f>
        <v>0</v>
      </c>
      <c r="AB13" s="875">
        <f>IF(N13=1,VLOOKUP('Flächen u. Kulturen'!P18,Kulturen[[HF]:[Ernteprodukt]],'#Frucht'!$I$1,FALSE),4)</f>
        <v>4</v>
      </c>
      <c r="AC13" s="921">
        <f>IF('Flächen u. Kulturen'!J18="",0,VLOOKUP('Flächen u. Kulturen'!J18,Kulturen[[HF]:[Berechnungsgruppe]],'#Frucht'!$G$1,FALSE))</f>
        <v>90</v>
      </c>
      <c r="AD13" s="921">
        <f>IF('Flächen u. Kulturen'!P18="",0,VLOOKUP('Flächen u. Kulturen'!P18,Kulturen[[HF]:[Berechnungsgruppe]],'#Frucht'!$G$1,FALSE))</f>
        <v>90</v>
      </c>
      <c r="AE13" s="938">
        <f>IF('Flächen u. Kulturen'!P18="",0,VLOOKUP('Flächen u. Kulturen'!P18,Kulturen[[HF]:[SollwertMinusNfix]],'#Frucht'!$X$1,FALSE))</f>
        <v>0</v>
      </c>
      <c r="AF13" s="875">
        <f>IF('Flächen u. Kulturen'!L18="",0,VLOOKUP('Flächen u. Kulturen'!L18,Nebenkultur[[Nebenkultur]:[Berechnungsschema]],'#Zweitfr'!$G$1,FALSE))</f>
        <v>0</v>
      </c>
      <c r="AG13" s="875">
        <f>IF('Flächen u. Kulturen'!L18="",0,VLOOKUP('Flächen u. Kulturen'!L18,'#Zweitfr'!$D$8:$Q$27,'#Zweitfr'!$Q$1,FALSE))</f>
        <v>0</v>
      </c>
      <c r="AH13" s="875">
        <f>IF('Flächen u. Kulturen'!M18="",0,VLOOKUP('Flächen u. Kulturen'!M18,'#Boden'!$G$17:$H$21,2,FALSE))</f>
        <v>1</v>
      </c>
      <c r="AI13" s="875">
        <f>IF('Flächen u. Kulturen'!N18="",0,VLOOKUP('Flächen u. Kulturen'!N18,'#Boden'!$G$22:$H$24,'#Boden'!$H$1,FALSE))</f>
        <v>1</v>
      </c>
      <c r="AJ13" s="938">
        <f>IF('Flächen u. Kulturen'!O18="",0,_xlfn.NUMBERVALUE('Flächen u. Kulturen'!O18))</f>
        <v>0</v>
      </c>
      <c r="AK13" s="938">
        <f>IF('Flächen u. Kulturen'!L18="",0,VLOOKUP('Flächen u. Kulturen'!L18,Nebenkultur[[Nebenkultur]:[Legum. Zwischenfr.]],'#Zweitfr'!$P$1,FALSE))</f>
        <v>0</v>
      </c>
      <c r="AL13" s="875">
        <f>IF('Flächen u. Kulturen'!P18="",0,VLOOKUP('Flächen u. Kulturen'!P18,Kulturen[[HF]:[Berechnungsgruppe]],'#Frucht'!$Q$1,FALSE))</f>
        <v>0</v>
      </c>
      <c r="AM13" s="875">
        <f>IF('Flächen u. Kulturen'!P18="",0,VLOOKUP('Flächen u. Kulturen'!P18,Kulturen[[HF]:[Berechnungsgruppe]],'#Frucht'!$M$1,FALSE))</f>
        <v>0</v>
      </c>
      <c r="AN13" s="875">
        <f>IF('Flächen u. Kulturen'!P18="",1,VLOOKUP('Flächen u. Kulturen'!P18,Kulturen[[HF]:[Berechnungsgruppe]],'#Frucht'!$R$1,FALSE))</f>
        <v>10</v>
      </c>
      <c r="AO13" s="875">
        <f>IF('Flächen u. Kulturen'!P18="",0,VLOOKUP('Flächen u. Kulturen'!P18,Kulturen[[HF]:[Berechnungsgruppe]],'#Frucht'!$S$1,FALSE))</f>
        <v>0</v>
      </c>
      <c r="AP13" s="875">
        <f>IF('Flächen u. Kulturen'!P18="",0,VLOOKUP('Flächen u. Kulturen'!P18,Kulturen[[HF]:[Berechnungsgruppe]],'#Frucht'!$T$1,FALSE))</f>
        <v>0</v>
      </c>
      <c r="AQ13" s="938">
        <f t="shared" si="1"/>
        <v>0</v>
      </c>
      <c r="AR13" s="875">
        <f t="shared" si="2"/>
        <v>0</v>
      </c>
      <c r="AS13" s="938">
        <f t="shared" si="3"/>
        <v>0</v>
      </c>
      <c r="AT13" s="875">
        <f>IF(N13=1,'Flächen u. Kulturen'!S18*-1,"--")</f>
        <v>0</v>
      </c>
      <c r="AU13" s="938">
        <f>IF(OR(N13=2,'Flächen u. Kulturen'!I18=""),"--",IF(N13=3,VLOOKUP('Flächen u. Kulturen'!I18,'#Boden'!$B$9:$E$15,'#Boden'!$D$1,FALSE),VLOOKUP('Flächen u. Kulturen'!I18,'#Boden'!$B$9:$E$15,'#Boden'!$E$1,FALSE)))</f>
        <v>0</v>
      </c>
      <c r="AV13" s="938">
        <f>IF(N13=1,IF('Flächen u. Kulturen'!J18="",0,VLOOKUP('Flächen u. Kulturen'!J18,Kulturen[[HF]:[Berechnungsgruppe]],'#Frucht'!$U$1,FALSE)*-1),"--")</f>
        <v>0</v>
      </c>
      <c r="AW13" s="875">
        <f t="shared" si="4"/>
        <v>0</v>
      </c>
      <c r="AX13" s="875">
        <f>IF('Flächen u. Kulturen'!K18="",0,'Flächen u. Kulturen'!K18*-0.1)</f>
        <v>0</v>
      </c>
      <c r="AY13" s="875">
        <f>IF(N13&lt;3,'#orgDung'!AC22*0.1*-1,"--")</f>
        <v>0</v>
      </c>
      <c r="AZ13" s="31" t="str">
        <f>IF(AND('#orgDung'!J22&lt;&gt;2,'#orgDung'!F22=1),('#orgDung'!V22+'#minDung'!O19)*-1,"--")</f>
        <v>--</v>
      </c>
      <c r="BA13" s="875">
        <f t="shared" si="22"/>
        <v>0</v>
      </c>
      <c r="BB13" s="938">
        <f>IF(R13=2,0,'Flächen u. Kulturen'!V18*-1)</f>
        <v>0</v>
      </c>
      <c r="BC13" s="875">
        <f t="shared" si="23"/>
        <v>0</v>
      </c>
      <c r="BD13" s="127">
        <f>'#orgDung'!W22*-1</f>
        <v>0</v>
      </c>
      <c r="BE13" s="910">
        <f>'#orgDung'!AA22*-1</f>
        <v>0</v>
      </c>
      <c r="BF13" s="875">
        <f>'#orgDung'!Z22*-1</f>
        <v>0</v>
      </c>
      <c r="BG13" s="938">
        <f t="shared" si="14"/>
        <v>0</v>
      </c>
      <c r="BH13" s="875">
        <f>'#Kürzungen'!AS37*-1</f>
        <v>0</v>
      </c>
      <c r="BI13" s="875">
        <f t="shared" si="5"/>
        <v>0</v>
      </c>
      <c r="BJ13" s="910">
        <f t="shared" si="6"/>
        <v>0</v>
      </c>
      <c r="BK13" s="875">
        <f>'#minDung'!P19</f>
        <v>0</v>
      </c>
      <c r="BL13" s="938">
        <f t="shared" si="15"/>
        <v>0</v>
      </c>
      <c r="BM13" s="938">
        <f t="shared" si="7"/>
        <v>0</v>
      </c>
      <c r="BN13" s="875">
        <f>IF('Flächen u. Kulturen'!P18="",0,VLOOKUP('Flächen u. Kulturen'!P18,Kulturen[[HF]:[Berechnungsgruppe]],'#Frucht'!$K$1,FALSE))</f>
        <v>0</v>
      </c>
      <c r="BO13" s="875">
        <f>IF('Flächen u. Kulturen'!P18="",0,VLOOKUP('Flächen u. Kulturen'!P18,Kulturen[[HF]:[Berechnungsgruppe]],'#Frucht'!$L$1,FALSE))</f>
        <v>0</v>
      </c>
      <c r="BP13" s="875">
        <f>IF('Flächen u. Kulturen'!L18="",0,VLOOKUP('Flächen u. Kulturen'!L18,Nebenkultur[[Nebenkultur]:[Legum. Zwischenfr.]],'#Zweitfr'!$H$1,FALSE))</f>
        <v>0</v>
      </c>
      <c r="BQ13" s="938">
        <f>IF(N13=3,W13*BO13,IF('Flächen u. Kulturen'!T18='#Boden'!$B$32,V13*BN13,V13*BO13))</f>
        <v>0</v>
      </c>
      <c r="BR13" s="938">
        <f t="shared" si="8"/>
        <v>0</v>
      </c>
      <c r="BS13" s="875">
        <f t="shared" si="24"/>
        <v>0</v>
      </c>
      <c r="BT13" s="875">
        <f>IF('Flächen u. Kulturen'!F18="",0,IF(N13=3,VLOOKUP('Flächen u. Kulturen'!F18,'#Boden'!$G$4:$J$8,'#Boden'!$J$1,FALSE),VLOOKUP('Flächen u. Kulturen'!F18,'#Boden'!$G$4:$J$8,'#Boden'!$I$1,FALSE)))</f>
        <v>0</v>
      </c>
      <c r="BU13" s="41">
        <f t="shared" si="25"/>
        <v>0</v>
      </c>
      <c r="BV13" s="875">
        <f t="shared" si="26"/>
        <v>0</v>
      </c>
      <c r="BW13" s="938" t="str">
        <f t="shared" si="16"/>
        <v/>
      </c>
      <c r="BX13" s="875">
        <f>'#orgDung'!T22*-1</f>
        <v>0</v>
      </c>
      <c r="BY13" s="875">
        <f t="shared" si="17"/>
        <v>0</v>
      </c>
      <c r="BZ13" s="938" t="str">
        <f>IF(U13&lt;&gt;"x",0,IF(P13&lt;4,"",(BW13+BX13-'#minDung'!N19)*-1))</f>
        <v/>
      </c>
      <c r="CB13" s="938">
        <f>IF(AND(AF13=70,U13="x"),'Flächen u. Kulturen'!A18,1000)</f>
        <v>1000</v>
      </c>
      <c r="CC13" s="875" t="str">
        <f>IF(AF13=70,VLOOKUP('Flächen u. Kulturen'!L18,Nebenkultur[[Nebenkultur]:[Legum. Zwischenfr.]],'#Zweitfr'!$I$1,FALSE),"--")</f>
        <v>--</v>
      </c>
      <c r="CD13" s="875" t="str">
        <f>IF(AF13=70,VLOOKUP('Flächen u. Kulturen'!L18,Nebenkultur[[Nebenkultur]:[Legum. Zwischenfr.]],'#Zweitfr'!$L$1,FALSE),"--")</f>
        <v>--</v>
      </c>
      <c r="CE13" s="875" t="str">
        <f>IF(AF13=70,VLOOKUP('Flächen u. Kulturen'!L18,Nebenkultur[[Nebenkultur]:[Legum. Zwischenfr.]],'#Zweitfr'!$M$1,FALSE),"--")</f>
        <v>--</v>
      </c>
      <c r="CF13" s="875" t="str">
        <f>IF(AF13=70,VLOOKUP('Flächen u. Kulturen'!L18,Nebenkultur[[Nebenkultur]:[Legum. Zwischenfr.]],'#Zweitfr'!$N$1,FALSE),"--")</f>
        <v>--</v>
      </c>
      <c r="CG13" s="875" t="str">
        <f>IF(AF13=70,VLOOKUP('Flächen u. Kulturen'!L18,Nebenkultur[[Nebenkultur]:[Legum. Zwischenfr.]],'#Zweitfr'!$O$1,FALSE),"--")</f>
        <v>--</v>
      </c>
      <c r="CH13" s="875" t="str">
        <f t="shared" si="9"/>
        <v>--</v>
      </c>
      <c r="CI13" s="938">
        <f>IF('Flächen u. Kulturen'!L18="",0,VLOOKUP('Flächen u. Kulturen'!L18,Nebenkultur[[Nebenkultur]:[Legum. Zwischenfr.]],'#Zweitfr'!$J$1,FALSE))</f>
        <v>0</v>
      </c>
      <c r="CJ13" s="875">
        <f t="shared" si="10"/>
        <v>0</v>
      </c>
      <c r="CK13" s="890">
        <f t="shared" si="11"/>
        <v>0</v>
      </c>
      <c r="CL13" s="938">
        <f>IF(AND(R13=1,AF13=70),'Flächen u. Kulturen'!W18*-1,0)</f>
        <v>0</v>
      </c>
      <c r="CM13" s="875">
        <f>'#orgDung'!AE22*-1</f>
        <v>0</v>
      </c>
      <c r="CN13" s="875">
        <f t="shared" si="27"/>
        <v>0</v>
      </c>
      <c r="CO13" s="875">
        <f t="shared" si="28"/>
        <v>0</v>
      </c>
      <c r="CP13" s="875">
        <f>'#Kürzungen'!AS138*-1</f>
        <v>0</v>
      </c>
      <c r="CQ13" s="875">
        <f t="shared" si="29"/>
        <v>0</v>
      </c>
      <c r="CR13" s="875">
        <f t="shared" si="30"/>
        <v>0</v>
      </c>
      <c r="CS13" s="875">
        <f>'#minDung'!R19</f>
        <v>0</v>
      </c>
      <c r="CT13" s="938">
        <f t="shared" si="18"/>
        <v>0</v>
      </c>
      <c r="CU13" s="52" t="str">
        <f>'#Kürzungen'!AQ138</f>
        <v xml:space="preserve"> </v>
      </c>
      <c r="CW13" s="247">
        <f>IF('Flächen u. Kulturen'!D18="",0,IF(ISNUMBER('Flächen u. Kulturen'!D18)=TRUE,2,1))</f>
        <v>0</v>
      </c>
      <c r="CX13" s="247">
        <f>IF('Flächen u. Kulturen'!E18="",0,COUNTIF('#Boden'!$B$47,'Flächen u. Kulturen'!E18)+1)</f>
        <v>2</v>
      </c>
      <c r="CY13" s="247">
        <f>IF('Flächen u. Kulturen'!F18="",0,COUNTIF('#Boden'!$G$4:$G$8,'Flächen u. Kulturen'!F18)+1)</f>
        <v>2</v>
      </c>
      <c r="CZ13" s="247">
        <f>IF('Flächen u. Kulturen'!G18="",0,COUNTIF('#Boden'!$B$26:$B$29,'Flächen u. Kulturen'!G18)+1)</f>
        <v>2</v>
      </c>
      <c r="DA13" s="247">
        <f>IF('Flächen u. Kulturen'!H18="",0,COUNTIF('#Boden'!$B$26:$B$29,'Flächen u. Kulturen'!H18)+1)</f>
        <v>2</v>
      </c>
      <c r="DB13" s="247">
        <f>IF('Flächen u. Kulturen'!I18="",0,COUNTIF('#Boden'!$B$9:$B$15,'Flächen u. Kulturen'!I18)+1)</f>
        <v>2</v>
      </c>
      <c r="DC13" s="247">
        <f>IF('Flächen u. Kulturen'!J18="",0,COUNTIF(Kulturen[HF],'Flächen u. Kulturen'!J18)+1)</f>
        <v>2</v>
      </c>
      <c r="DD13" s="247">
        <f>IF('Flächen u. Kulturen'!L18="",0,COUNTIF(Nebenkultur[Nebenkultur],'Flächen u. Kulturen'!L18)+1)</f>
        <v>2</v>
      </c>
      <c r="DE13" s="247">
        <f>IF('Flächen u. Kulturen'!M18="",0,COUNTIF('#Boden'!$G$17:$G$21,'Flächen u. Kulturen'!M18)+1)</f>
        <v>2</v>
      </c>
      <c r="DF13" s="247">
        <f>IF('Flächen u. Kulturen'!N18="",0,COUNTIF('#Boden'!$G$22:$G$24,'Flächen u. Kulturen'!N18)+1)</f>
        <v>2</v>
      </c>
      <c r="DG13" s="247">
        <f>IF('Flächen u. Kulturen'!P18="",0,COUNTIF(Kulturen[HF],'Flächen u. Kulturen'!P18)+1)</f>
        <v>2</v>
      </c>
      <c r="DH13" s="247">
        <f>IF('Flächen u. Kulturen'!T18="",0,COUNTIF('#Boden'!$B$30:$B$32,'Flächen u. Kulturen'!T18)+1)</f>
        <v>2</v>
      </c>
      <c r="DI13" s="247">
        <f>IF('Flächen u. Kulturen'!K18="",0,IF(ISNUMBER('Flächen u. Kulturen'!K18)=TRUE,2,1))</f>
        <v>0</v>
      </c>
      <c r="DJ13" s="247">
        <f>IF('Flächen u. Kulturen'!U18="",0,IF(ISNUMBER('Flächen u. Kulturen'!U18)=TRUE,2,1))</f>
        <v>0</v>
      </c>
      <c r="DK13" s="247">
        <f>IF('Flächen u. Kulturen'!V18="",0,IF(ISNUMBER('Flächen u. Kulturen'!V18)=TRUE,2,1))</f>
        <v>0</v>
      </c>
      <c r="DL13" s="247">
        <f>IF('Flächen u. Kulturen'!W18="",0,IF(ISNUMBER('Flächen u. Kulturen'!W18)=TRUE,2,1))</f>
        <v>0</v>
      </c>
      <c r="DM13" s="247">
        <f t="shared" si="31"/>
        <v>0</v>
      </c>
      <c r="DN13" s="247" t="s">
        <v>344</v>
      </c>
      <c r="DO13" s="247">
        <f>IF(U13&lt;&gt;"x","",IF(OR('Flächen u. Kulturen'!B18="",'Flächen u. Kulturen'!C18="",'Flächen u. Kulturen'!D18="",'Flächen u. Kulturen'!D18=0,'Flächen u. Kulturen'!F18="",'Flächen u. Kulturen'!F18='#Boden'!$G$4,'Flächen u. Kulturen'!G18="",'Flächen u. Kulturen'!G18='#Boden'!$B$26,'Flächen u. Kulturen'!H18="",'Flächen u. Kulturen'!H18='#Boden'!$B$23,AND(N13&lt;&gt;2,OR('Flächen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Kulturen'!Q18="",'#BerechnungDBE'!N13&lt;3),AND('Flächen u. Kulturen'!R18="",'#BerechnungDBE'!N13=3),AND(N13=1,AL13&gt;0,'Flächen u. Kulturen'!S18=""),AND(N13=1,OR('Flächen u. Kulturen'!T18="",'Flächen u. Kulturen'!T18='#Boden'!$B$30)),AND('#BerechnungDBE'!AF13=70,OR('Flächen u. Kulturen'!N18="",'Flächen u. Kulturen'!N18='#Boden'!$G$22,'Flächen u. Kulturen'!O18="")),AND('#BerechnungDBE'!AF13=80,OR('Flächen u. Kulturen'!M18="",'Flächen u. Kulturen'!M18='#Boden'!$G$17,'Flächen u. Kulturen'!N18="",'Flächen u. Kulturen'!N18='#Boden'!$G$22))),$DO$4,""))</f>
        <v>1</v>
      </c>
      <c r="DP13" s="247" t="str">
        <f>IF(U13&lt;&gt;"x","",IF(OR(LEFT('Flächen u. Kulturen'!J18,2)=" +",LEFT('Flächen u. Kulturen'!L18,2)=" +",LEFT('Flächen u. Kulturen'!P18,2)=" +"),$DP$4,""))</f>
        <v/>
      </c>
      <c r="DQ13" s="428" t="str">
        <f t="shared" si="12"/>
        <v/>
      </c>
      <c r="DR13" s="938" t="str">
        <f t="shared" si="13"/>
        <v/>
      </c>
      <c r="DS13" s="938" t="str">
        <f>IF('Flächen u. Kulturen'!X18="","",ROW('Flächen u. Kulturen'!X18))</f>
        <v/>
      </c>
    </row>
    <row r="14" spans="1:123" s="875" customFormat="1" x14ac:dyDescent="0.2">
      <c r="A14" s="875" t="str">
        <f>IF('Daten aus 2021'!H16="",'#Boden'!$B$26,IF('Daten aus 2021'!H16='#Boden'!$B$39,IF('Daten aus 2021'!F16='#Boden'!$B$29,'#Boden'!$B$29,IF('Daten aus 2021'!K16='#Boden'!$B$34,'#Boden'!$B$28,'#Boden'!$B$27)),'Daten aus 2021'!F16))</f>
        <v xml:space="preserve"> --</v>
      </c>
      <c r="B14" s="875" t="str">
        <f>IF('Daten aus 2021'!H16='#Boden'!$B$39,IF('Daten aus 2021'!L16='#Boden'!$B$61,'#Boden'!$B$11,'Daten aus 2021'!L16),IF('Daten aus 2021'!P16='#Boden'!$B$58,'#Boden'!$B$11,IF('Daten aus 2021'!P16='#Boden'!$B$57,'#Boden'!$B$10,'#Boden'!$B$9)))</f>
        <v xml:space="preserve"> --         </v>
      </c>
      <c r="C14" s="875" t="str">
        <f>IF('Daten aus 2021'!N16="","",VLOOKUP('Daten aus 2021'!N16,'#Boden'!$B$68:$C$89,2,FALSE))</f>
        <v/>
      </c>
      <c r="D14" s="875" t="str">
        <f>IF('Daten aus 2021'!M16="","",VLOOKUP('Daten aus 2021'!M16,'#Boden'!$D$69:$E$73,2,FALSE))</f>
        <v/>
      </c>
      <c r="E14" s="938" t="str">
        <f>IF(OR(C14='#Boden'!$C$68,C14='#Boden'!$C$70),C14,CONCATENATE(C14,D14))</f>
        <v/>
      </c>
      <c r="F14" s="882" t="str">
        <f>IFERROR(IF('Daten aus 2021'!H16="",'#Frucht'!$D$8,IF('Daten aus 2021'!H16='#Boden'!$B$39,E14,IF('Daten aus 2021'!H16='#Boden'!$B$38,IF(CONCATENATE(" ",'Daten aus 2021'!W16)=$B$2,VLOOKUP($B$3,'#Frucht'!$A$8:$D$372,4,FALSE),VLOOKUP(CONCATENATE(" ",'Daten aus 2021'!W16),'#Frucht'!$A$8:$D$372,4,FALSE)),IF(OR(LEFT('Daten aus 2021'!Q16,5)=" *10 ",LEFT('Daten aus 2021'!Q16,5)=" *11 ",LEFT('Daten aus 2021'!Q16,5)=" *12 ",LEFT('Daten aus 2021'!Q16,5)=" *13 ",LEFT('Daten aus 2021'!Q16,5)=" *14 ",LEFT('Daten aus 2021'!Q16,5)=" *15 "),VLOOKUP(RIGHT('Daten aus 2021'!Q16,LEN('Daten aus 2021'!Q16)-4),'#Frucht'!$A$8:$D$372,4,FALSE),IF(LEFT('Daten aus 2021'!Q16,2)=" *",VLOOKUP(RIGHT('Daten aus 2021'!Q16,LEN('Daten aus 2021'!Q16)-3),'#Frucht'!$A$8:$D$372,4,FALSE),VLOOKUP('Daten aus 2021'!Q16,'#Frucht'!$A$8:$D$372,4,FALSE)))))),'#Frucht'!$D$8)</f>
        <v xml:space="preserve"> --  </v>
      </c>
      <c r="G14" s="127"/>
      <c r="H14" s="31"/>
      <c r="J14" s="938" t="str">
        <f>IF(OR(N14=3,$K$3=0,'Flächen u. Kulturen'!P19=""),"",IF(VLOOKUP('Flächen u. Kulturen'!P19,Kulturen[[HF]:[780]],'#BerechnungDBE'!$K$3,FALSE)=".","",VLOOKUP('Flächen u. Kulturen'!P19,Kulturen[[HF]:[780]],'#BerechnungDBE'!$K$3,FALSE)))</f>
        <v/>
      </c>
      <c r="K14" s="938" t="str">
        <f>IF(OR($K$3=0,'Flächen u. Kulturen'!P19=""),"",IF(N14=3,IF(VLOOKUP('Flächen u. Kulturen'!P19,Kulturen[[HF]:[780]],'#BerechnungDBE'!$K$3,FALSE)=".","",VLOOKUP('Flächen u. Kulturen'!P19,Kulturen[[HF]:[780]],'#BerechnungDBE'!$K$3,FALSE)),""))</f>
        <v/>
      </c>
      <c r="L14" s="367">
        <f>IF('Flächen u. Kulturen'!D19="",0,'Flächen u. Kulturen'!D19)</f>
        <v>0</v>
      </c>
      <c r="M14" s="693">
        <f>IF('Flächen u. Kulturen'!J19="",0,VLOOKUP('Flächen u. Kulturen'!J19,Kulturen[[HF]:[Berechnungsgruppe]],'#Frucht'!$W$1,FALSE))</f>
        <v>1</v>
      </c>
      <c r="N14" s="693">
        <f>IF('Flächen u. Kulturen'!P19="",0,VLOOKUP('Flächen u. Kulturen'!P19,Kulturen[[HF]:[Berechnungsgruppe]],'#Frucht'!$W$1,FALSE))</f>
        <v>1</v>
      </c>
      <c r="O14" s="875">
        <f>IF(N14&lt;&gt;2,N14,IF('Flächen u. Kulturen'!J19='Flächen u. Kulturen'!P19,2,1))</f>
        <v>1</v>
      </c>
      <c r="P14" s="875">
        <f>IF('Flächen u. Kulturen'!F19="",0,VLOOKUP('Flächen u. Kulturen'!F19,'#Boden'!$G$4:$H$8,'#Boden'!$H$1,FALSE))</f>
        <v>1</v>
      </c>
      <c r="Q14" s="875">
        <f>IF('Flächen u. Kulturen'!G19="",0,VLOOKUP('Flächen u. Kulturen'!G19,'#Boden'!$B$26:$C$29,'#Boden'!$C$1,FALSE))</f>
        <v>1</v>
      </c>
      <c r="R14" s="875">
        <f t="shared" si="19"/>
        <v>1</v>
      </c>
      <c r="S14" s="875">
        <f t="shared" si="20"/>
        <v>1</v>
      </c>
      <c r="T14" s="875">
        <f>IF('Flächen u. Kulturen'!H19="",0,VLOOKUP('Flächen u. Kulturen'!H19,'#Boden'!$B$23:$C$25,'#Boden'!$C$1,FALSE))</f>
        <v>2</v>
      </c>
      <c r="U14" s="875" t="str">
        <f>'Flächen u. Kulturen'!E19</f>
        <v>x</v>
      </c>
      <c r="V14" s="938">
        <f>IF('Flächen u. Kulturen'!Q19="",0,_xlfn.NUMBERVALUE('Flächen u. Kulturen'!Q19))</f>
        <v>0</v>
      </c>
      <c r="W14" s="938">
        <f>IF('Flächen u. Kulturen'!R19="",0,_xlfn.NUMBERVALUE('Flächen u. Kulturen'!R19))</f>
        <v>0</v>
      </c>
      <c r="X14" s="875">
        <f>IF('Flächen u. Kulturen'!T19="",0,VLOOKUP('Flächen u. Kulturen'!T19,'#Boden'!$B$30:$C$32,'#Boden'!$C$1,FALSE))</f>
        <v>1</v>
      </c>
      <c r="Y14" s="875">
        <f>IF('Flächen u. Kulturen'!P19="",0,VLOOKUP('Flächen u. Kulturen'!P19,Kulturen[[HF]:[Berechnungsgruppe]],'#Frucht'!$N$1,FALSE))</f>
        <v>0</v>
      </c>
      <c r="Z14" s="875">
        <f t="shared" si="21"/>
        <v>2</v>
      </c>
      <c r="AA14" s="875">
        <f>IF('Flächen u. Kulturen'!P19="",0,VLOOKUP('Flächen u. Kulturen'!P19,Kulturen[[HF]:[Berechnungsgruppe]],'#Frucht'!$V$1,FALSE))</f>
        <v>0</v>
      </c>
      <c r="AB14" s="875">
        <f>IF(N14=1,VLOOKUP('Flächen u. Kulturen'!P19,Kulturen[[HF]:[Ernteprodukt]],'#Frucht'!$I$1,FALSE),4)</f>
        <v>4</v>
      </c>
      <c r="AC14" s="921">
        <f>IF('Flächen u. Kulturen'!J19="",0,VLOOKUP('Flächen u. Kulturen'!J19,Kulturen[[HF]:[Berechnungsgruppe]],'#Frucht'!$G$1,FALSE))</f>
        <v>90</v>
      </c>
      <c r="AD14" s="921">
        <f>IF('Flächen u. Kulturen'!P19="",0,VLOOKUP('Flächen u. Kulturen'!P19,Kulturen[[HF]:[Berechnungsgruppe]],'#Frucht'!$G$1,FALSE))</f>
        <v>90</v>
      </c>
      <c r="AE14" s="938">
        <f>IF('Flächen u. Kulturen'!P19="",0,VLOOKUP('Flächen u. Kulturen'!P19,Kulturen[[HF]:[SollwertMinusNfix]],'#Frucht'!$X$1,FALSE))</f>
        <v>0</v>
      </c>
      <c r="AF14" s="875">
        <f>IF('Flächen u. Kulturen'!L19="",0,VLOOKUP('Flächen u. Kulturen'!L19,Nebenkultur[[Nebenkultur]:[Berechnungsschema]],'#Zweitfr'!$G$1,FALSE))</f>
        <v>0</v>
      </c>
      <c r="AG14" s="875">
        <f>IF('Flächen u. Kulturen'!L19="",0,VLOOKUP('Flächen u. Kulturen'!L19,'#Zweitfr'!$D$8:$Q$27,'#Zweitfr'!$Q$1,FALSE))</f>
        <v>0</v>
      </c>
      <c r="AH14" s="875">
        <f>IF('Flächen u. Kulturen'!M19="",0,VLOOKUP('Flächen u. Kulturen'!M19,'#Boden'!$G$17:$H$21,2,FALSE))</f>
        <v>1</v>
      </c>
      <c r="AI14" s="875">
        <f>IF('Flächen u. Kulturen'!N19="",0,VLOOKUP('Flächen u. Kulturen'!N19,'#Boden'!$G$22:$H$24,'#Boden'!$H$1,FALSE))</f>
        <v>1</v>
      </c>
      <c r="AJ14" s="938">
        <f>IF('Flächen u. Kulturen'!O19="",0,_xlfn.NUMBERVALUE('Flächen u. Kulturen'!O19))</f>
        <v>0</v>
      </c>
      <c r="AK14" s="938">
        <f>IF('Flächen u. Kulturen'!L19="",0,VLOOKUP('Flächen u. Kulturen'!L19,Nebenkultur[[Nebenkultur]:[Legum. Zwischenfr.]],'#Zweitfr'!$P$1,FALSE))</f>
        <v>0</v>
      </c>
      <c r="AL14" s="875">
        <f>IF('Flächen u. Kulturen'!P19="",0,VLOOKUP('Flächen u. Kulturen'!P19,Kulturen[[HF]:[Berechnungsgruppe]],'#Frucht'!$Q$1,FALSE))</f>
        <v>0</v>
      </c>
      <c r="AM14" s="875">
        <f>IF('Flächen u. Kulturen'!P19="",0,VLOOKUP('Flächen u. Kulturen'!P19,Kulturen[[HF]:[Berechnungsgruppe]],'#Frucht'!$M$1,FALSE))</f>
        <v>0</v>
      </c>
      <c r="AN14" s="875">
        <f>IF('Flächen u. Kulturen'!P19="",1,VLOOKUP('Flächen u. Kulturen'!P19,Kulturen[[HF]:[Berechnungsgruppe]],'#Frucht'!$R$1,FALSE))</f>
        <v>10</v>
      </c>
      <c r="AO14" s="875">
        <f>IF('Flächen u. Kulturen'!P19="",0,VLOOKUP('Flächen u. Kulturen'!P19,Kulturen[[HF]:[Berechnungsgruppe]],'#Frucht'!$S$1,FALSE))</f>
        <v>0</v>
      </c>
      <c r="AP14" s="875">
        <f>IF('Flächen u. Kulturen'!P19="",0,VLOOKUP('Flächen u. Kulturen'!P19,Kulturen[[HF]:[Berechnungsgruppe]],'#Frucht'!$T$1,FALSE))</f>
        <v>0</v>
      </c>
      <c r="AQ14" s="938">
        <f t="shared" si="1"/>
        <v>0</v>
      </c>
      <c r="AR14" s="875">
        <f t="shared" si="2"/>
        <v>0</v>
      </c>
      <c r="AS14" s="938">
        <f t="shared" si="3"/>
        <v>0</v>
      </c>
      <c r="AT14" s="875">
        <f>IF(N14=1,'Flächen u. Kulturen'!S19*-1,"--")</f>
        <v>0</v>
      </c>
      <c r="AU14" s="938">
        <f>IF(OR(N14=2,'Flächen u. Kulturen'!I19=""),"--",IF(N14=3,VLOOKUP('Flächen u. Kulturen'!I19,'#Boden'!$B$9:$E$15,'#Boden'!$D$1,FALSE),VLOOKUP('Flächen u. Kulturen'!I19,'#Boden'!$B$9:$E$15,'#Boden'!$E$1,FALSE)))</f>
        <v>0</v>
      </c>
      <c r="AV14" s="938">
        <f>IF(N14=1,IF('Flächen u. Kulturen'!J19="",0,VLOOKUP('Flächen u. Kulturen'!J19,Kulturen[[HF]:[Berechnungsgruppe]],'#Frucht'!$U$1,FALSE)*-1),"--")</f>
        <v>0</v>
      </c>
      <c r="AW14" s="875">
        <f t="shared" si="4"/>
        <v>0</v>
      </c>
      <c r="AX14" s="875">
        <f>IF('Flächen u. Kulturen'!K19="",0,'Flächen u. Kulturen'!K19*-0.1)</f>
        <v>0</v>
      </c>
      <c r="AY14" s="875">
        <f>IF(N14&lt;3,'#orgDung'!AC23*0.1*-1,"--")</f>
        <v>0</v>
      </c>
      <c r="AZ14" s="31" t="str">
        <f>IF(AND('#orgDung'!J23&lt;&gt;2,'#orgDung'!F23=1),('#orgDung'!V23+'#minDung'!O20)*-1,"--")</f>
        <v>--</v>
      </c>
      <c r="BA14" s="875">
        <f t="shared" si="22"/>
        <v>0</v>
      </c>
      <c r="BB14" s="938">
        <f>IF(R14=2,0,'Flächen u. Kulturen'!V19*-1)</f>
        <v>0</v>
      </c>
      <c r="BC14" s="875">
        <f t="shared" si="23"/>
        <v>0</v>
      </c>
      <c r="BD14" s="127">
        <f>'#orgDung'!W23*-1</f>
        <v>0</v>
      </c>
      <c r="BE14" s="910">
        <f>'#orgDung'!AA23*-1</f>
        <v>0</v>
      </c>
      <c r="BF14" s="875">
        <f>'#orgDung'!Z23*-1</f>
        <v>0</v>
      </c>
      <c r="BG14" s="938">
        <f t="shared" si="14"/>
        <v>0</v>
      </c>
      <c r="BH14" s="875">
        <f>'#Kürzungen'!AS38*-1</f>
        <v>0</v>
      </c>
      <c r="BI14" s="875">
        <f t="shared" si="5"/>
        <v>0</v>
      </c>
      <c r="BJ14" s="910">
        <f t="shared" si="6"/>
        <v>0</v>
      </c>
      <c r="BK14" s="875">
        <f>'#minDung'!P20</f>
        <v>0</v>
      </c>
      <c r="BL14" s="938">
        <f t="shared" si="15"/>
        <v>0</v>
      </c>
      <c r="BM14" s="938">
        <f t="shared" si="7"/>
        <v>0</v>
      </c>
      <c r="BN14" s="875">
        <f>IF('Flächen u. Kulturen'!P19="",0,VLOOKUP('Flächen u. Kulturen'!P19,Kulturen[[HF]:[Berechnungsgruppe]],'#Frucht'!$K$1,FALSE))</f>
        <v>0</v>
      </c>
      <c r="BO14" s="875">
        <f>IF('Flächen u. Kulturen'!P19="",0,VLOOKUP('Flächen u. Kulturen'!P19,Kulturen[[HF]:[Berechnungsgruppe]],'#Frucht'!$L$1,FALSE))</f>
        <v>0</v>
      </c>
      <c r="BP14" s="875">
        <f>IF('Flächen u. Kulturen'!L19="",0,VLOOKUP('Flächen u. Kulturen'!L19,Nebenkultur[[Nebenkultur]:[Legum. Zwischenfr.]],'#Zweitfr'!$H$1,FALSE))</f>
        <v>0</v>
      </c>
      <c r="BQ14" s="938">
        <f>IF(N14=3,W14*BO14,IF('Flächen u. Kulturen'!T19='#Boden'!$B$32,V14*BN14,V14*BO14))</f>
        <v>0</v>
      </c>
      <c r="BR14" s="938">
        <f t="shared" si="8"/>
        <v>0</v>
      </c>
      <c r="BS14" s="875">
        <f t="shared" si="24"/>
        <v>0</v>
      </c>
      <c r="BT14" s="875">
        <f>IF('Flächen u. Kulturen'!F19="",0,IF(N14=3,VLOOKUP('Flächen u. Kulturen'!F19,'#Boden'!$G$4:$J$8,'#Boden'!$J$1,FALSE),VLOOKUP('Flächen u. Kulturen'!F19,'#Boden'!$G$4:$J$8,'#Boden'!$I$1,FALSE)))</f>
        <v>0</v>
      </c>
      <c r="BU14" s="41">
        <f t="shared" si="25"/>
        <v>0</v>
      </c>
      <c r="BV14" s="875">
        <f t="shared" si="26"/>
        <v>0</v>
      </c>
      <c r="BW14" s="938" t="str">
        <f t="shared" si="16"/>
        <v/>
      </c>
      <c r="BX14" s="875">
        <f>'#orgDung'!T23*-1</f>
        <v>0</v>
      </c>
      <c r="BY14" s="875">
        <f t="shared" si="17"/>
        <v>0</v>
      </c>
      <c r="BZ14" s="938" t="str">
        <f>IF(U14&lt;&gt;"x",0,IF(P14&lt;4,"",(BW14+BX14-'#minDung'!N20)*-1))</f>
        <v/>
      </c>
      <c r="CB14" s="938">
        <f>IF(AND(AF14=70,U14="x"),'Flächen u. Kulturen'!A19,1000)</f>
        <v>1000</v>
      </c>
      <c r="CC14" s="875" t="str">
        <f>IF(AF14=70,VLOOKUP('Flächen u. Kulturen'!L19,Nebenkultur[[Nebenkultur]:[Legum. Zwischenfr.]],'#Zweitfr'!$I$1,FALSE),"--")</f>
        <v>--</v>
      </c>
      <c r="CD14" s="875" t="str">
        <f>IF(AF14=70,VLOOKUP('Flächen u. Kulturen'!L19,Nebenkultur[[Nebenkultur]:[Legum. Zwischenfr.]],'#Zweitfr'!$L$1,FALSE),"--")</f>
        <v>--</v>
      </c>
      <c r="CE14" s="875" t="str">
        <f>IF(AF14=70,VLOOKUP('Flächen u. Kulturen'!L19,Nebenkultur[[Nebenkultur]:[Legum. Zwischenfr.]],'#Zweitfr'!$M$1,FALSE),"--")</f>
        <v>--</v>
      </c>
      <c r="CF14" s="875" t="str">
        <f>IF(AF14=70,VLOOKUP('Flächen u. Kulturen'!L19,Nebenkultur[[Nebenkultur]:[Legum. Zwischenfr.]],'#Zweitfr'!$N$1,FALSE),"--")</f>
        <v>--</v>
      </c>
      <c r="CG14" s="875" t="str">
        <f>IF(AF14=70,VLOOKUP('Flächen u. Kulturen'!L19,Nebenkultur[[Nebenkultur]:[Legum. Zwischenfr.]],'#Zweitfr'!$O$1,FALSE),"--")</f>
        <v>--</v>
      </c>
      <c r="CH14" s="875" t="str">
        <f t="shared" si="9"/>
        <v>--</v>
      </c>
      <c r="CI14" s="938">
        <f>IF('Flächen u. Kulturen'!L19="",0,VLOOKUP('Flächen u. Kulturen'!L19,Nebenkultur[[Nebenkultur]:[Legum. Zwischenfr.]],'#Zweitfr'!$J$1,FALSE))</f>
        <v>0</v>
      </c>
      <c r="CJ14" s="875">
        <f t="shared" si="10"/>
        <v>0</v>
      </c>
      <c r="CK14" s="890">
        <f t="shared" si="11"/>
        <v>0</v>
      </c>
      <c r="CL14" s="938">
        <f>IF(AND(R14=1,AF14=70),'Flächen u. Kulturen'!W19*-1,0)</f>
        <v>0</v>
      </c>
      <c r="CM14" s="875">
        <f>'#orgDung'!AE23*-1</f>
        <v>0</v>
      </c>
      <c r="CN14" s="875">
        <f t="shared" si="27"/>
        <v>0</v>
      </c>
      <c r="CO14" s="875">
        <f t="shared" si="28"/>
        <v>0</v>
      </c>
      <c r="CP14" s="875">
        <f>'#Kürzungen'!AS139*-1</f>
        <v>0</v>
      </c>
      <c r="CQ14" s="875">
        <f t="shared" si="29"/>
        <v>0</v>
      </c>
      <c r="CR14" s="875">
        <f t="shared" si="30"/>
        <v>0</v>
      </c>
      <c r="CS14" s="875">
        <f>'#minDung'!R20</f>
        <v>0</v>
      </c>
      <c r="CT14" s="938">
        <f t="shared" si="18"/>
        <v>0</v>
      </c>
      <c r="CU14" s="52" t="str">
        <f>'#Kürzungen'!AQ139</f>
        <v xml:space="preserve"> </v>
      </c>
      <c r="CW14" s="247">
        <f>IF('Flächen u. Kulturen'!D19="",0,IF(ISNUMBER('Flächen u. Kulturen'!D19)=TRUE,2,1))</f>
        <v>0</v>
      </c>
      <c r="CX14" s="247">
        <f>IF('Flächen u. Kulturen'!E19="",0,COUNTIF('#Boden'!$B$47,'Flächen u. Kulturen'!E19)+1)</f>
        <v>2</v>
      </c>
      <c r="CY14" s="247">
        <f>IF('Flächen u. Kulturen'!F19="",0,COUNTIF('#Boden'!$G$4:$G$8,'Flächen u. Kulturen'!F19)+1)</f>
        <v>2</v>
      </c>
      <c r="CZ14" s="247">
        <f>IF('Flächen u. Kulturen'!G19="",0,COUNTIF('#Boden'!$B$26:$B$29,'Flächen u. Kulturen'!G19)+1)</f>
        <v>2</v>
      </c>
      <c r="DA14" s="247">
        <f>IF('Flächen u. Kulturen'!H19="",0,COUNTIF('#Boden'!$B$26:$B$29,'Flächen u. Kulturen'!H19)+1)</f>
        <v>2</v>
      </c>
      <c r="DB14" s="247">
        <f>IF('Flächen u. Kulturen'!I19="",0,COUNTIF('#Boden'!$B$9:$B$15,'Flächen u. Kulturen'!I19)+1)</f>
        <v>2</v>
      </c>
      <c r="DC14" s="247">
        <f>IF('Flächen u. Kulturen'!J19="",0,COUNTIF(Kulturen[HF],'Flächen u. Kulturen'!J19)+1)</f>
        <v>2</v>
      </c>
      <c r="DD14" s="247">
        <f>IF('Flächen u. Kulturen'!L19="",0,COUNTIF(Nebenkultur[Nebenkultur],'Flächen u. Kulturen'!L19)+1)</f>
        <v>2</v>
      </c>
      <c r="DE14" s="247">
        <f>IF('Flächen u. Kulturen'!M19="",0,COUNTIF('#Boden'!$G$17:$G$21,'Flächen u. Kulturen'!M19)+1)</f>
        <v>2</v>
      </c>
      <c r="DF14" s="247">
        <f>IF('Flächen u. Kulturen'!N19="",0,COUNTIF('#Boden'!$G$22:$G$24,'Flächen u. Kulturen'!N19)+1)</f>
        <v>2</v>
      </c>
      <c r="DG14" s="247">
        <f>IF('Flächen u. Kulturen'!P19="",0,COUNTIF(Kulturen[HF],'Flächen u. Kulturen'!P19)+1)</f>
        <v>2</v>
      </c>
      <c r="DH14" s="247">
        <f>IF('Flächen u. Kulturen'!T19="",0,COUNTIF('#Boden'!$B$30:$B$32,'Flächen u. Kulturen'!T19)+1)</f>
        <v>2</v>
      </c>
      <c r="DI14" s="247">
        <f>IF('Flächen u. Kulturen'!K19="",0,IF(ISNUMBER('Flächen u. Kulturen'!K19)=TRUE,2,1))</f>
        <v>0</v>
      </c>
      <c r="DJ14" s="247">
        <f>IF('Flächen u. Kulturen'!U19="",0,IF(ISNUMBER('Flächen u. Kulturen'!U19)=TRUE,2,1))</f>
        <v>0</v>
      </c>
      <c r="DK14" s="247">
        <f>IF('Flächen u. Kulturen'!V19="",0,IF(ISNUMBER('Flächen u. Kulturen'!V19)=TRUE,2,1))</f>
        <v>0</v>
      </c>
      <c r="DL14" s="247">
        <f>IF('Flächen u. Kulturen'!W19="",0,IF(ISNUMBER('Flächen u. Kulturen'!W19)=TRUE,2,1))</f>
        <v>0</v>
      </c>
      <c r="DM14" s="247">
        <f t="shared" si="31"/>
        <v>0</v>
      </c>
      <c r="DN14" s="247" t="s">
        <v>344</v>
      </c>
      <c r="DO14" s="247">
        <f>IF(U14&lt;&gt;"x","",IF(OR('Flächen u. Kulturen'!B19="",'Flächen u. Kulturen'!C19="",'Flächen u. Kulturen'!D19="",'Flächen u. Kulturen'!D19=0,'Flächen u. Kulturen'!F19="",'Flächen u. Kulturen'!F19='#Boden'!$G$4,'Flächen u. Kulturen'!G19="",'Flächen u. Kulturen'!G19='#Boden'!$B$26,'Flächen u. Kulturen'!H19="",'Flächen u. Kulturen'!H19='#Boden'!$B$23,AND(N14&lt;&gt;2,OR('Flächen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Kulturen'!Q19="",'#BerechnungDBE'!N14&lt;3),AND('Flächen u. Kulturen'!R19="",'#BerechnungDBE'!N14=3),AND(N14=1,AL14&gt;0,'Flächen u. Kulturen'!S19=""),AND(N14=1,OR('Flächen u. Kulturen'!T19="",'Flächen u. Kulturen'!T19='#Boden'!$B$30)),AND('#BerechnungDBE'!AF14=70,OR('Flächen u. Kulturen'!N19="",'Flächen u. Kulturen'!N19='#Boden'!$G$22,'Flächen u. Kulturen'!O19="")),AND('#BerechnungDBE'!AF14=80,OR('Flächen u. Kulturen'!M19="",'Flächen u. Kulturen'!M19='#Boden'!$G$17,'Flächen u. Kulturen'!N19="",'Flächen u. Kulturen'!N19='#Boden'!$G$22))),$DO$4,""))</f>
        <v>1</v>
      </c>
      <c r="DP14" s="247" t="str">
        <f>IF(U14&lt;&gt;"x","",IF(OR(LEFT('Flächen u. Kulturen'!J19,2)=" +",LEFT('Flächen u. Kulturen'!L19,2)=" +",LEFT('Flächen u. Kulturen'!P19,2)=" +"),$DP$4,""))</f>
        <v/>
      </c>
      <c r="DQ14" s="428" t="str">
        <f t="shared" si="12"/>
        <v/>
      </c>
      <c r="DR14" s="938" t="str">
        <f t="shared" si="13"/>
        <v/>
      </c>
      <c r="DS14" s="938" t="str">
        <f>IF('Flächen u. Kulturen'!X19="","",ROW('Flächen u. Kulturen'!X19))</f>
        <v/>
      </c>
    </row>
    <row r="15" spans="1:123" s="875" customFormat="1" x14ac:dyDescent="0.2">
      <c r="A15" s="875" t="str">
        <f>IF('Daten aus 2021'!H17="",'#Boden'!$B$26,IF('Daten aus 2021'!H17='#Boden'!$B$39,IF('Daten aus 2021'!F17='#Boden'!$B$29,'#Boden'!$B$29,IF('Daten aus 2021'!K17='#Boden'!$B$34,'#Boden'!$B$28,'#Boden'!$B$27)),'Daten aus 2021'!F17))</f>
        <v xml:space="preserve"> --</v>
      </c>
      <c r="B15" s="875" t="str">
        <f>IF('Daten aus 2021'!H17='#Boden'!$B$39,IF('Daten aus 2021'!L17='#Boden'!$B$61,'#Boden'!$B$11,'Daten aus 2021'!L17),IF('Daten aus 2021'!P17='#Boden'!$B$58,'#Boden'!$B$11,IF('Daten aus 2021'!P17='#Boden'!$B$57,'#Boden'!$B$10,'#Boden'!$B$9)))</f>
        <v xml:space="preserve"> --         </v>
      </c>
      <c r="C15" s="875" t="str">
        <f>IF('Daten aus 2021'!N17="","",VLOOKUP('Daten aus 2021'!N17,'#Boden'!$B$68:$C$89,2,FALSE))</f>
        <v/>
      </c>
      <c r="D15" s="875" t="str">
        <f>IF('Daten aus 2021'!M17="","",VLOOKUP('Daten aus 2021'!M17,'#Boden'!$D$69:$E$73,2,FALSE))</f>
        <v/>
      </c>
      <c r="E15" s="938" t="str">
        <f>IF(OR(C15='#Boden'!$C$68,C15='#Boden'!$C$70),C15,CONCATENATE(C15,D15))</f>
        <v/>
      </c>
      <c r="F15" s="882" t="str">
        <f>IFERROR(IF('Daten aus 2021'!H17="",'#Frucht'!$D$8,IF('Daten aus 2021'!H17='#Boden'!$B$39,E15,IF('Daten aus 2021'!H17='#Boden'!$B$38,IF(CONCATENATE(" ",'Daten aus 2021'!W17)=$B$2,VLOOKUP($B$3,'#Frucht'!$A$8:$D$372,4,FALSE),VLOOKUP(CONCATENATE(" ",'Daten aus 2021'!W17),'#Frucht'!$A$8:$D$372,4,FALSE)),IF(OR(LEFT('Daten aus 2021'!Q17,5)=" *10 ",LEFT('Daten aus 2021'!Q17,5)=" *11 ",LEFT('Daten aus 2021'!Q17,5)=" *12 ",LEFT('Daten aus 2021'!Q17,5)=" *13 ",LEFT('Daten aus 2021'!Q17,5)=" *14 ",LEFT('Daten aus 2021'!Q17,5)=" *15 "),VLOOKUP(RIGHT('Daten aus 2021'!Q17,LEN('Daten aus 2021'!Q17)-4),'#Frucht'!$A$8:$D$372,4,FALSE),IF(LEFT('Daten aus 2021'!Q17,2)=" *",VLOOKUP(RIGHT('Daten aus 2021'!Q17,LEN('Daten aus 2021'!Q17)-3),'#Frucht'!$A$8:$D$372,4,FALSE),VLOOKUP('Daten aus 2021'!Q17,'#Frucht'!$A$8:$D$372,4,FALSE)))))),'#Frucht'!$D$8)</f>
        <v xml:space="preserve"> --  </v>
      </c>
      <c r="G15" s="127"/>
      <c r="H15" s="31"/>
      <c r="J15" s="938" t="str">
        <f>IF(OR(N15=3,$K$3=0,'Flächen u. Kulturen'!P20=""),"",IF(VLOOKUP('Flächen u. Kulturen'!P20,Kulturen[[HF]:[780]],'#BerechnungDBE'!$K$3,FALSE)=".","",VLOOKUP('Flächen u. Kulturen'!P20,Kulturen[[HF]:[780]],'#BerechnungDBE'!$K$3,FALSE)))</f>
        <v/>
      </c>
      <c r="K15" s="938" t="str">
        <f>IF(OR($K$3=0,'Flächen u. Kulturen'!P20=""),"",IF(N15=3,IF(VLOOKUP('Flächen u. Kulturen'!P20,Kulturen[[HF]:[780]],'#BerechnungDBE'!$K$3,FALSE)=".","",VLOOKUP('Flächen u. Kulturen'!P20,Kulturen[[HF]:[780]],'#BerechnungDBE'!$K$3,FALSE)),""))</f>
        <v/>
      </c>
      <c r="L15" s="367">
        <f>IF('Flächen u. Kulturen'!D20="",0,'Flächen u. Kulturen'!D20)</f>
        <v>0</v>
      </c>
      <c r="M15" s="693">
        <f>IF('Flächen u. Kulturen'!J20="",0,VLOOKUP('Flächen u. Kulturen'!J20,Kulturen[[HF]:[Berechnungsgruppe]],'#Frucht'!$W$1,FALSE))</f>
        <v>1</v>
      </c>
      <c r="N15" s="693">
        <f>IF('Flächen u. Kulturen'!P20="",0,VLOOKUP('Flächen u. Kulturen'!P20,Kulturen[[HF]:[Berechnungsgruppe]],'#Frucht'!$W$1,FALSE))</f>
        <v>1</v>
      </c>
      <c r="O15" s="875">
        <f>IF(N15&lt;&gt;2,N15,IF('Flächen u. Kulturen'!J20='Flächen u. Kulturen'!P20,2,1))</f>
        <v>1</v>
      </c>
      <c r="P15" s="875">
        <f>IF('Flächen u. Kulturen'!F20="",0,VLOOKUP('Flächen u. Kulturen'!F20,'#Boden'!$G$4:$H$8,'#Boden'!$H$1,FALSE))</f>
        <v>1</v>
      </c>
      <c r="Q15" s="875">
        <f>IF('Flächen u. Kulturen'!G20="",0,VLOOKUP('Flächen u. Kulturen'!G20,'#Boden'!$B$26:$C$29,'#Boden'!$C$1,FALSE))</f>
        <v>1</v>
      </c>
      <c r="R15" s="875">
        <f t="shared" si="19"/>
        <v>1</v>
      </c>
      <c r="S15" s="875">
        <f t="shared" si="20"/>
        <v>1</v>
      </c>
      <c r="T15" s="875">
        <f>IF('Flächen u. Kulturen'!H20="",0,VLOOKUP('Flächen u. Kulturen'!H20,'#Boden'!$B$23:$C$25,'#Boden'!$C$1,FALSE))</f>
        <v>2</v>
      </c>
      <c r="U15" s="875" t="str">
        <f>'Flächen u. Kulturen'!E20</f>
        <v>x</v>
      </c>
      <c r="V15" s="938">
        <f>IF('Flächen u. Kulturen'!Q20="",0,_xlfn.NUMBERVALUE('Flächen u. Kulturen'!Q20))</f>
        <v>0</v>
      </c>
      <c r="W15" s="938">
        <f>IF('Flächen u. Kulturen'!R20="",0,_xlfn.NUMBERVALUE('Flächen u. Kulturen'!R20))</f>
        <v>0</v>
      </c>
      <c r="X15" s="875">
        <f>IF('Flächen u. Kulturen'!T20="",0,VLOOKUP('Flächen u. Kulturen'!T20,'#Boden'!$B$30:$C$32,'#Boden'!$C$1,FALSE))</f>
        <v>1</v>
      </c>
      <c r="Y15" s="875">
        <f>IF('Flächen u. Kulturen'!P20="",0,VLOOKUP('Flächen u. Kulturen'!P20,Kulturen[[HF]:[Berechnungsgruppe]],'#Frucht'!$N$1,FALSE))</f>
        <v>0</v>
      </c>
      <c r="Z15" s="875">
        <f t="shared" si="21"/>
        <v>2</v>
      </c>
      <c r="AA15" s="875">
        <f>IF('Flächen u. Kulturen'!P20="",0,VLOOKUP('Flächen u. Kulturen'!P20,Kulturen[[HF]:[Berechnungsgruppe]],'#Frucht'!$V$1,FALSE))</f>
        <v>0</v>
      </c>
      <c r="AB15" s="875">
        <f>IF(N15=1,VLOOKUP('Flächen u. Kulturen'!P20,Kulturen[[HF]:[Ernteprodukt]],'#Frucht'!$I$1,FALSE),4)</f>
        <v>4</v>
      </c>
      <c r="AC15" s="921">
        <f>IF('Flächen u. Kulturen'!J20="",0,VLOOKUP('Flächen u. Kulturen'!J20,Kulturen[[HF]:[Berechnungsgruppe]],'#Frucht'!$G$1,FALSE))</f>
        <v>90</v>
      </c>
      <c r="AD15" s="921">
        <f>IF('Flächen u. Kulturen'!P20="",0,VLOOKUP('Flächen u. Kulturen'!P20,Kulturen[[HF]:[Berechnungsgruppe]],'#Frucht'!$G$1,FALSE))</f>
        <v>90</v>
      </c>
      <c r="AE15" s="938">
        <f>IF('Flächen u. Kulturen'!P20="",0,VLOOKUP('Flächen u. Kulturen'!P20,Kulturen[[HF]:[SollwertMinusNfix]],'#Frucht'!$X$1,FALSE))</f>
        <v>0</v>
      </c>
      <c r="AF15" s="875">
        <f>IF('Flächen u. Kulturen'!L20="",0,VLOOKUP('Flächen u. Kulturen'!L20,Nebenkultur[[Nebenkultur]:[Berechnungsschema]],'#Zweitfr'!$G$1,FALSE))</f>
        <v>0</v>
      </c>
      <c r="AG15" s="875">
        <f>IF('Flächen u. Kulturen'!L20="",0,VLOOKUP('Flächen u. Kulturen'!L20,'#Zweitfr'!$D$8:$Q$27,'#Zweitfr'!$Q$1,FALSE))</f>
        <v>0</v>
      </c>
      <c r="AH15" s="875">
        <f>IF('Flächen u. Kulturen'!M20="",0,VLOOKUP('Flächen u. Kulturen'!M20,'#Boden'!$G$17:$H$21,2,FALSE))</f>
        <v>1</v>
      </c>
      <c r="AI15" s="875">
        <f>IF('Flächen u. Kulturen'!N20="",0,VLOOKUP('Flächen u. Kulturen'!N20,'#Boden'!$G$22:$H$24,'#Boden'!$H$1,FALSE))</f>
        <v>1</v>
      </c>
      <c r="AJ15" s="938">
        <f>IF('Flächen u. Kulturen'!O20="",0,_xlfn.NUMBERVALUE('Flächen u. Kulturen'!O20))</f>
        <v>0</v>
      </c>
      <c r="AK15" s="938">
        <f>IF('Flächen u. Kulturen'!L20="",0,VLOOKUP('Flächen u. Kulturen'!L20,Nebenkultur[[Nebenkultur]:[Legum. Zwischenfr.]],'#Zweitfr'!$P$1,FALSE))</f>
        <v>0</v>
      </c>
      <c r="AL15" s="875">
        <f>IF('Flächen u. Kulturen'!P20="",0,VLOOKUP('Flächen u. Kulturen'!P20,Kulturen[[HF]:[Berechnungsgruppe]],'#Frucht'!$Q$1,FALSE))</f>
        <v>0</v>
      </c>
      <c r="AM15" s="875">
        <f>IF('Flächen u. Kulturen'!P20="",0,VLOOKUP('Flächen u. Kulturen'!P20,Kulturen[[HF]:[Berechnungsgruppe]],'#Frucht'!$M$1,FALSE))</f>
        <v>0</v>
      </c>
      <c r="AN15" s="875">
        <f>IF('Flächen u. Kulturen'!P20="",1,VLOOKUP('Flächen u. Kulturen'!P20,Kulturen[[HF]:[Berechnungsgruppe]],'#Frucht'!$R$1,FALSE))</f>
        <v>10</v>
      </c>
      <c r="AO15" s="875">
        <f>IF('Flächen u. Kulturen'!P20="",0,VLOOKUP('Flächen u. Kulturen'!P20,Kulturen[[HF]:[Berechnungsgruppe]],'#Frucht'!$S$1,FALSE))</f>
        <v>0</v>
      </c>
      <c r="AP15" s="875">
        <f>IF('Flächen u. Kulturen'!P20="",0,VLOOKUP('Flächen u. Kulturen'!P20,Kulturen[[HF]:[Berechnungsgruppe]],'#Frucht'!$T$1,FALSE))</f>
        <v>0</v>
      </c>
      <c r="AQ15" s="938">
        <f t="shared" si="1"/>
        <v>0</v>
      </c>
      <c r="AR15" s="875">
        <f t="shared" si="2"/>
        <v>0</v>
      </c>
      <c r="AS15" s="938">
        <f t="shared" si="3"/>
        <v>0</v>
      </c>
      <c r="AT15" s="875">
        <f>IF(N15=1,'Flächen u. Kulturen'!S20*-1,"--")</f>
        <v>0</v>
      </c>
      <c r="AU15" s="938">
        <f>IF(OR(N15=2,'Flächen u. Kulturen'!I20=""),"--",IF(N15=3,VLOOKUP('Flächen u. Kulturen'!I20,'#Boden'!$B$9:$E$15,'#Boden'!$D$1,FALSE),VLOOKUP('Flächen u. Kulturen'!I20,'#Boden'!$B$9:$E$15,'#Boden'!$E$1,FALSE)))</f>
        <v>0</v>
      </c>
      <c r="AV15" s="938">
        <f>IF(N15=1,IF('Flächen u. Kulturen'!J20="",0,VLOOKUP('Flächen u. Kulturen'!J20,Kulturen[[HF]:[Berechnungsgruppe]],'#Frucht'!$U$1,FALSE)*-1),"--")</f>
        <v>0</v>
      </c>
      <c r="AW15" s="875">
        <f t="shared" si="4"/>
        <v>0</v>
      </c>
      <c r="AX15" s="875">
        <f>IF('Flächen u. Kulturen'!K20="",0,'Flächen u. Kulturen'!K20*-0.1)</f>
        <v>0</v>
      </c>
      <c r="AY15" s="875">
        <f>IF(N15&lt;3,'#orgDung'!AC24*0.1*-1,"--")</f>
        <v>0</v>
      </c>
      <c r="AZ15" s="31" t="str">
        <f>IF(AND('#orgDung'!J24&lt;&gt;2,'#orgDung'!F24=1),('#orgDung'!V24+'#minDung'!O21)*-1,"--")</f>
        <v>--</v>
      </c>
      <c r="BA15" s="875">
        <f t="shared" si="22"/>
        <v>0</v>
      </c>
      <c r="BB15" s="938">
        <f>IF(R15=2,0,'Flächen u. Kulturen'!V20*-1)</f>
        <v>0</v>
      </c>
      <c r="BC15" s="875">
        <f t="shared" si="23"/>
        <v>0</v>
      </c>
      <c r="BD15" s="127">
        <f>'#orgDung'!W24*-1</f>
        <v>0</v>
      </c>
      <c r="BE15" s="910">
        <f>'#orgDung'!AA24*-1</f>
        <v>0</v>
      </c>
      <c r="BF15" s="875">
        <f>'#orgDung'!Z24*-1</f>
        <v>0</v>
      </c>
      <c r="BG15" s="938">
        <f t="shared" si="14"/>
        <v>0</v>
      </c>
      <c r="BH15" s="875">
        <f>'#Kürzungen'!AS39*-1</f>
        <v>0</v>
      </c>
      <c r="BI15" s="875">
        <f t="shared" si="5"/>
        <v>0</v>
      </c>
      <c r="BJ15" s="910">
        <f t="shared" si="6"/>
        <v>0</v>
      </c>
      <c r="BK15" s="875">
        <f>'#minDung'!P21</f>
        <v>0</v>
      </c>
      <c r="BL15" s="938">
        <f t="shared" si="15"/>
        <v>0</v>
      </c>
      <c r="BM15" s="938">
        <f t="shared" si="7"/>
        <v>0</v>
      </c>
      <c r="BN15" s="875">
        <f>IF('Flächen u. Kulturen'!P20="",0,VLOOKUP('Flächen u. Kulturen'!P20,Kulturen[[HF]:[Berechnungsgruppe]],'#Frucht'!$K$1,FALSE))</f>
        <v>0</v>
      </c>
      <c r="BO15" s="875">
        <f>IF('Flächen u. Kulturen'!P20="",0,VLOOKUP('Flächen u. Kulturen'!P20,Kulturen[[HF]:[Berechnungsgruppe]],'#Frucht'!$L$1,FALSE))</f>
        <v>0</v>
      </c>
      <c r="BP15" s="875">
        <f>IF('Flächen u. Kulturen'!L20="",0,VLOOKUP('Flächen u. Kulturen'!L20,Nebenkultur[[Nebenkultur]:[Legum. Zwischenfr.]],'#Zweitfr'!$H$1,FALSE))</f>
        <v>0</v>
      </c>
      <c r="BQ15" s="938">
        <f>IF(N15=3,W15*BO15,IF('Flächen u. Kulturen'!T20='#Boden'!$B$32,V15*BN15,V15*BO15))</f>
        <v>0</v>
      </c>
      <c r="BR15" s="938">
        <f t="shared" si="8"/>
        <v>0</v>
      </c>
      <c r="BS15" s="875">
        <f>BQ15+BR15</f>
        <v>0</v>
      </c>
      <c r="BT15" s="875">
        <f>IF('Flächen u. Kulturen'!F20="",0,IF(N15=3,VLOOKUP('Flächen u. Kulturen'!F20,'#Boden'!$G$4:$J$8,'#Boden'!$J$1,FALSE),VLOOKUP('Flächen u. Kulturen'!F20,'#Boden'!$G$4:$J$8,'#Boden'!$I$1,FALSE)))</f>
        <v>0</v>
      </c>
      <c r="BU15" s="41">
        <f t="shared" si="25"/>
        <v>0</v>
      </c>
      <c r="BV15" s="875">
        <f t="shared" si="26"/>
        <v>0</v>
      </c>
      <c r="BW15" s="938" t="str">
        <f t="shared" si="16"/>
        <v/>
      </c>
      <c r="BX15" s="875">
        <f>'#orgDung'!T24*-1</f>
        <v>0</v>
      </c>
      <c r="BY15" s="875">
        <f t="shared" si="17"/>
        <v>0</v>
      </c>
      <c r="BZ15" s="938" t="str">
        <f>IF(U15&lt;&gt;"x",0,IF(P15&lt;4,"",(BW15+BX15-'#minDung'!N21)*-1))</f>
        <v/>
      </c>
      <c r="CB15" s="938">
        <f>IF(AND(AF15=70,U15="x"),'Flächen u. Kulturen'!A20,1000)</f>
        <v>1000</v>
      </c>
      <c r="CC15" s="875" t="str">
        <f>IF(AF15=70,VLOOKUP('Flächen u. Kulturen'!L20,Nebenkultur[[Nebenkultur]:[Legum. Zwischenfr.]],'#Zweitfr'!$I$1,FALSE),"--")</f>
        <v>--</v>
      </c>
      <c r="CD15" s="875" t="str">
        <f>IF(AF15=70,VLOOKUP('Flächen u. Kulturen'!L20,Nebenkultur[[Nebenkultur]:[Legum. Zwischenfr.]],'#Zweitfr'!$L$1,FALSE),"--")</f>
        <v>--</v>
      </c>
      <c r="CE15" s="875" t="str">
        <f>IF(AF15=70,VLOOKUP('Flächen u. Kulturen'!L20,Nebenkultur[[Nebenkultur]:[Legum. Zwischenfr.]],'#Zweitfr'!$M$1,FALSE),"--")</f>
        <v>--</v>
      </c>
      <c r="CF15" s="875" t="str">
        <f>IF(AF15=70,VLOOKUP('Flächen u. Kulturen'!L20,Nebenkultur[[Nebenkultur]:[Legum. Zwischenfr.]],'#Zweitfr'!$N$1,FALSE),"--")</f>
        <v>--</v>
      </c>
      <c r="CG15" s="875" t="str">
        <f>IF(AF15=70,VLOOKUP('Flächen u. Kulturen'!L20,Nebenkultur[[Nebenkultur]:[Legum. Zwischenfr.]],'#Zweitfr'!$O$1,FALSE),"--")</f>
        <v>--</v>
      </c>
      <c r="CH15" s="875" t="str">
        <f t="shared" si="9"/>
        <v>--</v>
      </c>
      <c r="CI15" s="938">
        <f>IF('Flächen u. Kulturen'!L20="",0,VLOOKUP('Flächen u. Kulturen'!L20,Nebenkultur[[Nebenkultur]:[Legum. Zwischenfr.]],'#Zweitfr'!$J$1,FALSE))</f>
        <v>0</v>
      </c>
      <c r="CJ15" s="875">
        <f t="shared" si="10"/>
        <v>0</v>
      </c>
      <c r="CK15" s="890">
        <f t="shared" si="11"/>
        <v>0</v>
      </c>
      <c r="CL15" s="938">
        <f>IF(AND(R15=1,AF15=70),'Flächen u. Kulturen'!W20*-1,0)</f>
        <v>0</v>
      </c>
      <c r="CM15" s="875">
        <f>'#orgDung'!AE24*-1</f>
        <v>0</v>
      </c>
      <c r="CN15" s="875">
        <f t="shared" si="27"/>
        <v>0</v>
      </c>
      <c r="CO15" s="875">
        <f t="shared" si="28"/>
        <v>0</v>
      </c>
      <c r="CP15" s="875">
        <f>'#Kürzungen'!AS140*-1</f>
        <v>0</v>
      </c>
      <c r="CQ15" s="875">
        <f t="shared" si="29"/>
        <v>0</v>
      </c>
      <c r="CR15" s="875">
        <f t="shared" si="30"/>
        <v>0</v>
      </c>
      <c r="CS15" s="875">
        <f>'#minDung'!R21</f>
        <v>0</v>
      </c>
      <c r="CT15" s="938">
        <f t="shared" si="18"/>
        <v>0</v>
      </c>
      <c r="CU15" s="52" t="str">
        <f>'#Kürzungen'!AQ140</f>
        <v xml:space="preserve"> </v>
      </c>
      <c r="CW15" s="247">
        <f>IF('Flächen u. Kulturen'!D20="",0,IF(ISNUMBER('Flächen u. Kulturen'!D20)=TRUE,2,1))</f>
        <v>0</v>
      </c>
      <c r="CX15" s="247">
        <f>IF('Flächen u. Kulturen'!E20="",0,COUNTIF('#Boden'!$B$47,'Flächen u. Kulturen'!E20)+1)</f>
        <v>2</v>
      </c>
      <c r="CY15" s="247">
        <f>IF('Flächen u. Kulturen'!F20="",0,COUNTIF('#Boden'!$G$4:$G$8,'Flächen u. Kulturen'!F20)+1)</f>
        <v>2</v>
      </c>
      <c r="CZ15" s="247">
        <f>IF('Flächen u. Kulturen'!G20="",0,COUNTIF('#Boden'!$B$26:$B$29,'Flächen u. Kulturen'!G20)+1)</f>
        <v>2</v>
      </c>
      <c r="DA15" s="247">
        <f>IF('Flächen u. Kulturen'!H20="",0,COUNTIF('#Boden'!$B$26:$B$29,'Flächen u. Kulturen'!H20)+1)</f>
        <v>2</v>
      </c>
      <c r="DB15" s="247">
        <f>IF('Flächen u. Kulturen'!I20="",0,COUNTIF('#Boden'!$B$9:$B$15,'Flächen u. Kulturen'!I20)+1)</f>
        <v>2</v>
      </c>
      <c r="DC15" s="247">
        <f>IF('Flächen u. Kulturen'!J20="",0,COUNTIF(Kulturen[HF],'Flächen u. Kulturen'!J20)+1)</f>
        <v>2</v>
      </c>
      <c r="DD15" s="247">
        <f>IF('Flächen u. Kulturen'!L20="",0,COUNTIF(Nebenkultur[Nebenkultur],'Flächen u. Kulturen'!L20)+1)</f>
        <v>2</v>
      </c>
      <c r="DE15" s="247">
        <f>IF('Flächen u. Kulturen'!M20="",0,COUNTIF('#Boden'!$G$17:$G$21,'Flächen u. Kulturen'!M20)+1)</f>
        <v>2</v>
      </c>
      <c r="DF15" s="247">
        <f>IF('Flächen u. Kulturen'!N20="",0,COUNTIF('#Boden'!$G$22:$G$24,'Flächen u. Kulturen'!N20)+1)</f>
        <v>2</v>
      </c>
      <c r="DG15" s="247">
        <f>IF('Flächen u. Kulturen'!P20="",0,COUNTIF(Kulturen[HF],'Flächen u. Kulturen'!P20)+1)</f>
        <v>2</v>
      </c>
      <c r="DH15" s="247">
        <f>IF('Flächen u. Kulturen'!T20="",0,COUNTIF('#Boden'!$B$30:$B$32,'Flächen u. Kulturen'!T20)+1)</f>
        <v>2</v>
      </c>
      <c r="DI15" s="247">
        <f>IF('Flächen u. Kulturen'!K20="",0,IF(ISNUMBER('Flächen u. Kulturen'!K20)=TRUE,2,1))</f>
        <v>0</v>
      </c>
      <c r="DJ15" s="247">
        <f>IF('Flächen u. Kulturen'!U20="",0,IF(ISNUMBER('Flächen u. Kulturen'!U20)=TRUE,2,1))</f>
        <v>0</v>
      </c>
      <c r="DK15" s="247">
        <f>IF('Flächen u. Kulturen'!V20="",0,IF(ISNUMBER('Flächen u. Kulturen'!V20)=TRUE,2,1))</f>
        <v>0</v>
      </c>
      <c r="DL15" s="247">
        <f>IF('Flächen u. Kulturen'!W20="",0,IF(ISNUMBER('Flächen u. Kulturen'!W20)=TRUE,2,1))</f>
        <v>0</v>
      </c>
      <c r="DM15" s="247">
        <f t="shared" si="31"/>
        <v>0</v>
      </c>
      <c r="DN15" s="247" t="s">
        <v>344</v>
      </c>
      <c r="DO15" s="247">
        <f>IF(U15&lt;&gt;"x","",IF(OR('Flächen u. Kulturen'!B20="",'Flächen u. Kulturen'!C20="",'Flächen u. Kulturen'!D20="",'Flächen u. Kulturen'!D20=0,'Flächen u. Kulturen'!F20="",'Flächen u. Kulturen'!F20='#Boden'!$G$4,'Flächen u. Kulturen'!G20="",'Flächen u. Kulturen'!G20='#Boden'!$B$26,'Flächen u. Kulturen'!H20="",'Flächen u. Kulturen'!H20='#Boden'!$B$23,AND(N15&lt;&gt;2,OR('Flächen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Kulturen'!Q20="",'#BerechnungDBE'!N15&lt;3),AND('Flächen u. Kulturen'!R20="",'#BerechnungDBE'!N15=3),AND(N15=1,AL15&gt;0,'Flächen u. Kulturen'!S20=""),AND(N15=1,OR('Flächen u. Kulturen'!T20="",'Flächen u. Kulturen'!T20='#Boden'!$B$30)),AND('#BerechnungDBE'!AF15=70,OR('Flächen u. Kulturen'!N20="",'Flächen u. Kulturen'!N20='#Boden'!$G$22,'Flächen u. Kulturen'!O20="")),AND('#BerechnungDBE'!AF15=80,OR('Flächen u. Kulturen'!M20="",'Flächen u. Kulturen'!M20='#Boden'!$G$17,'Flächen u. Kulturen'!N20="",'Flächen u. Kulturen'!N20='#Boden'!$G$22))),$DO$4,""))</f>
        <v>1</v>
      </c>
      <c r="DP15" s="247" t="str">
        <f>IF(U15&lt;&gt;"x","",IF(OR(LEFT('Flächen u. Kulturen'!J20,2)=" +",LEFT('Flächen u. Kulturen'!L20,2)=" +",LEFT('Flächen u. Kulturen'!P20,2)=" +"),$DP$4,""))</f>
        <v/>
      </c>
      <c r="DQ15" s="428" t="str">
        <f t="shared" si="12"/>
        <v/>
      </c>
      <c r="DR15" s="938" t="str">
        <f t="shared" si="13"/>
        <v/>
      </c>
      <c r="DS15" s="938" t="str">
        <f>IF('Flächen u. Kulturen'!X20="","",ROW('Flächen u. Kulturen'!X20))</f>
        <v/>
      </c>
    </row>
    <row r="16" spans="1:123" s="875" customFormat="1" x14ac:dyDescent="0.2">
      <c r="A16" s="875" t="str">
        <f>IF('Daten aus 2021'!H18="",'#Boden'!$B$26,IF('Daten aus 2021'!H18='#Boden'!$B$39,IF('Daten aus 2021'!F18='#Boden'!$B$29,'#Boden'!$B$29,IF('Daten aus 2021'!K18='#Boden'!$B$34,'#Boden'!$B$28,'#Boden'!$B$27)),'Daten aus 2021'!F18))</f>
        <v xml:space="preserve"> --</v>
      </c>
      <c r="B16" s="875" t="str">
        <f>IF('Daten aus 2021'!H18='#Boden'!$B$39,IF('Daten aus 2021'!L18='#Boden'!$B$61,'#Boden'!$B$11,'Daten aus 2021'!L18),IF('Daten aus 2021'!P18='#Boden'!$B$58,'#Boden'!$B$11,IF('Daten aus 2021'!P18='#Boden'!$B$57,'#Boden'!$B$10,'#Boden'!$B$9)))</f>
        <v xml:space="preserve"> --         </v>
      </c>
      <c r="C16" s="875" t="str">
        <f>IF('Daten aus 2021'!N18="","",VLOOKUP('Daten aus 2021'!N18,'#Boden'!$B$68:$C$89,2,FALSE))</f>
        <v/>
      </c>
      <c r="D16" s="875" t="str">
        <f>IF('Daten aus 2021'!M18="","",VLOOKUP('Daten aus 2021'!M18,'#Boden'!$D$69:$E$73,2,FALSE))</f>
        <v/>
      </c>
      <c r="E16" s="938" t="str">
        <f>IF(OR(C16='#Boden'!$C$68,C16='#Boden'!$C$70),C16,CONCATENATE(C16,D16))</f>
        <v/>
      </c>
      <c r="F16" s="882" t="str">
        <f>IFERROR(IF('Daten aus 2021'!H18="",'#Frucht'!$D$8,IF('Daten aus 2021'!H18='#Boden'!$B$39,E16,IF('Daten aus 2021'!H18='#Boden'!$B$38,IF(CONCATENATE(" ",'Daten aus 2021'!W18)=$B$2,VLOOKUP($B$3,'#Frucht'!$A$8:$D$372,4,FALSE),VLOOKUP(CONCATENATE(" ",'Daten aus 2021'!W18),'#Frucht'!$A$8:$D$372,4,FALSE)),IF(OR(LEFT('Daten aus 2021'!Q18,5)=" *10 ",LEFT('Daten aus 2021'!Q18,5)=" *11 ",LEFT('Daten aus 2021'!Q18,5)=" *12 ",LEFT('Daten aus 2021'!Q18,5)=" *13 ",LEFT('Daten aus 2021'!Q18,5)=" *14 ",LEFT('Daten aus 2021'!Q18,5)=" *15 "),VLOOKUP(RIGHT('Daten aus 2021'!Q18,LEN('Daten aus 2021'!Q18)-4),'#Frucht'!$A$8:$D$372,4,FALSE),IF(LEFT('Daten aus 2021'!Q18,2)=" *",VLOOKUP(RIGHT('Daten aus 2021'!Q18,LEN('Daten aus 2021'!Q18)-3),'#Frucht'!$A$8:$D$372,4,FALSE),VLOOKUP('Daten aus 2021'!Q18,'#Frucht'!$A$8:$D$372,4,FALSE)))))),'#Frucht'!$D$8)</f>
        <v xml:space="preserve"> --  </v>
      </c>
      <c r="G16" s="127"/>
      <c r="H16" s="31"/>
      <c r="J16" s="938" t="str">
        <f>IF(OR(N16=3,$K$3=0,'Flächen u. Kulturen'!P21=""),"",IF(VLOOKUP('Flächen u. Kulturen'!P21,Kulturen[[HF]:[780]],'#BerechnungDBE'!$K$3,FALSE)=".","",VLOOKUP('Flächen u. Kulturen'!P21,Kulturen[[HF]:[780]],'#BerechnungDBE'!$K$3,FALSE)))</f>
        <v/>
      </c>
      <c r="K16" s="938" t="str">
        <f>IF(OR($K$3=0,'Flächen u. Kulturen'!P21=""),"",IF(N16=3,IF(VLOOKUP('Flächen u. Kulturen'!P21,Kulturen[[HF]:[780]],'#BerechnungDBE'!$K$3,FALSE)=".","",VLOOKUP('Flächen u. Kulturen'!P21,Kulturen[[HF]:[780]],'#BerechnungDBE'!$K$3,FALSE)),""))</f>
        <v/>
      </c>
      <c r="L16" s="367">
        <f>IF('Flächen u. Kulturen'!D21="",0,'Flächen u. Kulturen'!D21)</f>
        <v>0</v>
      </c>
      <c r="M16" s="693">
        <f>IF('Flächen u. Kulturen'!J21="",0,VLOOKUP('Flächen u. Kulturen'!J21,Kulturen[[HF]:[Berechnungsgruppe]],'#Frucht'!$W$1,FALSE))</f>
        <v>1</v>
      </c>
      <c r="N16" s="693">
        <f>IF('Flächen u. Kulturen'!P21="",0,VLOOKUP('Flächen u. Kulturen'!P21,Kulturen[[HF]:[Berechnungsgruppe]],'#Frucht'!$W$1,FALSE))</f>
        <v>1</v>
      </c>
      <c r="O16" s="875">
        <f>IF(N16&lt;&gt;2,N16,IF('Flächen u. Kulturen'!J21='Flächen u. Kulturen'!P21,2,1))</f>
        <v>1</v>
      </c>
      <c r="P16" s="875">
        <f>IF('Flächen u. Kulturen'!F21="",0,VLOOKUP('Flächen u. Kulturen'!F21,'#Boden'!$G$4:$H$8,'#Boden'!$H$1,FALSE))</f>
        <v>1</v>
      </c>
      <c r="Q16" s="875">
        <f>IF('Flächen u. Kulturen'!G21="",0,VLOOKUP('Flächen u. Kulturen'!G21,'#Boden'!$B$26:$C$29,'#Boden'!$C$1,FALSE))</f>
        <v>1</v>
      </c>
      <c r="R16" s="875">
        <f t="shared" si="19"/>
        <v>1</v>
      </c>
      <c r="S16" s="875">
        <f t="shared" si="20"/>
        <v>1</v>
      </c>
      <c r="T16" s="875">
        <f>IF('Flächen u. Kulturen'!H21="",0,VLOOKUP('Flächen u. Kulturen'!H21,'#Boden'!$B$23:$C$25,'#Boden'!$C$1,FALSE))</f>
        <v>2</v>
      </c>
      <c r="U16" s="875" t="str">
        <f>'Flächen u. Kulturen'!E21</f>
        <v>x</v>
      </c>
      <c r="V16" s="938">
        <f>IF('Flächen u. Kulturen'!Q21="",0,_xlfn.NUMBERVALUE('Flächen u. Kulturen'!Q21))</f>
        <v>0</v>
      </c>
      <c r="W16" s="938">
        <f>IF('Flächen u. Kulturen'!R21="",0,_xlfn.NUMBERVALUE('Flächen u. Kulturen'!R21))</f>
        <v>0</v>
      </c>
      <c r="X16" s="875">
        <f>IF('Flächen u. Kulturen'!T21="",0,VLOOKUP('Flächen u. Kulturen'!T21,'#Boden'!$B$30:$C$32,'#Boden'!$C$1,FALSE))</f>
        <v>1</v>
      </c>
      <c r="Y16" s="875">
        <f>IF('Flächen u. Kulturen'!P21="",0,VLOOKUP('Flächen u. Kulturen'!P21,Kulturen[[HF]:[Berechnungsgruppe]],'#Frucht'!$N$1,FALSE))</f>
        <v>0</v>
      </c>
      <c r="Z16" s="875">
        <f t="shared" si="21"/>
        <v>2</v>
      </c>
      <c r="AA16" s="875">
        <f>IF('Flächen u. Kulturen'!P21="",0,VLOOKUP('Flächen u. Kulturen'!P21,Kulturen[[HF]:[Berechnungsgruppe]],'#Frucht'!$V$1,FALSE))</f>
        <v>0</v>
      </c>
      <c r="AB16" s="875">
        <f>IF(N16=1,VLOOKUP('Flächen u. Kulturen'!P21,Kulturen[[HF]:[Ernteprodukt]],'#Frucht'!$I$1,FALSE),4)</f>
        <v>4</v>
      </c>
      <c r="AC16" s="921">
        <f>IF('Flächen u. Kulturen'!J21="",0,VLOOKUP('Flächen u. Kulturen'!J21,Kulturen[[HF]:[Berechnungsgruppe]],'#Frucht'!$G$1,FALSE))</f>
        <v>90</v>
      </c>
      <c r="AD16" s="921">
        <f>IF('Flächen u. Kulturen'!P21="",0,VLOOKUP('Flächen u. Kulturen'!P21,Kulturen[[HF]:[Berechnungsgruppe]],'#Frucht'!$G$1,FALSE))</f>
        <v>90</v>
      </c>
      <c r="AE16" s="938">
        <f>IF('Flächen u. Kulturen'!P21="",0,VLOOKUP('Flächen u. Kulturen'!P21,Kulturen[[HF]:[SollwertMinusNfix]],'#Frucht'!$X$1,FALSE))</f>
        <v>0</v>
      </c>
      <c r="AF16" s="875">
        <f>IF('Flächen u. Kulturen'!L21="",0,VLOOKUP('Flächen u. Kulturen'!L21,Nebenkultur[[Nebenkultur]:[Berechnungsschema]],'#Zweitfr'!$G$1,FALSE))</f>
        <v>0</v>
      </c>
      <c r="AG16" s="875">
        <f>IF('Flächen u. Kulturen'!L21="",0,VLOOKUP('Flächen u. Kulturen'!L21,'#Zweitfr'!$D$8:$Q$27,'#Zweitfr'!$Q$1,FALSE))</f>
        <v>0</v>
      </c>
      <c r="AH16" s="875">
        <f>IF('Flächen u. Kulturen'!M21="",0,VLOOKUP('Flächen u. Kulturen'!M21,'#Boden'!$G$17:$H$21,2,FALSE))</f>
        <v>1</v>
      </c>
      <c r="AI16" s="875">
        <f>IF('Flächen u. Kulturen'!N21="",0,VLOOKUP('Flächen u. Kulturen'!N21,'#Boden'!$G$22:$H$24,'#Boden'!$H$1,FALSE))</f>
        <v>1</v>
      </c>
      <c r="AJ16" s="938">
        <f>IF('Flächen u. Kulturen'!O21="",0,_xlfn.NUMBERVALUE('Flächen u. Kulturen'!O21))</f>
        <v>0</v>
      </c>
      <c r="AK16" s="938">
        <f>IF('Flächen u. Kulturen'!L21="",0,VLOOKUP('Flächen u. Kulturen'!L21,Nebenkultur[[Nebenkultur]:[Legum. Zwischenfr.]],'#Zweitfr'!$P$1,FALSE))</f>
        <v>0</v>
      </c>
      <c r="AL16" s="875">
        <f>IF('Flächen u. Kulturen'!P21="",0,VLOOKUP('Flächen u. Kulturen'!P21,Kulturen[[HF]:[Berechnungsgruppe]],'#Frucht'!$Q$1,FALSE))</f>
        <v>0</v>
      </c>
      <c r="AM16" s="875">
        <f>IF('Flächen u. Kulturen'!P21="",0,VLOOKUP('Flächen u. Kulturen'!P21,Kulturen[[HF]:[Berechnungsgruppe]],'#Frucht'!$M$1,FALSE))</f>
        <v>0</v>
      </c>
      <c r="AN16" s="875">
        <f>IF('Flächen u. Kulturen'!P21="",1,VLOOKUP('Flächen u. Kulturen'!P21,Kulturen[[HF]:[Berechnungsgruppe]],'#Frucht'!$R$1,FALSE))</f>
        <v>10</v>
      </c>
      <c r="AO16" s="875">
        <f>IF('Flächen u. Kulturen'!P21="",0,VLOOKUP('Flächen u. Kulturen'!P21,Kulturen[[HF]:[Berechnungsgruppe]],'#Frucht'!$S$1,FALSE))</f>
        <v>0</v>
      </c>
      <c r="AP16" s="875">
        <f>IF('Flächen u. Kulturen'!P21="",0,VLOOKUP('Flächen u. Kulturen'!P21,Kulturen[[HF]:[Berechnungsgruppe]],'#Frucht'!$T$1,FALSE))</f>
        <v>0</v>
      </c>
      <c r="AQ16" s="938">
        <f t="shared" si="1"/>
        <v>0</v>
      </c>
      <c r="AR16" s="875">
        <f t="shared" si="2"/>
        <v>0</v>
      </c>
      <c r="AS16" s="938">
        <f t="shared" si="3"/>
        <v>0</v>
      </c>
      <c r="AT16" s="875">
        <f>IF(N16=1,'Flächen u. Kulturen'!S21*-1,"--")</f>
        <v>0</v>
      </c>
      <c r="AU16" s="938">
        <f>IF(OR(N16=2,'Flächen u. Kulturen'!I21=""),"--",IF(N16=3,VLOOKUP('Flächen u. Kulturen'!I21,'#Boden'!$B$9:$E$15,'#Boden'!$D$1,FALSE),VLOOKUP('Flächen u. Kulturen'!I21,'#Boden'!$B$9:$E$15,'#Boden'!$E$1,FALSE)))</f>
        <v>0</v>
      </c>
      <c r="AV16" s="938">
        <f>IF(N16=1,IF('Flächen u. Kulturen'!J21="",0,VLOOKUP('Flächen u. Kulturen'!J21,Kulturen[[HF]:[Berechnungsgruppe]],'#Frucht'!$U$1,FALSE)*-1),"--")</f>
        <v>0</v>
      </c>
      <c r="AW16" s="875">
        <f t="shared" si="4"/>
        <v>0</v>
      </c>
      <c r="AX16" s="875">
        <f>IF('Flächen u. Kulturen'!K21="",0,'Flächen u. Kulturen'!K21*-0.1)</f>
        <v>0</v>
      </c>
      <c r="AY16" s="875">
        <f>IF(N16&lt;3,'#orgDung'!AC25*0.1*-1,"--")</f>
        <v>0</v>
      </c>
      <c r="AZ16" s="31" t="str">
        <f>IF(AND('#orgDung'!J25&lt;&gt;2,'#orgDung'!F25=1),('#orgDung'!V25+'#minDung'!O22)*-1,"--")</f>
        <v>--</v>
      </c>
      <c r="BA16" s="875">
        <f t="shared" si="22"/>
        <v>0</v>
      </c>
      <c r="BB16" s="938">
        <f>IF(R16=2,0,'Flächen u. Kulturen'!V21*-1)</f>
        <v>0</v>
      </c>
      <c r="BC16" s="875">
        <f t="shared" si="23"/>
        <v>0</v>
      </c>
      <c r="BD16" s="127">
        <f>'#orgDung'!W25*-1</f>
        <v>0</v>
      </c>
      <c r="BE16" s="910">
        <f>'#orgDung'!AA25*-1</f>
        <v>0</v>
      </c>
      <c r="BF16" s="875">
        <f>'#orgDung'!Z25*-1</f>
        <v>0</v>
      </c>
      <c r="BG16" s="938">
        <f t="shared" si="14"/>
        <v>0</v>
      </c>
      <c r="BH16" s="875">
        <f>'#Kürzungen'!AS40*-1</f>
        <v>0</v>
      </c>
      <c r="BI16" s="875">
        <f t="shared" si="5"/>
        <v>0</v>
      </c>
      <c r="BJ16" s="910">
        <f t="shared" si="6"/>
        <v>0</v>
      </c>
      <c r="BK16" s="875">
        <f>'#minDung'!P22</f>
        <v>0</v>
      </c>
      <c r="BL16" s="938">
        <f t="shared" si="15"/>
        <v>0</v>
      </c>
      <c r="BM16" s="938">
        <f t="shared" si="7"/>
        <v>0</v>
      </c>
      <c r="BN16" s="875">
        <f>IF('Flächen u. Kulturen'!P21="",0,VLOOKUP('Flächen u. Kulturen'!P21,Kulturen[[HF]:[Berechnungsgruppe]],'#Frucht'!$K$1,FALSE))</f>
        <v>0</v>
      </c>
      <c r="BO16" s="875">
        <f>IF('Flächen u. Kulturen'!P21="",0,VLOOKUP('Flächen u. Kulturen'!P21,Kulturen[[HF]:[Berechnungsgruppe]],'#Frucht'!$L$1,FALSE))</f>
        <v>0</v>
      </c>
      <c r="BP16" s="875">
        <f>IF('Flächen u. Kulturen'!L21="",0,VLOOKUP('Flächen u. Kulturen'!L21,Nebenkultur[[Nebenkultur]:[Legum. Zwischenfr.]],'#Zweitfr'!$H$1,FALSE))</f>
        <v>0</v>
      </c>
      <c r="BQ16" s="938">
        <f>IF(N16=3,W16*BO16,IF('Flächen u. Kulturen'!T21='#Boden'!$B$32,V16*BN16,V16*BO16))</f>
        <v>0</v>
      </c>
      <c r="BR16" s="938">
        <f t="shared" si="8"/>
        <v>0</v>
      </c>
      <c r="BS16" s="875">
        <f t="shared" si="24"/>
        <v>0</v>
      </c>
      <c r="BT16" s="875">
        <f>IF('Flächen u. Kulturen'!F21="",0,IF(N16=3,VLOOKUP('Flächen u. Kulturen'!F21,'#Boden'!$G$4:$J$8,'#Boden'!$J$1,FALSE),VLOOKUP('Flächen u. Kulturen'!F21,'#Boden'!$G$4:$J$8,'#Boden'!$I$1,FALSE)))</f>
        <v>0</v>
      </c>
      <c r="BU16" s="41">
        <f t="shared" si="25"/>
        <v>0</v>
      </c>
      <c r="BV16" s="875">
        <f t="shared" si="26"/>
        <v>0</v>
      </c>
      <c r="BW16" s="938" t="str">
        <f t="shared" si="16"/>
        <v/>
      </c>
      <c r="BX16" s="875">
        <f>'#orgDung'!T25*-1</f>
        <v>0</v>
      </c>
      <c r="BY16" s="875">
        <f t="shared" si="17"/>
        <v>0</v>
      </c>
      <c r="BZ16" s="938" t="str">
        <f>IF(U16&lt;&gt;"x",0,IF(P16&lt;4,"",(BW16+BX16-'#minDung'!N22)*-1))</f>
        <v/>
      </c>
      <c r="CB16" s="938">
        <f>IF(AND(AF16=70,U16="x"),'Flächen u. Kulturen'!A21,1000)</f>
        <v>1000</v>
      </c>
      <c r="CC16" s="875" t="str">
        <f>IF(AF16=70,VLOOKUP('Flächen u. Kulturen'!L21,Nebenkultur[[Nebenkultur]:[Legum. Zwischenfr.]],'#Zweitfr'!$I$1,FALSE),"--")</f>
        <v>--</v>
      </c>
      <c r="CD16" s="875" t="str">
        <f>IF(AF16=70,VLOOKUP('Flächen u. Kulturen'!L21,Nebenkultur[[Nebenkultur]:[Legum. Zwischenfr.]],'#Zweitfr'!$L$1,FALSE),"--")</f>
        <v>--</v>
      </c>
      <c r="CE16" s="875" t="str">
        <f>IF(AF16=70,VLOOKUP('Flächen u. Kulturen'!L21,Nebenkultur[[Nebenkultur]:[Legum. Zwischenfr.]],'#Zweitfr'!$M$1,FALSE),"--")</f>
        <v>--</v>
      </c>
      <c r="CF16" s="875" t="str">
        <f>IF(AF16=70,VLOOKUP('Flächen u. Kulturen'!L21,Nebenkultur[[Nebenkultur]:[Legum. Zwischenfr.]],'#Zweitfr'!$N$1,FALSE),"--")</f>
        <v>--</v>
      </c>
      <c r="CG16" s="875" t="str">
        <f>IF(AF16=70,VLOOKUP('Flächen u. Kulturen'!L21,Nebenkultur[[Nebenkultur]:[Legum. Zwischenfr.]],'#Zweitfr'!$O$1,FALSE),"--")</f>
        <v>--</v>
      </c>
      <c r="CH16" s="875" t="str">
        <f t="shared" si="9"/>
        <v>--</v>
      </c>
      <c r="CI16" s="938">
        <f>IF('Flächen u. Kulturen'!L21="",0,VLOOKUP('Flächen u. Kulturen'!L21,Nebenkultur[[Nebenkultur]:[Legum. Zwischenfr.]],'#Zweitfr'!$J$1,FALSE))</f>
        <v>0</v>
      </c>
      <c r="CJ16" s="875">
        <f t="shared" si="10"/>
        <v>0</v>
      </c>
      <c r="CK16" s="890">
        <f t="shared" si="11"/>
        <v>0</v>
      </c>
      <c r="CL16" s="938">
        <f>IF(AND(R16=1,AF16=70),'Flächen u. Kulturen'!W21*-1,0)</f>
        <v>0</v>
      </c>
      <c r="CM16" s="875">
        <f>'#orgDung'!AE25*-1</f>
        <v>0</v>
      </c>
      <c r="CN16" s="875">
        <f t="shared" si="27"/>
        <v>0</v>
      </c>
      <c r="CO16" s="875">
        <f t="shared" si="28"/>
        <v>0</v>
      </c>
      <c r="CP16" s="875">
        <f>'#Kürzungen'!AS141*-1</f>
        <v>0</v>
      </c>
      <c r="CQ16" s="875">
        <f t="shared" si="29"/>
        <v>0</v>
      </c>
      <c r="CR16" s="875">
        <f t="shared" si="30"/>
        <v>0</v>
      </c>
      <c r="CS16" s="875">
        <f>'#minDung'!R22</f>
        <v>0</v>
      </c>
      <c r="CT16" s="938">
        <f t="shared" si="18"/>
        <v>0</v>
      </c>
      <c r="CU16" s="52" t="str">
        <f>'#Kürzungen'!AQ141</f>
        <v xml:space="preserve"> </v>
      </c>
      <c r="CW16" s="247">
        <f>IF('Flächen u. Kulturen'!D21="",0,IF(ISNUMBER('Flächen u. Kulturen'!D21)=TRUE,2,1))</f>
        <v>0</v>
      </c>
      <c r="CX16" s="247">
        <f>IF('Flächen u. Kulturen'!E21="",0,COUNTIF('#Boden'!$B$47,'Flächen u. Kulturen'!E21)+1)</f>
        <v>2</v>
      </c>
      <c r="CY16" s="247">
        <f>IF('Flächen u. Kulturen'!F21="",0,COUNTIF('#Boden'!$G$4:$G$8,'Flächen u. Kulturen'!F21)+1)</f>
        <v>2</v>
      </c>
      <c r="CZ16" s="247">
        <f>IF('Flächen u. Kulturen'!G21="",0,COUNTIF('#Boden'!$B$26:$B$29,'Flächen u. Kulturen'!G21)+1)</f>
        <v>2</v>
      </c>
      <c r="DA16" s="247">
        <f>IF('Flächen u. Kulturen'!H21="",0,COUNTIF('#Boden'!$B$26:$B$29,'Flächen u. Kulturen'!H21)+1)</f>
        <v>2</v>
      </c>
      <c r="DB16" s="247">
        <f>IF('Flächen u. Kulturen'!I21="",0,COUNTIF('#Boden'!$B$9:$B$15,'Flächen u. Kulturen'!I21)+1)</f>
        <v>2</v>
      </c>
      <c r="DC16" s="247">
        <f>IF('Flächen u. Kulturen'!J21="",0,COUNTIF(Kulturen[HF],'Flächen u. Kulturen'!J21)+1)</f>
        <v>2</v>
      </c>
      <c r="DD16" s="247">
        <f>IF('Flächen u. Kulturen'!L21="",0,COUNTIF(Nebenkultur[Nebenkultur],'Flächen u. Kulturen'!L21)+1)</f>
        <v>2</v>
      </c>
      <c r="DE16" s="247">
        <f>IF('Flächen u. Kulturen'!M21="",0,COUNTIF('#Boden'!$G$17:$G$21,'Flächen u. Kulturen'!M21)+1)</f>
        <v>2</v>
      </c>
      <c r="DF16" s="247">
        <f>IF('Flächen u. Kulturen'!N21="",0,COUNTIF('#Boden'!$G$22:$G$24,'Flächen u. Kulturen'!N21)+1)</f>
        <v>2</v>
      </c>
      <c r="DG16" s="247">
        <f>IF('Flächen u. Kulturen'!P21="",0,COUNTIF(Kulturen[HF],'Flächen u. Kulturen'!P21)+1)</f>
        <v>2</v>
      </c>
      <c r="DH16" s="247">
        <f>IF('Flächen u. Kulturen'!T21="",0,COUNTIF('#Boden'!$B$30:$B$32,'Flächen u. Kulturen'!T21)+1)</f>
        <v>2</v>
      </c>
      <c r="DI16" s="247">
        <f>IF('Flächen u. Kulturen'!K21="",0,IF(ISNUMBER('Flächen u. Kulturen'!K21)=TRUE,2,1))</f>
        <v>0</v>
      </c>
      <c r="DJ16" s="247">
        <f>IF('Flächen u. Kulturen'!U21="",0,IF(ISNUMBER('Flächen u. Kulturen'!U21)=TRUE,2,1))</f>
        <v>0</v>
      </c>
      <c r="DK16" s="247">
        <f>IF('Flächen u. Kulturen'!V21="",0,IF(ISNUMBER('Flächen u. Kulturen'!V21)=TRUE,2,1))</f>
        <v>0</v>
      </c>
      <c r="DL16" s="247">
        <f>IF('Flächen u. Kulturen'!W21="",0,IF(ISNUMBER('Flächen u. Kulturen'!W21)=TRUE,2,1))</f>
        <v>0</v>
      </c>
      <c r="DM16" s="247">
        <f t="shared" si="31"/>
        <v>0</v>
      </c>
      <c r="DN16" s="247" t="s">
        <v>344</v>
      </c>
      <c r="DO16" s="247">
        <f>IF(U16&lt;&gt;"x","",IF(OR('Flächen u. Kulturen'!B21="",'Flächen u. Kulturen'!C21="",'Flächen u. Kulturen'!D21="",'Flächen u. Kulturen'!D21=0,'Flächen u. Kulturen'!F21="",'Flächen u. Kulturen'!F21='#Boden'!$G$4,'Flächen u. Kulturen'!G21="",'Flächen u. Kulturen'!G21='#Boden'!$B$26,'Flächen u. Kulturen'!H21="",'Flächen u. Kulturen'!H21='#Boden'!$B$23,AND(N16&lt;&gt;2,OR('Flächen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Kulturen'!Q21="",'#BerechnungDBE'!N16&lt;3),AND('Flächen u. Kulturen'!R21="",'#BerechnungDBE'!N16=3),AND(N16=1,AL16&gt;0,'Flächen u. Kulturen'!S21=""),AND(N16=1,OR('Flächen u. Kulturen'!T21="",'Flächen u. Kulturen'!T21='#Boden'!$B$30)),AND('#BerechnungDBE'!AF16=70,OR('Flächen u. Kulturen'!N21="",'Flächen u. Kulturen'!N21='#Boden'!$G$22,'Flächen u. Kulturen'!O21="")),AND('#BerechnungDBE'!AF16=80,OR('Flächen u. Kulturen'!M21="",'Flächen u. Kulturen'!M21='#Boden'!$G$17,'Flächen u. Kulturen'!N21="",'Flächen u. Kulturen'!N21='#Boden'!$G$22))),$DO$4,""))</f>
        <v>1</v>
      </c>
      <c r="DP16" s="247" t="str">
        <f>IF(U16&lt;&gt;"x","",IF(OR(LEFT('Flächen u. Kulturen'!J21,2)=" +",LEFT('Flächen u. Kulturen'!L21,2)=" +",LEFT('Flächen u. Kulturen'!P21,2)=" +"),$DP$4,""))</f>
        <v/>
      </c>
      <c r="DQ16" s="428" t="str">
        <f t="shared" si="12"/>
        <v/>
      </c>
      <c r="DR16" s="938" t="str">
        <f t="shared" si="13"/>
        <v/>
      </c>
      <c r="DS16" s="938" t="str">
        <f>IF('Flächen u. Kulturen'!X21="","",ROW('Flächen u. Kulturen'!X21))</f>
        <v/>
      </c>
    </row>
    <row r="17" spans="1:123" s="875" customFormat="1" x14ac:dyDescent="0.2">
      <c r="A17" s="875" t="str">
        <f>IF('Daten aus 2021'!H19="",'#Boden'!$B$26,IF('Daten aus 2021'!H19='#Boden'!$B$39,IF('Daten aus 2021'!F19='#Boden'!$B$29,'#Boden'!$B$29,IF('Daten aus 2021'!K19='#Boden'!$B$34,'#Boden'!$B$28,'#Boden'!$B$27)),'Daten aus 2021'!F19))</f>
        <v xml:space="preserve"> --</v>
      </c>
      <c r="B17" s="875" t="str">
        <f>IF('Daten aus 2021'!H19='#Boden'!$B$39,IF('Daten aus 2021'!L19='#Boden'!$B$61,'#Boden'!$B$11,'Daten aus 2021'!L19),IF('Daten aus 2021'!P19='#Boden'!$B$58,'#Boden'!$B$11,IF('Daten aus 2021'!P19='#Boden'!$B$57,'#Boden'!$B$10,'#Boden'!$B$9)))</f>
        <v xml:space="preserve"> --         </v>
      </c>
      <c r="C17" s="875" t="str">
        <f>IF('Daten aus 2021'!N19="","",VLOOKUP('Daten aus 2021'!N19,'#Boden'!$B$68:$C$89,2,FALSE))</f>
        <v/>
      </c>
      <c r="D17" s="875" t="str">
        <f>IF('Daten aus 2021'!M19="","",VLOOKUP('Daten aus 2021'!M19,'#Boden'!$D$69:$E$73,2,FALSE))</f>
        <v/>
      </c>
      <c r="E17" s="938" t="str">
        <f>IF(OR(C17='#Boden'!$C$68,C17='#Boden'!$C$70),C17,CONCATENATE(C17,D17))</f>
        <v/>
      </c>
      <c r="F17" s="882" t="str">
        <f>IFERROR(IF('Daten aus 2021'!H19="",'#Frucht'!$D$8,IF('Daten aus 2021'!H19='#Boden'!$B$39,E17,IF('Daten aus 2021'!H19='#Boden'!$B$38,IF(CONCATENATE(" ",'Daten aus 2021'!W19)=$B$2,VLOOKUP($B$3,'#Frucht'!$A$8:$D$372,4,FALSE),VLOOKUP(CONCATENATE(" ",'Daten aus 2021'!W19),'#Frucht'!$A$8:$D$372,4,FALSE)),IF(OR(LEFT('Daten aus 2021'!Q19,5)=" *10 ",LEFT('Daten aus 2021'!Q19,5)=" *11 ",LEFT('Daten aus 2021'!Q19,5)=" *12 ",LEFT('Daten aus 2021'!Q19,5)=" *13 ",LEFT('Daten aus 2021'!Q19,5)=" *14 ",LEFT('Daten aus 2021'!Q19,5)=" *15 "),VLOOKUP(RIGHT('Daten aus 2021'!Q19,LEN('Daten aus 2021'!Q19)-4),'#Frucht'!$A$8:$D$372,4,FALSE),IF(LEFT('Daten aus 2021'!Q19,2)=" *",VLOOKUP(RIGHT('Daten aus 2021'!Q19,LEN('Daten aus 2021'!Q19)-3),'#Frucht'!$A$8:$D$372,4,FALSE),VLOOKUP('Daten aus 2021'!Q19,'#Frucht'!$A$8:$D$372,4,FALSE)))))),'#Frucht'!$D$8)</f>
        <v xml:space="preserve"> --  </v>
      </c>
      <c r="G17" s="127"/>
      <c r="H17" s="31"/>
      <c r="J17" s="938" t="str">
        <f>IF(OR(N17=3,$K$3=0,'Flächen u. Kulturen'!P22=""),"",IF(VLOOKUP('Flächen u. Kulturen'!P22,Kulturen[[HF]:[780]],'#BerechnungDBE'!$K$3,FALSE)=".","",VLOOKUP('Flächen u. Kulturen'!P22,Kulturen[[HF]:[780]],'#BerechnungDBE'!$K$3,FALSE)))</f>
        <v/>
      </c>
      <c r="K17" s="938" t="str">
        <f>IF(OR($K$3=0,'Flächen u. Kulturen'!P22=""),"",IF(N17=3,IF(VLOOKUP('Flächen u. Kulturen'!P22,Kulturen[[HF]:[780]],'#BerechnungDBE'!$K$3,FALSE)=".","",VLOOKUP('Flächen u. Kulturen'!P22,Kulturen[[HF]:[780]],'#BerechnungDBE'!$K$3,FALSE)),""))</f>
        <v/>
      </c>
      <c r="L17" s="367">
        <f>IF('Flächen u. Kulturen'!D22="",0,'Flächen u. Kulturen'!D22)</f>
        <v>0</v>
      </c>
      <c r="M17" s="693">
        <f>IF('Flächen u. Kulturen'!J22="",0,VLOOKUP('Flächen u. Kulturen'!J22,Kulturen[[HF]:[Berechnungsgruppe]],'#Frucht'!$W$1,FALSE))</f>
        <v>1</v>
      </c>
      <c r="N17" s="693">
        <f>IF('Flächen u. Kulturen'!P22="",0,VLOOKUP('Flächen u. Kulturen'!P22,Kulturen[[HF]:[Berechnungsgruppe]],'#Frucht'!$W$1,FALSE))</f>
        <v>1</v>
      </c>
      <c r="O17" s="875">
        <f>IF(N17&lt;&gt;2,N17,IF('Flächen u. Kulturen'!J22='Flächen u. Kulturen'!P22,2,1))</f>
        <v>1</v>
      </c>
      <c r="P17" s="875">
        <f>IF('Flächen u. Kulturen'!F22="",0,VLOOKUP('Flächen u. Kulturen'!F22,'#Boden'!$G$4:$H$8,'#Boden'!$H$1,FALSE))</f>
        <v>1</v>
      </c>
      <c r="Q17" s="875">
        <f>IF('Flächen u. Kulturen'!G22="",0,VLOOKUP('Flächen u. Kulturen'!G22,'#Boden'!$B$26:$C$29,'#Boden'!$C$1,FALSE))</f>
        <v>1</v>
      </c>
      <c r="R17" s="875">
        <f t="shared" si="19"/>
        <v>1</v>
      </c>
      <c r="S17" s="875">
        <f t="shared" si="20"/>
        <v>1</v>
      </c>
      <c r="T17" s="875">
        <f>IF('Flächen u. Kulturen'!H22="",0,VLOOKUP('Flächen u. Kulturen'!H22,'#Boden'!$B$23:$C$25,'#Boden'!$C$1,FALSE))</f>
        <v>2</v>
      </c>
      <c r="U17" s="875" t="str">
        <f>'Flächen u. Kulturen'!E22</f>
        <v>x</v>
      </c>
      <c r="V17" s="938">
        <f>IF('Flächen u. Kulturen'!Q22="",0,_xlfn.NUMBERVALUE('Flächen u. Kulturen'!Q22))</f>
        <v>0</v>
      </c>
      <c r="W17" s="938">
        <f>IF('Flächen u. Kulturen'!R22="",0,_xlfn.NUMBERVALUE('Flächen u. Kulturen'!R22))</f>
        <v>0</v>
      </c>
      <c r="X17" s="875">
        <f>IF('Flächen u. Kulturen'!T22="",0,VLOOKUP('Flächen u. Kulturen'!T22,'#Boden'!$B$30:$C$32,'#Boden'!$C$1,FALSE))</f>
        <v>1</v>
      </c>
      <c r="Y17" s="875">
        <f>IF('Flächen u. Kulturen'!P22="",0,VLOOKUP('Flächen u. Kulturen'!P22,Kulturen[[HF]:[Berechnungsgruppe]],'#Frucht'!$N$1,FALSE))</f>
        <v>0</v>
      </c>
      <c r="Z17" s="875">
        <f t="shared" si="21"/>
        <v>2</v>
      </c>
      <c r="AA17" s="875">
        <f>IF('Flächen u. Kulturen'!P22="",0,VLOOKUP('Flächen u. Kulturen'!P22,Kulturen[[HF]:[Berechnungsgruppe]],'#Frucht'!$V$1,FALSE))</f>
        <v>0</v>
      </c>
      <c r="AB17" s="875">
        <f>IF(N17=1,VLOOKUP('Flächen u. Kulturen'!P22,Kulturen[[HF]:[Ernteprodukt]],'#Frucht'!$I$1,FALSE),4)</f>
        <v>4</v>
      </c>
      <c r="AC17" s="921">
        <f>IF('Flächen u. Kulturen'!J22="",0,VLOOKUP('Flächen u. Kulturen'!J22,Kulturen[[HF]:[Berechnungsgruppe]],'#Frucht'!$G$1,FALSE))</f>
        <v>90</v>
      </c>
      <c r="AD17" s="921">
        <f>IF('Flächen u. Kulturen'!P22="",0,VLOOKUP('Flächen u. Kulturen'!P22,Kulturen[[HF]:[Berechnungsgruppe]],'#Frucht'!$G$1,FALSE))</f>
        <v>90</v>
      </c>
      <c r="AE17" s="938">
        <f>IF('Flächen u. Kulturen'!P22="",0,VLOOKUP('Flächen u. Kulturen'!P22,Kulturen[[HF]:[SollwertMinusNfix]],'#Frucht'!$X$1,FALSE))</f>
        <v>0</v>
      </c>
      <c r="AF17" s="875">
        <f>IF('Flächen u. Kulturen'!L22="",0,VLOOKUP('Flächen u. Kulturen'!L22,Nebenkultur[[Nebenkultur]:[Berechnungsschema]],'#Zweitfr'!$G$1,FALSE))</f>
        <v>0</v>
      </c>
      <c r="AG17" s="875">
        <f>IF('Flächen u. Kulturen'!L22="",0,VLOOKUP('Flächen u. Kulturen'!L22,'#Zweitfr'!$D$8:$Q$27,'#Zweitfr'!$Q$1,FALSE))</f>
        <v>0</v>
      </c>
      <c r="AH17" s="875">
        <f>IF('Flächen u. Kulturen'!M22="",0,VLOOKUP('Flächen u. Kulturen'!M22,'#Boden'!$G$17:$H$21,2,FALSE))</f>
        <v>1</v>
      </c>
      <c r="AI17" s="875">
        <f>IF('Flächen u. Kulturen'!N22="",0,VLOOKUP('Flächen u. Kulturen'!N22,'#Boden'!$G$22:$H$24,'#Boden'!$H$1,FALSE))</f>
        <v>1</v>
      </c>
      <c r="AJ17" s="938">
        <f>IF('Flächen u. Kulturen'!O22="",0,_xlfn.NUMBERVALUE('Flächen u. Kulturen'!O22))</f>
        <v>0</v>
      </c>
      <c r="AK17" s="938">
        <f>IF('Flächen u. Kulturen'!L22="",0,VLOOKUP('Flächen u. Kulturen'!L22,Nebenkultur[[Nebenkultur]:[Legum. Zwischenfr.]],'#Zweitfr'!$P$1,FALSE))</f>
        <v>0</v>
      </c>
      <c r="AL17" s="875">
        <f>IF('Flächen u. Kulturen'!P22="",0,VLOOKUP('Flächen u. Kulturen'!P22,Kulturen[[HF]:[Berechnungsgruppe]],'#Frucht'!$Q$1,FALSE))</f>
        <v>0</v>
      </c>
      <c r="AM17" s="875">
        <f>IF('Flächen u. Kulturen'!P22="",0,VLOOKUP('Flächen u. Kulturen'!P22,Kulturen[[HF]:[Berechnungsgruppe]],'#Frucht'!$M$1,FALSE))</f>
        <v>0</v>
      </c>
      <c r="AN17" s="875">
        <f>IF('Flächen u. Kulturen'!P22="",1,VLOOKUP('Flächen u. Kulturen'!P22,Kulturen[[HF]:[Berechnungsgruppe]],'#Frucht'!$R$1,FALSE))</f>
        <v>10</v>
      </c>
      <c r="AO17" s="875">
        <f>IF('Flächen u. Kulturen'!P22="",0,VLOOKUP('Flächen u. Kulturen'!P22,Kulturen[[HF]:[Berechnungsgruppe]],'#Frucht'!$S$1,FALSE))</f>
        <v>0</v>
      </c>
      <c r="AP17" s="875">
        <f>IF('Flächen u. Kulturen'!P22="",0,VLOOKUP('Flächen u. Kulturen'!P22,Kulturen[[HF]:[Berechnungsgruppe]],'#Frucht'!$T$1,FALSE))</f>
        <v>0</v>
      </c>
      <c r="AQ17" s="938">
        <f t="shared" si="1"/>
        <v>0</v>
      </c>
      <c r="AR17" s="875">
        <f t="shared" si="2"/>
        <v>0</v>
      </c>
      <c r="AS17" s="938">
        <f t="shared" si="3"/>
        <v>0</v>
      </c>
      <c r="AT17" s="875">
        <f>IF(N17=1,'Flächen u. Kulturen'!S22*-1,"--")</f>
        <v>0</v>
      </c>
      <c r="AU17" s="938">
        <f>IF(OR(N17=2,'Flächen u. Kulturen'!I22=""),"--",IF(N17=3,VLOOKUP('Flächen u. Kulturen'!I22,'#Boden'!$B$9:$E$15,'#Boden'!$D$1,FALSE),VLOOKUP('Flächen u. Kulturen'!I22,'#Boden'!$B$9:$E$15,'#Boden'!$E$1,FALSE)))</f>
        <v>0</v>
      </c>
      <c r="AV17" s="938">
        <f>IF(N17=1,IF('Flächen u. Kulturen'!J22="",0,VLOOKUP('Flächen u. Kulturen'!J22,Kulturen[[HF]:[Berechnungsgruppe]],'#Frucht'!$U$1,FALSE)*-1),"--")</f>
        <v>0</v>
      </c>
      <c r="AW17" s="875">
        <f t="shared" si="4"/>
        <v>0</v>
      </c>
      <c r="AX17" s="875">
        <f>IF('Flächen u. Kulturen'!K22="",0,'Flächen u. Kulturen'!K22*-0.1)</f>
        <v>0</v>
      </c>
      <c r="AY17" s="875">
        <f>IF(N17&lt;3,'#orgDung'!AC26*0.1*-1,"--")</f>
        <v>0</v>
      </c>
      <c r="AZ17" s="31" t="str">
        <f>IF(AND('#orgDung'!J26&lt;&gt;2,'#orgDung'!F26=1),('#orgDung'!V26+'#minDung'!O23)*-1,"--")</f>
        <v>--</v>
      </c>
      <c r="BA17" s="875">
        <f t="shared" si="22"/>
        <v>0</v>
      </c>
      <c r="BB17" s="938">
        <f>IF(R17=2,0,'Flächen u. Kulturen'!V22*-1)</f>
        <v>0</v>
      </c>
      <c r="BC17" s="875">
        <f t="shared" si="23"/>
        <v>0</v>
      </c>
      <c r="BD17" s="127">
        <f>'#orgDung'!W26*-1</f>
        <v>0</v>
      </c>
      <c r="BE17" s="910">
        <f>'#orgDung'!AA26*-1</f>
        <v>0</v>
      </c>
      <c r="BF17" s="875">
        <f>'#orgDung'!Z26*-1</f>
        <v>0</v>
      </c>
      <c r="BG17" s="938">
        <f t="shared" si="14"/>
        <v>0</v>
      </c>
      <c r="BH17" s="875">
        <f>'#Kürzungen'!AS41*-1</f>
        <v>0</v>
      </c>
      <c r="BI17" s="875">
        <f t="shared" si="5"/>
        <v>0</v>
      </c>
      <c r="BJ17" s="910">
        <f t="shared" si="6"/>
        <v>0</v>
      </c>
      <c r="BK17" s="875">
        <f>'#minDung'!P23</f>
        <v>0</v>
      </c>
      <c r="BL17" s="938">
        <f t="shared" si="15"/>
        <v>0</v>
      </c>
      <c r="BM17" s="938">
        <f t="shared" si="7"/>
        <v>0</v>
      </c>
      <c r="BN17" s="875">
        <f>IF('Flächen u. Kulturen'!P22="",0,VLOOKUP('Flächen u. Kulturen'!P22,Kulturen[[HF]:[Berechnungsgruppe]],'#Frucht'!$K$1,FALSE))</f>
        <v>0</v>
      </c>
      <c r="BO17" s="875">
        <f>IF('Flächen u. Kulturen'!P22="",0,VLOOKUP('Flächen u. Kulturen'!P22,Kulturen[[HF]:[Berechnungsgruppe]],'#Frucht'!$L$1,FALSE))</f>
        <v>0</v>
      </c>
      <c r="BP17" s="875">
        <f>IF('Flächen u. Kulturen'!L22="",0,VLOOKUP('Flächen u. Kulturen'!L22,Nebenkultur[[Nebenkultur]:[Legum. Zwischenfr.]],'#Zweitfr'!$H$1,FALSE))</f>
        <v>0</v>
      </c>
      <c r="BQ17" s="938">
        <f>IF(N17=3,W17*BO17,IF('Flächen u. Kulturen'!T22='#Boden'!$B$32,V17*BN17,V17*BO17))</f>
        <v>0</v>
      </c>
      <c r="BR17" s="938">
        <f t="shared" si="8"/>
        <v>0</v>
      </c>
      <c r="BS17" s="875">
        <f t="shared" si="24"/>
        <v>0</v>
      </c>
      <c r="BT17" s="875">
        <f>IF('Flächen u. Kulturen'!F22="",0,IF(N17=3,VLOOKUP('Flächen u. Kulturen'!F22,'#Boden'!$G$4:$J$8,'#Boden'!$J$1,FALSE),VLOOKUP('Flächen u. Kulturen'!F22,'#Boden'!$G$4:$J$8,'#Boden'!$I$1,FALSE)))</f>
        <v>0</v>
      </c>
      <c r="BU17" s="41">
        <f t="shared" si="25"/>
        <v>0</v>
      </c>
      <c r="BV17" s="875">
        <f t="shared" si="26"/>
        <v>0</v>
      </c>
      <c r="BW17" s="938" t="str">
        <f t="shared" si="16"/>
        <v/>
      </c>
      <c r="BX17" s="875">
        <f>'#orgDung'!T26*-1</f>
        <v>0</v>
      </c>
      <c r="BY17" s="875">
        <f t="shared" si="17"/>
        <v>0</v>
      </c>
      <c r="BZ17" s="938" t="str">
        <f>IF(U17&lt;&gt;"x",0,IF(P17&lt;4,"",(BW17+BX17-'#minDung'!N23)*-1))</f>
        <v/>
      </c>
      <c r="CB17" s="938">
        <f>IF(AND(AF17=70,U17="x"),'Flächen u. Kulturen'!A22,1000)</f>
        <v>1000</v>
      </c>
      <c r="CC17" s="875" t="str">
        <f>IF(AF17=70,VLOOKUP('Flächen u. Kulturen'!L22,Nebenkultur[[Nebenkultur]:[Legum. Zwischenfr.]],'#Zweitfr'!$I$1,FALSE),"--")</f>
        <v>--</v>
      </c>
      <c r="CD17" s="875" t="str">
        <f>IF(AF17=70,VLOOKUP('Flächen u. Kulturen'!L22,Nebenkultur[[Nebenkultur]:[Legum. Zwischenfr.]],'#Zweitfr'!$L$1,FALSE),"--")</f>
        <v>--</v>
      </c>
      <c r="CE17" s="875" t="str">
        <f>IF(AF17=70,VLOOKUP('Flächen u. Kulturen'!L22,Nebenkultur[[Nebenkultur]:[Legum. Zwischenfr.]],'#Zweitfr'!$M$1,FALSE),"--")</f>
        <v>--</v>
      </c>
      <c r="CF17" s="875" t="str">
        <f>IF(AF17=70,VLOOKUP('Flächen u. Kulturen'!L22,Nebenkultur[[Nebenkultur]:[Legum. Zwischenfr.]],'#Zweitfr'!$N$1,FALSE),"--")</f>
        <v>--</v>
      </c>
      <c r="CG17" s="875" t="str">
        <f>IF(AF17=70,VLOOKUP('Flächen u. Kulturen'!L22,Nebenkultur[[Nebenkultur]:[Legum. Zwischenfr.]],'#Zweitfr'!$O$1,FALSE),"--")</f>
        <v>--</v>
      </c>
      <c r="CH17" s="875" t="str">
        <f t="shared" si="9"/>
        <v>--</v>
      </c>
      <c r="CI17" s="938">
        <f>IF('Flächen u. Kulturen'!L22="",0,VLOOKUP('Flächen u. Kulturen'!L22,Nebenkultur[[Nebenkultur]:[Legum. Zwischenfr.]],'#Zweitfr'!$J$1,FALSE))</f>
        <v>0</v>
      </c>
      <c r="CJ17" s="875">
        <f t="shared" si="10"/>
        <v>0</v>
      </c>
      <c r="CK17" s="890">
        <f t="shared" si="11"/>
        <v>0</v>
      </c>
      <c r="CL17" s="938">
        <f>IF(AND(R17=1,AF17=70),'Flächen u. Kulturen'!W22*-1,0)</f>
        <v>0</v>
      </c>
      <c r="CM17" s="875">
        <f>'#orgDung'!AE26*-1</f>
        <v>0</v>
      </c>
      <c r="CN17" s="875">
        <f t="shared" si="27"/>
        <v>0</v>
      </c>
      <c r="CO17" s="875">
        <f t="shared" si="28"/>
        <v>0</v>
      </c>
      <c r="CP17" s="875">
        <f>'#Kürzungen'!AS142*-1</f>
        <v>0</v>
      </c>
      <c r="CQ17" s="875">
        <f t="shared" si="29"/>
        <v>0</v>
      </c>
      <c r="CR17" s="875">
        <f t="shared" si="30"/>
        <v>0</v>
      </c>
      <c r="CS17" s="875">
        <f>'#minDung'!R23</f>
        <v>0</v>
      </c>
      <c r="CT17" s="938">
        <f t="shared" si="18"/>
        <v>0</v>
      </c>
      <c r="CU17" s="52" t="str">
        <f>'#Kürzungen'!AQ142</f>
        <v xml:space="preserve"> </v>
      </c>
      <c r="CW17" s="247">
        <f>IF('Flächen u. Kulturen'!D22="",0,IF(ISNUMBER('Flächen u. Kulturen'!D22)=TRUE,2,1))</f>
        <v>0</v>
      </c>
      <c r="CX17" s="247">
        <f>IF('Flächen u. Kulturen'!E22="",0,COUNTIF('#Boden'!$B$47,'Flächen u. Kulturen'!E22)+1)</f>
        <v>2</v>
      </c>
      <c r="CY17" s="247">
        <f>IF('Flächen u. Kulturen'!F22="",0,COUNTIF('#Boden'!$G$4:$G$8,'Flächen u. Kulturen'!F22)+1)</f>
        <v>2</v>
      </c>
      <c r="CZ17" s="247">
        <f>IF('Flächen u. Kulturen'!G22="",0,COUNTIF('#Boden'!$B$26:$B$29,'Flächen u. Kulturen'!G22)+1)</f>
        <v>2</v>
      </c>
      <c r="DA17" s="247">
        <f>IF('Flächen u. Kulturen'!H22="",0,COUNTIF('#Boden'!$B$26:$B$29,'Flächen u. Kulturen'!H22)+1)</f>
        <v>2</v>
      </c>
      <c r="DB17" s="247">
        <f>IF('Flächen u. Kulturen'!I22="",0,COUNTIF('#Boden'!$B$9:$B$15,'Flächen u. Kulturen'!I22)+1)</f>
        <v>2</v>
      </c>
      <c r="DC17" s="247">
        <f>IF('Flächen u. Kulturen'!J22="",0,COUNTIF(Kulturen[HF],'Flächen u. Kulturen'!J22)+1)</f>
        <v>2</v>
      </c>
      <c r="DD17" s="247">
        <f>IF('Flächen u. Kulturen'!L22="",0,COUNTIF(Nebenkultur[Nebenkultur],'Flächen u. Kulturen'!L22)+1)</f>
        <v>2</v>
      </c>
      <c r="DE17" s="247">
        <f>IF('Flächen u. Kulturen'!M22="",0,COUNTIF('#Boden'!$G$17:$G$21,'Flächen u. Kulturen'!M22)+1)</f>
        <v>2</v>
      </c>
      <c r="DF17" s="247">
        <f>IF('Flächen u. Kulturen'!N22="",0,COUNTIF('#Boden'!$G$22:$G$24,'Flächen u. Kulturen'!N22)+1)</f>
        <v>2</v>
      </c>
      <c r="DG17" s="247">
        <f>IF('Flächen u. Kulturen'!P22="",0,COUNTIF(Kulturen[HF],'Flächen u. Kulturen'!P22)+1)</f>
        <v>2</v>
      </c>
      <c r="DH17" s="247">
        <f>IF('Flächen u. Kulturen'!T22="",0,COUNTIF('#Boden'!$B$30:$B$32,'Flächen u. Kulturen'!T22)+1)</f>
        <v>2</v>
      </c>
      <c r="DI17" s="247">
        <f>IF('Flächen u. Kulturen'!K22="",0,IF(ISNUMBER('Flächen u. Kulturen'!K22)=TRUE,2,1))</f>
        <v>0</v>
      </c>
      <c r="DJ17" s="247">
        <f>IF('Flächen u. Kulturen'!U22="",0,IF(ISNUMBER('Flächen u. Kulturen'!U22)=TRUE,2,1))</f>
        <v>0</v>
      </c>
      <c r="DK17" s="247">
        <f>IF('Flächen u. Kulturen'!V22="",0,IF(ISNUMBER('Flächen u. Kulturen'!V22)=TRUE,2,1))</f>
        <v>0</v>
      </c>
      <c r="DL17" s="247">
        <f>IF('Flächen u. Kulturen'!W22="",0,IF(ISNUMBER('Flächen u. Kulturen'!W22)=TRUE,2,1))</f>
        <v>0</v>
      </c>
      <c r="DM17" s="247">
        <f t="shared" si="31"/>
        <v>0</v>
      </c>
      <c r="DN17" s="247" t="s">
        <v>344</v>
      </c>
      <c r="DO17" s="247">
        <f>IF(U17&lt;&gt;"x","",IF(OR('Flächen u. Kulturen'!B22="",'Flächen u. Kulturen'!C22="",'Flächen u. Kulturen'!D22="",'Flächen u. Kulturen'!D22=0,'Flächen u. Kulturen'!F22="",'Flächen u. Kulturen'!F22='#Boden'!$G$4,'Flächen u. Kulturen'!G22="",'Flächen u. Kulturen'!G22='#Boden'!$B$26,'Flächen u. Kulturen'!H22="",'Flächen u. Kulturen'!H22='#Boden'!$B$23,AND(N17&lt;&gt;2,OR('Flächen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Kulturen'!Q22="",'#BerechnungDBE'!N17&lt;3),AND('Flächen u. Kulturen'!R22="",'#BerechnungDBE'!N17=3),AND(N17=1,AL17&gt;0,'Flächen u. Kulturen'!S22=""),AND(N17=1,OR('Flächen u. Kulturen'!T22="",'Flächen u. Kulturen'!T22='#Boden'!$B$30)),AND('#BerechnungDBE'!AF17=70,OR('Flächen u. Kulturen'!N22="",'Flächen u. Kulturen'!N22='#Boden'!$G$22,'Flächen u. Kulturen'!O22="")),AND('#BerechnungDBE'!AF17=80,OR('Flächen u. Kulturen'!M22="",'Flächen u. Kulturen'!M22='#Boden'!$G$17,'Flächen u. Kulturen'!N22="",'Flächen u. Kulturen'!N22='#Boden'!$G$22))),$DO$4,""))</f>
        <v>1</v>
      </c>
      <c r="DP17" s="247" t="str">
        <f>IF(U17&lt;&gt;"x","",IF(OR(LEFT('Flächen u. Kulturen'!J22,2)=" +",LEFT('Flächen u. Kulturen'!L22,2)=" +",LEFT('Flächen u. Kulturen'!P22,2)=" +"),$DP$4,""))</f>
        <v/>
      </c>
      <c r="DQ17" s="428" t="str">
        <f t="shared" si="12"/>
        <v/>
      </c>
      <c r="DR17" s="938" t="str">
        <f t="shared" si="13"/>
        <v/>
      </c>
      <c r="DS17" s="938" t="str">
        <f>IF('Flächen u. Kulturen'!X22="","",ROW('Flächen u. Kulturen'!X22))</f>
        <v/>
      </c>
    </row>
    <row r="18" spans="1:123" s="875" customFormat="1" x14ac:dyDescent="0.2">
      <c r="A18" s="875" t="str">
        <f>IF('Daten aus 2021'!H20="",'#Boden'!$B$26,IF('Daten aus 2021'!H20='#Boden'!$B$39,IF('Daten aus 2021'!F20='#Boden'!$B$29,'#Boden'!$B$29,IF('Daten aus 2021'!K20='#Boden'!$B$34,'#Boden'!$B$28,'#Boden'!$B$27)),'Daten aus 2021'!F20))</f>
        <v xml:space="preserve"> --</v>
      </c>
      <c r="B18" s="875" t="str">
        <f>IF('Daten aus 2021'!H20='#Boden'!$B$39,IF('Daten aus 2021'!L20='#Boden'!$B$61,'#Boden'!$B$11,'Daten aus 2021'!L20),IF('Daten aus 2021'!P20='#Boden'!$B$58,'#Boden'!$B$11,IF('Daten aus 2021'!P20='#Boden'!$B$57,'#Boden'!$B$10,'#Boden'!$B$9)))</f>
        <v xml:space="preserve"> --         </v>
      </c>
      <c r="C18" s="875" t="str">
        <f>IF('Daten aus 2021'!N20="","",VLOOKUP('Daten aus 2021'!N20,'#Boden'!$B$68:$C$89,2,FALSE))</f>
        <v/>
      </c>
      <c r="D18" s="875" t="str">
        <f>IF('Daten aus 2021'!M20="","",VLOOKUP('Daten aus 2021'!M20,'#Boden'!$D$69:$E$73,2,FALSE))</f>
        <v/>
      </c>
      <c r="E18" s="938" t="str">
        <f>IF(OR(C18='#Boden'!$C$68,C18='#Boden'!$C$70),C18,CONCATENATE(C18,D18))</f>
        <v/>
      </c>
      <c r="F18" s="882" t="str">
        <f>IFERROR(IF('Daten aus 2021'!H20="",'#Frucht'!$D$8,IF('Daten aus 2021'!H20='#Boden'!$B$39,E18,IF('Daten aus 2021'!H20='#Boden'!$B$38,IF(CONCATENATE(" ",'Daten aus 2021'!W20)=$B$2,VLOOKUP($B$3,'#Frucht'!$A$8:$D$372,4,FALSE),VLOOKUP(CONCATENATE(" ",'Daten aus 2021'!W20),'#Frucht'!$A$8:$D$372,4,FALSE)),IF(OR(LEFT('Daten aus 2021'!Q20,5)=" *10 ",LEFT('Daten aus 2021'!Q20,5)=" *11 ",LEFT('Daten aus 2021'!Q20,5)=" *12 ",LEFT('Daten aus 2021'!Q20,5)=" *13 ",LEFT('Daten aus 2021'!Q20,5)=" *14 ",LEFT('Daten aus 2021'!Q20,5)=" *15 "),VLOOKUP(RIGHT('Daten aus 2021'!Q20,LEN('Daten aus 2021'!Q20)-4),'#Frucht'!$A$8:$D$372,4,FALSE),IF(LEFT('Daten aus 2021'!Q20,2)=" *",VLOOKUP(RIGHT('Daten aus 2021'!Q20,LEN('Daten aus 2021'!Q20)-3),'#Frucht'!$A$8:$D$372,4,FALSE),VLOOKUP('Daten aus 2021'!Q20,'#Frucht'!$A$8:$D$372,4,FALSE)))))),'#Frucht'!$D$8)</f>
        <v xml:space="preserve"> --  </v>
      </c>
      <c r="G18" s="127"/>
      <c r="H18" s="31"/>
      <c r="J18" s="938" t="str">
        <f>IF(OR(N18=3,$K$3=0,'Flächen u. Kulturen'!P23=""),"",IF(VLOOKUP('Flächen u. Kulturen'!P23,Kulturen[[HF]:[780]],'#BerechnungDBE'!$K$3,FALSE)=".","",VLOOKUP('Flächen u. Kulturen'!P23,Kulturen[[HF]:[780]],'#BerechnungDBE'!$K$3,FALSE)))</f>
        <v/>
      </c>
      <c r="K18" s="938" t="str">
        <f>IF(OR($K$3=0,'Flächen u. Kulturen'!P23=""),"",IF(N18=3,IF(VLOOKUP('Flächen u. Kulturen'!P23,Kulturen[[HF]:[780]],'#BerechnungDBE'!$K$3,FALSE)=".","",VLOOKUP('Flächen u. Kulturen'!P23,Kulturen[[HF]:[780]],'#BerechnungDBE'!$K$3,FALSE)),""))</f>
        <v/>
      </c>
      <c r="L18" s="367">
        <f>IF('Flächen u. Kulturen'!D23="",0,'Flächen u. Kulturen'!D23)</f>
        <v>0</v>
      </c>
      <c r="M18" s="693">
        <f>IF('Flächen u. Kulturen'!J23="",0,VLOOKUP('Flächen u. Kulturen'!J23,Kulturen[[HF]:[Berechnungsgruppe]],'#Frucht'!$W$1,FALSE))</f>
        <v>1</v>
      </c>
      <c r="N18" s="693">
        <f>IF('Flächen u. Kulturen'!P23="",0,VLOOKUP('Flächen u. Kulturen'!P23,Kulturen[[HF]:[Berechnungsgruppe]],'#Frucht'!$W$1,FALSE))</f>
        <v>1</v>
      </c>
      <c r="O18" s="875">
        <f>IF(N18&lt;&gt;2,N18,IF('Flächen u. Kulturen'!J23='Flächen u. Kulturen'!P23,2,1))</f>
        <v>1</v>
      </c>
      <c r="P18" s="875">
        <f>IF('Flächen u. Kulturen'!F23="",0,VLOOKUP('Flächen u. Kulturen'!F23,'#Boden'!$G$4:$H$8,'#Boden'!$H$1,FALSE))</f>
        <v>1</v>
      </c>
      <c r="Q18" s="875">
        <f>IF('Flächen u. Kulturen'!G23="",0,VLOOKUP('Flächen u. Kulturen'!G23,'#Boden'!$B$26:$C$29,'#Boden'!$C$1,FALSE))</f>
        <v>1</v>
      </c>
      <c r="R18" s="875">
        <f t="shared" si="19"/>
        <v>1</v>
      </c>
      <c r="S18" s="875">
        <f t="shared" si="20"/>
        <v>1</v>
      </c>
      <c r="T18" s="875">
        <f>IF('Flächen u. Kulturen'!H23="",0,VLOOKUP('Flächen u. Kulturen'!H23,'#Boden'!$B$23:$C$25,'#Boden'!$C$1,FALSE))</f>
        <v>2</v>
      </c>
      <c r="U18" s="875" t="str">
        <f>'Flächen u. Kulturen'!E23</f>
        <v>x</v>
      </c>
      <c r="V18" s="938">
        <f>IF('Flächen u. Kulturen'!Q23="",0,_xlfn.NUMBERVALUE('Flächen u. Kulturen'!Q23))</f>
        <v>0</v>
      </c>
      <c r="W18" s="938">
        <f>IF('Flächen u. Kulturen'!R23="",0,_xlfn.NUMBERVALUE('Flächen u. Kulturen'!R23))</f>
        <v>0</v>
      </c>
      <c r="X18" s="875">
        <f>IF('Flächen u. Kulturen'!T23="",0,VLOOKUP('Flächen u. Kulturen'!T23,'#Boden'!$B$30:$C$32,'#Boden'!$C$1,FALSE))</f>
        <v>1</v>
      </c>
      <c r="Y18" s="875">
        <f>IF('Flächen u. Kulturen'!P23="",0,VLOOKUP('Flächen u. Kulturen'!P23,Kulturen[[HF]:[Berechnungsgruppe]],'#Frucht'!$N$1,FALSE))</f>
        <v>0</v>
      </c>
      <c r="Z18" s="875">
        <f t="shared" si="21"/>
        <v>2</v>
      </c>
      <c r="AA18" s="875">
        <f>IF('Flächen u. Kulturen'!P23="",0,VLOOKUP('Flächen u. Kulturen'!P23,Kulturen[[HF]:[Berechnungsgruppe]],'#Frucht'!$V$1,FALSE))</f>
        <v>0</v>
      </c>
      <c r="AB18" s="875">
        <f>IF(N18=1,VLOOKUP('Flächen u. Kulturen'!P23,Kulturen[[HF]:[Ernteprodukt]],'#Frucht'!$I$1,FALSE),4)</f>
        <v>4</v>
      </c>
      <c r="AC18" s="921">
        <f>IF('Flächen u. Kulturen'!J23="",0,VLOOKUP('Flächen u. Kulturen'!J23,Kulturen[[HF]:[Berechnungsgruppe]],'#Frucht'!$G$1,FALSE))</f>
        <v>90</v>
      </c>
      <c r="AD18" s="921">
        <f>IF('Flächen u. Kulturen'!P23="",0,VLOOKUP('Flächen u. Kulturen'!P23,Kulturen[[HF]:[Berechnungsgruppe]],'#Frucht'!$G$1,FALSE))</f>
        <v>90</v>
      </c>
      <c r="AE18" s="938">
        <f>IF('Flächen u. Kulturen'!P23="",0,VLOOKUP('Flächen u. Kulturen'!P23,Kulturen[[HF]:[SollwertMinusNfix]],'#Frucht'!$X$1,FALSE))</f>
        <v>0</v>
      </c>
      <c r="AF18" s="875">
        <f>IF('Flächen u. Kulturen'!L23="",0,VLOOKUP('Flächen u. Kulturen'!L23,Nebenkultur[[Nebenkultur]:[Berechnungsschema]],'#Zweitfr'!$G$1,FALSE))</f>
        <v>0</v>
      </c>
      <c r="AG18" s="875">
        <f>IF('Flächen u. Kulturen'!L23="",0,VLOOKUP('Flächen u. Kulturen'!L23,'#Zweitfr'!$D$8:$Q$27,'#Zweitfr'!$Q$1,FALSE))</f>
        <v>0</v>
      </c>
      <c r="AH18" s="875">
        <f>IF('Flächen u. Kulturen'!M23="",0,VLOOKUP('Flächen u. Kulturen'!M23,'#Boden'!$G$17:$H$21,2,FALSE))</f>
        <v>1</v>
      </c>
      <c r="AI18" s="875">
        <f>IF('Flächen u. Kulturen'!N23="",0,VLOOKUP('Flächen u. Kulturen'!N23,'#Boden'!$G$22:$H$24,'#Boden'!$H$1,FALSE))</f>
        <v>1</v>
      </c>
      <c r="AJ18" s="938">
        <f>IF('Flächen u. Kulturen'!O23="",0,_xlfn.NUMBERVALUE('Flächen u. Kulturen'!O23))</f>
        <v>0</v>
      </c>
      <c r="AK18" s="938">
        <f>IF('Flächen u. Kulturen'!L23="",0,VLOOKUP('Flächen u. Kulturen'!L23,Nebenkultur[[Nebenkultur]:[Legum. Zwischenfr.]],'#Zweitfr'!$P$1,FALSE))</f>
        <v>0</v>
      </c>
      <c r="AL18" s="875">
        <f>IF('Flächen u. Kulturen'!P23="",0,VLOOKUP('Flächen u. Kulturen'!P23,Kulturen[[HF]:[Berechnungsgruppe]],'#Frucht'!$Q$1,FALSE))</f>
        <v>0</v>
      </c>
      <c r="AM18" s="875">
        <f>IF('Flächen u. Kulturen'!P23="",0,VLOOKUP('Flächen u. Kulturen'!P23,Kulturen[[HF]:[Berechnungsgruppe]],'#Frucht'!$M$1,FALSE))</f>
        <v>0</v>
      </c>
      <c r="AN18" s="875">
        <f>IF('Flächen u. Kulturen'!P23="",1,VLOOKUP('Flächen u. Kulturen'!P23,Kulturen[[HF]:[Berechnungsgruppe]],'#Frucht'!$R$1,FALSE))</f>
        <v>10</v>
      </c>
      <c r="AO18" s="875">
        <f>IF('Flächen u. Kulturen'!P23="",0,VLOOKUP('Flächen u. Kulturen'!P23,Kulturen[[HF]:[Berechnungsgruppe]],'#Frucht'!$S$1,FALSE))</f>
        <v>0</v>
      </c>
      <c r="AP18" s="875">
        <f>IF('Flächen u. Kulturen'!P23="",0,VLOOKUP('Flächen u. Kulturen'!P23,Kulturen[[HF]:[Berechnungsgruppe]],'#Frucht'!$T$1,FALSE))</f>
        <v>0</v>
      </c>
      <c r="AQ18" s="938">
        <f t="shared" si="1"/>
        <v>0</v>
      </c>
      <c r="AR18" s="875">
        <f t="shared" si="2"/>
        <v>0</v>
      </c>
      <c r="AS18" s="938">
        <f t="shared" si="3"/>
        <v>0</v>
      </c>
      <c r="AT18" s="875">
        <f>IF(N18=1,'Flächen u. Kulturen'!S23*-1,"--")</f>
        <v>0</v>
      </c>
      <c r="AU18" s="938">
        <f>IF(OR(N18=2,'Flächen u. Kulturen'!I23=""),"--",IF(N18=3,VLOOKUP('Flächen u. Kulturen'!I23,'#Boden'!$B$9:$E$15,'#Boden'!$D$1,FALSE),VLOOKUP('Flächen u. Kulturen'!I23,'#Boden'!$B$9:$E$15,'#Boden'!$E$1,FALSE)))</f>
        <v>0</v>
      </c>
      <c r="AV18" s="938">
        <f>IF(N18=1,IF('Flächen u. Kulturen'!J23="",0,VLOOKUP('Flächen u. Kulturen'!J23,Kulturen[[HF]:[Berechnungsgruppe]],'#Frucht'!$U$1,FALSE)*-1),"--")</f>
        <v>0</v>
      </c>
      <c r="AW18" s="875">
        <f t="shared" si="4"/>
        <v>0</v>
      </c>
      <c r="AX18" s="875">
        <f>IF('Flächen u. Kulturen'!K23="",0,'Flächen u. Kulturen'!K23*-0.1)</f>
        <v>0</v>
      </c>
      <c r="AY18" s="875">
        <f>IF(N18&lt;3,'#orgDung'!AC27*0.1*-1,"--")</f>
        <v>0</v>
      </c>
      <c r="AZ18" s="31" t="str">
        <f>IF(AND('#orgDung'!J27&lt;&gt;2,'#orgDung'!F27=1),('#orgDung'!V27+'#minDung'!O24)*-1,"--")</f>
        <v>--</v>
      </c>
      <c r="BA18" s="875">
        <f t="shared" si="22"/>
        <v>0</v>
      </c>
      <c r="BB18" s="938">
        <f>IF(R18=2,0,'Flächen u. Kulturen'!V23*-1)</f>
        <v>0</v>
      </c>
      <c r="BC18" s="875">
        <f t="shared" si="23"/>
        <v>0</v>
      </c>
      <c r="BD18" s="127">
        <f>'#orgDung'!W27*-1</f>
        <v>0</v>
      </c>
      <c r="BE18" s="910">
        <f>'#orgDung'!AA27*-1</f>
        <v>0</v>
      </c>
      <c r="BF18" s="875">
        <f>'#orgDung'!Z27*-1</f>
        <v>0</v>
      </c>
      <c r="BG18" s="938">
        <f t="shared" si="14"/>
        <v>0</v>
      </c>
      <c r="BH18" s="875">
        <f>'#Kürzungen'!AS42*-1</f>
        <v>0</v>
      </c>
      <c r="BI18" s="875">
        <f t="shared" si="5"/>
        <v>0</v>
      </c>
      <c r="BJ18" s="910">
        <f t="shared" si="6"/>
        <v>0</v>
      </c>
      <c r="BK18" s="875">
        <f>'#minDung'!P24</f>
        <v>0</v>
      </c>
      <c r="BL18" s="938">
        <f t="shared" si="15"/>
        <v>0</v>
      </c>
      <c r="BM18" s="938">
        <f t="shared" si="7"/>
        <v>0</v>
      </c>
      <c r="BN18" s="875">
        <f>IF('Flächen u. Kulturen'!P23="",0,VLOOKUP('Flächen u. Kulturen'!P23,Kulturen[[HF]:[Berechnungsgruppe]],'#Frucht'!$K$1,FALSE))</f>
        <v>0</v>
      </c>
      <c r="BO18" s="875">
        <f>IF('Flächen u. Kulturen'!P23="",0,VLOOKUP('Flächen u. Kulturen'!P23,Kulturen[[HF]:[Berechnungsgruppe]],'#Frucht'!$L$1,FALSE))</f>
        <v>0</v>
      </c>
      <c r="BP18" s="875">
        <f>IF('Flächen u. Kulturen'!L23="",0,VLOOKUP('Flächen u. Kulturen'!L23,Nebenkultur[[Nebenkultur]:[Legum. Zwischenfr.]],'#Zweitfr'!$H$1,FALSE))</f>
        <v>0</v>
      </c>
      <c r="BQ18" s="938">
        <f>IF(N18=3,W18*BO18,IF('Flächen u. Kulturen'!T23='#Boden'!$B$32,V18*BN18,V18*BO18))</f>
        <v>0</v>
      </c>
      <c r="BR18" s="938">
        <f t="shared" si="8"/>
        <v>0</v>
      </c>
      <c r="BS18" s="875">
        <f t="shared" si="24"/>
        <v>0</v>
      </c>
      <c r="BT18" s="875">
        <f>IF('Flächen u. Kulturen'!F23="",0,IF(N18=3,VLOOKUP('Flächen u. Kulturen'!F23,'#Boden'!$G$4:$J$8,'#Boden'!$J$1,FALSE),VLOOKUP('Flächen u. Kulturen'!F23,'#Boden'!$G$4:$J$8,'#Boden'!$I$1,FALSE)))</f>
        <v>0</v>
      </c>
      <c r="BU18" s="41">
        <f t="shared" si="25"/>
        <v>0</v>
      </c>
      <c r="BV18" s="875">
        <f t="shared" si="26"/>
        <v>0</v>
      </c>
      <c r="BW18" s="938" t="str">
        <f t="shared" si="16"/>
        <v/>
      </c>
      <c r="BX18" s="875">
        <f>'#orgDung'!T27*-1</f>
        <v>0</v>
      </c>
      <c r="BY18" s="875">
        <f t="shared" si="17"/>
        <v>0</v>
      </c>
      <c r="BZ18" s="938" t="str">
        <f>IF(U18&lt;&gt;"x",0,IF(P18&lt;4,"",(BW18+BX18-'#minDung'!N24)*-1))</f>
        <v/>
      </c>
      <c r="CB18" s="938">
        <f>IF(AND(AF18=70,U18="x"),'Flächen u. Kulturen'!A23,1000)</f>
        <v>1000</v>
      </c>
      <c r="CC18" s="875" t="str">
        <f>IF(AF18=70,VLOOKUP('Flächen u. Kulturen'!L23,Nebenkultur[[Nebenkultur]:[Legum. Zwischenfr.]],'#Zweitfr'!$I$1,FALSE),"--")</f>
        <v>--</v>
      </c>
      <c r="CD18" s="875" t="str">
        <f>IF(AF18=70,VLOOKUP('Flächen u. Kulturen'!L23,Nebenkultur[[Nebenkultur]:[Legum. Zwischenfr.]],'#Zweitfr'!$L$1,FALSE),"--")</f>
        <v>--</v>
      </c>
      <c r="CE18" s="875" t="str">
        <f>IF(AF18=70,VLOOKUP('Flächen u. Kulturen'!L23,Nebenkultur[[Nebenkultur]:[Legum. Zwischenfr.]],'#Zweitfr'!$M$1,FALSE),"--")</f>
        <v>--</v>
      </c>
      <c r="CF18" s="875" t="str">
        <f>IF(AF18=70,VLOOKUP('Flächen u. Kulturen'!L23,Nebenkultur[[Nebenkultur]:[Legum. Zwischenfr.]],'#Zweitfr'!$N$1,FALSE),"--")</f>
        <v>--</v>
      </c>
      <c r="CG18" s="875" t="str">
        <f>IF(AF18=70,VLOOKUP('Flächen u. Kulturen'!L23,Nebenkultur[[Nebenkultur]:[Legum. Zwischenfr.]],'#Zweitfr'!$O$1,FALSE),"--")</f>
        <v>--</v>
      </c>
      <c r="CH18" s="875" t="str">
        <f t="shared" si="9"/>
        <v>--</v>
      </c>
      <c r="CI18" s="938">
        <f>IF('Flächen u. Kulturen'!L23="",0,VLOOKUP('Flächen u. Kulturen'!L23,Nebenkultur[[Nebenkultur]:[Legum. Zwischenfr.]],'#Zweitfr'!$J$1,FALSE))</f>
        <v>0</v>
      </c>
      <c r="CJ18" s="875">
        <f t="shared" si="10"/>
        <v>0</v>
      </c>
      <c r="CK18" s="890">
        <f t="shared" si="11"/>
        <v>0</v>
      </c>
      <c r="CL18" s="938">
        <f>IF(AND(R18=1,AF18=70),'Flächen u. Kulturen'!W23*-1,0)</f>
        <v>0</v>
      </c>
      <c r="CM18" s="875">
        <f>'#orgDung'!AE27*-1</f>
        <v>0</v>
      </c>
      <c r="CN18" s="875">
        <f t="shared" si="27"/>
        <v>0</v>
      </c>
      <c r="CO18" s="875">
        <f t="shared" si="28"/>
        <v>0</v>
      </c>
      <c r="CP18" s="875">
        <f>'#Kürzungen'!AS143*-1</f>
        <v>0</v>
      </c>
      <c r="CQ18" s="875">
        <f t="shared" si="29"/>
        <v>0</v>
      </c>
      <c r="CR18" s="875">
        <f t="shared" si="30"/>
        <v>0</v>
      </c>
      <c r="CS18" s="875">
        <f>'#minDung'!R24</f>
        <v>0</v>
      </c>
      <c r="CT18" s="938">
        <f t="shared" si="18"/>
        <v>0</v>
      </c>
      <c r="CU18" s="52" t="str">
        <f>'#Kürzungen'!AQ143</f>
        <v xml:space="preserve"> </v>
      </c>
      <c r="CW18" s="247">
        <f>IF('Flächen u. Kulturen'!D23="",0,IF(ISNUMBER('Flächen u. Kulturen'!D23)=TRUE,2,1))</f>
        <v>0</v>
      </c>
      <c r="CX18" s="247">
        <f>IF('Flächen u. Kulturen'!E23="",0,COUNTIF('#Boden'!$B$47,'Flächen u. Kulturen'!E23)+1)</f>
        <v>2</v>
      </c>
      <c r="CY18" s="247">
        <f>IF('Flächen u. Kulturen'!F23="",0,COUNTIF('#Boden'!$G$4:$G$8,'Flächen u. Kulturen'!F23)+1)</f>
        <v>2</v>
      </c>
      <c r="CZ18" s="247">
        <f>IF('Flächen u. Kulturen'!G23="",0,COUNTIF('#Boden'!$B$26:$B$29,'Flächen u. Kulturen'!G23)+1)</f>
        <v>2</v>
      </c>
      <c r="DA18" s="247">
        <f>IF('Flächen u. Kulturen'!H23="",0,COUNTIF('#Boden'!$B$26:$B$29,'Flächen u. Kulturen'!H23)+1)</f>
        <v>2</v>
      </c>
      <c r="DB18" s="247">
        <f>IF('Flächen u. Kulturen'!I23="",0,COUNTIF('#Boden'!$B$9:$B$15,'Flächen u. Kulturen'!I23)+1)</f>
        <v>2</v>
      </c>
      <c r="DC18" s="247">
        <f>IF('Flächen u. Kulturen'!J23="",0,COUNTIF(Kulturen[HF],'Flächen u. Kulturen'!J23)+1)</f>
        <v>2</v>
      </c>
      <c r="DD18" s="247">
        <f>IF('Flächen u. Kulturen'!L23="",0,COUNTIF(Nebenkultur[Nebenkultur],'Flächen u. Kulturen'!L23)+1)</f>
        <v>2</v>
      </c>
      <c r="DE18" s="247">
        <f>IF('Flächen u. Kulturen'!M23="",0,COUNTIF('#Boden'!$G$17:$G$21,'Flächen u. Kulturen'!M23)+1)</f>
        <v>2</v>
      </c>
      <c r="DF18" s="247">
        <f>IF('Flächen u. Kulturen'!N23="",0,COUNTIF('#Boden'!$G$22:$G$24,'Flächen u. Kulturen'!N23)+1)</f>
        <v>2</v>
      </c>
      <c r="DG18" s="247">
        <f>IF('Flächen u. Kulturen'!P23="",0,COUNTIF(Kulturen[HF],'Flächen u. Kulturen'!P23)+1)</f>
        <v>2</v>
      </c>
      <c r="DH18" s="247">
        <f>IF('Flächen u. Kulturen'!T23="",0,COUNTIF('#Boden'!$B$30:$B$32,'Flächen u. Kulturen'!T23)+1)</f>
        <v>2</v>
      </c>
      <c r="DI18" s="247">
        <f>IF('Flächen u. Kulturen'!K23="",0,IF(ISNUMBER('Flächen u. Kulturen'!K23)=TRUE,2,1))</f>
        <v>0</v>
      </c>
      <c r="DJ18" s="247">
        <f>IF('Flächen u. Kulturen'!U23="",0,IF(ISNUMBER('Flächen u. Kulturen'!U23)=TRUE,2,1))</f>
        <v>0</v>
      </c>
      <c r="DK18" s="247">
        <f>IF('Flächen u. Kulturen'!V23="",0,IF(ISNUMBER('Flächen u. Kulturen'!V23)=TRUE,2,1))</f>
        <v>0</v>
      </c>
      <c r="DL18" s="247">
        <f>IF('Flächen u. Kulturen'!W23="",0,IF(ISNUMBER('Flächen u. Kulturen'!W23)=TRUE,2,1))</f>
        <v>0</v>
      </c>
      <c r="DM18" s="247">
        <f t="shared" si="31"/>
        <v>0</v>
      </c>
      <c r="DN18" s="247" t="s">
        <v>344</v>
      </c>
      <c r="DO18" s="247">
        <f>IF(U18&lt;&gt;"x","",IF(OR('Flächen u. Kulturen'!B23="",'Flächen u. Kulturen'!C23="",'Flächen u. Kulturen'!D23="",'Flächen u. Kulturen'!D23=0,'Flächen u. Kulturen'!F23="",'Flächen u. Kulturen'!F23='#Boden'!$G$4,'Flächen u. Kulturen'!G23="",'Flächen u. Kulturen'!G23='#Boden'!$B$26,'Flächen u. Kulturen'!H23="",'Flächen u. Kulturen'!H23='#Boden'!$B$23,AND(N18&lt;&gt;2,OR('Flächen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Kulturen'!Q23="",'#BerechnungDBE'!N18&lt;3),AND('Flächen u. Kulturen'!R23="",'#BerechnungDBE'!N18=3),AND(N18=1,AL18&gt;0,'Flächen u. Kulturen'!S23=""),AND(N18=1,OR('Flächen u. Kulturen'!T23="",'Flächen u. Kulturen'!T23='#Boden'!$B$30)),AND('#BerechnungDBE'!AF18=70,OR('Flächen u. Kulturen'!N23="",'Flächen u. Kulturen'!N23='#Boden'!$G$22,'Flächen u. Kulturen'!O23="")),AND('#BerechnungDBE'!AF18=80,OR('Flächen u. Kulturen'!M23="",'Flächen u. Kulturen'!M23='#Boden'!$G$17,'Flächen u. Kulturen'!N23="",'Flächen u. Kulturen'!N23='#Boden'!$G$22))),$DO$4,""))</f>
        <v>1</v>
      </c>
      <c r="DP18" s="247" t="str">
        <f>IF(U18&lt;&gt;"x","",IF(OR(LEFT('Flächen u. Kulturen'!J23,2)=" +",LEFT('Flächen u. Kulturen'!L23,2)=" +",LEFT('Flächen u. Kulturen'!P23,2)=" +"),$DP$4,""))</f>
        <v/>
      </c>
      <c r="DQ18" s="428" t="str">
        <f t="shared" si="12"/>
        <v/>
      </c>
      <c r="DR18" s="938" t="str">
        <f t="shared" si="13"/>
        <v/>
      </c>
      <c r="DS18" s="938" t="str">
        <f>IF('Flächen u. Kulturen'!X23="","",ROW('Flächen u. Kulturen'!X23))</f>
        <v/>
      </c>
    </row>
    <row r="19" spans="1:123" s="875" customFormat="1" x14ac:dyDescent="0.2">
      <c r="A19" s="875" t="str">
        <f>IF('Daten aus 2021'!H21="",'#Boden'!$B$26,IF('Daten aus 2021'!H21='#Boden'!$B$39,IF('Daten aus 2021'!F21='#Boden'!$B$29,'#Boden'!$B$29,IF('Daten aus 2021'!K21='#Boden'!$B$34,'#Boden'!$B$28,'#Boden'!$B$27)),'Daten aus 2021'!F21))</f>
        <v xml:space="preserve"> --</v>
      </c>
      <c r="B19" s="875" t="str">
        <f>IF('Daten aus 2021'!H21='#Boden'!$B$39,IF('Daten aus 2021'!L21='#Boden'!$B$61,'#Boden'!$B$11,'Daten aus 2021'!L21),IF('Daten aus 2021'!P21='#Boden'!$B$58,'#Boden'!$B$11,IF('Daten aus 2021'!P21='#Boden'!$B$57,'#Boden'!$B$10,'#Boden'!$B$9)))</f>
        <v xml:space="preserve"> --         </v>
      </c>
      <c r="C19" s="875" t="str">
        <f>IF('Daten aus 2021'!N21="","",VLOOKUP('Daten aus 2021'!N21,'#Boden'!$B$68:$C$89,2,FALSE))</f>
        <v/>
      </c>
      <c r="D19" s="875" t="str">
        <f>IF('Daten aus 2021'!M21="","",VLOOKUP('Daten aus 2021'!M21,'#Boden'!$D$69:$E$73,2,FALSE))</f>
        <v/>
      </c>
      <c r="E19" s="938" t="str">
        <f>IF(OR(C19='#Boden'!$C$68,C19='#Boden'!$C$70),C19,CONCATENATE(C19,D19))</f>
        <v/>
      </c>
      <c r="F19" s="882" t="str">
        <f>IFERROR(IF('Daten aus 2021'!H21="",'#Frucht'!$D$8,IF('Daten aus 2021'!H21='#Boden'!$B$39,E19,IF('Daten aus 2021'!H21='#Boden'!$B$38,IF(CONCATENATE(" ",'Daten aus 2021'!W21)=$B$2,VLOOKUP($B$3,'#Frucht'!$A$8:$D$372,4,FALSE),VLOOKUP(CONCATENATE(" ",'Daten aus 2021'!W21),'#Frucht'!$A$8:$D$372,4,FALSE)),IF(OR(LEFT('Daten aus 2021'!Q21,5)=" *10 ",LEFT('Daten aus 2021'!Q21,5)=" *11 ",LEFT('Daten aus 2021'!Q21,5)=" *12 ",LEFT('Daten aus 2021'!Q21,5)=" *13 ",LEFT('Daten aus 2021'!Q21,5)=" *14 ",LEFT('Daten aus 2021'!Q21,5)=" *15 "),VLOOKUP(RIGHT('Daten aus 2021'!Q21,LEN('Daten aus 2021'!Q21)-4),'#Frucht'!$A$8:$D$372,4,FALSE),IF(LEFT('Daten aus 2021'!Q21,2)=" *",VLOOKUP(RIGHT('Daten aus 2021'!Q21,LEN('Daten aus 2021'!Q21)-3),'#Frucht'!$A$8:$D$372,4,FALSE),VLOOKUP('Daten aus 2021'!Q21,'#Frucht'!$A$8:$D$372,4,FALSE)))))),'#Frucht'!$D$8)</f>
        <v xml:space="preserve"> --  </v>
      </c>
      <c r="G19" s="127"/>
      <c r="H19" s="31"/>
      <c r="J19" s="938" t="str">
        <f>IF(OR(N19=3,$K$3=0,'Flächen u. Kulturen'!P24=""),"",IF(VLOOKUP('Flächen u. Kulturen'!P24,Kulturen[[HF]:[780]],'#BerechnungDBE'!$K$3,FALSE)=".","",VLOOKUP('Flächen u. Kulturen'!P24,Kulturen[[HF]:[780]],'#BerechnungDBE'!$K$3,FALSE)))</f>
        <v/>
      </c>
      <c r="K19" s="938" t="str">
        <f>IF(OR($K$3=0,'Flächen u. Kulturen'!P24=""),"",IF(N19=3,IF(VLOOKUP('Flächen u. Kulturen'!P24,Kulturen[[HF]:[780]],'#BerechnungDBE'!$K$3,FALSE)=".","",VLOOKUP('Flächen u. Kulturen'!P24,Kulturen[[HF]:[780]],'#BerechnungDBE'!$K$3,FALSE)),""))</f>
        <v/>
      </c>
      <c r="L19" s="367">
        <f>IF('Flächen u. Kulturen'!D24="",0,'Flächen u. Kulturen'!D24)</f>
        <v>0</v>
      </c>
      <c r="M19" s="693">
        <f>IF('Flächen u. Kulturen'!J24="",0,VLOOKUP('Flächen u. Kulturen'!J24,Kulturen[[HF]:[Berechnungsgruppe]],'#Frucht'!$W$1,FALSE))</f>
        <v>1</v>
      </c>
      <c r="N19" s="693">
        <f>IF('Flächen u. Kulturen'!P24="",0,VLOOKUP('Flächen u. Kulturen'!P24,Kulturen[[HF]:[Berechnungsgruppe]],'#Frucht'!$W$1,FALSE))</f>
        <v>1</v>
      </c>
      <c r="O19" s="875">
        <f>IF(N19&lt;&gt;2,N19,IF('Flächen u. Kulturen'!J24='Flächen u. Kulturen'!P24,2,1))</f>
        <v>1</v>
      </c>
      <c r="P19" s="875">
        <f>IF('Flächen u. Kulturen'!F24="",0,VLOOKUP('Flächen u. Kulturen'!F24,'#Boden'!$G$4:$H$8,'#Boden'!$H$1,FALSE))</f>
        <v>1</v>
      </c>
      <c r="Q19" s="875">
        <f>IF('Flächen u. Kulturen'!G24="",0,VLOOKUP('Flächen u. Kulturen'!G24,'#Boden'!$B$26:$C$29,'#Boden'!$C$1,FALSE))</f>
        <v>1</v>
      </c>
      <c r="R19" s="875">
        <f t="shared" si="19"/>
        <v>1</v>
      </c>
      <c r="S19" s="875">
        <f t="shared" si="20"/>
        <v>1</v>
      </c>
      <c r="T19" s="875">
        <f>IF('Flächen u. Kulturen'!H24="",0,VLOOKUP('Flächen u. Kulturen'!H24,'#Boden'!$B$23:$C$25,'#Boden'!$C$1,FALSE))</f>
        <v>2</v>
      </c>
      <c r="U19" s="875" t="str">
        <f>'Flächen u. Kulturen'!E24</f>
        <v>x</v>
      </c>
      <c r="V19" s="938">
        <f>IF('Flächen u. Kulturen'!Q24="",0,_xlfn.NUMBERVALUE('Flächen u. Kulturen'!Q24))</f>
        <v>0</v>
      </c>
      <c r="W19" s="938">
        <f>IF('Flächen u. Kulturen'!R24="",0,_xlfn.NUMBERVALUE('Flächen u. Kulturen'!R24))</f>
        <v>0</v>
      </c>
      <c r="X19" s="875">
        <f>IF('Flächen u. Kulturen'!T24="",0,VLOOKUP('Flächen u. Kulturen'!T24,'#Boden'!$B$30:$C$32,'#Boden'!$C$1,FALSE))</f>
        <v>1</v>
      </c>
      <c r="Y19" s="875">
        <f>IF('Flächen u. Kulturen'!P24="",0,VLOOKUP('Flächen u. Kulturen'!P24,Kulturen[[HF]:[Berechnungsgruppe]],'#Frucht'!$N$1,FALSE))</f>
        <v>0</v>
      </c>
      <c r="Z19" s="875">
        <f t="shared" si="21"/>
        <v>2</v>
      </c>
      <c r="AA19" s="875">
        <f>IF('Flächen u. Kulturen'!P24="",0,VLOOKUP('Flächen u. Kulturen'!P24,Kulturen[[HF]:[Berechnungsgruppe]],'#Frucht'!$V$1,FALSE))</f>
        <v>0</v>
      </c>
      <c r="AB19" s="875">
        <f>IF(N19=1,VLOOKUP('Flächen u. Kulturen'!P24,Kulturen[[HF]:[Ernteprodukt]],'#Frucht'!$I$1,FALSE),4)</f>
        <v>4</v>
      </c>
      <c r="AC19" s="921">
        <f>IF('Flächen u. Kulturen'!J24="",0,VLOOKUP('Flächen u. Kulturen'!J24,Kulturen[[HF]:[Berechnungsgruppe]],'#Frucht'!$G$1,FALSE))</f>
        <v>90</v>
      </c>
      <c r="AD19" s="921">
        <f>IF('Flächen u. Kulturen'!P24="",0,VLOOKUP('Flächen u. Kulturen'!P24,Kulturen[[HF]:[Berechnungsgruppe]],'#Frucht'!$G$1,FALSE))</f>
        <v>90</v>
      </c>
      <c r="AE19" s="938">
        <f>IF('Flächen u. Kulturen'!P24="",0,VLOOKUP('Flächen u. Kulturen'!P24,Kulturen[[HF]:[SollwertMinusNfix]],'#Frucht'!$X$1,FALSE))</f>
        <v>0</v>
      </c>
      <c r="AF19" s="875">
        <f>IF('Flächen u. Kulturen'!L24="",0,VLOOKUP('Flächen u. Kulturen'!L24,Nebenkultur[[Nebenkultur]:[Berechnungsschema]],'#Zweitfr'!$G$1,FALSE))</f>
        <v>0</v>
      </c>
      <c r="AG19" s="875">
        <f>IF('Flächen u. Kulturen'!L24="",0,VLOOKUP('Flächen u. Kulturen'!L24,'#Zweitfr'!$D$8:$Q$27,'#Zweitfr'!$Q$1,FALSE))</f>
        <v>0</v>
      </c>
      <c r="AH19" s="875">
        <f>IF('Flächen u. Kulturen'!M24="",0,VLOOKUP('Flächen u. Kulturen'!M24,'#Boden'!$G$17:$H$21,2,FALSE))</f>
        <v>1</v>
      </c>
      <c r="AI19" s="875">
        <f>IF('Flächen u. Kulturen'!N24="",0,VLOOKUP('Flächen u. Kulturen'!N24,'#Boden'!$G$22:$H$24,'#Boden'!$H$1,FALSE))</f>
        <v>1</v>
      </c>
      <c r="AJ19" s="938">
        <f>IF('Flächen u. Kulturen'!O24="",0,_xlfn.NUMBERVALUE('Flächen u. Kulturen'!O24))</f>
        <v>0</v>
      </c>
      <c r="AK19" s="938">
        <f>IF('Flächen u. Kulturen'!L24="",0,VLOOKUP('Flächen u. Kulturen'!L24,Nebenkultur[[Nebenkultur]:[Legum. Zwischenfr.]],'#Zweitfr'!$P$1,FALSE))</f>
        <v>0</v>
      </c>
      <c r="AL19" s="875">
        <f>IF('Flächen u. Kulturen'!P24="",0,VLOOKUP('Flächen u. Kulturen'!P24,Kulturen[[HF]:[Berechnungsgruppe]],'#Frucht'!$Q$1,FALSE))</f>
        <v>0</v>
      </c>
      <c r="AM19" s="875">
        <f>IF('Flächen u. Kulturen'!P24="",0,VLOOKUP('Flächen u. Kulturen'!P24,Kulturen[[HF]:[Berechnungsgruppe]],'#Frucht'!$M$1,FALSE))</f>
        <v>0</v>
      </c>
      <c r="AN19" s="875">
        <f>IF('Flächen u. Kulturen'!P24="",1,VLOOKUP('Flächen u. Kulturen'!P24,Kulturen[[HF]:[Berechnungsgruppe]],'#Frucht'!$R$1,FALSE))</f>
        <v>10</v>
      </c>
      <c r="AO19" s="875">
        <f>IF('Flächen u. Kulturen'!P24="",0,VLOOKUP('Flächen u. Kulturen'!P24,Kulturen[[HF]:[Berechnungsgruppe]],'#Frucht'!$S$1,FALSE))</f>
        <v>0</v>
      </c>
      <c r="AP19" s="875">
        <f>IF('Flächen u. Kulturen'!P24="",0,VLOOKUP('Flächen u. Kulturen'!P24,Kulturen[[HF]:[Berechnungsgruppe]],'#Frucht'!$T$1,FALSE))</f>
        <v>0</v>
      </c>
      <c r="AQ19" s="938">
        <f t="shared" si="1"/>
        <v>0</v>
      </c>
      <c r="AR19" s="875">
        <f t="shared" si="2"/>
        <v>0</v>
      </c>
      <c r="AS19" s="938">
        <f t="shared" si="3"/>
        <v>0</v>
      </c>
      <c r="AT19" s="875">
        <f>IF(N19=1,'Flächen u. Kulturen'!S24*-1,"--")</f>
        <v>0</v>
      </c>
      <c r="AU19" s="938">
        <f>IF(OR(N19=2,'Flächen u. Kulturen'!I24=""),"--",IF(N19=3,VLOOKUP('Flächen u. Kulturen'!I24,'#Boden'!$B$9:$E$15,'#Boden'!$D$1,FALSE),VLOOKUP('Flächen u. Kulturen'!I24,'#Boden'!$B$9:$E$15,'#Boden'!$E$1,FALSE)))</f>
        <v>0</v>
      </c>
      <c r="AV19" s="938">
        <f>IF(N19=1,IF('Flächen u. Kulturen'!J24="",0,VLOOKUP('Flächen u. Kulturen'!J24,Kulturen[[HF]:[Berechnungsgruppe]],'#Frucht'!$U$1,FALSE)*-1),"--")</f>
        <v>0</v>
      </c>
      <c r="AW19" s="875">
        <f t="shared" si="4"/>
        <v>0</v>
      </c>
      <c r="AX19" s="875">
        <f>IF('Flächen u. Kulturen'!K24="",0,'Flächen u. Kulturen'!K24*-0.1)</f>
        <v>0</v>
      </c>
      <c r="AY19" s="875">
        <f>IF(N19&lt;3,'#orgDung'!AC28*0.1*-1,"--")</f>
        <v>0</v>
      </c>
      <c r="AZ19" s="31" t="str">
        <f>IF(AND('#orgDung'!J28&lt;&gt;2,'#orgDung'!F28=1),('#orgDung'!V28+'#minDung'!O25)*-1,"--")</f>
        <v>--</v>
      </c>
      <c r="BA19" s="875">
        <f t="shared" si="22"/>
        <v>0</v>
      </c>
      <c r="BB19" s="938">
        <f>IF(R19=2,0,'Flächen u. Kulturen'!V24*-1)</f>
        <v>0</v>
      </c>
      <c r="BC19" s="875">
        <f t="shared" si="23"/>
        <v>0</v>
      </c>
      <c r="BD19" s="127">
        <f>'#orgDung'!W28*-1</f>
        <v>0</v>
      </c>
      <c r="BE19" s="910">
        <f>'#orgDung'!AA28*-1</f>
        <v>0</v>
      </c>
      <c r="BF19" s="875">
        <f>'#orgDung'!Z28*-1</f>
        <v>0</v>
      </c>
      <c r="BG19" s="938">
        <f t="shared" si="14"/>
        <v>0</v>
      </c>
      <c r="BH19" s="875">
        <f>'#Kürzungen'!AS43*-1</f>
        <v>0</v>
      </c>
      <c r="BI19" s="875">
        <f t="shared" si="5"/>
        <v>0</v>
      </c>
      <c r="BJ19" s="910">
        <f t="shared" si="6"/>
        <v>0</v>
      </c>
      <c r="BK19" s="875">
        <f>'#minDung'!P25</f>
        <v>0</v>
      </c>
      <c r="BL19" s="938">
        <f t="shared" si="15"/>
        <v>0</v>
      </c>
      <c r="BM19" s="938">
        <f t="shared" si="7"/>
        <v>0</v>
      </c>
      <c r="BN19" s="875">
        <f>IF('Flächen u. Kulturen'!P24="",0,VLOOKUP('Flächen u. Kulturen'!P24,Kulturen[[HF]:[Berechnungsgruppe]],'#Frucht'!$K$1,FALSE))</f>
        <v>0</v>
      </c>
      <c r="BO19" s="875">
        <f>IF('Flächen u. Kulturen'!P24="",0,VLOOKUP('Flächen u. Kulturen'!P24,Kulturen[[HF]:[Berechnungsgruppe]],'#Frucht'!$L$1,FALSE))</f>
        <v>0</v>
      </c>
      <c r="BP19" s="875">
        <f>IF('Flächen u. Kulturen'!L24="",0,VLOOKUP('Flächen u. Kulturen'!L24,Nebenkultur[[Nebenkultur]:[Legum. Zwischenfr.]],'#Zweitfr'!$H$1,FALSE))</f>
        <v>0</v>
      </c>
      <c r="BQ19" s="938">
        <f>IF(N19=3,W19*BO19,IF('Flächen u. Kulturen'!T24='#Boden'!$B$32,V19*BN19,V19*BO19))</f>
        <v>0</v>
      </c>
      <c r="BR19" s="938">
        <f t="shared" si="8"/>
        <v>0</v>
      </c>
      <c r="BS19" s="875">
        <f t="shared" si="24"/>
        <v>0</v>
      </c>
      <c r="BT19" s="875">
        <f>IF('Flächen u. Kulturen'!F24="",0,IF(N19=3,VLOOKUP('Flächen u. Kulturen'!F24,'#Boden'!$G$4:$J$8,'#Boden'!$J$1,FALSE),VLOOKUP('Flächen u. Kulturen'!F24,'#Boden'!$G$4:$J$8,'#Boden'!$I$1,FALSE)))</f>
        <v>0</v>
      </c>
      <c r="BU19" s="41">
        <f t="shared" si="25"/>
        <v>0</v>
      </c>
      <c r="BV19" s="875">
        <f t="shared" si="26"/>
        <v>0</v>
      </c>
      <c r="BW19" s="938" t="str">
        <f t="shared" si="16"/>
        <v/>
      </c>
      <c r="BX19" s="875">
        <f>'#orgDung'!T28*-1</f>
        <v>0</v>
      </c>
      <c r="BY19" s="875">
        <f t="shared" si="17"/>
        <v>0</v>
      </c>
      <c r="BZ19" s="938" t="str">
        <f>IF(U19&lt;&gt;"x",0,IF(P19&lt;4,"",(BW19+BX19-'#minDung'!N25)*-1))</f>
        <v/>
      </c>
      <c r="CB19" s="938">
        <f>IF(AND(AF19=70,U19="x"),'Flächen u. Kulturen'!A24,1000)</f>
        <v>1000</v>
      </c>
      <c r="CC19" s="875" t="str">
        <f>IF(AF19=70,VLOOKUP('Flächen u. Kulturen'!L24,Nebenkultur[[Nebenkultur]:[Legum. Zwischenfr.]],'#Zweitfr'!$I$1,FALSE),"--")</f>
        <v>--</v>
      </c>
      <c r="CD19" s="875" t="str">
        <f>IF(AF19=70,VLOOKUP('Flächen u. Kulturen'!L24,Nebenkultur[[Nebenkultur]:[Legum. Zwischenfr.]],'#Zweitfr'!$L$1,FALSE),"--")</f>
        <v>--</v>
      </c>
      <c r="CE19" s="875" t="str">
        <f>IF(AF19=70,VLOOKUP('Flächen u. Kulturen'!L24,Nebenkultur[[Nebenkultur]:[Legum. Zwischenfr.]],'#Zweitfr'!$M$1,FALSE),"--")</f>
        <v>--</v>
      </c>
      <c r="CF19" s="875" t="str">
        <f>IF(AF19=70,VLOOKUP('Flächen u. Kulturen'!L24,Nebenkultur[[Nebenkultur]:[Legum. Zwischenfr.]],'#Zweitfr'!$N$1,FALSE),"--")</f>
        <v>--</v>
      </c>
      <c r="CG19" s="875" t="str">
        <f>IF(AF19=70,VLOOKUP('Flächen u. Kulturen'!L24,Nebenkultur[[Nebenkultur]:[Legum. Zwischenfr.]],'#Zweitfr'!$O$1,FALSE),"--")</f>
        <v>--</v>
      </c>
      <c r="CH19" s="875" t="str">
        <f t="shared" si="9"/>
        <v>--</v>
      </c>
      <c r="CI19" s="938">
        <f>IF('Flächen u. Kulturen'!L24="",0,VLOOKUP('Flächen u. Kulturen'!L24,Nebenkultur[[Nebenkultur]:[Legum. Zwischenfr.]],'#Zweitfr'!$J$1,FALSE))</f>
        <v>0</v>
      </c>
      <c r="CJ19" s="875">
        <f t="shared" si="10"/>
        <v>0</v>
      </c>
      <c r="CK19" s="890">
        <f t="shared" si="11"/>
        <v>0</v>
      </c>
      <c r="CL19" s="938">
        <f>IF(AND(R19=1,AF19=70),'Flächen u. Kulturen'!W24*-1,0)</f>
        <v>0</v>
      </c>
      <c r="CM19" s="875">
        <f>'#orgDung'!AE28*-1</f>
        <v>0</v>
      </c>
      <c r="CN19" s="875">
        <f t="shared" si="27"/>
        <v>0</v>
      </c>
      <c r="CO19" s="875">
        <f t="shared" si="28"/>
        <v>0</v>
      </c>
      <c r="CP19" s="875">
        <f>'#Kürzungen'!AS144*-1</f>
        <v>0</v>
      </c>
      <c r="CQ19" s="875">
        <f t="shared" si="29"/>
        <v>0</v>
      </c>
      <c r="CR19" s="875">
        <f t="shared" si="30"/>
        <v>0</v>
      </c>
      <c r="CS19" s="875">
        <f>'#minDung'!R25</f>
        <v>0</v>
      </c>
      <c r="CT19" s="938">
        <f t="shared" si="18"/>
        <v>0</v>
      </c>
      <c r="CU19" s="52" t="str">
        <f>'#Kürzungen'!AQ144</f>
        <v xml:space="preserve"> </v>
      </c>
      <c r="CW19" s="247">
        <f>IF('Flächen u. Kulturen'!D24="",0,IF(ISNUMBER('Flächen u. Kulturen'!D24)=TRUE,2,1))</f>
        <v>0</v>
      </c>
      <c r="CX19" s="247">
        <f>IF('Flächen u. Kulturen'!E24="",0,COUNTIF('#Boden'!$B$47,'Flächen u. Kulturen'!E24)+1)</f>
        <v>2</v>
      </c>
      <c r="CY19" s="247">
        <f>IF('Flächen u. Kulturen'!F24="",0,COUNTIF('#Boden'!$G$4:$G$8,'Flächen u. Kulturen'!F24)+1)</f>
        <v>2</v>
      </c>
      <c r="CZ19" s="247">
        <f>IF('Flächen u. Kulturen'!G24="",0,COUNTIF('#Boden'!$B$26:$B$29,'Flächen u. Kulturen'!G24)+1)</f>
        <v>2</v>
      </c>
      <c r="DA19" s="247">
        <f>IF('Flächen u. Kulturen'!H24="",0,COUNTIF('#Boden'!$B$26:$B$29,'Flächen u. Kulturen'!H24)+1)</f>
        <v>2</v>
      </c>
      <c r="DB19" s="247">
        <f>IF('Flächen u. Kulturen'!I24="",0,COUNTIF('#Boden'!$B$9:$B$15,'Flächen u. Kulturen'!I24)+1)</f>
        <v>2</v>
      </c>
      <c r="DC19" s="247">
        <f>IF('Flächen u. Kulturen'!J24="",0,COUNTIF(Kulturen[HF],'Flächen u. Kulturen'!J24)+1)</f>
        <v>2</v>
      </c>
      <c r="DD19" s="247">
        <f>IF('Flächen u. Kulturen'!L24="",0,COUNTIF(Nebenkultur[Nebenkultur],'Flächen u. Kulturen'!L24)+1)</f>
        <v>2</v>
      </c>
      <c r="DE19" s="247">
        <f>IF('Flächen u. Kulturen'!M24="",0,COUNTIF('#Boden'!$G$17:$G$21,'Flächen u. Kulturen'!M24)+1)</f>
        <v>2</v>
      </c>
      <c r="DF19" s="247">
        <f>IF('Flächen u. Kulturen'!N24="",0,COUNTIF('#Boden'!$G$22:$G$24,'Flächen u. Kulturen'!N24)+1)</f>
        <v>2</v>
      </c>
      <c r="DG19" s="247">
        <f>IF('Flächen u. Kulturen'!P24="",0,COUNTIF(Kulturen[HF],'Flächen u. Kulturen'!P24)+1)</f>
        <v>2</v>
      </c>
      <c r="DH19" s="247">
        <f>IF('Flächen u. Kulturen'!T24="",0,COUNTIF('#Boden'!$B$30:$B$32,'Flächen u. Kulturen'!T24)+1)</f>
        <v>2</v>
      </c>
      <c r="DI19" s="247">
        <f>IF('Flächen u. Kulturen'!K24="",0,IF(ISNUMBER('Flächen u. Kulturen'!K24)=TRUE,2,1))</f>
        <v>0</v>
      </c>
      <c r="DJ19" s="247">
        <f>IF('Flächen u. Kulturen'!U24="",0,IF(ISNUMBER('Flächen u. Kulturen'!U24)=TRUE,2,1))</f>
        <v>0</v>
      </c>
      <c r="DK19" s="247">
        <f>IF('Flächen u. Kulturen'!V24="",0,IF(ISNUMBER('Flächen u. Kulturen'!V24)=TRUE,2,1))</f>
        <v>0</v>
      </c>
      <c r="DL19" s="247">
        <f>IF('Flächen u. Kulturen'!W24="",0,IF(ISNUMBER('Flächen u. Kulturen'!W24)=TRUE,2,1))</f>
        <v>0</v>
      </c>
      <c r="DM19" s="247">
        <f t="shared" si="31"/>
        <v>0</v>
      </c>
      <c r="DN19" s="247" t="s">
        <v>344</v>
      </c>
      <c r="DO19" s="247">
        <f>IF(U19&lt;&gt;"x","",IF(OR('Flächen u. Kulturen'!B24="",'Flächen u. Kulturen'!C24="",'Flächen u. Kulturen'!D24="",'Flächen u. Kulturen'!D24=0,'Flächen u. Kulturen'!F24="",'Flächen u. Kulturen'!F24='#Boden'!$G$4,'Flächen u. Kulturen'!G24="",'Flächen u. Kulturen'!G24='#Boden'!$B$26,'Flächen u. Kulturen'!H24="",'Flächen u. Kulturen'!H24='#Boden'!$B$23,AND(N19&lt;&gt;2,OR('Flächen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Kulturen'!Q24="",'#BerechnungDBE'!N19&lt;3),AND('Flächen u. Kulturen'!R24="",'#BerechnungDBE'!N19=3),AND(N19=1,AL19&gt;0,'Flächen u. Kulturen'!S24=""),AND(N19=1,OR('Flächen u. Kulturen'!T24="",'Flächen u. Kulturen'!T24='#Boden'!$B$30)),AND('#BerechnungDBE'!AF19=70,OR('Flächen u. Kulturen'!N24="",'Flächen u. Kulturen'!N24='#Boden'!$G$22,'Flächen u. Kulturen'!O24="")),AND('#BerechnungDBE'!AF19=80,OR('Flächen u. Kulturen'!M24="",'Flächen u. Kulturen'!M24='#Boden'!$G$17,'Flächen u. Kulturen'!N24="",'Flächen u. Kulturen'!N24='#Boden'!$G$22))),$DO$4,""))</f>
        <v>1</v>
      </c>
      <c r="DP19" s="247" t="str">
        <f>IF(U19&lt;&gt;"x","",IF(OR(LEFT('Flächen u. Kulturen'!J24,2)=" +",LEFT('Flächen u. Kulturen'!L24,2)=" +",LEFT('Flächen u. Kulturen'!P24,2)=" +"),$DP$4,""))</f>
        <v/>
      </c>
      <c r="DQ19" s="428" t="str">
        <f t="shared" si="12"/>
        <v/>
      </c>
      <c r="DR19" s="938" t="str">
        <f t="shared" si="13"/>
        <v/>
      </c>
      <c r="DS19" s="938" t="str">
        <f>IF('Flächen u. Kulturen'!X24="","",ROW('Flächen u. Kulturen'!X24))</f>
        <v/>
      </c>
    </row>
    <row r="20" spans="1:123" s="875" customFormat="1" x14ac:dyDescent="0.2">
      <c r="A20" s="875" t="str">
        <f>IF('Daten aus 2021'!H22="",'#Boden'!$B$26,IF('Daten aus 2021'!H22='#Boden'!$B$39,IF('Daten aus 2021'!F22='#Boden'!$B$29,'#Boden'!$B$29,IF('Daten aus 2021'!K22='#Boden'!$B$34,'#Boden'!$B$28,'#Boden'!$B$27)),'Daten aus 2021'!F22))</f>
        <v xml:space="preserve"> --</v>
      </c>
      <c r="B20" s="875" t="str">
        <f>IF('Daten aus 2021'!H22='#Boden'!$B$39,IF('Daten aus 2021'!L22='#Boden'!$B$61,'#Boden'!$B$11,'Daten aus 2021'!L22),IF('Daten aus 2021'!P22='#Boden'!$B$58,'#Boden'!$B$11,IF('Daten aus 2021'!P22='#Boden'!$B$57,'#Boden'!$B$10,'#Boden'!$B$9)))</f>
        <v xml:space="preserve"> --         </v>
      </c>
      <c r="C20" s="875" t="str">
        <f>IF('Daten aus 2021'!N22="","",VLOOKUP('Daten aus 2021'!N22,'#Boden'!$B$68:$C$89,2,FALSE))</f>
        <v/>
      </c>
      <c r="D20" s="875" t="str">
        <f>IF('Daten aus 2021'!M22="","",VLOOKUP('Daten aus 2021'!M22,'#Boden'!$D$69:$E$73,2,FALSE))</f>
        <v/>
      </c>
      <c r="E20" s="938" t="str">
        <f>IF(OR(C20='#Boden'!$C$68,C20='#Boden'!$C$70),C20,CONCATENATE(C20,D20))</f>
        <v/>
      </c>
      <c r="F20" s="882" t="str">
        <f>IFERROR(IF('Daten aus 2021'!H22="",'#Frucht'!$D$8,IF('Daten aus 2021'!H22='#Boden'!$B$39,E20,IF('Daten aus 2021'!H22='#Boden'!$B$38,IF(CONCATENATE(" ",'Daten aus 2021'!W22)=$B$2,VLOOKUP($B$3,'#Frucht'!$A$8:$D$372,4,FALSE),VLOOKUP(CONCATENATE(" ",'Daten aus 2021'!W22),'#Frucht'!$A$8:$D$372,4,FALSE)),IF(OR(LEFT('Daten aus 2021'!Q22,5)=" *10 ",LEFT('Daten aus 2021'!Q22,5)=" *11 ",LEFT('Daten aus 2021'!Q22,5)=" *12 ",LEFT('Daten aus 2021'!Q22,5)=" *13 ",LEFT('Daten aus 2021'!Q22,5)=" *14 ",LEFT('Daten aus 2021'!Q22,5)=" *15 "),VLOOKUP(RIGHT('Daten aus 2021'!Q22,LEN('Daten aus 2021'!Q22)-4),'#Frucht'!$A$8:$D$372,4,FALSE),IF(LEFT('Daten aus 2021'!Q22,2)=" *",VLOOKUP(RIGHT('Daten aus 2021'!Q22,LEN('Daten aus 2021'!Q22)-3),'#Frucht'!$A$8:$D$372,4,FALSE),VLOOKUP('Daten aus 2021'!Q22,'#Frucht'!$A$8:$D$372,4,FALSE)))))),'#Frucht'!$D$8)</f>
        <v xml:space="preserve"> --  </v>
      </c>
      <c r="G20" s="127"/>
      <c r="H20" s="31"/>
      <c r="J20" s="938" t="str">
        <f>IF(OR(N20=3,$K$3=0,'Flächen u. Kulturen'!P25=""),"",IF(VLOOKUP('Flächen u. Kulturen'!P25,Kulturen[[HF]:[780]],'#BerechnungDBE'!$K$3,FALSE)=".","",VLOOKUP('Flächen u. Kulturen'!P25,Kulturen[[HF]:[780]],'#BerechnungDBE'!$K$3,FALSE)))</f>
        <v/>
      </c>
      <c r="K20" s="938" t="str">
        <f>IF(OR($K$3=0,'Flächen u. Kulturen'!P25=""),"",IF(N20=3,IF(VLOOKUP('Flächen u. Kulturen'!P25,Kulturen[[HF]:[780]],'#BerechnungDBE'!$K$3,FALSE)=".","",VLOOKUP('Flächen u. Kulturen'!P25,Kulturen[[HF]:[780]],'#BerechnungDBE'!$K$3,FALSE)),""))</f>
        <v/>
      </c>
      <c r="L20" s="367">
        <f>IF('Flächen u. Kulturen'!D25="",0,'Flächen u. Kulturen'!D25)</f>
        <v>0</v>
      </c>
      <c r="M20" s="693">
        <f>IF('Flächen u. Kulturen'!J25="",0,VLOOKUP('Flächen u. Kulturen'!J25,Kulturen[[HF]:[Berechnungsgruppe]],'#Frucht'!$W$1,FALSE))</f>
        <v>1</v>
      </c>
      <c r="N20" s="693">
        <f>IF('Flächen u. Kulturen'!P25="",0,VLOOKUP('Flächen u. Kulturen'!P25,Kulturen[[HF]:[Berechnungsgruppe]],'#Frucht'!$W$1,FALSE))</f>
        <v>1</v>
      </c>
      <c r="O20" s="875">
        <f>IF(N20&lt;&gt;2,N20,IF('Flächen u. Kulturen'!J25='Flächen u. Kulturen'!P25,2,1))</f>
        <v>1</v>
      </c>
      <c r="P20" s="875">
        <f>IF('Flächen u. Kulturen'!F25="",0,VLOOKUP('Flächen u. Kulturen'!F25,'#Boden'!$G$4:$H$8,'#Boden'!$H$1,FALSE))</f>
        <v>1</v>
      </c>
      <c r="Q20" s="875">
        <f>IF('Flächen u. Kulturen'!G25="",0,VLOOKUP('Flächen u. Kulturen'!G25,'#Boden'!$B$26:$C$29,'#Boden'!$C$1,FALSE))</f>
        <v>1</v>
      </c>
      <c r="R20" s="875">
        <f t="shared" si="19"/>
        <v>1</v>
      </c>
      <c r="S20" s="875">
        <f t="shared" si="20"/>
        <v>1</v>
      </c>
      <c r="T20" s="875">
        <f>IF('Flächen u. Kulturen'!H25="",0,VLOOKUP('Flächen u. Kulturen'!H25,'#Boden'!$B$23:$C$25,'#Boden'!$C$1,FALSE))</f>
        <v>2</v>
      </c>
      <c r="U20" s="875" t="str">
        <f>'Flächen u. Kulturen'!E25</f>
        <v>x</v>
      </c>
      <c r="V20" s="938">
        <f>IF('Flächen u. Kulturen'!Q25="",0,_xlfn.NUMBERVALUE('Flächen u. Kulturen'!Q25))</f>
        <v>0</v>
      </c>
      <c r="W20" s="938">
        <f>IF('Flächen u. Kulturen'!R25="",0,_xlfn.NUMBERVALUE('Flächen u. Kulturen'!R25))</f>
        <v>0</v>
      </c>
      <c r="X20" s="875">
        <f>IF('Flächen u. Kulturen'!T25="",0,VLOOKUP('Flächen u. Kulturen'!T25,'#Boden'!$B$30:$C$32,'#Boden'!$C$1,FALSE))</f>
        <v>1</v>
      </c>
      <c r="Y20" s="875">
        <f>IF('Flächen u. Kulturen'!P25="",0,VLOOKUP('Flächen u. Kulturen'!P25,Kulturen[[HF]:[Berechnungsgruppe]],'#Frucht'!$N$1,FALSE))</f>
        <v>0</v>
      </c>
      <c r="Z20" s="875">
        <f t="shared" si="21"/>
        <v>2</v>
      </c>
      <c r="AA20" s="875">
        <f>IF('Flächen u. Kulturen'!P25="",0,VLOOKUP('Flächen u. Kulturen'!P25,Kulturen[[HF]:[Berechnungsgruppe]],'#Frucht'!$V$1,FALSE))</f>
        <v>0</v>
      </c>
      <c r="AB20" s="875">
        <f>IF(N20=1,VLOOKUP('Flächen u. Kulturen'!P25,Kulturen[[HF]:[Ernteprodukt]],'#Frucht'!$I$1,FALSE),4)</f>
        <v>4</v>
      </c>
      <c r="AC20" s="921">
        <f>IF('Flächen u. Kulturen'!J25="",0,VLOOKUP('Flächen u. Kulturen'!J25,Kulturen[[HF]:[Berechnungsgruppe]],'#Frucht'!$G$1,FALSE))</f>
        <v>90</v>
      </c>
      <c r="AD20" s="921">
        <f>IF('Flächen u. Kulturen'!P25="",0,VLOOKUP('Flächen u. Kulturen'!P25,Kulturen[[HF]:[Berechnungsgruppe]],'#Frucht'!$G$1,FALSE))</f>
        <v>90</v>
      </c>
      <c r="AE20" s="938">
        <f>IF('Flächen u. Kulturen'!P25="",0,VLOOKUP('Flächen u. Kulturen'!P25,Kulturen[[HF]:[SollwertMinusNfix]],'#Frucht'!$X$1,FALSE))</f>
        <v>0</v>
      </c>
      <c r="AF20" s="875">
        <f>IF('Flächen u. Kulturen'!L25="",0,VLOOKUP('Flächen u. Kulturen'!L25,Nebenkultur[[Nebenkultur]:[Berechnungsschema]],'#Zweitfr'!$G$1,FALSE))</f>
        <v>0</v>
      </c>
      <c r="AG20" s="875">
        <f>IF('Flächen u. Kulturen'!L25="",0,VLOOKUP('Flächen u. Kulturen'!L25,'#Zweitfr'!$D$8:$Q$27,'#Zweitfr'!$Q$1,FALSE))</f>
        <v>0</v>
      </c>
      <c r="AH20" s="875">
        <f>IF('Flächen u. Kulturen'!M25="",0,VLOOKUP('Flächen u. Kulturen'!M25,'#Boden'!$G$17:$H$21,2,FALSE))</f>
        <v>1</v>
      </c>
      <c r="AI20" s="875">
        <f>IF('Flächen u. Kulturen'!N25="",0,VLOOKUP('Flächen u. Kulturen'!N25,'#Boden'!$G$22:$H$24,'#Boden'!$H$1,FALSE))</f>
        <v>1</v>
      </c>
      <c r="AJ20" s="938">
        <f>IF('Flächen u. Kulturen'!O25="",0,_xlfn.NUMBERVALUE('Flächen u. Kulturen'!O25))</f>
        <v>0</v>
      </c>
      <c r="AK20" s="938">
        <f>IF('Flächen u. Kulturen'!L25="",0,VLOOKUP('Flächen u. Kulturen'!L25,Nebenkultur[[Nebenkultur]:[Legum. Zwischenfr.]],'#Zweitfr'!$P$1,FALSE))</f>
        <v>0</v>
      </c>
      <c r="AL20" s="875">
        <f>IF('Flächen u. Kulturen'!P25="",0,VLOOKUP('Flächen u. Kulturen'!P25,Kulturen[[HF]:[Berechnungsgruppe]],'#Frucht'!$Q$1,FALSE))</f>
        <v>0</v>
      </c>
      <c r="AM20" s="875">
        <f>IF('Flächen u. Kulturen'!P25="",0,VLOOKUP('Flächen u. Kulturen'!P25,Kulturen[[HF]:[Berechnungsgruppe]],'#Frucht'!$M$1,FALSE))</f>
        <v>0</v>
      </c>
      <c r="AN20" s="875">
        <f>IF('Flächen u. Kulturen'!P25="",1,VLOOKUP('Flächen u. Kulturen'!P25,Kulturen[[HF]:[Berechnungsgruppe]],'#Frucht'!$R$1,FALSE))</f>
        <v>10</v>
      </c>
      <c r="AO20" s="875">
        <f>IF('Flächen u. Kulturen'!P25="",0,VLOOKUP('Flächen u. Kulturen'!P25,Kulturen[[HF]:[Berechnungsgruppe]],'#Frucht'!$S$1,FALSE))</f>
        <v>0</v>
      </c>
      <c r="AP20" s="875">
        <f>IF('Flächen u. Kulturen'!P25="",0,VLOOKUP('Flächen u. Kulturen'!P25,Kulturen[[HF]:[Berechnungsgruppe]],'#Frucht'!$T$1,FALSE))</f>
        <v>0</v>
      </c>
      <c r="AQ20" s="938">
        <f t="shared" si="1"/>
        <v>0</v>
      </c>
      <c r="AR20" s="875">
        <f t="shared" si="2"/>
        <v>0</v>
      </c>
      <c r="AS20" s="938">
        <f t="shared" si="3"/>
        <v>0</v>
      </c>
      <c r="AT20" s="875">
        <f>IF(N20=1,'Flächen u. Kulturen'!S25*-1,"--")</f>
        <v>0</v>
      </c>
      <c r="AU20" s="938">
        <f>IF(OR(N20=2,'Flächen u. Kulturen'!I25=""),"--",IF(N20=3,VLOOKUP('Flächen u. Kulturen'!I25,'#Boden'!$B$9:$E$15,'#Boden'!$D$1,FALSE),VLOOKUP('Flächen u. Kulturen'!I25,'#Boden'!$B$9:$E$15,'#Boden'!$E$1,FALSE)))</f>
        <v>0</v>
      </c>
      <c r="AV20" s="938">
        <f>IF(N20=1,IF('Flächen u. Kulturen'!J25="",0,VLOOKUP('Flächen u. Kulturen'!J25,Kulturen[[HF]:[Berechnungsgruppe]],'#Frucht'!$U$1,FALSE)*-1),"--")</f>
        <v>0</v>
      </c>
      <c r="AW20" s="875">
        <f t="shared" si="4"/>
        <v>0</v>
      </c>
      <c r="AX20" s="875">
        <f>IF('Flächen u. Kulturen'!K25="",0,'Flächen u. Kulturen'!K25*-0.1)</f>
        <v>0</v>
      </c>
      <c r="AY20" s="875">
        <f>IF(N20&lt;3,'#orgDung'!AC29*0.1*-1,"--")</f>
        <v>0</v>
      </c>
      <c r="AZ20" s="31" t="str">
        <f>IF(AND('#orgDung'!J29&lt;&gt;2,'#orgDung'!F29=1),('#orgDung'!V29+'#minDung'!O26)*-1,"--")</f>
        <v>--</v>
      </c>
      <c r="BA20" s="875">
        <f t="shared" si="22"/>
        <v>0</v>
      </c>
      <c r="BB20" s="938">
        <f>IF(R20=2,0,'Flächen u. Kulturen'!V25*-1)</f>
        <v>0</v>
      </c>
      <c r="BC20" s="875">
        <f t="shared" si="23"/>
        <v>0</v>
      </c>
      <c r="BD20" s="127">
        <f>'#orgDung'!W29*-1</f>
        <v>0</v>
      </c>
      <c r="BE20" s="910">
        <f>'#orgDung'!AA29*-1</f>
        <v>0</v>
      </c>
      <c r="BF20" s="875">
        <f>'#orgDung'!Z29*-1</f>
        <v>0</v>
      </c>
      <c r="BG20" s="938">
        <f t="shared" si="14"/>
        <v>0</v>
      </c>
      <c r="BH20" s="875">
        <f>'#Kürzungen'!AS44*-1</f>
        <v>0</v>
      </c>
      <c r="BI20" s="875">
        <f t="shared" si="5"/>
        <v>0</v>
      </c>
      <c r="BJ20" s="910">
        <f t="shared" si="6"/>
        <v>0</v>
      </c>
      <c r="BK20" s="875">
        <f>'#minDung'!P26</f>
        <v>0</v>
      </c>
      <c r="BL20" s="938">
        <f t="shared" si="15"/>
        <v>0</v>
      </c>
      <c r="BM20" s="938">
        <f t="shared" si="7"/>
        <v>0</v>
      </c>
      <c r="BN20" s="875">
        <f>IF('Flächen u. Kulturen'!P25="",0,VLOOKUP('Flächen u. Kulturen'!P25,Kulturen[[HF]:[Berechnungsgruppe]],'#Frucht'!$K$1,FALSE))</f>
        <v>0</v>
      </c>
      <c r="BO20" s="875">
        <f>IF('Flächen u. Kulturen'!P25="",0,VLOOKUP('Flächen u. Kulturen'!P25,Kulturen[[HF]:[Berechnungsgruppe]],'#Frucht'!$L$1,FALSE))</f>
        <v>0</v>
      </c>
      <c r="BP20" s="875">
        <f>IF('Flächen u. Kulturen'!L25="",0,VLOOKUP('Flächen u. Kulturen'!L25,Nebenkultur[[Nebenkultur]:[Legum. Zwischenfr.]],'#Zweitfr'!$H$1,FALSE))</f>
        <v>0</v>
      </c>
      <c r="BQ20" s="938">
        <f>IF(N20=3,W20*BO20,IF('Flächen u. Kulturen'!T25='#Boden'!$B$32,V20*BN20,V20*BO20))</f>
        <v>0</v>
      </c>
      <c r="BR20" s="938">
        <f t="shared" si="8"/>
        <v>0</v>
      </c>
      <c r="BS20" s="875">
        <f t="shared" si="24"/>
        <v>0</v>
      </c>
      <c r="BT20" s="875">
        <f>IF('Flächen u. Kulturen'!F25="",0,IF(N20=3,VLOOKUP('Flächen u. Kulturen'!F25,'#Boden'!$G$4:$J$8,'#Boden'!$J$1,FALSE),VLOOKUP('Flächen u. Kulturen'!F25,'#Boden'!$G$4:$J$8,'#Boden'!$I$1,FALSE)))</f>
        <v>0</v>
      </c>
      <c r="BU20" s="41">
        <f t="shared" si="25"/>
        <v>0</v>
      </c>
      <c r="BV20" s="875">
        <f t="shared" si="26"/>
        <v>0</v>
      </c>
      <c r="BW20" s="938" t="str">
        <f t="shared" si="16"/>
        <v/>
      </c>
      <c r="BX20" s="875">
        <f>'#orgDung'!T29*-1</f>
        <v>0</v>
      </c>
      <c r="BY20" s="875">
        <f t="shared" si="17"/>
        <v>0</v>
      </c>
      <c r="BZ20" s="938" t="str">
        <f>IF(U20&lt;&gt;"x",0,IF(P20&lt;4,"",(BW20+BX20-'#minDung'!N26)*-1))</f>
        <v/>
      </c>
      <c r="CB20" s="938">
        <f>IF(AND(AF20=70,U20="x"),'Flächen u. Kulturen'!A25,1000)</f>
        <v>1000</v>
      </c>
      <c r="CC20" s="875" t="str">
        <f>IF(AF20=70,VLOOKUP('Flächen u. Kulturen'!L25,Nebenkultur[[Nebenkultur]:[Legum. Zwischenfr.]],'#Zweitfr'!$I$1,FALSE),"--")</f>
        <v>--</v>
      </c>
      <c r="CD20" s="875" t="str">
        <f>IF(AF20=70,VLOOKUP('Flächen u. Kulturen'!L25,Nebenkultur[[Nebenkultur]:[Legum. Zwischenfr.]],'#Zweitfr'!$L$1,FALSE),"--")</f>
        <v>--</v>
      </c>
      <c r="CE20" s="875" t="str">
        <f>IF(AF20=70,VLOOKUP('Flächen u. Kulturen'!L25,Nebenkultur[[Nebenkultur]:[Legum. Zwischenfr.]],'#Zweitfr'!$M$1,FALSE),"--")</f>
        <v>--</v>
      </c>
      <c r="CF20" s="875" t="str">
        <f>IF(AF20=70,VLOOKUP('Flächen u. Kulturen'!L25,Nebenkultur[[Nebenkultur]:[Legum. Zwischenfr.]],'#Zweitfr'!$N$1,FALSE),"--")</f>
        <v>--</v>
      </c>
      <c r="CG20" s="875" t="str">
        <f>IF(AF20=70,VLOOKUP('Flächen u. Kulturen'!L25,Nebenkultur[[Nebenkultur]:[Legum. Zwischenfr.]],'#Zweitfr'!$O$1,FALSE),"--")</f>
        <v>--</v>
      </c>
      <c r="CH20" s="875" t="str">
        <f t="shared" si="9"/>
        <v>--</v>
      </c>
      <c r="CI20" s="938">
        <f>IF('Flächen u. Kulturen'!L25="",0,VLOOKUP('Flächen u. Kulturen'!L25,Nebenkultur[[Nebenkultur]:[Legum. Zwischenfr.]],'#Zweitfr'!$J$1,FALSE))</f>
        <v>0</v>
      </c>
      <c r="CJ20" s="875">
        <f t="shared" si="10"/>
        <v>0</v>
      </c>
      <c r="CK20" s="890">
        <f t="shared" si="11"/>
        <v>0</v>
      </c>
      <c r="CL20" s="938">
        <f>IF(AND(R20=1,AF20=70),'Flächen u. Kulturen'!W25*-1,0)</f>
        <v>0</v>
      </c>
      <c r="CM20" s="875">
        <f>'#orgDung'!AE29*-1</f>
        <v>0</v>
      </c>
      <c r="CN20" s="875">
        <f t="shared" si="27"/>
        <v>0</v>
      </c>
      <c r="CO20" s="875">
        <f t="shared" si="28"/>
        <v>0</v>
      </c>
      <c r="CP20" s="875">
        <f>'#Kürzungen'!AS145*-1</f>
        <v>0</v>
      </c>
      <c r="CQ20" s="875">
        <f t="shared" si="29"/>
        <v>0</v>
      </c>
      <c r="CR20" s="875">
        <f t="shared" si="30"/>
        <v>0</v>
      </c>
      <c r="CS20" s="875">
        <f>'#minDung'!R26</f>
        <v>0</v>
      </c>
      <c r="CT20" s="938">
        <f t="shared" si="18"/>
        <v>0</v>
      </c>
      <c r="CU20" s="52" t="str">
        <f>'#Kürzungen'!AQ145</f>
        <v xml:space="preserve"> </v>
      </c>
      <c r="CW20" s="247">
        <f>IF('Flächen u. Kulturen'!D25="",0,IF(ISNUMBER('Flächen u. Kulturen'!D25)=TRUE,2,1))</f>
        <v>0</v>
      </c>
      <c r="CX20" s="247">
        <f>IF('Flächen u. Kulturen'!E25="",0,COUNTIF('#Boden'!$B$47,'Flächen u. Kulturen'!E25)+1)</f>
        <v>2</v>
      </c>
      <c r="CY20" s="247">
        <f>IF('Flächen u. Kulturen'!F25="",0,COUNTIF('#Boden'!$G$4:$G$8,'Flächen u. Kulturen'!F25)+1)</f>
        <v>2</v>
      </c>
      <c r="CZ20" s="247">
        <f>IF('Flächen u. Kulturen'!G25="",0,COUNTIF('#Boden'!$B$26:$B$29,'Flächen u. Kulturen'!G25)+1)</f>
        <v>2</v>
      </c>
      <c r="DA20" s="247">
        <f>IF('Flächen u. Kulturen'!H25="",0,COUNTIF('#Boden'!$B$26:$B$29,'Flächen u. Kulturen'!H25)+1)</f>
        <v>2</v>
      </c>
      <c r="DB20" s="247">
        <f>IF('Flächen u. Kulturen'!I25="",0,COUNTIF('#Boden'!$B$9:$B$15,'Flächen u. Kulturen'!I25)+1)</f>
        <v>2</v>
      </c>
      <c r="DC20" s="247">
        <f>IF('Flächen u. Kulturen'!J25="",0,COUNTIF(Kulturen[HF],'Flächen u. Kulturen'!J25)+1)</f>
        <v>2</v>
      </c>
      <c r="DD20" s="247">
        <f>IF('Flächen u. Kulturen'!L25="",0,COUNTIF(Nebenkultur[Nebenkultur],'Flächen u. Kulturen'!L25)+1)</f>
        <v>2</v>
      </c>
      <c r="DE20" s="247">
        <f>IF('Flächen u. Kulturen'!M25="",0,COUNTIF('#Boden'!$G$17:$G$21,'Flächen u. Kulturen'!M25)+1)</f>
        <v>2</v>
      </c>
      <c r="DF20" s="247">
        <f>IF('Flächen u. Kulturen'!N25="",0,COUNTIF('#Boden'!$G$22:$G$24,'Flächen u. Kulturen'!N25)+1)</f>
        <v>2</v>
      </c>
      <c r="DG20" s="247">
        <f>IF('Flächen u. Kulturen'!P25="",0,COUNTIF(Kulturen[HF],'Flächen u. Kulturen'!P25)+1)</f>
        <v>2</v>
      </c>
      <c r="DH20" s="247">
        <f>IF('Flächen u. Kulturen'!T25="",0,COUNTIF('#Boden'!$B$30:$B$32,'Flächen u. Kulturen'!T25)+1)</f>
        <v>2</v>
      </c>
      <c r="DI20" s="247">
        <f>IF('Flächen u. Kulturen'!K25="",0,IF(ISNUMBER('Flächen u. Kulturen'!K25)=TRUE,2,1))</f>
        <v>0</v>
      </c>
      <c r="DJ20" s="247">
        <f>IF('Flächen u. Kulturen'!U25="",0,IF(ISNUMBER('Flächen u. Kulturen'!U25)=TRUE,2,1))</f>
        <v>0</v>
      </c>
      <c r="DK20" s="247">
        <f>IF('Flächen u. Kulturen'!V25="",0,IF(ISNUMBER('Flächen u. Kulturen'!V25)=TRUE,2,1))</f>
        <v>0</v>
      </c>
      <c r="DL20" s="247">
        <f>IF('Flächen u. Kulturen'!W25="",0,IF(ISNUMBER('Flächen u. Kulturen'!W25)=TRUE,2,1))</f>
        <v>0</v>
      </c>
      <c r="DM20" s="247">
        <f t="shared" si="31"/>
        <v>0</v>
      </c>
      <c r="DN20" s="247" t="s">
        <v>344</v>
      </c>
      <c r="DO20" s="247">
        <f>IF(U20&lt;&gt;"x","",IF(OR('Flächen u. Kulturen'!B25="",'Flächen u. Kulturen'!C25="",'Flächen u. Kulturen'!D25="",'Flächen u. Kulturen'!D25=0,'Flächen u. Kulturen'!F25="",'Flächen u. Kulturen'!F25='#Boden'!$G$4,'Flächen u. Kulturen'!G25="",'Flächen u. Kulturen'!G25='#Boden'!$B$26,'Flächen u. Kulturen'!H25="",'Flächen u. Kulturen'!H25='#Boden'!$B$23,AND(N20&lt;&gt;2,OR('Flächen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Kulturen'!Q25="",'#BerechnungDBE'!N20&lt;3),AND('Flächen u. Kulturen'!R25="",'#BerechnungDBE'!N20=3),AND(N20=1,AL20&gt;0,'Flächen u. Kulturen'!S25=""),AND(N20=1,OR('Flächen u. Kulturen'!T25="",'Flächen u. Kulturen'!T25='#Boden'!$B$30)),AND('#BerechnungDBE'!AF20=70,OR('Flächen u. Kulturen'!N25="",'Flächen u. Kulturen'!N25='#Boden'!$G$22,'Flächen u. Kulturen'!O25="")),AND('#BerechnungDBE'!AF20=80,OR('Flächen u. Kulturen'!M25="",'Flächen u. Kulturen'!M25='#Boden'!$G$17,'Flächen u. Kulturen'!N25="",'Flächen u. Kulturen'!N25='#Boden'!$G$22))),$DO$4,""))</f>
        <v>1</v>
      </c>
      <c r="DP20" s="247" t="str">
        <f>IF(U20&lt;&gt;"x","",IF(OR(LEFT('Flächen u. Kulturen'!J25,2)=" +",LEFT('Flächen u. Kulturen'!L25,2)=" +",LEFT('Flächen u. Kulturen'!P25,2)=" +"),$DP$4,""))</f>
        <v/>
      </c>
      <c r="DQ20" s="428" t="str">
        <f t="shared" si="12"/>
        <v/>
      </c>
      <c r="DR20" s="938" t="str">
        <f t="shared" si="13"/>
        <v/>
      </c>
      <c r="DS20" s="938" t="str">
        <f>IF('Flächen u. Kulturen'!X25="","",ROW('Flächen u. Kulturen'!X25))</f>
        <v/>
      </c>
    </row>
    <row r="21" spans="1:123" s="875" customFormat="1" x14ac:dyDescent="0.2">
      <c r="A21" s="875" t="str">
        <f>IF('Daten aus 2021'!H23="",'#Boden'!$B$26,IF('Daten aus 2021'!H23='#Boden'!$B$39,IF('Daten aus 2021'!F23='#Boden'!$B$29,'#Boden'!$B$29,IF('Daten aus 2021'!K23='#Boden'!$B$34,'#Boden'!$B$28,'#Boden'!$B$27)),'Daten aus 2021'!F23))</f>
        <v xml:space="preserve"> --</v>
      </c>
      <c r="B21" s="875" t="str">
        <f>IF('Daten aus 2021'!H23='#Boden'!$B$39,IF('Daten aus 2021'!L23='#Boden'!$B$61,'#Boden'!$B$11,'Daten aus 2021'!L23),IF('Daten aus 2021'!P23='#Boden'!$B$58,'#Boden'!$B$11,IF('Daten aus 2021'!P23='#Boden'!$B$57,'#Boden'!$B$10,'#Boden'!$B$9)))</f>
        <v xml:space="preserve"> --         </v>
      </c>
      <c r="C21" s="875" t="str">
        <f>IF('Daten aus 2021'!N23="","",VLOOKUP('Daten aus 2021'!N23,'#Boden'!$B$68:$C$89,2,FALSE))</f>
        <v/>
      </c>
      <c r="D21" s="875" t="str">
        <f>IF('Daten aus 2021'!M23="","",VLOOKUP('Daten aus 2021'!M23,'#Boden'!$D$69:$E$73,2,FALSE))</f>
        <v/>
      </c>
      <c r="E21" s="938" t="str">
        <f>IF(OR(C21='#Boden'!$C$68,C21='#Boden'!$C$70),C21,CONCATENATE(C21,D21))</f>
        <v/>
      </c>
      <c r="F21" s="882" t="str">
        <f>IFERROR(IF('Daten aus 2021'!H23="",'#Frucht'!$D$8,IF('Daten aus 2021'!H23='#Boden'!$B$39,E21,IF('Daten aus 2021'!H23='#Boden'!$B$38,IF(CONCATENATE(" ",'Daten aus 2021'!W23)=$B$2,VLOOKUP($B$3,'#Frucht'!$A$8:$D$372,4,FALSE),VLOOKUP(CONCATENATE(" ",'Daten aus 2021'!W23),'#Frucht'!$A$8:$D$372,4,FALSE)),IF(OR(LEFT('Daten aus 2021'!Q23,5)=" *10 ",LEFT('Daten aus 2021'!Q23,5)=" *11 ",LEFT('Daten aus 2021'!Q23,5)=" *12 ",LEFT('Daten aus 2021'!Q23,5)=" *13 ",LEFT('Daten aus 2021'!Q23,5)=" *14 ",LEFT('Daten aus 2021'!Q23,5)=" *15 "),VLOOKUP(RIGHT('Daten aus 2021'!Q23,LEN('Daten aus 2021'!Q23)-4),'#Frucht'!$A$8:$D$372,4,FALSE),IF(LEFT('Daten aus 2021'!Q23,2)=" *",VLOOKUP(RIGHT('Daten aus 2021'!Q23,LEN('Daten aus 2021'!Q23)-3),'#Frucht'!$A$8:$D$372,4,FALSE),VLOOKUP('Daten aus 2021'!Q23,'#Frucht'!$A$8:$D$372,4,FALSE)))))),'#Frucht'!$D$8)</f>
        <v xml:space="preserve"> --  </v>
      </c>
      <c r="G21" s="127"/>
      <c r="H21" s="31"/>
      <c r="J21" s="938" t="str">
        <f>IF(OR(N21=3,$K$3=0,'Flächen u. Kulturen'!P26=""),"",IF(VLOOKUP('Flächen u. Kulturen'!P26,Kulturen[[HF]:[780]],'#BerechnungDBE'!$K$3,FALSE)=".","",VLOOKUP('Flächen u. Kulturen'!P26,Kulturen[[HF]:[780]],'#BerechnungDBE'!$K$3,FALSE)))</f>
        <v/>
      </c>
      <c r="K21" s="938" t="str">
        <f>IF(OR($K$3=0,'Flächen u. Kulturen'!P26=""),"",IF(N21=3,IF(VLOOKUP('Flächen u. Kulturen'!P26,Kulturen[[HF]:[780]],'#BerechnungDBE'!$K$3,FALSE)=".","",VLOOKUP('Flächen u. Kulturen'!P26,Kulturen[[HF]:[780]],'#BerechnungDBE'!$K$3,FALSE)),""))</f>
        <v/>
      </c>
      <c r="L21" s="367">
        <f>IF('Flächen u. Kulturen'!D26="",0,'Flächen u. Kulturen'!D26)</f>
        <v>0</v>
      </c>
      <c r="M21" s="693">
        <f>IF('Flächen u. Kulturen'!J26="",0,VLOOKUP('Flächen u. Kulturen'!J26,Kulturen[[HF]:[Berechnungsgruppe]],'#Frucht'!$W$1,FALSE))</f>
        <v>1</v>
      </c>
      <c r="N21" s="693">
        <f>IF('Flächen u. Kulturen'!P26="",0,VLOOKUP('Flächen u. Kulturen'!P26,Kulturen[[HF]:[Berechnungsgruppe]],'#Frucht'!$W$1,FALSE))</f>
        <v>1</v>
      </c>
      <c r="O21" s="875">
        <f>IF(N21&lt;&gt;2,N21,IF('Flächen u. Kulturen'!J26='Flächen u. Kulturen'!P26,2,1))</f>
        <v>1</v>
      </c>
      <c r="P21" s="875">
        <f>IF('Flächen u. Kulturen'!F26="",0,VLOOKUP('Flächen u. Kulturen'!F26,'#Boden'!$G$4:$H$8,'#Boden'!$H$1,FALSE))</f>
        <v>1</v>
      </c>
      <c r="Q21" s="875">
        <f>IF('Flächen u. Kulturen'!G26="",0,VLOOKUP('Flächen u. Kulturen'!G26,'#Boden'!$B$26:$C$29,'#Boden'!$C$1,FALSE))</f>
        <v>1</v>
      </c>
      <c r="R21" s="875">
        <f t="shared" si="19"/>
        <v>1</v>
      </c>
      <c r="S21" s="875">
        <f t="shared" si="20"/>
        <v>1</v>
      </c>
      <c r="T21" s="875">
        <f>IF('Flächen u. Kulturen'!H26="",0,VLOOKUP('Flächen u. Kulturen'!H26,'#Boden'!$B$23:$C$25,'#Boden'!$C$1,FALSE))</f>
        <v>2</v>
      </c>
      <c r="U21" s="875" t="str">
        <f>'Flächen u. Kulturen'!E26</f>
        <v>x</v>
      </c>
      <c r="V21" s="938">
        <f>IF('Flächen u. Kulturen'!Q26="",0,_xlfn.NUMBERVALUE('Flächen u. Kulturen'!Q26))</f>
        <v>0</v>
      </c>
      <c r="W21" s="938">
        <f>IF('Flächen u. Kulturen'!R26="",0,_xlfn.NUMBERVALUE('Flächen u. Kulturen'!R26))</f>
        <v>0</v>
      </c>
      <c r="X21" s="875">
        <f>IF('Flächen u. Kulturen'!T26="",0,VLOOKUP('Flächen u. Kulturen'!T26,'#Boden'!$B$30:$C$32,'#Boden'!$C$1,FALSE))</f>
        <v>1</v>
      </c>
      <c r="Y21" s="875">
        <f>IF('Flächen u. Kulturen'!P26="",0,VLOOKUP('Flächen u. Kulturen'!P26,Kulturen[[HF]:[Berechnungsgruppe]],'#Frucht'!$N$1,FALSE))</f>
        <v>0</v>
      </c>
      <c r="Z21" s="875">
        <f t="shared" si="21"/>
        <v>2</v>
      </c>
      <c r="AA21" s="875">
        <f>IF('Flächen u. Kulturen'!P26="",0,VLOOKUP('Flächen u. Kulturen'!P26,Kulturen[[HF]:[Berechnungsgruppe]],'#Frucht'!$V$1,FALSE))</f>
        <v>0</v>
      </c>
      <c r="AB21" s="875">
        <f>IF(N21=1,VLOOKUP('Flächen u. Kulturen'!P26,Kulturen[[HF]:[Ernteprodukt]],'#Frucht'!$I$1,FALSE),4)</f>
        <v>4</v>
      </c>
      <c r="AC21" s="921">
        <f>IF('Flächen u. Kulturen'!J26="",0,VLOOKUP('Flächen u. Kulturen'!J26,Kulturen[[HF]:[Berechnungsgruppe]],'#Frucht'!$G$1,FALSE))</f>
        <v>90</v>
      </c>
      <c r="AD21" s="921">
        <f>IF('Flächen u. Kulturen'!P26="",0,VLOOKUP('Flächen u. Kulturen'!P26,Kulturen[[HF]:[Berechnungsgruppe]],'#Frucht'!$G$1,FALSE))</f>
        <v>90</v>
      </c>
      <c r="AE21" s="938">
        <f>IF('Flächen u. Kulturen'!P26="",0,VLOOKUP('Flächen u. Kulturen'!P26,Kulturen[[HF]:[SollwertMinusNfix]],'#Frucht'!$X$1,FALSE))</f>
        <v>0</v>
      </c>
      <c r="AF21" s="875">
        <f>IF('Flächen u. Kulturen'!L26="",0,VLOOKUP('Flächen u. Kulturen'!L26,Nebenkultur[[Nebenkultur]:[Berechnungsschema]],'#Zweitfr'!$G$1,FALSE))</f>
        <v>0</v>
      </c>
      <c r="AG21" s="875">
        <f>IF('Flächen u. Kulturen'!L26="",0,VLOOKUP('Flächen u. Kulturen'!L26,'#Zweitfr'!$D$8:$Q$27,'#Zweitfr'!$Q$1,FALSE))</f>
        <v>0</v>
      </c>
      <c r="AH21" s="875">
        <f>IF('Flächen u. Kulturen'!M26="",0,VLOOKUP('Flächen u. Kulturen'!M26,'#Boden'!$G$17:$H$21,2,FALSE))</f>
        <v>1</v>
      </c>
      <c r="AI21" s="875">
        <f>IF('Flächen u. Kulturen'!N26="",0,VLOOKUP('Flächen u. Kulturen'!N26,'#Boden'!$G$22:$H$24,'#Boden'!$H$1,FALSE))</f>
        <v>1</v>
      </c>
      <c r="AJ21" s="938">
        <f>IF('Flächen u. Kulturen'!O26="",0,_xlfn.NUMBERVALUE('Flächen u. Kulturen'!O26))</f>
        <v>0</v>
      </c>
      <c r="AK21" s="938">
        <f>IF('Flächen u. Kulturen'!L26="",0,VLOOKUP('Flächen u. Kulturen'!L26,Nebenkultur[[Nebenkultur]:[Legum. Zwischenfr.]],'#Zweitfr'!$P$1,FALSE))</f>
        <v>0</v>
      </c>
      <c r="AL21" s="875">
        <f>IF('Flächen u. Kulturen'!P26="",0,VLOOKUP('Flächen u. Kulturen'!P26,Kulturen[[HF]:[Berechnungsgruppe]],'#Frucht'!$Q$1,FALSE))</f>
        <v>0</v>
      </c>
      <c r="AM21" s="875">
        <f>IF('Flächen u. Kulturen'!P26="",0,VLOOKUP('Flächen u. Kulturen'!P26,Kulturen[[HF]:[Berechnungsgruppe]],'#Frucht'!$M$1,FALSE))</f>
        <v>0</v>
      </c>
      <c r="AN21" s="875">
        <f>IF('Flächen u. Kulturen'!P26="",1,VLOOKUP('Flächen u. Kulturen'!P26,Kulturen[[HF]:[Berechnungsgruppe]],'#Frucht'!$R$1,FALSE))</f>
        <v>10</v>
      </c>
      <c r="AO21" s="875">
        <f>IF('Flächen u. Kulturen'!P26="",0,VLOOKUP('Flächen u. Kulturen'!P26,Kulturen[[HF]:[Berechnungsgruppe]],'#Frucht'!$S$1,FALSE))</f>
        <v>0</v>
      </c>
      <c r="AP21" s="875">
        <f>IF('Flächen u. Kulturen'!P26="",0,VLOOKUP('Flächen u. Kulturen'!P26,Kulturen[[HF]:[Berechnungsgruppe]],'#Frucht'!$T$1,FALSE))</f>
        <v>0</v>
      </c>
      <c r="AQ21" s="938">
        <f t="shared" si="1"/>
        <v>0</v>
      </c>
      <c r="AR21" s="875">
        <f t="shared" si="2"/>
        <v>0</v>
      </c>
      <c r="AS21" s="938">
        <f t="shared" si="3"/>
        <v>0</v>
      </c>
      <c r="AT21" s="875">
        <f>IF(N21=1,'Flächen u. Kulturen'!S26*-1,"--")</f>
        <v>0</v>
      </c>
      <c r="AU21" s="938">
        <f>IF(OR(N21=2,'Flächen u. Kulturen'!I26=""),"--",IF(N21=3,VLOOKUP('Flächen u. Kulturen'!I26,'#Boden'!$B$9:$E$15,'#Boden'!$D$1,FALSE),VLOOKUP('Flächen u. Kulturen'!I26,'#Boden'!$B$9:$E$15,'#Boden'!$E$1,FALSE)))</f>
        <v>0</v>
      </c>
      <c r="AV21" s="938">
        <f>IF(N21=1,IF('Flächen u. Kulturen'!J26="",0,VLOOKUP('Flächen u. Kulturen'!J26,Kulturen[[HF]:[Berechnungsgruppe]],'#Frucht'!$U$1,FALSE)*-1),"--")</f>
        <v>0</v>
      </c>
      <c r="AW21" s="875">
        <f t="shared" si="4"/>
        <v>0</v>
      </c>
      <c r="AX21" s="875">
        <f>IF('Flächen u. Kulturen'!K26="",0,'Flächen u. Kulturen'!K26*-0.1)</f>
        <v>0</v>
      </c>
      <c r="AY21" s="875">
        <f>IF(N21&lt;3,'#orgDung'!AC30*0.1*-1,"--")</f>
        <v>0</v>
      </c>
      <c r="AZ21" s="31" t="str">
        <f>IF(AND('#orgDung'!J30&lt;&gt;2,'#orgDung'!F30=1),('#orgDung'!V30+'#minDung'!O27)*-1,"--")</f>
        <v>--</v>
      </c>
      <c r="BA21" s="875">
        <f t="shared" si="22"/>
        <v>0</v>
      </c>
      <c r="BB21" s="938">
        <f>IF(R21=2,0,'Flächen u. Kulturen'!V26*-1)</f>
        <v>0</v>
      </c>
      <c r="BC21" s="875">
        <f t="shared" si="23"/>
        <v>0</v>
      </c>
      <c r="BD21" s="127">
        <f>'#orgDung'!W30*-1</f>
        <v>0</v>
      </c>
      <c r="BE21" s="910">
        <f>'#orgDung'!AA30*-1</f>
        <v>0</v>
      </c>
      <c r="BF21" s="875">
        <f>'#orgDung'!Z30*-1</f>
        <v>0</v>
      </c>
      <c r="BG21" s="938">
        <f t="shared" si="14"/>
        <v>0</v>
      </c>
      <c r="BH21" s="875">
        <f>'#Kürzungen'!AS45*-1</f>
        <v>0</v>
      </c>
      <c r="BI21" s="875">
        <f t="shared" si="5"/>
        <v>0</v>
      </c>
      <c r="BJ21" s="910">
        <f t="shared" si="6"/>
        <v>0</v>
      </c>
      <c r="BK21" s="875">
        <f>'#minDung'!P27</f>
        <v>0</v>
      </c>
      <c r="BL21" s="938">
        <f t="shared" si="15"/>
        <v>0</v>
      </c>
      <c r="BM21" s="938">
        <f t="shared" si="7"/>
        <v>0</v>
      </c>
      <c r="BN21" s="875">
        <f>IF('Flächen u. Kulturen'!P26="",0,VLOOKUP('Flächen u. Kulturen'!P26,Kulturen[[HF]:[Berechnungsgruppe]],'#Frucht'!$K$1,FALSE))</f>
        <v>0</v>
      </c>
      <c r="BO21" s="875">
        <f>IF('Flächen u. Kulturen'!P26="",0,VLOOKUP('Flächen u. Kulturen'!P26,Kulturen[[HF]:[Berechnungsgruppe]],'#Frucht'!$L$1,FALSE))</f>
        <v>0</v>
      </c>
      <c r="BP21" s="875">
        <f>IF('Flächen u. Kulturen'!L26="",0,VLOOKUP('Flächen u. Kulturen'!L26,Nebenkultur[[Nebenkultur]:[Legum. Zwischenfr.]],'#Zweitfr'!$H$1,FALSE))</f>
        <v>0</v>
      </c>
      <c r="BQ21" s="938">
        <f>IF(N21=3,W21*BO21,IF('Flächen u. Kulturen'!T26='#Boden'!$B$32,V21*BN21,V21*BO21))</f>
        <v>0</v>
      </c>
      <c r="BR21" s="938">
        <f t="shared" si="8"/>
        <v>0</v>
      </c>
      <c r="BS21" s="875">
        <f t="shared" si="24"/>
        <v>0</v>
      </c>
      <c r="BT21" s="875">
        <f>IF('Flächen u. Kulturen'!F26="",0,IF(N21=3,VLOOKUP('Flächen u. Kulturen'!F26,'#Boden'!$G$4:$J$8,'#Boden'!$J$1,FALSE),VLOOKUP('Flächen u. Kulturen'!F26,'#Boden'!$G$4:$J$8,'#Boden'!$I$1,FALSE)))</f>
        <v>0</v>
      </c>
      <c r="BU21" s="41">
        <f t="shared" si="25"/>
        <v>0</v>
      </c>
      <c r="BV21" s="875">
        <f t="shared" si="26"/>
        <v>0</v>
      </c>
      <c r="BW21" s="938" t="str">
        <f t="shared" si="16"/>
        <v/>
      </c>
      <c r="BX21" s="875">
        <f>'#orgDung'!T30*-1</f>
        <v>0</v>
      </c>
      <c r="BY21" s="875">
        <f t="shared" si="17"/>
        <v>0</v>
      </c>
      <c r="BZ21" s="938" t="str">
        <f>IF(U21&lt;&gt;"x",0,IF(P21&lt;4,"",(BW21+BX21-'#minDung'!N27)*-1))</f>
        <v/>
      </c>
      <c r="CB21" s="938">
        <f>IF(AND(AF21=70,U21="x"),'Flächen u. Kulturen'!A26,1000)</f>
        <v>1000</v>
      </c>
      <c r="CC21" s="875" t="str">
        <f>IF(AF21=70,VLOOKUP('Flächen u. Kulturen'!L26,Nebenkultur[[Nebenkultur]:[Legum. Zwischenfr.]],'#Zweitfr'!$I$1,FALSE),"--")</f>
        <v>--</v>
      </c>
      <c r="CD21" s="875" t="str">
        <f>IF(AF21=70,VLOOKUP('Flächen u. Kulturen'!L26,Nebenkultur[[Nebenkultur]:[Legum. Zwischenfr.]],'#Zweitfr'!$L$1,FALSE),"--")</f>
        <v>--</v>
      </c>
      <c r="CE21" s="875" t="str">
        <f>IF(AF21=70,VLOOKUP('Flächen u. Kulturen'!L26,Nebenkultur[[Nebenkultur]:[Legum. Zwischenfr.]],'#Zweitfr'!$M$1,FALSE),"--")</f>
        <v>--</v>
      </c>
      <c r="CF21" s="875" t="str">
        <f>IF(AF21=70,VLOOKUP('Flächen u. Kulturen'!L26,Nebenkultur[[Nebenkultur]:[Legum. Zwischenfr.]],'#Zweitfr'!$N$1,FALSE),"--")</f>
        <v>--</v>
      </c>
      <c r="CG21" s="875" t="str">
        <f>IF(AF21=70,VLOOKUP('Flächen u. Kulturen'!L26,Nebenkultur[[Nebenkultur]:[Legum. Zwischenfr.]],'#Zweitfr'!$O$1,FALSE),"--")</f>
        <v>--</v>
      </c>
      <c r="CH21" s="875" t="str">
        <f t="shared" si="9"/>
        <v>--</v>
      </c>
      <c r="CI21" s="938">
        <f>IF('Flächen u. Kulturen'!L26="",0,VLOOKUP('Flächen u. Kulturen'!L26,Nebenkultur[[Nebenkultur]:[Legum. Zwischenfr.]],'#Zweitfr'!$J$1,FALSE))</f>
        <v>0</v>
      </c>
      <c r="CJ21" s="875">
        <f t="shared" si="10"/>
        <v>0</v>
      </c>
      <c r="CK21" s="890">
        <f t="shared" si="11"/>
        <v>0</v>
      </c>
      <c r="CL21" s="938">
        <f>IF(AND(R21=1,AF21=70),'Flächen u. Kulturen'!W26*-1,0)</f>
        <v>0</v>
      </c>
      <c r="CM21" s="875">
        <f>'#orgDung'!AE30*-1</f>
        <v>0</v>
      </c>
      <c r="CN21" s="875">
        <f t="shared" si="27"/>
        <v>0</v>
      </c>
      <c r="CO21" s="875">
        <f t="shared" si="28"/>
        <v>0</v>
      </c>
      <c r="CP21" s="875">
        <f>'#Kürzungen'!AS146*-1</f>
        <v>0</v>
      </c>
      <c r="CQ21" s="875">
        <f t="shared" si="29"/>
        <v>0</v>
      </c>
      <c r="CR21" s="875">
        <f t="shared" si="30"/>
        <v>0</v>
      </c>
      <c r="CS21" s="875">
        <f>'#minDung'!R27</f>
        <v>0</v>
      </c>
      <c r="CT21" s="938">
        <f t="shared" si="18"/>
        <v>0</v>
      </c>
      <c r="CU21" s="52" t="str">
        <f>'#Kürzungen'!AQ146</f>
        <v xml:space="preserve"> </v>
      </c>
      <c r="CW21" s="247">
        <f>IF('Flächen u. Kulturen'!D26="",0,IF(ISNUMBER('Flächen u. Kulturen'!D26)=TRUE,2,1))</f>
        <v>0</v>
      </c>
      <c r="CX21" s="247">
        <f>IF('Flächen u. Kulturen'!E26="",0,COUNTIF('#Boden'!$B$47,'Flächen u. Kulturen'!E26)+1)</f>
        <v>2</v>
      </c>
      <c r="CY21" s="247">
        <f>IF('Flächen u. Kulturen'!F26="",0,COUNTIF('#Boden'!$G$4:$G$8,'Flächen u. Kulturen'!F26)+1)</f>
        <v>2</v>
      </c>
      <c r="CZ21" s="247">
        <f>IF('Flächen u. Kulturen'!G26="",0,COUNTIF('#Boden'!$B$26:$B$29,'Flächen u. Kulturen'!G26)+1)</f>
        <v>2</v>
      </c>
      <c r="DA21" s="247">
        <f>IF('Flächen u. Kulturen'!H26="",0,COUNTIF('#Boden'!$B$26:$B$29,'Flächen u. Kulturen'!H26)+1)</f>
        <v>2</v>
      </c>
      <c r="DB21" s="247">
        <f>IF('Flächen u. Kulturen'!I26="",0,COUNTIF('#Boden'!$B$9:$B$15,'Flächen u. Kulturen'!I26)+1)</f>
        <v>2</v>
      </c>
      <c r="DC21" s="247">
        <f>IF('Flächen u. Kulturen'!J26="",0,COUNTIF(Kulturen[HF],'Flächen u. Kulturen'!J26)+1)</f>
        <v>2</v>
      </c>
      <c r="DD21" s="247">
        <f>IF('Flächen u. Kulturen'!L26="",0,COUNTIF(Nebenkultur[Nebenkultur],'Flächen u. Kulturen'!L26)+1)</f>
        <v>2</v>
      </c>
      <c r="DE21" s="247">
        <f>IF('Flächen u. Kulturen'!M26="",0,COUNTIF('#Boden'!$G$17:$G$21,'Flächen u. Kulturen'!M26)+1)</f>
        <v>2</v>
      </c>
      <c r="DF21" s="247">
        <f>IF('Flächen u. Kulturen'!N26="",0,COUNTIF('#Boden'!$G$22:$G$24,'Flächen u. Kulturen'!N26)+1)</f>
        <v>2</v>
      </c>
      <c r="DG21" s="247">
        <f>IF('Flächen u. Kulturen'!P26="",0,COUNTIF(Kulturen[HF],'Flächen u. Kulturen'!P26)+1)</f>
        <v>2</v>
      </c>
      <c r="DH21" s="247">
        <f>IF('Flächen u. Kulturen'!T26="",0,COUNTIF('#Boden'!$B$30:$B$32,'Flächen u. Kulturen'!T26)+1)</f>
        <v>2</v>
      </c>
      <c r="DI21" s="247">
        <f>IF('Flächen u. Kulturen'!K26="",0,IF(ISNUMBER('Flächen u. Kulturen'!K26)=TRUE,2,1))</f>
        <v>0</v>
      </c>
      <c r="DJ21" s="247">
        <f>IF('Flächen u. Kulturen'!U26="",0,IF(ISNUMBER('Flächen u. Kulturen'!U26)=TRUE,2,1))</f>
        <v>0</v>
      </c>
      <c r="DK21" s="247">
        <f>IF('Flächen u. Kulturen'!V26="",0,IF(ISNUMBER('Flächen u. Kulturen'!V26)=TRUE,2,1))</f>
        <v>0</v>
      </c>
      <c r="DL21" s="247">
        <f>IF('Flächen u. Kulturen'!W26="",0,IF(ISNUMBER('Flächen u. Kulturen'!W26)=TRUE,2,1))</f>
        <v>0</v>
      </c>
      <c r="DM21" s="247">
        <f t="shared" si="31"/>
        <v>0</v>
      </c>
      <c r="DN21" s="247" t="s">
        <v>344</v>
      </c>
      <c r="DO21" s="247">
        <f>IF(U21&lt;&gt;"x","",IF(OR('Flächen u. Kulturen'!B26="",'Flächen u. Kulturen'!C26="",'Flächen u. Kulturen'!D26="",'Flächen u. Kulturen'!D26=0,'Flächen u. Kulturen'!F26="",'Flächen u. Kulturen'!F26='#Boden'!$G$4,'Flächen u. Kulturen'!G26="",'Flächen u. Kulturen'!G26='#Boden'!$B$26,'Flächen u. Kulturen'!H26="",'Flächen u. Kulturen'!H26='#Boden'!$B$23,AND(N21&lt;&gt;2,OR('Flächen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Kulturen'!Q26="",'#BerechnungDBE'!N21&lt;3),AND('Flächen u. Kulturen'!R26="",'#BerechnungDBE'!N21=3),AND(N21=1,AL21&gt;0,'Flächen u. Kulturen'!S26=""),AND(N21=1,OR('Flächen u. Kulturen'!T26="",'Flächen u. Kulturen'!T26='#Boden'!$B$30)),AND('#BerechnungDBE'!AF21=70,OR('Flächen u. Kulturen'!N26="",'Flächen u. Kulturen'!N26='#Boden'!$G$22,'Flächen u. Kulturen'!O26="")),AND('#BerechnungDBE'!AF21=80,OR('Flächen u. Kulturen'!M26="",'Flächen u. Kulturen'!M26='#Boden'!$G$17,'Flächen u. Kulturen'!N26="",'Flächen u. Kulturen'!N26='#Boden'!$G$22))),$DO$4,""))</f>
        <v>1</v>
      </c>
      <c r="DP21" s="247" t="str">
        <f>IF(U21&lt;&gt;"x","",IF(OR(LEFT('Flächen u. Kulturen'!J26,2)=" +",LEFT('Flächen u. Kulturen'!L26,2)=" +",LEFT('Flächen u. Kulturen'!P26,2)=" +"),$DP$4,""))</f>
        <v/>
      </c>
      <c r="DQ21" s="428" t="str">
        <f t="shared" si="12"/>
        <v/>
      </c>
      <c r="DR21" s="938" t="str">
        <f t="shared" si="13"/>
        <v/>
      </c>
      <c r="DS21" s="938" t="str">
        <f>IF('Flächen u. Kulturen'!X26="","",ROW('Flächen u. Kulturen'!X26))</f>
        <v/>
      </c>
    </row>
    <row r="22" spans="1:123" s="875" customFormat="1" x14ac:dyDescent="0.2">
      <c r="A22" s="875" t="str">
        <f>IF('Daten aus 2021'!H24="",'#Boden'!$B$26,IF('Daten aus 2021'!H24='#Boden'!$B$39,IF('Daten aus 2021'!F24='#Boden'!$B$29,'#Boden'!$B$29,IF('Daten aus 2021'!K24='#Boden'!$B$34,'#Boden'!$B$28,'#Boden'!$B$27)),'Daten aus 2021'!F24))</f>
        <v xml:space="preserve"> --</v>
      </c>
      <c r="B22" s="875" t="str">
        <f>IF('Daten aus 2021'!H24='#Boden'!$B$39,IF('Daten aus 2021'!L24='#Boden'!$B$61,'#Boden'!$B$11,'Daten aus 2021'!L24),IF('Daten aus 2021'!P24='#Boden'!$B$58,'#Boden'!$B$11,IF('Daten aus 2021'!P24='#Boden'!$B$57,'#Boden'!$B$10,'#Boden'!$B$9)))</f>
        <v xml:space="preserve"> --         </v>
      </c>
      <c r="C22" s="875" t="str">
        <f>IF('Daten aus 2021'!N24="","",VLOOKUP('Daten aus 2021'!N24,'#Boden'!$B$68:$C$89,2,FALSE))</f>
        <v/>
      </c>
      <c r="D22" s="875" t="str">
        <f>IF('Daten aus 2021'!M24="","",VLOOKUP('Daten aus 2021'!M24,'#Boden'!$D$69:$E$73,2,FALSE))</f>
        <v/>
      </c>
      <c r="E22" s="938" t="str">
        <f>IF(OR(C22='#Boden'!$C$68,C22='#Boden'!$C$70),C22,CONCATENATE(C22,D22))</f>
        <v/>
      </c>
      <c r="F22" s="882" t="str">
        <f>IFERROR(IF('Daten aus 2021'!H24="",'#Frucht'!$D$8,IF('Daten aus 2021'!H24='#Boden'!$B$39,E22,IF('Daten aus 2021'!H24='#Boden'!$B$38,IF(CONCATENATE(" ",'Daten aus 2021'!W24)=$B$2,VLOOKUP($B$3,'#Frucht'!$A$8:$D$372,4,FALSE),VLOOKUP(CONCATENATE(" ",'Daten aus 2021'!W24),'#Frucht'!$A$8:$D$372,4,FALSE)),IF(OR(LEFT('Daten aus 2021'!Q24,5)=" *10 ",LEFT('Daten aus 2021'!Q24,5)=" *11 ",LEFT('Daten aus 2021'!Q24,5)=" *12 ",LEFT('Daten aus 2021'!Q24,5)=" *13 ",LEFT('Daten aus 2021'!Q24,5)=" *14 ",LEFT('Daten aus 2021'!Q24,5)=" *15 "),VLOOKUP(RIGHT('Daten aus 2021'!Q24,LEN('Daten aus 2021'!Q24)-4),'#Frucht'!$A$8:$D$372,4,FALSE),IF(LEFT('Daten aus 2021'!Q24,2)=" *",VLOOKUP(RIGHT('Daten aus 2021'!Q24,LEN('Daten aus 2021'!Q24)-3),'#Frucht'!$A$8:$D$372,4,FALSE),VLOOKUP('Daten aus 2021'!Q24,'#Frucht'!$A$8:$D$372,4,FALSE)))))),'#Frucht'!$D$8)</f>
        <v xml:space="preserve"> --  </v>
      </c>
      <c r="G22" s="127"/>
      <c r="H22" s="31"/>
      <c r="J22" s="938" t="str">
        <f>IF(OR(N22=3,$K$3=0,'Flächen u. Kulturen'!P27=""),"",IF(VLOOKUP('Flächen u. Kulturen'!P27,Kulturen[[HF]:[780]],'#BerechnungDBE'!$K$3,FALSE)=".","",VLOOKUP('Flächen u. Kulturen'!P27,Kulturen[[HF]:[780]],'#BerechnungDBE'!$K$3,FALSE)))</f>
        <v/>
      </c>
      <c r="K22" s="938" t="str">
        <f>IF(OR($K$3=0,'Flächen u. Kulturen'!P27=""),"",IF(N22=3,IF(VLOOKUP('Flächen u. Kulturen'!P27,Kulturen[[HF]:[780]],'#BerechnungDBE'!$K$3,FALSE)=".","",VLOOKUP('Flächen u. Kulturen'!P27,Kulturen[[HF]:[780]],'#BerechnungDBE'!$K$3,FALSE)),""))</f>
        <v/>
      </c>
      <c r="L22" s="367">
        <f>IF('Flächen u. Kulturen'!D27="",0,'Flächen u. Kulturen'!D27)</f>
        <v>0</v>
      </c>
      <c r="M22" s="693">
        <f>IF('Flächen u. Kulturen'!J27="",0,VLOOKUP('Flächen u. Kulturen'!J27,Kulturen[[HF]:[Berechnungsgruppe]],'#Frucht'!$W$1,FALSE))</f>
        <v>1</v>
      </c>
      <c r="N22" s="693">
        <f>IF('Flächen u. Kulturen'!P27="",0,VLOOKUP('Flächen u. Kulturen'!P27,Kulturen[[HF]:[Berechnungsgruppe]],'#Frucht'!$W$1,FALSE))</f>
        <v>1</v>
      </c>
      <c r="O22" s="875">
        <f>IF(N22&lt;&gt;2,N22,IF('Flächen u. Kulturen'!J27='Flächen u. Kulturen'!P27,2,1))</f>
        <v>1</v>
      </c>
      <c r="P22" s="875">
        <f>IF('Flächen u. Kulturen'!F27="",0,VLOOKUP('Flächen u. Kulturen'!F27,'#Boden'!$G$4:$H$8,'#Boden'!$H$1,FALSE))</f>
        <v>1</v>
      </c>
      <c r="Q22" s="875">
        <f>IF('Flächen u. Kulturen'!G27="",0,VLOOKUP('Flächen u. Kulturen'!G27,'#Boden'!$B$26:$C$29,'#Boden'!$C$1,FALSE))</f>
        <v>1</v>
      </c>
      <c r="R22" s="875">
        <f t="shared" si="19"/>
        <v>1</v>
      </c>
      <c r="S22" s="875">
        <f t="shared" si="20"/>
        <v>1</v>
      </c>
      <c r="T22" s="875">
        <f>IF('Flächen u. Kulturen'!H27="",0,VLOOKUP('Flächen u. Kulturen'!H27,'#Boden'!$B$23:$C$25,'#Boden'!$C$1,FALSE))</f>
        <v>2</v>
      </c>
      <c r="U22" s="875" t="str">
        <f>'Flächen u. Kulturen'!E27</f>
        <v>x</v>
      </c>
      <c r="V22" s="938">
        <f>IF('Flächen u. Kulturen'!Q27="",0,_xlfn.NUMBERVALUE('Flächen u. Kulturen'!Q27))</f>
        <v>0</v>
      </c>
      <c r="W22" s="938">
        <f>IF('Flächen u. Kulturen'!R27="",0,_xlfn.NUMBERVALUE('Flächen u. Kulturen'!R27))</f>
        <v>0</v>
      </c>
      <c r="X22" s="875">
        <f>IF('Flächen u. Kulturen'!T27="",0,VLOOKUP('Flächen u. Kulturen'!T27,'#Boden'!$B$30:$C$32,'#Boden'!$C$1,FALSE))</f>
        <v>1</v>
      </c>
      <c r="Y22" s="875">
        <f>IF('Flächen u. Kulturen'!P27="",0,VLOOKUP('Flächen u. Kulturen'!P27,Kulturen[[HF]:[Berechnungsgruppe]],'#Frucht'!$N$1,FALSE))</f>
        <v>0</v>
      </c>
      <c r="Z22" s="875">
        <f t="shared" si="21"/>
        <v>2</v>
      </c>
      <c r="AA22" s="875">
        <f>IF('Flächen u. Kulturen'!P27="",0,VLOOKUP('Flächen u. Kulturen'!P27,Kulturen[[HF]:[Berechnungsgruppe]],'#Frucht'!$V$1,FALSE))</f>
        <v>0</v>
      </c>
      <c r="AB22" s="875">
        <f>IF(N22=1,VLOOKUP('Flächen u. Kulturen'!P27,Kulturen[[HF]:[Ernteprodukt]],'#Frucht'!$I$1,FALSE),4)</f>
        <v>4</v>
      </c>
      <c r="AC22" s="921">
        <f>IF('Flächen u. Kulturen'!J27="",0,VLOOKUP('Flächen u. Kulturen'!J27,Kulturen[[HF]:[Berechnungsgruppe]],'#Frucht'!$G$1,FALSE))</f>
        <v>90</v>
      </c>
      <c r="AD22" s="921">
        <f>IF('Flächen u. Kulturen'!P27="",0,VLOOKUP('Flächen u. Kulturen'!P27,Kulturen[[HF]:[Berechnungsgruppe]],'#Frucht'!$G$1,FALSE))</f>
        <v>90</v>
      </c>
      <c r="AE22" s="938">
        <f>IF('Flächen u. Kulturen'!P27="",0,VLOOKUP('Flächen u. Kulturen'!P27,Kulturen[[HF]:[SollwertMinusNfix]],'#Frucht'!$X$1,FALSE))</f>
        <v>0</v>
      </c>
      <c r="AF22" s="875">
        <f>IF('Flächen u. Kulturen'!L27="",0,VLOOKUP('Flächen u. Kulturen'!L27,Nebenkultur[[Nebenkultur]:[Berechnungsschema]],'#Zweitfr'!$G$1,FALSE))</f>
        <v>0</v>
      </c>
      <c r="AG22" s="875">
        <f>IF('Flächen u. Kulturen'!L27="",0,VLOOKUP('Flächen u. Kulturen'!L27,'#Zweitfr'!$D$8:$Q$27,'#Zweitfr'!$Q$1,FALSE))</f>
        <v>0</v>
      </c>
      <c r="AH22" s="875">
        <f>IF('Flächen u. Kulturen'!M27="",0,VLOOKUP('Flächen u. Kulturen'!M27,'#Boden'!$G$17:$H$21,2,FALSE))</f>
        <v>1</v>
      </c>
      <c r="AI22" s="875">
        <f>IF('Flächen u. Kulturen'!N27="",0,VLOOKUP('Flächen u. Kulturen'!N27,'#Boden'!$G$22:$H$24,'#Boden'!$H$1,FALSE))</f>
        <v>1</v>
      </c>
      <c r="AJ22" s="938">
        <f>IF('Flächen u. Kulturen'!O27="",0,_xlfn.NUMBERVALUE('Flächen u. Kulturen'!O27))</f>
        <v>0</v>
      </c>
      <c r="AK22" s="938">
        <f>IF('Flächen u. Kulturen'!L27="",0,VLOOKUP('Flächen u. Kulturen'!L27,Nebenkultur[[Nebenkultur]:[Legum. Zwischenfr.]],'#Zweitfr'!$P$1,FALSE))</f>
        <v>0</v>
      </c>
      <c r="AL22" s="875">
        <f>IF('Flächen u. Kulturen'!P27="",0,VLOOKUP('Flächen u. Kulturen'!P27,Kulturen[[HF]:[Berechnungsgruppe]],'#Frucht'!$Q$1,FALSE))</f>
        <v>0</v>
      </c>
      <c r="AM22" s="875">
        <f>IF('Flächen u. Kulturen'!P27="",0,VLOOKUP('Flächen u. Kulturen'!P27,Kulturen[[HF]:[Berechnungsgruppe]],'#Frucht'!$M$1,FALSE))</f>
        <v>0</v>
      </c>
      <c r="AN22" s="875">
        <f>IF('Flächen u. Kulturen'!P27="",1,VLOOKUP('Flächen u. Kulturen'!P27,Kulturen[[HF]:[Berechnungsgruppe]],'#Frucht'!$R$1,FALSE))</f>
        <v>10</v>
      </c>
      <c r="AO22" s="875">
        <f>IF('Flächen u. Kulturen'!P27="",0,VLOOKUP('Flächen u. Kulturen'!P27,Kulturen[[HF]:[Berechnungsgruppe]],'#Frucht'!$S$1,FALSE))</f>
        <v>0</v>
      </c>
      <c r="AP22" s="875">
        <f>IF('Flächen u. Kulturen'!P27="",0,VLOOKUP('Flächen u. Kulturen'!P27,Kulturen[[HF]:[Berechnungsgruppe]],'#Frucht'!$T$1,FALSE))</f>
        <v>0</v>
      </c>
      <c r="AQ22" s="938">
        <f t="shared" si="1"/>
        <v>0</v>
      </c>
      <c r="AR22" s="875">
        <f t="shared" si="2"/>
        <v>0</v>
      </c>
      <c r="AS22" s="938">
        <f t="shared" si="3"/>
        <v>0</v>
      </c>
      <c r="AT22" s="875">
        <f>IF(N22=1,'Flächen u. Kulturen'!S27*-1,"--")</f>
        <v>0</v>
      </c>
      <c r="AU22" s="938">
        <f>IF(OR(N22=2,'Flächen u. Kulturen'!I27=""),"--",IF(N22=3,VLOOKUP('Flächen u. Kulturen'!I27,'#Boden'!$B$9:$E$15,'#Boden'!$D$1,FALSE),VLOOKUP('Flächen u. Kulturen'!I27,'#Boden'!$B$9:$E$15,'#Boden'!$E$1,FALSE)))</f>
        <v>0</v>
      </c>
      <c r="AV22" s="938">
        <f>IF(N22=1,IF('Flächen u. Kulturen'!J27="",0,VLOOKUP('Flächen u. Kulturen'!J27,Kulturen[[HF]:[Berechnungsgruppe]],'#Frucht'!$U$1,FALSE)*-1),"--")</f>
        <v>0</v>
      </c>
      <c r="AW22" s="875">
        <f t="shared" si="4"/>
        <v>0</v>
      </c>
      <c r="AX22" s="875">
        <f>IF('Flächen u. Kulturen'!K27="",0,'Flächen u. Kulturen'!K27*-0.1)</f>
        <v>0</v>
      </c>
      <c r="AY22" s="875">
        <f>IF(N22&lt;3,'#orgDung'!AC31*0.1*-1,"--")</f>
        <v>0</v>
      </c>
      <c r="AZ22" s="31" t="str">
        <f>IF(AND('#orgDung'!J31&lt;&gt;2,'#orgDung'!F31=1),('#orgDung'!V31+'#minDung'!O28)*-1,"--")</f>
        <v>--</v>
      </c>
      <c r="BA22" s="875">
        <f t="shared" si="22"/>
        <v>0</v>
      </c>
      <c r="BB22" s="938">
        <f>IF(R22=2,0,'Flächen u. Kulturen'!V27*-1)</f>
        <v>0</v>
      </c>
      <c r="BC22" s="875">
        <f t="shared" si="23"/>
        <v>0</v>
      </c>
      <c r="BD22" s="127">
        <f>'#orgDung'!W31*-1</f>
        <v>0</v>
      </c>
      <c r="BE22" s="910">
        <f>'#orgDung'!AA31*-1</f>
        <v>0</v>
      </c>
      <c r="BF22" s="875">
        <f>'#orgDung'!Z31*-1</f>
        <v>0</v>
      </c>
      <c r="BG22" s="938">
        <f t="shared" si="14"/>
        <v>0</v>
      </c>
      <c r="BH22" s="875">
        <f>'#Kürzungen'!AS46*-1</f>
        <v>0</v>
      </c>
      <c r="BI22" s="875">
        <f t="shared" si="5"/>
        <v>0</v>
      </c>
      <c r="BJ22" s="910">
        <f t="shared" si="6"/>
        <v>0</v>
      </c>
      <c r="BK22" s="875">
        <f>'#minDung'!P28</f>
        <v>0</v>
      </c>
      <c r="BL22" s="938">
        <f t="shared" si="15"/>
        <v>0</v>
      </c>
      <c r="BM22" s="938">
        <f t="shared" si="7"/>
        <v>0</v>
      </c>
      <c r="BN22" s="875">
        <f>IF('Flächen u. Kulturen'!P27="",0,VLOOKUP('Flächen u. Kulturen'!P27,Kulturen[[HF]:[Berechnungsgruppe]],'#Frucht'!$K$1,FALSE))</f>
        <v>0</v>
      </c>
      <c r="BO22" s="875">
        <f>IF('Flächen u. Kulturen'!P27="",0,VLOOKUP('Flächen u. Kulturen'!P27,Kulturen[[HF]:[Berechnungsgruppe]],'#Frucht'!$L$1,FALSE))</f>
        <v>0</v>
      </c>
      <c r="BP22" s="875">
        <f>IF('Flächen u. Kulturen'!L27="",0,VLOOKUP('Flächen u. Kulturen'!L27,Nebenkultur[[Nebenkultur]:[Legum. Zwischenfr.]],'#Zweitfr'!$H$1,FALSE))</f>
        <v>0</v>
      </c>
      <c r="BQ22" s="938">
        <f>IF(N22=3,W22*BO22,IF('Flächen u. Kulturen'!T27='#Boden'!$B$32,V22*BN22,V22*BO22))</f>
        <v>0</v>
      </c>
      <c r="BR22" s="938">
        <f t="shared" si="8"/>
        <v>0</v>
      </c>
      <c r="BS22" s="875">
        <f t="shared" si="24"/>
        <v>0</v>
      </c>
      <c r="BT22" s="875">
        <f>IF('Flächen u. Kulturen'!F27="",0,IF(N22=3,VLOOKUP('Flächen u. Kulturen'!F27,'#Boden'!$G$4:$J$8,'#Boden'!$J$1,FALSE),VLOOKUP('Flächen u. Kulturen'!F27,'#Boden'!$G$4:$J$8,'#Boden'!$I$1,FALSE)))</f>
        <v>0</v>
      </c>
      <c r="BU22" s="41">
        <f t="shared" si="25"/>
        <v>0</v>
      </c>
      <c r="BV22" s="875">
        <f t="shared" si="26"/>
        <v>0</v>
      </c>
      <c r="BW22" s="938" t="str">
        <f t="shared" si="16"/>
        <v/>
      </c>
      <c r="BX22" s="875">
        <f>'#orgDung'!T31*-1</f>
        <v>0</v>
      </c>
      <c r="BY22" s="875">
        <f t="shared" si="17"/>
        <v>0</v>
      </c>
      <c r="BZ22" s="938" t="str">
        <f>IF(U22&lt;&gt;"x",0,IF(P22&lt;4,"",(BW22+BX22-'#minDung'!N28)*-1))</f>
        <v/>
      </c>
      <c r="CB22" s="938">
        <f>IF(AND(AF22=70,U22="x"),'Flächen u. Kulturen'!A27,1000)</f>
        <v>1000</v>
      </c>
      <c r="CC22" s="875" t="str">
        <f>IF(AF22=70,VLOOKUP('Flächen u. Kulturen'!L27,Nebenkultur[[Nebenkultur]:[Legum. Zwischenfr.]],'#Zweitfr'!$I$1,FALSE),"--")</f>
        <v>--</v>
      </c>
      <c r="CD22" s="875" t="str">
        <f>IF(AF22=70,VLOOKUP('Flächen u. Kulturen'!L27,Nebenkultur[[Nebenkultur]:[Legum. Zwischenfr.]],'#Zweitfr'!$L$1,FALSE),"--")</f>
        <v>--</v>
      </c>
      <c r="CE22" s="875" t="str">
        <f>IF(AF22=70,VLOOKUP('Flächen u. Kulturen'!L27,Nebenkultur[[Nebenkultur]:[Legum. Zwischenfr.]],'#Zweitfr'!$M$1,FALSE),"--")</f>
        <v>--</v>
      </c>
      <c r="CF22" s="875" t="str">
        <f>IF(AF22=70,VLOOKUP('Flächen u. Kulturen'!L27,Nebenkultur[[Nebenkultur]:[Legum. Zwischenfr.]],'#Zweitfr'!$N$1,FALSE),"--")</f>
        <v>--</v>
      </c>
      <c r="CG22" s="875" t="str">
        <f>IF(AF22=70,VLOOKUP('Flächen u. Kulturen'!L27,Nebenkultur[[Nebenkultur]:[Legum. Zwischenfr.]],'#Zweitfr'!$O$1,FALSE),"--")</f>
        <v>--</v>
      </c>
      <c r="CH22" s="875" t="str">
        <f t="shared" si="9"/>
        <v>--</v>
      </c>
      <c r="CI22" s="938">
        <f>IF('Flächen u. Kulturen'!L27="",0,VLOOKUP('Flächen u. Kulturen'!L27,Nebenkultur[[Nebenkultur]:[Legum. Zwischenfr.]],'#Zweitfr'!$J$1,FALSE))</f>
        <v>0</v>
      </c>
      <c r="CJ22" s="875">
        <f t="shared" si="10"/>
        <v>0</v>
      </c>
      <c r="CK22" s="890">
        <f t="shared" si="11"/>
        <v>0</v>
      </c>
      <c r="CL22" s="938">
        <f>IF(AND(R22=1,AF22=70),'Flächen u. Kulturen'!W27*-1,0)</f>
        <v>0</v>
      </c>
      <c r="CM22" s="875">
        <f>'#orgDung'!AE31*-1</f>
        <v>0</v>
      </c>
      <c r="CN22" s="875">
        <f t="shared" si="27"/>
        <v>0</v>
      </c>
      <c r="CO22" s="875">
        <f t="shared" si="28"/>
        <v>0</v>
      </c>
      <c r="CP22" s="875">
        <f>'#Kürzungen'!AS147*-1</f>
        <v>0</v>
      </c>
      <c r="CQ22" s="875">
        <f t="shared" si="29"/>
        <v>0</v>
      </c>
      <c r="CR22" s="875">
        <f t="shared" si="30"/>
        <v>0</v>
      </c>
      <c r="CS22" s="875">
        <f>'#minDung'!R28</f>
        <v>0</v>
      </c>
      <c r="CT22" s="938">
        <f t="shared" si="18"/>
        <v>0</v>
      </c>
      <c r="CU22" s="52" t="str">
        <f>'#Kürzungen'!AQ147</f>
        <v xml:space="preserve"> </v>
      </c>
      <c r="CW22" s="247">
        <f>IF('Flächen u. Kulturen'!D27="",0,IF(ISNUMBER('Flächen u. Kulturen'!D27)=TRUE,2,1))</f>
        <v>0</v>
      </c>
      <c r="CX22" s="247">
        <f>IF('Flächen u. Kulturen'!E27="",0,COUNTIF('#Boden'!$B$47,'Flächen u. Kulturen'!E27)+1)</f>
        <v>2</v>
      </c>
      <c r="CY22" s="247">
        <f>IF('Flächen u. Kulturen'!F27="",0,COUNTIF('#Boden'!$G$4:$G$8,'Flächen u. Kulturen'!F27)+1)</f>
        <v>2</v>
      </c>
      <c r="CZ22" s="247">
        <f>IF('Flächen u. Kulturen'!G27="",0,COUNTIF('#Boden'!$B$26:$B$29,'Flächen u. Kulturen'!G27)+1)</f>
        <v>2</v>
      </c>
      <c r="DA22" s="247">
        <f>IF('Flächen u. Kulturen'!H27="",0,COUNTIF('#Boden'!$B$26:$B$29,'Flächen u. Kulturen'!H27)+1)</f>
        <v>2</v>
      </c>
      <c r="DB22" s="247">
        <f>IF('Flächen u. Kulturen'!I27="",0,COUNTIF('#Boden'!$B$9:$B$15,'Flächen u. Kulturen'!I27)+1)</f>
        <v>2</v>
      </c>
      <c r="DC22" s="247">
        <f>IF('Flächen u. Kulturen'!J27="",0,COUNTIF(Kulturen[HF],'Flächen u. Kulturen'!J27)+1)</f>
        <v>2</v>
      </c>
      <c r="DD22" s="247">
        <f>IF('Flächen u. Kulturen'!L27="",0,COUNTIF(Nebenkultur[Nebenkultur],'Flächen u. Kulturen'!L27)+1)</f>
        <v>2</v>
      </c>
      <c r="DE22" s="247">
        <f>IF('Flächen u. Kulturen'!M27="",0,COUNTIF('#Boden'!$G$17:$G$21,'Flächen u. Kulturen'!M27)+1)</f>
        <v>2</v>
      </c>
      <c r="DF22" s="247">
        <f>IF('Flächen u. Kulturen'!N27="",0,COUNTIF('#Boden'!$G$22:$G$24,'Flächen u. Kulturen'!N27)+1)</f>
        <v>2</v>
      </c>
      <c r="DG22" s="247">
        <f>IF('Flächen u. Kulturen'!P27="",0,COUNTIF(Kulturen[HF],'Flächen u. Kulturen'!P27)+1)</f>
        <v>2</v>
      </c>
      <c r="DH22" s="247">
        <f>IF('Flächen u. Kulturen'!T27="",0,COUNTIF('#Boden'!$B$30:$B$32,'Flächen u. Kulturen'!T27)+1)</f>
        <v>2</v>
      </c>
      <c r="DI22" s="247">
        <f>IF('Flächen u. Kulturen'!K27="",0,IF(ISNUMBER('Flächen u. Kulturen'!K27)=TRUE,2,1))</f>
        <v>0</v>
      </c>
      <c r="DJ22" s="247">
        <f>IF('Flächen u. Kulturen'!U27="",0,IF(ISNUMBER('Flächen u. Kulturen'!U27)=TRUE,2,1))</f>
        <v>0</v>
      </c>
      <c r="DK22" s="247">
        <f>IF('Flächen u. Kulturen'!V27="",0,IF(ISNUMBER('Flächen u. Kulturen'!V27)=TRUE,2,1))</f>
        <v>0</v>
      </c>
      <c r="DL22" s="247">
        <f>IF('Flächen u. Kulturen'!W27="",0,IF(ISNUMBER('Flächen u. Kulturen'!W27)=TRUE,2,1))</f>
        <v>0</v>
      </c>
      <c r="DM22" s="247">
        <f t="shared" si="31"/>
        <v>0</v>
      </c>
      <c r="DN22" s="247" t="s">
        <v>344</v>
      </c>
      <c r="DO22" s="247">
        <f>IF(U22&lt;&gt;"x","",IF(OR('Flächen u. Kulturen'!B27="",'Flächen u. Kulturen'!C27="",'Flächen u. Kulturen'!D27="",'Flächen u. Kulturen'!D27=0,'Flächen u. Kulturen'!F27="",'Flächen u. Kulturen'!F27='#Boden'!$G$4,'Flächen u. Kulturen'!G27="",'Flächen u. Kulturen'!G27='#Boden'!$B$26,'Flächen u. Kulturen'!H27="",'Flächen u. Kulturen'!H27='#Boden'!$B$23,AND(N22&lt;&gt;2,OR('Flächen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Kulturen'!Q27="",'#BerechnungDBE'!N22&lt;3),AND('Flächen u. Kulturen'!R27="",'#BerechnungDBE'!N22=3),AND(N22=1,AL22&gt;0,'Flächen u. Kulturen'!S27=""),AND(N22=1,OR('Flächen u. Kulturen'!T27="",'Flächen u. Kulturen'!T27='#Boden'!$B$30)),AND('#BerechnungDBE'!AF22=70,OR('Flächen u. Kulturen'!N27="",'Flächen u. Kulturen'!N27='#Boden'!$G$22,'Flächen u. Kulturen'!O27="")),AND('#BerechnungDBE'!AF22=80,OR('Flächen u. Kulturen'!M27="",'Flächen u. Kulturen'!M27='#Boden'!$G$17,'Flächen u. Kulturen'!N27="",'Flächen u. Kulturen'!N27='#Boden'!$G$22))),$DO$4,""))</f>
        <v>1</v>
      </c>
      <c r="DP22" s="247" t="str">
        <f>IF(U22&lt;&gt;"x","",IF(OR(LEFT('Flächen u. Kulturen'!J27,2)=" +",LEFT('Flächen u. Kulturen'!L27,2)=" +",LEFT('Flächen u. Kulturen'!P27,2)=" +"),$DP$4,""))</f>
        <v/>
      </c>
      <c r="DQ22" s="428" t="str">
        <f t="shared" si="12"/>
        <v/>
      </c>
      <c r="DR22" s="938" t="str">
        <f t="shared" si="13"/>
        <v/>
      </c>
      <c r="DS22" s="938" t="str">
        <f>IF('Flächen u. Kulturen'!X27="","",ROW('Flächen u. Kulturen'!X27))</f>
        <v/>
      </c>
    </row>
    <row r="23" spans="1:123" s="875" customFormat="1" x14ac:dyDescent="0.2">
      <c r="A23" s="875" t="str">
        <f>IF('Daten aus 2021'!H25="",'#Boden'!$B$26,IF('Daten aus 2021'!H25='#Boden'!$B$39,IF('Daten aus 2021'!F25='#Boden'!$B$29,'#Boden'!$B$29,IF('Daten aus 2021'!K25='#Boden'!$B$34,'#Boden'!$B$28,'#Boden'!$B$27)),'Daten aus 2021'!F25))</f>
        <v xml:space="preserve"> --</v>
      </c>
      <c r="B23" s="875" t="str">
        <f>IF('Daten aus 2021'!H25='#Boden'!$B$39,IF('Daten aus 2021'!L25='#Boden'!$B$61,'#Boden'!$B$11,'Daten aus 2021'!L25),IF('Daten aus 2021'!P25='#Boden'!$B$58,'#Boden'!$B$11,IF('Daten aus 2021'!P25='#Boden'!$B$57,'#Boden'!$B$10,'#Boden'!$B$9)))</f>
        <v xml:space="preserve"> --         </v>
      </c>
      <c r="C23" s="875" t="str">
        <f>IF('Daten aus 2021'!N25="","",VLOOKUP('Daten aus 2021'!N25,'#Boden'!$B$68:$C$89,2,FALSE))</f>
        <v/>
      </c>
      <c r="D23" s="875" t="str">
        <f>IF('Daten aus 2021'!M25="","",VLOOKUP('Daten aus 2021'!M25,'#Boden'!$D$69:$E$73,2,FALSE))</f>
        <v/>
      </c>
      <c r="E23" s="938" t="str">
        <f>IF(OR(C23='#Boden'!$C$68,C23='#Boden'!$C$70),C23,CONCATENATE(C23,D23))</f>
        <v/>
      </c>
      <c r="F23" s="882" t="str">
        <f>IFERROR(IF('Daten aus 2021'!H25="",'#Frucht'!$D$8,IF('Daten aus 2021'!H25='#Boden'!$B$39,E23,IF('Daten aus 2021'!H25='#Boden'!$B$38,IF(CONCATENATE(" ",'Daten aus 2021'!W25)=$B$2,VLOOKUP($B$3,'#Frucht'!$A$8:$D$372,4,FALSE),VLOOKUP(CONCATENATE(" ",'Daten aus 2021'!W25),'#Frucht'!$A$8:$D$372,4,FALSE)),IF(OR(LEFT('Daten aus 2021'!Q25,5)=" *10 ",LEFT('Daten aus 2021'!Q25,5)=" *11 ",LEFT('Daten aus 2021'!Q25,5)=" *12 ",LEFT('Daten aus 2021'!Q25,5)=" *13 ",LEFT('Daten aus 2021'!Q25,5)=" *14 ",LEFT('Daten aus 2021'!Q25,5)=" *15 "),VLOOKUP(RIGHT('Daten aus 2021'!Q25,LEN('Daten aus 2021'!Q25)-4),'#Frucht'!$A$8:$D$372,4,FALSE),IF(LEFT('Daten aus 2021'!Q25,2)=" *",VLOOKUP(RIGHT('Daten aus 2021'!Q25,LEN('Daten aus 2021'!Q25)-3),'#Frucht'!$A$8:$D$372,4,FALSE),VLOOKUP('Daten aus 2021'!Q25,'#Frucht'!$A$8:$D$372,4,FALSE)))))),'#Frucht'!$D$8)</f>
        <v xml:space="preserve"> --  </v>
      </c>
      <c r="G23" s="127"/>
      <c r="H23" s="31"/>
      <c r="J23" s="938" t="str">
        <f>IF(OR(N23=3,$K$3=0,'Flächen u. Kulturen'!P28=""),"",IF(VLOOKUP('Flächen u. Kulturen'!P28,Kulturen[[HF]:[780]],'#BerechnungDBE'!$K$3,FALSE)=".","",VLOOKUP('Flächen u. Kulturen'!P28,Kulturen[[HF]:[780]],'#BerechnungDBE'!$K$3,FALSE)))</f>
        <v/>
      </c>
      <c r="K23" s="938" t="str">
        <f>IF(OR($K$3=0,'Flächen u. Kulturen'!P28=""),"",IF(N23=3,IF(VLOOKUP('Flächen u. Kulturen'!P28,Kulturen[[HF]:[780]],'#BerechnungDBE'!$K$3,FALSE)=".","",VLOOKUP('Flächen u. Kulturen'!P28,Kulturen[[HF]:[780]],'#BerechnungDBE'!$K$3,FALSE)),""))</f>
        <v/>
      </c>
      <c r="L23" s="367">
        <f>IF('Flächen u. Kulturen'!D28="",0,'Flächen u. Kulturen'!D28)</f>
        <v>0</v>
      </c>
      <c r="M23" s="693">
        <f>IF('Flächen u. Kulturen'!J28="",0,VLOOKUP('Flächen u. Kulturen'!J28,Kulturen[[HF]:[Berechnungsgruppe]],'#Frucht'!$W$1,FALSE))</f>
        <v>1</v>
      </c>
      <c r="N23" s="693">
        <f>IF('Flächen u. Kulturen'!P28="",0,VLOOKUP('Flächen u. Kulturen'!P28,Kulturen[[HF]:[Berechnungsgruppe]],'#Frucht'!$W$1,FALSE))</f>
        <v>1</v>
      </c>
      <c r="O23" s="875">
        <f>IF(N23&lt;&gt;2,N23,IF('Flächen u. Kulturen'!J28='Flächen u. Kulturen'!P28,2,1))</f>
        <v>1</v>
      </c>
      <c r="P23" s="875">
        <f>IF('Flächen u. Kulturen'!F28="",0,VLOOKUP('Flächen u. Kulturen'!F28,'#Boden'!$G$4:$H$8,'#Boden'!$H$1,FALSE))</f>
        <v>1</v>
      </c>
      <c r="Q23" s="875">
        <f>IF('Flächen u. Kulturen'!G28="",0,VLOOKUP('Flächen u. Kulturen'!G28,'#Boden'!$B$26:$C$29,'#Boden'!$C$1,FALSE))</f>
        <v>1</v>
      </c>
      <c r="R23" s="875">
        <f t="shared" si="19"/>
        <v>1</v>
      </c>
      <c r="S23" s="875">
        <f t="shared" si="20"/>
        <v>1</v>
      </c>
      <c r="T23" s="875">
        <f>IF('Flächen u. Kulturen'!H28="",0,VLOOKUP('Flächen u. Kulturen'!H28,'#Boden'!$B$23:$C$25,'#Boden'!$C$1,FALSE))</f>
        <v>2</v>
      </c>
      <c r="U23" s="875" t="str">
        <f>'Flächen u. Kulturen'!E28</f>
        <v>x</v>
      </c>
      <c r="V23" s="938">
        <f>IF('Flächen u. Kulturen'!Q28="",0,_xlfn.NUMBERVALUE('Flächen u. Kulturen'!Q28))</f>
        <v>0</v>
      </c>
      <c r="W23" s="938">
        <f>IF('Flächen u. Kulturen'!R28="",0,_xlfn.NUMBERVALUE('Flächen u. Kulturen'!R28))</f>
        <v>0</v>
      </c>
      <c r="X23" s="875">
        <f>IF('Flächen u. Kulturen'!T28="",0,VLOOKUP('Flächen u. Kulturen'!T28,'#Boden'!$B$30:$C$32,'#Boden'!$C$1,FALSE))</f>
        <v>1</v>
      </c>
      <c r="Y23" s="875">
        <f>IF('Flächen u. Kulturen'!P28="",0,VLOOKUP('Flächen u. Kulturen'!P28,Kulturen[[HF]:[Berechnungsgruppe]],'#Frucht'!$N$1,FALSE))</f>
        <v>0</v>
      </c>
      <c r="Z23" s="875">
        <f t="shared" si="21"/>
        <v>2</v>
      </c>
      <c r="AA23" s="875">
        <f>IF('Flächen u. Kulturen'!P28="",0,VLOOKUP('Flächen u. Kulturen'!P28,Kulturen[[HF]:[Berechnungsgruppe]],'#Frucht'!$V$1,FALSE))</f>
        <v>0</v>
      </c>
      <c r="AB23" s="875">
        <f>IF(N23=1,VLOOKUP('Flächen u. Kulturen'!P28,Kulturen[[HF]:[Ernteprodukt]],'#Frucht'!$I$1,FALSE),4)</f>
        <v>4</v>
      </c>
      <c r="AC23" s="921">
        <f>IF('Flächen u. Kulturen'!J28="",0,VLOOKUP('Flächen u. Kulturen'!J28,Kulturen[[HF]:[Berechnungsgruppe]],'#Frucht'!$G$1,FALSE))</f>
        <v>90</v>
      </c>
      <c r="AD23" s="921">
        <f>IF('Flächen u. Kulturen'!P28="",0,VLOOKUP('Flächen u. Kulturen'!P28,Kulturen[[HF]:[Berechnungsgruppe]],'#Frucht'!$G$1,FALSE))</f>
        <v>90</v>
      </c>
      <c r="AE23" s="938">
        <f>IF('Flächen u. Kulturen'!P28="",0,VLOOKUP('Flächen u. Kulturen'!P28,Kulturen[[HF]:[SollwertMinusNfix]],'#Frucht'!$X$1,FALSE))</f>
        <v>0</v>
      </c>
      <c r="AF23" s="875">
        <f>IF('Flächen u. Kulturen'!L28="",0,VLOOKUP('Flächen u. Kulturen'!L28,Nebenkultur[[Nebenkultur]:[Berechnungsschema]],'#Zweitfr'!$G$1,FALSE))</f>
        <v>0</v>
      </c>
      <c r="AG23" s="875">
        <f>IF('Flächen u. Kulturen'!L28="",0,VLOOKUP('Flächen u. Kulturen'!L28,'#Zweitfr'!$D$8:$Q$27,'#Zweitfr'!$Q$1,FALSE))</f>
        <v>0</v>
      </c>
      <c r="AH23" s="875">
        <f>IF('Flächen u. Kulturen'!M28="",0,VLOOKUP('Flächen u. Kulturen'!M28,'#Boden'!$G$17:$H$21,2,FALSE))</f>
        <v>1</v>
      </c>
      <c r="AI23" s="875">
        <f>IF('Flächen u. Kulturen'!N28="",0,VLOOKUP('Flächen u. Kulturen'!N28,'#Boden'!$G$22:$H$24,'#Boden'!$H$1,FALSE))</f>
        <v>1</v>
      </c>
      <c r="AJ23" s="938">
        <f>IF('Flächen u. Kulturen'!O28="",0,_xlfn.NUMBERVALUE('Flächen u. Kulturen'!O28))</f>
        <v>0</v>
      </c>
      <c r="AK23" s="938">
        <f>IF('Flächen u. Kulturen'!L28="",0,VLOOKUP('Flächen u. Kulturen'!L28,Nebenkultur[[Nebenkultur]:[Legum. Zwischenfr.]],'#Zweitfr'!$P$1,FALSE))</f>
        <v>0</v>
      </c>
      <c r="AL23" s="875">
        <f>IF('Flächen u. Kulturen'!P28="",0,VLOOKUP('Flächen u. Kulturen'!P28,Kulturen[[HF]:[Berechnungsgruppe]],'#Frucht'!$Q$1,FALSE))</f>
        <v>0</v>
      </c>
      <c r="AM23" s="875">
        <f>IF('Flächen u. Kulturen'!P28="",0,VLOOKUP('Flächen u. Kulturen'!P28,Kulturen[[HF]:[Berechnungsgruppe]],'#Frucht'!$M$1,FALSE))</f>
        <v>0</v>
      </c>
      <c r="AN23" s="875">
        <f>IF('Flächen u. Kulturen'!P28="",1,VLOOKUP('Flächen u. Kulturen'!P28,Kulturen[[HF]:[Berechnungsgruppe]],'#Frucht'!$R$1,FALSE))</f>
        <v>10</v>
      </c>
      <c r="AO23" s="875">
        <f>IF('Flächen u. Kulturen'!P28="",0,VLOOKUP('Flächen u. Kulturen'!P28,Kulturen[[HF]:[Berechnungsgruppe]],'#Frucht'!$S$1,FALSE))</f>
        <v>0</v>
      </c>
      <c r="AP23" s="875">
        <f>IF('Flächen u. Kulturen'!P28="",0,VLOOKUP('Flächen u. Kulturen'!P28,Kulturen[[HF]:[Berechnungsgruppe]],'#Frucht'!$T$1,FALSE))</f>
        <v>0</v>
      </c>
      <c r="AQ23" s="938">
        <f t="shared" si="1"/>
        <v>0</v>
      </c>
      <c r="AR23" s="875">
        <f t="shared" si="2"/>
        <v>0</v>
      </c>
      <c r="AS23" s="938">
        <f t="shared" si="3"/>
        <v>0</v>
      </c>
      <c r="AT23" s="875">
        <f>IF(N23=1,'Flächen u. Kulturen'!S28*-1,"--")</f>
        <v>0</v>
      </c>
      <c r="AU23" s="938">
        <f>IF(OR(N23=2,'Flächen u. Kulturen'!I28=""),"--",IF(N23=3,VLOOKUP('Flächen u. Kulturen'!I28,'#Boden'!$B$9:$E$15,'#Boden'!$D$1,FALSE),VLOOKUP('Flächen u. Kulturen'!I28,'#Boden'!$B$9:$E$15,'#Boden'!$E$1,FALSE)))</f>
        <v>0</v>
      </c>
      <c r="AV23" s="938">
        <f>IF(N23=1,IF('Flächen u. Kulturen'!J28="",0,VLOOKUP('Flächen u. Kulturen'!J28,Kulturen[[HF]:[Berechnungsgruppe]],'#Frucht'!$U$1,FALSE)*-1),"--")</f>
        <v>0</v>
      </c>
      <c r="AW23" s="875">
        <f t="shared" si="4"/>
        <v>0</v>
      </c>
      <c r="AX23" s="875">
        <f>IF('Flächen u. Kulturen'!K28="",0,'Flächen u. Kulturen'!K28*-0.1)</f>
        <v>0</v>
      </c>
      <c r="AY23" s="875">
        <f>IF(N23&lt;3,'#orgDung'!AC32*0.1*-1,"--")</f>
        <v>0</v>
      </c>
      <c r="AZ23" s="31" t="str">
        <f>IF(AND('#orgDung'!J32&lt;&gt;2,'#orgDung'!F32=1),('#orgDung'!V32+'#minDung'!O29)*-1,"--")</f>
        <v>--</v>
      </c>
      <c r="BA23" s="875">
        <f t="shared" si="22"/>
        <v>0</v>
      </c>
      <c r="BB23" s="938">
        <f>IF(R23=2,0,'Flächen u. Kulturen'!V28*-1)</f>
        <v>0</v>
      </c>
      <c r="BC23" s="875">
        <f t="shared" si="23"/>
        <v>0</v>
      </c>
      <c r="BD23" s="127">
        <f>'#orgDung'!W32*-1</f>
        <v>0</v>
      </c>
      <c r="BE23" s="910">
        <f>'#orgDung'!AA32*-1</f>
        <v>0</v>
      </c>
      <c r="BF23" s="875">
        <f>'#orgDung'!Z32*-1</f>
        <v>0</v>
      </c>
      <c r="BG23" s="938">
        <f t="shared" si="14"/>
        <v>0</v>
      </c>
      <c r="BH23" s="875">
        <f>'#Kürzungen'!AS47*-1</f>
        <v>0</v>
      </c>
      <c r="BI23" s="875">
        <f t="shared" si="5"/>
        <v>0</v>
      </c>
      <c r="BJ23" s="910">
        <f t="shared" si="6"/>
        <v>0</v>
      </c>
      <c r="BK23" s="875">
        <f>'#minDung'!P29</f>
        <v>0</v>
      </c>
      <c r="BL23" s="938">
        <f t="shared" si="15"/>
        <v>0</v>
      </c>
      <c r="BM23" s="938">
        <f t="shared" si="7"/>
        <v>0</v>
      </c>
      <c r="BN23" s="875">
        <f>IF('Flächen u. Kulturen'!P28="",0,VLOOKUP('Flächen u. Kulturen'!P28,Kulturen[[HF]:[Berechnungsgruppe]],'#Frucht'!$K$1,FALSE))</f>
        <v>0</v>
      </c>
      <c r="BO23" s="875">
        <f>IF('Flächen u. Kulturen'!P28="",0,VLOOKUP('Flächen u. Kulturen'!P28,Kulturen[[HF]:[Berechnungsgruppe]],'#Frucht'!$L$1,FALSE))</f>
        <v>0</v>
      </c>
      <c r="BP23" s="875">
        <f>IF('Flächen u. Kulturen'!L28="",0,VLOOKUP('Flächen u. Kulturen'!L28,Nebenkultur[[Nebenkultur]:[Legum. Zwischenfr.]],'#Zweitfr'!$H$1,FALSE))</f>
        <v>0</v>
      </c>
      <c r="BQ23" s="938">
        <f>IF(N23=3,W23*BO23,IF('Flächen u. Kulturen'!T28='#Boden'!$B$32,V23*BN23,V23*BO23))</f>
        <v>0</v>
      </c>
      <c r="BR23" s="938">
        <f t="shared" si="8"/>
        <v>0</v>
      </c>
      <c r="BS23" s="875">
        <f t="shared" si="24"/>
        <v>0</v>
      </c>
      <c r="BT23" s="875">
        <f>IF('Flächen u. Kulturen'!F28="",0,IF(N23=3,VLOOKUP('Flächen u. Kulturen'!F28,'#Boden'!$G$4:$J$8,'#Boden'!$J$1,FALSE),VLOOKUP('Flächen u. Kulturen'!F28,'#Boden'!$G$4:$J$8,'#Boden'!$I$1,FALSE)))</f>
        <v>0</v>
      </c>
      <c r="BU23" s="41">
        <f t="shared" si="25"/>
        <v>0</v>
      </c>
      <c r="BV23" s="875">
        <f t="shared" si="26"/>
        <v>0</v>
      </c>
      <c r="BW23" s="938" t="str">
        <f t="shared" si="16"/>
        <v/>
      </c>
      <c r="BX23" s="875">
        <f>'#orgDung'!T32*-1</f>
        <v>0</v>
      </c>
      <c r="BY23" s="875">
        <f t="shared" si="17"/>
        <v>0</v>
      </c>
      <c r="BZ23" s="938" t="str">
        <f>IF(U23&lt;&gt;"x",0,IF(P23&lt;4,"",(BW23+BX23-'#minDung'!N29)*-1))</f>
        <v/>
      </c>
      <c r="CB23" s="938">
        <f>IF(AND(AF23=70,U23="x"),'Flächen u. Kulturen'!A28,1000)</f>
        <v>1000</v>
      </c>
      <c r="CC23" s="875" t="str">
        <f>IF(AF23=70,VLOOKUP('Flächen u. Kulturen'!L28,Nebenkultur[[Nebenkultur]:[Legum. Zwischenfr.]],'#Zweitfr'!$I$1,FALSE),"--")</f>
        <v>--</v>
      </c>
      <c r="CD23" s="875" t="str">
        <f>IF(AF23=70,VLOOKUP('Flächen u. Kulturen'!L28,Nebenkultur[[Nebenkultur]:[Legum. Zwischenfr.]],'#Zweitfr'!$L$1,FALSE),"--")</f>
        <v>--</v>
      </c>
      <c r="CE23" s="875" t="str">
        <f>IF(AF23=70,VLOOKUP('Flächen u. Kulturen'!L28,Nebenkultur[[Nebenkultur]:[Legum. Zwischenfr.]],'#Zweitfr'!$M$1,FALSE),"--")</f>
        <v>--</v>
      </c>
      <c r="CF23" s="875" t="str">
        <f>IF(AF23=70,VLOOKUP('Flächen u. Kulturen'!L28,Nebenkultur[[Nebenkultur]:[Legum. Zwischenfr.]],'#Zweitfr'!$N$1,FALSE),"--")</f>
        <v>--</v>
      </c>
      <c r="CG23" s="875" t="str">
        <f>IF(AF23=70,VLOOKUP('Flächen u. Kulturen'!L28,Nebenkultur[[Nebenkultur]:[Legum. Zwischenfr.]],'#Zweitfr'!$O$1,FALSE),"--")</f>
        <v>--</v>
      </c>
      <c r="CH23" s="875" t="str">
        <f t="shared" si="9"/>
        <v>--</v>
      </c>
      <c r="CI23" s="938">
        <f>IF('Flächen u. Kulturen'!L28="",0,VLOOKUP('Flächen u. Kulturen'!L28,Nebenkultur[[Nebenkultur]:[Legum. Zwischenfr.]],'#Zweitfr'!$J$1,FALSE))</f>
        <v>0</v>
      </c>
      <c r="CJ23" s="875">
        <f t="shared" si="10"/>
        <v>0</v>
      </c>
      <c r="CK23" s="890">
        <f t="shared" si="11"/>
        <v>0</v>
      </c>
      <c r="CL23" s="938">
        <f>IF(AND(R23=1,AF23=70),'Flächen u. Kulturen'!W28*-1,0)</f>
        <v>0</v>
      </c>
      <c r="CM23" s="875">
        <f>'#orgDung'!AE32*-1</f>
        <v>0</v>
      </c>
      <c r="CN23" s="875">
        <f t="shared" si="27"/>
        <v>0</v>
      </c>
      <c r="CO23" s="875">
        <f t="shared" si="28"/>
        <v>0</v>
      </c>
      <c r="CP23" s="875">
        <f>'#Kürzungen'!AS148*-1</f>
        <v>0</v>
      </c>
      <c r="CQ23" s="875">
        <f t="shared" si="29"/>
        <v>0</v>
      </c>
      <c r="CR23" s="875">
        <f t="shared" si="30"/>
        <v>0</v>
      </c>
      <c r="CS23" s="875">
        <f>'#minDung'!R29</f>
        <v>0</v>
      </c>
      <c r="CT23" s="938">
        <f t="shared" si="18"/>
        <v>0</v>
      </c>
      <c r="CU23" s="52" t="str">
        <f>'#Kürzungen'!AQ148</f>
        <v xml:space="preserve"> </v>
      </c>
      <c r="CW23" s="247">
        <f>IF('Flächen u. Kulturen'!D28="",0,IF(ISNUMBER('Flächen u. Kulturen'!D28)=TRUE,2,1))</f>
        <v>0</v>
      </c>
      <c r="CX23" s="247">
        <f>IF('Flächen u. Kulturen'!E28="",0,COUNTIF('#Boden'!$B$47,'Flächen u. Kulturen'!E28)+1)</f>
        <v>2</v>
      </c>
      <c r="CY23" s="247">
        <f>IF('Flächen u. Kulturen'!F28="",0,COUNTIF('#Boden'!$G$4:$G$8,'Flächen u. Kulturen'!F28)+1)</f>
        <v>2</v>
      </c>
      <c r="CZ23" s="247">
        <f>IF('Flächen u. Kulturen'!G28="",0,COUNTIF('#Boden'!$B$26:$B$29,'Flächen u. Kulturen'!G28)+1)</f>
        <v>2</v>
      </c>
      <c r="DA23" s="247">
        <f>IF('Flächen u. Kulturen'!H28="",0,COUNTIF('#Boden'!$B$26:$B$29,'Flächen u. Kulturen'!H28)+1)</f>
        <v>2</v>
      </c>
      <c r="DB23" s="247">
        <f>IF('Flächen u. Kulturen'!I28="",0,COUNTIF('#Boden'!$B$9:$B$15,'Flächen u. Kulturen'!I28)+1)</f>
        <v>2</v>
      </c>
      <c r="DC23" s="247">
        <f>IF('Flächen u. Kulturen'!J28="",0,COUNTIF(Kulturen[HF],'Flächen u. Kulturen'!J28)+1)</f>
        <v>2</v>
      </c>
      <c r="DD23" s="247">
        <f>IF('Flächen u. Kulturen'!L28="",0,COUNTIF(Nebenkultur[Nebenkultur],'Flächen u. Kulturen'!L28)+1)</f>
        <v>2</v>
      </c>
      <c r="DE23" s="247">
        <f>IF('Flächen u. Kulturen'!M28="",0,COUNTIF('#Boden'!$G$17:$G$21,'Flächen u. Kulturen'!M28)+1)</f>
        <v>2</v>
      </c>
      <c r="DF23" s="247">
        <f>IF('Flächen u. Kulturen'!N28="",0,COUNTIF('#Boden'!$G$22:$G$24,'Flächen u. Kulturen'!N28)+1)</f>
        <v>2</v>
      </c>
      <c r="DG23" s="247">
        <f>IF('Flächen u. Kulturen'!P28="",0,COUNTIF(Kulturen[HF],'Flächen u. Kulturen'!P28)+1)</f>
        <v>2</v>
      </c>
      <c r="DH23" s="247">
        <f>IF('Flächen u. Kulturen'!T28="",0,COUNTIF('#Boden'!$B$30:$B$32,'Flächen u. Kulturen'!T28)+1)</f>
        <v>2</v>
      </c>
      <c r="DI23" s="247">
        <f>IF('Flächen u. Kulturen'!K28="",0,IF(ISNUMBER('Flächen u. Kulturen'!K28)=TRUE,2,1))</f>
        <v>0</v>
      </c>
      <c r="DJ23" s="247">
        <f>IF('Flächen u. Kulturen'!U28="",0,IF(ISNUMBER('Flächen u. Kulturen'!U28)=TRUE,2,1))</f>
        <v>0</v>
      </c>
      <c r="DK23" s="247">
        <f>IF('Flächen u. Kulturen'!V28="",0,IF(ISNUMBER('Flächen u. Kulturen'!V28)=TRUE,2,1))</f>
        <v>0</v>
      </c>
      <c r="DL23" s="247">
        <f>IF('Flächen u. Kulturen'!W28="",0,IF(ISNUMBER('Flächen u. Kulturen'!W28)=TRUE,2,1))</f>
        <v>0</v>
      </c>
      <c r="DM23" s="247">
        <f t="shared" si="31"/>
        <v>0</v>
      </c>
      <c r="DN23" s="247" t="s">
        <v>344</v>
      </c>
      <c r="DO23" s="247">
        <f>IF(U23&lt;&gt;"x","",IF(OR('Flächen u. Kulturen'!B28="",'Flächen u. Kulturen'!C28="",'Flächen u. Kulturen'!D28="",'Flächen u. Kulturen'!D28=0,'Flächen u. Kulturen'!F28="",'Flächen u. Kulturen'!F28='#Boden'!$G$4,'Flächen u. Kulturen'!G28="",'Flächen u. Kulturen'!G28='#Boden'!$B$26,'Flächen u. Kulturen'!H28="",'Flächen u. Kulturen'!H28='#Boden'!$B$23,AND(N23&lt;&gt;2,OR('Flächen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Kulturen'!Q28="",'#BerechnungDBE'!N23&lt;3),AND('Flächen u. Kulturen'!R28="",'#BerechnungDBE'!N23=3),AND(N23=1,AL23&gt;0,'Flächen u. Kulturen'!S28=""),AND(N23=1,OR('Flächen u. Kulturen'!T28="",'Flächen u. Kulturen'!T28='#Boden'!$B$30)),AND('#BerechnungDBE'!AF23=70,OR('Flächen u. Kulturen'!N28="",'Flächen u. Kulturen'!N28='#Boden'!$G$22,'Flächen u. Kulturen'!O28="")),AND('#BerechnungDBE'!AF23=80,OR('Flächen u. Kulturen'!M28="",'Flächen u. Kulturen'!M28='#Boden'!$G$17,'Flächen u. Kulturen'!N28="",'Flächen u. Kulturen'!N28='#Boden'!$G$22))),$DO$4,""))</f>
        <v>1</v>
      </c>
      <c r="DP23" s="247" t="str">
        <f>IF(U23&lt;&gt;"x","",IF(OR(LEFT('Flächen u. Kulturen'!J28,2)=" +",LEFT('Flächen u. Kulturen'!L28,2)=" +",LEFT('Flächen u. Kulturen'!P28,2)=" +"),$DP$4,""))</f>
        <v/>
      </c>
      <c r="DQ23" s="428" t="str">
        <f t="shared" si="12"/>
        <v/>
      </c>
      <c r="DR23" s="938" t="str">
        <f t="shared" si="13"/>
        <v/>
      </c>
      <c r="DS23" s="938" t="str">
        <f>IF('Flächen u. Kulturen'!X28="","",ROW('Flächen u. Kulturen'!X28))</f>
        <v/>
      </c>
    </row>
    <row r="24" spans="1:123" s="875" customFormat="1" x14ac:dyDescent="0.2">
      <c r="A24" s="875" t="str">
        <f>IF('Daten aus 2021'!H26="",'#Boden'!$B$26,IF('Daten aus 2021'!H26='#Boden'!$B$39,IF('Daten aus 2021'!F26='#Boden'!$B$29,'#Boden'!$B$29,IF('Daten aus 2021'!K26='#Boden'!$B$34,'#Boden'!$B$28,'#Boden'!$B$27)),'Daten aus 2021'!F26))</f>
        <v xml:space="preserve"> --</v>
      </c>
      <c r="B24" s="875" t="str">
        <f>IF('Daten aus 2021'!H26='#Boden'!$B$39,IF('Daten aus 2021'!L26='#Boden'!$B$61,'#Boden'!$B$11,'Daten aus 2021'!L26),IF('Daten aus 2021'!P26='#Boden'!$B$58,'#Boden'!$B$11,IF('Daten aus 2021'!P26='#Boden'!$B$57,'#Boden'!$B$10,'#Boden'!$B$9)))</f>
        <v xml:space="preserve"> --         </v>
      </c>
      <c r="C24" s="875" t="str">
        <f>IF('Daten aus 2021'!N26="","",VLOOKUP('Daten aus 2021'!N26,'#Boden'!$B$68:$C$89,2,FALSE))</f>
        <v/>
      </c>
      <c r="D24" s="875" t="str">
        <f>IF('Daten aus 2021'!M26="","",VLOOKUP('Daten aus 2021'!M26,'#Boden'!$D$69:$E$73,2,FALSE))</f>
        <v/>
      </c>
      <c r="E24" s="938" t="str">
        <f>IF(OR(C24='#Boden'!$C$68,C24='#Boden'!$C$70),C24,CONCATENATE(C24,D24))</f>
        <v/>
      </c>
      <c r="F24" s="882" t="str">
        <f>IFERROR(IF('Daten aus 2021'!H26="",'#Frucht'!$D$8,IF('Daten aus 2021'!H26='#Boden'!$B$39,E24,IF('Daten aus 2021'!H26='#Boden'!$B$38,IF(CONCATENATE(" ",'Daten aus 2021'!W26)=$B$2,VLOOKUP($B$3,'#Frucht'!$A$8:$D$372,4,FALSE),VLOOKUP(CONCATENATE(" ",'Daten aus 2021'!W26),'#Frucht'!$A$8:$D$372,4,FALSE)),IF(OR(LEFT('Daten aus 2021'!Q26,5)=" *10 ",LEFT('Daten aus 2021'!Q26,5)=" *11 ",LEFT('Daten aus 2021'!Q26,5)=" *12 ",LEFT('Daten aus 2021'!Q26,5)=" *13 ",LEFT('Daten aus 2021'!Q26,5)=" *14 ",LEFT('Daten aus 2021'!Q26,5)=" *15 "),VLOOKUP(RIGHT('Daten aus 2021'!Q26,LEN('Daten aus 2021'!Q26)-4),'#Frucht'!$A$8:$D$372,4,FALSE),IF(LEFT('Daten aus 2021'!Q26,2)=" *",VLOOKUP(RIGHT('Daten aus 2021'!Q26,LEN('Daten aus 2021'!Q26)-3),'#Frucht'!$A$8:$D$372,4,FALSE),VLOOKUP('Daten aus 2021'!Q26,'#Frucht'!$A$8:$D$372,4,FALSE)))))),'#Frucht'!$D$8)</f>
        <v xml:space="preserve"> --  </v>
      </c>
      <c r="G24" s="127"/>
      <c r="H24" s="31"/>
      <c r="J24" s="938" t="str">
        <f>IF(OR(N24=3,$K$3=0,'Flächen u. Kulturen'!P29=""),"",IF(VLOOKUP('Flächen u. Kulturen'!P29,Kulturen[[HF]:[780]],'#BerechnungDBE'!$K$3,FALSE)=".","",VLOOKUP('Flächen u. Kulturen'!P29,Kulturen[[HF]:[780]],'#BerechnungDBE'!$K$3,FALSE)))</f>
        <v/>
      </c>
      <c r="K24" s="938" t="str">
        <f>IF(OR($K$3=0,'Flächen u. Kulturen'!P29=""),"",IF(N24=3,IF(VLOOKUP('Flächen u. Kulturen'!P29,Kulturen[[HF]:[780]],'#BerechnungDBE'!$K$3,FALSE)=".","",VLOOKUP('Flächen u. Kulturen'!P29,Kulturen[[HF]:[780]],'#BerechnungDBE'!$K$3,FALSE)),""))</f>
        <v/>
      </c>
      <c r="L24" s="367">
        <f>IF('Flächen u. Kulturen'!D29="",0,'Flächen u. Kulturen'!D29)</f>
        <v>0</v>
      </c>
      <c r="M24" s="693">
        <f>IF('Flächen u. Kulturen'!J29="",0,VLOOKUP('Flächen u. Kulturen'!J29,Kulturen[[HF]:[Berechnungsgruppe]],'#Frucht'!$W$1,FALSE))</f>
        <v>1</v>
      </c>
      <c r="N24" s="693">
        <f>IF('Flächen u. Kulturen'!P29="",0,VLOOKUP('Flächen u. Kulturen'!P29,Kulturen[[HF]:[Berechnungsgruppe]],'#Frucht'!$W$1,FALSE))</f>
        <v>1</v>
      </c>
      <c r="O24" s="875">
        <f>IF(N24&lt;&gt;2,N24,IF('Flächen u. Kulturen'!J29='Flächen u. Kulturen'!P29,2,1))</f>
        <v>1</v>
      </c>
      <c r="P24" s="875">
        <f>IF('Flächen u. Kulturen'!F29="",0,VLOOKUP('Flächen u. Kulturen'!F29,'#Boden'!$G$4:$H$8,'#Boden'!$H$1,FALSE))</f>
        <v>1</v>
      </c>
      <c r="Q24" s="875">
        <f>IF('Flächen u. Kulturen'!G29="",0,VLOOKUP('Flächen u. Kulturen'!G29,'#Boden'!$B$26:$C$29,'#Boden'!$C$1,FALSE))</f>
        <v>1</v>
      </c>
      <c r="R24" s="875">
        <f t="shared" si="19"/>
        <v>1</v>
      </c>
      <c r="S24" s="875">
        <f t="shared" si="20"/>
        <v>1</v>
      </c>
      <c r="T24" s="875">
        <f>IF('Flächen u. Kulturen'!H29="",0,VLOOKUP('Flächen u. Kulturen'!H29,'#Boden'!$B$23:$C$25,'#Boden'!$C$1,FALSE))</f>
        <v>2</v>
      </c>
      <c r="U24" s="875" t="str">
        <f>'Flächen u. Kulturen'!E29</f>
        <v>x</v>
      </c>
      <c r="V24" s="938">
        <f>IF('Flächen u. Kulturen'!Q29="",0,_xlfn.NUMBERVALUE('Flächen u. Kulturen'!Q29))</f>
        <v>0</v>
      </c>
      <c r="W24" s="938">
        <f>IF('Flächen u. Kulturen'!R29="",0,_xlfn.NUMBERVALUE('Flächen u. Kulturen'!R29))</f>
        <v>0</v>
      </c>
      <c r="X24" s="875">
        <f>IF('Flächen u. Kulturen'!T29="",0,VLOOKUP('Flächen u. Kulturen'!T29,'#Boden'!$B$30:$C$32,'#Boden'!$C$1,FALSE))</f>
        <v>1</v>
      </c>
      <c r="Y24" s="875">
        <f>IF('Flächen u. Kulturen'!P29="",0,VLOOKUP('Flächen u. Kulturen'!P29,Kulturen[[HF]:[Berechnungsgruppe]],'#Frucht'!$N$1,FALSE))</f>
        <v>0</v>
      </c>
      <c r="Z24" s="875">
        <f t="shared" si="21"/>
        <v>2</v>
      </c>
      <c r="AA24" s="875">
        <f>IF('Flächen u. Kulturen'!P29="",0,VLOOKUP('Flächen u. Kulturen'!P29,Kulturen[[HF]:[Berechnungsgruppe]],'#Frucht'!$V$1,FALSE))</f>
        <v>0</v>
      </c>
      <c r="AB24" s="875">
        <f>IF(N24=1,VLOOKUP('Flächen u. Kulturen'!P29,Kulturen[[HF]:[Ernteprodukt]],'#Frucht'!$I$1,FALSE),4)</f>
        <v>4</v>
      </c>
      <c r="AC24" s="921">
        <f>IF('Flächen u. Kulturen'!J29="",0,VLOOKUP('Flächen u. Kulturen'!J29,Kulturen[[HF]:[Berechnungsgruppe]],'#Frucht'!$G$1,FALSE))</f>
        <v>90</v>
      </c>
      <c r="AD24" s="921">
        <f>IF('Flächen u. Kulturen'!P29="",0,VLOOKUP('Flächen u. Kulturen'!P29,Kulturen[[HF]:[Berechnungsgruppe]],'#Frucht'!$G$1,FALSE))</f>
        <v>90</v>
      </c>
      <c r="AE24" s="938">
        <f>IF('Flächen u. Kulturen'!P29="",0,VLOOKUP('Flächen u. Kulturen'!P29,Kulturen[[HF]:[SollwertMinusNfix]],'#Frucht'!$X$1,FALSE))</f>
        <v>0</v>
      </c>
      <c r="AF24" s="875">
        <f>IF('Flächen u. Kulturen'!L29="",0,VLOOKUP('Flächen u. Kulturen'!L29,Nebenkultur[[Nebenkultur]:[Berechnungsschema]],'#Zweitfr'!$G$1,FALSE))</f>
        <v>0</v>
      </c>
      <c r="AG24" s="875">
        <f>IF('Flächen u. Kulturen'!L29="",0,VLOOKUP('Flächen u. Kulturen'!L29,'#Zweitfr'!$D$8:$Q$27,'#Zweitfr'!$Q$1,FALSE))</f>
        <v>0</v>
      </c>
      <c r="AH24" s="875">
        <f>IF('Flächen u. Kulturen'!M29="",0,VLOOKUP('Flächen u. Kulturen'!M29,'#Boden'!$G$17:$H$21,2,FALSE))</f>
        <v>1</v>
      </c>
      <c r="AI24" s="875">
        <f>IF('Flächen u. Kulturen'!N29="",0,VLOOKUP('Flächen u. Kulturen'!N29,'#Boden'!$G$22:$H$24,'#Boden'!$H$1,FALSE))</f>
        <v>1</v>
      </c>
      <c r="AJ24" s="938">
        <f>IF('Flächen u. Kulturen'!O29="",0,_xlfn.NUMBERVALUE('Flächen u. Kulturen'!O29))</f>
        <v>0</v>
      </c>
      <c r="AK24" s="938">
        <f>IF('Flächen u. Kulturen'!L29="",0,VLOOKUP('Flächen u. Kulturen'!L29,Nebenkultur[[Nebenkultur]:[Legum. Zwischenfr.]],'#Zweitfr'!$P$1,FALSE))</f>
        <v>0</v>
      </c>
      <c r="AL24" s="875">
        <f>IF('Flächen u. Kulturen'!P29="",0,VLOOKUP('Flächen u. Kulturen'!P29,Kulturen[[HF]:[Berechnungsgruppe]],'#Frucht'!$Q$1,FALSE))</f>
        <v>0</v>
      </c>
      <c r="AM24" s="875">
        <f>IF('Flächen u. Kulturen'!P29="",0,VLOOKUP('Flächen u. Kulturen'!P29,Kulturen[[HF]:[Berechnungsgruppe]],'#Frucht'!$M$1,FALSE))</f>
        <v>0</v>
      </c>
      <c r="AN24" s="875">
        <f>IF('Flächen u. Kulturen'!P29="",1,VLOOKUP('Flächen u. Kulturen'!P29,Kulturen[[HF]:[Berechnungsgruppe]],'#Frucht'!$R$1,FALSE))</f>
        <v>10</v>
      </c>
      <c r="AO24" s="875">
        <f>IF('Flächen u. Kulturen'!P29="",0,VLOOKUP('Flächen u. Kulturen'!P29,Kulturen[[HF]:[Berechnungsgruppe]],'#Frucht'!$S$1,FALSE))</f>
        <v>0</v>
      </c>
      <c r="AP24" s="875">
        <f>IF('Flächen u. Kulturen'!P29="",0,VLOOKUP('Flächen u. Kulturen'!P29,Kulturen[[HF]:[Berechnungsgruppe]],'#Frucht'!$T$1,FALSE))</f>
        <v>0</v>
      </c>
      <c r="AQ24" s="938">
        <f t="shared" si="1"/>
        <v>0</v>
      </c>
      <c r="AR24" s="875">
        <f t="shared" si="2"/>
        <v>0</v>
      </c>
      <c r="AS24" s="938">
        <f t="shared" si="3"/>
        <v>0</v>
      </c>
      <c r="AT24" s="875">
        <f>IF(N24=1,'Flächen u. Kulturen'!S29*-1,"--")</f>
        <v>0</v>
      </c>
      <c r="AU24" s="938">
        <f>IF(OR(N24=2,'Flächen u. Kulturen'!I29=""),"--",IF(N24=3,VLOOKUP('Flächen u. Kulturen'!I29,'#Boden'!$B$9:$E$15,'#Boden'!$D$1,FALSE),VLOOKUP('Flächen u. Kulturen'!I29,'#Boden'!$B$9:$E$15,'#Boden'!$E$1,FALSE)))</f>
        <v>0</v>
      </c>
      <c r="AV24" s="938">
        <f>IF(N24=1,IF('Flächen u. Kulturen'!J29="",0,VLOOKUP('Flächen u. Kulturen'!J29,Kulturen[[HF]:[Berechnungsgruppe]],'#Frucht'!$U$1,FALSE)*-1),"--")</f>
        <v>0</v>
      </c>
      <c r="AW24" s="875">
        <f t="shared" si="4"/>
        <v>0</v>
      </c>
      <c r="AX24" s="875">
        <f>IF('Flächen u. Kulturen'!K29="",0,'Flächen u. Kulturen'!K29*-0.1)</f>
        <v>0</v>
      </c>
      <c r="AY24" s="875">
        <f>IF(N24&lt;3,'#orgDung'!AC33*0.1*-1,"--")</f>
        <v>0</v>
      </c>
      <c r="AZ24" s="31" t="str">
        <f>IF(AND('#orgDung'!J33&lt;&gt;2,'#orgDung'!F33=1),('#orgDung'!V33+'#minDung'!O30)*-1,"--")</f>
        <v>--</v>
      </c>
      <c r="BA24" s="875">
        <f t="shared" si="22"/>
        <v>0</v>
      </c>
      <c r="BB24" s="938">
        <f>IF(R24=2,0,'Flächen u. Kulturen'!V29*-1)</f>
        <v>0</v>
      </c>
      <c r="BC24" s="875">
        <f t="shared" si="23"/>
        <v>0</v>
      </c>
      <c r="BD24" s="127">
        <f>'#orgDung'!W33*-1</f>
        <v>0</v>
      </c>
      <c r="BE24" s="910">
        <f>'#orgDung'!AA33*-1</f>
        <v>0</v>
      </c>
      <c r="BF24" s="875">
        <f>'#orgDung'!Z33*-1</f>
        <v>0</v>
      </c>
      <c r="BG24" s="938">
        <f t="shared" si="14"/>
        <v>0</v>
      </c>
      <c r="BH24" s="875">
        <f>'#Kürzungen'!AS48*-1</f>
        <v>0</v>
      </c>
      <c r="BI24" s="875">
        <f t="shared" si="5"/>
        <v>0</v>
      </c>
      <c r="BJ24" s="910">
        <f t="shared" si="6"/>
        <v>0</v>
      </c>
      <c r="BK24" s="875">
        <f>'#minDung'!P30</f>
        <v>0</v>
      </c>
      <c r="BL24" s="938">
        <f t="shared" si="15"/>
        <v>0</v>
      </c>
      <c r="BM24" s="938">
        <f t="shared" si="7"/>
        <v>0</v>
      </c>
      <c r="BN24" s="875">
        <f>IF('Flächen u. Kulturen'!P29="",0,VLOOKUP('Flächen u. Kulturen'!P29,Kulturen[[HF]:[Berechnungsgruppe]],'#Frucht'!$K$1,FALSE))</f>
        <v>0</v>
      </c>
      <c r="BO24" s="875">
        <f>IF('Flächen u. Kulturen'!P29="",0,VLOOKUP('Flächen u. Kulturen'!P29,Kulturen[[HF]:[Berechnungsgruppe]],'#Frucht'!$L$1,FALSE))</f>
        <v>0</v>
      </c>
      <c r="BP24" s="875">
        <f>IF('Flächen u. Kulturen'!L29="",0,VLOOKUP('Flächen u. Kulturen'!L29,Nebenkultur[[Nebenkultur]:[Legum. Zwischenfr.]],'#Zweitfr'!$H$1,FALSE))</f>
        <v>0</v>
      </c>
      <c r="BQ24" s="938">
        <f>IF(N24=3,W24*BO24,IF('Flächen u. Kulturen'!T29='#Boden'!$B$32,V24*BN24,V24*BO24))</f>
        <v>0</v>
      </c>
      <c r="BR24" s="938">
        <f t="shared" si="8"/>
        <v>0</v>
      </c>
      <c r="BS24" s="875">
        <f t="shared" si="24"/>
        <v>0</v>
      </c>
      <c r="BT24" s="875">
        <f>IF('Flächen u. Kulturen'!F29="",0,IF(N24=3,VLOOKUP('Flächen u. Kulturen'!F29,'#Boden'!$G$4:$J$8,'#Boden'!$J$1,FALSE),VLOOKUP('Flächen u. Kulturen'!F29,'#Boden'!$G$4:$J$8,'#Boden'!$I$1,FALSE)))</f>
        <v>0</v>
      </c>
      <c r="BU24" s="41">
        <f t="shared" si="25"/>
        <v>0</v>
      </c>
      <c r="BV24" s="875">
        <f t="shared" si="26"/>
        <v>0</v>
      </c>
      <c r="BW24" s="938" t="str">
        <f t="shared" si="16"/>
        <v/>
      </c>
      <c r="BX24" s="875">
        <f>'#orgDung'!T33*-1</f>
        <v>0</v>
      </c>
      <c r="BY24" s="875">
        <f t="shared" si="17"/>
        <v>0</v>
      </c>
      <c r="BZ24" s="938" t="str">
        <f>IF(U24&lt;&gt;"x",0,IF(P24&lt;4,"",(BW24+BX24-'#minDung'!N30)*-1))</f>
        <v/>
      </c>
      <c r="CB24" s="938">
        <f>IF(AND(AF24=70,U24="x"),'Flächen u. Kulturen'!A29,1000)</f>
        <v>1000</v>
      </c>
      <c r="CC24" s="875" t="str">
        <f>IF(AF24=70,VLOOKUP('Flächen u. Kulturen'!L29,Nebenkultur[[Nebenkultur]:[Legum. Zwischenfr.]],'#Zweitfr'!$I$1,FALSE),"--")</f>
        <v>--</v>
      </c>
      <c r="CD24" s="875" t="str">
        <f>IF(AF24=70,VLOOKUP('Flächen u. Kulturen'!L29,Nebenkultur[[Nebenkultur]:[Legum. Zwischenfr.]],'#Zweitfr'!$L$1,FALSE),"--")</f>
        <v>--</v>
      </c>
      <c r="CE24" s="875" t="str">
        <f>IF(AF24=70,VLOOKUP('Flächen u. Kulturen'!L29,Nebenkultur[[Nebenkultur]:[Legum. Zwischenfr.]],'#Zweitfr'!$M$1,FALSE),"--")</f>
        <v>--</v>
      </c>
      <c r="CF24" s="875" t="str">
        <f>IF(AF24=70,VLOOKUP('Flächen u. Kulturen'!L29,Nebenkultur[[Nebenkultur]:[Legum. Zwischenfr.]],'#Zweitfr'!$N$1,FALSE),"--")</f>
        <v>--</v>
      </c>
      <c r="CG24" s="875" t="str">
        <f>IF(AF24=70,VLOOKUP('Flächen u. Kulturen'!L29,Nebenkultur[[Nebenkultur]:[Legum. Zwischenfr.]],'#Zweitfr'!$O$1,FALSE),"--")</f>
        <v>--</v>
      </c>
      <c r="CH24" s="875" t="str">
        <f t="shared" si="9"/>
        <v>--</v>
      </c>
      <c r="CI24" s="938">
        <f>IF('Flächen u. Kulturen'!L29="",0,VLOOKUP('Flächen u. Kulturen'!L29,Nebenkultur[[Nebenkultur]:[Legum. Zwischenfr.]],'#Zweitfr'!$J$1,FALSE))</f>
        <v>0</v>
      </c>
      <c r="CJ24" s="875">
        <f t="shared" si="10"/>
        <v>0</v>
      </c>
      <c r="CK24" s="890">
        <f t="shared" si="11"/>
        <v>0</v>
      </c>
      <c r="CL24" s="938">
        <f>IF(AND(R24=1,AF24=70),'Flächen u. Kulturen'!W29*-1,0)</f>
        <v>0</v>
      </c>
      <c r="CM24" s="875">
        <f>'#orgDung'!AE33*-1</f>
        <v>0</v>
      </c>
      <c r="CN24" s="875">
        <f t="shared" si="27"/>
        <v>0</v>
      </c>
      <c r="CO24" s="875">
        <f t="shared" si="28"/>
        <v>0</v>
      </c>
      <c r="CP24" s="875">
        <f>'#Kürzungen'!AS149*-1</f>
        <v>0</v>
      </c>
      <c r="CQ24" s="875">
        <f t="shared" si="29"/>
        <v>0</v>
      </c>
      <c r="CR24" s="875">
        <f t="shared" si="30"/>
        <v>0</v>
      </c>
      <c r="CS24" s="875">
        <f>'#minDung'!R30</f>
        <v>0</v>
      </c>
      <c r="CT24" s="938">
        <f t="shared" si="18"/>
        <v>0</v>
      </c>
      <c r="CU24" s="52" t="str">
        <f>'#Kürzungen'!AQ149</f>
        <v xml:space="preserve"> </v>
      </c>
      <c r="CW24" s="247">
        <f>IF('Flächen u. Kulturen'!D29="",0,IF(ISNUMBER('Flächen u. Kulturen'!D29)=TRUE,2,1))</f>
        <v>0</v>
      </c>
      <c r="CX24" s="247">
        <f>IF('Flächen u. Kulturen'!E29="",0,COUNTIF('#Boden'!$B$47,'Flächen u. Kulturen'!E29)+1)</f>
        <v>2</v>
      </c>
      <c r="CY24" s="247">
        <f>IF('Flächen u. Kulturen'!F29="",0,COUNTIF('#Boden'!$G$4:$G$8,'Flächen u. Kulturen'!F29)+1)</f>
        <v>2</v>
      </c>
      <c r="CZ24" s="247">
        <f>IF('Flächen u. Kulturen'!G29="",0,COUNTIF('#Boden'!$B$26:$B$29,'Flächen u. Kulturen'!G29)+1)</f>
        <v>2</v>
      </c>
      <c r="DA24" s="247">
        <f>IF('Flächen u. Kulturen'!H29="",0,COUNTIF('#Boden'!$B$26:$B$29,'Flächen u. Kulturen'!H29)+1)</f>
        <v>2</v>
      </c>
      <c r="DB24" s="247">
        <f>IF('Flächen u. Kulturen'!I29="",0,COUNTIF('#Boden'!$B$9:$B$15,'Flächen u. Kulturen'!I29)+1)</f>
        <v>2</v>
      </c>
      <c r="DC24" s="247">
        <f>IF('Flächen u. Kulturen'!J29="",0,COUNTIF(Kulturen[HF],'Flächen u. Kulturen'!J29)+1)</f>
        <v>2</v>
      </c>
      <c r="DD24" s="247">
        <f>IF('Flächen u. Kulturen'!L29="",0,COUNTIF(Nebenkultur[Nebenkultur],'Flächen u. Kulturen'!L29)+1)</f>
        <v>2</v>
      </c>
      <c r="DE24" s="247">
        <f>IF('Flächen u. Kulturen'!M29="",0,COUNTIF('#Boden'!$G$17:$G$21,'Flächen u. Kulturen'!M29)+1)</f>
        <v>2</v>
      </c>
      <c r="DF24" s="247">
        <f>IF('Flächen u. Kulturen'!N29="",0,COUNTIF('#Boden'!$G$22:$G$24,'Flächen u. Kulturen'!N29)+1)</f>
        <v>2</v>
      </c>
      <c r="DG24" s="247">
        <f>IF('Flächen u. Kulturen'!P29="",0,COUNTIF(Kulturen[HF],'Flächen u. Kulturen'!P29)+1)</f>
        <v>2</v>
      </c>
      <c r="DH24" s="247">
        <f>IF('Flächen u. Kulturen'!T29="",0,COUNTIF('#Boden'!$B$30:$B$32,'Flächen u. Kulturen'!T29)+1)</f>
        <v>2</v>
      </c>
      <c r="DI24" s="247">
        <f>IF('Flächen u. Kulturen'!K29="",0,IF(ISNUMBER('Flächen u. Kulturen'!K29)=TRUE,2,1))</f>
        <v>0</v>
      </c>
      <c r="DJ24" s="247">
        <f>IF('Flächen u. Kulturen'!U29="",0,IF(ISNUMBER('Flächen u. Kulturen'!U29)=TRUE,2,1))</f>
        <v>0</v>
      </c>
      <c r="DK24" s="247">
        <f>IF('Flächen u. Kulturen'!V29="",0,IF(ISNUMBER('Flächen u. Kulturen'!V29)=TRUE,2,1))</f>
        <v>0</v>
      </c>
      <c r="DL24" s="247">
        <f>IF('Flächen u. Kulturen'!W29="",0,IF(ISNUMBER('Flächen u. Kulturen'!W29)=TRUE,2,1))</f>
        <v>0</v>
      </c>
      <c r="DM24" s="247">
        <f t="shared" si="31"/>
        <v>0</v>
      </c>
      <c r="DN24" s="247" t="s">
        <v>344</v>
      </c>
      <c r="DO24" s="247">
        <f>IF(U24&lt;&gt;"x","",IF(OR('Flächen u. Kulturen'!B29="",'Flächen u. Kulturen'!C29="",'Flächen u. Kulturen'!D29="",'Flächen u. Kulturen'!D29=0,'Flächen u. Kulturen'!F29="",'Flächen u. Kulturen'!F29='#Boden'!$G$4,'Flächen u. Kulturen'!G29="",'Flächen u. Kulturen'!G29='#Boden'!$B$26,'Flächen u. Kulturen'!H29="",'Flächen u. Kulturen'!H29='#Boden'!$B$23,AND(N24&lt;&gt;2,OR('Flächen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Kulturen'!Q29="",'#BerechnungDBE'!N24&lt;3),AND('Flächen u. Kulturen'!R29="",'#BerechnungDBE'!N24=3),AND(N24=1,AL24&gt;0,'Flächen u. Kulturen'!S29=""),AND(N24=1,OR('Flächen u. Kulturen'!T29="",'Flächen u. Kulturen'!T29='#Boden'!$B$30)),AND('#BerechnungDBE'!AF24=70,OR('Flächen u. Kulturen'!N29="",'Flächen u. Kulturen'!N29='#Boden'!$G$22,'Flächen u. Kulturen'!O29="")),AND('#BerechnungDBE'!AF24=80,OR('Flächen u. Kulturen'!M29="",'Flächen u. Kulturen'!M29='#Boden'!$G$17,'Flächen u. Kulturen'!N29="",'Flächen u. Kulturen'!N29='#Boden'!$G$22))),$DO$4,""))</f>
        <v>1</v>
      </c>
      <c r="DP24" s="247" t="str">
        <f>IF(U24&lt;&gt;"x","",IF(OR(LEFT('Flächen u. Kulturen'!J29,2)=" +",LEFT('Flächen u. Kulturen'!L29,2)=" +",LEFT('Flächen u. Kulturen'!P29,2)=" +"),$DP$4,""))</f>
        <v/>
      </c>
      <c r="DQ24" s="428" t="str">
        <f t="shared" si="12"/>
        <v/>
      </c>
      <c r="DR24" s="938" t="str">
        <f t="shared" si="13"/>
        <v/>
      </c>
      <c r="DS24" s="938" t="str">
        <f>IF('Flächen u. Kulturen'!X29="","",ROW('Flächen u. Kulturen'!X29))</f>
        <v/>
      </c>
    </row>
    <row r="25" spans="1:123" s="875" customFormat="1" x14ac:dyDescent="0.2">
      <c r="A25" s="875" t="str">
        <f>IF('Daten aus 2021'!H27="",'#Boden'!$B$26,IF('Daten aus 2021'!H27='#Boden'!$B$39,IF('Daten aus 2021'!F27='#Boden'!$B$29,'#Boden'!$B$29,IF('Daten aus 2021'!K27='#Boden'!$B$34,'#Boden'!$B$28,'#Boden'!$B$27)),'Daten aus 2021'!F27))</f>
        <v xml:space="preserve"> --</v>
      </c>
      <c r="B25" s="875" t="str">
        <f>IF('Daten aus 2021'!H27='#Boden'!$B$39,IF('Daten aus 2021'!L27='#Boden'!$B$61,'#Boden'!$B$11,'Daten aus 2021'!L27),IF('Daten aus 2021'!P27='#Boden'!$B$58,'#Boden'!$B$11,IF('Daten aus 2021'!P27='#Boden'!$B$57,'#Boden'!$B$10,'#Boden'!$B$9)))</f>
        <v xml:space="preserve"> --         </v>
      </c>
      <c r="C25" s="875" t="str">
        <f>IF('Daten aus 2021'!N27="","",VLOOKUP('Daten aus 2021'!N27,'#Boden'!$B$68:$C$89,2,FALSE))</f>
        <v/>
      </c>
      <c r="D25" s="875" t="str">
        <f>IF('Daten aus 2021'!M27="","",VLOOKUP('Daten aus 2021'!M27,'#Boden'!$D$69:$E$73,2,FALSE))</f>
        <v/>
      </c>
      <c r="E25" s="938" t="str">
        <f>IF(OR(C25='#Boden'!$C$68,C25='#Boden'!$C$70),C25,CONCATENATE(C25,D25))</f>
        <v/>
      </c>
      <c r="F25" s="882" t="str">
        <f>IFERROR(IF('Daten aus 2021'!H27="",'#Frucht'!$D$8,IF('Daten aus 2021'!H27='#Boden'!$B$39,E25,IF('Daten aus 2021'!H27='#Boden'!$B$38,IF(CONCATENATE(" ",'Daten aus 2021'!W27)=$B$2,VLOOKUP($B$3,'#Frucht'!$A$8:$D$372,4,FALSE),VLOOKUP(CONCATENATE(" ",'Daten aus 2021'!W27),'#Frucht'!$A$8:$D$372,4,FALSE)),IF(OR(LEFT('Daten aus 2021'!Q27,5)=" *10 ",LEFT('Daten aus 2021'!Q27,5)=" *11 ",LEFT('Daten aus 2021'!Q27,5)=" *12 ",LEFT('Daten aus 2021'!Q27,5)=" *13 ",LEFT('Daten aus 2021'!Q27,5)=" *14 ",LEFT('Daten aus 2021'!Q27,5)=" *15 "),VLOOKUP(RIGHT('Daten aus 2021'!Q27,LEN('Daten aus 2021'!Q27)-4),'#Frucht'!$A$8:$D$372,4,FALSE),IF(LEFT('Daten aus 2021'!Q27,2)=" *",VLOOKUP(RIGHT('Daten aus 2021'!Q27,LEN('Daten aus 2021'!Q27)-3),'#Frucht'!$A$8:$D$372,4,FALSE),VLOOKUP('Daten aus 2021'!Q27,'#Frucht'!$A$8:$D$372,4,FALSE)))))),'#Frucht'!$D$8)</f>
        <v xml:space="preserve"> --  </v>
      </c>
      <c r="G25" s="127"/>
      <c r="H25" s="31"/>
      <c r="J25" s="938" t="str">
        <f>IF(OR(N25=3,$K$3=0,'Flächen u. Kulturen'!P30=""),"",IF(VLOOKUP('Flächen u. Kulturen'!P30,Kulturen[[HF]:[780]],'#BerechnungDBE'!$K$3,FALSE)=".","",VLOOKUP('Flächen u. Kulturen'!P30,Kulturen[[HF]:[780]],'#BerechnungDBE'!$K$3,FALSE)))</f>
        <v/>
      </c>
      <c r="K25" s="938" t="str">
        <f>IF(OR($K$3=0,'Flächen u. Kulturen'!P30=""),"",IF(N25=3,IF(VLOOKUP('Flächen u. Kulturen'!P30,Kulturen[[HF]:[780]],'#BerechnungDBE'!$K$3,FALSE)=".","",VLOOKUP('Flächen u. Kulturen'!P30,Kulturen[[HF]:[780]],'#BerechnungDBE'!$K$3,FALSE)),""))</f>
        <v/>
      </c>
      <c r="L25" s="367">
        <f>IF('Flächen u. Kulturen'!D30="",0,'Flächen u. Kulturen'!D30)</f>
        <v>0</v>
      </c>
      <c r="M25" s="693">
        <f>IF('Flächen u. Kulturen'!J30="",0,VLOOKUP('Flächen u. Kulturen'!J30,Kulturen[[HF]:[Berechnungsgruppe]],'#Frucht'!$W$1,FALSE))</f>
        <v>1</v>
      </c>
      <c r="N25" s="693">
        <f>IF('Flächen u. Kulturen'!P30="",0,VLOOKUP('Flächen u. Kulturen'!P30,Kulturen[[HF]:[Berechnungsgruppe]],'#Frucht'!$W$1,FALSE))</f>
        <v>1</v>
      </c>
      <c r="O25" s="875">
        <f>IF(N25&lt;&gt;2,N25,IF('Flächen u. Kulturen'!J30='Flächen u. Kulturen'!P30,2,1))</f>
        <v>1</v>
      </c>
      <c r="P25" s="875">
        <f>IF('Flächen u. Kulturen'!F30="",0,VLOOKUP('Flächen u. Kulturen'!F30,'#Boden'!$G$4:$H$8,'#Boden'!$H$1,FALSE))</f>
        <v>1</v>
      </c>
      <c r="Q25" s="875">
        <f>IF('Flächen u. Kulturen'!G30="",0,VLOOKUP('Flächen u. Kulturen'!G30,'#Boden'!$B$26:$C$29,'#Boden'!$C$1,FALSE))</f>
        <v>1</v>
      </c>
      <c r="R25" s="875">
        <f t="shared" si="19"/>
        <v>1</v>
      </c>
      <c r="S25" s="875">
        <f t="shared" si="20"/>
        <v>1</v>
      </c>
      <c r="T25" s="875">
        <f>IF('Flächen u. Kulturen'!H30="",0,VLOOKUP('Flächen u. Kulturen'!H30,'#Boden'!$B$23:$C$25,'#Boden'!$C$1,FALSE))</f>
        <v>2</v>
      </c>
      <c r="U25" s="875" t="str">
        <f>'Flächen u. Kulturen'!E30</f>
        <v>x</v>
      </c>
      <c r="V25" s="938">
        <f>IF('Flächen u. Kulturen'!Q30="",0,_xlfn.NUMBERVALUE('Flächen u. Kulturen'!Q30))</f>
        <v>0</v>
      </c>
      <c r="W25" s="938">
        <f>IF('Flächen u. Kulturen'!R30="",0,_xlfn.NUMBERVALUE('Flächen u. Kulturen'!R30))</f>
        <v>0</v>
      </c>
      <c r="X25" s="875">
        <f>IF('Flächen u. Kulturen'!T30="",0,VLOOKUP('Flächen u. Kulturen'!T30,'#Boden'!$B$30:$C$32,'#Boden'!$C$1,FALSE))</f>
        <v>1</v>
      </c>
      <c r="Y25" s="875">
        <f>IF('Flächen u. Kulturen'!P30="",0,VLOOKUP('Flächen u. Kulturen'!P30,Kulturen[[HF]:[Berechnungsgruppe]],'#Frucht'!$N$1,FALSE))</f>
        <v>0</v>
      </c>
      <c r="Z25" s="875">
        <f t="shared" si="21"/>
        <v>2</v>
      </c>
      <c r="AA25" s="875">
        <f>IF('Flächen u. Kulturen'!P30="",0,VLOOKUP('Flächen u. Kulturen'!P30,Kulturen[[HF]:[Berechnungsgruppe]],'#Frucht'!$V$1,FALSE))</f>
        <v>0</v>
      </c>
      <c r="AB25" s="875">
        <f>IF(N25=1,VLOOKUP('Flächen u. Kulturen'!P30,Kulturen[[HF]:[Ernteprodukt]],'#Frucht'!$I$1,FALSE),4)</f>
        <v>4</v>
      </c>
      <c r="AC25" s="921">
        <f>IF('Flächen u. Kulturen'!J30="",0,VLOOKUP('Flächen u. Kulturen'!J30,Kulturen[[HF]:[Berechnungsgruppe]],'#Frucht'!$G$1,FALSE))</f>
        <v>90</v>
      </c>
      <c r="AD25" s="921">
        <f>IF('Flächen u. Kulturen'!P30="",0,VLOOKUP('Flächen u. Kulturen'!P30,Kulturen[[HF]:[Berechnungsgruppe]],'#Frucht'!$G$1,FALSE))</f>
        <v>90</v>
      </c>
      <c r="AE25" s="938">
        <f>IF('Flächen u. Kulturen'!P30="",0,VLOOKUP('Flächen u. Kulturen'!P30,Kulturen[[HF]:[SollwertMinusNfix]],'#Frucht'!$X$1,FALSE))</f>
        <v>0</v>
      </c>
      <c r="AF25" s="875">
        <f>IF('Flächen u. Kulturen'!L30="",0,VLOOKUP('Flächen u. Kulturen'!L30,Nebenkultur[[Nebenkultur]:[Berechnungsschema]],'#Zweitfr'!$G$1,FALSE))</f>
        <v>0</v>
      </c>
      <c r="AG25" s="875">
        <f>IF('Flächen u. Kulturen'!L30="",0,VLOOKUP('Flächen u. Kulturen'!L30,'#Zweitfr'!$D$8:$Q$27,'#Zweitfr'!$Q$1,FALSE))</f>
        <v>0</v>
      </c>
      <c r="AH25" s="875">
        <f>IF('Flächen u. Kulturen'!M30="",0,VLOOKUP('Flächen u. Kulturen'!M30,'#Boden'!$G$17:$H$21,2,FALSE))</f>
        <v>1</v>
      </c>
      <c r="AI25" s="875">
        <f>IF('Flächen u. Kulturen'!N30="",0,VLOOKUP('Flächen u. Kulturen'!N30,'#Boden'!$G$22:$H$24,'#Boden'!$H$1,FALSE))</f>
        <v>1</v>
      </c>
      <c r="AJ25" s="938">
        <f>IF('Flächen u. Kulturen'!O30="",0,_xlfn.NUMBERVALUE('Flächen u. Kulturen'!O30))</f>
        <v>0</v>
      </c>
      <c r="AK25" s="938">
        <f>IF('Flächen u. Kulturen'!L30="",0,VLOOKUP('Flächen u. Kulturen'!L30,Nebenkultur[[Nebenkultur]:[Legum. Zwischenfr.]],'#Zweitfr'!$P$1,FALSE))</f>
        <v>0</v>
      </c>
      <c r="AL25" s="875">
        <f>IF('Flächen u. Kulturen'!P30="",0,VLOOKUP('Flächen u. Kulturen'!P30,Kulturen[[HF]:[Berechnungsgruppe]],'#Frucht'!$Q$1,FALSE))</f>
        <v>0</v>
      </c>
      <c r="AM25" s="875">
        <f>IF('Flächen u. Kulturen'!P30="",0,VLOOKUP('Flächen u. Kulturen'!P30,Kulturen[[HF]:[Berechnungsgruppe]],'#Frucht'!$M$1,FALSE))</f>
        <v>0</v>
      </c>
      <c r="AN25" s="875">
        <f>IF('Flächen u. Kulturen'!P30="",1,VLOOKUP('Flächen u. Kulturen'!P30,Kulturen[[HF]:[Berechnungsgruppe]],'#Frucht'!$R$1,FALSE))</f>
        <v>10</v>
      </c>
      <c r="AO25" s="875">
        <f>IF('Flächen u. Kulturen'!P30="",0,VLOOKUP('Flächen u. Kulturen'!P30,Kulturen[[HF]:[Berechnungsgruppe]],'#Frucht'!$S$1,FALSE))</f>
        <v>0</v>
      </c>
      <c r="AP25" s="875">
        <f>IF('Flächen u. Kulturen'!P30="",0,VLOOKUP('Flächen u. Kulturen'!P30,Kulturen[[HF]:[Berechnungsgruppe]],'#Frucht'!$T$1,FALSE))</f>
        <v>0</v>
      </c>
      <c r="AQ25" s="938">
        <f t="shared" si="1"/>
        <v>0</v>
      </c>
      <c r="AR25" s="875">
        <f t="shared" si="2"/>
        <v>0</v>
      </c>
      <c r="AS25" s="938">
        <f t="shared" si="3"/>
        <v>0</v>
      </c>
      <c r="AT25" s="875">
        <f>IF(N25=1,'Flächen u. Kulturen'!S30*-1,"--")</f>
        <v>0</v>
      </c>
      <c r="AU25" s="938">
        <f>IF(OR(N25=2,'Flächen u. Kulturen'!I30=""),"--",IF(N25=3,VLOOKUP('Flächen u. Kulturen'!I30,'#Boden'!$B$9:$E$15,'#Boden'!$D$1,FALSE),VLOOKUP('Flächen u. Kulturen'!I30,'#Boden'!$B$9:$E$15,'#Boden'!$E$1,FALSE)))</f>
        <v>0</v>
      </c>
      <c r="AV25" s="938">
        <f>IF(N25=1,IF('Flächen u. Kulturen'!J30="",0,VLOOKUP('Flächen u. Kulturen'!J30,Kulturen[[HF]:[Berechnungsgruppe]],'#Frucht'!$U$1,FALSE)*-1),"--")</f>
        <v>0</v>
      </c>
      <c r="AW25" s="875">
        <f t="shared" si="4"/>
        <v>0</v>
      </c>
      <c r="AX25" s="875">
        <f>IF('Flächen u. Kulturen'!K30="",0,'Flächen u. Kulturen'!K30*-0.1)</f>
        <v>0</v>
      </c>
      <c r="AY25" s="875">
        <f>IF(N25&lt;3,'#orgDung'!AC34*0.1*-1,"--")</f>
        <v>0</v>
      </c>
      <c r="AZ25" s="31" t="str">
        <f>IF(AND('#orgDung'!J34&lt;&gt;2,'#orgDung'!F34=1),('#orgDung'!V34+'#minDung'!O31)*-1,"--")</f>
        <v>--</v>
      </c>
      <c r="BA25" s="875">
        <f t="shared" si="22"/>
        <v>0</v>
      </c>
      <c r="BB25" s="938">
        <f>IF(R25=2,0,'Flächen u. Kulturen'!V30*-1)</f>
        <v>0</v>
      </c>
      <c r="BC25" s="875">
        <f t="shared" si="23"/>
        <v>0</v>
      </c>
      <c r="BD25" s="127">
        <f>'#orgDung'!W34*-1</f>
        <v>0</v>
      </c>
      <c r="BE25" s="910">
        <f>'#orgDung'!AA34*-1</f>
        <v>0</v>
      </c>
      <c r="BF25" s="875">
        <f>'#orgDung'!Z34*-1</f>
        <v>0</v>
      </c>
      <c r="BG25" s="938">
        <f t="shared" si="14"/>
        <v>0</v>
      </c>
      <c r="BH25" s="875">
        <f>'#Kürzungen'!AS49*-1</f>
        <v>0</v>
      </c>
      <c r="BI25" s="875">
        <f t="shared" si="5"/>
        <v>0</v>
      </c>
      <c r="BJ25" s="910">
        <f t="shared" si="6"/>
        <v>0</v>
      </c>
      <c r="BK25" s="875">
        <f>'#minDung'!P31</f>
        <v>0</v>
      </c>
      <c r="BL25" s="938">
        <f t="shared" si="15"/>
        <v>0</v>
      </c>
      <c r="BM25" s="938">
        <f t="shared" si="7"/>
        <v>0</v>
      </c>
      <c r="BN25" s="875">
        <f>IF('Flächen u. Kulturen'!P30="",0,VLOOKUP('Flächen u. Kulturen'!P30,Kulturen[[HF]:[Berechnungsgruppe]],'#Frucht'!$K$1,FALSE))</f>
        <v>0</v>
      </c>
      <c r="BO25" s="875">
        <f>IF('Flächen u. Kulturen'!P30="",0,VLOOKUP('Flächen u. Kulturen'!P30,Kulturen[[HF]:[Berechnungsgruppe]],'#Frucht'!$L$1,FALSE))</f>
        <v>0</v>
      </c>
      <c r="BP25" s="875">
        <f>IF('Flächen u. Kulturen'!L30="",0,VLOOKUP('Flächen u. Kulturen'!L30,Nebenkultur[[Nebenkultur]:[Legum. Zwischenfr.]],'#Zweitfr'!$H$1,FALSE))</f>
        <v>0</v>
      </c>
      <c r="BQ25" s="938">
        <f>IF(N25=3,W25*BO25,IF('Flächen u. Kulturen'!T30='#Boden'!$B$32,V25*BN25,V25*BO25))</f>
        <v>0</v>
      </c>
      <c r="BR25" s="938">
        <f t="shared" si="8"/>
        <v>0</v>
      </c>
      <c r="BS25" s="875">
        <f t="shared" si="24"/>
        <v>0</v>
      </c>
      <c r="BT25" s="875">
        <f>IF('Flächen u. Kulturen'!F30="",0,IF(N25=3,VLOOKUP('Flächen u. Kulturen'!F30,'#Boden'!$G$4:$J$8,'#Boden'!$J$1,FALSE),VLOOKUP('Flächen u. Kulturen'!F30,'#Boden'!$G$4:$J$8,'#Boden'!$I$1,FALSE)))</f>
        <v>0</v>
      </c>
      <c r="BU25" s="41">
        <f t="shared" si="25"/>
        <v>0</v>
      </c>
      <c r="BV25" s="875">
        <f t="shared" si="26"/>
        <v>0</v>
      </c>
      <c r="BW25" s="938" t="str">
        <f t="shared" si="16"/>
        <v/>
      </c>
      <c r="BX25" s="875">
        <f>'#orgDung'!T34*-1</f>
        <v>0</v>
      </c>
      <c r="BY25" s="875">
        <f t="shared" si="17"/>
        <v>0</v>
      </c>
      <c r="BZ25" s="938" t="str">
        <f>IF(U25&lt;&gt;"x",0,IF(P25&lt;4,"",(BW25+BX25-'#minDung'!N31)*-1))</f>
        <v/>
      </c>
      <c r="CB25" s="938">
        <f>IF(AND(AF25=70,U25="x"),'Flächen u. Kulturen'!A30,1000)</f>
        <v>1000</v>
      </c>
      <c r="CC25" s="875" t="str">
        <f>IF(AF25=70,VLOOKUP('Flächen u. Kulturen'!L30,Nebenkultur[[Nebenkultur]:[Legum. Zwischenfr.]],'#Zweitfr'!$I$1,FALSE),"--")</f>
        <v>--</v>
      </c>
      <c r="CD25" s="875" t="str">
        <f>IF(AF25=70,VLOOKUP('Flächen u. Kulturen'!L30,Nebenkultur[[Nebenkultur]:[Legum. Zwischenfr.]],'#Zweitfr'!$L$1,FALSE),"--")</f>
        <v>--</v>
      </c>
      <c r="CE25" s="875" t="str">
        <f>IF(AF25=70,VLOOKUP('Flächen u. Kulturen'!L30,Nebenkultur[[Nebenkultur]:[Legum. Zwischenfr.]],'#Zweitfr'!$M$1,FALSE),"--")</f>
        <v>--</v>
      </c>
      <c r="CF25" s="875" t="str">
        <f>IF(AF25=70,VLOOKUP('Flächen u. Kulturen'!L30,Nebenkultur[[Nebenkultur]:[Legum. Zwischenfr.]],'#Zweitfr'!$N$1,FALSE),"--")</f>
        <v>--</v>
      </c>
      <c r="CG25" s="875" t="str">
        <f>IF(AF25=70,VLOOKUP('Flächen u. Kulturen'!L30,Nebenkultur[[Nebenkultur]:[Legum. Zwischenfr.]],'#Zweitfr'!$O$1,FALSE),"--")</f>
        <v>--</v>
      </c>
      <c r="CH25" s="875" t="str">
        <f t="shared" si="9"/>
        <v>--</v>
      </c>
      <c r="CI25" s="938">
        <f>IF('Flächen u. Kulturen'!L30="",0,VLOOKUP('Flächen u. Kulturen'!L30,Nebenkultur[[Nebenkultur]:[Legum. Zwischenfr.]],'#Zweitfr'!$J$1,FALSE))</f>
        <v>0</v>
      </c>
      <c r="CJ25" s="875">
        <f t="shared" si="10"/>
        <v>0</v>
      </c>
      <c r="CK25" s="890">
        <f t="shared" si="11"/>
        <v>0</v>
      </c>
      <c r="CL25" s="938">
        <f>IF(AND(R25=1,AF25=70),'Flächen u. Kulturen'!W30*-1,0)</f>
        <v>0</v>
      </c>
      <c r="CM25" s="875">
        <f>'#orgDung'!AE34*-1</f>
        <v>0</v>
      </c>
      <c r="CN25" s="875">
        <f t="shared" si="27"/>
        <v>0</v>
      </c>
      <c r="CO25" s="875">
        <f t="shared" si="28"/>
        <v>0</v>
      </c>
      <c r="CP25" s="875">
        <f>'#Kürzungen'!AS150*-1</f>
        <v>0</v>
      </c>
      <c r="CQ25" s="875">
        <f t="shared" si="29"/>
        <v>0</v>
      </c>
      <c r="CR25" s="875">
        <f t="shared" si="30"/>
        <v>0</v>
      </c>
      <c r="CS25" s="875">
        <f>'#minDung'!R31</f>
        <v>0</v>
      </c>
      <c r="CT25" s="938">
        <f t="shared" si="18"/>
        <v>0</v>
      </c>
      <c r="CU25" s="52" t="str">
        <f>'#Kürzungen'!AQ150</f>
        <v xml:space="preserve"> </v>
      </c>
      <c r="CW25" s="247">
        <f>IF('Flächen u. Kulturen'!D30="",0,IF(ISNUMBER('Flächen u. Kulturen'!D30)=TRUE,2,1))</f>
        <v>0</v>
      </c>
      <c r="CX25" s="247">
        <f>IF('Flächen u. Kulturen'!E30="",0,COUNTIF('#Boden'!$B$47,'Flächen u. Kulturen'!E30)+1)</f>
        <v>2</v>
      </c>
      <c r="CY25" s="247">
        <f>IF('Flächen u. Kulturen'!F30="",0,COUNTIF('#Boden'!$G$4:$G$8,'Flächen u. Kulturen'!F30)+1)</f>
        <v>2</v>
      </c>
      <c r="CZ25" s="247">
        <f>IF('Flächen u. Kulturen'!G30="",0,COUNTIF('#Boden'!$B$26:$B$29,'Flächen u. Kulturen'!G30)+1)</f>
        <v>2</v>
      </c>
      <c r="DA25" s="247">
        <f>IF('Flächen u. Kulturen'!H30="",0,COUNTIF('#Boden'!$B$26:$B$29,'Flächen u. Kulturen'!H30)+1)</f>
        <v>2</v>
      </c>
      <c r="DB25" s="247">
        <f>IF('Flächen u. Kulturen'!I30="",0,COUNTIF('#Boden'!$B$9:$B$15,'Flächen u. Kulturen'!I30)+1)</f>
        <v>2</v>
      </c>
      <c r="DC25" s="247">
        <f>IF('Flächen u. Kulturen'!J30="",0,COUNTIF(Kulturen[HF],'Flächen u. Kulturen'!J30)+1)</f>
        <v>2</v>
      </c>
      <c r="DD25" s="247">
        <f>IF('Flächen u. Kulturen'!L30="",0,COUNTIF(Nebenkultur[Nebenkultur],'Flächen u. Kulturen'!L30)+1)</f>
        <v>2</v>
      </c>
      <c r="DE25" s="247">
        <f>IF('Flächen u. Kulturen'!M30="",0,COUNTIF('#Boden'!$G$17:$G$21,'Flächen u. Kulturen'!M30)+1)</f>
        <v>2</v>
      </c>
      <c r="DF25" s="247">
        <f>IF('Flächen u. Kulturen'!N30="",0,COUNTIF('#Boden'!$G$22:$G$24,'Flächen u. Kulturen'!N30)+1)</f>
        <v>2</v>
      </c>
      <c r="DG25" s="247">
        <f>IF('Flächen u. Kulturen'!P30="",0,COUNTIF(Kulturen[HF],'Flächen u. Kulturen'!P30)+1)</f>
        <v>2</v>
      </c>
      <c r="DH25" s="247">
        <f>IF('Flächen u. Kulturen'!T30="",0,COUNTIF('#Boden'!$B$30:$B$32,'Flächen u. Kulturen'!T30)+1)</f>
        <v>2</v>
      </c>
      <c r="DI25" s="247">
        <f>IF('Flächen u. Kulturen'!K30="",0,IF(ISNUMBER('Flächen u. Kulturen'!K30)=TRUE,2,1))</f>
        <v>0</v>
      </c>
      <c r="DJ25" s="247">
        <f>IF('Flächen u. Kulturen'!U30="",0,IF(ISNUMBER('Flächen u. Kulturen'!U30)=TRUE,2,1))</f>
        <v>0</v>
      </c>
      <c r="DK25" s="247">
        <f>IF('Flächen u. Kulturen'!V30="",0,IF(ISNUMBER('Flächen u. Kulturen'!V30)=TRUE,2,1))</f>
        <v>0</v>
      </c>
      <c r="DL25" s="247">
        <f>IF('Flächen u. Kulturen'!W30="",0,IF(ISNUMBER('Flächen u. Kulturen'!W30)=TRUE,2,1))</f>
        <v>0</v>
      </c>
      <c r="DM25" s="247">
        <f t="shared" si="31"/>
        <v>0</v>
      </c>
      <c r="DN25" s="247" t="s">
        <v>344</v>
      </c>
      <c r="DO25" s="247">
        <f>IF(U25&lt;&gt;"x","",IF(OR('Flächen u. Kulturen'!B30="",'Flächen u. Kulturen'!C30="",'Flächen u. Kulturen'!D30="",'Flächen u. Kulturen'!D30=0,'Flächen u. Kulturen'!F30="",'Flächen u. Kulturen'!F30='#Boden'!$G$4,'Flächen u. Kulturen'!G30="",'Flächen u. Kulturen'!G30='#Boden'!$B$26,'Flächen u. Kulturen'!H30="",'Flächen u. Kulturen'!H30='#Boden'!$B$23,AND(N25&lt;&gt;2,OR('Flächen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Kulturen'!Q30="",'#BerechnungDBE'!N25&lt;3),AND('Flächen u. Kulturen'!R30="",'#BerechnungDBE'!N25=3),AND(N25=1,AL25&gt;0,'Flächen u. Kulturen'!S30=""),AND(N25=1,OR('Flächen u. Kulturen'!T30="",'Flächen u. Kulturen'!T30='#Boden'!$B$30)),AND('#BerechnungDBE'!AF25=70,OR('Flächen u. Kulturen'!N30="",'Flächen u. Kulturen'!N30='#Boden'!$G$22,'Flächen u. Kulturen'!O30="")),AND('#BerechnungDBE'!AF25=80,OR('Flächen u. Kulturen'!M30="",'Flächen u. Kulturen'!M30='#Boden'!$G$17,'Flächen u. Kulturen'!N30="",'Flächen u. Kulturen'!N30='#Boden'!$G$22))),$DO$4,""))</f>
        <v>1</v>
      </c>
      <c r="DP25" s="247" t="str">
        <f>IF(U25&lt;&gt;"x","",IF(OR(LEFT('Flächen u. Kulturen'!J30,2)=" +",LEFT('Flächen u. Kulturen'!L30,2)=" +",LEFT('Flächen u. Kulturen'!P30,2)=" +"),$DP$4,""))</f>
        <v/>
      </c>
      <c r="DQ25" s="428" t="str">
        <f t="shared" si="12"/>
        <v/>
      </c>
      <c r="DR25" s="938" t="str">
        <f t="shared" si="13"/>
        <v/>
      </c>
      <c r="DS25" s="938" t="str">
        <f>IF('Flächen u. Kulturen'!X30="","",ROW('Flächen u. Kulturen'!X30))</f>
        <v/>
      </c>
    </row>
    <row r="26" spans="1:123" s="875" customFormat="1" x14ac:dyDescent="0.2">
      <c r="A26" s="875" t="str">
        <f>IF('Daten aus 2021'!H28="",'#Boden'!$B$26,IF('Daten aus 2021'!H28='#Boden'!$B$39,IF('Daten aus 2021'!F28='#Boden'!$B$29,'#Boden'!$B$29,IF('Daten aus 2021'!K28='#Boden'!$B$34,'#Boden'!$B$28,'#Boden'!$B$27)),'Daten aus 2021'!F28))</f>
        <v xml:space="preserve"> --</v>
      </c>
      <c r="B26" s="875" t="str">
        <f>IF('Daten aus 2021'!H28='#Boden'!$B$39,IF('Daten aus 2021'!L28='#Boden'!$B$61,'#Boden'!$B$11,'Daten aus 2021'!L28),IF('Daten aus 2021'!P28='#Boden'!$B$58,'#Boden'!$B$11,IF('Daten aus 2021'!P28='#Boden'!$B$57,'#Boden'!$B$10,'#Boden'!$B$9)))</f>
        <v xml:space="preserve"> --         </v>
      </c>
      <c r="C26" s="875" t="str">
        <f>IF('Daten aus 2021'!N28="","",VLOOKUP('Daten aus 2021'!N28,'#Boden'!$B$68:$C$89,2,FALSE))</f>
        <v/>
      </c>
      <c r="D26" s="875" t="str">
        <f>IF('Daten aus 2021'!M28="","",VLOOKUP('Daten aus 2021'!M28,'#Boden'!$D$69:$E$73,2,FALSE))</f>
        <v/>
      </c>
      <c r="E26" s="938" t="str">
        <f>IF(OR(C26='#Boden'!$C$68,C26='#Boden'!$C$70),C26,CONCATENATE(C26,D26))</f>
        <v/>
      </c>
      <c r="F26" s="882" t="str">
        <f>IFERROR(IF('Daten aus 2021'!H28="",'#Frucht'!$D$8,IF('Daten aus 2021'!H28='#Boden'!$B$39,E26,IF('Daten aus 2021'!H28='#Boden'!$B$38,IF(CONCATENATE(" ",'Daten aus 2021'!W28)=$B$2,VLOOKUP($B$3,'#Frucht'!$A$8:$D$372,4,FALSE),VLOOKUP(CONCATENATE(" ",'Daten aus 2021'!W28),'#Frucht'!$A$8:$D$372,4,FALSE)),IF(OR(LEFT('Daten aus 2021'!Q28,5)=" *10 ",LEFT('Daten aus 2021'!Q28,5)=" *11 ",LEFT('Daten aus 2021'!Q28,5)=" *12 ",LEFT('Daten aus 2021'!Q28,5)=" *13 ",LEFT('Daten aus 2021'!Q28,5)=" *14 ",LEFT('Daten aus 2021'!Q28,5)=" *15 "),VLOOKUP(RIGHT('Daten aus 2021'!Q28,LEN('Daten aus 2021'!Q28)-4),'#Frucht'!$A$8:$D$372,4,FALSE),IF(LEFT('Daten aus 2021'!Q28,2)=" *",VLOOKUP(RIGHT('Daten aus 2021'!Q28,LEN('Daten aus 2021'!Q28)-3),'#Frucht'!$A$8:$D$372,4,FALSE),VLOOKUP('Daten aus 2021'!Q28,'#Frucht'!$A$8:$D$372,4,FALSE)))))),'#Frucht'!$D$8)</f>
        <v xml:space="preserve"> --  </v>
      </c>
      <c r="G26" s="127"/>
      <c r="H26" s="31"/>
      <c r="J26" s="938" t="str">
        <f>IF(OR(N26=3,$K$3=0,'Flächen u. Kulturen'!P31=""),"",IF(VLOOKUP('Flächen u. Kulturen'!P31,Kulturen[[HF]:[780]],'#BerechnungDBE'!$K$3,FALSE)=".","",VLOOKUP('Flächen u. Kulturen'!P31,Kulturen[[HF]:[780]],'#BerechnungDBE'!$K$3,FALSE)))</f>
        <v/>
      </c>
      <c r="K26" s="938" t="str">
        <f>IF(OR($K$3=0,'Flächen u. Kulturen'!P31=""),"",IF(N26=3,IF(VLOOKUP('Flächen u. Kulturen'!P31,Kulturen[[HF]:[780]],'#BerechnungDBE'!$K$3,FALSE)=".","",VLOOKUP('Flächen u. Kulturen'!P31,Kulturen[[HF]:[780]],'#BerechnungDBE'!$K$3,FALSE)),""))</f>
        <v/>
      </c>
      <c r="L26" s="367">
        <f>IF('Flächen u. Kulturen'!D31="",0,'Flächen u. Kulturen'!D31)</f>
        <v>0</v>
      </c>
      <c r="M26" s="693">
        <f>IF('Flächen u. Kulturen'!J31="",0,VLOOKUP('Flächen u. Kulturen'!J31,Kulturen[[HF]:[Berechnungsgruppe]],'#Frucht'!$W$1,FALSE))</f>
        <v>1</v>
      </c>
      <c r="N26" s="693">
        <f>IF('Flächen u. Kulturen'!P31="",0,VLOOKUP('Flächen u. Kulturen'!P31,Kulturen[[HF]:[Berechnungsgruppe]],'#Frucht'!$W$1,FALSE))</f>
        <v>1</v>
      </c>
      <c r="O26" s="875">
        <f>IF(N26&lt;&gt;2,N26,IF('Flächen u. Kulturen'!J31='Flächen u. Kulturen'!P31,2,1))</f>
        <v>1</v>
      </c>
      <c r="P26" s="875">
        <f>IF('Flächen u. Kulturen'!F31="",0,VLOOKUP('Flächen u. Kulturen'!F31,'#Boden'!$G$4:$H$8,'#Boden'!$H$1,FALSE))</f>
        <v>1</v>
      </c>
      <c r="Q26" s="875">
        <f>IF('Flächen u. Kulturen'!G31="",0,VLOOKUP('Flächen u. Kulturen'!G31,'#Boden'!$B$26:$C$29,'#Boden'!$C$1,FALSE))</f>
        <v>1</v>
      </c>
      <c r="R26" s="875">
        <f t="shared" si="19"/>
        <v>1</v>
      </c>
      <c r="S26" s="875">
        <f t="shared" si="20"/>
        <v>1</v>
      </c>
      <c r="T26" s="875">
        <f>IF('Flächen u. Kulturen'!H31="",0,VLOOKUP('Flächen u. Kulturen'!H31,'#Boden'!$B$23:$C$25,'#Boden'!$C$1,FALSE))</f>
        <v>2</v>
      </c>
      <c r="U26" s="875" t="str">
        <f>'Flächen u. Kulturen'!E31</f>
        <v>x</v>
      </c>
      <c r="V26" s="938">
        <f>IF('Flächen u. Kulturen'!Q31="",0,_xlfn.NUMBERVALUE('Flächen u. Kulturen'!Q31))</f>
        <v>0</v>
      </c>
      <c r="W26" s="938">
        <f>IF('Flächen u. Kulturen'!R31="",0,_xlfn.NUMBERVALUE('Flächen u. Kulturen'!R31))</f>
        <v>0</v>
      </c>
      <c r="X26" s="875">
        <f>IF('Flächen u. Kulturen'!T31="",0,VLOOKUP('Flächen u. Kulturen'!T31,'#Boden'!$B$30:$C$32,'#Boden'!$C$1,FALSE))</f>
        <v>1</v>
      </c>
      <c r="Y26" s="875">
        <f>IF('Flächen u. Kulturen'!P31="",0,VLOOKUP('Flächen u. Kulturen'!P31,Kulturen[[HF]:[Berechnungsgruppe]],'#Frucht'!$N$1,FALSE))</f>
        <v>0</v>
      </c>
      <c r="Z26" s="875">
        <f t="shared" si="21"/>
        <v>2</v>
      </c>
      <c r="AA26" s="875">
        <f>IF('Flächen u. Kulturen'!P31="",0,VLOOKUP('Flächen u. Kulturen'!P31,Kulturen[[HF]:[Berechnungsgruppe]],'#Frucht'!$V$1,FALSE))</f>
        <v>0</v>
      </c>
      <c r="AB26" s="875">
        <f>IF(N26=1,VLOOKUP('Flächen u. Kulturen'!P31,Kulturen[[HF]:[Ernteprodukt]],'#Frucht'!$I$1,FALSE),4)</f>
        <v>4</v>
      </c>
      <c r="AC26" s="921">
        <f>IF('Flächen u. Kulturen'!J31="",0,VLOOKUP('Flächen u. Kulturen'!J31,Kulturen[[HF]:[Berechnungsgruppe]],'#Frucht'!$G$1,FALSE))</f>
        <v>90</v>
      </c>
      <c r="AD26" s="921">
        <f>IF('Flächen u. Kulturen'!P31="",0,VLOOKUP('Flächen u. Kulturen'!P31,Kulturen[[HF]:[Berechnungsgruppe]],'#Frucht'!$G$1,FALSE))</f>
        <v>90</v>
      </c>
      <c r="AE26" s="938">
        <f>IF('Flächen u. Kulturen'!P31="",0,VLOOKUP('Flächen u. Kulturen'!P31,Kulturen[[HF]:[SollwertMinusNfix]],'#Frucht'!$X$1,FALSE))</f>
        <v>0</v>
      </c>
      <c r="AF26" s="875">
        <f>IF('Flächen u. Kulturen'!L31="",0,VLOOKUP('Flächen u. Kulturen'!L31,Nebenkultur[[Nebenkultur]:[Berechnungsschema]],'#Zweitfr'!$G$1,FALSE))</f>
        <v>0</v>
      </c>
      <c r="AG26" s="875">
        <f>IF('Flächen u. Kulturen'!L31="",0,VLOOKUP('Flächen u. Kulturen'!L31,'#Zweitfr'!$D$8:$Q$27,'#Zweitfr'!$Q$1,FALSE))</f>
        <v>0</v>
      </c>
      <c r="AH26" s="875">
        <f>IF('Flächen u. Kulturen'!M31="",0,VLOOKUP('Flächen u. Kulturen'!M31,'#Boden'!$G$17:$H$21,2,FALSE))</f>
        <v>1</v>
      </c>
      <c r="AI26" s="875">
        <f>IF('Flächen u. Kulturen'!N31="",0,VLOOKUP('Flächen u. Kulturen'!N31,'#Boden'!$G$22:$H$24,'#Boden'!$H$1,FALSE))</f>
        <v>1</v>
      </c>
      <c r="AJ26" s="938">
        <f>IF('Flächen u. Kulturen'!O31="",0,_xlfn.NUMBERVALUE('Flächen u. Kulturen'!O31))</f>
        <v>0</v>
      </c>
      <c r="AK26" s="938">
        <f>IF('Flächen u. Kulturen'!L31="",0,VLOOKUP('Flächen u. Kulturen'!L31,Nebenkultur[[Nebenkultur]:[Legum. Zwischenfr.]],'#Zweitfr'!$P$1,FALSE))</f>
        <v>0</v>
      </c>
      <c r="AL26" s="875">
        <f>IF('Flächen u. Kulturen'!P31="",0,VLOOKUP('Flächen u. Kulturen'!P31,Kulturen[[HF]:[Berechnungsgruppe]],'#Frucht'!$Q$1,FALSE))</f>
        <v>0</v>
      </c>
      <c r="AM26" s="875">
        <f>IF('Flächen u. Kulturen'!P31="",0,VLOOKUP('Flächen u. Kulturen'!P31,Kulturen[[HF]:[Berechnungsgruppe]],'#Frucht'!$M$1,FALSE))</f>
        <v>0</v>
      </c>
      <c r="AN26" s="875">
        <f>IF('Flächen u. Kulturen'!P31="",1,VLOOKUP('Flächen u. Kulturen'!P31,Kulturen[[HF]:[Berechnungsgruppe]],'#Frucht'!$R$1,FALSE))</f>
        <v>10</v>
      </c>
      <c r="AO26" s="875">
        <f>IF('Flächen u. Kulturen'!P31="",0,VLOOKUP('Flächen u. Kulturen'!P31,Kulturen[[HF]:[Berechnungsgruppe]],'#Frucht'!$S$1,FALSE))</f>
        <v>0</v>
      </c>
      <c r="AP26" s="875">
        <f>IF('Flächen u. Kulturen'!P31="",0,VLOOKUP('Flächen u. Kulturen'!P31,Kulturen[[HF]:[Berechnungsgruppe]],'#Frucht'!$T$1,FALSE))</f>
        <v>0</v>
      </c>
      <c r="AQ26" s="938">
        <f t="shared" si="1"/>
        <v>0</v>
      </c>
      <c r="AR26" s="875">
        <f t="shared" si="2"/>
        <v>0</v>
      </c>
      <c r="AS26" s="938">
        <f t="shared" si="3"/>
        <v>0</v>
      </c>
      <c r="AT26" s="875">
        <f>IF(N26=1,'Flächen u. Kulturen'!S31*-1,"--")</f>
        <v>0</v>
      </c>
      <c r="AU26" s="938">
        <f>IF(OR(N26=2,'Flächen u. Kulturen'!I31=""),"--",IF(N26=3,VLOOKUP('Flächen u. Kulturen'!I31,'#Boden'!$B$9:$E$15,'#Boden'!$D$1,FALSE),VLOOKUP('Flächen u. Kulturen'!I31,'#Boden'!$B$9:$E$15,'#Boden'!$E$1,FALSE)))</f>
        <v>0</v>
      </c>
      <c r="AV26" s="938">
        <f>IF(N26=1,IF('Flächen u. Kulturen'!J31="",0,VLOOKUP('Flächen u. Kulturen'!J31,Kulturen[[HF]:[Berechnungsgruppe]],'#Frucht'!$U$1,FALSE)*-1),"--")</f>
        <v>0</v>
      </c>
      <c r="AW26" s="875">
        <f t="shared" si="4"/>
        <v>0</v>
      </c>
      <c r="AX26" s="875">
        <f>IF('Flächen u. Kulturen'!K31="",0,'Flächen u. Kulturen'!K31*-0.1)</f>
        <v>0</v>
      </c>
      <c r="AY26" s="875">
        <f>IF(N26&lt;3,'#orgDung'!AC35*0.1*-1,"--")</f>
        <v>0</v>
      </c>
      <c r="AZ26" s="31" t="str">
        <f>IF(AND('#orgDung'!J35&lt;&gt;2,'#orgDung'!F35=1),('#orgDung'!V35+'#minDung'!O32)*-1,"--")</f>
        <v>--</v>
      </c>
      <c r="BA26" s="875">
        <f t="shared" si="22"/>
        <v>0</v>
      </c>
      <c r="BB26" s="938">
        <f>IF(R26=2,0,'Flächen u. Kulturen'!V31*-1)</f>
        <v>0</v>
      </c>
      <c r="BC26" s="875">
        <f t="shared" si="23"/>
        <v>0</v>
      </c>
      <c r="BD26" s="127">
        <f>'#orgDung'!W35*-1</f>
        <v>0</v>
      </c>
      <c r="BE26" s="910">
        <f>'#orgDung'!AA35*-1</f>
        <v>0</v>
      </c>
      <c r="BF26" s="875">
        <f>'#orgDung'!Z35*-1</f>
        <v>0</v>
      </c>
      <c r="BG26" s="938">
        <f t="shared" si="14"/>
        <v>0</v>
      </c>
      <c r="BH26" s="875">
        <f>'#Kürzungen'!AS50*-1</f>
        <v>0</v>
      </c>
      <c r="BI26" s="875">
        <f t="shared" si="5"/>
        <v>0</v>
      </c>
      <c r="BJ26" s="910">
        <f t="shared" si="6"/>
        <v>0</v>
      </c>
      <c r="BK26" s="875">
        <f>'#minDung'!P32</f>
        <v>0</v>
      </c>
      <c r="BL26" s="938">
        <f t="shared" si="15"/>
        <v>0</v>
      </c>
      <c r="BM26" s="938">
        <f t="shared" si="7"/>
        <v>0</v>
      </c>
      <c r="BN26" s="875">
        <f>IF('Flächen u. Kulturen'!P31="",0,VLOOKUP('Flächen u. Kulturen'!P31,Kulturen[[HF]:[Berechnungsgruppe]],'#Frucht'!$K$1,FALSE))</f>
        <v>0</v>
      </c>
      <c r="BO26" s="875">
        <f>IF('Flächen u. Kulturen'!P31="",0,VLOOKUP('Flächen u. Kulturen'!P31,Kulturen[[HF]:[Berechnungsgruppe]],'#Frucht'!$L$1,FALSE))</f>
        <v>0</v>
      </c>
      <c r="BP26" s="875">
        <f>IF('Flächen u. Kulturen'!L31="",0,VLOOKUP('Flächen u. Kulturen'!L31,Nebenkultur[[Nebenkultur]:[Legum. Zwischenfr.]],'#Zweitfr'!$H$1,FALSE))</f>
        <v>0</v>
      </c>
      <c r="BQ26" s="938">
        <f>IF(N26=3,W26*BO26,IF('Flächen u. Kulturen'!T31='#Boden'!$B$32,V26*BN26,V26*BO26))</f>
        <v>0</v>
      </c>
      <c r="BR26" s="938">
        <f t="shared" si="8"/>
        <v>0</v>
      </c>
      <c r="BS26" s="875">
        <f t="shared" si="24"/>
        <v>0</v>
      </c>
      <c r="BT26" s="875">
        <f>IF('Flächen u. Kulturen'!F31="",0,IF(N26=3,VLOOKUP('Flächen u. Kulturen'!F31,'#Boden'!$G$4:$J$8,'#Boden'!$J$1,FALSE),VLOOKUP('Flächen u. Kulturen'!F31,'#Boden'!$G$4:$J$8,'#Boden'!$I$1,FALSE)))</f>
        <v>0</v>
      </c>
      <c r="BU26" s="41">
        <f t="shared" si="25"/>
        <v>0</v>
      </c>
      <c r="BV26" s="875">
        <f t="shared" si="26"/>
        <v>0</v>
      </c>
      <c r="BW26" s="938" t="str">
        <f t="shared" si="16"/>
        <v/>
      </c>
      <c r="BX26" s="875">
        <f>'#orgDung'!T35*-1</f>
        <v>0</v>
      </c>
      <c r="BY26" s="875">
        <f t="shared" si="17"/>
        <v>0</v>
      </c>
      <c r="BZ26" s="938" t="str">
        <f>IF(U26&lt;&gt;"x",0,IF(P26&lt;4,"",(BW26+BX26-'#minDung'!N32)*-1))</f>
        <v/>
      </c>
      <c r="CB26" s="938">
        <f>IF(AND(AF26=70,U26="x"),'Flächen u. Kulturen'!A31,1000)</f>
        <v>1000</v>
      </c>
      <c r="CC26" s="875" t="str">
        <f>IF(AF26=70,VLOOKUP('Flächen u. Kulturen'!L31,Nebenkultur[[Nebenkultur]:[Legum. Zwischenfr.]],'#Zweitfr'!$I$1,FALSE),"--")</f>
        <v>--</v>
      </c>
      <c r="CD26" s="875" t="str">
        <f>IF(AF26=70,VLOOKUP('Flächen u. Kulturen'!L31,Nebenkultur[[Nebenkultur]:[Legum. Zwischenfr.]],'#Zweitfr'!$L$1,FALSE),"--")</f>
        <v>--</v>
      </c>
      <c r="CE26" s="875" t="str">
        <f>IF(AF26=70,VLOOKUP('Flächen u. Kulturen'!L31,Nebenkultur[[Nebenkultur]:[Legum. Zwischenfr.]],'#Zweitfr'!$M$1,FALSE),"--")</f>
        <v>--</v>
      </c>
      <c r="CF26" s="875" t="str">
        <f>IF(AF26=70,VLOOKUP('Flächen u. Kulturen'!L31,Nebenkultur[[Nebenkultur]:[Legum. Zwischenfr.]],'#Zweitfr'!$N$1,FALSE),"--")</f>
        <v>--</v>
      </c>
      <c r="CG26" s="875" t="str">
        <f>IF(AF26=70,VLOOKUP('Flächen u. Kulturen'!L31,Nebenkultur[[Nebenkultur]:[Legum. Zwischenfr.]],'#Zweitfr'!$O$1,FALSE),"--")</f>
        <v>--</v>
      </c>
      <c r="CH26" s="875" t="str">
        <f t="shared" si="9"/>
        <v>--</v>
      </c>
      <c r="CI26" s="938">
        <f>IF('Flächen u. Kulturen'!L31="",0,VLOOKUP('Flächen u. Kulturen'!L31,Nebenkultur[[Nebenkultur]:[Legum. Zwischenfr.]],'#Zweitfr'!$J$1,FALSE))</f>
        <v>0</v>
      </c>
      <c r="CJ26" s="875">
        <f t="shared" si="10"/>
        <v>0</v>
      </c>
      <c r="CK26" s="890">
        <f t="shared" si="11"/>
        <v>0</v>
      </c>
      <c r="CL26" s="938">
        <f>IF(AND(R26=1,AF26=70),'Flächen u. Kulturen'!W31*-1,0)</f>
        <v>0</v>
      </c>
      <c r="CM26" s="875">
        <f>'#orgDung'!AE35*-1</f>
        <v>0</v>
      </c>
      <c r="CN26" s="875">
        <f t="shared" si="27"/>
        <v>0</v>
      </c>
      <c r="CO26" s="875">
        <f t="shared" si="28"/>
        <v>0</v>
      </c>
      <c r="CP26" s="875">
        <f>'#Kürzungen'!AS151*-1</f>
        <v>0</v>
      </c>
      <c r="CQ26" s="875">
        <f t="shared" si="29"/>
        <v>0</v>
      </c>
      <c r="CR26" s="875">
        <f t="shared" si="30"/>
        <v>0</v>
      </c>
      <c r="CS26" s="875">
        <f>'#minDung'!R32</f>
        <v>0</v>
      </c>
      <c r="CT26" s="938">
        <f t="shared" si="18"/>
        <v>0</v>
      </c>
      <c r="CU26" s="52" t="str">
        <f>'#Kürzungen'!AQ151</f>
        <v xml:space="preserve"> </v>
      </c>
      <c r="CW26" s="247">
        <f>IF('Flächen u. Kulturen'!D31="",0,IF(ISNUMBER('Flächen u. Kulturen'!D31)=TRUE,2,1))</f>
        <v>0</v>
      </c>
      <c r="CX26" s="247">
        <f>IF('Flächen u. Kulturen'!E31="",0,COUNTIF('#Boden'!$B$47,'Flächen u. Kulturen'!E31)+1)</f>
        <v>2</v>
      </c>
      <c r="CY26" s="247">
        <f>IF('Flächen u. Kulturen'!F31="",0,COUNTIF('#Boden'!$G$4:$G$8,'Flächen u. Kulturen'!F31)+1)</f>
        <v>2</v>
      </c>
      <c r="CZ26" s="247">
        <f>IF('Flächen u. Kulturen'!G31="",0,COUNTIF('#Boden'!$B$26:$B$29,'Flächen u. Kulturen'!G31)+1)</f>
        <v>2</v>
      </c>
      <c r="DA26" s="247">
        <f>IF('Flächen u. Kulturen'!H31="",0,COUNTIF('#Boden'!$B$26:$B$29,'Flächen u. Kulturen'!H31)+1)</f>
        <v>2</v>
      </c>
      <c r="DB26" s="247">
        <f>IF('Flächen u. Kulturen'!I31="",0,COUNTIF('#Boden'!$B$9:$B$15,'Flächen u. Kulturen'!I31)+1)</f>
        <v>2</v>
      </c>
      <c r="DC26" s="247">
        <f>IF('Flächen u. Kulturen'!J31="",0,COUNTIF(Kulturen[HF],'Flächen u. Kulturen'!J31)+1)</f>
        <v>2</v>
      </c>
      <c r="DD26" s="247">
        <f>IF('Flächen u. Kulturen'!L31="",0,COUNTIF(Nebenkultur[Nebenkultur],'Flächen u. Kulturen'!L31)+1)</f>
        <v>2</v>
      </c>
      <c r="DE26" s="247">
        <f>IF('Flächen u. Kulturen'!M31="",0,COUNTIF('#Boden'!$G$17:$G$21,'Flächen u. Kulturen'!M31)+1)</f>
        <v>2</v>
      </c>
      <c r="DF26" s="247">
        <f>IF('Flächen u. Kulturen'!N31="",0,COUNTIF('#Boden'!$G$22:$G$24,'Flächen u. Kulturen'!N31)+1)</f>
        <v>2</v>
      </c>
      <c r="DG26" s="247">
        <f>IF('Flächen u. Kulturen'!P31="",0,COUNTIF(Kulturen[HF],'Flächen u. Kulturen'!P31)+1)</f>
        <v>2</v>
      </c>
      <c r="DH26" s="247">
        <f>IF('Flächen u. Kulturen'!T31="",0,COUNTIF('#Boden'!$B$30:$B$32,'Flächen u. Kulturen'!T31)+1)</f>
        <v>2</v>
      </c>
      <c r="DI26" s="247">
        <f>IF('Flächen u. Kulturen'!K31="",0,IF(ISNUMBER('Flächen u. Kulturen'!K31)=TRUE,2,1))</f>
        <v>0</v>
      </c>
      <c r="DJ26" s="247">
        <f>IF('Flächen u. Kulturen'!U31="",0,IF(ISNUMBER('Flächen u. Kulturen'!U31)=TRUE,2,1))</f>
        <v>0</v>
      </c>
      <c r="DK26" s="247">
        <f>IF('Flächen u. Kulturen'!V31="",0,IF(ISNUMBER('Flächen u. Kulturen'!V31)=TRUE,2,1))</f>
        <v>0</v>
      </c>
      <c r="DL26" s="247">
        <f>IF('Flächen u. Kulturen'!W31="",0,IF(ISNUMBER('Flächen u. Kulturen'!W31)=TRUE,2,1))</f>
        <v>0</v>
      </c>
      <c r="DM26" s="247">
        <f t="shared" si="31"/>
        <v>0</v>
      </c>
      <c r="DN26" s="247" t="s">
        <v>344</v>
      </c>
      <c r="DO26" s="247">
        <f>IF(U26&lt;&gt;"x","",IF(OR('Flächen u. Kulturen'!B31="",'Flächen u. Kulturen'!C31="",'Flächen u. Kulturen'!D31="",'Flächen u. Kulturen'!D31=0,'Flächen u. Kulturen'!F31="",'Flächen u. Kulturen'!F31='#Boden'!$G$4,'Flächen u. Kulturen'!G31="",'Flächen u. Kulturen'!G31='#Boden'!$B$26,'Flächen u. Kulturen'!H31="",'Flächen u. Kulturen'!H31='#Boden'!$B$23,AND(N26&lt;&gt;2,OR('Flächen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Kulturen'!Q31="",'#BerechnungDBE'!N26&lt;3),AND('Flächen u. Kulturen'!R31="",'#BerechnungDBE'!N26=3),AND(N26=1,AL26&gt;0,'Flächen u. Kulturen'!S31=""),AND(N26=1,OR('Flächen u. Kulturen'!T31="",'Flächen u. Kulturen'!T31='#Boden'!$B$30)),AND('#BerechnungDBE'!AF26=70,OR('Flächen u. Kulturen'!N31="",'Flächen u. Kulturen'!N31='#Boden'!$G$22,'Flächen u. Kulturen'!O31="")),AND('#BerechnungDBE'!AF26=80,OR('Flächen u. Kulturen'!M31="",'Flächen u. Kulturen'!M31='#Boden'!$G$17,'Flächen u. Kulturen'!N31="",'Flächen u. Kulturen'!N31='#Boden'!$G$22))),$DO$4,""))</f>
        <v>1</v>
      </c>
      <c r="DP26" s="247" t="str">
        <f>IF(U26&lt;&gt;"x","",IF(OR(LEFT('Flächen u. Kulturen'!J31,2)=" +",LEFT('Flächen u. Kulturen'!L31,2)=" +",LEFT('Flächen u. Kulturen'!P31,2)=" +"),$DP$4,""))</f>
        <v/>
      </c>
      <c r="DQ26" s="428" t="str">
        <f t="shared" si="12"/>
        <v/>
      </c>
      <c r="DR26" s="938" t="str">
        <f t="shared" si="13"/>
        <v/>
      </c>
      <c r="DS26" s="938" t="str">
        <f>IF('Flächen u. Kulturen'!X31="","",ROW('Flächen u. Kulturen'!X31))</f>
        <v/>
      </c>
    </row>
    <row r="27" spans="1:123" s="875" customFormat="1" x14ac:dyDescent="0.2">
      <c r="A27" s="875" t="str">
        <f>IF('Daten aus 2021'!H29="",'#Boden'!$B$26,IF('Daten aus 2021'!H29='#Boden'!$B$39,IF('Daten aus 2021'!F29='#Boden'!$B$29,'#Boden'!$B$29,IF('Daten aus 2021'!K29='#Boden'!$B$34,'#Boden'!$B$28,'#Boden'!$B$27)),'Daten aus 2021'!F29))</f>
        <v xml:space="preserve"> --</v>
      </c>
      <c r="B27" s="875" t="str">
        <f>IF('Daten aus 2021'!H29='#Boden'!$B$39,IF('Daten aus 2021'!L29='#Boden'!$B$61,'#Boden'!$B$11,'Daten aus 2021'!L29),IF('Daten aus 2021'!P29='#Boden'!$B$58,'#Boden'!$B$11,IF('Daten aus 2021'!P29='#Boden'!$B$57,'#Boden'!$B$10,'#Boden'!$B$9)))</f>
        <v xml:space="preserve"> --         </v>
      </c>
      <c r="C27" s="875" t="str">
        <f>IF('Daten aus 2021'!N29="","",VLOOKUP('Daten aus 2021'!N29,'#Boden'!$B$68:$C$89,2,FALSE))</f>
        <v/>
      </c>
      <c r="D27" s="875" t="str">
        <f>IF('Daten aus 2021'!M29="","",VLOOKUP('Daten aus 2021'!M29,'#Boden'!$D$69:$E$73,2,FALSE))</f>
        <v/>
      </c>
      <c r="E27" s="938" t="str">
        <f>IF(OR(C27='#Boden'!$C$68,C27='#Boden'!$C$70),C27,CONCATENATE(C27,D27))</f>
        <v/>
      </c>
      <c r="F27" s="882" t="str">
        <f>IFERROR(IF('Daten aus 2021'!H29="",'#Frucht'!$D$8,IF('Daten aus 2021'!H29='#Boden'!$B$39,E27,IF('Daten aus 2021'!H29='#Boden'!$B$38,IF(CONCATENATE(" ",'Daten aus 2021'!W29)=$B$2,VLOOKUP($B$3,'#Frucht'!$A$8:$D$372,4,FALSE),VLOOKUP(CONCATENATE(" ",'Daten aus 2021'!W29),'#Frucht'!$A$8:$D$372,4,FALSE)),IF(OR(LEFT('Daten aus 2021'!Q29,5)=" *10 ",LEFT('Daten aus 2021'!Q29,5)=" *11 ",LEFT('Daten aus 2021'!Q29,5)=" *12 ",LEFT('Daten aus 2021'!Q29,5)=" *13 ",LEFT('Daten aus 2021'!Q29,5)=" *14 ",LEFT('Daten aus 2021'!Q29,5)=" *15 "),VLOOKUP(RIGHT('Daten aus 2021'!Q29,LEN('Daten aus 2021'!Q29)-4),'#Frucht'!$A$8:$D$372,4,FALSE),IF(LEFT('Daten aus 2021'!Q29,2)=" *",VLOOKUP(RIGHT('Daten aus 2021'!Q29,LEN('Daten aus 2021'!Q29)-3),'#Frucht'!$A$8:$D$372,4,FALSE),VLOOKUP('Daten aus 2021'!Q29,'#Frucht'!$A$8:$D$372,4,FALSE)))))),'#Frucht'!$D$8)</f>
        <v xml:space="preserve"> --  </v>
      </c>
      <c r="G27" s="127"/>
      <c r="H27" s="31"/>
      <c r="J27" s="938" t="str">
        <f>IF(OR(N27=3,$K$3=0,'Flächen u. Kulturen'!P32=""),"",IF(VLOOKUP('Flächen u. Kulturen'!P32,Kulturen[[HF]:[780]],'#BerechnungDBE'!$K$3,FALSE)=".","",VLOOKUP('Flächen u. Kulturen'!P32,Kulturen[[HF]:[780]],'#BerechnungDBE'!$K$3,FALSE)))</f>
        <v/>
      </c>
      <c r="K27" s="938" t="str">
        <f>IF(OR($K$3=0,'Flächen u. Kulturen'!P32=""),"",IF(N27=3,IF(VLOOKUP('Flächen u. Kulturen'!P32,Kulturen[[HF]:[780]],'#BerechnungDBE'!$K$3,FALSE)=".","",VLOOKUP('Flächen u. Kulturen'!P32,Kulturen[[HF]:[780]],'#BerechnungDBE'!$K$3,FALSE)),""))</f>
        <v/>
      </c>
      <c r="L27" s="367">
        <f>IF('Flächen u. Kulturen'!D32="",0,'Flächen u. Kulturen'!D32)</f>
        <v>0</v>
      </c>
      <c r="M27" s="693">
        <f>IF('Flächen u. Kulturen'!J32="",0,VLOOKUP('Flächen u. Kulturen'!J32,Kulturen[[HF]:[Berechnungsgruppe]],'#Frucht'!$W$1,FALSE))</f>
        <v>1</v>
      </c>
      <c r="N27" s="693">
        <f>IF('Flächen u. Kulturen'!P32="",0,VLOOKUP('Flächen u. Kulturen'!P32,Kulturen[[HF]:[Berechnungsgruppe]],'#Frucht'!$W$1,FALSE))</f>
        <v>1</v>
      </c>
      <c r="O27" s="875">
        <f>IF(N27&lt;&gt;2,N27,IF('Flächen u. Kulturen'!J32='Flächen u. Kulturen'!P32,2,1))</f>
        <v>1</v>
      </c>
      <c r="P27" s="875">
        <f>IF('Flächen u. Kulturen'!F32="",0,VLOOKUP('Flächen u. Kulturen'!F32,'#Boden'!$G$4:$H$8,'#Boden'!$H$1,FALSE))</f>
        <v>1</v>
      </c>
      <c r="Q27" s="875">
        <f>IF('Flächen u. Kulturen'!G32="",0,VLOOKUP('Flächen u. Kulturen'!G32,'#Boden'!$B$26:$C$29,'#Boden'!$C$1,FALSE))</f>
        <v>1</v>
      </c>
      <c r="R27" s="875">
        <f t="shared" si="19"/>
        <v>1</v>
      </c>
      <c r="S27" s="875">
        <f t="shared" si="20"/>
        <v>1</v>
      </c>
      <c r="T27" s="875">
        <f>IF('Flächen u. Kulturen'!H32="",0,VLOOKUP('Flächen u. Kulturen'!H32,'#Boden'!$B$23:$C$25,'#Boden'!$C$1,FALSE))</f>
        <v>2</v>
      </c>
      <c r="U27" s="875" t="str">
        <f>'Flächen u. Kulturen'!E32</f>
        <v>x</v>
      </c>
      <c r="V27" s="938">
        <f>IF('Flächen u. Kulturen'!Q32="",0,_xlfn.NUMBERVALUE('Flächen u. Kulturen'!Q32))</f>
        <v>0</v>
      </c>
      <c r="W27" s="938">
        <f>IF('Flächen u. Kulturen'!R32="",0,_xlfn.NUMBERVALUE('Flächen u. Kulturen'!R32))</f>
        <v>0</v>
      </c>
      <c r="X27" s="875">
        <f>IF('Flächen u. Kulturen'!T32="",0,VLOOKUP('Flächen u. Kulturen'!T32,'#Boden'!$B$30:$C$32,'#Boden'!$C$1,FALSE))</f>
        <v>1</v>
      </c>
      <c r="Y27" s="875">
        <f>IF('Flächen u. Kulturen'!P32="",0,VLOOKUP('Flächen u. Kulturen'!P32,Kulturen[[HF]:[Berechnungsgruppe]],'#Frucht'!$N$1,FALSE))</f>
        <v>0</v>
      </c>
      <c r="Z27" s="875">
        <f t="shared" si="21"/>
        <v>2</v>
      </c>
      <c r="AA27" s="875">
        <f>IF('Flächen u. Kulturen'!P32="",0,VLOOKUP('Flächen u. Kulturen'!P32,Kulturen[[HF]:[Berechnungsgruppe]],'#Frucht'!$V$1,FALSE))</f>
        <v>0</v>
      </c>
      <c r="AB27" s="875">
        <f>IF(N27=1,VLOOKUP('Flächen u. Kulturen'!P32,Kulturen[[HF]:[Ernteprodukt]],'#Frucht'!$I$1,FALSE),4)</f>
        <v>4</v>
      </c>
      <c r="AC27" s="921">
        <f>IF('Flächen u. Kulturen'!J32="",0,VLOOKUP('Flächen u. Kulturen'!J32,Kulturen[[HF]:[Berechnungsgruppe]],'#Frucht'!$G$1,FALSE))</f>
        <v>90</v>
      </c>
      <c r="AD27" s="921">
        <f>IF('Flächen u. Kulturen'!P32="",0,VLOOKUP('Flächen u. Kulturen'!P32,Kulturen[[HF]:[Berechnungsgruppe]],'#Frucht'!$G$1,FALSE))</f>
        <v>90</v>
      </c>
      <c r="AE27" s="938">
        <f>IF('Flächen u. Kulturen'!P32="",0,VLOOKUP('Flächen u. Kulturen'!P32,Kulturen[[HF]:[SollwertMinusNfix]],'#Frucht'!$X$1,FALSE))</f>
        <v>0</v>
      </c>
      <c r="AF27" s="875">
        <f>IF('Flächen u. Kulturen'!L32="",0,VLOOKUP('Flächen u. Kulturen'!L32,Nebenkultur[[Nebenkultur]:[Berechnungsschema]],'#Zweitfr'!$G$1,FALSE))</f>
        <v>0</v>
      </c>
      <c r="AG27" s="875">
        <f>IF('Flächen u. Kulturen'!L32="",0,VLOOKUP('Flächen u. Kulturen'!L32,'#Zweitfr'!$D$8:$Q$27,'#Zweitfr'!$Q$1,FALSE))</f>
        <v>0</v>
      </c>
      <c r="AH27" s="875">
        <f>IF('Flächen u. Kulturen'!M32="",0,VLOOKUP('Flächen u. Kulturen'!M32,'#Boden'!$G$17:$H$21,2,FALSE))</f>
        <v>1</v>
      </c>
      <c r="AI27" s="875">
        <f>IF('Flächen u. Kulturen'!N32="",0,VLOOKUP('Flächen u. Kulturen'!N32,'#Boden'!$G$22:$H$24,'#Boden'!$H$1,FALSE))</f>
        <v>1</v>
      </c>
      <c r="AJ27" s="938">
        <f>IF('Flächen u. Kulturen'!O32="",0,_xlfn.NUMBERVALUE('Flächen u. Kulturen'!O32))</f>
        <v>0</v>
      </c>
      <c r="AK27" s="938">
        <f>IF('Flächen u. Kulturen'!L32="",0,VLOOKUP('Flächen u. Kulturen'!L32,Nebenkultur[[Nebenkultur]:[Legum. Zwischenfr.]],'#Zweitfr'!$P$1,FALSE))</f>
        <v>0</v>
      </c>
      <c r="AL27" s="875">
        <f>IF('Flächen u. Kulturen'!P32="",0,VLOOKUP('Flächen u. Kulturen'!P32,Kulturen[[HF]:[Berechnungsgruppe]],'#Frucht'!$Q$1,FALSE))</f>
        <v>0</v>
      </c>
      <c r="AM27" s="875">
        <f>IF('Flächen u. Kulturen'!P32="",0,VLOOKUP('Flächen u. Kulturen'!P32,Kulturen[[HF]:[Berechnungsgruppe]],'#Frucht'!$M$1,FALSE))</f>
        <v>0</v>
      </c>
      <c r="AN27" s="875">
        <f>IF('Flächen u. Kulturen'!P32="",1,VLOOKUP('Flächen u. Kulturen'!P32,Kulturen[[HF]:[Berechnungsgruppe]],'#Frucht'!$R$1,FALSE))</f>
        <v>10</v>
      </c>
      <c r="AO27" s="875">
        <f>IF('Flächen u. Kulturen'!P32="",0,VLOOKUP('Flächen u. Kulturen'!P32,Kulturen[[HF]:[Berechnungsgruppe]],'#Frucht'!$S$1,FALSE))</f>
        <v>0</v>
      </c>
      <c r="AP27" s="875">
        <f>IF('Flächen u. Kulturen'!P32="",0,VLOOKUP('Flächen u. Kulturen'!P32,Kulturen[[HF]:[Berechnungsgruppe]],'#Frucht'!$T$1,FALSE))</f>
        <v>0</v>
      </c>
      <c r="AQ27" s="938">
        <f t="shared" si="1"/>
        <v>0</v>
      </c>
      <c r="AR27" s="875">
        <f t="shared" si="2"/>
        <v>0</v>
      </c>
      <c r="AS27" s="938">
        <f t="shared" si="3"/>
        <v>0</v>
      </c>
      <c r="AT27" s="875">
        <f>IF(N27=1,'Flächen u. Kulturen'!S32*-1,"--")</f>
        <v>0</v>
      </c>
      <c r="AU27" s="938">
        <f>IF(OR(N27=2,'Flächen u. Kulturen'!I32=""),"--",IF(N27=3,VLOOKUP('Flächen u. Kulturen'!I32,'#Boden'!$B$9:$E$15,'#Boden'!$D$1,FALSE),VLOOKUP('Flächen u. Kulturen'!I32,'#Boden'!$B$9:$E$15,'#Boden'!$E$1,FALSE)))</f>
        <v>0</v>
      </c>
      <c r="AV27" s="938">
        <f>IF(N27=1,IF('Flächen u. Kulturen'!J32="",0,VLOOKUP('Flächen u. Kulturen'!J32,Kulturen[[HF]:[Berechnungsgruppe]],'#Frucht'!$U$1,FALSE)*-1),"--")</f>
        <v>0</v>
      </c>
      <c r="AW27" s="875">
        <f t="shared" si="4"/>
        <v>0</v>
      </c>
      <c r="AX27" s="875">
        <f>IF('Flächen u. Kulturen'!K32="",0,'Flächen u. Kulturen'!K32*-0.1)</f>
        <v>0</v>
      </c>
      <c r="AY27" s="875">
        <f>IF(N27&lt;3,'#orgDung'!AC36*0.1*-1,"--")</f>
        <v>0</v>
      </c>
      <c r="AZ27" s="31" t="str">
        <f>IF(AND('#orgDung'!J36&lt;&gt;2,'#orgDung'!F36=1),('#orgDung'!V36+'#minDung'!O33)*-1,"--")</f>
        <v>--</v>
      </c>
      <c r="BA27" s="875">
        <f t="shared" si="22"/>
        <v>0</v>
      </c>
      <c r="BB27" s="938">
        <f>IF(R27=2,0,'Flächen u. Kulturen'!V32*-1)</f>
        <v>0</v>
      </c>
      <c r="BC27" s="875">
        <f t="shared" si="23"/>
        <v>0</v>
      </c>
      <c r="BD27" s="127">
        <f>'#orgDung'!W36*-1</f>
        <v>0</v>
      </c>
      <c r="BE27" s="910">
        <f>'#orgDung'!AA36*-1</f>
        <v>0</v>
      </c>
      <c r="BF27" s="875">
        <f>'#orgDung'!Z36*-1</f>
        <v>0</v>
      </c>
      <c r="BG27" s="938">
        <f t="shared" si="14"/>
        <v>0</v>
      </c>
      <c r="BH27" s="875">
        <f>'#Kürzungen'!AS51*-1</f>
        <v>0</v>
      </c>
      <c r="BI27" s="875">
        <f t="shared" si="5"/>
        <v>0</v>
      </c>
      <c r="BJ27" s="910">
        <f t="shared" si="6"/>
        <v>0</v>
      </c>
      <c r="BK27" s="875">
        <f>'#minDung'!P33</f>
        <v>0</v>
      </c>
      <c r="BL27" s="938">
        <f t="shared" si="15"/>
        <v>0</v>
      </c>
      <c r="BM27" s="938">
        <f t="shared" si="7"/>
        <v>0</v>
      </c>
      <c r="BN27" s="875">
        <f>IF('Flächen u. Kulturen'!P32="",0,VLOOKUP('Flächen u. Kulturen'!P32,Kulturen[[HF]:[Berechnungsgruppe]],'#Frucht'!$K$1,FALSE))</f>
        <v>0</v>
      </c>
      <c r="BO27" s="875">
        <f>IF('Flächen u. Kulturen'!P32="",0,VLOOKUP('Flächen u. Kulturen'!P32,Kulturen[[HF]:[Berechnungsgruppe]],'#Frucht'!$L$1,FALSE))</f>
        <v>0</v>
      </c>
      <c r="BP27" s="875">
        <f>IF('Flächen u. Kulturen'!L32="",0,VLOOKUP('Flächen u. Kulturen'!L32,Nebenkultur[[Nebenkultur]:[Legum. Zwischenfr.]],'#Zweitfr'!$H$1,FALSE))</f>
        <v>0</v>
      </c>
      <c r="BQ27" s="938">
        <f>IF(N27=3,W27*BO27,IF('Flächen u. Kulturen'!T32='#Boden'!$B$32,V27*BN27,V27*BO27))</f>
        <v>0</v>
      </c>
      <c r="BR27" s="938">
        <f t="shared" si="8"/>
        <v>0</v>
      </c>
      <c r="BS27" s="875">
        <f t="shared" si="24"/>
        <v>0</v>
      </c>
      <c r="BT27" s="875">
        <f>IF('Flächen u. Kulturen'!F32="",0,IF(N27=3,VLOOKUP('Flächen u. Kulturen'!F32,'#Boden'!$G$4:$J$8,'#Boden'!$J$1,FALSE),VLOOKUP('Flächen u. Kulturen'!F32,'#Boden'!$G$4:$J$8,'#Boden'!$I$1,FALSE)))</f>
        <v>0</v>
      </c>
      <c r="BU27" s="41">
        <f t="shared" si="25"/>
        <v>0</v>
      </c>
      <c r="BV27" s="875">
        <f t="shared" si="26"/>
        <v>0</v>
      </c>
      <c r="BW27" s="938" t="str">
        <f t="shared" si="16"/>
        <v/>
      </c>
      <c r="BX27" s="875">
        <f>'#orgDung'!T36*-1</f>
        <v>0</v>
      </c>
      <c r="BY27" s="875">
        <f t="shared" si="17"/>
        <v>0</v>
      </c>
      <c r="BZ27" s="938" t="str">
        <f>IF(U27&lt;&gt;"x",0,IF(P27&lt;4,"",(BW27+BX27-'#minDung'!N33)*-1))</f>
        <v/>
      </c>
      <c r="CB27" s="938">
        <f>IF(AND(AF27=70,U27="x"),'Flächen u. Kulturen'!A32,1000)</f>
        <v>1000</v>
      </c>
      <c r="CC27" s="875" t="str">
        <f>IF(AF27=70,VLOOKUP('Flächen u. Kulturen'!L32,Nebenkultur[[Nebenkultur]:[Legum. Zwischenfr.]],'#Zweitfr'!$I$1,FALSE),"--")</f>
        <v>--</v>
      </c>
      <c r="CD27" s="875" t="str">
        <f>IF(AF27=70,VLOOKUP('Flächen u. Kulturen'!L32,Nebenkultur[[Nebenkultur]:[Legum. Zwischenfr.]],'#Zweitfr'!$L$1,FALSE),"--")</f>
        <v>--</v>
      </c>
      <c r="CE27" s="875" t="str">
        <f>IF(AF27=70,VLOOKUP('Flächen u. Kulturen'!L32,Nebenkultur[[Nebenkultur]:[Legum. Zwischenfr.]],'#Zweitfr'!$M$1,FALSE),"--")</f>
        <v>--</v>
      </c>
      <c r="CF27" s="875" t="str">
        <f>IF(AF27=70,VLOOKUP('Flächen u. Kulturen'!L32,Nebenkultur[[Nebenkultur]:[Legum. Zwischenfr.]],'#Zweitfr'!$N$1,FALSE),"--")</f>
        <v>--</v>
      </c>
      <c r="CG27" s="875" t="str">
        <f>IF(AF27=70,VLOOKUP('Flächen u. Kulturen'!L32,Nebenkultur[[Nebenkultur]:[Legum. Zwischenfr.]],'#Zweitfr'!$O$1,FALSE),"--")</f>
        <v>--</v>
      </c>
      <c r="CH27" s="875" t="str">
        <f t="shared" si="9"/>
        <v>--</v>
      </c>
      <c r="CI27" s="938">
        <f>IF('Flächen u. Kulturen'!L32="",0,VLOOKUP('Flächen u. Kulturen'!L32,Nebenkultur[[Nebenkultur]:[Legum. Zwischenfr.]],'#Zweitfr'!$J$1,FALSE))</f>
        <v>0</v>
      </c>
      <c r="CJ27" s="875">
        <f t="shared" si="10"/>
        <v>0</v>
      </c>
      <c r="CK27" s="890">
        <f t="shared" si="11"/>
        <v>0</v>
      </c>
      <c r="CL27" s="938">
        <f>IF(AND(R27=1,AF27=70),'Flächen u. Kulturen'!W32*-1,0)</f>
        <v>0</v>
      </c>
      <c r="CM27" s="875">
        <f>'#orgDung'!AE36*-1</f>
        <v>0</v>
      </c>
      <c r="CN27" s="875">
        <f t="shared" si="27"/>
        <v>0</v>
      </c>
      <c r="CO27" s="875">
        <f t="shared" si="28"/>
        <v>0</v>
      </c>
      <c r="CP27" s="875">
        <f>'#Kürzungen'!AS152*-1</f>
        <v>0</v>
      </c>
      <c r="CQ27" s="875">
        <f t="shared" si="29"/>
        <v>0</v>
      </c>
      <c r="CR27" s="875">
        <f t="shared" si="30"/>
        <v>0</v>
      </c>
      <c r="CS27" s="875">
        <f>'#minDung'!R33</f>
        <v>0</v>
      </c>
      <c r="CT27" s="938">
        <f t="shared" si="18"/>
        <v>0</v>
      </c>
      <c r="CU27" s="52" t="str">
        <f>'#Kürzungen'!AQ152</f>
        <v xml:space="preserve"> </v>
      </c>
      <c r="CW27" s="247">
        <f>IF('Flächen u. Kulturen'!D32="",0,IF(ISNUMBER('Flächen u. Kulturen'!D32)=TRUE,2,1))</f>
        <v>0</v>
      </c>
      <c r="CX27" s="247">
        <f>IF('Flächen u. Kulturen'!E32="",0,COUNTIF('#Boden'!$B$47,'Flächen u. Kulturen'!E32)+1)</f>
        <v>2</v>
      </c>
      <c r="CY27" s="247">
        <f>IF('Flächen u. Kulturen'!F32="",0,COUNTIF('#Boden'!$G$4:$G$8,'Flächen u. Kulturen'!F32)+1)</f>
        <v>2</v>
      </c>
      <c r="CZ27" s="247">
        <f>IF('Flächen u. Kulturen'!G32="",0,COUNTIF('#Boden'!$B$26:$B$29,'Flächen u. Kulturen'!G32)+1)</f>
        <v>2</v>
      </c>
      <c r="DA27" s="247">
        <f>IF('Flächen u. Kulturen'!H32="",0,COUNTIF('#Boden'!$B$26:$B$29,'Flächen u. Kulturen'!H32)+1)</f>
        <v>2</v>
      </c>
      <c r="DB27" s="247">
        <f>IF('Flächen u. Kulturen'!I32="",0,COUNTIF('#Boden'!$B$9:$B$15,'Flächen u. Kulturen'!I32)+1)</f>
        <v>2</v>
      </c>
      <c r="DC27" s="247">
        <f>IF('Flächen u. Kulturen'!J32="",0,COUNTIF(Kulturen[HF],'Flächen u. Kulturen'!J32)+1)</f>
        <v>2</v>
      </c>
      <c r="DD27" s="247">
        <f>IF('Flächen u. Kulturen'!L32="",0,COUNTIF(Nebenkultur[Nebenkultur],'Flächen u. Kulturen'!L32)+1)</f>
        <v>2</v>
      </c>
      <c r="DE27" s="247">
        <f>IF('Flächen u. Kulturen'!M32="",0,COUNTIF('#Boden'!$G$17:$G$21,'Flächen u. Kulturen'!M32)+1)</f>
        <v>2</v>
      </c>
      <c r="DF27" s="247">
        <f>IF('Flächen u. Kulturen'!N32="",0,COUNTIF('#Boden'!$G$22:$G$24,'Flächen u. Kulturen'!N32)+1)</f>
        <v>2</v>
      </c>
      <c r="DG27" s="247">
        <f>IF('Flächen u. Kulturen'!P32="",0,COUNTIF(Kulturen[HF],'Flächen u. Kulturen'!P32)+1)</f>
        <v>2</v>
      </c>
      <c r="DH27" s="247">
        <f>IF('Flächen u. Kulturen'!T32="",0,COUNTIF('#Boden'!$B$30:$B$32,'Flächen u. Kulturen'!T32)+1)</f>
        <v>2</v>
      </c>
      <c r="DI27" s="247">
        <f>IF('Flächen u. Kulturen'!K32="",0,IF(ISNUMBER('Flächen u. Kulturen'!K32)=TRUE,2,1))</f>
        <v>0</v>
      </c>
      <c r="DJ27" s="247">
        <f>IF('Flächen u. Kulturen'!U32="",0,IF(ISNUMBER('Flächen u. Kulturen'!U32)=TRUE,2,1))</f>
        <v>0</v>
      </c>
      <c r="DK27" s="247">
        <f>IF('Flächen u. Kulturen'!V32="",0,IF(ISNUMBER('Flächen u. Kulturen'!V32)=TRUE,2,1))</f>
        <v>0</v>
      </c>
      <c r="DL27" s="247">
        <f>IF('Flächen u. Kulturen'!W32="",0,IF(ISNUMBER('Flächen u. Kulturen'!W32)=TRUE,2,1))</f>
        <v>0</v>
      </c>
      <c r="DM27" s="247">
        <f t="shared" si="31"/>
        <v>0</v>
      </c>
      <c r="DN27" s="247" t="s">
        <v>344</v>
      </c>
      <c r="DO27" s="247">
        <f>IF(U27&lt;&gt;"x","",IF(OR('Flächen u. Kulturen'!B32="",'Flächen u. Kulturen'!C32="",'Flächen u. Kulturen'!D32="",'Flächen u. Kulturen'!D32=0,'Flächen u. Kulturen'!F32="",'Flächen u. Kulturen'!F32='#Boden'!$G$4,'Flächen u. Kulturen'!G32="",'Flächen u. Kulturen'!G32='#Boden'!$B$26,'Flächen u. Kulturen'!H32="",'Flächen u. Kulturen'!H32='#Boden'!$B$23,AND(N27&lt;&gt;2,OR('Flächen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Kulturen'!Q32="",'#BerechnungDBE'!N27&lt;3),AND('Flächen u. Kulturen'!R32="",'#BerechnungDBE'!N27=3),AND(N27=1,AL27&gt;0,'Flächen u. Kulturen'!S32=""),AND(N27=1,OR('Flächen u. Kulturen'!T32="",'Flächen u. Kulturen'!T32='#Boden'!$B$30)),AND('#BerechnungDBE'!AF27=70,OR('Flächen u. Kulturen'!N32="",'Flächen u. Kulturen'!N32='#Boden'!$G$22,'Flächen u. Kulturen'!O32="")),AND('#BerechnungDBE'!AF27=80,OR('Flächen u. Kulturen'!M32="",'Flächen u. Kulturen'!M32='#Boden'!$G$17,'Flächen u. Kulturen'!N32="",'Flächen u. Kulturen'!N32='#Boden'!$G$22))),$DO$4,""))</f>
        <v>1</v>
      </c>
      <c r="DP27" s="247" t="str">
        <f>IF(U27&lt;&gt;"x","",IF(OR(LEFT('Flächen u. Kulturen'!J32,2)=" +",LEFT('Flächen u. Kulturen'!L32,2)=" +",LEFT('Flächen u. Kulturen'!P32,2)=" +"),$DP$4,""))</f>
        <v/>
      </c>
      <c r="DQ27" s="428" t="str">
        <f t="shared" si="12"/>
        <v/>
      </c>
      <c r="DR27" s="938" t="str">
        <f t="shared" si="13"/>
        <v/>
      </c>
      <c r="DS27" s="938" t="str">
        <f>IF('Flächen u. Kulturen'!X32="","",ROW('Flächen u. Kulturen'!X32))</f>
        <v/>
      </c>
    </row>
    <row r="28" spans="1:123" s="875" customFormat="1" x14ac:dyDescent="0.2">
      <c r="A28" s="875" t="str">
        <f>IF('Daten aus 2021'!H30="",'#Boden'!$B$26,IF('Daten aus 2021'!H30='#Boden'!$B$39,IF('Daten aus 2021'!F30='#Boden'!$B$29,'#Boden'!$B$29,IF('Daten aus 2021'!K30='#Boden'!$B$34,'#Boden'!$B$28,'#Boden'!$B$27)),'Daten aus 2021'!F30))</f>
        <v xml:space="preserve"> --</v>
      </c>
      <c r="B28" s="875" t="str">
        <f>IF('Daten aus 2021'!H30='#Boden'!$B$39,IF('Daten aus 2021'!L30='#Boden'!$B$61,'#Boden'!$B$11,'Daten aus 2021'!L30),IF('Daten aus 2021'!P30='#Boden'!$B$58,'#Boden'!$B$11,IF('Daten aus 2021'!P30='#Boden'!$B$57,'#Boden'!$B$10,'#Boden'!$B$9)))</f>
        <v xml:space="preserve"> --         </v>
      </c>
      <c r="C28" s="875" t="str">
        <f>IF('Daten aus 2021'!N30="","",VLOOKUP('Daten aus 2021'!N30,'#Boden'!$B$68:$C$89,2,FALSE))</f>
        <v/>
      </c>
      <c r="D28" s="875" t="str">
        <f>IF('Daten aus 2021'!M30="","",VLOOKUP('Daten aus 2021'!M30,'#Boden'!$D$69:$E$73,2,FALSE))</f>
        <v/>
      </c>
      <c r="E28" s="938" t="str">
        <f>IF(OR(C28='#Boden'!$C$68,C28='#Boden'!$C$70),C28,CONCATENATE(C28,D28))</f>
        <v/>
      </c>
      <c r="F28" s="882" t="str">
        <f>IFERROR(IF('Daten aus 2021'!H30="",'#Frucht'!$D$8,IF('Daten aus 2021'!H30='#Boden'!$B$39,E28,IF('Daten aus 2021'!H30='#Boden'!$B$38,IF(CONCATENATE(" ",'Daten aus 2021'!W30)=$B$2,VLOOKUP($B$3,'#Frucht'!$A$8:$D$372,4,FALSE),VLOOKUP(CONCATENATE(" ",'Daten aus 2021'!W30),'#Frucht'!$A$8:$D$372,4,FALSE)),IF(OR(LEFT('Daten aus 2021'!Q30,5)=" *10 ",LEFT('Daten aus 2021'!Q30,5)=" *11 ",LEFT('Daten aus 2021'!Q30,5)=" *12 ",LEFT('Daten aus 2021'!Q30,5)=" *13 ",LEFT('Daten aus 2021'!Q30,5)=" *14 ",LEFT('Daten aus 2021'!Q30,5)=" *15 "),VLOOKUP(RIGHT('Daten aus 2021'!Q30,LEN('Daten aus 2021'!Q30)-4),'#Frucht'!$A$8:$D$372,4,FALSE),IF(LEFT('Daten aus 2021'!Q30,2)=" *",VLOOKUP(RIGHT('Daten aus 2021'!Q30,LEN('Daten aus 2021'!Q30)-3),'#Frucht'!$A$8:$D$372,4,FALSE),VLOOKUP('Daten aus 2021'!Q30,'#Frucht'!$A$8:$D$372,4,FALSE)))))),'#Frucht'!$D$8)</f>
        <v xml:space="preserve"> --  </v>
      </c>
      <c r="G28" s="127"/>
      <c r="H28" s="31"/>
      <c r="J28" s="938" t="str">
        <f>IF(OR(N28=3,$K$3=0,'Flächen u. Kulturen'!P33=""),"",IF(VLOOKUP('Flächen u. Kulturen'!P33,Kulturen[[HF]:[780]],'#BerechnungDBE'!$K$3,FALSE)=".","",VLOOKUP('Flächen u. Kulturen'!P33,Kulturen[[HF]:[780]],'#BerechnungDBE'!$K$3,FALSE)))</f>
        <v/>
      </c>
      <c r="K28" s="938" t="str">
        <f>IF(OR($K$3=0,'Flächen u. Kulturen'!P33=""),"",IF(N28=3,IF(VLOOKUP('Flächen u. Kulturen'!P33,Kulturen[[HF]:[780]],'#BerechnungDBE'!$K$3,FALSE)=".","",VLOOKUP('Flächen u. Kulturen'!P33,Kulturen[[HF]:[780]],'#BerechnungDBE'!$K$3,FALSE)),""))</f>
        <v/>
      </c>
      <c r="L28" s="367">
        <f>IF('Flächen u. Kulturen'!D33="",0,'Flächen u. Kulturen'!D33)</f>
        <v>0</v>
      </c>
      <c r="M28" s="693">
        <f>IF('Flächen u. Kulturen'!J33="",0,VLOOKUP('Flächen u. Kulturen'!J33,Kulturen[[HF]:[Berechnungsgruppe]],'#Frucht'!$W$1,FALSE))</f>
        <v>1</v>
      </c>
      <c r="N28" s="693">
        <f>IF('Flächen u. Kulturen'!P33="",0,VLOOKUP('Flächen u. Kulturen'!P33,Kulturen[[HF]:[Berechnungsgruppe]],'#Frucht'!$W$1,FALSE))</f>
        <v>1</v>
      </c>
      <c r="O28" s="875">
        <f>IF(N28&lt;&gt;2,N28,IF('Flächen u. Kulturen'!J33='Flächen u. Kulturen'!P33,2,1))</f>
        <v>1</v>
      </c>
      <c r="P28" s="875">
        <f>IF('Flächen u. Kulturen'!F33="",0,VLOOKUP('Flächen u. Kulturen'!F33,'#Boden'!$G$4:$H$8,'#Boden'!$H$1,FALSE))</f>
        <v>1</v>
      </c>
      <c r="Q28" s="875">
        <f>IF('Flächen u. Kulturen'!G33="",0,VLOOKUP('Flächen u. Kulturen'!G33,'#Boden'!$B$26:$C$29,'#Boden'!$C$1,FALSE))</f>
        <v>1</v>
      </c>
      <c r="R28" s="875">
        <f t="shared" si="19"/>
        <v>1</v>
      </c>
      <c r="S28" s="875">
        <f t="shared" si="20"/>
        <v>1</v>
      </c>
      <c r="T28" s="875">
        <f>IF('Flächen u. Kulturen'!H33="",0,VLOOKUP('Flächen u. Kulturen'!H33,'#Boden'!$B$23:$C$25,'#Boden'!$C$1,FALSE))</f>
        <v>2</v>
      </c>
      <c r="U28" s="875" t="str">
        <f>'Flächen u. Kulturen'!E33</f>
        <v>x</v>
      </c>
      <c r="V28" s="938">
        <f>IF('Flächen u. Kulturen'!Q33="",0,_xlfn.NUMBERVALUE('Flächen u. Kulturen'!Q33))</f>
        <v>0</v>
      </c>
      <c r="W28" s="938">
        <f>IF('Flächen u. Kulturen'!R33="",0,_xlfn.NUMBERVALUE('Flächen u. Kulturen'!R33))</f>
        <v>0</v>
      </c>
      <c r="X28" s="875">
        <f>IF('Flächen u. Kulturen'!T33="",0,VLOOKUP('Flächen u. Kulturen'!T33,'#Boden'!$B$30:$C$32,'#Boden'!$C$1,FALSE))</f>
        <v>1</v>
      </c>
      <c r="Y28" s="875">
        <f>IF('Flächen u. Kulturen'!P33="",0,VLOOKUP('Flächen u. Kulturen'!P33,Kulturen[[HF]:[Berechnungsgruppe]],'#Frucht'!$N$1,FALSE))</f>
        <v>0</v>
      </c>
      <c r="Z28" s="875">
        <f t="shared" si="21"/>
        <v>2</v>
      </c>
      <c r="AA28" s="875">
        <f>IF('Flächen u. Kulturen'!P33="",0,VLOOKUP('Flächen u. Kulturen'!P33,Kulturen[[HF]:[Berechnungsgruppe]],'#Frucht'!$V$1,FALSE))</f>
        <v>0</v>
      </c>
      <c r="AB28" s="875">
        <f>IF(N28=1,VLOOKUP('Flächen u. Kulturen'!P33,Kulturen[[HF]:[Ernteprodukt]],'#Frucht'!$I$1,FALSE),4)</f>
        <v>4</v>
      </c>
      <c r="AC28" s="921">
        <f>IF('Flächen u. Kulturen'!J33="",0,VLOOKUP('Flächen u. Kulturen'!J33,Kulturen[[HF]:[Berechnungsgruppe]],'#Frucht'!$G$1,FALSE))</f>
        <v>90</v>
      </c>
      <c r="AD28" s="921">
        <f>IF('Flächen u. Kulturen'!P33="",0,VLOOKUP('Flächen u. Kulturen'!P33,Kulturen[[HF]:[Berechnungsgruppe]],'#Frucht'!$G$1,FALSE))</f>
        <v>90</v>
      </c>
      <c r="AE28" s="938">
        <f>IF('Flächen u. Kulturen'!P33="",0,VLOOKUP('Flächen u. Kulturen'!P33,Kulturen[[HF]:[SollwertMinusNfix]],'#Frucht'!$X$1,FALSE))</f>
        <v>0</v>
      </c>
      <c r="AF28" s="875">
        <f>IF('Flächen u. Kulturen'!L33="",0,VLOOKUP('Flächen u. Kulturen'!L33,Nebenkultur[[Nebenkultur]:[Berechnungsschema]],'#Zweitfr'!$G$1,FALSE))</f>
        <v>0</v>
      </c>
      <c r="AG28" s="875">
        <f>IF('Flächen u. Kulturen'!L33="",0,VLOOKUP('Flächen u. Kulturen'!L33,'#Zweitfr'!$D$8:$Q$27,'#Zweitfr'!$Q$1,FALSE))</f>
        <v>0</v>
      </c>
      <c r="AH28" s="875">
        <f>IF('Flächen u. Kulturen'!M33="",0,VLOOKUP('Flächen u. Kulturen'!M33,'#Boden'!$G$17:$H$21,2,FALSE))</f>
        <v>1</v>
      </c>
      <c r="AI28" s="875">
        <f>IF('Flächen u. Kulturen'!N33="",0,VLOOKUP('Flächen u. Kulturen'!N33,'#Boden'!$G$22:$H$24,'#Boden'!$H$1,FALSE))</f>
        <v>1</v>
      </c>
      <c r="AJ28" s="938">
        <f>IF('Flächen u. Kulturen'!O33="",0,_xlfn.NUMBERVALUE('Flächen u. Kulturen'!O33))</f>
        <v>0</v>
      </c>
      <c r="AK28" s="938">
        <f>IF('Flächen u. Kulturen'!L33="",0,VLOOKUP('Flächen u. Kulturen'!L33,Nebenkultur[[Nebenkultur]:[Legum. Zwischenfr.]],'#Zweitfr'!$P$1,FALSE))</f>
        <v>0</v>
      </c>
      <c r="AL28" s="875">
        <f>IF('Flächen u. Kulturen'!P33="",0,VLOOKUP('Flächen u. Kulturen'!P33,Kulturen[[HF]:[Berechnungsgruppe]],'#Frucht'!$Q$1,FALSE))</f>
        <v>0</v>
      </c>
      <c r="AM28" s="875">
        <f>IF('Flächen u. Kulturen'!P33="",0,VLOOKUP('Flächen u. Kulturen'!P33,Kulturen[[HF]:[Berechnungsgruppe]],'#Frucht'!$M$1,FALSE))</f>
        <v>0</v>
      </c>
      <c r="AN28" s="875">
        <f>IF('Flächen u. Kulturen'!P33="",1,VLOOKUP('Flächen u. Kulturen'!P33,Kulturen[[HF]:[Berechnungsgruppe]],'#Frucht'!$R$1,FALSE))</f>
        <v>10</v>
      </c>
      <c r="AO28" s="875">
        <f>IF('Flächen u. Kulturen'!P33="",0,VLOOKUP('Flächen u. Kulturen'!P33,Kulturen[[HF]:[Berechnungsgruppe]],'#Frucht'!$S$1,FALSE))</f>
        <v>0</v>
      </c>
      <c r="AP28" s="875">
        <f>IF('Flächen u. Kulturen'!P33="",0,VLOOKUP('Flächen u. Kulturen'!P33,Kulturen[[HF]:[Berechnungsgruppe]],'#Frucht'!$T$1,FALSE))</f>
        <v>0</v>
      </c>
      <c r="AQ28" s="938">
        <f t="shared" si="1"/>
        <v>0</v>
      </c>
      <c r="AR28" s="875">
        <f t="shared" si="2"/>
        <v>0</v>
      </c>
      <c r="AS28" s="938">
        <f t="shared" si="3"/>
        <v>0</v>
      </c>
      <c r="AT28" s="875">
        <f>IF(N28=1,'Flächen u. Kulturen'!S33*-1,"--")</f>
        <v>0</v>
      </c>
      <c r="AU28" s="938">
        <f>IF(OR(N28=2,'Flächen u. Kulturen'!I33=""),"--",IF(N28=3,VLOOKUP('Flächen u. Kulturen'!I33,'#Boden'!$B$9:$E$15,'#Boden'!$D$1,FALSE),VLOOKUP('Flächen u. Kulturen'!I33,'#Boden'!$B$9:$E$15,'#Boden'!$E$1,FALSE)))</f>
        <v>0</v>
      </c>
      <c r="AV28" s="938">
        <f>IF(N28=1,IF('Flächen u. Kulturen'!J33="",0,VLOOKUP('Flächen u. Kulturen'!J33,Kulturen[[HF]:[Berechnungsgruppe]],'#Frucht'!$U$1,FALSE)*-1),"--")</f>
        <v>0</v>
      </c>
      <c r="AW28" s="875">
        <f t="shared" si="4"/>
        <v>0</v>
      </c>
      <c r="AX28" s="875">
        <f>IF('Flächen u. Kulturen'!K33="",0,'Flächen u. Kulturen'!K33*-0.1)</f>
        <v>0</v>
      </c>
      <c r="AY28" s="875">
        <f>IF(N28&lt;3,'#orgDung'!AC37*0.1*-1,"--")</f>
        <v>0</v>
      </c>
      <c r="AZ28" s="31" t="str">
        <f>IF(AND('#orgDung'!J37&lt;&gt;2,'#orgDung'!F37=1),('#orgDung'!V37+'#minDung'!O34)*-1,"--")</f>
        <v>--</v>
      </c>
      <c r="BA28" s="875">
        <f t="shared" si="22"/>
        <v>0</v>
      </c>
      <c r="BB28" s="938">
        <f>IF(R28=2,0,'Flächen u. Kulturen'!V33*-1)</f>
        <v>0</v>
      </c>
      <c r="BC28" s="875">
        <f t="shared" si="23"/>
        <v>0</v>
      </c>
      <c r="BD28" s="127">
        <f>'#orgDung'!W37*-1</f>
        <v>0</v>
      </c>
      <c r="BE28" s="910">
        <f>'#orgDung'!AA37*-1</f>
        <v>0</v>
      </c>
      <c r="BF28" s="875">
        <f>'#orgDung'!Z37*-1</f>
        <v>0</v>
      </c>
      <c r="BG28" s="938">
        <f t="shared" si="14"/>
        <v>0</v>
      </c>
      <c r="BH28" s="875">
        <f>'#Kürzungen'!AS52*-1</f>
        <v>0</v>
      </c>
      <c r="BI28" s="875">
        <f t="shared" si="5"/>
        <v>0</v>
      </c>
      <c r="BJ28" s="910">
        <f t="shared" si="6"/>
        <v>0</v>
      </c>
      <c r="BK28" s="875">
        <f>'#minDung'!P34</f>
        <v>0</v>
      </c>
      <c r="BL28" s="938">
        <f t="shared" si="15"/>
        <v>0</v>
      </c>
      <c r="BM28" s="938">
        <f t="shared" si="7"/>
        <v>0</v>
      </c>
      <c r="BN28" s="875">
        <f>IF('Flächen u. Kulturen'!P33="",0,VLOOKUP('Flächen u. Kulturen'!P33,Kulturen[[HF]:[Berechnungsgruppe]],'#Frucht'!$K$1,FALSE))</f>
        <v>0</v>
      </c>
      <c r="BO28" s="875">
        <f>IF('Flächen u. Kulturen'!P33="",0,VLOOKUP('Flächen u. Kulturen'!P33,Kulturen[[HF]:[Berechnungsgruppe]],'#Frucht'!$L$1,FALSE))</f>
        <v>0</v>
      </c>
      <c r="BP28" s="875">
        <f>IF('Flächen u. Kulturen'!L33="",0,VLOOKUP('Flächen u. Kulturen'!L33,Nebenkultur[[Nebenkultur]:[Legum. Zwischenfr.]],'#Zweitfr'!$H$1,FALSE))</f>
        <v>0</v>
      </c>
      <c r="BQ28" s="938">
        <f>IF(N28=3,W28*BO28,IF('Flächen u. Kulturen'!T33='#Boden'!$B$32,V28*BN28,V28*BO28))</f>
        <v>0</v>
      </c>
      <c r="BR28" s="938">
        <f t="shared" si="8"/>
        <v>0</v>
      </c>
      <c r="BS28" s="875">
        <f t="shared" si="24"/>
        <v>0</v>
      </c>
      <c r="BT28" s="875">
        <f>IF('Flächen u. Kulturen'!F33="",0,IF(N28=3,VLOOKUP('Flächen u. Kulturen'!F33,'#Boden'!$G$4:$J$8,'#Boden'!$J$1,FALSE),VLOOKUP('Flächen u. Kulturen'!F33,'#Boden'!$G$4:$J$8,'#Boden'!$I$1,FALSE)))</f>
        <v>0</v>
      </c>
      <c r="BU28" s="41">
        <f t="shared" si="25"/>
        <v>0</v>
      </c>
      <c r="BV28" s="875">
        <f t="shared" si="26"/>
        <v>0</v>
      </c>
      <c r="BW28" s="938" t="str">
        <f t="shared" si="16"/>
        <v/>
      </c>
      <c r="BX28" s="875">
        <f>'#orgDung'!T37*-1</f>
        <v>0</v>
      </c>
      <c r="BY28" s="875">
        <f t="shared" si="17"/>
        <v>0</v>
      </c>
      <c r="BZ28" s="938" t="str">
        <f>IF(U28&lt;&gt;"x",0,IF(P28&lt;4,"",(BW28+BX28-'#minDung'!N34)*-1))</f>
        <v/>
      </c>
      <c r="CB28" s="938">
        <f>IF(AND(AF28=70,U28="x"),'Flächen u. Kulturen'!A33,1000)</f>
        <v>1000</v>
      </c>
      <c r="CC28" s="875" t="str">
        <f>IF(AF28=70,VLOOKUP('Flächen u. Kulturen'!L33,Nebenkultur[[Nebenkultur]:[Legum. Zwischenfr.]],'#Zweitfr'!$I$1,FALSE),"--")</f>
        <v>--</v>
      </c>
      <c r="CD28" s="875" t="str">
        <f>IF(AF28=70,VLOOKUP('Flächen u. Kulturen'!L33,Nebenkultur[[Nebenkultur]:[Legum. Zwischenfr.]],'#Zweitfr'!$L$1,FALSE),"--")</f>
        <v>--</v>
      </c>
      <c r="CE28" s="875" t="str">
        <f>IF(AF28=70,VLOOKUP('Flächen u. Kulturen'!L33,Nebenkultur[[Nebenkultur]:[Legum. Zwischenfr.]],'#Zweitfr'!$M$1,FALSE),"--")</f>
        <v>--</v>
      </c>
      <c r="CF28" s="875" t="str">
        <f>IF(AF28=70,VLOOKUP('Flächen u. Kulturen'!L33,Nebenkultur[[Nebenkultur]:[Legum. Zwischenfr.]],'#Zweitfr'!$N$1,FALSE),"--")</f>
        <v>--</v>
      </c>
      <c r="CG28" s="875" t="str">
        <f>IF(AF28=70,VLOOKUP('Flächen u. Kulturen'!L33,Nebenkultur[[Nebenkultur]:[Legum. Zwischenfr.]],'#Zweitfr'!$O$1,FALSE),"--")</f>
        <v>--</v>
      </c>
      <c r="CH28" s="875" t="str">
        <f t="shared" si="9"/>
        <v>--</v>
      </c>
      <c r="CI28" s="938">
        <f>IF('Flächen u. Kulturen'!L33="",0,VLOOKUP('Flächen u. Kulturen'!L33,Nebenkultur[[Nebenkultur]:[Legum. Zwischenfr.]],'#Zweitfr'!$J$1,FALSE))</f>
        <v>0</v>
      </c>
      <c r="CJ28" s="875">
        <f t="shared" si="10"/>
        <v>0</v>
      </c>
      <c r="CK28" s="890">
        <f t="shared" si="11"/>
        <v>0</v>
      </c>
      <c r="CL28" s="938">
        <f>IF(AND(R28=1,AF28=70),'Flächen u. Kulturen'!W33*-1,0)</f>
        <v>0</v>
      </c>
      <c r="CM28" s="875">
        <f>'#orgDung'!AE37*-1</f>
        <v>0</v>
      </c>
      <c r="CN28" s="875">
        <f t="shared" si="27"/>
        <v>0</v>
      </c>
      <c r="CO28" s="875">
        <f t="shared" si="28"/>
        <v>0</v>
      </c>
      <c r="CP28" s="875">
        <f>'#Kürzungen'!AS153*-1</f>
        <v>0</v>
      </c>
      <c r="CQ28" s="875">
        <f t="shared" si="29"/>
        <v>0</v>
      </c>
      <c r="CR28" s="875">
        <f t="shared" si="30"/>
        <v>0</v>
      </c>
      <c r="CS28" s="875">
        <f>'#minDung'!R34</f>
        <v>0</v>
      </c>
      <c r="CT28" s="938">
        <f t="shared" si="18"/>
        <v>0</v>
      </c>
      <c r="CU28" s="52" t="str">
        <f>'#Kürzungen'!AQ153</f>
        <v xml:space="preserve"> </v>
      </c>
      <c r="CW28" s="247">
        <f>IF('Flächen u. Kulturen'!D33="",0,IF(ISNUMBER('Flächen u. Kulturen'!D33)=TRUE,2,1))</f>
        <v>0</v>
      </c>
      <c r="CX28" s="247">
        <f>IF('Flächen u. Kulturen'!E33="",0,COUNTIF('#Boden'!$B$47,'Flächen u. Kulturen'!E33)+1)</f>
        <v>2</v>
      </c>
      <c r="CY28" s="247">
        <f>IF('Flächen u. Kulturen'!F33="",0,COUNTIF('#Boden'!$G$4:$G$8,'Flächen u. Kulturen'!F33)+1)</f>
        <v>2</v>
      </c>
      <c r="CZ28" s="247">
        <f>IF('Flächen u. Kulturen'!G33="",0,COUNTIF('#Boden'!$B$26:$B$29,'Flächen u. Kulturen'!G33)+1)</f>
        <v>2</v>
      </c>
      <c r="DA28" s="247">
        <f>IF('Flächen u. Kulturen'!H33="",0,COUNTIF('#Boden'!$B$26:$B$29,'Flächen u. Kulturen'!H33)+1)</f>
        <v>2</v>
      </c>
      <c r="DB28" s="247">
        <f>IF('Flächen u. Kulturen'!I33="",0,COUNTIF('#Boden'!$B$9:$B$15,'Flächen u. Kulturen'!I33)+1)</f>
        <v>2</v>
      </c>
      <c r="DC28" s="247">
        <f>IF('Flächen u. Kulturen'!J33="",0,COUNTIF(Kulturen[HF],'Flächen u. Kulturen'!J33)+1)</f>
        <v>2</v>
      </c>
      <c r="DD28" s="247">
        <f>IF('Flächen u. Kulturen'!L33="",0,COUNTIF(Nebenkultur[Nebenkultur],'Flächen u. Kulturen'!L33)+1)</f>
        <v>2</v>
      </c>
      <c r="DE28" s="247">
        <f>IF('Flächen u. Kulturen'!M33="",0,COUNTIF('#Boden'!$G$17:$G$21,'Flächen u. Kulturen'!M33)+1)</f>
        <v>2</v>
      </c>
      <c r="DF28" s="247">
        <f>IF('Flächen u. Kulturen'!N33="",0,COUNTIF('#Boden'!$G$22:$G$24,'Flächen u. Kulturen'!N33)+1)</f>
        <v>2</v>
      </c>
      <c r="DG28" s="247">
        <f>IF('Flächen u. Kulturen'!P33="",0,COUNTIF(Kulturen[HF],'Flächen u. Kulturen'!P33)+1)</f>
        <v>2</v>
      </c>
      <c r="DH28" s="247">
        <f>IF('Flächen u. Kulturen'!T33="",0,COUNTIF('#Boden'!$B$30:$B$32,'Flächen u. Kulturen'!T33)+1)</f>
        <v>2</v>
      </c>
      <c r="DI28" s="247">
        <f>IF('Flächen u. Kulturen'!K33="",0,IF(ISNUMBER('Flächen u. Kulturen'!K33)=TRUE,2,1))</f>
        <v>0</v>
      </c>
      <c r="DJ28" s="247">
        <f>IF('Flächen u. Kulturen'!U33="",0,IF(ISNUMBER('Flächen u. Kulturen'!U33)=TRUE,2,1))</f>
        <v>0</v>
      </c>
      <c r="DK28" s="247">
        <f>IF('Flächen u. Kulturen'!V33="",0,IF(ISNUMBER('Flächen u. Kulturen'!V33)=TRUE,2,1))</f>
        <v>0</v>
      </c>
      <c r="DL28" s="247">
        <f>IF('Flächen u. Kulturen'!W33="",0,IF(ISNUMBER('Flächen u. Kulturen'!W33)=TRUE,2,1))</f>
        <v>0</v>
      </c>
      <c r="DM28" s="247">
        <f t="shared" si="31"/>
        <v>0</v>
      </c>
      <c r="DN28" s="247" t="s">
        <v>344</v>
      </c>
      <c r="DO28" s="247">
        <f>IF(U28&lt;&gt;"x","",IF(OR('Flächen u. Kulturen'!B33="",'Flächen u. Kulturen'!C33="",'Flächen u. Kulturen'!D33="",'Flächen u. Kulturen'!D33=0,'Flächen u. Kulturen'!F33="",'Flächen u. Kulturen'!F33='#Boden'!$G$4,'Flächen u. Kulturen'!G33="",'Flächen u. Kulturen'!G33='#Boden'!$B$26,'Flächen u. Kulturen'!H33="",'Flächen u. Kulturen'!H33='#Boden'!$B$23,AND(N28&lt;&gt;2,OR('Flächen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Kulturen'!Q33="",'#BerechnungDBE'!N28&lt;3),AND('Flächen u. Kulturen'!R33="",'#BerechnungDBE'!N28=3),AND(N28=1,AL28&gt;0,'Flächen u. Kulturen'!S33=""),AND(N28=1,OR('Flächen u. Kulturen'!T33="",'Flächen u. Kulturen'!T33='#Boden'!$B$30)),AND('#BerechnungDBE'!AF28=70,OR('Flächen u. Kulturen'!N33="",'Flächen u. Kulturen'!N33='#Boden'!$G$22,'Flächen u. Kulturen'!O33="")),AND('#BerechnungDBE'!AF28=80,OR('Flächen u. Kulturen'!M33="",'Flächen u. Kulturen'!M33='#Boden'!$G$17,'Flächen u. Kulturen'!N33="",'Flächen u. Kulturen'!N33='#Boden'!$G$22))),$DO$4,""))</f>
        <v>1</v>
      </c>
      <c r="DP28" s="247" t="str">
        <f>IF(U28&lt;&gt;"x","",IF(OR(LEFT('Flächen u. Kulturen'!J33,2)=" +",LEFT('Flächen u. Kulturen'!L33,2)=" +",LEFT('Flächen u. Kulturen'!P33,2)=" +"),$DP$4,""))</f>
        <v/>
      </c>
      <c r="DQ28" s="428" t="str">
        <f t="shared" si="12"/>
        <v/>
      </c>
      <c r="DR28" s="938" t="str">
        <f t="shared" si="13"/>
        <v/>
      </c>
      <c r="DS28" s="938" t="str">
        <f>IF('Flächen u. Kulturen'!X33="","",ROW('Flächen u. Kulturen'!X33))</f>
        <v/>
      </c>
    </row>
    <row r="29" spans="1:123" s="875" customFormat="1" x14ac:dyDescent="0.2">
      <c r="A29" s="875" t="str">
        <f>IF('Daten aus 2021'!H31="",'#Boden'!$B$26,IF('Daten aus 2021'!H31='#Boden'!$B$39,IF('Daten aus 2021'!F31='#Boden'!$B$29,'#Boden'!$B$29,IF('Daten aus 2021'!K31='#Boden'!$B$34,'#Boden'!$B$28,'#Boden'!$B$27)),'Daten aus 2021'!F31))</f>
        <v xml:space="preserve"> --</v>
      </c>
      <c r="B29" s="875" t="str">
        <f>IF('Daten aus 2021'!H31='#Boden'!$B$39,IF('Daten aus 2021'!L31='#Boden'!$B$61,'#Boden'!$B$11,'Daten aus 2021'!L31),IF('Daten aus 2021'!P31='#Boden'!$B$58,'#Boden'!$B$11,IF('Daten aus 2021'!P31='#Boden'!$B$57,'#Boden'!$B$10,'#Boden'!$B$9)))</f>
        <v xml:space="preserve"> --         </v>
      </c>
      <c r="C29" s="875" t="str">
        <f>IF('Daten aus 2021'!N31="","",VLOOKUP('Daten aus 2021'!N31,'#Boden'!$B$68:$C$89,2,FALSE))</f>
        <v/>
      </c>
      <c r="D29" s="875" t="str">
        <f>IF('Daten aus 2021'!M31="","",VLOOKUP('Daten aus 2021'!M31,'#Boden'!$D$69:$E$73,2,FALSE))</f>
        <v/>
      </c>
      <c r="E29" s="938" t="str">
        <f>IF(OR(C29='#Boden'!$C$68,C29='#Boden'!$C$70),C29,CONCATENATE(C29,D29))</f>
        <v/>
      </c>
      <c r="F29" s="882" t="str">
        <f>IFERROR(IF('Daten aus 2021'!H31="",'#Frucht'!$D$8,IF('Daten aus 2021'!H31='#Boden'!$B$39,E29,IF('Daten aus 2021'!H31='#Boden'!$B$38,IF(CONCATENATE(" ",'Daten aus 2021'!W31)=$B$2,VLOOKUP($B$3,'#Frucht'!$A$8:$D$372,4,FALSE),VLOOKUP(CONCATENATE(" ",'Daten aus 2021'!W31),'#Frucht'!$A$8:$D$372,4,FALSE)),IF(OR(LEFT('Daten aus 2021'!Q31,5)=" *10 ",LEFT('Daten aus 2021'!Q31,5)=" *11 ",LEFT('Daten aus 2021'!Q31,5)=" *12 ",LEFT('Daten aus 2021'!Q31,5)=" *13 ",LEFT('Daten aus 2021'!Q31,5)=" *14 ",LEFT('Daten aus 2021'!Q31,5)=" *15 "),VLOOKUP(RIGHT('Daten aus 2021'!Q31,LEN('Daten aus 2021'!Q31)-4),'#Frucht'!$A$8:$D$372,4,FALSE),IF(LEFT('Daten aus 2021'!Q31,2)=" *",VLOOKUP(RIGHT('Daten aus 2021'!Q31,LEN('Daten aus 2021'!Q31)-3),'#Frucht'!$A$8:$D$372,4,FALSE),VLOOKUP('Daten aus 2021'!Q31,'#Frucht'!$A$8:$D$372,4,FALSE)))))),'#Frucht'!$D$8)</f>
        <v xml:space="preserve"> --  </v>
      </c>
      <c r="G29" s="127"/>
      <c r="H29" s="31"/>
      <c r="J29" s="938" t="str">
        <f>IF(OR(N29=3,$K$3=0,'Flächen u. Kulturen'!P34=""),"",IF(VLOOKUP('Flächen u. Kulturen'!P34,Kulturen[[HF]:[780]],'#BerechnungDBE'!$K$3,FALSE)=".","",VLOOKUP('Flächen u. Kulturen'!P34,Kulturen[[HF]:[780]],'#BerechnungDBE'!$K$3,FALSE)))</f>
        <v/>
      </c>
      <c r="K29" s="938" t="str">
        <f>IF(OR($K$3=0,'Flächen u. Kulturen'!P34=""),"",IF(N29=3,IF(VLOOKUP('Flächen u. Kulturen'!P34,Kulturen[[HF]:[780]],'#BerechnungDBE'!$K$3,FALSE)=".","",VLOOKUP('Flächen u. Kulturen'!P34,Kulturen[[HF]:[780]],'#BerechnungDBE'!$K$3,FALSE)),""))</f>
        <v/>
      </c>
      <c r="L29" s="367">
        <f>IF('Flächen u. Kulturen'!D34="",0,'Flächen u. Kulturen'!D34)</f>
        <v>0</v>
      </c>
      <c r="M29" s="693">
        <f>IF('Flächen u. Kulturen'!J34="",0,VLOOKUP('Flächen u. Kulturen'!J34,Kulturen[[HF]:[Berechnungsgruppe]],'#Frucht'!$W$1,FALSE))</f>
        <v>1</v>
      </c>
      <c r="N29" s="693">
        <f>IF('Flächen u. Kulturen'!P34="",0,VLOOKUP('Flächen u. Kulturen'!P34,Kulturen[[HF]:[Berechnungsgruppe]],'#Frucht'!$W$1,FALSE))</f>
        <v>1</v>
      </c>
      <c r="O29" s="875">
        <f>IF(N29&lt;&gt;2,N29,IF('Flächen u. Kulturen'!J34='Flächen u. Kulturen'!P34,2,1))</f>
        <v>1</v>
      </c>
      <c r="P29" s="875">
        <f>IF('Flächen u. Kulturen'!F34="",0,VLOOKUP('Flächen u. Kulturen'!F34,'#Boden'!$G$4:$H$8,'#Boden'!$H$1,FALSE))</f>
        <v>1</v>
      </c>
      <c r="Q29" s="875">
        <f>IF('Flächen u. Kulturen'!G34="",0,VLOOKUP('Flächen u. Kulturen'!G34,'#Boden'!$B$26:$C$29,'#Boden'!$C$1,FALSE))</f>
        <v>1</v>
      </c>
      <c r="R29" s="875">
        <f t="shared" si="19"/>
        <v>1</v>
      </c>
      <c r="S29" s="875">
        <f t="shared" si="20"/>
        <v>1</v>
      </c>
      <c r="T29" s="875">
        <f>IF('Flächen u. Kulturen'!H34="",0,VLOOKUP('Flächen u. Kulturen'!H34,'#Boden'!$B$23:$C$25,'#Boden'!$C$1,FALSE))</f>
        <v>2</v>
      </c>
      <c r="U29" s="875" t="str">
        <f>'Flächen u. Kulturen'!E34</f>
        <v>x</v>
      </c>
      <c r="V29" s="938">
        <f>IF('Flächen u. Kulturen'!Q34="",0,_xlfn.NUMBERVALUE('Flächen u. Kulturen'!Q34))</f>
        <v>0</v>
      </c>
      <c r="W29" s="938">
        <f>IF('Flächen u. Kulturen'!R34="",0,_xlfn.NUMBERVALUE('Flächen u. Kulturen'!R34))</f>
        <v>0</v>
      </c>
      <c r="X29" s="875">
        <f>IF('Flächen u. Kulturen'!T34="",0,VLOOKUP('Flächen u. Kulturen'!T34,'#Boden'!$B$30:$C$32,'#Boden'!$C$1,FALSE))</f>
        <v>1</v>
      </c>
      <c r="Y29" s="875">
        <f>IF('Flächen u. Kulturen'!P34="",0,VLOOKUP('Flächen u. Kulturen'!P34,Kulturen[[HF]:[Berechnungsgruppe]],'#Frucht'!$N$1,FALSE))</f>
        <v>0</v>
      </c>
      <c r="Z29" s="875">
        <f t="shared" si="21"/>
        <v>2</v>
      </c>
      <c r="AA29" s="875">
        <f>IF('Flächen u. Kulturen'!P34="",0,VLOOKUP('Flächen u. Kulturen'!P34,Kulturen[[HF]:[Berechnungsgruppe]],'#Frucht'!$V$1,FALSE))</f>
        <v>0</v>
      </c>
      <c r="AB29" s="875">
        <f>IF(N29=1,VLOOKUP('Flächen u. Kulturen'!P34,Kulturen[[HF]:[Ernteprodukt]],'#Frucht'!$I$1,FALSE),4)</f>
        <v>4</v>
      </c>
      <c r="AC29" s="921">
        <f>IF('Flächen u. Kulturen'!J34="",0,VLOOKUP('Flächen u. Kulturen'!J34,Kulturen[[HF]:[Berechnungsgruppe]],'#Frucht'!$G$1,FALSE))</f>
        <v>90</v>
      </c>
      <c r="AD29" s="921">
        <f>IF('Flächen u. Kulturen'!P34="",0,VLOOKUP('Flächen u. Kulturen'!P34,Kulturen[[HF]:[Berechnungsgruppe]],'#Frucht'!$G$1,FALSE))</f>
        <v>90</v>
      </c>
      <c r="AE29" s="938">
        <f>IF('Flächen u. Kulturen'!P34="",0,VLOOKUP('Flächen u. Kulturen'!P34,Kulturen[[HF]:[SollwertMinusNfix]],'#Frucht'!$X$1,FALSE))</f>
        <v>0</v>
      </c>
      <c r="AF29" s="875">
        <f>IF('Flächen u. Kulturen'!L34="",0,VLOOKUP('Flächen u. Kulturen'!L34,Nebenkultur[[Nebenkultur]:[Berechnungsschema]],'#Zweitfr'!$G$1,FALSE))</f>
        <v>0</v>
      </c>
      <c r="AG29" s="875">
        <f>IF('Flächen u. Kulturen'!L34="",0,VLOOKUP('Flächen u. Kulturen'!L34,'#Zweitfr'!$D$8:$Q$27,'#Zweitfr'!$Q$1,FALSE))</f>
        <v>0</v>
      </c>
      <c r="AH29" s="875">
        <f>IF('Flächen u. Kulturen'!M34="",0,VLOOKUP('Flächen u. Kulturen'!M34,'#Boden'!$G$17:$H$21,2,FALSE))</f>
        <v>1</v>
      </c>
      <c r="AI29" s="875">
        <f>IF('Flächen u. Kulturen'!N34="",0,VLOOKUP('Flächen u. Kulturen'!N34,'#Boden'!$G$22:$H$24,'#Boden'!$H$1,FALSE))</f>
        <v>1</v>
      </c>
      <c r="AJ29" s="938">
        <f>IF('Flächen u. Kulturen'!O34="",0,_xlfn.NUMBERVALUE('Flächen u. Kulturen'!O34))</f>
        <v>0</v>
      </c>
      <c r="AK29" s="938">
        <f>IF('Flächen u. Kulturen'!L34="",0,VLOOKUP('Flächen u. Kulturen'!L34,Nebenkultur[[Nebenkultur]:[Legum. Zwischenfr.]],'#Zweitfr'!$P$1,FALSE))</f>
        <v>0</v>
      </c>
      <c r="AL29" s="875">
        <f>IF('Flächen u. Kulturen'!P34="",0,VLOOKUP('Flächen u. Kulturen'!P34,Kulturen[[HF]:[Berechnungsgruppe]],'#Frucht'!$Q$1,FALSE))</f>
        <v>0</v>
      </c>
      <c r="AM29" s="875">
        <f>IF('Flächen u. Kulturen'!P34="",0,VLOOKUP('Flächen u. Kulturen'!P34,Kulturen[[HF]:[Berechnungsgruppe]],'#Frucht'!$M$1,FALSE))</f>
        <v>0</v>
      </c>
      <c r="AN29" s="875">
        <f>IF('Flächen u. Kulturen'!P34="",1,VLOOKUP('Flächen u. Kulturen'!P34,Kulturen[[HF]:[Berechnungsgruppe]],'#Frucht'!$R$1,FALSE))</f>
        <v>10</v>
      </c>
      <c r="AO29" s="875">
        <f>IF('Flächen u. Kulturen'!P34="",0,VLOOKUP('Flächen u. Kulturen'!P34,Kulturen[[HF]:[Berechnungsgruppe]],'#Frucht'!$S$1,FALSE))</f>
        <v>0</v>
      </c>
      <c r="AP29" s="875">
        <f>IF('Flächen u. Kulturen'!P34="",0,VLOOKUP('Flächen u. Kulturen'!P34,Kulturen[[HF]:[Berechnungsgruppe]],'#Frucht'!$T$1,FALSE))</f>
        <v>0</v>
      </c>
      <c r="AQ29" s="938">
        <f t="shared" si="1"/>
        <v>0</v>
      </c>
      <c r="AR29" s="875">
        <f t="shared" si="2"/>
        <v>0</v>
      </c>
      <c r="AS29" s="938">
        <f t="shared" si="3"/>
        <v>0</v>
      </c>
      <c r="AT29" s="875">
        <f>IF(N29=1,'Flächen u. Kulturen'!S34*-1,"--")</f>
        <v>0</v>
      </c>
      <c r="AU29" s="938">
        <f>IF(OR(N29=2,'Flächen u. Kulturen'!I34=""),"--",IF(N29=3,VLOOKUP('Flächen u. Kulturen'!I34,'#Boden'!$B$9:$E$15,'#Boden'!$D$1,FALSE),VLOOKUP('Flächen u. Kulturen'!I34,'#Boden'!$B$9:$E$15,'#Boden'!$E$1,FALSE)))</f>
        <v>0</v>
      </c>
      <c r="AV29" s="938">
        <f>IF(N29=1,IF('Flächen u. Kulturen'!J34="",0,VLOOKUP('Flächen u. Kulturen'!J34,Kulturen[[HF]:[Berechnungsgruppe]],'#Frucht'!$U$1,FALSE)*-1),"--")</f>
        <v>0</v>
      </c>
      <c r="AW29" s="875">
        <f t="shared" si="4"/>
        <v>0</v>
      </c>
      <c r="AX29" s="875">
        <f>IF('Flächen u. Kulturen'!K34="",0,'Flächen u. Kulturen'!K34*-0.1)</f>
        <v>0</v>
      </c>
      <c r="AY29" s="875">
        <f>IF(N29&lt;3,'#orgDung'!AC38*0.1*-1,"--")</f>
        <v>0</v>
      </c>
      <c r="AZ29" s="31" t="str">
        <f>IF(AND('#orgDung'!J38&lt;&gt;2,'#orgDung'!F38=1),('#orgDung'!V38+'#minDung'!O35)*-1,"--")</f>
        <v>--</v>
      </c>
      <c r="BA29" s="875">
        <f t="shared" si="22"/>
        <v>0</v>
      </c>
      <c r="BB29" s="938">
        <f>IF(R29=2,0,'Flächen u. Kulturen'!V34*-1)</f>
        <v>0</v>
      </c>
      <c r="BC29" s="875">
        <f t="shared" si="23"/>
        <v>0</v>
      </c>
      <c r="BD29" s="127">
        <f>'#orgDung'!W38*-1</f>
        <v>0</v>
      </c>
      <c r="BE29" s="910">
        <f>'#orgDung'!AA38*-1</f>
        <v>0</v>
      </c>
      <c r="BF29" s="875">
        <f>'#orgDung'!Z38*-1</f>
        <v>0</v>
      </c>
      <c r="BG29" s="938">
        <f t="shared" si="14"/>
        <v>0</v>
      </c>
      <c r="BH29" s="875">
        <f>'#Kürzungen'!AS53*-1</f>
        <v>0</v>
      </c>
      <c r="BI29" s="875">
        <f t="shared" si="5"/>
        <v>0</v>
      </c>
      <c r="BJ29" s="910">
        <f t="shared" si="6"/>
        <v>0</v>
      </c>
      <c r="BK29" s="875">
        <f>'#minDung'!P35</f>
        <v>0</v>
      </c>
      <c r="BL29" s="938">
        <f t="shared" si="15"/>
        <v>0</v>
      </c>
      <c r="BM29" s="938">
        <f t="shared" si="7"/>
        <v>0</v>
      </c>
      <c r="BN29" s="875">
        <f>IF('Flächen u. Kulturen'!P34="",0,VLOOKUP('Flächen u. Kulturen'!P34,Kulturen[[HF]:[Berechnungsgruppe]],'#Frucht'!$K$1,FALSE))</f>
        <v>0</v>
      </c>
      <c r="BO29" s="875">
        <f>IF('Flächen u. Kulturen'!P34="",0,VLOOKUP('Flächen u. Kulturen'!P34,Kulturen[[HF]:[Berechnungsgruppe]],'#Frucht'!$L$1,FALSE))</f>
        <v>0</v>
      </c>
      <c r="BP29" s="875">
        <f>IF('Flächen u. Kulturen'!L34="",0,VLOOKUP('Flächen u. Kulturen'!L34,Nebenkultur[[Nebenkultur]:[Legum. Zwischenfr.]],'#Zweitfr'!$H$1,FALSE))</f>
        <v>0</v>
      </c>
      <c r="BQ29" s="938">
        <f>IF(N29=3,W29*BO29,IF('Flächen u. Kulturen'!T34='#Boden'!$B$32,V29*BN29,V29*BO29))</f>
        <v>0</v>
      </c>
      <c r="BR29" s="938">
        <f t="shared" si="8"/>
        <v>0</v>
      </c>
      <c r="BS29" s="875">
        <f t="shared" si="24"/>
        <v>0</v>
      </c>
      <c r="BT29" s="875">
        <f>IF('Flächen u. Kulturen'!F34="",0,IF(N29=3,VLOOKUP('Flächen u. Kulturen'!F34,'#Boden'!$G$4:$J$8,'#Boden'!$J$1,FALSE),VLOOKUP('Flächen u. Kulturen'!F34,'#Boden'!$G$4:$J$8,'#Boden'!$I$1,FALSE)))</f>
        <v>0</v>
      </c>
      <c r="BU29" s="41">
        <f t="shared" si="25"/>
        <v>0</v>
      </c>
      <c r="BV29" s="875">
        <f t="shared" si="26"/>
        <v>0</v>
      </c>
      <c r="BW29" s="938" t="str">
        <f t="shared" si="16"/>
        <v/>
      </c>
      <c r="BX29" s="875">
        <f>'#orgDung'!T38*-1</f>
        <v>0</v>
      </c>
      <c r="BY29" s="875">
        <f t="shared" si="17"/>
        <v>0</v>
      </c>
      <c r="BZ29" s="938" t="str">
        <f>IF(U29&lt;&gt;"x",0,IF(P29&lt;4,"",(BW29+BX29-'#minDung'!N35)*-1))</f>
        <v/>
      </c>
      <c r="CB29" s="938">
        <f>IF(AND(AF29=70,U29="x"),'Flächen u. Kulturen'!A34,1000)</f>
        <v>1000</v>
      </c>
      <c r="CC29" s="875" t="str">
        <f>IF(AF29=70,VLOOKUP('Flächen u. Kulturen'!L34,Nebenkultur[[Nebenkultur]:[Legum. Zwischenfr.]],'#Zweitfr'!$I$1,FALSE),"--")</f>
        <v>--</v>
      </c>
      <c r="CD29" s="875" t="str">
        <f>IF(AF29=70,VLOOKUP('Flächen u. Kulturen'!L34,Nebenkultur[[Nebenkultur]:[Legum. Zwischenfr.]],'#Zweitfr'!$L$1,FALSE),"--")</f>
        <v>--</v>
      </c>
      <c r="CE29" s="875" t="str">
        <f>IF(AF29=70,VLOOKUP('Flächen u. Kulturen'!L34,Nebenkultur[[Nebenkultur]:[Legum. Zwischenfr.]],'#Zweitfr'!$M$1,FALSE),"--")</f>
        <v>--</v>
      </c>
      <c r="CF29" s="875" t="str">
        <f>IF(AF29=70,VLOOKUP('Flächen u. Kulturen'!L34,Nebenkultur[[Nebenkultur]:[Legum. Zwischenfr.]],'#Zweitfr'!$N$1,FALSE),"--")</f>
        <v>--</v>
      </c>
      <c r="CG29" s="875" t="str">
        <f>IF(AF29=70,VLOOKUP('Flächen u. Kulturen'!L34,Nebenkultur[[Nebenkultur]:[Legum. Zwischenfr.]],'#Zweitfr'!$O$1,FALSE),"--")</f>
        <v>--</v>
      </c>
      <c r="CH29" s="875" t="str">
        <f t="shared" si="9"/>
        <v>--</v>
      </c>
      <c r="CI29" s="938">
        <f>IF('Flächen u. Kulturen'!L34="",0,VLOOKUP('Flächen u. Kulturen'!L34,Nebenkultur[[Nebenkultur]:[Legum. Zwischenfr.]],'#Zweitfr'!$J$1,FALSE))</f>
        <v>0</v>
      </c>
      <c r="CJ29" s="875">
        <f t="shared" si="10"/>
        <v>0</v>
      </c>
      <c r="CK29" s="890">
        <f t="shared" si="11"/>
        <v>0</v>
      </c>
      <c r="CL29" s="938">
        <f>IF(AND(R29=1,AF29=70),'Flächen u. Kulturen'!W34*-1,0)</f>
        <v>0</v>
      </c>
      <c r="CM29" s="875">
        <f>'#orgDung'!AE38*-1</f>
        <v>0</v>
      </c>
      <c r="CN29" s="875">
        <f t="shared" si="27"/>
        <v>0</v>
      </c>
      <c r="CO29" s="875">
        <f t="shared" si="28"/>
        <v>0</v>
      </c>
      <c r="CP29" s="875">
        <f>'#Kürzungen'!AS154*-1</f>
        <v>0</v>
      </c>
      <c r="CQ29" s="875">
        <f t="shared" si="29"/>
        <v>0</v>
      </c>
      <c r="CR29" s="875">
        <f t="shared" si="30"/>
        <v>0</v>
      </c>
      <c r="CS29" s="875">
        <f>'#minDung'!R35</f>
        <v>0</v>
      </c>
      <c r="CT29" s="938">
        <f t="shared" si="18"/>
        <v>0</v>
      </c>
      <c r="CU29" s="52" t="str">
        <f>'#Kürzungen'!AQ154</f>
        <v xml:space="preserve"> </v>
      </c>
      <c r="CW29" s="247">
        <f>IF('Flächen u. Kulturen'!D34="",0,IF(ISNUMBER('Flächen u. Kulturen'!D34)=TRUE,2,1))</f>
        <v>0</v>
      </c>
      <c r="CX29" s="247">
        <f>IF('Flächen u. Kulturen'!E34="",0,COUNTIF('#Boden'!$B$47,'Flächen u. Kulturen'!E34)+1)</f>
        <v>2</v>
      </c>
      <c r="CY29" s="247">
        <f>IF('Flächen u. Kulturen'!F34="",0,COUNTIF('#Boden'!$G$4:$G$8,'Flächen u. Kulturen'!F34)+1)</f>
        <v>2</v>
      </c>
      <c r="CZ29" s="247">
        <f>IF('Flächen u. Kulturen'!G34="",0,COUNTIF('#Boden'!$B$26:$B$29,'Flächen u. Kulturen'!G34)+1)</f>
        <v>2</v>
      </c>
      <c r="DA29" s="247">
        <f>IF('Flächen u. Kulturen'!H34="",0,COUNTIF('#Boden'!$B$26:$B$29,'Flächen u. Kulturen'!H34)+1)</f>
        <v>2</v>
      </c>
      <c r="DB29" s="247">
        <f>IF('Flächen u. Kulturen'!I34="",0,COUNTIF('#Boden'!$B$9:$B$15,'Flächen u. Kulturen'!I34)+1)</f>
        <v>2</v>
      </c>
      <c r="DC29" s="247">
        <f>IF('Flächen u. Kulturen'!J34="",0,COUNTIF(Kulturen[HF],'Flächen u. Kulturen'!J34)+1)</f>
        <v>2</v>
      </c>
      <c r="DD29" s="247">
        <f>IF('Flächen u. Kulturen'!L34="",0,COUNTIF(Nebenkultur[Nebenkultur],'Flächen u. Kulturen'!L34)+1)</f>
        <v>2</v>
      </c>
      <c r="DE29" s="247">
        <f>IF('Flächen u. Kulturen'!M34="",0,COUNTIF('#Boden'!$G$17:$G$21,'Flächen u. Kulturen'!M34)+1)</f>
        <v>2</v>
      </c>
      <c r="DF29" s="247">
        <f>IF('Flächen u. Kulturen'!N34="",0,COUNTIF('#Boden'!$G$22:$G$24,'Flächen u. Kulturen'!N34)+1)</f>
        <v>2</v>
      </c>
      <c r="DG29" s="247">
        <f>IF('Flächen u. Kulturen'!P34="",0,COUNTIF(Kulturen[HF],'Flächen u. Kulturen'!P34)+1)</f>
        <v>2</v>
      </c>
      <c r="DH29" s="247">
        <f>IF('Flächen u. Kulturen'!T34="",0,COUNTIF('#Boden'!$B$30:$B$32,'Flächen u. Kulturen'!T34)+1)</f>
        <v>2</v>
      </c>
      <c r="DI29" s="247">
        <f>IF('Flächen u. Kulturen'!K34="",0,IF(ISNUMBER('Flächen u. Kulturen'!K34)=TRUE,2,1))</f>
        <v>0</v>
      </c>
      <c r="DJ29" s="247">
        <f>IF('Flächen u. Kulturen'!U34="",0,IF(ISNUMBER('Flächen u. Kulturen'!U34)=TRUE,2,1))</f>
        <v>0</v>
      </c>
      <c r="DK29" s="247">
        <f>IF('Flächen u. Kulturen'!V34="",0,IF(ISNUMBER('Flächen u. Kulturen'!V34)=TRUE,2,1))</f>
        <v>0</v>
      </c>
      <c r="DL29" s="247">
        <f>IF('Flächen u. Kulturen'!W34="",0,IF(ISNUMBER('Flächen u. Kulturen'!W34)=TRUE,2,1))</f>
        <v>0</v>
      </c>
      <c r="DM29" s="247">
        <f t="shared" si="31"/>
        <v>0</v>
      </c>
      <c r="DN29" s="247" t="s">
        <v>344</v>
      </c>
      <c r="DO29" s="247">
        <f>IF(U29&lt;&gt;"x","",IF(OR('Flächen u. Kulturen'!B34="",'Flächen u. Kulturen'!C34="",'Flächen u. Kulturen'!D34="",'Flächen u. Kulturen'!D34=0,'Flächen u. Kulturen'!F34="",'Flächen u. Kulturen'!F34='#Boden'!$G$4,'Flächen u. Kulturen'!G34="",'Flächen u. Kulturen'!G34='#Boden'!$B$26,'Flächen u. Kulturen'!H34="",'Flächen u. Kulturen'!H34='#Boden'!$B$23,AND(N29&lt;&gt;2,OR('Flächen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Kulturen'!Q34="",'#BerechnungDBE'!N29&lt;3),AND('Flächen u. Kulturen'!R34="",'#BerechnungDBE'!N29=3),AND(N29=1,AL29&gt;0,'Flächen u. Kulturen'!S34=""),AND(N29=1,OR('Flächen u. Kulturen'!T34="",'Flächen u. Kulturen'!T34='#Boden'!$B$30)),AND('#BerechnungDBE'!AF29=70,OR('Flächen u. Kulturen'!N34="",'Flächen u. Kulturen'!N34='#Boden'!$G$22,'Flächen u. Kulturen'!O34="")),AND('#BerechnungDBE'!AF29=80,OR('Flächen u. Kulturen'!M34="",'Flächen u. Kulturen'!M34='#Boden'!$G$17,'Flächen u. Kulturen'!N34="",'Flächen u. Kulturen'!N34='#Boden'!$G$22))),$DO$4,""))</f>
        <v>1</v>
      </c>
      <c r="DP29" s="247" t="str">
        <f>IF(U29&lt;&gt;"x","",IF(OR(LEFT('Flächen u. Kulturen'!J34,2)=" +",LEFT('Flächen u. Kulturen'!L34,2)=" +",LEFT('Flächen u. Kulturen'!P34,2)=" +"),$DP$4,""))</f>
        <v/>
      </c>
      <c r="DQ29" s="428" t="str">
        <f t="shared" si="12"/>
        <v/>
      </c>
      <c r="DR29" s="938" t="str">
        <f t="shared" si="13"/>
        <v/>
      </c>
      <c r="DS29" s="938" t="str">
        <f>IF('Flächen u. Kulturen'!X34="","",ROW('Flächen u. Kulturen'!X34))</f>
        <v/>
      </c>
    </row>
    <row r="30" spans="1:123" s="875" customFormat="1" x14ac:dyDescent="0.2">
      <c r="A30" s="875" t="str">
        <f>IF('Daten aus 2021'!H32="",'#Boden'!$B$26,IF('Daten aus 2021'!H32='#Boden'!$B$39,IF('Daten aus 2021'!F32='#Boden'!$B$29,'#Boden'!$B$29,IF('Daten aus 2021'!K32='#Boden'!$B$34,'#Boden'!$B$28,'#Boden'!$B$27)),'Daten aus 2021'!F32))</f>
        <v xml:space="preserve"> --</v>
      </c>
      <c r="B30" s="875" t="str">
        <f>IF('Daten aus 2021'!H32='#Boden'!$B$39,IF('Daten aus 2021'!L32='#Boden'!$B$61,'#Boden'!$B$11,'Daten aus 2021'!L32),IF('Daten aus 2021'!P32='#Boden'!$B$58,'#Boden'!$B$11,IF('Daten aus 2021'!P32='#Boden'!$B$57,'#Boden'!$B$10,'#Boden'!$B$9)))</f>
        <v xml:space="preserve"> --         </v>
      </c>
      <c r="C30" s="875" t="str">
        <f>IF('Daten aus 2021'!N32="","",VLOOKUP('Daten aus 2021'!N32,'#Boden'!$B$68:$C$89,2,FALSE))</f>
        <v/>
      </c>
      <c r="D30" s="875" t="str">
        <f>IF('Daten aus 2021'!M32="","",VLOOKUP('Daten aus 2021'!M32,'#Boden'!$D$69:$E$73,2,FALSE))</f>
        <v/>
      </c>
      <c r="E30" s="938" t="str">
        <f>IF(OR(C30='#Boden'!$C$68,C30='#Boden'!$C$70),C30,CONCATENATE(C30,D30))</f>
        <v/>
      </c>
      <c r="F30" s="882" t="str">
        <f>IFERROR(IF('Daten aus 2021'!H32="",'#Frucht'!$D$8,IF('Daten aus 2021'!H32='#Boden'!$B$39,E30,IF('Daten aus 2021'!H32='#Boden'!$B$38,IF(CONCATENATE(" ",'Daten aus 2021'!W32)=$B$2,VLOOKUP($B$3,'#Frucht'!$A$8:$D$372,4,FALSE),VLOOKUP(CONCATENATE(" ",'Daten aus 2021'!W32),'#Frucht'!$A$8:$D$372,4,FALSE)),IF(OR(LEFT('Daten aus 2021'!Q32,5)=" *10 ",LEFT('Daten aus 2021'!Q32,5)=" *11 ",LEFT('Daten aus 2021'!Q32,5)=" *12 ",LEFT('Daten aus 2021'!Q32,5)=" *13 ",LEFT('Daten aus 2021'!Q32,5)=" *14 ",LEFT('Daten aus 2021'!Q32,5)=" *15 "),VLOOKUP(RIGHT('Daten aus 2021'!Q32,LEN('Daten aus 2021'!Q32)-4),'#Frucht'!$A$8:$D$372,4,FALSE),IF(LEFT('Daten aus 2021'!Q32,2)=" *",VLOOKUP(RIGHT('Daten aus 2021'!Q32,LEN('Daten aus 2021'!Q32)-3),'#Frucht'!$A$8:$D$372,4,FALSE),VLOOKUP('Daten aus 2021'!Q32,'#Frucht'!$A$8:$D$372,4,FALSE)))))),'#Frucht'!$D$8)</f>
        <v xml:space="preserve"> --  </v>
      </c>
      <c r="G30" s="127"/>
      <c r="H30" s="31"/>
      <c r="J30" s="938" t="str">
        <f>IF(OR(N30=3,$K$3=0,'Flächen u. Kulturen'!P35=""),"",IF(VLOOKUP('Flächen u. Kulturen'!P35,Kulturen[[HF]:[780]],'#BerechnungDBE'!$K$3,FALSE)=".","",VLOOKUP('Flächen u. Kulturen'!P35,Kulturen[[HF]:[780]],'#BerechnungDBE'!$K$3,FALSE)))</f>
        <v/>
      </c>
      <c r="K30" s="938" t="str">
        <f>IF(OR($K$3=0,'Flächen u. Kulturen'!P35=""),"",IF(N30=3,IF(VLOOKUP('Flächen u. Kulturen'!P35,Kulturen[[HF]:[780]],'#BerechnungDBE'!$K$3,FALSE)=".","",VLOOKUP('Flächen u. Kulturen'!P35,Kulturen[[HF]:[780]],'#BerechnungDBE'!$K$3,FALSE)),""))</f>
        <v/>
      </c>
      <c r="L30" s="367">
        <f>IF('Flächen u. Kulturen'!D35="",0,'Flächen u. Kulturen'!D35)</f>
        <v>0</v>
      </c>
      <c r="M30" s="693">
        <f>IF('Flächen u. Kulturen'!J35="",0,VLOOKUP('Flächen u. Kulturen'!J35,Kulturen[[HF]:[Berechnungsgruppe]],'#Frucht'!$W$1,FALSE))</f>
        <v>1</v>
      </c>
      <c r="N30" s="693">
        <f>IF('Flächen u. Kulturen'!P35="",0,VLOOKUP('Flächen u. Kulturen'!P35,Kulturen[[HF]:[Berechnungsgruppe]],'#Frucht'!$W$1,FALSE))</f>
        <v>1</v>
      </c>
      <c r="O30" s="875">
        <f>IF(N30&lt;&gt;2,N30,IF('Flächen u. Kulturen'!J35='Flächen u. Kulturen'!P35,2,1))</f>
        <v>1</v>
      </c>
      <c r="P30" s="875">
        <f>IF('Flächen u. Kulturen'!F35="",0,VLOOKUP('Flächen u. Kulturen'!F35,'#Boden'!$G$4:$H$8,'#Boden'!$H$1,FALSE))</f>
        <v>1</v>
      </c>
      <c r="Q30" s="875">
        <f>IF('Flächen u. Kulturen'!G35="",0,VLOOKUP('Flächen u. Kulturen'!G35,'#Boden'!$B$26:$C$29,'#Boden'!$C$1,FALSE))</f>
        <v>1</v>
      </c>
      <c r="R30" s="875">
        <f t="shared" si="19"/>
        <v>1</v>
      </c>
      <c r="S30" s="875">
        <f t="shared" si="20"/>
        <v>1</v>
      </c>
      <c r="T30" s="875">
        <f>IF('Flächen u. Kulturen'!H35="",0,VLOOKUP('Flächen u. Kulturen'!H35,'#Boden'!$B$23:$C$25,'#Boden'!$C$1,FALSE))</f>
        <v>2</v>
      </c>
      <c r="U30" s="875" t="str">
        <f>'Flächen u. Kulturen'!E35</f>
        <v>x</v>
      </c>
      <c r="V30" s="938">
        <f>IF('Flächen u. Kulturen'!Q35="",0,_xlfn.NUMBERVALUE('Flächen u. Kulturen'!Q35))</f>
        <v>0</v>
      </c>
      <c r="W30" s="938">
        <f>IF('Flächen u. Kulturen'!R35="",0,_xlfn.NUMBERVALUE('Flächen u. Kulturen'!R35))</f>
        <v>0</v>
      </c>
      <c r="X30" s="875">
        <f>IF('Flächen u. Kulturen'!T35="",0,VLOOKUP('Flächen u. Kulturen'!T35,'#Boden'!$B$30:$C$32,'#Boden'!$C$1,FALSE))</f>
        <v>1</v>
      </c>
      <c r="Y30" s="875">
        <f>IF('Flächen u. Kulturen'!P35="",0,VLOOKUP('Flächen u. Kulturen'!P35,Kulturen[[HF]:[Berechnungsgruppe]],'#Frucht'!$N$1,FALSE))</f>
        <v>0</v>
      </c>
      <c r="Z30" s="875">
        <f t="shared" si="21"/>
        <v>2</v>
      </c>
      <c r="AA30" s="875">
        <f>IF('Flächen u. Kulturen'!P35="",0,VLOOKUP('Flächen u. Kulturen'!P35,Kulturen[[HF]:[Berechnungsgruppe]],'#Frucht'!$V$1,FALSE))</f>
        <v>0</v>
      </c>
      <c r="AB30" s="875">
        <f>IF(N30=1,VLOOKUP('Flächen u. Kulturen'!P35,Kulturen[[HF]:[Ernteprodukt]],'#Frucht'!$I$1,FALSE),4)</f>
        <v>4</v>
      </c>
      <c r="AC30" s="921">
        <f>IF('Flächen u. Kulturen'!J35="",0,VLOOKUP('Flächen u. Kulturen'!J35,Kulturen[[HF]:[Berechnungsgruppe]],'#Frucht'!$G$1,FALSE))</f>
        <v>90</v>
      </c>
      <c r="AD30" s="921">
        <f>IF('Flächen u. Kulturen'!P35="",0,VLOOKUP('Flächen u. Kulturen'!P35,Kulturen[[HF]:[Berechnungsgruppe]],'#Frucht'!$G$1,FALSE))</f>
        <v>90</v>
      </c>
      <c r="AE30" s="938">
        <f>IF('Flächen u. Kulturen'!P35="",0,VLOOKUP('Flächen u. Kulturen'!P35,Kulturen[[HF]:[SollwertMinusNfix]],'#Frucht'!$X$1,FALSE))</f>
        <v>0</v>
      </c>
      <c r="AF30" s="875">
        <f>IF('Flächen u. Kulturen'!L35="",0,VLOOKUP('Flächen u. Kulturen'!L35,Nebenkultur[[Nebenkultur]:[Berechnungsschema]],'#Zweitfr'!$G$1,FALSE))</f>
        <v>0</v>
      </c>
      <c r="AG30" s="875">
        <f>IF('Flächen u. Kulturen'!L35="",0,VLOOKUP('Flächen u. Kulturen'!L35,'#Zweitfr'!$D$8:$Q$27,'#Zweitfr'!$Q$1,FALSE))</f>
        <v>0</v>
      </c>
      <c r="AH30" s="875">
        <f>IF('Flächen u. Kulturen'!M35="",0,VLOOKUP('Flächen u. Kulturen'!M35,'#Boden'!$G$17:$H$21,2,FALSE))</f>
        <v>1</v>
      </c>
      <c r="AI30" s="875">
        <f>IF('Flächen u. Kulturen'!N35="",0,VLOOKUP('Flächen u. Kulturen'!N35,'#Boden'!$G$22:$H$24,'#Boden'!$H$1,FALSE))</f>
        <v>1</v>
      </c>
      <c r="AJ30" s="938">
        <f>IF('Flächen u. Kulturen'!O35="",0,_xlfn.NUMBERVALUE('Flächen u. Kulturen'!O35))</f>
        <v>0</v>
      </c>
      <c r="AK30" s="938">
        <f>IF('Flächen u. Kulturen'!L35="",0,VLOOKUP('Flächen u. Kulturen'!L35,Nebenkultur[[Nebenkultur]:[Legum. Zwischenfr.]],'#Zweitfr'!$P$1,FALSE))</f>
        <v>0</v>
      </c>
      <c r="AL30" s="875">
        <f>IF('Flächen u. Kulturen'!P35="",0,VLOOKUP('Flächen u. Kulturen'!P35,Kulturen[[HF]:[Berechnungsgruppe]],'#Frucht'!$Q$1,FALSE))</f>
        <v>0</v>
      </c>
      <c r="AM30" s="875">
        <f>IF('Flächen u. Kulturen'!P35="",0,VLOOKUP('Flächen u. Kulturen'!P35,Kulturen[[HF]:[Berechnungsgruppe]],'#Frucht'!$M$1,FALSE))</f>
        <v>0</v>
      </c>
      <c r="AN30" s="875">
        <f>IF('Flächen u. Kulturen'!P35="",1,VLOOKUP('Flächen u. Kulturen'!P35,Kulturen[[HF]:[Berechnungsgruppe]],'#Frucht'!$R$1,FALSE))</f>
        <v>10</v>
      </c>
      <c r="AO30" s="875">
        <f>IF('Flächen u. Kulturen'!P35="",0,VLOOKUP('Flächen u. Kulturen'!P35,Kulturen[[HF]:[Berechnungsgruppe]],'#Frucht'!$S$1,FALSE))</f>
        <v>0</v>
      </c>
      <c r="AP30" s="875">
        <f>IF('Flächen u. Kulturen'!P35="",0,VLOOKUP('Flächen u. Kulturen'!P35,Kulturen[[HF]:[Berechnungsgruppe]],'#Frucht'!$T$1,FALSE))</f>
        <v>0</v>
      </c>
      <c r="AQ30" s="938">
        <f t="shared" si="1"/>
        <v>0</v>
      </c>
      <c r="AR30" s="875">
        <f t="shared" si="2"/>
        <v>0</v>
      </c>
      <c r="AS30" s="938">
        <f t="shared" si="3"/>
        <v>0</v>
      </c>
      <c r="AT30" s="875">
        <f>IF(N30=1,'Flächen u. Kulturen'!S35*-1,"--")</f>
        <v>0</v>
      </c>
      <c r="AU30" s="938">
        <f>IF(OR(N30=2,'Flächen u. Kulturen'!I35=""),"--",IF(N30=3,VLOOKUP('Flächen u. Kulturen'!I35,'#Boden'!$B$9:$E$15,'#Boden'!$D$1,FALSE),VLOOKUP('Flächen u. Kulturen'!I35,'#Boden'!$B$9:$E$15,'#Boden'!$E$1,FALSE)))</f>
        <v>0</v>
      </c>
      <c r="AV30" s="938">
        <f>IF(N30=1,IF('Flächen u. Kulturen'!J35="",0,VLOOKUP('Flächen u. Kulturen'!J35,Kulturen[[HF]:[Berechnungsgruppe]],'#Frucht'!$U$1,FALSE)*-1),"--")</f>
        <v>0</v>
      </c>
      <c r="AW30" s="875">
        <f t="shared" si="4"/>
        <v>0</v>
      </c>
      <c r="AX30" s="875">
        <f>IF('Flächen u. Kulturen'!K35="",0,'Flächen u. Kulturen'!K35*-0.1)</f>
        <v>0</v>
      </c>
      <c r="AY30" s="875">
        <f>IF(N30&lt;3,'#orgDung'!AC39*0.1*-1,"--")</f>
        <v>0</v>
      </c>
      <c r="AZ30" s="31" t="str">
        <f>IF(AND('#orgDung'!J39&lt;&gt;2,'#orgDung'!F39=1),('#orgDung'!V39+'#minDung'!O36)*-1,"--")</f>
        <v>--</v>
      </c>
      <c r="BA30" s="875">
        <f t="shared" si="22"/>
        <v>0</v>
      </c>
      <c r="BB30" s="938">
        <f>IF(R30=2,0,'Flächen u. Kulturen'!V35*-1)</f>
        <v>0</v>
      </c>
      <c r="BC30" s="875">
        <f t="shared" si="23"/>
        <v>0</v>
      </c>
      <c r="BD30" s="127">
        <f>'#orgDung'!W39*-1</f>
        <v>0</v>
      </c>
      <c r="BE30" s="910">
        <f>'#orgDung'!AA39*-1</f>
        <v>0</v>
      </c>
      <c r="BF30" s="875">
        <f>'#orgDung'!Z39*-1</f>
        <v>0</v>
      </c>
      <c r="BG30" s="938">
        <f t="shared" si="14"/>
        <v>0</v>
      </c>
      <c r="BH30" s="875">
        <f>'#Kürzungen'!AS54*-1</f>
        <v>0</v>
      </c>
      <c r="BI30" s="875">
        <f t="shared" si="5"/>
        <v>0</v>
      </c>
      <c r="BJ30" s="910">
        <f t="shared" si="6"/>
        <v>0</v>
      </c>
      <c r="BK30" s="875">
        <f>'#minDung'!P36</f>
        <v>0</v>
      </c>
      <c r="BL30" s="938">
        <f t="shared" si="15"/>
        <v>0</v>
      </c>
      <c r="BM30" s="938">
        <f t="shared" si="7"/>
        <v>0</v>
      </c>
      <c r="BN30" s="875">
        <f>IF('Flächen u. Kulturen'!P35="",0,VLOOKUP('Flächen u. Kulturen'!P35,Kulturen[[HF]:[Berechnungsgruppe]],'#Frucht'!$K$1,FALSE))</f>
        <v>0</v>
      </c>
      <c r="BO30" s="875">
        <f>IF('Flächen u. Kulturen'!P35="",0,VLOOKUP('Flächen u. Kulturen'!P35,Kulturen[[HF]:[Berechnungsgruppe]],'#Frucht'!$L$1,FALSE))</f>
        <v>0</v>
      </c>
      <c r="BP30" s="875">
        <f>IF('Flächen u. Kulturen'!L35="",0,VLOOKUP('Flächen u. Kulturen'!L35,Nebenkultur[[Nebenkultur]:[Legum. Zwischenfr.]],'#Zweitfr'!$H$1,FALSE))</f>
        <v>0</v>
      </c>
      <c r="BQ30" s="938">
        <f>IF(N30=3,W30*BO30,IF('Flächen u. Kulturen'!T35='#Boden'!$B$32,V30*BN30,V30*BO30))</f>
        <v>0</v>
      </c>
      <c r="BR30" s="938">
        <f t="shared" si="8"/>
        <v>0</v>
      </c>
      <c r="BS30" s="875">
        <f t="shared" si="24"/>
        <v>0</v>
      </c>
      <c r="BT30" s="875">
        <f>IF('Flächen u. Kulturen'!F35="",0,IF(N30=3,VLOOKUP('Flächen u. Kulturen'!F35,'#Boden'!$G$4:$J$8,'#Boden'!$J$1,FALSE),VLOOKUP('Flächen u. Kulturen'!F35,'#Boden'!$G$4:$J$8,'#Boden'!$I$1,FALSE)))</f>
        <v>0</v>
      </c>
      <c r="BU30" s="41">
        <f t="shared" si="25"/>
        <v>0</v>
      </c>
      <c r="BV30" s="875">
        <f t="shared" si="26"/>
        <v>0</v>
      </c>
      <c r="BW30" s="938" t="str">
        <f t="shared" si="16"/>
        <v/>
      </c>
      <c r="BX30" s="875">
        <f>'#orgDung'!T39*-1</f>
        <v>0</v>
      </c>
      <c r="BY30" s="875">
        <f t="shared" si="17"/>
        <v>0</v>
      </c>
      <c r="BZ30" s="938" t="str">
        <f>IF(U30&lt;&gt;"x",0,IF(P30&lt;4,"",(BW30+BX30-'#minDung'!N36)*-1))</f>
        <v/>
      </c>
      <c r="CB30" s="938">
        <f>IF(AND(AF30=70,U30="x"),'Flächen u. Kulturen'!A35,1000)</f>
        <v>1000</v>
      </c>
      <c r="CC30" s="875" t="str">
        <f>IF(AF30=70,VLOOKUP('Flächen u. Kulturen'!L35,Nebenkultur[[Nebenkultur]:[Legum. Zwischenfr.]],'#Zweitfr'!$I$1,FALSE),"--")</f>
        <v>--</v>
      </c>
      <c r="CD30" s="875" t="str">
        <f>IF(AF30=70,VLOOKUP('Flächen u. Kulturen'!L35,Nebenkultur[[Nebenkultur]:[Legum. Zwischenfr.]],'#Zweitfr'!$L$1,FALSE),"--")</f>
        <v>--</v>
      </c>
      <c r="CE30" s="875" t="str">
        <f>IF(AF30=70,VLOOKUP('Flächen u. Kulturen'!L35,Nebenkultur[[Nebenkultur]:[Legum. Zwischenfr.]],'#Zweitfr'!$M$1,FALSE),"--")</f>
        <v>--</v>
      </c>
      <c r="CF30" s="875" t="str">
        <f>IF(AF30=70,VLOOKUP('Flächen u. Kulturen'!L35,Nebenkultur[[Nebenkultur]:[Legum. Zwischenfr.]],'#Zweitfr'!$N$1,FALSE),"--")</f>
        <v>--</v>
      </c>
      <c r="CG30" s="875" t="str">
        <f>IF(AF30=70,VLOOKUP('Flächen u. Kulturen'!L35,Nebenkultur[[Nebenkultur]:[Legum. Zwischenfr.]],'#Zweitfr'!$O$1,FALSE),"--")</f>
        <v>--</v>
      </c>
      <c r="CH30" s="875" t="str">
        <f t="shared" si="9"/>
        <v>--</v>
      </c>
      <c r="CI30" s="938">
        <f>IF('Flächen u. Kulturen'!L35="",0,VLOOKUP('Flächen u. Kulturen'!L35,Nebenkultur[[Nebenkultur]:[Legum. Zwischenfr.]],'#Zweitfr'!$J$1,FALSE))</f>
        <v>0</v>
      </c>
      <c r="CJ30" s="875">
        <f t="shared" si="10"/>
        <v>0</v>
      </c>
      <c r="CK30" s="890">
        <f t="shared" si="11"/>
        <v>0</v>
      </c>
      <c r="CL30" s="938">
        <f>IF(AND(R30=1,AF30=70),'Flächen u. Kulturen'!W35*-1,0)</f>
        <v>0</v>
      </c>
      <c r="CM30" s="875">
        <f>'#orgDung'!AE39*-1</f>
        <v>0</v>
      </c>
      <c r="CN30" s="875">
        <f t="shared" si="27"/>
        <v>0</v>
      </c>
      <c r="CO30" s="875">
        <f t="shared" si="28"/>
        <v>0</v>
      </c>
      <c r="CP30" s="875">
        <f>'#Kürzungen'!AS155*-1</f>
        <v>0</v>
      </c>
      <c r="CQ30" s="875">
        <f t="shared" si="29"/>
        <v>0</v>
      </c>
      <c r="CR30" s="875">
        <f t="shared" si="30"/>
        <v>0</v>
      </c>
      <c r="CS30" s="875">
        <f>'#minDung'!R36</f>
        <v>0</v>
      </c>
      <c r="CT30" s="938">
        <f t="shared" si="18"/>
        <v>0</v>
      </c>
      <c r="CU30" s="52" t="str">
        <f>'#Kürzungen'!AQ155</f>
        <v xml:space="preserve"> </v>
      </c>
      <c r="CW30" s="247">
        <f>IF('Flächen u. Kulturen'!D35="",0,IF(ISNUMBER('Flächen u. Kulturen'!D35)=TRUE,2,1))</f>
        <v>0</v>
      </c>
      <c r="CX30" s="247">
        <f>IF('Flächen u. Kulturen'!E35="",0,COUNTIF('#Boden'!$B$47,'Flächen u. Kulturen'!E35)+1)</f>
        <v>2</v>
      </c>
      <c r="CY30" s="247">
        <f>IF('Flächen u. Kulturen'!F35="",0,COUNTIF('#Boden'!$G$4:$G$8,'Flächen u. Kulturen'!F35)+1)</f>
        <v>2</v>
      </c>
      <c r="CZ30" s="247">
        <f>IF('Flächen u. Kulturen'!G35="",0,COUNTIF('#Boden'!$B$26:$B$29,'Flächen u. Kulturen'!G35)+1)</f>
        <v>2</v>
      </c>
      <c r="DA30" s="247">
        <f>IF('Flächen u. Kulturen'!H35="",0,COUNTIF('#Boden'!$B$26:$B$29,'Flächen u. Kulturen'!H35)+1)</f>
        <v>2</v>
      </c>
      <c r="DB30" s="247">
        <f>IF('Flächen u. Kulturen'!I35="",0,COUNTIF('#Boden'!$B$9:$B$15,'Flächen u. Kulturen'!I35)+1)</f>
        <v>2</v>
      </c>
      <c r="DC30" s="247">
        <f>IF('Flächen u. Kulturen'!J35="",0,COUNTIF(Kulturen[HF],'Flächen u. Kulturen'!J35)+1)</f>
        <v>2</v>
      </c>
      <c r="DD30" s="247">
        <f>IF('Flächen u. Kulturen'!L35="",0,COUNTIF(Nebenkultur[Nebenkultur],'Flächen u. Kulturen'!L35)+1)</f>
        <v>2</v>
      </c>
      <c r="DE30" s="247">
        <f>IF('Flächen u. Kulturen'!M35="",0,COUNTIF('#Boden'!$G$17:$G$21,'Flächen u. Kulturen'!M35)+1)</f>
        <v>2</v>
      </c>
      <c r="DF30" s="247">
        <f>IF('Flächen u. Kulturen'!N35="",0,COUNTIF('#Boden'!$G$22:$G$24,'Flächen u. Kulturen'!N35)+1)</f>
        <v>2</v>
      </c>
      <c r="DG30" s="247">
        <f>IF('Flächen u. Kulturen'!P35="",0,COUNTIF(Kulturen[HF],'Flächen u. Kulturen'!P35)+1)</f>
        <v>2</v>
      </c>
      <c r="DH30" s="247">
        <f>IF('Flächen u. Kulturen'!T35="",0,COUNTIF('#Boden'!$B$30:$B$32,'Flächen u. Kulturen'!T35)+1)</f>
        <v>2</v>
      </c>
      <c r="DI30" s="247">
        <f>IF('Flächen u. Kulturen'!K35="",0,IF(ISNUMBER('Flächen u. Kulturen'!K35)=TRUE,2,1))</f>
        <v>0</v>
      </c>
      <c r="DJ30" s="247">
        <f>IF('Flächen u. Kulturen'!U35="",0,IF(ISNUMBER('Flächen u. Kulturen'!U35)=TRUE,2,1))</f>
        <v>0</v>
      </c>
      <c r="DK30" s="247">
        <f>IF('Flächen u. Kulturen'!V35="",0,IF(ISNUMBER('Flächen u. Kulturen'!V35)=TRUE,2,1))</f>
        <v>0</v>
      </c>
      <c r="DL30" s="247">
        <f>IF('Flächen u. Kulturen'!W35="",0,IF(ISNUMBER('Flächen u. Kulturen'!W35)=TRUE,2,1))</f>
        <v>0</v>
      </c>
      <c r="DM30" s="247">
        <f t="shared" si="31"/>
        <v>0</v>
      </c>
      <c r="DN30" s="247" t="s">
        <v>344</v>
      </c>
      <c r="DO30" s="247">
        <f>IF(U30&lt;&gt;"x","",IF(OR('Flächen u. Kulturen'!B35="",'Flächen u. Kulturen'!C35="",'Flächen u. Kulturen'!D35="",'Flächen u. Kulturen'!D35=0,'Flächen u. Kulturen'!F35="",'Flächen u. Kulturen'!F35='#Boden'!$G$4,'Flächen u. Kulturen'!G35="",'Flächen u. Kulturen'!G35='#Boden'!$B$26,'Flächen u. Kulturen'!H35="",'Flächen u. Kulturen'!H35='#Boden'!$B$23,AND(N30&lt;&gt;2,OR('Flächen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Kulturen'!Q35="",'#BerechnungDBE'!N30&lt;3),AND('Flächen u. Kulturen'!R35="",'#BerechnungDBE'!N30=3),AND(N30=1,AL30&gt;0,'Flächen u. Kulturen'!S35=""),AND(N30=1,OR('Flächen u. Kulturen'!T35="",'Flächen u. Kulturen'!T35='#Boden'!$B$30)),AND('#BerechnungDBE'!AF30=70,OR('Flächen u. Kulturen'!N35="",'Flächen u. Kulturen'!N35='#Boden'!$G$22,'Flächen u. Kulturen'!O35="")),AND('#BerechnungDBE'!AF30=80,OR('Flächen u. Kulturen'!M35="",'Flächen u. Kulturen'!M35='#Boden'!$G$17,'Flächen u. Kulturen'!N35="",'Flächen u. Kulturen'!N35='#Boden'!$G$22))),$DO$4,""))</f>
        <v>1</v>
      </c>
      <c r="DP30" s="247" t="str">
        <f>IF(U30&lt;&gt;"x","",IF(OR(LEFT('Flächen u. Kulturen'!J35,2)=" +",LEFT('Flächen u. Kulturen'!L35,2)=" +",LEFT('Flächen u. Kulturen'!P35,2)=" +"),$DP$4,""))</f>
        <v/>
      </c>
      <c r="DQ30" s="428" t="str">
        <f t="shared" si="12"/>
        <v/>
      </c>
      <c r="DR30" s="938" t="str">
        <f t="shared" si="13"/>
        <v/>
      </c>
      <c r="DS30" s="938" t="str">
        <f>IF('Flächen u. Kulturen'!X35="","",ROW('Flächen u. Kulturen'!X35))</f>
        <v/>
      </c>
    </row>
    <row r="31" spans="1:123" s="875" customFormat="1" x14ac:dyDescent="0.2">
      <c r="A31" s="875" t="str">
        <f>IF('Daten aus 2021'!H33="",'#Boden'!$B$26,IF('Daten aus 2021'!H33='#Boden'!$B$39,IF('Daten aus 2021'!F33='#Boden'!$B$29,'#Boden'!$B$29,IF('Daten aus 2021'!K33='#Boden'!$B$34,'#Boden'!$B$28,'#Boden'!$B$27)),'Daten aus 2021'!F33))</f>
        <v xml:space="preserve"> --</v>
      </c>
      <c r="B31" s="875" t="str">
        <f>IF('Daten aus 2021'!H33='#Boden'!$B$39,IF('Daten aus 2021'!L33='#Boden'!$B$61,'#Boden'!$B$11,'Daten aus 2021'!L33),IF('Daten aus 2021'!P33='#Boden'!$B$58,'#Boden'!$B$11,IF('Daten aus 2021'!P33='#Boden'!$B$57,'#Boden'!$B$10,'#Boden'!$B$9)))</f>
        <v xml:space="preserve"> --         </v>
      </c>
      <c r="C31" s="875" t="str">
        <f>IF('Daten aus 2021'!N33="","",VLOOKUP('Daten aus 2021'!N33,'#Boden'!$B$68:$C$89,2,FALSE))</f>
        <v/>
      </c>
      <c r="D31" s="875" t="str">
        <f>IF('Daten aus 2021'!M33="","",VLOOKUP('Daten aus 2021'!M33,'#Boden'!$D$69:$E$73,2,FALSE))</f>
        <v/>
      </c>
      <c r="E31" s="938" t="str">
        <f>IF(OR(C31='#Boden'!$C$68,C31='#Boden'!$C$70),C31,CONCATENATE(C31,D31))</f>
        <v/>
      </c>
      <c r="F31" s="882" t="str">
        <f>IFERROR(IF('Daten aus 2021'!H33="",'#Frucht'!$D$8,IF('Daten aus 2021'!H33='#Boden'!$B$39,E31,IF('Daten aus 2021'!H33='#Boden'!$B$38,IF(CONCATENATE(" ",'Daten aus 2021'!W33)=$B$2,VLOOKUP($B$3,'#Frucht'!$A$8:$D$372,4,FALSE),VLOOKUP(CONCATENATE(" ",'Daten aus 2021'!W33),'#Frucht'!$A$8:$D$372,4,FALSE)),IF(OR(LEFT('Daten aus 2021'!Q33,5)=" *10 ",LEFT('Daten aus 2021'!Q33,5)=" *11 ",LEFT('Daten aus 2021'!Q33,5)=" *12 ",LEFT('Daten aus 2021'!Q33,5)=" *13 ",LEFT('Daten aus 2021'!Q33,5)=" *14 ",LEFT('Daten aus 2021'!Q33,5)=" *15 "),VLOOKUP(RIGHT('Daten aus 2021'!Q33,LEN('Daten aus 2021'!Q33)-4),'#Frucht'!$A$8:$D$372,4,FALSE),IF(LEFT('Daten aus 2021'!Q33,2)=" *",VLOOKUP(RIGHT('Daten aus 2021'!Q33,LEN('Daten aus 2021'!Q33)-3),'#Frucht'!$A$8:$D$372,4,FALSE),VLOOKUP('Daten aus 2021'!Q33,'#Frucht'!$A$8:$D$372,4,FALSE)))))),'#Frucht'!$D$8)</f>
        <v xml:space="preserve"> --  </v>
      </c>
      <c r="G31" s="127"/>
      <c r="H31" s="31"/>
      <c r="J31" s="938" t="str">
        <f>IF(OR(N31=3,$K$3=0,'Flächen u. Kulturen'!P36=""),"",IF(VLOOKUP('Flächen u. Kulturen'!P36,Kulturen[[HF]:[780]],'#BerechnungDBE'!$K$3,FALSE)=".","",VLOOKUP('Flächen u. Kulturen'!P36,Kulturen[[HF]:[780]],'#BerechnungDBE'!$K$3,FALSE)))</f>
        <v/>
      </c>
      <c r="K31" s="938" t="str">
        <f>IF(OR($K$3=0,'Flächen u. Kulturen'!P36=""),"",IF(N31=3,IF(VLOOKUP('Flächen u. Kulturen'!P36,Kulturen[[HF]:[780]],'#BerechnungDBE'!$K$3,FALSE)=".","",VLOOKUP('Flächen u. Kulturen'!P36,Kulturen[[HF]:[780]],'#BerechnungDBE'!$K$3,FALSE)),""))</f>
        <v/>
      </c>
      <c r="L31" s="367">
        <f>IF('Flächen u. Kulturen'!D36="",0,'Flächen u. Kulturen'!D36)</f>
        <v>0</v>
      </c>
      <c r="M31" s="693">
        <f>IF('Flächen u. Kulturen'!J36="",0,VLOOKUP('Flächen u. Kulturen'!J36,Kulturen[[HF]:[Berechnungsgruppe]],'#Frucht'!$W$1,FALSE))</f>
        <v>1</v>
      </c>
      <c r="N31" s="693">
        <f>IF('Flächen u. Kulturen'!P36="",0,VLOOKUP('Flächen u. Kulturen'!P36,Kulturen[[HF]:[Berechnungsgruppe]],'#Frucht'!$W$1,FALSE))</f>
        <v>1</v>
      </c>
      <c r="O31" s="875">
        <f>IF(N31&lt;&gt;2,N31,IF('Flächen u. Kulturen'!J36='Flächen u. Kulturen'!P36,2,1))</f>
        <v>1</v>
      </c>
      <c r="P31" s="875">
        <f>IF('Flächen u. Kulturen'!F36="",0,VLOOKUP('Flächen u. Kulturen'!F36,'#Boden'!$G$4:$H$8,'#Boden'!$H$1,FALSE))</f>
        <v>1</v>
      </c>
      <c r="Q31" s="875">
        <f>IF('Flächen u. Kulturen'!G36="",0,VLOOKUP('Flächen u. Kulturen'!G36,'#Boden'!$B$26:$C$29,'#Boden'!$C$1,FALSE))</f>
        <v>1</v>
      </c>
      <c r="R31" s="875">
        <f t="shared" si="19"/>
        <v>1</v>
      </c>
      <c r="S31" s="875">
        <f t="shared" si="20"/>
        <v>1</v>
      </c>
      <c r="T31" s="875">
        <f>IF('Flächen u. Kulturen'!H36="",0,VLOOKUP('Flächen u. Kulturen'!H36,'#Boden'!$B$23:$C$25,'#Boden'!$C$1,FALSE))</f>
        <v>2</v>
      </c>
      <c r="U31" s="875" t="str">
        <f>'Flächen u. Kulturen'!E36</f>
        <v>x</v>
      </c>
      <c r="V31" s="938">
        <f>IF('Flächen u. Kulturen'!Q36="",0,_xlfn.NUMBERVALUE('Flächen u. Kulturen'!Q36))</f>
        <v>0</v>
      </c>
      <c r="W31" s="938">
        <f>IF('Flächen u. Kulturen'!R36="",0,_xlfn.NUMBERVALUE('Flächen u. Kulturen'!R36))</f>
        <v>0</v>
      </c>
      <c r="X31" s="875">
        <f>IF('Flächen u. Kulturen'!T36="",0,VLOOKUP('Flächen u. Kulturen'!T36,'#Boden'!$B$30:$C$32,'#Boden'!$C$1,FALSE))</f>
        <v>1</v>
      </c>
      <c r="Y31" s="875">
        <f>IF('Flächen u. Kulturen'!P36="",0,VLOOKUP('Flächen u. Kulturen'!P36,Kulturen[[HF]:[Berechnungsgruppe]],'#Frucht'!$N$1,FALSE))</f>
        <v>0</v>
      </c>
      <c r="Z31" s="875">
        <f t="shared" si="21"/>
        <v>2</v>
      </c>
      <c r="AA31" s="875">
        <f>IF('Flächen u. Kulturen'!P36="",0,VLOOKUP('Flächen u. Kulturen'!P36,Kulturen[[HF]:[Berechnungsgruppe]],'#Frucht'!$V$1,FALSE))</f>
        <v>0</v>
      </c>
      <c r="AB31" s="875">
        <f>IF(N31=1,VLOOKUP('Flächen u. Kulturen'!P36,Kulturen[[HF]:[Ernteprodukt]],'#Frucht'!$I$1,FALSE),4)</f>
        <v>4</v>
      </c>
      <c r="AC31" s="921">
        <f>IF('Flächen u. Kulturen'!J36="",0,VLOOKUP('Flächen u. Kulturen'!J36,Kulturen[[HF]:[Berechnungsgruppe]],'#Frucht'!$G$1,FALSE))</f>
        <v>90</v>
      </c>
      <c r="AD31" s="921">
        <f>IF('Flächen u. Kulturen'!P36="",0,VLOOKUP('Flächen u. Kulturen'!P36,Kulturen[[HF]:[Berechnungsgruppe]],'#Frucht'!$G$1,FALSE))</f>
        <v>90</v>
      </c>
      <c r="AE31" s="938">
        <f>IF('Flächen u. Kulturen'!P36="",0,VLOOKUP('Flächen u. Kulturen'!P36,Kulturen[[HF]:[SollwertMinusNfix]],'#Frucht'!$X$1,FALSE))</f>
        <v>0</v>
      </c>
      <c r="AF31" s="875">
        <f>IF('Flächen u. Kulturen'!L36="",0,VLOOKUP('Flächen u. Kulturen'!L36,Nebenkultur[[Nebenkultur]:[Berechnungsschema]],'#Zweitfr'!$G$1,FALSE))</f>
        <v>0</v>
      </c>
      <c r="AG31" s="875">
        <f>IF('Flächen u. Kulturen'!L36="",0,VLOOKUP('Flächen u. Kulturen'!L36,'#Zweitfr'!$D$8:$Q$27,'#Zweitfr'!$Q$1,FALSE))</f>
        <v>0</v>
      </c>
      <c r="AH31" s="875">
        <f>IF('Flächen u. Kulturen'!M36="",0,VLOOKUP('Flächen u. Kulturen'!M36,'#Boden'!$G$17:$H$21,2,FALSE))</f>
        <v>1</v>
      </c>
      <c r="AI31" s="875">
        <f>IF('Flächen u. Kulturen'!N36="",0,VLOOKUP('Flächen u. Kulturen'!N36,'#Boden'!$G$22:$H$24,'#Boden'!$H$1,FALSE))</f>
        <v>1</v>
      </c>
      <c r="AJ31" s="938">
        <f>IF('Flächen u. Kulturen'!O36="",0,_xlfn.NUMBERVALUE('Flächen u. Kulturen'!O36))</f>
        <v>0</v>
      </c>
      <c r="AK31" s="938">
        <f>IF('Flächen u. Kulturen'!L36="",0,VLOOKUP('Flächen u. Kulturen'!L36,Nebenkultur[[Nebenkultur]:[Legum. Zwischenfr.]],'#Zweitfr'!$P$1,FALSE))</f>
        <v>0</v>
      </c>
      <c r="AL31" s="875">
        <f>IF('Flächen u. Kulturen'!P36="",0,VLOOKUP('Flächen u. Kulturen'!P36,Kulturen[[HF]:[Berechnungsgruppe]],'#Frucht'!$Q$1,FALSE))</f>
        <v>0</v>
      </c>
      <c r="AM31" s="875">
        <f>IF('Flächen u. Kulturen'!P36="",0,VLOOKUP('Flächen u. Kulturen'!P36,Kulturen[[HF]:[Berechnungsgruppe]],'#Frucht'!$M$1,FALSE))</f>
        <v>0</v>
      </c>
      <c r="AN31" s="875">
        <f>IF('Flächen u. Kulturen'!P36="",1,VLOOKUP('Flächen u. Kulturen'!P36,Kulturen[[HF]:[Berechnungsgruppe]],'#Frucht'!$R$1,FALSE))</f>
        <v>10</v>
      </c>
      <c r="AO31" s="875">
        <f>IF('Flächen u. Kulturen'!P36="",0,VLOOKUP('Flächen u. Kulturen'!P36,Kulturen[[HF]:[Berechnungsgruppe]],'#Frucht'!$S$1,FALSE))</f>
        <v>0</v>
      </c>
      <c r="AP31" s="875">
        <f>IF('Flächen u. Kulturen'!P36="",0,VLOOKUP('Flächen u. Kulturen'!P36,Kulturen[[HF]:[Berechnungsgruppe]],'#Frucht'!$T$1,FALSE))</f>
        <v>0</v>
      </c>
      <c r="AQ31" s="938">
        <f t="shared" si="1"/>
        <v>0</v>
      </c>
      <c r="AR31" s="875">
        <f t="shared" si="2"/>
        <v>0</v>
      </c>
      <c r="AS31" s="938">
        <f t="shared" si="3"/>
        <v>0</v>
      </c>
      <c r="AT31" s="875">
        <f>IF(N31=1,'Flächen u. Kulturen'!S36*-1,"--")</f>
        <v>0</v>
      </c>
      <c r="AU31" s="938">
        <f>IF(OR(N31=2,'Flächen u. Kulturen'!I36=""),"--",IF(N31=3,VLOOKUP('Flächen u. Kulturen'!I36,'#Boden'!$B$9:$E$15,'#Boden'!$D$1,FALSE),VLOOKUP('Flächen u. Kulturen'!I36,'#Boden'!$B$9:$E$15,'#Boden'!$E$1,FALSE)))</f>
        <v>0</v>
      </c>
      <c r="AV31" s="938">
        <f>IF(N31=1,IF('Flächen u. Kulturen'!J36="",0,VLOOKUP('Flächen u. Kulturen'!J36,Kulturen[[HF]:[Berechnungsgruppe]],'#Frucht'!$U$1,FALSE)*-1),"--")</f>
        <v>0</v>
      </c>
      <c r="AW31" s="875">
        <f t="shared" si="4"/>
        <v>0</v>
      </c>
      <c r="AX31" s="875">
        <f>IF('Flächen u. Kulturen'!K36="",0,'Flächen u. Kulturen'!K36*-0.1)</f>
        <v>0</v>
      </c>
      <c r="AY31" s="875">
        <f>IF(N31&lt;3,'#orgDung'!AC40*0.1*-1,"--")</f>
        <v>0</v>
      </c>
      <c r="AZ31" s="31" t="str">
        <f>IF(AND('#orgDung'!J40&lt;&gt;2,'#orgDung'!F40=1),('#orgDung'!V40+'#minDung'!O37)*-1,"--")</f>
        <v>--</v>
      </c>
      <c r="BA31" s="875">
        <f t="shared" si="22"/>
        <v>0</v>
      </c>
      <c r="BB31" s="938">
        <f>IF(R31=2,0,'Flächen u. Kulturen'!V36*-1)</f>
        <v>0</v>
      </c>
      <c r="BC31" s="875">
        <f t="shared" si="23"/>
        <v>0</v>
      </c>
      <c r="BD31" s="127">
        <f>'#orgDung'!W40*-1</f>
        <v>0</v>
      </c>
      <c r="BE31" s="910">
        <f>'#orgDung'!AA40*-1</f>
        <v>0</v>
      </c>
      <c r="BF31" s="875">
        <f>'#orgDung'!Z40*-1</f>
        <v>0</v>
      </c>
      <c r="BG31" s="938">
        <f t="shared" si="14"/>
        <v>0</v>
      </c>
      <c r="BH31" s="875">
        <f>'#Kürzungen'!AS55*-1</f>
        <v>0</v>
      </c>
      <c r="BI31" s="875">
        <f t="shared" si="5"/>
        <v>0</v>
      </c>
      <c r="BJ31" s="910">
        <f t="shared" si="6"/>
        <v>0</v>
      </c>
      <c r="BK31" s="875">
        <f>'#minDung'!P37</f>
        <v>0</v>
      </c>
      <c r="BL31" s="938">
        <f t="shared" si="15"/>
        <v>0</v>
      </c>
      <c r="BM31" s="938">
        <f t="shared" si="7"/>
        <v>0</v>
      </c>
      <c r="BN31" s="875">
        <f>IF('Flächen u. Kulturen'!P36="",0,VLOOKUP('Flächen u. Kulturen'!P36,Kulturen[[HF]:[Berechnungsgruppe]],'#Frucht'!$K$1,FALSE))</f>
        <v>0</v>
      </c>
      <c r="BO31" s="875">
        <f>IF('Flächen u. Kulturen'!P36="",0,VLOOKUP('Flächen u. Kulturen'!P36,Kulturen[[HF]:[Berechnungsgruppe]],'#Frucht'!$L$1,FALSE))</f>
        <v>0</v>
      </c>
      <c r="BP31" s="875">
        <f>IF('Flächen u. Kulturen'!L36="",0,VLOOKUP('Flächen u. Kulturen'!L36,Nebenkultur[[Nebenkultur]:[Legum. Zwischenfr.]],'#Zweitfr'!$H$1,FALSE))</f>
        <v>0</v>
      </c>
      <c r="BQ31" s="938">
        <f>IF(N31=3,W31*BO31,IF('Flächen u. Kulturen'!T36='#Boden'!$B$32,V31*BN31,V31*BO31))</f>
        <v>0</v>
      </c>
      <c r="BR31" s="938">
        <f t="shared" si="8"/>
        <v>0</v>
      </c>
      <c r="BS31" s="875">
        <f t="shared" si="24"/>
        <v>0</v>
      </c>
      <c r="BT31" s="875">
        <f>IF('Flächen u. Kulturen'!F36="",0,IF(N31=3,VLOOKUP('Flächen u. Kulturen'!F36,'#Boden'!$G$4:$J$8,'#Boden'!$J$1,FALSE),VLOOKUP('Flächen u. Kulturen'!F36,'#Boden'!$G$4:$J$8,'#Boden'!$I$1,FALSE)))</f>
        <v>0</v>
      </c>
      <c r="BU31" s="41">
        <f t="shared" si="25"/>
        <v>0</v>
      </c>
      <c r="BV31" s="875">
        <f t="shared" si="26"/>
        <v>0</v>
      </c>
      <c r="BW31" s="938" t="str">
        <f t="shared" si="16"/>
        <v/>
      </c>
      <c r="BX31" s="875">
        <f>'#orgDung'!T40*-1</f>
        <v>0</v>
      </c>
      <c r="BY31" s="875">
        <f t="shared" si="17"/>
        <v>0</v>
      </c>
      <c r="BZ31" s="938" t="str">
        <f>IF(U31&lt;&gt;"x",0,IF(P31&lt;4,"",(BW31+BX31-'#minDung'!N37)*-1))</f>
        <v/>
      </c>
      <c r="CB31" s="938">
        <f>IF(AND(AF31=70,U31="x"),'Flächen u. Kulturen'!A36,1000)</f>
        <v>1000</v>
      </c>
      <c r="CC31" s="875" t="str">
        <f>IF(AF31=70,VLOOKUP('Flächen u. Kulturen'!L36,Nebenkultur[[Nebenkultur]:[Legum. Zwischenfr.]],'#Zweitfr'!$I$1,FALSE),"--")</f>
        <v>--</v>
      </c>
      <c r="CD31" s="875" t="str">
        <f>IF(AF31=70,VLOOKUP('Flächen u. Kulturen'!L36,Nebenkultur[[Nebenkultur]:[Legum. Zwischenfr.]],'#Zweitfr'!$L$1,FALSE),"--")</f>
        <v>--</v>
      </c>
      <c r="CE31" s="875" t="str">
        <f>IF(AF31=70,VLOOKUP('Flächen u. Kulturen'!L36,Nebenkultur[[Nebenkultur]:[Legum. Zwischenfr.]],'#Zweitfr'!$M$1,FALSE),"--")</f>
        <v>--</v>
      </c>
      <c r="CF31" s="875" t="str">
        <f>IF(AF31=70,VLOOKUP('Flächen u. Kulturen'!L36,Nebenkultur[[Nebenkultur]:[Legum. Zwischenfr.]],'#Zweitfr'!$N$1,FALSE),"--")</f>
        <v>--</v>
      </c>
      <c r="CG31" s="875" t="str">
        <f>IF(AF31=70,VLOOKUP('Flächen u. Kulturen'!L36,Nebenkultur[[Nebenkultur]:[Legum. Zwischenfr.]],'#Zweitfr'!$O$1,FALSE),"--")</f>
        <v>--</v>
      </c>
      <c r="CH31" s="875" t="str">
        <f t="shared" si="9"/>
        <v>--</v>
      </c>
      <c r="CI31" s="938">
        <f>IF('Flächen u. Kulturen'!L36="",0,VLOOKUP('Flächen u. Kulturen'!L36,Nebenkultur[[Nebenkultur]:[Legum. Zwischenfr.]],'#Zweitfr'!$J$1,FALSE))</f>
        <v>0</v>
      </c>
      <c r="CJ31" s="875">
        <f t="shared" si="10"/>
        <v>0</v>
      </c>
      <c r="CK31" s="890">
        <f t="shared" si="11"/>
        <v>0</v>
      </c>
      <c r="CL31" s="938">
        <f>IF(AND(R31=1,AF31=70),'Flächen u. Kulturen'!W36*-1,0)</f>
        <v>0</v>
      </c>
      <c r="CM31" s="875">
        <f>'#orgDung'!AE40*-1</f>
        <v>0</v>
      </c>
      <c r="CN31" s="875">
        <f t="shared" si="27"/>
        <v>0</v>
      </c>
      <c r="CO31" s="875">
        <f t="shared" si="28"/>
        <v>0</v>
      </c>
      <c r="CP31" s="875">
        <f>'#Kürzungen'!AS156*-1</f>
        <v>0</v>
      </c>
      <c r="CQ31" s="875">
        <f t="shared" si="29"/>
        <v>0</v>
      </c>
      <c r="CR31" s="875">
        <f t="shared" si="30"/>
        <v>0</v>
      </c>
      <c r="CS31" s="875">
        <f>'#minDung'!R37</f>
        <v>0</v>
      </c>
      <c r="CT31" s="938">
        <f t="shared" si="18"/>
        <v>0</v>
      </c>
      <c r="CU31" s="52" t="str">
        <f>'#Kürzungen'!AQ156</f>
        <v xml:space="preserve"> </v>
      </c>
      <c r="CW31" s="247">
        <f>IF('Flächen u. Kulturen'!D36="",0,IF(ISNUMBER('Flächen u. Kulturen'!D36)=TRUE,2,1))</f>
        <v>0</v>
      </c>
      <c r="CX31" s="247">
        <f>IF('Flächen u. Kulturen'!E36="",0,COUNTIF('#Boden'!$B$47,'Flächen u. Kulturen'!E36)+1)</f>
        <v>2</v>
      </c>
      <c r="CY31" s="247">
        <f>IF('Flächen u. Kulturen'!F36="",0,COUNTIF('#Boden'!$G$4:$G$8,'Flächen u. Kulturen'!F36)+1)</f>
        <v>2</v>
      </c>
      <c r="CZ31" s="247">
        <f>IF('Flächen u. Kulturen'!G36="",0,COUNTIF('#Boden'!$B$26:$B$29,'Flächen u. Kulturen'!G36)+1)</f>
        <v>2</v>
      </c>
      <c r="DA31" s="247">
        <f>IF('Flächen u. Kulturen'!H36="",0,COUNTIF('#Boden'!$B$26:$B$29,'Flächen u. Kulturen'!H36)+1)</f>
        <v>2</v>
      </c>
      <c r="DB31" s="247">
        <f>IF('Flächen u. Kulturen'!I36="",0,COUNTIF('#Boden'!$B$9:$B$15,'Flächen u. Kulturen'!I36)+1)</f>
        <v>2</v>
      </c>
      <c r="DC31" s="247">
        <f>IF('Flächen u. Kulturen'!J36="",0,COUNTIF(Kulturen[HF],'Flächen u. Kulturen'!J36)+1)</f>
        <v>2</v>
      </c>
      <c r="DD31" s="247">
        <f>IF('Flächen u. Kulturen'!L36="",0,COUNTIF(Nebenkultur[Nebenkultur],'Flächen u. Kulturen'!L36)+1)</f>
        <v>2</v>
      </c>
      <c r="DE31" s="247">
        <f>IF('Flächen u. Kulturen'!M36="",0,COUNTIF('#Boden'!$G$17:$G$21,'Flächen u. Kulturen'!M36)+1)</f>
        <v>2</v>
      </c>
      <c r="DF31" s="247">
        <f>IF('Flächen u. Kulturen'!N36="",0,COUNTIF('#Boden'!$G$22:$G$24,'Flächen u. Kulturen'!N36)+1)</f>
        <v>2</v>
      </c>
      <c r="DG31" s="247">
        <f>IF('Flächen u. Kulturen'!P36="",0,COUNTIF(Kulturen[HF],'Flächen u. Kulturen'!P36)+1)</f>
        <v>2</v>
      </c>
      <c r="DH31" s="247">
        <f>IF('Flächen u. Kulturen'!T36="",0,COUNTIF('#Boden'!$B$30:$B$32,'Flächen u. Kulturen'!T36)+1)</f>
        <v>2</v>
      </c>
      <c r="DI31" s="247">
        <f>IF('Flächen u. Kulturen'!K36="",0,IF(ISNUMBER('Flächen u. Kulturen'!K36)=TRUE,2,1))</f>
        <v>0</v>
      </c>
      <c r="DJ31" s="247">
        <f>IF('Flächen u. Kulturen'!U36="",0,IF(ISNUMBER('Flächen u. Kulturen'!U36)=TRUE,2,1))</f>
        <v>0</v>
      </c>
      <c r="DK31" s="247">
        <f>IF('Flächen u. Kulturen'!V36="",0,IF(ISNUMBER('Flächen u. Kulturen'!V36)=TRUE,2,1))</f>
        <v>0</v>
      </c>
      <c r="DL31" s="247">
        <f>IF('Flächen u. Kulturen'!W36="",0,IF(ISNUMBER('Flächen u. Kulturen'!W36)=TRUE,2,1))</f>
        <v>0</v>
      </c>
      <c r="DM31" s="247">
        <f t="shared" si="31"/>
        <v>0</v>
      </c>
      <c r="DN31" s="247" t="s">
        <v>344</v>
      </c>
      <c r="DO31" s="247">
        <f>IF(U31&lt;&gt;"x","",IF(OR('Flächen u. Kulturen'!B36="",'Flächen u. Kulturen'!C36="",'Flächen u. Kulturen'!D36="",'Flächen u. Kulturen'!D36=0,'Flächen u. Kulturen'!F36="",'Flächen u. Kulturen'!F36='#Boden'!$G$4,'Flächen u. Kulturen'!G36="",'Flächen u. Kulturen'!G36='#Boden'!$B$26,'Flächen u. Kulturen'!H36="",'Flächen u. Kulturen'!H36='#Boden'!$B$23,AND(N31&lt;&gt;2,OR('Flächen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Kulturen'!Q36="",'#BerechnungDBE'!N31&lt;3),AND('Flächen u. Kulturen'!R36="",'#BerechnungDBE'!N31=3),AND(N31=1,AL31&gt;0,'Flächen u. Kulturen'!S36=""),AND(N31=1,OR('Flächen u. Kulturen'!T36="",'Flächen u. Kulturen'!T36='#Boden'!$B$30)),AND('#BerechnungDBE'!AF31=70,OR('Flächen u. Kulturen'!N36="",'Flächen u. Kulturen'!N36='#Boden'!$G$22,'Flächen u. Kulturen'!O36="")),AND('#BerechnungDBE'!AF31=80,OR('Flächen u. Kulturen'!M36="",'Flächen u. Kulturen'!M36='#Boden'!$G$17,'Flächen u. Kulturen'!N36="",'Flächen u. Kulturen'!N36='#Boden'!$G$22))),$DO$4,""))</f>
        <v>1</v>
      </c>
      <c r="DP31" s="247" t="str">
        <f>IF(U31&lt;&gt;"x","",IF(OR(LEFT('Flächen u. Kulturen'!J36,2)=" +",LEFT('Flächen u. Kulturen'!L36,2)=" +",LEFT('Flächen u. Kulturen'!P36,2)=" +"),$DP$4,""))</f>
        <v/>
      </c>
      <c r="DQ31" s="428" t="str">
        <f t="shared" si="12"/>
        <v/>
      </c>
      <c r="DR31" s="938" t="str">
        <f t="shared" si="13"/>
        <v/>
      </c>
      <c r="DS31" s="938" t="str">
        <f>IF('Flächen u. Kulturen'!X36="","",ROW('Flächen u. Kulturen'!X36))</f>
        <v/>
      </c>
    </row>
    <row r="32" spans="1:123" s="875" customFormat="1" x14ac:dyDescent="0.2">
      <c r="A32" s="875" t="str">
        <f>IF('Daten aus 2021'!H34="",'#Boden'!$B$26,IF('Daten aus 2021'!H34='#Boden'!$B$39,IF('Daten aus 2021'!F34='#Boden'!$B$29,'#Boden'!$B$29,IF('Daten aus 2021'!K34='#Boden'!$B$34,'#Boden'!$B$28,'#Boden'!$B$27)),'Daten aus 2021'!F34))</f>
        <v xml:space="preserve"> --</v>
      </c>
      <c r="B32" s="875" t="str">
        <f>IF('Daten aus 2021'!H34='#Boden'!$B$39,IF('Daten aus 2021'!L34='#Boden'!$B$61,'#Boden'!$B$11,'Daten aus 2021'!L34),IF('Daten aus 2021'!P34='#Boden'!$B$58,'#Boden'!$B$11,IF('Daten aus 2021'!P34='#Boden'!$B$57,'#Boden'!$B$10,'#Boden'!$B$9)))</f>
        <v xml:space="preserve"> --         </v>
      </c>
      <c r="C32" s="875" t="str">
        <f>IF('Daten aus 2021'!N34="","",VLOOKUP('Daten aus 2021'!N34,'#Boden'!$B$68:$C$89,2,FALSE))</f>
        <v/>
      </c>
      <c r="D32" s="875" t="str">
        <f>IF('Daten aus 2021'!M34="","",VLOOKUP('Daten aus 2021'!M34,'#Boden'!$D$69:$E$73,2,FALSE))</f>
        <v/>
      </c>
      <c r="E32" s="938" t="str">
        <f>IF(OR(C32='#Boden'!$C$68,C32='#Boden'!$C$70),C32,CONCATENATE(C32,D32))</f>
        <v/>
      </c>
      <c r="F32" s="882" t="str">
        <f>IFERROR(IF('Daten aus 2021'!H34="",'#Frucht'!$D$8,IF('Daten aus 2021'!H34='#Boden'!$B$39,E32,IF('Daten aus 2021'!H34='#Boden'!$B$38,IF(CONCATENATE(" ",'Daten aus 2021'!W34)=$B$2,VLOOKUP($B$3,'#Frucht'!$A$8:$D$372,4,FALSE),VLOOKUP(CONCATENATE(" ",'Daten aus 2021'!W34),'#Frucht'!$A$8:$D$372,4,FALSE)),IF(OR(LEFT('Daten aus 2021'!Q34,5)=" *10 ",LEFT('Daten aus 2021'!Q34,5)=" *11 ",LEFT('Daten aus 2021'!Q34,5)=" *12 ",LEFT('Daten aus 2021'!Q34,5)=" *13 ",LEFT('Daten aus 2021'!Q34,5)=" *14 ",LEFT('Daten aus 2021'!Q34,5)=" *15 "),VLOOKUP(RIGHT('Daten aus 2021'!Q34,LEN('Daten aus 2021'!Q34)-4),'#Frucht'!$A$8:$D$372,4,FALSE),IF(LEFT('Daten aus 2021'!Q34,2)=" *",VLOOKUP(RIGHT('Daten aus 2021'!Q34,LEN('Daten aus 2021'!Q34)-3),'#Frucht'!$A$8:$D$372,4,FALSE),VLOOKUP('Daten aus 2021'!Q34,'#Frucht'!$A$8:$D$372,4,FALSE)))))),'#Frucht'!$D$8)</f>
        <v xml:space="preserve"> --  </v>
      </c>
      <c r="G32" s="127"/>
      <c r="H32" s="31"/>
      <c r="J32" s="938" t="str">
        <f>IF(OR(N32=3,$K$3=0,'Flächen u. Kulturen'!P37=""),"",IF(VLOOKUP('Flächen u. Kulturen'!P37,Kulturen[[HF]:[780]],'#BerechnungDBE'!$K$3,FALSE)=".","",VLOOKUP('Flächen u. Kulturen'!P37,Kulturen[[HF]:[780]],'#BerechnungDBE'!$K$3,FALSE)))</f>
        <v/>
      </c>
      <c r="K32" s="938" t="str">
        <f>IF(OR($K$3=0,'Flächen u. Kulturen'!P37=""),"",IF(N32=3,IF(VLOOKUP('Flächen u. Kulturen'!P37,Kulturen[[HF]:[780]],'#BerechnungDBE'!$K$3,FALSE)=".","",VLOOKUP('Flächen u. Kulturen'!P37,Kulturen[[HF]:[780]],'#BerechnungDBE'!$K$3,FALSE)),""))</f>
        <v/>
      </c>
      <c r="L32" s="367">
        <f>IF('Flächen u. Kulturen'!D37="",0,'Flächen u. Kulturen'!D37)</f>
        <v>0</v>
      </c>
      <c r="M32" s="693">
        <f>IF('Flächen u. Kulturen'!J37="",0,VLOOKUP('Flächen u. Kulturen'!J37,Kulturen[[HF]:[Berechnungsgruppe]],'#Frucht'!$W$1,FALSE))</f>
        <v>1</v>
      </c>
      <c r="N32" s="693">
        <f>IF('Flächen u. Kulturen'!P37="",0,VLOOKUP('Flächen u. Kulturen'!P37,Kulturen[[HF]:[Berechnungsgruppe]],'#Frucht'!$W$1,FALSE))</f>
        <v>1</v>
      </c>
      <c r="O32" s="875">
        <f>IF(N32&lt;&gt;2,N32,IF('Flächen u. Kulturen'!J37='Flächen u. Kulturen'!P37,2,1))</f>
        <v>1</v>
      </c>
      <c r="P32" s="875">
        <f>IF('Flächen u. Kulturen'!F37="",0,VLOOKUP('Flächen u. Kulturen'!F37,'#Boden'!$G$4:$H$8,'#Boden'!$H$1,FALSE))</f>
        <v>1</v>
      </c>
      <c r="Q32" s="875">
        <f>IF('Flächen u. Kulturen'!G37="",0,VLOOKUP('Flächen u. Kulturen'!G37,'#Boden'!$B$26:$C$29,'#Boden'!$C$1,FALSE))</f>
        <v>1</v>
      </c>
      <c r="R32" s="875">
        <f t="shared" si="19"/>
        <v>1</v>
      </c>
      <c r="S32" s="875">
        <f t="shared" si="20"/>
        <v>1</v>
      </c>
      <c r="T32" s="875">
        <f>IF('Flächen u. Kulturen'!H37="",0,VLOOKUP('Flächen u. Kulturen'!H37,'#Boden'!$B$23:$C$25,'#Boden'!$C$1,FALSE))</f>
        <v>2</v>
      </c>
      <c r="U32" s="875" t="str">
        <f>'Flächen u. Kulturen'!E37</f>
        <v>x</v>
      </c>
      <c r="V32" s="938">
        <f>IF('Flächen u. Kulturen'!Q37="",0,_xlfn.NUMBERVALUE('Flächen u. Kulturen'!Q37))</f>
        <v>0</v>
      </c>
      <c r="W32" s="938">
        <f>IF('Flächen u. Kulturen'!R37="",0,_xlfn.NUMBERVALUE('Flächen u. Kulturen'!R37))</f>
        <v>0</v>
      </c>
      <c r="X32" s="875">
        <f>IF('Flächen u. Kulturen'!T37="",0,VLOOKUP('Flächen u. Kulturen'!T37,'#Boden'!$B$30:$C$32,'#Boden'!$C$1,FALSE))</f>
        <v>1</v>
      </c>
      <c r="Y32" s="875">
        <f>IF('Flächen u. Kulturen'!P37="",0,VLOOKUP('Flächen u. Kulturen'!P37,Kulturen[[HF]:[Berechnungsgruppe]],'#Frucht'!$N$1,FALSE))</f>
        <v>0</v>
      </c>
      <c r="Z32" s="875">
        <f t="shared" si="21"/>
        <v>2</v>
      </c>
      <c r="AA32" s="875">
        <f>IF('Flächen u. Kulturen'!P37="",0,VLOOKUP('Flächen u. Kulturen'!P37,Kulturen[[HF]:[Berechnungsgruppe]],'#Frucht'!$V$1,FALSE))</f>
        <v>0</v>
      </c>
      <c r="AB32" s="875">
        <f>IF(N32=1,VLOOKUP('Flächen u. Kulturen'!P37,Kulturen[[HF]:[Ernteprodukt]],'#Frucht'!$I$1,FALSE),4)</f>
        <v>4</v>
      </c>
      <c r="AC32" s="921">
        <f>IF('Flächen u. Kulturen'!J37="",0,VLOOKUP('Flächen u. Kulturen'!J37,Kulturen[[HF]:[Berechnungsgruppe]],'#Frucht'!$G$1,FALSE))</f>
        <v>90</v>
      </c>
      <c r="AD32" s="921">
        <f>IF('Flächen u. Kulturen'!P37="",0,VLOOKUP('Flächen u. Kulturen'!P37,Kulturen[[HF]:[Berechnungsgruppe]],'#Frucht'!$G$1,FALSE))</f>
        <v>90</v>
      </c>
      <c r="AE32" s="938">
        <f>IF('Flächen u. Kulturen'!P37="",0,VLOOKUP('Flächen u. Kulturen'!P37,Kulturen[[HF]:[SollwertMinusNfix]],'#Frucht'!$X$1,FALSE))</f>
        <v>0</v>
      </c>
      <c r="AF32" s="875">
        <f>IF('Flächen u. Kulturen'!L37="",0,VLOOKUP('Flächen u. Kulturen'!L37,Nebenkultur[[Nebenkultur]:[Berechnungsschema]],'#Zweitfr'!$G$1,FALSE))</f>
        <v>0</v>
      </c>
      <c r="AG32" s="875">
        <f>IF('Flächen u. Kulturen'!L37="",0,VLOOKUP('Flächen u. Kulturen'!L37,'#Zweitfr'!$D$8:$Q$27,'#Zweitfr'!$Q$1,FALSE))</f>
        <v>0</v>
      </c>
      <c r="AH32" s="875">
        <f>IF('Flächen u. Kulturen'!M37="",0,VLOOKUP('Flächen u. Kulturen'!M37,'#Boden'!$G$17:$H$21,2,FALSE))</f>
        <v>1</v>
      </c>
      <c r="AI32" s="875">
        <f>IF('Flächen u. Kulturen'!N37="",0,VLOOKUP('Flächen u. Kulturen'!N37,'#Boden'!$G$22:$H$24,'#Boden'!$H$1,FALSE))</f>
        <v>1</v>
      </c>
      <c r="AJ32" s="938">
        <f>IF('Flächen u. Kulturen'!O37="",0,_xlfn.NUMBERVALUE('Flächen u. Kulturen'!O37))</f>
        <v>0</v>
      </c>
      <c r="AK32" s="938">
        <f>IF('Flächen u. Kulturen'!L37="",0,VLOOKUP('Flächen u. Kulturen'!L37,Nebenkultur[[Nebenkultur]:[Legum. Zwischenfr.]],'#Zweitfr'!$P$1,FALSE))</f>
        <v>0</v>
      </c>
      <c r="AL32" s="875">
        <f>IF('Flächen u. Kulturen'!P37="",0,VLOOKUP('Flächen u. Kulturen'!P37,Kulturen[[HF]:[Berechnungsgruppe]],'#Frucht'!$Q$1,FALSE))</f>
        <v>0</v>
      </c>
      <c r="AM32" s="875">
        <f>IF('Flächen u. Kulturen'!P37="",0,VLOOKUP('Flächen u. Kulturen'!P37,Kulturen[[HF]:[Berechnungsgruppe]],'#Frucht'!$M$1,FALSE))</f>
        <v>0</v>
      </c>
      <c r="AN32" s="875">
        <f>IF('Flächen u. Kulturen'!P37="",1,VLOOKUP('Flächen u. Kulturen'!P37,Kulturen[[HF]:[Berechnungsgruppe]],'#Frucht'!$R$1,FALSE))</f>
        <v>10</v>
      </c>
      <c r="AO32" s="875">
        <f>IF('Flächen u. Kulturen'!P37="",0,VLOOKUP('Flächen u. Kulturen'!P37,Kulturen[[HF]:[Berechnungsgruppe]],'#Frucht'!$S$1,FALSE))</f>
        <v>0</v>
      </c>
      <c r="AP32" s="875">
        <f>IF('Flächen u. Kulturen'!P37="",0,VLOOKUP('Flächen u. Kulturen'!P37,Kulturen[[HF]:[Berechnungsgruppe]],'#Frucht'!$T$1,FALSE))</f>
        <v>0</v>
      </c>
      <c r="AQ32" s="938">
        <f t="shared" si="1"/>
        <v>0</v>
      </c>
      <c r="AR32" s="875">
        <f t="shared" si="2"/>
        <v>0</v>
      </c>
      <c r="AS32" s="938">
        <f t="shared" si="3"/>
        <v>0</v>
      </c>
      <c r="AT32" s="875">
        <f>IF(N32=1,'Flächen u. Kulturen'!S37*-1,"--")</f>
        <v>0</v>
      </c>
      <c r="AU32" s="938">
        <f>IF(OR(N32=2,'Flächen u. Kulturen'!I37=""),"--",IF(N32=3,VLOOKUP('Flächen u. Kulturen'!I37,'#Boden'!$B$9:$E$15,'#Boden'!$D$1,FALSE),VLOOKUP('Flächen u. Kulturen'!I37,'#Boden'!$B$9:$E$15,'#Boden'!$E$1,FALSE)))</f>
        <v>0</v>
      </c>
      <c r="AV32" s="938">
        <f>IF(N32=1,IF('Flächen u. Kulturen'!J37="",0,VLOOKUP('Flächen u. Kulturen'!J37,Kulturen[[HF]:[Berechnungsgruppe]],'#Frucht'!$U$1,FALSE)*-1),"--")</f>
        <v>0</v>
      </c>
      <c r="AW32" s="875">
        <f t="shared" si="4"/>
        <v>0</v>
      </c>
      <c r="AX32" s="875">
        <f>IF('Flächen u. Kulturen'!K37="",0,'Flächen u. Kulturen'!K37*-0.1)</f>
        <v>0</v>
      </c>
      <c r="AY32" s="875">
        <f>IF(N32&lt;3,'#orgDung'!AC41*0.1*-1,"--")</f>
        <v>0</v>
      </c>
      <c r="AZ32" s="31" t="str">
        <f>IF(AND('#orgDung'!J41&lt;&gt;2,'#orgDung'!F41=1),('#orgDung'!V41+'#minDung'!O38)*-1,"--")</f>
        <v>--</v>
      </c>
      <c r="BA32" s="875">
        <f t="shared" si="22"/>
        <v>0</v>
      </c>
      <c r="BB32" s="938">
        <f>IF(R32=2,0,'Flächen u. Kulturen'!V37*-1)</f>
        <v>0</v>
      </c>
      <c r="BC32" s="875">
        <f t="shared" si="23"/>
        <v>0</v>
      </c>
      <c r="BD32" s="127">
        <f>'#orgDung'!W41*-1</f>
        <v>0</v>
      </c>
      <c r="BE32" s="910">
        <f>'#orgDung'!AA41*-1</f>
        <v>0</v>
      </c>
      <c r="BF32" s="875">
        <f>'#orgDung'!Z41*-1</f>
        <v>0</v>
      </c>
      <c r="BG32" s="938">
        <f t="shared" si="14"/>
        <v>0</v>
      </c>
      <c r="BH32" s="875">
        <f>'#Kürzungen'!AS56*-1</f>
        <v>0</v>
      </c>
      <c r="BI32" s="875">
        <f t="shared" si="5"/>
        <v>0</v>
      </c>
      <c r="BJ32" s="910">
        <f t="shared" si="6"/>
        <v>0</v>
      </c>
      <c r="BK32" s="875">
        <f>'#minDung'!P38</f>
        <v>0</v>
      </c>
      <c r="BL32" s="938">
        <f t="shared" si="15"/>
        <v>0</v>
      </c>
      <c r="BM32" s="938">
        <f t="shared" si="7"/>
        <v>0</v>
      </c>
      <c r="BN32" s="875">
        <f>IF('Flächen u. Kulturen'!P37="",0,VLOOKUP('Flächen u. Kulturen'!P37,Kulturen[[HF]:[Berechnungsgruppe]],'#Frucht'!$K$1,FALSE))</f>
        <v>0</v>
      </c>
      <c r="BO32" s="875">
        <f>IF('Flächen u. Kulturen'!P37="",0,VLOOKUP('Flächen u. Kulturen'!P37,Kulturen[[HF]:[Berechnungsgruppe]],'#Frucht'!$L$1,FALSE))</f>
        <v>0</v>
      </c>
      <c r="BP32" s="875">
        <f>IF('Flächen u. Kulturen'!L37="",0,VLOOKUP('Flächen u. Kulturen'!L37,Nebenkultur[[Nebenkultur]:[Legum. Zwischenfr.]],'#Zweitfr'!$H$1,FALSE))</f>
        <v>0</v>
      </c>
      <c r="BQ32" s="938">
        <f>IF(N32=3,W32*BO32,IF('Flächen u. Kulturen'!T37='#Boden'!$B$32,V32*BN32,V32*BO32))</f>
        <v>0</v>
      </c>
      <c r="BR32" s="938">
        <f t="shared" si="8"/>
        <v>0</v>
      </c>
      <c r="BS32" s="875">
        <f t="shared" si="24"/>
        <v>0</v>
      </c>
      <c r="BT32" s="875">
        <f>IF('Flächen u. Kulturen'!F37="",0,IF(N32=3,VLOOKUP('Flächen u. Kulturen'!F37,'#Boden'!$G$4:$J$8,'#Boden'!$J$1,FALSE),VLOOKUP('Flächen u. Kulturen'!F37,'#Boden'!$G$4:$J$8,'#Boden'!$I$1,FALSE)))</f>
        <v>0</v>
      </c>
      <c r="BU32" s="41">
        <f t="shared" si="25"/>
        <v>0</v>
      </c>
      <c r="BV32" s="875">
        <f t="shared" si="26"/>
        <v>0</v>
      </c>
      <c r="BW32" s="938" t="str">
        <f t="shared" si="16"/>
        <v/>
      </c>
      <c r="BX32" s="875">
        <f>'#orgDung'!T41*-1</f>
        <v>0</v>
      </c>
      <c r="BY32" s="875">
        <f t="shared" si="17"/>
        <v>0</v>
      </c>
      <c r="BZ32" s="938" t="str">
        <f>IF(U32&lt;&gt;"x",0,IF(P32&lt;4,"",(BW32+BX32-'#minDung'!N38)*-1))</f>
        <v/>
      </c>
      <c r="CB32" s="938">
        <f>IF(AND(AF32=70,U32="x"),'Flächen u. Kulturen'!A37,1000)</f>
        <v>1000</v>
      </c>
      <c r="CC32" s="875" t="str">
        <f>IF(AF32=70,VLOOKUP('Flächen u. Kulturen'!L37,Nebenkultur[[Nebenkultur]:[Legum. Zwischenfr.]],'#Zweitfr'!$I$1,FALSE),"--")</f>
        <v>--</v>
      </c>
      <c r="CD32" s="875" t="str">
        <f>IF(AF32=70,VLOOKUP('Flächen u. Kulturen'!L37,Nebenkultur[[Nebenkultur]:[Legum. Zwischenfr.]],'#Zweitfr'!$L$1,FALSE),"--")</f>
        <v>--</v>
      </c>
      <c r="CE32" s="875" t="str">
        <f>IF(AF32=70,VLOOKUP('Flächen u. Kulturen'!L37,Nebenkultur[[Nebenkultur]:[Legum. Zwischenfr.]],'#Zweitfr'!$M$1,FALSE),"--")</f>
        <v>--</v>
      </c>
      <c r="CF32" s="875" t="str">
        <f>IF(AF32=70,VLOOKUP('Flächen u. Kulturen'!L37,Nebenkultur[[Nebenkultur]:[Legum. Zwischenfr.]],'#Zweitfr'!$N$1,FALSE),"--")</f>
        <v>--</v>
      </c>
      <c r="CG32" s="875" t="str">
        <f>IF(AF32=70,VLOOKUP('Flächen u. Kulturen'!L37,Nebenkultur[[Nebenkultur]:[Legum. Zwischenfr.]],'#Zweitfr'!$O$1,FALSE),"--")</f>
        <v>--</v>
      </c>
      <c r="CH32" s="875" t="str">
        <f t="shared" si="9"/>
        <v>--</v>
      </c>
      <c r="CI32" s="938">
        <f>IF('Flächen u. Kulturen'!L37="",0,VLOOKUP('Flächen u. Kulturen'!L37,Nebenkultur[[Nebenkultur]:[Legum. Zwischenfr.]],'#Zweitfr'!$J$1,FALSE))</f>
        <v>0</v>
      </c>
      <c r="CJ32" s="875">
        <f t="shared" si="10"/>
        <v>0</v>
      </c>
      <c r="CK32" s="890">
        <f t="shared" si="11"/>
        <v>0</v>
      </c>
      <c r="CL32" s="938">
        <f>IF(AND(R32=1,AF32=70),'Flächen u. Kulturen'!W37*-1,0)</f>
        <v>0</v>
      </c>
      <c r="CM32" s="875">
        <f>'#orgDung'!AE41*-1</f>
        <v>0</v>
      </c>
      <c r="CN32" s="875">
        <f t="shared" si="27"/>
        <v>0</v>
      </c>
      <c r="CO32" s="875">
        <f t="shared" si="28"/>
        <v>0</v>
      </c>
      <c r="CP32" s="875">
        <f>'#Kürzungen'!AS157*-1</f>
        <v>0</v>
      </c>
      <c r="CQ32" s="875">
        <f t="shared" si="29"/>
        <v>0</v>
      </c>
      <c r="CR32" s="875">
        <f t="shared" si="30"/>
        <v>0</v>
      </c>
      <c r="CS32" s="875">
        <f>'#minDung'!R38</f>
        <v>0</v>
      </c>
      <c r="CT32" s="938">
        <f t="shared" si="18"/>
        <v>0</v>
      </c>
      <c r="CU32" s="52" t="str">
        <f>'#Kürzungen'!AQ157</f>
        <v xml:space="preserve"> </v>
      </c>
      <c r="CW32" s="247">
        <f>IF('Flächen u. Kulturen'!D37="",0,IF(ISNUMBER('Flächen u. Kulturen'!D37)=TRUE,2,1))</f>
        <v>0</v>
      </c>
      <c r="CX32" s="247">
        <f>IF('Flächen u. Kulturen'!E37="",0,COUNTIF('#Boden'!$B$47,'Flächen u. Kulturen'!E37)+1)</f>
        <v>2</v>
      </c>
      <c r="CY32" s="247">
        <f>IF('Flächen u. Kulturen'!F37="",0,COUNTIF('#Boden'!$G$4:$G$8,'Flächen u. Kulturen'!F37)+1)</f>
        <v>2</v>
      </c>
      <c r="CZ32" s="247">
        <f>IF('Flächen u. Kulturen'!G37="",0,COUNTIF('#Boden'!$B$26:$B$29,'Flächen u. Kulturen'!G37)+1)</f>
        <v>2</v>
      </c>
      <c r="DA32" s="247">
        <f>IF('Flächen u. Kulturen'!H37="",0,COUNTIF('#Boden'!$B$26:$B$29,'Flächen u. Kulturen'!H37)+1)</f>
        <v>2</v>
      </c>
      <c r="DB32" s="247">
        <f>IF('Flächen u. Kulturen'!I37="",0,COUNTIF('#Boden'!$B$9:$B$15,'Flächen u. Kulturen'!I37)+1)</f>
        <v>2</v>
      </c>
      <c r="DC32" s="247">
        <f>IF('Flächen u. Kulturen'!J37="",0,COUNTIF(Kulturen[HF],'Flächen u. Kulturen'!J37)+1)</f>
        <v>2</v>
      </c>
      <c r="DD32" s="247">
        <f>IF('Flächen u. Kulturen'!L37="",0,COUNTIF(Nebenkultur[Nebenkultur],'Flächen u. Kulturen'!L37)+1)</f>
        <v>2</v>
      </c>
      <c r="DE32" s="247">
        <f>IF('Flächen u. Kulturen'!M37="",0,COUNTIF('#Boden'!$G$17:$G$21,'Flächen u. Kulturen'!M37)+1)</f>
        <v>2</v>
      </c>
      <c r="DF32" s="247">
        <f>IF('Flächen u. Kulturen'!N37="",0,COUNTIF('#Boden'!$G$22:$G$24,'Flächen u. Kulturen'!N37)+1)</f>
        <v>2</v>
      </c>
      <c r="DG32" s="247">
        <f>IF('Flächen u. Kulturen'!P37="",0,COUNTIF(Kulturen[HF],'Flächen u. Kulturen'!P37)+1)</f>
        <v>2</v>
      </c>
      <c r="DH32" s="247">
        <f>IF('Flächen u. Kulturen'!T37="",0,COUNTIF('#Boden'!$B$30:$B$32,'Flächen u. Kulturen'!T37)+1)</f>
        <v>2</v>
      </c>
      <c r="DI32" s="247">
        <f>IF('Flächen u. Kulturen'!K37="",0,IF(ISNUMBER('Flächen u. Kulturen'!K37)=TRUE,2,1))</f>
        <v>0</v>
      </c>
      <c r="DJ32" s="247">
        <f>IF('Flächen u. Kulturen'!U37="",0,IF(ISNUMBER('Flächen u. Kulturen'!U37)=TRUE,2,1))</f>
        <v>0</v>
      </c>
      <c r="DK32" s="247">
        <f>IF('Flächen u. Kulturen'!V37="",0,IF(ISNUMBER('Flächen u. Kulturen'!V37)=TRUE,2,1))</f>
        <v>0</v>
      </c>
      <c r="DL32" s="247">
        <f>IF('Flächen u. Kulturen'!W37="",0,IF(ISNUMBER('Flächen u. Kulturen'!W37)=TRUE,2,1))</f>
        <v>0</v>
      </c>
      <c r="DM32" s="247">
        <f t="shared" si="31"/>
        <v>0</v>
      </c>
      <c r="DN32" s="247" t="s">
        <v>344</v>
      </c>
      <c r="DO32" s="247">
        <f>IF(U32&lt;&gt;"x","",IF(OR('Flächen u. Kulturen'!B37="",'Flächen u. Kulturen'!C37="",'Flächen u. Kulturen'!D37="",'Flächen u. Kulturen'!D37=0,'Flächen u. Kulturen'!F37="",'Flächen u. Kulturen'!F37='#Boden'!$G$4,'Flächen u. Kulturen'!G37="",'Flächen u. Kulturen'!G37='#Boden'!$B$26,'Flächen u. Kulturen'!H37="",'Flächen u. Kulturen'!H37='#Boden'!$B$23,AND(N32&lt;&gt;2,OR('Flächen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Kulturen'!Q37="",'#BerechnungDBE'!N32&lt;3),AND('Flächen u. Kulturen'!R37="",'#BerechnungDBE'!N32=3),AND(N32=1,AL32&gt;0,'Flächen u. Kulturen'!S37=""),AND(N32=1,OR('Flächen u. Kulturen'!T37="",'Flächen u. Kulturen'!T37='#Boden'!$B$30)),AND('#BerechnungDBE'!AF32=70,OR('Flächen u. Kulturen'!N37="",'Flächen u. Kulturen'!N37='#Boden'!$G$22,'Flächen u. Kulturen'!O37="")),AND('#BerechnungDBE'!AF32=80,OR('Flächen u. Kulturen'!M37="",'Flächen u. Kulturen'!M37='#Boden'!$G$17,'Flächen u. Kulturen'!N37="",'Flächen u. Kulturen'!N37='#Boden'!$G$22))),$DO$4,""))</f>
        <v>1</v>
      </c>
      <c r="DP32" s="247" t="str">
        <f>IF(U32&lt;&gt;"x","",IF(OR(LEFT('Flächen u. Kulturen'!J37,2)=" +",LEFT('Flächen u. Kulturen'!L37,2)=" +",LEFT('Flächen u. Kulturen'!P37,2)=" +"),$DP$4,""))</f>
        <v/>
      </c>
      <c r="DQ32" s="428" t="str">
        <f t="shared" si="12"/>
        <v/>
      </c>
      <c r="DR32" s="938" t="str">
        <f t="shared" si="13"/>
        <v/>
      </c>
      <c r="DS32" s="938" t="str">
        <f>IF('Flächen u. Kulturen'!X37="","",ROW('Flächen u. Kulturen'!X37))</f>
        <v/>
      </c>
    </row>
    <row r="33" spans="1:123" s="875" customFormat="1" x14ac:dyDescent="0.2">
      <c r="A33" s="875" t="str">
        <f>IF('Daten aus 2021'!H35="",'#Boden'!$B$26,IF('Daten aus 2021'!H35='#Boden'!$B$39,IF('Daten aus 2021'!F35='#Boden'!$B$29,'#Boden'!$B$29,IF('Daten aus 2021'!K35='#Boden'!$B$34,'#Boden'!$B$28,'#Boden'!$B$27)),'Daten aus 2021'!F35))</f>
        <v xml:space="preserve"> --</v>
      </c>
      <c r="B33" s="875" t="str">
        <f>IF('Daten aus 2021'!H35='#Boden'!$B$39,IF('Daten aus 2021'!L35='#Boden'!$B$61,'#Boden'!$B$11,'Daten aus 2021'!L35),IF('Daten aus 2021'!P35='#Boden'!$B$58,'#Boden'!$B$11,IF('Daten aus 2021'!P35='#Boden'!$B$57,'#Boden'!$B$10,'#Boden'!$B$9)))</f>
        <v xml:space="preserve"> --         </v>
      </c>
      <c r="C33" s="875" t="str">
        <f>IF('Daten aus 2021'!N35="","",VLOOKUP('Daten aus 2021'!N35,'#Boden'!$B$68:$C$89,2,FALSE))</f>
        <v/>
      </c>
      <c r="D33" s="875" t="str">
        <f>IF('Daten aus 2021'!M35="","",VLOOKUP('Daten aus 2021'!M35,'#Boden'!$D$69:$E$73,2,FALSE))</f>
        <v/>
      </c>
      <c r="E33" s="938" t="str">
        <f>IF(OR(C33='#Boden'!$C$68,C33='#Boden'!$C$70),C33,CONCATENATE(C33,D33))</f>
        <v/>
      </c>
      <c r="F33" s="882" t="str">
        <f>IFERROR(IF('Daten aus 2021'!H35="",'#Frucht'!$D$8,IF('Daten aus 2021'!H35='#Boden'!$B$39,E33,IF('Daten aus 2021'!H35='#Boden'!$B$38,IF(CONCATENATE(" ",'Daten aus 2021'!W35)=$B$2,VLOOKUP($B$3,'#Frucht'!$A$8:$D$372,4,FALSE),VLOOKUP(CONCATENATE(" ",'Daten aus 2021'!W35),'#Frucht'!$A$8:$D$372,4,FALSE)),IF(OR(LEFT('Daten aus 2021'!Q35,5)=" *10 ",LEFT('Daten aus 2021'!Q35,5)=" *11 ",LEFT('Daten aus 2021'!Q35,5)=" *12 ",LEFT('Daten aus 2021'!Q35,5)=" *13 ",LEFT('Daten aus 2021'!Q35,5)=" *14 ",LEFT('Daten aus 2021'!Q35,5)=" *15 "),VLOOKUP(RIGHT('Daten aus 2021'!Q35,LEN('Daten aus 2021'!Q35)-4),'#Frucht'!$A$8:$D$372,4,FALSE),IF(LEFT('Daten aus 2021'!Q35,2)=" *",VLOOKUP(RIGHT('Daten aus 2021'!Q35,LEN('Daten aus 2021'!Q35)-3),'#Frucht'!$A$8:$D$372,4,FALSE),VLOOKUP('Daten aus 2021'!Q35,'#Frucht'!$A$8:$D$372,4,FALSE)))))),'#Frucht'!$D$8)</f>
        <v xml:space="preserve"> --  </v>
      </c>
      <c r="G33" s="127"/>
      <c r="H33" s="31"/>
      <c r="J33" s="938" t="str">
        <f>IF(OR(N33=3,$K$3=0,'Flächen u. Kulturen'!P38=""),"",IF(VLOOKUP('Flächen u. Kulturen'!P38,Kulturen[[HF]:[780]],'#BerechnungDBE'!$K$3,FALSE)=".","",VLOOKUP('Flächen u. Kulturen'!P38,Kulturen[[HF]:[780]],'#BerechnungDBE'!$K$3,FALSE)))</f>
        <v/>
      </c>
      <c r="K33" s="938" t="str">
        <f>IF(OR($K$3=0,'Flächen u. Kulturen'!P38=""),"",IF(N33=3,IF(VLOOKUP('Flächen u. Kulturen'!P38,Kulturen[[HF]:[780]],'#BerechnungDBE'!$K$3,FALSE)=".","",VLOOKUP('Flächen u. Kulturen'!P38,Kulturen[[HF]:[780]],'#BerechnungDBE'!$K$3,FALSE)),""))</f>
        <v/>
      </c>
      <c r="L33" s="367">
        <f>IF('Flächen u. Kulturen'!D38="",0,'Flächen u. Kulturen'!D38)</f>
        <v>0</v>
      </c>
      <c r="M33" s="693">
        <f>IF('Flächen u. Kulturen'!J38="",0,VLOOKUP('Flächen u. Kulturen'!J38,Kulturen[[HF]:[Berechnungsgruppe]],'#Frucht'!$W$1,FALSE))</f>
        <v>1</v>
      </c>
      <c r="N33" s="693">
        <f>IF('Flächen u. Kulturen'!P38="",0,VLOOKUP('Flächen u. Kulturen'!P38,Kulturen[[HF]:[Berechnungsgruppe]],'#Frucht'!$W$1,FALSE))</f>
        <v>1</v>
      </c>
      <c r="O33" s="875">
        <f>IF(N33&lt;&gt;2,N33,IF('Flächen u. Kulturen'!J38='Flächen u. Kulturen'!P38,2,1))</f>
        <v>1</v>
      </c>
      <c r="P33" s="875">
        <f>IF('Flächen u. Kulturen'!F38="",0,VLOOKUP('Flächen u. Kulturen'!F38,'#Boden'!$G$4:$H$8,'#Boden'!$H$1,FALSE))</f>
        <v>1</v>
      </c>
      <c r="Q33" s="875">
        <f>IF('Flächen u. Kulturen'!G38="",0,VLOOKUP('Flächen u. Kulturen'!G38,'#Boden'!$B$26:$C$29,'#Boden'!$C$1,FALSE))</f>
        <v>1</v>
      </c>
      <c r="R33" s="875">
        <f t="shared" si="19"/>
        <v>1</v>
      </c>
      <c r="S33" s="875">
        <f t="shared" si="20"/>
        <v>1</v>
      </c>
      <c r="T33" s="875">
        <f>IF('Flächen u. Kulturen'!H38="",0,VLOOKUP('Flächen u. Kulturen'!H38,'#Boden'!$B$23:$C$25,'#Boden'!$C$1,FALSE))</f>
        <v>2</v>
      </c>
      <c r="U33" s="875" t="str">
        <f>'Flächen u. Kulturen'!E38</f>
        <v>x</v>
      </c>
      <c r="V33" s="938">
        <f>IF('Flächen u. Kulturen'!Q38="",0,_xlfn.NUMBERVALUE('Flächen u. Kulturen'!Q38))</f>
        <v>0</v>
      </c>
      <c r="W33" s="938">
        <f>IF('Flächen u. Kulturen'!R38="",0,_xlfn.NUMBERVALUE('Flächen u. Kulturen'!R38))</f>
        <v>0</v>
      </c>
      <c r="X33" s="875">
        <f>IF('Flächen u. Kulturen'!T38="",0,VLOOKUP('Flächen u. Kulturen'!T38,'#Boden'!$B$30:$C$32,'#Boden'!$C$1,FALSE))</f>
        <v>1</v>
      </c>
      <c r="Y33" s="875">
        <f>IF('Flächen u. Kulturen'!P38="",0,VLOOKUP('Flächen u. Kulturen'!P38,Kulturen[[HF]:[Berechnungsgruppe]],'#Frucht'!$N$1,FALSE))</f>
        <v>0</v>
      </c>
      <c r="Z33" s="875">
        <f t="shared" si="21"/>
        <v>2</v>
      </c>
      <c r="AA33" s="875">
        <f>IF('Flächen u. Kulturen'!P38="",0,VLOOKUP('Flächen u. Kulturen'!P38,Kulturen[[HF]:[Berechnungsgruppe]],'#Frucht'!$V$1,FALSE))</f>
        <v>0</v>
      </c>
      <c r="AB33" s="875">
        <f>IF(N33=1,VLOOKUP('Flächen u. Kulturen'!P38,Kulturen[[HF]:[Ernteprodukt]],'#Frucht'!$I$1,FALSE),4)</f>
        <v>4</v>
      </c>
      <c r="AC33" s="921">
        <f>IF('Flächen u. Kulturen'!J38="",0,VLOOKUP('Flächen u. Kulturen'!J38,Kulturen[[HF]:[Berechnungsgruppe]],'#Frucht'!$G$1,FALSE))</f>
        <v>90</v>
      </c>
      <c r="AD33" s="921">
        <f>IF('Flächen u. Kulturen'!P38="",0,VLOOKUP('Flächen u. Kulturen'!P38,Kulturen[[HF]:[Berechnungsgruppe]],'#Frucht'!$G$1,FALSE))</f>
        <v>90</v>
      </c>
      <c r="AE33" s="938">
        <f>IF('Flächen u. Kulturen'!P38="",0,VLOOKUP('Flächen u. Kulturen'!P38,Kulturen[[HF]:[SollwertMinusNfix]],'#Frucht'!$X$1,FALSE))</f>
        <v>0</v>
      </c>
      <c r="AF33" s="875">
        <f>IF('Flächen u. Kulturen'!L38="",0,VLOOKUP('Flächen u. Kulturen'!L38,Nebenkultur[[Nebenkultur]:[Berechnungsschema]],'#Zweitfr'!$G$1,FALSE))</f>
        <v>0</v>
      </c>
      <c r="AG33" s="875">
        <f>IF('Flächen u. Kulturen'!L38="",0,VLOOKUP('Flächen u. Kulturen'!L38,'#Zweitfr'!$D$8:$Q$27,'#Zweitfr'!$Q$1,FALSE))</f>
        <v>0</v>
      </c>
      <c r="AH33" s="875">
        <f>IF('Flächen u. Kulturen'!M38="",0,VLOOKUP('Flächen u. Kulturen'!M38,'#Boden'!$G$17:$H$21,2,FALSE))</f>
        <v>1</v>
      </c>
      <c r="AI33" s="875">
        <f>IF('Flächen u. Kulturen'!N38="",0,VLOOKUP('Flächen u. Kulturen'!N38,'#Boden'!$G$22:$H$24,'#Boden'!$H$1,FALSE))</f>
        <v>1</v>
      </c>
      <c r="AJ33" s="938">
        <f>IF('Flächen u. Kulturen'!O38="",0,_xlfn.NUMBERVALUE('Flächen u. Kulturen'!O38))</f>
        <v>0</v>
      </c>
      <c r="AK33" s="938">
        <f>IF('Flächen u. Kulturen'!L38="",0,VLOOKUP('Flächen u. Kulturen'!L38,Nebenkultur[[Nebenkultur]:[Legum. Zwischenfr.]],'#Zweitfr'!$P$1,FALSE))</f>
        <v>0</v>
      </c>
      <c r="AL33" s="875">
        <f>IF('Flächen u. Kulturen'!P38="",0,VLOOKUP('Flächen u. Kulturen'!P38,Kulturen[[HF]:[Berechnungsgruppe]],'#Frucht'!$Q$1,FALSE))</f>
        <v>0</v>
      </c>
      <c r="AM33" s="875">
        <f>IF('Flächen u. Kulturen'!P38="",0,VLOOKUP('Flächen u. Kulturen'!P38,Kulturen[[HF]:[Berechnungsgruppe]],'#Frucht'!$M$1,FALSE))</f>
        <v>0</v>
      </c>
      <c r="AN33" s="875">
        <f>IF('Flächen u. Kulturen'!P38="",1,VLOOKUP('Flächen u. Kulturen'!P38,Kulturen[[HF]:[Berechnungsgruppe]],'#Frucht'!$R$1,FALSE))</f>
        <v>10</v>
      </c>
      <c r="AO33" s="875">
        <f>IF('Flächen u. Kulturen'!P38="",0,VLOOKUP('Flächen u. Kulturen'!P38,Kulturen[[HF]:[Berechnungsgruppe]],'#Frucht'!$S$1,FALSE))</f>
        <v>0</v>
      </c>
      <c r="AP33" s="875">
        <f>IF('Flächen u. Kulturen'!P38="",0,VLOOKUP('Flächen u. Kulturen'!P38,Kulturen[[HF]:[Berechnungsgruppe]],'#Frucht'!$T$1,FALSE))</f>
        <v>0</v>
      </c>
      <c r="AQ33" s="938">
        <f t="shared" si="1"/>
        <v>0</v>
      </c>
      <c r="AR33" s="875">
        <f t="shared" si="2"/>
        <v>0</v>
      </c>
      <c r="AS33" s="938">
        <f t="shared" si="3"/>
        <v>0</v>
      </c>
      <c r="AT33" s="875">
        <f>IF(N33=1,'Flächen u. Kulturen'!S38*-1,"--")</f>
        <v>0</v>
      </c>
      <c r="AU33" s="938">
        <f>IF(OR(N33=2,'Flächen u. Kulturen'!I38=""),"--",IF(N33=3,VLOOKUP('Flächen u. Kulturen'!I38,'#Boden'!$B$9:$E$15,'#Boden'!$D$1,FALSE),VLOOKUP('Flächen u. Kulturen'!I38,'#Boden'!$B$9:$E$15,'#Boden'!$E$1,FALSE)))</f>
        <v>0</v>
      </c>
      <c r="AV33" s="938">
        <f>IF(N33=1,IF('Flächen u. Kulturen'!J38="",0,VLOOKUP('Flächen u. Kulturen'!J38,Kulturen[[HF]:[Berechnungsgruppe]],'#Frucht'!$U$1,FALSE)*-1),"--")</f>
        <v>0</v>
      </c>
      <c r="AW33" s="875">
        <f t="shared" si="4"/>
        <v>0</v>
      </c>
      <c r="AX33" s="875">
        <f>IF('Flächen u. Kulturen'!K38="",0,'Flächen u. Kulturen'!K38*-0.1)</f>
        <v>0</v>
      </c>
      <c r="AY33" s="875">
        <f>IF(N33&lt;3,'#orgDung'!AC42*0.1*-1,"--")</f>
        <v>0</v>
      </c>
      <c r="AZ33" s="31" t="str">
        <f>IF(AND('#orgDung'!J42&lt;&gt;2,'#orgDung'!F42=1),('#orgDung'!V42+'#minDung'!O39)*-1,"--")</f>
        <v>--</v>
      </c>
      <c r="BA33" s="875">
        <f t="shared" si="22"/>
        <v>0</v>
      </c>
      <c r="BB33" s="938">
        <f>IF(R33=2,0,'Flächen u. Kulturen'!V38*-1)</f>
        <v>0</v>
      </c>
      <c r="BC33" s="875">
        <f t="shared" si="23"/>
        <v>0</v>
      </c>
      <c r="BD33" s="127">
        <f>'#orgDung'!W42*-1</f>
        <v>0</v>
      </c>
      <c r="BE33" s="910">
        <f>'#orgDung'!AA42*-1</f>
        <v>0</v>
      </c>
      <c r="BF33" s="875">
        <f>'#orgDung'!Z42*-1</f>
        <v>0</v>
      </c>
      <c r="BG33" s="938">
        <f t="shared" si="14"/>
        <v>0</v>
      </c>
      <c r="BH33" s="875">
        <f>'#Kürzungen'!AS57*-1</f>
        <v>0</v>
      </c>
      <c r="BI33" s="875">
        <f t="shared" si="5"/>
        <v>0</v>
      </c>
      <c r="BJ33" s="910">
        <f t="shared" si="6"/>
        <v>0</v>
      </c>
      <c r="BK33" s="875">
        <f>'#minDung'!P39</f>
        <v>0</v>
      </c>
      <c r="BL33" s="938">
        <f t="shared" si="15"/>
        <v>0</v>
      </c>
      <c r="BM33" s="938">
        <f t="shared" si="7"/>
        <v>0</v>
      </c>
      <c r="BN33" s="875">
        <f>IF('Flächen u. Kulturen'!P38="",0,VLOOKUP('Flächen u. Kulturen'!P38,Kulturen[[HF]:[Berechnungsgruppe]],'#Frucht'!$K$1,FALSE))</f>
        <v>0</v>
      </c>
      <c r="BO33" s="875">
        <f>IF('Flächen u. Kulturen'!P38="",0,VLOOKUP('Flächen u. Kulturen'!P38,Kulturen[[HF]:[Berechnungsgruppe]],'#Frucht'!$L$1,FALSE))</f>
        <v>0</v>
      </c>
      <c r="BP33" s="875">
        <f>IF('Flächen u. Kulturen'!L38="",0,VLOOKUP('Flächen u. Kulturen'!L38,Nebenkultur[[Nebenkultur]:[Legum. Zwischenfr.]],'#Zweitfr'!$H$1,FALSE))</f>
        <v>0</v>
      </c>
      <c r="BQ33" s="938">
        <f>IF(N33=3,W33*BO33,IF('Flächen u. Kulturen'!T38='#Boden'!$B$32,V33*BN33,V33*BO33))</f>
        <v>0</v>
      </c>
      <c r="BR33" s="938">
        <f t="shared" si="8"/>
        <v>0</v>
      </c>
      <c r="BS33" s="875">
        <f t="shared" si="24"/>
        <v>0</v>
      </c>
      <c r="BT33" s="875">
        <f>IF('Flächen u. Kulturen'!F38="",0,IF(N33=3,VLOOKUP('Flächen u. Kulturen'!F38,'#Boden'!$G$4:$J$8,'#Boden'!$J$1,FALSE),VLOOKUP('Flächen u. Kulturen'!F38,'#Boden'!$G$4:$J$8,'#Boden'!$I$1,FALSE)))</f>
        <v>0</v>
      </c>
      <c r="BU33" s="41">
        <f t="shared" si="25"/>
        <v>0</v>
      </c>
      <c r="BV33" s="875">
        <f t="shared" si="26"/>
        <v>0</v>
      </c>
      <c r="BW33" s="938" t="str">
        <f t="shared" si="16"/>
        <v/>
      </c>
      <c r="BX33" s="875">
        <f>'#orgDung'!T42*-1</f>
        <v>0</v>
      </c>
      <c r="BY33" s="875">
        <f t="shared" si="17"/>
        <v>0</v>
      </c>
      <c r="BZ33" s="938" t="str">
        <f>IF(U33&lt;&gt;"x",0,IF(P33&lt;4,"",(BW33+BX33-'#minDung'!N39)*-1))</f>
        <v/>
      </c>
      <c r="CB33" s="938">
        <f>IF(AND(AF33=70,U33="x"),'Flächen u. Kulturen'!A38,1000)</f>
        <v>1000</v>
      </c>
      <c r="CC33" s="875" t="str">
        <f>IF(AF33=70,VLOOKUP('Flächen u. Kulturen'!L38,Nebenkultur[[Nebenkultur]:[Legum. Zwischenfr.]],'#Zweitfr'!$I$1,FALSE),"--")</f>
        <v>--</v>
      </c>
      <c r="CD33" s="875" t="str">
        <f>IF(AF33=70,VLOOKUP('Flächen u. Kulturen'!L38,Nebenkultur[[Nebenkultur]:[Legum. Zwischenfr.]],'#Zweitfr'!$L$1,FALSE),"--")</f>
        <v>--</v>
      </c>
      <c r="CE33" s="875" t="str">
        <f>IF(AF33=70,VLOOKUP('Flächen u. Kulturen'!L38,Nebenkultur[[Nebenkultur]:[Legum. Zwischenfr.]],'#Zweitfr'!$M$1,FALSE),"--")</f>
        <v>--</v>
      </c>
      <c r="CF33" s="875" t="str">
        <f>IF(AF33=70,VLOOKUP('Flächen u. Kulturen'!L38,Nebenkultur[[Nebenkultur]:[Legum. Zwischenfr.]],'#Zweitfr'!$N$1,FALSE),"--")</f>
        <v>--</v>
      </c>
      <c r="CG33" s="875" t="str">
        <f>IF(AF33=70,VLOOKUP('Flächen u. Kulturen'!L38,Nebenkultur[[Nebenkultur]:[Legum. Zwischenfr.]],'#Zweitfr'!$O$1,FALSE),"--")</f>
        <v>--</v>
      </c>
      <c r="CH33" s="875" t="str">
        <f t="shared" si="9"/>
        <v>--</v>
      </c>
      <c r="CI33" s="938">
        <f>IF('Flächen u. Kulturen'!L38="",0,VLOOKUP('Flächen u. Kulturen'!L38,Nebenkultur[[Nebenkultur]:[Legum. Zwischenfr.]],'#Zweitfr'!$J$1,FALSE))</f>
        <v>0</v>
      </c>
      <c r="CJ33" s="875">
        <f t="shared" si="10"/>
        <v>0</v>
      </c>
      <c r="CK33" s="890">
        <f t="shared" si="11"/>
        <v>0</v>
      </c>
      <c r="CL33" s="938">
        <f>IF(AND(R33=1,AF33=70),'Flächen u. Kulturen'!W38*-1,0)</f>
        <v>0</v>
      </c>
      <c r="CM33" s="875">
        <f>'#orgDung'!AE42*-1</f>
        <v>0</v>
      </c>
      <c r="CN33" s="875">
        <f t="shared" si="27"/>
        <v>0</v>
      </c>
      <c r="CO33" s="875">
        <f t="shared" si="28"/>
        <v>0</v>
      </c>
      <c r="CP33" s="875">
        <f>'#Kürzungen'!AS158*-1</f>
        <v>0</v>
      </c>
      <c r="CQ33" s="875">
        <f t="shared" si="29"/>
        <v>0</v>
      </c>
      <c r="CR33" s="875">
        <f t="shared" si="30"/>
        <v>0</v>
      </c>
      <c r="CS33" s="875">
        <f>'#minDung'!R39</f>
        <v>0</v>
      </c>
      <c r="CT33" s="938">
        <f t="shared" si="18"/>
        <v>0</v>
      </c>
      <c r="CU33" s="52" t="str">
        <f>'#Kürzungen'!AQ158</f>
        <v xml:space="preserve"> </v>
      </c>
      <c r="CW33" s="247">
        <f>IF('Flächen u. Kulturen'!D38="",0,IF(ISNUMBER('Flächen u. Kulturen'!D38)=TRUE,2,1))</f>
        <v>0</v>
      </c>
      <c r="CX33" s="247">
        <f>IF('Flächen u. Kulturen'!E38="",0,COUNTIF('#Boden'!$B$47,'Flächen u. Kulturen'!E38)+1)</f>
        <v>2</v>
      </c>
      <c r="CY33" s="247">
        <f>IF('Flächen u. Kulturen'!F38="",0,COUNTIF('#Boden'!$G$4:$G$8,'Flächen u. Kulturen'!F38)+1)</f>
        <v>2</v>
      </c>
      <c r="CZ33" s="247">
        <f>IF('Flächen u. Kulturen'!G38="",0,COUNTIF('#Boden'!$B$26:$B$29,'Flächen u. Kulturen'!G38)+1)</f>
        <v>2</v>
      </c>
      <c r="DA33" s="247">
        <f>IF('Flächen u. Kulturen'!H38="",0,COUNTIF('#Boden'!$B$26:$B$29,'Flächen u. Kulturen'!H38)+1)</f>
        <v>2</v>
      </c>
      <c r="DB33" s="247">
        <f>IF('Flächen u. Kulturen'!I38="",0,COUNTIF('#Boden'!$B$9:$B$15,'Flächen u. Kulturen'!I38)+1)</f>
        <v>2</v>
      </c>
      <c r="DC33" s="247">
        <f>IF('Flächen u. Kulturen'!J38="",0,COUNTIF(Kulturen[HF],'Flächen u. Kulturen'!J38)+1)</f>
        <v>2</v>
      </c>
      <c r="DD33" s="247">
        <f>IF('Flächen u. Kulturen'!L38="",0,COUNTIF(Nebenkultur[Nebenkultur],'Flächen u. Kulturen'!L38)+1)</f>
        <v>2</v>
      </c>
      <c r="DE33" s="247">
        <f>IF('Flächen u. Kulturen'!M38="",0,COUNTIF('#Boden'!$G$17:$G$21,'Flächen u. Kulturen'!M38)+1)</f>
        <v>2</v>
      </c>
      <c r="DF33" s="247">
        <f>IF('Flächen u. Kulturen'!N38="",0,COUNTIF('#Boden'!$G$22:$G$24,'Flächen u. Kulturen'!N38)+1)</f>
        <v>2</v>
      </c>
      <c r="DG33" s="247">
        <f>IF('Flächen u. Kulturen'!P38="",0,COUNTIF(Kulturen[HF],'Flächen u. Kulturen'!P38)+1)</f>
        <v>2</v>
      </c>
      <c r="DH33" s="247">
        <f>IF('Flächen u. Kulturen'!T38="",0,COUNTIF('#Boden'!$B$30:$B$32,'Flächen u. Kulturen'!T38)+1)</f>
        <v>2</v>
      </c>
      <c r="DI33" s="247">
        <f>IF('Flächen u. Kulturen'!K38="",0,IF(ISNUMBER('Flächen u. Kulturen'!K38)=TRUE,2,1))</f>
        <v>0</v>
      </c>
      <c r="DJ33" s="247">
        <f>IF('Flächen u. Kulturen'!U38="",0,IF(ISNUMBER('Flächen u. Kulturen'!U38)=TRUE,2,1))</f>
        <v>0</v>
      </c>
      <c r="DK33" s="247">
        <f>IF('Flächen u. Kulturen'!V38="",0,IF(ISNUMBER('Flächen u. Kulturen'!V38)=TRUE,2,1))</f>
        <v>0</v>
      </c>
      <c r="DL33" s="247">
        <f>IF('Flächen u. Kulturen'!W38="",0,IF(ISNUMBER('Flächen u. Kulturen'!W38)=TRUE,2,1))</f>
        <v>0</v>
      </c>
      <c r="DM33" s="247">
        <f t="shared" si="31"/>
        <v>0</v>
      </c>
      <c r="DN33" s="247" t="s">
        <v>344</v>
      </c>
      <c r="DO33" s="247">
        <f>IF(U33&lt;&gt;"x","",IF(OR('Flächen u. Kulturen'!B38="",'Flächen u. Kulturen'!C38="",'Flächen u. Kulturen'!D38="",'Flächen u. Kulturen'!D38=0,'Flächen u. Kulturen'!F38="",'Flächen u. Kulturen'!F38='#Boden'!$G$4,'Flächen u. Kulturen'!G38="",'Flächen u. Kulturen'!G38='#Boden'!$B$26,'Flächen u. Kulturen'!H38="",'Flächen u. Kulturen'!H38='#Boden'!$B$23,AND(N33&lt;&gt;2,OR('Flächen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Kulturen'!Q38="",'#BerechnungDBE'!N33&lt;3),AND('Flächen u. Kulturen'!R38="",'#BerechnungDBE'!N33=3),AND(N33=1,AL33&gt;0,'Flächen u. Kulturen'!S38=""),AND(N33=1,OR('Flächen u. Kulturen'!T38="",'Flächen u. Kulturen'!T38='#Boden'!$B$30)),AND('#BerechnungDBE'!AF33=70,OR('Flächen u. Kulturen'!N38="",'Flächen u. Kulturen'!N38='#Boden'!$G$22,'Flächen u. Kulturen'!O38="")),AND('#BerechnungDBE'!AF33=80,OR('Flächen u. Kulturen'!M38="",'Flächen u. Kulturen'!M38='#Boden'!$G$17,'Flächen u. Kulturen'!N38="",'Flächen u. Kulturen'!N38='#Boden'!$G$22))),$DO$4,""))</f>
        <v>1</v>
      </c>
      <c r="DP33" s="247" t="str">
        <f>IF(U33&lt;&gt;"x","",IF(OR(LEFT('Flächen u. Kulturen'!J38,2)=" +",LEFT('Flächen u. Kulturen'!L38,2)=" +",LEFT('Flächen u. Kulturen'!P38,2)=" +"),$DP$4,""))</f>
        <v/>
      </c>
      <c r="DQ33" s="428" t="str">
        <f t="shared" si="12"/>
        <v/>
      </c>
      <c r="DR33" s="938" t="str">
        <f t="shared" si="13"/>
        <v/>
      </c>
      <c r="DS33" s="938" t="str">
        <f>IF('Flächen u. Kulturen'!X38="","",ROW('Flächen u. Kulturen'!X38))</f>
        <v/>
      </c>
    </row>
    <row r="34" spans="1:123" s="875" customFormat="1" x14ac:dyDescent="0.2">
      <c r="A34" s="875" t="str">
        <f>IF('Daten aus 2021'!H36="",'#Boden'!$B$26,IF('Daten aus 2021'!H36='#Boden'!$B$39,IF('Daten aus 2021'!F36='#Boden'!$B$29,'#Boden'!$B$29,IF('Daten aus 2021'!K36='#Boden'!$B$34,'#Boden'!$B$28,'#Boden'!$B$27)),'Daten aus 2021'!F36))</f>
        <v xml:space="preserve"> --</v>
      </c>
      <c r="B34" s="875" t="str">
        <f>IF('Daten aus 2021'!H36='#Boden'!$B$39,IF('Daten aus 2021'!L36='#Boden'!$B$61,'#Boden'!$B$11,'Daten aus 2021'!L36),IF('Daten aus 2021'!P36='#Boden'!$B$58,'#Boden'!$B$11,IF('Daten aus 2021'!P36='#Boden'!$B$57,'#Boden'!$B$10,'#Boden'!$B$9)))</f>
        <v xml:space="preserve"> --         </v>
      </c>
      <c r="C34" s="875" t="str">
        <f>IF('Daten aus 2021'!N36="","",VLOOKUP('Daten aus 2021'!N36,'#Boden'!$B$68:$C$89,2,FALSE))</f>
        <v/>
      </c>
      <c r="D34" s="875" t="str">
        <f>IF('Daten aus 2021'!M36="","",VLOOKUP('Daten aus 2021'!M36,'#Boden'!$D$69:$E$73,2,FALSE))</f>
        <v/>
      </c>
      <c r="E34" s="938" t="str">
        <f>IF(OR(C34='#Boden'!$C$68,C34='#Boden'!$C$70),C34,CONCATENATE(C34,D34))</f>
        <v/>
      </c>
      <c r="F34" s="882" t="str">
        <f>IFERROR(IF('Daten aus 2021'!H36="",'#Frucht'!$D$8,IF('Daten aus 2021'!H36='#Boden'!$B$39,E34,IF('Daten aus 2021'!H36='#Boden'!$B$38,IF(CONCATENATE(" ",'Daten aus 2021'!W36)=$B$2,VLOOKUP($B$3,'#Frucht'!$A$8:$D$372,4,FALSE),VLOOKUP(CONCATENATE(" ",'Daten aus 2021'!W36),'#Frucht'!$A$8:$D$372,4,FALSE)),IF(OR(LEFT('Daten aus 2021'!Q36,5)=" *10 ",LEFT('Daten aus 2021'!Q36,5)=" *11 ",LEFT('Daten aus 2021'!Q36,5)=" *12 ",LEFT('Daten aus 2021'!Q36,5)=" *13 ",LEFT('Daten aus 2021'!Q36,5)=" *14 ",LEFT('Daten aus 2021'!Q36,5)=" *15 "),VLOOKUP(RIGHT('Daten aus 2021'!Q36,LEN('Daten aus 2021'!Q36)-4),'#Frucht'!$A$8:$D$372,4,FALSE),IF(LEFT('Daten aus 2021'!Q36,2)=" *",VLOOKUP(RIGHT('Daten aus 2021'!Q36,LEN('Daten aus 2021'!Q36)-3),'#Frucht'!$A$8:$D$372,4,FALSE),VLOOKUP('Daten aus 2021'!Q36,'#Frucht'!$A$8:$D$372,4,FALSE)))))),'#Frucht'!$D$8)</f>
        <v xml:space="preserve"> --  </v>
      </c>
      <c r="G34" s="127"/>
      <c r="H34" s="31"/>
      <c r="J34" s="938" t="str">
        <f>IF(OR(N34=3,$K$3=0,'Flächen u. Kulturen'!P39=""),"",IF(VLOOKUP('Flächen u. Kulturen'!P39,Kulturen[[HF]:[780]],'#BerechnungDBE'!$K$3,FALSE)=".","",VLOOKUP('Flächen u. Kulturen'!P39,Kulturen[[HF]:[780]],'#BerechnungDBE'!$K$3,FALSE)))</f>
        <v/>
      </c>
      <c r="K34" s="938" t="str">
        <f>IF(OR($K$3=0,'Flächen u. Kulturen'!P39=""),"",IF(N34=3,IF(VLOOKUP('Flächen u. Kulturen'!P39,Kulturen[[HF]:[780]],'#BerechnungDBE'!$K$3,FALSE)=".","",VLOOKUP('Flächen u. Kulturen'!P39,Kulturen[[HF]:[780]],'#BerechnungDBE'!$K$3,FALSE)),""))</f>
        <v/>
      </c>
      <c r="L34" s="367">
        <f>IF('Flächen u. Kulturen'!D39="",0,'Flächen u. Kulturen'!D39)</f>
        <v>0</v>
      </c>
      <c r="M34" s="693">
        <f>IF('Flächen u. Kulturen'!J39="",0,VLOOKUP('Flächen u. Kulturen'!J39,Kulturen[[HF]:[Berechnungsgruppe]],'#Frucht'!$W$1,FALSE))</f>
        <v>1</v>
      </c>
      <c r="N34" s="693">
        <f>IF('Flächen u. Kulturen'!P39="",0,VLOOKUP('Flächen u. Kulturen'!P39,Kulturen[[HF]:[Berechnungsgruppe]],'#Frucht'!$W$1,FALSE))</f>
        <v>1</v>
      </c>
      <c r="O34" s="875">
        <f>IF(N34&lt;&gt;2,N34,IF('Flächen u. Kulturen'!J39='Flächen u. Kulturen'!P39,2,1))</f>
        <v>1</v>
      </c>
      <c r="P34" s="875">
        <f>IF('Flächen u. Kulturen'!F39="",0,VLOOKUP('Flächen u. Kulturen'!F39,'#Boden'!$G$4:$H$8,'#Boden'!$H$1,FALSE))</f>
        <v>1</v>
      </c>
      <c r="Q34" s="875">
        <f>IF('Flächen u. Kulturen'!G39="",0,VLOOKUP('Flächen u. Kulturen'!G39,'#Boden'!$B$26:$C$29,'#Boden'!$C$1,FALSE))</f>
        <v>1</v>
      </c>
      <c r="R34" s="875">
        <f t="shared" si="19"/>
        <v>1</v>
      </c>
      <c r="S34" s="875">
        <f t="shared" si="20"/>
        <v>1</v>
      </c>
      <c r="T34" s="875">
        <f>IF('Flächen u. Kulturen'!H39="",0,VLOOKUP('Flächen u. Kulturen'!H39,'#Boden'!$B$23:$C$25,'#Boden'!$C$1,FALSE))</f>
        <v>2</v>
      </c>
      <c r="U34" s="875" t="str">
        <f>'Flächen u. Kulturen'!E39</f>
        <v>x</v>
      </c>
      <c r="V34" s="938">
        <f>IF('Flächen u. Kulturen'!Q39="",0,_xlfn.NUMBERVALUE('Flächen u. Kulturen'!Q39))</f>
        <v>0</v>
      </c>
      <c r="W34" s="938">
        <f>IF('Flächen u. Kulturen'!R39="",0,_xlfn.NUMBERVALUE('Flächen u. Kulturen'!R39))</f>
        <v>0</v>
      </c>
      <c r="X34" s="875">
        <f>IF('Flächen u. Kulturen'!T39="",0,VLOOKUP('Flächen u. Kulturen'!T39,'#Boden'!$B$30:$C$32,'#Boden'!$C$1,FALSE))</f>
        <v>1</v>
      </c>
      <c r="Y34" s="875">
        <f>IF('Flächen u. Kulturen'!P39="",0,VLOOKUP('Flächen u. Kulturen'!P39,Kulturen[[HF]:[Berechnungsgruppe]],'#Frucht'!$N$1,FALSE))</f>
        <v>0</v>
      </c>
      <c r="Z34" s="875">
        <f t="shared" si="21"/>
        <v>2</v>
      </c>
      <c r="AA34" s="875">
        <f>IF('Flächen u. Kulturen'!P39="",0,VLOOKUP('Flächen u. Kulturen'!P39,Kulturen[[HF]:[Berechnungsgruppe]],'#Frucht'!$V$1,FALSE))</f>
        <v>0</v>
      </c>
      <c r="AB34" s="875">
        <f>IF(N34=1,VLOOKUP('Flächen u. Kulturen'!P39,Kulturen[[HF]:[Ernteprodukt]],'#Frucht'!$I$1,FALSE),4)</f>
        <v>4</v>
      </c>
      <c r="AC34" s="921">
        <f>IF('Flächen u. Kulturen'!J39="",0,VLOOKUP('Flächen u. Kulturen'!J39,Kulturen[[HF]:[Berechnungsgruppe]],'#Frucht'!$G$1,FALSE))</f>
        <v>90</v>
      </c>
      <c r="AD34" s="921">
        <f>IF('Flächen u. Kulturen'!P39="",0,VLOOKUP('Flächen u. Kulturen'!P39,Kulturen[[HF]:[Berechnungsgruppe]],'#Frucht'!$G$1,FALSE))</f>
        <v>90</v>
      </c>
      <c r="AE34" s="938">
        <f>IF('Flächen u. Kulturen'!P39="",0,VLOOKUP('Flächen u. Kulturen'!P39,Kulturen[[HF]:[SollwertMinusNfix]],'#Frucht'!$X$1,FALSE))</f>
        <v>0</v>
      </c>
      <c r="AF34" s="875">
        <f>IF('Flächen u. Kulturen'!L39="",0,VLOOKUP('Flächen u. Kulturen'!L39,Nebenkultur[[Nebenkultur]:[Berechnungsschema]],'#Zweitfr'!$G$1,FALSE))</f>
        <v>0</v>
      </c>
      <c r="AG34" s="875">
        <f>IF('Flächen u. Kulturen'!L39="",0,VLOOKUP('Flächen u. Kulturen'!L39,'#Zweitfr'!$D$8:$Q$27,'#Zweitfr'!$Q$1,FALSE))</f>
        <v>0</v>
      </c>
      <c r="AH34" s="875">
        <f>IF('Flächen u. Kulturen'!M39="",0,VLOOKUP('Flächen u. Kulturen'!M39,'#Boden'!$G$17:$H$21,2,FALSE))</f>
        <v>1</v>
      </c>
      <c r="AI34" s="875">
        <f>IF('Flächen u. Kulturen'!N39="",0,VLOOKUP('Flächen u. Kulturen'!N39,'#Boden'!$G$22:$H$24,'#Boden'!$H$1,FALSE))</f>
        <v>1</v>
      </c>
      <c r="AJ34" s="938">
        <f>IF('Flächen u. Kulturen'!O39="",0,_xlfn.NUMBERVALUE('Flächen u. Kulturen'!O39))</f>
        <v>0</v>
      </c>
      <c r="AK34" s="938">
        <f>IF('Flächen u. Kulturen'!L39="",0,VLOOKUP('Flächen u. Kulturen'!L39,Nebenkultur[[Nebenkultur]:[Legum. Zwischenfr.]],'#Zweitfr'!$P$1,FALSE))</f>
        <v>0</v>
      </c>
      <c r="AL34" s="875">
        <f>IF('Flächen u. Kulturen'!P39="",0,VLOOKUP('Flächen u. Kulturen'!P39,Kulturen[[HF]:[Berechnungsgruppe]],'#Frucht'!$Q$1,FALSE))</f>
        <v>0</v>
      </c>
      <c r="AM34" s="875">
        <f>IF('Flächen u. Kulturen'!P39="",0,VLOOKUP('Flächen u. Kulturen'!P39,Kulturen[[HF]:[Berechnungsgruppe]],'#Frucht'!$M$1,FALSE))</f>
        <v>0</v>
      </c>
      <c r="AN34" s="875">
        <f>IF('Flächen u. Kulturen'!P39="",1,VLOOKUP('Flächen u. Kulturen'!P39,Kulturen[[HF]:[Berechnungsgruppe]],'#Frucht'!$R$1,FALSE))</f>
        <v>10</v>
      </c>
      <c r="AO34" s="875">
        <f>IF('Flächen u. Kulturen'!P39="",0,VLOOKUP('Flächen u. Kulturen'!P39,Kulturen[[HF]:[Berechnungsgruppe]],'#Frucht'!$S$1,FALSE))</f>
        <v>0</v>
      </c>
      <c r="AP34" s="875">
        <f>IF('Flächen u. Kulturen'!P39="",0,VLOOKUP('Flächen u. Kulturen'!P39,Kulturen[[HF]:[Berechnungsgruppe]],'#Frucht'!$T$1,FALSE))</f>
        <v>0</v>
      </c>
      <c r="AQ34" s="938">
        <f t="shared" si="1"/>
        <v>0</v>
      </c>
      <c r="AR34" s="875">
        <f t="shared" si="2"/>
        <v>0</v>
      </c>
      <c r="AS34" s="938">
        <f t="shared" si="3"/>
        <v>0</v>
      </c>
      <c r="AT34" s="875">
        <f>IF(N34=1,'Flächen u. Kulturen'!S39*-1,"--")</f>
        <v>0</v>
      </c>
      <c r="AU34" s="938">
        <f>IF(OR(N34=2,'Flächen u. Kulturen'!I39=""),"--",IF(N34=3,VLOOKUP('Flächen u. Kulturen'!I39,'#Boden'!$B$9:$E$15,'#Boden'!$D$1,FALSE),VLOOKUP('Flächen u. Kulturen'!I39,'#Boden'!$B$9:$E$15,'#Boden'!$E$1,FALSE)))</f>
        <v>0</v>
      </c>
      <c r="AV34" s="938">
        <f>IF(N34=1,IF('Flächen u. Kulturen'!J39="",0,VLOOKUP('Flächen u. Kulturen'!J39,Kulturen[[HF]:[Berechnungsgruppe]],'#Frucht'!$U$1,FALSE)*-1),"--")</f>
        <v>0</v>
      </c>
      <c r="AW34" s="875">
        <f t="shared" si="4"/>
        <v>0</v>
      </c>
      <c r="AX34" s="875">
        <f>IF('Flächen u. Kulturen'!K39="",0,'Flächen u. Kulturen'!K39*-0.1)</f>
        <v>0</v>
      </c>
      <c r="AY34" s="875">
        <f>IF(N34&lt;3,'#orgDung'!AC43*0.1*-1,"--")</f>
        <v>0</v>
      </c>
      <c r="AZ34" s="31" t="str">
        <f>IF(AND('#orgDung'!J43&lt;&gt;2,'#orgDung'!F43=1),('#orgDung'!V43+'#minDung'!O40)*-1,"--")</f>
        <v>--</v>
      </c>
      <c r="BA34" s="875">
        <f t="shared" si="22"/>
        <v>0</v>
      </c>
      <c r="BB34" s="938">
        <f>IF(R34=2,0,'Flächen u. Kulturen'!V39*-1)</f>
        <v>0</v>
      </c>
      <c r="BC34" s="875">
        <f t="shared" si="23"/>
        <v>0</v>
      </c>
      <c r="BD34" s="127">
        <f>'#orgDung'!W43*-1</f>
        <v>0</v>
      </c>
      <c r="BE34" s="910">
        <f>'#orgDung'!AA43*-1</f>
        <v>0</v>
      </c>
      <c r="BF34" s="875">
        <f>'#orgDung'!Z43*-1</f>
        <v>0</v>
      </c>
      <c r="BG34" s="938">
        <f t="shared" si="14"/>
        <v>0</v>
      </c>
      <c r="BH34" s="875">
        <f>'#Kürzungen'!AS58*-1</f>
        <v>0</v>
      </c>
      <c r="BI34" s="875">
        <f t="shared" si="5"/>
        <v>0</v>
      </c>
      <c r="BJ34" s="910">
        <f t="shared" si="6"/>
        <v>0</v>
      </c>
      <c r="BK34" s="875">
        <f>'#minDung'!P40</f>
        <v>0</v>
      </c>
      <c r="BL34" s="938">
        <f t="shared" si="15"/>
        <v>0</v>
      </c>
      <c r="BM34" s="938">
        <f t="shared" si="7"/>
        <v>0</v>
      </c>
      <c r="BN34" s="875">
        <f>IF('Flächen u. Kulturen'!P39="",0,VLOOKUP('Flächen u. Kulturen'!P39,Kulturen[[HF]:[Berechnungsgruppe]],'#Frucht'!$K$1,FALSE))</f>
        <v>0</v>
      </c>
      <c r="BO34" s="875">
        <f>IF('Flächen u. Kulturen'!P39="",0,VLOOKUP('Flächen u. Kulturen'!P39,Kulturen[[HF]:[Berechnungsgruppe]],'#Frucht'!$L$1,FALSE))</f>
        <v>0</v>
      </c>
      <c r="BP34" s="875">
        <f>IF('Flächen u. Kulturen'!L39="",0,VLOOKUP('Flächen u. Kulturen'!L39,Nebenkultur[[Nebenkultur]:[Legum. Zwischenfr.]],'#Zweitfr'!$H$1,FALSE))</f>
        <v>0</v>
      </c>
      <c r="BQ34" s="938">
        <f>IF(N34=3,W34*BO34,IF('Flächen u. Kulturen'!T39='#Boden'!$B$32,V34*BN34,V34*BO34))</f>
        <v>0</v>
      </c>
      <c r="BR34" s="938">
        <f t="shared" si="8"/>
        <v>0</v>
      </c>
      <c r="BS34" s="875">
        <f t="shared" si="24"/>
        <v>0</v>
      </c>
      <c r="BT34" s="875">
        <f>IF('Flächen u. Kulturen'!F39="",0,IF(N34=3,VLOOKUP('Flächen u. Kulturen'!F39,'#Boden'!$G$4:$J$8,'#Boden'!$J$1,FALSE),VLOOKUP('Flächen u. Kulturen'!F39,'#Boden'!$G$4:$J$8,'#Boden'!$I$1,FALSE)))</f>
        <v>0</v>
      </c>
      <c r="BU34" s="41">
        <f t="shared" si="25"/>
        <v>0</v>
      </c>
      <c r="BV34" s="875">
        <f t="shared" si="26"/>
        <v>0</v>
      </c>
      <c r="BW34" s="938" t="str">
        <f t="shared" si="16"/>
        <v/>
      </c>
      <c r="BX34" s="875">
        <f>'#orgDung'!T43*-1</f>
        <v>0</v>
      </c>
      <c r="BY34" s="875">
        <f t="shared" si="17"/>
        <v>0</v>
      </c>
      <c r="BZ34" s="938" t="str">
        <f>IF(U34&lt;&gt;"x",0,IF(P34&lt;4,"",(BW34+BX34-'#minDung'!N40)*-1))</f>
        <v/>
      </c>
      <c r="CB34" s="938">
        <f>IF(AND(AF34=70,U34="x"),'Flächen u. Kulturen'!A39,1000)</f>
        <v>1000</v>
      </c>
      <c r="CC34" s="875" t="str">
        <f>IF(AF34=70,VLOOKUP('Flächen u. Kulturen'!L39,Nebenkultur[[Nebenkultur]:[Legum. Zwischenfr.]],'#Zweitfr'!$I$1,FALSE),"--")</f>
        <v>--</v>
      </c>
      <c r="CD34" s="875" t="str">
        <f>IF(AF34=70,VLOOKUP('Flächen u. Kulturen'!L39,Nebenkultur[[Nebenkultur]:[Legum. Zwischenfr.]],'#Zweitfr'!$L$1,FALSE),"--")</f>
        <v>--</v>
      </c>
      <c r="CE34" s="875" t="str">
        <f>IF(AF34=70,VLOOKUP('Flächen u. Kulturen'!L39,Nebenkultur[[Nebenkultur]:[Legum. Zwischenfr.]],'#Zweitfr'!$M$1,FALSE),"--")</f>
        <v>--</v>
      </c>
      <c r="CF34" s="875" t="str">
        <f>IF(AF34=70,VLOOKUP('Flächen u. Kulturen'!L39,Nebenkultur[[Nebenkultur]:[Legum. Zwischenfr.]],'#Zweitfr'!$N$1,FALSE),"--")</f>
        <v>--</v>
      </c>
      <c r="CG34" s="875" t="str">
        <f>IF(AF34=70,VLOOKUP('Flächen u. Kulturen'!L39,Nebenkultur[[Nebenkultur]:[Legum. Zwischenfr.]],'#Zweitfr'!$O$1,FALSE),"--")</f>
        <v>--</v>
      </c>
      <c r="CH34" s="875" t="str">
        <f t="shared" si="9"/>
        <v>--</v>
      </c>
      <c r="CI34" s="938">
        <f>IF('Flächen u. Kulturen'!L39="",0,VLOOKUP('Flächen u. Kulturen'!L39,Nebenkultur[[Nebenkultur]:[Legum. Zwischenfr.]],'#Zweitfr'!$J$1,FALSE))</f>
        <v>0</v>
      </c>
      <c r="CJ34" s="875">
        <f t="shared" si="10"/>
        <v>0</v>
      </c>
      <c r="CK34" s="890">
        <f t="shared" si="11"/>
        <v>0</v>
      </c>
      <c r="CL34" s="938">
        <f>IF(AND(R34=1,AF34=70),'Flächen u. Kulturen'!W39*-1,0)</f>
        <v>0</v>
      </c>
      <c r="CM34" s="875">
        <f>'#orgDung'!AE43*-1</f>
        <v>0</v>
      </c>
      <c r="CN34" s="875">
        <f t="shared" si="27"/>
        <v>0</v>
      </c>
      <c r="CO34" s="875">
        <f t="shared" si="28"/>
        <v>0</v>
      </c>
      <c r="CP34" s="875">
        <f>'#Kürzungen'!AS159*-1</f>
        <v>0</v>
      </c>
      <c r="CQ34" s="875">
        <f t="shared" si="29"/>
        <v>0</v>
      </c>
      <c r="CR34" s="875">
        <f t="shared" si="30"/>
        <v>0</v>
      </c>
      <c r="CS34" s="875">
        <f>'#minDung'!R40</f>
        <v>0</v>
      </c>
      <c r="CT34" s="938">
        <f t="shared" si="18"/>
        <v>0</v>
      </c>
      <c r="CU34" s="52" t="str">
        <f>'#Kürzungen'!AQ159</f>
        <v xml:space="preserve"> </v>
      </c>
      <c r="CW34" s="247">
        <f>IF('Flächen u. Kulturen'!D39="",0,IF(ISNUMBER('Flächen u. Kulturen'!D39)=TRUE,2,1))</f>
        <v>0</v>
      </c>
      <c r="CX34" s="247">
        <f>IF('Flächen u. Kulturen'!E39="",0,COUNTIF('#Boden'!$B$47,'Flächen u. Kulturen'!E39)+1)</f>
        <v>2</v>
      </c>
      <c r="CY34" s="247">
        <f>IF('Flächen u. Kulturen'!F39="",0,COUNTIF('#Boden'!$G$4:$G$8,'Flächen u. Kulturen'!F39)+1)</f>
        <v>2</v>
      </c>
      <c r="CZ34" s="247">
        <f>IF('Flächen u. Kulturen'!G39="",0,COUNTIF('#Boden'!$B$26:$B$29,'Flächen u. Kulturen'!G39)+1)</f>
        <v>2</v>
      </c>
      <c r="DA34" s="247">
        <f>IF('Flächen u. Kulturen'!H39="",0,COUNTIF('#Boden'!$B$26:$B$29,'Flächen u. Kulturen'!H39)+1)</f>
        <v>2</v>
      </c>
      <c r="DB34" s="247">
        <f>IF('Flächen u. Kulturen'!I39="",0,COUNTIF('#Boden'!$B$9:$B$15,'Flächen u. Kulturen'!I39)+1)</f>
        <v>2</v>
      </c>
      <c r="DC34" s="247">
        <f>IF('Flächen u. Kulturen'!J39="",0,COUNTIF(Kulturen[HF],'Flächen u. Kulturen'!J39)+1)</f>
        <v>2</v>
      </c>
      <c r="DD34" s="247">
        <f>IF('Flächen u. Kulturen'!L39="",0,COUNTIF(Nebenkultur[Nebenkultur],'Flächen u. Kulturen'!L39)+1)</f>
        <v>2</v>
      </c>
      <c r="DE34" s="247">
        <f>IF('Flächen u. Kulturen'!M39="",0,COUNTIF('#Boden'!$G$17:$G$21,'Flächen u. Kulturen'!M39)+1)</f>
        <v>2</v>
      </c>
      <c r="DF34" s="247">
        <f>IF('Flächen u. Kulturen'!N39="",0,COUNTIF('#Boden'!$G$22:$G$24,'Flächen u. Kulturen'!N39)+1)</f>
        <v>2</v>
      </c>
      <c r="DG34" s="247">
        <f>IF('Flächen u. Kulturen'!P39="",0,COUNTIF(Kulturen[HF],'Flächen u. Kulturen'!P39)+1)</f>
        <v>2</v>
      </c>
      <c r="DH34" s="247">
        <f>IF('Flächen u. Kulturen'!T39="",0,COUNTIF('#Boden'!$B$30:$B$32,'Flächen u. Kulturen'!T39)+1)</f>
        <v>2</v>
      </c>
      <c r="DI34" s="247">
        <f>IF('Flächen u. Kulturen'!K39="",0,IF(ISNUMBER('Flächen u. Kulturen'!K39)=TRUE,2,1))</f>
        <v>0</v>
      </c>
      <c r="DJ34" s="247">
        <f>IF('Flächen u. Kulturen'!U39="",0,IF(ISNUMBER('Flächen u. Kulturen'!U39)=TRUE,2,1))</f>
        <v>0</v>
      </c>
      <c r="DK34" s="247">
        <f>IF('Flächen u. Kulturen'!V39="",0,IF(ISNUMBER('Flächen u. Kulturen'!V39)=TRUE,2,1))</f>
        <v>0</v>
      </c>
      <c r="DL34" s="247">
        <f>IF('Flächen u. Kulturen'!W39="",0,IF(ISNUMBER('Flächen u. Kulturen'!W39)=TRUE,2,1))</f>
        <v>0</v>
      </c>
      <c r="DM34" s="247">
        <f t="shared" si="31"/>
        <v>0</v>
      </c>
      <c r="DN34" s="247" t="s">
        <v>344</v>
      </c>
      <c r="DO34" s="247">
        <f>IF(U34&lt;&gt;"x","",IF(OR('Flächen u. Kulturen'!B39="",'Flächen u. Kulturen'!C39="",'Flächen u. Kulturen'!D39="",'Flächen u. Kulturen'!D39=0,'Flächen u. Kulturen'!F39="",'Flächen u. Kulturen'!F39='#Boden'!$G$4,'Flächen u. Kulturen'!G39="",'Flächen u. Kulturen'!G39='#Boden'!$B$26,'Flächen u. Kulturen'!H39="",'Flächen u. Kulturen'!H39='#Boden'!$B$23,AND(N34&lt;&gt;2,OR('Flächen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Kulturen'!Q39="",'#BerechnungDBE'!N34&lt;3),AND('Flächen u. Kulturen'!R39="",'#BerechnungDBE'!N34=3),AND(N34=1,AL34&gt;0,'Flächen u. Kulturen'!S39=""),AND(N34=1,OR('Flächen u. Kulturen'!T39="",'Flächen u. Kulturen'!T39='#Boden'!$B$30)),AND('#BerechnungDBE'!AF34=70,OR('Flächen u. Kulturen'!N39="",'Flächen u. Kulturen'!N39='#Boden'!$G$22,'Flächen u. Kulturen'!O39="")),AND('#BerechnungDBE'!AF34=80,OR('Flächen u. Kulturen'!M39="",'Flächen u. Kulturen'!M39='#Boden'!$G$17,'Flächen u. Kulturen'!N39="",'Flächen u. Kulturen'!N39='#Boden'!$G$22))),$DO$4,""))</f>
        <v>1</v>
      </c>
      <c r="DP34" s="247" t="str">
        <f>IF(U34&lt;&gt;"x","",IF(OR(LEFT('Flächen u. Kulturen'!J39,2)=" +",LEFT('Flächen u. Kulturen'!L39,2)=" +",LEFT('Flächen u. Kulturen'!P39,2)=" +"),$DP$4,""))</f>
        <v/>
      </c>
      <c r="DQ34" s="428" t="str">
        <f t="shared" si="12"/>
        <v/>
      </c>
      <c r="DR34" s="938" t="str">
        <f t="shared" si="13"/>
        <v/>
      </c>
      <c r="DS34" s="938" t="str">
        <f>IF('Flächen u. Kulturen'!X39="","",ROW('Flächen u. Kulturen'!X39))</f>
        <v/>
      </c>
    </row>
    <row r="35" spans="1:123" s="875" customFormat="1" x14ac:dyDescent="0.2">
      <c r="A35" s="875" t="str">
        <f>IF('Daten aus 2021'!H37="",'#Boden'!$B$26,IF('Daten aus 2021'!H37='#Boden'!$B$39,IF('Daten aus 2021'!F37='#Boden'!$B$29,'#Boden'!$B$29,IF('Daten aus 2021'!K37='#Boden'!$B$34,'#Boden'!$B$28,'#Boden'!$B$27)),'Daten aus 2021'!F37))</f>
        <v xml:space="preserve"> --</v>
      </c>
      <c r="B35" s="875" t="str">
        <f>IF('Daten aus 2021'!H37='#Boden'!$B$39,IF('Daten aus 2021'!L37='#Boden'!$B$61,'#Boden'!$B$11,'Daten aus 2021'!L37),IF('Daten aus 2021'!P37='#Boden'!$B$58,'#Boden'!$B$11,IF('Daten aus 2021'!P37='#Boden'!$B$57,'#Boden'!$B$10,'#Boden'!$B$9)))</f>
        <v xml:space="preserve"> --         </v>
      </c>
      <c r="C35" s="875" t="str">
        <f>IF('Daten aus 2021'!N37="","",VLOOKUP('Daten aus 2021'!N37,'#Boden'!$B$68:$C$89,2,FALSE))</f>
        <v/>
      </c>
      <c r="D35" s="875" t="str">
        <f>IF('Daten aus 2021'!M37="","",VLOOKUP('Daten aus 2021'!M37,'#Boden'!$D$69:$E$73,2,FALSE))</f>
        <v/>
      </c>
      <c r="E35" s="938" t="str">
        <f>IF(OR(C35='#Boden'!$C$68,C35='#Boden'!$C$70),C35,CONCATENATE(C35,D35))</f>
        <v/>
      </c>
      <c r="F35" s="882" t="str">
        <f>IFERROR(IF('Daten aus 2021'!H37="",'#Frucht'!$D$8,IF('Daten aus 2021'!H37='#Boden'!$B$39,E35,IF('Daten aus 2021'!H37='#Boden'!$B$38,IF(CONCATENATE(" ",'Daten aus 2021'!W37)=$B$2,VLOOKUP($B$3,'#Frucht'!$A$8:$D$372,4,FALSE),VLOOKUP(CONCATENATE(" ",'Daten aus 2021'!W37),'#Frucht'!$A$8:$D$372,4,FALSE)),IF(OR(LEFT('Daten aus 2021'!Q37,5)=" *10 ",LEFT('Daten aus 2021'!Q37,5)=" *11 ",LEFT('Daten aus 2021'!Q37,5)=" *12 ",LEFT('Daten aus 2021'!Q37,5)=" *13 ",LEFT('Daten aus 2021'!Q37,5)=" *14 ",LEFT('Daten aus 2021'!Q37,5)=" *15 "),VLOOKUP(RIGHT('Daten aus 2021'!Q37,LEN('Daten aus 2021'!Q37)-4),'#Frucht'!$A$8:$D$372,4,FALSE),IF(LEFT('Daten aus 2021'!Q37,2)=" *",VLOOKUP(RIGHT('Daten aus 2021'!Q37,LEN('Daten aus 2021'!Q37)-3),'#Frucht'!$A$8:$D$372,4,FALSE),VLOOKUP('Daten aus 2021'!Q37,'#Frucht'!$A$8:$D$372,4,FALSE)))))),'#Frucht'!$D$8)</f>
        <v xml:space="preserve"> --  </v>
      </c>
      <c r="G35" s="127"/>
      <c r="H35" s="31"/>
      <c r="J35" s="938" t="str">
        <f>IF(OR(N35=3,$K$3=0,'Flächen u. Kulturen'!P40=""),"",IF(VLOOKUP('Flächen u. Kulturen'!P40,Kulturen[[HF]:[780]],'#BerechnungDBE'!$K$3,FALSE)=".","",VLOOKUP('Flächen u. Kulturen'!P40,Kulturen[[HF]:[780]],'#BerechnungDBE'!$K$3,FALSE)))</f>
        <v/>
      </c>
      <c r="K35" s="938" t="str">
        <f>IF(OR($K$3=0,'Flächen u. Kulturen'!P40=""),"",IF(N35=3,IF(VLOOKUP('Flächen u. Kulturen'!P40,Kulturen[[HF]:[780]],'#BerechnungDBE'!$K$3,FALSE)=".","",VLOOKUP('Flächen u. Kulturen'!P40,Kulturen[[HF]:[780]],'#BerechnungDBE'!$K$3,FALSE)),""))</f>
        <v/>
      </c>
      <c r="L35" s="367">
        <f>IF('Flächen u. Kulturen'!D40="",0,'Flächen u. Kulturen'!D40)</f>
        <v>0</v>
      </c>
      <c r="M35" s="693">
        <f>IF('Flächen u. Kulturen'!J40="",0,VLOOKUP('Flächen u. Kulturen'!J40,Kulturen[[HF]:[Berechnungsgruppe]],'#Frucht'!$W$1,FALSE))</f>
        <v>1</v>
      </c>
      <c r="N35" s="693">
        <f>IF('Flächen u. Kulturen'!P40="",0,VLOOKUP('Flächen u. Kulturen'!P40,Kulturen[[HF]:[Berechnungsgruppe]],'#Frucht'!$W$1,FALSE))</f>
        <v>1</v>
      </c>
      <c r="O35" s="875">
        <f>IF(N35&lt;&gt;2,N35,IF('Flächen u. Kulturen'!J40='Flächen u. Kulturen'!P40,2,1))</f>
        <v>1</v>
      </c>
      <c r="P35" s="875">
        <f>IF('Flächen u. Kulturen'!F40="",0,VLOOKUP('Flächen u. Kulturen'!F40,'#Boden'!$G$4:$H$8,'#Boden'!$H$1,FALSE))</f>
        <v>1</v>
      </c>
      <c r="Q35" s="875">
        <f>IF('Flächen u. Kulturen'!G40="",0,VLOOKUP('Flächen u. Kulturen'!G40,'#Boden'!$B$26:$C$29,'#Boden'!$C$1,FALSE))</f>
        <v>1</v>
      </c>
      <c r="R35" s="875">
        <f t="shared" si="19"/>
        <v>1</v>
      </c>
      <c r="S35" s="875">
        <f t="shared" si="20"/>
        <v>1</v>
      </c>
      <c r="T35" s="875">
        <f>IF('Flächen u. Kulturen'!H40="",0,VLOOKUP('Flächen u. Kulturen'!H40,'#Boden'!$B$23:$C$25,'#Boden'!$C$1,FALSE))</f>
        <v>2</v>
      </c>
      <c r="U35" s="875" t="str">
        <f>'Flächen u. Kulturen'!E40</f>
        <v>x</v>
      </c>
      <c r="V35" s="938">
        <f>IF('Flächen u. Kulturen'!Q40="",0,_xlfn.NUMBERVALUE('Flächen u. Kulturen'!Q40))</f>
        <v>0</v>
      </c>
      <c r="W35" s="938">
        <f>IF('Flächen u. Kulturen'!R40="",0,_xlfn.NUMBERVALUE('Flächen u. Kulturen'!R40))</f>
        <v>0</v>
      </c>
      <c r="X35" s="875">
        <f>IF('Flächen u. Kulturen'!T40="",0,VLOOKUP('Flächen u. Kulturen'!T40,'#Boden'!$B$30:$C$32,'#Boden'!$C$1,FALSE))</f>
        <v>1</v>
      </c>
      <c r="Y35" s="875">
        <f>IF('Flächen u. Kulturen'!P40="",0,VLOOKUP('Flächen u. Kulturen'!P40,Kulturen[[HF]:[Berechnungsgruppe]],'#Frucht'!$N$1,FALSE))</f>
        <v>0</v>
      </c>
      <c r="Z35" s="875">
        <f t="shared" si="21"/>
        <v>2</v>
      </c>
      <c r="AA35" s="875">
        <f>IF('Flächen u. Kulturen'!P40="",0,VLOOKUP('Flächen u. Kulturen'!P40,Kulturen[[HF]:[Berechnungsgruppe]],'#Frucht'!$V$1,FALSE))</f>
        <v>0</v>
      </c>
      <c r="AB35" s="875">
        <f>IF(N35=1,VLOOKUP('Flächen u. Kulturen'!P40,Kulturen[[HF]:[Ernteprodukt]],'#Frucht'!$I$1,FALSE),4)</f>
        <v>4</v>
      </c>
      <c r="AC35" s="921">
        <f>IF('Flächen u. Kulturen'!J40="",0,VLOOKUP('Flächen u. Kulturen'!J40,Kulturen[[HF]:[Berechnungsgruppe]],'#Frucht'!$G$1,FALSE))</f>
        <v>90</v>
      </c>
      <c r="AD35" s="921">
        <f>IF('Flächen u. Kulturen'!P40="",0,VLOOKUP('Flächen u. Kulturen'!P40,Kulturen[[HF]:[Berechnungsgruppe]],'#Frucht'!$G$1,FALSE))</f>
        <v>90</v>
      </c>
      <c r="AE35" s="938">
        <f>IF('Flächen u. Kulturen'!P40="",0,VLOOKUP('Flächen u. Kulturen'!P40,Kulturen[[HF]:[SollwertMinusNfix]],'#Frucht'!$X$1,FALSE))</f>
        <v>0</v>
      </c>
      <c r="AF35" s="875">
        <f>IF('Flächen u. Kulturen'!L40="",0,VLOOKUP('Flächen u. Kulturen'!L40,Nebenkultur[[Nebenkultur]:[Berechnungsschema]],'#Zweitfr'!$G$1,FALSE))</f>
        <v>0</v>
      </c>
      <c r="AG35" s="875">
        <f>IF('Flächen u. Kulturen'!L40="",0,VLOOKUP('Flächen u. Kulturen'!L40,'#Zweitfr'!$D$8:$Q$27,'#Zweitfr'!$Q$1,FALSE))</f>
        <v>0</v>
      </c>
      <c r="AH35" s="875">
        <f>IF('Flächen u. Kulturen'!M40="",0,VLOOKUP('Flächen u. Kulturen'!M40,'#Boden'!$G$17:$H$21,2,FALSE))</f>
        <v>1</v>
      </c>
      <c r="AI35" s="875">
        <f>IF('Flächen u. Kulturen'!N40="",0,VLOOKUP('Flächen u. Kulturen'!N40,'#Boden'!$G$22:$H$24,'#Boden'!$H$1,FALSE))</f>
        <v>1</v>
      </c>
      <c r="AJ35" s="938">
        <f>IF('Flächen u. Kulturen'!O40="",0,_xlfn.NUMBERVALUE('Flächen u. Kulturen'!O40))</f>
        <v>0</v>
      </c>
      <c r="AK35" s="938">
        <f>IF('Flächen u. Kulturen'!L40="",0,VLOOKUP('Flächen u. Kulturen'!L40,Nebenkultur[[Nebenkultur]:[Legum. Zwischenfr.]],'#Zweitfr'!$P$1,FALSE))</f>
        <v>0</v>
      </c>
      <c r="AL35" s="875">
        <f>IF('Flächen u. Kulturen'!P40="",0,VLOOKUP('Flächen u. Kulturen'!P40,Kulturen[[HF]:[Berechnungsgruppe]],'#Frucht'!$Q$1,FALSE))</f>
        <v>0</v>
      </c>
      <c r="AM35" s="875">
        <f>IF('Flächen u. Kulturen'!P40="",0,VLOOKUP('Flächen u. Kulturen'!P40,Kulturen[[HF]:[Berechnungsgruppe]],'#Frucht'!$M$1,FALSE))</f>
        <v>0</v>
      </c>
      <c r="AN35" s="875">
        <f>IF('Flächen u. Kulturen'!P40="",1,VLOOKUP('Flächen u. Kulturen'!P40,Kulturen[[HF]:[Berechnungsgruppe]],'#Frucht'!$R$1,FALSE))</f>
        <v>10</v>
      </c>
      <c r="AO35" s="875">
        <f>IF('Flächen u. Kulturen'!P40="",0,VLOOKUP('Flächen u. Kulturen'!P40,Kulturen[[HF]:[Berechnungsgruppe]],'#Frucht'!$S$1,FALSE))</f>
        <v>0</v>
      </c>
      <c r="AP35" s="875">
        <f>IF('Flächen u. Kulturen'!P40="",0,VLOOKUP('Flächen u. Kulturen'!P40,Kulturen[[HF]:[Berechnungsgruppe]],'#Frucht'!$T$1,FALSE))</f>
        <v>0</v>
      </c>
      <c r="AQ35" s="938">
        <f t="shared" si="1"/>
        <v>0</v>
      </c>
      <c r="AR35" s="875">
        <f t="shared" si="2"/>
        <v>0</v>
      </c>
      <c r="AS35" s="938">
        <f t="shared" si="3"/>
        <v>0</v>
      </c>
      <c r="AT35" s="875">
        <f>IF(N35=1,'Flächen u. Kulturen'!S40*-1,"--")</f>
        <v>0</v>
      </c>
      <c r="AU35" s="938">
        <f>IF(OR(N35=2,'Flächen u. Kulturen'!I40=""),"--",IF(N35=3,VLOOKUP('Flächen u. Kulturen'!I40,'#Boden'!$B$9:$E$15,'#Boden'!$D$1,FALSE),VLOOKUP('Flächen u. Kulturen'!I40,'#Boden'!$B$9:$E$15,'#Boden'!$E$1,FALSE)))</f>
        <v>0</v>
      </c>
      <c r="AV35" s="938">
        <f>IF(N35=1,IF('Flächen u. Kulturen'!J40="",0,VLOOKUP('Flächen u. Kulturen'!J40,Kulturen[[HF]:[Berechnungsgruppe]],'#Frucht'!$U$1,FALSE)*-1),"--")</f>
        <v>0</v>
      </c>
      <c r="AW35" s="875">
        <f t="shared" si="4"/>
        <v>0</v>
      </c>
      <c r="AX35" s="875">
        <f>IF('Flächen u. Kulturen'!K40="",0,'Flächen u. Kulturen'!K40*-0.1)</f>
        <v>0</v>
      </c>
      <c r="AY35" s="875">
        <f>IF(N35&lt;3,'#orgDung'!AC44*0.1*-1,"--")</f>
        <v>0</v>
      </c>
      <c r="AZ35" s="31" t="str">
        <f>IF(AND('#orgDung'!J44&lt;&gt;2,'#orgDung'!F44=1),('#orgDung'!V44+'#minDung'!O41)*-1,"--")</f>
        <v>--</v>
      </c>
      <c r="BA35" s="875">
        <f t="shared" si="22"/>
        <v>0</v>
      </c>
      <c r="BB35" s="938">
        <f>IF(R35=2,0,'Flächen u. Kulturen'!V40*-1)</f>
        <v>0</v>
      </c>
      <c r="BC35" s="875">
        <f t="shared" si="23"/>
        <v>0</v>
      </c>
      <c r="BD35" s="127">
        <f>'#orgDung'!W44*-1</f>
        <v>0</v>
      </c>
      <c r="BE35" s="910">
        <f>'#orgDung'!AA44*-1</f>
        <v>0</v>
      </c>
      <c r="BF35" s="875">
        <f>'#orgDung'!Z44*-1</f>
        <v>0</v>
      </c>
      <c r="BG35" s="938">
        <f t="shared" si="14"/>
        <v>0</v>
      </c>
      <c r="BH35" s="875">
        <f>'#Kürzungen'!AS59*-1</f>
        <v>0</v>
      </c>
      <c r="BI35" s="875">
        <f t="shared" si="5"/>
        <v>0</v>
      </c>
      <c r="BJ35" s="910">
        <f t="shared" si="6"/>
        <v>0</v>
      </c>
      <c r="BK35" s="875">
        <f>'#minDung'!P41</f>
        <v>0</v>
      </c>
      <c r="BL35" s="938">
        <f t="shared" si="15"/>
        <v>0</v>
      </c>
      <c r="BM35" s="938">
        <f t="shared" si="7"/>
        <v>0</v>
      </c>
      <c r="BN35" s="875">
        <f>IF('Flächen u. Kulturen'!P40="",0,VLOOKUP('Flächen u. Kulturen'!P40,Kulturen[[HF]:[Berechnungsgruppe]],'#Frucht'!$K$1,FALSE))</f>
        <v>0</v>
      </c>
      <c r="BO35" s="875">
        <f>IF('Flächen u. Kulturen'!P40="",0,VLOOKUP('Flächen u. Kulturen'!P40,Kulturen[[HF]:[Berechnungsgruppe]],'#Frucht'!$L$1,FALSE))</f>
        <v>0</v>
      </c>
      <c r="BP35" s="875">
        <f>IF('Flächen u. Kulturen'!L40="",0,VLOOKUP('Flächen u. Kulturen'!L40,Nebenkultur[[Nebenkultur]:[Legum. Zwischenfr.]],'#Zweitfr'!$H$1,FALSE))</f>
        <v>0</v>
      </c>
      <c r="BQ35" s="938">
        <f>IF(N35=3,W35*BO35,IF('Flächen u. Kulturen'!T40='#Boden'!$B$32,V35*BN35,V35*BO35))</f>
        <v>0</v>
      </c>
      <c r="BR35" s="938">
        <f t="shared" si="8"/>
        <v>0</v>
      </c>
      <c r="BS35" s="875">
        <f t="shared" si="24"/>
        <v>0</v>
      </c>
      <c r="BT35" s="875">
        <f>IF('Flächen u. Kulturen'!F40="",0,IF(N35=3,VLOOKUP('Flächen u. Kulturen'!F40,'#Boden'!$G$4:$J$8,'#Boden'!$J$1,FALSE),VLOOKUP('Flächen u. Kulturen'!F40,'#Boden'!$G$4:$J$8,'#Boden'!$I$1,FALSE)))</f>
        <v>0</v>
      </c>
      <c r="BU35" s="41">
        <f t="shared" si="25"/>
        <v>0</v>
      </c>
      <c r="BV35" s="875">
        <f t="shared" si="26"/>
        <v>0</v>
      </c>
      <c r="BW35" s="938" t="str">
        <f t="shared" si="16"/>
        <v/>
      </c>
      <c r="BX35" s="875">
        <f>'#orgDung'!T44*-1</f>
        <v>0</v>
      </c>
      <c r="BY35" s="875">
        <f t="shared" si="17"/>
        <v>0</v>
      </c>
      <c r="BZ35" s="938" t="str">
        <f>IF(U35&lt;&gt;"x",0,IF(P35&lt;4,"",(BW35+BX35-'#minDung'!N41)*-1))</f>
        <v/>
      </c>
      <c r="CB35" s="938">
        <f>IF(AND(AF35=70,U35="x"),'Flächen u. Kulturen'!A40,1000)</f>
        <v>1000</v>
      </c>
      <c r="CC35" s="875" t="str">
        <f>IF(AF35=70,VLOOKUP('Flächen u. Kulturen'!L40,Nebenkultur[[Nebenkultur]:[Legum. Zwischenfr.]],'#Zweitfr'!$I$1,FALSE),"--")</f>
        <v>--</v>
      </c>
      <c r="CD35" s="875" t="str">
        <f>IF(AF35=70,VLOOKUP('Flächen u. Kulturen'!L40,Nebenkultur[[Nebenkultur]:[Legum. Zwischenfr.]],'#Zweitfr'!$L$1,FALSE),"--")</f>
        <v>--</v>
      </c>
      <c r="CE35" s="875" t="str">
        <f>IF(AF35=70,VLOOKUP('Flächen u. Kulturen'!L40,Nebenkultur[[Nebenkultur]:[Legum. Zwischenfr.]],'#Zweitfr'!$M$1,FALSE),"--")</f>
        <v>--</v>
      </c>
      <c r="CF35" s="875" t="str">
        <f>IF(AF35=70,VLOOKUP('Flächen u. Kulturen'!L40,Nebenkultur[[Nebenkultur]:[Legum. Zwischenfr.]],'#Zweitfr'!$N$1,FALSE),"--")</f>
        <v>--</v>
      </c>
      <c r="CG35" s="875" t="str">
        <f>IF(AF35=70,VLOOKUP('Flächen u. Kulturen'!L40,Nebenkultur[[Nebenkultur]:[Legum. Zwischenfr.]],'#Zweitfr'!$O$1,FALSE),"--")</f>
        <v>--</v>
      </c>
      <c r="CH35" s="875" t="str">
        <f t="shared" si="9"/>
        <v>--</v>
      </c>
      <c r="CI35" s="938">
        <f>IF('Flächen u. Kulturen'!L40="",0,VLOOKUP('Flächen u. Kulturen'!L40,Nebenkultur[[Nebenkultur]:[Legum. Zwischenfr.]],'#Zweitfr'!$J$1,FALSE))</f>
        <v>0</v>
      </c>
      <c r="CJ35" s="875">
        <f t="shared" si="10"/>
        <v>0</v>
      </c>
      <c r="CK35" s="890">
        <f t="shared" si="11"/>
        <v>0</v>
      </c>
      <c r="CL35" s="938">
        <f>IF(AND(R35=1,AF35=70),'Flächen u. Kulturen'!W40*-1,0)</f>
        <v>0</v>
      </c>
      <c r="CM35" s="875">
        <f>'#orgDung'!AE44*-1</f>
        <v>0</v>
      </c>
      <c r="CN35" s="875">
        <f t="shared" si="27"/>
        <v>0</v>
      </c>
      <c r="CO35" s="875">
        <f t="shared" si="28"/>
        <v>0</v>
      </c>
      <c r="CP35" s="875">
        <f>'#Kürzungen'!AS160*-1</f>
        <v>0</v>
      </c>
      <c r="CQ35" s="875">
        <f t="shared" si="29"/>
        <v>0</v>
      </c>
      <c r="CR35" s="875">
        <f t="shared" si="30"/>
        <v>0</v>
      </c>
      <c r="CS35" s="875">
        <f>'#minDung'!R41</f>
        <v>0</v>
      </c>
      <c r="CT35" s="938">
        <f t="shared" si="18"/>
        <v>0</v>
      </c>
      <c r="CU35" s="52" t="str">
        <f>'#Kürzungen'!AQ160</f>
        <v xml:space="preserve"> </v>
      </c>
      <c r="CW35" s="247">
        <f>IF('Flächen u. Kulturen'!D40="",0,IF(ISNUMBER('Flächen u. Kulturen'!D40)=TRUE,2,1))</f>
        <v>0</v>
      </c>
      <c r="CX35" s="247">
        <f>IF('Flächen u. Kulturen'!E40="",0,COUNTIF('#Boden'!$B$47,'Flächen u. Kulturen'!E40)+1)</f>
        <v>2</v>
      </c>
      <c r="CY35" s="247">
        <f>IF('Flächen u. Kulturen'!F40="",0,COUNTIF('#Boden'!$G$4:$G$8,'Flächen u. Kulturen'!F40)+1)</f>
        <v>2</v>
      </c>
      <c r="CZ35" s="247">
        <f>IF('Flächen u. Kulturen'!G40="",0,COUNTIF('#Boden'!$B$26:$B$29,'Flächen u. Kulturen'!G40)+1)</f>
        <v>2</v>
      </c>
      <c r="DA35" s="247">
        <f>IF('Flächen u. Kulturen'!H40="",0,COUNTIF('#Boden'!$B$26:$B$29,'Flächen u. Kulturen'!H40)+1)</f>
        <v>2</v>
      </c>
      <c r="DB35" s="247">
        <f>IF('Flächen u. Kulturen'!I40="",0,COUNTIF('#Boden'!$B$9:$B$15,'Flächen u. Kulturen'!I40)+1)</f>
        <v>2</v>
      </c>
      <c r="DC35" s="247">
        <f>IF('Flächen u. Kulturen'!J40="",0,COUNTIF(Kulturen[HF],'Flächen u. Kulturen'!J40)+1)</f>
        <v>2</v>
      </c>
      <c r="DD35" s="247">
        <f>IF('Flächen u. Kulturen'!L40="",0,COUNTIF(Nebenkultur[Nebenkultur],'Flächen u. Kulturen'!L40)+1)</f>
        <v>2</v>
      </c>
      <c r="DE35" s="247">
        <f>IF('Flächen u. Kulturen'!M40="",0,COUNTIF('#Boden'!$G$17:$G$21,'Flächen u. Kulturen'!M40)+1)</f>
        <v>2</v>
      </c>
      <c r="DF35" s="247">
        <f>IF('Flächen u. Kulturen'!N40="",0,COUNTIF('#Boden'!$G$22:$G$24,'Flächen u. Kulturen'!N40)+1)</f>
        <v>2</v>
      </c>
      <c r="DG35" s="247">
        <f>IF('Flächen u. Kulturen'!P40="",0,COUNTIF(Kulturen[HF],'Flächen u. Kulturen'!P40)+1)</f>
        <v>2</v>
      </c>
      <c r="DH35" s="247">
        <f>IF('Flächen u. Kulturen'!T40="",0,COUNTIF('#Boden'!$B$30:$B$32,'Flächen u. Kulturen'!T40)+1)</f>
        <v>2</v>
      </c>
      <c r="DI35" s="247">
        <f>IF('Flächen u. Kulturen'!K40="",0,IF(ISNUMBER('Flächen u. Kulturen'!K40)=TRUE,2,1))</f>
        <v>0</v>
      </c>
      <c r="DJ35" s="247">
        <f>IF('Flächen u. Kulturen'!U40="",0,IF(ISNUMBER('Flächen u. Kulturen'!U40)=TRUE,2,1))</f>
        <v>0</v>
      </c>
      <c r="DK35" s="247">
        <f>IF('Flächen u. Kulturen'!V40="",0,IF(ISNUMBER('Flächen u. Kulturen'!V40)=TRUE,2,1))</f>
        <v>0</v>
      </c>
      <c r="DL35" s="247">
        <f>IF('Flächen u. Kulturen'!W40="",0,IF(ISNUMBER('Flächen u. Kulturen'!W40)=TRUE,2,1))</f>
        <v>0</v>
      </c>
      <c r="DM35" s="247">
        <f t="shared" si="31"/>
        <v>0</v>
      </c>
      <c r="DN35" s="247" t="s">
        <v>344</v>
      </c>
      <c r="DO35" s="247">
        <f>IF(U35&lt;&gt;"x","",IF(OR('Flächen u. Kulturen'!B40="",'Flächen u. Kulturen'!C40="",'Flächen u. Kulturen'!D40="",'Flächen u. Kulturen'!D40=0,'Flächen u. Kulturen'!F40="",'Flächen u. Kulturen'!F40='#Boden'!$G$4,'Flächen u. Kulturen'!G40="",'Flächen u. Kulturen'!G40='#Boden'!$B$26,'Flächen u. Kulturen'!H40="",'Flächen u. Kulturen'!H40='#Boden'!$B$23,AND(N35&lt;&gt;2,OR('Flächen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Kulturen'!Q40="",'#BerechnungDBE'!N35&lt;3),AND('Flächen u. Kulturen'!R40="",'#BerechnungDBE'!N35=3),AND(N35=1,AL35&gt;0,'Flächen u. Kulturen'!S40=""),AND(N35=1,OR('Flächen u. Kulturen'!T40="",'Flächen u. Kulturen'!T40='#Boden'!$B$30)),AND('#BerechnungDBE'!AF35=70,OR('Flächen u. Kulturen'!N40="",'Flächen u. Kulturen'!N40='#Boden'!$G$22,'Flächen u. Kulturen'!O40="")),AND('#BerechnungDBE'!AF35=80,OR('Flächen u. Kulturen'!M40="",'Flächen u. Kulturen'!M40='#Boden'!$G$17,'Flächen u. Kulturen'!N40="",'Flächen u. Kulturen'!N40='#Boden'!$G$22))),$DO$4,""))</f>
        <v>1</v>
      </c>
      <c r="DP35" s="247" t="str">
        <f>IF(U35&lt;&gt;"x","",IF(OR(LEFT('Flächen u. Kulturen'!J40,2)=" +",LEFT('Flächen u. Kulturen'!L40,2)=" +",LEFT('Flächen u. Kulturen'!P40,2)=" +"),$DP$4,""))</f>
        <v/>
      </c>
      <c r="DQ35" s="428" t="str">
        <f t="shared" si="12"/>
        <v/>
      </c>
      <c r="DR35" s="938" t="str">
        <f t="shared" si="13"/>
        <v/>
      </c>
      <c r="DS35" s="938" t="str">
        <f>IF('Flächen u. Kulturen'!X40="","",ROW('Flächen u. Kulturen'!X40))</f>
        <v/>
      </c>
    </row>
    <row r="36" spans="1:123" s="875" customFormat="1" x14ac:dyDescent="0.2">
      <c r="A36" s="875" t="str">
        <f>IF('Daten aus 2021'!H38="",'#Boden'!$B$26,IF('Daten aus 2021'!H38='#Boden'!$B$39,IF('Daten aus 2021'!F38='#Boden'!$B$29,'#Boden'!$B$29,IF('Daten aus 2021'!K38='#Boden'!$B$34,'#Boden'!$B$28,'#Boden'!$B$27)),'Daten aus 2021'!F38))</f>
        <v xml:space="preserve"> --</v>
      </c>
      <c r="B36" s="875" t="str">
        <f>IF('Daten aus 2021'!H38='#Boden'!$B$39,IF('Daten aus 2021'!L38='#Boden'!$B$61,'#Boden'!$B$11,'Daten aus 2021'!L38),IF('Daten aus 2021'!P38='#Boden'!$B$58,'#Boden'!$B$11,IF('Daten aus 2021'!P38='#Boden'!$B$57,'#Boden'!$B$10,'#Boden'!$B$9)))</f>
        <v xml:space="preserve"> --         </v>
      </c>
      <c r="C36" s="875" t="str">
        <f>IF('Daten aus 2021'!N38="","",VLOOKUP('Daten aus 2021'!N38,'#Boden'!$B$68:$C$89,2,FALSE))</f>
        <v/>
      </c>
      <c r="D36" s="875" t="str">
        <f>IF('Daten aus 2021'!M38="","",VLOOKUP('Daten aus 2021'!M38,'#Boden'!$D$69:$E$73,2,FALSE))</f>
        <v/>
      </c>
      <c r="E36" s="938" t="str">
        <f>IF(OR(C36='#Boden'!$C$68,C36='#Boden'!$C$70),C36,CONCATENATE(C36,D36))</f>
        <v/>
      </c>
      <c r="F36" s="882" t="str">
        <f>IFERROR(IF('Daten aus 2021'!H38="",'#Frucht'!$D$8,IF('Daten aus 2021'!H38='#Boden'!$B$39,E36,IF('Daten aus 2021'!H38='#Boden'!$B$38,IF(CONCATENATE(" ",'Daten aus 2021'!W38)=$B$2,VLOOKUP($B$3,'#Frucht'!$A$8:$D$372,4,FALSE),VLOOKUP(CONCATENATE(" ",'Daten aus 2021'!W38),'#Frucht'!$A$8:$D$372,4,FALSE)),IF(OR(LEFT('Daten aus 2021'!Q38,5)=" *10 ",LEFT('Daten aus 2021'!Q38,5)=" *11 ",LEFT('Daten aus 2021'!Q38,5)=" *12 ",LEFT('Daten aus 2021'!Q38,5)=" *13 ",LEFT('Daten aus 2021'!Q38,5)=" *14 ",LEFT('Daten aus 2021'!Q38,5)=" *15 "),VLOOKUP(RIGHT('Daten aus 2021'!Q38,LEN('Daten aus 2021'!Q38)-4),'#Frucht'!$A$8:$D$372,4,FALSE),IF(LEFT('Daten aus 2021'!Q38,2)=" *",VLOOKUP(RIGHT('Daten aus 2021'!Q38,LEN('Daten aus 2021'!Q38)-3),'#Frucht'!$A$8:$D$372,4,FALSE),VLOOKUP('Daten aus 2021'!Q38,'#Frucht'!$A$8:$D$372,4,FALSE)))))),'#Frucht'!$D$8)</f>
        <v xml:space="preserve"> --  </v>
      </c>
      <c r="G36" s="127"/>
      <c r="H36" s="31"/>
      <c r="J36" s="938" t="str">
        <f>IF(OR(N36=3,$K$3=0,'Flächen u. Kulturen'!P41=""),"",IF(VLOOKUP('Flächen u. Kulturen'!P41,Kulturen[[HF]:[780]],'#BerechnungDBE'!$K$3,FALSE)=".","",VLOOKUP('Flächen u. Kulturen'!P41,Kulturen[[HF]:[780]],'#BerechnungDBE'!$K$3,FALSE)))</f>
        <v/>
      </c>
      <c r="K36" s="938" t="str">
        <f>IF(OR($K$3=0,'Flächen u. Kulturen'!P41=""),"",IF(N36=3,IF(VLOOKUP('Flächen u. Kulturen'!P41,Kulturen[[HF]:[780]],'#BerechnungDBE'!$K$3,FALSE)=".","",VLOOKUP('Flächen u. Kulturen'!P41,Kulturen[[HF]:[780]],'#BerechnungDBE'!$K$3,FALSE)),""))</f>
        <v/>
      </c>
      <c r="L36" s="367">
        <f>IF('Flächen u. Kulturen'!D41="",0,'Flächen u. Kulturen'!D41)</f>
        <v>0</v>
      </c>
      <c r="M36" s="693">
        <f>IF('Flächen u. Kulturen'!J41="",0,VLOOKUP('Flächen u. Kulturen'!J41,Kulturen[[HF]:[Berechnungsgruppe]],'#Frucht'!$W$1,FALSE))</f>
        <v>1</v>
      </c>
      <c r="N36" s="693">
        <f>IF('Flächen u. Kulturen'!P41="",0,VLOOKUP('Flächen u. Kulturen'!P41,Kulturen[[HF]:[Berechnungsgruppe]],'#Frucht'!$W$1,FALSE))</f>
        <v>1</v>
      </c>
      <c r="O36" s="875">
        <f>IF(N36&lt;&gt;2,N36,IF('Flächen u. Kulturen'!J41='Flächen u. Kulturen'!P41,2,1))</f>
        <v>1</v>
      </c>
      <c r="P36" s="875">
        <f>IF('Flächen u. Kulturen'!F41="",0,VLOOKUP('Flächen u. Kulturen'!F41,'#Boden'!$G$4:$H$8,'#Boden'!$H$1,FALSE))</f>
        <v>1</v>
      </c>
      <c r="Q36" s="875">
        <f>IF('Flächen u. Kulturen'!G41="",0,VLOOKUP('Flächen u. Kulturen'!G41,'#Boden'!$B$26:$C$29,'#Boden'!$C$1,FALSE))</f>
        <v>1</v>
      </c>
      <c r="R36" s="875">
        <f t="shared" si="19"/>
        <v>1</v>
      </c>
      <c r="S36" s="875">
        <f t="shared" si="20"/>
        <v>1</v>
      </c>
      <c r="T36" s="875">
        <f>IF('Flächen u. Kulturen'!H41="",0,VLOOKUP('Flächen u. Kulturen'!H41,'#Boden'!$B$23:$C$25,'#Boden'!$C$1,FALSE))</f>
        <v>2</v>
      </c>
      <c r="U36" s="875" t="str">
        <f>'Flächen u. Kulturen'!E41</f>
        <v>x</v>
      </c>
      <c r="V36" s="938">
        <f>IF('Flächen u. Kulturen'!Q41="",0,_xlfn.NUMBERVALUE('Flächen u. Kulturen'!Q41))</f>
        <v>0</v>
      </c>
      <c r="W36" s="938">
        <f>IF('Flächen u. Kulturen'!R41="",0,_xlfn.NUMBERVALUE('Flächen u. Kulturen'!R41))</f>
        <v>0</v>
      </c>
      <c r="X36" s="875">
        <f>IF('Flächen u. Kulturen'!T41="",0,VLOOKUP('Flächen u. Kulturen'!T41,'#Boden'!$B$30:$C$32,'#Boden'!$C$1,FALSE))</f>
        <v>1</v>
      </c>
      <c r="Y36" s="875">
        <f>IF('Flächen u. Kulturen'!P41="",0,VLOOKUP('Flächen u. Kulturen'!P41,Kulturen[[HF]:[Berechnungsgruppe]],'#Frucht'!$N$1,FALSE))</f>
        <v>0</v>
      </c>
      <c r="Z36" s="875">
        <f t="shared" si="21"/>
        <v>2</v>
      </c>
      <c r="AA36" s="875">
        <f>IF('Flächen u. Kulturen'!P41="",0,VLOOKUP('Flächen u. Kulturen'!P41,Kulturen[[HF]:[Berechnungsgruppe]],'#Frucht'!$V$1,FALSE))</f>
        <v>0</v>
      </c>
      <c r="AB36" s="875">
        <f>IF(N36=1,VLOOKUP('Flächen u. Kulturen'!P41,Kulturen[[HF]:[Ernteprodukt]],'#Frucht'!$I$1,FALSE),4)</f>
        <v>4</v>
      </c>
      <c r="AC36" s="921">
        <f>IF('Flächen u. Kulturen'!J41="",0,VLOOKUP('Flächen u. Kulturen'!J41,Kulturen[[HF]:[Berechnungsgruppe]],'#Frucht'!$G$1,FALSE))</f>
        <v>90</v>
      </c>
      <c r="AD36" s="921">
        <f>IF('Flächen u. Kulturen'!P41="",0,VLOOKUP('Flächen u. Kulturen'!P41,Kulturen[[HF]:[Berechnungsgruppe]],'#Frucht'!$G$1,FALSE))</f>
        <v>90</v>
      </c>
      <c r="AE36" s="938">
        <f>IF('Flächen u. Kulturen'!P41="",0,VLOOKUP('Flächen u. Kulturen'!P41,Kulturen[[HF]:[SollwertMinusNfix]],'#Frucht'!$X$1,FALSE))</f>
        <v>0</v>
      </c>
      <c r="AF36" s="875">
        <f>IF('Flächen u. Kulturen'!L41="",0,VLOOKUP('Flächen u. Kulturen'!L41,Nebenkultur[[Nebenkultur]:[Berechnungsschema]],'#Zweitfr'!$G$1,FALSE))</f>
        <v>0</v>
      </c>
      <c r="AG36" s="875">
        <f>IF('Flächen u. Kulturen'!L41="",0,VLOOKUP('Flächen u. Kulturen'!L41,'#Zweitfr'!$D$8:$Q$27,'#Zweitfr'!$Q$1,FALSE))</f>
        <v>0</v>
      </c>
      <c r="AH36" s="875">
        <f>IF('Flächen u. Kulturen'!M41="",0,VLOOKUP('Flächen u. Kulturen'!M41,'#Boden'!$G$17:$H$21,2,FALSE))</f>
        <v>1</v>
      </c>
      <c r="AI36" s="875">
        <f>IF('Flächen u. Kulturen'!N41="",0,VLOOKUP('Flächen u. Kulturen'!N41,'#Boden'!$G$22:$H$24,'#Boden'!$H$1,FALSE))</f>
        <v>1</v>
      </c>
      <c r="AJ36" s="938">
        <f>IF('Flächen u. Kulturen'!O41="",0,_xlfn.NUMBERVALUE('Flächen u. Kulturen'!O41))</f>
        <v>0</v>
      </c>
      <c r="AK36" s="938">
        <f>IF('Flächen u. Kulturen'!L41="",0,VLOOKUP('Flächen u. Kulturen'!L41,Nebenkultur[[Nebenkultur]:[Legum. Zwischenfr.]],'#Zweitfr'!$P$1,FALSE))</f>
        <v>0</v>
      </c>
      <c r="AL36" s="875">
        <f>IF('Flächen u. Kulturen'!P41="",0,VLOOKUP('Flächen u. Kulturen'!P41,Kulturen[[HF]:[Berechnungsgruppe]],'#Frucht'!$Q$1,FALSE))</f>
        <v>0</v>
      </c>
      <c r="AM36" s="875">
        <f>IF('Flächen u. Kulturen'!P41="",0,VLOOKUP('Flächen u. Kulturen'!P41,Kulturen[[HF]:[Berechnungsgruppe]],'#Frucht'!$M$1,FALSE))</f>
        <v>0</v>
      </c>
      <c r="AN36" s="875">
        <f>IF('Flächen u. Kulturen'!P41="",1,VLOOKUP('Flächen u. Kulturen'!P41,Kulturen[[HF]:[Berechnungsgruppe]],'#Frucht'!$R$1,FALSE))</f>
        <v>10</v>
      </c>
      <c r="AO36" s="875">
        <f>IF('Flächen u. Kulturen'!P41="",0,VLOOKUP('Flächen u. Kulturen'!P41,Kulturen[[HF]:[Berechnungsgruppe]],'#Frucht'!$S$1,FALSE))</f>
        <v>0</v>
      </c>
      <c r="AP36" s="875">
        <f>IF('Flächen u. Kulturen'!P41="",0,VLOOKUP('Flächen u. Kulturen'!P41,Kulturen[[HF]:[Berechnungsgruppe]],'#Frucht'!$T$1,FALSE))</f>
        <v>0</v>
      </c>
      <c r="AQ36" s="938">
        <f t="shared" si="1"/>
        <v>0</v>
      </c>
      <c r="AR36" s="875">
        <f t="shared" si="2"/>
        <v>0</v>
      </c>
      <c r="AS36" s="938">
        <f t="shared" si="3"/>
        <v>0</v>
      </c>
      <c r="AT36" s="875">
        <f>IF(N36=1,'Flächen u. Kulturen'!S41*-1,"--")</f>
        <v>0</v>
      </c>
      <c r="AU36" s="938">
        <f>IF(OR(N36=2,'Flächen u. Kulturen'!I41=""),"--",IF(N36=3,VLOOKUP('Flächen u. Kulturen'!I41,'#Boden'!$B$9:$E$15,'#Boden'!$D$1,FALSE),VLOOKUP('Flächen u. Kulturen'!I41,'#Boden'!$B$9:$E$15,'#Boden'!$E$1,FALSE)))</f>
        <v>0</v>
      </c>
      <c r="AV36" s="938">
        <f>IF(N36=1,IF('Flächen u. Kulturen'!J41="",0,VLOOKUP('Flächen u. Kulturen'!J41,Kulturen[[HF]:[Berechnungsgruppe]],'#Frucht'!$U$1,FALSE)*-1),"--")</f>
        <v>0</v>
      </c>
      <c r="AW36" s="875">
        <f t="shared" si="4"/>
        <v>0</v>
      </c>
      <c r="AX36" s="875">
        <f>IF('Flächen u. Kulturen'!K41="",0,'Flächen u. Kulturen'!K41*-0.1)</f>
        <v>0</v>
      </c>
      <c r="AY36" s="875">
        <f>IF(N36&lt;3,'#orgDung'!AC45*0.1*-1,"--")</f>
        <v>0</v>
      </c>
      <c r="AZ36" s="31" t="str">
        <f>IF(AND('#orgDung'!J45&lt;&gt;2,'#orgDung'!F45=1),('#orgDung'!V45+'#minDung'!O42)*-1,"--")</f>
        <v>--</v>
      </c>
      <c r="BA36" s="875">
        <f t="shared" si="22"/>
        <v>0</v>
      </c>
      <c r="BB36" s="938">
        <f>IF(R36=2,0,'Flächen u. Kulturen'!V41*-1)</f>
        <v>0</v>
      </c>
      <c r="BC36" s="875">
        <f t="shared" si="23"/>
        <v>0</v>
      </c>
      <c r="BD36" s="127">
        <f>'#orgDung'!W45*-1</f>
        <v>0</v>
      </c>
      <c r="BE36" s="910">
        <f>'#orgDung'!AA45*-1</f>
        <v>0</v>
      </c>
      <c r="BF36" s="875">
        <f>'#orgDung'!Z45*-1</f>
        <v>0</v>
      </c>
      <c r="BG36" s="938">
        <f t="shared" si="14"/>
        <v>0</v>
      </c>
      <c r="BH36" s="875">
        <f>'#Kürzungen'!AS60*-1</f>
        <v>0</v>
      </c>
      <c r="BI36" s="875">
        <f t="shared" si="5"/>
        <v>0</v>
      </c>
      <c r="BJ36" s="910">
        <f t="shared" si="6"/>
        <v>0</v>
      </c>
      <c r="BK36" s="875">
        <f>'#minDung'!P42</f>
        <v>0</v>
      </c>
      <c r="BL36" s="938">
        <f t="shared" si="15"/>
        <v>0</v>
      </c>
      <c r="BM36" s="938">
        <f t="shared" si="7"/>
        <v>0</v>
      </c>
      <c r="BN36" s="875">
        <f>IF('Flächen u. Kulturen'!P41="",0,VLOOKUP('Flächen u. Kulturen'!P41,Kulturen[[HF]:[Berechnungsgruppe]],'#Frucht'!$K$1,FALSE))</f>
        <v>0</v>
      </c>
      <c r="BO36" s="875">
        <f>IF('Flächen u. Kulturen'!P41="",0,VLOOKUP('Flächen u. Kulturen'!P41,Kulturen[[HF]:[Berechnungsgruppe]],'#Frucht'!$L$1,FALSE))</f>
        <v>0</v>
      </c>
      <c r="BP36" s="875">
        <f>IF('Flächen u. Kulturen'!L41="",0,VLOOKUP('Flächen u. Kulturen'!L41,Nebenkultur[[Nebenkultur]:[Legum. Zwischenfr.]],'#Zweitfr'!$H$1,FALSE))</f>
        <v>0</v>
      </c>
      <c r="BQ36" s="938">
        <f>IF(N36=3,W36*BO36,IF('Flächen u. Kulturen'!T41='#Boden'!$B$32,V36*BN36,V36*BO36))</f>
        <v>0</v>
      </c>
      <c r="BR36" s="938">
        <f t="shared" si="8"/>
        <v>0</v>
      </c>
      <c r="BS36" s="875">
        <f t="shared" si="24"/>
        <v>0</v>
      </c>
      <c r="BT36" s="875">
        <f>IF('Flächen u. Kulturen'!F41="",0,IF(N36=3,VLOOKUP('Flächen u. Kulturen'!F41,'#Boden'!$G$4:$J$8,'#Boden'!$J$1,FALSE),VLOOKUP('Flächen u. Kulturen'!F41,'#Boden'!$G$4:$J$8,'#Boden'!$I$1,FALSE)))</f>
        <v>0</v>
      </c>
      <c r="BU36" s="41">
        <f t="shared" si="25"/>
        <v>0</v>
      </c>
      <c r="BV36" s="875">
        <f t="shared" si="26"/>
        <v>0</v>
      </c>
      <c r="BW36" s="938" t="str">
        <f t="shared" si="16"/>
        <v/>
      </c>
      <c r="BX36" s="875">
        <f>'#orgDung'!T45*-1</f>
        <v>0</v>
      </c>
      <c r="BY36" s="875">
        <f t="shared" si="17"/>
        <v>0</v>
      </c>
      <c r="BZ36" s="938" t="str">
        <f>IF(U36&lt;&gt;"x",0,IF(P36&lt;4,"",(BW36+BX36-'#minDung'!N42)*-1))</f>
        <v/>
      </c>
      <c r="CB36" s="938">
        <f>IF(AND(AF36=70,U36="x"),'Flächen u. Kulturen'!A41,1000)</f>
        <v>1000</v>
      </c>
      <c r="CC36" s="875" t="str">
        <f>IF(AF36=70,VLOOKUP('Flächen u. Kulturen'!L41,Nebenkultur[[Nebenkultur]:[Legum. Zwischenfr.]],'#Zweitfr'!$I$1,FALSE),"--")</f>
        <v>--</v>
      </c>
      <c r="CD36" s="875" t="str">
        <f>IF(AF36=70,VLOOKUP('Flächen u. Kulturen'!L41,Nebenkultur[[Nebenkultur]:[Legum. Zwischenfr.]],'#Zweitfr'!$L$1,FALSE),"--")</f>
        <v>--</v>
      </c>
      <c r="CE36" s="875" t="str">
        <f>IF(AF36=70,VLOOKUP('Flächen u. Kulturen'!L41,Nebenkultur[[Nebenkultur]:[Legum. Zwischenfr.]],'#Zweitfr'!$M$1,FALSE),"--")</f>
        <v>--</v>
      </c>
      <c r="CF36" s="875" t="str">
        <f>IF(AF36=70,VLOOKUP('Flächen u. Kulturen'!L41,Nebenkultur[[Nebenkultur]:[Legum. Zwischenfr.]],'#Zweitfr'!$N$1,FALSE),"--")</f>
        <v>--</v>
      </c>
      <c r="CG36" s="875" t="str">
        <f>IF(AF36=70,VLOOKUP('Flächen u. Kulturen'!L41,Nebenkultur[[Nebenkultur]:[Legum. Zwischenfr.]],'#Zweitfr'!$O$1,FALSE),"--")</f>
        <v>--</v>
      </c>
      <c r="CH36" s="875" t="str">
        <f t="shared" si="9"/>
        <v>--</v>
      </c>
      <c r="CI36" s="938">
        <f>IF('Flächen u. Kulturen'!L41="",0,VLOOKUP('Flächen u. Kulturen'!L41,Nebenkultur[[Nebenkultur]:[Legum. Zwischenfr.]],'#Zweitfr'!$J$1,FALSE))</f>
        <v>0</v>
      </c>
      <c r="CJ36" s="875">
        <f t="shared" si="10"/>
        <v>0</v>
      </c>
      <c r="CK36" s="890">
        <f t="shared" si="11"/>
        <v>0</v>
      </c>
      <c r="CL36" s="938">
        <f>IF(AND(R36=1,AF36=70),'Flächen u. Kulturen'!W41*-1,0)</f>
        <v>0</v>
      </c>
      <c r="CM36" s="875">
        <f>'#orgDung'!AE45*-1</f>
        <v>0</v>
      </c>
      <c r="CN36" s="875">
        <f t="shared" si="27"/>
        <v>0</v>
      </c>
      <c r="CO36" s="875">
        <f t="shared" si="28"/>
        <v>0</v>
      </c>
      <c r="CP36" s="875">
        <f>'#Kürzungen'!AS161*-1</f>
        <v>0</v>
      </c>
      <c r="CQ36" s="875">
        <f t="shared" si="29"/>
        <v>0</v>
      </c>
      <c r="CR36" s="875">
        <f t="shared" si="30"/>
        <v>0</v>
      </c>
      <c r="CS36" s="875">
        <f>'#minDung'!R42</f>
        <v>0</v>
      </c>
      <c r="CT36" s="938">
        <f t="shared" si="18"/>
        <v>0</v>
      </c>
      <c r="CU36" s="52" t="str">
        <f>'#Kürzungen'!AQ161</f>
        <v xml:space="preserve"> </v>
      </c>
      <c r="CW36" s="247">
        <f>IF('Flächen u. Kulturen'!D41="",0,IF(ISNUMBER('Flächen u. Kulturen'!D41)=TRUE,2,1))</f>
        <v>0</v>
      </c>
      <c r="CX36" s="247">
        <f>IF('Flächen u. Kulturen'!E41="",0,COUNTIF('#Boden'!$B$47,'Flächen u. Kulturen'!E41)+1)</f>
        <v>2</v>
      </c>
      <c r="CY36" s="247">
        <f>IF('Flächen u. Kulturen'!F41="",0,COUNTIF('#Boden'!$G$4:$G$8,'Flächen u. Kulturen'!F41)+1)</f>
        <v>2</v>
      </c>
      <c r="CZ36" s="247">
        <f>IF('Flächen u. Kulturen'!G41="",0,COUNTIF('#Boden'!$B$26:$B$29,'Flächen u. Kulturen'!G41)+1)</f>
        <v>2</v>
      </c>
      <c r="DA36" s="247">
        <f>IF('Flächen u. Kulturen'!H41="",0,COUNTIF('#Boden'!$B$26:$B$29,'Flächen u. Kulturen'!H41)+1)</f>
        <v>2</v>
      </c>
      <c r="DB36" s="247">
        <f>IF('Flächen u. Kulturen'!I41="",0,COUNTIF('#Boden'!$B$9:$B$15,'Flächen u. Kulturen'!I41)+1)</f>
        <v>2</v>
      </c>
      <c r="DC36" s="247">
        <f>IF('Flächen u. Kulturen'!J41="",0,COUNTIF(Kulturen[HF],'Flächen u. Kulturen'!J41)+1)</f>
        <v>2</v>
      </c>
      <c r="DD36" s="247">
        <f>IF('Flächen u. Kulturen'!L41="",0,COUNTIF(Nebenkultur[Nebenkultur],'Flächen u. Kulturen'!L41)+1)</f>
        <v>2</v>
      </c>
      <c r="DE36" s="247">
        <f>IF('Flächen u. Kulturen'!M41="",0,COUNTIF('#Boden'!$G$17:$G$21,'Flächen u. Kulturen'!M41)+1)</f>
        <v>2</v>
      </c>
      <c r="DF36" s="247">
        <f>IF('Flächen u. Kulturen'!N41="",0,COUNTIF('#Boden'!$G$22:$G$24,'Flächen u. Kulturen'!N41)+1)</f>
        <v>2</v>
      </c>
      <c r="DG36" s="247">
        <f>IF('Flächen u. Kulturen'!P41="",0,COUNTIF(Kulturen[HF],'Flächen u. Kulturen'!P41)+1)</f>
        <v>2</v>
      </c>
      <c r="DH36" s="247">
        <f>IF('Flächen u. Kulturen'!T41="",0,COUNTIF('#Boden'!$B$30:$B$32,'Flächen u. Kulturen'!T41)+1)</f>
        <v>2</v>
      </c>
      <c r="DI36" s="247">
        <f>IF('Flächen u. Kulturen'!K41="",0,IF(ISNUMBER('Flächen u. Kulturen'!K41)=TRUE,2,1))</f>
        <v>0</v>
      </c>
      <c r="DJ36" s="247">
        <f>IF('Flächen u. Kulturen'!U41="",0,IF(ISNUMBER('Flächen u. Kulturen'!U41)=TRUE,2,1))</f>
        <v>0</v>
      </c>
      <c r="DK36" s="247">
        <f>IF('Flächen u. Kulturen'!V41="",0,IF(ISNUMBER('Flächen u. Kulturen'!V41)=TRUE,2,1))</f>
        <v>0</v>
      </c>
      <c r="DL36" s="247">
        <f>IF('Flächen u. Kulturen'!W41="",0,IF(ISNUMBER('Flächen u. Kulturen'!W41)=TRUE,2,1))</f>
        <v>0</v>
      </c>
      <c r="DM36" s="247">
        <f t="shared" si="31"/>
        <v>0</v>
      </c>
      <c r="DN36" s="247" t="s">
        <v>344</v>
      </c>
      <c r="DO36" s="247">
        <f>IF(U36&lt;&gt;"x","",IF(OR('Flächen u. Kulturen'!B41="",'Flächen u. Kulturen'!C41="",'Flächen u. Kulturen'!D41="",'Flächen u. Kulturen'!D41=0,'Flächen u. Kulturen'!F41="",'Flächen u. Kulturen'!F41='#Boden'!$G$4,'Flächen u. Kulturen'!G41="",'Flächen u. Kulturen'!G41='#Boden'!$B$26,'Flächen u. Kulturen'!H41="",'Flächen u. Kulturen'!H41='#Boden'!$B$23,AND(N36&lt;&gt;2,OR('Flächen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Kulturen'!Q41="",'#BerechnungDBE'!N36&lt;3),AND('Flächen u. Kulturen'!R41="",'#BerechnungDBE'!N36=3),AND(N36=1,AL36&gt;0,'Flächen u. Kulturen'!S41=""),AND(N36=1,OR('Flächen u. Kulturen'!T41="",'Flächen u. Kulturen'!T41='#Boden'!$B$30)),AND('#BerechnungDBE'!AF36=70,OR('Flächen u. Kulturen'!N41="",'Flächen u. Kulturen'!N41='#Boden'!$G$22,'Flächen u. Kulturen'!O41="")),AND('#BerechnungDBE'!AF36=80,OR('Flächen u. Kulturen'!M41="",'Flächen u. Kulturen'!M41='#Boden'!$G$17,'Flächen u. Kulturen'!N41="",'Flächen u. Kulturen'!N41='#Boden'!$G$22))),$DO$4,""))</f>
        <v>1</v>
      </c>
      <c r="DP36" s="247" t="str">
        <f>IF(U36&lt;&gt;"x","",IF(OR(LEFT('Flächen u. Kulturen'!J41,2)=" +",LEFT('Flächen u. Kulturen'!L41,2)=" +",LEFT('Flächen u. Kulturen'!P41,2)=" +"),$DP$4,""))</f>
        <v/>
      </c>
      <c r="DQ36" s="428" t="str">
        <f t="shared" si="12"/>
        <v/>
      </c>
      <c r="DR36" s="938" t="str">
        <f t="shared" si="13"/>
        <v/>
      </c>
      <c r="DS36" s="938" t="str">
        <f>IF('Flächen u. Kulturen'!X41="","",ROW('Flächen u. Kulturen'!X41))</f>
        <v/>
      </c>
    </row>
    <row r="37" spans="1:123" s="875" customFormat="1" x14ac:dyDescent="0.2">
      <c r="A37" s="875" t="str">
        <f>IF('Daten aus 2021'!H39="",'#Boden'!$B$26,IF('Daten aus 2021'!H39='#Boden'!$B$39,IF('Daten aus 2021'!F39='#Boden'!$B$29,'#Boden'!$B$29,IF('Daten aus 2021'!K39='#Boden'!$B$34,'#Boden'!$B$28,'#Boden'!$B$27)),'Daten aus 2021'!F39))</f>
        <v xml:space="preserve"> --</v>
      </c>
      <c r="B37" s="875" t="str">
        <f>IF('Daten aus 2021'!H39='#Boden'!$B$39,IF('Daten aus 2021'!L39='#Boden'!$B$61,'#Boden'!$B$11,'Daten aus 2021'!L39),IF('Daten aus 2021'!P39='#Boden'!$B$58,'#Boden'!$B$11,IF('Daten aus 2021'!P39='#Boden'!$B$57,'#Boden'!$B$10,'#Boden'!$B$9)))</f>
        <v xml:space="preserve"> --         </v>
      </c>
      <c r="C37" s="875" t="str">
        <f>IF('Daten aus 2021'!N39="","",VLOOKUP('Daten aus 2021'!N39,'#Boden'!$B$68:$C$89,2,FALSE))</f>
        <v/>
      </c>
      <c r="D37" s="875" t="str">
        <f>IF('Daten aus 2021'!M39="","",VLOOKUP('Daten aus 2021'!M39,'#Boden'!$D$69:$E$73,2,FALSE))</f>
        <v/>
      </c>
      <c r="E37" s="938" t="str">
        <f>IF(OR(C37='#Boden'!$C$68,C37='#Boden'!$C$70),C37,CONCATENATE(C37,D37))</f>
        <v/>
      </c>
      <c r="F37" s="882" t="str">
        <f>IFERROR(IF('Daten aus 2021'!H39="",'#Frucht'!$D$8,IF('Daten aus 2021'!H39='#Boden'!$B$39,E37,IF('Daten aus 2021'!H39='#Boden'!$B$38,IF(CONCATENATE(" ",'Daten aus 2021'!W39)=$B$2,VLOOKUP($B$3,'#Frucht'!$A$8:$D$372,4,FALSE),VLOOKUP(CONCATENATE(" ",'Daten aus 2021'!W39),'#Frucht'!$A$8:$D$372,4,FALSE)),IF(OR(LEFT('Daten aus 2021'!Q39,5)=" *10 ",LEFT('Daten aus 2021'!Q39,5)=" *11 ",LEFT('Daten aus 2021'!Q39,5)=" *12 ",LEFT('Daten aus 2021'!Q39,5)=" *13 ",LEFT('Daten aus 2021'!Q39,5)=" *14 ",LEFT('Daten aus 2021'!Q39,5)=" *15 "),VLOOKUP(RIGHT('Daten aus 2021'!Q39,LEN('Daten aus 2021'!Q39)-4),'#Frucht'!$A$8:$D$372,4,FALSE),IF(LEFT('Daten aus 2021'!Q39,2)=" *",VLOOKUP(RIGHT('Daten aus 2021'!Q39,LEN('Daten aus 2021'!Q39)-3),'#Frucht'!$A$8:$D$372,4,FALSE),VLOOKUP('Daten aus 2021'!Q39,'#Frucht'!$A$8:$D$372,4,FALSE)))))),'#Frucht'!$D$8)</f>
        <v xml:space="preserve"> --  </v>
      </c>
      <c r="G37" s="127"/>
      <c r="H37" s="31"/>
      <c r="J37" s="938" t="str">
        <f>IF(OR(N37=3,$K$3=0,'Flächen u. Kulturen'!P42=""),"",IF(VLOOKUP('Flächen u. Kulturen'!P42,Kulturen[[HF]:[780]],'#BerechnungDBE'!$K$3,FALSE)=".","",VLOOKUP('Flächen u. Kulturen'!P42,Kulturen[[HF]:[780]],'#BerechnungDBE'!$K$3,FALSE)))</f>
        <v/>
      </c>
      <c r="K37" s="938" t="str">
        <f>IF(OR($K$3=0,'Flächen u. Kulturen'!P42=""),"",IF(N37=3,IF(VLOOKUP('Flächen u. Kulturen'!P42,Kulturen[[HF]:[780]],'#BerechnungDBE'!$K$3,FALSE)=".","",VLOOKUP('Flächen u. Kulturen'!P42,Kulturen[[HF]:[780]],'#BerechnungDBE'!$K$3,FALSE)),""))</f>
        <v/>
      </c>
      <c r="L37" s="367">
        <f>IF('Flächen u. Kulturen'!D42="",0,'Flächen u. Kulturen'!D42)</f>
        <v>0</v>
      </c>
      <c r="M37" s="693">
        <f>IF('Flächen u. Kulturen'!J42="",0,VLOOKUP('Flächen u. Kulturen'!J42,Kulturen[[HF]:[Berechnungsgruppe]],'#Frucht'!$W$1,FALSE))</f>
        <v>1</v>
      </c>
      <c r="N37" s="693">
        <f>IF('Flächen u. Kulturen'!P42="",0,VLOOKUP('Flächen u. Kulturen'!P42,Kulturen[[HF]:[Berechnungsgruppe]],'#Frucht'!$W$1,FALSE))</f>
        <v>1</v>
      </c>
      <c r="O37" s="875">
        <f>IF(N37&lt;&gt;2,N37,IF('Flächen u. Kulturen'!J42='Flächen u. Kulturen'!P42,2,1))</f>
        <v>1</v>
      </c>
      <c r="P37" s="875">
        <f>IF('Flächen u. Kulturen'!F42="",0,VLOOKUP('Flächen u. Kulturen'!F42,'#Boden'!$G$4:$H$8,'#Boden'!$H$1,FALSE))</f>
        <v>1</v>
      </c>
      <c r="Q37" s="875">
        <f>IF('Flächen u. Kulturen'!G42="",0,VLOOKUP('Flächen u. Kulturen'!G42,'#Boden'!$B$26:$C$29,'#Boden'!$C$1,FALSE))</f>
        <v>1</v>
      </c>
      <c r="R37" s="875">
        <f t="shared" si="19"/>
        <v>1</v>
      </c>
      <c r="S37" s="875">
        <f t="shared" si="20"/>
        <v>1</v>
      </c>
      <c r="T37" s="875">
        <f>IF('Flächen u. Kulturen'!H42="",0,VLOOKUP('Flächen u. Kulturen'!H42,'#Boden'!$B$23:$C$25,'#Boden'!$C$1,FALSE))</f>
        <v>2</v>
      </c>
      <c r="U37" s="875" t="str">
        <f>'Flächen u. Kulturen'!E42</f>
        <v>x</v>
      </c>
      <c r="V37" s="938">
        <f>IF('Flächen u. Kulturen'!Q42="",0,_xlfn.NUMBERVALUE('Flächen u. Kulturen'!Q42))</f>
        <v>0</v>
      </c>
      <c r="W37" s="938">
        <f>IF('Flächen u. Kulturen'!R42="",0,_xlfn.NUMBERVALUE('Flächen u. Kulturen'!R42))</f>
        <v>0</v>
      </c>
      <c r="X37" s="875">
        <f>IF('Flächen u. Kulturen'!T42="",0,VLOOKUP('Flächen u. Kulturen'!T42,'#Boden'!$B$30:$C$32,'#Boden'!$C$1,FALSE))</f>
        <v>1</v>
      </c>
      <c r="Y37" s="875">
        <f>IF('Flächen u. Kulturen'!P42="",0,VLOOKUP('Flächen u. Kulturen'!P42,Kulturen[[HF]:[Berechnungsgruppe]],'#Frucht'!$N$1,FALSE))</f>
        <v>0</v>
      </c>
      <c r="Z37" s="875">
        <f t="shared" si="21"/>
        <v>2</v>
      </c>
      <c r="AA37" s="875">
        <f>IF('Flächen u. Kulturen'!P42="",0,VLOOKUP('Flächen u. Kulturen'!P42,Kulturen[[HF]:[Berechnungsgruppe]],'#Frucht'!$V$1,FALSE))</f>
        <v>0</v>
      </c>
      <c r="AB37" s="875">
        <f>IF(N37=1,VLOOKUP('Flächen u. Kulturen'!P42,Kulturen[[HF]:[Ernteprodukt]],'#Frucht'!$I$1,FALSE),4)</f>
        <v>4</v>
      </c>
      <c r="AC37" s="921">
        <f>IF('Flächen u. Kulturen'!J42="",0,VLOOKUP('Flächen u. Kulturen'!J42,Kulturen[[HF]:[Berechnungsgruppe]],'#Frucht'!$G$1,FALSE))</f>
        <v>90</v>
      </c>
      <c r="AD37" s="921">
        <f>IF('Flächen u. Kulturen'!P42="",0,VLOOKUP('Flächen u. Kulturen'!P42,Kulturen[[HF]:[Berechnungsgruppe]],'#Frucht'!$G$1,FALSE))</f>
        <v>90</v>
      </c>
      <c r="AE37" s="938">
        <f>IF('Flächen u. Kulturen'!P42="",0,VLOOKUP('Flächen u. Kulturen'!P42,Kulturen[[HF]:[SollwertMinusNfix]],'#Frucht'!$X$1,FALSE))</f>
        <v>0</v>
      </c>
      <c r="AF37" s="875">
        <f>IF('Flächen u. Kulturen'!L42="",0,VLOOKUP('Flächen u. Kulturen'!L42,Nebenkultur[[Nebenkultur]:[Berechnungsschema]],'#Zweitfr'!$G$1,FALSE))</f>
        <v>0</v>
      </c>
      <c r="AG37" s="875">
        <f>IF('Flächen u. Kulturen'!L42="",0,VLOOKUP('Flächen u. Kulturen'!L42,'#Zweitfr'!$D$8:$Q$27,'#Zweitfr'!$Q$1,FALSE))</f>
        <v>0</v>
      </c>
      <c r="AH37" s="875">
        <f>IF('Flächen u. Kulturen'!M42="",0,VLOOKUP('Flächen u. Kulturen'!M42,'#Boden'!$G$17:$H$21,2,FALSE))</f>
        <v>1</v>
      </c>
      <c r="AI37" s="875">
        <f>IF('Flächen u. Kulturen'!N42="",0,VLOOKUP('Flächen u. Kulturen'!N42,'#Boden'!$G$22:$H$24,'#Boden'!$H$1,FALSE))</f>
        <v>1</v>
      </c>
      <c r="AJ37" s="938">
        <f>IF('Flächen u. Kulturen'!O42="",0,_xlfn.NUMBERVALUE('Flächen u. Kulturen'!O42))</f>
        <v>0</v>
      </c>
      <c r="AK37" s="938">
        <f>IF('Flächen u. Kulturen'!L42="",0,VLOOKUP('Flächen u. Kulturen'!L42,Nebenkultur[[Nebenkultur]:[Legum. Zwischenfr.]],'#Zweitfr'!$P$1,FALSE))</f>
        <v>0</v>
      </c>
      <c r="AL37" s="875">
        <f>IF('Flächen u. Kulturen'!P42="",0,VLOOKUP('Flächen u. Kulturen'!P42,Kulturen[[HF]:[Berechnungsgruppe]],'#Frucht'!$Q$1,FALSE))</f>
        <v>0</v>
      </c>
      <c r="AM37" s="875">
        <f>IF('Flächen u. Kulturen'!P42="",0,VLOOKUP('Flächen u. Kulturen'!P42,Kulturen[[HF]:[Berechnungsgruppe]],'#Frucht'!$M$1,FALSE))</f>
        <v>0</v>
      </c>
      <c r="AN37" s="875">
        <f>IF('Flächen u. Kulturen'!P42="",1,VLOOKUP('Flächen u. Kulturen'!P42,Kulturen[[HF]:[Berechnungsgruppe]],'#Frucht'!$R$1,FALSE))</f>
        <v>10</v>
      </c>
      <c r="AO37" s="875">
        <f>IF('Flächen u. Kulturen'!P42="",0,VLOOKUP('Flächen u. Kulturen'!P42,Kulturen[[HF]:[Berechnungsgruppe]],'#Frucht'!$S$1,FALSE))</f>
        <v>0</v>
      </c>
      <c r="AP37" s="875">
        <f>IF('Flächen u. Kulturen'!P42="",0,VLOOKUP('Flächen u. Kulturen'!P42,Kulturen[[HF]:[Berechnungsgruppe]],'#Frucht'!$T$1,FALSE))</f>
        <v>0</v>
      </c>
      <c r="AQ37" s="938">
        <f t="shared" ref="AQ37:AQ68" si="32">IF(N37=3,IF(W37&lt;=AM37,AL37-(AM37-W37)/AN37*AP37,AL37+(W37-AM37)/AN37*AO37),IF(V37&lt;=AM37,AL37-(AM37-V37)/AN37*AP37,AL37+(V37-AM37)/AN37*AO37))</f>
        <v>0</v>
      </c>
      <c r="AR37" s="875">
        <f t="shared" ref="AR37:AR68" si="33">IF(N37=1,IF(AQ37&gt;AL37+40,AL37+40,AQ37),AQ37)</f>
        <v>0</v>
      </c>
      <c r="AS37" s="938">
        <f t="shared" ref="AS37:AS68" si="34">IF(N37=3,Y37,Y37*V37*-1)</f>
        <v>0</v>
      </c>
      <c r="AT37" s="875">
        <f>IF(N37=1,'Flächen u. Kulturen'!S42*-1,"--")</f>
        <v>0</v>
      </c>
      <c r="AU37" s="938">
        <f>IF(OR(N37=2,'Flächen u. Kulturen'!I42=""),"--",IF(N37=3,VLOOKUP('Flächen u. Kulturen'!I42,'#Boden'!$B$9:$E$15,'#Boden'!$D$1,FALSE),VLOOKUP('Flächen u. Kulturen'!I42,'#Boden'!$B$9:$E$15,'#Boden'!$E$1,FALSE)))</f>
        <v>0</v>
      </c>
      <c r="AV37" s="938">
        <f>IF(N37=1,IF('Flächen u. Kulturen'!J42="",0,VLOOKUP('Flächen u. Kulturen'!J42,Kulturen[[HF]:[Berechnungsgruppe]],'#Frucht'!$U$1,FALSE)*-1),"--")</f>
        <v>0</v>
      </c>
      <c r="AW37" s="875">
        <f t="shared" ref="AW37:AW68" si="35">IF(N37=1,IF(AND(AG37=1,AH37=3,AI37=3),-20,IF(AG37=2,IF(AND(AH37=3,AI37=3),-40,-10),0)),"--")</f>
        <v>0</v>
      </c>
      <c r="AX37" s="875">
        <f>IF('Flächen u. Kulturen'!K42="",0,'Flächen u. Kulturen'!K42*-0.1)</f>
        <v>0</v>
      </c>
      <c r="AY37" s="875">
        <f>IF(N37&lt;3,'#orgDung'!AC46*0.1*-1,"--")</f>
        <v>0</v>
      </c>
      <c r="AZ37" s="31" t="str">
        <f>IF(AND('#orgDung'!J46&lt;&gt;2,'#orgDung'!F46=1),('#orgDung'!V46+'#minDung'!O43)*-1,"--")</f>
        <v>--</v>
      </c>
      <c r="BA37" s="875">
        <f t="shared" si="22"/>
        <v>0</v>
      </c>
      <c r="BB37" s="938">
        <f>IF(R37=2,0,'Flächen u. Kulturen'!V42*-1)</f>
        <v>0</v>
      </c>
      <c r="BC37" s="875">
        <f t="shared" si="23"/>
        <v>0</v>
      </c>
      <c r="BD37" s="127">
        <f>'#orgDung'!W46*-1</f>
        <v>0</v>
      </c>
      <c r="BE37" s="910">
        <f>'#orgDung'!AA46*-1</f>
        <v>0</v>
      </c>
      <c r="BF37" s="875">
        <f>'#orgDung'!Z46*-1</f>
        <v>0</v>
      </c>
      <c r="BG37" s="938">
        <f t="shared" si="14"/>
        <v>0</v>
      </c>
      <c r="BH37" s="875">
        <f>'#Kürzungen'!AS61*-1</f>
        <v>0</v>
      </c>
      <c r="BI37" s="875">
        <f t="shared" ref="BI37:BI68" si="36">BA37+BH37</f>
        <v>0</v>
      </c>
      <c r="BJ37" s="910">
        <f t="shared" ref="BJ37:BJ68" si="37">IF(BA37+BE37&lt;0,MAX(0,BI37+BE37)+BF37-BE37+BH37,BI37+BF37)</f>
        <v>0</v>
      </c>
      <c r="BK37" s="875">
        <f>'#minDung'!P43</f>
        <v>0</v>
      </c>
      <c r="BL37" s="938">
        <f t="shared" si="15"/>
        <v>0</v>
      </c>
      <c r="BM37" s="938">
        <f t="shared" ref="BM37:BM68" si="38">MAX(MAX(0,SUM(AR37:AY37))+BH37,BE37*-1)</f>
        <v>0</v>
      </c>
      <c r="BN37" s="875">
        <f>IF('Flächen u. Kulturen'!P42="",0,VLOOKUP('Flächen u. Kulturen'!P42,Kulturen[[HF]:[Berechnungsgruppe]],'#Frucht'!$K$1,FALSE))</f>
        <v>0</v>
      </c>
      <c r="BO37" s="875">
        <f>IF('Flächen u. Kulturen'!P42="",0,VLOOKUP('Flächen u. Kulturen'!P42,Kulturen[[HF]:[Berechnungsgruppe]],'#Frucht'!$L$1,FALSE))</f>
        <v>0</v>
      </c>
      <c r="BP37" s="875">
        <f>IF('Flächen u. Kulturen'!L42="",0,VLOOKUP('Flächen u. Kulturen'!L42,Nebenkultur[[Nebenkultur]:[Legum. Zwischenfr.]],'#Zweitfr'!$H$1,FALSE))</f>
        <v>0</v>
      </c>
      <c r="BQ37" s="938">
        <f>IF(N37=3,W37*BO37,IF('Flächen u. Kulturen'!T42='#Boden'!$B$32,V37*BN37,V37*BO37))</f>
        <v>0</v>
      </c>
      <c r="BR37" s="938">
        <f t="shared" ref="BR37:BR68" si="39">IF(AND(AF37=80,AH37&lt;4),0,AJ37*BP37)</f>
        <v>0</v>
      </c>
      <c r="BS37" s="875">
        <f t="shared" si="24"/>
        <v>0</v>
      </c>
      <c r="BT37" s="875">
        <f>IF('Flächen u. Kulturen'!F42="",0,IF(N37=3,VLOOKUP('Flächen u. Kulturen'!F42,'#Boden'!$G$4:$J$8,'#Boden'!$J$1,FALSE),VLOOKUP('Flächen u. Kulturen'!F42,'#Boden'!$G$4:$J$8,'#Boden'!$I$1,FALSE)))</f>
        <v>0</v>
      </c>
      <c r="BU37" s="41">
        <f t="shared" si="25"/>
        <v>0</v>
      </c>
      <c r="BV37" s="875">
        <f t="shared" si="26"/>
        <v>0</v>
      </c>
      <c r="BW37" s="938" t="str">
        <f t="shared" si="16"/>
        <v/>
      </c>
      <c r="BX37" s="875">
        <f>'#orgDung'!T46*-1</f>
        <v>0</v>
      </c>
      <c r="BY37" s="875">
        <f t="shared" ref="BY37:BY68" si="40">IF(P37&lt;4,MAX(0,BV37+BX37),IF(BW37+BX37&lt;0,BW37+BX37,MAX(0,BV37+BX37)))</f>
        <v>0</v>
      </c>
      <c r="BZ37" s="938" t="str">
        <f>IF(U37&lt;&gt;"x",0,IF(P37&lt;4,"",(BW37+BX37-'#minDung'!N43)*-1))</f>
        <v/>
      </c>
      <c r="CB37" s="938">
        <f>IF(AND(AF37=70,U37="x"),'Flächen u. Kulturen'!A42,1000)</f>
        <v>1000</v>
      </c>
      <c r="CC37" s="875" t="str">
        <f>IF(AF37=70,VLOOKUP('Flächen u. Kulturen'!L42,Nebenkultur[[Nebenkultur]:[Legum. Zwischenfr.]],'#Zweitfr'!$I$1,FALSE),"--")</f>
        <v>--</v>
      </c>
      <c r="CD37" s="875" t="str">
        <f>IF(AF37=70,VLOOKUP('Flächen u. Kulturen'!L42,Nebenkultur[[Nebenkultur]:[Legum. Zwischenfr.]],'#Zweitfr'!$L$1,FALSE),"--")</f>
        <v>--</v>
      </c>
      <c r="CE37" s="875" t="str">
        <f>IF(AF37=70,VLOOKUP('Flächen u. Kulturen'!L42,Nebenkultur[[Nebenkultur]:[Legum. Zwischenfr.]],'#Zweitfr'!$M$1,FALSE),"--")</f>
        <v>--</v>
      </c>
      <c r="CF37" s="875" t="str">
        <f>IF(AF37=70,VLOOKUP('Flächen u. Kulturen'!L42,Nebenkultur[[Nebenkultur]:[Legum. Zwischenfr.]],'#Zweitfr'!$N$1,FALSE),"--")</f>
        <v>--</v>
      </c>
      <c r="CG37" s="875" t="str">
        <f>IF(AF37=70,VLOOKUP('Flächen u. Kulturen'!L42,Nebenkultur[[Nebenkultur]:[Legum. Zwischenfr.]],'#Zweitfr'!$O$1,FALSE),"--")</f>
        <v>--</v>
      </c>
      <c r="CH37" s="875" t="str">
        <f t="shared" ref="CH37:CH68" si="41">IF(AF37=70,IF(AJ37&lt;=CC37,CD37-(CC37-AJ37)/CE37*CG37,CD37+(AJ37-CC37)/CE37*CF37),"--")</f>
        <v>--</v>
      </c>
      <c r="CI37" s="938">
        <f>IF('Flächen u. Kulturen'!L42="",0,VLOOKUP('Flächen u. Kulturen'!L42,Nebenkultur[[Nebenkultur]:[Legum. Zwischenfr.]],'#Zweitfr'!$J$1,FALSE))</f>
        <v>0</v>
      </c>
      <c r="CJ37" s="875">
        <f t="shared" ref="CJ37:CJ68" si="42">IF(AND(AF37=80,AJ37=0),150*CI37*-1,AJ37*CI37*-1)</f>
        <v>0</v>
      </c>
      <c r="CK37" s="890">
        <f t="shared" ref="CK37:CK68" si="43">MAX(0,IF(AF37=70,CH37+CJ37,0))</f>
        <v>0</v>
      </c>
      <c r="CL37" s="938">
        <f>IF(AND(R37=1,AF37=70),'Flächen u. Kulturen'!W42*-1,0)</f>
        <v>0</v>
      </c>
      <c r="CM37" s="875">
        <f>'#orgDung'!AE46*-1</f>
        <v>0</v>
      </c>
      <c r="CN37" s="875">
        <f t="shared" si="27"/>
        <v>0</v>
      </c>
      <c r="CO37" s="875">
        <f t="shared" si="28"/>
        <v>0</v>
      </c>
      <c r="CP37" s="875">
        <f>'#Kürzungen'!AS162*-1</f>
        <v>0</v>
      </c>
      <c r="CQ37" s="875">
        <f t="shared" si="29"/>
        <v>0</v>
      </c>
      <c r="CR37" s="875">
        <f t="shared" si="30"/>
        <v>0</v>
      </c>
      <c r="CS37" s="875">
        <f>'#minDung'!R43</f>
        <v>0</v>
      </c>
      <c r="CT37" s="938">
        <f t="shared" si="18"/>
        <v>0</v>
      </c>
      <c r="CU37" s="52" t="str">
        <f>'#Kürzungen'!AQ162</f>
        <v xml:space="preserve"> </v>
      </c>
      <c r="CW37" s="247">
        <f>IF('Flächen u. Kulturen'!D42="",0,IF(ISNUMBER('Flächen u. Kulturen'!D42)=TRUE,2,1))</f>
        <v>0</v>
      </c>
      <c r="CX37" s="247">
        <f>IF('Flächen u. Kulturen'!E42="",0,COUNTIF('#Boden'!$B$47,'Flächen u. Kulturen'!E42)+1)</f>
        <v>2</v>
      </c>
      <c r="CY37" s="247">
        <f>IF('Flächen u. Kulturen'!F42="",0,COUNTIF('#Boden'!$G$4:$G$8,'Flächen u. Kulturen'!F42)+1)</f>
        <v>2</v>
      </c>
      <c r="CZ37" s="247">
        <f>IF('Flächen u. Kulturen'!G42="",0,COUNTIF('#Boden'!$B$26:$B$29,'Flächen u. Kulturen'!G42)+1)</f>
        <v>2</v>
      </c>
      <c r="DA37" s="247">
        <f>IF('Flächen u. Kulturen'!H42="",0,COUNTIF('#Boden'!$B$26:$B$29,'Flächen u. Kulturen'!H42)+1)</f>
        <v>2</v>
      </c>
      <c r="DB37" s="247">
        <f>IF('Flächen u. Kulturen'!I42="",0,COUNTIF('#Boden'!$B$9:$B$15,'Flächen u. Kulturen'!I42)+1)</f>
        <v>2</v>
      </c>
      <c r="DC37" s="247">
        <f>IF('Flächen u. Kulturen'!J42="",0,COUNTIF(Kulturen[HF],'Flächen u. Kulturen'!J42)+1)</f>
        <v>2</v>
      </c>
      <c r="DD37" s="247">
        <f>IF('Flächen u. Kulturen'!L42="",0,COUNTIF(Nebenkultur[Nebenkultur],'Flächen u. Kulturen'!L42)+1)</f>
        <v>2</v>
      </c>
      <c r="DE37" s="247">
        <f>IF('Flächen u. Kulturen'!M42="",0,COUNTIF('#Boden'!$G$17:$G$21,'Flächen u. Kulturen'!M42)+1)</f>
        <v>2</v>
      </c>
      <c r="DF37" s="247">
        <f>IF('Flächen u. Kulturen'!N42="",0,COUNTIF('#Boden'!$G$22:$G$24,'Flächen u. Kulturen'!N42)+1)</f>
        <v>2</v>
      </c>
      <c r="DG37" s="247">
        <f>IF('Flächen u. Kulturen'!P42="",0,COUNTIF(Kulturen[HF],'Flächen u. Kulturen'!P42)+1)</f>
        <v>2</v>
      </c>
      <c r="DH37" s="247">
        <f>IF('Flächen u. Kulturen'!T42="",0,COUNTIF('#Boden'!$B$30:$B$32,'Flächen u. Kulturen'!T42)+1)</f>
        <v>2</v>
      </c>
      <c r="DI37" s="247">
        <f>IF('Flächen u. Kulturen'!K42="",0,IF(ISNUMBER('Flächen u. Kulturen'!K42)=TRUE,2,1))</f>
        <v>0</v>
      </c>
      <c r="DJ37" s="247">
        <f>IF('Flächen u. Kulturen'!U42="",0,IF(ISNUMBER('Flächen u. Kulturen'!U42)=TRUE,2,1))</f>
        <v>0</v>
      </c>
      <c r="DK37" s="247">
        <f>IF('Flächen u. Kulturen'!V42="",0,IF(ISNUMBER('Flächen u. Kulturen'!V42)=TRUE,2,1))</f>
        <v>0</v>
      </c>
      <c r="DL37" s="247">
        <f>IF('Flächen u. Kulturen'!W42="",0,IF(ISNUMBER('Flächen u. Kulturen'!W42)=TRUE,2,1))</f>
        <v>0</v>
      </c>
      <c r="DM37" s="247">
        <f t="shared" si="31"/>
        <v>0</v>
      </c>
      <c r="DN37" s="247" t="s">
        <v>344</v>
      </c>
      <c r="DO37" s="247">
        <f>IF(U37&lt;&gt;"x","",IF(OR('Flächen u. Kulturen'!B42="",'Flächen u. Kulturen'!C42="",'Flächen u. Kulturen'!D42="",'Flächen u. Kulturen'!D42=0,'Flächen u. Kulturen'!F42="",'Flächen u. Kulturen'!F42='#Boden'!$G$4,'Flächen u. Kulturen'!G42="",'Flächen u. Kulturen'!G42='#Boden'!$B$26,'Flächen u. Kulturen'!H42="",'Flächen u. Kulturen'!H42='#Boden'!$B$23,AND(N37&lt;&gt;2,OR('Flächen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Kulturen'!Q42="",'#BerechnungDBE'!N37&lt;3),AND('Flächen u. Kulturen'!R42="",'#BerechnungDBE'!N37=3),AND(N37=1,AL37&gt;0,'Flächen u. Kulturen'!S42=""),AND(N37=1,OR('Flächen u. Kulturen'!T42="",'Flächen u. Kulturen'!T42='#Boden'!$B$30)),AND('#BerechnungDBE'!AF37=70,OR('Flächen u. Kulturen'!N42="",'Flächen u. Kulturen'!N42='#Boden'!$G$22,'Flächen u. Kulturen'!O42="")),AND('#BerechnungDBE'!AF37=80,OR('Flächen u. Kulturen'!M42="",'Flächen u. Kulturen'!M42='#Boden'!$G$17,'Flächen u. Kulturen'!N42="",'Flächen u. Kulturen'!N42='#Boden'!$G$22))),$DO$4,""))</f>
        <v>1</v>
      </c>
      <c r="DP37" s="247" t="str">
        <f>IF(U37&lt;&gt;"x","",IF(OR(LEFT('Flächen u. Kulturen'!J42,2)=" +",LEFT('Flächen u. Kulturen'!L42,2)=" +",LEFT('Flächen u. Kulturen'!P42,2)=" +"),$DP$4,""))</f>
        <v/>
      </c>
      <c r="DQ37" s="428" t="str">
        <f t="shared" ref="DQ37:DQ68" si="44">IF(U37&lt;&gt;"x","",IF(AND(AC37=12,AD37=12),$DQ$4,""))</f>
        <v/>
      </c>
      <c r="DR37" s="938" t="str">
        <f t="shared" ref="DR37:DR68" si="45">IF(AND(AD37=11,U37="x"),$DR$4,"")</f>
        <v/>
      </c>
      <c r="DS37" s="938" t="str">
        <f>IF('Flächen u. Kulturen'!X42="","",ROW('Flächen u. Kulturen'!X42))</f>
        <v/>
      </c>
    </row>
    <row r="38" spans="1:123" s="875" customFormat="1" x14ac:dyDescent="0.2">
      <c r="A38" s="875" t="str">
        <f>IF('Daten aus 2021'!H40="",'#Boden'!$B$26,IF('Daten aus 2021'!H40='#Boden'!$B$39,IF('Daten aus 2021'!F40='#Boden'!$B$29,'#Boden'!$B$29,IF('Daten aus 2021'!K40='#Boden'!$B$34,'#Boden'!$B$28,'#Boden'!$B$27)),'Daten aus 2021'!F40))</f>
        <v xml:space="preserve"> --</v>
      </c>
      <c r="B38" s="875" t="str">
        <f>IF('Daten aus 2021'!H40='#Boden'!$B$39,IF('Daten aus 2021'!L40='#Boden'!$B$61,'#Boden'!$B$11,'Daten aus 2021'!L40),IF('Daten aus 2021'!P40='#Boden'!$B$58,'#Boden'!$B$11,IF('Daten aus 2021'!P40='#Boden'!$B$57,'#Boden'!$B$10,'#Boden'!$B$9)))</f>
        <v xml:space="preserve"> --         </v>
      </c>
      <c r="C38" s="875" t="str">
        <f>IF('Daten aus 2021'!N40="","",VLOOKUP('Daten aus 2021'!N40,'#Boden'!$B$68:$C$89,2,FALSE))</f>
        <v/>
      </c>
      <c r="D38" s="875" t="str">
        <f>IF('Daten aus 2021'!M40="","",VLOOKUP('Daten aus 2021'!M40,'#Boden'!$D$69:$E$73,2,FALSE))</f>
        <v/>
      </c>
      <c r="E38" s="938" t="str">
        <f>IF(OR(C38='#Boden'!$C$68,C38='#Boden'!$C$70),C38,CONCATENATE(C38,D38))</f>
        <v/>
      </c>
      <c r="F38" s="882" t="str">
        <f>IFERROR(IF('Daten aus 2021'!H40="",'#Frucht'!$D$8,IF('Daten aus 2021'!H40='#Boden'!$B$39,E38,IF('Daten aus 2021'!H40='#Boden'!$B$38,IF(CONCATENATE(" ",'Daten aus 2021'!W40)=$B$2,VLOOKUP($B$3,'#Frucht'!$A$8:$D$372,4,FALSE),VLOOKUP(CONCATENATE(" ",'Daten aus 2021'!W40),'#Frucht'!$A$8:$D$372,4,FALSE)),IF(OR(LEFT('Daten aus 2021'!Q40,5)=" *10 ",LEFT('Daten aus 2021'!Q40,5)=" *11 ",LEFT('Daten aus 2021'!Q40,5)=" *12 ",LEFT('Daten aus 2021'!Q40,5)=" *13 ",LEFT('Daten aus 2021'!Q40,5)=" *14 ",LEFT('Daten aus 2021'!Q40,5)=" *15 "),VLOOKUP(RIGHT('Daten aus 2021'!Q40,LEN('Daten aus 2021'!Q40)-4),'#Frucht'!$A$8:$D$372,4,FALSE),IF(LEFT('Daten aus 2021'!Q40,2)=" *",VLOOKUP(RIGHT('Daten aus 2021'!Q40,LEN('Daten aus 2021'!Q40)-3),'#Frucht'!$A$8:$D$372,4,FALSE),VLOOKUP('Daten aus 2021'!Q40,'#Frucht'!$A$8:$D$372,4,FALSE)))))),'#Frucht'!$D$8)</f>
        <v xml:space="preserve"> --  </v>
      </c>
      <c r="G38" s="127"/>
      <c r="H38" s="31"/>
      <c r="J38" s="938" t="str">
        <f>IF(OR(N38=3,$K$3=0,'Flächen u. Kulturen'!P43=""),"",IF(VLOOKUP('Flächen u. Kulturen'!P43,Kulturen[[HF]:[780]],'#BerechnungDBE'!$K$3,FALSE)=".","",VLOOKUP('Flächen u. Kulturen'!P43,Kulturen[[HF]:[780]],'#BerechnungDBE'!$K$3,FALSE)))</f>
        <v/>
      </c>
      <c r="K38" s="938" t="str">
        <f>IF(OR($K$3=0,'Flächen u. Kulturen'!P43=""),"",IF(N38=3,IF(VLOOKUP('Flächen u. Kulturen'!P43,Kulturen[[HF]:[780]],'#BerechnungDBE'!$K$3,FALSE)=".","",VLOOKUP('Flächen u. Kulturen'!P43,Kulturen[[HF]:[780]],'#BerechnungDBE'!$K$3,FALSE)),""))</f>
        <v/>
      </c>
      <c r="L38" s="367">
        <f>IF('Flächen u. Kulturen'!D43="",0,'Flächen u. Kulturen'!D43)</f>
        <v>0</v>
      </c>
      <c r="M38" s="693">
        <f>IF('Flächen u. Kulturen'!J43="",0,VLOOKUP('Flächen u. Kulturen'!J43,Kulturen[[HF]:[Berechnungsgruppe]],'#Frucht'!$W$1,FALSE))</f>
        <v>1</v>
      </c>
      <c r="N38" s="693">
        <f>IF('Flächen u. Kulturen'!P43="",0,VLOOKUP('Flächen u. Kulturen'!P43,Kulturen[[HF]:[Berechnungsgruppe]],'#Frucht'!$W$1,FALSE))</f>
        <v>1</v>
      </c>
      <c r="O38" s="875">
        <f>IF(N38&lt;&gt;2,N38,IF('Flächen u. Kulturen'!J43='Flächen u. Kulturen'!P43,2,1))</f>
        <v>1</v>
      </c>
      <c r="P38" s="875">
        <f>IF('Flächen u. Kulturen'!F43="",0,VLOOKUP('Flächen u. Kulturen'!F43,'#Boden'!$G$4:$H$8,'#Boden'!$H$1,FALSE))</f>
        <v>1</v>
      </c>
      <c r="Q38" s="875">
        <f>IF('Flächen u. Kulturen'!G43="",0,VLOOKUP('Flächen u. Kulturen'!G43,'#Boden'!$B$26:$C$29,'#Boden'!$C$1,FALSE))</f>
        <v>1</v>
      </c>
      <c r="R38" s="875">
        <f t="shared" si="19"/>
        <v>1</v>
      </c>
      <c r="S38" s="875">
        <f t="shared" si="20"/>
        <v>1</v>
      </c>
      <c r="T38" s="875">
        <f>IF('Flächen u. Kulturen'!H43="",0,VLOOKUP('Flächen u. Kulturen'!H43,'#Boden'!$B$23:$C$25,'#Boden'!$C$1,FALSE))</f>
        <v>2</v>
      </c>
      <c r="U38" s="875" t="str">
        <f>'Flächen u. Kulturen'!E43</f>
        <v>x</v>
      </c>
      <c r="V38" s="938">
        <f>IF('Flächen u. Kulturen'!Q43="",0,_xlfn.NUMBERVALUE('Flächen u. Kulturen'!Q43))</f>
        <v>0</v>
      </c>
      <c r="W38" s="938">
        <f>IF('Flächen u. Kulturen'!R43="",0,_xlfn.NUMBERVALUE('Flächen u. Kulturen'!R43))</f>
        <v>0</v>
      </c>
      <c r="X38" s="875">
        <f>IF('Flächen u. Kulturen'!T43="",0,VLOOKUP('Flächen u. Kulturen'!T43,'#Boden'!$B$30:$C$32,'#Boden'!$C$1,FALSE))</f>
        <v>1</v>
      </c>
      <c r="Y38" s="875">
        <f>IF('Flächen u. Kulturen'!P43="",0,VLOOKUP('Flächen u. Kulturen'!P43,Kulturen[[HF]:[Berechnungsgruppe]],'#Frucht'!$N$1,FALSE))</f>
        <v>0</v>
      </c>
      <c r="Z38" s="875">
        <f t="shared" si="21"/>
        <v>2</v>
      </c>
      <c r="AA38" s="875">
        <f>IF('Flächen u. Kulturen'!P43="",0,VLOOKUP('Flächen u. Kulturen'!P43,Kulturen[[HF]:[Berechnungsgruppe]],'#Frucht'!$V$1,FALSE))</f>
        <v>0</v>
      </c>
      <c r="AB38" s="875">
        <f>IF(N38=1,VLOOKUP('Flächen u. Kulturen'!P43,Kulturen[[HF]:[Ernteprodukt]],'#Frucht'!$I$1,FALSE),4)</f>
        <v>4</v>
      </c>
      <c r="AC38" s="921">
        <f>IF('Flächen u. Kulturen'!J43="",0,VLOOKUP('Flächen u. Kulturen'!J43,Kulturen[[HF]:[Berechnungsgruppe]],'#Frucht'!$G$1,FALSE))</f>
        <v>90</v>
      </c>
      <c r="AD38" s="921">
        <f>IF('Flächen u. Kulturen'!P43="",0,VLOOKUP('Flächen u. Kulturen'!P43,Kulturen[[HF]:[Berechnungsgruppe]],'#Frucht'!$G$1,FALSE))</f>
        <v>90</v>
      </c>
      <c r="AE38" s="938">
        <f>IF('Flächen u. Kulturen'!P43="",0,VLOOKUP('Flächen u. Kulturen'!P43,Kulturen[[HF]:[SollwertMinusNfix]],'#Frucht'!$X$1,FALSE))</f>
        <v>0</v>
      </c>
      <c r="AF38" s="875">
        <f>IF('Flächen u. Kulturen'!L43="",0,VLOOKUP('Flächen u. Kulturen'!L43,Nebenkultur[[Nebenkultur]:[Berechnungsschema]],'#Zweitfr'!$G$1,FALSE))</f>
        <v>0</v>
      </c>
      <c r="AG38" s="875">
        <f>IF('Flächen u. Kulturen'!L43="",0,VLOOKUP('Flächen u. Kulturen'!L43,'#Zweitfr'!$D$8:$Q$27,'#Zweitfr'!$Q$1,FALSE))</f>
        <v>0</v>
      </c>
      <c r="AH38" s="875">
        <f>IF('Flächen u. Kulturen'!M43="",0,VLOOKUP('Flächen u. Kulturen'!M43,'#Boden'!$G$17:$H$21,2,FALSE))</f>
        <v>1</v>
      </c>
      <c r="AI38" s="875">
        <f>IF('Flächen u. Kulturen'!N43="",0,VLOOKUP('Flächen u. Kulturen'!N43,'#Boden'!$G$22:$H$24,'#Boden'!$H$1,FALSE))</f>
        <v>1</v>
      </c>
      <c r="AJ38" s="938">
        <f>IF('Flächen u. Kulturen'!O43="",0,_xlfn.NUMBERVALUE('Flächen u. Kulturen'!O43))</f>
        <v>0</v>
      </c>
      <c r="AK38" s="938">
        <f>IF('Flächen u. Kulturen'!L43="",0,VLOOKUP('Flächen u. Kulturen'!L43,Nebenkultur[[Nebenkultur]:[Legum. Zwischenfr.]],'#Zweitfr'!$P$1,FALSE))</f>
        <v>0</v>
      </c>
      <c r="AL38" s="875">
        <f>IF('Flächen u. Kulturen'!P43="",0,VLOOKUP('Flächen u. Kulturen'!P43,Kulturen[[HF]:[Berechnungsgruppe]],'#Frucht'!$Q$1,FALSE))</f>
        <v>0</v>
      </c>
      <c r="AM38" s="875">
        <f>IF('Flächen u. Kulturen'!P43="",0,VLOOKUP('Flächen u. Kulturen'!P43,Kulturen[[HF]:[Berechnungsgruppe]],'#Frucht'!$M$1,FALSE))</f>
        <v>0</v>
      </c>
      <c r="AN38" s="875">
        <f>IF('Flächen u. Kulturen'!P43="",1,VLOOKUP('Flächen u. Kulturen'!P43,Kulturen[[HF]:[Berechnungsgruppe]],'#Frucht'!$R$1,FALSE))</f>
        <v>10</v>
      </c>
      <c r="AO38" s="875">
        <f>IF('Flächen u. Kulturen'!P43="",0,VLOOKUP('Flächen u. Kulturen'!P43,Kulturen[[HF]:[Berechnungsgruppe]],'#Frucht'!$S$1,FALSE))</f>
        <v>0</v>
      </c>
      <c r="AP38" s="875">
        <f>IF('Flächen u. Kulturen'!P43="",0,VLOOKUP('Flächen u. Kulturen'!P43,Kulturen[[HF]:[Berechnungsgruppe]],'#Frucht'!$T$1,FALSE))</f>
        <v>0</v>
      </c>
      <c r="AQ38" s="938">
        <f t="shared" si="32"/>
        <v>0</v>
      </c>
      <c r="AR38" s="875">
        <f t="shared" si="33"/>
        <v>0</v>
      </c>
      <c r="AS38" s="938">
        <f t="shared" si="34"/>
        <v>0</v>
      </c>
      <c r="AT38" s="875">
        <f>IF(N38=1,'Flächen u. Kulturen'!S43*-1,"--")</f>
        <v>0</v>
      </c>
      <c r="AU38" s="938">
        <f>IF(OR(N38=2,'Flächen u. Kulturen'!I43=""),"--",IF(N38=3,VLOOKUP('Flächen u. Kulturen'!I43,'#Boden'!$B$9:$E$15,'#Boden'!$D$1,FALSE),VLOOKUP('Flächen u. Kulturen'!I43,'#Boden'!$B$9:$E$15,'#Boden'!$E$1,FALSE)))</f>
        <v>0</v>
      </c>
      <c r="AV38" s="938">
        <f>IF(N38=1,IF('Flächen u. Kulturen'!J43="",0,VLOOKUP('Flächen u. Kulturen'!J43,Kulturen[[HF]:[Berechnungsgruppe]],'#Frucht'!$U$1,FALSE)*-1),"--")</f>
        <v>0</v>
      </c>
      <c r="AW38" s="875">
        <f t="shared" si="35"/>
        <v>0</v>
      </c>
      <c r="AX38" s="875">
        <f>IF('Flächen u. Kulturen'!K43="",0,'Flächen u. Kulturen'!K43*-0.1)</f>
        <v>0</v>
      </c>
      <c r="AY38" s="875">
        <f>IF(N38&lt;3,'#orgDung'!AC47*0.1*-1,"--")</f>
        <v>0</v>
      </c>
      <c r="AZ38" s="31" t="str">
        <f>IF(AND('#orgDung'!J47&lt;&gt;2,'#orgDung'!F47=1),('#orgDung'!V47+'#minDung'!O44)*-1,"--")</f>
        <v>--</v>
      </c>
      <c r="BA38" s="875">
        <f t="shared" si="22"/>
        <v>0</v>
      </c>
      <c r="BB38" s="938">
        <f>IF(R38=2,0,'Flächen u. Kulturen'!V43*-1)</f>
        <v>0</v>
      </c>
      <c r="BC38" s="875">
        <f t="shared" si="23"/>
        <v>0</v>
      </c>
      <c r="BD38" s="127">
        <f>'#orgDung'!W47*-1</f>
        <v>0</v>
      </c>
      <c r="BE38" s="910">
        <f>'#orgDung'!AA47*-1</f>
        <v>0</v>
      </c>
      <c r="BF38" s="875">
        <f>'#orgDung'!Z47*-1</f>
        <v>0</v>
      </c>
      <c r="BG38" s="938">
        <f t="shared" si="14"/>
        <v>0</v>
      </c>
      <c r="BH38" s="875">
        <f>'#Kürzungen'!AS62*-1</f>
        <v>0</v>
      </c>
      <c r="BI38" s="875">
        <f t="shared" si="36"/>
        <v>0</v>
      </c>
      <c r="BJ38" s="910">
        <f t="shared" si="37"/>
        <v>0</v>
      </c>
      <c r="BK38" s="875">
        <f>'#minDung'!P44</f>
        <v>0</v>
      </c>
      <c r="BL38" s="938">
        <f t="shared" si="15"/>
        <v>0</v>
      </c>
      <c r="BM38" s="938">
        <f t="shared" si="38"/>
        <v>0</v>
      </c>
      <c r="BN38" s="875">
        <f>IF('Flächen u. Kulturen'!P43="",0,VLOOKUP('Flächen u. Kulturen'!P43,Kulturen[[HF]:[Berechnungsgruppe]],'#Frucht'!$K$1,FALSE))</f>
        <v>0</v>
      </c>
      <c r="BO38" s="875">
        <f>IF('Flächen u. Kulturen'!P43="",0,VLOOKUP('Flächen u. Kulturen'!P43,Kulturen[[HF]:[Berechnungsgruppe]],'#Frucht'!$L$1,FALSE))</f>
        <v>0</v>
      </c>
      <c r="BP38" s="875">
        <f>IF('Flächen u. Kulturen'!L43="",0,VLOOKUP('Flächen u. Kulturen'!L43,Nebenkultur[[Nebenkultur]:[Legum. Zwischenfr.]],'#Zweitfr'!$H$1,FALSE))</f>
        <v>0</v>
      </c>
      <c r="BQ38" s="938">
        <f>IF(N38=3,W38*BO38,IF('Flächen u. Kulturen'!T43='#Boden'!$B$32,V38*BN38,V38*BO38))</f>
        <v>0</v>
      </c>
      <c r="BR38" s="938">
        <f t="shared" si="39"/>
        <v>0</v>
      </c>
      <c r="BS38" s="875">
        <f t="shared" si="24"/>
        <v>0</v>
      </c>
      <c r="BT38" s="875">
        <f>IF('Flächen u. Kulturen'!F43="",0,IF(N38=3,VLOOKUP('Flächen u. Kulturen'!F43,'#Boden'!$G$4:$J$8,'#Boden'!$J$1,FALSE),VLOOKUP('Flächen u. Kulturen'!F43,'#Boden'!$G$4:$J$8,'#Boden'!$I$1,FALSE)))</f>
        <v>0</v>
      </c>
      <c r="BU38" s="41">
        <f t="shared" si="25"/>
        <v>0</v>
      </c>
      <c r="BV38" s="875">
        <f t="shared" si="26"/>
        <v>0</v>
      </c>
      <c r="BW38" s="938" t="str">
        <f t="shared" si="16"/>
        <v/>
      </c>
      <c r="BX38" s="875">
        <f>'#orgDung'!T47*-1</f>
        <v>0</v>
      </c>
      <c r="BY38" s="875">
        <f t="shared" si="40"/>
        <v>0</v>
      </c>
      <c r="BZ38" s="938" t="str">
        <f>IF(U38&lt;&gt;"x",0,IF(P38&lt;4,"",(BW38+BX38-'#minDung'!N44)*-1))</f>
        <v/>
      </c>
      <c r="CB38" s="938">
        <f>IF(AND(AF38=70,U38="x"),'Flächen u. Kulturen'!A43,1000)</f>
        <v>1000</v>
      </c>
      <c r="CC38" s="875" t="str">
        <f>IF(AF38=70,VLOOKUP('Flächen u. Kulturen'!L43,Nebenkultur[[Nebenkultur]:[Legum. Zwischenfr.]],'#Zweitfr'!$I$1,FALSE),"--")</f>
        <v>--</v>
      </c>
      <c r="CD38" s="875" t="str">
        <f>IF(AF38=70,VLOOKUP('Flächen u. Kulturen'!L43,Nebenkultur[[Nebenkultur]:[Legum. Zwischenfr.]],'#Zweitfr'!$L$1,FALSE),"--")</f>
        <v>--</v>
      </c>
      <c r="CE38" s="875" t="str">
        <f>IF(AF38=70,VLOOKUP('Flächen u. Kulturen'!L43,Nebenkultur[[Nebenkultur]:[Legum. Zwischenfr.]],'#Zweitfr'!$M$1,FALSE),"--")</f>
        <v>--</v>
      </c>
      <c r="CF38" s="875" t="str">
        <f>IF(AF38=70,VLOOKUP('Flächen u. Kulturen'!L43,Nebenkultur[[Nebenkultur]:[Legum. Zwischenfr.]],'#Zweitfr'!$N$1,FALSE),"--")</f>
        <v>--</v>
      </c>
      <c r="CG38" s="875" t="str">
        <f>IF(AF38=70,VLOOKUP('Flächen u. Kulturen'!L43,Nebenkultur[[Nebenkultur]:[Legum. Zwischenfr.]],'#Zweitfr'!$O$1,FALSE),"--")</f>
        <v>--</v>
      </c>
      <c r="CH38" s="875" t="str">
        <f t="shared" si="41"/>
        <v>--</v>
      </c>
      <c r="CI38" s="938">
        <f>IF('Flächen u. Kulturen'!L43="",0,VLOOKUP('Flächen u. Kulturen'!L43,Nebenkultur[[Nebenkultur]:[Legum. Zwischenfr.]],'#Zweitfr'!$J$1,FALSE))</f>
        <v>0</v>
      </c>
      <c r="CJ38" s="875">
        <f t="shared" si="42"/>
        <v>0</v>
      </c>
      <c r="CK38" s="890">
        <f t="shared" si="43"/>
        <v>0</v>
      </c>
      <c r="CL38" s="938">
        <f>IF(AND(R38=1,AF38=70),'Flächen u. Kulturen'!W43*-1,0)</f>
        <v>0</v>
      </c>
      <c r="CM38" s="875">
        <f>'#orgDung'!AE47*-1</f>
        <v>0</v>
      </c>
      <c r="CN38" s="875">
        <f t="shared" si="27"/>
        <v>0</v>
      </c>
      <c r="CO38" s="875">
        <f t="shared" si="28"/>
        <v>0</v>
      </c>
      <c r="CP38" s="875">
        <f>'#Kürzungen'!AS163*-1</f>
        <v>0</v>
      </c>
      <c r="CQ38" s="875">
        <f t="shared" si="29"/>
        <v>0</v>
      </c>
      <c r="CR38" s="875">
        <f t="shared" si="30"/>
        <v>0</v>
      </c>
      <c r="CS38" s="875">
        <f>'#minDung'!R44</f>
        <v>0</v>
      </c>
      <c r="CT38" s="938">
        <f t="shared" si="18"/>
        <v>0</v>
      </c>
      <c r="CU38" s="52" t="str">
        <f>'#Kürzungen'!AQ163</f>
        <v xml:space="preserve"> </v>
      </c>
      <c r="CW38" s="247">
        <f>IF('Flächen u. Kulturen'!D43="",0,IF(ISNUMBER('Flächen u. Kulturen'!D43)=TRUE,2,1))</f>
        <v>0</v>
      </c>
      <c r="CX38" s="247">
        <f>IF('Flächen u. Kulturen'!E43="",0,COUNTIF('#Boden'!$B$47,'Flächen u. Kulturen'!E43)+1)</f>
        <v>2</v>
      </c>
      <c r="CY38" s="247">
        <f>IF('Flächen u. Kulturen'!F43="",0,COUNTIF('#Boden'!$G$4:$G$8,'Flächen u. Kulturen'!F43)+1)</f>
        <v>2</v>
      </c>
      <c r="CZ38" s="247">
        <f>IF('Flächen u. Kulturen'!G43="",0,COUNTIF('#Boden'!$B$26:$B$29,'Flächen u. Kulturen'!G43)+1)</f>
        <v>2</v>
      </c>
      <c r="DA38" s="247">
        <f>IF('Flächen u. Kulturen'!H43="",0,COUNTIF('#Boden'!$B$26:$B$29,'Flächen u. Kulturen'!H43)+1)</f>
        <v>2</v>
      </c>
      <c r="DB38" s="247">
        <f>IF('Flächen u. Kulturen'!I43="",0,COUNTIF('#Boden'!$B$9:$B$15,'Flächen u. Kulturen'!I43)+1)</f>
        <v>2</v>
      </c>
      <c r="DC38" s="247">
        <f>IF('Flächen u. Kulturen'!J43="",0,COUNTIF(Kulturen[HF],'Flächen u. Kulturen'!J43)+1)</f>
        <v>2</v>
      </c>
      <c r="DD38" s="247">
        <f>IF('Flächen u. Kulturen'!L43="",0,COUNTIF(Nebenkultur[Nebenkultur],'Flächen u. Kulturen'!L43)+1)</f>
        <v>2</v>
      </c>
      <c r="DE38" s="247">
        <f>IF('Flächen u. Kulturen'!M43="",0,COUNTIF('#Boden'!$G$17:$G$21,'Flächen u. Kulturen'!M43)+1)</f>
        <v>2</v>
      </c>
      <c r="DF38" s="247">
        <f>IF('Flächen u. Kulturen'!N43="",0,COUNTIF('#Boden'!$G$22:$G$24,'Flächen u. Kulturen'!N43)+1)</f>
        <v>2</v>
      </c>
      <c r="DG38" s="247">
        <f>IF('Flächen u. Kulturen'!P43="",0,COUNTIF(Kulturen[HF],'Flächen u. Kulturen'!P43)+1)</f>
        <v>2</v>
      </c>
      <c r="DH38" s="247">
        <f>IF('Flächen u. Kulturen'!T43="",0,COUNTIF('#Boden'!$B$30:$B$32,'Flächen u. Kulturen'!T43)+1)</f>
        <v>2</v>
      </c>
      <c r="DI38" s="247">
        <f>IF('Flächen u. Kulturen'!K43="",0,IF(ISNUMBER('Flächen u. Kulturen'!K43)=TRUE,2,1))</f>
        <v>0</v>
      </c>
      <c r="DJ38" s="247">
        <f>IF('Flächen u. Kulturen'!U43="",0,IF(ISNUMBER('Flächen u. Kulturen'!U43)=TRUE,2,1))</f>
        <v>0</v>
      </c>
      <c r="DK38" s="247">
        <f>IF('Flächen u. Kulturen'!V43="",0,IF(ISNUMBER('Flächen u. Kulturen'!V43)=TRUE,2,1))</f>
        <v>0</v>
      </c>
      <c r="DL38" s="247">
        <f>IF('Flächen u. Kulturen'!W43="",0,IF(ISNUMBER('Flächen u. Kulturen'!W43)=TRUE,2,1))</f>
        <v>0</v>
      </c>
      <c r="DM38" s="247">
        <f t="shared" si="31"/>
        <v>0</v>
      </c>
      <c r="DN38" s="247" t="s">
        <v>344</v>
      </c>
      <c r="DO38" s="247">
        <f>IF(U38&lt;&gt;"x","",IF(OR('Flächen u. Kulturen'!B43="",'Flächen u. Kulturen'!C43="",'Flächen u. Kulturen'!D43="",'Flächen u. Kulturen'!D43=0,'Flächen u. Kulturen'!F43="",'Flächen u. Kulturen'!F43='#Boden'!$G$4,'Flächen u. Kulturen'!G43="",'Flächen u. Kulturen'!G43='#Boden'!$B$26,'Flächen u. Kulturen'!H43="",'Flächen u. Kulturen'!H43='#Boden'!$B$23,AND(N38&lt;&gt;2,OR('Flächen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Kulturen'!Q43="",'#BerechnungDBE'!N38&lt;3),AND('Flächen u. Kulturen'!R43="",'#BerechnungDBE'!N38=3),AND(N38=1,AL38&gt;0,'Flächen u. Kulturen'!S43=""),AND(N38=1,OR('Flächen u. Kulturen'!T43="",'Flächen u. Kulturen'!T43='#Boden'!$B$30)),AND('#BerechnungDBE'!AF38=70,OR('Flächen u. Kulturen'!N43="",'Flächen u. Kulturen'!N43='#Boden'!$G$22,'Flächen u. Kulturen'!O43="")),AND('#BerechnungDBE'!AF38=80,OR('Flächen u. Kulturen'!M43="",'Flächen u. Kulturen'!M43='#Boden'!$G$17,'Flächen u. Kulturen'!N43="",'Flächen u. Kulturen'!N43='#Boden'!$G$22))),$DO$4,""))</f>
        <v>1</v>
      </c>
      <c r="DP38" s="247" t="str">
        <f>IF(U38&lt;&gt;"x","",IF(OR(LEFT('Flächen u. Kulturen'!J43,2)=" +",LEFT('Flächen u. Kulturen'!L43,2)=" +",LEFT('Flächen u. Kulturen'!P43,2)=" +"),$DP$4,""))</f>
        <v/>
      </c>
      <c r="DQ38" s="428" t="str">
        <f t="shared" si="44"/>
        <v/>
      </c>
      <c r="DR38" s="938" t="str">
        <f t="shared" si="45"/>
        <v/>
      </c>
      <c r="DS38" s="938" t="str">
        <f>IF('Flächen u. Kulturen'!X43="","",ROW('Flächen u. Kulturen'!X43))</f>
        <v/>
      </c>
    </row>
    <row r="39" spans="1:123" s="875" customFormat="1" x14ac:dyDescent="0.2">
      <c r="A39" s="875" t="str">
        <f>IF('Daten aus 2021'!H41="",'#Boden'!$B$26,IF('Daten aus 2021'!H41='#Boden'!$B$39,IF('Daten aus 2021'!F41='#Boden'!$B$29,'#Boden'!$B$29,IF('Daten aus 2021'!K41='#Boden'!$B$34,'#Boden'!$B$28,'#Boden'!$B$27)),'Daten aus 2021'!F41))</f>
        <v xml:space="preserve"> --</v>
      </c>
      <c r="B39" s="875" t="str">
        <f>IF('Daten aus 2021'!H41='#Boden'!$B$39,IF('Daten aus 2021'!L41='#Boden'!$B$61,'#Boden'!$B$11,'Daten aus 2021'!L41),IF('Daten aus 2021'!P41='#Boden'!$B$58,'#Boden'!$B$11,IF('Daten aus 2021'!P41='#Boden'!$B$57,'#Boden'!$B$10,'#Boden'!$B$9)))</f>
        <v xml:space="preserve"> --         </v>
      </c>
      <c r="C39" s="875" t="str">
        <f>IF('Daten aus 2021'!N41="","",VLOOKUP('Daten aus 2021'!N41,'#Boden'!$B$68:$C$89,2,FALSE))</f>
        <v/>
      </c>
      <c r="D39" s="875" t="str">
        <f>IF('Daten aus 2021'!M41="","",VLOOKUP('Daten aus 2021'!M41,'#Boden'!$D$69:$E$73,2,FALSE))</f>
        <v/>
      </c>
      <c r="E39" s="938" t="str">
        <f>IF(OR(C39='#Boden'!$C$68,C39='#Boden'!$C$70),C39,CONCATENATE(C39,D39))</f>
        <v/>
      </c>
      <c r="F39" s="882" t="str">
        <f>IFERROR(IF('Daten aus 2021'!H41="",'#Frucht'!$D$8,IF('Daten aus 2021'!H41='#Boden'!$B$39,E39,IF('Daten aus 2021'!H41='#Boden'!$B$38,IF(CONCATENATE(" ",'Daten aus 2021'!W41)=$B$2,VLOOKUP($B$3,'#Frucht'!$A$8:$D$372,4,FALSE),VLOOKUP(CONCATENATE(" ",'Daten aus 2021'!W41),'#Frucht'!$A$8:$D$372,4,FALSE)),IF(OR(LEFT('Daten aus 2021'!Q41,5)=" *10 ",LEFT('Daten aus 2021'!Q41,5)=" *11 ",LEFT('Daten aus 2021'!Q41,5)=" *12 ",LEFT('Daten aus 2021'!Q41,5)=" *13 ",LEFT('Daten aus 2021'!Q41,5)=" *14 ",LEFT('Daten aus 2021'!Q41,5)=" *15 "),VLOOKUP(RIGHT('Daten aus 2021'!Q41,LEN('Daten aus 2021'!Q41)-4),'#Frucht'!$A$8:$D$372,4,FALSE),IF(LEFT('Daten aus 2021'!Q41,2)=" *",VLOOKUP(RIGHT('Daten aus 2021'!Q41,LEN('Daten aus 2021'!Q41)-3),'#Frucht'!$A$8:$D$372,4,FALSE),VLOOKUP('Daten aus 2021'!Q41,'#Frucht'!$A$8:$D$372,4,FALSE)))))),'#Frucht'!$D$8)</f>
        <v xml:space="preserve"> --  </v>
      </c>
      <c r="G39" s="127"/>
      <c r="H39" s="31"/>
      <c r="J39" s="938" t="str">
        <f>IF(OR(N39=3,$K$3=0,'Flächen u. Kulturen'!P44=""),"",IF(VLOOKUP('Flächen u. Kulturen'!P44,Kulturen[[HF]:[780]],'#BerechnungDBE'!$K$3,FALSE)=".","",VLOOKUP('Flächen u. Kulturen'!P44,Kulturen[[HF]:[780]],'#BerechnungDBE'!$K$3,FALSE)))</f>
        <v/>
      </c>
      <c r="K39" s="938" t="str">
        <f>IF(OR($K$3=0,'Flächen u. Kulturen'!P44=""),"",IF(N39=3,IF(VLOOKUP('Flächen u. Kulturen'!P44,Kulturen[[HF]:[780]],'#BerechnungDBE'!$K$3,FALSE)=".","",VLOOKUP('Flächen u. Kulturen'!P44,Kulturen[[HF]:[780]],'#BerechnungDBE'!$K$3,FALSE)),""))</f>
        <v/>
      </c>
      <c r="L39" s="367">
        <f>IF('Flächen u. Kulturen'!D44="",0,'Flächen u. Kulturen'!D44)</f>
        <v>0</v>
      </c>
      <c r="M39" s="693">
        <f>IF('Flächen u. Kulturen'!J44="",0,VLOOKUP('Flächen u. Kulturen'!J44,Kulturen[[HF]:[Berechnungsgruppe]],'#Frucht'!$W$1,FALSE))</f>
        <v>1</v>
      </c>
      <c r="N39" s="693">
        <f>IF('Flächen u. Kulturen'!P44="",0,VLOOKUP('Flächen u. Kulturen'!P44,Kulturen[[HF]:[Berechnungsgruppe]],'#Frucht'!$W$1,FALSE))</f>
        <v>1</v>
      </c>
      <c r="O39" s="875">
        <f>IF(N39&lt;&gt;2,N39,IF('Flächen u. Kulturen'!J44='Flächen u. Kulturen'!P44,2,1))</f>
        <v>1</v>
      </c>
      <c r="P39" s="875">
        <f>IF('Flächen u. Kulturen'!F44="",0,VLOOKUP('Flächen u. Kulturen'!F44,'#Boden'!$G$4:$H$8,'#Boden'!$H$1,FALSE))</f>
        <v>1</v>
      </c>
      <c r="Q39" s="875">
        <f>IF('Flächen u. Kulturen'!G44="",0,VLOOKUP('Flächen u. Kulturen'!G44,'#Boden'!$B$26:$C$29,'#Boden'!$C$1,FALSE))</f>
        <v>1</v>
      </c>
      <c r="R39" s="875">
        <f t="shared" si="19"/>
        <v>1</v>
      </c>
      <c r="S39" s="875">
        <f t="shared" si="20"/>
        <v>1</v>
      </c>
      <c r="T39" s="875">
        <f>IF('Flächen u. Kulturen'!H44="",0,VLOOKUP('Flächen u. Kulturen'!H44,'#Boden'!$B$23:$C$25,'#Boden'!$C$1,FALSE))</f>
        <v>2</v>
      </c>
      <c r="U39" s="875" t="str">
        <f>'Flächen u. Kulturen'!E44</f>
        <v>x</v>
      </c>
      <c r="V39" s="938">
        <f>IF('Flächen u. Kulturen'!Q44="",0,_xlfn.NUMBERVALUE('Flächen u. Kulturen'!Q44))</f>
        <v>0</v>
      </c>
      <c r="W39" s="938">
        <f>IF('Flächen u. Kulturen'!R44="",0,_xlfn.NUMBERVALUE('Flächen u. Kulturen'!R44))</f>
        <v>0</v>
      </c>
      <c r="X39" s="875">
        <f>IF('Flächen u. Kulturen'!T44="",0,VLOOKUP('Flächen u. Kulturen'!T44,'#Boden'!$B$30:$C$32,'#Boden'!$C$1,FALSE))</f>
        <v>1</v>
      </c>
      <c r="Y39" s="875">
        <f>IF('Flächen u. Kulturen'!P44="",0,VLOOKUP('Flächen u. Kulturen'!P44,Kulturen[[HF]:[Berechnungsgruppe]],'#Frucht'!$N$1,FALSE))</f>
        <v>0</v>
      </c>
      <c r="Z39" s="875">
        <f t="shared" si="21"/>
        <v>2</v>
      </c>
      <c r="AA39" s="875">
        <f>IF('Flächen u. Kulturen'!P44="",0,VLOOKUP('Flächen u. Kulturen'!P44,Kulturen[[HF]:[Berechnungsgruppe]],'#Frucht'!$V$1,FALSE))</f>
        <v>0</v>
      </c>
      <c r="AB39" s="875">
        <f>IF(N39=1,VLOOKUP('Flächen u. Kulturen'!P44,Kulturen[[HF]:[Ernteprodukt]],'#Frucht'!$I$1,FALSE),4)</f>
        <v>4</v>
      </c>
      <c r="AC39" s="921">
        <f>IF('Flächen u. Kulturen'!J44="",0,VLOOKUP('Flächen u. Kulturen'!J44,Kulturen[[HF]:[Berechnungsgruppe]],'#Frucht'!$G$1,FALSE))</f>
        <v>90</v>
      </c>
      <c r="AD39" s="921">
        <f>IF('Flächen u. Kulturen'!P44="",0,VLOOKUP('Flächen u. Kulturen'!P44,Kulturen[[HF]:[Berechnungsgruppe]],'#Frucht'!$G$1,FALSE))</f>
        <v>90</v>
      </c>
      <c r="AE39" s="938">
        <f>IF('Flächen u. Kulturen'!P44="",0,VLOOKUP('Flächen u. Kulturen'!P44,Kulturen[[HF]:[SollwertMinusNfix]],'#Frucht'!$X$1,FALSE))</f>
        <v>0</v>
      </c>
      <c r="AF39" s="875">
        <f>IF('Flächen u. Kulturen'!L44="",0,VLOOKUP('Flächen u. Kulturen'!L44,Nebenkultur[[Nebenkultur]:[Berechnungsschema]],'#Zweitfr'!$G$1,FALSE))</f>
        <v>0</v>
      </c>
      <c r="AG39" s="875">
        <f>IF('Flächen u. Kulturen'!L44="",0,VLOOKUP('Flächen u. Kulturen'!L44,'#Zweitfr'!$D$8:$Q$27,'#Zweitfr'!$Q$1,FALSE))</f>
        <v>0</v>
      </c>
      <c r="AH39" s="875">
        <f>IF('Flächen u. Kulturen'!M44="",0,VLOOKUP('Flächen u. Kulturen'!M44,'#Boden'!$G$17:$H$21,2,FALSE))</f>
        <v>1</v>
      </c>
      <c r="AI39" s="875">
        <f>IF('Flächen u. Kulturen'!N44="",0,VLOOKUP('Flächen u. Kulturen'!N44,'#Boden'!$G$22:$H$24,'#Boden'!$H$1,FALSE))</f>
        <v>1</v>
      </c>
      <c r="AJ39" s="938">
        <f>IF('Flächen u. Kulturen'!O44="",0,_xlfn.NUMBERVALUE('Flächen u. Kulturen'!O44))</f>
        <v>0</v>
      </c>
      <c r="AK39" s="938">
        <f>IF('Flächen u. Kulturen'!L44="",0,VLOOKUP('Flächen u. Kulturen'!L44,Nebenkultur[[Nebenkultur]:[Legum. Zwischenfr.]],'#Zweitfr'!$P$1,FALSE))</f>
        <v>0</v>
      </c>
      <c r="AL39" s="875">
        <f>IF('Flächen u. Kulturen'!P44="",0,VLOOKUP('Flächen u. Kulturen'!P44,Kulturen[[HF]:[Berechnungsgruppe]],'#Frucht'!$Q$1,FALSE))</f>
        <v>0</v>
      </c>
      <c r="AM39" s="875">
        <f>IF('Flächen u. Kulturen'!P44="",0,VLOOKUP('Flächen u. Kulturen'!P44,Kulturen[[HF]:[Berechnungsgruppe]],'#Frucht'!$M$1,FALSE))</f>
        <v>0</v>
      </c>
      <c r="AN39" s="875">
        <f>IF('Flächen u. Kulturen'!P44="",1,VLOOKUP('Flächen u. Kulturen'!P44,Kulturen[[HF]:[Berechnungsgruppe]],'#Frucht'!$R$1,FALSE))</f>
        <v>10</v>
      </c>
      <c r="AO39" s="875">
        <f>IF('Flächen u. Kulturen'!P44="",0,VLOOKUP('Flächen u. Kulturen'!P44,Kulturen[[HF]:[Berechnungsgruppe]],'#Frucht'!$S$1,FALSE))</f>
        <v>0</v>
      </c>
      <c r="AP39" s="875">
        <f>IF('Flächen u. Kulturen'!P44="",0,VLOOKUP('Flächen u. Kulturen'!P44,Kulturen[[HF]:[Berechnungsgruppe]],'#Frucht'!$T$1,FALSE))</f>
        <v>0</v>
      </c>
      <c r="AQ39" s="938">
        <f t="shared" si="32"/>
        <v>0</v>
      </c>
      <c r="AR39" s="875">
        <f t="shared" si="33"/>
        <v>0</v>
      </c>
      <c r="AS39" s="938">
        <f t="shared" si="34"/>
        <v>0</v>
      </c>
      <c r="AT39" s="875">
        <f>IF(N39=1,'Flächen u. Kulturen'!S44*-1,"--")</f>
        <v>0</v>
      </c>
      <c r="AU39" s="938">
        <f>IF(OR(N39=2,'Flächen u. Kulturen'!I44=""),"--",IF(N39=3,VLOOKUP('Flächen u. Kulturen'!I44,'#Boden'!$B$9:$E$15,'#Boden'!$D$1,FALSE),VLOOKUP('Flächen u. Kulturen'!I44,'#Boden'!$B$9:$E$15,'#Boden'!$E$1,FALSE)))</f>
        <v>0</v>
      </c>
      <c r="AV39" s="938">
        <f>IF(N39=1,IF('Flächen u. Kulturen'!J44="",0,VLOOKUP('Flächen u. Kulturen'!J44,Kulturen[[HF]:[Berechnungsgruppe]],'#Frucht'!$U$1,FALSE)*-1),"--")</f>
        <v>0</v>
      </c>
      <c r="AW39" s="875">
        <f t="shared" si="35"/>
        <v>0</v>
      </c>
      <c r="AX39" s="875">
        <f>IF('Flächen u. Kulturen'!K44="",0,'Flächen u. Kulturen'!K44*-0.1)</f>
        <v>0</v>
      </c>
      <c r="AY39" s="875">
        <f>IF(N39&lt;3,'#orgDung'!AC48*0.1*-1,"--")</f>
        <v>0</v>
      </c>
      <c r="AZ39" s="31" t="str">
        <f>IF(AND('#orgDung'!J48&lt;&gt;2,'#orgDung'!F48=1),('#orgDung'!V48+'#minDung'!O45)*-1,"--")</f>
        <v>--</v>
      </c>
      <c r="BA39" s="875">
        <f t="shared" si="22"/>
        <v>0</v>
      </c>
      <c r="BB39" s="938">
        <f>IF(R39=2,0,'Flächen u. Kulturen'!V44*-1)</f>
        <v>0</v>
      </c>
      <c r="BC39" s="875">
        <f t="shared" si="23"/>
        <v>0</v>
      </c>
      <c r="BD39" s="127">
        <f>'#orgDung'!W48*-1</f>
        <v>0</v>
      </c>
      <c r="BE39" s="910">
        <f>'#orgDung'!AA48*-1</f>
        <v>0</v>
      </c>
      <c r="BF39" s="875">
        <f>'#orgDung'!Z48*-1</f>
        <v>0</v>
      </c>
      <c r="BG39" s="938">
        <f t="shared" si="14"/>
        <v>0</v>
      </c>
      <c r="BH39" s="875">
        <f>'#Kürzungen'!AS63*-1</f>
        <v>0</v>
      </c>
      <c r="BI39" s="875">
        <f t="shared" si="36"/>
        <v>0</v>
      </c>
      <c r="BJ39" s="910">
        <f t="shared" si="37"/>
        <v>0</v>
      </c>
      <c r="BK39" s="875">
        <f>'#minDung'!P45</f>
        <v>0</v>
      </c>
      <c r="BL39" s="938">
        <f t="shared" si="15"/>
        <v>0</v>
      </c>
      <c r="BM39" s="938">
        <f t="shared" si="38"/>
        <v>0</v>
      </c>
      <c r="BN39" s="875">
        <f>IF('Flächen u. Kulturen'!P44="",0,VLOOKUP('Flächen u. Kulturen'!P44,Kulturen[[HF]:[Berechnungsgruppe]],'#Frucht'!$K$1,FALSE))</f>
        <v>0</v>
      </c>
      <c r="BO39" s="875">
        <f>IF('Flächen u. Kulturen'!P44="",0,VLOOKUP('Flächen u. Kulturen'!P44,Kulturen[[HF]:[Berechnungsgruppe]],'#Frucht'!$L$1,FALSE))</f>
        <v>0</v>
      </c>
      <c r="BP39" s="875">
        <f>IF('Flächen u. Kulturen'!L44="",0,VLOOKUP('Flächen u. Kulturen'!L44,Nebenkultur[[Nebenkultur]:[Legum. Zwischenfr.]],'#Zweitfr'!$H$1,FALSE))</f>
        <v>0</v>
      </c>
      <c r="BQ39" s="938">
        <f>IF(N39=3,W39*BO39,IF('Flächen u. Kulturen'!T44='#Boden'!$B$32,V39*BN39,V39*BO39))</f>
        <v>0</v>
      </c>
      <c r="BR39" s="938">
        <f t="shared" si="39"/>
        <v>0</v>
      </c>
      <c r="BS39" s="875">
        <f t="shared" si="24"/>
        <v>0</v>
      </c>
      <c r="BT39" s="875">
        <f>IF('Flächen u. Kulturen'!F44="",0,IF(N39=3,VLOOKUP('Flächen u. Kulturen'!F44,'#Boden'!$G$4:$J$8,'#Boden'!$J$1,FALSE),VLOOKUP('Flächen u. Kulturen'!F44,'#Boden'!$G$4:$J$8,'#Boden'!$I$1,FALSE)))</f>
        <v>0</v>
      </c>
      <c r="BU39" s="41">
        <f t="shared" si="25"/>
        <v>0</v>
      </c>
      <c r="BV39" s="875">
        <f t="shared" si="26"/>
        <v>0</v>
      </c>
      <c r="BW39" s="938" t="str">
        <f t="shared" si="16"/>
        <v/>
      </c>
      <c r="BX39" s="875">
        <f>'#orgDung'!T48*-1</f>
        <v>0</v>
      </c>
      <c r="BY39" s="875">
        <f t="shared" si="40"/>
        <v>0</v>
      </c>
      <c r="BZ39" s="938" t="str">
        <f>IF(U39&lt;&gt;"x",0,IF(P39&lt;4,"",(BW39+BX39-'#minDung'!N45)*-1))</f>
        <v/>
      </c>
      <c r="CB39" s="938">
        <f>IF(AND(AF39=70,U39="x"),'Flächen u. Kulturen'!A44,1000)</f>
        <v>1000</v>
      </c>
      <c r="CC39" s="875" t="str">
        <f>IF(AF39=70,VLOOKUP('Flächen u. Kulturen'!L44,Nebenkultur[[Nebenkultur]:[Legum. Zwischenfr.]],'#Zweitfr'!$I$1,FALSE),"--")</f>
        <v>--</v>
      </c>
      <c r="CD39" s="875" t="str">
        <f>IF(AF39=70,VLOOKUP('Flächen u. Kulturen'!L44,Nebenkultur[[Nebenkultur]:[Legum. Zwischenfr.]],'#Zweitfr'!$L$1,FALSE),"--")</f>
        <v>--</v>
      </c>
      <c r="CE39" s="875" t="str">
        <f>IF(AF39=70,VLOOKUP('Flächen u. Kulturen'!L44,Nebenkultur[[Nebenkultur]:[Legum. Zwischenfr.]],'#Zweitfr'!$M$1,FALSE),"--")</f>
        <v>--</v>
      </c>
      <c r="CF39" s="875" t="str">
        <f>IF(AF39=70,VLOOKUP('Flächen u. Kulturen'!L44,Nebenkultur[[Nebenkultur]:[Legum. Zwischenfr.]],'#Zweitfr'!$N$1,FALSE),"--")</f>
        <v>--</v>
      </c>
      <c r="CG39" s="875" t="str">
        <f>IF(AF39=70,VLOOKUP('Flächen u. Kulturen'!L44,Nebenkultur[[Nebenkultur]:[Legum. Zwischenfr.]],'#Zweitfr'!$O$1,FALSE),"--")</f>
        <v>--</v>
      </c>
      <c r="CH39" s="875" t="str">
        <f t="shared" si="41"/>
        <v>--</v>
      </c>
      <c r="CI39" s="938">
        <f>IF('Flächen u. Kulturen'!L44="",0,VLOOKUP('Flächen u. Kulturen'!L44,Nebenkultur[[Nebenkultur]:[Legum. Zwischenfr.]],'#Zweitfr'!$J$1,FALSE))</f>
        <v>0</v>
      </c>
      <c r="CJ39" s="875">
        <f t="shared" si="42"/>
        <v>0</v>
      </c>
      <c r="CK39" s="890">
        <f t="shared" si="43"/>
        <v>0</v>
      </c>
      <c r="CL39" s="938">
        <f>IF(AND(R39=1,AF39=70),'Flächen u. Kulturen'!W44*-1,0)</f>
        <v>0</v>
      </c>
      <c r="CM39" s="875">
        <f>'#orgDung'!AE48*-1</f>
        <v>0</v>
      </c>
      <c r="CN39" s="875">
        <f t="shared" si="27"/>
        <v>0</v>
      </c>
      <c r="CO39" s="875">
        <f t="shared" si="28"/>
        <v>0</v>
      </c>
      <c r="CP39" s="875">
        <f>'#Kürzungen'!AS164*-1</f>
        <v>0</v>
      </c>
      <c r="CQ39" s="875">
        <f t="shared" si="29"/>
        <v>0</v>
      </c>
      <c r="CR39" s="875">
        <f t="shared" si="30"/>
        <v>0</v>
      </c>
      <c r="CS39" s="875">
        <f>'#minDung'!R45</f>
        <v>0</v>
      </c>
      <c r="CT39" s="938">
        <f t="shared" si="18"/>
        <v>0</v>
      </c>
      <c r="CU39" s="52" t="str">
        <f>'#Kürzungen'!AQ164</f>
        <v xml:space="preserve"> </v>
      </c>
      <c r="CW39" s="247">
        <f>IF('Flächen u. Kulturen'!D44="",0,IF(ISNUMBER('Flächen u. Kulturen'!D44)=TRUE,2,1))</f>
        <v>0</v>
      </c>
      <c r="CX39" s="247">
        <f>IF('Flächen u. Kulturen'!E44="",0,COUNTIF('#Boden'!$B$47,'Flächen u. Kulturen'!E44)+1)</f>
        <v>2</v>
      </c>
      <c r="CY39" s="247">
        <f>IF('Flächen u. Kulturen'!F44="",0,COUNTIF('#Boden'!$G$4:$G$8,'Flächen u. Kulturen'!F44)+1)</f>
        <v>2</v>
      </c>
      <c r="CZ39" s="247">
        <f>IF('Flächen u. Kulturen'!G44="",0,COUNTIF('#Boden'!$B$26:$B$29,'Flächen u. Kulturen'!G44)+1)</f>
        <v>2</v>
      </c>
      <c r="DA39" s="247">
        <f>IF('Flächen u. Kulturen'!H44="",0,COUNTIF('#Boden'!$B$26:$B$29,'Flächen u. Kulturen'!H44)+1)</f>
        <v>2</v>
      </c>
      <c r="DB39" s="247">
        <f>IF('Flächen u. Kulturen'!I44="",0,COUNTIF('#Boden'!$B$9:$B$15,'Flächen u. Kulturen'!I44)+1)</f>
        <v>2</v>
      </c>
      <c r="DC39" s="247">
        <f>IF('Flächen u. Kulturen'!J44="",0,COUNTIF(Kulturen[HF],'Flächen u. Kulturen'!J44)+1)</f>
        <v>2</v>
      </c>
      <c r="DD39" s="247">
        <f>IF('Flächen u. Kulturen'!L44="",0,COUNTIF(Nebenkultur[Nebenkultur],'Flächen u. Kulturen'!L44)+1)</f>
        <v>2</v>
      </c>
      <c r="DE39" s="247">
        <f>IF('Flächen u. Kulturen'!M44="",0,COUNTIF('#Boden'!$G$17:$G$21,'Flächen u. Kulturen'!M44)+1)</f>
        <v>2</v>
      </c>
      <c r="DF39" s="247">
        <f>IF('Flächen u. Kulturen'!N44="",0,COUNTIF('#Boden'!$G$22:$G$24,'Flächen u. Kulturen'!N44)+1)</f>
        <v>2</v>
      </c>
      <c r="DG39" s="247">
        <f>IF('Flächen u. Kulturen'!P44="",0,COUNTIF(Kulturen[HF],'Flächen u. Kulturen'!P44)+1)</f>
        <v>2</v>
      </c>
      <c r="DH39" s="247">
        <f>IF('Flächen u. Kulturen'!T44="",0,COUNTIF('#Boden'!$B$30:$B$32,'Flächen u. Kulturen'!T44)+1)</f>
        <v>2</v>
      </c>
      <c r="DI39" s="247">
        <f>IF('Flächen u. Kulturen'!K44="",0,IF(ISNUMBER('Flächen u. Kulturen'!K44)=TRUE,2,1))</f>
        <v>0</v>
      </c>
      <c r="DJ39" s="247">
        <f>IF('Flächen u. Kulturen'!U44="",0,IF(ISNUMBER('Flächen u. Kulturen'!U44)=TRUE,2,1))</f>
        <v>0</v>
      </c>
      <c r="DK39" s="247">
        <f>IF('Flächen u. Kulturen'!V44="",0,IF(ISNUMBER('Flächen u. Kulturen'!V44)=TRUE,2,1))</f>
        <v>0</v>
      </c>
      <c r="DL39" s="247">
        <f>IF('Flächen u. Kulturen'!W44="",0,IF(ISNUMBER('Flächen u. Kulturen'!W44)=TRUE,2,1))</f>
        <v>0</v>
      </c>
      <c r="DM39" s="247">
        <f t="shared" si="31"/>
        <v>0</v>
      </c>
      <c r="DN39" s="247" t="s">
        <v>344</v>
      </c>
      <c r="DO39" s="247">
        <f>IF(U39&lt;&gt;"x","",IF(OR('Flächen u. Kulturen'!B44="",'Flächen u. Kulturen'!C44="",'Flächen u. Kulturen'!D44="",'Flächen u. Kulturen'!D44=0,'Flächen u. Kulturen'!F44="",'Flächen u. Kulturen'!F44='#Boden'!$G$4,'Flächen u. Kulturen'!G44="",'Flächen u. Kulturen'!G44='#Boden'!$B$26,'Flächen u. Kulturen'!H44="",'Flächen u. Kulturen'!H44='#Boden'!$B$23,AND(N39&lt;&gt;2,OR('Flächen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Kulturen'!Q44="",'#BerechnungDBE'!N39&lt;3),AND('Flächen u. Kulturen'!R44="",'#BerechnungDBE'!N39=3),AND(N39=1,AL39&gt;0,'Flächen u. Kulturen'!S44=""),AND(N39=1,OR('Flächen u. Kulturen'!T44="",'Flächen u. Kulturen'!T44='#Boden'!$B$30)),AND('#BerechnungDBE'!AF39=70,OR('Flächen u. Kulturen'!N44="",'Flächen u. Kulturen'!N44='#Boden'!$G$22,'Flächen u. Kulturen'!O44="")),AND('#BerechnungDBE'!AF39=80,OR('Flächen u. Kulturen'!M44="",'Flächen u. Kulturen'!M44='#Boden'!$G$17,'Flächen u. Kulturen'!N44="",'Flächen u. Kulturen'!N44='#Boden'!$G$22))),$DO$4,""))</f>
        <v>1</v>
      </c>
      <c r="DP39" s="247" t="str">
        <f>IF(U39&lt;&gt;"x","",IF(OR(LEFT('Flächen u. Kulturen'!J44,2)=" +",LEFT('Flächen u. Kulturen'!L44,2)=" +",LEFT('Flächen u. Kulturen'!P44,2)=" +"),$DP$4,""))</f>
        <v/>
      </c>
      <c r="DQ39" s="428" t="str">
        <f t="shared" si="44"/>
        <v/>
      </c>
      <c r="DR39" s="938" t="str">
        <f t="shared" si="45"/>
        <v/>
      </c>
      <c r="DS39" s="938" t="str">
        <f>IF('Flächen u. Kulturen'!X44="","",ROW('Flächen u. Kulturen'!X44))</f>
        <v/>
      </c>
    </row>
    <row r="40" spans="1:123" s="875" customFormat="1" x14ac:dyDescent="0.2">
      <c r="A40" s="875" t="str">
        <f>IF('Daten aus 2021'!H42="",'#Boden'!$B$26,IF('Daten aus 2021'!H42='#Boden'!$B$39,IF('Daten aus 2021'!F42='#Boden'!$B$29,'#Boden'!$B$29,IF('Daten aus 2021'!K42='#Boden'!$B$34,'#Boden'!$B$28,'#Boden'!$B$27)),'Daten aus 2021'!F42))</f>
        <v xml:space="preserve"> --</v>
      </c>
      <c r="B40" s="875" t="str">
        <f>IF('Daten aus 2021'!H42='#Boden'!$B$39,IF('Daten aus 2021'!L42='#Boden'!$B$61,'#Boden'!$B$11,'Daten aus 2021'!L42),IF('Daten aus 2021'!P42='#Boden'!$B$58,'#Boden'!$B$11,IF('Daten aus 2021'!P42='#Boden'!$B$57,'#Boden'!$B$10,'#Boden'!$B$9)))</f>
        <v xml:space="preserve"> --         </v>
      </c>
      <c r="C40" s="875" t="str">
        <f>IF('Daten aus 2021'!N42="","",VLOOKUP('Daten aus 2021'!N42,'#Boden'!$B$68:$C$89,2,FALSE))</f>
        <v/>
      </c>
      <c r="D40" s="875" t="str">
        <f>IF('Daten aus 2021'!M42="","",VLOOKUP('Daten aus 2021'!M42,'#Boden'!$D$69:$E$73,2,FALSE))</f>
        <v/>
      </c>
      <c r="E40" s="938" t="str">
        <f>IF(OR(C40='#Boden'!$C$68,C40='#Boden'!$C$70),C40,CONCATENATE(C40,D40))</f>
        <v/>
      </c>
      <c r="F40" s="882" t="str">
        <f>IFERROR(IF('Daten aus 2021'!H42="",'#Frucht'!$D$8,IF('Daten aus 2021'!H42='#Boden'!$B$39,E40,IF('Daten aus 2021'!H42='#Boden'!$B$38,IF(CONCATENATE(" ",'Daten aus 2021'!W42)=$B$2,VLOOKUP($B$3,'#Frucht'!$A$8:$D$372,4,FALSE),VLOOKUP(CONCATENATE(" ",'Daten aus 2021'!W42),'#Frucht'!$A$8:$D$372,4,FALSE)),IF(OR(LEFT('Daten aus 2021'!Q42,5)=" *10 ",LEFT('Daten aus 2021'!Q42,5)=" *11 ",LEFT('Daten aus 2021'!Q42,5)=" *12 ",LEFT('Daten aus 2021'!Q42,5)=" *13 ",LEFT('Daten aus 2021'!Q42,5)=" *14 ",LEFT('Daten aus 2021'!Q42,5)=" *15 "),VLOOKUP(RIGHT('Daten aus 2021'!Q42,LEN('Daten aus 2021'!Q42)-4),'#Frucht'!$A$8:$D$372,4,FALSE),IF(LEFT('Daten aus 2021'!Q42,2)=" *",VLOOKUP(RIGHT('Daten aus 2021'!Q42,LEN('Daten aus 2021'!Q42)-3),'#Frucht'!$A$8:$D$372,4,FALSE),VLOOKUP('Daten aus 2021'!Q42,'#Frucht'!$A$8:$D$372,4,FALSE)))))),'#Frucht'!$D$8)</f>
        <v xml:space="preserve"> --  </v>
      </c>
      <c r="G40" s="127"/>
      <c r="H40" s="31"/>
      <c r="J40" s="938" t="str">
        <f>IF(OR(N40=3,$K$3=0,'Flächen u. Kulturen'!P45=""),"",IF(VLOOKUP('Flächen u. Kulturen'!P45,Kulturen[[HF]:[780]],'#BerechnungDBE'!$K$3,FALSE)=".","",VLOOKUP('Flächen u. Kulturen'!P45,Kulturen[[HF]:[780]],'#BerechnungDBE'!$K$3,FALSE)))</f>
        <v/>
      </c>
      <c r="K40" s="938" t="str">
        <f>IF(OR($K$3=0,'Flächen u. Kulturen'!P45=""),"",IF(N40=3,IF(VLOOKUP('Flächen u. Kulturen'!P45,Kulturen[[HF]:[780]],'#BerechnungDBE'!$K$3,FALSE)=".","",VLOOKUP('Flächen u. Kulturen'!P45,Kulturen[[HF]:[780]],'#BerechnungDBE'!$K$3,FALSE)),""))</f>
        <v/>
      </c>
      <c r="L40" s="367">
        <f>IF('Flächen u. Kulturen'!D45="",0,'Flächen u. Kulturen'!D45)</f>
        <v>0</v>
      </c>
      <c r="M40" s="693">
        <f>IF('Flächen u. Kulturen'!J45="",0,VLOOKUP('Flächen u. Kulturen'!J45,Kulturen[[HF]:[Berechnungsgruppe]],'#Frucht'!$W$1,FALSE))</f>
        <v>1</v>
      </c>
      <c r="N40" s="693">
        <f>IF('Flächen u. Kulturen'!P45="",0,VLOOKUP('Flächen u. Kulturen'!P45,Kulturen[[HF]:[Berechnungsgruppe]],'#Frucht'!$W$1,FALSE))</f>
        <v>1</v>
      </c>
      <c r="O40" s="875">
        <f>IF(N40&lt;&gt;2,N40,IF('Flächen u. Kulturen'!J45='Flächen u. Kulturen'!P45,2,1))</f>
        <v>1</v>
      </c>
      <c r="P40" s="875">
        <f>IF('Flächen u. Kulturen'!F45="",0,VLOOKUP('Flächen u. Kulturen'!F45,'#Boden'!$G$4:$H$8,'#Boden'!$H$1,FALSE))</f>
        <v>1</v>
      </c>
      <c r="Q40" s="875">
        <f>IF('Flächen u. Kulturen'!G45="",0,VLOOKUP('Flächen u. Kulturen'!G45,'#Boden'!$B$26:$C$29,'#Boden'!$C$1,FALSE))</f>
        <v>1</v>
      </c>
      <c r="R40" s="875">
        <f t="shared" si="19"/>
        <v>1</v>
      </c>
      <c r="S40" s="875">
        <f t="shared" si="20"/>
        <v>1</v>
      </c>
      <c r="T40" s="875">
        <f>IF('Flächen u. Kulturen'!H45="",0,VLOOKUP('Flächen u. Kulturen'!H45,'#Boden'!$B$23:$C$25,'#Boden'!$C$1,FALSE))</f>
        <v>2</v>
      </c>
      <c r="U40" s="875" t="str">
        <f>'Flächen u. Kulturen'!E45</f>
        <v>x</v>
      </c>
      <c r="V40" s="938">
        <f>IF('Flächen u. Kulturen'!Q45="",0,_xlfn.NUMBERVALUE('Flächen u. Kulturen'!Q45))</f>
        <v>0</v>
      </c>
      <c r="W40" s="938">
        <f>IF('Flächen u. Kulturen'!R45="",0,_xlfn.NUMBERVALUE('Flächen u. Kulturen'!R45))</f>
        <v>0</v>
      </c>
      <c r="X40" s="875">
        <f>IF('Flächen u. Kulturen'!T45="",0,VLOOKUP('Flächen u. Kulturen'!T45,'#Boden'!$B$30:$C$32,'#Boden'!$C$1,FALSE))</f>
        <v>1</v>
      </c>
      <c r="Y40" s="875">
        <f>IF('Flächen u. Kulturen'!P45="",0,VLOOKUP('Flächen u. Kulturen'!P45,Kulturen[[HF]:[Berechnungsgruppe]],'#Frucht'!$N$1,FALSE))</f>
        <v>0</v>
      </c>
      <c r="Z40" s="875">
        <f t="shared" si="21"/>
        <v>2</v>
      </c>
      <c r="AA40" s="875">
        <f>IF('Flächen u. Kulturen'!P45="",0,VLOOKUP('Flächen u. Kulturen'!P45,Kulturen[[HF]:[Berechnungsgruppe]],'#Frucht'!$V$1,FALSE))</f>
        <v>0</v>
      </c>
      <c r="AB40" s="875">
        <f>IF(N40=1,VLOOKUP('Flächen u. Kulturen'!P45,Kulturen[[HF]:[Ernteprodukt]],'#Frucht'!$I$1,FALSE),4)</f>
        <v>4</v>
      </c>
      <c r="AC40" s="921">
        <f>IF('Flächen u. Kulturen'!J45="",0,VLOOKUP('Flächen u. Kulturen'!J45,Kulturen[[HF]:[Berechnungsgruppe]],'#Frucht'!$G$1,FALSE))</f>
        <v>90</v>
      </c>
      <c r="AD40" s="921">
        <f>IF('Flächen u. Kulturen'!P45="",0,VLOOKUP('Flächen u. Kulturen'!P45,Kulturen[[HF]:[Berechnungsgruppe]],'#Frucht'!$G$1,FALSE))</f>
        <v>90</v>
      </c>
      <c r="AE40" s="938">
        <f>IF('Flächen u. Kulturen'!P45="",0,VLOOKUP('Flächen u. Kulturen'!P45,Kulturen[[HF]:[SollwertMinusNfix]],'#Frucht'!$X$1,FALSE))</f>
        <v>0</v>
      </c>
      <c r="AF40" s="875">
        <f>IF('Flächen u. Kulturen'!L45="",0,VLOOKUP('Flächen u. Kulturen'!L45,Nebenkultur[[Nebenkultur]:[Berechnungsschema]],'#Zweitfr'!$G$1,FALSE))</f>
        <v>0</v>
      </c>
      <c r="AG40" s="875">
        <f>IF('Flächen u. Kulturen'!L45="",0,VLOOKUP('Flächen u. Kulturen'!L45,'#Zweitfr'!$D$8:$Q$27,'#Zweitfr'!$Q$1,FALSE))</f>
        <v>0</v>
      </c>
      <c r="AH40" s="875">
        <f>IF('Flächen u. Kulturen'!M45="",0,VLOOKUP('Flächen u. Kulturen'!M45,'#Boden'!$G$17:$H$21,2,FALSE))</f>
        <v>1</v>
      </c>
      <c r="AI40" s="875">
        <f>IF('Flächen u. Kulturen'!N45="",0,VLOOKUP('Flächen u. Kulturen'!N45,'#Boden'!$G$22:$H$24,'#Boden'!$H$1,FALSE))</f>
        <v>1</v>
      </c>
      <c r="AJ40" s="938">
        <f>IF('Flächen u. Kulturen'!O45="",0,_xlfn.NUMBERVALUE('Flächen u. Kulturen'!O45))</f>
        <v>0</v>
      </c>
      <c r="AK40" s="938">
        <f>IF('Flächen u. Kulturen'!L45="",0,VLOOKUP('Flächen u. Kulturen'!L45,Nebenkultur[[Nebenkultur]:[Legum. Zwischenfr.]],'#Zweitfr'!$P$1,FALSE))</f>
        <v>0</v>
      </c>
      <c r="AL40" s="875">
        <f>IF('Flächen u. Kulturen'!P45="",0,VLOOKUP('Flächen u. Kulturen'!P45,Kulturen[[HF]:[Berechnungsgruppe]],'#Frucht'!$Q$1,FALSE))</f>
        <v>0</v>
      </c>
      <c r="AM40" s="875">
        <f>IF('Flächen u. Kulturen'!P45="",0,VLOOKUP('Flächen u. Kulturen'!P45,Kulturen[[HF]:[Berechnungsgruppe]],'#Frucht'!$M$1,FALSE))</f>
        <v>0</v>
      </c>
      <c r="AN40" s="875">
        <f>IF('Flächen u. Kulturen'!P45="",1,VLOOKUP('Flächen u. Kulturen'!P45,Kulturen[[HF]:[Berechnungsgruppe]],'#Frucht'!$R$1,FALSE))</f>
        <v>10</v>
      </c>
      <c r="AO40" s="875">
        <f>IF('Flächen u. Kulturen'!P45="",0,VLOOKUP('Flächen u. Kulturen'!P45,Kulturen[[HF]:[Berechnungsgruppe]],'#Frucht'!$S$1,FALSE))</f>
        <v>0</v>
      </c>
      <c r="AP40" s="875">
        <f>IF('Flächen u. Kulturen'!P45="",0,VLOOKUP('Flächen u. Kulturen'!P45,Kulturen[[HF]:[Berechnungsgruppe]],'#Frucht'!$T$1,FALSE))</f>
        <v>0</v>
      </c>
      <c r="AQ40" s="938">
        <f t="shared" si="32"/>
        <v>0</v>
      </c>
      <c r="AR40" s="875">
        <f t="shared" si="33"/>
        <v>0</v>
      </c>
      <c r="AS40" s="938">
        <f t="shared" si="34"/>
        <v>0</v>
      </c>
      <c r="AT40" s="875">
        <f>IF(N40=1,'Flächen u. Kulturen'!S45*-1,"--")</f>
        <v>0</v>
      </c>
      <c r="AU40" s="938">
        <f>IF(OR(N40=2,'Flächen u. Kulturen'!I45=""),"--",IF(N40=3,VLOOKUP('Flächen u. Kulturen'!I45,'#Boden'!$B$9:$E$15,'#Boden'!$D$1,FALSE),VLOOKUP('Flächen u. Kulturen'!I45,'#Boden'!$B$9:$E$15,'#Boden'!$E$1,FALSE)))</f>
        <v>0</v>
      </c>
      <c r="AV40" s="938">
        <f>IF(N40=1,IF('Flächen u. Kulturen'!J45="",0,VLOOKUP('Flächen u. Kulturen'!J45,Kulturen[[HF]:[Berechnungsgruppe]],'#Frucht'!$U$1,FALSE)*-1),"--")</f>
        <v>0</v>
      </c>
      <c r="AW40" s="875">
        <f t="shared" si="35"/>
        <v>0</v>
      </c>
      <c r="AX40" s="875">
        <f>IF('Flächen u. Kulturen'!K45="",0,'Flächen u. Kulturen'!K45*-0.1)</f>
        <v>0</v>
      </c>
      <c r="AY40" s="875">
        <f>IF(N40&lt;3,'#orgDung'!AC49*0.1*-1,"--")</f>
        <v>0</v>
      </c>
      <c r="AZ40" s="31" t="str">
        <f>IF(AND('#orgDung'!J49&lt;&gt;2,'#orgDung'!F49=1),('#orgDung'!V49+'#minDung'!O46)*-1,"--")</f>
        <v>--</v>
      </c>
      <c r="BA40" s="875">
        <f t="shared" si="22"/>
        <v>0</v>
      </c>
      <c r="BB40" s="938">
        <f>IF(R40=2,0,'Flächen u. Kulturen'!V45*-1)</f>
        <v>0</v>
      </c>
      <c r="BC40" s="875">
        <f t="shared" si="23"/>
        <v>0</v>
      </c>
      <c r="BD40" s="127">
        <f>'#orgDung'!W49*-1</f>
        <v>0</v>
      </c>
      <c r="BE40" s="910">
        <f>'#orgDung'!AA49*-1</f>
        <v>0</v>
      </c>
      <c r="BF40" s="875">
        <f>'#orgDung'!Z49*-1</f>
        <v>0</v>
      </c>
      <c r="BG40" s="938">
        <f t="shared" si="14"/>
        <v>0</v>
      </c>
      <c r="BH40" s="875">
        <f>'#Kürzungen'!AS64*-1</f>
        <v>0</v>
      </c>
      <c r="BI40" s="875">
        <f t="shared" si="36"/>
        <v>0</v>
      </c>
      <c r="BJ40" s="910">
        <f t="shared" si="37"/>
        <v>0</v>
      </c>
      <c r="BK40" s="875">
        <f>'#minDung'!P46</f>
        <v>0</v>
      </c>
      <c r="BL40" s="938">
        <f t="shared" si="15"/>
        <v>0</v>
      </c>
      <c r="BM40" s="938">
        <f t="shared" si="38"/>
        <v>0</v>
      </c>
      <c r="BN40" s="875">
        <f>IF('Flächen u. Kulturen'!P45="",0,VLOOKUP('Flächen u. Kulturen'!P45,Kulturen[[HF]:[Berechnungsgruppe]],'#Frucht'!$K$1,FALSE))</f>
        <v>0</v>
      </c>
      <c r="BO40" s="875">
        <f>IF('Flächen u. Kulturen'!P45="",0,VLOOKUP('Flächen u. Kulturen'!P45,Kulturen[[HF]:[Berechnungsgruppe]],'#Frucht'!$L$1,FALSE))</f>
        <v>0</v>
      </c>
      <c r="BP40" s="875">
        <f>IF('Flächen u. Kulturen'!L45="",0,VLOOKUP('Flächen u. Kulturen'!L45,Nebenkultur[[Nebenkultur]:[Legum. Zwischenfr.]],'#Zweitfr'!$H$1,FALSE))</f>
        <v>0</v>
      </c>
      <c r="BQ40" s="938">
        <f>IF(N40=3,W40*BO40,IF('Flächen u. Kulturen'!T45='#Boden'!$B$32,V40*BN40,V40*BO40))</f>
        <v>0</v>
      </c>
      <c r="BR40" s="938">
        <f t="shared" si="39"/>
        <v>0</v>
      </c>
      <c r="BS40" s="875">
        <f t="shared" si="24"/>
        <v>0</v>
      </c>
      <c r="BT40" s="875">
        <f>IF('Flächen u. Kulturen'!F45="",0,IF(N40=3,VLOOKUP('Flächen u. Kulturen'!F45,'#Boden'!$G$4:$J$8,'#Boden'!$J$1,FALSE),VLOOKUP('Flächen u. Kulturen'!F45,'#Boden'!$G$4:$J$8,'#Boden'!$I$1,FALSE)))</f>
        <v>0</v>
      </c>
      <c r="BU40" s="41">
        <f t="shared" si="25"/>
        <v>0</v>
      </c>
      <c r="BV40" s="875">
        <f t="shared" si="26"/>
        <v>0</v>
      </c>
      <c r="BW40" s="938" t="str">
        <f t="shared" si="16"/>
        <v/>
      </c>
      <c r="BX40" s="875">
        <f>'#orgDung'!T49*-1</f>
        <v>0</v>
      </c>
      <c r="BY40" s="875">
        <f t="shared" si="40"/>
        <v>0</v>
      </c>
      <c r="BZ40" s="938" t="str">
        <f>IF(U40&lt;&gt;"x",0,IF(P40&lt;4,"",(BW40+BX40-'#minDung'!N46)*-1))</f>
        <v/>
      </c>
      <c r="CB40" s="938">
        <f>IF(AND(AF40=70,U40="x"),'Flächen u. Kulturen'!A45,1000)</f>
        <v>1000</v>
      </c>
      <c r="CC40" s="875" t="str">
        <f>IF(AF40=70,VLOOKUP('Flächen u. Kulturen'!L45,Nebenkultur[[Nebenkultur]:[Legum. Zwischenfr.]],'#Zweitfr'!$I$1,FALSE),"--")</f>
        <v>--</v>
      </c>
      <c r="CD40" s="875" t="str">
        <f>IF(AF40=70,VLOOKUP('Flächen u. Kulturen'!L45,Nebenkultur[[Nebenkultur]:[Legum. Zwischenfr.]],'#Zweitfr'!$L$1,FALSE),"--")</f>
        <v>--</v>
      </c>
      <c r="CE40" s="875" t="str">
        <f>IF(AF40=70,VLOOKUP('Flächen u. Kulturen'!L45,Nebenkultur[[Nebenkultur]:[Legum. Zwischenfr.]],'#Zweitfr'!$M$1,FALSE),"--")</f>
        <v>--</v>
      </c>
      <c r="CF40" s="875" t="str">
        <f>IF(AF40=70,VLOOKUP('Flächen u. Kulturen'!L45,Nebenkultur[[Nebenkultur]:[Legum. Zwischenfr.]],'#Zweitfr'!$N$1,FALSE),"--")</f>
        <v>--</v>
      </c>
      <c r="CG40" s="875" t="str">
        <f>IF(AF40=70,VLOOKUP('Flächen u. Kulturen'!L45,Nebenkultur[[Nebenkultur]:[Legum. Zwischenfr.]],'#Zweitfr'!$O$1,FALSE),"--")</f>
        <v>--</v>
      </c>
      <c r="CH40" s="875" t="str">
        <f t="shared" si="41"/>
        <v>--</v>
      </c>
      <c r="CI40" s="938">
        <f>IF('Flächen u. Kulturen'!L45="",0,VLOOKUP('Flächen u. Kulturen'!L45,Nebenkultur[[Nebenkultur]:[Legum. Zwischenfr.]],'#Zweitfr'!$J$1,FALSE))</f>
        <v>0</v>
      </c>
      <c r="CJ40" s="875">
        <f t="shared" si="42"/>
        <v>0</v>
      </c>
      <c r="CK40" s="890">
        <f t="shared" si="43"/>
        <v>0</v>
      </c>
      <c r="CL40" s="938">
        <f>IF(AND(R40=1,AF40=70),'Flächen u. Kulturen'!W45*-1,0)</f>
        <v>0</v>
      </c>
      <c r="CM40" s="875">
        <f>'#orgDung'!AE49*-1</f>
        <v>0</v>
      </c>
      <c r="CN40" s="875">
        <f t="shared" si="27"/>
        <v>0</v>
      </c>
      <c r="CO40" s="875">
        <f t="shared" si="28"/>
        <v>0</v>
      </c>
      <c r="CP40" s="875">
        <f>'#Kürzungen'!AS165*-1</f>
        <v>0</v>
      </c>
      <c r="CQ40" s="875">
        <f t="shared" si="29"/>
        <v>0</v>
      </c>
      <c r="CR40" s="875">
        <f t="shared" si="30"/>
        <v>0</v>
      </c>
      <c r="CS40" s="875">
        <f>'#minDung'!R46</f>
        <v>0</v>
      </c>
      <c r="CT40" s="938">
        <f t="shared" si="18"/>
        <v>0</v>
      </c>
      <c r="CU40" s="52" t="str">
        <f>'#Kürzungen'!AQ165</f>
        <v xml:space="preserve"> </v>
      </c>
      <c r="CW40" s="247">
        <f>IF('Flächen u. Kulturen'!D45="",0,IF(ISNUMBER('Flächen u. Kulturen'!D45)=TRUE,2,1))</f>
        <v>0</v>
      </c>
      <c r="CX40" s="247">
        <f>IF('Flächen u. Kulturen'!E45="",0,COUNTIF('#Boden'!$B$47,'Flächen u. Kulturen'!E45)+1)</f>
        <v>2</v>
      </c>
      <c r="CY40" s="247">
        <f>IF('Flächen u. Kulturen'!F45="",0,COUNTIF('#Boden'!$G$4:$G$8,'Flächen u. Kulturen'!F45)+1)</f>
        <v>2</v>
      </c>
      <c r="CZ40" s="247">
        <f>IF('Flächen u. Kulturen'!G45="",0,COUNTIF('#Boden'!$B$26:$B$29,'Flächen u. Kulturen'!G45)+1)</f>
        <v>2</v>
      </c>
      <c r="DA40" s="247">
        <f>IF('Flächen u. Kulturen'!H45="",0,COUNTIF('#Boden'!$B$26:$B$29,'Flächen u. Kulturen'!H45)+1)</f>
        <v>2</v>
      </c>
      <c r="DB40" s="247">
        <f>IF('Flächen u. Kulturen'!I45="",0,COUNTIF('#Boden'!$B$9:$B$15,'Flächen u. Kulturen'!I45)+1)</f>
        <v>2</v>
      </c>
      <c r="DC40" s="247">
        <f>IF('Flächen u. Kulturen'!J45="",0,COUNTIF(Kulturen[HF],'Flächen u. Kulturen'!J45)+1)</f>
        <v>2</v>
      </c>
      <c r="DD40" s="247">
        <f>IF('Flächen u. Kulturen'!L45="",0,COUNTIF(Nebenkultur[Nebenkultur],'Flächen u. Kulturen'!L45)+1)</f>
        <v>2</v>
      </c>
      <c r="DE40" s="247">
        <f>IF('Flächen u. Kulturen'!M45="",0,COUNTIF('#Boden'!$G$17:$G$21,'Flächen u. Kulturen'!M45)+1)</f>
        <v>2</v>
      </c>
      <c r="DF40" s="247">
        <f>IF('Flächen u. Kulturen'!N45="",0,COUNTIF('#Boden'!$G$22:$G$24,'Flächen u. Kulturen'!N45)+1)</f>
        <v>2</v>
      </c>
      <c r="DG40" s="247">
        <f>IF('Flächen u. Kulturen'!P45="",0,COUNTIF(Kulturen[HF],'Flächen u. Kulturen'!P45)+1)</f>
        <v>2</v>
      </c>
      <c r="DH40" s="247">
        <f>IF('Flächen u. Kulturen'!T45="",0,COUNTIF('#Boden'!$B$30:$B$32,'Flächen u. Kulturen'!T45)+1)</f>
        <v>2</v>
      </c>
      <c r="DI40" s="247">
        <f>IF('Flächen u. Kulturen'!K45="",0,IF(ISNUMBER('Flächen u. Kulturen'!K45)=TRUE,2,1))</f>
        <v>0</v>
      </c>
      <c r="DJ40" s="247">
        <f>IF('Flächen u. Kulturen'!U45="",0,IF(ISNUMBER('Flächen u. Kulturen'!U45)=TRUE,2,1))</f>
        <v>0</v>
      </c>
      <c r="DK40" s="247">
        <f>IF('Flächen u. Kulturen'!V45="",0,IF(ISNUMBER('Flächen u. Kulturen'!V45)=TRUE,2,1))</f>
        <v>0</v>
      </c>
      <c r="DL40" s="247">
        <f>IF('Flächen u. Kulturen'!W45="",0,IF(ISNUMBER('Flächen u. Kulturen'!W45)=TRUE,2,1))</f>
        <v>0</v>
      </c>
      <c r="DM40" s="247">
        <f t="shared" si="31"/>
        <v>0</v>
      </c>
      <c r="DN40" s="247" t="s">
        <v>344</v>
      </c>
      <c r="DO40" s="247">
        <f>IF(U40&lt;&gt;"x","",IF(OR('Flächen u. Kulturen'!B45="",'Flächen u. Kulturen'!C45="",'Flächen u. Kulturen'!D45="",'Flächen u. Kulturen'!D45=0,'Flächen u. Kulturen'!F45="",'Flächen u. Kulturen'!F45='#Boden'!$G$4,'Flächen u. Kulturen'!G45="",'Flächen u. Kulturen'!G45='#Boden'!$B$26,'Flächen u. Kulturen'!H45="",'Flächen u. Kulturen'!H45='#Boden'!$B$23,AND(N40&lt;&gt;2,OR('Flächen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Kulturen'!Q45="",'#BerechnungDBE'!N40&lt;3),AND('Flächen u. Kulturen'!R45="",'#BerechnungDBE'!N40=3),AND(N40=1,AL40&gt;0,'Flächen u. Kulturen'!S45=""),AND(N40=1,OR('Flächen u. Kulturen'!T45="",'Flächen u. Kulturen'!T45='#Boden'!$B$30)),AND('#BerechnungDBE'!AF40=70,OR('Flächen u. Kulturen'!N45="",'Flächen u. Kulturen'!N45='#Boden'!$G$22,'Flächen u. Kulturen'!O45="")),AND('#BerechnungDBE'!AF40=80,OR('Flächen u. Kulturen'!M45="",'Flächen u. Kulturen'!M45='#Boden'!$G$17,'Flächen u. Kulturen'!N45="",'Flächen u. Kulturen'!N45='#Boden'!$G$22))),$DO$4,""))</f>
        <v>1</v>
      </c>
      <c r="DP40" s="247" t="str">
        <f>IF(U40&lt;&gt;"x","",IF(OR(LEFT('Flächen u. Kulturen'!J45,2)=" +",LEFT('Flächen u. Kulturen'!L45,2)=" +",LEFT('Flächen u. Kulturen'!P45,2)=" +"),$DP$4,""))</f>
        <v/>
      </c>
      <c r="DQ40" s="428" t="str">
        <f t="shared" si="44"/>
        <v/>
      </c>
      <c r="DR40" s="938" t="str">
        <f t="shared" si="45"/>
        <v/>
      </c>
      <c r="DS40" s="938" t="str">
        <f>IF('Flächen u. Kulturen'!X45="","",ROW('Flächen u. Kulturen'!X45))</f>
        <v/>
      </c>
    </row>
    <row r="41" spans="1:123" s="875" customFormat="1" x14ac:dyDescent="0.2">
      <c r="A41" s="875" t="str">
        <f>IF('Daten aus 2021'!H43="",'#Boden'!$B$26,IF('Daten aus 2021'!H43='#Boden'!$B$39,IF('Daten aus 2021'!F43='#Boden'!$B$29,'#Boden'!$B$29,IF('Daten aus 2021'!K43='#Boden'!$B$34,'#Boden'!$B$28,'#Boden'!$B$27)),'Daten aus 2021'!F43))</f>
        <v xml:space="preserve"> --</v>
      </c>
      <c r="B41" s="875" t="str">
        <f>IF('Daten aus 2021'!H43='#Boden'!$B$39,IF('Daten aus 2021'!L43='#Boden'!$B$61,'#Boden'!$B$11,'Daten aus 2021'!L43),IF('Daten aus 2021'!P43='#Boden'!$B$58,'#Boden'!$B$11,IF('Daten aus 2021'!P43='#Boden'!$B$57,'#Boden'!$B$10,'#Boden'!$B$9)))</f>
        <v xml:space="preserve"> --         </v>
      </c>
      <c r="C41" s="875" t="str">
        <f>IF('Daten aus 2021'!N43="","",VLOOKUP('Daten aus 2021'!N43,'#Boden'!$B$68:$C$89,2,FALSE))</f>
        <v/>
      </c>
      <c r="D41" s="875" t="str">
        <f>IF('Daten aus 2021'!M43="","",VLOOKUP('Daten aus 2021'!M43,'#Boden'!$D$69:$E$73,2,FALSE))</f>
        <v/>
      </c>
      <c r="E41" s="938" t="str">
        <f>IF(OR(C41='#Boden'!$C$68,C41='#Boden'!$C$70),C41,CONCATENATE(C41,D41))</f>
        <v/>
      </c>
      <c r="F41" s="882" t="str">
        <f>IFERROR(IF('Daten aus 2021'!H43="",'#Frucht'!$D$8,IF('Daten aus 2021'!H43='#Boden'!$B$39,E41,IF('Daten aus 2021'!H43='#Boden'!$B$38,IF(CONCATENATE(" ",'Daten aus 2021'!W43)=$B$2,VLOOKUP($B$3,'#Frucht'!$A$8:$D$372,4,FALSE),VLOOKUP(CONCATENATE(" ",'Daten aus 2021'!W43),'#Frucht'!$A$8:$D$372,4,FALSE)),IF(OR(LEFT('Daten aus 2021'!Q43,5)=" *10 ",LEFT('Daten aus 2021'!Q43,5)=" *11 ",LEFT('Daten aus 2021'!Q43,5)=" *12 ",LEFT('Daten aus 2021'!Q43,5)=" *13 ",LEFT('Daten aus 2021'!Q43,5)=" *14 ",LEFT('Daten aus 2021'!Q43,5)=" *15 "),VLOOKUP(RIGHT('Daten aus 2021'!Q43,LEN('Daten aus 2021'!Q43)-4),'#Frucht'!$A$8:$D$372,4,FALSE),IF(LEFT('Daten aus 2021'!Q43,2)=" *",VLOOKUP(RIGHT('Daten aus 2021'!Q43,LEN('Daten aus 2021'!Q43)-3),'#Frucht'!$A$8:$D$372,4,FALSE),VLOOKUP('Daten aus 2021'!Q43,'#Frucht'!$A$8:$D$372,4,FALSE)))))),'#Frucht'!$D$8)</f>
        <v xml:space="preserve"> --  </v>
      </c>
      <c r="G41" s="127"/>
      <c r="H41" s="31"/>
      <c r="J41" s="938" t="str">
        <f>IF(OR(N41=3,$K$3=0,'Flächen u. Kulturen'!P46=""),"",IF(VLOOKUP('Flächen u. Kulturen'!P46,Kulturen[[HF]:[780]],'#BerechnungDBE'!$K$3,FALSE)=".","",VLOOKUP('Flächen u. Kulturen'!P46,Kulturen[[HF]:[780]],'#BerechnungDBE'!$K$3,FALSE)))</f>
        <v/>
      </c>
      <c r="K41" s="938" t="str">
        <f>IF(OR($K$3=0,'Flächen u. Kulturen'!P46=""),"",IF(N41=3,IF(VLOOKUP('Flächen u. Kulturen'!P46,Kulturen[[HF]:[780]],'#BerechnungDBE'!$K$3,FALSE)=".","",VLOOKUP('Flächen u. Kulturen'!P46,Kulturen[[HF]:[780]],'#BerechnungDBE'!$K$3,FALSE)),""))</f>
        <v/>
      </c>
      <c r="L41" s="367">
        <f>IF('Flächen u. Kulturen'!D46="",0,'Flächen u. Kulturen'!D46)</f>
        <v>0</v>
      </c>
      <c r="M41" s="693">
        <f>IF('Flächen u. Kulturen'!J46="",0,VLOOKUP('Flächen u. Kulturen'!J46,Kulturen[[HF]:[Berechnungsgruppe]],'#Frucht'!$W$1,FALSE))</f>
        <v>1</v>
      </c>
      <c r="N41" s="693">
        <f>IF('Flächen u. Kulturen'!P46="",0,VLOOKUP('Flächen u. Kulturen'!P46,Kulturen[[HF]:[Berechnungsgruppe]],'#Frucht'!$W$1,FALSE))</f>
        <v>1</v>
      </c>
      <c r="O41" s="875">
        <f>IF(N41&lt;&gt;2,N41,IF('Flächen u. Kulturen'!J46='Flächen u. Kulturen'!P46,2,1))</f>
        <v>1</v>
      </c>
      <c r="P41" s="875">
        <f>IF('Flächen u. Kulturen'!F46="",0,VLOOKUP('Flächen u. Kulturen'!F46,'#Boden'!$G$4:$H$8,'#Boden'!$H$1,FALSE))</f>
        <v>1</v>
      </c>
      <c r="Q41" s="875">
        <f>IF('Flächen u. Kulturen'!G46="",0,VLOOKUP('Flächen u. Kulturen'!G46,'#Boden'!$B$26:$C$29,'#Boden'!$C$1,FALSE))</f>
        <v>1</v>
      </c>
      <c r="R41" s="875">
        <f t="shared" si="19"/>
        <v>1</v>
      </c>
      <c r="S41" s="875">
        <f t="shared" si="20"/>
        <v>1</v>
      </c>
      <c r="T41" s="875">
        <f>IF('Flächen u. Kulturen'!H46="",0,VLOOKUP('Flächen u. Kulturen'!H46,'#Boden'!$B$23:$C$25,'#Boden'!$C$1,FALSE))</f>
        <v>2</v>
      </c>
      <c r="U41" s="875" t="str">
        <f>'Flächen u. Kulturen'!E46</f>
        <v>x</v>
      </c>
      <c r="V41" s="938">
        <f>IF('Flächen u. Kulturen'!Q46="",0,_xlfn.NUMBERVALUE('Flächen u. Kulturen'!Q46))</f>
        <v>0</v>
      </c>
      <c r="W41" s="938">
        <f>IF('Flächen u. Kulturen'!R46="",0,_xlfn.NUMBERVALUE('Flächen u. Kulturen'!R46))</f>
        <v>0</v>
      </c>
      <c r="X41" s="875">
        <f>IF('Flächen u. Kulturen'!T46="",0,VLOOKUP('Flächen u. Kulturen'!T46,'#Boden'!$B$30:$C$32,'#Boden'!$C$1,FALSE))</f>
        <v>1</v>
      </c>
      <c r="Y41" s="875">
        <f>IF('Flächen u. Kulturen'!P46="",0,VLOOKUP('Flächen u. Kulturen'!P46,Kulturen[[HF]:[Berechnungsgruppe]],'#Frucht'!$N$1,FALSE))</f>
        <v>0</v>
      </c>
      <c r="Z41" s="875">
        <f t="shared" si="21"/>
        <v>2</v>
      </c>
      <c r="AA41" s="875">
        <f>IF('Flächen u. Kulturen'!P46="",0,VLOOKUP('Flächen u. Kulturen'!P46,Kulturen[[HF]:[Berechnungsgruppe]],'#Frucht'!$V$1,FALSE))</f>
        <v>0</v>
      </c>
      <c r="AB41" s="875">
        <f>IF(N41=1,VLOOKUP('Flächen u. Kulturen'!P46,Kulturen[[HF]:[Ernteprodukt]],'#Frucht'!$I$1,FALSE),4)</f>
        <v>4</v>
      </c>
      <c r="AC41" s="921">
        <f>IF('Flächen u. Kulturen'!J46="",0,VLOOKUP('Flächen u. Kulturen'!J46,Kulturen[[HF]:[Berechnungsgruppe]],'#Frucht'!$G$1,FALSE))</f>
        <v>90</v>
      </c>
      <c r="AD41" s="921">
        <f>IF('Flächen u. Kulturen'!P46="",0,VLOOKUP('Flächen u. Kulturen'!P46,Kulturen[[HF]:[Berechnungsgruppe]],'#Frucht'!$G$1,FALSE))</f>
        <v>90</v>
      </c>
      <c r="AE41" s="938">
        <f>IF('Flächen u. Kulturen'!P46="",0,VLOOKUP('Flächen u. Kulturen'!P46,Kulturen[[HF]:[SollwertMinusNfix]],'#Frucht'!$X$1,FALSE))</f>
        <v>0</v>
      </c>
      <c r="AF41" s="875">
        <f>IF('Flächen u. Kulturen'!L46="",0,VLOOKUP('Flächen u. Kulturen'!L46,Nebenkultur[[Nebenkultur]:[Berechnungsschema]],'#Zweitfr'!$G$1,FALSE))</f>
        <v>0</v>
      </c>
      <c r="AG41" s="875">
        <f>IF('Flächen u. Kulturen'!L46="",0,VLOOKUP('Flächen u. Kulturen'!L46,'#Zweitfr'!$D$8:$Q$27,'#Zweitfr'!$Q$1,FALSE))</f>
        <v>0</v>
      </c>
      <c r="AH41" s="875">
        <f>IF('Flächen u. Kulturen'!M46="",0,VLOOKUP('Flächen u. Kulturen'!M46,'#Boden'!$G$17:$H$21,2,FALSE))</f>
        <v>1</v>
      </c>
      <c r="AI41" s="875">
        <f>IF('Flächen u. Kulturen'!N46="",0,VLOOKUP('Flächen u. Kulturen'!N46,'#Boden'!$G$22:$H$24,'#Boden'!$H$1,FALSE))</f>
        <v>1</v>
      </c>
      <c r="AJ41" s="938">
        <f>IF('Flächen u. Kulturen'!O46="",0,_xlfn.NUMBERVALUE('Flächen u. Kulturen'!O46))</f>
        <v>0</v>
      </c>
      <c r="AK41" s="938">
        <f>IF('Flächen u. Kulturen'!L46="",0,VLOOKUP('Flächen u. Kulturen'!L46,Nebenkultur[[Nebenkultur]:[Legum. Zwischenfr.]],'#Zweitfr'!$P$1,FALSE))</f>
        <v>0</v>
      </c>
      <c r="AL41" s="875">
        <f>IF('Flächen u. Kulturen'!P46="",0,VLOOKUP('Flächen u. Kulturen'!P46,Kulturen[[HF]:[Berechnungsgruppe]],'#Frucht'!$Q$1,FALSE))</f>
        <v>0</v>
      </c>
      <c r="AM41" s="875">
        <f>IF('Flächen u. Kulturen'!P46="",0,VLOOKUP('Flächen u. Kulturen'!P46,Kulturen[[HF]:[Berechnungsgruppe]],'#Frucht'!$M$1,FALSE))</f>
        <v>0</v>
      </c>
      <c r="AN41" s="875">
        <f>IF('Flächen u. Kulturen'!P46="",1,VLOOKUP('Flächen u. Kulturen'!P46,Kulturen[[HF]:[Berechnungsgruppe]],'#Frucht'!$R$1,FALSE))</f>
        <v>10</v>
      </c>
      <c r="AO41" s="875">
        <f>IF('Flächen u. Kulturen'!P46="",0,VLOOKUP('Flächen u. Kulturen'!P46,Kulturen[[HF]:[Berechnungsgruppe]],'#Frucht'!$S$1,FALSE))</f>
        <v>0</v>
      </c>
      <c r="AP41" s="875">
        <f>IF('Flächen u. Kulturen'!P46="",0,VLOOKUP('Flächen u. Kulturen'!P46,Kulturen[[HF]:[Berechnungsgruppe]],'#Frucht'!$T$1,FALSE))</f>
        <v>0</v>
      </c>
      <c r="AQ41" s="938">
        <f t="shared" si="32"/>
        <v>0</v>
      </c>
      <c r="AR41" s="875">
        <f t="shared" si="33"/>
        <v>0</v>
      </c>
      <c r="AS41" s="938">
        <f t="shared" si="34"/>
        <v>0</v>
      </c>
      <c r="AT41" s="875">
        <f>IF(N41=1,'Flächen u. Kulturen'!S46*-1,"--")</f>
        <v>0</v>
      </c>
      <c r="AU41" s="938">
        <f>IF(OR(N41=2,'Flächen u. Kulturen'!I46=""),"--",IF(N41=3,VLOOKUP('Flächen u. Kulturen'!I46,'#Boden'!$B$9:$E$15,'#Boden'!$D$1,FALSE),VLOOKUP('Flächen u. Kulturen'!I46,'#Boden'!$B$9:$E$15,'#Boden'!$E$1,FALSE)))</f>
        <v>0</v>
      </c>
      <c r="AV41" s="938">
        <f>IF(N41=1,IF('Flächen u. Kulturen'!J46="",0,VLOOKUP('Flächen u. Kulturen'!J46,Kulturen[[HF]:[Berechnungsgruppe]],'#Frucht'!$U$1,FALSE)*-1),"--")</f>
        <v>0</v>
      </c>
      <c r="AW41" s="875">
        <f t="shared" si="35"/>
        <v>0</v>
      </c>
      <c r="AX41" s="875">
        <f>IF('Flächen u. Kulturen'!K46="",0,'Flächen u. Kulturen'!K46*-0.1)</f>
        <v>0</v>
      </c>
      <c r="AY41" s="875">
        <f>IF(N41&lt;3,'#orgDung'!AC50*0.1*-1,"--")</f>
        <v>0</v>
      </c>
      <c r="AZ41" s="31" t="str">
        <f>IF(AND('#orgDung'!J50&lt;&gt;2,'#orgDung'!F50=1),('#orgDung'!V50+'#minDung'!O47)*-1,"--")</f>
        <v>--</v>
      </c>
      <c r="BA41" s="875">
        <f t="shared" si="22"/>
        <v>0</v>
      </c>
      <c r="BB41" s="938">
        <f>IF(R41=2,0,'Flächen u. Kulturen'!V46*-1)</f>
        <v>0</v>
      </c>
      <c r="BC41" s="875">
        <f t="shared" si="23"/>
        <v>0</v>
      </c>
      <c r="BD41" s="127">
        <f>'#orgDung'!W50*-1</f>
        <v>0</v>
      </c>
      <c r="BE41" s="910">
        <f>'#orgDung'!AA50*-1</f>
        <v>0</v>
      </c>
      <c r="BF41" s="875">
        <f>'#orgDung'!Z50*-1</f>
        <v>0</v>
      </c>
      <c r="BG41" s="938">
        <f t="shared" si="14"/>
        <v>0</v>
      </c>
      <c r="BH41" s="875">
        <f>'#Kürzungen'!AS65*-1</f>
        <v>0</v>
      </c>
      <c r="BI41" s="875">
        <f t="shared" si="36"/>
        <v>0</v>
      </c>
      <c r="BJ41" s="910">
        <f t="shared" si="37"/>
        <v>0</v>
      </c>
      <c r="BK41" s="875">
        <f>'#minDung'!P47</f>
        <v>0</v>
      </c>
      <c r="BL41" s="938">
        <f t="shared" si="15"/>
        <v>0</v>
      </c>
      <c r="BM41" s="938">
        <f t="shared" si="38"/>
        <v>0</v>
      </c>
      <c r="BN41" s="875">
        <f>IF('Flächen u. Kulturen'!P46="",0,VLOOKUP('Flächen u. Kulturen'!P46,Kulturen[[HF]:[Berechnungsgruppe]],'#Frucht'!$K$1,FALSE))</f>
        <v>0</v>
      </c>
      <c r="BO41" s="875">
        <f>IF('Flächen u. Kulturen'!P46="",0,VLOOKUP('Flächen u. Kulturen'!P46,Kulturen[[HF]:[Berechnungsgruppe]],'#Frucht'!$L$1,FALSE))</f>
        <v>0</v>
      </c>
      <c r="BP41" s="875">
        <f>IF('Flächen u. Kulturen'!L46="",0,VLOOKUP('Flächen u. Kulturen'!L46,Nebenkultur[[Nebenkultur]:[Legum. Zwischenfr.]],'#Zweitfr'!$H$1,FALSE))</f>
        <v>0</v>
      </c>
      <c r="BQ41" s="938">
        <f>IF(N41=3,W41*BO41,IF('Flächen u. Kulturen'!T46='#Boden'!$B$32,V41*BN41,V41*BO41))</f>
        <v>0</v>
      </c>
      <c r="BR41" s="938">
        <f t="shared" si="39"/>
        <v>0</v>
      </c>
      <c r="BS41" s="875">
        <f t="shared" si="24"/>
        <v>0</v>
      </c>
      <c r="BT41" s="875">
        <f>IF('Flächen u. Kulturen'!F46="",0,IF(N41=3,VLOOKUP('Flächen u. Kulturen'!F46,'#Boden'!$G$4:$J$8,'#Boden'!$J$1,FALSE),VLOOKUP('Flächen u. Kulturen'!F46,'#Boden'!$G$4:$J$8,'#Boden'!$I$1,FALSE)))</f>
        <v>0</v>
      </c>
      <c r="BU41" s="41">
        <f t="shared" si="25"/>
        <v>0</v>
      </c>
      <c r="BV41" s="875">
        <f t="shared" si="26"/>
        <v>0</v>
      </c>
      <c r="BW41" s="938" t="str">
        <f t="shared" si="16"/>
        <v/>
      </c>
      <c r="BX41" s="875">
        <f>'#orgDung'!T50*-1</f>
        <v>0</v>
      </c>
      <c r="BY41" s="875">
        <f t="shared" si="40"/>
        <v>0</v>
      </c>
      <c r="BZ41" s="938" t="str">
        <f>IF(U41&lt;&gt;"x",0,IF(P41&lt;4,"",(BW41+BX41-'#minDung'!N47)*-1))</f>
        <v/>
      </c>
      <c r="CB41" s="938">
        <f>IF(AND(AF41=70,U41="x"),'Flächen u. Kulturen'!A46,1000)</f>
        <v>1000</v>
      </c>
      <c r="CC41" s="875" t="str">
        <f>IF(AF41=70,VLOOKUP('Flächen u. Kulturen'!L46,Nebenkultur[[Nebenkultur]:[Legum. Zwischenfr.]],'#Zweitfr'!$I$1,FALSE),"--")</f>
        <v>--</v>
      </c>
      <c r="CD41" s="875" t="str">
        <f>IF(AF41=70,VLOOKUP('Flächen u. Kulturen'!L46,Nebenkultur[[Nebenkultur]:[Legum. Zwischenfr.]],'#Zweitfr'!$L$1,FALSE),"--")</f>
        <v>--</v>
      </c>
      <c r="CE41" s="875" t="str">
        <f>IF(AF41=70,VLOOKUP('Flächen u. Kulturen'!L46,Nebenkultur[[Nebenkultur]:[Legum. Zwischenfr.]],'#Zweitfr'!$M$1,FALSE),"--")</f>
        <v>--</v>
      </c>
      <c r="CF41" s="875" t="str">
        <f>IF(AF41=70,VLOOKUP('Flächen u. Kulturen'!L46,Nebenkultur[[Nebenkultur]:[Legum. Zwischenfr.]],'#Zweitfr'!$N$1,FALSE),"--")</f>
        <v>--</v>
      </c>
      <c r="CG41" s="875" t="str">
        <f>IF(AF41=70,VLOOKUP('Flächen u. Kulturen'!L46,Nebenkultur[[Nebenkultur]:[Legum. Zwischenfr.]],'#Zweitfr'!$O$1,FALSE),"--")</f>
        <v>--</v>
      </c>
      <c r="CH41" s="875" t="str">
        <f t="shared" si="41"/>
        <v>--</v>
      </c>
      <c r="CI41" s="938">
        <f>IF('Flächen u. Kulturen'!L46="",0,VLOOKUP('Flächen u. Kulturen'!L46,Nebenkultur[[Nebenkultur]:[Legum. Zwischenfr.]],'#Zweitfr'!$J$1,FALSE))</f>
        <v>0</v>
      </c>
      <c r="CJ41" s="875">
        <f t="shared" si="42"/>
        <v>0</v>
      </c>
      <c r="CK41" s="890">
        <f t="shared" si="43"/>
        <v>0</v>
      </c>
      <c r="CL41" s="938">
        <f>IF(AND(R41=1,AF41=70),'Flächen u. Kulturen'!W46*-1,0)</f>
        <v>0</v>
      </c>
      <c r="CM41" s="875">
        <f>'#orgDung'!AE50*-1</f>
        <v>0</v>
      </c>
      <c r="CN41" s="875">
        <f t="shared" si="27"/>
        <v>0</v>
      </c>
      <c r="CO41" s="875">
        <f t="shared" si="28"/>
        <v>0</v>
      </c>
      <c r="CP41" s="875">
        <f>'#Kürzungen'!AS166*-1</f>
        <v>0</v>
      </c>
      <c r="CQ41" s="875">
        <f t="shared" si="29"/>
        <v>0</v>
      </c>
      <c r="CR41" s="875">
        <f t="shared" si="30"/>
        <v>0</v>
      </c>
      <c r="CS41" s="875">
        <f>'#minDung'!R47</f>
        <v>0</v>
      </c>
      <c r="CT41" s="938">
        <f t="shared" si="18"/>
        <v>0</v>
      </c>
      <c r="CU41" s="52" t="str">
        <f>'#Kürzungen'!AQ166</f>
        <v xml:space="preserve"> </v>
      </c>
      <c r="CW41" s="247">
        <f>IF('Flächen u. Kulturen'!D46="",0,IF(ISNUMBER('Flächen u. Kulturen'!D46)=TRUE,2,1))</f>
        <v>0</v>
      </c>
      <c r="CX41" s="247">
        <f>IF('Flächen u. Kulturen'!E46="",0,COUNTIF('#Boden'!$B$47,'Flächen u. Kulturen'!E46)+1)</f>
        <v>2</v>
      </c>
      <c r="CY41" s="247">
        <f>IF('Flächen u. Kulturen'!F46="",0,COUNTIF('#Boden'!$G$4:$G$8,'Flächen u. Kulturen'!F46)+1)</f>
        <v>2</v>
      </c>
      <c r="CZ41" s="247">
        <f>IF('Flächen u. Kulturen'!G46="",0,COUNTIF('#Boden'!$B$26:$B$29,'Flächen u. Kulturen'!G46)+1)</f>
        <v>2</v>
      </c>
      <c r="DA41" s="247">
        <f>IF('Flächen u. Kulturen'!H46="",0,COUNTIF('#Boden'!$B$26:$B$29,'Flächen u. Kulturen'!H46)+1)</f>
        <v>2</v>
      </c>
      <c r="DB41" s="247">
        <f>IF('Flächen u. Kulturen'!I46="",0,COUNTIF('#Boden'!$B$9:$B$15,'Flächen u. Kulturen'!I46)+1)</f>
        <v>2</v>
      </c>
      <c r="DC41" s="247">
        <f>IF('Flächen u. Kulturen'!J46="",0,COUNTIF(Kulturen[HF],'Flächen u. Kulturen'!J46)+1)</f>
        <v>2</v>
      </c>
      <c r="DD41" s="247">
        <f>IF('Flächen u. Kulturen'!L46="",0,COUNTIF(Nebenkultur[Nebenkultur],'Flächen u. Kulturen'!L46)+1)</f>
        <v>2</v>
      </c>
      <c r="DE41" s="247">
        <f>IF('Flächen u. Kulturen'!M46="",0,COUNTIF('#Boden'!$G$17:$G$21,'Flächen u. Kulturen'!M46)+1)</f>
        <v>2</v>
      </c>
      <c r="DF41" s="247">
        <f>IF('Flächen u. Kulturen'!N46="",0,COUNTIF('#Boden'!$G$22:$G$24,'Flächen u. Kulturen'!N46)+1)</f>
        <v>2</v>
      </c>
      <c r="DG41" s="247">
        <f>IF('Flächen u. Kulturen'!P46="",0,COUNTIF(Kulturen[HF],'Flächen u. Kulturen'!P46)+1)</f>
        <v>2</v>
      </c>
      <c r="DH41" s="247">
        <f>IF('Flächen u. Kulturen'!T46="",0,COUNTIF('#Boden'!$B$30:$B$32,'Flächen u. Kulturen'!T46)+1)</f>
        <v>2</v>
      </c>
      <c r="DI41" s="247">
        <f>IF('Flächen u. Kulturen'!K46="",0,IF(ISNUMBER('Flächen u. Kulturen'!K46)=TRUE,2,1))</f>
        <v>0</v>
      </c>
      <c r="DJ41" s="247">
        <f>IF('Flächen u. Kulturen'!U46="",0,IF(ISNUMBER('Flächen u. Kulturen'!U46)=TRUE,2,1))</f>
        <v>0</v>
      </c>
      <c r="DK41" s="247">
        <f>IF('Flächen u. Kulturen'!V46="",0,IF(ISNUMBER('Flächen u. Kulturen'!V46)=TRUE,2,1))</f>
        <v>0</v>
      </c>
      <c r="DL41" s="247">
        <f>IF('Flächen u. Kulturen'!W46="",0,IF(ISNUMBER('Flächen u. Kulturen'!W46)=TRUE,2,1))</f>
        <v>0</v>
      </c>
      <c r="DM41" s="247">
        <f t="shared" si="31"/>
        <v>0</v>
      </c>
      <c r="DN41" s="247" t="s">
        <v>344</v>
      </c>
      <c r="DO41" s="247">
        <f>IF(U41&lt;&gt;"x","",IF(OR('Flächen u. Kulturen'!B46="",'Flächen u. Kulturen'!C46="",'Flächen u. Kulturen'!D46="",'Flächen u. Kulturen'!D46=0,'Flächen u. Kulturen'!F46="",'Flächen u. Kulturen'!F46='#Boden'!$G$4,'Flächen u. Kulturen'!G46="",'Flächen u. Kulturen'!G46='#Boden'!$B$26,'Flächen u. Kulturen'!H46="",'Flächen u. Kulturen'!H46='#Boden'!$B$23,AND(N41&lt;&gt;2,OR('Flächen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Kulturen'!Q46="",'#BerechnungDBE'!N41&lt;3),AND('Flächen u. Kulturen'!R46="",'#BerechnungDBE'!N41=3),AND(N41=1,AL41&gt;0,'Flächen u. Kulturen'!S46=""),AND(N41=1,OR('Flächen u. Kulturen'!T46="",'Flächen u. Kulturen'!T46='#Boden'!$B$30)),AND('#BerechnungDBE'!AF41=70,OR('Flächen u. Kulturen'!N46="",'Flächen u. Kulturen'!N46='#Boden'!$G$22,'Flächen u. Kulturen'!O46="")),AND('#BerechnungDBE'!AF41=80,OR('Flächen u. Kulturen'!M46="",'Flächen u. Kulturen'!M46='#Boden'!$G$17,'Flächen u. Kulturen'!N46="",'Flächen u. Kulturen'!N46='#Boden'!$G$22))),$DO$4,""))</f>
        <v>1</v>
      </c>
      <c r="DP41" s="247" t="str">
        <f>IF(U41&lt;&gt;"x","",IF(OR(LEFT('Flächen u. Kulturen'!J46,2)=" +",LEFT('Flächen u. Kulturen'!L46,2)=" +",LEFT('Flächen u. Kulturen'!P46,2)=" +"),$DP$4,""))</f>
        <v/>
      </c>
      <c r="DQ41" s="428" t="str">
        <f t="shared" si="44"/>
        <v/>
      </c>
      <c r="DR41" s="938" t="str">
        <f t="shared" si="45"/>
        <v/>
      </c>
      <c r="DS41" s="938" t="str">
        <f>IF('Flächen u. Kulturen'!X46="","",ROW('Flächen u. Kulturen'!X46))</f>
        <v/>
      </c>
    </row>
    <row r="42" spans="1:123" s="875" customFormat="1" x14ac:dyDescent="0.2">
      <c r="A42" s="875" t="str">
        <f>IF('Daten aus 2021'!H44="",'#Boden'!$B$26,IF('Daten aus 2021'!H44='#Boden'!$B$39,IF('Daten aus 2021'!F44='#Boden'!$B$29,'#Boden'!$B$29,IF('Daten aus 2021'!K44='#Boden'!$B$34,'#Boden'!$B$28,'#Boden'!$B$27)),'Daten aus 2021'!F44))</f>
        <v xml:space="preserve"> --</v>
      </c>
      <c r="B42" s="875" t="str">
        <f>IF('Daten aus 2021'!H44='#Boden'!$B$39,IF('Daten aus 2021'!L44='#Boden'!$B$61,'#Boden'!$B$11,'Daten aus 2021'!L44),IF('Daten aus 2021'!P44='#Boden'!$B$58,'#Boden'!$B$11,IF('Daten aus 2021'!P44='#Boden'!$B$57,'#Boden'!$B$10,'#Boden'!$B$9)))</f>
        <v xml:space="preserve"> --         </v>
      </c>
      <c r="C42" s="875" t="str">
        <f>IF('Daten aus 2021'!N44="","",VLOOKUP('Daten aus 2021'!N44,'#Boden'!$B$68:$C$89,2,FALSE))</f>
        <v/>
      </c>
      <c r="D42" s="875" t="str">
        <f>IF('Daten aus 2021'!M44="","",VLOOKUP('Daten aus 2021'!M44,'#Boden'!$D$69:$E$73,2,FALSE))</f>
        <v/>
      </c>
      <c r="E42" s="938" t="str">
        <f>IF(OR(C42='#Boden'!$C$68,C42='#Boden'!$C$70),C42,CONCATENATE(C42,D42))</f>
        <v/>
      </c>
      <c r="F42" s="882" t="str">
        <f>IFERROR(IF('Daten aus 2021'!H44="",'#Frucht'!$D$8,IF('Daten aus 2021'!H44='#Boden'!$B$39,E42,IF('Daten aus 2021'!H44='#Boden'!$B$38,IF(CONCATENATE(" ",'Daten aus 2021'!W44)=$B$2,VLOOKUP($B$3,'#Frucht'!$A$8:$D$372,4,FALSE),VLOOKUP(CONCATENATE(" ",'Daten aus 2021'!W44),'#Frucht'!$A$8:$D$372,4,FALSE)),IF(OR(LEFT('Daten aus 2021'!Q44,5)=" *10 ",LEFT('Daten aus 2021'!Q44,5)=" *11 ",LEFT('Daten aus 2021'!Q44,5)=" *12 ",LEFT('Daten aus 2021'!Q44,5)=" *13 ",LEFT('Daten aus 2021'!Q44,5)=" *14 ",LEFT('Daten aus 2021'!Q44,5)=" *15 "),VLOOKUP(RIGHT('Daten aus 2021'!Q44,LEN('Daten aus 2021'!Q44)-4),'#Frucht'!$A$8:$D$372,4,FALSE),IF(LEFT('Daten aus 2021'!Q44,2)=" *",VLOOKUP(RIGHT('Daten aus 2021'!Q44,LEN('Daten aus 2021'!Q44)-3),'#Frucht'!$A$8:$D$372,4,FALSE),VLOOKUP('Daten aus 2021'!Q44,'#Frucht'!$A$8:$D$372,4,FALSE)))))),'#Frucht'!$D$8)</f>
        <v xml:space="preserve"> --  </v>
      </c>
      <c r="G42" s="127"/>
      <c r="H42" s="31"/>
      <c r="J42" s="938" t="str">
        <f>IF(OR(N42=3,$K$3=0,'Flächen u. Kulturen'!P47=""),"",IF(VLOOKUP('Flächen u. Kulturen'!P47,Kulturen[[HF]:[780]],'#BerechnungDBE'!$K$3,FALSE)=".","",VLOOKUP('Flächen u. Kulturen'!P47,Kulturen[[HF]:[780]],'#BerechnungDBE'!$K$3,FALSE)))</f>
        <v/>
      </c>
      <c r="K42" s="938" t="str">
        <f>IF(OR($K$3=0,'Flächen u. Kulturen'!P47=""),"",IF(N42=3,IF(VLOOKUP('Flächen u. Kulturen'!P47,Kulturen[[HF]:[780]],'#BerechnungDBE'!$K$3,FALSE)=".","",VLOOKUP('Flächen u. Kulturen'!P47,Kulturen[[HF]:[780]],'#BerechnungDBE'!$K$3,FALSE)),""))</f>
        <v/>
      </c>
      <c r="L42" s="367">
        <f>IF('Flächen u. Kulturen'!D47="",0,'Flächen u. Kulturen'!D47)</f>
        <v>0</v>
      </c>
      <c r="M42" s="693">
        <f>IF('Flächen u. Kulturen'!J47="",0,VLOOKUP('Flächen u. Kulturen'!J47,Kulturen[[HF]:[Berechnungsgruppe]],'#Frucht'!$W$1,FALSE))</f>
        <v>1</v>
      </c>
      <c r="N42" s="693">
        <f>IF('Flächen u. Kulturen'!P47="",0,VLOOKUP('Flächen u. Kulturen'!P47,Kulturen[[HF]:[Berechnungsgruppe]],'#Frucht'!$W$1,FALSE))</f>
        <v>1</v>
      </c>
      <c r="O42" s="875">
        <f>IF(N42&lt;&gt;2,N42,IF('Flächen u. Kulturen'!J47='Flächen u. Kulturen'!P47,2,1))</f>
        <v>1</v>
      </c>
      <c r="P42" s="875">
        <f>IF('Flächen u. Kulturen'!F47="",0,VLOOKUP('Flächen u. Kulturen'!F47,'#Boden'!$G$4:$H$8,'#Boden'!$H$1,FALSE))</f>
        <v>1</v>
      </c>
      <c r="Q42" s="875">
        <f>IF('Flächen u. Kulturen'!G47="",0,VLOOKUP('Flächen u. Kulturen'!G47,'#Boden'!$B$26:$C$29,'#Boden'!$C$1,FALSE))</f>
        <v>1</v>
      </c>
      <c r="R42" s="875">
        <f t="shared" si="19"/>
        <v>1</v>
      </c>
      <c r="S42" s="875">
        <f t="shared" si="20"/>
        <v>1</v>
      </c>
      <c r="T42" s="875">
        <f>IF('Flächen u. Kulturen'!H47="",0,VLOOKUP('Flächen u. Kulturen'!H47,'#Boden'!$B$23:$C$25,'#Boden'!$C$1,FALSE))</f>
        <v>2</v>
      </c>
      <c r="U42" s="875" t="str">
        <f>'Flächen u. Kulturen'!E47</f>
        <v>x</v>
      </c>
      <c r="V42" s="938">
        <f>IF('Flächen u. Kulturen'!Q47="",0,_xlfn.NUMBERVALUE('Flächen u. Kulturen'!Q47))</f>
        <v>0</v>
      </c>
      <c r="W42" s="938">
        <f>IF('Flächen u. Kulturen'!R47="",0,_xlfn.NUMBERVALUE('Flächen u. Kulturen'!R47))</f>
        <v>0</v>
      </c>
      <c r="X42" s="875">
        <f>IF('Flächen u. Kulturen'!T47="",0,VLOOKUP('Flächen u. Kulturen'!T47,'#Boden'!$B$30:$C$32,'#Boden'!$C$1,FALSE))</f>
        <v>1</v>
      </c>
      <c r="Y42" s="875">
        <f>IF('Flächen u. Kulturen'!P47="",0,VLOOKUP('Flächen u. Kulturen'!P47,Kulturen[[HF]:[Berechnungsgruppe]],'#Frucht'!$N$1,FALSE))</f>
        <v>0</v>
      </c>
      <c r="Z42" s="875">
        <f t="shared" si="21"/>
        <v>2</v>
      </c>
      <c r="AA42" s="875">
        <f>IF('Flächen u. Kulturen'!P47="",0,VLOOKUP('Flächen u. Kulturen'!P47,Kulturen[[HF]:[Berechnungsgruppe]],'#Frucht'!$V$1,FALSE))</f>
        <v>0</v>
      </c>
      <c r="AB42" s="875">
        <f>IF(N42=1,VLOOKUP('Flächen u. Kulturen'!P47,Kulturen[[HF]:[Ernteprodukt]],'#Frucht'!$I$1,FALSE),4)</f>
        <v>4</v>
      </c>
      <c r="AC42" s="921">
        <f>IF('Flächen u. Kulturen'!J47="",0,VLOOKUP('Flächen u. Kulturen'!J47,Kulturen[[HF]:[Berechnungsgruppe]],'#Frucht'!$G$1,FALSE))</f>
        <v>90</v>
      </c>
      <c r="AD42" s="921">
        <f>IF('Flächen u. Kulturen'!P47="",0,VLOOKUP('Flächen u. Kulturen'!P47,Kulturen[[HF]:[Berechnungsgruppe]],'#Frucht'!$G$1,FALSE))</f>
        <v>90</v>
      </c>
      <c r="AE42" s="938">
        <f>IF('Flächen u. Kulturen'!P47="",0,VLOOKUP('Flächen u. Kulturen'!P47,Kulturen[[HF]:[SollwertMinusNfix]],'#Frucht'!$X$1,FALSE))</f>
        <v>0</v>
      </c>
      <c r="AF42" s="875">
        <f>IF('Flächen u. Kulturen'!L47="",0,VLOOKUP('Flächen u. Kulturen'!L47,Nebenkultur[[Nebenkultur]:[Berechnungsschema]],'#Zweitfr'!$G$1,FALSE))</f>
        <v>0</v>
      </c>
      <c r="AG42" s="875">
        <f>IF('Flächen u. Kulturen'!L47="",0,VLOOKUP('Flächen u. Kulturen'!L47,'#Zweitfr'!$D$8:$Q$27,'#Zweitfr'!$Q$1,FALSE))</f>
        <v>0</v>
      </c>
      <c r="AH42" s="875">
        <f>IF('Flächen u. Kulturen'!M47="",0,VLOOKUP('Flächen u. Kulturen'!M47,'#Boden'!$G$17:$H$21,2,FALSE))</f>
        <v>1</v>
      </c>
      <c r="AI42" s="875">
        <f>IF('Flächen u. Kulturen'!N47="",0,VLOOKUP('Flächen u. Kulturen'!N47,'#Boden'!$G$22:$H$24,'#Boden'!$H$1,FALSE))</f>
        <v>1</v>
      </c>
      <c r="AJ42" s="938">
        <f>IF('Flächen u. Kulturen'!O47="",0,_xlfn.NUMBERVALUE('Flächen u. Kulturen'!O47))</f>
        <v>0</v>
      </c>
      <c r="AK42" s="938">
        <f>IF('Flächen u. Kulturen'!L47="",0,VLOOKUP('Flächen u. Kulturen'!L47,Nebenkultur[[Nebenkultur]:[Legum. Zwischenfr.]],'#Zweitfr'!$P$1,FALSE))</f>
        <v>0</v>
      </c>
      <c r="AL42" s="875">
        <f>IF('Flächen u. Kulturen'!P47="",0,VLOOKUP('Flächen u. Kulturen'!P47,Kulturen[[HF]:[Berechnungsgruppe]],'#Frucht'!$Q$1,FALSE))</f>
        <v>0</v>
      </c>
      <c r="AM42" s="875">
        <f>IF('Flächen u. Kulturen'!P47="",0,VLOOKUP('Flächen u. Kulturen'!P47,Kulturen[[HF]:[Berechnungsgruppe]],'#Frucht'!$M$1,FALSE))</f>
        <v>0</v>
      </c>
      <c r="AN42" s="875">
        <f>IF('Flächen u. Kulturen'!P47="",1,VLOOKUP('Flächen u. Kulturen'!P47,Kulturen[[HF]:[Berechnungsgruppe]],'#Frucht'!$R$1,FALSE))</f>
        <v>10</v>
      </c>
      <c r="AO42" s="875">
        <f>IF('Flächen u. Kulturen'!P47="",0,VLOOKUP('Flächen u. Kulturen'!P47,Kulturen[[HF]:[Berechnungsgruppe]],'#Frucht'!$S$1,FALSE))</f>
        <v>0</v>
      </c>
      <c r="AP42" s="875">
        <f>IF('Flächen u. Kulturen'!P47="",0,VLOOKUP('Flächen u. Kulturen'!P47,Kulturen[[HF]:[Berechnungsgruppe]],'#Frucht'!$T$1,FALSE))</f>
        <v>0</v>
      </c>
      <c r="AQ42" s="938">
        <f t="shared" si="32"/>
        <v>0</v>
      </c>
      <c r="AR42" s="875">
        <f t="shared" si="33"/>
        <v>0</v>
      </c>
      <c r="AS42" s="938">
        <f t="shared" si="34"/>
        <v>0</v>
      </c>
      <c r="AT42" s="875">
        <f>IF(N42=1,'Flächen u. Kulturen'!S47*-1,"--")</f>
        <v>0</v>
      </c>
      <c r="AU42" s="938">
        <f>IF(OR(N42=2,'Flächen u. Kulturen'!I47=""),"--",IF(N42=3,VLOOKUP('Flächen u. Kulturen'!I47,'#Boden'!$B$9:$E$15,'#Boden'!$D$1,FALSE),VLOOKUP('Flächen u. Kulturen'!I47,'#Boden'!$B$9:$E$15,'#Boden'!$E$1,FALSE)))</f>
        <v>0</v>
      </c>
      <c r="AV42" s="938">
        <f>IF(N42=1,IF('Flächen u. Kulturen'!J47="",0,VLOOKUP('Flächen u. Kulturen'!J47,Kulturen[[HF]:[Berechnungsgruppe]],'#Frucht'!$U$1,FALSE)*-1),"--")</f>
        <v>0</v>
      </c>
      <c r="AW42" s="875">
        <f t="shared" si="35"/>
        <v>0</v>
      </c>
      <c r="AX42" s="875">
        <f>IF('Flächen u. Kulturen'!K47="",0,'Flächen u. Kulturen'!K47*-0.1)</f>
        <v>0</v>
      </c>
      <c r="AY42" s="875">
        <f>IF(N42&lt;3,'#orgDung'!AC51*0.1*-1,"--")</f>
        <v>0</v>
      </c>
      <c r="AZ42" s="31" t="str">
        <f>IF(AND('#orgDung'!J51&lt;&gt;2,'#orgDung'!F51=1),('#orgDung'!V51+'#minDung'!O48)*-1,"--")</f>
        <v>--</v>
      </c>
      <c r="BA42" s="875">
        <f t="shared" si="22"/>
        <v>0</v>
      </c>
      <c r="BB42" s="938">
        <f>IF(R42=2,0,'Flächen u. Kulturen'!V47*-1)</f>
        <v>0</v>
      </c>
      <c r="BC42" s="875">
        <f t="shared" si="23"/>
        <v>0</v>
      </c>
      <c r="BD42" s="127">
        <f>'#orgDung'!W51*-1</f>
        <v>0</v>
      </c>
      <c r="BE42" s="910">
        <f>'#orgDung'!AA51*-1</f>
        <v>0</v>
      </c>
      <c r="BF42" s="875">
        <f>'#orgDung'!Z51*-1</f>
        <v>0</v>
      </c>
      <c r="BG42" s="938">
        <f t="shared" si="14"/>
        <v>0</v>
      </c>
      <c r="BH42" s="875">
        <f>'#Kürzungen'!AS66*-1</f>
        <v>0</v>
      </c>
      <c r="BI42" s="875">
        <f t="shared" si="36"/>
        <v>0</v>
      </c>
      <c r="BJ42" s="910">
        <f t="shared" si="37"/>
        <v>0</v>
      </c>
      <c r="BK42" s="875">
        <f>'#minDung'!P48</f>
        <v>0</v>
      </c>
      <c r="BL42" s="938">
        <f t="shared" si="15"/>
        <v>0</v>
      </c>
      <c r="BM42" s="938">
        <f t="shared" si="38"/>
        <v>0</v>
      </c>
      <c r="BN42" s="875">
        <f>IF('Flächen u. Kulturen'!P47="",0,VLOOKUP('Flächen u. Kulturen'!P47,Kulturen[[HF]:[Berechnungsgruppe]],'#Frucht'!$K$1,FALSE))</f>
        <v>0</v>
      </c>
      <c r="BO42" s="875">
        <f>IF('Flächen u. Kulturen'!P47="",0,VLOOKUP('Flächen u. Kulturen'!P47,Kulturen[[HF]:[Berechnungsgruppe]],'#Frucht'!$L$1,FALSE))</f>
        <v>0</v>
      </c>
      <c r="BP42" s="875">
        <f>IF('Flächen u. Kulturen'!L47="",0,VLOOKUP('Flächen u. Kulturen'!L47,Nebenkultur[[Nebenkultur]:[Legum. Zwischenfr.]],'#Zweitfr'!$H$1,FALSE))</f>
        <v>0</v>
      </c>
      <c r="BQ42" s="938">
        <f>IF(N42=3,W42*BO42,IF('Flächen u. Kulturen'!T47='#Boden'!$B$32,V42*BN42,V42*BO42))</f>
        <v>0</v>
      </c>
      <c r="BR42" s="938">
        <f t="shared" si="39"/>
        <v>0</v>
      </c>
      <c r="BS42" s="875">
        <f t="shared" si="24"/>
        <v>0</v>
      </c>
      <c r="BT42" s="875">
        <f>IF('Flächen u. Kulturen'!F47="",0,IF(N42=3,VLOOKUP('Flächen u. Kulturen'!F47,'#Boden'!$G$4:$J$8,'#Boden'!$J$1,FALSE),VLOOKUP('Flächen u. Kulturen'!F47,'#Boden'!$G$4:$J$8,'#Boden'!$I$1,FALSE)))</f>
        <v>0</v>
      </c>
      <c r="BU42" s="41">
        <f t="shared" si="25"/>
        <v>0</v>
      </c>
      <c r="BV42" s="875">
        <f t="shared" si="26"/>
        <v>0</v>
      </c>
      <c r="BW42" s="938" t="str">
        <f t="shared" si="16"/>
        <v/>
      </c>
      <c r="BX42" s="875">
        <f>'#orgDung'!T51*-1</f>
        <v>0</v>
      </c>
      <c r="BY42" s="875">
        <f t="shared" si="40"/>
        <v>0</v>
      </c>
      <c r="BZ42" s="938" t="str">
        <f>IF(U42&lt;&gt;"x",0,IF(P42&lt;4,"",(BW42+BX42-'#minDung'!N48)*-1))</f>
        <v/>
      </c>
      <c r="CB42" s="938">
        <f>IF(AND(AF42=70,U42="x"),'Flächen u. Kulturen'!A47,1000)</f>
        <v>1000</v>
      </c>
      <c r="CC42" s="875" t="str">
        <f>IF(AF42=70,VLOOKUP('Flächen u. Kulturen'!L47,Nebenkultur[[Nebenkultur]:[Legum. Zwischenfr.]],'#Zweitfr'!$I$1,FALSE),"--")</f>
        <v>--</v>
      </c>
      <c r="CD42" s="875" t="str">
        <f>IF(AF42=70,VLOOKUP('Flächen u. Kulturen'!L47,Nebenkultur[[Nebenkultur]:[Legum. Zwischenfr.]],'#Zweitfr'!$L$1,FALSE),"--")</f>
        <v>--</v>
      </c>
      <c r="CE42" s="875" t="str">
        <f>IF(AF42=70,VLOOKUP('Flächen u. Kulturen'!L47,Nebenkultur[[Nebenkultur]:[Legum. Zwischenfr.]],'#Zweitfr'!$M$1,FALSE),"--")</f>
        <v>--</v>
      </c>
      <c r="CF42" s="875" t="str">
        <f>IF(AF42=70,VLOOKUP('Flächen u. Kulturen'!L47,Nebenkultur[[Nebenkultur]:[Legum. Zwischenfr.]],'#Zweitfr'!$N$1,FALSE),"--")</f>
        <v>--</v>
      </c>
      <c r="CG42" s="875" t="str">
        <f>IF(AF42=70,VLOOKUP('Flächen u. Kulturen'!L47,Nebenkultur[[Nebenkultur]:[Legum. Zwischenfr.]],'#Zweitfr'!$O$1,FALSE),"--")</f>
        <v>--</v>
      </c>
      <c r="CH42" s="875" t="str">
        <f t="shared" si="41"/>
        <v>--</v>
      </c>
      <c r="CI42" s="938">
        <f>IF('Flächen u. Kulturen'!L47="",0,VLOOKUP('Flächen u. Kulturen'!L47,Nebenkultur[[Nebenkultur]:[Legum. Zwischenfr.]],'#Zweitfr'!$J$1,FALSE))</f>
        <v>0</v>
      </c>
      <c r="CJ42" s="875">
        <f t="shared" si="42"/>
        <v>0</v>
      </c>
      <c r="CK42" s="890">
        <f t="shared" si="43"/>
        <v>0</v>
      </c>
      <c r="CL42" s="938">
        <f>IF(AND(R42=1,AF42=70),'Flächen u. Kulturen'!W47*-1,0)</f>
        <v>0</v>
      </c>
      <c r="CM42" s="875">
        <f>'#orgDung'!AE51*-1</f>
        <v>0</v>
      </c>
      <c r="CN42" s="875">
        <f t="shared" si="27"/>
        <v>0</v>
      </c>
      <c r="CO42" s="875">
        <f t="shared" si="28"/>
        <v>0</v>
      </c>
      <c r="CP42" s="875">
        <f>'#Kürzungen'!AS167*-1</f>
        <v>0</v>
      </c>
      <c r="CQ42" s="875">
        <f t="shared" si="29"/>
        <v>0</v>
      </c>
      <c r="CR42" s="875">
        <f t="shared" si="30"/>
        <v>0</v>
      </c>
      <c r="CS42" s="875">
        <f>'#minDung'!R48</f>
        <v>0</v>
      </c>
      <c r="CT42" s="938">
        <f t="shared" si="18"/>
        <v>0</v>
      </c>
      <c r="CU42" s="52" t="str">
        <f>'#Kürzungen'!AQ167</f>
        <v xml:space="preserve"> </v>
      </c>
      <c r="CW42" s="247">
        <f>IF('Flächen u. Kulturen'!D47="",0,IF(ISNUMBER('Flächen u. Kulturen'!D47)=TRUE,2,1))</f>
        <v>0</v>
      </c>
      <c r="CX42" s="247">
        <f>IF('Flächen u. Kulturen'!E47="",0,COUNTIF('#Boden'!$B$47,'Flächen u. Kulturen'!E47)+1)</f>
        <v>2</v>
      </c>
      <c r="CY42" s="247">
        <f>IF('Flächen u. Kulturen'!F47="",0,COUNTIF('#Boden'!$G$4:$G$8,'Flächen u. Kulturen'!F47)+1)</f>
        <v>2</v>
      </c>
      <c r="CZ42" s="247">
        <f>IF('Flächen u. Kulturen'!G47="",0,COUNTIF('#Boden'!$B$26:$B$29,'Flächen u. Kulturen'!G47)+1)</f>
        <v>2</v>
      </c>
      <c r="DA42" s="247">
        <f>IF('Flächen u. Kulturen'!H47="",0,COUNTIF('#Boden'!$B$26:$B$29,'Flächen u. Kulturen'!H47)+1)</f>
        <v>2</v>
      </c>
      <c r="DB42" s="247">
        <f>IF('Flächen u. Kulturen'!I47="",0,COUNTIF('#Boden'!$B$9:$B$15,'Flächen u. Kulturen'!I47)+1)</f>
        <v>2</v>
      </c>
      <c r="DC42" s="247">
        <f>IF('Flächen u. Kulturen'!J47="",0,COUNTIF(Kulturen[HF],'Flächen u. Kulturen'!J47)+1)</f>
        <v>2</v>
      </c>
      <c r="DD42" s="247">
        <f>IF('Flächen u. Kulturen'!L47="",0,COUNTIF(Nebenkultur[Nebenkultur],'Flächen u. Kulturen'!L47)+1)</f>
        <v>2</v>
      </c>
      <c r="DE42" s="247">
        <f>IF('Flächen u. Kulturen'!M47="",0,COUNTIF('#Boden'!$G$17:$G$21,'Flächen u. Kulturen'!M47)+1)</f>
        <v>2</v>
      </c>
      <c r="DF42" s="247">
        <f>IF('Flächen u. Kulturen'!N47="",0,COUNTIF('#Boden'!$G$22:$G$24,'Flächen u. Kulturen'!N47)+1)</f>
        <v>2</v>
      </c>
      <c r="DG42" s="247">
        <f>IF('Flächen u. Kulturen'!P47="",0,COUNTIF(Kulturen[HF],'Flächen u. Kulturen'!P47)+1)</f>
        <v>2</v>
      </c>
      <c r="DH42" s="247">
        <f>IF('Flächen u. Kulturen'!T47="",0,COUNTIF('#Boden'!$B$30:$B$32,'Flächen u. Kulturen'!T47)+1)</f>
        <v>2</v>
      </c>
      <c r="DI42" s="247">
        <f>IF('Flächen u. Kulturen'!K47="",0,IF(ISNUMBER('Flächen u. Kulturen'!K47)=TRUE,2,1))</f>
        <v>0</v>
      </c>
      <c r="DJ42" s="247">
        <f>IF('Flächen u. Kulturen'!U47="",0,IF(ISNUMBER('Flächen u. Kulturen'!U47)=TRUE,2,1))</f>
        <v>0</v>
      </c>
      <c r="DK42" s="247">
        <f>IF('Flächen u. Kulturen'!V47="",0,IF(ISNUMBER('Flächen u. Kulturen'!V47)=TRUE,2,1))</f>
        <v>0</v>
      </c>
      <c r="DL42" s="247">
        <f>IF('Flächen u. Kulturen'!W47="",0,IF(ISNUMBER('Flächen u. Kulturen'!W47)=TRUE,2,1))</f>
        <v>0</v>
      </c>
      <c r="DM42" s="247">
        <f t="shared" si="31"/>
        <v>0</v>
      </c>
      <c r="DN42" s="247" t="s">
        <v>344</v>
      </c>
      <c r="DO42" s="247">
        <f>IF(U42&lt;&gt;"x","",IF(OR('Flächen u. Kulturen'!B47="",'Flächen u. Kulturen'!C47="",'Flächen u. Kulturen'!D47="",'Flächen u. Kulturen'!D47=0,'Flächen u. Kulturen'!F47="",'Flächen u. Kulturen'!F47='#Boden'!$G$4,'Flächen u. Kulturen'!G47="",'Flächen u. Kulturen'!G47='#Boden'!$B$26,'Flächen u. Kulturen'!H47="",'Flächen u. Kulturen'!H47='#Boden'!$B$23,AND(N42&lt;&gt;2,OR('Flächen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Kulturen'!Q47="",'#BerechnungDBE'!N42&lt;3),AND('Flächen u. Kulturen'!R47="",'#BerechnungDBE'!N42=3),AND(N42=1,AL42&gt;0,'Flächen u. Kulturen'!S47=""),AND(N42=1,OR('Flächen u. Kulturen'!T47="",'Flächen u. Kulturen'!T47='#Boden'!$B$30)),AND('#BerechnungDBE'!AF42=70,OR('Flächen u. Kulturen'!N47="",'Flächen u. Kulturen'!N47='#Boden'!$G$22,'Flächen u. Kulturen'!O47="")),AND('#BerechnungDBE'!AF42=80,OR('Flächen u. Kulturen'!M47="",'Flächen u. Kulturen'!M47='#Boden'!$G$17,'Flächen u. Kulturen'!N47="",'Flächen u. Kulturen'!N47='#Boden'!$G$22))),$DO$4,""))</f>
        <v>1</v>
      </c>
      <c r="DP42" s="247" t="str">
        <f>IF(U42&lt;&gt;"x","",IF(OR(LEFT('Flächen u. Kulturen'!J47,2)=" +",LEFT('Flächen u. Kulturen'!L47,2)=" +",LEFT('Flächen u. Kulturen'!P47,2)=" +"),$DP$4,""))</f>
        <v/>
      </c>
      <c r="DQ42" s="428" t="str">
        <f t="shared" si="44"/>
        <v/>
      </c>
      <c r="DR42" s="938" t="str">
        <f t="shared" si="45"/>
        <v/>
      </c>
      <c r="DS42" s="938" t="str">
        <f>IF('Flächen u. Kulturen'!X47="","",ROW('Flächen u. Kulturen'!X47))</f>
        <v/>
      </c>
    </row>
    <row r="43" spans="1:123" s="875" customFormat="1" x14ac:dyDescent="0.2">
      <c r="A43" s="875" t="str">
        <f>IF('Daten aus 2021'!H45="",'#Boden'!$B$26,IF('Daten aus 2021'!H45='#Boden'!$B$39,IF('Daten aus 2021'!F45='#Boden'!$B$29,'#Boden'!$B$29,IF('Daten aus 2021'!K45='#Boden'!$B$34,'#Boden'!$B$28,'#Boden'!$B$27)),'Daten aus 2021'!F45))</f>
        <v xml:space="preserve"> --</v>
      </c>
      <c r="B43" s="875" t="str">
        <f>IF('Daten aus 2021'!H45='#Boden'!$B$39,IF('Daten aus 2021'!L45='#Boden'!$B$61,'#Boden'!$B$11,'Daten aus 2021'!L45),IF('Daten aus 2021'!P45='#Boden'!$B$58,'#Boden'!$B$11,IF('Daten aus 2021'!P45='#Boden'!$B$57,'#Boden'!$B$10,'#Boden'!$B$9)))</f>
        <v xml:space="preserve"> --         </v>
      </c>
      <c r="C43" s="875" t="str">
        <f>IF('Daten aus 2021'!N45="","",VLOOKUP('Daten aus 2021'!N45,'#Boden'!$B$68:$C$89,2,FALSE))</f>
        <v/>
      </c>
      <c r="D43" s="875" t="str">
        <f>IF('Daten aus 2021'!M45="","",VLOOKUP('Daten aus 2021'!M45,'#Boden'!$D$69:$E$73,2,FALSE))</f>
        <v/>
      </c>
      <c r="E43" s="938" t="str">
        <f>IF(OR(C43='#Boden'!$C$68,C43='#Boden'!$C$70),C43,CONCATENATE(C43,D43))</f>
        <v/>
      </c>
      <c r="F43" s="882" t="str">
        <f>IFERROR(IF('Daten aus 2021'!H45="",'#Frucht'!$D$8,IF('Daten aus 2021'!H45='#Boden'!$B$39,E43,IF('Daten aus 2021'!H45='#Boden'!$B$38,IF(CONCATENATE(" ",'Daten aus 2021'!W45)=$B$2,VLOOKUP($B$3,'#Frucht'!$A$8:$D$372,4,FALSE),VLOOKUP(CONCATENATE(" ",'Daten aus 2021'!W45),'#Frucht'!$A$8:$D$372,4,FALSE)),IF(OR(LEFT('Daten aus 2021'!Q45,5)=" *10 ",LEFT('Daten aus 2021'!Q45,5)=" *11 ",LEFT('Daten aus 2021'!Q45,5)=" *12 ",LEFT('Daten aus 2021'!Q45,5)=" *13 ",LEFT('Daten aus 2021'!Q45,5)=" *14 ",LEFT('Daten aus 2021'!Q45,5)=" *15 "),VLOOKUP(RIGHT('Daten aus 2021'!Q45,LEN('Daten aus 2021'!Q45)-4),'#Frucht'!$A$8:$D$372,4,FALSE),IF(LEFT('Daten aus 2021'!Q45,2)=" *",VLOOKUP(RIGHT('Daten aus 2021'!Q45,LEN('Daten aus 2021'!Q45)-3),'#Frucht'!$A$8:$D$372,4,FALSE),VLOOKUP('Daten aus 2021'!Q45,'#Frucht'!$A$8:$D$372,4,FALSE)))))),'#Frucht'!$D$8)</f>
        <v xml:space="preserve"> --  </v>
      </c>
      <c r="G43" s="127"/>
      <c r="H43" s="31"/>
      <c r="J43" s="938" t="str">
        <f>IF(OR(N43=3,$K$3=0,'Flächen u. Kulturen'!P48=""),"",IF(VLOOKUP('Flächen u. Kulturen'!P48,Kulturen[[HF]:[780]],'#BerechnungDBE'!$K$3,FALSE)=".","",VLOOKUP('Flächen u. Kulturen'!P48,Kulturen[[HF]:[780]],'#BerechnungDBE'!$K$3,FALSE)))</f>
        <v/>
      </c>
      <c r="K43" s="938" t="str">
        <f>IF(OR($K$3=0,'Flächen u. Kulturen'!P48=""),"",IF(N43=3,IF(VLOOKUP('Flächen u. Kulturen'!P48,Kulturen[[HF]:[780]],'#BerechnungDBE'!$K$3,FALSE)=".","",VLOOKUP('Flächen u. Kulturen'!P48,Kulturen[[HF]:[780]],'#BerechnungDBE'!$K$3,FALSE)),""))</f>
        <v/>
      </c>
      <c r="L43" s="367">
        <f>IF('Flächen u. Kulturen'!D48="",0,'Flächen u. Kulturen'!D48)</f>
        <v>0</v>
      </c>
      <c r="M43" s="693">
        <f>IF('Flächen u. Kulturen'!J48="",0,VLOOKUP('Flächen u. Kulturen'!J48,Kulturen[[HF]:[Berechnungsgruppe]],'#Frucht'!$W$1,FALSE))</f>
        <v>1</v>
      </c>
      <c r="N43" s="693">
        <f>IF('Flächen u. Kulturen'!P48="",0,VLOOKUP('Flächen u. Kulturen'!P48,Kulturen[[HF]:[Berechnungsgruppe]],'#Frucht'!$W$1,FALSE))</f>
        <v>1</v>
      </c>
      <c r="O43" s="875">
        <f>IF(N43&lt;&gt;2,N43,IF('Flächen u. Kulturen'!J48='Flächen u. Kulturen'!P48,2,1))</f>
        <v>1</v>
      </c>
      <c r="P43" s="875">
        <f>IF('Flächen u. Kulturen'!F48="",0,VLOOKUP('Flächen u. Kulturen'!F48,'#Boden'!$G$4:$H$8,'#Boden'!$H$1,FALSE))</f>
        <v>1</v>
      </c>
      <c r="Q43" s="875">
        <f>IF('Flächen u. Kulturen'!G48="",0,VLOOKUP('Flächen u. Kulturen'!G48,'#Boden'!$B$26:$C$29,'#Boden'!$C$1,FALSE))</f>
        <v>1</v>
      </c>
      <c r="R43" s="875">
        <f t="shared" si="19"/>
        <v>1</v>
      </c>
      <c r="S43" s="875">
        <f t="shared" si="20"/>
        <v>1</v>
      </c>
      <c r="T43" s="875">
        <f>IF('Flächen u. Kulturen'!H48="",0,VLOOKUP('Flächen u. Kulturen'!H48,'#Boden'!$B$23:$C$25,'#Boden'!$C$1,FALSE))</f>
        <v>2</v>
      </c>
      <c r="U43" s="875" t="str">
        <f>'Flächen u. Kulturen'!E48</f>
        <v>x</v>
      </c>
      <c r="V43" s="938">
        <f>IF('Flächen u. Kulturen'!Q48="",0,_xlfn.NUMBERVALUE('Flächen u. Kulturen'!Q48))</f>
        <v>0</v>
      </c>
      <c r="W43" s="938">
        <f>IF('Flächen u. Kulturen'!R48="",0,_xlfn.NUMBERVALUE('Flächen u. Kulturen'!R48))</f>
        <v>0</v>
      </c>
      <c r="X43" s="875">
        <f>IF('Flächen u. Kulturen'!T48="",0,VLOOKUP('Flächen u. Kulturen'!T48,'#Boden'!$B$30:$C$32,'#Boden'!$C$1,FALSE))</f>
        <v>1</v>
      </c>
      <c r="Y43" s="875">
        <f>IF('Flächen u. Kulturen'!P48="",0,VLOOKUP('Flächen u. Kulturen'!P48,Kulturen[[HF]:[Berechnungsgruppe]],'#Frucht'!$N$1,FALSE))</f>
        <v>0</v>
      </c>
      <c r="Z43" s="875">
        <f t="shared" si="21"/>
        <v>2</v>
      </c>
      <c r="AA43" s="875">
        <f>IF('Flächen u. Kulturen'!P48="",0,VLOOKUP('Flächen u. Kulturen'!P48,Kulturen[[HF]:[Berechnungsgruppe]],'#Frucht'!$V$1,FALSE))</f>
        <v>0</v>
      </c>
      <c r="AB43" s="875">
        <f>IF(N43=1,VLOOKUP('Flächen u. Kulturen'!P48,Kulturen[[HF]:[Ernteprodukt]],'#Frucht'!$I$1,FALSE),4)</f>
        <v>4</v>
      </c>
      <c r="AC43" s="921">
        <f>IF('Flächen u. Kulturen'!J48="",0,VLOOKUP('Flächen u. Kulturen'!J48,Kulturen[[HF]:[Berechnungsgruppe]],'#Frucht'!$G$1,FALSE))</f>
        <v>90</v>
      </c>
      <c r="AD43" s="921">
        <f>IF('Flächen u. Kulturen'!P48="",0,VLOOKUP('Flächen u. Kulturen'!P48,Kulturen[[HF]:[Berechnungsgruppe]],'#Frucht'!$G$1,FALSE))</f>
        <v>90</v>
      </c>
      <c r="AE43" s="938">
        <f>IF('Flächen u. Kulturen'!P48="",0,VLOOKUP('Flächen u. Kulturen'!P48,Kulturen[[HF]:[SollwertMinusNfix]],'#Frucht'!$X$1,FALSE))</f>
        <v>0</v>
      </c>
      <c r="AF43" s="875">
        <f>IF('Flächen u. Kulturen'!L48="",0,VLOOKUP('Flächen u. Kulturen'!L48,Nebenkultur[[Nebenkultur]:[Berechnungsschema]],'#Zweitfr'!$G$1,FALSE))</f>
        <v>0</v>
      </c>
      <c r="AG43" s="875">
        <f>IF('Flächen u. Kulturen'!L48="",0,VLOOKUP('Flächen u. Kulturen'!L48,'#Zweitfr'!$D$8:$Q$27,'#Zweitfr'!$Q$1,FALSE))</f>
        <v>0</v>
      </c>
      <c r="AH43" s="875">
        <f>IF('Flächen u. Kulturen'!M48="",0,VLOOKUP('Flächen u. Kulturen'!M48,'#Boden'!$G$17:$H$21,2,FALSE))</f>
        <v>1</v>
      </c>
      <c r="AI43" s="875">
        <f>IF('Flächen u. Kulturen'!N48="",0,VLOOKUP('Flächen u. Kulturen'!N48,'#Boden'!$G$22:$H$24,'#Boden'!$H$1,FALSE))</f>
        <v>1</v>
      </c>
      <c r="AJ43" s="938">
        <f>IF('Flächen u. Kulturen'!O48="",0,_xlfn.NUMBERVALUE('Flächen u. Kulturen'!O48))</f>
        <v>0</v>
      </c>
      <c r="AK43" s="938">
        <f>IF('Flächen u. Kulturen'!L48="",0,VLOOKUP('Flächen u. Kulturen'!L48,Nebenkultur[[Nebenkultur]:[Legum. Zwischenfr.]],'#Zweitfr'!$P$1,FALSE))</f>
        <v>0</v>
      </c>
      <c r="AL43" s="875">
        <f>IF('Flächen u. Kulturen'!P48="",0,VLOOKUP('Flächen u. Kulturen'!P48,Kulturen[[HF]:[Berechnungsgruppe]],'#Frucht'!$Q$1,FALSE))</f>
        <v>0</v>
      </c>
      <c r="AM43" s="875">
        <f>IF('Flächen u. Kulturen'!P48="",0,VLOOKUP('Flächen u. Kulturen'!P48,Kulturen[[HF]:[Berechnungsgruppe]],'#Frucht'!$M$1,FALSE))</f>
        <v>0</v>
      </c>
      <c r="AN43" s="875">
        <f>IF('Flächen u. Kulturen'!P48="",1,VLOOKUP('Flächen u. Kulturen'!P48,Kulturen[[HF]:[Berechnungsgruppe]],'#Frucht'!$R$1,FALSE))</f>
        <v>10</v>
      </c>
      <c r="AO43" s="875">
        <f>IF('Flächen u. Kulturen'!P48="",0,VLOOKUP('Flächen u. Kulturen'!P48,Kulturen[[HF]:[Berechnungsgruppe]],'#Frucht'!$S$1,FALSE))</f>
        <v>0</v>
      </c>
      <c r="AP43" s="875">
        <f>IF('Flächen u. Kulturen'!P48="",0,VLOOKUP('Flächen u. Kulturen'!P48,Kulturen[[HF]:[Berechnungsgruppe]],'#Frucht'!$T$1,FALSE))</f>
        <v>0</v>
      </c>
      <c r="AQ43" s="938">
        <f t="shared" si="32"/>
        <v>0</v>
      </c>
      <c r="AR43" s="875">
        <f t="shared" si="33"/>
        <v>0</v>
      </c>
      <c r="AS43" s="938">
        <f t="shared" si="34"/>
        <v>0</v>
      </c>
      <c r="AT43" s="875">
        <f>IF(N43=1,'Flächen u. Kulturen'!S48*-1,"--")</f>
        <v>0</v>
      </c>
      <c r="AU43" s="938">
        <f>IF(OR(N43=2,'Flächen u. Kulturen'!I48=""),"--",IF(N43=3,VLOOKUP('Flächen u. Kulturen'!I48,'#Boden'!$B$9:$E$15,'#Boden'!$D$1,FALSE),VLOOKUP('Flächen u. Kulturen'!I48,'#Boden'!$B$9:$E$15,'#Boden'!$E$1,FALSE)))</f>
        <v>0</v>
      </c>
      <c r="AV43" s="938">
        <f>IF(N43=1,IF('Flächen u. Kulturen'!J48="",0,VLOOKUP('Flächen u. Kulturen'!J48,Kulturen[[HF]:[Berechnungsgruppe]],'#Frucht'!$U$1,FALSE)*-1),"--")</f>
        <v>0</v>
      </c>
      <c r="AW43" s="875">
        <f t="shared" si="35"/>
        <v>0</v>
      </c>
      <c r="AX43" s="875">
        <f>IF('Flächen u. Kulturen'!K48="",0,'Flächen u. Kulturen'!K48*-0.1)</f>
        <v>0</v>
      </c>
      <c r="AY43" s="875">
        <f>IF(N43&lt;3,'#orgDung'!AC52*0.1*-1,"--")</f>
        <v>0</v>
      </c>
      <c r="AZ43" s="31" t="str">
        <f>IF(AND('#orgDung'!J52&lt;&gt;2,'#orgDung'!F52=1),('#orgDung'!V52+'#minDung'!O49)*-1,"--")</f>
        <v>--</v>
      </c>
      <c r="BA43" s="875">
        <f t="shared" si="22"/>
        <v>0</v>
      </c>
      <c r="BB43" s="938">
        <f>IF(R43=2,0,'Flächen u. Kulturen'!V48*-1)</f>
        <v>0</v>
      </c>
      <c r="BC43" s="875">
        <f t="shared" si="23"/>
        <v>0</v>
      </c>
      <c r="BD43" s="127">
        <f>'#orgDung'!W52*-1</f>
        <v>0</v>
      </c>
      <c r="BE43" s="910">
        <f>'#orgDung'!AA52*-1</f>
        <v>0</v>
      </c>
      <c r="BF43" s="875">
        <f>'#orgDung'!Z52*-1</f>
        <v>0</v>
      </c>
      <c r="BG43" s="938">
        <f t="shared" si="14"/>
        <v>0</v>
      </c>
      <c r="BH43" s="875">
        <f>'#Kürzungen'!AS67*-1</f>
        <v>0</v>
      </c>
      <c r="BI43" s="875">
        <f t="shared" si="36"/>
        <v>0</v>
      </c>
      <c r="BJ43" s="910">
        <f t="shared" si="37"/>
        <v>0</v>
      </c>
      <c r="BK43" s="875">
        <f>'#minDung'!P49</f>
        <v>0</v>
      </c>
      <c r="BL43" s="938">
        <f t="shared" si="15"/>
        <v>0</v>
      </c>
      <c r="BM43" s="938">
        <f t="shared" si="38"/>
        <v>0</v>
      </c>
      <c r="BN43" s="875">
        <f>IF('Flächen u. Kulturen'!P48="",0,VLOOKUP('Flächen u. Kulturen'!P48,Kulturen[[HF]:[Berechnungsgruppe]],'#Frucht'!$K$1,FALSE))</f>
        <v>0</v>
      </c>
      <c r="BO43" s="875">
        <f>IF('Flächen u. Kulturen'!P48="",0,VLOOKUP('Flächen u. Kulturen'!P48,Kulturen[[HF]:[Berechnungsgruppe]],'#Frucht'!$L$1,FALSE))</f>
        <v>0</v>
      </c>
      <c r="BP43" s="875">
        <f>IF('Flächen u. Kulturen'!L48="",0,VLOOKUP('Flächen u. Kulturen'!L48,Nebenkultur[[Nebenkultur]:[Legum. Zwischenfr.]],'#Zweitfr'!$H$1,FALSE))</f>
        <v>0</v>
      </c>
      <c r="BQ43" s="938">
        <f>IF(N43=3,W43*BO43,IF('Flächen u. Kulturen'!T48='#Boden'!$B$32,V43*BN43,V43*BO43))</f>
        <v>0</v>
      </c>
      <c r="BR43" s="938">
        <f t="shared" si="39"/>
        <v>0</v>
      </c>
      <c r="BS43" s="875">
        <f t="shared" si="24"/>
        <v>0</v>
      </c>
      <c r="BT43" s="875">
        <f>IF('Flächen u. Kulturen'!F48="",0,IF(N43=3,VLOOKUP('Flächen u. Kulturen'!F48,'#Boden'!$G$4:$J$8,'#Boden'!$J$1,FALSE),VLOOKUP('Flächen u. Kulturen'!F48,'#Boden'!$G$4:$J$8,'#Boden'!$I$1,FALSE)))</f>
        <v>0</v>
      </c>
      <c r="BU43" s="41">
        <f t="shared" si="25"/>
        <v>0</v>
      </c>
      <c r="BV43" s="875">
        <f t="shared" si="26"/>
        <v>0</v>
      </c>
      <c r="BW43" s="938" t="str">
        <f t="shared" si="16"/>
        <v/>
      </c>
      <c r="BX43" s="875">
        <f>'#orgDung'!T52*-1</f>
        <v>0</v>
      </c>
      <c r="BY43" s="875">
        <f t="shared" si="40"/>
        <v>0</v>
      </c>
      <c r="BZ43" s="938" t="str">
        <f>IF(U43&lt;&gt;"x",0,IF(P43&lt;4,"",(BW43+BX43-'#minDung'!N49)*-1))</f>
        <v/>
      </c>
      <c r="CB43" s="938">
        <f>IF(AND(AF43=70,U43="x"),'Flächen u. Kulturen'!A48,1000)</f>
        <v>1000</v>
      </c>
      <c r="CC43" s="875" t="str">
        <f>IF(AF43=70,VLOOKUP('Flächen u. Kulturen'!L48,Nebenkultur[[Nebenkultur]:[Legum. Zwischenfr.]],'#Zweitfr'!$I$1,FALSE),"--")</f>
        <v>--</v>
      </c>
      <c r="CD43" s="875" t="str">
        <f>IF(AF43=70,VLOOKUP('Flächen u. Kulturen'!L48,Nebenkultur[[Nebenkultur]:[Legum. Zwischenfr.]],'#Zweitfr'!$L$1,FALSE),"--")</f>
        <v>--</v>
      </c>
      <c r="CE43" s="875" t="str">
        <f>IF(AF43=70,VLOOKUP('Flächen u. Kulturen'!L48,Nebenkultur[[Nebenkultur]:[Legum. Zwischenfr.]],'#Zweitfr'!$M$1,FALSE),"--")</f>
        <v>--</v>
      </c>
      <c r="CF43" s="875" t="str">
        <f>IF(AF43=70,VLOOKUP('Flächen u. Kulturen'!L48,Nebenkultur[[Nebenkultur]:[Legum. Zwischenfr.]],'#Zweitfr'!$N$1,FALSE),"--")</f>
        <v>--</v>
      </c>
      <c r="CG43" s="875" t="str">
        <f>IF(AF43=70,VLOOKUP('Flächen u. Kulturen'!L48,Nebenkultur[[Nebenkultur]:[Legum. Zwischenfr.]],'#Zweitfr'!$O$1,FALSE),"--")</f>
        <v>--</v>
      </c>
      <c r="CH43" s="875" t="str">
        <f t="shared" si="41"/>
        <v>--</v>
      </c>
      <c r="CI43" s="938">
        <f>IF('Flächen u. Kulturen'!L48="",0,VLOOKUP('Flächen u. Kulturen'!L48,Nebenkultur[[Nebenkultur]:[Legum. Zwischenfr.]],'#Zweitfr'!$J$1,FALSE))</f>
        <v>0</v>
      </c>
      <c r="CJ43" s="875">
        <f t="shared" si="42"/>
        <v>0</v>
      </c>
      <c r="CK43" s="890">
        <f t="shared" si="43"/>
        <v>0</v>
      </c>
      <c r="CL43" s="938">
        <f>IF(AND(R43=1,AF43=70),'Flächen u. Kulturen'!W48*-1,0)</f>
        <v>0</v>
      </c>
      <c r="CM43" s="875">
        <f>'#orgDung'!AE52*-1</f>
        <v>0</v>
      </c>
      <c r="CN43" s="875">
        <f t="shared" si="27"/>
        <v>0</v>
      </c>
      <c r="CO43" s="875">
        <f t="shared" si="28"/>
        <v>0</v>
      </c>
      <c r="CP43" s="875">
        <f>'#Kürzungen'!AS168*-1</f>
        <v>0</v>
      </c>
      <c r="CQ43" s="875">
        <f t="shared" si="29"/>
        <v>0</v>
      </c>
      <c r="CR43" s="875">
        <f t="shared" si="30"/>
        <v>0</v>
      </c>
      <c r="CS43" s="875">
        <f>'#minDung'!R49</f>
        <v>0</v>
      </c>
      <c r="CT43" s="938">
        <f t="shared" si="18"/>
        <v>0</v>
      </c>
      <c r="CU43" s="52" t="str">
        <f>'#Kürzungen'!AQ168</f>
        <v xml:space="preserve"> </v>
      </c>
      <c r="CW43" s="247">
        <f>IF('Flächen u. Kulturen'!D48="",0,IF(ISNUMBER('Flächen u. Kulturen'!D48)=TRUE,2,1))</f>
        <v>0</v>
      </c>
      <c r="CX43" s="247">
        <f>IF('Flächen u. Kulturen'!E48="",0,COUNTIF('#Boden'!$B$47,'Flächen u. Kulturen'!E48)+1)</f>
        <v>2</v>
      </c>
      <c r="CY43" s="247">
        <f>IF('Flächen u. Kulturen'!F48="",0,COUNTIF('#Boden'!$G$4:$G$8,'Flächen u. Kulturen'!F48)+1)</f>
        <v>2</v>
      </c>
      <c r="CZ43" s="247">
        <f>IF('Flächen u. Kulturen'!G48="",0,COUNTIF('#Boden'!$B$26:$B$29,'Flächen u. Kulturen'!G48)+1)</f>
        <v>2</v>
      </c>
      <c r="DA43" s="247">
        <f>IF('Flächen u. Kulturen'!H48="",0,COUNTIF('#Boden'!$B$26:$B$29,'Flächen u. Kulturen'!H48)+1)</f>
        <v>2</v>
      </c>
      <c r="DB43" s="247">
        <f>IF('Flächen u. Kulturen'!I48="",0,COUNTIF('#Boden'!$B$9:$B$15,'Flächen u. Kulturen'!I48)+1)</f>
        <v>2</v>
      </c>
      <c r="DC43" s="247">
        <f>IF('Flächen u. Kulturen'!J48="",0,COUNTIF(Kulturen[HF],'Flächen u. Kulturen'!J48)+1)</f>
        <v>2</v>
      </c>
      <c r="DD43" s="247">
        <f>IF('Flächen u. Kulturen'!L48="",0,COUNTIF(Nebenkultur[Nebenkultur],'Flächen u. Kulturen'!L48)+1)</f>
        <v>2</v>
      </c>
      <c r="DE43" s="247">
        <f>IF('Flächen u. Kulturen'!M48="",0,COUNTIF('#Boden'!$G$17:$G$21,'Flächen u. Kulturen'!M48)+1)</f>
        <v>2</v>
      </c>
      <c r="DF43" s="247">
        <f>IF('Flächen u. Kulturen'!N48="",0,COUNTIF('#Boden'!$G$22:$G$24,'Flächen u. Kulturen'!N48)+1)</f>
        <v>2</v>
      </c>
      <c r="DG43" s="247">
        <f>IF('Flächen u. Kulturen'!P48="",0,COUNTIF(Kulturen[HF],'Flächen u. Kulturen'!P48)+1)</f>
        <v>2</v>
      </c>
      <c r="DH43" s="247">
        <f>IF('Flächen u. Kulturen'!T48="",0,COUNTIF('#Boden'!$B$30:$B$32,'Flächen u. Kulturen'!T48)+1)</f>
        <v>2</v>
      </c>
      <c r="DI43" s="247">
        <f>IF('Flächen u. Kulturen'!K48="",0,IF(ISNUMBER('Flächen u. Kulturen'!K48)=TRUE,2,1))</f>
        <v>0</v>
      </c>
      <c r="DJ43" s="247">
        <f>IF('Flächen u. Kulturen'!U48="",0,IF(ISNUMBER('Flächen u. Kulturen'!U48)=TRUE,2,1))</f>
        <v>0</v>
      </c>
      <c r="DK43" s="247">
        <f>IF('Flächen u. Kulturen'!V48="",0,IF(ISNUMBER('Flächen u. Kulturen'!V48)=TRUE,2,1))</f>
        <v>0</v>
      </c>
      <c r="DL43" s="247">
        <f>IF('Flächen u. Kulturen'!W48="",0,IF(ISNUMBER('Flächen u. Kulturen'!W48)=TRUE,2,1))</f>
        <v>0</v>
      </c>
      <c r="DM43" s="247">
        <f t="shared" si="31"/>
        <v>0</v>
      </c>
      <c r="DN43" s="247" t="s">
        <v>344</v>
      </c>
      <c r="DO43" s="247">
        <f>IF(U43&lt;&gt;"x","",IF(OR('Flächen u. Kulturen'!B48="",'Flächen u. Kulturen'!C48="",'Flächen u. Kulturen'!D48="",'Flächen u. Kulturen'!D48=0,'Flächen u. Kulturen'!F48="",'Flächen u. Kulturen'!F48='#Boden'!$G$4,'Flächen u. Kulturen'!G48="",'Flächen u. Kulturen'!G48='#Boden'!$B$26,'Flächen u. Kulturen'!H48="",'Flächen u. Kulturen'!H48='#Boden'!$B$23,AND(N43&lt;&gt;2,OR('Flächen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Kulturen'!Q48="",'#BerechnungDBE'!N43&lt;3),AND('Flächen u. Kulturen'!R48="",'#BerechnungDBE'!N43=3),AND(N43=1,AL43&gt;0,'Flächen u. Kulturen'!S48=""),AND(N43=1,OR('Flächen u. Kulturen'!T48="",'Flächen u. Kulturen'!T48='#Boden'!$B$30)),AND('#BerechnungDBE'!AF43=70,OR('Flächen u. Kulturen'!N48="",'Flächen u. Kulturen'!N48='#Boden'!$G$22,'Flächen u. Kulturen'!O48="")),AND('#BerechnungDBE'!AF43=80,OR('Flächen u. Kulturen'!M48="",'Flächen u. Kulturen'!M48='#Boden'!$G$17,'Flächen u. Kulturen'!N48="",'Flächen u. Kulturen'!N48='#Boden'!$G$22))),$DO$4,""))</f>
        <v>1</v>
      </c>
      <c r="DP43" s="247" t="str">
        <f>IF(U43&lt;&gt;"x","",IF(OR(LEFT('Flächen u. Kulturen'!J48,2)=" +",LEFT('Flächen u. Kulturen'!L48,2)=" +",LEFT('Flächen u. Kulturen'!P48,2)=" +"),$DP$4,""))</f>
        <v/>
      </c>
      <c r="DQ43" s="428" t="str">
        <f t="shared" si="44"/>
        <v/>
      </c>
      <c r="DR43" s="938" t="str">
        <f t="shared" si="45"/>
        <v/>
      </c>
      <c r="DS43" s="938" t="str">
        <f>IF('Flächen u. Kulturen'!X48="","",ROW('Flächen u. Kulturen'!X48))</f>
        <v/>
      </c>
    </row>
    <row r="44" spans="1:123" s="875" customFormat="1" x14ac:dyDescent="0.2">
      <c r="A44" s="875" t="str">
        <f>IF('Daten aus 2021'!H46="",'#Boden'!$B$26,IF('Daten aus 2021'!H46='#Boden'!$B$39,IF('Daten aus 2021'!F46='#Boden'!$B$29,'#Boden'!$B$29,IF('Daten aus 2021'!K46='#Boden'!$B$34,'#Boden'!$B$28,'#Boden'!$B$27)),'Daten aus 2021'!F46))</f>
        <v xml:space="preserve"> --</v>
      </c>
      <c r="B44" s="875" t="str">
        <f>IF('Daten aus 2021'!H46='#Boden'!$B$39,IF('Daten aus 2021'!L46='#Boden'!$B$61,'#Boden'!$B$11,'Daten aus 2021'!L46),IF('Daten aus 2021'!P46='#Boden'!$B$58,'#Boden'!$B$11,IF('Daten aus 2021'!P46='#Boden'!$B$57,'#Boden'!$B$10,'#Boden'!$B$9)))</f>
        <v xml:space="preserve"> --         </v>
      </c>
      <c r="C44" s="875" t="str">
        <f>IF('Daten aus 2021'!N46="","",VLOOKUP('Daten aus 2021'!N46,'#Boden'!$B$68:$C$89,2,FALSE))</f>
        <v/>
      </c>
      <c r="D44" s="875" t="str">
        <f>IF('Daten aus 2021'!M46="","",VLOOKUP('Daten aus 2021'!M46,'#Boden'!$D$69:$E$73,2,FALSE))</f>
        <v/>
      </c>
      <c r="E44" s="938" t="str">
        <f>IF(OR(C44='#Boden'!$C$68,C44='#Boden'!$C$70),C44,CONCATENATE(C44,D44))</f>
        <v/>
      </c>
      <c r="F44" s="882" t="str">
        <f>IFERROR(IF('Daten aus 2021'!H46="",'#Frucht'!$D$8,IF('Daten aus 2021'!H46='#Boden'!$B$39,E44,IF('Daten aus 2021'!H46='#Boden'!$B$38,IF(CONCATENATE(" ",'Daten aus 2021'!W46)=$B$2,VLOOKUP($B$3,'#Frucht'!$A$8:$D$372,4,FALSE),VLOOKUP(CONCATENATE(" ",'Daten aus 2021'!W46),'#Frucht'!$A$8:$D$372,4,FALSE)),IF(OR(LEFT('Daten aus 2021'!Q46,5)=" *10 ",LEFT('Daten aus 2021'!Q46,5)=" *11 ",LEFT('Daten aus 2021'!Q46,5)=" *12 ",LEFT('Daten aus 2021'!Q46,5)=" *13 ",LEFT('Daten aus 2021'!Q46,5)=" *14 ",LEFT('Daten aus 2021'!Q46,5)=" *15 "),VLOOKUP(RIGHT('Daten aus 2021'!Q46,LEN('Daten aus 2021'!Q46)-4),'#Frucht'!$A$8:$D$372,4,FALSE),IF(LEFT('Daten aus 2021'!Q46,2)=" *",VLOOKUP(RIGHT('Daten aus 2021'!Q46,LEN('Daten aus 2021'!Q46)-3),'#Frucht'!$A$8:$D$372,4,FALSE),VLOOKUP('Daten aus 2021'!Q46,'#Frucht'!$A$8:$D$372,4,FALSE)))))),'#Frucht'!$D$8)</f>
        <v xml:space="preserve"> --  </v>
      </c>
      <c r="G44" s="127"/>
      <c r="H44" s="31"/>
      <c r="J44" s="938" t="str">
        <f>IF(OR(N44=3,$K$3=0,'Flächen u. Kulturen'!P49=""),"",IF(VLOOKUP('Flächen u. Kulturen'!P49,Kulturen[[HF]:[780]],'#BerechnungDBE'!$K$3,FALSE)=".","",VLOOKUP('Flächen u. Kulturen'!P49,Kulturen[[HF]:[780]],'#BerechnungDBE'!$K$3,FALSE)))</f>
        <v/>
      </c>
      <c r="K44" s="938" t="str">
        <f>IF(OR($K$3=0,'Flächen u. Kulturen'!P49=""),"",IF(N44=3,IF(VLOOKUP('Flächen u. Kulturen'!P49,Kulturen[[HF]:[780]],'#BerechnungDBE'!$K$3,FALSE)=".","",VLOOKUP('Flächen u. Kulturen'!P49,Kulturen[[HF]:[780]],'#BerechnungDBE'!$K$3,FALSE)),""))</f>
        <v/>
      </c>
      <c r="L44" s="367">
        <f>IF('Flächen u. Kulturen'!D49="",0,'Flächen u. Kulturen'!D49)</f>
        <v>0</v>
      </c>
      <c r="M44" s="693">
        <f>IF('Flächen u. Kulturen'!J49="",0,VLOOKUP('Flächen u. Kulturen'!J49,Kulturen[[HF]:[Berechnungsgruppe]],'#Frucht'!$W$1,FALSE))</f>
        <v>1</v>
      </c>
      <c r="N44" s="693">
        <f>IF('Flächen u. Kulturen'!P49="",0,VLOOKUP('Flächen u. Kulturen'!P49,Kulturen[[HF]:[Berechnungsgruppe]],'#Frucht'!$W$1,FALSE))</f>
        <v>1</v>
      </c>
      <c r="O44" s="875">
        <f>IF(N44&lt;&gt;2,N44,IF('Flächen u. Kulturen'!J49='Flächen u. Kulturen'!P49,2,1))</f>
        <v>1</v>
      </c>
      <c r="P44" s="875">
        <f>IF('Flächen u. Kulturen'!F49="",0,VLOOKUP('Flächen u. Kulturen'!F49,'#Boden'!$G$4:$H$8,'#Boden'!$H$1,FALSE))</f>
        <v>1</v>
      </c>
      <c r="Q44" s="875">
        <f>IF('Flächen u. Kulturen'!G49="",0,VLOOKUP('Flächen u. Kulturen'!G49,'#Boden'!$B$26:$C$29,'#Boden'!$C$1,FALSE))</f>
        <v>1</v>
      </c>
      <c r="R44" s="875">
        <f t="shared" si="19"/>
        <v>1</v>
      </c>
      <c r="S44" s="875">
        <f t="shared" si="20"/>
        <v>1</v>
      </c>
      <c r="T44" s="875">
        <f>IF('Flächen u. Kulturen'!H49="",0,VLOOKUP('Flächen u. Kulturen'!H49,'#Boden'!$B$23:$C$25,'#Boden'!$C$1,FALSE))</f>
        <v>2</v>
      </c>
      <c r="U44" s="875" t="str">
        <f>'Flächen u. Kulturen'!E49</f>
        <v>x</v>
      </c>
      <c r="V44" s="938">
        <f>IF('Flächen u. Kulturen'!Q49="",0,_xlfn.NUMBERVALUE('Flächen u. Kulturen'!Q49))</f>
        <v>0</v>
      </c>
      <c r="W44" s="938">
        <f>IF('Flächen u. Kulturen'!R49="",0,_xlfn.NUMBERVALUE('Flächen u. Kulturen'!R49))</f>
        <v>0</v>
      </c>
      <c r="X44" s="875">
        <f>IF('Flächen u. Kulturen'!T49="",0,VLOOKUP('Flächen u. Kulturen'!T49,'#Boden'!$B$30:$C$32,'#Boden'!$C$1,FALSE))</f>
        <v>1</v>
      </c>
      <c r="Y44" s="875">
        <f>IF('Flächen u. Kulturen'!P49="",0,VLOOKUP('Flächen u. Kulturen'!P49,Kulturen[[HF]:[Berechnungsgruppe]],'#Frucht'!$N$1,FALSE))</f>
        <v>0</v>
      </c>
      <c r="Z44" s="875">
        <f t="shared" si="21"/>
        <v>2</v>
      </c>
      <c r="AA44" s="875">
        <f>IF('Flächen u. Kulturen'!P49="",0,VLOOKUP('Flächen u. Kulturen'!P49,Kulturen[[HF]:[Berechnungsgruppe]],'#Frucht'!$V$1,FALSE))</f>
        <v>0</v>
      </c>
      <c r="AB44" s="875">
        <f>IF(N44=1,VLOOKUP('Flächen u. Kulturen'!P49,Kulturen[[HF]:[Ernteprodukt]],'#Frucht'!$I$1,FALSE),4)</f>
        <v>4</v>
      </c>
      <c r="AC44" s="921">
        <f>IF('Flächen u. Kulturen'!J49="",0,VLOOKUP('Flächen u. Kulturen'!J49,Kulturen[[HF]:[Berechnungsgruppe]],'#Frucht'!$G$1,FALSE))</f>
        <v>90</v>
      </c>
      <c r="AD44" s="921">
        <f>IF('Flächen u. Kulturen'!P49="",0,VLOOKUP('Flächen u. Kulturen'!P49,Kulturen[[HF]:[Berechnungsgruppe]],'#Frucht'!$G$1,FALSE))</f>
        <v>90</v>
      </c>
      <c r="AE44" s="938">
        <f>IF('Flächen u. Kulturen'!P49="",0,VLOOKUP('Flächen u. Kulturen'!P49,Kulturen[[HF]:[SollwertMinusNfix]],'#Frucht'!$X$1,FALSE))</f>
        <v>0</v>
      </c>
      <c r="AF44" s="875">
        <f>IF('Flächen u. Kulturen'!L49="",0,VLOOKUP('Flächen u. Kulturen'!L49,Nebenkultur[[Nebenkultur]:[Berechnungsschema]],'#Zweitfr'!$G$1,FALSE))</f>
        <v>0</v>
      </c>
      <c r="AG44" s="875">
        <f>IF('Flächen u. Kulturen'!L49="",0,VLOOKUP('Flächen u. Kulturen'!L49,'#Zweitfr'!$D$8:$Q$27,'#Zweitfr'!$Q$1,FALSE))</f>
        <v>0</v>
      </c>
      <c r="AH44" s="875">
        <f>IF('Flächen u. Kulturen'!M49="",0,VLOOKUP('Flächen u. Kulturen'!M49,'#Boden'!$G$17:$H$21,2,FALSE))</f>
        <v>1</v>
      </c>
      <c r="AI44" s="875">
        <f>IF('Flächen u. Kulturen'!N49="",0,VLOOKUP('Flächen u. Kulturen'!N49,'#Boden'!$G$22:$H$24,'#Boden'!$H$1,FALSE))</f>
        <v>1</v>
      </c>
      <c r="AJ44" s="938">
        <f>IF('Flächen u. Kulturen'!O49="",0,_xlfn.NUMBERVALUE('Flächen u. Kulturen'!O49))</f>
        <v>0</v>
      </c>
      <c r="AK44" s="938">
        <f>IF('Flächen u. Kulturen'!L49="",0,VLOOKUP('Flächen u. Kulturen'!L49,Nebenkultur[[Nebenkultur]:[Legum. Zwischenfr.]],'#Zweitfr'!$P$1,FALSE))</f>
        <v>0</v>
      </c>
      <c r="AL44" s="875">
        <f>IF('Flächen u. Kulturen'!P49="",0,VLOOKUP('Flächen u. Kulturen'!P49,Kulturen[[HF]:[Berechnungsgruppe]],'#Frucht'!$Q$1,FALSE))</f>
        <v>0</v>
      </c>
      <c r="AM44" s="875">
        <f>IF('Flächen u. Kulturen'!P49="",0,VLOOKUP('Flächen u. Kulturen'!P49,Kulturen[[HF]:[Berechnungsgruppe]],'#Frucht'!$M$1,FALSE))</f>
        <v>0</v>
      </c>
      <c r="AN44" s="875">
        <f>IF('Flächen u. Kulturen'!P49="",1,VLOOKUP('Flächen u. Kulturen'!P49,Kulturen[[HF]:[Berechnungsgruppe]],'#Frucht'!$R$1,FALSE))</f>
        <v>10</v>
      </c>
      <c r="AO44" s="875">
        <f>IF('Flächen u. Kulturen'!P49="",0,VLOOKUP('Flächen u. Kulturen'!P49,Kulturen[[HF]:[Berechnungsgruppe]],'#Frucht'!$S$1,FALSE))</f>
        <v>0</v>
      </c>
      <c r="AP44" s="875">
        <f>IF('Flächen u. Kulturen'!P49="",0,VLOOKUP('Flächen u. Kulturen'!P49,Kulturen[[HF]:[Berechnungsgruppe]],'#Frucht'!$T$1,FALSE))</f>
        <v>0</v>
      </c>
      <c r="AQ44" s="938">
        <f t="shared" si="32"/>
        <v>0</v>
      </c>
      <c r="AR44" s="875">
        <f t="shared" si="33"/>
        <v>0</v>
      </c>
      <c r="AS44" s="938">
        <f t="shared" si="34"/>
        <v>0</v>
      </c>
      <c r="AT44" s="875">
        <f>IF(N44=1,'Flächen u. Kulturen'!S49*-1,"--")</f>
        <v>0</v>
      </c>
      <c r="AU44" s="938">
        <f>IF(OR(N44=2,'Flächen u. Kulturen'!I49=""),"--",IF(N44=3,VLOOKUP('Flächen u. Kulturen'!I49,'#Boden'!$B$9:$E$15,'#Boden'!$D$1,FALSE),VLOOKUP('Flächen u. Kulturen'!I49,'#Boden'!$B$9:$E$15,'#Boden'!$E$1,FALSE)))</f>
        <v>0</v>
      </c>
      <c r="AV44" s="938">
        <f>IF(N44=1,IF('Flächen u. Kulturen'!J49="",0,VLOOKUP('Flächen u. Kulturen'!J49,Kulturen[[HF]:[Berechnungsgruppe]],'#Frucht'!$U$1,FALSE)*-1),"--")</f>
        <v>0</v>
      </c>
      <c r="AW44" s="875">
        <f t="shared" si="35"/>
        <v>0</v>
      </c>
      <c r="AX44" s="875">
        <f>IF('Flächen u. Kulturen'!K49="",0,'Flächen u. Kulturen'!K49*-0.1)</f>
        <v>0</v>
      </c>
      <c r="AY44" s="875">
        <f>IF(N44&lt;3,'#orgDung'!AC53*0.1*-1,"--")</f>
        <v>0</v>
      </c>
      <c r="AZ44" s="31" t="str">
        <f>IF(AND('#orgDung'!J53&lt;&gt;2,'#orgDung'!F53=1),('#orgDung'!V53+'#minDung'!O50)*-1,"--")</f>
        <v>--</v>
      </c>
      <c r="BA44" s="875">
        <f t="shared" si="22"/>
        <v>0</v>
      </c>
      <c r="BB44" s="938">
        <f>IF(R44=2,0,'Flächen u. Kulturen'!V49*-1)</f>
        <v>0</v>
      </c>
      <c r="BC44" s="875">
        <f t="shared" si="23"/>
        <v>0</v>
      </c>
      <c r="BD44" s="127">
        <f>'#orgDung'!W53*-1</f>
        <v>0</v>
      </c>
      <c r="BE44" s="910">
        <f>'#orgDung'!AA53*-1</f>
        <v>0</v>
      </c>
      <c r="BF44" s="875">
        <f>'#orgDung'!Z53*-1</f>
        <v>0</v>
      </c>
      <c r="BG44" s="938">
        <f t="shared" si="14"/>
        <v>0</v>
      </c>
      <c r="BH44" s="875">
        <f>'#Kürzungen'!AS68*-1</f>
        <v>0</v>
      </c>
      <c r="BI44" s="875">
        <f t="shared" si="36"/>
        <v>0</v>
      </c>
      <c r="BJ44" s="910">
        <f t="shared" si="37"/>
        <v>0</v>
      </c>
      <c r="BK44" s="875">
        <f>'#minDung'!P50</f>
        <v>0</v>
      </c>
      <c r="BL44" s="938">
        <f t="shared" si="15"/>
        <v>0</v>
      </c>
      <c r="BM44" s="938">
        <f t="shared" si="38"/>
        <v>0</v>
      </c>
      <c r="BN44" s="875">
        <f>IF('Flächen u. Kulturen'!P49="",0,VLOOKUP('Flächen u. Kulturen'!P49,Kulturen[[HF]:[Berechnungsgruppe]],'#Frucht'!$K$1,FALSE))</f>
        <v>0</v>
      </c>
      <c r="BO44" s="875">
        <f>IF('Flächen u. Kulturen'!P49="",0,VLOOKUP('Flächen u. Kulturen'!P49,Kulturen[[HF]:[Berechnungsgruppe]],'#Frucht'!$L$1,FALSE))</f>
        <v>0</v>
      </c>
      <c r="BP44" s="875">
        <f>IF('Flächen u. Kulturen'!L49="",0,VLOOKUP('Flächen u. Kulturen'!L49,Nebenkultur[[Nebenkultur]:[Legum. Zwischenfr.]],'#Zweitfr'!$H$1,FALSE))</f>
        <v>0</v>
      </c>
      <c r="BQ44" s="938">
        <f>IF(N44=3,W44*BO44,IF('Flächen u. Kulturen'!T49='#Boden'!$B$32,V44*BN44,V44*BO44))</f>
        <v>0</v>
      </c>
      <c r="BR44" s="938">
        <f t="shared" si="39"/>
        <v>0</v>
      </c>
      <c r="BS44" s="875">
        <f t="shared" si="24"/>
        <v>0</v>
      </c>
      <c r="BT44" s="875">
        <f>IF('Flächen u. Kulturen'!F49="",0,IF(N44=3,VLOOKUP('Flächen u. Kulturen'!F49,'#Boden'!$G$4:$J$8,'#Boden'!$J$1,FALSE),VLOOKUP('Flächen u. Kulturen'!F49,'#Boden'!$G$4:$J$8,'#Boden'!$I$1,FALSE)))</f>
        <v>0</v>
      </c>
      <c r="BU44" s="41">
        <f t="shared" si="25"/>
        <v>0</v>
      </c>
      <c r="BV44" s="875">
        <f t="shared" si="26"/>
        <v>0</v>
      </c>
      <c r="BW44" s="938" t="str">
        <f t="shared" si="16"/>
        <v/>
      </c>
      <c r="BX44" s="875">
        <f>'#orgDung'!T53*-1</f>
        <v>0</v>
      </c>
      <c r="BY44" s="875">
        <f t="shared" si="40"/>
        <v>0</v>
      </c>
      <c r="BZ44" s="938" t="str">
        <f>IF(U44&lt;&gt;"x",0,IF(P44&lt;4,"",(BW44+BX44-'#minDung'!N50)*-1))</f>
        <v/>
      </c>
      <c r="CB44" s="938">
        <f>IF(AND(AF44=70,U44="x"),'Flächen u. Kulturen'!A49,1000)</f>
        <v>1000</v>
      </c>
      <c r="CC44" s="875" t="str">
        <f>IF(AF44=70,VLOOKUP('Flächen u. Kulturen'!L49,Nebenkultur[[Nebenkultur]:[Legum. Zwischenfr.]],'#Zweitfr'!$I$1,FALSE),"--")</f>
        <v>--</v>
      </c>
      <c r="CD44" s="875" t="str">
        <f>IF(AF44=70,VLOOKUP('Flächen u. Kulturen'!L49,Nebenkultur[[Nebenkultur]:[Legum. Zwischenfr.]],'#Zweitfr'!$L$1,FALSE),"--")</f>
        <v>--</v>
      </c>
      <c r="CE44" s="875" t="str">
        <f>IF(AF44=70,VLOOKUP('Flächen u. Kulturen'!L49,Nebenkultur[[Nebenkultur]:[Legum. Zwischenfr.]],'#Zweitfr'!$M$1,FALSE),"--")</f>
        <v>--</v>
      </c>
      <c r="CF44" s="875" t="str">
        <f>IF(AF44=70,VLOOKUP('Flächen u. Kulturen'!L49,Nebenkultur[[Nebenkultur]:[Legum. Zwischenfr.]],'#Zweitfr'!$N$1,FALSE),"--")</f>
        <v>--</v>
      </c>
      <c r="CG44" s="875" t="str">
        <f>IF(AF44=70,VLOOKUP('Flächen u. Kulturen'!L49,Nebenkultur[[Nebenkultur]:[Legum. Zwischenfr.]],'#Zweitfr'!$O$1,FALSE),"--")</f>
        <v>--</v>
      </c>
      <c r="CH44" s="875" t="str">
        <f t="shared" si="41"/>
        <v>--</v>
      </c>
      <c r="CI44" s="938">
        <f>IF('Flächen u. Kulturen'!L49="",0,VLOOKUP('Flächen u. Kulturen'!L49,Nebenkultur[[Nebenkultur]:[Legum. Zwischenfr.]],'#Zweitfr'!$J$1,FALSE))</f>
        <v>0</v>
      </c>
      <c r="CJ44" s="875">
        <f t="shared" si="42"/>
        <v>0</v>
      </c>
      <c r="CK44" s="890">
        <f t="shared" si="43"/>
        <v>0</v>
      </c>
      <c r="CL44" s="938">
        <f>IF(AND(R44=1,AF44=70),'Flächen u. Kulturen'!W49*-1,0)</f>
        <v>0</v>
      </c>
      <c r="CM44" s="875">
        <f>'#orgDung'!AE53*-1</f>
        <v>0</v>
      </c>
      <c r="CN44" s="875">
        <f t="shared" si="27"/>
        <v>0</v>
      </c>
      <c r="CO44" s="875">
        <f t="shared" si="28"/>
        <v>0</v>
      </c>
      <c r="CP44" s="875">
        <f>'#Kürzungen'!AS169*-1</f>
        <v>0</v>
      </c>
      <c r="CQ44" s="875">
        <f t="shared" si="29"/>
        <v>0</v>
      </c>
      <c r="CR44" s="875">
        <f t="shared" si="30"/>
        <v>0</v>
      </c>
      <c r="CS44" s="875">
        <f>'#minDung'!R50</f>
        <v>0</v>
      </c>
      <c r="CT44" s="938">
        <f t="shared" si="18"/>
        <v>0</v>
      </c>
      <c r="CU44" s="52" t="str">
        <f>'#Kürzungen'!AQ169</f>
        <v xml:space="preserve"> </v>
      </c>
      <c r="CW44" s="247">
        <f>IF('Flächen u. Kulturen'!D49="",0,IF(ISNUMBER('Flächen u. Kulturen'!D49)=TRUE,2,1))</f>
        <v>0</v>
      </c>
      <c r="CX44" s="247">
        <f>IF('Flächen u. Kulturen'!E49="",0,COUNTIF('#Boden'!$B$47,'Flächen u. Kulturen'!E49)+1)</f>
        <v>2</v>
      </c>
      <c r="CY44" s="247">
        <f>IF('Flächen u. Kulturen'!F49="",0,COUNTIF('#Boden'!$G$4:$G$8,'Flächen u. Kulturen'!F49)+1)</f>
        <v>2</v>
      </c>
      <c r="CZ44" s="247">
        <f>IF('Flächen u. Kulturen'!G49="",0,COUNTIF('#Boden'!$B$26:$B$29,'Flächen u. Kulturen'!G49)+1)</f>
        <v>2</v>
      </c>
      <c r="DA44" s="247">
        <f>IF('Flächen u. Kulturen'!H49="",0,COUNTIF('#Boden'!$B$26:$B$29,'Flächen u. Kulturen'!H49)+1)</f>
        <v>2</v>
      </c>
      <c r="DB44" s="247">
        <f>IF('Flächen u. Kulturen'!I49="",0,COUNTIF('#Boden'!$B$9:$B$15,'Flächen u. Kulturen'!I49)+1)</f>
        <v>2</v>
      </c>
      <c r="DC44" s="247">
        <f>IF('Flächen u. Kulturen'!J49="",0,COUNTIF(Kulturen[HF],'Flächen u. Kulturen'!J49)+1)</f>
        <v>2</v>
      </c>
      <c r="DD44" s="247">
        <f>IF('Flächen u. Kulturen'!L49="",0,COUNTIF(Nebenkultur[Nebenkultur],'Flächen u. Kulturen'!L49)+1)</f>
        <v>2</v>
      </c>
      <c r="DE44" s="247">
        <f>IF('Flächen u. Kulturen'!M49="",0,COUNTIF('#Boden'!$G$17:$G$21,'Flächen u. Kulturen'!M49)+1)</f>
        <v>2</v>
      </c>
      <c r="DF44" s="247">
        <f>IF('Flächen u. Kulturen'!N49="",0,COUNTIF('#Boden'!$G$22:$G$24,'Flächen u. Kulturen'!N49)+1)</f>
        <v>2</v>
      </c>
      <c r="DG44" s="247">
        <f>IF('Flächen u. Kulturen'!P49="",0,COUNTIF(Kulturen[HF],'Flächen u. Kulturen'!P49)+1)</f>
        <v>2</v>
      </c>
      <c r="DH44" s="247">
        <f>IF('Flächen u. Kulturen'!T49="",0,COUNTIF('#Boden'!$B$30:$B$32,'Flächen u. Kulturen'!T49)+1)</f>
        <v>2</v>
      </c>
      <c r="DI44" s="247">
        <f>IF('Flächen u. Kulturen'!K49="",0,IF(ISNUMBER('Flächen u. Kulturen'!K49)=TRUE,2,1))</f>
        <v>0</v>
      </c>
      <c r="DJ44" s="247">
        <f>IF('Flächen u. Kulturen'!U49="",0,IF(ISNUMBER('Flächen u. Kulturen'!U49)=TRUE,2,1))</f>
        <v>0</v>
      </c>
      <c r="DK44" s="247">
        <f>IF('Flächen u. Kulturen'!V49="",0,IF(ISNUMBER('Flächen u. Kulturen'!V49)=TRUE,2,1))</f>
        <v>0</v>
      </c>
      <c r="DL44" s="247">
        <f>IF('Flächen u. Kulturen'!W49="",0,IF(ISNUMBER('Flächen u. Kulturen'!W49)=TRUE,2,1))</f>
        <v>0</v>
      </c>
      <c r="DM44" s="247">
        <f t="shared" si="31"/>
        <v>0</v>
      </c>
      <c r="DN44" s="247" t="s">
        <v>344</v>
      </c>
      <c r="DO44" s="247">
        <f>IF(U44&lt;&gt;"x","",IF(OR('Flächen u. Kulturen'!B49="",'Flächen u. Kulturen'!C49="",'Flächen u. Kulturen'!D49="",'Flächen u. Kulturen'!D49=0,'Flächen u. Kulturen'!F49="",'Flächen u. Kulturen'!F49='#Boden'!$G$4,'Flächen u. Kulturen'!G49="",'Flächen u. Kulturen'!G49='#Boden'!$B$26,'Flächen u. Kulturen'!H49="",'Flächen u. Kulturen'!H49='#Boden'!$B$23,AND(N44&lt;&gt;2,OR('Flächen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Kulturen'!Q49="",'#BerechnungDBE'!N44&lt;3),AND('Flächen u. Kulturen'!R49="",'#BerechnungDBE'!N44=3),AND(N44=1,AL44&gt;0,'Flächen u. Kulturen'!S49=""),AND(N44=1,OR('Flächen u. Kulturen'!T49="",'Flächen u. Kulturen'!T49='#Boden'!$B$30)),AND('#BerechnungDBE'!AF44=70,OR('Flächen u. Kulturen'!N49="",'Flächen u. Kulturen'!N49='#Boden'!$G$22,'Flächen u. Kulturen'!O49="")),AND('#BerechnungDBE'!AF44=80,OR('Flächen u. Kulturen'!M49="",'Flächen u. Kulturen'!M49='#Boden'!$G$17,'Flächen u. Kulturen'!N49="",'Flächen u. Kulturen'!N49='#Boden'!$G$22))),$DO$4,""))</f>
        <v>1</v>
      </c>
      <c r="DP44" s="247" t="str">
        <f>IF(U44&lt;&gt;"x","",IF(OR(LEFT('Flächen u. Kulturen'!J49,2)=" +",LEFT('Flächen u. Kulturen'!L49,2)=" +",LEFT('Flächen u. Kulturen'!P49,2)=" +"),$DP$4,""))</f>
        <v/>
      </c>
      <c r="DQ44" s="428" t="str">
        <f t="shared" si="44"/>
        <v/>
      </c>
      <c r="DR44" s="938" t="str">
        <f t="shared" si="45"/>
        <v/>
      </c>
      <c r="DS44" s="938" t="str">
        <f>IF('Flächen u. Kulturen'!X49="","",ROW('Flächen u. Kulturen'!X49))</f>
        <v/>
      </c>
    </row>
    <row r="45" spans="1:123" s="875" customFormat="1" x14ac:dyDescent="0.2">
      <c r="A45" s="875" t="str">
        <f>IF('Daten aus 2021'!H47="",'#Boden'!$B$26,IF('Daten aus 2021'!H47='#Boden'!$B$39,IF('Daten aus 2021'!F47='#Boden'!$B$29,'#Boden'!$B$29,IF('Daten aus 2021'!K47='#Boden'!$B$34,'#Boden'!$B$28,'#Boden'!$B$27)),'Daten aus 2021'!F47))</f>
        <v xml:space="preserve"> --</v>
      </c>
      <c r="B45" s="875" t="str">
        <f>IF('Daten aus 2021'!H47='#Boden'!$B$39,IF('Daten aus 2021'!L47='#Boden'!$B$61,'#Boden'!$B$11,'Daten aus 2021'!L47),IF('Daten aus 2021'!P47='#Boden'!$B$58,'#Boden'!$B$11,IF('Daten aus 2021'!P47='#Boden'!$B$57,'#Boden'!$B$10,'#Boden'!$B$9)))</f>
        <v xml:space="preserve"> --         </v>
      </c>
      <c r="C45" s="875" t="str">
        <f>IF('Daten aus 2021'!N47="","",VLOOKUP('Daten aus 2021'!N47,'#Boden'!$B$68:$C$89,2,FALSE))</f>
        <v/>
      </c>
      <c r="D45" s="875" t="str">
        <f>IF('Daten aus 2021'!M47="","",VLOOKUP('Daten aus 2021'!M47,'#Boden'!$D$69:$E$73,2,FALSE))</f>
        <v/>
      </c>
      <c r="E45" s="938" t="str">
        <f>IF(OR(C45='#Boden'!$C$68,C45='#Boden'!$C$70),C45,CONCATENATE(C45,D45))</f>
        <v/>
      </c>
      <c r="F45" s="882" t="str">
        <f>IFERROR(IF('Daten aus 2021'!H47="",'#Frucht'!$D$8,IF('Daten aus 2021'!H47='#Boden'!$B$39,E45,IF('Daten aus 2021'!H47='#Boden'!$B$38,IF(CONCATENATE(" ",'Daten aus 2021'!W47)=$B$2,VLOOKUP($B$3,'#Frucht'!$A$8:$D$372,4,FALSE),VLOOKUP(CONCATENATE(" ",'Daten aus 2021'!W47),'#Frucht'!$A$8:$D$372,4,FALSE)),IF(OR(LEFT('Daten aus 2021'!Q47,5)=" *10 ",LEFT('Daten aus 2021'!Q47,5)=" *11 ",LEFT('Daten aus 2021'!Q47,5)=" *12 ",LEFT('Daten aus 2021'!Q47,5)=" *13 ",LEFT('Daten aus 2021'!Q47,5)=" *14 ",LEFT('Daten aus 2021'!Q47,5)=" *15 "),VLOOKUP(RIGHT('Daten aus 2021'!Q47,LEN('Daten aus 2021'!Q47)-4),'#Frucht'!$A$8:$D$372,4,FALSE),IF(LEFT('Daten aus 2021'!Q47,2)=" *",VLOOKUP(RIGHT('Daten aus 2021'!Q47,LEN('Daten aus 2021'!Q47)-3),'#Frucht'!$A$8:$D$372,4,FALSE),VLOOKUP('Daten aus 2021'!Q47,'#Frucht'!$A$8:$D$372,4,FALSE)))))),'#Frucht'!$D$8)</f>
        <v xml:space="preserve"> --  </v>
      </c>
      <c r="G45" s="127"/>
      <c r="H45" s="31"/>
      <c r="J45" s="938" t="str">
        <f>IF(OR(N45=3,$K$3=0,'Flächen u. Kulturen'!P50=""),"",IF(VLOOKUP('Flächen u. Kulturen'!P50,Kulturen[[HF]:[780]],'#BerechnungDBE'!$K$3,FALSE)=".","",VLOOKUP('Flächen u. Kulturen'!P50,Kulturen[[HF]:[780]],'#BerechnungDBE'!$K$3,FALSE)))</f>
        <v/>
      </c>
      <c r="K45" s="938" t="str">
        <f>IF(OR($K$3=0,'Flächen u. Kulturen'!P50=""),"",IF(N45=3,IF(VLOOKUP('Flächen u. Kulturen'!P50,Kulturen[[HF]:[780]],'#BerechnungDBE'!$K$3,FALSE)=".","",VLOOKUP('Flächen u. Kulturen'!P50,Kulturen[[HF]:[780]],'#BerechnungDBE'!$K$3,FALSE)),""))</f>
        <v/>
      </c>
      <c r="L45" s="367">
        <f>IF('Flächen u. Kulturen'!D50="",0,'Flächen u. Kulturen'!D50)</f>
        <v>0</v>
      </c>
      <c r="M45" s="693">
        <f>IF('Flächen u. Kulturen'!J50="",0,VLOOKUP('Flächen u. Kulturen'!J50,Kulturen[[HF]:[Berechnungsgruppe]],'#Frucht'!$W$1,FALSE))</f>
        <v>1</v>
      </c>
      <c r="N45" s="693">
        <f>IF('Flächen u. Kulturen'!P50="",0,VLOOKUP('Flächen u. Kulturen'!P50,Kulturen[[HF]:[Berechnungsgruppe]],'#Frucht'!$W$1,FALSE))</f>
        <v>1</v>
      </c>
      <c r="O45" s="875">
        <f>IF(N45&lt;&gt;2,N45,IF('Flächen u. Kulturen'!J50='Flächen u. Kulturen'!P50,2,1))</f>
        <v>1</v>
      </c>
      <c r="P45" s="875">
        <f>IF('Flächen u. Kulturen'!F50="",0,VLOOKUP('Flächen u. Kulturen'!F50,'#Boden'!$G$4:$H$8,'#Boden'!$H$1,FALSE))</f>
        <v>1</v>
      </c>
      <c r="Q45" s="875">
        <f>IF('Flächen u. Kulturen'!G50="",0,VLOOKUP('Flächen u. Kulturen'!G50,'#Boden'!$B$26:$C$29,'#Boden'!$C$1,FALSE))</f>
        <v>1</v>
      </c>
      <c r="R45" s="875">
        <f t="shared" si="19"/>
        <v>1</v>
      </c>
      <c r="S45" s="875">
        <f t="shared" si="20"/>
        <v>1</v>
      </c>
      <c r="T45" s="875">
        <f>IF('Flächen u. Kulturen'!H50="",0,VLOOKUP('Flächen u. Kulturen'!H50,'#Boden'!$B$23:$C$25,'#Boden'!$C$1,FALSE))</f>
        <v>2</v>
      </c>
      <c r="U45" s="875" t="str">
        <f>'Flächen u. Kulturen'!E50</f>
        <v>x</v>
      </c>
      <c r="V45" s="938">
        <f>IF('Flächen u. Kulturen'!Q50="",0,_xlfn.NUMBERVALUE('Flächen u. Kulturen'!Q50))</f>
        <v>0</v>
      </c>
      <c r="W45" s="938">
        <f>IF('Flächen u. Kulturen'!R50="",0,_xlfn.NUMBERVALUE('Flächen u. Kulturen'!R50))</f>
        <v>0</v>
      </c>
      <c r="X45" s="875">
        <f>IF('Flächen u. Kulturen'!T50="",0,VLOOKUP('Flächen u. Kulturen'!T50,'#Boden'!$B$30:$C$32,'#Boden'!$C$1,FALSE))</f>
        <v>1</v>
      </c>
      <c r="Y45" s="875">
        <f>IF('Flächen u. Kulturen'!P50="",0,VLOOKUP('Flächen u. Kulturen'!P50,Kulturen[[HF]:[Berechnungsgruppe]],'#Frucht'!$N$1,FALSE))</f>
        <v>0</v>
      </c>
      <c r="Z45" s="875">
        <f t="shared" si="21"/>
        <v>2</v>
      </c>
      <c r="AA45" s="875">
        <f>IF('Flächen u. Kulturen'!P50="",0,VLOOKUP('Flächen u. Kulturen'!P50,Kulturen[[HF]:[Berechnungsgruppe]],'#Frucht'!$V$1,FALSE))</f>
        <v>0</v>
      </c>
      <c r="AB45" s="875">
        <f>IF(N45=1,VLOOKUP('Flächen u. Kulturen'!P50,Kulturen[[HF]:[Ernteprodukt]],'#Frucht'!$I$1,FALSE),4)</f>
        <v>4</v>
      </c>
      <c r="AC45" s="921">
        <f>IF('Flächen u. Kulturen'!J50="",0,VLOOKUP('Flächen u. Kulturen'!J50,Kulturen[[HF]:[Berechnungsgruppe]],'#Frucht'!$G$1,FALSE))</f>
        <v>90</v>
      </c>
      <c r="AD45" s="921">
        <f>IF('Flächen u. Kulturen'!P50="",0,VLOOKUP('Flächen u. Kulturen'!P50,Kulturen[[HF]:[Berechnungsgruppe]],'#Frucht'!$G$1,FALSE))</f>
        <v>90</v>
      </c>
      <c r="AE45" s="938">
        <f>IF('Flächen u. Kulturen'!P50="",0,VLOOKUP('Flächen u. Kulturen'!P50,Kulturen[[HF]:[SollwertMinusNfix]],'#Frucht'!$X$1,FALSE))</f>
        <v>0</v>
      </c>
      <c r="AF45" s="875">
        <f>IF('Flächen u. Kulturen'!L50="",0,VLOOKUP('Flächen u. Kulturen'!L50,Nebenkultur[[Nebenkultur]:[Berechnungsschema]],'#Zweitfr'!$G$1,FALSE))</f>
        <v>0</v>
      </c>
      <c r="AG45" s="875">
        <f>IF('Flächen u. Kulturen'!L50="",0,VLOOKUP('Flächen u. Kulturen'!L50,'#Zweitfr'!$D$8:$Q$27,'#Zweitfr'!$Q$1,FALSE))</f>
        <v>0</v>
      </c>
      <c r="AH45" s="875">
        <f>IF('Flächen u. Kulturen'!M50="",0,VLOOKUP('Flächen u. Kulturen'!M50,'#Boden'!$G$17:$H$21,2,FALSE))</f>
        <v>1</v>
      </c>
      <c r="AI45" s="875">
        <f>IF('Flächen u. Kulturen'!N50="",0,VLOOKUP('Flächen u. Kulturen'!N50,'#Boden'!$G$22:$H$24,'#Boden'!$H$1,FALSE))</f>
        <v>1</v>
      </c>
      <c r="AJ45" s="938">
        <f>IF('Flächen u. Kulturen'!O50="",0,_xlfn.NUMBERVALUE('Flächen u. Kulturen'!O50))</f>
        <v>0</v>
      </c>
      <c r="AK45" s="938">
        <f>IF('Flächen u. Kulturen'!L50="",0,VLOOKUP('Flächen u. Kulturen'!L50,Nebenkultur[[Nebenkultur]:[Legum. Zwischenfr.]],'#Zweitfr'!$P$1,FALSE))</f>
        <v>0</v>
      </c>
      <c r="AL45" s="875">
        <f>IF('Flächen u. Kulturen'!P50="",0,VLOOKUP('Flächen u. Kulturen'!P50,Kulturen[[HF]:[Berechnungsgruppe]],'#Frucht'!$Q$1,FALSE))</f>
        <v>0</v>
      </c>
      <c r="AM45" s="875">
        <f>IF('Flächen u. Kulturen'!P50="",0,VLOOKUP('Flächen u. Kulturen'!P50,Kulturen[[HF]:[Berechnungsgruppe]],'#Frucht'!$M$1,FALSE))</f>
        <v>0</v>
      </c>
      <c r="AN45" s="875">
        <f>IF('Flächen u. Kulturen'!P50="",1,VLOOKUP('Flächen u. Kulturen'!P50,Kulturen[[HF]:[Berechnungsgruppe]],'#Frucht'!$R$1,FALSE))</f>
        <v>10</v>
      </c>
      <c r="AO45" s="875">
        <f>IF('Flächen u. Kulturen'!P50="",0,VLOOKUP('Flächen u. Kulturen'!P50,Kulturen[[HF]:[Berechnungsgruppe]],'#Frucht'!$S$1,FALSE))</f>
        <v>0</v>
      </c>
      <c r="AP45" s="875">
        <f>IF('Flächen u. Kulturen'!P50="",0,VLOOKUP('Flächen u. Kulturen'!P50,Kulturen[[HF]:[Berechnungsgruppe]],'#Frucht'!$T$1,FALSE))</f>
        <v>0</v>
      </c>
      <c r="AQ45" s="938">
        <f t="shared" si="32"/>
        <v>0</v>
      </c>
      <c r="AR45" s="875">
        <f t="shared" si="33"/>
        <v>0</v>
      </c>
      <c r="AS45" s="938">
        <f t="shared" si="34"/>
        <v>0</v>
      </c>
      <c r="AT45" s="875">
        <f>IF(N45=1,'Flächen u. Kulturen'!S50*-1,"--")</f>
        <v>0</v>
      </c>
      <c r="AU45" s="938">
        <f>IF(OR(N45=2,'Flächen u. Kulturen'!I50=""),"--",IF(N45=3,VLOOKUP('Flächen u. Kulturen'!I50,'#Boden'!$B$9:$E$15,'#Boden'!$D$1,FALSE),VLOOKUP('Flächen u. Kulturen'!I50,'#Boden'!$B$9:$E$15,'#Boden'!$E$1,FALSE)))</f>
        <v>0</v>
      </c>
      <c r="AV45" s="938">
        <f>IF(N45=1,IF('Flächen u. Kulturen'!J50="",0,VLOOKUP('Flächen u. Kulturen'!J50,Kulturen[[HF]:[Berechnungsgruppe]],'#Frucht'!$U$1,FALSE)*-1),"--")</f>
        <v>0</v>
      </c>
      <c r="AW45" s="875">
        <f t="shared" si="35"/>
        <v>0</v>
      </c>
      <c r="AX45" s="875">
        <f>IF('Flächen u. Kulturen'!K50="",0,'Flächen u. Kulturen'!K50*-0.1)</f>
        <v>0</v>
      </c>
      <c r="AY45" s="875">
        <f>IF(N45&lt;3,'#orgDung'!AC54*0.1*-1,"--")</f>
        <v>0</v>
      </c>
      <c r="AZ45" s="31" t="str">
        <f>IF(AND('#orgDung'!J54&lt;&gt;2,'#orgDung'!F54=1),('#orgDung'!V54+'#minDung'!O51)*-1,"--")</f>
        <v>--</v>
      </c>
      <c r="BA45" s="875">
        <f t="shared" si="22"/>
        <v>0</v>
      </c>
      <c r="BB45" s="938">
        <f>IF(R45=2,0,'Flächen u. Kulturen'!V50*-1)</f>
        <v>0</v>
      </c>
      <c r="BC45" s="875">
        <f t="shared" si="23"/>
        <v>0</v>
      </c>
      <c r="BD45" s="127">
        <f>'#orgDung'!W54*-1</f>
        <v>0</v>
      </c>
      <c r="BE45" s="910">
        <f>'#orgDung'!AA54*-1</f>
        <v>0</v>
      </c>
      <c r="BF45" s="875">
        <f>'#orgDung'!Z54*-1</f>
        <v>0</v>
      </c>
      <c r="BG45" s="938">
        <f t="shared" si="14"/>
        <v>0</v>
      </c>
      <c r="BH45" s="875">
        <f>'#Kürzungen'!AS69*-1</f>
        <v>0</v>
      </c>
      <c r="BI45" s="875">
        <f t="shared" si="36"/>
        <v>0</v>
      </c>
      <c r="BJ45" s="910">
        <f t="shared" si="37"/>
        <v>0</v>
      </c>
      <c r="BK45" s="875">
        <f>'#minDung'!P51</f>
        <v>0</v>
      </c>
      <c r="BL45" s="938">
        <f t="shared" si="15"/>
        <v>0</v>
      </c>
      <c r="BM45" s="938">
        <f t="shared" si="38"/>
        <v>0</v>
      </c>
      <c r="BN45" s="875">
        <f>IF('Flächen u. Kulturen'!P50="",0,VLOOKUP('Flächen u. Kulturen'!P50,Kulturen[[HF]:[Berechnungsgruppe]],'#Frucht'!$K$1,FALSE))</f>
        <v>0</v>
      </c>
      <c r="BO45" s="875">
        <f>IF('Flächen u. Kulturen'!P50="",0,VLOOKUP('Flächen u. Kulturen'!P50,Kulturen[[HF]:[Berechnungsgruppe]],'#Frucht'!$L$1,FALSE))</f>
        <v>0</v>
      </c>
      <c r="BP45" s="875">
        <f>IF('Flächen u. Kulturen'!L50="",0,VLOOKUP('Flächen u. Kulturen'!L50,Nebenkultur[[Nebenkultur]:[Legum. Zwischenfr.]],'#Zweitfr'!$H$1,FALSE))</f>
        <v>0</v>
      </c>
      <c r="BQ45" s="938">
        <f>IF(N45=3,W45*BO45,IF('Flächen u. Kulturen'!T50='#Boden'!$B$32,V45*BN45,V45*BO45))</f>
        <v>0</v>
      </c>
      <c r="BR45" s="938">
        <f t="shared" si="39"/>
        <v>0</v>
      </c>
      <c r="BS45" s="875">
        <f t="shared" si="24"/>
        <v>0</v>
      </c>
      <c r="BT45" s="875">
        <f>IF('Flächen u. Kulturen'!F50="",0,IF(N45=3,VLOOKUP('Flächen u. Kulturen'!F50,'#Boden'!$G$4:$J$8,'#Boden'!$J$1,FALSE),VLOOKUP('Flächen u. Kulturen'!F50,'#Boden'!$G$4:$J$8,'#Boden'!$I$1,FALSE)))</f>
        <v>0</v>
      </c>
      <c r="BU45" s="41">
        <f t="shared" si="25"/>
        <v>0</v>
      </c>
      <c r="BV45" s="875">
        <f t="shared" si="26"/>
        <v>0</v>
      </c>
      <c r="BW45" s="938" t="str">
        <f t="shared" si="16"/>
        <v/>
      </c>
      <c r="BX45" s="875">
        <f>'#orgDung'!T54*-1</f>
        <v>0</v>
      </c>
      <c r="BY45" s="875">
        <f t="shared" si="40"/>
        <v>0</v>
      </c>
      <c r="BZ45" s="938" t="str">
        <f>IF(U45&lt;&gt;"x",0,IF(P45&lt;4,"",(BW45+BX45-'#minDung'!N51)*-1))</f>
        <v/>
      </c>
      <c r="CB45" s="938">
        <f>IF(AND(AF45=70,U45="x"),'Flächen u. Kulturen'!A50,1000)</f>
        <v>1000</v>
      </c>
      <c r="CC45" s="875" t="str">
        <f>IF(AF45=70,VLOOKUP('Flächen u. Kulturen'!L50,Nebenkultur[[Nebenkultur]:[Legum. Zwischenfr.]],'#Zweitfr'!$I$1,FALSE),"--")</f>
        <v>--</v>
      </c>
      <c r="CD45" s="875" t="str">
        <f>IF(AF45=70,VLOOKUP('Flächen u. Kulturen'!L50,Nebenkultur[[Nebenkultur]:[Legum. Zwischenfr.]],'#Zweitfr'!$L$1,FALSE),"--")</f>
        <v>--</v>
      </c>
      <c r="CE45" s="875" t="str">
        <f>IF(AF45=70,VLOOKUP('Flächen u. Kulturen'!L50,Nebenkultur[[Nebenkultur]:[Legum. Zwischenfr.]],'#Zweitfr'!$M$1,FALSE),"--")</f>
        <v>--</v>
      </c>
      <c r="CF45" s="875" t="str">
        <f>IF(AF45=70,VLOOKUP('Flächen u. Kulturen'!L50,Nebenkultur[[Nebenkultur]:[Legum. Zwischenfr.]],'#Zweitfr'!$N$1,FALSE),"--")</f>
        <v>--</v>
      </c>
      <c r="CG45" s="875" t="str">
        <f>IF(AF45=70,VLOOKUP('Flächen u. Kulturen'!L50,Nebenkultur[[Nebenkultur]:[Legum. Zwischenfr.]],'#Zweitfr'!$O$1,FALSE),"--")</f>
        <v>--</v>
      </c>
      <c r="CH45" s="875" t="str">
        <f t="shared" si="41"/>
        <v>--</v>
      </c>
      <c r="CI45" s="938">
        <f>IF('Flächen u. Kulturen'!L50="",0,VLOOKUP('Flächen u. Kulturen'!L50,Nebenkultur[[Nebenkultur]:[Legum. Zwischenfr.]],'#Zweitfr'!$J$1,FALSE))</f>
        <v>0</v>
      </c>
      <c r="CJ45" s="875">
        <f t="shared" si="42"/>
        <v>0</v>
      </c>
      <c r="CK45" s="890">
        <f t="shared" si="43"/>
        <v>0</v>
      </c>
      <c r="CL45" s="938">
        <f>IF(AND(R45=1,AF45=70),'Flächen u. Kulturen'!W50*-1,0)</f>
        <v>0</v>
      </c>
      <c r="CM45" s="875">
        <f>'#orgDung'!AE54*-1</f>
        <v>0</v>
      </c>
      <c r="CN45" s="875">
        <f t="shared" si="27"/>
        <v>0</v>
      </c>
      <c r="CO45" s="875">
        <f t="shared" si="28"/>
        <v>0</v>
      </c>
      <c r="CP45" s="875">
        <f>'#Kürzungen'!AS170*-1</f>
        <v>0</v>
      </c>
      <c r="CQ45" s="875">
        <f t="shared" si="29"/>
        <v>0</v>
      </c>
      <c r="CR45" s="875">
        <f t="shared" si="30"/>
        <v>0</v>
      </c>
      <c r="CS45" s="875">
        <f>'#minDung'!R51</f>
        <v>0</v>
      </c>
      <c r="CT45" s="938">
        <f t="shared" si="18"/>
        <v>0</v>
      </c>
      <c r="CU45" s="52" t="str">
        <f>'#Kürzungen'!AQ170</f>
        <v xml:space="preserve"> </v>
      </c>
      <c r="CW45" s="247">
        <f>IF('Flächen u. Kulturen'!D50="",0,IF(ISNUMBER('Flächen u. Kulturen'!D50)=TRUE,2,1))</f>
        <v>0</v>
      </c>
      <c r="CX45" s="247">
        <f>IF('Flächen u. Kulturen'!E50="",0,COUNTIF('#Boden'!$B$47,'Flächen u. Kulturen'!E50)+1)</f>
        <v>2</v>
      </c>
      <c r="CY45" s="247">
        <f>IF('Flächen u. Kulturen'!F50="",0,COUNTIF('#Boden'!$G$4:$G$8,'Flächen u. Kulturen'!F50)+1)</f>
        <v>2</v>
      </c>
      <c r="CZ45" s="247">
        <f>IF('Flächen u. Kulturen'!G50="",0,COUNTIF('#Boden'!$B$26:$B$29,'Flächen u. Kulturen'!G50)+1)</f>
        <v>2</v>
      </c>
      <c r="DA45" s="247">
        <f>IF('Flächen u. Kulturen'!H50="",0,COUNTIF('#Boden'!$B$26:$B$29,'Flächen u. Kulturen'!H50)+1)</f>
        <v>2</v>
      </c>
      <c r="DB45" s="247">
        <f>IF('Flächen u. Kulturen'!I50="",0,COUNTIF('#Boden'!$B$9:$B$15,'Flächen u. Kulturen'!I50)+1)</f>
        <v>2</v>
      </c>
      <c r="DC45" s="247">
        <f>IF('Flächen u. Kulturen'!J50="",0,COUNTIF(Kulturen[HF],'Flächen u. Kulturen'!J50)+1)</f>
        <v>2</v>
      </c>
      <c r="DD45" s="247">
        <f>IF('Flächen u. Kulturen'!L50="",0,COUNTIF(Nebenkultur[Nebenkultur],'Flächen u. Kulturen'!L50)+1)</f>
        <v>2</v>
      </c>
      <c r="DE45" s="247">
        <f>IF('Flächen u. Kulturen'!M50="",0,COUNTIF('#Boden'!$G$17:$G$21,'Flächen u. Kulturen'!M50)+1)</f>
        <v>2</v>
      </c>
      <c r="DF45" s="247">
        <f>IF('Flächen u. Kulturen'!N50="",0,COUNTIF('#Boden'!$G$22:$G$24,'Flächen u. Kulturen'!N50)+1)</f>
        <v>2</v>
      </c>
      <c r="DG45" s="247">
        <f>IF('Flächen u. Kulturen'!P50="",0,COUNTIF(Kulturen[HF],'Flächen u. Kulturen'!P50)+1)</f>
        <v>2</v>
      </c>
      <c r="DH45" s="247">
        <f>IF('Flächen u. Kulturen'!T50="",0,COUNTIF('#Boden'!$B$30:$B$32,'Flächen u. Kulturen'!T50)+1)</f>
        <v>2</v>
      </c>
      <c r="DI45" s="247">
        <f>IF('Flächen u. Kulturen'!K50="",0,IF(ISNUMBER('Flächen u. Kulturen'!K50)=TRUE,2,1))</f>
        <v>0</v>
      </c>
      <c r="DJ45" s="247">
        <f>IF('Flächen u. Kulturen'!U50="",0,IF(ISNUMBER('Flächen u. Kulturen'!U50)=TRUE,2,1))</f>
        <v>0</v>
      </c>
      <c r="DK45" s="247">
        <f>IF('Flächen u. Kulturen'!V50="",0,IF(ISNUMBER('Flächen u. Kulturen'!V50)=TRUE,2,1))</f>
        <v>0</v>
      </c>
      <c r="DL45" s="247">
        <f>IF('Flächen u. Kulturen'!W50="",0,IF(ISNUMBER('Flächen u. Kulturen'!W50)=TRUE,2,1))</f>
        <v>0</v>
      </c>
      <c r="DM45" s="247">
        <f t="shared" si="31"/>
        <v>0</v>
      </c>
      <c r="DN45" s="247" t="s">
        <v>344</v>
      </c>
      <c r="DO45" s="247">
        <f>IF(U45&lt;&gt;"x","",IF(OR('Flächen u. Kulturen'!B50="",'Flächen u. Kulturen'!C50="",'Flächen u. Kulturen'!D50="",'Flächen u. Kulturen'!D50=0,'Flächen u. Kulturen'!F50="",'Flächen u. Kulturen'!F50='#Boden'!$G$4,'Flächen u. Kulturen'!G50="",'Flächen u. Kulturen'!G50='#Boden'!$B$26,'Flächen u. Kulturen'!H50="",'Flächen u. Kulturen'!H50='#Boden'!$B$23,AND(N45&lt;&gt;2,OR('Flächen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Kulturen'!Q50="",'#BerechnungDBE'!N45&lt;3),AND('Flächen u. Kulturen'!R50="",'#BerechnungDBE'!N45=3),AND(N45=1,AL45&gt;0,'Flächen u. Kulturen'!S50=""),AND(N45=1,OR('Flächen u. Kulturen'!T50="",'Flächen u. Kulturen'!T50='#Boden'!$B$30)),AND('#BerechnungDBE'!AF45=70,OR('Flächen u. Kulturen'!N50="",'Flächen u. Kulturen'!N50='#Boden'!$G$22,'Flächen u. Kulturen'!O50="")),AND('#BerechnungDBE'!AF45=80,OR('Flächen u. Kulturen'!M50="",'Flächen u. Kulturen'!M50='#Boden'!$G$17,'Flächen u. Kulturen'!N50="",'Flächen u. Kulturen'!N50='#Boden'!$G$22))),$DO$4,""))</f>
        <v>1</v>
      </c>
      <c r="DP45" s="247" t="str">
        <f>IF(U45&lt;&gt;"x","",IF(OR(LEFT('Flächen u. Kulturen'!J50,2)=" +",LEFT('Flächen u. Kulturen'!L50,2)=" +",LEFT('Flächen u. Kulturen'!P50,2)=" +"),$DP$4,""))</f>
        <v/>
      </c>
      <c r="DQ45" s="428" t="str">
        <f t="shared" si="44"/>
        <v/>
      </c>
      <c r="DR45" s="938" t="str">
        <f t="shared" si="45"/>
        <v/>
      </c>
      <c r="DS45" s="938" t="str">
        <f>IF('Flächen u. Kulturen'!X50="","",ROW('Flächen u. Kulturen'!X50))</f>
        <v/>
      </c>
    </row>
    <row r="46" spans="1:123" s="875" customFormat="1" x14ac:dyDescent="0.2">
      <c r="A46" s="875" t="str">
        <f>IF('Daten aus 2021'!H48="",'#Boden'!$B$26,IF('Daten aus 2021'!H48='#Boden'!$B$39,IF('Daten aus 2021'!F48='#Boden'!$B$29,'#Boden'!$B$29,IF('Daten aus 2021'!K48='#Boden'!$B$34,'#Boden'!$B$28,'#Boden'!$B$27)),'Daten aus 2021'!F48))</f>
        <v xml:space="preserve"> --</v>
      </c>
      <c r="B46" s="875" t="str">
        <f>IF('Daten aus 2021'!H48='#Boden'!$B$39,IF('Daten aus 2021'!L48='#Boden'!$B$61,'#Boden'!$B$11,'Daten aus 2021'!L48),IF('Daten aus 2021'!P48='#Boden'!$B$58,'#Boden'!$B$11,IF('Daten aus 2021'!P48='#Boden'!$B$57,'#Boden'!$B$10,'#Boden'!$B$9)))</f>
        <v xml:space="preserve"> --         </v>
      </c>
      <c r="C46" s="875" t="str">
        <f>IF('Daten aus 2021'!N48="","",VLOOKUP('Daten aus 2021'!N48,'#Boden'!$B$68:$C$89,2,FALSE))</f>
        <v/>
      </c>
      <c r="D46" s="875" t="str">
        <f>IF('Daten aus 2021'!M48="","",VLOOKUP('Daten aus 2021'!M48,'#Boden'!$D$69:$E$73,2,FALSE))</f>
        <v/>
      </c>
      <c r="E46" s="938" t="str">
        <f>IF(OR(C46='#Boden'!$C$68,C46='#Boden'!$C$70),C46,CONCATENATE(C46,D46))</f>
        <v/>
      </c>
      <c r="F46" s="882" t="str">
        <f>IFERROR(IF('Daten aus 2021'!H48="",'#Frucht'!$D$8,IF('Daten aus 2021'!H48='#Boden'!$B$39,E46,IF('Daten aus 2021'!H48='#Boden'!$B$38,IF(CONCATENATE(" ",'Daten aus 2021'!W48)=$B$2,VLOOKUP($B$3,'#Frucht'!$A$8:$D$372,4,FALSE),VLOOKUP(CONCATENATE(" ",'Daten aus 2021'!W48),'#Frucht'!$A$8:$D$372,4,FALSE)),IF(OR(LEFT('Daten aus 2021'!Q48,5)=" *10 ",LEFT('Daten aus 2021'!Q48,5)=" *11 ",LEFT('Daten aus 2021'!Q48,5)=" *12 ",LEFT('Daten aus 2021'!Q48,5)=" *13 ",LEFT('Daten aus 2021'!Q48,5)=" *14 ",LEFT('Daten aus 2021'!Q48,5)=" *15 "),VLOOKUP(RIGHT('Daten aus 2021'!Q48,LEN('Daten aus 2021'!Q48)-4),'#Frucht'!$A$8:$D$372,4,FALSE),IF(LEFT('Daten aus 2021'!Q48,2)=" *",VLOOKUP(RIGHT('Daten aus 2021'!Q48,LEN('Daten aus 2021'!Q48)-3),'#Frucht'!$A$8:$D$372,4,FALSE),VLOOKUP('Daten aus 2021'!Q48,'#Frucht'!$A$8:$D$372,4,FALSE)))))),'#Frucht'!$D$8)</f>
        <v xml:space="preserve"> --  </v>
      </c>
      <c r="G46" s="127"/>
      <c r="H46" s="31"/>
      <c r="J46" s="938" t="str">
        <f>IF(OR(N46=3,$K$3=0,'Flächen u. Kulturen'!P51=""),"",IF(VLOOKUP('Flächen u. Kulturen'!P51,Kulturen[[HF]:[780]],'#BerechnungDBE'!$K$3,FALSE)=".","",VLOOKUP('Flächen u. Kulturen'!P51,Kulturen[[HF]:[780]],'#BerechnungDBE'!$K$3,FALSE)))</f>
        <v/>
      </c>
      <c r="K46" s="938" t="str">
        <f>IF(OR($K$3=0,'Flächen u. Kulturen'!P51=""),"",IF(N46=3,IF(VLOOKUP('Flächen u. Kulturen'!P51,Kulturen[[HF]:[780]],'#BerechnungDBE'!$K$3,FALSE)=".","",VLOOKUP('Flächen u. Kulturen'!P51,Kulturen[[HF]:[780]],'#BerechnungDBE'!$K$3,FALSE)),""))</f>
        <v/>
      </c>
      <c r="L46" s="367">
        <f>IF('Flächen u. Kulturen'!D51="",0,'Flächen u. Kulturen'!D51)</f>
        <v>0</v>
      </c>
      <c r="M46" s="693">
        <f>IF('Flächen u. Kulturen'!J51="",0,VLOOKUP('Flächen u. Kulturen'!J51,Kulturen[[HF]:[Berechnungsgruppe]],'#Frucht'!$W$1,FALSE))</f>
        <v>1</v>
      </c>
      <c r="N46" s="693">
        <f>IF('Flächen u. Kulturen'!P51="",0,VLOOKUP('Flächen u. Kulturen'!P51,Kulturen[[HF]:[Berechnungsgruppe]],'#Frucht'!$W$1,FALSE))</f>
        <v>1</v>
      </c>
      <c r="O46" s="875">
        <f>IF(N46&lt;&gt;2,N46,IF('Flächen u. Kulturen'!J51='Flächen u. Kulturen'!P51,2,1))</f>
        <v>1</v>
      </c>
      <c r="P46" s="875">
        <f>IF('Flächen u. Kulturen'!F51="",0,VLOOKUP('Flächen u. Kulturen'!F51,'#Boden'!$G$4:$H$8,'#Boden'!$H$1,FALSE))</f>
        <v>1</v>
      </c>
      <c r="Q46" s="875">
        <f>IF('Flächen u. Kulturen'!G51="",0,VLOOKUP('Flächen u. Kulturen'!G51,'#Boden'!$B$26:$C$29,'#Boden'!$C$1,FALSE))</f>
        <v>1</v>
      </c>
      <c r="R46" s="875">
        <f t="shared" si="19"/>
        <v>1</v>
      </c>
      <c r="S46" s="875">
        <f t="shared" si="20"/>
        <v>1</v>
      </c>
      <c r="T46" s="875">
        <f>IF('Flächen u. Kulturen'!H51="",0,VLOOKUP('Flächen u. Kulturen'!H51,'#Boden'!$B$23:$C$25,'#Boden'!$C$1,FALSE))</f>
        <v>2</v>
      </c>
      <c r="U46" s="875" t="str">
        <f>'Flächen u. Kulturen'!E51</f>
        <v>x</v>
      </c>
      <c r="V46" s="938">
        <f>IF('Flächen u. Kulturen'!Q51="",0,_xlfn.NUMBERVALUE('Flächen u. Kulturen'!Q51))</f>
        <v>0</v>
      </c>
      <c r="W46" s="938">
        <f>IF('Flächen u. Kulturen'!R51="",0,_xlfn.NUMBERVALUE('Flächen u. Kulturen'!R51))</f>
        <v>0</v>
      </c>
      <c r="X46" s="875">
        <f>IF('Flächen u. Kulturen'!T51="",0,VLOOKUP('Flächen u. Kulturen'!T51,'#Boden'!$B$30:$C$32,'#Boden'!$C$1,FALSE))</f>
        <v>1</v>
      </c>
      <c r="Y46" s="875">
        <f>IF('Flächen u. Kulturen'!P51="",0,VLOOKUP('Flächen u. Kulturen'!P51,Kulturen[[HF]:[Berechnungsgruppe]],'#Frucht'!$N$1,FALSE))</f>
        <v>0</v>
      </c>
      <c r="Z46" s="875">
        <f t="shared" si="21"/>
        <v>2</v>
      </c>
      <c r="AA46" s="875">
        <f>IF('Flächen u. Kulturen'!P51="",0,VLOOKUP('Flächen u. Kulturen'!P51,Kulturen[[HF]:[Berechnungsgruppe]],'#Frucht'!$V$1,FALSE))</f>
        <v>0</v>
      </c>
      <c r="AB46" s="875">
        <f>IF(N46=1,VLOOKUP('Flächen u. Kulturen'!P51,Kulturen[[HF]:[Ernteprodukt]],'#Frucht'!$I$1,FALSE),4)</f>
        <v>4</v>
      </c>
      <c r="AC46" s="921">
        <f>IF('Flächen u. Kulturen'!J51="",0,VLOOKUP('Flächen u. Kulturen'!J51,Kulturen[[HF]:[Berechnungsgruppe]],'#Frucht'!$G$1,FALSE))</f>
        <v>90</v>
      </c>
      <c r="AD46" s="921">
        <f>IF('Flächen u. Kulturen'!P51="",0,VLOOKUP('Flächen u. Kulturen'!P51,Kulturen[[HF]:[Berechnungsgruppe]],'#Frucht'!$G$1,FALSE))</f>
        <v>90</v>
      </c>
      <c r="AE46" s="938">
        <f>IF('Flächen u. Kulturen'!P51="",0,VLOOKUP('Flächen u. Kulturen'!P51,Kulturen[[HF]:[SollwertMinusNfix]],'#Frucht'!$X$1,FALSE))</f>
        <v>0</v>
      </c>
      <c r="AF46" s="875">
        <f>IF('Flächen u. Kulturen'!L51="",0,VLOOKUP('Flächen u. Kulturen'!L51,Nebenkultur[[Nebenkultur]:[Berechnungsschema]],'#Zweitfr'!$G$1,FALSE))</f>
        <v>0</v>
      </c>
      <c r="AG46" s="875">
        <f>IF('Flächen u. Kulturen'!L51="",0,VLOOKUP('Flächen u. Kulturen'!L51,'#Zweitfr'!$D$8:$Q$27,'#Zweitfr'!$Q$1,FALSE))</f>
        <v>0</v>
      </c>
      <c r="AH46" s="875">
        <f>IF('Flächen u. Kulturen'!M51="",0,VLOOKUP('Flächen u. Kulturen'!M51,'#Boden'!$G$17:$H$21,2,FALSE))</f>
        <v>1</v>
      </c>
      <c r="AI46" s="875">
        <f>IF('Flächen u. Kulturen'!N51="",0,VLOOKUP('Flächen u. Kulturen'!N51,'#Boden'!$G$22:$H$24,'#Boden'!$H$1,FALSE))</f>
        <v>1</v>
      </c>
      <c r="AJ46" s="938">
        <f>IF('Flächen u. Kulturen'!O51="",0,_xlfn.NUMBERVALUE('Flächen u. Kulturen'!O51))</f>
        <v>0</v>
      </c>
      <c r="AK46" s="938">
        <f>IF('Flächen u. Kulturen'!L51="",0,VLOOKUP('Flächen u. Kulturen'!L51,Nebenkultur[[Nebenkultur]:[Legum. Zwischenfr.]],'#Zweitfr'!$P$1,FALSE))</f>
        <v>0</v>
      </c>
      <c r="AL46" s="875">
        <f>IF('Flächen u. Kulturen'!P51="",0,VLOOKUP('Flächen u. Kulturen'!P51,Kulturen[[HF]:[Berechnungsgruppe]],'#Frucht'!$Q$1,FALSE))</f>
        <v>0</v>
      </c>
      <c r="AM46" s="875">
        <f>IF('Flächen u. Kulturen'!P51="",0,VLOOKUP('Flächen u. Kulturen'!P51,Kulturen[[HF]:[Berechnungsgruppe]],'#Frucht'!$M$1,FALSE))</f>
        <v>0</v>
      </c>
      <c r="AN46" s="875">
        <f>IF('Flächen u. Kulturen'!P51="",1,VLOOKUP('Flächen u. Kulturen'!P51,Kulturen[[HF]:[Berechnungsgruppe]],'#Frucht'!$R$1,FALSE))</f>
        <v>10</v>
      </c>
      <c r="AO46" s="875">
        <f>IF('Flächen u. Kulturen'!P51="",0,VLOOKUP('Flächen u. Kulturen'!P51,Kulturen[[HF]:[Berechnungsgruppe]],'#Frucht'!$S$1,FALSE))</f>
        <v>0</v>
      </c>
      <c r="AP46" s="875">
        <f>IF('Flächen u. Kulturen'!P51="",0,VLOOKUP('Flächen u. Kulturen'!P51,Kulturen[[HF]:[Berechnungsgruppe]],'#Frucht'!$T$1,FALSE))</f>
        <v>0</v>
      </c>
      <c r="AQ46" s="938">
        <f t="shared" si="32"/>
        <v>0</v>
      </c>
      <c r="AR46" s="875">
        <f t="shared" si="33"/>
        <v>0</v>
      </c>
      <c r="AS46" s="938">
        <f t="shared" si="34"/>
        <v>0</v>
      </c>
      <c r="AT46" s="875">
        <f>IF(N46=1,'Flächen u. Kulturen'!S51*-1,"--")</f>
        <v>0</v>
      </c>
      <c r="AU46" s="938">
        <f>IF(OR(N46=2,'Flächen u. Kulturen'!I51=""),"--",IF(N46=3,VLOOKUP('Flächen u. Kulturen'!I51,'#Boden'!$B$9:$E$15,'#Boden'!$D$1,FALSE),VLOOKUP('Flächen u. Kulturen'!I51,'#Boden'!$B$9:$E$15,'#Boden'!$E$1,FALSE)))</f>
        <v>0</v>
      </c>
      <c r="AV46" s="938">
        <f>IF(N46=1,IF('Flächen u. Kulturen'!J51="",0,VLOOKUP('Flächen u. Kulturen'!J51,Kulturen[[HF]:[Berechnungsgruppe]],'#Frucht'!$U$1,FALSE)*-1),"--")</f>
        <v>0</v>
      </c>
      <c r="AW46" s="875">
        <f t="shared" si="35"/>
        <v>0</v>
      </c>
      <c r="AX46" s="875">
        <f>IF('Flächen u. Kulturen'!K51="",0,'Flächen u. Kulturen'!K51*-0.1)</f>
        <v>0</v>
      </c>
      <c r="AY46" s="875">
        <f>IF(N46&lt;3,'#orgDung'!AC55*0.1*-1,"--")</f>
        <v>0</v>
      </c>
      <c r="AZ46" s="31" t="str">
        <f>IF(AND('#orgDung'!J55&lt;&gt;2,'#orgDung'!F55=1),('#orgDung'!V55+'#minDung'!O52)*-1,"--")</f>
        <v>--</v>
      </c>
      <c r="BA46" s="875">
        <f t="shared" si="22"/>
        <v>0</v>
      </c>
      <c r="BB46" s="938">
        <f>IF(R46=2,0,'Flächen u. Kulturen'!V51*-1)</f>
        <v>0</v>
      </c>
      <c r="BC46" s="875">
        <f t="shared" si="23"/>
        <v>0</v>
      </c>
      <c r="BD46" s="127">
        <f>'#orgDung'!W55*-1</f>
        <v>0</v>
      </c>
      <c r="BE46" s="910">
        <f>'#orgDung'!AA55*-1</f>
        <v>0</v>
      </c>
      <c r="BF46" s="875">
        <f>'#orgDung'!Z55*-1</f>
        <v>0</v>
      </c>
      <c r="BG46" s="938">
        <f t="shared" si="14"/>
        <v>0</v>
      </c>
      <c r="BH46" s="875">
        <f>'#Kürzungen'!AS70*-1</f>
        <v>0</v>
      </c>
      <c r="BI46" s="875">
        <f t="shared" si="36"/>
        <v>0</v>
      </c>
      <c r="BJ46" s="910">
        <f t="shared" si="37"/>
        <v>0</v>
      </c>
      <c r="BK46" s="875">
        <f>'#minDung'!P52</f>
        <v>0</v>
      </c>
      <c r="BL46" s="938">
        <f t="shared" si="15"/>
        <v>0</v>
      </c>
      <c r="BM46" s="938">
        <f t="shared" si="38"/>
        <v>0</v>
      </c>
      <c r="BN46" s="875">
        <f>IF('Flächen u. Kulturen'!P51="",0,VLOOKUP('Flächen u. Kulturen'!P51,Kulturen[[HF]:[Berechnungsgruppe]],'#Frucht'!$K$1,FALSE))</f>
        <v>0</v>
      </c>
      <c r="BO46" s="875">
        <f>IF('Flächen u. Kulturen'!P51="",0,VLOOKUP('Flächen u. Kulturen'!P51,Kulturen[[HF]:[Berechnungsgruppe]],'#Frucht'!$L$1,FALSE))</f>
        <v>0</v>
      </c>
      <c r="BP46" s="875">
        <f>IF('Flächen u. Kulturen'!L51="",0,VLOOKUP('Flächen u. Kulturen'!L51,Nebenkultur[[Nebenkultur]:[Legum. Zwischenfr.]],'#Zweitfr'!$H$1,FALSE))</f>
        <v>0</v>
      </c>
      <c r="BQ46" s="938">
        <f>IF(N46=3,W46*BO46,IF('Flächen u. Kulturen'!T51='#Boden'!$B$32,V46*BN46,V46*BO46))</f>
        <v>0</v>
      </c>
      <c r="BR46" s="938">
        <f t="shared" si="39"/>
        <v>0</v>
      </c>
      <c r="BS46" s="875">
        <f t="shared" si="24"/>
        <v>0</v>
      </c>
      <c r="BT46" s="875">
        <f>IF('Flächen u. Kulturen'!F51="",0,IF(N46=3,VLOOKUP('Flächen u. Kulturen'!F51,'#Boden'!$G$4:$J$8,'#Boden'!$J$1,FALSE),VLOOKUP('Flächen u. Kulturen'!F51,'#Boden'!$G$4:$J$8,'#Boden'!$I$1,FALSE)))</f>
        <v>0</v>
      </c>
      <c r="BU46" s="41">
        <f t="shared" si="25"/>
        <v>0</v>
      </c>
      <c r="BV46" s="875">
        <f t="shared" si="26"/>
        <v>0</v>
      </c>
      <c r="BW46" s="938" t="str">
        <f t="shared" si="16"/>
        <v/>
      </c>
      <c r="BX46" s="875">
        <f>'#orgDung'!T55*-1</f>
        <v>0</v>
      </c>
      <c r="BY46" s="875">
        <f t="shared" si="40"/>
        <v>0</v>
      </c>
      <c r="BZ46" s="938" t="str">
        <f>IF(U46&lt;&gt;"x",0,IF(P46&lt;4,"",(BW46+BX46-'#minDung'!N52)*-1))</f>
        <v/>
      </c>
      <c r="CB46" s="938">
        <f>IF(AND(AF46=70,U46="x"),'Flächen u. Kulturen'!A51,1000)</f>
        <v>1000</v>
      </c>
      <c r="CC46" s="875" t="str">
        <f>IF(AF46=70,VLOOKUP('Flächen u. Kulturen'!L51,Nebenkultur[[Nebenkultur]:[Legum. Zwischenfr.]],'#Zweitfr'!$I$1,FALSE),"--")</f>
        <v>--</v>
      </c>
      <c r="CD46" s="875" t="str">
        <f>IF(AF46=70,VLOOKUP('Flächen u. Kulturen'!L51,Nebenkultur[[Nebenkultur]:[Legum. Zwischenfr.]],'#Zweitfr'!$L$1,FALSE),"--")</f>
        <v>--</v>
      </c>
      <c r="CE46" s="875" t="str">
        <f>IF(AF46=70,VLOOKUP('Flächen u. Kulturen'!L51,Nebenkultur[[Nebenkultur]:[Legum. Zwischenfr.]],'#Zweitfr'!$M$1,FALSE),"--")</f>
        <v>--</v>
      </c>
      <c r="CF46" s="875" t="str">
        <f>IF(AF46=70,VLOOKUP('Flächen u. Kulturen'!L51,Nebenkultur[[Nebenkultur]:[Legum. Zwischenfr.]],'#Zweitfr'!$N$1,FALSE),"--")</f>
        <v>--</v>
      </c>
      <c r="CG46" s="875" t="str">
        <f>IF(AF46=70,VLOOKUP('Flächen u. Kulturen'!L51,Nebenkultur[[Nebenkultur]:[Legum. Zwischenfr.]],'#Zweitfr'!$O$1,FALSE),"--")</f>
        <v>--</v>
      </c>
      <c r="CH46" s="875" t="str">
        <f t="shared" si="41"/>
        <v>--</v>
      </c>
      <c r="CI46" s="938">
        <f>IF('Flächen u. Kulturen'!L51="",0,VLOOKUP('Flächen u. Kulturen'!L51,Nebenkultur[[Nebenkultur]:[Legum. Zwischenfr.]],'#Zweitfr'!$J$1,FALSE))</f>
        <v>0</v>
      </c>
      <c r="CJ46" s="875">
        <f t="shared" si="42"/>
        <v>0</v>
      </c>
      <c r="CK46" s="890">
        <f t="shared" si="43"/>
        <v>0</v>
      </c>
      <c r="CL46" s="938">
        <f>IF(AND(R46=1,AF46=70),'Flächen u. Kulturen'!W51*-1,0)</f>
        <v>0</v>
      </c>
      <c r="CM46" s="875">
        <f>'#orgDung'!AE55*-1</f>
        <v>0</v>
      </c>
      <c r="CN46" s="875">
        <f t="shared" si="27"/>
        <v>0</v>
      </c>
      <c r="CO46" s="875">
        <f t="shared" si="28"/>
        <v>0</v>
      </c>
      <c r="CP46" s="875">
        <f>'#Kürzungen'!AS171*-1</f>
        <v>0</v>
      </c>
      <c r="CQ46" s="875">
        <f t="shared" si="29"/>
        <v>0</v>
      </c>
      <c r="CR46" s="875">
        <f t="shared" si="30"/>
        <v>0</v>
      </c>
      <c r="CS46" s="875">
        <f>'#minDung'!R52</f>
        <v>0</v>
      </c>
      <c r="CT46" s="938">
        <f t="shared" si="18"/>
        <v>0</v>
      </c>
      <c r="CU46" s="52" t="str">
        <f>'#Kürzungen'!AQ171</f>
        <v xml:space="preserve"> </v>
      </c>
      <c r="CW46" s="247">
        <f>IF('Flächen u. Kulturen'!D51="",0,IF(ISNUMBER('Flächen u. Kulturen'!D51)=TRUE,2,1))</f>
        <v>0</v>
      </c>
      <c r="CX46" s="247">
        <f>IF('Flächen u. Kulturen'!E51="",0,COUNTIF('#Boden'!$B$47,'Flächen u. Kulturen'!E51)+1)</f>
        <v>2</v>
      </c>
      <c r="CY46" s="247">
        <f>IF('Flächen u. Kulturen'!F51="",0,COUNTIF('#Boden'!$G$4:$G$8,'Flächen u. Kulturen'!F51)+1)</f>
        <v>2</v>
      </c>
      <c r="CZ46" s="247">
        <f>IF('Flächen u. Kulturen'!G51="",0,COUNTIF('#Boden'!$B$26:$B$29,'Flächen u. Kulturen'!G51)+1)</f>
        <v>2</v>
      </c>
      <c r="DA46" s="247">
        <f>IF('Flächen u. Kulturen'!H51="",0,COUNTIF('#Boden'!$B$26:$B$29,'Flächen u. Kulturen'!H51)+1)</f>
        <v>2</v>
      </c>
      <c r="DB46" s="247">
        <f>IF('Flächen u. Kulturen'!I51="",0,COUNTIF('#Boden'!$B$9:$B$15,'Flächen u. Kulturen'!I51)+1)</f>
        <v>2</v>
      </c>
      <c r="DC46" s="247">
        <f>IF('Flächen u. Kulturen'!J51="",0,COUNTIF(Kulturen[HF],'Flächen u. Kulturen'!J51)+1)</f>
        <v>2</v>
      </c>
      <c r="DD46" s="247">
        <f>IF('Flächen u. Kulturen'!L51="",0,COUNTIF(Nebenkultur[Nebenkultur],'Flächen u. Kulturen'!L51)+1)</f>
        <v>2</v>
      </c>
      <c r="DE46" s="247">
        <f>IF('Flächen u. Kulturen'!M51="",0,COUNTIF('#Boden'!$G$17:$G$21,'Flächen u. Kulturen'!M51)+1)</f>
        <v>2</v>
      </c>
      <c r="DF46" s="247">
        <f>IF('Flächen u. Kulturen'!N51="",0,COUNTIF('#Boden'!$G$22:$G$24,'Flächen u. Kulturen'!N51)+1)</f>
        <v>2</v>
      </c>
      <c r="DG46" s="247">
        <f>IF('Flächen u. Kulturen'!P51="",0,COUNTIF(Kulturen[HF],'Flächen u. Kulturen'!P51)+1)</f>
        <v>2</v>
      </c>
      <c r="DH46" s="247">
        <f>IF('Flächen u. Kulturen'!T51="",0,COUNTIF('#Boden'!$B$30:$B$32,'Flächen u. Kulturen'!T51)+1)</f>
        <v>2</v>
      </c>
      <c r="DI46" s="247">
        <f>IF('Flächen u. Kulturen'!K51="",0,IF(ISNUMBER('Flächen u. Kulturen'!K51)=TRUE,2,1))</f>
        <v>0</v>
      </c>
      <c r="DJ46" s="247">
        <f>IF('Flächen u. Kulturen'!U51="",0,IF(ISNUMBER('Flächen u. Kulturen'!U51)=TRUE,2,1))</f>
        <v>0</v>
      </c>
      <c r="DK46" s="247">
        <f>IF('Flächen u. Kulturen'!V51="",0,IF(ISNUMBER('Flächen u. Kulturen'!V51)=TRUE,2,1))</f>
        <v>0</v>
      </c>
      <c r="DL46" s="247">
        <f>IF('Flächen u. Kulturen'!W51="",0,IF(ISNUMBER('Flächen u. Kulturen'!W51)=TRUE,2,1))</f>
        <v>0</v>
      </c>
      <c r="DM46" s="247">
        <f t="shared" si="31"/>
        <v>0</v>
      </c>
      <c r="DN46" s="247" t="s">
        <v>344</v>
      </c>
      <c r="DO46" s="247">
        <f>IF(U46&lt;&gt;"x","",IF(OR('Flächen u. Kulturen'!B51="",'Flächen u. Kulturen'!C51="",'Flächen u. Kulturen'!D51="",'Flächen u. Kulturen'!D51=0,'Flächen u. Kulturen'!F51="",'Flächen u. Kulturen'!F51='#Boden'!$G$4,'Flächen u. Kulturen'!G51="",'Flächen u. Kulturen'!G51='#Boden'!$B$26,'Flächen u. Kulturen'!H51="",'Flächen u. Kulturen'!H51='#Boden'!$B$23,AND(N46&lt;&gt;2,OR('Flächen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Kulturen'!Q51="",'#BerechnungDBE'!N46&lt;3),AND('Flächen u. Kulturen'!R51="",'#BerechnungDBE'!N46=3),AND(N46=1,AL46&gt;0,'Flächen u. Kulturen'!S51=""),AND(N46=1,OR('Flächen u. Kulturen'!T51="",'Flächen u. Kulturen'!T51='#Boden'!$B$30)),AND('#BerechnungDBE'!AF46=70,OR('Flächen u. Kulturen'!N51="",'Flächen u. Kulturen'!N51='#Boden'!$G$22,'Flächen u. Kulturen'!O51="")),AND('#BerechnungDBE'!AF46=80,OR('Flächen u. Kulturen'!M51="",'Flächen u. Kulturen'!M51='#Boden'!$G$17,'Flächen u. Kulturen'!N51="",'Flächen u. Kulturen'!N51='#Boden'!$G$22))),$DO$4,""))</f>
        <v>1</v>
      </c>
      <c r="DP46" s="247" t="str">
        <f>IF(U46&lt;&gt;"x","",IF(OR(LEFT('Flächen u. Kulturen'!J51,2)=" +",LEFT('Flächen u. Kulturen'!L51,2)=" +",LEFT('Flächen u. Kulturen'!P51,2)=" +"),$DP$4,""))</f>
        <v/>
      </c>
      <c r="DQ46" s="428" t="str">
        <f t="shared" si="44"/>
        <v/>
      </c>
      <c r="DR46" s="938" t="str">
        <f t="shared" si="45"/>
        <v/>
      </c>
      <c r="DS46" s="938" t="str">
        <f>IF('Flächen u. Kulturen'!X51="","",ROW('Flächen u. Kulturen'!X51))</f>
        <v/>
      </c>
    </row>
    <row r="47" spans="1:123" s="875" customFormat="1" x14ac:dyDescent="0.2">
      <c r="A47" s="875" t="str">
        <f>IF('Daten aus 2021'!H49="",'#Boden'!$B$26,IF('Daten aus 2021'!H49='#Boden'!$B$39,IF('Daten aus 2021'!F49='#Boden'!$B$29,'#Boden'!$B$29,IF('Daten aus 2021'!K49='#Boden'!$B$34,'#Boden'!$B$28,'#Boden'!$B$27)),'Daten aus 2021'!F49))</f>
        <v xml:space="preserve"> --</v>
      </c>
      <c r="B47" s="875" t="str">
        <f>IF('Daten aus 2021'!H49='#Boden'!$B$39,IF('Daten aus 2021'!L49='#Boden'!$B$61,'#Boden'!$B$11,'Daten aus 2021'!L49),IF('Daten aus 2021'!P49='#Boden'!$B$58,'#Boden'!$B$11,IF('Daten aus 2021'!P49='#Boden'!$B$57,'#Boden'!$B$10,'#Boden'!$B$9)))</f>
        <v xml:space="preserve"> --         </v>
      </c>
      <c r="C47" s="875" t="str">
        <f>IF('Daten aus 2021'!N49="","",VLOOKUP('Daten aus 2021'!N49,'#Boden'!$B$68:$C$89,2,FALSE))</f>
        <v/>
      </c>
      <c r="D47" s="875" t="str">
        <f>IF('Daten aus 2021'!M49="","",VLOOKUP('Daten aus 2021'!M49,'#Boden'!$D$69:$E$73,2,FALSE))</f>
        <v/>
      </c>
      <c r="E47" s="938" t="str">
        <f>IF(OR(C47='#Boden'!$C$68,C47='#Boden'!$C$70),C47,CONCATENATE(C47,D47))</f>
        <v/>
      </c>
      <c r="F47" s="882" t="str">
        <f>IFERROR(IF('Daten aus 2021'!H49="",'#Frucht'!$D$8,IF('Daten aus 2021'!H49='#Boden'!$B$39,E47,IF('Daten aus 2021'!H49='#Boden'!$B$38,IF(CONCATENATE(" ",'Daten aus 2021'!W49)=$B$2,VLOOKUP($B$3,'#Frucht'!$A$8:$D$372,4,FALSE),VLOOKUP(CONCATENATE(" ",'Daten aus 2021'!W49),'#Frucht'!$A$8:$D$372,4,FALSE)),IF(OR(LEFT('Daten aus 2021'!Q49,5)=" *10 ",LEFT('Daten aus 2021'!Q49,5)=" *11 ",LEFT('Daten aus 2021'!Q49,5)=" *12 ",LEFT('Daten aus 2021'!Q49,5)=" *13 ",LEFT('Daten aus 2021'!Q49,5)=" *14 ",LEFT('Daten aus 2021'!Q49,5)=" *15 "),VLOOKUP(RIGHT('Daten aus 2021'!Q49,LEN('Daten aus 2021'!Q49)-4),'#Frucht'!$A$8:$D$372,4,FALSE),IF(LEFT('Daten aus 2021'!Q49,2)=" *",VLOOKUP(RIGHT('Daten aus 2021'!Q49,LEN('Daten aus 2021'!Q49)-3),'#Frucht'!$A$8:$D$372,4,FALSE),VLOOKUP('Daten aus 2021'!Q49,'#Frucht'!$A$8:$D$372,4,FALSE)))))),'#Frucht'!$D$8)</f>
        <v xml:space="preserve"> --  </v>
      </c>
      <c r="G47" s="127"/>
      <c r="H47" s="31"/>
      <c r="J47" s="938" t="str">
        <f>IF(OR(N47=3,$K$3=0,'Flächen u. Kulturen'!P52=""),"",IF(VLOOKUP('Flächen u. Kulturen'!P52,Kulturen[[HF]:[780]],'#BerechnungDBE'!$K$3,FALSE)=".","",VLOOKUP('Flächen u. Kulturen'!P52,Kulturen[[HF]:[780]],'#BerechnungDBE'!$K$3,FALSE)))</f>
        <v/>
      </c>
      <c r="K47" s="938" t="str">
        <f>IF(OR($K$3=0,'Flächen u. Kulturen'!P52=""),"",IF(N47=3,IF(VLOOKUP('Flächen u. Kulturen'!P52,Kulturen[[HF]:[780]],'#BerechnungDBE'!$K$3,FALSE)=".","",VLOOKUP('Flächen u. Kulturen'!P52,Kulturen[[HF]:[780]],'#BerechnungDBE'!$K$3,FALSE)),""))</f>
        <v/>
      </c>
      <c r="L47" s="367">
        <f>IF('Flächen u. Kulturen'!D52="",0,'Flächen u. Kulturen'!D52)</f>
        <v>0</v>
      </c>
      <c r="M47" s="693">
        <f>IF('Flächen u. Kulturen'!J52="",0,VLOOKUP('Flächen u. Kulturen'!J52,Kulturen[[HF]:[Berechnungsgruppe]],'#Frucht'!$W$1,FALSE))</f>
        <v>1</v>
      </c>
      <c r="N47" s="693">
        <f>IF('Flächen u. Kulturen'!P52="",0,VLOOKUP('Flächen u. Kulturen'!P52,Kulturen[[HF]:[Berechnungsgruppe]],'#Frucht'!$W$1,FALSE))</f>
        <v>1</v>
      </c>
      <c r="O47" s="875">
        <f>IF(N47&lt;&gt;2,N47,IF('Flächen u. Kulturen'!J52='Flächen u. Kulturen'!P52,2,1))</f>
        <v>1</v>
      </c>
      <c r="P47" s="875">
        <f>IF('Flächen u. Kulturen'!F52="",0,VLOOKUP('Flächen u. Kulturen'!F52,'#Boden'!$G$4:$H$8,'#Boden'!$H$1,FALSE))</f>
        <v>1</v>
      </c>
      <c r="Q47" s="875">
        <f>IF('Flächen u. Kulturen'!G52="",0,VLOOKUP('Flächen u. Kulturen'!G52,'#Boden'!$B$26:$C$29,'#Boden'!$C$1,FALSE))</f>
        <v>1</v>
      </c>
      <c r="R47" s="875">
        <f t="shared" si="19"/>
        <v>1</v>
      </c>
      <c r="S47" s="875">
        <f t="shared" si="20"/>
        <v>1</v>
      </c>
      <c r="T47" s="875">
        <f>IF('Flächen u. Kulturen'!H52="",0,VLOOKUP('Flächen u. Kulturen'!H52,'#Boden'!$B$23:$C$25,'#Boden'!$C$1,FALSE))</f>
        <v>2</v>
      </c>
      <c r="U47" s="875" t="str">
        <f>'Flächen u. Kulturen'!E52</f>
        <v>x</v>
      </c>
      <c r="V47" s="938">
        <f>IF('Flächen u. Kulturen'!Q52="",0,_xlfn.NUMBERVALUE('Flächen u. Kulturen'!Q52))</f>
        <v>0</v>
      </c>
      <c r="W47" s="938">
        <f>IF('Flächen u. Kulturen'!R52="",0,_xlfn.NUMBERVALUE('Flächen u. Kulturen'!R52))</f>
        <v>0</v>
      </c>
      <c r="X47" s="875">
        <f>IF('Flächen u. Kulturen'!T52="",0,VLOOKUP('Flächen u. Kulturen'!T52,'#Boden'!$B$30:$C$32,'#Boden'!$C$1,FALSE))</f>
        <v>1</v>
      </c>
      <c r="Y47" s="875">
        <f>IF('Flächen u. Kulturen'!P52="",0,VLOOKUP('Flächen u. Kulturen'!P52,Kulturen[[HF]:[Berechnungsgruppe]],'#Frucht'!$N$1,FALSE))</f>
        <v>0</v>
      </c>
      <c r="Z47" s="875">
        <f t="shared" si="21"/>
        <v>2</v>
      </c>
      <c r="AA47" s="875">
        <f>IF('Flächen u. Kulturen'!P52="",0,VLOOKUP('Flächen u. Kulturen'!P52,Kulturen[[HF]:[Berechnungsgruppe]],'#Frucht'!$V$1,FALSE))</f>
        <v>0</v>
      </c>
      <c r="AB47" s="875">
        <f>IF(N47=1,VLOOKUP('Flächen u. Kulturen'!P52,Kulturen[[HF]:[Ernteprodukt]],'#Frucht'!$I$1,FALSE),4)</f>
        <v>4</v>
      </c>
      <c r="AC47" s="921">
        <f>IF('Flächen u. Kulturen'!J52="",0,VLOOKUP('Flächen u. Kulturen'!J52,Kulturen[[HF]:[Berechnungsgruppe]],'#Frucht'!$G$1,FALSE))</f>
        <v>90</v>
      </c>
      <c r="AD47" s="921">
        <f>IF('Flächen u. Kulturen'!P52="",0,VLOOKUP('Flächen u. Kulturen'!P52,Kulturen[[HF]:[Berechnungsgruppe]],'#Frucht'!$G$1,FALSE))</f>
        <v>90</v>
      </c>
      <c r="AE47" s="938">
        <f>IF('Flächen u. Kulturen'!P52="",0,VLOOKUP('Flächen u. Kulturen'!P52,Kulturen[[HF]:[SollwertMinusNfix]],'#Frucht'!$X$1,FALSE))</f>
        <v>0</v>
      </c>
      <c r="AF47" s="875">
        <f>IF('Flächen u. Kulturen'!L52="",0,VLOOKUP('Flächen u. Kulturen'!L52,Nebenkultur[[Nebenkultur]:[Berechnungsschema]],'#Zweitfr'!$G$1,FALSE))</f>
        <v>0</v>
      </c>
      <c r="AG47" s="875">
        <f>IF('Flächen u. Kulturen'!L52="",0,VLOOKUP('Flächen u. Kulturen'!L52,'#Zweitfr'!$D$8:$Q$27,'#Zweitfr'!$Q$1,FALSE))</f>
        <v>0</v>
      </c>
      <c r="AH47" s="875">
        <f>IF('Flächen u. Kulturen'!M52="",0,VLOOKUP('Flächen u. Kulturen'!M52,'#Boden'!$G$17:$H$21,2,FALSE))</f>
        <v>1</v>
      </c>
      <c r="AI47" s="875">
        <f>IF('Flächen u. Kulturen'!N52="",0,VLOOKUP('Flächen u. Kulturen'!N52,'#Boden'!$G$22:$H$24,'#Boden'!$H$1,FALSE))</f>
        <v>1</v>
      </c>
      <c r="AJ47" s="938">
        <f>IF('Flächen u. Kulturen'!O52="",0,_xlfn.NUMBERVALUE('Flächen u. Kulturen'!O52))</f>
        <v>0</v>
      </c>
      <c r="AK47" s="938">
        <f>IF('Flächen u. Kulturen'!L52="",0,VLOOKUP('Flächen u. Kulturen'!L52,Nebenkultur[[Nebenkultur]:[Legum. Zwischenfr.]],'#Zweitfr'!$P$1,FALSE))</f>
        <v>0</v>
      </c>
      <c r="AL47" s="875">
        <f>IF('Flächen u. Kulturen'!P52="",0,VLOOKUP('Flächen u. Kulturen'!P52,Kulturen[[HF]:[Berechnungsgruppe]],'#Frucht'!$Q$1,FALSE))</f>
        <v>0</v>
      </c>
      <c r="AM47" s="875">
        <f>IF('Flächen u. Kulturen'!P52="",0,VLOOKUP('Flächen u. Kulturen'!P52,Kulturen[[HF]:[Berechnungsgruppe]],'#Frucht'!$M$1,FALSE))</f>
        <v>0</v>
      </c>
      <c r="AN47" s="875">
        <f>IF('Flächen u. Kulturen'!P52="",1,VLOOKUP('Flächen u. Kulturen'!P52,Kulturen[[HF]:[Berechnungsgruppe]],'#Frucht'!$R$1,FALSE))</f>
        <v>10</v>
      </c>
      <c r="AO47" s="875">
        <f>IF('Flächen u. Kulturen'!P52="",0,VLOOKUP('Flächen u. Kulturen'!P52,Kulturen[[HF]:[Berechnungsgruppe]],'#Frucht'!$S$1,FALSE))</f>
        <v>0</v>
      </c>
      <c r="AP47" s="875">
        <f>IF('Flächen u. Kulturen'!P52="",0,VLOOKUP('Flächen u. Kulturen'!P52,Kulturen[[HF]:[Berechnungsgruppe]],'#Frucht'!$T$1,FALSE))</f>
        <v>0</v>
      </c>
      <c r="AQ47" s="938">
        <f t="shared" si="32"/>
        <v>0</v>
      </c>
      <c r="AR47" s="875">
        <f t="shared" si="33"/>
        <v>0</v>
      </c>
      <c r="AS47" s="938">
        <f t="shared" si="34"/>
        <v>0</v>
      </c>
      <c r="AT47" s="875">
        <f>IF(N47=1,'Flächen u. Kulturen'!S52*-1,"--")</f>
        <v>0</v>
      </c>
      <c r="AU47" s="938">
        <f>IF(OR(N47=2,'Flächen u. Kulturen'!I52=""),"--",IF(N47=3,VLOOKUP('Flächen u. Kulturen'!I52,'#Boden'!$B$9:$E$15,'#Boden'!$D$1,FALSE),VLOOKUP('Flächen u. Kulturen'!I52,'#Boden'!$B$9:$E$15,'#Boden'!$E$1,FALSE)))</f>
        <v>0</v>
      </c>
      <c r="AV47" s="938">
        <f>IF(N47=1,IF('Flächen u. Kulturen'!J52="",0,VLOOKUP('Flächen u. Kulturen'!J52,Kulturen[[HF]:[Berechnungsgruppe]],'#Frucht'!$U$1,FALSE)*-1),"--")</f>
        <v>0</v>
      </c>
      <c r="AW47" s="875">
        <f t="shared" si="35"/>
        <v>0</v>
      </c>
      <c r="AX47" s="875">
        <f>IF('Flächen u. Kulturen'!K52="",0,'Flächen u. Kulturen'!K52*-0.1)</f>
        <v>0</v>
      </c>
      <c r="AY47" s="875">
        <f>IF(N47&lt;3,'#orgDung'!AC56*0.1*-1,"--")</f>
        <v>0</v>
      </c>
      <c r="AZ47" s="31" t="str">
        <f>IF(AND('#orgDung'!J56&lt;&gt;2,'#orgDung'!F56=1),('#orgDung'!V56+'#minDung'!O53)*-1,"--")</f>
        <v>--</v>
      </c>
      <c r="BA47" s="875">
        <f t="shared" si="22"/>
        <v>0</v>
      </c>
      <c r="BB47" s="938">
        <f>IF(R47=2,0,'Flächen u. Kulturen'!V52*-1)</f>
        <v>0</v>
      </c>
      <c r="BC47" s="875">
        <f t="shared" si="23"/>
        <v>0</v>
      </c>
      <c r="BD47" s="127">
        <f>'#orgDung'!W56*-1</f>
        <v>0</v>
      </c>
      <c r="BE47" s="910">
        <f>'#orgDung'!AA56*-1</f>
        <v>0</v>
      </c>
      <c r="BF47" s="875">
        <f>'#orgDung'!Z56*-1</f>
        <v>0</v>
      </c>
      <c r="BG47" s="938">
        <f t="shared" si="14"/>
        <v>0</v>
      </c>
      <c r="BH47" s="875">
        <f>'#Kürzungen'!AS71*-1</f>
        <v>0</v>
      </c>
      <c r="BI47" s="875">
        <f t="shared" si="36"/>
        <v>0</v>
      </c>
      <c r="BJ47" s="910">
        <f t="shared" si="37"/>
        <v>0</v>
      </c>
      <c r="BK47" s="875">
        <f>'#minDung'!P53</f>
        <v>0</v>
      </c>
      <c r="BL47" s="938">
        <f t="shared" si="15"/>
        <v>0</v>
      </c>
      <c r="BM47" s="938">
        <f t="shared" si="38"/>
        <v>0</v>
      </c>
      <c r="BN47" s="875">
        <f>IF('Flächen u. Kulturen'!P52="",0,VLOOKUP('Flächen u. Kulturen'!P52,Kulturen[[HF]:[Berechnungsgruppe]],'#Frucht'!$K$1,FALSE))</f>
        <v>0</v>
      </c>
      <c r="BO47" s="875">
        <f>IF('Flächen u. Kulturen'!P52="",0,VLOOKUP('Flächen u. Kulturen'!P52,Kulturen[[HF]:[Berechnungsgruppe]],'#Frucht'!$L$1,FALSE))</f>
        <v>0</v>
      </c>
      <c r="BP47" s="875">
        <f>IF('Flächen u. Kulturen'!L52="",0,VLOOKUP('Flächen u. Kulturen'!L52,Nebenkultur[[Nebenkultur]:[Legum. Zwischenfr.]],'#Zweitfr'!$H$1,FALSE))</f>
        <v>0</v>
      </c>
      <c r="BQ47" s="938">
        <f>IF(N47=3,W47*BO47,IF('Flächen u. Kulturen'!T52='#Boden'!$B$32,V47*BN47,V47*BO47))</f>
        <v>0</v>
      </c>
      <c r="BR47" s="938">
        <f t="shared" si="39"/>
        <v>0</v>
      </c>
      <c r="BS47" s="875">
        <f t="shared" si="24"/>
        <v>0</v>
      </c>
      <c r="BT47" s="875">
        <f>IF('Flächen u. Kulturen'!F52="",0,IF(N47=3,VLOOKUP('Flächen u. Kulturen'!F52,'#Boden'!$G$4:$J$8,'#Boden'!$J$1,FALSE),VLOOKUP('Flächen u. Kulturen'!F52,'#Boden'!$G$4:$J$8,'#Boden'!$I$1,FALSE)))</f>
        <v>0</v>
      </c>
      <c r="BU47" s="41">
        <f t="shared" si="25"/>
        <v>0</v>
      </c>
      <c r="BV47" s="875">
        <f t="shared" si="26"/>
        <v>0</v>
      </c>
      <c r="BW47" s="938" t="str">
        <f t="shared" si="16"/>
        <v/>
      </c>
      <c r="BX47" s="875">
        <f>'#orgDung'!T56*-1</f>
        <v>0</v>
      </c>
      <c r="BY47" s="875">
        <f t="shared" si="40"/>
        <v>0</v>
      </c>
      <c r="BZ47" s="938" t="str">
        <f>IF(U47&lt;&gt;"x",0,IF(P47&lt;4,"",(BW47+BX47-'#minDung'!N53)*-1))</f>
        <v/>
      </c>
      <c r="CB47" s="938">
        <f>IF(AND(AF47=70,U47="x"),'Flächen u. Kulturen'!A52,1000)</f>
        <v>1000</v>
      </c>
      <c r="CC47" s="875" t="str">
        <f>IF(AF47=70,VLOOKUP('Flächen u. Kulturen'!L52,Nebenkultur[[Nebenkultur]:[Legum. Zwischenfr.]],'#Zweitfr'!$I$1,FALSE),"--")</f>
        <v>--</v>
      </c>
      <c r="CD47" s="875" t="str">
        <f>IF(AF47=70,VLOOKUP('Flächen u. Kulturen'!L52,Nebenkultur[[Nebenkultur]:[Legum. Zwischenfr.]],'#Zweitfr'!$L$1,FALSE),"--")</f>
        <v>--</v>
      </c>
      <c r="CE47" s="875" t="str">
        <f>IF(AF47=70,VLOOKUP('Flächen u. Kulturen'!L52,Nebenkultur[[Nebenkultur]:[Legum. Zwischenfr.]],'#Zweitfr'!$M$1,FALSE),"--")</f>
        <v>--</v>
      </c>
      <c r="CF47" s="875" t="str">
        <f>IF(AF47=70,VLOOKUP('Flächen u. Kulturen'!L52,Nebenkultur[[Nebenkultur]:[Legum. Zwischenfr.]],'#Zweitfr'!$N$1,FALSE),"--")</f>
        <v>--</v>
      </c>
      <c r="CG47" s="875" t="str">
        <f>IF(AF47=70,VLOOKUP('Flächen u. Kulturen'!L52,Nebenkultur[[Nebenkultur]:[Legum. Zwischenfr.]],'#Zweitfr'!$O$1,FALSE),"--")</f>
        <v>--</v>
      </c>
      <c r="CH47" s="875" t="str">
        <f t="shared" si="41"/>
        <v>--</v>
      </c>
      <c r="CI47" s="938">
        <f>IF('Flächen u. Kulturen'!L52="",0,VLOOKUP('Flächen u. Kulturen'!L52,Nebenkultur[[Nebenkultur]:[Legum. Zwischenfr.]],'#Zweitfr'!$J$1,FALSE))</f>
        <v>0</v>
      </c>
      <c r="CJ47" s="875">
        <f t="shared" si="42"/>
        <v>0</v>
      </c>
      <c r="CK47" s="890">
        <f t="shared" si="43"/>
        <v>0</v>
      </c>
      <c r="CL47" s="938">
        <f>IF(AND(R47=1,AF47=70),'Flächen u. Kulturen'!W52*-1,0)</f>
        <v>0</v>
      </c>
      <c r="CM47" s="875">
        <f>'#orgDung'!AE56*-1</f>
        <v>0</v>
      </c>
      <c r="CN47" s="875">
        <f t="shared" si="27"/>
        <v>0</v>
      </c>
      <c r="CO47" s="875">
        <f t="shared" si="28"/>
        <v>0</v>
      </c>
      <c r="CP47" s="875">
        <f>'#Kürzungen'!AS172*-1</f>
        <v>0</v>
      </c>
      <c r="CQ47" s="875">
        <f t="shared" si="29"/>
        <v>0</v>
      </c>
      <c r="CR47" s="875">
        <f t="shared" si="30"/>
        <v>0</v>
      </c>
      <c r="CS47" s="875">
        <f>'#minDung'!R53</f>
        <v>0</v>
      </c>
      <c r="CT47" s="938">
        <f t="shared" si="18"/>
        <v>0</v>
      </c>
      <c r="CU47" s="52" t="str">
        <f>'#Kürzungen'!AQ172</f>
        <v xml:space="preserve"> </v>
      </c>
      <c r="CW47" s="247">
        <f>IF('Flächen u. Kulturen'!D52="",0,IF(ISNUMBER('Flächen u. Kulturen'!D52)=TRUE,2,1))</f>
        <v>0</v>
      </c>
      <c r="CX47" s="247">
        <f>IF('Flächen u. Kulturen'!E52="",0,COUNTIF('#Boden'!$B$47,'Flächen u. Kulturen'!E52)+1)</f>
        <v>2</v>
      </c>
      <c r="CY47" s="247">
        <f>IF('Flächen u. Kulturen'!F52="",0,COUNTIF('#Boden'!$G$4:$G$8,'Flächen u. Kulturen'!F52)+1)</f>
        <v>2</v>
      </c>
      <c r="CZ47" s="247">
        <f>IF('Flächen u. Kulturen'!G52="",0,COUNTIF('#Boden'!$B$26:$B$29,'Flächen u. Kulturen'!G52)+1)</f>
        <v>2</v>
      </c>
      <c r="DA47" s="247">
        <f>IF('Flächen u. Kulturen'!H52="",0,COUNTIF('#Boden'!$B$26:$B$29,'Flächen u. Kulturen'!H52)+1)</f>
        <v>2</v>
      </c>
      <c r="DB47" s="247">
        <f>IF('Flächen u. Kulturen'!I52="",0,COUNTIF('#Boden'!$B$9:$B$15,'Flächen u. Kulturen'!I52)+1)</f>
        <v>2</v>
      </c>
      <c r="DC47" s="247">
        <f>IF('Flächen u. Kulturen'!J52="",0,COUNTIF(Kulturen[HF],'Flächen u. Kulturen'!J52)+1)</f>
        <v>2</v>
      </c>
      <c r="DD47" s="247">
        <f>IF('Flächen u. Kulturen'!L52="",0,COUNTIF(Nebenkultur[Nebenkultur],'Flächen u. Kulturen'!L52)+1)</f>
        <v>2</v>
      </c>
      <c r="DE47" s="247">
        <f>IF('Flächen u. Kulturen'!M52="",0,COUNTIF('#Boden'!$G$17:$G$21,'Flächen u. Kulturen'!M52)+1)</f>
        <v>2</v>
      </c>
      <c r="DF47" s="247">
        <f>IF('Flächen u. Kulturen'!N52="",0,COUNTIF('#Boden'!$G$22:$G$24,'Flächen u. Kulturen'!N52)+1)</f>
        <v>2</v>
      </c>
      <c r="DG47" s="247">
        <f>IF('Flächen u. Kulturen'!P52="",0,COUNTIF(Kulturen[HF],'Flächen u. Kulturen'!P52)+1)</f>
        <v>2</v>
      </c>
      <c r="DH47" s="247">
        <f>IF('Flächen u. Kulturen'!T52="",0,COUNTIF('#Boden'!$B$30:$B$32,'Flächen u. Kulturen'!T52)+1)</f>
        <v>2</v>
      </c>
      <c r="DI47" s="247">
        <f>IF('Flächen u. Kulturen'!K52="",0,IF(ISNUMBER('Flächen u. Kulturen'!K52)=TRUE,2,1))</f>
        <v>0</v>
      </c>
      <c r="DJ47" s="247">
        <f>IF('Flächen u. Kulturen'!U52="",0,IF(ISNUMBER('Flächen u. Kulturen'!U52)=TRUE,2,1))</f>
        <v>0</v>
      </c>
      <c r="DK47" s="247">
        <f>IF('Flächen u. Kulturen'!V52="",0,IF(ISNUMBER('Flächen u. Kulturen'!V52)=TRUE,2,1))</f>
        <v>0</v>
      </c>
      <c r="DL47" s="247">
        <f>IF('Flächen u. Kulturen'!W52="",0,IF(ISNUMBER('Flächen u. Kulturen'!W52)=TRUE,2,1))</f>
        <v>0</v>
      </c>
      <c r="DM47" s="247">
        <f t="shared" si="31"/>
        <v>0</v>
      </c>
      <c r="DN47" s="247" t="s">
        <v>344</v>
      </c>
      <c r="DO47" s="247">
        <f>IF(U47&lt;&gt;"x","",IF(OR('Flächen u. Kulturen'!B52="",'Flächen u. Kulturen'!C52="",'Flächen u. Kulturen'!D52="",'Flächen u. Kulturen'!D52=0,'Flächen u. Kulturen'!F52="",'Flächen u. Kulturen'!F52='#Boden'!$G$4,'Flächen u. Kulturen'!G52="",'Flächen u. Kulturen'!G52='#Boden'!$B$26,'Flächen u. Kulturen'!H52="",'Flächen u. Kulturen'!H52='#Boden'!$B$23,AND(N47&lt;&gt;2,OR('Flächen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Kulturen'!Q52="",'#BerechnungDBE'!N47&lt;3),AND('Flächen u. Kulturen'!R52="",'#BerechnungDBE'!N47=3),AND(N47=1,AL47&gt;0,'Flächen u. Kulturen'!S52=""),AND(N47=1,OR('Flächen u. Kulturen'!T52="",'Flächen u. Kulturen'!T52='#Boden'!$B$30)),AND('#BerechnungDBE'!AF47=70,OR('Flächen u. Kulturen'!N52="",'Flächen u. Kulturen'!N52='#Boden'!$G$22,'Flächen u. Kulturen'!O52="")),AND('#BerechnungDBE'!AF47=80,OR('Flächen u. Kulturen'!M52="",'Flächen u. Kulturen'!M52='#Boden'!$G$17,'Flächen u. Kulturen'!N52="",'Flächen u. Kulturen'!N52='#Boden'!$G$22))),$DO$4,""))</f>
        <v>1</v>
      </c>
      <c r="DP47" s="247" t="str">
        <f>IF(U47&lt;&gt;"x","",IF(OR(LEFT('Flächen u. Kulturen'!J52,2)=" +",LEFT('Flächen u. Kulturen'!L52,2)=" +",LEFT('Flächen u. Kulturen'!P52,2)=" +"),$DP$4,""))</f>
        <v/>
      </c>
      <c r="DQ47" s="428" t="str">
        <f t="shared" si="44"/>
        <v/>
      </c>
      <c r="DR47" s="938" t="str">
        <f t="shared" si="45"/>
        <v/>
      </c>
      <c r="DS47" s="938" t="str">
        <f>IF('Flächen u. Kulturen'!X52="","",ROW('Flächen u. Kulturen'!X52))</f>
        <v/>
      </c>
    </row>
    <row r="48" spans="1:123" s="875" customFormat="1" x14ac:dyDescent="0.2">
      <c r="A48" s="875" t="str">
        <f>IF('Daten aus 2021'!H50="",'#Boden'!$B$26,IF('Daten aus 2021'!H50='#Boden'!$B$39,IF('Daten aus 2021'!F50='#Boden'!$B$29,'#Boden'!$B$29,IF('Daten aus 2021'!K50='#Boden'!$B$34,'#Boden'!$B$28,'#Boden'!$B$27)),'Daten aus 2021'!F50))</f>
        <v xml:space="preserve"> --</v>
      </c>
      <c r="B48" s="875" t="str">
        <f>IF('Daten aus 2021'!H50='#Boden'!$B$39,IF('Daten aus 2021'!L50='#Boden'!$B$61,'#Boden'!$B$11,'Daten aus 2021'!L50),IF('Daten aus 2021'!P50='#Boden'!$B$58,'#Boden'!$B$11,IF('Daten aus 2021'!P50='#Boden'!$B$57,'#Boden'!$B$10,'#Boden'!$B$9)))</f>
        <v xml:space="preserve"> --         </v>
      </c>
      <c r="C48" s="875" t="str">
        <f>IF('Daten aus 2021'!N50="","",VLOOKUP('Daten aus 2021'!N50,'#Boden'!$B$68:$C$89,2,FALSE))</f>
        <v/>
      </c>
      <c r="D48" s="875" t="str">
        <f>IF('Daten aus 2021'!M50="","",VLOOKUP('Daten aus 2021'!M50,'#Boden'!$D$69:$E$73,2,FALSE))</f>
        <v/>
      </c>
      <c r="E48" s="938" t="str">
        <f>IF(OR(C48='#Boden'!$C$68,C48='#Boden'!$C$70),C48,CONCATENATE(C48,D48))</f>
        <v/>
      </c>
      <c r="F48" s="882" t="str">
        <f>IFERROR(IF('Daten aus 2021'!H50="",'#Frucht'!$D$8,IF('Daten aus 2021'!H50='#Boden'!$B$39,E48,IF('Daten aus 2021'!H50='#Boden'!$B$38,IF(CONCATENATE(" ",'Daten aus 2021'!W50)=$B$2,VLOOKUP($B$3,'#Frucht'!$A$8:$D$372,4,FALSE),VLOOKUP(CONCATENATE(" ",'Daten aus 2021'!W50),'#Frucht'!$A$8:$D$372,4,FALSE)),IF(OR(LEFT('Daten aus 2021'!Q50,5)=" *10 ",LEFT('Daten aus 2021'!Q50,5)=" *11 ",LEFT('Daten aus 2021'!Q50,5)=" *12 ",LEFT('Daten aus 2021'!Q50,5)=" *13 ",LEFT('Daten aus 2021'!Q50,5)=" *14 ",LEFT('Daten aus 2021'!Q50,5)=" *15 "),VLOOKUP(RIGHT('Daten aus 2021'!Q50,LEN('Daten aus 2021'!Q50)-4),'#Frucht'!$A$8:$D$372,4,FALSE),IF(LEFT('Daten aus 2021'!Q50,2)=" *",VLOOKUP(RIGHT('Daten aus 2021'!Q50,LEN('Daten aus 2021'!Q50)-3),'#Frucht'!$A$8:$D$372,4,FALSE),VLOOKUP('Daten aus 2021'!Q50,'#Frucht'!$A$8:$D$372,4,FALSE)))))),'#Frucht'!$D$8)</f>
        <v xml:space="preserve"> --  </v>
      </c>
      <c r="G48" s="127"/>
      <c r="H48" s="31"/>
      <c r="J48" s="938" t="str">
        <f>IF(OR(N48=3,$K$3=0,'Flächen u. Kulturen'!P53=""),"",IF(VLOOKUP('Flächen u. Kulturen'!P53,Kulturen[[HF]:[780]],'#BerechnungDBE'!$K$3,FALSE)=".","",VLOOKUP('Flächen u. Kulturen'!P53,Kulturen[[HF]:[780]],'#BerechnungDBE'!$K$3,FALSE)))</f>
        <v/>
      </c>
      <c r="K48" s="938" t="str">
        <f>IF(OR($K$3=0,'Flächen u. Kulturen'!P53=""),"",IF(N48=3,IF(VLOOKUP('Flächen u. Kulturen'!P53,Kulturen[[HF]:[780]],'#BerechnungDBE'!$K$3,FALSE)=".","",VLOOKUP('Flächen u. Kulturen'!P53,Kulturen[[HF]:[780]],'#BerechnungDBE'!$K$3,FALSE)),""))</f>
        <v/>
      </c>
      <c r="L48" s="367">
        <f>IF('Flächen u. Kulturen'!D53="",0,'Flächen u. Kulturen'!D53)</f>
        <v>0</v>
      </c>
      <c r="M48" s="693">
        <f>IF('Flächen u. Kulturen'!J53="",0,VLOOKUP('Flächen u. Kulturen'!J53,Kulturen[[HF]:[Berechnungsgruppe]],'#Frucht'!$W$1,FALSE))</f>
        <v>1</v>
      </c>
      <c r="N48" s="693">
        <f>IF('Flächen u. Kulturen'!P53="",0,VLOOKUP('Flächen u. Kulturen'!P53,Kulturen[[HF]:[Berechnungsgruppe]],'#Frucht'!$W$1,FALSE))</f>
        <v>1</v>
      </c>
      <c r="O48" s="875">
        <f>IF(N48&lt;&gt;2,N48,IF('Flächen u. Kulturen'!J53='Flächen u. Kulturen'!P53,2,1))</f>
        <v>1</v>
      </c>
      <c r="P48" s="875">
        <f>IF('Flächen u. Kulturen'!F53="",0,VLOOKUP('Flächen u. Kulturen'!F53,'#Boden'!$G$4:$H$8,'#Boden'!$H$1,FALSE))</f>
        <v>1</v>
      </c>
      <c r="Q48" s="875">
        <f>IF('Flächen u. Kulturen'!G53="",0,VLOOKUP('Flächen u. Kulturen'!G53,'#Boden'!$B$26:$C$29,'#Boden'!$C$1,FALSE))</f>
        <v>1</v>
      </c>
      <c r="R48" s="875">
        <f t="shared" si="19"/>
        <v>1</v>
      </c>
      <c r="S48" s="875">
        <f t="shared" si="20"/>
        <v>1</v>
      </c>
      <c r="T48" s="875">
        <f>IF('Flächen u. Kulturen'!H53="",0,VLOOKUP('Flächen u. Kulturen'!H53,'#Boden'!$B$23:$C$25,'#Boden'!$C$1,FALSE))</f>
        <v>2</v>
      </c>
      <c r="U48" s="875" t="str">
        <f>'Flächen u. Kulturen'!E53</f>
        <v>x</v>
      </c>
      <c r="V48" s="938">
        <f>IF('Flächen u. Kulturen'!Q53="",0,_xlfn.NUMBERVALUE('Flächen u. Kulturen'!Q53))</f>
        <v>0</v>
      </c>
      <c r="W48" s="938">
        <f>IF('Flächen u. Kulturen'!R53="",0,_xlfn.NUMBERVALUE('Flächen u. Kulturen'!R53))</f>
        <v>0</v>
      </c>
      <c r="X48" s="875">
        <f>IF('Flächen u. Kulturen'!T53="",0,VLOOKUP('Flächen u. Kulturen'!T53,'#Boden'!$B$30:$C$32,'#Boden'!$C$1,FALSE))</f>
        <v>1</v>
      </c>
      <c r="Y48" s="875">
        <f>IF('Flächen u. Kulturen'!P53="",0,VLOOKUP('Flächen u. Kulturen'!P53,Kulturen[[HF]:[Berechnungsgruppe]],'#Frucht'!$N$1,FALSE))</f>
        <v>0</v>
      </c>
      <c r="Z48" s="875">
        <f t="shared" si="21"/>
        <v>2</v>
      </c>
      <c r="AA48" s="875">
        <f>IF('Flächen u. Kulturen'!P53="",0,VLOOKUP('Flächen u. Kulturen'!P53,Kulturen[[HF]:[Berechnungsgruppe]],'#Frucht'!$V$1,FALSE))</f>
        <v>0</v>
      </c>
      <c r="AB48" s="875">
        <f>IF(N48=1,VLOOKUP('Flächen u. Kulturen'!P53,Kulturen[[HF]:[Ernteprodukt]],'#Frucht'!$I$1,FALSE),4)</f>
        <v>4</v>
      </c>
      <c r="AC48" s="921">
        <f>IF('Flächen u. Kulturen'!J53="",0,VLOOKUP('Flächen u. Kulturen'!J53,Kulturen[[HF]:[Berechnungsgruppe]],'#Frucht'!$G$1,FALSE))</f>
        <v>90</v>
      </c>
      <c r="AD48" s="921">
        <f>IF('Flächen u. Kulturen'!P53="",0,VLOOKUP('Flächen u. Kulturen'!P53,Kulturen[[HF]:[Berechnungsgruppe]],'#Frucht'!$G$1,FALSE))</f>
        <v>90</v>
      </c>
      <c r="AE48" s="938">
        <f>IF('Flächen u. Kulturen'!P53="",0,VLOOKUP('Flächen u. Kulturen'!P53,Kulturen[[HF]:[SollwertMinusNfix]],'#Frucht'!$X$1,FALSE))</f>
        <v>0</v>
      </c>
      <c r="AF48" s="875">
        <f>IF('Flächen u. Kulturen'!L53="",0,VLOOKUP('Flächen u. Kulturen'!L53,Nebenkultur[[Nebenkultur]:[Berechnungsschema]],'#Zweitfr'!$G$1,FALSE))</f>
        <v>0</v>
      </c>
      <c r="AG48" s="875">
        <f>IF('Flächen u. Kulturen'!L53="",0,VLOOKUP('Flächen u. Kulturen'!L53,'#Zweitfr'!$D$8:$Q$27,'#Zweitfr'!$Q$1,FALSE))</f>
        <v>0</v>
      </c>
      <c r="AH48" s="875">
        <f>IF('Flächen u. Kulturen'!M53="",0,VLOOKUP('Flächen u. Kulturen'!M53,'#Boden'!$G$17:$H$21,2,FALSE))</f>
        <v>1</v>
      </c>
      <c r="AI48" s="875">
        <f>IF('Flächen u. Kulturen'!N53="",0,VLOOKUP('Flächen u. Kulturen'!N53,'#Boden'!$G$22:$H$24,'#Boden'!$H$1,FALSE))</f>
        <v>1</v>
      </c>
      <c r="AJ48" s="938">
        <f>IF('Flächen u. Kulturen'!O53="",0,_xlfn.NUMBERVALUE('Flächen u. Kulturen'!O53))</f>
        <v>0</v>
      </c>
      <c r="AK48" s="938">
        <f>IF('Flächen u. Kulturen'!L53="",0,VLOOKUP('Flächen u. Kulturen'!L53,Nebenkultur[[Nebenkultur]:[Legum. Zwischenfr.]],'#Zweitfr'!$P$1,FALSE))</f>
        <v>0</v>
      </c>
      <c r="AL48" s="875">
        <f>IF('Flächen u. Kulturen'!P53="",0,VLOOKUP('Flächen u. Kulturen'!P53,Kulturen[[HF]:[Berechnungsgruppe]],'#Frucht'!$Q$1,FALSE))</f>
        <v>0</v>
      </c>
      <c r="AM48" s="875">
        <f>IF('Flächen u. Kulturen'!P53="",0,VLOOKUP('Flächen u. Kulturen'!P53,Kulturen[[HF]:[Berechnungsgruppe]],'#Frucht'!$M$1,FALSE))</f>
        <v>0</v>
      </c>
      <c r="AN48" s="875">
        <f>IF('Flächen u. Kulturen'!P53="",1,VLOOKUP('Flächen u. Kulturen'!P53,Kulturen[[HF]:[Berechnungsgruppe]],'#Frucht'!$R$1,FALSE))</f>
        <v>10</v>
      </c>
      <c r="AO48" s="875">
        <f>IF('Flächen u. Kulturen'!P53="",0,VLOOKUP('Flächen u. Kulturen'!P53,Kulturen[[HF]:[Berechnungsgruppe]],'#Frucht'!$S$1,FALSE))</f>
        <v>0</v>
      </c>
      <c r="AP48" s="875">
        <f>IF('Flächen u. Kulturen'!P53="",0,VLOOKUP('Flächen u. Kulturen'!P53,Kulturen[[HF]:[Berechnungsgruppe]],'#Frucht'!$T$1,FALSE))</f>
        <v>0</v>
      </c>
      <c r="AQ48" s="938">
        <f t="shared" si="32"/>
        <v>0</v>
      </c>
      <c r="AR48" s="875">
        <f t="shared" si="33"/>
        <v>0</v>
      </c>
      <c r="AS48" s="938">
        <f t="shared" si="34"/>
        <v>0</v>
      </c>
      <c r="AT48" s="875">
        <f>IF(N48=1,'Flächen u. Kulturen'!S53*-1,"--")</f>
        <v>0</v>
      </c>
      <c r="AU48" s="938">
        <f>IF(OR(N48=2,'Flächen u. Kulturen'!I53=""),"--",IF(N48=3,VLOOKUP('Flächen u. Kulturen'!I53,'#Boden'!$B$9:$E$15,'#Boden'!$D$1,FALSE),VLOOKUP('Flächen u. Kulturen'!I53,'#Boden'!$B$9:$E$15,'#Boden'!$E$1,FALSE)))</f>
        <v>0</v>
      </c>
      <c r="AV48" s="938">
        <f>IF(N48=1,IF('Flächen u. Kulturen'!J53="",0,VLOOKUP('Flächen u. Kulturen'!J53,Kulturen[[HF]:[Berechnungsgruppe]],'#Frucht'!$U$1,FALSE)*-1),"--")</f>
        <v>0</v>
      </c>
      <c r="AW48" s="875">
        <f t="shared" si="35"/>
        <v>0</v>
      </c>
      <c r="AX48" s="875">
        <f>IF('Flächen u. Kulturen'!K53="",0,'Flächen u. Kulturen'!K53*-0.1)</f>
        <v>0</v>
      </c>
      <c r="AY48" s="875">
        <f>IF(N48&lt;3,'#orgDung'!AC57*0.1*-1,"--")</f>
        <v>0</v>
      </c>
      <c r="AZ48" s="31" t="str">
        <f>IF(AND('#orgDung'!J57&lt;&gt;2,'#orgDung'!F57=1),('#orgDung'!V57+'#minDung'!O54)*-1,"--")</f>
        <v>--</v>
      </c>
      <c r="BA48" s="875">
        <f t="shared" si="22"/>
        <v>0</v>
      </c>
      <c r="BB48" s="938">
        <f>IF(R48=2,0,'Flächen u. Kulturen'!V53*-1)</f>
        <v>0</v>
      </c>
      <c r="BC48" s="875">
        <f t="shared" si="23"/>
        <v>0</v>
      </c>
      <c r="BD48" s="127">
        <f>'#orgDung'!W57*-1</f>
        <v>0</v>
      </c>
      <c r="BE48" s="910">
        <f>'#orgDung'!AA57*-1</f>
        <v>0</v>
      </c>
      <c r="BF48" s="875">
        <f>'#orgDung'!Z57*-1</f>
        <v>0</v>
      </c>
      <c r="BG48" s="938">
        <f t="shared" si="14"/>
        <v>0</v>
      </c>
      <c r="BH48" s="875">
        <f>'#Kürzungen'!AS72*-1</f>
        <v>0</v>
      </c>
      <c r="BI48" s="875">
        <f t="shared" si="36"/>
        <v>0</v>
      </c>
      <c r="BJ48" s="910">
        <f t="shared" si="37"/>
        <v>0</v>
      </c>
      <c r="BK48" s="875">
        <f>'#minDung'!P54</f>
        <v>0</v>
      </c>
      <c r="BL48" s="938">
        <f t="shared" si="15"/>
        <v>0</v>
      </c>
      <c r="BM48" s="938">
        <f t="shared" si="38"/>
        <v>0</v>
      </c>
      <c r="BN48" s="875">
        <f>IF('Flächen u. Kulturen'!P53="",0,VLOOKUP('Flächen u. Kulturen'!P53,Kulturen[[HF]:[Berechnungsgruppe]],'#Frucht'!$K$1,FALSE))</f>
        <v>0</v>
      </c>
      <c r="BO48" s="875">
        <f>IF('Flächen u. Kulturen'!P53="",0,VLOOKUP('Flächen u. Kulturen'!P53,Kulturen[[HF]:[Berechnungsgruppe]],'#Frucht'!$L$1,FALSE))</f>
        <v>0</v>
      </c>
      <c r="BP48" s="875">
        <f>IF('Flächen u. Kulturen'!L53="",0,VLOOKUP('Flächen u. Kulturen'!L53,Nebenkultur[[Nebenkultur]:[Legum. Zwischenfr.]],'#Zweitfr'!$H$1,FALSE))</f>
        <v>0</v>
      </c>
      <c r="BQ48" s="938">
        <f>IF(N48=3,W48*BO48,IF('Flächen u. Kulturen'!T53='#Boden'!$B$32,V48*BN48,V48*BO48))</f>
        <v>0</v>
      </c>
      <c r="BR48" s="938">
        <f t="shared" si="39"/>
        <v>0</v>
      </c>
      <c r="BS48" s="875">
        <f t="shared" si="24"/>
        <v>0</v>
      </c>
      <c r="BT48" s="875">
        <f>IF('Flächen u. Kulturen'!F53="",0,IF(N48=3,VLOOKUP('Flächen u. Kulturen'!F53,'#Boden'!$G$4:$J$8,'#Boden'!$J$1,FALSE),VLOOKUP('Flächen u. Kulturen'!F53,'#Boden'!$G$4:$J$8,'#Boden'!$I$1,FALSE)))</f>
        <v>0</v>
      </c>
      <c r="BU48" s="41">
        <f t="shared" si="25"/>
        <v>0</v>
      </c>
      <c r="BV48" s="875">
        <f t="shared" si="26"/>
        <v>0</v>
      </c>
      <c r="BW48" s="938" t="str">
        <f t="shared" si="16"/>
        <v/>
      </c>
      <c r="BX48" s="875">
        <f>'#orgDung'!T57*-1</f>
        <v>0</v>
      </c>
      <c r="BY48" s="875">
        <f t="shared" si="40"/>
        <v>0</v>
      </c>
      <c r="BZ48" s="938" t="str">
        <f>IF(U48&lt;&gt;"x",0,IF(P48&lt;4,"",(BW48+BX48-'#minDung'!N54)*-1))</f>
        <v/>
      </c>
      <c r="CB48" s="938">
        <f>IF(AND(AF48=70,U48="x"),'Flächen u. Kulturen'!A53,1000)</f>
        <v>1000</v>
      </c>
      <c r="CC48" s="875" t="str">
        <f>IF(AF48=70,VLOOKUP('Flächen u. Kulturen'!L53,Nebenkultur[[Nebenkultur]:[Legum. Zwischenfr.]],'#Zweitfr'!$I$1,FALSE),"--")</f>
        <v>--</v>
      </c>
      <c r="CD48" s="875" t="str">
        <f>IF(AF48=70,VLOOKUP('Flächen u. Kulturen'!L53,Nebenkultur[[Nebenkultur]:[Legum. Zwischenfr.]],'#Zweitfr'!$L$1,FALSE),"--")</f>
        <v>--</v>
      </c>
      <c r="CE48" s="875" t="str">
        <f>IF(AF48=70,VLOOKUP('Flächen u. Kulturen'!L53,Nebenkultur[[Nebenkultur]:[Legum. Zwischenfr.]],'#Zweitfr'!$M$1,FALSE),"--")</f>
        <v>--</v>
      </c>
      <c r="CF48" s="875" t="str">
        <f>IF(AF48=70,VLOOKUP('Flächen u. Kulturen'!L53,Nebenkultur[[Nebenkultur]:[Legum. Zwischenfr.]],'#Zweitfr'!$N$1,FALSE),"--")</f>
        <v>--</v>
      </c>
      <c r="CG48" s="875" t="str">
        <f>IF(AF48=70,VLOOKUP('Flächen u. Kulturen'!L53,Nebenkultur[[Nebenkultur]:[Legum. Zwischenfr.]],'#Zweitfr'!$O$1,FALSE),"--")</f>
        <v>--</v>
      </c>
      <c r="CH48" s="875" t="str">
        <f t="shared" si="41"/>
        <v>--</v>
      </c>
      <c r="CI48" s="938">
        <f>IF('Flächen u. Kulturen'!L53="",0,VLOOKUP('Flächen u. Kulturen'!L53,Nebenkultur[[Nebenkultur]:[Legum. Zwischenfr.]],'#Zweitfr'!$J$1,FALSE))</f>
        <v>0</v>
      </c>
      <c r="CJ48" s="875">
        <f t="shared" si="42"/>
        <v>0</v>
      </c>
      <c r="CK48" s="890">
        <f t="shared" si="43"/>
        <v>0</v>
      </c>
      <c r="CL48" s="938">
        <f>IF(AND(R48=1,AF48=70),'Flächen u. Kulturen'!W53*-1,0)</f>
        <v>0</v>
      </c>
      <c r="CM48" s="875">
        <f>'#orgDung'!AE57*-1</f>
        <v>0</v>
      </c>
      <c r="CN48" s="875">
        <f t="shared" si="27"/>
        <v>0</v>
      </c>
      <c r="CO48" s="875">
        <f t="shared" si="28"/>
        <v>0</v>
      </c>
      <c r="CP48" s="875">
        <f>'#Kürzungen'!AS173*-1</f>
        <v>0</v>
      </c>
      <c r="CQ48" s="875">
        <f t="shared" si="29"/>
        <v>0</v>
      </c>
      <c r="CR48" s="875">
        <f t="shared" si="30"/>
        <v>0</v>
      </c>
      <c r="CS48" s="875">
        <f>'#minDung'!R54</f>
        <v>0</v>
      </c>
      <c r="CT48" s="938">
        <f t="shared" si="18"/>
        <v>0</v>
      </c>
      <c r="CU48" s="52" t="str">
        <f>'#Kürzungen'!AQ173</f>
        <v xml:space="preserve"> </v>
      </c>
      <c r="CW48" s="247">
        <f>IF('Flächen u. Kulturen'!D53="",0,IF(ISNUMBER('Flächen u. Kulturen'!D53)=TRUE,2,1))</f>
        <v>0</v>
      </c>
      <c r="CX48" s="247">
        <f>IF('Flächen u. Kulturen'!E53="",0,COUNTIF('#Boden'!$B$47,'Flächen u. Kulturen'!E53)+1)</f>
        <v>2</v>
      </c>
      <c r="CY48" s="247">
        <f>IF('Flächen u. Kulturen'!F53="",0,COUNTIF('#Boden'!$G$4:$G$8,'Flächen u. Kulturen'!F53)+1)</f>
        <v>2</v>
      </c>
      <c r="CZ48" s="247">
        <f>IF('Flächen u. Kulturen'!G53="",0,COUNTIF('#Boden'!$B$26:$B$29,'Flächen u. Kulturen'!G53)+1)</f>
        <v>2</v>
      </c>
      <c r="DA48" s="247">
        <f>IF('Flächen u. Kulturen'!H53="",0,COUNTIF('#Boden'!$B$26:$B$29,'Flächen u. Kulturen'!H53)+1)</f>
        <v>2</v>
      </c>
      <c r="DB48" s="247">
        <f>IF('Flächen u. Kulturen'!I53="",0,COUNTIF('#Boden'!$B$9:$B$15,'Flächen u. Kulturen'!I53)+1)</f>
        <v>2</v>
      </c>
      <c r="DC48" s="247">
        <f>IF('Flächen u. Kulturen'!J53="",0,COUNTIF(Kulturen[HF],'Flächen u. Kulturen'!J53)+1)</f>
        <v>2</v>
      </c>
      <c r="DD48" s="247">
        <f>IF('Flächen u. Kulturen'!L53="",0,COUNTIF(Nebenkultur[Nebenkultur],'Flächen u. Kulturen'!L53)+1)</f>
        <v>2</v>
      </c>
      <c r="DE48" s="247">
        <f>IF('Flächen u. Kulturen'!M53="",0,COUNTIF('#Boden'!$G$17:$G$21,'Flächen u. Kulturen'!M53)+1)</f>
        <v>2</v>
      </c>
      <c r="DF48" s="247">
        <f>IF('Flächen u. Kulturen'!N53="",0,COUNTIF('#Boden'!$G$22:$G$24,'Flächen u. Kulturen'!N53)+1)</f>
        <v>2</v>
      </c>
      <c r="DG48" s="247">
        <f>IF('Flächen u. Kulturen'!P53="",0,COUNTIF(Kulturen[HF],'Flächen u. Kulturen'!P53)+1)</f>
        <v>2</v>
      </c>
      <c r="DH48" s="247">
        <f>IF('Flächen u. Kulturen'!T53="",0,COUNTIF('#Boden'!$B$30:$B$32,'Flächen u. Kulturen'!T53)+1)</f>
        <v>2</v>
      </c>
      <c r="DI48" s="247">
        <f>IF('Flächen u. Kulturen'!K53="",0,IF(ISNUMBER('Flächen u. Kulturen'!K53)=TRUE,2,1))</f>
        <v>0</v>
      </c>
      <c r="DJ48" s="247">
        <f>IF('Flächen u. Kulturen'!U53="",0,IF(ISNUMBER('Flächen u. Kulturen'!U53)=TRUE,2,1))</f>
        <v>0</v>
      </c>
      <c r="DK48" s="247">
        <f>IF('Flächen u. Kulturen'!V53="",0,IF(ISNUMBER('Flächen u. Kulturen'!V53)=TRUE,2,1))</f>
        <v>0</v>
      </c>
      <c r="DL48" s="247">
        <f>IF('Flächen u. Kulturen'!W53="",0,IF(ISNUMBER('Flächen u. Kulturen'!W53)=TRUE,2,1))</f>
        <v>0</v>
      </c>
      <c r="DM48" s="247">
        <f t="shared" si="31"/>
        <v>0</v>
      </c>
      <c r="DN48" s="247" t="s">
        <v>344</v>
      </c>
      <c r="DO48" s="247">
        <f>IF(U48&lt;&gt;"x","",IF(OR('Flächen u. Kulturen'!B53="",'Flächen u. Kulturen'!C53="",'Flächen u. Kulturen'!D53="",'Flächen u. Kulturen'!D53=0,'Flächen u. Kulturen'!F53="",'Flächen u. Kulturen'!F53='#Boden'!$G$4,'Flächen u. Kulturen'!G53="",'Flächen u. Kulturen'!G53='#Boden'!$B$26,'Flächen u. Kulturen'!H53="",'Flächen u. Kulturen'!H53='#Boden'!$B$23,AND(N48&lt;&gt;2,OR('Flächen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Kulturen'!Q53="",'#BerechnungDBE'!N48&lt;3),AND('Flächen u. Kulturen'!R53="",'#BerechnungDBE'!N48=3),AND(N48=1,AL48&gt;0,'Flächen u. Kulturen'!S53=""),AND(N48=1,OR('Flächen u. Kulturen'!T53="",'Flächen u. Kulturen'!T53='#Boden'!$B$30)),AND('#BerechnungDBE'!AF48=70,OR('Flächen u. Kulturen'!N53="",'Flächen u. Kulturen'!N53='#Boden'!$G$22,'Flächen u. Kulturen'!O53="")),AND('#BerechnungDBE'!AF48=80,OR('Flächen u. Kulturen'!M53="",'Flächen u. Kulturen'!M53='#Boden'!$G$17,'Flächen u. Kulturen'!N53="",'Flächen u. Kulturen'!N53='#Boden'!$G$22))),$DO$4,""))</f>
        <v>1</v>
      </c>
      <c r="DP48" s="247" t="str">
        <f>IF(U48&lt;&gt;"x","",IF(OR(LEFT('Flächen u. Kulturen'!J53,2)=" +",LEFT('Flächen u. Kulturen'!L53,2)=" +",LEFT('Flächen u. Kulturen'!P53,2)=" +"),$DP$4,""))</f>
        <v/>
      </c>
      <c r="DQ48" s="428" t="str">
        <f t="shared" si="44"/>
        <v/>
      </c>
      <c r="DR48" s="938" t="str">
        <f t="shared" si="45"/>
        <v/>
      </c>
      <c r="DS48" s="938" t="str">
        <f>IF('Flächen u. Kulturen'!X53="","",ROW('Flächen u. Kulturen'!X53))</f>
        <v/>
      </c>
    </row>
    <row r="49" spans="1:123" s="875" customFormat="1" x14ac:dyDescent="0.2">
      <c r="A49" s="875" t="str">
        <f>IF('Daten aus 2021'!H51="",'#Boden'!$B$26,IF('Daten aus 2021'!H51='#Boden'!$B$39,IF('Daten aus 2021'!F51='#Boden'!$B$29,'#Boden'!$B$29,IF('Daten aus 2021'!K51='#Boden'!$B$34,'#Boden'!$B$28,'#Boden'!$B$27)),'Daten aus 2021'!F51))</f>
        <v xml:space="preserve"> --</v>
      </c>
      <c r="B49" s="875" t="str">
        <f>IF('Daten aus 2021'!H51='#Boden'!$B$39,IF('Daten aus 2021'!L51='#Boden'!$B$61,'#Boden'!$B$11,'Daten aus 2021'!L51),IF('Daten aus 2021'!P51='#Boden'!$B$58,'#Boden'!$B$11,IF('Daten aus 2021'!P51='#Boden'!$B$57,'#Boden'!$B$10,'#Boden'!$B$9)))</f>
        <v xml:space="preserve"> --         </v>
      </c>
      <c r="C49" s="875" t="str">
        <f>IF('Daten aus 2021'!N51="","",VLOOKUP('Daten aus 2021'!N51,'#Boden'!$B$68:$C$89,2,FALSE))</f>
        <v/>
      </c>
      <c r="D49" s="875" t="str">
        <f>IF('Daten aus 2021'!M51="","",VLOOKUP('Daten aus 2021'!M51,'#Boden'!$D$69:$E$73,2,FALSE))</f>
        <v/>
      </c>
      <c r="E49" s="938" t="str">
        <f>IF(OR(C49='#Boden'!$C$68,C49='#Boden'!$C$70),C49,CONCATENATE(C49,D49))</f>
        <v/>
      </c>
      <c r="F49" s="882" t="str">
        <f>IFERROR(IF('Daten aus 2021'!H51="",'#Frucht'!$D$8,IF('Daten aus 2021'!H51='#Boden'!$B$39,E49,IF('Daten aus 2021'!H51='#Boden'!$B$38,IF(CONCATENATE(" ",'Daten aus 2021'!W51)=$B$2,VLOOKUP($B$3,'#Frucht'!$A$8:$D$372,4,FALSE),VLOOKUP(CONCATENATE(" ",'Daten aus 2021'!W51),'#Frucht'!$A$8:$D$372,4,FALSE)),IF(OR(LEFT('Daten aus 2021'!Q51,5)=" *10 ",LEFT('Daten aus 2021'!Q51,5)=" *11 ",LEFT('Daten aus 2021'!Q51,5)=" *12 ",LEFT('Daten aus 2021'!Q51,5)=" *13 ",LEFT('Daten aus 2021'!Q51,5)=" *14 ",LEFT('Daten aus 2021'!Q51,5)=" *15 "),VLOOKUP(RIGHT('Daten aus 2021'!Q51,LEN('Daten aus 2021'!Q51)-4),'#Frucht'!$A$8:$D$372,4,FALSE),IF(LEFT('Daten aus 2021'!Q51,2)=" *",VLOOKUP(RIGHT('Daten aus 2021'!Q51,LEN('Daten aus 2021'!Q51)-3),'#Frucht'!$A$8:$D$372,4,FALSE),VLOOKUP('Daten aus 2021'!Q51,'#Frucht'!$A$8:$D$372,4,FALSE)))))),'#Frucht'!$D$8)</f>
        <v xml:space="preserve"> --  </v>
      </c>
      <c r="G49" s="127"/>
      <c r="H49" s="31"/>
      <c r="J49" s="938" t="str">
        <f>IF(OR(N49=3,$K$3=0,'Flächen u. Kulturen'!P54=""),"",IF(VLOOKUP('Flächen u. Kulturen'!P54,Kulturen[[HF]:[780]],'#BerechnungDBE'!$K$3,FALSE)=".","",VLOOKUP('Flächen u. Kulturen'!P54,Kulturen[[HF]:[780]],'#BerechnungDBE'!$K$3,FALSE)))</f>
        <v/>
      </c>
      <c r="K49" s="938" t="str">
        <f>IF(OR($K$3=0,'Flächen u. Kulturen'!P54=""),"",IF(N49=3,IF(VLOOKUP('Flächen u. Kulturen'!P54,Kulturen[[HF]:[780]],'#BerechnungDBE'!$K$3,FALSE)=".","",VLOOKUP('Flächen u. Kulturen'!P54,Kulturen[[HF]:[780]],'#BerechnungDBE'!$K$3,FALSE)),""))</f>
        <v/>
      </c>
      <c r="L49" s="367">
        <f>IF('Flächen u. Kulturen'!D54="",0,'Flächen u. Kulturen'!D54)</f>
        <v>0</v>
      </c>
      <c r="M49" s="693">
        <f>IF('Flächen u. Kulturen'!J54="",0,VLOOKUP('Flächen u. Kulturen'!J54,Kulturen[[HF]:[Berechnungsgruppe]],'#Frucht'!$W$1,FALSE))</f>
        <v>1</v>
      </c>
      <c r="N49" s="693">
        <f>IF('Flächen u. Kulturen'!P54="",0,VLOOKUP('Flächen u. Kulturen'!P54,Kulturen[[HF]:[Berechnungsgruppe]],'#Frucht'!$W$1,FALSE))</f>
        <v>1</v>
      </c>
      <c r="O49" s="875">
        <f>IF(N49&lt;&gt;2,N49,IF('Flächen u. Kulturen'!J54='Flächen u. Kulturen'!P54,2,1))</f>
        <v>1</v>
      </c>
      <c r="P49" s="875">
        <f>IF('Flächen u. Kulturen'!F54="",0,VLOOKUP('Flächen u. Kulturen'!F54,'#Boden'!$G$4:$H$8,'#Boden'!$H$1,FALSE))</f>
        <v>1</v>
      </c>
      <c r="Q49" s="875">
        <f>IF('Flächen u. Kulturen'!G54="",0,VLOOKUP('Flächen u. Kulturen'!G54,'#Boden'!$B$26:$C$29,'#Boden'!$C$1,FALSE))</f>
        <v>1</v>
      </c>
      <c r="R49" s="875">
        <f t="shared" si="19"/>
        <v>1</v>
      </c>
      <c r="S49" s="875">
        <f t="shared" si="20"/>
        <v>1</v>
      </c>
      <c r="T49" s="875">
        <f>IF('Flächen u. Kulturen'!H54="",0,VLOOKUP('Flächen u. Kulturen'!H54,'#Boden'!$B$23:$C$25,'#Boden'!$C$1,FALSE))</f>
        <v>2</v>
      </c>
      <c r="U49" s="875" t="str">
        <f>'Flächen u. Kulturen'!E54</f>
        <v>x</v>
      </c>
      <c r="V49" s="938">
        <f>IF('Flächen u. Kulturen'!Q54="",0,_xlfn.NUMBERVALUE('Flächen u. Kulturen'!Q54))</f>
        <v>0</v>
      </c>
      <c r="W49" s="938">
        <f>IF('Flächen u. Kulturen'!R54="",0,_xlfn.NUMBERVALUE('Flächen u. Kulturen'!R54))</f>
        <v>0</v>
      </c>
      <c r="X49" s="875">
        <f>IF('Flächen u. Kulturen'!T54="",0,VLOOKUP('Flächen u. Kulturen'!T54,'#Boden'!$B$30:$C$32,'#Boden'!$C$1,FALSE))</f>
        <v>1</v>
      </c>
      <c r="Y49" s="875">
        <f>IF('Flächen u. Kulturen'!P54="",0,VLOOKUP('Flächen u. Kulturen'!P54,Kulturen[[HF]:[Berechnungsgruppe]],'#Frucht'!$N$1,FALSE))</f>
        <v>0</v>
      </c>
      <c r="Z49" s="875">
        <f t="shared" si="21"/>
        <v>2</v>
      </c>
      <c r="AA49" s="875">
        <f>IF('Flächen u. Kulturen'!P54="",0,VLOOKUP('Flächen u. Kulturen'!P54,Kulturen[[HF]:[Berechnungsgruppe]],'#Frucht'!$V$1,FALSE))</f>
        <v>0</v>
      </c>
      <c r="AB49" s="875">
        <f>IF(N49=1,VLOOKUP('Flächen u. Kulturen'!P54,Kulturen[[HF]:[Ernteprodukt]],'#Frucht'!$I$1,FALSE),4)</f>
        <v>4</v>
      </c>
      <c r="AC49" s="921">
        <f>IF('Flächen u. Kulturen'!J54="",0,VLOOKUP('Flächen u. Kulturen'!J54,Kulturen[[HF]:[Berechnungsgruppe]],'#Frucht'!$G$1,FALSE))</f>
        <v>90</v>
      </c>
      <c r="AD49" s="921">
        <f>IF('Flächen u. Kulturen'!P54="",0,VLOOKUP('Flächen u. Kulturen'!P54,Kulturen[[HF]:[Berechnungsgruppe]],'#Frucht'!$G$1,FALSE))</f>
        <v>90</v>
      </c>
      <c r="AE49" s="938">
        <f>IF('Flächen u. Kulturen'!P54="",0,VLOOKUP('Flächen u. Kulturen'!P54,Kulturen[[HF]:[SollwertMinusNfix]],'#Frucht'!$X$1,FALSE))</f>
        <v>0</v>
      </c>
      <c r="AF49" s="875">
        <f>IF('Flächen u. Kulturen'!L54="",0,VLOOKUP('Flächen u. Kulturen'!L54,Nebenkultur[[Nebenkultur]:[Berechnungsschema]],'#Zweitfr'!$G$1,FALSE))</f>
        <v>0</v>
      </c>
      <c r="AG49" s="875">
        <f>IF('Flächen u. Kulturen'!L54="",0,VLOOKUP('Flächen u. Kulturen'!L54,'#Zweitfr'!$D$8:$Q$27,'#Zweitfr'!$Q$1,FALSE))</f>
        <v>0</v>
      </c>
      <c r="AH49" s="875">
        <f>IF('Flächen u. Kulturen'!M54="",0,VLOOKUP('Flächen u. Kulturen'!M54,'#Boden'!$G$17:$H$21,2,FALSE))</f>
        <v>1</v>
      </c>
      <c r="AI49" s="875">
        <f>IF('Flächen u. Kulturen'!N54="",0,VLOOKUP('Flächen u. Kulturen'!N54,'#Boden'!$G$22:$H$24,'#Boden'!$H$1,FALSE))</f>
        <v>1</v>
      </c>
      <c r="AJ49" s="938">
        <f>IF('Flächen u. Kulturen'!O54="",0,_xlfn.NUMBERVALUE('Flächen u. Kulturen'!O54))</f>
        <v>0</v>
      </c>
      <c r="AK49" s="938">
        <f>IF('Flächen u. Kulturen'!L54="",0,VLOOKUP('Flächen u. Kulturen'!L54,Nebenkultur[[Nebenkultur]:[Legum. Zwischenfr.]],'#Zweitfr'!$P$1,FALSE))</f>
        <v>0</v>
      </c>
      <c r="AL49" s="875">
        <f>IF('Flächen u. Kulturen'!P54="",0,VLOOKUP('Flächen u. Kulturen'!P54,Kulturen[[HF]:[Berechnungsgruppe]],'#Frucht'!$Q$1,FALSE))</f>
        <v>0</v>
      </c>
      <c r="AM49" s="875">
        <f>IF('Flächen u. Kulturen'!P54="",0,VLOOKUP('Flächen u. Kulturen'!P54,Kulturen[[HF]:[Berechnungsgruppe]],'#Frucht'!$M$1,FALSE))</f>
        <v>0</v>
      </c>
      <c r="AN49" s="875">
        <f>IF('Flächen u. Kulturen'!P54="",1,VLOOKUP('Flächen u. Kulturen'!P54,Kulturen[[HF]:[Berechnungsgruppe]],'#Frucht'!$R$1,FALSE))</f>
        <v>10</v>
      </c>
      <c r="AO49" s="875">
        <f>IF('Flächen u. Kulturen'!P54="",0,VLOOKUP('Flächen u. Kulturen'!P54,Kulturen[[HF]:[Berechnungsgruppe]],'#Frucht'!$S$1,FALSE))</f>
        <v>0</v>
      </c>
      <c r="AP49" s="875">
        <f>IF('Flächen u. Kulturen'!P54="",0,VLOOKUP('Flächen u. Kulturen'!P54,Kulturen[[HF]:[Berechnungsgruppe]],'#Frucht'!$T$1,FALSE))</f>
        <v>0</v>
      </c>
      <c r="AQ49" s="938">
        <f t="shared" si="32"/>
        <v>0</v>
      </c>
      <c r="AR49" s="875">
        <f t="shared" si="33"/>
        <v>0</v>
      </c>
      <c r="AS49" s="938">
        <f t="shared" si="34"/>
        <v>0</v>
      </c>
      <c r="AT49" s="875">
        <f>IF(N49=1,'Flächen u. Kulturen'!S54*-1,"--")</f>
        <v>0</v>
      </c>
      <c r="AU49" s="938">
        <f>IF(OR(N49=2,'Flächen u. Kulturen'!I54=""),"--",IF(N49=3,VLOOKUP('Flächen u. Kulturen'!I54,'#Boden'!$B$9:$E$15,'#Boden'!$D$1,FALSE),VLOOKUP('Flächen u. Kulturen'!I54,'#Boden'!$B$9:$E$15,'#Boden'!$E$1,FALSE)))</f>
        <v>0</v>
      </c>
      <c r="AV49" s="938">
        <f>IF(N49=1,IF('Flächen u. Kulturen'!J54="",0,VLOOKUP('Flächen u. Kulturen'!J54,Kulturen[[HF]:[Berechnungsgruppe]],'#Frucht'!$U$1,FALSE)*-1),"--")</f>
        <v>0</v>
      </c>
      <c r="AW49" s="875">
        <f t="shared" si="35"/>
        <v>0</v>
      </c>
      <c r="AX49" s="875">
        <f>IF('Flächen u. Kulturen'!K54="",0,'Flächen u. Kulturen'!K54*-0.1)</f>
        <v>0</v>
      </c>
      <c r="AY49" s="875">
        <f>IF(N49&lt;3,'#orgDung'!AC58*0.1*-1,"--")</f>
        <v>0</v>
      </c>
      <c r="AZ49" s="31" t="str">
        <f>IF(AND('#orgDung'!J58&lt;&gt;2,'#orgDung'!F58=1),('#orgDung'!V58+'#minDung'!O55)*-1,"--")</f>
        <v>--</v>
      </c>
      <c r="BA49" s="875">
        <f t="shared" si="22"/>
        <v>0</v>
      </c>
      <c r="BB49" s="938">
        <f>IF(R49=2,0,'Flächen u. Kulturen'!V54*-1)</f>
        <v>0</v>
      </c>
      <c r="BC49" s="875">
        <f t="shared" si="23"/>
        <v>0</v>
      </c>
      <c r="BD49" s="127">
        <f>'#orgDung'!W58*-1</f>
        <v>0</v>
      </c>
      <c r="BE49" s="910">
        <f>'#orgDung'!AA58*-1</f>
        <v>0</v>
      </c>
      <c r="BF49" s="875">
        <f>'#orgDung'!Z58*-1</f>
        <v>0</v>
      </c>
      <c r="BG49" s="938">
        <f t="shared" si="14"/>
        <v>0</v>
      </c>
      <c r="BH49" s="875">
        <f>'#Kürzungen'!AS73*-1</f>
        <v>0</v>
      </c>
      <c r="BI49" s="875">
        <f t="shared" si="36"/>
        <v>0</v>
      </c>
      <c r="BJ49" s="910">
        <f t="shared" si="37"/>
        <v>0</v>
      </c>
      <c r="BK49" s="875">
        <f>'#minDung'!P55</f>
        <v>0</v>
      </c>
      <c r="BL49" s="938">
        <f t="shared" si="15"/>
        <v>0</v>
      </c>
      <c r="BM49" s="938">
        <f t="shared" si="38"/>
        <v>0</v>
      </c>
      <c r="BN49" s="875">
        <f>IF('Flächen u. Kulturen'!P54="",0,VLOOKUP('Flächen u. Kulturen'!P54,Kulturen[[HF]:[Berechnungsgruppe]],'#Frucht'!$K$1,FALSE))</f>
        <v>0</v>
      </c>
      <c r="BO49" s="875">
        <f>IF('Flächen u. Kulturen'!P54="",0,VLOOKUP('Flächen u. Kulturen'!P54,Kulturen[[HF]:[Berechnungsgruppe]],'#Frucht'!$L$1,FALSE))</f>
        <v>0</v>
      </c>
      <c r="BP49" s="875">
        <f>IF('Flächen u. Kulturen'!L54="",0,VLOOKUP('Flächen u. Kulturen'!L54,Nebenkultur[[Nebenkultur]:[Legum. Zwischenfr.]],'#Zweitfr'!$H$1,FALSE))</f>
        <v>0</v>
      </c>
      <c r="BQ49" s="938">
        <f>IF(N49=3,W49*BO49,IF('Flächen u. Kulturen'!T54='#Boden'!$B$32,V49*BN49,V49*BO49))</f>
        <v>0</v>
      </c>
      <c r="BR49" s="938">
        <f t="shared" si="39"/>
        <v>0</v>
      </c>
      <c r="BS49" s="875">
        <f t="shared" si="24"/>
        <v>0</v>
      </c>
      <c r="BT49" s="875">
        <f>IF('Flächen u. Kulturen'!F54="",0,IF(N49=3,VLOOKUP('Flächen u. Kulturen'!F54,'#Boden'!$G$4:$J$8,'#Boden'!$J$1,FALSE),VLOOKUP('Flächen u. Kulturen'!F54,'#Boden'!$G$4:$J$8,'#Boden'!$I$1,FALSE)))</f>
        <v>0</v>
      </c>
      <c r="BU49" s="41">
        <f t="shared" si="25"/>
        <v>0</v>
      </c>
      <c r="BV49" s="875">
        <f t="shared" si="26"/>
        <v>0</v>
      </c>
      <c r="BW49" s="938" t="str">
        <f t="shared" si="16"/>
        <v/>
      </c>
      <c r="BX49" s="875">
        <f>'#orgDung'!T58*-1</f>
        <v>0</v>
      </c>
      <c r="BY49" s="875">
        <f t="shared" si="40"/>
        <v>0</v>
      </c>
      <c r="BZ49" s="938" t="str">
        <f>IF(U49&lt;&gt;"x",0,IF(P49&lt;4,"",(BW49+BX49-'#minDung'!N55)*-1))</f>
        <v/>
      </c>
      <c r="CB49" s="938">
        <f>IF(AND(AF49=70,U49="x"),'Flächen u. Kulturen'!A54,1000)</f>
        <v>1000</v>
      </c>
      <c r="CC49" s="875" t="str">
        <f>IF(AF49=70,VLOOKUP('Flächen u. Kulturen'!L54,Nebenkultur[[Nebenkultur]:[Legum. Zwischenfr.]],'#Zweitfr'!$I$1,FALSE),"--")</f>
        <v>--</v>
      </c>
      <c r="CD49" s="875" t="str">
        <f>IF(AF49=70,VLOOKUP('Flächen u. Kulturen'!L54,Nebenkultur[[Nebenkultur]:[Legum. Zwischenfr.]],'#Zweitfr'!$L$1,FALSE),"--")</f>
        <v>--</v>
      </c>
      <c r="CE49" s="875" t="str">
        <f>IF(AF49=70,VLOOKUP('Flächen u. Kulturen'!L54,Nebenkultur[[Nebenkultur]:[Legum. Zwischenfr.]],'#Zweitfr'!$M$1,FALSE),"--")</f>
        <v>--</v>
      </c>
      <c r="CF49" s="875" t="str">
        <f>IF(AF49=70,VLOOKUP('Flächen u. Kulturen'!L54,Nebenkultur[[Nebenkultur]:[Legum. Zwischenfr.]],'#Zweitfr'!$N$1,FALSE),"--")</f>
        <v>--</v>
      </c>
      <c r="CG49" s="875" t="str">
        <f>IF(AF49=70,VLOOKUP('Flächen u. Kulturen'!L54,Nebenkultur[[Nebenkultur]:[Legum. Zwischenfr.]],'#Zweitfr'!$O$1,FALSE),"--")</f>
        <v>--</v>
      </c>
      <c r="CH49" s="875" t="str">
        <f t="shared" si="41"/>
        <v>--</v>
      </c>
      <c r="CI49" s="938">
        <f>IF('Flächen u. Kulturen'!L54="",0,VLOOKUP('Flächen u. Kulturen'!L54,Nebenkultur[[Nebenkultur]:[Legum. Zwischenfr.]],'#Zweitfr'!$J$1,FALSE))</f>
        <v>0</v>
      </c>
      <c r="CJ49" s="875">
        <f t="shared" si="42"/>
        <v>0</v>
      </c>
      <c r="CK49" s="890">
        <f t="shared" si="43"/>
        <v>0</v>
      </c>
      <c r="CL49" s="938">
        <f>IF(AND(R49=1,AF49=70),'Flächen u. Kulturen'!W54*-1,0)</f>
        <v>0</v>
      </c>
      <c r="CM49" s="875">
        <f>'#orgDung'!AE58*-1</f>
        <v>0</v>
      </c>
      <c r="CN49" s="875">
        <f t="shared" si="27"/>
        <v>0</v>
      </c>
      <c r="CO49" s="875">
        <f t="shared" si="28"/>
        <v>0</v>
      </c>
      <c r="CP49" s="875">
        <f>'#Kürzungen'!AS174*-1</f>
        <v>0</v>
      </c>
      <c r="CQ49" s="875">
        <f t="shared" si="29"/>
        <v>0</v>
      </c>
      <c r="CR49" s="875">
        <f t="shared" si="30"/>
        <v>0</v>
      </c>
      <c r="CS49" s="875">
        <f>'#minDung'!R55</f>
        <v>0</v>
      </c>
      <c r="CT49" s="938">
        <f t="shared" si="18"/>
        <v>0</v>
      </c>
      <c r="CU49" s="52" t="str">
        <f>'#Kürzungen'!AQ174</f>
        <v xml:space="preserve"> </v>
      </c>
      <c r="CW49" s="247">
        <f>IF('Flächen u. Kulturen'!D54="",0,IF(ISNUMBER('Flächen u. Kulturen'!D54)=TRUE,2,1))</f>
        <v>0</v>
      </c>
      <c r="CX49" s="247">
        <f>IF('Flächen u. Kulturen'!E54="",0,COUNTIF('#Boden'!$B$47,'Flächen u. Kulturen'!E54)+1)</f>
        <v>2</v>
      </c>
      <c r="CY49" s="247">
        <f>IF('Flächen u. Kulturen'!F54="",0,COUNTIF('#Boden'!$G$4:$G$8,'Flächen u. Kulturen'!F54)+1)</f>
        <v>2</v>
      </c>
      <c r="CZ49" s="247">
        <f>IF('Flächen u. Kulturen'!G54="",0,COUNTIF('#Boden'!$B$26:$B$29,'Flächen u. Kulturen'!G54)+1)</f>
        <v>2</v>
      </c>
      <c r="DA49" s="247">
        <f>IF('Flächen u. Kulturen'!H54="",0,COUNTIF('#Boden'!$B$26:$B$29,'Flächen u. Kulturen'!H54)+1)</f>
        <v>2</v>
      </c>
      <c r="DB49" s="247">
        <f>IF('Flächen u. Kulturen'!I54="",0,COUNTIF('#Boden'!$B$9:$B$15,'Flächen u. Kulturen'!I54)+1)</f>
        <v>2</v>
      </c>
      <c r="DC49" s="247">
        <f>IF('Flächen u. Kulturen'!J54="",0,COUNTIF(Kulturen[HF],'Flächen u. Kulturen'!J54)+1)</f>
        <v>2</v>
      </c>
      <c r="DD49" s="247">
        <f>IF('Flächen u. Kulturen'!L54="",0,COUNTIF(Nebenkultur[Nebenkultur],'Flächen u. Kulturen'!L54)+1)</f>
        <v>2</v>
      </c>
      <c r="DE49" s="247">
        <f>IF('Flächen u. Kulturen'!M54="",0,COUNTIF('#Boden'!$G$17:$G$21,'Flächen u. Kulturen'!M54)+1)</f>
        <v>2</v>
      </c>
      <c r="DF49" s="247">
        <f>IF('Flächen u. Kulturen'!N54="",0,COUNTIF('#Boden'!$G$22:$G$24,'Flächen u. Kulturen'!N54)+1)</f>
        <v>2</v>
      </c>
      <c r="DG49" s="247">
        <f>IF('Flächen u. Kulturen'!P54="",0,COUNTIF(Kulturen[HF],'Flächen u. Kulturen'!P54)+1)</f>
        <v>2</v>
      </c>
      <c r="DH49" s="247">
        <f>IF('Flächen u. Kulturen'!T54="",0,COUNTIF('#Boden'!$B$30:$B$32,'Flächen u. Kulturen'!T54)+1)</f>
        <v>2</v>
      </c>
      <c r="DI49" s="247">
        <f>IF('Flächen u. Kulturen'!K54="",0,IF(ISNUMBER('Flächen u. Kulturen'!K54)=TRUE,2,1))</f>
        <v>0</v>
      </c>
      <c r="DJ49" s="247">
        <f>IF('Flächen u. Kulturen'!U54="",0,IF(ISNUMBER('Flächen u. Kulturen'!U54)=TRUE,2,1))</f>
        <v>0</v>
      </c>
      <c r="DK49" s="247">
        <f>IF('Flächen u. Kulturen'!V54="",0,IF(ISNUMBER('Flächen u. Kulturen'!V54)=TRUE,2,1))</f>
        <v>0</v>
      </c>
      <c r="DL49" s="247">
        <f>IF('Flächen u. Kulturen'!W54="",0,IF(ISNUMBER('Flächen u. Kulturen'!W54)=TRUE,2,1))</f>
        <v>0</v>
      </c>
      <c r="DM49" s="247">
        <f t="shared" si="31"/>
        <v>0</v>
      </c>
      <c r="DN49" s="247" t="s">
        <v>344</v>
      </c>
      <c r="DO49" s="247">
        <f>IF(U49&lt;&gt;"x","",IF(OR('Flächen u. Kulturen'!B54="",'Flächen u. Kulturen'!C54="",'Flächen u. Kulturen'!D54="",'Flächen u. Kulturen'!D54=0,'Flächen u. Kulturen'!F54="",'Flächen u. Kulturen'!F54='#Boden'!$G$4,'Flächen u. Kulturen'!G54="",'Flächen u. Kulturen'!G54='#Boden'!$B$26,'Flächen u. Kulturen'!H54="",'Flächen u. Kulturen'!H54='#Boden'!$B$23,AND(N49&lt;&gt;2,OR('Flächen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Kulturen'!Q54="",'#BerechnungDBE'!N49&lt;3),AND('Flächen u. Kulturen'!R54="",'#BerechnungDBE'!N49=3),AND(N49=1,AL49&gt;0,'Flächen u. Kulturen'!S54=""),AND(N49=1,OR('Flächen u. Kulturen'!T54="",'Flächen u. Kulturen'!T54='#Boden'!$B$30)),AND('#BerechnungDBE'!AF49=70,OR('Flächen u. Kulturen'!N54="",'Flächen u. Kulturen'!N54='#Boden'!$G$22,'Flächen u. Kulturen'!O54="")),AND('#BerechnungDBE'!AF49=80,OR('Flächen u. Kulturen'!M54="",'Flächen u. Kulturen'!M54='#Boden'!$G$17,'Flächen u. Kulturen'!N54="",'Flächen u. Kulturen'!N54='#Boden'!$G$22))),$DO$4,""))</f>
        <v>1</v>
      </c>
      <c r="DP49" s="247" t="str">
        <f>IF(U49&lt;&gt;"x","",IF(OR(LEFT('Flächen u. Kulturen'!J54,2)=" +",LEFT('Flächen u. Kulturen'!L54,2)=" +",LEFT('Flächen u. Kulturen'!P54,2)=" +"),$DP$4,""))</f>
        <v/>
      </c>
      <c r="DQ49" s="428" t="str">
        <f t="shared" si="44"/>
        <v/>
      </c>
      <c r="DR49" s="938" t="str">
        <f t="shared" si="45"/>
        <v/>
      </c>
      <c r="DS49" s="938" t="str">
        <f>IF('Flächen u. Kulturen'!X54="","",ROW('Flächen u. Kulturen'!X54))</f>
        <v/>
      </c>
    </row>
    <row r="50" spans="1:123" s="875" customFormat="1" x14ac:dyDescent="0.2">
      <c r="A50" s="875" t="str">
        <f>IF('Daten aus 2021'!H52="",'#Boden'!$B$26,IF('Daten aus 2021'!H52='#Boden'!$B$39,IF('Daten aus 2021'!F52='#Boden'!$B$29,'#Boden'!$B$29,IF('Daten aus 2021'!K52='#Boden'!$B$34,'#Boden'!$B$28,'#Boden'!$B$27)),'Daten aus 2021'!F52))</f>
        <v xml:space="preserve"> --</v>
      </c>
      <c r="B50" s="875" t="str">
        <f>IF('Daten aus 2021'!H52='#Boden'!$B$39,IF('Daten aus 2021'!L52='#Boden'!$B$61,'#Boden'!$B$11,'Daten aus 2021'!L52),IF('Daten aus 2021'!P52='#Boden'!$B$58,'#Boden'!$B$11,IF('Daten aus 2021'!P52='#Boden'!$B$57,'#Boden'!$B$10,'#Boden'!$B$9)))</f>
        <v xml:space="preserve"> --         </v>
      </c>
      <c r="C50" s="875" t="str">
        <f>IF('Daten aus 2021'!N52="","",VLOOKUP('Daten aus 2021'!N52,'#Boden'!$B$68:$C$89,2,FALSE))</f>
        <v/>
      </c>
      <c r="D50" s="875" t="str">
        <f>IF('Daten aus 2021'!M52="","",VLOOKUP('Daten aus 2021'!M52,'#Boden'!$D$69:$E$73,2,FALSE))</f>
        <v/>
      </c>
      <c r="E50" s="938" t="str">
        <f>IF(OR(C50='#Boden'!$C$68,C50='#Boden'!$C$70),C50,CONCATENATE(C50,D50))</f>
        <v/>
      </c>
      <c r="F50" s="882" t="str">
        <f>IFERROR(IF('Daten aus 2021'!H52="",'#Frucht'!$D$8,IF('Daten aus 2021'!H52='#Boden'!$B$39,E50,IF('Daten aus 2021'!H52='#Boden'!$B$38,IF(CONCATENATE(" ",'Daten aus 2021'!W52)=$B$2,VLOOKUP($B$3,'#Frucht'!$A$8:$D$372,4,FALSE),VLOOKUP(CONCATENATE(" ",'Daten aus 2021'!W52),'#Frucht'!$A$8:$D$372,4,FALSE)),IF(OR(LEFT('Daten aus 2021'!Q52,5)=" *10 ",LEFT('Daten aus 2021'!Q52,5)=" *11 ",LEFT('Daten aus 2021'!Q52,5)=" *12 ",LEFT('Daten aus 2021'!Q52,5)=" *13 ",LEFT('Daten aus 2021'!Q52,5)=" *14 ",LEFT('Daten aus 2021'!Q52,5)=" *15 "),VLOOKUP(RIGHT('Daten aus 2021'!Q52,LEN('Daten aus 2021'!Q52)-4),'#Frucht'!$A$8:$D$372,4,FALSE),IF(LEFT('Daten aus 2021'!Q52,2)=" *",VLOOKUP(RIGHT('Daten aus 2021'!Q52,LEN('Daten aus 2021'!Q52)-3),'#Frucht'!$A$8:$D$372,4,FALSE),VLOOKUP('Daten aus 2021'!Q52,'#Frucht'!$A$8:$D$372,4,FALSE)))))),'#Frucht'!$D$8)</f>
        <v xml:space="preserve"> --  </v>
      </c>
      <c r="G50" s="127"/>
      <c r="H50" s="31"/>
      <c r="J50" s="938" t="str">
        <f>IF(OR(N50=3,$K$3=0,'Flächen u. Kulturen'!P55=""),"",IF(VLOOKUP('Flächen u. Kulturen'!P55,Kulturen[[HF]:[780]],'#BerechnungDBE'!$K$3,FALSE)=".","",VLOOKUP('Flächen u. Kulturen'!P55,Kulturen[[HF]:[780]],'#BerechnungDBE'!$K$3,FALSE)))</f>
        <v/>
      </c>
      <c r="K50" s="938" t="str">
        <f>IF(OR($K$3=0,'Flächen u. Kulturen'!P55=""),"",IF(N50=3,IF(VLOOKUP('Flächen u. Kulturen'!P55,Kulturen[[HF]:[780]],'#BerechnungDBE'!$K$3,FALSE)=".","",VLOOKUP('Flächen u. Kulturen'!P55,Kulturen[[HF]:[780]],'#BerechnungDBE'!$K$3,FALSE)),""))</f>
        <v/>
      </c>
      <c r="L50" s="367">
        <f>IF('Flächen u. Kulturen'!D55="",0,'Flächen u. Kulturen'!D55)</f>
        <v>0</v>
      </c>
      <c r="M50" s="693">
        <f>IF('Flächen u. Kulturen'!J55="",0,VLOOKUP('Flächen u. Kulturen'!J55,Kulturen[[HF]:[Berechnungsgruppe]],'#Frucht'!$W$1,FALSE))</f>
        <v>1</v>
      </c>
      <c r="N50" s="693">
        <f>IF('Flächen u. Kulturen'!P55="",0,VLOOKUP('Flächen u. Kulturen'!P55,Kulturen[[HF]:[Berechnungsgruppe]],'#Frucht'!$W$1,FALSE))</f>
        <v>1</v>
      </c>
      <c r="O50" s="875">
        <f>IF(N50&lt;&gt;2,N50,IF('Flächen u. Kulturen'!J55='Flächen u. Kulturen'!P55,2,1))</f>
        <v>1</v>
      </c>
      <c r="P50" s="875">
        <f>IF('Flächen u. Kulturen'!F55="",0,VLOOKUP('Flächen u. Kulturen'!F55,'#Boden'!$G$4:$H$8,'#Boden'!$H$1,FALSE))</f>
        <v>1</v>
      </c>
      <c r="Q50" s="875">
        <f>IF('Flächen u. Kulturen'!G55="",0,VLOOKUP('Flächen u. Kulturen'!G55,'#Boden'!$B$26:$C$29,'#Boden'!$C$1,FALSE))</f>
        <v>1</v>
      </c>
      <c r="R50" s="875">
        <f t="shared" si="19"/>
        <v>1</v>
      </c>
      <c r="S50" s="875">
        <f t="shared" si="20"/>
        <v>1</v>
      </c>
      <c r="T50" s="875">
        <f>IF('Flächen u. Kulturen'!H55="",0,VLOOKUP('Flächen u. Kulturen'!H55,'#Boden'!$B$23:$C$25,'#Boden'!$C$1,FALSE))</f>
        <v>2</v>
      </c>
      <c r="U50" s="875" t="str">
        <f>'Flächen u. Kulturen'!E55</f>
        <v>x</v>
      </c>
      <c r="V50" s="938">
        <f>IF('Flächen u. Kulturen'!Q55="",0,_xlfn.NUMBERVALUE('Flächen u. Kulturen'!Q55))</f>
        <v>0</v>
      </c>
      <c r="W50" s="938">
        <f>IF('Flächen u. Kulturen'!R55="",0,_xlfn.NUMBERVALUE('Flächen u. Kulturen'!R55))</f>
        <v>0</v>
      </c>
      <c r="X50" s="875">
        <f>IF('Flächen u. Kulturen'!T55="",0,VLOOKUP('Flächen u. Kulturen'!T55,'#Boden'!$B$30:$C$32,'#Boden'!$C$1,FALSE))</f>
        <v>1</v>
      </c>
      <c r="Y50" s="875">
        <f>IF('Flächen u. Kulturen'!P55="",0,VLOOKUP('Flächen u. Kulturen'!P55,Kulturen[[HF]:[Berechnungsgruppe]],'#Frucht'!$N$1,FALSE))</f>
        <v>0</v>
      </c>
      <c r="Z50" s="875">
        <f t="shared" si="21"/>
        <v>2</v>
      </c>
      <c r="AA50" s="875">
        <f>IF('Flächen u. Kulturen'!P55="",0,VLOOKUP('Flächen u. Kulturen'!P55,Kulturen[[HF]:[Berechnungsgruppe]],'#Frucht'!$V$1,FALSE))</f>
        <v>0</v>
      </c>
      <c r="AB50" s="875">
        <f>IF(N50=1,VLOOKUP('Flächen u. Kulturen'!P55,Kulturen[[HF]:[Ernteprodukt]],'#Frucht'!$I$1,FALSE),4)</f>
        <v>4</v>
      </c>
      <c r="AC50" s="921">
        <f>IF('Flächen u. Kulturen'!J55="",0,VLOOKUP('Flächen u. Kulturen'!J55,Kulturen[[HF]:[Berechnungsgruppe]],'#Frucht'!$G$1,FALSE))</f>
        <v>90</v>
      </c>
      <c r="AD50" s="921">
        <f>IF('Flächen u. Kulturen'!P55="",0,VLOOKUP('Flächen u. Kulturen'!P55,Kulturen[[HF]:[Berechnungsgruppe]],'#Frucht'!$G$1,FALSE))</f>
        <v>90</v>
      </c>
      <c r="AE50" s="938">
        <f>IF('Flächen u. Kulturen'!P55="",0,VLOOKUP('Flächen u. Kulturen'!P55,Kulturen[[HF]:[SollwertMinusNfix]],'#Frucht'!$X$1,FALSE))</f>
        <v>0</v>
      </c>
      <c r="AF50" s="875">
        <f>IF('Flächen u. Kulturen'!L55="",0,VLOOKUP('Flächen u. Kulturen'!L55,Nebenkultur[[Nebenkultur]:[Berechnungsschema]],'#Zweitfr'!$G$1,FALSE))</f>
        <v>0</v>
      </c>
      <c r="AG50" s="875">
        <f>IF('Flächen u. Kulturen'!L55="",0,VLOOKUP('Flächen u. Kulturen'!L55,'#Zweitfr'!$D$8:$Q$27,'#Zweitfr'!$Q$1,FALSE))</f>
        <v>0</v>
      </c>
      <c r="AH50" s="875">
        <f>IF('Flächen u. Kulturen'!M55="",0,VLOOKUP('Flächen u. Kulturen'!M55,'#Boden'!$G$17:$H$21,2,FALSE))</f>
        <v>1</v>
      </c>
      <c r="AI50" s="875">
        <f>IF('Flächen u. Kulturen'!N55="",0,VLOOKUP('Flächen u. Kulturen'!N55,'#Boden'!$G$22:$H$24,'#Boden'!$H$1,FALSE))</f>
        <v>1</v>
      </c>
      <c r="AJ50" s="938">
        <f>IF('Flächen u. Kulturen'!O55="",0,_xlfn.NUMBERVALUE('Flächen u. Kulturen'!O55))</f>
        <v>0</v>
      </c>
      <c r="AK50" s="938">
        <f>IF('Flächen u. Kulturen'!L55="",0,VLOOKUP('Flächen u. Kulturen'!L55,Nebenkultur[[Nebenkultur]:[Legum. Zwischenfr.]],'#Zweitfr'!$P$1,FALSE))</f>
        <v>0</v>
      </c>
      <c r="AL50" s="875">
        <f>IF('Flächen u. Kulturen'!P55="",0,VLOOKUP('Flächen u. Kulturen'!P55,Kulturen[[HF]:[Berechnungsgruppe]],'#Frucht'!$Q$1,FALSE))</f>
        <v>0</v>
      </c>
      <c r="AM50" s="875">
        <f>IF('Flächen u. Kulturen'!P55="",0,VLOOKUP('Flächen u. Kulturen'!P55,Kulturen[[HF]:[Berechnungsgruppe]],'#Frucht'!$M$1,FALSE))</f>
        <v>0</v>
      </c>
      <c r="AN50" s="875">
        <f>IF('Flächen u. Kulturen'!P55="",1,VLOOKUP('Flächen u. Kulturen'!P55,Kulturen[[HF]:[Berechnungsgruppe]],'#Frucht'!$R$1,FALSE))</f>
        <v>10</v>
      </c>
      <c r="AO50" s="875">
        <f>IF('Flächen u. Kulturen'!P55="",0,VLOOKUP('Flächen u. Kulturen'!P55,Kulturen[[HF]:[Berechnungsgruppe]],'#Frucht'!$S$1,FALSE))</f>
        <v>0</v>
      </c>
      <c r="AP50" s="875">
        <f>IF('Flächen u. Kulturen'!P55="",0,VLOOKUP('Flächen u. Kulturen'!P55,Kulturen[[HF]:[Berechnungsgruppe]],'#Frucht'!$T$1,FALSE))</f>
        <v>0</v>
      </c>
      <c r="AQ50" s="938">
        <f t="shared" si="32"/>
        <v>0</v>
      </c>
      <c r="AR50" s="875">
        <f t="shared" si="33"/>
        <v>0</v>
      </c>
      <c r="AS50" s="938">
        <f t="shared" si="34"/>
        <v>0</v>
      </c>
      <c r="AT50" s="875">
        <f>IF(N50=1,'Flächen u. Kulturen'!S55*-1,"--")</f>
        <v>0</v>
      </c>
      <c r="AU50" s="938">
        <f>IF(OR(N50=2,'Flächen u. Kulturen'!I55=""),"--",IF(N50=3,VLOOKUP('Flächen u. Kulturen'!I55,'#Boden'!$B$9:$E$15,'#Boden'!$D$1,FALSE),VLOOKUP('Flächen u. Kulturen'!I55,'#Boden'!$B$9:$E$15,'#Boden'!$E$1,FALSE)))</f>
        <v>0</v>
      </c>
      <c r="AV50" s="938">
        <f>IF(N50=1,IF('Flächen u. Kulturen'!J55="",0,VLOOKUP('Flächen u. Kulturen'!J55,Kulturen[[HF]:[Berechnungsgruppe]],'#Frucht'!$U$1,FALSE)*-1),"--")</f>
        <v>0</v>
      </c>
      <c r="AW50" s="875">
        <f t="shared" si="35"/>
        <v>0</v>
      </c>
      <c r="AX50" s="875">
        <f>IF('Flächen u. Kulturen'!K55="",0,'Flächen u. Kulturen'!K55*-0.1)</f>
        <v>0</v>
      </c>
      <c r="AY50" s="875">
        <f>IF(N50&lt;3,'#orgDung'!AC59*0.1*-1,"--")</f>
        <v>0</v>
      </c>
      <c r="AZ50" s="31" t="str">
        <f>IF(AND('#orgDung'!J59&lt;&gt;2,'#orgDung'!F59=1),('#orgDung'!V59+'#minDung'!O56)*-1,"--")</f>
        <v>--</v>
      </c>
      <c r="BA50" s="875">
        <f t="shared" si="22"/>
        <v>0</v>
      </c>
      <c r="BB50" s="938">
        <f>IF(R50=2,0,'Flächen u. Kulturen'!V55*-1)</f>
        <v>0</v>
      </c>
      <c r="BC50" s="875">
        <f t="shared" si="23"/>
        <v>0</v>
      </c>
      <c r="BD50" s="127">
        <f>'#orgDung'!W59*-1</f>
        <v>0</v>
      </c>
      <c r="BE50" s="910">
        <f>'#orgDung'!AA59*-1</f>
        <v>0</v>
      </c>
      <c r="BF50" s="875">
        <f>'#orgDung'!Z59*-1</f>
        <v>0</v>
      </c>
      <c r="BG50" s="938">
        <f t="shared" si="14"/>
        <v>0</v>
      </c>
      <c r="BH50" s="875">
        <f>'#Kürzungen'!AS74*-1</f>
        <v>0</v>
      </c>
      <c r="BI50" s="875">
        <f t="shared" si="36"/>
        <v>0</v>
      </c>
      <c r="BJ50" s="910">
        <f t="shared" si="37"/>
        <v>0</v>
      </c>
      <c r="BK50" s="875">
        <f>'#minDung'!P56</f>
        <v>0</v>
      </c>
      <c r="BL50" s="938">
        <f t="shared" si="15"/>
        <v>0</v>
      </c>
      <c r="BM50" s="938">
        <f t="shared" si="38"/>
        <v>0</v>
      </c>
      <c r="BN50" s="875">
        <f>IF('Flächen u. Kulturen'!P55="",0,VLOOKUP('Flächen u. Kulturen'!P55,Kulturen[[HF]:[Berechnungsgruppe]],'#Frucht'!$K$1,FALSE))</f>
        <v>0</v>
      </c>
      <c r="BO50" s="875">
        <f>IF('Flächen u. Kulturen'!P55="",0,VLOOKUP('Flächen u. Kulturen'!P55,Kulturen[[HF]:[Berechnungsgruppe]],'#Frucht'!$L$1,FALSE))</f>
        <v>0</v>
      </c>
      <c r="BP50" s="875">
        <f>IF('Flächen u. Kulturen'!L55="",0,VLOOKUP('Flächen u. Kulturen'!L55,Nebenkultur[[Nebenkultur]:[Legum. Zwischenfr.]],'#Zweitfr'!$H$1,FALSE))</f>
        <v>0</v>
      </c>
      <c r="BQ50" s="938">
        <f>IF(N50=3,W50*BO50,IF('Flächen u. Kulturen'!T55='#Boden'!$B$32,V50*BN50,V50*BO50))</f>
        <v>0</v>
      </c>
      <c r="BR50" s="938">
        <f t="shared" si="39"/>
        <v>0</v>
      </c>
      <c r="BS50" s="875">
        <f t="shared" si="24"/>
        <v>0</v>
      </c>
      <c r="BT50" s="875">
        <f>IF('Flächen u. Kulturen'!F55="",0,IF(N50=3,VLOOKUP('Flächen u. Kulturen'!F55,'#Boden'!$G$4:$J$8,'#Boden'!$J$1,FALSE),VLOOKUP('Flächen u. Kulturen'!F55,'#Boden'!$G$4:$J$8,'#Boden'!$I$1,FALSE)))</f>
        <v>0</v>
      </c>
      <c r="BU50" s="41">
        <f t="shared" si="25"/>
        <v>0</v>
      </c>
      <c r="BV50" s="875">
        <f t="shared" si="26"/>
        <v>0</v>
      </c>
      <c r="BW50" s="938" t="str">
        <f t="shared" si="16"/>
        <v/>
      </c>
      <c r="BX50" s="875">
        <f>'#orgDung'!T59*-1</f>
        <v>0</v>
      </c>
      <c r="BY50" s="875">
        <f t="shared" si="40"/>
        <v>0</v>
      </c>
      <c r="BZ50" s="938" t="str">
        <f>IF(U50&lt;&gt;"x",0,IF(P50&lt;4,"",(BW50+BX50-'#minDung'!N56)*-1))</f>
        <v/>
      </c>
      <c r="CB50" s="938">
        <f>IF(AND(AF50=70,U50="x"),'Flächen u. Kulturen'!A55,1000)</f>
        <v>1000</v>
      </c>
      <c r="CC50" s="875" t="str">
        <f>IF(AF50=70,VLOOKUP('Flächen u. Kulturen'!L55,Nebenkultur[[Nebenkultur]:[Legum. Zwischenfr.]],'#Zweitfr'!$I$1,FALSE),"--")</f>
        <v>--</v>
      </c>
      <c r="CD50" s="875" t="str">
        <f>IF(AF50=70,VLOOKUP('Flächen u. Kulturen'!L55,Nebenkultur[[Nebenkultur]:[Legum. Zwischenfr.]],'#Zweitfr'!$L$1,FALSE),"--")</f>
        <v>--</v>
      </c>
      <c r="CE50" s="875" t="str">
        <f>IF(AF50=70,VLOOKUP('Flächen u. Kulturen'!L55,Nebenkultur[[Nebenkultur]:[Legum. Zwischenfr.]],'#Zweitfr'!$M$1,FALSE),"--")</f>
        <v>--</v>
      </c>
      <c r="CF50" s="875" t="str">
        <f>IF(AF50=70,VLOOKUP('Flächen u. Kulturen'!L55,Nebenkultur[[Nebenkultur]:[Legum. Zwischenfr.]],'#Zweitfr'!$N$1,FALSE),"--")</f>
        <v>--</v>
      </c>
      <c r="CG50" s="875" t="str">
        <f>IF(AF50=70,VLOOKUP('Flächen u. Kulturen'!L55,Nebenkultur[[Nebenkultur]:[Legum. Zwischenfr.]],'#Zweitfr'!$O$1,FALSE),"--")</f>
        <v>--</v>
      </c>
      <c r="CH50" s="875" t="str">
        <f t="shared" si="41"/>
        <v>--</v>
      </c>
      <c r="CI50" s="938">
        <f>IF('Flächen u. Kulturen'!L55="",0,VLOOKUP('Flächen u. Kulturen'!L55,Nebenkultur[[Nebenkultur]:[Legum. Zwischenfr.]],'#Zweitfr'!$J$1,FALSE))</f>
        <v>0</v>
      </c>
      <c r="CJ50" s="875">
        <f t="shared" si="42"/>
        <v>0</v>
      </c>
      <c r="CK50" s="890">
        <f t="shared" si="43"/>
        <v>0</v>
      </c>
      <c r="CL50" s="938">
        <f>IF(AND(R50=1,AF50=70),'Flächen u. Kulturen'!W55*-1,0)</f>
        <v>0</v>
      </c>
      <c r="CM50" s="875">
        <f>'#orgDung'!AE59*-1</f>
        <v>0</v>
      </c>
      <c r="CN50" s="875">
        <f t="shared" si="27"/>
        <v>0</v>
      </c>
      <c r="CO50" s="875">
        <f t="shared" si="28"/>
        <v>0</v>
      </c>
      <c r="CP50" s="875">
        <f>'#Kürzungen'!AS175*-1</f>
        <v>0</v>
      </c>
      <c r="CQ50" s="875">
        <f t="shared" si="29"/>
        <v>0</v>
      </c>
      <c r="CR50" s="875">
        <f t="shared" si="30"/>
        <v>0</v>
      </c>
      <c r="CS50" s="875">
        <f>'#minDung'!R56</f>
        <v>0</v>
      </c>
      <c r="CT50" s="938">
        <f t="shared" si="18"/>
        <v>0</v>
      </c>
      <c r="CU50" s="52" t="str">
        <f>'#Kürzungen'!AQ175</f>
        <v xml:space="preserve"> </v>
      </c>
      <c r="CW50" s="247">
        <f>IF('Flächen u. Kulturen'!D55="",0,IF(ISNUMBER('Flächen u. Kulturen'!D55)=TRUE,2,1))</f>
        <v>0</v>
      </c>
      <c r="CX50" s="247">
        <f>IF('Flächen u. Kulturen'!E55="",0,COUNTIF('#Boden'!$B$47,'Flächen u. Kulturen'!E55)+1)</f>
        <v>2</v>
      </c>
      <c r="CY50" s="247">
        <f>IF('Flächen u. Kulturen'!F55="",0,COUNTIF('#Boden'!$G$4:$G$8,'Flächen u. Kulturen'!F55)+1)</f>
        <v>2</v>
      </c>
      <c r="CZ50" s="247">
        <f>IF('Flächen u. Kulturen'!G55="",0,COUNTIF('#Boden'!$B$26:$B$29,'Flächen u. Kulturen'!G55)+1)</f>
        <v>2</v>
      </c>
      <c r="DA50" s="247">
        <f>IF('Flächen u. Kulturen'!H55="",0,COUNTIF('#Boden'!$B$26:$B$29,'Flächen u. Kulturen'!H55)+1)</f>
        <v>2</v>
      </c>
      <c r="DB50" s="247">
        <f>IF('Flächen u. Kulturen'!I55="",0,COUNTIF('#Boden'!$B$9:$B$15,'Flächen u. Kulturen'!I55)+1)</f>
        <v>2</v>
      </c>
      <c r="DC50" s="247">
        <f>IF('Flächen u. Kulturen'!J55="",0,COUNTIF(Kulturen[HF],'Flächen u. Kulturen'!J55)+1)</f>
        <v>2</v>
      </c>
      <c r="DD50" s="247">
        <f>IF('Flächen u. Kulturen'!L55="",0,COUNTIF(Nebenkultur[Nebenkultur],'Flächen u. Kulturen'!L55)+1)</f>
        <v>2</v>
      </c>
      <c r="DE50" s="247">
        <f>IF('Flächen u. Kulturen'!M55="",0,COUNTIF('#Boden'!$G$17:$G$21,'Flächen u. Kulturen'!M55)+1)</f>
        <v>2</v>
      </c>
      <c r="DF50" s="247">
        <f>IF('Flächen u. Kulturen'!N55="",0,COUNTIF('#Boden'!$G$22:$G$24,'Flächen u. Kulturen'!N55)+1)</f>
        <v>2</v>
      </c>
      <c r="DG50" s="247">
        <f>IF('Flächen u. Kulturen'!P55="",0,COUNTIF(Kulturen[HF],'Flächen u. Kulturen'!P55)+1)</f>
        <v>2</v>
      </c>
      <c r="DH50" s="247">
        <f>IF('Flächen u. Kulturen'!T55="",0,COUNTIF('#Boden'!$B$30:$B$32,'Flächen u. Kulturen'!T55)+1)</f>
        <v>2</v>
      </c>
      <c r="DI50" s="247">
        <f>IF('Flächen u. Kulturen'!K55="",0,IF(ISNUMBER('Flächen u. Kulturen'!K55)=TRUE,2,1))</f>
        <v>0</v>
      </c>
      <c r="DJ50" s="247">
        <f>IF('Flächen u. Kulturen'!U55="",0,IF(ISNUMBER('Flächen u. Kulturen'!U55)=TRUE,2,1))</f>
        <v>0</v>
      </c>
      <c r="DK50" s="247">
        <f>IF('Flächen u. Kulturen'!V55="",0,IF(ISNUMBER('Flächen u. Kulturen'!V55)=TRUE,2,1))</f>
        <v>0</v>
      </c>
      <c r="DL50" s="247">
        <f>IF('Flächen u. Kulturen'!W55="",0,IF(ISNUMBER('Flächen u. Kulturen'!W55)=TRUE,2,1))</f>
        <v>0</v>
      </c>
      <c r="DM50" s="247">
        <f t="shared" si="31"/>
        <v>0</v>
      </c>
      <c r="DN50" s="247" t="s">
        <v>344</v>
      </c>
      <c r="DO50" s="247">
        <f>IF(U50&lt;&gt;"x","",IF(OR('Flächen u. Kulturen'!B55="",'Flächen u. Kulturen'!C55="",'Flächen u. Kulturen'!D55="",'Flächen u. Kulturen'!D55=0,'Flächen u. Kulturen'!F55="",'Flächen u. Kulturen'!F55='#Boden'!$G$4,'Flächen u. Kulturen'!G55="",'Flächen u. Kulturen'!G55='#Boden'!$B$26,'Flächen u. Kulturen'!H55="",'Flächen u. Kulturen'!H55='#Boden'!$B$23,AND(N50&lt;&gt;2,OR('Flächen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Kulturen'!Q55="",'#BerechnungDBE'!N50&lt;3),AND('Flächen u. Kulturen'!R55="",'#BerechnungDBE'!N50=3),AND(N50=1,AL50&gt;0,'Flächen u. Kulturen'!S55=""),AND(N50=1,OR('Flächen u. Kulturen'!T55="",'Flächen u. Kulturen'!T55='#Boden'!$B$30)),AND('#BerechnungDBE'!AF50=70,OR('Flächen u. Kulturen'!N55="",'Flächen u. Kulturen'!N55='#Boden'!$G$22,'Flächen u. Kulturen'!O55="")),AND('#BerechnungDBE'!AF50=80,OR('Flächen u. Kulturen'!M55="",'Flächen u. Kulturen'!M55='#Boden'!$G$17,'Flächen u. Kulturen'!N55="",'Flächen u. Kulturen'!N55='#Boden'!$G$22))),$DO$4,""))</f>
        <v>1</v>
      </c>
      <c r="DP50" s="247" t="str">
        <f>IF(U50&lt;&gt;"x","",IF(OR(LEFT('Flächen u. Kulturen'!J55,2)=" +",LEFT('Flächen u. Kulturen'!L55,2)=" +",LEFT('Flächen u. Kulturen'!P55,2)=" +"),$DP$4,""))</f>
        <v/>
      </c>
      <c r="DQ50" s="428" t="str">
        <f t="shared" si="44"/>
        <v/>
      </c>
      <c r="DR50" s="938" t="str">
        <f t="shared" si="45"/>
        <v/>
      </c>
      <c r="DS50" s="938" t="str">
        <f>IF('Flächen u. Kulturen'!X55="","",ROW('Flächen u. Kulturen'!X55))</f>
        <v/>
      </c>
    </row>
    <row r="51" spans="1:123" s="875" customFormat="1" x14ac:dyDescent="0.2">
      <c r="A51" s="875" t="str">
        <f>IF('Daten aus 2021'!H53="",'#Boden'!$B$26,IF('Daten aus 2021'!H53='#Boden'!$B$39,IF('Daten aus 2021'!F53='#Boden'!$B$29,'#Boden'!$B$29,IF('Daten aus 2021'!K53='#Boden'!$B$34,'#Boden'!$B$28,'#Boden'!$B$27)),'Daten aus 2021'!F53))</f>
        <v xml:space="preserve"> --</v>
      </c>
      <c r="B51" s="875" t="str">
        <f>IF('Daten aus 2021'!H53='#Boden'!$B$39,IF('Daten aus 2021'!L53='#Boden'!$B$61,'#Boden'!$B$11,'Daten aus 2021'!L53),IF('Daten aus 2021'!P53='#Boden'!$B$58,'#Boden'!$B$11,IF('Daten aus 2021'!P53='#Boden'!$B$57,'#Boden'!$B$10,'#Boden'!$B$9)))</f>
        <v xml:space="preserve"> --         </v>
      </c>
      <c r="C51" s="875" t="str">
        <f>IF('Daten aus 2021'!N53="","",VLOOKUP('Daten aus 2021'!N53,'#Boden'!$B$68:$C$89,2,FALSE))</f>
        <v/>
      </c>
      <c r="D51" s="875" t="str">
        <f>IF('Daten aus 2021'!M53="","",VLOOKUP('Daten aus 2021'!M53,'#Boden'!$D$69:$E$73,2,FALSE))</f>
        <v/>
      </c>
      <c r="E51" s="938" t="str">
        <f>IF(OR(C51='#Boden'!$C$68,C51='#Boden'!$C$70),C51,CONCATENATE(C51,D51))</f>
        <v/>
      </c>
      <c r="F51" s="882" t="str">
        <f>IFERROR(IF('Daten aus 2021'!H53="",'#Frucht'!$D$8,IF('Daten aus 2021'!H53='#Boden'!$B$39,E51,IF('Daten aus 2021'!H53='#Boden'!$B$38,IF(CONCATENATE(" ",'Daten aus 2021'!W53)=$B$2,VLOOKUP($B$3,'#Frucht'!$A$8:$D$372,4,FALSE),VLOOKUP(CONCATENATE(" ",'Daten aus 2021'!W53),'#Frucht'!$A$8:$D$372,4,FALSE)),IF(OR(LEFT('Daten aus 2021'!Q53,5)=" *10 ",LEFT('Daten aus 2021'!Q53,5)=" *11 ",LEFT('Daten aus 2021'!Q53,5)=" *12 ",LEFT('Daten aus 2021'!Q53,5)=" *13 ",LEFT('Daten aus 2021'!Q53,5)=" *14 ",LEFT('Daten aus 2021'!Q53,5)=" *15 "),VLOOKUP(RIGHT('Daten aus 2021'!Q53,LEN('Daten aus 2021'!Q53)-4),'#Frucht'!$A$8:$D$372,4,FALSE),IF(LEFT('Daten aus 2021'!Q53,2)=" *",VLOOKUP(RIGHT('Daten aus 2021'!Q53,LEN('Daten aus 2021'!Q53)-3),'#Frucht'!$A$8:$D$372,4,FALSE),VLOOKUP('Daten aus 2021'!Q53,'#Frucht'!$A$8:$D$372,4,FALSE)))))),'#Frucht'!$D$8)</f>
        <v xml:space="preserve"> --  </v>
      </c>
      <c r="G51" s="127"/>
      <c r="H51" s="31"/>
      <c r="J51" s="938" t="str">
        <f>IF(OR(N51=3,$K$3=0,'Flächen u. Kulturen'!P56=""),"",IF(VLOOKUP('Flächen u. Kulturen'!P56,Kulturen[[HF]:[780]],'#BerechnungDBE'!$K$3,FALSE)=".","",VLOOKUP('Flächen u. Kulturen'!P56,Kulturen[[HF]:[780]],'#BerechnungDBE'!$K$3,FALSE)))</f>
        <v/>
      </c>
      <c r="K51" s="938" t="str">
        <f>IF(OR($K$3=0,'Flächen u. Kulturen'!P56=""),"",IF(N51=3,IF(VLOOKUP('Flächen u. Kulturen'!P56,Kulturen[[HF]:[780]],'#BerechnungDBE'!$K$3,FALSE)=".","",VLOOKUP('Flächen u. Kulturen'!P56,Kulturen[[HF]:[780]],'#BerechnungDBE'!$K$3,FALSE)),""))</f>
        <v/>
      </c>
      <c r="L51" s="367">
        <f>IF('Flächen u. Kulturen'!D56="",0,'Flächen u. Kulturen'!D56)</f>
        <v>0</v>
      </c>
      <c r="M51" s="693">
        <f>IF('Flächen u. Kulturen'!J56="",0,VLOOKUP('Flächen u. Kulturen'!J56,Kulturen[[HF]:[Berechnungsgruppe]],'#Frucht'!$W$1,FALSE))</f>
        <v>1</v>
      </c>
      <c r="N51" s="693">
        <f>IF('Flächen u. Kulturen'!P56="",0,VLOOKUP('Flächen u. Kulturen'!P56,Kulturen[[HF]:[Berechnungsgruppe]],'#Frucht'!$W$1,FALSE))</f>
        <v>1</v>
      </c>
      <c r="O51" s="875">
        <f>IF(N51&lt;&gt;2,N51,IF('Flächen u. Kulturen'!J56='Flächen u. Kulturen'!P56,2,1))</f>
        <v>1</v>
      </c>
      <c r="P51" s="875">
        <f>IF('Flächen u. Kulturen'!F56="",0,VLOOKUP('Flächen u. Kulturen'!F56,'#Boden'!$G$4:$H$8,'#Boden'!$H$1,FALSE))</f>
        <v>1</v>
      </c>
      <c r="Q51" s="875">
        <f>IF('Flächen u. Kulturen'!G56="",0,VLOOKUP('Flächen u. Kulturen'!G56,'#Boden'!$B$26:$C$29,'#Boden'!$C$1,FALSE))</f>
        <v>1</v>
      </c>
      <c r="R51" s="875">
        <f t="shared" si="19"/>
        <v>1</v>
      </c>
      <c r="S51" s="875">
        <f t="shared" si="20"/>
        <v>1</v>
      </c>
      <c r="T51" s="875">
        <f>IF('Flächen u. Kulturen'!H56="",0,VLOOKUP('Flächen u. Kulturen'!H56,'#Boden'!$B$23:$C$25,'#Boden'!$C$1,FALSE))</f>
        <v>2</v>
      </c>
      <c r="U51" s="875" t="str">
        <f>'Flächen u. Kulturen'!E56</f>
        <v>x</v>
      </c>
      <c r="V51" s="938">
        <f>IF('Flächen u. Kulturen'!Q56="",0,_xlfn.NUMBERVALUE('Flächen u. Kulturen'!Q56))</f>
        <v>0</v>
      </c>
      <c r="W51" s="938">
        <f>IF('Flächen u. Kulturen'!R56="",0,_xlfn.NUMBERVALUE('Flächen u. Kulturen'!R56))</f>
        <v>0</v>
      </c>
      <c r="X51" s="875">
        <f>IF('Flächen u. Kulturen'!T56="",0,VLOOKUP('Flächen u. Kulturen'!T56,'#Boden'!$B$30:$C$32,'#Boden'!$C$1,FALSE))</f>
        <v>1</v>
      </c>
      <c r="Y51" s="875">
        <f>IF('Flächen u. Kulturen'!P56="",0,VLOOKUP('Flächen u. Kulturen'!P56,Kulturen[[HF]:[Berechnungsgruppe]],'#Frucht'!$N$1,FALSE))</f>
        <v>0</v>
      </c>
      <c r="Z51" s="875">
        <f t="shared" si="21"/>
        <v>2</v>
      </c>
      <c r="AA51" s="875">
        <f>IF('Flächen u. Kulturen'!P56="",0,VLOOKUP('Flächen u. Kulturen'!P56,Kulturen[[HF]:[Berechnungsgruppe]],'#Frucht'!$V$1,FALSE))</f>
        <v>0</v>
      </c>
      <c r="AB51" s="875">
        <f>IF(N51=1,VLOOKUP('Flächen u. Kulturen'!P56,Kulturen[[HF]:[Ernteprodukt]],'#Frucht'!$I$1,FALSE),4)</f>
        <v>4</v>
      </c>
      <c r="AC51" s="921">
        <f>IF('Flächen u. Kulturen'!J56="",0,VLOOKUP('Flächen u. Kulturen'!J56,Kulturen[[HF]:[Berechnungsgruppe]],'#Frucht'!$G$1,FALSE))</f>
        <v>90</v>
      </c>
      <c r="AD51" s="921">
        <f>IF('Flächen u. Kulturen'!P56="",0,VLOOKUP('Flächen u. Kulturen'!P56,Kulturen[[HF]:[Berechnungsgruppe]],'#Frucht'!$G$1,FALSE))</f>
        <v>90</v>
      </c>
      <c r="AE51" s="938">
        <f>IF('Flächen u. Kulturen'!P56="",0,VLOOKUP('Flächen u. Kulturen'!P56,Kulturen[[HF]:[SollwertMinusNfix]],'#Frucht'!$X$1,FALSE))</f>
        <v>0</v>
      </c>
      <c r="AF51" s="875">
        <f>IF('Flächen u. Kulturen'!L56="",0,VLOOKUP('Flächen u. Kulturen'!L56,Nebenkultur[[Nebenkultur]:[Berechnungsschema]],'#Zweitfr'!$G$1,FALSE))</f>
        <v>0</v>
      </c>
      <c r="AG51" s="875">
        <f>IF('Flächen u. Kulturen'!L56="",0,VLOOKUP('Flächen u. Kulturen'!L56,'#Zweitfr'!$D$8:$Q$27,'#Zweitfr'!$Q$1,FALSE))</f>
        <v>0</v>
      </c>
      <c r="AH51" s="875">
        <f>IF('Flächen u. Kulturen'!M56="",0,VLOOKUP('Flächen u. Kulturen'!M56,'#Boden'!$G$17:$H$21,2,FALSE))</f>
        <v>1</v>
      </c>
      <c r="AI51" s="875">
        <f>IF('Flächen u. Kulturen'!N56="",0,VLOOKUP('Flächen u. Kulturen'!N56,'#Boden'!$G$22:$H$24,'#Boden'!$H$1,FALSE))</f>
        <v>1</v>
      </c>
      <c r="AJ51" s="938">
        <f>IF('Flächen u. Kulturen'!O56="",0,_xlfn.NUMBERVALUE('Flächen u. Kulturen'!O56))</f>
        <v>0</v>
      </c>
      <c r="AK51" s="938">
        <f>IF('Flächen u. Kulturen'!L56="",0,VLOOKUP('Flächen u. Kulturen'!L56,Nebenkultur[[Nebenkultur]:[Legum. Zwischenfr.]],'#Zweitfr'!$P$1,FALSE))</f>
        <v>0</v>
      </c>
      <c r="AL51" s="875">
        <f>IF('Flächen u. Kulturen'!P56="",0,VLOOKUP('Flächen u. Kulturen'!P56,Kulturen[[HF]:[Berechnungsgruppe]],'#Frucht'!$Q$1,FALSE))</f>
        <v>0</v>
      </c>
      <c r="AM51" s="875">
        <f>IF('Flächen u. Kulturen'!P56="",0,VLOOKUP('Flächen u. Kulturen'!P56,Kulturen[[HF]:[Berechnungsgruppe]],'#Frucht'!$M$1,FALSE))</f>
        <v>0</v>
      </c>
      <c r="AN51" s="875">
        <f>IF('Flächen u. Kulturen'!P56="",1,VLOOKUP('Flächen u. Kulturen'!P56,Kulturen[[HF]:[Berechnungsgruppe]],'#Frucht'!$R$1,FALSE))</f>
        <v>10</v>
      </c>
      <c r="AO51" s="875">
        <f>IF('Flächen u. Kulturen'!P56="",0,VLOOKUP('Flächen u. Kulturen'!P56,Kulturen[[HF]:[Berechnungsgruppe]],'#Frucht'!$S$1,FALSE))</f>
        <v>0</v>
      </c>
      <c r="AP51" s="875">
        <f>IF('Flächen u. Kulturen'!P56="",0,VLOOKUP('Flächen u. Kulturen'!P56,Kulturen[[HF]:[Berechnungsgruppe]],'#Frucht'!$T$1,FALSE))</f>
        <v>0</v>
      </c>
      <c r="AQ51" s="938">
        <f t="shared" si="32"/>
        <v>0</v>
      </c>
      <c r="AR51" s="875">
        <f t="shared" si="33"/>
        <v>0</v>
      </c>
      <c r="AS51" s="938">
        <f t="shared" si="34"/>
        <v>0</v>
      </c>
      <c r="AT51" s="875">
        <f>IF(N51=1,'Flächen u. Kulturen'!S56*-1,"--")</f>
        <v>0</v>
      </c>
      <c r="AU51" s="938">
        <f>IF(OR(N51=2,'Flächen u. Kulturen'!I56=""),"--",IF(N51=3,VLOOKUP('Flächen u. Kulturen'!I56,'#Boden'!$B$9:$E$15,'#Boden'!$D$1,FALSE),VLOOKUP('Flächen u. Kulturen'!I56,'#Boden'!$B$9:$E$15,'#Boden'!$E$1,FALSE)))</f>
        <v>0</v>
      </c>
      <c r="AV51" s="938">
        <f>IF(N51=1,IF('Flächen u. Kulturen'!J56="",0,VLOOKUP('Flächen u. Kulturen'!J56,Kulturen[[HF]:[Berechnungsgruppe]],'#Frucht'!$U$1,FALSE)*-1),"--")</f>
        <v>0</v>
      </c>
      <c r="AW51" s="875">
        <f t="shared" si="35"/>
        <v>0</v>
      </c>
      <c r="AX51" s="875">
        <f>IF('Flächen u. Kulturen'!K56="",0,'Flächen u. Kulturen'!K56*-0.1)</f>
        <v>0</v>
      </c>
      <c r="AY51" s="875">
        <f>IF(N51&lt;3,'#orgDung'!AC60*0.1*-1,"--")</f>
        <v>0</v>
      </c>
      <c r="AZ51" s="31" t="str">
        <f>IF(AND('#orgDung'!J60&lt;&gt;2,'#orgDung'!F60=1),('#orgDung'!V60+'#minDung'!O57)*-1,"--")</f>
        <v>--</v>
      </c>
      <c r="BA51" s="875">
        <f t="shared" si="22"/>
        <v>0</v>
      </c>
      <c r="BB51" s="938">
        <f>IF(R51=2,0,'Flächen u. Kulturen'!V56*-1)</f>
        <v>0</v>
      </c>
      <c r="BC51" s="875">
        <f t="shared" si="23"/>
        <v>0</v>
      </c>
      <c r="BD51" s="127">
        <f>'#orgDung'!W60*-1</f>
        <v>0</v>
      </c>
      <c r="BE51" s="910">
        <f>'#orgDung'!AA60*-1</f>
        <v>0</v>
      </c>
      <c r="BF51" s="875">
        <f>'#orgDung'!Z60*-1</f>
        <v>0</v>
      </c>
      <c r="BG51" s="938">
        <f t="shared" si="14"/>
        <v>0</v>
      </c>
      <c r="BH51" s="875">
        <f>'#Kürzungen'!AS75*-1</f>
        <v>0</v>
      </c>
      <c r="BI51" s="875">
        <f t="shared" si="36"/>
        <v>0</v>
      </c>
      <c r="BJ51" s="910">
        <f t="shared" si="37"/>
        <v>0</v>
      </c>
      <c r="BK51" s="875">
        <f>'#minDung'!P57</f>
        <v>0</v>
      </c>
      <c r="BL51" s="938">
        <f t="shared" si="15"/>
        <v>0</v>
      </c>
      <c r="BM51" s="938">
        <f t="shared" si="38"/>
        <v>0</v>
      </c>
      <c r="BN51" s="875">
        <f>IF('Flächen u. Kulturen'!P56="",0,VLOOKUP('Flächen u. Kulturen'!P56,Kulturen[[HF]:[Berechnungsgruppe]],'#Frucht'!$K$1,FALSE))</f>
        <v>0</v>
      </c>
      <c r="BO51" s="875">
        <f>IF('Flächen u. Kulturen'!P56="",0,VLOOKUP('Flächen u. Kulturen'!P56,Kulturen[[HF]:[Berechnungsgruppe]],'#Frucht'!$L$1,FALSE))</f>
        <v>0</v>
      </c>
      <c r="BP51" s="875">
        <f>IF('Flächen u. Kulturen'!L56="",0,VLOOKUP('Flächen u. Kulturen'!L56,Nebenkultur[[Nebenkultur]:[Legum. Zwischenfr.]],'#Zweitfr'!$H$1,FALSE))</f>
        <v>0</v>
      </c>
      <c r="BQ51" s="938">
        <f>IF(N51=3,W51*BO51,IF('Flächen u. Kulturen'!T56='#Boden'!$B$32,V51*BN51,V51*BO51))</f>
        <v>0</v>
      </c>
      <c r="BR51" s="938">
        <f t="shared" si="39"/>
        <v>0</v>
      </c>
      <c r="BS51" s="875">
        <f t="shared" si="24"/>
        <v>0</v>
      </c>
      <c r="BT51" s="875">
        <f>IF('Flächen u. Kulturen'!F56="",0,IF(N51=3,VLOOKUP('Flächen u. Kulturen'!F56,'#Boden'!$G$4:$J$8,'#Boden'!$J$1,FALSE),VLOOKUP('Flächen u. Kulturen'!F56,'#Boden'!$G$4:$J$8,'#Boden'!$I$1,FALSE)))</f>
        <v>0</v>
      </c>
      <c r="BU51" s="41">
        <f t="shared" si="25"/>
        <v>0</v>
      </c>
      <c r="BV51" s="875">
        <f t="shared" si="26"/>
        <v>0</v>
      </c>
      <c r="BW51" s="938" t="str">
        <f t="shared" si="16"/>
        <v/>
      </c>
      <c r="BX51" s="875">
        <f>'#orgDung'!T60*-1</f>
        <v>0</v>
      </c>
      <c r="BY51" s="875">
        <f t="shared" si="40"/>
        <v>0</v>
      </c>
      <c r="BZ51" s="938" t="str">
        <f>IF(U51&lt;&gt;"x",0,IF(P51&lt;4,"",(BW51+BX51-'#minDung'!N57)*-1))</f>
        <v/>
      </c>
      <c r="CB51" s="938">
        <f>IF(AND(AF51=70,U51="x"),'Flächen u. Kulturen'!A56,1000)</f>
        <v>1000</v>
      </c>
      <c r="CC51" s="875" t="str">
        <f>IF(AF51=70,VLOOKUP('Flächen u. Kulturen'!L56,Nebenkultur[[Nebenkultur]:[Legum. Zwischenfr.]],'#Zweitfr'!$I$1,FALSE),"--")</f>
        <v>--</v>
      </c>
      <c r="CD51" s="875" t="str">
        <f>IF(AF51=70,VLOOKUP('Flächen u. Kulturen'!L56,Nebenkultur[[Nebenkultur]:[Legum. Zwischenfr.]],'#Zweitfr'!$L$1,FALSE),"--")</f>
        <v>--</v>
      </c>
      <c r="CE51" s="875" t="str">
        <f>IF(AF51=70,VLOOKUP('Flächen u. Kulturen'!L56,Nebenkultur[[Nebenkultur]:[Legum. Zwischenfr.]],'#Zweitfr'!$M$1,FALSE),"--")</f>
        <v>--</v>
      </c>
      <c r="CF51" s="875" t="str">
        <f>IF(AF51=70,VLOOKUP('Flächen u. Kulturen'!L56,Nebenkultur[[Nebenkultur]:[Legum. Zwischenfr.]],'#Zweitfr'!$N$1,FALSE),"--")</f>
        <v>--</v>
      </c>
      <c r="CG51" s="875" t="str">
        <f>IF(AF51=70,VLOOKUP('Flächen u. Kulturen'!L56,Nebenkultur[[Nebenkultur]:[Legum. Zwischenfr.]],'#Zweitfr'!$O$1,FALSE),"--")</f>
        <v>--</v>
      </c>
      <c r="CH51" s="875" t="str">
        <f t="shared" si="41"/>
        <v>--</v>
      </c>
      <c r="CI51" s="938">
        <f>IF('Flächen u. Kulturen'!L56="",0,VLOOKUP('Flächen u. Kulturen'!L56,Nebenkultur[[Nebenkultur]:[Legum. Zwischenfr.]],'#Zweitfr'!$J$1,FALSE))</f>
        <v>0</v>
      </c>
      <c r="CJ51" s="875">
        <f t="shared" si="42"/>
        <v>0</v>
      </c>
      <c r="CK51" s="890">
        <f t="shared" si="43"/>
        <v>0</v>
      </c>
      <c r="CL51" s="938">
        <f>IF(AND(R51=1,AF51=70),'Flächen u. Kulturen'!W56*-1,0)</f>
        <v>0</v>
      </c>
      <c r="CM51" s="875">
        <f>'#orgDung'!AE60*-1</f>
        <v>0</v>
      </c>
      <c r="CN51" s="875">
        <f t="shared" si="27"/>
        <v>0</v>
      </c>
      <c r="CO51" s="875">
        <f t="shared" si="28"/>
        <v>0</v>
      </c>
      <c r="CP51" s="875">
        <f>'#Kürzungen'!AS176*-1</f>
        <v>0</v>
      </c>
      <c r="CQ51" s="875">
        <f t="shared" si="29"/>
        <v>0</v>
      </c>
      <c r="CR51" s="875">
        <f t="shared" si="30"/>
        <v>0</v>
      </c>
      <c r="CS51" s="875">
        <f>'#minDung'!R57</f>
        <v>0</v>
      </c>
      <c r="CT51" s="938">
        <f t="shared" si="18"/>
        <v>0</v>
      </c>
      <c r="CU51" s="52" t="str">
        <f>'#Kürzungen'!AQ176</f>
        <v xml:space="preserve"> </v>
      </c>
      <c r="CW51" s="247">
        <f>IF('Flächen u. Kulturen'!D56="",0,IF(ISNUMBER('Flächen u. Kulturen'!D56)=TRUE,2,1))</f>
        <v>0</v>
      </c>
      <c r="CX51" s="247">
        <f>IF('Flächen u. Kulturen'!E56="",0,COUNTIF('#Boden'!$B$47,'Flächen u. Kulturen'!E56)+1)</f>
        <v>2</v>
      </c>
      <c r="CY51" s="247">
        <f>IF('Flächen u. Kulturen'!F56="",0,COUNTIF('#Boden'!$G$4:$G$8,'Flächen u. Kulturen'!F56)+1)</f>
        <v>2</v>
      </c>
      <c r="CZ51" s="247">
        <f>IF('Flächen u. Kulturen'!G56="",0,COUNTIF('#Boden'!$B$26:$B$29,'Flächen u. Kulturen'!G56)+1)</f>
        <v>2</v>
      </c>
      <c r="DA51" s="247">
        <f>IF('Flächen u. Kulturen'!H56="",0,COUNTIF('#Boden'!$B$26:$B$29,'Flächen u. Kulturen'!H56)+1)</f>
        <v>2</v>
      </c>
      <c r="DB51" s="247">
        <f>IF('Flächen u. Kulturen'!I56="",0,COUNTIF('#Boden'!$B$9:$B$15,'Flächen u. Kulturen'!I56)+1)</f>
        <v>2</v>
      </c>
      <c r="DC51" s="247">
        <f>IF('Flächen u. Kulturen'!J56="",0,COUNTIF(Kulturen[HF],'Flächen u. Kulturen'!J56)+1)</f>
        <v>2</v>
      </c>
      <c r="DD51" s="247">
        <f>IF('Flächen u. Kulturen'!L56="",0,COUNTIF(Nebenkultur[Nebenkultur],'Flächen u. Kulturen'!L56)+1)</f>
        <v>2</v>
      </c>
      <c r="DE51" s="247">
        <f>IF('Flächen u. Kulturen'!M56="",0,COUNTIF('#Boden'!$G$17:$G$21,'Flächen u. Kulturen'!M56)+1)</f>
        <v>2</v>
      </c>
      <c r="DF51" s="247">
        <f>IF('Flächen u. Kulturen'!N56="",0,COUNTIF('#Boden'!$G$22:$G$24,'Flächen u. Kulturen'!N56)+1)</f>
        <v>2</v>
      </c>
      <c r="DG51" s="247">
        <f>IF('Flächen u. Kulturen'!P56="",0,COUNTIF(Kulturen[HF],'Flächen u. Kulturen'!P56)+1)</f>
        <v>2</v>
      </c>
      <c r="DH51" s="247">
        <f>IF('Flächen u. Kulturen'!T56="",0,COUNTIF('#Boden'!$B$30:$B$32,'Flächen u. Kulturen'!T56)+1)</f>
        <v>2</v>
      </c>
      <c r="DI51" s="247">
        <f>IF('Flächen u. Kulturen'!K56="",0,IF(ISNUMBER('Flächen u. Kulturen'!K56)=TRUE,2,1))</f>
        <v>0</v>
      </c>
      <c r="DJ51" s="247">
        <f>IF('Flächen u. Kulturen'!U56="",0,IF(ISNUMBER('Flächen u. Kulturen'!U56)=TRUE,2,1))</f>
        <v>0</v>
      </c>
      <c r="DK51" s="247">
        <f>IF('Flächen u. Kulturen'!V56="",0,IF(ISNUMBER('Flächen u. Kulturen'!V56)=TRUE,2,1))</f>
        <v>0</v>
      </c>
      <c r="DL51" s="247">
        <f>IF('Flächen u. Kulturen'!W56="",0,IF(ISNUMBER('Flächen u. Kulturen'!W56)=TRUE,2,1))</f>
        <v>0</v>
      </c>
      <c r="DM51" s="247">
        <f t="shared" si="31"/>
        <v>0</v>
      </c>
      <c r="DN51" s="247" t="s">
        <v>344</v>
      </c>
      <c r="DO51" s="247">
        <f>IF(U51&lt;&gt;"x","",IF(OR('Flächen u. Kulturen'!B56="",'Flächen u. Kulturen'!C56="",'Flächen u. Kulturen'!D56="",'Flächen u. Kulturen'!D56=0,'Flächen u. Kulturen'!F56="",'Flächen u. Kulturen'!F56='#Boden'!$G$4,'Flächen u. Kulturen'!G56="",'Flächen u. Kulturen'!G56='#Boden'!$B$26,'Flächen u. Kulturen'!H56="",'Flächen u. Kulturen'!H56='#Boden'!$B$23,AND(N51&lt;&gt;2,OR('Flächen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Kulturen'!Q56="",'#BerechnungDBE'!N51&lt;3),AND('Flächen u. Kulturen'!R56="",'#BerechnungDBE'!N51=3),AND(N51=1,AL51&gt;0,'Flächen u. Kulturen'!S56=""),AND(N51=1,OR('Flächen u. Kulturen'!T56="",'Flächen u. Kulturen'!T56='#Boden'!$B$30)),AND('#BerechnungDBE'!AF51=70,OR('Flächen u. Kulturen'!N56="",'Flächen u. Kulturen'!N56='#Boden'!$G$22,'Flächen u. Kulturen'!O56="")),AND('#BerechnungDBE'!AF51=80,OR('Flächen u. Kulturen'!M56="",'Flächen u. Kulturen'!M56='#Boden'!$G$17,'Flächen u. Kulturen'!N56="",'Flächen u. Kulturen'!N56='#Boden'!$G$22))),$DO$4,""))</f>
        <v>1</v>
      </c>
      <c r="DP51" s="247" t="str">
        <f>IF(U51&lt;&gt;"x","",IF(OR(LEFT('Flächen u. Kulturen'!J56,2)=" +",LEFT('Flächen u. Kulturen'!L56,2)=" +",LEFT('Flächen u. Kulturen'!P56,2)=" +"),$DP$4,""))</f>
        <v/>
      </c>
      <c r="DQ51" s="428" t="str">
        <f t="shared" si="44"/>
        <v/>
      </c>
      <c r="DR51" s="938" t="str">
        <f t="shared" si="45"/>
        <v/>
      </c>
      <c r="DS51" s="938" t="str">
        <f>IF('Flächen u. Kulturen'!X56="","",ROW('Flächen u. Kulturen'!X56))</f>
        <v/>
      </c>
    </row>
    <row r="52" spans="1:123" s="875" customFormat="1" x14ac:dyDescent="0.2">
      <c r="A52" s="875" t="str">
        <f>IF('Daten aus 2021'!H54="",'#Boden'!$B$26,IF('Daten aus 2021'!H54='#Boden'!$B$39,IF('Daten aus 2021'!F54='#Boden'!$B$29,'#Boden'!$B$29,IF('Daten aus 2021'!K54='#Boden'!$B$34,'#Boden'!$B$28,'#Boden'!$B$27)),'Daten aus 2021'!F54))</f>
        <v xml:space="preserve"> --</v>
      </c>
      <c r="B52" s="875" t="str">
        <f>IF('Daten aus 2021'!H54='#Boden'!$B$39,IF('Daten aus 2021'!L54='#Boden'!$B$61,'#Boden'!$B$11,'Daten aus 2021'!L54),IF('Daten aus 2021'!P54='#Boden'!$B$58,'#Boden'!$B$11,IF('Daten aus 2021'!P54='#Boden'!$B$57,'#Boden'!$B$10,'#Boden'!$B$9)))</f>
        <v xml:space="preserve"> --         </v>
      </c>
      <c r="C52" s="875" t="str">
        <f>IF('Daten aus 2021'!N54="","",VLOOKUP('Daten aus 2021'!N54,'#Boden'!$B$68:$C$89,2,FALSE))</f>
        <v/>
      </c>
      <c r="D52" s="875" t="str">
        <f>IF('Daten aus 2021'!M54="","",VLOOKUP('Daten aus 2021'!M54,'#Boden'!$D$69:$E$73,2,FALSE))</f>
        <v/>
      </c>
      <c r="E52" s="938" t="str">
        <f>IF(OR(C52='#Boden'!$C$68,C52='#Boden'!$C$70),C52,CONCATENATE(C52,D52))</f>
        <v/>
      </c>
      <c r="F52" s="882" t="str">
        <f>IFERROR(IF('Daten aus 2021'!H54="",'#Frucht'!$D$8,IF('Daten aus 2021'!H54='#Boden'!$B$39,E52,IF('Daten aus 2021'!H54='#Boden'!$B$38,IF(CONCATENATE(" ",'Daten aus 2021'!W54)=$B$2,VLOOKUP($B$3,'#Frucht'!$A$8:$D$372,4,FALSE),VLOOKUP(CONCATENATE(" ",'Daten aus 2021'!W54),'#Frucht'!$A$8:$D$372,4,FALSE)),IF(OR(LEFT('Daten aus 2021'!Q54,5)=" *10 ",LEFT('Daten aus 2021'!Q54,5)=" *11 ",LEFT('Daten aus 2021'!Q54,5)=" *12 ",LEFT('Daten aus 2021'!Q54,5)=" *13 ",LEFT('Daten aus 2021'!Q54,5)=" *14 ",LEFT('Daten aus 2021'!Q54,5)=" *15 "),VLOOKUP(RIGHT('Daten aus 2021'!Q54,LEN('Daten aus 2021'!Q54)-4),'#Frucht'!$A$8:$D$372,4,FALSE),IF(LEFT('Daten aus 2021'!Q54,2)=" *",VLOOKUP(RIGHT('Daten aus 2021'!Q54,LEN('Daten aus 2021'!Q54)-3),'#Frucht'!$A$8:$D$372,4,FALSE),VLOOKUP('Daten aus 2021'!Q54,'#Frucht'!$A$8:$D$372,4,FALSE)))))),'#Frucht'!$D$8)</f>
        <v xml:space="preserve"> --  </v>
      </c>
      <c r="G52" s="127"/>
      <c r="H52" s="31"/>
      <c r="J52" s="938" t="str">
        <f>IF(OR(N52=3,$K$3=0,'Flächen u. Kulturen'!P57=""),"",IF(VLOOKUP('Flächen u. Kulturen'!P57,Kulturen[[HF]:[780]],'#BerechnungDBE'!$K$3,FALSE)=".","",VLOOKUP('Flächen u. Kulturen'!P57,Kulturen[[HF]:[780]],'#BerechnungDBE'!$K$3,FALSE)))</f>
        <v/>
      </c>
      <c r="K52" s="938" t="str">
        <f>IF(OR($K$3=0,'Flächen u. Kulturen'!P57=""),"",IF(N52=3,IF(VLOOKUP('Flächen u. Kulturen'!P57,Kulturen[[HF]:[780]],'#BerechnungDBE'!$K$3,FALSE)=".","",VLOOKUP('Flächen u. Kulturen'!P57,Kulturen[[HF]:[780]],'#BerechnungDBE'!$K$3,FALSE)),""))</f>
        <v/>
      </c>
      <c r="L52" s="367">
        <f>IF('Flächen u. Kulturen'!D57="",0,'Flächen u. Kulturen'!D57)</f>
        <v>0</v>
      </c>
      <c r="M52" s="693">
        <f>IF('Flächen u. Kulturen'!J57="",0,VLOOKUP('Flächen u. Kulturen'!J57,Kulturen[[HF]:[Berechnungsgruppe]],'#Frucht'!$W$1,FALSE))</f>
        <v>1</v>
      </c>
      <c r="N52" s="693">
        <f>IF('Flächen u. Kulturen'!P57="",0,VLOOKUP('Flächen u. Kulturen'!P57,Kulturen[[HF]:[Berechnungsgruppe]],'#Frucht'!$W$1,FALSE))</f>
        <v>1</v>
      </c>
      <c r="O52" s="875">
        <f>IF(N52&lt;&gt;2,N52,IF('Flächen u. Kulturen'!J57='Flächen u. Kulturen'!P57,2,1))</f>
        <v>1</v>
      </c>
      <c r="P52" s="875">
        <f>IF('Flächen u. Kulturen'!F57="",0,VLOOKUP('Flächen u. Kulturen'!F57,'#Boden'!$G$4:$H$8,'#Boden'!$H$1,FALSE))</f>
        <v>1</v>
      </c>
      <c r="Q52" s="875">
        <f>IF('Flächen u. Kulturen'!G57="",0,VLOOKUP('Flächen u. Kulturen'!G57,'#Boden'!$B$26:$C$29,'#Boden'!$C$1,FALSE))</f>
        <v>1</v>
      </c>
      <c r="R52" s="875">
        <f t="shared" si="19"/>
        <v>1</v>
      </c>
      <c r="S52" s="875">
        <f t="shared" si="20"/>
        <v>1</v>
      </c>
      <c r="T52" s="875">
        <f>IF('Flächen u. Kulturen'!H57="",0,VLOOKUP('Flächen u. Kulturen'!H57,'#Boden'!$B$23:$C$25,'#Boden'!$C$1,FALSE))</f>
        <v>2</v>
      </c>
      <c r="U52" s="875" t="str">
        <f>'Flächen u. Kulturen'!E57</f>
        <v>x</v>
      </c>
      <c r="V52" s="938">
        <f>IF('Flächen u. Kulturen'!Q57="",0,_xlfn.NUMBERVALUE('Flächen u. Kulturen'!Q57))</f>
        <v>0</v>
      </c>
      <c r="W52" s="938">
        <f>IF('Flächen u. Kulturen'!R57="",0,_xlfn.NUMBERVALUE('Flächen u. Kulturen'!R57))</f>
        <v>0</v>
      </c>
      <c r="X52" s="875">
        <f>IF('Flächen u. Kulturen'!T57="",0,VLOOKUP('Flächen u. Kulturen'!T57,'#Boden'!$B$30:$C$32,'#Boden'!$C$1,FALSE))</f>
        <v>1</v>
      </c>
      <c r="Y52" s="875">
        <f>IF('Flächen u. Kulturen'!P57="",0,VLOOKUP('Flächen u. Kulturen'!P57,Kulturen[[HF]:[Berechnungsgruppe]],'#Frucht'!$N$1,FALSE))</f>
        <v>0</v>
      </c>
      <c r="Z52" s="875">
        <f t="shared" si="21"/>
        <v>2</v>
      </c>
      <c r="AA52" s="875">
        <f>IF('Flächen u. Kulturen'!P57="",0,VLOOKUP('Flächen u. Kulturen'!P57,Kulturen[[HF]:[Berechnungsgruppe]],'#Frucht'!$V$1,FALSE))</f>
        <v>0</v>
      </c>
      <c r="AB52" s="875">
        <f>IF(N52=1,VLOOKUP('Flächen u. Kulturen'!P57,Kulturen[[HF]:[Ernteprodukt]],'#Frucht'!$I$1,FALSE),4)</f>
        <v>4</v>
      </c>
      <c r="AC52" s="921">
        <f>IF('Flächen u. Kulturen'!J57="",0,VLOOKUP('Flächen u. Kulturen'!J57,Kulturen[[HF]:[Berechnungsgruppe]],'#Frucht'!$G$1,FALSE))</f>
        <v>90</v>
      </c>
      <c r="AD52" s="921">
        <f>IF('Flächen u. Kulturen'!P57="",0,VLOOKUP('Flächen u. Kulturen'!P57,Kulturen[[HF]:[Berechnungsgruppe]],'#Frucht'!$G$1,FALSE))</f>
        <v>90</v>
      </c>
      <c r="AE52" s="938">
        <f>IF('Flächen u. Kulturen'!P57="",0,VLOOKUP('Flächen u. Kulturen'!P57,Kulturen[[HF]:[SollwertMinusNfix]],'#Frucht'!$X$1,FALSE))</f>
        <v>0</v>
      </c>
      <c r="AF52" s="875">
        <f>IF('Flächen u. Kulturen'!L57="",0,VLOOKUP('Flächen u. Kulturen'!L57,Nebenkultur[[Nebenkultur]:[Berechnungsschema]],'#Zweitfr'!$G$1,FALSE))</f>
        <v>0</v>
      </c>
      <c r="AG52" s="875">
        <f>IF('Flächen u. Kulturen'!L57="",0,VLOOKUP('Flächen u. Kulturen'!L57,'#Zweitfr'!$D$8:$Q$27,'#Zweitfr'!$Q$1,FALSE))</f>
        <v>0</v>
      </c>
      <c r="AH52" s="875">
        <f>IF('Flächen u. Kulturen'!M57="",0,VLOOKUP('Flächen u. Kulturen'!M57,'#Boden'!$G$17:$H$21,2,FALSE))</f>
        <v>1</v>
      </c>
      <c r="AI52" s="875">
        <f>IF('Flächen u. Kulturen'!N57="",0,VLOOKUP('Flächen u. Kulturen'!N57,'#Boden'!$G$22:$H$24,'#Boden'!$H$1,FALSE))</f>
        <v>1</v>
      </c>
      <c r="AJ52" s="938">
        <f>IF('Flächen u. Kulturen'!O57="",0,_xlfn.NUMBERVALUE('Flächen u. Kulturen'!O57))</f>
        <v>0</v>
      </c>
      <c r="AK52" s="938">
        <f>IF('Flächen u. Kulturen'!L57="",0,VLOOKUP('Flächen u. Kulturen'!L57,Nebenkultur[[Nebenkultur]:[Legum. Zwischenfr.]],'#Zweitfr'!$P$1,FALSE))</f>
        <v>0</v>
      </c>
      <c r="AL52" s="875">
        <f>IF('Flächen u. Kulturen'!P57="",0,VLOOKUP('Flächen u. Kulturen'!P57,Kulturen[[HF]:[Berechnungsgruppe]],'#Frucht'!$Q$1,FALSE))</f>
        <v>0</v>
      </c>
      <c r="AM52" s="875">
        <f>IF('Flächen u. Kulturen'!P57="",0,VLOOKUP('Flächen u. Kulturen'!P57,Kulturen[[HF]:[Berechnungsgruppe]],'#Frucht'!$M$1,FALSE))</f>
        <v>0</v>
      </c>
      <c r="AN52" s="875">
        <f>IF('Flächen u. Kulturen'!P57="",1,VLOOKUP('Flächen u. Kulturen'!P57,Kulturen[[HF]:[Berechnungsgruppe]],'#Frucht'!$R$1,FALSE))</f>
        <v>10</v>
      </c>
      <c r="AO52" s="875">
        <f>IF('Flächen u. Kulturen'!P57="",0,VLOOKUP('Flächen u. Kulturen'!P57,Kulturen[[HF]:[Berechnungsgruppe]],'#Frucht'!$S$1,FALSE))</f>
        <v>0</v>
      </c>
      <c r="AP52" s="875">
        <f>IF('Flächen u. Kulturen'!P57="",0,VLOOKUP('Flächen u. Kulturen'!P57,Kulturen[[HF]:[Berechnungsgruppe]],'#Frucht'!$T$1,FALSE))</f>
        <v>0</v>
      </c>
      <c r="AQ52" s="938">
        <f t="shared" si="32"/>
        <v>0</v>
      </c>
      <c r="AR52" s="875">
        <f t="shared" si="33"/>
        <v>0</v>
      </c>
      <c r="AS52" s="938">
        <f t="shared" si="34"/>
        <v>0</v>
      </c>
      <c r="AT52" s="875">
        <f>IF(N52=1,'Flächen u. Kulturen'!S57*-1,"--")</f>
        <v>0</v>
      </c>
      <c r="AU52" s="938">
        <f>IF(OR(N52=2,'Flächen u. Kulturen'!I57=""),"--",IF(N52=3,VLOOKUP('Flächen u. Kulturen'!I57,'#Boden'!$B$9:$E$15,'#Boden'!$D$1,FALSE),VLOOKUP('Flächen u. Kulturen'!I57,'#Boden'!$B$9:$E$15,'#Boden'!$E$1,FALSE)))</f>
        <v>0</v>
      </c>
      <c r="AV52" s="938">
        <f>IF(N52=1,IF('Flächen u. Kulturen'!J57="",0,VLOOKUP('Flächen u. Kulturen'!J57,Kulturen[[HF]:[Berechnungsgruppe]],'#Frucht'!$U$1,FALSE)*-1),"--")</f>
        <v>0</v>
      </c>
      <c r="AW52" s="875">
        <f t="shared" si="35"/>
        <v>0</v>
      </c>
      <c r="AX52" s="875">
        <f>IF('Flächen u. Kulturen'!K57="",0,'Flächen u. Kulturen'!K57*-0.1)</f>
        <v>0</v>
      </c>
      <c r="AY52" s="875">
        <f>IF(N52&lt;3,'#orgDung'!AC61*0.1*-1,"--")</f>
        <v>0</v>
      </c>
      <c r="AZ52" s="31" t="str">
        <f>IF(AND('#orgDung'!J61&lt;&gt;2,'#orgDung'!F61=1),('#orgDung'!V61+'#minDung'!O58)*-1,"--")</f>
        <v>--</v>
      </c>
      <c r="BA52" s="875">
        <f t="shared" si="22"/>
        <v>0</v>
      </c>
      <c r="BB52" s="938">
        <f>IF(R52=2,0,'Flächen u. Kulturen'!V57*-1)</f>
        <v>0</v>
      </c>
      <c r="BC52" s="875">
        <f t="shared" si="23"/>
        <v>0</v>
      </c>
      <c r="BD52" s="127">
        <f>'#orgDung'!W61*-1</f>
        <v>0</v>
      </c>
      <c r="BE52" s="910">
        <f>'#orgDung'!AA61*-1</f>
        <v>0</v>
      </c>
      <c r="BF52" s="875">
        <f>'#orgDung'!Z61*-1</f>
        <v>0</v>
      </c>
      <c r="BG52" s="938">
        <f t="shared" si="14"/>
        <v>0</v>
      </c>
      <c r="BH52" s="875">
        <f>'#Kürzungen'!AS76*-1</f>
        <v>0</v>
      </c>
      <c r="BI52" s="875">
        <f t="shared" si="36"/>
        <v>0</v>
      </c>
      <c r="BJ52" s="910">
        <f t="shared" si="37"/>
        <v>0</v>
      </c>
      <c r="BK52" s="875">
        <f>'#minDung'!P58</f>
        <v>0</v>
      </c>
      <c r="BL52" s="938">
        <f t="shared" si="15"/>
        <v>0</v>
      </c>
      <c r="BM52" s="938">
        <f t="shared" si="38"/>
        <v>0</v>
      </c>
      <c r="BN52" s="875">
        <f>IF('Flächen u. Kulturen'!P57="",0,VLOOKUP('Flächen u. Kulturen'!P57,Kulturen[[HF]:[Berechnungsgruppe]],'#Frucht'!$K$1,FALSE))</f>
        <v>0</v>
      </c>
      <c r="BO52" s="875">
        <f>IF('Flächen u. Kulturen'!P57="",0,VLOOKUP('Flächen u. Kulturen'!P57,Kulturen[[HF]:[Berechnungsgruppe]],'#Frucht'!$L$1,FALSE))</f>
        <v>0</v>
      </c>
      <c r="BP52" s="875">
        <f>IF('Flächen u. Kulturen'!L57="",0,VLOOKUP('Flächen u. Kulturen'!L57,Nebenkultur[[Nebenkultur]:[Legum. Zwischenfr.]],'#Zweitfr'!$H$1,FALSE))</f>
        <v>0</v>
      </c>
      <c r="BQ52" s="938">
        <f>IF(N52=3,W52*BO52,IF('Flächen u. Kulturen'!T57='#Boden'!$B$32,V52*BN52,V52*BO52))</f>
        <v>0</v>
      </c>
      <c r="BR52" s="938">
        <f t="shared" si="39"/>
        <v>0</v>
      </c>
      <c r="BS52" s="875">
        <f t="shared" si="24"/>
        <v>0</v>
      </c>
      <c r="BT52" s="875">
        <f>IF('Flächen u. Kulturen'!F57="",0,IF(N52=3,VLOOKUP('Flächen u. Kulturen'!F57,'#Boden'!$G$4:$J$8,'#Boden'!$J$1,FALSE),VLOOKUP('Flächen u. Kulturen'!F57,'#Boden'!$G$4:$J$8,'#Boden'!$I$1,FALSE)))</f>
        <v>0</v>
      </c>
      <c r="BU52" s="41">
        <f t="shared" si="25"/>
        <v>0</v>
      </c>
      <c r="BV52" s="875">
        <f t="shared" si="26"/>
        <v>0</v>
      </c>
      <c r="BW52" s="938" t="str">
        <f t="shared" si="16"/>
        <v/>
      </c>
      <c r="BX52" s="875">
        <f>'#orgDung'!T61*-1</f>
        <v>0</v>
      </c>
      <c r="BY52" s="875">
        <f t="shared" si="40"/>
        <v>0</v>
      </c>
      <c r="BZ52" s="938" t="str">
        <f>IF(U52&lt;&gt;"x",0,IF(P52&lt;4,"",(BW52+BX52-'#minDung'!N58)*-1))</f>
        <v/>
      </c>
      <c r="CB52" s="938">
        <f>IF(AND(AF52=70,U52="x"),'Flächen u. Kulturen'!A57,1000)</f>
        <v>1000</v>
      </c>
      <c r="CC52" s="875" t="str">
        <f>IF(AF52=70,VLOOKUP('Flächen u. Kulturen'!L57,Nebenkultur[[Nebenkultur]:[Legum. Zwischenfr.]],'#Zweitfr'!$I$1,FALSE),"--")</f>
        <v>--</v>
      </c>
      <c r="CD52" s="875" t="str">
        <f>IF(AF52=70,VLOOKUP('Flächen u. Kulturen'!L57,Nebenkultur[[Nebenkultur]:[Legum. Zwischenfr.]],'#Zweitfr'!$L$1,FALSE),"--")</f>
        <v>--</v>
      </c>
      <c r="CE52" s="875" t="str">
        <f>IF(AF52=70,VLOOKUP('Flächen u. Kulturen'!L57,Nebenkultur[[Nebenkultur]:[Legum. Zwischenfr.]],'#Zweitfr'!$M$1,FALSE),"--")</f>
        <v>--</v>
      </c>
      <c r="CF52" s="875" t="str">
        <f>IF(AF52=70,VLOOKUP('Flächen u. Kulturen'!L57,Nebenkultur[[Nebenkultur]:[Legum. Zwischenfr.]],'#Zweitfr'!$N$1,FALSE),"--")</f>
        <v>--</v>
      </c>
      <c r="CG52" s="875" t="str">
        <f>IF(AF52=70,VLOOKUP('Flächen u. Kulturen'!L57,Nebenkultur[[Nebenkultur]:[Legum. Zwischenfr.]],'#Zweitfr'!$O$1,FALSE),"--")</f>
        <v>--</v>
      </c>
      <c r="CH52" s="875" t="str">
        <f t="shared" si="41"/>
        <v>--</v>
      </c>
      <c r="CI52" s="938">
        <f>IF('Flächen u. Kulturen'!L57="",0,VLOOKUP('Flächen u. Kulturen'!L57,Nebenkultur[[Nebenkultur]:[Legum. Zwischenfr.]],'#Zweitfr'!$J$1,FALSE))</f>
        <v>0</v>
      </c>
      <c r="CJ52" s="875">
        <f t="shared" si="42"/>
        <v>0</v>
      </c>
      <c r="CK52" s="890">
        <f t="shared" si="43"/>
        <v>0</v>
      </c>
      <c r="CL52" s="938">
        <f>IF(AND(R52=1,AF52=70),'Flächen u. Kulturen'!W57*-1,0)</f>
        <v>0</v>
      </c>
      <c r="CM52" s="875">
        <f>'#orgDung'!AE61*-1</f>
        <v>0</v>
      </c>
      <c r="CN52" s="875">
        <f t="shared" si="27"/>
        <v>0</v>
      </c>
      <c r="CO52" s="875">
        <f t="shared" si="28"/>
        <v>0</v>
      </c>
      <c r="CP52" s="875">
        <f>'#Kürzungen'!AS177*-1</f>
        <v>0</v>
      </c>
      <c r="CQ52" s="875">
        <f t="shared" si="29"/>
        <v>0</v>
      </c>
      <c r="CR52" s="875">
        <f t="shared" si="30"/>
        <v>0</v>
      </c>
      <c r="CS52" s="875">
        <f>'#minDung'!R58</f>
        <v>0</v>
      </c>
      <c r="CT52" s="938">
        <f t="shared" si="18"/>
        <v>0</v>
      </c>
      <c r="CU52" s="52" t="str">
        <f>'#Kürzungen'!AQ177</f>
        <v xml:space="preserve"> </v>
      </c>
      <c r="CW52" s="247">
        <f>IF('Flächen u. Kulturen'!D57="",0,IF(ISNUMBER('Flächen u. Kulturen'!D57)=TRUE,2,1))</f>
        <v>0</v>
      </c>
      <c r="CX52" s="247">
        <f>IF('Flächen u. Kulturen'!E57="",0,COUNTIF('#Boden'!$B$47,'Flächen u. Kulturen'!E57)+1)</f>
        <v>2</v>
      </c>
      <c r="CY52" s="247">
        <f>IF('Flächen u. Kulturen'!F57="",0,COUNTIF('#Boden'!$G$4:$G$8,'Flächen u. Kulturen'!F57)+1)</f>
        <v>2</v>
      </c>
      <c r="CZ52" s="247">
        <f>IF('Flächen u. Kulturen'!G57="",0,COUNTIF('#Boden'!$B$26:$B$29,'Flächen u. Kulturen'!G57)+1)</f>
        <v>2</v>
      </c>
      <c r="DA52" s="247">
        <f>IF('Flächen u. Kulturen'!H57="",0,COUNTIF('#Boden'!$B$26:$B$29,'Flächen u. Kulturen'!H57)+1)</f>
        <v>2</v>
      </c>
      <c r="DB52" s="247">
        <f>IF('Flächen u. Kulturen'!I57="",0,COUNTIF('#Boden'!$B$9:$B$15,'Flächen u. Kulturen'!I57)+1)</f>
        <v>2</v>
      </c>
      <c r="DC52" s="247">
        <f>IF('Flächen u. Kulturen'!J57="",0,COUNTIF(Kulturen[HF],'Flächen u. Kulturen'!J57)+1)</f>
        <v>2</v>
      </c>
      <c r="DD52" s="247">
        <f>IF('Flächen u. Kulturen'!L57="",0,COUNTIF(Nebenkultur[Nebenkultur],'Flächen u. Kulturen'!L57)+1)</f>
        <v>2</v>
      </c>
      <c r="DE52" s="247">
        <f>IF('Flächen u. Kulturen'!M57="",0,COUNTIF('#Boden'!$G$17:$G$21,'Flächen u. Kulturen'!M57)+1)</f>
        <v>2</v>
      </c>
      <c r="DF52" s="247">
        <f>IF('Flächen u. Kulturen'!N57="",0,COUNTIF('#Boden'!$G$22:$G$24,'Flächen u. Kulturen'!N57)+1)</f>
        <v>2</v>
      </c>
      <c r="DG52" s="247">
        <f>IF('Flächen u. Kulturen'!P57="",0,COUNTIF(Kulturen[HF],'Flächen u. Kulturen'!P57)+1)</f>
        <v>2</v>
      </c>
      <c r="DH52" s="247">
        <f>IF('Flächen u. Kulturen'!T57="",0,COUNTIF('#Boden'!$B$30:$B$32,'Flächen u. Kulturen'!T57)+1)</f>
        <v>2</v>
      </c>
      <c r="DI52" s="247">
        <f>IF('Flächen u. Kulturen'!K57="",0,IF(ISNUMBER('Flächen u. Kulturen'!K57)=TRUE,2,1))</f>
        <v>0</v>
      </c>
      <c r="DJ52" s="247">
        <f>IF('Flächen u. Kulturen'!U57="",0,IF(ISNUMBER('Flächen u. Kulturen'!U57)=TRUE,2,1))</f>
        <v>0</v>
      </c>
      <c r="DK52" s="247">
        <f>IF('Flächen u. Kulturen'!V57="",0,IF(ISNUMBER('Flächen u. Kulturen'!V57)=TRUE,2,1))</f>
        <v>0</v>
      </c>
      <c r="DL52" s="247">
        <f>IF('Flächen u. Kulturen'!W57="",0,IF(ISNUMBER('Flächen u. Kulturen'!W57)=TRUE,2,1))</f>
        <v>0</v>
      </c>
      <c r="DM52" s="247">
        <f t="shared" si="31"/>
        <v>0</v>
      </c>
      <c r="DN52" s="247" t="s">
        <v>344</v>
      </c>
      <c r="DO52" s="247">
        <f>IF(U52&lt;&gt;"x","",IF(OR('Flächen u. Kulturen'!B57="",'Flächen u. Kulturen'!C57="",'Flächen u. Kulturen'!D57="",'Flächen u. Kulturen'!D57=0,'Flächen u. Kulturen'!F57="",'Flächen u. Kulturen'!F57='#Boden'!$G$4,'Flächen u. Kulturen'!G57="",'Flächen u. Kulturen'!G57='#Boden'!$B$26,'Flächen u. Kulturen'!H57="",'Flächen u. Kulturen'!H57='#Boden'!$B$23,AND(N52&lt;&gt;2,OR('Flächen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Kulturen'!Q57="",'#BerechnungDBE'!N52&lt;3),AND('Flächen u. Kulturen'!R57="",'#BerechnungDBE'!N52=3),AND(N52=1,AL52&gt;0,'Flächen u. Kulturen'!S57=""),AND(N52=1,OR('Flächen u. Kulturen'!T57="",'Flächen u. Kulturen'!T57='#Boden'!$B$30)),AND('#BerechnungDBE'!AF52=70,OR('Flächen u. Kulturen'!N57="",'Flächen u. Kulturen'!N57='#Boden'!$G$22,'Flächen u. Kulturen'!O57="")),AND('#BerechnungDBE'!AF52=80,OR('Flächen u. Kulturen'!M57="",'Flächen u. Kulturen'!M57='#Boden'!$G$17,'Flächen u. Kulturen'!N57="",'Flächen u. Kulturen'!N57='#Boden'!$G$22))),$DO$4,""))</f>
        <v>1</v>
      </c>
      <c r="DP52" s="247" t="str">
        <f>IF(U52&lt;&gt;"x","",IF(OR(LEFT('Flächen u. Kulturen'!J57,2)=" +",LEFT('Flächen u. Kulturen'!L57,2)=" +",LEFT('Flächen u. Kulturen'!P57,2)=" +"),$DP$4,""))</f>
        <v/>
      </c>
      <c r="DQ52" s="428" t="str">
        <f t="shared" si="44"/>
        <v/>
      </c>
      <c r="DR52" s="938" t="str">
        <f t="shared" si="45"/>
        <v/>
      </c>
      <c r="DS52" s="938" t="str">
        <f>IF('Flächen u. Kulturen'!X57="","",ROW('Flächen u. Kulturen'!X57))</f>
        <v/>
      </c>
    </row>
    <row r="53" spans="1:123" s="875" customFormat="1" x14ac:dyDescent="0.2">
      <c r="A53" s="875" t="str">
        <f>IF('Daten aus 2021'!H55="",'#Boden'!$B$26,IF('Daten aus 2021'!H55='#Boden'!$B$39,IF('Daten aus 2021'!F55='#Boden'!$B$29,'#Boden'!$B$29,IF('Daten aus 2021'!K55='#Boden'!$B$34,'#Boden'!$B$28,'#Boden'!$B$27)),'Daten aus 2021'!F55))</f>
        <v xml:space="preserve"> --</v>
      </c>
      <c r="B53" s="875" t="str">
        <f>IF('Daten aus 2021'!H55='#Boden'!$B$39,IF('Daten aus 2021'!L55='#Boden'!$B$61,'#Boden'!$B$11,'Daten aus 2021'!L55),IF('Daten aus 2021'!P55='#Boden'!$B$58,'#Boden'!$B$11,IF('Daten aus 2021'!P55='#Boden'!$B$57,'#Boden'!$B$10,'#Boden'!$B$9)))</f>
        <v xml:space="preserve"> --         </v>
      </c>
      <c r="C53" s="875" t="str">
        <f>IF('Daten aus 2021'!N55="","",VLOOKUP('Daten aus 2021'!N55,'#Boden'!$B$68:$C$89,2,FALSE))</f>
        <v/>
      </c>
      <c r="D53" s="875" t="str">
        <f>IF('Daten aus 2021'!M55="","",VLOOKUP('Daten aus 2021'!M55,'#Boden'!$D$69:$E$73,2,FALSE))</f>
        <v/>
      </c>
      <c r="E53" s="938" t="str">
        <f>IF(OR(C53='#Boden'!$C$68,C53='#Boden'!$C$70),C53,CONCATENATE(C53,D53))</f>
        <v/>
      </c>
      <c r="F53" s="882" t="str">
        <f>IFERROR(IF('Daten aus 2021'!H55="",'#Frucht'!$D$8,IF('Daten aus 2021'!H55='#Boden'!$B$39,E53,IF('Daten aus 2021'!H55='#Boden'!$B$38,IF(CONCATENATE(" ",'Daten aus 2021'!W55)=$B$2,VLOOKUP($B$3,'#Frucht'!$A$8:$D$372,4,FALSE),VLOOKUP(CONCATENATE(" ",'Daten aus 2021'!W55),'#Frucht'!$A$8:$D$372,4,FALSE)),IF(OR(LEFT('Daten aus 2021'!Q55,5)=" *10 ",LEFT('Daten aus 2021'!Q55,5)=" *11 ",LEFT('Daten aus 2021'!Q55,5)=" *12 ",LEFT('Daten aus 2021'!Q55,5)=" *13 ",LEFT('Daten aus 2021'!Q55,5)=" *14 ",LEFT('Daten aus 2021'!Q55,5)=" *15 "),VLOOKUP(RIGHT('Daten aus 2021'!Q55,LEN('Daten aus 2021'!Q55)-4),'#Frucht'!$A$8:$D$372,4,FALSE),IF(LEFT('Daten aus 2021'!Q55,2)=" *",VLOOKUP(RIGHT('Daten aus 2021'!Q55,LEN('Daten aus 2021'!Q55)-3),'#Frucht'!$A$8:$D$372,4,FALSE),VLOOKUP('Daten aus 2021'!Q55,'#Frucht'!$A$8:$D$372,4,FALSE)))))),'#Frucht'!$D$8)</f>
        <v xml:space="preserve"> --  </v>
      </c>
      <c r="G53" s="127"/>
      <c r="H53" s="31"/>
      <c r="J53" s="938" t="str">
        <f>IF(OR(N53=3,$K$3=0,'Flächen u. Kulturen'!P58=""),"",IF(VLOOKUP('Flächen u. Kulturen'!P58,Kulturen[[HF]:[780]],'#BerechnungDBE'!$K$3,FALSE)=".","",VLOOKUP('Flächen u. Kulturen'!P58,Kulturen[[HF]:[780]],'#BerechnungDBE'!$K$3,FALSE)))</f>
        <v/>
      </c>
      <c r="K53" s="938" t="str">
        <f>IF(OR($K$3=0,'Flächen u. Kulturen'!P58=""),"",IF(N53=3,IF(VLOOKUP('Flächen u. Kulturen'!P58,Kulturen[[HF]:[780]],'#BerechnungDBE'!$K$3,FALSE)=".","",VLOOKUP('Flächen u. Kulturen'!P58,Kulturen[[HF]:[780]],'#BerechnungDBE'!$K$3,FALSE)),""))</f>
        <v/>
      </c>
      <c r="L53" s="367">
        <f>IF('Flächen u. Kulturen'!D58="",0,'Flächen u. Kulturen'!D58)</f>
        <v>0</v>
      </c>
      <c r="M53" s="693">
        <f>IF('Flächen u. Kulturen'!J58="",0,VLOOKUP('Flächen u. Kulturen'!J58,Kulturen[[HF]:[Berechnungsgruppe]],'#Frucht'!$W$1,FALSE))</f>
        <v>1</v>
      </c>
      <c r="N53" s="693">
        <f>IF('Flächen u. Kulturen'!P58="",0,VLOOKUP('Flächen u. Kulturen'!P58,Kulturen[[HF]:[Berechnungsgruppe]],'#Frucht'!$W$1,FALSE))</f>
        <v>1</v>
      </c>
      <c r="O53" s="875">
        <f>IF(N53&lt;&gt;2,N53,IF('Flächen u. Kulturen'!J58='Flächen u. Kulturen'!P58,2,1))</f>
        <v>1</v>
      </c>
      <c r="P53" s="875">
        <f>IF('Flächen u. Kulturen'!F58="",0,VLOOKUP('Flächen u. Kulturen'!F58,'#Boden'!$G$4:$H$8,'#Boden'!$H$1,FALSE))</f>
        <v>1</v>
      </c>
      <c r="Q53" s="875">
        <f>IF('Flächen u. Kulturen'!G58="",0,VLOOKUP('Flächen u. Kulturen'!G58,'#Boden'!$B$26:$C$29,'#Boden'!$C$1,FALSE))</f>
        <v>1</v>
      </c>
      <c r="R53" s="875">
        <f t="shared" si="19"/>
        <v>1</v>
      </c>
      <c r="S53" s="875">
        <f t="shared" si="20"/>
        <v>1</v>
      </c>
      <c r="T53" s="875">
        <f>IF('Flächen u. Kulturen'!H58="",0,VLOOKUP('Flächen u. Kulturen'!H58,'#Boden'!$B$23:$C$25,'#Boden'!$C$1,FALSE))</f>
        <v>2</v>
      </c>
      <c r="U53" s="875" t="str">
        <f>'Flächen u. Kulturen'!E58</f>
        <v>x</v>
      </c>
      <c r="V53" s="938">
        <f>IF('Flächen u. Kulturen'!Q58="",0,_xlfn.NUMBERVALUE('Flächen u. Kulturen'!Q58))</f>
        <v>0</v>
      </c>
      <c r="W53" s="938">
        <f>IF('Flächen u. Kulturen'!R58="",0,_xlfn.NUMBERVALUE('Flächen u. Kulturen'!R58))</f>
        <v>0</v>
      </c>
      <c r="X53" s="875">
        <f>IF('Flächen u. Kulturen'!T58="",0,VLOOKUP('Flächen u. Kulturen'!T58,'#Boden'!$B$30:$C$32,'#Boden'!$C$1,FALSE))</f>
        <v>1</v>
      </c>
      <c r="Y53" s="875">
        <f>IF('Flächen u. Kulturen'!P58="",0,VLOOKUP('Flächen u. Kulturen'!P58,Kulturen[[HF]:[Berechnungsgruppe]],'#Frucht'!$N$1,FALSE))</f>
        <v>0</v>
      </c>
      <c r="Z53" s="875">
        <f t="shared" si="21"/>
        <v>2</v>
      </c>
      <c r="AA53" s="875">
        <f>IF('Flächen u. Kulturen'!P58="",0,VLOOKUP('Flächen u. Kulturen'!P58,Kulturen[[HF]:[Berechnungsgruppe]],'#Frucht'!$V$1,FALSE))</f>
        <v>0</v>
      </c>
      <c r="AB53" s="875">
        <f>IF(N53=1,VLOOKUP('Flächen u. Kulturen'!P58,Kulturen[[HF]:[Ernteprodukt]],'#Frucht'!$I$1,FALSE),4)</f>
        <v>4</v>
      </c>
      <c r="AC53" s="921">
        <f>IF('Flächen u. Kulturen'!J58="",0,VLOOKUP('Flächen u. Kulturen'!J58,Kulturen[[HF]:[Berechnungsgruppe]],'#Frucht'!$G$1,FALSE))</f>
        <v>90</v>
      </c>
      <c r="AD53" s="921">
        <f>IF('Flächen u. Kulturen'!P58="",0,VLOOKUP('Flächen u. Kulturen'!P58,Kulturen[[HF]:[Berechnungsgruppe]],'#Frucht'!$G$1,FALSE))</f>
        <v>90</v>
      </c>
      <c r="AE53" s="938">
        <f>IF('Flächen u. Kulturen'!P58="",0,VLOOKUP('Flächen u. Kulturen'!P58,Kulturen[[HF]:[SollwertMinusNfix]],'#Frucht'!$X$1,FALSE))</f>
        <v>0</v>
      </c>
      <c r="AF53" s="875">
        <f>IF('Flächen u. Kulturen'!L58="",0,VLOOKUP('Flächen u. Kulturen'!L58,Nebenkultur[[Nebenkultur]:[Berechnungsschema]],'#Zweitfr'!$G$1,FALSE))</f>
        <v>0</v>
      </c>
      <c r="AG53" s="875">
        <f>IF('Flächen u. Kulturen'!L58="",0,VLOOKUP('Flächen u. Kulturen'!L58,'#Zweitfr'!$D$8:$Q$27,'#Zweitfr'!$Q$1,FALSE))</f>
        <v>0</v>
      </c>
      <c r="AH53" s="875">
        <f>IF('Flächen u. Kulturen'!M58="",0,VLOOKUP('Flächen u. Kulturen'!M58,'#Boden'!$G$17:$H$21,2,FALSE))</f>
        <v>1</v>
      </c>
      <c r="AI53" s="875">
        <f>IF('Flächen u. Kulturen'!N58="",0,VLOOKUP('Flächen u. Kulturen'!N58,'#Boden'!$G$22:$H$24,'#Boden'!$H$1,FALSE))</f>
        <v>1</v>
      </c>
      <c r="AJ53" s="938">
        <f>IF('Flächen u. Kulturen'!O58="",0,_xlfn.NUMBERVALUE('Flächen u. Kulturen'!O58))</f>
        <v>0</v>
      </c>
      <c r="AK53" s="938">
        <f>IF('Flächen u. Kulturen'!L58="",0,VLOOKUP('Flächen u. Kulturen'!L58,Nebenkultur[[Nebenkultur]:[Legum. Zwischenfr.]],'#Zweitfr'!$P$1,FALSE))</f>
        <v>0</v>
      </c>
      <c r="AL53" s="875">
        <f>IF('Flächen u. Kulturen'!P58="",0,VLOOKUP('Flächen u. Kulturen'!P58,Kulturen[[HF]:[Berechnungsgruppe]],'#Frucht'!$Q$1,FALSE))</f>
        <v>0</v>
      </c>
      <c r="AM53" s="875">
        <f>IF('Flächen u. Kulturen'!P58="",0,VLOOKUP('Flächen u. Kulturen'!P58,Kulturen[[HF]:[Berechnungsgruppe]],'#Frucht'!$M$1,FALSE))</f>
        <v>0</v>
      </c>
      <c r="AN53" s="875">
        <f>IF('Flächen u. Kulturen'!P58="",1,VLOOKUP('Flächen u. Kulturen'!P58,Kulturen[[HF]:[Berechnungsgruppe]],'#Frucht'!$R$1,FALSE))</f>
        <v>10</v>
      </c>
      <c r="AO53" s="875">
        <f>IF('Flächen u. Kulturen'!P58="",0,VLOOKUP('Flächen u. Kulturen'!P58,Kulturen[[HF]:[Berechnungsgruppe]],'#Frucht'!$S$1,FALSE))</f>
        <v>0</v>
      </c>
      <c r="AP53" s="875">
        <f>IF('Flächen u. Kulturen'!P58="",0,VLOOKUP('Flächen u. Kulturen'!P58,Kulturen[[HF]:[Berechnungsgruppe]],'#Frucht'!$T$1,FALSE))</f>
        <v>0</v>
      </c>
      <c r="AQ53" s="938">
        <f t="shared" si="32"/>
        <v>0</v>
      </c>
      <c r="AR53" s="875">
        <f t="shared" si="33"/>
        <v>0</v>
      </c>
      <c r="AS53" s="938">
        <f t="shared" si="34"/>
        <v>0</v>
      </c>
      <c r="AT53" s="875">
        <f>IF(N53=1,'Flächen u. Kulturen'!S58*-1,"--")</f>
        <v>0</v>
      </c>
      <c r="AU53" s="938">
        <f>IF(OR(N53=2,'Flächen u. Kulturen'!I58=""),"--",IF(N53=3,VLOOKUP('Flächen u. Kulturen'!I58,'#Boden'!$B$9:$E$15,'#Boden'!$D$1,FALSE),VLOOKUP('Flächen u. Kulturen'!I58,'#Boden'!$B$9:$E$15,'#Boden'!$E$1,FALSE)))</f>
        <v>0</v>
      </c>
      <c r="AV53" s="938">
        <f>IF(N53=1,IF('Flächen u. Kulturen'!J58="",0,VLOOKUP('Flächen u. Kulturen'!J58,Kulturen[[HF]:[Berechnungsgruppe]],'#Frucht'!$U$1,FALSE)*-1),"--")</f>
        <v>0</v>
      </c>
      <c r="AW53" s="875">
        <f t="shared" si="35"/>
        <v>0</v>
      </c>
      <c r="AX53" s="875">
        <f>IF('Flächen u. Kulturen'!K58="",0,'Flächen u. Kulturen'!K58*-0.1)</f>
        <v>0</v>
      </c>
      <c r="AY53" s="875">
        <f>IF(N53&lt;3,'#orgDung'!AC62*0.1*-1,"--")</f>
        <v>0</v>
      </c>
      <c r="AZ53" s="31" t="str">
        <f>IF(AND('#orgDung'!J62&lt;&gt;2,'#orgDung'!F62=1),('#orgDung'!V62+'#minDung'!O59)*-1,"--")</f>
        <v>--</v>
      </c>
      <c r="BA53" s="875">
        <f t="shared" si="22"/>
        <v>0</v>
      </c>
      <c r="BB53" s="938">
        <f>IF(R53=2,0,'Flächen u. Kulturen'!V58*-1)</f>
        <v>0</v>
      </c>
      <c r="BC53" s="875">
        <f t="shared" si="23"/>
        <v>0</v>
      </c>
      <c r="BD53" s="127">
        <f>'#orgDung'!W62*-1</f>
        <v>0</v>
      </c>
      <c r="BE53" s="910">
        <f>'#orgDung'!AA62*-1</f>
        <v>0</v>
      </c>
      <c r="BF53" s="875">
        <f>'#orgDung'!Z62*-1</f>
        <v>0</v>
      </c>
      <c r="BG53" s="938">
        <f t="shared" si="14"/>
        <v>0</v>
      </c>
      <c r="BH53" s="875">
        <f>'#Kürzungen'!AS77*-1</f>
        <v>0</v>
      </c>
      <c r="BI53" s="875">
        <f t="shared" si="36"/>
        <v>0</v>
      </c>
      <c r="BJ53" s="910">
        <f t="shared" si="37"/>
        <v>0</v>
      </c>
      <c r="BK53" s="875">
        <f>'#minDung'!P59</f>
        <v>0</v>
      </c>
      <c r="BL53" s="938">
        <f t="shared" si="15"/>
        <v>0</v>
      </c>
      <c r="BM53" s="938">
        <f t="shared" si="38"/>
        <v>0</v>
      </c>
      <c r="BN53" s="875">
        <f>IF('Flächen u. Kulturen'!P58="",0,VLOOKUP('Flächen u. Kulturen'!P58,Kulturen[[HF]:[Berechnungsgruppe]],'#Frucht'!$K$1,FALSE))</f>
        <v>0</v>
      </c>
      <c r="BO53" s="875">
        <f>IF('Flächen u. Kulturen'!P58="",0,VLOOKUP('Flächen u. Kulturen'!P58,Kulturen[[HF]:[Berechnungsgruppe]],'#Frucht'!$L$1,FALSE))</f>
        <v>0</v>
      </c>
      <c r="BP53" s="875">
        <f>IF('Flächen u. Kulturen'!L58="",0,VLOOKUP('Flächen u. Kulturen'!L58,Nebenkultur[[Nebenkultur]:[Legum. Zwischenfr.]],'#Zweitfr'!$H$1,FALSE))</f>
        <v>0</v>
      </c>
      <c r="BQ53" s="938">
        <f>IF(N53=3,W53*BO53,IF('Flächen u. Kulturen'!T58='#Boden'!$B$32,V53*BN53,V53*BO53))</f>
        <v>0</v>
      </c>
      <c r="BR53" s="938">
        <f t="shared" si="39"/>
        <v>0</v>
      </c>
      <c r="BS53" s="875">
        <f t="shared" si="24"/>
        <v>0</v>
      </c>
      <c r="BT53" s="875">
        <f>IF('Flächen u. Kulturen'!F58="",0,IF(N53=3,VLOOKUP('Flächen u. Kulturen'!F58,'#Boden'!$G$4:$J$8,'#Boden'!$J$1,FALSE),VLOOKUP('Flächen u. Kulturen'!F58,'#Boden'!$G$4:$J$8,'#Boden'!$I$1,FALSE)))</f>
        <v>0</v>
      </c>
      <c r="BU53" s="41">
        <f t="shared" si="25"/>
        <v>0</v>
      </c>
      <c r="BV53" s="875">
        <f t="shared" si="26"/>
        <v>0</v>
      </c>
      <c r="BW53" s="938" t="str">
        <f t="shared" si="16"/>
        <v/>
      </c>
      <c r="BX53" s="875">
        <f>'#orgDung'!T62*-1</f>
        <v>0</v>
      </c>
      <c r="BY53" s="875">
        <f t="shared" si="40"/>
        <v>0</v>
      </c>
      <c r="BZ53" s="938" t="str">
        <f>IF(U53&lt;&gt;"x",0,IF(P53&lt;4,"",(BW53+BX53-'#minDung'!N59)*-1))</f>
        <v/>
      </c>
      <c r="CB53" s="938">
        <f>IF(AND(AF53=70,U53="x"),'Flächen u. Kulturen'!A58,1000)</f>
        <v>1000</v>
      </c>
      <c r="CC53" s="875" t="str">
        <f>IF(AF53=70,VLOOKUP('Flächen u. Kulturen'!L58,Nebenkultur[[Nebenkultur]:[Legum. Zwischenfr.]],'#Zweitfr'!$I$1,FALSE),"--")</f>
        <v>--</v>
      </c>
      <c r="CD53" s="875" t="str">
        <f>IF(AF53=70,VLOOKUP('Flächen u. Kulturen'!L58,Nebenkultur[[Nebenkultur]:[Legum. Zwischenfr.]],'#Zweitfr'!$L$1,FALSE),"--")</f>
        <v>--</v>
      </c>
      <c r="CE53" s="875" t="str">
        <f>IF(AF53=70,VLOOKUP('Flächen u. Kulturen'!L58,Nebenkultur[[Nebenkultur]:[Legum. Zwischenfr.]],'#Zweitfr'!$M$1,FALSE),"--")</f>
        <v>--</v>
      </c>
      <c r="CF53" s="875" t="str">
        <f>IF(AF53=70,VLOOKUP('Flächen u. Kulturen'!L58,Nebenkultur[[Nebenkultur]:[Legum. Zwischenfr.]],'#Zweitfr'!$N$1,FALSE),"--")</f>
        <v>--</v>
      </c>
      <c r="CG53" s="875" t="str">
        <f>IF(AF53=70,VLOOKUP('Flächen u. Kulturen'!L58,Nebenkultur[[Nebenkultur]:[Legum. Zwischenfr.]],'#Zweitfr'!$O$1,FALSE),"--")</f>
        <v>--</v>
      </c>
      <c r="CH53" s="875" t="str">
        <f t="shared" si="41"/>
        <v>--</v>
      </c>
      <c r="CI53" s="938">
        <f>IF('Flächen u. Kulturen'!L58="",0,VLOOKUP('Flächen u. Kulturen'!L58,Nebenkultur[[Nebenkultur]:[Legum. Zwischenfr.]],'#Zweitfr'!$J$1,FALSE))</f>
        <v>0</v>
      </c>
      <c r="CJ53" s="875">
        <f t="shared" si="42"/>
        <v>0</v>
      </c>
      <c r="CK53" s="890">
        <f t="shared" si="43"/>
        <v>0</v>
      </c>
      <c r="CL53" s="938">
        <f>IF(AND(R53=1,AF53=70),'Flächen u. Kulturen'!W58*-1,0)</f>
        <v>0</v>
      </c>
      <c r="CM53" s="875">
        <f>'#orgDung'!AE62*-1</f>
        <v>0</v>
      </c>
      <c r="CN53" s="875">
        <f t="shared" si="27"/>
        <v>0</v>
      </c>
      <c r="CO53" s="875">
        <f t="shared" si="28"/>
        <v>0</v>
      </c>
      <c r="CP53" s="875">
        <f>'#Kürzungen'!AS178*-1</f>
        <v>0</v>
      </c>
      <c r="CQ53" s="875">
        <f t="shared" si="29"/>
        <v>0</v>
      </c>
      <c r="CR53" s="875">
        <f t="shared" si="30"/>
        <v>0</v>
      </c>
      <c r="CS53" s="875">
        <f>'#minDung'!R59</f>
        <v>0</v>
      </c>
      <c r="CT53" s="938">
        <f t="shared" si="18"/>
        <v>0</v>
      </c>
      <c r="CU53" s="52" t="str">
        <f>'#Kürzungen'!AQ178</f>
        <v xml:space="preserve"> </v>
      </c>
      <c r="CW53" s="247">
        <f>IF('Flächen u. Kulturen'!D58="",0,IF(ISNUMBER('Flächen u. Kulturen'!D58)=TRUE,2,1))</f>
        <v>0</v>
      </c>
      <c r="CX53" s="247">
        <f>IF('Flächen u. Kulturen'!E58="",0,COUNTIF('#Boden'!$B$47,'Flächen u. Kulturen'!E58)+1)</f>
        <v>2</v>
      </c>
      <c r="CY53" s="247">
        <f>IF('Flächen u. Kulturen'!F58="",0,COUNTIF('#Boden'!$G$4:$G$8,'Flächen u. Kulturen'!F58)+1)</f>
        <v>2</v>
      </c>
      <c r="CZ53" s="247">
        <f>IF('Flächen u. Kulturen'!G58="",0,COUNTIF('#Boden'!$B$26:$B$29,'Flächen u. Kulturen'!G58)+1)</f>
        <v>2</v>
      </c>
      <c r="DA53" s="247">
        <f>IF('Flächen u. Kulturen'!H58="",0,COUNTIF('#Boden'!$B$26:$B$29,'Flächen u. Kulturen'!H58)+1)</f>
        <v>2</v>
      </c>
      <c r="DB53" s="247">
        <f>IF('Flächen u. Kulturen'!I58="",0,COUNTIF('#Boden'!$B$9:$B$15,'Flächen u. Kulturen'!I58)+1)</f>
        <v>2</v>
      </c>
      <c r="DC53" s="247">
        <f>IF('Flächen u. Kulturen'!J58="",0,COUNTIF(Kulturen[HF],'Flächen u. Kulturen'!J58)+1)</f>
        <v>2</v>
      </c>
      <c r="DD53" s="247">
        <f>IF('Flächen u. Kulturen'!L58="",0,COUNTIF(Nebenkultur[Nebenkultur],'Flächen u. Kulturen'!L58)+1)</f>
        <v>2</v>
      </c>
      <c r="DE53" s="247">
        <f>IF('Flächen u. Kulturen'!M58="",0,COUNTIF('#Boden'!$G$17:$G$21,'Flächen u. Kulturen'!M58)+1)</f>
        <v>2</v>
      </c>
      <c r="DF53" s="247">
        <f>IF('Flächen u. Kulturen'!N58="",0,COUNTIF('#Boden'!$G$22:$G$24,'Flächen u. Kulturen'!N58)+1)</f>
        <v>2</v>
      </c>
      <c r="DG53" s="247">
        <f>IF('Flächen u. Kulturen'!P58="",0,COUNTIF(Kulturen[HF],'Flächen u. Kulturen'!P58)+1)</f>
        <v>2</v>
      </c>
      <c r="DH53" s="247">
        <f>IF('Flächen u. Kulturen'!T58="",0,COUNTIF('#Boden'!$B$30:$B$32,'Flächen u. Kulturen'!T58)+1)</f>
        <v>2</v>
      </c>
      <c r="DI53" s="247">
        <f>IF('Flächen u. Kulturen'!K58="",0,IF(ISNUMBER('Flächen u. Kulturen'!K58)=TRUE,2,1))</f>
        <v>0</v>
      </c>
      <c r="DJ53" s="247">
        <f>IF('Flächen u. Kulturen'!U58="",0,IF(ISNUMBER('Flächen u. Kulturen'!U58)=TRUE,2,1))</f>
        <v>0</v>
      </c>
      <c r="DK53" s="247">
        <f>IF('Flächen u. Kulturen'!V58="",0,IF(ISNUMBER('Flächen u. Kulturen'!V58)=TRUE,2,1))</f>
        <v>0</v>
      </c>
      <c r="DL53" s="247">
        <f>IF('Flächen u. Kulturen'!W58="",0,IF(ISNUMBER('Flächen u. Kulturen'!W58)=TRUE,2,1))</f>
        <v>0</v>
      </c>
      <c r="DM53" s="247">
        <f t="shared" si="31"/>
        <v>0</v>
      </c>
      <c r="DN53" s="247" t="s">
        <v>344</v>
      </c>
      <c r="DO53" s="247">
        <f>IF(U53&lt;&gt;"x","",IF(OR('Flächen u. Kulturen'!B58="",'Flächen u. Kulturen'!C58="",'Flächen u. Kulturen'!D58="",'Flächen u. Kulturen'!D58=0,'Flächen u. Kulturen'!F58="",'Flächen u. Kulturen'!F58='#Boden'!$G$4,'Flächen u. Kulturen'!G58="",'Flächen u. Kulturen'!G58='#Boden'!$B$26,'Flächen u. Kulturen'!H58="",'Flächen u. Kulturen'!H58='#Boden'!$B$23,AND(N53&lt;&gt;2,OR('Flächen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Kulturen'!Q58="",'#BerechnungDBE'!N53&lt;3),AND('Flächen u. Kulturen'!R58="",'#BerechnungDBE'!N53=3),AND(N53=1,AL53&gt;0,'Flächen u. Kulturen'!S58=""),AND(N53=1,OR('Flächen u. Kulturen'!T58="",'Flächen u. Kulturen'!T58='#Boden'!$B$30)),AND('#BerechnungDBE'!AF53=70,OR('Flächen u. Kulturen'!N58="",'Flächen u. Kulturen'!N58='#Boden'!$G$22,'Flächen u. Kulturen'!O58="")),AND('#BerechnungDBE'!AF53=80,OR('Flächen u. Kulturen'!M58="",'Flächen u. Kulturen'!M58='#Boden'!$G$17,'Flächen u. Kulturen'!N58="",'Flächen u. Kulturen'!N58='#Boden'!$G$22))),$DO$4,""))</f>
        <v>1</v>
      </c>
      <c r="DP53" s="247" t="str">
        <f>IF(U53&lt;&gt;"x","",IF(OR(LEFT('Flächen u. Kulturen'!J58,2)=" +",LEFT('Flächen u. Kulturen'!L58,2)=" +",LEFT('Flächen u. Kulturen'!P58,2)=" +"),$DP$4,""))</f>
        <v/>
      </c>
      <c r="DQ53" s="428" t="str">
        <f t="shared" si="44"/>
        <v/>
      </c>
      <c r="DR53" s="938" t="str">
        <f t="shared" si="45"/>
        <v/>
      </c>
      <c r="DS53" s="938" t="str">
        <f>IF('Flächen u. Kulturen'!X58="","",ROW('Flächen u. Kulturen'!X58))</f>
        <v/>
      </c>
    </row>
    <row r="54" spans="1:123" s="875" customFormat="1" x14ac:dyDescent="0.2">
      <c r="A54" s="875" t="str">
        <f>IF('Daten aus 2021'!H56="",'#Boden'!$B$26,IF('Daten aus 2021'!H56='#Boden'!$B$39,IF('Daten aus 2021'!F56='#Boden'!$B$29,'#Boden'!$B$29,IF('Daten aus 2021'!K56='#Boden'!$B$34,'#Boden'!$B$28,'#Boden'!$B$27)),'Daten aus 2021'!F56))</f>
        <v xml:space="preserve"> --</v>
      </c>
      <c r="B54" s="875" t="str">
        <f>IF('Daten aus 2021'!H56='#Boden'!$B$39,IF('Daten aus 2021'!L56='#Boden'!$B$61,'#Boden'!$B$11,'Daten aus 2021'!L56),IF('Daten aus 2021'!P56='#Boden'!$B$58,'#Boden'!$B$11,IF('Daten aus 2021'!P56='#Boden'!$B$57,'#Boden'!$B$10,'#Boden'!$B$9)))</f>
        <v xml:space="preserve"> --         </v>
      </c>
      <c r="C54" s="875" t="str">
        <f>IF('Daten aus 2021'!N56="","",VLOOKUP('Daten aus 2021'!N56,'#Boden'!$B$68:$C$89,2,FALSE))</f>
        <v/>
      </c>
      <c r="D54" s="875" t="str">
        <f>IF('Daten aus 2021'!M56="","",VLOOKUP('Daten aus 2021'!M56,'#Boden'!$D$69:$E$73,2,FALSE))</f>
        <v/>
      </c>
      <c r="E54" s="938" t="str">
        <f>IF(OR(C54='#Boden'!$C$68,C54='#Boden'!$C$70),C54,CONCATENATE(C54,D54))</f>
        <v/>
      </c>
      <c r="F54" s="882" t="str">
        <f>IFERROR(IF('Daten aus 2021'!H56="",'#Frucht'!$D$8,IF('Daten aus 2021'!H56='#Boden'!$B$39,E54,IF('Daten aus 2021'!H56='#Boden'!$B$38,IF(CONCATENATE(" ",'Daten aus 2021'!W56)=$B$2,VLOOKUP($B$3,'#Frucht'!$A$8:$D$372,4,FALSE),VLOOKUP(CONCATENATE(" ",'Daten aus 2021'!W56),'#Frucht'!$A$8:$D$372,4,FALSE)),IF(OR(LEFT('Daten aus 2021'!Q56,5)=" *10 ",LEFT('Daten aus 2021'!Q56,5)=" *11 ",LEFT('Daten aus 2021'!Q56,5)=" *12 ",LEFT('Daten aus 2021'!Q56,5)=" *13 ",LEFT('Daten aus 2021'!Q56,5)=" *14 ",LEFT('Daten aus 2021'!Q56,5)=" *15 "),VLOOKUP(RIGHT('Daten aus 2021'!Q56,LEN('Daten aus 2021'!Q56)-4),'#Frucht'!$A$8:$D$372,4,FALSE),IF(LEFT('Daten aus 2021'!Q56,2)=" *",VLOOKUP(RIGHT('Daten aus 2021'!Q56,LEN('Daten aus 2021'!Q56)-3),'#Frucht'!$A$8:$D$372,4,FALSE),VLOOKUP('Daten aus 2021'!Q56,'#Frucht'!$A$8:$D$372,4,FALSE)))))),'#Frucht'!$D$8)</f>
        <v xml:space="preserve"> --  </v>
      </c>
      <c r="G54" s="127"/>
      <c r="H54" s="31"/>
      <c r="J54" s="938" t="str">
        <f>IF(OR(N54=3,$K$3=0,'Flächen u. Kulturen'!P59=""),"",IF(VLOOKUP('Flächen u. Kulturen'!P59,Kulturen[[HF]:[780]],'#BerechnungDBE'!$K$3,FALSE)=".","",VLOOKUP('Flächen u. Kulturen'!P59,Kulturen[[HF]:[780]],'#BerechnungDBE'!$K$3,FALSE)))</f>
        <v/>
      </c>
      <c r="K54" s="938" t="str">
        <f>IF(OR($K$3=0,'Flächen u. Kulturen'!P59=""),"",IF(N54=3,IF(VLOOKUP('Flächen u. Kulturen'!P59,Kulturen[[HF]:[780]],'#BerechnungDBE'!$K$3,FALSE)=".","",VLOOKUP('Flächen u. Kulturen'!P59,Kulturen[[HF]:[780]],'#BerechnungDBE'!$K$3,FALSE)),""))</f>
        <v/>
      </c>
      <c r="L54" s="367">
        <f>IF('Flächen u. Kulturen'!D59="",0,'Flächen u. Kulturen'!D59)</f>
        <v>0</v>
      </c>
      <c r="M54" s="693">
        <f>IF('Flächen u. Kulturen'!J59="",0,VLOOKUP('Flächen u. Kulturen'!J59,Kulturen[[HF]:[Berechnungsgruppe]],'#Frucht'!$W$1,FALSE))</f>
        <v>1</v>
      </c>
      <c r="N54" s="693">
        <f>IF('Flächen u. Kulturen'!P59="",0,VLOOKUP('Flächen u. Kulturen'!P59,Kulturen[[HF]:[Berechnungsgruppe]],'#Frucht'!$W$1,FALSE))</f>
        <v>1</v>
      </c>
      <c r="O54" s="875">
        <f>IF(N54&lt;&gt;2,N54,IF('Flächen u. Kulturen'!J59='Flächen u. Kulturen'!P59,2,1))</f>
        <v>1</v>
      </c>
      <c r="P54" s="875">
        <f>IF('Flächen u. Kulturen'!F59="",0,VLOOKUP('Flächen u. Kulturen'!F59,'#Boden'!$G$4:$H$8,'#Boden'!$H$1,FALSE))</f>
        <v>1</v>
      </c>
      <c r="Q54" s="875">
        <f>IF('Flächen u. Kulturen'!G59="",0,VLOOKUP('Flächen u. Kulturen'!G59,'#Boden'!$B$26:$C$29,'#Boden'!$C$1,FALSE))</f>
        <v>1</v>
      </c>
      <c r="R54" s="875">
        <f t="shared" si="19"/>
        <v>1</v>
      </c>
      <c r="S54" s="875">
        <f t="shared" si="20"/>
        <v>1</v>
      </c>
      <c r="T54" s="875">
        <f>IF('Flächen u. Kulturen'!H59="",0,VLOOKUP('Flächen u. Kulturen'!H59,'#Boden'!$B$23:$C$25,'#Boden'!$C$1,FALSE))</f>
        <v>2</v>
      </c>
      <c r="U54" s="875" t="str">
        <f>'Flächen u. Kulturen'!E59</f>
        <v>x</v>
      </c>
      <c r="V54" s="938">
        <f>IF('Flächen u. Kulturen'!Q59="",0,_xlfn.NUMBERVALUE('Flächen u. Kulturen'!Q59))</f>
        <v>0</v>
      </c>
      <c r="W54" s="938">
        <f>IF('Flächen u. Kulturen'!R59="",0,_xlfn.NUMBERVALUE('Flächen u. Kulturen'!R59))</f>
        <v>0</v>
      </c>
      <c r="X54" s="875">
        <f>IF('Flächen u. Kulturen'!T59="",0,VLOOKUP('Flächen u. Kulturen'!T59,'#Boden'!$B$30:$C$32,'#Boden'!$C$1,FALSE))</f>
        <v>1</v>
      </c>
      <c r="Y54" s="875">
        <f>IF('Flächen u. Kulturen'!P59="",0,VLOOKUP('Flächen u. Kulturen'!P59,Kulturen[[HF]:[Berechnungsgruppe]],'#Frucht'!$N$1,FALSE))</f>
        <v>0</v>
      </c>
      <c r="Z54" s="875">
        <f t="shared" si="21"/>
        <v>2</v>
      </c>
      <c r="AA54" s="875">
        <f>IF('Flächen u. Kulturen'!P59="",0,VLOOKUP('Flächen u. Kulturen'!P59,Kulturen[[HF]:[Berechnungsgruppe]],'#Frucht'!$V$1,FALSE))</f>
        <v>0</v>
      </c>
      <c r="AB54" s="875">
        <f>IF(N54=1,VLOOKUP('Flächen u. Kulturen'!P59,Kulturen[[HF]:[Ernteprodukt]],'#Frucht'!$I$1,FALSE),4)</f>
        <v>4</v>
      </c>
      <c r="AC54" s="921">
        <f>IF('Flächen u. Kulturen'!J59="",0,VLOOKUP('Flächen u. Kulturen'!J59,Kulturen[[HF]:[Berechnungsgruppe]],'#Frucht'!$G$1,FALSE))</f>
        <v>90</v>
      </c>
      <c r="AD54" s="921">
        <f>IF('Flächen u. Kulturen'!P59="",0,VLOOKUP('Flächen u. Kulturen'!P59,Kulturen[[HF]:[Berechnungsgruppe]],'#Frucht'!$G$1,FALSE))</f>
        <v>90</v>
      </c>
      <c r="AE54" s="938">
        <f>IF('Flächen u. Kulturen'!P59="",0,VLOOKUP('Flächen u. Kulturen'!P59,Kulturen[[HF]:[SollwertMinusNfix]],'#Frucht'!$X$1,FALSE))</f>
        <v>0</v>
      </c>
      <c r="AF54" s="875">
        <f>IF('Flächen u. Kulturen'!L59="",0,VLOOKUP('Flächen u. Kulturen'!L59,Nebenkultur[[Nebenkultur]:[Berechnungsschema]],'#Zweitfr'!$G$1,FALSE))</f>
        <v>0</v>
      </c>
      <c r="AG54" s="875">
        <f>IF('Flächen u. Kulturen'!L59="",0,VLOOKUP('Flächen u. Kulturen'!L59,'#Zweitfr'!$D$8:$Q$27,'#Zweitfr'!$Q$1,FALSE))</f>
        <v>0</v>
      </c>
      <c r="AH54" s="875">
        <f>IF('Flächen u. Kulturen'!M59="",0,VLOOKUP('Flächen u. Kulturen'!M59,'#Boden'!$G$17:$H$21,2,FALSE))</f>
        <v>1</v>
      </c>
      <c r="AI54" s="875">
        <f>IF('Flächen u. Kulturen'!N59="",0,VLOOKUP('Flächen u. Kulturen'!N59,'#Boden'!$G$22:$H$24,'#Boden'!$H$1,FALSE))</f>
        <v>1</v>
      </c>
      <c r="AJ54" s="938">
        <f>IF('Flächen u. Kulturen'!O59="",0,_xlfn.NUMBERVALUE('Flächen u. Kulturen'!O59))</f>
        <v>0</v>
      </c>
      <c r="AK54" s="938">
        <f>IF('Flächen u. Kulturen'!L59="",0,VLOOKUP('Flächen u. Kulturen'!L59,Nebenkultur[[Nebenkultur]:[Legum. Zwischenfr.]],'#Zweitfr'!$P$1,FALSE))</f>
        <v>0</v>
      </c>
      <c r="AL54" s="875">
        <f>IF('Flächen u. Kulturen'!P59="",0,VLOOKUP('Flächen u. Kulturen'!P59,Kulturen[[HF]:[Berechnungsgruppe]],'#Frucht'!$Q$1,FALSE))</f>
        <v>0</v>
      </c>
      <c r="AM54" s="875">
        <f>IF('Flächen u. Kulturen'!P59="",0,VLOOKUP('Flächen u. Kulturen'!P59,Kulturen[[HF]:[Berechnungsgruppe]],'#Frucht'!$M$1,FALSE))</f>
        <v>0</v>
      </c>
      <c r="AN54" s="875">
        <f>IF('Flächen u. Kulturen'!P59="",1,VLOOKUP('Flächen u. Kulturen'!P59,Kulturen[[HF]:[Berechnungsgruppe]],'#Frucht'!$R$1,FALSE))</f>
        <v>10</v>
      </c>
      <c r="AO54" s="875">
        <f>IF('Flächen u. Kulturen'!P59="",0,VLOOKUP('Flächen u. Kulturen'!P59,Kulturen[[HF]:[Berechnungsgruppe]],'#Frucht'!$S$1,FALSE))</f>
        <v>0</v>
      </c>
      <c r="AP54" s="875">
        <f>IF('Flächen u. Kulturen'!P59="",0,VLOOKUP('Flächen u. Kulturen'!P59,Kulturen[[HF]:[Berechnungsgruppe]],'#Frucht'!$T$1,FALSE))</f>
        <v>0</v>
      </c>
      <c r="AQ54" s="938">
        <f t="shared" si="32"/>
        <v>0</v>
      </c>
      <c r="AR54" s="875">
        <f t="shared" si="33"/>
        <v>0</v>
      </c>
      <c r="AS54" s="938">
        <f t="shared" si="34"/>
        <v>0</v>
      </c>
      <c r="AT54" s="875">
        <f>IF(N54=1,'Flächen u. Kulturen'!S59*-1,"--")</f>
        <v>0</v>
      </c>
      <c r="AU54" s="938">
        <f>IF(OR(N54=2,'Flächen u. Kulturen'!I59=""),"--",IF(N54=3,VLOOKUP('Flächen u. Kulturen'!I59,'#Boden'!$B$9:$E$15,'#Boden'!$D$1,FALSE),VLOOKUP('Flächen u. Kulturen'!I59,'#Boden'!$B$9:$E$15,'#Boden'!$E$1,FALSE)))</f>
        <v>0</v>
      </c>
      <c r="AV54" s="938">
        <f>IF(N54=1,IF('Flächen u. Kulturen'!J59="",0,VLOOKUP('Flächen u. Kulturen'!J59,Kulturen[[HF]:[Berechnungsgruppe]],'#Frucht'!$U$1,FALSE)*-1),"--")</f>
        <v>0</v>
      </c>
      <c r="AW54" s="875">
        <f t="shared" si="35"/>
        <v>0</v>
      </c>
      <c r="AX54" s="875">
        <f>IF('Flächen u. Kulturen'!K59="",0,'Flächen u. Kulturen'!K59*-0.1)</f>
        <v>0</v>
      </c>
      <c r="AY54" s="875">
        <f>IF(N54&lt;3,'#orgDung'!AC63*0.1*-1,"--")</f>
        <v>0</v>
      </c>
      <c r="AZ54" s="31" t="str">
        <f>IF(AND('#orgDung'!J63&lt;&gt;2,'#orgDung'!F63=1),('#orgDung'!V63+'#minDung'!O60)*-1,"--")</f>
        <v>--</v>
      </c>
      <c r="BA54" s="875">
        <f t="shared" si="22"/>
        <v>0</v>
      </c>
      <c r="BB54" s="938">
        <f>IF(R54=2,0,'Flächen u. Kulturen'!V59*-1)</f>
        <v>0</v>
      </c>
      <c r="BC54" s="875">
        <f t="shared" si="23"/>
        <v>0</v>
      </c>
      <c r="BD54" s="127">
        <f>'#orgDung'!W63*-1</f>
        <v>0</v>
      </c>
      <c r="BE54" s="910">
        <f>'#orgDung'!AA63*-1</f>
        <v>0</v>
      </c>
      <c r="BF54" s="875">
        <f>'#orgDung'!Z63*-1</f>
        <v>0</v>
      </c>
      <c r="BG54" s="938">
        <f t="shared" si="14"/>
        <v>0</v>
      </c>
      <c r="BH54" s="875">
        <f>'#Kürzungen'!AS78*-1</f>
        <v>0</v>
      </c>
      <c r="BI54" s="875">
        <f t="shared" si="36"/>
        <v>0</v>
      </c>
      <c r="BJ54" s="910">
        <f t="shared" si="37"/>
        <v>0</v>
      </c>
      <c r="BK54" s="875">
        <f>'#minDung'!P60</f>
        <v>0</v>
      </c>
      <c r="BL54" s="938">
        <f t="shared" si="15"/>
        <v>0</v>
      </c>
      <c r="BM54" s="938">
        <f t="shared" si="38"/>
        <v>0</v>
      </c>
      <c r="BN54" s="875">
        <f>IF('Flächen u. Kulturen'!P59="",0,VLOOKUP('Flächen u. Kulturen'!P59,Kulturen[[HF]:[Berechnungsgruppe]],'#Frucht'!$K$1,FALSE))</f>
        <v>0</v>
      </c>
      <c r="BO54" s="875">
        <f>IF('Flächen u. Kulturen'!P59="",0,VLOOKUP('Flächen u. Kulturen'!P59,Kulturen[[HF]:[Berechnungsgruppe]],'#Frucht'!$L$1,FALSE))</f>
        <v>0</v>
      </c>
      <c r="BP54" s="875">
        <f>IF('Flächen u. Kulturen'!L59="",0,VLOOKUP('Flächen u. Kulturen'!L59,Nebenkultur[[Nebenkultur]:[Legum. Zwischenfr.]],'#Zweitfr'!$H$1,FALSE))</f>
        <v>0</v>
      </c>
      <c r="BQ54" s="938">
        <f>IF(N54=3,W54*BO54,IF('Flächen u. Kulturen'!T59='#Boden'!$B$32,V54*BN54,V54*BO54))</f>
        <v>0</v>
      </c>
      <c r="BR54" s="938">
        <f t="shared" si="39"/>
        <v>0</v>
      </c>
      <c r="BS54" s="875">
        <f t="shared" si="24"/>
        <v>0</v>
      </c>
      <c r="BT54" s="875">
        <f>IF('Flächen u. Kulturen'!F59="",0,IF(N54=3,VLOOKUP('Flächen u. Kulturen'!F59,'#Boden'!$G$4:$J$8,'#Boden'!$J$1,FALSE),VLOOKUP('Flächen u. Kulturen'!F59,'#Boden'!$G$4:$J$8,'#Boden'!$I$1,FALSE)))</f>
        <v>0</v>
      </c>
      <c r="BU54" s="41">
        <f t="shared" si="25"/>
        <v>0</v>
      </c>
      <c r="BV54" s="875">
        <f t="shared" si="26"/>
        <v>0</v>
      </c>
      <c r="BW54" s="938" t="str">
        <f t="shared" si="16"/>
        <v/>
      </c>
      <c r="BX54" s="875">
        <f>'#orgDung'!T63*-1</f>
        <v>0</v>
      </c>
      <c r="BY54" s="875">
        <f t="shared" si="40"/>
        <v>0</v>
      </c>
      <c r="BZ54" s="938" t="str">
        <f>IF(U54&lt;&gt;"x",0,IF(P54&lt;4,"",(BW54+BX54-'#minDung'!N60)*-1))</f>
        <v/>
      </c>
      <c r="CB54" s="938">
        <f>IF(AND(AF54=70,U54="x"),'Flächen u. Kulturen'!A59,1000)</f>
        <v>1000</v>
      </c>
      <c r="CC54" s="875" t="str">
        <f>IF(AF54=70,VLOOKUP('Flächen u. Kulturen'!L59,Nebenkultur[[Nebenkultur]:[Legum. Zwischenfr.]],'#Zweitfr'!$I$1,FALSE),"--")</f>
        <v>--</v>
      </c>
      <c r="CD54" s="875" t="str">
        <f>IF(AF54=70,VLOOKUP('Flächen u. Kulturen'!L59,Nebenkultur[[Nebenkultur]:[Legum. Zwischenfr.]],'#Zweitfr'!$L$1,FALSE),"--")</f>
        <v>--</v>
      </c>
      <c r="CE54" s="875" t="str">
        <f>IF(AF54=70,VLOOKUP('Flächen u. Kulturen'!L59,Nebenkultur[[Nebenkultur]:[Legum. Zwischenfr.]],'#Zweitfr'!$M$1,FALSE),"--")</f>
        <v>--</v>
      </c>
      <c r="CF54" s="875" t="str">
        <f>IF(AF54=70,VLOOKUP('Flächen u. Kulturen'!L59,Nebenkultur[[Nebenkultur]:[Legum. Zwischenfr.]],'#Zweitfr'!$N$1,FALSE),"--")</f>
        <v>--</v>
      </c>
      <c r="CG54" s="875" t="str">
        <f>IF(AF54=70,VLOOKUP('Flächen u. Kulturen'!L59,Nebenkultur[[Nebenkultur]:[Legum. Zwischenfr.]],'#Zweitfr'!$O$1,FALSE),"--")</f>
        <v>--</v>
      </c>
      <c r="CH54" s="875" t="str">
        <f t="shared" si="41"/>
        <v>--</v>
      </c>
      <c r="CI54" s="938">
        <f>IF('Flächen u. Kulturen'!L59="",0,VLOOKUP('Flächen u. Kulturen'!L59,Nebenkultur[[Nebenkultur]:[Legum. Zwischenfr.]],'#Zweitfr'!$J$1,FALSE))</f>
        <v>0</v>
      </c>
      <c r="CJ54" s="875">
        <f t="shared" si="42"/>
        <v>0</v>
      </c>
      <c r="CK54" s="890">
        <f t="shared" si="43"/>
        <v>0</v>
      </c>
      <c r="CL54" s="938">
        <f>IF(AND(R54=1,AF54=70),'Flächen u. Kulturen'!W59*-1,0)</f>
        <v>0</v>
      </c>
      <c r="CM54" s="875">
        <f>'#orgDung'!AE63*-1</f>
        <v>0</v>
      </c>
      <c r="CN54" s="875">
        <f t="shared" si="27"/>
        <v>0</v>
      </c>
      <c r="CO54" s="875">
        <f t="shared" si="28"/>
        <v>0</v>
      </c>
      <c r="CP54" s="875">
        <f>'#Kürzungen'!AS179*-1</f>
        <v>0</v>
      </c>
      <c r="CQ54" s="875">
        <f t="shared" si="29"/>
        <v>0</v>
      </c>
      <c r="CR54" s="875">
        <f t="shared" si="30"/>
        <v>0</v>
      </c>
      <c r="CS54" s="875">
        <f>'#minDung'!R60</f>
        <v>0</v>
      </c>
      <c r="CT54" s="938">
        <f t="shared" si="18"/>
        <v>0</v>
      </c>
      <c r="CU54" s="52" t="str">
        <f>'#Kürzungen'!AQ179</f>
        <v xml:space="preserve"> </v>
      </c>
      <c r="CW54" s="247">
        <f>IF('Flächen u. Kulturen'!D59="",0,IF(ISNUMBER('Flächen u. Kulturen'!D59)=TRUE,2,1))</f>
        <v>0</v>
      </c>
      <c r="CX54" s="247">
        <f>IF('Flächen u. Kulturen'!E59="",0,COUNTIF('#Boden'!$B$47,'Flächen u. Kulturen'!E59)+1)</f>
        <v>2</v>
      </c>
      <c r="CY54" s="247">
        <f>IF('Flächen u. Kulturen'!F59="",0,COUNTIF('#Boden'!$G$4:$G$8,'Flächen u. Kulturen'!F59)+1)</f>
        <v>2</v>
      </c>
      <c r="CZ54" s="247">
        <f>IF('Flächen u. Kulturen'!G59="",0,COUNTIF('#Boden'!$B$26:$B$29,'Flächen u. Kulturen'!G59)+1)</f>
        <v>2</v>
      </c>
      <c r="DA54" s="247">
        <f>IF('Flächen u. Kulturen'!H59="",0,COUNTIF('#Boden'!$B$26:$B$29,'Flächen u. Kulturen'!H59)+1)</f>
        <v>2</v>
      </c>
      <c r="DB54" s="247">
        <f>IF('Flächen u. Kulturen'!I59="",0,COUNTIF('#Boden'!$B$9:$B$15,'Flächen u. Kulturen'!I59)+1)</f>
        <v>2</v>
      </c>
      <c r="DC54" s="247">
        <f>IF('Flächen u. Kulturen'!J59="",0,COUNTIF(Kulturen[HF],'Flächen u. Kulturen'!J59)+1)</f>
        <v>2</v>
      </c>
      <c r="DD54" s="247">
        <f>IF('Flächen u. Kulturen'!L59="",0,COUNTIF(Nebenkultur[Nebenkultur],'Flächen u. Kulturen'!L59)+1)</f>
        <v>2</v>
      </c>
      <c r="DE54" s="247">
        <f>IF('Flächen u. Kulturen'!M59="",0,COUNTIF('#Boden'!$G$17:$G$21,'Flächen u. Kulturen'!M59)+1)</f>
        <v>2</v>
      </c>
      <c r="DF54" s="247">
        <f>IF('Flächen u. Kulturen'!N59="",0,COUNTIF('#Boden'!$G$22:$G$24,'Flächen u. Kulturen'!N59)+1)</f>
        <v>2</v>
      </c>
      <c r="DG54" s="247">
        <f>IF('Flächen u. Kulturen'!P59="",0,COUNTIF(Kulturen[HF],'Flächen u. Kulturen'!P59)+1)</f>
        <v>2</v>
      </c>
      <c r="DH54" s="247">
        <f>IF('Flächen u. Kulturen'!T59="",0,COUNTIF('#Boden'!$B$30:$B$32,'Flächen u. Kulturen'!T59)+1)</f>
        <v>2</v>
      </c>
      <c r="DI54" s="247">
        <f>IF('Flächen u. Kulturen'!K59="",0,IF(ISNUMBER('Flächen u. Kulturen'!K59)=TRUE,2,1))</f>
        <v>0</v>
      </c>
      <c r="DJ54" s="247">
        <f>IF('Flächen u. Kulturen'!U59="",0,IF(ISNUMBER('Flächen u. Kulturen'!U59)=TRUE,2,1))</f>
        <v>0</v>
      </c>
      <c r="DK54" s="247">
        <f>IF('Flächen u. Kulturen'!V59="",0,IF(ISNUMBER('Flächen u. Kulturen'!V59)=TRUE,2,1))</f>
        <v>0</v>
      </c>
      <c r="DL54" s="247">
        <f>IF('Flächen u. Kulturen'!W59="",0,IF(ISNUMBER('Flächen u. Kulturen'!W59)=TRUE,2,1))</f>
        <v>0</v>
      </c>
      <c r="DM54" s="247">
        <f t="shared" si="31"/>
        <v>0</v>
      </c>
      <c r="DN54" s="247" t="s">
        <v>344</v>
      </c>
      <c r="DO54" s="247">
        <f>IF(U54&lt;&gt;"x","",IF(OR('Flächen u. Kulturen'!B59="",'Flächen u. Kulturen'!C59="",'Flächen u. Kulturen'!D59="",'Flächen u. Kulturen'!D59=0,'Flächen u. Kulturen'!F59="",'Flächen u. Kulturen'!F59='#Boden'!$G$4,'Flächen u. Kulturen'!G59="",'Flächen u. Kulturen'!G59='#Boden'!$B$26,'Flächen u. Kulturen'!H59="",'Flächen u. Kulturen'!H59='#Boden'!$B$23,AND(N54&lt;&gt;2,OR('Flächen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Kulturen'!Q59="",'#BerechnungDBE'!N54&lt;3),AND('Flächen u. Kulturen'!R59="",'#BerechnungDBE'!N54=3),AND(N54=1,AL54&gt;0,'Flächen u. Kulturen'!S59=""),AND(N54=1,OR('Flächen u. Kulturen'!T59="",'Flächen u. Kulturen'!T59='#Boden'!$B$30)),AND('#BerechnungDBE'!AF54=70,OR('Flächen u. Kulturen'!N59="",'Flächen u. Kulturen'!N59='#Boden'!$G$22,'Flächen u. Kulturen'!O59="")),AND('#BerechnungDBE'!AF54=80,OR('Flächen u. Kulturen'!M59="",'Flächen u. Kulturen'!M59='#Boden'!$G$17,'Flächen u. Kulturen'!N59="",'Flächen u. Kulturen'!N59='#Boden'!$G$22))),$DO$4,""))</f>
        <v>1</v>
      </c>
      <c r="DP54" s="247" t="str">
        <f>IF(U54&lt;&gt;"x","",IF(OR(LEFT('Flächen u. Kulturen'!J59,2)=" +",LEFT('Flächen u. Kulturen'!L59,2)=" +",LEFT('Flächen u. Kulturen'!P59,2)=" +"),$DP$4,""))</f>
        <v/>
      </c>
      <c r="DQ54" s="428" t="str">
        <f t="shared" si="44"/>
        <v/>
      </c>
      <c r="DR54" s="938" t="str">
        <f t="shared" si="45"/>
        <v/>
      </c>
      <c r="DS54" s="938" t="str">
        <f>IF('Flächen u. Kulturen'!X59="","",ROW('Flächen u. Kulturen'!X59))</f>
        <v/>
      </c>
    </row>
    <row r="55" spans="1:123" s="875" customFormat="1" x14ac:dyDescent="0.2">
      <c r="A55" s="875" t="str">
        <f>IF('Daten aus 2021'!H57="",'#Boden'!$B$26,IF('Daten aus 2021'!H57='#Boden'!$B$39,IF('Daten aus 2021'!F57='#Boden'!$B$29,'#Boden'!$B$29,IF('Daten aus 2021'!K57='#Boden'!$B$34,'#Boden'!$B$28,'#Boden'!$B$27)),'Daten aus 2021'!F57))</f>
        <v xml:space="preserve"> --</v>
      </c>
      <c r="B55" s="875" t="str">
        <f>IF('Daten aus 2021'!H57='#Boden'!$B$39,IF('Daten aus 2021'!L57='#Boden'!$B$61,'#Boden'!$B$11,'Daten aus 2021'!L57),IF('Daten aus 2021'!P57='#Boden'!$B$58,'#Boden'!$B$11,IF('Daten aus 2021'!P57='#Boden'!$B$57,'#Boden'!$B$10,'#Boden'!$B$9)))</f>
        <v xml:space="preserve"> --         </v>
      </c>
      <c r="C55" s="875" t="str">
        <f>IF('Daten aus 2021'!N57="","",VLOOKUP('Daten aus 2021'!N57,'#Boden'!$B$68:$C$89,2,FALSE))</f>
        <v/>
      </c>
      <c r="D55" s="875" t="str">
        <f>IF('Daten aus 2021'!M57="","",VLOOKUP('Daten aus 2021'!M57,'#Boden'!$D$69:$E$73,2,FALSE))</f>
        <v/>
      </c>
      <c r="E55" s="938" t="str">
        <f>IF(OR(C55='#Boden'!$C$68,C55='#Boden'!$C$70),C55,CONCATENATE(C55,D55))</f>
        <v/>
      </c>
      <c r="F55" s="882" t="str">
        <f>IFERROR(IF('Daten aus 2021'!H57="",'#Frucht'!$D$8,IF('Daten aus 2021'!H57='#Boden'!$B$39,E55,IF('Daten aus 2021'!H57='#Boden'!$B$38,IF(CONCATENATE(" ",'Daten aus 2021'!W57)=$B$2,VLOOKUP($B$3,'#Frucht'!$A$8:$D$372,4,FALSE),VLOOKUP(CONCATENATE(" ",'Daten aus 2021'!W57),'#Frucht'!$A$8:$D$372,4,FALSE)),IF(OR(LEFT('Daten aus 2021'!Q57,5)=" *10 ",LEFT('Daten aus 2021'!Q57,5)=" *11 ",LEFT('Daten aus 2021'!Q57,5)=" *12 ",LEFT('Daten aus 2021'!Q57,5)=" *13 ",LEFT('Daten aus 2021'!Q57,5)=" *14 ",LEFT('Daten aus 2021'!Q57,5)=" *15 "),VLOOKUP(RIGHT('Daten aus 2021'!Q57,LEN('Daten aus 2021'!Q57)-4),'#Frucht'!$A$8:$D$372,4,FALSE),IF(LEFT('Daten aus 2021'!Q57,2)=" *",VLOOKUP(RIGHT('Daten aus 2021'!Q57,LEN('Daten aus 2021'!Q57)-3),'#Frucht'!$A$8:$D$372,4,FALSE),VLOOKUP('Daten aus 2021'!Q57,'#Frucht'!$A$8:$D$372,4,FALSE)))))),'#Frucht'!$D$8)</f>
        <v xml:space="preserve"> --  </v>
      </c>
      <c r="G55" s="127"/>
      <c r="H55" s="31"/>
      <c r="J55" s="938" t="str">
        <f>IF(OR(N55=3,$K$3=0,'Flächen u. Kulturen'!P60=""),"",IF(VLOOKUP('Flächen u. Kulturen'!P60,Kulturen[[HF]:[780]],'#BerechnungDBE'!$K$3,FALSE)=".","",VLOOKUP('Flächen u. Kulturen'!P60,Kulturen[[HF]:[780]],'#BerechnungDBE'!$K$3,FALSE)))</f>
        <v/>
      </c>
      <c r="K55" s="938" t="str">
        <f>IF(OR($K$3=0,'Flächen u. Kulturen'!P60=""),"",IF(N55=3,IF(VLOOKUP('Flächen u. Kulturen'!P60,Kulturen[[HF]:[780]],'#BerechnungDBE'!$K$3,FALSE)=".","",VLOOKUP('Flächen u. Kulturen'!P60,Kulturen[[HF]:[780]],'#BerechnungDBE'!$K$3,FALSE)),""))</f>
        <v/>
      </c>
      <c r="L55" s="367">
        <f>IF('Flächen u. Kulturen'!D60="",0,'Flächen u. Kulturen'!D60)</f>
        <v>0</v>
      </c>
      <c r="M55" s="693">
        <f>IF('Flächen u. Kulturen'!J60="",0,VLOOKUP('Flächen u. Kulturen'!J60,Kulturen[[HF]:[Berechnungsgruppe]],'#Frucht'!$W$1,FALSE))</f>
        <v>1</v>
      </c>
      <c r="N55" s="693">
        <f>IF('Flächen u. Kulturen'!P60="",0,VLOOKUP('Flächen u. Kulturen'!P60,Kulturen[[HF]:[Berechnungsgruppe]],'#Frucht'!$W$1,FALSE))</f>
        <v>1</v>
      </c>
      <c r="O55" s="875">
        <f>IF(N55&lt;&gt;2,N55,IF('Flächen u. Kulturen'!J60='Flächen u. Kulturen'!P60,2,1))</f>
        <v>1</v>
      </c>
      <c r="P55" s="875">
        <f>IF('Flächen u. Kulturen'!F60="",0,VLOOKUP('Flächen u. Kulturen'!F60,'#Boden'!$G$4:$H$8,'#Boden'!$H$1,FALSE))</f>
        <v>1</v>
      </c>
      <c r="Q55" s="875">
        <f>IF('Flächen u. Kulturen'!G60="",0,VLOOKUP('Flächen u. Kulturen'!G60,'#Boden'!$B$26:$C$29,'#Boden'!$C$1,FALSE))</f>
        <v>1</v>
      </c>
      <c r="R55" s="875">
        <f t="shared" si="19"/>
        <v>1</v>
      </c>
      <c r="S55" s="875">
        <f t="shared" si="20"/>
        <v>1</v>
      </c>
      <c r="T55" s="875">
        <f>IF('Flächen u. Kulturen'!H60="",0,VLOOKUP('Flächen u. Kulturen'!H60,'#Boden'!$B$23:$C$25,'#Boden'!$C$1,FALSE))</f>
        <v>2</v>
      </c>
      <c r="U55" s="875" t="str">
        <f>'Flächen u. Kulturen'!E60</f>
        <v>x</v>
      </c>
      <c r="V55" s="938">
        <f>IF('Flächen u. Kulturen'!Q60="",0,_xlfn.NUMBERVALUE('Flächen u. Kulturen'!Q60))</f>
        <v>0</v>
      </c>
      <c r="W55" s="938">
        <f>IF('Flächen u. Kulturen'!R60="",0,_xlfn.NUMBERVALUE('Flächen u. Kulturen'!R60))</f>
        <v>0</v>
      </c>
      <c r="X55" s="875">
        <f>IF('Flächen u. Kulturen'!T60="",0,VLOOKUP('Flächen u. Kulturen'!T60,'#Boden'!$B$30:$C$32,'#Boden'!$C$1,FALSE))</f>
        <v>1</v>
      </c>
      <c r="Y55" s="875">
        <f>IF('Flächen u. Kulturen'!P60="",0,VLOOKUP('Flächen u. Kulturen'!P60,Kulturen[[HF]:[Berechnungsgruppe]],'#Frucht'!$N$1,FALSE))</f>
        <v>0</v>
      </c>
      <c r="Z55" s="875">
        <f t="shared" si="21"/>
        <v>2</v>
      </c>
      <c r="AA55" s="875">
        <f>IF('Flächen u. Kulturen'!P60="",0,VLOOKUP('Flächen u. Kulturen'!P60,Kulturen[[HF]:[Berechnungsgruppe]],'#Frucht'!$V$1,FALSE))</f>
        <v>0</v>
      </c>
      <c r="AB55" s="875">
        <f>IF(N55=1,VLOOKUP('Flächen u. Kulturen'!P60,Kulturen[[HF]:[Ernteprodukt]],'#Frucht'!$I$1,FALSE),4)</f>
        <v>4</v>
      </c>
      <c r="AC55" s="921">
        <f>IF('Flächen u. Kulturen'!J60="",0,VLOOKUP('Flächen u. Kulturen'!J60,Kulturen[[HF]:[Berechnungsgruppe]],'#Frucht'!$G$1,FALSE))</f>
        <v>90</v>
      </c>
      <c r="AD55" s="921">
        <f>IF('Flächen u. Kulturen'!P60="",0,VLOOKUP('Flächen u. Kulturen'!P60,Kulturen[[HF]:[Berechnungsgruppe]],'#Frucht'!$G$1,FALSE))</f>
        <v>90</v>
      </c>
      <c r="AE55" s="938">
        <f>IF('Flächen u. Kulturen'!P60="",0,VLOOKUP('Flächen u. Kulturen'!P60,Kulturen[[HF]:[SollwertMinusNfix]],'#Frucht'!$X$1,FALSE))</f>
        <v>0</v>
      </c>
      <c r="AF55" s="875">
        <f>IF('Flächen u. Kulturen'!L60="",0,VLOOKUP('Flächen u. Kulturen'!L60,Nebenkultur[[Nebenkultur]:[Berechnungsschema]],'#Zweitfr'!$G$1,FALSE))</f>
        <v>0</v>
      </c>
      <c r="AG55" s="875">
        <f>IF('Flächen u. Kulturen'!L60="",0,VLOOKUP('Flächen u. Kulturen'!L60,'#Zweitfr'!$D$8:$Q$27,'#Zweitfr'!$Q$1,FALSE))</f>
        <v>0</v>
      </c>
      <c r="AH55" s="875">
        <f>IF('Flächen u. Kulturen'!M60="",0,VLOOKUP('Flächen u. Kulturen'!M60,'#Boden'!$G$17:$H$21,2,FALSE))</f>
        <v>1</v>
      </c>
      <c r="AI55" s="875">
        <f>IF('Flächen u. Kulturen'!N60="",0,VLOOKUP('Flächen u. Kulturen'!N60,'#Boden'!$G$22:$H$24,'#Boden'!$H$1,FALSE))</f>
        <v>1</v>
      </c>
      <c r="AJ55" s="938">
        <f>IF('Flächen u. Kulturen'!O60="",0,_xlfn.NUMBERVALUE('Flächen u. Kulturen'!O60))</f>
        <v>0</v>
      </c>
      <c r="AK55" s="938">
        <f>IF('Flächen u. Kulturen'!L60="",0,VLOOKUP('Flächen u. Kulturen'!L60,Nebenkultur[[Nebenkultur]:[Legum. Zwischenfr.]],'#Zweitfr'!$P$1,FALSE))</f>
        <v>0</v>
      </c>
      <c r="AL55" s="875">
        <f>IF('Flächen u. Kulturen'!P60="",0,VLOOKUP('Flächen u. Kulturen'!P60,Kulturen[[HF]:[Berechnungsgruppe]],'#Frucht'!$Q$1,FALSE))</f>
        <v>0</v>
      </c>
      <c r="AM55" s="875">
        <f>IF('Flächen u. Kulturen'!P60="",0,VLOOKUP('Flächen u. Kulturen'!P60,Kulturen[[HF]:[Berechnungsgruppe]],'#Frucht'!$M$1,FALSE))</f>
        <v>0</v>
      </c>
      <c r="AN55" s="875">
        <f>IF('Flächen u. Kulturen'!P60="",1,VLOOKUP('Flächen u. Kulturen'!P60,Kulturen[[HF]:[Berechnungsgruppe]],'#Frucht'!$R$1,FALSE))</f>
        <v>10</v>
      </c>
      <c r="AO55" s="875">
        <f>IF('Flächen u. Kulturen'!P60="",0,VLOOKUP('Flächen u. Kulturen'!P60,Kulturen[[HF]:[Berechnungsgruppe]],'#Frucht'!$S$1,FALSE))</f>
        <v>0</v>
      </c>
      <c r="AP55" s="875">
        <f>IF('Flächen u. Kulturen'!P60="",0,VLOOKUP('Flächen u. Kulturen'!P60,Kulturen[[HF]:[Berechnungsgruppe]],'#Frucht'!$T$1,FALSE))</f>
        <v>0</v>
      </c>
      <c r="AQ55" s="938">
        <f t="shared" si="32"/>
        <v>0</v>
      </c>
      <c r="AR55" s="875">
        <f t="shared" si="33"/>
        <v>0</v>
      </c>
      <c r="AS55" s="938">
        <f t="shared" si="34"/>
        <v>0</v>
      </c>
      <c r="AT55" s="875">
        <f>IF(N55=1,'Flächen u. Kulturen'!S60*-1,"--")</f>
        <v>0</v>
      </c>
      <c r="AU55" s="938">
        <f>IF(OR(N55=2,'Flächen u. Kulturen'!I60=""),"--",IF(N55=3,VLOOKUP('Flächen u. Kulturen'!I60,'#Boden'!$B$9:$E$15,'#Boden'!$D$1,FALSE),VLOOKUP('Flächen u. Kulturen'!I60,'#Boden'!$B$9:$E$15,'#Boden'!$E$1,FALSE)))</f>
        <v>0</v>
      </c>
      <c r="AV55" s="938">
        <f>IF(N55=1,IF('Flächen u. Kulturen'!J60="",0,VLOOKUP('Flächen u. Kulturen'!J60,Kulturen[[HF]:[Berechnungsgruppe]],'#Frucht'!$U$1,FALSE)*-1),"--")</f>
        <v>0</v>
      </c>
      <c r="AW55" s="875">
        <f t="shared" si="35"/>
        <v>0</v>
      </c>
      <c r="AX55" s="875">
        <f>IF('Flächen u. Kulturen'!K60="",0,'Flächen u. Kulturen'!K60*-0.1)</f>
        <v>0</v>
      </c>
      <c r="AY55" s="875">
        <f>IF(N55&lt;3,'#orgDung'!AC64*0.1*-1,"--")</f>
        <v>0</v>
      </c>
      <c r="AZ55" s="31" t="str">
        <f>IF(AND('#orgDung'!J64&lt;&gt;2,'#orgDung'!F64=1),('#orgDung'!V64+'#minDung'!O61)*-1,"--")</f>
        <v>--</v>
      </c>
      <c r="BA55" s="875">
        <f t="shared" si="22"/>
        <v>0</v>
      </c>
      <c r="BB55" s="938">
        <f>IF(R55=2,0,'Flächen u. Kulturen'!V60*-1)</f>
        <v>0</v>
      </c>
      <c r="BC55" s="875">
        <f t="shared" si="23"/>
        <v>0</v>
      </c>
      <c r="BD55" s="127">
        <f>'#orgDung'!W64*-1</f>
        <v>0</v>
      </c>
      <c r="BE55" s="910">
        <f>'#orgDung'!AA64*-1</f>
        <v>0</v>
      </c>
      <c r="BF55" s="875">
        <f>'#orgDung'!Z64*-1</f>
        <v>0</v>
      </c>
      <c r="BG55" s="938">
        <f t="shared" si="14"/>
        <v>0</v>
      </c>
      <c r="BH55" s="875">
        <f>'#Kürzungen'!AS79*-1</f>
        <v>0</v>
      </c>
      <c r="BI55" s="875">
        <f t="shared" si="36"/>
        <v>0</v>
      </c>
      <c r="BJ55" s="910">
        <f t="shared" si="37"/>
        <v>0</v>
      </c>
      <c r="BK55" s="875">
        <f>'#minDung'!P61</f>
        <v>0</v>
      </c>
      <c r="BL55" s="938">
        <f t="shared" si="15"/>
        <v>0</v>
      </c>
      <c r="BM55" s="938">
        <f t="shared" si="38"/>
        <v>0</v>
      </c>
      <c r="BN55" s="875">
        <f>IF('Flächen u. Kulturen'!P60="",0,VLOOKUP('Flächen u. Kulturen'!P60,Kulturen[[HF]:[Berechnungsgruppe]],'#Frucht'!$K$1,FALSE))</f>
        <v>0</v>
      </c>
      <c r="BO55" s="875">
        <f>IF('Flächen u. Kulturen'!P60="",0,VLOOKUP('Flächen u. Kulturen'!P60,Kulturen[[HF]:[Berechnungsgruppe]],'#Frucht'!$L$1,FALSE))</f>
        <v>0</v>
      </c>
      <c r="BP55" s="875">
        <f>IF('Flächen u. Kulturen'!L60="",0,VLOOKUP('Flächen u. Kulturen'!L60,Nebenkultur[[Nebenkultur]:[Legum. Zwischenfr.]],'#Zweitfr'!$H$1,FALSE))</f>
        <v>0</v>
      </c>
      <c r="BQ55" s="938">
        <f>IF(N55=3,W55*BO55,IF('Flächen u. Kulturen'!T60='#Boden'!$B$32,V55*BN55,V55*BO55))</f>
        <v>0</v>
      </c>
      <c r="BR55" s="938">
        <f t="shared" si="39"/>
        <v>0</v>
      </c>
      <c r="BS55" s="875">
        <f t="shared" si="24"/>
        <v>0</v>
      </c>
      <c r="BT55" s="875">
        <f>IF('Flächen u. Kulturen'!F60="",0,IF(N55=3,VLOOKUP('Flächen u. Kulturen'!F60,'#Boden'!$G$4:$J$8,'#Boden'!$J$1,FALSE),VLOOKUP('Flächen u. Kulturen'!F60,'#Boden'!$G$4:$J$8,'#Boden'!$I$1,FALSE)))</f>
        <v>0</v>
      </c>
      <c r="BU55" s="41">
        <f t="shared" si="25"/>
        <v>0</v>
      </c>
      <c r="BV55" s="875">
        <f t="shared" si="26"/>
        <v>0</v>
      </c>
      <c r="BW55" s="938" t="str">
        <f t="shared" si="16"/>
        <v/>
      </c>
      <c r="BX55" s="875">
        <f>'#orgDung'!T64*-1</f>
        <v>0</v>
      </c>
      <c r="BY55" s="875">
        <f t="shared" si="40"/>
        <v>0</v>
      </c>
      <c r="BZ55" s="938" t="str">
        <f>IF(U55&lt;&gt;"x",0,IF(P55&lt;4,"",(BW55+BX55-'#minDung'!N61)*-1))</f>
        <v/>
      </c>
      <c r="CB55" s="938">
        <f>IF(AND(AF55=70,U55="x"),'Flächen u. Kulturen'!A60,1000)</f>
        <v>1000</v>
      </c>
      <c r="CC55" s="875" t="str">
        <f>IF(AF55=70,VLOOKUP('Flächen u. Kulturen'!L60,Nebenkultur[[Nebenkultur]:[Legum. Zwischenfr.]],'#Zweitfr'!$I$1,FALSE),"--")</f>
        <v>--</v>
      </c>
      <c r="CD55" s="875" t="str">
        <f>IF(AF55=70,VLOOKUP('Flächen u. Kulturen'!L60,Nebenkultur[[Nebenkultur]:[Legum. Zwischenfr.]],'#Zweitfr'!$L$1,FALSE),"--")</f>
        <v>--</v>
      </c>
      <c r="CE55" s="875" t="str">
        <f>IF(AF55=70,VLOOKUP('Flächen u. Kulturen'!L60,Nebenkultur[[Nebenkultur]:[Legum. Zwischenfr.]],'#Zweitfr'!$M$1,FALSE),"--")</f>
        <v>--</v>
      </c>
      <c r="CF55" s="875" t="str">
        <f>IF(AF55=70,VLOOKUP('Flächen u. Kulturen'!L60,Nebenkultur[[Nebenkultur]:[Legum. Zwischenfr.]],'#Zweitfr'!$N$1,FALSE),"--")</f>
        <v>--</v>
      </c>
      <c r="CG55" s="875" t="str">
        <f>IF(AF55=70,VLOOKUP('Flächen u. Kulturen'!L60,Nebenkultur[[Nebenkultur]:[Legum. Zwischenfr.]],'#Zweitfr'!$O$1,FALSE),"--")</f>
        <v>--</v>
      </c>
      <c r="CH55" s="875" t="str">
        <f t="shared" si="41"/>
        <v>--</v>
      </c>
      <c r="CI55" s="938">
        <f>IF('Flächen u. Kulturen'!L60="",0,VLOOKUP('Flächen u. Kulturen'!L60,Nebenkultur[[Nebenkultur]:[Legum. Zwischenfr.]],'#Zweitfr'!$J$1,FALSE))</f>
        <v>0</v>
      </c>
      <c r="CJ55" s="875">
        <f t="shared" si="42"/>
        <v>0</v>
      </c>
      <c r="CK55" s="890">
        <f t="shared" si="43"/>
        <v>0</v>
      </c>
      <c r="CL55" s="938">
        <f>IF(AND(R55=1,AF55=70),'Flächen u. Kulturen'!W60*-1,0)</f>
        <v>0</v>
      </c>
      <c r="CM55" s="875">
        <f>'#orgDung'!AE64*-1</f>
        <v>0</v>
      </c>
      <c r="CN55" s="875">
        <f t="shared" si="27"/>
        <v>0</v>
      </c>
      <c r="CO55" s="875">
        <f t="shared" si="28"/>
        <v>0</v>
      </c>
      <c r="CP55" s="875">
        <f>'#Kürzungen'!AS180*-1</f>
        <v>0</v>
      </c>
      <c r="CQ55" s="875">
        <f t="shared" si="29"/>
        <v>0</v>
      </c>
      <c r="CR55" s="875">
        <f t="shared" si="30"/>
        <v>0</v>
      </c>
      <c r="CS55" s="875">
        <f>'#minDung'!R61</f>
        <v>0</v>
      </c>
      <c r="CT55" s="938">
        <f t="shared" si="18"/>
        <v>0</v>
      </c>
      <c r="CU55" s="52" t="str">
        <f>'#Kürzungen'!AQ180</f>
        <v xml:space="preserve"> </v>
      </c>
      <c r="CW55" s="247">
        <f>IF('Flächen u. Kulturen'!D60="",0,IF(ISNUMBER('Flächen u. Kulturen'!D60)=TRUE,2,1))</f>
        <v>0</v>
      </c>
      <c r="CX55" s="247">
        <f>IF('Flächen u. Kulturen'!E60="",0,COUNTIF('#Boden'!$B$47,'Flächen u. Kulturen'!E60)+1)</f>
        <v>2</v>
      </c>
      <c r="CY55" s="247">
        <f>IF('Flächen u. Kulturen'!F60="",0,COUNTIF('#Boden'!$G$4:$G$8,'Flächen u. Kulturen'!F60)+1)</f>
        <v>2</v>
      </c>
      <c r="CZ55" s="247">
        <f>IF('Flächen u. Kulturen'!G60="",0,COUNTIF('#Boden'!$B$26:$B$29,'Flächen u. Kulturen'!G60)+1)</f>
        <v>2</v>
      </c>
      <c r="DA55" s="247">
        <f>IF('Flächen u. Kulturen'!H60="",0,COUNTIF('#Boden'!$B$26:$B$29,'Flächen u. Kulturen'!H60)+1)</f>
        <v>2</v>
      </c>
      <c r="DB55" s="247">
        <f>IF('Flächen u. Kulturen'!I60="",0,COUNTIF('#Boden'!$B$9:$B$15,'Flächen u. Kulturen'!I60)+1)</f>
        <v>2</v>
      </c>
      <c r="DC55" s="247">
        <f>IF('Flächen u. Kulturen'!J60="",0,COUNTIF(Kulturen[HF],'Flächen u. Kulturen'!J60)+1)</f>
        <v>2</v>
      </c>
      <c r="DD55" s="247">
        <f>IF('Flächen u. Kulturen'!L60="",0,COUNTIF(Nebenkultur[Nebenkultur],'Flächen u. Kulturen'!L60)+1)</f>
        <v>2</v>
      </c>
      <c r="DE55" s="247">
        <f>IF('Flächen u. Kulturen'!M60="",0,COUNTIF('#Boden'!$G$17:$G$21,'Flächen u. Kulturen'!M60)+1)</f>
        <v>2</v>
      </c>
      <c r="DF55" s="247">
        <f>IF('Flächen u. Kulturen'!N60="",0,COUNTIF('#Boden'!$G$22:$G$24,'Flächen u. Kulturen'!N60)+1)</f>
        <v>2</v>
      </c>
      <c r="DG55" s="247">
        <f>IF('Flächen u. Kulturen'!P60="",0,COUNTIF(Kulturen[HF],'Flächen u. Kulturen'!P60)+1)</f>
        <v>2</v>
      </c>
      <c r="DH55" s="247">
        <f>IF('Flächen u. Kulturen'!T60="",0,COUNTIF('#Boden'!$B$30:$B$32,'Flächen u. Kulturen'!T60)+1)</f>
        <v>2</v>
      </c>
      <c r="DI55" s="247">
        <f>IF('Flächen u. Kulturen'!K60="",0,IF(ISNUMBER('Flächen u. Kulturen'!K60)=TRUE,2,1))</f>
        <v>0</v>
      </c>
      <c r="DJ55" s="247">
        <f>IF('Flächen u. Kulturen'!U60="",0,IF(ISNUMBER('Flächen u. Kulturen'!U60)=TRUE,2,1))</f>
        <v>0</v>
      </c>
      <c r="DK55" s="247">
        <f>IF('Flächen u. Kulturen'!V60="",0,IF(ISNUMBER('Flächen u. Kulturen'!V60)=TRUE,2,1))</f>
        <v>0</v>
      </c>
      <c r="DL55" s="247">
        <f>IF('Flächen u. Kulturen'!W60="",0,IF(ISNUMBER('Flächen u. Kulturen'!W60)=TRUE,2,1))</f>
        <v>0</v>
      </c>
      <c r="DM55" s="247">
        <f t="shared" si="31"/>
        <v>0</v>
      </c>
      <c r="DN55" s="247" t="s">
        <v>344</v>
      </c>
      <c r="DO55" s="247">
        <f>IF(U55&lt;&gt;"x","",IF(OR('Flächen u. Kulturen'!B60="",'Flächen u. Kulturen'!C60="",'Flächen u. Kulturen'!D60="",'Flächen u. Kulturen'!D60=0,'Flächen u. Kulturen'!F60="",'Flächen u. Kulturen'!F60='#Boden'!$G$4,'Flächen u. Kulturen'!G60="",'Flächen u. Kulturen'!G60='#Boden'!$B$26,'Flächen u. Kulturen'!H60="",'Flächen u. Kulturen'!H60='#Boden'!$B$23,AND(N55&lt;&gt;2,OR('Flächen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Kulturen'!Q60="",'#BerechnungDBE'!N55&lt;3),AND('Flächen u. Kulturen'!R60="",'#BerechnungDBE'!N55=3),AND(N55=1,AL55&gt;0,'Flächen u. Kulturen'!S60=""),AND(N55=1,OR('Flächen u. Kulturen'!T60="",'Flächen u. Kulturen'!T60='#Boden'!$B$30)),AND('#BerechnungDBE'!AF55=70,OR('Flächen u. Kulturen'!N60="",'Flächen u. Kulturen'!N60='#Boden'!$G$22,'Flächen u. Kulturen'!O60="")),AND('#BerechnungDBE'!AF55=80,OR('Flächen u. Kulturen'!M60="",'Flächen u. Kulturen'!M60='#Boden'!$G$17,'Flächen u. Kulturen'!N60="",'Flächen u. Kulturen'!N60='#Boden'!$G$22))),$DO$4,""))</f>
        <v>1</v>
      </c>
      <c r="DP55" s="247" t="str">
        <f>IF(U55&lt;&gt;"x","",IF(OR(LEFT('Flächen u. Kulturen'!J60,2)=" +",LEFT('Flächen u. Kulturen'!L60,2)=" +",LEFT('Flächen u. Kulturen'!P60,2)=" +"),$DP$4,""))</f>
        <v/>
      </c>
      <c r="DQ55" s="428" t="str">
        <f t="shared" si="44"/>
        <v/>
      </c>
      <c r="DR55" s="938" t="str">
        <f t="shared" si="45"/>
        <v/>
      </c>
      <c r="DS55" s="938" t="str">
        <f>IF('Flächen u. Kulturen'!X60="","",ROW('Flächen u. Kulturen'!X60))</f>
        <v/>
      </c>
    </row>
    <row r="56" spans="1:123" s="875" customFormat="1" x14ac:dyDescent="0.2">
      <c r="A56" s="875" t="str">
        <f>IF('Daten aus 2021'!H58="",'#Boden'!$B$26,IF('Daten aus 2021'!H58='#Boden'!$B$39,IF('Daten aus 2021'!F58='#Boden'!$B$29,'#Boden'!$B$29,IF('Daten aus 2021'!K58='#Boden'!$B$34,'#Boden'!$B$28,'#Boden'!$B$27)),'Daten aus 2021'!F58))</f>
        <v xml:space="preserve"> --</v>
      </c>
      <c r="B56" s="875" t="str">
        <f>IF('Daten aus 2021'!H58='#Boden'!$B$39,IF('Daten aus 2021'!L58='#Boden'!$B$61,'#Boden'!$B$11,'Daten aus 2021'!L58),IF('Daten aus 2021'!P58='#Boden'!$B$58,'#Boden'!$B$11,IF('Daten aus 2021'!P58='#Boden'!$B$57,'#Boden'!$B$10,'#Boden'!$B$9)))</f>
        <v xml:space="preserve"> --         </v>
      </c>
      <c r="C56" s="875" t="str">
        <f>IF('Daten aus 2021'!N58="","",VLOOKUP('Daten aus 2021'!N58,'#Boden'!$B$68:$C$89,2,FALSE))</f>
        <v/>
      </c>
      <c r="D56" s="875" t="str">
        <f>IF('Daten aus 2021'!M58="","",VLOOKUP('Daten aus 2021'!M58,'#Boden'!$D$69:$E$73,2,FALSE))</f>
        <v/>
      </c>
      <c r="E56" s="938" t="str">
        <f>IF(OR(C56='#Boden'!$C$68,C56='#Boden'!$C$70),C56,CONCATENATE(C56,D56))</f>
        <v/>
      </c>
      <c r="F56" s="882" t="str">
        <f>IFERROR(IF('Daten aus 2021'!H58="",'#Frucht'!$D$8,IF('Daten aus 2021'!H58='#Boden'!$B$39,E56,IF('Daten aus 2021'!H58='#Boden'!$B$38,IF(CONCATENATE(" ",'Daten aus 2021'!W58)=$B$2,VLOOKUP($B$3,'#Frucht'!$A$8:$D$372,4,FALSE),VLOOKUP(CONCATENATE(" ",'Daten aus 2021'!W58),'#Frucht'!$A$8:$D$372,4,FALSE)),IF(OR(LEFT('Daten aus 2021'!Q58,5)=" *10 ",LEFT('Daten aus 2021'!Q58,5)=" *11 ",LEFT('Daten aus 2021'!Q58,5)=" *12 ",LEFT('Daten aus 2021'!Q58,5)=" *13 ",LEFT('Daten aus 2021'!Q58,5)=" *14 ",LEFT('Daten aus 2021'!Q58,5)=" *15 "),VLOOKUP(RIGHT('Daten aus 2021'!Q58,LEN('Daten aus 2021'!Q58)-4),'#Frucht'!$A$8:$D$372,4,FALSE),IF(LEFT('Daten aus 2021'!Q58,2)=" *",VLOOKUP(RIGHT('Daten aus 2021'!Q58,LEN('Daten aus 2021'!Q58)-3),'#Frucht'!$A$8:$D$372,4,FALSE),VLOOKUP('Daten aus 2021'!Q58,'#Frucht'!$A$8:$D$372,4,FALSE)))))),'#Frucht'!$D$8)</f>
        <v xml:space="preserve"> --  </v>
      </c>
      <c r="G56" s="127"/>
      <c r="H56" s="31"/>
      <c r="J56" s="938" t="str">
        <f>IF(OR(N56=3,$K$3=0,'Flächen u. Kulturen'!P61=""),"",IF(VLOOKUP('Flächen u. Kulturen'!P61,Kulturen[[HF]:[780]],'#BerechnungDBE'!$K$3,FALSE)=".","",VLOOKUP('Flächen u. Kulturen'!P61,Kulturen[[HF]:[780]],'#BerechnungDBE'!$K$3,FALSE)))</f>
        <v/>
      </c>
      <c r="K56" s="938" t="str">
        <f>IF(OR($K$3=0,'Flächen u. Kulturen'!P61=""),"",IF(N56=3,IF(VLOOKUP('Flächen u. Kulturen'!P61,Kulturen[[HF]:[780]],'#BerechnungDBE'!$K$3,FALSE)=".","",VLOOKUP('Flächen u. Kulturen'!P61,Kulturen[[HF]:[780]],'#BerechnungDBE'!$K$3,FALSE)),""))</f>
        <v/>
      </c>
      <c r="L56" s="367">
        <f>IF('Flächen u. Kulturen'!D61="",0,'Flächen u. Kulturen'!D61)</f>
        <v>0</v>
      </c>
      <c r="M56" s="693">
        <f>IF('Flächen u. Kulturen'!J61="",0,VLOOKUP('Flächen u. Kulturen'!J61,Kulturen[[HF]:[Berechnungsgruppe]],'#Frucht'!$W$1,FALSE))</f>
        <v>1</v>
      </c>
      <c r="N56" s="693">
        <f>IF('Flächen u. Kulturen'!P61="",0,VLOOKUP('Flächen u. Kulturen'!P61,Kulturen[[HF]:[Berechnungsgruppe]],'#Frucht'!$W$1,FALSE))</f>
        <v>1</v>
      </c>
      <c r="O56" s="875">
        <f>IF(N56&lt;&gt;2,N56,IF('Flächen u. Kulturen'!J61='Flächen u. Kulturen'!P61,2,1))</f>
        <v>1</v>
      </c>
      <c r="P56" s="875">
        <f>IF('Flächen u. Kulturen'!F61="",0,VLOOKUP('Flächen u. Kulturen'!F61,'#Boden'!$G$4:$H$8,'#Boden'!$H$1,FALSE))</f>
        <v>1</v>
      </c>
      <c r="Q56" s="875">
        <f>IF('Flächen u. Kulturen'!G61="",0,VLOOKUP('Flächen u. Kulturen'!G61,'#Boden'!$B$26:$C$29,'#Boden'!$C$1,FALSE))</f>
        <v>1</v>
      </c>
      <c r="R56" s="875">
        <f t="shared" si="19"/>
        <v>1</v>
      </c>
      <c r="S56" s="875">
        <f t="shared" si="20"/>
        <v>1</v>
      </c>
      <c r="T56" s="875">
        <f>IF('Flächen u. Kulturen'!H61="",0,VLOOKUP('Flächen u. Kulturen'!H61,'#Boden'!$B$23:$C$25,'#Boden'!$C$1,FALSE))</f>
        <v>2</v>
      </c>
      <c r="U56" s="875" t="str">
        <f>'Flächen u. Kulturen'!E61</f>
        <v>x</v>
      </c>
      <c r="V56" s="938">
        <f>IF('Flächen u. Kulturen'!Q61="",0,_xlfn.NUMBERVALUE('Flächen u. Kulturen'!Q61))</f>
        <v>0</v>
      </c>
      <c r="W56" s="938">
        <f>IF('Flächen u. Kulturen'!R61="",0,_xlfn.NUMBERVALUE('Flächen u. Kulturen'!R61))</f>
        <v>0</v>
      </c>
      <c r="X56" s="875">
        <f>IF('Flächen u. Kulturen'!T61="",0,VLOOKUP('Flächen u. Kulturen'!T61,'#Boden'!$B$30:$C$32,'#Boden'!$C$1,FALSE))</f>
        <v>1</v>
      </c>
      <c r="Y56" s="875">
        <f>IF('Flächen u. Kulturen'!P61="",0,VLOOKUP('Flächen u. Kulturen'!P61,Kulturen[[HF]:[Berechnungsgruppe]],'#Frucht'!$N$1,FALSE))</f>
        <v>0</v>
      </c>
      <c r="Z56" s="875">
        <f t="shared" si="21"/>
        <v>2</v>
      </c>
      <c r="AA56" s="875">
        <f>IF('Flächen u. Kulturen'!P61="",0,VLOOKUP('Flächen u. Kulturen'!P61,Kulturen[[HF]:[Berechnungsgruppe]],'#Frucht'!$V$1,FALSE))</f>
        <v>0</v>
      </c>
      <c r="AB56" s="875">
        <f>IF(N56=1,VLOOKUP('Flächen u. Kulturen'!P61,Kulturen[[HF]:[Ernteprodukt]],'#Frucht'!$I$1,FALSE),4)</f>
        <v>4</v>
      </c>
      <c r="AC56" s="921">
        <f>IF('Flächen u. Kulturen'!J61="",0,VLOOKUP('Flächen u. Kulturen'!J61,Kulturen[[HF]:[Berechnungsgruppe]],'#Frucht'!$G$1,FALSE))</f>
        <v>90</v>
      </c>
      <c r="AD56" s="921">
        <f>IF('Flächen u. Kulturen'!P61="",0,VLOOKUP('Flächen u. Kulturen'!P61,Kulturen[[HF]:[Berechnungsgruppe]],'#Frucht'!$G$1,FALSE))</f>
        <v>90</v>
      </c>
      <c r="AE56" s="938">
        <f>IF('Flächen u. Kulturen'!P61="",0,VLOOKUP('Flächen u. Kulturen'!P61,Kulturen[[HF]:[SollwertMinusNfix]],'#Frucht'!$X$1,FALSE))</f>
        <v>0</v>
      </c>
      <c r="AF56" s="875">
        <f>IF('Flächen u. Kulturen'!L61="",0,VLOOKUP('Flächen u. Kulturen'!L61,Nebenkultur[[Nebenkultur]:[Berechnungsschema]],'#Zweitfr'!$G$1,FALSE))</f>
        <v>0</v>
      </c>
      <c r="AG56" s="875">
        <f>IF('Flächen u. Kulturen'!L61="",0,VLOOKUP('Flächen u. Kulturen'!L61,'#Zweitfr'!$D$8:$Q$27,'#Zweitfr'!$Q$1,FALSE))</f>
        <v>0</v>
      </c>
      <c r="AH56" s="875">
        <f>IF('Flächen u. Kulturen'!M61="",0,VLOOKUP('Flächen u. Kulturen'!M61,'#Boden'!$G$17:$H$21,2,FALSE))</f>
        <v>1</v>
      </c>
      <c r="AI56" s="875">
        <f>IF('Flächen u. Kulturen'!N61="",0,VLOOKUP('Flächen u. Kulturen'!N61,'#Boden'!$G$22:$H$24,'#Boden'!$H$1,FALSE))</f>
        <v>1</v>
      </c>
      <c r="AJ56" s="938">
        <f>IF('Flächen u. Kulturen'!O61="",0,_xlfn.NUMBERVALUE('Flächen u. Kulturen'!O61))</f>
        <v>0</v>
      </c>
      <c r="AK56" s="938">
        <f>IF('Flächen u. Kulturen'!L61="",0,VLOOKUP('Flächen u. Kulturen'!L61,Nebenkultur[[Nebenkultur]:[Legum. Zwischenfr.]],'#Zweitfr'!$P$1,FALSE))</f>
        <v>0</v>
      </c>
      <c r="AL56" s="875">
        <f>IF('Flächen u. Kulturen'!P61="",0,VLOOKUP('Flächen u. Kulturen'!P61,Kulturen[[HF]:[Berechnungsgruppe]],'#Frucht'!$Q$1,FALSE))</f>
        <v>0</v>
      </c>
      <c r="AM56" s="875">
        <f>IF('Flächen u. Kulturen'!P61="",0,VLOOKUP('Flächen u. Kulturen'!P61,Kulturen[[HF]:[Berechnungsgruppe]],'#Frucht'!$M$1,FALSE))</f>
        <v>0</v>
      </c>
      <c r="AN56" s="875">
        <f>IF('Flächen u. Kulturen'!P61="",1,VLOOKUP('Flächen u. Kulturen'!P61,Kulturen[[HF]:[Berechnungsgruppe]],'#Frucht'!$R$1,FALSE))</f>
        <v>10</v>
      </c>
      <c r="AO56" s="875">
        <f>IF('Flächen u. Kulturen'!P61="",0,VLOOKUP('Flächen u. Kulturen'!P61,Kulturen[[HF]:[Berechnungsgruppe]],'#Frucht'!$S$1,FALSE))</f>
        <v>0</v>
      </c>
      <c r="AP56" s="875">
        <f>IF('Flächen u. Kulturen'!P61="",0,VLOOKUP('Flächen u. Kulturen'!P61,Kulturen[[HF]:[Berechnungsgruppe]],'#Frucht'!$T$1,FALSE))</f>
        <v>0</v>
      </c>
      <c r="AQ56" s="938">
        <f t="shared" si="32"/>
        <v>0</v>
      </c>
      <c r="AR56" s="875">
        <f t="shared" si="33"/>
        <v>0</v>
      </c>
      <c r="AS56" s="938">
        <f t="shared" si="34"/>
        <v>0</v>
      </c>
      <c r="AT56" s="875">
        <f>IF(N56=1,'Flächen u. Kulturen'!S61*-1,"--")</f>
        <v>0</v>
      </c>
      <c r="AU56" s="938">
        <f>IF(OR(N56=2,'Flächen u. Kulturen'!I61=""),"--",IF(N56=3,VLOOKUP('Flächen u. Kulturen'!I61,'#Boden'!$B$9:$E$15,'#Boden'!$D$1,FALSE),VLOOKUP('Flächen u. Kulturen'!I61,'#Boden'!$B$9:$E$15,'#Boden'!$E$1,FALSE)))</f>
        <v>0</v>
      </c>
      <c r="AV56" s="938">
        <f>IF(N56=1,IF('Flächen u. Kulturen'!J61="",0,VLOOKUP('Flächen u. Kulturen'!J61,Kulturen[[HF]:[Berechnungsgruppe]],'#Frucht'!$U$1,FALSE)*-1),"--")</f>
        <v>0</v>
      </c>
      <c r="AW56" s="875">
        <f t="shared" si="35"/>
        <v>0</v>
      </c>
      <c r="AX56" s="875">
        <f>IF('Flächen u. Kulturen'!K61="",0,'Flächen u. Kulturen'!K61*-0.1)</f>
        <v>0</v>
      </c>
      <c r="AY56" s="875">
        <f>IF(N56&lt;3,'#orgDung'!AC65*0.1*-1,"--")</f>
        <v>0</v>
      </c>
      <c r="AZ56" s="31" t="str">
        <f>IF(AND('#orgDung'!J65&lt;&gt;2,'#orgDung'!F65=1),('#orgDung'!V65+'#minDung'!O62)*-1,"--")</f>
        <v>--</v>
      </c>
      <c r="BA56" s="875">
        <f t="shared" si="22"/>
        <v>0</v>
      </c>
      <c r="BB56" s="938">
        <f>IF(R56=2,0,'Flächen u. Kulturen'!V61*-1)</f>
        <v>0</v>
      </c>
      <c r="BC56" s="875">
        <f t="shared" si="23"/>
        <v>0</v>
      </c>
      <c r="BD56" s="127">
        <f>'#orgDung'!W65*-1</f>
        <v>0</v>
      </c>
      <c r="BE56" s="910">
        <f>'#orgDung'!AA65*-1</f>
        <v>0</v>
      </c>
      <c r="BF56" s="875">
        <f>'#orgDung'!Z65*-1</f>
        <v>0</v>
      </c>
      <c r="BG56" s="938">
        <f t="shared" si="14"/>
        <v>0</v>
      </c>
      <c r="BH56" s="875">
        <f>'#Kürzungen'!AS80*-1</f>
        <v>0</v>
      </c>
      <c r="BI56" s="875">
        <f t="shared" si="36"/>
        <v>0</v>
      </c>
      <c r="BJ56" s="910">
        <f t="shared" si="37"/>
        <v>0</v>
      </c>
      <c r="BK56" s="875">
        <f>'#minDung'!P62</f>
        <v>0</v>
      </c>
      <c r="BL56" s="938">
        <f t="shared" si="15"/>
        <v>0</v>
      </c>
      <c r="BM56" s="938">
        <f t="shared" si="38"/>
        <v>0</v>
      </c>
      <c r="BN56" s="875">
        <f>IF('Flächen u. Kulturen'!P61="",0,VLOOKUP('Flächen u. Kulturen'!P61,Kulturen[[HF]:[Berechnungsgruppe]],'#Frucht'!$K$1,FALSE))</f>
        <v>0</v>
      </c>
      <c r="BO56" s="875">
        <f>IF('Flächen u. Kulturen'!P61="",0,VLOOKUP('Flächen u. Kulturen'!P61,Kulturen[[HF]:[Berechnungsgruppe]],'#Frucht'!$L$1,FALSE))</f>
        <v>0</v>
      </c>
      <c r="BP56" s="875">
        <f>IF('Flächen u. Kulturen'!L61="",0,VLOOKUP('Flächen u. Kulturen'!L61,Nebenkultur[[Nebenkultur]:[Legum. Zwischenfr.]],'#Zweitfr'!$H$1,FALSE))</f>
        <v>0</v>
      </c>
      <c r="BQ56" s="938">
        <f>IF(N56=3,W56*BO56,IF('Flächen u. Kulturen'!T61='#Boden'!$B$32,V56*BN56,V56*BO56))</f>
        <v>0</v>
      </c>
      <c r="BR56" s="938">
        <f t="shared" si="39"/>
        <v>0</v>
      </c>
      <c r="BS56" s="875">
        <f t="shared" si="24"/>
        <v>0</v>
      </c>
      <c r="BT56" s="875">
        <f>IF('Flächen u. Kulturen'!F61="",0,IF(N56=3,VLOOKUP('Flächen u. Kulturen'!F61,'#Boden'!$G$4:$J$8,'#Boden'!$J$1,FALSE),VLOOKUP('Flächen u. Kulturen'!F61,'#Boden'!$G$4:$J$8,'#Boden'!$I$1,FALSE)))</f>
        <v>0</v>
      </c>
      <c r="BU56" s="41">
        <f t="shared" si="25"/>
        <v>0</v>
      </c>
      <c r="BV56" s="875">
        <f t="shared" si="26"/>
        <v>0</v>
      </c>
      <c r="BW56" s="938" t="str">
        <f t="shared" si="16"/>
        <v/>
      </c>
      <c r="BX56" s="875">
        <f>'#orgDung'!T65*-1</f>
        <v>0</v>
      </c>
      <c r="BY56" s="875">
        <f t="shared" si="40"/>
        <v>0</v>
      </c>
      <c r="BZ56" s="938" t="str">
        <f>IF(U56&lt;&gt;"x",0,IF(P56&lt;4,"",(BW56+BX56-'#minDung'!N62)*-1))</f>
        <v/>
      </c>
      <c r="CB56" s="938">
        <f>IF(AND(AF56=70,U56="x"),'Flächen u. Kulturen'!A61,1000)</f>
        <v>1000</v>
      </c>
      <c r="CC56" s="875" t="str">
        <f>IF(AF56=70,VLOOKUP('Flächen u. Kulturen'!L61,Nebenkultur[[Nebenkultur]:[Legum. Zwischenfr.]],'#Zweitfr'!$I$1,FALSE),"--")</f>
        <v>--</v>
      </c>
      <c r="CD56" s="875" t="str">
        <f>IF(AF56=70,VLOOKUP('Flächen u. Kulturen'!L61,Nebenkultur[[Nebenkultur]:[Legum. Zwischenfr.]],'#Zweitfr'!$L$1,FALSE),"--")</f>
        <v>--</v>
      </c>
      <c r="CE56" s="875" t="str">
        <f>IF(AF56=70,VLOOKUP('Flächen u. Kulturen'!L61,Nebenkultur[[Nebenkultur]:[Legum. Zwischenfr.]],'#Zweitfr'!$M$1,FALSE),"--")</f>
        <v>--</v>
      </c>
      <c r="CF56" s="875" t="str">
        <f>IF(AF56=70,VLOOKUP('Flächen u. Kulturen'!L61,Nebenkultur[[Nebenkultur]:[Legum. Zwischenfr.]],'#Zweitfr'!$N$1,FALSE),"--")</f>
        <v>--</v>
      </c>
      <c r="CG56" s="875" t="str">
        <f>IF(AF56=70,VLOOKUP('Flächen u. Kulturen'!L61,Nebenkultur[[Nebenkultur]:[Legum. Zwischenfr.]],'#Zweitfr'!$O$1,FALSE),"--")</f>
        <v>--</v>
      </c>
      <c r="CH56" s="875" t="str">
        <f t="shared" si="41"/>
        <v>--</v>
      </c>
      <c r="CI56" s="938">
        <f>IF('Flächen u. Kulturen'!L61="",0,VLOOKUP('Flächen u. Kulturen'!L61,Nebenkultur[[Nebenkultur]:[Legum. Zwischenfr.]],'#Zweitfr'!$J$1,FALSE))</f>
        <v>0</v>
      </c>
      <c r="CJ56" s="875">
        <f t="shared" si="42"/>
        <v>0</v>
      </c>
      <c r="CK56" s="890">
        <f t="shared" si="43"/>
        <v>0</v>
      </c>
      <c r="CL56" s="938">
        <f>IF(AND(R56=1,AF56=70),'Flächen u. Kulturen'!W61*-1,0)</f>
        <v>0</v>
      </c>
      <c r="CM56" s="875">
        <f>'#orgDung'!AE65*-1</f>
        <v>0</v>
      </c>
      <c r="CN56" s="875">
        <f t="shared" si="27"/>
        <v>0</v>
      </c>
      <c r="CO56" s="875">
        <f t="shared" si="28"/>
        <v>0</v>
      </c>
      <c r="CP56" s="875">
        <f>'#Kürzungen'!AS181*-1</f>
        <v>0</v>
      </c>
      <c r="CQ56" s="875">
        <f t="shared" si="29"/>
        <v>0</v>
      </c>
      <c r="CR56" s="875">
        <f t="shared" si="30"/>
        <v>0</v>
      </c>
      <c r="CS56" s="875">
        <f>'#minDung'!R62</f>
        <v>0</v>
      </c>
      <c r="CT56" s="938">
        <f t="shared" si="18"/>
        <v>0</v>
      </c>
      <c r="CU56" s="52" t="str">
        <f>'#Kürzungen'!AQ181</f>
        <v xml:space="preserve"> </v>
      </c>
      <c r="CW56" s="247">
        <f>IF('Flächen u. Kulturen'!D61="",0,IF(ISNUMBER('Flächen u. Kulturen'!D61)=TRUE,2,1))</f>
        <v>0</v>
      </c>
      <c r="CX56" s="247">
        <f>IF('Flächen u. Kulturen'!E61="",0,COUNTIF('#Boden'!$B$47,'Flächen u. Kulturen'!E61)+1)</f>
        <v>2</v>
      </c>
      <c r="CY56" s="247">
        <f>IF('Flächen u. Kulturen'!F61="",0,COUNTIF('#Boden'!$G$4:$G$8,'Flächen u. Kulturen'!F61)+1)</f>
        <v>2</v>
      </c>
      <c r="CZ56" s="247">
        <f>IF('Flächen u. Kulturen'!G61="",0,COUNTIF('#Boden'!$B$26:$B$29,'Flächen u. Kulturen'!G61)+1)</f>
        <v>2</v>
      </c>
      <c r="DA56" s="247">
        <f>IF('Flächen u. Kulturen'!H61="",0,COUNTIF('#Boden'!$B$26:$B$29,'Flächen u. Kulturen'!H61)+1)</f>
        <v>2</v>
      </c>
      <c r="DB56" s="247">
        <f>IF('Flächen u. Kulturen'!I61="",0,COUNTIF('#Boden'!$B$9:$B$15,'Flächen u. Kulturen'!I61)+1)</f>
        <v>2</v>
      </c>
      <c r="DC56" s="247">
        <f>IF('Flächen u. Kulturen'!J61="",0,COUNTIF(Kulturen[HF],'Flächen u. Kulturen'!J61)+1)</f>
        <v>2</v>
      </c>
      <c r="DD56" s="247">
        <f>IF('Flächen u. Kulturen'!L61="",0,COUNTIF(Nebenkultur[Nebenkultur],'Flächen u. Kulturen'!L61)+1)</f>
        <v>2</v>
      </c>
      <c r="DE56" s="247">
        <f>IF('Flächen u. Kulturen'!M61="",0,COUNTIF('#Boden'!$G$17:$G$21,'Flächen u. Kulturen'!M61)+1)</f>
        <v>2</v>
      </c>
      <c r="DF56" s="247">
        <f>IF('Flächen u. Kulturen'!N61="",0,COUNTIF('#Boden'!$G$22:$G$24,'Flächen u. Kulturen'!N61)+1)</f>
        <v>2</v>
      </c>
      <c r="DG56" s="247">
        <f>IF('Flächen u. Kulturen'!P61="",0,COUNTIF(Kulturen[HF],'Flächen u. Kulturen'!P61)+1)</f>
        <v>2</v>
      </c>
      <c r="DH56" s="247">
        <f>IF('Flächen u. Kulturen'!T61="",0,COUNTIF('#Boden'!$B$30:$B$32,'Flächen u. Kulturen'!T61)+1)</f>
        <v>2</v>
      </c>
      <c r="DI56" s="247">
        <f>IF('Flächen u. Kulturen'!K61="",0,IF(ISNUMBER('Flächen u. Kulturen'!K61)=TRUE,2,1))</f>
        <v>0</v>
      </c>
      <c r="DJ56" s="247">
        <f>IF('Flächen u. Kulturen'!U61="",0,IF(ISNUMBER('Flächen u. Kulturen'!U61)=TRUE,2,1))</f>
        <v>0</v>
      </c>
      <c r="DK56" s="247">
        <f>IF('Flächen u. Kulturen'!V61="",0,IF(ISNUMBER('Flächen u. Kulturen'!V61)=TRUE,2,1))</f>
        <v>0</v>
      </c>
      <c r="DL56" s="247">
        <f>IF('Flächen u. Kulturen'!W61="",0,IF(ISNUMBER('Flächen u. Kulturen'!W61)=TRUE,2,1))</f>
        <v>0</v>
      </c>
      <c r="DM56" s="247">
        <f t="shared" si="31"/>
        <v>0</v>
      </c>
      <c r="DN56" s="247" t="s">
        <v>344</v>
      </c>
      <c r="DO56" s="247">
        <f>IF(U56&lt;&gt;"x","",IF(OR('Flächen u. Kulturen'!B61="",'Flächen u. Kulturen'!C61="",'Flächen u. Kulturen'!D61="",'Flächen u. Kulturen'!D61=0,'Flächen u. Kulturen'!F61="",'Flächen u. Kulturen'!F61='#Boden'!$G$4,'Flächen u. Kulturen'!G61="",'Flächen u. Kulturen'!G61='#Boden'!$B$26,'Flächen u. Kulturen'!H61="",'Flächen u. Kulturen'!H61='#Boden'!$B$23,AND(N56&lt;&gt;2,OR('Flächen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Kulturen'!Q61="",'#BerechnungDBE'!N56&lt;3),AND('Flächen u. Kulturen'!R61="",'#BerechnungDBE'!N56=3),AND(N56=1,AL56&gt;0,'Flächen u. Kulturen'!S61=""),AND(N56=1,OR('Flächen u. Kulturen'!T61="",'Flächen u. Kulturen'!T61='#Boden'!$B$30)),AND('#BerechnungDBE'!AF56=70,OR('Flächen u. Kulturen'!N61="",'Flächen u. Kulturen'!N61='#Boden'!$G$22,'Flächen u. Kulturen'!O61="")),AND('#BerechnungDBE'!AF56=80,OR('Flächen u. Kulturen'!M61="",'Flächen u. Kulturen'!M61='#Boden'!$G$17,'Flächen u. Kulturen'!N61="",'Flächen u. Kulturen'!N61='#Boden'!$G$22))),$DO$4,""))</f>
        <v>1</v>
      </c>
      <c r="DP56" s="247" t="str">
        <f>IF(U56&lt;&gt;"x","",IF(OR(LEFT('Flächen u. Kulturen'!J61,2)=" +",LEFT('Flächen u. Kulturen'!L61,2)=" +",LEFT('Flächen u. Kulturen'!P61,2)=" +"),$DP$4,""))</f>
        <v/>
      </c>
      <c r="DQ56" s="428" t="str">
        <f t="shared" si="44"/>
        <v/>
      </c>
      <c r="DR56" s="938" t="str">
        <f t="shared" si="45"/>
        <v/>
      </c>
      <c r="DS56" s="938" t="str">
        <f>IF('Flächen u. Kulturen'!X61="","",ROW('Flächen u. Kulturen'!X61))</f>
        <v/>
      </c>
    </row>
    <row r="57" spans="1:123" s="875" customFormat="1" x14ac:dyDescent="0.2">
      <c r="A57" s="875" t="str">
        <f>IF('Daten aus 2021'!H59="",'#Boden'!$B$26,IF('Daten aus 2021'!H59='#Boden'!$B$39,IF('Daten aus 2021'!F59='#Boden'!$B$29,'#Boden'!$B$29,IF('Daten aus 2021'!K59='#Boden'!$B$34,'#Boden'!$B$28,'#Boden'!$B$27)),'Daten aus 2021'!F59))</f>
        <v xml:space="preserve"> --</v>
      </c>
      <c r="B57" s="875" t="str">
        <f>IF('Daten aus 2021'!H59='#Boden'!$B$39,IF('Daten aus 2021'!L59='#Boden'!$B$61,'#Boden'!$B$11,'Daten aus 2021'!L59),IF('Daten aus 2021'!P59='#Boden'!$B$58,'#Boden'!$B$11,IF('Daten aus 2021'!P59='#Boden'!$B$57,'#Boden'!$B$10,'#Boden'!$B$9)))</f>
        <v xml:space="preserve"> --         </v>
      </c>
      <c r="C57" s="875" t="str">
        <f>IF('Daten aus 2021'!N59="","",VLOOKUP('Daten aus 2021'!N59,'#Boden'!$B$68:$C$89,2,FALSE))</f>
        <v/>
      </c>
      <c r="D57" s="875" t="str">
        <f>IF('Daten aus 2021'!M59="","",VLOOKUP('Daten aus 2021'!M59,'#Boden'!$D$69:$E$73,2,FALSE))</f>
        <v/>
      </c>
      <c r="E57" s="938" t="str">
        <f>IF(OR(C57='#Boden'!$C$68,C57='#Boden'!$C$70),C57,CONCATENATE(C57,D57))</f>
        <v/>
      </c>
      <c r="F57" s="882" t="str">
        <f>IFERROR(IF('Daten aus 2021'!H59="",'#Frucht'!$D$8,IF('Daten aus 2021'!H59='#Boden'!$B$39,E57,IF('Daten aus 2021'!H59='#Boden'!$B$38,IF(CONCATENATE(" ",'Daten aus 2021'!W59)=$B$2,VLOOKUP($B$3,'#Frucht'!$A$8:$D$372,4,FALSE),VLOOKUP(CONCATENATE(" ",'Daten aus 2021'!W59),'#Frucht'!$A$8:$D$372,4,FALSE)),IF(OR(LEFT('Daten aus 2021'!Q59,5)=" *10 ",LEFT('Daten aus 2021'!Q59,5)=" *11 ",LEFT('Daten aus 2021'!Q59,5)=" *12 ",LEFT('Daten aus 2021'!Q59,5)=" *13 ",LEFT('Daten aus 2021'!Q59,5)=" *14 ",LEFT('Daten aus 2021'!Q59,5)=" *15 "),VLOOKUP(RIGHT('Daten aus 2021'!Q59,LEN('Daten aus 2021'!Q59)-4),'#Frucht'!$A$8:$D$372,4,FALSE),IF(LEFT('Daten aus 2021'!Q59,2)=" *",VLOOKUP(RIGHT('Daten aus 2021'!Q59,LEN('Daten aus 2021'!Q59)-3),'#Frucht'!$A$8:$D$372,4,FALSE),VLOOKUP('Daten aus 2021'!Q59,'#Frucht'!$A$8:$D$372,4,FALSE)))))),'#Frucht'!$D$8)</f>
        <v xml:space="preserve"> --  </v>
      </c>
      <c r="G57" s="127"/>
      <c r="H57" s="31"/>
      <c r="J57" s="938" t="str">
        <f>IF(OR(N57=3,$K$3=0,'Flächen u. Kulturen'!P62=""),"",IF(VLOOKUP('Flächen u. Kulturen'!P62,Kulturen[[HF]:[780]],'#BerechnungDBE'!$K$3,FALSE)=".","",VLOOKUP('Flächen u. Kulturen'!P62,Kulturen[[HF]:[780]],'#BerechnungDBE'!$K$3,FALSE)))</f>
        <v/>
      </c>
      <c r="K57" s="938" t="str">
        <f>IF(OR($K$3=0,'Flächen u. Kulturen'!P62=""),"",IF(N57=3,IF(VLOOKUP('Flächen u. Kulturen'!P62,Kulturen[[HF]:[780]],'#BerechnungDBE'!$K$3,FALSE)=".","",VLOOKUP('Flächen u. Kulturen'!P62,Kulturen[[HF]:[780]],'#BerechnungDBE'!$K$3,FALSE)),""))</f>
        <v/>
      </c>
      <c r="L57" s="367">
        <f>IF('Flächen u. Kulturen'!D62="",0,'Flächen u. Kulturen'!D62)</f>
        <v>0</v>
      </c>
      <c r="M57" s="693">
        <f>IF('Flächen u. Kulturen'!J62="",0,VLOOKUP('Flächen u. Kulturen'!J62,Kulturen[[HF]:[Berechnungsgruppe]],'#Frucht'!$W$1,FALSE))</f>
        <v>1</v>
      </c>
      <c r="N57" s="693">
        <f>IF('Flächen u. Kulturen'!P62="",0,VLOOKUP('Flächen u. Kulturen'!P62,Kulturen[[HF]:[Berechnungsgruppe]],'#Frucht'!$W$1,FALSE))</f>
        <v>1</v>
      </c>
      <c r="O57" s="875">
        <f>IF(N57&lt;&gt;2,N57,IF('Flächen u. Kulturen'!J62='Flächen u. Kulturen'!P62,2,1))</f>
        <v>1</v>
      </c>
      <c r="P57" s="875">
        <f>IF('Flächen u. Kulturen'!F62="",0,VLOOKUP('Flächen u. Kulturen'!F62,'#Boden'!$G$4:$H$8,'#Boden'!$H$1,FALSE))</f>
        <v>1</v>
      </c>
      <c r="Q57" s="875">
        <f>IF('Flächen u. Kulturen'!G62="",0,VLOOKUP('Flächen u. Kulturen'!G62,'#Boden'!$B$26:$C$29,'#Boden'!$C$1,FALSE))</f>
        <v>1</v>
      </c>
      <c r="R57" s="875">
        <f t="shared" si="19"/>
        <v>1</v>
      </c>
      <c r="S57" s="875">
        <f t="shared" si="20"/>
        <v>1</v>
      </c>
      <c r="T57" s="875">
        <f>IF('Flächen u. Kulturen'!H62="",0,VLOOKUP('Flächen u. Kulturen'!H62,'#Boden'!$B$23:$C$25,'#Boden'!$C$1,FALSE))</f>
        <v>2</v>
      </c>
      <c r="U57" s="875" t="str">
        <f>'Flächen u. Kulturen'!E62</f>
        <v>x</v>
      </c>
      <c r="V57" s="938">
        <f>IF('Flächen u. Kulturen'!Q62="",0,_xlfn.NUMBERVALUE('Flächen u. Kulturen'!Q62))</f>
        <v>0</v>
      </c>
      <c r="W57" s="938">
        <f>IF('Flächen u. Kulturen'!R62="",0,_xlfn.NUMBERVALUE('Flächen u. Kulturen'!R62))</f>
        <v>0</v>
      </c>
      <c r="X57" s="875">
        <f>IF('Flächen u. Kulturen'!T62="",0,VLOOKUP('Flächen u. Kulturen'!T62,'#Boden'!$B$30:$C$32,'#Boden'!$C$1,FALSE))</f>
        <v>1</v>
      </c>
      <c r="Y57" s="875">
        <f>IF('Flächen u. Kulturen'!P62="",0,VLOOKUP('Flächen u. Kulturen'!P62,Kulturen[[HF]:[Berechnungsgruppe]],'#Frucht'!$N$1,FALSE))</f>
        <v>0</v>
      </c>
      <c r="Z57" s="875">
        <f t="shared" si="21"/>
        <v>2</v>
      </c>
      <c r="AA57" s="875">
        <f>IF('Flächen u. Kulturen'!P62="",0,VLOOKUP('Flächen u. Kulturen'!P62,Kulturen[[HF]:[Berechnungsgruppe]],'#Frucht'!$V$1,FALSE))</f>
        <v>0</v>
      </c>
      <c r="AB57" s="875">
        <f>IF(N57=1,VLOOKUP('Flächen u. Kulturen'!P62,Kulturen[[HF]:[Ernteprodukt]],'#Frucht'!$I$1,FALSE),4)</f>
        <v>4</v>
      </c>
      <c r="AC57" s="921">
        <f>IF('Flächen u. Kulturen'!J62="",0,VLOOKUP('Flächen u. Kulturen'!J62,Kulturen[[HF]:[Berechnungsgruppe]],'#Frucht'!$G$1,FALSE))</f>
        <v>90</v>
      </c>
      <c r="AD57" s="921">
        <f>IF('Flächen u. Kulturen'!P62="",0,VLOOKUP('Flächen u. Kulturen'!P62,Kulturen[[HF]:[Berechnungsgruppe]],'#Frucht'!$G$1,FALSE))</f>
        <v>90</v>
      </c>
      <c r="AE57" s="938">
        <f>IF('Flächen u. Kulturen'!P62="",0,VLOOKUP('Flächen u. Kulturen'!P62,Kulturen[[HF]:[SollwertMinusNfix]],'#Frucht'!$X$1,FALSE))</f>
        <v>0</v>
      </c>
      <c r="AF57" s="875">
        <f>IF('Flächen u. Kulturen'!L62="",0,VLOOKUP('Flächen u. Kulturen'!L62,Nebenkultur[[Nebenkultur]:[Berechnungsschema]],'#Zweitfr'!$G$1,FALSE))</f>
        <v>0</v>
      </c>
      <c r="AG57" s="875">
        <f>IF('Flächen u. Kulturen'!L62="",0,VLOOKUP('Flächen u. Kulturen'!L62,'#Zweitfr'!$D$8:$Q$27,'#Zweitfr'!$Q$1,FALSE))</f>
        <v>0</v>
      </c>
      <c r="AH57" s="875">
        <f>IF('Flächen u. Kulturen'!M62="",0,VLOOKUP('Flächen u. Kulturen'!M62,'#Boden'!$G$17:$H$21,2,FALSE))</f>
        <v>1</v>
      </c>
      <c r="AI57" s="875">
        <f>IF('Flächen u. Kulturen'!N62="",0,VLOOKUP('Flächen u. Kulturen'!N62,'#Boden'!$G$22:$H$24,'#Boden'!$H$1,FALSE))</f>
        <v>1</v>
      </c>
      <c r="AJ57" s="938">
        <f>IF('Flächen u. Kulturen'!O62="",0,_xlfn.NUMBERVALUE('Flächen u. Kulturen'!O62))</f>
        <v>0</v>
      </c>
      <c r="AK57" s="938">
        <f>IF('Flächen u. Kulturen'!L62="",0,VLOOKUP('Flächen u. Kulturen'!L62,Nebenkultur[[Nebenkultur]:[Legum. Zwischenfr.]],'#Zweitfr'!$P$1,FALSE))</f>
        <v>0</v>
      </c>
      <c r="AL57" s="875">
        <f>IF('Flächen u. Kulturen'!P62="",0,VLOOKUP('Flächen u. Kulturen'!P62,Kulturen[[HF]:[Berechnungsgruppe]],'#Frucht'!$Q$1,FALSE))</f>
        <v>0</v>
      </c>
      <c r="AM57" s="875">
        <f>IF('Flächen u. Kulturen'!P62="",0,VLOOKUP('Flächen u. Kulturen'!P62,Kulturen[[HF]:[Berechnungsgruppe]],'#Frucht'!$M$1,FALSE))</f>
        <v>0</v>
      </c>
      <c r="AN57" s="875">
        <f>IF('Flächen u. Kulturen'!P62="",1,VLOOKUP('Flächen u. Kulturen'!P62,Kulturen[[HF]:[Berechnungsgruppe]],'#Frucht'!$R$1,FALSE))</f>
        <v>10</v>
      </c>
      <c r="AO57" s="875">
        <f>IF('Flächen u. Kulturen'!P62="",0,VLOOKUP('Flächen u. Kulturen'!P62,Kulturen[[HF]:[Berechnungsgruppe]],'#Frucht'!$S$1,FALSE))</f>
        <v>0</v>
      </c>
      <c r="AP57" s="875">
        <f>IF('Flächen u. Kulturen'!P62="",0,VLOOKUP('Flächen u. Kulturen'!P62,Kulturen[[HF]:[Berechnungsgruppe]],'#Frucht'!$T$1,FALSE))</f>
        <v>0</v>
      </c>
      <c r="AQ57" s="938">
        <f t="shared" si="32"/>
        <v>0</v>
      </c>
      <c r="AR57" s="875">
        <f t="shared" si="33"/>
        <v>0</v>
      </c>
      <c r="AS57" s="938">
        <f t="shared" si="34"/>
        <v>0</v>
      </c>
      <c r="AT57" s="875">
        <f>IF(N57=1,'Flächen u. Kulturen'!S62*-1,"--")</f>
        <v>0</v>
      </c>
      <c r="AU57" s="938">
        <f>IF(OR(N57=2,'Flächen u. Kulturen'!I62=""),"--",IF(N57=3,VLOOKUP('Flächen u. Kulturen'!I62,'#Boden'!$B$9:$E$15,'#Boden'!$D$1,FALSE),VLOOKUP('Flächen u. Kulturen'!I62,'#Boden'!$B$9:$E$15,'#Boden'!$E$1,FALSE)))</f>
        <v>0</v>
      </c>
      <c r="AV57" s="938">
        <f>IF(N57=1,IF('Flächen u. Kulturen'!J62="",0,VLOOKUP('Flächen u. Kulturen'!J62,Kulturen[[HF]:[Berechnungsgruppe]],'#Frucht'!$U$1,FALSE)*-1),"--")</f>
        <v>0</v>
      </c>
      <c r="AW57" s="875">
        <f t="shared" si="35"/>
        <v>0</v>
      </c>
      <c r="AX57" s="875">
        <f>IF('Flächen u. Kulturen'!K62="",0,'Flächen u. Kulturen'!K62*-0.1)</f>
        <v>0</v>
      </c>
      <c r="AY57" s="875">
        <f>IF(N57&lt;3,'#orgDung'!AC66*0.1*-1,"--")</f>
        <v>0</v>
      </c>
      <c r="AZ57" s="31" t="str">
        <f>IF(AND('#orgDung'!J66&lt;&gt;2,'#orgDung'!F66=1),('#orgDung'!V66+'#minDung'!O63)*-1,"--")</f>
        <v>--</v>
      </c>
      <c r="BA57" s="875">
        <f t="shared" si="22"/>
        <v>0</v>
      </c>
      <c r="BB57" s="938">
        <f>IF(R57=2,0,'Flächen u. Kulturen'!V62*-1)</f>
        <v>0</v>
      </c>
      <c r="BC57" s="875">
        <f t="shared" si="23"/>
        <v>0</v>
      </c>
      <c r="BD57" s="127">
        <f>'#orgDung'!W66*-1</f>
        <v>0</v>
      </c>
      <c r="BE57" s="910">
        <f>'#orgDung'!AA66*-1</f>
        <v>0</v>
      </c>
      <c r="BF57" s="875">
        <f>'#orgDung'!Z66*-1</f>
        <v>0</v>
      </c>
      <c r="BG57" s="938">
        <f t="shared" si="14"/>
        <v>0</v>
      </c>
      <c r="BH57" s="875">
        <f>'#Kürzungen'!AS81*-1</f>
        <v>0</v>
      </c>
      <c r="BI57" s="875">
        <f t="shared" si="36"/>
        <v>0</v>
      </c>
      <c r="BJ57" s="910">
        <f t="shared" si="37"/>
        <v>0</v>
      </c>
      <c r="BK57" s="875">
        <f>'#minDung'!P63</f>
        <v>0</v>
      </c>
      <c r="BL57" s="938">
        <f t="shared" si="15"/>
        <v>0</v>
      </c>
      <c r="BM57" s="938">
        <f t="shared" si="38"/>
        <v>0</v>
      </c>
      <c r="BN57" s="875">
        <f>IF('Flächen u. Kulturen'!P62="",0,VLOOKUP('Flächen u. Kulturen'!P62,Kulturen[[HF]:[Berechnungsgruppe]],'#Frucht'!$K$1,FALSE))</f>
        <v>0</v>
      </c>
      <c r="BO57" s="875">
        <f>IF('Flächen u. Kulturen'!P62="",0,VLOOKUP('Flächen u. Kulturen'!P62,Kulturen[[HF]:[Berechnungsgruppe]],'#Frucht'!$L$1,FALSE))</f>
        <v>0</v>
      </c>
      <c r="BP57" s="875">
        <f>IF('Flächen u. Kulturen'!L62="",0,VLOOKUP('Flächen u. Kulturen'!L62,Nebenkultur[[Nebenkultur]:[Legum. Zwischenfr.]],'#Zweitfr'!$H$1,FALSE))</f>
        <v>0</v>
      </c>
      <c r="BQ57" s="938">
        <f>IF(N57=3,W57*BO57,IF('Flächen u. Kulturen'!T62='#Boden'!$B$32,V57*BN57,V57*BO57))</f>
        <v>0</v>
      </c>
      <c r="BR57" s="938">
        <f t="shared" si="39"/>
        <v>0</v>
      </c>
      <c r="BS57" s="875">
        <f t="shared" si="24"/>
        <v>0</v>
      </c>
      <c r="BT57" s="875">
        <f>IF('Flächen u. Kulturen'!F62="",0,IF(N57=3,VLOOKUP('Flächen u. Kulturen'!F62,'#Boden'!$G$4:$J$8,'#Boden'!$J$1,FALSE),VLOOKUP('Flächen u. Kulturen'!F62,'#Boden'!$G$4:$J$8,'#Boden'!$I$1,FALSE)))</f>
        <v>0</v>
      </c>
      <c r="BU57" s="41">
        <f t="shared" si="25"/>
        <v>0</v>
      </c>
      <c r="BV57" s="875">
        <f t="shared" si="26"/>
        <v>0</v>
      </c>
      <c r="BW57" s="938" t="str">
        <f t="shared" si="16"/>
        <v/>
      </c>
      <c r="BX57" s="875">
        <f>'#orgDung'!T66*-1</f>
        <v>0</v>
      </c>
      <c r="BY57" s="875">
        <f t="shared" si="40"/>
        <v>0</v>
      </c>
      <c r="BZ57" s="938" t="str">
        <f>IF(U57&lt;&gt;"x",0,IF(P57&lt;4,"",(BW57+BX57-'#minDung'!N63)*-1))</f>
        <v/>
      </c>
      <c r="CB57" s="938">
        <f>IF(AND(AF57=70,U57="x"),'Flächen u. Kulturen'!A62,1000)</f>
        <v>1000</v>
      </c>
      <c r="CC57" s="875" t="str">
        <f>IF(AF57=70,VLOOKUP('Flächen u. Kulturen'!L62,Nebenkultur[[Nebenkultur]:[Legum. Zwischenfr.]],'#Zweitfr'!$I$1,FALSE),"--")</f>
        <v>--</v>
      </c>
      <c r="CD57" s="875" t="str">
        <f>IF(AF57=70,VLOOKUP('Flächen u. Kulturen'!L62,Nebenkultur[[Nebenkultur]:[Legum. Zwischenfr.]],'#Zweitfr'!$L$1,FALSE),"--")</f>
        <v>--</v>
      </c>
      <c r="CE57" s="875" t="str">
        <f>IF(AF57=70,VLOOKUP('Flächen u. Kulturen'!L62,Nebenkultur[[Nebenkultur]:[Legum. Zwischenfr.]],'#Zweitfr'!$M$1,FALSE),"--")</f>
        <v>--</v>
      </c>
      <c r="CF57" s="875" t="str">
        <f>IF(AF57=70,VLOOKUP('Flächen u. Kulturen'!L62,Nebenkultur[[Nebenkultur]:[Legum. Zwischenfr.]],'#Zweitfr'!$N$1,FALSE),"--")</f>
        <v>--</v>
      </c>
      <c r="CG57" s="875" t="str">
        <f>IF(AF57=70,VLOOKUP('Flächen u. Kulturen'!L62,Nebenkultur[[Nebenkultur]:[Legum. Zwischenfr.]],'#Zweitfr'!$O$1,FALSE),"--")</f>
        <v>--</v>
      </c>
      <c r="CH57" s="875" t="str">
        <f t="shared" si="41"/>
        <v>--</v>
      </c>
      <c r="CI57" s="938">
        <f>IF('Flächen u. Kulturen'!L62="",0,VLOOKUP('Flächen u. Kulturen'!L62,Nebenkultur[[Nebenkultur]:[Legum. Zwischenfr.]],'#Zweitfr'!$J$1,FALSE))</f>
        <v>0</v>
      </c>
      <c r="CJ57" s="875">
        <f t="shared" si="42"/>
        <v>0</v>
      </c>
      <c r="CK57" s="890">
        <f t="shared" si="43"/>
        <v>0</v>
      </c>
      <c r="CL57" s="938">
        <f>IF(AND(R57=1,AF57=70),'Flächen u. Kulturen'!W62*-1,0)</f>
        <v>0</v>
      </c>
      <c r="CM57" s="875">
        <f>'#orgDung'!AE66*-1</f>
        <v>0</v>
      </c>
      <c r="CN57" s="875">
        <f t="shared" si="27"/>
        <v>0</v>
      </c>
      <c r="CO57" s="875">
        <f t="shared" si="28"/>
        <v>0</v>
      </c>
      <c r="CP57" s="875">
        <f>'#Kürzungen'!AS182*-1</f>
        <v>0</v>
      </c>
      <c r="CQ57" s="875">
        <f t="shared" si="29"/>
        <v>0</v>
      </c>
      <c r="CR57" s="875">
        <f t="shared" si="30"/>
        <v>0</v>
      </c>
      <c r="CS57" s="875">
        <f>'#minDung'!R63</f>
        <v>0</v>
      </c>
      <c r="CT57" s="938">
        <f t="shared" si="18"/>
        <v>0</v>
      </c>
      <c r="CU57" s="52" t="str">
        <f>'#Kürzungen'!AQ182</f>
        <v xml:space="preserve"> </v>
      </c>
      <c r="CW57" s="247">
        <f>IF('Flächen u. Kulturen'!D62="",0,IF(ISNUMBER('Flächen u. Kulturen'!D62)=TRUE,2,1))</f>
        <v>0</v>
      </c>
      <c r="CX57" s="247">
        <f>IF('Flächen u. Kulturen'!E62="",0,COUNTIF('#Boden'!$B$47,'Flächen u. Kulturen'!E62)+1)</f>
        <v>2</v>
      </c>
      <c r="CY57" s="247">
        <f>IF('Flächen u. Kulturen'!F62="",0,COUNTIF('#Boden'!$G$4:$G$8,'Flächen u. Kulturen'!F62)+1)</f>
        <v>2</v>
      </c>
      <c r="CZ57" s="247">
        <f>IF('Flächen u. Kulturen'!G62="",0,COUNTIF('#Boden'!$B$26:$B$29,'Flächen u. Kulturen'!G62)+1)</f>
        <v>2</v>
      </c>
      <c r="DA57" s="247">
        <f>IF('Flächen u. Kulturen'!H62="",0,COUNTIF('#Boden'!$B$26:$B$29,'Flächen u. Kulturen'!H62)+1)</f>
        <v>2</v>
      </c>
      <c r="DB57" s="247">
        <f>IF('Flächen u. Kulturen'!I62="",0,COUNTIF('#Boden'!$B$9:$B$15,'Flächen u. Kulturen'!I62)+1)</f>
        <v>2</v>
      </c>
      <c r="DC57" s="247">
        <f>IF('Flächen u. Kulturen'!J62="",0,COUNTIF(Kulturen[HF],'Flächen u. Kulturen'!J62)+1)</f>
        <v>2</v>
      </c>
      <c r="DD57" s="247">
        <f>IF('Flächen u. Kulturen'!L62="",0,COUNTIF(Nebenkultur[Nebenkultur],'Flächen u. Kulturen'!L62)+1)</f>
        <v>2</v>
      </c>
      <c r="DE57" s="247">
        <f>IF('Flächen u. Kulturen'!M62="",0,COUNTIF('#Boden'!$G$17:$G$21,'Flächen u. Kulturen'!M62)+1)</f>
        <v>2</v>
      </c>
      <c r="DF57" s="247">
        <f>IF('Flächen u. Kulturen'!N62="",0,COUNTIF('#Boden'!$G$22:$G$24,'Flächen u. Kulturen'!N62)+1)</f>
        <v>2</v>
      </c>
      <c r="DG57" s="247">
        <f>IF('Flächen u. Kulturen'!P62="",0,COUNTIF(Kulturen[HF],'Flächen u. Kulturen'!P62)+1)</f>
        <v>2</v>
      </c>
      <c r="DH57" s="247">
        <f>IF('Flächen u. Kulturen'!T62="",0,COUNTIF('#Boden'!$B$30:$B$32,'Flächen u. Kulturen'!T62)+1)</f>
        <v>2</v>
      </c>
      <c r="DI57" s="247">
        <f>IF('Flächen u. Kulturen'!K62="",0,IF(ISNUMBER('Flächen u. Kulturen'!K62)=TRUE,2,1))</f>
        <v>0</v>
      </c>
      <c r="DJ57" s="247">
        <f>IF('Flächen u. Kulturen'!U62="",0,IF(ISNUMBER('Flächen u. Kulturen'!U62)=TRUE,2,1))</f>
        <v>0</v>
      </c>
      <c r="DK57" s="247">
        <f>IF('Flächen u. Kulturen'!V62="",0,IF(ISNUMBER('Flächen u. Kulturen'!V62)=TRUE,2,1))</f>
        <v>0</v>
      </c>
      <c r="DL57" s="247">
        <f>IF('Flächen u. Kulturen'!W62="",0,IF(ISNUMBER('Flächen u. Kulturen'!W62)=TRUE,2,1))</f>
        <v>0</v>
      </c>
      <c r="DM57" s="247">
        <f t="shared" si="31"/>
        <v>0</v>
      </c>
      <c r="DN57" s="247" t="s">
        <v>344</v>
      </c>
      <c r="DO57" s="247">
        <f>IF(U57&lt;&gt;"x","",IF(OR('Flächen u. Kulturen'!B62="",'Flächen u. Kulturen'!C62="",'Flächen u. Kulturen'!D62="",'Flächen u. Kulturen'!D62=0,'Flächen u. Kulturen'!F62="",'Flächen u. Kulturen'!F62='#Boden'!$G$4,'Flächen u. Kulturen'!G62="",'Flächen u. Kulturen'!G62='#Boden'!$B$26,'Flächen u. Kulturen'!H62="",'Flächen u. Kulturen'!H62='#Boden'!$B$23,AND(N57&lt;&gt;2,OR('Flächen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Kulturen'!Q62="",'#BerechnungDBE'!N57&lt;3),AND('Flächen u. Kulturen'!R62="",'#BerechnungDBE'!N57=3),AND(N57=1,AL57&gt;0,'Flächen u. Kulturen'!S62=""),AND(N57=1,OR('Flächen u. Kulturen'!T62="",'Flächen u. Kulturen'!T62='#Boden'!$B$30)),AND('#BerechnungDBE'!AF57=70,OR('Flächen u. Kulturen'!N62="",'Flächen u. Kulturen'!N62='#Boden'!$G$22,'Flächen u. Kulturen'!O62="")),AND('#BerechnungDBE'!AF57=80,OR('Flächen u. Kulturen'!M62="",'Flächen u. Kulturen'!M62='#Boden'!$G$17,'Flächen u. Kulturen'!N62="",'Flächen u. Kulturen'!N62='#Boden'!$G$22))),$DO$4,""))</f>
        <v>1</v>
      </c>
      <c r="DP57" s="247" t="str">
        <f>IF(U57&lt;&gt;"x","",IF(OR(LEFT('Flächen u. Kulturen'!J62,2)=" +",LEFT('Flächen u. Kulturen'!L62,2)=" +",LEFT('Flächen u. Kulturen'!P62,2)=" +"),$DP$4,""))</f>
        <v/>
      </c>
      <c r="DQ57" s="428" t="str">
        <f t="shared" si="44"/>
        <v/>
      </c>
      <c r="DR57" s="938" t="str">
        <f t="shared" si="45"/>
        <v/>
      </c>
      <c r="DS57" s="938" t="str">
        <f>IF('Flächen u. Kulturen'!X62="","",ROW('Flächen u. Kulturen'!X62))</f>
        <v/>
      </c>
    </row>
    <row r="58" spans="1:123" s="875" customFormat="1" x14ac:dyDescent="0.2">
      <c r="A58" s="875" t="str">
        <f>IF('Daten aus 2021'!H60="",'#Boden'!$B$26,IF('Daten aus 2021'!H60='#Boden'!$B$39,IF('Daten aus 2021'!F60='#Boden'!$B$29,'#Boden'!$B$29,IF('Daten aus 2021'!K60='#Boden'!$B$34,'#Boden'!$B$28,'#Boden'!$B$27)),'Daten aus 2021'!F60))</f>
        <v xml:space="preserve"> --</v>
      </c>
      <c r="B58" s="875" t="str">
        <f>IF('Daten aus 2021'!H60='#Boden'!$B$39,IF('Daten aus 2021'!L60='#Boden'!$B$61,'#Boden'!$B$11,'Daten aus 2021'!L60),IF('Daten aus 2021'!P60='#Boden'!$B$58,'#Boden'!$B$11,IF('Daten aus 2021'!P60='#Boden'!$B$57,'#Boden'!$B$10,'#Boden'!$B$9)))</f>
        <v xml:space="preserve"> --         </v>
      </c>
      <c r="C58" s="875" t="str">
        <f>IF('Daten aus 2021'!N60="","",VLOOKUP('Daten aus 2021'!N60,'#Boden'!$B$68:$C$89,2,FALSE))</f>
        <v/>
      </c>
      <c r="D58" s="875" t="str">
        <f>IF('Daten aus 2021'!M60="","",VLOOKUP('Daten aus 2021'!M60,'#Boden'!$D$69:$E$73,2,FALSE))</f>
        <v/>
      </c>
      <c r="E58" s="938" t="str">
        <f>IF(OR(C58='#Boden'!$C$68,C58='#Boden'!$C$70),C58,CONCATENATE(C58,D58))</f>
        <v/>
      </c>
      <c r="F58" s="882" t="str">
        <f>IFERROR(IF('Daten aus 2021'!H60="",'#Frucht'!$D$8,IF('Daten aus 2021'!H60='#Boden'!$B$39,E58,IF('Daten aus 2021'!H60='#Boden'!$B$38,IF(CONCATENATE(" ",'Daten aus 2021'!W60)=$B$2,VLOOKUP($B$3,'#Frucht'!$A$8:$D$372,4,FALSE),VLOOKUP(CONCATENATE(" ",'Daten aus 2021'!W60),'#Frucht'!$A$8:$D$372,4,FALSE)),IF(OR(LEFT('Daten aus 2021'!Q60,5)=" *10 ",LEFT('Daten aus 2021'!Q60,5)=" *11 ",LEFT('Daten aus 2021'!Q60,5)=" *12 ",LEFT('Daten aus 2021'!Q60,5)=" *13 ",LEFT('Daten aus 2021'!Q60,5)=" *14 ",LEFT('Daten aus 2021'!Q60,5)=" *15 "),VLOOKUP(RIGHT('Daten aus 2021'!Q60,LEN('Daten aus 2021'!Q60)-4),'#Frucht'!$A$8:$D$372,4,FALSE),IF(LEFT('Daten aus 2021'!Q60,2)=" *",VLOOKUP(RIGHT('Daten aus 2021'!Q60,LEN('Daten aus 2021'!Q60)-3),'#Frucht'!$A$8:$D$372,4,FALSE),VLOOKUP('Daten aus 2021'!Q60,'#Frucht'!$A$8:$D$372,4,FALSE)))))),'#Frucht'!$D$8)</f>
        <v xml:space="preserve"> --  </v>
      </c>
      <c r="G58" s="127"/>
      <c r="H58" s="31"/>
      <c r="J58" s="938" t="str">
        <f>IF(OR(N58=3,$K$3=0,'Flächen u. Kulturen'!P63=""),"",IF(VLOOKUP('Flächen u. Kulturen'!P63,Kulturen[[HF]:[780]],'#BerechnungDBE'!$K$3,FALSE)=".","",VLOOKUP('Flächen u. Kulturen'!P63,Kulturen[[HF]:[780]],'#BerechnungDBE'!$K$3,FALSE)))</f>
        <v/>
      </c>
      <c r="K58" s="938" t="str">
        <f>IF(OR($K$3=0,'Flächen u. Kulturen'!P63=""),"",IF(N58=3,IF(VLOOKUP('Flächen u. Kulturen'!P63,Kulturen[[HF]:[780]],'#BerechnungDBE'!$K$3,FALSE)=".","",VLOOKUP('Flächen u. Kulturen'!P63,Kulturen[[HF]:[780]],'#BerechnungDBE'!$K$3,FALSE)),""))</f>
        <v/>
      </c>
      <c r="L58" s="367">
        <f>IF('Flächen u. Kulturen'!D63="",0,'Flächen u. Kulturen'!D63)</f>
        <v>0</v>
      </c>
      <c r="M58" s="693">
        <f>IF('Flächen u. Kulturen'!J63="",0,VLOOKUP('Flächen u. Kulturen'!J63,Kulturen[[HF]:[Berechnungsgruppe]],'#Frucht'!$W$1,FALSE))</f>
        <v>1</v>
      </c>
      <c r="N58" s="693">
        <f>IF('Flächen u. Kulturen'!P63="",0,VLOOKUP('Flächen u. Kulturen'!P63,Kulturen[[HF]:[Berechnungsgruppe]],'#Frucht'!$W$1,FALSE))</f>
        <v>1</v>
      </c>
      <c r="O58" s="875">
        <f>IF(N58&lt;&gt;2,N58,IF('Flächen u. Kulturen'!J63='Flächen u. Kulturen'!P63,2,1))</f>
        <v>1</v>
      </c>
      <c r="P58" s="875">
        <f>IF('Flächen u. Kulturen'!F63="",0,VLOOKUP('Flächen u. Kulturen'!F63,'#Boden'!$G$4:$H$8,'#Boden'!$H$1,FALSE))</f>
        <v>1</v>
      </c>
      <c r="Q58" s="875">
        <f>IF('Flächen u. Kulturen'!G63="",0,VLOOKUP('Flächen u. Kulturen'!G63,'#Boden'!$B$26:$C$29,'#Boden'!$C$1,FALSE))</f>
        <v>1</v>
      </c>
      <c r="R58" s="875">
        <f t="shared" si="19"/>
        <v>1</v>
      </c>
      <c r="S58" s="875">
        <f t="shared" si="20"/>
        <v>1</v>
      </c>
      <c r="T58" s="875">
        <f>IF('Flächen u. Kulturen'!H63="",0,VLOOKUP('Flächen u. Kulturen'!H63,'#Boden'!$B$23:$C$25,'#Boden'!$C$1,FALSE))</f>
        <v>2</v>
      </c>
      <c r="U58" s="875" t="str">
        <f>'Flächen u. Kulturen'!E63</f>
        <v>x</v>
      </c>
      <c r="V58" s="938">
        <f>IF('Flächen u. Kulturen'!Q63="",0,_xlfn.NUMBERVALUE('Flächen u. Kulturen'!Q63))</f>
        <v>0</v>
      </c>
      <c r="W58" s="938">
        <f>IF('Flächen u. Kulturen'!R63="",0,_xlfn.NUMBERVALUE('Flächen u. Kulturen'!R63))</f>
        <v>0</v>
      </c>
      <c r="X58" s="875">
        <f>IF('Flächen u. Kulturen'!T63="",0,VLOOKUP('Flächen u. Kulturen'!T63,'#Boden'!$B$30:$C$32,'#Boden'!$C$1,FALSE))</f>
        <v>1</v>
      </c>
      <c r="Y58" s="875">
        <f>IF('Flächen u. Kulturen'!P63="",0,VLOOKUP('Flächen u. Kulturen'!P63,Kulturen[[HF]:[Berechnungsgruppe]],'#Frucht'!$N$1,FALSE))</f>
        <v>0</v>
      </c>
      <c r="Z58" s="875">
        <f t="shared" si="21"/>
        <v>2</v>
      </c>
      <c r="AA58" s="875">
        <f>IF('Flächen u. Kulturen'!P63="",0,VLOOKUP('Flächen u. Kulturen'!P63,Kulturen[[HF]:[Berechnungsgruppe]],'#Frucht'!$V$1,FALSE))</f>
        <v>0</v>
      </c>
      <c r="AB58" s="875">
        <f>IF(N58=1,VLOOKUP('Flächen u. Kulturen'!P63,Kulturen[[HF]:[Ernteprodukt]],'#Frucht'!$I$1,FALSE),4)</f>
        <v>4</v>
      </c>
      <c r="AC58" s="921">
        <f>IF('Flächen u. Kulturen'!J63="",0,VLOOKUP('Flächen u. Kulturen'!J63,Kulturen[[HF]:[Berechnungsgruppe]],'#Frucht'!$G$1,FALSE))</f>
        <v>90</v>
      </c>
      <c r="AD58" s="921">
        <f>IF('Flächen u. Kulturen'!P63="",0,VLOOKUP('Flächen u. Kulturen'!P63,Kulturen[[HF]:[Berechnungsgruppe]],'#Frucht'!$G$1,FALSE))</f>
        <v>90</v>
      </c>
      <c r="AE58" s="938">
        <f>IF('Flächen u. Kulturen'!P63="",0,VLOOKUP('Flächen u. Kulturen'!P63,Kulturen[[HF]:[SollwertMinusNfix]],'#Frucht'!$X$1,FALSE))</f>
        <v>0</v>
      </c>
      <c r="AF58" s="875">
        <f>IF('Flächen u. Kulturen'!L63="",0,VLOOKUP('Flächen u. Kulturen'!L63,Nebenkultur[[Nebenkultur]:[Berechnungsschema]],'#Zweitfr'!$G$1,FALSE))</f>
        <v>0</v>
      </c>
      <c r="AG58" s="875">
        <f>IF('Flächen u. Kulturen'!L63="",0,VLOOKUP('Flächen u. Kulturen'!L63,'#Zweitfr'!$D$8:$Q$27,'#Zweitfr'!$Q$1,FALSE))</f>
        <v>0</v>
      </c>
      <c r="AH58" s="875">
        <f>IF('Flächen u. Kulturen'!M63="",0,VLOOKUP('Flächen u. Kulturen'!M63,'#Boden'!$G$17:$H$21,2,FALSE))</f>
        <v>1</v>
      </c>
      <c r="AI58" s="875">
        <f>IF('Flächen u. Kulturen'!N63="",0,VLOOKUP('Flächen u. Kulturen'!N63,'#Boden'!$G$22:$H$24,'#Boden'!$H$1,FALSE))</f>
        <v>1</v>
      </c>
      <c r="AJ58" s="938">
        <f>IF('Flächen u. Kulturen'!O63="",0,_xlfn.NUMBERVALUE('Flächen u. Kulturen'!O63))</f>
        <v>0</v>
      </c>
      <c r="AK58" s="938">
        <f>IF('Flächen u. Kulturen'!L63="",0,VLOOKUP('Flächen u. Kulturen'!L63,Nebenkultur[[Nebenkultur]:[Legum. Zwischenfr.]],'#Zweitfr'!$P$1,FALSE))</f>
        <v>0</v>
      </c>
      <c r="AL58" s="875">
        <f>IF('Flächen u. Kulturen'!P63="",0,VLOOKUP('Flächen u. Kulturen'!P63,Kulturen[[HF]:[Berechnungsgruppe]],'#Frucht'!$Q$1,FALSE))</f>
        <v>0</v>
      </c>
      <c r="AM58" s="875">
        <f>IF('Flächen u. Kulturen'!P63="",0,VLOOKUP('Flächen u. Kulturen'!P63,Kulturen[[HF]:[Berechnungsgruppe]],'#Frucht'!$M$1,FALSE))</f>
        <v>0</v>
      </c>
      <c r="AN58" s="875">
        <f>IF('Flächen u. Kulturen'!P63="",1,VLOOKUP('Flächen u. Kulturen'!P63,Kulturen[[HF]:[Berechnungsgruppe]],'#Frucht'!$R$1,FALSE))</f>
        <v>10</v>
      </c>
      <c r="AO58" s="875">
        <f>IF('Flächen u. Kulturen'!P63="",0,VLOOKUP('Flächen u. Kulturen'!P63,Kulturen[[HF]:[Berechnungsgruppe]],'#Frucht'!$S$1,FALSE))</f>
        <v>0</v>
      </c>
      <c r="AP58" s="875">
        <f>IF('Flächen u. Kulturen'!P63="",0,VLOOKUP('Flächen u. Kulturen'!P63,Kulturen[[HF]:[Berechnungsgruppe]],'#Frucht'!$T$1,FALSE))</f>
        <v>0</v>
      </c>
      <c r="AQ58" s="938">
        <f t="shared" si="32"/>
        <v>0</v>
      </c>
      <c r="AR58" s="875">
        <f t="shared" si="33"/>
        <v>0</v>
      </c>
      <c r="AS58" s="938">
        <f t="shared" si="34"/>
        <v>0</v>
      </c>
      <c r="AT58" s="875">
        <f>IF(N58=1,'Flächen u. Kulturen'!S63*-1,"--")</f>
        <v>0</v>
      </c>
      <c r="AU58" s="938">
        <f>IF(OR(N58=2,'Flächen u. Kulturen'!I63=""),"--",IF(N58=3,VLOOKUP('Flächen u. Kulturen'!I63,'#Boden'!$B$9:$E$15,'#Boden'!$D$1,FALSE),VLOOKUP('Flächen u. Kulturen'!I63,'#Boden'!$B$9:$E$15,'#Boden'!$E$1,FALSE)))</f>
        <v>0</v>
      </c>
      <c r="AV58" s="938">
        <f>IF(N58=1,IF('Flächen u. Kulturen'!J63="",0,VLOOKUP('Flächen u. Kulturen'!J63,Kulturen[[HF]:[Berechnungsgruppe]],'#Frucht'!$U$1,FALSE)*-1),"--")</f>
        <v>0</v>
      </c>
      <c r="AW58" s="875">
        <f t="shared" si="35"/>
        <v>0</v>
      </c>
      <c r="AX58" s="875">
        <f>IF('Flächen u. Kulturen'!K63="",0,'Flächen u. Kulturen'!K63*-0.1)</f>
        <v>0</v>
      </c>
      <c r="AY58" s="875">
        <f>IF(N58&lt;3,'#orgDung'!AC67*0.1*-1,"--")</f>
        <v>0</v>
      </c>
      <c r="AZ58" s="31" t="str">
        <f>IF(AND('#orgDung'!J67&lt;&gt;2,'#orgDung'!F67=1),('#orgDung'!V67+'#minDung'!O64)*-1,"--")</f>
        <v>--</v>
      </c>
      <c r="BA58" s="875">
        <f t="shared" si="22"/>
        <v>0</v>
      </c>
      <c r="BB58" s="938">
        <f>IF(R58=2,0,'Flächen u. Kulturen'!V63*-1)</f>
        <v>0</v>
      </c>
      <c r="BC58" s="875">
        <f t="shared" si="23"/>
        <v>0</v>
      </c>
      <c r="BD58" s="127">
        <f>'#orgDung'!W67*-1</f>
        <v>0</v>
      </c>
      <c r="BE58" s="910">
        <f>'#orgDung'!AA67*-1</f>
        <v>0</v>
      </c>
      <c r="BF58" s="875">
        <f>'#orgDung'!Z67*-1</f>
        <v>0</v>
      </c>
      <c r="BG58" s="938">
        <f t="shared" si="14"/>
        <v>0</v>
      </c>
      <c r="BH58" s="875">
        <f>'#Kürzungen'!AS82*-1</f>
        <v>0</v>
      </c>
      <c r="BI58" s="875">
        <f t="shared" si="36"/>
        <v>0</v>
      </c>
      <c r="BJ58" s="910">
        <f t="shared" si="37"/>
        <v>0</v>
      </c>
      <c r="BK58" s="875">
        <f>'#minDung'!P64</f>
        <v>0</v>
      </c>
      <c r="BL58" s="938">
        <f t="shared" si="15"/>
        <v>0</v>
      </c>
      <c r="BM58" s="938">
        <f t="shared" si="38"/>
        <v>0</v>
      </c>
      <c r="BN58" s="875">
        <f>IF('Flächen u. Kulturen'!P63="",0,VLOOKUP('Flächen u. Kulturen'!P63,Kulturen[[HF]:[Berechnungsgruppe]],'#Frucht'!$K$1,FALSE))</f>
        <v>0</v>
      </c>
      <c r="BO58" s="875">
        <f>IF('Flächen u. Kulturen'!P63="",0,VLOOKUP('Flächen u. Kulturen'!P63,Kulturen[[HF]:[Berechnungsgruppe]],'#Frucht'!$L$1,FALSE))</f>
        <v>0</v>
      </c>
      <c r="BP58" s="875">
        <f>IF('Flächen u. Kulturen'!L63="",0,VLOOKUP('Flächen u. Kulturen'!L63,Nebenkultur[[Nebenkultur]:[Legum. Zwischenfr.]],'#Zweitfr'!$H$1,FALSE))</f>
        <v>0</v>
      </c>
      <c r="BQ58" s="938">
        <f>IF(N58=3,W58*BO58,IF('Flächen u. Kulturen'!T63='#Boden'!$B$32,V58*BN58,V58*BO58))</f>
        <v>0</v>
      </c>
      <c r="BR58" s="938">
        <f t="shared" si="39"/>
        <v>0</v>
      </c>
      <c r="BS58" s="875">
        <f t="shared" si="24"/>
        <v>0</v>
      </c>
      <c r="BT58" s="875">
        <f>IF('Flächen u. Kulturen'!F63="",0,IF(N58=3,VLOOKUP('Flächen u. Kulturen'!F63,'#Boden'!$G$4:$J$8,'#Boden'!$J$1,FALSE),VLOOKUP('Flächen u. Kulturen'!F63,'#Boden'!$G$4:$J$8,'#Boden'!$I$1,FALSE)))</f>
        <v>0</v>
      </c>
      <c r="BU58" s="41">
        <f t="shared" si="25"/>
        <v>0</v>
      </c>
      <c r="BV58" s="875">
        <f t="shared" si="26"/>
        <v>0</v>
      </c>
      <c r="BW58" s="938" t="str">
        <f t="shared" si="16"/>
        <v/>
      </c>
      <c r="BX58" s="875">
        <f>'#orgDung'!T67*-1</f>
        <v>0</v>
      </c>
      <c r="BY58" s="875">
        <f t="shared" si="40"/>
        <v>0</v>
      </c>
      <c r="BZ58" s="938" t="str">
        <f>IF(U58&lt;&gt;"x",0,IF(P58&lt;4,"",(BW58+BX58-'#minDung'!N64)*-1))</f>
        <v/>
      </c>
      <c r="CB58" s="938">
        <f>IF(AND(AF58=70,U58="x"),'Flächen u. Kulturen'!A63,1000)</f>
        <v>1000</v>
      </c>
      <c r="CC58" s="875" t="str">
        <f>IF(AF58=70,VLOOKUP('Flächen u. Kulturen'!L63,Nebenkultur[[Nebenkultur]:[Legum. Zwischenfr.]],'#Zweitfr'!$I$1,FALSE),"--")</f>
        <v>--</v>
      </c>
      <c r="CD58" s="875" t="str">
        <f>IF(AF58=70,VLOOKUP('Flächen u. Kulturen'!L63,Nebenkultur[[Nebenkultur]:[Legum. Zwischenfr.]],'#Zweitfr'!$L$1,FALSE),"--")</f>
        <v>--</v>
      </c>
      <c r="CE58" s="875" t="str">
        <f>IF(AF58=70,VLOOKUP('Flächen u. Kulturen'!L63,Nebenkultur[[Nebenkultur]:[Legum. Zwischenfr.]],'#Zweitfr'!$M$1,FALSE),"--")</f>
        <v>--</v>
      </c>
      <c r="CF58" s="875" t="str">
        <f>IF(AF58=70,VLOOKUP('Flächen u. Kulturen'!L63,Nebenkultur[[Nebenkultur]:[Legum. Zwischenfr.]],'#Zweitfr'!$N$1,FALSE),"--")</f>
        <v>--</v>
      </c>
      <c r="CG58" s="875" t="str">
        <f>IF(AF58=70,VLOOKUP('Flächen u. Kulturen'!L63,Nebenkultur[[Nebenkultur]:[Legum. Zwischenfr.]],'#Zweitfr'!$O$1,FALSE),"--")</f>
        <v>--</v>
      </c>
      <c r="CH58" s="875" t="str">
        <f t="shared" si="41"/>
        <v>--</v>
      </c>
      <c r="CI58" s="938">
        <f>IF('Flächen u. Kulturen'!L63="",0,VLOOKUP('Flächen u. Kulturen'!L63,Nebenkultur[[Nebenkultur]:[Legum. Zwischenfr.]],'#Zweitfr'!$J$1,FALSE))</f>
        <v>0</v>
      </c>
      <c r="CJ58" s="875">
        <f t="shared" si="42"/>
        <v>0</v>
      </c>
      <c r="CK58" s="890">
        <f t="shared" si="43"/>
        <v>0</v>
      </c>
      <c r="CL58" s="938">
        <f>IF(AND(R58=1,AF58=70),'Flächen u. Kulturen'!W63*-1,0)</f>
        <v>0</v>
      </c>
      <c r="CM58" s="875">
        <f>'#orgDung'!AE67*-1</f>
        <v>0</v>
      </c>
      <c r="CN58" s="875">
        <f t="shared" si="27"/>
        <v>0</v>
      </c>
      <c r="CO58" s="875">
        <f t="shared" si="28"/>
        <v>0</v>
      </c>
      <c r="CP58" s="875">
        <f>'#Kürzungen'!AS183*-1</f>
        <v>0</v>
      </c>
      <c r="CQ58" s="875">
        <f t="shared" si="29"/>
        <v>0</v>
      </c>
      <c r="CR58" s="875">
        <f t="shared" si="30"/>
        <v>0</v>
      </c>
      <c r="CS58" s="875">
        <f>'#minDung'!R64</f>
        <v>0</v>
      </c>
      <c r="CT58" s="938">
        <f t="shared" si="18"/>
        <v>0</v>
      </c>
      <c r="CU58" s="52" t="str">
        <f>'#Kürzungen'!AQ183</f>
        <v xml:space="preserve"> </v>
      </c>
      <c r="CW58" s="247">
        <f>IF('Flächen u. Kulturen'!D63="",0,IF(ISNUMBER('Flächen u. Kulturen'!D63)=TRUE,2,1))</f>
        <v>0</v>
      </c>
      <c r="CX58" s="247">
        <f>IF('Flächen u. Kulturen'!E63="",0,COUNTIF('#Boden'!$B$47,'Flächen u. Kulturen'!E63)+1)</f>
        <v>2</v>
      </c>
      <c r="CY58" s="247">
        <f>IF('Flächen u. Kulturen'!F63="",0,COUNTIF('#Boden'!$G$4:$G$8,'Flächen u. Kulturen'!F63)+1)</f>
        <v>2</v>
      </c>
      <c r="CZ58" s="247">
        <f>IF('Flächen u. Kulturen'!G63="",0,COUNTIF('#Boden'!$B$26:$B$29,'Flächen u. Kulturen'!G63)+1)</f>
        <v>2</v>
      </c>
      <c r="DA58" s="247">
        <f>IF('Flächen u. Kulturen'!H63="",0,COUNTIF('#Boden'!$B$26:$B$29,'Flächen u. Kulturen'!H63)+1)</f>
        <v>2</v>
      </c>
      <c r="DB58" s="247">
        <f>IF('Flächen u. Kulturen'!I63="",0,COUNTIF('#Boden'!$B$9:$B$15,'Flächen u. Kulturen'!I63)+1)</f>
        <v>2</v>
      </c>
      <c r="DC58" s="247">
        <f>IF('Flächen u. Kulturen'!J63="",0,COUNTIF(Kulturen[HF],'Flächen u. Kulturen'!J63)+1)</f>
        <v>2</v>
      </c>
      <c r="DD58" s="247">
        <f>IF('Flächen u. Kulturen'!L63="",0,COUNTIF(Nebenkultur[Nebenkultur],'Flächen u. Kulturen'!L63)+1)</f>
        <v>2</v>
      </c>
      <c r="DE58" s="247">
        <f>IF('Flächen u. Kulturen'!M63="",0,COUNTIF('#Boden'!$G$17:$G$21,'Flächen u. Kulturen'!M63)+1)</f>
        <v>2</v>
      </c>
      <c r="DF58" s="247">
        <f>IF('Flächen u. Kulturen'!N63="",0,COUNTIF('#Boden'!$G$22:$G$24,'Flächen u. Kulturen'!N63)+1)</f>
        <v>2</v>
      </c>
      <c r="DG58" s="247">
        <f>IF('Flächen u. Kulturen'!P63="",0,COUNTIF(Kulturen[HF],'Flächen u. Kulturen'!P63)+1)</f>
        <v>2</v>
      </c>
      <c r="DH58" s="247">
        <f>IF('Flächen u. Kulturen'!T63="",0,COUNTIF('#Boden'!$B$30:$B$32,'Flächen u. Kulturen'!T63)+1)</f>
        <v>2</v>
      </c>
      <c r="DI58" s="247">
        <f>IF('Flächen u. Kulturen'!K63="",0,IF(ISNUMBER('Flächen u. Kulturen'!K63)=TRUE,2,1))</f>
        <v>0</v>
      </c>
      <c r="DJ58" s="247">
        <f>IF('Flächen u. Kulturen'!U63="",0,IF(ISNUMBER('Flächen u. Kulturen'!U63)=TRUE,2,1))</f>
        <v>0</v>
      </c>
      <c r="DK58" s="247">
        <f>IF('Flächen u. Kulturen'!V63="",0,IF(ISNUMBER('Flächen u. Kulturen'!V63)=TRUE,2,1))</f>
        <v>0</v>
      </c>
      <c r="DL58" s="247">
        <f>IF('Flächen u. Kulturen'!W63="",0,IF(ISNUMBER('Flächen u. Kulturen'!W63)=TRUE,2,1))</f>
        <v>0</v>
      </c>
      <c r="DM58" s="247">
        <f t="shared" si="31"/>
        <v>0</v>
      </c>
      <c r="DN58" s="247" t="s">
        <v>344</v>
      </c>
      <c r="DO58" s="247">
        <f>IF(U58&lt;&gt;"x","",IF(OR('Flächen u. Kulturen'!B63="",'Flächen u. Kulturen'!C63="",'Flächen u. Kulturen'!D63="",'Flächen u. Kulturen'!D63=0,'Flächen u. Kulturen'!F63="",'Flächen u. Kulturen'!F63='#Boden'!$G$4,'Flächen u. Kulturen'!G63="",'Flächen u. Kulturen'!G63='#Boden'!$B$26,'Flächen u. Kulturen'!H63="",'Flächen u. Kulturen'!H63='#Boden'!$B$23,AND(N58&lt;&gt;2,OR('Flächen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Kulturen'!Q63="",'#BerechnungDBE'!N58&lt;3),AND('Flächen u. Kulturen'!R63="",'#BerechnungDBE'!N58=3),AND(N58=1,AL58&gt;0,'Flächen u. Kulturen'!S63=""),AND(N58=1,OR('Flächen u. Kulturen'!T63="",'Flächen u. Kulturen'!T63='#Boden'!$B$30)),AND('#BerechnungDBE'!AF58=70,OR('Flächen u. Kulturen'!N63="",'Flächen u. Kulturen'!N63='#Boden'!$G$22,'Flächen u. Kulturen'!O63="")),AND('#BerechnungDBE'!AF58=80,OR('Flächen u. Kulturen'!M63="",'Flächen u. Kulturen'!M63='#Boden'!$G$17,'Flächen u. Kulturen'!N63="",'Flächen u. Kulturen'!N63='#Boden'!$G$22))),$DO$4,""))</f>
        <v>1</v>
      </c>
      <c r="DP58" s="247" t="str">
        <f>IF(U58&lt;&gt;"x","",IF(OR(LEFT('Flächen u. Kulturen'!J63,2)=" +",LEFT('Flächen u. Kulturen'!L63,2)=" +",LEFT('Flächen u. Kulturen'!P63,2)=" +"),$DP$4,""))</f>
        <v/>
      </c>
      <c r="DQ58" s="428" t="str">
        <f t="shared" si="44"/>
        <v/>
      </c>
      <c r="DR58" s="938" t="str">
        <f t="shared" si="45"/>
        <v/>
      </c>
      <c r="DS58" s="938" t="str">
        <f>IF('Flächen u. Kulturen'!X63="","",ROW('Flächen u. Kulturen'!X63))</f>
        <v/>
      </c>
    </row>
    <row r="59" spans="1:123" s="875" customFormat="1" x14ac:dyDescent="0.2">
      <c r="A59" s="875" t="str">
        <f>IF('Daten aus 2021'!H61="",'#Boden'!$B$26,IF('Daten aus 2021'!H61='#Boden'!$B$39,IF('Daten aus 2021'!F61='#Boden'!$B$29,'#Boden'!$B$29,IF('Daten aus 2021'!K61='#Boden'!$B$34,'#Boden'!$B$28,'#Boden'!$B$27)),'Daten aus 2021'!F61))</f>
        <v xml:space="preserve"> --</v>
      </c>
      <c r="B59" s="875" t="str">
        <f>IF('Daten aus 2021'!H61='#Boden'!$B$39,IF('Daten aus 2021'!L61='#Boden'!$B$61,'#Boden'!$B$11,'Daten aus 2021'!L61),IF('Daten aus 2021'!P61='#Boden'!$B$58,'#Boden'!$B$11,IF('Daten aus 2021'!P61='#Boden'!$B$57,'#Boden'!$B$10,'#Boden'!$B$9)))</f>
        <v xml:space="preserve"> --         </v>
      </c>
      <c r="C59" s="875" t="str">
        <f>IF('Daten aus 2021'!N61="","",VLOOKUP('Daten aus 2021'!N61,'#Boden'!$B$68:$C$89,2,FALSE))</f>
        <v/>
      </c>
      <c r="D59" s="875" t="str">
        <f>IF('Daten aus 2021'!M61="","",VLOOKUP('Daten aus 2021'!M61,'#Boden'!$D$69:$E$73,2,FALSE))</f>
        <v/>
      </c>
      <c r="E59" s="938" t="str">
        <f>IF(OR(C59='#Boden'!$C$68,C59='#Boden'!$C$70),C59,CONCATENATE(C59,D59))</f>
        <v/>
      </c>
      <c r="F59" s="882" t="str">
        <f>IFERROR(IF('Daten aus 2021'!H61="",'#Frucht'!$D$8,IF('Daten aus 2021'!H61='#Boden'!$B$39,E59,IF('Daten aus 2021'!H61='#Boden'!$B$38,IF(CONCATENATE(" ",'Daten aus 2021'!W61)=$B$2,VLOOKUP($B$3,'#Frucht'!$A$8:$D$372,4,FALSE),VLOOKUP(CONCATENATE(" ",'Daten aus 2021'!W61),'#Frucht'!$A$8:$D$372,4,FALSE)),IF(OR(LEFT('Daten aus 2021'!Q61,5)=" *10 ",LEFT('Daten aus 2021'!Q61,5)=" *11 ",LEFT('Daten aus 2021'!Q61,5)=" *12 ",LEFT('Daten aus 2021'!Q61,5)=" *13 ",LEFT('Daten aus 2021'!Q61,5)=" *14 ",LEFT('Daten aus 2021'!Q61,5)=" *15 "),VLOOKUP(RIGHT('Daten aus 2021'!Q61,LEN('Daten aus 2021'!Q61)-4),'#Frucht'!$A$8:$D$372,4,FALSE),IF(LEFT('Daten aus 2021'!Q61,2)=" *",VLOOKUP(RIGHT('Daten aus 2021'!Q61,LEN('Daten aus 2021'!Q61)-3),'#Frucht'!$A$8:$D$372,4,FALSE),VLOOKUP('Daten aus 2021'!Q61,'#Frucht'!$A$8:$D$372,4,FALSE)))))),'#Frucht'!$D$8)</f>
        <v xml:space="preserve"> --  </v>
      </c>
      <c r="G59" s="127"/>
      <c r="H59" s="31"/>
      <c r="J59" s="938" t="str">
        <f>IF(OR(N59=3,$K$3=0,'Flächen u. Kulturen'!P64=""),"",IF(VLOOKUP('Flächen u. Kulturen'!P64,Kulturen[[HF]:[780]],'#BerechnungDBE'!$K$3,FALSE)=".","",VLOOKUP('Flächen u. Kulturen'!P64,Kulturen[[HF]:[780]],'#BerechnungDBE'!$K$3,FALSE)))</f>
        <v/>
      </c>
      <c r="K59" s="938" t="str">
        <f>IF(OR($K$3=0,'Flächen u. Kulturen'!P64=""),"",IF(N59=3,IF(VLOOKUP('Flächen u. Kulturen'!P64,Kulturen[[HF]:[780]],'#BerechnungDBE'!$K$3,FALSE)=".","",VLOOKUP('Flächen u. Kulturen'!P64,Kulturen[[HF]:[780]],'#BerechnungDBE'!$K$3,FALSE)),""))</f>
        <v/>
      </c>
      <c r="L59" s="367">
        <f>IF('Flächen u. Kulturen'!D64="",0,'Flächen u. Kulturen'!D64)</f>
        <v>0</v>
      </c>
      <c r="M59" s="693">
        <f>IF('Flächen u. Kulturen'!J64="",0,VLOOKUP('Flächen u. Kulturen'!J64,Kulturen[[HF]:[Berechnungsgruppe]],'#Frucht'!$W$1,FALSE))</f>
        <v>1</v>
      </c>
      <c r="N59" s="693">
        <f>IF('Flächen u. Kulturen'!P64="",0,VLOOKUP('Flächen u. Kulturen'!P64,Kulturen[[HF]:[Berechnungsgruppe]],'#Frucht'!$W$1,FALSE))</f>
        <v>1</v>
      </c>
      <c r="O59" s="875">
        <f>IF(N59&lt;&gt;2,N59,IF('Flächen u. Kulturen'!J64='Flächen u. Kulturen'!P64,2,1))</f>
        <v>1</v>
      </c>
      <c r="P59" s="875">
        <f>IF('Flächen u. Kulturen'!F64="",0,VLOOKUP('Flächen u. Kulturen'!F64,'#Boden'!$G$4:$H$8,'#Boden'!$H$1,FALSE))</f>
        <v>1</v>
      </c>
      <c r="Q59" s="875">
        <f>IF('Flächen u. Kulturen'!G64="",0,VLOOKUP('Flächen u. Kulturen'!G64,'#Boden'!$B$26:$C$29,'#Boden'!$C$1,FALSE))</f>
        <v>1</v>
      </c>
      <c r="R59" s="875">
        <f t="shared" si="19"/>
        <v>1</v>
      </c>
      <c r="S59" s="875">
        <f t="shared" si="20"/>
        <v>1</v>
      </c>
      <c r="T59" s="875">
        <f>IF('Flächen u. Kulturen'!H64="",0,VLOOKUP('Flächen u. Kulturen'!H64,'#Boden'!$B$23:$C$25,'#Boden'!$C$1,FALSE))</f>
        <v>2</v>
      </c>
      <c r="U59" s="875" t="str">
        <f>'Flächen u. Kulturen'!E64</f>
        <v>x</v>
      </c>
      <c r="V59" s="938">
        <f>IF('Flächen u. Kulturen'!Q64="",0,_xlfn.NUMBERVALUE('Flächen u. Kulturen'!Q64))</f>
        <v>0</v>
      </c>
      <c r="W59" s="938">
        <f>IF('Flächen u. Kulturen'!R64="",0,_xlfn.NUMBERVALUE('Flächen u. Kulturen'!R64))</f>
        <v>0</v>
      </c>
      <c r="X59" s="875">
        <f>IF('Flächen u. Kulturen'!T64="",0,VLOOKUP('Flächen u. Kulturen'!T64,'#Boden'!$B$30:$C$32,'#Boden'!$C$1,FALSE))</f>
        <v>1</v>
      </c>
      <c r="Y59" s="875">
        <f>IF('Flächen u. Kulturen'!P64="",0,VLOOKUP('Flächen u. Kulturen'!P64,Kulturen[[HF]:[Berechnungsgruppe]],'#Frucht'!$N$1,FALSE))</f>
        <v>0</v>
      </c>
      <c r="Z59" s="875">
        <f t="shared" si="21"/>
        <v>2</v>
      </c>
      <c r="AA59" s="875">
        <f>IF('Flächen u. Kulturen'!P64="",0,VLOOKUP('Flächen u. Kulturen'!P64,Kulturen[[HF]:[Berechnungsgruppe]],'#Frucht'!$V$1,FALSE))</f>
        <v>0</v>
      </c>
      <c r="AB59" s="875">
        <f>IF(N59=1,VLOOKUP('Flächen u. Kulturen'!P64,Kulturen[[HF]:[Ernteprodukt]],'#Frucht'!$I$1,FALSE),4)</f>
        <v>4</v>
      </c>
      <c r="AC59" s="921">
        <f>IF('Flächen u. Kulturen'!J64="",0,VLOOKUP('Flächen u. Kulturen'!J64,Kulturen[[HF]:[Berechnungsgruppe]],'#Frucht'!$G$1,FALSE))</f>
        <v>90</v>
      </c>
      <c r="AD59" s="921">
        <f>IF('Flächen u. Kulturen'!P64="",0,VLOOKUP('Flächen u. Kulturen'!P64,Kulturen[[HF]:[Berechnungsgruppe]],'#Frucht'!$G$1,FALSE))</f>
        <v>90</v>
      </c>
      <c r="AE59" s="938">
        <f>IF('Flächen u. Kulturen'!P64="",0,VLOOKUP('Flächen u. Kulturen'!P64,Kulturen[[HF]:[SollwertMinusNfix]],'#Frucht'!$X$1,FALSE))</f>
        <v>0</v>
      </c>
      <c r="AF59" s="875">
        <f>IF('Flächen u. Kulturen'!L64="",0,VLOOKUP('Flächen u. Kulturen'!L64,Nebenkultur[[Nebenkultur]:[Berechnungsschema]],'#Zweitfr'!$G$1,FALSE))</f>
        <v>0</v>
      </c>
      <c r="AG59" s="875">
        <f>IF('Flächen u. Kulturen'!L64="",0,VLOOKUP('Flächen u. Kulturen'!L64,'#Zweitfr'!$D$8:$Q$27,'#Zweitfr'!$Q$1,FALSE))</f>
        <v>0</v>
      </c>
      <c r="AH59" s="875">
        <f>IF('Flächen u. Kulturen'!M64="",0,VLOOKUP('Flächen u. Kulturen'!M64,'#Boden'!$G$17:$H$21,2,FALSE))</f>
        <v>1</v>
      </c>
      <c r="AI59" s="875">
        <f>IF('Flächen u. Kulturen'!N64="",0,VLOOKUP('Flächen u. Kulturen'!N64,'#Boden'!$G$22:$H$24,'#Boden'!$H$1,FALSE))</f>
        <v>1</v>
      </c>
      <c r="AJ59" s="938">
        <f>IF('Flächen u. Kulturen'!O64="",0,_xlfn.NUMBERVALUE('Flächen u. Kulturen'!O64))</f>
        <v>0</v>
      </c>
      <c r="AK59" s="938">
        <f>IF('Flächen u. Kulturen'!L64="",0,VLOOKUP('Flächen u. Kulturen'!L64,Nebenkultur[[Nebenkultur]:[Legum. Zwischenfr.]],'#Zweitfr'!$P$1,FALSE))</f>
        <v>0</v>
      </c>
      <c r="AL59" s="875">
        <f>IF('Flächen u. Kulturen'!P64="",0,VLOOKUP('Flächen u. Kulturen'!P64,Kulturen[[HF]:[Berechnungsgruppe]],'#Frucht'!$Q$1,FALSE))</f>
        <v>0</v>
      </c>
      <c r="AM59" s="875">
        <f>IF('Flächen u. Kulturen'!P64="",0,VLOOKUP('Flächen u. Kulturen'!P64,Kulturen[[HF]:[Berechnungsgruppe]],'#Frucht'!$M$1,FALSE))</f>
        <v>0</v>
      </c>
      <c r="AN59" s="875">
        <f>IF('Flächen u. Kulturen'!P64="",1,VLOOKUP('Flächen u. Kulturen'!P64,Kulturen[[HF]:[Berechnungsgruppe]],'#Frucht'!$R$1,FALSE))</f>
        <v>10</v>
      </c>
      <c r="AO59" s="875">
        <f>IF('Flächen u. Kulturen'!P64="",0,VLOOKUP('Flächen u. Kulturen'!P64,Kulturen[[HF]:[Berechnungsgruppe]],'#Frucht'!$S$1,FALSE))</f>
        <v>0</v>
      </c>
      <c r="AP59" s="875">
        <f>IF('Flächen u. Kulturen'!P64="",0,VLOOKUP('Flächen u. Kulturen'!P64,Kulturen[[HF]:[Berechnungsgruppe]],'#Frucht'!$T$1,FALSE))</f>
        <v>0</v>
      </c>
      <c r="AQ59" s="938">
        <f t="shared" si="32"/>
        <v>0</v>
      </c>
      <c r="AR59" s="875">
        <f t="shared" si="33"/>
        <v>0</v>
      </c>
      <c r="AS59" s="938">
        <f t="shared" si="34"/>
        <v>0</v>
      </c>
      <c r="AT59" s="875">
        <f>IF(N59=1,'Flächen u. Kulturen'!S64*-1,"--")</f>
        <v>0</v>
      </c>
      <c r="AU59" s="938">
        <f>IF(OR(N59=2,'Flächen u. Kulturen'!I64=""),"--",IF(N59=3,VLOOKUP('Flächen u. Kulturen'!I64,'#Boden'!$B$9:$E$15,'#Boden'!$D$1,FALSE),VLOOKUP('Flächen u. Kulturen'!I64,'#Boden'!$B$9:$E$15,'#Boden'!$E$1,FALSE)))</f>
        <v>0</v>
      </c>
      <c r="AV59" s="938">
        <f>IF(N59=1,IF('Flächen u. Kulturen'!J64="",0,VLOOKUP('Flächen u. Kulturen'!J64,Kulturen[[HF]:[Berechnungsgruppe]],'#Frucht'!$U$1,FALSE)*-1),"--")</f>
        <v>0</v>
      </c>
      <c r="AW59" s="875">
        <f t="shared" si="35"/>
        <v>0</v>
      </c>
      <c r="AX59" s="875">
        <f>IF('Flächen u. Kulturen'!K64="",0,'Flächen u. Kulturen'!K64*-0.1)</f>
        <v>0</v>
      </c>
      <c r="AY59" s="875">
        <f>IF(N59&lt;3,'#orgDung'!AC68*0.1*-1,"--")</f>
        <v>0</v>
      </c>
      <c r="AZ59" s="31" t="str">
        <f>IF(AND('#orgDung'!J68&lt;&gt;2,'#orgDung'!F68=1),('#orgDung'!V68+'#minDung'!O65)*-1,"--")</f>
        <v>--</v>
      </c>
      <c r="BA59" s="875">
        <f t="shared" si="22"/>
        <v>0</v>
      </c>
      <c r="BB59" s="938">
        <f>IF(R59=2,0,'Flächen u. Kulturen'!V64*-1)</f>
        <v>0</v>
      </c>
      <c r="BC59" s="875">
        <f t="shared" si="23"/>
        <v>0</v>
      </c>
      <c r="BD59" s="127">
        <f>'#orgDung'!W68*-1</f>
        <v>0</v>
      </c>
      <c r="BE59" s="910">
        <f>'#orgDung'!AA68*-1</f>
        <v>0</v>
      </c>
      <c r="BF59" s="875">
        <f>'#orgDung'!Z68*-1</f>
        <v>0</v>
      </c>
      <c r="BG59" s="938">
        <f t="shared" si="14"/>
        <v>0</v>
      </c>
      <c r="BH59" s="875">
        <f>'#Kürzungen'!AS83*-1</f>
        <v>0</v>
      </c>
      <c r="BI59" s="875">
        <f t="shared" si="36"/>
        <v>0</v>
      </c>
      <c r="BJ59" s="910">
        <f t="shared" si="37"/>
        <v>0</v>
      </c>
      <c r="BK59" s="875">
        <f>'#minDung'!P65</f>
        <v>0</v>
      </c>
      <c r="BL59" s="938">
        <f t="shared" si="15"/>
        <v>0</v>
      </c>
      <c r="BM59" s="938">
        <f t="shared" si="38"/>
        <v>0</v>
      </c>
      <c r="BN59" s="875">
        <f>IF('Flächen u. Kulturen'!P64="",0,VLOOKUP('Flächen u. Kulturen'!P64,Kulturen[[HF]:[Berechnungsgruppe]],'#Frucht'!$K$1,FALSE))</f>
        <v>0</v>
      </c>
      <c r="BO59" s="875">
        <f>IF('Flächen u. Kulturen'!P64="",0,VLOOKUP('Flächen u. Kulturen'!P64,Kulturen[[HF]:[Berechnungsgruppe]],'#Frucht'!$L$1,FALSE))</f>
        <v>0</v>
      </c>
      <c r="BP59" s="875">
        <f>IF('Flächen u. Kulturen'!L64="",0,VLOOKUP('Flächen u. Kulturen'!L64,Nebenkultur[[Nebenkultur]:[Legum. Zwischenfr.]],'#Zweitfr'!$H$1,FALSE))</f>
        <v>0</v>
      </c>
      <c r="BQ59" s="938">
        <f>IF(N59=3,W59*BO59,IF('Flächen u. Kulturen'!T64='#Boden'!$B$32,V59*BN59,V59*BO59))</f>
        <v>0</v>
      </c>
      <c r="BR59" s="938">
        <f t="shared" si="39"/>
        <v>0</v>
      </c>
      <c r="BS59" s="875">
        <f t="shared" si="24"/>
        <v>0</v>
      </c>
      <c r="BT59" s="875">
        <f>IF('Flächen u. Kulturen'!F64="",0,IF(N59=3,VLOOKUP('Flächen u. Kulturen'!F64,'#Boden'!$G$4:$J$8,'#Boden'!$J$1,FALSE),VLOOKUP('Flächen u. Kulturen'!F64,'#Boden'!$G$4:$J$8,'#Boden'!$I$1,FALSE)))</f>
        <v>0</v>
      </c>
      <c r="BU59" s="41">
        <f t="shared" si="25"/>
        <v>0</v>
      </c>
      <c r="BV59" s="875">
        <f t="shared" si="26"/>
        <v>0</v>
      </c>
      <c r="BW59" s="938" t="str">
        <f t="shared" si="16"/>
        <v/>
      </c>
      <c r="BX59" s="875">
        <f>'#orgDung'!T68*-1</f>
        <v>0</v>
      </c>
      <c r="BY59" s="875">
        <f t="shared" si="40"/>
        <v>0</v>
      </c>
      <c r="BZ59" s="938" t="str">
        <f>IF(U59&lt;&gt;"x",0,IF(P59&lt;4,"",(BW59+BX59-'#minDung'!N65)*-1))</f>
        <v/>
      </c>
      <c r="CB59" s="938">
        <f>IF(AND(AF59=70,U59="x"),'Flächen u. Kulturen'!A64,1000)</f>
        <v>1000</v>
      </c>
      <c r="CC59" s="875" t="str">
        <f>IF(AF59=70,VLOOKUP('Flächen u. Kulturen'!L64,Nebenkultur[[Nebenkultur]:[Legum. Zwischenfr.]],'#Zweitfr'!$I$1,FALSE),"--")</f>
        <v>--</v>
      </c>
      <c r="CD59" s="875" t="str">
        <f>IF(AF59=70,VLOOKUP('Flächen u. Kulturen'!L64,Nebenkultur[[Nebenkultur]:[Legum. Zwischenfr.]],'#Zweitfr'!$L$1,FALSE),"--")</f>
        <v>--</v>
      </c>
      <c r="CE59" s="875" t="str">
        <f>IF(AF59=70,VLOOKUP('Flächen u. Kulturen'!L64,Nebenkultur[[Nebenkultur]:[Legum. Zwischenfr.]],'#Zweitfr'!$M$1,FALSE),"--")</f>
        <v>--</v>
      </c>
      <c r="CF59" s="875" t="str">
        <f>IF(AF59=70,VLOOKUP('Flächen u. Kulturen'!L64,Nebenkultur[[Nebenkultur]:[Legum. Zwischenfr.]],'#Zweitfr'!$N$1,FALSE),"--")</f>
        <v>--</v>
      </c>
      <c r="CG59" s="875" t="str">
        <f>IF(AF59=70,VLOOKUP('Flächen u. Kulturen'!L64,Nebenkultur[[Nebenkultur]:[Legum. Zwischenfr.]],'#Zweitfr'!$O$1,FALSE),"--")</f>
        <v>--</v>
      </c>
      <c r="CH59" s="875" t="str">
        <f t="shared" si="41"/>
        <v>--</v>
      </c>
      <c r="CI59" s="938">
        <f>IF('Flächen u. Kulturen'!L64="",0,VLOOKUP('Flächen u. Kulturen'!L64,Nebenkultur[[Nebenkultur]:[Legum. Zwischenfr.]],'#Zweitfr'!$J$1,FALSE))</f>
        <v>0</v>
      </c>
      <c r="CJ59" s="875">
        <f t="shared" si="42"/>
        <v>0</v>
      </c>
      <c r="CK59" s="890">
        <f t="shared" si="43"/>
        <v>0</v>
      </c>
      <c r="CL59" s="938">
        <f>IF(AND(R59=1,AF59=70),'Flächen u. Kulturen'!W64*-1,0)</f>
        <v>0</v>
      </c>
      <c r="CM59" s="875">
        <f>'#orgDung'!AE68*-1</f>
        <v>0</v>
      </c>
      <c r="CN59" s="875">
        <f t="shared" si="27"/>
        <v>0</v>
      </c>
      <c r="CO59" s="875">
        <f t="shared" si="28"/>
        <v>0</v>
      </c>
      <c r="CP59" s="875">
        <f>'#Kürzungen'!AS184*-1</f>
        <v>0</v>
      </c>
      <c r="CQ59" s="875">
        <f t="shared" si="29"/>
        <v>0</v>
      </c>
      <c r="CR59" s="875">
        <f t="shared" si="30"/>
        <v>0</v>
      </c>
      <c r="CS59" s="875">
        <f>'#minDung'!R65</f>
        <v>0</v>
      </c>
      <c r="CT59" s="938">
        <f t="shared" si="18"/>
        <v>0</v>
      </c>
      <c r="CU59" s="52" t="str">
        <f>'#Kürzungen'!AQ184</f>
        <v xml:space="preserve"> </v>
      </c>
      <c r="CW59" s="247">
        <f>IF('Flächen u. Kulturen'!D64="",0,IF(ISNUMBER('Flächen u. Kulturen'!D64)=TRUE,2,1))</f>
        <v>0</v>
      </c>
      <c r="CX59" s="247">
        <f>IF('Flächen u. Kulturen'!E64="",0,COUNTIF('#Boden'!$B$47,'Flächen u. Kulturen'!E64)+1)</f>
        <v>2</v>
      </c>
      <c r="CY59" s="247">
        <f>IF('Flächen u. Kulturen'!F64="",0,COUNTIF('#Boden'!$G$4:$G$8,'Flächen u. Kulturen'!F64)+1)</f>
        <v>2</v>
      </c>
      <c r="CZ59" s="247">
        <f>IF('Flächen u. Kulturen'!G64="",0,COUNTIF('#Boden'!$B$26:$B$29,'Flächen u. Kulturen'!G64)+1)</f>
        <v>2</v>
      </c>
      <c r="DA59" s="247">
        <f>IF('Flächen u. Kulturen'!H64="",0,COUNTIF('#Boden'!$B$26:$B$29,'Flächen u. Kulturen'!H64)+1)</f>
        <v>2</v>
      </c>
      <c r="DB59" s="247">
        <f>IF('Flächen u. Kulturen'!I64="",0,COUNTIF('#Boden'!$B$9:$B$15,'Flächen u. Kulturen'!I64)+1)</f>
        <v>2</v>
      </c>
      <c r="DC59" s="247">
        <f>IF('Flächen u. Kulturen'!J64="",0,COUNTIF(Kulturen[HF],'Flächen u. Kulturen'!J64)+1)</f>
        <v>2</v>
      </c>
      <c r="DD59" s="247">
        <f>IF('Flächen u. Kulturen'!L64="",0,COUNTIF(Nebenkultur[Nebenkultur],'Flächen u. Kulturen'!L64)+1)</f>
        <v>2</v>
      </c>
      <c r="DE59" s="247">
        <f>IF('Flächen u. Kulturen'!M64="",0,COUNTIF('#Boden'!$G$17:$G$21,'Flächen u. Kulturen'!M64)+1)</f>
        <v>2</v>
      </c>
      <c r="DF59" s="247">
        <f>IF('Flächen u. Kulturen'!N64="",0,COUNTIF('#Boden'!$G$22:$G$24,'Flächen u. Kulturen'!N64)+1)</f>
        <v>2</v>
      </c>
      <c r="DG59" s="247">
        <f>IF('Flächen u. Kulturen'!P64="",0,COUNTIF(Kulturen[HF],'Flächen u. Kulturen'!P64)+1)</f>
        <v>2</v>
      </c>
      <c r="DH59" s="247">
        <f>IF('Flächen u. Kulturen'!T64="",0,COUNTIF('#Boden'!$B$30:$B$32,'Flächen u. Kulturen'!T64)+1)</f>
        <v>2</v>
      </c>
      <c r="DI59" s="247">
        <f>IF('Flächen u. Kulturen'!K64="",0,IF(ISNUMBER('Flächen u. Kulturen'!K64)=TRUE,2,1))</f>
        <v>0</v>
      </c>
      <c r="DJ59" s="247">
        <f>IF('Flächen u. Kulturen'!U64="",0,IF(ISNUMBER('Flächen u. Kulturen'!U64)=TRUE,2,1))</f>
        <v>0</v>
      </c>
      <c r="DK59" s="247">
        <f>IF('Flächen u. Kulturen'!V64="",0,IF(ISNUMBER('Flächen u. Kulturen'!V64)=TRUE,2,1))</f>
        <v>0</v>
      </c>
      <c r="DL59" s="247">
        <f>IF('Flächen u. Kulturen'!W64="",0,IF(ISNUMBER('Flächen u. Kulturen'!W64)=TRUE,2,1))</f>
        <v>0</v>
      </c>
      <c r="DM59" s="247">
        <f t="shared" si="31"/>
        <v>0</v>
      </c>
      <c r="DN59" s="247" t="s">
        <v>344</v>
      </c>
      <c r="DO59" s="247">
        <f>IF(U59&lt;&gt;"x","",IF(OR('Flächen u. Kulturen'!B64="",'Flächen u. Kulturen'!C64="",'Flächen u. Kulturen'!D64="",'Flächen u. Kulturen'!D64=0,'Flächen u. Kulturen'!F64="",'Flächen u. Kulturen'!F64='#Boden'!$G$4,'Flächen u. Kulturen'!G64="",'Flächen u. Kulturen'!G64='#Boden'!$B$26,'Flächen u. Kulturen'!H64="",'Flächen u. Kulturen'!H64='#Boden'!$B$23,AND(N59&lt;&gt;2,OR('Flächen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Kulturen'!Q64="",'#BerechnungDBE'!N59&lt;3),AND('Flächen u. Kulturen'!R64="",'#BerechnungDBE'!N59=3),AND(N59=1,AL59&gt;0,'Flächen u. Kulturen'!S64=""),AND(N59=1,OR('Flächen u. Kulturen'!T64="",'Flächen u. Kulturen'!T64='#Boden'!$B$30)),AND('#BerechnungDBE'!AF59=70,OR('Flächen u. Kulturen'!N64="",'Flächen u. Kulturen'!N64='#Boden'!$G$22,'Flächen u. Kulturen'!O64="")),AND('#BerechnungDBE'!AF59=80,OR('Flächen u. Kulturen'!M64="",'Flächen u. Kulturen'!M64='#Boden'!$G$17,'Flächen u. Kulturen'!N64="",'Flächen u. Kulturen'!N64='#Boden'!$G$22))),$DO$4,""))</f>
        <v>1</v>
      </c>
      <c r="DP59" s="247" t="str">
        <f>IF(U59&lt;&gt;"x","",IF(OR(LEFT('Flächen u. Kulturen'!J64,2)=" +",LEFT('Flächen u. Kulturen'!L64,2)=" +",LEFT('Flächen u. Kulturen'!P64,2)=" +"),$DP$4,""))</f>
        <v/>
      </c>
      <c r="DQ59" s="428" t="str">
        <f t="shared" si="44"/>
        <v/>
      </c>
      <c r="DR59" s="938" t="str">
        <f t="shared" si="45"/>
        <v/>
      </c>
      <c r="DS59" s="938" t="str">
        <f>IF('Flächen u. Kulturen'!X64="","",ROW('Flächen u. Kulturen'!X64))</f>
        <v/>
      </c>
    </row>
    <row r="60" spans="1:123" s="875" customFormat="1" x14ac:dyDescent="0.2">
      <c r="A60" s="875" t="str">
        <f>IF('Daten aus 2021'!H62="",'#Boden'!$B$26,IF('Daten aus 2021'!H62='#Boden'!$B$39,IF('Daten aus 2021'!F62='#Boden'!$B$29,'#Boden'!$B$29,IF('Daten aus 2021'!K62='#Boden'!$B$34,'#Boden'!$B$28,'#Boden'!$B$27)),'Daten aus 2021'!F62))</f>
        <v xml:space="preserve"> --</v>
      </c>
      <c r="B60" s="875" t="str">
        <f>IF('Daten aus 2021'!H62='#Boden'!$B$39,IF('Daten aus 2021'!L62='#Boden'!$B$61,'#Boden'!$B$11,'Daten aus 2021'!L62),IF('Daten aus 2021'!P62='#Boden'!$B$58,'#Boden'!$B$11,IF('Daten aus 2021'!P62='#Boden'!$B$57,'#Boden'!$B$10,'#Boden'!$B$9)))</f>
        <v xml:space="preserve"> --         </v>
      </c>
      <c r="C60" s="875" t="str">
        <f>IF('Daten aus 2021'!N62="","",VLOOKUP('Daten aus 2021'!N62,'#Boden'!$B$68:$C$89,2,FALSE))</f>
        <v/>
      </c>
      <c r="D60" s="875" t="str">
        <f>IF('Daten aus 2021'!M62="","",VLOOKUP('Daten aus 2021'!M62,'#Boden'!$D$69:$E$73,2,FALSE))</f>
        <v/>
      </c>
      <c r="E60" s="938" t="str">
        <f>IF(OR(C60='#Boden'!$C$68,C60='#Boden'!$C$70),C60,CONCATENATE(C60,D60))</f>
        <v/>
      </c>
      <c r="F60" s="882" t="str">
        <f>IFERROR(IF('Daten aus 2021'!H62="",'#Frucht'!$D$8,IF('Daten aus 2021'!H62='#Boden'!$B$39,E60,IF('Daten aus 2021'!H62='#Boden'!$B$38,IF(CONCATENATE(" ",'Daten aus 2021'!W62)=$B$2,VLOOKUP($B$3,'#Frucht'!$A$8:$D$372,4,FALSE),VLOOKUP(CONCATENATE(" ",'Daten aus 2021'!W62),'#Frucht'!$A$8:$D$372,4,FALSE)),IF(OR(LEFT('Daten aus 2021'!Q62,5)=" *10 ",LEFT('Daten aus 2021'!Q62,5)=" *11 ",LEFT('Daten aus 2021'!Q62,5)=" *12 ",LEFT('Daten aus 2021'!Q62,5)=" *13 ",LEFT('Daten aus 2021'!Q62,5)=" *14 ",LEFT('Daten aus 2021'!Q62,5)=" *15 "),VLOOKUP(RIGHT('Daten aus 2021'!Q62,LEN('Daten aus 2021'!Q62)-4),'#Frucht'!$A$8:$D$372,4,FALSE),IF(LEFT('Daten aus 2021'!Q62,2)=" *",VLOOKUP(RIGHT('Daten aus 2021'!Q62,LEN('Daten aus 2021'!Q62)-3),'#Frucht'!$A$8:$D$372,4,FALSE),VLOOKUP('Daten aus 2021'!Q62,'#Frucht'!$A$8:$D$372,4,FALSE)))))),'#Frucht'!$D$8)</f>
        <v xml:space="preserve"> --  </v>
      </c>
      <c r="G60" s="127"/>
      <c r="H60" s="31"/>
      <c r="J60" s="938" t="str">
        <f>IF(OR(N60=3,$K$3=0,'Flächen u. Kulturen'!P65=""),"",IF(VLOOKUP('Flächen u. Kulturen'!P65,Kulturen[[HF]:[780]],'#BerechnungDBE'!$K$3,FALSE)=".","",VLOOKUP('Flächen u. Kulturen'!P65,Kulturen[[HF]:[780]],'#BerechnungDBE'!$K$3,FALSE)))</f>
        <v/>
      </c>
      <c r="K60" s="938" t="str">
        <f>IF(OR($K$3=0,'Flächen u. Kulturen'!P65=""),"",IF(N60=3,IF(VLOOKUP('Flächen u. Kulturen'!P65,Kulturen[[HF]:[780]],'#BerechnungDBE'!$K$3,FALSE)=".","",VLOOKUP('Flächen u. Kulturen'!P65,Kulturen[[HF]:[780]],'#BerechnungDBE'!$K$3,FALSE)),""))</f>
        <v/>
      </c>
      <c r="L60" s="367">
        <f>IF('Flächen u. Kulturen'!D65="",0,'Flächen u. Kulturen'!D65)</f>
        <v>0</v>
      </c>
      <c r="M60" s="693">
        <f>IF('Flächen u. Kulturen'!J65="",0,VLOOKUP('Flächen u. Kulturen'!J65,Kulturen[[HF]:[Berechnungsgruppe]],'#Frucht'!$W$1,FALSE))</f>
        <v>1</v>
      </c>
      <c r="N60" s="693">
        <f>IF('Flächen u. Kulturen'!P65="",0,VLOOKUP('Flächen u. Kulturen'!P65,Kulturen[[HF]:[Berechnungsgruppe]],'#Frucht'!$W$1,FALSE))</f>
        <v>1</v>
      </c>
      <c r="O60" s="875">
        <f>IF(N60&lt;&gt;2,N60,IF('Flächen u. Kulturen'!J65='Flächen u. Kulturen'!P65,2,1))</f>
        <v>1</v>
      </c>
      <c r="P60" s="875">
        <f>IF('Flächen u. Kulturen'!F65="",0,VLOOKUP('Flächen u. Kulturen'!F65,'#Boden'!$G$4:$H$8,'#Boden'!$H$1,FALSE))</f>
        <v>1</v>
      </c>
      <c r="Q60" s="875">
        <f>IF('Flächen u. Kulturen'!G65="",0,VLOOKUP('Flächen u. Kulturen'!G65,'#Boden'!$B$26:$C$29,'#Boden'!$C$1,FALSE))</f>
        <v>1</v>
      </c>
      <c r="R60" s="875">
        <f t="shared" si="19"/>
        <v>1</v>
      </c>
      <c r="S60" s="875">
        <f t="shared" si="20"/>
        <v>1</v>
      </c>
      <c r="T60" s="875">
        <f>IF('Flächen u. Kulturen'!H65="",0,VLOOKUP('Flächen u. Kulturen'!H65,'#Boden'!$B$23:$C$25,'#Boden'!$C$1,FALSE))</f>
        <v>2</v>
      </c>
      <c r="U60" s="875" t="str">
        <f>'Flächen u. Kulturen'!E65</f>
        <v>x</v>
      </c>
      <c r="V60" s="938">
        <f>IF('Flächen u. Kulturen'!Q65="",0,_xlfn.NUMBERVALUE('Flächen u. Kulturen'!Q65))</f>
        <v>0</v>
      </c>
      <c r="W60" s="938">
        <f>IF('Flächen u. Kulturen'!R65="",0,_xlfn.NUMBERVALUE('Flächen u. Kulturen'!R65))</f>
        <v>0</v>
      </c>
      <c r="X60" s="875">
        <f>IF('Flächen u. Kulturen'!T65="",0,VLOOKUP('Flächen u. Kulturen'!T65,'#Boden'!$B$30:$C$32,'#Boden'!$C$1,FALSE))</f>
        <v>1</v>
      </c>
      <c r="Y60" s="875">
        <f>IF('Flächen u. Kulturen'!P65="",0,VLOOKUP('Flächen u. Kulturen'!P65,Kulturen[[HF]:[Berechnungsgruppe]],'#Frucht'!$N$1,FALSE))</f>
        <v>0</v>
      </c>
      <c r="Z60" s="875">
        <f t="shared" si="21"/>
        <v>2</v>
      </c>
      <c r="AA60" s="875">
        <f>IF('Flächen u. Kulturen'!P65="",0,VLOOKUP('Flächen u. Kulturen'!P65,Kulturen[[HF]:[Berechnungsgruppe]],'#Frucht'!$V$1,FALSE))</f>
        <v>0</v>
      </c>
      <c r="AB60" s="875">
        <f>IF(N60=1,VLOOKUP('Flächen u. Kulturen'!P65,Kulturen[[HF]:[Ernteprodukt]],'#Frucht'!$I$1,FALSE),4)</f>
        <v>4</v>
      </c>
      <c r="AC60" s="921">
        <f>IF('Flächen u. Kulturen'!J65="",0,VLOOKUP('Flächen u. Kulturen'!J65,Kulturen[[HF]:[Berechnungsgruppe]],'#Frucht'!$G$1,FALSE))</f>
        <v>90</v>
      </c>
      <c r="AD60" s="921">
        <f>IF('Flächen u. Kulturen'!P65="",0,VLOOKUP('Flächen u. Kulturen'!P65,Kulturen[[HF]:[Berechnungsgruppe]],'#Frucht'!$G$1,FALSE))</f>
        <v>90</v>
      </c>
      <c r="AE60" s="938">
        <f>IF('Flächen u. Kulturen'!P65="",0,VLOOKUP('Flächen u. Kulturen'!P65,Kulturen[[HF]:[SollwertMinusNfix]],'#Frucht'!$X$1,FALSE))</f>
        <v>0</v>
      </c>
      <c r="AF60" s="875">
        <f>IF('Flächen u. Kulturen'!L65="",0,VLOOKUP('Flächen u. Kulturen'!L65,Nebenkultur[[Nebenkultur]:[Berechnungsschema]],'#Zweitfr'!$G$1,FALSE))</f>
        <v>0</v>
      </c>
      <c r="AG60" s="875">
        <f>IF('Flächen u. Kulturen'!L65="",0,VLOOKUP('Flächen u. Kulturen'!L65,'#Zweitfr'!$D$8:$Q$27,'#Zweitfr'!$Q$1,FALSE))</f>
        <v>0</v>
      </c>
      <c r="AH60" s="875">
        <f>IF('Flächen u. Kulturen'!M65="",0,VLOOKUP('Flächen u. Kulturen'!M65,'#Boden'!$G$17:$H$21,2,FALSE))</f>
        <v>1</v>
      </c>
      <c r="AI60" s="875">
        <f>IF('Flächen u. Kulturen'!N65="",0,VLOOKUP('Flächen u. Kulturen'!N65,'#Boden'!$G$22:$H$24,'#Boden'!$H$1,FALSE))</f>
        <v>1</v>
      </c>
      <c r="AJ60" s="938">
        <f>IF('Flächen u. Kulturen'!O65="",0,_xlfn.NUMBERVALUE('Flächen u. Kulturen'!O65))</f>
        <v>0</v>
      </c>
      <c r="AK60" s="938">
        <f>IF('Flächen u. Kulturen'!L65="",0,VLOOKUP('Flächen u. Kulturen'!L65,Nebenkultur[[Nebenkultur]:[Legum. Zwischenfr.]],'#Zweitfr'!$P$1,FALSE))</f>
        <v>0</v>
      </c>
      <c r="AL60" s="875">
        <f>IF('Flächen u. Kulturen'!P65="",0,VLOOKUP('Flächen u. Kulturen'!P65,Kulturen[[HF]:[Berechnungsgruppe]],'#Frucht'!$Q$1,FALSE))</f>
        <v>0</v>
      </c>
      <c r="AM60" s="875">
        <f>IF('Flächen u. Kulturen'!P65="",0,VLOOKUP('Flächen u. Kulturen'!P65,Kulturen[[HF]:[Berechnungsgruppe]],'#Frucht'!$M$1,FALSE))</f>
        <v>0</v>
      </c>
      <c r="AN60" s="875">
        <f>IF('Flächen u. Kulturen'!P65="",1,VLOOKUP('Flächen u. Kulturen'!P65,Kulturen[[HF]:[Berechnungsgruppe]],'#Frucht'!$R$1,FALSE))</f>
        <v>10</v>
      </c>
      <c r="AO60" s="875">
        <f>IF('Flächen u. Kulturen'!P65="",0,VLOOKUP('Flächen u. Kulturen'!P65,Kulturen[[HF]:[Berechnungsgruppe]],'#Frucht'!$S$1,FALSE))</f>
        <v>0</v>
      </c>
      <c r="AP60" s="875">
        <f>IF('Flächen u. Kulturen'!P65="",0,VLOOKUP('Flächen u. Kulturen'!P65,Kulturen[[HF]:[Berechnungsgruppe]],'#Frucht'!$T$1,FALSE))</f>
        <v>0</v>
      </c>
      <c r="AQ60" s="938">
        <f t="shared" si="32"/>
        <v>0</v>
      </c>
      <c r="AR60" s="875">
        <f t="shared" si="33"/>
        <v>0</v>
      </c>
      <c r="AS60" s="938">
        <f t="shared" si="34"/>
        <v>0</v>
      </c>
      <c r="AT60" s="875">
        <f>IF(N60=1,'Flächen u. Kulturen'!S65*-1,"--")</f>
        <v>0</v>
      </c>
      <c r="AU60" s="938">
        <f>IF(OR(N60=2,'Flächen u. Kulturen'!I65=""),"--",IF(N60=3,VLOOKUP('Flächen u. Kulturen'!I65,'#Boden'!$B$9:$E$15,'#Boden'!$D$1,FALSE),VLOOKUP('Flächen u. Kulturen'!I65,'#Boden'!$B$9:$E$15,'#Boden'!$E$1,FALSE)))</f>
        <v>0</v>
      </c>
      <c r="AV60" s="938">
        <f>IF(N60=1,IF('Flächen u. Kulturen'!J65="",0,VLOOKUP('Flächen u. Kulturen'!J65,Kulturen[[HF]:[Berechnungsgruppe]],'#Frucht'!$U$1,FALSE)*-1),"--")</f>
        <v>0</v>
      </c>
      <c r="AW60" s="875">
        <f t="shared" si="35"/>
        <v>0</v>
      </c>
      <c r="AX60" s="875">
        <f>IF('Flächen u. Kulturen'!K65="",0,'Flächen u. Kulturen'!K65*-0.1)</f>
        <v>0</v>
      </c>
      <c r="AY60" s="875">
        <f>IF(N60&lt;3,'#orgDung'!AC69*0.1*-1,"--")</f>
        <v>0</v>
      </c>
      <c r="AZ60" s="31" t="str">
        <f>IF(AND('#orgDung'!J69&lt;&gt;2,'#orgDung'!F69=1),('#orgDung'!V69+'#minDung'!O66)*-1,"--")</f>
        <v>--</v>
      </c>
      <c r="BA60" s="875">
        <f t="shared" si="22"/>
        <v>0</v>
      </c>
      <c r="BB60" s="938">
        <f>IF(R60=2,0,'Flächen u. Kulturen'!V65*-1)</f>
        <v>0</v>
      </c>
      <c r="BC60" s="875">
        <f t="shared" si="23"/>
        <v>0</v>
      </c>
      <c r="BD60" s="127">
        <f>'#orgDung'!W69*-1</f>
        <v>0</v>
      </c>
      <c r="BE60" s="910">
        <f>'#orgDung'!AA69*-1</f>
        <v>0</v>
      </c>
      <c r="BF60" s="875">
        <f>'#orgDung'!Z69*-1</f>
        <v>0</v>
      </c>
      <c r="BG60" s="938">
        <f t="shared" si="14"/>
        <v>0</v>
      </c>
      <c r="BH60" s="875">
        <f>'#Kürzungen'!AS84*-1</f>
        <v>0</v>
      </c>
      <c r="BI60" s="875">
        <f t="shared" si="36"/>
        <v>0</v>
      </c>
      <c r="BJ60" s="910">
        <f t="shared" si="37"/>
        <v>0</v>
      </c>
      <c r="BK60" s="875">
        <f>'#minDung'!P66</f>
        <v>0</v>
      </c>
      <c r="BL60" s="938">
        <f t="shared" si="15"/>
        <v>0</v>
      </c>
      <c r="BM60" s="938">
        <f t="shared" si="38"/>
        <v>0</v>
      </c>
      <c r="BN60" s="875">
        <f>IF('Flächen u. Kulturen'!P65="",0,VLOOKUP('Flächen u. Kulturen'!P65,Kulturen[[HF]:[Berechnungsgruppe]],'#Frucht'!$K$1,FALSE))</f>
        <v>0</v>
      </c>
      <c r="BO60" s="875">
        <f>IF('Flächen u. Kulturen'!P65="",0,VLOOKUP('Flächen u. Kulturen'!P65,Kulturen[[HF]:[Berechnungsgruppe]],'#Frucht'!$L$1,FALSE))</f>
        <v>0</v>
      </c>
      <c r="BP60" s="875">
        <f>IF('Flächen u. Kulturen'!L65="",0,VLOOKUP('Flächen u. Kulturen'!L65,Nebenkultur[[Nebenkultur]:[Legum. Zwischenfr.]],'#Zweitfr'!$H$1,FALSE))</f>
        <v>0</v>
      </c>
      <c r="BQ60" s="938">
        <f>IF(N60=3,W60*BO60,IF('Flächen u. Kulturen'!T65='#Boden'!$B$32,V60*BN60,V60*BO60))</f>
        <v>0</v>
      </c>
      <c r="BR60" s="938">
        <f t="shared" si="39"/>
        <v>0</v>
      </c>
      <c r="BS60" s="875">
        <f t="shared" si="24"/>
        <v>0</v>
      </c>
      <c r="BT60" s="875">
        <f>IF('Flächen u. Kulturen'!F65="",0,IF(N60=3,VLOOKUP('Flächen u. Kulturen'!F65,'#Boden'!$G$4:$J$8,'#Boden'!$J$1,FALSE),VLOOKUP('Flächen u. Kulturen'!F65,'#Boden'!$G$4:$J$8,'#Boden'!$I$1,FALSE)))</f>
        <v>0</v>
      </c>
      <c r="BU60" s="41">
        <f t="shared" si="25"/>
        <v>0</v>
      </c>
      <c r="BV60" s="875">
        <f t="shared" si="26"/>
        <v>0</v>
      </c>
      <c r="BW60" s="938" t="str">
        <f t="shared" si="16"/>
        <v/>
      </c>
      <c r="BX60" s="875">
        <f>'#orgDung'!T69*-1</f>
        <v>0</v>
      </c>
      <c r="BY60" s="875">
        <f t="shared" si="40"/>
        <v>0</v>
      </c>
      <c r="BZ60" s="938" t="str">
        <f>IF(U60&lt;&gt;"x",0,IF(P60&lt;4,"",(BW60+BX60-'#minDung'!N66)*-1))</f>
        <v/>
      </c>
      <c r="CB60" s="938">
        <f>IF(AND(AF60=70,U60="x"),'Flächen u. Kulturen'!A65,1000)</f>
        <v>1000</v>
      </c>
      <c r="CC60" s="875" t="str">
        <f>IF(AF60=70,VLOOKUP('Flächen u. Kulturen'!L65,Nebenkultur[[Nebenkultur]:[Legum. Zwischenfr.]],'#Zweitfr'!$I$1,FALSE),"--")</f>
        <v>--</v>
      </c>
      <c r="CD60" s="875" t="str">
        <f>IF(AF60=70,VLOOKUP('Flächen u. Kulturen'!L65,Nebenkultur[[Nebenkultur]:[Legum. Zwischenfr.]],'#Zweitfr'!$L$1,FALSE),"--")</f>
        <v>--</v>
      </c>
      <c r="CE60" s="875" t="str">
        <f>IF(AF60=70,VLOOKUP('Flächen u. Kulturen'!L65,Nebenkultur[[Nebenkultur]:[Legum. Zwischenfr.]],'#Zweitfr'!$M$1,FALSE),"--")</f>
        <v>--</v>
      </c>
      <c r="CF60" s="875" t="str">
        <f>IF(AF60=70,VLOOKUP('Flächen u. Kulturen'!L65,Nebenkultur[[Nebenkultur]:[Legum. Zwischenfr.]],'#Zweitfr'!$N$1,FALSE),"--")</f>
        <v>--</v>
      </c>
      <c r="CG60" s="875" t="str">
        <f>IF(AF60=70,VLOOKUP('Flächen u. Kulturen'!L65,Nebenkultur[[Nebenkultur]:[Legum. Zwischenfr.]],'#Zweitfr'!$O$1,FALSE),"--")</f>
        <v>--</v>
      </c>
      <c r="CH60" s="875" t="str">
        <f t="shared" si="41"/>
        <v>--</v>
      </c>
      <c r="CI60" s="938">
        <f>IF('Flächen u. Kulturen'!L65="",0,VLOOKUP('Flächen u. Kulturen'!L65,Nebenkultur[[Nebenkultur]:[Legum. Zwischenfr.]],'#Zweitfr'!$J$1,FALSE))</f>
        <v>0</v>
      </c>
      <c r="CJ60" s="875">
        <f t="shared" si="42"/>
        <v>0</v>
      </c>
      <c r="CK60" s="890">
        <f t="shared" si="43"/>
        <v>0</v>
      </c>
      <c r="CL60" s="938">
        <f>IF(AND(R60=1,AF60=70),'Flächen u. Kulturen'!W65*-1,0)</f>
        <v>0</v>
      </c>
      <c r="CM60" s="875">
        <f>'#orgDung'!AE69*-1</f>
        <v>0</v>
      </c>
      <c r="CN60" s="875">
        <f t="shared" si="27"/>
        <v>0</v>
      </c>
      <c r="CO60" s="875">
        <f t="shared" si="28"/>
        <v>0</v>
      </c>
      <c r="CP60" s="875">
        <f>'#Kürzungen'!AS185*-1</f>
        <v>0</v>
      </c>
      <c r="CQ60" s="875">
        <f t="shared" si="29"/>
        <v>0</v>
      </c>
      <c r="CR60" s="875">
        <f t="shared" si="30"/>
        <v>0</v>
      </c>
      <c r="CS60" s="875">
        <f>'#minDung'!R66</f>
        <v>0</v>
      </c>
      <c r="CT60" s="938">
        <f t="shared" si="18"/>
        <v>0</v>
      </c>
      <c r="CU60" s="52" t="str">
        <f>'#Kürzungen'!AQ185</f>
        <v xml:space="preserve"> </v>
      </c>
      <c r="CW60" s="247">
        <f>IF('Flächen u. Kulturen'!D65="",0,IF(ISNUMBER('Flächen u. Kulturen'!D65)=TRUE,2,1))</f>
        <v>0</v>
      </c>
      <c r="CX60" s="247">
        <f>IF('Flächen u. Kulturen'!E65="",0,COUNTIF('#Boden'!$B$47,'Flächen u. Kulturen'!E65)+1)</f>
        <v>2</v>
      </c>
      <c r="CY60" s="247">
        <f>IF('Flächen u. Kulturen'!F65="",0,COUNTIF('#Boden'!$G$4:$G$8,'Flächen u. Kulturen'!F65)+1)</f>
        <v>2</v>
      </c>
      <c r="CZ60" s="247">
        <f>IF('Flächen u. Kulturen'!G65="",0,COUNTIF('#Boden'!$B$26:$B$29,'Flächen u. Kulturen'!G65)+1)</f>
        <v>2</v>
      </c>
      <c r="DA60" s="247">
        <f>IF('Flächen u. Kulturen'!H65="",0,COUNTIF('#Boden'!$B$26:$B$29,'Flächen u. Kulturen'!H65)+1)</f>
        <v>2</v>
      </c>
      <c r="DB60" s="247">
        <f>IF('Flächen u. Kulturen'!I65="",0,COUNTIF('#Boden'!$B$9:$B$15,'Flächen u. Kulturen'!I65)+1)</f>
        <v>2</v>
      </c>
      <c r="DC60" s="247">
        <f>IF('Flächen u. Kulturen'!J65="",0,COUNTIF(Kulturen[HF],'Flächen u. Kulturen'!J65)+1)</f>
        <v>2</v>
      </c>
      <c r="DD60" s="247">
        <f>IF('Flächen u. Kulturen'!L65="",0,COUNTIF(Nebenkultur[Nebenkultur],'Flächen u. Kulturen'!L65)+1)</f>
        <v>2</v>
      </c>
      <c r="DE60" s="247">
        <f>IF('Flächen u. Kulturen'!M65="",0,COUNTIF('#Boden'!$G$17:$G$21,'Flächen u. Kulturen'!M65)+1)</f>
        <v>2</v>
      </c>
      <c r="DF60" s="247">
        <f>IF('Flächen u. Kulturen'!N65="",0,COUNTIF('#Boden'!$G$22:$G$24,'Flächen u. Kulturen'!N65)+1)</f>
        <v>2</v>
      </c>
      <c r="DG60" s="247">
        <f>IF('Flächen u. Kulturen'!P65="",0,COUNTIF(Kulturen[HF],'Flächen u. Kulturen'!P65)+1)</f>
        <v>2</v>
      </c>
      <c r="DH60" s="247">
        <f>IF('Flächen u. Kulturen'!T65="",0,COUNTIF('#Boden'!$B$30:$B$32,'Flächen u. Kulturen'!T65)+1)</f>
        <v>2</v>
      </c>
      <c r="DI60" s="247">
        <f>IF('Flächen u. Kulturen'!K65="",0,IF(ISNUMBER('Flächen u. Kulturen'!K65)=TRUE,2,1))</f>
        <v>0</v>
      </c>
      <c r="DJ60" s="247">
        <f>IF('Flächen u. Kulturen'!U65="",0,IF(ISNUMBER('Flächen u. Kulturen'!U65)=TRUE,2,1))</f>
        <v>0</v>
      </c>
      <c r="DK60" s="247">
        <f>IF('Flächen u. Kulturen'!V65="",0,IF(ISNUMBER('Flächen u. Kulturen'!V65)=TRUE,2,1))</f>
        <v>0</v>
      </c>
      <c r="DL60" s="247">
        <f>IF('Flächen u. Kulturen'!W65="",0,IF(ISNUMBER('Flächen u. Kulturen'!W65)=TRUE,2,1))</f>
        <v>0</v>
      </c>
      <c r="DM60" s="247">
        <f t="shared" si="31"/>
        <v>0</v>
      </c>
      <c r="DN60" s="247" t="s">
        <v>344</v>
      </c>
      <c r="DO60" s="247">
        <f>IF(U60&lt;&gt;"x","",IF(OR('Flächen u. Kulturen'!B65="",'Flächen u. Kulturen'!C65="",'Flächen u. Kulturen'!D65="",'Flächen u. Kulturen'!D65=0,'Flächen u. Kulturen'!F65="",'Flächen u. Kulturen'!F65='#Boden'!$G$4,'Flächen u. Kulturen'!G65="",'Flächen u. Kulturen'!G65='#Boden'!$B$26,'Flächen u. Kulturen'!H65="",'Flächen u. Kulturen'!H65='#Boden'!$B$23,AND(N60&lt;&gt;2,OR('Flächen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Kulturen'!Q65="",'#BerechnungDBE'!N60&lt;3),AND('Flächen u. Kulturen'!R65="",'#BerechnungDBE'!N60=3),AND(N60=1,AL60&gt;0,'Flächen u. Kulturen'!S65=""),AND(N60=1,OR('Flächen u. Kulturen'!T65="",'Flächen u. Kulturen'!T65='#Boden'!$B$30)),AND('#BerechnungDBE'!AF60=70,OR('Flächen u. Kulturen'!N65="",'Flächen u. Kulturen'!N65='#Boden'!$G$22,'Flächen u. Kulturen'!O65="")),AND('#BerechnungDBE'!AF60=80,OR('Flächen u. Kulturen'!M65="",'Flächen u. Kulturen'!M65='#Boden'!$G$17,'Flächen u. Kulturen'!N65="",'Flächen u. Kulturen'!N65='#Boden'!$G$22))),$DO$4,""))</f>
        <v>1</v>
      </c>
      <c r="DP60" s="247" t="str">
        <f>IF(U60&lt;&gt;"x","",IF(OR(LEFT('Flächen u. Kulturen'!J65,2)=" +",LEFT('Flächen u. Kulturen'!L65,2)=" +",LEFT('Flächen u. Kulturen'!P65,2)=" +"),$DP$4,""))</f>
        <v/>
      </c>
      <c r="DQ60" s="428" t="str">
        <f t="shared" si="44"/>
        <v/>
      </c>
      <c r="DR60" s="938" t="str">
        <f t="shared" si="45"/>
        <v/>
      </c>
      <c r="DS60" s="938" t="str">
        <f>IF('Flächen u. Kulturen'!X65="","",ROW('Flächen u. Kulturen'!X65))</f>
        <v/>
      </c>
    </row>
    <row r="61" spans="1:123" s="875" customFormat="1" x14ac:dyDescent="0.2">
      <c r="A61" s="875" t="str">
        <f>IF('Daten aus 2021'!H63="",'#Boden'!$B$26,IF('Daten aus 2021'!H63='#Boden'!$B$39,IF('Daten aus 2021'!F63='#Boden'!$B$29,'#Boden'!$B$29,IF('Daten aus 2021'!K63='#Boden'!$B$34,'#Boden'!$B$28,'#Boden'!$B$27)),'Daten aus 2021'!F63))</f>
        <v xml:space="preserve"> --</v>
      </c>
      <c r="B61" s="875" t="str">
        <f>IF('Daten aus 2021'!H63='#Boden'!$B$39,IF('Daten aus 2021'!L63='#Boden'!$B$61,'#Boden'!$B$11,'Daten aus 2021'!L63),IF('Daten aus 2021'!P63='#Boden'!$B$58,'#Boden'!$B$11,IF('Daten aus 2021'!P63='#Boden'!$B$57,'#Boden'!$B$10,'#Boden'!$B$9)))</f>
        <v xml:space="preserve"> --         </v>
      </c>
      <c r="C61" s="875" t="str">
        <f>IF('Daten aus 2021'!N63="","",VLOOKUP('Daten aus 2021'!N63,'#Boden'!$B$68:$C$89,2,FALSE))</f>
        <v/>
      </c>
      <c r="D61" s="875" t="str">
        <f>IF('Daten aus 2021'!M63="","",VLOOKUP('Daten aus 2021'!M63,'#Boden'!$D$69:$E$73,2,FALSE))</f>
        <v/>
      </c>
      <c r="E61" s="938" t="str">
        <f>IF(OR(C61='#Boden'!$C$68,C61='#Boden'!$C$70),C61,CONCATENATE(C61,D61))</f>
        <v/>
      </c>
      <c r="F61" s="882" t="str">
        <f>IFERROR(IF('Daten aus 2021'!H63="",'#Frucht'!$D$8,IF('Daten aus 2021'!H63='#Boden'!$B$39,E61,IF('Daten aus 2021'!H63='#Boden'!$B$38,IF(CONCATENATE(" ",'Daten aus 2021'!W63)=$B$2,VLOOKUP($B$3,'#Frucht'!$A$8:$D$372,4,FALSE),VLOOKUP(CONCATENATE(" ",'Daten aus 2021'!W63),'#Frucht'!$A$8:$D$372,4,FALSE)),IF(OR(LEFT('Daten aus 2021'!Q63,5)=" *10 ",LEFT('Daten aus 2021'!Q63,5)=" *11 ",LEFT('Daten aus 2021'!Q63,5)=" *12 ",LEFT('Daten aus 2021'!Q63,5)=" *13 ",LEFT('Daten aus 2021'!Q63,5)=" *14 ",LEFT('Daten aus 2021'!Q63,5)=" *15 "),VLOOKUP(RIGHT('Daten aus 2021'!Q63,LEN('Daten aus 2021'!Q63)-4),'#Frucht'!$A$8:$D$372,4,FALSE),IF(LEFT('Daten aus 2021'!Q63,2)=" *",VLOOKUP(RIGHT('Daten aus 2021'!Q63,LEN('Daten aus 2021'!Q63)-3),'#Frucht'!$A$8:$D$372,4,FALSE),VLOOKUP('Daten aus 2021'!Q63,'#Frucht'!$A$8:$D$372,4,FALSE)))))),'#Frucht'!$D$8)</f>
        <v xml:space="preserve"> --  </v>
      </c>
      <c r="G61" s="127"/>
      <c r="H61" s="31"/>
      <c r="J61" s="938" t="str">
        <f>IF(OR(N61=3,$K$3=0,'Flächen u. Kulturen'!P66=""),"",IF(VLOOKUP('Flächen u. Kulturen'!P66,Kulturen[[HF]:[780]],'#BerechnungDBE'!$K$3,FALSE)=".","",VLOOKUP('Flächen u. Kulturen'!P66,Kulturen[[HF]:[780]],'#BerechnungDBE'!$K$3,FALSE)))</f>
        <v/>
      </c>
      <c r="K61" s="938" t="str">
        <f>IF(OR($K$3=0,'Flächen u. Kulturen'!P66=""),"",IF(N61=3,IF(VLOOKUP('Flächen u. Kulturen'!P66,Kulturen[[HF]:[780]],'#BerechnungDBE'!$K$3,FALSE)=".","",VLOOKUP('Flächen u. Kulturen'!P66,Kulturen[[HF]:[780]],'#BerechnungDBE'!$K$3,FALSE)),""))</f>
        <v/>
      </c>
      <c r="L61" s="367">
        <f>IF('Flächen u. Kulturen'!D66="",0,'Flächen u. Kulturen'!D66)</f>
        <v>0</v>
      </c>
      <c r="M61" s="693">
        <f>IF('Flächen u. Kulturen'!J66="",0,VLOOKUP('Flächen u. Kulturen'!J66,Kulturen[[HF]:[Berechnungsgruppe]],'#Frucht'!$W$1,FALSE))</f>
        <v>1</v>
      </c>
      <c r="N61" s="693">
        <f>IF('Flächen u. Kulturen'!P66="",0,VLOOKUP('Flächen u. Kulturen'!P66,Kulturen[[HF]:[Berechnungsgruppe]],'#Frucht'!$W$1,FALSE))</f>
        <v>1</v>
      </c>
      <c r="O61" s="875">
        <f>IF(N61&lt;&gt;2,N61,IF('Flächen u. Kulturen'!J66='Flächen u. Kulturen'!P66,2,1))</f>
        <v>1</v>
      </c>
      <c r="P61" s="875">
        <f>IF('Flächen u. Kulturen'!F66="",0,VLOOKUP('Flächen u. Kulturen'!F66,'#Boden'!$G$4:$H$8,'#Boden'!$H$1,FALSE))</f>
        <v>1</v>
      </c>
      <c r="Q61" s="875">
        <f>IF('Flächen u. Kulturen'!G66="",0,VLOOKUP('Flächen u. Kulturen'!G66,'#Boden'!$B$26:$C$29,'#Boden'!$C$1,FALSE))</f>
        <v>1</v>
      </c>
      <c r="R61" s="875">
        <f t="shared" si="19"/>
        <v>1</v>
      </c>
      <c r="S61" s="875">
        <f t="shared" si="20"/>
        <v>1</v>
      </c>
      <c r="T61" s="875">
        <f>IF('Flächen u. Kulturen'!H66="",0,VLOOKUP('Flächen u. Kulturen'!H66,'#Boden'!$B$23:$C$25,'#Boden'!$C$1,FALSE))</f>
        <v>2</v>
      </c>
      <c r="U61" s="875" t="str">
        <f>'Flächen u. Kulturen'!E66</f>
        <v>x</v>
      </c>
      <c r="V61" s="938">
        <f>IF('Flächen u. Kulturen'!Q66="",0,_xlfn.NUMBERVALUE('Flächen u. Kulturen'!Q66))</f>
        <v>0</v>
      </c>
      <c r="W61" s="938">
        <f>IF('Flächen u. Kulturen'!R66="",0,_xlfn.NUMBERVALUE('Flächen u. Kulturen'!R66))</f>
        <v>0</v>
      </c>
      <c r="X61" s="875">
        <f>IF('Flächen u. Kulturen'!T66="",0,VLOOKUP('Flächen u. Kulturen'!T66,'#Boden'!$B$30:$C$32,'#Boden'!$C$1,FALSE))</f>
        <v>1</v>
      </c>
      <c r="Y61" s="875">
        <f>IF('Flächen u. Kulturen'!P66="",0,VLOOKUP('Flächen u. Kulturen'!P66,Kulturen[[HF]:[Berechnungsgruppe]],'#Frucht'!$N$1,FALSE))</f>
        <v>0</v>
      </c>
      <c r="Z61" s="875">
        <f t="shared" si="21"/>
        <v>2</v>
      </c>
      <c r="AA61" s="875">
        <f>IF('Flächen u. Kulturen'!P66="",0,VLOOKUP('Flächen u. Kulturen'!P66,Kulturen[[HF]:[Berechnungsgruppe]],'#Frucht'!$V$1,FALSE))</f>
        <v>0</v>
      </c>
      <c r="AB61" s="875">
        <f>IF(N61=1,VLOOKUP('Flächen u. Kulturen'!P66,Kulturen[[HF]:[Ernteprodukt]],'#Frucht'!$I$1,FALSE),4)</f>
        <v>4</v>
      </c>
      <c r="AC61" s="921">
        <f>IF('Flächen u. Kulturen'!J66="",0,VLOOKUP('Flächen u. Kulturen'!J66,Kulturen[[HF]:[Berechnungsgruppe]],'#Frucht'!$G$1,FALSE))</f>
        <v>90</v>
      </c>
      <c r="AD61" s="921">
        <f>IF('Flächen u. Kulturen'!P66="",0,VLOOKUP('Flächen u. Kulturen'!P66,Kulturen[[HF]:[Berechnungsgruppe]],'#Frucht'!$G$1,FALSE))</f>
        <v>90</v>
      </c>
      <c r="AE61" s="938">
        <f>IF('Flächen u. Kulturen'!P66="",0,VLOOKUP('Flächen u. Kulturen'!P66,Kulturen[[HF]:[SollwertMinusNfix]],'#Frucht'!$X$1,FALSE))</f>
        <v>0</v>
      </c>
      <c r="AF61" s="875">
        <f>IF('Flächen u. Kulturen'!L66="",0,VLOOKUP('Flächen u. Kulturen'!L66,Nebenkultur[[Nebenkultur]:[Berechnungsschema]],'#Zweitfr'!$G$1,FALSE))</f>
        <v>0</v>
      </c>
      <c r="AG61" s="875">
        <f>IF('Flächen u. Kulturen'!L66="",0,VLOOKUP('Flächen u. Kulturen'!L66,'#Zweitfr'!$D$8:$Q$27,'#Zweitfr'!$Q$1,FALSE))</f>
        <v>0</v>
      </c>
      <c r="AH61" s="875">
        <f>IF('Flächen u. Kulturen'!M66="",0,VLOOKUP('Flächen u. Kulturen'!M66,'#Boden'!$G$17:$H$21,2,FALSE))</f>
        <v>1</v>
      </c>
      <c r="AI61" s="875">
        <f>IF('Flächen u. Kulturen'!N66="",0,VLOOKUP('Flächen u. Kulturen'!N66,'#Boden'!$G$22:$H$24,'#Boden'!$H$1,FALSE))</f>
        <v>1</v>
      </c>
      <c r="AJ61" s="938">
        <f>IF('Flächen u. Kulturen'!O66="",0,_xlfn.NUMBERVALUE('Flächen u. Kulturen'!O66))</f>
        <v>0</v>
      </c>
      <c r="AK61" s="938">
        <f>IF('Flächen u. Kulturen'!L66="",0,VLOOKUP('Flächen u. Kulturen'!L66,Nebenkultur[[Nebenkultur]:[Legum. Zwischenfr.]],'#Zweitfr'!$P$1,FALSE))</f>
        <v>0</v>
      </c>
      <c r="AL61" s="875">
        <f>IF('Flächen u. Kulturen'!P66="",0,VLOOKUP('Flächen u. Kulturen'!P66,Kulturen[[HF]:[Berechnungsgruppe]],'#Frucht'!$Q$1,FALSE))</f>
        <v>0</v>
      </c>
      <c r="AM61" s="875">
        <f>IF('Flächen u. Kulturen'!P66="",0,VLOOKUP('Flächen u. Kulturen'!P66,Kulturen[[HF]:[Berechnungsgruppe]],'#Frucht'!$M$1,FALSE))</f>
        <v>0</v>
      </c>
      <c r="AN61" s="875">
        <f>IF('Flächen u. Kulturen'!P66="",1,VLOOKUP('Flächen u. Kulturen'!P66,Kulturen[[HF]:[Berechnungsgruppe]],'#Frucht'!$R$1,FALSE))</f>
        <v>10</v>
      </c>
      <c r="AO61" s="875">
        <f>IF('Flächen u. Kulturen'!P66="",0,VLOOKUP('Flächen u. Kulturen'!P66,Kulturen[[HF]:[Berechnungsgruppe]],'#Frucht'!$S$1,FALSE))</f>
        <v>0</v>
      </c>
      <c r="AP61" s="875">
        <f>IF('Flächen u. Kulturen'!P66="",0,VLOOKUP('Flächen u. Kulturen'!P66,Kulturen[[HF]:[Berechnungsgruppe]],'#Frucht'!$T$1,FALSE))</f>
        <v>0</v>
      </c>
      <c r="AQ61" s="938">
        <f t="shared" si="32"/>
        <v>0</v>
      </c>
      <c r="AR61" s="875">
        <f t="shared" si="33"/>
        <v>0</v>
      </c>
      <c r="AS61" s="938">
        <f t="shared" si="34"/>
        <v>0</v>
      </c>
      <c r="AT61" s="875">
        <f>IF(N61=1,'Flächen u. Kulturen'!S66*-1,"--")</f>
        <v>0</v>
      </c>
      <c r="AU61" s="938">
        <f>IF(OR(N61=2,'Flächen u. Kulturen'!I66=""),"--",IF(N61=3,VLOOKUP('Flächen u. Kulturen'!I66,'#Boden'!$B$9:$E$15,'#Boden'!$D$1,FALSE),VLOOKUP('Flächen u. Kulturen'!I66,'#Boden'!$B$9:$E$15,'#Boden'!$E$1,FALSE)))</f>
        <v>0</v>
      </c>
      <c r="AV61" s="938">
        <f>IF(N61=1,IF('Flächen u. Kulturen'!J66="",0,VLOOKUP('Flächen u. Kulturen'!J66,Kulturen[[HF]:[Berechnungsgruppe]],'#Frucht'!$U$1,FALSE)*-1),"--")</f>
        <v>0</v>
      </c>
      <c r="AW61" s="875">
        <f t="shared" si="35"/>
        <v>0</v>
      </c>
      <c r="AX61" s="875">
        <f>IF('Flächen u. Kulturen'!K66="",0,'Flächen u. Kulturen'!K66*-0.1)</f>
        <v>0</v>
      </c>
      <c r="AY61" s="875">
        <f>IF(N61&lt;3,'#orgDung'!AC70*0.1*-1,"--")</f>
        <v>0</v>
      </c>
      <c r="AZ61" s="31" t="str">
        <f>IF(AND('#orgDung'!J70&lt;&gt;2,'#orgDung'!F70=1),('#orgDung'!V70+'#minDung'!O67)*-1,"--")</f>
        <v>--</v>
      </c>
      <c r="BA61" s="875">
        <f t="shared" si="22"/>
        <v>0</v>
      </c>
      <c r="BB61" s="938">
        <f>IF(R61=2,0,'Flächen u. Kulturen'!V66*-1)</f>
        <v>0</v>
      </c>
      <c r="BC61" s="875">
        <f t="shared" si="23"/>
        <v>0</v>
      </c>
      <c r="BD61" s="127">
        <f>'#orgDung'!W70*-1</f>
        <v>0</v>
      </c>
      <c r="BE61" s="910">
        <f>'#orgDung'!AA70*-1</f>
        <v>0</v>
      </c>
      <c r="BF61" s="875">
        <f>'#orgDung'!Z70*-1</f>
        <v>0</v>
      </c>
      <c r="BG61" s="938">
        <f t="shared" si="14"/>
        <v>0</v>
      </c>
      <c r="BH61" s="875">
        <f>'#Kürzungen'!AS85*-1</f>
        <v>0</v>
      </c>
      <c r="BI61" s="875">
        <f t="shared" si="36"/>
        <v>0</v>
      </c>
      <c r="BJ61" s="910">
        <f t="shared" si="37"/>
        <v>0</v>
      </c>
      <c r="BK61" s="875">
        <f>'#minDung'!P67</f>
        <v>0</v>
      </c>
      <c r="BL61" s="938">
        <f t="shared" si="15"/>
        <v>0</v>
      </c>
      <c r="BM61" s="938">
        <f t="shared" si="38"/>
        <v>0</v>
      </c>
      <c r="BN61" s="875">
        <f>IF('Flächen u. Kulturen'!P66="",0,VLOOKUP('Flächen u. Kulturen'!P66,Kulturen[[HF]:[Berechnungsgruppe]],'#Frucht'!$K$1,FALSE))</f>
        <v>0</v>
      </c>
      <c r="BO61" s="875">
        <f>IF('Flächen u. Kulturen'!P66="",0,VLOOKUP('Flächen u. Kulturen'!P66,Kulturen[[HF]:[Berechnungsgruppe]],'#Frucht'!$L$1,FALSE))</f>
        <v>0</v>
      </c>
      <c r="BP61" s="875">
        <f>IF('Flächen u. Kulturen'!L66="",0,VLOOKUP('Flächen u. Kulturen'!L66,Nebenkultur[[Nebenkultur]:[Legum. Zwischenfr.]],'#Zweitfr'!$H$1,FALSE))</f>
        <v>0</v>
      </c>
      <c r="BQ61" s="938">
        <f>IF(N61=3,W61*BO61,IF('Flächen u. Kulturen'!T66='#Boden'!$B$32,V61*BN61,V61*BO61))</f>
        <v>0</v>
      </c>
      <c r="BR61" s="938">
        <f t="shared" si="39"/>
        <v>0</v>
      </c>
      <c r="BS61" s="875">
        <f t="shared" si="24"/>
        <v>0</v>
      </c>
      <c r="BT61" s="875">
        <f>IF('Flächen u. Kulturen'!F66="",0,IF(N61=3,VLOOKUP('Flächen u. Kulturen'!F66,'#Boden'!$G$4:$J$8,'#Boden'!$J$1,FALSE),VLOOKUP('Flächen u. Kulturen'!F66,'#Boden'!$G$4:$J$8,'#Boden'!$I$1,FALSE)))</f>
        <v>0</v>
      </c>
      <c r="BU61" s="41">
        <f t="shared" si="25"/>
        <v>0</v>
      </c>
      <c r="BV61" s="875">
        <f t="shared" si="26"/>
        <v>0</v>
      </c>
      <c r="BW61" s="938" t="str">
        <f t="shared" si="16"/>
        <v/>
      </c>
      <c r="BX61" s="875">
        <f>'#orgDung'!T70*-1</f>
        <v>0</v>
      </c>
      <c r="BY61" s="875">
        <f t="shared" si="40"/>
        <v>0</v>
      </c>
      <c r="BZ61" s="938" t="str">
        <f>IF(U61&lt;&gt;"x",0,IF(P61&lt;4,"",(BW61+BX61-'#minDung'!N67)*-1))</f>
        <v/>
      </c>
      <c r="CB61" s="938">
        <f>IF(AND(AF61=70,U61="x"),'Flächen u. Kulturen'!A66,1000)</f>
        <v>1000</v>
      </c>
      <c r="CC61" s="875" t="str">
        <f>IF(AF61=70,VLOOKUP('Flächen u. Kulturen'!L66,Nebenkultur[[Nebenkultur]:[Legum. Zwischenfr.]],'#Zweitfr'!$I$1,FALSE),"--")</f>
        <v>--</v>
      </c>
      <c r="CD61" s="875" t="str">
        <f>IF(AF61=70,VLOOKUP('Flächen u. Kulturen'!L66,Nebenkultur[[Nebenkultur]:[Legum. Zwischenfr.]],'#Zweitfr'!$L$1,FALSE),"--")</f>
        <v>--</v>
      </c>
      <c r="CE61" s="875" t="str">
        <f>IF(AF61=70,VLOOKUP('Flächen u. Kulturen'!L66,Nebenkultur[[Nebenkultur]:[Legum. Zwischenfr.]],'#Zweitfr'!$M$1,FALSE),"--")</f>
        <v>--</v>
      </c>
      <c r="CF61" s="875" t="str">
        <f>IF(AF61=70,VLOOKUP('Flächen u. Kulturen'!L66,Nebenkultur[[Nebenkultur]:[Legum. Zwischenfr.]],'#Zweitfr'!$N$1,FALSE),"--")</f>
        <v>--</v>
      </c>
      <c r="CG61" s="875" t="str">
        <f>IF(AF61=70,VLOOKUP('Flächen u. Kulturen'!L66,Nebenkultur[[Nebenkultur]:[Legum. Zwischenfr.]],'#Zweitfr'!$O$1,FALSE),"--")</f>
        <v>--</v>
      </c>
      <c r="CH61" s="875" t="str">
        <f t="shared" si="41"/>
        <v>--</v>
      </c>
      <c r="CI61" s="938">
        <f>IF('Flächen u. Kulturen'!L66="",0,VLOOKUP('Flächen u. Kulturen'!L66,Nebenkultur[[Nebenkultur]:[Legum. Zwischenfr.]],'#Zweitfr'!$J$1,FALSE))</f>
        <v>0</v>
      </c>
      <c r="CJ61" s="875">
        <f t="shared" si="42"/>
        <v>0</v>
      </c>
      <c r="CK61" s="890">
        <f t="shared" si="43"/>
        <v>0</v>
      </c>
      <c r="CL61" s="938">
        <f>IF(AND(R61=1,AF61=70),'Flächen u. Kulturen'!W66*-1,0)</f>
        <v>0</v>
      </c>
      <c r="CM61" s="875">
        <f>'#orgDung'!AE70*-1</f>
        <v>0</v>
      </c>
      <c r="CN61" s="875">
        <f t="shared" si="27"/>
        <v>0</v>
      </c>
      <c r="CO61" s="875">
        <f t="shared" si="28"/>
        <v>0</v>
      </c>
      <c r="CP61" s="875">
        <f>'#Kürzungen'!AS186*-1</f>
        <v>0</v>
      </c>
      <c r="CQ61" s="875">
        <f t="shared" si="29"/>
        <v>0</v>
      </c>
      <c r="CR61" s="875">
        <f t="shared" si="30"/>
        <v>0</v>
      </c>
      <c r="CS61" s="875">
        <f>'#minDung'!R67</f>
        <v>0</v>
      </c>
      <c r="CT61" s="938">
        <f t="shared" si="18"/>
        <v>0</v>
      </c>
      <c r="CU61" s="52" t="str">
        <f>'#Kürzungen'!AQ186</f>
        <v xml:space="preserve"> </v>
      </c>
      <c r="CW61" s="247">
        <f>IF('Flächen u. Kulturen'!D66="",0,IF(ISNUMBER('Flächen u. Kulturen'!D66)=TRUE,2,1))</f>
        <v>0</v>
      </c>
      <c r="CX61" s="247">
        <f>IF('Flächen u. Kulturen'!E66="",0,COUNTIF('#Boden'!$B$47,'Flächen u. Kulturen'!E66)+1)</f>
        <v>2</v>
      </c>
      <c r="CY61" s="247">
        <f>IF('Flächen u. Kulturen'!F66="",0,COUNTIF('#Boden'!$G$4:$G$8,'Flächen u. Kulturen'!F66)+1)</f>
        <v>2</v>
      </c>
      <c r="CZ61" s="247">
        <f>IF('Flächen u. Kulturen'!G66="",0,COUNTIF('#Boden'!$B$26:$B$29,'Flächen u. Kulturen'!G66)+1)</f>
        <v>2</v>
      </c>
      <c r="DA61" s="247">
        <f>IF('Flächen u. Kulturen'!H66="",0,COUNTIF('#Boden'!$B$26:$B$29,'Flächen u. Kulturen'!H66)+1)</f>
        <v>2</v>
      </c>
      <c r="DB61" s="247">
        <f>IF('Flächen u. Kulturen'!I66="",0,COUNTIF('#Boden'!$B$9:$B$15,'Flächen u. Kulturen'!I66)+1)</f>
        <v>2</v>
      </c>
      <c r="DC61" s="247">
        <f>IF('Flächen u. Kulturen'!J66="",0,COUNTIF(Kulturen[HF],'Flächen u. Kulturen'!J66)+1)</f>
        <v>2</v>
      </c>
      <c r="DD61" s="247">
        <f>IF('Flächen u. Kulturen'!L66="",0,COUNTIF(Nebenkultur[Nebenkultur],'Flächen u. Kulturen'!L66)+1)</f>
        <v>2</v>
      </c>
      <c r="DE61" s="247">
        <f>IF('Flächen u. Kulturen'!M66="",0,COUNTIF('#Boden'!$G$17:$G$21,'Flächen u. Kulturen'!M66)+1)</f>
        <v>2</v>
      </c>
      <c r="DF61" s="247">
        <f>IF('Flächen u. Kulturen'!N66="",0,COUNTIF('#Boden'!$G$22:$G$24,'Flächen u. Kulturen'!N66)+1)</f>
        <v>2</v>
      </c>
      <c r="DG61" s="247">
        <f>IF('Flächen u. Kulturen'!P66="",0,COUNTIF(Kulturen[HF],'Flächen u. Kulturen'!P66)+1)</f>
        <v>2</v>
      </c>
      <c r="DH61" s="247">
        <f>IF('Flächen u. Kulturen'!T66="",0,COUNTIF('#Boden'!$B$30:$B$32,'Flächen u. Kulturen'!T66)+1)</f>
        <v>2</v>
      </c>
      <c r="DI61" s="247">
        <f>IF('Flächen u. Kulturen'!K66="",0,IF(ISNUMBER('Flächen u. Kulturen'!K66)=TRUE,2,1))</f>
        <v>0</v>
      </c>
      <c r="DJ61" s="247">
        <f>IF('Flächen u. Kulturen'!U66="",0,IF(ISNUMBER('Flächen u. Kulturen'!U66)=TRUE,2,1))</f>
        <v>0</v>
      </c>
      <c r="DK61" s="247">
        <f>IF('Flächen u. Kulturen'!V66="",0,IF(ISNUMBER('Flächen u. Kulturen'!V66)=TRUE,2,1))</f>
        <v>0</v>
      </c>
      <c r="DL61" s="247">
        <f>IF('Flächen u. Kulturen'!W66="",0,IF(ISNUMBER('Flächen u. Kulturen'!W66)=TRUE,2,1))</f>
        <v>0</v>
      </c>
      <c r="DM61" s="247">
        <f t="shared" si="31"/>
        <v>0</v>
      </c>
      <c r="DN61" s="247" t="s">
        <v>344</v>
      </c>
      <c r="DO61" s="247">
        <f>IF(U61&lt;&gt;"x","",IF(OR('Flächen u. Kulturen'!B66="",'Flächen u. Kulturen'!C66="",'Flächen u. Kulturen'!D66="",'Flächen u. Kulturen'!D66=0,'Flächen u. Kulturen'!F66="",'Flächen u. Kulturen'!F66='#Boden'!$G$4,'Flächen u. Kulturen'!G66="",'Flächen u. Kulturen'!G66='#Boden'!$B$26,'Flächen u. Kulturen'!H66="",'Flächen u. Kulturen'!H66='#Boden'!$B$23,AND(N61&lt;&gt;2,OR('Flächen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Kulturen'!Q66="",'#BerechnungDBE'!N61&lt;3),AND('Flächen u. Kulturen'!R66="",'#BerechnungDBE'!N61=3),AND(N61=1,AL61&gt;0,'Flächen u. Kulturen'!S66=""),AND(N61=1,OR('Flächen u. Kulturen'!T66="",'Flächen u. Kulturen'!T66='#Boden'!$B$30)),AND('#BerechnungDBE'!AF61=70,OR('Flächen u. Kulturen'!N66="",'Flächen u. Kulturen'!N66='#Boden'!$G$22,'Flächen u. Kulturen'!O66="")),AND('#BerechnungDBE'!AF61=80,OR('Flächen u. Kulturen'!M66="",'Flächen u. Kulturen'!M66='#Boden'!$G$17,'Flächen u. Kulturen'!N66="",'Flächen u. Kulturen'!N66='#Boden'!$G$22))),$DO$4,""))</f>
        <v>1</v>
      </c>
      <c r="DP61" s="247" t="str">
        <f>IF(U61&lt;&gt;"x","",IF(OR(LEFT('Flächen u. Kulturen'!J66,2)=" +",LEFT('Flächen u. Kulturen'!L66,2)=" +",LEFT('Flächen u. Kulturen'!P66,2)=" +"),$DP$4,""))</f>
        <v/>
      </c>
      <c r="DQ61" s="428" t="str">
        <f t="shared" si="44"/>
        <v/>
      </c>
      <c r="DR61" s="938" t="str">
        <f t="shared" si="45"/>
        <v/>
      </c>
      <c r="DS61" s="938" t="str">
        <f>IF('Flächen u. Kulturen'!X66="","",ROW('Flächen u. Kulturen'!X66))</f>
        <v/>
      </c>
    </row>
    <row r="62" spans="1:123" s="875" customFormat="1" x14ac:dyDescent="0.2">
      <c r="A62" s="875" t="str">
        <f>IF('Daten aus 2021'!H64="",'#Boden'!$B$26,IF('Daten aus 2021'!H64='#Boden'!$B$39,IF('Daten aus 2021'!F64='#Boden'!$B$29,'#Boden'!$B$29,IF('Daten aus 2021'!K64='#Boden'!$B$34,'#Boden'!$B$28,'#Boden'!$B$27)),'Daten aus 2021'!F64))</f>
        <v xml:space="preserve"> --</v>
      </c>
      <c r="B62" s="875" t="str">
        <f>IF('Daten aus 2021'!H64='#Boden'!$B$39,IF('Daten aus 2021'!L64='#Boden'!$B$61,'#Boden'!$B$11,'Daten aus 2021'!L64),IF('Daten aus 2021'!P64='#Boden'!$B$58,'#Boden'!$B$11,IF('Daten aus 2021'!P64='#Boden'!$B$57,'#Boden'!$B$10,'#Boden'!$B$9)))</f>
        <v xml:space="preserve"> --         </v>
      </c>
      <c r="C62" s="875" t="str">
        <f>IF('Daten aus 2021'!N64="","",VLOOKUP('Daten aus 2021'!N64,'#Boden'!$B$68:$C$89,2,FALSE))</f>
        <v/>
      </c>
      <c r="D62" s="875" t="str">
        <f>IF('Daten aus 2021'!M64="","",VLOOKUP('Daten aus 2021'!M64,'#Boden'!$D$69:$E$73,2,FALSE))</f>
        <v/>
      </c>
      <c r="E62" s="938" t="str">
        <f>IF(OR(C62='#Boden'!$C$68,C62='#Boden'!$C$70),C62,CONCATENATE(C62,D62))</f>
        <v/>
      </c>
      <c r="F62" s="882" t="str">
        <f>IFERROR(IF('Daten aus 2021'!H64="",'#Frucht'!$D$8,IF('Daten aus 2021'!H64='#Boden'!$B$39,E62,IF('Daten aus 2021'!H64='#Boden'!$B$38,IF(CONCATENATE(" ",'Daten aus 2021'!W64)=$B$2,VLOOKUP($B$3,'#Frucht'!$A$8:$D$372,4,FALSE),VLOOKUP(CONCATENATE(" ",'Daten aus 2021'!W64),'#Frucht'!$A$8:$D$372,4,FALSE)),IF(OR(LEFT('Daten aus 2021'!Q64,5)=" *10 ",LEFT('Daten aus 2021'!Q64,5)=" *11 ",LEFT('Daten aus 2021'!Q64,5)=" *12 ",LEFT('Daten aus 2021'!Q64,5)=" *13 ",LEFT('Daten aus 2021'!Q64,5)=" *14 ",LEFT('Daten aus 2021'!Q64,5)=" *15 "),VLOOKUP(RIGHT('Daten aus 2021'!Q64,LEN('Daten aus 2021'!Q64)-4),'#Frucht'!$A$8:$D$372,4,FALSE),IF(LEFT('Daten aus 2021'!Q64,2)=" *",VLOOKUP(RIGHT('Daten aus 2021'!Q64,LEN('Daten aus 2021'!Q64)-3),'#Frucht'!$A$8:$D$372,4,FALSE),VLOOKUP('Daten aus 2021'!Q64,'#Frucht'!$A$8:$D$372,4,FALSE)))))),'#Frucht'!$D$8)</f>
        <v xml:space="preserve"> --  </v>
      </c>
      <c r="G62" s="127"/>
      <c r="H62" s="31"/>
      <c r="J62" s="938" t="str">
        <f>IF(OR(N62=3,$K$3=0,'Flächen u. Kulturen'!P67=""),"",IF(VLOOKUP('Flächen u. Kulturen'!P67,Kulturen[[HF]:[780]],'#BerechnungDBE'!$K$3,FALSE)=".","",VLOOKUP('Flächen u. Kulturen'!P67,Kulturen[[HF]:[780]],'#BerechnungDBE'!$K$3,FALSE)))</f>
        <v/>
      </c>
      <c r="K62" s="938" t="str">
        <f>IF(OR($K$3=0,'Flächen u. Kulturen'!P67=""),"",IF(N62=3,IF(VLOOKUP('Flächen u. Kulturen'!P67,Kulturen[[HF]:[780]],'#BerechnungDBE'!$K$3,FALSE)=".","",VLOOKUP('Flächen u. Kulturen'!P67,Kulturen[[HF]:[780]],'#BerechnungDBE'!$K$3,FALSE)),""))</f>
        <v/>
      </c>
      <c r="L62" s="367">
        <f>IF('Flächen u. Kulturen'!D67="",0,'Flächen u. Kulturen'!D67)</f>
        <v>0</v>
      </c>
      <c r="M62" s="693">
        <f>IF('Flächen u. Kulturen'!J67="",0,VLOOKUP('Flächen u. Kulturen'!J67,Kulturen[[HF]:[Berechnungsgruppe]],'#Frucht'!$W$1,FALSE))</f>
        <v>1</v>
      </c>
      <c r="N62" s="693">
        <f>IF('Flächen u. Kulturen'!P67="",0,VLOOKUP('Flächen u. Kulturen'!P67,Kulturen[[HF]:[Berechnungsgruppe]],'#Frucht'!$W$1,FALSE))</f>
        <v>1</v>
      </c>
      <c r="O62" s="875">
        <f>IF(N62&lt;&gt;2,N62,IF('Flächen u. Kulturen'!J67='Flächen u. Kulturen'!P67,2,1))</f>
        <v>1</v>
      </c>
      <c r="P62" s="875">
        <f>IF('Flächen u. Kulturen'!F67="",0,VLOOKUP('Flächen u. Kulturen'!F67,'#Boden'!$G$4:$H$8,'#Boden'!$H$1,FALSE))</f>
        <v>1</v>
      </c>
      <c r="Q62" s="875">
        <f>IF('Flächen u. Kulturen'!G67="",0,VLOOKUP('Flächen u. Kulturen'!G67,'#Boden'!$B$26:$C$29,'#Boden'!$C$1,FALSE))</f>
        <v>1</v>
      </c>
      <c r="R62" s="875">
        <f t="shared" si="19"/>
        <v>1</v>
      </c>
      <c r="S62" s="875">
        <f t="shared" si="20"/>
        <v>1</v>
      </c>
      <c r="T62" s="875">
        <f>IF('Flächen u. Kulturen'!H67="",0,VLOOKUP('Flächen u. Kulturen'!H67,'#Boden'!$B$23:$C$25,'#Boden'!$C$1,FALSE))</f>
        <v>2</v>
      </c>
      <c r="U62" s="875" t="str">
        <f>'Flächen u. Kulturen'!E67</f>
        <v>x</v>
      </c>
      <c r="V62" s="938">
        <f>IF('Flächen u. Kulturen'!Q67="",0,_xlfn.NUMBERVALUE('Flächen u. Kulturen'!Q67))</f>
        <v>0</v>
      </c>
      <c r="W62" s="938">
        <f>IF('Flächen u. Kulturen'!R67="",0,_xlfn.NUMBERVALUE('Flächen u. Kulturen'!R67))</f>
        <v>0</v>
      </c>
      <c r="X62" s="875">
        <f>IF('Flächen u. Kulturen'!T67="",0,VLOOKUP('Flächen u. Kulturen'!T67,'#Boden'!$B$30:$C$32,'#Boden'!$C$1,FALSE))</f>
        <v>1</v>
      </c>
      <c r="Y62" s="875">
        <f>IF('Flächen u. Kulturen'!P67="",0,VLOOKUP('Flächen u. Kulturen'!P67,Kulturen[[HF]:[Berechnungsgruppe]],'#Frucht'!$N$1,FALSE))</f>
        <v>0</v>
      </c>
      <c r="Z62" s="875">
        <f t="shared" si="21"/>
        <v>2</v>
      </c>
      <c r="AA62" s="875">
        <f>IF('Flächen u. Kulturen'!P67="",0,VLOOKUP('Flächen u. Kulturen'!P67,Kulturen[[HF]:[Berechnungsgruppe]],'#Frucht'!$V$1,FALSE))</f>
        <v>0</v>
      </c>
      <c r="AB62" s="875">
        <f>IF(N62=1,VLOOKUP('Flächen u. Kulturen'!P67,Kulturen[[HF]:[Ernteprodukt]],'#Frucht'!$I$1,FALSE),4)</f>
        <v>4</v>
      </c>
      <c r="AC62" s="921">
        <f>IF('Flächen u. Kulturen'!J67="",0,VLOOKUP('Flächen u. Kulturen'!J67,Kulturen[[HF]:[Berechnungsgruppe]],'#Frucht'!$G$1,FALSE))</f>
        <v>90</v>
      </c>
      <c r="AD62" s="921">
        <f>IF('Flächen u. Kulturen'!P67="",0,VLOOKUP('Flächen u. Kulturen'!P67,Kulturen[[HF]:[Berechnungsgruppe]],'#Frucht'!$G$1,FALSE))</f>
        <v>90</v>
      </c>
      <c r="AE62" s="938">
        <f>IF('Flächen u. Kulturen'!P67="",0,VLOOKUP('Flächen u. Kulturen'!P67,Kulturen[[HF]:[SollwertMinusNfix]],'#Frucht'!$X$1,FALSE))</f>
        <v>0</v>
      </c>
      <c r="AF62" s="875">
        <f>IF('Flächen u. Kulturen'!L67="",0,VLOOKUP('Flächen u. Kulturen'!L67,Nebenkultur[[Nebenkultur]:[Berechnungsschema]],'#Zweitfr'!$G$1,FALSE))</f>
        <v>0</v>
      </c>
      <c r="AG62" s="875">
        <f>IF('Flächen u. Kulturen'!L67="",0,VLOOKUP('Flächen u. Kulturen'!L67,'#Zweitfr'!$D$8:$Q$27,'#Zweitfr'!$Q$1,FALSE))</f>
        <v>0</v>
      </c>
      <c r="AH62" s="875">
        <f>IF('Flächen u. Kulturen'!M67="",0,VLOOKUP('Flächen u. Kulturen'!M67,'#Boden'!$G$17:$H$21,2,FALSE))</f>
        <v>1</v>
      </c>
      <c r="AI62" s="875">
        <f>IF('Flächen u. Kulturen'!N67="",0,VLOOKUP('Flächen u. Kulturen'!N67,'#Boden'!$G$22:$H$24,'#Boden'!$H$1,FALSE))</f>
        <v>1</v>
      </c>
      <c r="AJ62" s="938">
        <f>IF('Flächen u. Kulturen'!O67="",0,_xlfn.NUMBERVALUE('Flächen u. Kulturen'!O67))</f>
        <v>0</v>
      </c>
      <c r="AK62" s="938">
        <f>IF('Flächen u. Kulturen'!L67="",0,VLOOKUP('Flächen u. Kulturen'!L67,Nebenkultur[[Nebenkultur]:[Legum. Zwischenfr.]],'#Zweitfr'!$P$1,FALSE))</f>
        <v>0</v>
      </c>
      <c r="AL62" s="875">
        <f>IF('Flächen u. Kulturen'!P67="",0,VLOOKUP('Flächen u. Kulturen'!P67,Kulturen[[HF]:[Berechnungsgruppe]],'#Frucht'!$Q$1,FALSE))</f>
        <v>0</v>
      </c>
      <c r="AM62" s="875">
        <f>IF('Flächen u. Kulturen'!P67="",0,VLOOKUP('Flächen u. Kulturen'!P67,Kulturen[[HF]:[Berechnungsgruppe]],'#Frucht'!$M$1,FALSE))</f>
        <v>0</v>
      </c>
      <c r="AN62" s="875">
        <f>IF('Flächen u. Kulturen'!P67="",1,VLOOKUP('Flächen u. Kulturen'!P67,Kulturen[[HF]:[Berechnungsgruppe]],'#Frucht'!$R$1,FALSE))</f>
        <v>10</v>
      </c>
      <c r="AO62" s="875">
        <f>IF('Flächen u. Kulturen'!P67="",0,VLOOKUP('Flächen u. Kulturen'!P67,Kulturen[[HF]:[Berechnungsgruppe]],'#Frucht'!$S$1,FALSE))</f>
        <v>0</v>
      </c>
      <c r="AP62" s="875">
        <f>IF('Flächen u. Kulturen'!P67="",0,VLOOKUP('Flächen u. Kulturen'!P67,Kulturen[[HF]:[Berechnungsgruppe]],'#Frucht'!$T$1,FALSE))</f>
        <v>0</v>
      </c>
      <c r="AQ62" s="938">
        <f t="shared" si="32"/>
        <v>0</v>
      </c>
      <c r="AR62" s="875">
        <f t="shared" si="33"/>
        <v>0</v>
      </c>
      <c r="AS62" s="938">
        <f t="shared" si="34"/>
        <v>0</v>
      </c>
      <c r="AT62" s="875">
        <f>IF(N62=1,'Flächen u. Kulturen'!S67*-1,"--")</f>
        <v>0</v>
      </c>
      <c r="AU62" s="938">
        <f>IF(OR(N62=2,'Flächen u. Kulturen'!I67=""),"--",IF(N62=3,VLOOKUP('Flächen u. Kulturen'!I67,'#Boden'!$B$9:$E$15,'#Boden'!$D$1,FALSE),VLOOKUP('Flächen u. Kulturen'!I67,'#Boden'!$B$9:$E$15,'#Boden'!$E$1,FALSE)))</f>
        <v>0</v>
      </c>
      <c r="AV62" s="938">
        <f>IF(N62=1,IF('Flächen u. Kulturen'!J67="",0,VLOOKUP('Flächen u. Kulturen'!J67,Kulturen[[HF]:[Berechnungsgruppe]],'#Frucht'!$U$1,FALSE)*-1),"--")</f>
        <v>0</v>
      </c>
      <c r="AW62" s="875">
        <f t="shared" si="35"/>
        <v>0</v>
      </c>
      <c r="AX62" s="875">
        <f>IF('Flächen u. Kulturen'!K67="",0,'Flächen u. Kulturen'!K67*-0.1)</f>
        <v>0</v>
      </c>
      <c r="AY62" s="875">
        <f>IF(N62&lt;3,'#orgDung'!AC71*0.1*-1,"--")</f>
        <v>0</v>
      </c>
      <c r="AZ62" s="31" t="str">
        <f>IF(AND('#orgDung'!J71&lt;&gt;2,'#orgDung'!F71=1),('#orgDung'!V71+'#minDung'!O68)*-1,"--")</f>
        <v>--</v>
      </c>
      <c r="BA62" s="875">
        <f t="shared" si="22"/>
        <v>0</v>
      </c>
      <c r="BB62" s="938">
        <f>IF(R62=2,0,'Flächen u. Kulturen'!V67*-1)</f>
        <v>0</v>
      </c>
      <c r="BC62" s="875">
        <f t="shared" si="23"/>
        <v>0</v>
      </c>
      <c r="BD62" s="127">
        <f>'#orgDung'!W71*-1</f>
        <v>0</v>
      </c>
      <c r="BE62" s="910">
        <f>'#orgDung'!AA71*-1</f>
        <v>0</v>
      </c>
      <c r="BF62" s="875">
        <f>'#orgDung'!Z71*-1</f>
        <v>0</v>
      </c>
      <c r="BG62" s="938">
        <f t="shared" si="14"/>
        <v>0</v>
      </c>
      <c r="BH62" s="875">
        <f>'#Kürzungen'!AS86*-1</f>
        <v>0</v>
      </c>
      <c r="BI62" s="875">
        <f t="shared" si="36"/>
        <v>0</v>
      </c>
      <c r="BJ62" s="910">
        <f t="shared" si="37"/>
        <v>0</v>
      </c>
      <c r="BK62" s="875">
        <f>'#minDung'!P68</f>
        <v>0</v>
      </c>
      <c r="BL62" s="938">
        <f t="shared" si="15"/>
        <v>0</v>
      </c>
      <c r="BM62" s="938">
        <f t="shared" si="38"/>
        <v>0</v>
      </c>
      <c r="BN62" s="875">
        <f>IF('Flächen u. Kulturen'!P67="",0,VLOOKUP('Flächen u. Kulturen'!P67,Kulturen[[HF]:[Berechnungsgruppe]],'#Frucht'!$K$1,FALSE))</f>
        <v>0</v>
      </c>
      <c r="BO62" s="875">
        <f>IF('Flächen u. Kulturen'!P67="",0,VLOOKUP('Flächen u. Kulturen'!P67,Kulturen[[HF]:[Berechnungsgruppe]],'#Frucht'!$L$1,FALSE))</f>
        <v>0</v>
      </c>
      <c r="BP62" s="875">
        <f>IF('Flächen u. Kulturen'!L67="",0,VLOOKUP('Flächen u. Kulturen'!L67,Nebenkultur[[Nebenkultur]:[Legum. Zwischenfr.]],'#Zweitfr'!$H$1,FALSE))</f>
        <v>0</v>
      </c>
      <c r="BQ62" s="938">
        <f>IF(N62=3,W62*BO62,IF('Flächen u. Kulturen'!T67='#Boden'!$B$32,V62*BN62,V62*BO62))</f>
        <v>0</v>
      </c>
      <c r="BR62" s="938">
        <f t="shared" si="39"/>
        <v>0</v>
      </c>
      <c r="BS62" s="875">
        <f t="shared" si="24"/>
        <v>0</v>
      </c>
      <c r="BT62" s="875">
        <f>IF('Flächen u. Kulturen'!F67="",0,IF(N62=3,VLOOKUP('Flächen u. Kulturen'!F67,'#Boden'!$G$4:$J$8,'#Boden'!$J$1,FALSE),VLOOKUP('Flächen u. Kulturen'!F67,'#Boden'!$G$4:$J$8,'#Boden'!$I$1,FALSE)))</f>
        <v>0</v>
      </c>
      <c r="BU62" s="41">
        <f t="shared" si="25"/>
        <v>0</v>
      </c>
      <c r="BV62" s="875">
        <f t="shared" si="26"/>
        <v>0</v>
      </c>
      <c r="BW62" s="938" t="str">
        <f t="shared" si="16"/>
        <v/>
      </c>
      <c r="BX62" s="875">
        <f>'#orgDung'!T71*-1</f>
        <v>0</v>
      </c>
      <c r="BY62" s="875">
        <f t="shared" si="40"/>
        <v>0</v>
      </c>
      <c r="BZ62" s="938" t="str">
        <f>IF(U62&lt;&gt;"x",0,IF(P62&lt;4,"",(BW62+BX62-'#minDung'!N68)*-1))</f>
        <v/>
      </c>
      <c r="CB62" s="938">
        <f>IF(AND(AF62=70,U62="x"),'Flächen u. Kulturen'!A67,1000)</f>
        <v>1000</v>
      </c>
      <c r="CC62" s="875" t="str">
        <f>IF(AF62=70,VLOOKUP('Flächen u. Kulturen'!L67,Nebenkultur[[Nebenkultur]:[Legum. Zwischenfr.]],'#Zweitfr'!$I$1,FALSE),"--")</f>
        <v>--</v>
      </c>
      <c r="CD62" s="875" t="str">
        <f>IF(AF62=70,VLOOKUP('Flächen u. Kulturen'!L67,Nebenkultur[[Nebenkultur]:[Legum. Zwischenfr.]],'#Zweitfr'!$L$1,FALSE),"--")</f>
        <v>--</v>
      </c>
      <c r="CE62" s="875" t="str">
        <f>IF(AF62=70,VLOOKUP('Flächen u. Kulturen'!L67,Nebenkultur[[Nebenkultur]:[Legum. Zwischenfr.]],'#Zweitfr'!$M$1,FALSE),"--")</f>
        <v>--</v>
      </c>
      <c r="CF62" s="875" t="str">
        <f>IF(AF62=70,VLOOKUP('Flächen u. Kulturen'!L67,Nebenkultur[[Nebenkultur]:[Legum. Zwischenfr.]],'#Zweitfr'!$N$1,FALSE),"--")</f>
        <v>--</v>
      </c>
      <c r="CG62" s="875" t="str">
        <f>IF(AF62=70,VLOOKUP('Flächen u. Kulturen'!L67,Nebenkultur[[Nebenkultur]:[Legum. Zwischenfr.]],'#Zweitfr'!$O$1,FALSE),"--")</f>
        <v>--</v>
      </c>
      <c r="CH62" s="875" t="str">
        <f t="shared" si="41"/>
        <v>--</v>
      </c>
      <c r="CI62" s="938">
        <f>IF('Flächen u. Kulturen'!L67="",0,VLOOKUP('Flächen u. Kulturen'!L67,Nebenkultur[[Nebenkultur]:[Legum. Zwischenfr.]],'#Zweitfr'!$J$1,FALSE))</f>
        <v>0</v>
      </c>
      <c r="CJ62" s="875">
        <f t="shared" si="42"/>
        <v>0</v>
      </c>
      <c r="CK62" s="890">
        <f t="shared" si="43"/>
        <v>0</v>
      </c>
      <c r="CL62" s="938">
        <f>IF(AND(R62=1,AF62=70),'Flächen u. Kulturen'!W67*-1,0)</f>
        <v>0</v>
      </c>
      <c r="CM62" s="875">
        <f>'#orgDung'!AE71*-1</f>
        <v>0</v>
      </c>
      <c r="CN62" s="875">
        <f t="shared" si="27"/>
        <v>0</v>
      </c>
      <c r="CO62" s="875">
        <f t="shared" si="28"/>
        <v>0</v>
      </c>
      <c r="CP62" s="875">
        <f>'#Kürzungen'!AS187*-1</f>
        <v>0</v>
      </c>
      <c r="CQ62" s="875">
        <f t="shared" si="29"/>
        <v>0</v>
      </c>
      <c r="CR62" s="875">
        <f t="shared" si="30"/>
        <v>0</v>
      </c>
      <c r="CS62" s="875">
        <f>'#minDung'!R68</f>
        <v>0</v>
      </c>
      <c r="CT62" s="938">
        <f t="shared" si="18"/>
        <v>0</v>
      </c>
      <c r="CU62" s="52" t="str">
        <f>'#Kürzungen'!AQ187</f>
        <v xml:space="preserve"> </v>
      </c>
      <c r="CW62" s="247">
        <f>IF('Flächen u. Kulturen'!D67="",0,IF(ISNUMBER('Flächen u. Kulturen'!D67)=TRUE,2,1))</f>
        <v>0</v>
      </c>
      <c r="CX62" s="247">
        <f>IF('Flächen u. Kulturen'!E67="",0,COUNTIF('#Boden'!$B$47,'Flächen u. Kulturen'!E67)+1)</f>
        <v>2</v>
      </c>
      <c r="CY62" s="247">
        <f>IF('Flächen u. Kulturen'!F67="",0,COUNTIF('#Boden'!$G$4:$G$8,'Flächen u. Kulturen'!F67)+1)</f>
        <v>2</v>
      </c>
      <c r="CZ62" s="247">
        <f>IF('Flächen u. Kulturen'!G67="",0,COUNTIF('#Boden'!$B$26:$B$29,'Flächen u. Kulturen'!G67)+1)</f>
        <v>2</v>
      </c>
      <c r="DA62" s="247">
        <f>IF('Flächen u. Kulturen'!H67="",0,COUNTIF('#Boden'!$B$26:$B$29,'Flächen u. Kulturen'!H67)+1)</f>
        <v>2</v>
      </c>
      <c r="DB62" s="247">
        <f>IF('Flächen u. Kulturen'!I67="",0,COUNTIF('#Boden'!$B$9:$B$15,'Flächen u. Kulturen'!I67)+1)</f>
        <v>2</v>
      </c>
      <c r="DC62" s="247">
        <f>IF('Flächen u. Kulturen'!J67="",0,COUNTIF(Kulturen[HF],'Flächen u. Kulturen'!J67)+1)</f>
        <v>2</v>
      </c>
      <c r="DD62" s="247">
        <f>IF('Flächen u. Kulturen'!L67="",0,COUNTIF(Nebenkultur[Nebenkultur],'Flächen u. Kulturen'!L67)+1)</f>
        <v>2</v>
      </c>
      <c r="DE62" s="247">
        <f>IF('Flächen u. Kulturen'!M67="",0,COUNTIF('#Boden'!$G$17:$G$21,'Flächen u. Kulturen'!M67)+1)</f>
        <v>2</v>
      </c>
      <c r="DF62" s="247">
        <f>IF('Flächen u. Kulturen'!N67="",0,COUNTIF('#Boden'!$G$22:$G$24,'Flächen u. Kulturen'!N67)+1)</f>
        <v>2</v>
      </c>
      <c r="DG62" s="247">
        <f>IF('Flächen u. Kulturen'!P67="",0,COUNTIF(Kulturen[HF],'Flächen u. Kulturen'!P67)+1)</f>
        <v>2</v>
      </c>
      <c r="DH62" s="247">
        <f>IF('Flächen u. Kulturen'!T67="",0,COUNTIF('#Boden'!$B$30:$B$32,'Flächen u. Kulturen'!T67)+1)</f>
        <v>2</v>
      </c>
      <c r="DI62" s="247">
        <f>IF('Flächen u. Kulturen'!K67="",0,IF(ISNUMBER('Flächen u. Kulturen'!K67)=TRUE,2,1))</f>
        <v>0</v>
      </c>
      <c r="DJ62" s="247">
        <f>IF('Flächen u. Kulturen'!U67="",0,IF(ISNUMBER('Flächen u. Kulturen'!U67)=TRUE,2,1))</f>
        <v>0</v>
      </c>
      <c r="DK62" s="247">
        <f>IF('Flächen u. Kulturen'!V67="",0,IF(ISNUMBER('Flächen u. Kulturen'!V67)=TRUE,2,1))</f>
        <v>0</v>
      </c>
      <c r="DL62" s="247">
        <f>IF('Flächen u. Kulturen'!W67="",0,IF(ISNUMBER('Flächen u. Kulturen'!W67)=TRUE,2,1))</f>
        <v>0</v>
      </c>
      <c r="DM62" s="247">
        <f t="shared" si="31"/>
        <v>0</v>
      </c>
      <c r="DN62" s="247" t="s">
        <v>344</v>
      </c>
      <c r="DO62" s="247">
        <f>IF(U62&lt;&gt;"x","",IF(OR('Flächen u. Kulturen'!B67="",'Flächen u. Kulturen'!C67="",'Flächen u. Kulturen'!D67="",'Flächen u. Kulturen'!D67=0,'Flächen u. Kulturen'!F67="",'Flächen u. Kulturen'!F67='#Boden'!$G$4,'Flächen u. Kulturen'!G67="",'Flächen u. Kulturen'!G67='#Boden'!$B$26,'Flächen u. Kulturen'!H67="",'Flächen u. Kulturen'!H67='#Boden'!$B$23,AND(N62&lt;&gt;2,OR('Flächen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Kulturen'!Q67="",'#BerechnungDBE'!N62&lt;3),AND('Flächen u. Kulturen'!R67="",'#BerechnungDBE'!N62=3),AND(N62=1,AL62&gt;0,'Flächen u. Kulturen'!S67=""),AND(N62=1,OR('Flächen u. Kulturen'!T67="",'Flächen u. Kulturen'!T67='#Boden'!$B$30)),AND('#BerechnungDBE'!AF62=70,OR('Flächen u. Kulturen'!N67="",'Flächen u. Kulturen'!N67='#Boden'!$G$22,'Flächen u. Kulturen'!O67="")),AND('#BerechnungDBE'!AF62=80,OR('Flächen u. Kulturen'!M67="",'Flächen u. Kulturen'!M67='#Boden'!$G$17,'Flächen u. Kulturen'!N67="",'Flächen u. Kulturen'!N67='#Boden'!$G$22))),$DO$4,""))</f>
        <v>1</v>
      </c>
      <c r="DP62" s="247" t="str">
        <f>IF(U62&lt;&gt;"x","",IF(OR(LEFT('Flächen u. Kulturen'!J67,2)=" +",LEFT('Flächen u. Kulturen'!L67,2)=" +",LEFT('Flächen u. Kulturen'!P67,2)=" +"),$DP$4,""))</f>
        <v/>
      </c>
      <c r="DQ62" s="428" t="str">
        <f t="shared" si="44"/>
        <v/>
      </c>
      <c r="DR62" s="938" t="str">
        <f t="shared" si="45"/>
        <v/>
      </c>
      <c r="DS62" s="938" t="str">
        <f>IF('Flächen u. Kulturen'!X67="","",ROW('Flächen u. Kulturen'!X67))</f>
        <v/>
      </c>
    </row>
    <row r="63" spans="1:123" s="875" customFormat="1" x14ac:dyDescent="0.2">
      <c r="A63" s="875" t="str">
        <f>IF('Daten aus 2021'!H65="",'#Boden'!$B$26,IF('Daten aus 2021'!H65='#Boden'!$B$39,IF('Daten aus 2021'!F65='#Boden'!$B$29,'#Boden'!$B$29,IF('Daten aus 2021'!K65='#Boden'!$B$34,'#Boden'!$B$28,'#Boden'!$B$27)),'Daten aus 2021'!F65))</f>
        <v xml:space="preserve"> --</v>
      </c>
      <c r="B63" s="875" t="str">
        <f>IF('Daten aus 2021'!H65='#Boden'!$B$39,IF('Daten aus 2021'!L65='#Boden'!$B$61,'#Boden'!$B$11,'Daten aus 2021'!L65),IF('Daten aus 2021'!P65='#Boden'!$B$58,'#Boden'!$B$11,IF('Daten aus 2021'!P65='#Boden'!$B$57,'#Boden'!$B$10,'#Boden'!$B$9)))</f>
        <v xml:space="preserve"> --         </v>
      </c>
      <c r="C63" s="875" t="str">
        <f>IF('Daten aus 2021'!N65="","",VLOOKUP('Daten aus 2021'!N65,'#Boden'!$B$68:$C$89,2,FALSE))</f>
        <v/>
      </c>
      <c r="D63" s="875" t="str">
        <f>IF('Daten aus 2021'!M65="","",VLOOKUP('Daten aus 2021'!M65,'#Boden'!$D$69:$E$73,2,FALSE))</f>
        <v/>
      </c>
      <c r="E63" s="938" t="str">
        <f>IF(OR(C63='#Boden'!$C$68,C63='#Boden'!$C$70),C63,CONCATENATE(C63,D63))</f>
        <v/>
      </c>
      <c r="F63" s="882" t="str">
        <f>IFERROR(IF('Daten aus 2021'!H65="",'#Frucht'!$D$8,IF('Daten aus 2021'!H65='#Boden'!$B$39,E63,IF('Daten aus 2021'!H65='#Boden'!$B$38,IF(CONCATENATE(" ",'Daten aus 2021'!W65)=$B$2,VLOOKUP($B$3,'#Frucht'!$A$8:$D$372,4,FALSE),VLOOKUP(CONCATENATE(" ",'Daten aus 2021'!W65),'#Frucht'!$A$8:$D$372,4,FALSE)),IF(OR(LEFT('Daten aus 2021'!Q65,5)=" *10 ",LEFT('Daten aus 2021'!Q65,5)=" *11 ",LEFT('Daten aus 2021'!Q65,5)=" *12 ",LEFT('Daten aus 2021'!Q65,5)=" *13 ",LEFT('Daten aus 2021'!Q65,5)=" *14 ",LEFT('Daten aus 2021'!Q65,5)=" *15 "),VLOOKUP(RIGHT('Daten aus 2021'!Q65,LEN('Daten aus 2021'!Q65)-4),'#Frucht'!$A$8:$D$372,4,FALSE),IF(LEFT('Daten aus 2021'!Q65,2)=" *",VLOOKUP(RIGHT('Daten aus 2021'!Q65,LEN('Daten aus 2021'!Q65)-3),'#Frucht'!$A$8:$D$372,4,FALSE),VLOOKUP('Daten aus 2021'!Q65,'#Frucht'!$A$8:$D$372,4,FALSE)))))),'#Frucht'!$D$8)</f>
        <v xml:space="preserve"> --  </v>
      </c>
      <c r="G63" s="127"/>
      <c r="H63" s="31"/>
      <c r="J63" s="938" t="str">
        <f>IF(OR(N63=3,$K$3=0,'Flächen u. Kulturen'!P68=""),"",IF(VLOOKUP('Flächen u. Kulturen'!P68,Kulturen[[HF]:[780]],'#BerechnungDBE'!$K$3,FALSE)=".","",VLOOKUP('Flächen u. Kulturen'!P68,Kulturen[[HF]:[780]],'#BerechnungDBE'!$K$3,FALSE)))</f>
        <v/>
      </c>
      <c r="K63" s="938" t="str">
        <f>IF(OR($K$3=0,'Flächen u. Kulturen'!P68=""),"",IF(N63=3,IF(VLOOKUP('Flächen u. Kulturen'!P68,Kulturen[[HF]:[780]],'#BerechnungDBE'!$K$3,FALSE)=".","",VLOOKUP('Flächen u. Kulturen'!P68,Kulturen[[HF]:[780]],'#BerechnungDBE'!$K$3,FALSE)),""))</f>
        <v/>
      </c>
      <c r="L63" s="367">
        <f>IF('Flächen u. Kulturen'!D68="",0,'Flächen u. Kulturen'!D68)</f>
        <v>0</v>
      </c>
      <c r="M63" s="693">
        <f>IF('Flächen u. Kulturen'!J68="",0,VLOOKUP('Flächen u. Kulturen'!J68,Kulturen[[HF]:[Berechnungsgruppe]],'#Frucht'!$W$1,FALSE))</f>
        <v>1</v>
      </c>
      <c r="N63" s="693">
        <f>IF('Flächen u. Kulturen'!P68="",0,VLOOKUP('Flächen u. Kulturen'!P68,Kulturen[[HF]:[Berechnungsgruppe]],'#Frucht'!$W$1,FALSE))</f>
        <v>1</v>
      </c>
      <c r="O63" s="875">
        <f>IF(N63&lt;&gt;2,N63,IF('Flächen u. Kulturen'!J68='Flächen u. Kulturen'!P68,2,1))</f>
        <v>1</v>
      </c>
      <c r="P63" s="875">
        <f>IF('Flächen u. Kulturen'!F68="",0,VLOOKUP('Flächen u. Kulturen'!F68,'#Boden'!$G$4:$H$8,'#Boden'!$H$1,FALSE))</f>
        <v>1</v>
      </c>
      <c r="Q63" s="875">
        <f>IF('Flächen u. Kulturen'!G68="",0,VLOOKUP('Flächen u. Kulturen'!G68,'#Boden'!$B$26:$C$29,'#Boden'!$C$1,FALSE))</f>
        <v>1</v>
      </c>
      <c r="R63" s="875">
        <f t="shared" si="19"/>
        <v>1</v>
      </c>
      <c r="S63" s="875">
        <f t="shared" si="20"/>
        <v>1</v>
      </c>
      <c r="T63" s="875">
        <f>IF('Flächen u. Kulturen'!H68="",0,VLOOKUP('Flächen u. Kulturen'!H68,'#Boden'!$B$23:$C$25,'#Boden'!$C$1,FALSE))</f>
        <v>2</v>
      </c>
      <c r="U63" s="875" t="str">
        <f>'Flächen u. Kulturen'!E68</f>
        <v>x</v>
      </c>
      <c r="V63" s="938">
        <f>IF('Flächen u. Kulturen'!Q68="",0,_xlfn.NUMBERVALUE('Flächen u. Kulturen'!Q68))</f>
        <v>0</v>
      </c>
      <c r="W63" s="938">
        <f>IF('Flächen u. Kulturen'!R68="",0,_xlfn.NUMBERVALUE('Flächen u. Kulturen'!R68))</f>
        <v>0</v>
      </c>
      <c r="X63" s="875">
        <f>IF('Flächen u. Kulturen'!T68="",0,VLOOKUP('Flächen u. Kulturen'!T68,'#Boden'!$B$30:$C$32,'#Boden'!$C$1,FALSE))</f>
        <v>1</v>
      </c>
      <c r="Y63" s="875">
        <f>IF('Flächen u. Kulturen'!P68="",0,VLOOKUP('Flächen u. Kulturen'!P68,Kulturen[[HF]:[Berechnungsgruppe]],'#Frucht'!$N$1,FALSE))</f>
        <v>0</v>
      </c>
      <c r="Z63" s="875">
        <f t="shared" si="21"/>
        <v>2</v>
      </c>
      <c r="AA63" s="875">
        <f>IF('Flächen u. Kulturen'!P68="",0,VLOOKUP('Flächen u. Kulturen'!P68,Kulturen[[HF]:[Berechnungsgruppe]],'#Frucht'!$V$1,FALSE))</f>
        <v>0</v>
      </c>
      <c r="AB63" s="875">
        <f>IF(N63=1,VLOOKUP('Flächen u. Kulturen'!P68,Kulturen[[HF]:[Ernteprodukt]],'#Frucht'!$I$1,FALSE),4)</f>
        <v>4</v>
      </c>
      <c r="AC63" s="921">
        <f>IF('Flächen u. Kulturen'!J68="",0,VLOOKUP('Flächen u. Kulturen'!J68,Kulturen[[HF]:[Berechnungsgruppe]],'#Frucht'!$G$1,FALSE))</f>
        <v>90</v>
      </c>
      <c r="AD63" s="921">
        <f>IF('Flächen u. Kulturen'!P68="",0,VLOOKUP('Flächen u. Kulturen'!P68,Kulturen[[HF]:[Berechnungsgruppe]],'#Frucht'!$G$1,FALSE))</f>
        <v>90</v>
      </c>
      <c r="AE63" s="938">
        <f>IF('Flächen u. Kulturen'!P68="",0,VLOOKUP('Flächen u. Kulturen'!P68,Kulturen[[HF]:[SollwertMinusNfix]],'#Frucht'!$X$1,FALSE))</f>
        <v>0</v>
      </c>
      <c r="AF63" s="875">
        <f>IF('Flächen u. Kulturen'!L68="",0,VLOOKUP('Flächen u. Kulturen'!L68,Nebenkultur[[Nebenkultur]:[Berechnungsschema]],'#Zweitfr'!$G$1,FALSE))</f>
        <v>0</v>
      </c>
      <c r="AG63" s="875">
        <f>IF('Flächen u. Kulturen'!L68="",0,VLOOKUP('Flächen u. Kulturen'!L68,'#Zweitfr'!$D$8:$Q$27,'#Zweitfr'!$Q$1,FALSE))</f>
        <v>0</v>
      </c>
      <c r="AH63" s="875">
        <f>IF('Flächen u. Kulturen'!M68="",0,VLOOKUP('Flächen u. Kulturen'!M68,'#Boden'!$G$17:$H$21,2,FALSE))</f>
        <v>1</v>
      </c>
      <c r="AI63" s="875">
        <f>IF('Flächen u. Kulturen'!N68="",0,VLOOKUP('Flächen u. Kulturen'!N68,'#Boden'!$G$22:$H$24,'#Boden'!$H$1,FALSE))</f>
        <v>1</v>
      </c>
      <c r="AJ63" s="938">
        <f>IF('Flächen u. Kulturen'!O68="",0,_xlfn.NUMBERVALUE('Flächen u. Kulturen'!O68))</f>
        <v>0</v>
      </c>
      <c r="AK63" s="938">
        <f>IF('Flächen u. Kulturen'!L68="",0,VLOOKUP('Flächen u. Kulturen'!L68,Nebenkultur[[Nebenkultur]:[Legum. Zwischenfr.]],'#Zweitfr'!$P$1,FALSE))</f>
        <v>0</v>
      </c>
      <c r="AL63" s="875">
        <f>IF('Flächen u. Kulturen'!P68="",0,VLOOKUP('Flächen u. Kulturen'!P68,Kulturen[[HF]:[Berechnungsgruppe]],'#Frucht'!$Q$1,FALSE))</f>
        <v>0</v>
      </c>
      <c r="AM63" s="875">
        <f>IF('Flächen u. Kulturen'!P68="",0,VLOOKUP('Flächen u. Kulturen'!P68,Kulturen[[HF]:[Berechnungsgruppe]],'#Frucht'!$M$1,FALSE))</f>
        <v>0</v>
      </c>
      <c r="AN63" s="875">
        <f>IF('Flächen u. Kulturen'!P68="",1,VLOOKUP('Flächen u. Kulturen'!P68,Kulturen[[HF]:[Berechnungsgruppe]],'#Frucht'!$R$1,FALSE))</f>
        <v>10</v>
      </c>
      <c r="AO63" s="875">
        <f>IF('Flächen u. Kulturen'!P68="",0,VLOOKUP('Flächen u. Kulturen'!P68,Kulturen[[HF]:[Berechnungsgruppe]],'#Frucht'!$S$1,FALSE))</f>
        <v>0</v>
      </c>
      <c r="AP63" s="875">
        <f>IF('Flächen u. Kulturen'!P68="",0,VLOOKUP('Flächen u. Kulturen'!P68,Kulturen[[HF]:[Berechnungsgruppe]],'#Frucht'!$T$1,FALSE))</f>
        <v>0</v>
      </c>
      <c r="AQ63" s="938">
        <f t="shared" si="32"/>
        <v>0</v>
      </c>
      <c r="AR63" s="875">
        <f t="shared" si="33"/>
        <v>0</v>
      </c>
      <c r="AS63" s="938">
        <f t="shared" si="34"/>
        <v>0</v>
      </c>
      <c r="AT63" s="875">
        <f>IF(N63=1,'Flächen u. Kulturen'!S68*-1,"--")</f>
        <v>0</v>
      </c>
      <c r="AU63" s="938">
        <f>IF(OR(N63=2,'Flächen u. Kulturen'!I68=""),"--",IF(N63=3,VLOOKUP('Flächen u. Kulturen'!I68,'#Boden'!$B$9:$E$15,'#Boden'!$D$1,FALSE),VLOOKUP('Flächen u. Kulturen'!I68,'#Boden'!$B$9:$E$15,'#Boden'!$E$1,FALSE)))</f>
        <v>0</v>
      </c>
      <c r="AV63" s="938">
        <f>IF(N63=1,IF('Flächen u. Kulturen'!J68="",0,VLOOKUP('Flächen u. Kulturen'!J68,Kulturen[[HF]:[Berechnungsgruppe]],'#Frucht'!$U$1,FALSE)*-1),"--")</f>
        <v>0</v>
      </c>
      <c r="AW63" s="875">
        <f t="shared" si="35"/>
        <v>0</v>
      </c>
      <c r="AX63" s="875">
        <f>IF('Flächen u. Kulturen'!K68="",0,'Flächen u. Kulturen'!K68*-0.1)</f>
        <v>0</v>
      </c>
      <c r="AY63" s="875">
        <f>IF(N63&lt;3,'#orgDung'!AC72*0.1*-1,"--")</f>
        <v>0</v>
      </c>
      <c r="AZ63" s="31" t="str">
        <f>IF(AND('#orgDung'!J72&lt;&gt;2,'#orgDung'!F72=1),('#orgDung'!V72+'#minDung'!O69)*-1,"--")</f>
        <v>--</v>
      </c>
      <c r="BA63" s="875">
        <f t="shared" si="22"/>
        <v>0</v>
      </c>
      <c r="BB63" s="938">
        <f>IF(R63=2,0,'Flächen u. Kulturen'!V68*-1)</f>
        <v>0</v>
      </c>
      <c r="BC63" s="875">
        <f t="shared" si="23"/>
        <v>0</v>
      </c>
      <c r="BD63" s="127">
        <f>'#orgDung'!W72*-1</f>
        <v>0</v>
      </c>
      <c r="BE63" s="910">
        <f>'#orgDung'!AA72*-1</f>
        <v>0</v>
      </c>
      <c r="BF63" s="875">
        <f>'#orgDung'!Z72*-1</f>
        <v>0</v>
      </c>
      <c r="BG63" s="938">
        <f t="shared" si="14"/>
        <v>0</v>
      </c>
      <c r="BH63" s="875">
        <f>'#Kürzungen'!AS87*-1</f>
        <v>0</v>
      </c>
      <c r="BI63" s="875">
        <f t="shared" si="36"/>
        <v>0</v>
      </c>
      <c r="BJ63" s="910">
        <f t="shared" si="37"/>
        <v>0</v>
      </c>
      <c r="BK63" s="875">
        <f>'#minDung'!P69</f>
        <v>0</v>
      </c>
      <c r="BL63" s="938">
        <f t="shared" si="15"/>
        <v>0</v>
      </c>
      <c r="BM63" s="938">
        <f t="shared" si="38"/>
        <v>0</v>
      </c>
      <c r="BN63" s="875">
        <f>IF('Flächen u. Kulturen'!P68="",0,VLOOKUP('Flächen u. Kulturen'!P68,Kulturen[[HF]:[Berechnungsgruppe]],'#Frucht'!$K$1,FALSE))</f>
        <v>0</v>
      </c>
      <c r="BO63" s="875">
        <f>IF('Flächen u. Kulturen'!P68="",0,VLOOKUP('Flächen u. Kulturen'!P68,Kulturen[[HF]:[Berechnungsgruppe]],'#Frucht'!$L$1,FALSE))</f>
        <v>0</v>
      </c>
      <c r="BP63" s="875">
        <f>IF('Flächen u. Kulturen'!L68="",0,VLOOKUP('Flächen u. Kulturen'!L68,Nebenkultur[[Nebenkultur]:[Legum. Zwischenfr.]],'#Zweitfr'!$H$1,FALSE))</f>
        <v>0</v>
      </c>
      <c r="BQ63" s="938">
        <f>IF(N63=3,W63*BO63,IF('Flächen u. Kulturen'!T68='#Boden'!$B$32,V63*BN63,V63*BO63))</f>
        <v>0</v>
      </c>
      <c r="BR63" s="938">
        <f t="shared" si="39"/>
        <v>0</v>
      </c>
      <c r="BS63" s="875">
        <f t="shared" si="24"/>
        <v>0</v>
      </c>
      <c r="BT63" s="875">
        <f>IF('Flächen u. Kulturen'!F68="",0,IF(N63=3,VLOOKUP('Flächen u. Kulturen'!F68,'#Boden'!$G$4:$J$8,'#Boden'!$J$1,FALSE),VLOOKUP('Flächen u. Kulturen'!F68,'#Boden'!$G$4:$J$8,'#Boden'!$I$1,FALSE)))</f>
        <v>0</v>
      </c>
      <c r="BU63" s="41">
        <f t="shared" si="25"/>
        <v>0</v>
      </c>
      <c r="BV63" s="875">
        <f t="shared" si="26"/>
        <v>0</v>
      </c>
      <c r="BW63" s="938" t="str">
        <f t="shared" si="16"/>
        <v/>
      </c>
      <c r="BX63" s="875">
        <f>'#orgDung'!T72*-1</f>
        <v>0</v>
      </c>
      <c r="BY63" s="875">
        <f t="shared" si="40"/>
        <v>0</v>
      </c>
      <c r="BZ63" s="938" t="str">
        <f>IF(U63&lt;&gt;"x",0,IF(P63&lt;4,"",(BW63+BX63-'#minDung'!N69)*-1))</f>
        <v/>
      </c>
      <c r="CB63" s="938">
        <f>IF(AND(AF63=70,U63="x"),'Flächen u. Kulturen'!A68,1000)</f>
        <v>1000</v>
      </c>
      <c r="CC63" s="875" t="str">
        <f>IF(AF63=70,VLOOKUP('Flächen u. Kulturen'!L68,Nebenkultur[[Nebenkultur]:[Legum. Zwischenfr.]],'#Zweitfr'!$I$1,FALSE),"--")</f>
        <v>--</v>
      </c>
      <c r="CD63" s="875" t="str">
        <f>IF(AF63=70,VLOOKUP('Flächen u. Kulturen'!L68,Nebenkultur[[Nebenkultur]:[Legum. Zwischenfr.]],'#Zweitfr'!$L$1,FALSE),"--")</f>
        <v>--</v>
      </c>
      <c r="CE63" s="875" t="str">
        <f>IF(AF63=70,VLOOKUP('Flächen u. Kulturen'!L68,Nebenkultur[[Nebenkultur]:[Legum. Zwischenfr.]],'#Zweitfr'!$M$1,FALSE),"--")</f>
        <v>--</v>
      </c>
      <c r="CF63" s="875" t="str">
        <f>IF(AF63=70,VLOOKUP('Flächen u. Kulturen'!L68,Nebenkultur[[Nebenkultur]:[Legum. Zwischenfr.]],'#Zweitfr'!$N$1,FALSE),"--")</f>
        <v>--</v>
      </c>
      <c r="CG63" s="875" t="str">
        <f>IF(AF63=70,VLOOKUP('Flächen u. Kulturen'!L68,Nebenkultur[[Nebenkultur]:[Legum. Zwischenfr.]],'#Zweitfr'!$O$1,FALSE),"--")</f>
        <v>--</v>
      </c>
      <c r="CH63" s="875" t="str">
        <f t="shared" si="41"/>
        <v>--</v>
      </c>
      <c r="CI63" s="938">
        <f>IF('Flächen u. Kulturen'!L68="",0,VLOOKUP('Flächen u. Kulturen'!L68,Nebenkultur[[Nebenkultur]:[Legum. Zwischenfr.]],'#Zweitfr'!$J$1,FALSE))</f>
        <v>0</v>
      </c>
      <c r="CJ63" s="875">
        <f t="shared" si="42"/>
        <v>0</v>
      </c>
      <c r="CK63" s="890">
        <f t="shared" si="43"/>
        <v>0</v>
      </c>
      <c r="CL63" s="938">
        <f>IF(AND(R63=1,AF63=70),'Flächen u. Kulturen'!W68*-1,0)</f>
        <v>0</v>
      </c>
      <c r="CM63" s="875">
        <f>'#orgDung'!AE72*-1</f>
        <v>0</v>
      </c>
      <c r="CN63" s="875">
        <f t="shared" si="27"/>
        <v>0</v>
      </c>
      <c r="CO63" s="875">
        <f t="shared" si="28"/>
        <v>0</v>
      </c>
      <c r="CP63" s="875">
        <f>'#Kürzungen'!AS188*-1</f>
        <v>0</v>
      </c>
      <c r="CQ63" s="875">
        <f t="shared" si="29"/>
        <v>0</v>
      </c>
      <c r="CR63" s="875">
        <f t="shared" si="30"/>
        <v>0</v>
      </c>
      <c r="CS63" s="875">
        <f>'#minDung'!R69</f>
        <v>0</v>
      </c>
      <c r="CT63" s="938">
        <f t="shared" si="18"/>
        <v>0</v>
      </c>
      <c r="CU63" s="52" t="str">
        <f>'#Kürzungen'!AQ188</f>
        <v xml:space="preserve"> </v>
      </c>
      <c r="CW63" s="247">
        <f>IF('Flächen u. Kulturen'!D68="",0,IF(ISNUMBER('Flächen u. Kulturen'!D68)=TRUE,2,1))</f>
        <v>0</v>
      </c>
      <c r="CX63" s="247">
        <f>IF('Flächen u. Kulturen'!E68="",0,COUNTIF('#Boden'!$B$47,'Flächen u. Kulturen'!E68)+1)</f>
        <v>2</v>
      </c>
      <c r="CY63" s="247">
        <f>IF('Flächen u. Kulturen'!F68="",0,COUNTIF('#Boden'!$G$4:$G$8,'Flächen u. Kulturen'!F68)+1)</f>
        <v>2</v>
      </c>
      <c r="CZ63" s="247">
        <f>IF('Flächen u. Kulturen'!G68="",0,COUNTIF('#Boden'!$B$26:$B$29,'Flächen u. Kulturen'!G68)+1)</f>
        <v>2</v>
      </c>
      <c r="DA63" s="247">
        <f>IF('Flächen u. Kulturen'!H68="",0,COUNTIF('#Boden'!$B$26:$B$29,'Flächen u. Kulturen'!H68)+1)</f>
        <v>2</v>
      </c>
      <c r="DB63" s="247">
        <f>IF('Flächen u. Kulturen'!I68="",0,COUNTIF('#Boden'!$B$9:$B$15,'Flächen u. Kulturen'!I68)+1)</f>
        <v>2</v>
      </c>
      <c r="DC63" s="247">
        <f>IF('Flächen u. Kulturen'!J68="",0,COUNTIF(Kulturen[HF],'Flächen u. Kulturen'!J68)+1)</f>
        <v>2</v>
      </c>
      <c r="DD63" s="247">
        <f>IF('Flächen u. Kulturen'!L68="",0,COUNTIF(Nebenkultur[Nebenkultur],'Flächen u. Kulturen'!L68)+1)</f>
        <v>2</v>
      </c>
      <c r="DE63" s="247">
        <f>IF('Flächen u. Kulturen'!M68="",0,COUNTIF('#Boden'!$G$17:$G$21,'Flächen u. Kulturen'!M68)+1)</f>
        <v>2</v>
      </c>
      <c r="DF63" s="247">
        <f>IF('Flächen u. Kulturen'!N68="",0,COUNTIF('#Boden'!$G$22:$G$24,'Flächen u. Kulturen'!N68)+1)</f>
        <v>2</v>
      </c>
      <c r="DG63" s="247">
        <f>IF('Flächen u. Kulturen'!P68="",0,COUNTIF(Kulturen[HF],'Flächen u. Kulturen'!P68)+1)</f>
        <v>2</v>
      </c>
      <c r="DH63" s="247">
        <f>IF('Flächen u. Kulturen'!T68="",0,COUNTIF('#Boden'!$B$30:$B$32,'Flächen u. Kulturen'!T68)+1)</f>
        <v>2</v>
      </c>
      <c r="DI63" s="247">
        <f>IF('Flächen u. Kulturen'!K68="",0,IF(ISNUMBER('Flächen u. Kulturen'!K68)=TRUE,2,1))</f>
        <v>0</v>
      </c>
      <c r="DJ63" s="247">
        <f>IF('Flächen u. Kulturen'!U68="",0,IF(ISNUMBER('Flächen u. Kulturen'!U68)=TRUE,2,1))</f>
        <v>0</v>
      </c>
      <c r="DK63" s="247">
        <f>IF('Flächen u. Kulturen'!V68="",0,IF(ISNUMBER('Flächen u. Kulturen'!V68)=TRUE,2,1))</f>
        <v>0</v>
      </c>
      <c r="DL63" s="247">
        <f>IF('Flächen u. Kulturen'!W68="",0,IF(ISNUMBER('Flächen u. Kulturen'!W68)=TRUE,2,1))</f>
        <v>0</v>
      </c>
      <c r="DM63" s="247">
        <f t="shared" si="31"/>
        <v>0</v>
      </c>
      <c r="DN63" s="247" t="s">
        <v>344</v>
      </c>
      <c r="DO63" s="247">
        <f>IF(U63&lt;&gt;"x","",IF(OR('Flächen u. Kulturen'!B68="",'Flächen u. Kulturen'!C68="",'Flächen u. Kulturen'!D68="",'Flächen u. Kulturen'!D68=0,'Flächen u. Kulturen'!F68="",'Flächen u. Kulturen'!F68='#Boden'!$G$4,'Flächen u. Kulturen'!G68="",'Flächen u. Kulturen'!G68='#Boden'!$B$26,'Flächen u. Kulturen'!H68="",'Flächen u. Kulturen'!H68='#Boden'!$B$23,AND(N63&lt;&gt;2,OR('Flächen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Kulturen'!Q68="",'#BerechnungDBE'!N63&lt;3),AND('Flächen u. Kulturen'!R68="",'#BerechnungDBE'!N63=3),AND(N63=1,AL63&gt;0,'Flächen u. Kulturen'!S68=""),AND(N63=1,OR('Flächen u. Kulturen'!T68="",'Flächen u. Kulturen'!T68='#Boden'!$B$30)),AND('#BerechnungDBE'!AF63=70,OR('Flächen u. Kulturen'!N68="",'Flächen u. Kulturen'!N68='#Boden'!$G$22,'Flächen u. Kulturen'!O68="")),AND('#BerechnungDBE'!AF63=80,OR('Flächen u. Kulturen'!M68="",'Flächen u. Kulturen'!M68='#Boden'!$G$17,'Flächen u. Kulturen'!N68="",'Flächen u. Kulturen'!N68='#Boden'!$G$22))),$DO$4,""))</f>
        <v>1</v>
      </c>
      <c r="DP63" s="247" t="str">
        <f>IF(U63&lt;&gt;"x","",IF(OR(LEFT('Flächen u. Kulturen'!J68,2)=" +",LEFT('Flächen u. Kulturen'!L68,2)=" +",LEFT('Flächen u. Kulturen'!P68,2)=" +"),$DP$4,""))</f>
        <v/>
      </c>
      <c r="DQ63" s="428" t="str">
        <f t="shared" si="44"/>
        <v/>
      </c>
      <c r="DR63" s="938" t="str">
        <f t="shared" si="45"/>
        <v/>
      </c>
      <c r="DS63" s="938" t="str">
        <f>IF('Flächen u. Kulturen'!X68="","",ROW('Flächen u. Kulturen'!X68))</f>
        <v/>
      </c>
    </row>
    <row r="64" spans="1:123" s="875" customFormat="1" x14ac:dyDescent="0.2">
      <c r="A64" s="875" t="str">
        <f>IF('Daten aus 2021'!H66="",'#Boden'!$B$26,IF('Daten aus 2021'!H66='#Boden'!$B$39,IF('Daten aus 2021'!F66='#Boden'!$B$29,'#Boden'!$B$29,IF('Daten aus 2021'!K66='#Boden'!$B$34,'#Boden'!$B$28,'#Boden'!$B$27)),'Daten aus 2021'!F66))</f>
        <v xml:space="preserve"> --</v>
      </c>
      <c r="B64" s="875" t="str">
        <f>IF('Daten aus 2021'!H66='#Boden'!$B$39,IF('Daten aus 2021'!L66='#Boden'!$B$61,'#Boden'!$B$11,'Daten aus 2021'!L66),IF('Daten aus 2021'!P66='#Boden'!$B$58,'#Boden'!$B$11,IF('Daten aus 2021'!P66='#Boden'!$B$57,'#Boden'!$B$10,'#Boden'!$B$9)))</f>
        <v xml:space="preserve"> --         </v>
      </c>
      <c r="C64" s="875" t="str">
        <f>IF('Daten aus 2021'!N66="","",VLOOKUP('Daten aus 2021'!N66,'#Boden'!$B$68:$C$89,2,FALSE))</f>
        <v/>
      </c>
      <c r="D64" s="875" t="str">
        <f>IF('Daten aus 2021'!M66="","",VLOOKUP('Daten aus 2021'!M66,'#Boden'!$D$69:$E$73,2,FALSE))</f>
        <v/>
      </c>
      <c r="E64" s="938" t="str">
        <f>IF(OR(C64='#Boden'!$C$68,C64='#Boden'!$C$70),C64,CONCATENATE(C64,D64))</f>
        <v/>
      </c>
      <c r="F64" s="882" t="str">
        <f>IFERROR(IF('Daten aus 2021'!H66="",'#Frucht'!$D$8,IF('Daten aus 2021'!H66='#Boden'!$B$39,E64,IF('Daten aus 2021'!H66='#Boden'!$B$38,IF(CONCATENATE(" ",'Daten aus 2021'!W66)=$B$2,VLOOKUP($B$3,'#Frucht'!$A$8:$D$372,4,FALSE),VLOOKUP(CONCATENATE(" ",'Daten aus 2021'!W66),'#Frucht'!$A$8:$D$372,4,FALSE)),IF(OR(LEFT('Daten aus 2021'!Q66,5)=" *10 ",LEFT('Daten aus 2021'!Q66,5)=" *11 ",LEFT('Daten aus 2021'!Q66,5)=" *12 ",LEFT('Daten aus 2021'!Q66,5)=" *13 ",LEFT('Daten aus 2021'!Q66,5)=" *14 ",LEFT('Daten aus 2021'!Q66,5)=" *15 "),VLOOKUP(RIGHT('Daten aus 2021'!Q66,LEN('Daten aus 2021'!Q66)-4),'#Frucht'!$A$8:$D$372,4,FALSE),IF(LEFT('Daten aus 2021'!Q66,2)=" *",VLOOKUP(RIGHT('Daten aus 2021'!Q66,LEN('Daten aus 2021'!Q66)-3),'#Frucht'!$A$8:$D$372,4,FALSE),VLOOKUP('Daten aus 2021'!Q66,'#Frucht'!$A$8:$D$372,4,FALSE)))))),'#Frucht'!$D$8)</f>
        <v xml:space="preserve"> --  </v>
      </c>
      <c r="G64" s="127"/>
      <c r="H64" s="31"/>
      <c r="J64" s="938" t="str">
        <f>IF(OR(N64=3,$K$3=0,'Flächen u. Kulturen'!P69=""),"",IF(VLOOKUP('Flächen u. Kulturen'!P69,Kulturen[[HF]:[780]],'#BerechnungDBE'!$K$3,FALSE)=".","",VLOOKUP('Flächen u. Kulturen'!P69,Kulturen[[HF]:[780]],'#BerechnungDBE'!$K$3,FALSE)))</f>
        <v/>
      </c>
      <c r="K64" s="938" t="str">
        <f>IF(OR($K$3=0,'Flächen u. Kulturen'!P69=""),"",IF(N64=3,IF(VLOOKUP('Flächen u. Kulturen'!P69,Kulturen[[HF]:[780]],'#BerechnungDBE'!$K$3,FALSE)=".","",VLOOKUP('Flächen u. Kulturen'!P69,Kulturen[[HF]:[780]],'#BerechnungDBE'!$K$3,FALSE)),""))</f>
        <v/>
      </c>
      <c r="L64" s="367">
        <f>IF('Flächen u. Kulturen'!D69="",0,'Flächen u. Kulturen'!D69)</f>
        <v>0</v>
      </c>
      <c r="M64" s="693">
        <f>IF('Flächen u. Kulturen'!J69="",0,VLOOKUP('Flächen u. Kulturen'!J69,Kulturen[[HF]:[Berechnungsgruppe]],'#Frucht'!$W$1,FALSE))</f>
        <v>1</v>
      </c>
      <c r="N64" s="693">
        <f>IF('Flächen u. Kulturen'!P69="",0,VLOOKUP('Flächen u. Kulturen'!P69,Kulturen[[HF]:[Berechnungsgruppe]],'#Frucht'!$W$1,FALSE))</f>
        <v>1</v>
      </c>
      <c r="O64" s="875">
        <f>IF(N64&lt;&gt;2,N64,IF('Flächen u. Kulturen'!J69='Flächen u. Kulturen'!P69,2,1))</f>
        <v>1</v>
      </c>
      <c r="P64" s="875">
        <f>IF('Flächen u. Kulturen'!F69="",0,VLOOKUP('Flächen u. Kulturen'!F69,'#Boden'!$G$4:$H$8,'#Boden'!$H$1,FALSE))</f>
        <v>1</v>
      </c>
      <c r="Q64" s="875">
        <f>IF('Flächen u. Kulturen'!G69="",0,VLOOKUP('Flächen u. Kulturen'!G69,'#Boden'!$B$26:$C$29,'#Boden'!$C$1,FALSE))</f>
        <v>1</v>
      </c>
      <c r="R64" s="875">
        <f t="shared" si="19"/>
        <v>1</v>
      </c>
      <c r="S64" s="875">
        <f t="shared" si="20"/>
        <v>1</v>
      </c>
      <c r="T64" s="875">
        <f>IF('Flächen u. Kulturen'!H69="",0,VLOOKUP('Flächen u. Kulturen'!H69,'#Boden'!$B$23:$C$25,'#Boden'!$C$1,FALSE))</f>
        <v>2</v>
      </c>
      <c r="U64" s="875" t="str">
        <f>'Flächen u. Kulturen'!E69</f>
        <v>x</v>
      </c>
      <c r="V64" s="938">
        <f>IF('Flächen u. Kulturen'!Q69="",0,_xlfn.NUMBERVALUE('Flächen u. Kulturen'!Q69))</f>
        <v>0</v>
      </c>
      <c r="W64" s="938">
        <f>IF('Flächen u. Kulturen'!R69="",0,_xlfn.NUMBERVALUE('Flächen u. Kulturen'!R69))</f>
        <v>0</v>
      </c>
      <c r="X64" s="875">
        <f>IF('Flächen u. Kulturen'!T69="",0,VLOOKUP('Flächen u. Kulturen'!T69,'#Boden'!$B$30:$C$32,'#Boden'!$C$1,FALSE))</f>
        <v>1</v>
      </c>
      <c r="Y64" s="875">
        <f>IF('Flächen u. Kulturen'!P69="",0,VLOOKUP('Flächen u. Kulturen'!P69,Kulturen[[HF]:[Berechnungsgruppe]],'#Frucht'!$N$1,FALSE))</f>
        <v>0</v>
      </c>
      <c r="Z64" s="875">
        <f t="shared" si="21"/>
        <v>2</v>
      </c>
      <c r="AA64" s="875">
        <f>IF('Flächen u. Kulturen'!P69="",0,VLOOKUP('Flächen u. Kulturen'!P69,Kulturen[[HF]:[Berechnungsgruppe]],'#Frucht'!$V$1,FALSE))</f>
        <v>0</v>
      </c>
      <c r="AB64" s="875">
        <f>IF(N64=1,VLOOKUP('Flächen u. Kulturen'!P69,Kulturen[[HF]:[Ernteprodukt]],'#Frucht'!$I$1,FALSE),4)</f>
        <v>4</v>
      </c>
      <c r="AC64" s="921">
        <f>IF('Flächen u. Kulturen'!J69="",0,VLOOKUP('Flächen u. Kulturen'!J69,Kulturen[[HF]:[Berechnungsgruppe]],'#Frucht'!$G$1,FALSE))</f>
        <v>90</v>
      </c>
      <c r="AD64" s="921">
        <f>IF('Flächen u. Kulturen'!P69="",0,VLOOKUP('Flächen u. Kulturen'!P69,Kulturen[[HF]:[Berechnungsgruppe]],'#Frucht'!$G$1,FALSE))</f>
        <v>90</v>
      </c>
      <c r="AE64" s="938">
        <f>IF('Flächen u. Kulturen'!P69="",0,VLOOKUP('Flächen u. Kulturen'!P69,Kulturen[[HF]:[SollwertMinusNfix]],'#Frucht'!$X$1,FALSE))</f>
        <v>0</v>
      </c>
      <c r="AF64" s="875">
        <f>IF('Flächen u. Kulturen'!L69="",0,VLOOKUP('Flächen u. Kulturen'!L69,Nebenkultur[[Nebenkultur]:[Berechnungsschema]],'#Zweitfr'!$G$1,FALSE))</f>
        <v>0</v>
      </c>
      <c r="AG64" s="875">
        <f>IF('Flächen u. Kulturen'!L69="",0,VLOOKUP('Flächen u. Kulturen'!L69,'#Zweitfr'!$D$8:$Q$27,'#Zweitfr'!$Q$1,FALSE))</f>
        <v>0</v>
      </c>
      <c r="AH64" s="875">
        <f>IF('Flächen u. Kulturen'!M69="",0,VLOOKUP('Flächen u. Kulturen'!M69,'#Boden'!$G$17:$H$21,2,FALSE))</f>
        <v>1</v>
      </c>
      <c r="AI64" s="875">
        <f>IF('Flächen u. Kulturen'!N69="",0,VLOOKUP('Flächen u. Kulturen'!N69,'#Boden'!$G$22:$H$24,'#Boden'!$H$1,FALSE))</f>
        <v>1</v>
      </c>
      <c r="AJ64" s="938">
        <f>IF('Flächen u. Kulturen'!O69="",0,_xlfn.NUMBERVALUE('Flächen u. Kulturen'!O69))</f>
        <v>0</v>
      </c>
      <c r="AK64" s="938">
        <f>IF('Flächen u. Kulturen'!L69="",0,VLOOKUP('Flächen u. Kulturen'!L69,Nebenkultur[[Nebenkultur]:[Legum. Zwischenfr.]],'#Zweitfr'!$P$1,FALSE))</f>
        <v>0</v>
      </c>
      <c r="AL64" s="875">
        <f>IF('Flächen u. Kulturen'!P69="",0,VLOOKUP('Flächen u. Kulturen'!P69,Kulturen[[HF]:[Berechnungsgruppe]],'#Frucht'!$Q$1,FALSE))</f>
        <v>0</v>
      </c>
      <c r="AM64" s="875">
        <f>IF('Flächen u. Kulturen'!P69="",0,VLOOKUP('Flächen u. Kulturen'!P69,Kulturen[[HF]:[Berechnungsgruppe]],'#Frucht'!$M$1,FALSE))</f>
        <v>0</v>
      </c>
      <c r="AN64" s="875">
        <f>IF('Flächen u. Kulturen'!P69="",1,VLOOKUP('Flächen u. Kulturen'!P69,Kulturen[[HF]:[Berechnungsgruppe]],'#Frucht'!$R$1,FALSE))</f>
        <v>10</v>
      </c>
      <c r="AO64" s="875">
        <f>IF('Flächen u. Kulturen'!P69="",0,VLOOKUP('Flächen u. Kulturen'!P69,Kulturen[[HF]:[Berechnungsgruppe]],'#Frucht'!$S$1,FALSE))</f>
        <v>0</v>
      </c>
      <c r="AP64" s="875">
        <f>IF('Flächen u. Kulturen'!P69="",0,VLOOKUP('Flächen u. Kulturen'!P69,Kulturen[[HF]:[Berechnungsgruppe]],'#Frucht'!$T$1,FALSE))</f>
        <v>0</v>
      </c>
      <c r="AQ64" s="938">
        <f t="shared" si="32"/>
        <v>0</v>
      </c>
      <c r="AR64" s="875">
        <f t="shared" si="33"/>
        <v>0</v>
      </c>
      <c r="AS64" s="938">
        <f t="shared" si="34"/>
        <v>0</v>
      </c>
      <c r="AT64" s="875">
        <f>IF(N64=1,'Flächen u. Kulturen'!S69*-1,"--")</f>
        <v>0</v>
      </c>
      <c r="AU64" s="938">
        <f>IF(OR(N64=2,'Flächen u. Kulturen'!I69=""),"--",IF(N64=3,VLOOKUP('Flächen u. Kulturen'!I69,'#Boden'!$B$9:$E$15,'#Boden'!$D$1,FALSE),VLOOKUP('Flächen u. Kulturen'!I69,'#Boden'!$B$9:$E$15,'#Boden'!$E$1,FALSE)))</f>
        <v>0</v>
      </c>
      <c r="AV64" s="938">
        <f>IF(N64=1,IF('Flächen u. Kulturen'!J69="",0,VLOOKUP('Flächen u. Kulturen'!J69,Kulturen[[HF]:[Berechnungsgruppe]],'#Frucht'!$U$1,FALSE)*-1),"--")</f>
        <v>0</v>
      </c>
      <c r="AW64" s="875">
        <f t="shared" si="35"/>
        <v>0</v>
      </c>
      <c r="AX64" s="875">
        <f>IF('Flächen u. Kulturen'!K69="",0,'Flächen u. Kulturen'!K69*-0.1)</f>
        <v>0</v>
      </c>
      <c r="AY64" s="875">
        <f>IF(N64&lt;3,'#orgDung'!AC73*0.1*-1,"--")</f>
        <v>0</v>
      </c>
      <c r="AZ64" s="31" t="str">
        <f>IF(AND('#orgDung'!J73&lt;&gt;2,'#orgDung'!F73=1),('#orgDung'!V73+'#minDung'!O70)*-1,"--")</f>
        <v>--</v>
      </c>
      <c r="BA64" s="875">
        <f t="shared" si="22"/>
        <v>0</v>
      </c>
      <c r="BB64" s="938">
        <f>IF(R64=2,0,'Flächen u. Kulturen'!V69*-1)</f>
        <v>0</v>
      </c>
      <c r="BC64" s="875">
        <f t="shared" si="23"/>
        <v>0</v>
      </c>
      <c r="BD64" s="127">
        <f>'#orgDung'!W73*-1</f>
        <v>0</v>
      </c>
      <c r="BE64" s="910">
        <f>'#orgDung'!AA73*-1</f>
        <v>0</v>
      </c>
      <c r="BF64" s="875">
        <f>'#orgDung'!Z73*-1</f>
        <v>0</v>
      </c>
      <c r="BG64" s="938">
        <f t="shared" si="14"/>
        <v>0</v>
      </c>
      <c r="BH64" s="875">
        <f>'#Kürzungen'!AS88*-1</f>
        <v>0</v>
      </c>
      <c r="BI64" s="875">
        <f t="shared" si="36"/>
        <v>0</v>
      </c>
      <c r="BJ64" s="910">
        <f t="shared" si="37"/>
        <v>0</v>
      </c>
      <c r="BK64" s="875">
        <f>'#minDung'!P70</f>
        <v>0</v>
      </c>
      <c r="BL64" s="938">
        <f t="shared" si="15"/>
        <v>0</v>
      </c>
      <c r="BM64" s="938">
        <f t="shared" si="38"/>
        <v>0</v>
      </c>
      <c r="BN64" s="875">
        <f>IF('Flächen u. Kulturen'!P69="",0,VLOOKUP('Flächen u. Kulturen'!P69,Kulturen[[HF]:[Berechnungsgruppe]],'#Frucht'!$K$1,FALSE))</f>
        <v>0</v>
      </c>
      <c r="BO64" s="875">
        <f>IF('Flächen u. Kulturen'!P69="",0,VLOOKUP('Flächen u. Kulturen'!P69,Kulturen[[HF]:[Berechnungsgruppe]],'#Frucht'!$L$1,FALSE))</f>
        <v>0</v>
      </c>
      <c r="BP64" s="875">
        <f>IF('Flächen u. Kulturen'!L69="",0,VLOOKUP('Flächen u. Kulturen'!L69,Nebenkultur[[Nebenkultur]:[Legum. Zwischenfr.]],'#Zweitfr'!$H$1,FALSE))</f>
        <v>0</v>
      </c>
      <c r="BQ64" s="938">
        <f>IF(N64=3,W64*BO64,IF('Flächen u. Kulturen'!T69='#Boden'!$B$32,V64*BN64,V64*BO64))</f>
        <v>0</v>
      </c>
      <c r="BR64" s="938">
        <f t="shared" si="39"/>
        <v>0</v>
      </c>
      <c r="BS64" s="875">
        <f t="shared" si="24"/>
        <v>0</v>
      </c>
      <c r="BT64" s="875">
        <f>IF('Flächen u. Kulturen'!F69="",0,IF(N64=3,VLOOKUP('Flächen u. Kulturen'!F69,'#Boden'!$G$4:$J$8,'#Boden'!$J$1,FALSE),VLOOKUP('Flächen u. Kulturen'!F69,'#Boden'!$G$4:$J$8,'#Boden'!$I$1,FALSE)))</f>
        <v>0</v>
      </c>
      <c r="BU64" s="41">
        <f t="shared" si="25"/>
        <v>0</v>
      </c>
      <c r="BV64" s="875">
        <f t="shared" si="26"/>
        <v>0</v>
      </c>
      <c r="BW64" s="938" t="str">
        <f t="shared" si="16"/>
        <v/>
      </c>
      <c r="BX64" s="875">
        <f>'#orgDung'!T73*-1</f>
        <v>0</v>
      </c>
      <c r="BY64" s="875">
        <f t="shared" si="40"/>
        <v>0</v>
      </c>
      <c r="BZ64" s="938" t="str">
        <f>IF(U64&lt;&gt;"x",0,IF(P64&lt;4,"",(BW64+BX64-'#minDung'!N70)*-1))</f>
        <v/>
      </c>
      <c r="CB64" s="938">
        <f>IF(AND(AF64=70,U64="x"),'Flächen u. Kulturen'!A69,1000)</f>
        <v>1000</v>
      </c>
      <c r="CC64" s="875" t="str">
        <f>IF(AF64=70,VLOOKUP('Flächen u. Kulturen'!L69,Nebenkultur[[Nebenkultur]:[Legum. Zwischenfr.]],'#Zweitfr'!$I$1,FALSE),"--")</f>
        <v>--</v>
      </c>
      <c r="CD64" s="875" t="str">
        <f>IF(AF64=70,VLOOKUP('Flächen u. Kulturen'!L69,Nebenkultur[[Nebenkultur]:[Legum. Zwischenfr.]],'#Zweitfr'!$L$1,FALSE),"--")</f>
        <v>--</v>
      </c>
      <c r="CE64" s="875" t="str">
        <f>IF(AF64=70,VLOOKUP('Flächen u. Kulturen'!L69,Nebenkultur[[Nebenkultur]:[Legum. Zwischenfr.]],'#Zweitfr'!$M$1,FALSE),"--")</f>
        <v>--</v>
      </c>
      <c r="CF64" s="875" t="str">
        <f>IF(AF64=70,VLOOKUP('Flächen u. Kulturen'!L69,Nebenkultur[[Nebenkultur]:[Legum. Zwischenfr.]],'#Zweitfr'!$N$1,FALSE),"--")</f>
        <v>--</v>
      </c>
      <c r="CG64" s="875" t="str">
        <f>IF(AF64=70,VLOOKUP('Flächen u. Kulturen'!L69,Nebenkultur[[Nebenkultur]:[Legum. Zwischenfr.]],'#Zweitfr'!$O$1,FALSE),"--")</f>
        <v>--</v>
      </c>
      <c r="CH64" s="875" t="str">
        <f t="shared" si="41"/>
        <v>--</v>
      </c>
      <c r="CI64" s="938">
        <f>IF('Flächen u. Kulturen'!L69="",0,VLOOKUP('Flächen u. Kulturen'!L69,Nebenkultur[[Nebenkultur]:[Legum. Zwischenfr.]],'#Zweitfr'!$J$1,FALSE))</f>
        <v>0</v>
      </c>
      <c r="CJ64" s="875">
        <f t="shared" si="42"/>
        <v>0</v>
      </c>
      <c r="CK64" s="890">
        <f t="shared" si="43"/>
        <v>0</v>
      </c>
      <c r="CL64" s="938">
        <f>IF(AND(R64=1,AF64=70),'Flächen u. Kulturen'!W69*-1,0)</f>
        <v>0</v>
      </c>
      <c r="CM64" s="875">
        <f>'#orgDung'!AE73*-1</f>
        <v>0</v>
      </c>
      <c r="CN64" s="875">
        <f t="shared" si="27"/>
        <v>0</v>
      </c>
      <c r="CO64" s="875">
        <f t="shared" si="28"/>
        <v>0</v>
      </c>
      <c r="CP64" s="875">
        <f>'#Kürzungen'!AS189*-1</f>
        <v>0</v>
      </c>
      <c r="CQ64" s="875">
        <f t="shared" si="29"/>
        <v>0</v>
      </c>
      <c r="CR64" s="875">
        <f t="shared" si="30"/>
        <v>0</v>
      </c>
      <c r="CS64" s="875">
        <f>'#minDung'!R70</f>
        <v>0</v>
      </c>
      <c r="CT64" s="938">
        <f t="shared" si="18"/>
        <v>0</v>
      </c>
      <c r="CU64" s="52" t="str">
        <f>'#Kürzungen'!AQ189</f>
        <v xml:space="preserve"> </v>
      </c>
      <c r="CW64" s="247">
        <f>IF('Flächen u. Kulturen'!D69="",0,IF(ISNUMBER('Flächen u. Kulturen'!D69)=TRUE,2,1))</f>
        <v>0</v>
      </c>
      <c r="CX64" s="247">
        <f>IF('Flächen u. Kulturen'!E69="",0,COUNTIF('#Boden'!$B$47,'Flächen u. Kulturen'!E69)+1)</f>
        <v>2</v>
      </c>
      <c r="CY64" s="247">
        <f>IF('Flächen u. Kulturen'!F69="",0,COUNTIF('#Boden'!$G$4:$G$8,'Flächen u. Kulturen'!F69)+1)</f>
        <v>2</v>
      </c>
      <c r="CZ64" s="247">
        <f>IF('Flächen u. Kulturen'!G69="",0,COUNTIF('#Boden'!$B$26:$B$29,'Flächen u. Kulturen'!G69)+1)</f>
        <v>2</v>
      </c>
      <c r="DA64" s="247">
        <f>IF('Flächen u. Kulturen'!H69="",0,COUNTIF('#Boden'!$B$26:$B$29,'Flächen u. Kulturen'!H69)+1)</f>
        <v>2</v>
      </c>
      <c r="DB64" s="247">
        <f>IF('Flächen u. Kulturen'!I69="",0,COUNTIF('#Boden'!$B$9:$B$15,'Flächen u. Kulturen'!I69)+1)</f>
        <v>2</v>
      </c>
      <c r="DC64" s="247">
        <f>IF('Flächen u. Kulturen'!J69="",0,COUNTIF(Kulturen[HF],'Flächen u. Kulturen'!J69)+1)</f>
        <v>2</v>
      </c>
      <c r="DD64" s="247">
        <f>IF('Flächen u. Kulturen'!L69="",0,COUNTIF(Nebenkultur[Nebenkultur],'Flächen u. Kulturen'!L69)+1)</f>
        <v>2</v>
      </c>
      <c r="DE64" s="247">
        <f>IF('Flächen u. Kulturen'!M69="",0,COUNTIF('#Boden'!$G$17:$G$21,'Flächen u. Kulturen'!M69)+1)</f>
        <v>2</v>
      </c>
      <c r="DF64" s="247">
        <f>IF('Flächen u. Kulturen'!N69="",0,COUNTIF('#Boden'!$G$22:$G$24,'Flächen u. Kulturen'!N69)+1)</f>
        <v>2</v>
      </c>
      <c r="DG64" s="247">
        <f>IF('Flächen u. Kulturen'!P69="",0,COUNTIF(Kulturen[HF],'Flächen u. Kulturen'!P69)+1)</f>
        <v>2</v>
      </c>
      <c r="DH64" s="247">
        <f>IF('Flächen u. Kulturen'!T69="",0,COUNTIF('#Boden'!$B$30:$B$32,'Flächen u. Kulturen'!T69)+1)</f>
        <v>2</v>
      </c>
      <c r="DI64" s="247">
        <f>IF('Flächen u. Kulturen'!K69="",0,IF(ISNUMBER('Flächen u. Kulturen'!K69)=TRUE,2,1))</f>
        <v>0</v>
      </c>
      <c r="DJ64" s="247">
        <f>IF('Flächen u. Kulturen'!U69="",0,IF(ISNUMBER('Flächen u. Kulturen'!U69)=TRUE,2,1))</f>
        <v>0</v>
      </c>
      <c r="DK64" s="247">
        <f>IF('Flächen u. Kulturen'!V69="",0,IF(ISNUMBER('Flächen u. Kulturen'!V69)=TRUE,2,1))</f>
        <v>0</v>
      </c>
      <c r="DL64" s="247">
        <f>IF('Flächen u. Kulturen'!W69="",0,IF(ISNUMBER('Flächen u. Kulturen'!W69)=TRUE,2,1))</f>
        <v>0</v>
      </c>
      <c r="DM64" s="247">
        <f t="shared" si="31"/>
        <v>0</v>
      </c>
      <c r="DN64" s="247" t="s">
        <v>344</v>
      </c>
      <c r="DO64" s="247">
        <f>IF(U64&lt;&gt;"x","",IF(OR('Flächen u. Kulturen'!B69="",'Flächen u. Kulturen'!C69="",'Flächen u. Kulturen'!D69="",'Flächen u. Kulturen'!D69=0,'Flächen u. Kulturen'!F69="",'Flächen u. Kulturen'!F69='#Boden'!$G$4,'Flächen u. Kulturen'!G69="",'Flächen u. Kulturen'!G69='#Boden'!$B$26,'Flächen u. Kulturen'!H69="",'Flächen u. Kulturen'!H69='#Boden'!$B$23,AND(N64&lt;&gt;2,OR('Flächen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Kulturen'!Q69="",'#BerechnungDBE'!N64&lt;3),AND('Flächen u. Kulturen'!R69="",'#BerechnungDBE'!N64=3),AND(N64=1,AL64&gt;0,'Flächen u. Kulturen'!S69=""),AND(N64=1,OR('Flächen u. Kulturen'!T69="",'Flächen u. Kulturen'!T69='#Boden'!$B$30)),AND('#BerechnungDBE'!AF64=70,OR('Flächen u. Kulturen'!N69="",'Flächen u. Kulturen'!N69='#Boden'!$G$22,'Flächen u. Kulturen'!O69="")),AND('#BerechnungDBE'!AF64=80,OR('Flächen u. Kulturen'!M69="",'Flächen u. Kulturen'!M69='#Boden'!$G$17,'Flächen u. Kulturen'!N69="",'Flächen u. Kulturen'!N69='#Boden'!$G$22))),$DO$4,""))</f>
        <v>1</v>
      </c>
      <c r="DP64" s="247" t="str">
        <f>IF(U64&lt;&gt;"x","",IF(OR(LEFT('Flächen u. Kulturen'!J69,2)=" +",LEFT('Flächen u. Kulturen'!L69,2)=" +",LEFT('Flächen u. Kulturen'!P69,2)=" +"),$DP$4,""))</f>
        <v/>
      </c>
      <c r="DQ64" s="428" t="str">
        <f t="shared" si="44"/>
        <v/>
      </c>
      <c r="DR64" s="938" t="str">
        <f t="shared" si="45"/>
        <v/>
      </c>
      <c r="DS64" s="938" t="str">
        <f>IF('Flächen u. Kulturen'!X69="","",ROW('Flächen u. Kulturen'!X69))</f>
        <v/>
      </c>
    </row>
    <row r="65" spans="1:123" s="875" customFormat="1" x14ac:dyDescent="0.2">
      <c r="A65" s="875" t="str">
        <f>IF('Daten aus 2021'!H67="",'#Boden'!$B$26,IF('Daten aus 2021'!H67='#Boden'!$B$39,IF('Daten aus 2021'!F67='#Boden'!$B$29,'#Boden'!$B$29,IF('Daten aus 2021'!K67='#Boden'!$B$34,'#Boden'!$B$28,'#Boden'!$B$27)),'Daten aus 2021'!F67))</f>
        <v xml:space="preserve"> --</v>
      </c>
      <c r="B65" s="875" t="str">
        <f>IF('Daten aus 2021'!H67='#Boden'!$B$39,IF('Daten aus 2021'!L67='#Boden'!$B$61,'#Boden'!$B$11,'Daten aus 2021'!L67),IF('Daten aus 2021'!P67='#Boden'!$B$58,'#Boden'!$B$11,IF('Daten aus 2021'!P67='#Boden'!$B$57,'#Boden'!$B$10,'#Boden'!$B$9)))</f>
        <v xml:space="preserve"> --         </v>
      </c>
      <c r="C65" s="875" t="str">
        <f>IF('Daten aus 2021'!N67="","",VLOOKUP('Daten aus 2021'!N67,'#Boden'!$B$68:$C$89,2,FALSE))</f>
        <v/>
      </c>
      <c r="D65" s="875" t="str">
        <f>IF('Daten aus 2021'!M67="","",VLOOKUP('Daten aus 2021'!M67,'#Boden'!$D$69:$E$73,2,FALSE))</f>
        <v/>
      </c>
      <c r="E65" s="938" t="str">
        <f>IF(OR(C65='#Boden'!$C$68,C65='#Boden'!$C$70),C65,CONCATENATE(C65,D65))</f>
        <v/>
      </c>
      <c r="F65" s="882" t="str">
        <f>IFERROR(IF('Daten aus 2021'!H67="",'#Frucht'!$D$8,IF('Daten aus 2021'!H67='#Boden'!$B$39,E65,IF('Daten aus 2021'!H67='#Boden'!$B$38,IF(CONCATENATE(" ",'Daten aus 2021'!W67)=$B$2,VLOOKUP($B$3,'#Frucht'!$A$8:$D$372,4,FALSE),VLOOKUP(CONCATENATE(" ",'Daten aus 2021'!W67),'#Frucht'!$A$8:$D$372,4,FALSE)),IF(OR(LEFT('Daten aus 2021'!Q67,5)=" *10 ",LEFT('Daten aus 2021'!Q67,5)=" *11 ",LEFT('Daten aus 2021'!Q67,5)=" *12 ",LEFT('Daten aus 2021'!Q67,5)=" *13 ",LEFT('Daten aus 2021'!Q67,5)=" *14 ",LEFT('Daten aus 2021'!Q67,5)=" *15 "),VLOOKUP(RIGHT('Daten aus 2021'!Q67,LEN('Daten aus 2021'!Q67)-4),'#Frucht'!$A$8:$D$372,4,FALSE),IF(LEFT('Daten aus 2021'!Q67,2)=" *",VLOOKUP(RIGHT('Daten aus 2021'!Q67,LEN('Daten aus 2021'!Q67)-3),'#Frucht'!$A$8:$D$372,4,FALSE),VLOOKUP('Daten aus 2021'!Q67,'#Frucht'!$A$8:$D$372,4,FALSE)))))),'#Frucht'!$D$8)</f>
        <v xml:space="preserve"> --  </v>
      </c>
      <c r="G65" s="127"/>
      <c r="H65" s="31"/>
      <c r="J65" s="938" t="str">
        <f>IF(OR(N65=3,$K$3=0,'Flächen u. Kulturen'!P70=""),"",IF(VLOOKUP('Flächen u. Kulturen'!P70,Kulturen[[HF]:[780]],'#BerechnungDBE'!$K$3,FALSE)=".","",VLOOKUP('Flächen u. Kulturen'!P70,Kulturen[[HF]:[780]],'#BerechnungDBE'!$K$3,FALSE)))</f>
        <v/>
      </c>
      <c r="K65" s="938" t="str">
        <f>IF(OR($K$3=0,'Flächen u. Kulturen'!P70=""),"",IF(N65=3,IF(VLOOKUP('Flächen u. Kulturen'!P70,Kulturen[[HF]:[780]],'#BerechnungDBE'!$K$3,FALSE)=".","",VLOOKUP('Flächen u. Kulturen'!P70,Kulturen[[HF]:[780]],'#BerechnungDBE'!$K$3,FALSE)),""))</f>
        <v/>
      </c>
      <c r="L65" s="367">
        <f>IF('Flächen u. Kulturen'!D70="",0,'Flächen u. Kulturen'!D70)</f>
        <v>0</v>
      </c>
      <c r="M65" s="693">
        <f>IF('Flächen u. Kulturen'!J70="",0,VLOOKUP('Flächen u. Kulturen'!J70,Kulturen[[HF]:[Berechnungsgruppe]],'#Frucht'!$W$1,FALSE))</f>
        <v>1</v>
      </c>
      <c r="N65" s="693">
        <f>IF('Flächen u. Kulturen'!P70="",0,VLOOKUP('Flächen u. Kulturen'!P70,Kulturen[[HF]:[Berechnungsgruppe]],'#Frucht'!$W$1,FALSE))</f>
        <v>1</v>
      </c>
      <c r="O65" s="875">
        <f>IF(N65&lt;&gt;2,N65,IF('Flächen u. Kulturen'!J70='Flächen u. Kulturen'!P70,2,1))</f>
        <v>1</v>
      </c>
      <c r="P65" s="875">
        <f>IF('Flächen u. Kulturen'!F70="",0,VLOOKUP('Flächen u. Kulturen'!F70,'#Boden'!$G$4:$H$8,'#Boden'!$H$1,FALSE))</f>
        <v>1</v>
      </c>
      <c r="Q65" s="875">
        <f>IF('Flächen u. Kulturen'!G70="",0,VLOOKUP('Flächen u. Kulturen'!G70,'#Boden'!$B$26:$C$29,'#Boden'!$C$1,FALSE))</f>
        <v>1</v>
      </c>
      <c r="R65" s="875">
        <f t="shared" si="19"/>
        <v>1</v>
      </c>
      <c r="S65" s="875">
        <f t="shared" si="20"/>
        <v>1</v>
      </c>
      <c r="T65" s="875">
        <f>IF('Flächen u. Kulturen'!H70="",0,VLOOKUP('Flächen u. Kulturen'!H70,'#Boden'!$B$23:$C$25,'#Boden'!$C$1,FALSE))</f>
        <v>2</v>
      </c>
      <c r="U65" s="875" t="str">
        <f>'Flächen u. Kulturen'!E70</f>
        <v>x</v>
      </c>
      <c r="V65" s="938">
        <f>IF('Flächen u. Kulturen'!Q70="",0,_xlfn.NUMBERVALUE('Flächen u. Kulturen'!Q70))</f>
        <v>0</v>
      </c>
      <c r="W65" s="938">
        <f>IF('Flächen u. Kulturen'!R70="",0,_xlfn.NUMBERVALUE('Flächen u. Kulturen'!R70))</f>
        <v>0</v>
      </c>
      <c r="X65" s="875">
        <f>IF('Flächen u. Kulturen'!T70="",0,VLOOKUP('Flächen u. Kulturen'!T70,'#Boden'!$B$30:$C$32,'#Boden'!$C$1,FALSE))</f>
        <v>1</v>
      </c>
      <c r="Y65" s="875">
        <f>IF('Flächen u. Kulturen'!P70="",0,VLOOKUP('Flächen u. Kulturen'!P70,Kulturen[[HF]:[Berechnungsgruppe]],'#Frucht'!$N$1,FALSE))</f>
        <v>0</v>
      </c>
      <c r="Z65" s="875">
        <f t="shared" si="21"/>
        <v>2</v>
      </c>
      <c r="AA65" s="875">
        <f>IF('Flächen u. Kulturen'!P70="",0,VLOOKUP('Flächen u. Kulturen'!P70,Kulturen[[HF]:[Berechnungsgruppe]],'#Frucht'!$V$1,FALSE))</f>
        <v>0</v>
      </c>
      <c r="AB65" s="875">
        <f>IF(N65=1,VLOOKUP('Flächen u. Kulturen'!P70,Kulturen[[HF]:[Ernteprodukt]],'#Frucht'!$I$1,FALSE),4)</f>
        <v>4</v>
      </c>
      <c r="AC65" s="921">
        <f>IF('Flächen u. Kulturen'!J70="",0,VLOOKUP('Flächen u. Kulturen'!J70,Kulturen[[HF]:[Berechnungsgruppe]],'#Frucht'!$G$1,FALSE))</f>
        <v>90</v>
      </c>
      <c r="AD65" s="921">
        <f>IF('Flächen u. Kulturen'!P70="",0,VLOOKUP('Flächen u. Kulturen'!P70,Kulturen[[HF]:[Berechnungsgruppe]],'#Frucht'!$G$1,FALSE))</f>
        <v>90</v>
      </c>
      <c r="AE65" s="938">
        <f>IF('Flächen u. Kulturen'!P70="",0,VLOOKUP('Flächen u. Kulturen'!P70,Kulturen[[HF]:[SollwertMinusNfix]],'#Frucht'!$X$1,FALSE))</f>
        <v>0</v>
      </c>
      <c r="AF65" s="875">
        <f>IF('Flächen u. Kulturen'!L70="",0,VLOOKUP('Flächen u. Kulturen'!L70,Nebenkultur[[Nebenkultur]:[Berechnungsschema]],'#Zweitfr'!$G$1,FALSE))</f>
        <v>0</v>
      </c>
      <c r="AG65" s="875">
        <f>IF('Flächen u. Kulturen'!L70="",0,VLOOKUP('Flächen u. Kulturen'!L70,'#Zweitfr'!$D$8:$Q$27,'#Zweitfr'!$Q$1,FALSE))</f>
        <v>0</v>
      </c>
      <c r="AH65" s="875">
        <f>IF('Flächen u. Kulturen'!M70="",0,VLOOKUP('Flächen u. Kulturen'!M70,'#Boden'!$G$17:$H$21,2,FALSE))</f>
        <v>1</v>
      </c>
      <c r="AI65" s="875">
        <f>IF('Flächen u. Kulturen'!N70="",0,VLOOKUP('Flächen u. Kulturen'!N70,'#Boden'!$G$22:$H$24,'#Boden'!$H$1,FALSE))</f>
        <v>1</v>
      </c>
      <c r="AJ65" s="938">
        <f>IF('Flächen u. Kulturen'!O70="",0,_xlfn.NUMBERVALUE('Flächen u. Kulturen'!O70))</f>
        <v>0</v>
      </c>
      <c r="AK65" s="938">
        <f>IF('Flächen u. Kulturen'!L70="",0,VLOOKUP('Flächen u. Kulturen'!L70,Nebenkultur[[Nebenkultur]:[Legum. Zwischenfr.]],'#Zweitfr'!$P$1,FALSE))</f>
        <v>0</v>
      </c>
      <c r="AL65" s="875">
        <f>IF('Flächen u. Kulturen'!P70="",0,VLOOKUP('Flächen u. Kulturen'!P70,Kulturen[[HF]:[Berechnungsgruppe]],'#Frucht'!$Q$1,FALSE))</f>
        <v>0</v>
      </c>
      <c r="AM65" s="875">
        <f>IF('Flächen u. Kulturen'!P70="",0,VLOOKUP('Flächen u. Kulturen'!P70,Kulturen[[HF]:[Berechnungsgruppe]],'#Frucht'!$M$1,FALSE))</f>
        <v>0</v>
      </c>
      <c r="AN65" s="875">
        <f>IF('Flächen u. Kulturen'!P70="",1,VLOOKUP('Flächen u. Kulturen'!P70,Kulturen[[HF]:[Berechnungsgruppe]],'#Frucht'!$R$1,FALSE))</f>
        <v>10</v>
      </c>
      <c r="AO65" s="875">
        <f>IF('Flächen u. Kulturen'!P70="",0,VLOOKUP('Flächen u. Kulturen'!P70,Kulturen[[HF]:[Berechnungsgruppe]],'#Frucht'!$S$1,FALSE))</f>
        <v>0</v>
      </c>
      <c r="AP65" s="875">
        <f>IF('Flächen u. Kulturen'!P70="",0,VLOOKUP('Flächen u. Kulturen'!P70,Kulturen[[HF]:[Berechnungsgruppe]],'#Frucht'!$T$1,FALSE))</f>
        <v>0</v>
      </c>
      <c r="AQ65" s="938">
        <f t="shared" si="32"/>
        <v>0</v>
      </c>
      <c r="AR65" s="875">
        <f t="shared" si="33"/>
        <v>0</v>
      </c>
      <c r="AS65" s="938">
        <f t="shared" si="34"/>
        <v>0</v>
      </c>
      <c r="AT65" s="875">
        <f>IF(N65=1,'Flächen u. Kulturen'!S70*-1,"--")</f>
        <v>0</v>
      </c>
      <c r="AU65" s="938">
        <f>IF(OR(N65=2,'Flächen u. Kulturen'!I70=""),"--",IF(N65=3,VLOOKUP('Flächen u. Kulturen'!I70,'#Boden'!$B$9:$E$15,'#Boden'!$D$1,FALSE),VLOOKUP('Flächen u. Kulturen'!I70,'#Boden'!$B$9:$E$15,'#Boden'!$E$1,FALSE)))</f>
        <v>0</v>
      </c>
      <c r="AV65" s="938">
        <f>IF(N65=1,IF('Flächen u. Kulturen'!J70="",0,VLOOKUP('Flächen u. Kulturen'!J70,Kulturen[[HF]:[Berechnungsgruppe]],'#Frucht'!$U$1,FALSE)*-1),"--")</f>
        <v>0</v>
      </c>
      <c r="AW65" s="875">
        <f t="shared" si="35"/>
        <v>0</v>
      </c>
      <c r="AX65" s="875">
        <f>IF('Flächen u. Kulturen'!K70="",0,'Flächen u. Kulturen'!K70*-0.1)</f>
        <v>0</v>
      </c>
      <c r="AY65" s="875">
        <f>IF(N65&lt;3,'#orgDung'!AC74*0.1*-1,"--")</f>
        <v>0</v>
      </c>
      <c r="AZ65" s="31" t="str">
        <f>IF(AND('#orgDung'!J74&lt;&gt;2,'#orgDung'!F74=1),('#orgDung'!V74+'#minDung'!O71)*-1,"--")</f>
        <v>--</v>
      </c>
      <c r="BA65" s="875">
        <f t="shared" si="22"/>
        <v>0</v>
      </c>
      <c r="BB65" s="938">
        <f>IF(R65=2,0,'Flächen u. Kulturen'!V70*-1)</f>
        <v>0</v>
      </c>
      <c r="BC65" s="875">
        <f t="shared" si="23"/>
        <v>0</v>
      </c>
      <c r="BD65" s="127">
        <f>'#orgDung'!W74*-1</f>
        <v>0</v>
      </c>
      <c r="BE65" s="910">
        <f>'#orgDung'!AA74*-1</f>
        <v>0</v>
      </c>
      <c r="BF65" s="875">
        <f>'#orgDung'!Z74*-1</f>
        <v>0</v>
      </c>
      <c r="BG65" s="938">
        <f t="shared" si="14"/>
        <v>0</v>
      </c>
      <c r="BH65" s="875">
        <f>'#Kürzungen'!AS89*-1</f>
        <v>0</v>
      </c>
      <c r="BI65" s="875">
        <f t="shared" si="36"/>
        <v>0</v>
      </c>
      <c r="BJ65" s="910">
        <f t="shared" si="37"/>
        <v>0</v>
      </c>
      <c r="BK65" s="875">
        <f>'#minDung'!P71</f>
        <v>0</v>
      </c>
      <c r="BL65" s="938">
        <f t="shared" si="15"/>
        <v>0</v>
      </c>
      <c r="BM65" s="938">
        <f t="shared" si="38"/>
        <v>0</v>
      </c>
      <c r="BN65" s="875">
        <f>IF('Flächen u. Kulturen'!P70="",0,VLOOKUP('Flächen u. Kulturen'!P70,Kulturen[[HF]:[Berechnungsgruppe]],'#Frucht'!$K$1,FALSE))</f>
        <v>0</v>
      </c>
      <c r="BO65" s="875">
        <f>IF('Flächen u. Kulturen'!P70="",0,VLOOKUP('Flächen u. Kulturen'!P70,Kulturen[[HF]:[Berechnungsgruppe]],'#Frucht'!$L$1,FALSE))</f>
        <v>0</v>
      </c>
      <c r="BP65" s="875">
        <f>IF('Flächen u. Kulturen'!L70="",0,VLOOKUP('Flächen u. Kulturen'!L70,Nebenkultur[[Nebenkultur]:[Legum. Zwischenfr.]],'#Zweitfr'!$H$1,FALSE))</f>
        <v>0</v>
      </c>
      <c r="BQ65" s="938">
        <f>IF(N65=3,W65*BO65,IF('Flächen u. Kulturen'!T70='#Boden'!$B$32,V65*BN65,V65*BO65))</f>
        <v>0</v>
      </c>
      <c r="BR65" s="938">
        <f t="shared" si="39"/>
        <v>0</v>
      </c>
      <c r="BS65" s="875">
        <f t="shared" si="24"/>
        <v>0</v>
      </c>
      <c r="BT65" s="875">
        <f>IF('Flächen u. Kulturen'!F70="",0,IF(N65=3,VLOOKUP('Flächen u. Kulturen'!F70,'#Boden'!$G$4:$J$8,'#Boden'!$J$1,FALSE),VLOOKUP('Flächen u. Kulturen'!F70,'#Boden'!$G$4:$J$8,'#Boden'!$I$1,FALSE)))</f>
        <v>0</v>
      </c>
      <c r="BU65" s="41">
        <f t="shared" si="25"/>
        <v>0</v>
      </c>
      <c r="BV65" s="875">
        <f t="shared" si="26"/>
        <v>0</v>
      </c>
      <c r="BW65" s="938" t="str">
        <f t="shared" si="16"/>
        <v/>
      </c>
      <c r="BX65" s="875">
        <f>'#orgDung'!T74*-1</f>
        <v>0</v>
      </c>
      <c r="BY65" s="875">
        <f t="shared" si="40"/>
        <v>0</v>
      </c>
      <c r="BZ65" s="938" t="str">
        <f>IF(U65&lt;&gt;"x",0,IF(P65&lt;4,"",(BW65+BX65-'#minDung'!N71)*-1))</f>
        <v/>
      </c>
      <c r="CB65" s="938">
        <f>IF(AND(AF65=70,U65="x"),'Flächen u. Kulturen'!A70,1000)</f>
        <v>1000</v>
      </c>
      <c r="CC65" s="875" t="str">
        <f>IF(AF65=70,VLOOKUP('Flächen u. Kulturen'!L70,Nebenkultur[[Nebenkultur]:[Legum. Zwischenfr.]],'#Zweitfr'!$I$1,FALSE),"--")</f>
        <v>--</v>
      </c>
      <c r="CD65" s="875" t="str">
        <f>IF(AF65=70,VLOOKUP('Flächen u. Kulturen'!L70,Nebenkultur[[Nebenkultur]:[Legum. Zwischenfr.]],'#Zweitfr'!$L$1,FALSE),"--")</f>
        <v>--</v>
      </c>
      <c r="CE65" s="875" t="str">
        <f>IF(AF65=70,VLOOKUP('Flächen u. Kulturen'!L70,Nebenkultur[[Nebenkultur]:[Legum. Zwischenfr.]],'#Zweitfr'!$M$1,FALSE),"--")</f>
        <v>--</v>
      </c>
      <c r="CF65" s="875" t="str">
        <f>IF(AF65=70,VLOOKUP('Flächen u. Kulturen'!L70,Nebenkultur[[Nebenkultur]:[Legum. Zwischenfr.]],'#Zweitfr'!$N$1,FALSE),"--")</f>
        <v>--</v>
      </c>
      <c r="CG65" s="875" t="str">
        <f>IF(AF65=70,VLOOKUP('Flächen u. Kulturen'!L70,Nebenkultur[[Nebenkultur]:[Legum. Zwischenfr.]],'#Zweitfr'!$O$1,FALSE),"--")</f>
        <v>--</v>
      </c>
      <c r="CH65" s="875" t="str">
        <f t="shared" si="41"/>
        <v>--</v>
      </c>
      <c r="CI65" s="938">
        <f>IF('Flächen u. Kulturen'!L70="",0,VLOOKUP('Flächen u. Kulturen'!L70,Nebenkultur[[Nebenkultur]:[Legum. Zwischenfr.]],'#Zweitfr'!$J$1,FALSE))</f>
        <v>0</v>
      </c>
      <c r="CJ65" s="875">
        <f t="shared" si="42"/>
        <v>0</v>
      </c>
      <c r="CK65" s="890">
        <f t="shared" si="43"/>
        <v>0</v>
      </c>
      <c r="CL65" s="938">
        <f>IF(AND(R65=1,AF65=70),'Flächen u. Kulturen'!W70*-1,0)</f>
        <v>0</v>
      </c>
      <c r="CM65" s="875">
        <f>'#orgDung'!AE74*-1</f>
        <v>0</v>
      </c>
      <c r="CN65" s="875">
        <f t="shared" si="27"/>
        <v>0</v>
      </c>
      <c r="CO65" s="875">
        <f t="shared" si="28"/>
        <v>0</v>
      </c>
      <c r="CP65" s="875">
        <f>'#Kürzungen'!AS190*-1</f>
        <v>0</v>
      </c>
      <c r="CQ65" s="875">
        <f t="shared" si="29"/>
        <v>0</v>
      </c>
      <c r="CR65" s="875">
        <f t="shared" si="30"/>
        <v>0</v>
      </c>
      <c r="CS65" s="875">
        <f>'#minDung'!R71</f>
        <v>0</v>
      </c>
      <c r="CT65" s="938">
        <f t="shared" si="18"/>
        <v>0</v>
      </c>
      <c r="CU65" s="52" t="str">
        <f>'#Kürzungen'!AQ190</f>
        <v xml:space="preserve"> </v>
      </c>
      <c r="CW65" s="247">
        <f>IF('Flächen u. Kulturen'!D70="",0,IF(ISNUMBER('Flächen u. Kulturen'!D70)=TRUE,2,1))</f>
        <v>0</v>
      </c>
      <c r="CX65" s="247">
        <f>IF('Flächen u. Kulturen'!E70="",0,COUNTIF('#Boden'!$B$47,'Flächen u. Kulturen'!E70)+1)</f>
        <v>2</v>
      </c>
      <c r="CY65" s="247">
        <f>IF('Flächen u. Kulturen'!F70="",0,COUNTIF('#Boden'!$G$4:$G$8,'Flächen u. Kulturen'!F70)+1)</f>
        <v>2</v>
      </c>
      <c r="CZ65" s="247">
        <f>IF('Flächen u. Kulturen'!G70="",0,COUNTIF('#Boden'!$B$26:$B$29,'Flächen u. Kulturen'!G70)+1)</f>
        <v>2</v>
      </c>
      <c r="DA65" s="247">
        <f>IF('Flächen u. Kulturen'!H70="",0,COUNTIF('#Boden'!$B$26:$B$29,'Flächen u. Kulturen'!H70)+1)</f>
        <v>2</v>
      </c>
      <c r="DB65" s="247">
        <f>IF('Flächen u. Kulturen'!I70="",0,COUNTIF('#Boden'!$B$9:$B$15,'Flächen u. Kulturen'!I70)+1)</f>
        <v>2</v>
      </c>
      <c r="DC65" s="247">
        <f>IF('Flächen u. Kulturen'!J70="",0,COUNTIF(Kulturen[HF],'Flächen u. Kulturen'!J70)+1)</f>
        <v>2</v>
      </c>
      <c r="DD65" s="247">
        <f>IF('Flächen u. Kulturen'!L70="",0,COUNTIF(Nebenkultur[Nebenkultur],'Flächen u. Kulturen'!L70)+1)</f>
        <v>2</v>
      </c>
      <c r="DE65" s="247">
        <f>IF('Flächen u. Kulturen'!M70="",0,COUNTIF('#Boden'!$G$17:$G$21,'Flächen u. Kulturen'!M70)+1)</f>
        <v>2</v>
      </c>
      <c r="DF65" s="247">
        <f>IF('Flächen u. Kulturen'!N70="",0,COUNTIF('#Boden'!$G$22:$G$24,'Flächen u. Kulturen'!N70)+1)</f>
        <v>2</v>
      </c>
      <c r="DG65" s="247">
        <f>IF('Flächen u. Kulturen'!P70="",0,COUNTIF(Kulturen[HF],'Flächen u. Kulturen'!P70)+1)</f>
        <v>2</v>
      </c>
      <c r="DH65" s="247">
        <f>IF('Flächen u. Kulturen'!T70="",0,COUNTIF('#Boden'!$B$30:$B$32,'Flächen u. Kulturen'!T70)+1)</f>
        <v>2</v>
      </c>
      <c r="DI65" s="247">
        <f>IF('Flächen u. Kulturen'!K70="",0,IF(ISNUMBER('Flächen u. Kulturen'!K70)=TRUE,2,1))</f>
        <v>0</v>
      </c>
      <c r="DJ65" s="247">
        <f>IF('Flächen u. Kulturen'!U70="",0,IF(ISNUMBER('Flächen u. Kulturen'!U70)=TRUE,2,1))</f>
        <v>0</v>
      </c>
      <c r="DK65" s="247">
        <f>IF('Flächen u. Kulturen'!V70="",0,IF(ISNUMBER('Flächen u. Kulturen'!V70)=TRUE,2,1))</f>
        <v>0</v>
      </c>
      <c r="DL65" s="247">
        <f>IF('Flächen u. Kulturen'!W70="",0,IF(ISNUMBER('Flächen u. Kulturen'!W70)=TRUE,2,1))</f>
        <v>0</v>
      </c>
      <c r="DM65" s="247">
        <f t="shared" si="31"/>
        <v>0</v>
      </c>
      <c r="DN65" s="247" t="s">
        <v>344</v>
      </c>
      <c r="DO65" s="247">
        <f>IF(U65&lt;&gt;"x","",IF(OR('Flächen u. Kulturen'!B70="",'Flächen u. Kulturen'!C70="",'Flächen u. Kulturen'!D70="",'Flächen u. Kulturen'!D70=0,'Flächen u. Kulturen'!F70="",'Flächen u. Kulturen'!F70='#Boden'!$G$4,'Flächen u. Kulturen'!G70="",'Flächen u. Kulturen'!G70='#Boden'!$B$26,'Flächen u. Kulturen'!H70="",'Flächen u. Kulturen'!H70='#Boden'!$B$23,AND(N65&lt;&gt;2,OR('Flächen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Kulturen'!Q70="",'#BerechnungDBE'!N65&lt;3),AND('Flächen u. Kulturen'!R70="",'#BerechnungDBE'!N65=3),AND(N65=1,AL65&gt;0,'Flächen u. Kulturen'!S70=""),AND(N65=1,OR('Flächen u. Kulturen'!T70="",'Flächen u. Kulturen'!T70='#Boden'!$B$30)),AND('#BerechnungDBE'!AF65=70,OR('Flächen u. Kulturen'!N70="",'Flächen u. Kulturen'!N70='#Boden'!$G$22,'Flächen u. Kulturen'!O70="")),AND('#BerechnungDBE'!AF65=80,OR('Flächen u. Kulturen'!M70="",'Flächen u. Kulturen'!M70='#Boden'!$G$17,'Flächen u. Kulturen'!N70="",'Flächen u. Kulturen'!N70='#Boden'!$G$22))),$DO$4,""))</f>
        <v>1</v>
      </c>
      <c r="DP65" s="247" t="str">
        <f>IF(U65&lt;&gt;"x","",IF(OR(LEFT('Flächen u. Kulturen'!J70,2)=" +",LEFT('Flächen u. Kulturen'!L70,2)=" +",LEFT('Flächen u. Kulturen'!P70,2)=" +"),$DP$4,""))</f>
        <v/>
      </c>
      <c r="DQ65" s="428" t="str">
        <f t="shared" si="44"/>
        <v/>
      </c>
      <c r="DR65" s="938" t="str">
        <f t="shared" si="45"/>
        <v/>
      </c>
      <c r="DS65" s="938" t="str">
        <f>IF('Flächen u. Kulturen'!X70="","",ROW('Flächen u. Kulturen'!X70))</f>
        <v/>
      </c>
    </row>
    <row r="66" spans="1:123" s="875" customFormat="1" x14ac:dyDescent="0.2">
      <c r="A66" s="875" t="str">
        <f>IF('Daten aus 2021'!H68="",'#Boden'!$B$26,IF('Daten aus 2021'!H68='#Boden'!$B$39,IF('Daten aus 2021'!F68='#Boden'!$B$29,'#Boden'!$B$29,IF('Daten aus 2021'!K68='#Boden'!$B$34,'#Boden'!$B$28,'#Boden'!$B$27)),'Daten aus 2021'!F68))</f>
        <v xml:space="preserve"> --</v>
      </c>
      <c r="B66" s="875" t="str">
        <f>IF('Daten aus 2021'!H68='#Boden'!$B$39,IF('Daten aus 2021'!L68='#Boden'!$B$61,'#Boden'!$B$11,'Daten aus 2021'!L68),IF('Daten aus 2021'!P68='#Boden'!$B$58,'#Boden'!$B$11,IF('Daten aus 2021'!P68='#Boden'!$B$57,'#Boden'!$B$10,'#Boden'!$B$9)))</f>
        <v xml:space="preserve"> --         </v>
      </c>
      <c r="C66" s="875" t="str">
        <f>IF('Daten aus 2021'!N68="","",VLOOKUP('Daten aus 2021'!N68,'#Boden'!$B$68:$C$89,2,FALSE))</f>
        <v/>
      </c>
      <c r="D66" s="875" t="str">
        <f>IF('Daten aus 2021'!M68="","",VLOOKUP('Daten aus 2021'!M68,'#Boden'!$D$69:$E$73,2,FALSE))</f>
        <v/>
      </c>
      <c r="E66" s="938" t="str">
        <f>IF(OR(C66='#Boden'!$C$68,C66='#Boden'!$C$70),C66,CONCATENATE(C66,D66))</f>
        <v/>
      </c>
      <c r="F66" s="882" t="str">
        <f>IFERROR(IF('Daten aus 2021'!H68="",'#Frucht'!$D$8,IF('Daten aus 2021'!H68='#Boden'!$B$39,E66,IF('Daten aus 2021'!H68='#Boden'!$B$38,IF(CONCATENATE(" ",'Daten aus 2021'!W68)=$B$2,VLOOKUP($B$3,'#Frucht'!$A$8:$D$372,4,FALSE),VLOOKUP(CONCATENATE(" ",'Daten aus 2021'!W68),'#Frucht'!$A$8:$D$372,4,FALSE)),IF(OR(LEFT('Daten aus 2021'!Q68,5)=" *10 ",LEFT('Daten aus 2021'!Q68,5)=" *11 ",LEFT('Daten aus 2021'!Q68,5)=" *12 ",LEFT('Daten aus 2021'!Q68,5)=" *13 ",LEFT('Daten aus 2021'!Q68,5)=" *14 ",LEFT('Daten aus 2021'!Q68,5)=" *15 "),VLOOKUP(RIGHT('Daten aus 2021'!Q68,LEN('Daten aus 2021'!Q68)-4),'#Frucht'!$A$8:$D$372,4,FALSE),IF(LEFT('Daten aus 2021'!Q68,2)=" *",VLOOKUP(RIGHT('Daten aus 2021'!Q68,LEN('Daten aus 2021'!Q68)-3),'#Frucht'!$A$8:$D$372,4,FALSE),VLOOKUP('Daten aus 2021'!Q68,'#Frucht'!$A$8:$D$372,4,FALSE)))))),'#Frucht'!$D$8)</f>
        <v xml:space="preserve"> --  </v>
      </c>
      <c r="G66" s="127"/>
      <c r="H66" s="31"/>
      <c r="J66" s="938" t="str">
        <f>IF(OR(N66=3,$K$3=0,'Flächen u. Kulturen'!P71=""),"",IF(VLOOKUP('Flächen u. Kulturen'!P71,Kulturen[[HF]:[780]],'#BerechnungDBE'!$K$3,FALSE)=".","",VLOOKUP('Flächen u. Kulturen'!P71,Kulturen[[HF]:[780]],'#BerechnungDBE'!$K$3,FALSE)))</f>
        <v/>
      </c>
      <c r="K66" s="938" t="str">
        <f>IF(OR($K$3=0,'Flächen u. Kulturen'!P71=""),"",IF(N66=3,IF(VLOOKUP('Flächen u. Kulturen'!P71,Kulturen[[HF]:[780]],'#BerechnungDBE'!$K$3,FALSE)=".","",VLOOKUP('Flächen u. Kulturen'!P71,Kulturen[[HF]:[780]],'#BerechnungDBE'!$K$3,FALSE)),""))</f>
        <v/>
      </c>
      <c r="L66" s="367">
        <f>IF('Flächen u. Kulturen'!D71="",0,'Flächen u. Kulturen'!D71)</f>
        <v>0</v>
      </c>
      <c r="M66" s="693">
        <f>IF('Flächen u. Kulturen'!J71="",0,VLOOKUP('Flächen u. Kulturen'!J71,Kulturen[[HF]:[Berechnungsgruppe]],'#Frucht'!$W$1,FALSE))</f>
        <v>1</v>
      </c>
      <c r="N66" s="693">
        <f>IF('Flächen u. Kulturen'!P71="",0,VLOOKUP('Flächen u. Kulturen'!P71,Kulturen[[HF]:[Berechnungsgruppe]],'#Frucht'!$W$1,FALSE))</f>
        <v>1</v>
      </c>
      <c r="O66" s="875">
        <f>IF(N66&lt;&gt;2,N66,IF('Flächen u. Kulturen'!J71='Flächen u. Kulturen'!P71,2,1))</f>
        <v>1</v>
      </c>
      <c r="P66" s="875">
        <f>IF('Flächen u. Kulturen'!F71="",0,VLOOKUP('Flächen u. Kulturen'!F71,'#Boden'!$G$4:$H$8,'#Boden'!$H$1,FALSE))</f>
        <v>1</v>
      </c>
      <c r="Q66" s="875">
        <f>IF('Flächen u. Kulturen'!G71="",0,VLOOKUP('Flächen u. Kulturen'!G71,'#Boden'!$B$26:$C$29,'#Boden'!$C$1,FALSE))</f>
        <v>1</v>
      </c>
      <c r="R66" s="875">
        <f t="shared" si="19"/>
        <v>1</v>
      </c>
      <c r="S66" s="875">
        <f t="shared" si="20"/>
        <v>1</v>
      </c>
      <c r="T66" s="875">
        <f>IF('Flächen u. Kulturen'!H71="",0,VLOOKUP('Flächen u. Kulturen'!H71,'#Boden'!$B$23:$C$25,'#Boden'!$C$1,FALSE))</f>
        <v>2</v>
      </c>
      <c r="U66" s="875" t="str">
        <f>'Flächen u. Kulturen'!E71</f>
        <v>x</v>
      </c>
      <c r="V66" s="938">
        <f>IF('Flächen u. Kulturen'!Q71="",0,_xlfn.NUMBERVALUE('Flächen u. Kulturen'!Q71))</f>
        <v>0</v>
      </c>
      <c r="W66" s="938">
        <f>IF('Flächen u. Kulturen'!R71="",0,_xlfn.NUMBERVALUE('Flächen u. Kulturen'!R71))</f>
        <v>0</v>
      </c>
      <c r="X66" s="875">
        <f>IF('Flächen u. Kulturen'!T71="",0,VLOOKUP('Flächen u. Kulturen'!T71,'#Boden'!$B$30:$C$32,'#Boden'!$C$1,FALSE))</f>
        <v>1</v>
      </c>
      <c r="Y66" s="875">
        <f>IF('Flächen u. Kulturen'!P71="",0,VLOOKUP('Flächen u. Kulturen'!P71,Kulturen[[HF]:[Berechnungsgruppe]],'#Frucht'!$N$1,FALSE))</f>
        <v>0</v>
      </c>
      <c r="Z66" s="875">
        <f t="shared" si="21"/>
        <v>2</v>
      </c>
      <c r="AA66" s="875">
        <f>IF('Flächen u. Kulturen'!P71="",0,VLOOKUP('Flächen u. Kulturen'!P71,Kulturen[[HF]:[Berechnungsgruppe]],'#Frucht'!$V$1,FALSE))</f>
        <v>0</v>
      </c>
      <c r="AB66" s="875">
        <f>IF(N66=1,VLOOKUP('Flächen u. Kulturen'!P71,Kulturen[[HF]:[Ernteprodukt]],'#Frucht'!$I$1,FALSE),4)</f>
        <v>4</v>
      </c>
      <c r="AC66" s="921">
        <f>IF('Flächen u. Kulturen'!J71="",0,VLOOKUP('Flächen u. Kulturen'!J71,Kulturen[[HF]:[Berechnungsgruppe]],'#Frucht'!$G$1,FALSE))</f>
        <v>90</v>
      </c>
      <c r="AD66" s="921">
        <f>IF('Flächen u. Kulturen'!P71="",0,VLOOKUP('Flächen u. Kulturen'!P71,Kulturen[[HF]:[Berechnungsgruppe]],'#Frucht'!$G$1,FALSE))</f>
        <v>90</v>
      </c>
      <c r="AE66" s="938">
        <f>IF('Flächen u. Kulturen'!P71="",0,VLOOKUP('Flächen u. Kulturen'!P71,Kulturen[[HF]:[SollwertMinusNfix]],'#Frucht'!$X$1,FALSE))</f>
        <v>0</v>
      </c>
      <c r="AF66" s="875">
        <f>IF('Flächen u. Kulturen'!L71="",0,VLOOKUP('Flächen u. Kulturen'!L71,Nebenkultur[[Nebenkultur]:[Berechnungsschema]],'#Zweitfr'!$G$1,FALSE))</f>
        <v>0</v>
      </c>
      <c r="AG66" s="875">
        <f>IF('Flächen u. Kulturen'!L71="",0,VLOOKUP('Flächen u. Kulturen'!L71,'#Zweitfr'!$D$8:$Q$27,'#Zweitfr'!$Q$1,FALSE))</f>
        <v>0</v>
      </c>
      <c r="AH66" s="875">
        <f>IF('Flächen u. Kulturen'!M71="",0,VLOOKUP('Flächen u. Kulturen'!M71,'#Boden'!$G$17:$H$21,2,FALSE))</f>
        <v>1</v>
      </c>
      <c r="AI66" s="875">
        <f>IF('Flächen u. Kulturen'!N71="",0,VLOOKUP('Flächen u. Kulturen'!N71,'#Boden'!$G$22:$H$24,'#Boden'!$H$1,FALSE))</f>
        <v>1</v>
      </c>
      <c r="AJ66" s="938">
        <f>IF('Flächen u. Kulturen'!O71="",0,_xlfn.NUMBERVALUE('Flächen u. Kulturen'!O71))</f>
        <v>0</v>
      </c>
      <c r="AK66" s="938">
        <f>IF('Flächen u. Kulturen'!L71="",0,VLOOKUP('Flächen u. Kulturen'!L71,Nebenkultur[[Nebenkultur]:[Legum. Zwischenfr.]],'#Zweitfr'!$P$1,FALSE))</f>
        <v>0</v>
      </c>
      <c r="AL66" s="875">
        <f>IF('Flächen u. Kulturen'!P71="",0,VLOOKUP('Flächen u. Kulturen'!P71,Kulturen[[HF]:[Berechnungsgruppe]],'#Frucht'!$Q$1,FALSE))</f>
        <v>0</v>
      </c>
      <c r="AM66" s="875">
        <f>IF('Flächen u. Kulturen'!P71="",0,VLOOKUP('Flächen u. Kulturen'!P71,Kulturen[[HF]:[Berechnungsgruppe]],'#Frucht'!$M$1,FALSE))</f>
        <v>0</v>
      </c>
      <c r="AN66" s="875">
        <f>IF('Flächen u. Kulturen'!P71="",1,VLOOKUP('Flächen u. Kulturen'!P71,Kulturen[[HF]:[Berechnungsgruppe]],'#Frucht'!$R$1,FALSE))</f>
        <v>10</v>
      </c>
      <c r="AO66" s="875">
        <f>IF('Flächen u. Kulturen'!P71="",0,VLOOKUP('Flächen u. Kulturen'!P71,Kulturen[[HF]:[Berechnungsgruppe]],'#Frucht'!$S$1,FALSE))</f>
        <v>0</v>
      </c>
      <c r="AP66" s="875">
        <f>IF('Flächen u. Kulturen'!P71="",0,VLOOKUP('Flächen u. Kulturen'!P71,Kulturen[[HF]:[Berechnungsgruppe]],'#Frucht'!$T$1,FALSE))</f>
        <v>0</v>
      </c>
      <c r="AQ66" s="938">
        <f t="shared" si="32"/>
        <v>0</v>
      </c>
      <c r="AR66" s="875">
        <f t="shared" si="33"/>
        <v>0</v>
      </c>
      <c r="AS66" s="938">
        <f t="shared" si="34"/>
        <v>0</v>
      </c>
      <c r="AT66" s="875">
        <f>IF(N66=1,'Flächen u. Kulturen'!S71*-1,"--")</f>
        <v>0</v>
      </c>
      <c r="AU66" s="938">
        <f>IF(OR(N66=2,'Flächen u. Kulturen'!I71=""),"--",IF(N66=3,VLOOKUP('Flächen u. Kulturen'!I71,'#Boden'!$B$9:$E$15,'#Boden'!$D$1,FALSE),VLOOKUP('Flächen u. Kulturen'!I71,'#Boden'!$B$9:$E$15,'#Boden'!$E$1,FALSE)))</f>
        <v>0</v>
      </c>
      <c r="AV66" s="938">
        <f>IF(N66=1,IF('Flächen u. Kulturen'!J71="",0,VLOOKUP('Flächen u. Kulturen'!J71,Kulturen[[HF]:[Berechnungsgruppe]],'#Frucht'!$U$1,FALSE)*-1),"--")</f>
        <v>0</v>
      </c>
      <c r="AW66" s="875">
        <f t="shared" si="35"/>
        <v>0</v>
      </c>
      <c r="AX66" s="875">
        <f>IF('Flächen u. Kulturen'!K71="",0,'Flächen u. Kulturen'!K71*-0.1)</f>
        <v>0</v>
      </c>
      <c r="AY66" s="875">
        <f>IF(N66&lt;3,'#orgDung'!AC75*0.1*-1,"--")</f>
        <v>0</v>
      </c>
      <c r="AZ66" s="31" t="str">
        <f>IF(AND('#orgDung'!J75&lt;&gt;2,'#orgDung'!F75=1),('#orgDung'!V75+'#minDung'!O72)*-1,"--")</f>
        <v>--</v>
      </c>
      <c r="BA66" s="875">
        <f t="shared" si="22"/>
        <v>0</v>
      </c>
      <c r="BB66" s="938">
        <f>IF(R66=2,0,'Flächen u. Kulturen'!V71*-1)</f>
        <v>0</v>
      </c>
      <c r="BC66" s="875">
        <f t="shared" si="23"/>
        <v>0</v>
      </c>
      <c r="BD66" s="127">
        <f>'#orgDung'!W75*-1</f>
        <v>0</v>
      </c>
      <c r="BE66" s="910">
        <f>'#orgDung'!AA75*-1</f>
        <v>0</v>
      </c>
      <c r="BF66" s="875">
        <f>'#orgDung'!Z75*-1</f>
        <v>0</v>
      </c>
      <c r="BG66" s="938">
        <f t="shared" si="14"/>
        <v>0</v>
      </c>
      <c r="BH66" s="875">
        <f>'#Kürzungen'!AS90*-1</f>
        <v>0</v>
      </c>
      <c r="BI66" s="875">
        <f t="shared" si="36"/>
        <v>0</v>
      </c>
      <c r="BJ66" s="910">
        <f t="shared" si="37"/>
        <v>0</v>
      </c>
      <c r="BK66" s="875">
        <f>'#minDung'!P72</f>
        <v>0</v>
      </c>
      <c r="BL66" s="938">
        <f t="shared" si="15"/>
        <v>0</v>
      </c>
      <c r="BM66" s="938">
        <f t="shared" si="38"/>
        <v>0</v>
      </c>
      <c r="BN66" s="875">
        <f>IF('Flächen u. Kulturen'!P71="",0,VLOOKUP('Flächen u. Kulturen'!P71,Kulturen[[HF]:[Berechnungsgruppe]],'#Frucht'!$K$1,FALSE))</f>
        <v>0</v>
      </c>
      <c r="BO66" s="875">
        <f>IF('Flächen u. Kulturen'!P71="",0,VLOOKUP('Flächen u. Kulturen'!P71,Kulturen[[HF]:[Berechnungsgruppe]],'#Frucht'!$L$1,FALSE))</f>
        <v>0</v>
      </c>
      <c r="BP66" s="875">
        <f>IF('Flächen u. Kulturen'!L71="",0,VLOOKUP('Flächen u. Kulturen'!L71,Nebenkultur[[Nebenkultur]:[Legum. Zwischenfr.]],'#Zweitfr'!$H$1,FALSE))</f>
        <v>0</v>
      </c>
      <c r="BQ66" s="938">
        <f>IF(N66=3,W66*BO66,IF('Flächen u. Kulturen'!T71='#Boden'!$B$32,V66*BN66,V66*BO66))</f>
        <v>0</v>
      </c>
      <c r="BR66" s="938">
        <f t="shared" si="39"/>
        <v>0</v>
      </c>
      <c r="BS66" s="875">
        <f t="shared" si="24"/>
        <v>0</v>
      </c>
      <c r="BT66" s="875">
        <f>IF('Flächen u. Kulturen'!F71="",0,IF(N66=3,VLOOKUP('Flächen u. Kulturen'!F71,'#Boden'!$G$4:$J$8,'#Boden'!$J$1,FALSE),VLOOKUP('Flächen u. Kulturen'!F71,'#Boden'!$G$4:$J$8,'#Boden'!$I$1,FALSE)))</f>
        <v>0</v>
      </c>
      <c r="BU66" s="41">
        <f t="shared" si="25"/>
        <v>0</v>
      </c>
      <c r="BV66" s="875">
        <f t="shared" si="26"/>
        <v>0</v>
      </c>
      <c r="BW66" s="938" t="str">
        <f t="shared" si="16"/>
        <v/>
      </c>
      <c r="BX66" s="875">
        <f>'#orgDung'!T75*-1</f>
        <v>0</v>
      </c>
      <c r="BY66" s="875">
        <f t="shared" si="40"/>
        <v>0</v>
      </c>
      <c r="BZ66" s="938" t="str">
        <f>IF(U66&lt;&gt;"x",0,IF(P66&lt;4,"",(BW66+BX66-'#minDung'!N72)*-1))</f>
        <v/>
      </c>
      <c r="CB66" s="938">
        <f>IF(AND(AF66=70,U66="x"),'Flächen u. Kulturen'!A71,1000)</f>
        <v>1000</v>
      </c>
      <c r="CC66" s="875" t="str">
        <f>IF(AF66=70,VLOOKUP('Flächen u. Kulturen'!L71,Nebenkultur[[Nebenkultur]:[Legum. Zwischenfr.]],'#Zweitfr'!$I$1,FALSE),"--")</f>
        <v>--</v>
      </c>
      <c r="CD66" s="875" t="str">
        <f>IF(AF66=70,VLOOKUP('Flächen u. Kulturen'!L71,Nebenkultur[[Nebenkultur]:[Legum. Zwischenfr.]],'#Zweitfr'!$L$1,FALSE),"--")</f>
        <v>--</v>
      </c>
      <c r="CE66" s="875" t="str">
        <f>IF(AF66=70,VLOOKUP('Flächen u. Kulturen'!L71,Nebenkultur[[Nebenkultur]:[Legum. Zwischenfr.]],'#Zweitfr'!$M$1,FALSE),"--")</f>
        <v>--</v>
      </c>
      <c r="CF66" s="875" t="str">
        <f>IF(AF66=70,VLOOKUP('Flächen u. Kulturen'!L71,Nebenkultur[[Nebenkultur]:[Legum. Zwischenfr.]],'#Zweitfr'!$N$1,FALSE),"--")</f>
        <v>--</v>
      </c>
      <c r="CG66" s="875" t="str">
        <f>IF(AF66=70,VLOOKUP('Flächen u. Kulturen'!L71,Nebenkultur[[Nebenkultur]:[Legum. Zwischenfr.]],'#Zweitfr'!$O$1,FALSE),"--")</f>
        <v>--</v>
      </c>
      <c r="CH66" s="875" t="str">
        <f t="shared" si="41"/>
        <v>--</v>
      </c>
      <c r="CI66" s="938">
        <f>IF('Flächen u. Kulturen'!L71="",0,VLOOKUP('Flächen u. Kulturen'!L71,Nebenkultur[[Nebenkultur]:[Legum. Zwischenfr.]],'#Zweitfr'!$J$1,FALSE))</f>
        <v>0</v>
      </c>
      <c r="CJ66" s="875">
        <f t="shared" si="42"/>
        <v>0</v>
      </c>
      <c r="CK66" s="890">
        <f t="shared" si="43"/>
        <v>0</v>
      </c>
      <c r="CL66" s="938">
        <f>IF(AND(R66=1,AF66=70),'Flächen u. Kulturen'!W71*-1,0)</f>
        <v>0</v>
      </c>
      <c r="CM66" s="875">
        <f>'#orgDung'!AE75*-1</f>
        <v>0</v>
      </c>
      <c r="CN66" s="875">
        <f t="shared" si="27"/>
        <v>0</v>
      </c>
      <c r="CO66" s="875">
        <f t="shared" si="28"/>
        <v>0</v>
      </c>
      <c r="CP66" s="875">
        <f>'#Kürzungen'!AS191*-1</f>
        <v>0</v>
      </c>
      <c r="CQ66" s="875">
        <f t="shared" si="29"/>
        <v>0</v>
      </c>
      <c r="CR66" s="875">
        <f t="shared" si="30"/>
        <v>0</v>
      </c>
      <c r="CS66" s="875">
        <f>'#minDung'!R72</f>
        <v>0</v>
      </c>
      <c r="CT66" s="938">
        <f t="shared" si="18"/>
        <v>0</v>
      </c>
      <c r="CU66" s="52" t="str">
        <f>'#Kürzungen'!AQ191</f>
        <v xml:space="preserve"> </v>
      </c>
      <c r="CW66" s="247">
        <f>IF('Flächen u. Kulturen'!D71="",0,IF(ISNUMBER('Flächen u. Kulturen'!D71)=TRUE,2,1))</f>
        <v>0</v>
      </c>
      <c r="CX66" s="247">
        <f>IF('Flächen u. Kulturen'!E71="",0,COUNTIF('#Boden'!$B$47,'Flächen u. Kulturen'!E71)+1)</f>
        <v>2</v>
      </c>
      <c r="CY66" s="247">
        <f>IF('Flächen u. Kulturen'!F71="",0,COUNTIF('#Boden'!$G$4:$G$8,'Flächen u. Kulturen'!F71)+1)</f>
        <v>2</v>
      </c>
      <c r="CZ66" s="247">
        <f>IF('Flächen u. Kulturen'!G71="",0,COUNTIF('#Boden'!$B$26:$B$29,'Flächen u. Kulturen'!G71)+1)</f>
        <v>2</v>
      </c>
      <c r="DA66" s="247">
        <f>IF('Flächen u. Kulturen'!H71="",0,COUNTIF('#Boden'!$B$26:$B$29,'Flächen u. Kulturen'!H71)+1)</f>
        <v>2</v>
      </c>
      <c r="DB66" s="247">
        <f>IF('Flächen u. Kulturen'!I71="",0,COUNTIF('#Boden'!$B$9:$B$15,'Flächen u. Kulturen'!I71)+1)</f>
        <v>2</v>
      </c>
      <c r="DC66" s="247">
        <f>IF('Flächen u. Kulturen'!J71="",0,COUNTIF(Kulturen[HF],'Flächen u. Kulturen'!J71)+1)</f>
        <v>2</v>
      </c>
      <c r="DD66" s="247">
        <f>IF('Flächen u. Kulturen'!L71="",0,COUNTIF(Nebenkultur[Nebenkultur],'Flächen u. Kulturen'!L71)+1)</f>
        <v>2</v>
      </c>
      <c r="DE66" s="247">
        <f>IF('Flächen u. Kulturen'!M71="",0,COUNTIF('#Boden'!$G$17:$G$21,'Flächen u. Kulturen'!M71)+1)</f>
        <v>2</v>
      </c>
      <c r="DF66" s="247">
        <f>IF('Flächen u. Kulturen'!N71="",0,COUNTIF('#Boden'!$G$22:$G$24,'Flächen u. Kulturen'!N71)+1)</f>
        <v>2</v>
      </c>
      <c r="DG66" s="247">
        <f>IF('Flächen u. Kulturen'!P71="",0,COUNTIF(Kulturen[HF],'Flächen u. Kulturen'!P71)+1)</f>
        <v>2</v>
      </c>
      <c r="DH66" s="247">
        <f>IF('Flächen u. Kulturen'!T71="",0,COUNTIF('#Boden'!$B$30:$B$32,'Flächen u. Kulturen'!T71)+1)</f>
        <v>2</v>
      </c>
      <c r="DI66" s="247">
        <f>IF('Flächen u. Kulturen'!K71="",0,IF(ISNUMBER('Flächen u. Kulturen'!K71)=TRUE,2,1))</f>
        <v>0</v>
      </c>
      <c r="DJ66" s="247">
        <f>IF('Flächen u. Kulturen'!U71="",0,IF(ISNUMBER('Flächen u. Kulturen'!U71)=TRUE,2,1))</f>
        <v>0</v>
      </c>
      <c r="DK66" s="247">
        <f>IF('Flächen u. Kulturen'!V71="",0,IF(ISNUMBER('Flächen u. Kulturen'!V71)=TRUE,2,1))</f>
        <v>0</v>
      </c>
      <c r="DL66" s="247">
        <f>IF('Flächen u. Kulturen'!W71="",0,IF(ISNUMBER('Flächen u. Kulturen'!W71)=TRUE,2,1))</f>
        <v>0</v>
      </c>
      <c r="DM66" s="247">
        <f t="shared" si="31"/>
        <v>0</v>
      </c>
      <c r="DN66" s="247" t="s">
        <v>344</v>
      </c>
      <c r="DO66" s="247">
        <f>IF(U66&lt;&gt;"x","",IF(OR('Flächen u. Kulturen'!B71="",'Flächen u. Kulturen'!C71="",'Flächen u. Kulturen'!D71="",'Flächen u. Kulturen'!D71=0,'Flächen u. Kulturen'!F71="",'Flächen u. Kulturen'!F71='#Boden'!$G$4,'Flächen u. Kulturen'!G71="",'Flächen u. Kulturen'!G71='#Boden'!$B$26,'Flächen u. Kulturen'!H71="",'Flächen u. Kulturen'!H71='#Boden'!$B$23,AND(N66&lt;&gt;2,OR('Flächen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Kulturen'!Q71="",'#BerechnungDBE'!N66&lt;3),AND('Flächen u. Kulturen'!R71="",'#BerechnungDBE'!N66=3),AND(N66=1,AL66&gt;0,'Flächen u. Kulturen'!S71=""),AND(N66=1,OR('Flächen u. Kulturen'!T71="",'Flächen u. Kulturen'!T71='#Boden'!$B$30)),AND('#BerechnungDBE'!AF66=70,OR('Flächen u. Kulturen'!N71="",'Flächen u. Kulturen'!N71='#Boden'!$G$22,'Flächen u. Kulturen'!O71="")),AND('#BerechnungDBE'!AF66=80,OR('Flächen u. Kulturen'!M71="",'Flächen u. Kulturen'!M71='#Boden'!$G$17,'Flächen u. Kulturen'!N71="",'Flächen u. Kulturen'!N71='#Boden'!$G$22))),$DO$4,""))</f>
        <v>1</v>
      </c>
      <c r="DP66" s="247" t="str">
        <f>IF(U66&lt;&gt;"x","",IF(OR(LEFT('Flächen u. Kulturen'!J71,2)=" +",LEFT('Flächen u. Kulturen'!L71,2)=" +",LEFT('Flächen u. Kulturen'!P71,2)=" +"),$DP$4,""))</f>
        <v/>
      </c>
      <c r="DQ66" s="428" t="str">
        <f t="shared" si="44"/>
        <v/>
      </c>
      <c r="DR66" s="938" t="str">
        <f t="shared" si="45"/>
        <v/>
      </c>
      <c r="DS66" s="938" t="str">
        <f>IF('Flächen u. Kulturen'!X71="","",ROW('Flächen u. Kulturen'!X71))</f>
        <v/>
      </c>
    </row>
    <row r="67" spans="1:123" s="875" customFormat="1" x14ac:dyDescent="0.2">
      <c r="A67" s="875" t="str">
        <f>IF('Daten aus 2021'!H69="",'#Boden'!$B$26,IF('Daten aus 2021'!H69='#Boden'!$B$39,IF('Daten aus 2021'!F69='#Boden'!$B$29,'#Boden'!$B$29,IF('Daten aus 2021'!K69='#Boden'!$B$34,'#Boden'!$B$28,'#Boden'!$B$27)),'Daten aus 2021'!F69))</f>
        <v xml:space="preserve"> --</v>
      </c>
      <c r="B67" s="875" t="str">
        <f>IF('Daten aus 2021'!H69='#Boden'!$B$39,IF('Daten aus 2021'!L69='#Boden'!$B$61,'#Boden'!$B$11,'Daten aus 2021'!L69),IF('Daten aus 2021'!P69='#Boden'!$B$58,'#Boden'!$B$11,IF('Daten aus 2021'!P69='#Boden'!$B$57,'#Boden'!$B$10,'#Boden'!$B$9)))</f>
        <v xml:space="preserve"> --         </v>
      </c>
      <c r="C67" s="875" t="str">
        <f>IF('Daten aus 2021'!N69="","",VLOOKUP('Daten aus 2021'!N69,'#Boden'!$B$68:$C$89,2,FALSE))</f>
        <v/>
      </c>
      <c r="D67" s="875" t="str">
        <f>IF('Daten aus 2021'!M69="","",VLOOKUP('Daten aus 2021'!M69,'#Boden'!$D$69:$E$73,2,FALSE))</f>
        <v/>
      </c>
      <c r="E67" s="938" t="str">
        <f>IF(OR(C67='#Boden'!$C$68,C67='#Boden'!$C$70),C67,CONCATENATE(C67,D67))</f>
        <v/>
      </c>
      <c r="F67" s="882" t="str">
        <f>IFERROR(IF('Daten aus 2021'!H69="",'#Frucht'!$D$8,IF('Daten aus 2021'!H69='#Boden'!$B$39,E67,IF('Daten aus 2021'!H69='#Boden'!$B$38,IF(CONCATENATE(" ",'Daten aus 2021'!W69)=$B$2,VLOOKUP($B$3,'#Frucht'!$A$8:$D$372,4,FALSE),VLOOKUP(CONCATENATE(" ",'Daten aus 2021'!W69),'#Frucht'!$A$8:$D$372,4,FALSE)),IF(OR(LEFT('Daten aus 2021'!Q69,5)=" *10 ",LEFT('Daten aus 2021'!Q69,5)=" *11 ",LEFT('Daten aus 2021'!Q69,5)=" *12 ",LEFT('Daten aus 2021'!Q69,5)=" *13 ",LEFT('Daten aus 2021'!Q69,5)=" *14 ",LEFT('Daten aus 2021'!Q69,5)=" *15 "),VLOOKUP(RIGHT('Daten aus 2021'!Q69,LEN('Daten aus 2021'!Q69)-4),'#Frucht'!$A$8:$D$372,4,FALSE),IF(LEFT('Daten aus 2021'!Q69,2)=" *",VLOOKUP(RIGHT('Daten aus 2021'!Q69,LEN('Daten aus 2021'!Q69)-3),'#Frucht'!$A$8:$D$372,4,FALSE),VLOOKUP('Daten aus 2021'!Q69,'#Frucht'!$A$8:$D$372,4,FALSE)))))),'#Frucht'!$D$8)</f>
        <v xml:space="preserve"> --  </v>
      </c>
      <c r="G67" s="127"/>
      <c r="H67" s="31"/>
      <c r="J67" s="938" t="str">
        <f>IF(OR(N67=3,$K$3=0,'Flächen u. Kulturen'!P72=""),"",IF(VLOOKUP('Flächen u. Kulturen'!P72,Kulturen[[HF]:[780]],'#BerechnungDBE'!$K$3,FALSE)=".","",VLOOKUP('Flächen u. Kulturen'!P72,Kulturen[[HF]:[780]],'#BerechnungDBE'!$K$3,FALSE)))</f>
        <v/>
      </c>
      <c r="K67" s="938" t="str">
        <f>IF(OR($K$3=0,'Flächen u. Kulturen'!P72=""),"",IF(N67=3,IF(VLOOKUP('Flächen u. Kulturen'!P72,Kulturen[[HF]:[780]],'#BerechnungDBE'!$K$3,FALSE)=".","",VLOOKUP('Flächen u. Kulturen'!P72,Kulturen[[HF]:[780]],'#BerechnungDBE'!$K$3,FALSE)),""))</f>
        <v/>
      </c>
      <c r="L67" s="367">
        <f>IF('Flächen u. Kulturen'!D72="",0,'Flächen u. Kulturen'!D72)</f>
        <v>0</v>
      </c>
      <c r="M67" s="693">
        <f>IF('Flächen u. Kulturen'!J72="",0,VLOOKUP('Flächen u. Kulturen'!J72,Kulturen[[HF]:[Berechnungsgruppe]],'#Frucht'!$W$1,FALSE))</f>
        <v>1</v>
      </c>
      <c r="N67" s="693">
        <f>IF('Flächen u. Kulturen'!P72="",0,VLOOKUP('Flächen u. Kulturen'!P72,Kulturen[[HF]:[Berechnungsgruppe]],'#Frucht'!$W$1,FALSE))</f>
        <v>1</v>
      </c>
      <c r="O67" s="875">
        <f>IF(N67&lt;&gt;2,N67,IF('Flächen u. Kulturen'!J72='Flächen u. Kulturen'!P72,2,1))</f>
        <v>1</v>
      </c>
      <c r="P67" s="875">
        <f>IF('Flächen u. Kulturen'!F72="",0,VLOOKUP('Flächen u. Kulturen'!F72,'#Boden'!$G$4:$H$8,'#Boden'!$H$1,FALSE))</f>
        <v>1</v>
      </c>
      <c r="Q67" s="875">
        <f>IF('Flächen u. Kulturen'!G72="",0,VLOOKUP('Flächen u. Kulturen'!G72,'#Boden'!$B$26:$C$29,'#Boden'!$C$1,FALSE))</f>
        <v>1</v>
      </c>
      <c r="R67" s="875">
        <f t="shared" si="19"/>
        <v>1</v>
      </c>
      <c r="S67" s="875">
        <f t="shared" si="20"/>
        <v>1</v>
      </c>
      <c r="T67" s="875">
        <f>IF('Flächen u. Kulturen'!H72="",0,VLOOKUP('Flächen u. Kulturen'!H72,'#Boden'!$B$23:$C$25,'#Boden'!$C$1,FALSE))</f>
        <v>2</v>
      </c>
      <c r="U67" s="875" t="str">
        <f>'Flächen u. Kulturen'!E72</f>
        <v>x</v>
      </c>
      <c r="V67" s="938">
        <f>IF('Flächen u. Kulturen'!Q72="",0,_xlfn.NUMBERVALUE('Flächen u. Kulturen'!Q72))</f>
        <v>0</v>
      </c>
      <c r="W67" s="938">
        <f>IF('Flächen u. Kulturen'!R72="",0,_xlfn.NUMBERVALUE('Flächen u. Kulturen'!R72))</f>
        <v>0</v>
      </c>
      <c r="X67" s="875">
        <f>IF('Flächen u. Kulturen'!T72="",0,VLOOKUP('Flächen u. Kulturen'!T72,'#Boden'!$B$30:$C$32,'#Boden'!$C$1,FALSE))</f>
        <v>1</v>
      </c>
      <c r="Y67" s="875">
        <f>IF('Flächen u. Kulturen'!P72="",0,VLOOKUP('Flächen u. Kulturen'!P72,Kulturen[[HF]:[Berechnungsgruppe]],'#Frucht'!$N$1,FALSE))</f>
        <v>0</v>
      </c>
      <c r="Z67" s="875">
        <f t="shared" si="21"/>
        <v>2</v>
      </c>
      <c r="AA67" s="875">
        <f>IF('Flächen u. Kulturen'!P72="",0,VLOOKUP('Flächen u. Kulturen'!P72,Kulturen[[HF]:[Berechnungsgruppe]],'#Frucht'!$V$1,FALSE))</f>
        <v>0</v>
      </c>
      <c r="AB67" s="875">
        <f>IF(N67=1,VLOOKUP('Flächen u. Kulturen'!P72,Kulturen[[HF]:[Ernteprodukt]],'#Frucht'!$I$1,FALSE),4)</f>
        <v>4</v>
      </c>
      <c r="AC67" s="921">
        <f>IF('Flächen u. Kulturen'!J72="",0,VLOOKUP('Flächen u. Kulturen'!J72,Kulturen[[HF]:[Berechnungsgruppe]],'#Frucht'!$G$1,FALSE))</f>
        <v>90</v>
      </c>
      <c r="AD67" s="921">
        <f>IF('Flächen u. Kulturen'!P72="",0,VLOOKUP('Flächen u. Kulturen'!P72,Kulturen[[HF]:[Berechnungsgruppe]],'#Frucht'!$G$1,FALSE))</f>
        <v>90</v>
      </c>
      <c r="AE67" s="938">
        <f>IF('Flächen u. Kulturen'!P72="",0,VLOOKUP('Flächen u. Kulturen'!P72,Kulturen[[HF]:[SollwertMinusNfix]],'#Frucht'!$X$1,FALSE))</f>
        <v>0</v>
      </c>
      <c r="AF67" s="875">
        <f>IF('Flächen u. Kulturen'!L72="",0,VLOOKUP('Flächen u. Kulturen'!L72,Nebenkultur[[Nebenkultur]:[Berechnungsschema]],'#Zweitfr'!$G$1,FALSE))</f>
        <v>0</v>
      </c>
      <c r="AG67" s="875">
        <f>IF('Flächen u. Kulturen'!L72="",0,VLOOKUP('Flächen u. Kulturen'!L72,'#Zweitfr'!$D$8:$Q$27,'#Zweitfr'!$Q$1,FALSE))</f>
        <v>0</v>
      </c>
      <c r="AH67" s="875">
        <f>IF('Flächen u. Kulturen'!M72="",0,VLOOKUP('Flächen u. Kulturen'!M72,'#Boden'!$G$17:$H$21,2,FALSE))</f>
        <v>1</v>
      </c>
      <c r="AI67" s="875">
        <f>IF('Flächen u. Kulturen'!N72="",0,VLOOKUP('Flächen u. Kulturen'!N72,'#Boden'!$G$22:$H$24,'#Boden'!$H$1,FALSE))</f>
        <v>1</v>
      </c>
      <c r="AJ67" s="938">
        <f>IF('Flächen u. Kulturen'!O72="",0,_xlfn.NUMBERVALUE('Flächen u. Kulturen'!O72))</f>
        <v>0</v>
      </c>
      <c r="AK67" s="938">
        <f>IF('Flächen u. Kulturen'!L72="",0,VLOOKUP('Flächen u. Kulturen'!L72,Nebenkultur[[Nebenkultur]:[Legum. Zwischenfr.]],'#Zweitfr'!$P$1,FALSE))</f>
        <v>0</v>
      </c>
      <c r="AL67" s="875">
        <f>IF('Flächen u. Kulturen'!P72="",0,VLOOKUP('Flächen u. Kulturen'!P72,Kulturen[[HF]:[Berechnungsgruppe]],'#Frucht'!$Q$1,FALSE))</f>
        <v>0</v>
      </c>
      <c r="AM67" s="875">
        <f>IF('Flächen u. Kulturen'!P72="",0,VLOOKUP('Flächen u. Kulturen'!P72,Kulturen[[HF]:[Berechnungsgruppe]],'#Frucht'!$M$1,FALSE))</f>
        <v>0</v>
      </c>
      <c r="AN67" s="875">
        <f>IF('Flächen u. Kulturen'!P72="",1,VLOOKUP('Flächen u. Kulturen'!P72,Kulturen[[HF]:[Berechnungsgruppe]],'#Frucht'!$R$1,FALSE))</f>
        <v>10</v>
      </c>
      <c r="AO67" s="875">
        <f>IF('Flächen u. Kulturen'!P72="",0,VLOOKUP('Flächen u. Kulturen'!P72,Kulturen[[HF]:[Berechnungsgruppe]],'#Frucht'!$S$1,FALSE))</f>
        <v>0</v>
      </c>
      <c r="AP67" s="875">
        <f>IF('Flächen u. Kulturen'!P72="",0,VLOOKUP('Flächen u. Kulturen'!P72,Kulturen[[HF]:[Berechnungsgruppe]],'#Frucht'!$T$1,FALSE))</f>
        <v>0</v>
      </c>
      <c r="AQ67" s="938">
        <f t="shared" si="32"/>
        <v>0</v>
      </c>
      <c r="AR67" s="875">
        <f t="shared" si="33"/>
        <v>0</v>
      </c>
      <c r="AS67" s="938">
        <f t="shared" si="34"/>
        <v>0</v>
      </c>
      <c r="AT67" s="875">
        <f>IF(N67=1,'Flächen u. Kulturen'!S72*-1,"--")</f>
        <v>0</v>
      </c>
      <c r="AU67" s="938">
        <f>IF(OR(N67=2,'Flächen u. Kulturen'!I72=""),"--",IF(N67=3,VLOOKUP('Flächen u. Kulturen'!I72,'#Boden'!$B$9:$E$15,'#Boden'!$D$1,FALSE),VLOOKUP('Flächen u. Kulturen'!I72,'#Boden'!$B$9:$E$15,'#Boden'!$E$1,FALSE)))</f>
        <v>0</v>
      </c>
      <c r="AV67" s="938">
        <f>IF(N67=1,IF('Flächen u. Kulturen'!J72="",0,VLOOKUP('Flächen u. Kulturen'!J72,Kulturen[[HF]:[Berechnungsgruppe]],'#Frucht'!$U$1,FALSE)*-1),"--")</f>
        <v>0</v>
      </c>
      <c r="AW67" s="875">
        <f t="shared" si="35"/>
        <v>0</v>
      </c>
      <c r="AX67" s="875">
        <f>IF('Flächen u. Kulturen'!K72="",0,'Flächen u. Kulturen'!K72*-0.1)</f>
        <v>0</v>
      </c>
      <c r="AY67" s="875">
        <f>IF(N67&lt;3,'#orgDung'!AC76*0.1*-1,"--")</f>
        <v>0</v>
      </c>
      <c r="AZ67" s="31" t="str">
        <f>IF(AND('#orgDung'!J76&lt;&gt;2,'#orgDung'!F76=1),('#orgDung'!V76+'#minDung'!O73)*-1,"--")</f>
        <v>--</v>
      </c>
      <c r="BA67" s="875">
        <f t="shared" si="22"/>
        <v>0</v>
      </c>
      <c r="BB67" s="938">
        <f>IF(R67=2,0,'Flächen u. Kulturen'!V72*-1)</f>
        <v>0</v>
      </c>
      <c r="BC67" s="875">
        <f t="shared" si="23"/>
        <v>0</v>
      </c>
      <c r="BD67" s="127">
        <f>'#orgDung'!W76*-1</f>
        <v>0</v>
      </c>
      <c r="BE67" s="910">
        <f>'#orgDung'!AA76*-1</f>
        <v>0</v>
      </c>
      <c r="BF67" s="875">
        <f>'#orgDung'!Z76*-1</f>
        <v>0</v>
      </c>
      <c r="BG67" s="938">
        <f t="shared" si="14"/>
        <v>0</v>
      </c>
      <c r="BH67" s="875">
        <f>'#Kürzungen'!AS91*-1</f>
        <v>0</v>
      </c>
      <c r="BI67" s="875">
        <f t="shared" si="36"/>
        <v>0</v>
      </c>
      <c r="BJ67" s="910">
        <f t="shared" si="37"/>
        <v>0</v>
      </c>
      <c r="BK67" s="875">
        <f>'#minDung'!P73</f>
        <v>0</v>
      </c>
      <c r="BL67" s="938">
        <f t="shared" si="15"/>
        <v>0</v>
      </c>
      <c r="BM67" s="938">
        <f t="shared" si="38"/>
        <v>0</v>
      </c>
      <c r="BN67" s="875">
        <f>IF('Flächen u. Kulturen'!P72="",0,VLOOKUP('Flächen u. Kulturen'!P72,Kulturen[[HF]:[Berechnungsgruppe]],'#Frucht'!$K$1,FALSE))</f>
        <v>0</v>
      </c>
      <c r="BO67" s="875">
        <f>IF('Flächen u. Kulturen'!P72="",0,VLOOKUP('Flächen u. Kulturen'!P72,Kulturen[[HF]:[Berechnungsgruppe]],'#Frucht'!$L$1,FALSE))</f>
        <v>0</v>
      </c>
      <c r="BP67" s="875">
        <f>IF('Flächen u. Kulturen'!L72="",0,VLOOKUP('Flächen u. Kulturen'!L72,Nebenkultur[[Nebenkultur]:[Legum. Zwischenfr.]],'#Zweitfr'!$H$1,FALSE))</f>
        <v>0</v>
      </c>
      <c r="BQ67" s="938">
        <f>IF(N67=3,W67*BO67,IF('Flächen u. Kulturen'!T72='#Boden'!$B$32,V67*BN67,V67*BO67))</f>
        <v>0</v>
      </c>
      <c r="BR67" s="938">
        <f t="shared" si="39"/>
        <v>0</v>
      </c>
      <c r="BS67" s="875">
        <f t="shared" si="24"/>
        <v>0</v>
      </c>
      <c r="BT67" s="875">
        <f>IF('Flächen u. Kulturen'!F72="",0,IF(N67=3,VLOOKUP('Flächen u. Kulturen'!F72,'#Boden'!$G$4:$J$8,'#Boden'!$J$1,FALSE),VLOOKUP('Flächen u. Kulturen'!F72,'#Boden'!$G$4:$J$8,'#Boden'!$I$1,FALSE)))</f>
        <v>0</v>
      </c>
      <c r="BU67" s="41">
        <f t="shared" si="25"/>
        <v>0</v>
      </c>
      <c r="BV67" s="875">
        <f t="shared" si="26"/>
        <v>0</v>
      </c>
      <c r="BW67" s="938" t="str">
        <f t="shared" si="16"/>
        <v/>
      </c>
      <c r="BX67" s="875">
        <f>'#orgDung'!T76*-1</f>
        <v>0</v>
      </c>
      <c r="BY67" s="875">
        <f t="shared" si="40"/>
        <v>0</v>
      </c>
      <c r="BZ67" s="938" t="str">
        <f>IF(U67&lt;&gt;"x",0,IF(P67&lt;4,"",(BW67+BX67-'#minDung'!N73)*-1))</f>
        <v/>
      </c>
      <c r="CB67" s="938">
        <f>IF(AND(AF67=70,U67="x"),'Flächen u. Kulturen'!A72,1000)</f>
        <v>1000</v>
      </c>
      <c r="CC67" s="875" t="str">
        <f>IF(AF67=70,VLOOKUP('Flächen u. Kulturen'!L72,Nebenkultur[[Nebenkultur]:[Legum. Zwischenfr.]],'#Zweitfr'!$I$1,FALSE),"--")</f>
        <v>--</v>
      </c>
      <c r="CD67" s="875" t="str">
        <f>IF(AF67=70,VLOOKUP('Flächen u. Kulturen'!L72,Nebenkultur[[Nebenkultur]:[Legum. Zwischenfr.]],'#Zweitfr'!$L$1,FALSE),"--")</f>
        <v>--</v>
      </c>
      <c r="CE67" s="875" t="str">
        <f>IF(AF67=70,VLOOKUP('Flächen u. Kulturen'!L72,Nebenkultur[[Nebenkultur]:[Legum. Zwischenfr.]],'#Zweitfr'!$M$1,FALSE),"--")</f>
        <v>--</v>
      </c>
      <c r="CF67" s="875" t="str">
        <f>IF(AF67=70,VLOOKUP('Flächen u. Kulturen'!L72,Nebenkultur[[Nebenkultur]:[Legum. Zwischenfr.]],'#Zweitfr'!$N$1,FALSE),"--")</f>
        <v>--</v>
      </c>
      <c r="CG67" s="875" t="str">
        <f>IF(AF67=70,VLOOKUP('Flächen u. Kulturen'!L72,Nebenkultur[[Nebenkultur]:[Legum. Zwischenfr.]],'#Zweitfr'!$O$1,FALSE),"--")</f>
        <v>--</v>
      </c>
      <c r="CH67" s="875" t="str">
        <f t="shared" si="41"/>
        <v>--</v>
      </c>
      <c r="CI67" s="938">
        <f>IF('Flächen u. Kulturen'!L72="",0,VLOOKUP('Flächen u. Kulturen'!L72,Nebenkultur[[Nebenkultur]:[Legum. Zwischenfr.]],'#Zweitfr'!$J$1,FALSE))</f>
        <v>0</v>
      </c>
      <c r="CJ67" s="875">
        <f t="shared" si="42"/>
        <v>0</v>
      </c>
      <c r="CK67" s="890">
        <f t="shared" si="43"/>
        <v>0</v>
      </c>
      <c r="CL67" s="938">
        <f>IF(AND(R67=1,AF67=70),'Flächen u. Kulturen'!W72*-1,0)</f>
        <v>0</v>
      </c>
      <c r="CM67" s="875">
        <f>'#orgDung'!AE76*-1</f>
        <v>0</v>
      </c>
      <c r="CN67" s="875">
        <f t="shared" si="27"/>
        <v>0</v>
      </c>
      <c r="CO67" s="875">
        <f t="shared" si="28"/>
        <v>0</v>
      </c>
      <c r="CP67" s="875">
        <f>'#Kürzungen'!AS192*-1</f>
        <v>0</v>
      </c>
      <c r="CQ67" s="875">
        <f t="shared" si="29"/>
        <v>0</v>
      </c>
      <c r="CR67" s="875">
        <f t="shared" si="30"/>
        <v>0</v>
      </c>
      <c r="CS67" s="875">
        <f>'#minDung'!R73</f>
        <v>0</v>
      </c>
      <c r="CT67" s="938">
        <f t="shared" si="18"/>
        <v>0</v>
      </c>
      <c r="CU67" s="52" t="str">
        <f>'#Kürzungen'!AQ192</f>
        <v xml:space="preserve"> </v>
      </c>
      <c r="CW67" s="247">
        <f>IF('Flächen u. Kulturen'!D72="",0,IF(ISNUMBER('Flächen u. Kulturen'!D72)=TRUE,2,1))</f>
        <v>0</v>
      </c>
      <c r="CX67" s="247">
        <f>IF('Flächen u. Kulturen'!E72="",0,COUNTIF('#Boden'!$B$47,'Flächen u. Kulturen'!E72)+1)</f>
        <v>2</v>
      </c>
      <c r="CY67" s="247">
        <f>IF('Flächen u. Kulturen'!F72="",0,COUNTIF('#Boden'!$G$4:$G$8,'Flächen u. Kulturen'!F72)+1)</f>
        <v>2</v>
      </c>
      <c r="CZ67" s="247">
        <f>IF('Flächen u. Kulturen'!G72="",0,COUNTIF('#Boden'!$B$26:$B$29,'Flächen u. Kulturen'!G72)+1)</f>
        <v>2</v>
      </c>
      <c r="DA67" s="247">
        <f>IF('Flächen u. Kulturen'!H72="",0,COUNTIF('#Boden'!$B$26:$B$29,'Flächen u. Kulturen'!H72)+1)</f>
        <v>2</v>
      </c>
      <c r="DB67" s="247">
        <f>IF('Flächen u. Kulturen'!I72="",0,COUNTIF('#Boden'!$B$9:$B$15,'Flächen u. Kulturen'!I72)+1)</f>
        <v>2</v>
      </c>
      <c r="DC67" s="247">
        <f>IF('Flächen u. Kulturen'!J72="",0,COUNTIF(Kulturen[HF],'Flächen u. Kulturen'!J72)+1)</f>
        <v>2</v>
      </c>
      <c r="DD67" s="247">
        <f>IF('Flächen u. Kulturen'!L72="",0,COUNTIF(Nebenkultur[Nebenkultur],'Flächen u. Kulturen'!L72)+1)</f>
        <v>2</v>
      </c>
      <c r="DE67" s="247">
        <f>IF('Flächen u. Kulturen'!M72="",0,COUNTIF('#Boden'!$G$17:$G$21,'Flächen u. Kulturen'!M72)+1)</f>
        <v>2</v>
      </c>
      <c r="DF67" s="247">
        <f>IF('Flächen u. Kulturen'!N72="",0,COUNTIF('#Boden'!$G$22:$G$24,'Flächen u. Kulturen'!N72)+1)</f>
        <v>2</v>
      </c>
      <c r="DG67" s="247">
        <f>IF('Flächen u. Kulturen'!P72="",0,COUNTIF(Kulturen[HF],'Flächen u. Kulturen'!P72)+1)</f>
        <v>2</v>
      </c>
      <c r="DH67" s="247">
        <f>IF('Flächen u. Kulturen'!T72="",0,COUNTIF('#Boden'!$B$30:$B$32,'Flächen u. Kulturen'!T72)+1)</f>
        <v>2</v>
      </c>
      <c r="DI67" s="247">
        <f>IF('Flächen u. Kulturen'!K72="",0,IF(ISNUMBER('Flächen u. Kulturen'!K72)=TRUE,2,1))</f>
        <v>0</v>
      </c>
      <c r="DJ67" s="247">
        <f>IF('Flächen u. Kulturen'!U72="",0,IF(ISNUMBER('Flächen u. Kulturen'!U72)=TRUE,2,1))</f>
        <v>0</v>
      </c>
      <c r="DK67" s="247">
        <f>IF('Flächen u. Kulturen'!V72="",0,IF(ISNUMBER('Flächen u. Kulturen'!V72)=TRUE,2,1))</f>
        <v>0</v>
      </c>
      <c r="DL67" s="247">
        <f>IF('Flächen u. Kulturen'!W72="",0,IF(ISNUMBER('Flächen u. Kulturen'!W72)=TRUE,2,1))</f>
        <v>0</v>
      </c>
      <c r="DM67" s="247">
        <f t="shared" si="31"/>
        <v>0</v>
      </c>
      <c r="DN67" s="247" t="s">
        <v>344</v>
      </c>
      <c r="DO67" s="247">
        <f>IF(U67&lt;&gt;"x","",IF(OR('Flächen u. Kulturen'!B72="",'Flächen u. Kulturen'!C72="",'Flächen u. Kulturen'!D72="",'Flächen u. Kulturen'!D72=0,'Flächen u. Kulturen'!F72="",'Flächen u. Kulturen'!F72='#Boden'!$G$4,'Flächen u. Kulturen'!G72="",'Flächen u. Kulturen'!G72='#Boden'!$B$26,'Flächen u. Kulturen'!H72="",'Flächen u. Kulturen'!H72='#Boden'!$B$23,AND(N67&lt;&gt;2,OR('Flächen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Kulturen'!Q72="",'#BerechnungDBE'!N67&lt;3),AND('Flächen u. Kulturen'!R72="",'#BerechnungDBE'!N67=3),AND(N67=1,AL67&gt;0,'Flächen u. Kulturen'!S72=""),AND(N67=1,OR('Flächen u. Kulturen'!T72="",'Flächen u. Kulturen'!T72='#Boden'!$B$30)),AND('#BerechnungDBE'!AF67=70,OR('Flächen u. Kulturen'!N72="",'Flächen u. Kulturen'!N72='#Boden'!$G$22,'Flächen u. Kulturen'!O72="")),AND('#BerechnungDBE'!AF67=80,OR('Flächen u. Kulturen'!M72="",'Flächen u. Kulturen'!M72='#Boden'!$G$17,'Flächen u. Kulturen'!N72="",'Flächen u. Kulturen'!N72='#Boden'!$G$22))),$DO$4,""))</f>
        <v>1</v>
      </c>
      <c r="DP67" s="247" t="str">
        <f>IF(U67&lt;&gt;"x","",IF(OR(LEFT('Flächen u. Kulturen'!J72,2)=" +",LEFT('Flächen u. Kulturen'!L72,2)=" +",LEFT('Flächen u. Kulturen'!P72,2)=" +"),$DP$4,""))</f>
        <v/>
      </c>
      <c r="DQ67" s="428" t="str">
        <f t="shared" si="44"/>
        <v/>
      </c>
      <c r="DR67" s="938" t="str">
        <f t="shared" si="45"/>
        <v/>
      </c>
      <c r="DS67" s="938" t="str">
        <f>IF('Flächen u. Kulturen'!X72="","",ROW('Flächen u. Kulturen'!X72))</f>
        <v/>
      </c>
    </row>
    <row r="68" spans="1:123" s="875" customFormat="1" x14ac:dyDescent="0.2">
      <c r="A68" s="875" t="str">
        <f>IF('Daten aus 2021'!H70="",'#Boden'!$B$26,IF('Daten aus 2021'!H70='#Boden'!$B$39,IF('Daten aus 2021'!F70='#Boden'!$B$29,'#Boden'!$B$29,IF('Daten aus 2021'!K70='#Boden'!$B$34,'#Boden'!$B$28,'#Boden'!$B$27)),'Daten aus 2021'!F70))</f>
        <v xml:space="preserve"> --</v>
      </c>
      <c r="B68" s="875" t="str">
        <f>IF('Daten aus 2021'!H70='#Boden'!$B$39,IF('Daten aus 2021'!L70='#Boden'!$B$61,'#Boden'!$B$11,'Daten aus 2021'!L70),IF('Daten aus 2021'!P70='#Boden'!$B$58,'#Boden'!$B$11,IF('Daten aus 2021'!P70='#Boden'!$B$57,'#Boden'!$B$10,'#Boden'!$B$9)))</f>
        <v xml:space="preserve"> --         </v>
      </c>
      <c r="C68" s="875" t="str">
        <f>IF('Daten aus 2021'!N70="","",VLOOKUP('Daten aus 2021'!N70,'#Boden'!$B$68:$C$89,2,FALSE))</f>
        <v/>
      </c>
      <c r="D68" s="875" t="str">
        <f>IF('Daten aus 2021'!M70="","",VLOOKUP('Daten aus 2021'!M70,'#Boden'!$D$69:$E$73,2,FALSE))</f>
        <v/>
      </c>
      <c r="E68" s="938" t="str">
        <f>IF(OR(C68='#Boden'!$C$68,C68='#Boden'!$C$70),C68,CONCATENATE(C68,D68))</f>
        <v/>
      </c>
      <c r="F68" s="882" t="str">
        <f>IFERROR(IF('Daten aus 2021'!H70="",'#Frucht'!$D$8,IF('Daten aus 2021'!H70='#Boden'!$B$39,E68,IF('Daten aus 2021'!H70='#Boden'!$B$38,IF(CONCATENATE(" ",'Daten aus 2021'!W70)=$B$2,VLOOKUP($B$3,'#Frucht'!$A$8:$D$372,4,FALSE),VLOOKUP(CONCATENATE(" ",'Daten aus 2021'!W70),'#Frucht'!$A$8:$D$372,4,FALSE)),IF(OR(LEFT('Daten aus 2021'!Q70,5)=" *10 ",LEFT('Daten aus 2021'!Q70,5)=" *11 ",LEFT('Daten aus 2021'!Q70,5)=" *12 ",LEFT('Daten aus 2021'!Q70,5)=" *13 ",LEFT('Daten aus 2021'!Q70,5)=" *14 ",LEFT('Daten aus 2021'!Q70,5)=" *15 "),VLOOKUP(RIGHT('Daten aus 2021'!Q70,LEN('Daten aus 2021'!Q70)-4),'#Frucht'!$A$8:$D$372,4,FALSE),IF(LEFT('Daten aus 2021'!Q70,2)=" *",VLOOKUP(RIGHT('Daten aus 2021'!Q70,LEN('Daten aus 2021'!Q70)-3),'#Frucht'!$A$8:$D$372,4,FALSE),VLOOKUP('Daten aus 2021'!Q70,'#Frucht'!$A$8:$D$372,4,FALSE)))))),'#Frucht'!$D$8)</f>
        <v xml:space="preserve"> --  </v>
      </c>
      <c r="G68" s="127"/>
      <c r="H68" s="31"/>
      <c r="J68" s="938" t="str">
        <f>IF(OR(N68=3,$K$3=0,'Flächen u. Kulturen'!P73=""),"",IF(VLOOKUP('Flächen u. Kulturen'!P73,Kulturen[[HF]:[780]],'#BerechnungDBE'!$K$3,FALSE)=".","",VLOOKUP('Flächen u. Kulturen'!P73,Kulturen[[HF]:[780]],'#BerechnungDBE'!$K$3,FALSE)))</f>
        <v/>
      </c>
      <c r="K68" s="938" t="str">
        <f>IF(OR($K$3=0,'Flächen u. Kulturen'!P73=""),"",IF(N68=3,IF(VLOOKUP('Flächen u. Kulturen'!P73,Kulturen[[HF]:[780]],'#BerechnungDBE'!$K$3,FALSE)=".","",VLOOKUP('Flächen u. Kulturen'!P73,Kulturen[[HF]:[780]],'#BerechnungDBE'!$K$3,FALSE)),""))</f>
        <v/>
      </c>
      <c r="L68" s="367">
        <f>IF('Flächen u. Kulturen'!D73="",0,'Flächen u. Kulturen'!D73)</f>
        <v>0</v>
      </c>
      <c r="M68" s="693">
        <f>IF('Flächen u. Kulturen'!J73="",0,VLOOKUP('Flächen u. Kulturen'!J73,Kulturen[[HF]:[Berechnungsgruppe]],'#Frucht'!$W$1,FALSE))</f>
        <v>1</v>
      </c>
      <c r="N68" s="693">
        <f>IF('Flächen u. Kulturen'!P73="",0,VLOOKUP('Flächen u. Kulturen'!P73,Kulturen[[HF]:[Berechnungsgruppe]],'#Frucht'!$W$1,FALSE))</f>
        <v>1</v>
      </c>
      <c r="O68" s="875">
        <f>IF(N68&lt;&gt;2,N68,IF('Flächen u. Kulturen'!J73='Flächen u. Kulturen'!P73,2,1))</f>
        <v>1</v>
      </c>
      <c r="P68" s="875">
        <f>IF('Flächen u. Kulturen'!F73="",0,VLOOKUP('Flächen u. Kulturen'!F73,'#Boden'!$G$4:$H$8,'#Boden'!$H$1,FALSE))</f>
        <v>1</v>
      </c>
      <c r="Q68" s="875">
        <f>IF('Flächen u. Kulturen'!G73="",0,VLOOKUP('Flächen u. Kulturen'!G73,'#Boden'!$B$26:$C$29,'#Boden'!$C$1,FALSE))</f>
        <v>1</v>
      </c>
      <c r="R68" s="875">
        <f t="shared" si="19"/>
        <v>1</v>
      </c>
      <c r="S68" s="875">
        <f t="shared" si="20"/>
        <v>1</v>
      </c>
      <c r="T68" s="875">
        <f>IF('Flächen u. Kulturen'!H73="",0,VLOOKUP('Flächen u. Kulturen'!H73,'#Boden'!$B$23:$C$25,'#Boden'!$C$1,FALSE))</f>
        <v>2</v>
      </c>
      <c r="U68" s="875" t="str">
        <f>'Flächen u. Kulturen'!E73</f>
        <v>x</v>
      </c>
      <c r="V68" s="938">
        <f>IF('Flächen u. Kulturen'!Q73="",0,_xlfn.NUMBERVALUE('Flächen u. Kulturen'!Q73))</f>
        <v>0</v>
      </c>
      <c r="W68" s="938">
        <f>IF('Flächen u. Kulturen'!R73="",0,_xlfn.NUMBERVALUE('Flächen u. Kulturen'!R73))</f>
        <v>0</v>
      </c>
      <c r="X68" s="875">
        <f>IF('Flächen u. Kulturen'!T73="",0,VLOOKUP('Flächen u. Kulturen'!T73,'#Boden'!$B$30:$C$32,'#Boden'!$C$1,FALSE))</f>
        <v>1</v>
      </c>
      <c r="Y68" s="875">
        <f>IF('Flächen u. Kulturen'!P73="",0,VLOOKUP('Flächen u. Kulturen'!P73,Kulturen[[HF]:[Berechnungsgruppe]],'#Frucht'!$N$1,FALSE))</f>
        <v>0</v>
      </c>
      <c r="Z68" s="875">
        <f t="shared" si="21"/>
        <v>2</v>
      </c>
      <c r="AA68" s="875">
        <f>IF('Flächen u. Kulturen'!P73="",0,VLOOKUP('Flächen u. Kulturen'!P73,Kulturen[[HF]:[Berechnungsgruppe]],'#Frucht'!$V$1,FALSE))</f>
        <v>0</v>
      </c>
      <c r="AB68" s="875">
        <f>IF(N68=1,VLOOKUP('Flächen u. Kulturen'!P73,Kulturen[[HF]:[Ernteprodukt]],'#Frucht'!$I$1,FALSE),4)</f>
        <v>4</v>
      </c>
      <c r="AC68" s="921">
        <f>IF('Flächen u. Kulturen'!J73="",0,VLOOKUP('Flächen u. Kulturen'!J73,Kulturen[[HF]:[Berechnungsgruppe]],'#Frucht'!$G$1,FALSE))</f>
        <v>90</v>
      </c>
      <c r="AD68" s="921">
        <f>IF('Flächen u. Kulturen'!P73="",0,VLOOKUP('Flächen u. Kulturen'!P73,Kulturen[[HF]:[Berechnungsgruppe]],'#Frucht'!$G$1,FALSE))</f>
        <v>90</v>
      </c>
      <c r="AE68" s="938">
        <f>IF('Flächen u. Kulturen'!P73="",0,VLOOKUP('Flächen u. Kulturen'!P73,Kulturen[[HF]:[SollwertMinusNfix]],'#Frucht'!$X$1,FALSE))</f>
        <v>0</v>
      </c>
      <c r="AF68" s="875">
        <f>IF('Flächen u. Kulturen'!L73="",0,VLOOKUP('Flächen u. Kulturen'!L73,Nebenkultur[[Nebenkultur]:[Berechnungsschema]],'#Zweitfr'!$G$1,FALSE))</f>
        <v>0</v>
      </c>
      <c r="AG68" s="875">
        <f>IF('Flächen u. Kulturen'!L73="",0,VLOOKUP('Flächen u. Kulturen'!L73,'#Zweitfr'!$D$8:$Q$27,'#Zweitfr'!$Q$1,FALSE))</f>
        <v>0</v>
      </c>
      <c r="AH68" s="875">
        <f>IF('Flächen u. Kulturen'!M73="",0,VLOOKUP('Flächen u. Kulturen'!M73,'#Boden'!$G$17:$H$21,2,FALSE))</f>
        <v>1</v>
      </c>
      <c r="AI68" s="875">
        <f>IF('Flächen u. Kulturen'!N73="",0,VLOOKUP('Flächen u. Kulturen'!N73,'#Boden'!$G$22:$H$24,'#Boden'!$H$1,FALSE))</f>
        <v>1</v>
      </c>
      <c r="AJ68" s="938">
        <f>IF('Flächen u. Kulturen'!O73="",0,_xlfn.NUMBERVALUE('Flächen u. Kulturen'!O73))</f>
        <v>0</v>
      </c>
      <c r="AK68" s="938">
        <f>IF('Flächen u. Kulturen'!L73="",0,VLOOKUP('Flächen u. Kulturen'!L73,Nebenkultur[[Nebenkultur]:[Legum. Zwischenfr.]],'#Zweitfr'!$P$1,FALSE))</f>
        <v>0</v>
      </c>
      <c r="AL68" s="875">
        <f>IF('Flächen u. Kulturen'!P73="",0,VLOOKUP('Flächen u. Kulturen'!P73,Kulturen[[HF]:[Berechnungsgruppe]],'#Frucht'!$Q$1,FALSE))</f>
        <v>0</v>
      </c>
      <c r="AM68" s="875">
        <f>IF('Flächen u. Kulturen'!P73="",0,VLOOKUP('Flächen u. Kulturen'!P73,Kulturen[[HF]:[Berechnungsgruppe]],'#Frucht'!$M$1,FALSE))</f>
        <v>0</v>
      </c>
      <c r="AN68" s="875">
        <f>IF('Flächen u. Kulturen'!P73="",1,VLOOKUP('Flächen u. Kulturen'!P73,Kulturen[[HF]:[Berechnungsgruppe]],'#Frucht'!$R$1,FALSE))</f>
        <v>10</v>
      </c>
      <c r="AO68" s="875">
        <f>IF('Flächen u. Kulturen'!P73="",0,VLOOKUP('Flächen u. Kulturen'!P73,Kulturen[[HF]:[Berechnungsgruppe]],'#Frucht'!$S$1,FALSE))</f>
        <v>0</v>
      </c>
      <c r="AP68" s="875">
        <f>IF('Flächen u. Kulturen'!P73="",0,VLOOKUP('Flächen u. Kulturen'!P73,Kulturen[[HF]:[Berechnungsgruppe]],'#Frucht'!$T$1,FALSE))</f>
        <v>0</v>
      </c>
      <c r="AQ68" s="938">
        <f t="shared" si="32"/>
        <v>0</v>
      </c>
      <c r="AR68" s="875">
        <f t="shared" si="33"/>
        <v>0</v>
      </c>
      <c r="AS68" s="938">
        <f t="shared" si="34"/>
        <v>0</v>
      </c>
      <c r="AT68" s="875">
        <f>IF(N68=1,'Flächen u. Kulturen'!S73*-1,"--")</f>
        <v>0</v>
      </c>
      <c r="AU68" s="938">
        <f>IF(OR(N68=2,'Flächen u. Kulturen'!I73=""),"--",IF(N68=3,VLOOKUP('Flächen u. Kulturen'!I73,'#Boden'!$B$9:$E$15,'#Boden'!$D$1,FALSE),VLOOKUP('Flächen u. Kulturen'!I73,'#Boden'!$B$9:$E$15,'#Boden'!$E$1,FALSE)))</f>
        <v>0</v>
      </c>
      <c r="AV68" s="938">
        <f>IF(N68=1,IF('Flächen u. Kulturen'!J73="",0,VLOOKUP('Flächen u. Kulturen'!J73,Kulturen[[HF]:[Berechnungsgruppe]],'#Frucht'!$U$1,FALSE)*-1),"--")</f>
        <v>0</v>
      </c>
      <c r="AW68" s="875">
        <f t="shared" si="35"/>
        <v>0</v>
      </c>
      <c r="AX68" s="875">
        <f>IF('Flächen u. Kulturen'!K73="",0,'Flächen u. Kulturen'!K73*-0.1)</f>
        <v>0</v>
      </c>
      <c r="AY68" s="875">
        <f>IF(N68&lt;3,'#orgDung'!AC77*0.1*-1,"--")</f>
        <v>0</v>
      </c>
      <c r="AZ68" s="31" t="str">
        <f>IF(AND('#orgDung'!J77&lt;&gt;2,'#orgDung'!F77=1),('#orgDung'!V77+'#minDung'!O74)*-1,"--")</f>
        <v>--</v>
      </c>
      <c r="BA68" s="875">
        <f t="shared" si="22"/>
        <v>0</v>
      </c>
      <c r="BB68" s="938">
        <f>IF(R68=2,0,'Flächen u. Kulturen'!V73*-1)</f>
        <v>0</v>
      </c>
      <c r="BC68" s="875">
        <f t="shared" si="23"/>
        <v>0</v>
      </c>
      <c r="BD68" s="127">
        <f>'#orgDung'!W77*-1</f>
        <v>0</v>
      </c>
      <c r="BE68" s="910">
        <f>'#orgDung'!AA77*-1</f>
        <v>0</v>
      </c>
      <c r="BF68" s="875">
        <f>'#orgDung'!Z77*-1</f>
        <v>0</v>
      </c>
      <c r="BG68" s="938">
        <f t="shared" si="14"/>
        <v>0</v>
      </c>
      <c r="BH68" s="875">
        <f>'#Kürzungen'!AS92*-1</f>
        <v>0</v>
      </c>
      <c r="BI68" s="875">
        <f t="shared" si="36"/>
        <v>0</v>
      </c>
      <c r="BJ68" s="910">
        <f t="shared" si="37"/>
        <v>0</v>
      </c>
      <c r="BK68" s="875">
        <f>'#minDung'!P74</f>
        <v>0</v>
      </c>
      <c r="BL68" s="938">
        <f t="shared" si="15"/>
        <v>0</v>
      </c>
      <c r="BM68" s="938">
        <f t="shared" si="38"/>
        <v>0</v>
      </c>
      <c r="BN68" s="875">
        <f>IF('Flächen u. Kulturen'!P73="",0,VLOOKUP('Flächen u. Kulturen'!P73,Kulturen[[HF]:[Berechnungsgruppe]],'#Frucht'!$K$1,FALSE))</f>
        <v>0</v>
      </c>
      <c r="BO68" s="875">
        <f>IF('Flächen u. Kulturen'!P73="",0,VLOOKUP('Flächen u. Kulturen'!P73,Kulturen[[HF]:[Berechnungsgruppe]],'#Frucht'!$L$1,FALSE))</f>
        <v>0</v>
      </c>
      <c r="BP68" s="875">
        <f>IF('Flächen u. Kulturen'!L73="",0,VLOOKUP('Flächen u. Kulturen'!L73,Nebenkultur[[Nebenkultur]:[Legum. Zwischenfr.]],'#Zweitfr'!$H$1,FALSE))</f>
        <v>0</v>
      </c>
      <c r="BQ68" s="938">
        <f>IF(N68=3,W68*BO68,IF('Flächen u. Kulturen'!T73='#Boden'!$B$32,V68*BN68,V68*BO68))</f>
        <v>0</v>
      </c>
      <c r="BR68" s="938">
        <f t="shared" si="39"/>
        <v>0</v>
      </c>
      <c r="BS68" s="875">
        <f t="shared" si="24"/>
        <v>0</v>
      </c>
      <c r="BT68" s="875">
        <f>IF('Flächen u. Kulturen'!F73="",0,IF(N68=3,VLOOKUP('Flächen u. Kulturen'!F73,'#Boden'!$G$4:$J$8,'#Boden'!$J$1,FALSE),VLOOKUP('Flächen u. Kulturen'!F73,'#Boden'!$G$4:$J$8,'#Boden'!$I$1,FALSE)))</f>
        <v>0</v>
      </c>
      <c r="BU68" s="41">
        <f t="shared" si="25"/>
        <v>0</v>
      </c>
      <c r="BV68" s="875">
        <f t="shared" si="26"/>
        <v>0</v>
      </c>
      <c r="BW68" s="938" t="str">
        <f t="shared" si="16"/>
        <v/>
      </c>
      <c r="BX68" s="875">
        <f>'#orgDung'!T77*-1</f>
        <v>0</v>
      </c>
      <c r="BY68" s="875">
        <f t="shared" si="40"/>
        <v>0</v>
      </c>
      <c r="BZ68" s="938" t="str">
        <f>IF(U68&lt;&gt;"x",0,IF(P68&lt;4,"",(BW68+BX68-'#minDung'!N74)*-1))</f>
        <v/>
      </c>
      <c r="CB68" s="938">
        <f>IF(AND(AF68=70,U68="x"),'Flächen u. Kulturen'!A73,1000)</f>
        <v>1000</v>
      </c>
      <c r="CC68" s="875" t="str">
        <f>IF(AF68=70,VLOOKUP('Flächen u. Kulturen'!L73,Nebenkultur[[Nebenkultur]:[Legum. Zwischenfr.]],'#Zweitfr'!$I$1,FALSE),"--")</f>
        <v>--</v>
      </c>
      <c r="CD68" s="875" t="str">
        <f>IF(AF68=70,VLOOKUP('Flächen u. Kulturen'!L73,Nebenkultur[[Nebenkultur]:[Legum. Zwischenfr.]],'#Zweitfr'!$L$1,FALSE),"--")</f>
        <v>--</v>
      </c>
      <c r="CE68" s="875" t="str">
        <f>IF(AF68=70,VLOOKUP('Flächen u. Kulturen'!L73,Nebenkultur[[Nebenkultur]:[Legum. Zwischenfr.]],'#Zweitfr'!$M$1,FALSE),"--")</f>
        <v>--</v>
      </c>
      <c r="CF68" s="875" t="str">
        <f>IF(AF68=70,VLOOKUP('Flächen u. Kulturen'!L73,Nebenkultur[[Nebenkultur]:[Legum. Zwischenfr.]],'#Zweitfr'!$N$1,FALSE),"--")</f>
        <v>--</v>
      </c>
      <c r="CG68" s="875" t="str">
        <f>IF(AF68=70,VLOOKUP('Flächen u. Kulturen'!L73,Nebenkultur[[Nebenkultur]:[Legum. Zwischenfr.]],'#Zweitfr'!$O$1,FALSE),"--")</f>
        <v>--</v>
      </c>
      <c r="CH68" s="875" t="str">
        <f t="shared" si="41"/>
        <v>--</v>
      </c>
      <c r="CI68" s="938">
        <f>IF('Flächen u. Kulturen'!L73="",0,VLOOKUP('Flächen u. Kulturen'!L73,Nebenkultur[[Nebenkultur]:[Legum. Zwischenfr.]],'#Zweitfr'!$J$1,FALSE))</f>
        <v>0</v>
      </c>
      <c r="CJ68" s="875">
        <f t="shared" si="42"/>
        <v>0</v>
      </c>
      <c r="CK68" s="890">
        <f t="shared" si="43"/>
        <v>0</v>
      </c>
      <c r="CL68" s="938">
        <f>IF(AND(R68=1,AF68=70),'Flächen u. Kulturen'!W73*-1,0)</f>
        <v>0</v>
      </c>
      <c r="CM68" s="875">
        <f>'#orgDung'!AE77*-1</f>
        <v>0</v>
      </c>
      <c r="CN68" s="875">
        <f t="shared" si="27"/>
        <v>0</v>
      </c>
      <c r="CO68" s="875">
        <f t="shared" si="28"/>
        <v>0</v>
      </c>
      <c r="CP68" s="875">
        <f>'#Kürzungen'!AS193*-1</f>
        <v>0</v>
      </c>
      <c r="CQ68" s="875">
        <f t="shared" si="29"/>
        <v>0</v>
      </c>
      <c r="CR68" s="875">
        <f t="shared" si="30"/>
        <v>0</v>
      </c>
      <c r="CS68" s="875">
        <f>'#minDung'!R74</f>
        <v>0</v>
      </c>
      <c r="CT68" s="938">
        <f t="shared" si="18"/>
        <v>0</v>
      </c>
      <c r="CU68" s="52" t="str">
        <f>'#Kürzungen'!AQ193</f>
        <v xml:space="preserve"> </v>
      </c>
      <c r="CW68" s="247">
        <f>IF('Flächen u. Kulturen'!D73="",0,IF(ISNUMBER('Flächen u. Kulturen'!D73)=TRUE,2,1))</f>
        <v>0</v>
      </c>
      <c r="CX68" s="247">
        <f>IF('Flächen u. Kulturen'!E73="",0,COUNTIF('#Boden'!$B$47,'Flächen u. Kulturen'!E73)+1)</f>
        <v>2</v>
      </c>
      <c r="CY68" s="247">
        <f>IF('Flächen u. Kulturen'!F73="",0,COUNTIF('#Boden'!$G$4:$G$8,'Flächen u. Kulturen'!F73)+1)</f>
        <v>2</v>
      </c>
      <c r="CZ68" s="247">
        <f>IF('Flächen u. Kulturen'!G73="",0,COUNTIF('#Boden'!$B$26:$B$29,'Flächen u. Kulturen'!G73)+1)</f>
        <v>2</v>
      </c>
      <c r="DA68" s="247">
        <f>IF('Flächen u. Kulturen'!H73="",0,COUNTIF('#Boden'!$B$26:$B$29,'Flächen u. Kulturen'!H73)+1)</f>
        <v>2</v>
      </c>
      <c r="DB68" s="247">
        <f>IF('Flächen u. Kulturen'!I73="",0,COUNTIF('#Boden'!$B$9:$B$15,'Flächen u. Kulturen'!I73)+1)</f>
        <v>2</v>
      </c>
      <c r="DC68" s="247">
        <f>IF('Flächen u. Kulturen'!J73="",0,COUNTIF(Kulturen[HF],'Flächen u. Kulturen'!J73)+1)</f>
        <v>2</v>
      </c>
      <c r="DD68" s="247">
        <f>IF('Flächen u. Kulturen'!L73="",0,COUNTIF(Nebenkultur[Nebenkultur],'Flächen u. Kulturen'!L73)+1)</f>
        <v>2</v>
      </c>
      <c r="DE68" s="247">
        <f>IF('Flächen u. Kulturen'!M73="",0,COUNTIF('#Boden'!$G$17:$G$21,'Flächen u. Kulturen'!M73)+1)</f>
        <v>2</v>
      </c>
      <c r="DF68" s="247">
        <f>IF('Flächen u. Kulturen'!N73="",0,COUNTIF('#Boden'!$G$22:$G$24,'Flächen u. Kulturen'!N73)+1)</f>
        <v>2</v>
      </c>
      <c r="DG68" s="247">
        <f>IF('Flächen u. Kulturen'!P73="",0,COUNTIF(Kulturen[HF],'Flächen u. Kulturen'!P73)+1)</f>
        <v>2</v>
      </c>
      <c r="DH68" s="247">
        <f>IF('Flächen u. Kulturen'!T73="",0,COUNTIF('#Boden'!$B$30:$B$32,'Flächen u. Kulturen'!T73)+1)</f>
        <v>2</v>
      </c>
      <c r="DI68" s="247">
        <f>IF('Flächen u. Kulturen'!K73="",0,IF(ISNUMBER('Flächen u. Kulturen'!K73)=TRUE,2,1))</f>
        <v>0</v>
      </c>
      <c r="DJ68" s="247">
        <f>IF('Flächen u. Kulturen'!U73="",0,IF(ISNUMBER('Flächen u. Kulturen'!U73)=TRUE,2,1))</f>
        <v>0</v>
      </c>
      <c r="DK68" s="247">
        <f>IF('Flächen u. Kulturen'!V73="",0,IF(ISNUMBER('Flächen u. Kulturen'!V73)=TRUE,2,1))</f>
        <v>0</v>
      </c>
      <c r="DL68" s="247">
        <f>IF('Flächen u. Kulturen'!W73="",0,IF(ISNUMBER('Flächen u. Kulturen'!W73)=TRUE,2,1))</f>
        <v>0</v>
      </c>
      <c r="DM68" s="247">
        <f t="shared" si="31"/>
        <v>0</v>
      </c>
      <c r="DN68" s="247" t="s">
        <v>344</v>
      </c>
      <c r="DO68" s="247">
        <f>IF(U68&lt;&gt;"x","",IF(OR('Flächen u. Kulturen'!B73="",'Flächen u. Kulturen'!C73="",'Flächen u. Kulturen'!D73="",'Flächen u. Kulturen'!D73=0,'Flächen u. Kulturen'!F73="",'Flächen u. Kulturen'!F73='#Boden'!$G$4,'Flächen u. Kulturen'!G73="",'Flächen u. Kulturen'!G73='#Boden'!$B$26,'Flächen u. Kulturen'!H73="",'Flächen u. Kulturen'!H73='#Boden'!$B$23,AND(N68&lt;&gt;2,OR('Flächen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Kulturen'!Q73="",'#BerechnungDBE'!N68&lt;3),AND('Flächen u. Kulturen'!R73="",'#BerechnungDBE'!N68=3),AND(N68=1,AL68&gt;0,'Flächen u. Kulturen'!S73=""),AND(N68=1,OR('Flächen u. Kulturen'!T73="",'Flächen u. Kulturen'!T73='#Boden'!$B$30)),AND('#BerechnungDBE'!AF68=70,OR('Flächen u. Kulturen'!N73="",'Flächen u. Kulturen'!N73='#Boden'!$G$22,'Flächen u. Kulturen'!O73="")),AND('#BerechnungDBE'!AF68=80,OR('Flächen u. Kulturen'!M73="",'Flächen u. Kulturen'!M73='#Boden'!$G$17,'Flächen u. Kulturen'!N73="",'Flächen u. Kulturen'!N73='#Boden'!$G$22))),$DO$4,""))</f>
        <v>1</v>
      </c>
      <c r="DP68" s="247" t="str">
        <f>IF(U68&lt;&gt;"x","",IF(OR(LEFT('Flächen u. Kulturen'!J73,2)=" +",LEFT('Flächen u. Kulturen'!L73,2)=" +",LEFT('Flächen u. Kulturen'!P73,2)=" +"),$DP$4,""))</f>
        <v/>
      </c>
      <c r="DQ68" s="428" t="str">
        <f t="shared" si="44"/>
        <v/>
      </c>
      <c r="DR68" s="938" t="str">
        <f t="shared" si="45"/>
        <v/>
      </c>
      <c r="DS68" s="938" t="str">
        <f>IF('Flächen u. Kulturen'!X73="","",ROW('Flächen u. Kulturen'!X73))</f>
        <v/>
      </c>
    </row>
    <row r="69" spans="1:123" s="875" customFormat="1" x14ac:dyDescent="0.2">
      <c r="A69" s="875" t="str">
        <f>IF('Daten aus 2021'!H71="",'#Boden'!$B$26,IF('Daten aus 2021'!H71='#Boden'!$B$39,IF('Daten aus 2021'!F71='#Boden'!$B$29,'#Boden'!$B$29,IF('Daten aus 2021'!K71='#Boden'!$B$34,'#Boden'!$B$28,'#Boden'!$B$27)),'Daten aus 2021'!F71))</f>
        <v xml:space="preserve"> --</v>
      </c>
      <c r="B69" s="875" t="str">
        <f>IF('Daten aus 2021'!H71='#Boden'!$B$39,IF('Daten aus 2021'!L71='#Boden'!$B$61,'#Boden'!$B$11,'Daten aus 2021'!L71),IF('Daten aus 2021'!P71='#Boden'!$B$58,'#Boden'!$B$11,IF('Daten aus 2021'!P71='#Boden'!$B$57,'#Boden'!$B$10,'#Boden'!$B$9)))</f>
        <v xml:space="preserve"> --         </v>
      </c>
      <c r="C69" s="875" t="str">
        <f>IF('Daten aus 2021'!N71="","",VLOOKUP('Daten aus 2021'!N71,'#Boden'!$B$68:$C$89,2,FALSE))</f>
        <v/>
      </c>
      <c r="D69" s="875" t="str">
        <f>IF('Daten aus 2021'!M71="","",VLOOKUP('Daten aus 2021'!M71,'#Boden'!$D$69:$E$73,2,FALSE))</f>
        <v/>
      </c>
      <c r="E69" s="938" t="str">
        <f>IF(OR(C69='#Boden'!$C$68,C69='#Boden'!$C$70),C69,CONCATENATE(C69,D69))</f>
        <v/>
      </c>
      <c r="F69" s="882" t="str">
        <f>IFERROR(IF('Daten aus 2021'!H71="",'#Frucht'!$D$8,IF('Daten aus 2021'!H71='#Boden'!$B$39,E69,IF('Daten aus 2021'!H71='#Boden'!$B$38,IF(CONCATENATE(" ",'Daten aus 2021'!W71)=$B$2,VLOOKUP($B$3,'#Frucht'!$A$8:$D$372,4,FALSE),VLOOKUP(CONCATENATE(" ",'Daten aus 2021'!W71),'#Frucht'!$A$8:$D$372,4,FALSE)),IF(OR(LEFT('Daten aus 2021'!Q71,5)=" *10 ",LEFT('Daten aus 2021'!Q71,5)=" *11 ",LEFT('Daten aus 2021'!Q71,5)=" *12 ",LEFT('Daten aus 2021'!Q71,5)=" *13 ",LEFT('Daten aus 2021'!Q71,5)=" *14 ",LEFT('Daten aus 2021'!Q71,5)=" *15 "),VLOOKUP(RIGHT('Daten aus 2021'!Q71,LEN('Daten aus 2021'!Q71)-4),'#Frucht'!$A$8:$D$372,4,FALSE),IF(LEFT('Daten aus 2021'!Q71,2)=" *",VLOOKUP(RIGHT('Daten aus 2021'!Q71,LEN('Daten aus 2021'!Q71)-3),'#Frucht'!$A$8:$D$372,4,FALSE),VLOOKUP('Daten aus 2021'!Q71,'#Frucht'!$A$8:$D$372,4,FALSE)))))),'#Frucht'!$D$8)</f>
        <v xml:space="preserve"> --  </v>
      </c>
      <c r="G69" s="127"/>
      <c r="H69" s="31"/>
      <c r="J69" s="938" t="str">
        <f>IF(OR(N69=3,$K$3=0,'Flächen u. Kulturen'!P74=""),"",IF(VLOOKUP('Flächen u. Kulturen'!P74,Kulturen[[HF]:[780]],'#BerechnungDBE'!$K$3,FALSE)=".","",VLOOKUP('Flächen u. Kulturen'!P74,Kulturen[[HF]:[780]],'#BerechnungDBE'!$K$3,FALSE)))</f>
        <v/>
      </c>
      <c r="K69" s="938" t="str">
        <f>IF(OR($K$3=0,'Flächen u. Kulturen'!P74=""),"",IF(N69=3,IF(VLOOKUP('Flächen u. Kulturen'!P74,Kulturen[[HF]:[780]],'#BerechnungDBE'!$K$3,FALSE)=".","",VLOOKUP('Flächen u. Kulturen'!P74,Kulturen[[HF]:[780]],'#BerechnungDBE'!$K$3,FALSE)),""))</f>
        <v/>
      </c>
      <c r="L69" s="367">
        <f>IF('Flächen u. Kulturen'!D74="",0,'Flächen u. Kulturen'!D74)</f>
        <v>0</v>
      </c>
      <c r="M69" s="693">
        <f>IF('Flächen u. Kulturen'!J74="",0,VLOOKUP('Flächen u. Kulturen'!J74,Kulturen[[HF]:[Berechnungsgruppe]],'#Frucht'!$W$1,FALSE))</f>
        <v>1</v>
      </c>
      <c r="N69" s="693">
        <f>IF('Flächen u. Kulturen'!P74="",0,VLOOKUP('Flächen u. Kulturen'!P74,Kulturen[[HF]:[Berechnungsgruppe]],'#Frucht'!$W$1,FALSE))</f>
        <v>1</v>
      </c>
      <c r="O69" s="875">
        <f>IF(N69&lt;&gt;2,N69,IF('Flächen u. Kulturen'!J74='Flächen u. Kulturen'!P74,2,1))</f>
        <v>1</v>
      </c>
      <c r="P69" s="875">
        <f>IF('Flächen u. Kulturen'!F74="",0,VLOOKUP('Flächen u. Kulturen'!F74,'#Boden'!$G$4:$H$8,'#Boden'!$H$1,FALSE))</f>
        <v>1</v>
      </c>
      <c r="Q69" s="875">
        <f>IF('Flächen u. Kulturen'!G74="",0,VLOOKUP('Flächen u. Kulturen'!G74,'#Boden'!$B$26:$C$29,'#Boden'!$C$1,FALSE))</f>
        <v>1</v>
      </c>
      <c r="R69" s="875">
        <f t="shared" si="19"/>
        <v>1</v>
      </c>
      <c r="S69" s="875">
        <f t="shared" si="20"/>
        <v>1</v>
      </c>
      <c r="T69" s="875">
        <f>IF('Flächen u. Kulturen'!H74="",0,VLOOKUP('Flächen u. Kulturen'!H74,'#Boden'!$B$23:$C$25,'#Boden'!$C$1,FALSE))</f>
        <v>2</v>
      </c>
      <c r="U69" s="875" t="str">
        <f>'Flächen u. Kulturen'!E74</f>
        <v>x</v>
      </c>
      <c r="V69" s="938">
        <f>IF('Flächen u. Kulturen'!Q74="",0,_xlfn.NUMBERVALUE('Flächen u. Kulturen'!Q74))</f>
        <v>0</v>
      </c>
      <c r="W69" s="938">
        <f>IF('Flächen u. Kulturen'!R74="",0,_xlfn.NUMBERVALUE('Flächen u. Kulturen'!R74))</f>
        <v>0</v>
      </c>
      <c r="X69" s="875">
        <f>IF('Flächen u. Kulturen'!T74="",0,VLOOKUP('Flächen u. Kulturen'!T74,'#Boden'!$B$30:$C$32,'#Boden'!$C$1,FALSE))</f>
        <v>1</v>
      </c>
      <c r="Y69" s="875">
        <f>IF('Flächen u. Kulturen'!P74="",0,VLOOKUP('Flächen u. Kulturen'!P74,Kulturen[[HF]:[Berechnungsgruppe]],'#Frucht'!$N$1,FALSE))</f>
        <v>0</v>
      </c>
      <c r="Z69" s="875">
        <f t="shared" si="21"/>
        <v>2</v>
      </c>
      <c r="AA69" s="875">
        <f>IF('Flächen u. Kulturen'!P74="",0,VLOOKUP('Flächen u. Kulturen'!P74,Kulturen[[HF]:[Berechnungsgruppe]],'#Frucht'!$V$1,FALSE))</f>
        <v>0</v>
      </c>
      <c r="AB69" s="875">
        <f>IF(N69=1,VLOOKUP('Flächen u. Kulturen'!P74,Kulturen[[HF]:[Ernteprodukt]],'#Frucht'!$I$1,FALSE),4)</f>
        <v>4</v>
      </c>
      <c r="AC69" s="921">
        <f>IF('Flächen u. Kulturen'!J74="",0,VLOOKUP('Flächen u. Kulturen'!J74,Kulturen[[HF]:[Berechnungsgruppe]],'#Frucht'!$G$1,FALSE))</f>
        <v>90</v>
      </c>
      <c r="AD69" s="921">
        <f>IF('Flächen u. Kulturen'!P74="",0,VLOOKUP('Flächen u. Kulturen'!P74,Kulturen[[HF]:[Berechnungsgruppe]],'#Frucht'!$G$1,FALSE))</f>
        <v>90</v>
      </c>
      <c r="AE69" s="938">
        <f>IF('Flächen u. Kulturen'!P74="",0,VLOOKUP('Flächen u. Kulturen'!P74,Kulturen[[HF]:[SollwertMinusNfix]],'#Frucht'!$X$1,FALSE))</f>
        <v>0</v>
      </c>
      <c r="AF69" s="875">
        <f>IF('Flächen u. Kulturen'!L74="",0,VLOOKUP('Flächen u. Kulturen'!L74,Nebenkultur[[Nebenkultur]:[Berechnungsschema]],'#Zweitfr'!$G$1,FALSE))</f>
        <v>0</v>
      </c>
      <c r="AG69" s="875">
        <f>IF('Flächen u. Kulturen'!L74="",0,VLOOKUP('Flächen u. Kulturen'!L74,'#Zweitfr'!$D$8:$Q$27,'#Zweitfr'!$Q$1,FALSE))</f>
        <v>0</v>
      </c>
      <c r="AH69" s="875">
        <f>IF('Flächen u. Kulturen'!M74="",0,VLOOKUP('Flächen u. Kulturen'!M74,'#Boden'!$G$17:$H$21,2,FALSE))</f>
        <v>1</v>
      </c>
      <c r="AI69" s="875">
        <f>IF('Flächen u. Kulturen'!N74="",0,VLOOKUP('Flächen u. Kulturen'!N74,'#Boden'!$G$22:$H$24,'#Boden'!$H$1,FALSE))</f>
        <v>1</v>
      </c>
      <c r="AJ69" s="938">
        <f>IF('Flächen u. Kulturen'!O74="",0,_xlfn.NUMBERVALUE('Flächen u. Kulturen'!O74))</f>
        <v>0</v>
      </c>
      <c r="AK69" s="938">
        <f>IF('Flächen u. Kulturen'!L74="",0,VLOOKUP('Flächen u. Kulturen'!L74,Nebenkultur[[Nebenkultur]:[Legum. Zwischenfr.]],'#Zweitfr'!$P$1,FALSE))</f>
        <v>0</v>
      </c>
      <c r="AL69" s="875">
        <f>IF('Flächen u. Kulturen'!P74="",0,VLOOKUP('Flächen u. Kulturen'!P74,Kulturen[[HF]:[Berechnungsgruppe]],'#Frucht'!$Q$1,FALSE))</f>
        <v>0</v>
      </c>
      <c r="AM69" s="875">
        <f>IF('Flächen u. Kulturen'!P74="",0,VLOOKUP('Flächen u. Kulturen'!P74,Kulturen[[HF]:[Berechnungsgruppe]],'#Frucht'!$M$1,FALSE))</f>
        <v>0</v>
      </c>
      <c r="AN69" s="875">
        <f>IF('Flächen u. Kulturen'!P74="",1,VLOOKUP('Flächen u. Kulturen'!P74,Kulturen[[HF]:[Berechnungsgruppe]],'#Frucht'!$R$1,FALSE))</f>
        <v>10</v>
      </c>
      <c r="AO69" s="875">
        <f>IF('Flächen u. Kulturen'!P74="",0,VLOOKUP('Flächen u. Kulturen'!P74,Kulturen[[HF]:[Berechnungsgruppe]],'#Frucht'!$S$1,FALSE))</f>
        <v>0</v>
      </c>
      <c r="AP69" s="875">
        <f>IF('Flächen u. Kulturen'!P74="",0,VLOOKUP('Flächen u. Kulturen'!P74,Kulturen[[HF]:[Berechnungsgruppe]],'#Frucht'!$T$1,FALSE))</f>
        <v>0</v>
      </c>
      <c r="AQ69" s="938">
        <f t="shared" ref="AQ69:AQ100" si="46">IF(N69=3,IF(W69&lt;=AM69,AL69-(AM69-W69)/AN69*AP69,AL69+(W69-AM69)/AN69*AO69),IF(V69&lt;=AM69,AL69-(AM69-V69)/AN69*AP69,AL69+(V69-AM69)/AN69*AO69))</f>
        <v>0</v>
      </c>
      <c r="AR69" s="875">
        <f t="shared" ref="AR69:AR100" si="47">IF(N69=1,IF(AQ69&gt;AL69+40,AL69+40,AQ69),AQ69)</f>
        <v>0</v>
      </c>
      <c r="AS69" s="938">
        <f t="shared" ref="AS69:AS104" si="48">IF(N69=3,Y69,Y69*V69*-1)</f>
        <v>0</v>
      </c>
      <c r="AT69" s="875">
        <f>IF(N69=1,'Flächen u. Kulturen'!S74*-1,"--")</f>
        <v>0</v>
      </c>
      <c r="AU69" s="938">
        <f>IF(OR(N69=2,'Flächen u. Kulturen'!I74=""),"--",IF(N69=3,VLOOKUP('Flächen u. Kulturen'!I74,'#Boden'!$B$9:$E$15,'#Boden'!$D$1,FALSE),VLOOKUP('Flächen u. Kulturen'!I74,'#Boden'!$B$9:$E$15,'#Boden'!$E$1,FALSE)))</f>
        <v>0</v>
      </c>
      <c r="AV69" s="938">
        <f>IF(N69=1,IF('Flächen u. Kulturen'!J74="",0,VLOOKUP('Flächen u. Kulturen'!J74,Kulturen[[HF]:[Berechnungsgruppe]],'#Frucht'!$U$1,FALSE)*-1),"--")</f>
        <v>0</v>
      </c>
      <c r="AW69" s="875">
        <f t="shared" ref="AW69:AW104" si="49">IF(N69=1,IF(AND(AG69=1,AH69=3,AI69=3),-20,IF(AG69=2,IF(AND(AH69=3,AI69=3),-40,-10),0)),"--")</f>
        <v>0</v>
      </c>
      <c r="AX69" s="875">
        <f>IF('Flächen u. Kulturen'!K74="",0,'Flächen u. Kulturen'!K74*-0.1)</f>
        <v>0</v>
      </c>
      <c r="AY69" s="875">
        <f>IF(N69&lt;3,'#orgDung'!AC78*0.1*-1,"--")</f>
        <v>0</v>
      </c>
      <c r="AZ69" s="31" t="str">
        <f>IF(AND('#orgDung'!J78&lt;&gt;2,'#orgDung'!F78=1),('#orgDung'!V78+'#minDung'!O75)*-1,"--")</f>
        <v>--</v>
      </c>
      <c r="BA69" s="875">
        <f t="shared" si="22"/>
        <v>0</v>
      </c>
      <c r="BB69" s="938">
        <f>IF(R69=2,0,'Flächen u. Kulturen'!V74*-1)</f>
        <v>0</v>
      </c>
      <c r="BC69" s="875">
        <f t="shared" si="23"/>
        <v>0</v>
      </c>
      <c r="BD69" s="127">
        <f>'#orgDung'!W78*-1</f>
        <v>0</v>
      </c>
      <c r="BE69" s="910">
        <f>'#orgDung'!AA78*-1</f>
        <v>0</v>
      </c>
      <c r="BF69" s="875">
        <f>'#orgDung'!Z78*-1</f>
        <v>0</v>
      </c>
      <c r="BG69" s="938">
        <f t="shared" si="14"/>
        <v>0</v>
      </c>
      <c r="BH69" s="875">
        <f>'#Kürzungen'!AS93*-1</f>
        <v>0</v>
      </c>
      <c r="BI69" s="875">
        <f t="shared" ref="BI69:BI100" si="50">BA69+BH69</f>
        <v>0</v>
      </c>
      <c r="BJ69" s="910">
        <f t="shared" ref="BJ69:BJ100" si="51">IF(BA69+BE69&lt;0,MAX(0,BI69+BE69)+BF69-BE69+BH69,BI69+BF69)</f>
        <v>0</v>
      </c>
      <c r="BK69" s="875">
        <f>'#minDung'!P75</f>
        <v>0</v>
      </c>
      <c r="BL69" s="938">
        <f t="shared" si="15"/>
        <v>0</v>
      </c>
      <c r="BM69" s="938">
        <f t="shared" ref="BM69:BM104" si="52">MAX(MAX(0,SUM(AR69:AY69))+BH69,BE69*-1)</f>
        <v>0</v>
      </c>
      <c r="BN69" s="875">
        <f>IF('Flächen u. Kulturen'!P74="",0,VLOOKUP('Flächen u. Kulturen'!P74,Kulturen[[HF]:[Berechnungsgruppe]],'#Frucht'!$K$1,FALSE))</f>
        <v>0</v>
      </c>
      <c r="BO69" s="875">
        <f>IF('Flächen u. Kulturen'!P74="",0,VLOOKUP('Flächen u. Kulturen'!P74,Kulturen[[HF]:[Berechnungsgruppe]],'#Frucht'!$L$1,FALSE))</f>
        <v>0</v>
      </c>
      <c r="BP69" s="875">
        <f>IF('Flächen u. Kulturen'!L74="",0,VLOOKUP('Flächen u. Kulturen'!L74,Nebenkultur[[Nebenkultur]:[Legum. Zwischenfr.]],'#Zweitfr'!$H$1,FALSE))</f>
        <v>0</v>
      </c>
      <c r="BQ69" s="938">
        <f>IF(N69=3,W69*BO69,IF('Flächen u. Kulturen'!T74='#Boden'!$B$32,V69*BN69,V69*BO69))</f>
        <v>0</v>
      </c>
      <c r="BR69" s="938">
        <f t="shared" ref="BR69:BR104" si="53">IF(AND(AF69=80,AH69&lt;4),0,AJ69*BP69)</f>
        <v>0</v>
      </c>
      <c r="BS69" s="875">
        <f t="shared" si="24"/>
        <v>0</v>
      </c>
      <c r="BT69" s="875">
        <f>IF('Flächen u. Kulturen'!F74="",0,IF(N69=3,VLOOKUP('Flächen u. Kulturen'!F74,'#Boden'!$G$4:$J$8,'#Boden'!$J$1,FALSE),VLOOKUP('Flächen u. Kulturen'!F74,'#Boden'!$G$4:$J$8,'#Boden'!$I$1,FALSE)))</f>
        <v>0</v>
      </c>
      <c r="BU69" s="41">
        <f t="shared" si="25"/>
        <v>0</v>
      </c>
      <c r="BV69" s="875">
        <f t="shared" si="26"/>
        <v>0</v>
      </c>
      <c r="BW69" s="938" t="str">
        <f t="shared" si="16"/>
        <v/>
      </c>
      <c r="BX69" s="875">
        <f>'#orgDung'!T78*-1</f>
        <v>0</v>
      </c>
      <c r="BY69" s="875">
        <f t="shared" ref="BY69:BY100" si="54">IF(P69&lt;4,MAX(0,BV69+BX69),IF(BW69+BX69&lt;0,BW69+BX69,MAX(0,BV69+BX69)))</f>
        <v>0</v>
      </c>
      <c r="BZ69" s="938" t="str">
        <f>IF(U69&lt;&gt;"x",0,IF(P69&lt;4,"",(BW69+BX69-'#minDung'!N75)*-1))</f>
        <v/>
      </c>
      <c r="CB69" s="938">
        <f>IF(AND(AF69=70,U69="x"),'Flächen u. Kulturen'!A74,1000)</f>
        <v>1000</v>
      </c>
      <c r="CC69" s="875" t="str">
        <f>IF(AF69=70,VLOOKUP('Flächen u. Kulturen'!L74,Nebenkultur[[Nebenkultur]:[Legum. Zwischenfr.]],'#Zweitfr'!$I$1,FALSE),"--")</f>
        <v>--</v>
      </c>
      <c r="CD69" s="875" t="str">
        <f>IF(AF69=70,VLOOKUP('Flächen u. Kulturen'!L74,Nebenkultur[[Nebenkultur]:[Legum. Zwischenfr.]],'#Zweitfr'!$L$1,FALSE),"--")</f>
        <v>--</v>
      </c>
      <c r="CE69" s="875" t="str">
        <f>IF(AF69=70,VLOOKUP('Flächen u. Kulturen'!L74,Nebenkultur[[Nebenkultur]:[Legum. Zwischenfr.]],'#Zweitfr'!$M$1,FALSE),"--")</f>
        <v>--</v>
      </c>
      <c r="CF69" s="875" t="str">
        <f>IF(AF69=70,VLOOKUP('Flächen u. Kulturen'!L74,Nebenkultur[[Nebenkultur]:[Legum. Zwischenfr.]],'#Zweitfr'!$N$1,FALSE),"--")</f>
        <v>--</v>
      </c>
      <c r="CG69" s="875" t="str">
        <f>IF(AF69=70,VLOOKUP('Flächen u. Kulturen'!L74,Nebenkultur[[Nebenkultur]:[Legum. Zwischenfr.]],'#Zweitfr'!$O$1,FALSE),"--")</f>
        <v>--</v>
      </c>
      <c r="CH69" s="875" t="str">
        <f t="shared" ref="CH69:CH100" si="55">IF(AF69=70,IF(AJ69&lt;=CC69,CD69-(CC69-AJ69)/CE69*CG69,CD69+(AJ69-CC69)/CE69*CF69),"--")</f>
        <v>--</v>
      </c>
      <c r="CI69" s="938">
        <f>IF('Flächen u. Kulturen'!L74="",0,VLOOKUP('Flächen u. Kulturen'!L74,Nebenkultur[[Nebenkultur]:[Legum. Zwischenfr.]],'#Zweitfr'!$J$1,FALSE))</f>
        <v>0</v>
      </c>
      <c r="CJ69" s="875">
        <f t="shared" ref="CJ69:CJ100" si="56">IF(AND(AF69=80,AJ69=0),150*CI69*-1,AJ69*CI69*-1)</f>
        <v>0</v>
      </c>
      <c r="CK69" s="890">
        <f t="shared" ref="CK69:CK100" si="57">MAX(0,IF(AF69=70,CH69+CJ69,0))</f>
        <v>0</v>
      </c>
      <c r="CL69" s="938">
        <f>IF(AND(R69=1,AF69=70),'Flächen u. Kulturen'!W74*-1,0)</f>
        <v>0</v>
      </c>
      <c r="CM69" s="875">
        <f>'#orgDung'!AE78*-1</f>
        <v>0</v>
      </c>
      <c r="CN69" s="875">
        <f t="shared" si="27"/>
        <v>0</v>
      </c>
      <c r="CO69" s="875">
        <f t="shared" si="28"/>
        <v>0</v>
      </c>
      <c r="CP69" s="875">
        <f>'#Kürzungen'!AS194*-1</f>
        <v>0</v>
      </c>
      <c r="CQ69" s="875">
        <f t="shared" si="29"/>
        <v>0</v>
      </c>
      <c r="CR69" s="875">
        <f t="shared" si="30"/>
        <v>0</v>
      </c>
      <c r="CS69" s="875">
        <f>'#minDung'!R75</f>
        <v>0</v>
      </c>
      <c r="CT69" s="938">
        <f t="shared" si="18"/>
        <v>0</v>
      </c>
      <c r="CU69" s="52" t="str">
        <f>'#Kürzungen'!AQ194</f>
        <v xml:space="preserve"> </v>
      </c>
      <c r="CW69" s="247">
        <f>IF('Flächen u. Kulturen'!D74="",0,IF(ISNUMBER('Flächen u. Kulturen'!D74)=TRUE,2,1))</f>
        <v>0</v>
      </c>
      <c r="CX69" s="247">
        <f>IF('Flächen u. Kulturen'!E74="",0,COUNTIF('#Boden'!$B$47,'Flächen u. Kulturen'!E74)+1)</f>
        <v>2</v>
      </c>
      <c r="CY69" s="247">
        <f>IF('Flächen u. Kulturen'!F74="",0,COUNTIF('#Boden'!$G$4:$G$8,'Flächen u. Kulturen'!F74)+1)</f>
        <v>2</v>
      </c>
      <c r="CZ69" s="247">
        <f>IF('Flächen u. Kulturen'!G74="",0,COUNTIF('#Boden'!$B$26:$B$29,'Flächen u. Kulturen'!G74)+1)</f>
        <v>2</v>
      </c>
      <c r="DA69" s="247">
        <f>IF('Flächen u. Kulturen'!H74="",0,COUNTIF('#Boden'!$B$26:$B$29,'Flächen u. Kulturen'!H74)+1)</f>
        <v>2</v>
      </c>
      <c r="DB69" s="247">
        <f>IF('Flächen u. Kulturen'!I74="",0,COUNTIF('#Boden'!$B$9:$B$15,'Flächen u. Kulturen'!I74)+1)</f>
        <v>2</v>
      </c>
      <c r="DC69" s="247">
        <f>IF('Flächen u. Kulturen'!J74="",0,COUNTIF(Kulturen[HF],'Flächen u. Kulturen'!J74)+1)</f>
        <v>2</v>
      </c>
      <c r="DD69" s="247">
        <f>IF('Flächen u. Kulturen'!L74="",0,COUNTIF(Nebenkultur[Nebenkultur],'Flächen u. Kulturen'!L74)+1)</f>
        <v>2</v>
      </c>
      <c r="DE69" s="247">
        <f>IF('Flächen u. Kulturen'!M74="",0,COUNTIF('#Boden'!$G$17:$G$21,'Flächen u. Kulturen'!M74)+1)</f>
        <v>2</v>
      </c>
      <c r="DF69" s="247">
        <f>IF('Flächen u. Kulturen'!N74="",0,COUNTIF('#Boden'!$G$22:$G$24,'Flächen u. Kulturen'!N74)+1)</f>
        <v>2</v>
      </c>
      <c r="DG69" s="247">
        <f>IF('Flächen u. Kulturen'!P74="",0,COUNTIF(Kulturen[HF],'Flächen u. Kulturen'!P74)+1)</f>
        <v>2</v>
      </c>
      <c r="DH69" s="247">
        <f>IF('Flächen u. Kulturen'!T74="",0,COUNTIF('#Boden'!$B$30:$B$32,'Flächen u. Kulturen'!T74)+1)</f>
        <v>2</v>
      </c>
      <c r="DI69" s="247">
        <f>IF('Flächen u. Kulturen'!K74="",0,IF(ISNUMBER('Flächen u. Kulturen'!K74)=TRUE,2,1))</f>
        <v>0</v>
      </c>
      <c r="DJ69" s="247">
        <f>IF('Flächen u. Kulturen'!U74="",0,IF(ISNUMBER('Flächen u. Kulturen'!U74)=TRUE,2,1))</f>
        <v>0</v>
      </c>
      <c r="DK69" s="247">
        <f>IF('Flächen u. Kulturen'!V74="",0,IF(ISNUMBER('Flächen u. Kulturen'!V74)=TRUE,2,1))</f>
        <v>0</v>
      </c>
      <c r="DL69" s="247">
        <f>IF('Flächen u. Kulturen'!W74="",0,IF(ISNUMBER('Flächen u. Kulturen'!W74)=TRUE,2,1))</f>
        <v>0</v>
      </c>
      <c r="DM69" s="247">
        <f t="shared" si="31"/>
        <v>0</v>
      </c>
      <c r="DN69" s="247" t="s">
        <v>344</v>
      </c>
      <c r="DO69" s="247">
        <f>IF(U69&lt;&gt;"x","",IF(OR('Flächen u. Kulturen'!B74="",'Flächen u. Kulturen'!C74="",'Flächen u. Kulturen'!D74="",'Flächen u. Kulturen'!D74=0,'Flächen u. Kulturen'!F74="",'Flächen u. Kulturen'!F74='#Boden'!$G$4,'Flächen u. Kulturen'!G74="",'Flächen u. Kulturen'!G74='#Boden'!$B$26,'Flächen u. Kulturen'!H74="",'Flächen u. Kulturen'!H74='#Boden'!$B$23,AND(N69&lt;&gt;2,OR('Flächen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Kulturen'!Q74="",'#BerechnungDBE'!N69&lt;3),AND('Flächen u. Kulturen'!R74="",'#BerechnungDBE'!N69=3),AND(N69=1,AL69&gt;0,'Flächen u. Kulturen'!S74=""),AND(N69=1,OR('Flächen u. Kulturen'!T74="",'Flächen u. Kulturen'!T74='#Boden'!$B$30)),AND('#BerechnungDBE'!AF69=70,OR('Flächen u. Kulturen'!N74="",'Flächen u. Kulturen'!N74='#Boden'!$G$22,'Flächen u. Kulturen'!O74="")),AND('#BerechnungDBE'!AF69=80,OR('Flächen u. Kulturen'!M74="",'Flächen u. Kulturen'!M74='#Boden'!$G$17,'Flächen u. Kulturen'!N74="",'Flächen u. Kulturen'!N74='#Boden'!$G$22))),$DO$4,""))</f>
        <v>1</v>
      </c>
      <c r="DP69" s="247" t="str">
        <f>IF(U69&lt;&gt;"x","",IF(OR(LEFT('Flächen u. Kulturen'!J74,2)=" +",LEFT('Flächen u. Kulturen'!L74,2)=" +",LEFT('Flächen u. Kulturen'!P74,2)=" +"),$DP$4,""))</f>
        <v/>
      </c>
      <c r="DQ69" s="428" t="str">
        <f t="shared" ref="DQ69:DQ104" si="58">IF(U69&lt;&gt;"x","",IF(AND(AC69=12,AD69=12),$DQ$4,""))</f>
        <v/>
      </c>
      <c r="DR69" s="938" t="str">
        <f t="shared" ref="DR69:DR104" si="59">IF(AND(AD69=11,U69="x"),$DR$4,"")</f>
        <v/>
      </c>
      <c r="DS69" s="938" t="str">
        <f>IF('Flächen u. Kulturen'!X74="","",ROW('Flächen u. Kulturen'!X74))</f>
        <v/>
      </c>
    </row>
    <row r="70" spans="1:123" s="875" customFormat="1" x14ac:dyDescent="0.2">
      <c r="A70" s="875" t="str">
        <f>IF('Daten aus 2021'!H72="",'#Boden'!$B$26,IF('Daten aus 2021'!H72='#Boden'!$B$39,IF('Daten aus 2021'!F72='#Boden'!$B$29,'#Boden'!$B$29,IF('Daten aus 2021'!K72='#Boden'!$B$34,'#Boden'!$B$28,'#Boden'!$B$27)),'Daten aus 2021'!F72))</f>
        <v xml:space="preserve"> --</v>
      </c>
      <c r="B70" s="875" t="str">
        <f>IF('Daten aus 2021'!H72='#Boden'!$B$39,IF('Daten aus 2021'!L72='#Boden'!$B$61,'#Boden'!$B$11,'Daten aus 2021'!L72),IF('Daten aus 2021'!P72='#Boden'!$B$58,'#Boden'!$B$11,IF('Daten aus 2021'!P72='#Boden'!$B$57,'#Boden'!$B$10,'#Boden'!$B$9)))</f>
        <v xml:space="preserve"> --         </v>
      </c>
      <c r="C70" s="875" t="str">
        <f>IF('Daten aus 2021'!N72="","",VLOOKUP('Daten aus 2021'!N72,'#Boden'!$B$68:$C$89,2,FALSE))</f>
        <v/>
      </c>
      <c r="D70" s="875" t="str">
        <f>IF('Daten aus 2021'!M72="","",VLOOKUP('Daten aus 2021'!M72,'#Boden'!$D$69:$E$73,2,FALSE))</f>
        <v/>
      </c>
      <c r="E70" s="938" t="str">
        <f>IF(OR(C70='#Boden'!$C$68,C70='#Boden'!$C$70),C70,CONCATENATE(C70,D70))</f>
        <v/>
      </c>
      <c r="F70" s="882" t="str">
        <f>IFERROR(IF('Daten aus 2021'!H72="",'#Frucht'!$D$8,IF('Daten aus 2021'!H72='#Boden'!$B$39,E70,IF('Daten aus 2021'!H72='#Boden'!$B$38,IF(CONCATENATE(" ",'Daten aus 2021'!W72)=$B$2,VLOOKUP($B$3,'#Frucht'!$A$8:$D$372,4,FALSE),VLOOKUP(CONCATENATE(" ",'Daten aus 2021'!W72),'#Frucht'!$A$8:$D$372,4,FALSE)),IF(OR(LEFT('Daten aus 2021'!Q72,5)=" *10 ",LEFT('Daten aus 2021'!Q72,5)=" *11 ",LEFT('Daten aus 2021'!Q72,5)=" *12 ",LEFT('Daten aus 2021'!Q72,5)=" *13 ",LEFT('Daten aus 2021'!Q72,5)=" *14 ",LEFT('Daten aus 2021'!Q72,5)=" *15 "),VLOOKUP(RIGHT('Daten aus 2021'!Q72,LEN('Daten aus 2021'!Q72)-4),'#Frucht'!$A$8:$D$372,4,FALSE),IF(LEFT('Daten aus 2021'!Q72,2)=" *",VLOOKUP(RIGHT('Daten aus 2021'!Q72,LEN('Daten aus 2021'!Q72)-3),'#Frucht'!$A$8:$D$372,4,FALSE),VLOOKUP('Daten aus 2021'!Q72,'#Frucht'!$A$8:$D$372,4,FALSE)))))),'#Frucht'!$D$8)</f>
        <v xml:space="preserve"> --  </v>
      </c>
      <c r="G70" s="127"/>
      <c r="H70" s="31"/>
      <c r="J70" s="938" t="str">
        <f>IF(OR(N70=3,$K$3=0,'Flächen u. Kulturen'!P75=""),"",IF(VLOOKUP('Flächen u. Kulturen'!P75,Kulturen[[HF]:[780]],'#BerechnungDBE'!$K$3,FALSE)=".","",VLOOKUP('Flächen u. Kulturen'!P75,Kulturen[[HF]:[780]],'#BerechnungDBE'!$K$3,FALSE)))</f>
        <v/>
      </c>
      <c r="K70" s="938" t="str">
        <f>IF(OR($K$3=0,'Flächen u. Kulturen'!P75=""),"",IF(N70=3,IF(VLOOKUP('Flächen u. Kulturen'!P75,Kulturen[[HF]:[780]],'#BerechnungDBE'!$K$3,FALSE)=".","",VLOOKUP('Flächen u. Kulturen'!P75,Kulturen[[HF]:[780]],'#BerechnungDBE'!$K$3,FALSE)),""))</f>
        <v/>
      </c>
      <c r="L70" s="367">
        <f>IF('Flächen u. Kulturen'!D75="",0,'Flächen u. Kulturen'!D75)</f>
        <v>0</v>
      </c>
      <c r="M70" s="693">
        <f>IF('Flächen u. Kulturen'!J75="",0,VLOOKUP('Flächen u. Kulturen'!J75,Kulturen[[HF]:[Berechnungsgruppe]],'#Frucht'!$W$1,FALSE))</f>
        <v>1</v>
      </c>
      <c r="N70" s="693">
        <f>IF('Flächen u. Kulturen'!P75="",0,VLOOKUP('Flächen u. Kulturen'!P75,Kulturen[[HF]:[Berechnungsgruppe]],'#Frucht'!$W$1,FALSE))</f>
        <v>1</v>
      </c>
      <c r="O70" s="875">
        <f>IF(N70&lt;&gt;2,N70,IF('Flächen u. Kulturen'!J75='Flächen u. Kulturen'!P75,2,1))</f>
        <v>1</v>
      </c>
      <c r="P70" s="875">
        <f>IF('Flächen u. Kulturen'!F75="",0,VLOOKUP('Flächen u. Kulturen'!F75,'#Boden'!$G$4:$H$8,'#Boden'!$H$1,FALSE))</f>
        <v>1</v>
      </c>
      <c r="Q70" s="875">
        <f>IF('Flächen u. Kulturen'!G75="",0,VLOOKUP('Flächen u. Kulturen'!G75,'#Boden'!$B$26:$C$29,'#Boden'!$C$1,FALSE))</f>
        <v>1</v>
      </c>
      <c r="R70" s="875">
        <f t="shared" si="19"/>
        <v>1</v>
      </c>
      <c r="S70" s="875">
        <f t="shared" si="20"/>
        <v>1</v>
      </c>
      <c r="T70" s="875">
        <f>IF('Flächen u. Kulturen'!H75="",0,VLOOKUP('Flächen u. Kulturen'!H75,'#Boden'!$B$23:$C$25,'#Boden'!$C$1,FALSE))</f>
        <v>2</v>
      </c>
      <c r="U70" s="875" t="str">
        <f>'Flächen u. Kulturen'!E75</f>
        <v>x</v>
      </c>
      <c r="V70" s="938">
        <f>IF('Flächen u. Kulturen'!Q75="",0,_xlfn.NUMBERVALUE('Flächen u. Kulturen'!Q75))</f>
        <v>0</v>
      </c>
      <c r="W70" s="938">
        <f>IF('Flächen u. Kulturen'!R75="",0,_xlfn.NUMBERVALUE('Flächen u. Kulturen'!R75))</f>
        <v>0</v>
      </c>
      <c r="X70" s="875">
        <f>IF('Flächen u. Kulturen'!T75="",0,VLOOKUP('Flächen u. Kulturen'!T75,'#Boden'!$B$30:$C$32,'#Boden'!$C$1,FALSE))</f>
        <v>1</v>
      </c>
      <c r="Y70" s="875">
        <f>IF('Flächen u. Kulturen'!P75="",0,VLOOKUP('Flächen u. Kulturen'!P75,Kulturen[[HF]:[Berechnungsgruppe]],'#Frucht'!$N$1,FALSE))</f>
        <v>0</v>
      </c>
      <c r="Z70" s="875">
        <f t="shared" si="21"/>
        <v>2</v>
      </c>
      <c r="AA70" s="875">
        <f>IF('Flächen u. Kulturen'!P75="",0,VLOOKUP('Flächen u. Kulturen'!P75,Kulturen[[HF]:[Berechnungsgruppe]],'#Frucht'!$V$1,FALSE))</f>
        <v>0</v>
      </c>
      <c r="AB70" s="875">
        <f>IF(N70=1,VLOOKUP('Flächen u. Kulturen'!P75,Kulturen[[HF]:[Ernteprodukt]],'#Frucht'!$I$1,FALSE),4)</f>
        <v>4</v>
      </c>
      <c r="AC70" s="921">
        <f>IF('Flächen u. Kulturen'!J75="",0,VLOOKUP('Flächen u. Kulturen'!J75,Kulturen[[HF]:[Berechnungsgruppe]],'#Frucht'!$G$1,FALSE))</f>
        <v>90</v>
      </c>
      <c r="AD70" s="921">
        <f>IF('Flächen u. Kulturen'!P75="",0,VLOOKUP('Flächen u. Kulturen'!P75,Kulturen[[HF]:[Berechnungsgruppe]],'#Frucht'!$G$1,FALSE))</f>
        <v>90</v>
      </c>
      <c r="AE70" s="938">
        <f>IF('Flächen u. Kulturen'!P75="",0,VLOOKUP('Flächen u. Kulturen'!P75,Kulturen[[HF]:[SollwertMinusNfix]],'#Frucht'!$X$1,FALSE))</f>
        <v>0</v>
      </c>
      <c r="AF70" s="875">
        <f>IF('Flächen u. Kulturen'!L75="",0,VLOOKUP('Flächen u. Kulturen'!L75,Nebenkultur[[Nebenkultur]:[Berechnungsschema]],'#Zweitfr'!$G$1,FALSE))</f>
        <v>0</v>
      </c>
      <c r="AG70" s="875">
        <f>IF('Flächen u. Kulturen'!L75="",0,VLOOKUP('Flächen u. Kulturen'!L75,'#Zweitfr'!$D$8:$Q$27,'#Zweitfr'!$Q$1,FALSE))</f>
        <v>0</v>
      </c>
      <c r="AH70" s="875">
        <f>IF('Flächen u. Kulturen'!M75="",0,VLOOKUP('Flächen u. Kulturen'!M75,'#Boden'!$G$17:$H$21,2,FALSE))</f>
        <v>1</v>
      </c>
      <c r="AI70" s="875">
        <f>IF('Flächen u. Kulturen'!N75="",0,VLOOKUP('Flächen u. Kulturen'!N75,'#Boden'!$G$22:$H$24,'#Boden'!$H$1,FALSE))</f>
        <v>1</v>
      </c>
      <c r="AJ70" s="938">
        <f>IF('Flächen u. Kulturen'!O75="",0,_xlfn.NUMBERVALUE('Flächen u. Kulturen'!O75))</f>
        <v>0</v>
      </c>
      <c r="AK70" s="938">
        <f>IF('Flächen u. Kulturen'!L75="",0,VLOOKUP('Flächen u. Kulturen'!L75,Nebenkultur[[Nebenkultur]:[Legum. Zwischenfr.]],'#Zweitfr'!$P$1,FALSE))</f>
        <v>0</v>
      </c>
      <c r="AL70" s="875">
        <f>IF('Flächen u. Kulturen'!P75="",0,VLOOKUP('Flächen u. Kulturen'!P75,Kulturen[[HF]:[Berechnungsgruppe]],'#Frucht'!$Q$1,FALSE))</f>
        <v>0</v>
      </c>
      <c r="AM70" s="875">
        <f>IF('Flächen u. Kulturen'!P75="",0,VLOOKUP('Flächen u. Kulturen'!P75,Kulturen[[HF]:[Berechnungsgruppe]],'#Frucht'!$M$1,FALSE))</f>
        <v>0</v>
      </c>
      <c r="AN70" s="875">
        <f>IF('Flächen u. Kulturen'!P75="",1,VLOOKUP('Flächen u. Kulturen'!P75,Kulturen[[HF]:[Berechnungsgruppe]],'#Frucht'!$R$1,FALSE))</f>
        <v>10</v>
      </c>
      <c r="AO70" s="875">
        <f>IF('Flächen u. Kulturen'!P75="",0,VLOOKUP('Flächen u. Kulturen'!P75,Kulturen[[HF]:[Berechnungsgruppe]],'#Frucht'!$S$1,FALSE))</f>
        <v>0</v>
      </c>
      <c r="AP70" s="875">
        <f>IF('Flächen u. Kulturen'!P75="",0,VLOOKUP('Flächen u. Kulturen'!P75,Kulturen[[HF]:[Berechnungsgruppe]],'#Frucht'!$T$1,FALSE))</f>
        <v>0</v>
      </c>
      <c r="AQ70" s="938">
        <f t="shared" si="46"/>
        <v>0</v>
      </c>
      <c r="AR70" s="875">
        <f t="shared" si="47"/>
        <v>0</v>
      </c>
      <c r="AS70" s="938">
        <f t="shared" si="48"/>
        <v>0</v>
      </c>
      <c r="AT70" s="875">
        <f>IF(N70=1,'Flächen u. Kulturen'!S75*-1,"--")</f>
        <v>0</v>
      </c>
      <c r="AU70" s="938">
        <f>IF(OR(N70=2,'Flächen u. Kulturen'!I75=""),"--",IF(N70=3,VLOOKUP('Flächen u. Kulturen'!I75,'#Boden'!$B$9:$E$15,'#Boden'!$D$1,FALSE),VLOOKUP('Flächen u. Kulturen'!I75,'#Boden'!$B$9:$E$15,'#Boden'!$E$1,FALSE)))</f>
        <v>0</v>
      </c>
      <c r="AV70" s="938">
        <f>IF(N70=1,IF('Flächen u. Kulturen'!J75="",0,VLOOKUP('Flächen u. Kulturen'!J75,Kulturen[[HF]:[Berechnungsgruppe]],'#Frucht'!$U$1,FALSE)*-1),"--")</f>
        <v>0</v>
      </c>
      <c r="AW70" s="875">
        <f t="shared" si="49"/>
        <v>0</v>
      </c>
      <c r="AX70" s="875">
        <f>IF('Flächen u. Kulturen'!K75="",0,'Flächen u. Kulturen'!K75*-0.1)</f>
        <v>0</v>
      </c>
      <c r="AY70" s="875">
        <f>IF(N70&lt;3,'#orgDung'!AC79*0.1*-1,"--")</f>
        <v>0</v>
      </c>
      <c r="AZ70" s="31" t="str">
        <f>IF(AND('#orgDung'!J79&lt;&gt;2,'#orgDung'!F79=1),('#orgDung'!V79+'#minDung'!O76)*-1,"--")</f>
        <v>--</v>
      </c>
      <c r="BA70" s="875">
        <f t="shared" si="22"/>
        <v>0</v>
      </c>
      <c r="BB70" s="938">
        <f>IF(R70=2,0,'Flächen u. Kulturen'!V75*-1)</f>
        <v>0</v>
      </c>
      <c r="BC70" s="875">
        <f t="shared" si="23"/>
        <v>0</v>
      </c>
      <c r="BD70" s="127">
        <f>'#orgDung'!W79*-1</f>
        <v>0</v>
      </c>
      <c r="BE70" s="910">
        <f>'#orgDung'!AA79*-1</f>
        <v>0</v>
      </c>
      <c r="BF70" s="875">
        <f>'#orgDung'!Z79*-1</f>
        <v>0</v>
      </c>
      <c r="BG70" s="938">
        <f t="shared" ref="BG70:BG104" si="60">MAX(0,IF(BA70+BE70&lt;0,BC70+BF70+BE70,BC70+BF70))</f>
        <v>0</v>
      </c>
      <c r="BH70" s="875">
        <f>'#Kürzungen'!AS94*-1</f>
        <v>0</v>
      </c>
      <c r="BI70" s="875">
        <f t="shared" si="50"/>
        <v>0</v>
      </c>
      <c r="BJ70" s="910">
        <f t="shared" si="51"/>
        <v>0</v>
      </c>
      <c r="BK70" s="875">
        <f>'#minDung'!P76</f>
        <v>0</v>
      </c>
      <c r="BL70" s="938">
        <f t="shared" ref="BL70:BL104" si="61">BJ70-BK70</f>
        <v>0</v>
      </c>
      <c r="BM70" s="938">
        <f t="shared" si="52"/>
        <v>0</v>
      </c>
      <c r="BN70" s="875">
        <f>IF('Flächen u. Kulturen'!P75="",0,VLOOKUP('Flächen u. Kulturen'!P75,Kulturen[[HF]:[Berechnungsgruppe]],'#Frucht'!$K$1,FALSE))</f>
        <v>0</v>
      </c>
      <c r="BO70" s="875">
        <f>IF('Flächen u. Kulturen'!P75="",0,VLOOKUP('Flächen u. Kulturen'!P75,Kulturen[[HF]:[Berechnungsgruppe]],'#Frucht'!$L$1,FALSE))</f>
        <v>0</v>
      </c>
      <c r="BP70" s="875">
        <f>IF('Flächen u. Kulturen'!L75="",0,VLOOKUP('Flächen u. Kulturen'!L75,Nebenkultur[[Nebenkultur]:[Legum. Zwischenfr.]],'#Zweitfr'!$H$1,FALSE))</f>
        <v>0</v>
      </c>
      <c r="BQ70" s="938">
        <f>IF(N70=3,W70*BO70,IF('Flächen u. Kulturen'!T75='#Boden'!$B$32,V70*BN70,V70*BO70))</f>
        <v>0</v>
      </c>
      <c r="BR70" s="938">
        <f t="shared" si="53"/>
        <v>0</v>
      </c>
      <c r="BS70" s="875">
        <f t="shared" si="24"/>
        <v>0</v>
      </c>
      <c r="BT70" s="875">
        <f>IF('Flächen u. Kulturen'!F75="",0,IF(N70=3,VLOOKUP('Flächen u. Kulturen'!F75,'#Boden'!$G$4:$J$8,'#Boden'!$J$1,FALSE),VLOOKUP('Flächen u. Kulturen'!F75,'#Boden'!$G$4:$J$8,'#Boden'!$I$1,FALSE)))</f>
        <v>0</v>
      </c>
      <c r="BU70" s="41">
        <f t="shared" si="25"/>
        <v>0</v>
      </c>
      <c r="BV70" s="875">
        <f t="shared" si="26"/>
        <v>0</v>
      </c>
      <c r="BW70" s="938" t="str">
        <f t="shared" ref="BW70:BW104" si="62">IF(P70&gt;3,BS70,"")</f>
        <v/>
      </c>
      <c r="BX70" s="875">
        <f>'#orgDung'!T79*-1</f>
        <v>0</v>
      </c>
      <c r="BY70" s="875">
        <f t="shared" si="54"/>
        <v>0</v>
      </c>
      <c r="BZ70" s="938" t="str">
        <f>IF(U70&lt;&gt;"x",0,IF(P70&lt;4,"",(BW70+BX70-'#minDung'!N76)*-1))</f>
        <v/>
      </c>
      <c r="CB70" s="938">
        <f>IF(AND(AF70=70,U70="x"),'Flächen u. Kulturen'!A75,1000)</f>
        <v>1000</v>
      </c>
      <c r="CC70" s="875" t="str">
        <f>IF(AF70=70,VLOOKUP('Flächen u. Kulturen'!L75,Nebenkultur[[Nebenkultur]:[Legum. Zwischenfr.]],'#Zweitfr'!$I$1,FALSE),"--")</f>
        <v>--</v>
      </c>
      <c r="CD70" s="875" t="str">
        <f>IF(AF70=70,VLOOKUP('Flächen u. Kulturen'!L75,Nebenkultur[[Nebenkultur]:[Legum. Zwischenfr.]],'#Zweitfr'!$L$1,FALSE),"--")</f>
        <v>--</v>
      </c>
      <c r="CE70" s="875" t="str">
        <f>IF(AF70=70,VLOOKUP('Flächen u. Kulturen'!L75,Nebenkultur[[Nebenkultur]:[Legum. Zwischenfr.]],'#Zweitfr'!$M$1,FALSE),"--")</f>
        <v>--</v>
      </c>
      <c r="CF70" s="875" t="str">
        <f>IF(AF70=70,VLOOKUP('Flächen u. Kulturen'!L75,Nebenkultur[[Nebenkultur]:[Legum. Zwischenfr.]],'#Zweitfr'!$N$1,FALSE),"--")</f>
        <v>--</v>
      </c>
      <c r="CG70" s="875" t="str">
        <f>IF(AF70=70,VLOOKUP('Flächen u. Kulturen'!L75,Nebenkultur[[Nebenkultur]:[Legum. Zwischenfr.]],'#Zweitfr'!$O$1,FALSE),"--")</f>
        <v>--</v>
      </c>
      <c r="CH70" s="875" t="str">
        <f t="shared" si="55"/>
        <v>--</v>
      </c>
      <c r="CI70" s="938">
        <f>IF('Flächen u. Kulturen'!L75="",0,VLOOKUP('Flächen u. Kulturen'!L75,Nebenkultur[[Nebenkultur]:[Legum. Zwischenfr.]],'#Zweitfr'!$J$1,FALSE))</f>
        <v>0</v>
      </c>
      <c r="CJ70" s="875">
        <f t="shared" si="56"/>
        <v>0</v>
      </c>
      <c r="CK70" s="890">
        <f t="shared" si="57"/>
        <v>0</v>
      </c>
      <c r="CL70" s="938">
        <f>IF(AND(R70=1,AF70=70),'Flächen u. Kulturen'!W75*-1,0)</f>
        <v>0</v>
      </c>
      <c r="CM70" s="875">
        <f>'#orgDung'!AE79*-1</f>
        <v>0</v>
      </c>
      <c r="CN70" s="875">
        <f t="shared" si="27"/>
        <v>0</v>
      </c>
      <c r="CO70" s="875">
        <f t="shared" si="28"/>
        <v>0</v>
      </c>
      <c r="CP70" s="875">
        <f>'#Kürzungen'!AS195*-1</f>
        <v>0</v>
      </c>
      <c r="CQ70" s="875">
        <f t="shared" si="29"/>
        <v>0</v>
      </c>
      <c r="CR70" s="875">
        <f t="shared" si="30"/>
        <v>0</v>
      </c>
      <c r="CS70" s="875">
        <f>'#minDung'!R76</f>
        <v>0</v>
      </c>
      <c r="CT70" s="938">
        <f t="shared" ref="CT70:CT105" si="63">CR70-CS70</f>
        <v>0</v>
      </c>
      <c r="CU70" s="52" t="str">
        <f>'#Kürzungen'!AQ195</f>
        <v xml:space="preserve"> </v>
      </c>
      <c r="CW70" s="247">
        <f>IF('Flächen u. Kulturen'!D75="",0,IF(ISNUMBER('Flächen u. Kulturen'!D75)=TRUE,2,1))</f>
        <v>0</v>
      </c>
      <c r="CX70" s="247">
        <f>IF('Flächen u. Kulturen'!E75="",0,COUNTIF('#Boden'!$B$47,'Flächen u. Kulturen'!E75)+1)</f>
        <v>2</v>
      </c>
      <c r="CY70" s="247">
        <f>IF('Flächen u. Kulturen'!F75="",0,COUNTIF('#Boden'!$G$4:$G$8,'Flächen u. Kulturen'!F75)+1)</f>
        <v>2</v>
      </c>
      <c r="CZ70" s="247">
        <f>IF('Flächen u. Kulturen'!G75="",0,COUNTIF('#Boden'!$B$26:$B$29,'Flächen u. Kulturen'!G75)+1)</f>
        <v>2</v>
      </c>
      <c r="DA70" s="247">
        <f>IF('Flächen u. Kulturen'!H75="",0,COUNTIF('#Boden'!$B$26:$B$29,'Flächen u. Kulturen'!H75)+1)</f>
        <v>2</v>
      </c>
      <c r="DB70" s="247">
        <f>IF('Flächen u. Kulturen'!I75="",0,COUNTIF('#Boden'!$B$9:$B$15,'Flächen u. Kulturen'!I75)+1)</f>
        <v>2</v>
      </c>
      <c r="DC70" s="247">
        <f>IF('Flächen u. Kulturen'!J75="",0,COUNTIF(Kulturen[HF],'Flächen u. Kulturen'!J75)+1)</f>
        <v>2</v>
      </c>
      <c r="DD70" s="247">
        <f>IF('Flächen u. Kulturen'!L75="",0,COUNTIF(Nebenkultur[Nebenkultur],'Flächen u. Kulturen'!L75)+1)</f>
        <v>2</v>
      </c>
      <c r="DE70" s="247">
        <f>IF('Flächen u. Kulturen'!M75="",0,COUNTIF('#Boden'!$G$17:$G$21,'Flächen u. Kulturen'!M75)+1)</f>
        <v>2</v>
      </c>
      <c r="DF70" s="247">
        <f>IF('Flächen u. Kulturen'!N75="",0,COUNTIF('#Boden'!$G$22:$G$24,'Flächen u. Kulturen'!N75)+1)</f>
        <v>2</v>
      </c>
      <c r="DG70" s="247">
        <f>IF('Flächen u. Kulturen'!P75="",0,COUNTIF(Kulturen[HF],'Flächen u. Kulturen'!P75)+1)</f>
        <v>2</v>
      </c>
      <c r="DH70" s="247">
        <f>IF('Flächen u. Kulturen'!T75="",0,COUNTIF('#Boden'!$B$30:$B$32,'Flächen u. Kulturen'!T75)+1)</f>
        <v>2</v>
      </c>
      <c r="DI70" s="247">
        <f>IF('Flächen u. Kulturen'!K75="",0,IF(ISNUMBER('Flächen u. Kulturen'!K75)=TRUE,2,1))</f>
        <v>0</v>
      </c>
      <c r="DJ70" s="247">
        <f>IF('Flächen u. Kulturen'!U75="",0,IF(ISNUMBER('Flächen u. Kulturen'!U75)=TRUE,2,1))</f>
        <v>0</v>
      </c>
      <c r="DK70" s="247">
        <f>IF('Flächen u. Kulturen'!V75="",0,IF(ISNUMBER('Flächen u. Kulturen'!V75)=TRUE,2,1))</f>
        <v>0</v>
      </c>
      <c r="DL70" s="247">
        <f>IF('Flächen u. Kulturen'!W75="",0,IF(ISNUMBER('Flächen u. Kulturen'!W75)=TRUE,2,1))</f>
        <v>0</v>
      </c>
      <c r="DM70" s="247">
        <f t="shared" si="31"/>
        <v>0</v>
      </c>
      <c r="DN70" s="247" t="s">
        <v>344</v>
      </c>
      <c r="DO70" s="247">
        <f>IF(U70&lt;&gt;"x","",IF(OR('Flächen u. Kulturen'!B75="",'Flächen u. Kulturen'!C75="",'Flächen u. Kulturen'!D75="",'Flächen u. Kulturen'!D75=0,'Flächen u. Kulturen'!F75="",'Flächen u. Kulturen'!F75='#Boden'!$G$4,'Flächen u. Kulturen'!G75="",'Flächen u. Kulturen'!G75='#Boden'!$B$26,'Flächen u. Kulturen'!H75="",'Flächen u. Kulturen'!H75='#Boden'!$B$23,AND(N70&lt;&gt;2,OR('Flächen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Kulturen'!Q75="",'#BerechnungDBE'!N70&lt;3),AND('Flächen u. Kulturen'!R75="",'#BerechnungDBE'!N70=3),AND(N70=1,AL70&gt;0,'Flächen u. Kulturen'!S75=""),AND(N70=1,OR('Flächen u. Kulturen'!T75="",'Flächen u. Kulturen'!T75='#Boden'!$B$30)),AND('#BerechnungDBE'!AF70=70,OR('Flächen u. Kulturen'!N75="",'Flächen u. Kulturen'!N75='#Boden'!$G$22,'Flächen u. Kulturen'!O75="")),AND('#BerechnungDBE'!AF70=80,OR('Flächen u. Kulturen'!M75="",'Flächen u. Kulturen'!M75='#Boden'!$G$17,'Flächen u. Kulturen'!N75="",'Flächen u. Kulturen'!N75='#Boden'!$G$22))),$DO$4,""))</f>
        <v>1</v>
      </c>
      <c r="DP70" s="247" t="str">
        <f>IF(U70&lt;&gt;"x","",IF(OR(LEFT('Flächen u. Kulturen'!J75,2)=" +",LEFT('Flächen u. Kulturen'!L75,2)=" +",LEFT('Flächen u. Kulturen'!P75,2)=" +"),$DP$4,""))</f>
        <v/>
      </c>
      <c r="DQ70" s="428" t="str">
        <f t="shared" si="58"/>
        <v/>
      </c>
      <c r="DR70" s="938" t="str">
        <f t="shared" si="59"/>
        <v/>
      </c>
      <c r="DS70" s="938" t="str">
        <f>IF('Flächen u. Kulturen'!X75="","",ROW('Flächen u. Kulturen'!X75))</f>
        <v/>
      </c>
    </row>
    <row r="71" spans="1:123" s="875" customFormat="1" x14ac:dyDescent="0.2">
      <c r="A71" s="875" t="str">
        <f>IF('Daten aus 2021'!H73="",'#Boden'!$B$26,IF('Daten aus 2021'!H73='#Boden'!$B$39,IF('Daten aus 2021'!F73='#Boden'!$B$29,'#Boden'!$B$29,IF('Daten aus 2021'!K73='#Boden'!$B$34,'#Boden'!$B$28,'#Boden'!$B$27)),'Daten aus 2021'!F73))</f>
        <v xml:space="preserve"> --</v>
      </c>
      <c r="B71" s="875" t="str">
        <f>IF('Daten aus 2021'!H73='#Boden'!$B$39,IF('Daten aus 2021'!L73='#Boden'!$B$61,'#Boden'!$B$11,'Daten aus 2021'!L73),IF('Daten aus 2021'!P73='#Boden'!$B$58,'#Boden'!$B$11,IF('Daten aus 2021'!P73='#Boden'!$B$57,'#Boden'!$B$10,'#Boden'!$B$9)))</f>
        <v xml:space="preserve"> --         </v>
      </c>
      <c r="C71" s="875" t="str">
        <f>IF('Daten aus 2021'!N73="","",VLOOKUP('Daten aus 2021'!N73,'#Boden'!$B$68:$C$89,2,FALSE))</f>
        <v/>
      </c>
      <c r="D71" s="875" t="str">
        <f>IF('Daten aus 2021'!M73="","",VLOOKUP('Daten aus 2021'!M73,'#Boden'!$D$69:$E$73,2,FALSE))</f>
        <v/>
      </c>
      <c r="E71" s="938" t="str">
        <f>IF(OR(C71='#Boden'!$C$68,C71='#Boden'!$C$70),C71,CONCATENATE(C71,D71))</f>
        <v/>
      </c>
      <c r="F71" s="882" t="str">
        <f>IFERROR(IF('Daten aus 2021'!H73="",'#Frucht'!$D$8,IF('Daten aus 2021'!H73='#Boden'!$B$39,E71,IF('Daten aus 2021'!H73='#Boden'!$B$38,IF(CONCATENATE(" ",'Daten aus 2021'!W73)=$B$2,VLOOKUP($B$3,'#Frucht'!$A$8:$D$372,4,FALSE),VLOOKUP(CONCATENATE(" ",'Daten aus 2021'!W73),'#Frucht'!$A$8:$D$372,4,FALSE)),IF(OR(LEFT('Daten aus 2021'!Q73,5)=" *10 ",LEFT('Daten aus 2021'!Q73,5)=" *11 ",LEFT('Daten aus 2021'!Q73,5)=" *12 ",LEFT('Daten aus 2021'!Q73,5)=" *13 ",LEFT('Daten aus 2021'!Q73,5)=" *14 ",LEFT('Daten aus 2021'!Q73,5)=" *15 "),VLOOKUP(RIGHT('Daten aus 2021'!Q73,LEN('Daten aus 2021'!Q73)-4),'#Frucht'!$A$8:$D$372,4,FALSE),IF(LEFT('Daten aus 2021'!Q73,2)=" *",VLOOKUP(RIGHT('Daten aus 2021'!Q73,LEN('Daten aus 2021'!Q73)-3),'#Frucht'!$A$8:$D$372,4,FALSE),VLOOKUP('Daten aus 2021'!Q73,'#Frucht'!$A$8:$D$372,4,FALSE)))))),'#Frucht'!$D$8)</f>
        <v xml:space="preserve"> --  </v>
      </c>
      <c r="G71" s="127"/>
      <c r="H71" s="31"/>
      <c r="J71" s="938" t="str">
        <f>IF(OR(N71=3,$K$3=0,'Flächen u. Kulturen'!P76=""),"",IF(VLOOKUP('Flächen u. Kulturen'!P76,Kulturen[[HF]:[780]],'#BerechnungDBE'!$K$3,FALSE)=".","",VLOOKUP('Flächen u. Kulturen'!P76,Kulturen[[HF]:[780]],'#BerechnungDBE'!$K$3,FALSE)))</f>
        <v/>
      </c>
      <c r="K71" s="938" t="str">
        <f>IF(OR($K$3=0,'Flächen u. Kulturen'!P76=""),"",IF(N71=3,IF(VLOOKUP('Flächen u. Kulturen'!P76,Kulturen[[HF]:[780]],'#BerechnungDBE'!$K$3,FALSE)=".","",VLOOKUP('Flächen u. Kulturen'!P76,Kulturen[[HF]:[780]],'#BerechnungDBE'!$K$3,FALSE)),""))</f>
        <v/>
      </c>
      <c r="L71" s="367">
        <f>IF('Flächen u. Kulturen'!D76="",0,'Flächen u. Kulturen'!D76)</f>
        <v>0</v>
      </c>
      <c r="M71" s="693">
        <f>IF('Flächen u. Kulturen'!J76="",0,VLOOKUP('Flächen u. Kulturen'!J76,Kulturen[[HF]:[Berechnungsgruppe]],'#Frucht'!$W$1,FALSE))</f>
        <v>1</v>
      </c>
      <c r="N71" s="693">
        <f>IF('Flächen u. Kulturen'!P76="",0,VLOOKUP('Flächen u. Kulturen'!P76,Kulturen[[HF]:[Berechnungsgruppe]],'#Frucht'!$W$1,FALSE))</f>
        <v>1</v>
      </c>
      <c r="O71" s="875">
        <f>IF(N71&lt;&gt;2,N71,IF('Flächen u. Kulturen'!J76='Flächen u. Kulturen'!P76,2,1))</f>
        <v>1</v>
      </c>
      <c r="P71" s="875">
        <f>IF('Flächen u. Kulturen'!F76="",0,VLOOKUP('Flächen u. Kulturen'!F76,'#Boden'!$G$4:$H$8,'#Boden'!$H$1,FALSE))</f>
        <v>1</v>
      </c>
      <c r="Q71" s="875">
        <f>IF('Flächen u. Kulturen'!G76="",0,VLOOKUP('Flächen u. Kulturen'!G76,'#Boden'!$B$26:$C$29,'#Boden'!$C$1,FALSE))</f>
        <v>1</v>
      </c>
      <c r="R71" s="875">
        <f t="shared" si="19"/>
        <v>1</v>
      </c>
      <c r="S71" s="875">
        <f t="shared" si="20"/>
        <v>1</v>
      </c>
      <c r="T71" s="875">
        <f>IF('Flächen u. Kulturen'!H76="",0,VLOOKUP('Flächen u. Kulturen'!H76,'#Boden'!$B$23:$C$25,'#Boden'!$C$1,FALSE))</f>
        <v>2</v>
      </c>
      <c r="U71" s="875" t="str">
        <f>'Flächen u. Kulturen'!E76</f>
        <v>x</v>
      </c>
      <c r="V71" s="938">
        <f>IF('Flächen u. Kulturen'!Q76="",0,_xlfn.NUMBERVALUE('Flächen u. Kulturen'!Q76))</f>
        <v>0</v>
      </c>
      <c r="W71" s="938">
        <f>IF('Flächen u. Kulturen'!R76="",0,_xlfn.NUMBERVALUE('Flächen u. Kulturen'!R76))</f>
        <v>0</v>
      </c>
      <c r="X71" s="875">
        <f>IF('Flächen u. Kulturen'!T76="",0,VLOOKUP('Flächen u. Kulturen'!T76,'#Boden'!$B$30:$C$32,'#Boden'!$C$1,FALSE))</f>
        <v>1</v>
      </c>
      <c r="Y71" s="875">
        <f>IF('Flächen u. Kulturen'!P76="",0,VLOOKUP('Flächen u. Kulturen'!P76,Kulturen[[HF]:[Berechnungsgruppe]],'#Frucht'!$N$1,FALSE))</f>
        <v>0</v>
      </c>
      <c r="Z71" s="875">
        <f t="shared" si="21"/>
        <v>2</v>
      </c>
      <c r="AA71" s="875">
        <f>IF('Flächen u. Kulturen'!P76="",0,VLOOKUP('Flächen u. Kulturen'!P76,Kulturen[[HF]:[Berechnungsgruppe]],'#Frucht'!$V$1,FALSE))</f>
        <v>0</v>
      </c>
      <c r="AB71" s="875">
        <f>IF(N71=1,VLOOKUP('Flächen u. Kulturen'!P76,Kulturen[[HF]:[Ernteprodukt]],'#Frucht'!$I$1,FALSE),4)</f>
        <v>4</v>
      </c>
      <c r="AC71" s="921">
        <f>IF('Flächen u. Kulturen'!J76="",0,VLOOKUP('Flächen u. Kulturen'!J76,Kulturen[[HF]:[Berechnungsgruppe]],'#Frucht'!$G$1,FALSE))</f>
        <v>90</v>
      </c>
      <c r="AD71" s="921">
        <f>IF('Flächen u. Kulturen'!P76="",0,VLOOKUP('Flächen u. Kulturen'!P76,Kulturen[[HF]:[Berechnungsgruppe]],'#Frucht'!$G$1,FALSE))</f>
        <v>90</v>
      </c>
      <c r="AE71" s="938">
        <f>IF('Flächen u. Kulturen'!P76="",0,VLOOKUP('Flächen u. Kulturen'!P76,Kulturen[[HF]:[SollwertMinusNfix]],'#Frucht'!$X$1,FALSE))</f>
        <v>0</v>
      </c>
      <c r="AF71" s="875">
        <f>IF('Flächen u. Kulturen'!L76="",0,VLOOKUP('Flächen u. Kulturen'!L76,Nebenkultur[[Nebenkultur]:[Berechnungsschema]],'#Zweitfr'!$G$1,FALSE))</f>
        <v>0</v>
      </c>
      <c r="AG71" s="875">
        <f>IF('Flächen u. Kulturen'!L76="",0,VLOOKUP('Flächen u. Kulturen'!L76,'#Zweitfr'!$D$8:$Q$27,'#Zweitfr'!$Q$1,FALSE))</f>
        <v>0</v>
      </c>
      <c r="AH71" s="875">
        <f>IF('Flächen u. Kulturen'!M76="",0,VLOOKUP('Flächen u. Kulturen'!M76,'#Boden'!$G$17:$H$21,2,FALSE))</f>
        <v>1</v>
      </c>
      <c r="AI71" s="875">
        <f>IF('Flächen u. Kulturen'!N76="",0,VLOOKUP('Flächen u. Kulturen'!N76,'#Boden'!$G$22:$H$24,'#Boden'!$H$1,FALSE))</f>
        <v>1</v>
      </c>
      <c r="AJ71" s="938">
        <f>IF('Flächen u. Kulturen'!O76="",0,_xlfn.NUMBERVALUE('Flächen u. Kulturen'!O76))</f>
        <v>0</v>
      </c>
      <c r="AK71" s="938">
        <f>IF('Flächen u. Kulturen'!L76="",0,VLOOKUP('Flächen u. Kulturen'!L76,Nebenkultur[[Nebenkultur]:[Legum. Zwischenfr.]],'#Zweitfr'!$P$1,FALSE))</f>
        <v>0</v>
      </c>
      <c r="AL71" s="875">
        <f>IF('Flächen u. Kulturen'!P76="",0,VLOOKUP('Flächen u. Kulturen'!P76,Kulturen[[HF]:[Berechnungsgruppe]],'#Frucht'!$Q$1,FALSE))</f>
        <v>0</v>
      </c>
      <c r="AM71" s="875">
        <f>IF('Flächen u. Kulturen'!P76="",0,VLOOKUP('Flächen u. Kulturen'!P76,Kulturen[[HF]:[Berechnungsgruppe]],'#Frucht'!$M$1,FALSE))</f>
        <v>0</v>
      </c>
      <c r="AN71" s="875">
        <f>IF('Flächen u. Kulturen'!P76="",1,VLOOKUP('Flächen u. Kulturen'!P76,Kulturen[[HF]:[Berechnungsgruppe]],'#Frucht'!$R$1,FALSE))</f>
        <v>10</v>
      </c>
      <c r="AO71" s="875">
        <f>IF('Flächen u. Kulturen'!P76="",0,VLOOKUP('Flächen u. Kulturen'!P76,Kulturen[[HF]:[Berechnungsgruppe]],'#Frucht'!$S$1,FALSE))</f>
        <v>0</v>
      </c>
      <c r="AP71" s="875">
        <f>IF('Flächen u. Kulturen'!P76="",0,VLOOKUP('Flächen u. Kulturen'!P76,Kulturen[[HF]:[Berechnungsgruppe]],'#Frucht'!$T$1,FALSE))</f>
        <v>0</v>
      </c>
      <c r="AQ71" s="938">
        <f t="shared" si="46"/>
        <v>0</v>
      </c>
      <c r="AR71" s="875">
        <f t="shared" si="47"/>
        <v>0</v>
      </c>
      <c r="AS71" s="938">
        <f t="shared" si="48"/>
        <v>0</v>
      </c>
      <c r="AT71" s="875">
        <f>IF(N71=1,'Flächen u. Kulturen'!S76*-1,"--")</f>
        <v>0</v>
      </c>
      <c r="AU71" s="938">
        <f>IF(OR(N71=2,'Flächen u. Kulturen'!I76=""),"--",IF(N71=3,VLOOKUP('Flächen u. Kulturen'!I76,'#Boden'!$B$9:$E$15,'#Boden'!$D$1,FALSE),VLOOKUP('Flächen u. Kulturen'!I76,'#Boden'!$B$9:$E$15,'#Boden'!$E$1,FALSE)))</f>
        <v>0</v>
      </c>
      <c r="AV71" s="938">
        <f>IF(N71=1,IF('Flächen u. Kulturen'!J76="",0,VLOOKUP('Flächen u. Kulturen'!J76,Kulturen[[HF]:[Berechnungsgruppe]],'#Frucht'!$U$1,FALSE)*-1),"--")</f>
        <v>0</v>
      </c>
      <c r="AW71" s="875">
        <f t="shared" si="49"/>
        <v>0</v>
      </c>
      <c r="AX71" s="875">
        <f>IF('Flächen u. Kulturen'!K76="",0,'Flächen u. Kulturen'!K76*-0.1)</f>
        <v>0</v>
      </c>
      <c r="AY71" s="875">
        <f>IF(N71&lt;3,'#orgDung'!AC80*0.1*-1,"--")</f>
        <v>0</v>
      </c>
      <c r="AZ71" s="31" t="str">
        <f>IF(AND('#orgDung'!J80&lt;&gt;2,'#orgDung'!F80=1),('#orgDung'!V80+'#minDung'!O77)*-1,"--")</f>
        <v>--</v>
      </c>
      <c r="BA71" s="875">
        <f t="shared" si="22"/>
        <v>0</v>
      </c>
      <c r="BB71" s="938">
        <f>IF(R71=2,0,'Flächen u. Kulturen'!V76*-1)</f>
        <v>0</v>
      </c>
      <c r="BC71" s="875">
        <f t="shared" si="23"/>
        <v>0</v>
      </c>
      <c r="BD71" s="127">
        <f>'#orgDung'!W80*-1</f>
        <v>0</v>
      </c>
      <c r="BE71" s="910">
        <f>'#orgDung'!AA80*-1</f>
        <v>0</v>
      </c>
      <c r="BF71" s="875">
        <f>'#orgDung'!Z80*-1</f>
        <v>0</v>
      </c>
      <c r="BG71" s="938">
        <f t="shared" si="60"/>
        <v>0</v>
      </c>
      <c r="BH71" s="875">
        <f>'#Kürzungen'!AS95*-1</f>
        <v>0</v>
      </c>
      <c r="BI71" s="875">
        <f t="shared" si="50"/>
        <v>0</v>
      </c>
      <c r="BJ71" s="910">
        <f t="shared" si="51"/>
        <v>0</v>
      </c>
      <c r="BK71" s="875">
        <f>'#minDung'!P77</f>
        <v>0</v>
      </c>
      <c r="BL71" s="938">
        <f t="shared" si="61"/>
        <v>0</v>
      </c>
      <c r="BM71" s="938">
        <f t="shared" si="52"/>
        <v>0</v>
      </c>
      <c r="BN71" s="875">
        <f>IF('Flächen u. Kulturen'!P76="",0,VLOOKUP('Flächen u. Kulturen'!P76,Kulturen[[HF]:[Berechnungsgruppe]],'#Frucht'!$K$1,FALSE))</f>
        <v>0</v>
      </c>
      <c r="BO71" s="875">
        <f>IF('Flächen u. Kulturen'!P76="",0,VLOOKUP('Flächen u. Kulturen'!P76,Kulturen[[HF]:[Berechnungsgruppe]],'#Frucht'!$L$1,FALSE))</f>
        <v>0</v>
      </c>
      <c r="BP71" s="875">
        <f>IF('Flächen u. Kulturen'!L76="",0,VLOOKUP('Flächen u. Kulturen'!L76,Nebenkultur[[Nebenkultur]:[Legum. Zwischenfr.]],'#Zweitfr'!$H$1,FALSE))</f>
        <v>0</v>
      </c>
      <c r="BQ71" s="938">
        <f>IF(N71=3,W71*BO71,IF('Flächen u. Kulturen'!T76='#Boden'!$B$32,V71*BN71,V71*BO71))</f>
        <v>0</v>
      </c>
      <c r="BR71" s="938">
        <f t="shared" si="53"/>
        <v>0</v>
      </c>
      <c r="BS71" s="875">
        <f t="shared" si="24"/>
        <v>0</v>
      </c>
      <c r="BT71" s="875">
        <f>IF('Flächen u. Kulturen'!F76="",0,IF(N71=3,VLOOKUP('Flächen u. Kulturen'!F76,'#Boden'!$G$4:$J$8,'#Boden'!$J$1,FALSE),VLOOKUP('Flächen u. Kulturen'!F76,'#Boden'!$G$4:$J$8,'#Boden'!$I$1,FALSE)))</f>
        <v>0</v>
      </c>
      <c r="BU71" s="41">
        <f t="shared" si="25"/>
        <v>0</v>
      </c>
      <c r="BV71" s="875">
        <f t="shared" si="26"/>
        <v>0</v>
      </c>
      <c r="BW71" s="938" t="str">
        <f t="shared" si="62"/>
        <v/>
      </c>
      <c r="BX71" s="875">
        <f>'#orgDung'!T80*-1</f>
        <v>0</v>
      </c>
      <c r="BY71" s="875">
        <f t="shared" si="54"/>
        <v>0</v>
      </c>
      <c r="BZ71" s="938" t="str">
        <f>IF(U71&lt;&gt;"x",0,IF(P71&lt;4,"",(BW71+BX71-'#minDung'!N77)*-1))</f>
        <v/>
      </c>
      <c r="CB71" s="938">
        <f>IF(AND(AF71=70,U71="x"),'Flächen u. Kulturen'!A76,1000)</f>
        <v>1000</v>
      </c>
      <c r="CC71" s="875" t="str">
        <f>IF(AF71=70,VLOOKUP('Flächen u. Kulturen'!L76,Nebenkultur[[Nebenkultur]:[Legum. Zwischenfr.]],'#Zweitfr'!$I$1,FALSE),"--")</f>
        <v>--</v>
      </c>
      <c r="CD71" s="875" t="str">
        <f>IF(AF71=70,VLOOKUP('Flächen u. Kulturen'!L76,Nebenkultur[[Nebenkultur]:[Legum. Zwischenfr.]],'#Zweitfr'!$L$1,FALSE),"--")</f>
        <v>--</v>
      </c>
      <c r="CE71" s="875" t="str">
        <f>IF(AF71=70,VLOOKUP('Flächen u. Kulturen'!L76,Nebenkultur[[Nebenkultur]:[Legum. Zwischenfr.]],'#Zweitfr'!$M$1,FALSE),"--")</f>
        <v>--</v>
      </c>
      <c r="CF71" s="875" t="str">
        <f>IF(AF71=70,VLOOKUP('Flächen u. Kulturen'!L76,Nebenkultur[[Nebenkultur]:[Legum. Zwischenfr.]],'#Zweitfr'!$N$1,FALSE),"--")</f>
        <v>--</v>
      </c>
      <c r="CG71" s="875" t="str">
        <f>IF(AF71=70,VLOOKUP('Flächen u. Kulturen'!L76,Nebenkultur[[Nebenkultur]:[Legum. Zwischenfr.]],'#Zweitfr'!$O$1,FALSE),"--")</f>
        <v>--</v>
      </c>
      <c r="CH71" s="875" t="str">
        <f t="shared" si="55"/>
        <v>--</v>
      </c>
      <c r="CI71" s="938">
        <f>IF('Flächen u. Kulturen'!L76="",0,VLOOKUP('Flächen u. Kulturen'!L76,Nebenkultur[[Nebenkultur]:[Legum. Zwischenfr.]],'#Zweitfr'!$J$1,FALSE))</f>
        <v>0</v>
      </c>
      <c r="CJ71" s="875">
        <f t="shared" si="56"/>
        <v>0</v>
      </c>
      <c r="CK71" s="890">
        <f t="shared" si="57"/>
        <v>0</v>
      </c>
      <c r="CL71" s="938">
        <f>IF(AND(R71=1,AF71=70),'Flächen u. Kulturen'!W76*-1,0)</f>
        <v>0</v>
      </c>
      <c r="CM71" s="875">
        <f>'#orgDung'!AE80*-1</f>
        <v>0</v>
      </c>
      <c r="CN71" s="875">
        <f t="shared" si="27"/>
        <v>0</v>
      </c>
      <c r="CO71" s="875">
        <f t="shared" si="28"/>
        <v>0</v>
      </c>
      <c r="CP71" s="875">
        <f>'#Kürzungen'!AS196*-1</f>
        <v>0</v>
      </c>
      <c r="CQ71" s="875">
        <f t="shared" si="29"/>
        <v>0</v>
      </c>
      <c r="CR71" s="875">
        <f t="shared" si="30"/>
        <v>0</v>
      </c>
      <c r="CS71" s="875">
        <f>'#minDung'!R77</f>
        <v>0</v>
      </c>
      <c r="CT71" s="938">
        <f t="shared" si="63"/>
        <v>0</v>
      </c>
      <c r="CU71" s="52" t="str">
        <f>'#Kürzungen'!AQ196</f>
        <v xml:space="preserve"> </v>
      </c>
      <c r="CW71" s="247">
        <f>IF('Flächen u. Kulturen'!D76="",0,IF(ISNUMBER('Flächen u. Kulturen'!D76)=TRUE,2,1))</f>
        <v>0</v>
      </c>
      <c r="CX71" s="247">
        <f>IF('Flächen u. Kulturen'!E76="",0,COUNTIF('#Boden'!$B$47,'Flächen u. Kulturen'!E76)+1)</f>
        <v>2</v>
      </c>
      <c r="CY71" s="247">
        <f>IF('Flächen u. Kulturen'!F76="",0,COUNTIF('#Boden'!$G$4:$G$8,'Flächen u. Kulturen'!F76)+1)</f>
        <v>2</v>
      </c>
      <c r="CZ71" s="247">
        <f>IF('Flächen u. Kulturen'!G76="",0,COUNTIF('#Boden'!$B$26:$B$29,'Flächen u. Kulturen'!G76)+1)</f>
        <v>2</v>
      </c>
      <c r="DA71" s="247">
        <f>IF('Flächen u. Kulturen'!H76="",0,COUNTIF('#Boden'!$B$26:$B$29,'Flächen u. Kulturen'!H76)+1)</f>
        <v>2</v>
      </c>
      <c r="DB71" s="247">
        <f>IF('Flächen u. Kulturen'!I76="",0,COUNTIF('#Boden'!$B$9:$B$15,'Flächen u. Kulturen'!I76)+1)</f>
        <v>2</v>
      </c>
      <c r="DC71" s="247">
        <f>IF('Flächen u. Kulturen'!J76="",0,COUNTIF(Kulturen[HF],'Flächen u. Kulturen'!J76)+1)</f>
        <v>2</v>
      </c>
      <c r="DD71" s="247">
        <f>IF('Flächen u. Kulturen'!L76="",0,COUNTIF(Nebenkultur[Nebenkultur],'Flächen u. Kulturen'!L76)+1)</f>
        <v>2</v>
      </c>
      <c r="DE71" s="247">
        <f>IF('Flächen u. Kulturen'!M76="",0,COUNTIF('#Boden'!$G$17:$G$21,'Flächen u. Kulturen'!M76)+1)</f>
        <v>2</v>
      </c>
      <c r="DF71" s="247">
        <f>IF('Flächen u. Kulturen'!N76="",0,COUNTIF('#Boden'!$G$22:$G$24,'Flächen u. Kulturen'!N76)+1)</f>
        <v>2</v>
      </c>
      <c r="DG71" s="247">
        <f>IF('Flächen u. Kulturen'!P76="",0,COUNTIF(Kulturen[HF],'Flächen u. Kulturen'!P76)+1)</f>
        <v>2</v>
      </c>
      <c r="DH71" s="247">
        <f>IF('Flächen u. Kulturen'!T76="",0,COUNTIF('#Boden'!$B$30:$B$32,'Flächen u. Kulturen'!T76)+1)</f>
        <v>2</v>
      </c>
      <c r="DI71" s="247">
        <f>IF('Flächen u. Kulturen'!K76="",0,IF(ISNUMBER('Flächen u. Kulturen'!K76)=TRUE,2,1))</f>
        <v>0</v>
      </c>
      <c r="DJ71" s="247">
        <f>IF('Flächen u. Kulturen'!U76="",0,IF(ISNUMBER('Flächen u. Kulturen'!U76)=TRUE,2,1))</f>
        <v>0</v>
      </c>
      <c r="DK71" s="247">
        <f>IF('Flächen u. Kulturen'!V76="",0,IF(ISNUMBER('Flächen u. Kulturen'!V76)=TRUE,2,1))</f>
        <v>0</v>
      </c>
      <c r="DL71" s="247">
        <f>IF('Flächen u. Kulturen'!W76="",0,IF(ISNUMBER('Flächen u. Kulturen'!W76)=TRUE,2,1))</f>
        <v>0</v>
      </c>
      <c r="DM71" s="247">
        <f t="shared" si="31"/>
        <v>0</v>
      </c>
      <c r="DN71" s="247" t="s">
        <v>344</v>
      </c>
      <c r="DO71" s="247">
        <f>IF(U71&lt;&gt;"x","",IF(OR('Flächen u. Kulturen'!B76="",'Flächen u. Kulturen'!C76="",'Flächen u. Kulturen'!D76="",'Flächen u. Kulturen'!D76=0,'Flächen u. Kulturen'!F76="",'Flächen u. Kulturen'!F76='#Boden'!$G$4,'Flächen u. Kulturen'!G76="",'Flächen u. Kulturen'!G76='#Boden'!$B$26,'Flächen u. Kulturen'!H76="",'Flächen u. Kulturen'!H76='#Boden'!$B$23,AND(N71&lt;&gt;2,OR('Flächen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Kulturen'!Q76="",'#BerechnungDBE'!N71&lt;3),AND('Flächen u. Kulturen'!R76="",'#BerechnungDBE'!N71=3),AND(N71=1,AL71&gt;0,'Flächen u. Kulturen'!S76=""),AND(N71=1,OR('Flächen u. Kulturen'!T76="",'Flächen u. Kulturen'!T76='#Boden'!$B$30)),AND('#BerechnungDBE'!AF71=70,OR('Flächen u. Kulturen'!N76="",'Flächen u. Kulturen'!N76='#Boden'!$G$22,'Flächen u. Kulturen'!O76="")),AND('#BerechnungDBE'!AF71=80,OR('Flächen u. Kulturen'!M76="",'Flächen u. Kulturen'!M76='#Boden'!$G$17,'Flächen u. Kulturen'!N76="",'Flächen u. Kulturen'!N76='#Boden'!$G$22))),$DO$4,""))</f>
        <v>1</v>
      </c>
      <c r="DP71" s="247" t="str">
        <f>IF(U71&lt;&gt;"x","",IF(OR(LEFT('Flächen u. Kulturen'!J76,2)=" +",LEFT('Flächen u. Kulturen'!L76,2)=" +",LEFT('Flächen u. Kulturen'!P76,2)=" +"),$DP$4,""))</f>
        <v/>
      </c>
      <c r="DQ71" s="428" t="str">
        <f t="shared" si="58"/>
        <v/>
      </c>
      <c r="DR71" s="938" t="str">
        <f t="shared" si="59"/>
        <v/>
      </c>
      <c r="DS71" s="938" t="str">
        <f>IF('Flächen u. Kulturen'!X76="","",ROW('Flächen u. Kulturen'!X76))</f>
        <v/>
      </c>
    </row>
    <row r="72" spans="1:123" s="875" customFormat="1" x14ac:dyDescent="0.2">
      <c r="A72" s="875" t="str">
        <f>IF('Daten aus 2021'!H74="",'#Boden'!$B$26,IF('Daten aus 2021'!H74='#Boden'!$B$39,IF('Daten aus 2021'!F74='#Boden'!$B$29,'#Boden'!$B$29,IF('Daten aus 2021'!K74='#Boden'!$B$34,'#Boden'!$B$28,'#Boden'!$B$27)),'Daten aus 2021'!F74))</f>
        <v xml:space="preserve"> --</v>
      </c>
      <c r="B72" s="875" t="str">
        <f>IF('Daten aus 2021'!H74='#Boden'!$B$39,IF('Daten aus 2021'!L74='#Boden'!$B$61,'#Boden'!$B$11,'Daten aus 2021'!L74),IF('Daten aus 2021'!P74='#Boden'!$B$58,'#Boden'!$B$11,IF('Daten aus 2021'!P74='#Boden'!$B$57,'#Boden'!$B$10,'#Boden'!$B$9)))</f>
        <v xml:space="preserve"> --         </v>
      </c>
      <c r="C72" s="875" t="str">
        <f>IF('Daten aus 2021'!N74="","",VLOOKUP('Daten aus 2021'!N74,'#Boden'!$B$68:$C$89,2,FALSE))</f>
        <v/>
      </c>
      <c r="D72" s="875" t="str">
        <f>IF('Daten aus 2021'!M74="","",VLOOKUP('Daten aus 2021'!M74,'#Boden'!$D$69:$E$73,2,FALSE))</f>
        <v/>
      </c>
      <c r="E72" s="938" t="str">
        <f>IF(OR(C72='#Boden'!$C$68,C72='#Boden'!$C$70),C72,CONCATENATE(C72,D72))</f>
        <v/>
      </c>
      <c r="F72" s="882" t="str">
        <f>IFERROR(IF('Daten aus 2021'!H74="",'#Frucht'!$D$8,IF('Daten aus 2021'!H74='#Boden'!$B$39,E72,IF('Daten aus 2021'!H74='#Boden'!$B$38,IF(CONCATENATE(" ",'Daten aus 2021'!W74)=$B$2,VLOOKUP($B$3,'#Frucht'!$A$8:$D$372,4,FALSE),VLOOKUP(CONCATENATE(" ",'Daten aus 2021'!W74),'#Frucht'!$A$8:$D$372,4,FALSE)),IF(OR(LEFT('Daten aus 2021'!Q74,5)=" *10 ",LEFT('Daten aus 2021'!Q74,5)=" *11 ",LEFT('Daten aus 2021'!Q74,5)=" *12 ",LEFT('Daten aus 2021'!Q74,5)=" *13 ",LEFT('Daten aus 2021'!Q74,5)=" *14 ",LEFT('Daten aus 2021'!Q74,5)=" *15 "),VLOOKUP(RIGHT('Daten aus 2021'!Q74,LEN('Daten aus 2021'!Q74)-4),'#Frucht'!$A$8:$D$372,4,FALSE),IF(LEFT('Daten aus 2021'!Q74,2)=" *",VLOOKUP(RIGHT('Daten aus 2021'!Q74,LEN('Daten aus 2021'!Q74)-3),'#Frucht'!$A$8:$D$372,4,FALSE),VLOOKUP('Daten aus 2021'!Q74,'#Frucht'!$A$8:$D$372,4,FALSE)))))),'#Frucht'!$D$8)</f>
        <v xml:space="preserve"> --  </v>
      </c>
      <c r="G72" s="127"/>
      <c r="H72" s="31"/>
      <c r="J72" s="938" t="str">
        <f>IF(OR(N72=3,$K$3=0,'Flächen u. Kulturen'!P77=""),"",IF(VLOOKUP('Flächen u. Kulturen'!P77,Kulturen[[HF]:[780]],'#BerechnungDBE'!$K$3,FALSE)=".","",VLOOKUP('Flächen u. Kulturen'!P77,Kulturen[[HF]:[780]],'#BerechnungDBE'!$K$3,FALSE)))</f>
        <v/>
      </c>
      <c r="K72" s="938" t="str">
        <f>IF(OR($K$3=0,'Flächen u. Kulturen'!P77=""),"",IF(N72=3,IF(VLOOKUP('Flächen u. Kulturen'!P77,Kulturen[[HF]:[780]],'#BerechnungDBE'!$K$3,FALSE)=".","",VLOOKUP('Flächen u. Kulturen'!P77,Kulturen[[HF]:[780]],'#BerechnungDBE'!$K$3,FALSE)),""))</f>
        <v/>
      </c>
      <c r="L72" s="367">
        <f>IF('Flächen u. Kulturen'!D77="",0,'Flächen u. Kulturen'!D77)</f>
        <v>0</v>
      </c>
      <c r="M72" s="693">
        <f>IF('Flächen u. Kulturen'!J77="",0,VLOOKUP('Flächen u. Kulturen'!J77,Kulturen[[HF]:[Berechnungsgruppe]],'#Frucht'!$W$1,FALSE))</f>
        <v>1</v>
      </c>
      <c r="N72" s="693">
        <f>IF('Flächen u. Kulturen'!P77="",0,VLOOKUP('Flächen u. Kulturen'!P77,Kulturen[[HF]:[Berechnungsgruppe]],'#Frucht'!$W$1,FALSE))</f>
        <v>1</v>
      </c>
      <c r="O72" s="875">
        <f>IF(N72&lt;&gt;2,N72,IF('Flächen u. Kulturen'!J77='Flächen u. Kulturen'!P77,2,1))</f>
        <v>1</v>
      </c>
      <c r="P72" s="875">
        <f>IF('Flächen u. Kulturen'!F77="",0,VLOOKUP('Flächen u. Kulturen'!F77,'#Boden'!$G$4:$H$8,'#Boden'!$H$1,FALSE))</f>
        <v>1</v>
      </c>
      <c r="Q72" s="875">
        <f>IF('Flächen u. Kulturen'!G77="",0,VLOOKUP('Flächen u. Kulturen'!G77,'#Boden'!$B$26:$C$29,'#Boden'!$C$1,FALSE))</f>
        <v>1</v>
      </c>
      <c r="R72" s="875">
        <f t="shared" si="19"/>
        <v>1</v>
      </c>
      <c r="S72" s="875">
        <f t="shared" si="20"/>
        <v>1</v>
      </c>
      <c r="T72" s="875">
        <f>IF('Flächen u. Kulturen'!H77="",0,VLOOKUP('Flächen u. Kulturen'!H77,'#Boden'!$B$23:$C$25,'#Boden'!$C$1,FALSE))</f>
        <v>2</v>
      </c>
      <c r="U72" s="875" t="str">
        <f>'Flächen u. Kulturen'!E77</f>
        <v>x</v>
      </c>
      <c r="V72" s="938">
        <f>IF('Flächen u. Kulturen'!Q77="",0,_xlfn.NUMBERVALUE('Flächen u. Kulturen'!Q77))</f>
        <v>0</v>
      </c>
      <c r="W72" s="938">
        <f>IF('Flächen u. Kulturen'!R77="",0,_xlfn.NUMBERVALUE('Flächen u. Kulturen'!R77))</f>
        <v>0</v>
      </c>
      <c r="X72" s="875">
        <f>IF('Flächen u. Kulturen'!T77="",0,VLOOKUP('Flächen u. Kulturen'!T77,'#Boden'!$B$30:$C$32,'#Boden'!$C$1,FALSE))</f>
        <v>1</v>
      </c>
      <c r="Y72" s="875">
        <f>IF('Flächen u. Kulturen'!P77="",0,VLOOKUP('Flächen u. Kulturen'!P77,Kulturen[[HF]:[Berechnungsgruppe]],'#Frucht'!$N$1,FALSE))</f>
        <v>0</v>
      </c>
      <c r="Z72" s="875">
        <f t="shared" si="21"/>
        <v>2</v>
      </c>
      <c r="AA72" s="875">
        <f>IF('Flächen u. Kulturen'!P77="",0,VLOOKUP('Flächen u. Kulturen'!P77,Kulturen[[HF]:[Berechnungsgruppe]],'#Frucht'!$V$1,FALSE))</f>
        <v>0</v>
      </c>
      <c r="AB72" s="875">
        <f>IF(N72=1,VLOOKUP('Flächen u. Kulturen'!P77,Kulturen[[HF]:[Ernteprodukt]],'#Frucht'!$I$1,FALSE),4)</f>
        <v>4</v>
      </c>
      <c r="AC72" s="921">
        <f>IF('Flächen u. Kulturen'!J77="",0,VLOOKUP('Flächen u. Kulturen'!J77,Kulturen[[HF]:[Berechnungsgruppe]],'#Frucht'!$G$1,FALSE))</f>
        <v>90</v>
      </c>
      <c r="AD72" s="921">
        <f>IF('Flächen u. Kulturen'!P77="",0,VLOOKUP('Flächen u. Kulturen'!P77,Kulturen[[HF]:[Berechnungsgruppe]],'#Frucht'!$G$1,FALSE))</f>
        <v>90</v>
      </c>
      <c r="AE72" s="938">
        <f>IF('Flächen u. Kulturen'!P77="",0,VLOOKUP('Flächen u. Kulturen'!P77,Kulturen[[HF]:[SollwertMinusNfix]],'#Frucht'!$X$1,FALSE))</f>
        <v>0</v>
      </c>
      <c r="AF72" s="875">
        <f>IF('Flächen u. Kulturen'!L77="",0,VLOOKUP('Flächen u. Kulturen'!L77,Nebenkultur[[Nebenkultur]:[Berechnungsschema]],'#Zweitfr'!$G$1,FALSE))</f>
        <v>0</v>
      </c>
      <c r="AG72" s="875">
        <f>IF('Flächen u. Kulturen'!L77="",0,VLOOKUP('Flächen u. Kulturen'!L77,'#Zweitfr'!$D$8:$Q$27,'#Zweitfr'!$Q$1,FALSE))</f>
        <v>0</v>
      </c>
      <c r="AH72" s="875">
        <f>IF('Flächen u. Kulturen'!M77="",0,VLOOKUP('Flächen u. Kulturen'!M77,'#Boden'!$G$17:$H$21,2,FALSE))</f>
        <v>1</v>
      </c>
      <c r="AI72" s="875">
        <f>IF('Flächen u. Kulturen'!N77="",0,VLOOKUP('Flächen u. Kulturen'!N77,'#Boden'!$G$22:$H$24,'#Boden'!$H$1,FALSE))</f>
        <v>1</v>
      </c>
      <c r="AJ72" s="938">
        <f>IF('Flächen u. Kulturen'!O77="",0,_xlfn.NUMBERVALUE('Flächen u. Kulturen'!O77))</f>
        <v>0</v>
      </c>
      <c r="AK72" s="938">
        <f>IF('Flächen u. Kulturen'!L77="",0,VLOOKUP('Flächen u. Kulturen'!L77,Nebenkultur[[Nebenkultur]:[Legum. Zwischenfr.]],'#Zweitfr'!$P$1,FALSE))</f>
        <v>0</v>
      </c>
      <c r="AL72" s="875">
        <f>IF('Flächen u. Kulturen'!P77="",0,VLOOKUP('Flächen u. Kulturen'!P77,Kulturen[[HF]:[Berechnungsgruppe]],'#Frucht'!$Q$1,FALSE))</f>
        <v>0</v>
      </c>
      <c r="AM72" s="875">
        <f>IF('Flächen u. Kulturen'!P77="",0,VLOOKUP('Flächen u. Kulturen'!P77,Kulturen[[HF]:[Berechnungsgruppe]],'#Frucht'!$M$1,FALSE))</f>
        <v>0</v>
      </c>
      <c r="AN72" s="875">
        <f>IF('Flächen u. Kulturen'!P77="",1,VLOOKUP('Flächen u. Kulturen'!P77,Kulturen[[HF]:[Berechnungsgruppe]],'#Frucht'!$R$1,FALSE))</f>
        <v>10</v>
      </c>
      <c r="AO72" s="875">
        <f>IF('Flächen u. Kulturen'!P77="",0,VLOOKUP('Flächen u. Kulturen'!P77,Kulturen[[HF]:[Berechnungsgruppe]],'#Frucht'!$S$1,FALSE))</f>
        <v>0</v>
      </c>
      <c r="AP72" s="875">
        <f>IF('Flächen u. Kulturen'!P77="",0,VLOOKUP('Flächen u. Kulturen'!P77,Kulturen[[HF]:[Berechnungsgruppe]],'#Frucht'!$T$1,FALSE))</f>
        <v>0</v>
      </c>
      <c r="AQ72" s="938">
        <f t="shared" si="46"/>
        <v>0</v>
      </c>
      <c r="AR72" s="875">
        <f t="shared" si="47"/>
        <v>0</v>
      </c>
      <c r="AS72" s="938">
        <f t="shared" si="48"/>
        <v>0</v>
      </c>
      <c r="AT72" s="875">
        <f>IF(N72=1,'Flächen u. Kulturen'!S77*-1,"--")</f>
        <v>0</v>
      </c>
      <c r="AU72" s="938">
        <f>IF(OR(N72=2,'Flächen u. Kulturen'!I77=""),"--",IF(N72=3,VLOOKUP('Flächen u. Kulturen'!I77,'#Boden'!$B$9:$E$15,'#Boden'!$D$1,FALSE),VLOOKUP('Flächen u. Kulturen'!I77,'#Boden'!$B$9:$E$15,'#Boden'!$E$1,FALSE)))</f>
        <v>0</v>
      </c>
      <c r="AV72" s="938">
        <f>IF(N72=1,IF('Flächen u. Kulturen'!J77="",0,VLOOKUP('Flächen u. Kulturen'!J77,Kulturen[[HF]:[Berechnungsgruppe]],'#Frucht'!$U$1,FALSE)*-1),"--")</f>
        <v>0</v>
      </c>
      <c r="AW72" s="875">
        <f t="shared" si="49"/>
        <v>0</v>
      </c>
      <c r="AX72" s="875">
        <f>IF('Flächen u. Kulturen'!K77="",0,'Flächen u. Kulturen'!K77*-0.1)</f>
        <v>0</v>
      </c>
      <c r="AY72" s="875">
        <f>IF(N72&lt;3,'#orgDung'!AC81*0.1*-1,"--")</f>
        <v>0</v>
      </c>
      <c r="AZ72" s="31" t="str">
        <f>IF(AND('#orgDung'!J81&lt;&gt;2,'#orgDung'!F81=1),('#orgDung'!V81+'#minDung'!O78)*-1,"--")</f>
        <v>--</v>
      </c>
      <c r="BA72" s="875">
        <f t="shared" si="22"/>
        <v>0</v>
      </c>
      <c r="BB72" s="938">
        <f>IF(R72=2,0,'Flächen u. Kulturen'!V77*-1)</f>
        <v>0</v>
      </c>
      <c r="BC72" s="875">
        <f t="shared" si="23"/>
        <v>0</v>
      </c>
      <c r="BD72" s="127">
        <f>'#orgDung'!W81*-1</f>
        <v>0</v>
      </c>
      <c r="BE72" s="910">
        <f>'#orgDung'!AA81*-1</f>
        <v>0</v>
      </c>
      <c r="BF72" s="875">
        <f>'#orgDung'!Z81*-1</f>
        <v>0</v>
      </c>
      <c r="BG72" s="938">
        <f t="shared" si="60"/>
        <v>0</v>
      </c>
      <c r="BH72" s="875">
        <f>'#Kürzungen'!AS96*-1</f>
        <v>0</v>
      </c>
      <c r="BI72" s="875">
        <f t="shared" si="50"/>
        <v>0</v>
      </c>
      <c r="BJ72" s="910">
        <f t="shared" si="51"/>
        <v>0</v>
      </c>
      <c r="BK72" s="875">
        <f>'#minDung'!P78</f>
        <v>0</v>
      </c>
      <c r="BL72" s="938">
        <f t="shared" si="61"/>
        <v>0</v>
      </c>
      <c r="BM72" s="938">
        <f t="shared" si="52"/>
        <v>0</v>
      </c>
      <c r="BN72" s="875">
        <f>IF('Flächen u. Kulturen'!P77="",0,VLOOKUP('Flächen u. Kulturen'!P77,Kulturen[[HF]:[Berechnungsgruppe]],'#Frucht'!$K$1,FALSE))</f>
        <v>0</v>
      </c>
      <c r="BO72" s="875">
        <f>IF('Flächen u. Kulturen'!P77="",0,VLOOKUP('Flächen u. Kulturen'!P77,Kulturen[[HF]:[Berechnungsgruppe]],'#Frucht'!$L$1,FALSE))</f>
        <v>0</v>
      </c>
      <c r="BP72" s="875">
        <f>IF('Flächen u. Kulturen'!L77="",0,VLOOKUP('Flächen u. Kulturen'!L77,Nebenkultur[[Nebenkultur]:[Legum. Zwischenfr.]],'#Zweitfr'!$H$1,FALSE))</f>
        <v>0</v>
      </c>
      <c r="BQ72" s="938">
        <f>IF(N72=3,W72*BO72,IF('Flächen u. Kulturen'!T77='#Boden'!$B$32,V72*BN72,V72*BO72))</f>
        <v>0</v>
      </c>
      <c r="BR72" s="938">
        <f t="shared" si="53"/>
        <v>0</v>
      </c>
      <c r="BS72" s="875">
        <f t="shared" si="24"/>
        <v>0</v>
      </c>
      <c r="BT72" s="875">
        <f>IF('Flächen u. Kulturen'!F77="",0,IF(N72=3,VLOOKUP('Flächen u. Kulturen'!F77,'#Boden'!$G$4:$J$8,'#Boden'!$J$1,FALSE),VLOOKUP('Flächen u. Kulturen'!F77,'#Boden'!$G$4:$J$8,'#Boden'!$I$1,FALSE)))</f>
        <v>0</v>
      </c>
      <c r="BU72" s="41">
        <f t="shared" si="25"/>
        <v>0</v>
      </c>
      <c r="BV72" s="875">
        <f t="shared" si="26"/>
        <v>0</v>
      </c>
      <c r="BW72" s="938" t="str">
        <f t="shared" si="62"/>
        <v/>
      </c>
      <c r="BX72" s="875">
        <f>'#orgDung'!T81*-1</f>
        <v>0</v>
      </c>
      <c r="BY72" s="875">
        <f t="shared" si="54"/>
        <v>0</v>
      </c>
      <c r="BZ72" s="938" t="str">
        <f>IF(U72&lt;&gt;"x",0,IF(P72&lt;4,"",(BW72+BX72-'#minDung'!N78)*-1))</f>
        <v/>
      </c>
      <c r="CB72" s="938">
        <f>IF(AND(AF72=70,U72="x"),'Flächen u. Kulturen'!A77,1000)</f>
        <v>1000</v>
      </c>
      <c r="CC72" s="875" t="str">
        <f>IF(AF72=70,VLOOKUP('Flächen u. Kulturen'!L77,Nebenkultur[[Nebenkultur]:[Legum. Zwischenfr.]],'#Zweitfr'!$I$1,FALSE),"--")</f>
        <v>--</v>
      </c>
      <c r="CD72" s="875" t="str">
        <f>IF(AF72=70,VLOOKUP('Flächen u. Kulturen'!L77,Nebenkultur[[Nebenkultur]:[Legum. Zwischenfr.]],'#Zweitfr'!$L$1,FALSE),"--")</f>
        <v>--</v>
      </c>
      <c r="CE72" s="875" t="str">
        <f>IF(AF72=70,VLOOKUP('Flächen u. Kulturen'!L77,Nebenkultur[[Nebenkultur]:[Legum. Zwischenfr.]],'#Zweitfr'!$M$1,FALSE),"--")</f>
        <v>--</v>
      </c>
      <c r="CF72" s="875" t="str">
        <f>IF(AF72=70,VLOOKUP('Flächen u. Kulturen'!L77,Nebenkultur[[Nebenkultur]:[Legum. Zwischenfr.]],'#Zweitfr'!$N$1,FALSE),"--")</f>
        <v>--</v>
      </c>
      <c r="CG72" s="875" t="str">
        <f>IF(AF72=70,VLOOKUP('Flächen u. Kulturen'!L77,Nebenkultur[[Nebenkultur]:[Legum. Zwischenfr.]],'#Zweitfr'!$O$1,FALSE),"--")</f>
        <v>--</v>
      </c>
      <c r="CH72" s="875" t="str">
        <f t="shared" si="55"/>
        <v>--</v>
      </c>
      <c r="CI72" s="938">
        <f>IF('Flächen u. Kulturen'!L77="",0,VLOOKUP('Flächen u. Kulturen'!L77,Nebenkultur[[Nebenkultur]:[Legum. Zwischenfr.]],'#Zweitfr'!$J$1,FALSE))</f>
        <v>0</v>
      </c>
      <c r="CJ72" s="875">
        <f t="shared" si="56"/>
        <v>0</v>
      </c>
      <c r="CK72" s="890">
        <f t="shared" si="57"/>
        <v>0</v>
      </c>
      <c r="CL72" s="938">
        <f>IF(AND(R72=1,AF72=70),'Flächen u. Kulturen'!W77*-1,0)</f>
        <v>0</v>
      </c>
      <c r="CM72" s="875">
        <f>'#orgDung'!AE81*-1</f>
        <v>0</v>
      </c>
      <c r="CN72" s="875">
        <f t="shared" si="27"/>
        <v>0</v>
      </c>
      <c r="CO72" s="875">
        <f t="shared" si="28"/>
        <v>0</v>
      </c>
      <c r="CP72" s="875">
        <f>'#Kürzungen'!AS197*-1</f>
        <v>0</v>
      </c>
      <c r="CQ72" s="875">
        <f t="shared" si="29"/>
        <v>0</v>
      </c>
      <c r="CR72" s="875">
        <f t="shared" si="30"/>
        <v>0</v>
      </c>
      <c r="CS72" s="875">
        <f>'#minDung'!R78</f>
        <v>0</v>
      </c>
      <c r="CT72" s="938">
        <f t="shared" si="63"/>
        <v>0</v>
      </c>
      <c r="CU72" s="52" t="str">
        <f>'#Kürzungen'!AQ197</f>
        <v xml:space="preserve"> </v>
      </c>
      <c r="CW72" s="247">
        <f>IF('Flächen u. Kulturen'!D77="",0,IF(ISNUMBER('Flächen u. Kulturen'!D77)=TRUE,2,1))</f>
        <v>0</v>
      </c>
      <c r="CX72" s="247">
        <f>IF('Flächen u. Kulturen'!E77="",0,COUNTIF('#Boden'!$B$47,'Flächen u. Kulturen'!E77)+1)</f>
        <v>2</v>
      </c>
      <c r="CY72" s="247">
        <f>IF('Flächen u. Kulturen'!F77="",0,COUNTIF('#Boden'!$G$4:$G$8,'Flächen u. Kulturen'!F77)+1)</f>
        <v>2</v>
      </c>
      <c r="CZ72" s="247">
        <f>IF('Flächen u. Kulturen'!G77="",0,COUNTIF('#Boden'!$B$26:$B$29,'Flächen u. Kulturen'!G77)+1)</f>
        <v>2</v>
      </c>
      <c r="DA72" s="247">
        <f>IF('Flächen u. Kulturen'!H77="",0,COUNTIF('#Boden'!$B$26:$B$29,'Flächen u. Kulturen'!H77)+1)</f>
        <v>2</v>
      </c>
      <c r="DB72" s="247">
        <f>IF('Flächen u. Kulturen'!I77="",0,COUNTIF('#Boden'!$B$9:$B$15,'Flächen u. Kulturen'!I77)+1)</f>
        <v>2</v>
      </c>
      <c r="DC72" s="247">
        <f>IF('Flächen u. Kulturen'!J77="",0,COUNTIF(Kulturen[HF],'Flächen u. Kulturen'!J77)+1)</f>
        <v>2</v>
      </c>
      <c r="DD72" s="247">
        <f>IF('Flächen u. Kulturen'!L77="",0,COUNTIF(Nebenkultur[Nebenkultur],'Flächen u. Kulturen'!L77)+1)</f>
        <v>2</v>
      </c>
      <c r="DE72" s="247">
        <f>IF('Flächen u. Kulturen'!M77="",0,COUNTIF('#Boden'!$G$17:$G$21,'Flächen u. Kulturen'!M77)+1)</f>
        <v>2</v>
      </c>
      <c r="DF72" s="247">
        <f>IF('Flächen u. Kulturen'!N77="",0,COUNTIF('#Boden'!$G$22:$G$24,'Flächen u. Kulturen'!N77)+1)</f>
        <v>2</v>
      </c>
      <c r="DG72" s="247">
        <f>IF('Flächen u. Kulturen'!P77="",0,COUNTIF(Kulturen[HF],'Flächen u. Kulturen'!P77)+1)</f>
        <v>2</v>
      </c>
      <c r="DH72" s="247">
        <f>IF('Flächen u. Kulturen'!T77="",0,COUNTIF('#Boden'!$B$30:$B$32,'Flächen u. Kulturen'!T77)+1)</f>
        <v>2</v>
      </c>
      <c r="DI72" s="247">
        <f>IF('Flächen u. Kulturen'!K77="",0,IF(ISNUMBER('Flächen u. Kulturen'!K77)=TRUE,2,1))</f>
        <v>0</v>
      </c>
      <c r="DJ72" s="247">
        <f>IF('Flächen u. Kulturen'!U77="",0,IF(ISNUMBER('Flächen u. Kulturen'!U77)=TRUE,2,1))</f>
        <v>0</v>
      </c>
      <c r="DK72" s="247">
        <f>IF('Flächen u. Kulturen'!V77="",0,IF(ISNUMBER('Flächen u. Kulturen'!V77)=TRUE,2,1))</f>
        <v>0</v>
      </c>
      <c r="DL72" s="247">
        <f>IF('Flächen u. Kulturen'!W77="",0,IF(ISNUMBER('Flächen u. Kulturen'!W77)=TRUE,2,1))</f>
        <v>0</v>
      </c>
      <c r="DM72" s="247">
        <f t="shared" si="31"/>
        <v>0</v>
      </c>
      <c r="DN72" s="247" t="s">
        <v>344</v>
      </c>
      <c r="DO72" s="247">
        <f>IF(U72&lt;&gt;"x","",IF(OR('Flächen u. Kulturen'!B77="",'Flächen u. Kulturen'!C77="",'Flächen u. Kulturen'!D77="",'Flächen u. Kulturen'!D77=0,'Flächen u. Kulturen'!F77="",'Flächen u. Kulturen'!F77='#Boden'!$G$4,'Flächen u. Kulturen'!G77="",'Flächen u. Kulturen'!G77='#Boden'!$B$26,'Flächen u. Kulturen'!H77="",'Flächen u. Kulturen'!H77='#Boden'!$B$23,AND(N72&lt;&gt;2,OR('Flächen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Kulturen'!Q77="",'#BerechnungDBE'!N72&lt;3),AND('Flächen u. Kulturen'!R77="",'#BerechnungDBE'!N72=3),AND(N72=1,AL72&gt;0,'Flächen u. Kulturen'!S77=""),AND(N72=1,OR('Flächen u. Kulturen'!T77="",'Flächen u. Kulturen'!T77='#Boden'!$B$30)),AND('#BerechnungDBE'!AF72=70,OR('Flächen u. Kulturen'!N77="",'Flächen u. Kulturen'!N77='#Boden'!$G$22,'Flächen u. Kulturen'!O77="")),AND('#BerechnungDBE'!AF72=80,OR('Flächen u. Kulturen'!M77="",'Flächen u. Kulturen'!M77='#Boden'!$G$17,'Flächen u. Kulturen'!N77="",'Flächen u. Kulturen'!N77='#Boden'!$G$22))),$DO$4,""))</f>
        <v>1</v>
      </c>
      <c r="DP72" s="247" t="str">
        <f>IF(U72&lt;&gt;"x","",IF(OR(LEFT('Flächen u. Kulturen'!J77,2)=" +",LEFT('Flächen u. Kulturen'!L77,2)=" +",LEFT('Flächen u. Kulturen'!P77,2)=" +"),$DP$4,""))</f>
        <v/>
      </c>
      <c r="DQ72" s="428" t="str">
        <f t="shared" si="58"/>
        <v/>
      </c>
      <c r="DR72" s="938" t="str">
        <f t="shared" si="59"/>
        <v/>
      </c>
      <c r="DS72" s="938" t="str">
        <f>IF('Flächen u. Kulturen'!X77="","",ROW('Flächen u. Kulturen'!X77))</f>
        <v/>
      </c>
    </row>
    <row r="73" spans="1:123" s="875" customFormat="1" x14ac:dyDescent="0.2">
      <c r="A73" s="875" t="str">
        <f>IF('Daten aus 2021'!H75="",'#Boden'!$B$26,IF('Daten aus 2021'!H75='#Boden'!$B$39,IF('Daten aus 2021'!F75='#Boden'!$B$29,'#Boden'!$B$29,IF('Daten aus 2021'!K75='#Boden'!$B$34,'#Boden'!$B$28,'#Boden'!$B$27)),'Daten aus 2021'!F75))</f>
        <v xml:space="preserve"> --</v>
      </c>
      <c r="B73" s="875" t="str">
        <f>IF('Daten aus 2021'!H75='#Boden'!$B$39,IF('Daten aus 2021'!L75='#Boden'!$B$61,'#Boden'!$B$11,'Daten aus 2021'!L75),IF('Daten aus 2021'!P75='#Boden'!$B$58,'#Boden'!$B$11,IF('Daten aus 2021'!P75='#Boden'!$B$57,'#Boden'!$B$10,'#Boden'!$B$9)))</f>
        <v xml:space="preserve"> --         </v>
      </c>
      <c r="C73" s="875" t="str">
        <f>IF('Daten aus 2021'!N75="","",VLOOKUP('Daten aus 2021'!N75,'#Boden'!$B$68:$C$89,2,FALSE))</f>
        <v/>
      </c>
      <c r="D73" s="875" t="str">
        <f>IF('Daten aus 2021'!M75="","",VLOOKUP('Daten aus 2021'!M75,'#Boden'!$D$69:$E$73,2,FALSE))</f>
        <v/>
      </c>
      <c r="E73" s="938" t="str">
        <f>IF(OR(C73='#Boden'!$C$68,C73='#Boden'!$C$70),C73,CONCATENATE(C73,D73))</f>
        <v/>
      </c>
      <c r="F73" s="882" t="str">
        <f>IFERROR(IF('Daten aus 2021'!H75="",'#Frucht'!$D$8,IF('Daten aus 2021'!H75='#Boden'!$B$39,E73,IF('Daten aus 2021'!H75='#Boden'!$B$38,IF(CONCATENATE(" ",'Daten aus 2021'!W75)=$B$2,VLOOKUP($B$3,'#Frucht'!$A$8:$D$372,4,FALSE),VLOOKUP(CONCATENATE(" ",'Daten aus 2021'!W75),'#Frucht'!$A$8:$D$372,4,FALSE)),IF(OR(LEFT('Daten aus 2021'!Q75,5)=" *10 ",LEFT('Daten aus 2021'!Q75,5)=" *11 ",LEFT('Daten aus 2021'!Q75,5)=" *12 ",LEFT('Daten aus 2021'!Q75,5)=" *13 ",LEFT('Daten aus 2021'!Q75,5)=" *14 ",LEFT('Daten aus 2021'!Q75,5)=" *15 "),VLOOKUP(RIGHT('Daten aus 2021'!Q75,LEN('Daten aus 2021'!Q75)-4),'#Frucht'!$A$8:$D$372,4,FALSE),IF(LEFT('Daten aus 2021'!Q75,2)=" *",VLOOKUP(RIGHT('Daten aus 2021'!Q75,LEN('Daten aus 2021'!Q75)-3),'#Frucht'!$A$8:$D$372,4,FALSE),VLOOKUP('Daten aus 2021'!Q75,'#Frucht'!$A$8:$D$372,4,FALSE)))))),'#Frucht'!$D$8)</f>
        <v xml:space="preserve"> --  </v>
      </c>
      <c r="G73" s="127"/>
      <c r="H73" s="31"/>
      <c r="J73" s="938" t="str">
        <f>IF(OR(N73=3,$K$3=0,'Flächen u. Kulturen'!P78=""),"",IF(VLOOKUP('Flächen u. Kulturen'!P78,Kulturen[[HF]:[780]],'#BerechnungDBE'!$K$3,FALSE)=".","",VLOOKUP('Flächen u. Kulturen'!P78,Kulturen[[HF]:[780]],'#BerechnungDBE'!$K$3,FALSE)))</f>
        <v/>
      </c>
      <c r="K73" s="938" t="str">
        <f>IF(OR($K$3=0,'Flächen u. Kulturen'!P78=""),"",IF(N73=3,IF(VLOOKUP('Flächen u. Kulturen'!P78,Kulturen[[HF]:[780]],'#BerechnungDBE'!$K$3,FALSE)=".","",VLOOKUP('Flächen u. Kulturen'!P78,Kulturen[[HF]:[780]],'#BerechnungDBE'!$K$3,FALSE)),""))</f>
        <v/>
      </c>
      <c r="L73" s="367">
        <f>IF('Flächen u. Kulturen'!D78="",0,'Flächen u. Kulturen'!D78)</f>
        <v>0</v>
      </c>
      <c r="M73" s="693">
        <f>IF('Flächen u. Kulturen'!J78="",0,VLOOKUP('Flächen u. Kulturen'!J78,Kulturen[[HF]:[Berechnungsgruppe]],'#Frucht'!$W$1,FALSE))</f>
        <v>1</v>
      </c>
      <c r="N73" s="693">
        <f>IF('Flächen u. Kulturen'!P78="",0,VLOOKUP('Flächen u. Kulturen'!P78,Kulturen[[HF]:[Berechnungsgruppe]],'#Frucht'!$W$1,FALSE))</f>
        <v>1</v>
      </c>
      <c r="O73" s="875">
        <f>IF(N73&lt;&gt;2,N73,IF('Flächen u. Kulturen'!J78='Flächen u. Kulturen'!P78,2,1))</f>
        <v>1</v>
      </c>
      <c r="P73" s="875">
        <f>IF('Flächen u. Kulturen'!F78="",0,VLOOKUP('Flächen u. Kulturen'!F78,'#Boden'!$G$4:$H$8,'#Boden'!$H$1,FALSE))</f>
        <v>1</v>
      </c>
      <c r="Q73" s="875">
        <f>IF('Flächen u. Kulturen'!G78="",0,VLOOKUP('Flächen u. Kulturen'!G78,'#Boden'!$B$26:$C$29,'#Boden'!$C$1,FALSE))</f>
        <v>1</v>
      </c>
      <c r="R73" s="875">
        <f t="shared" si="19"/>
        <v>1</v>
      </c>
      <c r="S73" s="875">
        <f t="shared" si="20"/>
        <v>1</v>
      </c>
      <c r="T73" s="875">
        <f>IF('Flächen u. Kulturen'!H78="",0,VLOOKUP('Flächen u. Kulturen'!H78,'#Boden'!$B$23:$C$25,'#Boden'!$C$1,FALSE))</f>
        <v>2</v>
      </c>
      <c r="U73" s="875" t="str">
        <f>'Flächen u. Kulturen'!E78</f>
        <v>x</v>
      </c>
      <c r="V73" s="938">
        <f>IF('Flächen u. Kulturen'!Q78="",0,_xlfn.NUMBERVALUE('Flächen u. Kulturen'!Q78))</f>
        <v>0</v>
      </c>
      <c r="W73" s="938">
        <f>IF('Flächen u. Kulturen'!R78="",0,_xlfn.NUMBERVALUE('Flächen u. Kulturen'!R78))</f>
        <v>0</v>
      </c>
      <c r="X73" s="875">
        <f>IF('Flächen u. Kulturen'!T78="",0,VLOOKUP('Flächen u. Kulturen'!T78,'#Boden'!$B$30:$C$32,'#Boden'!$C$1,FALSE))</f>
        <v>1</v>
      </c>
      <c r="Y73" s="875">
        <f>IF('Flächen u. Kulturen'!P78="",0,VLOOKUP('Flächen u. Kulturen'!P78,Kulturen[[HF]:[Berechnungsgruppe]],'#Frucht'!$N$1,FALSE))</f>
        <v>0</v>
      </c>
      <c r="Z73" s="875">
        <f t="shared" si="21"/>
        <v>2</v>
      </c>
      <c r="AA73" s="875">
        <f>IF('Flächen u. Kulturen'!P78="",0,VLOOKUP('Flächen u. Kulturen'!P78,Kulturen[[HF]:[Berechnungsgruppe]],'#Frucht'!$V$1,FALSE))</f>
        <v>0</v>
      </c>
      <c r="AB73" s="875">
        <f>IF(N73=1,VLOOKUP('Flächen u. Kulturen'!P78,Kulturen[[HF]:[Ernteprodukt]],'#Frucht'!$I$1,FALSE),4)</f>
        <v>4</v>
      </c>
      <c r="AC73" s="921">
        <f>IF('Flächen u. Kulturen'!J78="",0,VLOOKUP('Flächen u. Kulturen'!J78,Kulturen[[HF]:[Berechnungsgruppe]],'#Frucht'!$G$1,FALSE))</f>
        <v>90</v>
      </c>
      <c r="AD73" s="921">
        <f>IF('Flächen u. Kulturen'!P78="",0,VLOOKUP('Flächen u. Kulturen'!P78,Kulturen[[HF]:[Berechnungsgruppe]],'#Frucht'!$G$1,FALSE))</f>
        <v>90</v>
      </c>
      <c r="AE73" s="938">
        <f>IF('Flächen u. Kulturen'!P78="",0,VLOOKUP('Flächen u. Kulturen'!P78,Kulturen[[HF]:[SollwertMinusNfix]],'#Frucht'!$X$1,FALSE))</f>
        <v>0</v>
      </c>
      <c r="AF73" s="875">
        <f>IF('Flächen u. Kulturen'!L78="",0,VLOOKUP('Flächen u. Kulturen'!L78,Nebenkultur[[Nebenkultur]:[Berechnungsschema]],'#Zweitfr'!$G$1,FALSE))</f>
        <v>0</v>
      </c>
      <c r="AG73" s="875">
        <f>IF('Flächen u. Kulturen'!L78="",0,VLOOKUP('Flächen u. Kulturen'!L78,'#Zweitfr'!$D$8:$Q$27,'#Zweitfr'!$Q$1,FALSE))</f>
        <v>0</v>
      </c>
      <c r="AH73" s="875">
        <f>IF('Flächen u. Kulturen'!M78="",0,VLOOKUP('Flächen u. Kulturen'!M78,'#Boden'!$G$17:$H$21,2,FALSE))</f>
        <v>1</v>
      </c>
      <c r="AI73" s="875">
        <f>IF('Flächen u. Kulturen'!N78="",0,VLOOKUP('Flächen u. Kulturen'!N78,'#Boden'!$G$22:$H$24,'#Boden'!$H$1,FALSE))</f>
        <v>1</v>
      </c>
      <c r="AJ73" s="938">
        <f>IF('Flächen u. Kulturen'!O78="",0,_xlfn.NUMBERVALUE('Flächen u. Kulturen'!O78))</f>
        <v>0</v>
      </c>
      <c r="AK73" s="938">
        <f>IF('Flächen u. Kulturen'!L78="",0,VLOOKUP('Flächen u. Kulturen'!L78,Nebenkultur[[Nebenkultur]:[Legum. Zwischenfr.]],'#Zweitfr'!$P$1,FALSE))</f>
        <v>0</v>
      </c>
      <c r="AL73" s="875">
        <f>IF('Flächen u. Kulturen'!P78="",0,VLOOKUP('Flächen u. Kulturen'!P78,Kulturen[[HF]:[Berechnungsgruppe]],'#Frucht'!$Q$1,FALSE))</f>
        <v>0</v>
      </c>
      <c r="AM73" s="875">
        <f>IF('Flächen u. Kulturen'!P78="",0,VLOOKUP('Flächen u. Kulturen'!P78,Kulturen[[HF]:[Berechnungsgruppe]],'#Frucht'!$M$1,FALSE))</f>
        <v>0</v>
      </c>
      <c r="AN73" s="875">
        <f>IF('Flächen u. Kulturen'!P78="",1,VLOOKUP('Flächen u. Kulturen'!P78,Kulturen[[HF]:[Berechnungsgruppe]],'#Frucht'!$R$1,FALSE))</f>
        <v>10</v>
      </c>
      <c r="AO73" s="875">
        <f>IF('Flächen u. Kulturen'!P78="",0,VLOOKUP('Flächen u. Kulturen'!P78,Kulturen[[HF]:[Berechnungsgruppe]],'#Frucht'!$S$1,FALSE))</f>
        <v>0</v>
      </c>
      <c r="AP73" s="875">
        <f>IF('Flächen u. Kulturen'!P78="",0,VLOOKUP('Flächen u. Kulturen'!P78,Kulturen[[HF]:[Berechnungsgruppe]],'#Frucht'!$T$1,FALSE))</f>
        <v>0</v>
      </c>
      <c r="AQ73" s="938">
        <f t="shared" si="46"/>
        <v>0</v>
      </c>
      <c r="AR73" s="875">
        <f t="shared" si="47"/>
        <v>0</v>
      </c>
      <c r="AS73" s="938">
        <f t="shared" si="48"/>
        <v>0</v>
      </c>
      <c r="AT73" s="875">
        <f>IF(N73=1,'Flächen u. Kulturen'!S78*-1,"--")</f>
        <v>0</v>
      </c>
      <c r="AU73" s="938">
        <f>IF(OR(N73=2,'Flächen u. Kulturen'!I78=""),"--",IF(N73=3,VLOOKUP('Flächen u. Kulturen'!I78,'#Boden'!$B$9:$E$15,'#Boden'!$D$1,FALSE),VLOOKUP('Flächen u. Kulturen'!I78,'#Boden'!$B$9:$E$15,'#Boden'!$E$1,FALSE)))</f>
        <v>0</v>
      </c>
      <c r="AV73" s="938">
        <f>IF(N73=1,IF('Flächen u. Kulturen'!J78="",0,VLOOKUP('Flächen u. Kulturen'!J78,Kulturen[[HF]:[Berechnungsgruppe]],'#Frucht'!$U$1,FALSE)*-1),"--")</f>
        <v>0</v>
      </c>
      <c r="AW73" s="875">
        <f t="shared" si="49"/>
        <v>0</v>
      </c>
      <c r="AX73" s="875">
        <f>IF('Flächen u. Kulturen'!K78="",0,'Flächen u. Kulturen'!K78*-0.1)</f>
        <v>0</v>
      </c>
      <c r="AY73" s="875">
        <f>IF(N73&lt;3,'#orgDung'!AC82*0.1*-1,"--")</f>
        <v>0</v>
      </c>
      <c r="AZ73" s="31" t="str">
        <f>IF(AND('#orgDung'!J82&lt;&gt;2,'#orgDung'!F82=1),('#orgDung'!V82+'#minDung'!O79)*-1,"--")</f>
        <v>--</v>
      </c>
      <c r="BA73" s="875">
        <f t="shared" si="22"/>
        <v>0</v>
      </c>
      <c r="BB73" s="938">
        <f>IF(R73=2,0,'Flächen u. Kulturen'!V78*-1)</f>
        <v>0</v>
      </c>
      <c r="BC73" s="875">
        <f t="shared" si="23"/>
        <v>0</v>
      </c>
      <c r="BD73" s="127">
        <f>'#orgDung'!W82*-1</f>
        <v>0</v>
      </c>
      <c r="BE73" s="910">
        <f>'#orgDung'!AA82*-1</f>
        <v>0</v>
      </c>
      <c r="BF73" s="875">
        <f>'#orgDung'!Z82*-1</f>
        <v>0</v>
      </c>
      <c r="BG73" s="938">
        <f t="shared" si="60"/>
        <v>0</v>
      </c>
      <c r="BH73" s="875">
        <f>'#Kürzungen'!AS97*-1</f>
        <v>0</v>
      </c>
      <c r="BI73" s="875">
        <f t="shared" si="50"/>
        <v>0</v>
      </c>
      <c r="BJ73" s="910">
        <f t="shared" si="51"/>
        <v>0</v>
      </c>
      <c r="BK73" s="875">
        <f>'#minDung'!P79</f>
        <v>0</v>
      </c>
      <c r="BL73" s="938">
        <f t="shared" si="61"/>
        <v>0</v>
      </c>
      <c r="BM73" s="938">
        <f t="shared" si="52"/>
        <v>0</v>
      </c>
      <c r="BN73" s="875">
        <f>IF('Flächen u. Kulturen'!P78="",0,VLOOKUP('Flächen u. Kulturen'!P78,Kulturen[[HF]:[Berechnungsgruppe]],'#Frucht'!$K$1,FALSE))</f>
        <v>0</v>
      </c>
      <c r="BO73" s="875">
        <f>IF('Flächen u. Kulturen'!P78="",0,VLOOKUP('Flächen u. Kulturen'!P78,Kulturen[[HF]:[Berechnungsgruppe]],'#Frucht'!$L$1,FALSE))</f>
        <v>0</v>
      </c>
      <c r="BP73" s="875">
        <f>IF('Flächen u. Kulturen'!L78="",0,VLOOKUP('Flächen u. Kulturen'!L78,Nebenkultur[[Nebenkultur]:[Legum. Zwischenfr.]],'#Zweitfr'!$H$1,FALSE))</f>
        <v>0</v>
      </c>
      <c r="BQ73" s="938">
        <f>IF(N73=3,W73*BO73,IF('Flächen u. Kulturen'!T78='#Boden'!$B$32,V73*BN73,V73*BO73))</f>
        <v>0</v>
      </c>
      <c r="BR73" s="938">
        <f t="shared" si="53"/>
        <v>0</v>
      </c>
      <c r="BS73" s="875">
        <f t="shared" si="24"/>
        <v>0</v>
      </c>
      <c r="BT73" s="875">
        <f>IF('Flächen u. Kulturen'!F78="",0,IF(N73=3,VLOOKUP('Flächen u. Kulturen'!F78,'#Boden'!$G$4:$J$8,'#Boden'!$J$1,FALSE),VLOOKUP('Flächen u. Kulturen'!F78,'#Boden'!$G$4:$J$8,'#Boden'!$I$1,FALSE)))</f>
        <v>0</v>
      </c>
      <c r="BU73" s="41">
        <f t="shared" si="25"/>
        <v>0</v>
      </c>
      <c r="BV73" s="875">
        <f t="shared" si="26"/>
        <v>0</v>
      </c>
      <c r="BW73" s="938" t="str">
        <f t="shared" si="62"/>
        <v/>
      </c>
      <c r="BX73" s="875">
        <f>'#orgDung'!T82*-1</f>
        <v>0</v>
      </c>
      <c r="BY73" s="875">
        <f t="shared" si="54"/>
        <v>0</v>
      </c>
      <c r="BZ73" s="938" t="str">
        <f>IF(U73&lt;&gt;"x",0,IF(P73&lt;4,"",(BW73+BX73-'#minDung'!N79)*-1))</f>
        <v/>
      </c>
      <c r="CB73" s="938">
        <f>IF(AND(AF73=70,U73="x"),'Flächen u. Kulturen'!A78,1000)</f>
        <v>1000</v>
      </c>
      <c r="CC73" s="875" t="str">
        <f>IF(AF73=70,VLOOKUP('Flächen u. Kulturen'!L78,Nebenkultur[[Nebenkultur]:[Legum. Zwischenfr.]],'#Zweitfr'!$I$1,FALSE),"--")</f>
        <v>--</v>
      </c>
      <c r="CD73" s="875" t="str">
        <f>IF(AF73=70,VLOOKUP('Flächen u. Kulturen'!L78,Nebenkultur[[Nebenkultur]:[Legum. Zwischenfr.]],'#Zweitfr'!$L$1,FALSE),"--")</f>
        <v>--</v>
      </c>
      <c r="CE73" s="875" t="str">
        <f>IF(AF73=70,VLOOKUP('Flächen u. Kulturen'!L78,Nebenkultur[[Nebenkultur]:[Legum. Zwischenfr.]],'#Zweitfr'!$M$1,FALSE),"--")</f>
        <v>--</v>
      </c>
      <c r="CF73" s="875" t="str">
        <f>IF(AF73=70,VLOOKUP('Flächen u. Kulturen'!L78,Nebenkultur[[Nebenkultur]:[Legum. Zwischenfr.]],'#Zweitfr'!$N$1,FALSE),"--")</f>
        <v>--</v>
      </c>
      <c r="CG73" s="875" t="str">
        <f>IF(AF73=70,VLOOKUP('Flächen u. Kulturen'!L78,Nebenkultur[[Nebenkultur]:[Legum. Zwischenfr.]],'#Zweitfr'!$O$1,FALSE),"--")</f>
        <v>--</v>
      </c>
      <c r="CH73" s="875" t="str">
        <f t="shared" si="55"/>
        <v>--</v>
      </c>
      <c r="CI73" s="938">
        <f>IF('Flächen u. Kulturen'!L78="",0,VLOOKUP('Flächen u. Kulturen'!L78,Nebenkultur[[Nebenkultur]:[Legum. Zwischenfr.]],'#Zweitfr'!$J$1,FALSE))</f>
        <v>0</v>
      </c>
      <c r="CJ73" s="875">
        <f t="shared" si="56"/>
        <v>0</v>
      </c>
      <c r="CK73" s="890">
        <f t="shared" si="57"/>
        <v>0</v>
      </c>
      <c r="CL73" s="938">
        <f>IF(AND(R73=1,AF73=70),'Flächen u. Kulturen'!W78*-1,0)</f>
        <v>0</v>
      </c>
      <c r="CM73" s="875">
        <f>'#orgDung'!AE82*-1</f>
        <v>0</v>
      </c>
      <c r="CN73" s="875">
        <f t="shared" si="27"/>
        <v>0</v>
      </c>
      <c r="CO73" s="875">
        <f t="shared" si="28"/>
        <v>0</v>
      </c>
      <c r="CP73" s="875">
        <f>'#Kürzungen'!AS198*-1</f>
        <v>0</v>
      </c>
      <c r="CQ73" s="875">
        <f t="shared" si="29"/>
        <v>0</v>
      </c>
      <c r="CR73" s="875">
        <f t="shared" si="30"/>
        <v>0</v>
      </c>
      <c r="CS73" s="875">
        <f>'#minDung'!R79</f>
        <v>0</v>
      </c>
      <c r="CT73" s="938">
        <f t="shared" si="63"/>
        <v>0</v>
      </c>
      <c r="CU73" s="52" t="str">
        <f>'#Kürzungen'!AQ198</f>
        <v xml:space="preserve"> </v>
      </c>
      <c r="CW73" s="247">
        <f>IF('Flächen u. Kulturen'!D78="",0,IF(ISNUMBER('Flächen u. Kulturen'!D78)=TRUE,2,1))</f>
        <v>0</v>
      </c>
      <c r="CX73" s="247">
        <f>IF('Flächen u. Kulturen'!E78="",0,COUNTIF('#Boden'!$B$47,'Flächen u. Kulturen'!E78)+1)</f>
        <v>2</v>
      </c>
      <c r="CY73" s="247">
        <f>IF('Flächen u. Kulturen'!F78="",0,COUNTIF('#Boden'!$G$4:$G$8,'Flächen u. Kulturen'!F78)+1)</f>
        <v>2</v>
      </c>
      <c r="CZ73" s="247">
        <f>IF('Flächen u. Kulturen'!G78="",0,COUNTIF('#Boden'!$B$26:$B$29,'Flächen u. Kulturen'!G78)+1)</f>
        <v>2</v>
      </c>
      <c r="DA73" s="247">
        <f>IF('Flächen u. Kulturen'!H78="",0,COUNTIF('#Boden'!$B$26:$B$29,'Flächen u. Kulturen'!H78)+1)</f>
        <v>2</v>
      </c>
      <c r="DB73" s="247">
        <f>IF('Flächen u. Kulturen'!I78="",0,COUNTIF('#Boden'!$B$9:$B$15,'Flächen u. Kulturen'!I78)+1)</f>
        <v>2</v>
      </c>
      <c r="DC73" s="247">
        <f>IF('Flächen u. Kulturen'!J78="",0,COUNTIF(Kulturen[HF],'Flächen u. Kulturen'!J78)+1)</f>
        <v>2</v>
      </c>
      <c r="DD73" s="247">
        <f>IF('Flächen u. Kulturen'!L78="",0,COUNTIF(Nebenkultur[Nebenkultur],'Flächen u. Kulturen'!L78)+1)</f>
        <v>2</v>
      </c>
      <c r="DE73" s="247">
        <f>IF('Flächen u. Kulturen'!M78="",0,COUNTIF('#Boden'!$G$17:$G$21,'Flächen u. Kulturen'!M78)+1)</f>
        <v>2</v>
      </c>
      <c r="DF73" s="247">
        <f>IF('Flächen u. Kulturen'!N78="",0,COUNTIF('#Boden'!$G$22:$G$24,'Flächen u. Kulturen'!N78)+1)</f>
        <v>2</v>
      </c>
      <c r="DG73" s="247">
        <f>IF('Flächen u. Kulturen'!P78="",0,COUNTIF(Kulturen[HF],'Flächen u. Kulturen'!P78)+1)</f>
        <v>2</v>
      </c>
      <c r="DH73" s="247">
        <f>IF('Flächen u. Kulturen'!T78="",0,COUNTIF('#Boden'!$B$30:$B$32,'Flächen u. Kulturen'!T78)+1)</f>
        <v>2</v>
      </c>
      <c r="DI73" s="247">
        <f>IF('Flächen u. Kulturen'!K78="",0,IF(ISNUMBER('Flächen u. Kulturen'!K78)=TRUE,2,1))</f>
        <v>0</v>
      </c>
      <c r="DJ73" s="247">
        <f>IF('Flächen u. Kulturen'!U78="",0,IF(ISNUMBER('Flächen u. Kulturen'!U78)=TRUE,2,1))</f>
        <v>0</v>
      </c>
      <c r="DK73" s="247">
        <f>IF('Flächen u. Kulturen'!V78="",0,IF(ISNUMBER('Flächen u. Kulturen'!V78)=TRUE,2,1))</f>
        <v>0</v>
      </c>
      <c r="DL73" s="247">
        <f>IF('Flächen u. Kulturen'!W78="",0,IF(ISNUMBER('Flächen u. Kulturen'!W78)=TRUE,2,1))</f>
        <v>0</v>
      </c>
      <c r="DM73" s="247">
        <f t="shared" si="31"/>
        <v>0</v>
      </c>
      <c r="DN73" s="247" t="s">
        <v>344</v>
      </c>
      <c r="DO73" s="247">
        <f>IF(U73&lt;&gt;"x","",IF(OR('Flächen u. Kulturen'!B78="",'Flächen u. Kulturen'!C78="",'Flächen u. Kulturen'!D78="",'Flächen u. Kulturen'!D78=0,'Flächen u. Kulturen'!F78="",'Flächen u. Kulturen'!F78='#Boden'!$G$4,'Flächen u. Kulturen'!G78="",'Flächen u. Kulturen'!G78='#Boden'!$B$26,'Flächen u. Kulturen'!H78="",'Flächen u. Kulturen'!H78='#Boden'!$B$23,AND(N73&lt;&gt;2,OR('Flächen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Kulturen'!Q78="",'#BerechnungDBE'!N73&lt;3),AND('Flächen u. Kulturen'!R78="",'#BerechnungDBE'!N73=3),AND(N73=1,AL73&gt;0,'Flächen u. Kulturen'!S78=""),AND(N73=1,OR('Flächen u. Kulturen'!T78="",'Flächen u. Kulturen'!T78='#Boden'!$B$30)),AND('#BerechnungDBE'!AF73=70,OR('Flächen u. Kulturen'!N78="",'Flächen u. Kulturen'!N78='#Boden'!$G$22,'Flächen u. Kulturen'!O78="")),AND('#BerechnungDBE'!AF73=80,OR('Flächen u. Kulturen'!M78="",'Flächen u. Kulturen'!M78='#Boden'!$G$17,'Flächen u. Kulturen'!N78="",'Flächen u. Kulturen'!N78='#Boden'!$G$22))),$DO$4,""))</f>
        <v>1</v>
      </c>
      <c r="DP73" s="247" t="str">
        <f>IF(U73&lt;&gt;"x","",IF(OR(LEFT('Flächen u. Kulturen'!J78,2)=" +",LEFT('Flächen u. Kulturen'!L78,2)=" +",LEFT('Flächen u. Kulturen'!P78,2)=" +"),$DP$4,""))</f>
        <v/>
      </c>
      <c r="DQ73" s="428" t="str">
        <f t="shared" si="58"/>
        <v/>
      </c>
      <c r="DR73" s="938" t="str">
        <f t="shared" si="59"/>
        <v/>
      </c>
      <c r="DS73" s="938" t="str">
        <f>IF('Flächen u. Kulturen'!X78="","",ROW('Flächen u. Kulturen'!X78))</f>
        <v/>
      </c>
    </row>
    <row r="74" spans="1:123" s="875" customFormat="1" x14ac:dyDescent="0.2">
      <c r="A74" s="875" t="str">
        <f>IF('Daten aus 2021'!H76="",'#Boden'!$B$26,IF('Daten aus 2021'!H76='#Boden'!$B$39,IF('Daten aus 2021'!F76='#Boden'!$B$29,'#Boden'!$B$29,IF('Daten aus 2021'!K76='#Boden'!$B$34,'#Boden'!$B$28,'#Boden'!$B$27)),'Daten aus 2021'!F76))</f>
        <v xml:space="preserve"> --</v>
      </c>
      <c r="B74" s="875" t="str">
        <f>IF('Daten aus 2021'!H76='#Boden'!$B$39,IF('Daten aus 2021'!L76='#Boden'!$B$61,'#Boden'!$B$11,'Daten aus 2021'!L76),IF('Daten aus 2021'!P76='#Boden'!$B$58,'#Boden'!$B$11,IF('Daten aus 2021'!P76='#Boden'!$B$57,'#Boden'!$B$10,'#Boden'!$B$9)))</f>
        <v xml:space="preserve"> --         </v>
      </c>
      <c r="C74" s="875" t="str">
        <f>IF('Daten aus 2021'!N76="","",VLOOKUP('Daten aus 2021'!N76,'#Boden'!$B$68:$C$89,2,FALSE))</f>
        <v/>
      </c>
      <c r="D74" s="875" t="str">
        <f>IF('Daten aus 2021'!M76="","",VLOOKUP('Daten aus 2021'!M76,'#Boden'!$D$69:$E$73,2,FALSE))</f>
        <v/>
      </c>
      <c r="E74" s="938" t="str">
        <f>IF(OR(C74='#Boden'!$C$68,C74='#Boden'!$C$70),C74,CONCATENATE(C74,D74))</f>
        <v/>
      </c>
      <c r="F74" s="882" t="str">
        <f>IFERROR(IF('Daten aus 2021'!H76="",'#Frucht'!$D$8,IF('Daten aus 2021'!H76='#Boden'!$B$39,E74,IF('Daten aus 2021'!H76='#Boden'!$B$38,IF(CONCATENATE(" ",'Daten aus 2021'!W76)=$B$2,VLOOKUP($B$3,'#Frucht'!$A$8:$D$372,4,FALSE),VLOOKUP(CONCATENATE(" ",'Daten aus 2021'!W76),'#Frucht'!$A$8:$D$372,4,FALSE)),IF(OR(LEFT('Daten aus 2021'!Q76,5)=" *10 ",LEFT('Daten aus 2021'!Q76,5)=" *11 ",LEFT('Daten aus 2021'!Q76,5)=" *12 ",LEFT('Daten aus 2021'!Q76,5)=" *13 ",LEFT('Daten aus 2021'!Q76,5)=" *14 ",LEFT('Daten aus 2021'!Q76,5)=" *15 "),VLOOKUP(RIGHT('Daten aus 2021'!Q76,LEN('Daten aus 2021'!Q76)-4),'#Frucht'!$A$8:$D$372,4,FALSE),IF(LEFT('Daten aus 2021'!Q76,2)=" *",VLOOKUP(RIGHT('Daten aus 2021'!Q76,LEN('Daten aus 2021'!Q76)-3),'#Frucht'!$A$8:$D$372,4,FALSE),VLOOKUP('Daten aus 2021'!Q76,'#Frucht'!$A$8:$D$372,4,FALSE)))))),'#Frucht'!$D$8)</f>
        <v xml:space="preserve"> --  </v>
      </c>
      <c r="G74" s="127"/>
      <c r="H74" s="31"/>
      <c r="J74" s="938" t="str">
        <f>IF(OR(N74=3,$K$3=0,'Flächen u. Kulturen'!P79=""),"",IF(VLOOKUP('Flächen u. Kulturen'!P79,Kulturen[[HF]:[780]],'#BerechnungDBE'!$K$3,FALSE)=".","",VLOOKUP('Flächen u. Kulturen'!P79,Kulturen[[HF]:[780]],'#BerechnungDBE'!$K$3,FALSE)))</f>
        <v/>
      </c>
      <c r="K74" s="938" t="str">
        <f>IF(OR($K$3=0,'Flächen u. Kulturen'!P79=""),"",IF(N74=3,IF(VLOOKUP('Flächen u. Kulturen'!P79,Kulturen[[HF]:[780]],'#BerechnungDBE'!$K$3,FALSE)=".","",VLOOKUP('Flächen u. Kulturen'!P79,Kulturen[[HF]:[780]],'#BerechnungDBE'!$K$3,FALSE)),""))</f>
        <v/>
      </c>
      <c r="L74" s="367">
        <f>IF('Flächen u. Kulturen'!D79="",0,'Flächen u. Kulturen'!D79)</f>
        <v>0</v>
      </c>
      <c r="M74" s="693">
        <f>IF('Flächen u. Kulturen'!J79="",0,VLOOKUP('Flächen u. Kulturen'!J79,Kulturen[[HF]:[Berechnungsgruppe]],'#Frucht'!$W$1,FALSE))</f>
        <v>1</v>
      </c>
      <c r="N74" s="693">
        <f>IF('Flächen u. Kulturen'!P79="",0,VLOOKUP('Flächen u. Kulturen'!P79,Kulturen[[HF]:[Berechnungsgruppe]],'#Frucht'!$W$1,FALSE))</f>
        <v>1</v>
      </c>
      <c r="O74" s="875">
        <f>IF(N74&lt;&gt;2,N74,IF('Flächen u. Kulturen'!J79='Flächen u. Kulturen'!P79,2,1))</f>
        <v>1</v>
      </c>
      <c r="P74" s="875">
        <f>IF('Flächen u. Kulturen'!F79="",0,VLOOKUP('Flächen u. Kulturen'!F79,'#Boden'!$G$4:$H$8,'#Boden'!$H$1,FALSE))</f>
        <v>1</v>
      </c>
      <c r="Q74" s="875">
        <f>IF('Flächen u. Kulturen'!G79="",0,VLOOKUP('Flächen u. Kulturen'!G79,'#Boden'!$B$26:$C$29,'#Boden'!$C$1,FALSE))</f>
        <v>1</v>
      </c>
      <c r="R74" s="875">
        <f t="shared" ref="R74:R104" si="64">IF(Q74&lt;4,1,2)</f>
        <v>1</v>
      </c>
      <c r="S74" s="875">
        <f t="shared" ref="S74:S104" si="65">IF(AND(O74=3,Q74&gt;2),2,IF(AND(O74&lt;&gt;3,Q74&gt;3),2,1))</f>
        <v>1</v>
      </c>
      <c r="T74" s="875">
        <f>IF('Flächen u. Kulturen'!H79="",0,VLOOKUP('Flächen u. Kulturen'!H79,'#Boden'!$B$23:$C$25,'#Boden'!$C$1,FALSE))</f>
        <v>2</v>
      </c>
      <c r="U74" s="875" t="str">
        <f>'Flächen u. Kulturen'!E79</f>
        <v>x</v>
      </c>
      <c r="V74" s="938">
        <f>IF('Flächen u. Kulturen'!Q79="",0,_xlfn.NUMBERVALUE('Flächen u. Kulturen'!Q79))</f>
        <v>0</v>
      </c>
      <c r="W74" s="938">
        <f>IF('Flächen u. Kulturen'!R79="",0,_xlfn.NUMBERVALUE('Flächen u. Kulturen'!R79))</f>
        <v>0</v>
      </c>
      <c r="X74" s="875">
        <f>IF('Flächen u. Kulturen'!T79="",0,VLOOKUP('Flächen u. Kulturen'!T79,'#Boden'!$B$30:$C$32,'#Boden'!$C$1,FALSE))</f>
        <v>1</v>
      </c>
      <c r="Y74" s="875">
        <f>IF('Flächen u. Kulturen'!P79="",0,VLOOKUP('Flächen u. Kulturen'!P79,Kulturen[[HF]:[Berechnungsgruppe]],'#Frucht'!$N$1,FALSE))</f>
        <v>0</v>
      </c>
      <c r="Z74" s="875">
        <f t="shared" ref="Z74:Z104" si="66">IF(AND(Y74&lt;&gt;0,O74&lt;3),1,2)</f>
        <v>2</v>
      </c>
      <c r="AA74" s="875">
        <f>IF('Flächen u. Kulturen'!P79="",0,VLOOKUP('Flächen u. Kulturen'!P79,Kulturen[[HF]:[Berechnungsgruppe]],'#Frucht'!$V$1,FALSE))</f>
        <v>0</v>
      </c>
      <c r="AB74" s="875">
        <f>IF(N74=1,VLOOKUP('Flächen u. Kulturen'!P79,Kulturen[[HF]:[Ernteprodukt]],'#Frucht'!$I$1,FALSE),4)</f>
        <v>4</v>
      </c>
      <c r="AC74" s="921">
        <f>IF('Flächen u. Kulturen'!J79="",0,VLOOKUP('Flächen u. Kulturen'!J79,Kulturen[[HF]:[Berechnungsgruppe]],'#Frucht'!$G$1,FALSE))</f>
        <v>90</v>
      </c>
      <c r="AD74" s="921">
        <f>IF('Flächen u. Kulturen'!P79="",0,VLOOKUP('Flächen u. Kulturen'!P79,Kulturen[[HF]:[Berechnungsgruppe]],'#Frucht'!$G$1,FALSE))</f>
        <v>90</v>
      </c>
      <c r="AE74" s="938">
        <f>IF('Flächen u. Kulturen'!P79="",0,VLOOKUP('Flächen u. Kulturen'!P79,Kulturen[[HF]:[SollwertMinusNfix]],'#Frucht'!$X$1,FALSE))</f>
        <v>0</v>
      </c>
      <c r="AF74" s="875">
        <f>IF('Flächen u. Kulturen'!L79="",0,VLOOKUP('Flächen u. Kulturen'!L79,Nebenkultur[[Nebenkultur]:[Berechnungsschema]],'#Zweitfr'!$G$1,FALSE))</f>
        <v>0</v>
      </c>
      <c r="AG74" s="875">
        <f>IF('Flächen u. Kulturen'!L79="",0,VLOOKUP('Flächen u. Kulturen'!L79,'#Zweitfr'!$D$8:$Q$27,'#Zweitfr'!$Q$1,FALSE))</f>
        <v>0</v>
      </c>
      <c r="AH74" s="875">
        <f>IF('Flächen u. Kulturen'!M79="",0,VLOOKUP('Flächen u. Kulturen'!M79,'#Boden'!$G$17:$H$21,2,FALSE))</f>
        <v>1</v>
      </c>
      <c r="AI74" s="875">
        <f>IF('Flächen u. Kulturen'!N79="",0,VLOOKUP('Flächen u. Kulturen'!N79,'#Boden'!$G$22:$H$24,'#Boden'!$H$1,FALSE))</f>
        <v>1</v>
      </c>
      <c r="AJ74" s="938">
        <f>IF('Flächen u. Kulturen'!O79="",0,_xlfn.NUMBERVALUE('Flächen u. Kulturen'!O79))</f>
        <v>0</v>
      </c>
      <c r="AK74" s="938">
        <f>IF('Flächen u. Kulturen'!L79="",0,VLOOKUP('Flächen u. Kulturen'!L79,Nebenkultur[[Nebenkultur]:[Legum. Zwischenfr.]],'#Zweitfr'!$P$1,FALSE))</f>
        <v>0</v>
      </c>
      <c r="AL74" s="875">
        <f>IF('Flächen u. Kulturen'!P79="",0,VLOOKUP('Flächen u. Kulturen'!P79,Kulturen[[HF]:[Berechnungsgruppe]],'#Frucht'!$Q$1,FALSE))</f>
        <v>0</v>
      </c>
      <c r="AM74" s="875">
        <f>IF('Flächen u. Kulturen'!P79="",0,VLOOKUP('Flächen u. Kulturen'!P79,Kulturen[[HF]:[Berechnungsgruppe]],'#Frucht'!$M$1,FALSE))</f>
        <v>0</v>
      </c>
      <c r="AN74" s="875">
        <f>IF('Flächen u. Kulturen'!P79="",1,VLOOKUP('Flächen u. Kulturen'!P79,Kulturen[[HF]:[Berechnungsgruppe]],'#Frucht'!$R$1,FALSE))</f>
        <v>10</v>
      </c>
      <c r="AO74" s="875">
        <f>IF('Flächen u. Kulturen'!P79="",0,VLOOKUP('Flächen u. Kulturen'!P79,Kulturen[[HF]:[Berechnungsgruppe]],'#Frucht'!$S$1,FALSE))</f>
        <v>0</v>
      </c>
      <c r="AP74" s="875">
        <f>IF('Flächen u. Kulturen'!P79="",0,VLOOKUP('Flächen u. Kulturen'!P79,Kulturen[[HF]:[Berechnungsgruppe]],'#Frucht'!$T$1,FALSE))</f>
        <v>0</v>
      </c>
      <c r="AQ74" s="938">
        <f t="shared" si="46"/>
        <v>0</v>
      </c>
      <c r="AR74" s="875">
        <f t="shared" si="47"/>
        <v>0</v>
      </c>
      <c r="AS74" s="938">
        <f t="shared" si="48"/>
        <v>0</v>
      </c>
      <c r="AT74" s="875">
        <f>IF(N74=1,'Flächen u. Kulturen'!S79*-1,"--")</f>
        <v>0</v>
      </c>
      <c r="AU74" s="938">
        <f>IF(OR(N74=2,'Flächen u. Kulturen'!I79=""),"--",IF(N74=3,VLOOKUP('Flächen u. Kulturen'!I79,'#Boden'!$B$9:$E$15,'#Boden'!$D$1,FALSE),VLOOKUP('Flächen u. Kulturen'!I79,'#Boden'!$B$9:$E$15,'#Boden'!$E$1,FALSE)))</f>
        <v>0</v>
      </c>
      <c r="AV74" s="938">
        <f>IF(N74=1,IF('Flächen u. Kulturen'!J79="",0,VLOOKUP('Flächen u. Kulturen'!J79,Kulturen[[HF]:[Berechnungsgruppe]],'#Frucht'!$U$1,FALSE)*-1),"--")</f>
        <v>0</v>
      </c>
      <c r="AW74" s="875">
        <f t="shared" si="49"/>
        <v>0</v>
      </c>
      <c r="AX74" s="875">
        <f>IF('Flächen u. Kulturen'!K79="",0,'Flächen u. Kulturen'!K79*-0.1)</f>
        <v>0</v>
      </c>
      <c r="AY74" s="875">
        <f>IF(N74&lt;3,'#orgDung'!AC83*0.1*-1,"--")</f>
        <v>0</v>
      </c>
      <c r="AZ74" s="31" t="str">
        <f>IF(AND('#orgDung'!J83&lt;&gt;2,'#orgDung'!F83=1),('#orgDung'!V83+'#minDung'!O80)*-1,"--")</f>
        <v>--</v>
      </c>
      <c r="BA74" s="875">
        <f t="shared" ref="BA74:BA104" si="67">MAX(0,SUM(AR74:AZ74))</f>
        <v>0</v>
      </c>
      <c r="BB74" s="938">
        <f>IF(R74=2,0,'Flächen u. Kulturen'!V79*-1)</f>
        <v>0</v>
      </c>
      <c r="BC74" s="875">
        <f t="shared" ref="BC74:BC104" si="68">SUM(BA74:BB74)</f>
        <v>0</v>
      </c>
      <c r="BD74" s="127">
        <f>'#orgDung'!W83*-1</f>
        <v>0</v>
      </c>
      <c r="BE74" s="910">
        <f>'#orgDung'!AA83*-1</f>
        <v>0</v>
      </c>
      <c r="BF74" s="875">
        <f>'#orgDung'!Z83*-1</f>
        <v>0</v>
      </c>
      <c r="BG74" s="938">
        <f t="shared" si="60"/>
        <v>0</v>
      </c>
      <c r="BH74" s="875">
        <f>'#Kürzungen'!AS98*-1</f>
        <v>0</v>
      </c>
      <c r="BI74" s="875">
        <f t="shared" si="50"/>
        <v>0</v>
      </c>
      <c r="BJ74" s="910">
        <f t="shared" si="51"/>
        <v>0</v>
      </c>
      <c r="BK74" s="875">
        <f>'#minDung'!P80</f>
        <v>0</v>
      </c>
      <c r="BL74" s="938">
        <f t="shared" si="61"/>
        <v>0</v>
      </c>
      <c r="BM74" s="938">
        <f t="shared" si="52"/>
        <v>0</v>
      </c>
      <c r="BN74" s="875">
        <f>IF('Flächen u. Kulturen'!P79="",0,VLOOKUP('Flächen u. Kulturen'!P79,Kulturen[[HF]:[Berechnungsgruppe]],'#Frucht'!$K$1,FALSE))</f>
        <v>0</v>
      </c>
      <c r="BO74" s="875">
        <f>IF('Flächen u. Kulturen'!P79="",0,VLOOKUP('Flächen u. Kulturen'!P79,Kulturen[[HF]:[Berechnungsgruppe]],'#Frucht'!$L$1,FALSE))</f>
        <v>0</v>
      </c>
      <c r="BP74" s="875">
        <f>IF('Flächen u. Kulturen'!L79="",0,VLOOKUP('Flächen u. Kulturen'!L79,Nebenkultur[[Nebenkultur]:[Legum. Zwischenfr.]],'#Zweitfr'!$H$1,FALSE))</f>
        <v>0</v>
      </c>
      <c r="BQ74" s="938">
        <f>IF(N74=3,W74*BO74,IF('Flächen u. Kulturen'!T79='#Boden'!$B$32,V74*BN74,V74*BO74))</f>
        <v>0</v>
      </c>
      <c r="BR74" s="938">
        <f t="shared" si="53"/>
        <v>0</v>
      </c>
      <c r="BS74" s="875">
        <f t="shared" ref="BS74:BS104" si="69">BQ74+BR74</f>
        <v>0</v>
      </c>
      <c r="BT74" s="875">
        <f>IF('Flächen u. Kulturen'!F79="",0,IF(N74=3,VLOOKUP('Flächen u. Kulturen'!F79,'#Boden'!$G$4:$J$8,'#Boden'!$J$1,FALSE),VLOOKUP('Flächen u. Kulturen'!F79,'#Boden'!$G$4:$J$8,'#Boden'!$I$1,FALSE)))</f>
        <v>0</v>
      </c>
      <c r="BU74" s="41">
        <f t="shared" ref="BU74:BU104" si="70">IF(BT74&gt;0,BT74,BS74*BT74)</f>
        <v>0</v>
      </c>
      <c r="BV74" s="875">
        <f t="shared" ref="BV74:BV104" si="71">BS74+BU74</f>
        <v>0</v>
      </c>
      <c r="BW74" s="938" t="str">
        <f t="shared" si="62"/>
        <v/>
      </c>
      <c r="BX74" s="875">
        <f>'#orgDung'!T83*-1</f>
        <v>0</v>
      </c>
      <c r="BY74" s="875">
        <f t="shared" si="54"/>
        <v>0</v>
      </c>
      <c r="BZ74" s="938" t="str">
        <f>IF(U74&lt;&gt;"x",0,IF(P74&lt;4,"",(BW74+BX74-'#minDung'!N80)*-1))</f>
        <v/>
      </c>
      <c r="CB74" s="938">
        <f>IF(AND(AF74=70,U74="x"),'Flächen u. Kulturen'!A79,1000)</f>
        <v>1000</v>
      </c>
      <c r="CC74" s="875" t="str">
        <f>IF(AF74=70,VLOOKUP('Flächen u. Kulturen'!L79,Nebenkultur[[Nebenkultur]:[Legum. Zwischenfr.]],'#Zweitfr'!$I$1,FALSE),"--")</f>
        <v>--</v>
      </c>
      <c r="CD74" s="875" t="str">
        <f>IF(AF74=70,VLOOKUP('Flächen u. Kulturen'!L79,Nebenkultur[[Nebenkultur]:[Legum. Zwischenfr.]],'#Zweitfr'!$L$1,FALSE),"--")</f>
        <v>--</v>
      </c>
      <c r="CE74" s="875" t="str">
        <f>IF(AF74=70,VLOOKUP('Flächen u. Kulturen'!L79,Nebenkultur[[Nebenkultur]:[Legum. Zwischenfr.]],'#Zweitfr'!$M$1,FALSE),"--")</f>
        <v>--</v>
      </c>
      <c r="CF74" s="875" t="str">
        <f>IF(AF74=70,VLOOKUP('Flächen u. Kulturen'!L79,Nebenkultur[[Nebenkultur]:[Legum. Zwischenfr.]],'#Zweitfr'!$N$1,FALSE),"--")</f>
        <v>--</v>
      </c>
      <c r="CG74" s="875" t="str">
        <f>IF(AF74=70,VLOOKUP('Flächen u. Kulturen'!L79,Nebenkultur[[Nebenkultur]:[Legum. Zwischenfr.]],'#Zweitfr'!$O$1,FALSE),"--")</f>
        <v>--</v>
      </c>
      <c r="CH74" s="875" t="str">
        <f t="shared" si="55"/>
        <v>--</v>
      </c>
      <c r="CI74" s="938">
        <f>IF('Flächen u. Kulturen'!L79="",0,VLOOKUP('Flächen u. Kulturen'!L79,Nebenkultur[[Nebenkultur]:[Legum. Zwischenfr.]],'#Zweitfr'!$J$1,FALSE))</f>
        <v>0</v>
      </c>
      <c r="CJ74" s="875">
        <f t="shared" si="56"/>
        <v>0</v>
      </c>
      <c r="CK74" s="890">
        <f t="shared" si="57"/>
        <v>0</v>
      </c>
      <c r="CL74" s="938">
        <f>IF(AND(R74=1,AF74=70),'Flächen u. Kulturen'!W79*-1,0)</f>
        <v>0</v>
      </c>
      <c r="CM74" s="875">
        <f>'#orgDung'!AE83*-1</f>
        <v>0</v>
      </c>
      <c r="CN74" s="875">
        <f t="shared" ref="CN74:CN104" si="72">SUM(CK74:CM74)</f>
        <v>0</v>
      </c>
      <c r="CO74" s="875">
        <f t="shared" ref="CO74:CO104" si="73">MAX(0,CN74)</f>
        <v>0</v>
      </c>
      <c r="CP74" s="875">
        <f>'#Kürzungen'!AS199*-1</f>
        <v>0</v>
      </c>
      <c r="CQ74" s="875">
        <f t="shared" ref="CQ74:CQ104" si="74">CK74+CP74</f>
        <v>0</v>
      </c>
      <c r="CR74" s="875">
        <f t="shared" ref="CR74:CR104" si="75">CQ74+CM74</f>
        <v>0</v>
      </c>
      <c r="CS74" s="875">
        <f>'#minDung'!R80</f>
        <v>0</v>
      </c>
      <c r="CT74" s="938">
        <f t="shared" si="63"/>
        <v>0</v>
      </c>
      <c r="CU74" s="52" t="str">
        <f>'#Kürzungen'!AQ199</f>
        <v xml:space="preserve"> </v>
      </c>
      <c r="CW74" s="247">
        <f>IF('Flächen u. Kulturen'!D79="",0,IF(ISNUMBER('Flächen u. Kulturen'!D79)=TRUE,2,1))</f>
        <v>0</v>
      </c>
      <c r="CX74" s="247">
        <f>IF('Flächen u. Kulturen'!E79="",0,COUNTIF('#Boden'!$B$47,'Flächen u. Kulturen'!E79)+1)</f>
        <v>2</v>
      </c>
      <c r="CY74" s="247">
        <f>IF('Flächen u. Kulturen'!F79="",0,COUNTIF('#Boden'!$G$4:$G$8,'Flächen u. Kulturen'!F79)+1)</f>
        <v>2</v>
      </c>
      <c r="CZ74" s="247">
        <f>IF('Flächen u. Kulturen'!G79="",0,COUNTIF('#Boden'!$B$26:$B$29,'Flächen u. Kulturen'!G79)+1)</f>
        <v>2</v>
      </c>
      <c r="DA74" s="247">
        <f>IF('Flächen u. Kulturen'!H79="",0,COUNTIF('#Boden'!$B$26:$B$29,'Flächen u. Kulturen'!H79)+1)</f>
        <v>2</v>
      </c>
      <c r="DB74" s="247">
        <f>IF('Flächen u. Kulturen'!I79="",0,COUNTIF('#Boden'!$B$9:$B$15,'Flächen u. Kulturen'!I79)+1)</f>
        <v>2</v>
      </c>
      <c r="DC74" s="247">
        <f>IF('Flächen u. Kulturen'!J79="",0,COUNTIF(Kulturen[HF],'Flächen u. Kulturen'!J79)+1)</f>
        <v>2</v>
      </c>
      <c r="DD74" s="247">
        <f>IF('Flächen u. Kulturen'!L79="",0,COUNTIF(Nebenkultur[Nebenkultur],'Flächen u. Kulturen'!L79)+1)</f>
        <v>2</v>
      </c>
      <c r="DE74" s="247">
        <f>IF('Flächen u. Kulturen'!M79="",0,COUNTIF('#Boden'!$G$17:$G$21,'Flächen u. Kulturen'!M79)+1)</f>
        <v>2</v>
      </c>
      <c r="DF74" s="247">
        <f>IF('Flächen u. Kulturen'!N79="",0,COUNTIF('#Boden'!$G$22:$G$24,'Flächen u. Kulturen'!N79)+1)</f>
        <v>2</v>
      </c>
      <c r="DG74" s="247">
        <f>IF('Flächen u. Kulturen'!P79="",0,COUNTIF(Kulturen[HF],'Flächen u. Kulturen'!P79)+1)</f>
        <v>2</v>
      </c>
      <c r="DH74" s="247">
        <f>IF('Flächen u. Kulturen'!T79="",0,COUNTIF('#Boden'!$B$30:$B$32,'Flächen u. Kulturen'!T79)+1)</f>
        <v>2</v>
      </c>
      <c r="DI74" s="247">
        <f>IF('Flächen u. Kulturen'!K79="",0,IF(ISNUMBER('Flächen u. Kulturen'!K79)=TRUE,2,1))</f>
        <v>0</v>
      </c>
      <c r="DJ74" s="247">
        <f>IF('Flächen u. Kulturen'!U79="",0,IF(ISNUMBER('Flächen u. Kulturen'!U79)=TRUE,2,1))</f>
        <v>0</v>
      </c>
      <c r="DK74" s="247">
        <f>IF('Flächen u. Kulturen'!V79="",0,IF(ISNUMBER('Flächen u. Kulturen'!V79)=TRUE,2,1))</f>
        <v>0</v>
      </c>
      <c r="DL74" s="247">
        <f>IF('Flächen u. Kulturen'!W79="",0,IF(ISNUMBER('Flächen u. Kulturen'!W79)=TRUE,2,1))</f>
        <v>0</v>
      </c>
      <c r="DM74" s="247">
        <f t="shared" ref="DM74:DM104" si="76">COUNTIF(CW74:DH74,1)</f>
        <v>0</v>
      </c>
      <c r="DN74" s="247" t="s">
        <v>344</v>
      </c>
      <c r="DO74" s="247">
        <f>IF(U74&lt;&gt;"x","",IF(OR('Flächen u. Kulturen'!B79="",'Flächen u. Kulturen'!C79="",'Flächen u. Kulturen'!D79="",'Flächen u. Kulturen'!D79=0,'Flächen u. Kulturen'!F79="",'Flächen u. Kulturen'!F79='#Boden'!$G$4,'Flächen u. Kulturen'!G79="",'Flächen u. Kulturen'!G79='#Boden'!$B$26,'Flächen u. Kulturen'!H79="",'Flächen u. Kulturen'!H79='#Boden'!$B$23,AND(N74&lt;&gt;2,OR('Flächen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Kulturen'!Q79="",'#BerechnungDBE'!N74&lt;3),AND('Flächen u. Kulturen'!R79="",'#BerechnungDBE'!N74=3),AND(N74=1,AL74&gt;0,'Flächen u. Kulturen'!S79=""),AND(N74=1,OR('Flächen u. Kulturen'!T79="",'Flächen u. Kulturen'!T79='#Boden'!$B$30)),AND('#BerechnungDBE'!AF74=70,OR('Flächen u. Kulturen'!N79="",'Flächen u. Kulturen'!N79='#Boden'!$G$22,'Flächen u. Kulturen'!O79="")),AND('#BerechnungDBE'!AF74=80,OR('Flächen u. Kulturen'!M79="",'Flächen u. Kulturen'!M79='#Boden'!$G$17,'Flächen u. Kulturen'!N79="",'Flächen u. Kulturen'!N79='#Boden'!$G$22))),$DO$4,""))</f>
        <v>1</v>
      </c>
      <c r="DP74" s="247" t="str">
        <f>IF(U74&lt;&gt;"x","",IF(OR(LEFT('Flächen u. Kulturen'!J79,2)=" +",LEFT('Flächen u. Kulturen'!L79,2)=" +",LEFT('Flächen u. Kulturen'!P79,2)=" +"),$DP$4,""))</f>
        <v/>
      </c>
      <c r="DQ74" s="428" t="str">
        <f t="shared" si="58"/>
        <v/>
      </c>
      <c r="DR74" s="938" t="str">
        <f t="shared" si="59"/>
        <v/>
      </c>
      <c r="DS74" s="938" t="str">
        <f>IF('Flächen u. Kulturen'!X79="","",ROW('Flächen u. Kulturen'!X79))</f>
        <v/>
      </c>
    </row>
    <row r="75" spans="1:123" s="875" customFormat="1" x14ac:dyDescent="0.2">
      <c r="A75" s="875" t="str">
        <f>IF('Daten aus 2021'!H77="",'#Boden'!$B$26,IF('Daten aus 2021'!H77='#Boden'!$B$39,IF('Daten aus 2021'!F77='#Boden'!$B$29,'#Boden'!$B$29,IF('Daten aus 2021'!K77='#Boden'!$B$34,'#Boden'!$B$28,'#Boden'!$B$27)),'Daten aus 2021'!F77))</f>
        <v xml:space="preserve"> --</v>
      </c>
      <c r="B75" s="875" t="str">
        <f>IF('Daten aus 2021'!H77='#Boden'!$B$39,IF('Daten aus 2021'!L77='#Boden'!$B$61,'#Boden'!$B$11,'Daten aus 2021'!L77),IF('Daten aus 2021'!P77='#Boden'!$B$58,'#Boden'!$B$11,IF('Daten aus 2021'!P77='#Boden'!$B$57,'#Boden'!$B$10,'#Boden'!$B$9)))</f>
        <v xml:space="preserve"> --         </v>
      </c>
      <c r="C75" s="875" t="str">
        <f>IF('Daten aus 2021'!N77="","",VLOOKUP('Daten aus 2021'!N77,'#Boden'!$B$68:$C$89,2,FALSE))</f>
        <v/>
      </c>
      <c r="D75" s="875" t="str">
        <f>IF('Daten aus 2021'!M77="","",VLOOKUP('Daten aus 2021'!M77,'#Boden'!$D$69:$E$73,2,FALSE))</f>
        <v/>
      </c>
      <c r="E75" s="938" t="str">
        <f>IF(OR(C75='#Boden'!$C$68,C75='#Boden'!$C$70),C75,CONCATENATE(C75,D75))</f>
        <v/>
      </c>
      <c r="F75" s="882" t="str">
        <f>IFERROR(IF('Daten aus 2021'!H77="",'#Frucht'!$D$8,IF('Daten aus 2021'!H77='#Boden'!$B$39,E75,IF('Daten aus 2021'!H77='#Boden'!$B$38,IF(CONCATENATE(" ",'Daten aus 2021'!W77)=$B$2,VLOOKUP($B$3,'#Frucht'!$A$8:$D$372,4,FALSE),VLOOKUP(CONCATENATE(" ",'Daten aus 2021'!W77),'#Frucht'!$A$8:$D$372,4,FALSE)),IF(OR(LEFT('Daten aus 2021'!Q77,5)=" *10 ",LEFT('Daten aus 2021'!Q77,5)=" *11 ",LEFT('Daten aus 2021'!Q77,5)=" *12 ",LEFT('Daten aus 2021'!Q77,5)=" *13 ",LEFT('Daten aus 2021'!Q77,5)=" *14 ",LEFT('Daten aus 2021'!Q77,5)=" *15 "),VLOOKUP(RIGHT('Daten aus 2021'!Q77,LEN('Daten aus 2021'!Q77)-4),'#Frucht'!$A$8:$D$372,4,FALSE),IF(LEFT('Daten aus 2021'!Q77,2)=" *",VLOOKUP(RIGHT('Daten aus 2021'!Q77,LEN('Daten aus 2021'!Q77)-3),'#Frucht'!$A$8:$D$372,4,FALSE),VLOOKUP('Daten aus 2021'!Q77,'#Frucht'!$A$8:$D$372,4,FALSE)))))),'#Frucht'!$D$8)</f>
        <v xml:space="preserve"> --  </v>
      </c>
      <c r="G75" s="127"/>
      <c r="H75" s="31"/>
      <c r="J75" s="938" t="str">
        <f>IF(OR(N75=3,$K$3=0,'Flächen u. Kulturen'!P80=""),"",IF(VLOOKUP('Flächen u. Kulturen'!P80,Kulturen[[HF]:[780]],'#BerechnungDBE'!$K$3,FALSE)=".","",VLOOKUP('Flächen u. Kulturen'!P80,Kulturen[[HF]:[780]],'#BerechnungDBE'!$K$3,FALSE)))</f>
        <v/>
      </c>
      <c r="K75" s="938" t="str">
        <f>IF(OR($K$3=0,'Flächen u. Kulturen'!P80=""),"",IF(N75=3,IF(VLOOKUP('Flächen u. Kulturen'!P80,Kulturen[[HF]:[780]],'#BerechnungDBE'!$K$3,FALSE)=".","",VLOOKUP('Flächen u. Kulturen'!P80,Kulturen[[HF]:[780]],'#BerechnungDBE'!$K$3,FALSE)),""))</f>
        <v/>
      </c>
      <c r="L75" s="367">
        <f>IF('Flächen u. Kulturen'!D80="",0,'Flächen u. Kulturen'!D80)</f>
        <v>0</v>
      </c>
      <c r="M75" s="693">
        <f>IF('Flächen u. Kulturen'!J80="",0,VLOOKUP('Flächen u. Kulturen'!J80,Kulturen[[HF]:[Berechnungsgruppe]],'#Frucht'!$W$1,FALSE))</f>
        <v>1</v>
      </c>
      <c r="N75" s="693">
        <f>IF('Flächen u. Kulturen'!P80="",0,VLOOKUP('Flächen u. Kulturen'!P80,Kulturen[[HF]:[Berechnungsgruppe]],'#Frucht'!$W$1,FALSE))</f>
        <v>1</v>
      </c>
      <c r="O75" s="875">
        <f>IF(N75&lt;&gt;2,N75,IF('Flächen u. Kulturen'!J80='Flächen u. Kulturen'!P80,2,1))</f>
        <v>1</v>
      </c>
      <c r="P75" s="875">
        <f>IF('Flächen u. Kulturen'!F80="",0,VLOOKUP('Flächen u. Kulturen'!F80,'#Boden'!$G$4:$H$8,'#Boden'!$H$1,FALSE))</f>
        <v>1</v>
      </c>
      <c r="Q75" s="875">
        <f>IF('Flächen u. Kulturen'!G80="",0,VLOOKUP('Flächen u. Kulturen'!G80,'#Boden'!$B$26:$C$29,'#Boden'!$C$1,FALSE))</f>
        <v>1</v>
      </c>
      <c r="R75" s="875">
        <f t="shared" si="64"/>
        <v>1</v>
      </c>
      <c r="S75" s="875">
        <f t="shared" si="65"/>
        <v>1</v>
      </c>
      <c r="T75" s="875">
        <f>IF('Flächen u. Kulturen'!H80="",0,VLOOKUP('Flächen u. Kulturen'!H80,'#Boden'!$B$23:$C$25,'#Boden'!$C$1,FALSE))</f>
        <v>2</v>
      </c>
      <c r="U75" s="875" t="str">
        <f>'Flächen u. Kulturen'!E80</f>
        <v>x</v>
      </c>
      <c r="V75" s="938">
        <f>IF('Flächen u. Kulturen'!Q80="",0,_xlfn.NUMBERVALUE('Flächen u. Kulturen'!Q80))</f>
        <v>0</v>
      </c>
      <c r="W75" s="938">
        <f>IF('Flächen u. Kulturen'!R80="",0,_xlfn.NUMBERVALUE('Flächen u. Kulturen'!R80))</f>
        <v>0</v>
      </c>
      <c r="X75" s="875">
        <f>IF('Flächen u. Kulturen'!T80="",0,VLOOKUP('Flächen u. Kulturen'!T80,'#Boden'!$B$30:$C$32,'#Boden'!$C$1,FALSE))</f>
        <v>1</v>
      </c>
      <c r="Y75" s="875">
        <f>IF('Flächen u. Kulturen'!P80="",0,VLOOKUP('Flächen u. Kulturen'!P80,Kulturen[[HF]:[Berechnungsgruppe]],'#Frucht'!$N$1,FALSE))</f>
        <v>0</v>
      </c>
      <c r="Z75" s="875">
        <f t="shared" si="66"/>
        <v>2</v>
      </c>
      <c r="AA75" s="875">
        <f>IF('Flächen u. Kulturen'!P80="",0,VLOOKUP('Flächen u. Kulturen'!P80,Kulturen[[HF]:[Berechnungsgruppe]],'#Frucht'!$V$1,FALSE))</f>
        <v>0</v>
      </c>
      <c r="AB75" s="875">
        <f>IF(N75=1,VLOOKUP('Flächen u. Kulturen'!P80,Kulturen[[HF]:[Ernteprodukt]],'#Frucht'!$I$1,FALSE),4)</f>
        <v>4</v>
      </c>
      <c r="AC75" s="921">
        <f>IF('Flächen u. Kulturen'!J80="",0,VLOOKUP('Flächen u. Kulturen'!J80,Kulturen[[HF]:[Berechnungsgruppe]],'#Frucht'!$G$1,FALSE))</f>
        <v>90</v>
      </c>
      <c r="AD75" s="921">
        <f>IF('Flächen u. Kulturen'!P80="",0,VLOOKUP('Flächen u. Kulturen'!P80,Kulturen[[HF]:[Berechnungsgruppe]],'#Frucht'!$G$1,FALSE))</f>
        <v>90</v>
      </c>
      <c r="AE75" s="938">
        <f>IF('Flächen u. Kulturen'!P80="",0,VLOOKUP('Flächen u. Kulturen'!P80,Kulturen[[HF]:[SollwertMinusNfix]],'#Frucht'!$X$1,FALSE))</f>
        <v>0</v>
      </c>
      <c r="AF75" s="875">
        <f>IF('Flächen u. Kulturen'!L80="",0,VLOOKUP('Flächen u. Kulturen'!L80,Nebenkultur[[Nebenkultur]:[Berechnungsschema]],'#Zweitfr'!$G$1,FALSE))</f>
        <v>0</v>
      </c>
      <c r="AG75" s="875">
        <f>IF('Flächen u. Kulturen'!L80="",0,VLOOKUP('Flächen u. Kulturen'!L80,'#Zweitfr'!$D$8:$Q$27,'#Zweitfr'!$Q$1,FALSE))</f>
        <v>0</v>
      </c>
      <c r="AH75" s="875">
        <f>IF('Flächen u. Kulturen'!M80="",0,VLOOKUP('Flächen u. Kulturen'!M80,'#Boden'!$G$17:$H$21,2,FALSE))</f>
        <v>1</v>
      </c>
      <c r="AI75" s="875">
        <f>IF('Flächen u. Kulturen'!N80="",0,VLOOKUP('Flächen u. Kulturen'!N80,'#Boden'!$G$22:$H$24,'#Boden'!$H$1,FALSE))</f>
        <v>1</v>
      </c>
      <c r="AJ75" s="938">
        <f>IF('Flächen u. Kulturen'!O80="",0,_xlfn.NUMBERVALUE('Flächen u. Kulturen'!O80))</f>
        <v>0</v>
      </c>
      <c r="AK75" s="938">
        <f>IF('Flächen u. Kulturen'!L80="",0,VLOOKUP('Flächen u. Kulturen'!L80,Nebenkultur[[Nebenkultur]:[Legum. Zwischenfr.]],'#Zweitfr'!$P$1,FALSE))</f>
        <v>0</v>
      </c>
      <c r="AL75" s="875">
        <f>IF('Flächen u. Kulturen'!P80="",0,VLOOKUP('Flächen u. Kulturen'!P80,Kulturen[[HF]:[Berechnungsgruppe]],'#Frucht'!$Q$1,FALSE))</f>
        <v>0</v>
      </c>
      <c r="AM75" s="875">
        <f>IF('Flächen u. Kulturen'!P80="",0,VLOOKUP('Flächen u. Kulturen'!P80,Kulturen[[HF]:[Berechnungsgruppe]],'#Frucht'!$M$1,FALSE))</f>
        <v>0</v>
      </c>
      <c r="AN75" s="875">
        <f>IF('Flächen u. Kulturen'!P80="",1,VLOOKUP('Flächen u. Kulturen'!P80,Kulturen[[HF]:[Berechnungsgruppe]],'#Frucht'!$R$1,FALSE))</f>
        <v>10</v>
      </c>
      <c r="AO75" s="875">
        <f>IF('Flächen u. Kulturen'!P80="",0,VLOOKUP('Flächen u. Kulturen'!P80,Kulturen[[HF]:[Berechnungsgruppe]],'#Frucht'!$S$1,FALSE))</f>
        <v>0</v>
      </c>
      <c r="AP75" s="875">
        <f>IF('Flächen u. Kulturen'!P80="",0,VLOOKUP('Flächen u. Kulturen'!P80,Kulturen[[HF]:[Berechnungsgruppe]],'#Frucht'!$T$1,FALSE))</f>
        <v>0</v>
      </c>
      <c r="AQ75" s="938">
        <f t="shared" si="46"/>
        <v>0</v>
      </c>
      <c r="AR75" s="875">
        <f t="shared" si="47"/>
        <v>0</v>
      </c>
      <c r="AS75" s="938">
        <f t="shared" si="48"/>
        <v>0</v>
      </c>
      <c r="AT75" s="875">
        <f>IF(N75=1,'Flächen u. Kulturen'!S80*-1,"--")</f>
        <v>0</v>
      </c>
      <c r="AU75" s="938">
        <f>IF(OR(N75=2,'Flächen u. Kulturen'!I80=""),"--",IF(N75=3,VLOOKUP('Flächen u. Kulturen'!I80,'#Boden'!$B$9:$E$15,'#Boden'!$D$1,FALSE),VLOOKUP('Flächen u. Kulturen'!I80,'#Boden'!$B$9:$E$15,'#Boden'!$E$1,FALSE)))</f>
        <v>0</v>
      </c>
      <c r="AV75" s="938">
        <f>IF(N75=1,IF('Flächen u. Kulturen'!J80="",0,VLOOKUP('Flächen u. Kulturen'!J80,Kulturen[[HF]:[Berechnungsgruppe]],'#Frucht'!$U$1,FALSE)*-1),"--")</f>
        <v>0</v>
      </c>
      <c r="AW75" s="875">
        <f t="shared" si="49"/>
        <v>0</v>
      </c>
      <c r="AX75" s="875">
        <f>IF('Flächen u. Kulturen'!K80="",0,'Flächen u. Kulturen'!K80*-0.1)</f>
        <v>0</v>
      </c>
      <c r="AY75" s="875">
        <f>IF(N75&lt;3,'#orgDung'!AC84*0.1*-1,"--")</f>
        <v>0</v>
      </c>
      <c r="AZ75" s="31" t="str">
        <f>IF(AND('#orgDung'!J84&lt;&gt;2,'#orgDung'!F84=1),('#orgDung'!V84+'#minDung'!O81)*-1,"--")</f>
        <v>--</v>
      </c>
      <c r="BA75" s="875">
        <f t="shared" si="67"/>
        <v>0</v>
      </c>
      <c r="BB75" s="938">
        <f>IF(R75=2,0,'Flächen u. Kulturen'!V80*-1)</f>
        <v>0</v>
      </c>
      <c r="BC75" s="875">
        <f t="shared" si="68"/>
        <v>0</v>
      </c>
      <c r="BD75" s="127">
        <f>'#orgDung'!W84*-1</f>
        <v>0</v>
      </c>
      <c r="BE75" s="910">
        <f>'#orgDung'!AA84*-1</f>
        <v>0</v>
      </c>
      <c r="BF75" s="875">
        <f>'#orgDung'!Z84*-1</f>
        <v>0</v>
      </c>
      <c r="BG75" s="938">
        <f t="shared" si="60"/>
        <v>0</v>
      </c>
      <c r="BH75" s="875">
        <f>'#Kürzungen'!AS99*-1</f>
        <v>0</v>
      </c>
      <c r="BI75" s="875">
        <f t="shared" si="50"/>
        <v>0</v>
      </c>
      <c r="BJ75" s="910">
        <f t="shared" si="51"/>
        <v>0</v>
      </c>
      <c r="BK75" s="875">
        <f>'#minDung'!P81</f>
        <v>0</v>
      </c>
      <c r="BL75" s="938">
        <f t="shared" si="61"/>
        <v>0</v>
      </c>
      <c r="BM75" s="938">
        <f t="shared" si="52"/>
        <v>0</v>
      </c>
      <c r="BN75" s="875">
        <f>IF('Flächen u. Kulturen'!P80="",0,VLOOKUP('Flächen u. Kulturen'!P80,Kulturen[[HF]:[Berechnungsgruppe]],'#Frucht'!$K$1,FALSE))</f>
        <v>0</v>
      </c>
      <c r="BO75" s="875">
        <f>IF('Flächen u. Kulturen'!P80="",0,VLOOKUP('Flächen u. Kulturen'!P80,Kulturen[[HF]:[Berechnungsgruppe]],'#Frucht'!$L$1,FALSE))</f>
        <v>0</v>
      </c>
      <c r="BP75" s="875">
        <f>IF('Flächen u. Kulturen'!L80="",0,VLOOKUP('Flächen u. Kulturen'!L80,Nebenkultur[[Nebenkultur]:[Legum. Zwischenfr.]],'#Zweitfr'!$H$1,FALSE))</f>
        <v>0</v>
      </c>
      <c r="BQ75" s="938">
        <f>IF(N75=3,W75*BO75,IF('Flächen u. Kulturen'!T80='#Boden'!$B$32,V75*BN75,V75*BO75))</f>
        <v>0</v>
      </c>
      <c r="BR75" s="938">
        <f t="shared" si="53"/>
        <v>0</v>
      </c>
      <c r="BS75" s="875">
        <f t="shared" si="69"/>
        <v>0</v>
      </c>
      <c r="BT75" s="875">
        <f>IF('Flächen u. Kulturen'!F80="",0,IF(N75=3,VLOOKUP('Flächen u. Kulturen'!F80,'#Boden'!$G$4:$J$8,'#Boden'!$J$1,FALSE),VLOOKUP('Flächen u. Kulturen'!F80,'#Boden'!$G$4:$J$8,'#Boden'!$I$1,FALSE)))</f>
        <v>0</v>
      </c>
      <c r="BU75" s="41">
        <f t="shared" si="70"/>
        <v>0</v>
      </c>
      <c r="BV75" s="875">
        <f t="shared" si="71"/>
        <v>0</v>
      </c>
      <c r="BW75" s="938" t="str">
        <f t="shared" si="62"/>
        <v/>
      </c>
      <c r="BX75" s="875">
        <f>'#orgDung'!T84*-1</f>
        <v>0</v>
      </c>
      <c r="BY75" s="875">
        <f t="shared" si="54"/>
        <v>0</v>
      </c>
      <c r="BZ75" s="938" t="str">
        <f>IF(U75&lt;&gt;"x",0,IF(P75&lt;4,"",(BW75+BX75-'#minDung'!N81)*-1))</f>
        <v/>
      </c>
      <c r="CB75" s="938">
        <f>IF(AND(AF75=70,U75="x"),'Flächen u. Kulturen'!A80,1000)</f>
        <v>1000</v>
      </c>
      <c r="CC75" s="875" t="str">
        <f>IF(AF75=70,VLOOKUP('Flächen u. Kulturen'!L80,Nebenkultur[[Nebenkultur]:[Legum. Zwischenfr.]],'#Zweitfr'!$I$1,FALSE),"--")</f>
        <v>--</v>
      </c>
      <c r="CD75" s="875" t="str">
        <f>IF(AF75=70,VLOOKUP('Flächen u. Kulturen'!L80,Nebenkultur[[Nebenkultur]:[Legum. Zwischenfr.]],'#Zweitfr'!$L$1,FALSE),"--")</f>
        <v>--</v>
      </c>
      <c r="CE75" s="875" t="str">
        <f>IF(AF75=70,VLOOKUP('Flächen u. Kulturen'!L80,Nebenkultur[[Nebenkultur]:[Legum. Zwischenfr.]],'#Zweitfr'!$M$1,FALSE),"--")</f>
        <v>--</v>
      </c>
      <c r="CF75" s="875" t="str">
        <f>IF(AF75=70,VLOOKUP('Flächen u. Kulturen'!L80,Nebenkultur[[Nebenkultur]:[Legum. Zwischenfr.]],'#Zweitfr'!$N$1,FALSE),"--")</f>
        <v>--</v>
      </c>
      <c r="CG75" s="875" t="str">
        <f>IF(AF75=70,VLOOKUP('Flächen u. Kulturen'!L80,Nebenkultur[[Nebenkultur]:[Legum. Zwischenfr.]],'#Zweitfr'!$O$1,FALSE),"--")</f>
        <v>--</v>
      </c>
      <c r="CH75" s="875" t="str">
        <f t="shared" si="55"/>
        <v>--</v>
      </c>
      <c r="CI75" s="938">
        <f>IF('Flächen u. Kulturen'!L80="",0,VLOOKUP('Flächen u. Kulturen'!L80,Nebenkultur[[Nebenkultur]:[Legum. Zwischenfr.]],'#Zweitfr'!$J$1,FALSE))</f>
        <v>0</v>
      </c>
      <c r="CJ75" s="875">
        <f t="shared" si="56"/>
        <v>0</v>
      </c>
      <c r="CK75" s="890">
        <f t="shared" si="57"/>
        <v>0</v>
      </c>
      <c r="CL75" s="938">
        <f>IF(AND(R75=1,AF75=70),'Flächen u. Kulturen'!W80*-1,0)</f>
        <v>0</v>
      </c>
      <c r="CM75" s="875">
        <f>'#orgDung'!AE84*-1</f>
        <v>0</v>
      </c>
      <c r="CN75" s="875">
        <f t="shared" si="72"/>
        <v>0</v>
      </c>
      <c r="CO75" s="875">
        <f t="shared" si="73"/>
        <v>0</v>
      </c>
      <c r="CP75" s="875">
        <f>'#Kürzungen'!AS200*-1</f>
        <v>0</v>
      </c>
      <c r="CQ75" s="875">
        <f t="shared" si="74"/>
        <v>0</v>
      </c>
      <c r="CR75" s="875">
        <f t="shared" si="75"/>
        <v>0</v>
      </c>
      <c r="CS75" s="875">
        <f>'#minDung'!R81</f>
        <v>0</v>
      </c>
      <c r="CT75" s="938">
        <f t="shared" si="63"/>
        <v>0</v>
      </c>
      <c r="CU75" s="52" t="str">
        <f>'#Kürzungen'!AQ200</f>
        <v xml:space="preserve"> </v>
      </c>
      <c r="CW75" s="247">
        <f>IF('Flächen u. Kulturen'!D80="",0,IF(ISNUMBER('Flächen u. Kulturen'!D80)=TRUE,2,1))</f>
        <v>0</v>
      </c>
      <c r="CX75" s="247">
        <f>IF('Flächen u. Kulturen'!E80="",0,COUNTIF('#Boden'!$B$47,'Flächen u. Kulturen'!E80)+1)</f>
        <v>2</v>
      </c>
      <c r="CY75" s="247">
        <f>IF('Flächen u. Kulturen'!F80="",0,COUNTIF('#Boden'!$G$4:$G$8,'Flächen u. Kulturen'!F80)+1)</f>
        <v>2</v>
      </c>
      <c r="CZ75" s="247">
        <f>IF('Flächen u. Kulturen'!G80="",0,COUNTIF('#Boden'!$B$26:$B$29,'Flächen u. Kulturen'!G80)+1)</f>
        <v>2</v>
      </c>
      <c r="DA75" s="247">
        <f>IF('Flächen u. Kulturen'!H80="",0,COUNTIF('#Boden'!$B$26:$B$29,'Flächen u. Kulturen'!H80)+1)</f>
        <v>2</v>
      </c>
      <c r="DB75" s="247">
        <f>IF('Flächen u. Kulturen'!I80="",0,COUNTIF('#Boden'!$B$9:$B$15,'Flächen u. Kulturen'!I80)+1)</f>
        <v>2</v>
      </c>
      <c r="DC75" s="247">
        <f>IF('Flächen u. Kulturen'!J80="",0,COUNTIF(Kulturen[HF],'Flächen u. Kulturen'!J80)+1)</f>
        <v>2</v>
      </c>
      <c r="DD75" s="247">
        <f>IF('Flächen u. Kulturen'!L80="",0,COUNTIF(Nebenkultur[Nebenkultur],'Flächen u. Kulturen'!L80)+1)</f>
        <v>2</v>
      </c>
      <c r="DE75" s="247">
        <f>IF('Flächen u. Kulturen'!M80="",0,COUNTIF('#Boden'!$G$17:$G$21,'Flächen u. Kulturen'!M80)+1)</f>
        <v>2</v>
      </c>
      <c r="DF75" s="247">
        <f>IF('Flächen u. Kulturen'!N80="",0,COUNTIF('#Boden'!$G$22:$G$24,'Flächen u. Kulturen'!N80)+1)</f>
        <v>2</v>
      </c>
      <c r="DG75" s="247">
        <f>IF('Flächen u. Kulturen'!P80="",0,COUNTIF(Kulturen[HF],'Flächen u. Kulturen'!P80)+1)</f>
        <v>2</v>
      </c>
      <c r="DH75" s="247">
        <f>IF('Flächen u. Kulturen'!T80="",0,COUNTIF('#Boden'!$B$30:$B$32,'Flächen u. Kulturen'!T80)+1)</f>
        <v>2</v>
      </c>
      <c r="DI75" s="247">
        <f>IF('Flächen u. Kulturen'!K80="",0,IF(ISNUMBER('Flächen u. Kulturen'!K80)=TRUE,2,1))</f>
        <v>0</v>
      </c>
      <c r="DJ75" s="247">
        <f>IF('Flächen u. Kulturen'!U80="",0,IF(ISNUMBER('Flächen u. Kulturen'!U80)=TRUE,2,1))</f>
        <v>0</v>
      </c>
      <c r="DK75" s="247">
        <f>IF('Flächen u. Kulturen'!V80="",0,IF(ISNUMBER('Flächen u. Kulturen'!V80)=TRUE,2,1))</f>
        <v>0</v>
      </c>
      <c r="DL75" s="247">
        <f>IF('Flächen u. Kulturen'!W80="",0,IF(ISNUMBER('Flächen u. Kulturen'!W80)=TRUE,2,1))</f>
        <v>0</v>
      </c>
      <c r="DM75" s="247">
        <f t="shared" si="76"/>
        <v>0</v>
      </c>
      <c r="DN75" s="247" t="s">
        <v>344</v>
      </c>
      <c r="DO75" s="247">
        <f>IF(U75&lt;&gt;"x","",IF(OR('Flächen u. Kulturen'!B80="",'Flächen u. Kulturen'!C80="",'Flächen u. Kulturen'!D80="",'Flächen u. Kulturen'!D80=0,'Flächen u. Kulturen'!F80="",'Flächen u. Kulturen'!F80='#Boden'!$G$4,'Flächen u. Kulturen'!G80="",'Flächen u. Kulturen'!G80='#Boden'!$B$26,'Flächen u. Kulturen'!H80="",'Flächen u. Kulturen'!H80='#Boden'!$B$23,AND(N75&lt;&gt;2,OR('Flächen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Kulturen'!Q80="",'#BerechnungDBE'!N75&lt;3),AND('Flächen u. Kulturen'!R80="",'#BerechnungDBE'!N75=3),AND(N75=1,AL75&gt;0,'Flächen u. Kulturen'!S80=""),AND(N75=1,OR('Flächen u. Kulturen'!T80="",'Flächen u. Kulturen'!T80='#Boden'!$B$30)),AND('#BerechnungDBE'!AF75=70,OR('Flächen u. Kulturen'!N80="",'Flächen u. Kulturen'!N80='#Boden'!$G$22,'Flächen u. Kulturen'!O80="")),AND('#BerechnungDBE'!AF75=80,OR('Flächen u. Kulturen'!M80="",'Flächen u. Kulturen'!M80='#Boden'!$G$17,'Flächen u. Kulturen'!N80="",'Flächen u. Kulturen'!N80='#Boden'!$G$22))),$DO$4,""))</f>
        <v>1</v>
      </c>
      <c r="DP75" s="247" t="str">
        <f>IF(U75&lt;&gt;"x","",IF(OR(LEFT('Flächen u. Kulturen'!J80,2)=" +",LEFT('Flächen u. Kulturen'!L80,2)=" +",LEFT('Flächen u. Kulturen'!P80,2)=" +"),$DP$4,""))</f>
        <v/>
      </c>
      <c r="DQ75" s="428" t="str">
        <f t="shared" si="58"/>
        <v/>
      </c>
      <c r="DR75" s="938" t="str">
        <f t="shared" si="59"/>
        <v/>
      </c>
      <c r="DS75" s="938" t="str">
        <f>IF('Flächen u. Kulturen'!X80="","",ROW('Flächen u. Kulturen'!X80))</f>
        <v/>
      </c>
    </row>
    <row r="76" spans="1:123" s="875" customFormat="1" x14ac:dyDescent="0.2">
      <c r="A76" s="875" t="str">
        <f>IF('Daten aus 2021'!H78="",'#Boden'!$B$26,IF('Daten aus 2021'!H78='#Boden'!$B$39,IF('Daten aus 2021'!F78='#Boden'!$B$29,'#Boden'!$B$29,IF('Daten aus 2021'!K78='#Boden'!$B$34,'#Boden'!$B$28,'#Boden'!$B$27)),'Daten aus 2021'!F78))</f>
        <v xml:space="preserve"> --</v>
      </c>
      <c r="B76" s="875" t="str">
        <f>IF('Daten aus 2021'!H78='#Boden'!$B$39,IF('Daten aus 2021'!L78='#Boden'!$B$61,'#Boden'!$B$11,'Daten aus 2021'!L78),IF('Daten aus 2021'!P78='#Boden'!$B$58,'#Boden'!$B$11,IF('Daten aus 2021'!P78='#Boden'!$B$57,'#Boden'!$B$10,'#Boden'!$B$9)))</f>
        <v xml:space="preserve"> --         </v>
      </c>
      <c r="C76" s="875" t="str">
        <f>IF('Daten aus 2021'!N78="","",VLOOKUP('Daten aus 2021'!N78,'#Boden'!$B$68:$C$89,2,FALSE))</f>
        <v/>
      </c>
      <c r="D76" s="875" t="str">
        <f>IF('Daten aus 2021'!M78="","",VLOOKUP('Daten aus 2021'!M78,'#Boden'!$D$69:$E$73,2,FALSE))</f>
        <v/>
      </c>
      <c r="E76" s="938" t="str">
        <f>IF(OR(C76='#Boden'!$C$68,C76='#Boden'!$C$70),C76,CONCATENATE(C76,D76))</f>
        <v/>
      </c>
      <c r="F76" s="882" t="str">
        <f>IFERROR(IF('Daten aus 2021'!H78="",'#Frucht'!$D$8,IF('Daten aus 2021'!H78='#Boden'!$B$39,E76,IF('Daten aus 2021'!H78='#Boden'!$B$38,IF(CONCATENATE(" ",'Daten aus 2021'!W78)=$B$2,VLOOKUP($B$3,'#Frucht'!$A$8:$D$372,4,FALSE),VLOOKUP(CONCATENATE(" ",'Daten aus 2021'!W78),'#Frucht'!$A$8:$D$372,4,FALSE)),IF(OR(LEFT('Daten aus 2021'!Q78,5)=" *10 ",LEFT('Daten aus 2021'!Q78,5)=" *11 ",LEFT('Daten aus 2021'!Q78,5)=" *12 ",LEFT('Daten aus 2021'!Q78,5)=" *13 ",LEFT('Daten aus 2021'!Q78,5)=" *14 ",LEFT('Daten aus 2021'!Q78,5)=" *15 "),VLOOKUP(RIGHT('Daten aus 2021'!Q78,LEN('Daten aus 2021'!Q78)-4),'#Frucht'!$A$8:$D$372,4,FALSE),IF(LEFT('Daten aus 2021'!Q78,2)=" *",VLOOKUP(RIGHT('Daten aus 2021'!Q78,LEN('Daten aus 2021'!Q78)-3),'#Frucht'!$A$8:$D$372,4,FALSE),VLOOKUP('Daten aus 2021'!Q78,'#Frucht'!$A$8:$D$372,4,FALSE)))))),'#Frucht'!$D$8)</f>
        <v xml:space="preserve"> --  </v>
      </c>
      <c r="G76" s="127"/>
      <c r="H76" s="31"/>
      <c r="J76" s="938" t="str">
        <f>IF(OR(N76=3,$K$3=0,'Flächen u. Kulturen'!P81=""),"",IF(VLOOKUP('Flächen u. Kulturen'!P81,Kulturen[[HF]:[780]],'#BerechnungDBE'!$K$3,FALSE)=".","",VLOOKUP('Flächen u. Kulturen'!P81,Kulturen[[HF]:[780]],'#BerechnungDBE'!$K$3,FALSE)))</f>
        <v/>
      </c>
      <c r="K76" s="938" t="str">
        <f>IF(OR($K$3=0,'Flächen u. Kulturen'!P81=""),"",IF(N76=3,IF(VLOOKUP('Flächen u. Kulturen'!P81,Kulturen[[HF]:[780]],'#BerechnungDBE'!$K$3,FALSE)=".","",VLOOKUP('Flächen u. Kulturen'!P81,Kulturen[[HF]:[780]],'#BerechnungDBE'!$K$3,FALSE)),""))</f>
        <v/>
      </c>
      <c r="L76" s="367">
        <f>IF('Flächen u. Kulturen'!D81="",0,'Flächen u. Kulturen'!D81)</f>
        <v>0</v>
      </c>
      <c r="M76" s="693">
        <f>IF('Flächen u. Kulturen'!J81="",0,VLOOKUP('Flächen u. Kulturen'!J81,Kulturen[[HF]:[Berechnungsgruppe]],'#Frucht'!$W$1,FALSE))</f>
        <v>1</v>
      </c>
      <c r="N76" s="693">
        <f>IF('Flächen u. Kulturen'!P81="",0,VLOOKUP('Flächen u. Kulturen'!P81,Kulturen[[HF]:[Berechnungsgruppe]],'#Frucht'!$W$1,FALSE))</f>
        <v>1</v>
      </c>
      <c r="O76" s="875">
        <f>IF(N76&lt;&gt;2,N76,IF('Flächen u. Kulturen'!J81='Flächen u. Kulturen'!P81,2,1))</f>
        <v>1</v>
      </c>
      <c r="P76" s="875">
        <f>IF('Flächen u. Kulturen'!F81="",0,VLOOKUP('Flächen u. Kulturen'!F81,'#Boden'!$G$4:$H$8,'#Boden'!$H$1,FALSE))</f>
        <v>1</v>
      </c>
      <c r="Q76" s="875">
        <f>IF('Flächen u. Kulturen'!G81="",0,VLOOKUP('Flächen u. Kulturen'!G81,'#Boden'!$B$26:$C$29,'#Boden'!$C$1,FALSE))</f>
        <v>1</v>
      </c>
      <c r="R76" s="875">
        <f t="shared" si="64"/>
        <v>1</v>
      </c>
      <c r="S76" s="875">
        <f t="shared" si="65"/>
        <v>1</v>
      </c>
      <c r="T76" s="875">
        <f>IF('Flächen u. Kulturen'!H81="",0,VLOOKUP('Flächen u. Kulturen'!H81,'#Boden'!$B$23:$C$25,'#Boden'!$C$1,FALSE))</f>
        <v>2</v>
      </c>
      <c r="U76" s="875" t="str">
        <f>'Flächen u. Kulturen'!E81</f>
        <v>x</v>
      </c>
      <c r="V76" s="938">
        <f>IF('Flächen u. Kulturen'!Q81="",0,_xlfn.NUMBERVALUE('Flächen u. Kulturen'!Q81))</f>
        <v>0</v>
      </c>
      <c r="W76" s="938">
        <f>IF('Flächen u. Kulturen'!R81="",0,_xlfn.NUMBERVALUE('Flächen u. Kulturen'!R81))</f>
        <v>0</v>
      </c>
      <c r="X76" s="875">
        <f>IF('Flächen u. Kulturen'!T81="",0,VLOOKUP('Flächen u. Kulturen'!T81,'#Boden'!$B$30:$C$32,'#Boden'!$C$1,FALSE))</f>
        <v>1</v>
      </c>
      <c r="Y76" s="875">
        <f>IF('Flächen u. Kulturen'!P81="",0,VLOOKUP('Flächen u. Kulturen'!P81,Kulturen[[HF]:[Berechnungsgruppe]],'#Frucht'!$N$1,FALSE))</f>
        <v>0</v>
      </c>
      <c r="Z76" s="875">
        <f t="shared" si="66"/>
        <v>2</v>
      </c>
      <c r="AA76" s="875">
        <f>IF('Flächen u. Kulturen'!P81="",0,VLOOKUP('Flächen u. Kulturen'!P81,Kulturen[[HF]:[Berechnungsgruppe]],'#Frucht'!$V$1,FALSE))</f>
        <v>0</v>
      </c>
      <c r="AB76" s="875">
        <f>IF(N76=1,VLOOKUP('Flächen u. Kulturen'!P81,Kulturen[[HF]:[Ernteprodukt]],'#Frucht'!$I$1,FALSE),4)</f>
        <v>4</v>
      </c>
      <c r="AC76" s="921">
        <f>IF('Flächen u. Kulturen'!J81="",0,VLOOKUP('Flächen u. Kulturen'!J81,Kulturen[[HF]:[Berechnungsgruppe]],'#Frucht'!$G$1,FALSE))</f>
        <v>90</v>
      </c>
      <c r="AD76" s="921">
        <f>IF('Flächen u. Kulturen'!P81="",0,VLOOKUP('Flächen u. Kulturen'!P81,Kulturen[[HF]:[Berechnungsgruppe]],'#Frucht'!$G$1,FALSE))</f>
        <v>90</v>
      </c>
      <c r="AE76" s="938">
        <f>IF('Flächen u. Kulturen'!P81="",0,VLOOKUP('Flächen u. Kulturen'!P81,Kulturen[[HF]:[SollwertMinusNfix]],'#Frucht'!$X$1,FALSE))</f>
        <v>0</v>
      </c>
      <c r="AF76" s="875">
        <f>IF('Flächen u. Kulturen'!L81="",0,VLOOKUP('Flächen u. Kulturen'!L81,Nebenkultur[[Nebenkultur]:[Berechnungsschema]],'#Zweitfr'!$G$1,FALSE))</f>
        <v>0</v>
      </c>
      <c r="AG76" s="875">
        <f>IF('Flächen u. Kulturen'!L81="",0,VLOOKUP('Flächen u. Kulturen'!L81,'#Zweitfr'!$D$8:$Q$27,'#Zweitfr'!$Q$1,FALSE))</f>
        <v>0</v>
      </c>
      <c r="AH76" s="875">
        <f>IF('Flächen u. Kulturen'!M81="",0,VLOOKUP('Flächen u. Kulturen'!M81,'#Boden'!$G$17:$H$21,2,FALSE))</f>
        <v>1</v>
      </c>
      <c r="AI76" s="875">
        <f>IF('Flächen u. Kulturen'!N81="",0,VLOOKUP('Flächen u. Kulturen'!N81,'#Boden'!$G$22:$H$24,'#Boden'!$H$1,FALSE))</f>
        <v>1</v>
      </c>
      <c r="AJ76" s="938">
        <f>IF('Flächen u. Kulturen'!O81="",0,_xlfn.NUMBERVALUE('Flächen u. Kulturen'!O81))</f>
        <v>0</v>
      </c>
      <c r="AK76" s="938">
        <f>IF('Flächen u. Kulturen'!L81="",0,VLOOKUP('Flächen u. Kulturen'!L81,Nebenkultur[[Nebenkultur]:[Legum. Zwischenfr.]],'#Zweitfr'!$P$1,FALSE))</f>
        <v>0</v>
      </c>
      <c r="AL76" s="875">
        <f>IF('Flächen u. Kulturen'!P81="",0,VLOOKUP('Flächen u. Kulturen'!P81,Kulturen[[HF]:[Berechnungsgruppe]],'#Frucht'!$Q$1,FALSE))</f>
        <v>0</v>
      </c>
      <c r="AM76" s="875">
        <f>IF('Flächen u. Kulturen'!P81="",0,VLOOKUP('Flächen u. Kulturen'!P81,Kulturen[[HF]:[Berechnungsgruppe]],'#Frucht'!$M$1,FALSE))</f>
        <v>0</v>
      </c>
      <c r="AN76" s="875">
        <f>IF('Flächen u. Kulturen'!P81="",1,VLOOKUP('Flächen u. Kulturen'!P81,Kulturen[[HF]:[Berechnungsgruppe]],'#Frucht'!$R$1,FALSE))</f>
        <v>10</v>
      </c>
      <c r="AO76" s="875">
        <f>IF('Flächen u. Kulturen'!P81="",0,VLOOKUP('Flächen u. Kulturen'!P81,Kulturen[[HF]:[Berechnungsgruppe]],'#Frucht'!$S$1,FALSE))</f>
        <v>0</v>
      </c>
      <c r="AP76" s="875">
        <f>IF('Flächen u. Kulturen'!P81="",0,VLOOKUP('Flächen u. Kulturen'!P81,Kulturen[[HF]:[Berechnungsgruppe]],'#Frucht'!$T$1,FALSE))</f>
        <v>0</v>
      </c>
      <c r="AQ76" s="938">
        <f t="shared" si="46"/>
        <v>0</v>
      </c>
      <c r="AR76" s="875">
        <f t="shared" si="47"/>
        <v>0</v>
      </c>
      <c r="AS76" s="938">
        <f t="shared" si="48"/>
        <v>0</v>
      </c>
      <c r="AT76" s="875">
        <f>IF(N76=1,'Flächen u. Kulturen'!S81*-1,"--")</f>
        <v>0</v>
      </c>
      <c r="AU76" s="938">
        <f>IF(OR(N76=2,'Flächen u. Kulturen'!I81=""),"--",IF(N76=3,VLOOKUP('Flächen u. Kulturen'!I81,'#Boden'!$B$9:$E$15,'#Boden'!$D$1,FALSE),VLOOKUP('Flächen u. Kulturen'!I81,'#Boden'!$B$9:$E$15,'#Boden'!$E$1,FALSE)))</f>
        <v>0</v>
      </c>
      <c r="AV76" s="938">
        <f>IF(N76=1,IF('Flächen u. Kulturen'!J81="",0,VLOOKUP('Flächen u. Kulturen'!J81,Kulturen[[HF]:[Berechnungsgruppe]],'#Frucht'!$U$1,FALSE)*-1),"--")</f>
        <v>0</v>
      </c>
      <c r="AW76" s="875">
        <f t="shared" si="49"/>
        <v>0</v>
      </c>
      <c r="AX76" s="875">
        <f>IF('Flächen u. Kulturen'!K81="",0,'Flächen u. Kulturen'!K81*-0.1)</f>
        <v>0</v>
      </c>
      <c r="AY76" s="875">
        <f>IF(N76&lt;3,'#orgDung'!AC85*0.1*-1,"--")</f>
        <v>0</v>
      </c>
      <c r="AZ76" s="31" t="str">
        <f>IF(AND('#orgDung'!J85&lt;&gt;2,'#orgDung'!F85=1),('#orgDung'!V85+'#minDung'!O82)*-1,"--")</f>
        <v>--</v>
      </c>
      <c r="BA76" s="875">
        <f t="shared" si="67"/>
        <v>0</v>
      </c>
      <c r="BB76" s="938">
        <f>IF(R76=2,0,'Flächen u. Kulturen'!V81*-1)</f>
        <v>0</v>
      </c>
      <c r="BC76" s="875">
        <f t="shared" si="68"/>
        <v>0</v>
      </c>
      <c r="BD76" s="127">
        <f>'#orgDung'!W85*-1</f>
        <v>0</v>
      </c>
      <c r="BE76" s="910">
        <f>'#orgDung'!AA85*-1</f>
        <v>0</v>
      </c>
      <c r="BF76" s="875">
        <f>'#orgDung'!Z85*-1</f>
        <v>0</v>
      </c>
      <c r="BG76" s="938">
        <f t="shared" si="60"/>
        <v>0</v>
      </c>
      <c r="BH76" s="875">
        <f>'#Kürzungen'!AS100*-1</f>
        <v>0</v>
      </c>
      <c r="BI76" s="875">
        <f t="shared" si="50"/>
        <v>0</v>
      </c>
      <c r="BJ76" s="910">
        <f t="shared" si="51"/>
        <v>0</v>
      </c>
      <c r="BK76" s="875">
        <f>'#minDung'!P82</f>
        <v>0</v>
      </c>
      <c r="BL76" s="938">
        <f t="shared" si="61"/>
        <v>0</v>
      </c>
      <c r="BM76" s="938">
        <f t="shared" si="52"/>
        <v>0</v>
      </c>
      <c r="BN76" s="875">
        <f>IF('Flächen u. Kulturen'!P81="",0,VLOOKUP('Flächen u. Kulturen'!P81,Kulturen[[HF]:[Berechnungsgruppe]],'#Frucht'!$K$1,FALSE))</f>
        <v>0</v>
      </c>
      <c r="BO76" s="875">
        <f>IF('Flächen u. Kulturen'!P81="",0,VLOOKUP('Flächen u. Kulturen'!P81,Kulturen[[HF]:[Berechnungsgruppe]],'#Frucht'!$L$1,FALSE))</f>
        <v>0</v>
      </c>
      <c r="BP76" s="875">
        <f>IF('Flächen u. Kulturen'!L81="",0,VLOOKUP('Flächen u. Kulturen'!L81,Nebenkultur[[Nebenkultur]:[Legum. Zwischenfr.]],'#Zweitfr'!$H$1,FALSE))</f>
        <v>0</v>
      </c>
      <c r="BQ76" s="938">
        <f>IF(N76=3,W76*BO76,IF('Flächen u. Kulturen'!T81='#Boden'!$B$32,V76*BN76,V76*BO76))</f>
        <v>0</v>
      </c>
      <c r="BR76" s="938">
        <f t="shared" si="53"/>
        <v>0</v>
      </c>
      <c r="BS76" s="875">
        <f t="shared" si="69"/>
        <v>0</v>
      </c>
      <c r="BT76" s="875">
        <f>IF('Flächen u. Kulturen'!F81="",0,IF(N76=3,VLOOKUP('Flächen u. Kulturen'!F81,'#Boden'!$G$4:$J$8,'#Boden'!$J$1,FALSE),VLOOKUP('Flächen u. Kulturen'!F81,'#Boden'!$G$4:$J$8,'#Boden'!$I$1,FALSE)))</f>
        <v>0</v>
      </c>
      <c r="BU76" s="41">
        <f t="shared" si="70"/>
        <v>0</v>
      </c>
      <c r="BV76" s="875">
        <f t="shared" si="71"/>
        <v>0</v>
      </c>
      <c r="BW76" s="938" t="str">
        <f t="shared" si="62"/>
        <v/>
      </c>
      <c r="BX76" s="875">
        <f>'#orgDung'!T85*-1</f>
        <v>0</v>
      </c>
      <c r="BY76" s="875">
        <f t="shared" si="54"/>
        <v>0</v>
      </c>
      <c r="BZ76" s="938" t="str">
        <f>IF(U76&lt;&gt;"x",0,IF(P76&lt;4,"",(BW76+BX76-'#minDung'!N82)*-1))</f>
        <v/>
      </c>
      <c r="CB76" s="938">
        <f>IF(AND(AF76=70,U76="x"),'Flächen u. Kulturen'!A81,1000)</f>
        <v>1000</v>
      </c>
      <c r="CC76" s="875" t="str">
        <f>IF(AF76=70,VLOOKUP('Flächen u. Kulturen'!L81,Nebenkultur[[Nebenkultur]:[Legum. Zwischenfr.]],'#Zweitfr'!$I$1,FALSE),"--")</f>
        <v>--</v>
      </c>
      <c r="CD76" s="875" t="str">
        <f>IF(AF76=70,VLOOKUP('Flächen u. Kulturen'!L81,Nebenkultur[[Nebenkultur]:[Legum. Zwischenfr.]],'#Zweitfr'!$L$1,FALSE),"--")</f>
        <v>--</v>
      </c>
      <c r="CE76" s="875" t="str">
        <f>IF(AF76=70,VLOOKUP('Flächen u. Kulturen'!L81,Nebenkultur[[Nebenkultur]:[Legum. Zwischenfr.]],'#Zweitfr'!$M$1,FALSE),"--")</f>
        <v>--</v>
      </c>
      <c r="CF76" s="875" t="str">
        <f>IF(AF76=70,VLOOKUP('Flächen u. Kulturen'!L81,Nebenkultur[[Nebenkultur]:[Legum. Zwischenfr.]],'#Zweitfr'!$N$1,FALSE),"--")</f>
        <v>--</v>
      </c>
      <c r="CG76" s="875" t="str">
        <f>IF(AF76=70,VLOOKUP('Flächen u. Kulturen'!L81,Nebenkultur[[Nebenkultur]:[Legum. Zwischenfr.]],'#Zweitfr'!$O$1,FALSE),"--")</f>
        <v>--</v>
      </c>
      <c r="CH76" s="875" t="str">
        <f t="shared" si="55"/>
        <v>--</v>
      </c>
      <c r="CI76" s="938">
        <f>IF('Flächen u. Kulturen'!L81="",0,VLOOKUP('Flächen u. Kulturen'!L81,Nebenkultur[[Nebenkultur]:[Legum. Zwischenfr.]],'#Zweitfr'!$J$1,FALSE))</f>
        <v>0</v>
      </c>
      <c r="CJ76" s="875">
        <f t="shared" si="56"/>
        <v>0</v>
      </c>
      <c r="CK76" s="890">
        <f t="shared" si="57"/>
        <v>0</v>
      </c>
      <c r="CL76" s="938">
        <f>IF(AND(R76=1,AF76=70),'Flächen u. Kulturen'!W81*-1,0)</f>
        <v>0</v>
      </c>
      <c r="CM76" s="875">
        <f>'#orgDung'!AE85*-1</f>
        <v>0</v>
      </c>
      <c r="CN76" s="875">
        <f t="shared" si="72"/>
        <v>0</v>
      </c>
      <c r="CO76" s="875">
        <f t="shared" si="73"/>
        <v>0</v>
      </c>
      <c r="CP76" s="875">
        <f>'#Kürzungen'!AS201*-1</f>
        <v>0</v>
      </c>
      <c r="CQ76" s="875">
        <f t="shared" si="74"/>
        <v>0</v>
      </c>
      <c r="CR76" s="875">
        <f t="shared" si="75"/>
        <v>0</v>
      </c>
      <c r="CS76" s="875">
        <f>'#minDung'!R82</f>
        <v>0</v>
      </c>
      <c r="CT76" s="938">
        <f t="shared" si="63"/>
        <v>0</v>
      </c>
      <c r="CU76" s="52" t="str">
        <f>'#Kürzungen'!AQ201</f>
        <v xml:space="preserve"> </v>
      </c>
      <c r="CW76" s="247">
        <f>IF('Flächen u. Kulturen'!D81="",0,IF(ISNUMBER('Flächen u. Kulturen'!D81)=TRUE,2,1))</f>
        <v>0</v>
      </c>
      <c r="CX76" s="247">
        <f>IF('Flächen u. Kulturen'!E81="",0,COUNTIF('#Boden'!$B$47,'Flächen u. Kulturen'!E81)+1)</f>
        <v>2</v>
      </c>
      <c r="CY76" s="247">
        <f>IF('Flächen u. Kulturen'!F81="",0,COUNTIF('#Boden'!$G$4:$G$8,'Flächen u. Kulturen'!F81)+1)</f>
        <v>2</v>
      </c>
      <c r="CZ76" s="247">
        <f>IF('Flächen u. Kulturen'!G81="",0,COUNTIF('#Boden'!$B$26:$B$29,'Flächen u. Kulturen'!G81)+1)</f>
        <v>2</v>
      </c>
      <c r="DA76" s="247">
        <f>IF('Flächen u. Kulturen'!H81="",0,COUNTIF('#Boden'!$B$26:$B$29,'Flächen u. Kulturen'!H81)+1)</f>
        <v>2</v>
      </c>
      <c r="DB76" s="247">
        <f>IF('Flächen u. Kulturen'!I81="",0,COUNTIF('#Boden'!$B$9:$B$15,'Flächen u. Kulturen'!I81)+1)</f>
        <v>2</v>
      </c>
      <c r="DC76" s="247">
        <f>IF('Flächen u. Kulturen'!J81="",0,COUNTIF(Kulturen[HF],'Flächen u. Kulturen'!J81)+1)</f>
        <v>2</v>
      </c>
      <c r="DD76" s="247">
        <f>IF('Flächen u. Kulturen'!L81="",0,COUNTIF(Nebenkultur[Nebenkultur],'Flächen u. Kulturen'!L81)+1)</f>
        <v>2</v>
      </c>
      <c r="DE76" s="247">
        <f>IF('Flächen u. Kulturen'!M81="",0,COUNTIF('#Boden'!$G$17:$G$21,'Flächen u. Kulturen'!M81)+1)</f>
        <v>2</v>
      </c>
      <c r="DF76" s="247">
        <f>IF('Flächen u. Kulturen'!N81="",0,COUNTIF('#Boden'!$G$22:$G$24,'Flächen u. Kulturen'!N81)+1)</f>
        <v>2</v>
      </c>
      <c r="DG76" s="247">
        <f>IF('Flächen u. Kulturen'!P81="",0,COUNTIF(Kulturen[HF],'Flächen u. Kulturen'!P81)+1)</f>
        <v>2</v>
      </c>
      <c r="DH76" s="247">
        <f>IF('Flächen u. Kulturen'!T81="",0,COUNTIF('#Boden'!$B$30:$B$32,'Flächen u. Kulturen'!T81)+1)</f>
        <v>2</v>
      </c>
      <c r="DI76" s="247">
        <f>IF('Flächen u. Kulturen'!K81="",0,IF(ISNUMBER('Flächen u. Kulturen'!K81)=TRUE,2,1))</f>
        <v>0</v>
      </c>
      <c r="DJ76" s="247">
        <f>IF('Flächen u. Kulturen'!U81="",0,IF(ISNUMBER('Flächen u. Kulturen'!U81)=TRUE,2,1))</f>
        <v>0</v>
      </c>
      <c r="DK76" s="247">
        <f>IF('Flächen u. Kulturen'!V81="",0,IF(ISNUMBER('Flächen u. Kulturen'!V81)=TRUE,2,1))</f>
        <v>0</v>
      </c>
      <c r="DL76" s="247">
        <f>IF('Flächen u. Kulturen'!W81="",0,IF(ISNUMBER('Flächen u. Kulturen'!W81)=TRUE,2,1))</f>
        <v>0</v>
      </c>
      <c r="DM76" s="247">
        <f t="shared" si="76"/>
        <v>0</v>
      </c>
      <c r="DN76" s="247" t="s">
        <v>344</v>
      </c>
      <c r="DO76" s="247">
        <f>IF(U76&lt;&gt;"x","",IF(OR('Flächen u. Kulturen'!B81="",'Flächen u. Kulturen'!C81="",'Flächen u. Kulturen'!D81="",'Flächen u. Kulturen'!D81=0,'Flächen u. Kulturen'!F81="",'Flächen u. Kulturen'!F81='#Boden'!$G$4,'Flächen u. Kulturen'!G81="",'Flächen u. Kulturen'!G81='#Boden'!$B$26,'Flächen u. Kulturen'!H81="",'Flächen u. Kulturen'!H81='#Boden'!$B$23,AND(N76&lt;&gt;2,OR('Flächen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Kulturen'!Q81="",'#BerechnungDBE'!N76&lt;3),AND('Flächen u. Kulturen'!R81="",'#BerechnungDBE'!N76=3),AND(N76=1,AL76&gt;0,'Flächen u. Kulturen'!S81=""),AND(N76=1,OR('Flächen u. Kulturen'!T81="",'Flächen u. Kulturen'!T81='#Boden'!$B$30)),AND('#BerechnungDBE'!AF76=70,OR('Flächen u. Kulturen'!N81="",'Flächen u. Kulturen'!N81='#Boden'!$G$22,'Flächen u. Kulturen'!O81="")),AND('#BerechnungDBE'!AF76=80,OR('Flächen u. Kulturen'!M81="",'Flächen u. Kulturen'!M81='#Boden'!$G$17,'Flächen u. Kulturen'!N81="",'Flächen u. Kulturen'!N81='#Boden'!$G$22))),$DO$4,""))</f>
        <v>1</v>
      </c>
      <c r="DP76" s="247" t="str">
        <f>IF(U76&lt;&gt;"x","",IF(OR(LEFT('Flächen u. Kulturen'!J81,2)=" +",LEFT('Flächen u. Kulturen'!L81,2)=" +",LEFT('Flächen u. Kulturen'!P81,2)=" +"),$DP$4,""))</f>
        <v/>
      </c>
      <c r="DQ76" s="428" t="str">
        <f t="shared" si="58"/>
        <v/>
      </c>
      <c r="DR76" s="938" t="str">
        <f t="shared" si="59"/>
        <v/>
      </c>
      <c r="DS76" s="938" t="str">
        <f>IF('Flächen u. Kulturen'!X81="","",ROW('Flächen u. Kulturen'!X81))</f>
        <v/>
      </c>
    </row>
    <row r="77" spans="1:123" s="875" customFormat="1" x14ac:dyDescent="0.2">
      <c r="A77" s="875" t="str">
        <f>IF('Daten aus 2021'!H79="",'#Boden'!$B$26,IF('Daten aus 2021'!H79='#Boden'!$B$39,IF('Daten aus 2021'!F79='#Boden'!$B$29,'#Boden'!$B$29,IF('Daten aus 2021'!K79='#Boden'!$B$34,'#Boden'!$B$28,'#Boden'!$B$27)),'Daten aus 2021'!F79))</f>
        <v xml:space="preserve"> --</v>
      </c>
      <c r="B77" s="875" t="str">
        <f>IF('Daten aus 2021'!H79='#Boden'!$B$39,IF('Daten aus 2021'!L79='#Boden'!$B$61,'#Boden'!$B$11,'Daten aus 2021'!L79),IF('Daten aus 2021'!P79='#Boden'!$B$58,'#Boden'!$B$11,IF('Daten aus 2021'!P79='#Boden'!$B$57,'#Boden'!$B$10,'#Boden'!$B$9)))</f>
        <v xml:space="preserve"> --         </v>
      </c>
      <c r="C77" s="875" t="str">
        <f>IF('Daten aus 2021'!N79="","",VLOOKUP('Daten aus 2021'!N79,'#Boden'!$B$68:$C$89,2,FALSE))</f>
        <v/>
      </c>
      <c r="D77" s="875" t="str">
        <f>IF('Daten aus 2021'!M79="","",VLOOKUP('Daten aus 2021'!M79,'#Boden'!$D$69:$E$73,2,FALSE))</f>
        <v/>
      </c>
      <c r="E77" s="938" t="str">
        <f>IF(OR(C77='#Boden'!$C$68,C77='#Boden'!$C$70),C77,CONCATENATE(C77,D77))</f>
        <v/>
      </c>
      <c r="F77" s="882" t="str">
        <f>IFERROR(IF('Daten aus 2021'!H79="",'#Frucht'!$D$8,IF('Daten aus 2021'!H79='#Boden'!$B$39,E77,IF('Daten aus 2021'!H79='#Boden'!$B$38,IF(CONCATENATE(" ",'Daten aus 2021'!W79)=$B$2,VLOOKUP($B$3,'#Frucht'!$A$8:$D$372,4,FALSE),VLOOKUP(CONCATENATE(" ",'Daten aus 2021'!W79),'#Frucht'!$A$8:$D$372,4,FALSE)),IF(OR(LEFT('Daten aus 2021'!Q79,5)=" *10 ",LEFT('Daten aus 2021'!Q79,5)=" *11 ",LEFT('Daten aus 2021'!Q79,5)=" *12 ",LEFT('Daten aus 2021'!Q79,5)=" *13 ",LEFT('Daten aus 2021'!Q79,5)=" *14 ",LEFT('Daten aus 2021'!Q79,5)=" *15 "),VLOOKUP(RIGHT('Daten aus 2021'!Q79,LEN('Daten aus 2021'!Q79)-4),'#Frucht'!$A$8:$D$372,4,FALSE),IF(LEFT('Daten aus 2021'!Q79,2)=" *",VLOOKUP(RIGHT('Daten aus 2021'!Q79,LEN('Daten aus 2021'!Q79)-3),'#Frucht'!$A$8:$D$372,4,FALSE),VLOOKUP('Daten aus 2021'!Q79,'#Frucht'!$A$8:$D$372,4,FALSE)))))),'#Frucht'!$D$8)</f>
        <v xml:space="preserve"> --  </v>
      </c>
      <c r="G77" s="127"/>
      <c r="H77" s="31"/>
      <c r="J77" s="938" t="str">
        <f>IF(OR(N77=3,$K$3=0,'Flächen u. Kulturen'!P82=""),"",IF(VLOOKUP('Flächen u. Kulturen'!P82,Kulturen[[HF]:[780]],'#BerechnungDBE'!$K$3,FALSE)=".","",VLOOKUP('Flächen u. Kulturen'!P82,Kulturen[[HF]:[780]],'#BerechnungDBE'!$K$3,FALSE)))</f>
        <v/>
      </c>
      <c r="K77" s="938" t="str">
        <f>IF(OR($K$3=0,'Flächen u. Kulturen'!P82=""),"",IF(N77=3,IF(VLOOKUP('Flächen u. Kulturen'!P82,Kulturen[[HF]:[780]],'#BerechnungDBE'!$K$3,FALSE)=".","",VLOOKUP('Flächen u. Kulturen'!P82,Kulturen[[HF]:[780]],'#BerechnungDBE'!$K$3,FALSE)),""))</f>
        <v/>
      </c>
      <c r="L77" s="367">
        <f>IF('Flächen u. Kulturen'!D82="",0,'Flächen u. Kulturen'!D82)</f>
        <v>0</v>
      </c>
      <c r="M77" s="693">
        <f>IF('Flächen u. Kulturen'!J82="",0,VLOOKUP('Flächen u. Kulturen'!J82,Kulturen[[HF]:[Berechnungsgruppe]],'#Frucht'!$W$1,FALSE))</f>
        <v>1</v>
      </c>
      <c r="N77" s="693">
        <f>IF('Flächen u. Kulturen'!P82="",0,VLOOKUP('Flächen u. Kulturen'!P82,Kulturen[[HF]:[Berechnungsgruppe]],'#Frucht'!$W$1,FALSE))</f>
        <v>1</v>
      </c>
      <c r="O77" s="875">
        <f>IF(N77&lt;&gt;2,N77,IF('Flächen u. Kulturen'!J82='Flächen u. Kulturen'!P82,2,1))</f>
        <v>1</v>
      </c>
      <c r="P77" s="875">
        <f>IF('Flächen u. Kulturen'!F82="",0,VLOOKUP('Flächen u. Kulturen'!F82,'#Boden'!$G$4:$H$8,'#Boden'!$H$1,FALSE))</f>
        <v>1</v>
      </c>
      <c r="Q77" s="875">
        <f>IF('Flächen u. Kulturen'!G82="",0,VLOOKUP('Flächen u. Kulturen'!G82,'#Boden'!$B$26:$C$29,'#Boden'!$C$1,FALSE))</f>
        <v>1</v>
      </c>
      <c r="R77" s="875">
        <f t="shared" si="64"/>
        <v>1</v>
      </c>
      <c r="S77" s="875">
        <f t="shared" si="65"/>
        <v>1</v>
      </c>
      <c r="T77" s="875">
        <f>IF('Flächen u. Kulturen'!H82="",0,VLOOKUP('Flächen u. Kulturen'!H82,'#Boden'!$B$23:$C$25,'#Boden'!$C$1,FALSE))</f>
        <v>2</v>
      </c>
      <c r="U77" s="875" t="str">
        <f>'Flächen u. Kulturen'!E82</f>
        <v>x</v>
      </c>
      <c r="V77" s="938">
        <f>IF('Flächen u. Kulturen'!Q82="",0,_xlfn.NUMBERVALUE('Flächen u. Kulturen'!Q82))</f>
        <v>0</v>
      </c>
      <c r="W77" s="938">
        <f>IF('Flächen u. Kulturen'!R82="",0,_xlfn.NUMBERVALUE('Flächen u. Kulturen'!R82))</f>
        <v>0</v>
      </c>
      <c r="X77" s="875">
        <f>IF('Flächen u. Kulturen'!T82="",0,VLOOKUP('Flächen u. Kulturen'!T82,'#Boden'!$B$30:$C$32,'#Boden'!$C$1,FALSE))</f>
        <v>1</v>
      </c>
      <c r="Y77" s="875">
        <f>IF('Flächen u. Kulturen'!P82="",0,VLOOKUP('Flächen u. Kulturen'!P82,Kulturen[[HF]:[Berechnungsgruppe]],'#Frucht'!$N$1,FALSE))</f>
        <v>0</v>
      </c>
      <c r="Z77" s="875">
        <f t="shared" si="66"/>
        <v>2</v>
      </c>
      <c r="AA77" s="875">
        <f>IF('Flächen u. Kulturen'!P82="",0,VLOOKUP('Flächen u. Kulturen'!P82,Kulturen[[HF]:[Berechnungsgruppe]],'#Frucht'!$V$1,FALSE))</f>
        <v>0</v>
      </c>
      <c r="AB77" s="875">
        <f>IF(N77=1,VLOOKUP('Flächen u. Kulturen'!P82,Kulturen[[HF]:[Ernteprodukt]],'#Frucht'!$I$1,FALSE),4)</f>
        <v>4</v>
      </c>
      <c r="AC77" s="921">
        <f>IF('Flächen u. Kulturen'!J82="",0,VLOOKUP('Flächen u. Kulturen'!J82,Kulturen[[HF]:[Berechnungsgruppe]],'#Frucht'!$G$1,FALSE))</f>
        <v>90</v>
      </c>
      <c r="AD77" s="921">
        <f>IF('Flächen u. Kulturen'!P82="",0,VLOOKUP('Flächen u. Kulturen'!P82,Kulturen[[HF]:[Berechnungsgruppe]],'#Frucht'!$G$1,FALSE))</f>
        <v>90</v>
      </c>
      <c r="AE77" s="938">
        <f>IF('Flächen u. Kulturen'!P82="",0,VLOOKUP('Flächen u. Kulturen'!P82,Kulturen[[HF]:[SollwertMinusNfix]],'#Frucht'!$X$1,FALSE))</f>
        <v>0</v>
      </c>
      <c r="AF77" s="875">
        <f>IF('Flächen u. Kulturen'!L82="",0,VLOOKUP('Flächen u. Kulturen'!L82,Nebenkultur[[Nebenkultur]:[Berechnungsschema]],'#Zweitfr'!$G$1,FALSE))</f>
        <v>0</v>
      </c>
      <c r="AG77" s="875">
        <f>IF('Flächen u. Kulturen'!L82="",0,VLOOKUP('Flächen u. Kulturen'!L82,'#Zweitfr'!$D$8:$Q$27,'#Zweitfr'!$Q$1,FALSE))</f>
        <v>0</v>
      </c>
      <c r="AH77" s="875">
        <f>IF('Flächen u. Kulturen'!M82="",0,VLOOKUP('Flächen u. Kulturen'!M82,'#Boden'!$G$17:$H$21,2,FALSE))</f>
        <v>1</v>
      </c>
      <c r="AI77" s="875">
        <f>IF('Flächen u. Kulturen'!N82="",0,VLOOKUP('Flächen u. Kulturen'!N82,'#Boden'!$G$22:$H$24,'#Boden'!$H$1,FALSE))</f>
        <v>1</v>
      </c>
      <c r="AJ77" s="938">
        <f>IF('Flächen u. Kulturen'!O82="",0,_xlfn.NUMBERVALUE('Flächen u. Kulturen'!O82))</f>
        <v>0</v>
      </c>
      <c r="AK77" s="938">
        <f>IF('Flächen u. Kulturen'!L82="",0,VLOOKUP('Flächen u. Kulturen'!L82,Nebenkultur[[Nebenkultur]:[Legum. Zwischenfr.]],'#Zweitfr'!$P$1,FALSE))</f>
        <v>0</v>
      </c>
      <c r="AL77" s="875">
        <f>IF('Flächen u. Kulturen'!P82="",0,VLOOKUP('Flächen u. Kulturen'!P82,Kulturen[[HF]:[Berechnungsgruppe]],'#Frucht'!$Q$1,FALSE))</f>
        <v>0</v>
      </c>
      <c r="AM77" s="875">
        <f>IF('Flächen u. Kulturen'!P82="",0,VLOOKUP('Flächen u. Kulturen'!P82,Kulturen[[HF]:[Berechnungsgruppe]],'#Frucht'!$M$1,FALSE))</f>
        <v>0</v>
      </c>
      <c r="AN77" s="875">
        <f>IF('Flächen u. Kulturen'!P82="",1,VLOOKUP('Flächen u. Kulturen'!P82,Kulturen[[HF]:[Berechnungsgruppe]],'#Frucht'!$R$1,FALSE))</f>
        <v>10</v>
      </c>
      <c r="AO77" s="875">
        <f>IF('Flächen u. Kulturen'!P82="",0,VLOOKUP('Flächen u. Kulturen'!P82,Kulturen[[HF]:[Berechnungsgruppe]],'#Frucht'!$S$1,FALSE))</f>
        <v>0</v>
      </c>
      <c r="AP77" s="875">
        <f>IF('Flächen u. Kulturen'!P82="",0,VLOOKUP('Flächen u. Kulturen'!P82,Kulturen[[HF]:[Berechnungsgruppe]],'#Frucht'!$T$1,FALSE))</f>
        <v>0</v>
      </c>
      <c r="AQ77" s="938">
        <f t="shared" si="46"/>
        <v>0</v>
      </c>
      <c r="AR77" s="875">
        <f t="shared" si="47"/>
        <v>0</v>
      </c>
      <c r="AS77" s="938">
        <f t="shared" si="48"/>
        <v>0</v>
      </c>
      <c r="AT77" s="875">
        <f>IF(N77=1,'Flächen u. Kulturen'!S82*-1,"--")</f>
        <v>0</v>
      </c>
      <c r="AU77" s="938">
        <f>IF(OR(N77=2,'Flächen u. Kulturen'!I82=""),"--",IF(N77=3,VLOOKUP('Flächen u. Kulturen'!I82,'#Boden'!$B$9:$E$15,'#Boden'!$D$1,FALSE),VLOOKUP('Flächen u. Kulturen'!I82,'#Boden'!$B$9:$E$15,'#Boden'!$E$1,FALSE)))</f>
        <v>0</v>
      </c>
      <c r="AV77" s="938">
        <f>IF(N77=1,IF('Flächen u. Kulturen'!J82="",0,VLOOKUP('Flächen u. Kulturen'!J82,Kulturen[[HF]:[Berechnungsgruppe]],'#Frucht'!$U$1,FALSE)*-1),"--")</f>
        <v>0</v>
      </c>
      <c r="AW77" s="875">
        <f t="shared" si="49"/>
        <v>0</v>
      </c>
      <c r="AX77" s="875">
        <f>IF('Flächen u. Kulturen'!K82="",0,'Flächen u. Kulturen'!K82*-0.1)</f>
        <v>0</v>
      </c>
      <c r="AY77" s="875">
        <f>IF(N77&lt;3,'#orgDung'!AC86*0.1*-1,"--")</f>
        <v>0</v>
      </c>
      <c r="AZ77" s="31" t="str">
        <f>IF(AND('#orgDung'!J86&lt;&gt;2,'#orgDung'!F86=1),('#orgDung'!V86+'#minDung'!O83)*-1,"--")</f>
        <v>--</v>
      </c>
      <c r="BA77" s="875">
        <f t="shared" si="67"/>
        <v>0</v>
      </c>
      <c r="BB77" s="938">
        <f>IF(R77=2,0,'Flächen u. Kulturen'!V82*-1)</f>
        <v>0</v>
      </c>
      <c r="BC77" s="875">
        <f t="shared" si="68"/>
        <v>0</v>
      </c>
      <c r="BD77" s="127">
        <f>'#orgDung'!W86*-1</f>
        <v>0</v>
      </c>
      <c r="BE77" s="910">
        <f>'#orgDung'!AA86*-1</f>
        <v>0</v>
      </c>
      <c r="BF77" s="875">
        <f>'#orgDung'!Z86*-1</f>
        <v>0</v>
      </c>
      <c r="BG77" s="938">
        <f t="shared" si="60"/>
        <v>0</v>
      </c>
      <c r="BH77" s="875">
        <f>'#Kürzungen'!AS101*-1</f>
        <v>0</v>
      </c>
      <c r="BI77" s="875">
        <f t="shared" si="50"/>
        <v>0</v>
      </c>
      <c r="BJ77" s="910">
        <f t="shared" si="51"/>
        <v>0</v>
      </c>
      <c r="BK77" s="875">
        <f>'#minDung'!P83</f>
        <v>0</v>
      </c>
      <c r="BL77" s="938">
        <f t="shared" si="61"/>
        <v>0</v>
      </c>
      <c r="BM77" s="938">
        <f t="shared" si="52"/>
        <v>0</v>
      </c>
      <c r="BN77" s="875">
        <f>IF('Flächen u. Kulturen'!P82="",0,VLOOKUP('Flächen u. Kulturen'!P82,Kulturen[[HF]:[Berechnungsgruppe]],'#Frucht'!$K$1,FALSE))</f>
        <v>0</v>
      </c>
      <c r="BO77" s="875">
        <f>IF('Flächen u. Kulturen'!P82="",0,VLOOKUP('Flächen u. Kulturen'!P82,Kulturen[[HF]:[Berechnungsgruppe]],'#Frucht'!$L$1,FALSE))</f>
        <v>0</v>
      </c>
      <c r="BP77" s="875">
        <f>IF('Flächen u. Kulturen'!L82="",0,VLOOKUP('Flächen u. Kulturen'!L82,Nebenkultur[[Nebenkultur]:[Legum. Zwischenfr.]],'#Zweitfr'!$H$1,FALSE))</f>
        <v>0</v>
      </c>
      <c r="BQ77" s="938">
        <f>IF(N77=3,W77*BO77,IF('Flächen u. Kulturen'!T82='#Boden'!$B$32,V77*BN77,V77*BO77))</f>
        <v>0</v>
      </c>
      <c r="BR77" s="938">
        <f t="shared" si="53"/>
        <v>0</v>
      </c>
      <c r="BS77" s="875">
        <f t="shared" si="69"/>
        <v>0</v>
      </c>
      <c r="BT77" s="875">
        <f>IF('Flächen u. Kulturen'!F82="",0,IF(N77=3,VLOOKUP('Flächen u. Kulturen'!F82,'#Boden'!$G$4:$J$8,'#Boden'!$J$1,FALSE),VLOOKUP('Flächen u. Kulturen'!F82,'#Boden'!$G$4:$J$8,'#Boden'!$I$1,FALSE)))</f>
        <v>0</v>
      </c>
      <c r="BU77" s="41">
        <f t="shared" si="70"/>
        <v>0</v>
      </c>
      <c r="BV77" s="875">
        <f t="shared" si="71"/>
        <v>0</v>
      </c>
      <c r="BW77" s="938" t="str">
        <f t="shared" si="62"/>
        <v/>
      </c>
      <c r="BX77" s="875">
        <f>'#orgDung'!T86*-1</f>
        <v>0</v>
      </c>
      <c r="BY77" s="875">
        <f t="shared" si="54"/>
        <v>0</v>
      </c>
      <c r="BZ77" s="938" t="str">
        <f>IF(U77&lt;&gt;"x",0,IF(P77&lt;4,"",(BW77+BX77-'#minDung'!N83)*-1))</f>
        <v/>
      </c>
      <c r="CB77" s="938">
        <f>IF(AND(AF77=70,U77="x"),'Flächen u. Kulturen'!A82,1000)</f>
        <v>1000</v>
      </c>
      <c r="CC77" s="875" t="str">
        <f>IF(AF77=70,VLOOKUP('Flächen u. Kulturen'!L82,Nebenkultur[[Nebenkultur]:[Legum. Zwischenfr.]],'#Zweitfr'!$I$1,FALSE),"--")</f>
        <v>--</v>
      </c>
      <c r="CD77" s="875" t="str">
        <f>IF(AF77=70,VLOOKUP('Flächen u. Kulturen'!L82,Nebenkultur[[Nebenkultur]:[Legum. Zwischenfr.]],'#Zweitfr'!$L$1,FALSE),"--")</f>
        <v>--</v>
      </c>
      <c r="CE77" s="875" t="str">
        <f>IF(AF77=70,VLOOKUP('Flächen u. Kulturen'!L82,Nebenkultur[[Nebenkultur]:[Legum. Zwischenfr.]],'#Zweitfr'!$M$1,FALSE),"--")</f>
        <v>--</v>
      </c>
      <c r="CF77" s="875" t="str">
        <f>IF(AF77=70,VLOOKUP('Flächen u. Kulturen'!L82,Nebenkultur[[Nebenkultur]:[Legum. Zwischenfr.]],'#Zweitfr'!$N$1,FALSE),"--")</f>
        <v>--</v>
      </c>
      <c r="CG77" s="875" t="str">
        <f>IF(AF77=70,VLOOKUP('Flächen u. Kulturen'!L82,Nebenkultur[[Nebenkultur]:[Legum. Zwischenfr.]],'#Zweitfr'!$O$1,FALSE),"--")</f>
        <v>--</v>
      </c>
      <c r="CH77" s="875" t="str">
        <f t="shared" si="55"/>
        <v>--</v>
      </c>
      <c r="CI77" s="938">
        <f>IF('Flächen u. Kulturen'!L82="",0,VLOOKUP('Flächen u. Kulturen'!L82,Nebenkultur[[Nebenkultur]:[Legum. Zwischenfr.]],'#Zweitfr'!$J$1,FALSE))</f>
        <v>0</v>
      </c>
      <c r="CJ77" s="875">
        <f t="shared" si="56"/>
        <v>0</v>
      </c>
      <c r="CK77" s="890">
        <f t="shared" si="57"/>
        <v>0</v>
      </c>
      <c r="CL77" s="938">
        <f>IF(AND(R77=1,AF77=70),'Flächen u. Kulturen'!W82*-1,0)</f>
        <v>0</v>
      </c>
      <c r="CM77" s="875">
        <f>'#orgDung'!AE86*-1</f>
        <v>0</v>
      </c>
      <c r="CN77" s="875">
        <f t="shared" si="72"/>
        <v>0</v>
      </c>
      <c r="CO77" s="875">
        <f t="shared" si="73"/>
        <v>0</v>
      </c>
      <c r="CP77" s="875">
        <f>'#Kürzungen'!AS202*-1</f>
        <v>0</v>
      </c>
      <c r="CQ77" s="875">
        <f t="shared" si="74"/>
        <v>0</v>
      </c>
      <c r="CR77" s="875">
        <f t="shared" si="75"/>
        <v>0</v>
      </c>
      <c r="CS77" s="875">
        <f>'#minDung'!R83</f>
        <v>0</v>
      </c>
      <c r="CT77" s="938">
        <f t="shared" si="63"/>
        <v>0</v>
      </c>
      <c r="CU77" s="52" t="str">
        <f>'#Kürzungen'!AQ202</f>
        <v xml:space="preserve"> </v>
      </c>
      <c r="CW77" s="247">
        <f>IF('Flächen u. Kulturen'!D82="",0,IF(ISNUMBER('Flächen u. Kulturen'!D82)=TRUE,2,1))</f>
        <v>0</v>
      </c>
      <c r="CX77" s="247">
        <f>IF('Flächen u. Kulturen'!E82="",0,COUNTIF('#Boden'!$B$47,'Flächen u. Kulturen'!E82)+1)</f>
        <v>2</v>
      </c>
      <c r="CY77" s="247">
        <f>IF('Flächen u. Kulturen'!F82="",0,COUNTIF('#Boden'!$G$4:$G$8,'Flächen u. Kulturen'!F82)+1)</f>
        <v>2</v>
      </c>
      <c r="CZ77" s="247">
        <f>IF('Flächen u. Kulturen'!G82="",0,COUNTIF('#Boden'!$B$26:$B$29,'Flächen u. Kulturen'!G82)+1)</f>
        <v>2</v>
      </c>
      <c r="DA77" s="247">
        <f>IF('Flächen u. Kulturen'!H82="",0,COUNTIF('#Boden'!$B$26:$B$29,'Flächen u. Kulturen'!H82)+1)</f>
        <v>2</v>
      </c>
      <c r="DB77" s="247">
        <f>IF('Flächen u. Kulturen'!I82="",0,COUNTIF('#Boden'!$B$9:$B$15,'Flächen u. Kulturen'!I82)+1)</f>
        <v>2</v>
      </c>
      <c r="DC77" s="247">
        <f>IF('Flächen u. Kulturen'!J82="",0,COUNTIF(Kulturen[HF],'Flächen u. Kulturen'!J82)+1)</f>
        <v>2</v>
      </c>
      <c r="DD77" s="247">
        <f>IF('Flächen u. Kulturen'!L82="",0,COUNTIF(Nebenkultur[Nebenkultur],'Flächen u. Kulturen'!L82)+1)</f>
        <v>2</v>
      </c>
      <c r="DE77" s="247">
        <f>IF('Flächen u. Kulturen'!M82="",0,COUNTIF('#Boden'!$G$17:$G$21,'Flächen u. Kulturen'!M82)+1)</f>
        <v>2</v>
      </c>
      <c r="DF77" s="247">
        <f>IF('Flächen u. Kulturen'!N82="",0,COUNTIF('#Boden'!$G$22:$G$24,'Flächen u. Kulturen'!N82)+1)</f>
        <v>2</v>
      </c>
      <c r="DG77" s="247">
        <f>IF('Flächen u. Kulturen'!P82="",0,COUNTIF(Kulturen[HF],'Flächen u. Kulturen'!P82)+1)</f>
        <v>2</v>
      </c>
      <c r="DH77" s="247">
        <f>IF('Flächen u. Kulturen'!T82="",0,COUNTIF('#Boden'!$B$30:$B$32,'Flächen u. Kulturen'!T82)+1)</f>
        <v>2</v>
      </c>
      <c r="DI77" s="247">
        <f>IF('Flächen u. Kulturen'!K82="",0,IF(ISNUMBER('Flächen u. Kulturen'!K82)=TRUE,2,1))</f>
        <v>0</v>
      </c>
      <c r="DJ77" s="247">
        <f>IF('Flächen u. Kulturen'!U82="",0,IF(ISNUMBER('Flächen u. Kulturen'!U82)=TRUE,2,1))</f>
        <v>0</v>
      </c>
      <c r="DK77" s="247">
        <f>IF('Flächen u. Kulturen'!V82="",0,IF(ISNUMBER('Flächen u. Kulturen'!V82)=TRUE,2,1))</f>
        <v>0</v>
      </c>
      <c r="DL77" s="247">
        <f>IF('Flächen u. Kulturen'!W82="",0,IF(ISNUMBER('Flächen u. Kulturen'!W82)=TRUE,2,1))</f>
        <v>0</v>
      </c>
      <c r="DM77" s="247">
        <f t="shared" si="76"/>
        <v>0</v>
      </c>
      <c r="DN77" s="247" t="s">
        <v>344</v>
      </c>
      <c r="DO77" s="247">
        <f>IF(U77&lt;&gt;"x","",IF(OR('Flächen u. Kulturen'!B82="",'Flächen u. Kulturen'!C82="",'Flächen u. Kulturen'!D82="",'Flächen u. Kulturen'!D82=0,'Flächen u. Kulturen'!F82="",'Flächen u. Kulturen'!F82='#Boden'!$G$4,'Flächen u. Kulturen'!G82="",'Flächen u. Kulturen'!G82='#Boden'!$B$26,'Flächen u. Kulturen'!H82="",'Flächen u. Kulturen'!H82='#Boden'!$B$23,AND(N77&lt;&gt;2,OR('Flächen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Kulturen'!Q82="",'#BerechnungDBE'!N77&lt;3),AND('Flächen u. Kulturen'!R82="",'#BerechnungDBE'!N77=3),AND(N77=1,AL77&gt;0,'Flächen u. Kulturen'!S82=""),AND(N77=1,OR('Flächen u. Kulturen'!T82="",'Flächen u. Kulturen'!T82='#Boden'!$B$30)),AND('#BerechnungDBE'!AF77=70,OR('Flächen u. Kulturen'!N82="",'Flächen u. Kulturen'!N82='#Boden'!$G$22,'Flächen u. Kulturen'!O82="")),AND('#BerechnungDBE'!AF77=80,OR('Flächen u. Kulturen'!M82="",'Flächen u. Kulturen'!M82='#Boden'!$G$17,'Flächen u. Kulturen'!N82="",'Flächen u. Kulturen'!N82='#Boden'!$G$22))),$DO$4,""))</f>
        <v>1</v>
      </c>
      <c r="DP77" s="247" t="str">
        <f>IF(U77&lt;&gt;"x","",IF(OR(LEFT('Flächen u. Kulturen'!J82,2)=" +",LEFT('Flächen u. Kulturen'!L82,2)=" +",LEFT('Flächen u. Kulturen'!P82,2)=" +"),$DP$4,""))</f>
        <v/>
      </c>
      <c r="DQ77" s="428" t="str">
        <f t="shared" si="58"/>
        <v/>
      </c>
      <c r="DR77" s="938" t="str">
        <f t="shared" si="59"/>
        <v/>
      </c>
      <c r="DS77" s="938" t="str">
        <f>IF('Flächen u. Kulturen'!X82="","",ROW('Flächen u. Kulturen'!X82))</f>
        <v/>
      </c>
    </row>
    <row r="78" spans="1:123" s="875" customFormat="1" x14ac:dyDescent="0.2">
      <c r="A78" s="875" t="str">
        <f>IF('Daten aus 2021'!H80="",'#Boden'!$B$26,IF('Daten aus 2021'!H80='#Boden'!$B$39,IF('Daten aus 2021'!F80='#Boden'!$B$29,'#Boden'!$B$29,IF('Daten aus 2021'!K80='#Boden'!$B$34,'#Boden'!$B$28,'#Boden'!$B$27)),'Daten aus 2021'!F80))</f>
        <v xml:space="preserve"> --</v>
      </c>
      <c r="B78" s="875" t="str">
        <f>IF('Daten aus 2021'!H80='#Boden'!$B$39,IF('Daten aus 2021'!L80='#Boden'!$B$61,'#Boden'!$B$11,'Daten aus 2021'!L80),IF('Daten aus 2021'!P80='#Boden'!$B$58,'#Boden'!$B$11,IF('Daten aus 2021'!P80='#Boden'!$B$57,'#Boden'!$B$10,'#Boden'!$B$9)))</f>
        <v xml:space="preserve"> --         </v>
      </c>
      <c r="C78" s="875" t="str">
        <f>IF('Daten aus 2021'!N80="","",VLOOKUP('Daten aus 2021'!N80,'#Boden'!$B$68:$C$89,2,FALSE))</f>
        <v/>
      </c>
      <c r="D78" s="875" t="str">
        <f>IF('Daten aus 2021'!M80="","",VLOOKUP('Daten aus 2021'!M80,'#Boden'!$D$69:$E$73,2,FALSE))</f>
        <v/>
      </c>
      <c r="E78" s="938" t="str">
        <f>IF(OR(C78='#Boden'!$C$68,C78='#Boden'!$C$70),C78,CONCATENATE(C78,D78))</f>
        <v/>
      </c>
      <c r="F78" s="882" t="str">
        <f>IFERROR(IF('Daten aus 2021'!H80="",'#Frucht'!$D$8,IF('Daten aus 2021'!H80='#Boden'!$B$39,E78,IF('Daten aus 2021'!H80='#Boden'!$B$38,IF(CONCATENATE(" ",'Daten aus 2021'!W80)=$B$2,VLOOKUP($B$3,'#Frucht'!$A$8:$D$372,4,FALSE),VLOOKUP(CONCATENATE(" ",'Daten aus 2021'!W80),'#Frucht'!$A$8:$D$372,4,FALSE)),IF(OR(LEFT('Daten aus 2021'!Q80,5)=" *10 ",LEFT('Daten aus 2021'!Q80,5)=" *11 ",LEFT('Daten aus 2021'!Q80,5)=" *12 ",LEFT('Daten aus 2021'!Q80,5)=" *13 ",LEFT('Daten aus 2021'!Q80,5)=" *14 ",LEFT('Daten aus 2021'!Q80,5)=" *15 "),VLOOKUP(RIGHT('Daten aus 2021'!Q80,LEN('Daten aus 2021'!Q80)-4),'#Frucht'!$A$8:$D$372,4,FALSE),IF(LEFT('Daten aus 2021'!Q80,2)=" *",VLOOKUP(RIGHT('Daten aus 2021'!Q80,LEN('Daten aus 2021'!Q80)-3),'#Frucht'!$A$8:$D$372,4,FALSE),VLOOKUP('Daten aus 2021'!Q80,'#Frucht'!$A$8:$D$372,4,FALSE)))))),'#Frucht'!$D$8)</f>
        <v xml:space="preserve"> --  </v>
      </c>
      <c r="G78" s="127"/>
      <c r="H78" s="31"/>
      <c r="J78" s="938" t="str">
        <f>IF(OR(N78=3,$K$3=0,'Flächen u. Kulturen'!P83=""),"",IF(VLOOKUP('Flächen u. Kulturen'!P83,Kulturen[[HF]:[780]],'#BerechnungDBE'!$K$3,FALSE)=".","",VLOOKUP('Flächen u. Kulturen'!P83,Kulturen[[HF]:[780]],'#BerechnungDBE'!$K$3,FALSE)))</f>
        <v/>
      </c>
      <c r="K78" s="938" t="str">
        <f>IF(OR($K$3=0,'Flächen u. Kulturen'!P83=""),"",IF(N78=3,IF(VLOOKUP('Flächen u. Kulturen'!P83,Kulturen[[HF]:[780]],'#BerechnungDBE'!$K$3,FALSE)=".","",VLOOKUP('Flächen u. Kulturen'!P83,Kulturen[[HF]:[780]],'#BerechnungDBE'!$K$3,FALSE)),""))</f>
        <v/>
      </c>
      <c r="L78" s="367">
        <f>IF('Flächen u. Kulturen'!D83="",0,'Flächen u. Kulturen'!D83)</f>
        <v>0</v>
      </c>
      <c r="M78" s="693">
        <f>IF('Flächen u. Kulturen'!J83="",0,VLOOKUP('Flächen u. Kulturen'!J83,Kulturen[[HF]:[Berechnungsgruppe]],'#Frucht'!$W$1,FALSE))</f>
        <v>1</v>
      </c>
      <c r="N78" s="693">
        <f>IF('Flächen u. Kulturen'!P83="",0,VLOOKUP('Flächen u. Kulturen'!P83,Kulturen[[HF]:[Berechnungsgruppe]],'#Frucht'!$W$1,FALSE))</f>
        <v>1</v>
      </c>
      <c r="O78" s="875">
        <f>IF(N78&lt;&gt;2,N78,IF('Flächen u. Kulturen'!J83='Flächen u. Kulturen'!P83,2,1))</f>
        <v>1</v>
      </c>
      <c r="P78" s="875">
        <f>IF('Flächen u. Kulturen'!F83="",0,VLOOKUP('Flächen u. Kulturen'!F83,'#Boden'!$G$4:$H$8,'#Boden'!$H$1,FALSE))</f>
        <v>1</v>
      </c>
      <c r="Q78" s="875">
        <f>IF('Flächen u. Kulturen'!G83="",0,VLOOKUP('Flächen u. Kulturen'!G83,'#Boden'!$B$26:$C$29,'#Boden'!$C$1,FALSE))</f>
        <v>1</v>
      </c>
      <c r="R78" s="875">
        <f t="shared" si="64"/>
        <v>1</v>
      </c>
      <c r="S78" s="875">
        <f t="shared" si="65"/>
        <v>1</v>
      </c>
      <c r="T78" s="875">
        <f>IF('Flächen u. Kulturen'!H83="",0,VLOOKUP('Flächen u. Kulturen'!H83,'#Boden'!$B$23:$C$25,'#Boden'!$C$1,FALSE))</f>
        <v>2</v>
      </c>
      <c r="U78" s="875" t="str">
        <f>'Flächen u. Kulturen'!E83</f>
        <v>x</v>
      </c>
      <c r="V78" s="938">
        <f>IF('Flächen u. Kulturen'!Q83="",0,_xlfn.NUMBERVALUE('Flächen u. Kulturen'!Q83))</f>
        <v>0</v>
      </c>
      <c r="W78" s="938">
        <f>IF('Flächen u. Kulturen'!R83="",0,_xlfn.NUMBERVALUE('Flächen u. Kulturen'!R83))</f>
        <v>0</v>
      </c>
      <c r="X78" s="875">
        <f>IF('Flächen u. Kulturen'!T83="",0,VLOOKUP('Flächen u. Kulturen'!T83,'#Boden'!$B$30:$C$32,'#Boden'!$C$1,FALSE))</f>
        <v>1</v>
      </c>
      <c r="Y78" s="875">
        <f>IF('Flächen u. Kulturen'!P83="",0,VLOOKUP('Flächen u. Kulturen'!P83,Kulturen[[HF]:[Berechnungsgruppe]],'#Frucht'!$N$1,FALSE))</f>
        <v>0</v>
      </c>
      <c r="Z78" s="875">
        <f t="shared" si="66"/>
        <v>2</v>
      </c>
      <c r="AA78" s="875">
        <f>IF('Flächen u. Kulturen'!P83="",0,VLOOKUP('Flächen u. Kulturen'!P83,Kulturen[[HF]:[Berechnungsgruppe]],'#Frucht'!$V$1,FALSE))</f>
        <v>0</v>
      </c>
      <c r="AB78" s="875">
        <f>IF(N78=1,VLOOKUP('Flächen u. Kulturen'!P83,Kulturen[[HF]:[Ernteprodukt]],'#Frucht'!$I$1,FALSE),4)</f>
        <v>4</v>
      </c>
      <c r="AC78" s="921">
        <f>IF('Flächen u. Kulturen'!J83="",0,VLOOKUP('Flächen u. Kulturen'!J83,Kulturen[[HF]:[Berechnungsgruppe]],'#Frucht'!$G$1,FALSE))</f>
        <v>90</v>
      </c>
      <c r="AD78" s="921">
        <f>IF('Flächen u. Kulturen'!P83="",0,VLOOKUP('Flächen u. Kulturen'!P83,Kulturen[[HF]:[Berechnungsgruppe]],'#Frucht'!$G$1,FALSE))</f>
        <v>90</v>
      </c>
      <c r="AE78" s="938">
        <f>IF('Flächen u. Kulturen'!P83="",0,VLOOKUP('Flächen u. Kulturen'!P83,Kulturen[[HF]:[SollwertMinusNfix]],'#Frucht'!$X$1,FALSE))</f>
        <v>0</v>
      </c>
      <c r="AF78" s="875">
        <f>IF('Flächen u. Kulturen'!L83="",0,VLOOKUP('Flächen u. Kulturen'!L83,Nebenkultur[[Nebenkultur]:[Berechnungsschema]],'#Zweitfr'!$G$1,FALSE))</f>
        <v>0</v>
      </c>
      <c r="AG78" s="875">
        <f>IF('Flächen u. Kulturen'!L83="",0,VLOOKUP('Flächen u. Kulturen'!L83,'#Zweitfr'!$D$8:$Q$27,'#Zweitfr'!$Q$1,FALSE))</f>
        <v>0</v>
      </c>
      <c r="AH78" s="875">
        <f>IF('Flächen u. Kulturen'!M83="",0,VLOOKUP('Flächen u. Kulturen'!M83,'#Boden'!$G$17:$H$21,2,FALSE))</f>
        <v>1</v>
      </c>
      <c r="AI78" s="875">
        <f>IF('Flächen u. Kulturen'!N83="",0,VLOOKUP('Flächen u. Kulturen'!N83,'#Boden'!$G$22:$H$24,'#Boden'!$H$1,FALSE))</f>
        <v>1</v>
      </c>
      <c r="AJ78" s="938">
        <f>IF('Flächen u. Kulturen'!O83="",0,_xlfn.NUMBERVALUE('Flächen u. Kulturen'!O83))</f>
        <v>0</v>
      </c>
      <c r="AK78" s="938">
        <f>IF('Flächen u. Kulturen'!L83="",0,VLOOKUP('Flächen u. Kulturen'!L83,Nebenkultur[[Nebenkultur]:[Legum. Zwischenfr.]],'#Zweitfr'!$P$1,FALSE))</f>
        <v>0</v>
      </c>
      <c r="AL78" s="875">
        <f>IF('Flächen u. Kulturen'!P83="",0,VLOOKUP('Flächen u. Kulturen'!P83,Kulturen[[HF]:[Berechnungsgruppe]],'#Frucht'!$Q$1,FALSE))</f>
        <v>0</v>
      </c>
      <c r="AM78" s="875">
        <f>IF('Flächen u. Kulturen'!P83="",0,VLOOKUP('Flächen u. Kulturen'!P83,Kulturen[[HF]:[Berechnungsgruppe]],'#Frucht'!$M$1,FALSE))</f>
        <v>0</v>
      </c>
      <c r="AN78" s="875">
        <f>IF('Flächen u. Kulturen'!P83="",1,VLOOKUP('Flächen u. Kulturen'!P83,Kulturen[[HF]:[Berechnungsgruppe]],'#Frucht'!$R$1,FALSE))</f>
        <v>10</v>
      </c>
      <c r="AO78" s="875">
        <f>IF('Flächen u. Kulturen'!P83="",0,VLOOKUP('Flächen u. Kulturen'!P83,Kulturen[[HF]:[Berechnungsgruppe]],'#Frucht'!$S$1,FALSE))</f>
        <v>0</v>
      </c>
      <c r="AP78" s="875">
        <f>IF('Flächen u. Kulturen'!P83="",0,VLOOKUP('Flächen u. Kulturen'!P83,Kulturen[[HF]:[Berechnungsgruppe]],'#Frucht'!$T$1,FALSE))</f>
        <v>0</v>
      </c>
      <c r="AQ78" s="938">
        <f t="shared" si="46"/>
        <v>0</v>
      </c>
      <c r="AR78" s="875">
        <f t="shared" si="47"/>
        <v>0</v>
      </c>
      <c r="AS78" s="938">
        <f t="shared" si="48"/>
        <v>0</v>
      </c>
      <c r="AT78" s="875">
        <f>IF(N78=1,'Flächen u. Kulturen'!S83*-1,"--")</f>
        <v>0</v>
      </c>
      <c r="AU78" s="938">
        <f>IF(OR(N78=2,'Flächen u. Kulturen'!I83=""),"--",IF(N78=3,VLOOKUP('Flächen u. Kulturen'!I83,'#Boden'!$B$9:$E$15,'#Boden'!$D$1,FALSE),VLOOKUP('Flächen u. Kulturen'!I83,'#Boden'!$B$9:$E$15,'#Boden'!$E$1,FALSE)))</f>
        <v>0</v>
      </c>
      <c r="AV78" s="938">
        <f>IF(N78=1,IF('Flächen u. Kulturen'!J83="",0,VLOOKUP('Flächen u. Kulturen'!J83,Kulturen[[HF]:[Berechnungsgruppe]],'#Frucht'!$U$1,FALSE)*-1),"--")</f>
        <v>0</v>
      </c>
      <c r="AW78" s="875">
        <f t="shared" si="49"/>
        <v>0</v>
      </c>
      <c r="AX78" s="875">
        <f>IF('Flächen u. Kulturen'!K83="",0,'Flächen u. Kulturen'!K83*-0.1)</f>
        <v>0</v>
      </c>
      <c r="AY78" s="875">
        <f>IF(N78&lt;3,'#orgDung'!AC87*0.1*-1,"--")</f>
        <v>0</v>
      </c>
      <c r="AZ78" s="31" t="str">
        <f>IF(AND('#orgDung'!J87&lt;&gt;2,'#orgDung'!F87=1),('#orgDung'!V87+'#minDung'!O84)*-1,"--")</f>
        <v>--</v>
      </c>
      <c r="BA78" s="875">
        <f t="shared" si="67"/>
        <v>0</v>
      </c>
      <c r="BB78" s="938">
        <f>IF(R78=2,0,'Flächen u. Kulturen'!V83*-1)</f>
        <v>0</v>
      </c>
      <c r="BC78" s="875">
        <f t="shared" si="68"/>
        <v>0</v>
      </c>
      <c r="BD78" s="127">
        <f>'#orgDung'!W87*-1</f>
        <v>0</v>
      </c>
      <c r="BE78" s="910">
        <f>'#orgDung'!AA87*-1</f>
        <v>0</v>
      </c>
      <c r="BF78" s="875">
        <f>'#orgDung'!Z87*-1</f>
        <v>0</v>
      </c>
      <c r="BG78" s="938">
        <f t="shared" si="60"/>
        <v>0</v>
      </c>
      <c r="BH78" s="875">
        <f>'#Kürzungen'!AS102*-1</f>
        <v>0</v>
      </c>
      <c r="BI78" s="875">
        <f t="shared" si="50"/>
        <v>0</v>
      </c>
      <c r="BJ78" s="910">
        <f t="shared" si="51"/>
        <v>0</v>
      </c>
      <c r="BK78" s="875">
        <f>'#minDung'!P84</f>
        <v>0</v>
      </c>
      <c r="BL78" s="938">
        <f t="shared" si="61"/>
        <v>0</v>
      </c>
      <c r="BM78" s="938">
        <f t="shared" si="52"/>
        <v>0</v>
      </c>
      <c r="BN78" s="875">
        <f>IF('Flächen u. Kulturen'!P83="",0,VLOOKUP('Flächen u. Kulturen'!P83,Kulturen[[HF]:[Berechnungsgruppe]],'#Frucht'!$K$1,FALSE))</f>
        <v>0</v>
      </c>
      <c r="BO78" s="875">
        <f>IF('Flächen u. Kulturen'!P83="",0,VLOOKUP('Flächen u. Kulturen'!P83,Kulturen[[HF]:[Berechnungsgruppe]],'#Frucht'!$L$1,FALSE))</f>
        <v>0</v>
      </c>
      <c r="BP78" s="875">
        <f>IF('Flächen u. Kulturen'!L83="",0,VLOOKUP('Flächen u. Kulturen'!L83,Nebenkultur[[Nebenkultur]:[Legum. Zwischenfr.]],'#Zweitfr'!$H$1,FALSE))</f>
        <v>0</v>
      </c>
      <c r="BQ78" s="938">
        <f>IF(N78=3,W78*BO78,IF('Flächen u. Kulturen'!T83='#Boden'!$B$32,V78*BN78,V78*BO78))</f>
        <v>0</v>
      </c>
      <c r="BR78" s="938">
        <f t="shared" si="53"/>
        <v>0</v>
      </c>
      <c r="BS78" s="875">
        <f t="shared" si="69"/>
        <v>0</v>
      </c>
      <c r="BT78" s="875">
        <f>IF('Flächen u. Kulturen'!F83="",0,IF(N78=3,VLOOKUP('Flächen u. Kulturen'!F83,'#Boden'!$G$4:$J$8,'#Boden'!$J$1,FALSE),VLOOKUP('Flächen u. Kulturen'!F83,'#Boden'!$G$4:$J$8,'#Boden'!$I$1,FALSE)))</f>
        <v>0</v>
      </c>
      <c r="BU78" s="41">
        <f t="shared" si="70"/>
        <v>0</v>
      </c>
      <c r="BV78" s="875">
        <f t="shared" si="71"/>
        <v>0</v>
      </c>
      <c r="BW78" s="938" t="str">
        <f t="shared" si="62"/>
        <v/>
      </c>
      <c r="BX78" s="875">
        <f>'#orgDung'!T87*-1</f>
        <v>0</v>
      </c>
      <c r="BY78" s="875">
        <f t="shared" si="54"/>
        <v>0</v>
      </c>
      <c r="BZ78" s="938" t="str">
        <f>IF(U78&lt;&gt;"x",0,IF(P78&lt;4,"",(BW78+BX78-'#minDung'!N84)*-1))</f>
        <v/>
      </c>
      <c r="CB78" s="938">
        <f>IF(AND(AF78=70,U78="x"),'Flächen u. Kulturen'!A83,1000)</f>
        <v>1000</v>
      </c>
      <c r="CC78" s="875" t="str">
        <f>IF(AF78=70,VLOOKUP('Flächen u. Kulturen'!L83,Nebenkultur[[Nebenkultur]:[Legum. Zwischenfr.]],'#Zweitfr'!$I$1,FALSE),"--")</f>
        <v>--</v>
      </c>
      <c r="CD78" s="875" t="str">
        <f>IF(AF78=70,VLOOKUP('Flächen u. Kulturen'!L83,Nebenkultur[[Nebenkultur]:[Legum. Zwischenfr.]],'#Zweitfr'!$L$1,FALSE),"--")</f>
        <v>--</v>
      </c>
      <c r="CE78" s="875" t="str">
        <f>IF(AF78=70,VLOOKUP('Flächen u. Kulturen'!L83,Nebenkultur[[Nebenkultur]:[Legum. Zwischenfr.]],'#Zweitfr'!$M$1,FALSE),"--")</f>
        <v>--</v>
      </c>
      <c r="CF78" s="875" t="str">
        <f>IF(AF78=70,VLOOKUP('Flächen u. Kulturen'!L83,Nebenkultur[[Nebenkultur]:[Legum. Zwischenfr.]],'#Zweitfr'!$N$1,FALSE),"--")</f>
        <v>--</v>
      </c>
      <c r="CG78" s="875" t="str">
        <f>IF(AF78=70,VLOOKUP('Flächen u. Kulturen'!L83,Nebenkultur[[Nebenkultur]:[Legum. Zwischenfr.]],'#Zweitfr'!$O$1,FALSE),"--")</f>
        <v>--</v>
      </c>
      <c r="CH78" s="875" t="str">
        <f t="shared" si="55"/>
        <v>--</v>
      </c>
      <c r="CI78" s="938">
        <f>IF('Flächen u. Kulturen'!L83="",0,VLOOKUP('Flächen u. Kulturen'!L83,Nebenkultur[[Nebenkultur]:[Legum. Zwischenfr.]],'#Zweitfr'!$J$1,FALSE))</f>
        <v>0</v>
      </c>
      <c r="CJ78" s="875">
        <f t="shared" si="56"/>
        <v>0</v>
      </c>
      <c r="CK78" s="890">
        <f t="shared" si="57"/>
        <v>0</v>
      </c>
      <c r="CL78" s="938">
        <f>IF(AND(R78=1,AF78=70),'Flächen u. Kulturen'!W83*-1,0)</f>
        <v>0</v>
      </c>
      <c r="CM78" s="875">
        <f>'#orgDung'!AE87*-1</f>
        <v>0</v>
      </c>
      <c r="CN78" s="875">
        <f t="shared" si="72"/>
        <v>0</v>
      </c>
      <c r="CO78" s="875">
        <f t="shared" si="73"/>
        <v>0</v>
      </c>
      <c r="CP78" s="875">
        <f>'#Kürzungen'!AS203*-1</f>
        <v>0</v>
      </c>
      <c r="CQ78" s="875">
        <f t="shared" si="74"/>
        <v>0</v>
      </c>
      <c r="CR78" s="875">
        <f t="shared" si="75"/>
        <v>0</v>
      </c>
      <c r="CS78" s="875">
        <f>'#minDung'!R84</f>
        <v>0</v>
      </c>
      <c r="CT78" s="938">
        <f t="shared" si="63"/>
        <v>0</v>
      </c>
      <c r="CU78" s="52" t="str">
        <f>'#Kürzungen'!AQ203</f>
        <v xml:space="preserve"> </v>
      </c>
      <c r="CW78" s="247">
        <f>IF('Flächen u. Kulturen'!D83="",0,IF(ISNUMBER('Flächen u. Kulturen'!D83)=TRUE,2,1))</f>
        <v>0</v>
      </c>
      <c r="CX78" s="247">
        <f>IF('Flächen u. Kulturen'!E83="",0,COUNTIF('#Boden'!$B$47,'Flächen u. Kulturen'!E83)+1)</f>
        <v>2</v>
      </c>
      <c r="CY78" s="247">
        <f>IF('Flächen u. Kulturen'!F83="",0,COUNTIF('#Boden'!$G$4:$G$8,'Flächen u. Kulturen'!F83)+1)</f>
        <v>2</v>
      </c>
      <c r="CZ78" s="247">
        <f>IF('Flächen u. Kulturen'!G83="",0,COUNTIF('#Boden'!$B$26:$B$29,'Flächen u. Kulturen'!G83)+1)</f>
        <v>2</v>
      </c>
      <c r="DA78" s="247">
        <f>IF('Flächen u. Kulturen'!H83="",0,COUNTIF('#Boden'!$B$26:$B$29,'Flächen u. Kulturen'!H83)+1)</f>
        <v>2</v>
      </c>
      <c r="DB78" s="247">
        <f>IF('Flächen u. Kulturen'!I83="",0,COUNTIF('#Boden'!$B$9:$B$15,'Flächen u. Kulturen'!I83)+1)</f>
        <v>2</v>
      </c>
      <c r="DC78" s="247">
        <f>IF('Flächen u. Kulturen'!J83="",0,COUNTIF(Kulturen[HF],'Flächen u. Kulturen'!J83)+1)</f>
        <v>2</v>
      </c>
      <c r="DD78" s="247">
        <f>IF('Flächen u. Kulturen'!L83="",0,COUNTIF(Nebenkultur[Nebenkultur],'Flächen u. Kulturen'!L83)+1)</f>
        <v>2</v>
      </c>
      <c r="DE78" s="247">
        <f>IF('Flächen u. Kulturen'!M83="",0,COUNTIF('#Boden'!$G$17:$G$21,'Flächen u. Kulturen'!M83)+1)</f>
        <v>2</v>
      </c>
      <c r="DF78" s="247">
        <f>IF('Flächen u. Kulturen'!N83="",0,COUNTIF('#Boden'!$G$22:$G$24,'Flächen u. Kulturen'!N83)+1)</f>
        <v>2</v>
      </c>
      <c r="DG78" s="247">
        <f>IF('Flächen u. Kulturen'!P83="",0,COUNTIF(Kulturen[HF],'Flächen u. Kulturen'!P83)+1)</f>
        <v>2</v>
      </c>
      <c r="DH78" s="247">
        <f>IF('Flächen u. Kulturen'!T83="",0,COUNTIF('#Boden'!$B$30:$B$32,'Flächen u. Kulturen'!T83)+1)</f>
        <v>2</v>
      </c>
      <c r="DI78" s="247">
        <f>IF('Flächen u. Kulturen'!K83="",0,IF(ISNUMBER('Flächen u. Kulturen'!K83)=TRUE,2,1))</f>
        <v>0</v>
      </c>
      <c r="DJ78" s="247">
        <f>IF('Flächen u. Kulturen'!U83="",0,IF(ISNUMBER('Flächen u. Kulturen'!U83)=TRUE,2,1))</f>
        <v>0</v>
      </c>
      <c r="DK78" s="247">
        <f>IF('Flächen u. Kulturen'!V83="",0,IF(ISNUMBER('Flächen u. Kulturen'!V83)=TRUE,2,1))</f>
        <v>0</v>
      </c>
      <c r="DL78" s="247">
        <f>IF('Flächen u. Kulturen'!W83="",0,IF(ISNUMBER('Flächen u. Kulturen'!W83)=TRUE,2,1))</f>
        <v>0</v>
      </c>
      <c r="DM78" s="247">
        <f t="shared" si="76"/>
        <v>0</v>
      </c>
      <c r="DN78" s="247" t="s">
        <v>344</v>
      </c>
      <c r="DO78" s="247">
        <f>IF(U78&lt;&gt;"x","",IF(OR('Flächen u. Kulturen'!B83="",'Flächen u. Kulturen'!C83="",'Flächen u. Kulturen'!D83="",'Flächen u. Kulturen'!D83=0,'Flächen u. Kulturen'!F83="",'Flächen u. Kulturen'!F83='#Boden'!$G$4,'Flächen u. Kulturen'!G83="",'Flächen u. Kulturen'!G83='#Boden'!$B$26,'Flächen u. Kulturen'!H83="",'Flächen u. Kulturen'!H83='#Boden'!$B$23,AND(N78&lt;&gt;2,OR('Flächen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Kulturen'!Q83="",'#BerechnungDBE'!N78&lt;3),AND('Flächen u. Kulturen'!R83="",'#BerechnungDBE'!N78=3),AND(N78=1,AL78&gt;0,'Flächen u. Kulturen'!S83=""),AND(N78=1,OR('Flächen u. Kulturen'!T83="",'Flächen u. Kulturen'!T83='#Boden'!$B$30)),AND('#BerechnungDBE'!AF78=70,OR('Flächen u. Kulturen'!N83="",'Flächen u. Kulturen'!N83='#Boden'!$G$22,'Flächen u. Kulturen'!O83="")),AND('#BerechnungDBE'!AF78=80,OR('Flächen u. Kulturen'!M83="",'Flächen u. Kulturen'!M83='#Boden'!$G$17,'Flächen u. Kulturen'!N83="",'Flächen u. Kulturen'!N83='#Boden'!$G$22))),$DO$4,""))</f>
        <v>1</v>
      </c>
      <c r="DP78" s="247" t="str">
        <f>IF(U78&lt;&gt;"x","",IF(OR(LEFT('Flächen u. Kulturen'!J83,2)=" +",LEFT('Flächen u. Kulturen'!L83,2)=" +",LEFT('Flächen u. Kulturen'!P83,2)=" +"),$DP$4,""))</f>
        <v/>
      </c>
      <c r="DQ78" s="428" t="str">
        <f t="shared" si="58"/>
        <v/>
      </c>
      <c r="DR78" s="938" t="str">
        <f t="shared" si="59"/>
        <v/>
      </c>
      <c r="DS78" s="938" t="str">
        <f>IF('Flächen u. Kulturen'!X83="","",ROW('Flächen u. Kulturen'!X83))</f>
        <v/>
      </c>
    </row>
    <row r="79" spans="1:123" s="875" customFormat="1" x14ac:dyDescent="0.2">
      <c r="A79" s="875" t="str">
        <f>IF('Daten aus 2021'!H81="",'#Boden'!$B$26,IF('Daten aus 2021'!H81='#Boden'!$B$39,IF('Daten aus 2021'!F81='#Boden'!$B$29,'#Boden'!$B$29,IF('Daten aus 2021'!K81='#Boden'!$B$34,'#Boden'!$B$28,'#Boden'!$B$27)),'Daten aus 2021'!F81))</f>
        <v xml:space="preserve"> --</v>
      </c>
      <c r="B79" s="875" t="str">
        <f>IF('Daten aus 2021'!H81='#Boden'!$B$39,IF('Daten aus 2021'!L81='#Boden'!$B$61,'#Boden'!$B$11,'Daten aus 2021'!L81),IF('Daten aus 2021'!P81='#Boden'!$B$58,'#Boden'!$B$11,IF('Daten aus 2021'!P81='#Boden'!$B$57,'#Boden'!$B$10,'#Boden'!$B$9)))</f>
        <v xml:space="preserve"> --         </v>
      </c>
      <c r="C79" s="875" t="str">
        <f>IF('Daten aus 2021'!N81="","",VLOOKUP('Daten aus 2021'!N81,'#Boden'!$B$68:$C$89,2,FALSE))</f>
        <v/>
      </c>
      <c r="D79" s="875" t="str">
        <f>IF('Daten aus 2021'!M81="","",VLOOKUP('Daten aus 2021'!M81,'#Boden'!$D$69:$E$73,2,FALSE))</f>
        <v/>
      </c>
      <c r="E79" s="938" t="str">
        <f>IF(OR(C79='#Boden'!$C$68,C79='#Boden'!$C$70),C79,CONCATENATE(C79,D79))</f>
        <v/>
      </c>
      <c r="F79" s="882" t="str">
        <f>IFERROR(IF('Daten aus 2021'!H81="",'#Frucht'!$D$8,IF('Daten aus 2021'!H81='#Boden'!$B$39,E79,IF('Daten aus 2021'!H81='#Boden'!$B$38,IF(CONCATENATE(" ",'Daten aus 2021'!W81)=$B$2,VLOOKUP($B$3,'#Frucht'!$A$8:$D$372,4,FALSE),VLOOKUP(CONCATENATE(" ",'Daten aus 2021'!W81),'#Frucht'!$A$8:$D$372,4,FALSE)),IF(OR(LEFT('Daten aus 2021'!Q81,5)=" *10 ",LEFT('Daten aus 2021'!Q81,5)=" *11 ",LEFT('Daten aus 2021'!Q81,5)=" *12 ",LEFT('Daten aus 2021'!Q81,5)=" *13 ",LEFT('Daten aus 2021'!Q81,5)=" *14 ",LEFT('Daten aus 2021'!Q81,5)=" *15 "),VLOOKUP(RIGHT('Daten aus 2021'!Q81,LEN('Daten aus 2021'!Q81)-4),'#Frucht'!$A$8:$D$372,4,FALSE),IF(LEFT('Daten aus 2021'!Q81,2)=" *",VLOOKUP(RIGHT('Daten aus 2021'!Q81,LEN('Daten aus 2021'!Q81)-3),'#Frucht'!$A$8:$D$372,4,FALSE),VLOOKUP('Daten aus 2021'!Q81,'#Frucht'!$A$8:$D$372,4,FALSE)))))),'#Frucht'!$D$8)</f>
        <v xml:space="preserve"> --  </v>
      </c>
      <c r="G79" s="127"/>
      <c r="H79" s="31"/>
      <c r="J79" s="938" t="str">
        <f>IF(OR(N79=3,$K$3=0,'Flächen u. Kulturen'!P84=""),"",IF(VLOOKUP('Flächen u. Kulturen'!P84,Kulturen[[HF]:[780]],'#BerechnungDBE'!$K$3,FALSE)=".","",VLOOKUP('Flächen u. Kulturen'!P84,Kulturen[[HF]:[780]],'#BerechnungDBE'!$K$3,FALSE)))</f>
        <v/>
      </c>
      <c r="K79" s="938" t="str">
        <f>IF(OR($K$3=0,'Flächen u. Kulturen'!P84=""),"",IF(N79=3,IF(VLOOKUP('Flächen u. Kulturen'!P84,Kulturen[[HF]:[780]],'#BerechnungDBE'!$K$3,FALSE)=".","",VLOOKUP('Flächen u. Kulturen'!P84,Kulturen[[HF]:[780]],'#BerechnungDBE'!$K$3,FALSE)),""))</f>
        <v/>
      </c>
      <c r="L79" s="367">
        <f>IF('Flächen u. Kulturen'!D84="",0,'Flächen u. Kulturen'!D84)</f>
        <v>0</v>
      </c>
      <c r="M79" s="693">
        <f>IF('Flächen u. Kulturen'!J84="",0,VLOOKUP('Flächen u. Kulturen'!J84,Kulturen[[HF]:[Berechnungsgruppe]],'#Frucht'!$W$1,FALSE))</f>
        <v>1</v>
      </c>
      <c r="N79" s="693">
        <f>IF('Flächen u. Kulturen'!P84="",0,VLOOKUP('Flächen u. Kulturen'!P84,Kulturen[[HF]:[Berechnungsgruppe]],'#Frucht'!$W$1,FALSE))</f>
        <v>1</v>
      </c>
      <c r="O79" s="875">
        <f>IF(N79&lt;&gt;2,N79,IF('Flächen u. Kulturen'!J84='Flächen u. Kulturen'!P84,2,1))</f>
        <v>1</v>
      </c>
      <c r="P79" s="875">
        <f>IF('Flächen u. Kulturen'!F84="",0,VLOOKUP('Flächen u. Kulturen'!F84,'#Boden'!$G$4:$H$8,'#Boden'!$H$1,FALSE))</f>
        <v>1</v>
      </c>
      <c r="Q79" s="875">
        <f>IF('Flächen u. Kulturen'!G84="",0,VLOOKUP('Flächen u. Kulturen'!G84,'#Boden'!$B$26:$C$29,'#Boden'!$C$1,FALSE))</f>
        <v>1</v>
      </c>
      <c r="R79" s="875">
        <f t="shared" si="64"/>
        <v>1</v>
      </c>
      <c r="S79" s="875">
        <f t="shared" si="65"/>
        <v>1</v>
      </c>
      <c r="T79" s="875">
        <f>IF('Flächen u. Kulturen'!H84="",0,VLOOKUP('Flächen u. Kulturen'!H84,'#Boden'!$B$23:$C$25,'#Boden'!$C$1,FALSE))</f>
        <v>2</v>
      </c>
      <c r="U79" s="875" t="str">
        <f>'Flächen u. Kulturen'!E84</f>
        <v>x</v>
      </c>
      <c r="V79" s="938">
        <f>IF('Flächen u. Kulturen'!Q84="",0,_xlfn.NUMBERVALUE('Flächen u. Kulturen'!Q84))</f>
        <v>0</v>
      </c>
      <c r="W79" s="938">
        <f>IF('Flächen u. Kulturen'!R84="",0,_xlfn.NUMBERVALUE('Flächen u. Kulturen'!R84))</f>
        <v>0</v>
      </c>
      <c r="X79" s="875">
        <f>IF('Flächen u. Kulturen'!T84="",0,VLOOKUP('Flächen u. Kulturen'!T84,'#Boden'!$B$30:$C$32,'#Boden'!$C$1,FALSE))</f>
        <v>1</v>
      </c>
      <c r="Y79" s="875">
        <f>IF('Flächen u. Kulturen'!P84="",0,VLOOKUP('Flächen u. Kulturen'!P84,Kulturen[[HF]:[Berechnungsgruppe]],'#Frucht'!$N$1,FALSE))</f>
        <v>0</v>
      </c>
      <c r="Z79" s="875">
        <f t="shared" si="66"/>
        <v>2</v>
      </c>
      <c r="AA79" s="875">
        <f>IF('Flächen u. Kulturen'!P84="",0,VLOOKUP('Flächen u. Kulturen'!P84,Kulturen[[HF]:[Berechnungsgruppe]],'#Frucht'!$V$1,FALSE))</f>
        <v>0</v>
      </c>
      <c r="AB79" s="875">
        <f>IF(N79=1,VLOOKUP('Flächen u. Kulturen'!P84,Kulturen[[HF]:[Ernteprodukt]],'#Frucht'!$I$1,FALSE),4)</f>
        <v>4</v>
      </c>
      <c r="AC79" s="921">
        <f>IF('Flächen u. Kulturen'!J84="",0,VLOOKUP('Flächen u. Kulturen'!J84,Kulturen[[HF]:[Berechnungsgruppe]],'#Frucht'!$G$1,FALSE))</f>
        <v>90</v>
      </c>
      <c r="AD79" s="921">
        <f>IF('Flächen u. Kulturen'!P84="",0,VLOOKUP('Flächen u. Kulturen'!P84,Kulturen[[HF]:[Berechnungsgruppe]],'#Frucht'!$G$1,FALSE))</f>
        <v>90</v>
      </c>
      <c r="AE79" s="938">
        <f>IF('Flächen u. Kulturen'!P84="",0,VLOOKUP('Flächen u. Kulturen'!P84,Kulturen[[HF]:[SollwertMinusNfix]],'#Frucht'!$X$1,FALSE))</f>
        <v>0</v>
      </c>
      <c r="AF79" s="875">
        <f>IF('Flächen u. Kulturen'!L84="",0,VLOOKUP('Flächen u. Kulturen'!L84,Nebenkultur[[Nebenkultur]:[Berechnungsschema]],'#Zweitfr'!$G$1,FALSE))</f>
        <v>0</v>
      </c>
      <c r="AG79" s="875">
        <f>IF('Flächen u. Kulturen'!L84="",0,VLOOKUP('Flächen u. Kulturen'!L84,'#Zweitfr'!$D$8:$Q$27,'#Zweitfr'!$Q$1,FALSE))</f>
        <v>0</v>
      </c>
      <c r="AH79" s="875">
        <f>IF('Flächen u. Kulturen'!M84="",0,VLOOKUP('Flächen u. Kulturen'!M84,'#Boden'!$G$17:$H$21,2,FALSE))</f>
        <v>1</v>
      </c>
      <c r="AI79" s="875">
        <f>IF('Flächen u. Kulturen'!N84="",0,VLOOKUP('Flächen u. Kulturen'!N84,'#Boden'!$G$22:$H$24,'#Boden'!$H$1,FALSE))</f>
        <v>1</v>
      </c>
      <c r="AJ79" s="938">
        <f>IF('Flächen u. Kulturen'!O84="",0,_xlfn.NUMBERVALUE('Flächen u. Kulturen'!O84))</f>
        <v>0</v>
      </c>
      <c r="AK79" s="938">
        <f>IF('Flächen u. Kulturen'!L84="",0,VLOOKUP('Flächen u. Kulturen'!L84,Nebenkultur[[Nebenkultur]:[Legum. Zwischenfr.]],'#Zweitfr'!$P$1,FALSE))</f>
        <v>0</v>
      </c>
      <c r="AL79" s="875">
        <f>IF('Flächen u. Kulturen'!P84="",0,VLOOKUP('Flächen u. Kulturen'!P84,Kulturen[[HF]:[Berechnungsgruppe]],'#Frucht'!$Q$1,FALSE))</f>
        <v>0</v>
      </c>
      <c r="AM79" s="875">
        <f>IF('Flächen u. Kulturen'!P84="",0,VLOOKUP('Flächen u. Kulturen'!P84,Kulturen[[HF]:[Berechnungsgruppe]],'#Frucht'!$M$1,FALSE))</f>
        <v>0</v>
      </c>
      <c r="AN79" s="875">
        <f>IF('Flächen u. Kulturen'!P84="",1,VLOOKUP('Flächen u. Kulturen'!P84,Kulturen[[HF]:[Berechnungsgruppe]],'#Frucht'!$R$1,FALSE))</f>
        <v>10</v>
      </c>
      <c r="AO79" s="875">
        <f>IF('Flächen u. Kulturen'!P84="",0,VLOOKUP('Flächen u. Kulturen'!P84,Kulturen[[HF]:[Berechnungsgruppe]],'#Frucht'!$S$1,FALSE))</f>
        <v>0</v>
      </c>
      <c r="AP79" s="875">
        <f>IF('Flächen u. Kulturen'!P84="",0,VLOOKUP('Flächen u. Kulturen'!P84,Kulturen[[HF]:[Berechnungsgruppe]],'#Frucht'!$T$1,FALSE))</f>
        <v>0</v>
      </c>
      <c r="AQ79" s="938">
        <f t="shared" si="46"/>
        <v>0</v>
      </c>
      <c r="AR79" s="875">
        <f t="shared" si="47"/>
        <v>0</v>
      </c>
      <c r="AS79" s="938">
        <f t="shared" si="48"/>
        <v>0</v>
      </c>
      <c r="AT79" s="875">
        <f>IF(N79=1,'Flächen u. Kulturen'!S84*-1,"--")</f>
        <v>0</v>
      </c>
      <c r="AU79" s="938">
        <f>IF(OR(N79=2,'Flächen u. Kulturen'!I84=""),"--",IF(N79=3,VLOOKUP('Flächen u. Kulturen'!I84,'#Boden'!$B$9:$E$15,'#Boden'!$D$1,FALSE),VLOOKUP('Flächen u. Kulturen'!I84,'#Boden'!$B$9:$E$15,'#Boden'!$E$1,FALSE)))</f>
        <v>0</v>
      </c>
      <c r="AV79" s="938">
        <f>IF(N79=1,IF('Flächen u. Kulturen'!J84="",0,VLOOKUP('Flächen u. Kulturen'!J84,Kulturen[[HF]:[Berechnungsgruppe]],'#Frucht'!$U$1,FALSE)*-1),"--")</f>
        <v>0</v>
      </c>
      <c r="AW79" s="875">
        <f t="shared" si="49"/>
        <v>0</v>
      </c>
      <c r="AX79" s="875">
        <f>IF('Flächen u. Kulturen'!K84="",0,'Flächen u. Kulturen'!K84*-0.1)</f>
        <v>0</v>
      </c>
      <c r="AY79" s="875">
        <f>IF(N79&lt;3,'#orgDung'!AC88*0.1*-1,"--")</f>
        <v>0</v>
      </c>
      <c r="AZ79" s="31" t="str">
        <f>IF(AND('#orgDung'!J88&lt;&gt;2,'#orgDung'!F88=1),('#orgDung'!V88+'#minDung'!O85)*-1,"--")</f>
        <v>--</v>
      </c>
      <c r="BA79" s="875">
        <f t="shared" si="67"/>
        <v>0</v>
      </c>
      <c r="BB79" s="938">
        <f>IF(R79=2,0,'Flächen u. Kulturen'!V84*-1)</f>
        <v>0</v>
      </c>
      <c r="BC79" s="875">
        <f t="shared" si="68"/>
        <v>0</v>
      </c>
      <c r="BD79" s="127">
        <f>'#orgDung'!W88*-1</f>
        <v>0</v>
      </c>
      <c r="BE79" s="910">
        <f>'#orgDung'!AA88*-1</f>
        <v>0</v>
      </c>
      <c r="BF79" s="875">
        <f>'#orgDung'!Z88*-1</f>
        <v>0</v>
      </c>
      <c r="BG79" s="938">
        <f t="shared" si="60"/>
        <v>0</v>
      </c>
      <c r="BH79" s="875">
        <f>'#Kürzungen'!AS103*-1</f>
        <v>0</v>
      </c>
      <c r="BI79" s="875">
        <f t="shared" si="50"/>
        <v>0</v>
      </c>
      <c r="BJ79" s="910">
        <f t="shared" si="51"/>
        <v>0</v>
      </c>
      <c r="BK79" s="875">
        <f>'#minDung'!P85</f>
        <v>0</v>
      </c>
      <c r="BL79" s="938">
        <f t="shared" si="61"/>
        <v>0</v>
      </c>
      <c r="BM79" s="938">
        <f t="shared" si="52"/>
        <v>0</v>
      </c>
      <c r="BN79" s="875">
        <f>IF('Flächen u. Kulturen'!P84="",0,VLOOKUP('Flächen u. Kulturen'!P84,Kulturen[[HF]:[Berechnungsgruppe]],'#Frucht'!$K$1,FALSE))</f>
        <v>0</v>
      </c>
      <c r="BO79" s="875">
        <f>IF('Flächen u. Kulturen'!P84="",0,VLOOKUP('Flächen u. Kulturen'!P84,Kulturen[[HF]:[Berechnungsgruppe]],'#Frucht'!$L$1,FALSE))</f>
        <v>0</v>
      </c>
      <c r="BP79" s="875">
        <f>IF('Flächen u. Kulturen'!L84="",0,VLOOKUP('Flächen u. Kulturen'!L84,Nebenkultur[[Nebenkultur]:[Legum. Zwischenfr.]],'#Zweitfr'!$H$1,FALSE))</f>
        <v>0</v>
      </c>
      <c r="BQ79" s="938">
        <f>IF(N79=3,W79*BO79,IF('Flächen u. Kulturen'!T84='#Boden'!$B$32,V79*BN79,V79*BO79))</f>
        <v>0</v>
      </c>
      <c r="BR79" s="938">
        <f t="shared" si="53"/>
        <v>0</v>
      </c>
      <c r="BS79" s="875">
        <f t="shared" si="69"/>
        <v>0</v>
      </c>
      <c r="BT79" s="875">
        <f>IF('Flächen u. Kulturen'!F84="",0,IF(N79=3,VLOOKUP('Flächen u. Kulturen'!F84,'#Boden'!$G$4:$J$8,'#Boden'!$J$1,FALSE),VLOOKUP('Flächen u. Kulturen'!F84,'#Boden'!$G$4:$J$8,'#Boden'!$I$1,FALSE)))</f>
        <v>0</v>
      </c>
      <c r="BU79" s="41">
        <f t="shared" si="70"/>
        <v>0</v>
      </c>
      <c r="BV79" s="875">
        <f t="shared" si="71"/>
        <v>0</v>
      </c>
      <c r="BW79" s="938" t="str">
        <f t="shared" si="62"/>
        <v/>
      </c>
      <c r="BX79" s="875">
        <f>'#orgDung'!T88*-1</f>
        <v>0</v>
      </c>
      <c r="BY79" s="875">
        <f t="shared" si="54"/>
        <v>0</v>
      </c>
      <c r="BZ79" s="938" t="str">
        <f>IF(U79&lt;&gt;"x",0,IF(P79&lt;4,"",(BW79+BX79-'#minDung'!N85)*-1))</f>
        <v/>
      </c>
      <c r="CB79" s="938">
        <f>IF(AND(AF79=70,U79="x"),'Flächen u. Kulturen'!A84,1000)</f>
        <v>1000</v>
      </c>
      <c r="CC79" s="875" t="str">
        <f>IF(AF79=70,VLOOKUP('Flächen u. Kulturen'!L84,Nebenkultur[[Nebenkultur]:[Legum. Zwischenfr.]],'#Zweitfr'!$I$1,FALSE),"--")</f>
        <v>--</v>
      </c>
      <c r="CD79" s="875" t="str">
        <f>IF(AF79=70,VLOOKUP('Flächen u. Kulturen'!L84,Nebenkultur[[Nebenkultur]:[Legum. Zwischenfr.]],'#Zweitfr'!$L$1,FALSE),"--")</f>
        <v>--</v>
      </c>
      <c r="CE79" s="875" t="str">
        <f>IF(AF79=70,VLOOKUP('Flächen u. Kulturen'!L84,Nebenkultur[[Nebenkultur]:[Legum. Zwischenfr.]],'#Zweitfr'!$M$1,FALSE),"--")</f>
        <v>--</v>
      </c>
      <c r="CF79" s="875" t="str">
        <f>IF(AF79=70,VLOOKUP('Flächen u. Kulturen'!L84,Nebenkultur[[Nebenkultur]:[Legum. Zwischenfr.]],'#Zweitfr'!$N$1,FALSE),"--")</f>
        <v>--</v>
      </c>
      <c r="CG79" s="875" t="str">
        <f>IF(AF79=70,VLOOKUP('Flächen u. Kulturen'!L84,Nebenkultur[[Nebenkultur]:[Legum. Zwischenfr.]],'#Zweitfr'!$O$1,FALSE),"--")</f>
        <v>--</v>
      </c>
      <c r="CH79" s="875" t="str">
        <f t="shared" si="55"/>
        <v>--</v>
      </c>
      <c r="CI79" s="938">
        <f>IF('Flächen u. Kulturen'!L84="",0,VLOOKUP('Flächen u. Kulturen'!L84,Nebenkultur[[Nebenkultur]:[Legum. Zwischenfr.]],'#Zweitfr'!$J$1,FALSE))</f>
        <v>0</v>
      </c>
      <c r="CJ79" s="875">
        <f t="shared" si="56"/>
        <v>0</v>
      </c>
      <c r="CK79" s="890">
        <f t="shared" si="57"/>
        <v>0</v>
      </c>
      <c r="CL79" s="938">
        <f>IF(AND(R79=1,AF79=70),'Flächen u. Kulturen'!W84*-1,0)</f>
        <v>0</v>
      </c>
      <c r="CM79" s="875">
        <f>'#orgDung'!AE88*-1</f>
        <v>0</v>
      </c>
      <c r="CN79" s="875">
        <f t="shared" si="72"/>
        <v>0</v>
      </c>
      <c r="CO79" s="875">
        <f t="shared" si="73"/>
        <v>0</v>
      </c>
      <c r="CP79" s="875">
        <f>'#Kürzungen'!AS204*-1</f>
        <v>0</v>
      </c>
      <c r="CQ79" s="875">
        <f t="shared" si="74"/>
        <v>0</v>
      </c>
      <c r="CR79" s="875">
        <f t="shared" si="75"/>
        <v>0</v>
      </c>
      <c r="CS79" s="875">
        <f>'#minDung'!R85</f>
        <v>0</v>
      </c>
      <c r="CT79" s="938">
        <f t="shared" si="63"/>
        <v>0</v>
      </c>
      <c r="CU79" s="52" t="str">
        <f>'#Kürzungen'!AQ204</f>
        <v xml:space="preserve"> </v>
      </c>
      <c r="CW79" s="247">
        <f>IF('Flächen u. Kulturen'!D84="",0,IF(ISNUMBER('Flächen u. Kulturen'!D84)=TRUE,2,1))</f>
        <v>0</v>
      </c>
      <c r="CX79" s="247">
        <f>IF('Flächen u. Kulturen'!E84="",0,COUNTIF('#Boden'!$B$47,'Flächen u. Kulturen'!E84)+1)</f>
        <v>2</v>
      </c>
      <c r="CY79" s="247">
        <f>IF('Flächen u. Kulturen'!F84="",0,COUNTIF('#Boden'!$G$4:$G$8,'Flächen u. Kulturen'!F84)+1)</f>
        <v>2</v>
      </c>
      <c r="CZ79" s="247">
        <f>IF('Flächen u. Kulturen'!G84="",0,COUNTIF('#Boden'!$B$26:$B$29,'Flächen u. Kulturen'!G84)+1)</f>
        <v>2</v>
      </c>
      <c r="DA79" s="247">
        <f>IF('Flächen u. Kulturen'!H84="",0,COUNTIF('#Boden'!$B$26:$B$29,'Flächen u. Kulturen'!H84)+1)</f>
        <v>2</v>
      </c>
      <c r="DB79" s="247">
        <f>IF('Flächen u. Kulturen'!I84="",0,COUNTIF('#Boden'!$B$9:$B$15,'Flächen u. Kulturen'!I84)+1)</f>
        <v>2</v>
      </c>
      <c r="DC79" s="247">
        <f>IF('Flächen u. Kulturen'!J84="",0,COUNTIF(Kulturen[HF],'Flächen u. Kulturen'!J84)+1)</f>
        <v>2</v>
      </c>
      <c r="DD79" s="247">
        <f>IF('Flächen u. Kulturen'!L84="",0,COUNTIF(Nebenkultur[Nebenkultur],'Flächen u. Kulturen'!L84)+1)</f>
        <v>2</v>
      </c>
      <c r="DE79" s="247">
        <f>IF('Flächen u. Kulturen'!M84="",0,COUNTIF('#Boden'!$G$17:$G$21,'Flächen u. Kulturen'!M84)+1)</f>
        <v>2</v>
      </c>
      <c r="DF79" s="247">
        <f>IF('Flächen u. Kulturen'!N84="",0,COUNTIF('#Boden'!$G$22:$G$24,'Flächen u. Kulturen'!N84)+1)</f>
        <v>2</v>
      </c>
      <c r="DG79" s="247">
        <f>IF('Flächen u. Kulturen'!P84="",0,COUNTIF(Kulturen[HF],'Flächen u. Kulturen'!P84)+1)</f>
        <v>2</v>
      </c>
      <c r="DH79" s="247">
        <f>IF('Flächen u. Kulturen'!T84="",0,COUNTIF('#Boden'!$B$30:$B$32,'Flächen u. Kulturen'!T84)+1)</f>
        <v>2</v>
      </c>
      <c r="DI79" s="247">
        <f>IF('Flächen u. Kulturen'!K84="",0,IF(ISNUMBER('Flächen u. Kulturen'!K84)=TRUE,2,1))</f>
        <v>0</v>
      </c>
      <c r="DJ79" s="247">
        <f>IF('Flächen u. Kulturen'!U84="",0,IF(ISNUMBER('Flächen u. Kulturen'!U84)=TRUE,2,1))</f>
        <v>0</v>
      </c>
      <c r="DK79" s="247">
        <f>IF('Flächen u. Kulturen'!V84="",0,IF(ISNUMBER('Flächen u. Kulturen'!V84)=TRUE,2,1))</f>
        <v>0</v>
      </c>
      <c r="DL79" s="247">
        <f>IF('Flächen u. Kulturen'!W84="",0,IF(ISNUMBER('Flächen u. Kulturen'!W84)=TRUE,2,1))</f>
        <v>0</v>
      </c>
      <c r="DM79" s="247">
        <f t="shared" si="76"/>
        <v>0</v>
      </c>
      <c r="DN79" s="247" t="s">
        <v>344</v>
      </c>
      <c r="DO79" s="247">
        <f>IF(U79&lt;&gt;"x","",IF(OR('Flächen u. Kulturen'!B84="",'Flächen u. Kulturen'!C84="",'Flächen u. Kulturen'!D84="",'Flächen u. Kulturen'!D84=0,'Flächen u. Kulturen'!F84="",'Flächen u. Kulturen'!F84='#Boden'!$G$4,'Flächen u. Kulturen'!G84="",'Flächen u. Kulturen'!G84='#Boden'!$B$26,'Flächen u. Kulturen'!H84="",'Flächen u. Kulturen'!H84='#Boden'!$B$23,AND(N79&lt;&gt;2,OR('Flächen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Kulturen'!Q84="",'#BerechnungDBE'!N79&lt;3),AND('Flächen u. Kulturen'!R84="",'#BerechnungDBE'!N79=3),AND(N79=1,AL79&gt;0,'Flächen u. Kulturen'!S84=""),AND(N79=1,OR('Flächen u. Kulturen'!T84="",'Flächen u. Kulturen'!T84='#Boden'!$B$30)),AND('#BerechnungDBE'!AF79=70,OR('Flächen u. Kulturen'!N84="",'Flächen u. Kulturen'!N84='#Boden'!$G$22,'Flächen u. Kulturen'!O84="")),AND('#BerechnungDBE'!AF79=80,OR('Flächen u. Kulturen'!M84="",'Flächen u. Kulturen'!M84='#Boden'!$G$17,'Flächen u. Kulturen'!N84="",'Flächen u. Kulturen'!N84='#Boden'!$G$22))),$DO$4,""))</f>
        <v>1</v>
      </c>
      <c r="DP79" s="247" t="str">
        <f>IF(U79&lt;&gt;"x","",IF(OR(LEFT('Flächen u. Kulturen'!J84,2)=" +",LEFT('Flächen u. Kulturen'!L84,2)=" +",LEFT('Flächen u. Kulturen'!P84,2)=" +"),$DP$4,""))</f>
        <v/>
      </c>
      <c r="DQ79" s="428" t="str">
        <f t="shared" si="58"/>
        <v/>
      </c>
      <c r="DR79" s="938" t="str">
        <f t="shared" si="59"/>
        <v/>
      </c>
      <c r="DS79" s="938" t="str">
        <f>IF('Flächen u. Kulturen'!X84="","",ROW('Flächen u. Kulturen'!X84))</f>
        <v/>
      </c>
    </row>
    <row r="80" spans="1:123" s="875" customFormat="1" x14ac:dyDescent="0.2">
      <c r="A80" s="875" t="str">
        <f>IF('Daten aus 2021'!H82="",'#Boden'!$B$26,IF('Daten aus 2021'!H82='#Boden'!$B$39,IF('Daten aus 2021'!F82='#Boden'!$B$29,'#Boden'!$B$29,IF('Daten aus 2021'!K82='#Boden'!$B$34,'#Boden'!$B$28,'#Boden'!$B$27)),'Daten aus 2021'!F82))</f>
        <v xml:space="preserve"> --</v>
      </c>
      <c r="B80" s="875" t="str">
        <f>IF('Daten aus 2021'!H82='#Boden'!$B$39,IF('Daten aus 2021'!L82='#Boden'!$B$61,'#Boden'!$B$11,'Daten aus 2021'!L82),IF('Daten aus 2021'!P82='#Boden'!$B$58,'#Boden'!$B$11,IF('Daten aus 2021'!P82='#Boden'!$B$57,'#Boden'!$B$10,'#Boden'!$B$9)))</f>
        <v xml:space="preserve"> --         </v>
      </c>
      <c r="C80" s="875" t="str">
        <f>IF('Daten aus 2021'!N82="","",VLOOKUP('Daten aus 2021'!N82,'#Boden'!$B$68:$C$89,2,FALSE))</f>
        <v/>
      </c>
      <c r="D80" s="875" t="str">
        <f>IF('Daten aus 2021'!M82="","",VLOOKUP('Daten aus 2021'!M82,'#Boden'!$D$69:$E$73,2,FALSE))</f>
        <v/>
      </c>
      <c r="E80" s="938" t="str">
        <f>IF(OR(C80='#Boden'!$C$68,C80='#Boden'!$C$70),C80,CONCATENATE(C80,D80))</f>
        <v/>
      </c>
      <c r="F80" s="882" t="str">
        <f>IFERROR(IF('Daten aus 2021'!H82="",'#Frucht'!$D$8,IF('Daten aus 2021'!H82='#Boden'!$B$39,E80,IF('Daten aus 2021'!H82='#Boden'!$B$38,IF(CONCATENATE(" ",'Daten aus 2021'!W82)=$B$2,VLOOKUP($B$3,'#Frucht'!$A$8:$D$372,4,FALSE),VLOOKUP(CONCATENATE(" ",'Daten aus 2021'!W82),'#Frucht'!$A$8:$D$372,4,FALSE)),IF(OR(LEFT('Daten aus 2021'!Q82,5)=" *10 ",LEFT('Daten aus 2021'!Q82,5)=" *11 ",LEFT('Daten aus 2021'!Q82,5)=" *12 ",LEFT('Daten aus 2021'!Q82,5)=" *13 ",LEFT('Daten aus 2021'!Q82,5)=" *14 ",LEFT('Daten aus 2021'!Q82,5)=" *15 "),VLOOKUP(RIGHT('Daten aus 2021'!Q82,LEN('Daten aus 2021'!Q82)-4),'#Frucht'!$A$8:$D$372,4,FALSE),IF(LEFT('Daten aus 2021'!Q82,2)=" *",VLOOKUP(RIGHT('Daten aus 2021'!Q82,LEN('Daten aus 2021'!Q82)-3),'#Frucht'!$A$8:$D$372,4,FALSE),VLOOKUP('Daten aus 2021'!Q82,'#Frucht'!$A$8:$D$372,4,FALSE)))))),'#Frucht'!$D$8)</f>
        <v xml:space="preserve"> --  </v>
      </c>
      <c r="G80" s="127"/>
      <c r="H80" s="31"/>
      <c r="J80" s="938" t="str">
        <f>IF(OR(N80=3,$K$3=0,'Flächen u. Kulturen'!P85=""),"",IF(VLOOKUP('Flächen u. Kulturen'!P85,Kulturen[[HF]:[780]],'#BerechnungDBE'!$K$3,FALSE)=".","",VLOOKUP('Flächen u. Kulturen'!P85,Kulturen[[HF]:[780]],'#BerechnungDBE'!$K$3,FALSE)))</f>
        <v/>
      </c>
      <c r="K80" s="938" t="str">
        <f>IF(OR($K$3=0,'Flächen u. Kulturen'!P85=""),"",IF(N80=3,IF(VLOOKUP('Flächen u. Kulturen'!P85,Kulturen[[HF]:[780]],'#BerechnungDBE'!$K$3,FALSE)=".","",VLOOKUP('Flächen u. Kulturen'!P85,Kulturen[[HF]:[780]],'#BerechnungDBE'!$K$3,FALSE)),""))</f>
        <v/>
      </c>
      <c r="L80" s="367">
        <f>IF('Flächen u. Kulturen'!D85="",0,'Flächen u. Kulturen'!D85)</f>
        <v>0</v>
      </c>
      <c r="M80" s="693">
        <f>IF('Flächen u. Kulturen'!J85="",0,VLOOKUP('Flächen u. Kulturen'!J85,Kulturen[[HF]:[Berechnungsgruppe]],'#Frucht'!$W$1,FALSE))</f>
        <v>1</v>
      </c>
      <c r="N80" s="693">
        <f>IF('Flächen u. Kulturen'!P85="",0,VLOOKUP('Flächen u. Kulturen'!P85,Kulturen[[HF]:[Berechnungsgruppe]],'#Frucht'!$W$1,FALSE))</f>
        <v>1</v>
      </c>
      <c r="O80" s="875">
        <f>IF(N80&lt;&gt;2,N80,IF('Flächen u. Kulturen'!J85='Flächen u. Kulturen'!P85,2,1))</f>
        <v>1</v>
      </c>
      <c r="P80" s="875">
        <f>IF('Flächen u. Kulturen'!F85="",0,VLOOKUP('Flächen u. Kulturen'!F85,'#Boden'!$G$4:$H$8,'#Boden'!$H$1,FALSE))</f>
        <v>1</v>
      </c>
      <c r="Q80" s="875">
        <f>IF('Flächen u. Kulturen'!G85="",0,VLOOKUP('Flächen u. Kulturen'!G85,'#Boden'!$B$26:$C$29,'#Boden'!$C$1,FALSE))</f>
        <v>1</v>
      </c>
      <c r="R80" s="875">
        <f t="shared" si="64"/>
        <v>1</v>
      </c>
      <c r="S80" s="875">
        <f t="shared" si="65"/>
        <v>1</v>
      </c>
      <c r="T80" s="875">
        <f>IF('Flächen u. Kulturen'!H85="",0,VLOOKUP('Flächen u. Kulturen'!H85,'#Boden'!$B$23:$C$25,'#Boden'!$C$1,FALSE))</f>
        <v>2</v>
      </c>
      <c r="U80" s="875" t="str">
        <f>'Flächen u. Kulturen'!E85</f>
        <v>x</v>
      </c>
      <c r="V80" s="938">
        <f>IF('Flächen u. Kulturen'!Q85="",0,_xlfn.NUMBERVALUE('Flächen u. Kulturen'!Q85))</f>
        <v>0</v>
      </c>
      <c r="W80" s="938">
        <f>IF('Flächen u. Kulturen'!R85="",0,_xlfn.NUMBERVALUE('Flächen u. Kulturen'!R85))</f>
        <v>0</v>
      </c>
      <c r="X80" s="875">
        <f>IF('Flächen u. Kulturen'!T85="",0,VLOOKUP('Flächen u. Kulturen'!T85,'#Boden'!$B$30:$C$32,'#Boden'!$C$1,FALSE))</f>
        <v>1</v>
      </c>
      <c r="Y80" s="875">
        <f>IF('Flächen u. Kulturen'!P85="",0,VLOOKUP('Flächen u. Kulturen'!P85,Kulturen[[HF]:[Berechnungsgruppe]],'#Frucht'!$N$1,FALSE))</f>
        <v>0</v>
      </c>
      <c r="Z80" s="875">
        <f t="shared" si="66"/>
        <v>2</v>
      </c>
      <c r="AA80" s="875">
        <f>IF('Flächen u. Kulturen'!P85="",0,VLOOKUP('Flächen u. Kulturen'!P85,Kulturen[[HF]:[Berechnungsgruppe]],'#Frucht'!$V$1,FALSE))</f>
        <v>0</v>
      </c>
      <c r="AB80" s="875">
        <f>IF(N80=1,VLOOKUP('Flächen u. Kulturen'!P85,Kulturen[[HF]:[Ernteprodukt]],'#Frucht'!$I$1,FALSE),4)</f>
        <v>4</v>
      </c>
      <c r="AC80" s="921">
        <f>IF('Flächen u. Kulturen'!J85="",0,VLOOKUP('Flächen u. Kulturen'!J85,Kulturen[[HF]:[Berechnungsgruppe]],'#Frucht'!$G$1,FALSE))</f>
        <v>90</v>
      </c>
      <c r="AD80" s="921">
        <f>IF('Flächen u. Kulturen'!P85="",0,VLOOKUP('Flächen u. Kulturen'!P85,Kulturen[[HF]:[Berechnungsgruppe]],'#Frucht'!$G$1,FALSE))</f>
        <v>90</v>
      </c>
      <c r="AE80" s="938">
        <f>IF('Flächen u. Kulturen'!P85="",0,VLOOKUP('Flächen u. Kulturen'!P85,Kulturen[[HF]:[SollwertMinusNfix]],'#Frucht'!$X$1,FALSE))</f>
        <v>0</v>
      </c>
      <c r="AF80" s="875">
        <f>IF('Flächen u. Kulturen'!L85="",0,VLOOKUP('Flächen u. Kulturen'!L85,Nebenkultur[[Nebenkultur]:[Berechnungsschema]],'#Zweitfr'!$G$1,FALSE))</f>
        <v>0</v>
      </c>
      <c r="AG80" s="875">
        <f>IF('Flächen u. Kulturen'!L85="",0,VLOOKUP('Flächen u. Kulturen'!L85,'#Zweitfr'!$D$8:$Q$27,'#Zweitfr'!$Q$1,FALSE))</f>
        <v>0</v>
      </c>
      <c r="AH80" s="875">
        <f>IF('Flächen u. Kulturen'!M85="",0,VLOOKUP('Flächen u. Kulturen'!M85,'#Boden'!$G$17:$H$21,2,FALSE))</f>
        <v>1</v>
      </c>
      <c r="AI80" s="875">
        <f>IF('Flächen u. Kulturen'!N85="",0,VLOOKUP('Flächen u. Kulturen'!N85,'#Boden'!$G$22:$H$24,'#Boden'!$H$1,FALSE))</f>
        <v>1</v>
      </c>
      <c r="AJ80" s="938">
        <f>IF('Flächen u. Kulturen'!O85="",0,_xlfn.NUMBERVALUE('Flächen u. Kulturen'!O85))</f>
        <v>0</v>
      </c>
      <c r="AK80" s="938">
        <f>IF('Flächen u. Kulturen'!L85="",0,VLOOKUP('Flächen u. Kulturen'!L85,Nebenkultur[[Nebenkultur]:[Legum. Zwischenfr.]],'#Zweitfr'!$P$1,FALSE))</f>
        <v>0</v>
      </c>
      <c r="AL80" s="875">
        <f>IF('Flächen u. Kulturen'!P85="",0,VLOOKUP('Flächen u. Kulturen'!P85,Kulturen[[HF]:[Berechnungsgruppe]],'#Frucht'!$Q$1,FALSE))</f>
        <v>0</v>
      </c>
      <c r="AM80" s="875">
        <f>IF('Flächen u. Kulturen'!P85="",0,VLOOKUP('Flächen u. Kulturen'!P85,Kulturen[[HF]:[Berechnungsgruppe]],'#Frucht'!$M$1,FALSE))</f>
        <v>0</v>
      </c>
      <c r="AN80" s="875">
        <f>IF('Flächen u. Kulturen'!P85="",1,VLOOKUP('Flächen u. Kulturen'!P85,Kulturen[[HF]:[Berechnungsgruppe]],'#Frucht'!$R$1,FALSE))</f>
        <v>10</v>
      </c>
      <c r="AO80" s="875">
        <f>IF('Flächen u. Kulturen'!P85="",0,VLOOKUP('Flächen u. Kulturen'!P85,Kulturen[[HF]:[Berechnungsgruppe]],'#Frucht'!$S$1,FALSE))</f>
        <v>0</v>
      </c>
      <c r="AP80" s="875">
        <f>IF('Flächen u. Kulturen'!P85="",0,VLOOKUP('Flächen u. Kulturen'!P85,Kulturen[[HF]:[Berechnungsgruppe]],'#Frucht'!$T$1,FALSE))</f>
        <v>0</v>
      </c>
      <c r="AQ80" s="938">
        <f t="shared" si="46"/>
        <v>0</v>
      </c>
      <c r="AR80" s="875">
        <f t="shared" si="47"/>
        <v>0</v>
      </c>
      <c r="AS80" s="938">
        <f t="shared" si="48"/>
        <v>0</v>
      </c>
      <c r="AT80" s="875">
        <f>IF(N80=1,'Flächen u. Kulturen'!S85*-1,"--")</f>
        <v>0</v>
      </c>
      <c r="AU80" s="938">
        <f>IF(OR(N80=2,'Flächen u. Kulturen'!I85=""),"--",IF(N80=3,VLOOKUP('Flächen u. Kulturen'!I85,'#Boden'!$B$9:$E$15,'#Boden'!$D$1,FALSE),VLOOKUP('Flächen u. Kulturen'!I85,'#Boden'!$B$9:$E$15,'#Boden'!$E$1,FALSE)))</f>
        <v>0</v>
      </c>
      <c r="AV80" s="938">
        <f>IF(N80=1,IF('Flächen u. Kulturen'!J85="",0,VLOOKUP('Flächen u. Kulturen'!J85,Kulturen[[HF]:[Berechnungsgruppe]],'#Frucht'!$U$1,FALSE)*-1),"--")</f>
        <v>0</v>
      </c>
      <c r="AW80" s="875">
        <f t="shared" si="49"/>
        <v>0</v>
      </c>
      <c r="AX80" s="875">
        <f>IF('Flächen u. Kulturen'!K85="",0,'Flächen u. Kulturen'!K85*-0.1)</f>
        <v>0</v>
      </c>
      <c r="AY80" s="875">
        <f>IF(N80&lt;3,'#orgDung'!AC89*0.1*-1,"--")</f>
        <v>0</v>
      </c>
      <c r="AZ80" s="31" t="str">
        <f>IF(AND('#orgDung'!J89&lt;&gt;2,'#orgDung'!F89=1),('#orgDung'!V89+'#minDung'!O86)*-1,"--")</f>
        <v>--</v>
      </c>
      <c r="BA80" s="875">
        <f t="shared" si="67"/>
        <v>0</v>
      </c>
      <c r="BB80" s="938">
        <f>IF(R80=2,0,'Flächen u. Kulturen'!V85*-1)</f>
        <v>0</v>
      </c>
      <c r="BC80" s="875">
        <f t="shared" si="68"/>
        <v>0</v>
      </c>
      <c r="BD80" s="127">
        <f>'#orgDung'!W89*-1</f>
        <v>0</v>
      </c>
      <c r="BE80" s="910">
        <f>'#orgDung'!AA89*-1</f>
        <v>0</v>
      </c>
      <c r="BF80" s="875">
        <f>'#orgDung'!Z89*-1</f>
        <v>0</v>
      </c>
      <c r="BG80" s="938">
        <f t="shared" si="60"/>
        <v>0</v>
      </c>
      <c r="BH80" s="875">
        <f>'#Kürzungen'!AS104*-1</f>
        <v>0</v>
      </c>
      <c r="BI80" s="875">
        <f t="shared" si="50"/>
        <v>0</v>
      </c>
      <c r="BJ80" s="910">
        <f t="shared" si="51"/>
        <v>0</v>
      </c>
      <c r="BK80" s="875">
        <f>'#minDung'!P86</f>
        <v>0</v>
      </c>
      <c r="BL80" s="938">
        <f t="shared" si="61"/>
        <v>0</v>
      </c>
      <c r="BM80" s="938">
        <f t="shared" si="52"/>
        <v>0</v>
      </c>
      <c r="BN80" s="875">
        <f>IF('Flächen u. Kulturen'!P85="",0,VLOOKUP('Flächen u. Kulturen'!P85,Kulturen[[HF]:[Berechnungsgruppe]],'#Frucht'!$K$1,FALSE))</f>
        <v>0</v>
      </c>
      <c r="BO80" s="875">
        <f>IF('Flächen u. Kulturen'!P85="",0,VLOOKUP('Flächen u. Kulturen'!P85,Kulturen[[HF]:[Berechnungsgruppe]],'#Frucht'!$L$1,FALSE))</f>
        <v>0</v>
      </c>
      <c r="BP80" s="875">
        <f>IF('Flächen u. Kulturen'!L85="",0,VLOOKUP('Flächen u. Kulturen'!L85,Nebenkultur[[Nebenkultur]:[Legum. Zwischenfr.]],'#Zweitfr'!$H$1,FALSE))</f>
        <v>0</v>
      </c>
      <c r="BQ80" s="938">
        <f>IF(N80=3,W80*BO80,IF('Flächen u. Kulturen'!T85='#Boden'!$B$32,V80*BN80,V80*BO80))</f>
        <v>0</v>
      </c>
      <c r="BR80" s="938">
        <f t="shared" si="53"/>
        <v>0</v>
      </c>
      <c r="BS80" s="875">
        <f t="shared" si="69"/>
        <v>0</v>
      </c>
      <c r="BT80" s="875">
        <f>IF('Flächen u. Kulturen'!F85="",0,IF(N80=3,VLOOKUP('Flächen u. Kulturen'!F85,'#Boden'!$G$4:$J$8,'#Boden'!$J$1,FALSE),VLOOKUP('Flächen u. Kulturen'!F85,'#Boden'!$G$4:$J$8,'#Boden'!$I$1,FALSE)))</f>
        <v>0</v>
      </c>
      <c r="BU80" s="41">
        <f t="shared" si="70"/>
        <v>0</v>
      </c>
      <c r="BV80" s="875">
        <f t="shared" si="71"/>
        <v>0</v>
      </c>
      <c r="BW80" s="938" t="str">
        <f t="shared" si="62"/>
        <v/>
      </c>
      <c r="BX80" s="875">
        <f>'#orgDung'!T89*-1</f>
        <v>0</v>
      </c>
      <c r="BY80" s="875">
        <f t="shared" si="54"/>
        <v>0</v>
      </c>
      <c r="BZ80" s="938" t="str">
        <f>IF(U80&lt;&gt;"x",0,IF(P80&lt;4,"",(BW80+BX80-'#minDung'!N86)*-1))</f>
        <v/>
      </c>
      <c r="CB80" s="938">
        <f>IF(AND(AF80=70,U80="x"),'Flächen u. Kulturen'!A85,1000)</f>
        <v>1000</v>
      </c>
      <c r="CC80" s="875" t="str">
        <f>IF(AF80=70,VLOOKUP('Flächen u. Kulturen'!L85,Nebenkultur[[Nebenkultur]:[Legum. Zwischenfr.]],'#Zweitfr'!$I$1,FALSE),"--")</f>
        <v>--</v>
      </c>
      <c r="CD80" s="875" t="str">
        <f>IF(AF80=70,VLOOKUP('Flächen u. Kulturen'!L85,Nebenkultur[[Nebenkultur]:[Legum. Zwischenfr.]],'#Zweitfr'!$L$1,FALSE),"--")</f>
        <v>--</v>
      </c>
      <c r="CE80" s="875" t="str">
        <f>IF(AF80=70,VLOOKUP('Flächen u. Kulturen'!L85,Nebenkultur[[Nebenkultur]:[Legum. Zwischenfr.]],'#Zweitfr'!$M$1,FALSE),"--")</f>
        <v>--</v>
      </c>
      <c r="CF80" s="875" t="str">
        <f>IF(AF80=70,VLOOKUP('Flächen u. Kulturen'!L85,Nebenkultur[[Nebenkultur]:[Legum. Zwischenfr.]],'#Zweitfr'!$N$1,FALSE),"--")</f>
        <v>--</v>
      </c>
      <c r="CG80" s="875" t="str">
        <f>IF(AF80=70,VLOOKUP('Flächen u. Kulturen'!L85,Nebenkultur[[Nebenkultur]:[Legum. Zwischenfr.]],'#Zweitfr'!$O$1,FALSE),"--")</f>
        <v>--</v>
      </c>
      <c r="CH80" s="875" t="str">
        <f t="shared" si="55"/>
        <v>--</v>
      </c>
      <c r="CI80" s="938">
        <f>IF('Flächen u. Kulturen'!L85="",0,VLOOKUP('Flächen u. Kulturen'!L85,Nebenkultur[[Nebenkultur]:[Legum. Zwischenfr.]],'#Zweitfr'!$J$1,FALSE))</f>
        <v>0</v>
      </c>
      <c r="CJ80" s="875">
        <f t="shared" si="56"/>
        <v>0</v>
      </c>
      <c r="CK80" s="890">
        <f t="shared" si="57"/>
        <v>0</v>
      </c>
      <c r="CL80" s="938">
        <f>IF(AND(R80=1,AF80=70),'Flächen u. Kulturen'!W85*-1,0)</f>
        <v>0</v>
      </c>
      <c r="CM80" s="875">
        <f>'#orgDung'!AE89*-1</f>
        <v>0</v>
      </c>
      <c r="CN80" s="875">
        <f t="shared" si="72"/>
        <v>0</v>
      </c>
      <c r="CO80" s="875">
        <f t="shared" si="73"/>
        <v>0</v>
      </c>
      <c r="CP80" s="875">
        <f>'#Kürzungen'!AS205*-1</f>
        <v>0</v>
      </c>
      <c r="CQ80" s="875">
        <f t="shared" si="74"/>
        <v>0</v>
      </c>
      <c r="CR80" s="875">
        <f t="shared" si="75"/>
        <v>0</v>
      </c>
      <c r="CS80" s="875">
        <f>'#minDung'!R86</f>
        <v>0</v>
      </c>
      <c r="CT80" s="938">
        <f t="shared" si="63"/>
        <v>0</v>
      </c>
      <c r="CU80" s="52" t="str">
        <f>'#Kürzungen'!AQ205</f>
        <v xml:space="preserve"> </v>
      </c>
      <c r="CW80" s="247">
        <f>IF('Flächen u. Kulturen'!D85="",0,IF(ISNUMBER('Flächen u. Kulturen'!D85)=TRUE,2,1))</f>
        <v>0</v>
      </c>
      <c r="CX80" s="247">
        <f>IF('Flächen u. Kulturen'!E85="",0,COUNTIF('#Boden'!$B$47,'Flächen u. Kulturen'!E85)+1)</f>
        <v>2</v>
      </c>
      <c r="CY80" s="247">
        <f>IF('Flächen u. Kulturen'!F85="",0,COUNTIF('#Boden'!$G$4:$G$8,'Flächen u. Kulturen'!F85)+1)</f>
        <v>2</v>
      </c>
      <c r="CZ80" s="247">
        <f>IF('Flächen u. Kulturen'!G85="",0,COUNTIF('#Boden'!$B$26:$B$29,'Flächen u. Kulturen'!G85)+1)</f>
        <v>2</v>
      </c>
      <c r="DA80" s="247">
        <f>IF('Flächen u. Kulturen'!H85="",0,COUNTIF('#Boden'!$B$26:$B$29,'Flächen u. Kulturen'!H85)+1)</f>
        <v>2</v>
      </c>
      <c r="DB80" s="247">
        <f>IF('Flächen u. Kulturen'!I85="",0,COUNTIF('#Boden'!$B$9:$B$15,'Flächen u. Kulturen'!I85)+1)</f>
        <v>2</v>
      </c>
      <c r="DC80" s="247">
        <f>IF('Flächen u. Kulturen'!J85="",0,COUNTIF(Kulturen[HF],'Flächen u. Kulturen'!J85)+1)</f>
        <v>2</v>
      </c>
      <c r="DD80" s="247">
        <f>IF('Flächen u. Kulturen'!L85="",0,COUNTIF(Nebenkultur[Nebenkultur],'Flächen u. Kulturen'!L85)+1)</f>
        <v>2</v>
      </c>
      <c r="DE80" s="247">
        <f>IF('Flächen u. Kulturen'!M85="",0,COUNTIF('#Boden'!$G$17:$G$21,'Flächen u. Kulturen'!M85)+1)</f>
        <v>2</v>
      </c>
      <c r="DF80" s="247">
        <f>IF('Flächen u. Kulturen'!N85="",0,COUNTIF('#Boden'!$G$22:$G$24,'Flächen u. Kulturen'!N85)+1)</f>
        <v>2</v>
      </c>
      <c r="DG80" s="247">
        <f>IF('Flächen u. Kulturen'!P85="",0,COUNTIF(Kulturen[HF],'Flächen u. Kulturen'!P85)+1)</f>
        <v>2</v>
      </c>
      <c r="DH80" s="247">
        <f>IF('Flächen u. Kulturen'!T85="",0,COUNTIF('#Boden'!$B$30:$B$32,'Flächen u. Kulturen'!T85)+1)</f>
        <v>2</v>
      </c>
      <c r="DI80" s="247">
        <f>IF('Flächen u. Kulturen'!K85="",0,IF(ISNUMBER('Flächen u. Kulturen'!K85)=TRUE,2,1))</f>
        <v>0</v>
      </c>
      <c r="DJ80" s="247">
        <f>IF('Flächen u. Kulturen'!U85="",0,IF(ISNUMBER('Flächen u. Kulturen'!U85)=TRUE,2,1))</f>
        <v>0</v>
      </c>
      <c r="DK80" s="247">
        <f>IF('Flächen u. Kulturen'!V85="",0,IF(ISNUMBER('Flächen u. Kulturen'!V85)=TRUE,2,1))</f>
        <v>0</v>
      </c>
      <c r="DL80" s="247">
        <f>IF('Flächen u. Kulturen'!W85="",0,IF(ISNUMBER('Flächen u. Kulturen'!W85)=TRUE,2,1))</f>
        <v>0</v>
      </c>
      <c r="DM80" s="247">
        <f t="shared" si="76"/>
        <v>0</v>
      </c>
      <c r="DN80" s="247" t="s">
        <v>344</v>
      </c>
      <c r="DO80" s="247">
        <f>IF(U80&lt;&gt;"x","",IF(OR('Flächen u. Kulturen'!B85="",'Flächen u. Kulturen'!C85="",'Flächen u. Kulturen'!D85="",'Flächen u. Kulturen'!D85=0,'Flächen u. Kulturen'!F85="",'Flächen u. Kulturen'!F85='#Boden'!$G$4,'Flächen u. Kulturen'!G85="",'Flächen u. Kulturen'!G85='#Boden'!$B$26,'Flächen u. Kulturen'!H85="",'Flächen u. Kulturen'!H85='#Boden'!$B$23,AND(N80&lt;&gt;2,OR('Flächen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Kulturen'!Q85="",'#BerechnungDBE'!N80&lt;3),AND('Flächen u. Kulturen'!R85="",'#BerechnungDBE'!N80=3),AND(N80=1,AL80&gt;0,'Flächen u. Kulturen'!S85=""),AND(N80=1,OR('Flächen u. Kulturen'!T85="",'Flächen u. Kulturen'!T85='#Boden'!$B$30)),AND('#BerechnungDBE'!AF80=70,OR('Flächen u. Kulturen'!N85="",'Flächen u. Kulturen'!N85='#Boden'!$G$22,'Flächen u. Kulturen'!O85="")),AND('#BerechnungDBE'!AF80=80,OR('Flächen u. Kulturen'!M85="",'Flächen u. Kulturen'!M85='#Boden'!$G$17,'Flächen u. Kulturen'!N85="",'Flächen u. Kulturen'!N85='#Boden'!$G$22))),$DO$4,""))</f>
        <v>1</v>
      </c>
      <c r="DP80" s="247" t="str">
        <f>IF(U80&lt;&gt;"x","",IF(OR(LEFT('Flächen u. Kulturen'!J85,2)=" +",LEFT('Flächen u. Kulturen'!L85,2)=" +",LEFT('Flächen u. Kulturen'!P85,2)=" +"),$DP$4,""))</f>
        <v/>
      </c>
      <c r="DQ80" s="428" t="str">
        <f t="shared" si="58"/>
        <v/>
      </c>
      <c r="DR80" s="938" t="str">
        <f t="shared" si="59"/>
        <v/>
      </c>
      <c r="DS80" s="938" t="str">
        <f>IF('Flächen u. Kulturen'!X85="","",ROW('Flächen u. Kulturen'!X85))</f>
        <v/>
      </c>
    </row>
    <row r="81" spans="1:123" s="875" customFormat="1" x14ac:dyDescent="0.2">
      <c r="A81" s="875" t="str">
        <f>IF('Daten aus 2021'!H83="",'#Boden'!$B$26,IF('Daten aus 2021'!H83='#Boden'!$B$39,IF('Daten aus 2021'!F83='#Boden'!$B$29,'#Boden'!$B$29,IF('Daten aus 2021'!K83='#Boden'!$B$34,'#Boden'!$B$28,'#Boden'!$B$27)),'Daten aus 2021'!F83))</f>
        <v xml:space="preserve"> --</v>
      </c>
      <c r="B81" s="875" t="str">
        <f>IF('Daten aus 2021'!H83='#Boden'!$B$39,IF('Daten aus 2021'!L83='#Boden'!$B$61,'#Boden'!$B$11,'Daten aus 2021'!L83),IF('Daten aus 2021'!P83='#Boden'!$B$58,'#Boden'!$B$11,IF('Daten aus 2021'!P83='#Boden'!$B$57,'#Boden'!$B$10,'#Boden'!$B$9)))</f>
        <v xml:space="preserve"> --         </v>
      </c>
      <c r="C81" s="875" t="str">
        <f>IF('Daten aus 2021'!N83="","",VLOOKUP('Daten aus 2021'!N83,'#Boden'!$B$68:$C$89,2,FALSE))</f>
        <v/>
      </c>
      <c r="D81" s="875" t="str">
        <f>IF('Daten aus 2021'!M83="","",VLOOKUP('Daten aus 2021'!M83,'#Boden'!$D$69:$E$73,2,FALSE))</f>
        <v/>
      </c>
      <c r="E81" s="938" t="str">
        <f>IF(OR(C81='#Boden'!$C$68,C81='#Boden'!$C$70),C81,CONCATENATE(C81,D81))</f>
        <v/>
      </c>
      <c r="F81" s="882" t="str">
        <f>IFERROR(IF('Daten aus 2021'!H83="",'#Frucht'!$D$8,IF('Daten aus 2021'!H83='#Boden'!$B$39,E81,IF('Daten aus 2021'!H83='#Boden'!$B$38,IF(CONCATENATE(" ",'Daten aus 2021'!W83)=$B$2,VLOOKUP($B$3,'#Frucht'!$A$8:$D$372,4,FALSE),VLOOKUP(CONCATENATE(" ",'Daten aus 2021'!W83),'#Frucht'!$A$8:$D$372,4,FALSE)),IF(OR(LEFT('Daten aus 2021'!Q83,5)=" *10 ",LEFT('Daten aus 2021'!Q83,5)=" *11 ",LEFT('Daten aus 2021'!Q83,5)=" *12 ",LEFT('Daten aus 2021'!Q83,5)=" *13 ",LEFT('Daten aus 2021'!Q83,5)=" *14 ",LEFT('Daten aus 2021'!Q83,5)=" *15 "),VLOOKUP(RIGHT('Daten aus 2021'!Q83,LEN('Daten aus 2021'!Q83)-4),'#Frucht'!$A$8:$D$372,4,FALSE),IF(LEFT('Daten aus 2021'!Q83,2)=" *",VLOOKUP(RIGHT('Daten aus 2021'!Q83,LEN('Daten aus 2021'!Q83)-3),'#Frucht'!$A$8:$D$372,4,FALSE),VLOOKUP('Daten aus 2021'!Q83,'#Frucht'!$A$8:$D$372,4,FALSE)))))),'#Frucht'!$D$8)</f>
        <v xml:space="preserve"> --  </v>
      </c>
      <c r="G81" s="127"/>
      <c r="H81" s="31"/>
      <c r="J81" s="938" t="str">
        <f>IF(OR(N81=3,$K$3=0,'Flächen u. Kulturen'!P86=""),"",IF(VLOOKUP('Flächen u. Kulturen'!P86,Kulturen[[HF]:[780]],'#BerechnungDBE'!$K$3,FALSE)=".","",VLOOKUP('Flächen u. Kulturen'!P86,Kulturen[[HF]:[780]],'#BerechnungDBE'!$K$3,FALSE)))</f>
        <v/>
      </c>
      <c r="K81" s="938" t="str">
        <f>IF(OR($K$3=0,'Flächen u. Kulturen'!P86=""),"",IF(N81=3,IF(VLOOKUP('Flächen u. Kulturen'!P86,Kulturen[[HF]:[780]],'#BerechnungDBE'!$K$3,FALSE)=".","",VLOOKUP('Flächen u. Kulturen'!P86,Kulturen[[HF]:[780]],'#BerechnungDBE'!$K$3,FALSE)),""))</f>
        <v/>
      </c>
      <c r="L81" s="367">
        <f>IF('Flächen u. Kulturen'!D86="",0,'Flächen u. Kulturen'!D86)</f>
        <v>0</v>
      </c>
      <c r="M81" s="693">
        <f>IF('Flächen u. Kulturen'!J86="",0,VLOOKUP('Flächen u. Kulturen'!J86,Kulturen[[HF]:[Berechnungsgruppe]],'#Frucht'!$W$1,FALSE))</f>
        <v>1</v>
      </c>
      <c r="N81" s="693">
        <f>IF('Flächen u. Kulturen'!P86="",0,VLOOKUP('Flächen u. Kulturen'!P86,Kulturen[[HF]:[Berechnungsgruppe]],'#Frucht'!$W$1,FALSE))</f>
        <v>1</v>
      </c>
      <c r="O81" s="875">
        <f>IF(N81&lt;&gt;2,N81,IF('Flächen u. Kulturen'!J86='Flächen u. Kulturen'!P86,2,1))</f>
        <v>1</v>
      </c>
      <c r="P81" s="875">
        <f>IF('Flächen u. Kulturen'!F86="",0,VLOOKUP('Flächen u. Kulturen'!F86,'#Boden'!$G$4:$H$8,'#Boden'!$H$1,FALSE))</f>
        <v>1</v>
      </c>
      <c r="Q81" s="875">
        <f>IF('Flächen u. Kulturen'!G86="",0,VLOOKUP('Flächen u. Kulturen'!G86,'#Boden'!$B$26:$C$29,'#Boden'!$C$1,FALSE))</f>
        <v>1</v>
      </c>
      <c r="R81" s="875">
        <f t="shared" si="64"/>
        <v>1</v>
      </c>
      <c r="S81" s="875">
        <f t="shared" si="65"/>
        <v>1</v>
      </c>
      <c r="T81" s="875">
        <f>IF('Flächen u. Kulturen'!H86="",0,VLOOKUP('Flächen u. Kulturen'!H86,'#Boden'!$B$23:$C$25,'#Boden'!$C$1,FALSE))</f>
        <v>2</v>
      </c>
      <c r="U81" s="875" t="str">
        <f>'Flächen u. Kulturen'!E86</f>
        <v>x</v>
      </c>
      <c r="V81" s="938">
        <f>IF('Flächen u. Kulturen'!Q86="",0,_xlfn.NUMBERVALUE('Flächen u. Kulturen'!Q86))</f>
        <v>0</v>
      </c>
      <c r="W81" s="938">
        <f>IF('Flächen u. Kulturen'!R86="",0,_xlfn.NUMBERVALUE('Flächen u. Kulturen'!R86))</f>
        <v>0</v>
      </c>
      <c r="X81" s="875">
        <f>IF('Flächen u. Kulturen'!T86="",0,VLOOKUP('Flächen u. Kulturen'!T86,'#Boden'!$B$30:$C$32,'#Boden'!$C$1,FALSE))</f>
        <v>1</v>
      </c>
      <c r="Y81" s="875">
        <f>IF('Flächen u. Kulturen'!P86="",0,VLOOKUP('Flächen u. Kulturen'!P86,Kulturen[[HF]:[Berechnungsgruppe]],'#Frucht'!$N$1,FALSE))</f>
        <v>0</v>
      </c>
      <c r="Z81" s="875">
        <f t="shared" si="66"/>
        <v>2</v>
      </c>
      <c r="AA81" s="875">
        <f>IF('Flächen u. Kulturen'!P86="",0,VLOOKUP('Flächen u. Kulturen'!P86,Kulturen[[HF]:[Berechnungsgruppe]],'#Frucht'!$V$1,FALSE))</f>
        <v>0</v>
      </c>
      <c r="AB81" s="875">
        <f>IF(N81=1,VLOOKUP('Flächen u. Kulturen'!P86,Kulturen[[HF]:[Ernteprodukt]],'#Frucht'!$I$1,FALSE),4)</f>
        <v>4</v>
      </c>
      <c r="AC81" s="921">
        <f>IF('Flächen u. Kulturen'!J86="",0,VLOOKUP('Flächen u. Kulturen'!J86,Kulturen[[HF]:[Berechnungsgruppe]],'#Frucht'!$G$1,FALSE))</f>
        <v>90</v>
      </c>
      <c r="AD81" s="921">
        <f>IF('Flächen u. Kulturen'!P86="",0,VLOOKUP('Flächen u. Kulturen'!P86,Kulturen[[HF]:[Berechnungsgruppe]],'#Frucht'!$G$1,FALSE))</f>
        <v>90</v>
      </c>
      <c r="AE81" s="938">
        <f>IF('Flächen u. Kulturen'!P86="",0,VLOOKUP('Flächen u. Kulturen'!P86,Kulturen[[HF]:[SollwertMinusNfix]],'#Frucht'!$X$1,FALSE))</f>
        <v>0</v>
      </c>
      <c r="AF81" s="875">
        <f>IF('Flächen u. Kulturen'!L86="",0,VLOOKUP('Flächen u. Kulturen'!L86,Nebenkultur[[Nebenkultur]:[Berechnungsschema]],'#Zweitfr'!$G$1,FALSE))</f>
        <v>0</v>
      </c>
      <c r="AG81" s="875">
        <f>IF('Flächen u. Kulturen'!L86="",0,VLOOKUP('Flächen u. Kulturen'!L86,'#Zweitfr'!$D$8:$Q$27,'#Zweitfr'!$Q$1,FALSE))</f>
        <v>0</v>
      </c>
      <c r="AH81" s="875">
        <f>IF('Flächen u. Kulturen'!M86="",0,VLOOKUP('Flächen u. Kulturen'!M86,'#Boden'!$G$17:$H$21,2,FALSE))</f>
        <v>1</v>
      </c>
      <c r="AI81" s="875">
        <f>IF('Flächen u. Kulturen'!N86="",0,VLOOKUP('Flächen u. Kulturen'!N86,'#Boden'!$G$22:$H$24,'#Boden'!$H$1,FALSE))</f>
        <v>1</v>
      </c>
      <c r="AJ81" s="938">
        <f>IF('Flächen u. Kulturen'!O86="",0,_xlfn.NUMBERVALUE('Flächen u. Kulturen'!O86))</f>
        <v>0</v>
      </c>
      <c r="AK81" s="938">
        <f>IF('Flächen u. Kulturen'!L86="",0,VLOOKUP('Flächen u. Kulturen'!L86,Nebenkultur[[Nebenkultur]:[Legum. Zwischenfr.]],'#Zweitfr'!$P$1,FALSE))</f>
        <v>0</v>
      </c>
      <c r="AL81" s="875">
        <f>IF('Flächen u. Kulturen'!P86="",0,VLOOKUP('Flächen u. Kulturen'!P86,Kulturen[[HF]:[Berechnungsgruppe]],'#Frucht'!$Q$1,FALSE))</f>
        <v>0</v>
      </c>
      <c r="AM81" s="875">
        <f>IF('Flächen u. Kulturen'!P86="",0,VLOOKUP('Flächen u. Kulturen'!P86,Kulturen[[HF]:[Berechnungsgruppe]],'#Frucht'!$M$1,FALSE))</f>
        <v>0</v>
      </c>
      <c r="AN81" s="875">
        <f>IF('Flächen u. Kulturen'!P86="",1,VLOOKUP('Flächen u. Kulturen'!P86,Kulturen[[HF]:[Berechnungsgruppe]],'#Frucht'!$R$1,FALSE))</f>
        <v>10</v>
      </c>
      <c r="AO81" s="875">
        <f>IF('Flächen u. Kulturen'!P86="",0,VLOOKUP('Flächen u. Kulturen'!P86,Kulturen[[HF]:[Berechnungsgruppe]],'#Frucht'!$S$1,FALSE))</f>
        <v>0</v>
      </c>
      <c r="AP81" s="875">
        <f>IF('Flächen u. Kulturen'!P86="",0,VLOOKUP('Flächen u. Kulturen'!P86,Kulturen[[HF]:[Berechnungsgruppe]],'#Frucht'!$T$1,FALSE))</f>
        <v>0</v>
      </c>
      <c r="AQ81" s="938">
        <f t="shared" si="46"/>
        <v>0</v>
      </c>
      <c r="AR81" s="875">
        <f t="shared" si="47"/>
        <v>0</v>
      </c>
      <c r="AS81" s="938">
        <f t="shared" si="48"/>
        <v>0</v>
      </c>
      <c r="AT81" s="875">
        <f>IF(N81=1,'Flächen u. Kulturen'!S86*-1,"--")</f>
        <v>0</v>
      </c>
      <c r="AU81" s="938">
        <f>IF(OR(N81=2,'Flächen u. Kulturen'!I86=""),"--",IF(N81=3,VLOOKUP('Flächen u. Kulturen'!I86,'#Boden'!$B$9:$E$15,'#Boden'!$D$1,FALSE),VLOOKUP('Flächen u. Kulturen'!I86,'#Boden'!$B$9:$E$15,'#Boden'!$E$1,FALSE)))</f>
        <v>0</v>
      </c>
      <c r="AV81" s="938">
        <f>IF(N81=1,IF('Flächen u. Kulturen'!J86="",0,VLOOKUP('Flächen u. Kulturen'!J86,Kulturen[[HF]:[Berechnungsgruppe]],'#Frucht'!$U$1,FALSE)*-1),"--")</f>
        <v>0</v>
      </c>
      <c r="AW81" s="875">
        <f t="shared" si="49"/>
        <v>0</v>
      </c>
      <c r="AX81" s="875">
        <f>IF('Flächen u. Kulturen'!K86="",0,'Flächen u. Kulturen'!K86*-0.1)</f>
        <v>0</v>
      </c>
      <c r="AY81" s="875">
        <f>IF(N81&lt;3,'#orgDung'!AC90*0.1*-1,"--")</f>
        <v>0</v>
      </c>
      <c r="AZ81" s="31" t="str">
        <f>IF(AND('#orgDung'!J90&lt;&gt;2,'#orgDung'!F90=1),('#orgDung'!V90+'#minDung'!O87)*-1,"--")</f>
        <v>--</v>
      </c>
      <c r="BA81" s="875">
        <f t="shared" si="67"/>
        <v>0</v>
      </c>
      <c r="BB81" s="938">
        <f>IF(R81=2,0,'Flächen u. Kulturen'!V86*-1)</f>
        <v>0</v>
      </c>
      <c r="BC81" s="875">
        <f t="shared" si="68"/>
        <v>0</v>
      </c>
      <c r="BD81" s="127">
        <f>'#orgDung'!W90*-1</f>
        <v>0</v>
      </c>
      <c r="BE81" s="910">
        <f>'#orgDung'!AA90*-1</f>
        <v>0</v>
      </c>
      <c r="BF81" s="875">
        <f>'#orgDung'!Z90*-1</f>
        <v>0</v>
      </c>
      <c r="BG81" s="938">
        <f t="shared" si="60"/>
        <v>0</v>
      </c>
      <c r="BH81" s="875">
        <f>'#Kürzungen'!AS105*-1</f>
        <v>0</v>
      </c>
      <c r="BI81" s="875">
        <f t="shared" si="50"/>
        <v>0</v>
      </c>
      <c r="BJ81" s="910">
        <f t="shared" si="51"/>
        <v>0</v>
      </c>
      <c r="BK81" s="875">
        <f>'#minDung'!P87</f>
        <v>0</v>
      </c>
      <c r="BL81" s="938">
        <f t="shared" si="61"/>
        <v>0</v>
      </c>
      <c r="BM81" s="938">
        <f t="shared" si="52"/>
        <v>0</v>
      </c>
      <c r="BN81" s="875">
        <f>IF('Flächen u. Kulturen'!P86="",0,VLOOKUP('Flächen u. Kulturen'!P86,Kulturen[[HF]:[Berechnungsgruppe]],'#Frucht'!$K$1,FALSE))</f>
        <v>0</v>
      </c>
      <c r="BO81" s="875">
        <f>IF('Flächen u. Kulturen'!P86="",0,VLOOKUP('Flächen u. Kulturen'!P86,Kulturen[[HF]:[Berechnungsgruppe]],'#Frucht'!$L$1,FALSE))</f>
        <v>0</v>
      </c>
      <c r="BP81" s="875">
        <f>IF('Flächen u. Kulturen'!L86="",0,VLOOKUP('Flächen u. Kulturen'!L86,Nebenkultur[[Nebenkultur]:[Legum. Zwischenfr.]],'#Zweitfr'!$H$1,FALSE))</f>
        <v>0</v>
      </c>
      <c r="BQ81" s="938">
        <f>IF(N81=3,W81*BO81,IF('Flächen u. Kulturen'!T86='#Boden'!$B$32,V81*BN81,V81*BO81))</f>
        <v>0</v>
      </c>
      <c r="BR81" s="938">
        <f t="shared" si="53"/>
        <v>0</v>
      </c>
      <c r="BS81" s="875">
        <f t="shared" si="69"/>
        <v>0</v>
      </c>
      <c r="BT81" s="875">
        <f>IF('Flächen u. Kulturen'!F86="",0,IF(N81=3,VLOOKUP('Flächen u. Kulturen'!F86,'#Boden'!$G$4:$J$8,'#Boden'!$J$1,FALSE),VLOOKUP('Flächen u. Kulturen'!F86,'#Boden'!$G$4:$J$8,'#Boden'!$I$1,FALSE)))</f>
        <v>0</v>
      </c>
      <c r="BU81" s="41">
        <f t="shared" si="70"/>
        <v>0</v>
      </c>
      <c r="BV81" s="875">
        <f t="shared" si="71"/>
        <v>0</v>
      </c>
      <c r="BW81" s="938" t="str">
        <f t="shared" si="62"/>
        <v/>
      </c>
      <c r="BX81" s="875">
        <f>'#orgDung'!T90*-1</f>
        <v>0</v>
      </c>
      <c r="BY81" s="875">
        <f t="shared" si="54"/>
        <v>0</v>
      </c>
      <c r="BZ81" s="938" t="str">
        <f>IF(U81&lt;&gt;"x",0,IF(P81&lt;4,"",(BW81+BX81-'#minDung'!N87)*-1))</f>
        <v/>
      </c>
      <c r="CB81" s="938">
        <f>IF(AND(AF81=70,U81="x"),'Flächen u. Kulturen'!A86,1000)</f>
        <v>1000</v>
      </c>
      <c r="CC81" s="875" t="str">
        <f>IF(AF81=70,VLOOKUP('Flächen u. Kulturen'!L86,Nebenkultur[[Nebenkultur]:[Legum. Zwischenfr.]],'#Zweitfr'!$I$1,FALSE),"--")</f>
        <v>--</v>
      </c>
      <c r="CD81" s="875" t="str">
        <f>IF(AF81=70,VLOOKUP('Flächen u. Kulturen'!L86,Nebenkultur[[Nebenkultur]:[Legum. Zwischenfr.]],'#Zweitfr'!$L$1,FALSE),"--")</f>
        <v>--</v>
      </c>
      <c r="CE81" s="875" t="str">
        <f>IF(AF81=70,VLOOKUP('Flächen u. Kulturen'!L86,Nebenkultur[[Nebenkultur]:[Legum. Zwischenfr.]],'#Zweitfr'!$M$1,FALSE),"--")</f>
        <v>--</v>
      </c>
      <c r="CF81" s="875" t="str">
        <f>IF(AF81=70,VLOOKUP('Flächen u. Kulturen'!L86,Nebenkultur[[Nebenkultur]:[Legum. Zwischenfr.]],'#Zweitfr'!$N$1,FALSE),"--")</f>
        <v>--</v>
      </c>
      <c r="CG81" s="875" t="str">
        <f>IF(AF81=70,VLOOKUP('Flächen u. Kulturen'!L86,Nebenkultur[[Nebenkultur]:[Legum. Zwischenfr.]],'#Zweitfr'!$O$1,FALSE),"--")</f>
        <v>--</v>
      </c>
      <c r="CH81" s="875" t="str">
        <f t="shared" si="55"/>
        <v>--</v>
      </c>
      <c r="CI81" s="938">
        <f>IF('Flächen u. Kulturen'!L86="",0,VLOOKUP('Flächen u. Kulturen'!L86,Nebenkultur[[Nebenkultur]:[Legum. Zwischenfr.]],'#Zweitfr'!$J$1,FALSE))</f>
        <v>0</v>
      </c>
      <c r="CJ81" s="875">
        <f t="shared" si="56"/>
        <v>0</v>
      </c>
      <c r="CK81" s="890">
        <f t="shared" si="57"/>
        <v>0</v>
      </c>
      <c r="CL81" s="938">
        <f>IF(AND(R81=1,AF81=70),'Flächen u. Kulturen'!W86*-1,0)</f>
        <v>0</v>
      </c>
      <c r="CM81" s="875">
        <f>'#orgDung'!AE90*-1</f>
        <v>0</v>
      </c>
      <c r="CN81" s="875">
        <f t="shared" si="72"/>
        <v>0</v>
      </c>
      <c r="CO81" s="875">
        <f t="shared" si="73"/>
        <v>0</v>
      </c>
      <c r="CP81" s="875">
        <f>'#Kürzungen'!AS206*-1</f>
        <v>0</v>
      </c>
      <c r="CQ81" s="875">
        <f t="shared" si="74"/>
        <v>0</v>
      </c>
      <c r="CR81" s="875">
        <f t="shared" si="75"/>
        <v>0</v>
      </c>
      <c r="CS81" s="875">
        <f>'#minDung'!R87</f>
        <v>0</v>
      </c>
      <c r="CT81" s="938">
        <f t="shared" si="63"/>
        <v>0</v>
      </c>
      <c r="CU81" s="52" t="str">
        <f>'#Kürzungen'!AQ206</f>
        <v xml:space="preserve"> </v>
      </c>
      <c r="CW81" s="247">
        <f>IF('Flächen u. Kulturen'!D86="",0,IF(ISNUMBER('Flächen u. Kulturen'!D86)=TRUE,2,1))</f>
        <v>0</v>
      </c>
      <c r="CX81" s="247">
        <f>IF('Flächen u. Kulturen'!E86="",0,COUNTIF('#Boden'!$B$47,'Flächen u. Kulturen'!E86)+1)</f>
        <v>2</v>
      </c>
      <c r="CY81" s="247">
        <f>IF('Flächen u. Kulturen'!F86="",0,COUNTIF('#Boden'!$G$4:$G$8,'Flächen u. Kulturen'!F86)+1)</f>
        <v>2</v>
      </c>
      <c r="CZ81" s="247">
        <f>IF('Flächen u. Kulturen'!G86="",0,COUNTIF('#Boden'!$B$26:$B$29,'Flächen u. Kulturen'!G86)+1)</f>
        <v>2</v>
      </c>
      <c r="DA81" s="247">
        <f>IF('Flächen u. Kulturen'!H86="",0,COUNTIF('#Boden'!$B$26:$B$29,'Flächen u. Kulturen'!H86)+1)</f>
        <v>2</v>
      </c>
      <c r="DB81" s="247">
        <f>IF('Flächen u. Kulturen'!I86="",0,COUNTIF('#Boden'!$B$9:$B$15,'Flächen u. Kulturen'!I86)+1)</f>
        <v>2</v>
      </c>
      <c r="DC81" s="247">
        <f>IF('Flächen u. Kulturen'!J86="",0,COUNTIF(Kulturen[HF],'Flächen u. Kulturen'!J86)+1)</f>
        <v>2</v>
      </c>
      <c r="DD81" s="247">
        <f>IF('Flächen u. Kulturen'!L86="",0,COUNTIF(Nebenkultur[Nebenkultur],'Flächen u. Kulturen'!L86)+1)</f>
        <v>2</v>
      </c>
      <c r="DE81" s="247">
        <f>IF('Flächen u. Kulturen'!M86="",0,COUNTIF('#Boden'!$G$17:$G$21,'Flächen u. Kulturen'!M86)+1)</f>
        <v>2</v>
      </c>
      <c r="DF81" s="247">
        <f>IF('Flächen u. Kulturen'!N86="",0,COUNTIF('#Boden'!$G$22:$G$24,'Flächen u. Kulturen'!N86)+1)</f>
        <v>2</v>
      </c>
      <c r="DG81" s="247">
        <f>IF('Flächen u. Kulturen'!P86="",0,COUNTIF(Kulturen[HF],'Flächen u. Kulturen'!P86)+1)</f>
        <v>2</v>
      </c>
      <c r="DH81" s="247">
        <f>IF('Flächen u. Kulturen'!T86="",0,COUNTIF('#Boden'!$B$30:$B$32,'Flächen u. Kulturen'!T86)+1)</f>
        <v>2</v>
      </c>
      <c r="DI81" s="247">
        <f>IF('Flächen u. Kulturen'!K86="",0,IF(ISNUMBER('Flächen u. Kulturen'!K86)=TRUE,2,1))</f>
        <v>0</v>
      </c>
      <c r="DJ81" s="247">
        <f>IF('Flächen u. Kulturen'!U86="",0,IF(ISNUMBER('Flächen u. Kulturen'!U86)=TRUE,2,1))</f>
        <v>0</v>
      </c>
      <c r="DK81" s="247">
        <f>IF('Flächen u. Kulturen'!V86="",0,IF(ISNUMBER('Flächen u. Kulturen'!V86)=TRUE,2,1))</f>
        <v>0</v>
      </c>
      <c r="DL81" s="247">
        <f>IF('Flächen u. Kulturen'!W86="",0,IF(ISNUMBER('Flächen u. Kulturen'!W86)=TRUE,2,1))</f>
        <v>0</v>
      </c>
      <c r="DM81" s="247">
        <f t="shared" si="76"/>
        <v>0</v>
      </c>
      <c r="DN81" s="247" t="s">
        <v>344</v>
      </c>
      <c r="DO81" s="247">
        <f>IF(U81&lt;&gt;"x","",IF(OR('Flächen u. Kulturen'!B86="",'Flächen u. Kulturen'!C86="",'Flächen u. Kulturen'!D86="",'Flächen u. Kulturen'!D86=0,'Flächen u. Kulturen'!F86="",'Flächen u. Kulturen'!F86='#Boden'!$G$4,'Flächen u. Kulturen'!G86="",'Flächen u. Kulturen'!G86='#Boden'!$B$26,'Flächen u. Kulturen'!H86="",'Flächen u. Kulturen'!H86='#Boden'!$B$23,AND(N81&lt;&gt;2,OR('Flächen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Kulturen'!Q86="",'#BerechnungDBE'!N81&lt;3),AND('Flächen u. Kulturen'!R86="",'#BerechnungDBE'!N81=3),AND(N81=1,AL81&gt;0,'Flächen u. Kulturen'!S86=""),AND(N81=1,OR('Flächen u. Kulturen'!T86="",'Flächen u. Kulturen'!T86='#Boden'!$B$30)),AND('#BerechnungDBE'!AF81=70,OR('Flächen u. Kulturen'!N86="",'Flächen u. Kulturen'!N86='#Boden'!$G$22,'Flächen u. Kulturen'!O86="")),AND('#BerechnungDBE'!AF81=80,OR('Flächen u. Kulturen'!M86="",'Flächen u. Kulturen'!M86='#Boden'!$G$17,'Flächen u. Kulturen'!N86="",'Flächen u. Kulturen'!N86='#Boden'!$G$22))),$DO$4,""))</f>
        <v>1</v>
      </c>
      <c r="DP81" s="247" t="str">
        <f>IF(U81&lt;&gt;"x","",IF(OR(LEFT('Flächen u. Kulturen'!J86,2)=" +",LEFT('Flächen u. Kulturen'!L86,2)=" +",LEFT('Flächen u. Kulturen'!P86,2)=" +"),$DP$4,""))</f>
        <v/>
      </c>
      <c r="DQ81" s="428" t="str">
        <f t="shared" si="58"/>
        <v/>
      </c>
      <c r="DR81" s="938" t="str">
        <f t="shared" si="59"/>
        <v/>
      </c>
      <c r="DS81" s="938" t="str">
        <f>IF('Flächen u. Kulturen'!X86="","",ROW('Flächen u. Kulturen'!X86))</f>
        <v/>
      </c>
    </row>
    <row r="82" spans="1:123" s="875" customFormat="1" x14ac:dyDescent="0.2">
      <c r="A82" s="875" t="str">
        <f>IF('Daten aus 2021'!H84="",'#Boden'!$B$26,IF('Daten aus 2021'!H84='#Boden'!$B$39,IF('Daten aus 2021'!F84='#Boden'!$B$29,'#Boden'!$B$29,IF('Daten aus 2021'!K84='#Boden'!$B$34,'#Boden'!$B$28,'#Boden'!$B$27)),'Daten aus 2021'!F84))</f>
        <v xml:space="preserve"> --</v>
      </c>
      <c r="B82" s="875" t="str">
        <f>IF('Daten aus 2021'!H84='#Boden'!$B$39,IF('Daten aus 2021'!L84='#Boden'!$B$61,'#Boden'!$B$11,'Daten aus 2021'!L84),IF('Daten aus 2021'!P84='#Boden'!$B$58,'#Boden'!$B$11,IF('Daten aus 2021'!P84='#Boden'!$B$57,'#Boden'!$B$10,'#Boden'!$B$9)))</f>
        <v xml:space="preserve"> --         </v>
      </c>
      <c r="C82" s="875" t="str">
        <f>IF('Daten aus 2021'!N84="","",VLOOKUP('Daten aus 2021'!N84,'#Boden'!$B$68:$C$89,2,FALSE))</f>
        <v/>
      </c>
      <c r="D82" s="875" t="str">
        <f>IF('Daten aus 2021'!M84="","",VLOOKUP('Daten aus 2021'!M84,'#Boden'!$D$69:$E$73,2,FALSE))</f>
        <v/>
      </c>
      <c r="E82" s="938" t="str">
        <f>IF(OR(C82='#Boden'!$C$68,C82='#Boden'!$C$70),C82,CONCATENATE(C82,D82))</f>
        <v/>
      </c>
      <c r="F82" s="882" t="str">
        <f>IFERROR(IF('Daten aus 2021'!H84="",'#Frucht'!$D$8,IF('Daten aus 2021'!H84='#Boden'!$B$39,E82,IF('Daten aus 2021'!H84='#Boden'!$B$38,IF(CONCATENATE(" ",'Daten aus 2021'!W84)=$B$2,VLOOKUP($B$3,'#Frucht'!$A$8:$D$372,4,FALSE),VLOOKUP(CONCATENATE(" ",'Daten aus 2021'!W84),'#Frucht'!$A$8:$D$372,4,FALSE)),IF(OR(LEFT('Daten aus 2021'!Q84,5)=" *10 ",LEFT('Daten aus 2021'!Q84,5)=" *11 ",LEFT('Daten aus 2021'!Q84,5)=" *12 ",LEFT('Daten aus 2021'!Q84,5)=" *13 ",LEFT('Daten aus 2021'!Q84,5)=" *14 ",LEFT('Daten aus 2021'!Q84,5)=" *15 "),VLOOKUP(RIGHT('Daten aus 2021'!Q84,LEN('Daten aus 2021'!Q84)-4),'#Frucht'!$A$8:$D$372,4,FALSE),IF(LEFT('Daten aus 2021'!Q84,2)=" *",VLOOKUP(RIGHT('Daten aus 2021'!Q84,LEN('Daten aus 2021'!Q84)-3),'#Frucht'!$A$8:$D$372,4,FALSE),VLOOKUP('Daten aus 2021'!Q84,'#Frucht'!$A$8:$D$372,4,FALSE)))))),'#Frucht'!$D$8)</f>
        <v xml:space="preserve"> --  </v>
      </c>
      <c r="G82" s="127"/>
      <c r="H82" s="31"/>
      <c r="J82" s="938" t="str">
        <f>IF(OR(N82=3,$K$3=0,'Flächen u. Kulturen'!P87=""),"",IF(VLOOKUP('Flächen u. Kulturen'!P87,Kulturen[[HF]:[780]],'#BerechnungDBE'!$K$3,FALSE)=".","",VLOOKUP('Flächen u. Kulturen'!P87,Kulturen[[HF]:[780]],'#BerechnungDBE'!$K$3,FALSE)))</f>
        <v/>
      </c>
      <c r="K82" s="938" t="str">
        <f>IF(OR($K$3=0,'Flächen u. Kulturen'!P87=""),"",IF(N82=3,IF(VLOOKUP('Flächen u. Kulturen'!P87,Kulturen[[HF]:[780]],'#BerechnungDBE'!$K$3,FALSE)=".","",VLOOKUP('Flächen u. Kulturen'!P87,Kulturen[[HF]:[780]],'#BerechnungDBE'!$K$3,FALSE)),""))</f>
        <v/>
      </c>
      <c r="L82" s="367">
        <f>IF('Flächen u. Kulturen'!D87="",0,'Flächen u. Kulturen'!D87)</f>
        <v>0</v>
      </c>
      <c r="M82" s="693">
        <f>IF('Flächen u. Kulturen'!J87="",0,VLOOKUP('Flächen u. Kulturen'!J87,Kulturen[[HF]:[Berechnungsgruppe]],'#Frucht'!$W$1,FALSE))</f>
        <v>1</v>
      </c>
      <c r="N82" s="693">
        <f>IF('Flächen u. Kulturen'!P87="",0,VLOOKUP('Flächen u. Kulturen'!P87,Kulturen[[HF]:[Berechnungsgruppe]],'#Frucht'!$W$1,FALSE))</f>
        <v>1</v>
      </c>
      <c r="O82" s="875">
        <f>IF(N82&lt;&gt;2,N82,IF('Flächen u. Kulturen'!J87='Flächen u. Kulturen'!P87,2,1))</f>
        <v>1</v>
      </c>
      <c r="P82" s="875">
        <f>IF('Flächen u. Kulturen'!F87="",0,VLOOKUP('Flächen u. Kulturen'!F87,'#Boden'!$G$4:$H$8,'#Boden'!$H$1,FALSE))</f>
        <v>1</v>
      </c>
      <c r="Q82" s="875">
        <f>IF('Flächen u. Kulturen'!G87="",0,VLOOKUP('Flächen u. Kulturen'!G87,'#Boden'!$B$26:$C$29,'#Boden'!$C$1,FALSE))</f>
        <v>1</v>
      </c>
      <c r="R82" s="875">
        <f t="shared" si="64"/>
        <v>1</v>
      </c>
      <c r="S82" s="875">
        <f t="shared" si="65"/>
        <v>1</v>
      </c>
      <c r="T82" s="875">
        <f>IF('Flächen u. Kulturen'!H87="",0,VLOOKUP('Flächen u. Kulturen'!H87,'#Boden'!$B$23:$C$25,'#Boden'!$C$1,FALSE))</f>
        <v>2</v>
      </c>
      <c r="U82" s="875" t="str">
        <f>'Flächen u. Kulturen'!E87</f>
        <v>x</v>
      </c>
      <c r="V82" s="938">
        <f>IF('Flächen u. Kulturen'!Q87="",0,_xlfn.NUMBERVALUE('Flächen u. Kulturen'!Q87))</f>
        <v>0</v>
      </c>
      <c r="W82" s="938">
        <f>IF('Flächen u. Kulturen'!R87="",0,_xlfn.NUMBERVALUE('Flächen u. Kulturen'!R87))</f>
        <v>0</v>
      </c>
      <c r="X82" s="875">
        <f>IF('Flächen u. Kulturen'!T87="",0,VLOOKUP('Flächen u. Kulturen'!T87,'#Boden'!$B$30:$C$32,'#Boden'!$C$1,FALSE))</f>
        <v>1</v>
      </c>
      <c r="Y82" s="875">
        <f>IF('Flächen u. Kulturen'!P87="",0,VLOOKUP('Flächen u. Kulturen'!P87,Kulturen[[HF]:[Berechnungsgruppe]],'#Frucht'!$N$1,FALSE))</f>
        <v>0</v>
      </c>
      <c r="Z82" s="875">
        <f t="shared" si="66"/>
        <v>2</v>
      </c>
      <c r="AA82" s="875">
        <f>IF('Flächen u. Kulturen'!P87="",0,VLOOKUP('Flächen u. Kulturen'!P87,Kulturen[[HF]:[Berechnungsgruppe]],'#Frucht'!$V$1,FALSE))</f>
        <v>0</v>
      </c>
      <c r="AB82" s="875">
        <f>IF(N82=1,VLOOKUP('Flächen u. Kulturen'!P87,Kulturen[[HF]:[Ernteprodukt]],'#Frucht'!$I$1,FALSE),4)</f>
        <v>4</v>
      </c>
      <c r="AC82" s="921">
        <f>IF('Flächen u. Kulturen'!J87="",0,VLOOKUP('Flächen u. Kulturen'!J87,Kulturen[[HF]:[Berechnungsgruppe]],'#Frucht'!$G$1,FALSE))</f>
        <v>90</v>
      </c>
      <c r="AD82" s="921">
        <f>IF('Flächen u. Kulturen'!P87="",0,VLOOKUP('Flächen u. Kulturen'!P87,Kulturen[[HF]:[Berechnungsgruppe]],'#Frucht'!$G$1,FALSE))</f>
        <v>90</v>
      </c>
      <c r="AE82" s="938">
        <f>IF('Flächen u. Kulturen'!P87="",0,VLOOKUP('Flächen u. Kulturen'!P87,Kulturen[[HF]:[SollwertMinusNfix]],'#Frucht'!$X$1,FALSE))</f>
        <v>0</v>
      </c>
      <c r="AF82" s="875">
        <f>IF('Flächen u. Kulturen'!L87="",0,VLOOKUP('Flächen u. Kulturen'!L87,Nebenkultur[[Nebenkultur]:[Berechnungsschema]],'#Zweitfr'!$G$1,FALSE))</f>
        <v>0</v>
      </c>
      <c r="AG82" s="875">
        <f>IF('Flächen u. Kulturen'!L87="",0,VLOOKUP('Flächen u. Kulturen'!L87,'#Zweitfr'!$D$8:$Q$27,'#Zweitfr'!$Q$1,FALSE))</f>
        <v>0</v>
      </c>
      <c r="AH82" s="875">
        <f>IF('Flächen u. Kulturen'!M87="",0,VLOOKUP('Flächen u. Kulturen'!M87,'#Boden'!$G$17:$H$21,2,FALSE))</f>
        <v>1</v>
      </c>
      <c r="AI82" s="875">
        <f>IF('Flächen u. Kulturen'!N87="",0,VLOOKUP('Flächen u. Kulturen'!N87,'#Boden'!$G$22:$H$24,'#Boden'!$H$1,FALSE))</f>
        <v>1</v>
      </c>
      <c r="AJ82" s="938">
        <f>IF('Flächen u. Kulturen'!O87="",0,_xlfn.NUMBERVALUE('Flächen u. Kulturen'!O87))</f>
        <v>0</v>
      </c>
      <c r="AK82" s="938">
        <f>IF('Flächen u. Kulturen'!L87="",0,VLOOKUP('Flächen u. Kulturen'!L87,Nebenkultur[[Nebenkultur]:[Legum. Zwischenfr.]],'#Zweitfr'!$P$1,FALSE))</f>
        <v>0</v>
      </c>
      <c r="AL82" s="875">
        <f>IF('Flächen u. Kulturen'!P87="",0,VLOOKUP('Flächen u. Kulturen'!P87,Kulturen[[HF]:[Berechnungsgruppe]],'#Frucht'!$Q$1,FALSE))</f>
        <v>0</v>
      </c>
      <c r="AM82" s="875">
        <f>IF('Flächen u. Kulturen'!P87="",0,VLOOKUP('Flächen u. Kulturen'!P87,Kulturen[[HF]:[Berechnungsgruppe]],'#Frucht'!$M$1,FALSE))</f>
        <v>0</v>
      </c>
      <c r="AN82" s="875">
        <f>IF('Flächen u. Kulturen'!P87="",1,VLOOKUP('Flächen u. Kulturen'!P87,Kulturen[[HF]:[Berechnungsgruppe]],'#Frucht'!$R$1,FALSE))</f>
        <v>10</v>
      </c>
      <c r="AO82" s="875">
        <f>IF('Flächen u. Kulturen'!P87="",0,VLOOKUP('Flächen u. Kulturen'!P87,Kulturen[[HF]:[Berechnungsgruppe]],'#Frucht'!$S$1,FALSE))</f>
        <v>0</v>
      </c>
      <c r="AP82" s="875">
        <f>IF('Flächen u. Kulturen'!P87="",0,VLOOKUP('Flächen u. Kulturen'!P87,Kulturen[[HF]:[Berechnungsgruppe]],'#Frucht'!$T$1,FALSE))</f>
        <v>0</v>
      </c>
      <c r="AQ82" s="938">
        <f t="shared" si="46"/>
        <v>0</v>
      </c>
      <c r="AR82" s="875">
        <f t="shared" si="47"/>
        <v>0</v>
      </c>
      <c r="AS82" s="938">
        <f t="shared" si="48"/>
        <v>0</v>
      </c>
      <c r="AT82" s="875">
        <f>IF(N82=1,'Flächen u. Kulturen'!S87*-1,"--")</f>
        <v>0</v>
      </c>
      <c r="AU82" s="938">
        <f>IF(OR(N82=2,'Flächen u. Kulturen'!I87=""),"--",IF(N82=3,VLOOKUP('Flächen u. Kulturen'!I87,'#Boden'!$B$9:$E$15,'#Boden'!$D$1,FALSE),VLOOKUP('Flächen u. Kulturen'!I87,'#Boden'!$B$9:$E$15,'#Boden'!$E$1,FALSE)))</f>
        <v>0</v>
      </c>
      <c r="AV82" s="938">
        <f>IF(N82=1,IF('Flächen u. Kulturen'!J87="",0,VLOOKUP('Flächen u. Kulturen'!J87,Kulturen[[HF]:[Berechnungsgruppe]],'#Frucht'!$U$1,FALSE)*-1),"--")</f>
        <v>0</v>
      </c>
      <c r="AW82" s="875">
        <f t="shared" si="49"/>
        <v>0</v>
      </c>
      <c r="AX82" s="875">
        <f>IF('Flächen u. Kulturen'!K87="",0,'Flächen u. Kulturen'!K87*-0.1)</f>
        <v>0</v>
      </c>
      <c r="AY82" s="875">
        <f>IF(N82&lt;3,'#orgDung'!AC91*0.1*-1,"--")</f>
        <v>0</v>
      </c>
      <c r="AZ82" s="31" t="str">
        <f>IF(AND('#orgDung'!J91&lt;&gt;2,'#orgDung'!F91=1),('#orgDung'!V91+'#minDung'!O88)*-1,"--")</f>
        <v>--</v>
      </c>
      <c r="BA82" s="875">
        <f t="shared" si="67"/>
        <v>0</v>
      </c>
      <c r="BB82" s="938">
        <f>IF(R82=2,0,'Flächen u. Kulturen'!V87*-1)</f>
        <v>0</v>
      </c>
      <c r="BC82" s="875">
        <f t="shared" si="68"/>
        <v>0</v>
      </c>
      <c r="BD82" s="127">
        <f>'#orgDung'!W91*-1</f>
        <v>0</v>
      </c>
      <c r="BE82" s="910">
        <f>'#orgDung'!AA91*-1</f>
        <v>0</v>
      </c>
      <c r="BF82" s="875">
        <f>'#orgDung'!Z91*-1</f>
        <v>0</v>
      </c>
      <c r="BG82" s="938">
        <f t="shared" si="60"/>
        <v>0</v>
      </c>
      <c r="BH82" s="875">
        <f>'#Kürzungen'!AS106*-1</f>
        <v>0</v>
      </c>
      <c r="BI82" s="875">
        <f t="shared" si="50"/>
        <v>0</v>
      </c>
      <c r="BJ82" s="910">
        <f t="shared" si="51"/>
        <v>0</v>
      </c>
      <c r="BK82" s="875">
        <f>'#minDung'!P88</f>
        <v>0</v>
      </c>
      <c r="BL82" s="938">
        <f t="shared" si="61"/>
        <v>0</v>
      </c>
      <c r="BM82" s="938">
        <f t="shared" si="52"/>
        <v>0</v>
      </c>
      <c r="BN82" s="875">
        <f>IF('Flächen u. Kulturen'!P87="",0,VLOOKUP('Flächen u. Kulturen'!P87,Kulturen[[HF]:[Berechnungsgruppe]],'#Frucht'!$K$1,FALSE))</f>
        <v>0</v>
      </c>
      <c r="BO82" s="875">
        <f>IF('Flächen u. Kulturen'!P87="",0,VLOOKUP('Flächen u. Kulturen'!P87,Kulturen[[HF]:[Berechnungsgruppe]],'#Frucht'!$L$1,FALSE))</f>
        <v>0</v>
      </c>
      <c r="BP82" s="875">
        <f>IF('Flächen u. Kulturen'!L87="",0,VLOOKUP('Flächen u. Kulturen'!L87,Nebenkultur[[Nebenkultur]:[Legum. Zwischenfr.]],'#Zweitfr'!$H$1,FALSE))</f>
        <v>0</v>
      </c>
      <c r="BQ82" s="938">
        <f>IF(N82=3,W82*BO82,IF('Flächen u. Kulturen'!T87='#Boden'!$B$32,V82*BN82,V82*BO82))</f>
        <v>0</v>
      </c>
      <c r="BR82" s="938">
        <f t="shared" si="53"/>
        <v>0</v>
      </c>
      <c r="BS82" s="875">
        <f t="shared" si="69"/>
        <v>0</v>
      </c>
      <c r="BT82" s="875">
        <f>IF('Flächen u. Kulturen'!F87="",0,IF(N82=3,VLOOKUP('Flächen u. Kulturen'!F87,'#Boden'!$G$4:$J$8,'#Boden'!$J$1,FALSE),VLOOKUP('Flächen u. Kulturen'!F87,'#Boden'!$G$4:$J$8,'#Boden'!$I$1,FALSE)))</f>
        <v>0</v>
      </c>
      <c r="BU82" s="41">
        <f t="shared" si="70"/>
        <v>0</v>
      </c>
      <c r="BV82" s="875">
        <f t="shared" si="71"/>
        <v>0</v>
      </c>
      <c r="BW82" s="938" t="str">
        <f t="shared" si="62"/>
        <v/>
      </c>
      <c r="BX82" s="875">
        <f>'#orgDung'!T91*-1</f>
        <v>0</v>
      </c>
      <c r="BY82" s="875">
        <f t="shared" si="54"/>
        <v>0</v>
      </c>
      <c r="BZ82" s="938" t="str">
        <f>IF(U82&lt;&gt;"x",0,IF(P82&lt;4,"",(BW82+BX82-'#minDung'!N88)*-1))</f>
        <v/>
      </c>
      <c r="CB82" s="938">
        <f>IF(AND(AF82=70,U82="x"),'Flächen u. Kulturen'!A87,1000)</f>
        <v>1000</v>
      </c>
      <c r="CC82" s="875" t="str">
        <f>IF(AF82=70,VLOOKUP('Flächen u. Kulturen'!L87,Nebenkultur[[Nebenkultur]:[Legum. Zwischenfr.]],'#Zweitfr'!$I$1,FALSE),"--")</f>
        <v>--</v>
      </c>
      <c r="CD82" s="875" t="str">
        <f>IF(AF82=70,VLOOKUP('Flächen u. Kulturen'!L87,Nebenkultur[[Nebenkultur]:[Legum. Zwischenfr.]],'#Zweitfr'!$L$1,FALSE),"--")</f>
        <v>--</v>
      </c>
      <c r="CE82" s="875" t="str">
        <f>IF(AF82=70,VLOOKUP('Flächen u. Kulturen'!L87,Nebenkultur[[Nebenkultur]:[Legum. Zwischenfr.]],'#Zweitfr'!$M$1,FALSE),"--")</f>
        <v>--</v>
      </c>
      <c r="CF82" s="875" t="str">
        <f>IF(AF82=70,VLOOKUP('Flächen u. Kulturen'!L87,Nebenkultur[[Nebenkultur]:[Legum. Zwischenfr.]],'#Zweitfr'!$N$1,FALSE),"--")</f>
        <v>--</v>
      </c>
      <c r="CG82" s="875" t="str">
        <f>IF(AF82=70,VLOOKUP('Flächen u. Kulturen'!L87,Nebenkultur[[Nebenkultur]:[Legum. Zwischenfr.]],'#Zweitfr'!$O$1,FALSE),"--")</f>
        <v>--</v>
      </c>
      <c r="CH82" s="875" t="str">
        <f t="shared" si="55"/>
        <v>--</v>
      </c>
      <c r="CI82" s="938">
        <f>IF('Flächen u. Kulturen'!L87="",0,VLOOKUP('Flächen u. Kulturen'!L87,Nebenkultur[[Nebenkultur]:[Legum. Zwischenfr.]],'#Zweitfr'!$J$1,FALSE))</f>
        <v>0</v>
      </c>
      <c r="CJ82" s="875">
        <f t="shared" si="56"/>
        <v>0</v>
      </c>
      <c r="CK82" s="890">
        <f t="shared" si="57"/>
        <v>0</v>
      </c>
      <c r="CL82" s="938">
        <f>IF(AND(R82=1,AF82=70),'Flächen u. Kulturen'!W87*-1,0)</f>
        <v>0</v>
      </c>
      <c r="CM82" s="875">
        <f>'#orgDung'!AE91*-1</f>
        <v>0</v>
      </c>
      <c r="CN82" s="875">
        <f t="shared" si="72"/>
        <v>0</v>
      </c>
      <c r="CO82" s="875">
        <f t="shared" si="73"/>
        <v>0</v>
      </c>
      <c r="CP82" s="875">
        <f>'#Kürzungen'!AS207*-1</f>
        <v>0</v>
      </c>
      <c r="CQ82" s="875">
        <f t="shared" si="74"/>
        <v>0</v>
      </c>
      <c r="CR82" s="875">
        <f t="shared" si="75"/>
        <v>0</v>
      </c>
      <c r="CS82" s="875">
        <f>'#minDung'!R88</f>
        <v>0</v>
      </c>
      <c r="CT82" s="938">
        <f t="shared" si="63"/>
        <v>0</v>
      </c>
      <c r="CU82" s="52" t="str">
        <f>'#Kürzungen'!AQ207</f>
        <v xml:space="preserve"> </v>
      </c>
      <c r="CW82" s="247">
        <f>IF('Flächen u. Kulturen'!D87="",0,IF(ISNUMBER('Flächen u. Kulturen'!D87)=TRUE,2,1))</f>
        <v>0</v>
      </c>
      <c r="CX82" s="247">
        <f>IF('Flächen u. Kulturen'!E87="",0,COUNTIF('#Boden'!$B$47,'Flächen u. Kulturen'!E87)+1)</f>
        <v>2</v>
      </c>
      <c r="CY82" s="247">
        <f>IF('Flächen u. Kulturen'!F87="",0,COUNTIF('#Boden'!$G$4:$G$8,'Flächen u. Kulturen'!F87)+1)</f>
        <v>2</v>
      </c>
      <c r="CZ82" s="247">
        <f>IF('Flächen u. Kulturen'!G87="",0,COUNTIF('#Boden'!$B$26:$B$29,'Flächen u. Kulturen'!G87)+1)</f>
        <v>2</v>
      </c>
      <c r="DA82" s="247">
        <f>IF('Flächen u. Kulturen'!H87="",0,COUNTIF('#Boden'!$B$26:$B$29,'Flächen u. Kulturen'!H87)+1)</f>
        <v>2</v>
      </c>
      <c r="DB82" s="247">
        <f>IF('Flächen u. Kulturen'!I87="",0,COUNTIF('#Boden'!$B$9:$B$15,'Flächen u. Kulturen'!I87)+1)</f>
        <v>2</v>
      </c>
      <c r="DC82" s="247">
        <f>IF('Flächen u. Kulturen'!J87="",0,COUNTIF(Kulturen[HF],'Flächen u. Kulturen'!J87)+1)</f>
        <v>2</v>
      </c>
      <c r="DD82" s="247">
        <f>IF('Flächen u. Kulturen'!L87="",0,COUNTIF(Nebenkultur[Nebenkultur],'Flächen u. Kulturen'!L87)+1)</f>
        <v>2</v>
      </c>
      <c r="DE82" s="247">
        <f>IF('Flächen u. Kulturen'!M87="",0,COUNTIF('#Boden'!$G$17:$G$21,'Flächen u. Kulturen'!M87)+1)</f>
        <v>2</v>
      </c>
      <c r="DF82" s="247">
        <f>IF('Flächen u. Kulturen'!N87="",0,COUNTIF('#Boden'!$G$22:$G$24,'Flächen u. Kulturen'!N87)+1)</f>
        <v>2</v>
      </c>
      <c r="DG82" s="247">
        <f>IF('Flächen u. Kulturen'!P87="",0,COUNTIF(Kulturen[HF],'Flächen u. Kulturen'!P87)+1)</f>
        <v>2</v>
      </c>
      <c r="DH82" s="247">
        <f>IF('Flächen u. Kulturen'!T87="",0,COUNTIF('#Boden'!$B$30:$B$32,'Flächen u. Kulturen'!T87)+1)</f>
        <v>2</v>
      </c>
      <c r="DI82" s="247">
        <f>IF('Flächen u. Kulturen'!K87="",0,IF(ISNUMBER('Flächen u. Kulturen'!K87)=TRUE,2,1))</f>
        <v>0</v>
      </c>
      <c r="DJ82" s="247">
        <f>IF('Flächen u. Kulturen'!U87="",0,IF(ISNUMBER('Flächen u. Kulturen'!U87)=TRUE,2,1))</f>
        <v>0</v>
      </c>
      <c r="DK82" s="247">
        <f>IF('Flächen u. Kulturen'!V87="",0,IF(ISNUMBER('Flächen u. Kulturen'!V87)=TRUE,2,1))</f>
        <v>0</v>
      </c>
      <c r="DL82" s="247">
        <f>IF('Flächen u. Kulturen'!W87="",0,IF(ISNUMBER('Flächen u. Kulturen'!W87)=TRUE,2,1))</f>
        <v>0</v>
      </c>
      <c r="DM82" s="247">
        <f t="shared" si="76"/>
        <v>0</v>
      </c>
      <c r="DN82" s="247" t="s">
        <v>344</v>
      </c>
      <c r="DO82" s="247">
        <f>IF(U82&lt;&gt;"x","",IF(OR('Flächen u. Kulturen'!B87="",'Flächen u. Kulturen'!C87="",'Flächen u. Kulturen'!D87="",'Flächen u. Kulturen'!D87=0,'Flächen u. Kulturen'!F87="",'Flächen u. Kulturen'!F87='#Boden'!$G$4,'Flächen u. Kulturen'!G87="",'Flächen u. Kulturen'!G87='#Boden'!$B$26,'Flächen u. Kulturen'!H87="",'Flächen u. Kulturen'!H87='#Boden'!$B$23,AND(N82&lt;&gt;2,OR('Flächen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Kulturen'!Q87="",'#BerechnungDBE'!N82&lt;3),AND('Flächen u. Kulturen'!R87="",'#BerechnungDBE'!N82=3),AND(N82=1,AL82&gt;0,'Flächen u. Kulturen'!S87=""),AND(N82=1,OR('Flächen u. Kulturen'!T87="",'Flächen u. Kulturen'!T87='#Boden'!$B$30)),AND('#BerechnungDBE'!AF82=70,OR('Flächen u. Kulturen'!N87="",'Flächen u. Kulturen'!N87='#Boden'!$G$22,'Flächen u. Kulturen'!O87="")),AND('#BerechnungDBE'!AF82=80,OR('Flächen u. Kulturen'!M87="",'Flächen u. Kulturen'!M87='#Boden'!$G$17,'Flächen u. Kulturen'!N87="",'Flächen u. Kulturen'!N87='#Boden'!$G$22))),$DO$4,""))</f>
        <v>1</v>
      </c>
      <c r="DP82" s="247" t="str">
        <f>IF(U82&lt;&gt;"x","",IF(OR(LEFT('Flächen u. Kulturen'!J87,2)=" +",LEFT('Flächen u. Kulturen'!L87,2)=" +",LEFT('Flächen u. Kulturen'!P87,2)=" +"),$DP$4,""))</f>
        <v/>
      </c>
      <c r="DQ82" s="428" t="str">
        <f t="shared" si="58"/>
        <v/>
      </c>
      <c r="DR82" s="938" t="str">
        <f t="shared" si="59"/>
        <v/>
      </c>
      <c r="DS82" s="938" t="str">
        <f>IF('Flächen u. Kulturen'!X87="","",ROW('Flächen u. Kulturen'!X87))</f>
        <v/>
      </c>
    </row>
    <row r="83" spans="1:123" s="875" customFormat="1" x14ac:dyDescent="0.2">
      <c r="A83" s="875" t="str">
        <f>IF('Daten aus 2021'!H85="",'#Boden'!$B$26,IF('Daten aus 2021'!H85='#Boden'!$B$39,IF('Daten aus 2021'!F85='#Boden'!$B$29,'#Boden'!$B$29,IF('Daten aus 2021'!K85='#Boden'!$B$34,'#Boden'!$B$28,'#Boden'!$B$27)),'Daten aus 2021'!F85))</f>
        <v xml:space="preserve"> --</v>
      </c>
      <c r="B83" s="875" t="str">
        <f>IF('Daten aus 2021'!H85='#Boden'!$B$39,IF('Daten aus 2021'!L85='#Boden'!$B$61,'#Boden'!$B$11,'Daten aus 2021'!L85),IF('Daten aus 2021'!P85='#Boden'!$B$58,'#Boden'!$B$11,IF('Daten aus 2021'!P85='#Boden'!$B$57,'#Boden'!$B$10,'#Boden'!$B$9)))</f>
        <v xml:space="preserve"> --         </v>
      </c>
      <c r="C83" s="875" t="str">
        <f>IF('Daten aus 2021'!N85="","",VLOOKUP('Daten aus 2021'!N85,'#Boden'!$B$68:$C$89,2,FALSE))</f>
        <v/>
      </c>
      <c r="D83" s="875" t="str">
        <f>IF('Daten aus 2021'!M85="","",VLOOKUP('Daten aus 2021'!M85,'#Boden'!$D$69:$E$73,2,FALSE))</f>
        <v/>
      </c>
      <c r="E83" s="938" t="str">
        <f>IF(OR(C83='#Boden'!$C$68,C83='#Boden'!$C$70),C83,CONCATENATE(C83,D83))</f>
        <v/>
      </c>
      <c r="F83" s="882" t="str">
        <f>IFERROR(IF('Daten aus 2021'!H85="",'#Frucht'!$D$8,IF('Daten aus 2021'!H85='#Boden'!$B$39,E83,IF('Daten aus 2021'!H85='#Boden'!$B$38,IF(CONCATENATE(" ",'Daten aus 2021'!W85)=$B$2,VLOOKUP($B$3,'#Frucht'!$A$8:$D$372,4,FALSE),VLOOKUP(CONCATENATE(" ",'Daten aus 2021'!W85),'#Frucht'!$A$8:$D$372,4,FALSE)),IF(OR(LEFT('Daten aus 2021'!Q85,5)=" *10 ",LEFT('Daten aus 2021'!Q85,5)=" *11 ",LEFT('Daten aus 2021'!Q85,5)=" *12 ",LEFT('Daten aus 2021'!Q85,5)=" *13 ",LEFT('Daten aus 2021'!Q85,5)=" *14 ",LEFT('Daten aus 2021'!Q85,5)=" *15 "),VLOOKUP(RIGHT('Daten aus 2021'!Q85,LEN('Daten aus 2021'!Q85)-4),'#Frucht'!$A$8:$D$372,4,FALSE),IF(LEFT('Daten aus 2021'!Q85,2)=" *",VLOOKUP(RIGHT('Daten aus 2021'!Q85,LEN('Daten aus 2021'!Q85)-3),'#Frucht'!$A$8:$D$372,4,FALSE),VLOOKUP('Daten aus 2021'!Q85,'#Frucht'!$A$8:$D$372,4,FALSE)))))),'#Frucht'!$D$8)</f>
        <v xml:space="preserve"> --  </v>
      </c>
      <c r="G83" s="127"/>
      <c r="H83" s="31"/>
      <c r="J83" s="938" t="str">
        <f>IF(OR(N83=3,$K$3=0,'Flächen u. Kulturen'!P88=""),"",IF(VLOOKUP('Flächen u. Kulturen'!P88,Kulturen[[HF]:[780]],'#BerechnungDBE'!$K$3,FALSE)=".","",VLOOKUP('Flächen u. Kulturen'!P88,Kulturen[[HF]:[780]],'#BerechnungDBE'!$K$3,FALSE)))</f>
        <v/>
      </c>
      <c r="K83" s="938" t="str">
        <f>IF(OR($K$3=0,'Flächen u. Kulturen'!P88=""),"",IF(N83=3,IF(VLOOKUP('Flächen u. Kulturen'!P88,Kulturen[[HF]:[780]],'#BerechnungDBE'!$K$3,FALSE)=".","",VLOOKUP('Flächen u. Kulturen'!P88,Kulturen[[HF]:[780]],'#BerechnungDBE'!$K$3,FALSE)),""))</f>
        <v/>
      </c>
      <c r="L83" s="367">
        <f>IF('Flächen u. Kulturen'!D88="",0,'Flächen u. Kulturen'!D88)</f>
        <v>0</v>
      </c>
      <c r="M83" s="693">
        <f>IF('Flächen u. Kulturen'!J88="",0,VLOOKUP('Flächen u. Kulturen'!J88,Kulturen[[HF]:[Berechnungsgruppe]],'#Frucht'!$W$1,FALSE))</f>
        <v>1</v>
      </c>
      <c r="N83" s="693">
        <f>IF('Flächen u. Kulturen'!P88="",0,VLOOKUP('Flächen u. Kulturen'!P88,Kulturen[[HF]:[Berechnungsgruppe]],'#Frucht'!$W$1,FALSE))</f>
        <v>1</v>
      </c>
      <c r="O83" s="875">
        <f>IF(N83&lt;&gt;2,N83,IF('Flächen u. Kulturen'!J88='Flächen u. Kulturen'!P88,2,1))</f>
        <v>1</v>
      </c>
      <c r="P83" s="875">
        <f>IF('Flächen u. Kulturen'!F88="",0,VLOOKUP('Flächen u. Kulturen'!F88,'#Boden'!$G$4:$H$8,'#Boden'!$H$1,FALSE))</f>
        <v>1</v>
      </c>
      <c r="Q83" s="875">
        <f>IF('Flächen u. Kulturen'!G88="",0,VLOOKUP('Flächen u. Kulturen'!G88,'#Boden'!$B$26:$C$29,'#Boden'!$C$1,FALSE))</f>
        <v>1</v>
      </c>
      <c r="R83" s="875">
        <f t="shared" si="64"/>
        <v>1</v>
      </c>
      <c r="S83" s="875">
        <f t="shared" si="65"/>
        <v>1</v>
      </c>
      <c r="T83" s="875">
        <f>IF('Flächen u. Kulturen'!H88="",0,VLOOKUP('Flächen u. Kulturen'!H88,'#Boden'!$B$23:$C$25,'#Boden'!$C$1,FALSE))</f>
        <v>2</v>
      </c>
      <c r="U83" s="875" t="str">
        <f>'Flächen u. Kulturen'!E88</f>
        <v>x</v>
      </c>
      <c r="V83" s="938">
        <f>IF('Flächen u. Kulturen'!Q88="",0,_xlfn.NUMBERVALUE('Flächen u. Kulturen'!Q88))</f>
        <v>0</v>
      </c>
      <c r="W83" s="938">
        <f>IF('Flächen u. Kulturen'!R88="",0,_xlfn.NUMBERVALUE('Flächen u. Kulturen'!R88))</f>
        <v>0</v>
      </c>
      <c r="X83" s="875">
        <f>IF('Flächen u. Kulturen'!T88="",0,VLOOKUP('Flächen u. Kulturen'!T88,'#Boden'!$B$30:$C$32,'#Boden'!$C$1,FALSE))</f>
        <v>1</v>
      </c>
      <c r="Y83" s="875">
        <f>IF('Flächen u. Kulturen'!P88="",0,VLOOKUP('Flächen u. Kulturen'!P88,Kulturen[[HF]:[Berechnungsgruppe]],'#Frucht'!$N$1,FALSE))</f>
        <v>0</v>
      </c>
      <c r="Z83" s="875">
        <f t="shared" si="66"/>
        <v>2</v>
      </c>
      <c r="AA83" s="875">
        <f>IF('Flächen u. Kulturen'!P88="",0,VLOOKUP('Flächen u. Kulturen'!P88,Kulturen[[HF]:[Berechnungsgruppe]],'#Frucht'!$V$1,FALSE))</f>
        <v>0</v>
      </c>
      <c r="AB83" s="875">
        <f>IF(N83=1,VLOOKUP('Flächen u. Kulturen'!P88,Kulturen[[HF]:[Ernteprodukt]],'#Frucht'!$I$1,FALSE),4)</f>
        <v>4</v>
      </c>
      <c r="AC83" s="921">
        <f>IF('Flächen u. Kulturen'!J88="",0,VLOOKUP('Flächen u. Kulturen'!J88,Kulturen[[HF]:[Berechnungsgruppe]],'#Frucht'!$G$1,FALSE))</f>
        <v>90</v>
      </c>
      <c r="AD83" s="921">
        <f>IF('Flächen u. Kulturen'!P88="",0,VLOOKUP('Flächen u. Kulturen'!P88,Kulturen[[HF]:[Berechnungsgruppe]],'#Frucht'!$G$1,FALSE))</f>
        <v>90</v>
      </c>
      <c r="AE83" s="938">
        <f>IF('Flächen u. Kulturen'!P88="",0,VLOOKUP('Flächen u. Kulturen'!P88,Kulturen[[HF]:[SollwertMinusNfix]],'#Frucht'!$X$1,FALSE))</f>
        <v>0</v>
      </c>
      <c r="AF83" s="875">
        <f>IF('Flächen u. Kulturen'!L88="",0,VLOOKUP('Flächen u. Kulturen'!L88,Nebenkultur[[Nebenkultur]:[Berechnungsschema]],'#Zweitfr'!$G$1,FALSE))</f>
        <v>0</v>
      </c>
      <c r="AG83" s="875">
        <f>IF('Flächen u. Kulturen'!L88="",0,VLOOKUP('Flächen u. Kulturen'!L88,'#Zweitfr'!$D$8:$Q$27,'#Zweitfr'!$Q$1,FALSE))</f>
        <v>0</v>
      </c>
      <c r="AH83" s="875">
        <f>IF('Flächen u. Kulturen'!M88="",0,VLOOKUP('Flächen u. Kulturen'!M88,'#Boden'!$G$17:$H$21,2,FALSE))</f>
        <v>1</v>
      </c>
      <c r="AI83" s="875">
        <f>IF('Flächen u. Kulturen'!N88="",0,VLOOKUP('Flächen u. Kulturen'!N88,'#Boden'!$G$22:$H$24,'#Boden'!$H$1,FALSE))</f>
        <v>1</v>
      </c>
      <c r="AJ83" s="938">
        <f>IF('Flächen u. Kulturen'!O88="",0,_xlfn.NUMBERVALUE('Flächen u. Kulturen'!O88))</f>
        <v>0</v>
      </c>
      <c r="AK83" s="938">
        <f>IF('Flächen u. Kulturen'!L88="",0,VLOOKUP('Flächen u. Kulturen'!L88,Nebenkultur[[Nebenkultur]:[Legum. Zwischenfr.]],'#Zweitfr'!$P$1,FALSE))</f>
        <v>0</v>
      </c>
      <c r="AL83" s="875">
        <f>IF('Flächen u. Kulturen'!P88="",0,VLOOKUP('Flächen u. Kulturen'!P88,Kulturen[[HF]:[Berechnungsgruppe]],'#Frucht'!$Q$1,FALSE))</f>
        <v>0</v>
      </c>
      <c r="AM83" s="875">
        <f>IF('Flächen u. Kulturen'!P88="",0,VLOOKUP('Flächen u. Kulturen'!P88,Kulturen[[HF]:[Berechnungsgruppe]],'#Frucht'!$M$1,FALSE))</f>
        <v>0</v>
      </c>
      <c r="AN83" s="875">
        <f>IF('Flächen u. Kulturen'!P88="",1,VLOOKUP('Flächen u. Kulturen'!P88,Kulturen[[HF]:[Berechnungsgruppe]],'#Frucht'!$R$1,FALSE))</f>
        <v>10</v>
      </c>
      <c r="AO83" s="875">
        <f>IF('Flächen u. Kulturen'!P88="",0,VLOOKUP('Flächen u. Kulturen'!P88,Kulturen[[HF]:[Berechnungsgruppe]],'#Frucht'!$S$1,FALSE))</f>
        <v>0</v>
      </c>
      <c r="AP83" s="875">
        <f>IF('Flächen u. Kulturen'!P88="",0,VLOOKUP('Flächen u. Kulturen'!P88,Kulturen[[HF]:[Berechnungsgruppe]],'#Frucht'!$T$1,FALSE))</f>
        <v>0</v>
      </c>
      <c r="AQ83" s="938">
        <f t="shared" si="46"/>
        <v>0</v>
      </c>
      <c r="AR83" s="875">
        <f t="shared" si="47"/>
        <v>0</v>
      </c>
      <c r="AS83" s="938">
        <f t="shared" si="48"/>
        <v>0</v>
      </c>
      <c r="AT83" s="875">
        <f>IF(N83=1,'Flächen u. Kulturen'!S88*-1,"--")</f>
        <v>0</v>
      </c>
      <c r="AU83" s="938">
        <f>IF(OR(N83=2,'Flächen u. Kulturen'!I88=""),"--",IF(N83=3,VLOOKUP('Flächen u. Kulturen'!I88,'#Boden'!$B$9:$E$15,'#Boden'!$D$1,FALSE),VLOOKUP('Flächen u. Kulturen'!I88,'#Boden'!$B$9:$E$15,'#Boden'!$E$1,FALSE)))</f>
        <v>0</v>
      </c>
      <c r="AV83" s="938">
        <f>IF(N83=1,IF('Flächen u. Kulturen'!J88="",0,VLOOKUP('Flächen u. Kulturen'!J88,Kulturen[[HF]:[Berechnungsgruppe]],'#Frucht'!$U$1,FALSE)*-1),"--")</f>
        <v>0</v>
      </c>
      <c r="AW83" s="875">
        <f t="shared" si="49"/>
        <v>0</v>
      </c>
      <c r="AX83" s="875">
        <f>IF('Flächen u. Kulturen'!K88="",0,'Flächen u. Kulturen'!K88*-0.1)</f>
        <v>0</v>
      </c>
      <c r="AY83" s="875">
        <f>IF(N83&lt;3,'#orgDung'!AC92*0.1*-1,"--")</f>
        <v>0</v>
      </c>
      <c r="AZ83" s="31" t="str">
        <f>IF(AND('#orgDung'!J92&lt;&gt;2,'#orgDung'!F92=1),('#orgDung'!V92+'#minDung'!O89)*-1,"--")</f>
        <v>--</v>
      </c>
      <c r="BA83" s="875">
        <f t="shared" si="67"/>
        <v>0</v>
      </c>
      <c r="BB83" s="938">
        <f>IF(R83=2,0,'Flächen u. Kulturen'!V88*-1)</f>
        <v>0</v>
      </c>
      <c r="BC83" s="875">
        <f t="shared" si="68"/>
        <v>0</v>
      </c>
      <c r="BD83" s="127">
        <f>'#orgDung'!W92*-1</f>
        <v>0</v>
      </c>
      <c r="BE83" s="910">
        <f>'#orgDung'!AA92*-1</f>
        <v>0</v>
      </c>
      <c r="BF83" s="875">
        <f>'#orgDung'!Z92*-1</f>
        <v>0</v>
      </c>
      <c r="BG83" s="938">
        <f t="shared" si="60"/>
        <v>0</v>
      </c>
      <c r="BH83" s="875">
        <f>'#Kürzungen'!AS107*-1</f>
        <v>0</v>
      </c>
      <c r="BI83" s="875">
        <f t="shared" si="50"/>
        <v>0</v>
      </c>
      <c r="BJ83" s="910">
        <f t="shared" si="51"/>
        <v>0</v>
      </c>
      <c r="BK83" s="875">
        <f>'#minDung'!P89</f>
        <v>0</v>
      </c>
      <c r="BL83" s="938">
        <f t="shared" si="61"/>
        <v>0</v>
      </c>
      <c r="BM83" s="938">
        <f t="shared" si="52"/>
        <v>0</v>
      </c>
      <c r="BN83" s="875">
        <f>IF('Flächen u. Kulturen'!P88="",0,VLOOKUP('Flächen u. Kulturen'!P88,Kulturen[[HF]:[Berechnungsgruppe]],'#Frucht'!$K$1,FALSE))</f>
        <v>0</v>
      </c>
      <c r="BO83" s="875">
        <f>IF('Flächen u. Kulturen'!P88="",0,VLOOKUP('Flächen u. Kulturen'!P88,Kulturen[[HF]:[Berechnungsgruppe]],'#Frucht'!$L$1,FALSE))</f>
        <v>0</v>
      </c>
      <c r="BP83" s="875">
        <f>IF('Flächen u. Kulturen'!L88="",0,VLOOKUP('Flächen u. Kulturen'!L88,Nebenkultur[[Nebenkultur]:[Legum. Zwischenfr.]],'#Zweitfr'!$H$1,FALSE))</f>
        <v>0</v>
      </c>
      <c r="BQ83" s="938">
        <f>IF(N83=3,W83*BO83,IF('Flächen u. Kulturen'!T88='#Boden'!$B$32,V83*BN83,V83*BO83))</f>
        <v>0</v>
      </c>
      <c r="BR83" s="938">
        <f t="shared" si="53"/>
        <v>0</v>
      </c>
      <c r="BS83" s="875">
        <f t="shared" si="69"/>
        <v>0</v>
      </c>
      <c r="BT83" s="875">
        <f>IF('Flächen u. Kulturen'!F88="",0,IF(N83=3,VLOOKUP('Flächen u. Kulturen'!F88,'#Boden'!$G$4:$J$8,'#Boden'!$J$1,FALSE),VLOOKUP('Flächen u. Kulturen'!F88,'#Boden'!$G$4:$J$8,'#Boden'!$I$1,FALSE)))</f>
        <v>0</v>
      </c>
      <c r="BU83" s="41">
        <f t="shared" si="70"/>
        <v>0</v>
      </c>
      <c r="BV83" s="875">
        <f t="shared" si="71"/>
        <v>0</v>
      </c>
      <c r="BW83" s="938" t="str">
        <f t="shared" si="62"/>
        <v/>
      </c>
      <c r="BX83" s="875">
        <f>'#orgDung'!T92*-1</f>
        <v>0</v>
      </c>
      <c r="BY83" s="875">
        <f t="shared" si="54"/>
        <v>0</v>
      </c>
      <c r="BZ83" s="938" t="str">
        <f>IF(U83&lt;&gt;"x",0,IF(P83&lt;4,"",(BW83+BX83-'#minDung'!N89)*-1))</f>
        <v/>
      </c>
      <c r="CB83" s="938">
        <f>IF(AND(AF83=70,U83="x"),'Flächen u. Kulturen'!A88,1000)</f>
        <v>1000</v>
      </c>
      <c r="CC83" s="875" t="str">
        <f>IF(AF83=70,VLOOKUP('Flächen u. Kulturen'!L88,Nebenkultur[[Nebenkultur]:[Legum. Zwischenfr.]],'#Zweitfr'!$I$1,FALSE),"--")</f>
        <v>--</v>
      </c>
      <c r="CD83" s="875" t="str">
        <f>IF(AF83=70,VLOOKUP('Flächen u. Kulturen'!L88,Nebenkultur[[Nebenkultur]:[Legum. Zwischenfr.]],'#Zweitfr'!$L$1,FALSE),"--")</f>
        <v>--</v>
      </c>
      <c r="CE83" s="875" t="str">
        <f>IF(AF83=70,VLOOKUP('Flächen u. Kulturen'!L88,Nebenkultur[[Nebenkultur]:[Legum. Zwischenfr.]],'#Zweitfr'!$M$1,FALSE),"--")</f>
        <v>--</v>
      </c>
      <c r="CF83" s="875" t="str">
        <f>IF(AF83=70,VLOOKUP('Flächen u. Kulturen'!L88,Nebenkultur[[Nebenkultur]:[Legum. Zwischenfr.]],'#Zweitfr'!$N$1,FALSE),"--")</f>
        <v>--</v>
      </c>
      <c r="CG83" s="875" t="str">
        <f>IF(AF83=70,VLOOKUP('Flächen u. Kulturen'!L88,Nebenkultur[[Nebenkultur]:[Legum. Zwischenfr.]],'#Zweitfr'!$O$1,FALSE),"--")</f>
        <v>--</v>
      </c>
      <c r="CH83" s="875" t="str">
        <f t="shared" si="55"/>
        <v>--</v>
      </c>
      <c r="CI83" s="938">
        <f>IF('Flächen u. Kulturen'!L88="",0,VLOOKUP('Flächen u. Kulturen'!L88,Nebenkultur[[Nebenkultur]:[Legum. Zwischenfr.]],'#Zweitfr'!$J$1,FALSE))</f>
        <v>0</v>
      </c>
      <c r="CJ83" s="875">
        <f t="shared" si="56"/>
        <v>0</v>
      </c>
      <c r="CK83" s="890">
        <f t="shared" si="57"/>
        <v>0</v>
      </c>
      <c r="CL83" s="938">
        <f>IF(AND(R83=1,AF83=70),'Flächen u. Kulturen'!W88*-1,0)</f>
        <v>0</v>
      </c>
      <c r="CM83" s="875">
        <f>'#orgDung'!AE92*-1</f>
        <v>0</v>
      </c>
      <c r="CN83" s="875">
        <f t="shared" si="72"/>
        <v>0</v>
      </c>
      <c r="CO83" s="875">
        <f t="shared" si="73"/>
        <v>0</v>
      </c>
      <c r="CP83" s="875">
        <f>'#Kürzungen'!AS208*-1</f>
        <v>0</v>
      </c>
      <c r="CQ83" s="875">
        <f t="shared" si="74"/>
        <v>0</v>
      </c>
      <c r="CR83" s="875">
        <f t="shared" si="75"/>
        <v>0</v>
      </c>
      <c r="CS83" s="875">
        <f>'#minDung'!R89</f>
        <v>0</v>
      </c>
      <c r="CT83" s="938">
        <f t="shared" si="63"/>
        <v>0</v>
      </c>
      <c r="CU83" s="52" t="str">
        <f>'#Kürzungen'!AQ208</f>
        <v xml:space="preserve"> </v>
      </c>
      <c r="CW83" s="247">
        <f>IF('Flächen u. Kulturen'!D88="",0,IF(ISNUMBER('Flächen u. Kulturen'!D88)=TRUE,2,1))</f>
        <v>0</v>
      </c>
      <c r="CX83" s="247">
        <f>IF('Flächen u. Kulturen'!E88="",0,COUNTIF('#Boden'!$B$47,'Flächen u. Kulturen'!E88)+1)</f>
        <v>2</v>
      </c>
      <c r="CY83" s="247">
        <f>IF('Flächen u. Kulturen'!F88="",0,COUNTIF('#Boden'!$G$4:$G$8,'Flächen u. Kulturen'!F88)+1)</f>
        <v>2</v>
      </c>
      <c r="CZ83" s="247">
        <f>IF('Flächen u. Kulturen'!G88="",0,COUNTIF('#Boden'!$B$26:$B$29,'Flächen u. Kulturen'!G88)+1)</f>
        <v>2</v>
      </c>
      <c r="DA83" s="247">
        <f>IF('Flächen u. Kulturen'!H88="",0,COUNTIF('#Boden'!$B$26:$B$29,'Flächen u. Kulturen'!H88)+1)</f>
        <v>2</v>
      </c>
      <c r="DB83" s="247">
        <f>IF('Flächen u. Kulturen'!I88="",0,COUNTIF('#Boden'!$B$9:$B$15,'Flächen u. Kulturen'!I88)+1)</f>
        <v>2</v>
      </c>
      <c r="DC83" s="247">
        <f>IF('Flächen u. Kulturen'!J88="",0,COUNTIF(Kulturen[HF],'Flächen u. Kulturen'!J88)+1)</f>
        <v>2</v>
      </c>
      <c r="DD83" s="247">
        <f>IF('Flächen u. Kulturen'!L88="",0,COUNTIF(Nebenkultur[Nebenkultur],'Flächen u. Kulturen'!L88)+1)</f>
        <v>2</v>
      </c>
      <c r="DE83" s="247">
        <f>IF('Flächen u. Kulturen'!M88="",0,COUNTIF('#Boden'!$G$17:$G$21,'Flächen u. Kulturen'!M88)+1)</f>
        <v>2</v>
      </c>
      <c r="DF83" s="247">
        <f>IF('Flächen u. Kulturen'!N88="",0,COUNTIF('#Boden'!$G$22:$G$24,'Flächen u. Kulturen'!N88)+1)</f>
        <v>2</v>
      </c>
      <c r="DG83" s="247">
        <f>IF('Flächen u. Kulturen'!P88="",0,COUNTIF(Kulturen[HF],'Flächen u. Kulturen'!P88)+1)</f>
        <v>2</v>
      </c>
      <c r="DH83" s="247">
        <f>IF('Flächen u. Kulturen'!T88="",0,COUNTIF('#Boden'!$B$30:$B$32,'Flächen u. Kulturen'!T88)+1)</f>
        <v>2</v>
      </c>
      <c r="DI83" s="247">
        <f>IF('Flächen u. Kulturen'!K88="",0,IF(ISNUMBER('Flächen u. Kulturen'!K88)=TRUE,2,1))</f>
        <v>0</v>
      </c>
      <c r="DJ83" s="247">
        <f>IF('Flächen u. Kulturen'!U88="",0,IF(ISNUMBER('Flächen u. Kulturen'!U88)=TRUE,2,1))</f>
        <v>0</v>
      </c>
      <c r="DK83" s="247">
        <f>IF('Flächen u. Kulturen'!V88="",0,IF(ISNUMBER('Flächen u. Kulturen'!V88)=TRUE,2,1))</f>
        <v>0</v>
      </c>
      <c r="DL83" s="247">
        <f>IF('Flächen u. Kulturen'!W88="",0,IF(ISNUMBER('Flächen u. Kulturen'!W88)=TRUE,2,1))</f>
        <v>0</v>
      </c>
      <c r="DM83" s="247">
        <f t="shared" si="76"/>
        <v>0</v>
      </c>
      <c r="DN83" s="247" t="s">
        <v>344</v>
      </c>
      <c r="DO83" s="247">
        <f>IF(U83&lt;&gt;"x","",IF(OR('Flächen u. Kulturen'!B88="",'Flächen u. Kulturen'!C88="",'Flächen u. Kulturen'!D88="",'Flächen u. Kulturen'!D88=0,'Flächen u. Kulturen'!F88="",'Flächen u. Kulturen'!F88='#Boden'!$G$4,'Flächen u. Kulturen'!G88="",'Flächen u. Kulturen'!G88='#Boden'!$B$26,'Flächen u. Kulturen'!H88="",'Flächen u. Kulturen'!H88='#Boden'!$B$23,AND(N83&lt;&gt;2,OR('Flächen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Kulturen'!Q88="",'#BerechnungDBE'!N83&lt;3),AND('Flächen u. Kulturen'!R88="",'#BerechnungDBE'!N83=3),AND(N83=1,AL83&gt;0,'Flächen u. Kulturen'!S88=""),AND(N83=1,OR('Flächen u. Kulturen'!T88="",'Flächen u. Kulturen'!T88='#Boden'!$B$30)),AND('#BerechnungDBE'!AF83=70,OR('Flächen u. Kulturen'!N88="",'Flächen u. Kulturen'!N88='#Boden'!$G$22,'Flächen u. Kulturen'!O88="")),AND('#BerechnungDBE'!AF83=80,OR('Flächen u. Kulturen'!M88="",'Flächen u. Kulturen'!M88='#Boden'!$G$17,'Flächen u. Kulturen'!N88="",'Flächen u. Kulturen'!N88='#Boden'!$G$22))),$DO$4,""))</f>
        <v>1</v>
      </c>
      <c r="DP83" s="247" t="str">
        <f>IF(U83&lt;&gt;"x","",IF(OR(LEFT('Flächen u. Kulturen'!J88,2)=" +",LEFT('Flächen u. Kulturen'!L88,2)=" +",LEFT('Flächen u. Kulturen'!P88,2)=" +"),$DP$4,""))</f>
        <v/>
      </c>
      <c r="DQ83" s="428" t="str">
        <f t="shared" si="58"/>
        <v/>
      </c>
      <c r="DR83" s="938" t="str">
        <f t="shared" si="59"/>
        <v/>
      </c>
      <c r="DS83" s="938" t="str">
        <f>IF('Flächen u. Kulturen'!X88="","",ROW('Flächen u. Kulturen'!X88))</f>
        <v/>
      </c>
    </row>
    <row r="84" spans="1:123" s="875" customFormat="1" x14ac:dyDescent="0.2">
      <c r="A84" s="875" t="str">
        <f>IF('Daten aus 2021'!H86="",'#Boden'!$B$26,IF('Daten aus 2021'!H86='#Boden'!$B$39,IF('Daten aus 2021'!F86='#Boden'!$B$29,'#Boden'!$B$29,IF('Daten aus 2021'!K86='#Boden'!$B$34,'#Boden'!$B$28,'#Boden'!$B$27)),'Daten aus 2021'!F86))</f>
        <v xml:space="preserve"> --</v>
      </c>
      <c r="B84" s="875" t="str">
        <f>IF('Daten aus 2021'!H86='#Boden'!$B$39,IF('Daten aus 2021'!L86='#Boden'!$B$61,'#Boden'!$B$11,'Daten aus 2021'!L86),IF('Daten aus 2021'!P86='#Boden'!$B$58,'#Boden'!$B$11,IF('Daten aus 2021'!P86='#Boden'!$B$57,'#Boden'!$B$10,'#Boden'!$B$9)))</f>
        <v xml:space="preserve"> --         </v>
      </c>
      <c r="C84" s="875" t="str">
        <f>IF('Daten aus 2021'!N86="","",VLOOKUP('Daten aus 2021'!N86,'#Boden'!$B$68:$C$89,2,FALSE))</f>
        <v/>
      </c>
      <c r="D84" s="875" t="str">
        <f>IF('Daten aus 2021'!M86="","",VLOOKUP('Daten aus 2021'!M86,'#Boden'!$D$69:$E$73,2,FALSE))</f>
        <v/>
      </c>
      <c r="E84" s="938" t="str">
        <f>IF(OR(C84='#Boden'!$C$68,C84='#Boden'!$C$70),C84,CONCATENATE(C84,D84))</f>
        <v/>
      </c>
      <c r="F84" s="882" t="str">
        <f>IFERROR(IF('Daten aus 2021'!H86="",'#Frucht'!$D$8,IF('Daten aus 2021'!H86='#Boden'!$B$39,E84,IF('Daten aus 2021'!H86='#Boden'!$B$38,IF(CONCATENATE(" ",'Daten aus 2021'!W86)=$B$2,VLOOKUP($B$3,'#Frucht'!$A$8:$D$372,4,FALSE),VLOOKUP(CONCATENATE(" ",'Daten aus 2021'!W86),'#Frucht'!$A$8:$D$372,4,FALSE)),IF(OR(LEFT('Daten aus 2021'!Q86,5)=" *10 ",LEFT('Daten aus 2021'!Q86,5)=" *11 ",LEFT('Daten aus 2021'!Q86,5)=" *12 ",LEFT('Daten aus 2021'!Q86,5)=" *13 ",LEFT('Daten aus 2021'!Q86,5)=" *14 ",LEFT('Daten aus 2021'!Q86,5)=" *15 "),VLOOKUP(RIGHT('Daten aus 2021'!Q86,LEN('Daten aus 2021'!Q86)-4),'#Frucht'!$A$8:$D$372,4,FALSE),IF(LEFT('Daten aus 2021'!Q86,2)=" *",VLOOKUP(RIGHT('Daten aus 2021'!Q86,LEN('Daten aus 2021'!Q86)-3),'#Frucht'!$A$8:$D$372,4,FALSE),VLOOKUP('Daten aus 2021'!Q86,'#Frucht'!$A$8:$D$372,4,FALSE)))))),'#Frucht'!$D$8)</f>
        <v xml:space="preserve"> --  </v>
      </c>
      <c r="G84" s="127"/>
      <c r="H84" s="31"/>
      <c r="J84" s="938" t="str">
        <f>IF(OR(N84=3,$K$3=0,'Flächen u. Kulturen'!P89=""),"",IF(VLOOKUP('Flächen u. Kulturen'!P89,Kulturen[[HF]:[780]],'#BerechnungDBE'!$K$3,FALSE)=".","",VLOOKUP('Flächen u. Kulturen'!P89,Kulturen[[HF]:[780]],'#BerechnungDBE'!$K$3,FALSE)))</f>
        <v/>
      </c>
      <c r="K84" s="938" t="str">
        <f>IF(OR($K$3=0,'Flächen u. Kulturen'!P89=""),"",IF(N84=3,IF(VLOOKUP('Flächen u. Kulturen'!P89,Kulturen[[HF]:[780]],'#BerechnungDBE'!$K$3,FALSE)=".","",VLOOKUP('Flächen u. Kulturen'!P89,Kulturen[[HF]:[780]],'#BerechnungDBE'!$K$3,FALSE)),""))</f>
        <v/>
      </c>
      <c r="L84" s="367">
        <f>IF('Flächen u. Kulturen'!D89="",0,'Flächen u. Kulturen'!D89)</f>
        <v>0</v>
      </c>
      <c r="M84" s="693">
        <f>IF('Flächen u. Kulturen'!J89="",0,VLOOKUP('Flächen u. Kulturen'!J89,Kulturen[[HF]:[Berechnungsgruppe]],'#Frucht'!$W$1,FALSE))</f>
        <v>1</v>
      </c>
      <c r="N84" s="693">
        <f>IF('Flächen u. Kulturen'!P89="",0,VLOOKUP('Flächen u. Kulturen'!P89,Kulturen[[HF]:[Berechnungsgruppe]],'#Frucht'!$W$1,FALSE))</f>
        <v>1</v>
      </c>
      <c r="O84" s="875">
        <f>IF(N84&lt;&gt;2,N84,IF('Flächen u. Kulturen'!J89='Flächen u. Kulturen'!P89,2,1))</f>
        <v>1</v>
      </c>
      <c r="P84" s="875">
        <f>IF('Flächen u. Kulturen'!F89="",0,VLOOKUP('Flächen u. Kulturen'!F89,'#Boden'!$G$4:$H$8,'#Boden'!$H$1,FALSE))</f>
        <v>1</v>
      </c>
      <c r="Q84" s="875">
        <f>IF('Flächen u. Kulturen'!G89="",0,VLOOKUP('Flächen u. Kulturen'!G89,'#Boden'!$B$26:$C$29,'#Boden'!$C$1,FALSE))</f>
        <v>1</v>
      </c>
      <c r="R84" s="875">
        <f t="shared" si="64"/>
        <v>1</v>
      </c>
      <c r="S84" s="875">
        <f t="shared" si="65"/>
        <v>1</v>
      </c>
      <c r="T84" s="875">
        <f>IF('Flächen u. Kulturen'!H89="",0,VLOOKUP('Flächen u. Kulturen'!H89,'#Boden'!$B$23:$C$25,'#Boden'!$C$1,FALSE))</f>
        <v>2</v>
      </c>
      <c r="U84" s="875" t="str">
        <f>'Flächen u. Kulturen'!E89</f>
        <v>x</v>
      </c>
      <c r="V84" s="938">
        <f>IF('Flächen u. Kulturen'!Q89="",0,_xlfn.NUMBERVALUE('Flächen u. Kulturen'!Q89))</f>
        <v>0</v>
      </c>
      <c r="W84" s="938">
        <f>IF('Flächen u. Kulturen'!R89="",0,_xlfn.NUMBERVALUE('Flächen u. Kulturen'!R89))</f>
        <v>0</v>
      </c>
      <c r="X84" s="875">
        <f>IF('Flächen u. Kulturen'!T89="",0,VLOOKUP('Flächen u. Kulturen'!T89,'#Boden'!$B$30:$C$32,'#Boden'!$C$1,FALSE))</f>
        <v>1</v>
      </c>
      <c r="Y84" s="875">
        <f>IF('Flächen u. Kulturen'!P89="",0,VLOOKUP('Flächen u. Kulturen'!P89,Kulturen[[HF]:[Berechnungsgruppe]],'#Frucht'!$N$1,FALSE))</f>
        <v>0</v>
      </c>
      <c r="Z84" s="875">
        <f t="shared" si="66"/>
        <v>2</v>
      </c>
      <c r="AA84" s="875">
        <f>IF('Flächen u. Kulturen'!P89="",0,VLOOKUP('Flächen u. Kulturen'!P89,Kulturen[[HF]:[Berechnungsgruppe]],'#Frucht'!$V$1,FALSE))</f>
        <v>0</v>
      </c>
      <c r="AB84" s="875">
        <f>IF(N84=1,VLOOKUP('Flächen u. Kulturen'!P89,Kulturen[[HF]:[Ernteprodukt]],'#Frucht'!$I$1,FALSE),4)</f>
        <v>4</v>
      </c>
      <c r="AC84" s="921">
        <f>IF('Flächen u. Kulturen'!J89="",0,VLOOKUP('Flächen u. Kulturen'!J89,Kulturen[[HF]:[Berechnungsgruppe]],'#Frucht'!$G$1,FALSE))</f>
        <v>90</v>
      </c>
      <c r="AD84" s="921">
        <f>IF('Flächen u. Kulturen'!P89="",0,VLOOKUP('Flächen u. Kulturen'!P89,Kulturen[[HF]:[Berechnungsgruppe]],'#Frucht'!$G$1,FALSE))</f>
        <v>90</v>
      </c>
      <c r="AE84" s="938">
        <f>IF('Flächen u. Kulturen'!P89="",0,VLOOKUP('Flächen u. Kulturen'!P89,Kulturen[[HF]:[SollwertMinusNfix]],'#Frucht'!$X$1,FALSE))</f>
        <v>0</v>
      </c>
      <c r="AF84" s="875">
        <f>IF('Flächen u. Kulturen'!L89="",0,VLOOKUP('Flächen u. Kulturen'!L89,Nebenkultur[[Nebenkultur]:[Berechnungsschema]],'#Zweitfr'!$G$1,FALSE))</f>
        <v>0</v>
      </c>
      <c r="AG84" s="875">
        <f>IF('Flächen u. Kulturen'!L89="",0,VLOOKUP('Flächen u. Kulturen'!L89,'#Zweitfr'!$D$8:$Q$27,'#Zweitfr'!$Q$1,FALSE))</f>
        <v>0</v>
      </c>
      <c r="AH84" s="875">
        <f>IF('Flächen u. Kulturen'!M89="",0,VLOOKUP('Flächen u. Kulturen'!M89,'#Boden'!$G$17:$H$21,2,FALSE))</f>
        <v>1</v>
      </c>
      <c r="AI84" s="875">
        <f>IF('Flächen u. Kulturen'!N89="",0,VLOOKUP('Flächen u. Kulturen'!N89,'#Boden'!$G$22:$H$24,'#Boden'!$H$1,FALSE))</f>
        <v>1</v>
      </c>
      <c r="AJ84" s="938">
        <f>IF('Flächen u. Kulturen'!O89="",0,_xlfn.NUMBERVALUE('Flächen u. Kulturen'!O89))</f>
        <v>0</v>
      </c>
      <c r="AK84" s="938">
        <f>IF('Flächen u. Kulturen'!L89="",0,VLOOKUP('Flächen u. Kulturen'!L89,Nebenkultur[[Nebenkultur]:[Legum. Zwischenfr.]],'#Zweitfr'!$P$1,FALSE))</f>
        <v>0</v>
      </c>
      <c r="AL84" s="875">
        <f>IF('Flächen u. Kulturen'!P89="",0,VLOOKUP('Flächen u. Kulturen'!P89,Kulturen[[HF]:[Berechnungsgruppe]],'#Frucht'!$Q$1,FALSE))</f>
        <v>0</v>
      </c>
      <c r="AM84" s="875">
        <f>IF('Flächen u. Kulturen'!P89="",0,VLOOKUP('Flächen u. Kulturen'!P89,Kulturen[[HF]:[Berechnungsgruppe]],'#Frucht'!$M$1,FALSE))</f>
        <v>0</v>
      </c>
      <c r="AN84" s="875">
        <f>IF('Flächen u. Kulturen'!P89="",1,VLOOKUP('Flächen u. Kulturen'!P89,Kulturen[[HF]:[Berechnungsgruppe]],'#Frucht'!$R$1,FALSE))</f>
        <v>10</v>
      </c>
      <c r="AO84" s="875">
        <f>IF('Flächen u. Kulturen'!P89="",0,VLOOKUP('Flächen u. Kulturen'!P89,Kulturen[[HF]:[Berechnungsgruppe]],'#Frucht'!$S$1,FALSE))</f>
        <v>0</v>
      </c>
      <c r="AP84" s="875">
        <f>IF('Flächen u. Kulturen'!P89="",0,VLOOKUP('Flächen u. Kulturen'!P89,Kulturen[[HF]:[Berechnungsgruppe]],'#Frucht'!$T$1,FALSE))</f>
        <v>0</v>
      </c>
      <c r="AQ84" s="938">
        <f t="shared" si="46"/>
        <v>0</v>
      </c>
      <c r="AR84" s="875">
        <f t="shared" si="47"/>
        <v>0</v>
      </c>
      <c r="AS84" s="938">
        <f t="shared" si="48"/>
        <v>0</v>
      </c>
      <c r="AT84" s="875">
        <f>IF(N84=1,'Flächen u. Kulturen'!S89*-1,"--")</f>
        <v>0</v>
      </c>
      <c r="AU84" s="938">
        <f>IF(OR(N84=2,'Flächen u. Kulturen'!I89=""),"--",IF(N84=3,VLOOKUP('Flächen u. Kulturen'!I89,'#Boden'!$B$9:$E$15,'#Boden'!$D$1,FALSE),VLOOKUP('Flächen u. Kulturen'!I89,'#Boden'!$B$9:$E$15,'#Boden'!$E$1,FALSE)))</f>
        <v>0</v>
      </c>
      <c r="AV84" s="938">
        <f>IF(N84=1,IF('Flächen u. Kulturen'!J89="",0,VLOOKUP('Flächen u. Kulturen'!J89,Kulturen[[HF]:[Berechnungsgruppe]],'#Frucht'!$U$1,FALSE)*-1),"--")</f>
        <v>0</v>
      </c>
      <c r="AW84" s="875">
        <f t="shared" si="49"/>
        <v>0</v>
      </c>
      <c r="AX84" s="875">
        <f>IF('Flächen u. Kulturen'!K89="",0,'Flächen u. Kulturen'!K89*-0.1)</f>
        <v>0</v>
      </c>
      <c r="AY84" s="875">
        <f>IF(N84&lt;3,'#orgDung'!AC93*0.1*-1,"--")</f>
        <v>0</v>
      </c>
      <c r="AZ84" s="31" t="str">
        <f>IF(AND('#orgDung'!J93&lt;&gt;2,'#orgDung'!F93=1),('#orgDung'!V93+'#minDung'!O90)*-1,"--")</f>
        <v>--</v>
      </c>
      <c r="BA84" s="875">
        <f t="shared" si="67"/>
        <v>0</v>
      </c>
      <c r="BB84" s="938">
        <f>IF(R84=2,0,'Flächen u. Kulturen'!V89*-1)</f>
        <v>0</v>
      </c>
      <c r="BC84" s="875">
        <f t="shared" si="68"/>
        <v>0</v>
      </c>
      <c r="BD84" s="127">
        <f>'#orgDung'!W93*-1</f>
        <v>0</v>
      </c>
      <c r="BE84" s="910">
        <f>'#orgDung'!AA93*-1</f>
        <v>0</v>
      </c>
      <c r="BF84" s="875">
        <f>'#orgDung'!Z93*-1</f>
        <v>0</v>
      </c>
      <c r="BG84" s="938">
        <f t="shared" si="60"/>
        <v>0</v>
      </c>
      <c r="BH84" s="875">
        <f>'#Kürzungen'!AS108*-1</f>
        <v>0</v>
      </c>
      <c r="BI84" s="875">
        <f t="shared" si="50"/>
        <v>0</v>
      </c>
      <c r="BJ84" s="910">
        <f t="shared" si="51"/>
        <v>0</v>
      </c>
      <c r="BK84" s="875">
        <f>'#minDung'!P90</f>
        <v>0</v>
      </c>
      <c r="BL84" s="938">
        <f t="shared" si="61"/>
        <v>0</v>
      </c>
      <c r="BM84" s="938">
        <f t="shared" si="52"/>
        <v>0</v>
      </c>
      <c r="BN84" s="875">
        <f>IF('Flächen u. Kulturen'!P89="",0,VLOOKUP('Flächen u. Kulturen'!P89,Kulturen[[HF]:[Berechnungsgruppe]],'#Frucht'!$K$1,FALSE))</f>
        <v>0</v>
      </c>
      <c r="BO84" s="875">
        <f>IF('Flächen u. Kulturen'!P89="",0,VLOOKUP('Flächen u. Kulturen'!P89,Kulturen[[HF]:[Berechnungsgruppe]],'#Frucht'!$L$1,FALSE))</f>
        <v>0</v>
      </c>
      <c r="BP84" s="875">
        <f>IF('Flächen u. Kulturen'!L89="",0,VLOOKUP('Flächen u. Kulturen'!L89,Nebenkultur[[Nebenkultur]:[Legum. Zwischenfr.]],'#Zweitfr'!$H$1,FALSE))</f>
        <v>0</v>
      </c>
      <c r="BQ84" s="938">
        <f>IF(N84=3,W84*BO84,IF('Flächen u. Kulturen'!T89='#Boden'!$B$32,V84*BN84,V84*BO84))</f>
        <v>0</v>
      </c>
      <c r="BR84" s="938">
        <f t="shared" si="53"/>
        <v>0</v>
      </c>
      <c r="BS84" s="875">
        <f t="shared" si="69"/>
        <v>0</v>
      </c>
      <c r="BT84" s="875">
        <f>IF('Flächen u. Kulturen'!F89="",0,IF(N84=3,VLOOKUP('Flächen u. Kulturen'!F89,'#Boden'!$G$4:$J$8,'#Boden'!$J$1,FALSE),VLOOKUP('Flächen u. Kulturen'!F89,'#Boden'!$G$4:$J$8,'#Boden'!$I$1,FALSE)))</f>
        <v>0</v>
      </c>
      <c r="BU84" s="41">
        <f t="shared" si="70"/>
        <v>0</v>
      </c>
      <c r="BV84" s="875">
        <f t="shared" si="71"/>
        <v>0</v>
      </c>
      <c r="BW84" s="938" t="str">
        <f t="shared" si="62"/>
        <v/>
      </c>
      <c r="BX84" s="875">
        <f>'#orgDung'!T93*-1</f>
        <v>0</v>
      </c>
      <c r="BY84" s="875">
        <f t="shared" si="54"/>
        <v>0</v>
      </c>
      <c r="BZ84" s="938" t="str">
        <f>IF(U84&lt;&gt;"x",0,IF(P84&lt;4,"",(BW84+BX84-'#minDung'!N90)*-1))</f>
        <v/>
      </c>
      <c r="CB84" s="938">
        <f>IF(AND(AF84=70,U84="x"),'Flächen u. Kulturen'!A89,1000)</f>
        <v>1000</v>
      </c>
      <c r="CC84" s="875" t="str">
        <f>IF(AF84=70,VLOOKUP('Flächen u. Kulturen'!L89,Nebenkultur[[Nebenkultur]:[Legum. Zwischenfr.]],'#Zweitfr'!$I$1,FALSE),"--")</f>
        <v>--</v>
      </c>
      <c r="CD84" s="875" t="str">
        <f>IF(AF84=70,VLOOKUP('Flächen u. Kulturen'!L89,Nebenkultur[[Nebenkultur]:[Legum. Zwischenfr.]],'#Zweitfr'!$L$1,FALSE),"--")</f>
        <v>--</v>
      </c>
      <c r="CE84" s="875" t="str">
        <f>IF(AF84=70,VLOOKUP('Flächen u. Kulturen'!L89,Nebenkultur[[Nebenkultur]:[Legum. Zwischenfr.]],'#Zweitfr'!$M$1,FALSE),"--")</f>
        <v>--</v>
      </c>
      <c r="CF84" s="875" t="str">
        <f>IF(AF84=70,VLOOKUP('Flächen u. Kulturen'!L89,Nebenkultur[[Nebenkultur]:[Legum. Zwischenfr.]],'#Zweitfr'!$N$1,FALSE),"--")</f>
        <v>--</v>
      </c>
      <c r="CG84" s="875" t="str">
        <f>IF(AF84=70,VLOOKUP('Flächen u. Kulturen'!L89,Nebenkultur[[Nebenkultur]:[Legum. Zwischenfr.]],'#Zweitfr'!$O$1,FALSE),"--")</f>
        <v>--</v>
      </c>
      <c r="CH84" s="875" t="str">
        <f t="shared" si="55"/>
        <v>--</v>
      </c>
      <c r="CI84" s="938">
        <f>IF('Flächen u. Kulturen'!L89="",0,VLOOKUP('Flächen u. Kulturen'!L89,Nebenkultur[[Nebenkultur]:[Legum. Zwischenfr.]],'#Zweitfr'!$J$1,FALSE))</f>
        <v>0</v>
      </c>
      <c r="CJ84" s="875">
        <f t="shared" si="56"/>
        <v>0</v>
      </c>
      <c r="CK84" s="890">
        <f t="shared" si="57"/>
        <v>0</v>
      </c>
      <c r="CL84" s="938">
        <f>IF(AND(R84=1,AF84=70),'Flächen u. Kulturen'!W89*-1,0)</f>
        <v>0</v>
      </c>
      <c r="CM84" s="875">
        <f>'#orgDung'!AE93*-1</f>
        <v>0</v>
      </c>
      <c r="CN84" s="875">
        <f t="shared" si="72"/>
        <v>0</v>
      </c>
      <c r="CO84" s="875">
        <f t="shared" si="73"/>
        <v>0</v>
      </c>
      <c r="CP84" s="875">
        <f>'#Kürzungen'!AS209*-1</f>
        <v>0</v>
      </c>
      <c r="CQ84" s="875">
        <f t="shared" si="74"/>
        <v>0</v>
      </c>
      <c r="CR84" s="875">
        <f t="shared" si="75"/>
        <v>0</v>
      </c>
      <c r="CS84" s="875">
        <f>'#minDung'!R90</f>
        <v>0</v>
      </c>
      <c r="CT84" s="938">
        <f t="shared" si="63"/>
        <v>0</v>
      </c>
      <c r="CU84" s="52" t="str">
        <f>'#Kürzungen'!AQ209</f>
        <v xml:space="preserve"> </v>
      </c>
      <c r="CW84" s="247">
        <f>IF('Flächen u. Kulturen'!D89="",0,IF(ISNUMBER('Flächen u. Kulturen'!D89)=TRUE,2,1))</f>
        <v>0</v>
      </c>
      <c r="CX84" s="247">
        <f>IF('Flächen u. Kulturen'!E89="",0,COUNTIF('#Boden'!$B$47,'Flächen u. Kulturen'!E89)+1)</f>
        <v>2</v>
      </c>
      <c r="CY84" s="247">
        <f>IF('Flächen u. Kulturen'!F89="",0,COUNTIF('#Boden'!$G$4:$G$8,'Flächen u. Kulturen'!F89)+1)</f>
        <v>2</v>
      </c>
      <c r="CZ84" s="247">
        <f>IF('Flächen u. Kulturen'!G89="",0,COUNTIF('#Boden'!$B$26:$B$29,'Flächen u. Kulturen'!G89)+1)</f>
        <v>2</v>
      </c>
      <c r="DA84" s="247">
        <f>IF('Flächen u. Kulturen'!H89="",0,COUNTIF('#Boden'!$B$26:$B$29,'Flächen u. Kulturen'!H89)+1)</f>
        <v>2</v>
      </c>
      <c r="DB84" s="247">
        <f>IF('Flächen u. Kulturen'!I89="",0,COUNTIF('#Boden'!$B$9:$B$15,'Flächen u. Kulturen'!I89)+1)</f>
        <v>2</v>
      </c>
      <c r="DC84" s="247">
        <f>IF('Flächen u. Kulturen'!J89="",0,COUNTIF(Kulturen[HF],'Flächen u. Kulturen'!J89)+1)</f>
        <v>2</v>
      </c>
      <c r="DD84" s="247">
        <f>IF('Flächen u. Kulturen'!L89="",0,COUNTIF(Nebenkultur[Nebenkultur],'Flächen u. Kulturen'!L89)+1)</f>
        <v>2</v>
      </c>
      <c r="DE84" s="247">
        <f>IF('Flächen u. Kulturen'!M89="",0,COUNTIF('#Boden'!$G$17:$G$21,'Flächen u. Kulturen'!M89)+1)</f>
        <v>2</v>
      </c>
      <c r="DF84" s="247">
        <f>IF('Flächen u. Kulturen'!N89="",0,COUNTIF('#Boden'!$G$22:$G$24,'Flächen u. Kulturen'!N89)+1)</f>
        <v>2</v>
      </c>
      <c r="DG84" s="247">
        <f>IF('Flächen u. Kulturen'!P89="",0,COUNTIF(Kulturen[HF],'Flächen u. Kulturen'!P89)+1)</f>
        <v>2</v>
      </c>
      <c r="DH84" s="247">
        <f>IF('Flächen u. Kulturen'!T89="",0,COUNTIF('#Boden'!$B$30:$B$32,'Flächen u. Kulturen'!T89)+1)</f>
        <v>2</v>
      </c>
      <c r="DI84" s="247">
        <f>IF('Flächen u. Kulturen'!K89="",0,IF(ISNUMBER('Flächen u. Kulturen'!K89)=TRUE,2,1))</f>
        <v>0</v>
      </c>
      <c r="DJ84" s="247">
        <f>IF('Flächen u. Kulturen'!U89="",0,IF(ISNUMBER('Flächen u. Kulturen'!U89)=TRUE,2,1))</f>
        <v>0</v>
      </c>
      <c r="DK84" s="247">
        <f>IF('Flächen u. Kulturen'!V89="",0,IF(ISNUMBER('Flächen u. Kulturen'!V89)=TRUE,2,1))</f>
        <v>0</v>
      </c>
      <c r="DL84" s="247">
        <f>IF('Flächen u. Kulturen'!W89="",0,IF(ISNUMBER('Flächen u. Kulturen'!W89)=TRUE,2,1))</f>
        <v>0</v>
      </c>
      <c r="DM84" s="247">
        <f t="shared" si="76"/>
        <v>0</v>
      </c>
      <c r="DN84" s="247" t="s">
        <v>344</v>
      </c>
      <c r="DO84" s="247">
        <f>IF(U84&lt;&gt;"x","",IF(OR('Flächen u. Kulturen'!B89="",'Flächen u. Kulturen'!C89="",'Flächen u. Kulturen'!D89="",'Flächen u. Kulturen'!D89=0,'Flächen u. Kulturen'!F89="",'Flächen u. Kulturen'!F89='#Boden'!$G$4,'Flächen u. Kulturen'!G89="",'Flächen u. Kulturen'!G89='#Boden'!$B$26,'Flächen u. Kulturen'!H89="",'Flächen u. Kulturen'!H89='#Boden'!$B$23,AND(N84&lt;&gt;2,OR('Flächen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Kulturen'!Q89="",'#BerechnungDBE'!N84&lt;3),AND('Flächen u. Kulturen'!R89="",'#BerechnungDBE'!N84=3),AND(N84=1,AL84&gt;0,'Flächen u. Kulturen'!S89=""),AND(N84=1,OR('Flächen u. Kulturen'!T89="",'Flächen u. Kulturen'!T89='#Boden'!$B$30)),AND('#BerechnungDBE'!AF84=70,OR('Flächen u. Kulturen'!N89="",'Flächen u. Kulturen'!N89='#Boden'!$G$22,'Flächen u. Kulturen'!O89="")),AND('#BerechnungDBE'!AF84=80,OR('Flächen u. Kulturen'!M89="",'Flächen u. Kulturen'!M89='#Boden'!$G$17,'Flächen u. Kulturen'!N89="",'Flächen u. Kulturen'!N89='#Boden'!$G$22))),$DO$4,""))</f>
        <v>1</v>
      </c>
      <c r="DP84" s="247" t="str">
        <f>IF(U84&lt;&gt;"x","",IF(OR(LEFT('Flächen u. Kulturen'!J89,2)=" +",LEFT('Flächen u. Kulturen'!L89,2)=" +",LEFT('Flächen u. Kulturen'!P89,2)=" +"),$DP$4,""))</f>
        <v/>
      </c>
      <c r="DQ84" s="428" t="str">
        <f t="shared" si="58"/>
        <v/>
      </c>
      <c r="DR84" s="938" t="str">
        <f t="shared" si="59"/>
        <v/>
      </c>
      <c r="DS84" s="938" t="str">
        <f>IF('Flächen u. Kulturen'!X89="","",ROW('Flächen u. Kulturen'!X89))</f>
        <v/>
      </c>
    </row>
    <row r="85" spans="1:123" s="875" customFormat="1" x14ac:dyDescent="0.2">
      <c r="A85" s="875" t="str">
        <f>IF('Daten aus 2021'!H87="",'#Boden'!$B$26,IF('Daten aus 2021'!H87='#Boden'!$B$39,IF('Daten aus 2021'!F87='#Boden'!$B$29,'#Boden'!$B$29,IF('Daten aus 2021'!K87='#Boden'!$B$34,'#Boden'!$B$28,'#Boden'!$B$27)),'Daten aus 2021'!F87))</f>
        <v xml:space="preserve"> --</v>
      </c>
      <c r="B85" s="875" t="str">
        <f>IF('Daten aus 2021'!H87='#Boden'!$B$39,IF('Daten aus 2021'!L87='#Boden'!$B$61,'#Boden'!$B$11,'Daten aus 2021'!L87),IF('Daten aus 2021'!P87='#Boden'!$B$58,'#Boden'!$B$11,IF('Daten aus 2021'!P87='#Boden'!$B$57,'#Boden'!$B$10,'#Boden'!$B$9)))</f>
        <v xml:space="preserve"> --         </v>
      </c>
      <c r="C85" s="875" t="str">
        <f>IF('Daten aus 2021'!N87="","",VLOOKUP('Daten aus 2021'!N87,'#Boden'!$B$68:$C$89,2,FALSE))</f>
        <v/>
      </c>
      <c r="D85" s="875" t="str">
        <f>IF('Daten aus 2021'!M87="","",VLOOKUP('Daten aus 2021'!M87,'#Boden'!$D$69:$E$73,2,FALSE))</f>
        <v/>
      </c>
      <c r="E85" s="938" t="str">
        <f>IF(OR(C85='#Boden'!$C$68,C85='#Boden'!$C$70),C85,CONCATENATE(C85,D85))</f>
        <v/>
      </c>
      <c r="F85" s="882" t="str">
        <f>IFERROR(IF('Daten aus 2021'!H87="",'#Frucht'!$D$8,IF('Daten aus 2021'!H87='#Boden'!$B$39,E85,IF('Daten aus 2021'!H87='#Boden'!$B$38,IF(CONCATENATE(" ",'Daten aus 2021'!W87)=$B$2,VLOOKUP($B$3,'#Frucht'!$A$8:$D$372,4,FALSE),VLOOKUP(CONCATENATE(" ",'Daten aus 2021'!W87),'#Frucht'!$A$8:$D$372,4,FALSE)),IF(OR(LEFT('Daten aus 2021'!Q87,5)=" *10 ",LEFT('Daten aus 2021'!Q87,5)=" *11 ",LEFT('Daten aus 2021'!Q87,5)=" *12 ",LEFT('Daten aus 2021'!Q87,5)=" *13 ",LEFT('Daten aus 2021'!Q87,5)=" *14 ",LEFT('Daten aus 2021'!Q87,5)=" *15 "),VLOOKUP(RIGHT('Daten aus 2021'!Q87,LEN('Daten aus 2021'!Q87)-4),'#Frucht'!$A$8:$D$372,4,FALSE),IF(LEFT('Daten aus 2021'!Q87,2)=" *",VLOOKUP(RIGHT('Daten aus 2021'!Q87,LEN('Daten aus 2021'!Q87)-3),'#Frucht'!$A$8:$D$372,4,FALSE),VLOOKUP('Daten aus 2021'!Q87,'#Frucht'!$A$8:$D$372,4,FALSE)))))),'#Frucht'!$D$8)</f>
        <v xml:space="preserve"> --  </v>
      </c>
      <c r="G85" s="127"/>
      <c r="H85" s="31"/>
      <c r="J85" s="938" t="str">
        <f>IF(OR(N85=3,$K$3=0,'Flächen u. Kulturen'!P90=""),"",IF(VLOOKUP('Flächen u. Kulturen'!P90,Kulturen[[HF]:[780]],'#BerechnungDBE'!$K$3,FALSE)=".","",VLOOKUP('Flächen u. Kulturen'!P90,Kulturen[[HF]:[780]],'#BerechnungDBE'!$K$3,FALSE)))</f>
        <v/>
      </c>
      <c r="K85" s="938" t="str">
        <f>IF(OR($K$3=0,'Flächen u. Kulturen'!P90=""),"",IF(N85=3,IF(VLOOKUP('Flächen u. Kulturen'!P90,Kulturen[[HF]:[780]],'#BerechnungDBE'!$K$3,FALSE)=".","",VLOOKUP('Flächen u. Kulturen'!P90,Kulturen[[HF]:[780]],'#BerechnungDBE'!$K$3,FALSE)),""))</f>
        <v/>
      </c>
      <c r="L85" s="367">
        <f>IF('Flächen u. Kulturen'!D90="",0,'Flächen u. Kulturen'!D90)</f>
        <v>0</v>
      </c>
      <c r="M85" s="693">
        <f>IF('Flächen u. Kulturen'!J90="",0,VLOOKUP('Flächen u. Kulturen'!J90,Kulturen[[HF]:[Berechnungsgruppe]],'#Frucht'!$W$1,FALSE))</f>
        <v>1</v>
      </c>
      <c r="N85" s="693">
        <f>IF('Flächen u. Kulturen'!P90="",0,VLOOKUP('Flächen u. Kulturen'!P90,Kulturen[[HF]:[Berechnungsgruppe]],'#Frucht'!$W$1,FALSE))</f>
        <v>1</v>
      </c>
      <c r="O85" s="875">
        <f>IF(N85&lt;&gt;2,N85,IF('Flächen u. Kulturen'!J90='Flächen u. Kulturen'!P90,2,1))</f>
        <v>1</v>
      </c>
      <c r="P85" s="875">
        <f>IF('Flächen u. Kulturen'!F90="",0,VLOOKUP('Flächen u. Kulturen'!F90,'#Boden'!$G$4:$H$8,'#Boden'!$H$1,FALSE))</f>
        <v>1</v>
      </c>
      <c r="Q85" s="875">
        <f>IF('Flächen u. Kulturen'!G90="",0,VLOOKUP('Flächen u. Kulturen'!G90,'#Boden'!$B$26:$C$29,'#Boden'!$C$1,FALSE))</f>
        <v>1</v>
      </c>
      <c r="R85" s="875">
        <f t="shared" si="64"/>
        <v>1</v>
      </c>
      <c r="S85" s="875">
        <f t="shared" si="65"/>
        <v>1</v>
      </c>
      <c r="T85" s="875">
        <f>IF('Flächen u. Kulturen'!H90="",0,VLOOKUP('Flächen u. Kulturen'!H90,'#Boden'!$B$23:$C$25,'#Boden'!$C$1,FALSE))</f>
        <v>2</v>
      </c>
      <c r="U85" s="875" t="str">
        <f>'Flächen u. Kulturen'!E90</f>
        <v>x</v>
      </c>
      <c r="V85" s="938">
        <f>IF('Flächen u. Kulturen'!Q90="",0,_xlfn.NUMBERVALUE('Flächen u. Kulturen'!Q90))</f>
        <v>0</v>
      </c>
      <c r="W85" s="938">
        <f>IF('Flächen u. Kulturen'!R90="",0,_xlfn.NUMBERVALUE('Flächen u. Kulturen'!R90))</f>
        <v>0</v>
      </c>
      <c r="X85" s="875">
        <f>IF('Flächen u. Kulturen'!T90="",0,VLOOKUP('Flächen u. Kulturen'!T90,'#Boden'!$B$30:$C$32,'#Boden'!$C$1,FALSE))</f>
        <v>1</v>
      </c>
      <c r="Y85" s="875">
        <f>IF('Flächen u. Kulturen'!P90="",0,VLOOKUP('Flächen u. Kulturen'!P90,Kulturen[[HF]:[Berechnungsgruppe]],'#Frucht'!$N$1,FALSE))</f>
        <v>0</v>
      </c>
      <c r="Z85" s="875">
        <f t="shared" si="66"/>
        <v>2</v>
      </c>
      <c r="AA85" s="875">
        <f>IF('Flächen u. Kulturen'!P90="",0,VLOOKUP('Flächen u. Kulturen'!P90,Kulturen[[HF]:[Berechnungsgruppe]],'#Frucht'!$V$1,FALSE))</f>
        <v>0</v>
      </c>
      <c r="AB85" s="875">
        <f>IF(N85=1,VLOOKUP('Flächen u. Kulturen'!P90,Kulturen[[HF]:[Ernteprodukt]],'#Frucht'!$I$1,FALSE),4)</f>
        <v>4</v>
      </c>
      <c r="AC85" s="921">
        <f>IF('Flächen u. Kulturen'!J90="",0,VLOOKUP('Flächen u. Kulturen'!J90,Kulturen[[HF]:[Berechnungsgruppe]],'#Frucht'!$G$1,FALSE))</f>
        <v>90</v>
      </c>
      <c r="AD85" s="921">
        <f>IF('Flächen u. Kulturen'!P90="",0,VLOOKUP('Flächen u. Kulturen'!P90,Kulturen[[HF]:[Berechnungsgruppe]],'#Frucht'!$G$1,FALSE))</f>
        <v>90</v>
      </c>
      <c r="AE85" s="938">
        <f>IF('Flächen u. Kulturen'!P90="",0,VLOOKUP('Flächen u. Kulturen'!P90,Kulturen[[HF]:[SollwertMinusNfix]],'#Frucht'!$X$1,FALSE))</f>
        <v>0</v>
      </c>
      <c r="AF85" s="875">
        <f>IF('Flächen u. Kulturen'!L90="",0,VLOOKUP('Flächen u. Kulturen'!L90,Nebenkultur[[Nebenkultur]:[Berechnungsschema]],'#Zweitfr'!$G$1,FALSE))</f>
        <v>0</v>
      </c>
      <c r="AG85" s="875">
        <f>IF('Flächen u. Kulturen'!L90="",0,VLOOKUP('Flächen u. Kulturen'!L90,'#Zweitfr'!$D$8:$Q$27,'#Zweitfr'!$Q$1,FALSE))</f>
        <v>0</v>
      </c>
      <c r="AH85" s="875">
        <f>IF('Flächen u. Kulturen'!M90="",0,VLOOKUP('Flächen u. Kulturen'!M90,'#Boden'!$G$17:$H$21,2,FALSE))</f>
        <v>1</v>
      </c>
      <c r="AI85" s="875">
        <f>IF('Flächen u. Kulturen'!N90="",0,VLOOKUP('Flächen u. Kulturen'!N90,'#Boden'!$G$22:$H$24,'#Boden'!$H$1,FALSE))</f>
        <v>1</v>
      </c>
      <c r="AJ85" s="938">
        <f>IF('Flächen u. Kulturen'!O90="",0,_xlfn.NUMBERVALUE('Flächen u. Kulturen'!O90))</f>
        <v>0</v>
      </c>
      <c r="AK85" s="938">
        <f>IF('Flächen u. Kulturen'!L90="",0,VLOOKUP('Flächen u. Kulturen'!L90,Nebenkultur[[Nebenkultur]:[Legum. Zwischenfr.]],'#Zweitfr'!$P$1,FALSE))</f>
        <v>0</v>
      </c>
      <c r="AL85" s="875">
        <f>IF('Flächen u. Kulturen'!P90="",0,VLOOKUP('Flächen u. Kulturen'!P90,Kulturen[[HF]:[Berechnungsgruppe]],'#Frucht'!$Q$1,FALSE))</f>
        <v>0</v>
      </c>
      <c r="AM85" s="875">
        <f>IF('Flächen u. Kulturen'!P90="",0,VLOOKUP('Flächen u. Kulturen'!P90,Kulturen[[HF]:[Berechnungsgruppe]],'#Frucht'!$M$1,FALSE))</f>
        <v>0</v>
      </c>
      <c r="AN85" s="875">
        <f>IF('Flächen u. Kulturen'!P90="",1,VLOOKUP('Flächen u. Kulturen'!P90,Kulturen[[HF]:[Berechnungsgruppe]],'#Frucht'!$R$1,FALSE))</f>
        <v>10</v>
      </c>
      <c r="AO85" s="875">
        <f>IF('Flächen u. Kulturen'!P90="",0,VLOOKUP('Flächen u. Kulturen'!P90,Kulturen[[HF]:[Berechnungsgruppe]],'#Frucht'!$S$1,FALSE))</f>
        <v>0</v>
      </c>
      <c r="AP85" s="875">
        <f>IF('Flächen u. Kulturen'!P90="",0,VLOOKUP('Flächen u. Kulturen'!P90,Kulturen[[HF]:[Berechnungsgruppe]],'#Frucht'!$T$1,FALSE))</f>
        <v>0</v>
      </c>
      <c r="AQ85" s="938">
        <f t="shared" si="46"/>
        <v>0</v>
      </c>
      <c r="AR85" s="875">
        <f t="shared" si="47"/>
        <v>0</v>
      </c>
      <c r="AS85" s="938">
        <f t="shared" si="48"/>
        <v>0</v>
      </c>
      <c r="AT85" s="875">
        <f>IF(N85=1,'Flächen u. Kulturen'!S90*-1,"--")</f>
        <v>0</v>
      </c>
      <c r="AU85" s="938">
        <f>IF(OR(N85=2,'Flächen u. Kulturen'!I90=""),"--",IF(N85=3,VLOOKUP('Flächen u. Kulturen'!I90,'#Boden'!$B$9:$E$15,'#Boden'!$D$1,FALSE),VLOOKUP('Flächen u. Kulturen'!I90,'#Boden'!$B$9:$E$15,'#Boden'!$E$1,FALSE)))</f>
        <v>0</v>
      </c>
      <c r="AV85" s="938">
        <f>IF(N85=1,IF('Flächen u. Kulturen'!J90="",0,VLOOKUP('Flächen u. Kulturen'!J90,Kulturen[[HF]:[Berechnungsgruppe]],'#Frucht'!$U$1,FALSE)*-1),"--")</f>
        <v>0</v>
      </c>
      <c r="AW85" s="875">
        <f t="shared" si="49"/>
        <v>0</v>
      </c>
      <c r="AX85" s="875">
        <f>IF('Flächen u. Kulturen'!K90="",0,'Flächen u. Kulturen'!K90*-0.1)</f>
        <v>0</v>
      </c>
      <c r="AY85" s="875">
        <f>IF(N85&lt;3,'#orgDung'!AC94*0.1*-1,"--")</f>
        <v>0</v>
      </c>
      <c r="AZ85" s="31" t="str">
        <f>IF(AND('#orgDung'!J94&lt;&gt;2,'#orgDung'!F94=1),('#orgDung'!V94+'#minDung'!O91)*-1,"--")</f>
        <v>--</v>
      </c>
      <c r="BA85" s="875">
        <f t="shared" si="67"/>
        <v>0</v>
      </c>
      <c r="BB85" s="938">
        <f>IF(R85=2,0,'Flächen u. Kulturen'!V90*-1)</f>
        <v>0</v>
      </c>
      <c r="BC85" s="875">
        <f t="shared" si="68"/>
        <v>0</v>
      </c>
      <c r="BD85" s="127">
        <f>'#orgDung'!W94*-1</f>
        <v>0</v>
      </c>
      <c r="BE85" s="910">
        <f>'#orgDung'!AA94*-1</f>
        <v>0</v>
      </c>
      <c r="BF85" s="875">
        <f>'#orgDung'!Z94*-1</f>
        <v>0</v>
      </c>
      <c r="BG85" s="938">
        <f t="shared" si="60"/>
        <v>0</v>
      </c>
      <c r="BH85" s="875">
        <f>'#Kürzungen'!AS109*-1</f>
        <v>0</v>
      </c>
      <c r="BI85" s="875">
        <f t="shared" si="50"/>
        <v>0</v>
      </c>
      <c r="BJ85" s="910">
        <f t="shared" si="51"/>
        <v>0</v>
      </c>
      <c r="BK85" s="875">
        <f>'#minDung'!P91</f>
        <v>0</v>
      </c>
      <c r="BL85" s="938">
        <f t="shared" si="61"/>
        <v>0</v>
      </c>
      <c r="BM85" s="938">
        <f t="shared" si="52"/>
        <v>0</v>
      </c>
      <c r="BN85" s="875">
        <f>IF('Flächen u. Kulturen'!P90="",0,VLOOKUP('Flächen u. Kulturen'!P90,Kulturen[[HF]:[Berechnungsgruppe]],'#Frucht'!$K$1,FALSE))</f>
        <v>0</v>
      </c>
      <c r="BO85" s="875">
        <f>IF('Flächen u. Kulturen'!P90="",0,VLOOKUP('Flächen u. Kulturen'!P90,Kulturen[[HF]:[Berechnungsgruppe]],'#Frucht'!$L$1,FALSE))</f>
        <v>0</v>
      </c>
      <c r="BP85" s="875">
        <f>IF('Flächen u. Kulturen'!L90="",0,VLOOKUP('Flächen u. Kulturen'!L90,Nebenkultur[[Nebenkultur]:[Legum. Zwischenfr.]],'#Zweitfr'!$H$1,FALSE))</f>
        <v>0</v>
      </c>
      <c r="BQ85" s="938">
        <f>IF(N85=3,W85*BO85,IF('Flächen u. Kulturen'!T90='#Boden'!$B$32,V85*BN85,V85*BO85))</f>
        <v>0</v>
      </c>
      <c r="BR85" s="938">
        <f t="shared" si="53"/>
        <v>0</v>
      </c>
      <c r="BS85" s="875">
        <f t="shared" si="69"/>
        <v>0</v>
      </c>
      <c r="BT85" s="875">
        <f>IF('Flächen u. Kulturen'!F90="",0,IF(N85=3,VLOOKUP('Flächen u. Kulturen'!F90,'#Boden'!$G$4:$J$8,'#Boden'!$J$1,FALSE),VLOOKUP('Flächen u. Kulturen'!F90,'#Boden'!$G$4:$J$8,'#Boden'!$I$1,FALSE)))</f>
        <v>0</v>
      </c>
      <c r="BU85" s="41">
        <f t="shared" si="70"/>
        <v>0</v>
      </c>
      <c r="BV85" s="875">
        <f t="shared" si="71"/>
        <v>0</v>
      </c>
      <c r="BW85" s="938" t="str">
        <f t="shared" si="62"/>
        <v/>
      </c>
      <c r="BX85" s="875">
        <f>'#orgDung'!T94*-1</f>
        <v>0</v>
      </c>
      <c r="BY85" s="875">
        <f t="shared" si="54"/>
        <v>0</v>
      </c>
      <c r="BZ85" s="938" t="str">
        <f>IF(U85&lt;&gt;"x",0,IF(P85&lt;4,"",(BW85+BX85-'#minDung'!N91)*-1))</f>
        <v/>
      </c>
      <c r="CB85" s="938">
        <f>IF(AND(AF85=70,U85="x"),'Flächen u. Kulturen'!A90,1000)</f>
        <v>1000</v>
      </c>
      <c r="CC85" s="875" t="str">
        <f>IF(AF85=70,VLOOKUP('Flächen u. Kulturen'!L90,Nebenkultur[[Nebenkultur]:[Legum. Zwischenfr.]],'#Zweitfr'!$I$1,FALSE),"--")</f>
        <v>--</v>
      </c>
      <c r="CD85" s="875" t="str">
        <f>IF(AF85=70,VLOOKUP('Flächen u. Kulturen'!L90,Nebenkultur[[Nebenkultur]:[Legum. Zwischenfr.]],'#Zweitfr'!$L$1,FALSE),"--")</f>
        <v>--</v>
      </c>
      <c r="CE85" s="875" t="str">
        <f>IF(AF85=70,VLOOKUP('Flächen u. Kulturen'!L90,Nebenkultur[[Nebenkultur]:[Legum. Zwischenfr.]],'#Zweitfr'!$M$1,FALSE),"--")</f>
        <v>--</v>
      </c>
      <c r="CF85" s="875" t="str">
        <f>IF(AF85=70,VLOOKUP('Flächen u. Kulturen'!L90,Nebenkultur[[Nebenkultur]:[Legum. Zwischenfr.]],'#Zweitfr'!$N$1,FALSE),"--")</f>
        <v>--</v>
      </c>
      <c r="CG85" s="875" t="str">
        <f>IF(AF85=70,VLOOKUP('Flächen u. Kulturen'!L90,Nebenkultur[[Nebenkultur]:[Legum. Zwischenfr.]],'#Zweitfr'!$O$1,FALSE),"--")</f>
        <v>--</v>
      </c>
      <c r="CH85" s="875" t="str">
        <f t="shared" si="55"/>
        <v>--</v>
      </c>
      <c r="CI85" s="938">
        <f>IF('Flächen u. Kulturen'!L90="",0,VLOOKUP('Flächen u. Kulturen'!L90,Nebenkultur[[Nebenkultur]:[Legum. Zwischenfr.]],'#Zweitfr'!$J$1,FALSE))</f>
        <v>0</v>
      </c>
      <c r="CJ85" s="875">
        <f t="shared" si="56"/>
        <v>0</v>
      </c>
      <c r="CK85" s="890">
        <f t="shared" si="57"/>
        <v>0</v>
      </c>
      <c r="CL85" s="938">
        <f>IF(AND(R85=1,AF85=70),'Flächen u. Kulturen'!W90*-1,0)</f>
        <v>0</v>
      </c>
      <c r="CM85" s="875">
        <f>'#orgDung'!AE94*-1</f>
        <v>0</v>
      </c>
      <c r="CN85" s="875">
        <f t="shared" si="72"/>
        <v>0</v>
      </c>
      <c r="CO85" s="875">
        <f t="shared" si="73"/>
        <v>0</v>
      </c>
      <c r="CP85" s="875">
        <f>'#Kürzungen'!AS210*-1</f>
        <v>0</v>
      </c>
      <c r="CQ85" s="875">
        <f t="shared" si="74"/>
        <v>0</v>
      </c>
      <c r="CR85" s="875">
        <f t="shared" si="75"/>
        <v>0</v>
      </c>
      <c r="CS85" s="875">
        <f>'#minDung'!R91</f>
        <v>0</v>
      </c>
      <c r="CT85" s="938">
        <f t="shared" si="63"/>
        <v>0</v>
      </c>
      <c r="CU85" s="52" t="str">
        <f>'#Kürzungen'!AQ210</f>
        <v xml:space="preserve"> </v>
      </c>
      <c r="CW85" s="247">
        <f>IF('Flächen u. Kulturen'!D90="",0,IF(ISNUMBER('Flächen u. Kulturen'!D90)=TRUE,2,1))</f>
        <v>0</v>
      </c>
      <c r="CX85" s="247">
        <f>IF('Flächen u. Kulturen'!E90="",0,COUNTIF('#Boden'!$B$47,'Flächen u. Kulturen'!E90)+1)</f>
        <v>2</v>
      </c>
      <c r="CY85" s="247">
        <f>IF('Flächen u. Kulturen'!F90="",0,COUNTIF('#Boden'!$G$4:$G$8,'Flächen u. Kulturen'!F90)+1)</f>
        <v>2</v>
      </c>
      <c r="CZ85" s="247">
        <f>IF('Flächen u. Kulturen'!G90="",0,COUNTIF('#Boden'!$B$26:$B$29,'Flächen u. Kulturen'!G90)+1)</f>
        <v>2</v>
      </c>
      <c r="DA85" s="247">
        <f>IF('Flächen u. Kulturen'!H90="",0,COUNTIF('#Boden'!$B$26:$B$29,'Flächen u. Kulturen'!H90)+1)</f>
        <v>2</v>
      </c>
      <c r="DB85" s="247">
        <f>IF('Flächen u. Kulturen'!I90="",0,COUNTIF('#Boden'!$B$9:$B$15,'Flächen u. Kulturen'!I90)+1)</f>
        <v>2</v>
      </c>
      <c r="DC85" s="247">
        <f>IF('Flächen u. Kulturen'!J90="",0,COUNTIF(Kulturen[HF],'Flächen u. Kulturen'!J90)+1)</f>
        <v>2</v>
      </c>
      <c r="DD85" s="247">
        <f>IF('Flächen u. Kulturen'!L90="",0,COUNTIF(Nebenkultur[Nebenkultur],'Flächen u. Kulturen'!L90)+1)</f>
        <v>2</v>
      </c>
      <c r="DE85" s="247">
        <f>IF('Flächen u. Kulturen'!M90="",0,COUNTIF('#Boden'!$G$17:$G$21,'Flächen u. Kulturen'!M90)+1)</f>
        <v>2</v>
      </c>
      <c r="DF85" s="247">
        <f>IF('Flächen u. Kulturen'!N90="",0,COUNTIF('#Boden'!$G$22:$G$24,'Flächen u. Kulturen'!N90)+1)</f>
        <v>2</v>
      </c>
      <c r="DG85" s="247">
        <f>IF('Flächen u. Kulturen'!P90="",0,COUNTIF(Kulturen[HF],'Flächen u. Kulturen'!P90)+1)</f>
        <v>2</v>
      </c>
      <c r="DH85" s="247">
        <f>IF('Flächen u. Kulturen'!T90="",0,COUNTIF('#Boden'!$B$30:$B$32,'Flächen u. Kulturen'!T90)+1)</f>
        <v>2</v>
      </c>
      <c r="DI85" s="247">
        <f>IF('Flächen u. Kulturen'!K90="",0,IF(ISNUMBER('Flächen u. Kulturen'!K90)=TRUE,2,1))</f>
        <v>0</v>
      </c>
      <c r="DJ85" s="247">
        <f>IF('Flächen u. Kulturen'!U90="",0,IF(ISNUMBER('Flächen u. Kulturen'!U90)=TRUE,2,1))</f>
        <v>0</v>
      </c>
      <c r="DK85" s="247">
        <f>IF('Flächen u. Kulturen'!V90="",0,IF(ISNUMBER('Flächen u. Kulturen'!V90)=TRUE,2,1))</f>
        <v>0</v>
      </c>
      <c r="DL85" s="247">
        <f>IF('Flächen u. Kulturen'!W90="",0,IF(ISNUMBER('Flächen u. Kulturen'!W90)=TRUE,2,1))</f>
        <v>0</v>
      </c>
      <c r="DM85" s="247">
        <f t="shared" si="76"/>
        <v>0</v>
      </c>
      <c r="DN85" s="247" t="s">
        <v>344</v>
      </c>
      <c r="DO85" s="247">
        <f>IF(U85&lt;&gt;"x","",IF(OR('Flächen u. Kulturen'!B90="",'Flächen u. Kulturen'!C90="",'Flächen u. Kulturen'!D90="",'Flächen u. Kulturen'!D90=0,'Flächen u. Kulturen'!F90="",'Flächen u. Kulturen'!F90='#Boden'!$G$4,'Flächen u. Kulturen'!G90="",'Flächen u. Kulturen'!G90='#Boden'!$B$26,'Flächen u. Kulturen'!H90="",'Flächen u. Kulturen'!H90='#Boden'!$B$23,AND(N85&lt;&gt;2,OR('Flächen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Kulturen'!Q90="",'#BerechnungDBE'!N85&lt;3),AND('Flächen u. Kulturen'!R90="",'#BerechnungDBE'!N85=3),AND(N85=1,AL85&gt;0,'Flächen u. Kulturen'!S90=""),AND(N85=1,OR('Flächen u. Kulturen'!T90="",'Flächen u. Kulturen'!T90='#Boden'!$B$30)),AND('#BerechnungDBE'!AF85=70,OR('Flächen u. Kulturen'!N90="",'Flächen u. Kulturen'!N90='#Boden'!$G$22,'Flächen u. Kulturen'!O90="")),AND('#BerechnungDBE'!AF85=80,OR('Flächen u. Kulturen'!M90="",'Flächen u. Kulturen'!M90='#Boden'!$G$17,'Flächen u. Kulturen'!N90="",'Flächen u. Kulturen'!N90='#Boden'!$G$22))),$DO$4,""))</f>
        <v>1</v>
      </c>
      <c r="DP85" s="247" t="str">
        <f>IF(U85&lt;&gt;"x","",IF(OR(LEFT('Flächen u. Kulturen'!J90,2)=" +",LEFT('Flächen u. Kulturen'!L90,2)=" +",LEFT('Flächen u. Kulturen'!P90,2)=" +"),$DP$4,""))</f>
        <v/>
      </c>
      <c r="DQ85" s="428" t="str">
        <f t="shared" si="58"/>
        <v/>
      </c>
      <c r="DR85" s="938" t="str">
        <f t="shared" si="59"/>
        <v/>
      </c>
      <c r="DS85" s="938" t="str">
        <f>IF('Flächen u. Kulturen'!X90="","",ROW('Flächen u. Kulturen'!X90))</f>
        <v/>
      </c>
    </row>
    <row r="86" spans="1:123" s="875" customFormat="1" x14ac:dyDescent="0.2">
      <c r="A86" s="875" t="str">
        <f>IF('Daten aus 2021'!H88="",'#Boden'!$B$26,IF('Daten aus 2021'!H88='#Boden'!$B$39,IF('Daten aus 2021'!F88='#Boden'!$B$29,'#Boden'!$B$29,IF('Daten aus 2021'!K88='#Boden'!$B$34,'#Boden'!$B$28,'#Boden'!$B$27)),'Daten aus 2021'!F88))</f>
        <v xml:space="preserve"> --</v>
      </c>
      <c r="B86" s="875" t="str">
        <f>IF('Daten aus 2021'!H88='#Boden'!$B$39,IF('Daten aus 2021'!L88='#Boden'!$B$61,'#Boden'!$B$11,'Daten aus 2021'!L88),IF('Daten aus 2021'!P88='#Boden'!$B$58,'#Boden'!$B$11,IF('Daten aus 2021'!P88='#Boden'!$B$57,'#Boden'!$B$10,'#Boden'!$B$9)))</f>
        <v xml:space="preserve"> --         </v>
      </c>
      <c r="C86" s="875" t="str">
        <f>IF('Daten aus 2021'!N88="","",VLOOKUP('Daten aus 2021'!N88,'#Boden'!$B$68:$C$89,2,FALSE))</f>
        <v/>
      </c>
      <c r="D86" s="875" t="str">
        <f>IF('Daten aus 2021'!M88="","",VLOOKUP('Daten aus 2021'!M88,'#Boden'!$D$69:$E$73,2,FALSE))</f>
        <v/>
      </c>
      <c r="E86" s="938" t="str">
        <f>IF(OR(C86='#Boden'!$C$68,C86='#Boden'!$C$70),C86,CONCATENATE(C86,D86))</f>
        <v/>
      </c>
      <c r="F86" s="882" t="str">
        <f>IFERROR(IF('Daten aus 2021'!H88="",'#Frucht'!$D$8,IF('Daten aus 2021'!H88='#Boden'!$B$39,E86,IF('Daten aus 2021'!H88='#Boden'!$B$38,IF(CONCATENATE(" ",'Daten aus 2021'!W88)=$B$2,VLOOKUP($B$3,'#Frucht'!$A$8:$D$372,4,FALSE),VLOOKUP(CONCATENATE(" ",'Daten aus 2021'!W88),'#Frucht'!$A$8:$D$372,4,FALSE)),IF(OR(LEFT('Daten aus 2021'!Q88,5)=" *10 ",LEFT('Daten aus 2021'!Q88,5)=" *11 ",LEFT('Daten aus 2021'!Q88,5)=" *12 ",LEFT('Daten aus 2021'!Q88,5)=" *13 ",LEFT('Daten aus 2021'!Q88,5)=" *14 ",LEFT('Daten aus 2021'!Q88,5)=" *15 "),VLOOKUP(RIGHT('Daten aus 2021'!Q88,LEN('Daten aus 2021'!Q88)-4),'#Frucht'!$A$8:$D$372,4,FALSE),IF(LEFT('Daten aus 2021'!Q88,2)=" *",VLOOKUP(RIGHT('Daten aus 2021'!Q88,LEN('Daten aus 2021'!Q88)-3),'#Frucht'!$A$8:$D$372,4,FALSE),VLOOKUP('Daten aus 2021'!Q88,'#Frucht'!$A$8:$D$372,4,FALSE)))))),'#Frucht'!$D$8)</f>
        <v xml:space="preserve"> --  </v>
      </c>
      <c r="G86" s="127"/>
      <c r="H86" s="31"/>
      <c r="J86" s="938" t="str">
        <f>IF(OR(N86=3,$K$3=0,'Flächen u. Kulturen'!P91=""),"",IF(VLOOKUP('Flächen u. Kulturen'!P91,Kulturen[[HF]:[780]],'#BerechnungDBE'!$K$3,FALSE)=".","",VLOOKUP('Flächen u. Kulturen'!P91,Kulturen[[HF]:[780]],'#BerechnungDBE'!$K$3,FALSE)))</f>
        <v/>
      </c>
      <c r="K86" s="938" t="str">
        <f>IF(OR($K$3=0,'Flächen u. Kulturen'!P91=""),"",IF(N86=3,IF(VLOOKUP('Flächen u. Kulturen'!P91,Kulturen[[HF]:[780]],'#BerechnungDBE'!$K$3,FALSE)=".","",VLOOKUP('Flächen u. Kulturen'!P91,Kulturen[[HF]:[780]],'#BerechnungDBE'!$K$3,FALSE)),""))</f>
        <v/>
      </c>
      <c r="L86" s="367">
        <f>IF('Flächen u. Kulturen'!D91="",0,'Flächen u. Kulturen'!D91)</f>
        <v>0</v>
      </c>
      <c r="M86" s="693">
        <f>IF('Flächen u. Kulturen'!J91="",0,VLOOKUP('Flächen u. Kulturen'!J91,Kulturen[[HF]:[Berechnungsgruppe]],'#Frucht'!$W$1,FALSE))</f>
        <v>1</v>
      </c>
      <c r="N86" s="693">
        <f>IF('Flächen u. Kulturen'!P91="",0,VLOOKUP('Flächen u. Kulturen'!P91,Kulturen[[HF]:[Berechnungsgruppe]],'#Frucht'!$W$1,FALSE))</f>
        <v>1</v>
      </c>
      <c r="O86" s="875">
        <f>IF(N86&lt;&gt;2,N86,IF('Flächen u. Kulturen'!J91='Flächen u. Kulturen'!P91,2,1))</f>
        <v>1</v>
      </c>
      <c r="P86" s="875">
        <f>IF('Flächen u. Kulturen'!F91="",0,VLOOKUP('Flächen u. Kulturen'!F91,'#Boden'!$G$4:$H$8,'#Boden'!$H$1,FALSE))</f>
        <v>1</v>
      </c>
      <c r="Q86" s="875">
        <f>IF('Flächen u. Kulturen'!G91="",0,VLOOKUP('Flächen u. Kulturen'!G91,'#Boden'!$B$26:$C$29,'#Boden'!$C$1,FALSE))</f>
        <v>1</v>
      </c>
      <c r="R86" s="875">
        <f t="shared" si="64"/>
        <v>1</v>
      </c>
      <c r="S86" s="875">
        <f t="shared" si="65"/>
        <v>1</v>
      </c>
      <c r="T86" s="875">
        <f>IF('Flächen u. Kulturen'!H91="",0,VLOOKUP('Flächen u. Kulturen'!H91,'#Boden'!$B$23:$C$25,'#Boden'!$C$1,FALSE))</f>
        <v>2</v>
      </c>
      <c r="U86" s="875" t="str">
        <f>'Flächen u. Kulturen'!E91</f>
        <v>x</v>
      </c>
      <c r="V86" s="938">
        <f>IF('Flächen u. Kulturen'!Q91="",0,_xlfn.NUMBERVALUE('Flächen u. Kulturen'!Q91))</f>
        <v>0</v>
      </c>
      <c r="W86" s="938">
        <f>IF('Flächen u. Kulturen'!R91="",0,_xlfn.NUMBERVALUE('Flächen u. Kulturen'!R91))</f>
        <v>0</v>
      </c>
      <c r="X86" s="875">
        <f>IF('Flächen u. Kulturen'!T91="",0,VLOOKUP('Flächen u. Kulturen'!T91,'#Boden'!$B$30:$C$32,'#Boden'!$C$1,FALSE))</f>
        <v>1</v>
      </c>
      <c r="Y86" s="875">
        <f>IF('Flächen u. Kulturen'!P91="",0,VLOOKUP('Flächen u. Kulturen'!P91,Kulturen[[HF]:[Berechnungsgruppe]],'#Frucht'!$N$1,FALSE))</f>
        <v>0</v>
      </c>
      <c r="Z86" s="875">
        <f t="shared" si="66"/>
        <v>2</v>
      </c>
      <c r="AA86" s="875">
        <f>IF('Flächen u. Kulturen'!P91="",0,VLOOKUP('Flächen u. Kulturen'!P91,Kulturen[[HF]:[Berechnungsgruppe]],'#Frucht'!$V$1,FALSE))</f>
        <v>0</v>
      </c>
      <c r="AB86" s="875">
        <f>IF(N86=1,VLOOKUP('Flächen u. Kulturen'!P91,Kulturen[[HF]:[Ernteprodukt]],'#Frucht'!$I$1,FALSE),4)</f>
        <v>4</v>
      </c>
      <c r="AC86" s="921">
        <f>IF('Flächen u. Kulturen'!J91="",0,VLOOKUP('Flächen u. Kulturen'!J91,Kulturen[[HF]:[Berechnungsgruppe]],'#Frucht'!$G$1,FALSE))</f>
        <v>90</v>
      </c>
      <c r="AD86" s="921">
        <f>IF('Flächen u. Kulturen'!P91="",0,VLOOKUP('Flächen u. Kulturen'!P91,Kulturen[[HF]:[Berechnungsgruppe]],'#Frucht'!$G$1,FALSE))</f>
        <v>90</v>
      </c>
      <c r="AE86" s="938">
        <f>IF('Flächen u. Kulturen'!P91="",0,VLOOKUP('Flächen u. Kulturen'!P91,Kulturen[[HF]:[SollwertMinusNfix]],'#Frucht'!$X$1,FALSE))</f>
        <v>0</v>
      </c>
      <c r="AF86" s="875">
        <f>IF('Flächen u. Kulturen'!L91="",0,VLOOKUP('Flächen u. Kulturen'!L91,Nebenkultur[[Nebenkultur]:[Berechnungsschema]],'#Zweitfr'!$G$1,FALSE))</f>
        <v>0</v>
      </c>
      <c r="AG86" s="875">
        <f>IF('Flächen u. Kulturen'!L91="",0,VLOOKUP('Flächen u. Kulturen'!L91,'#Zweitfr'!$D$8:$Q$27,'#Zweitfr'!$Q$1,FALSE))</f>
        <v>0</v>
      </c>
      <c r="AH86" s="875">
        <f>IF('Flächen u. Kulturen'!M91="",0,VLOOKUP('Flächen u. Kulturen'!M91,'#Boden'!$G$17:$H$21,2,FALSE))</f>
        <v>1</v>
      </c>
      <c r="AI86" s="875">
        <f>IF('Flächen u. Kulturen'!N91="",0,VLOOKUP('Flächen u. Kulturen'!N91,'#Boden'!$G$22:$H$24,'#Boden'!$H$1,FALSE))</f>
        <v>1</v>
      </c>
      <c r="AJ86" s="938">
        <f>IF('Flächen u. Kulturen'!O91="",0,_xlfn.NUMBERVALUE('Flächen u. Kulturen'!O91))</f>
        <v>0</v>
      </c>
      <c r="AK86" s="938">
        <f>IF('Flächen u. Kulturen'!L91="",0,VLOOKUP('Flächen u. Kulturen'!L91,Nebenkultur[[Nebenkultur]:[Legum. Zwischenfr.]],'#Zweitfr'!$P$1,FALSE))</f>
        <v>0</v>
      </c>
      <c r="AL86" s="875">
        <f>IF('Flächen u. Kulturen'!P91="",0,VLOOKUP('Flächen u. Kulturen'!P91,Kulturen[[HF]:[Berechnungsgruppe]],'#Frucht'!$Q$1,FALSE))</f>
        <v>0</v>
      </c>
      <c r="AM86" s="875">
        <f>IF('Flächen u. Kulturen'!P91="",0,VLOOKUP('Flächen u. Kulturen'!P91,Kulturen[[HF]:[Berechnungsgruppe]],'#Frucht'!$M$1,FALSE))</f>
        <v>0</v>
      </c>
      <c r="AN86" s="875">
        <f>IF('Flächen u. Kulturen'!P91="",1,VLOOKUP('Flächen u. Kulturen'!P91,Kulturen[[HF]:[Berechnungsgruppe]],'#Frucht'!$R$1,FALSE))</f>
        <v>10</v>
      </c>
      <c r="AO86" s="875">
        <f>IF('Flächen u. Kulturen'!P91="",0,VLOOKUP('Flächen u. Kulturen'!P91,Kulturen[[HF]:[Berechnungsgruppe]],'#Frucht'!$S$1,FALSE))</f>
        <v>0</v>
      </c>
      <c r="AP86" s="875">
        <f>IF('Flächen u. Kulturen'!P91="",0,VLOOKUP('Flächen u. Kulturen'!P91,Kulturen[[HF]:[Berechnungsgruppe]],'#Frucht'!$T$1,FALSE))</f>
        <v>0</v>
      </c>
      <c r="AQ86" s="938">
        <f t="shared" si="46"/>
        <v>0</v>
      </c>
      <c r="AR86" s="875">
        <f t="shared" si="47"/>
        <v>0</v>
      </c>
      <c r="AS86" s="938">
        <f t="shared" si="48"/>
        <v>0</v>
      </c>
      <c r="AT86" s="875">
        <f>IF(N86=1,'Flächen u. Kulturen'!S91*-1,"--")</f>
        <v>0</v>
      </c>
      <c r="AU86" s="938">
        <f>IF(OR(N86=2,'Flächen u. Kulturen'!I91=""),"--",IF(N86=3,VLOOKUP('Flächen u. Kulturen'!I91,'#Boden'!$B$9:$E$15,'#Boden'!$D$1,FALSE),VLOOKUP('Flächen u. Kulturen'!I91,'#Boden'!$B$9:$E$15,'#Boden'!$E$1,FALSE)))</f>
        <v>0</v>
      </c>
      <c r="AV86" s="938">
        <f>IF(N86=1,IF('Flächen u. Kulturen'!J91="",0,VLOOKUP('Flächen u. Kulturen'!J91,Kulturen[[HF]:[Berechnungsgruppe]],'#Frucht'!$U$1,FALSE)*-1),"--")</f>
        <v>0</v>
      </c>
      <c r="AW86" s="875">
        <f t="shared" si="49"/>
        <v>0</v>
      </c>
      <c r="AX86" s="875">
        <f>IF('Flächen u. Kulturen'!K91="",0,'Flächen u. Kulturen'!K91*-0.1)</f>
        <v>0</v>
      </c>
      <c r="AY86" s="875">
        <f>IF(N86&lt;3,'#orgDung'!AC95*0.1*-1,"--")</f>
        <v>0</v>
      </c>
      <c r="AZ86" s="31" t="str">
        <f>IF(AND('#orgDung'!J95&lt;&gt;2,'#orgDung'!F95=1),('#orgDung'!V95+'#minDung'!O92)*-1,"--")</f>
        <v>--</v>
      </c>
      <c r="BA86" s="875">
        <f t="shared" si="67"/>
        <v>0</v>
      </c>
      <c r="BB86" s="938">
        <f>IF(R86=2,0,'Flächen u. Kulturen'!V91*-1)</f>
        <v>0</v>
      </c>
      <c r="BC86" s="875">
        <f t="shared" si="68"/>
        <v>0</v>
      </c>
      <c r="BD86" s="127">
        <f>'#orgDung'!W95*-1</f>
        <v>0</v>
      </c>
      <c r="BE86" s="910">
        <f>'#orgDung'!AA95*-1</f>
        <v>0</v>
      </c>
      <c r="BF86" s="875">
        <f>'#orgDung'!Z95*-1</f>
        <v>0</v>
      </c>
      <c r="BG86" s="938">
        <f t="shared" si="60"/>
        <v>0</v>
      </c>
      <c r="BH86" s="875">
        <f>'#Kürzungen'!AS110*-1</f>
        <v>0</v>
      </c>
      <c r="BI86" s="875">
        <f t="shared" si="50"/>
        <v>0</v>
      </c>
      <c r="BJ86" s="910">
        <f t="shared" si="51"/>
        <v>0</v>
      </c>
      <c r="BK86" s="875">
        <f>'#minDung'!P92</f>
        <v>0</v>
      </c>
      <c r="BL86" s="938">
        <f t="shared" si="61"/>
        <v>0</v>
      </c>
      <c r="BM86" s="938">
        <f t="shared" si="52"/>
        <v>0</v>
      </c>
      <c r="BN86" s="875">
        <f>IF('Flächen u. Kulturen'!P91="",0,VLOOKUP('Flächen u. Kulturen'!P91,Kulturen[[HF]:[Berechnungsgruppe]],'#Frucht'!$K$1,FALSE))</f>
        <v>0</v>
      </c>
      <c r="BO86" s="875">
        <f>IF('Flächen u. Kulturen'!P91="",0,VLOOKUP('Flächen u. Kulturen'!P91,Kulturen[[HF]:[Berechnungsgruppe]],'#Frucht'!$L$1,FALSE))</f>
        <v>0</v>
      </c>
      <c r="BP86" s="875">
        <f>IF('Flächen u. Kulturen'!L91="",0,VLOOKUP('Flächen u. Kulturen'!L91,Nebenkultur[[Nebenkultur]:[Legum. Zwischenfr.]],'#Zweitfr'!$H$1,FALSE))</f>
        <v>0</v>
      </c>
      <c r="BQ86" s="938">
        <f>IF(N86=3,W86*BO86,IF('Flächen u. Kulturen'!T91='#Boden'!$B$32,V86*BN86,V86*BO86))</f>
        <v>0</v>
      </c>
      <c r="BR86" s="938">
        <f t="shared" si="53"/>
        <v>0</v>
      </c>
      <c r="BS86" s="875">
        <f t="shared" si="69"/>
        <v>0</v>
      </c>
      <c r="BT86" s="875">
        <f>IF('Flächen u. Kulturen'!F91="",0,IF(N86=3,VLOOKUP('Flächen u. Kulturen'!F91,'#Boden'!$G$4:$J$8,'#Boden'!$J$1,FALSE),VLOOKUP('Flächen u. Kulturen'!F91,'#Boden'!$G$4:$J$8,'#Boden'!$I$1,FALSE)))</f>
        <v>0</v>
      </c>
      <c r="BU86" s="41">
        <f t="shared" si="70"/>
        <v>0</v>
      </c>
      <c r="BV86" s="875">
        <f t="shared" si="71"/>
        <v>0</v>
      </c>
      <c r="BW86" s="938" t="str">
        <f t="shared" si="62"/>
        <v/>
      </c>
      <c r="BX86" s="875">
        <f>'#orgDung'!T95*-1</f>
        <v>0</v>
      </c>
      <c r="BY86" s="875">
        <f t="shared" si="54"/>
        <v>0</v>
      </c>
      <c r="BZ86" s="938" t="str">
        <f>IF(U86&lt;&gt;"x",0,IF(P86&lt;4,"",(BW86+BX86-'#minDung'!N92)*-1))</f>
        <v/>
      </c>
      <c r="CB86" s="938">
        <f>IF(AND(AF86=70,U86="x"),'Flächen u. Kulturen'!A91,1000)</f>
        <v>1000</v>
      </c>
      <c r="CC86" s="875" t="str">
        <f>IF(AF86=70,VLOOKUP('Flächen u. Kulturen'!L91,Nebenkultur[[Nebenkultur]:[Legum. Zwischenfr.]],'#Zweitfr'!$I$1,FALSE),"--")</f>
        <v>--</v>
      </c>
      <c r="CD86" s="875" t="str">
        <f>IF(AF86=70,VLOOKUP('Flächen u. Kulturen'!L91,Nebenkultur[[Nebenkultur]:[Legum. Zwischenfr.]],'#Zweitfr'!$L$1,FALSE),"--")</f>
        <v>--</v>
      </c>
      <c r="CE86" s="875" t="str">
        <f>IF(AF86=70,VLOOKUP('Flächen u. Kulturen'!L91,Nebenkultur[[Nebenkultur]:[Legum. Zwischenfr.]],'#Zweitfr'!$M$1,FALSE),"--")</f>
        <v>--</v>
      </c>
      <c r="CF86" s="875" t="str">
        <f>IF(AF86=70,VLOOKUP('Flächen u. Kulturen'!L91,Nebenkultur[[Nebenkultur]:[Legum. Zwischenfr.]],'#Zweitfr'!$N$1,FALSE),"--")</f>
        <v>--</v>
      </c>
      <c r="CG86" s="875" t="str">
        <f>IF(AF86=70,VLOOKUP('Flächen u. Kulturen'!L91,Nebenkultur[[Nebenkultur]:[Legum. Zwischenfr.]],'#Zweitfr'!$O$1,FALSE),"--")</f>
        <v>--</v>
      </c>
      <c r="CH86" s="875" t="str">
        <f t="shared" si="55"/>
        <v>--</v>
      </c>
      <c r="CI86" s="938">
        <f>IF('Flächen u. Kulturen'!L91="",0,VLOOKUP('Flächen u. Kulturen'!L91,Nebenkultur[[Nebenkultur]:[Legum. Zwischenfr.]],'#Zweitfr'!$J$1,FALSE))</f>
        <v>0</v>
      </c>
      <c r="CJ86" s="875">
        <f t="shared" si="56"/>
        <v>0</v>
      </c>
      <c r="CK86" s="890">
        <f t="shared" si="57"/>
        <v>0</v>
      </c>
      <c r="CL86" s="938">
        <f>IF(AND(R86=1,AF86=70),'Flächen u. Kulturen'!W91*-1,0)</f>
        <v>0</v>
      </c>
      <c r="CM86" s="875">
        <f>'#orgDung'!AE95*-1</f>
        <v>0</v>
      </c>
      <c r="CN86" s="875">
        <f t="shared" si="72"/>
        <v>0</v>
      </c>
      <c r="CO86" s="875">
        <f t="shared" si="73"/>
        <v>0</v>
      </c>
      <c r="CP86" s="875">
        <f>'#Kürzungen'!AS211*-1</f>
        <v>0</v>
      </c>
      <c r="CQ86" s="875">
        <f t="shared" si="74"/>
        <v>0</v>
      </c>
      <c r="CR86" s="875">
        <f t="shared" si="75"/>
        <v>0</v>
      </c>
      <c r="CS86" s="875">
        <f>'#minDung'!R92</f>
        <v>0</v>
      </c>
      <c r="CT86" s="938">
        <f t="shared" si="63"/>
        <v>0</v>
      </c>
      <c r="CU86" s="52" t="str">
        <f>'#Kürzungen'!AQ211</f>
        <v xml:space="preserve"> </v>
      </c>
      <c r="CW86" s="247">
        <f>IF('Flächen u. Kulturen'!D91="",0,IF(ISNUMBER('Flächen u. Kulturen'!D91)=TRUE,2,1))</f>
        <v>0</v>
      </c>
      <c r="CX86" s="247">
        <f>IF('Flächen u. Kulturen'!E91="",0,COUNTIF('#Boden'!$B$47,'Flächen u. Kulturen'!E91)+1)</f>
        <v>2</v>
      </c>
      <c r="CY86" s="247">
        <f>IF('Flächen u. Kulturen'!F91="",0,COUNTIF('#Boden'!$G$4:$G$8,'Flächen u. Kulturen'!F91)+1)</f>
        <v>2</v>
      </c>
      <c r="CZ86" s="247">
        <f>IF('Flächen u. Kulturen'!G91="",0,COUNTIF('#Boden'!$B$26:$B$29,'Flächen u. Kulturen'!G91)+1)</f>
        <v>2</v>
      </c>
      <c r="DA86" s="247">
        <f>IF('Flächen u. Kulturen'!H91="",0,COUNTIF('#Boden'!$B$26:$B$29,'Flächen u. Kulturen'!H91)+1)</f>
        <v>2</v>
      </c>
      <c r="DB86" s="247">
        <f>IF('Flächen u. Kulturen'!I91="",0,COUNTIF('#Boden'!$B$9:$B$15,'Flächen u. Kulturen'!I91)+1)</f>
        <v>2</v>
      </c>
      <c r="DC86" s="247">
        <f>IF('Flächen u. Kulturen'!J91="",0,COUNTIF(Kulturen[HF],'Flächen u. Kulturen'!J91)+1)</f>
        <v>2</v>
      </c>
      <c r="DD86" s="247">
        <f>IF('Flächen u. Kulturen'!L91="",0,COUNTIF(Nebenkultur[Nebenkultur],'Flächen u. Kulturen'!L91)+1)</f>
        <v>2</v>
      </c>
      <c r="DE86" s="247">
        <f>IF('Flächen u. Kulturen'!M91="",0,COUNTIF('#Boden'!$G$17:$G$21,'Flächen u. Kulturen'!M91)+1)</f>
        <v>2</v>
      </c>
      <c r="DF86" s="247">
        <f>IF('Flächen u. Kulturen'!N91="",0,COUNTIF('#Boden'!$G$22:$G$24,'Flächen u. Kulturen'!N91)+1)</f>
        <v>2</v>
      </c>
      <c r="DG86" s="247">
        <f>IF('Flächen u. Kulturen'!P91="",0,COUNTIF(Kulturen[HF],'Flächen u. Kulturen'!P91)+1)</f>
        <v>2</v>
      </c>
      <c r="DH86" s="247">
        <f>IF('Flächen u. Kulturen'!T91="",0,COUNTIF('#Boden'!$B$30:$B$32,'Flächen u. Kulturen'!T91)+1)</f>
        <v>2</v>
      </c>
      <c r="DI86" s="247">
        <f>IF('Flächen u. Kulturen'!K91="",0,IF(ISNUMBER('Flächen u. Kulturen'!K91)=TRUE,2,1))</f>
        <v>0</v>
      </c>
      <c r="DJ86" s="247">
        <f>IF('Flächen u. Kulturen'!U91="",0,IF(ISNUMBER('Flächen u. Kulturen'!U91)=TRUE,2,1))</f>
        <v>0</v>
      </c>
      <c r="DK86" s="247">
        <f>IF('Flächen u. Kulturen'!V91="",0,IF(ISNUMBER('Flächen u. Kulturen'!V91)=TRUE,2,1))</f>
        <v>0</v>
      </c>
      <c r="DL86" s="247">
        <f>IF('Flächen u. Kulturen'!W91="",0,IF(ISNUMBER('Flächen u. Kulturen'!W91)=TRUE,2,1))</f>
        <v>0</v>
      </c>
      <c r="DM86" s="247">
        <f t="shared" si="76"/>
        <v>0</v>
      </c>
      <c r="DN86" s="247" t="s">
        <v>344</v>
      </c>
      <c r="DO86" s="247">
        <f>IF(U86&lt;&gt;"x","",IF(OR('Flächen u. Kulturen'!B91="",'Flächen u. Kulturen'!C91="",'Flächen u. Kulturen'!D91="",'Flächen u. Kulturen'!D91=0,'Flächen u. Kulturen'!F91="",'Flächen u. Kulturen'!F91='#Boden'!$G$4,'Flächen u. Kulturen'!G91="",'Flächen u. Kulturen'!G91='#Boden'!$B$26,'Flächen u. Kulturen'!H91="",'Flächen u. Kulturen'!H91='#Boden'!$B$23,AND(N86&lt;&gt;2,OR('Flächen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Kulturen'!Q91="",'#BerechnungDBE'!N86&lt;3),AND('Flächen u. Kulturen'!R91="",'#BerechnungDBE'!N86=3),AND(N86=1,AL86&gt;0,'Flächen u. Kulturen'!S91=""),AND(N86=1,OR('Flächen u. Kulturen'!T91="",'Flächen u. Kulturen'!T91='#Boden'!$B$30)),AND('#BerechnungDBE'!AF86=70,OR('Flächen u. Kulturen'!N91="",'Flächen u. Kulturen'!N91='#Boden'!$G$22,'Flächen u. Kulturen'!O91="")),AND('#BerechnungDBE'!AF86=80,OR('Flächen u. Kulturen'!M91="",'Flächen u. Kulturen'!M91='#Boden'!$G$17,'Flächen u. Kulturen'!N91="",'Flächen u. Kulturen'!N91='#Boden'!$G$22))),$DO$4,""))</f>
        <v>1</v>
      </c>
      <c r="DP86" s="247" t="str">
        <f>IF(U86&lt;&gt;"x","",IF(OR(LEFT('Flächen u. Kulturen'!J91,2)=" +",LEFT('Flächen u. Kulturen'!L91,2)=" +",LEFT('Flächen u. Kulturen'!P91,2)=" +"),$DP$4,""))</f>
        <v/>
      </c>
      <c r="DQ86" s="428" t="str">
        <f t="shared" si="58"/>
        <v/>
      </c>
      <c r="DR86" s="938" t="str">
        <f t="shared" si="59"/>
        <v/>
      </c>
      <c r="DS86" s="938" t="str">
        <f>IF('Flächen u. Kulturen'!X91="","",ROW('Flächen u. Kulturen'!X91))</f>
        <v/>
      </c>
    </row>
    <row r="87" spans="1:123" s="875" customFormat="1" x14ac:dyDescent="0.2">
      <c r="A87" s="875" t="str">
        <f>IF('Daten aus 2021'!H89="",'#Boden'!$B$26,IF('Daten aus 2021'!H89='#Boden'!$B$39,IF('Daten aus 2021'!F89='#Boden'!$B$29,'#Boden'!$B$29,IF('Daten aus 2021'!K89='#Boden'!$B$34,'#Boden'!$B$28,'#Boden'!$B$27)),'Daten aus 2021'!F89))</f>
        <v xml:space="preserve"> --</v>
      </c>
      <c r="B87" s="875" t="str">
        <f>IF('Daten aus 2021'!H89='#Boden'!$B$39,IF('Daten aus 2021'!L89='#Boden'!$B$61,'#Boden'!$B$11,'Daten aus 2021'!L89),IF('Daten aus 2021'!P89='#Boden'!$B$58,'#Boden'!$B$11,IF('Daten aus 2021'!P89='#Boden'!$B$57,'#Boden'!$B$10,'#Boden'!$B$9)))</f>
        <v xml:space="preserve"> --         </v>
      </c>
      <c r="C87" s="875" t="str">
        <f>IF('Daten aus 2021'!N89="","",VLOOKUP('Daten aus 2021'!N89,'#Boden'!$B$68:$C$89,2,FALSE))</f>
        <v/>
      </c>
      <c r="D87" s="875" t="str">
        <f>IF('Daten aus 2021'!M89="","",VLOOKUP('Daten aus 2021'!M89,'#Boden'!$D$69:$E$73,2,FALSE))</f>
        <v/>
      </c>
      <c r="E87" s="938" t="str">
        <f>IF(OR(C87='#Boden'!$C$68,C87='#Boden'!$C$70),C87,CONCATENATE(C87,D87))</f>
        <v/>
      </c>
      <c r="F87" s="882" t="str">
        <f>IFERROR(IF('Daten aus 2021'!H89="",'#Frucht'!$D$8,IF('Daten aus 2021'!H89='#Boden'!$B$39,E87,IF('Daten aus 2021'!H89='#Boden'!$B$38,IF(CONCATENATE(" ",'Daten aus 2021'!W89)=$B$2,VLOOKUP($B$3,'#Frucht'!$A$8:$D$372,4,FALSE),VLOOKUP(CONCATENATE(" ",'Daten aus 2021'!W89),'#Frucht'!$A$8:$D$372,4,FALSE)),IF(OR(LEFT('Daten aus 2021'!Q89,5)=" *10 ",LEFT('Daten aus 2021'!Q89,5)=" *11 ",LEFT('Daten aus 2021'!Q89,5)=" *12 ",LEFT('Daten aus 2021'!Q89,5)=" *13 ",LEFT('Daten aus 2021'!Q89,5)=" *14 ",LEFT('Daten aus 2021'!Q89,5)=" *15 "),VLOOKUP(RIGHT('Daten aus 2021'!Q89,LEN('Daten aus 2021'!Q89)-4),'#Frucht'!$A$8:$D$372,4,FALSE),IF(LEFT('Daten aus 2021'!Q89,2)=" *",VLOOKUP(RIGHT('Daten aus 2021'!Q89,LEN('Daten aus 2021'!Q89)-3),'#Frucht'!$A$8:$D$372,4,FALSE),VLOOKUP('Daten aus 2021'!Q89,'#Frucht'!$A$8:$D$372,4,FALSE)))))),'#Frucht'!$D$8)</f>
        <v xml:space="preserve"> --  </v>
      </c>
      <c r="G87" s="127"/>
      <c r="H87" s="31"/>
      <c r="J87" s="938" t="str">
        <f>IF(OR(N87=3,$K$3=0,'Flächen u. Kulturen'!P92=""),"",IF(VLOOKUP('Flächen u. Kulturen'!P92,Kulturen[[HF]:[780]],'#BerechnungDBE'!$K$3,FALSE)=".","",VLOOKUP('Flächen u. Kulturen'!P92,Kulturen[[HF]:[780]],'#BerechnungDBE'!$K$3,FALSE)))</f>
        <v/>
      </c>
      <c r="K87" s="938" t="str">
        <f>IF(OR($K$3=0,'Flächen u. Kulturen'!P92=""),"",IF(N87=3,IF(VLOOKUP('Flächen u. Kulturen'!P92,Kulturen[[HF]:[780]],'#BerechnungDBE'!$K$3,FALSE)=".","",VLOOKUP('Flächen u. Kulturen'!P92,Kulturen[[HF]:[780]],'#BerechnungDBE'!$K$3,FALSE)),""))</f>
        <v/>
      </c>
      <c r="L87" s="367">
        <f>IF('Flächen u. Kulturen'!D92="",0,'Flächen u. Kulturen'!D92)</f>
        <v>0</v>
      </c>
      <c r="M87" s="693">
        <f>IF('Flächen u. Kulturen'!J92="",0,VLOOKUP('Flächen u. Kulturen'!J92,Kulturen[[HF]:[Berechnungsgruppe]],'#Frucht'!$W$1,FALSE))</f>
        <v>1</v>
      </c>
      <c r="N87" s="693">
        <f>IF('Flächen u. Kulturen'!P92="",0,VLOOKUP('Flächen u. Kulturen'!P92,Kulturen[[HF]:[Berechnungsgruppe]],'#Frucht'!$W$1,FALSE))</f>
        <v>1</v>
      </c>
      <c r="O87" s="875">
        <f>IF(N87&lt;&gt;2,N87,IF('Flächen u. Kulturen'!J92='Flächen u. Kulturen'!P92,2,1))</f>
        <v>1</v>
      </c>
      <c r="P87" s="875">
        <f>IF('Flächen u. Kulturen'!F92="",0,VLOOKUP('Flächen u. Kulturen'!F92,'#Boden'!$G$4:$H$8,'#Boden'!$H$1,FALSE))</f>
        <v>1</v>
      </c>
      <c r="Q87" s="875">
        <f>IF('Flächen u. Kulturen'!G92="",0,VLOOKUP('Flächen u. Kulturen'!G92,'#Boden'!$B$26:$C$29,'#Boden'!$C$1,FALSE))</f>
        <v>1</v>
      </c>
      <c r="R87" s="875">
        <f t="shared" si="64"/>
        <v>1</v>
      </c>
      <c r="S87" s="875">
        <f t="shared" si="65"/>
        <v>1</v>
      </c>
      <c r="T87" s="875">
        <f>IF('Flächen u. Kulturen'!H92="",0,VLOOKUP('Flächen u. Kulturen'!H92,'#Boden'!$B$23:$C$25,'#Boden'!$C$1,FALSE))</f>
        <v>2</v>
      </c>
      <c r="U87" s="875" t="str">
        <f>'Flächen u. Kulturen'!E92</f>
        <v>x</v>
      </c>
      <c r="V87" s="938">
        <f>IF('Flächen u. Kulturen'!Q92="",0,_xlfn.NUMBERVALUE('Flächen u. Kulturen'!Q92))</f>
        <v>0</v>
      </c>
      <c r="W87" s="938">
        <f>IF('Flächen u. Kulturen'!R92="",0,_xlfn.NUMBERVALUE('Flächen u. Kulturen'!R92))</f>
        <v>0</v>
      </c>
      <c r="X87" s="875">
        <f>IF('Flächen u. Kulturen'!T92="",0,VLOOKUP('Flächen u. Kulturen'!T92,'#Boden'!$B$30:$C$32,'#Boden'!$C$1,FALSE))</f>
        <v>1</v>
      </c>
      <c r="Y87" s="875">
        <f>IF('Flächen u. Kulturen'!P92="",0,VLOOKUP('Flächen u. Kulturen'!P92,Kulturen[[HF]:[Berechnungsgruppe]],'#Frucht'!$N$1,FALSE))</f>
        <v>0</v>
      </c>
      <c r="Z87" s="875">
        <f t="shared" si="66"/>
        <v>2</v>
      </c>
      <c r="AA87" s="875">
        <f>IF('Flächen u. Kulturen'!P92="",0,VLOOKUP('Flächen u. Kulturen'!P92,Kulturen[[HF]:[Berechnungsgruppe]],'#Frucht'!$V$1,FALSE))</f>
        <v>0</v>
      </c>
      <c r="AB87" s="875">
        <f>IF(N87=1,VLOOKUP('Flächen u. Kulturen'!P92,Kulturen[[HF]:[Ernteprodukt]],'#Frucht'!$I$1,FALSE),4)</f>
        <v>4</v>
      </c>
      <c r="AC87" s="921">
        <f>IF('Flächen u. Kulturen'!J92="",0,VLOOKUP('Flächen u. Kulturen'!J92,Kulturen[[HF]:[Berechnungsgruppe]],'#Frucht'!$G$1,FALSE))</f>
        <v>90</v>
      </c>
      <c r="AD87" s="921">
        <f>IF('Flächen u. Kulturen'!P92="",0,VLOOKUP('Flächen u. Kulturen'!P92,Kulturen[[HF]:[Berechnungsgruppe]],'#Frucht'!$G$1,FALSE))</f>
        <v>90</v>
      </c>
      <c r="AE87" s="938">
        <f>IF('Flächen u. Kulturen'!P92="",0,VLOOKUP('Flächen u. Kulturen'!P92,Kulturen[[HF]:[SollwertMinusNfix]],'#Frucht'!$X$1,FALSE))</f>
        <v>0</v>
      </c>
      <c r="AF87" s="875">
        <f>IF('Flächen u. Kulturen'!L92="",0,VLOOKUP('Flächen u. Kulturen'!L92,Nebenkultur[[Nebenkultur]:[Berechnungsschema]],'#Zweitfr'!$G$1,FALSE))</f>
        <v>0</v>
      </c>
      <c r="AG87" s="875">
        <f>IF('Flächen u. Kulturen'!L92="",0,VLOOKUP('Flächen u. Kulturen'!L92,'#Zweitfr'!$D$8:$Q$27,'#Zweitfr'!$Q$1,FALSE))</f>
        <v>0</v>
      </c>
      <c r="AH87" s="875">
        <f>IF('Flächen u. Kulturen'!M92="",0,VLOOKUP('Flächen u. Kulturen'!M92,'#Boden'!$G$17:$H$21,2,FALSE))</f>
        <v>1</v>
      </c>
      <c r="AI87" s="875">
        <f>IF('Flächen u. Kulturen'!N92="",0,VLOOKUP('Flächen u. Kulturen'!N92,'#Boden'!$G$22:$H$24,'#Boden'!$H$1,FALSE))</f>
        <v>1</v>
      </c>
      <c r="AJ87" s="938">
        <f>IF('Flächen u. Kulturen'!O92="",0,_xlfn.NUMBERVALUE('Flächen u. Kulturen'!O92))</f>
        <v>0</v>
      </c>
      <c r="AK87" s="938">
        <f>IF('Flächen u. Kulturen'!L92="",0,VLOOKUP('Flächen u. Kulturen'!L92,Nebenkultur[[Nebenkultur]:[Legum. Zwischenfr.]],'#Zweitfr'!$P$1,FALSE))</f>
        <v>0</v>
      </c>
      <c r="AL87" s="875">
        <f>IF('Flächen u. Kulturen'!P92="",0,VLOOKUP('Flächen u. Kulturen'!P92,Kulturen[[HF]:[Berechnungsgruppe]],'#Frucht'!$Q$1,FALSE))</f>
        <v>0</v>
      </c>
      <c r="AM87" s="875">
        <f>IF('Flächen u. Kulturen'!P92="",0,VLOOKUP('Flächen u. Kulturen'!P92,Kulturen[[HF]:[Berechnungsgruppe]],'#Frucht'!$M$1,FALSE))</f>
        <v>0</v>
      </c>
      <c r="AN87" s="875">
        <f>IF('Flächen u. Kulturen'!P92="",1,VLOOKUP('Flächen u. Kulturen'!P92,Kulturen[[HF]:[Berechnungsgruppe]],'#Frucht'!$R$1,FALSE))</f>
        <v>10</v>
      </c>
      <c r="AO87" s="875">
        <f>IF('Flächen u. Kulturen'!P92="",0,VLOOKUP('Flächen u. Kulturen'!P92,Kulturen[[HF]:[Berechnungsgruppe]],'#Frucht'!$S$1,FALSE))</f>
        <v>0</v>
      </c>
      <c r="AP87" s="875">
        <f>IF('Flächen u. Kulturen'!P92="",0,VLOOKUP('Flächen u. Kulturen'!P92,Kulturen[[HF]:[Berechnungsgruppe]],'#Frucht'!$T$1,FALSE))</f>
        <v>0</v>
      </c>
      <c r="AQ87" s="938">
        <f t="shared" si="46"/>
        <v>0</v>
      </c>
      <c r="AR87" s="875">
        <f t="shared" si="47"/>
        <v>0</v>
      </c>
      <c r="AS87" s="938">
        <f t="shared" si="48"/>
        <v>0</v>
      </c>
      <c r="AT87" s="875">
        <f>IF(N87=1,'Flächen u. Kulturen'!S92*-1,"--")</f>
        <v>0</v>
      </c>
      <c r="AU87" s="938">
        <f>IF(OR(N87=2,'Flächen u. Kulturen'!I92=""),"--",IF(N87=3,VLOOKUP('Flächen u. Kulturen'!I92,'#Boden'!$B$9:$E$15,'#Boden'!$D$1,FALSE),VLOOKUP('Flächen u. Kulturen'!I92,'#Boden'!$B$9:$E$15,'#Boden'!$E$1,FALSE)))</f>
        <v>0</v>
      </c>
      <c r="AV87" s="938">
        <f>IF(N87=1,IF('Flächen u. Kulturen'!J92="",0,VLOOKUP('Flächen u. Kulturen'!J92,Kulturen[[HF]:[Berechnungsgruppe]],'#Frucht'!$U$1,FALSE)*-1),"--")</f>
        <v>0</v>
      </c>
      <c r="AW87" s="875">
        <f t="shared" si="49"/>
        <v>0</v>
      </c>
      <c r="AX87" s="875">
        <f>IF('Flächen u. Kulturen'!K92="",0,'Flächen u. Kulturen'!K92*-0.1)</f>
        <v>0</v>
      </c>
      <c r="AY87" s="875">
        <f>IF(N87&lt;3,'#orgDung'!AC96*0.1*-1,"--")</f>
        <v>0</v>
      </c>
      <c r="AZ87" s="31" t="str">
        <f>IF(AND('#orgDung'!J96&lt;&gt;2,'#orgDung'!F96=1),('#orgDung'!V96+'#minDung'!O93)*-1,"--")</f>
        <v>--</v>
      </c>
      <c r="BA87" s="875">
        <f t="shared" si="67"/>
        <v>0</v>
      </c>
      <c r="BB87" s="938">
        <f>IF(R87=2,0,'Flächen u. Kulturen'!V92*-1)</f>
        <v>0</v>
      </c>
      <c r="BC87" s="875">
        <f t="shared" si="68"/>
        <v>0</v>
      </c>
      <c r="BD87" s="127">
        <f>'#orgDung'!W96*-1</f>
        <v>0</v>
      </c>
      <c r="BE87" s="910">
        <f>'#orgDung'!AA96*-1</f>
        <v>0</v>
      </c>
      <c r="BF87" s="875">
        <f>'#orgDung'!Z96*-1</f>
        <v>0</v>
      </c>
      <c r="BG87" s="938">
        <f t="shared" si="60"/>
        <v>0</v>
      </c>
      <c r="BH87" s="875">
        <f>'#Kürzungen'!AS111*-1</f>
        <v>0</v>
      </c>
      <c r="BI87" s="875">
        <f t="shared" si="50"/>
        <v>0</v>
      </c>
      <c r="BJ87" s="910">
        <f t="shared" si="51"/>
        <v>0</v>
      </c>
      <c r="BK87" s="875">
        <f>'#minDung'!P93</f>
        <v>0</v>
      </c>
      <c r="BL87" s="938">
        <f t="shared" si="61"/>
        <v>0</v>
      </c>
      <c r="BM87" s="938">
        <f t="shared" si="52"/>
        <v>0</v>
      </c>
      <c r="BN87" s="875">
        <f>IF('Flächen u. Kulturen'!P92="",0,VLOOKUP('Flächen u. Kulturen'!P92,Kulturen[[HF]:[Berechnungsgruppe]],'#Frucht'!$K$1,FALSE))</f>
        <v>0</v>
      </c>
      <c r="BO87" s="875">
        <f>IF('Flächen u. Kulturen'!P92="",0,VLOOKUP('Flächen u. Kulturen'!P92,Kulturen[[HF]:[Berechnungsgruppe]],'#Frucht'!$L$1,FALSE))</f>
        <v>0</v>
      </c>
      <c r="BP87" s="875">
        <f>IF('Flächen u. Kulturen'!L92="",0,VLOOKUP('Flächen u. Kulturen'!L92,Nebenkultur[[Nebenkultur]:[Legum. Zwischenfr.]],'#Zweitfr'!$H$1,FALSE))</f>
        <v>0</v>
      </c>
      <c r="BQ87" s="938">
        <f>IF(N87=3,W87*BO87,IF('Flächen u. Kulturen'!T92='#Boden'!$B$32,V87*BN87,V87*BO87))</f>
        <v>0</v>
      </c>
      <c r="BR87" s="938">
        <f t="shared" si="53"/>
        <v>0</v>
      </c>
      <c r="BS87" s="875">
        <f t="shared" si="69"/>
        <v>0</v>
      </c>
      <c r="BT87" s="875">
        <f>IF('Flächen u. Kulturen'!F92="",0,IF(N87=3,VLOOKUP('Flächen u. Kulturen'!F92,'#Boden'!$G$4:$J$8,'#Boden'!$J$1,FALSE),VLOOKUP('Flächen u. Kulturen'!F92,'#Boden'!$G$4:$J$8,'#Boden'!$I$1,FALSE)))</f>
        <v>0</v>
      </c>
      <c r="BU87" s="41">
        <f t="shared" si="70"/>
        <v>0</v>
      </c>
      <c r="BV87" s="875">
        <f t="shared" si="71"/>
        <v>0</v>
      </c>
      <c r="BW87" s="938" t="str">
        <f t="shared" si="62"/>
        <v/>
      </c>
      <c r="BX87" s="875">
        <f>'#orgDung'!T96*-1</f>
        <v>0</v>
      </c>
      <c r="BY87" s="875">
        <f t="shared" si="54"/>
        <v>0</v>
      </c>
      <c r="BZ87" s="938" t="str">
        <f>IF(U87&lt;&gt;"x",0,IF(P87&lt;4,"",(BW87+BX87-'#minDung'!N93)*-1))</f>
        <v/>
      </c>
      <c r="CB87" s="938">
        <f>IF(AND(AF87=70,U87="x"),'Flächen u. Kulturen'!A92,1000)</f>
        <v>1000</v>
      </c>
      <c r="CC87" s="875" t="str">
        <f>IF(AF87=70,VLOOKUP('Flächen u. Kulturen'!L92,Nebenkultur[[Nebenkultur]:[Legum. Zwischenfr.]],'#Zweitfr'!$I$1,FALSE),"--")</f>
        <v>--</v>
      </c>
      <c r="CD87" s="875" t="str">
        <f>IF(AF87=70,VLOOKUP('Flächen u. Kulturen'!L92,Nebenkultur[[Nebenkultur]:[Legum. Zwischenfr.]],'#Zweitfr'!$L$1,FALSE),"--")</f>
        <v>--</v>
      </c>
      <c r="CE87" s="875" t="str">
        <f>IF(AF87=70,VLOOKUP('Flächen u. Kulturen'!L92,Nebenkultur[[Nebenkultur]:[Legum. Zwischenfr.]],'#Zweitfr'!$M$1,FALSE),"--")</f>
        <v>--</v>
      </c>
      <c r="CF87" s="875" t="str">
        <f>IF(AF87=70,VLOOKUP('Flächen u. Kulturen'!L92,Nebenkultur[[Nebenkultur]:[Legum. Zwischenfr.]],'#Zweitfr'!$N$1,FALSE),"--")</f>
        <v>--</v>
      </c>
      <c r="CG87" s="875" t="str">
        <f>IF(AF87=70,VLOOKUP('Flächen u. Kulturen'!L92,Nebenkultur[[Nebenkultur]:[Legum. Zwischenfr.]],'#Zweitfr'!$O$1,FALSE),"--")</f>
        <v>--</v>
      </c>
      <c r="CH87" s="875" t="str">
        <f t="shared" si="55"/>
        <v>--</v>
      </c>
      <c r="CI87" s="938">
        <f>IF('Flächen u. Kulturen'!L92="",0,VLOOKUP('Flächen u. Kulturen'!L92,Nebenkultur[[Nebenkultur]:[Legum. Zwischenfr.]],'#Zweitfr'!$J$1,FALSE))</f>
        <v>0</v>
      </c>
      <c r="CJ87" s="875">
        <f t="shared" si="56"/>
        <v>0</v>
      </c>
      <c r="CK87" s="890">
        <f t="shared" si="57"/>
        <v>0</v>
      </c>
      <c r="CL87" s="938">
        <f>IF(AND(R87=1,AF87=70),'Flächen u. Kulturen'!W92*-1,0)</f>
        <v>0</v>
      </c>
      <c r="CM87" s="875">
        <f>'#orgDung'!AE96*-1</f>
        <v>0</v>
      </c>
      <c r="CN87" s="875">
        <f t="shared" si="72"/>
        <v>0</v>
      </c>
      <c r="CO87" s="875">
        <f t="shared" si="73"/>
        <v>0</v>
      </c>
      <c r="CP87" s="875">
        <f>'#Kürzungen'!AS212*-1</f>
        <v>0</v>
      </c>
      <c r="CQ87" s="875">
        <f t="shared" si="74"/>
        <v>0</v>
      </c>
      <c r="CR87" s="875">
        <f t="shared" si="75"/>
        <v>0</v>
      </c>
      <c r="CS87" s="875">
        <f>'#minDung'!R93</f>
        <v>0</v>
      </c>
      <c r="CT87" s="938">
        <f t="shared" si="63"/>
        <v>0</v>
      </c>
      <c r="CU87" s="52" t="str">
        <f>'#Kürzungen'!AQ212</f>
        <v xml:space="preserve"> </v>
      </c>
      <c r="CW87" s="247">
        <f>IF('Flächen u. Kulturen'!D92="",0,IF(ISNUMBER('Flächen u. Kulturen'!D92)=TRUE,2,1))</f>
        <v>0</v>
      </c>
      <c r="CX87" s="247">
        <f>IF('Flächen u. Kulturen'!E92="",0,COUNTIF('#Boden'!$B$47,'Flächen u. Kulturen'!E92)+1)</f>
        <v>2</v>
      </c>
      <c r="CY87" s="247">
        <f>IF('Flächen u. Kulturen'!F92="",0,COUNTIF('#Boden'!$G$4:$G$8,'Flächen u. Kulturen'!F92)+1)</f>
        <v>2</v>
      </c>
      <c r="CZ87" s="247">
        <f>IF('Flächen u. Kulturen'!G92="",0,COUNTIF('#Boden'!$B$26:$B$29,'Flächen u. Kulturen'!G92)+1)</f>
        <v>2</v>
      </c>
      <c r="DA87" s="247">
        <f>IF('Flächen u. Kulturen'!H92="",0,COUNTIF('#Boden'!$B$26:$B$29,'Flächen u. Kulturen'!H92)+1)</f>
        <v>2</v>
      </c>
      <c r="DB87" s="247">
        <f>IF('Flächen u. Kulturen'!I92="",0,COUNTIF('#Boden'!$B$9:$B$15,'Flächen u. Kulturen'!I92)+1)</f>
        <v>2</v>
      </c>
      <c r="DC87" s="247">
        <f>IF('Flächen u. Kulturen'!J92="",0,COUNTIF(Kulturen[HF],'Flächen u. Kulturen'!J92)+1)</f>
        <v>2</v>
      </c>
      <c r="DD87" s="247">
        <f>IF('Flächen u. Kulturen'!L92="",0,COUNTIF(Nebenkultur[Nebenkultur],'Flächen u. Kulturen'!L92)+1)</f>
        <v>2</v>
      </c>
      <c r="DE87" s="247">
        <f>IF('Flächen u. Kulturen'!M92="",0,COUNTIF('#Boden'!$G$17:$G$21,'Flächen u. Kulturen'!M92)+1)</f>
        <v>2</v>
      </c>
      <c r="DF87" s="247">
        <f>IF('Flächen u. Kulturen'!N92="",0,COUNTIF('#Boden'!$G$22:$G$24,'Flächen u. Kulturen'!N92)+1)</f>
        <v>2</v>
      </c>
      <c r="DG87" s="247">
        <f>IF('Flächen u. Kulturen'!P92="",0,COUNTIF(Kulturen[HF],'Flächen u. Kulturen'!P92)+1)</f>
        <v>2</v>
      </c>
      <c r="DH87" s="247">
        <f>IF('Flächen u. Kulturen'!T92="",0,COUNTIF('#Boden'!$B$30:$B$32,'Flächen u. Kulturen'!T92)+1)</f>
        <v>2</v>
      </c>
      <c r="DI87" s="247">
        <f>IF('Flächen u. Kulturen'!K92="",0,IF(ISNUMBER('Flächen u. Kulturen'!K92)=TRUE,2,1))</f>
        <v>0</v>
      </c>
      <c r="DJ87" s="247">
        <f>IF('Flächen u. Kulturen'!U92="",0,IF(ISNUMBER('Flächen u. Kulturen'!U92)=TRUE,2,1))</f>
        <v>0</v>
      </c>
      <c r="DK87" s="247">
        <f>IF('Flächen u. Kulturen'!V92="",0,IF(ISNUMBER('Flächen u. Kulturen'!V92)=TRUE,2,1))</f>
        <v>0</v>
      </c>
      <c r="DL87" s="247">
        <f>IF('Flächen u. Kulturen'!W92="",0,IF(ISNUMBER('Flächen u. Kulturen'!W92)=TRUE,2,1))</f>
        <v>0</v>
      </c>
      <c r="DM87" s="247">
        <f t="shared" si="76"/>
        <v>0</v>
      </c>
      <c r="DN87" s="247" t="s">
        <v>344</v>
      </c>
      <c r="DO87" s="247">
        <f>IF(U87&lt;&gt;"x","",IF(OR('Flächen u. Kulturen'!B92="",'Flächen u. Kulturen'!C92="",'Flächen u. Kulturen'!D92="",'Flächen u. Kulturen'!D92=0,'Flächen u. Kulturen'!F92="",'Flächen u. Kulturen'!F92='#Boden'!$G$4,'Flächen u. Kulturen'!G92="",'Flächen u. Kulturen'!G92='#Boden'!$B$26,'Flächen u. Kulturen'!H92="",'Flächen u. Kulturen'!H92='#Boden'!$B$23,AND(N87&lt;&gt;2,OR('Flächen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Kulturen'!Q92="",'#BerechnungDBE'!N87&lt;3),AND('Flächen u. Kulturen'!R92="",'#BerechnungDBE'!N87=3),AND(N87=1,AL87&gt;0,'Flächen u. Kulturen'!S92=""),AND(N87=1,OR('Flächen u. Kulturen'!T92="",'Flächen u. Kulturen'!T92='#Boden'!$B$30)),AND('#BerechnungDBE'!AF87=70,OR('Flächen u. Kulturen'!N92="",'Flächen u. Kulturen'!N92='#Boden'!$G$22,'Flächen u. Kulturen'!O92="")),AND('#BerechnungDBE'!AF87=80,OR('Flächen u. Kulturen'!M92="",'Flächen u. Kulturen'!M92='#Boden'!$G$17,'Flächen u. Kulturen'!N92="",'Flächen u. Kulturen'!N92='#Boden'!$G$22))),$DO$4,""))</f>
        <v>1</v>
      </c>
      <c r="DP87" s="247" t="str">
        <f>IF(U87&lt;&gt;"x","",IF(OR(LEFT('Flächen u. Kulturen'!J92,2)=" +",LEFT('Flächen u. Kulturen'!L92,2)=" +",LEFT('Flächen u. Kulturen'!P92,2)=" +"),$DP$4,""))</f>
        <v/>
      </c>
      <c r="DQ87" s="428" t="str">
        <f t="shared" si="58"/>
        <v/>
      </c>
      <c r="DR87" s="938" t="str">
        <f t="shared" si="59"/>
        <v/>
      </c>
      <c r="DS87" s="938" t="str">
        <f>IF('Flächen u. Kulturen'!X92="","",ROW('Flächen u. Kulturen'!X92))</f>
        <v/>
      </c>
    </row>
    <row r="88" spans="1:123" s="875" customFormat="1" x14ac:dyDescent="0.2">
      <c r="A88" s="875" t="str">
        <f>IF('Daten aus 2021'!H90="",'#Boden'!$B$26,IF('Daten aus 2021'!H90='#Boden'!$B$39,IF('Daten aus 2021'!F90='#Boden'!$B$29,'#Boden'!$B$29,IF('Daten aus 2021'!K90='#Boden'!$B$34,'#Boden'!$B$28,'#Boden'!$B$27)),'Daten aus 2021'!F90))</f>
        <v xml:space="preserve"> --</v>
      </c>
      <c r="B88" s="875" t="str">
        <f>IF('Daten aus 2021'!H90='#Boden'!$B$39,IF('Daten aus 2021'!L90='#Boden'!$B$61,'#Boden'!$B$11,'Daten aus 2021'!L90),IF('Daten aus 2021'!P90='#Boden'!$B$58,'#Boden'!$B$11,IF('Daten aus 2021'!P90='#Boden'!$B$57,'#Boden'!$B$10,'#Boden'!$B$9)))</f>
        <v xml:space="preserve"> --         </v>
      </c>
      <c r="C88" s="875" t="str">
        <f>IF('Daten aus 2021'!N90="","",VLOOKUP('Daten aus 2021'!N90,'#Boden'!$B$68:$C$89,2,FALSE))</f>
        <v/>
      </c>
      <c r="D88" s="875" t="str">
        <f>IF('Daten aus 2021'!M90="","",VLOOKUP('Daten aus 2021'!M90,'#Boden'!$D$69:$E$73,2,FALSE))</f>
        <v/>
      </c>
      <c r="E88" s="938" t="str">
        <f>IF(OR(C88='#Boden'!$C$68,C88='#Boden'!$C$70),C88,CONCATENATE(C88,D88))</f>
        <v/>
      </c>
      <c r="F88" s="882" t="str">
        <f>IFERROR(IF('Daten aus 2021'!H90="",'#Frucht'!$D$8,IF('Daten aus 2021'!H90='#Boden'!$B$39,E88,IF('Daten aus 2021'!H90='#Boden'!$B$38,IF(CONCATENATE(" ",'Daten aus 2021'!W90)=$B$2,VLOOKUP($B$3,'#Frucht'!$A$8:$D$372,4,FALSE),VLOOKUP(CONCATENATE(" ",'Daten aus 2021'!W90),'#Frucht'!$A$8:$D$372,4,FALSE)),IF(OR(LEFT('Daten aus 2021'!Q90,5)=" *10 ",LEFT('Daten aus 2021'!Q90,5)=" *11 ",LEFT('Daten aus 2021'!Q90,5)=" *12 ",LEFT('Daten aus 2021'!Q90,5)=" *13 ",LEFT('Daten aus 2021'!Q90,5)=" *14 ",LEFT('Daten aus 2021'!Q90,5)=" *15 "),VLOOKUP(RIGHT('Daten aus 2021'!Q90,LEN('Daten aus 2021'!Q90)-4),'#Frucht'!$A$8:$D$372,4,FALSE),IF(LEFT('Daten aus 2021'!Q90,2)=" *",VLOOKUP(RIGHT('Daten aus 2021'!Q90,LEN('Daten aus 2021'!Q90)-3),'#Frucht'!$A$8:$D$372,4,FALSE),VLOOKUP('Daten aus 2021'!Q90,'#Frucht'!$A$8:$D$372,4,FALSE)))))),'#Frucht'!$D$8)</f>
        <v xml:space="preserve"> --  </v>
      </c>
      <c r="G88" s="127"/>
      <c r="H88" s="31"/>
      <c r="J88" s="938" t="str">
        <f>IF(OR(N88=3,$K$3=0,'Flächen u. Kulturen'!P93=""),"",IF(VLOOKUP('Flächen u. Kulturen'!P93,Kulturen[[HF]:[780]],'#BerechnungDBE'!$K$3,FALSE)=".","",VLOOKUP('Flächen u. Kulturen'!P93,Kulturen[[HF]:[780]],'#BerechnungDBE'!$K$3,FALSE)))</f>
        <v/>
      </c>
      <c r="K88" s="938" t="str">
        <f>IF(OR($K$3=0,'Flächen u. Kulturen'!P93=""),"",IF(N88=3,IF(VLOOKUP('Flächen u. Kulturen'!P93,Kulturen[[HF]:[780]],'#BerechnungDBE'!$K$3,FALSE)=".","",VLOOKUP('Flächen u. Kulturen'!P93,Kulturen[[HF]:[780]],'#BerechnungDBE'!$K$3,FALSE)),""))</f>
        <v/>
      </c>
      <c r="L88" s="367">
        <f>IF('Flächen u. Kulturen'!D93="",0,'Flächen u. Kulturen'!D93)</f>
        <v>0</v>
      </c>
      <c r="M88" s="693">
        <f>IF('Flächen u. Kulturen'!J93="",0,VLOOKUP('Flächen u. Kulturen'!J93,Kulturen[[HF]:[Berechnungsgruppe]],'#Frucht'!$W$1,FALSE))</f>
        <v>1</v>
      </c>
      <c r="N88" s="693">
        <f>IF('Flächen u. Kulturen'!P93="",0,VLOOKUP('Flächen u. Kulturen'!P93,Kulturen[[HF]:[Berechnungsgruppe]],'#Frucht'!$W$1,FALSE))</f>
        <v>1</v>
      </c>
      <c r="O88" s="875">
        <f>IF(N88&lt;&gt;2,N88,IF('Flächen u. Kulturen'!J93='Flächen u. Kulturen'!P93,2,1))</f>
        <v>1</v>
      </c>
      <c r="P88" s="875">
        <f>IF('Flächen u. Kulturen'!F93="",0,VLOOKUP('Flächen u. Kulturen'!F93,'#Boden'!$G$4:$H$8,'#Boden'!$H$1,FALSE))</f>
        <v>1</v>
      </c>
      <c r="Q88" s="875">
        <f>IF('Flächen u. Kulturen'!G93="",0,VLOOKUP('Flächen u. Kulturen'!G93,'#Boden'!$B$26:$C$29,'#Boden'!$C$1,FALSE))</f>
        <v>1</v>
      </c>
      <c r="R88" s="875">
        <f t="shared" si="64"/>
        <v>1</v>
      </c>
      <c r="S88" s="875">
        <f t="shared" si="65"/>
        <v>1</v>
      </c>
      <c r="T88" s="875">
        <f>IF('Flächen u. Kulturen'!H93="",0,VLOOKUP('Flächen u. Kulturen'!H93,'#Boden'!$B$23:$C$25,'#Boden'!$C$1,FALSE))</f>
        <v>2</v>
      </c>
      <c r="U88" s="875" t="str">
        <f>'Flächen u. Kulturen'!E93</f>
        <v>x</v>
      </c>
      <c r="V88" s="938">
        <f>IF('Flächen u. Kulturen'!Q93="",0,_xlfn.NUMBERVALUE('Flächen u. Kulturen'!Q93))</f>
        <v>0</v>
      </c>
      <c r="W88" s="938">
        <f>IF('Flächen u. Kulturen'!R93="",0,_xlfn.NUMBERVALUE('Flächen u. Kulturen'!R93))</f>
        <v>0</v>
      </c>
      <c r="X88" s="875">
        <f>IF('Flächen u. Kulturen'!T93="",0,VLOOKUP('Flächen u. Kulturen'!T93,'#Boden'!$B$30:$C$32,'#Boden'!$C$1,FALSE))</f>
        <v>1</v>
      </c>
      <c r="Y88" s="875">
        <f>IF('Flächen u. Kulturen'!P93="",0,VLOOKUP('Flächen u. Kulturen'!P93,Kulturen[[HF]:[Berechnungsgruppe]],'#Frucht'!$N$1,FALSE))</f>
        <v>0</v>
      </c>
      <c r="Z88" s="875">
        <f t="shared" si="66"/>
        <v>2</v>
      </c>
      <c r="AA88" s="875">
        <f>IF('Flächen u. Kulturen'!P93="",0,VLOOKUP('Flächen u. Kulturen'!P93,Kulturen[[HF]:[Berechnungsgruppe]],'#Frucht'!$V$1,FALSE))</f>
        <v>0</v>
      </c>
      <c r="AB88" s="875">
        <f>IF(N88=1,VLOOKUP('Flächen u. Kulturen'!P93,Kulturen[[HF]:[Ernteprodukt]],'#Frucht'!$I$1,FALSE),4)</f>
        <v>4</v>
      </c>
      <c r="AC88" s="921">
        <f>IF('Flächen u. Kulturen'!J93="",0,VLOOKUP('Flächen u. Kulturen'!J93,Kulturen[[HF]:[Berechnungsgruppe]],'#Frucht'!$G$1,FALSE))</f>
        <v>90</v>
      </c>
      <c r="AD88" s="921">
        <f>IF('Flächen u. Kulturen'!P93="",0,VLOOKUP('Flächen u. Kulturen'!P93,Kulturen[[HF]:[Berechnungsgruppe]],'#Frucht'!$G$1,FALSE))</f>
        <v>90</v>
      </c>
      <c r="AE88" s="938">
        <f>IF('Flächen u. Kulturen'!P93="",0,VLOOKUP('Flächen u. Kulturen'!P93,Kulturen[[HF]:[SollwertMinusNfix]],'#Frucht'!$X$1,FALSE))</f>
        <v>0</v>
      </c>
      <c r="AF88" s="875">
        <f>IF('Flächen u. Kulturen'!L93="",0,VLOOKUP('Flächen u. Kulturen'!L93,Nebenkultur[[Nebenkultur]:[Berechnungsschema]],'#Zweitfr'!$G$1,FALSE))</f>
        <v>0</v>
      </c>
      <c r="AG88" s="875">
        <f>IF('Flächen u. Kulturen'!L93="",0,VLOOKUP('Flächen u. Kulturen'!L93,'#Zweitfr'!$D$8:$Q$27,'#Zweitfr'!$Q$1,FALSE))</f>
        <v>0</v>
      </c>
      <c r="AH88" s="875">
        <f>IF('Flächen u. Kulturen'!M93="",0,VLOOKUP('Flächen u. Kulturen'!M93,'#Boden'!$G$17:$H$21,2,FALSE))</f>
        <v>1</v>
      </c>
      <c r="AI88" s="875">
        <f>IF('Flächen u. Kulturen'!N93="",0,VLOOKUP('Flächen u. Kulturen'!N93,'#Boden'!$G$22:$H$24,'#Boden'!$H$1,FALSE))</f>
        <v>1</v>
      </c>
      <c r="AJ88" s="938">
        <f>IF('Flächen u. Kulturen'!O93="",0,_xlfn.NUMBERVALUE('Flächen u. Kulturen'!O93))</f>
        <v>0</v>
      </c>
      <c r="AK88" s="938">
        <f>IF('Flächen u. Kulturen'!L93="",0,VLOOKUP('Flächen u. Kulturen'!L93,Nebenkultur[[Nebenkultur]:[Legum. Zwischenfr.]],'#Zweitfr'!$P$1,FALSE))</f>
        <v>0</v>
      </c>
      <c r="AL88" s="875">
        <f>IF('Flächen u. Kulturen'!P93="",0,VLOOKUP('Flächen u. Kulturen'!P93,Kulturen[[HF]:[Berechnungsgruppe]],'#Frucht'!$Q$1,FALSE))</f>
        <v>0</v>
      </c>
      <c r="AM88" s="875">
        <f>IF('Flächen u. Kulturen'!P93="",0,VLOOKUP('Flächen u. Kulturen'!P93,Kulturen[[HF]:[Berechnungsgruppe]],'#Frucht'!$M$1,FALSE))</f>
        <v>0</v>
      </c>
      <c r="AN88" s="875">
        <f>IF('Flächen u. Kulturen'!P93="",1,VLOOKUP('Flächen u. Kulturen'!P93,Kulturen[[HF]:[Berechnungsgruppe]],'#Frucht'!$R$1,FALSE))</f>
        <v>10</v>
      </c>
      <c r="AO88" s="875">
        <f>IF('Flächen u. Kulturen'!P93="",0,VLOOKUP('Flächen u. Kulturen'!P93,Kulturen[[HF]:[Berechnungsgruppe]],'#Frucht'!$S$1,FALSE))</f>
        <v>0</v>
      </c>
      <c r="AP88" s="875">
        <f>IF('Flächen u. Kulturen'!P93="",0,VLOOKUP('Flächen u. Kulturen'!P93,Kulturen[[HF]:[Berechnungsgruppe]],'#Frucht'!$T$1,FALSE))</f>
        <v>0</v>
      </c>
      <c r="AQ88" s="938">
        <f t="shared" si="46"/>
        <v>0</v>
      </c>
      <c r="AR88" s="875">
        <f t="shared" si="47"/>
        <v>0</v>
      </c>
      <c r="AS88" s="938">
        <f t="shared" si="48"/>
        <v>0</v>
      </c>
      <c r="AT88" s="875">
        <f>IF(N88=1,'Flächen u. Kulturen'!S93*-1,"--")</f>
        <v>0</v>
      </c>
      <c r="AU88" s="938">
        <f>IF(OR(N88=2,'Flächen u. Kulturen'!I93=""),"--",IF(N88=3,VLOOKUP('Flächen u. Kulturen'!I93,'#Boden'!$B$9:$E$15,'#Boden'!$D$1,FALSE),VLOOKUP('Flächen u. Kulturen'!I93,'#Boden'!$B$9:$E$15,'#Boden'!$E$1,FALSE)))</f>
        <v>0</v>
      </c>
      <c r="AV88" s="938">
        <f>IF(N88=1,IF('Flächen u. Kulturen'!J93="",0,VLOOKUP('Flächen u. Kulturen'!J93,Kulturen[[HF]:[Berechnungsgruppe]],'#Frucht'!$U$1,FALSE)*-1),"--")</f>
        <v>0</v>
      </c>
      <c r="AW88" s="875">
        <f t="shared" si="49"/>
        <v>0</v>
      </c>
      <c r="AX88" s="875">
        <f>IF('Flächen u. Kulturen'!K93="",0,'Flächen u. Kulturen'!K93*-0.1)</f>
        <v>0</v>
      </c>
      <c r="AY88" s="875">
        <f>IF(N88&lt;3,'#orgDung'!AC97*0.1*-1,"--")</f>
        <v>0</v>
      </c>
      <c r="AZ88" s="31" t="str">
        <f>IF(AND('#orgDung'!J97&lt;&gt;2,'#orgDung'!F97=1),('#orgDung'!V97+'#minDung'!O94)*-1,"--")</f>
        <v>--</v>
      </c>
      <c r="BA88" s="875">
        <f t="shared" si="67"/>
        <v>0</v>
      </c>
      <c r="BB88" s="938">
        <f>IF(R88=2,0,'Flächen u. Kulturen'!V93*-1)</f>
        <v>0</v>
      </c>
      <c r="BC88" s="875">
        <f t="shared" si="68"/>
        <v>0</v>
      </c>
      <c r="BD88" s="127">
        <f>'#orgDung'!W97*-1</f>
        <v>0</v>
      </c>
      <c r="BE88" s="910">
        <f>'#orgDung'!AA97*-1</f>
        <v>0</v>
      </c>
      <c r="BF88" s="875">
        <f>'#orgDung'!Z97*-1</f>
        <v>0</v>
      </c>
      <c r="BG88" s="938">
        <f t="shared" si="60"/>
        <v>0</v>
      </c>
      <c r="BH88" s="875">
        <f>'#Kürzungen'!AS112*-1</f>
        <v>0</v>
      </c>
      <c r="BI88" s="875">
        <f t="shared" si="50"/>
        <v>0</v>
      </c>
      <c r="BJ88" s="910">
        <f t="shared" si="51"/>
        <v>0</v>
      </c>
      <c r="BK88" s="875">
        <f>'#minDung'!P94</f>
        <v>0</v>
      </c>
      <c r="BL88" s="938">
        <f t="shared" si="61"/>
        <v>0</v>
      </c>
      <c r="BM88" s="938">
        <f t="shared" si="52"/>
        <v>0</v>
      </c>
      <c r="BN88" s="875">
        <f>IF('Flächen u. Kulturen'!P93="",0,VLOOKUP('Flächen u. Kulturen'!P93,Kulturen[[HF]:[Berechnungsgruppe]],'#Frucht'!$K$1,FALSE))</f>
        <v>0</v>
      </c>
      <c r="BO88" s="875">
        <f>IF('Flächen u. Kulturen'!P93="",0,VLOOKUP('Flächen u. Kulturen'!P93,Kulturen[[HF]:[Berechnungsgruppe]],'#Frucht'!$L$1,FALSE))</f>
        <v>0</v>
      </c>
      <c r="BP88" s="875">
        <f>IF('Flächen u. Kulturen'!L93="",0,VLOOKUP('Flächen u. Kulturen'!L93,Nebenkultur[[Nebenkultur]:[Legum. Zwischenfr.]],'#Zweitfr'!$H$1,FALSE))</f>
        <v>0</v>
      </c>
      <c r="BQ88" s="938">
        <f>IF(N88=3,W88*BO88,IF('Flächen u. Kulturen'!T93='#Boden'!$B$32,V88*BN88,V88*BO88))</f>
        <v>0</v>
      </c>
      <c r="BR88" s="938">
        <f t="shared" si="53"/>
        <v>0</v>
      </c>
      <c r="BS88" s="875">
        <f t="shared" si="69"/>
        <v>0</v>
      </c>
      <c r="BT88" s="875">
        <f>IF('Flächen u. Kulturen'!F93="",0,IF(N88=3,VLOOKUP('Flächen u. Kulturen'!F93,'#Boden'!$G$4:$J$8,'#Boden'!$J$1,FALSE),VLOOKUP('Flächen u. Kulturen'!F93,'#Boden'!$G$4:$J$8,'#Boden'!$I$1,FALSE)))</f>
        <v>0</v>
      </c>
      <c r="BU88" s="41">
        <f t="shared" si="70"/>
        <v>0</v>
      </c>
      <c r="BV88" s="875">
        <f t="shared" si="71"/>
        <v>0</v>
      </c>
      <c r="BW88" s="938" t="str">
        <f t="shared" si="62"/>
        <v/>
      </c>
      <c r="BX88" s="875">
        <f>'#orgDung'!T97*-1</f>
        <v>0</v>
      </c>
      <c r="BY88" s="875">
        <f t="shared" si="54"/>
        <v>0</v>
      </c>
      <c r="BZ88" s="938" t="str">
        <f>IF(U88&lt;&gt;"x",0,IF(P88&lt;4,"",(BW88+BX88-'#minDung'!N94)*-1))</f>
        <v/>
      </c>
      <c r="CB88" s="938">
        <f>IF(AND(AF88=70,U88="x"),'Flächen u. Kulturen'!A93,1000)</f>
        <v>1000</v>
      </c>
      <c r="CC88" s="875" t="str">
        <f>IF(AF88=70,VLOOKUP('Flächen u. Kulturen'!L93,Nebenkultur[[Nebenkultur]:[Legum. Zwischenfr.]],'#Zweitfr'!$I$1,FALSE),"--")</f>
        <v>--</v>
      </c>
      <c r="CD88" s="875" t="str">
        <f>IF(AF88=70,VLOOKUP('Flächen u. Kulturen'!L93,Nebenkultur[[Nebenkultur]:[Legum. Zwischenfr.]],'#Zweitfr'!$L$1,FALSE),"--")</f>
        <v>--</v>
      </c>
      <c r="CE88" s="875" t="str">
        <f>IF(AF88=70,VLOOKUP('Flächen u. Kulturen'!L93,Nebenkultur[[Nebenkultur]:[Legum. Zwischenfr.]],'#Zweitfr'!$M$1,FALSE),"--")</f>
        <v>--</v>
      </c>
      <c r="CF88" s="875" t="str">
        <f>IF(AF88=70,VLOOKUP('Flächen u. Kulturen'!L93,Nebenkultur[[Nebenkultur]:[Legum. Zwischenfr.]],'#Zweitfr'!$N$1,FALSE),"--")</f>
        <v>--</v>
      </c>
      <c r="CG88" s="875" t="str">
        <f>IF(AF88=70,VLOOKUP('Flächen u. Kulturen'!L93,Nebenkultur[[Nebenkultur]:[Legum. Zwischenfr.]],'#Zweitfr'!$O$1,FALSE),"--")</f>
        <v>--</v>
      </c>
      <c r="CH88" s="875" t="str">
        <f t="shared" si="55"/>
        <v>--</v>
      </c>
      <c r="CI88" s="938">
        <f>IF('Flächen u. Kulturen'!L93="",0,VLOOKUP('Flächen u. Kulturen'!L93,Nebenkultur[[Nebenkultur]:[Legum. Zwischenfr.]],'#Zweitfr'!$J$1,FALSE))</f>
        <v>0</v>
      </c>
      <c r="CJ88" s="875">
        <f t="shared" si="56"/>
        <v>0</v>
      </c>
      <c r="CK88" s="890">
        <f t="shared" si="57"/>
        <v>0</v>
      </c>
      <c r="CL88" s="938">
        <f>IF(AND(R88=1,AF88=70),'Flächen u. Kulturen'!W93*-1,0)</f>
        <v>0</v>
      </c>
      <c r="CM88" s="875">
        <f>'#orgDung'!AE97*-1</f>
        <v>0</v>
      </c>
      <c r="CN88" s="875">
        <f t="shared" si="72"/>
        <v>0</v>
      </c>
      <c r="CO88" s="875">
        <f t="shared" si="73"/>
        <v>0</v>
      </c>
      <c r="CP88" s="875">
        <f>'#Kürzungen'!AS213*-1</f>
        <v>0</v>
      </c>
      <c r="CQ88" s="875">
        <f t="shared" si="74"/>
        <v>0</v>
      </c>
      <c r="CR88" s="875">
        <f t="shared" si="75"/>
        <v>0</v>
      </c>
      <c r="CS88" s="875">
        <f>'#minDung'!R94</f>
        <v>0</v>
      </c>
      <c r="CT88" s="938">
        <f t="shared" si="63"/>
        <v>0</v>
      </c>
      <c r="CU88" s="52" t="str">
        <f>'#Kürzungen'!AQ213</f>
        <v xml:space="preserve"> </v>
      </c>
      <c r="CW88" s="247">
        <f>IF('Flächen u. Kulturen'!D93="",0,IF(ISNUMBER('Flächen u. Kulturen'!D93)=TRUE,2,1))</f>
        <v>0</v>
      </c>
      <c r="CX88" s="247">
        <f>IF('Flächen u. Kulturen'!E93="",0,COUNTIF('#Boden'!$B$47,'Flächen u. Kulturen'!E93)+1)</f>
        <v>2</v>
      </c>
      <c r="CY88" s="247">
        <f>IF('Flächen u. Kulturen'!F93="",0,COUNTIF('#Boden'!$G$4:$G$8,'Flächen u. Kulturen'!F93)+1)</f>
        <v>2</v>
      </c>
      <c r="CZ88" s="247">
        <f>IF('Flächen u. Kulturen'!G93="",0,COUNTIF('#Boden'!$B$26:$B$29,'Flächen u. Kulturen'!G93)+1)</f>
        <v>2</v>
      </c>
      <c r="DA88" s="247">
        <f>IF('Flächen u. Kulturen'!H93="",0,COUNTIF('#Boden'!$B$26:$B$29,'Flächen u. Kulturen'!H93)+1)</f>
        <v>2</v>
      </c>
      <c r="DB88" s="247">
        <f>IF('Flächen u. Kulturen'!I93="",0,COUNTIF('#Boden'!$B$9:$B$15,'Flächen u. Kulturen'!I93)+1)</f>
        <v>2</v>
      </c>
      <c r="DC88" s="247">
        <f>IF('Flächen u. Kulturen'!J93="",0,COUNTIF(Kulturen[HF],'Flächen u. Kulturen'!J93)+1)</f>
        <v>2</v>
      </c>
      <c r="DD88" s="247">
        <f>IF('Flächen u. Kulturen'!L93="",0,COUNTIF(Nebenkultur[Nebenkultur],'Flächen u. Kulturen'!L93)+1)</f>
        <v>2</v>
      </c>
      <c r="DE88" s="247">
        <f>IF('Flächen u. Kulturen'!M93="",0,COUNTIF('#Boden'!$G$17:$G$21,'Flächen u. Kulturen'!M93)+1)</f>
        <v>2</v>
      </c>
      <c r="DF88" s="247">
        <f>IF('Flächen u. Kulturen'!N93="",0,COUNTIF('#Boden'!$G$22:$G$24,'Flächen u. Kulturen'!N93)+1)</f>
        <v>2</v>
      </c>
      <c r="DG88" s="247">
        <f>IF('Flächen u. Kulturen'!P93="",0,COUNTIF(Kulturen[HF],'Flächen u. Kulturen'!P93)+1)</f>
        <v>2</v>
      </c>
      <c r="DH88" s="247">
        <f>IF('Flächen u. Kulturen'!T93="",0,COUNTIF('#Boden'!$B$30:$B$32,'Flächen u. Kulturen'!T93)+1)</f>
        <v>2</v>
      </c>
      <c r="DI88" s="247">
        <f>IF('Flächen u. Kulturen'!K93="",0,IF(ISNUMBER('Flächen u. Kulturen'!K93)=TRUE,2,1))</f>
        <v>0</v>
      </c>
      <c r="DJ88" s="247">
        <f>IF('Flächen u. Kulturen'!U93="",0,IF(ISNUMBER('Flächen u. Kulturen'!U93)=TRUE,2,1))</f>
        <v>0</v>
      </c>
      <c r="DK88" s="247">
        <f>IF('Flächen u. Kulturen'!V93="",0,IF(ISNUMBER('Flächen u. Kulturen'!V93)=TRUE,2,1))</f>
        <v>0</v>
      </c>
      <c r="DL88" s="247">
        <f>IF('Flächen u. Kulturen'!W93="",0,IF(ISNUMBER('Flächen u. Kulturen'!W93)=TRUE,2,1))</f>
        <v>0</v>
      </c>
      <c r="DM88" s="247">
        <f t="shared" si="76"/>
        <v>0</v>
      </c>
      <c r="DN88" s="247" t="s">
        <v>344</v>
      </c>
      <c r="DO88" s="247">
        <f>IF(U88&lt;&gt;"x","",IF(OR('Flächen u. Kulturen'!B93="",'Flächen u. Kulturen'!C93="",'Flächen u. Kulturen'!D93="",'Flächen u. Kulturen'!D93=0,'Flächen u. Kulturen'!F93="",'Flächen u. Kulturen'!F93='#Boden'!$G$4,'Flächen u. Kulturen'!G93="",'Flächen u. Kulturen'!G93='#Boden'!$B$26,'Flächen u. Kulturen'!H93="",'Flächen u. Kulturen'!H93='#Boden'!$B$23,AND(N88&lt;&gt;2,OR('Flächen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Kulturen'!Q93="",'#BerechnungDBE'!N88&lt;3),AND('Flächen u. Kulturen'!R93="",'#BerechnungDBE'!N88=3),AND(N88=1,AL88&gt;0,'Flächen u. Kulturen'!S93=""),AND(N88=1,OR('Flächen u. Kulturen'!T93="",'Flächen u. Kulturen'!T93='#Boden'!$B$30)),AND('#BerechnungDBE'!AF88=70,OR('Flächen u. Kulturen'!N93="",'Flächen u. Kulturen'!N93='#Boden'!$G$22,'Flächen u. Kulturen'!O93="")),AND('#BerechnungDBE'!AF88=80,OR('Flächen u. Kulturen'!M93="",'Flächen u. Kulturen'!M93='#Boden'!$G$17,'Flächen u. Kulturen'!N93="",'Flächen u. Kulturen'!N93='#Boden'!$G$22))),$DO$4,""))</f>
        <v>1</v>
      </c>
      <c r="DP88" s="247" t="str">
        <f>IF(U88&lt;&gt;"x","",IF(OR(LEFT('Flächen u. Kulturen'!J93,2)=" +",LEFT('Flächen u. Kulturen'!L93,2)=" +",LEFT('Flächen u. Kulturen'!P93,2)=" +"),$DP$4,""))</f>
        <v/>
      </c>
      <c r="DQ88" s="428" t="str">
        <f t="shared" si="58"/>
        <v/>
      </c>
      <c r="DR88" s="938" t="str">
        <f t="shared" si="59"/>
        <v/>
      </c>
      <c r="DS88" s="938" t="str">
        <f>IF('Flächen u. Kulturen'!X93="","",ROW('Flächen u. Kulturen'!X93))</f>
        <v/>
      </c>
    </row>
    <row r="89" spans="1:123" s="875" customFormat="1" x14ac:dyDescent="0.2">
      <c r="A89" s="875" t="str">
        <f>IF('Daten aus 2021'!H91="",'#Boden'!$B$26,IF('Daten aus 2021'!H91='#Boden'!$B$39,IF('Daten aus 2021'!F91='#Boden'!$B$29,'#Boden'!$B$29,IF('Daten aus 2021'!K91='#Boden'!$B$34,'#Boden'!$B$28,'#Boden'!$B$27)),'Daten aus 2021'!F91))</f>
        <v xml:space="preserve"> --</v>
      </c>
      <c r="B89" s="875" t="str">
        <f>IF('Daten aus 2021'!H91='#Boden'!$B$39,IF('Daten aus 2021'!L91='#Boden'!$B$61,'#Boden'!$B$11,'Daten aus 2021'!L91),IF('Daten aus 2021'!P91='#Boden'!$B$58,'#Boden'!$B$11,IF('Daten aus 2021'!P91='#Boden'!$B$57,'#Boden'!$B$10,'#Boden'!$B$9)))</f>
        <v xml:space="preserve"> --         </v>
      </c>
      <c r="C89" s="875" t="str">
        <f>IF('Daten aus 2021'!N91="","",VLOOKUP('Daten aus 2021'!N91,'#Boden'!$B$68:$C$89,2,FALSE))</f>
        <v/>
      </c>
      <c r="D89" s="875" t="str">
        <f>IF('Daten aus 2021'!M91="","",VLOOKUP('Daten aus 2021'!M91,'#Boden'!$D$69:$E$73,2,FALSE))</f>
        <v/>
      </c>
      <c r="E89" s="938" t="str">
        <f>IF(OR(C89='#Boden'!$C$68,C89='#Boden'!$C$70),C89,CONCATENATE(C89,D89))</f>
        <v/>
      </c>
      <c r="F89" s="882" t="str">
        <f>IFERROR(IF('Daten aus 2021'!H91="",'#Frucht'!$D$8,IF('Daten aus 2021'!H91='#Boden'!$B$39,E89,IF('Daten aus 2021'!H91='#Boden'!$B$38,IF(CONCATENATE(" ",'Daten aus 2021'!W91)=$B$2,VLOOKUP($B$3,'#Frucht'!$A$8:$D$372,4,FALSE),VLOOKUP(CONCATENATE(" ",'Daten aus 2021'!W91),'#Frucht'!$A$8:$D$372,4,FALSE)),IF(OR(LEFT('Daten aus 2021'!Q91,5)=" *10 ",LEFT('Daten aus 2021'!Q91,5)=" *11 ",LEFT('Daten aus 2021'!Q91,5)=" *12 ",LEFT('Daten aus 2021'!Q91,5)=" *13 ",LEFT('Daten aus 2021'!Q91,5)=" *14 ",LEFT('Daten aus 2021'!Q91,5)=" *15 "),VLOOKUP(RIGHT('Daten aus 2021'!Q91,LEN('Daten aus 2021'!Q91)-4),'#Frucht'!$A$8:$D$372,4,FALSE),IF(LEFT('Daten aus 2021'!Q91,2)=" *",VLOOKUP(RIGHT('Daten aus 2021'!Q91,LEN('Daten aus 2021'!Q91)-3),'#Frucht'!$A$8:$D$372,4,FALSE),VLOOKUP('Daten aus 2021'!Q91,'#Frucht'!$A$8:$D$372,4,FALSE)))))),'#Frucht'!$D$8)</f>
        <v xml:space="preserve"> --  </v>
      </c>
      <c r="G89" s="127"/>
      <c r="H89" s="31"/>
      <c r="J89" s="938" t="str">
        <f>IF(OR(N89=3,$K$3=0,'Flächen u. Kulturen'!P94=""),"",IF(VLOOKUP('Flächen u. Kulturen'!P94,Kulturen[[HF]:[780]],'#BerechnungDBE'!$K$3,FALSE)=".","",VLOOKUP('Flächen u. Kulturen'!P94,Kulturen[[HF]:[780]],'#BerechnungDBE'!$K$3,FALSE)))</f>
        <v/>
      </c>
      <c r="K89" s="938" t="str">
        <f>IF(OR($K$3=0,'Flächen u. Kulturen'!P94=""),"",IF(N89=3,IF(VLOOKUP('Flächen u. Kulturen'!P94,Kulturen[[HF]:[780]],'#BerechnungDBE'!$K$3,FALSE)=".","",VLOOKUP('Flächen u. Kulturen'!P94,Kulturen[[HF]:[780]],'#BerechnungDBE'!$K$3,FALSE)),""))</f>
        <v/>
      </c>
      <c r="L89" s="367">
        <f>IF('Flächen u. Kulturen'!D94="",0,'Flächen u. Kulturen'!D94)</f>
        <v>0</v>
      </c>
      <c r="M89" s="693">
        <f>IF('Flächen u. Kulturen'!J94="",0,VLOOKUP('Flächen u. Kulturen'!J94,Kulturen[[HF]:[Berechnungsgruppe]],'#Frucht'!$W$1,FALSE))</f>
        <v>1</v>
      </c>
      <c r="N89" s="693">
        <f>IF('Flächen u. Kulturen'!P94="",0,VLOOKUP('Flächen u. Kulturen'!P94,Kulturen[[HF]:[Berechnungsgruppe]],'#Frucht'!$W$1,FALSE))</f>
        <v>1</v>
      </c>
      <c r="O89" s="875">
        <f>IF(N89&lt;&gt;2,N89,IF('Flächen u. Kulturen'!J94='Flächen u. Kulturen'!P94,2,1))</f>
        <v>1</v>
      </c>
      <c r="P89" s="875">
        <f>IF('Flächen u. Kulturen'!F94="",0,VLOOKUP('Flächen u. Kulturen'!F94,'#Boden'!$G$4:$H$8,'#Boden'!$H$1,FALSE))</f>
        <v>1</v>
      </c>
      <c r="Q89" s="875">
        <f>IF('Flächen u. Kulturen'!G94="",0,VLOOKUP('Flächen u. Kulturen'!G94,'#Boden'!$B$26:$C$29,'#Boden'!$C$1,FALSE))</f>
        <v>1</v>
      </c>
      <c r="R89" s="875">
        <f t="shared" si="64"/>
        <v>1</v>
      </c>
      <c r="S89" s="875">
        <f t="shared" si="65"/>
        <v>1</v>
      </c>
      <c r="T89" s="875">
        <f>IF('Flächen u. Kulturen'!H94="",0,VLOOKUP('Flächen u. Kulturen'!H94,'#Boden'!$B$23:$C$25,'#Boden'!$C$1,FALSE))</f>
        <v>2</v>
      </c>
      <c r="U89" s="875" t="str">
        <f>'Flächen u. Kulturen'!E94</f>
        <v>x</v>
      </c>
      <c r="V89" s="938">
        <f>IF('Flächen u. Kulturen'!Q94="",0,_xlfn.NUMBERVALUE('Flächen u. Kulturen'!Q94))</f>
        <v>0</v>
      </c>
      <c r="W89" s="938">
        <f>IF('Flächen u. Kulturen'!R94="",0,_xlfn.NUMBERVALUE('Flächen u. Kulturen'!R94))</f>
        <v>0</v>
      </c>
      <c r="X89" s="875">
        <f>IF('Flächen u. Kulturen'!T94="",0,VLOOKUP('Flächen u. Kulturen'!T94,'#Boden'!$B$30:$C$32,'#Boden'!$C$1,FALSE))</f>
        <v>1</v>
      </c>
      <c r="Y89" s="875">
        <f>IF('Flächen u. Kulturen'!P94="",0,VLOOKUP('Flächen u. Kulturen'!P94,Kulturen[[HF]:[Berechnungsgruppe]],'#Frucht'!$N$1,FALSE))</f>
        <v>0</v>
      </c>
      <c r="Z89" s="875">
        <f t="shared" si="66"/>
        <v>2</v>
      </c>
      <c r="AA89" s="875">
        <f>IF('Flächen u. Kulturen'!P94="",0,VLOOKUP('Flächen u. Kulturen'!P94,Kulturen[[HF]:[Berechnungsgruppe]],'#Frucht'!$V$1,FALSE))</f>
        <v>0</v>
      </c>
      <c r="AB89" s="875">
        <f>IF(N89=1,VLOOKUP('Flächen u. Kulturen'!P94,Kulturen[[HF]:[Ernteprodukt]],'#Frucht'!$I$1,FALSE),4)</f>
        <v>4</v>
      </c>
      <c r="AC89" s="921">
        <f>IF('Flächen u. Kulturen'!J94="",0,VLOOKUP('Flächen u. Kulturen'!J94,Kulturen[[HF]:[Berechnungsgruppe]],'#Frucht'!$G$1,FALSE))</f>
        <v>90</v>
      </c>
      <c r="AD89" s="921">
        <f>IF('Flächen u. Kulturen'!P94="",0,VLOOKUP('Flächen u. Kulturen'!P94,Kulturen[[HF]:[Berechnungsgruppe]],'#Frucht'!$G$1,FALSE))</f>
        <v>90</v>
      </c>
      <c r="AE89" s="938">
        <f>IF('Flächen u. Kulturen'!P94="",0,VLOOKUP('Flächen u. Kulturen'!P94,Kulturen[[HF]:[SollwertMinusNfix]],'#Frucht'!$X$1,FALSE))</f>
        <v>0</v>
      </c>
      <c r="AF89" s="875">
        <f>IF('Flächen u. Kulturen'!L94="",0,VLOOKUP('Flächen u. Kulturen'!L94,Nebenkultur[[Nebenkultur]:[Berechnungsschema]],'#Zweitfr'!$G$1,FALSE))</f>
        <v>0</v>
      </c>
      <c r="AG89" s="875">
        <f>IF('Flächen u. Kulturen'!L94="",0,VLOOKUP('Flächen u. Kulturen'!L94,'#Zweitfr'!$D$8:$Q$27,'#Zweitfr'!$Q$1,FALSE))</f>
        <v>0</v>
      </c>
      <c r="AH89" s="875">
        <f>IF('Flächen u. Kulturen'!M94="",0,VLOOKUP('Flächen u. Kulturen'!M94,'#Boden'!$G$17:$H$21,2,FALSE))</f>
        <v>1</v>
      </c>
      <c r="AI89" s="875">
        <f>IF('Flächen u. Kulturen'!N94="",0,VLOOKUP('Flächen u. Kulturen'!N94,'#Boden'!$G$22:$H$24,'#Boden'!$H$1,FALSE))</f>
        <v>1</v>
      </c>
      <c r="AJ89" s="938">
        <f>IF('Flächen u. Kulturen'!O94="",0,_xlfn.NUMBERVALUE('Flächen u. Kulturen'!O94))</f>
        <v>0</v>
      </c>
      <c r="AK89" s="938">
        <f>IF('Flächen u. Kulturen'!L94="",0,VLOOKUP('Flächen u. Kulturen'!L94,Nebenkultur[[Nebenkultur]:[Legum. Zwischenfr.]],'#Zweitfr'!$P$1,FALSE))</f>
        <v>0</v>
      </c>
      <c r="AL89" s="875">
        <f>IF('Flächen u. Kulturen'!P94="",0,VLOOKUP('Flächen u. Kulturen'!P94,Kulturen[[HF]:[Berechnungsgruppe]],'#Frucht'!$Q$1,FALSE))</f>
        <v>0</v>
      </c>
      <c r="AM89" s="875">
        <f>IF('Flächen u. Kulturen'!P94="",0,VLOOKUP('Flächen u. Kulturen'!P94,Kulturen[[HF]:[Berechnungsgruppe]],'#Frucht'!$M$1,FALSE))</f>
        <v>0</v>
      </c>
      <c r="AN89" s="875">
        <f>IF('Flächen u. Kulturen'!P94="",1,VLOOKUP('Flächen u. Kulturen'!P94,Kulturen[[HF]:[Berechnungsgruppe]],'#Frucht'!$R$1,FALSE))</f>
        <v>10</v>
      </c>
      <c r="AO89" s="875">
        <f>IF('Flächen u. Kulturen'!P94="",0,VLOOKUP('Flächen u. Kulturen'!P94,Kulturen[[HF]:[Berechnungsgruppe]],'#Frucht'!$S$1,FALSE))</f>
        <v>0</v>
      </c>
      <c r="AP89" s="875">
        <f>IF('Flächen u. Kulturen'!P94="",0,VLOOKUP('Flächen u. Kulturen'!P94,Kulturen[[HF]:[Berechnungsgruppe]],'#Frucht'!$T$1,FALSE))</f>
        <v>0</v>
      </c>
      <c r="AQ89" s="938">
        <f t="shared" si="46"/>
        <v>0</v>
      </c>
      <c r="AR89" s="875">
        <f t="shared" si="47"/>
        <v>0</v>
      </c>
      <c r="AS89" s="938">
        <f t="shared" si="48"/>
        <v>0</v>
      </c>
      <c r="AT89" s="875">
        <f>IF(N89=1,'Flächen u. Kulturen'!S94*-1,"--")</f>
        <v>0</v>
      </c>
      <c r="AU89" s="938">
        <f>IF(OR(N89=2,'Flächen u. Kulturen'!I94=""),"--",IF(N89=3,VLOOKUP('Flächen u. Kulturen'!I94,'#Boden'!$B$9:$E$15,'#Boden'!$D$1,FALSE),VLOOKUP('Flächen u. Kulturen'!I94,'#Boden'!$B$9:$E$15,'#Boden'!$E$1,FALSE)))</f>
        <v>0</v>
      </c>
      <c r="AV89" s="938">
        <f>IF(N89=1,IF('Flächen u. Kulturen'!J94="",0,VLOOKUP('Flächen u. Kulturen'!J94,Kulturen[[HF]:[Berechnungsgruppe]],'#Frucht'!$U$1,FALSE)*-1),"--")</f>
        <v>0</v>
      </c>
      <c r="AW89" s="875">
        <f t="shared" si="49"/>
        <v>0</v>
      </c>
      <c r="AX89" s="875">
        <f>IF('Flächen u. Kulturen'!K94="",0,'Flächen u. Kulturen'!K94*-0.1)</f>
        <v>0</v>
      </c>
      <c r="AY89" s="875">
        <f>IF(N89&lt;3,'#orgDung'!AC98*0.1*-1,"--")</f>
        <v>0</v>
      </c>
      <c r="AZ89" s="31" t="str">
        <f>IF(AND('#orgDung'!J98&lt;&gt;2,'#orgDung'!F98=1),('#orgDung'!V98+'#minDung'!O95)*-1,"--")</f>
        <v>--</v>
      </c>
      <c r="BA89" s="875">
        <f t="shared" si="67"/>
        <v>0</v>
      </c>
      <c r="BB89" s="938">
        <f>IF(R89=2,0,'Flächen u. Kulturen'!V94*-1)</f>
        <v>0</v>
      </c>
      <c r="BC89" s="875">
        <f t="shared" si="68"/>
        <v>0</v>
      </c>
      <c r="BD89" s="127">
        <f>'#orgDung'!W98*-1</f>
        <v>0</v>
      </c>
      <c r="BE89" s="910">
        <f>'#orgDung'!AA98*-1</f>
        <v>0</v>
      </c>
      <c r="BF89" s="875">
        <f>'#orgDung'!Z98*-1</f>
        <v>0</v>
      </c>
      <c r="BG89" s="938">
        <f t="shared" si="60"/>
        <v>0</v>
      </c>
      <c r="BH89" s="875">
        <f>'#Kürzungen'!AS113*-1</f>
        <v>0</v>
      </c>
      <c r="BI89" s="875">
        <f t="shared" si="50"/>
        <v>0</v>
      </c>
      <c r="BJ89" s="910">
        <f t="shared" si="51"/>
        <v>0</v>
      </c>
      <c r="BK89" s="875">
        <f>'#minDung'!P95</f>
        <v>0</v>
      </c>
      <c r="BL89" s="938">
        <f t="shared" si="61"/>
        <v>0</v>
      </c>
      <c r="BM89" s="938">
        <f t="shared" si="52"/>
        <v>0</v>
      </c>
      <c r="BN89" s="875">
        <f>IF('Flächen u. Kulturen'!P94="",0,VLOOKUP('Flächen u. Kulturen'!P94,Kulturen[[HF]:[Berechnungsgruppe]],'#Frucht'!$K$1,FALSE))</f>
        <v>0</v>
      </c>
      <c r="BO89" s="875">
        <f>IF('Flächen u. Kulturen'!P94="",0,VLOOKUP('Flächen u. Kulturen'!P94,Kulturen[[HF]:[Berechnungsgruppe]],'#Frucht'!$L$1,FALSE))</f>
        <v>0</v>
      </c>
      <c r="BP89" s="875">
        <f>IF('Flächen u. Kulturen'!L94="",0,VLOOKUP('Flächen u. Kulturen'!L94,Nebenkultur[[Nebenkultur]:[Legum. Zwischenfr.]],'#Zweitfr'!$H$1,FALSE))</f>
        <v>0</v>
      </c>
      <c r="BQ89" s="938">
        <f>IF(N89=3,W89*BO89,IF('Flächen u. Kulturen'!T94='#Boden'!$B$32,V89*BN89,V89*BO89))</f>
        <v>0</v>
      </c>
      <c r="BR89" s="938">
        <f t="shared" si="53"/>
        <v>0</v>
      </c>
      <c r="BS89" s="875">
        <f t="shared" si="69"/>
        <v>0</v>
      </c>
      <c r="BT89" s="875">
        <f>IF('Flächen u. Kulturen'!F94="",0,IF(N89=3,VLOOKUP('Flächen u. Kulturen'!F94,'#Boden'!$G$4:$J$8,'#Boden'!$J$1,FALSE),VLOOKUP('Flächen u. Kulturen'!F94,'#Boden'!$G$4:$J$8,'#Boden'!$I$1,FALSE)))</f>
        <v>0</v>
      </c>
      <c r="BU89" s="41">
        <f t="shared" si="70"/>
        <v>0</v>
      </c>
      <c r="BV89" s="875">
        <f t="shared" si="71"/>
        <v>0</v>
      </c>
      <c r="BW89" s="938" t="str">
        <f t="shared" si="62"/>
        <v/>
      </c>
      <c r="BX89" s="875">
        <f>'#orgDung'!T98*-1</f>
        <v>0</v>
      </c>
      <c r="BY89" s="875">
        <f t="shared" si="54"/>
        <v>0</v>
      </c>
      <c r="BZ89" s="938" t="str">
        <f>IF(U89&lt;&gt;"x",0,IF(P89&lt;4,"",(BW89+BX89-'#minDung'!N95)*-1))</f>
        <v/>
      </c>
      <c r="CB89" s="938">
        <f>IF(AND(AF89=70,U89="x"),'Flächen u. Kulturen'!A94,1000)</f>
        <v>1000</v>
      </c>
      <c r="CC89" s="875" t="str">
        <f>IF(AF89=70,VLOOKUP('Flächen u. Kulturen'!L94,Nebenkultur[[Nebenkultur]:[Legum. Zwischenfr.]],'#Zweitfr'!$I$1,FALSE),"--")</f>
        <v>--</v>
      </c>
      <c r="CD89" s="875" t="str">
        <f>IF(AF89=70,VLOOKUP('Flächen u. Kulturen'!L94,Nebenkultur[[Nebenkultur]:[Legum. Zwischenfr.]],'#Zweitfr'!$L$1,FALSE),"--")</f>
        <v>--</v>
      </c>
      <c r="CE89" s="875" t="str">
        <f>IF(AF89=70,VLOOKUP('Flächen u. Kulturen'!L94,Nebenkultur[[Nebenkultur]:[Legum. Zwischenfr.]],'#Zweitfr'!$M$1,FALSE),"--")</f>
        <v>--</v>
      </c>
      <c r="CF89" s="875" t="str">
        <f>IF(AF89=70,VLOOKUP('Flächen u. Kulturen'!L94,Nebenkultur[[Nebenkultur]:[Legum. Zwischenfr.]],'#Zweitfr'!$N$1,FALSE),"--")</f>
        <v>--</v>
      </c>
      <c r="CG89" s="875" t="str">
        <f>IF(AF89=70,VLOOKUP('Flächen u. Kulturen'!L94,Nebenkultur[[Nebenkultur]:[Legum. Zwischenfr.]],'#Zweitfr'!$O$1,FALSE),"--")</f>
        <v>--</v>
      </c>
      <c r="CH89" s="875" t="str">
        <f t="shared" si="55"/>
        <v>--</v>
      </c>
      <c r="CI89" s="938">
        <f>IF('Flächen u. Kulturen'!L94="",0,VLOOKUP('Flächen u. Kulturen'!L94,Nebenkultur[[Nebenkultur]:[Legum. Zwischenfr.]],'#Zweitfr'!$J$1,FALSE))</f>
        <v>0</v>
      </c>
      <c r="CJ89" s="875">
        <f t="shared" si="56"/>
        <v>0</v>
      </c>
      <c r="CK89" s="890">
        <f t="shared" si="57"/>
        <v>0</v>
      </c>
      <c r="CL89" s="938">
        <f>IF(AND(R89=1,AF89=70),'Flächen u. Kulturen'!W94*-1,0)</f>
        <v>0</v>
      </c>
      <c r="CM89" s="875">
        <f>'#orgDung'!AE98*-1</f>
        <v>0</v>
      </c>
      <c r="CN89" s="875">
        <f t="shared" si="72"/>
        <v>0</v>
      </c>
      <c r="CO89" s="875">
        <f t="shared" si="73"/>
        <v>0</v>
      </c>
      <c r="CP89" s="875">
        <f>'#Kürzungen'!AS214*-1</f>
        <v>0</v>
      </c>
      <c r="CQ89" s="875">
        <f t="shared" si="74"/>
        <v>0</v>
      </c>
      <c r="CR89" s="875">
        <f t="shared" si="75"/>
        <v>0</v>
      </c>
      <c r="CS89" s="875">
        <f>'#minDung'!R95</f>
        <v>0</v>
      </c>
      <c r="CT89" s="938">
        <f t="shared" si="63"/>
        <v>0</v>
      </c>
      <c r="CU89" s="52" t="str">
        <f>'#Kürzungen'!AQ214</f>
        <v xml:space="preserve"> </v>
      </c>
      <c r="CW89" s="247">
        <f>IF('Flächen u. Kulturen'!D94="",0,IF(ISNUMBER('Flächen u. Kulturen'!D94)=TRUE,2,1))</f>
        <v>0</v>
      </c>
      <c r="CX89" s="247">
        <f>IF('Flächen u. Kulturen'!E94="",0,COUNTIF('#Boden'!$B$47,'Flächen u. Kulturen'!E94)+1)</f>
        <v>2</v>
      </c>
      <c r="CY89" s="247">
        <f>IF('Flächen u. Kulturen'!F94="",0,COUNTIF('#Boden'!$G$4:$G$8,'Flächen u. Kulturen'!F94)+1)</f>
        <v>2</v>
      </c>
      <c r="CZ89" s="247">
        <f>IF('Flächen u. Kulturen'!G94="",0,COUNTIF('#Boden'!$B$26:$B$29,'Flächen u. Kulturen'!G94)+1)</f>
        <v>2</v>
      </c>
      <c r="DA89" s="247">
        <f>IF('Flächen u. Kulturen'!H94="",0,COUNTIF('#Boden'!$B$26:$B$29,'Flächen u. Kulturen'!H94)+1)</f>
        <v>2</v>
      </c>
      <c r="DB89" s="247">
        <f>IF('Flächen u. Kulturen'!I94="",0,COUNTIF('#Boden'!$B$9:$B$15,'Flächen u. Kulturen'!I94)+1)</f>
        <v>2</v>
      </c>
      <c r="DC89" s="247">
        <f>IF('Flächen u. Kulturen'!J94="",0,COUNTIF(Kulturen[HF],'Flächen u. Kulturen'!J94)+1)</f>
        <v>2</v>
      </c>
      <c r="DD89" s="247">
        <f>IF('Flächen u. Kulturen'!L94="",0,COUNTIF(Nebenkultur[Nebenkultur],'Flächen u. Kulturen'!L94)+1)</f>
        <v>2</v>
      </c>
      <c r="DE89" s="247">
        <f>IF('Flächen u. Kulturen'!M94="",0,COUNTIF('#Boden'!$G$17:$G$21,'Flächen u. Kulturen'!M94)+1)</f>
        <v>2</v>
      </c>
      <c r="DF89" s="247">
        <f>IF('Flächen u. Kulturen'!N94="",0,COUNTIF('#Boden'!$G$22:$G$24,'Flächen u. Kulturen'!N94)+1)</f>
        <v>2</v>
      </c>
      <c r="DG89" s="247">
        <f>IF('Flächen u. Kulturen'!P94="",0,COUNTIF(Kulturen[HF],'Flächen u. Kulturen'!P94)+1)</f>
        <v>2</v>
      </c>
      <c r="DH89" s="247">
        <f>IF('Flächen u. Kulturen'!T94="",0,COUNTIF('#Boden'!$B$30:$B$32,'Flächen u. Kulturen'!T94)+1)</f>
        <v>2</v>
      </c>
      <c r="DI89" s="247">
        <f>IF('Flächen u. Kulturen'!K94="",0,IF(ISNUMBER('Flächen u. Kulturen'!K94)=TRUE,2,1))</f>
        <v>0</v>
      </c>
      <c r="DJ89" s="247">
        <f>IF('Flächen u. Kulturen'!U94="",0,IF(ISNUMBER('Flächen u. Kulturen'!U94)=TRUE,2,1))</f>
        <v>0</v>
      </c>
      <c r="DK89" s="247">
        <f>IF('Flächen u. Kulturen'!V94="",0,IF(ISNUMBER('Flächen u. Kulturen'!V94)=TRUE,2,1))</f>
        <v>0</v>
      </c>
      <c r="DL89" s="247">
        <f>IF('Flächen u. Kulturen'!W94="",0,IF(ISNUMBER('Flächen u. Kulturen'!W94)=TRUE,2,1))</f>
        <v>0</v>
      </c>
      <c r="DM89" s="247">
        <f t="shared" si="76"/>
        <v>0</v>
      </c>
      <c r="DN89" s="247" t="s">
        <v>344</v>
      </c>
      <c r="DO89" s="247">
        <f>IF(U89&lt;&gt;"x","",IF(OR('Flächen u. Kulturen'!B94="",'Flächen u. Kulturen'!C94="",'Flächen u. Kulturen'!D94="",'Flächen u. Kulturen'!D94=0,'Flächen u. Kulturen'!F94="",'Flächen u. Kulturen'!F94='#Boden'!$G$4,'Flächen u. Kulturen'!G94="",'Flächen u. Kulturen'!G94='#Boden'!$B$26,'Flächen u. Kulturen'!H94="",'Flächen u. Kulturen'!H94='#Boden'!$B$23,AND(N89&lt;&gt;2,OR('Flächen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Kulturen'!Q94="",'#BerechnungDBE'!N89&lt;3),AND('Flächen u. Kulturen'!R94="",'#BerechnungDBE'!N89=3),AND(N89=1,AL89&gt;0,'Flächen u. Kulturen'!S94=""),AND(N89=1,OR('Flächen u. Kulturen'!T94="",'Flächen u. Kulturen'!T94='#Boden'!$B$30)),AND('#BerechnungDBE'!AF89=70,OR('Flächen u. Kulturen'!N94="",'Flächen u. Kulturen'!N94='#Boden'!$G$22,'Flächen u. Kulturen'!O94="")),AND('#BerechnungDBE'!AF89=80,OR('Flächen u. Kulturen'!M94="",'Flächen u. Kulturen'!M94='#Boden'!$G$17,'Flächen u. Kulturen'!N94="",'Flächen u. Kulturen'!N94='#Boden'!$G$22))),$DO$4,""))</f>
        <v>1</v>
      </c>
      <c r="DP89" s="247" t="str">
        <f>IF(U89&lt;&gt;"x","",IF(OR(LEFT('Flächen u. Kulturen'!J94,2)=" +",LEFT('Flächen u. Kulturen'!L94,2)=" +",LEFT('Flächen u. Kulturen'!P94,2)=" +"),$DP$4,""))</f>
        <v/>
      </c>
      <c r="DQ89" s="428" t="str">
        <f t="shared" si="58"/>
        <v/>
      </c>
      <c r="DR89" s="938" t="str">
        <f t="shared" si="59"/>
        <v/>
      </c>
      <c r="DS89" s="938" t="str">
        <f>IF('Flächen u. Kulturen'!X94="","",ROW('Flächen u. Kulturen'!X94))</f>
        <v/>
      </c>
    </row>
    <row r="90" spans="1:123" s="875" customFormat="1" x14ac:dyDescent="0.2">
      <c r="A90" s="875" t="str">
        <f>IF('Daten aus 2021'!H92="",'#Boden'!$B$26,IF('Daten aus 2021'!H92='#Boden'!$B$39,IF('Daten aus 2021'!F92='#Boden'!$B$29,'#Boden'!$B$29,IF('Daten aus 2021'!K92='#Boden'!$B$34,'#Boden'!$B$28,'#Boden'!$B$27)),'Daten aus 2021'!F92))</f>
        <v xml:space="preserve"> --</v>
      </c>
      <c r="B90" s="875" t="str">
        <f>IF('Daten aus 2021'!H92='#Boden'!$B$39,IF('Daten aus 2021'!L92='#Boden'!$B$61,'#Boden'!$B$11,'Daten aus 2021'!L92),IF('Daten aus 2021'!P92='#Boden'!$B$58,'#Boden'!$B$11,IF('Daten aus 2021'!P92='#Boden'!$B$57,'#Boden'!$B$10,'#Boden'!$B$9)))</f>
        <v xml:space="preserve"> --         </v>
      </c>
      <c r="C90" s="875" t="str">
        <f>IF('Daten aus 2021'!N92="","",VLOOKUP('Daten aus 2021'!N92,'#Boden'!$B$68:$C$89,2,FALSE))</f>
        <v/>
      </c>
      <c r="D90" s="875" t="str">
        <f>IF('Daten aus 2021'!M92="","",VLOOKUP('Daten aus 2021'!M92,'#Boden'!$D$69:$E$73,2,FALSE))</f>
        <v/>
      </c>
      <c r="E90" s="938" t="str">
        <f>IF(OR(C90='#Boden'!$C$68,C90='#Boden'!$C$70),C90,CONCATENATE(C90,D90))</f>
        <v/>
      </c>
      <c r="F90" s="882" t="str">
        <f>IFERROR(IF('Daten aus 2021'!H92="",'#Frucht'!$D$8,IF('Daten aus 2021'!H92='#Boden'!$B$39,E90,IF('Daten aus 2021'!H92='#Boden'!$B$38,IF(CONCATENATE(" ",'Daten aus 2021'!W92)=$B$2,VLOOKUP($B$3,'#Frucht'!$A$8:$D$372,4,FALSE),VLOOKUP(CONCATENATE(" ",'Daten aus 2021'!W92),'#Frucht'!$A$8:$D$372,4,FALSE)),IF(OR(LEFT('Daten aus 2021'!Q92,5)=" *10 ",LEFT('Daten aus 2021'!Q92,5)=" *11 ",LEFT('Daten aus 2021'!Q92,5)=" *12 ",LEFT('Daten aus 2021'!Q92,5)=" *13 ",LEFT('Daten aus 2021'!Q92,5)=" *14 ",LEFT('Daten aus 2021'!Q92,5)=" *15 "),VLOOKUP(RIGHT('Daten aus 2021'!Q92,LEN('Daten aus 2021'!Q92)-4),'#Frucht'!$A$8:$D$372,4,FALSE),IF(LEFT('Daten aus 2021'!Q92,2)=" *",VLOOKUP(RIGHT('Daten aus 2021'!Q92,LEN('Daten aus 2021'!Q92)-3),'#Frucht'!$A$8:$D$372,4,FALSE),VLOOKUP('Daten aus 2021'!Q92,'#Frucht'!$A$8:$D$372,4,FALSE)))))),'#Frucht'!$D$8)</f>
        <v xml:space="preserve"> --  </v>
      </c>
      <c r="G90" s="127"/>
      <c r="H90" s="31"/>
      <c r="J90" s="938" t="str">
        <f>IF(OR(N90=3,$K$3=0,'Flächen u. Kulturen'!P95=""),"",IF(VLOOKUP('Flächen u. Kulturen'!P95,Kulturen[[HF]:[780]],'#BerechnungDBE'!$K$3,FALSE)=".","",VLOOKUP('Flächen u. Kulturen'!P95,Kulturen[[HF]:[780]],'#BerechnungDBE'!$K$3,FALSE)))</f>
        <v/>
      </c>
      <c r="K90" s="938" t="str">
        <f>IF(OR($K$3=0,'Flächen u. Kulturen'!P95=""),"",IF(N90=3,IF(VLOOKUP('Flächen u. Kulturen'!P95,Kulturen[[HF]:[780]],'#BerechnungDBE'!$K$3,FALSE)=".","",VLOOKUP('Flächen u. Kulturen'!P95,Kulturen[[HF]:[780]],'#BerechnungDBE'!$K$3,FALSE)),""))</f>
        <v/>
      </c>
      <c r="L90" s="367">
        <f>IF('Flächen u. Kulturen'!D95="",0,'Flächen u. Kulturen'!D95)</f>
        <v>0</v>
      </c>
      <c r="M90" s="693">
        <f>IF('Flächen u. Kulturen'!J95="",0,VLOOKUP('Flächen u. Kulturen'!J95,Kulturen[[HF]:[Berechnungsgruppe]],'#Frucht'!$W$1,FALSE))</f>
        <v>1</v>
      </c>
      <c r="N90" s="693">
        <f>IF('Flächen u. Kulturen'!P95="",0,VLOOKUP('Flächen u. Kulturen'!P95,Kulturen[[HF]:[Berechnungsgruppe]],'#Frucht'!$W$1,FALSE))</f>
        <v>1</v>
      </c>
      <c r="O90" s="875">
        <f>IF(N90&lt;&gt;2,N90,IF('Flächen u. Kulturen'!J95='Flächen u. Kulturen'!P95,2,1))</f>
        <v>1</v>
      </c>
      <c r="P90" s="875">
        <f>IF('Flächen u. Kulturen'!F95="",0,VLOOKUP('Flächen u. Kulturen'!F95,'#Boden'!$G$4:$H$8,'#Boden'!$H$1,FALSE))</f>
        <v>1</v>
      </c>
      <c r="Q90" s="875">
        <f>IF('Flächen u. Kulturen'!G95="",0,VLOOKUP('Flächen u. Kulturen'!G95,'#Boden'!$B$26:$C$29,'#Boden'!$C$1,FALSE))</f>
        <v>1</v>
      </c>
      <c r="R90" s="875">
        <f t="shared" si="64"/>
        <v>1</v>
      </c>
      <c r="S90" s="875">
        <f t="shared" si="65"/>
        <v>1</v>
      </c>
      <c r="T90" s="875">
        <f>IF('Flächen u. Kulturen'!H95="",0,VLOOKUP('Flächen u. Kulturen'!H95,'#Boden'!$B$23:$C$25,'#Boden'!$C$1,FALSE))</f>
        <v>2</v>
      </c>
      <c r="U90" s="875" t="str">
        <f>'Flächen u. Kulturen'!E95</f>
        <v>x</v>
      </c>
      <c r="V90" s="938">
        <f>IF('Flächen u. Kulturen'!Q95="",0,_xlfn.NUMBERVALUE('Flächen u. Kulturen'!Q95))</f>
        <v>0</v>
      </c>
      <c r="W90" s="938">
        <f>IF('Flächen u. Kulturen'!R95="",0,_xlfn.NUMBERVALUE('Flächen u. Kulturen'!R95))</f>
        <v>0</v>
      </c>
      <c r="X90" s="875">
        <f>IF('Flächen u. Kulturen'!T95="",0,VLOOKUP('Flächen u. Kulturen'!T95,'#Boden'!$B$30:$C$32,'#Boden'!$C$1,FALSE))</f>
        <v>1</v>
      </c>
      <c r="Y90" s="875">
        <f>IF('Flächen u. Kulturen'!P95="",0,VLOOKUP('Flächen u. Kulturen'!P95,Kulturen[[HF]:[Berechnungsgruppe]],'#Frucht'!$N$1,FALSE))</f>
        <v>0</v>
      </c>
      <c r="Z90" s="875">
        <f t="shared" si="66"/>
        <v>2</v>
      </c>
      <c r="AA90" s="875">
        <f>IF('Flächen u. Kulturen'!P95="",0,VLOOKUP('Flächen u. Kulturen'!P95,Kulturen[[HF]:[Berechnungsgruppe]],'#Frucht'!$V$1,FALSE))</f>
        <v>0</v>
      </c>
      <c r="AB90" s="875">
        <f>IF(N90=1,VLOOKUP('Flächen u. Kulturen'!P95,Kulturen[[HF]:[Ernteprodukt]],'#Frucht'!$I$1,FALSE),4)</f>
        <v>4</v>
      </c>
      <c r="AC90" s="921">
        <f>IF('Flächen u. Kulturen'!J95="",0,VLOOKUP('Flächen u. Kulturen'!J95,Kulturen[[HF]:[Berechnungsgruppe]],'#Frucht'!$G$1,FALSE))</f>
        <v>90</v>
      </c>
      <c r="AD90" s="921">
        <f>IF('Flächen u. Kulturen'!P95="",0,VLOOKUP('Flächen u. Kulturen'!P95,Kulturen[[HF]:[Berechnungsgruppe]],'#Frucht'!$G$1,FALSE))</f>
        <v>90</v>
      </c>
      <c r="AE90" s="938">
        <f>IF('Flächen u. Kulturen'!P95="",0,VLOOKUP('Flächen u. Kulturen'!P95,Kulturen[[HF]:[SollwertMinusNfix]],'#Frucht'!$X$1,FALSE))</f>
        <v>0</v>
      </c>
      <c r="AF90" s="875">
        <f>IF('Flächen u. Kulturen'!L95="",0,VLOOKUP('Flächen u. Kulturen'!L95,Nebenkultur[[Nebenkultur]:[Berechnungsschema]],'#Zweitfr'!$G$1,FALSE))</f>
        <v>0</v>
      </c>
      <c r="AG90" s="875">
        <f>IF('Flächen u. Kulturen'!L95="",0,VLOOKUP('Flächen u. Kulturen'!L95,'#Zweitfr'!$D$8:$Q$27,'#Zweitfr'!$Q$1,FALSE))</f>
        <v>0</v>
      </c>
      <c r="AH90" s="875">
        <f>IF('Flächen u. Kulturen'!M95="",0,VLOOKUP('Flächen u. Kulturen'!M95,'#Boden'!$G$17:$H$21,2,FALSE))</f>
        <v>1</v>
      </c>
      <c r="AI90" s="875">
        <f>IF('Flächen u. Kulturen'!N95="",0,VLOOKUP('Flächen u. Kulturen'!N95,'#Boden'!$G$22:$H$24,'#Boden'!$H$1,FALSE))</f>
        <v>1</v>
      </c>
      <c r="AJ90" s="938">
        <f>IF('Flächen u. Kulturen'!O95="",0,_xlfn.NUMBERVALUE('Flächen u. Kulturen'!O95))</f>
        <v>0</v>
      </c>
      <c r="AK90" s="938">
        <f>IF('Flächen u. Kulturen'!L95="",0,VLOOKUP('Flächen u. Kulturen'!L95,Nebenkultur[[Nebenkultur]:[Legum. Zwischenfr.]],'#Zweitfr'!$P$1,FALSE))</f>
        <v>0</v>
      </c>
      <c r="AL90" s="875">
        <f>IF('Flächen u. Kulturen'!P95="",0,VLOOKUP('Flächen u. Kulturen'!P95,Kulturen[[HF]:[Berechnungsgruppe]],'#Frucht'!$Q$1,FALSE))</f>
        <v>0</v>
      </c>
      <c r="AM90" s="875">
        <f>IF('Flächen u. Kulturen'!P95="",0,VLOOKUP('Flächen u. Kulturen'!P95,Kulturen[[HF]:[Berechnungsgruppe]],'#Frucht'!$M$1,FALSE))</f>
        <v>0</v>
      </c>
      <c r="AN90" s="875">
        <f>IF('Flächen u. Kulturen'!P95="",1,VLOOKUP('Flächen u. Kulturen'!P95,Kulturen[[HF]:[Berechnungsgruppe]],'#Frucht'!$R$1,FALSE))</f>
        <v>10</v>
      </c>
      <c r="AO90" s="875">
        <f>IF('Flächen u. Kulturen'!P95="",0,VLOOKUP('Flächen u. Kulturen'!P95,Kulturen[[HF]:[Berechnungsgruppe]],'#Frucht'!$S$1,FALSE))</f>
        <v>0</v>
      </c>
      <c r="AP90" s="875">
        <f>IF('Flächen u. Kulturen'!P95="",0,VLOOKUP('Flächen u. Kulturen'!P95,Kulturen[[HF]:[Berechnungsgruppe]],'#Frucht'!$T$1,FALSE))</f>
        <v>0</v>
      </c>
      <c r="AQ90" s="938">
        <f t="shared" si="46"/>
        <v>0</v>
      </c>
      <c r="AR90" s="875">
        <f t="shared" si="47"/>
        <v>0</v>
      </c>
      <c r="AS90" s="938">
        <f t="shared" si="48"/>
        <v>0</v>
      </c>
      <c r="AT90" s="875">
        <f>IF(N90=1,'Flächen u. Kulturen'!S95*-1,"--")</f>
        <v>0</v>
      </c>
      <c r="AU90" s="938">
        <f>IF(OR(N90=2,'Flächen u. Kulturen'!I95=""),"--",IF(N90=3,VLOOKUP('Flächen u. Kulturen'!I95,'#Boden'!$B$9:$E$15,'#Boden'!$D$1,FALSE),VLOOKUP('Flächen u. Kulturen'!I95,'#Boden'!$B$9:$E$15,'#Boden'!$E$1,FALSE)))</f>
        <v>0</v>
      </c>
      <c r="AV90" s="938">
        <f>IF(N90=1,IF('Flächen u. Kulturen'!J95="",0,VLOOKUP('Flächen u. Kulturen'!J95,Kulturen[[HF]:[Berechnungsgruppe]],'#Frucht'!$U$1,FALSE)*-1),"--")</f>
        <v>0</v>
      </c>
      <c r="AW90" s="875">
        <f t="shared" si="49"/>
        <v>0</v>
      </c>
      <c r="AX90" s="875">
        <f>IF('Flächen u. Kulturen'!K95="",0,'Flächen u. Kulturen'!K95*-0.1)</f>
        <v>0</v>
      </c>
      <c r="AY90" s="875">
        <f>IF(N90&lt;3,'#orgDung'!AC99*0.1*-1,"--")</f>
        <v>0</v>
      </c>
      <c r="AZ90" s="31" t="str">
        <f>IF(AND('#orgDung'!J99&lt;&gt;2,'#orgDung'!F99=1),('#orgDung'!V99+'#minDung'!O96)*-1,"--")</f>
        <v>--</v>
      </c>
      <c r="BA90" s="875">
        <f t="shared" si="67"/>
        <v>0</v>
      </c>
      <c r="BB90" s="938">
        <f>IF(R90=2,0,'Flächen u. Kulturen'!V95*-1)</f>
        <v>0</v>
      </c>
      <c r="BC90" s="875">
        <f t="shared" si="68"/>
        <v>0</v>
      </c>
      <c r="BD90" s="127">
        <f>'#orgDung'!W99*-1</f>
        <v>0</v>
      </c>
      <c r="BE90" s="910">
        <f>'#orgDung'!AA99*-1</f>
        <v>0</v>
      </c>
      <c r="BF90" s="875">
        <f>'#orgDung'!Z99*-1</f>
        <v>0</v>
      </c>
      <c r="BG90" s="938">
        <f t="shared" si="60"/>
        <v>0</v>
      </c>
      <c r="BH90" s="875">
        <f>'#Kürzungen'!AS114*-1</f>
        <v>0</v>
      </c>
      <c r="BI90" s="875">
        <f t="shared" si="50"/>
        <v>0</v>
      </c>
      <c r="BJ90" s="910">
        <f t="shared" si="51"/>
        <v>0</v>
      </c>
      <c r="BK90" s="875">
        <f>'#minDung'!P96</f>
        <v>0</v>
      </c>
      <c r="BL90" s="938">
        <f t="shared" si="61"/>
        <v>0</v>
      </c>
      <c r="BM90" s="938">
        <f t="shared" si="52"/>
        <v>0</v>
      </c>
      <c r="BN90" s="875">
        <f>IF('Flächen u. Kulturen'!P95="",0,VLOOKUP('Flächen u. Kulturen'!P95,Kulturen[[HF]:[Berechnungsgruppe]],'#Frucht'!$K$1,FALSE))</f>
        <v>0</v>
      </c>
      <c r="BO90" s="875">
        <f>IF('Flächen u. Kulturen'!P95="",0,VLOOKUP('Flächen u. Kulturen'!P95,Kulturen[[HF]:[Berechnungsgruppe]],'#Frucht'!$L$1,FALSE))</f>
        <v>0</v>
      </c>
      <c r="BP90" s="875">
        <f>IF('Flächen u. Kulturen'!L95="",0,VLOOKUP('Flächen u. Kulturen'!L95,Nebenkultur[[Nebenkultur]:[Legum. Zwischenfr.]],'#Zweitfr'!$H$1,FALSE))</f>
        <v>0</v>
      </c>
      <c r="BQ90" s="938">
        <f>IF(N90=3,W90*BO90,IF('Flächen u. Kulturen'!T95='#Boden'!$B$32,V90*BN90,V90*BO90))</f>
        <v>0</v>
      </c>
      <c r="BR90" s="938">
        <f t="shared" si="53"/>
        <v>0</v>
      </c>
      <c r="BS90" s="875">
        <f t="shared" si="69"/>
        <v>0</v>
      </c>
      <c r="BT90" s="875">
        <f>IF('Flächen u. Kulturen'!F95="",0,IF(N90=3,VLOOKUP('Flächen u. Kulturen'!F95,'#Boden'!$G$4:$J$8,'#Boden'!$J$1,FALSE),VLOOKUP('Flächen u. Kulturen'!F95,'#Boden'!$G$4:$J$8,'#Boden'!$I$1,FALSE)))</f>
        <v>0</v>
      </c>
      <c r="BU90" s="41">
        <f t="shared" si="70"/>
        <v>0</v>
      </c>
      <c r="BV90" s="875">
        <f t="shared" si="71"/>
        <v>0</v>
      </c>
      <c r="BW90" s="938" t="str">
        <f t="shared" si="62"/>
        <v/>
      </c>
      <c r="BX90" s="875">
        <f>'#orgDung'!T99*-1</f>
        <v>0</v>
      </c>
      <c r="BY90" s="875">
        <f t="shared" si="54"/>
        <v>0</v>
      </c>
      <c r="BZ90" s="938" t="str">
        <f>IF(U90&lt;&gt;"x",0,IF(P90&lt;4,"",(BW90+BX90-'#minDung'!N96)*-1))</f>
        <v/>
      </c>
      <c r="CB90" s="938">
        <f>IF(AND(AF90=70,U90="x"),'Flächen u. Kulturen'!A95,1000)</f>
        <v>1000</v>
      </c>
      <c r="CC90" s="875" t="str">
        <f>IF(AF90=70,VLOOKUP('Flächen u. Kulturen'!L95,Nebenkultur[[Nebenkultur]:[Legum. Zwischenfr.]],'#Zweitfr'!$I$1,FALSE),"--")</f>
        <v>--</v>
      </c>
      <c r="CD90" s="875" t="str">
        <f>IF(AF90=70,VLOOKUP('Flächen u. Kulturen'!L95,Nebenkultur[[Nebenkultur]:[Legum. Zwischenfr.]],'#Zweitfr'!$L$1,FALSE),"--")</f>
        <v>--</v>
      </c>
      <c r="CE90" s="875" t="str">
        <f>IF(AF90=70,VLOOKUP('Flächen u. Kulturen'!L95,Nebenkultur[[Nebenkultur]:[Legum. Zwischenfr.]],'#Zweitfr'!$M$1,FALSE),"--")</f>
        <v>--</v>
      </c>
      <c r="CF90" s="875" t="str">
        <f>IF(AF90=70,VLOOKUP('Flächen u. Kulturen'!L95,Nebenkultur[[Nebenkultur]:[Legum. Zwischenfr.]],'#Zweitfr'!$N$1,FALSE),"--")</f>
        <v>--</v>
      </c>
      <c r="CG90" s="875" t="str">
        <f>IF(AF90=70,VLOOKUP('Flächen u. Kulturen'!L95,Nebenkultur[[Nebenkultur]:[Legum. Zwischenfr.]],'#Zweitfr'!$O$1,FALSE),"--")</f>
        <v>--</v>
      </c>
      <c r="CH90" s="875" t="str">
        <f t="shared" si="55"/>
        <v>--</v>
      </c>
      <c r="CI90" s="938">
        <f>IF('Flächen u. Kulturen'!L95="",0,VLOOKUP('Flächen u. Kulturen'!L95,Nebenkultur[[Nebenkultur]:[Legum. Zwischenfr.]],'#Zweitfr'!$J$1,FALSE))</f>
        <v>0</v>
      </c>
      <c r="CJ90" s="875">
        <f t="shared" si="56"/>
        <v>0</v>
      </c>
      <c r="CK90" s="890">
        <f t="shared" si="57"/>
        <v>0</v>
      </c>
      <c r="CL90" s="938">
        <f>IF(AND(R90=1,AF90=70),'Flächen u. Kulturen'!W95*-1,0)</f>
        <v>0</v>
      </c>
      <c r="CM90" s="875">
        <f>'#orgDung'!AE99*-1</f>
        <v>0</v>
      </c>
      <c r="CN90" s="875">
        <f t="shared" si="72"/>
        <v>0</v>
      </c>
      <c r="CO90" s="875">
        <f t="shared" si="73"/>
        <v>0</v>
      </c>
      <c r="CP90" s="875">
        <f>'#Kürzungen'!AS215*-1</f>
        <v>0</v>
      </c>
      <c r="CQ90" s="875">
        <f t="shared" si="74"/>
        <v>0</v>
      </c>
      <c r="CR90" s="875">
        <f t="shared" si="75"/>
        <v>0</v>
      </c>
      <c r="CS90" s="875">
        <f>'#minDung'!R96</f>
        <v>0</v>
      </c>
      <c r="CT90" s="938">
        <f t="shared" si="63"/>
        <v>0</v>
      </c>
      <c r="CU90" s="52" t="str">
        <f>'#Kürzungen'!AQ215</f>
        <v xml:space="preserve"> </v>
      </c>
      <c r="CW90" s="247">
        <f>IF('Flächen u. Kulturen'!D95="",0,IF(ISNUMBER('Flächen u. Kulturen'!D95)=TRUE,2,1))</f>
        <v>0</v>
      </c>
      <c r="CX90" s="247">
        <f>IF('Flächen u. Kulturen'!E95="",0,COUNTIF('#Boden'!$B$47,'Flächen u. Kulturen'!E95)+1)</f>
        <v>2</v>
      </c>
      <c r="CY90" s="247">
        <f>IF('Flächen u. Kulturen'!F95="",0,COUNTIF('#Boden'!$G$4:$G$8,'Flächen u. Kulturen'!F95)+1)</f>
        <v>2</v>
      </c>
      <c r="CZ90" s="247">
        <f>IF('Flächen u. Kulturen'!G95="",0,COUNTIF('#Boden'!$B$26:$B$29,'Flächen u. Kulturen'!G95)+1)</f>
        <v>2</v>
      </c>
      <c r="DA90" s="247">
        <f>IF('Flächen u. Kulturen'!H95="",0,COUNTIF('#Boden'!$B$26:$B$29,'Flächen u. Kulturen'!H95)+1)</f>
        <v>2</v>
      </c>
      <c r="DB90" s="247">
        <f>IF('Flächen u. Kulturen'!I95="",0,COUNTIF('#Boden'!$B$9:$B$15,'Flächen u. Kulturen'!I95)+1)</f>
        <v>2</v>
      </c>
      <c r="DC90" s="247">
        <f>IF('Flächen u. Kulturen'!J95="",0,COUNTIF(Kulturen[HF],'Flächen u. Kulturen'!J95)+1)</f>
        <v>2</v>
      </c>
      <c r="DD90" s="247">
        <f>IF('Flächen u. Kulturen'!L95="",0,COUNTIF(Nebenkultur[Nebenkultur],'Flächen u. Kulturen'!L95)+1)</f>
        <v>2</v>
      </c>
      <c r="DE90" s="247">
        <f>IF('Flächen u. Kulturen'!M95="",0,COUNTIF('#Boden'!$G$17:$G$21,'Flächen u. Kulturen'!M95)+1)</f>
        <v>2</v>
      </c>
      <c r="DF90" s="247">
        <f>IF('Flächen u. Kulturen'!N95="",0,COUNTIF('#Boden'!$G$22:$G$24,'Flächen u. Kulturen'!N95)+1)</f>
        <v>2</v>
      </c>
      <c r="DG90" s="247">
        <f>IF('Flächen u. Kulturen'!P95="",0,COUNTIF(Kulturen[HF],'Flächen u. Kulturen'!P95)+1)</f>
        <v>2</v>
      </c>
      <c r="DH90" s="247">
        <f>IF('Flächen u. Kulturen'!T95="",0,COUNTIF('#Boden'!$B$30:$B$32,'Flächen u. Kulturen'!T95)+1)</f>
        <v>2</v>
      </c>
      <c r="DI90" s="247">
        <f>IF('Flächen u. Kulturen'!K95="",0,IF(ISNUMBER('Flächen u. Kulturen'!K95)=TRUE,2,1))</f>
        <v>0</v>
      </c>
      <c r="DJ90" s="247">
        <f>IF('Flächen u. Kulturen'!U95="",0,IF(ISNUMBER('Flächen u. Kulturen'!U95)=TRUE,2,1))</f>
        <v>0</v>
      </c>
      <c r="DK90" s="247">
        <f>IF('Flächen u. Kulturen'!V95="",0,IF(ISNUMBER('Flächen u. Kulturen'!V95)=TRUE,2,1))</f>
        <v>0</v>
      </c>
      <c r="DL90" s="247">
        <f>IF('Flächen u. Kulturen'!W95="",0,IF(ISNUMBER('Flächen u. Kulturen'!W95)=TRUE,2,1))</f>
        <v>0</v>
      </c>
      <c r="DM90" s="247">
        <f t="shared" si="76"/>
        <v>0</v>
      </c>
      <c r="DN90" s="247" t="s">
        <v>344</v>
      </c>
      <c r="DO90" s="247">
        <f>IF(U90&lt;&gt;"x","",IF(OR('Flächen u. Kulturen'!B95="",'Flächen u. Kulturen'!C95="",'Flächen u. Kulturen'!D95="",'Flächen u. Kulturen'!D95=0,'Flächen u. Kulturen'!F95="",'Flächen u. Kulturen'!F95='#Boden'!$G$4,'Flächen u. Kulturen'!G95="",'Flächen u. Kulturen'!G95='#Boden'!$B$26,'Flächen u. Kulturen'!H95="",'Flächen u. Kulturen'!H95='#Boden'!$B$23,AND(N90&lt;&gt;2,OR('Flächen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Kulturen'!Q95="",'#BerechnungDBE'!N90&lt;3),AND('Flächen u. Kulturen'!R95="",'#BerechnungDBE'!N90=3),AND(N90=1,AL90&gt;0,'Flächen u. Kulturen'!S95=""),AND(N90=1,OR('Flächen u. Kulturen'!T95="",'Flächen u. Kulturen'!T95='#Boden'!$B$30)),AND('#BerechnungDBE'!AF90=70,OR('Flächen u. Kulturen'!N95="",'Flächen u. Kulturen'!N95='#Boden'!$G$22,'Flächen u. Kulturen'!O95="")),AND('#BerechnungDBE'!AF90=80,OR('Flächen u. Kulturen'!M95="",'Flächen u. Kulturen'!M95='#Boden'!$G$17,'Flächen u. Kulturen'!N95="",'Flächen u. Kulturen'!N95='#Boden'!$G$22))),$DO$4,""))</f>
        <v>1</v>
      </c>
      <c r="DP90" s="247" t="str">
        <f>IF(U90&lt;&gt;"x","",IF(OR(LEFT('Flächen u. Kulturen'!J95,2)=" +",LEFT('Flächen u. Kulturen'!L95,2)=" +",LEFT('Flächen u. Kulturen'!P95,2)=" +"),$DP$4,""))</f>
        <v/>
      </c>
      <c r="DQ90" s="428" t="str">
        <f t="shared" si="58"/>
        <v/>
      </c>
      <c r="DR90" s="938" t="str">
        <f t="shared" si="59"/>
        <v/>
      </c>
      <c r="DS90" s="938" t="str">
        <f>IF('Flächen u. Kulturen'!X95="","",ROW('Flächen u. Kulturen'!X95))</f>
        <v/>
      </c>
    </row>
    <row r="91" spans="1:123" s="875" customFormat="1" x14ac:dyDescent="0.2">
      <c r="A91" s="875" t="str">
        <f>IF('Daten aus 2021'!H93="",'#Boden'!$B$26,IF('Daten aus 2021'!H93='#Boden'!$B$39,IF('Daten aus 2021'!F93='#Boden'!$B$29,'#Boden'!$B$29,IF('Daten aus 2021'!K93='#Boden'!$B$34,'#Boden'!$B$28,'#Boden'!$B$27)),'Daten aus 2021'!F93))</f>
        <v xml:space="preserve"> --</v>
      </c>
      <c r="B91" s="875" t="str">
        <f>IF('Daten aus 2021'!H93='#Boden'!$B$39,IF('Daten aus 2021'!L93='#Boden'!$B$61,'#Boden'!$B$11,'Daten aus 2021'!L93),IF('Daten aus 2021'!P93='#Boden'!$B$58,'#Boden'!$B$11,IF('Daten aus 2021'!P93='#Boden'!$B$57,'#Boden'!$B$10,'#Boden'!$B$9)))</f>
        <v xml:space="preserve"> --         </v>
      </c>
      <c r="C91" s="875" t="str">
        <f>IF('Daten aus 2021'!N93="","",VLOOKUP('Daten aus 2021'!N93,'#Boden'!$B$68:$C$89,2,FALSE))</f>
        <v/>
      </c>
      <c r="D91" s="875" t="str">
        <f>IF('Daten aus 2021'!M93="","",VLOOKUP('Daten aus 2021'!M93,'#Boden'!$D$69:$E$73,2,FALSE))</f>
        <v/>
      </c>
      <c r="E91" s="938" t="str">
        <f>IF(OR(C91='#Boden'!$C$68,C91='#Boden'!$C$70),C91,CONCATENATE(C91,D91))</f>
        <v/>
      </c>
      <c r="F91" s="882" t="str">
        <f>IFERROR(IF('Daten aus 2021'!H93="",'#Frucht'!$D$8,IF('Daten aus 2021'!H93='#Boden'!$B$39,E91,IF('Daten aus 2021'!H93='#Boden'!$B$38,IF(CONCATENATE(" ",'Daten aus 2021'!W93)=$B$2,VLOOKUP($B$3,'#Frucht'!$A$8:$D$372,4,FALSE),VLOOKUP(CONCATENATE(" ",'Daten aus 2021'!W93),'#Frucht'!$A$8:$D$372,4,FALSE)),IF(OR(LEFT('Daten aus 2021'!Q93,5)=" *10 ",LEFT('Daten aus 2021'!Q93,5)=" *11 ",LEFT('Daten aus 2021'!Q93,5)=" *12 ",LEFT('Daten aus 2021'!Q93,5)=" *13 ",LEFT('Daten aus 2021'!Q93,5)=" *14 ",LEFT('Daten aus 2021'!Q93,5)=" *15 "),VLOOKUP(RIGHT('Daten aus 2021'!Q93,LEN('Daten aus 2021'!Q93)-4),'#Frucht'!$A$8:$D$372,4,FALSE),IF(LEFT('Daten aus 2021'!Q93,2)=" *",VLOOKUP(RIGHT('Daten aus 2021'!Q93,LEN('Daten aus 2021'!Q93)-3),'#Frucht'!$A$8:$D$372,4,FALSE),VLOOKUP('Daten aus 2021'!Q93,'#Frucht'!$A$8:$D$372,4,FALSE)))))),'#Frucht'!$D$8)</f>
        <v xml:space="preserve"> --  </v>
      </c>
      <c r="G91" s="127"/>
      <c r="H91" s="31"/>
      <c r="J91" s="938" t="str">
        <f>IF(OR(N91=3,$K$3=0,'Flächen u. Kulturen'!P96=""),"",IF(VLOOKUP('Flächen u. Kulturen'!P96,Kulturen[[HF]:[780]],'#BerechnungDBE'!$K$3,FALSE)=".","",VLOOKUP('Flächen u. Kulturen'!P96,Kulturen[[HF]:[780]],'#BerechnungDBE'!$K$3,FALSE)))</f>
        <v/>
      </c>
      <c r="K91" s="938" t="str">
        <f>IF(OR($K$3=0,'Flächen u. Kulturen'!P96=""),"",IF(N91=3,IF(VLOOKUP('Flächen u. Kulturen'!P96,Kulturen[[HF]:[780]],'#BerechnungDBE'!$K$3,FALSE)=".","",VLOOKUP('Flächen u. Kulturen'!P96,Kulturen[[HF]:[780]],'#BerechnungDBE'!$K$3,FALSE)),""))</f>
        <v/>
      </c>
      <c r="L91" s="367">
        <f>IF('Flächen u. Kulturen'!D96="",0,'Flächen u. Kulturen'!D96)</f>
        <v>0</v>
      </c>
      <c r="M91" s="693">
        <f>IF('Flächen u. Kulturen'!J96="",0,VLOOKUP('Flächen u. Kulturen'!J96,Kulturen[[HF]:[Berechnungsgruppe]],'#Frucht'!$W$1,FALSE))</f>
        <v>1</v>
      </c>
      <c r="N91" s="693">
        <f>IF('Flächen u. Kulturen'!P96="",0,VLOOKUP('Flächen u. Kulturen'!P96,Kulturen[[HF]:[Berechnungsgruppe]],'#Frucht'!$W$1,FALSE))</f>
        <v>1</v>
      </c>
      <c r="O91" s="875">
        <f>IF(N91&lt;&gt;2,N91,IF('Flächen u. Kulturen'!J96='Flächen u. Kulturen'!P96,2,1))</f>
        <v>1</v>
      </c>
      <c r="P91" s="875">
        <f>IF('Flächen u. Kulturen'!F96="",0,VLOOKUP('Flächen u. Kulturen'!F96,'#Boden'!$G$4:$H$8,'#Boden'!$H$1,FALSE))</f>
        <v>1</v>
      </c>
      <c r="Q91" s="875">
        <f>IF('Flächen u. Kulturen'!G96="",0,VLOOKUP('Flächen u. Kulturen'!G96,'#Boden'!$B$26:$C$29,'#Boden'!$C$1,FALSE))</f>
        <v>1</v>
      </c>
      <c r="R91" s="875">
        <f t="shared" si="64"/>
        <v>1</v>
      </c>
      <c r="S91" s="875">
        <f t="shared" si="65"/>
        <v>1</v>
      </c>
      <c r="T91" s="875">
        <f>IF('Flächen u. Kulturen'!H96="",0,VLOOKUP('Flächen u. Kulturen'!H96,'#Boden'!$B$23:$C$25,'#Boden'!$C$1,FALSE))</f>
        <v>2</v>
      </c>
      <c r="U91" s="875" t="str">
        <f>'Flächen u. Kulturen'!E96</f>
        <v>x</v>
      </c>
      <c r="V91" s="938">
        <f>IF('Flächen u. Kulturen'!Q96="",0,_xlfn.NUMBERVALUE('Flächen u. Kulturen'!Q96))</f>
        <v>0</v>
      </c>
      <c r="W91" s="938">
        <f>IF('Flächen u. Kulturen'!R96="",0,_xlfn.NUMBERVALUE('Flächen u. Kulturen'!R96))</f>
        <v>0</v>
      </c>
      <c r="X91" s="875">
        <f>IF('Flächen u. Kulturen'!T96="",0,VLOOKUP('Flächen u. Kulturen'!T96,'#Boden'!$B$30:$C$32,'#Boden'!$C$1,FALSE))</f>
        <v>1</v>
      </c>
      <c r="Y91" s="875">
        <f>IF('Flächen u. Kulturen'!P96="",0,VLOOKUP('Flächen u. Kulturen'!P96,Kulturen[[HF]:[Berechnungsgruppe]],'#Frucht'!$N$1,FALSE))</f>
        <v>0</v>
      </c>
      <c r="Z91" s="875">
        <f t="shared" si="66"/>
        <v>2</v>
      </c>
      <c r="AA91" s="875">
        <f>IF('Flächen u. Kulturen'!P96="",0,VLOOKUP('Flächen u. Kulturen'!P96,Kulturen[[HF]:[Berechnungsgruppe]],'#Frucht'!$V$1,FALSE))</f>
        <v>0</v>
      </c>
      <c r="AB91" s="875">
        <f>IF(N91=1,VLOOKUP('Flächen u. Kulturen'!P96,Kulturen[[HF]:[Ernteprodukt]],'#Frucht'!$I$1,FALSE),4)</f>
        <v>4</v>
      </c>
      <c r="AC91" s="921">
        <f>IF('Flächen u. Kulturen'!J96="",0,VLOOKUP('Flächen u. Kulturen'!J96,Kulturen[[HF]:[Berechnungsgruppe]],'#Frucht'!$G$1,FALSE))</f>
        <v>90</v>
      </c>
      <c r="AD91" s="921">
        <f>IF('Flächen u. Kulturen'!P96="",0,VLOOKUP('Flächen u. Kulturen'!P96,Kulturen[[HF]:[Berechnungsgruppe]],'#Frucht'!$G$1,FALSE))</f>
        <v>90</v>
      </c>
      <c r="AE91" s="938">
        <f>IF('Flächen u. Kulturen'!P96="",0,VLOOKUP('Flächen u. Kulturen'!P96,Kulturen[[HF]:[SollwertMinusNfix]],'#Frucht'!$X$1,FALSE))</f>
        <v>0</v>
      </c>
      <c r="AF91" s="875">
        <f>IF('Flächen u. Kulturen'!L96="",0,VLOOKUP('Flächen u. Kulturen'!L96,Nebenkultur[[Nebenkultur]:[Berechnungsschema]],'#Zweitfr'!$G$1,FALSE))</f>
        <v>0</v>
      </c>
      <c r="AG91" s="875">
        <f>IF('Flächen u. Kulturen'!L96="",0,VLOOKUP('Flächen u. Kulturen'!L96,'#Zweitfr'!$D$8:$Q$27,'#Zweitfr'!$Q$1,FALSE))</f>
        <v>0</v>
      </c>
      <c r="AH91" s="875">
        <f>IF('Flächen u. Kulturen'!M96="",0,VLOOKUP('Flächen u. Kulturen'!M96,'#Boden'!$G$17:$H$21,2,FALSE))</f>
        <v>1</v>
      </c>
      <c r="AI91" s="875">
        <f>IF('Flächen u. Kulturen'!N96="",0,VLOOKUP('Flächen u. Kulturen'!N96,'#Boden'!$G$22:$H$24,'#Boden'!$H$1,FALSE))</f>
        <v>1</v>
      </c>
      <c r="AJ91" s="938">
        <f>IF('Flächen u. Kulturen'!O96="",0,_xlfn.NUMBERVALUE('Flächen u. Kulturen'!O96))</f>
        <v>0</v>
      </c>
      <c r="AK91" s="938">
        <f>IF('Flächen u. Kulturen'!L96="",0,VLOOKUP('Flächen u. Kulturen'!L96,Nebenkultur[[Nebenkultur]:[Legum. Zwischenfr.]],'#Zweitfr'!$P$1,FALSE))</f>
        <v>0</v>
      </c>
      <c r="AL91" s="875">
        <f>IF('Flächen u. Kulturen'!P96="",0,VLOOKUP('Flächen u. Kulturen'!P96,Kulturen[[HF]:[Berechnungsgruppe]],'#Frucht'!$Q$1,FALSE))</f>
        <v>0</v>
      </c>
      <c r="AM91" s="875">
        <f>IF('Flächen u. Kulturen'!P96="",0,VLOOKUP('Flächen u. Kulturen'!P96,Kulturen[[HF]:[Berechnungsgruppe]],'#Frucht'!$M$1,FALSE))</f>
        <v>0</v>
      </c>
      <c r="AN91" s="875">
        <f>IF('Flächen u. Kulturen'!P96="",1,VLOOKUP('Flächen u. Kulturen'!P96,Kulturen[[HF]:[Berechnungsgruppe]],'#Frucht'!$R$1,FALSE))</f>
        <v>10</v>
      </c>
      <c r="AO91" s="875">
        <f>IF('Flächen u. Kulturen'!P96="",0,VLOOKUP('Flächen u. Kulturen'!P96,Kulturen[[HF]:[Berechnungsgruppe]],'#Frucht'!$S$1,FALSE))</f>
        <v>0</v>
      </c>
      <c r="AP91" s="875">
        <f>IF('Flächen u. Kulturen'!P96="",0,VLOOKUP('Flächen u. Kulturen'!P96,Kulturen[[HF]:[Berechnungsgruppe]],'#Frucht'!$T$1,FALSE))</f>
        <v>0</v>
      </c>
      <c r="AQ91" s="938">
        <f t="shared" si="46"/>
        <v>0</v>
      </c>
      <c r="AR91" s="875">
        <f t="shared" si="47"/>
        <v>0</v>
      </c>
      <c r="AS91" s="938">
        <f t="shared" si="48"/>
        <v>0</v>
      </c>
      <c r="AT91" s="875">
        <f>IF(N91=1,'Flächen u. Kulturen'!S96*-1,"--")</f>
        <v>0</v>
      </c>
      <c r="AU91" s="938">
        <f>IF(OR(N91=2,'Flächen u. Kulturen'!I96=""),"--",IF(N91=3,VLOOKUP('Flächen u. Kulturen'!I96,'#Boden'!$B$9:$E$15,'#Boden'!$D$1,FALSE),VLOOKUP('Flächen u. Kulturen'!I96,'#Boden'!$B$9:$E$15,'#Boden'!$E$1,FALSE)))</f>
        <v>0</v>
      </c>
      <c r="AV91" s="938">
        <f>IF(N91=1,IF('Flächen u. Kulturen'!J96="",0,VLOOKUP('Flächen u. Kulturen'!J96,Kulturen[[HF]:[Berechnungsgruppe]],'#Frucht'!$U$1,FALSE)*-1),"--")</f>
        <v>0</v>
      </c>
      <c r="AW91" s="875">
        <f t="shared" si="49"/>
        <v>0</v>
      </c>
      <c r="AX91" s="875">
        <f>IF('Flächen u. Kulturen'!K96="",0,'Flächen u. Kulturen'!K96*-0.1)</f>
        <v>0</v>
      </c>
      <c r="AY91" s="875">
        <f>IF(N91&lt;3,'#orgDung'!AC100*0.1*-1,"--")</f>
        <v>0</v>
      </c>
      <c r="AZ91" s="31" t="str">
        <f>IF(AND('#orgDung'!J100&lt;&gt;2,'#orgDung'!F100=1),('#orgDung'!V100+'#minDung'!O97)*-1,"--")</f>
        <v>--</v>
      </c>
      <c r="BA91" s="875">
        <f t="shared" si="67"/>
        <v>0</v>
      </c>
      <c r="BB91" s="938">
        <f>IF(R91=2,0,'Flächen u. Kulturen'!V96*-1)</f>
        <v>0</v>
      </c>
      <c r="BC91" s="875">
        <f t="shared" si="68"/>
        <v>0</v>
      </c>
      <c r="BD91" s="127">
        <f>'#orgDung'!W100*-1</f>
        <v>0</v>
      </c>
      <c r="BE91" s="910">
        <f>'#orgDung'!AA100*-1</f>
        <v>0</v>
      </c>
      <c r="BF91" s="875">
        <f>'#orgDung'!Z100*-1</f>
        <v>0</v>
      </c>
      <c r="BG91" s="938">
        <f t="shared" si="60"/>
        <v>0</v>
      </c>
      <c r="BH91" s="875">
        <f>'#Kürzungen'!AS115*-1</f>
        <v>0</v>
      </c>
      <c r="BI91" s="875">
        <f t="shared" si="50"/>
        <v>0</v>
      </c>
      <c r="BJ91" s="910">
        <f t="shared" si="51"/>
        <v>0</v>
      </c>
      <c r="BK91" s="875">
        <f>'#minDung'!P97</f>
        <v>0</v>
      </c>
      <c r="BL91" s="938">
        <f t="shared" si="61"/>
        <v>0</v>
      </c>
      <c r="BM91" s="938">
        <f t="shared" si="52"/>
        <v>0</v>
      </c>
      <c r="BN91" s="875">
        <f>IF('Flächen u. Kulturen'!P96="",0,VLOOKUP('Flächen u. Kulturen'!P96,Kulturen[[HF]:[Berechnungsgruppe]],'#Frucht'!$K$1,FALSE))</f>
        <v>0</v>
      </c>
      <c r="BO91" s="875">
        <f>IF('Flächen u. Kulturen'!P96="",0,VLOOKUP('Flächen u. Kulturen'!P96,Kulturen[[HF]:[Berechnungsgruppe]],'#Frucht'!$L$1,FALSE))</f>
        <v>0</v>
      </c>
      <c r="BP91" s="875">
        <f>IF('Flächen u. Kulturen'!L96="",0,VLOOKUP('Flächen u. Kulturen'!L96,Nebenkultur[[Nebenkultur]:[Legum. Zwischenfr.]],'#Zweitfr'!$H$1,FALSE))</f>
        <v>0</v>
      </c>
      <c r="BQ91" s="938">
        <f>IF(N91=3,W91*BO91,IF('Flächen u. Kulturen'!T96='#Boden'!$B$32,V91*BN91,V91*BO91))</f>
        <v>0</v>
      </c>
      <c r="BR91" s="938">
        <f t="shared" si="53"/>
        <v>0</v>
      </c>
      <c r="BS91" s="875">
        <f t="shared" si="69"/>
        <v>0</v>
      </c>
      <c r="BT91" s="875">
        <f>IF('Flächen u. Kulturen'!F96="",0,IF(N91=3,VLOOKUP('Flächen u. Kulturen'!F96,'#Boden'!$G$4:$J$8,'#Boden'!$J$1,FALSE),VLOOKUP('Flächen u. Kulturen'!F96,'#Boden'!$G$4:$J$8,'#Boden'!$I$1,FALSE)))</f>
        <v>0</v>
      </c>
      <c r="BU91" s="41">
        <f t="shared" si="70"/>
        <v>0</v>
      </c>
      <c r="BV91" s="875">
        <f t="shared" si="71"/>
        <v>0</v>
      </c>
      <c r="BW91" s="938" t="str">
        <f t="shared" si="62"/>
        <v/>
      </c>
      <c r="BX91" s="875">
        <f>'#orgDung'!T100*-1</f>
        <v>0</v>
      </c>
      <c r="BY91" s="875">
        <f t="shared" si="54"/>
        <v>0</v>
      </c>
      <c r="BZ91" s="938" t="str">
        <f>IF(U91&lt;&gt;"x",0,IF(P91&lt;4,"",(BW91+BX91-'#minDung'!N97)*-1))</f>
        <v/>
      </c>
      <c r="CB91" s="938">
        <f>IF(AND(AF91=70,U91="x"),'Flächen u. Kulturen'!A96,1000)</f>
        <v>1000</v>
      </c>
      <c r="CC91" s="875" t="str">
        <f>IF(AF91=70,VLOOKUP('Flächen u. Kulturen'!L96,Nebenkultur[[Nebenkultur]:[Legum. Zwischenfr.]],'#Zweitfr'!$I$1,FALSE),"--")</f>
        <v>--</v>
      </c>
      <c r="CD91" s="875" t="str">
        <f>IF(AF91=70,VLOOKUP('Flächen u. Kulturen'!L96,Nebenkultur[[Nebenkultur]:[Legum. Zwischenfr.]],'#Zweitfr'!$L$1,FALSE),"--")</f>
        <v>--</v>
      </c>
      <c r="CE91" s="875" t="str">
        <f>IF(AF91=70,VLOOKUP('Flächen u. Kulturen'!L96,Nebenkultur[[Nebenkultur]:[Legum. Zwischenfr.]],'#Zweitfr'!$M$1,FALSE),"--")</f>
        <v>--</v>
      </c>
      <c r="CF91" s="875" t="str">
        <f>IF(AF91=70,VLOOKUP('Flächen u. Kulturen'!L96,Nebenkultur[[Nebenkultur]:[Legum. Zwischenfr.]],'#Zweitfr'!$N$1,FALSE),"--")</f>
        <v>--</v>
      </c>
      <c r="CG91" s="875" t="str">
        <f>IF(AF91=70,VLOOKUP('Flächen u. Kulturen'!L96,Nebenkultur[[Nebenkultur]:[Legum. Zwischenfr.]],'#Zweitfr'!$O$1,FALSE),"--")</f>
        <v>--</v>
      </c>
      <c r="CH91" s="875" t="str">
        <f t="shared" si="55"/>
        <v>--</v>
      </c>
      <c r="CI91" s="938">
        <f>IF('Flächen u. Kulturen'!L96="",0,VLOOKUP('Flächen u. Kulturen'!L96,Nebenkultur[[Nebenkultur]:[Legum. Zwischenfr.]],'#Zweitfr'!$J$1,FALSE))</f>
        <v>0</v>
      </c>
      <c r="CJ91" s="875">
        <f t="shared" si="56"/>
        <v>0</v>
      </c>
      <c r="CK91" s="890">
        <f t="shared" si="57"/>
        <v>0</v>
      </c>
      <c r="CL91" s="938">
        <f>IF(AND(R91=1,AF91=70),'Flächen u. Kulturen'!W96*-1,0)</f>
        <v>0</v>
      </c>
      <c r="CM91" s="875">
        <f>'#orgDung'!AE100*-1</f>
        <v>0</v>
      </c>
      <c r="CN91" s="875">
        <f t="shared" si="72"/>
        <v>0</v>
      </c>
      <c r="CO91" s="875">
        <f t="shared" si="73"/>
        <v>0</v>
      </c>
      <c r="CP91" s="875">
        <f>'#Kürzungen'!AS216*-1</f>
        <v>0</v>
      </c>
      <c r="CQ91" s="875">
        <f t="shared" si="74"/>
        <v>0</v>
      </c>
      <c r="CR91" s="875">
        <f t="shared" si="75"/>
        <v>0</v>
      </c>
      <c r="CS91" s="875">
        <f>'#minDung'!R97</f>
        <v>0</v>
      </c>
      <c r="CT91" s="938">
        <f t="shared" si="63"/>
        <v>0</v>
      </c>
      <c r="CU91" s="52" t="str">
        <f>'#Kürzungen'!AQ216</f>
        <v xml:space="preserve"> </v>
      </c>
      <c r="CW91" s="247">
        <f>IF('Flächen u. Kulturen'!D96="",0,IF(ISNUMBER('Flächen u. Kulturen'!D96)=TRUE,2,1))</f>
        <v>0</v>
      </c>
      <c r="CX91" s="247">
        <f>IF('Flächen u. Kulturen'!E96="",0,COUNTIF('#Boden'!$B$47,'Flächen u. Kulturen'!E96)+1)</f>
        <v>2</v>
      </c>
      <c r="CY91" s="247">
        <f>IF('Flächen u. Kulturen'!F96="",0,COUNTIF('#Boden'!$G$4:$G$8,'Flächen u. Kulturen'!F96)+1)</f>
        <v>2</v>
      </c>
      <c r="CZ91" s="247">
        <f>IF('Flächen u. Kulturen'!G96="",0,COUNTIF('#Boden'!$B$26:$B$29,'Flächen u. Kulturen'!G96)+1)</f>
        <v>2</v>
      </c>
      <c r="DA91" s="247">
        <f>IF('Flächen u. Kulturen'!H96="",0,COUNTIF('#Boden'!$B$26:$B$29,'Flächen u. Kulturen'!H96)+1)</f>
        <v>2</v>
      </c>
      <c r="DB91" s="247">
        <f>IF('Flächen u. Kulturen'!I96="",0,COUNTIF('#Boden'!$B$9:$B$15,'Flächen u. Kulturen'!I96)+1)</f>
        <v>2</v>
      </c>
      <c r="DC91" s="247">
        <f>IF('Flächen u. Kulturen'!J96="",0,COUNTIF(Kulturen[HF],'Flächen u. Kulturen'!J96)+1)</f>
        <v>2</v>
      </c>
      <c r="DD91" s="247">
        <f>IF('Flächen u. Kulturen'!L96="",0,COUNTIF(Nebenkultur[Nebenkultur],'Flächen u. Kulturen'!L96)+1)</f>
        <v>2</v>
      </c>
      <c r="DE91" s="247">
        <f>IF('Flächen u. Kulturen'!M96="",0,COUNTIF('#Boden'!$G$17:$G$21,'Flächen u. Kulturen'!M96)+1)</f>
        <v>2</v>
      </c>
      <c r="DF91" s="247">
        <f>IF('Flächen u. Kulturen'!N96="",0,COUNTIF('#Boden'!$G$22:$G$24,'Flächen u. Kulturen'!N96)+1)</f>
        <v>2</v>
      </c>
      <c r="DG91" s="247">
        <f>IF('Flächen u. Kulturen'!P96="",0,COUNTIF(Kulturen[HF],'Flächen u. Kulturen'!P96)+1)</f>
        <v>2</v>
      </c>
      <c r="DH91" s="247">
        <f>IF('Flächen u. Kulturen'!T96="",0,COUNTIF('#Boden'!$B$30:$B$32,'Flächen u. Kulturen'!T96)+1)</f>
        <v>2</v>
      </c>
      <c r="DI91" s="247">
        <f>IF('Flächen u. Kulturen'!K96="",0,IF(ISNUMBER('Flächen u. Kulturen'!K96)=TRUE,2,1))</f>
        <v>0</v>
      </c>
      <c r="DJ91" s="247">
        <f>IF('Flächen u. Kulturen'!U96="",0,IF(ISNUMBER('Flächen u. Kulturen'!U96)=TRUE,2,1))</f>
        <v>0</v>
      </c>
      <c r="DK91" s="247">
        <f>IF('Flächen u. Kulturen'!V96="",0,IF(ISNUMBER('Flächen u. Kulturen'!V96)=TRUE,2,1))</f>
        <v>0</v>
      </c>
      <c r="DL91" s="247">
        <f>IF('Flächen u. Kulturen'!W96="",0,IF(ISNUMBER('Flächen u. Kulturen'!W96)=TRUE,2,1))</f>
        <v>0</v>
      </c>
      <c r="DM91" s="247">
        <f t="shared" si="76"/>
        <v>0</v>
      </c>
      <c r="DN91" s="247" t="s">
        <v>344</v>
      </c>
      <c r="DO91" s="247">
        <f>IF(U91&lt;&gt;"x","",IF(OR('Flächen u. Kulturen'!B96="",'Flächen u. Kulturen'!C96="",'Flächen u. Kulturen'!D96="",'Flächen u. Kulturen'!D96=0,'Flächen u. Kulturen'!F96="",'Flächen u. Kulturen'!F96='#Boden'!$G$4,'Flächen u. Kulturen'!G96="",'Flächen u. Kulturen'!G96='#Boden'!$B$26,'Flächen u. Kulturen'!H96="",'Flächen u. Kulturen'!H96='#Boden'!$B$23,AND(N91&lt;&gt;2,OR('Flächen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Kulturen'!Q96="",'#BerechnungDBE'!N91&lt;3),AND('Flächen u. Kulturen'!R96="",'#BerechnungDBE'!N91=3),AND(N91=1,AL91&gt;0,'Flächen u. Kulturen'!S96=""),AND(N91=1,OR('Flächen u. Kulturen'!T96="",'Flächen u. Kulturen'!T96='#Boden'!$B$30)),AND('#BerechnungDBE'!AF91=70,OR('Flächen u. Kulturen'!N96="",'Flächen u. Kulturen'!N96='#Boden'!$G$22,'Flächen u. Kulturen'!O96="")),AND('#BerechnungDBE'!AF91=80,OR('Flächen u. Kulturen'!M96="",'Flächen u. Kulturen'!M96='#Boden'!$G$17,'Flächen u. Kulturen'!N96="",'Flächen u. Kulturen'!N96='#Boden'!$G$22))),$DO$4,""))</f>
        <v>1</v>
      </c>
      <c r="DP91" s="247" t="str">
        <f>IF(U91&lt;&gt;"x","",IF(OR(LEFT('Flächen u. Kulturen'!J96,2)=" +",LEFT('Flächen u. Kulturen'!L96,2)=" +",LEFT('Flächen u. Kulturen'!P96,2)=" +"),$DP$4,""))</f>
        <v/>
      </c>
      <c r="DQ91" s="428" t="str">
        <f t="shared" si="58"/>
        <v/>
      </c>
      <c r="DR91" s="938" t="str">
        <f t="shared" si="59"/>
        <v/>
      </c>
      <c r="DS91" s="938" t="str">
        <f>IF('Flächen u. Kulturen'!X96="","",ROW('Flächen u. Kulturen'!X96))</f>
        <v/>
      </c>
    </row>
    <row r="92" spans="1:123" s="875" customFormat="1" x14ac:dyDescent="0.2">
      <c r="A92" s="875" t="str">
        <f>IF('Daten aus 2021'!H94="",'#Boden'!$B$26,IF('Daten aus 2021'!H94='#Boden'!$B$39,IF('Daten aus 2021'!F94='#Boden'!$B$29,'#Boden'!$B$29,IF('Daten aus 2021'!K94='#Boden'!$B$34,'#Boden'!$B$28,'#Boden'!$B$27)),'Daten aus 2021'!F94))</f>
        <v xml:space="preserve"> --</v>
      </c>
      <c r="B92" s="875" t="str">
        <f>IF('Daten aus 2021'!H94='#Boden'!$B$39,IF('Daten aus 2021'!L94='#Boden'!$B$61,'#Boden'!$B$11,'Daten aus 2021'!L94),IF('Daten aus 2021'!P94='#Boden'!$B$58,'#Boden'!$B$11,IF('Daten aus 2021'!P94='#Boden'!$B$57,'#Boden'!$B$10,'#Boden'!$B$9)))</f>
        <v xml:space="preserve"> --         </v>
      </c>
      <c r="C92" s="875" t="str">
        <f>IF('Daten aus 2021'!N94="","",VLOOKUP('Daten aus 2021'!N94,'#Boden'!$B$68:$C$89,2,FALSE))</f>
        <v/>
      </c>
      <c r="D92" s="875" t="str">
        <f>IF('Daten aus 2021'!M94="","",VLOOKUP('Daten aus 2021'!M94,'#Boden'!$D$69:$E$73,2,FALSE))</f>
        <v/>
      </c>
      <c r="E92" s="938" t="str">
        <f>IF(OR(C92='#Boden'!$C$68,C92='#Boden'!$C$70),C92,CONCATENATE(C92,D92))</f>
        <v/>
      </c>
      <c r="F92" s="882" t="str">
        <f>IFERROR(IF('Daten aus 2021'!H94="",'#Frucht'!$D$8,IF('Daten aus 2021'!H94='#Boden'!$B$39,E92,IF('Daten aus 2021'!H94='#Boden'!$B$38,IF(CONCATENATE(" ",'Daten aus 2021'!W94)=$B$2,VLOOKUP($B$3,'#Frucht'!$A$8:$D$372,4,FALSE),VLOOKUP(CONCATENATE(" ",'Daten aus 2021'!W94),'#Frucht'!$A$8:$D$372,4,FALSE)),IF(OR(LEFT('Daten aus 2021'!Q94,5)=" *10 ",LEFT('Daten aus 2021'!Q94,5)=" *11 ",LEFT('Daten aus 2021'!Q94,5)=" *12 ",LEFT('Daten aus 2021'!Q94,5)=" *13 ",LEFT('Daten aus 2021'!Q94,5)=" *14 ",LEFT('Daten aus 2021'!Q94,5)=" *15 "),VLOOKUP(RIGHT('Daten aus 2021'!Q94,LEN('Daten aus 2021'!Q94)-4),'#Frucht'!$A$8:$D$372,4,FALSE),IF(LEFT('Daten aus 2021'!Q94,2)=" *",VLOOKUP(RIGHT('Daten aus 2021'!Q94,LEN('Daten aus 2021'!Q94)-3),'#Frucht'!$A$8:$D$372,4,FALSE),VLOOKUP('Daten aus 2021'!Q94,'#Frucht'!$A$8:$D$372,4,FALSE)))))),'#Frucht'!$D$8)</f>
        <v xml:space="preserve"> --  </v>
      </c>
      <c r="G92" s="127"/>
      <c r="H92" s="31"/>
      <c r="J92" s="938" t="str">
        <f>IF(OR(N92=3,$K$3=0,'Flächen u. Kulturen'!P97=""),"",IF(VLOOKUP('Flächen u. Kulturen'!P97,Kulturen[[HF]:[780]],'#BerechnungDBE'!$K$3,FALSE)=".","",VLOOKUP('Flächen u. Kulturen'!P97,Kulturen[[HF]:[780]],'#BerechnungDBE'!$K$3,FALSE)))</f>
        <v/>
      </c>
      <c r="K92" s="938" t="str">
        <f>IF(OR($K$3=0,'Flächen u. Kulturen'!P97=""),"",IF(N92=3,IF(VLOOKUP('Flächen u. Kulturen'!P97,Kulturen[[HF]:[780]],'#BerechnungDBE'!$K$3,FALSE)=".","",VLOOKUP('Flächen u. Kulturen'!P97,Kulturen[[HF]:[780]],'#BerechnungDBE'!$K$3,FALSE)),""))</f>
        <v/>
      </c>
      <c r="L92" s="367">
        <f>IF('Flächen u. Kulturen'!D97="",0,'Flächen u. Kulturen'!D97)</f>
        <v>0</v>
      </c>
      <c r="M92" s="693">
        <f>IF('Flächen u. Kulturen'!J97="",0,VLOOKUP('Flächen u. Kulturen'!J97,Kulturen[[HF]:[Berechnungsgruppe]],'#Frucht'!$W$1,FALSE))</f>
        <v>1</v>
      </c>
      <c r="N92" s="693">
        <f>IF('Flächen u. Kulturen'!P97="",0,VLOOKUP('Flächen u. Kulturen'!P97,Kulturen[[HF]:[Berechnungsgruppe]],'#Frucht'!$W$1,FALSE))</f>
        <v>1</v>
      </c>
      <c r="O92" s="875">
        <f>IF(N92&lt;&gt;2,N92,IF('Flächen u. Kulturen'!J97='Flächen u. Kulturen'!P97,2,1))</f>
        <v>1</v>
      </c>
      <c r="P92" s="875">
        <f>IF('Flächen u. Kulturen'!F97="",0,VLOOKUP('Flächen u. Kulturen'!F97,'#Boden'!$G$4:$H$8,'#Boden'!$H$1,FALSE))</f>
        <v>1</v>
      </c>
      <c r="Q92" s="875">
        <f>IF('Flächen u. Kulturen'!G97="",0,VLOOKUP('Flächen u. Kulturen'!G97,'#Boden'!$B$26:$C$29,'#Boden'!$C$1,FALSE))</f>
        <v>1</v>
      </c>
      <c r="R92" s="875">
        <f t="shared" si="64"/>
        <v>1</v>
      </c>
      <c r="S92" s="875">
        <f t="shared" si="65"/>
        <v>1</v>
      </c>
      <c r="T92" s="875">
        <f>IF('Flächen u. Kulturen'!H97="",0,VLOOKUP('Flächen u. Kulturen'!H97,'#Boden'!$B$23:$C$25,'#Boden'!$C$1,FALSE))</f>
        <v>2</v>
      </c>
      <c r="U92" s="875" t="str">
        <f>'Flächen u. Kulturen'!E97</f>
        <v>x</v>
      </c>
      <c r="V92" s="938">
        <f>IF('Flächen u. Kulturen'!Q97="",0,_xlfn.NUMBERVALUE('Flächen u. Kulturen'!Q97))</f>
        <v>0</v>
      </c>
      <c r="W92" s="938">
        <f>IF('Flächen u. Kulturen'!R97="",0,_xlfn.NUMBERVALUE('Flächen u. Kulturen'!R97))</f>
        <v>0</v>
      </c>
      <c r="X92" s="875">
        <f>IF('Flächen u. Kulturen'!T97="",0,VLOOKUP('Flächen u. Kulturen'!T97,'#Boden'!$B$30:$C$32,'#Boden'!$C$1,FALSE))</f>
        <v>1</v>
      </c>
      <c r="Y92" s="875">
        <f>IF('Flächen u. Kulturen'!P97="",0,VLOOKUP('Flächen u. Kulturen'!P97,Kulturen[[HF]:[Berechnungsgruppe]],'#Frucht'!$N$1,FALSE))</f>
        <v>0</v>
      </c>
      <c r="Z92" s="875">
        <f t="shared" si="66"/>
        <v>2</v>
      </c>
      <c r="AA92" s="875">
        <f>IF('Flächen u. Kulturen'!P97="",0,VLOOKUP('Flächen u. Kulturen'!P97,Kulturen[[HF]:[Berechnungsgruppe]],'#Frucht'!$V$1,FALSE))</f>
        <v>0</v>
      </c>
      <c r="AB92" s="875">
        <f>IF(N92=1,VLOOKUP('Flächen u. Kulturen'!P97,Kulturen[[HF]:[Ernteprodukt]],'#Frucht'!$I$1,FALSE),4)</f>
        <v>4</v>
      </c>
      <c r="AC92" s="921">
        <f>IF('Flächen u. Kulturen'!J97="",0,VLOOKUP('Flächen u. Kulturen'!J97,Kulturen[[HF]:[Berechnungsgruppe]],'#Frucht'!$G$1,FALSE))</f>
        <v>90</v>
      </c>
      <c r="AD92" s="921">
        <f>IF('Flächen u. Kulturen'!P97="",0,VLOOKUP('Flächen u. Kulturen'!P97,Kulturen[[HF]:[Berechnungsgruppe]],'#Frucht'!$G$1,FALSE))</f>
        <v>90</v>
      </c>
      <c r="AE92" s="938">
        <f>IF('Flächen u. Kulturen'!P97="",0,VLOOKUP('Flächen u. Kulturen'!P97,Kulturen[[HF]:[SollwertMinusNfix]],'#Frucht'!$X$1,FALSE))</f>
        <v>0</v>
      </c>
      <c r="AF92" s="875">
        <f>IF('Flächen u. Kulturen'!L97="",0,VLOOKUP('Flächen u. Kulturen'!L97,Nebenkultur[[Nebenkultur]:[Berechnungsschema]],'#Zweitfr'!$G$1,FALSE))</f>
        <v>0</v>
      </c>
      <c r="AG92" s="875">
        <f>IF('Flächen u. Kulturen'!L97="",0,VLOOKUP('Flächen u. Kulturen'!L97,'#Zweitfr'!$D$8:$Q$27,'#Zweitfr'!$Q$1,FALSE))</f>
        <v>0</v>
      </c>
      <c r="AH92" s="875">
        <f>IF('Flächen u. Kulturen'!M97="",0,VLOOKUP('Flächen u. Kulturen'!M97,'#Boden'!$G$17:$H$21,2,FALSE))</f>
        <v>1</v>
      </c>
      <c r="AI92" s="875">
        <f>IF('Flächen u. Kulturen'!N97="",0,VLOOKUP('Flächen u. Kulturen'!N97,'#Boden'!$G$22:$H$24,'#Boden'!$H$1,FALSE))</f>
        <v>1</v>
      </c>
      <c r="AJ92" s="938">
        <f>IF('Flächen u. Kulturen'!O97="",0,_xlfn.NUMBERVALUE('Flächen u. Kulturen'!O97))</f>
        <v>0</v>
      </c>
      <c r="AK92" s="938">
        <f>IF('Flächen u. Kulturen'!L97="",0,VLOOKUP('Flächen u. Kulturen'!L97,Nebenkultur[[Nebenkultur]:[Legum. Zwischenfr.]],'#Zweitfr'!$P$1,FALSE))</f>
        <v>0</v>
      </c>
      <c r="AL92" s="875">
        <f>IF('Flächen u. Kulturen'!P97="",0,VLOOKUP('Flächen u. Kulturen'!P97,Kulturen[[HF]:[Berechnungsgruppe]],'#Frucht'!$Q$1,FALSE))</f>
        <v>0</v>
      </c>
      <c r="AM92" s="875">
        <f>IF('Flächen u. Kulturen'!P97="",0,VLOOKUP('Flächen u. Kulturen'!P97,Kulturen[[HF]:[Berechnungsgruppe]],'#Frucht'!$M$1,FALSE))</f>
        <v>0</v>
      </c>
      <c r="AN92" s="875">
        <f>IF('Flächen u. Kulturen'!P97="",1,VLOOKUP('Flächen u. Kulturen'!P97,Kulturen[[HF]:[Berechnungsgruppe]],'#Frucht'!$R$1,FALSE))</f>
        <v>10</v>
      </c>
      <c r="AO92" s="875">
        <f>IF('Flächen u. Kulturen'!P97="",0,VLOOKUP('Flächen u. Kulturen'!P97,Kulturen[[HF]:[Berechnungsgruppe]],'#Frucht'!$S$1,FALSE))</f>
        <v>0</v>
      </c>
      <c r="AP92" s="875">
        <f>IF('Flächen u. Kulturen'!P97="",0,VLOOKUP('Flächen u. Kulturen'!P97,Kulturen[[HF]:[Berechnungsgruppe]],'#Frucht'!$T$1,FALSE))</f>
        <v>0</v>
      </c>
      <c r="AQ92" s="938">
        <f t="shared" si="46"/>
        <v>0</v>
      </c>
      <c r="AR92" s="875">
        <f t="shared" si="47"/>
        <v>0</v>
      </c>
      <c r="AS92" s="938">
        <f t="shared" si="48"/>
        <v>0</v>
      </c>
      <c r="AT92" s="875">
        <f>IF(N92=1,'Flächen u. Kulturen'!S97*-1,"--")</f>
        <v>0</v>
      </c>
      <c r="AU92" s="938">
        <f>IF(OR(N92=2,'Flächen u. Kulturen'!I97=""),"--",IF(N92=3,VLOOKUP('Flächen u. Kulturen'!I97,'#Boden'!$B$9:$E$15,'#Boden'!$D$1,FALSE),VLOOKUP('Flächen u. Kulturen'!I97,'#Boden'!$B$9:$E$15,'#Boden'!$E$1,FALSE)))</f>
        <v>0</v>
      </c>
      <c r="AV92" s="938">
        <f>IF(N92=1,IF('Flächen u. Kulturen'!J97="",0,VLOOKUP('Flächen u. Kulturen'!J97,Kulturen[[HF]:[Berechnungsgruppe]],'#Frucht'!$U$1,FALSE)*-1),"--")</f>
        <v>0</v>
      </c>
      <c r="AW92" s="875">
        <f t="shared" si="49"/>
        <v>0</v>
      </c>
      <c r="AX92" s="875">
        <f>IF('Flächen u. Kulturen'!K97="",0,'Flächen u. Kulturen'!K97*-0.1)</f>
        <v>0</v>
      </c>
      <c r="AY92" s="875">
        <f>IF(N92&lt;3,'#orgDung'!AC101*0.1*-1,"--")</f>
        <v>0</v>
      </c>
      <c r="AZ92" s="31" t="str">
        <f>IF(AND('#orgDung'!J101&lt;&gt;2,'#orgDung'!F101=1),('#orgDung'!V101+'#minDung'!O98)*-1,"--")</f>
        <v>--</v>
      </c>
      <c r="BA92" s="875">
        <f t="shared" si="67"/>
        <v>0</v>
      </c>
      <c r="BB92" s="938">
        <f>IF(R92=2,0,'Flächen u. Kulturen'!V97*-1)</f>
        <v>0</v>
      </c>
      <c r="BC92" s="875">
        <f t="shared" si="68"/>
        <v>0</v>
      </c>
      <c r="BD92" s="127">
        <f>'#orgDung'!W101*-1</f>
        <v>0</v>
      </c>
      <c r="BE92" s="910">
        <f>'#orgDung'!AA101*-1</f>
        <v>0</v>
      </c>
      <c r="BF92" s="875">
        <f>'#orgDung'!Z101*-1</f>
        <v>0</v>
      </c>
      <c r="BG92" s="938">
        <f t="shared" si="60"/>
        <v>0</v>
      </c>
      <c r="BH92" s="875">
        <f>'#Kürzungen'!AS116*-1</f>
        <v>0</v>
      </c>
      <c r="BI92" s="875">
        <f t="shared" si="50"/>
        <v>0</v>
      </c>
      <c r="BJ92" s="910">
        <f t="shared" si="51"/>
        <v>0</v>
      </c>
      <c r="BK92" s="875">
        <f>'#minDung'!P98</f>
        <v>0</v>
      </c>
      <c r="BL92" s="938">
        <f t="shared" si="61"/>
        <v>0</v>
      </c>
      <c r="BM92" s="938">
        <f t="shared" si="52"/>
        <v>0</v>
      </c>
      <c r="BN92" s="875">
        <f>IF('Flächen u. Kulturen'!P97="",0,VLOOKUP('Flächen u. Kulturen'!P97,Kulturen[[HF]:[Berechnungsgruppe]],'#Frucht'!$K$1,FALSE))</f>
        <v>0</v>
      </c>
      <c r="BO92" s="875">
        <f>IF('Flächen u. Kulturen'!P97="",0,VLOOKUP('Flächen u. Kulturen'!P97,Kulturen[[HF]:[Berechnungsgruppe]],'#Frucht'!$L$1,FALSE))</f>
        <v>0</v>
      </c>
      <c r="BP92" s="875">
        <f>IF('Flächen u. Kulturen'!L97="",0,VLOOKUP('Flächen u. Kulturen'!L97,Nebenkultur[[Nebenkultur]:[Legum. Zwischenfr.]],'#Zweitfr'!$H$1,FALSE))</f>
        <v>0</v>
      </c>
      <c r="BQ92" s="938">
        <f>IF(N92=3,W92*BO92,IF('Flächen u. Kulturen'!T97='#Boden'!$B$32,V92*BN92,V92*BO92))</f>
        <v>0</v>
      </c>
      <c r="BR92" s="938">
        <f t="shared" si="53"/>
        <v>0</v>
      </c>
      <c r="BS92" s="875">
        <f t="shared" si="69"/>
        <v>0</v>
      </c>
      <c r="BT92" s="875">
        <f>IF('Flächen u. Kulturen'!F97="",0,IF(N92=3,VLOOKUP('Flächen u. Kulturen'!F97,'#Boden'!$G$4:$J$8,'#Boden'!$J$1,FALSE),VLOOKUP('Flächen u. Kulturen'!F97,'#Boden'!$G$4:$J$8,'#Boden'!$I$1,FALSE)))</f>
        <v>0</v>
      </c>
      <c r="BU92" s="41">
        <f t="shared" si="70"/>
        <v>0</v>
      </c>
      <c r="BV92" s="875">
        <f t="shared" si="71"/>
        <v>0</v>
      </c>
      <c r="BW92" s="938" t="str">
        <f t="shared" si="62"/>
        <v/>
      </c>
      <c r="BX92" s="875">
        <f>'#orgDung'!T101*-1</f>
        <v>0</v>
      </c>
      <c r="BY92" s="875">
        <f t="shared" si="54"/>
        <v>0</v>
      </c>
      <c r="BZ92" s="938" t="str">
        <f>IF(U92&lt;&gt;"x",0,IF(P92&lt;4,"",(BW92+BX92-'#minDung'!N98)*-1))</f>
        <v/>
      </c>
      <c r="CB92" s="938">
        <f>IF(AND(AF92=70,U92="x"),'Flächen u. Kulturen'!A97,1000)</f>
        <v>1000</v>
      </c>
      <c r="CC92" s="875" t="str">
        <f>IF(AF92=70,VLOOKUP('Flächen u. Kulturen'!L97,Nebenkultur[[Nebenkultur]:[Legum. Zwischenfr.]],'#Zweitfr'!$I$1,FALSE),"--")</f>
        <v>--</v>
      </c>
      <c r="CD92" s="875" t="str">
        <f>IF(AF92=70,VLOOKUP('Flächen u. Kulturen'!L97,Nebenkultur[[Nebenkultur]:[Legum. Zwischenfr.]],'#Zweitfr'!$L$1,FALSE),"--")</f>
        <v>--</v>
      </c>
      <c r="CE92" s="875" t="str">
        <f>IF(AF92=70,VLOOKUP('Flächen u. Kulturen'!L97,Nebenkultur[[Nebenkultur]:[Legum. Zwischenfr.]],'#Zweitfr'!$M$1,FALSE),"--")</f>
        <v>--</v>
      </c>
      <c r="CF92" s="875" t="str">
        <f>IF(AF92=70,VLOOKUP('Flächen u. Kulturen'!L97,Nebenkultur[[Nebenkultur]:[Legum. Zwischenfr.]],'#Zweitfr'!$N$1,FALSE),"--")</f>
        <v>--</v>
      </c>
      <c r="CG92" s="875" t="str">
        <f>IF(AF92=70,VLOOKUP('Flächen u. Kulturen'!L97,Nebenkultur[[Nebenkultur]:[Legum. Zwischenfr.]],'#Zweitfr'!$O$1,FALSE),"--")</f>
        <v>--</v>
      </c>
      <c r="CH92" s="875" t="str">
        <f t="shared" si="55"/>
        <v>--</v>
      </c>
      <c r="CI92" s="938">
        <f>IF('Flächen u. Kulturen'!L97="",0,VLOOKUP('Flächen u. Kulturen'!L97,Nebenkultur[[Nebenkultur]:[Legum. Zwischenfr.]],'#Zweitfr'!$J$1,FALSE))</f>
        <v>0</v>
      </c>
      <c r="CJ92" s="875">
        <f t="shared" si="56"/>
        <v>0</v>
      </c>
      <c r="CK92" s="890">
        <f t="shared" si="57"/>
        <v>0</v>
      </c>
      <c r="CL92" s="938">
        <f>IF(AND(R92=1,AF92=70),'Flächen u. Kulturen'!W97*-1,0)</f>
        <v>0</v>
      </c>
      <c r="CM92" s="875">
        <f>'#orgDung'!AE101*-1</f>
        <v>0</v>
      </c>
      <c r="CN92" s="875">
        <f t="shared" si="72"/>
        <v>0</v>
      </c>
      <c r="CO92" s="875">
        <f t="shared" si="73"/>
        <v>0</v>
      </c>
      <c r="CP92" s="875">
        <f>'#Kürzungen'!AS217*-1</f>
        <v>0</v>
      </c>
      <c r="CQ92" s="875">
        <f t="shared" si="74"/>
        <v>0</v>
      </c>
      <c r="CR92" s="875">
        <f t="shared" si="75"/>
        <v>0</v>
      </c>
      <c r="CS92" s="875">
        <f>'#minDung'!R98</f>
        <v>0</v>
      </c>
      <c r="CT92" s="938">
        <f t="shared" si="63"/>
        <v>0</v>
      </c>
      <c r="CU92" s="52" t="str">
        <f>'#Kürzungen'!AQ217</f>
        <v xml:space="preserve"> </v>
      </c>
      <c r="CW92" s="247">
        <f>IF('Flächen u. Kulturen'!D97="",0,IF(ISNUMBER('Flächen u. Kulturen'!D97)=TRUE,2,1))</f>
        <v>0</v>
      </c>
      <c r="CX92" s="247">
        <f>IF('Flächen u. Kulturen'!E97="",0,COUNTIF('#Boden'!$B$47,'Flächen u. Kulturen'!E97)+1)</f>
        <v>2</v>
      </c>
      <c r="CY92" s="247">
        <f>IF('Flächen u. Kulturen'!F97="",0,COUNTIF('#Boden'!$G$4:$G$8,'Flächen u. Kulturen'!F97)+1)</f>
        <v>2</v>
      </c>
      <c r="CZ92" s="247">
        <f>IF('Flächen u. Kulturen'!G97="",0,COUNTIF('#Boden'!$B$26:$B$29,'Flächen u. Kulturen'!G97)+1)</f>
        <v>2</v>
      </c>
      <c r="DA92" s="247">
        <f>IF('Flächen u. Kulturen'!H97="",0,COUNTIF('#Boden'!$B$26:$B$29,'Flächen u. Kulturen'!H97)+1)</f>
        <v>2</v>
      </c>
      <c r="DB92" s="247">
        <f>IF('Flächen u. Kulturen'!I97="",0,COUNTIF('#Boden'!$B$9:$B$15,'Flächen u. Kulturen'!I97)+1)</f>
        <v>2</v>
      </c>
      <c r="DC92" s="247">
        <f>IF('Flächen u. Kulturen'!J97="",0,COUNTIF(Kulturen[HF],'Flächen u. Kulturen'!J97)+1)</f>
        <v>2</v>
      </c>
      <c r="DD92" s="247">
        <f>IF('Flächen u. Kulturen'!L97="",0,COUNTIF(Nebenkultur[Nebenkultur],'Flächen u. Kulturen'!L97)+1)</f>
        <v>2</v>
      </c>
      <c r="DE92" s="247">
        <f>IF('Flächen u. Kulturen'!M97="",0,COUNTIF('#Boden'!$G$17:$G$21,'Flächen u. Kulturen'!M97)+1)</f>
        <v>2</v>
      </c>
      <c r="DF92" s="247">
        <f>IF('Flächen u. Kulturen'!N97="",0,COUNTIF('#Boden'!$G$22:$G$24,'Flächen u. Kulturen'!N97)+1)</f>
        <v>2</v>
      </c>
      <c r="DG92" s="247">
        <f>IF('Flächen u. Kulturen'!P97="",0,COUNTIF(Kulturen[HF],'Flächen u. Kulturen'!P97)+1)</f>
        <v>2</v>
      </c>
      <c r="DH92" s="247">
        <f>IF('Flächen u. Kulturen'!T97="",0,COUNTIF('#Boden'!$B$30:$B$32,'Flächen u. Kulturen'!T97)+1)</f>
        <v>2</v>
      </c>
      <c r="DI92" s="247">
        <f>IF('Flächen u. Kulturen'!K97="",0,IF(ISNUMBER('Flächen u. Kulturen'!K97)=TRUE,2,1))</f>
        <v>0</v>
      </c>
      <c r="DJ92" s="247">
        <f>IF('Flächen u. Kulturen'!U97="",0,IF(ISNUMBER('Flächen u. Kulturen'!U97)=TRUE,2,1))</f>
        <v>0</v>
      </c>
      <c r="DK92" s="247">
        <f>IF('Flächen u. Kulturen'!V97="",0,IF(ISNUMBER('Flächen u. Kulturen'!V97)=TRUE,2,1))</f>
        <v>0</v>
      </c>
      <c r="DL92" s="247">
        <f>IF('Flächen u. Kulturen'!W97="",0,IF(ISNUMBER('Flächen u. Kulturen'!W97)=TRUE,2,1))</f>
        <v>0</v>
      </c>
      <c r="DM92" s="247">
        <f t="shared" si="76"/>
        <v>0</v>
      </c>
      <c r="DN92" s="247" t="s">
        <v>344</v>
      </c>
      <c r="DO92" s="247">
        <f>IF(U92&lt;&gt;"x","",IF(OR('Flächen u. Kulturen'!B97="",'Flächen u. Kulturen'!C97="",'Flächen u. Kulturen'!D97="",'Flächen u. Kulturen'!D97=0,'Flächen u. Kulturen'!F97="",'Flächen u. Kulturen'!F97='#Boden'!$G$4,'Flächen u. Kulturen'!G97="",'Flächen u. Kulturen'!G97='#Boden'!$B$26,'Flächen u. Kulturen'!H97="",'Flächen u. Kulturen'!H97='#Boden'!$B$23,AND(N92&lt;&gt;2,OR('Flächen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Kulturen'!Q97="",'#BerechnungDBE'!N92&lt;3),AND('Flächen u. Kulturen'!R97="",'#BerechnungDBE'!N92=3),AND(N92=1,AL92&gt;0,'Flächen u. Kulturen'!S97=""),AND(N92=1,OR('Flächen u. Kulturen'!T97="",'Flächen u. Kulturen'!T97='#Boden'!$B$30)),AND('#BerechnungDBE'!AF92=70,OR('Flächen u. Kulturen'!N97="",'Flächen u. Kulturen'!N97='#Boden'!$G$22,'Flächen u. Kulturen'!O97="")),AND('#BerechnungDBE'!AF92=80,OR('Flächen u. Kulturen'!M97="",'Flächen u. Kulturen'!M97='#Boden'!$G$17,'Flächen u. Kulturen'!N97="",'Flächen u. Kulturen'!N97='#Boden'!$G$22))),$DO$4,""))</f>
        <v>1</v>
      </c>
      <c r="DP92" s="247" t="str">
        <f>IF(U92&lt;&gt;"x","",IF(OR(LEFT('Flächen u. Kulturen'!J97,2)=" +",LEFT('Flächen u. Kulturen'!L97,2)=" +",LEFT('Flächen u. Kulturen'!P97,2)=" +"),$DP$4,""))</f>
        <v/>
      </c>
      <c r="DQ92" s="428" t="str">
        <f t="shared" si="58"/>
        <v/>
      </c>
      <c r="DR92" s="938" t="str">
        <f t="shared" si="59"/>
        <v/>
      </c>
      <c r="DS92" s="938" t="str">
        <f>IF('Flächen u. Kulturen'!X97="","",ROW('Flächen u. Kulturen'!X97))</f>
        <v/>
      </c>
    </row>
    <row r="93" spans="1:123" s="875" customFormat="1" x14ac:dyDescent="0.2">
      <c r="A93" s="875" t="str">
        <f>IF('Daten aus 2021'!H95="",'#Boden'!$B$26,IF('Daten aus 2021'!H95='#Boden'!$B$39,IF('Daten aus 2021'!F95='#Boden'!$B$29,'#Boden'!$B$29,IF('Daten aus 2021'!K95='#Boden'!$B$34,'#Boden'!$B$28,'#Boden'!$B$27)),'Daten aus 2021'!F95))</f>
        <v xml:space="preserve"> --</v>
      </c>
      <c r="B93" s="875" t="str">
        <f>IF('Daten aus 2021'!H95='#Boden'!$B$39,IF('Daten aus 2021'!L95='#Boden'!$B$61,'#Boden'!$B$11,'Daten aus 2021'!L95),IF('Daten aus 2021'!P95='#Boden'!$B$58,'#Boden'!$B$11,IF('Daten aus 2021'!P95='#Boden'!$B$57,'#Boden'!$B$10,'#Boden'!$B$9)))</f>
        <v xml:space="preserve"> --         </v>
      </c>
      <c r="C93" s="875" t="str">
        <f>IF('Daten aus 2021'!N95="","",VLOOKUP('Daten aus 2021'!N95,'#Boden'!$B$68:$C$89,2,FALSE))</f>
        <v/>
      </c>
      <c r="D93" s="875" t="str">
        <f>IF('Daten aus 2021'!M95="","",VLOOKUP('Daten aus 2021'!M95,'#Boden'!$D$69:$E$73,2,FALSE))</f>
        <v/>
      </c>
      <c r="E93" s="938" t="str">
        <f>IF(OR(C93='#Boden'!$C$68,C93='#Boden'!$C$70),C93,CONCATENATE(C93,D93))</f>
        <v/>
      </c>
      <c r="F93" s="882" t="str">
        <f>IFERROR(IF('Daten aus 2021'!H95="",'#Frucht'!$D$8,IF('Daten aus 2021'!H95='#Boden'!$B$39,E93,IF('Daten aus 2021'!H95='#Boden'!$B$38,IF(CONCATENATE(" ",'Daten aus 2021'!W95)=$B$2,VLOOKUP($B$3,'#Frucht'!$A$8:$D$372,4,FALSE),VLOOKUP(CONCATENATE(" ",'Daten aus 2021'!W95),'#Frucht'!$A$8:$D$372,4,FALSE)),IF(OR(LEFT('Daten aus 2021'!Q95,5)=" *10 ",LEFT('Daten aus 2021'!Q95,5)=" *11 ",LEFT('Daten aus 2021'!Q95,5)=" *12 ",LEFT('Daten aus 2021'!Q95,5)=" *13 ",LEFT('Daten aus 2021'!Q95,5)=" *14 ",LEFT('Daten aus 2021'!Q95,5)=" *15 "),VLOOKUP(RIGHT('Daten aus 2021'!Q95,LEN('Daten aus 2021'!Q95)-4),'#Frucht'!$A$8:$D$372,4,FALSE),IF(LEFT('Daten aus 2021'!Q95,2)=" *",VLOOKUP(RIGHT('Daten aus 2021'!Q95,LEN('Daten aus 2021'!Q95)-3),'#Frucht'!$A$8:$D$372,4,FALSE),VLOOKUP('Daten aus 2021'!Q95,'#Frucht'!$A$8:$D$372,4,FALSE)))))),'#Frucht'!$D$8)</f>
        <v xml:space="preserve"> --  </v>
      </c>
      <c r="G93" s="127"/>
      <c r="H93" s="31"/>
      <c r="J93" s="938" t="str">
        <f>IF(OR(N93=3,$K$3=0,'Flächen u. Kulturen'!P98=""),"",IF(VLOOKUP('Flächen u. Kulturen'!P98,Kulturen[[HF]:[780]],'#BerechnungDBE'!$K$3,FALSE)=".","",VLOOKUP('Flächen u. Kulturen'!P98,Kulturen[[HF]:[780]],'#BerechnungDBE'!$K$3,FALSE)))</f>
        <v/>
      </c>
      <c r="K93" s="938" t="str">
        <f>IF(OR($K$3=0,'Flächen u. Kulturen'!P98=""),"",IF(N93=3,IF(VLOOKUP('Flächen u. Kulturen'!P98,Kulturen[[HF]:[780]],'#BerechnungDBE'!$K$3,FALSE)=".","",VLOOKUP('Flächen u. Kulturen'!P98,Kulturen[[HF]:[780]],'#BerechnungDBE'!$K$3,FALSE)),""))</f>
        <v/>
      </c>
      <c r="L93" s="367">
        <f>IF('Flächen u. Kulturen'!D98="",0,'Flächen u. Kulturen'!D98)</f>
        <v>0</v>
      </c>
      <c r="M93" s="693">
        <f>IF('Flächen u. Kulturen'!J98="",0,VLOOKUP('Flächen u. Kulturen'!J98,Kulturen[[HF]:[Berechnungsgruppe]],'#Frucht'!$W$1,FALSE))</f>
        <v>1</v>
      </c>
      <c r="N93" s="693">
        <f>IF('Flächen u. Kulturen'!P98="",0,VLOOKUP('Flächen u. Kulturen'!P98,Kulturen[[HF]:[Berechnungsgruppe]],'#Frucht'!$W$1,FALSE))</f>
        <v>1</v>
      </c>
      <c r="O93" s="875">
        <f>IF(N93&lt;&gt;2,N93,IF('Flächen u. Kulturen'!J98='Flächen u. Kulturen'!P98,2,1))</f>
        <v>1</v>
      </c>
      <c r="P93" s="875">
        <f>IF('Flächen u. Kulturen'!F98="",0,VLOOKUP('Flächen u. Kulturen'!F98,'#Boden'!$G$4:$H$8,'#Boden'!$H$1,FALSE))</f>
        <v>1</v>
      </c>
      <c r="Q93" s="875">
        <f>IF('Flächen u. Kulturen'!G98="",0,VLOOKUP('Flächen u. Kulturen'!G98,'#Boden'!$B$26:$C$29,'#Boden'!$C$1,FALSE))</f>
        <v>1</v>
      </c>
      <c r="R93" s="875">
        <f t="shared" si="64"/>
        <v>1</v>
      </c>
      <c r="S93" s="875">
        <f t="shared" si="65"/>
        <v>1</v>
      </c>
      <c r="T93" s="875">
        <f>IF('Flächen u. Kulturen'!H98="",0,VLOOKUP('Flächen u. Kulturen'!H98,'#Boden'!$B$23:$C$25,'#Boden'!$C$1,FALSE))</f>
        <v>2</v>
      </c>
      <c r="U93" s="875" t="str">
        <f>'Flächen u. Kulturen'!E98</f>
        <v>x</v>
      </c>
      <c r="V93" s="938">
        <f>IF('Flächen u. Kulturen'!Q98="",0,_xlfn.NUMBERVALUE('Flächen u. Kulturen'!Q98))</f>
        <v>0</v>
      </c>
      <c r="W93" s="938">
        <f>IF('Flächen u. Kulturen'!R98="",0,_xlfn.NUMBERVALUE('Flächen u. Kulturen'!R98))</f>
        <v>0</v>
      </c>
      <c r="X93" s="875">
        <f>IF('Flächen u. Kulturen'!T98="",0,VLOOKUP('Flächen u. Kulturen'!T98,'#Boden'!$B$30:$C$32,'#Boden'!$C$1,FALSE))</f>
        <v>1</v>
      </c>
      <c r="Y93" s="875">
        <f>IF('Flächen u. Kulturen'!P98="",0,VLOOKUP('Flächen u. Kulturen'!P98,Kulturen[[HF]:[Berechnungsgruppe]],'#Frucht'!$N$1,FALSE))</f>
        <v>0</v>
      </c>
      <c r="Z93" s="875">
        <f t="shared" si="66"/>
        <v>2</v>
      </c>
      <c r="AA93" s="875">
        <f>IF('Flächen u. Kulturen'!P98="",0,VLOOKUP('Flächen u. Kulturen'!P98,Kulturen[[HF]:[Berechnungsgruppe]],'#Frucht'!$V$1,FALSE))</f>
        <v>0</v>
      </c>
      <c r="AB93" s="875">
        <f>IF(N93=1,VLOOKUP('Flächen u. Kulturen'!P98,Kulturen[[HF]:[Ernteprodukt]],'#Frucht'!$I$1,FALSE),4)</f>
        <v>4</v>
      </c>
      <c r="AC93" s="921">
        <f>IF('Flächen u. Kulturen'!J98="",0,VLOOKUP('Flächen u. Kulturen'!J98,Kulturen[[HF]:[Berechnungsgruppe]],'#Frucht'!$G$1,FALSE))</f>
        <v>90</v>
      </c>
      <c r="AD93" s="921">
        <f>IF('Flächen u. Kulturen'!P98="",0,VLOOKUP('Flächen u. Kulturen'!P98,Kulturen[[HF]:[Berechnungsgruppe]],'#Frucht'!$G$1,FALSE))</f>
        <v>90</v>
      </c>
      <c r="AE93" s="938">
        <f>IF('Flächen u. Kulturen'!P98="",0,VLOOKUP('Flächen u. Kulturen'!P98,Kulturen[[HF]:[SollwertMinusNfix]],'#Frucht'!$X$1,FALSE))</f>
        <v>0</v>
      </c>
      <c r="AF93" s="875">
        <f>IF('Flächen u. Kulturen'!L98="",0,VLOOKUP('Flächen u. Kulturen'!L98,Nebenkultur[[Nebenkultur]:[Berechnungsschema]],'#Zweitfr'!$G$1,FALSE))</f>
        <v>0</v>
      </c>
      <c r="AG93" s="875">
        <f>IF('Flächen u. Kulturen'!L98="",0,VLOOKUP('Flächen u. Kulturen'!L98,'#Zweitfr'!$D$8:$Q$27,'#Zweitfr'!$Q$1,FALSE))</f>
        <v>0</v>
      </c>
      <c r="AH93" s="875">
        <f>IF('Flächen u. Kulturen'!M98="",0,VLOOKUP('Flächen u. Kulturen'!M98,'#Boden'!$G$17:$H$21,2,FALSE))</f>
        <v>1</v>
      </c>
      <c r="AI93" s="875">
        <f>IF('Flächen u. Kulturen'!N98="",0,VLOOKUP('Flächen u. Kulturen'!N98,'#Boden'!$G$22:$H$24,'#Boden'!$H$1,FALSE))</f>
        <v>1</v>
      </c>
      <c r="AJ93" s="938">
        <f>IF('Flächen u. Kulturen'!O98="",0,_xlfn.NUMBERVALUE('Flächen u. Kulturen'!O98))</f>
        <v>0</v>
      </c>
      <c r="AK93" s="938">
        <f>IF('Flächen u. Kulturen'!L98="",0,VLOOKUP('Flächen u. Kulturen'!L98,Nebenkultur[[Nebenkultur]:[Legum. Zwischenfr.]],'#Zweitfr'!$P$1,FALSE))</f>
        <v>0</v>
      </c>
      <c r="AL93" s="875">
        <f>IF('Flächen u. Kulturen'!P98="",0,VLOOKUP('Flächen u. Kulturen'!P98,Kulturen[[HF]:[Berechnungsgruppe]],'#Frucht'!$Q$1,FALSE))</f>
        <v>0</v>
      </c>
      <c r="AM93" s="875">
        <f>IF('Flächen u. Kulturen'!P98="",0,VLOOKUP('Flächen u. Kulturen'!P98,Kulturen[[HF]:[Berechnungsgruppe]],'#Frucht'!$M$1,FALSE))</f>
        <v>0</v>
      </c>
      <c r="AN93" s="875">
        <f>IF('Flächen u. Kulturen'!P98="",1,VLOOKUP('Flächen u. Kulturen'!P98,Kulturen[[HF]:[Berechnungsgruppe]],'#Frucht'!$R$1,FALSE))</f>
        <v>10</v>
      </c>
      <c r="AO93" s="875">
        <f>IF('Flächen u. Kulturen'!P98="",0,VLOOKUP('Flächen u. Kulturen'!P98,Kulturen[[HF]:[Berechnungsgruppe]],'#Frucht'!$S$1,FALSE))</f>
        <v>0</v>
      </c>
      <c r="AP93" s="875">
        <f>IF('Flächen u. Kulturen'!P98="",0,VLOOKUP('Flächen u. Kulturen'!P98,Kulturen[[HF]:[Berechnungsgruppe]],'#Frucht'!$T$1,FALSE))</f>
        <v>0</v>
      </c>
      <c r="AQ93" s="938">
        <f t="shared" si="46"/>
        <v>0</v>
      </c>
      <c r="AR93" s="875">
        <f t="shared" si="47"/>
        <v>0</v>
      </c>
      <c r="AS93" s="938">
        <f t="shared" si="48"/>
        <v>0</v>
      </c>
      <c r="AT93" s="875">
        <f>IF(N93=1,'Flächen u. Kulturen'!S98*-1,"--")</f>
        <v>0</v>
      </c>
      <c r="AU93" s="938">
        <f>IF(OR(N93=2,'Flächen u. Kulturen'!I98=""),"--",IF(N93=3,VLOOKUP('Flächen u. Kulturen'!I98,'#Boden'!$B$9:$E$15,'#Boden'!$D$1,FALSE),VLOOKUP('Flächen u. Kulturen'!I98,'#Boden'!$B$9:$E$15,'#Boden'!$E$1,FALSE)))</f>
        <v>0</v>
      </c>
      <c r="AV93" s="938">
        <f>IF(N93=1,IF('Flächen u. Kulturen'!J98="",0,VLOOKUP('Flächen u. Kulturen'!J98,Kulturen[[HF]:[Berechnungsgruppe]],'#Frucht'!$U$1,FALSE)*-1),"--")</f>
        <v>0</v>
      </c>
      <c r="AW93" s="875">
        <f t="shared" si="49"/>
        <v>0</v>
      </c>
      <c r="AX93" s="875">
        <f>IF('Flächen u. Kulturen'!K98="",0,'Flächen u. Kulturen'!K98*-0.1)</f>
        <v>0</v>
      </c>
      <c r="AY93" s="875">
        <f>IF(N93&lt;3,'#orgDung'!AC102*0.1*-1,"--")</f>
        <v>0</v>
      </c>
      <c r="AZ93" s="31" t="str">
        <f>IF(AND('#orgDung'!J102&lt;&gt;2,'#orgDung'!F102=1),('#orgDung'!V102+'#minDung'!O99)*-1,"--")</f>
        <v>--</v>
      </c>
      <c r="BA93" s="875">
        <f t="shared" si="67"/>
        <v>0</v>
      </c>
      <c r="BB93" s="938">
        <f>IF(R93=2,0,'Flächen u. Kulturen'!V98*-1)</f>
        <v>0</v>
      </c>
      <c r="BC93" s="875">
        <f t="shared" si="68"/>
        <v>0</v>
      </c>
      <c r="BD93" s="127">
        <f>'#orgDung'!W102*-1</f>
        <v>0</v>
      </c>
      <c r="BE93" s="910">
        <f>'#orgDung'!AA102*-1</f>
        <v>0</v>
      </c>
      <c r="BF93" s="875">
        <f>'#orgDung'!Z102*-1</f>
        <v>0</v>
      </c>
      <c r="BG93" s="938">
        <f t="shared" si="60"/>
        <v>0</v>
      </c>
      <c r="BH93" s="875">
        <f>'#Kürzungen'!AS117*-1</f>
        <v>0</v>
      </c>
      <c r="BI93" s="875">
        <f t="shared" si="50"/>
        <v>0</v>
      </c>
      <c r="BJ93" s="910">
        <f t="shared" si="51"/>
        <v>0</v>
      </c>
      <c r="BK93" s="875">
        <f>'#minDung'!P99</f>
        <v>0</v>
      </c>
      <c r="BL93" s="938">
        <f t="shared" si="61"/>
        <v>0</v>
      </c>
      <c r="BM93" s="938">
        <f t="shared" si="52"/>
        <v>0</v>
      </c>
      <c r="BN93" s="875">
        <f>IF('Flächen u. Kulturen'!P98="",0,VLOOKUP('Flächen u. Kulturen'!P98,Kulturen[[HF]:[Berechnungsgruppe]],'#Frucht'!$K$1,FALSE))</f>
        <v>0</v>
      </c>
      <c r="BO93" s="875">
        <f>IF('Flächen u. Kulturen'!P98="",0,VLOOKUP('Flächen u. Kulturen'!P98,Kulturen[[HF]:[Berechnungsgruppe]],'#Frucht'!$L$1,FALSE))</f>
        <v>0</v>
      </c>
      <c r="BP93" s="875">
        <f>IF('Flächen u. Kulturen'!L98="",0,VLOOKUP('Flächen u. Kulturen'!L98,Nebenkultur[[Nebenkultur]:[Legum. Zwischenfr.]],'#Zweitfr'!$H$1,FALSE))</f>
        <v>0</v>
      </c>
      <c r="BQ93" s="938">
        <f>IF(N93=3,W93*BO93,IF('Flächen u. Kulturen'!T98='#Boden'!$B$32,V93*BN93,V93*BO93))</f>
        <v>0</v>
      </c>
      <c r="BR93" s="938">
        <f t="shared" si="53"/>
        <v>0</v>
      </c>
      <c r="BS93" s="875">
        <f t="shared" si="69"/>
        <v>0</v>
      </c>
      <c r="BT93" s="875">
        <f>IF('Flächen u. Kulturen'!F98="",0,IF(N93=3,VLOOKUP('Flächen u. Kulturen'!F98,'#Boden'!$G$4:$J$8,'#Boden'!$J$1,FALSE),VLOOKUP('Flächen u. Kulturen'!F98,'#Boden'!$G$4:$J$8,'#Boden'!$I$1,FALSE)))</f>
        <v>0</v>
      </c>
      <c r="BU93" s="41">
        <f t="shared" si="70"/>
        <v>0</v>
      </c>
      <c r="BV93" s="875">
        <f t="shared" si="71"/>
        <v>0</v>
      </c>
      <c r="BW93" s="938" t="str">
        <f t="shared" si="62"/>
        <v/>
      </c>
      <c r="BX93" s="875">
        <f>'#orgDung'!T102*-1</f>
        <v>0</v>
      </c>
      <c r="BY93" s="875">
        <f t="shared" si="54"/>
        <v>0</v>
      </c>
      <c r="BZ93" s="938" t="str">
        <f>IF(U93&lt;&gt;"x",0,IF(P93&lt;4,"",(BW93+BX93-'#minDung'!N99)*-1))</f>
        <v/>
      </c>
      <c r="CB93" s="938">
        <f>IF(AND(AF93=70,U93="x"),'Flächen u. Kulturen'!A98,1000)</f>
        <v>1000</v>
      </c>
      <c r="CC93" s="875" t="str">
        <f>IF(AF93=70,VLOOKUP('Flächen u. Kulturen'!L98,Nebenkultur[[Nebenkultur]:[Legum. Zwischenfr.]],'#Zweitfr'!$I$1,FALSE),"--")</f>
        <v>--</v>
      </c>
      <c r="CD93" s="875" t="str">
        <f>IF(AF93=70,VLOOKUP('Flächen u. Kulturen'!L98,Nebenkultur[[Nebenkultur]:[Legum. Zwischenfr.]],'#Zweitfr'!$L$1,FALSE),"--")</f>
        <v>--</v>
      </c>
      <c r="CE93" s="875" t="str">
        <f>IF(AF93=70,VLOOKUP('Flächen u. Kulturen'!L98,Nebenkultur[[Nebenkultur]:[Legum. Zwischenfr.]],'#Zweitfr'!$M$1,FALSE),"--")</f>
        <v>--</v>
      </c>
      <c r="CF93" s="875" t="str">
        <f>IF(AF93=70,VLOOKUP('Flächen u. Kulturen'!L98,Nebenkultur[[Nebenkultur]:[Legum. Zwischenfr.]],'#Zweitfr'!$N$1,FALSE),"--")</f>
        <v>--</v>
      </c>
      <c r="CG93" s="875" t="str">
        <f>IF(AF93=70,VLOOKUP('Flächen u. Kulturen'!L98,Nebenkultur[[Nebenkultur]:[Legum. Zwischenfr.]],'#Zweitfr'!$O$1,FALSE),"--")</f>
        <v>--</v>
      </c>
      <c r="CH93" s="875" t="str">
        <f t="shared" si="55"/>
        <v>--</v>
      </c>
      <c r="CI93" s="938">
        <f>IF('Flächen u. Kulturen'!L98="",0,VLOOKUP('Flächen u. Kulturen'!L98,Nebenkultur[[Nebenkultur]:[Legum. Zwischenfr.]],'#Zweitfr'!$J$1,FALSE))</f>
        <v>0</v>
      </c>
      <c r="CJ93" s="875">
        <f t="shared" si="56"/>
        <v>0</v>
      </c>
      <c r="CK93" s="890">
        <f t="shared" si="57"/>
        <v>0</v>
      </c>
      <c r="CL93" s="938">
        <f>IF(AND(R93=1,AF93=70),'Flächen u. Kulturen'!W98*-1,0)</f>
        <v>0</v>
      </c>
      <c r="CM93" s="875">
        <f>'#orgDung'!AE102*-1</f>
        <v>0</v>
      </c>
      <c r="CN93" s="875">
        <f t="shared" si="72"/>
        <v>0</v>
      </c>
      <c r="CO93" s="875">
        <f t="shared" si="73"/>
        <v>0</v>
      </c>
      <c r="CP93" s="875">
        <f>'#Kürzungen'!AS218*-1</f>
        <v>0</v>
      </c>
      <c r="CQ93" s="875">
        <f t="shared" si="74"/>
        <v>0</v>
      </c>
      <c r="CR93" s="875">
        <f t="shared" si="75"/>
        <v>0</v>
      </c>
      <c r="CS93" s="875">
        <f>'#minDung'!R99</f>
        <v>0</v>
      </c>
      <c r="CT93" s="938">
        <f t="shared" si="63"/>
        <v>0</v>
      </c>
      <c r="CU93" s="52" t="str">
        <f>'#Kürzungen'!AQ218</f>
        <v xml:space="preserve"> </v>
      </c>
      <c r="CW93" s="247">
        <f>IF('Flächen u. Kulturen'!D98="",0,IF(ISNUMBER('Flächen u. Kulturen'!D98)=TRUE,2,1))</f>
        <v>0</v>
      </c>
      <c r="CX93" s="247">
        <f>IF('Flächen u. Kulturen'!E98="",0,COUNTIF('#Boden'!$B$47,'Flächen u. Kulturen'!E98)+1)</f>
        <v>2</v>
      </c>
      <c r="CY93" s="247">
        <f>IF('Flächen u. Kulturen'!F98="",0,COUNTIF('#Boden'!$G$4:$G$8,'Flächen u. Kulturen'!F98)+1)</f>
        <v>2</v>
      </c>
      <c r="CZ93" s="247">
        <f>IF('Flächen u. Kulturen'!G98="",0,COUNTIF('#Boden'!$B$26:$B$29,'Flächen u. Kulturen'!G98)+1)</f>
        <v>2</v>
      </c>
      <c r="DA93" s="247">
        <f>IF('Flächen u. Kulturen'!H98="",0,COUNTIF('#Boden'!$B$26:$B$29,'Flächen u. Kulturen'!H98)+1)</f>
        <v>2</v>
      </c>
      <c r="DB93" s="247">
        <f>IF('Flächen u. Kulturen'!I98="",0,COUNTIF('#Boden'!$B$9:$B$15,'Flächen u. Kulturen'!I98)+1)</f>
        <v>2</v>
      </c>
      <c r="DC93" s="247">
        <f>IF('Flächen u. Kulturen'!J98="",0,COUNTIF(Kulturen[HF],'Flächen u. Kulturen'!J98)+1)</f>
        <v>2</v>
      </c>
      <c r="DD93" s="247">
        <f>IF('Flächen u. Kulturen'!L98="",0,COUNTIF(Nebenkultur[Nebenkultur],'Flächen u. Kulturen'!L98)+1)</f>
        <v>2</v>
      </c>
      <c r="DE93" s="247">
        <f>IF('Flächen u. Kulturen'!M98="",0,COUNTIF('#Boden'!$G$17:$G$21,'Flächen u. Kulturen'!M98)+1)</f>
        <v>2</v>
      </c>
      <c r="DF93" s="247">
        <f>IF('Flächen u. Kulturen'!N98="",0,COUNTIF('#Boden'!$G$22:$G$24,'Flächen u. Kulturen'!N98)+1)</f>
        <v>2</v>
      </c>
      <c r="DG93" s="247">
        <f>IF('Flächen u. Kulturen'!P98="",0,COUNTIF(Kulturen[HF],'Flächen u. Kulturen'!P98)+1)</f>
        <v>2</v>
      </c>
      <c r="DH93" s="247">
        <f>IF('Flächen u. Kulturen'!T98="",0,COUNTIF('#Boden'!$B$30:$B$32,'Flächen u. Kulturen'!T98)+1)</f>
        <v>2</v>
      </c>
      <c r="DI93" s="247">
        <f>IF('Flächen u. Kulturen'!K98="",0,IF(ISNUMBER('Flächen u. Kulturen'!K98)=TRUE,2,1))</f>
        <v>0</v>
      </c>
      <c r="DJ93" s="247">
        <f>IF('Flächen u. Kulturen'!U98="",0,IF(ISNUMBER('Flächen u. Kulturen'!U98)=TRUE,2,1))</f>
        <v>0</v>
      </c>
      <c r="DK93" s="247">
        <f>IF('Flächen u. Kulturen'!V98="",0,IF(ISNUMBER('Flächen u. Kulturen'!V98)=TRUE,2,1))</f>
        <v>0</v>
      </c>
      <c r="DL93" s="247">
        <f>IF('Flächen u. Kulturen'!W98="",0,IF(ISNUMBER('Flächen u. Kulturen'!W98)=TRUE,2,1))</f>
        <v>0</v>
      </c>
      <c r="DM93" s="247">
        <f t="shared" si="76"/>
        <v>0</v>
      </c>
      <c r="DN93" s="247" t="s">
        <v>344</v>
      </c>
      <c r="DO93" s="247">
        <f>IF(U93&lt;&gt;"x","",IF(OR('Flächen u. Kulturen'!B98="",'Flächen u. Kulturen'!C98="",'Flächen u. Kulturen'!D98="",'Flächen u. Kulturen'!D98=0,'Flächen u. Kulturen'!F98="",'Flächen u. Kulturen'!F98='#Boden'!$G$4,'Flächen u. Kulturen'!G98="",'Flächen u. Kulturen'!G98='#Boden'!$B$26,'Flächen u. Kulturen'!H98="",'Flächen u. Kulturen'!H98='#Boden'!$B$23,AND(N93&lt;&gt;2,OR('Flächen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Kulturen'!Q98="",'#BerechnungDBE'!N93&lt;3),AND('Flächen u. Kulturen'!R98="",'#BerechnungDBE'!N93=3),AND(N93=1,AL93&gt;0,'Flächen u. Kulturen'!S98=""),AND(N93=1,OR('Flächen u. Kulturen'!T98="",'Flächen u. Kulturen'!T98='#Boden'!$B$30)),AND('#BerechnungDBE'!AF93=70,OR('Flächen u. Kulturen'!N98="",'Flächen u. Kulturen'!N98='#Boden'!$G$22,'Flächen u. Kulturen'!O98="")),AND('#BerechnungDBE'!AF93=80,OR('Flächen u. Kulturen'!M98="",'Flächen u. Kulturen'!M98='#Boden'!$G$17,'Flächen u. Kulturen'!N98="",'Flächen u. Kulturen'!N98='#Boden'!$G$22))),$DO$4,""))</f>
        <v>1</v>
      </c>
      <c r="DP93" s="247" t="str">
        <f>IF(U93&lt;&gt;"x","",IF(OR(LEFT('Flächen u. Kulturen'!J98,2)=" +",LEFT('Flächen u. Kulturen'!L98,2)=" +",LEFT('Flächen u. Kulturen'!P98,2)=" +"),$DP$4,""))</f>
        <v/>
      </c>
      <c r="DQ93" s="428" t="str">
        <f t="shared" si="58"/>
        <v/>
      </c>
      <c r="DR93" s="938" t="str">
        <f t="shared" si="59"/>
        <v/>
      </c>
      <c r="DS93" s="938" t="str">
        <f>IF('Flächen u. Kulturen'!X98="","",ROW('Flächen u. Kulturen'!X98))</f>
        <v/>
      </c>
    </row>
    <row r="94" spans="1:123" s="875" customFormat="1" x14ac:dyDescent="0.2">
      <c r="A94" s="875" t="str">
        <f>IF('Daten aus 2021'!H96="",'#Boden'!$B$26,IF('Daten aus 2021'!H96='#Boden'!$B$39,IF('Daten aus 2021'!F96='#Boden'!$B$29,'#Boden'!$B$29,IF('Daten aus 2021'!K96='#Boden'!$B$34,'#Boden'!$B$28,'#Boden'!$B$27)),'Daten aus 2021'!F96))</f>
        <v xml:space="preserve"> --</v>
      </c>
      <c r="B94" s="875" t="str">
        <f>IF('Daten aus 2021'!H96='#Boden'!$B$39,IF('Daten aus 2021'!L96='#Boden'!$B$61,'#Boden'!$B$11,'Daten aus 2021'!L96),IF('Daten aus 2021'!P96='#Boden'!$B$58,'#Boden'!$B$11,IF('Daten aus 2021'!P96='#Boden'!$B$57,'#Boden'!$B$10,'#Boden'!$B$9)))</f>
        <v xml:space="preserve"> --         </v>
      </c>
      <c r="C94" s="875" t="str">
        <f>IF('Daten aus 2021'!N96="","",VLOOKUP('Daten aus 2021'!N96,'#Boden'!$B$68:$C$89,2,FALSE))</f>
        <v/>
      </c>
      <c r="D94" s="875" t="str">
        <f>IF('Daten aus 2021'!M96="","",VLOOKUP('Daten aus 2021'!M96,'#Boden'!$D$69:$E$73,2,FALSE))</f>
        <v/>
      </c>
      <c r="E94" s="938" t="str">
        <f>IF(OR(C94='#Boden'!$C$68,C94='#Boden'!$C$70),C94,CONCATENATE(C94,D94))</f>
        <v/>
      </c>
      <c r="F94" s="882" t="str">
        <f>IFERROR(IF('Daten aus 2021'!H96="",'#Frucht'!$D$8,IF('Daten aus 2021'!H96='#Boden'!$B$39,E94,IF('Daten aus 2021'!H96='#Boden'!$B$38,IF(CONCATENATE(" ",'Daten aus 2021'!W96)=$B$2,VLOOKUP($B$3,'#Frucht'!$A$8:$D$372,4,FALSE),VLOOKUP(CONCATENATE(" ",'Daten aus 2021'!W96),'#Frucht'!$A$8:$D$372,4,FALSE)),IF(OR(LEFT('Daten aus 2021'!Q96,5)=" *10 ",LEFT('Daten aus 2021'!Q96,5)=" *11 ",LEFT('Daten aus 2021'!Q96,5)=" *12 ",LEFT('Daten aus 2021'!Q96,5)=" *13 ",LEFT('Daten aus 2021'!Q96,5)=" *14 ",LEFT('Daten aus 2021'!Q96,5)=" *15 "),VLOOKUP(RIGHT('Daten aus 2021'!Q96,LEN('Daten aus 2021'!Q96)-4),'#Frucht'!$A$8:$D$372,4,FALSE),IF(LEFT('Daten aus 2021'!Q96,2)=" *",VLOOKUP(RIGHT('Daten aus 2021'!Q96,LEN('Daten aus 2021'!Q96)-3),'#Frucht'!$A$8:$D$372,4,FALSE),VLOOKUP('Daten aus 2021'!Q96,'#Frucht'!$A$8:$D$372,4,FALSE)))))),'#Frucht'!$D$8)</f>
        <v xml:space="preserve"> --  </v>
      </c>
      <c r="G94" s="127"/>
      <c r="H94" s="31"/>
      <c r="J94" s="938" t="str">
        <f>IF(OR(N94=3,$K$3=0,'Flächen u. Kulturen'!P99=""),"",IF(VLOOKUP('Flächen u. Kulturen'!P99,Kulturen[[HF]:[780]],'#BerechnungDBE'!$K$3,FALSE)=".","",VLOOKUP('Flächen u. Kulturen'!P99,Kulturen[[HF]:[780]],'#BerechnungDBE'!$K$3,FALSE)))</f>
        <v/>
      </c>
      <c r="K94" s="938" t="str">
        <f>IF(OR($K$3=0,'Flächen u. Kulturen'!P99=""),"",IF(N94=3,IF(VLOOKUP('Flächen u. Kulturen'!P99,Kulturen[[HF]:[780]],'#BerechnungDBE'!$K$3,FALSE)=".","",VLOOKUP('Flächen u. Kulturen'!P99,Kulturen[[HF]:[780]],'#BerechnungDBE'!$K$3,FALSE)),""))</f>
        <v/>
      </c>
      <c r="L94" s="367">
        <f>IF('Flächen u. Kulturen'!D99="",0,'Flächen u. Kulturen'!D99)</f>
        <v>0</v>
      </c>
      <c r="M94" s="693">
        <f>IF('Flächen u. Kulturen'!J99="",0,VLOOKUP('Flächen u. Kulturen'!J99,Kulturen[[HF]:[Berechnungsgruppe]],'#Frucht'!$W$1,FALSE))</f>
        <v>1</v>
      </c>
      <c r="N94" s="693">
        <f>IF('Flächen u. Kulturen'!P99="",0,VLOOKUP('Flächen u. Kulturen'!P99,Kulturen[[HF]:[Berechnungsgruppe]],'#Frucht'!$W$1,FALSE))</f>
        <v>1</v>
      </c>
      <c r="O94" s="875">
        <f>IF(N94&lt;&gt;2,N94,IF('Flächen u. Kulturen'!J99='Flächen u. Kulturen'!P99,2,1))</f>
        <v>1</v>
      </c>
      <c r="P94" s="875">
        <f>IF('Flächen u. Kulturen'!F99="",0,VLOOKUP('Flächen u. Kulturen'!F99,'#Boden'!$G$4:$H$8,'#Boden'!$H$1,FALSE))</f>
        <v>1</v>
      </c>
      <c r="Q94" s="875">
        <f>IF('Flächen u. Kulturen'!G99="",0,VLOOKUP('Flächen u. Kulturen'!G99,'#Boden'!$B$26:$C$29,'#Boden'!$C$1,FALSE))</f>
        <v>1</v>
      </c>
      <c r="R94" s="875">
        <f t="shared" si="64"/>
        <v>1</v>
      </c>
      <c r="S94" s="875">
        <f t="shared" si="65"/>
        <v>1</v>
      </c>
      <c r="T94" s="875">
        <f>IF('Flächen u. Kulturen'!H99="",0,VLOOKUP('Flächen u. Kulturen'!H99,'#Boden'!$B$23:$C$25,'#Boden'!$C$1,FALSE))</f>
        <v>2</v>
      </c>
      <c r="U94" s="875" t="str">
        <f>'Flächen u. Kulturen'!E99</f>
        <v>x</v>
      </c>
      <c r="V94" s="938">
        <f>IF('Flächen u. Kulturen'!Q99="",0,_xlfn.NUMBERVALUE('Flächen u. Kulturen'!Q99))</f>
        <v>0</v>
      </c>
      <c r="W94" s="938">
        <f>IF('Flächen u. Kulturen'!R99="",0,_xlfn.NUMBERVALUE('Flächen u. Kulturen'!R99))</f>
        <v>0</v>
      </c>
      <c r="X94" s="875">
        <f>IF('Flächen u. Kulturen'!T99="",0,VLOOKUP('Flächen u. Kulturen'!T99,'#Boden'!$B$30:$C$32,'#Boden'!$C$1,FALSE))</f>
        <v>1</v>
      </c>
      <c r="Y94" s="875">
        <f>IF('Flächen u. Kulturen'!P99="",0,VLOOKUP('Flächen u. Kulturen'!P99,Kulturen[[HF]:[Berechnungsgruppe]],'#Frucht'!$N$1,FALSE))</f>
        <v>0</v>
      </c>
      <c r="Z94" s="875">
        <f t="shared" si="66"/>
        <v>2</v>
      </c>
      <c r="AA94" s="875">
        <f>IF('Flächen u. Kulturen'!P99="",0,VLOOKUP('Flächen u. Kulturen'!P99,Kulturen[[HF]:[Berechnungsgruppe]],'#Frucht'!$V$1,FALSE))</f>
        <v>0</v>
      </c>
      <c r="AB94" s="875">
        <f>IF(N94=1,VLOOKUP('Flächen u. Kulturen'!P99,Kulturen[[HF]:[Ernteprodukt]],'#Frucht'!$I$1,FALSE),4)</f>
        <v>4</v>
      </c>
      <c r="AC94" s="921">
        <f>IF('Flächen u. Kulturen'!J99="",0,VLOOKUP('Flächen u. Kulturen'!J99,Kulturen[[HF]:[Berechnungsgruppe]],'#Frucht'!$G$1,FALSE))</f>
        <v>90</v>
      </c>
      <c r="AD94" s="921">
        <f>IF('Flächen u. Kulturen'!P99="",0,VLOOKUP('Flächen u. Kulturen'!P99,Kulturen[[HF]:[Berechnungsgruppe]],'#Frucht'!$G$1,FALSE))</f>
        <v>90</v>
      </c>
      <c r="AE94" s="938">
        <f>IF('Flächen u. Kulturen'!P99="",0,VLOOKUP('Flächen u. Kulturen'!P99,Kulturen[[HF]:[SollwertMinusNfix]],'#Frucht'!$X$1,FALSE))</f>
        <v>0</v>
      </c>
      <c r="AF94" s="875">
        <f>IF('Flächen u. Kulturen'!L99="",0,VLOOKUP('Flächen u. Kulturen'!L99,Nebenkultur[[Nebenkultur]:[Berechnungsschema]],'#Zweitfr'!$G$1,FALSE))</f>
        <v>0</v>
      </c>
      <c r="AG94" s="875">
        <f>IF('Flächen u. Kulturen'!L99="",0,VLOOKUP('Flächen u. Kulturen'!L99,'#Zweitfr'!$D$8:$Q$27,'#Zweitfr'!$Q$1,FALSE))</f>
        <v>0</v>
      </c>
      <c r="AH94" s="875">
        <f>IF('Flächen u. Kulturen'!M99="",0,VLOOKUP('Flächen u. Kulturen'!M99,'#Boden'!$G$17:$H$21,2,FALSE))</f>
        <v>1</v>
      </c>
      <c r="AI94" s="875">
        <f>IF('Flächen u. Kulturen'!N99="",0,VLOOKUP('Flächen u. Kulturen'!N99,'#Boden'!$G$22:$H$24,'#Boden'!$H$1,FALSE))</f>
        <v>1</v>
      </c>
      <c r="AJ94" s="938">
        <f>IF('Flächen u. Kulturen'!O99="",0,_xlfn.NUMBERVALUE('Flächen u. Kulturen'!O99))</f>
        <v>0</v>
      </c>
      <c r="AK94" s="938">
        <f>IF('Flächen u. Kulturen'!L99="",0,VLOOKUP('Flächen u. Kulturen'!L99,Nebenkultur[[Nebenkultur]:[Legum. Zwischenfr.]],'#Zweitfr'!$P$1,FALSE))</f>
        <v>0</v>
      </c>
      <c r="AL94" s="875">
        <f>IF('Flächen u. Kulturen'!P99="",0,VLOOKUP('Flächen u. Kulturen'!P99,Kulturen[[HF]:[Berechnungsgruppe]],'#Frucht'!$Q$1,FALSE))</f>
        <v>0</v>
      </c>
      <c r="AM94" s="875">
        <f>IF('Flächen u. Kulturen'!P99="",0,VLOOKUP('Flächen u. Kulturen'!P99,Kulturen[[HF]:[Berechnungsgruppe]],'#Frucht'!$M$1,FALSE))</f>
        <v>0</v>
      </c>
      <c r="AN94" s="875">
        <f>IF('Flächen u. Kulturen'!P99="",1,VLOOKUP('Flächen u. Kulturen'!P99,Kulturen[[HF]:[Berechnungsgruppe]],'#Frucht'!$R$1,FALSE))</f>
        <v>10</v>
      </c>
      <c r="AO94" s="875">
        <f>IF('Flächen u. Kulturen'!P99="",0,VLOOKUP('Flächen u. Kulturen'!P99,Kulturen[[HF]:[Berechnungsgruppe]],'#Frucht'!$S$1,FALSE))</f>
        <v>0</v>
      </c>
      <c r="AP94" s="875">
        <f>IF('Flächen u. Kulturen'!P99="",0,VLOOKUP('Flächen u. Kulturen'!P99,Kulturen[[HF]:[Berechnungsgruppe]],'#Frucht'!$T$1,FALSE))</f>
        <v>0</v>
      </c>
      <c r="AQ94" s="938">
        <f t="shared" si="46"/>
        <v>0</v>
      </c>
      <c r="AR94" s="875">
        <f t="shared" si="47"/>
        <v>0</v>
      </c>
      <c r="AS94" s="938">
        <f t="shared" si="48"/>
        <v>0</v>
      </c>
      <c r="AT94" s="875">
        <f>IF(N94=1,'Flächen u. Kulturen'!S99*-1,"--")</f>
        <v>0</v>
      </c>
      <c r="AU94" s="938">
        <f>IF(OR(N94=2,'Flächen u. Kulturen'!I99=""),"--",IF(N94=3,VLOOKUP('Flächen u. Kulturen'!I99,'#Boden'!$B$9:$E$15,'#Boden'!$D$1,FALSE),VLOOKUP('Flächen u. Kulturen'!I99,'#Boden'!$B$9:$E$15,'#Boden'!$E$1,FALSE)))</f>
        <v>0</v>
      </c>
      <c r="AV94" s="938">
        <f>IF(N94=1,IF('Flächen u. Kulturen'!J99="",0,VLOOKUP('Flächen u. Kulturen'!J99,Kulturen[[HF]:[Berechnungsgruppe]],'#Frucht'!$U$1,FALSE)*-1),"--")</f>
        <v>0</v>
      </c>
      <c r="AW94" s="875">
        <f t="shared" si="49"/>
        <v>0</v>
      </c>
      <c r="AX94" s="875">
        <f>IF('Flächen u. Kulturen'!K99="",0,'Flächen u. Kulturen'!K99*-0.1)</f>
        <v>0</v>
      </c>
      <c r="AY94" s="875">
        <f>IF(N94&lt;3,'#orgDung'!AC103*0.1*-1,"--")</f>
        <v>0</v>
      </c>
      <c r="AZ94" s="31" t="str">
        <f>IF(AND('#orgDung'!J103&lt;&gt;2,'#orgDung'!F103=1),('#orgDung'!V103+'#minDung'!O100)*-1,"--")</f>
        <v>--</v>
      </c>
      <c r="BA94" s="875">
        <f t="shared" si="67"/>
        <v>0</v>
      </c>
      <c r="BB94" s="938">
        <f>IF(R94=2,0,'Flächen u. Kulturen'!V99*-1)</f>
        <v>0</v>
      </c>
      <c r="BC94" s="875">
        <f t="shared" si="68"/>
        <v>0</v>
      </c>
      <c r="BD94" s="127">
        <f>'#orgDung'!W103*-1</f>
        <v>0</v>
      </c>
      <c r="BE94" s="910">
        <f>'#orgDung'!AA103*-1</f>
        <v>0</v>
      </c>
      <c r="BF94" s="875">
        <f>'#orgDung'!Z103*-1</f>
        <v>0</v>
      </c>
      <c r="BG94" s="938">
        <f t="shared" si="60"/>
        <v>0</v>
      </c>
      <c r="BH94" s="875">
        <f>'#Kürzungen'!AS118*-1</f>
        <v>0</v>
      </c>
      <c r="BI94" s="875">
        <f t="shared" si="50"/>
        <v>0</v>
      </c>
      <c r="BJ94" s="910">
        <f t="shared" si="51"/>
        <v>0</v>
      </c>
      <c r="BK94" s="875">
        <f>'#minDung'!P100</f>
        <v>0</v>
      </c>
      <c r="BL94" s="938">
        <f t="shared" si="61"/>
        <v>0</v>
      </c>
      <c r="BM94" s="938">
        <f t="shared" si="52"/>
        <v>0</v>
      </c>
      <c r="BN94" s="875">
        <f>IF('Flächen u. Kulturen'!P99="",0,VLOOKUP('Flächen u. Kulturen'!P99,Kulturen[[HF]:[Berechnungsgruppe]],'#Frucht'!$K$1,FALSE))</f>
        <v>0</v>
      </c>
      <c r="BO94" s="875">
        <f>IF('Flächen u. Kulturen'!P99="",0,VLOOKUP('Flächen u. Kulturen'!P99,Kulturen[[HF]:[Berechnungsgruppe]],'#Frucht'!$L$1,FALSE))</f>
        <v>0</v>
      </c>
      <c r="BP94" s="875">
        <f>IF('Flächen u. Kulturen'!L99="",0,VLOOKUP('Flächen u. Kulturen'!L99,Nebenkultur[[Nebenkultur]:[Legum. Zwischenfr.]],'#Zweitfr'!$H$1,FALSE))</f>
        <v>0</v>
      </c>
      <c r="BQ94" s="938">
        <f>IF(N94=3,W94*BO94,IF('Flächen u. Kulturen'!T99='#Boden'!$B$32,V94*BN94,V94*BO94))</f>
        <v>0</v>
      </c>
      <c r="BR94" s="938">
        <f t="shared" si="53"/>
        <v>0</v>
      </c>
      <c r="BS94" s="875">
        <f t="shared" si="69"/>
        <v>0</v>
      </c>
      <c r="BT94" s="875">
        <f>IF('Flächen u. Kulturen'!F99="",0,IF(N94=3,VLOOKUP('Flächen u. Kulturen'!F99,'#Boden'!$G$4:$J$8,'#Boden'!$J$1,FALSE),VLOOKUP('Flächen u. Kulturen'!F99,'#Boden'!$G$4:$J$8,'#Boden'!$I$1,FALSE)))</f>
        <v>0</v>
      </c>
      <c r="BU94" s="41">
        <f t="shared" si="70"/>
        <v>0</v>
      </c>
      <c r="BV94" s="875">
        <f t="shared" si="71"/>
        <v>0</v>
      </c>
      <c r="BW94" s="938" t="str">
        <f t="shared" si="62"/>
        <v/>
      </c>
      <c r="BX94" s="875">
        <f>'#orgDung'!T103*-1</f>
        <v>0</v>
      </c>
      <c r="BY94" s="875">
        <f t="shared" si="54"/>
        <v>0</v>
      </c>
      <c r="BZ94" s="938" t="str">
        <f>IF(U94&lt;&gt;"x",0,IF(P94&lt;4,"",(BW94+BX94-'#minDung'!N100)*-1))</f>
        <v/>
      </c>
      <c r="CB94" s="938">
        <f>IF(AND(AF94=70,U94="x"),'Flächen u. Kulturen'!A99,1000)</f>
        <v>1000</v>
      </c>
      <c r="CC94" s="875" t="str">
        <f>IF(AF94=70,VLOOKUP('Flächen u. Kulturen'!L99,Nebenkultur[[Nebenkultur]:[Legum. Zwischenfr.]],'#Zweitfr'!$I$1,FALSE),"--")</f>
        <v>--</v>
      </c>
      <c r="CD94" s="875" t="str">
        <f>IF(AF94=70,VLOOKUP('Flächen u. Kulturen'!L99,Nebenkultur[[Nebenkultur]:[Legum. Zwischenfr.]],'#Zweitfr'!$L$1,FALSE),"--")</f>
        <v>--</v>
      </c>
      <c r="CE94" s="875" t="str">
        <f>IF(AF94=70,VLOOKUP('Flächen u. Kulturen'!L99,Nebenkultur[[Nebenkultur]:[Legum. Zwischenfr.]],'#Zweitfr'!$M$1,FALSE),"--")</f>
        <v>--</v>
      </c>
      <c r="CF94" s="875" t="str">
        <f>IF(AF94=70,VLOOKUP('Flächen u. Kulturen'!L99,Nebenkultur[[Nebenkultur]:[Legum. Zwischenfr.]],'#Zweitfr'!$N$1,FALSE),"--")</f>
        <v>--</v>
      </c>
      <c r="CG94" s="875" t="str">
        <f>IF(AF94=70,VLOOKUP('Flächen u. Kulturen'!L99,Nebenkultur[[Nebenkultur]:[Legum. Zwischenfr.]],'#Zweitfr'!$O$1,FALSE),"--")</f>
        <v>--</v>
      </c>
      <c r="CH94" s="875" t="str">
        <f t="shared" si="55"/>
        <v>--</v>
      </c>
      <c r="CI94" s="938">
        <f>IF('Flächen u. Kulturen'!L99="",0,VLOOKUP('Flächen u. Kulturen'!L99,Nebenkultur[[Nebenkultur]:[Legum. Zwischenfr.]],'#Zweitfr'!$J$1,FALSE))</f>
        <v>0</v>
      </c>
      <c r="CJ94" s="875">
        <f t="shared" si="56"/>
        <v>0</v>
      </c>
      <c r="CK94" s="890">
        <f t="shared" si="57"/>
        <v>0</v>
      </c>
      <c r="CL94" s="938">
        <f>IF(AND(R94=1,AF94=70),'Flächen u. Kulturen'!W99*-1,0)</f>
        <v>0</v>
      </c>
      <c r="CM94" s="875">
        <f>'#orgDung'!AE103*-1</f>
        <v>0</v>
      </c>
      <c r="CN94" s="875">
        <f t="shared" si="72"/>
        <v>0</v>
      </c>
      <c r="CO94" s="875">
        <f t="shared" si="73"/>
        <v>0</v>
      </c>
      <c r="CP94" s="875">
        <f>'#Kürzungen'!AS219*-1</f>
        <v>0</v>
      </c>
      <c r="CQ94" s="875">
        <f t="shared" si="74"/>
        <v>0</v>
      </c>
      <c r="CR94" s="875">
        <f t="shared" si="75"/>
        <v>0</v>
      </c>
      <c r="CS94" s="875">
        <f>'#minDung'!R100</f>
        <v>0</v>
      </c>
      <c r="CT94" s="938">
        <f t="shared" si="63"/>
        <v>0</v>
      </c>
      <c r="CU94" s="52" t="str">
        <f>'#Kürzungen'!AQ219</f>
        <v xml:space="preserve"> </v>
      </c>
      <c r="CW94" s="247">
        <f>IF('Flächen u. Kulturen'!D99="",0,IF(ISNUMBER('Flächen u. Kulturen'!D99)=TRUE,2,1))</f>
        <v>0</v>
      </c>
      <c r="CX94" s="247">
        <f>IF('Flächen u. Kulturen'!E99="",0,COUNTIF('#Boden'!$B$47,'Flächen u. Kulturen'!E99)+1)</f>
        <v>2</v>
      </c>
      <c r="CY94" s="247">
        <f>IF('Flächen u. Kulturen'!F99="",0,COUNTIF('#Boden'!$G$4:$G$8,'Flächen u. Kulturen'!F99)+1)</f>
        <v>2</v>
      </c>
      <c r="CZ94" s="247">
        <f>IF('Flächen u. Kulturen'!G99="",0,COUNTIF('#Boden'!$B$26:$B$29,'Flächen u. Kulturen'!G99)+1)</f>
        <v>2</v>
      </c>
      <c r="DA94" s="247">
        <f>IF('Flächen u. Kulturen'!H99="",0,COUNTIF('#Boden'!$B$26:$B$29,'Flächen u. Kulturen'!H99)+1)</f>
        <v>2</v>
      </c>
      <c r="DB94" s="247">
        <f>IF('Flächen u. Kulturen'!I99="",0,COUNTIF('#Boden'!$B$9:$B$15,'Flächen u. Kulturen'!I99)+1)</f>
        <v>2</v>
      </c>
      <c r="DC94" s="247">
        <f>IF('Flächen u. Kulturen'!J99="",0,COUNTIF(Kulturen[HF],'Flächen u. Kulturen'!J99)+1)</f>
        <v>2</v>
      </c>
      <c r="DD94" s="247">
        <f>IF('Flächen u. Kulturen'!L99="",0,COUNTIF(Nebenkultur[Nebenkultur],'Flächen u. Kulturen'!L99)+1)</f>
        <v>2</v>
      </c>
      <c r="DE94" s="247">
        <f>IF('Flächen u. Kulturen'!M99="",0,COUNTIF('#Boden'!$G$17:$G$21,'Flächen u. Kulturen'!M99)+1)</f>
        <v>2</v>
      </c>
      <c r="DF94" s="247">
        <f>IF('Flächen u. Kulturen'!N99="",0,COUNTIF('#Boden'!$G$22:$G$24,'Flächen u. Kulturen'!N99)+1)</f>
        <v>2</v>
      </c>
      <c r="DG94" s="247">
        <f>IF('Flächen u. Kulturen'!P99="",0,COUNTIF(Kulturen[HF],'Flächen u. Kulturen'!P99)+1)</f>
        <v>2</v>
      </c>
      <c r="DH94" s="247">
        <f>IF('Flächen u. Kulturen'!T99="",0,COUNTIF('#Boden'!$B$30:$B$32,'Flächen u. Kulturen'!T99)+1)</f>
        <v>2</v>
      </c>
      <c r="DI94" s="247">
        <f>IF('Flächen u. Kulturen'!K99="",0,IF(ISNUMBER('Flächen u. Kulturen'!K99)=TRUE,2,1))</f>
        <v>0</v>
      </c>
      <c r="DJ94" s="247">
        <f>IF('Flächen u. Kulturen'!U99="",0,IF(ISNUMBER('Flächen u. Kulturen'!U99)=TRUE,2,1))</f>
        <v>0</v>
      </c>
      <c r="DK94" s="247">
        <f>IF('Flächen u. Kulturen'!V99="",0,IF(ISNUMBER('Flächen u. Kulturen'!V99)=TRUE,2,1))</f>
        <v>0</v>
      </c>
      <c r="DL94" s="247">
        <f>IF('Flächen u. Kulturen'!W99="",0,IF(ISNUMBER('Flächen u. Kulturen'!W99)=TRUE,2,1))</f>
        <v>0</v>
      </c>
      <c r="DM94" s="247">
        <f t="shared" si="76"/>
        <v>0</v>
      </c>
      <c r="DN94" s="247" t="s">
        <v>344</v>
      </c>
      <c r="DO94" s="247">
        <f>IF(U94&lt;&gt;"x","",IF(OR('Flächen u. Kulturen'!B99="",'Flächen u. Kulturen'!C99="",'Flächen u. Kulturen'!D99="",'Flächen u. Kulturen'!D99=0,'Flächen u. Kulturen'!F99="",'Flächen u. Kulturen'!F99='#Boden'!$G$4,'Flächen u. Kulturen'!G99="",'Flächen u. Kulturen'!G99='#Boden'!$B$26,'Flächen u. Kulturen'!H99="",'Flächen u. Kulturen'!H99='#Boden'!$B$23,AND(N94&lt;&gt;2,OR('Flächen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Kulturen'!Q99="",'#BerechnungDBE'!N94&lt;3),AND('Flächen u. Kulturen'!R99="",'#BerechnungDBE'!N94=3),AND(N94=1,AL94&gt;0,'Flächen u. Kulturen'!S99=""),AND(N94=1,OR('Flächen u. Kulturen'!T99="",'Flächen u. Kulturen'!T99='#Boden'!$B$30)),AND('#BerechnungDBE'!AF94=70,OR('Flächen u. Kulturen'!N99="",'Flächen u. Kulturen'!N99='#Boden'!$G$22,'Flächen u. Kulturen'!O99="")),AND('#BerechnungDBE'!AF94=80,OR('Flächen u. Kulturen'!M99="",'Flächen u. Kulturen'!M99='#Boden'!$G$17,'Flächen u. Kulturen'!N99="",'Flächen u. Kulturen'!N99='#Boden'!$G$22))),$DO$4,""))</f>
        <v>1</v>
      </c>
      <c r="DP94" s="247" t="str">
        <f>IF(U94&lt;&gt;"x","",IF(OR(LEFT('Flächen u. Kulturen'!J99,2)=" +",LEFT('Flächen u. Kulturen'!L99,2)=" +",LEFT('Flächen u. Kulturen'!P99,2)=" +"),$DP$4,""))</f>
        <v/>
      </c>
      <c r="DQ94" s="428" t="str">
        <f t="shared" si="58"/>
        <v/>
      </c>
      <c r="DR94" s="938" t="str">
        <f t="shared" si="59"/>
        <v/>
      </c>
      <c r="DS94" s="938" t="str">
        <f>IF('Flächen u. Kulturen'!X99="","",ROW('Flächen u. Kulturen'!X99))</f>
        <v/>
      </c>
    </row>
    <row r="95" spans="1:123" s="875" customFormat="1" x14ac:dyDescent="0.2">
      <c r="A95" s="875" t="str">
        <f>IF('Daten aus 2021'!H97="",'#Boden'!$B$26,IF('Daten aus 2021'!H97='#Boden'!$B$39,IF('Daten aus 2021'!F97='#Boden'!$B$29,'#Boden'!$B$29,IF('Daten aus 2021'!K97='#Boden'!$B$34,'#Boden'!$B$28,'#Boden'!$B$27)),'Daten aus 2021'!F97))</f>
        <v xml:space="preserve"> --</v>
      </c>
      <c r="B95" s="875" t="str">
        <f>IF('Daten aus 2021'!H97='#Boden'!$B$39,IF('Daten aus 2021'!L97='#Boden'!$B$61,'#Boden'!$B$11,'Daten aus 2021'!L97),IF('Daten aus 2021'!P97='#Boden'!$B$58,'#Boden'!$B$11,IF('Daten aus 2021'!P97='#Boden'!$B$57,'#Boden'!$B$10,'#Boden'!$B$9)))</f>
        <v xml:space="preserve"> --         </v>
      </c>
      <c r="C95" s="875" t="str">
        <f>IF('Daten aus 2021'!N97="","",VLOOKUP('Daten aus 2021'!N97,'#Boden'!$B$68:$C$89,2,FALSE))</f>
        <v/>
      </c>
      <c r="D95" s="875" t="str">
        <f>IF('Daten aus 2021'!M97="","",VLOOKUP('Daten aus 2021'!M97,'#Boden'!$D$69:$E$73,2,FALSE))</f>
        <v/>
      </c>
      <c r="E95" s="938" t="str">
        <f>IF(OR(C95='#Boden'!$C$68,C95='#Boden'!$C$70),C95,CONCATENATE(C95,D95))</f>
        <v/>
      </c>
      <c r="F95" s="882" t="str">
        <f>IFERROR(IF('Daten aus 2021'!H97="",'#Frucht'!$D$8,IF('Daten aus 2021'!H97='#Boden'!$B$39,E95,IF('Daten aus 2021'!H97='#Boden'!$B$38,IF(CONCATENATE(" ",'Daten aus 2021'!W97)=$B$2,VLOOKUP($B$3,'#Frucht'!$A$8:$D$372,4,FALSE),VLOOKUP(CONCATENATE(" ",'Daten aus 2021'!W97),'#Frucht'!$A$8:$D$372,4,FALSE)),IF(OR(LEFT('Daten aus 2021'!Q97,5)=" *10 ",LEFT('Daten aus 2021'!Q97,5)=" *11 ",LEFT('Daten aus 2021'!Q97,5)=" *12 ",LEFT('Daten aus 2021'!Q97,5)=" *13 ",LEFT('Daten aus 2021'!Q97,5)=" *14 ",LEFT('Daten aus 2021'!Q97,5)=" *15 "),VLOOKUP(RIGHT('Daten aus 2021'!Q97,LEN('Daten aus 2021'!Q97)-4),'#Frucht'!$A$8:$D$372,4,FALSE),IF(LEFT('Daten aus 2021'!Q97,2)=" *",VLOOKUP(RIGHT('Daten aus 2021'!Q97,LEN('Daten aus 2021'!Q97)-3),'#Frucht'!$A$8:$D$372,4,FALSE),VLOOKUP('Daten aus 2021'!Q97,'#Frucht'!$A$8:$D$372,4,FALSE)))))),'#Frucht'!$D$8)</f>
        <v xml:space="preserve"> --  </v>
      </c>
      <c r="G95" s="127"/>
      <c r="H95" s="31"/>
      <c r="J95" s="938" t="str">
        <f>IF(OR(N95=3,$K$3=0,'Flächen u. Kulturen'!P100=""),"",IF(VLOOKUP('Flächen u. Kulturen'!P100,Kulturen[[HF]:[780]],'#BerechnungDBE'!$K$3,FALSE)=".","",VLOOKUP('Flächen u. Kulturen'!P100,Kulturen[[HF]:[780]],'#BerechnungDBE'!$K$3,FALSE)))</f>
        <v/>
      </c>
      <c r="K95" s="938" t="str">
        <f>IF(OR($K$3=0,'Flächen u. Kulturen'!P100=""),"",IF(N95=3,IF(VLOOKUP('Flächen u. Kulturen'!P100,Kulturen[[HF]:[780]],'#BerechnungDBE'!$K$3,FALSE)=".","",VLOOKUP('Flächen u. Kulturen'!P100,Kulturen[[HF]:[780]],'#BerechnungDBE'!$K$3,FALSE)),""))</f>
        <v/>
      </c>
      <c r="L95" s="367">
        <f>IF('Flächen u. Kulturen'!D100="",0,'Flächen u. Kulturen'!D100)</f>
        <v>0</v>
      </c>
      <c r="M95" s="693">
        <f>IF('Flächen u. Kulturen'!J100="",0,VLOOKUP('Flächen u. Kulturen'!J100,Kulturen[[HF]:[Berechnungsgruppe]],'#Frucht'!$W$1,FALSE))</f>
        <v>1</v>
      </c>
      <c r="N95" s="693">
        <f>IF('Flächen u. Kulturen'!P100="",0,VLOOKUP('Flächen u. Kulturen'!P100,Kulturen[[HF]:[Berechnungsgruppe]],'#Frucht'!$W$1,FALSE))</f>
        <v>1</v>
      </c>
      <c r="O95" s="875">
        <f>IF(N95&lt;&gt;2,N95,IF('Flächen u. Kulturen'!J100='Flächen u. Kulturen'!P100,2,1))</f>
        <v>1</v>
      </c>
      <c r="P95" s="875">
        <f>IF('Flächen u. Kulturen'!F100="",0,VLOOKUP('Flächen u. Kulturen'!F100,'#Boden'!$G$4:$H$8,'#Boden'!$H$1,FALSE))</f>
        <v>1</v>
      </c>
      <c r="Q95" s="875">
        <f>IF('Flächen u. Kulturen'!G100="",0,VLOOKUP('Flächen u. Kulturen'!G100,'#Boden'!$B$26:$C$29,'#Boden'!$C$1,FALSE))</f>
        <v>1</v>
      </c>
      <c r="R95" s="875">
        <f t="shared" si="64"/>
        <v>1</v>
      </c>
      <c r="S95" s="875">
        <f t="shared" si="65"/>
        <v>1</v>
      </c>
      <c r="T95" s="875">
        <f>IF('Flächen u. Kulturen'!H100="",0,VLOOKUP('Flächen u. Kulturen'!H100,'#Boden'!$B$23:$C$25,'#Boden'!$C$1,FALSE))</f>
        <v>2</v>
      </c>
      <c r="U95" s="875" t="str">
        <f>'Flächen u. Kulturen'!E100</f>
        <v>x</v>
      </c>
      <c r="V95" s="938">
        <f>IF('Flächen u. Kulturen'!Q100="",0,_xlfn.NUMBERVALUE('Flächen u. Kulturen'!Q100))</f>
        <v>0</v>
      </c>
      <c r="W95" s="938">
        <f>IF('Flächen u. Kulturen'!R100="",0,_xlfn.NUMBERVALUE('Flächen u. Kulturen'!R100))</f>
        <v>0</v>
      </c>
      <c r="X95" s="875">
        <f>IF('Flächen u. Kulturen'!T100="",0,VLOOKUP('Flächen u. Kulturen'!T100,'#Boden'!$B$30:$C$32,'#Boden'!$C$1,FALSE))</f>
        <v>1</v>
      </c>
      <c r="Y95" s="875">
        <f>IF('Flächen u. Kulturen'!P100="",0,VLOOKUP('Flächen u. Kulturen'!P100,Kulturen[[HF]:[Berechnungsgruppe]],'#Frucht'!$N$1,FALSE))</f>
        <v>0</v>
      </c>
      <c r="Z95" s="875">
        <f t="shared" si="66"/>
        <v>2</v>
      </c>
      <c r="AA95" s="875">
        <f>IF('Flächen u. Kulturen'!P100="",0,VLOOKUP('Flächen u. Kulturen'!P100,Kulturen[[HF]:[Berechnungsgruppe]],'#Frucht'!$V$1,FALSE))</f>
        <v>0</v>
      </c>
      <c r="AB95" s="875">
        <f>IF(N95=1,VLOOKUP('Flächen u. Kulturen'!P100,Kulturen[[HF]:[Ernteprodukt]],'#Frucht'!$I$1,FALSE),4)</f>
        <v>4</v>
      </c>
      <c r="AC95" s="921">
        <f>IF('Flächen u. Kulturen'!J100="",0,VLOOKUP('Flächen u. Kulturen'!J100,Kulturen[[HF]:[Berechnungsgruppe]],'#Frucht'!$G$1,FALSE))</f>
        <v>90</v>
      </c>
      <c r="AD95" s="921">
        <f>IF('Flächen u. Kulturen'!P100="",0,VLOOKUP('Flächen u. Kulturen'!P100,Kulturen[[HF]:[Berechnungsgruppe]],'#Frucht'!$G$1,FALSE))</f>
        <v>90</v>
      </c>
      <c r="AE95" s="938">
        <f>IF('Flächen u. Kulturen'!P100="",0,VLOOKUP('Flächen u. Kulturen'!P100,Kulturen[[HF]:[SollwertMinusNfix]],'#Frucht'!$X$1,FALSE))</f>
        <v>0</v>
      </c>
      <c r="AF95" s="875">
        <f>IF('Flächen u. Kulturen'!L100="",0,VLOOKUP('Flächen u. Kulturen'!L100,Nebenkultur[[Nebenkultur]:[Berechnungsschema]],'#Zweitfr'!$G$1,FALSE))</f>
        <v>0</v>
      </c>
      <c r="AG95" s="875">
        <f>IF('Flächen u. Kulturen'!L100="",0,VLOOKUP('Flächen u. Kulturen'!L100,'#Zweitfr'!$D$8:$Q$27,'#Zweitfr'!$Q$1,FALSE))</f>
        <v>0</v>
      </c>
      <c r="AH95" s="875">
        <f>IF('Flächen u. Kulturen'!M100="",0,VLOOKUP('Flächen u. Kulturen'!M100,'#Boden'!$G$17:$H$21,2,FALSE))</f>
        <v>1</v>
      </c>
      <c r="AI95" s="875">
        <f>IF('Flächen u. Kulturen'!N100="",0,VLOOKUP('Flächen u. Kulturen'!N100,'#Boden'!$G$22:$H$24,'#Boden'!$H$1,FALSE))</f>
        <v>1</v>
      </c>
      <c r="AJ95" s="938">
        <f>IF('Flächen u. Kulturen'!O100="",0,_xlfn.NUMBERVALUE('Flächen u. Kulturen'!O100))</f>
        <v>0</v>
      </c>
      <c r="AK95" s="938">
        <f>IF('Flächen u. Kulturen'!L100="",0,VLOOKUP('Flächen u. Kulturen'!L100,Nebenkultur[[Nebenkultur]:[Legum. Zwischenfr.]],'#Zweitfr'!$P$1,FALSE))</f>
        <v>0</v>
      </c>
      <c r="AL95" s="875">
        <f>IF('Flächen u. Kulturen'!P100="",0,VLOOKUP('Flächen u. Kulturen'!P100,Kulturen[[HF]:[Berechnungsgruppe]],'#Frucht'!$Q$1,FALSE))</f>
        <v>0</v>
      </c>
      <c r="AM95" s="875">
        <f>IF('Flächen u. Kulturen'!P100="",0,VLOOKUP('Flächen u. Kulturen'!P100,Kulturen[[HF]:[Berechnungsgruppe]],'#Frucht'!$M$1,FALSE))</f>
        <v>0</v>
      </c>
      <c r="AN95" s="875">
        <f>IF('Flächen u. Kulturen'!P100="",1,VLOOKUP('Flächen u. Kulturen'!P100,Kulturen[[HF]:[Berechnungsgruppe]],'#Frucht'!$R$1,FALSE))</f>
        <v>10</v>
      </c>
      <c r="AO95" s="875">
        <f>IF('Flächen u. Kulturen'!P100="",0,VLOOKUP('Flächen u. Kulturen'!P100,Kulturen[[HF]:[Berechnungsgruppe]],'#Frucht'!$S$1,FALSE))</f>
        <v>0</v>
      </c>
      <c r="AP95" s="875">
        <f>IF('Flächen u. Kulturen'!P100="",0,VLOOKUP('Flächen u. Kulturen'!P100,Kulturen[[HF]:[Berechnungsgruppe]],'#Frucht'!$T$1,FALSE))</f>
        <v>0</v>
      </c>
      <c r="AQ95" s="938">
        <f t="shared" si="46"/>
        <v>0</v>
      </c>
      <c r="AR95" s="875">
        <f t="shared" si="47"/>
        <v>0</v>
      </c>
      <c r="AS95" s="938">
        <f t="shared" si="48"/>
        <v>0</v>
      </c>
      <c r="AT95" s="875">
        <f>IF(N95=1,'Flächen u. Kulturen'!S100*-1,"--")</f>
        <v>0</v>
      </c>
      <c r="AU95" s="938">
        <f>IF(OR(N95=2,'Flächen u. Kulturen'!I100=""),"--",IF(N95=3,VLOOKUP('Flächen u. Kulturen'!I100,'#Boden'!$B$9:$E$15,'#Boden'!$D$1,FALSE),VLOOKUP('Flächen u. Kulturen'!I100,'#Boden'!$B$9:$E$15,'#Boden'!$E$1,FALSE)))</f>
        <v>0</v>
      </c>
      <c r="AV95" s="938">
        <f>IF(N95=1,IF('Flächen u. Kulturen'!J100="",0,VLOOKUP('Flächen u. Kulturen'!J100,Kulturen[[HF]:[Berechnungsgruppe]],'#Frucht'!$U$1,FALSE)*-1),"--")</f>
        <v>0</v>
      </c>
      <c r="AW95" s="875">
        <f t="shared" si="49"/>
        <v>0</v>
      </c>
      <c r="AX95" s="875">
        <f>IF('Flächen u. Kulturen'!K100="",0,'Flächen u. Kulturen'!K100*-0.1)</f>
        <v>0</v>
      </c>
      <c r="AY95" s="875">
        <f>IF(N95&lt;3,'#orgDung'!AC104*0.1*-1,"--")</f>
        <v>0</v>
      </c>
      <c r="AZ95" s="31" t="str">
        <f>IF(AND('#orgDung'!J104&lt;&gt;2,'#orgDung'!F104=1),('#orgDung'!V104+'#minDung'!O101)*-1,"--")</f>
        <v>--</v>
      </c>
      <c r="BA95" s="875">
        <f t="shared" si="67"/>
        <v>0</v>
      </c>
      <c r="BB95" s="938">
        <f>IF(R95=2,0,'Flächen u. Kulturen'!V100*-1)</f>
        <v>0</v>
      </c>
      <c r="BC95" s="875">
        <f t="shared" si="68"/>
        <v>0</v>
      </c>
      <c r="BD95" s="127">
        <f>'#orgDung'!W104*-1</f>
        <v>0</v>
      </c>
      <c r="BE95" s="910">
        <f>'#orgDung'!AA104*-1</f>
        <v>0</v>
      </c>
      <c r="BF95" s="875">
        <f>'#orgDung'!Z104*-1</f>
        <v>0</v>
      </c>
      <c r="BG95" s="938">
        <f t="shared" si="60"/>
        <v>0</v>
      </c>
      <c r="BH95" s="875">
        <f>'#Kürzungen'!AS119*-1</f>
        <v>0</v>
      </c>
      <c r="BI95" s="875">
        <f t="shared" si="50"/>
        <v>0</v>
      </c>
      <c r="BJ95" s="910">
        <f t="shared" si="51"/>
        <v>0</v>
      </c>
      <c r="BK95" s="875">
        <f>'#minDung'!P101</f>
        <v>0</v>
      </c>
      <c r="BL95" s="938">
        <f t="shared" si="61"/>
        <v>0</v>
      </c>
      <c r="BM95" s="938">
        <f t="shared" si="52"/>
        <v>0</v>
      </c>
      <c r="BN95" s="875">
        <f>IF('Flächen u. Kulturen'!P100="",0,VLOOKUP('Flächen u. Kulturen'!P100,Kulturen[[HF]:[Berechnungsgruppe]],'#Frucht'!$K$1,FALSE))</f>
        <v>0</v>
      </c>
      <c r="BO95" s="875">
        <f>IF('Flächen u. Kulturen'!P100="",0,VLOOKUP('Flächen u. Kulturen'!P100,Kulturen[[HF]:[Berechnungsgruppe]],'#Frucht'!$L$1,FALSE))</f>
        <v>0</v>
      </c>
      <c r="BP95" s="875">
        <f>IF('Flächen u. Kulturen'!L100="",0,VLOOKUP('Flächen u. Kulturen'!L100,Nebenkultur[[Nebenkultur]:[Legum. Zwischenfr.]],'#Zweitfr'!$H$1,FALSE))</f>
        <v>0</v>
      </c>
      <c r="BQ95" s="938">
        <f>IF(N95=3,W95*BO95,IF('Flächen u. Kulturen'!T100='#Boden'!$B$32,V95*BN95,V95*BO95))</f>
        <v>0</v>
      </c>
      <c r="BR95" s="938">
        <f t="shared" si="53"/>
        <v>0</v>
      </c>
      <c r="BS95" s="875">
        <f t="shared" si="69"/>
        <v>0</v>
      </c>
      <c r="BT95" s="875">
        <f>IF('Flächen u. Kulturen'!F100="",0,IF(N95=3,VLOOKUP('Flächen u. Kulturen'!F100,'#Boden'!$G$4:$J$8,'#Boden'!$J$1,FALSE),VLOOKUP('Flächen u. Kulturen'!F100,'#Boden'!$G$4:$J$8,'#Boden'!$I$1,FALSE)))</f>
        <v>0</v>
      </c>
      <c r="BU95" s="41">
        <f t="shared" si="70"/>
        <v>0</v>
      </c>
      <c r="BV95" s="875">
        <f t="shared" si="71"/>
        <v>0</v>
      </c>
      <c r="BW95" s="938" t="str">
        <f t="shared" si="62"/>
        <v/>
      </c>
      <c r="BX95" s="875">
        <f>'#orgDung'!T104*-1</f>
        <v>0</v>
      </c>
      <c r="BY95" s="875">
        <f t="shared" si="54"/>
        <v>0</v>
      </c>
      <c r="BZ95" s="938" t="str">
        <f>IF(U95&lt;&gt;"x",0,IF(P95&lt;4,"",(BW95+BX95-'#minDung'!N101)*-1))</f>
        <v/>
      </c>
      <c r="CB95" s="938">
        <f>IF(AND(AF95=70,U95="x"),'Flächen u. Kulturen'!A100,1000)</f>
        <v>1000</v>
      </c>
      <c r="CC95" s="875" t="str">
        <f>IF(AF95=70,VLOOKUP('Flächen u. Kulturen'!L100,Nebenkultur[[Nebenkultur]:[Legum. Zwischenfr.]],'#Zweitfr'!$I$1,FALSE),"--")</f>
        <v>--</v>
      </c>
      <c r="CD95" s="875" t="str">
        <f>IF(AF95=70,VLOOKUP('Flächen u. Kulturen'!L100,Nebenkultur[[Nebenkultur]:[Legum. Zwischenfr.]],'#Zweitfr'!$L$1,FALSE),"--")</f>
        <v>--</v>
      </c>
      <c r="CE95" s="875" t="str">
        <f>IF(AF95=70,VLOOKUP('Flächen u. Kulturen'!L100,Nebenkultur[[Nebenkultur]:[Legum. Zwischenfr.]],'#Zweitfr'!$M$1,FALSE),"--")</f>
        <v>--</v>
      </c>
      <c r="CF95" s="875" t="str">
        <f>IF(AF95=70,VLOOKUP('Flächen u. Kulturen'!L100,Nebenkultur[[Nebenkultur]:[Legum. Zwischenfr.]],'#Zweitfr'!$N$1,FALSE),"--")</f>
        <v>--</v>
      </c>
      <c r="CG95" s="875" t="str">
        <f>IF(AF95=70,VLOOKUP('Flächen u. Kulturen'!L100,Nebenkultur[[Nebenkultur]:[Legum. Zwischenfr.]],'#Zweitfr'!$O$1,FALSE),"--")</f>
        <v>--</v>
      </c>
      <c r="CH95" s="875" t="str">
        <f t="shared" si="55"/>
        <v>--</v>
      </c>
      <c r="CI95" s="938">
        <f>IF('Flächen u. Kulturen'!L100="",0,VLOOKUP('Flächen u. Kulturen'!L100,Nebenkultur[[Nebenkultur]:[Legum. Zwischenfr.]],'#Zweitfr'!$J$1,FALSE))</f>
        <v>0</v>
      </c>
      <c r="CJ95" s="875">
        <f t="shared" si="56"/>
        <v>0</v>
      </c>
      <c r="CK95" s="890">
        <f t="shared" si="57"/>
        <v>0</v>
      </c>
      <c r="CL95" s="938">
        <f>IF(AND(R95=1,AF95=70),'Flächen u. Kulturen'!W100*-1,0)</f>
        <v>0</v>
      </c>
      <c r="CM95" s="875">
        <f>'#orgDung'!AE104*-1</f>
        <v>0</v>
      </c>
      <c r="CN95" s="875">
        <f t="shared" si="72"/>
        <v>0</v>
      </c>
      <c r="CO95" s="875">
        <f t="shared" si="73"/>
        <v>0</v>
      </c>
      <c r="CP95" s="875">
        <f>'#Kürzungen'!AS220*-1</f>
        <v>0</v>
      </c>
      <c r="CQ95" s="875">
        <f t="shared" si="74"/>
        <v>0</v>
      </c>
      <c r="CR95" s="875">
        <f t="shared" si="75"/>
        <v>0</v>
      </c>
      <c r="CS95" s="875">
        <f>'#minDung'!R101</f>
        <v>0</v>
      </c>
      <c r="CT95" s="938">
        <f t="shared" si="63"/>
        <v>0</v>
      </c>
      <c r="CU95" s="52" t="str">
        <f>'#Kürzungen'!AQ220</f>
        <v xml:space="preserve"> </v>
      </c>
      <c r="CW95" s="247">
        <f>IF('Flächen u. Kulturen'!D100="",0,IF(ISNUMBER('Flächen u. Kulturen'!D100)=TRUE,2,1))</f>
        <v>0</v>
      </c>
      <c r="CX95" s="247">
        <f>IF('Flächen u. Kulturen'!E100="",0,COUNTIF('#Boden'!$B$47,'Flächen u. Kulturen'!E100)+1)</f>
        <v>2</v>
      </c>
      <c r="CY95" s="247">
        <f>IF('Flächen u. Kulturen'!F100="",0,COUNTIF('#Boden'!$G$4:$G$8,'Flächen u. Kulturen'!F100)+1)</f>
        <v>2</v>
      </c>
      <c r="CZ95" s="247">
        <f>IF('Flächen u. Kulturen'!G100="",0,COUNTIF('#Boden'!$B$26:$B$29,'Flächen u. Kulturen'!G100)+1)</f>
        <v>2</v>
      </c>
      <c r="DA95" s="247">
        <f>IF('Flächen u. Kulturen'!H100="",0,COUNTIF('#Boden'!$B$26:$B$29,'Flächen u. Kulturen'!H100)+1)</f>
        <v>2</v>
      </c>
      <c r="DB95" s="247">
        <f>IF('Flächen u. Kulturen'!I100="",0,COUNTIF('#Boden'!$B$9:$B$15,'Flächen u. Kulturen'!I100)+1)</f>
        <v>2</v>
      </c>
      <c r="DC95" s="247">
        <f>IF('Flächen u. Kulturen'!J100="",0,COUNTIF(Kulturen[HF],'Flächen u. Kulturen'!J100)+1)</f>
        <v>2</v>
      </c>
      <c r="DD95" s="247">
        <f>IF('Flächen u. Kulturen'!L100="",0,COUNTIF(Nebenkultur[Nebenkultur],'Flächen u. Kulturen'!L100)+1)</f>
        <v>2</v>
      </c>
      <c r="DE95" s="247">
        <f>IF('Flächen u. Kulturen'!M100="",0,COUNTIF('#Boden'!$G$17:$G$21,'Flächen u. Kulturen'!M100)+1)</f>
        <v>2</v>
      </c>
      <c r="DF95" s="247">
        <f>IF('Flächen u. Kulturen'!N100="",0,COUNTIF('#Boden'!$G$22:$G$24,'Flächen u. Kulturen'!N100)+1)</f>
        <v>2</v>
      </c>
      <c r="DG95" s="247">
        <f>IF('Flächen u. Kulturen'!P100="",0,COUNTIF(Kulturen[HF],'Flächen u. Kulturen'!P100)+1)</f>
        <v>2</v>
      </c>
      <c r="DH95" s="247">
        <f>IF('Flächen u. Kulturen'!T100="",0,COUNTIF('#Boden'!$B$30:$B$32,'Flächen u. Kulturen'!T100)+1)</f>
        <v>2</v>
      </c>
      <c r="DI95" s="247">
        <f>IF('Flächen u. Kulturen'!K100="",0,IF(ISNUMBER('Flächen u. Kulturen'!K100)=TRUE,2,1))</f>
        <v>0</v>
      </c>
      <c r="DJ95" s="247">
        <f>IF('Flächen u. Kulturen'!U100="",0,IF(ISNUMBER('Flächen u. Kulturen'!U100)=TRUE,2,1))</f>
        <v>0</v>
      </c>
      <c r="DK95" s="247">
        <f>IF('Flächen u. Kulturen'!V100="",0,IF(ISNUMBER('Flächen u. Kulturen'!V100)=TRUE,2,1))</f>
        <v>0</v>
      </c>
      <c r="DL95" s="247">
        <f>IF('Flächen u. Kulturen'!W100="",0,IF(ISNUMBER('Flächen u. Kulturen'!W100)=TRUE,2,1))</f>
        <v>0</v>
      </c>
      <c r="DM95" s="247">
        <f t="shared" si="76"/>
        <v>0</v>
      </c>
      <c r="DN95" s="247" t="s">
        <v>344</v>
      </c>
      <c r="DO95" s="247">
        <f>IF(U95&lt;&gt;"x","",IF(OR('Flächen u. Kulturen'!B100="",'Flächen u. Kulturen'!C100="",'Flächen u. Kulturen'!D100="",'Flächen u. Kulturen'!D100=0,'Flächen u. Kulturen'!F100="",'Flächen u. Kulturen'!F100='#Boden'!$G$4,'Flächen u. Kulturen'!G100="",'Flächen u. Kulturen'!G100='#Boden'!$B$26,'Flächen u. Kulturen'!H100="",'Flächen u. Kulturen'!H100='#Boden'!$B$23,AND(N95&lt;&gt;2,OR('Flächen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Kulturen'!Q100="",'#BerechnungDBE'!N95&lt;3),AND('Flächen u. Kulturen'!R100="",'#BerechnungDBE'!N95=3),AND(N95=1,AL95&gt;0,'Flächen u. Kulturen'!S100=""),AND(N95=1,OR('Flächen u. Kulturen'!T100="",'Flächen u. Kulturen'!T100='#Boden'!$B$30)),AND('#BerechnungDBE'!AF95=70,OR('Flächen u. Kulturen'!N100="",'Flächen u. Kulturen'!N100='#Boden'!$G$22,'Flächen u. Kulturen'!O100="")),AND('#BerechnungDBE'!AF95=80,OR('Flächen u. Kulturen'!M100="",'Flächen u. Kulturen'!M100='#Boden'!$G$17,'Flächen u. Kulturen'!N100="",'Flächen u. Kulturen'!N100='#Boden'!$G$22))),$DO$4,""))</f>
        <v>1</v>
      </c>
      <c r="DP95" s="247" t="str">
        <f>IF(U95&lt;&gt;"x","",IF(OR(LEFT('Flächen u. Kulturen'!J100,2)=" +",LEFT('Flächen u. Kulturen'!L100,2)=" +",LEFT('Flächen u. Kulturen'!P100,2)=" +"),$DP$4,""))</f>
        <v/>
      </c>
      <c r="DQ95" s="428" t="str">
        <f t="shared" si="58"/>
        <v/>
      </c>
      <c r="DR95" s="938" t="str">
        <f t="shared" si="59"/>
        <v/>
      </c>
      <c r="DS95" s="938" t="str">
        <f>IF('Flächen u. Kulturen'!X100="","",ROW('Flächen u. Kulturen'!X100))</f>
        <v/>
      </c>
    </row>
    <row r="96" spans="1:123" s="875" customFormat="1" x14ac:dyDescent="0.2">
      <c r="A96" s="875" t="str">
        <f>IF('Daten aus 2021'!H98="",'#Boden'!$B$26,IF('Daten aus 2021'!H98='#Boden'!$B$39,IF('Daten aus 2021'!F98='#Boden'!$B$29,'#Boden'!$B$29,IF('Daten aus 2021'!K98='#Boden'!$B$34,'#Boden'!$B$28,'#Boden'!$B$27)),'Daten aus 2021'!F98))</f>
        <v xml:space="preserve"> --</v>
      </c>
      <c r="B96" s="875" t="str">
        <f>IF('Daten aus 2021'!H98='#Boden'!$B$39,IF('Daten aus 2021'!L98='#Boden'!$B$61,'#Boden'!$B$11,'Daten aus 2021'!L98),IF('Daten aus 2021'!P98='#Boden'!$B$58,'#Boden'!$B$11,IF('Daten aus 2021'!P98='#Boden'!$B$57,'#Boden'!$B$10,'#Boden'!$B$9)))</f>
        <v xml:space="preserve"> --         </v>
      </c>
      <c r="C96" s="875" t="str">
        <f>IF('Daten aus 2021'!N98="","",VLOOKUP('Daten aus 2021'!N98,'#Boden'!$B$68:$C$89,2,FALSE))</f>
        <v/>
      </c>
      <c r="D96" s="875" t="str">
        <f>IF('Daten aus 2021'!M98="","",VLOOKUP('Daten aus 2021'!M98,'#Boden'!$D$69:$E$73,2,FALSE))</f>
        <v/>
      </c>
      <c r="E96" s="938" t="str">
        <f>IF(OR(C96='#Boden'!$C$68,C96='#Boden'!$C$70),C96,CONCATENATE(C96,D96))</f>
        <v/>
      </c>
      <c r="F96" s="882" t="str">
        <f>IFERROR(IF('Daten aus 2021'!H98="",'#Frucht'!$D$8,IF('Daten aus 2021'!H98='#Boden'!$B$39,E96,IF('Daten aus 2021'!H98='#Boden'!$B$38,IF(CONCATENATE(" ",'Daten aus 2021'!W98)=$B$2,VLOOKUP($B$3,'#Frucht'!$A$8:$D$372,4,FALSE),VLOOKUP(CONCATENATE(" ",'Daten aus 2021'!W98),'#Frucht'!$A$8:$D$372,4,FALSE)),IF(OR(LEFT('Daten aus 2021'!Q98,5)=" *10 ",LEFT('Daten aus 2021'!Q98,5)=" *11 ",LEFT('Daten aus 2021'!Q98,5)=" *12 ",LEFT('Daten aus 2021'!Q98,5)=" *13 ",LEFT('Daten aus 2021'!Q98,5)=" *14 ",LEFT('Daten aus 2021'!Q98,5)=" *15 "),VLOOKUP(RIGHT('Daten aus 2021'!Q98,LEN('Daten aus 2021'!Q98)-4),'#Frucht'!$A$8:$D$372,4,FALSE),IF(LEFT('Daten aus 2021'!Q98,2)=" *",VLOOKUP(RIGHT('Daten aus 2021'!Q98,LEN('Daten aus 2021'!Q98)-3),'#Frucht'!$A$8:$D$372,4,FALSE),VLOOKUP('Daten aus 2021'!Q98,'#Frucht'!$A$8:$D$372,4,FALSE)))))),'#Frucht'!$D$8)</f>
        <v xml:space="preserve"> --  </v>
      </c>
      <c r="G96" s="127"/>
      <c r="H96" s="31"/>
      <c r="J96" s="938" t="str">
        <f>IF(OR(N96=3,$K$3=0,'Flächen u. Kulturen'!P101=""),"",IF(VLOOKUP('Flächen u. Kulturen'!P101,Kulturen[[HF]:[780]],'#BerechnungDBE'!$K$3,FALSE)=".","",VLOOKUP('Flächen u. Kulturen'!P101,Kulturen[[HF]:[780]],'#BerechnungDBE'!$K$3,FALSE)))</f>
        <v/>
      </c>
      <c r="K96" s="938" t="str">
        <f>IF(OR($K$3=0,'Flächen u. Kulturen'!P101=""),"",IF(N96=3,IF(VLOOKUP('Flächen u. Kulturen'!P101,Kulturen[[HF]:[780]],'#BerechnungDBE'!$K$3,FALSE)=".","",VLOOKUP('Flächen u. Kulturen'!P101,Kulturen[[HF]:[780]],'#BerechnungDBE'!$K$3,FALSE)),""))</f>
        <v/>
      </c>
      <c r="L96" s="367">
        <f>IF('Flächen u. Kulturen'!D101="",0,'Flächen u. Kulturen'!D101)</f>
        <v>0</v>
      </c>
      <c r="M96" s="693">
        <f>IF('Flächen u. Kulturen'!J101="",0,VLOOKUP('Flächen u. Kulturen'!J101,Kulturen[[HF]:[Berechnungsgruppe]],'#Frucht'!$W$1,FALSE))</f>
        <v>1</v>
      </c>
      <c r="N96" s="693">
        <f>IF('Flächen u. Kulturen'!P101="",0,VLOOKUP('Flächen u. Kulturen'!P101,Kulturen[[HF]:[Berechnungsgruppe]],'#Frucht'!$W$1,FALSE))</f>
        <v>1</v>
      </c>
      <c r="O96" s="875">
        <f>IF(N96&lt;&gt;2,N96,IF('Flächen u. Kulturen'!J101='Flächen u. Kulturen'!P101,2,1))</f>
        <v>1</v>
      </c>
      <c r="P96" s="875">
        <f>IF('Flächen u. Kulturen'!F101="",0,VLOOKUP('Flächen u. Kulturen'!F101,'#Boden'!$G$4:$H$8,'#Boden'!$H$1,FALSE))</f>
        <v>1</v>
      </c>
      <c r="Q96" s="875">
        <f>IF('Flächen u. Kulturen'!G101="",0,VLOOKUP('Flächen u. Kulturen'!G101,'#Boden'!$B$26:$C$29,'#Boden'!$C$1,FALSE))</f>
        <v>1</v>
      </c>
      <c r="R96" s="875">
        <f t="shared" si="64"/>
        <v>1</v>
      </c>
      <c r="S96" s="875">
        <f t="shared" si="65"/>
        <v>1</v>
      </c>
      <c r="T96" s="875">
        <f>IF('Flächen u. Kulturen'!H101="",0,VLOOKUP('Flächen u. Kulturen'!H101,'#Boden'!$B$23:$C$25,'#Boden'!$C$1,FALSE))</f>
        <v>2</v>
      </c>
      <c r="U96" s="875" t="str">
        <f>'Flächen u. Kulturen'!E101</f>
        <v>x</v>
      </c>
      <c r="V96" s="938">
        <f>IF('Flächen u. Kulturen'!Q101="",0,_xlfn.NUMBERVALUE('Flächen u. Kulturen'!Q101))</f>
        <v>0</v>
      </c>
      <c r="W96" s="938">
        <f>IF('Flächen u. Kulturen'!R101="",0,_xlfn.NUMBERVALUE('Flächen u. Kulturen'!R101))</f>
        <v>0</v>
      </c>
      <c r="X96" s="875">
        <f>IF('Flächen u. Kulturen'!T101="",0,VLOOKUP('Flächen u. Kulturen'!T101,'#Boden'!$B$30:$C$32,'#Boden'!$C$1,FALSE))</f>
        <v>1</v>
      </c>
      <c r="Y96" s="875">
        <f>IF('Flächen u. Kulturen'!P101="",0,VLOOKUP('Flächen u. Kulturen'!P101,Kulturen[[HF]:[Berechnungsgruppe]],'#Frucht'!$N$1,FALSE))</f>
        <v>0</v>
      </c>
      <c r="Z96" s="875">
        <f t="shared" si="66"/>
        <v>2</v>
      </c>
      <c r="AA96" s="875">
        <f>IF('Flächen u. Kulturen'!P101="",0,VLOOKUP('Flächen u. Kulturen'!P101,Kulturen[[HF]:[Berechnungsgruppe]],'#Frucht'!$V$1,FALSE))</f>
        <v>0</v>
      </c>
      <c r="AB96" s="875">
        <f>IF(N96=1,VLOOKUP('Flächen u. Kulturen'!P101,Kulturen[[HF]:[Ernteprodukt]],'#Frucht'!$I$1,FALSE),4)</f>
        <v>4</v>
      </c>
      <c r="AC96" s="921">
        <f>IF('Flächen u. Kulturen'!J101="",0,VLOOKUP('Flächen u. Kulturen'!J101,Kulturen[[HF]:[Berechnungsgruppe]],'#Frucht'!$G$1,FALSE))</f>
        <v>90</v>
      </c>
      <c r="AD96" s="921">
        <f>IF('Flächen u. Kulturen'!P101="",0,VLOOKUP('Flächen u. Kulturen'!P101,Kulturen[[HF]:[Berechnungsgruppe]],'#Frucht'!$G$1,FALSE))</f>
        <v>90</v>
      </c>
      <c r="AE96" s="938">
        <f>IF('Flächen u. Kulturen'!P101="",0,VLOOKUP('Flächen u. Kulturen'!P101,Kulturen[[HF]:[SollwertMinusNfix]],'#Frucht'!$X$1,FALSE))</f>
        <v>0</v>
      </c>
      <c r="AF96" s="875">
        <f>IF('Flächen u. Kulturen'!L101="",0,VLOOKUP('Flächen u. Kulturen'!L101,Nebenkultur[[Nebenkultur]:[Berechnungsschema]],'#Zweitfr'!$G$1,FALSE))</f>
        <v>0</v>
      </c>
      <c r="AG96" s="875">
        <f>IF('Flächen u. Kulturen'!L101="",0,VLOOKUP('Flächen u. Kulturen'!L101,'#Zweitfr'!$D$8:$Q$27,'#Zweitfr'!$Q$1,FALSE))</f>
        <v>0</v>
      </c>
      <c r="AH96" s="875">
        <f>IF('Flächen u. Kulturen'!M101="",0,VLOOKUP('Flächen u. Kulturen'!M101,'#Boden'!$G$17:$H$21,2,FALSE))</f>
        <v>1</v>
      </c>
      <c r="AI96" s="875">
        <f>IF('Flächen u. Kulturen'!N101="",0,VLOOKUP('Flächen u. Kulturen'!N101,'#Boden'!$G$22:$H$24,'#Boden'!$H$1,FALSE))</f>
        <v>1</v>
      </c>
      <c r="AJ96" s="938">
        <f>IF('Flächen u. Kulturen'!O101="",0,_xlfn.NUMBERVALUE('Flächen u. Kulturen'!O101))</f>
        <v>0</v>
      </c>
      <c r="AK96" s="938">
        <f>IF('Flächen u. Kulturen'!L101="",0,VLOOKUP('Flächen u. Kulturen'!L101,Nebenkultur[[Nebenkultur]:[Legum. Zwischenfr.]],'#Zweitfr'!$P$1,FALSE))</f>
        <v>0</v>
      </c>
      <c r="AL96" s="875">
        <f>IF('Flächen u. Kulturen'!P101="",0,VLOOKUP('Flächen u. Kulturen'!P101,Kulturen[[HF]:[Berechnungsgruppe]],'#Frucht'!$Q$1,FALSE))</f>
        <v>0</v>
      </c>
      <c r="AM96" s="875">
        <f>IF('Flächen u. Kulturen'!P101="",0,VLOOKUP('Flächen u. Kulturen'!P101,Kulturen[[HF]:[Berechnungsgruppe]],'#Frucht'!$M$1,FALSE))</f>
        <v>0</v>
      </c>
      <c r="AN96" s="875">
        <f>IF('Flächen u. Kulturen'!P101="",1,VLOOKUP('Flächen u. Kulturen'!P101,Kulturen[[HF]:[Berechnungsgruppe]],'#Frucht'!$R$1,FALSE))</f>
        <v>10</v>
      </c>
      <c r="AO96" s="875">
        <f>IF('Flächen u. Kulturen'!P101="",0,VLOOKUP('Flächen u. Kulturen'!P101,Kulturen[[HF]:[Berechnungsgruppe]],'#Frucht'!$S$1,FALSE))</f>
        <v>0</v>
      </c>
      <c r="AP96" s="875">
        <f>IF('Flächen u. Kulturen'!P101="",0,VLOOKUP('Flächen u. Kulturen'!P101,Kulturen[[HF]:[Berechnungsgruppe]],'#Frucht'!$T$1,FALSE))</f>
        <v>0</v>
      </c>
      <c r="AQ96" s="938">
        <f t="shared" si="46"/>
        <v>0</v>
      </c>
      <c r="AR96" s="875">
        <f t="shared" si="47"/>
        <v>0</v>
      </c>
      <c r="AS96" s="938">
        <f t="shared" si="48"/>
        <v>0</v>
      </c>
      <c r="AT96" s="875">
        <f>IF(N96=1,'Flächen u. Kulturen'!S101*-1,"--")</f>
        <v>0</v>
      </c>
      <c r="AU96" s="938">
        <f>IF(OR(N96=2,'Flächen u. Kulturen'!I101=""),"--",IF(N96=3,VLOOKUP('Flächen u. Kulturen'!I101,'#Boden'!$B$9:$E$15,'#Boden'!$D$1,FALSE),VLOOKUP('Flächen u. Kulturen'!I101,'#Boden'!$B$9:$E$15,'#Boden'!$E$1,FALSE)))</f>
        <v>0</v>
      </c>
      <c r="AV96" s="938">
        <f>IF(N96=1,IF('Flächen u. Kulturen'!J101="",0,VLOOKUP('Flächen u. Kulturen'!J101,Kulturen[[HF]:[Berechnungsgruppe]],'#Frucht'!$U$1,FALSE)*-1),"--")</f>
        <v>0</v>
      </c>
      <c r="AW96" s="875">
        <f t="shared" si="49"/>
        <v>0</v>
      </c>
      <c r="AX96" s="875">
        <f>IF('Flächen u. Kulturen'!K101="",0,'Flächen u. Kulturen'!K101*-0.1)</f>
        <v>0</v>
      </c>
      <c r="AY96" s="875">
        <f>IF(N96&lt;3,'#orgDung'!AC105*0.1*-1,"--")</f>
        <v>0</v>
      </c>
      <c r="AZ96" s="31" t="str">
        <f>IF(AND('#orgDung'!J105&lt;&gt;2,'#orgDung'!F105=1),('#orgDung'!V105+'#minDung'!O102)*-1,"--")</f>
        <v>--</v>
      </c>
      <c r="BA96" s="875">
        <f t="shared" si="67"/>
        <v>0</v>
      </c>
      <c r="BB96" s="938">
        <f>IF(R96=2,0,'Flächen u. Kulturen'!V101*-1)</f>
        <v>0</v>
      </c>
      <c r="BC96" s="875">
        <f t="shared" si="68"/>
        <v>0</v>
      </c>
      <c r="BD96" s="127">
        <f>'#orgDung'!W105*-1</f>
        <v>0</v>
      </c>
      <c r="BE96" s="910">
        <f>'#orgDung'!AA105*-1</f>
        <v>0</v>
      </c>
      <c r="BF96" s="875">
        <f>'#orgDung'!Z105*-1</f>
        <v>0</v>
      </c>
      <c r="BG96" s="938">
        <f t="shared" si="60"/>
        <v>0</v>
      </c>
      <c r="BH96" s="875">
        <f>'#Kürzungen'!AS120*-1</f>
        <v>0</v>
      </c>
      <c r="BI96" s="875">
        <f t="shared" si="50"/>
        <v>0</v>
      </c>
      <c r="BJ96" s="910">
        <f t="shared" si="51"/>
        <v>0</v>
      </c>
      <c r="BK96" s="875">
        <f>'#minDung'!P102</f>
        <v>0</v>
      </c>
      <c r="BL96" s="938">
        <f t="shared" si="61"/>
        <v>0</v>
      </c>
      <c r="BM96" s="938">
        <f t="shared" si="52"/>
        <v>0</v>
      </c>
      <c r="BN96" s="875">
        <f>IF('Flächen u. Kulturen'!P101="",0,VLOOKUP('Flächen u. Kulturen'!P101,Kulturen[[HF]:[Berechnungsgruppe]],'#Frucht'!$K$1,FALSE))</f>
        <v>0</v>
      </c>
      <c r="BO96" s="875">
        <f>IF('Flächen u. Kulturen'!P101="",0,VLOOKUP('Flächen u. Kulturen'!P101,Kulturen[[HF]:[Berechnungsgruppe]],'#Frucht'!$L$1,FALSE))</f>
        <v>0</v>
      </c>
      <c r="BP96" s="875">
        <f>IF('Flächen u. Kulturen'!L101="",0,VLOOKUP('Flächen u. Kulturen'!L101,Nebenkultur[[Nebenkultur]:[Legum. Zwischenfr.]],'#Zweitfr'!$H$1,FALSE))</f>
        <v>0</v>
      </c>
      <c r="BQ96" s="938">
        <f>IF(N96=3,W96*BO96,IF('Flächen u. Kulturen'!T101='#Boden'!$B$32,V96*BN96,V96*BO96))</f>
        <v>0</v>
      </c>
      <c r="BR96" s="938">
        <f t="shared" si="53"/>
        <v>0</v>
      </c>
      <c r="BS96" s="875">
        <f t="shared" si="69"/>
        <v>0</v>
      </c>
      <c r="BT96" s="875">
        <f>IF('Flächen u. Kulturen'!F101="",0,IF(N96=3,VLOOKUP('Flächen u. Kulturen'!F101,'#Boden'!$G$4:$J$8,'#Boden'!$J$1,FALSE),VLOOKUP('Flächen u. Kulturen'!F101,'#Boden'!$G$4:$J$8,'#Boden'!$I$1,FALSE)))</f>
        <v>0</v>
      </c>
      <c r="BU96" s="41">
        <f t="shared" si="70"/>
        <v>0</v>
      </c>
      <c r="BV96" s="875">
        <f t="shared" si="71"/>
        <v>0</v>
      </c>
      <c r="BW96" s="938" t="str">
        <f t="shared" si="62"/>
        <v/>
      </c>
      <c r="BX96" s="875">
        <f>'#orgDung'!T105*-1</f>
        <v>0</v>
      </c>
      <c r="BY96" s="875">
        <f t="shared" si="54"/>
        <v>0</v>
      </c>
      <c r="BZ96" s="938" t="str">
        <f>IF(U96&lt;&gt;"x",0,IF(P96&lt;4,"",(BW96+BX96-'#minDung'!N102)*-1))</f>
        <v/>
      </c>
      <c r="CB96" s="938">
        <f>IF(AND(AF96=70,U96="x"),'Flächen u. Kulturen'!A101,1000)</f>
        <v>1000</v>
      </c>
      <c r="CC96" s="875" t="str">
        <f>IF(AF96=70,VLOOKUP('Flächen u. Kulturen'!L101,Nebenkultur[[Nebenkultur]:[Legum. Zwischenfr.]],'#Zweitfr'!$I$1,FALSE),"--")</f>
        <v>--</v>
      </c>
      <c r="CD96" s="875" t="str">
        <f>IF(AF96=70,VLOOKUP('Flächen u. Kulturen'!L101,Nebenkultur[[Nebenkultur]:[Legum. Zwischenfr.]],'#Zweitfr'!$L$1,FALSE),"--")</f>
        <v>--</v>
      </c>
      <c r="CE96" s="875" t="str">
        <f>IF(AF96=70,VLOOKUP('Flächen u. Kulturen'!L101,Nebenkultur[[Nebenkultur]:[Legum. Zwischenfr.]],'#Zweitfr'!$M$1,FALSE),"--")</f>
        <v>--</v>
      </c>
      <c r="CF96" s="875" t="str">
        <f>IF(AF96=70,VLOOKUP('Flächen u. Kulturen'!L101,Nebenkultur[[Nebenkultur]:[Legum. Zwischenfr.]],'#Zweitfr'!$N$1,FALSE),"--")</f>
        <v>--</v>
      </c>
      <c r="CG96" s="875" t="str">
        <f>IF(AF96=70,VLOOKUP('Flächen u. Kulturen'!L101,Nebenkultur[[Nebenkultur]:[Legum. Zwischenfr.]],'#Zweitfr'!$O$1,FALSE),"--")</f>
        <v>--</v>
      </c>
      <c r="CH96" s="875" t="str">
        <f t="shared" si="55"/>
        <v>--</v>
      </c>
      <c r="CI96" s="938">
        <f>IF('Flächen u. Kulturen'!L101="",0,VLOOKUP('Flächen u. Kulturen'!L101,Nebenkultur[[Nebenkultur]:[Legum. Zwischenfr.]],'#Zweitfr'!$J$1,FALSE))</f>
        <v>0</v>
      </c>
      <c r="CJ96" s="875">
        <f t="shared" si="56"/>
        <v>0</v>
      </c>
      <c r="CK96" s="890">
        <f t="shared" si="57"/>
        <v>0</v>
      </c>
      <c r="CL96" s="938">
        <f>IF(AND(R96=1,AF96=70),'Flächen u. Kulturen'!W101*-1,0)</f>
        <v>0</v>
      </c>
      <c r="CM96" s="875">
        <f>'#orgDung'!AE105*-1</f>
        <v>0</v>
      </c>
      <c r="CN96" s="875">
        <f t="shared" si="72"/>
        <v>0</v>
      </c>
      <c r="CO96" s="875">
        <f t="shared" si="73"/>
        <v>0</v>
      </c>
      <c r="CP96" s="875">
        <f>'#Kürzungen'!AS221*-1</f>
        <v>0</v>
      </c>
      <c r="CQ96" s="875">
        <f t="shared" si="74"/>
        <v>0</v>
      </c>
      <c r="CR96" s="875">
        <f t="shared" si="75"/>
        <v>0</v>
      </c>
      <c r="CS96" s="875">
        <f>'#minDung'!R102</f>
        <v>0</v>
      </c>
      <c r="CT96" s="938">
        <f t="shared" si="63"/>
        <v>0</v>
      </c>
      <c r="CU96" s="52" t="str">
        <f>'#Kürzungen'!AQ221</f>
        <v xml:space="preserve"> </v>
      </c>
      <c r="CW96" s="247">
        <f>IF('Flächen u. Kulturen'!D101="",0,IF(ISNUMBER('Flächen u. Kulturen'!D101)=TRUE,2,1))</f>
        <v>0</v>
      </c>
      <c r="CX96" s="247">
        <f>IF('Flächen u. Kulturen'!E101="",0,COUNTIF('#Boden'!$B$47,'Flächen u. Kulturen'!E101)+1)</f>
        <v>2</v>
      </c>
      <c r="CY96" s="247">
        <f>IF('Flächen u. Kulturen'!F101="",0,COUNTIF('#Boden'!$G$4:$G$8,'Flächen u. Kulturen'!F101)+1)</f>
        <v>2</v>
      </c>
      <c r="CZ96" s="247">
        <f>IF('Flächen u. Kulturen'!G101="",0,COUNTIF('#Boden'!$B$26:$B$29,'Flächen u. Kulturen'!G101)+1)</f>
        <v>2</v>
      </c>
      <c r="DA96" s="247">
        <f>IF('Flächen u. Kulturen'!H101="",0,COUNTIF('#Boden'!$B$26:$B$29,'Flächen u. Kulturen'!H101)+1)</f>
        <v>2</v>
      </c>
      <c r="DB96" s="247">
        <f>IF('Flächen u. Kulturen'!I101="",0,COUNTIF('#Boden'!$B$9:$B$15,'Flächen u. Kulturen'!I101)+1)</f>
        <v>2</v>
      </c>
      <c r="DC96" s="247">
        <f>IF('Flächen u. Kulturen'!J101="",0,COUNTIF(Kulturen[HF],'Flächen u. Kulturen'!J101)+1)</f>
        <v>2</v>
      </c>
      <c r="DD96" s="247">
        <f>IF('Flächen u. Kulturen'!L101="",0,COUNTIF(Nebenkultur[Nebenkultur],'Flächen u. Kulturen'!L101)+1)</f>
        <v>2</v>
      </c>
      <c r="DE96" s="247">
        <f>IF('Flächen u. Kulturen'!M101="",0,COUNTIF('#Boden'!$G$17:$G$21,'Flächen u. Kulturen'!M101)+1)</f>
        <v>2</v>
      </c>
      <c r="DF96" s="247">
        <f>IF('Flächen u. Kulturen'!N101="",0,COUNTIF('#Boden'!$G$22:$G$24,'Flächen u. Kulturen'!N101)+1)</f>
        <v>2</v>
      </c>
      <c r="DG96" s="247">
        <f>IF('Flächen u. Kulturen'!P101="",0,COUNTIF(Kulturen[HF],'Flächen u. Kulturen'!P101)+1)</f>
        <v>2</v>
      </c>
      <c r="DH96" s="247">
        <f>IF('Flächen u. Kulturen'!T101="",0,COUNTIF('#Boden'!$B$30:$B$32,'Flächen u. Kulturen'!T101)+1)</f>
        <v>2</v>
      </c>
      <c r="DI96" s="247">
        <f>IF('Flächen u. Kulturen'!K101="",0,IF(ISNUMBER('Flächen u. Kulturen'!K101)=TRUE,2,1))</f>
        <v>0</v>
      </c>
      <c r="DJ96" s="247">
        <f>IF('Flächen u. Kulturen'!U101="",0,IF(ISNUMBER('Flächen u. Kulturen'!U101)=TRUE,2,1))</f>
        <v>0</v>
      </c>
      <c r="DK96" s="247">
        <f>IF('Flächen u. Kulturen'!V101="",0,IF(ISNUMBER('Flächen u. Kulturen'!V101)=TRUE,2,1))</f>
        <v>0</v>
      </c>
      <c r="DL96" s="247">
        <f>IF('Flächen u. Kulturen'!W101="",0,IF(ISNUMBER('Flächen u. Kulturen'!W101)=TRUE,2,1))</f>
        <v>0</v>
      </c>
      <c r="DM96" s="247">
        <f t="shared" si="76"/>
        <v>0</v>
      </c>
      <c r="DN96" s="247" t="s">
        <v>344</v>
      </c>
      <c r="DO96" s="247">
        <f>IF(U96&lt;&gt;"x","",IF(OR('Flächen u. Kulturen'!B101="",'Flächen u. Kulturen'!C101="",'Flächen u. Kulturen'!D101="",'Flächen u. Kulturen'!D101=0,'Flächen u. Kulturen'!F101="",'Flächen u. Kulturen'!F101='#Boden'!$G$4,'Flächen u. Kulturen'!G101="",'Flächen u. Kulturen'!G101='#Boden'!$B$26,'Flächen u. Kulturen'!H101="",'Flächen u. Kulturen'!H101='#Boden'!$B$23,AND(N96&lt;&gt;2,OR('Flächen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Kulturen'!Q101="",'#BerechnungDBE'!N96&lt;3),AND('Flächen u. Kulturen'!R101="",'#BerechnungDBE'!N96=3),AND(N96=1,AL96&gt;0,'Flächen u. Kulturen'!S101=""),AND(N96=1,OR('Flächen u. Kulturen'!T101="",'Flächen u. Kulturen'!T101='#Boden'!$B$30)),AND('#BerechnungDBE'!AF96=70,OR('Flächen u. Kulturen'!N101="",'Flächen u. Kulturen'!N101='#Boden'!$G$22,'Flächen u. Kulturen'!O101="")),AND('#BerechnungDBE'!AF96=80,OR('Flächen u. Kulturen'!M101="",'Flächen u. Kulturen'!M101='#Boden'!$G$17,'Flächen u. Kulturen'!N101="",'Flächen u. Kulturen'!N101='#Boden'!$G$22))),$DO$4,""))</f>
        <v>1</v>
      </c>
      <c r="DP96" s="247" t="str">
        <f>IF(U96&lt;&gt;"x","",IF(OR(LEFT('Flächen u. Kulturen'!J101,2)=" +",LEFT('Flächen u. Kulturen'!L101,2)=" +",LEFT('Flächen u. Kulturen'!P101,2)=" +"),$DP$4,""))</f>
        <v/>
      </c>
      <c r="DQ96" s="428" t="str">
        <f t="shared" si="58"/>
        <v/>
      </c>
      <c r="DR96" s="938" t="str">
        <f t="shared" si="59"/>
        <v/>
      </c>
      <c r="DS96" s="938" t="str">
        <f>IF('Flächen u. Kulturen'!X101="","",ROW('Flächen u. Kulturen'!X101))</f>
        <v/>
      </c>
    </row>
    <row r="97" spans="1:123" s="875" customFormat="1" x14ac:dyDescent="0.2">
      <c r="A97" s="875" t="str">
        <f>IF('Daten aus 2021'!H99="",'#Boden'!$B$26,IF('Daten aus 2021'!H99='#Boden'!$B$39,IF('Daten aus 2021'!F99='#Boden'!$B$29,'#Boden'!$B$29,IF('Daten aus 2021'!K99='#Boden'!$B$34,'#Boden'!$B$28,'#Boden'!$B$27)),'Daten aus 2021'!F99))</f>
        <v xml:space="preserve"> --</v>
      </c>
      <c r="B97" s="875" t="str">
        <f>IF('Daten aus 2021'!H99='#Boden'!$B$39,IF('Daten aus 2021'!L99='#Boden'!$B$61,'#Boden'!$B$11,'Daten aus 2021'!L99),IF('Daten aus 2021'!P99='#Boden'!$B$58,'#Boden'!$B$11,IF('Daten aus 2021'!P99='#Boden'!$B$57,'#Boden'!$B$10,'#Boden'!$B$9)))</f>
        <v xml:space="preserve"> --         </v>
      </c>
      <c r="C97" s="875" t="str">
        <f>IF('Daten aus 2021'!N99="","",VLOOKUP('Daten aus 2021'!N99,'#Boden'!$B$68:$C$89,2,FALSE))</f>
        <v/>
      </c>
      <c r="D97" s="875" t="str">
        <f>IF('Daten aus 2021'!M99="","",VLOOKUP('Daten aus 2021'!M99,'#Boden'!$D$69:$E$73,2,FALSE))</f>
        <v/>
      </c>
      <c r="E97" s="938" t="str">
        <f>IF(OR(C97='#Boden'!$C$68,C97='#Boden'!$C$70),C97,CONCATENATE(C97,D97))</f>
        <v/>
      </c>
      <c r="F97" s="882" t="str">
        <f>IFERROR(IF('Daten aus 2021'!H99="",'#Frucht'!$D$8,IF('Daten aus 2021'!H99='#Boden'!$B$39,E97,IF('Daten aus 2021'!H99='#Boden'!$B$38,IF(CONCATENATE(" ",'Daten aus 2021'!W99)=$B$2,VLOOKUP($B$3,'#Frucht'!$A$8:$D$372,4,FALSE),VLOOKUP(CONCATENATE(" ",'Daten aus 2021'!W99),'#Frucht'!$A$8:$D$372,4,FALSE)),IF(OR(LEFT('Daten aus 2021'!Q99,5)=" *10 ",LEFT('Daten aus 2021'!Q99,5)=" *11 ",LEFT('Daten aus 2021'!Q99,5)=" *12 ",LEFT('Daten aus 2021'!Q99,5)=" *13 ",LEFT('Daten aus 2021'!Q99,5)=" *14 ",LEFT('Daten aus 2021'!Q99,5)=" *15 "),VLOOKUP(RIGHT('Daten aus 2021'!Q99,LEN('Daten aus 2021'!Q99)-4),'#Frucht'!$A$8:$D$372,4,FALSE),IF(LEFT('Daten aus 2021'!Q99,2)=" *",VLOOKUP(RIGHT('Daten aus 2021'!Q99,LEN('Daten aus 2021'!Q99)-3),'#Frucht'!$A$8:$D$372,4,FALSE),VLOOKUP('Daten aus 2021'!Q99,'#Frucht'!$A$8:$D$372,4,FALSE)))))),'#Frucht'!$D$8)</f>
        <v xml:space="preserve"> --  </v>
      </c>
      <c r="G97" s="127"/>
      <c r="H97" s="31"/>
      <c r="J97" s="938" t="str">
        <f>IF(OR(N97=3,$K$3=0,'Flächen u. Kulturen'!P102=""),"",IF(VLOOKUP('Flächen u. Kulturen'!P102,Kulturen[[HF]:[780]],'#BerechnungDBE'!$K$3,FALSE)=".","",VLOOKUP('Flächen u. Kulturen'!P102,Kulturen[[HF]:[780]],'#BerechnungDBE'!$K$3,FALSE)))</f>
        <v/>
      </c>
      <c r="K97" s="938" t="str">
        <f>IF(OR($K$3=0,'Flächen u. Kulturen'!P102=""),"",IF(N97=3,IF(VLOOKUP('Flächen u. Kulturen'!P102,Kulturen[[HF]:[780]],'#BerechnungDBE'!$K$3,FALSE)=".","",VLOOKUP('Flächen u. Kulturen'!P102,Kulturen[[HF]:[780]],'#BerechnungDBE'!$K$3,FALSE)),""))</f>
        <v/>
      </c>
      <c r="L97" s="367">
        <f>IF('Flächen u. Kulturen'!D102="",0,'Flächen u. Kulturen'!D102)</f>
        <v>0</v>
      </c>
      <c r="M97" s="693">
        <f>IF('Flächen u. Kulturen'!J102="",0,VLOOKUP('Flächen u. Kulturen'!J102,Kulturen[[HF]:[Berechnungsgruppe]],'#Frucht'!$W$1,FALSE))</f>
        <v>1</v>
      </c>
      <c r="N97" s="693">
        <f>IF('Flächen u. Kulturen'!P102="",0,VLOOKUP('Flächen u. Kulturen'!P102,Kulturen[[HF]:[Berechnungsgruppe]],'#Frucht'!$W$1,FALSE))</f>
        <v>1</v>
      </c>
      <c r="O97" s="875">
        <f>IF(N97&lt;&gt;2,N97,IF('Flächen u. Kulturen'!J102='Flächen u. Kulturen'!P102,2,1))</f>
        <v>1</v>
      </c>
      <c r="P97" s="875">
        <f>IF('Flächen u. Kulturen'!F102="",0,VLOOKUP('Flächen u. Kulturen'!F102,'#Boden'!$G$4:$H$8,'#Boden'!$H$1,FALSE))</f>
        <v>1</v>
      </c>
      <c r="Q97" s="875">
        <f>IF('Flächen u. Kulturen'!G102="",0,VLOOKUP('Flächen u. Kulturen'!G102,'#Boden'!$B$26:$C$29,'#Boden'!$C$1,FALSE))</f>
        <v>1</v>
      </c>
      <c r="R97" s="875">
        <f t="shared" si="64"/>
        <v>1</v>
      </c>
      <c r="S97" s="875">
        <f t="shared" si="65"/>
        <v>1</v>
      </c>
      <c r="T97" s="875">
        <f>IF('Flächen u. Kulturen'!H102="",0,VLOOKUP('Flächen u. Kulturen'!H102,'#Boden'!$B$23:$C$25,'#Boden'!$C$1,FALSE))</f>
        <v>2</v>
      </c>
      <c r="U97" s="875" t="str">
        <f>'Flächen u. Kulturen'!E102</f>
        <v>x</v>
      </c>
      <c r="V97" s="938">
        <f>IF('Flächen u. Kulturen'!Q102="",0,_xlfn.NUMBERVALUE('Flächen u. Kulturen'!Q102))</f>
        <v>0</v>
      </c>
      <c r="W97" s="938">
        <f>IF('Flächen u. Kulturen'!R102="",0,_xlfn.NUMBERVALUE('Flächen u. Kulturen'!R102))</f>
        <v>0</v>
      </c>
      <c r="X97" s="875">
        <f>IF('Flächen u. Kulturen'!T102="",0,VLOOKUP('Flächen u. Kulturen'!T102,'#Boden'!$B$30:$C$32,'#Boden'!$C$1,FALSE))</f>
        <v>1</v>
      </c>
      <c r="Y97" s="875">
        <f>IF('Flächen u. Kulturen'!P102="",0,VLOOKUP('Flächen u. Kulturen'!P102,Kulturen[[HF]:[Berechnungsgruppe]],'#Frucht'!$N$1,FALSE))</f>
        <v>0</v>
      </c>
      <c r="Z97" s="875">
        <f t="shared" si="66"/>
        <v>2</v>
      </c>
      <c r="AA97" s="875">
        <f>IF('Flächen u. Kulturen'!P102="",0,VLOOKUP('Flächen u. Kulturen'!P102,Kulturen[[HF]:[Berechnungsgruppe]],'#Frucht'!$V$1,FALSE))</f>
        <v>0</v>
      </c>
      <c r="AB97" s="875">
        <f>IF(N97=1,VLOOKUP('Flächen u. Kulturen'!P102,Kulturen[[HF]:[Ernteprodukt]],'#Frucht'!$I$1,FALSE),4)</f>
        <v>4</v>
      </c>
      <c r="AC97" s="921">
        <f>IF('Flächen u. Kulturen'!J102="",0,VLOOKUP('Flächen u. Kulturen'!J102,Kulturen[[HF]:[Berechnungsgruppe]],'#Frucht'!$G$1,FALSE))</f>
        <v>90</v>
      </c>
      <c r="AD97" s="921">
        <f>IF('Flächen u. Kulturen'!P102="",0,VLOOKUP('Flächen u. Kulturen'!P102,Kulturen[[HF]:[Berechnungsgruppe]],'#Frucht'!$G$1,FALSE))</f>
        <v>90</v>
      </c>
      <c r="AE97" s="938">
        <f>IF('Flächen u. Kulturen'!P102="",0,VLOOKUP('Flächen u. Kulturen'!P102,Kulturen[[HF]:[SollwertMinusNfix]],'#Frucht'!$X$1,FALSE))</f>
        <v>0</v>
      </c>
      <c r="AF97" s="875">
        <f>IF('Flächen u. Kulturen'!L102="",0,VLOOKUP('Flächen u. Kulturen'!L102,Nebenkultur[[Nebenkultur]:[Berechnungsschema]],'#Zweitfr'!$G$1,FALSE))</f>
        <v>0</v>
      </c>
      <c r="AG97" s="875">
        <f>IF('Flächen u. Kulturen'!L102="",0,VLOOKUP('Flächen u. Kulturen'!L102,'#Zweitfr'!$D$8:$Q$27,'#Zweitfr'!$Q$1,FALSE))</f>
        <v>0</v>
      </c>
      <c r="AH97" s="875">
        <f>IF('Flächen u. Kulturen'!M102="",0,VLOOKUP('Flächen u. Kulturen'!M102,'#Boden'!$G$17:$H$21,2,FALSE))</f>
        <v>1</v>
      </c>
      <c r="AI97" s="875">
        <f>IF('Flächen u. Kulturen'!N102="",0,VLOOKUP('Flächen u. Kulturen'!N102,'#Boden'!$G$22:$H$24,'#Boden'!$H$1,FALSE))</f>
        <v>1</v>
      </c>
      <c r="AJ97" s="938">
        <f>IF('Flächen u. Kulturen'!O102="",0,_xlfn.NUMBERVALUE('Flächen u. Kulturen'!O102))</f>
        <v>0</v>
      </c>
      <c r="AK97" s="938">
        <f>IF('Flächen u. Kulturen'!L102="",0,VLOOKUP('Flächen u. Kulturen'!L102,Nebenkultur[[Nebenkultur]:[Legum. Zwischenfr.]],'#Zweitfr'!$P$1,FALSE))</f>
        <v>0</v>
      </c>
      <c r="AL97" s="875">
        <f>IF('Flächen u. Kulturen'!P102="",0,VLOOKUP('Flächen u. Kulturen'!P102,Kulturen[[HF]:[Berechnungsgruppe]],'#Frucht'!$Q$1,FALSE))</f>
        <v>0</v>
      </c>
      <c r="AM97" s="875">
        <f>IF('Flächen u. Kulturen'!P102="",0,VLOOKUP('Flächen u. Kulturen'!P102,Kulturen[[HF]:[Berechnungsgruppe]],'#Frucht'!$M$1,FALSE))</f>
        <v>0</v>
      </c>
      <c r="AN97" s="875">
        <f>IF('Flächen u. Kulturen'!P102="",1,VLOOKUP('Flächen u. Kulturen'!P102,Kulturen[[HF]:[Berechnungsgruppe]],'#Frucht'!$R$1,FALSE))</f>
        <v>10</v>
      </c>
      <c r="AO97" s="875">
        <f>IF('Flächen u. Kulturen'!P102="",0,VLOOKUP('Flächen u. Kulturen'!P102,Kulturen[[HF]:[Berechnungsgruppe]],'#Frucht'!$S$1,FALSE))</f>
        <v>0</v>
      </c>
      <c r="AP97" s="875">
        <f>IF('Flächen u. Kulturen'!P102="",0,VLOOKUP('Flächen u. Kulturen'!P102,Kulturen[[HF]:[Berechnungsgruppe]],'#Frucht'!$T$1,FALSE))</f>
        <v>0</v>
      </c>
      <c r="AQ97" s="938">
        <f t="shared" si="46"/>
        <v>0</v>
      </c>
      <c r="AR97" s="875">
        <f t="shared" si="47"/>
        <v>0</v>
      </c>
      <c r="AS97" s="938">
        <f t="shared" si="48"/>
        <v>0</v>
      </c>
      <c r="AT97" s="875">
        <f>IF(N97=1,'Flächen u. Kulturen'!S102*-1,"--")</f>
        <v>0</v>
      </c>
      <c r="AU97" s="938">
        <f>IF(OR(N97=2,'Flächen u. Kulturen'!I102=""),"--",IF(N97=3,VLOOKUP('Flächen u. Kulturen'!I102,'#Boden'!$B$9:$E$15,'#Boden'!$D$1,FALSE),VLOOKUP('Flächen u. Kulturen'!I102,'#Boden'!$B$9:$E$15,'#Boden'!$E$1,FALSE)))</f>
        <v>0</v>
      </c>
      <c r="AV97" s="938">
        <f>IF(N97=1,IF('Flächen u. Kulturen'!J102="",0,VLOOKUP('Flächen u. Kulturen'!J102,Kulturen[[HF]:[Berechnungsgruppe]],'#Frucht'!$U$1,FALSE)*-1),"--")</f>
        <v>0</v>
      </c>
      <c r="AW97" s="875">
        <f t="shared" si="49"/>
        <v>0</v>
      </c>
      <c r="AX97" s="875">
        <f>IF('Flächen u. Kulturen'!K102="",0,'Flächen u. Kulturen'!K102*-0.1)</f>
        <v>0</v>
      </c>
      <c r="AY97" s="875">
        <f>IF(N97&lt;3,'#orgDung'!AC106*0.1*-1,"--")</f>
        <v>0</v>
      </c>
      <c r="AZ97" s="31" t="str">
        <f>IF(AND('#orgDung'!J106&lt;&gt;2,'#orgDung'!F106=1),('#orgDung'!V106+'#minDung'!O103)*-1,"--")</f>
        <v>--</v>
      </c>
      <c r="BA97" s="875">
        <f t="shared" si="67"/>
        <v>0</v>
      </c>
      <c r="BB97" s="938">
        <f>IF(R97=2,0,'Flächen u. Kulturen'!V102*-1)</f>
        <v>0</v>
      </c>
      <c r="BC97" s="875">
        <f t="shared" si="68"/>
        <v>0</v>
      </c>
      <c r="BD97" s="127">
        <f>'#orgDung'!W106*-1</f>
        <v>0</v>
      </c>
      <c r="BE97" s="910">
        <f>'#orgDung'!AA106*-1</f>
        <v>0</v>
      </c>
      <c r="BF97" s="875">
        <f>'#orgDung'!Z106*-1</f>
        <v>0</v>
      </c>
      <c r="BG97" s="938">
        <f t="shared" si="60"/>
        <v>0</v>
      </c>
      <c r="BH97" s="875">
        <f>'#Kürzungen'!AS121*-1</f>
        <v>0</v>
      </c>
      <c r="BI97" s="875">
        <f t="shared" si="50"/>
        <v>0</v>
      </c>
      <c r="BJ97" s="910">
        <f t="shared" si="51"/>
        <v>0</v>
      </c>
      <c r="BK97" s="875">
        <f>'#minDung'!P103</f>
        <v>0</v>
      </c>
      <c r="BL97" s="938">
        <f t="shared" si="61"/>
        <v>0</v>
      </c>
      <c r="BM97" s="938">
        <f t="shared" si="52"/>
        <v>0</v>
      </c>
      <c r="BN97" s="875">
        <f>IF('Flächen u. Kulturen'!P102="",0,VLOOKUP('Flächen u. Kulturen'!P102,Kulturen[[HF]:[Berechnungsgruppe]],'#Frucht'!$K$1,FALSE))</f>
        <v>0</v>
      </c>
      <c r="BO97" s="875">
        <f>IF('Flächen u. Kulturen'!P102="",0,VLOOKUP('Flächen u. Kulturen'!P102,Kulturen[[HF]:[Berechnungsgruppe]],'#Frucht'!$L$1,FALSE))</f>
        <v>0</v>
      </c>
      <c r="BP97" s="875">
        <f>IF('Flächen u. Kulturen'!L102="",0,VLOOKUP('Flächen u. Kulturen'!L102,Nebenkultur[[Nebenkultur]:[Legum. Zwischenfr.]],'#Zweitfr'!$H$1,FALSE))</f>
        <v>0</v>
      </c>
      <c r="BQ97" s="938">
        <f>IF(N97=3,W97*BO97,IF('Flächen u. Kulturen'!T102='#Boden'!$B$32,V97*BN97,V97*BO97))</f>
        <v>0</v>
      </c>
      <c r="BR97" s="938">
        <f t="shared" si="53"/>
        <v>0</v>
      </c>
      <c r="BS97" s="875">
        <f t="shared" si="69"/>
        <v>0</v>
      </c>
      <c r="BT97" s="875">
        <f>IF('Flächen u. Kulturen'!F102="",0,IF(N97=3,VLOOKUP('Flächen u. Kulturen'!F102,'#Boden'!$G$4:$J$8,'#Boden'!$J$1,FALSE),VLOOKUP('Flächen u. Kulturen'!F102,'#Boden'!$G$4:$J$8,'#Boden'!$I$1,FALSE)))</f>
        <v>0</v>
      </c>
      <c r="BU97" s="41">
        <f t="shared" si="70"/>
        <v>0</v>
      </c>
      <c r="BV97" s="875">
        <f t="shared" si="71"/>
        <v>0</v>
      </c>
      <c r="BW97" s="938" t="str">
        <f t="shared" si="62"/>
        <v/>
      </c>
      <c r="BX97" s="875">
        <f>'#orgDung'!T106*-1</f>
        <v>0</v>
      </c>
      <c r="BY97" s="875">
        <f t="shared" si="54"/>
        <v>0</v>
      </c>
      <c r="BZ97" s="938" t="str">
        <f>IF(U97&lt;&gt;"x",0,IF(P97&lt;4,"",(BW97+BX97-'#minDung'!N103)*-1))</f>
        <v/>
      </c>
      <c r="CB97" s="938">
        <f>IF(AND(AF97=70,U97="x"),'Flächen u. Kulturen'!A102,1000)</f>
        <v>1000</v>
      </c>
      <c r="CC97" s="875" t="str">
        <f>IF(AF97=70,VLOOKUP('Flächen u. Kulturen'!L102,Nebenkultur[[Nebenkultur]:[Legum. Zwischenfr.]],'#Zweitfr'!$I$1,FALSE),"--")</f>
        <v>--</v>
      </c>
      <c r="CD97" s="875" t="str">
        <f>IF(AF97=70,VLOOKUP('Flächen u. Kulturen'!L102,Nebenkultur[[Nebenkultur]:[Legum. Zwischenfr.]],'#Zweitfr'!$L$1,FALSE),"--")</f>
        <v>--</v>
      </c>
      <c r="CE97" s="875" t="str">
        <f>IF(AF97=70,VLOOKUP('Flächen u. Kulturen'!L102,Nebenkultur[[Nebenkultur]:[Legum. Zwischenfr.]],'#Zweitfr'!$M$1,FALSE),"--")</f>
        <v>--</v>
      </c>
      <c r="CF97" s="875" t="str">
        <f>IF(AF97=70,VLOOKUP('Flächen u. Kulturen'!L102,Nebenkultur[[Nebenkultur]:[Legum. Zwischenfr.]],'#Zweitfr'!$N$1,FALSE),"--")</f>
        <v>--</v>
      </c>
      <c r="CG97" s="875" t="str">
        <f>IF(AF97=70,VLOOKUP('Flächen u. Kulturen'!L102,Nebenkultur[[Nebenkultur]:[Legum. Zwischenfr.]],'#Zweitfr'!$O$1,FALSE),"--")</f>
        <v>--</v>
      </c>
      <c r="CH97" s="875" t="str">
        <f t="shared" si="55"/>
        <v>--</v>
      </c>
      <c r="CI97" s="938">
        <f>IF('Flächen u. Kulturen'!L102="",0,VLOOKUP('Flächen u. Kulturen'!L102,Nebenkultur[[Nebenkultur]:[Legum. Zwischenfr.]],'#Zweitfr'!$J$1,FALSE))</f>
        <v>0</v>
      </c>
      <c r="CJ97" s="875">
        <f t="shared" si="56"/>
        <v>0</v>
      </c>
      <c r="CK97" s="890">
        <f t="shared" si="57"/>
        <v>0</v>
      </c>
      <c r="CL97" s="938">
        <f>IF(AND(R97=1,AF97=70),'Flächen u. Kulturen'!W102*-1,0)</f>
        <v>0</v>
      </c>
      <c r="CM97" s="875">
        <f>'#orgDung'!AE106*-1</f>
        <v>0</v>
      </c>
      <c r="CN97" s="875">
        <f t="shared" si="72"/>
        <v>0</v>
      </c>
      <c r="CO97" s="875">
        <f t="shared" si="73"/>
        <v>0</v>
      </c>
      <c r="CP97" s="875">
        <f>'#Kürzungen'!AS222*-1</f>
        <v>0</v>
      </c>
      <c r="CQ97" s="875">
        <f t="shared" si="74"/>
        <v>0</v>
      </c>
      <c r="CR97" s="875">
        <f t="shared" si="75"/>
        <v>0</v>
      </c>
      <c r="CS97" s="875">
        <f>'#minDung'!R103</f>
        <v>0</v>
      </c>
      <c r="CT97" s="938">
        <f t="shared" si="63"/>
        <v>0</v>
      </c>
      <c r="CU97" s="52" t="str">
        <f>'#Kürzungen'!AQ222</f>
        <v xml:space="preserve"> </v>
      </c>
      <c r="CW97" s="247">
        <f>IF('Flächen u. Kulturen'!D102="",0,IF(ISNUMBER('Flächen u. Kulturen'!D102)=TRUE,2,1))</f>
        <v>0</v>
      </c>
      <c r="CX97" s="247">
        <f>IF('Flächen u. Kulturen'!E102="",0,COUNTIF('#Boden'!$B$47,'Flächen u. Kulturen'!E102)+1)</f>
        <v>2</v>
      </c>
      <c r="CY97" s="247">
        <f>IF('Flächen u. Kulturen'!F102="",0,COUNTIF('#Boden'!$G$4:$G$8,'Flächen u. Kulturen'!F102)+1)</f>
        <v>2</v>
      </c>
      <c r="CZ97" s="247">
        <f>IF('Flächen u. Kulturen'!G102="",0,COUNTIF('#Boden'!$B$26:$B$29,'Flächen u. Kulturen'!G102)+1)</f>
        <v>2</v>
      </c>
      <c r="DA97" s="247">
        <f>IF('Flächen u. Kulturen'!H102="",0,COUNTIF('#Boden'!$B$26:$B$29,'Flächen u. Kulturen'!H102)+1)</f>
        <v>2</v>
      </c>
      <c r="DB97" s="247">
        <f>IF('Flächen u. Kulturen'!I102="",0,COUNTIF('#Boden'!$B$9:$B$15,'Flächen u. Kulturen'!I102)+1)</f>
        <v>2</v>
      </c>
      <c r="DC97" s="247">
        <f>IF('Flächen u. Kulturen'!J102="",0,COUNTIF(Kulturen[HF],'Flächen u. Kulturen'!J102)+1)</f>
        <v>2</v>
      </c>
      <c r="DD97" s="247">
        <f>IF('Flächen u. Kulturen'!L102="",0,COUNTIF(Nebenkultur[Nebenkultur],'Flächen u. Kulturen'!L102)+1)</f>
        <v>2</v>
      </c>
      <c r="DE97" s="247">
        <f>IF('Flächen u. Kulturen'!M102="",0,COUNTIF('#Boden'!$G$17:$G$21,'Flächen u. Kulturen'!M102)+1)</f>
        <v>2</v>
      </c>
      <c r="DF97" s="247">
        <f>IF('Flächen u. Kulturen'!N102="",0,COUNTIF('#Boden'!$G$22:$G$24,'Flächen u. Kulturen'!N102)+1)</f>
        <v>2</v>
      </c>
      <c r="DG97" s="247">
        <f>IF('Flächen u. Kulturen'!P102="",0,COUNTIF(Kulturen[HF],'Flächen u. Kulturen'!P102)+1)</f>
        <v>2</v>
      </c>
      <c r="DH97" s="247">
        <f>IF('Flächen u. Kulturen'!T102="",0,COUNTIF('#Boden'!$B$30:$B$32,'Flächen u. Kulturen'!T102)+1)</f>
        <v>2</v>
      </c>
      <c r="DI97" s="247">
        <f>IF('Flächen u. Kulturen'!K102="",0,IF(ISNUMBER('Flächen u. Kulturen'!K102)=TRUE,2,1))</f>
        <v>0</v>
      </c>
      <c r="DJ97" s="247">
        <f>IF('Flächen u. Kulturen'!U102="",0,IF(ISNUMBER('Flächen u. Kulturen'!U102)=TRUE,2,1))</f>
        <v>0</v>
      </c>
      <c r="DK97" s="247">
        <f>IF('Flächen u. Kulturen'!V102="",0,IF(ISNUMBER('Flächen u. Kulturen'!V102)=TRUE,2,1))</f>
        <v>0</v>
      </c>
      <c r="DL97" s="247">
        <f>IF('Flächen u. Kulturen'!W102="",0,IF(ISNUMBER('Flächen u. Kulturen'!W102)=TRUE,2,1))</f>
        <v>0</v>
      </c>
      <c r="DM97" s="247">
        <f t="shared" si="76"/>
        <v>0</v>
      </c>
      <c r="DN97" s="247" t="s">
        <v>344</v>
      </c>
      <c r="DO97" s="247">
        <f>IF(U97&lt;&gt;"x","",IF(OR('Flächen u. Kulturen'!B102="",'Flächen u. Kulturen'!C102="",'Flächen u. Kulturen'!D102="",'Flächen u. Kulturen'!D102=0,'Flächen u. Kulturen'!F102="",'Flächen u. Kulturen'!F102='#Boden'!$G$4,'Flächen u. Kulturen'!G102="",'Flächen u. Kulturen'!G102='#Boden'!$B$26,'Flächen u. Kulturen'!H102="",'Flächen u. Kulturen'!H102='#Boden'!$B$23,AND(N97&lt;&gt;2,OR('Flächen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Kulturen'!Q102="",'#BerechnungDBE'!N97&lt;3),AND('Flächen u. Kulturen'!R102="",'#BerechnungDBE'!N97=3),AND(N97=1,AL97&gt;0,'Flächen u. Kulturen'!S102=""),AND(N97=1,OR('Flächen u. Kulturen'!T102="",'Flächen u. Kulturen'!T102='#Boden'!$B$30)),AND('#BerechnungDBE'!AF97=70,OR('Flächen u. Kulturen'!N102="",'Flächen u. Kulturen'!N102='#Boden'!$G$22,'Flächen u. Kulturen'!O102="")),AND('#BerechnungDBE'!AF97=80,OR('Flächen u. Kulturen'!M102="",'Flächen u. Kulturen'!M102='#Boden'!$G$17,'Flächen u. Kulturen'!N102="",'Flächen u. Kulturen'!N102='#Boden'!$G$22))),$DO$4,""))</f>
        <v>1</v>
      </c>
      <c r="DP97" s="247" t="str">
        <f>IF(U97&lt;&gt;"x","",IF(OR(LEFT('Flächen u. Kulturen'!J102,2)=" +",LEFT('Flächen u. Kulturen'!L102,2)=" +",LEFT('Flächen u. Kulturen'!P102,2)=" +"),$DP$4,""))</f>
        <v/>
      </c>
      <c r="DQ97" s="428" t="str">
        <f t="shared" si="58"/>
        <v/>
      </c>
      <c r="DR97" s="938" t="str">
        <f t="shared" si="59"/>
        <v/>
      </c>
      <c r="DS97" s="938" t="str">
        <f>IF('Flächen u. Kulturen'!X102="","",ROW('Flächen u. Kulturen'!X102))</f>
        <v/>
      </c>
    </row>
    <row r="98" spans="1:123" s="875" customFormat="1" x14ac:dyDescent="0.2">
      <c r="A98" s="875" t="str">
        <f>IF('Daten aus 2021'!H100="",'#Boden'!$B$26,IF('Daten aus 2021'!H100='#Boden'!$B$39,IF('Daten aus 2021'!F100='#Boden'!$B$29,'#Boden'!$B$29,IF('Daten aus 2021'!K100='#Boden'!$B$34,'#Boden'!$B$28,'#Boden'!$B$27)),'Daten aus 2021'!F100))</f>
        <v xml:space="preserve"> --</v>
      </c>
      <c r="B98" s="875" t="str">
        <f>IF('Daten aus 2021'!H100='#Boden'!$B$39,IF('Daten aus 2021'!L100='#Boden'!$B$61,'#Boden'!$B$11,'Daten aus 2021'!L100),IF('Daten aus 2021'!P100='#Boden'!$B$58,'#Boden'!$B$11,IF('Daten aus 2021'!P100='#Boden'!$B$57,'#Boden'!$B$10,'#Boden'!$B$9)))</f>
        <v xml:space="preserve"> --         </v>
      </c>
      <c r="C98" s="875" t="str">
        <f>IF('Daten aus 2021'!N100="","",VLOOKUP('Daten aus 2021'!N100,'#Boden'!$B$68:$C$89,2,FALSE))</f>
        <v/>
      </c>
      <c r="D98" s="875" t="str">
        <f>IF('Daten aus 2021'!M100="","",VLOOKUP('Daten aus 2021'!M100,'#Boden'!$D$69:$E$73,2,FALSE))</f>
        <v/>
      </c>
      <c r="E98" s="938" t="str">
        <f>IF(OR(C98='#Boden'!$C$68,C98='#Boden'!$C$70),C98,CONCATENATE(C98,D98))</f>
        <v/>
      </c>
      <c r="F98" s="882" t="str">
        <f>IFERROR(IF('Daten aus 2021'!H100="",'#Frucht'!$D$8,IF('Daten aus 2021'!H100='#Boden'!$B$39,E98,IF('Daten aus 2021'!H100='#Boden'!$B$38,IF(CONCATENATE(" ",'Daten aus 2021'!W100)=$B$2,VLOOKUP($B$3,'#Frucht'!$A$8:$D$372,4,FALSE),VLOOKUP(CONCATENATE(" ",'Daten aus 2021'!W100),'#Frucht'!$A$8:$D$372,4,FALSE)),IF(OR(LEFT('Daten aus 2021'!Q100,5)=" *10 ",LEFT('Daten aus 2021'!Q100,5)=" *11 ",LEFT('Daten aus 2021'!Q100,5)=" *12 ",LEFT('Daten aus 2021'!Q100,5)=" *13 ",LEFT('Daten aus 2021'!Q100,5)=" *14 ",LEFT('Daten aus 2021'!Q100,5)=" *15 "),VLOOKUP(RIGHT('Daten aus 2021'!Q100,LEN('Daten aus 2021'!Q100)-4),'#Frucht'!$A$8:$D$372,4,FALSE),IF(LEFT('Daten aus 2021'!Q100,2)=" *",VLOOKUP(RIGHT('Daten aus 2021'!Q100,LEN('Daten aus 2021'!Q100)-3),'#Frucht'!$A$8:$D$372,4,FALSE),VLOOKUP('Daten aus 2021'!Q100,'#Frucht'!$A$8:$D$372,4,FALSE)))))),'#Frucht'!$D$8)</f>
        <v xml:space="preserve"> --  </v>
      </c>
      <c r="G98" s="127"/>
      <c r="H98" s="31"/>
      <c r="J98" s="938" t="str">
        <f>IF(OR(N98=3,$K$3=0,'Flächen u. Kulturen'!P103=""),"",IF(VLOOKUP('Flächen u. Kulturen'!P103,Kulturen[[HF]:[780]],'#BerechnungDBE'!$K$3,FALSE)=".","",VLOOKUP('Flächen u. Kulturen'!P103,Kulturen[[HF]:[780]],'#BerechnungDBE'!$K$3,FALSE)))</f>
        <v/>
      </c>
      <c r="K98" s="938" t="str">
        <f>IF(OR($K$3=0,'Flächen u. Kulturen'!P103=""),"",IF(N98=3,IF(VLOOKUP('Flächen u. Kulturen'!P103,Kulturen[[HF]:[780]],'#BerechnungDBE'!$K$3,FALSE)=".","",VLOOKUP('Flächen u. Kulturen'!P103,Kulturen[[HF]:[780]],'#BerechnungDBE'!$K$3,FALSE)),""))</f>
        <v/>
      </c>
      <c r="L98" s="367">
        <f>IF('Flächen u. Kulturen'!D103="",0,'Flächen u. Kulturen'!D103)</f>
        <v>0</v>
      </c>
      <c r="M98" s="693">
        <f>IF('Flächen u. Kulturen'!J103="",0,VLOOKUP('Flächen u. Kulturen'!J103,Kulturen[[HF]:[Berechnungsgruppe]],'#Frucht'!$W$1,FALSE))</f>
        <v>1</v>
      </c>
      <c r="N98" s="693">
        <f>IF('Flächen u. Kulturen'!P103="",0,VLOOKUP('Flächen u. Kulturen'!P103,Kulturen[[HF]:[Berechnungsgruppe]],'#Frucht'!$W$1,FALSE))</f>
        <v>1</v>
      </c>
      <c r="O98" s="875">
        <f>IF(N98&lt;&gt;2,N98,IF('Flächen u. Kulturen'!J103='Flächen u. Kulturen'!P103,2,1))</f>
        <v>1</v>
      </c>
      <c r="P98" s="875">
        <f>IF('Flächen u. Kulturen'!F103="",0,VLOOKUP('Flächen u. Kulturen'!F103,'#Boden'!$G$4:$H$8,'#Boden'!$H$1,FALSE))</f>
        <v>1</v>
      </c>
      <c r="Q98" s="875">
        <f>IF('Flächen u. Kulturen'!G103="",0,VLOOKUP('Flächen u. Kulturen'!G103,'#Boden'!$B$26:$C$29,'#Boden'!$C$1,FALSE))</f>
        <v>1</v>
      </c>
      <c r="R98" s="875">
        <f t="shared" si="64"/>
        <v>1</v>
      </c>
      <c r="S98" s="875">
        <f t="shared" si="65"/>
        <v>1</v>
      </c>
      <c r="T98" s="875">
        <f>IF('Flächen u. Kulturen'!H103="",0,VLOOKUP('Flächen u. Kulturen'!H103,'#Boden'!$B$23:$C$25,'#Boden'!$C$1,FALSE))</f>
        <v>2</v>
      </c>
      <c r="U98" s="875" t="str">
        <f>'Flächen u. Kulturen'!E103</f>
        <v>x</v>
      </c>
      <c r="V98" s="938">
        <f>IF('Flächen u. Kulturen'!Q103="",0,_xlfn.NUMBERVALUE('Flächen u. Kulturen'!Q103))</f>
        <v>0</v>
      </c>
      <c r="W98" s="938">
        <f>IF('Flächen u. Kulturen'!R103="",0,_xlfn.NUMBERVALUE('Flächen u. Kulturen'!R103))</f>
        <v>0</v>
      </c>
      <c r="X98" s="875">
        <f>IF('Flächen u. Kulturen'!T103="",0,VLOOKUP('Flächen u. Kulturen'!T103,'#Boden'!$B$30:$C$32,'#Boden'!$C$1,FALSE))</f>
        <v>1</v>
      </c>
      <c r="Y98" s="875">
        <f>IF('Flächen u. Kulturen'!P103="",0,VLOOKUP('Flächen u. Kulturen'!P103,Kulturen[[HF]:[Berechnungsgruppe]],'#Frucht'!$N$1,FALSE))</f>
        <v>0</v>
      </c>
      <c r="Z98" s="875">
        <f t="shared" si="66"/>
        <v>2</v>
      </c>
      <c r="AA98" s="875">
        <f>IF('Flächen u. Kulturen'!P103="",0,VLOOKUP('Flächen u. Kulturen'!P103,Kulturen[[HF]:[Berechnungsgruppe]],'#Frucht'!$V$1,FALSE))</f>
        <v>0</v>
      </c>
      <c r="AB98" s="875">
        <f>IF(N98=1,VLOOKUP('Flächen u. Kulturen'!P103,Kulturen[[HF]:[Ernteprodukt]],'#Frucht'!$I$1,FALSE),4)</f>
        <v>4</v>
      </c>
      <c r="AC98" s="921">
        <f>IF('Flächen u. Kulturen'!J103="",0,VLOOKUP('Flächen u. Kulturen'!J103,Kulturen[[HF]:[Berechnungsgruppe]],'#Frucht'!$G$1,FALSE))</f>
        <v>90</v>
      </c>
      <c r="AD98" s="921">
        <f>IF('Flächen u. Kulturen'!P103="",0,VLOOKUP('Flächen u. Kulturen'!P103,Kulturen[[HF]:[Berechnungsgruppe]],'#Frucht'!$G$1,FALSE))</f>
        <v>90</v>
      </c>
      <c r="AE98" s="938">
        <f>IF('Flächen u. Kulturen'!P103="",0,VLOOKUP('Flächen u. Kulturen'!P103,Kulturen[[HF]:[SollwertMinusNfix]],'#Frucht'!$X$1,FALSE))</f>
        <v>0</v>
      </c>
      <c r="AF98" s="875">
        <f>IF('Flächen u. Kulturen'!L103="",0,VLOOKUP('Flächen u. Kulturen'!L103,Nebenkultur[[Nebenkultur]:[Berechnungsschema]],'#Zweitfr'!$G$1,FALSE))</f>
        <v>0</v>
      </c>
      <c r="AG98" s="875">
        <f>IF('Flächen u. Kulturen'!L103="",0,VLOOKUP('Flächen u. Kulturen'!L103,'#Zweitfr'!$D$8:$Q$27,'#Zweitfr'!$Q$1,FALSE))</f>
        <v>0</v>
      </c>
      <c r="AH98" s="875">
        <f>IF('Flächen u. Kulturen'!M103="",0,VLOOKUP('Flächen u. Kulturen'!M103,'#Boden'!$G$17:$H$21,2,FALSE))</f>
        <v>1</v>
      </c>
      <c r="AI98" s="875">
        <f>IF('Flächen u. Kulturen'!N103="",0,VLOOKUP('Flächen u. Kulturen'!N103,'#Boden'!$G$22:$H$24,'#Boden'!$H$1,FALSE))</f>
        <v>1</v>
      </c>
      <c r="AJ98" s="938">
        <f>IF('Flächen u. Kulturen'!O103="",0,_xlfn.NUMBERVALUE('Flächen u. Kulturen'!O103))</f>
        <v>0</v>
      </c>
      <c r="AK98" s="938">
        <f>IF('Flächen u. Kulturen'!L103="",0,VLOOKUP('Flächen u. Kulturen'!L103,Nebenkultur[[Nebenkultur]:[Legum. Zwischenfr.]],'#Zweitfr'!$P$1,FALSE))</f>
        <v>0</v>
      </c>
      <c r="AL98" s="875">
        <f>IF('Flächen u. Kulturen'!P103="",0,VLOOKUP('Flächen u. Kulturen'!P103,Kulturen[[HF]:[Berechnungsgruppe]],'#Frucht'!$Q$1,FALSE))</f>
        <v>0</v>
      </c>
      <c r="AM98" s="875">
        <f>IF('Flächen u. Kulturen'!P103="",0,VLOOKUP('Flächen u. Kulturen'!P103,Kulturen[[HF]:[Berechnungsgruppe]],'#Frucht'!$M$1,FALSE))</f>
        <v>0</v>
      </c>
      <c r="AN98" s="875">
        <f>IF('Flächen u. Kulturen'!P103="",1,VLOOKUP('Flächen u. Kulturen'!P103,Kulturen[[HF]:[Berechnungsgruppe]],'#Frucht'!$R$1,FALSE))</f>
        <v>10</v>
      </c>
      <c r="AO98" s="875">
        <f>IF('Flächen u. Kulturen'!P103="",0,VLOOKUP('Flächen u. Kulturen'!P103,Kulturen[[HF]:[Berechnungsgruppe]],'#Frucht'!$S$1,FALSE))</f>
        <v>0</v>
      </c>
      <c r="AP98" s="875">
        <f>IF('Flächen u. Kulturen'!P103="",0,VLOOKUP('Flächen u. Kulturen'!P103,Kulturen[[HF]:[Berechnungsgruppe]],'#Frucht'!$T$1,FALSE))</f>
        <v>0</v>
      </c>
      <c r="AQ98" s="938">
        <f t="shared" si="46"/>
        <v>0</v>
      </c>
      <c r="AR98" s="875">
        <f t="shared" si="47"/>
        <v>0</v>
      </c>
      <c r="AS98" s="938">
        <f t="shared" si="48"/>
        <v>0</v>
      </c>
      <c r="AT98" s="875">
        <f>IF(N98=1,'Flächen u. Kulturen'!S103*-1,"--")</f>
        <v>0</v>
      </c>
      <c r="AU98" s="938">
        <f>IF(OR(N98=2,'Flächen u. Kulturen'!I103=""),"--",IF(N98=3,VLOOKUP('Flächen u. Kulturen'!I103,'#Boden'!$B$9:$E$15,'#Boden'!$D$1,FALSE),VLOOKUP('Flächen u. Kulturen'!I103,'#Boden'!$B$9:$E$15,'#Boden'!$E$1,FALSE)))</f>
        <v>0</v>
      </c>
      <c r="AV98" s="938">
        <f>IF(N98=1,IF('Flächen u. Kulturen'!J103="",0,VLOOKUP('Flächen u. Kulturen'!J103,Kulturen[[HF]:[Berechnungsgruppe]],'#Frucht'!$U$1,FALSE)*-1),"--")</f>
        <v>0</v>
      </c>
      <c r="AW98" s="875">
        <f t="shared" si="49"/>
        <v>0</v>
      </c>
      <c r="AX98" s="875">
        <f>IF('Flächen u. Kulturen'!K103="",0,'Flächen u. Kulturen'!K103*-0.1)</f>
        <v>0</v>
      </c>
      <c r="AY98" s="875">
        <f>IF(N98&lt;3,'#orgDung'!AC107*0.1*-1,"--")</f>
        <v>0</v>
      </c>
      <c r="AZ98" s="31" t="str">
        <f>IF(AND('#orgDung'!J107&lt;&gt;2,'#orgDung'!F107=1),('#orgDung'!V107+'#minDung'!O104)*-1,"--")</f>
        <v>--</v>
      </c>
      <c r="BA98" s="875">
        <f t="shared" si="67"/>
        <v>0</v>
      </c>
      <c r="BB98" s="938">
        <f>IF(R98=2,0,'Flächen u. Kulturen'!V103*-1)</f>
        <v>0</v>
      </c>
      <c r="BC98" s="875">
        <f t="shared" si="68"/>
        <v>0</v>
      </c>
      <c r="BD98" s="127">
        <f>'#orgDung'!W107*-1</f>
        <v>0</v>
      </c>
      <c r="BE98" s="910">
        <f>'#orgDung'!AA107*-1</f>
        <v>0</v>
      </c>
      <c r="BF98" s="875">
        <f>'#orgDung'!Z107*-1</f>
        <v>0</v>
      </c>
      <c r="BG98" s="938">
        <f t="shared" si="60"/>
        <v>0</v>
      </c>
      <c r="BH98" s="875">
        <f>'#Kürzungen'!AS122*-1</f>
        <v>0</v>
      </c>
      <c r="BI98" s="875">
        <f t="shared" si="50"/>
        <v>0</v>
      </c>
      <c r="BJ98" s="910">
        <f t="shared" si="51"/>
        <v>0</v>
      </c>
      <c r="BK98" s="875">
        <f>'#minDung'!P104</f>
        <v>0</v>
      </c>
      <c r="BL98" s="938">
        <f t="shared" si="61"/>
        <v>0</v>
      </c>
      <c r="BM98" s="938">
        <f t="shared" si="52"/>
        <v>0</v>
      </c>
      <c r="BN98" s="875">
        <f>IF('Flächen u. Kulturen'!P103="",0,VLOOKUP('Flächen u. Kulturen'!P103,Kulturen[[HF]:[Berechnungsgruppe]],'#Frucht'!$K$1,FALSE))</f>
        <v>0</v>
      </c>
      <c r="BO98" s="875">
        <f>IF('Flächen u. Kulturen'!P103="",0,VLOOKUP('Flächen u. Kulturen'!P103,Kulturen[[HF]:[Berechnungsgruppe]],'#Frucht'!$L$1,FALSE))</f>
        <v>0</v>
      </c>
      <c r="BP98" s="875">
        <f>IF('Flächen u. Kulturen'!L103="",0,VLOOKUP('Flächen u. Kulturen'!L103,Nebenkultur[[Nebenkultur]:[Legum. Zwischenfr.]],'#Zweitfr'!$H$1,FALSE))</f>
        <v>0</v>
      </c>
      <c r="BQ98" s="938">
        <f>IF(N98=3,W98*BO98,IF('Flächen u. Kulturen'!T103='#Boden'!$B$32,V98*BN98,V98*BO98))</f>
        <v>0</v>
      </c>
      <c r="BR98" s="938">
        <f t="shared" si="53"/>
        <v>0</v>
      </c>
      <c r="BS98" s="875">
        <f t="shared" si="69"/>
        <v>0</v>
      </c>
      <c r="BT98" s="875">
        <f>IF('Flächen u. Kulturen'!F103="",0,IF(N98=3,VLOOKUP('Flächen u. Kulturen'!F103,'#Boden'!$G$4:$J$8,'#Boden'!$J$1,FALSE),VLOOKUP('Flächen u. Kulturen'!F103,'#Boden'!$G$4:$J$8,'#Boden'!$I$1,FALSE)))</f>
        <v>0</v>
      </c>
      <c r="BU98" s="41">
        <f t="shared" si="70"/>
        <v>0</v>
      </c>
      <c r="BV98" s="875">
        <f t="shared" si="71"/>
        <v>0</v>
      </c>
      <c r="BW98" s="938" t="str">
        <f t="shared" si="62"/>
        <v/>
      </c>
      <c r="BX98" s="875">
        <f>'#orgDung'!T107*-1</f>
        <v>0</v>
      </c>
      <c r="BY98" s="875">
        <f t="shared" si="54"/>
        <v>0</v>
      </c>
      <c r="BZ98" s="938" t="str">
        <f>IF(U98&lt;&gt;"x",0,IF(P98&lt;4,"",(BW98+BX98-'#minDung'!N104)*-1))</f>
        <v/>
      </c>
      <c r="CB98" s="938">
        <f>IF(AND(AF98=70,U98="x"),'Flächen u. Kulturen'!A103,1000)</f>
        <v>1000</v>
      </c>
      <c r="CC98" s="875" t="str">
        <f>IF(AF98=70,VLOOKUP('Flächen u. Kulturen'!L103,Nebenkultur[[Nebenkultur]:[Legum. Zwischenfr.]],'#Zweitfr'!$I$1,FALSE),"--")</f>
        <v>--</v>
      </c>
      <c r="CD98" s="875" t="str">
        <f>IF(AF98=70,VLOOKUP('Flächen u. Kulturen'!L103,Nebenkultur[[Nebenkultur]:[Legum. Zwischenfr.]],'#Zweitfr'!$L$1,FALSE),"--")</f>
        <v>--</v>
      </c>
      <c r="CE98" s="875" t="str">
        <f>IF(AF98=70,VLOOKUP('Flächen u. Kulturen'!L103,Nebenkultur[[Nebenkultur]:[Legum. Zwischenfr.]],'#Zweitfr'!$M$1,FALSE),"--")</f>
        <v>--</v>
      </c>
      <c r="CF98" s="875" t="str">
        <f>IF(AF98=70,VLOOKUP('Flächen u. Kulturen'!L103,Nebenkultur[[Nebenkultur]:[Legum. Zwischenfr.]],'#Zweitfr'!$N$1,FALSE),"--")</f>
        <v>--</v>
      </c>
      <c r="CG98" s="875" t="str">
        <f>IF(AF98=70,VLOOKUP('Flächen u. Kulturen'!L103,Nebenkultur[[Nebenkultur]:[Legum. Zwischenfr.]],'#Zweitfr'!$O$1,FALSE),"--")</f>
        <v>--</v>
      </c>
      <c r="CH98" s="875" t="str">
        <f t="shared" si="55"/>
        <v>--</v>
      </c>
      <c r="CI98" s="938">
        <f>IF('Flächen u. Kulturen'!L103="",0,VLOOKUP('Flächen u. Kulturen'!L103,Nebenkultur[[Nebenkultur]:[Legum. Zwischenfr.]],'#Zweitfr'!$J$1,FALSE))</f>
        <v>0</v>
      </c>
      <c r="CJ98" s="875">
        <f t="shared" si="56"/>
        <v>0</v>
      </c>
      <c r="CK98" s="890">
        <f t="shared" si="57"/>
        <v>0</v>
      </c>
      <c r="CL98" s="938">
        <f>IF(AND(R98=1,AF98=70),'Flächen u. Kulturen'!W103*-1,0)</f>
        <v>0</v>
      </c>
      <c r="CM98" s="875">
        <f>'#orgDung'!AE107*-1</f>
        <v>0</v>
      </c>
      <c r="CN98" s="875">
        <f t="shared" si="72"/>
        <v>0</v>
      </c>
      <c r="CO98" s="875">
        <f t="shared" si="73"/>
        <v>0</v>
      </c>
      <c r="CP98" s="875">
        <f>'#Kürzungen'!AS223*-1</f>
        <v>0</v>
      </c>
      <c r="CQ98" s="875">
        <f t="shared" si="74"/>
        <v>0</v>
      </c>
      <c r="CR98" s="875">
        <f t="shared" si="75"/>
        <v>0</v>
      </c>
      <c r="CS98" s="875">
        <f>'#minDung'!R104</f>
        <v>0</v>
      </c>
      <c r="CT98" s="938">
        <f t="shared" si="63"/>
        <v>0</v>
      </c>
      <c r="CU98" s="52" t="str">
        <f>'#Kürzungen'!AQ223</f>
        <v xml:space="preserve"> </v>
      </c>
      <c r="CW98" s="247">
        <f>IF('Flächen u. Kulturen'!D103="",0,IF(ISNUMBER('Flächen u. Kulturen'!D103)=TRUE,2,1))</f>
        <v>0</v>
      </c>
      <c r="CX98" s="247">
        <f>IF('Flächen u. Kulturen'!E103="",0,COUNTIF('#Boden'!$B$47,'Flächen u. Kulturen'!E103)+1)</f>
        <v>2</v>
      </c>
      <c r="CY98" s="247">
        <f>IF('Flächen u. Kulturen'!F103="",0,COUNTIF('#Boden'!$G$4:$G$8,'Flächen u. Kulturen'!F103)+1)</f>
        <v>2</v>
      </c>
      <c r="CZ98" s="247">
        <f>IF('Flächen u. Kulturen'!G103="",0,COUNTIF('#Boden'!$B$26:$B$29,'Flächen u. Kulturen'!G103)+1)</f>
        <v>2</v>
      </c>
      <c r="DA98" s="247">
        <f>IF('Flächen u. Kulturen'!H103="",0,COUNTIF('#Boden'!$B$26:$B$29,'Flächen u. Kulturen'!H103)+1)</f>
        <v>2</v>
      </c>
      <c r="DB98" s="247">
        <f>IF('Flächen u. Kulturen'!I103="",0,COUNTIF('#Boden'!$B$9:$B$15,'Flächen u. Kulturen'!I103)+1)</f>
        <v>2</v>
      </c>
      <c r="DC98" s="247">
        <f>IF('Flächen u. Kulturen'!J103="",0,COUNTIF(Kulturen[HF],'Flächen u. Kulturen'!J103)+1)</f>
        <v>2</v>
      </c>
      <c r="DD98" s="247">
        <f>IF('Flächen u. Kulturen'!L103="",0,COUNTIF(Nebenkultur[Nebenkultur],'Flächen u. Kulturen'!L103)+1)</f>
        <v>2</v>
      </c>
      <c r="DE98" s="247">
        <f>IF('Flächen u. Kulturen'!M103="",0,COUNTIF('#Boden'!$G$17:$G$21,'Flächen u. Kulturen'!M103)+1)</f>
        <v>2</v>
      </c>
      <c r="DF98" s="247">
        <f>IF('Flächen u. Kulturen'!N103="",0,COUNTIF('#Boden'!$G$22:$G$24,'Flächen u. Kulturen'!N103)+1)</f>
        <v>2</v>
      </c>
      <c r="DG98" s="247">
        <f>IF('Flächen u. Kulturen'!P103="",0,COUNTIF(Kulturen[HF],'Flächen u. Kulturen'!P103)+1)</f>
        <v>2</v>
      </c>
      <c r="DH98" s="247">
        <f>IF('Flächen u. Kulturen'!T103="",0,COUNTIF('#Boden'!$B$30:$B$32,'Flächen u. Kulturen'!T103)+1)</f>
        <v>2</v>
      </c>
      <c r="DI98" s="247">
        <f>IF('Flächen u. Kulturen'!K103="",0,IF(ISNUMBER('Flächen u. Kulturen'!K103)=TRUE,2,1))</f>
        <v>0</v>
      </c>
      <c r="DJ98" s="247">
        <f>IF('Flächen u. Kulturen'!U103="",0,IF(ISNUMBER('Flächen u. Kulturen'!U103)=TRUE,2,1))</f>
        <v>0</v>
      </c>
      <c r="DK98" s="247">
        <f>IF('Flächen u. Kulturen'!V103="",0,IF(ISNUMBER('Flächen u. Kulturen'!V103)=TRUE,2,1))</f>
        <v>0</v>
      </c>
      <c r="DL98" s="247">
        <f>IF('Flächen u. Kulturen'!W103="",0,IF(ISNUMBER('Flächen u. Kulturen'!W103)=TRUE,2,1))</f>
        <v>0</v>
      </c>
      <c r="DM98" s="247">
        <f t="shared" si="76"/>
        <v>0</v>
      </c>
      <c r="DN98" s="247" t="s">
        <v>344</v>
      </c>
      <c r="DO98" s="247">
        <f>IF(U98&lt;&gt;"x","",IF(OR('Flächen u. Kulturen'!B103="",'Flächen u. Kulturen'!C103="",'Flächen u. Kulturen'!D103="",'Flächen u. Kulturen'!D103=0,'Flächen u. Kulturen'!F103="",'Flächen u. Kulturen'!F103='#Boden'!$G$4,'Flächen u. Kulturen'!G103="",'Flächen u. Kulturen'!G103='#Boden'!$B$26,'Flächen u. Kulturen'!H103="",'Flächen u. Kulturen'!H103='#Boden'!$B$23,AND(N98&lt;&gt;2,OR('Flächen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Kulturen'!Q103="",'#BerechnungDBE'!N98&lt;3),AND('Flächen u. Kulturen'!R103="",'#BerechnungDBE'!N98=3),AND(N98=1,AL98&gt;0,'Flächen u. Kulturen'!S103=""),AND(N98=1,OR('Flächen u. Kulturen'!T103="",'Flächen u. Kulturen'!T103='#Boden'!$B$30)),AND('#BerechnungDBE'!AF98=70,OR('Flächen u. Kulturen'!N103="",'Flächen u. Kulturen'!N103='#Boden'!$G$22,'Flächen u. Kulturen'!O103="")),AND('#BerechnungDBE'!AF98=80,OR('Flächen u. Kulturen'!M103="",'Flächen u. Kulturen'!M103='#Boden'!$G$17,'Flächen u. Kulturen'!N103="",'Flächen u. Kulturen'!N103='#Boden'!$G$22))),$DO$4,""))</f>
        <v>1</v>
      </c>
      <c r="DP98" s="247" t="str">
        <f>IF(U98&lt;&gt;"x","",IF(OR(LEFT('Flächen u. Kulturen'!J103,2)=" +",LEFT('Flächen u. Kulturen'!L103,2)=" +",LEFT('Flächen u. Kulturen'!P103,2)=" +"),$DP$4,""))</f>
        <v/>
      </c>
      <c r="DQ98" s="428" t="str">
        <f t="shared" si="58"/>
        <v/>
      </c>
      <c r="DR98" s="938" t="str">
        <f t="shared" si="59"/>
        <v/>
      </c>
      <c r="DS98" s="938" t="str">
        <f>IF('Flächen u. Kulturen'!X103="","",ROW('Flächen u. Kulturen'!X103))</f>
        <v/>
      </c>
    </row>
    <row r="99" spans="1:123" s="875" customFormat="1" x14ac:dyDescent="0.2">
      <c r="A99" s="875" t="str">
        <f>IF('Daten aus 2021'!H101="",'#Boden'!$B$26,IF('Daten aus 2021'!H101='#Boden'!$B$39,IF('Daten aus 2021'!F101='#Boden'!$B$29,'#Boden'!$B$29,IF('Daten aus 2021'!K101='#Boden'!$B$34,'#Boden'!$B$28,'#Boden'!$B$27)),'Daten aus 2021'!F101))</f>
        <v xml:space="preserve"> --</v>
      </c>
      <c r="B99" s="875" t="str">
        <f>IF('Daten aus 2021'!H101='#Boden'!$B$39,IF('Daten aus 2021'!L101='#Boden'!$B$61,'#Boden'!$B$11,'Daten aus 2021'!L101),IF('Daten aus 2021'!P101='#Boden'!$B$58,'#Boden'!$B$11,IF('Daten aus 2021'!P101='#Boden'!$B$57,'#Boden'!$B$10,'#Boden'!$B$9)))</f>
        <v xml:space="preserve"> --         </v>
      </c>
      <c r="C99" s="875" t="str">
        <f>IF('Daten aus 2021'!N101="","",VLOOKUP('Daten aus 2021'!N101,'#Boden'!$B$68:$C$89,2,FALSE))</f>
        <v/>
      </c>
      <c r="D99" s="875" t="str">
        <f>IF('Daten aus 2021'!M101="","",VLOOKUP('Daten aus 2021'!M101,'#Boden'!$D$69:$E$73,2,FALSE))</f>
        <v/>
      </c>
      <c r="E99" s="938" t="str">
        <f>IF(OR(C99='#Boden'!$C$68,C99='#Boden'!$C$70),C99,CONCATENATE(C99,D99))</f>
        <v/>
      </c>
      <c r="F99" s="882" t="str">
        <f>IFERROR(IF('Daten aus 2021'!H101="",'#Frucht'!$D$8,IF('Daten aus 2021'!H101='#Boden'!$B$39,E99,IF('Daten aus 2021'!H101='#Boden'!$B$38,IF(CONCATENATE(" ",'Daten aus 2021'!W101)=$B$2,VLOOKUP($B$3,'#Frucht'!$A$8:$D$372,4,FALSE),VLOOKUP(CONCATENATE(" ",'Daten aus 2021'!W101),'#Frucht'!$A$8:$D$372,4,FALSE)),IF(OR(LEFT('Daten aus 2021'!Q101,5)=" *10 ",LEFT('Daten aus 2021'!Q101,5)=" *11 ",LEFT('Daten aus 2021'!Q101,5)=" *12 ",LEFT('Daten aus 2021'!Q101,5)=" *13 ",LEFT('Daten aus 2021'!Q101,5)=" *14 ",LEFT('Daten aus 2021'!Q101,5)=" *15 "),VLOOKUP(RIGHT('Daten aus 2021'!Q101,LEN('Daten aus 2021'!Q101)-4),'#Frucht'!$A$8:$D$372,4,FALSE),IF(LEFT('Daten aus 2021'!Q101,2)=" *",VLOOKUP(RIGHT('Daten aus 2021'!Q101,LEN('Daten aus 2021'!Q101)-3),'#Frucht'!$A$8:$D$372,4,FALSE),VLOOKUP('Daten aus 2021'!Q101,'#Frucht'!$A$8:$D$372,4,FALSE)))))),'#Frucht'!$D$8)</f>
        <v xml:space="preserve"> --  </v>
      </c>
      <c r="G99" s="127"/>
      <c r="H99" s="31"/>
      <c r="J99" s="938" t="str">
        <f>IF(OR(N99=3,$K$3=0,'Flächen u. Kulturen'!P104=""),"",IF(VLOOKUP('Flächen u. Kulturen'!P104,Kulturen[[HF]:[780]],'#BerechnungDBE'!$K$3,FALSE)=".","",VLOOKUP('Flächen u. Kulturen'!P104,Kulturen[[HF]:[780]],'#BerechnungDBE'!$K$3,FALSE)))</f>
        <v/>
      </c>
      <c r="K99" s="938" t="str">
        <f>IF(OR($K$3=0,'Flächen u. Kulturen'!P104=""),"",IF(N99=3,IF(VLOOKUP('Flächen u. Kulturen'!P104,Kulturen[[HF]:[780]],'#BerechnungDBE'!$K$3,FALSE)=".","",VLOOKUP('Flächen u. Kulturen'!P104,Kulturen[[HF]:[780]],'#BerechnungDBE'!$K$3,FALSE)),""))</f>
        <v/>
      </c>
      <c r="L99" s="367">
        <f>IF('Flächen u. Kulturen'!D104="",0,'Flächen u. Kulturen'!D104)</f>
        <v>0</v>
      </c>
      <c r="M99" s="693">
        <f>IF('Flächen u. Kulturen'!J104="",0,VLOOKUP('Flächen u. Kulturen'!J104,Kulturen[[HF]:[Berechnungsgruppe]],'#Frucht'!$W$1,FALSE))</f>
        <v>1</v>
      </c>
      <c r="N99" s="693">
        <f>IF('Flächen u. Kulturen'!P104="",0,VLOOKUP('Flächen u. Kulturen'!P104,Kulturen[[HF]:[Berechnungsgruppe]],'#Frucht'!$W$1,FALSE))</f>
        <v>1</v>
      </c>
      <c r="O99" s="875">
        <f>IF(N99&lt;&gt;2,N99,IF('Flächen u. Kulturen'!J104='Flächen u. Kulturen'!P104,2,1))</f>
        <v>1</v>
      </c>
      <c r="P99" s="875">
        <f>IF('Flächen u. Kulturen'!F104="",0,VLOOKUP('Flächen u. Kulturen'!F104,'#Boden'!$G$4:$H$8,'#Boden'!$H$1,FALSE))</f>
        <v>1</v>
      </c>
      <c r="Q99" s="875">
        <f>IF('Flächen u. Kulturen'!G104="",0,VLOOKUP('Flächen u. Kulturen'!G104,'#Boden'!$B$26:$C$29,'#Boden'!$C$1,FALSE))</f>
        <v>1</v>
      </c>
      <c r="R99" s="875">
        <f t="shared" si="64"/>
        <v>1</v>
      </c>
      <c r="S99" s="875">
        <f t="shared" si="65"/>
        <v>1</v>
      </c>
      <c r="T99" s="875">
        <f>IF('Flächen u. Kulturen'!H104="",0,VLOOKUP('Flächen u. Kulturen'!H104,'#Boden'!$B$23:$C$25,'#Boden'!$C$1,FALSE))</f>
        <v>2</v>
      </c>
      <c r="U99" s="875" t="str">
        <f>'Flächen u. Kulturen'!E104</f>
        <v>x</v>
      </c>
      <c r="V99" s="938">
        <f>IF('Flächen u. Kulturen'!Q104="",0,_xlfn.NUMBERVALUE('Flächen u. Kulturen'!Q104))</f>
        <v>0</v>
      </c>
      <c r="W99" s="938">
        <f>IF('Flächen u. Kulturen'!R104="",0,_xlfn.NUMBERVALUE('Flächen u. Kulturen'!R104))</f>
        <v>0</v>
      </c>
      <c r="X99" s="875">
        <f>IF('Flächen u. Kulturen'!T104="",0,VLOOKUP('Flächen u. Kulturen'!T104,'#Boden'!$B$30:$C$32,'#Boden'!$C$1,FALSE))</f>
        <v>1</v>
      </c>
      <c r="Y99" s="875">
        <f>IF('Flächen u. Kulturen'!P104="",0,VLOOKUP('Flächen u. Kulturen'!P104,Kulturen[[HF]:[Berechnungsgruppe]],'#Frucht'!$N$1,FALSE))</f>
        <v>0</v>
      </c>
      <c r="Z99" s="875">
        <f t="shared" si="66"/>
        <v>2</v>
      </c>
      <c r="AA99" s="875">
        <f>IF('Flächen u. Kulturen'!P104="",0,VLOOKUP('Flächen u. Kulturen'!P104,Kulturen[[HF]:[Berechnungsgruppe]],'#Frucht'!$V$1,FALSE))</f>
        <v>0</v>
      </c>
      <c r="AB99" s="875">
        <f>IF(N99=1,VLOOKUP('Flächen u. Kulturen'!P104,Kulturen[[HF]:[Ernteprodukt]],'#Frucht'!$I$1,FALSE),4)</f>
        <v>4</v>
      </c>
      <c r="AC99" s="921">
        <f>IF('Flächen u. Kulturen'!J104="",0,VLOOKUP('Flächen u. Kulturen'!J104,Kulturen[[HF]:[Berechnungsgruppe]],'#Frucht'!$G$1,FALSE))</f>
        <v>90</v>
      </c>
      <c r="AD99" s="921">
        <f>IF('Flächen u. Kulturen'!P104="",0,VLOOKUP('Flächen u. Kulturen'!P104,Kulturen[[HF]:[Berechnungsgruppe]],'#Frucht'!$G$1,FALSE))</f>
        <v>90</v>
      </c>
      <c r="AE99" s="938">
        <f>IF('Flächen u. Kulturen'!P104="",0,VLOOKUP('Flächen u. Kulturen'!P104,Kulturen[[HF]:[SollwertMinusNfix]],'#Frucht'!$X$1,FALSE))</f>
        <v>0</v>
      </c>
      <c r="AF99" s="875">
        <f>IF('Flächen u. Kulturen'!L104="",0,VLOOKUP('Flächen u. Kulturen'!L104,Nebenkultur[[Nebenkultur]:[Berechnungsschema]],'#Zweitfr'!$G$1,FALSE))</f>
        <v>0</v>
      </c>
      <c r="AG99" s="875">
        <f>IF('Flächen u. Kulturen'!L104="",0,VLOOKUP('Flächen u. Kulturen'!L104,'#Zweitfr'!$D$8:$Q$27,'#Zweitfr'!$Q$1,FALSE))</f>
        <v>0</v>
      </c>
      <c r="AH99" s="875">
        <f>IF('Flächen u. Kulturen'!M104="",0,VLOOKUP('Flächen u. Kulturen'!M104,'#Boden'!$G$17:$H$21,2,FALSE))</f>
        <v>1</v>
      </c>
      <c r="AI99" s="875">
        <f>IF('Flächen u. Kulturen'!N104="",0,VLOOKUP('Flächen u. Kulturen'!N104,'#Boden'!$G$22:$H$24,'#Boden'!$H$1,FALSE))</f>
        <v>1</v>
      </c>
      <c r="AJ99" s="938">
        <f>IF('Flächen u. Kulturen'!O104="",0,_xlfn.NUMBERVALUE('Flächen u. Kulturen'!O104))</f>
        <v>0</v>
      </c>
      <c r="AK99" s="938">
        <f>IF('Flächen u. Kulturen'!L104="",0,VLOOKUP('Flächen u. Kulturen'!L104,Nebenkultur[[Nebenkultur]:[Legum. Zwischenfr.]],'#Zweitfr'!$P$1,FALSE))</f>
        <v>0</v>
      </c>
      <c r="AL99" s="875">
        <f>IF('Flächen u. Kulturen'!P104="",0,VLOOKUP('Flächen u. Kulturen'!P104,Kulturen[[HF]:[Berechnungsgruppe]],'#Frucht'!$Q$1,FALSE))</f>
        <v>0</v>
      </c>
      <c r="AM99" s="875">
        <f>IF('Flächen u. Kulturen'!P104="",0,VLOOKUP('Flächen u. Kulturen'!P104,Kulturen[[HF]:[Berechnungsgruppe]],'#Frucht'!$M$1,FALSE))</f>
        <v>0</v>
      </c>
      <c r="AN99" s="875">
        <f>IF('Flächen u. Kulturen'!P104="",1,VLOOKUP('Flächen u. Kulturen'!P104,Kulturen[[HF]:[Berechnungsgruppe]],'#Frucht'!$R$1,FALSE))</f>
        <v>10</v>
      </c>
      <c r="AO99" s="875">
        <f>IF('Flächen u. Kulturen'!P104="",0,VLOOKUP('Flächen u. Kulturen'!P104,Kulturen[[HF]:[Berechnungsgruppe]],'#Frucht'!$S$1,FALSE))</f>
        <v>0</v>
      </c>
      <c r="AP99" s="875">
        <f>IF('Flächen u. Kulturen'!P104="",0,VLOOKUP('Flächen u. Kulturen'!P104,Kulturen[[HF]:[Berechnungsgruppe]],'#Frucht'!$T$1,FALSE))</f>
        <v>0</v>
      </c>
      <c r="AQ99" s="938">
        <f t="shared" si="46"/>
        <v>0</v>
      </c>
      <c r="AR99" s="875">
        <f t="shared" si="47"/>
        <v>0</v>
      </c>
      <c r="AS99" s="938">
        <f t="shared" si="48"/>
        <v>0</v>
      </c>
      <c r="AT99" s="875">
        <f>IF(N99=1,'Flächen u. Kulturen'!S104*-1,"--")</f>
        <v>0</v>
      </c>
      <c r="AU99" s="938">
        <f>IF(OR(N99=2,'Flächen u. Kulturen'!I104=""),"--",IF(N99=3,VLOOKUP('Flächen u. Kulturen'!I104,'#Boden'!$B$9:$E$15,'#Boden'!$D$1,FALSE),VLOOKUP('Flächen u. Kulturen'!I104,'#Boden'!$B$9:$E$15,'#Boden'!$E$1,FALSE)))</f>
        <v>0</v>
      </c>
      <c r="AV99" s="938">
        <f>IF(N99=1,IF('Flächen u. Kulturen'!J104="",0,VLOOKUP('Flächen u. Kulturen'!J104,Kulturen[[HF]:[Berechnungsgruppe]],'#Frucht'!$U$1,FALSE)*-1),"--")</f>
        <v>0</v>
      </c>
      <c r="AW99" s="875">
        <f t="shared" si="49"/>
        <v>0</v>
      </c>
      <c r="AX99" s="875">
        <f>IF('Flächen u. Kulturen'!K104="",0,'Flächen u. Kulturen'!K104*-0.1)</f>
        <v>0</v>
      </c>
      <c r="AY99" s="875">
        <f>IF(N99&lt;3,'#orgDung'!AC108*0.1*-1,"--")</f>
        <v>0</v>
      </c>
      <c r="AZ99" s="31" t="str">
        <f>IF(AND('#orgDung'!J108&lt;&gt;2,'#orgDung'!F108=1),('#orgDung'!V108+'#minDung'!O105)*-1,"--")</f>
        <v>--</v>
      </c>
      <c r="BA99" s="875">
        <f t="shared" si="67"/>
        <v>0</v>
      </c>
      <c r="BB99" s="938">
        <f>IF(R99=2,0,'Flächen u. Kulturen'!V104*-1)</f>
        <v>0</v>
      </c>
      <c r="BC99" s="875">
        <f t="shared" si="68"/>
        <v>0</v>
      </c>
      <c r="BD99" s="127">
        <f>'#orgDung'!W108*-1</f>
        <v>0</v>
      </c>
      <c r="BE99" s="910">
        <f>'#orgDung'!AA108*-1</f>
        <v>0</v>
      </c>
      <c r="BF99" s="875">
        <f>'#orgDung'!Z108*-1</f>
        <v>0</v>
      </c>
      <c r="BG99" s="938">
        <f t="shared" si="60"/>
        <v>0</v>
      </c>
      <c r="BH99" s="875">
        <f>'#Kürzungen'!AS123*-1</f>
        <v>0</v>
      </c>
      <c r="BI99" s="875">
        <f t="shared" si="50"/>
        <v>0</v>
      </c>
      <c r="BJ99" s="910">
        <f t="shared" si="51"/>
        <v>0</v>
      </c>
      <c r="BK99" s="875">
        <f>'#minDung'!P105</f>
        <v>0</v>
      </c>
      <c r="BL99" s="938">
        <f t="shared" si="61"/>
        <v>0</v>
      </c>
      <c r="BM99" s="938">
        <f t="shared" si="52"/>
        <v>0</v>
      </c>
      <c r="BN99" s="875">
        <f>IF('Flächen u. Kulturen'!P104="",0,VLOOKUP('Flächen u. Kulturen'!P104,Kulturen[[HF]:[Berechnungsgruppe]],'#Frucht'!$K$1,FALSE))</f>
        <v>0</v>
      </c>
      <c r="BO99" s="875">
        <f>IF('Flächen u. Kulturen'!P104="",0,VLOOKUP('Flächen u. Kulturen'!P104,Kulturen[[HF]:[Berechnungsgruppe]],'#Frucht'!$L$1,FALSE))</f>
        <v>0</v>
      </c>
      <c r="BP99" s="875">
        <f>IF('Flächen u. Kulturen'!L104="",0,VLOOKUP('Flächen u. Kulturen'!L104,Nebenkultur[[Nebenkultur]:[Legum. Zwischenfr.]],'#Zweitfr'!$H$1,FALSE))</f>
        <v>0</v>
      </c>
      <c r="BQ99" s="938">
        <f>IF(N99=3,W99*BO99,IF('Flächen u. Kulturen'!T104='#Boden'!$B$32,V99*BN99,V99*BO99))</f>
        <v>0</v>
      </c>
      <c r="BR99" s="938">
        <f t="shared" si="53"/>
        <v>0</v>
      </c>
      <c r="BS99" s="875">
        <f t="shared" si="69"/>
        <v>0</v>
      </c>
      <c r="BT99" s="875">
        <f>IF('Flächen u. Kulturen'!F104="",0,IF(N99=3,VLOOKUP('Flächen u. Kulturen'!F104,'#Boden'!$G$4:$J$8,'#Boden'!$J$1,FALSE),VLOOKUP('Flächen u. Kulturen'!F104,'#Boden'!$G$4:$J$8,'#Boden'!$I$1,FALSE)))</f>
        <v>0</v>
      </c>
      <c r="BU99" s="41">
        <f t="shared" si="70"/>
        <v>0</v>
      </c>
      <c r="BV99" s="875">
        <f t="shared" si="71"/>
        <v>0</v>
      </c>
      <c r="BW99" s="938" t="str">
        <f t="shared" si="62"/>
        <v/>
      </c>
      <c r="BX99" s="875">
        <f>'#orgDung'!T108*-1</f>
        <v>0</v>
      </c>
      <c r="BY99" s="875">
        <f t="shared" si="54"/>
        <v>0</v>
      </c>
      <c r="BZ99" s="938" t="str">
        <f>IF(U99&lt;&gt;"x",0,IF(P99&lt;4,"",(BW99+BX99-'#minDung'!N105)*-1))</f>
        <v/>
      </c>
      <c r="CB99" s="938">
        <f>IF(AND(AF99=70,U99="x"),'Flächen u. Kulturen'!A104,1000)</f>
        <v>1000</v>
      </c>
      <c r="CC99" s="875" t="str">
        <f>IF(AF99=70,VLOOKUP('Flächen u. Kulturen'!L104,Nebenkultur[[Nebenkultur]:[Legum. Zwischenfr.]],'#Zweitfr'!$I$1,FALSE),"--")</f>
        <v>--</v>
      </c>
      <c r="CD99" s="875" t="str">
        <f>IF(AF99=70,VLOOKUP('Flächen u. Kulturen'!L104,Nebenkultur[[Nebenkultur]:[Legum. Zwischenfr.]],'#Zweitfr'!$L$1,FALSE),"--")</f>
        <v>--</v>
      </c>
      <c r="CE99" s="875" t="str">
        <f>IF(AF99=70,VLOOKUP('Flächen u. Kulturen'!L104,Nebenkultur[[Nebenkultur]:[Legum. Zwischenfr.]],'#Zweitfr'!$M$1,FALSE),"--")</f>
        <v>--</v>
      </c>
      <c r="CF99" s="875" t="str">
        <f>IF(AF99=70,VLOOKUP('Flächen u. Kulturen'!L104,Nebenkultur[[Nebenkultur]:[Legum. Zwischenfr.]],'#Zweitfr'!$N$1,FALSE),"--")</f>
        <v>--</v>
      </c>
      <c r="CG99" s="875" t="str">
        <f>IF(AF99=70,VLOOKUP('Flächen u. Kulturen'!L104,Nebenkultur[[Nebenkultur]:[Legum. Zwischenfr.]],'#Zweitfr'!$O$1,FALSE),"--")</f>
        <v>--</v>
      </c>
      <c r="CH99" s="875" t="str">
        <f t="shared" si="55"/>
        <v>--</v>
      </c>
      <c r="CI99" s="938">
        <f>IF('Flächen u. Kulturen'!L104="",0,VLOOKUP('Flächen u. Kulturen'!L104,Nebenkultur[[Nebenkultur]:[Legum. Zwischenfr.]],'#Zweitfr'!$J$1,FALSE))</f>
        <v>0</v>
      </c>
      <c r="CJ99" s="875">
        <f t="shared" si="56"/>
        <v>0</v>
      </c>
      <c r="CK99" s="890">
        <f t="shared" si="57"/>
        <v>0</v>
      </c>
      <c r="CL99" s="938">
        <f>IF(AND(R99=1,AF99=70),'Flächen u. Kulturen'!W104*-1,0)</f>
        <v>0</v>
      </c>
      <c r="CM99" s="875">
        <f>'#orgDung'!AE108*-1</f>
        <v>0</v>
      </c>
      <c r="CN99" s="875">
        <f t="shared" si="72"/>
        <v>0</v>
      </c>
      <c r="CO99" s="875">
        <f t="shared" si="73"/>
        <v>0</v>
      </c>
      <c r="CP99" s="875">
        <f>'#Kürzungen'!AS224*-1</f>
        <v>0</v>
      </c>
      <c r="CQ99" s="875">
        <f t="shared" si="74"/>
        <v>0</v>
      </c>
      <c r="CR99" s="875">
        <f t="shared" si="75"/>
        <v>0</v>
      </c>
      <c r="CS99" s="875">
        <f>'#minDung'!R105</f>
        <v>0</v>
      </c>
      <c r="CT99" s="938">
        <f t="shared" si="63"/>
        <v>0</v>
      </c>
      <c r="CU99" s="52" t="str">
        <f>'#Kürzungen'!AQ224</f>
        <v xml:space="preserve"> </v>
      </c>
      <c r="CW99" s="247">
        <f>IF('Flächen u. Kulturen'!D104="",0,IF(ISNUMBER('Flächen u. Kulturen'!D104)=TRUE,2,1))</f>
        <v>0</v>
      </c>
      <c r="CX99" s="247">
        <f>IF('Flächen u. Kulturen'!E104="",0,COUNTIF('#Boden'!$B$47,'Flächen u. Kulturen'!E104)+1)</f>
        <v>2</v>
      </c>
      <c r="CY99" s="247">
        <f>IF('Flächen u. Kulturen'!F104="",0,COUNTIF('#Boden'!$G$4:$G$8,'Flächen u. Kulturen'!F104)+1)</f>
        <v>2</v>
      </c>
      <c r="CZ99" s="247">
        <f>IF('Flächen u. Kulturen'!G104="",0,COUNTIF('#Boden'!$B$26:$B$29,'Flächen u. Kulturen'!G104)+1)</f>
        <v>2</v>
      </c>
      <c r="DA99" s="247">
        <f>IF('Flächen u. Kulturen'!H104="",0,COUNTIF('#Boden'!$B$26:$B$29,'Flächen u. Kulturen'!H104)+1)</f>
        <v>2</v>
      </c>
      <c r="DB99" s="247">
        <f>IF('Flächen u. Kulturen'!I104="",0,COUNTIF('#Boden'!$B$9:$B$15,'Flächen u. Kulturen'!I104)+1)</f>
        <v>2</v>
      </c>
      <c r="DC99" s="247">
        <f>IF('Flächen u. Kulturen'!J104="",0,COUNTIF(Kulturen[HF],'Flächen u. Kulturen'!J104)+1)</f>
        <v>2</v>
      </c>
      <c r="DD99" s="247">
        <f>IF('Flächen u. Kulturen'!L104="",0,COUNTIF(Nebenkultur[Nebenkultur],'Flächen u. Kulturen'!L104)+1)</f>
        <v>2</v>
      </c>
      <c r="DE99" s="247">
        <f>IF('Flächen u. Kulturen'!M104="",0,COUNTIF('#Boden'!$G$17:$G$21,'Flächen u. Kulturen'!M104)+1)</f>
        <v>2</v>
      </c>
      <c r="DF99" s="247">
        <f>IF('Flächen u. Kulturen'!N104="",0,COUNTIF('#Boden'!$G$22:$G$24,'Flächen u. Kulturen'!N104)+1)</f>
        <v>2</v>
      </c>
      <c r="DG99" s="247">
        <f>IF('Flächen u. Kulturen'!P104="",0,COUNTIF(Kulturen[HF],'Flächen u. Kulturen'!P104)+1)</f>
        <v>2</v>
      </c>
      <c r="DH99" s="247">
        <f>IF('Flächen u. Kulturen'!T104="",0,COUNTIF('#Boden'!$B$30:$B$32,'Flächen u. Kulturen'!T104)+1)</f>
        <v>2</v>
      </c>
      <c r="DI99" s="247">
        <f>IF('Flächen u. Kulturen'!K104="",0,IF(ISNUMBER('Flächen u. Kulturen'!K104)=TRUE,2,1))</f>
        <v>0</v>
      </c>
      <c r="DJ99" s="247">
        <f>IF('Flächen u. Kulturen'!U104="",0,IF(ISNUMBER('Flächen u. Kulturen'!U104)=TRUE,2,1))</f>
        <v>0</v>
      </c>
      <c r="DK99" s="247">
        <f>IF('Flächen u. Kulturen'!V104="",0,IF(ISNUMBER('Flächen u. Kulturen'!V104)=TRUE,2,1))</f>
        <v>0</v>
      </c>
      <c r="DL99" s="247">
        <f>IF('Flächen u. Kulturen'!W104="",0,IF(ISNUMBER('Flächen u. Kulturen'!W104)=TRUE,2,1))</f>
        <v>0</v>
      </c>
      <c r="DM99" s="247">
        <f t="shared" si="76"/>
        <v>0</v>
      </c>
      <c r="DN99" s="247" t="s">
        <v>344</v>
      </c>
      <c r="DO99" s="247">
        <f>IF(U99&lt;&gt;"x","",IF(OR('Flächen u. Kulturen'!B104="",'Flächen u. Kulturen'!C104="",'Flächen u. Kulturen'!D104="",'Flächen u. Kulturen'!D104=0,'Flächen u. Kulturen'!F104="",'Flächen u. Kulturen'!F104='#Boden'!$G$4,'Flächen u. Kulturen'!G104="",'Flächen u. Kulturen'!G104='#Boden'!$B$26,'Flächen u. Kulturen'!H104="",'Flächen u. Kulturen'!H104='#Boden'!$B$23,AND(N99&lt;&gt;2,OR('Flächen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Kulturen'!Q104="",'#BerechnungDBE'!N99&lt;3),AND('Flächen u. Kulturen'!R104="",'#BerechnungDBE'!N99=3),AND(N99=1,AL99&gt;0,'Flächen u. Kulturen'!S104=""),AND(N99=1,OR('Flächen u. Kulturen'!T104="",'Flächen u. Kulturen'!T104='#Boden'!$B$30)),AND('#BerechnungDBE'!AF99=70,OR('Flächen u. Kulturen'!N104="",'Flächen u. Kulturen'!N104='#Boden'!$G$22,'Flächen u. Kulturen'!O104="")),AND('#BerechnungDBE'!AF99=80,OR('Flächen u. Kulturen'!M104="",'Flächen u. Kulturen'!M104='#Boden'!$G$17,'Flächen u. Kulturen'!N104="",'Flächen u. Kulturen'!N104='#Boden'!$G$22))),$DO$4,""))</f>
        <v>1</v>
      </c>
      <c r="DP99" s="247" t="str">
        <f>IF(U99&lt;&gt;"x","",IF(OR(LEFT('Flächen u. Kulturen'!J104,2)=" +",LEFT('Flächen u. Kulturen'!L104,2)=" +",LEFT('Flächen u. Kulturen'!P104,2)=" +"),$DP$4,""))</f>
        <v/>
      </c>
      <c r="DQ99" s="428" t="str">
        <f t="shared" si="58"/>
        <v/>
      </c>
      <c r="DR99" s="938" t="str">
        <f t="shared" si="59"/>
        <v/>
      </c>
      <c r="DS99" s="938" t="str">
        <f>IF('Flächen u. Kulturen'!X104="","",ROW('Flächen u. Kulturen'!X104))</f>
        <v/>
      </c>
    </row>
    <row r="100" spans="1:123" s="875" customFormat="1" x14ac:dyDescent="0.2">
      <c r="A100" s="875" t="str">
        <f>IF('Daten aus 2021'!H102="",'#Boden'!$B$26,IF('Daten aus 2021'!H102='#Boden'!$B$39,IF('Daten aus 2021'!F102='#Boden'!$B$29,'#Boden'!$B$29,IF('Daten aus 2021'!K102='#Boden'!$B$34,'#Boden'!$B$28,'#Boden'!$B$27)),'Daten aus 2021'!F102))</f>
        <v xml:space="preserve"> --</v>
      </c>
      <c r="B100" s="875" t="str">
        <f>IF('Daten aus 2021'!H102='#Boden'!$B$39,IF('Daten aus 2021'!L102='#Boden'!$B$61,'#Boden'!$B$11,'Daten aus 2021'!L102),IF('Daten aus 2021'!P102='#Boden'!$B$58,'#Boden'!$B$11,IF('Daten aus 2021'!P102='#Boden'!$B$57,'#Boden'!$B$10,'#Boden'!$B$9)))</f>
        <v xml:space="preserve"> --         </v>
      </c>
      <c r="C100" s="875" t="str">
        <f>IF('Daten aus 2021'!N102="","",VLOOKUP('Daten aus 2021'!N102,'#Boden'!$B$68:$C$89,2,FALSE))</f>
        <v/>
      </c>
      <c r="D100" s="875" t="str">
        <f>IF('Daten aus 2021'!M102="","",VLOOKUP('Daten aus 2021'!M102,'#Boden'!$D$69:$E$73,2,FALSE))</f>
        <v/>
      </c>
      <c r="E100" s="938" t="str">
        <f>IF(OR(C100='#Boden'!$C$68,C100='#Boden'!$C$70),C100,CONCATENATE(C100,D100))</f>
        <v/>
      </c>
      <c r="F100" s="882" t="str">
        <f>IFERROR(IF('Daten aus 2021'!H102="",'#Frucht'!$D$8,IF('Daten aus 2021'!H102='#Boden'!$B$39,E100,IF('Daten aus 2021'!H102='#Boden'!$B$38,IF(CONCATENATE(" ",'Daten aus 2021'!W102)=$B$2,VLOOKUP($B$3,'#Frucht'!$A$8:$D$372,4,FALSE),VLOOKUP(CONCATENATE(" ",'Daten aus 2021'!W102),'#Frucht'!$A$8:$D$372,4,FALSE)),IF(OR(LEFT('Daten aus 2021'!Q102,5)=" *10 ",LEFT('Daten aus 2021'!Q102,5)=" *11 ",LEFT('Daten aus 2021'!Q102,5)=" *12 ",LEFT('Daten aus 2021'!Q102,5)=" *13 ",LEFT('Daten aus 2021'!Q102,5)=" *14 ",LEFT('Daten aus 2021'!Q102,5)=" *15 "),VLOOKUP(RIGHT('Daten aus 2021'!Q102,LEN('Daten aus 2021'!Q102)-4),'#Frucht'!$A$8:$D$372,4,FALSE),IF(LEFT('Daten aus 2021'!Q102,2)=" *",VLOOKUP(RIGHT('Daten aus 2021'!Q102,LEN('Daten aus 2021'!Q102)-3),'#Frucht'!$A$8:$D$372,4,FALSE),VLOOKUP('Daten aus 2021'!Q102,'#Frucht'!$A$8:$D$372,4,FALSE)))))),'#Frucht'!$D$8)</f>
        <v xml:space="preserve"> --  </v>
      </c>
      <c r="G100" s="127"/>
      <c r="H100" s="31"/>
      <c r="J100" s="938" t="str">
        <f>IF(OR(N100=3,$K$3=0,'Flächen u. Kulturen'!P105=""),"",IF(VLOOKUP('Flächen u. Kulturen'!P105,Kulturen[[HF]:[780]],'#BerechnungDBE'!$K$3,FALSE)=".","",VLOOKUP('Flächen u. Kulturen'!P105,Kulturen[[HF]:[780]],'#BerechnungDBE'!$K$3,FALSE)))</f>
        <v/>
      </c>
      <c r="K100" s="938" t="str">
        <f>IF(OR($K$3=0,'Flächen u. Kulturen'!P105=""),"",IF(N100=3,IF(VLOOKUP('Flächen u. Kulturen'!P105,Kulturen[[HF]:[780]],'#BerechnungDBE'!$K$3,FALSE)=".","",VLOOKUP('Flächen u. Kulturen'!P105,Kulturen[[HF]:[780]],'#BerechnungDBE'!$K$3,FALSE)),""))</f>
        <v/>
      </c>
      <c r="L100" s="367">
        <f>IF('Flächen u. Kulturen'!D105="",0,'Flächen u. Kulturen'!D105)</f>
        <v>0</v>
      </c>
      <c r="M100" s="693">
        <f>IF('Flächen u. Kulturen'!J105="",0,VLOOKUP('Flächen u. Kulturen'!J105,Kulturen[[HF]:[Berechnungsgruppe]],'#Frucht'!$W$1,FALSE))</f>
        <v>1</v>
      </c>
      <c r="N100" s="693">
        <f>IF('Flächen u. Kulturen'!P105="",0,VLOOKUP('Flächen u. Kulturen'!P105,Kulturen[[HF]:[Berechnungsgruppe]],'#Frucht'!$W$1,FALSE))</f>
        <v>1</v>
      </c>
      <c r="O100" s="875">
        <f>IF(N100&lt;&gt;2,N100,IF('Flächen u. Kulturen'!J105='Flächen u. Kulturen'!P105,2,1))</f>
        <v>1</v>
      </c>
      <c r="P100" s="875">
        <f>IF('Flächen u. Kulturen'!F105="",0,VLOOKUP('Flächen u. Kulturen'!F105,'#Boden'!$G$4:$H$8,'#Boden'!$H$1,FALSE))</f>
        <v>1</v>
      </c>
      <c r="Q100" s="875">
        <f>IF('Flächen u. Kulturen'!G105="",0,VLOOKUP('Flächen u. Kulturen'!G105,'#Boden'!$B$26:$C$29,'#Boden'!$C$1,FALSE))</f>
        <v>1</v>
      </c>
      <c r="R100" s="875">
        <f t="shared" si="64"/>
        <v>1</v>
      </c>
      <c r="S100" s="875">
        <f t="shared" si="65"/>
        <v>1</v>
      </c>
      <c r="T100" s="875">
        <f>IF('Flächen u. Kulturen'!H105="",0,VLOOKUP('Flächen u. Kulturen'!H105,'#Boden'!$B$23:$C$25,'#Boden'!$C$1,FALSE))</f>
        <v>2</v>
      </c>
      <c r="U100" s="875" t="str">
        <f>'Flächen u. Kulturen'!E105</f>
        <v>x</v>
      </c>
      <c r="V100" s="938">
        <f>IF('Flächen u. Kulturen'!Q105="",0,_xlfn.NUMBERVALUE('Flächen u. Kulturen'!Q105))</f>
        <v>0</v>
      </c>
      <c r="W100" s="938">
        <f>IF('Flächen u. Kulturen'!R105="",0,_xlfn.NUMBERVALUE('Flächen u. Kulturen'!R105))</f>
        <v>0</v>
      </c>
      <c r="X100" s="875">
        <f>IF('Flächen u. Kulturen'!T105="",0,VLOOKUP('Flächen u. Kulturen'!T105,'#Boden'!$B$30:$C$32,'#Boden'!$C$1,FALSE))</f>
        <v>1</v>
      </c>
      <c r="Y100" s="875">
        <f>IF('Flächen u. Kulturen'!P105="",0,VLOOKUP('Flächen u. Kulturen'!P105,Kulturen[[HF]:[Berechnungsgruppe]],'#Frucht'!$N$1,FALSE))</f>
        <v>0</v>
      </c>
      <c r="Z100" s="875">
        <f t="shared" si="66"/>
        <v>2</v>
      </c>
      <c r="AA100" s="875">
        <f>IF('Flächen u. Kulturen'!P105="",0,VLOOKUP('Flächen u. Kulturen'!P105,Kulturen[[HF]:[Berechnungsgruppe]],'#Frucht'!$V$1,FALSE))</f>
        <v>0</v>
      </c>
      <c r="AB100" s="875">
        <f>IF(N100=1,VLOOKUP('Flächen u. Kulturen'!P105,Kulturen[[HF]:[Ernteprodukt]],'#Frucht'!$I$1,FALSE),4)</f>
        <v>4</v>
      </c>
      <c r="AC100" s="921">
        <f>IF('Flächen u. Kulturen'!J105="",0,VLOOKUP('Flächen u. Kulturen'!J105,Kulturen[[HF]:[Berechnungsgruppe]],'#Frucht'!$G$1,FALSE))</f>
        <v>90</v>
      </c>
      <c r="AD100" s="921">
        <f>IF('Flächen u. Kulturen'!P105="",0,VLOOKUP('Flächen u. Kulturen'!P105,Kulturen[[HF]:[Berechnungsgruppe]],'#Frucht'!$G$1,FALSE))</f>
        <v>90</v>
      </c>
      <c r="AE100" s="938">
        <f>IF('Flächen u. Kulturen'!P105="",0,VLOOKUP('Flächen u. Kulturen'!P105,Kulturen[[HF]:[SollwertMinusNfix]],'#Frucht'!$X$1,FALSE))</f>
        <v>0</v>
      </c>
      <c r="AF100" s="875">
        <f>IF('Flächen u. Kulturen'!L105="",0,VLOOKUP('Flächen u. Kulturen'!L105,Nebenkultur[[Nebenkultur]:[Berechnungsschema]],'#Zweitfr'!$G$1,FALSE))</f>
        <v>0</v>
      </c>
      <c r="AG100" s="875">
        <f>IF('Flächen u. Kulturen'!L105="",0,VLOOKUP('Flächen u. Kulturen'!L105,'#Zweitfr'!$D$8:$Q$27,'#Zweitfr'!$Q$1,FALSE))</f>
        <v>0</v>
      </c>
      <c r="AH100" s="875">
        <f>IF('Flächen u. Kulturen'!M105="",0,VLOOKUP('Flächen u. Kulturen'!M105,'#Boden'!$G$17:$H$21,2,FALSE))</f>
        <v>1</v>
      </c>
      <c r="AI100" s="875">
        <f>IF('Flächen u. Kulturen'!N105="",0,VLOOKUP('Flächen u. Kulturen'!N105,'#Boden'!$G$22:$H$24,'#Boden'!$H$1,FALSE))</f>
        <v>1</v>
      </c>
      <c r="AJ100" s="938">
        <f>IF('Flächen u. Kulturen'!O105="",0,_xlfn.NUMBERVALUE('Flächen u. Kulturen'!O105))</f>
        <v>0</v>
      </c>
      <c r="AK100" s="938">
        <f>IF('Flächen u. Kulturen'!L105="",0,VLOOKUP('Flächen u. Kulturen'!L105,Nebenkultur[[Nebenkultur]:[Legum. Zwischenfr.]],'#Zweitfr'!$P$1,FALSE))</f>
        <v>0</v>
      </c>
      <c r="AL100" s="875">
        <f>IF('Flächen u. Kulturen'!P105="",0,VLOOKUP('Flächen u. Kulturen'!P105,Kulturen[[HF]:[Berechnungsgruppe]],'#Frucht'!$Q$1,FALSE))</f>
        <v>0</v>
      </c>
      <c r="AM100" s="875">
        <f>IF('Flächen u. Kulturen'!P105="",0,VLOOKUP('Flächen u. Kulturen'!P105,Kulturen[[HF]:[Berechnungsgruppe]],'#Frucht'!$M$1,FALSE))</f>
        <v>0</v>
      </c>
      <c r="AN100" s="875">
        <f>IF('Flächen u. Kulturen'!P105="",1,VLOOKUP('Flächen u. Kulturen'!P105,Kulturen[[HF]:[Berechnungsgruppe]],'#Frucht'!$R$1,FALSE))</f>
        <v>10</v>
      </c>
      <c r="AO100" s="875">
        <f>IF('Flächen u. Kulturen'!P105="",0,VLOOKUP('Flächen u. Kulturen'!P105,Kulturen[[HF]:[Berechnungsgruppe]],'#Frucht'!$S$1,FALSE))</f>
        <v>0</v>
      </c>
      <c r="AP100" s="875">
        <f>IF('Flächen u. Kulturen'!P105="",0,VLOOKUP('Flächen u. Kulturen'!P105,Kulturen[[HF]:[Berechnungsgruppe]],'#Frucht'!$T$1,FALSE))</f>
        <v>0</v>
      </c>
      <c r="AQ100" s="938">
        <f t="shared" si="46"/>
        <v>0</v>
      </c>
      <c r="AR100" s="875">
        <f t="shared" si="47"/>
        <v>0</v>
      </c>
      <c r="AS100" s="938">
        <f t="shared" si="48"/>
        <v>0</v>
      </c>
      <c r="AT100" s="875">
        <f>IF(N100=1,'Flächen u. Kulturen'!S105*-1,"--")</f>
        <v>0</v>
      </c>
      <c r="AU100" s="938">
        <f>IF(OR(N100=2,'Flächen u. Kulturen'!I105=""),"--",IF(N100=3,VLOOKUP('Flächen u. Kulturen'!I105,'#Boden'!$B$9:$E$15,'#Boden'!$D$1,FALSE),VLOOKUP('Flächen u. Kulturen'!I105,'#Boden'!$B$9:$E$15,'#Boden'!$E$1,FALSE)))</f>
        <v>0</v>
      </c>
      <c r="AV100" s="938">
        <f>IF(N100=1,IF('Flächen u. Kulturen'!J105="",0,VLOOKUP('Flächen u. Kulturen'!J105,Kulturen[[HF]:[Berechnungsgruppe]],'#Frucht'!$U$1,FALSE)*-1),"--")</f>
        <v>0</v>
      </c>
      <c r="AW100" s="875">
        <f t="shared" si="49"/>
        <v>0</v>
      </c>
      <c r="AX100" s="875">
        <f>IF('Flächen u. Kulturen'!K105="",0,'Flächen u. Kulturen'!K105*-0.1)</f>
        <v>0</v>
      </c>
      <c r="AY100" s="875">
        <f>IF(N100&lt;3,'#orgDung'!AC109*0.1*-1,"--")</f>
        <v>0</v>
      </c>
      <c r="AZ100" s="31" t="str">
        <f>IF(AND('#orgDung'!J109&lt;&gt;2,'#orgDung'!F109=1),('#orgDung'!V109+'#minDung'!O106)*-1,"--")</f>
        <v>--</v>
      </c>
      <c r="BA100" s="875">
        <f t="shared" si="67"/>
        <v>0</v>
      </c>
      <c r="BB100" s="938">
        <f>IF(R100=2,0,'Flächen u. Kulturen'!V105*-1)</f>
        <v>0</v>
      </c>
      <c r="BC100" s="875">
        <f t="shared" si="68"/>
        <v>0</v>
      </c>
      <c r="BD100" s="127">
        <f>'#orgDung'!W109*-1</f>
        <v>0</v>
      </c>
      <c r="BE100" s="910">
        <f>'#orgDung'!AA109*-1</f>
        <v>0</v>
      </c>
      <c r="BF100" s="875">
        <f>'#orgDung'!Z109*-1</f>
        <v>0</v>
      </c>
      <c r="BG100" s="938">
        <f t="shared" si="60"/>
        <v>0</v>
      </c>
      <c r="BH100" s="875">
        <f>'#Kürzungen'!AS124*-1</f>
        <v>0</v>
      </c>
      <c r="BI100" s="875">
        <f t="shared" si="50"/>
        <v>0</v>
      </c>
      <c r="BJ100" s="910">
        <f t="shared" si="51"/>
        <v>0</v>
      </c>
      <c r="BK100" s="875">
        <f>'#minDung'!P106</f>
        <v>0</v>
      </c>
      <c r="BL100" s="938">
        <f t="shared" si="61"/>
        <v>0</v>
      </c>
      <c r="BM100" s="938">
        <f t="shared" si="52"/>
        <v>0</v>
      </c>
      <c r="BN100" s="875">
        <f>IF('Flächen u. Kulturen'!P105="",0,VLOOKUP('Flächen u. Kulturen'!P105,Kulturen[[HF]:[Berechnungsgruppe]],'#Frucht'!$K$1,FALSE))</f>
        <v>0</v>
      </c>
      <c r="BO100" s="875">
        <f>IF('Flächen u. Kulturen'!P105="",0,VLOOKUP('Flächen u. Kulturen'!P105,Kulturen[[HF]:[Berechnungsgruppe]],'#Frucht'!$L$1,FALSE))</f>
        <v>0</v>
      </c>
      <c r="BP100" s="875">
        <f>IF('Flächen u. Kulturen'!L105="",0,VLOOKUP('Flächen u. Kulturen'!L105,Nebenkultur[[Nebenkultur]:[Legum. Zwischenfr.]],'#Zweitfr'!$H$1,FALSE))</f>
        <v>0</v>
      </c>
      <c r="BQ100" s="938">
        <f>IF(N100=3,W100*BO100,IF('Flächen u. Kulturen'!T105='#Boden'!$B$32,V100*BN100,V100*BO100))</f>
        <v>0</v>
      </c>
      <c r="BR100" s="938">
        <f t="shared" si="53"/>
        <v>0</v>
      </c>
      <c r="BS100" s="875">
        <f t="shared" si="69"/>
        <v>0</v>
      </c>
      <c r="BT100" s="875">
        <f>IF('Flächen u. Kulturen'!F105="",0,IF(N100=3,VLOOKUP('Flächen u. Kulturen'!F105,'#Boden'!$G$4:$J$8,'#Boden'!$J$1,FALSE),VLOOKUP('Flächen u. Kulturen'!F105,'#Boden'!$G$4:$J$8,'#Boden'!$I$1,FALSE)))</f>
        <v>0</v>
      </c>
      <c r="BU100" s="41">
        <f t="shared" si="70"/>
        <v>0</v>
      </c>
      <c r="BV100" s="875">
        <f t="shared" si="71"/>
        <v>0</v>
      </c>
      <c r="BW100" s="938" t="str">
        <f t="shared" si="62"/>
        <v/>
      </c>
      <c r="BX100" s="875">
        <f>'#orgDung'!T109*-1</f>
        <v>0</v>
      </c>
      <c r="BY100" s="875">
        <f t="shared" si="54"/>
        <v>0</v>
      </c>
      <c r="BZ100" s="938" t="str">
        <f>IF(U100&lt;&gt;"x",0,IF(P100&lt;4,"",(BW100+BX100-'#minDung'!N106)*-1))</f>
        <v/>
      </c>
      <c r="CB100" s="938">
        <f>IF(AND(AF100=70,U100="x"),'Flächen u. Kulturen'!A105,1000)</f>
        <v>1000</v>
      </c>
      <c r="CC100" s="875" t="str">
        <f>IF(AF100=70,VLOOKUP('Flächen u. Kulturen'!L105,Nebenkultur[[Nebenkultur]:[Legum. Zwischenfr.]],'#Zweitfr'!$I$1,FALSE),"--")</f>
        <v>--</v>
      </c>
      <c r="CD100" s="875" t="str">
        <f>IF(AF100=70,VLOOKUP('Flächen u. Kulturen'!L105,Nebenkultur[[Nebenkultur]:[Legum. Zwischenfr.]],'#Zweitfr'!$L$1,FALSE),"--")</f>
        <v>--</v>
      </c>
      <c r="CE100" s="875" t="str">
        <f>IF(AF100=70,VLOOKUP('Flächen u. Kulturen'!L105,Nebenkultur[[Nebenkultur]:[Legum. Zwischenfr.]],'#Zweitfr'!$M$1,FALSE),"--")</f>
        <v>--</v>
      </c>
      <c r="CF100" s="875" t="str">
        <f>IF(AF100=70,VLOOKUP('Flächen u. Kulturen'!L105,Nebenkultur[[Nebenkultur]:[Legum. Zwischenfr.]],'#Zweitfr'!$N$1,FALSE),"--")</f>
        <v>--</v>
      </c>
      <c r="CG100" s="875" t="str">
        <f>IF(AF100=70,VLOOKUP('Flächen u. Kulturen'!L105,Nebenkultur[[Nebenkultur]:[Legum. Zwischenfr.]],'#Zweitfr'!$O$1,FALSE),"--")</f>
        <v>--</v>
      </c>
      <c r="CH100" s="875" t="str">
        <f t="shared" si="55"/>
        <v>--</v>
      </c>
      <c r="CI100" s="938">
        <f>IF('Flächen u. Kulturen'!L105="",0,VLOOKUP('Flächen u. Kulturen'!L105,Nebenkultur[[Nebenkultur]:[Legum. Zwischenfr.]],'#Zweitfr'!$J$1,FALSE))</f>
        <v>0</v>
      </c>
      <c r="CJ100" s="875">
        <f t="shared" si="56"/>
        <v>0</v>
      </c>
      <c r="CK100" s="890">
        <f t="shared" si="57"/>
        <v>0</v>
      </c>
      <c r="CL100" s="938">
        <f>IF(AND(R100=1,AF100=70),'Flächen u. Kulturen'!W105*-1,0)</f>
        <v>0</v>
      </c>
      <c r="CM100" s="875">
        <f>'#orgDung'!AE109*-1</f>
        <v>0</v>
      </c>
      <c r="CN100" s="875">
        <f t="shared" si="72"/>
        <v>0</v>
      </c>
      <c r="CO100" s="875">
        <f t="shared" si="73"/>
        <v>0</v>
      </c>
      <c r="CP100" s="875">
        <f>'#Kürzungen'!AS225*-1</f>
        <v>0</v>
      </c>
      <c r="CQ100" s="875">
        <f t="shared" si="74"/>
        <v>0</v>
      </c>
      <c r="CR100" s="875">
        <f t="shared" si="75"/>
        <v>0</v>
      </c>
      <c r="CS100" s="875">
        <f>'#minDung'!R106</f>
        <v>0</v>
      </c>
      <c r="CT100" s="938">
        <f t="shared" si="63"/>
        <v>0</v>
      </c>
      <c r="CU100" s="52" t="str">
        <f>'#Kürzungen'!AQ225</f>
        <v xml:space="preserve"> </v>
      </c>
      <c r="CW100" s="247">
        <f>IF('Flächen u. Kulturen'!D105="",0,IF(ISNUMBER('Flächen u. Kulturen'!D105)=TRUE,2,1))</f>
        <v>0</v>
      </c>
      <c r="CX100" s="247">
        <f>IF('Flächen u. Kulturen'!E105="",0,COUNTIF('#Boden'!$B$47,'Flächen u. Kulturen'!E105)+1)</f>
        <v>2</v>
      </c>
      <c r="CY100" s="247">
        <f>IF('Flächen u. Kulturen'!F105="",0,COUNTIF('#Boden'!$G$4:$G$8,'Flächen u. Kulturen'!F105)+1)</f>
        <v>2</v>
      </c>
      <c r="CZ100" s="247">
        <f>IF('Flächen u. Kulturen'!G105="",0,COUNTIF('#Boden'!$B$26:$B$29,'Flächen u. Kulturen'!G105)+1)</f>
        <v>2</v>
      </c>
      <c r="DA100" s="247">
        <f>IF('Flächen u. Kulturen'!H105="",0,COUNTIF('#Boden'!$B$26:$B$29,'Flächen u. Kulturen'!H105)+1)</f>
        <v>2</v>
      </c>
      <c r="DB100" s="247">
        <f>IF('Flächen u. Kulturen'!I105="",0,COUNTIF('#Boden'!$B$9:$B$15,'Flächen u. Kulturen'!I105)+1)</f>
        <v>2</v>
      </c>
      <c r="DC100" s="247">
        <f>IF('Flächen u. Kulturen'!J105="",0,COUNTIF(Kulturen[HF],'Flächen u. Kulturen'!J105)+1)</f>
        <v>2</v>
      </c>
      <c r="DD100" s="247">
        <f>IF('Flächen u. Kulturen'!L105="",0,COUNTIF(Nebenkultur[Nebenkultur],'Flächen u. Kulturen'!L105)+1)</f>
        <v>2</v>
      </c>
      <c r="DE100" s="247">
        <f>IF('Flächen u. Kulturen'!M105="",0,COUNTIF('#Boden'!$G$17:$G$21,'Flächen u. Kulturen'!M105)+1)</f>
        <v>2</v>
      </c>
      <c r="DF100" s="247">
        <f>IF('Flächen u. Kulturen'!N105="",0,COUNTIF('#Boden'!$G$22:$G$24,'Flächen u. Kulturen'!N105)+1)</f>
        <v>2</v>
      </c>
      <c r="DG100" s="247">
        <f>IF('Flächen u. Kulturen'!P105="",0,COUNTIF(Kulturen[HF],'Flächen u. Kulturen'!P105)+1)</f>
        <v>2</v>
      </c>
      <c r="DH100" s="247">
        <f>IF('Flächen u. Kulturen'!T105="",0,COUNTIF('#Boden'!$B$30:$B$32,'Flächen u. Kulturen'!T105)+1)</f>
        <v>2</v>
      </c>
      <c r="DI100" s="247">
        <f>IF('Flächen u. Kulturen'!K105="",0,IF(ISNUMBER('Flächen u. Kulturen'!K105)=TRUE,2,1))</f>
        <v>0</v>
      </c>
      <c r="DJ100" s="247">
        <f>IF('Flächen u. Kulturen'!U105="",0,IF(ISNUMBER('Flächen u. Kulturen'!U105)=TRUE,2,1))</f>
        <v>0</v>
      </c>
      <c r="DK100" s="247">
        <f>IF('Flächen u. Kulturen'!V105="",0,IF(ISNUMBER('Flächen u. Kulturen'!V105)=TRUE,2,1))</f>
        <v>0</v>
      </c>
      <c r="DL100" s="247">
        <f>IF('Flächen u. Kulturen'!W105="",0,IF(ISNUMBER('Flächen u. Kulturen'!W105)=TRUE,2,1))</f>
        <v>0</v>
      </c>
      <c r="DM100" s="247">
        <f t="shared" si="76"/>
        <v>0</v>
      </c>
      <c r="DN100" s="247" t="s">
        <v>344</v>
      </c>
      <c r="DO100" s="247">
        <f>IF(U100&lt;&gt;"x","",IF(OR('Flächen u. Kulturen'!B105="",'Flächen u. Kulturen'!C105="",'Flächen u. Kulturen'!D105="",'Flächen u. Kulturen'!D105=0,'Flächen u. Kulturen'!F105="",'Flächen u. Kulturen'!F105='#Boden'!$G$4,'Flächen u. Kulturen'!G105="",'Flächen u. Kulturen'!G105='#Boden'!$B$26,'Flächen u. Kulturen'!H105="",'Flächen u. Kulturen'!H105='#Boden'!$B$23,AND(N100&lt;&gt;2,OR('Flächen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Kulturen'!Q105="",'#BerechnungDBE'!N100&lt;3),AND('Flächen u. Kulturen'!R105="",'#BerechnungDBE'!N100=3),AND(N100=1,AL100&gt;0,'Flächen u. Kulturen'!S105=""),AND(N100=1,OR('Flächen u. Kulturen'!T105="",'Flächen u. Kulturen'!T105='#Boden'!$B$30)),AND('#BerechnungDBE'!AF100=70,OR('Flächen u. Kulturen'!N105="",'Flächen u. Kulturen'!N105='#Boden'!$G$22,'Flächen u. Kulturen'!O105="")),AND('#BerechnungDBE'!AF100=80,OR('Flächen u. Kulturen'!M105="",'Flächen u. Kulturen'!M105='#Boden'!$G$17,'Flächen u. Kulturen'!N105="",'Flächen u. Kulturen'!N105='#Boden'!$G$22))),$DO$4,""))</f>
        <v>1</v>
      </c>
      <c r="DP100" s="247" t="str">
        <f>IF(U100&lt;&gt;"x","",IF(OR(LEFT('Flächen u. Kulturen'!J105,2)=" +",LEFT('Flächen u. Kulturen'!L105,2)=" +",LEFT('Flächen u. Kulturen'!P105,2)=" +"),$DP$4,""))</f>
        <v/>
      </c>
      <c r="DQ100" s="428" t="str">
        <f t="shared" si="58"/>
        <v/>
      </c>
      <c r="DR100" s="938" t="str">
        <f t="shared" si="59"/>
        <v/>
      </c>
      <c r="DS100" s="938" t="str">
        <f>IF('Flächen u. Kulturen'!X105="","",ROW('Flächen u. Kulturen'!X105))</f>
        <v/>
      </c>
    </row>
    <row r="101" spans="1:123" s="875" customFormat="1" x14ac:dyDescent="0.2">
      <c r="A101" s="875" t="str">
        <f>IF('Daten aus 2021'!H103="",'#Boden'!$B$26,IF('Daten aus 2021'!H103='#Boden'!$B$39,IF('Daten aus 2021'!F103='#Boden'!$B$29,'#Boden'!$B$29,IF('Daten aus 2021'!K103='#Boden'!$B$34,'#Boden'!$B$28,'#Boden'!$B$27)),'Daten aus 2021'!F103))</f>
        <v xml:space="preserve"> --</v>
      </c>
      <c r="B101" s="875" t="str">
        <f>IF('Daten aus 2021'!H103='#Boden'!$B$39,IF('Daten aus 2021'!L103='#Boden'!$B$61,'#Boden'!$B$11,'Daten aus 2021'!L103),IF('Daten aus 2021'!P103='#Boden'!$B$58,'#Boden'!$B$11,IF('Daten aus 2021'!P103='#Boden'!$B$57,'#Boden'!$B$10,'#Boden'!$B$9)))</f>
        <v xml:space="preserve"> --         </v>
      </c>
      <c r="C101" s="875" t="str">
        <f>IF('Daten aus 2021'!N103="","",VLOOKUP('Daten aus 2021'!N103,'#Boden'!$B$68:$C$89,2,FALSE))</f>
        <v/>
      </c>
      <c r="D101" s="875" t="str">
        <f>IF('Daten aus 2021'!M103="","",VLOOKUP('Daten aus 2021'!M103,'#Boden'!$D$69:$E$73,2,FALSE))</f>
        <v/>
      </c>
      <c r="E101" s="938" t="str">
        <f>IF(OR(C101='#Boden'!$C$68,C101='#Boden'!$C$70),C101,CONCATENATE(C101,D101))</f>
        <v/>
      </c>
      <c r="F101" s="882" t="str">
        <f>IFERROR(IF('Daten aus 2021'!H103="",'#Frucht'!$D$8,IF('Daten aus 2021'!H103='#Boden'!$B$39,E101,IF('Daten aus 2021'!H103='#Boden'!$B$38,IF(CONCATENATE(" ",'Daten aus 2021'!W103)=$B$2,VLOOKUP($B$3,'#Frucht'!$A$8:$D$372,4,FALSE),VLOOKUP(CONCATENATE(" ",'Daten aus 2021'!W103),'#Frucht'!$A$8:$D$372,4,FALSE)),IF(OR(LEFT('Daten aus 2021'!Q103,5)=" *10 ",LEFT('Daten aus 2021'!Q103,5)=" *11 ",LEFT('Daten aus 2021'!Q103,5)=" *12 ",LEFT('Daten aus 2021'!Q103,5)=" *13 ",LEFT('Daten aus 2021'!Q103,5)=" *14 ",LEFT('Daten aus 2021'!Q103,5)=" *15 "),VLOOKUP(RIGHT('Daten aus 2021'!Q103,LEN('Daten aus 2021'!Q103)-4),'#Frucht'!$A$8:$D$372,4,FALSE),IF(LEFT('Daten aus 2021'!Q103,2)=" *",VLOOKUP(RIGHT('Daten aus 2021'!Q103,LEN('Daten aus 2021'!Q103)-3),'#Frucht'!$A$8:$D$372,4,FALSE),VLOOKUP('Daten aus 2021'!Q103,'#Frucht'!$A$8:$D$372,4,FALSE)))))),'#Frucht'!$D$8)</f>
        <v xml:space="preserve"> --  </v>
      </c>
      <c r="G101" s="127"/>
      <c r="H101" s="31"/>
      <c r="J101" s="938" t="str">
        <f>IF(OR(N101=3,$K$3=0,'Flächen u. Kulturen'!P106=""),"",IF(VLOOKUP('Flächen u. Kulturen'!P106,Kulturen[[HF]:[780]],'#BerechnungDBE'!$K$3,FALSE)=".","",VLOOKUP('Flächen u. Kulturen'!P106,Kulturen[[HF]:[780]],'#BerechnungDBE'!$K$3,FALSE)))</f>
        <v/>
      </c>
      <c r="K101" s="938" t="str">
        <f>IF(OR($K$3=0,'Flächen u. Kulturen'!P106=""),"",IF(N101=3,IF(VLOOKUP('Flächen u. Kulturen'!P106,Kulturen[[HF]:[780]],'#BerechnungDBE'!$K$3,FALSE)=".","",VLOOKUP('Flächen u. Kulturen'!P106,Kulturen[[HF]:[780]],'#BerechnungDBE'!$K$3,FALSE)),""))</f>
        <v/>
      </c>
      <c r="L101" s="367">
        <f>IF('Flächen u. Kulturen'!D106="",0,'Flächen u. Kulturen'!D106)</f>
        <v>0</v>
      </c>
      <c r="M101" s="693">
        <f>IF('Flächen u. Kulturen'!J106="",0,VLOOKUP('Flächen u. Kulturen'!J106,Kulturen[[HF]:[Berechnungsgruppe]],'#Frucht'!$W$1,FALSE))</f>
        <v>1</v>
      </c>
      <c r="N101" s="693">
        <f>IF('Flächen u. Kulturen'!P106="",0,VLOOKUP('Flächen u. Kulturen'!P106,Kulturen[[HF]:[Berechnungsgruppe]],'#Frucht'!$W$1,FALSE))</f>
        <v>1</v>
      </c>
      <c r="O101" s="875">
        <f>IF(N101&lt;&gt;2,N101,IF('Flächen u. Kulturen'!J106='Flächen u. Kulturen'!P106,2,1))</f>
        <v>1</v>
      </c>
      <c r="P101" s="875">
        <f>IF('Flächen u. Kulturen'!F106="",0,VLOOKUP('Flächen u. Kulturen'!F106,'#Boden'!$G$4:$H$8,'#Boden'!$H$1,FALSE))</f>
        <v>1</v>
      </c>
      <c r="Q101" s="875">
        <f>IF('Flächen u. Kulturen'!G106="",0,VLOOKUP('Flächen u. Kulturen'!G106,'#Boden'!$B$26:$C$29,'#Boden'!$C$1,FALSE))</f>
        <v>1</v>
      </c>
      <c r="R101" s="875">
        <f t="shared" si="64"/>
        <v>1</v>
      </c>
      <c r="S101" s="875">
        <f t="shared" si="65"/>
        <v>1</v>
      </c>
      <c r="T101" s="875">
        <f>IF('Flächen u. Kulturen'!H106="",0,VLOOKUP('Flächen u. Kulturen'!H106,'#Boden'!$B$23:$C$25,'#Boden'!$C$1,FALSE))</f>
        <v>2</v>
      </c>
      <c r="U101" s="875" t="str">
        <f>'Flächen u. Kulturen'!E106</f>
        <v>x</v>
      </c>
      <c r="V101" s="938">
        <f>IF('Flächen u. Kulturen'!Q106="",0,_xlfn.NUMBERVALUE('Flächen u. Kulturen'!Q106))</f>
        <v>0</v>
      </c>
      <c r="W101" s="938">
        <f>IF('Flächen u. Kulturen'!R106="",0,_xlfn.NUMBERVALUE('Flächen u. Kulturen'!R106))</f>
        <v>0</v>
      </c>
      <c r="X101" s="875">
        <f>IF('Flächen u. Kulturen'!T106="",0,VLOOKUP('Flächen u. Kulturen'!T106,'#Boden'!$B$30:$C$32,'#Boden'!$C$1,FALSE))</f>
        <v>1</v>
      </c>
      <c r="Y101" s="875">
        <f>IF('Flächen u. Kulturen'!P106="",0,VLOOKUP('Flächen u. Kulturen'!P106,Kulturen[[HF]:[Berechnungsgruppe]],'#Frucht'!$N$1,FALSE))</f>
        <v>0</v>
      </c>
      <c r="Z101" s="875">
        <f t="shared" si="66"/>
        <v>2</v>
      </c>
      <c r="AA101" s="875">
        <f>IF('Flächen u. Kulturen'!P106="",0,VLOOKUP('Flächen u. Kulturen'!P106,Kulturen[[HF]:[Berechnungsgruppe]],'#Frucht'!$V$1,FALSE))</f>
        <v>0</v>
      </c>
      <c r="AB101" s="875">
        <f>IF(N101=1,VLOOKUP('Flächen u. Kulturen'!P106,Kulturen[[HF]:[Ernteprodukt]],'#Frucht'!$I$1,FALSE),4)</f>
        <v>4</v>
      </c>
      <c r="AC101" s="921">
        <f>IF('Flächen u. Kulturen'!J106="",0,VLOOKUP('Flächen u. Kulturen'!J106,Kulturen[[HF]:[Berechnungsgruppe]],'#Frucht'!$G$1,FALSE))</f>
        <v>90</v>
      </c>
      <c r="AD101" s="921">
        <f>IF('Flächen u. Kulturen'!P106="",0,VLOOKUP('Flächen u. Kulturen'!P106,Kulturen[[HF]:[Berechnungsgruppe]],'#Frucht'!$G$1,FALSE))</f>
        <v>90</v>
      </c>
      <c r="AE101" s="938">
        <f>IF('Flächen u. Kulturen'!P106="",0,VLOOKUP('Flächen u. Kulturen'!P106,Kulturen[[HF]:[SollwertMinusNfix]],'#Frucht'!$X$1,FALSE))</f>
        <v>0</v>
      </c>
      <c r="AF101" s="875">
        <f>IF('Flächen u. Kulturen'!L106="",0,VLOOKUP('Flächen u. Kulturen'!L106,Nebenkultur[[Nebenkultur]:[Berechnungsschema]],'#Zweitfr'!$G$1,FALSE))</f>
        <v>0</v>
      </c>
      <c r="AG101" s="875">
        <f>IF('Flächen u. Kulturen'!L106="",0,VLOOKUP('Flächen u. Kulturen'!L106,'#Zweitfr'!$D$8:$Q$27,'#Zweitfr'!$Q$1,FALSE))</f>
        <v>0</v>
      </c>
      <c r="AH101" s="875">
        <f>IF('Flächen u. Kulturen'!M106="",0,VLOOKUP('Flächen u. Kulturen'!M106,'#Boden'!$G$17:$H$21,2,FALSE))</f>
        <v>1</v>
      </c>
      <c r="AI101" s="875">
        <f>IF('Flächen u. Kulturen'!N106="",0,VLOOKUP('Flächen u. Kulturen'!N106,'#Boden'!$G$22:$H$24,'#Boden'!$H$1,FALSE))</f>
        <v>1</v>
      </c>
      <c r="AJ101" s="938">
        <f>IF('Flächen u. Kulturen'!O106="",0,_xlfn.NUMBERVALUE('Flächen u. Kulturen'!O106))</f>
        <v>0</v>
      </c>
      <c r="AK101" s="938">
        <f>IF('Flächen u. Kulturen'!L106="",0,VLOOKUP('Flächen u. Kulturen'!L106,Nebenkultur[[Nebenkultur]:[Legum. Zwischenfr.]],'#Zweitfr'!$P$1,FALSE))</f>
        <v>0</v>
      </c>
      <c r="AL101" s="875">
        <f>IF('Flächen u. Kulturen'!P106="",0,VLOOKUP('Flächen u. Kulturen'!P106,Kulturen[[HF]:[Berechnungsgruppe]],'#Frucht'!$Q$1,FALSE))</f>
        <v>0</v>
      </c>
      <c r="AM101" s="875">
        <f>IF('Flächen u. Kulturen'!P106="",0,VLOOKUP('Flächen u. Kulturen'!P106,Kulturen[[HF]:[Berechnungsgruppe]],'#Frucht'!$M$1,FALSE))</f>
        <v>0</v>
      </c>
      <c r="AN101" s="875">
        <f>IF('Flächen u. Kulturen'!P106="",1,VLOOKUP('Flächen u. Kulturen'!P106,Kulturen[[HF]:[Berechnungsgruppe]],'#Frucht'!$R$1,FALSE))</f>
        <v>10</v>
      </c>
      <c r="AO101" s="875">
        <f>IF('Flächen u. Kulturen'!P106="",0,VLOOKUP('Flächen u. Kulturen'!P106,Kulturen[[HF]:[Berechnungsgruppe]],'#Frucht'!$S$1,FALSE))</f>
        <v>0</v>
      </c>
      <c r="AP101" s="875">
        <f>IF('Flächen u. Kulturen'!P106="",0,VLOOKUP('Flächen u. Kulturen'!P106,Kulturen[[HF]:[Berechnungsgruppe]],'#Frucht'!$T$1,FALSE))</f>
        <v>0</v>
      </c>
      <c r="AQ101" s="938">
        <f t="shared" ref="AQ101:AQ104" si="77">IF(N101=3,IF(W101&lt;=AM101,AL101-(AM101-W101)/AN101*AP101,AL101+(W101-AM101)/AN101*AO101),IF(V101&lt;=AM101,AL101-(AM101-V101)/AN101*AP101,AL101+(V101-AM101)/AN101*AO101))</f>
        <v>0</v>
      </c>
      <c r="AR101" s="875">
        <f t="shared" ref="AR101:AR104" si="78">IF(N101=1,IF(AQ101&gt;AL101+40,AL101+40,AQ101),AQ101)</f>
        <v>0</v>
      </c>
      <c r="AS101" s="938">
        <f t="shared" si="48"/>
        <v>0</v>
      </c>
      <c r="AT101" s="875">
        <f>IF(N101=1,'Flächen u. Kulturen'!S106*-1,"--")</f>
        <v>0</v>
      </c>
      <c r="AU101" s="938">
        <f>IF(OR(N101=2,'Flächen u. Kulturen'!I106=""),"--",IF(N101=3,VLOOKUP('Flächen u. Kulturen'!I106,'#Boden'!$B$9:$E$15,'#Boden'!$D$1,FALSE),VLOOKUP('Flächen u. Kulturen'!I106,'#Boden'!$B$9:$E$15,'#Boden'!$E$1,FALSE)))</f>
        <v>0</v>
      </c>
      <c r="AV101" s="938">
        <f>IF(N101=1,IF('Flächen u. Kulturen'!J106="",0,VLOOKUP('Flächen u. Kulturen'!J106,Kulturen[[HF]:[Berechnungsgruppe]],'#Frucht'!$U$1,FALSE)*-1),"--")</f>
        <v>0</v>
      </c>
      <c r="AW101" s="875">
        <f t="shared" si="49"/>
        <v>0</v>
      </c>
      <c r="AX101" s="875">
        <f>IF('Flächen u. Kulturen'!K106="",0,'Flächen u. Kulturen'!K106*-0.1)</f>
        <v>0</v>
      </c>
      <c r="AY101" s="875">
        <f>IF(N101&lt;3,'#orgDung'!AC110*0.1*-1,"--")</f>
        <v>0</v>
      </c>
      <c r="AZ101" s="31" t="str">
        <f>IF(AND('#orgDung'!J110&lt;&gt;2,'#orgDung'!F110=1),('#orgDung'!V110+'#minDung'!O107)*-1,"--")</f>
        <v>--</v>
      </c>
      <c r="BA101" s="875">
        <f t="shared" si="67"/>
        <v>0</v>
      </c>
      <c r="BB101" s="938">
        <f>IF(R101=2,0,'Flächen u. Kulturen'!V106*-1)</f>
        <v>0</v>
      </c>
      <c r="BC101" s="875">
        <f t="shared" si="68"/>
        <v>0</v>
      </c>
      <c r="BD101" s="127">
        <f>'#orgDung'!W110*-1</f>
        <v>0</v>
      </c>
      <c r="BE101" s="910">
        <f>'#orgDung'!AA110*-1</f>
        <v>0</v>
      </c>
      <c r="BF101" s="875">
        <f>'#orgDung'!Z110*-1</f>
        <v>0</v>
      </c>
      <c r="BG101" s="938">
        <f t="shared" si="60"/>
        <v>0</v>
      </c>
      <c r="BH101" s="875">
        <f>'#Kürzungen'!AS125*-1</f>
        <v>0</v>
      </c>
      <c r="BI101" s="875">
        <f t="shared" ref="BI101:BI104" si="79">BA101+BH101</f>
        <v>0</v>
      </c>
      <c r="BJ101" s="910">
        <f t="shared" ref="BJ101:BJ104" si="80">IF(BA101+BE101&lt;0,MAX(0,BI101+BE101)+BF101-BE101+BH101,BI101+BF101)</f>
        <v>0</v>
      </c>
      <c r="BK101" s="875">
        <f>'#minDung'!P107</f>
        <v>0</v>
      </c>
      <c r="BL101" s="938">
        <f t="shared" si="61"/>
        <v>0</v>
      </c>
      <c r="BM101" s="938">
        <f t="shared" si="52"/>
        <v>0</v>
      </c>
      <c r="BN101" s="875">
        <f>IF('Flächen u. Kulturen'!P106="",0,VLOOKUP('Flächen u. Kulturen'!P106,Kulturen[[HF]:[Berechnungsgruppe]],'#Frucht'!$K$1,FALSE))</f>
        <v>0</v>
      </c>
      <c r="BO101" s="875">
        <f>IF('Flächen u. Kulturen'!P106="",0,VLOOKUP('Flächen u. Kulturen'!P106,Kulturen[[HF]:[Berechnungsgruppe]],'#Frucht'!$L$1,FALSE))</f>
        <v>0</v>
      </c>
      <c r="BP101" s="875">
        <f>IF('Flächen u. Kulturen'!L106="",0,VLOOKUP('Flächen u. Kulturen'!L106,Nebenkultur[[Nebenkultur]:[Legum. Zwischenfr.]],'#Zweitfr'!$H$1,FALSE))</f>
        <v>0</v>
      </c>
      <c r="BQ101" s="938">
        <f>IF(N101=3,W101*BO101,IF('Flächen u. Kulturen'!T106='#Boden'!$B$32,V101*BN101,V101*BO101))</f>
        <v>0</v>
      </c>
      <c r="BR101" s="938">
        <f t="shared" si="53"/>
        <v>0</v>
      </c>
      <c r="BS101" s="875">
        <f t="shared" si="69"/>
        <v>0</v>
      </c>
      <c r="BT101" s="875">
        <f>IF('Flächen u. Kulturen'!F106="",0,IF(N101=3,VLOOKUP('Flächen u. Kulturen'!F106,'#Boden'!$G$4:$J$8,'#Boden'!$J$1,FALSE),VLOOKUP('Flächen u. Kulturen'!F106,'#Boden'!$G$4:$J$8,'#Boden'!$I$1,FALSE)))</f>
        <v>0</v>
      </c>
      <c r="BU101" s="41">
        <f t="shared" si="70"/>
        <v>0</v>
      </c>
      <c r="BV101" s="875">
        <f t="shared" si="71"/>
        <v>0</v>
      </c>
      <c r="BW101" s="938" t="str">
        <f t="shared" si="62"/>
        <v/>
      </c>
      <c r="BX101" s="875">
        <f>'#orgDung'!T110*-1</f>
        <v>0</v>
      </c>
      <c r="BY101" s="875">
        <f t="shared" ref="BY101:BY104" si="81">IF(P101&lt;4,MAX(0,BV101+BX101),IF(BW101+BX101&lt;0,BW101+BX101,MAX(0,BV101+BX101)))</f>
        <v>0</v>
      </c>
      <c r="BZ101" s="938" t="str">
        <f>IF(U101&lt;&gt;"x",0,IF(P101&lt;4,"",(BW101+BX101-'#minDung'!N107)*-1))</f>
        <v/>
      </c>
      <c r="CB101" s="938">
        <f>IF(AND(AF101=70,U101="x"),'Flächen u. Kulturen'!A106,1000)</f>
        <v>1000</v>
      </c>
      <c r="CC101" s="875" t="str">
        <f>IF(AF101=70,VLOOKUP('Flächen u. Kulturen'!L106,Nebenkultur[[Nebenkultur]:[Legum. Zwischenfr.]],'#Zweitfr'!$I$1,FALSE),"--")</f>
        <v>--</v>
      </c>
      <c r="CD101" s="875" t="str">
        <f>IF(AF101=70,VLOOKUP('Flächen u. Kulturen'!L106,Nebenkultur[[Nebenkultur]:[Legum. Zwischenfr.]],'#Zweitfr'!$L$1,FALSE),"--")</f>
        <v>--</v>
      </c>
      <c r="CE101" s="875" t="str">
        <f>IF(AF101=70,VLOOKUP('Flächen u. Kulturen'!L106,Nebenkultur[[Nebenkultur]:[Legum. Zwischenfr.]],'#Zweitfr'!$M$1,FALSE),"--")</f>
        <v>--</v>
      </c>
      <c r="CF101" s="875" t="str">
        <f>IF(AF101=70,VLOOKUP('Flächen u. Kulturen'!L106,Nebenkultur[[Nebenkultur]:[Legum. Zwischenfr.]],'#Zweitfr'!$N$1,FALSE),"--")</f>
        <v>--</v>
      </c>
      <c r="CG101" s="875" t="str">
        <f>IF(AF101=70,VLOOKUP('Flächen u. Kulturen'!L106,Nebenkultur[[Nebenkultur]:[Legum. Zwischenfr.]],'#Zweitfr'!$O$1,FALSE),"--")</f>
        <v>--</v>
      </c>
      <c r="CH101" s="875" t="str">
        <f t="shared" ref="CH101:CH104" si="82">IF(AF101=70,IF(AJ101&lt;=CC101,CD101-(CC101-AJ101)/CE101*CG101,CD101+(AJ101-CC101)/CE101*CF101),"--")</f>
        <v>--</v>
      </c>
      <c r="CI101" s="938">
        <f>IF('Flächen u. Kulturen'!L106="",0,VLOOKUP('Flächen u. Kulturen'!L106,Nebenkultur[[Nebenkultur]:[Legum. Zwischenfr.]],'#Zweitfr'!$J$1,FALSE))</f>
        <v>0</v>
      </c>
      <c r="CJ101" s="875">
        <f t="shared" ref="CJ101:CJ104" si="83">IF(AND(AF101=80,AJ101=0),150*CI101*-1,AJ101*CI101*-1)</f>
        <v>0</v>
      </c>
      <c r="CK101" s="890">
        <f t="shared" ref="CK101:CK104" si="84">MAX(0,IF(AF101=70,CH101+CJ101,0))</f>
        <v>0</v>
      </c>
      <c r="CL101" s="938">
        <f>IF(AND(R101=1,AF101=70),'Flächen u. Kulturen'!W106*-1,0)</f>
        <v>0</v>
      </c>
      <c r="CM101" s="875">
        <f>'#orgDung'!AE110*-1</f>
        <v>0</v>
      </c>
      <c r="CN101" s="875">
        <f t="shared" si="72"/>
        <v>0</v>
      </c>
      <c r="CO101" s="875">
        <f t="shared" si="73"/>
        <v>0</v>
      </c>
      <c r="CP101" s="875">
        <f>'#Kürzungen'!AS226*-1</f>
        <v>0</v>
      </c>
      <c r="CQ101" s="875">
        <f t="shared" si="74"/>
        <v>0</v>
      </c>
      <c r="CR101" s="875">
        <f t="shared" si="75"/>
        <v>0</v>
      </c>
      <c r="CS101" s="875">
        <f>'#minDung'!R107</f>
        <v>0</v>
      </c>
      <c r="CT101" s="938">
        <f t="shared" si="63"/>
        <v>0</v>
      </c>
      <c r="CU101" s="52" t="str">
        <f>'#Kürzungen'!AQ226</f>
        <v xml:space="preserve"> </v>
      </c>
      <c r="CW101" s="247">
        <f>IF('Flächen u. Kulturen'!D106="",0,IF(ISNUMBER('Flächen u. Kulturen'!D106)=TRUE,2,1))</f>
        <v>0</v>
      </c>
      <c r="CX101" s="247">
        <f>IF('Flächen u. Kulturen'!E106="",0,COUNTIF('#Boden'!$B$47,'Flächen u. Kulturen'!E106)+1)</f>
        <v>2</v>
      </c>
      <c r="CY101" s="247">
        <f>IF('Flächen u. Kulturen'!F106="",0,COUNTIF('#Boden'!$G$4:$G$8,'Flächen u. Kulturen'!F106)+1)</f>
        <v>2</v>
      </c>
      <c r="CZ101" s="247">
        <f>IF('Flächen u. Kulturen'!G106="",0,COUNTIF('#Boden'!$B$26:$B$29,'Flächen u. Kulturen'!G106)+1)</f>
        <v>2</v>
      </c>
      <c r="DA101" s="247">
        <f>IF('Flächen u. Kulturen'!H106="",0,COUNTIF('#Boden'!$B$26:$B$29,'Flächen u. Kulturen'!H106)+1)</f>
        <v>2</v>
      </c>
      <c r="DB101" s="247">
        <f>IF('Flächen u. Kulturen'!I106="",0,COUNTIF('#Boden'!$B$9:$B$15,'Flächen u. Kulturen'!I106)+1)</f>
        <v>2</v>
      </c>
      <c r="DC101" s="247">
        <f>IF('Flächen u. Kulturen'!J106="",0,COUNTIF(Kulturen[HF],'Flächen u. Kulturen'!J106)+1)</f>
        <v>2</v>
      </c>
      <c r="DD101" s="247">
        <f>IF('Flächen u. Kulturen'!L106="",0,COUNTIF(Nebenkultur[Nebenkultur],'Flächen u. Kulturen'!L106)+1)</f>
        <v>2</v>
      </c>
      <c r="DE101" s="247">
        <f>IF('Flächen u. Kulturen'!M106="",0,COUNTIF('#Boden'!$G$17:$G$21,'Flächen u. Kulturen'!M106)+1)</f>
        <v>2</v>
      </c>
      <c r="DF101" s="247">
        <f>IF('Flächen u. Kulturen'!N106="",0,COUNTIF('#Boden'!$G$22:$G$24,'Flächen u. Kulturen'!N106)+1)</f>
        <v>2</v>
      </c>
      <c r="DG101" s="247">
        <f>IF('Flächen u. Kulturen'!P106="",0,COUNTIF(Kulturen[HF],'Flächen u. Kulturen'!P106)+1)</f>
        <v>2</v>
      </c>
      <c r="DH101" s="247">
        <f>IF('Flächen u. Kulturen'!T106="",0,COUNTIF('#Boden'!$B$30:$B$32,'Flächen u. Kulturen'!T106)+1)</f>
        <v>2</v>
      </c>
      <c r="DI101" s="247">
        <f>IF('Flächen u. Kulturen'!K106="",0,IF(ISNUMBER('Flächen u. Kulturen'!K106)=TRUE,2,1))</f>
        <v>0</v>
      </c>
      <c r="DJ101" s="247">
        <f>IF('Flächen u. Kulturen'!U106="",0,IF(ISNUMBER('Flächen u. Kulturen'!U106)=TRUE,2,1))</f>
        <v>0</v>
      </c>
      <c r="DK101" s="247">
        <f>IF('Flächen u. Kulturen'!V106="",0,IF(ISNUMBER('Flächen u. Kulturen'!V106)=TRUE,2,1))</f>
        <v>0</v>
      </c>
      <c r="DL101" s="247">
        <f>IF('Flächen u. Kulturen'!W106="",0,IF(ISNUMBER('Flächen u. Kulturen'!W106)=TRUE,2,1))</f>
        <v>0</v>
      </c>
      <c r="DM101" s="247">
        <f t="shared" si="76"/>
        <v>0</v>
      </c>
      <c r="DN101" s="247" t="s">
        <v>344</v>
      </c>
      <c r="DO101" s="247">
        <f>IF(U101&lt;&gt;"x","",IF(OR('Flächen u. Kulturen'!B106="",'Flächen u. Kulturen'!C106="",'Flächen u. Kulturen'!D106="",'Flächen u. Kulturen'!D106=0,'Flächen u. Kulturen'!F106="",'Flächen u. Kulturen'!F106='#Boden'!$G$4,'Flächen u. Kulturen'!G106="",'Flächen u. Kulturen'!G106='#Boden'!$B$26,'Flächen u. Kulturen'!H106="",'Flächen u. Kulturen'!H106='#Boden'!$B$23,AND(N101&lt;&gt;2,OR('Flächen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Kulturen'!Q106="",'#BerechnungDBE'!N101&lt;3),AND('Flächen u. Kulturen'!R106="",'#BerechnungDBE'!N101=3),AND(N101=1,AL101&gt;0,'Flächen u. Kulturen'!S106=""),AND(N101=1,OR('Flächen u. Kulturen'!T106="",'Flächen u. Kulturen'!T106='#Boden'!$B$30)),AND('#BerechnungDBE'!AF101=70,OR('Flächen u. Kulturen'!N106="",'Flächen u. Kulturen'!N106='#Boden'!$G$22,'Flächen u. Kulturen'!O106="")),AND('#BerechnungDBE'!AF101=80,OR('Flächen u. Kulturen'!M106="",'Flächen u. Kulturen'!M106='#Boden'!$G$17,'Flächen u. Kulturen'!N106="",'Flächen u. Kulturen'!N106='#Boden'!$G$22))),$DO$4,""))</f>
        <v>1</v>
      </c>
      <c r="DP101" s="247" t="str">
        <f>IF(U101&lt;&gt;"x","",IF(OR(LEFT('Flächen u. Kulturen'!J106,2)=" +",LEFT('Flächen u. Kulturen'!L106,2)=" +",LEFT('Flächen u. Kulturen'!P106,2)=" +"),$DP$4,""))</f>
        <v/>
      </c>
      <c r="DQ101" s="428" t="str">
        <f t="shared" si="58"/>
        <v/>
      </c>
      <c r="DR101" s="938" t="str">
        <f t="shared" si="59"/>
        <v/>
      </c>
      <c r="DS101" s="938" t="str">
        <f>IF('Flächen u. Kulturen'!X106="","",ROW('Flächen u. Kulturen'!X106))</f>
        <v/>
      </c>
    </row>
    <row r="102" spans="1:123" s="875" customFormat="1" x14ac:dyDescent="0.2">
      <c r="A102" s="875" t="str">
        <f>IF('Daten aus 2021'!H104="",'#Boden'!$B$26,IF('Daten aus 2021'!H104='#Boden'!$B$39,IF('Daten aus 2021'!F104='#Boden'!$B$29,'#Boden'!$B$29,IF('Daten aus 2021'!K104='#Boden'!$B$34,'#Boden'!$B$28,'#Boden'!$B$27)),'Daten aus 2021'!F104))</f>
        <v xml:space="preserve"> --</v>
      </c>
      <c r="B102" s="875" t="str">
        <f>IF('Daten aus 2021'!H104='#Boden'!$B$39,IF('Daten aus 2021'!L104='#Boden'!$B$61,'#Boden'!$B$11,'Daten aus 2021'!L104),IF('Daten aus 2021'!P104='#Boden'!$B$58,'#Boden'!$B$11,IF('Daten aus 2021'!P104='#Boden'!$B$57,'#Boden'!$B$10,'#Boden'!$B$9)))</f>
        <v xml:space="preserve"> --         </v>
      </c>
      <c r="C102" s="875" t="str">
        <f>IF('Daten aus 2021'!N104="","",VLOOKUP('Daten aus 2021'!N104,'#Boden'!$B$68:$C$89,2,FALSE))</f>
        <v/>
      </c>
      <c r="D102" s="875" t="str">
        <f>IF('Daten aus 2021'!M104="","",VLOOKUP('Daten aus 2021'!M104,'#Boden'!$D$69:$E$73,2,FALSE))</f>
        <v/>
      </c>
      <c r="E102" s="938" t="str">
        <f>IF(OR(C102='#Boden'!$C$68,C102='#Boden'!$C$70),C102,CONCATENATE(C102,D102))</f>
        <v/>
      </c>
      <c r="F102" s="882" t="str">
        <f>IFERROR(IF('Daten aus 2021'!H104="",'#Frucht'!$D$8,IF('Daten aus 2021'!H104='#Boden'!$B$39,E102,IF('Daten aus 2021'!H104='#Boden'!$B$38,IF(CONCATENATE(" ",'Daten aus 2021'!W104)=$B$2,VLOOKUP($B$3,'#Frucht'!$A$8:$D$372,4,FALSE),VLOOKUP(CONCATENATE(" ",'Daten aus 2021'!W104),'#Frucht'!$A$8:$D$372,4,FALSE)),IF(OR(LEFT('Daten aus 2021'!Q104,5)=" *10 ",LEFT('Daten aus 2021'!Q104,5)=" *11 ",LEFT('Daten aus 2021'!Q104,5)=" *12 ",LEFT('Daten aus 2021'!Q104,5)=" *13 ",LEFT('Daten aus 2021'!Q104,5)=" *14 ",LEFT('Daten aus 2021'!Q104,5)=" *15 "),VLOOKUP(RIGHT('Daten aus 2021'!Q104,LEN('Daten aus 2021'!Q104)-4),'#Frucht'!$A$8:$D$372,4,FALSE),IF(LEFT('Daten aus 2021'!Q104,2)=" *",VLOOKUP(RIGHT('Daten aus 2021'!Q104,LEN('Daten aus 2021'!Q104)-3),'#Frucht'!$A$8:$D$372,4,FALSE),VLOOKUP('Daten aus 2021'!Q104,'#Frucht'!$A$8:$D$372,4,FALSE)))))),'#Frucht'!$D$8)</f>
        <v xml:space="preserve"> --  </v>
      </c>
      <c r="G102" s="127"/>
      <c r="H102" s="31"/>
      <c r="J102" s="938" t="str">
        <f>IF(OR(N102=3,$K$3=0,'Flächen u. Kulturen'!P107=""),"",IF(VLOOKUP('Flächen u. Kulturen'!P107,Kulturen[[HF]:[780]],'#BerechnungDBE'!$K$3,FALSE)=".","",VLOOKUP('Flächen u. Kulturen'!P107,Kulturen[[HF]:[780]],'#BerechnungDBE'!$K$3,FALSE)))</f>
        <v/>
      </c>
      <c r="K102" s="938" t="str">
        <f>IF(OR($K$3=0,'Flächen u. Kulturen'!P107=""),"",IF(N102=3,IF(VLOOKUP('Flächen u. Kulturen'!P107,Kulturen[[HF]:[780]],'#BerechnungDBE'!$K$3,FALSE)=".","",VLOOKUP('Flächen u. Kulturen'!P107,Kulturen[[HF]:[780]],'#BerechnungDBE'!$K$3,FALSE)),""))</f>
        <v/>
      </c>
      <c r="L102" s="367">
        <f>IF('Flächen u. Kulturen'!D107="",0,'Flächen u. Kulturen'!D107)</f>
        <v>0</v>
      </c>
      <c r="M102" s="693">
        <f>IF('Flächen u. Kulturen'!J107="",0,VLOOKUP('Flächen u. Kulturen'!J107,Kulturen[[HF]:[Berechnungsgruppe]],'#Frucht'!$W$1,FALSE))</f>
        <v>1</v>
      </c>
      <c r="N102" s="693">
        <f>IF('Flächen u. Kulturen'!P107="",0,VLOOKUP('Flächen u. Kulturen'!P107,Kulturen[[HF]:[Berechnungsgruppe]],'#Frucht'!$W$1,FALSE))</f>
        <v>1</v>
      </c>
      <c r="O102" s="875">
        <f>IF(N102&lt;&gt;2,N102,IF('Flächen u. Kulturen'!J107='Flächen u. Kulturen'!P107,2,1))</f>
        <v>1</v>
      </c>
      <c r="P102" s="875">
        <f>IF('Flächen u. Kulturen'!F107="",0,VLOOKUP('Flächen u. Kulturen'!F107,'#Boden'!$G$4:$H$8,'#Boden'!$H$1,FALSE))</f>
        <v>1</v>
      </c>
      <c r="Q102" s="875">
        <f>IF('Flächen u. Kulturen'!G107="",0,VLOOKUP('Flächen u. Kulturen'!G107,'#Boden'!$B$26:$C$29,'#Boden'!$C$1,FALSE))</f>
        <v>1</v>
      </c>
      <c r="R102" s="875">
        <f t="shared" si="64"/>
        <v>1</v>
      </c>
      <c r="S102" s="875">
        <f t="shared" si="65"/>
        <v>1</v>
      </c>
      <c r="T102" s="875">
        <f>IF('Flächen u. Kulturen'!H107="",0,VLOOKUP('Flächen u. Kulturen'!H107,'#Boden'!$B$23:$C$25,'#Boden'!$C$1,FALSE))</f>
        <v>2</v>
      </c>
      <c r="U102" s="875" t="str">
        <f>'Flächen u. Kulturen'!E107</f>
        <v>x</v>
      </c>
      <c r="V102" s="938">
        <f>IF('Flächen u. Kulturen'!Q107="",0,_xlfn.NUMBERVALUE('Flächen u. Kulturen'!Q107))</f>
        <v>0</v>
      </c>
      <c r="W102" s="938">
        <f>IF('Flächen u. Kulturen'!R107="",0,_xlfn.NUMBERVALUE('Flächen u. Kulturen'!R107))</f>
        <v>0</v>
      </c>
      <c r="X102" s="875">
        <f>IF('Flächen u. Kulturen'!T107="",0,VLOOKUP('Flächen u. Kulturen'!T107,'#Boden'!$B$30:$C$32,'#Boden'!$C$1,FALSE))</f>
        <v>1</v>
      </c>
      <c r="Y102" s="875">
        <f>IF('Flächen u. Kulturen'!P107="",0,VLOOKUP('Flächen u. Kulturen'!P107,Kulturen[[HF]:[Berechnungsgruppe]],'#Frucht'!$N$1,FALSE))</f>
        <v>0</v>
      </c>
      <c r="Z102" s="875">
        <f t="shared" si="66"/>
        <v>2</v>
      </c>
      <c r="AA102" s="875">
        <f>IF('Flächen u. Kulturen'!P107="",0,VLOOKUP('Flächen u. Kulturen'!P107,Kulturen[[HF]:[Berechnungsgruppe]],'#Frucht'!$V$1,FALSE))</f>
        <v>0</v>
      </c>
      <c r="AB102" s="875">
        <f>IF(N102=1,VLOOKUP('Flächen u. Kulturen'!P107,Kulturen[[HF]:[Ernteprodukt]],'#Frucht'!$I$1,FALSE),4)</f>
        <v>4</v>
      </c>
      <c r="AC102" s="921">
        <f>IF('Flächen u. Kulturen'!J107="",0,VLOOKUP('Flächen u. Kulturen'!J107,Kulturen[[HF]:[Berechnungsgruppe]],'#Frucht'!$G$1,FALSE))</f>
        <v>90</v>
      </c>
      <c r="AD102" s="921">
        <f>IF('Flächen u. Kulturen'!P107="",0,VLOOKUP('Flächen u. Kulturen'!P107,Kulturen[[HF]:[Berechnungsgruppe]],'#Frucht'!$G$1,FALSE))</f>
        <v>90</v>
      </c>
      <c r="AE102" s="938">
        <f>IF('Flächen u. Kulturen'!P107="",0,VLOOKUP('Flächen u. Kulturen'!P107,Kulturen[[HF]:[SollwertMinusNfix]],'#Frucht'!$X$1,FALSE))</f>
        <v>0</v>
      </c>
      <c r="AF102" s="875">
        <f>IF('Flächen u. Kulturen'!L107="",0,VLOOKUP('Flächen u. Kulturen'!L107,Nebenkultur[[Nebenkultur]:[Berechnungsschema]],'#Zweitfr'!$G$1,FALSE))</f>
        <v>0</v>
      </c>
      <c r="AG102" s="875">
        <f>IF('Flächen u. Kulturen'!L107="",0,VLOOKUP('Flächen u. Kulturen'!L107,'#Zweitfr'!$D$8:$Q$27,'#Zweitfr'!$Q$1,FALSE))</f>
        <v>0</v>
      </c>
      <c r="AH102" s="875">
        <f>IF('Flächen u. Kulturen'!M107="",0,VLOOKUP('Flächen u. Kulturen'!M107,'#Boden'!$G$17:$H$21,2,FALSE))</f>
        <v>1</v>
      </c>
      <c r="AI102" s="875">
        <f>IF('Flächen u. Kulturen'!N107="",0,VLOOKUP('Flächen u. Kulturen'!N107,'#Boden'!$G$22:$H$24,'#Boden'!$H$1,FALSE))</f>
        <v>1</v>
      </c>
      <c r="AJ102" s="938">
        <f>IF('Flächen u. Kulturen'!O107="",0,_xlfn.NUMBERVALUE('Flächen u. Kulturen'!O107))</f>
        <v>0</v>
      </c>
      <c r="AK102" s="938">
        <f>IF('Flächen u. Kulturen'!L107="",0,VLOOKUP('Flächen u. Kulturen'!L107,Nebenkultur[[Nebenkultur]:[Legum. Zwischenfr.]],'#Zweitfr'!$P$1,FALSE))</f>
        <v>0</v>
      </c>
      <c r="AL102" s="875">
        <f>IF('Flächen u. Kulturen'!P107="",0,VLOOKUP('Flächen u. Kulturen'!P107,Kulturen[[HF]:[Berechnungsgruppe]],'#Frucht'!$Q$1,FALSE))</f>
        <v>0</v>
      </c>
      <c r="AM102" s="875">
        <f>IF('Flächen u. Kulturen'!P107="",0,VLOOKUP('Flächen u. Kulturen'!P107,Kulturen[[HF]:[Berechnungsgruppe]],'#Frucht'!$M$1,FALSE))</f>
        <v>0</v>
      </c>
      <c r="AN102" s="875">
        <f>IF('Flächen u. Kulturen'!P107="",1,VLOOKUP('Flächen u. Kulturen'!P107,Kulturen[[HF]:[Berechnungsgruppe]],'#Frucht'!$R$1,FALSE))</f>
        <v>10</v>
      </c>
      <c r="AO102" s="875">
        <f>IF('Flächen u. Kulturen'!P107="",0,VLOOKUP('Flächen u. Kulturen'!P107,Kulturen[[HF]:[Berechnungsgruppe]],'#Frucht'!$S$1,FALSE))</f>
        <v>0</v>
      </c>
      <c r="AP102" s="875">
        <f>IF('Flächen u. Kulturen'!P107="",0,VLOOKUP('Flächen u. Kulturen'!P107,Kulturen[[HF]:[Berechnungsgruppe]],'#Frucht'!$T$1,FALSE))</f>
        <v>0</v>
      </c>
      <c r="AQ102" s="938">
        <f t="shared" si="77"/>
        <v>0</v>
      </c>
      <c r="AR102" s="875">
        <f t="shared" si="78"/>
        <v>0</v>
      </c>
      <c r="AS102" s="938">
        <f t="shared" si="48"/>
        <v>0</v>
      </c>
      <c r="AT102" s="875">
        <f>IF(N102=1,'Flächen u. Kulturen'!S107*-1,"--")</f>
        <v>0</v>
      </c>
      <c r="AU102" s="938">
        <f>IF(OR(N102=2,'Flächen u. Kulturen'!I107=""),"--",IF(N102=3,VLOOKUP('Flächen u. Kulturen'!I107,'#Boden'!$B$9:$E$15,'#Boden'!$D$1,FALSE),VLOOKUP('Flächen u. Kulturen'!I107,'#Boden'!$B$9:$E$15,'#Boden'!$E$1,FALSE)))</f>
        <v>0</v>
      </c>
      <c r="AV102" s="938">
        <f>IF(N102=1,IF('Flächen u. Kulturen'!J107="",0,VLOOKUP('Flächen u. Kulturen'!J107,Kulturen[[HF]:[Berechnungsgruppe]],'#Frucht'!$U$1,FALSE)*-1),"--")</f>
        <v>0</v>
      </c>
      <c r="AW102" s="875">
        <f t="shared" si="49"/>
        <v>0</v>
      </c>
      <c r="AX102" s="875">
        <f>IF('Flächen u. Kulturen'!K107="",0,'Flächen u. Kulturen'!K107*-0.1)</f>
        <v>0</v>
      </c>
      <c r="AY102" s="875">
        <f>IF(N102&lt;3,'#orgDung'!AC111*0.1*-1,"--")</f>
        <v>0</v>
      </c>
      <c r="AZ102" s="31" t="str">
        <f>IF(AND('#orgDung'!J111&lt;&gt;2,'#orgDung'!F111=1),('#orgDung'!V111+'#minDung'!O108)*-1,"--")</f>
        <v>--</v>
      </c>
      <c r="BA102" s="875">
        <f t="shared" si="67"/>
        <v>0</v>
      </c>
      <c r="BB102" s="938">
        <f>IF(R102=2,0,'Flächen u. Kulturen'!V107*-1)</f>
        <v>0</v>
      </c>
      <c r="BC102" s="875">
        <f t="shared" si="68"/>
        <v>0</v>
      </c>
      <c r="BD102" s="127">
        <f>'#orgDung'!W111*-1</f>
        <v>0</v>
      </c>
      <c r="BE102" s="910">
        <f>'#orgDung'!AA111*-1</f>
        <v>0</v>
      </c>
      <c r="BF102" s="875">
        <f>'#orgDung'!Z111*-1</f>
        <v>0</v>
      </c>
      <c r="BG102" s="938">
        <f t="shared" si="60"/>
        <v>0</v>
      </c>
      <c r="BH102" s="875">
        <f>'#Kürzungen'!AS126*-1</f>
        <v>0</v>
      </c>
      <c r="BI102" s="875">
        <f t="shared" si="79"/>
        <v>0</v>
      </c>
      <c r="BJ102" s="910">
        <f t="shared" si="80"/>
        <v>0</v>
      </c>
      <c r="BK102" s="875">
        <f>'#minDung'!P108</f>
        <v>0</v>
      </c>
      <c r="BL102" s="938">
        <f t="shared" si="61"/>
        <v>0</v>
      </c>
      <c r="BM102" s="938">
        <f t="shared" si="52"/>
        <v>0</v>
      </c>
      <c r="BN102" s="875">
        <f>IF('Flächen u. Kulturen'!P107="",0,VLOOKUP('Flächen u. Kulturen'!P107,Kulturen[[HF]:[Berechnungsgruppe]],'#Frucht'!$K$1,FALSE))</f>
        <v>0</v>
      </c>
      <c r="BO102" s="875">
        <f>IF('Flächen u. Kulturen'!P107="",0,VLOOKUP('Flächen u. Kulturen'!P107,Kulturen[[HF]:[Berechnungsgruppe]],'#Frucht'!$L$1,FALSE))</f>
        <v>0</v>
      </c>
      <c r="BP102" s="875">
        <f>IF('Flächen u. Kulturen'!L107="",0,VLOOKUP('Flächen u. Kulturen'!L107,Nebenkultur[[Nebenkultur]:[Legum. Zwischenfr.]],'#Zweitfr'!$H$1,FALSE))</f>
        <v>0</v>
      </c>
      <c r="BQ102" s="938">
        <f>IF(N102=3,W102*BO102,IF('Flächen u. Kulturen'!T107='#Boden'!$B$32,V102*BN102,V102*BO102))</f>
        <v>0</v>
      </c>
      <c r="BR102" s="938">
        <f t="shared" si="53"/>
        <v>0</v>
      </c>
      <c r="BS102" s="875">
        <f t="shared" si="69"/>
        <v>0</v>
      </c>
      <c r="BT102" s="875">
        <f>IF('Flächen u. Kulturen'!F107="",0,IF(N102=3,VLOOKUP('Flächen u. Kulturen'!F107,'#Boden'!$G$4:$J$8,'#Boden'!$J$1,FALSE),VLOOKUP('Flächen u. Kulturen'!F107,'#Boden'!$G$4:$J$8,'#Boden'!$I$1,FALSE)))</f>
        <v>0</v>
      </c>
      <c r="BU102" s="41">
        <f t="shared" si="70"/>
        <v>0</v>
      </c>
      <c r="BV102" s="875">
        <f t="shared" si="71"/>
        <v>0</v>
      </c>
      <c r="BW102" s="938" t="str">
        <f t="shared" si="62"/>
        <v/>
      </c>
      <c r="BX102" s="875">
        <f>'#orgDung'!T111*-1</f>
        <v>0</v>
      </c>
      <c r="BY102" s="875">
        <f t="shared" si="81"/>
        <v>0</v>
      </c>
      <c r="BZ102" s="938" t="str">
        <f>IF(U102&lt;&gt;"x",0,IF(P102&lt;4,"",(BW102+BX102-'#minDung'!N108)*-1))</f>
        <v/>
      </c>
      <c r="CB102" s="938">
        <f>IF(AND(AF102=70,U102="x"),'Flächen u. Kulturen'!A107,1000)</f>
        <v>1000</v>
      </c>
      <c r="CC102" s="875" t="str">
        <f>IF(AF102=70,VLOOKUP('Flächen u. Kulturen'!L107,Nebenkultur[[Nebenkultur]:[Legum. Zwischenfr.]],'#Zweitfr'!$I$1,FALSE),"--")</f>
        <v>--</v>
      </c>
      <c r="CD102" s="875" t="str">
        <f>IF(AF102=70,VLOOKUP('Flächen u. Kulturen'!L107,Nebenkultur[[Nebenkultur]:[Legum. Zwischenfr.]],'#Zweitfr'!$L$1,FALSE),"--")</f>
        <v>--</v>
      </c>
      <c r="CE102" s="875" t="str">
        <f>IF(AF102=70,VLOOKUP('Flächen u. Kulturen'!L107,Nebenkultur[[Nebenkultur]:[Legum. Zwischenfr.]],'#Zweitfr'!$M$1,FALSE),"--")</f>
        <v>--</v>
      </c>
      <c r="CF102" s="875" t="str">
        <f>IF(AF102=70,VLOOKUP('Flächen u. Kulturen'!L107,Nebenkultur[[Nebenkultur]:[Legum. Zwischenfr.]],'#Zweitfr'!$N$1,FALSE),"--")</f>
        <v>--</v>
      </c>
      <c r="CG102" s="875" t="str">
        <f>IF(AF102=70,VLOOKUP('Flächen u. Kulturen'!L107,Nebenkultur[[Nebenkultur]:[Legum. Zwischenfr.]],'#Zweitfr'!$O$1,FALSE),"--")</f>
        <v>--</v>
      </c>
      <c r="CH102" s="875" t="str">
        <f t="shared" si="82"/>
        <v>--</v>
      </c>
      <c r="CI102" s="938">
        <f>IF('Flächen u. Kulturen'!L107="",0,VLOOKUP('Flächen u. Kulturen'!L107,Nebenkultur[[Nebenkultur]:[Legum. Zwischenfr.]],'#Zweitfr'!$J$1,FALSE))</f>
        <v>0</v>
      </c>
      <c r="CJ102" s="875">
        <f t="shared" si="83"/>
        <v>0</v>
      </c>
      <c r="CK102" s="890">
        <f t="shared" si="84"/>
        <v>0</v>
      </c>
      <c r="CL102" s="938">
        <f>IF(AND(R102=1,AF102=70),'Flächen u. Kulturen'!W107*-1,0)</f>
        <v>0</v>
      </c>
      <c r="CM102" s="875">
        <f>'#orgDung'!AE111*-1</f>
        <v>0</v>
      </c>
      <c r="CN102" s="875">
        <f t="shared" si="72"/>
        <v>0</v>
      </c>
      <c r="CO102" s="875">
        <f t="shared" si="73"/>
        <v>0</v>
      </c>
      <c r="CP102" s="875">
        <f>'#Kürzungen'!AS227*-1</f>
        <v>0</v>
      </c>
      <c r="CQ102" s="875">
        <f t="shared" si="74"/>
        <v>0</v>
      </c>
      <c r="CR102" s="875">
        <f t="shared" si="75"/>
        <v>0</v>
      </c>
      <c r="CS102" s="875">
        <f>'#minDung'!R108</f>
        <v>0</v>
      </c>
      <c r="CT102" s="938">
        <f t="shared" si="63"/>
        <v>0</v>
      </c>
      <c r="CU102" s="52" t="str">
        <f>'#Kürzungen'!AQ227</f>
        <v xml:space="preserve"> </v>
      </c>
      <c r="CW102" s="247">
        <f>IF('Flächen u. Kulturen'!D107="",0,IF(ISNUMBER('Flächen u. Kulturen'!D107)=TRUE,2,1))</f>
        <v>0</v>
      </c>
      <c r="CX102" s="247">
        <f>IF('Flächen u. Kulturen'!E107="",0,COUNTIF('#Boden'!$B$47,'Flächen u. Kulturen'!E107)+1)</f>
        <v>2</v>
      </c>
      <c r="CY102" s="247">
        <f>IF('Flächen u. Kulturen'!F107="",0,COUNTIF('#Boden'!$G$4:$G$8,'Flächen u. Kulturen'!F107)+1)</f>
        <v>2</v>
      </c>
      <c r="CZ102" s="247">
        <f>IF('Flächen u. Kulturen'!G107="",0,COUNTIF('#Boden'!$B$26:$B$29,'Flächen u. Kulturen'!G107)+1)</f>
        <v>2</v>
      </c>
      <c r="DA102" s="247">
        <f>IF('Flächen u. Kulturen'!H107="",0,COUNTIF('#Boden'!$B$26:$B$29,'Flächen u. Kulturen'!H107)+1)</f>
        <v>2</v>
      </c>
      <c r="DB102" s="247">
        <f>IF('Flächen u. Kulturen'!I107="",0,COUNTIF('#Boden'!$B$9:$B$15,'Flächen u. Kulturen'!I107)+1)</f>
        <v>2</v>
      </c>
      <c r="DC102" s="247">
        <f>IF('Flächen u. Kulturen'!J107="",0,COUNTIF(Kulturen[HF],'Flächen u. Kulturen'!J107)+1)</f>
        <v>2</v>
      </c>
      <c r="DD102" s="247">
        <f>IF('Flächen u. Kulturen'!L107="",0,COUNTIF(Nebenkultur[Nebenkultur],'Flächen u. Kulturen'!L107)+1)</f>
        <v>2</v>
      </c>
      <c r="DE102" s="247">
        <f>IF('Flächen u. Kulturen'!M107="",0,COUNTIF('#Boden'!$G$17:$G$21,'Flächen u. Kulturen'!M107)+1)</f>
        <v>2</v>
      </c>
      <c r="DF102" s="247">
        <f>IF('Flächen u. Kulturen'!N107="",0,COUNTIF('#Boden'!$G$22:$G$24,'Flächen u. Kulturen'!N107)+1)</f>
        <v>2</v>
      </c>
      <c r="DG102" s="247">
        <f>IF('Flächen u. Kulturen'!P107="",0,COUNTIF(Kulturen[HF],'Flächen u. Kulturen'!P107)+1)</f>
        <v>2</v>
      </c>
      <c r="DH102" s="247">
        <f>IF('Flächen u. Kulturen'!T107="",0,COUNTIF('#Boden'!$B$30:$B$32,'Flächen u. Kulturen'!T107)+1)</f>
        <v>2</v>
      </c>
      <c r="DI102" s="247">
        <f>IF('Flächen u. Kulturen'!K107="",0,IF(ISNUMBER('Flächen u. Kulturen'!K107)=TRUE,2,1))</f>
        <v>0</v>
      </c>
      <c r="DJ102" s="247">
        <f>IF('Flächen u. Kulturen'!U107="",0,IF(ISNUMBER('Flächen u. Kulturen'!U107)=TRUE,2,1))</f>
        <v>0</v>
      </c>
      <c r="DK102" s="247">
        <f>IF('Flächen u. Kulturen'!V107="",0,IF(ISNUMBER('Flächen u. Kulturen'!V107)=TRUE,2,1))</f>
        <v>0</v>
      </c>
      <c r="DL102" s="247">
        <f>IF('Flächen u. Kulturen'!W107="",0,IF(ISNUMBER('Flächen u. Kulturen'!W107)=TRUE,2,1))</f>
        <v>0</v>
      </c>
      <c r="DM102" s="247">
        <f t="shared" si="76"/>
        <v>0</v>
      </c>
      <c r="DN102" s="247" t="s">
        <v>344</v>
      </c>
      <c r="DO102" s="247">
        <f>IF(U102&lt;&gt;"x","",IF(OR('Flächen u. Kulturen'!B107="",'Flächen u. Kulturen'!C107="",'Flächen u. Kulturen'!D107="",'Flächen u. Kulturen'!D107=0,'Flächen u. Kulturen'!F107="",'Flächen u. Kulturen'!F107='#Boden'!$G$4,'Flächen u. Kulturen'!G107="",'Flächen u. Kulturen'!G107='#Boden'!$B$26,'Flächen u. Kulturen'!H107="",'Flächen u. Kulturen'!H107='#Boden'!$B$23,AND(N102&lt;&gt;2,OR('Flächen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Kulturen'!Q107="",'#BerechnungDBE'!N102&lt;3),AND('Flächen u. Kulturen'!R107="",'#BerechnungDBE'!N102=3),AND(N102=1,AL102&gt;0,'Flächen u. Kulturen'!S107=""),AND(N102=1,OR('Flächen u. Kulturen'!T107="",'Flächen u. Kulturen'!T107='#Boden'!$B$30)),AND('#BerechnungDBE'!AF102=70,OR('Flächen u. Kulturen'!N107="",'Flächen u. Kulturen'!N107='#Boden'!$G$22,'Flächen u. Kulturen'!O107="")),AND('#BerechnungDBE'!AF102=80,OR('Flächen u. Kulturen'!M107="",'Flächen u. Kulturen'!M107='#Boden'!$G$17,'Flächen u. Kulturen'!N107="",'Flächen u. Kulturen'!N107='#Boden'!$G$22))),$DO$4,""))</f>
        <v>1</v>
      </c>
      <c r="DP102" s="247" t="str">
        <f>IF(U102&lt;&gt;"x","",IF(OR(LEFT('Flächen u. Kulturen'!J107,2)=" +",LEFT('Flächen u. Kulturen'!L107,2)=" +",LEFT('Flächen u. Kulturen'!P107,2)=" +"),$DP$4,""))</f>
        <v/>
      </c>
      <c r="DQ102" s="428" t="str">
        <f t="shared" si="58"/>
        <v/>
      </c>
      <c r="DR102" s="938" t="str">
        <f t="shared" si="59"/>
        <v/>
      </c>
      <c r="DS102" s="938" t="str">
        <f>IF('Flächen u. Kulturen'!X107="","",ROW('Flächen u. Kulturen'!X107))</f>
        <v/>
      </c>
    </row>
    <row r="103" spans="1:123" s="875" customFormat="1" x14ac:dyDescent="0.2">
      <c r="A103" s="875" t="str">
        <f>IF('Daten aus 2021'!H105="",'#Boden'!$B$26,IF('Daten aus 2021'!H105='#Boden'!$B$39,IF('Daten aus 2021'!F105='#Boden'!$B$29,'#Boden'!$B$29,IF('Daten aus 2021'!K105='#Boden'!$B$34,'#Boden'!$B$28,'#Boden'!$B$27)),'Daten aus 2021'!F105))</f>
        <v xml:space="preserve"> --</v>
      </c>
      <c r="B103" s="875" t="str">
        <f>IF('Daten aus 2021'!H105='#Boden'!$B$39,IF('Daten aus 2021'!L105='#Boden'!$B$61,'#Boden'!$B$11,'Daten aus 2021'!L105),IF('Daten aus 2021'!P105='#Boden'!$B$58,'#Boden'!$B$11,IF('Daten aus 2021'!P105='#Boden'!$B$57,'#Boden'!$B$10,'#Boden'!$B$9)))</f>
        <v xml:space="preserve"> --         </v>
      </c>
      <c r="C103" s="875" t="str">
        <f>IF('Daten aus 2021'!N105="","",VLOOKUP('Daten aus 2021'!N105,'#Boden'!$B$68:$C$89,2,FALSE))</f>
        <v/>
      </c>
      <c r="D103" s="875" t="str">
        <f>IF('Daten aus 2021'!M105="","",VLOOKUP('Daten aus 2021'!M105,'#Boden'!$D$69:$E$73,2,FALSE))</f>
        <v/>
      </c>
      <c r="E103" s="938" t="str">
        <f>IF(OR(C103='#Boden'!$C$68,C103='#Boden'!$C$70),C103,CONCATENATE(C103,D103))</f>
        <v/>
      </c>
      <c r="F103" s="882" t="str">
        <f>IFERROR(IF('Daten aus 2021'!H105="",'#Frucht'!$D$8,IF('Daten aus 2021'!H105='#Boden'!$B$39,E103,IF('Daten aus 2021'!H105='#Boden'!$B$38,IF(CONCATENATE(" ",'Daten aus 2021'!W105)=$B$2,VLOOKUP($B$3,'#Frucht'!$A$8:$D$372,4,FALSE),VLOOKUP(CONCATENATE(" ",'Daten aus 2021'!W105),'#Frucht'!$A$8:$D$372,4,FALSE)),IF(OR(LEFT('Daten aus 2021'!Q105,5)=" *10 ",LEFT('Daten aus 2021'!Q105,5)=" *11 ",LEFT('Daten aus 2021'!Q105,5)=" *12 ",LEFT('Daten aus 2021'!Q105,5)=" *13 ",LEFT('Daten aus 2021'!Q105,5)=" *14 ",LEFT('Daten aus 2021'!Q105,5)=" *15 "),VLOOKUP(RIGHT('Daten aus 2021'!Q105,LEN('Daten aus 2021'!Q105)-4),'#Frucht'!$A$8:$D$372,4,FALSE),IF(LEFT('Daten aus 2021'!Q105,2)=" *",VLOOKUP(RIGHT('Daten aus 2021'!Q105,LEN('Daten aus 2021'!Q105)-3),'#Frucht'!$A$8:$D$372,4,FALSE),VLOOKUP('Daten aus 2021'!Q105,'#Frucht'!$A$8:$D$372,4,FALSE)))))),'#Frucht'!$D$8)</f>
        <v xml:space="preserve"> --  </v>
      </c>
      <c r="G103" s="127"/>
      <c r="H103" s="31"/>
      <c r="J103" s="938" t="str">
        <f>IF(OR(N103=3,$K$3=0,'Flächen u. Kulturen'!P108=""),"",IF(VLOOKUP('Flächen u. Kulturen'!P108,Kulturen[[HF]:[780]],'#BerechnungDBE'!$K$3,FALSE)=".","",VLOOKUP('Flächen u. Kulturen'!P108,Kulturen[[HF]:[780]],'#BerechnungDBE'!$K$3,FALSE)))</f>
        <v/>
      </c>
      <c r="K103" s="938" t="str">
        <f>IF(OR($K$3=0,'Flächen u. Kulturen'!P108=""),"",IF(N103=3,IF(VLOOKUP('Flächen u. Kulturen'!P108,Kulturen[[HF]:[780]],'#BerechnungDBE'!$K$3,FALSE)=".","",VLOOKUP('Flächen u. Kulturen'!P108,Kulturen[[HF]:[780]],'#BerechnungDBE'!$K$3,FALSE)),""))</f>
        <v/>
      </c>
      <c r="L103" s="367">
        <f>IF('Flächen u. Kulturen'!D108="",0,'Flächen u. Kulturen'!D108)</f>
        <v>0</v>
      </c>
      <c r="M103" s="693">
        <f>IF('Flächen u. Kulturen'!J108="",0,VLOOKUP('Flächen u. Kulturen'!J108,Kulturen[[HF]:[Berechnungsgruppe]],'#Frucht'!$W$1,FALSE))</f>
        <v>1</v>
      </c>
      <c r="N103" s="693">
        <f>IF('Flächen u. Kulturen'!P108="",0,VLOOKUP('Flächen u. Kulturen'!P108,Kulturen[[HF]:[Berechnungsgruppe]],'#Frucht'!$W$1,FALSE))</f>
        <v>1</v>
      </c>
      <c r="O103" s="875">
        <f>IF(N103&lt;&gt;2,N103,IF('Flächen u. Kulturen'!J108='Flächen u. Kulturen'!P108,2,1))</f>
        <v>1</v>
      </c>
      <c r="P103" s="875">
        <f>IF('Flächen u. Kulturen'!F108="",0,VLOOKUP('Flächen u. Kulturen'!F108,'#Boden'!$G$4:$H$8,'#Boden'!$H$1,FALSE))</f>
        <v>1</v>
      </c>
      <c r="Q103" s="875">
        <f>IF('Flächen u. Kulturen'!G108="",0,VLOOKUP('Flächen u. Kulturen'!G108,'#Boden'!$B$26:$C$29,'#Boden'!$C$1,FALSE))</f>
        <v>1</v>
      </c>
      <c r="R103" s="875">
        <f t="shared" si="64"/>
        <v>1</v>
      </c>
      <c r="S103" s="875">
        <f t="shared" si="65"/>
        <v>1</v>
      </c>
      <c r="T103" s="875">
        <f>IF('Flächen u. Kulturen'!H108="",0,VLOOKUP('Flächen u. Kulturen'!H108,'#Boden'!$B$23:$C$25,'#Boden'!$C$1,FALSE))</f>
        <v>2</v>
      </c>
      <c r="U103" s="875" t="str">
        <f>'Flächen u. Kulturen'!E108</f>
        <v>x</v>
      </c>
      <c r="V103" s="938">
        <f>IF('Flächen u. Kulturen'!Q108="",0,_xlfn.NUMBERVALUE('Flächen u. Kulturen'!Q108))</f>
        <v>0</v>
      </c>
      <c r="W103" s="938">
        <f>IF('Flächen u. Kulturen'!R108="",0,_xlfn.NUMBERVALUE('Flächen u. Kulturen'!R108))</f>
        <v>0</v>
      </c>
      <c r="X103" s="875">
        <f>IF('Flächen u. Kulturen'!T108="",0,VLOOKUP('Flächen u. Kulturen'!T108,'#Boden'!$B$30:$C$32,'#Boden'!$C$1,FALSE))</f>
        <v>1</v>
      </c>
      <c r="Y103" s="875">
        <f>IF('Flächen u. Kulturen'!P108="",0,VLOOKUP('Flächen u. Kulturen'!P108,Kulturen[[HF]:[Berechnungsgruppe]],'#Frucht'!$N$1,FALSE))</f>
        <v>0</v>
      </c>
      <c r="Z103" s="875">
        <f t="shared" si="66"/>
        <v>2</v>
      </c>
      <c r="AA103" s="875">
        <f>IF('Flächen u. Kulturen'!P108="",0,VLOOKUP('Flächen u. Kulturen'!P108,Kulturen[[HF]:[Berechnungsgruppe]],'#Frucht'!$V$1,FALSE))</f>
        <v>0</v>
      </c>
      <c r="AB103" s="875">
        <f>IF(N103=1,VLOOKUP('Flächen u. Kulturen'!P108,Kulturen[[HF]:[Ernteprodukt]],'#Frucht'!$I$1,FALSE),4)</f>
        <v>4</v>
      </c>
      <c r="AC103" s="921">
        <f>IF('Flächen u. Kulturen'!J108="",0,VLOOKUP('Flächen u. Kulturen'!J108,Kulturen[[HF]:[Berechnungsgruppe]],'#Frucht'!$G$1,FALSE))</f>
        <v>90</v>
      </c>
      <c r="AD103" s="921">
        <f>IF('Flächen u. Kulturen'!P108="",0,VLOOKUP('Flächen u. Kulturen'!P108,Kulturen[[HF]:[Berechnungsgruppe]],'#Frucht'!$G$1,FALSE))</f>
        <v>90</v>
      </c>
      <c r="AE103" s="938">
        <f>IF('Flächen u. Kulturen'!P108="",0,VLOOKUP('Flächen u. Kulturen'!P108,Kulturen[[HF]:[SollwertMinusNfix]],'#Frucht'!$X$1,FALSE))</f>
        <v>0</v>
      </c>
      <c r="AF103" s="875">
        <f>IF('Flächen u. Kulturen'!L108="",0,VLOOKUP('Flächen u. Kulturen'!L108,Nebenkultur[[Nebenkultur]:[Berechnungsschema]],'#Zweitfr'!$G$1,FALSE))</f>
        <v>0</v>
      </c>
      <c r="AG103" s="875">
        <f>IF('Flächen u. Kulturen'!L108="",0,VLOOKUP('Flächen u. Kulturen'!L108,'#Zweitfr'!$D$8:$Q$27,'#Zweitfr'!$Q$1,FALSE))</f>
        <v>0</v>
      </c>
      <c r="AH103" s="875">
        <f>IF('Flächen u. Kulturen'!M108="",0,VLOOKUP('Flächen u. Kulturen'!M108,'#Boden'!$G$17:$H$21,2,FALSE))</f>
        <v>1</v>
      </c>
      <c r="AI103" s="875">
        <f>IF('Flächen u. Kulturen'!N108="",0,VLOOKUP('Flächen u. Kulturen'!N108,'#Boden'!$G$22:$H$24,'#Boden'!$H$1,FALSE))</f>
        <v>1</v>
      </c>
      <c r="AJ103" s="938">
        <f>IF('Flächen u. Kulturen'!O108="",0,_xlfn.NUMBERVALUE('Flächen u. Kulturen'!O108))</f>
        <v>0</v>
      </c>
      <c r="AK103" s="938">
        <f>IF('Flächen u. Kulturen'!L108="",0,VLOOKUP('Flächen u. Kulturen'!L108,Nebenkultur[[Nebenkultur]:[Legum. Zwischenfr.]],'#Zweitfr'!$P$1,FALSE))</f>
        <v>0</v>
      </c>
      <c r="AL103" s="875">
        <f>IF('Flächen u. Kulturen'!P108="",0,VLOOKUP('Flächen u. Kulturen'!P108,Kulturen[[HF]:[Berechnungsgruppe]],'#Frucht'!$Q$1,FALSE))</f>
        <v>0</v>
      </c>
      <c r="AM103" s="875">
        <f>IF('Flächen u. Kulturen'!P108="",0,VLOOKUP('Flächen u. Kulturen'!P108,Kulturen[[HF]:[Berechnungsgruppe]],'#Frucht'!$M$1,FALSE))</f>
        <v>0</v>
      </c>
      <c r="AN103" s="875">
        <f>IF('Flächen u. Kulturen'!P108="",1,VLOOKUP('Flächen u. Kulturen'!P108,Kulturen[[HF]:[Berechnungsgruppe]],'#Frucht'!$R$1,FALSE))</f>
        <v>10</v>
      </c>
      <c r="AO103" s="875">
        <f>IF('Flächen u. Kulturen'!P108="",0,VLOOKUP('Flächen u. Kulturen'!P108,Kulturen[[HF]:[Berechnungsgruppe]],'#Frucht'!$S$1,FALSE))</f>
        <v>0</v>
      </c>
      <c r="AP103" s="875">
        <f>IF('Flächen u. Kulturen'!P108="",0,VLOOKUP('Flächen u. Kulturen'!P108,Kulturen[[HF]:[Berechnungsgruppe]],'#Frucht'!$T$1,FALSE))</f>
        <v>0</v>
      </c>
      <c r="AQ103" s="938">
        <f t="shared" si="77"/>
        <v>0</v>
      </c>
      <c r="AR103" s="875">
        <f t="shared" si="78"/>
        <v>0</v>
      </c>
      <c r="AS103" s="938">
        <f t="shared" si="48"/>
        <v>0</v>
      </c>
      <c r="AT103" s="875">
        <f>IF(N103=1,'Flächen u. Kulturen'!S108*-1,"--")</f>
        <v>0</v>
      </c>
      <c r="AU103" s="938">
        <f>IF(OR(N103=2,'Flächen u. Kulturen'!I108=""),"--",IF(N103=3,VLOOKUP('Flächen u. Kulturen'!I108,'#Boden'!$B$9:$E$15,'#Boden'!$D$1,FALSE),VLOOKUP('Flächen u. Kulturen'!I108,'#Boden'!$B$9:$E$15,'#Boden'!$E$1,FALSE)))</f>
        <v>0</v>
      </c>
      <c r="AV103" s="938">
        <f>IF(N103=1,IF('Flächen u. Kulturen'!J108="",0,VLOOKUP('Flächen u. Kulturen'!J108,Kulturen[[HF]:[Berechnungsgruppe]],'#Frucht'!$U$1,FALSE)*-1),"--")</f>
        <v>0</v>
      </c>
      <c r="AW103" s="875">
        <f t="shared" si="49"/>
        <v>0</v>
      </c>
      <c r="AX103" s="875">
        <f>IF('Flächen u. Kulturen'!K108="",0,'Flächen u. Kulturen'!K108*-0.1)</f>
        <v>0</v>
      </c>
      <c r="AY103" s="875">
        <f>IF(N103&lt;3,'#orgDung'!AC112*0.1*-1,"--")</f>
        <v>0</v>
      </c>
      <c r="AZ103" s="31" t="str">
        <f>IF(AND('#orgDung'!J112&lt;&gt;2,'#orgDung'!F112=1),('#orgDung'!V112+'#minDung'!O109)*-1,"--")</f>
        <v>--</v>
      </c>
      <c r="BA103" s="875">
        <f t="shared" si="67"/>
        <v>0</v>
      </c>
      <c r="BB103" s="938">
        <f>IF(R103=2,0,'Flächen u. Kulturen'!V108*-1)</f>
        <v>0</v>
      </c>
      <c r="BC103" s="875">
        <f t="shared" si="68"/>
        <v>0</v>
      </c>
      <c r="BD103" s="127">
        <f>'#orgDung'!W112*-1</f>
        <v>0</v>
      </c>
      <c r="BE103" s="910">
        <f>'#orgDung'!AA112*-1</f>
        <v>0</v>
      </c>
      <c r="BF103" s="875">
        <f>'#orgDung'!Z112*-1</f>
        <v>0</v>
      </c>
      <c r="BG103" s="938">
        <f t="shared" si="60"/>
        <v>0</v>
      </c>
      <c r="BH103" s="875">
        <f>'#Kürzungen'!AS127*-1</f>
        <v>0</v>
      </c>
      <c r="BI103" s="875">
        <f t="shared" si="79"/>
        <v>0</v>
      </c>
      <c r="BJ103" s="910">
        <f t="shared" si="80"/>
        <v>0</v>
      </c>
      <c r="BK103" s="875">
        <f>'#minDung'!P109</f>
        <v>0</v>
      </c>
      <c r="BL103" s="938">
        <f t="shared" si="61"/>
        <v>0</v>
      </c>
      <c r="BM103" s="938">
        <f t="shared" si="52"/>
        <v>0</v>
      </c>
      <c r="BN103" s="875">
        <f>IF('Flächen u. Kulturen'!P108="",0,VLOOKUP('Flächen u. Kulturen'!P108,Kulturen[[HF]:[Berechnungsgruppe]],'#Frucht'!$K$1,FALSE))</f>
        <v>0</v>
      </c>
      <c r="BO103" s="875">
        <f>IF('Flächen u. Kulturen'!P108="",0,VLOOKUP('Flächen u. Kulturen'!P108,Kulturen[[HF]:[Berechnungsgruppe]],'#Frucht'!$L$1,FALSE))</f>
        <v>0</v>
      </c>
      <c r="BP103" s="875">
        <f>IF('Flächen u. Kulturen'!L108="",0,VLOOKUP('Flächen u. Kulturen'!L108,Nebenkultur[[Nebenkultur]:[Legum. Zwischenfr.]],'#Zweitfr'!$H$1,FALSE))</f>
        <v>0</v>
      </c>
      <c r="BQ103" s="938">
        <f>IF(N103=3,W103*BO103,IF('Flächen u. Kulturen'!T108='#Boden'!$B$32,V103*BN103,V103*BO103))</f>
        <v>0</v>
      </c>
      <c r="BR103" s="938">
        <f t="shared" si="53"/>
        <v>0</v>
      </c>
      <c r="BS103" s="875">
        <f t="shared" si="69"/>
        <v>0</v>
      </c>
      <c r="BT103" s="875">
        <f>IF('Flächen u. Kulturen'!F108="",0,IF(N103=3,VLOOKUP('Flächen u. Kulturen'!F108,'#Boden'!$G$4:$J$8,'#Boden'!$J$1,FALSE),VLOOKUP('Flächen u. Kulturen'!F108,'#Boden'!$G$4:$J$8,'#Boden'!$I$1,FALSE)))</f>
        <v>0</v>
      </c>
      <c r="BU103" s="41">
        <f t="shared" si="70"/>
        <v>0</v>
      </c>
      <c r="BV103" s="875">
        <f t="shared" si="71"/>
        <v>0</v>
      </c>
      <c r="BW103" s="938" t="str">
        <f t="shared" si="62"/>
        <v/>
      </c>
      <c r="BX103" s="875">
        <f>'#orgDung'!T112*-1</f>
        <v>0</v>
      </c>
      <c r="BY103" s="875">
        <f t="shared" si="81"/>
        <v>0</v>
      </c>
      <c r="BZ103" s="938" t="str">
        <f>IF(U103&lt;&gt;"x",0,IF(P103&lt;4,"",(BW103+BX103-'#minDung'!N109)*-1))</f>
        <v/>
      </c>
      <c r="CB103" s="938">
        <f>IF(AND(AF103=70,U103="x"),'Flächen u. Kulturen'!A108,1000)</f>
        <v>1000</v>
      </c>
      <c r="CC103" s="875" t="str">
        <f>IF(AF103=70,VLOOKUP('Flächen u. Kulturen'!L108,Nebenkultur[[Nebenkultur]:[Legum. Zwischenfr.]],'#Zweitfr'!$I$1,FALSE),"--")</f>
        <v>--</v>
      </c>
      <c r="CD103" s="875" t="str">
        <f>IF(AF103=70,VLOOKUP('Flächen u. Kulturen'!L108,Nebenkultur[[Nebenkultur]:[Legum. Zwischenfr.]],'#Zweitfr'!$L$1,FALSE),"--")</f>
        <v>--</v>
      </c>
      <c r="CE103" s="875" t="str">
        <f>IF(AF103=70,VLOOKUP('Flächen u. Kulturen'!L108,Nebenkultur[[Nebenkultur]:[Legum. Zwischenfr.]],'#Zweitfr'!$M$1,FALSE),"--")</f>
        <v>--</v>
      </c>
      <c r="CF103" s="875" t="str">
        <f>IF(AF103=70,VLOOKUP('Flächen u. Kulturen'!L108,Nebenkultur[[Nebenkultur]:[Legum. Zwischenfr.]],'#Zweitfr'!$N$1,FALSE),"--")</f>
        <v>--</v>
      </c>
      <c r="CG103" s="875" t="str">
        <f>IF(AF103=70,VLOOKUP('Flächen u. Kulturen'!L108,Nebenkultur[[Nebenkultur]:[Legum. Zwischenfr.]],'#Zweitfr'!$O$1,FALSE),"--")</f>
        <v>--</v>
      </c>
      <c r="CH103" s="875" t="str">
        <f t="shared" si="82"/>
        <v>--</v>
      </c>
      <c r="CI103" s="938">
        <f>IF('Flächen u. Kulturen'!L108="",0,VLOOKUP('Flächen u. Kulturen'!L108,Nebenkultur[[Nebenkultur]:[Legum. Zwischenfr.]],'#Zweitfr'!$J$1,FALSE))</f>
        <v>0</v>
      </c>
      <c r="CJ103" s="875">
        <f t="shared" si="83"/>
        <v>0</v>
      </c>
      <c r="CK103" s="890">
        <f t="shared" si="84"/>
        <v>0</v>
      </c>
      <c r="CL103" s="938">
        <f>IF(AND(R103=1,AF103=70),'Flächen u. Kulturen'!W108*-1,0)</f>
        <v>0</v>
      </c>
      <c r="CM103" s="875">
        <f>'#orgDung'!AE112*-1</f>
        <v>0</v>
      </c>
      <c r="CN103" s="875">
        <f t="shared" si="72"/>
        <v>0</v>
      </c>
      <c r="CO103" s="875">
        <f t="shared" si="73"/>
        <v>0</v>
      </c>
      <c r="CP103" s="875">
        <f>'#Kürzungen'!AS228*-1</f>
        <v>0</v>
      </c>
      <c r="CQ103" s="875">
        <f t="shared" si="74"/>
        <v>0</v>
      </c>
      <c r="CR103" s="875">
        <f t="shared" si="75"/>
        <v>0</v>
      </c>
      <c r="CS103" s="875">
        <f>'#minDung'!R109</f>
        <v>0</v>
      </c>
      <c r="CT103" s="938">
        <f t="shared" si="63"/>
        <v>0</v>
      </c>
      <c r="CU103" s="52" t="str">
        <f>'#Kürzungen'!AQ228</f>
        <v xml:space="preserve"> </v>
      </c>
      <c r="CW103" s="247">
        <f>IF('Flächen u. Kulturen'!D108="",0,IF(ISNUMBER('Flächen u. Kulturen'!D108)=TRUE,2,1))</f>
        <v>0</v>
      </c>
      <c r="CX103" s="247">
        <f>IF('Flächen u. Kulturen'!E108="",0,COUNTIF('#Boden'!$B$47,'Flächen u. Kulturen'!E108)+1)</f>
        <v>2</v>
      </c>
      <c r="CY103" s="247">
        <f>IF('Flächen u. Kulturen'!F108="",0,COUNTIF('#Boden'!$G$4:$G$8,'Flächen u. Kulturen'!F108)+1)</f>
        <v>2</v>
      </c>
      <c r="CZ103" s="247">
        <f>IF('Flächen u. Kulturen'!G108="",0,COUNTIF('#Boden'!$B$26:$B$29,'Flächen u. Kulturen'!G108)+1)</f>
        <v>2</v>
      </c>
      <c r="DA103" s="247">
        <f>IF('Flächen u. Kulturen'!H108="",0,COUNTIF('#Boden'!$B$26:$B$29,'Flächen u. Kulturen'!H108)+1)</f>
        <v>2</v>
      </c>
      <c r="DB103" s="247">
        <f>IF('Flächen u. Kulturen'!I108="",0,COUNTIF('#Boden'!$B$9:$B$15,'Flächen u. Kulturen'!I108)+1)</f>
        <v>2</v>
      </c>
      <c r="DC103" s="247">
        <f>IF('Flächen u. Kulturen'!J108="",0,COUNTIF(Kulturen[HF],'Flächen u. Kulturen'!J108)+1)</f>
        <v>2</v>
      </c>
      <c r="DD103" s="247">
        <f>IF('Flächen u. Kulturen'!L108="",0,COUNTIF(Nebenkultur[Nebenkultur],'Flächen u. Kulturen'!L108)+1)</f>
        <v>2</v>
      </c>
      <c r="DE103" s="247">
        <f>IF('Flächen u. Kulturen'!M108="",0,COUNTIF('#Boden'!$G$17:$G$21,'Flächen u. Kulturen'!M108)+1)</f>
        <v>2</v>
      </c>
      <c r="DF103" s="247">
        <f>IF('Flächen u. Kulturen'!N108="",0,COUNTIF('#Boden'!$G$22:$G$24,'Flächen u. Kulturen'!N108)+1)</f>
        <v>2</v>
      </c>
      <c r="DG103" s="247">
        <f>IF('Flächen u. Kulturen'!P108="",0,COUNTIF(Kulturen[HF],'Flächen u. Kulturen'!P108)+1)</f>
        <v>2</v>
      </c>
      <c r="DH103" s="247">
        <f>IF('Flächen u. Kulturen'!T108="",0,COUNTIF('#Boden'!$B$30:$B$32,'Flächen u. Kulturen'!T108)+1)</f>
        <v>2</v>
      </c>
      <c r="DI103" s="247">
        <f>IF('Flächen u. Kulturen'!K108="",0,IF(ISNUMBER('Flächen u. Kulturen'!K108)=TRUE,2,1))</f>
        <v>0</v>
      </c>
      <c r="DJ103" s="247">
        <f>IF('Flächen u. Kulturen'!U108="",0,IF(ISNUMBER('Flächen u. Kulturen'!U108)=TRUE,2,1))</f>
        <v>0</v>
      </c>
      <c r="DK103" s="247">
        <f>IF('Flächen u. Kulturen'!V108="",0,IF(ISNUMBER('Flächen u. Kulturen'!V108)=TRUE,2,1))</f>
        <v>0</v>
      </c>
      <c r="DL103" s="247">
        <f>IF('Flächen u. Kulturen'!W108="",0,IF(ISNUMBER('Flächen u. Kulturen'!W108)=TRUE,2,1))</f>
        <v>0</v>
      </c>
      <c r="DM103" s="247">
        <f t="shared" si="76"/>
        <v>0</v>
      </c>
      <c r="DN103" s="247" t="s">
        <v>344</v>
      </c>
      <c r="DO103" s="247">
        <f>IF(U103&lt;&gt;"x","",IF(OR('Flächen u. Kulturen'!B108="",'Flächen u. Kulturen'!C108="",'Flächen u. Kulturen'!D108="",'Flächen u. Kulturen'!D108=0,'Flächen u. Kulturen'!F108="",'Flächen u. Kulturen'!F108='#Boden'!$G$4,'Flächen u. Kulturen'!G108="",'Flächen u. Kulturen'!G108='#Boden'!$B$26,'Flächen u. Kulturen'!H108="",'Flächen u. Kulturen'!H108='#Boden'!$B$23,AND(N103&lt;&gt;2,OR('Flächen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Kulturen'!Q108="",'#BerechnungDBE'!N103&lt;3),AND('Flächen u. Kulturen'!R108="",'#BerechnungDBE'!N103=3),AND(N103=1,AL103&gt;0,'Flächen u. Kulturen'!S108=""),AND(N103=1,OR('Flächen u. Kulturen'!T108="",'Flächen u. Kulturen'!T108='#Boden'!$B$30)),AND('#BerechnungDBE'!AF103=70,OR('Flächen u. Kulturen'!N108="",'Flächen u. Kulturen'!N108='#Boden'!$G$22,'Flächen u. Kulturen'!O108="")),AND('#BerechnungDBE'!AF103=80,OR('Flächen u. Kulturen'!M108="",'Flächen u. Kulturen'!M108='#Boden'!$G$17,'Flächen u. Kulturen'!N108="",'Flächen u. Kulturen'!N108='#Boden'!$G$22))),$DO$4,""))</f>
        <v>1</v>
      </c>
      <c r="DP103" s="247" t="str">
        <f>IF(U103&lt;&gt;"x","",IF(OR(LEFT('Flächen u. Kulturen'!J108,2)=" +",LEFT('Flächen u. Kulturen'!L108,2)=" +",LEFT('Flächen u. Kulturen'!P108,2)=" +"),$DP$4,""))</f>
        <v/>
      </c>
      <c r="DQ103" s="428" t="str">
        <f t="shared" si="58"/>
        <v/>
      </c>
      <c r="DR103" s="938" t="str">
        <f t="shared" si="59"/>
        <v/>
      </c>
      <c r="DS103" s="938" t="str">
        <f>IF('Flächen u. Kulturen'!X108="","",ROW('Flächen u. Kulturen'!X108))</f>
        <v/>
      </c>
    </row>
    <row r="104" spans="1:123" s="875" customFormat="1" x14ac:dyDescent="0.2">
      <c r="A104" s="875" t="str">
        <f>IF('Daten aus 2021'!H106="",'#Boden'!$B$26,IF('Daten aus 2021'!H106='#Boden'!$B$39,IF('Daten aus 2021'!F106='#Boden'!$B$29,'#Boden'!$B$29,IF('Daten aus 2021'!K106='#Boden'!$B$34,'#Boden'!$B$28,'#Boden'!$B$27)),'Daten aus 2021'!F106))</f>
        <v xml:space="preserve"> --</v>
      </c>
      <c r="B104" s="875" t="str">
        <f>IF('Daten aus 2021'!H106='#Boden'!$B$39,IF('Daten aus 2021'!L106='#Boden'!$B$61,'#Boden'!$B$11,'Daten aus 2021'!L106),IF('Daten aus 2021'!P106='#Boden'!$B$58,'#Boden'!$B$11,IF('Daten aus 2021'!P106='#Boden'!$B$57,'#Boden'!$B$10,'#Boden'!$B$9)))</f>
        <v xml:space="preserve"> --         </v>
      </c>
      <c r="C104" s="875" t="str">
        <f>IF('Daten aus 2021'!N106="","",VLOOKUP('Daten aus 2021'!N106,'#Boden'!$B$68:$C$89,2,FALSE))</f>
        <v/>
      </c>
      <c r="D104" s="875" t="str">
        <f>IF('Daten aus 2021'!M106="","",VLOOKUP('Daten aus 2021'!M106,'#Boden'!$D$69:$E$73,2,FALSE))</f>
        <v/>
      </c>
      <c r="E104" s="938" t="str">
        <f>IF(OR(C104='#Boden'!$C$68,C104='#Boden'!$C$70),C104,CONCATENATE(C104,D104))</f>
        <v/>
      </c>
      <c r="F104" s="882" t="str">
        <f>IFERROR(IF('Daten aus 2021'!H106="",'#Frucht'!$D$8,IF('Daten aus 2021'!H106='#Boden'!$B$39,E104,IF('Daten aus 2021'!H106='#Boden'!$B$38,IF(CONCATENATE(" ",'Daten aus 2021'!W106)=$B$2,VLOOKUP($B$3,'#Frucht'!$A$8:$D$372,4,FALSE),VLOOKUP(CONCATENATE(" ",'Daten aus 2021'!W106),'#Frucht'!$A$8:$D$372,4,FALSE)),IF(OR(LEFT('Daten aus 2021'!Q106,5)=" *10 ",LEFT('Daten aus 2021'!Q106,5)=" *11 ",LEFT('Daten aus 2021'!Q106,5)=" *12 ",LEFT('Daten aus 2021'!Q106,5)=" *13 ",LEFT('Daten aus 2021'!Q106,5)=" *14 ",LEFT('Daten aus 2021'!Q106,5)=" *15 "),VLOOKUP(RIGHT('Daten aus 2021'!Q106,LEN('Daten aus 2021'!Q106)-4),'#Frucht'!$A$8:$D$372,4,FALSE),IF(LEFT('Daten aus 2021'!Q106,2)=" *",VLOOKUP(RIGHT('Daten aus 2021'!Q106,LEN('Daten aus 2021'!Q106)-3),'#Frucht'!$A$8:$D$372,4,FALSE),VLOOKUP('Daten aus 2021'!Q106,'#Frucht'!$A$8:$D$372,4,FALSE)))))),'#Frucht'!$D$8)</f>
        <v xml:space="preserve"> --  </v>
      </c>
      <c r="G104" s="127"/>
      <c r="H104" s="31"/>
      <c r="J104" s="938" t="str">
        <f>IF(OR(N104=3,$K$3=0,'Flächen u. Kulturen'!P109=""),"",IF(VLOOKUP('Flächen u. Kulturen'!P109,Kulturen[[HF]:[780]],'#BerechnungDBE'!$K$3,FALSE)=".","",VLOOKUP('Flächen u. Kulturen'!P109,Kulturen[[HF]:[780]],'#BerechnungDBE'!$K$3,FALSE)))</f>
        <v/>
      </c>
      <c r="K104" s="938" t="str">
        <f>IF(OR($K$3=0,'Flächen u. Kulturen'!P109=""),"",IF(N104=3,IF(VLOOKUP('Flächen u. Kulturen'!P109,Kulturen[[HF]:[780]],'#BerechnungDBE'!$K$3,FALSE)=".","",VLOOKUP('Flächen u. Kulturen'!P109,Kulturen[[HF]:[780]],'#BerechnungDBE'!$K$3,FALSE)),""))</f>
        <v/>
      </c>
      <c r="L104" s="367">
        <f>IF('Flächen u. Kulturen'!D109="",0,'Flächen u. Kulturen'!D109)</f>
        <v>0</v>
      </c>
      <c r="M104" s="693">
        <f>IF('Flächen u. Kulturen'!J109="",0,VLOOKUP('Flächen u. Kulturen'!J109,Kulturen[[HF]:[Berechnungsgruppe]],'#Frucht'!$W$1,FALSE))</f>
        <v>1</v>
      </c>
      <c r="N104" s="693">
        <f>IF('Flächen u. Kulturen'!P109="",0,VLOOKUP('Flächen u. Kulturen'!P109,Kulturen[[HF]:[Berechnungsgruppe]],'#Frucht'!$W$1,FALSE))</f>
        <v>1</v>
      </c>
      <c r="O104" s="875">
        <f>IF(N104&lt;&gt;2,N104,IF('Flächen u. Kulturen'!J109='Flächen u. Kulturen'!P109,2,1))</f>
        <v>1</v>
      </c>
      <c r="P104" s="875">
        <f>IF('Flächen u. Kulturen'!F109="",0,VLOOKUP('Flächen u. Kulturen'!F109,'#Boden'!$G$4:$H$8,'#Boden'!$H$1,FALSE))</f>
        <v>1</v>
      </c>
      <c r="Q104" s="875">
        <f>IF('Flächen u. Kulturen'!G109="",0,VLOOKUP('Flächen u. Kulturen'!G109,'#Boden'!$B$26:$C$29,'#Boden'!$C$1,FALSE))</f>
        <v>1</v>
      </c>
      <c r="R104" s="875">
        <f t="shared" si="64"/>
        <v>1</v>
      </c>
      <c r="S104" s="875">
        <f t="shared" si="65"/>
        <v>1</v>
      </c>
      <c r="T104" s="875">
        <f>IF('Flächen u. Kulturen'!H109="",0,VLOOKUP('Flächen u. Kulturen'!H109,'#Boden'!$B$23:$C$25,'#Boden'!$C$1,FALSE))</f>
        <v>2</v>
      </c>
      <c r="U104" s="875" t="str">
        <f>'Flächen u. Kulturen'!E109</f>
        <v>x</v>
      </c>
      <c r="V104" s="938">
        <f>IF('Flächen u. Kulturen'!Q109="",0,_xlfn.NUMBERVALUE('Flächen u. Kulturen'!Q109))</f>
        <v>0</v>
      </c>
      <c r="W104" s="938">
        <f>IF('Flächen u. Kulturen'!R109="",0,_xlfn.NUMBERVALUE('Flächen u. Kulturen'!R109))</f>
        <v>0</v>
      </c>
      <c r="X104" s="875">
        <f>IF('Flächen u. Kulturen'!T109="",0,VLOOKUP('Flächen u. Kulturen'!T109,'#Boden'!$B$30:$C$32,'#Boden'!$C$1,FALSE))</f>
        <v>1</v>
      </c>
      <c r="Y104" s="875">
        <f>IF('Flächen u. Kulturen'!P109="",0,VLOOKUP('Flächen u. Kulturen'!P109,Kulturen[[HF]:[Berechnungsgruppe]],'#Frucht'!$N$1,FALSE))</f>
        <v>0</v>
      </c>
      <c r="Z104" s="875">
        <f t="shared" si="66"/>
        <v>2</v>
      </c>
      <c r="AA104" s="875">
        <f>IF('Flächen u. Kulturen'!P109="",0,VLOOKUP('Flächen u. Kulturen'!P109,Kulturen[[HF]:[Berechnungsgruppe]],'#Frucht'!$V$1,FALSE))</f>
        <v>0</v>
      </c>
      <c r="AB104" s="875">
        <f>IF(N104=1,VLOOKUP('Flächen u. Kulturen'!P109,Kulturen[[HF]:[Ernteprodukt]],'#Frucht'!$I$1,FALSE),4)</f>
        <v>4</v>
      </c>
      <c r="AC104" s="921">
        <f>IF('Flächen u. Kulturen'!J109="",0,VLOOKUP('Flächen u. Kulturen'!J109,Kulturen[[HF]:[Berechnungsgruppe]],'#Frucht'!$G$1,FALSE))</f>
        <v>90</v>
      </c>
      <c r="AD104" s="921">
        <f>IF('Flächen u. Kulturen'!P109="",0,VLOOKUP('Flächen u. Kulturen'!P109,Kulturen[[HF]:[Berechnungsgruppe]],'#Frucht'!$G$1,FALSE))</f>
        <v>90</v>
      </c>
      <c r="AE104" s="938">
        <f>IF('Flächen u. Kulturen'!P109="",0,VLOOKUP('Flächen u. Kulturen'!P109,Kulturen[[HF]:[SollwertMinusNfix]],'#Frucht'!$X$1,FALSE))</f>
        <v>0</v>
      </c>
      <c r="AF104" s="875">
        <f>IF('Flächen u. Kulturen'!L109="",0,VLOOKUP('Flächen u. Kulturen'!L109,Nebenkultur[[Nebenkultur]:[Berechnungsschema]],'#Zweitfr'!$G$1,FALSE))</f>
        <v>0</v>
      </c>
      <c r="AG104" s="875">
        <f>IF('Flächen u. Kulturen'!L109="",0,VLOOKUP('Flächen u. Kulturen'!L109,'#Zweitfr'!$D$8:$Q$27,'#Zweitfr'!$Q$1,FALSE))</f>
        <v>0</v>
      </c>
      <c r="AH104" s="875">
        <f>IF('Flächen u. Kulturen'!M109="",0,VLOOKUP('Flächen u. Kulturen'!M109,'#Boden'!$G$17:$H$21,2,FALSE))</f>
        <v>1</v>
      </c>
      <c r="AI104" s="875">
        <f>IF('Flächen u. Kulturen'!N109="",0,VLOOKUP('Flächen u. Kulturen'!N109,'#Boden'!$G$22:$H$24,'#Boden'!$H$1,FALSE))</f>
        <v>1</v>
      </c>
      <c r="AJ104" s="938">
        <f>IF('Flächen u. Kulturen'!O109="",0,_xlfn.NUMBERVALUE('Flächen u. Kulturen'!O109))</f>
        <v>0</v>
      </c>
      <c r="AK104" s="938">
        <f>IF('Flächen u. Kulturen'!L109="",0,VLOOKUP('Flächen u. Kulturen'!L109,Nebenkultur[[Nebenkultur]:[Legum. Zwischenfr.]],'#Zweitfr'!$P$1,FALSE))</f>
        <v>0</v>
      </c>
      <c r="AL104" s="875">
        <f>IF('Flächen u. Kulturen'!P109="",0,VLOOKUP('Flächen u. Kulturen'!P109,Kulturen[[HF]:[Berechnungsgruppe]],'#Frucht'!$Q$1,FALSE))</f>
        <v>0</v>
      </c>
      <c r="AM104" s="875">
        <f>IF('Flächen u. Kulturen'!P109="",0,VLOOKUP('Flächen u. Kulturen'!P109,Kulturen[[HF]:[Berechnungsgruppe]],'#Frucht'!$M$1,FALSE))</f>
        <v>0</v>
      </c>
      <c r="AN104" s="875">
        <f>IF('Flächen u. Kulturen'!P109="",1,VLOOKUP('Flächen u. Kulturen'!P109,Kulturen[[HF]:[Berechnungsgruppe]],'#Frucht'!$R$1,FALSE))</f>
        <v>10</v>
      </c>
      <c r="AO104" s="875">
        <f>IF('Flächen u. Kulturen'!P109="",0,VLOOKUP('Flächen u. Kulturen'!P109,Kulturen[[HF]:[Berechnungsgruppe]],'#Frucht'!$S$1,FALSE))</f>
        <v>0</v>
      </c>
      <c r="AP104" s="875">
        <f>IF('Flächen u. Kulturen'!P109="",0,VLOOKUP('Flächen u. Kulturen'!P109,Kulturen[[HF]:[Berechnungsgruppe]],'#Frucht'!$T$1,FALSE))</f>
        <v>0</v>
      </c>
      <c r="AQ104" s="938">
        <f t="shared" si="77"/>
        <v>0</v>
      </c>
      <c r="AR104" s="875">
        <f t="shared" si="78"/>
        <v>0</v>
      </c>
      <c r="AS104" s="938">
        <f t="shared" si="48"/>
        <v>0</v>
      </c>
      <c r="AT104" s="875">
        <f>IF(N104=1,'Flächen u. Kulturen'!S109*-1,"--")</f>
        <v>0</v>
      </c>
      <c r="AU104" s="938">
        <f>IF(OR(N104=2,'Flächen u. Kulturen'!I109=""),"--",IF(N104=3,VLOOKUP('Flächen u. Kulturen'!I109,'#Boden'!$B$9:$E$15,'#Boden'!$D$1,FALSE),VLOOKUP('Flächen u. Kulturen'!I109,'#Boden'!$B$9:$E$15,'#Boden'!$E$1,FALSE)))</f>
        <v>0</v>
      </c>
      <c r="AV104" s="938">
        <f>IF(N104=1,IF('Flächen u. Kulturen'!J109="",0,VLOOKUP('Flächen u. Kulturen'!J109,Kulturen[[HF]:[Berechnungsgruppe]],'#Frucht'!$U$1,FALSE)*-1),"--")</f>
        <v>0</v>
      </c>
      <c r="AW104" s="875">
        <f t="shared" si="49"/>
        <v>0</v>
      </c>
      <c r="AX104" s="875">
        <f>IF('Flächen u. Kulturen'!K109="",0,'Flächen u. Kulturen'!K109*-0.1)</f>
        <v>0</v>
      </c>
      <c r="AY104" s="875">
        <f>IF(N104&lt;3,'#orgDung'!AC113*0.1*-1,"--")</f>
        <v>0</v>
      </c>
      <c r="AZ104" s="31" t="str">
        <f>IF(AND('#orgDung'!J113&lt;&gt;2,'#orgDung'!F113=1),('#orgDung'!V113+'#minDung'!O110)*-1,"--")</f>
        <v>--</v>
      </c>
      <c r="BA104" s="875">
        <f t="shared" si="67"/>
        <v>0</v>
      </c>
      <c r="BB104" s="938">
        <f>IF(R104=2,0,'Flächen u. Kulturen'!V109*-1)</f>
        <v>0</v>
      </c>
      <c r="BC104" s="875">
        <f t="shared" si="68"/>
        <v>0</v>
      </c>
      <c r="BD104" s="127">
        <f>'#orgDung'!W113*-1</f>
        <v>0</v>
      </c>
      <c r="BE104" s="910">
        <f>'#orgDung'!AA113*-1</f>
        <v>0</v>
      </c>
      <c r="BF104" s="875">
        <f>'#orgDung'!Z113*-1</f>
        <v>0</v>
      </c>
      <c r="BG104" s="938">
        <f t="shared" si="60"/>
        <v>0</v>
      </c>
      <c r="BH104" s="875">
        <f>'#Kürzungen'!AS128*-1</f>
        <v>0</v>
      </c>
      <c r="BI104" s="875">
        <f t="shared" si="79"/>
        <v>0</v>
      </c>
      <c r="BJ104" s="910">
        <f t="shared" si="80"/>
        <v>0</v>
      </c>
      <c r="BK104" s="875">
        <f>'#minDung'!P110</f>
        <v>0</v>
      </c>
      <c r="BL104" s="938">
        <f t="shared" si="61"/>
        <v>0</v>
      </c>
      <c r="BM104" s="938">
        <f t="shared" si="52"/>
        <v>0</v>
      </c>
      <c r="BN104" s="875">
        <f>IF('Flächen u. Kulturen'!P109="",0,VLOOKUP('Flächen u. Kulturen'!P109,Kulturen[[HF]:[Berechnungsgruppe]],'#Frucht'!$K$1,FALSE))</f>
        <v>0</v>
      </c>
      <c r="BO104" s="875">
        <f>IF('Flächen u. Kulturen'!P109="",0,VLOOKUP('Flächen u. Kulturen'!P109,Kulturen[[HF]:[Berechnungsgruppe]],'#Frucht'!$L$1,FALSE))</f>
        <v>0</v>
      </c>
      <c r="BP104" s="875">
        <f>IF('Flächen u. Kulturen'!L109="",0,VLOOKUP('Flächen u. Kulturen'!L109,Nebenkultur[[Nebenkultur]:[Legum. Zwischenfr.]],'#Zweitfr'!$H$1,FALSE))</f>
        <v>0</v>
      </c>
      <c r="BQ104" s="938">
        <f>IF(N104=3,W104*BO104,IF('Flächen u. Kulturen'!T109='#Boden'!$B$32,V104*BN104,V104*BO104))</f>
        <v>0</v>
      </c>
      <c r="BR104" s="938">
        <f t="shared" si="53"/>
        <v>0</v>
      </c>
      <c r="BS104" s="875">
        <f t="shared" si="69"/>
        <v>0</v>
      </c>
      <c r="BT104" s="875">
        <f>IF('Flächen u. Kulturen'!F109="",0,IF(N104=3,VLOOKUP('Flächen u. Kulturen'!F109,'#Boden'!$G$4:$J$8,'#Boden'!$J$1,FALSE),VLOOKUP('Flächen u. Kulturen'!F109,'#Boden'!$G$4:$J$8,'#Boden'!$I$1,FALSE)))</f>
        <v>0</v>
      </c>
      <c r="BU104" s="41">
        <f t="shared" si="70"/>
        <v>0</v>
      </c>
      <c r="BV104" s="875">
        <f t="shared" si="71"/>
        <v>0</v>
      </c>
      <c r="BW104" s="938" t="str">
        <f t="shared" si="62"/>
        <v/>
      </c>
      <c r="BX104" s="875">
        <f>'#orgDung'!T113*-1</f>
        <v>0</v>
      </c>
      <c r="BY104" s="875">
        <f t="shared" si="81"/>
        <v>0</v>
      </c>
      <c r="BZ104" s="938" t="str">
        <f>IF(U104&lt;&gt;"x",0,IF(P104&lt;4,"",(BW104+BX104-'#minDung'!N110)*-1))</f>
        <v/>
      </c>
      <c r="CB104" s="938">
        <f>IF(AND(AF104=70,U104="x"),'Flächen u. Kulturen'!A109,1000)</f>
        <v>1000</v>
      </c>
      <c r="CC104" s="875" t="str">
        <f>IF(AF104=70,VLOOKUP('Flächen u. Kulturen'!L109,Nebenkultur[[Nebenkultur]:[Legum. Zwischenfr.]],'#Zweitfr'!$I$1,FALSE),"--")</f>
        <v>--</v>
      </c>
      <c r="CD104" s="875" t="str">
        <f>IF(AF104=70,VLOOKUP('Flächen u. Kulturen'!L109,Nebenkultur[[Nebenkultur]:[Legum. Zwischenfr.]],'#Zweitfr'!$L$1,FALSE),"--")</f>
        <v>--</v>
      </c>
      <c r="CE104" s="875" t="str">
        <f>IF(AF104=70,VLOOKUP('Flächen u. Kulturen'!L109,Nebenkultur[[Nebenkultur]:[Legum. Zwischenfr.]],'#Zweitfr'!$M$1,FALSE),"--")</f>
        <v>--</v>
      </c>
      <c r="CF104" s="875" t="str">
        <f>IF(AF104=70,VLOOKUP('Flächen u. Kulturen'!L109,Nebenkultur[[Nebenkultur]:[Legum. Zwischenfr.]],'#Zweitfr'!$N$1,FALSE),"--")</f>
        <v>--</v>
      </c>
      <c r="CG104" s="875" t="str">
        <f>IF(AF104=70,VLOOKUP('Flächen u. Kulturen'!L109,Nebenkultur[[Nebenkultur]:[Legum. Zwischenfr.]],'#Zweitfr'!$O$1,FALSE),"--")</f>
        <v>--</v>
      </c>
      <c r="CH104" s="875" t="str">
        <f t="shared" si="82"/>
        <v>--</v>
      </c>
      <c r="CI104" s="938">
        <f>IF('Flächen u. Kulturen'!L109="",0,VLOOKUP('Flächen u. Kulturen'!L109,Nebenkultur[[Nebenkultur]:[Legum. Zwischenfr.]],'#Zweitfr'!$J$1,FALSE))</f>
        <v>0</v>
      </c>
      <c r="CJ104" s="875">
        <f t="shared" si="83"/>
        <v>0</v>
      </c>
      <c r="CK104" s="890">
        <f t="shared" si="84"/>
        <v>0</v>
      </c>
      <c r="CL104" s="938">
        <f>IF(AND(R104=1,AF104=70),'Flächen u. Kulturen'!W109*-1,0)</f>
        <v>0</v>
      </c>
      <c r="CM104" s="875">
        <f>'#orgDung'!AE113*-1</f>
        <v>0</v>
      </c>
      <c r="CN104" s="875">
        <f t="shared" si="72"/>
        <v>0</v>
      </c>
      <c r="CO104" s="875">
        <f t="shared" si="73"/>
        <v>0</v>
      </c>
      <c r="CP104" s="875">
        <f>'#Kürzungen'!AS229*-1</f>
        <v>0</v>
      </c>
      <c r="CQ104" s="875">
        <f t="shared" si="74"/>
        <v>0</v>
      </c>
      <c r="CR104" s="875">
        <f t="shared" si="75"/>
        <v>0</v>
      </c>
      <c r="CS104" s="875">
        <f>'#minDung'!R110</f>
        <v>0</v>
      </c>
      <c r="CT104" s="938">
        <f t="shared" si="63"/>
        <v>0</v>
      </c>
      <c r="CU104" s="52" t="str">
        <f>'#Kürzungen'!AQ229</f>
        <v xml:space="preserve"> </v>
      </c>
      <c r="CW104" s="927">
        <f>IF('Flächen u. Kulturen'!D109="",0,IF(ISNUMBER('Flächen u. Kulturen'!D109)=TRUE,2,1))</f>
        <v>0</v>
      </c>
      <c r="CX104" s="927">
        <f>IF('Flächen u. Kulturen'!E109="",0,COUNTIF('#Boden'!$B$47,'Flächen u. Kulturen'!E109)+1)</f>
        <v>2</v>
      </c>
      <c r="CY104" s="927">
        <f>IF('Flächen u. Kulturen'!F109="",0,COUNTIF('#Boden'!$G$4:$G$8,'Flächen u. Kulturen'!F109)+1)</f>
        <v>2</v>
      </c>
      <c r="CZ104" s="927">
        <f>IF('Flächen u. Kulturen'!G109="",0,COUNTIF('#Boden'!$B$26:$B$29,'Flächen u. Kulturen'!G109)+1)</f>
        <v>2</v>
      </c>
      <c r="DA104" s="927">
        <f>IF('Flächen u. Kulturen'!H109="",0,COUNTIF('#Boden'!$B$26:$B$29,'Flächen u. Kulturen'!H109)+1)</f>
        <v>2</v>
      </c>
      <c r="DB104" s="927">
        <f>IF('Flächen u. Kulturen'!I109="",0,COUNTIF('#Boden'!$B$9:$B$15,'Flächen u. Kulturen'!I109)+1)</f>
        <v>2</v>
      </c>
      <c r="DC104" s="927">
        <f>IF('Flächen u. Kulturen'!J109="",0,COUNTIF(Kulturen[HF],'Flächen u. Kulturen'!J109)+1)</f>
        <v>2</v>
      </c>
      <c r="DD104" s="927">
        <f>IF('Flächen u. Kulturen'!L109="",0,COUNTIF(Nebenkultur[Nebenkultur],'Flächen u. Kulturen'!L109)+1)</f>
        <v>2</v>
      </c>
      <c r="DE104" s="927">
        <f>IF('Flächen u. Kulturen'!M109="",0,COUNTIF('#Boden'!$G$17:$G$21,'Flächen u. Kulturen'!M109)+1)</f>
        <v>2</v>
      </c>
      <c r="DF104" s="927">
        <f>IF('Flächen u. Kulturen'!N109="",0,COUNTIF('#Boden'!$G$22:$G$24,'Flächen u. Kulturen'!N109)+1)</f>
        <v>2</v>
      </c>
      <c r="DG104" s="927">
        <f>IF('Flächen u. Kulturen'!P109="",0,COUNTIF(Kulturen[HF],'Flächen u. Kulturen'!P109)+1)</f>
        <v>2</v>
      </c>
      <c r="DH104" s="927">
        <f>IF('Flächen u. Kulturen'!T109="",0,COUNTIF('#Boden'!$B$30:$B$32,'Flächen u. Kulturen'!T109)+1)</f>
        <v>2</v>
      </c>
      <c r="DI104" s="927">
        <f>IF('Flächen u. Kulturen'!K109="",0,IF(ISNUMBER('Flächen u. Kulturen'!K109)=TRUE,2,1))</f>
        <v>0</v>
      </c>
      <c r="DJ104" s="927">
        <f>IF('Flächen u. Kulturen'!U109="",0,IF(ISNUMBER('Flächen u. Kulturen'!U109)=TRUE,2,1))</f>
        <v>0</v>
      </c>
      <c r="DK104" s="927">
        <f>IF('Flächen u. Kulturen'!V109="",0,IF(ISNUMBER('Flächen u. Kulturen'!V109)=TRUE,2,1))</f>
        <v>0</v>
      </c>
      <c r="DL104" s="927">
        <f>IF('Flächen u. Kulturen'!W109="",0,IF(ISNUMBER('Flächen u. Kulturen'!W109)=TRUE,2,1))</f>
        <v>0</v>
      </c>
      <c r="DM104" s="927">
        <f t="shared" si="76"/>
        <v>0</v>
      </c>
      <c r="DN104" s="927" t="s">
        <v>344</v>
      </c>
      <c r="DO104" s="247">
        <f>IF(U104&lt;&gt;"x","",IF(OR('Flächen u. Kulturen'!B109="",'Flächen u. Kulturen'!C109="",'Flächen u. Kulturen'!D109="",'Flächen u. Kulturen'!D109=0,'Flächen u. Kulturen'!F109="",'Flächen u. Kulturen'!F109='#Boden'!$G$4,'Flächen u. Kulturen'!G109="",'Flächen u. Kulturen'!G109='#Boden'!$B$26,'Flächen u. Kulturen'!H109="",'Flächen u. Kulturen'!H109='#Boden'!$B$23,AND(N104&lt;&gt;2,OR('Flächen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Kulturen'!Q109="",'#BerechnungDBE'!N104&lt;3),AND('Flächen u. Kulturen'!R109="",'#BerechnungDBE'!N104=3),AND(N104=1,AL104&gt;0,'Flächen u. Kulturen'!S109=""),AND(N104=1,OR('Flächen u. Kulturen'!T109="",'Flächen u. Kulturen'!T109='#Boden'!$B$30)),AND('#BerechnungDBE'!AF104=70,OR('Flächen u. Kulturen'!N109="",'Flächen u. Kulturen'!N109='#Boden'!$G$22,'Flächen u. Kulturen'!O109="")),AND('#BerechnungDBE'!AF104=80,OR('Flächen u. Kulturen'!M109="",'Flächen u. Kulturen'!M109='#Boden'!$G$17,'Flächen u. Kulturen'!N109="",'Flächen u. Kulturen'!N109='#Boden'!$G$22))),$DO$4,""))</f>
        <v>1</v>
      </c>
      <c r="DP104" s="247" t="str">
        <f>IF(U104&lt;&gt;"x","",IF(OR(LEFT('Flächen u. Kulturen'!J109,2)=" +",LEFT('Flächen u. Kulturen'!L109,2)=" +",LEFT('Flächen u. Kulturen'!P109,2)=" +"),$DP$4,""))</f>
        <v/>
      </c>
      <c r="DQ104" s="428" t="str">
        <f t="shared" si="58"/>
        <v/>
      </c>
      <c r="DR104" s="938" t="str">
        <f t="shared" si="59"/>
        <v/>
      </c>
      <c r="DS104" s="938" t="str">
        <f>IF('Flächen u. Kulturen'!X109="","",ROW('Flächen u. Kulturen'!X109))</f>
        <v/>
      </c>
    </row>
    <row r="105" spans="1:123" s="57" customFormat="1" x14ac:dyDescent="0.2">
      <c r="G105" s="928"/>
      <c r="H105" s="1476"/>
      <c r="K105" s="938" t="str">
        <f>IF($K$3=0,"",IF(N105=3,IF(VLOOKUP('Flächen u. Kulturen'!P110,Kulturen[[HF]:[780]],'#BerechnungDBE'!$K$3,FALSE)=0,"",VLOOKUP('Flächen u. Kulturen'!P110,Kulturen[[HF]:[780]],'#BerechnungDBE'!$K$3,FALSE)),""))</f>
        <v/>
      </c>
      <c r="W105" s="938"/>
      <c r="AC105" s="921"/>
      <c r="AD105" s="921"/>
      <c r="AJ105" s="938"/>
      <c r="BD105" s="928"/>
      <c r="BE105" s="57">
        <f>'#orgDung'!AA114*-1</f>
        <v>0</v>
      </c>
      <c r="CQ105" s="57" cm="1">
        <f t="array" ref="CQ105">SUMPRODUCT(CQ5:CQ104,$L$5:$L$104,($U$5:$U$104="x")*1)</f>
        <v>0</v>
      </c>
      <c r="CR105" s="57" cm="1">
        <f t="array" ref="CR105">SUMPRODUCT(CR5:CR104,$L$5:$L$104,($U$5:$U$104="x")*1,(CR5:CR104&gt;0)*1)</f>
        <v>0</v>
      </c>
      <c r="CT105" s="938">
        <f t="shared" si="63"/>
        <v>0</v>
      </c>
      <c r="CU105" s="52"/>
      <c r="CW105" s="506"/>
      <c r="CX105" s="506"/>
      <c r="CY105" s="506"/>
      <c r="CZ105" s="506"/>
      <c r="DA105" s="506"/>
      <c r="DB105" s="506"/>
      <c r="DC105" s="506"/>
      <c r="DD105" s="506"/>
      <c r="DE105" s="506"/>
      <c r="DF105" s="506"/>
      <c r="DG105" s="506"/>
      <c r="DH105" s="506"/>
      <c r="DI105" s="506"/>
      <c r="DJ105" s="506"/>
      <c r="DK105" s="506"/>
      <c r="DL105" s="506"/>
      <c r="DM105" s="506"/>
      <c r="DO105" s="247"/>
      <c r="DP105" s="130"/>
      <c r="DR105" s="938"/>
    </row>
    <row r="106" spans="1:123" x14ac:dyDescent="0.2">
      <c r="G106" s="127"/>
      <c r="H106" s="31"/>
      <c r="K106" s="938" t="str">
        <f>IF($K$3=0,"",IF(N106=3,IF(VLOOKUP('Flächen u. Kulturen'!P111,Kulturen[[HF]:[780]],'#BerechnungDBE'!$K$3,FALSE)=0,"",VLOOKUP('Flächen u. Kulturen'!P111,Kulturen[[HF]:[780]],'#BerechnungDBE'!$K$3,FALSE)),""))</f>
        <v/>
      </c>
      <c r="BH106" s="871"/>
      <c r="BJ106" s="57" cm="1">
        <f t="array" ref="BJ106">SUMPRODUCT(BJ5:BJ104,$L$5:$L$104,($U$5:$U$104="x")*1,('Flächen u. Kulturen'!$X$10:$X$109="OK")*1)</f>
        <v>0</v>
      </c>
      <c r="BK106" s="57"/>
      <c r="BL106" s="57" cm="1">
        <f t="array" ref="BL106">SUMPRODUCT(BL5:BL104,$L$5:$L$104,($U$5:$U$104="x")*1,('Flächen u. Kulturen'!$X$10:$X$109="OK")*1)</f>
        <v>0</v>
      </c>
      <c r="BM106" s="57" cm="1">
        <f t="array" ref="BM106">SUMPRODUCT(BM5:BM104,$L$5:$L$104,($U$5:$U$104="x")*1,('Flächen u. Kulturen'!$X$10:$X$109="OK")*1)</f>
        <v>0</v>
      </c>
      <c r="BN106" s="745"/>
      <c r="BO106"/>
      <c r="BY106" s="57" cm="1">
        <f t="array" ref="BY106">SUMPRODUCT(BY5:BY104,$L$5:$L$104,($U$5:$U$104="x")*1,(BY5:BY104&gt;0)*1)</f>
        <v>0</v>
      </c>
      <c r="CB106" s="745"/>
      <c r="CC106"/>
      <c r="CL106" s="807"/>
      <c r="CM106"/>
      <c r="CN106" s="836"/>
      <c r="CO106" s="871"/>
      <c r="CS106"/>
      <c r="CT106" s="871"/>
      <c r="CV106"/>
      <c r="CW106" s="36"/>
      <c r="CX106" s="36"/>
      <c r="CY106" s="36"/>
      <c r="CZ106" s="36"/>
      <c r="DA106" s="36"/>
      <c r="DB106" s="36"/>
      <c r="DC106" s="36"/>
      <c r="DD106" s="36"/>
      <c r="DE106" s="36"/>
      <c r="DF106" s="36"/>
      <c r="DG106" s="36"/>
      <c r="DH106" s="36"/>
      <c r="DI106" s="36"/>
      <c r="DJ106" s="36"/>
      <c r="DK106" s="36"/>
      <c r="DL106" s="36"/>
      <c r="DM106" s="36"/>
      <c r="DO106" s="247"/>
      <c r="DP106" s="130"/>
      <c r="DR106" s="938"/>
      <c r="DS106">
        <f>IF(MAX(DS5:DS104)=0,34,MAX(DS5:DS104))</f>
        <v>34</v>
      </c>
    </row>
    <row r="107" spans="1:123" x14ac:dyDescent="0.2">
      <c r="BH107" s="871"/>
      <c r="BM107" s="906"/>
      <c r="BN107" s="745"/>
      <c r="BO107"/>
      <c r="CB107" s="745"/>
      <c r="CC107"/>
      <c r="CL107" s="807"/>
      <c r="CM107"/>
      <c r="CN107" s="836"/>
      <c r="CO107" s="871"/>
      <c r="CS107"/>
      <c r="CT107" s="871"/>
      <c r="CV107"/>
      <c r="CW107" s="36">
        <f t="shared" ref="CW107:DH107" si="85">SUM(CW5:CW104)</f>
        <v>0</v>
      </c>
      <c r="CX107" s="36">
        <f t="shared" si="85"/>
        <v>200</v>
      </c>
      <c r="CY107" s="36">
        <f t="shared" si="85"/>
        <v>200</v>
      </c>
      <c r="CZ107" s="36">
        <f t="shared" si="85"/>
        <v>200</v>
      </c>
      <c r="DA107" s="36">
        <f t="shared" si="85"/>
        <v>200</v>
      </c>
      <c r="DB107" s="36">
        <f t="shared" si="85"/>
        <v>200</v>
      </c>
      <c r="DC107" s="36">
        <f t="shared" si="85"/>
        <v>200</v>
      </c>
      <c r="DD107" s="36">
        <f t="shared" si="85"/>
        <v>200</v>
      </c>
      <c r="DE107" s="36">
        <f t="shared" si="85"/>
        <v>200</v>
      </c>
      <c r="DF107" s="36">
        <f t="shared" si="85"/>
        <v>200</v>
      </c>
      <c r="DG107" s="36">
        <f t="shared" si="85"/>
        <v>200</v>
      </c>
      <c r="DH107" s="36">
        <f t="shared" si="85"/>
        <v>200</v>
      </c>
      <c r="DI107" s="36"/>
      <c r="DJ107" s="36"/>
      <c r="DK107" s="36"/>
      <c r="DL107" s="36"/>
      <c r="DM107" s="36">
        <f>SUM(CY107:DH107)</f>
        <v>2000</v>
      </c>
      <c r="DO107" s="247"/>
      <c r="DP107" s="130"/>
      <c r="DR107" s="938"/>
    </row>
    <row r="108" spans="1:123" x14ac:dyDescent="0.2">
      <c r="AW108" s="835" t="s">
        <v>1569</v>
      </c>
      <c r="AZ108" s="835" t="s">
        <v>1543</v>
      </c>
      <c r="BF108" s="627"/>
      <c r="BI108" s="718"/>
      <c r="BM108" s="906"/>
      <c r="BN108" s="745"/>
      <c r="BO108"/>
      <c r="CB108" s="745"/>
      <c r="CC108"/>
      <c r="CL108" s="807"/>
      <c r="CM108"/>
      <c r="CN108" s="836"/>
      <c r="CO108" s="871"/>
      <c r="CS108"/>
      <c r="CT108" s="871"/>
      <c r="CV108"/>
      <c r="CX108" s="745"/>
      <c r="CY108"/>
      <c r="DI108" s="810"/>
      <c r="DM108"/>
      <c r="DN108" s="36"/>
      <c r="DO108" s="36"/>
      <c r="DP108" s="36"/>
      <c r="DQ108" s="36"/>
    </row>
    <row r="109" spans="1:123" x14ac:dyDescent="0.2">
      <c r="AZ109" s="1603" t="s">
        <v>1592</v>
      </c>
      <c r="BA109" s="1538"/>
      <c r="BB109" s="882"/>
      <c r="BC109" s="882"/>
      <c r="BF109" s="750" t="s">
        <v>1590</v>
      </c>
      <c r="BG109" s="714"/>
      <c r="BI109" s="718"/>
      <c r="BJ109" s="718"/>
      <c r="DO109" s="36"/>
      <c r="DP109" s="36"/>
      <c r="DQ109" s="36"/>
      <c r="DR109" s="36"/>
    </row>
    <row r="110" spans="1:123" x14ac:dyDescent="0.2">
      <c r="AZ110" s="1538"/>
      <c r="BA110" s="1538"/>
      <c r="BF110" s="627"/>
      <c r="BG110" s="750" t="s">
        <v>1443</v>
      </c>
      <c r="BH110" s="750" t="s">
        <v>171</v>
      </c>
      <c r="BI110" s="750" t="s">
        <v>174</v>
      </c>
      <c r="BJ110" s="750" t="s">
        <v>1114</v>
      </c>
      <c r="BK110" s="750" t="s">
        <v>171</v>
      </c>
      <c r="BL110" s="750" t="s">
        <v>174</v>
      </c>
      <c r="BM110" s="872"/>
      <c r="BN110" s="882"/>
      <c r="DO110" s="36"/>
      <c r="DP110" s="36"/>
      <c r="DQ110" s="36"/>
      <c r="DR110" s="36"/>
    </row>
    <row r="111" spans="1:123" x14ac:dyDescent="0.2">
      <c r="AW111" s="830" t="s">
        <v>1278</v>
      </c>
      <c r="AX111" s="830" cm="1">
        <f t="array" ref="AX111">SUMPRODUCT(BA5:BA104,L5:L104,(S5:S104=1)*1,(U5:U104="x")*1)</f>
        <v>0</v>
      </c>
      <c r="AZ111" t="s">
        <v>1278</v>
      </c>
      <c r="BA111">
        <f>BM106</f>
        <v>0</v>
      </c>
      <c r="BF111" s="748" t="s">
        <v>1445</v>
      </c>
      <c r="BG111" s="749" cm="1">
        <f t="array" ref="BG111">SUMPRODUCT(BC5:BC104,L5:L104,(U5:U104="x")*1,(N5:N104&lt;3)*1)+BG112</f>
        <v>0</v>
      </c>
      <c r="BH111" s="718" cm="1">
        <f t="array" ref="BH111">SUMPRODUCT(BC5:BC104,L5:L104,(U5:U104="x")*1,(N5:N104&lt;3)*1,(R5:R104=1)*1)+BH112</f>
        <v>0</v>
      </c>
      <c r="BI111" s="718">
        <f>BG111-BH111</f>
        <v>0</v>
      </c>
      <c r="BJ111" s="718"/>
      <c r="BK111" s="745">
        <f>IF(N116+N117=0,0,BH111/(N116+N117))</f>
        <v>0</v>
      </c>
      <c r="BL111" s="749">
        <f>IF(P116+P117=0,0,BI111/(P116+P117))</f>
        <v>0</v>
      </c>
    </row>
    <row r="112" spans="1:123" x14ac:dyDescent="0.2">
      <c r="BF112" s="627" t="s">
        <v>1444</v>
      </c>
      <c r="BG112" s="749" cm="1">
        <f t="array" ref="BG112">SUMPRODUCT(AZ5:AZ104,L5:L104,(U5:U104="x")*1)*-1</f>
        <v>0</v>
      </c>
      <c r="BH112" s="749" cm="1">
        <f t="array" ref="BH112">SUMPRODUCT(AZ5:AZ104,L5:L104,(U5:U104="x")*1,(R5:R104=1)*1)*-1</f>
        <v>0</v>
      </c>
      <c r="BI112" s="749">
        <f>BG112-BH112</f>
        <v>0</v>
      </c>
      <c r="BJ112" s="718"/>
      <c r="BK112" s="745"/>
      <c r="BL112"/>
    </row>
    <row r="113" spans="10:64" x14ac:dyDescent="0.2">
      <c r="K113" s="41">
        <v>2022</v>
      </c>
      <c r="L113" s="504"/>
      <c r="M113" s="41"/>
      <c r="N113" s="504"/>
      <c r="O113" s="504"/>
      <c r="P113" s="41"/>
      <c r="Q113" s="504"/>
      <c r="R113" s="504"/>
      <c r="S113" s="36"/>
      <c r="T113" s="36"/>
      <c r="U113" s="36"/>
      <c r="V113" s="36"/>
      <c r="W113" s="36"/>
      <c r="AW113" s="830" t="s">
        <v>8</v>
      </c>
      <c r="AX113" s="836" cm="1">
        <f t="array" ref="AX113">SUMPRODUCT(CK5:CK104,L5:L104,(S5:S104=1)*1,(U5:U104="x")*1)</f>
        <v>0</v>
      </c>
      <c r="AZ113" t="s">
        <v>8</v>
      </c>
      <c r="BA113">
        <f>CQ105</f>
        <v>0</v>
      </c>
      <c r="BF113" s="627"/>
      <c r="BG113" s="749"/>
      <c r="BH113" s="749"/>
      <c r="BI113" s="749"/>
      <c r="BJ113" s="718"/>
      <c r="BK113" s="745"/>
      <c r="BL113"/>
    </row>
    <row r="114" spans="10:64" x14ac:dyDescent="0.2">
      <c r="K114" s="504"/>
      <c r="L114" s="504"/>
      <c r="M114" s="504"/>
      <c r="N114" s="504" t="s">
        <v>171</v>
      </c>
      <c r="O114" s="504"/>
      <c r="P114" s="39" t="s">
        <v>174</v>
      </c>
      <c r="Q114" s="39" t="s">
        <v>709</v>
      </c>
      <c r="R114" s="39"/>
      <c r="S114" s="36"/>
      <c r="T114" s="86" t="s">
        <v>1139</v>
      </c>
      <c r="U114" s="86"/>
      <c r="V114" s="86"/>
      <c r="W114" s="86"/>
      <c r="AZ114" t="s">
        <v>1440</v>
      </c>
      <c r="BA114">
        <f>'#orgDung'!AD9+'#minDung'!R6</f>
        <v>0</v>
      </c>
      <c r="BF114" s="750" t="s">
        <v>1625</v>
      </c>
      <c r="BG114" s="714"/>
      <c r="BI114" s="749"/>
      <c r="BJ114" s="718"/>
      <c r="BK114" s="745"/>
      <c r="BL114"/>
    </row>
    <row r="115" spans="10:64" x14ac:dyDescent="0.2">
      <c r="K115" s="504" t="s">
        <v>245</v>
      </c>
      <c r="L115" s="504"/>
      <c r="M115" s="504">
        <f>SUMIF(U5:U104,"x",L5:L104)</f>
        <v>0</v>
      </c>
      <c r="N115" s="504">
        <f>SUMIFS(L5:L104,R5:R104,1,U5:U104,"x")</f>
        <v>0</v>
      </c>
      <c r="O115" s="504"/>
      <c r="P115" s="504">
        <f t="shared" ref="P115:P122" si="86">M115-N115</f>
        <v>0</v>
      </c>
      <c r="Q115" s="504">
        <f>SUMIFS(L5:L104,U5:U104,"x",'Flächen u. Kulturen'!X10:X109,"OK")</f>
        <v>0</v>
      </c>
      <c r="R115" s="504"/>
      <c r="S115" s="36"/>
      <c r="T115" s="36">
        <f>SUMIFS(L5:L104,U5:U104,"x",'Flächen u. Kulturen'!X10:X109,"OK",R5:R104,1)</f>
        <v>0</v>
      </c>
      <c r="U115" s="36"/>
      <c r="V115" s="36"/>
      <c r="W115" s="36"/>
      <c r="AW115" s="835" t="s">
        <v>1544</v>
      </c>
      <c r="AX115">
        <f>AX111+AX113</f>
        <v>0</v>
      </c>
      <c r="AZ115" s="748" t="s">
        <v>1542</v>
      </c>
      <c r="BA115" s="748">
        <f>SUM(BA111:BA114)</f>
        <v>0</v>
      </c>
      <c r="BF115" s="627"/>
      <c r="BG115" s="714"/>
      <c r="BH115" s="749"/>
      <c r="BI115" s="749"/>
      <c r="BJ115" s="718"/>
      <c r="BK115" s="749"/>
      <c r="BL115" s="749"/>
    </row>
    <row r="116" spans="10:64" x14ac:dyDescent="0.2">
      <c r="K116" s="39" t="s">
        <v>268</v>
      </c>
      <c r="L116" s="82"/>
      <c r="M116" s="504">
        <f>SUMIFS(L5:L104,U5:U104,"x",N5:N104,1)</f>
        <v>0</v>
      </c>
      <c r="N116" s="504">
        <f>SUMIFS(L5:L104,R5:R104,1,N5:N104,1,U5:U104,"x")</f>
        <v>0</v>
      </c>
      <c r="O116" s="504"/>
      <c r="P116" s="504">
        <f t="shared" si="86"/>
        <v>0</v>
      </c>
      <c r="Q116" s="504">
        <f>SUMIFS(L5:L104,N5:N104,1,'Flächen u. Kulturen'!X10:X109,"OK",U5:U104,"x")</f>
        <v>0</v>
      </c>
      <c r="R116" s="504"/>
      <c r="S116" s="36"/>
      <c r="T116" s="36"/>
      <c r="U116" s="36"/>
      <c r="V116" s="36"/>
      <c r="W116" s="36"/>
      <c r="AW116" s="838" t="s">
        <v>1548</v>
      </c>
      <c r="AX116" cm="1">
        <f t="array" ref="AX116">SUMPRODUCT(BB5:$BB$104,$L$5:$L$104,(U5:U104="x")*1)+SUMPRODUCT(CL5:CL104,L5:L104,(U5:U104="x")*1)</f>
        <v>0</v>
      </c>
      <c r="AZ116" s="808"/>
      <c r="BF116" s="141" t="s">
        <v>1278</v>
      </c>
      <c r="BG116" s="714" cm="1">
        <f t="array" ref="BG116">SUMPRODUCT(BG5:BG104,L5:L104,(U5:U104="x")*1)</f>
        <v>0</v>
      </c>
      <c r="BH116" s="749" cm="1">
        <f t="array" ref="BH116">SUMPRODUCT(BG5:BG104,L5:L104,(U5:U104="x")*1,(R5:R104=1)*1)</f>
        <v>0</v>
      </c>
      <c r="BI116" s="718">
        <f>BG116-BH116</f>
        <v>0</v>
      </c>
      <c r="BJ116" s="718"/>
      <c r="BK116" s="745"/>
      <c r="BL116"/>
    </row>
    <row r="117" spans="10:64" x14ac:dyDescent="0.2">
      <c r="K117" s="504" t="s">
        <v>251</v>
      </c>
      <c r="L117" s="41"/>
      <c r="M117" s="504">
        <f>+SUMIFS(L5:L104,U5:U104,"x",N5:N104,2)</f>
        <v>0</v>
      </c>
      <c r="N117" s="504">
        <f>SUMIFS(L5:L104,N5:N104,2,R5:R104,1,U5:U104,"x")</f>
        <v>0</v>
      </c>
      <c r="O117" s="504"/>
      <c r="P117" s="504">
        <f t="shared" si="86"/>
        <v>0</v>
      </c>
      <c r="Q117" s="504">
        <f>+SUMIFS(L5:L104,N5:N104,2,'Flächen u. Kulturen'!X10:X109,"OK",U5:U104,"x")</f>
        <v>0</v>
      </c>
      <c r="R117" s="504"/>
      <c r="S117" s="36"/>
      <c r="T117" s="36"/>
      <c r="U117" s="36"/>
      <c r="V117" s="36"/>
      <c r="W117" s="36"/>
      <c r="AZ117" t="s">
        <v>1441</v>
      </c>
      <c r="BF117" s="141" t="s">
        <v>1448</v>
      </c>
      <c r="BG117" s="714">
        <f>BH117+BI117</f>
        <v>0</v>
      </c>
      <c r="BH117" s="718">
        <f>'#minDung'!O4</f>
        <v>0</v>
      </c>
      <c r="BI117" s="718">
        <f>'#minDung'!O5</f>
        <v>0</v>
      </c>
      <c r="BJ117" s="718"/>
      <c r="BK117" s="745"/>
      <c r="BL117"/>
    </row>
    <row r="118" spans="10:64" x14ac:dyDescent="0.2">
      <c r="K118" s="504" t="s">
        <v>246</v>
      </c>
      <c r="L118" s="41"/>
      <c r="M118" s="504">
        <f>SUMIFS(L5:L104,U5:U104,"x",N5:N104,3)</f>
        <v>0</v>
      </c>
      <c r="N118" s="504">
        <f>SUMIFS(L5:L104,R5:R104,1,N5:N104,3,U5:U104,"x")</f>
        <v>0</v>
      </c>
      <c r="O118" s="504"/>
      <c r="P118" s="504">
        <f t="shared" si="86"/>
        <v>0</v>
      </c>
      <c r="Q118" s="504">
        <f>SUMIFS(L5:L104,N5:N104,3,'Flächen u. Kulturen'!X10:X109,"OK",U5:U104,"x")</f>
        <v>0</v>
      </c>
      <c r="R118" s="504"/>
      <c r="S118" s="36"/>
      <c r="T118" s="36"/>
      <c r="U118" s="36"/>
      <c r="V118" s="36"/>
      <c r="W118" s="36"/>
      <c r="AW118" s="838" t="s">
        <v>1622</v>
      </c>
      <c r="AX118">
        <f>MAX(0,AX115*0.2)</f>
        <v>0</v>
      </c>
      <c r="AZ118" cm="1">
        <f t="array" ref="AZ118">SUMPRODUCT(BV5:BV104,L5:L104,(U5:U104="x")*1)</f>
        <v>0</v>
      </c>
      <c r="BF118" s="141" t="s">
        <v>1447</v>
      </c>
      <c r="BG118" s="714" cm="1">
        <f t="array" ref="BG118">SUMPRODUCT(CO5:CO104,L5:L104,(U5:U104="x")*1)</f>
        <v>0</v>
      </c>
      <c r="BH118" s="749" cm="1">
        <f t="array" ref="BH118">SUMPRODUCT(CO5:CO104,L5:L104,(U5:U104="x")*1,(R5:R104=1)*1)</f>
        <v>0</v>
      </c>
      <c r="BI118" s="749">
        <f>BG118-BH118</f>
        <v>0</v>
      </c>
      <c r="BJ118" s="718"/>
      <c r="BK118" s="745"/>
      <c r="BL118"/>
    </row>
    <row r="119" spans="10:64" x14ac:dyDescent="0.2">
      <c r="K119" s="40" t="s">
        <v>263</v>
      </c>
      <c r="L119" s="41"/>
      <c r="M119" s="40">
        <f>SUMIFS(L5:L104,U5:U104,"x",T5:T104,2)</f>
        <v>0</v>
      </c>
      <c r="N119" s="504">
        <f>SUMIFS(L5:L104,T5:T104,2,R5:R104,1,U5:U104,"x")</f>
        <v>0</v>
      </c>
      <c r="O119" s="504"/>
      <c r="P119" s="504">
        <f t="shared" si="86"/>
        <v>0</v>
      </c>
      <c r="Q119" s="504"/>
      <c r="R119" s="504"/>
      <c r="S119" s="36"/>
      <c r="T119" s="36"/>
      <c r="U119" s="36"/>
      <c r="V119" s="36"/>
      <c r="W119" s="36"/>
      <c r="BF119" s="141" t="s">
        <v>127</v>
      </c>
      <c r="BG119" s="714">
        <f>SUM(BG116:BG118)</f>
        <v>0</v>
      </c>
      <c r="BH119" s="749">
        <f>SUM(BH116:BH118)</f>
        <v>0</v>
      </c>
      <c r="BI119" s="749">
        <f>SUM(BI116:BI118)</f>
        <v>0</v>
      </c>
      <c r="BJ119" s="718"/>
      <c r="BK119" s="749">
        <f>IF($N$115=0,0,BH119/($N$115))</f>
        <v>0</v>
      </c>
      <c r="BL119" s="749">
        <f>IF($P$115=0,0,BI119/($P$115))</f>
        <v>0</v>
      </c>
    </row>
    <row r="120" spans="10:64" x14ac:dyDescent="0.2">
      <c r="K120" s="40" t="s">
        <v>247</v>
      </c>
      <c r="L120" s="41"/>
      <c r="M120" s="408">
        <f>SUMIFS(L5:L104,AF5:AF104,80,U5:U104,"x")</f>
        <v>0</v>
      </c>
      <c r="N120" s="40">
        <f>SUMIFS(L5:L104,R5:R104,1,AF5:AF104,80,U5:U104,"x")</f>
        <v>0</v>
      </c>
      <c r="O120" s="40"/>
      <c r="P120" s="504">
        <f t="shared" si="86"/>
        <v>0</v>
      </c>
      <c r="Q120" s="504"/>
      <c r="R120" s="504"/>
      <c r="S120" s="40"/>
      <c r="T120" s="40"/>
      <c r="U120" s="40"/>
      <c r="V120" s="40"/>
      <c r="W120" s="40"/>
      <c r="AW120" s="882" t="s">
        <v>307</v>
      </c>
      <c r="AX120">
        <f>SUMPRODUCT(BH5:$BH$104,$L$5:$L$104)+SUMPRODUCT($CP$5:$CP$104,$L$5:$L$104)</f>
        <v>0</v>
      </c>
      <c r="AZ120" t="s">
        <v>1442</v>
      </c>
      <c r="BF120" s="141" t="s">
        <v>1627</v>
      </c>
      <c r="BG120" s="714"/>
      <c r="BH120" s="718">
        <f>BH119-AX116</f>
        <v>0</v>
      </c>
      <c r="BI120" s="718"/>
      <c r="BJ120" s="718"/>
      <c r="BK120" s="930">
        <f>IF($N$115=0,0,BH120/($N$115))</f>
        <v>0</v>
      </c>
      <c r="BL120"/>
    </row>
    <row r="121" spans="10:64" x14ac:dyDescent="0.2">
      <c r="K121" s="719" t="s">
        <v>248</v>
      </c>
      <c r="L121" s="41"/>
      <c r="M121" s="409">
        <f>SUMIFS(L5:L104,AF5:AF104,70,U5:U104,"x")</f>
        <v>0</v>
      </c>
      <c r="N121" s="719">
        <f>SUMIFS(L5:L104,R5:R104,1,AF5:AF104,70,U5:U104,"x")</f>
        <v>0</v>
      </c>
      <c r="O121" s="719"/>
      <c r="P121" s="504">
        <f t="shared" si="86"/>
        <v>0</v>
      </c>
      <c r="Q121" s="504"/>
      <c r="R121" s="504"/>
      <c r="S121" s="504"/>
      <c r="T121" s="40"/>
      <c r="U121" s="40"/>
      <c r="V121" s="40"/>
      <c r="W121" s="40"/>
      <c r="AZ121" t="s">
        <v>67</v>
      </c>
      <c r="BA121" cm="1">
        <f t="array" ref="BA121">SUMPRODUCT(AS5:AS104,L5:L104,(U5:U104="x")*1)*-1</f>
        <v>0</v>
      </c>
      <c r="BF121" s="627"/>
      <c r="BG121" s="714"/>
      <c r="BI121" s="718"/>
      <c r="BJ121" s="718"/>
      <c r="BK121" s="745"/>
      <c r="BL121"/>
    </row>
    <row r="122" spans="10:64" x14ac:dyDescent="0.2">
      <c r="K122" s="719" t="s">
        <v>252</v>
      </c>
      <c r="L122" s="41"/>
      <c r="M122" s="719">
        <f>SUMIFS(L5:L104,AF5:AF104,80,AG5:AG104,1,U5:U104,"x")</f>
        <v>0</v>
      </c>
      <c r="N122" s="719">
        <f>SUMIFS(L5:L104,AF5:AF104,80,AG5:AG104,1,R5:R104,1,U5:U104,"x")</f>
        <v>0</v>
      </c>
      <c r="O122" s="719"/>
      <c r="P122" s="504">
        <f t="shared" si="86"/>
        <v>0</v>
      </c>
      <c r="Q122" s="504"/>
      <c r="R122" s="504"/>
      <c r="S122" s="504"/>
      <c r="T122" s="40"/>
      <c r="U122" s="40"/>
      <c r="V122" s="40"/>
      <c r="W122" s="40"/>
      <c r="AZ122" t="s">
        <v>1426</v>
      </c>
      <c r="BA122" cm="1">
        <f t="array" ref="BA122">SUMPRODUCT(CJ5:CJ104,L5:L104,(U5:U104="x")*1)*-1</f>
        <v>0</v>
      </c>
      <c r="BF122" s="141" t="s">
        <v>2424</v>
      </c>
      <c r="BG122" s="714"/>
      <c r="BH122" s="627" cm="1">
        <f t="array" ref="BH122">SUMPRODUCT(AE5:AE104,L5:L104,(U5:U104="x")*1,(N5:N104&lt;3)*1,(R5:R104=1)*1)</f>
        <v>0</v>
      </c>
      <c r="BI122" s="749" cm="1">
        <f t="array" ref="BI122">SUMPRODUCT(AE5:AE104,L5:L104,(U5:U104="x")*1,(N5:N104&lt;3)*1,(R5:R104=2)*1)</f>
        <v>0</v>
      </c>
      <c r="BJ122" s="718"/>
      <c r="BK122" s="749">
        <f>IF(N116+N117=0,0,BH122/(N116+N117))</f>
        <v>0</v>
      </c>
      <c r="BL122" s="749">
        <f>IF(P116+P117=0,0,BI122/(P116+P117))</f>
        <v>0</v>
      </c>
    </row>
    <row r="123" spans="10:64" x14ac:dyDescent="0.2">
      <c r="K123" s="719" t="s">
        <v>262</v>
      </c>
      <c r="L123" s="719"/>
      <c r="M123" s="719"/>
      <c r="N123" s="719">
        <f>SUMIFS(L5:L104,R5:R104,1,Z5:Z104,1,U5:U104,"x")</f>
        <v>0</v>
      </c>
      <c r="O123" s="719"/>
      <c r="P123" s="504">
        <f>SUMIFS(L5:L104,R5:R104,2,Z5:Z104,1,U5:U104,"x")</f>
        <v>0</v>
      </c>
      <c r="Q123" s="504"/>
      <c r="R123" s="504"/>
      <c r="S123" s="504"/>
      <c r="T123" s="40"/>
      <c r="U123" s="40"/>
      <c r="V123" s="40"/>
      <c r="W123" s="40"/>
      <c r="AZ123" s="748" t="s">
        <v>127</v>
      </c>
      <c r="BA123" s="748">
        <f>BA121+BA122</f>
        <v>0</v>
      </c>
      <c r="BF123" s="627"/>
      <c r="BG123" s="714"/>
      <c r="BI123" s="718"/>
      <c r="BJ123" s="718"/>
    </row>
    <row r="124" spans="10:64" x14ac:dyDescent="0.2">
      <c r="K124" s="719"/>
      <c r="L124" s="719"/>
      <c r="M124" s="719"/>
      <c r="N124" s="719"/>
      <c r="O124" s="719"/>
      <c r="P124" s="719"/>
      <c r="Q124" s="719"/>
      <c r="R124" s="719"/>
      <c r="S124" s="719"/>
      <c r="T124" s="40"/>
      <c r="U124" s="40"/>
      <c r="V124" s="40"/>
      <c r="W124" s="40"/>
      <c r="BF124" s="627"/>
      <c r="BG124" s="714"/>
      <c r="BI124" s="718"/>
      <c r="BJ124" s="718"/>
    </row>
    <row r="125" spans="10:64" x14ac:dyDescent="0.2">
      <c r="BF125" s="718" t="s">
        <v>1624</v>
      </c>
    </row>
    <row r="126" spans="10:64" x14ac:dyDescent="0.2">
      <c r="K126" s="809" t="s">
        <v>1503</v>
      </c>
    </row>
    <row r="127" spans="10:64" x14ac:dyDescent="0.2">
      <c r="L127">
        <f>ROW()+1</f>
        <v>128</v>
      </c>
      <c r="BF127" s="141" t="s">
        <v>1278</v>
      </c>
      <c r="BG127" s="718" cm="1">
        <f t="array" ref="BG127">SUMPRODUCT(BJ5:BJ104,L5:L104,(U5:U104="x")*1,(BJ5:BJ104&gt;0)*1)</f>
        <v>0</v>
      </c>
      <c r="BH127" s="930" cm="1">
        <f t="array" ref="BH127">SUMPRODUCT(BJ5:BJ104,L5:L104,(U5:U104="x")*1,(R5:R104=1)*1,(BJ5:BJ104&gt;0)*1)</f>
        <v>0</v>
      </c>
      <c r="BI127" s="930">
        <f>BG127-BH127</f>
        <v>0</v>
      </c>
    </row>
    <row r="128" spans="10:64" x14ac:dyDescent="0.2">
      <c r="J128" s="758" t="s">
        <v>1505</v>
      </c>
      <c r="K128" s="806" t="s">
        <v>1504</v>
      </c>
      <c r="L128" s="806" t="s">
        <v>10</v>
      </c>
      <c r="BF128" s="141" t="s">
        <v>1448</v>
      </c>
      <c r="BG128" s="718">
        <f>BG117</f>
        <v>0</v>
      </c>
      <c r="BH128" s="930">
        <f>BH117</f>
        <v>0</v>
      </c>
      <c r="BI128" s="930">
        <f t="shared" ref="BI128" si="87">BI117</f>
        <v>0</v>
      </c>
    </row>
    <row r="129" spans="9:64" x14ac:dyDescent="0.2">
      <c r="I129" s="758">
        <v>1</v>
      </c>
      <c r="J129" s="758">
        <f>IF(L129=0,0,L129+0.00000000001*I129)</f>
        <v>0</v>
      </c>
      <c r="K129" s="165" t="str" cm="1">
        <f t="array" ref="K129:K494">Kulturen[HF]</f>
        <v xml:space="preserve"> --  </v>
      </c>
      <c r="L129">
        <f>SUMIFS($L$5:$L$104,'Flächen u. Kulturen'!$P$10:$P$109,'#BerechnungDBE'!K129,'Flächen u. Kulturen'!$E$10:$E$109,"x")</f>
        <v>0</v>
      </c>
      <c r="BF129" s="141" t="s">
        <v>1447</v>
      </c>
      <c r="BG129" s="718" cm="1">
        <f t="array" ref="BG129">SUMPRODUCT(CR5:CR104,L5:L104,(U5:U104="x")*1,(CR5:CR104&gt;0)*1)</f>
        <v>0</v>
      </c>
      <c r="BH129" s="718" cm="1">
        <f t="array" ref="BH129">SUMPRODUCT(CR5:CR104,L5:L104,(U5:U104="x")*1,(R5:R104=1)*1,(CR5:CR104&gt;0)*1)</f>
        <v>0</v>
      </c>
      <c r="BI129" s="930">
        <f>BG129-BH129</f>
        <v>0</v>
      </c>
    </row>
    <row r="130" spans="9:64" x14ac:dyDescent="0.2">
      <c r="I130" s="758">
        <v>2</v>
      </c>
      <c r="J130" s="938">
        <f t="shared" ref="J130:J193" si="88">IF(L130=0,0,L130+0.00000000001*I130)</f>
        <v>0</v>
      </c>
      <c r="K130" s="165" t="str">
        <v>#</v>
      </c>
      <c r="L130" s="938">
        <f>SUMIFS($L$5:$L$104,'Flächen u. Kulturen'!$P$10:$P$109,'#BerechnungDBE'!K130,'Flächen u. Kulturen'!$E$10:$E$109,"x")</f>
        <v>0</v>
      </c>
      <c r="BF130" s="141" t="s">
        <v>127</v>
      </c>
      <c r="BG130" s="930">
        <f>SUM(BG127:BG129)</f>
        <v>0</v>
      </c>
      <c r="BH130" s="930">
        <f>SUM(BH127:BH129)</f>
        <v>0</v>
      </c>
      <c r="BI130" s="930">
        <f>SUM(BI127:BI129)</f>
        <v>0</v>
      </c>
      <c r="BK130" s="930">
        <f>IF($N$115=0,0,BH130/($N$115))</f>
        <v>0</v>
      </c>
      <c r="BL130" s="930"/>
    </row>
    <row r="131" spans="9:64" x14ac:dyDescent="0.2">
      <c r="I131" s="758">
        <v>3</v>
      </c>
      <c r="J131" s="938">
        <f t="shared" si="88"/>
        <v>0</v>
      </c>
      <c r="K131" s="165" t="str">
        <v>#</v>
      </c>
      <c r="L131" s="938">
        <f>SUMIFS($L$5:$L$104,'Flächen u. Kulturen'!$P$10:$P$109,'#BerechnungDBE'!K131,'Flächen u. Kulturen'!$E$10:$E$109,"x")</f>
        <v>0</v>
      </c>
    </row>
    <row r="132" spans="9:64" x14ac:dyDescent="0.2">
      <c r="I132" s="807">
        <v>4</v>
      </c>
      <c r="J132" s="938">
        <f t="shared" si="88"/>
        <v>0</v>
      </c>
      <c r="K132" s="165" t="str">
        <v>#</v>
      </c>
      <c r="L132" s="938">
        <f>SUMIFS($L$5:$L$104,'Flächen u. Kulturen'!$P$10:$P$109,'#BerechnungDBE'!K132,'Flächen u. Kulturen'!$E$10:$E$109,"x")</f>
        <v>0</v>
      </c>
    </row>
    <row r="133" spans="9:64" x14ac:dyDescent="0.2">
      <c r="I133" s="807">
        <v>5</v>
      </c>
      <c r="J133" s="938">
        <f t="shared" si="88"/>
        <v>0</v>
      </c>
      <c r="K133" s="165" t="str">
        <v>#</v>
      </c>
      <c r="L133" s="938">
        <f>SUMIFS($L$5:$L$104,'Flächen u. Kulturen'!$P$10:$P$109,'#BerechnungDBE'!K133,'Flächen u. Kulturen'!$E$10:$E$109,"x")</f>
        <v>0</v>
      </c>
      <c r="BF133" s="930"/>
    </row>
    <row r="134" spans="9:64" x14ac:dyDescent="0.2">
      <c r="I134" s="807">
        <v>6</v>
      </c>
      <c r="J134" s="938">
        <f t="shared" si="88"/>
        <v>0</v>
      </c>
      <c r="K134" s="165" t="str">
        <v>#</v>
      </c>
      <c r="L134" s="938">
        <f>SUMIFS($L$5:$L$104,'Flächen u. Kulturen'!$P$10:$P$109,'#BerechnungDBE'!K134,'Flächen u. Kulturen'!$E$10:$E$109,"x")</f>
        <v>0</v>
      </c>
    </row>
    <row r="135" spans="9:64" x14ac:dyDescent="0.2">
      <c r="I135" s="807">
        <v>7</v>
      </c>
      <c r="J135" s="938">
        <f t="shared" si="88"/>
        <v>0</v>
      </c>
      <c r="K135" s="165" t="str">
        <v>#</v>
      </c>
      <c r="L135" s="938">
        <f>SUMIFS($L$5:$L$104,'Flächen u. Kulturen'!$P$10:$P$109,'#BerechnungDBE'!K135,'Flächen u. Kulturen'!$E$10:$E$109,"x")</f>
        <v>0</v>
      </c>
      <c r="BF135" s="141"/>
    </row>
    <row r="136" spans="9:64" x14ac:dyDescent="0.2">
      <c r="I136" s="807">
        <v>8</v>
      </c>
      <c r="J136" s="938">
        <f t="shared" si="88"/>
        <v>0</v>
      </c>
      <c r="K136" s="165" t="str">
        <v>#</v>
      </c>
      <c r="L136" s="938">
        <f>SUMIFS($L$5:$L$104,'Flächen u. Kulturen'!$P$10:$P$109,'#BerechnungDBE'!K136,'Flächen u. Kulturen'!$E$10:$E$109,"x")</f>
        <v>0</v>
      </c>
      <c r="BF136" s="141"/>
    </row>
    <row r="137" spans="9:64" x14ac:dyDescent="0.2">
      <c r="I137" s="807">
        <v>9</v>
      </c>
      <c r="J137" s="938">
        <f t="shared" si="88"/>
        <v>0</v>
      </c>
      <c r="K137" s="165" t="str">
        <v>#</v>
      </c>
      <c r="L137" s="938">
        <f>SUMIFS($L$5:$L$104,'Flächen u. Kulturen'!$P$10:$P$109,'#BerechnungDBE'!K137,'Flächen u. Kulturen'!$E$10:$E$109,"x")</f>
        <v>0</v>
      </c>
      <c r="BF137" s="141"/>
    </row>
    <row r="138" spans="9:64" x14ac:dyDescent="0.2">
      <c r="I138" s="807">
        <v>10</v>
      </c>
      <c r="J138" s="938">
        <f t="shared" si="88"/>
        <v>0</v>
      </c>
      <c r="K138" s="165" t="str">
        <v>#</v>
      </c>
      <c r="L138" s="938">
        <f>SUMIFS($L$5:$L$104,'Flächen u. Kulturen'!$P$10:$P$109,'#BerechnungDBE'!K138,'Flächen u. Kulturen'!$E$10:$E$109,"x")</f>
        <v>0</v>
      </c>
      <c r="BF138" s="141"/>
    </row>
    <row r="139" spans="9:64" x14ac:dyDescent="0.2">
      <c r="I139" s="807">
        <v>11</v>
      </c>
      <c r="J139" s="938">
        <f t="shared" si="88"/>
        <v>0</v>
      </c>
      <c r="K139" s="165" t="str">
        <v>#</v>
      </c>
      <c r="L139" s="938">
        <f>SUMIFS($L$5:$L$104,'Flächen u. Kulturen'!$P$10:$P$109,'#BerechnungDBE'!K139,'Flächen u. Kulturen'!$E$10:$E$109,"x")</f>
        <v>0</v>
      </c>
    </row>
    <row r="140" spans="9:64" x14ac:dyDescent="0.2">
      <c r="I140" s="807">
        <v>12</v>
      </c>
      <c r="J140" s="938">
        <f t="shared" si="88"/>
        <v>0</v>
      </c>
      <c r="K140" s="165" t="str">
        <v xml:space="preserve"> ++ nach Vorlage ++</v>
      </c>
      <c r="L140" s="938">
        <f>SUMIFS($L$5:$L$104,'Flächen u. Kulturen'!$P$10:$P$109,'#BerechnungDBE'!K140,'Flächen u. Kulturen'!$E$10:$E$109,"x")</f>
        <v>0</v>
      </c>
    </row>
    <row r="141" spans="9:64" x14ac:dyDescent="0.2">
      <c r="I141" s="807">
        <v>13</v>
      </c>
      <c r="J141" s="938">
        <f t="shared" si="88"/>
        <v>0</v>
      </c>
      <c r="K141" s="165" t="str">
        <v xml:space="preserve"> +++ Grünland +++</v>
      </c>
      <c r="L141" s="938">
        <f>SUMIFS($L$5:$L$104,'Flächen u. Kulturen'!$P$10:$P$109,'#BerechnungDBE'!K141,'Flächen u. Kulturen'!$E$10:$E$109,"x")</f>
        <v>0</v>
      </c>
    </row>
    <row r="142" spans="9:64" x14ac:dyDescent="0.2">
      <c r="I142" s="807">
        <v>14</v>
      </c>
      <c r="J142" s="938">
        <f t="shared" si="88"/>
        <v>0</v>
      </c>
      <c r="K142" s="165" t="str">
        <v>Streuwiese</v>
      </c>
      <c r="L142" s="938">
        <f>SUMIFS($L$5:$L$104,'Flächen u. Kulturen'!$P$10:$P$109,'#BerechnungDBE'!K142,'Flächen u. Kulturen'!$E$10:$E$109,"x")</f>
        <v>0</v>
      </c>
    </row>
    <row r="143" spans="9:64" x14ac:dyDescent="0.2">
      <c r="I143" s="807">
        <v>15</v>
      </c>
      <c r="J143" s="938">
        <f t="shared" si="88"/>
        <v>0</v>
      </c>
      <c r="K143" s="165" t="str">
        <v>ext. Grünland &lt; 5 % Legum.</v>
      </c>
      <c r="L143" s="938">
        <f>SUMIFS($L$5:$L$104,'Flächen u. Kulturen'!$P$10:$P$109,'#BerechnungDBE'!K143,'Flächen u. Kulturen'!$E$10:$E$109,"x")</f>
        <v>0</v>
      </c>
    </row>
    <row r="144" spans="9:64" x14ac:dyDescent="0.2">
      <c r="I144" s="807">
        <v>16</v>
      </c>
      <c r="J144" s="938">
        <f t="shared" si="88"/>
        <v>0</v>
      </c>
      <c r="K144" s="165" t="str">
        <v>ext. Grünland 5-10 % Legum.</v>
      </c>
      <c r="L144" s="938">
        <f>SUMIFS($L$5:$L$104,'Flächen u. Kulturen'!$P$10:$P$109,'#BerechnungDBE'!K144,'Flächen u. Kulturen'!$E$10:$E$109,"x")</f>
        <v>0</v>
      </c>
    </row>
    <row r="145" spans="9:12" x14ac:dyDescent="0.2">
      <c r="I145" s="807">
        <v>17</v>
      </c>
      <c r="J145" s="938">
        <f t="shared" si="88"/>
        <v>0</v>
      </c>
      <c r="K145" s="165" t="str">
        <v>ext. Grünland 10,1 -20 % Leg.</v>
      </c>
      <c r="L145" s="938">
        <f>SUMIFS($L$5:$L$104,'Flächen u. Kulturen'!$P$10:$P$109,'#BerechnungDBE'!K145,'Flächen u. Kulturen'!$E$10:$E$109,"x")</f>
        <v>0</v>
      </c>
    </row>
    <row r="146" spans="9:12" x14ac:dyDescent="0.2">
      <c r="I146" s="807">
        <v>18</v>
      </c>
      <c r="J146" s="938">
        <f t="shared" si="88"/>
        <v>0</v>
      </c>
      <c r="K146" s="165" t="str">
        <v>ext. Grünland &gt; 20 % Legum.</v>
      </c>
      <c r="L146" s="938">
        <f>SUMIFS($L$5:$L$104,'Flächen u. Kulturen'!$P$10:$P$109,'#BerechnungDBE'!K146,'Flächen u. Kulturen'!$E$10:$E$109,"x")</f>
        <v>0</v>
      </c>
    </row>
    <row r="147" spans="9:12" x14ac:dyDescent="0.2">
      <c r="I147" s="807">
        <v>19</v>
      </c>
      <c r="J147" s="938">
        <f t="shared" si="88"/>
        <v>0</v>
      </c>
      <c r="K147" s="165" t="str">
        <v>Almen &lt; 5 % Legum.</v>
      </c>
      <c r="L147" s="938">
        <f>SUMIFS($L$5:$L$104,'Flächen u. Kulturen'!$P$10:$P$109,'#BerechnungDBE'!K147,'Flächen u. Kulturen'!$E$10:$E$109,"x")</f>
        <v>0</v>
      </c>
    </row>
    <row r="148" spans="9:12" x14ac:dyDescent="0.2">
      <c r="I148" s="807">
        <v>20</v>
      </c>
      <c r="J148" s="938">
        <f t="shared" si="88"/>
        <v>0</v>
      </c>
      <c r="K148" s="165" t="str">
        <v>Almen 5-10 % Legum.</v>
      </c>
      <c r="L148" s="938">
        <f>SUMIFS($L$5:$L$104,'Flächen u. Kulturen'!$P$10:$P$109,'#BerechnungDBE'!K148,'Flächen u. Kulturen'!$E$10:$E$109,"x")</f>
        <v>0</v>
      </c>
    </row>
    <row r="149" spans="9:12" x14ac:dyDescent="0.2">
      <c r="I149" s="807">
        <v>21</v>
      </c>
      <c r="J149" s="938">
        <f t="shared" si="88"/>
        <v>0</v>
      </c>
      <c r="K149" s="165" t="str">
        <v>Almen 10,1 -20 % Leg.</v>
      </c>
      <c r="L149" s="938">
        <f>SUMIFS($L$5:$L$104,'Flächen u. Kulturen'!$P$10:$P$109,'#BerechnungDBE'!K149,'Flächen u. Kulturen'!$E$10:$E$109,"x")</f>
        <v>0</v>
      </c>
    </row>
    <row r="150" spans="9:12" x14ac:dyDescent="0.2">
      <c r="I150" s="807">
        <v>22</v>
      </c>
      <c r="J150" s="938">
        <f t="shared" si="88"/>
        <v>0</v>
      </c>
      <c r="K150" s="165" t="str">
        <v>Almen &gt; 20 % Legum.</v>
      </c>
      <c r="L150" s="938">
        <f>SUMIFS($L$5:$L$104,'Flächen u. Kulturen'!$P$10:$P$109,'#BerechnungDBE'!K150,'Flächen u. Kulturen'!$E$10:$E$109,"x")</f>
        <v>0</v>
      </c>
    </row>
    <row r="151" spans="9:12" x14ac:dyDescent="0.2">
      <c r="I151" s="807">
        <v>23</v>
      </c>
      <c r="J151" s="938">
        <f t="shared" si="88"/>
        <v>0</v>
      </c>
      <c r="K151" s="165" t="str">
        <v>Grünland &lt; 5 % Legum.</v>
      </c>
      <c r="L151" s="938">
        <f>SUMIFS($L$5:$L$104,'Flächen u. Kulturen'!$P$10:$P$109,'#BerechnungDBE'!K151,'Flächen u. Kulturen'!$E$10:$E$109,"x")</f>
        <v>0</v>
      </c>
    </row>
    <row r="152" spans="9:12" x14ac:dyDescent="0.2">
      <c r="I152" s="807">
        <v>24</v>
      </c>
      <c r="J152" s="938">
        <f t="shared" si="88"/>
        <v>0</v>
      </c>
      <c r="K152" s="165" t="str">
        <v>Grünland 5-10 % Legum.</v>
      </c>
      <c r="L152" s="938">
        <f>SUMIFS($L$5:$L$104,'Flächen u. Kulturen'!$P$10:$P$109,'#BerechnungDBE'!K152,'Flächen u. Kulturen'!$E$10:$E$109,"x")</f>
        <v>0</v>
      </c>
    </row>
    <row r="153" spans="9:12" x14ac:dyDescent="0.2">
      <c r="I153" s="807">
        <v>25</v>
      </c>
      <c r="J153" s="938">
        <f t="shared" si="88"/>
        <v>0</v>
      </c>
      <c r="K153" s="165" t="str">
        <v>Grünland 10,1 -20 % Leg.</v>
      </c>
      <c r="L153" s="938">
        <f>SUMIFS($L$5:$L$104,'Flächen u. Kulturen'!$P$10:$P$109,'#BerechnungDBE'!K153,'Flächen u. Kulturen'!$E$10:$E$109,"x")</f>
        <v>0</v>
      </c>
    </row>
    <row r="154" spans="9:12" x14ac:dyDescent="0.2">
      <c r="I154" s="807">
        <v>26</v>
      </c>
      <c r="J154" s="938">
        <f t="shared" si="88"/>
        <v>0</v>
      </c>
      <c r="K154" s="165" t="str">
        <v>Grünland &gt; 20 % Legum.</v>
      </c>
      <c r="L154" s="938">
        <f>SUMIFS($L$5:$L$104,'Flächen u. Kulturen'!$P$10:$P$109,'#BerechnungDBE'!K154,'Flächen u. Kulturen'!$E$10:$E$109,"x")</f>
        <v>0</v>
      </c>
    </row>
    <row r="155" spans="9:12" x14ac:dyDescent="0.2">
      <c r="I155" s="807">
        <v>27</v>
      </c>
      <c r="J155" s="938">
        <f t="shared" si="88"/>
        <v>0</v>
      </c>
      <c r="K155" s="165" t="str">
        <v>Stilllegung Grünland</v>
      </c>
      <c r="L155" s="938">
        <f>SUMIFS($L$5:$L$104,'Flächen u. Kulturen'!$P$10:$P$109,'#BerechnungDBE'!K155,'Flächen u. Kulturen'!$E$10:$E$109,"x")</f>
        <v>0</v>
      </c>
    </row>
    <row r="156" spans="9:12" x14ac:dyDescent="0.2">
      <c r="I156" s="807">
        <v>28</v>
      </c>
      <c r="J156" s="938">
        <f t="shared" si="88"/>
        <v>0</v>
      </c>
      <c r="K156" s="165" t="str">
        <v>+++Getreide+++</v>
      </c>
      <c r="L156" s="938">
        <f>SUMIFS($L$5:$L$104,'Flächen u. Kulturen'!$P$10:$P$109,'#BerechnungDBE'!K156,'Flächen u. Kulturen'!$E$10:$E$109,"x")</f>
        <v>0</v>
      </c>
    </row>
    <row r="157" spans="9:12" x14ac:dyDescent="0.2">
      <c r="I157" s="807">
        <v>29</v>
      </c>
      <c r="J157" s="938">
        <f t="shared" si="88"/>
        <v>0</v>
      </c>
      <c r="K157" s="165" t="str">
        <v>Winterweizen C-Sorte</v>
      </c>
      <c r="L157" s="938">
        <f>SUMIFS($L$5:$L$104,'Flächen u. Kulturen'!$P$10:$P$109,'#BerechnungDBE'!K157,'Flächen u. Kulturen'!$E$10:$E$109,"x")</f>
        <v>0</v>
      </c>
    </row>
    <row r="158" spans="9:12" x14ac:dyDescent="0.2">
      <c r="I158" s="807">
        <v>30</v>
      </c>
      <c r="J158" s="938">
        <f t="shared" si="88"/>
        <v>0</v>
      </c>
      <c r="K158" s="165" t="str">
        <v>Winterweizen A/B-Sorte</v>
      </c>
      <c r="L158" s="938">
        <f>SUMIFS($L$5:$L$104,'Flächen u. Kulturen'!$P$10:$P$109,'#BerechnungDBE'!K158,'Flächen u. Kulturen'!$E$10:$E$109,"x")</f>
        <v>0</v>
      </c>
    </row>
    <row r="159" spans="9:12" x14ac:dyDescent="0.2">
      <c r="I159" s="807">
        <v>31</v>
      </c>
      <c r="J159" s="938">
        <f t="shared" si="88"/>
        <v>0</v>
      </c>
      <c r="K159" s="165" t="str">
        <v>Winterweizen E-Sorte</v>
      </c>
      <c r="L159" s="938">
        <f>SUMIFS($L$5:$L$104,'Flächen u. Kulturen'!$P$10:$P$109,'#BerechnungDBE'!K159,'Flächen u. Kulturen'!$E$10:$E$109,"x")</f>
        <v>0</v>
      </c>
    </row>
    <row r="160" spans="9:12" x14ac:dyDescent="0.2">
      <c r="I160" s="807">
        <v>32</v>
      </c>
      <c r="J160" s="938">
        <f t="shared" si="88"/>
        <v>0</v>
      </c>
      <c r="K160" s="165" t="str">
        <v>Winterbrauweizen</v>
      </c>
      <c r="L160" s="938">
        <f>SUMIFS($L$5:$L$104,'Flächen u. Kulturen'!$P$10:$P$109,'#BerechnungDBE'!K160,'Flächen u. Kulturen'!$E$10:$E$109,"x")</f>
        <v>0</v>
      </c>
    </row>
    <row r="161" spans="9:12" x14ac:dyDescent="0.2">
      <c r="I161" s="807">
        <v>33</v>
      </c>
      <c r="J161" s="938">
        <f t="shared" si="88"/>
        <v>0</v>
      </c>
      <c r="K161" s="165" t="str">
        <v>Sommerweizen</v>
      </c>
      <c r="L161" s="938">
        <f>SUMIFS($L$5:$L$104,'Flächen u. Kulturen'!$P$10:$P$109,'#BerechnungDBE'!K161,'Flächen u. Kulturen'!$E$10:$E$109,"x")</f>
        <v>0</v>
      </c>
    </row>
    <row r="162" spans="9:12" x14ac:dyDescent="0.2">
      <c r="I162" s="807">
        <v>34</v>
      </c>
      <c r="J162" s="938">
        <f t="shared" si="88"/>
        <v>0</v>
      </c>
      <c r="K162" s="165" t="str">
        <v>Wintergerste mehrzeilig</v>
      </c>
      <c r="L162" s="938">
        <f>SUMIFS($L$5:$L$104,'Flächen u. Kulturen'!$P$10:$P$109,'#BerechnungDBE'!K162,'Flächen u. Kulturen'!$E$10:$E$109,"x")</f>
        <v>0</v>
      </c>
    </row>
    <row r="163" spans="9:12" x14ac:dyDescent="0.2">
      <c r="I163" s="807">
        <v>35</v>
      </c>
      <c r="J163" s="938">
        <f t="shared" si="88"/>
        <v>0</v>
      </c>
      <c r="K163" s="165" t="str">
        <v>Wintergerste zweizeilig</v>
      </c>
      <c r="L163" s="938">
        <f>SUMIFS($L$5:$L$104,'Flächen u. Kulturen'!$P$10:$P$109,'#BerechnungDBE'!K163,'Flächen u. Kulturen'!$E$10:$E$109,"x")</f>
        <v>0</v>
      </c>
    </row>
    <row r="164" spans="9:12" x14ac:dyDescent="0.2">
      <c r="I164" s="807">
        <v>36</v>
      </c>
      <c r="J164" s="938">
        <f t="shared" si="88"/>
        <v>0</v>
      </c>
      <c r="K164" s="165" t="str">
        <v>Winterbraugerste</v>
      </c>
      <c r="L164" s="938">
        <f>SUMIFS($L$5:$L$104,'Flächen u. Kulturen'!$P$10:$P$109,'#BerechnungDBE'!K164,'Flächen u. Kulturen'!$E$10:$E$109,"x")</f>
        <v>0</v>
      </c>
    </row>
    <row r="165" spans="9:12" x14ac:dyDescent="0.2">
      <c r="I165" s="807">
        <v>37</v>
      </c>
      <c r="J165" s="938">
        <f t="shared" si="88"/>
        <v>0</v>
      </c>
      <c r="K165" s="165" t="str">
        <v>Sommerfuttergerste</v>
      </c>
      <c r="L165" s="938">
        <f>SUMIFS($L$5:$L$104,'Flächen u. Kulturen'!$P$10:$P$109,'#BerechnungDBE'!K165,'Flächen u. Kulturen'!$E$10:$E$109,"x")</f>
        <v>0</v>
      </c>
    </row>
    <row r="166" spans="9:12" x14ac:dyDescent="0.2">
      <c r="I166" s="807">
        <v>38</v>
      </c>
      <c r="J166" s="938">
        <f t="shared" si="88"/>
        <v>0</v>
      </c>
      <c r="K166" s="165" t="str">
        <v>Sommerbraugerste</v>
      </c>
      <c r="L166" s="938">
        <f>SUMIFS($L$5:$L$104,'Flächen u. Kulturen'!$P$10:$P$109,'#BerechnungDBE'!K166,'Flächen u. Kulturen'!$E$10:$E$109,"x")</f>
        <v>0</v>
      </c>
    </row>
    <row r="167" spans="9:12" x14ac:dyDescent="0.2">
      <c r="I167" s="807">
        <v>39</v>
      </c>
      <c r="J167" s="938">
        <f t="shared" si="88"/>
        <v>0</v>
      </c>
      <c r="K167" s="165" t="str">
        <v>Winterroggen</v>
      </c>
      <c r="L167" s="938">
        <f>SUMIFS($L$5:$L$104,'Flächen u. Kulturen'!$P$10:$P$109,'#BerechnungDBE'!K167,'Flächen u. Kulturen'!$E$10:$E$109,"x")</f>
        <v>0</v>
      </c>
    </row>
    <row r="168" spans="9:12" x14ac:dyDescent="0.2">
      <c r="I168" s="807">
        <v>40</v>
      </c>
      <c r="J168" s="938">
        <f t="shared" si="88"/>
        <v>0</v>
      </c>
      <c r="K168" s="165" t="str">
        <v>Sommerroggen</v>
      </c>
      <c r="L168" s="938">
        <f>SUMIFS($L$5:$L$104,'Flächen u. Kulturen'!$P$10:$P$109,'#BerechnungDBE'!K168,'Flächen u. Kulturen'!$E$10:$E$109,"x")</f>
        <v>0</v>
      </c>
    </row>
    <row r="169" spans="9:12" x14ac:dyDescent="0.2">
      <c r="I169" s="807">
        <v>41</v>
      </c>
      <c r="J169" s="938">
        <f t="shared" si="88"/>
        <v>0</v>
      </c>
      <c r="K169" s="165" t="str">
        <v>Hafer</v>
      </c>
      <c r="L169" s="938">
        <f>SUMIFS($L$5:$L$104,'Flächen u. Kulturen'!$P$10:$P$109,'#BerechnungDBE'!K169,'Flächen u. Kulturen'!$E$10:$E$109,"x")</f>
        <v>0</v>
      </c>
    </row>
    <row r="170" spans="9:12" x14ac:dyDescent="0.2">
      <c r="I170" s="807">
        <v>42</v>
      </c>
      <c r="J170" s="938">
        <f t="shared" si="88"/>
        <v>0</v>
      </c>
      <c r="K170" s="165" t="str">
        <v>Triticale</v>
      </c>
      <c r="L170" s="938">
        <f>SUMIFS($L$5:$L$104,'Flächen u. Kulturen'!$P$10:$P$109,'#BerechnungDBE'!K170,'Flächen u. Kulturen'!$E$10:$E$109,"x")</f>
        <v>0</v>
      </c>
    </row>
    <row r="171" spans="9:12" x14ac:dyDescent="0.2">
      <c r="I171" s="807">
        <v>43</v>
      </c>
      <c r="J171" s="938">
        <f t="shared" si="88"/>
        <v>0</v>
      </c>
      <c r="K171" s="165" t="str">
        <v>Dinkel</v>
      </c>
      <c r="L171" s="938">
        <f>SUMIFS($L$5:$L$104,'Flächen u. Kulturen'!$P$10:$P$109,'#BerechnungDBE'!K171,'Flächen u. Kulturen'!$E$10:$E$109,"x")</f>
        <v>0</v>
      </c>
    </row>
    <row r="172" spans="9:12" x14ac:dyDescent="0.2">
      <c r="I172" s="807">
        <v>44</v>
      </c>
      <c r="J172" s="938">
        <f t="shared" si="88"/>
        <v>0</v>
      </c>
      <c r="K172" s="165" t="str">
        <v>Emmer/Einkorn</v>
      </c>
      <c r="L172" s="938">
        <f>SUMIFS($L$5:$L$104,'Flächen u. Kulturen'!$P$10:$P$109,'#BerechnungDBE'!K172,'Flächen u. Kulturen'!$E$10:$E$109,"x")</f>
        <v>0</v>
      </c>
    </row>
    <row r="173" spans="9:12" x14ac:dyDescent="0.2">
      <c r="I173" s="807">
        <v>45</v>
      </c>
      <c r="J173" s="938">
        <f t="shared" si="88"/>
        <v>0</v>
      </c>
      <c r="K173" s="165" t="str">
        <v>Hartweizen (Durum)</v>
      </c>
      <c r="L173" s="938">
        <f>SUMIFS($L$5:$L$104,'Flächen u. Kulturen'!$P$10:$P$109,'#BerechnungDBE'!K173,'Flächen u. Kulturen'!$E$10:$E$109,"x")</f>
        <v>0</v>
      </c>
    </row>
    <row r="174" spans="9:12" x14ac:dyDescent="0.2">
      <c r="I174" s="807">
        <v>46</v>
      </c>
      <c r="J174" s="938">
        <f t="shared" si="88"/>
        <v>0</v>
      </c>
      <c r="K174" s="165" t="str">
        <v>+++Körnermais, sonstige Körnernutzung+++</v>
      </c>
      <c r="L174" s="938">
        <f>SUMIFS($L$5:$L$104,'Flächen u. Kulturen'!$P$10:$P$109,'#BerechnungDBE'!K174,'Flächen u. Kulturen'!$E$10:$E$109,"x")</f>
        <v>0</v>
      </c>
    </row>
    <row r="175" spans="9:12" x14ac:dyDescent="0.2">
      <c r="I175" s="807">
        <v>47</v>
      </c>
      <c r="J175" s="938">
        <f t="shared" si="88"/>
        <v>0</v>
      </c>
      <c r="K175" s="165" t="str">
        <v>Körnermais</v>
      </c>
      <c r="L175" s="938">
        <f>SUMIFS($L$5:$L$104,'Flächen u. Kulturen'!$P$10:$P$109,'#BerechnungDBE'!K175,'Flächen u. Kulturen'!$E$10:$E$109,"x")</f>
        <v>0</v>
      </c>
    </row>
    <row r="176" spans="9:12" x14ac:dyDescent="0.2">
      <c r="I176" s="807">
        <v>48</v>
      </c>
      <c r="J176" s="938">
        <f t="shared" si="88"/>
        <v>0</v>
      </c>
      <c r="K176" s="165" t="str">
        <v>Hirse</v>
      </c>
      <c r="L176" s="938">
        <f>SUMIFS($L$5:$L$104,'Flächen u. Kulturen'!$P$10:$P$109,'#BerechnungDBE'!K176,'Flächen u. Kulturen'!$E$10:$E$109,"x")</f>
        <v>0</v>
      </c>
    </row>
    <row r="177" spans="9:12" x14ac:dyDescent="0.2">
      <c r="I177" s="807">
        <v>49</v>
      </c>
      <c r="J177" s="938">
        <f t="shared" si="88"/>
        <v>0</v>
      </c>
      <c r="K177" s="165" t="str">
        <v>Amarant</v>
      </c>
      <c r="L177" s="938">
        <f>SUMIFS($L$5:$L$104,'Flächen u. Kulturen'!$P$10:$P$109,'#BerechnungDBE'!K177,'Flächen u. Kulturen'!$E$10:$E$109,"x")</f>
        <v>0</v>
      </c>
    </row>
    <row r="178" spans="9:12" x14ac:dyDescent="0.2">
      <c r="I178" s="807">
        <v>50</v>
      </c>
      <c r="J178" s="938">
        <f t="shared" si="88"/>
        <v>0</v>
      </c>
      <c r="K178" s="165" t="str">
        <v>Buchweizen</v>
      </c>
      <c r="L178" s="938">
        <f>SUMIFS($L$5:$L$104,'Flächen u. Kulturen'!$P$10:$P$109,'#BerechnungDBE'!K178,'Flächen u. Kulturen'!$E$10:$E$109,"x")</f>
        <v>0</v>
      </c>
    </row>
    <row r="179" spans="9:12" x14ac:dyDescent="0.2">
      <c r="I179" s="807">
        <v>51</v>
      </c>
      <c r="J179" s="938">
        <f t="shared" si="88"/>
        <v>0</v>
      </c>
      <c r="K179" s="165" t="str">
        <v>Quinoa</v>
      </c>
      <c r="L179" s="938">
        <f>SUMIFS($L$5:$L$104,'Flächen u. Kulturen'!$P$10:$P$109,'#BerechnungDBE'!K179,'Flächen u. Kulturen'!$E$10:$E$109,"x")</f>
        <v>0</v>
      </c>
    </row>
    <row r="180" spans="9:12" x14ac:dyDescent="0.2">
      <c r="I180" s="807">
        <v>52</v>
      </c>
      <c r="J180" s="938">
        <f t="shared" si="88"/>
        <v>0</v>
      </c>
      <c r="K180" s="165" t="str">
        <v>+++Körnerleguminosen+++</v>
      </c>
      <c r="L180" s="938">
        <f>SUMIFS($L$5:$L$104,'Flächen u. Kulturen'!$P$10:$P$109,'#BerechnungDBE'!K180,'Flächen u. Kulturen'!$E$10:$E$109,"x")</f>
        <v>0</v>
      </c>
    </row>
    <row r="181" spans="9:12" x14ac:dyDescent="0.2">
      <c r="I181" s="807">
        <v>53</v>
      </c>
      <c r="J181" s="938">
        <f t="shared" si="88"/>
        <v>0</v>
      </c>
      <c r="K181" s="165" t="str">
        <v>Ackerbohnen</v>
      </c>
      <c r="L181" s="938">
        <f>SUMIFS($L$5:$L$104,'Flächen u. Kulturen'!$P$10:$P$109,'#BerechnungDBE'!K181,'Flächen u. Kulturen'!$E$10:$E$109,"x")</f>
        <v>0</v>
      </c>
    </row>
    <row r="182" spans="9:12" x14ac:dyDescent="0.2">
      <c r="I182" s="807">
        <v>54</v>
      </c>
      <c r="J182" s="938">
        <f t="shared" si="88"/>
        <v>0</v>
      </c>
      <c r="K182" s="165" t="str">
        <v>Erbsen</v>
      </c>
      <c r="L182" s="938">
        <f>SUMIFS($L$5:$L$104,'Flächen u. Kulturen'!$P$10:$P$109,'#BerechnungDBE'!K182,'Flächen u. Kulturen'!$E$10:$E$109,"x")</f>
        <v>0</v>
      </c>
    </row>
    <row r="183" spans="9:12" x14ac:dyDescent="0.2">
      <c r="I183" s="807">
        <v>55</v>
      </c>
      <c r="J183" s="938">
        <f t="shared" si="88"/>
        <v>0</v>
      </c>
      <c r="K183" s="165" t="str">
        <v>Wicken</v>
      </c>
      <c r="L183" s="938">
        <f>SUMIFS($L$5:$L$104,'Flächen u. Kulturen'!$P$10:$P$109,'#BerechnungDBE'!K183,'Flächen u. Kulturen'!$E$10:$E$109,"x")</f>
        <v>0</v>
      </c>
    </row>
    <row r="184" spans="9:12" x14ac:dyDescent="0.2">
      <c r="I184" s="807">
        <v>56</v>
      </c>
      <c r="J184" s="938">
        <f t="shared" si="88"/>
        <v>0</v>
      </c>
      <c r="K184" s="165" t="str">
        <v>Lupinen blau</v>
      </c>
      <c r="L184" s="938">
        <f>SUMIFS($L$5:$L$104,'Flächen u. Kulturen'!$P$10:$P$109,'#BerechnungDBE'!K184,'Flächen u. Kulturen'!$E$10:$E$109,"x")</f>
        <v>0</v>
      </c>
    </row>
    <row r="185" spans="9:12" x14ac:dyDescent="0.2">
      <c r="I185" s="807">
        <v>57</v>
      </c>
      <c r="J185" s="938">
        <f t="shared" si="88"/>
        <v>0</v>
      </c>
      <c r="K185" s="165" t="str">
        <v>Linsen</v>
      </c>
      <c r="L185" s="938">
        <f>SUMIFS($L$5:$L$104,'Flächen u. Kulturen'!$P$10:$P$109,'#BerechnungDBE'!K185,'Flächen u. Kulturen'!$E$10:$E$109,"x")</f>
        <v>0</v>
      </c>
    </row>
    <row r="186" spans="9:12" x14ac:dyDescent="0.2">
      <c r="I186" s="807">
        <v>58</v>
      </c>
      <c r="J186" s="938">
        <f t="shared" si="88"/>
        <v>0</v>
      </c>
      <c r="K186" s="165" t="str">
        <v>Sojabohnen</v>
      </c>
      <c r="L186" s="938">
        <f>SUMIFS($L$5:$L$104,'Flächen u. Kulturen'!$P$10:$P$109,'#BerechnungDBE'!K186,'Flächen u. Kulturen'!$E$10:$E$109,"x")</f>
        <v>0</v>
      </c>
    </row>
    <row r="187" spans="9:12" x14ac:dyDescent="0.2">
      <c r="I187" s="807">
        <v>59</v>
      </c>
      <c r="J187" s="938">
        <f t="shared" si="88"/>
        <v>0</v>
      </c>
      <c r="K187" s="165" t="str">
        <v>+++Ölfrüchte+++</v>
      </c>
      <c r="L187" s="938">
        <f>SUMIFS($L$5:$L$104,'Flächen u. Kulturen'!$P$10:$P$109,'#BerechnungDBE'!K187,'Flächen u. Kulturen'!$E$10:$E$109,"x")</f>
        <v>0</v>
      </c>
    </row>
    <row r="188" spans="9:12" x14ac:dyDescent="0.2">
      <c r="I188" s="807">
        <v>60</v>
      </c>
      <c r="J188" s="938">
        <f t="shared" si="88"/>
        <v>0</v>
      </c>
      <c r="K188" s="165" t="str">
        <v>Winterraps</v>
      </c>
      <c r="L188" s="938">
        <f>SUMIFS($L$5:$L$104,'Flächen u. Kulturen'!$P$10:$P$109,'#BerechnungDBE'!K188,'Flächen u. Kulturen'!$E$10:$E$109,"x")</f>
        <v>0</v>
      </c>
    </row>
    <row r="189" spans="9:12" x14ac:dyDescent="0.2">
      <c r="I189" s="807">
        <v>61</v>
      </c>
      <c r="J189" s="938">
        <f t="shared" si="88"/>
        <v>0</v>
      </c>
      <c r="K189" s="165" t="str">
        <v>Sommerraps</v>
      </c>
      <c r="L189" s="938">
        <f>SUMIFS($L$5:$L$104,'Flächen u. Kulturen'!$P$10:$P$109,'#BerechnungDBE'!K189,'Flächen u. Kulturen'!$E$10:$E$109,"x")</f>
        <v>0</v>
      </c>
    </row>
    <row r="190" spans="9:12" x14ac:dyDescent="0.2">
      <c r="I190" s="807">
        <v>62</v>
      </c>
      <c r="J190" s="938">
        <f t="shared" si="88"/>
        <v>0</v>
      </c>
      <c r="K190" s="165" t="str">
        <v>Rübsen</v>
      </c>
      <c r="L190" s="938">
        <f>SUMIFS($L$5:$L$104,'Flächen u. Kulturen'!$P$10:$P$109,'#BerechnungDBE'!K190,'Flächen u. Kulturen'!$E$10:$E$109,"x")</f>
        <v>0</v>
      </c>
    </row>
    <row r="191" spans="9:12" x14ac:dyDescent="0.2">
      <c r="I191" s="807">
        <v>63</v>
      </c>
      <c r="J191" s="938">
        <f t="shared" si="88"/>
        <v>0</v>
      </c>
      <c r="K191" s="165" t="str">
        <v>Sonnenblumen</v>
      </c>
      <c r="L191" s="938">
        <f>SUMIFS($L$5:$L$104,'Flächen u. Kulturen'!$P$10:$P$109,'#BerechnungDBE'!K191,'Flächen u. Kulturen'!$E$10:$E$109,"x")</f>
        <v>0</v>
      </c>
    </row>
    <row r="192" spans="9:12" x14ac:dyDescent="0.2">
      <c r="I192" s="807">
        <v>64</v>
      </c>
      <c r="J192" s="938">
        <f t="shared" si="88"/>
        <v>0</v>
      </c>
      <c r="K192" s="165" t="str">
        <v>Körnersenf</v>
      </c>
      <c r="L192" s="938">
        <f>SUMIFS($L$5:$L$104,'Flächen u. Kulturen'!$P$10:$P$109,'#BerechnungDBE'!K192,'Flächen u. Kulturen'!$E$10:$E$109,"x")</f>
        <v>0</v>
      </c>
    </row>
    <row r="193" spans="9:12" x14ac:dyDescent="0.2">
      <c r="I193" s="807">
        <v>65</v>
      </c>
      <c r="J193" s="938">
        <f t="shared" si="88"/>
        <v>0</v>
      </c>
      <c r="K193" s="165" t="str">
        <v>Öllein, Faserflachs</v>
      </c>
      <c r="L193" s="938">
        <f>SUMIFS($L$5:$L$104,'Flächen u. Kulturen'!$P$10:$P$109,'#BerechnungDBE'!K193,'Flächen u. Kulturen'!$E$10:$E$109,"x")</f>
        <v>0</v>
      </c>
    </row>
    <row r="194" spans="9:12" x14ac:dyDescent="0.2">
      <c r="I194" s="807">
        <v>66</v>
      </c>
      <c r="J194" s="938">
        <f t="shared" ref="J194:J257" si="89">IF(L194=0,0,L194+0.00000000001*I194)</f>
        <v>0</v>
      </c>
      <c r="K194" s="165" t="str">
        <v>Leindotter</v>
      </c>
      <c r="L194" s="938">
        <f>SUMIFS($L$5:$L$104,'Flächen u. Kulturen'!$P$10:$P$109,'#BerechnungDBE'!K194,'Flächen u. Kulturen'!$E$10:$E$109,"x")</f>
        <v>0</v>
      </c>
    </row>
    <row r="195" spans="9:12" x14ac:dyDescent="0.2">
      <c r="I195" s="807">
        <v>67</v>
      </c>
      <c r="J195" s="938">
        <f t="shared" si="89"/>
        <v>0</v>
      </c>
      <c r="K195" s="165" t="str">
        <v>Körnerhanf</v>
      </c>
      <c r="L195" s="938">
        <f>SUMIFS($L$5:$L$104,'Flächen u. Kulturen'!$P$10:$P$109,'#BerechnungDBE'!K195,'Flächen u. Kulturen'!$E$10:$E$109,"x")</f>
        <v>0</v>
      </c>
    </row>
    <row r="196" spans="9:12" x14ac:dyDescent="0.2">
      <c r="I196" s="807">
        <v>68</v>
      </c>
      <c r="J196" s="938">
        <f t="shared" si="89"/>
        <v>0</v>
      </c>
      <c r="K196" s="165" t="str">
        <v>+++ Faserpflanzen+++</v>
      </c>
      <c r="L196" s="938">
        <f>SUMIFS($L$5:$L$104,'Flächen u. Kulturen'!$P$10:$P$109,'#BerechnungDBE'!K196,'Flächen u. Kulturen'!$E$10:$E$109,"x")</f>
        <v>0</v>
      </c>
    </row>
    <row r="197" spans="9:12" x14ac:dyDescent="0.2">
      <c r="I197" s="807">
        <v>69</v>
      </c>
      <c r="J197" s="938">
        <f t="shared" si="89"/>
        <v>0</v>
      </c>
      <c r="K197" s="165" t="str">
        <v>Flachs (Faserlein)</v>
      </c>
      <c r="L197" s="938">
        <f>SUMIFS($L$5:$L$104,'Flächen u. Kulturen'!$P$10:$P$109,'#BerechnungDBE'!K197,'Flächen u. Kulturen'!$E$10:$E$109,"x")</f>
        <v>0</v>
      </c>
    </row>
    <row r="198" spans="9:12" x14ac:dyDescent="0.2">
      <c r="I198" s="807">
        <v>70</v>
      </c>
      <c r="J198" s="938">
        <f t="shared" si="89"/>
        <v>0</v>
      </c>
      <c r="K198" s="165" t="str">
        <v>Hanf</v>
      </c>
      <c r="L198" s="938">
        <f>SUMIFS($L$5:$L$104,'Flächen u. Kulturen'!$P$10:$P$109,'#BerechnungDBE'!K198,'Flächen u. Kulturen'!$E$10:$E$109,"x")</f>
        <v>0</v>
      </c>
    </row>
    <row r="199" spans="9:12" x14ac:dyDescent="0.2">
      <c r="I199" s="807">
        <v>71</v>
      </c>
      <c r="J199" s="938">
        <f t="shared" si="89"/>
        <v>0</v>
      </c>
      <c r="K199" s="165" t="str">
        <v>+++Hackfrüchte+++</v>
      </c>
      <c r="L199" s="938">
        <f>SUMIFS($L$5:$L$104,'Flächen u. Kulturen'!$P$10:$P$109,'#BerechnungDBE'!K199,'Flächen u. Kulturen'!$E$10:$E$109,"x")</f>
        <v>0</v>
      </c>
    </row>
    <row r="200" spans="9:12" x14ac:dyDescent="0.2">
      <c r="I200" s="807">
        <v>72</v>
      </c>
      <c r="J200" s="938">
        <f t="shared" si="89"/>
        <v>0</v>
      </c>
      <c r="K200" s="165" t="str">
        <v>Kartoffel (Speise, Stärke)</v>
      </c>
      <c r="L200" s="938">
        <f>SUMIFS($L$5:$L$104,'Flächen u. Kulturen'!$P$10:$P$109,'#BerechnungDBE'!K200,'Flächen u. Kulturen'!$E$10:$E$109,"x")</f>
        <v>0</v>
      </c>
    </row>
    <row r="201" spans="9:12" x14ac:dyDescent="0.2">
      <c r="I201" s="807">
        <v>73</v>
      </c>
      <c r="J201" s="938">
        <f t="shared" si="89"/>
        <v>0</v>
      </c>
      <c r="K201" s="165" t="str">
        <v>Kartoffel (Veredelung)</v>
      </c>
      <c r="L201" s="938">
        <f>SUMIFS($L$5:$L$104,'Flächen u. Kulturen'!$P$10:$P$109,'#BerechnungDBE'!K201,'Flächen u. Kulturen'!$E$10:$E$109,"x")</f>
        <v>0</v>
      </c>
    </row>
    <row r="202" spans="9:12" x14ac:dyDescent="0.2">
      <c r="I202" s="807">
        <v>74</v>
      </c>
      <c r="J202" s="938">
        <f t="shared" si="89"/>
        <v>0</v>
      </c>
      <c r="K202" s="165" t="str">
        <v>Frühkartoffel</v>
      </c>
      <c r="L202" s="938">
        <f>SUMIFS($L$5:$L$104,'Flächen u. Kulturen'!$P$10:$P$109,'#BerechnungDBE'!K202,'Flächen u. Kulturen'!$E$10:$E$109,"x")</f>
        <v>0</v>
      </c>
    </row>
    <row r="203" spans="9:12" x14ac:dyDescent="0.2">
      <c r="I203" s="807">
        <v>75</v>
      </c>
      <c r="J203" s="938">
        <f t="shared" si="89"/>
        <v>0</v>
      </c>
      <c r="K203" s="165" t="str">
        <v>Zuckerrüben</v>
      </c>
      <c r="L203" s="938">
        <f>SUMIFS($L$5:$L$104,'Flächen u. Kulturen'!$P$10:$P$109,'#BerechnungDBE'!K203,'Flächen u. Kulturen'!$E$10:$E$109,"x")</f>
        <v>0</v>
      </c>
    </row>
    <row r="204" spans="9:12" x14ac:dyDescent="0.2">
      <c r="I204" s="807">
        <v>76</v>
      </c>
      <c r="J204" s="938">
        <f t="shared" si="89"/>
        <v>0</v>
      </c>
      <c r="K204" s="165" t="str">
        <v>Futter-, Runkelrüben</v>
      </c>
      <c r="L204" s="938">
        <f>SUMIFS($L$5:$L$104,'Flächen u. Kulturen'!$P$10:$P$109,'#BerechnungDBE'!K204,'Flächen u. Kulturen'!$E$10:$E$109,"x")</f>
        <v>0</v>
      </c>
    </row>
    <row r="205" spans="9:12" x14ac:dyDescent="0.2">
      <c r="I205" s="807">
        <v>77</v>
      </c>
      <c r="J205" s="938">
        <f t="shared" si="89"/>
        <v>0</v>
      </c>
      <c r="K205" s="165" t="str">
        <v>Kohl-, Steckrüben</v>
      </c>
      <c r="L205" s="938">
        <f>SUMIFS($L$5:$L$104,'Flächen u. Kulturen'!$P$10:$P$109,'#BerechnungDBE'!K205,'Flächen u. Kulturen'!$E$10:$E$109,"x")</f>
        <v>0</v>
      </c>
    </row>
    <row r="206" spans="9:12" x14ac:dyDescent="0.2">
      <c r="I206" s="807">
        <v>78</v>
      </c>
      <c r="J206" s="938">
        <f t="shared" si="89"/>
        <v>0</v>
      </c>
      <c r="K206" s="165" t="str">
        <v>+++Mehrschnittiger Feldfutterbau +++</v>
      </c>
      <c r="L206" s="938">
        <f>SUMIFS($L$5:$L$104,'Flächen u. Kulturen'!$P$10:$P$109,'#BerechnungDBE'!K206,'Flächen u. Kulturen'!$E$10:$E$109,"x")</f>
        <v>0</v>
      </c>
    </row>
    <row r="207" spans="9:12" x14ac:dyDescent="0.2">
      <c r="I207" s="807">
        <v>79</v>
      </c>
      <c r="J207" s="938">
        <f t="shared" si="89"/>
        <v>0</v>
      </c>
      <c r="K207" s="165" t="str">
        <v>Esparsette</v>
      </c>
      <c r="L207" s="938">
        <f>SUMIFS($L$5:$L$104,'Flächen u. Kulturen'!$P$10:$P$109,'#BerechnungDBE'!K207,'Flächen u. Kulturen'!$E$10:$E$109,"x")</f>
        <v>0</v>
      </c>
    </row>
    <row r="208" spans="9:12" x14ac:dyDescent="0.2">
      <c r="I208" s="807">
        <v>80</v>
      </c>
      <c r="J208" s="938">
        <f t="shared" si="89"/>
        <v>0</v>
      </c>
      <c r="K208" s="165" t="str">
        <v>Ackergras</v>
      </c>
      <c r="L208" s="938">
        <f>SUMIFS($L$5:$L$104,'Flächen u. Kulturen'!$P$10:$P$109,'#BerechnungDBE'!K208,'Flächen u. Kulturen'!$E$10:$E$109,"x")</f>
        <v>0</v>
      </c>
    </row>
    <row r="209" spans="9:12" x14ac:dyDescent="0.2">
      <c r="I209" s="807">
        <v>81</v>
      </c>
      <c r="J209" s="938">
        <f t="shared" si="89"/>
        <v>0</v>
      </c>
      <c r="K209" s="165" t="str">
        <v>Kleegras (30 % Klee)</v>
      </c>
      <c r="L209" s="938">
        <f>SUMIFS($L$5:$L$104,'Flächen u. Kulturen'!$P$10:$P$109,'#BerechnungDBE'!K209,'Flächen u. Kulturen'!$E$10:$E$109,"x")</f>
        <v>0</v>
      </c>
    </row>
    <row r="210" spans="9:12" x14ac:dyDescent="0.2">
      <c r="I210" s="807">
        <v>82</v>
      </c>
      <c r="J210" s="938">
        <f t="shared" si="89"/>
        <v>0</v>
      </c>
      <c r="K210" s="165" t="str">
        <v>Kleegras (50 % Klee)</v>
      </c>
      <c r="L210" s="938">
        <f>SUMIFS($L$5:$L$104,'Flächen u. Kulturen'!$P$10:$P$109,'#BerechnungDBE'!K210,'Flächen u. Kulturen'!$E$10:$E$109,"x")</f>
        <v>0</v>
      </c>
    </row>
    <row r="211" spans="9:12" x14ac:dyDescent="0.2">
      <c r="I211" s="807">
        <v>83</v>
      </c>
      <c r="J211" s="938">
        <f t="shared" si="89"/>
        <v>0</v>
      </c>
      <c r="K211" s="165" t="str">
        <v>Kleegras (70 % Klee)</v>
      </c>
      <c r="L211" s="938">
        <f>SUMIFS($L$5:$L$104,'Flächen u. Kulturen'!$P$10:$P$109,'#BerechnungDBE'!K211,'Flächen u. Kulturen'!$E$10:$E$109,"x")</f>
        <v>0</v>
      </c>
    </row>
    <row r="212" spans="9:12" x14ac:dyDescent="0.2">
      <c r="I212" s="807">
        <v>84</v>
      </c>
      <c r="J212" s="938">
        <f t="shared" si="89"/>
        <v>0</v>
      </c>
      <c r="K212" s="165" t="str">
        <v>Luzernegras (30 % Luz)</v>
      </c>
      <c r="L212" s="938">
        <f>SUMIFS($L$5:$L$104,'Flächen u. Kulturen'!$P$10:$P$109,'#BerechnungDBE'!K212,'Flächen u. Kulturen'!$E$10:$E$109,"x")</f>
        <v>0</v>
      </c>
    </row>
    <row r="213" spans="9:12" x14ac:dyDescent="0.2">
      <c r="I213" s="807">
        <v>85</v>
      </c>
      <c r="J213" s="938">
        <f t="shared" si="89"/>
        <v>0</v>
      </c>
      <c r="K213" s="165" t="str">
        <v>Luzernegras (50 % Luz)</v>
      </c>
      <c r="L213" s="938">
        <f>SUMIFS($L$5:$L$104,'Flächen u. Kulturen'!$P$10:$P$109,'#BerechnungDBE'!K213,'Flächen u. Kulturen'!$E$10:$E$109,"x")</f>
        <v>0</v>
      </c>
    </row>
    <row r="214" spans="9:12" x14ac:dyDescent="0.2">
      <c r="I214" s="807">
        <v>86</v>
      </c>
      <c r="J214" s="938">
        <f t="shared" si="89"/>
        <v>0</v>
      </c>
      <c r="K214" s="165" t="str">
        <v>Luzernegras (70 % Luz)</v>
      </c>
      <c r="L214" s="938">
        <f>SUMIFS($L$5:$L$104,'Flächen u. Kulturen'!$P$10:$P$109,'#BerechnungDBE'!K214,'Flächen u. Kulturen'!$E$10:$E$109,"x")</f>
        <v>0</v>
      </c>
    </row>
    <row r="215" spans="9:12" x14ac:dyDescent="0.2">
      <c r="I215" s="807">
        <v>87</v>
      </c>
      <c r="J215" s="938">
        <f t="shared" si="89"/>
        <v>0</v>
      </c>
      <c r="K215" s="165" t="str">
        <v>Klee (Reinkultur)</v>
      </c>
      <c r="L215" s="938">
        <f>SUMIFS($L$5:$L$104,'Flächen u. Kulturen'!$P$10:$P$109,'#BerechnungDBE'!K215,'Flächen u. Kulturen'!$E$10:$E$109,"x")</f>
        <v>0</v>
      </c>
    </row>
    <row r="216" spans="9:12" x14ac:dyDescent="0.2">
      <c r="I216" s="807">
        <v>88</v>
      </c>
      <c r="J216" s="938">
        <f t="shared" si="89"/>
        <v>0</v>
      </c>
      <c r="K216" s="165" t="str">
        <v>Luzerne (Reinkultur)</v>
      </c>
      <c r="L216" s="938">
        <f>SUMIFS($L$5:$L$104,'Flächen u. Kulturen'!$P$10:$P$109,'#BerechnungDBE'!K216,'Flächen u. Kulturen'!$E$10:$E$109,"x")</f>
        <v>0</v>
      </c>
    </row>
    <row r="217" spans="9:12" x14ac:dyDescent="0.2">
      <c r="I217" s="807">
        <v>89</v>
      </c>
      <c r="J217" s="938">
        <f t="shared" si="89"/>
        <v>0</v>
      </c>
      <c r="K217" s="165" t="str">
        <v>+++Futterpflanzen+++</v>
      </c>
      <c r="L217" s="938">
        <f>SUMIFS($L$5:$L$104,'Flächen u. Kulturen'!$P$10:$P$109,'#BerechnungDBE'!K217,'Flächen u. Kulturen'!$E$10:$E$109,"x")</f>
        <v>0</v>
      </c>
    </row>
    <row r="218" spans="9:12" x14ac:dyDescent="0.2">
      <c r="I218" s="807">
        <v>90</v>
      </c>
      <c r="J218" s="938">
        <f t="shared" si="89"/>
        <v>0</v>
      </c>
      <c r="K218" s="165" t="str">
        <v>Silomais (32 % TM)</v>
      </c>
      <c r="L218" s="938">
        <f>SUMIFS($L$5:$L$104,'Flächen u. Kulturen'!$P$10:$P$109,'#BerechnungDBE'!K218,'Flächen u. Kulturen'!$E$10:$E$109,"x")</f>
        <v>0</v>
      </c>
    </row>
    <row r="219" spans="9:12" x14ac:dyDescent="0.2">
      <c r="I219" s="807">
        <v>91</v>
      </c>
      <c r="J219" s="938">
        <f t="shared" si="89"/>
        <v>0</v>
      </c>
      <c r="K219" s="165" t="str">
        <v>Corn-Cop-Mix (CCM)</v>
      </c>
      <c r="L219" s="938">
        <f>SUMIFS($L$5:$L$104,'Flächen u. Kulturen'!$P$10:$P$109,'#BerechnungDBE'!K219,'Flächen u. Kulturen'!$E$10:$E$109,"x")</f>
        <v>0</v>
      </c>
    </row>
    <row r="220" spans="9:12" x14ac:dyDescent="0.2">
      <c r="I220" s="807">
        <v>92</v>
      </c>
      <c r="J220" s="938">
        <f t="shared" si="89"/>
        <v>0</v>
      </c>
      <c r="K220" s="165" t="str">
        <v>Lieschkolbensilage</v>
      </c>
      <c r="L220" s="938">
        <f>SUMIFS($L$5:$L$104,'Flächen u. Kulturen'!$P$10:$P$109,'#BerechnungDBE'!K220,'Flächen u. Kulturen'!$E$10:$E$109,"x")</f>
        <v>0</v>
      </c>
    </row>
    <row r="221" spans="9:12" x14ac:dyDescent="0.2">
      <c r="I221" s="807">
        <v>93</v>
      </c>
      <c r="J221" s="938">
        <f t="shared" si="89"/>
        <v>0</v>
      </c>
      <c r="K221" s="165" t="str">
        <v>GPS Weizen</v>
      </c>
      <c r="L221" s="938">
        <f>SUMIFS($L$5:$L$104,'Flächen u. Kulturen'!$P$10:$P$109,'#BerechnungDBE'!K221,'Flächen u. Kulturen'!$E$10:$E$109,"x")</f>
        <v>0</v>
      </c>
    </row>
    <row r="222" spans="9:12" x14ac:dyDescent="0.2">
      <c r="I222" s="807">
        <v>94</v>
      </c>
      <c r="J222" s="938">
        <f t="shared" si="89"/>
        <v>0</v>
      </c>
      <c r="K222" s="165" t="str">
        <v>GPS Wintergerste</v>
      </c>
      <c r="L222" s="938">
        <f>SUMIFS($L$5:$L$104,'Flächen u. Kulturen'!$P$10:$P$109,'#BerechnungDBE'!K222,'Flächen u. Kulturen'!$E$10:$E$109,"x")</f>
        <v>0</v>
      </c>
    </row>
    <row r="223" spans="9:12" x14ac:dyDescent="0.2">
      <c r="I223" s="807">
        <v>95</v>
      </c>
      <c r="J223" s="938">
        <f t="shared" si="89"/>
        <v>0</v>
      </c>
      <c r="K223" s="165" t="str">
        <v>GPS Sommergerste</v>
      </c>
      <c r="L223" s="938">
        <f>SUMIFS($L$5:$L$104,'Flächen u. Kulturen'!$P$10:$P$109,'#BerechnungDBE'!K223,'Flächen u. Kulturen'!$E$10:$E$109,"x")</f>
        <v>0</v>
      </c>
    </row>
    <row r="224" spans="9:12" x14ac:dyDescent="0.2">
      <c r="I224" s="807">
        <v>96</v>
      </c>
      <c r="J224" s="938">
        <f t="shared" si="89"/>
        <v>0</v>
      </c>
      <c r="K224" s="165" t="str">
        <v>GPS Triticale</v>
      </c>
      <c r="L224" s="938">
        <f>SUMIFS($L$5:$L$104,'Flächen u. Kulturen'!$P$10:$P$109,'#BerechnungDBE'!K224,'Flächen u. Kulturen'!$E$10:$E$109,"x")</f>
        <v>0</v>
      </c>
    </row>
    <row r="225" spans="9:12" x14ac:dyDescent="0.2">
      <c r="I225" s="807">
        <v>97</v>
      </c>
      <c r="J225" s="938">
        <f t="shared" si="89"/>
        <v>0</v>
      </c>
      <c r="K225" s="165" t="str">
        <v>GPS Roggen</v>
      </c>
      <c r="L225" s="938">
        <f>SUMIFS($L$5:$L$104,'Flächen u. Kulturen'!$P$10:$P$109,'#BerechnungDBE'!K225,'Flächen u. Kulturen'!$E$10:$E$109,"x")</f>
        <v>0</v>
      </c>
    </row>
    <row r="226" spans="9:12" x14ac:dyDescent="0.2">
      <c r="I226" s="807">
        <v>98</v>
      </c>
      <c r="J226" s="938">
        <f t="shared" si="89"/>
        <v>0</v>
      </c>
      <c r="K226" s="165" t="str">
        <v>GPS Hafer</v>
      </c>
      <c r="L226" s="938">
        <f>SUMIFS($L$5:$L$104,'Flächen u. Kulturen'!$P$10:$P$109,'#BerechnungDBE'!K226,'Flächen u. Kulturen'!$E$10:$E$109,"x")</f>
        <v>0</v>
      </c>
    </row>
    <row r="227" spans="9:12" x14ac:dyDescent="0.2">
      <c r="I227" s="807">
        <v>99</v>
      </c>
      <c r="J227" s="938">
        <f t="shared" si="89"/>
        <v>0</v>
      </c>
      <c r="K227" s="165" t="str">
        <v>GPS Lupinen</v>
      </c>
      <c r="L227" s="938">
        <f>SUMIFS($L$5:$L$104,'Flächen u. Kulturen'!$P$10:$P$109,'#BerechnungDBE'!K227,'Flächen u. Kulturen'!$E$10:$E$109,"x")</f>
        <v>0</v>
      </c>
    </row>
    <row r="228" spans="9:12" x14ac:dyDescent="0.2">
      <c r="I228" s="807">
        <v>100</v>
      </c>
      <c r="J228" s="938">
        <f t="shared" si="89"/>
        <v>0</v>
      </c>
      <c r="K228" s="165" t="str">
        <v>GPS Erbsen/Ackerb.</v>
      </c>
      <c r="L228" s="938">
        <f>SUMIFS($L$5:$L$104,'Flächen u. Kulturen'!$P$10:$P$109,'#BerechnungDBE'!K228,'Flächen u. Kulturen'!$E$10:$E$109,"x")</f>
        <v>0</v>
      </c>
    </row>
    <row r="229" spans="9:12" x14ac:dyDescent="0.2">
      <c r="I229" s="807">
        <v>101</v>
      </c>
      <c r="J229" s="938">
        <f t="shared" si="89"/>
        <v>0</v>
      </c>
      <c r="K229" s="165" t="str">
        <v>GPS Wicken</v>
      </c>
      <c r="L229" s="938">
        <f>SUMIFS($L$5:$L$104,'Flächen u. Kulturen'!$P$10:$P$109,'#BerechnungDBE'!K229,'Flächen u. Kulturen'!$E$10:$E$109,"x")</f>
        <v>0</v>
      </c>
    </row>
    <row r="230" spans="9:12" x14ac:dyDescent="0.2">
      <c r="I230" s="807">
        <v>102</v>
      </c>
      <c r="J230" s="938">
        <f t="shared" si="89"/>
        <v>0</v>
      </c>
      <c r="K230" s="165" t="str">
        <v>GPS Rübsen</v>
      </c>
      <c r="L230" s="938">
        <f>SUMIFS($L$5:$L$104,'Flächen u. Kulturen'!$P$10:$P$109,'#BerechnungDBE'!K230,'Flächen u. Kulturen'!$E$10:$E$109,"x")</f>
        <v>0</v>
      </c>
    </row>
    <row r="231" spans="9:12" x14ac:dyDescent="0.2">
      <c r="I231" s="807">
        <v>103</v>
      </c>
      <c r="J231" s="938">
        <f t="shared" si="89"/>
        <v>0</v>
      </c>
      <c r="K231" s="165" t="str">
        <v>GPS Winterraps</v>
      </c>
      <c r="L231" s="938">
        <f>SUMIFS($L$5:$L$104,'Flächen u. Kulturen'!$P$10:$P$109,'#BerechnungDBE'!K231,'Flächen u. Kulturen'!$E$10:$E$109,"x")</f>
        <v>0</v>
      </c>
    </row>
    <row r="232" spans="9:12" x14ac:dyDescent="0.2">
      <c r="I232" s="807">
        <v>104</v>
      </c>
      <c r="J232" s="938">
        <f t="shared" si="89"/>
        <v>0</v>
      </c>
      <c r="K232" s="165" t="str">
        <v>+++Energiepflanzen+++</v>
      </c>
      <c r="L232" s="938">
        <f>SUMIFS($L$5:$L$104,'Flächen u. Kulturen'!$P$10:$P$109,'#BerechnungDBE'!K232,'Flächen u. Kulturen'!$E$10:$E$109,"x")</f>
        <v>0</v>
      </c>
    </row>
    <row r="233" spans="9:12" x14ac:dyDescent="0.2">
      <c r="I233" s="807">
        <v>105</v>
      </c>
      <c r="J233" s="938">
        <f t="shared" si="89"/>
        <v>0</v>
      </c>
      <c r="K233" s="165" t="str">
        <v>Silphie (Ansaatjahr)</v>
      </c>
      <c r="L233" s="938">
        <f>SUMIFS($L$5:$L$104,'Flächen u. Kulturen'!$P$10:$P$109,'#BerechnungDBE'!K233,'Flächen u. Kulturen'!$E$10:$E$109,"x")</f>
        <v>0</v>
      </c>
    </row>
    <row r="234" spans="9:12" x14ac:dyDescent="0.2">
      <c r="I234" s="807">
        <v>106</v>
      </c>
      <c r="J234" s="938">
        <f t="shared" si="89"/>
        <v>0</v>
      </c>
      <c r="K234" s="165" t="str">
        <v>Silphie (ab 2. Standjahr)</v>
      </c>
      <c r="L234" s="938">
        <f>SUMIFS($L$5:$L$104,'Flächen u. Kulturen'!$P$10:$P$109,'#BerechnungDBE'!K234,'Flächen u. Kulturen'!$E$10:$E$109,"x")</f>
        <v>0</v>
      </c>
    </row>
    <row r="235" spans="9:12" x14ac:dyDescent="0.2">
      <c r="I235" s="807">
        <v>107</v>
      </c>
      <c r="J235" s="938">
        <f t="shared" si="89"/>
        <v>0</v>
      </c>
      <c r="K235" s="165" t="str">
        <v>Sorgumhirse</v>
      </c>
      <c r="L235" s="938">
        <f>SUMIFS($L$5:$L$104,'Flächen u. Kulturen'!$P$10:$P$109,'#BerechnungDBE'!K235,'Flächen u. Kulturen'!$E$10:$E$109,"x")</f>
        <v>0</v>
      </c>
    </row>
    <row r="236" spans="9:12" x14ac:dyDescent="0.2">
      <c r="I236" s="807">
        <v>108</v>
      </c>
      <c r="J236" s="938">
        <f t="shared" si="89"/>
        <v>0</v>
      </c>
      <c r="K236" s="165" t="str">
        <v>Sida (Virginiamalve)</v>
      </c>
      <c r="L236" s="938">
        <f>SUMIFS($L$5:$L$104,'Flächen u. Kulturen'!$P$10:$P$109,'#BerechnungDBE'!K236,'Flächen u. Kulturen'!$E$10:$E$109,"x")</f>
        <v>0</v>
      </c>
    </row>
    <row r="237" spans="9:12" x14ac:dyDescent="0.2">
      <c r="I237" s="807">
        <v>109</v>
      </c>
      <c r="J237" s="938">
        <f t="shared" si="89"/>
        <v>0</v>
      </c>
      <c r="K237" s="165" t="str">
        <v>Igniscum</v>
      </c>
      <c r="L237" s="938">
        <f>SUMIFS($L$5:$L$104,'Flächen u. Kulturen'!$P$10:$P$109,'#BerechnungDBE'!K237,'Flächen u. Kulturen'!$E$10:$E$109,"x")</f>
        <v>0</v>
      </c>
    </row>
    <row r="238" spans="9:12" x14ac:dyDescent="0.2">
      <c r="I238" s="807">
        <v>110</v>
      </c>
      <c r="J238" s="938">
        <f t="shared" si="89"/>
        <v>0</v>
      </c>
      <c r="K238" s="165" t="str">
        <v>Riesenweizengras (Szarvasi)</v>
      </c>
      <c r="L238" s="938">
        <f>SUMIFS($L$5:$L$104,'Flächen u. Kulturen'!$P$10:$P$109,'#BerechnungDBE'!K238,'Flächen u. Kulturen'!$E$10:$E$109,"x")</f>
        <v>0</v>
      </c>
    </row>
    <row r="239" spans="9:12" x14ac:dyDescent="0.2">
      <c r="I239" s="807">
        <v>111</v>
      </c>
      <c r="J239" s="938">
        <f t="shared" si="89"/>
        <v>0</v>
      </c>
      <c r="K239" s="165" t="str">
        <v>Chinaschilf (Miscanthus)</v>
      </c>
      <c r="L239" s="938">
        <f>SUMIFS($L$5:$L$104,'Flächen u. Kulturen'!$P$10:$P$109,'#BerechnungDBE'!K239,'Flächen u. Kulturen'!$E$10:$E$109,"x")</f>
        <v>0</v>
      </c>
    </row>
    <row r="240" spans="9:12" x14ac:dyDescent="0.2">
      <c r="I240" s="807">
        <v>112</v>
      </c>
      <c r="J240" s="938">
        <f t="shared" si="89"/>
        <v>0</v>
      </c>
      <c r="K240" s="165" t="str">
        <v>Switchgras</v>
      </c>
      <c r="L240" s="938">
        <f>SUMIFS($L$5:$L$104,'Flächen u. Kulturen'!$P$10:$P$109,'#BerechnungDBE'!K240,'Flächen u. Kulturen'!$E$10:$E$109,"x")</f>
        <v>0</v>
      </c>
    </row>
    <row r="241" spans="9:12" x14ac:dyDescent="0.2">
      <c r="I241" s="807">
        <v>113</v>
      </c>
      <c r="J241" s="938">
        <f t="shared" si="89"/>
        <v>0</v>
      </c>
      <c r="K241" s="165" t="str">
        <v>Rohrglanzgras</v>
      </c>
      <c r="L241" s="938">
        <f>SUMIFS($L$5:$L$104,'Flächen u. Kulturen'!$P$10:$P$109,'#BerechnungDBE'!K241,'Flächen u. Kulturen'!$E$10:$E$109,"x")</f>
        <v>0</v>
      </c>
    </row>
    <row r="242" spans="9:12" x14ac:dyDescent="0.2">
      <c r="I242" s="807">
        <v>114</v>
      </c>
      <c r="J242" s="938">
        <f t="shared" si="89"/>
        <v>0</v>
      </c>
      <c r="K242" s="165" t="str">
        <v>GPS Sonnenblumen</v>
      </c>
      <c r="L242" s="938">
        <f>SUMIFS($L$5:$L$104,'Flächen u. Kulturen'!$P$10:$P$109,'#BerechnungDBE'!K242,'Flächen u. Kulturen'!$E$10:$E$109,"x")</f>
        <v>0</v>
      </c>
    </row>
    <row r="243" spans="9:12" x14ac:dyDescent="0.2">
      <c r="I243" s="807">
        <v>115</v>
      </c>
      <c r="J243" s="938">
        <f t="shared" si="89"/>
        <v>0</v>
      </c>
      <c r="K243" s="165" t="str">
        <v>GPS Amarant</v>
      </c>
      <c r="L243" s="938">
        <f>SUMIFS($L$5:$L$104,'Flächen u. Kulturen'!$P$10:$P$109,'#BerechnungDBE'!K243,'Flächen u. Kulturen'!$E$10:$E$109,"x")</f>
        <v>0</v>
      </c>
    </row>
    <row r="244" spans="9:12" x14ac:dyDescent="0.2">
      <c r="I244" s="807">
        <v>116</v>
      </c>
      <c r="J244" s="938">
        <f t="shared" si="89"/>
        <v>0</v>
      </c>
      <c r="K244" s="165" t="str">
        <v>GPS Buchweizen</v>
      </c>
      <c r="L244" s="938">
        <f>SUMIFS($L$5:$L$104,'Flächen u. Kulturen'!$P$10:$P$109,'#BerechnungDBE'!K244,'Flächen u. Kulturen'!$E$10:$E$109,"x")</f>
        <v>0</v>
      </c>
    </row>
    <row r="245" spans="9:12" x14ac:dyDescent="0.2">
      <c r="I245" s="807">
        <v>117</v>
      </c>
      <c r="J245" s="938">
        <f t="shared" si="89"/>
        <v>0</v>
      </c>
      <c r="K245" s="165" t="str">
        <v>GPS Quinoa</v>
      </c>
      <c r="L245" s="938">
        <f>SUMIFS($L$5:$L$104,'Flächen u. Kulturen'!$P$10:$P$109,'#BerechnungDBE'!K245,'Flächen u. Kulturen'!$E$10:$E$109,"x")</f>
        <v>0</v>
      </c>
    </row>
    <row r="246" spans="9:12" x14ac:dyDescent="0.2">
      <c r="I246" s="807">
        <v>118</v>
      </c>
      <c r="J246" s="938">
        <f t="shared" si="89"/>
        <v>0</v>
      </c>
      <c r="K246" s="165" t="str">
        <v>+++Vermehrungspflanzen+++</v>
      </c>
      <c r="L246" s="938">
        <f>SUMIFS($L$5:$L$104,'Flächen u. Kulturen'!$P$10:$P$109,'#BerechnungDBE'!K246,'Flächen u. Kulturen'!$E$10:$E$109,"x")</f>
        <v>0</v>
      </c>
    </row>
    <row r="247" spans="9:12" x14ac:dyDescent="0.2">
      <c r="I247" s="807">
        <v>119</v>
      </c>
      <c r="J247" s="938">
        <f t="shared" si="89"/>
        <v>0</v>
      </c>
      <c r="K247" s="165" t="str">
        <v>Grassamenvermehrung</v>
      </c>
      <c r="L247" s="938">
        <f>SUMIFS($L$5:$L$104,'Flächen u. Kulturen'!$P$10:$P$109,'#BerechnungDBE'!K247,'Flächen u. Kulturen'!$E$10:$E$109,"x")</f>
        <v>0</v>
      </c>
    </row>
    <row r="248" spans="9:12" x14ac:dyDescent="0.2">
      <c r="I248" s="807">
        <v>120</v>
      </c>
      <c r="J248" s="938">
        <f t="shared" si="89"/>
        <v>0</v>
      </c>
      <c r="K248" s="165" t="str">
        <v>Kleesamenvermehrung</v>
      </c>
      <c r="L248" s="938">
        <f>SUMIFS($L$5:$L$104,'Flächen u. Kulturen'!$P$10:$P$109,'#BerechnungDBE'!K248,'Flächen u. Kulturen'!$E$10:$E$109,"x")</f>
        <v>0</v>
      </c>
    </row>
    <row r="249" spans="9:12" x14ac:dyDescent="0.2">
      <c r="I249" s="807">
        <v>121</v>
      </c>
      <c r="J249" s="938">
        <f t="shared" si="89"/>
        <v>0</v>
      </c>
      <c r="K249" s="165" t="str">
        <v>Luzernesamenvermehrung</v>
      </c>
      <c r="L249" s="938">
        <f>SUMIFS($L$5:$L$104,'Flächen u. Kulturen'!$P$10:$P$109,'#BerechnungDBE'!K249,'Flächen u. Kulturen'!$E$10:$E$109,"x")</f>
        <v>0</v>
      </c>
    </row>
    <row r="250" spans="9:12" x14ac:dyDescent="0.2">
      <c r="I250" s="807">
        <v>122</v>
      </c>
      <c r="J250" s="938">
        <f t="shared" si="89"/>
        <v>0</v>
      </c>
      <c r="K250" s="165" t="str">
        <v>Phaceliasamenvermehrung</v>
      </c>
      <c r="L250" s="938">
        <f>SUMIFS($L$5:$L$104,'Flächen u. Kulturen'!$P$10:$P$109,'#BerechnungDBE'!K250,'Flächen u. Kulturen'!$E$10:$E$109,"x")</f>
        <v>0</v>
      </c>
    </row>
    <row r="251" spans="9:12" x14ac:dyDescent="0.2">
      <c r="I251" s="807">
        <v>123</v>
      </c>
      <c r="J251" s="938">
        <f t="shared" si="89"/>
        <v>0</v>
      </c>
      <c r="K251" s="165" t="str">
        <v>Wildkräutervermehr. (Legum.)</v>
      </c>
      <c r="L251" s="938">
        <f>SUMIFS($L$5:$L$104,'Flächen u. Kulturen'!$P$10:$P$109,'#BerechnungDBE'!K251,'Flächen u. Kulturen'!$E$10:$E$109,"x")</f>
        <v>0</v>
      </c>
    </row>
    <row r="252" spans="9:12" x14ac:dyDescent="0.2">
      <c r="I252" s="807">
        <v>124</v>
      </c>
      <c r="J252" s="938">
        <f t="shared" si="89"/>
        <v>0</v>
      </c>
      <c r="K252" s="165" t="str">
        <v>Wildkräuterverm. (Nichtleg.)</v>
      </c>
      <c r="L252" s="938">
        <f>SUMIFS($L$5:$L$104,'Flächen u. Kulturen'!$P$10:$P$109,'#BerechnungDBE'!K252,'Flächen u. Kulturen'!$E$10:$E$109,"x")</f>
        <v>0</v>
      </c>
    </row>
    <row r="253" spans="9:12" x14ac:dyDescent="0.2">
      <c r="I253" s="807">
        <v>125</v>
      </c>
      <c r="J253" s="938">
        <f t="shared" si="89"/>
        <v>0</v>
      </c>
      <c r="K253" s="165" t="str">
        <v>+++Dauerkulturen+++</v>
      </c>
      <c r="L253" s="938">
        <f>SUMIFS($L$5:$L$104,'Flächen u. Kulturen'!$P$10:$P$109,'#BerechnungDBE'!K253,'Flächen u. Kulturen'!$E$10:$E$109,"x")</f>
        <v>0</v>
      </c>
    </row>
    <row r="254" spans="9:12" x14ac:dyDescent="0.2">
      <c r="I254" s="807">
        <v>126</v>
      </c>
      <c r="J254" s="938">
        <f t="shared" si="89"/>
        <v>0</v>
      </c>
      <c r="K254" s="165" t="str">
        <v>Hopfen (ohne Herkules)</v>
      </c>
      <c r="L254" s="938">
        <f>SUMIFS($L$5:$L$104,'Flächen u. Kulturen'!$P$10:$P$109,'#BerechnungDBE'!K254,'Flächen u. Kulturen'!$E$10:$E$109,"x")</f>
        <v>0</v>
      </c>
    </row>
    <row r="255" spans="9:12" x14ac:dyDescent="0.2">
      <c r="I255" s="807">
        <v>127</v>
      </c>
      <c r="J255" s="938">
        <f t="shared" si="89"/>
        <v>0</v>
      </c>
      <c r="K255" s="165" t="str">
        <v>Hopfen (Herkules)</v>
      </c>
      <c r="L255" s="938">
        <f>SUMIFS($L$5:$L$104,'Flächen u. Kulturen'!$P$10:$P$109,'#BerechnungDBE'!K255,'Flächen u. Kulturen'!$E$10:$E$109,"x")</f>
        <v>0</v>
      </c>
    </row>
    <row r="256" spans="9:12" x14ac:dyDescent="0.2">
      <c r="I256" s="807">
        <v>128</v>
      </c>
      <c r="J256" s="938">
        <f t="shared" si="89"/>
        <v>0</v>
      </c>
      <c r="K256" s="165" t="str">
        <v>Topinambur</v>
      </c>
      <c r="L256" s="938">
        <f>SUMIFS($L$5:$L$104,'Flächen u. Kulturen'!$P$10:$P$109,'#BerechnungDBE'!K256,'Flächen u. Kulturen'!$E$10:$E$109,"x")</f>
        <v>0</v>
      </c>
    </row>
    <row r="257" spans="9:12" x14ac:dyDescent="0.2">
      <c r="I257" s="807">
        <v>129</v>
      </c>
      <c r="J257" s="938">
        <f t="shared" si="89"/>
        <v>0</v>
      </c>
      <c r="K257" s="165" t="str">
        <v>Tabak (Burley dachtrocken)</v>
      </c>
      <c r="L257" s="938">
        <f>SUMIFS($L$5:$L$104,'Flächen u. Kulturen'!$P$10:$P$109,'#BerechnungDBE'!K257,'Flächen u. Kulturen'!$E$10:$E$109,"x")</f>
        <v>0</v>
      </c>
    </row>
    <row r="258" spans="9:12" x14ac:dyDescent="0.2">
      <c r="I258" s="807">
        <v>130</v>
      </c>
      <c r="J258" s="938">
        <f t="shared" ref="J258:J321" si="90">IF(L258=0,0,L258+0.00000000001*I258)</f>
        <v>0</v>
      </c>
      <c r="K258" s="165" t="str">
        <v>Erdbeeren, Frühjahr</v>
      </c>
      <c r="L258" s="938">
        <f>SUMIFS($L$5:$L$104,'Flächen u. Kulturen'!$P$10:$P$109,'#BerechnungDBE'!K258,'Flächen u. Kulturen'!$E$10:$E$109,"x")</f>
        <v>0</v>
      </c>
    </row>
    <row r="259" spans="9:12" x14ac:dyDescent="0.2">
      <c r="I259" s="807">
        <v>131</v>
      </c>
      <c r="J259" s="938">
        <f t="shared" si="90"/>
        <v>0</v>
      </c>
      <c r="K259" s="165" t="str">
        <v>+++sonstiges+++</v>
      </c>
      <c r="L259" s="938">
        <f>SUMIFS($L$5:$L$104,'Flächen u. Kulturen'!$P$10:$P$109,'#BerechnungDBE'!K259,'Flächen u. Kulturen'!$E$10:$E$109,"x")</f>
        <v>0</v>
      </c>
    </row>
    <row r="260" spans="9:12" x14ac:dyDescent="0.2">
      <c r="I260" s="807">
        <v>132</v>
      </c>
      <c r="J260" s="938">
        <f t="shared" si="90"/>
        <v>0</v>
      </c>
      <c r="K260" s="165" t="str">
        <v>Pufferstreifen</v>
      </c>
      <c r="L260" s="938">
        <f>SUMIFS($L$5:$L$104,'Flächen u. Kulturen'!$P$10:$P$109,'#BerechnungDBE'!K260,'Flächen u. Kulturen'!$E$10:$E$109,"x")</f>
        <v>0</v>
      </c>
    </row>
    <row r="261" spans="9:12" x14ac:dyDescent="0.2">
      <c r="I261" s="807">
        <v>133</v>
      </c>
      <c r="J261" s="938">
        <f t="shared" si="90"/>
        <v>0</v>
      </c>
      <c r="K261" s="165" t="str">
        <v>Blühfläche, Blühstreifen</v>
      </c>
      <c r="L261" s="938">
        <f>SUMIFS($L$5:$L$104,'Flächen u. Kulturen'!$P$10:$P$109,'#BerechnungDBE'!K261,'Flächen u. Kulturen'!$E$10:$E$109,"x")</f>
        <v>0</v>
      </c>
    </row>
    <row r="262" spans="9:12" x14ac:dyDescent="0.2">
      <c r="I262" s="807">
        <v>134</v>
      </c>
      <c r="J262" s="938">
        <f t="shared" si="90"/>
        <v>0</v>
      </c>
      <c r="K262" s="165" t="str">
        <v>Brache</v>
      </c>
      <c r="L262" s="938">
        <f>SUMIFS($L$5:$L$104,'Flächen u. Kulturen'!$P$10:$P$109,'#BerechnungDBE'!K262,'Flächen u. Kulturen'!$E$10:$E$109,"x")</f>
        <v>0</v>
      </c>
    </row>
    <row r="263" spans="9:12" x14ac:dyDescent="0.2">
      <c r="I263" s="807">
        <v>135</v>
      </c>
      <c r="J263" s="938">
        <f t="shared" si="90"/>
        <v>0</v>
      </c>
      <c r="K263" s="165" t="str">
        <v>Stilllegung Acker</v>
      </c>
      <c r="L263" s="938">
        <f>SUMIFS($L$5:$L$104,'Flächen u. Kulturen'!$P$10:$P$109,'#BerechnungDBE'!K263,'Flächen u. Kulturen'!$E$10:$E$109,"x")</f>
        <v>0</v>
      </c>
    </row>
    <row r="264" spans="9:12" x14ac:dyDescent="0.2">
      <c r="I264" s="807">
        <v>136</v>
      </c>
      <c r="J264" s="938">
        <f t="shared" si="90"/>
        <v>0</v>
      </c>
      <c r="K264" s="165" t="str">
        <v>Dauerbrache (Nicht-LF)</v>
      </c>
      <c r="L264" s="938">
        <f>SUMIFS($L$5:$L$104,'Flächen u. Kulturen'!$P$10:$P$109,'#BerechnungDBE'!K264,'Flächen u. Kulturen'!$E$10:$E$109,"x")</f>
        <v>0</v>
      </c>
    </row>
    <row r="265" spans="9:12" x14ac:dyDescent="0.2">
      <c r="I265" s="807">
        <v>137</v>
      </c>
      <c r="J265" s="938">
        <f t="shared" si="90"/>
        <v>0</v>
      </c>
      <c r="K265" s="165" t="str">
        <v>Teichfläche (Nicht-LF)</v>
      </c>
      <c r="L265" s="938">
        <f>SUMIFS($L$5:$L$104,'Flächen u. Kulturen'!$P$10:$P$109,'#BerechnungDBE'!K265,'Flächen u. Kulturen'!$E$10:$E$109,"x")</f>
        <v>0</v>
      </c>
    </row>
    <row r="266" spans="9:12" x14ac:dyDescent="0.2">
      <c r="I266" s="807">
        <v>138</v>
      </c>
      <c r="J266" s="938">
        <f t="shared" si="90"/>
        <v>0</v>
      </c>
      <c r="K266" s="165" t="str">
        <v>Aufforstung (Nicht-LF)</v>
      </c>
      <c r="L266" s="938">
        <f>SUMIFS($L$5:$L$104,'Flächen u. Kulturen'!$P$10:$P$109,'#BerechnungDBE'!K266,'Flächen u. Kulturen'!$E$10:$E$109,"x")</f>
        <v>0</v>
      </c>
    </row>
    <row r="267" spans="9:12" x14ac:dyDescent="0.2">
      <c r="I267" s="807">
        <v>139</v>
      </c>
      <c r="J267" s="938">
        <f t="shared" si="90"/>
        <v>0</v>
      </c>
      <c r="K267" s="165" t="str">
        <v>Feldgehölz, Feldrain (Nicht-LF)</v>
      </c>
      <c r="L267" s="938">
        <f>SUMIFS($L$5:$L$104,'Flächen u. Kulturen'!$P$10:$P$109,'#BerechnungDBE'!K267,'Flächen u. Kulturen'!$E$10:$E$109,"x")</f>
        <v>0</v>
      </c>
    </row>
    <row r="268" spans="9:12" x14ac:dyDescent="0.2">
      <c r="I268" s="807">
        <v>140</v>
      </c>
      <c r="J268" s="938">
        <f t="shared" si="90"/>
        <v>0</v>
      </c>
      <c r="K268" s="165" t="str">
        <v>sonstige Fläche (Nicht-LF)</v>
      </c>
      <c r="L268" s="938">
        <f>SUMIFS($L$5:$L$104,'Flächen u. Kulturen'!$P$10:$P$109,'#BerechnungDBE'!K268,'Flächen u. Kulturen'!$E$10:$E$109,"x")</f>
        <v>0</v>
      </c>
    </row>
    <row r="269" spans="9:12" x14ac:dyDescent="0.2">
      <c r="I269" s="807">
        <v>141</v>
      </c>
      <c r="J269" s="938">
        <f t="shared" si="90"/>
        <v>0</v>
      </c>
      <c r="K269" s="165" t="str">
        <v>+++Gemüse+++</v>
      </c>
      <c r="L269" s="938">
        <f>SUMIFS($L$5:$L$104,'Flächen u. Kulturen'!$P$10:$P$109,'#BerechnungDBE'!K269,'Flächen u. Kulturen'!$E$10:$E$109,"x")</f>
        <v>0</v>
      </c>
    </row>
    <row r="270" spans="9:12" x14ac:dyDescent="0.2">
      <c r="I270" s="807">
        <v>142</v>
      </c>
      <c r="J270" s="938">
        <f t="shared" si="90"/>
        <v>0</v>
      </c>
      <c r="K270" s="165" t="str">
        <v>Artischocke</v>
      </c>
      <c r="L270" s="938">
        <f>SUMIFS($L$5:$L$104,'Flächen u. Kulturen'!$P$10:$P$109,'#BerechnungDBE'!K270,'Flächen u. Kulturen'!$E$10:$E$109,"x")</f>
        <v>0</v>
      </c>
    </row>
    <row r="271" spans="9:12" x14ac:dyDescent="0.2">
      <c r="I271" s="807">
        <v>143</v>
      </c>
      <c r="J271" s="938">
        <f t="shared" si="90"/>
        <v>0</v>
      </c>
      <c r="K271" s="165" t="str">
        <v>Auberginen</v>
      </c>
      <c r="L271" s="938">
        <f>SUMIFS($L$5:$L$104,'Flächen u. Kulturen'!$P$10:$P$109,'#BerechnungDBE'!K271,'Flächen u. Kulturen'!$E$10:$E$109,"x")</f>
        <v>0</v>
      </c>
    </row>
    <row r="272" spans="9:12" x14ac:dyDescent="0.2">
      <c r="I272" s="807">
        <v>144</v>
      </c>
      <c r="J272" s="938">
        <f t="shared" si="90"/>
        <v>0</v>
      </c>
      <c r="K272" s="165" t="str">
        <v>Blattsalate, grün</v>
      </c>
      <c r="L272" s="938">
        <f>SUMIFS($L$5:$L$104,'Flächen u. Kulturen'!$P$10:$P$109,'#BerechnungDBE'!K272,'Flächen u. Kulturen'!$E$10:$E$109,"x")</f>
        <v>0</v>
      </c>
    </row>
    <row r="273" spans="9:12" x14ac:dyDescent="0.2">
      <c r="I273" s="807">
        <v>145</v>
      </c>
      <c r="J273" s="938">
        <f t="shared" si="90"/>
        <v>0</v>
      </c>
      <c r="K273" s="165" t="str">
        <v>Blattsalate, rot</v>
      </c>
      <c r="L273" s="938">
        <f>SUMIFS($L$5:$L$104,'Flächen u. Kulturen'!$P$10:$P$109,'#BerechnungDBE'!K273,'Flächen u. Kulturen'!$E$10:$E$109,"x")</f>
        <v>0</v>
      </c>
    </row>
    <row r="274" spans="9:12" x14ac:dyDescent="0.2">
      <c r="I274" s="807">
        <v>146</v>
      </c>
      <c r="J274" s="938">
        <f t="shared" si="90"/>
        <v>0</v>
      </c>
      <c r="K274" s="165" t="str">
        <v>Blumenkohl</v>
      </c>
      <c r="L274" s="938">
        <f>SUMIFS($L$5:$L$104,'Flächen u. Kulturen'!$P$10:$P$109,'#BerechnungDBE'!K274,'Flächen u. Kulturen'!$E$10:$E$109,"x")</f>
        <v>0</v>
      </c>
    </row>
    <row r="275" spans="9:12" x14ac:dyDescent="0.2">
      <c r="I275" s="807">
        <v>147</v>
      </c>
      <c r="J275" s="938">
        <f t="shared" si="90"/>
        <v>0</v>
      </c>
      <c r="K275" s="165" t="str">
        <v>Brokkoli</v>
      </c>
      <c r="L275" s="938">
        <f>SUMIFS($L$5:$L$104,'Flächen u. Kulturen'!$P$10:$P$109,'#BerechnungDBE'!K275,'Flächen u. Kulturen'!$E$10:$E$109,"x")</f>
        <v>0</v>
      </c>
    </row>
    <row r="276" spans="9:12" x14ac:dyDescent="0.2">
      <c r="I276" s="807">
        <v>148</v>
      </c>
      <c r="J276" s="938">
        <f t="shared" si="90"/>
        <v>0</v>
      </c>
      <c r="K276" s="165" t="str">
        <v>Buschbohnen</v>
      </c>
      <c r="L276" s="938">
        <f>SUMIFS($L$5:$L$104,'Flächen u. Kulturen'!$P$10:$P$109,'#BerechnungDBE'!K276,'Flächen u. Kulturen'!$E$10:$E$109,"x")</f>
        <v>0</v>
      </c>
    </row>
    <row r="277" spans="9:12" x14ac:dyDescent="0.2">
      <c r="I277" s="807">
        <v>149</v>
      </c>
      <c r="J277" s="938">
        <f t="shared" si="90"/>
        <v>0</v>
      </c>
      <c r="K277" s="165" t="str">
        <v>Chicoréerüben</v>
      </c>
      <c r="L277" s="938">
        <f>SUMIFS($L$5:$L$104,'Flächen u. Kulturen'!$P$10:$P$109,'#BerechnungDBE'!K277,'Flächen u. Kulturen'!$E$10:$E$109,"x")</f>
        <v>0</v>
      </c>
    </row>
    <row r="278" spans="9:12" x14ac:dyDescent="0.2">
      <c r="I278" s="807">
        <v>150</v>
      </c>
      <c r="J278" s="938">
        <f t="shared" si="90"/>
        <v>0</v>
      </c>
      <c r="K278" s="165" t="str">
        <v>Chinakohl</v>
      </c>
      <c r="L278" s="938">
        <f>SUMIFS($L$5:$L$104,'Flächen u. Kulturen'!$P$10:$P$109,'#BerechnungDBE'!K278,'Flächen u. Kulturen'!$E$10:$E$109,"x")</f>
        <v>0</v>
      </c>
    </row>
    <row r="279" spans="9:12" x14ac:dyDescent="0.2">
      <c r="I279" s="807">
        <v>151</v>
      </c>
      <c r="J279" s="938">
        <f t="shared" si="90"/>
        <v>0</v>
      </c>
      <c r="K279" s="165" t="str">
        <v>Dicke Bohnen, ohne Hülsen</v>
      </c>
      <c r="L279" s="938">
        <f>SUMIFS($L$5:$L$104,'Flächen u. Kulturen'!$P$10:$P$109,'#BerechnungDBE'!K279,'Flächen u. Kulturen'!$E$10:$E$109,"x")</f>
        <v>0</v>
      </c>
    </row>
    <row r="280" spans="9:12" x14ac:dyDescent="0.2">
      <c r="I280" s="807">
        <v>152</v>
      </c>
      <c r="J280" s="938">
        <f t="shared" si="90"/>
        <v>0</v>
      </c>
      <c r="K280" s="165" t="str">
        <v>Eissalat</v>
      </c>
      <c r="L280" s="938">
        <f>SUMIFS($L$5:$L$104,'Flächen u. Kulturen'!$P$10:$P$109,'#BerechnungDBE'!K280,'Flächen u. Kulturen'!$E$10:$E$109,"x")</f>
        <v>0</v>
      </c>
    </row>
    <row r="281" spans="9:12" x14ac:dyDescent="0.2">
      <c r="I281" s="807">
        <v>153</v>
      </c>
      <c r="J281" s="938">
        <f t="shared" si="90"/>
        <v>0</v>
      </c>
      <c r="K281" s="165" t="str">
        <v>Endivie, Frisée</v>
      </c>
      <c r="L281" s="938">
        <f>SUMIFS($L$5:$L$104,'Flächen u. Kulturen'!$P$10:$P$109,'#BerechnungDBE'!K281,'Flächen u. Kulturen'!$E$10:$E$109,"x")</f>
        <v>0</v>
      </c>
    </row>
    <row r="282" spans="9:12" x14ac:dyDescent="0.2">
      <c r="I282" s="807">
        <v>154</v>
      </c>
      <c r="J282" s="938">
        <f t="shared" si="90"/>
        <v>0</v>
      </c>
      <c r="K282" s="165" t="str">
        <v>Endivie, glattblättrig</v>
      </c>
      <c r="L282" s="938">
        <f>SUMIFS($L$5:$L$104,'Flächen u. Kulturen'!$P$10:$P$109,'#BerechnungDBE'!K282,'Flächen u. Kulturen'!$E$10:$E$109,"x")</f>
        <v>0</v>
      </c>
    </row>
    <row r="283" spans="9:12" x14ac:dyDescent="0.2">
      <c r="I283" s="807">
        <v>155</v>
      </c>
      <c r="J283" s="938">
        <f t="shared" si="90"/>
        <v>0</v>
      </c>
      <c r="K283" s="165" t="str">
        <v>Feldsalat, Rapunzel</v>
      </c>
      <c r="L283" s="938">
        <f>SUMIFS($L$5:$L$104,'Flächen u. Kulturen'!$P$10:$P$109,'#BerechnungDBE'!K283,'Flächen u. Kulturen'!$E$10:$E$109,"x")</f>
        <v>0</v>
      </c>
    </row>
    <row r="284" spans="9:12" x14ac:dyDescent="0.2">
      <c r="I284" s="807">
        <v>156</v>
      </c>
      <c r="J284" s="938">
        <f t="shared" si="90"/>
        <v>0</v>
      </c>
      <c r="K284" s="165" t="str">
        <v>Feldsalat, großblättrig</v>
      </c>
      <c r="L284" s="938">
        <f>SUMIFS($L$5:$L$104,'Flächen u. Kulturen'!$P$10:$P$109,'#BerechnungDBE'!K284,'Flächen u. Kulturen'!$E$10:$E$109,"x")</f>
        <v>0</v>
      </c>
    </row>
    <row r="285" spans="9:12" x14ac:dyDescent="0.2">
      <c r="I285" s="807">
        <v>157</v>
      </c>
      <c r="J285" s="938">
        <f t="shared" si="90"/>
        <v>0</v>
      </c>
      <c r="K285" s="165" t="str">
        <v>Gemüseerbsen</v>
      </c>
      <c r="L285" s="938">
        <f>SUMIFS($L$5:$L$104,'Flächen u. Kulturen'!$P$10:$P$109,'#BerechnungDBE'!K285,'Flächen u. Kulturen'!$E$10:$E$109,"x")</f>
        <v>0</v>
      </c>
    </row>
    <row r="286" spans="9:12" x14ac:dyDescent="0.2">
      <c r="I286" s="807">
        <v>158</v>
      </c>
      <c r="J286" s="938">
        <f t="shared" si="90"/>
        <v>0</v>
      </c>
      <c r="K286" s="165" t="str">
        <v>Grünkohl</v>
      </c>
      <c r="L286" s="938">
        <f>SUMIFS($L$5:$L$104,'Flächen u. Kulturen'!$P$10:$P$109,'#BerechnungDBE'!K286,'Flächen u. Kulturen'!$E$10:$E$109,"x")</f>
        <v>0</v>
      </c>
    </row>
    <row r="287" spans="9:12" x14ac:dyDescent="0.2">
      <c r="I287" s="807">
        <v>159</v>
      </c>
      <c r="J287" s="938">
        <f t="shared" si="90"/>
        <v>0</v>
      </c>
      <c r="K287" s="165" t="str">
        <v>Gurke, Einlege-</v>
      </c>
      <c r="L287" s="938">
        <f>SUMIFS($L$5:$L$104,'Flächen u. Kulturen'!$P$10:$P$109,'#BerechnungDBE'!K287,'Flächen u. Kulturen'!$E$10:$E$109,"x")</f>
        <v>0</v>
      </c>
    </row>
    <row r="288" spans="9:12" x14ac:dyDescent="0.2">
      <c r="I288" s="807">
        <v>160</v>
      </c>
      <c r="J288" s="938">
        <f t="shared" si="90"/>
        <v>0</v>
      </c>
      <c r="K288" s="165" t="str">
        <v>Kichererbsen</v>
      </c>
      <c r="L288" s="938">
        <f>SUMIFS($L$5:$L$104,'Flächen u. Kulturen'!$P$10:$P$109,'#BerechnungDBE'!K288,'Flächen u. Kulturen'!$E$10:$E$109,"x")</f>
        <v>0</v>
      </c>
    </row>
    <row r="289" spans="9:12" x14ac:dyDescent="0.2">
      <c r="I289" s="807">
        <v>161</v>
      </c>
      <c r="J289" s="938">
        <f t="shared" si="90"/>
        <v>0</v>
      </c>
      <c r="K289" s="165" t="str">
        <v>Knollenfenchel</v>
      </c>
      <c r="L289" s="938">
        <f>SUMIFS($L$5:$L$104,'Flächen u. Kulturen'!$P$10:$P$109,'#BerechnungDBE'!K289,'Flächen u. Kulturen'!$E$10:$E$109,"x")</f>
        <v>0</v>
      </c>
    </row>
    <row r="290" spans="9:12" x14ac:dyDescent="0.2">
      <c r="I290" s="807">
        <v>162</v>
      </c>
      <c r="J290" s="938">
        <f t="shared" si="90"/>
        <v>0</v>
      </c>
      <c r="K290" s="165" t="str">
        <v>Kohlrabi</v>
      </c>
      <c r="L290" s="938">
        <f>SUMIFS($L$5:$L$104,'Flächen u. Kulturen'!$P$10:$P$109,'#BerechnungDBE'!K290,'Flächen u. Kulturen'!$E$10:$E$109,"x")</f>
        <v>0</v>
      </c>
    </row>
    <row r="291" spans="9:12" x14ac:dyDescent="0.2">
      <c r="I291" s="807">
        <v>163</v>
      </c>
      <c r="J291" s="938">
        <f t="shared" si="90"/>
        <v>0</v>
      </c>
      <c r="K291" s="165" t="str">
        <v>Kohlrübe</v>
      </c>
      <c r="L291" s="938">
        <f>SUMIFS($L$5:$L$104,'Flächen u. Kulturen'!$P$10:$P$109,'#BerechnungDBE'!K291,'Flächen u. Kulturen'!$E$10:$E$109,"x")</f>
        <v>0</v>
      </c>
    </row>
    <row r="292" spans="9:12" x14ac:dyDescent="0.2">
      <c r="I292" s="807">
        <v>164</v>
      </c>
      <c r="J292" s="938">
        <f t="shared" si="90"/>
        <v>0</v>
      </c>
      <c r="K292" s="165" t="str">
        <v>Kopfsalat</v>
      </c>
      <c r="L292" s="938">
        <f>SUMIFS($L$5:$L$104,'Flächen u. Kulturen'!$P$10:$P$109,'#BerechnungDBE'!K292,'Flächen u. Kulturen'!$E$10:$E$109,"x")</f>
        <v>0</v>
      </c>
    </row>
    <row r="293" spans="9:12" x14ac:dyDescent="0.2">
      <c r="I293" s="807">
        <v>165</v>
      </c>
      <c r="J293" s="938">
        <f t="shared" si="90"/>
        <v>0</v>
      </c>
      <c r="K293" s="165" t="str">
        <v>Kürbis, Hokkaido</v>
      </c>
      <c r="L293" s="938">
        <f>SUMIFS($L$5:$L$104,'Flächen u. Kulturen'!$P$10:$P$109,'#BerechnungDBE'!K293,'Flächen u. Kulturen'!$E$10:$E$109,"x")</f>
        <v>0</v>
      </c>
    </row>
    <row r="294" spans="9:12" x14ac:dyDescent="0.2">
      <c r="I294" s="807">
        <v>166</v>
      </c>
      <c r="J294" s="938">
        <f t="shared" si="90"/>
        <v>0</v>
      </c>
      <c r="K294" s="165" t="str">
        <v>Kürbis, Öl-</v>
      </c>
      <c r="L294" s="938">
        <f>SUMIFS($L$5:$L$104,'Flächen u. Kulturen'!$P$10:$P$109,'#BerechnungDBE'!K294,'Flächen u. Kulturen'!$E$10:$E$109,"x")</f>
        <v>0</v>
      </c>
    </row>
    <row r="295" spans="9:12" x14ac:dyDescent="0.2">
      <c r="I295" s="807">
        <v>167</v>
      </c>
      <c r="J295" s="938">
        <f t="shared" si="90"/>
        <v>0</v>
      </c>
      <c r="K295" s="165" t="str">
        <v>Kürbis, Speise-</v>
      </c>
      <c r="L295" s="938">
        <f>SUMIFS($L$5:$L$104,'Flächen u. Kulturen'!$P$10:$P$109,'#BerechnungDBE'!K295,'Flächen u. Kulturen'!$E$10:$E$109,"x")</f>
        <v>0</v>
      </c>
    </row>
    <row r="296" spans="9:12" x14ac:dyDescent="0.2">
      <c r="I296" s="807">
        <v>168</v>
      </c>
      <c r="J296" s="938">
        <f t="shared" si="90"/>
        <v>0</v>
      </c>
      <c r="K296" s="165" t="str">
        <v>Mangold</v>
      </c>
      <c r="L296" s="938">
        <f>SUMIFS($L$5:$L$104,'Flächen u. Kulturen'!$P$10:$P$109,'#BerechnungDBE'!K296,'Flächen u. Kulturen'!$E$10:$E$109,"x")</f>
        <v>0</v>
      </c>
    </row>
    <row r="297" spans="9:12" x14ac:dyDescent="0.2">
      <c r="I297" s="807">
        <v>169</v>
      </c>
      <c r="J297" s="938">
        <f t="shared" si="90"/>
        <v>0</v>
      </c>
      <c r="K297" s="165" t="str">
        <v>Melone, Wasser-</v>
      </c>
      <c r="L297" s="938">
        <f>SUMIFS($L$5:$L$104,'Flächen u. Kulturen'!$P$10:$P$109,'#BerechnungDBE'!K297,'Flächen u. Kulturen'!$E$10:$E$109,"x")</f>
        <v>0</v>
      </c>
    </row>
    <row r="298" spans="9:12" x14ac:dyDescent="0.2">
      <c r="I298" s="807">
        <v>170</v>
      </c>
      <c r="J298" s="938">
        <f t="shared" si="90"/>
        <v>0</v>
      </c>
      <c r="K298" s="165" t="str">
        <v>Melone, Zucker-, Honig-</v>
      </c>
      <c r="L298" s="938">
        <f>SUMIFS($L$5:$L$104,'Flächen u. Kulturen'!$P$10:$P$109,'#BerechnungDBE'!K298,'Flächen u. Kulturen'!$E$10:$E$109,"x")</f>
        <v>0</v>
      </c>
    </row>
    <row r="299" spans="9:12" x14ac:dyDescent="0.2">
      <c r="I299" s="807">
        <v>171</v>
      </c>
      <c r="J299" s="938">
        <f t="shared" si="90"/>
        <v>0</v>
      </c>
      <c r="K299" s="165" t="str">
        <v>Mairüben (mit Laub)</v>
      </c>
      <c r="L299" s="938">
        <f>SUMIFS($L$5:$L$104,'Flächen u. Kulturen'!$P$10:$P$109,'#BerechnungDBE'!K299,'Flächen u. Kulturen'!$E$10:$E$109,"x")</f>
        <v>0</v>
      </c>
    </row>
    <row r="300" spans="9:12" x14ac:dyDescent="0.2">
      <c r="I300" s="807">
        <v>172</v>
      </c>
      <c r="J300" s="938">
        <f t="shared" si="90"/>
        <v>0</v>
      </c>
      <c r="K300" s="165" t="str">
        <v>Markerbse, früh bis mittelfrüh</v>
      </c>
      <c r="L300" s="938">
        <f>SUMIFS($L$5:$L$104,'Flächen u. Kulturen'!$P$10:$P$109,'#BerechnungDBE'!K300,'Flächen u. Kulturen'!$E$10:$E$109,"x")</f>
        <v>0</v>
      </c>
    </row>
    <row r="301" spans="9:12" x14ac:dyDescent="0.2">
      <c r="I301" s="807">
        <v>173</v>
      </c>
      <c r="J301" s="938">
        <f t="shared" si="90"/>
        <v>0</v>
      </c>
      <c r="K301" s="165" t="str">
        <v>Markerbse, mittelspät</v>
      </c>
      <c r="L301" s="938">
        <f>SUMIFS($L$5:$L$104,'Flächen u. Kulturen'!$P$10:$P$109,'#BerechnungDBE'!K301,'Flächen u. Kulturen'!$E$10:$E$109,"x")</f>
        <v>0</v>
      </c>
    </row>
    <row r="302" spans="9:12" x14ac:dyDescent="0.2">
      <c r="I302" s="807">
        <v>174</v>
      </c>
      <c r="J302" s="938">
        <f t="shared" si="90"/>
        <v>0</v>
      </c>
      <c r="K302" s="165" t="str">
        <v>Möhren, Bund-</v>
      </c>
      <c r="L302" s="938">
        <f>SUMIFS($L$5:$L$104,'Flächen u. Kulturen'!$P$10:$P$109,'#BerechnungDBE'!K302,'Flächen u. Kulturen'!$E$10:$E$109,"x")</f>
        <v>0</v>
      </c>
    </row>
    <row r="303" spans="9:12" x14ac:dyDescent="0.2">
      <c r="I303" s="807">
        <v>175</v>
      </c>
      <c r="J303" s="938">
        <f t="shared" si="90"/>
        <v>0</v>
      </c>
      <c r="K303" s="165" t="str">
        <v>Möhren, Industrie-</v>
      </c>
      <c r="L303" s="938">
        <f>SUMIFS($L$5:$L$104,'Flächen u. Kulturen'!$P$10:$P$109,'#BerechnungDBE'!K303,'Flächen u. Kulturen'!$E$10:$E$109,"x")</f>
        <v>0</v>
      </c>
    </row>
    <row r="304" spans="9:12" x14ac:dyDescent="0.2">
      <c r="I304" s="807">
        <v>176</v>
      </c>
      <c r="J304" s="938">
        <f t="shared" si="90"/>
        <v>0</v>
      </c>
      <c r="K304" s="165" t="str">
        <v>Möhren, Wasch-</v>
      </c>
      <c r="L304" s="938">
        <f>SUMIFS($L$5:$L$104,'Flächen u. Kulturen'!$P$10:$P$109,'#BerechnungDBE'!K304,'Flächen u. Kulturen'!$E$10:$E$109,"x")</f>
        <v>0</v>
      </c>
    </row>
    <row r="305" spans="9:12" x14ac:dyDescent="0.2">
      <c r="I305" s="807">
        <v>177</v>
      </c>
      <c r="J305" s="938">
        <f t="shared" si="90"/>
        <v>0</v>
      </c>
      <c r="K305" s="165" t="str">
        <v>Pak Choi</v>
      </c>
      <c r="L305" s="938">
        <f>SUMIFS($L$5:$L$104,'Flächen u. Kulturen'!$P$10:$P$109,'#BerechnungDBE'!K305,'Flächen u. Kulturen'!$E$10:$E$109,"x")</f>
        <v>0</v>
      </c>
    </row>
    <row r="306" spans="9:12" x14ac:dyDescent="0.2">
      <c r="I306" s="807">
        <v>178</v>
      </c>
      <c r="J306" s="938">
        <f t="shared" si="90"/>
        <v>0</v>
      </c>
      <c r="K306" s="165" t="str">
        <v>Paprika</v>
      </c>
      <c r="L306" s="938">
        <f>SUMIFS($L$5:$L$104,'Flächen u. Kulturen'!$P$10:$P$109,'#BerechnungDBE'!K306,'Flächen u. Kulturen'!$E$10:$E$109,"x")</f>
        <v>0</v>
      </c>
    </row>
    <row r="307" spans="9:12" x14ac:dyDescent="0.2">
      <c r="I307" s="807">
        <v>179</v>
      </c>
      <c r="J307" s="938">
        <f t="shared" si="90"/>
        <v>0</v>
      </c>
      <c r="K307" s="165" t="str">
        <v>Pastinake</v>
      </c>
      <c r="L307" s="938">
        <f>SUMIFS($L$5:$L$104,'Flächen u. Kulturen'!$P$10:$P$109,'#BerechnungDBE'!K307,'Flächen u. Kulturen'!$E$10:$E$109,"x")</f>
        <v>0</v>
      </c>
    </row>
    <row r="308" spans="9:12" x14ac:dyDescent="0.2">
      <c r="I308" s="807">
        <v>180</v>
      </c>
      <c r="J308" s="938">
        <f t="shared" si="90"/>
        <v>0</v>
      </c>
      <c r="K308" s="165" t="str">
        <v>Petersilie, Wurzel-</v>
      </c>
      <c r="L308" s="938">
        <f>SUMIFS($L$5:$L$104,'Flächen u. Kulturen'!$P$10:$P$109,'#BerechnungDBE'!K308,'Flächen u. Kulturen'!$E$10:$E$109,"x")</f>
        <v>0</v>
      </c>
    </row>
    <row r="309" spans="9:12" x14ac:dyDescent="0.2">
      <c r="I309" s="807">
        <v>181</v>
      </c>
      <c r="J309" s="938">
        <f t="shared" si="90"/>
        <v>0</v>
      </c>
      <c r="K309" s="165" t="str">
        <v>Porree</v>
      </c>
      <c r="L309" s="938">
        <f>SUMIFS($L$5:$L$104,'Flächen u. Kulturen'!$P$10:$P$109,'#BerechnungDBE'!K309,'Flächen u. Kulturen'!$E$10:$E$109,"x")</f>
        <v>0</v>
      </c>
    </row>
    <row r="310" spans="9:12" x14ac:dyDescent="0.2">
      <c r="I310" s="807">
        <v>182</v>
      </c>
      <c r="J310" s="938">
        <f t="shared" si="90"/>
        <v>0</v>
      </c>
      <c r="K310" s="165" t="str">
        <v>Portulak Sommer bis 1. Schnitt</v>
      </c>
      <c r="L310" s="938">
        <f>SUMIFS($L$5:$L$104,'Flächen u. Kulturen'!$P$10:$P$109,'#BerechnungDBE'!K310,'Flächen u. Kulturen'!$E$10:$E$109,"x")</f>
        <v>0</v>
      </c>
    </row>
    <row r="311" spans="9:12" x14ac:dyDescent="0.2">
      <c r="I311" s="807">
        <v>183</v>
      </c>
      <c r="J311" s="938">
        <f t="shared" si="90"/>
        <v>0</v>
      </c>
      <c r="K311" s="165" t="str">
        <v>Portulak Sommer nach einem Schnitt</v>
      </c>
      <c r="L311" s="938">
        <f>SUMIFS($L$5:$L$104,'Flächen u. Kulturen'!$P$10:$P$109,'#BerechnungDBE'!K311,'Flächen u. Kulturen'!$E$10:$E$109,"x")</f>
        <v>0</v>
      </c>
    </row>
    <row r="312" spans="9:12" x14ac:dyDescent="0.2">
      <c r="I312" s="807">
        <v>184</v>
      </c>
      <c r="J312" s="938">
        <f t="shared" si="90"/>
        <v>0</v>
      </c>
      <c r="K312" s="165" t="str">
        <v>Portulak Winter bis 1. Schnitt</v>
      </c>
      <c r="L312" s="938">
        <f>SUMIFS($L$5:$L$104,'Flächen u. Kulturen'!$P$10:$P$109,'#BerechnungDBE'!K312,'Flächen u. Kulturen'!$E$10:$E$109,"x")</f>
        <v>0</v>
      </c>
    </row>
    <row r="313" spans="9:12" x14ac:dyDescent="0.2">
      <c r="I313" s="807">
        <v>185</v>
      </c>
      <c r="J313" s="938">
        <f t="shared" si="90"/>
        <v>0</v>
      </c>
      <c r="K313" s="165" t="str">
        <v>Portulak Winter nach einem Schnitt</v>
      </c>
      <c r="L313" s="938">
        <f>SUMIFS($L$5:$L$104,'Flächen u. Kulturen'!$P$10:$P$109,'#BerechnungDBE'!K313,'Flächen u. Kulturen'!$E$10:$E$109,"x")</f>
        <v>0</v>
      </c>
    </row>
    <row r="314" spans="9:12" x14ac:dyDescent="0.2">
      <c r="I314" s="807">
        <v>186</v>
      </c>
      <c r="J314" s="938">
        <f t="shared" si="90"/>
        <v>0</v>
      </c>
      <c r="K314" s="165" t="str">
        <v>Radicchio</v>
      </c>
      <c r="L314" s="938">
        <f>SUMIFS($L$5:$L$104,'Flächen u. Kulturen'!$P$10:$P$109,'#BerechnungDBE'!K314,'Flächen u. Kulturen'!$E$10:$E$109,"x")</f>
        <v>0</v>
      </c>
    </row>
    <row r="315" spans="9:12" x14ac:dyDescent="0.2">
      <c r="I315" s="807">
        <v>187</v>
      </c>
      <c r="J315" s="938">
        <f t="shared" si="90"/>
        <v>0</v>
      </c>
      <c r="K315" s="165" t="str">
        <v>Radies</v>
      </c>
      <c r="L315" s="938">
        <f>SUMIFS($L$5:$L$104,'Flächen u. Kulturen'!$P$10:$P$109,'#BerechnungDBE'!K315,'Flächen u. Kulturen'!$E$10:$E$109,"x")</f>
        <v>0</v>
      </c>
    </row>
    <row r="316" spans="9:12" x14ac:dyDescent="0.2">
      <c r="I316" s="807">
        <v>188</v>
      </c>
      <c r="J316" s="938">
        <f t="shared" si="90"/>
        <v>0</v>
      </c>
      <c r="K316" s="165" t="str">
        <v>Rettich, Bund-</v>
      </c>
      <c r="L316" s="938">
        <f>SUMIFS($L$5:$L$104,'Flächen u. Kulturen'!$P$10:$P$109,'#BerechnungDBE'!K316,'Flächen u. Kulturen'!$E$10:$E$109,"x")</f>
        <v>0</v>
      </c>
    </row>
    <row r="317" spans="9:12" x14ac:dyDescent="0.2">
      <c r="I317" s="807">
        <v>189</v>
      </c>
      <c r="J317" s="938">
        <f t="shared" si="90"/>
        <v>0</v>
      </c>
      <c r="K317" s="165" t="str">
        <v>Rettich, deutsch</v>
      </c>
      <c r="L317" s="938">
        <f>SUMIFS($L$5:$L$104,'Flächen u. Kulturen'!$P$10:$P$109,'#BerechnungDBE'!K317,'Flächen u. Kulturen'!$E$10:$E$109,"x")</f>
        <v>0</v>
      </c>
    </row>
    <row r="318" spans="9:12" x14ac:dyDescent="0.2">
      <c r="I318" s="807">
        <v>190</v>
      </c>
      <c r="J318" s="938">
        <f t="shared" si="90"/>
        <v>0</v>
      </c>
      <c r="K318" s="165" t="str">
        <v>Rettich, japanisch</v>
      </c>
      <c r="L318" s="938">
        <f>SUMIFS($L$5:$L$104,'Flächen u. Kulturen'!$P$10:$P$109,'#BerechnungDBE'!K318,'Flächen u. Kulturen'!$E$10:$E$109,"x")</f>
        <v>0</v>
      </c>
    </row>
    <row r="319" spans="9:12" x14ac:dyDescent="0.2">
      <c r="I319" s="807">
        <v>191</v>
      </c>
      <c r="J319" s="938">
        <f t="shared" si="90"/>
        <v>0</v>
      </c>
      <c r="K319" s="165" t="str">
        <v>Rhabarber 1. Standjahr</v>
      </c>
      <c r="L319" s="938">
        <f>SUMIFS($L$5:$L$104,'Flächen u. Kulturen'!$P$10:$P$109,'#BerechnungDBE'!K319,'Flächen u. Kulturen'!$E$10:$E$109,"x")</f>
        <v>0</v>
      </c>
    </row>
    <row r="320" spans="9:12" x14ac:dyDescent="0.2">
      <c r="I320" s="807">
        <v>192</v>
      </c>
      <c r="J320" s="938">
        <f t="shared" si="90"/>
        <v>0</v>
      </c>
      <c r="K320" s="165" t="str">
        <v>Rhabarber 2. Standjahr Austrieb</v>
      </c>
      <c r="L320" s="938">
        <f>SUMIFS($L$5:$L$104,'Flächen u. Kulturen'!$P$10:$P$109,'#BerechnungDBE'!K320,'Flächen u. Kulturen'!$E$10:$E$109,"x")</f>
        <v>0</v>
      </c>
    </row>
    <row r="321" spans="9:12" x14ac:dyDescent="0.2">
      <c r="I321" s="807">
        <v>193</v>
      </c>
      <c r="J321" s="938">
        <f t="shared" si="90"/>
        <v>0</v>
      </c>
      <c r="K321" s="165" t="str">
        <v>Rhabarber 3. Standjahr Austrieb</v>
      </c>
      <c r="L321" s="938">
        <f>SUMIFS($L$5:$L$104,'Flächen u. Kulturen'!$P$10:$P$109,'#BerechnungDBE'!K321,'Flächen u. Kulturen'!$E$10:$E$109,"x")</f>
        <v>0</v>
      </c>
    </row>
    <row r="322" spans="9:12" x14ac:dyDescent="0.2">
      <c r="I322" s="807">
        <v>194</v>
      </c>
      <c r="J322" s="938">
        <f t="shared" ref="J322:J385" si="91">IF(L322=0,0,L322+0.00000000001*I322)</f>
        <v>0</v>
      </c>
      <c r="K322" s="165" t="str">
        <v>Rhabarber ab 4. Standjahr Austr.</v>
      </c>
      <c r="L322" s="938">
        <f>SUMIFS($L$5:$L$104,'Flächen u. Kulturen'!$P$10:$P$109,'#BerechnungDBE'!K322,'Flächen u. Kulturen'!$E$10:$E$109,"x")</f>
        <v>0</v>
      </c>
    </row>
    <row r="323" spans="9:12" x14ac:dyDescent="0.2">
      <c r="I323" s="807">
        <v>195</v>
      </c>
      <c r="J323" s="938">
        <f t="shared" si="91"/>
        <v>0</v>
      </c>
      <c r="K323" s="165" t="str">
        <v>Rhabarber 2. Standj. nach Ernte</v>
      </c>
      <c r="L323" s="938">
        <f>SUMIFS($L$5:$L$104,'Flächen u. Kulturen'!$P$10:$P$109,'#BerechnungDBE'!K323,'Flächen u. Kulturen'!$E$10:$E$109,"x")</f>
        <v>0</v>
      </c>
    </row>
    <row r="324" spans="9:12" x14ac:dyDescent="0.2">
      <c r="I324" s="807">
        <v>196</v>
      </c>
      <c r="J324" s="938">
        <f t="shared" si="91"/>
        <v>0</v>
      </c>
      <c r="K324" s="165" t="str">
        <v>Rhabarber 3. Standj. nach Ernte</v>
      </c>
      <c r="L324" s="938">
        <f>SUMIFS($L$5:$L$104,'Flächen u. Kulturen'!$P$10:$P$109,'#BerechnungDBE'!K324,'Flächen u. Kulturen'!$E$10:$E$109,"x")</f>
        <v>0</v>
      </c>
    </row>
    <row r="325" spans="9:12" x14ac:dyDescent="0.2">
      <c r="I325" s="807">
        <v>197</v>
      </c>
      <c r="J325" s="938">
        <f t="shared" si="91"/>
        <v>0</v>
      </c>
      <c r="K325" s="165" t="str">
        <v>Rhabarber ab 4. Standj. n. Ernte</v>
      </c>
      <c r="L325" s="938">
        <f>SUMIFS($L$5:$L$104,'Flächen u. Kulturen'!$P$10:$P$109,'#BerechnungDBE'!K325,'Flächen u. Kulturen'!$E$10:$E$109,"x")</f>
        <v>0</v>
      </c>
    </row>
    <row r="326" spans="9:12" x14ac:dyDescent="0.2">
      <c r="I326" s="807">
        <v>198</v>
      </c>
      <c r="J326" s="938">
        <f t="shared" si="91"/>
        <v>0</v>
      </c>
      <c r="K326" s="165" t="str">
        <v>Romana</v>
      </c>
      <c r="L326" s="938">
        <f>SUMIFS($L$5:$L$104,'Flächen u. Kulturen'!$P$10:$P$109,'#BerechnungDBE'!K326,'Flächen u. Kulturen'!$E$10:$E$109,"x")</f>
        <v>0</v>
      </c>
    </row>
    <row r="327" spans="9:12" x14ac:dyDescent="0.2">
      <c r="I327" s="807">
        <v>199</v>
      </c>
      <c r="J327" s="938">
        <f t="shared" si="91"/>
        <v>0</v>
      </c>
      <c r="K327" s="165" t="str">
        <v>Romana, Herzen</v>
      </c>
      <c r="L327" s="938">
        <f>SUMIFS($L$5:$L$104,'Flächen u. Kulturen'!$P$10:$P$109,'#BerechnungDBE'!K327,'Flächen u. Kulturen'!$E$10:$E$109,"x")</f>
        <v>0</v>
      </c>
    </row>
    <row r="328" spans="9:12" x14ac:dyDescent="0.2">
      <c r="I328" s="807">
        <v>200</v>
      </c>
      <c r="J328" s="938">
        <f t="shared" si="91"/>
        <v>0</v>
      </c>
      <c r="K328" s="165" t="str">
        <v>Rosenkohl, nur Röschen</v>
      </c>
      <c r="L328" s="938">
        <f>SUMIFS($L$5:$L$104,'Flächen u. Kulturen'!$P$10:$P$109,'#BerechnungDBE'!K328,'Flächen u. Kulturen'!$E$10:$E$109,"x")</f>
        <v>0</v>
      </c>
    </row>
    <row r="329" spans="9:12" x14ac:dyDescent="0.2">
      <c r="I329" s="807">
        <v>201</v>
      </c>
      <c r="J329" s="938">
        <f t="shared" si="91"/>
        <v>0</v>
      </c>
      <c r="K329" s="165" t="str">
        <v>Rote Rüben</v>
      </c>
      <c r="L329" s="938">
        <f>SUMIFS($L$5:$L$104,'Flächen u. Kulturen'!$P$10:$P$109,'#BerechnungDBE'!K329,'Flächen u. Kulturen'!$E$10:$E$109,"x")</f>
        <v>0</v>
      </c>
    </row>
    <row r="330" spans="9:12" x14ac:dyDescent="0.2">
      <c r="I330" s="807">
        <v>202</v>
      </c>
      <c r="J330" s="938">
        <f t="shared" si="91"/>
        <v>0</v>
      </c>
      <c r="K330" s="165" t="str">
        <v>Rotkohl</v>
      </c>
      <c r="L330" s="938">
        <f>SUMIFS($L$5:$L$104,'Flächen u. Kulturen'!$P$10:$P$109,'#BerechnungDBE'!K330,'Flächen u. Kulturen'!$E$10:$E$109,"x")</f>
        <v>0</v>
      </c>
    </row>
    <row r="331" spans="9:12" x14ac:dyDescent="0.2">
      <c r="I331" s="807">
        <v>203</v>
      </c>
      <c r="J331" s="938">
        <f t="shared" si="91"/>
        <v>0</v>
      </c>
      <c r="K331" s="165" t="str">
        <v>Rucola, Feinware</v>
      </c>
      <c r="L331" s="938">
        <f>SUMIFS($L$5:$L$104,'Flächen u. Kulturen'!$P$10:$P$109,'#BerechnungDBE'!K331,'Flächen u. Kulturen'!$E$10:$E$109,"x")</f>
        <v>0</v>
      </c>
    </row>
    <row r="332" spans="9:12" x14ac:dyDescent="0.2">
      <c r="I332" s="807">
        <v>204</v>
      </c>
      <c r="J332" s="938">
        <f t="shared" si="91"/>
        <v>0</v>
      </c>
      <c r="K332" s="165" t="str">
        <v>Rucola, Grobware</v>
      </c>
      <c r="L332" s="938">
        <f>SUMIFS($L$5:$L$104,'Flächen u. Kulturen'!$P$10:$P$109,'#BerechnungDBE'!K332,'Flächen u. Kulturen'!$E$10:$E$109,"x")</f>
        <v>0</v>
      </c>
    </row>
    <row r="333" spans="9:12" x14ac:dyDescent="0.2">
      <c r="I333" s="807">
        <v>205</v>
      </c>
      <c r="J333" s="938">
        <f t="shared" si="91"/>
        <v>0</v>
      </c>
      <c r="K333" s="165" t="str">
        <v>Salate, Baby Leaf Lettuce</v>
      </c>
      <c r="L333" s="938">
        <f>SUMIFS($L$5:$L$104,'Flächen u. Kulturen'!$P$10:$P$109,'#BerechnungDBE'!K333,'Flächen u. Kulturen'!$E$10:$E$109,"x")</f>
        <v>0</v>
      </c>
    </row>
    <row r="334" spans="9:12" x14ac:dyDescent="0.2">
      <c r="I334" s="807">
        <v>206</v>
      </c>
      <c r="J334" s="938">
        <f t="shared" si="91"/>
        <v>0</v>
      </c>
      <c r="K334" s="165" t="str">
        <v>Schwarzwurzel</v>
      </c>
      <c r="L334" s="938">
        <f>SUMIFS($L$5:$L$104,'Flächen u. Kulturen'!$P$10:$P$109,'#BerechnungDBE'!K334,'Flächen u. Kulturen'!$E$10:$E$109,"x")</f>
        <v>0</v>
      </c>
    </row>
    <row r="335" spans="9:12" x14ac:dyDescent="0.2">
      <c r="I335" s="807">
        <v>207</v>
      </c>
      <c r="J335" s="938">
        <f t="shared" si="91"/>
        <v>0</v>
      </c>
      <c r="K335" s="165" t="str">
        <v>Sellerie, Bund-</v>
      </c>
      <c r="L335" s="938">
        <f>SUMIFS($L$5:$L$104,'Flächen u. Kulturen'!$P$10:$P$109,'#BerechnungDBE'!K335,'Flächen u. Kulturen'!$E$10:$E$109,"x")</f>
        <v>0</v>
      </c>
    </row>
    <row r="336" spans="9:12" x14ac:dyDescent="0.2">
      <c r="I336" s="807">
        <v>208</v>
      </c>
      <c r="J336" s="938">
        <f t="shared" si="91"/>
        <v>0</v>
      </c>
      <c r="K336" s="165" t="str">
        <v>Sellerie, Knollen-</v>
      </c>
      <c r="L336" s="938">
        <f>SUMIFS($L$5:$L$104,'Flächen u. Kulturen'!$P$10:$P$109,'#BerechnungDBE'!K336,'Flächen u. Kulturen'!$E$10:$E$109,"x")</f>
        <v>0</v>
      </c>
    </row>
    <row r="337" spans="9:12" x14ac:dyDescent="0.2">
      <c r="I337" s="807">
        <v>209</v>
      </c>
      <c r="J337" s="938">
        <f t="shared" si="91"/>
        <v>0</v>
      </c>
      <c r="K337" s="165" t="str">
        <v>Sellerie, Stangen-</v>
      </c>
      <c r="L337" s="938">
        <f>SUMIFS($L$5:$L$104,'Flächen u. Kulturen'!$P$10:$P$109,'#BerechnungDBE'!K337,'Flächen u. Kulturen'!$E$10:$E$109,"x")</f>
        <v>0</v>
      </c>
    </row>
    <row r="338" spans="9:12" x14ac:dyDescent="0.2">
      <c r="I338" s="807">
        <v>210</v>
      </c>
      <c r="J338" s="938">
        <f t="shared" si="91"/>
        <v>0</v>
      </c>
      <c r="K338" s="165" t="str">
        <v>Spargel 1. Standjahr</v>
      </c>
      <c r="L338" s="938">
        <f>SUMIFS($L$5:$L$104,'Flächen u. Kulturen'!$P$10:$P$109,'#BerechnungDBE'!K338,'Flächen u. Kulturen'!$E$10:$E$109,"x")</f>
        <v>0</v>
      </c>
    </row>
    <row r="339" spans="9:12" x14ac:dyDescent="0.2">
      <c r="I339" s="807">
        <v>211</v>
      </c>
      <c r="J339" s="938">
        <f t="shared" si="91"/>
        <v>0</v>
      </c>
      <c r="K339" s="165" t="str">
        <v>Spargel 2. Standjahr</v>
      </c>
      <c r="L339" s="938">
        <f>SUMIFS($L$5:$L$104,'Flächen u. Kulturen'!$P$10:$P$109,'#BerechnungDBE'!K339,'Flächen u. Kulturen'!$E$10:$E$109,"x")</f>
        <v>0</v>
      </c>
    </row>
    <row r="340" spans="9:12" x14ac:dyDescent="0.2">
      <c r="I340" s="807">
        <v>212</v>
      </c>
      <c r="J340" s="938">
        <f t="shared" si="91"/>
        <v>0</v>
      </c>
      <c r="K340" s="165" t="str">
        <v>Spargel 3. Standjahr</v>
      </c>
      <c r="L340" s="938">
        <f>SUMIFS($L$5:$L$104,'Flächen u. Kulturen'!$P$10:$P$109,'#BerechnungDBE'!K340,'Flächen u. Kulturen'!$E$10:$E$109,"x")</f>
        <v>0</v>
      </c>
    </row>
    <row r="341" spans="9:12" x14ac:dyDescent="0.2">
      <c r="I341" s="807">
        <v>213</v>
      </c>
      <c r="J341" s="938">
        <f t="shared" si="91"/>
        <v>0</v>
      </c>
      <c r="K341" s="165" t="str">
        <v>Spargel ab 4. Standjahr</v>
      </c>
      <c r="L341" s="938">
        <f>SUMIFS($L$5:$L$104,'Flächen u. Kulturen'!$P$10:$P$109,'#BerechnungDBE'!K341,'Flächen u. Kulturen'!$E$10:$E$109,"x")</f>
        <v>0</v>
      </c>
    </row>
    <row r="342" spans="9:12" x14ac:dyDescent="0.2">
      <c r="I342" s="807">
        <v>214</v>
      </c>
      <c r="J342" s="938">
        <f t="shared" si="91"/>
        <v>0</v>
      </c>
      <c r="K342" s="165" t="str">
        <v>Spinat, Blatt-, Frischmarkt, Baby</v>
      </c>
      <c r="L342" s="938">
        <f>SUMIFS($L$5:$L$104,'Flächen u. Kulturen'!$P$10:$P$109,'#BerechnungDBE'!K342,'Flächen u. Kulturen'!$E$10:$E$109,"x")</f>
        <v>0</v>
      </c>
    </row>
    <row r="343" spans="9:12" x14ac:dyDescent="0.2">
      <c r="I343" s="807">
        <v>215</v>
      </c>
      <c r="J343" s="938">
        <f t="shared" si="91"/>
        <v>0</v>
      </c>
      <c r="K343" s="165" t="str">
        <v>Spinat, Blatt-, Standard</v>
      </c>
      <c r="L343" s="938">
        <f>SUMIFS($L$5:$L$104,'Flächen u. Kulturen'!$P$10:$P$109,'#BerechnungDBE'!K343,'Flächen u. Kulturen'!$E$10:$E$109,"x")</f>
        <v>0</v>
      </c>
    </row>
    <row r="344" spans="9:12" x14ac:dyDescent="0.2">
      <c r="I344" s="807">
        <v>216</v>
      </c>
      <c r="J344" s="938">
        <f t="shared" si="91"/>
        <v>0</v>
      </c>
      <c r="K344" s="165" t="str">
        <v>Spinat, Hack-, Standard</v>
      </c>
      <c r="L344" s="938">
        <f>SUMIFS($L$5:$L$104,'Flächen u. Kulturen'!$P$10:$P$109,'#BerechnungDBE'!K344,'Flächen u. Kulturen'!$E$10:$E$109,"x")</f>
        <v>0</v>
      </c>
    </row>
    <row r="345" spans="9:12" x14ac:dyDescent="0.2">
      <c r="I345" s="807">
        <v>217</v>
      </c>
      <c r="J345" s="938">
        <f t="shared" si="91"/>
        <v>0</v>
      </c>
      <c r="K345" s="165" t="str">
        <v>Stangenbohne</v>
      </c>
      <c r="L345" s="938">
        <f>SUMIFS($L$5:$L$104,'Flächen u. Kulturen'!$P$10:$P$109,'#BerechnungDBE'!K345,'Flächen u. Kulturen'!$E$10:$E$109,"x")</f>
        <v>0</v>
      </c>
    </row>
    <row r="346" spans="9:12" x14ac:dyDescent="0.2">
      <c r="I346" s="807">
        <v>218</v>
      </c>
      <c r="J346" s="938">
        <f t="shared" si="91"/>
        <v>0</v>
      </c>
      <c r="K346" s="165" t="str">
        <v>Süßkartoffel</v>
      </c>
      <c r="L346" s="938">
        <f>SUMIFS($L$5:$L$104,'Flächen u. Kulturen'!$P$10:$P$109,'#BerechnungDBE'!K346,'Flächen u. Kulturen'!$E$10:$E$109,"x")</f>
        <v>0</v>
      </c>
    </row>
    <row r="347" spans="9:12" x14ac:dyDescent="0.2">
      <c r="I347" s="807">
        <v>219</v>
      </c>
      <c r="J347" s="938">
        <f t="shared" si="91"/>
        <v>0</v>
      </c>
      <c r="K347" s="165" t="str">
        <v>Teltower Rübchen</v>
      </c>
      <c r="L347" s="938">
        <f>SUMIFS($L$5:$L$104,'Flächen u. Kulturen'!$P$10:$P$109,'#BerechnungDBE'!K347,'Flächen u. Kulturen'!$E$10:$E$109,"x")</f>
        <v>0</v>
      </c>
    </row>
    <row r="348" spans="9:12" x14ac:dyDescent="0.2">
      <c r="I348" s="807">
        <v>220</v>
      </c>
      <c r="J348" s="938">
        <f t="shared" si="91"/>
        <v>0</v>
      </c>
      <c r="K348" s="165" t="str">
        <v>Tomate</v>
      </c>
      <c r="L348" s="938">
        <f>SUMIFS($L$5:$L$104,'Flächen u. Kulturen'!$P$10:$P$109,'#BerechnungDBE'!K348,'Flächen u. Kulturen'!$E$10:$E$109,"x")</f>
        <v>0</v>
      </c>
    </row>
    <row r="349" spans="9:12" x14ac:dyDescent="0.2">
      <c r="I349" s="807">
        <v>221</v>
      </c>
      <c r="J349" s="938">
        <f t="shared" si="91"/>
        <v>0</v>
      </c>
      <c r="K349" s="165" t="str">
        <v>Weißkohl, Frischmarkt-</v>
      </c>
      <c r="L349" s="938">
        <f>SUMIFS($L$5:$L$104,'Flächen u. Kulturen'!$P$10:$P$109,'#BerechnungDBE'!K349,'Flächen u. Kulturen'!$E$10:$E$109,"x")</f>
        <v>0</v>
      </c>
    </row>
    <row r="350" spans="9:12" x14ac:dyDescent="0.2">
      <c r="I350" s="807">
        <v>222</v>
      </c>
      <c r="J350" s="938">
        <f t="shared" si="91"/>
        <v>0</v>
      </c>
      <c r="K350" s="165" t="str">
        <v>Weißkohl, Industrie-</v>
      </c>
      <c r="L350" s="938">
        <f>SUMIFS($L$5:$L$104,'Flächen u. Kulturen'!$P$10:$P$109,'#BerechnungDBE'!K350,'Flächen u. Kulturen'!$E$10:$E$109,"x")</f>
        <v>0</v>
      </c>
    </row>
    <row r="351" spans="9:12" x14ac:dyDescent="0.2">
      <c r="I351" s="807">
        <v>223</v>
      </c>
      <c r="J351" s="938">
        <f t="shared" si="91"/>
        <v>0</v>
      </c>
      <c r="K351" s="165" t="str">
        <v>Wirsing</v>
      </c>
      <c r="L351" s="938">
        <f>SUMIFS($L$5:$L$104,'Flächen u. Kulturen'!$P$10:$P$109,'#BerechnungDBE'!K351,'Flächen u. Kulturen'!$E$10:$E$109,"x")</f>
        <v>0</v>
      </c>
    </row>
    <row r="352" spans="9:12" x14ac:dyDescent="0.2">
      <c r="I352" s="807">
        <v>224</v>
      </c>
      <c r="J352" s="938">
        <f t="shared" si="91"/>
        <v>0</v>
      </c>
      <c r="K352" s="165" t="str">
        <v>Zucchini</v>
      </c>
      <c r="L352" s="938">
        <f>SUMIFS($L$5:$L$104,'Flächen u. Kulturen'!$P$10:$P$109,'#BerechnungDBE'!K352,'Flächen u. Kulturen'!$E$10:$E$109,"x")</f>
        <v>0</v>
      </c>
    </row>
    <row r="353" spans="9:12" x14ac:dyDescent="0.2">
      <c r="I353" s="807">
        <v>225</v>
      </c>
      <c r="J353" s="938">
        <f t="shared" si="91"/>
        <v>0</v>
      </c>
      <c r="K353" s="165" t="str">
        <v>Zuckerhut</v>
      </c>
      <c r="L353" s="938">
        <f>SUMIFS($L$5:$L$104,'Flächen u. Kulturen'!$P$10:$P$109,'#BerechnungDBE'!K353,'Flächen u. Kulturen'!$E$10:$E$109,"x")</f>
        <v>0</v>
      </c>
    </row>
    <row r="354" spans="9:12" x14ac:dyDescent="0.2">
      <c r="I354" s="807">
        <v>226</v>
      </c>
      <c r="J354" s="938">
        <f t="shared" si="91"/>
        <v>0</v>
      </c>
      <c r="K354" s="165" t="str">
        <v>Zuckermais</v>
      </c>
      <c r="L354" s="938">
        <f>SUMIFS($L$5:$L$104,'Flächen u. Kulturen'!$P$10:$P$109,'#BerechnungDBE'!K354,'Flächen u. Kulturen'!$E$10:$E$109,"x")</f>
        <v>0</v>
      </c>
    </row>
    <row r="355" spans="9:12" x14ac:dyDescent="0.2">
      <c r="I355" s="807">
        <v>227</v>
      </c>
      <c r="J355" s="938">
        <f t="shared" si="91"/>
        <v>0</v>
      </c>
      <c r="K355" s="165" t="str">
        <v>Zwiebel, Bund-</v>
      </c>
      <c r="L355" s="938">
        <f>SUMIFS($L$5:$L$104,'Flächen u. Kulturen'!$P$10:$P$109,'#BerechnungDBE'!K355,'Flächen u. Kulturen'!$E$10:$E$109,"x")</f>
        <v>0</v>
      </c>
    </row>
    <row r="356" spans="9:12" x14ac:dyDescent="0.2">
      <c r="I356" s="807">
        <v>228</v>
      </c>
      <c r="J356" s="938">
        <f t="shared" si="91"/>
        <v>0</v>
      </c>
      <c r="K356" s="165" t="str">
        <v>Zwiebeln, Säschalotten</v>
      </c>
      <c r="L356" s="938">
        <f>SUMIFS($L$5:$L$104,'Flächen u. Kulturen'!$P$10:$P$109,'#BerechnungDBE'!K356,'Flächen u. Kulturen'!$E$10:$E$109,"x")</f>
        <v>0</v>
      </c>
    </row>
    <row r="357" spans="9:12" x14ac:dyDescent="0.2">
      <c r="I357" s="807">
        <v>229</v>
      </c>
      <c r="J357" s="938">
        <f t="shared" si="91"/>
        <v>0</v>
      </c>
      <c r="K357" s="165" t="str">
        <v>Zwiebel, Trocken-</v>
      </c>
      <c r="L357" s="938">
        <f>SUMIFS($L$5:$L$104,'Flächen u. Kulturen'!$P$10:$P$109,'#BerechnungDBE'!K357,'Flächen u. Kulturen'!$E$10:$E$109,"x")</f>
        <v>0</v>
      </c>
    </row>
    <row r="358" spans="9:12" x14ac:dyDescent="0.2">
      <c r="I358" s="807">
        <v>230</v>
      </c>
      <c r="J358" s="938">
        <f t="shared" si="91"/>
        <v>0</v>
      </c>
      <c r="K358" s="165" t="str">
        <v>+++Heil- und Gewürzpflanzen</v>
      </c>
      <c r="L358" s="938">
        <f>SUMIFS($L$5:$L$104,'Flächen u. Kulturen'!$P$10:$P$109,'#BerechnungDBE'!K358,'Flächen u. Kulturen'!$E$10:$E$109,"x")</f>
        <v>0</v>
      </c>
    </row>
    <row r="359" spans="9:12" x14ac:dyDescent="0.2">
      <c r="I359" s="807">
        <v>231</v>
      </c>
      <c r="J359" s="938">
        <f t="shared" si="91"/>
        <v>0</v>
      </c>
      <c r="K359" s="165" t="str">
        <v>Ackerschachtelhalm (Kraut)</v>
      </c>
      <c r="L359" s="938">
        <f>SUMIFS($L$5:$L$104,'Flächen u. Kulturen'!$P$10:$P$109,'#BerechnungDBE'!K359,'Flächen u. Kulturen'!$E$10:$E$109,"x")</f>
        <v>0</v>
      </c>
    </row>
    <row r="360" spans="9:12" x14ac:dyDescent="0.2">
      <c r="I360" s="807">
        <v>232</v>
      </c>
      <c r="J360" s="938">
        <f t="shared" si="91"/>
        <v>0</v>
      </c>
      <c r="K360" s="165" t="str">
        <v>Ackerstiefmütterchen (Blühendes Kraut)</v>
      </c>
      <c r="L360" s="938">
        <f>SUMIFS($L$5:$L$104,'Flächen u. Kulturen'!$P$10:$P$109,'#BerechnungDBE'!K360,'Flächen u. Kulturen'!$E$10:$E$109,"x")</f>
        <v>0</v>
      </c>
    </row>
    <row r="361" spans="9:12" x14ac:dyDescent="0.2">
      <c r="I361" s="807">
        <v>233</v>
      </c>
      <c r="J361" s="938">
        <f t="shared" si="91"/>
        <v>0</v>
      </c>
      <c r="K361" s="165" t="str">
        <v>Akelei (Blühendes Kraut)</v>
      </c>
      <c r="L361" s="938">
        <f>SUMIFS($L$5:$L$104,'Flächen u. Kulturen'!$P$10:$P$109,'#BerechnungDBE'!K361,'Flächen u. Kulturen'!$E$10:$E$109,"x")</f>
        <v>0</v>
      </c>
    </row>
    <row r="362" spans="9:12" x14ac:dyDescent="0.2">
      <c r="I362" s="807">
        <v>234</v>
      </c>
      <c r="J362" s="938">
        <f t="shared" si="91"/>
        <v>0</v>
      </c>
      <c r="K362" s="165" t="str">
        <v>Alant (Wurzeln)</v>
      </c>
      <c r="L362" s="938">
        <f>SUMIFS($L$5:$L$104,'Flächen u. Kulturen'!$P$10:$P$109,'#BerechnungDBE'!K362,'Flächen u. Kulturen'!$E$10:$E$109,"x")</f>
        <v>0</v>
      </c>
    </row>
    <row r="363" spans="9:12" x14ac:dyDescent="0.2">
      <c r="I363" s="807">
        <v>235</v>
      </c>
      <c r="J363" s="938">
        <f t="shared" si="91"/>
        <v>0</v>
      </c>
      <c r="K363" s="165" t="str">
        <v>Ampfer, Krauser (Kraut nach der Blüte)</v>
      </c>
      <c r="L363" s="938">
        <f>SUMIFS($L$5:$L$104,'Flächen u. Kulturen'!$P$10:$P$109,'#BerechnungDBE'!K363,'Flächen u. Kulturen'!$E$10:$E$109,"x")</f>
        <v>0</v>
      </c>
    </row>
    <row r="364" spans="9:12" x14ac:dyDescent="0.2">
      <c r="I364" s="807">
        <v>236</v>
      </c>
      <c r="J364" s="938">
        <f t="shared" si="91"/>
        <v>0</v>
      </c>
      <c r="K364" s="165" t="str">
        <v>Ampfer, Wiesen- (Blatt)</v>
      </c>
      <c r="L364" s="938">
        <f>SUMIFS($L$5:$L$104,'Flächen u. Kulturen'!$P$10:$P$109,'#BerechnungDBE'!K364,'Flächen u. Kulturen'!$E$10:$E$109,"x")</f>
        <v>0</v>
      </c>
    </row>
    <row r="365" spans="9:12" x14ac:dyDescent="0.2">
      <c r="I365" s="807">
        <v>237</v>
      </c>
      <c r="J365" s="938">
        <f t="shared" si="91"/>
        <v>0</v>
      </c>
      <c r="K365" s="165" t="str">
        <v>Andorn (Blühendes Kraut)</v>
      </c>
      <c r="L365" s="938">
        <f>SUMIFS($L$5:$L$104,'Flächen u. Kulturen'!$P$10:$P$109,'#BerechnungDBE'!K365,'Flächen u. Kulturen'!$E$10:$E$109,"x")</f>
        <v>0</v>
      </c>
    </row>
    <row r="366" spans="9:12" x14ac:dyDescent="0.2">
      <c r="I366" s="807">
        <v>238</v>
      </c>
      <c r="J366" s="938">
        <f t="shared" si="91"/>
        <v>0</v>
      </c>
      <c r="K366" s="165" t="str">
        <v>Anis (Samen)</v>
      </c>
      <c r="L366" s="938">
        <f>SUMIFS($L$5:$L$104,'Flächen u. Kulturen'!$P$10:$P$109,'#BerechnungDBE'!K366,'Flächen u. Kulturen'!$E$10:$E$109,"x")</f>
        <v>0</v>
      </c>
    </row>
    <row r="367" spans="9:12" x14ac:dyDescent="0.2">
      <c r="I367" s="807">
        <v>239</v>
      </c>
      <c r="J367" s="938">
        <f t="shared" si="91"/>
        <v>0</v>
      </c>
      <c r="K367" s="165" t="str">
        <v>Artischocke (Kardone) (Kraut)</v>
      </c>
      <c r="L367" s="938">
        <f>SUMIFS($L$5:$L$104,'Flächen u. Kulturen'!$P$10:$P$109,'#BerechnungDBE'!K367,'Flächen u. Kulturen'!$E$10:$E$109,"x")</f>
        <v>0</v>
      </c>
    </row>
    <row r="368" spans="9:12" x14ac:dyDescent="0.2">
      <c r="I368" s="807">
        <v>240</v>
      </c>
      <c r="J368" s="938">
        <f t="shared" si="91"/>
        <v>0</v>
      </c>
      <c r="K368" s="165" t="str">
        <v>Arzneifenchel (Samen)</v>
      </c>
      <c r="L368" s="938">
        <f>SUMIFS($L$5:$L$104,'Flächen u. Kulturen'!$P$10:$P$109,'#BerechnungDBE'!K368,'Flächen u. Kulturen'!$E$10:$E$109,"x")</f>
        <v>0</v>
      </c>
    </row>
    <row r="369" spans="9:12" x14ac:dyDescent="0.2">
      <c r="I369" s="807">
        <v>241</v>
      </c>
      <c r="J369" s="938">
        <f t="shared" si="91"/>
        <v>0</v>
      </c>
      <c r="K369" s="165" t="str">
        <v>Arzneirhabarber (Wurzeln)</v>
      </c>
      <c r="L369" s="938">
        <f>SUMIFS($L$5:$L$104,'Flächen u. Kulturen'!$P$10:$P$109,'#BerechnungDBE'!K369,'Flächen u. Kulturen'!$E$10:$E$109,"x")</f>
        <v>0</v>
      </c>
    </row>
    <row r="370" spans="9:12" x14ac:dyDescent="0.2">
      <c r="I370" s="807">
        <v>242</v>
      </c>
      <c r="J370" s="938">
        <f t="shared" si="91"/>
        <v>0</v>
      </c>
      <c r="K370" s="165" t="str">
        <v>Bärlauch (Blätter)</v>
      </c>
      <c r="L370" s="938">
        <f>SUMIFS($L$5:$L$104,'Flächen u. Kulturen'!$P$10:$P$109,'#BerechnungDBE'!K370,'Flächen u. Kulturen'!$E$10:$E$109,"x")</f>
        <v>0</v>
      </c>
    </row>
    <row r="371" spans="9:12" x14ac:dyDescent="0.2">
      <c r="I371" s="807">
        <v>243</v>
      </c>
      <c r="J371" s="938">
        <f t="shared" si="91"/>
        <v>0</v>
      </c>
      <c r="K371" s="165" t="str">
        <v>Bärwurz (Wurzel)</v>
      </c>
      <c r="L371" s="938">
        <f>SUMIFS($L$5:$L$104,'Flächen u. Kulturen'!$P$10:$P$109,'#BerechnungDBE'!K371,'Flächen u. Kulturen'!$E$10:$E$109,"x")</f>
        <v>0</v>
      </c>
    </row>
    <row r="372" spans="9:12" x14ac:dyDescent="0.2">
      <c r="I372" s="807">
        <v>244</v>
      </c>
      <c r="J372" s="938">
        <f t="shared" si="91"/>
        <v>0</v>
      </c>
      <c r="K372" s="165" t="str">
        <v>Baikal-Helmkraut (Wurzeln)</v>
      </c>
      <c r="L372" s="938">
        <f>SUMIFS($L$5:$L$104,'Flächen u. Kulturen'!$P$10:$P$109,'#BerechnungDBE'!K372,'Flächen u. Kulturen'!$E$10:$E$109,"x")</f>
        <v>0</v>
      </c>
    </row>
    <row r="373" spans="9:12" x14ac:dyDescent="0.2">
      <c r="I373" s="807">
        <v>245</v>
      </c>
      <c r="J373" s="938">
        <f t="shared" si="91"/>
        <v>0</v>
      </c>
      <c r="K373" s="165" t="str">
        <v>Baldrian (Wurzeln)</v>
      </c>
      <c r="L373" s="938">
        <f>SUMIFS($L$5:$L$104,'Flächen u. Kulturen'!$P$10:$P$109,'#BerechnungDBE'!K373,'Flächen u. Kulturen'!$E$10:$E$109,"x")</f>
        <v>0</v>
      </c>
    </row>
    <row r="374" spans="9:12" x14ac:dyDescent="0.2">
      <c r="I374" s="807">
        <v>246</v>
      </c>
      <c r="J374" s="938">
        <f t="shared" si="91"/>
        <v>0</v>
      </c>
      <c r="K374" s="165" t="str">
        <v>Ballonrebe (Kraut)</v>
      </c>
      <c r="L374" s="938">
        <f>SUMIFS($L$5:$L$104,'Flächen u. Kulturen'!$P$10:$P$109,'#BerechnungDBE'!K374,'Flächen u. Kulturen'!$E$10:$E$109,"x")</f>
        <v>0</v>
      </c>
    </row>
    <row r="375" spans="9:12" x14ac:dyDescent="0.2">
      <c r="I375" s="807">
        <v>247</v>
      </c>
      <c r="J375" s="938">
        <f t="shared" si="91"/>
        <v>0</v>
      </c>
      <c r="K375" s="165" t="str">
        <v>Basilikum (Kraut b. Blühbeginn)</v>
      </c>
      <c r="L375" s="938">
        <f>SUMIFS($L$5:$L$104,'Flächen u. Kulturen'!$P$10:$P$109,'#BerechnungDBE'!K375,'Flächen u. Kulturen'!$E$10:$E$109,"x")</f>
        <v>0</v>
      </c>
    </row>
    <row r="376" spans="9:12" x14ac:dyDescent="0.2">
      <c r="I376" s="807">
        <v>248</v>
      </c>
      <c r="J376" s="938">
        <f t="shared" si="91"/>
        <v>0</v>
      </c>
      <c r="K376" s="165" t="str">
        <v>Beinwell (Wurzeln)</v>
      </c>
      <c r="L376" s="938">
        <f>SUMIFS($L$5:$L$104,'Flächen u. Kulturen'!$P$10:$P$109,'#BerechnungDBE'!K376,'Flächen u. Kulturen'!$E$10:$E$109,"x")</f>
        <v>0</v>
      </c>
    </row>
    <row r="377" spans="9:12" x14ac:dyDescent="0.2">
      <c r="I377" s="807">
        <v>249</v>
      </c>
      <c r="J377" s="938">
        <f t="shared" si="91"/>
        <v>0</v>
      </c>
      <c r="K377" s="165" t="str">
        <v>Bergarnika (Blütenkörbe)</v>
      </c>
      <c r="L377" s="938">
        <f>SUMIFS($L$5:$L$104,'Flächen u. Kulturen'!$P$10:$P$109,'#BerechnungDBE'!K377,'Flächen u. Kulturen'!$E$10:$E$109,"x")</f>
        <v>0</v>
      </c>
    </row>
    <row r="378" spans="9:12" x14ac:dyDescent="0.2">
      <c r="I378" s="807">
        <v>250</v>
      </c>
      <c r="J378" s="938">
        <f t="shared" si="91"/>
        <v>0</v>
      </c>
      <c r="K378" s="165" t="str">
        <v>Bergbohnenkraut (Blühendes Kraut)</v>
      </c>
      <c r="L378" s="938">
        <f>SUMIFS($L$5:$L$104,'Flächen u. Kulturen'!$P$10:$P$109,'#BerechnungDBE'!K378,'Flächen u. Kulturen'!$E$10:$E$109,"x")</f>
        <v>0</v>
      </c>
    </row>
    <row r="379" spans="9:12" x14ac:dyDescent="0.2">
      <c r="I379" s="807">
        <v>251</v>
      </c>
      <c r="J379" s="938">
        <f t="shared" si="91"/>
        <v>0</v>
      </c>
      <c r="K379" s="165" t="str">
        <v>Bertram, Römischer (Wurzeln)</v>
      </c>
      <c r="L379" s="938">
        <f>SUMIFS($L$5:$L$104,'Flächen u. Kulturen'!$P$10:$P$109,'#BerechnungDBE'!K379,'Flächen u. Kulturen'!$E$10:$E$109,"x")</f>
        <v>0</v>
      </c>
    </row>
    <row r="380" spans="9:12" x14ac:dyDescent="0.2">
      <c r="I380" s="807">
        <v>252</v>
      </c>
      <c r="J380" s="938">
        <f t="shared" si="91"/>
        <v>0</v>
      </c>
      <c r="K380" s="165" t="str">
        <v>Besenbeifuß (A. scoparia) (Kraut)</v>
      </c>
      <c r="L380" s="938">
        <f>SUMIFS($L$5:$L$104,'Flächen u. Kulturen'!$P$10:$P$109,'#BerechnungDBE'!K380,'Flächen u. Kulturen'!$E$10:$E$109,"x")</f>
        <v>0</v>
      </c>
    </row>
    <row r="381" spans="9:12" x14ac:dyDescent="0.2">
      <c r="I381" s="807">
        <v>253</v>
      </c>
      <c r="J381" s="938">
        <f t="shared" si="91"/>
        <v>0</v>
      </c>
      <c r="K381" s="165" t="str">
        <v>Bibernelle, Kleine (Wurzeln)</v>
      </c>
      <c r="L381" s="938">
        <f>SUMIFS($L$5:$L$104,'Flächen u. Kulturen'!$P$10:$P$109,'#BerechnungDBE'!K381,'Flächen u. Kulturen'!$E$10:$E$109,"x")</f>
        <v>0</v>
      </c>
    </row>
    <row r="382" spans="9:12" x14ac:dyDescent="0.2">
      <c r="I382" s="807">
        <v>254</v>
      </c>
      <c r="J382" s="938">
        <f t="shared" si="91"/>
        <v>0</v>
      </c>
      <c r="K382" s="165" t="str">
        <v>Bockshornklee (Samen)</v>
      </c>
      <c r="L382" s="938">
        <f>SUMIFS($L$5:$L$104,'Flächen u. Kulturen'!$P$10:$P$109,'#BerechnungDBE'!K382,'Flächen u. Kulturen'!$E$10:$E$109,"x")</f>
        <v>0</v>
      </c>
    </row>
    <row r="383" spans="9:12" x14ac:dyDescent="0.2">
      <c r="I383" s="807">
        <v>255</v>
      </c>
      <c r="J383" s="938">
        <f t="shared" si="91"/>
        <v>0</v>
      </c>
      <c r="K383" s="165" t="str">
        <v>Bohnenkraut, einjährig (Blühendes Kraut)</v>
      </c>
      <c r="L383" s="938">
        <f>SUMIFS($L$5:$L$104,'Flächen u. Kulturen'!$P$10:$P$109,'#BerechnungDBE'!K383,'Flächen u. Kulturen'!$E$10:$E$109,"x")</f>
        <v>0</v>
      </c>
    </row>
    <row r="384" spans="9:12" x14ac:dyDescent="0.2">
      <c r="I384" s="807">
        <v>256</v>
      </c>
      <c r="J384" s="938">
        <f t="shared" si="91"/>
        <v>0</v>
      </c>
      <c r="K384" s="165" t="str">
        <v>Borretsch (Blühendes Kraut)</v>
      </c>
      <c r="L384" s="938">
        <f>SUMIFS($L$5:$L$104,'Flächen u. Kulturen'!$P$10:$P$109,'#BerechnungDBE'!K384,'Flächen u. Kulturen'!$E$10:$E$109,"x")</f>
        <v>0</v>
      </c>
    </row>
    <row r="385" spans="9:12" x14ac:dyDescent="0.2">
      <c r="I385" s="807">
        <v>257</v>
      </c>
      <c r="J385" s="938">
        <f t="shared" si="91"/>
        <v>0</v>
      </c>
      <c r="K385" s="165" t="str">
        <v>Braunelle (Kraut zu Ende der Blüte)</v>
      </c>
      <c r="L385" s="938">
        <f>SUMIFS($L$5:$L$104,'Flächen u. Kulturen'!$P$10:$P$109,'#BerechnungDBE'!K385,'Flächen u. Kulturen'!$E$10:$E$109,"x")</f>
        <v>0</v>
      </c>
    </row>
    <row r="386" spans="9:12" x14ac:dyDescent="0.2">
      <c r="I386" s="807">
        <v>258</v>
      </c>
      <c r="J386" s="938">
        <f t="shared" ref="J386:J449" si="92">IF(L386=0,0,L386+0.00000000001*I386)</f>
        <v>0</v>
      </c>
      <c r="K386" s="165" t="str">
        <v>Brennnessel, Große (Nicht blühendes Kraut)</v>
      </c>
      <c r="L386" s="938">
        <f>SUMIFS($L$5:$L$104,'Flächen u. Kulturen'!$P$10:$P$109,'#BerechnungDBE'!K386,'Flächen u. Kulturen'!$E$10:$E$109,"x")</f>
        <v>0</v>
      </c>
    </row>
    <row r="387" spans="9:12" x14ac:dyDescent="0.2">
      <c r="I387" s="807">
        <v>259</v>
      </c>
      <c r="J387" s="938">
        <f t="shared" si="92"/>
        <v>0</v>
      </c>
      <c r="K387" s="165" t="str">
        <v>Brennnessel, Kleine (Blühendes Kraut)</v>
      </c>
      <c r="L387" s="938">
        <f>SUMIFS($L$5:$L$104,'Flächen u. Kulturen'!$P$10:$P$109,'#BerechnungDBE'!K387,'Flächen u. Kulturen'!$E$10:$E$109,"x")</f>
        <v>0</v>
      </c>
    </row>
    <row r="388" spans="9:12" x14ac:dyDescent="0.2">
      <c r="I388" s="807">
        <v>260</v>
      </c>
      <c r="J388" s="938">
        <f t="shared" si="92"/>
        <v>0</v>
      </c>
      <c r="K388" s="165" t="str">
        <v>Brunnenkresse (Kraut)</v>
      </c>
      <c r="L388" s="938">
        <f>SUMIFS($L$5:$L$104,'Flächen u. Kulturen'!$P$10:$P$109,'#BerechnungDBE'!K388,'Flächen u. Kulturen'!$E$10:$E$109,"x")</f>
        <v>0</v>
      </c>
    </row>
    <row r="389" spans="9:12" x14ac:dyDescent="0.2">
      <c r="I389" s="807">
        <v>261</v>
      </c>
      <c r="J389" s="938">
        <f t="shared" si="92"/>
        <v>0</v>
      </c>
      <c r="K389" s="165" t="str">
        <v>Dill, Frischmarkt (Kraut)</v>
      </c>
      <c r="L389" s="938">
        <f>SUMIFS($L$5:$L$104,'Flächen u. Kulturen'!$P$10:$P$109,'#BerechnungDBE'!K389,'Flächen u. Kulturen'!$E$10:$E$109,"x")</f>
        <v>0</v>
      </c>
    </row>
    <row r="390" spans="9:12" x14ac:dyDescent="0.2">
      <c r="I390" s="807">
        <v>262</v>
      </c>
      <c r="J390" s="938">
        <f t="shared" si="92"/>
        <v>0</v>
      </c>
      <c r="K390" s="165" t="str">
        <v>Dill, Industrieware (Kraut b. Knospenansatz)</v>
      </c>
      <c r="L390" s="938">
        <f>SUMIFS($L$5:$L$104,'Flächen u. Kulturen'!$P$10:$P$109,'#BerechnungDBE'!K390,'Flächen u. Kulturen'!$E$10:$E$109,"x")</f>
        <v>0</v>
      </c>
    </row>
    <row r="391" spans="9:12" x14ac:dyDescent="0.2">
      <c r="I391" s="807">
        <v>263</v>
      </c>
      <c r="J391" s="938">
        <f t="shared" si="92"/>
        <v>0</v>
      </c>
      <c r="K391" s="165" t="str">
        <v>Dill (Dillspitzen)</v>
      </c>
      <c r="L391" s="938">
        <f>SUMIFS($L$5:$L$104,'Flächen u. Kulturen'!$P$10:$P$109,'#BerechnungDBE'!K391,'Flächen u. Kulturen'!$E$10:$E$109,"x")</f>
        <v>0</v>
      </c>
    </row>
    <row r="392" spans="9:12" x14ac:dyDescent="0.2">
      <c r="I392" s="807">
        <v>264</v>
      </c>
      <c r="J392" s="938">
        <f t="shared" si="92"/>
        <v>0</v>
      </c>
      <c r="K392" s="165" t="str">
        <v>Dost, Oregano (Blühendes Kraut)</v>
      </c>
      <c r="L392" s="938">
        <f>SUMIFS($L$5:$L$104,'Flächen u. Kulturen'!$P$10:$P$109,'#BerechnungDBE'!K392,'Flächen u. Kulturen'!$E$10:$E$109,"x")</f>
        <v>0</v>
      </c>
    </row>
    <row r="393" spans="9:12" x14ac:dyDescent="0.2">
      <c r="I393" s="807">
        <v>265</v>
      </c>
      <c r="J393" s="938">
        <f t="shared" si="92"/>
        <v>0</v>
      </c>
      <c r="K393" s="165" t="str">
        <v>Drachenkopf, Türkischer (Blühendes Kraut)</v>
      </c>
      <c r="L393" s="938">
        <f>SUMIFS($L$5:$L$104,'Flächen u. Kulturen'!$P$10:$P$109,'#BerechnungDBE'!K393,'Flächen u. Kulturen'!$E$10:$E$109,"x")</f>
        <v>0</v>
      </c>
    </row>
    <row r="394" spans="9:12" x14ac:dyDescent="0.2">
      <c r="I394" s="807">
        <v>266</v>
      </c>
      <c r="J394" s="938">
        <f t="shared" si="92"/>
        <v>0</v>
      </c>
      <c r="K394" s="165" t="str">
        <v>Drachenkopf, Iberischer (Samen)</v>
      </c>
      <c r="L394" s="938">
        <f>SUMIFS($L$5:$L$104,'Flächen u. Kulturen'!$P$10:$P$109,'#BerechnungDBE'!K394,'Flächen u. Kulturen'!$E$10:$E$109,"x")</f>
        <v>0</v>
      </c>
    </row>
    <row r="395" spans="9:12" x14ac:dyDescent="0.2">
      <c r="I395" s="807">
        <v>267</v>
      </c>
      <c r="J395" s="938">
        <f t="shared" si="92"/>
        <v>0</v>
      </c>
      <c r="K395" s="165" t="str">
        <v>Efeu (Kraut)</v>
      </c>
      <c r="L395" s="938">
        <f>SUMIFS($L$5:$L$104,'Flächen u. Kulturen'!$P$10:$P$109,'#BerechnungDBE'!K395,'Flächen u. Kulturen'!$E$10:$E$109,"x")</f>
        <v>0</v>
      </c>
    </row>
    <row r="396" spans="9:12" x14ac:dyDescent="0.2">
      <c r="I396" s="807">
        <v>268</v>
      </c>
      <c r="J396" s="938">
        <f t="shared" si="92"/>
        <v>0</v>
      </c>
      <c r="K396" s="165" t="str">
        <v>Eibisch (Wurzeln)</v>
      </c>
      <c r="L396" s="938">
        <f>SUMIFS($L$5:$L$104,'Flächen u. Kulturen'!$P$10:$P$109,'#BerechnungDBE'!K396,'Flächen u. Kulturen'!$E$10:$E$109,"x")</f>
        <v>0</v>
      </c>
    </row>
    <row r="397" spans="9:12" x14ac:dyDescent="0.2">
      <c r="I397" s="807">
        <v>269</v>
      </c>
      <c r="J397" s="938">
        <f t="shared" si="92"/>
        <v>0</v>
      </c>
      <c r="K397" s="165" t="str">
        <v>Eisenkraut, Echtes (Kraut)</v>
      </c>
      <c r="L397" s="938">
        <f>SUMIFS($L$5:$L$104,'Flächen u. Kulturen'!$P$10:$P$109,'#BerechnungDBE'!K397,'Flächen u. Kulturen'!$E$10:$E$109,"x")</f>
        <v>0</v>
      </c>
    </row>
    <row r="398" spans="9:12" x14ac:dyDescent="0.2">
      <c r="I398" s="807">
        <v>270</v>
      </c>
      <c r="J398" s="938">
        <f t="shared" si="92"/>
        <v>0</v>
      </c>
      <c r="K398" s="165" t="str">
        <v>Engelwurz, Europäische (Wurzeln)</v>
      </c>
      <c r="L398" s="938">
        <f>SUMIFS($L$5:$L$104,'Flächen u. Kulturen'!$P$10:$P$109,'#BerechnungDBE'!K398,'Flächen u. Kulturen'!$E$10:$E$109,"x")</f>
        <v>0</v>
      </c>
    </row>
    <row r="399" spans="9:12" x14ac:dyDescent="0.2">
      <c r="I399" s="807">
        <v>271</v>
      </c>
      <c r="J399" s="938">
        <f t="shared" si="92"/>
        <v>0</v>
      </c>
      <c r="K399" s="165" t="str">
        <v>Engelwurz, Sibirische (Wurzeln)</v>
      </c>
      <c r="L399" s="938">
        <f>SUMIFS($L$5:$L$104,'Flächen u. Kulturen'!$P$10:$P$109,'#BerechnungDBE'!K399,'Flächen u. Kulturen'!$E$10:$E$109,"x")</f>
        <v>0</v>
      </c>
    </row>
    <row r="400" spans="9:12" x14ac:dyDescent="0.2">
      <c r="I400" s="807">
        <v>272</v>
      </c>
      <c r="J400" s="938">
        <f t="shared" si="92"/>
        <v>0</v>
      </c>
      <c r="K400" s="165" t="str">
        <v>Enzian, ohne Ernte</v>
      </c>
      <c r="L400" s="938">
        <f>SUMIFS($L$5:$L$104,'Flächen u. Kulturen'!$P$10:$P$109,'#BerechnungDBE'!K400,'Flächen u. Kulturen'!$E$10:$E$109,"x")</f>
        <v>0</v>
      </c>
    </row>
    <row r="401" spans="9:12" x14ac:dyDescent="0.2">
      <c r="I401" s="807">
        <v>273</v>
      </c>
      <c r="J401" s="938">
        <f t="shared" si="92"/>
        <v>0</v>
      </c>
      <c r="K401" s="165" t="str">
        <v>Enzian, Erntejahr (Wurzeln nach 4 Jahren)</v>
      </c>
      <c r="L401" s="938">
        <f>SUMIFS($L$5:$L$104,'Flächen u. Kulturen'!$P$10:$P$109,'#BerechnungDBE'!K401,'Flächen u. Kulturen'!$E$10:$E$109,"x")</f>
        <v>0</v>
      </c>
    </row>
    <row r="402" spans="9:12" x14ac:dyDescent="0.2">
      <c r="I402" s="807">
        <v>274</v>
      </c>
      <c r="J402" s="938">
        <f t="shared" si="92"/>
        <v>0</v>
      </c>
      <c r="K402" s="165" t="str">
        <v>Estragon, Deutscher (Nicht blühendes Kraut)</v>
      </c>
      <c r="L402" s="938">
        <f>SUMIFS($L$5:$L$104,'Flächen u. Kulturen'!$P$10:$P$109,'#BerechnungDBE'!K402,'Flächen u. Kulturen'!$E$10:$E$109,"x")</f>
        <v>0</v>
      </c>
    </row>
    <row r="403" spans="9:12" x14ac:dyDescent="0.2">
      <c r="I403" s="807">
        <v>275</v>
      </c>
      <c r="J403" s="938">
        <f t="shared" si="92"/>
        <v>0</v>
      </c>
      <c r="K403" s="165" t="str">
        <v>Färberdistel (Samen)</v>
      </c>
      <c r="L403" s="938">
        <f>SUMIFS($L$5:$L$104,'Flächen u. Kulturen'!$P$10:$P$109,'#BerechnungDBE'!K403,'Flächen u. Kulturen'!$E$10:$E$109,"x")</f>
        <v>0</v>
      </c>
    </row>
    <row r="404" spans="9:12" x14ac:dyDescent="0.2">
      <c r="I404" s="807">
        <v>276</v>
      </c>
      <c r="J404" s="938">
        <f t="shared" si="92"/>
        <v>0</v>
      </c>
      <c r="K404" s="165" t="str">
        <v>Färberwaid (Kraut)</v>
      </c>
      <c r="L404" s="938">
        <f>SUMIFS($L$5:$L$104,'Flächen u. Kulturen'!$P$10:$P$109,'#BerechnungDBE'!K404,'Flächen u. Kulturen'!$E$10:$E$109,"x")</f>
        <v>0</v>
      </c>
    </row>
    <row r="405" spans="9:12" x14ac:dyDescent="0.2">
      <c r="I405" s="807">
        <v>277</v>
      </c>
      <c r="J405" s="938">
        <f t="shared" si="92"/>
        <v>0</v>
      </c>
      <c r="K405" s="165" t="str">
        <v>Federmohn, 1. Standjahr (Kraut)</v>
      </c>
      <c r="L405" s="938">
        <f>SUMIFS($L$5:$L$104,'Flächen u. Kulturen'!$P$10:$P$109,'#BerechnungDBE'!K405,'Flächen u. Kulturen'!$E$10:$E$109,"x")</f>
        <v>0</v>
      </c>
    </row>
    <row r="406" spans="9:12" x14ac:dyDescent="0.2">
      <c r="I406" s="807">
        <v>278</v>
      </c>
      <c r="J406" s="938">
        <f t="shared" si="92"/>
        <v>0</v>
      </c>
      <c r="K406" s="165" t="str">
        <v>Federmohn, ab 2. Standjahr (Kraut)</v>
      </c>
      <c r="L406" s="938">
        <f>SUMIFS($L$5:$L$104,'Flächen u. Kulturen'!$P$10:$P$109,'#BerechnungDBE'!K406,'Flächen u. Kulturen'!$E$10:$E$109,"x")</f>
        <v>0</v>
      </c>
    </row>
    <row r="407" spans="9:12" x14ac:dyDescent="0.2">
      <c r="I407" s="807">
        <v>279</v>
      </c>
      <c r="J407" s="938">
        <f t="shared" si="92"/>
        <v>0</v>
      </c>
      <c r="K407" s="165" t="str">
        <v>Frauenmantel, Gewöhnlicher (Blühendes Kraut)</v>
      </c>
      <c r="L407" s="938">
        <f>SUMIFS($L$5:$L$104,'Flächen u. Kulturen'!$P$10:$P$109,'#BerechnungDBE'!K407,'Flächen u. Kulturen'!$E$10:$E$109,"x")</f>
        <v>0</v>
      </c>
    </row>
    <row r="408" spans="9:12" x14ac:dyDescent="0.2">
      <c r="I408" s="807">
        <v>280</v>
      </c>
      <c r="J408" s="938">
        <f t="shared" si="92"/>
        <v>0</v>
      </c>
      <c r="K408" s="165" t="str">
        <v>Galega (Geißraute) (Kraut)</v>
      </c>
      <c r="L408" s="938">
        <f>SUMIFS($L$5:$L$104,'Flächen u. Kulturen'!$P$10:$P$109,'#BerechnungDBE'!K408,'Flächen u. Kulturen'!$E$10:$E$109,"x")</f>
        <v>0</v>
      </c>
    </row>
    <row r="409" spans="9:12" x14ac:dyDescent="0.2">
      <c r="I409" s="807">
        <v>281</v>
      </c>
      <c r="J409" s="938">
        <f t="shared" si="92"/>
        <v>0</v>
      </c>
      <c r="K409" s="165" t="str">
        <v>Gartenkresse (Kraut)</v>
      </c>
      <c r="L409" s="938">
        <f>SUMIFS($L$5:$L$104,'Flächen u. Kulturen'!$P$10:$P$109,'#BerechnungDBE'!K409,'Flächen u. Kulturen'!$E$10:$E$109,"x")</f>
        <v>0</v>
      </c>
    </row>
    <row r="410" spans="9:12" x14ac:dyDescent="0.2">
      <c r="I410" s="807">
        <v>282</v>
      </c>
      <c r="J410" s="938">
        <f t="shared" si="92"/>
        <v>0</v>
      </c>
      <c r="K410" s="165" t="str">
        <v>Gartenpimpinelle (Kraut)</v>
      </c>
      <c r="L410" s="938">
        <f>SUMIFS($L$5:$L$104,'Flächen u. Kulturen'!$P$10:$P$109,'#BerechnungDBE'!K410,'Flächen u. Kulturen'!$E$10:$E$109,"x")</f>
        <v>0</v>
      </c>
    </row>
    <row r="411" spans="9:12" x14ac:dyDescent="0.2">
      <c r="I411" s="807">
        <v>283</v>
      </c>
      <c r="J411" s="938">
        <f t="shared" si="92"/>
        <v>0</v>
      </c>
      <c r="K411" s="165" t="str">
        <v>Getreidegras (Kraut)</v>
      </c>
      <c r="L411" s="938">
        <f>SUMIFS($L$5:$L$104,'Flächen u. Kulturen'!$P$10:$P$109,'#BerechnungDBE'!K411,'Flächen u. Kulturen'!$E$10:$E$109,"x")</f>
        <v>0</v>
      </c>
    </row>
    <row r="412" spans="9:12" x14ac:dyDescent="0.2">
      <c r="I412" s="807">
        <v>284</v>
      </c>
      <c r="J412" s="938">
        <f t="shared" si="92"/>
        <v>0</v>
      </c>
      <c r="K412" s="165" t="str">
        <v>Ginseng (Wurzeln)</v>
      </c>
      <c r="L412" s="938">
        <f>SUMIFS($L$5:$L$104,'Flächen u. Kulturen'!$P$10:$P$109,'#BerechnungDBE'!K412,'Flächen u. Kulturen'!$E$10:$E$109,"x")</f>
        <v>0</v>
      </c>
    </row>
    <row r="413" spans="9:12" x14ac:dyDescent="0.2">
      <c r="I413" s="807">
        <v>285</v>
      </c>
      <c r="J413" s="938">
        <f t="shared" si="92"/>
        <v>0</v>
      </c>
      <c r="K413" s="165" t="str">
        <v>Goldrute (Blühhorizont)</v>
      </c>
      <c r="L413" s="938">
        <f>SUMIFS($L$5:$L$104,'Flächen u. Kulturen'!$P$10:$P$109,'#BerechnungDBE'!K413,'Flächen u. Kulturen'!$E$10:$E$109,"x")</f>
        <v>0</v>
      </c>
    </row>
    <row r="414" spans="9:12" x14ac:dyDescent="0.2">
      <c r="I414" s="807">
        <v>286</v>
      </c>
      <c r="J414" s="938">
        <f t="shared" si="92"/>
        <v>0</v>
      </c>
      <c r="K414" s="165" t="str">
        <v>Hafer, Grüner (Kraut v. Milchreife)</v>
      </c>
      <c r="L414" s="938">
        <f>SUMIFS($L$5:$L$104,'Flächen u. Kulturen'!$P$10:$P$109,'#BerechnungDBE'!K414,'Flächen u. Kulturen'!$E$10:$E$109,"x")</f>
        <v>0</v>
      </c>
    </row>
    <row r="415" spans="9:12" x14ac:dyDescent="0.2">
      <c r="I415" s="807">
        <v>287</v>
      </c>
      <c r="J415" s="938">
        <f t="shared" si="92"/>
        <v>0</v>
      </c>
      <c r="K415" s="165" t="str">
        <v>Ingwer (Rhizom)</v>
      </c>
      <c r="L415" s="938">
        <f>SUMIFS($L$5:$L$104,'Flächen u. Kulturen'!$P$10:$P$109,'#BerechnungDBE'!K415,'Flächen u. Kulturen'!$E$10:$E$109,"x")</f>
        <v>0</v>
      </c>
    </row>
    <row r="416" spans="9:12" x14ac:dyDescent="0.2">
      <c r="I416" s="807">
        <v>288</v>
      </c>
      <c r="J416" s="938">
        <f t="shared" si="92"/>
        <v>0</v>
      </c>
      <c r="K416" s="165" t="str">
        <v>Johanniskraut (Blühendes Kraut)</v>
      </c>
      <c r="L416" s="938">
        <f>SUMIFS($L$5:$L$104,'Flächen u. Kulturen'!$P$10:$P$109,'#BerechnungDBE'!K416,'Flächen u. Kulturen'!$E$10:$E$109,"x")</f>
        <v>0</v>
      </c>
    </row>
    <row r="417" spans="9:12" x14ac:dyDescent="0.2">
      <c r="I417" s="807">
        <v>289</v>
      </c>
      <c r="J417" s="938">
        <f t="shared" si="92"/>
        <v>0</v>
      </c>
      <c r="K417" s="165" t="str">
        <v>Kamille (Blüten)</v>
      </c>
      <c r="L417" s="938">
        <f>SUMIFS($L$5:$L$104,'Flächen u. Kulturen'!$P$10:$P$109,'#BerechnungDBE'!K417,'Flächen u. Kulturen'!$E$10:$E$109,"x")</f>
        <v>0</v>
      </c>
    </row>
    <row r="418" spans="9:12" x14ac:dyDescent="0.2">
      <c r="I418" s="807">
        <v>290</v>
      </c>
      <c r="J418" s="938">
        <f t="shared" si="92"/>
        <v>0</v>
      </c>
      <c r="K418" s="165" t="str">
        <v>Kamille (Blühhorizont)</v>
      </c>
      <c r="L418" s="938">
        <f>SUMIFS($L$5:$L$104,'Flächen u. Kulturen'!$P$10:$P$109,'#BerechnungDBE'!K418,'Flächen u. Kulturen'!$E$10:$E$109,"x")</f>
        <v>0</v>
      </c>
    </row>
    <row r="419" spans="9:12" x14ac:dyDescent="0.2">
      <c r="I419" s="807">
        <v>291</v>
      </c>
      <c r="J419" s="938">
        <f t="shared" si="92"/>
        <v>0</v>
      </c>
      <c r="K419" s="165" t="str">
        <v>Kapuzinerkresse (Blühendes Kraut)</v>
      </c>
      <c r="L419" s="938">
        <f>SUMIFS($L$5:$L$104,'Flächen u. Kulturen'!$P$10:$P$109,'#BerechnungDBE'!K419,'Flächen u. Kulturen'!$E$10:$E$109,"x")</f>
        <v>0</v>
      </c>
    </row>
    <row r="420" spans="9:12" x14ac:dyDescent="0.2">
      <c r="I420" s="807">
        <v>292</v>
      </c>
      <c r="J420" s="938">
        <f t="shared" si="92"/>
        <v>0</v>
      </c>
      <c r="K420" s="165" t="str">
        <v>Kerbel (Kraut)</v>
      </c>
      <c r="L420" s="938">
        <f>SUMIFS($L$5:$L$104,'Flächen u. Kulturen'!$P$10:$P$109,'#BerechnungDBE'!K420,'Flächen u. Kulturen'!$E$10:$E$109,"x")</f>
        <v>0</v>
      </c>
    </row>
    <row r="421" spans="9:12" x14ac:dyDescent="0.2">
      <c r="I421" s="807">
        <v>293</v>
      </c>
      <c r="J421" s="938">
        <f t="shared" si="92"/>
        <v>0</v>
      </c>
      <c r="K421" s="165" t="str">
        <v>Koriander (Kraut)</v>
      </c>
      <c r="L421" s="938">
        <f>SUMIFS($L$5:$L$104,'Flächen u. Kulturen'!$P$10:$P$109,'#BerechnungDBE'!K421,'Flächen u. Kulturen'!$E$10:$E$109,"x")</f>
        <v>0</v>
      </c>
    </row>
    <row r="422" spans="9:12" x14ac:dyDescent="0.2">
      <c r="I422" s="807">
        <v>294</v>
      </c>
      <c r="J422" s="938">
        <f t="shared" si="92"/>
        <v>0</v>
      </c>
      <c r="K422" s="165" t="str">
        <v>Koriander (Samen)</v>
      </c>
      <c r="L422" s="938">
        <f>SUMIFS($L$5:$L$104,'Flächen u. Kulturen'!$P$10:$P$109,'#BerechnungDBE'!K422,'Flächen u. Kulturen'!$E$10:$E$109,"x")</f>
        <v>0</v>
      </c>
    </row>
    <row r="423" spans="9:12" x14ac:dyDescent="0.2">
      <c r="I423" s="807">
        <v>295</v>
      </c>
      <c r="J423" s="938">
        <f t="shared" si="92"/>
        <v>0</v>
      </c>
      <c r="K423" s="165" t="str">
        <v>Kornblume (Blühendes Kraut)</v>
      </c>
      <c r="L423" s="938">
        <f>SUMIFS($L$5:$L$104,'Flächen u. Kulturen'!$P$10:$P$109,'#BerechnungDBE'!K423,'Flächen u. Kulturen'!$E$10:$E$109,"x")</f>
        <v>0</v>
      </c>
    </row>
    <row r="424" spans="9:12" x14ac:dyDescent="0.2">
      <c r="I424" s="807">
        <v>296</v>
      </c>
      <c r="J424" s="938">
        <f t="shared" si="92"/>
        <v>0</v>
      </c>
      <c r="K424" s="165" t="str">
        <v>Kornblume (Blüten)</v>
      </c>
      <c r="L424" s="938">
        <f>SUMIFS($L$5:$L$104,'Flächen u. Kulturen'!$P$10:$P$109,'#BerechnungDBE'!K424,'Flächen u. Kulturen'!$E$10:$E$109,"x")</f>
        <v>0</v>
      </c>
    </row>
    <row r="425" spans="9:12" x14ac:dyDescent="0.2">
      <c r="I425" s="807">
        <v>297</v>
      </c>
      <c r="J425" s="938">
        <f t="shared" si="92"/>
        <v>0</v>
      </c>
      <c r="K425" s="165" t="str">
        <v>Knoblauch (Zwiebel ganz)</v>
      </c>
      <c r="L425" s="938">
        <f>SUMIFS($L$5:$L$104,'Flächen u. Kulturen'!$P$10:$P$109,'#BerechnungDBE'!K425,'Flächen u. Kulturen'!$E$10:$E$109,"x")</f>
        <v>0</v>
      </c>
    </row>
    <row r="426" spans="9:12" x14ac:dyDescent="0.2">
      <c r="I426" s="807">
        <v>298</v>
      </c>
      <c r="J426" s="938">
        <f t="shared" si="92"/>
        <v>0</v>
      </c>
      <c r="K426" s="165" t="str">
        <v>Kümmel, einjährig, (Samen)</v>
      </c>
      <c r="L426" s="938">
        <f>SUMIFS($L$5:$L$104,'Flächen u. Kulturen'!$P$10:$P$109,'#BerechnungDBE'!K426,'Flächen u. Kulturen'!$E$10:$E$109,"x")</f>
        <v>0</v>
      </c>
    </row>
    <row r="427" spans="9:12" x14ac:dyDescent="0.2">
      <c r="I427" s="807">
        <v>299</v>
      </c>
      <c r="J427" s="938">
        <f t="shared" si="92"/>
        <v>0</v>
      </c>
      <c r="K427" s="165" t="str">
        <v>Kümmel, zweijährig, ohne Ernte</v>
      </c>
      <c r="L427" s="938">
        <f>SUMIFS($L$5:$L$104,'Flächen u. Kulturen'!$P$10:$P$109,'#BerechnungDBE'!K427,'Flächen u. Kulturen'!$E$10:$E$109,"x")</f>
        <v>0</v>
      </c>
    </row>
    <row r="428" spans="9:12" x14ac:dyDescent="0.2">
      <c r="I428" s="807">
        <v>300</v>
      </c>
      <c r="J428" s="938">
        <f t="shared" si="92"/>
        <v>0</v>
      </c>
      <c r="K428" s="165" t="str">
        <v>Kümmel, zweijährig, Erntejahr</v>
      </c>
      <c r="L428" s="938">
        <f>SUMIFS($L$5:$L$104,'Flächen u. Kulturen'!$P$10:$P$109,'#BerechnungDBE'!K428,'Flächen u. Kulturen'!$E$10:$E$109,"x")</f>
        <v>0</v>
      </c>
    </row>
    <row r="429" spans="9:12" x14ac:dyDescent="0.2">
      <c r="I429" s="807">
        <v>301</v>
      </c>
      <c r="J429" s="938">
        <f t="shared" si="92"/>
        <v>0</v>
      </c>
      <c r="K429" s="165" t="str">
        <v>Kuhschelle, Wiesen- (Kraut)</v>
      </c>
      <c r="L429" s="938">
        <f>SUMIFS($L$5:$L$104,'Flächen u. Kulturen'!$P$10:$P$109,'#BerechnungDBE'!K429,'Flächen u. Kulturen'!$E$10:$E$109,"x")</f>
        <v>0</v>
      </c>
    </row>
    <row r="430" spans="9:12" x14ac:dyDescent="0.2">
      <c r="I430" s="807">
        <v>302</v>
      </c>
      <c r="J430" s="938">
        <f t="shared" si="92"/>
        <v>0</v>
      </c>
      <c r="K430" s="165" t="str">
        <v>Kuhschelle, Wiesen- (Ganzpflanze)</v>
      </c>
      <c r="L430" s="938">
        <f>SUMIFS($L$5:$L$104,'Flächen u. Kulturen'!$P$10:$P$109,'#BerechnungDBE'!K430,'Flächen u. Kulturen'!$E$10:$E$109,"x")</f>
        <v>0</v>
      </c>
    </row>
    <row r="431" spans="9:12" x14ac:dyDescent="0.2">
      <c r="I431" s="807">
        <v>303</v>
      </c>
      <c r="J431" s="938">
        <f t="shared" si="92"/>
        <v>0</v>
      </c>
      <c r="K431" s="165" t="str">
        <v>Lavendel (Blütenähren)</v>
      </c>
      <c r="L431" s="938">
        <f>SUMIFS($L$5:$L$104,'Flächen u. Kulturen'!$P$10:$P$109,'#BerechnungDBE'!K431,'Flächen u. Kulturen'!$E$10:$E$109,"x")</f>
        <v>0</v>
      </c>
    </row>
    <row r="432" spans="9:12" x14ac:dyDescent="0.2">
      <c r="I432" s="807">
        <v>304</v>
      </c>
      <c r="J432" s="938">
        <f t="shared" si="92"/>
        <v>0</v>
      </c>
      <c r="K432" s="165" t="str">
        <v>Liebstöckel (Nicht blühendes Kraut)</v>
      </c>
      <c r="L432" s="938">
        <f>SUMIFS($L$5:$L$104,'Flächen u. Kulturen'!$P$10:$P$109,'#BerechnungDBE'!K432,'Flächen u. Kulturen'!$E$10:$E$109,"x")</f>
        <v>0</v>
      </c>
    </row>
    <row r="433" spans="9:12" x14ac:dyDescent="0.2">
      <c r="I433" s="807">
        <v>305</v>
      </c>
      <c r="J433" s="938">
        <f t="shared" si="92"/>
        <v>0</v>
      </c>
      <c r="K433" s="165" t="str">
        <v>Löwenzahn (Kraut)</v>
      </c>
      <c r="L433" s="938">
        <f>SUMIFS($L$5:$L$104,'Flächen u. Kulturen'!$P$10:$P$109,'#BerechnungDBE'!K433,'Flächen u. Kulturen'!$E$10:$E$109,"x")</f>
        <v>0</v>
      </c>
    </row>
    <row r="434" spans="9:12" x14ac:dyDescent="0.2">
      <c r="I434" s="807">
        <v>306</v>
      </c>
      <c r="J434" s="938">
        <f t="shared" si="92"/>
        <v>0</v>
      </c>
      <c r="K434" s="165" t="str">
        <v>Löwenzahn, Kaukasischer (Wurzeln)</v>
      </c>
      <c r="L434" s="938">
        <f>SUMIFS($L$5:$L$104,'Flächen u. Kulturen'!$P$10:$P$109,'#BerechnungDBE'!K434,'Flächen u. Kulturen'!$E$10:$E$109,"x")</f>
        <v>0</v>
      </c>
    </row>
    <row r="435" spans="9:12" x14ac:dyDescent="0.2">
      <c r="I435" s="807">
        <v>307</v>
      </c>
      <c r="J435" s="938">
        <f t="shared" si="92"/>
        <v>0</v>
      </c>
      <c r="K435" s="165" t="str">
        <v>Mädesüß (Blühendes Kraut)</v>
      </c>
      <c r="L435" s="938">
        <f>SUMIFS($L$5:$L$104,'Flächen u. Kulturen'!$P$10:$P$109,'#BerechnungDBE'!K435,'Flächen u. Kulturen'!$E$10:$E$109,"x")</f>
        <v>0</v>
      </c>
    </row>
    <row r="436" spans="9:12" x14ac:dyDescent="0.2">
      <c r="I436" s="807">
        <v>308</v>
      </c>
      <c r="J436" s="938">
        <f t="shared" si="92"/>
        <v>0</v>
      </c>
      <c r="K436" s="165" t="str">
        <v>Majoran (Kraut bei Blühbeginn)</v>
      </c>
      <c r="L436" s="938">
        <f>SUMIFS($L$5:$L$104,'Flächen u. Kulturen'!$P$10:$P$109,'#BerechnungDBE'!K436,'Flächen u. Kulturen'!$E$10:$E$109,"x")</f>
        <v>0</v>
      </c>
    </row>
    <row r="437" spans="9:12" x14ac:dyDescent="0.2">
      <c r="I437" s="938">
        <v>309</v>
      </c>
      <c r="J437" s="938">
        <f t="shared" si="92"/>
        <v>0</v>
      </c>
      <c r="K437" s="804" t="str">
        <v>Malve, Blaue (Blühendes Kraut)</v>
      </c>
      <c r="L437" s="938">
        <f>SUMIFS($L$5:$L$104,'Flächen u. Kulturen'!$P$10:$P$109,'#BerechnungDBE'!K437,'Flächen u. Kulturen'!$E$10:$E$109,"x")</f>
        <v>0</v>
      </c>
    </row>
    <row r="438" spans="9:12" x14ac:dyDescent="0.2">
      <c r="I438" s="938">
        <v>310</v>
      </c>
      <c r="J438" s="938">
        <f t="shared" si="92"/>
        <v>0</v>
      </c>
      <c r="K438" s="804" t="str">
        <v>Malve, Blaue (Blüten)</v>
      </c>
      <c r="L438" s="938">
        <f>SUMIFS($L$5:$L$104,'Flächen u. Kulturen'!$P$10:$P$109,'#BerechnungDBE'!K438,'Flächen u. Kulturen'!$E$10:$E$109,"x")</f>
        <v>0</v>
      </c>
    </row>
    <row r="439" spans="9:12" x14ac:dyDescent="0.2">
      <c r="I439" s="938">
        <v>311</v>
      </c>
      <c r="J439" s="938">
        <f t="shared" si="92"/>
        <v>0</v>
      </c>
      <c r="K439" s="804" t="str">
        <v>Mariendistel (Kraut)</v>
      </c>
      <c r="L439" s="938">
        <f>SUMIFS($L$5:$L$104,'Flächen u. Kulturen'!$P$10:$P$109,'#BerechnungDBE'!K439,'Flächen u. Kulturen'!$E$10:$E$109,"x")</f>
        <v>0</v>
      </c>
    </row>
    <row r="440" spans="9:12" x14ac:dyDescent="0.2">
      <c r="I440" s="938">
        <v>312</v>
      </c>
      <c r="J440" s="938">
        <f t="shared" si="92"/>
        <v>0</v>
      </c>
      <c r="K440" s="804" t="str">
        <v>Mariendistel (Samen)</v>
      </c>
      <c r="L440" s="938">
        <f>SUMIFS($L$5:$L$104,'Flächen u. Kulturen'!$P$10:$P$109,'#BerechnungDBE'!K440,'Flächen u. Kulturen'!$E$10:$E$109,"x")</f>
        <v>0</v>
      </c>
    </row>
    <row r="441" spans="9:12" x14ac:dyDescent="0.2">
      <c r="I441" s="938">
        <v>313</v>
      </c>
      <c r="J441" s="938">
        <f t="shared" si="92"/>
        <v>0</v>
      </c>
      <c r="K441" s="804" t="str">
        <v>Meerrettich (Wurzeln)</v>
      </c>
      <c r="L441" s="938">
        <f>SUMIFS($L$5:$L$104,'Flächen u. Kulturen'!$P$10:$P$109,'#BerechnungDBE'!K441,'Flächen u. Kulturen'!$E$10:$E$109,"x")</f>
        <v>0</v>
      </c>
    </row>
    <row r="442" spans="9:12" x14ac:dyDescent="0.2">
      <c r="I442" s="938">
        <v>314</v>
      </c>
      <c r="J442" s="938">
        <f t="shared" si="92"/>
        <v>0</v>
      </c>
      <c r="K442" s="804" t="str">
        <v>Meisterwurz (Wurzel)</v>
      </c>
      <c r="L442" s="938">
        <f>SUMIFS($L$5:$L$104,'Flächen u. Kulturen'!$P$10:$P$109,'#BerechnungDBE'!K442,'Flächen u. Kulturen'!$E$10:$E$109,"x")</f>
        <v>0</v>
      </c>
    </row>
    <row r="443" spans="9:12" x14ac:dyDescent="0.2">
      <c r="I443" s="938">
        <v>315</v>
      </c>
      <c r="J443" s="938">
        <f t="shared" si="92"/>
        <v>0</v>
      </c>
      <c r="K443" s="804" t="str">
        <v>Melde (Kraut)</v>
      </c>
      <c r="L443" s="938">
        <f>SUMIFS($L$5:$L$104,'Flächen u. Kulturen'!$P$10:$P$109,'#BerechnungDBE'!K443,'Flächen u. Kulturen'!$E$10:$E$109,"x")</f>
        <v>0</v>
      </c>
    </row>
    <row r="444" spans="9:12" x14ac:dyDescent="0.2">
      <c r="I444" s="938">
        <v>316</v>
      </c>
      <c r="J444" s="938">
        <f t="shared" si="92"/>
        <v>0</v>
      </c>
      <c r="K444" s="804" t="str">
        <v>Mohn (Samen und Kapseln)</v>
      </c>
      <c r="L444" s="938">
        <f>SUMIFS($L$5:$L$104,'Flächen u. Kulturen'!$P$10:$P$109,'#BerechnungDBE'!K444,'Flächen u. Kulturen'!$E$10:$E$109,"x")</f>
        <v>0</v>
      </c>
    </row>
    <row r="445" spans="9:12" x14ac:dyDescent="0.2">
      <c r="I445" s="938">
        <v>317</v>
      </c>
      <c r="J445" s="938">
        <f t="shared" si="92"/>
        <v>0</v>
      </c>
      <c r="K445" s="804" t="str">
        <v>Muskatteller Salbei (Blühendes Kraut)</v>
      </c>
      <c r="L445" s="938">
        <f>SUMIFS($L$5:$L$104,'Flächen u. Kulturen'!$P$10:$P$109,'#BerechnungDBE'!K445,'Flächen u. Kulturen'!$E$10:$E$109,"x")</f>
        <v>0</v>
      </c>
    </row>
    <row r="446" spans="9:12" x14ac:dyDescent="0.2">
      <c r="I446" s="938">
        <v>318</v>
      </c>
      <c r="J446" s="938">
        <f t="shared" si="92"/>
        <v>0</v>
      </c>
      <c r="K446" s="804" t="str">
        <v>Mutterkraut (T. parthenium) (Blühendes Kraut)</v>
      </c>
      <c r="L446" s="938">
        <f>SUMIFS($L$5:$L$104,'Flächen u. Kulturen'!$P$10:$P$109,'#BerechnungDBE'!K446,'Flächen u. Kulturen'!$E$10:$E$109,"x")</f>
        <v>0</v>
      </c>
    </row>
    <row r="447" spans="9:12" x14ac:dyDescent="0.2">
      <c r="I447" s="938">
        <v>319</v>
      </c>
      <c r="J447" s="938">
        <f t="shared" si="92"/>
        <v>0</v>
      </c>
      <c r="K447" s="804" t="str">
        <v>Mutterkraut, Chin. (L. jap.) (Blühendes Kraut)</v>
      </c>
      <c r="L447" s="938">
        <f>SUMIFS($L$5:$L$104,'Flächen u. Kulturen'!$P$10:$P$109,'#BerechnungDBE'!K447,'Flächen u. Kulturen'!$E$10:$E$109,"x")</f>
        <v>0</v>
      </c>
    </row>
    <row r="448" spans="9:12" x14ac:dyDescent="0.2">
      <c r="I448" s="938">
        <v>320</v>
      </c>
      <c r="J448" s="938">
        <f t="shared" si="92"/>
        <v>0</v>
      </c>
      <c r="K448" s="804" t="str">
        <v>Nachtkerze (Samen)</v>
      </c>
      <c r="L448" s="938">
        <f>SUMIFS($L$5:$L$104,'Flächen u. Kulturen'!$P$10:$P$109,'#BerechnungDBE'!K448,'Flächen u. Kulturen'!$E$10:$E$109,"x")</f>
        <v>0</v>
      </c>
    </row>
    <row r="449" spans="9:12" x14ac:dyDescent="0.2">
      <c r="I449" s="938">
        <v>321</v>
      </c>
      <c r="J449" s="938">
        <f t="shared" si="92"/>
        <v>0</v>
      </c>
      <c r="K449" s="804" t="str">
        <v>Odermennig (Kraut)</v>
      </c>
      <c r="L449" s="938">
        <f>SUMIFS($L$5:$L$104,'Flächen u. Kulturen'!$P$10:$P$109,'#BerechnungDBE'!K449,'Flächen u. Kulturen'!$E$10:$E$109,"x")</f>
        <v>0</v>
      </c>
    </row>
    <row r="450" spans="9:12" x14ac:dyDescent="0.2">
      <c r="I450" s="938">
        <v>322</v>
      </c>
      <c r="J450" s="938">
        <f t="shared" ref="J450:J489" si="93">IF(L450=0,0,L450+0.00000000001*I450)</f>
        <v>0</v>
      </c>
      <c r="K450" s="804" t="str">
        <v>Pestwurz (Blätter)</v>
      </c>
      <c r="L450" s="938">
        <f>SUMIFS($L$5:$L$104,'Flächen u. Kulturen'!$P$10:$P$109,'#BerechnungDBE'!K450,'Flächen u. Kulturen'!$E$10:$E$109,"x")</f>
        <v>0</v>
      </c>
    </row>
    <row r="451" spans="9:12" x14ac:dyDescent="0.2">
      <c r="I451" s="938">
        <v>323</v>
      </c>
      <c r="J451" s="938">
        <f t="shared" si="93"/>
        <v>0</v>
      </c>
      <c r="K451" s="804" t="str">
        <v>Petersilie, Blatt- (Blätter bis 1. Schnitt)</v>
      </c>
      <c r="L451" s="938">
        <f>SUMIFS($L$5:$L$104,'Flächen u. Kulturen'!$P$10:$P$109,'#BerechnungDBE'!K451,'Flächen u. Kulturen'!$E$10:$E$109,"x")</f>
        <v>0</v>
      </c>
    </row>
    <row r="452" spans="9:12" x14ac:dyDescent="0.2">
      <c r="I452" s="938">
        <v>324</v>
      </c>
      <c r="J452" s="938">
        <f t="shared" si="93"/>
        <v>0</v>
      </c>
      <c r="K452" s="804" t="str">
        <v>Petersilie, Blatt- (Blatt nach 1 Schnitt)</v>
      </c>
      <c r="L452" s="938">
        <f>SUMIFS($L$5:$L$104,'Flächen u. Kulturen'!$P$10:$P$109,'#BerechnungDBE'!K452,'Flächen u. Kulturen'!$E$10:$E$109,"x")</f>
        <v>0</v>
      </c>
    </row>
    <row r="453" spans="9:12" x14ac:dyDescent="0.2">
      <c r="I453" s="938">
        <v>325</v>
      </c>
      <c r="J453" s="938">
        <f t="shared" si="93"/>
        <v>0</v>
      </c>
      <c r="K453" s="804" t="str">
        <v>Petersilie, Blatt-, Verarbeitung, alle Schnitte</v>
      </c>
      <c r="L453" s="938">
        <f>SUMIFS($L$5:$L$104,'Flächen u. Kulturen'!$P$10:$P$109,'#BerechnungDBE'!K453,'Flächen u. Kulturen'!$E$10:$E$109,"x")</f>
        <v>0</v>
      </c>
    </row>
    <row r="454" spans="9:12" x14ac:dyDescent="0.2">
      <c r="I454" s="938">
        <v>326</v>
      </c>
      <c r="J454" s="938">
        <f t="shared" si="93"/>
        <v>0</v>
      </c>
      <c r="K454" s="804" t="str">
        <v>Pfefferminze, Minzen (Nicht blühendes Kraut)</v>
      </c>
      <c r="L454" s="938">
        <f>SUMIFS($L$5:$L$104,'Flächen u. Kulturen'!$P$10:$P$109,'#BerechnungDBE'!K454,'Flächen u. Kulturen'!$E$10:$E$109,"x")</f>
        <v>0</v>
      </c>
    </row>
    <row r="455" spans="9:12" x14ac:dyDescent="0.2">
      <c r="I455" s="938">
        <v>327</v>
      </c>
      <c r="J455" s="938">
        <f t="shared" si="93"/>
        <v>0</v>
      </c>
      <c r="K455" s="804" t="str">
        <v>Ringelblume, blüh. Kraut (Blühendes Kraut)</v>
      </c>
      <c r="L455" s="938">
        <f>SUMIFS($L$5:$L$104,'Flächen u. Kulturen'!$P$10:$P$109,'#BerechnungDBE'!K455,'Flächen u. Kulturen'!$E$10:$E$109,"x")</f>
        <v>0</v>
      </c>
    </row>
    <row r="456" spans="9:12" x14ac:dyDescent="0.2">
      <c r="I456" s="938">
        <v>328</v>
      </c>
      <c r="J456" s="938">
        <f t="shared" si="93"/>
        <v>0</v>
      </c>
      <c r="K456" s="804" t="str">
        <v>Ringelblume, Blüte (Blütenkörbe)</v>
      </c>
      <c r="L456" s="938">
        <f>SUMIFS($L$5:$L$104,'Flächen u. Kulturen'!$P$10:$P$109,'#BerechnungDBE'!K456,'Flächen u. Kulturen'!$E$10:$E$109,"x")</f>
        <v>0</v>
      </c>
    </row>
    <row r="457" spans="9:12" x14ac:dyDescent="0.2">
      <c r="I457" s="938">
        <v>329</v>
      </c>
      <c r="J457" s="938">
        <f t="shared" si="93"/>
        <v>0</v>
      </c>
      <c r="K457" s="804" t="str">
        <v>Rosenwurz (Wurzeln)</v>
      </c>
      <c r="L457" s="938">
        <f>SUMIFS($L$5:$L$104,'Flächen u. Kulturen'!$P$10:$P$109,'#BerechnungDBE'!K457,'Flächen u. Kulturen'!$E$10:$E$109,"x")</f>
        <v>0</v>
      </c>
    </row>
    <row r="458" spans="9:12" x14ac:dyDescent="0.2">
      <c r="I458" s="938">
        <v>330</v>
      </c>
      <c r="J458" s="938">
        <f t="shared" si="93"/>
        <v>0</v>
      </c>
      <c r="K458" s="804" t="str">
        <v>Rosmarin (Nicht blühendes Kraut)</v>
      </c>
      <c r="L458" s="938">
        <f>SUMIFS($L$5:$L$104,'Flächen u. Kulturen'!$P$10:$P$109,'#BerechnungDBE'!K458,'Flächen u. Kulturen'!$E$10:$E$109,"x")</f>
        <v>0</v>
      </c>
    </row>
    <row r="459" spans="9:12" x14ac:dyDescent="0.2">
      <c r="I459" s="938">
        <v>331</v>
      </c>
      <c r="J459" s="938">
        <f t="shared" si="93"/>
        <v>0</v>
      </c>
      <c r="K459" s="804" t="str">
        <v>Rotwurzelsalbei (S. miltior.) (Wurzeln)</v>
      </c>
      <c r="L459" s="938">
        <f>SUMIFS($L$5:$L$104,'Flächen u. Kulturen'!$P$10:$P$109,'#BerechnungDBE'!K459,'Flächen u. Kulturen'!$E$10:$E$109,"x")</f>
        <v>0</v>
      </c>
    </row>
    <row r="460" spans="9:12" x14ac:dyDescent="0.2">
      <c r="I460" s="938">
        <v>332</v>
      </c>
      <c r="J460" s="938">
        <f t="shared" si="93"/>
        <v>0</v>
      </c>
      <c r="K460" s="804" t="str">
        <v>Salbei (Salvia officinalis) (Nicht blühendes Kraut)</v>
      </c>
      <c r="L460" s="938">
        <f>SUMIFS($L$5:$L$104,'Flächen u. Kulturen'!$P$10:$P$109,'#BerechnungDBE'!K460,'Flächen u. Kulturen'!$E$10:$E$109,"x")</f>
        <v>0</v>
      </c>
    </row>
    <row r="461" spans="9:12" x14ac:dyDescent="0.2">
      <c r="I461" s="938">
        <v>333</v>
      </c>
      <c r="J461" s="938">
        <f t="shared" si="93"/>
        <v>0</v>
      </c>
      <c r="K461" s="804" t="str">
        <v>Saposhnikovia (Wurzel)</v>
      </c>
      <c r="L461" s="938">
        <f>SUMIFS($L$5:$L$104,'Flächen u. Kulturen'!$P$10:$P$109,'#BerechnungDBE'!K461,'Flächen u. Kulturen'!$E$10:$E$109,"x")</f>
        <v>0</v>
      </c>
    </row>
    <row r="462" spans="9:12" x14ac:dyDescent="0.2">
      <c r="I462" s="938">
        <v>334</v>
      </c>
      <c r="J462" s="938">
        <f t="shared" si="93"/>
        <v>0</v>
      </c>
      <c r="K462" s="804" t="str">
        <v>Saussurea costus (Wurzel)</v>
      </c>
      <c r="L462" s="938">
        <f>SUMIFS($L$5:$L$104,'Flächen u. Kulturen'!$P$10:$P$109,'#BerechnungDBE'!K462,'Flächen u. Kulturen'!$E$10:$E$109,"x")</f>
        <v>0</v>
      </c>
    </row>
    <row r="463" spans="9:12" x14ac:dyDescent="0.2">
      <c r="I463" s="938">
        <v>335</v>
      </c>
      <c r="J463" s="938">
        <f t="shared" si="93"/>
        <v>0</v>
      </c>
      <c r="K463" s="804" t="str">
        <v>Schabziegerklee (Blühendes Kraut)</v>
      </c>
      <c r="L463" s="938">
        <f>SUMIFS($L$5:$L$104,'Flächen u. Kulturen'!$P$10:$P$109,'#BerechnungDBE'!K463,'Flächen u. Kulturen'!$E$10:$E$109,"x")</f>
        <v>0</v>
      </c>
    </row>
    <row r="464" spans="9:12" x14ac:dyDescent="0.2">
      <c r="I464" s="938">
        <v>336</v>
      </c>
      <c r="J464" s="938">
        <f t="shared" si="93"/>
        <v>0</v>
      </c>
      <c r="K464" s="804" t="str">
        <v>Schafgarbe (Blühhorizont)</v>
      </c>
      <c r="L464" s="938">
        <f>SUMIFS($L$5:$L$104,'Flächen u. Kulturen'!$P$10:$P$109,'#BerechnungDBE'!K464,'Flächen u. Kulturen'!$E$10:$E$109,"x")</f>
        <v>0</v>
      </c>
    </row>
    <row r="465" spans="9:12" x14ac:dyDescent="0.2">
      <c r="I465" s="938">
        <v>337</v>
      </c>
      <c r="J465" s="938">
        <f t="shared" si="93"/>
        <v>0</v>
      </c>
      <c r="K465" s="804" t="str">
        <v>Schleifenblume, Bittere (Kraut)</v>
      </c>
      <c r="L465" s="938">
        <f>SUMIFS($L$5:$L$104,'Flächen u. Kulturen'!$P$10:$P$109,'#BerechnungDBE'!K465,'Flächen u. Kulturen'!$E$10:$E$109,"x")</f>
        <v>0</v>
      </c>
    </row>
    <row r="466" spans="9:12" x14ac:dyDescent="0.2">
      <c r="I466" s="938">
        <v>338</v>
      </c>
      <c r="J466" s="938">
        <f t="shared" si="93"/>
        <v>0</v>
      </c>
      <c r="K466" s="804" t="str">
        <v>Schlüsselblume, P.veris, P. vulgaris (Wurzeln)</v>
      </c>
      <c r="L466" s="938">
        <f>SUMIFS($L$5:$L$104,'Flächen u. Kulturen'!$P$10:$P$109,'#BerechnungDBE'!K466,'Flächen u. Kulturen'!$E$10:$E$109,"x")</f>
        <v>0</v>
      </c>
    </row>
    <row r="467" spans="9:12" x14ac:dyDescent="0.2">
      <c r="I467" s="938">
        <v>339</v>
      </c>
      <c r="J467" s="938">
        <f t="shared" si="93"/>
        <v>0</v>
      </c>
      <c r="K467" s="804" t="str">
        <v>Schlüsselblume, P.veris, (Blüten)</v>
      </c>
      <c r="L467" s="938">
        <f>SUMIFS($L$5:$L$104,'Flächen u. Kulturen'!$P$10:$P$109,'#BerechnungDBE'!K467,'Flächen u. Kulturen'!$E$10:$E$109,"x")</f>
        <v>0</v>
      </c>
    </row>
    <row r="468" spans="9:12" x14ac:dyDescent="0.2">
      <c r="I468" s="938">
        <v>340</v>
      </c>
      <c r="J468" s="938">
        <f t="shared" si="93"/>
        <v>0</v>
      </c>
      <c r="K468" s="804" t="str">
        <v>Schnittknoblauch (Kraut)</v>
      </c>
      <c r="L468" s="938">
        <f>SUMIFS($L$5:$L$104,'Flächen u. Kulturen'!$P$10:$P$109,'#BerechnungDBE'!K468,'Flächen u. Kulturen'!$E$10:$E$109,"x")</f>
        <v>0</v>
      </c>
    </row>
    <row r="469" spans="9:12" x14ac:dyDescent="0.2">
      <c r="I469" s="938">
        <v>341</v>
      </c>
      <c r="J469" s="938">
        <f t="shared" si="93"/>
        <v>0</v>
      </c>
      <c r="K469" s="804" t="str">
        <v>Schnittlauch (Kraut, bis 1. Schnitt)</v>
      </c>
      <c r="L469" s="938">
        <f>SUMIFS($L$5:$L$104,'Flächen u. Kulturen'!$P$10:$P$109,'#BerechnungDBE'!K469,'Flächen u. Kulturen'!$E$10:$E$109,"x")</f>
        <v>0</v>
      </c>
    </row>
    <row r="470" spans="9:12" x14ac:dyDescent="0.2">
      <c r="I470" s="938">
        <v>342</v>
      </c>
      <c r="J470" s="938">
        <f t="shared" si="93"/>
        <v>0</v>
      </c>
      <c r="K470" s="804" t="str">
        <v>Schnittlauch (Kraut, nach 1 Schnitt)</v>
      </c>
      <c r="L470" s="938">
        <f>SUMIFS($L$5:$L$104,'Flächen u. Kulturen'!$P$10:$P$109,'#BerechnungDBE'!K470,'Flächen u. Kulturen'!$E$10:$E$109,"x")</f>
        <v>0</v>
      </c>
    </row>
    <row r="471" spans="9:12" x14ac:dyDescent="0.2">
      <c r="I471" s="938">
        <v>343</v>
      </c>
      <c r="J471" s="938">
        <f t="shared" si="93"/>
        <v>0</v>
      </c>
      <c r="K471" s="804" t="str">
        <v>Schnittlauch, für Treiberei (Ballen)</v>
      </c>
      <c r="L471" s="938">
        <f>SUMIFS($L$5:$L$104,'Flächen u. Kulturen'!$P$10:$P$109,'#BerechnungDBE'!K471,'Flächen u. Kulturen'!$E$10:$E$109,"x")</f>
        <v>0</v>
      </c>
    </row>
    <row r="472" spans="9:12" x14ac:dyDescent="0.2">
      <c r="I472" s="938">
        <v>344</v>
      </c>
      <c r="J472" s="938">
        <f t="shared" si="93"/>
        <v>0</v>
      </c>
      <c r="K472" s="804" t="str">
        <v>Schnittlauch, Verarbeitung, alle Schnitte</v>
      </c>
      <c r="L472" s="938">
        <f>SUMIFS($L$5:$L$104,'Flächen u. Kulturen'!$P$10:$P$109,'#BerechnungDBE'!K472,'Flächen u. Kulturen'!$E$10:$E$109,"x")</f>
        <v>0</v>
      </c>
    </row>
    <row r="473" spans="9:12" x14ac:dyDescent="0.2">
      <c r="I473" s="938">
        <v>345</v>
      </c>
      <c r="J473" s="938">
        <f t="shared" si="93"/>
        <v>0</v>
      </c>
      <c r="K473" s="804" t="str">
        <v>Schöllkraut (Blühendes Kraut)</v>
      </c>
      <c r="L473" s="938">
        <f>SUMIFS($L$5:$L$104,'Flächen u. Kulturen'!$P$10:$P$109,'#BerechnungDBE'!K473,'Flächen u. Kulturen'!$E$10:$E$109,"x")</f>
        <v>0</v>
      </c>
    </row>
    <row r="474" spans="9:12" x14ac:dyDescent="0.2">
      <c r="I474" s="938">
        <v>346</v>
      </c>
      <c r="J474" s="938">
        <f t="shared" si="93"/>
        <v>0</v>
      </c>
      <c r="K474" s="804" t="str">
        <v>Schwarzkümmel (Samen)</v>
      </c>
      <c r="L474" s="938">
        <f>SUMIFS($L$5:$L$104,'Flächen u. Kulturen'!$P$10:$P$109,'#BerechnungDBE'!K474,'Flächen u. Kulturen'!$E$10:$E$109,"x")</f>
        <v>0</v>
      </c>
    </row>
    <row r="475" spans="9:12" x14ac:dyDescent="0.2">
      <c r="I475" s="938">
        <v>347</v>
      </c>
      <c r="J475" s="938">
        <f t="shared" si="93"/>
        <v>0</v>
      </c>
      <c r="K475" s="804" t="str">
        <v>Sellerie, Schnitt- (Kraut)</v>
      </c>
      <c r="L475" s="938">
        <f>SUMIFS($L$5:$L$104,'Flächen u. Kulturen'!$P$10:$P$109,'#BerechnungDBE'!K475,'Flächen u. Kulturen'!$E$10:$E$109,"x")</f>
        <v>0</v>
      </c>
    </row>
    <row r="476" spans="9:12" x14ac:dyDescent="0.2">
      <c r="I476" s="938">
        <v>348</v>
      </c>
      <c r="J476" s="938">
        <f t="shared" si="93"/>
        <v>0</v>
      </c>
      <c r="K476" s="804" t="str">
        <v>Senf, Brauner (Samen)</v>
      </c>
      <c r="L476" s="938">
        <f>SUMIFS($L$5:$L$104,'Flächen u. Kulturen'!$P$10:$P$109,'#BerechnungDBE'!K476,'Flächen u. Kulturen'!$E$10:$E$109,"x")</f>
        <v>0</v>
      </c>
    </row>
    <row r="477" spans="9:12" x14ac:dyDescent="0.2">
      <c r="I477" s="938">
        <v>349</v>
      </c>
      <c r="J477" s="938">
        <f t="shared" si="93"/>
        <v>0</v>
      </c>
      <c r="K477" s="804" t="str">
        <v>Senf, Gelber/Weißer (Samen)</v>
      </c>
      <c r="L477" s="938">
        <f>SUMIFS($L$5:$L$104,'Flächen u. Kulturen'!$P$10:$P$109,'#BerechnungDBE'!K477,'Flächen u. Kulturen'!$E$10:$E$109,"x")</f>
        <v>0</v>
      </c>
    </row>
    <row r="478" spans="9:12" x14ac:dyDescent="0.2">
      <c r="I478" s="938">
        <v>350</v>
      </c>
      <c r="J478" s="938">
        <f t="shared" si="93"/>
        <v>0</v>
      </c>
      <c r="K478" s="804" t="str">
        <v>Senf, Schwarzer (Samen)</v>
      </c>
      <c r="L478" s="938">
        <f>SUMIFS($L$5:$L$104,'Flächen u. Kulturen'!$P$10:$P$109,'#BerechnungDBE'!K478,'Flächen u. Kulturen'!$E$10:$E$109,"x")</f>
        <v>0</v>
      </c>
    </row>
    <row r="479" spans="9:12" x14ac:dyDescent="0.2">
      <c r="I479" s="938">
        <v>351</v>
      </c>
      <c r="J479" s="938">
        <f t="shared" si="93"/>
        <v>0</v>
      </c>
      <c r="K479" s="804" t="str">
        <v>Siegesbeckia (Blühendes Kraut)</v>
      </c>
      <c r="L479" s="938">
        <f>SUMIFS($L$5:$L$104,'Flächen u. Kulturen'!$P$10:$P$109,'#BerechnungDBE'!K479,'Flächen u. Kulturen'!$E$10:$E$109,"x")</f>
        <v>0</v>
      </c>
    </row>
    <row r="480" spans="9:12" x14ac:dyDescent="0.2">
      <c r="I480" s="938">
        <v>352</v>
      </c>
      <c r="J480" s="938">
        <f t="shared" si="93"/>
        <v>0</v>
      </c>
      <c r="K480" s="804" t="str">
        <v>Sonnenhut (E.angustifolia) (Blühendes Kraut)</v>
      </c>
      <c r="L480" s="938">
        <f>SUMIFS($L$5:$L$104,'Flächen u. Kulturen'!$P$10:$P$109,'#BerechnungDBE'!K480,'Flächen u. Kulturen'!$E$10:$E$109,"x")</f>
        <v>0</v>
      </c>
    </row>
    <row r="481" spans="9:12" x14ac:dyDescent="0.2">
      <c r="I481" s="938">
        <v>353</v>
      </c>
      <c r="J481" s="938">
        <f t="shared" si="93"/>
        <v>0</v>
      </c>
      <c r="K481" s="804" t="str">
        <v>Sonnenhut (E.pallida) (Blühendes Kraut)</v>
      </c>
      <c r="L481" s="938">
        <f>SUMIFS($L$5:$L$104,'Flächen u. Kulturen'!$P$10:$P$109,'#BerechnungDBE'!K481,'Flächen u. Kulturen'!$E$10:$E$109,"x")</f>
        <v>0</v>
      </c>
    </row>
    <row r="482" spans="9:12" x14ac:dyDescent="0.2">
      <c r="I482" s="938">
        <v>354</v>
      </c>
      <c r="J482" s="938">
        <f t="shared" si="93"/>
        <v>0</v>
      </c>
      <c r="K482" s="804" t="str">
        <v>Sonnenhut (E.purpurea) (Blühendes Kraut)</v>
      </c>
      <c r="L482" s="938">
        <f>SUMIFS($L$5:$L$104,'Flächen u. Kulturen'!$P$10:$P$109,'#BerechnungDBE'!K482,'Flächen u. Kulturen'!$E$10:$E$109,"x")</f>
        <v>0</v>
      </c>
    </row>
    <row r="483" spans="9:12" x14ac:dyDescent="0.2">
      <c r="I483" s="938">
        <v>355</v>
      </c>
      <c r="J483" s="938">
        <f t="shared" si="93"/>
        <v>0</v>
      </c>
      <c r="K483" s="804" t="str">
        <v>Spitzwegerich (Kraut)</v>
      </c>
      <c r="L483" s="938">
        <f>SUMIFS($L$5:$L$104,'Flächen u. Kulturen'!$P$10:$P$109,'#BerechnungDBE'!K483,'Flächen u. Kulturen'!$E$10:$E$109,"x")</f>
        <v>0</v>
      </c>
    </row>
    <row r="484" spans="9:12" x14ac:dyDescent="0.2">
      <c r="I484" s="938">
        <v>356</v>
      </c>
      <c r="J484" s="938">
        <f t="shared" si="93"/>
        <v>0</v>
      </c>
      <c r="K484" s="804" t="str">
        <v>Steinklee, Gelber (Blühendes Kraut)</v>
      </c>
      <c r="L484" s="938">
        <f>SUMIFS($L$5:$L$104,'Flächen u. Kulturen'!$P$10:$P$109,'#BerechnungDBE'!K484,'Flächen u. Kulturen'!$E$10:$E$109,"x")</f>
        <v>0</v>
      </c>
    </row>
    <row r="485" spans="9:12" x14ac:dyDescent="0.2">
      <c r="I485" s="938">
        <v>357</v>
      </c>
      <c r="J485" s="938">
        <f t="shared" si="93"/>
        <v>0</v>
      </c>
      <c r="K485" s="804" t="str">
        <v>Steinklee, Weißer (Blühendes Kraut)</v>
      </c>
      <c r="L485" s="938">
        <f>SUMIFS($L$5:$L$104,'Flächen u. Kulturen'!$P$10:$P$109,'#BerechnungDBE'!K485,'Flächen u. Kulturen'!$E$10:$E$109,"x")</f>
        <v>0</v>
      </c>
    </row>
    <row r="486" spans="9:12" x14ac:dyDescent="0.2">
      <c r="I486" s="938">
        <v>358</v>
      </c>
      <c r="J486" s="938">
        <f t="shared" si="93"/>
        <v>0</v>
      </c>
      <c r="K486" s="804" t="str">
        <v>Thymian (Blühendes Kraut)</v>
      </c>
      <c r="L486" s="938">
        <f>SUMIFS($L$5:$L$104,'Flächen u. Kulturen'!$P$10:$P$109,'#BerechnungDBE'!K486,'Flächen u. Kulturen'!$E$10:$E$109,"x")</f>
        <v>0</v>
      </c>
    </row>
    <row r="487" spans="9:12" x14ac:dyDescent="0.2">
      <c r="I487" s="938">
        <v>359</v>
      </c>
      <c r="J487" s="938">
        <f t="shared" si="93"/>
        <v>0</v>
      </c>
      <c r="K487" s="804" t="str">
        <v>Tollkirsche (Kraut)</v>
      </c>
      <c r="L487" s="938">
        <f>SUMIFS($L$5:$L$104,'Flächen u. Kulturen'!$P$10:$P$109,'#BerechnungDBE'!K487,'Flächen u. Kulturen'!$E$10:$E$109,"x")</f>
        <v>0</v>
      </c>
    </row>
    <row r="488" spans="9:12" x14ac:dyDescent="0.2">
      <c r="I488" s="938">
        <v>360</v>
      </c>
      <c r="J488" s="938">
        <f t="shared" si="93"/>
        <v>0</v>
      </c>
      <c r="K488" s="804" t="str">
        <v>Tragant, Chinesischer (Wurzeln)</v>
      </c>
      <c r="L488" s="938">
        <f>SUMIFS($L$5:$L$104,'Flächen u. Kulturen'!$P$10:$P$109,'#BerechnungDBE'!K488,'Flächen u. Kulturen'!$E$10:$E$109,"x")</f>
        <v>0</v>
      </c>
    </row>
    <row r="489" spans="9:12" x14ac:dyDescent="0.2">
      <c r="I489" s="938">
        <v>361</v>
      </c>
      <c r="J489" s="938">
        <f t="shared" si="93"/>
        <v>0</v>
      </c>
      <c r="K489" s="804" t="str">
        <v>Wermut, Beifuß (Nicht blühendes Kraut)</v>
      </c>
      <c r="L489" s="938">
        <f>SUMIFS($L$5:$L$104,'Flächen u. Kulturen'!$P$10:$P$109,'#BerechnungDBE'!K489,'Flächen u. Kulturen'!$E$10:$E$109,"x")</f>
        <v>0</v>
      </c>
    </row>
    <row r="490" spans="9:12" x14ac:dyDescent="0.2">
      <c r="I490" s="938">
        <v>362</v>
      </c>
      <c r="J490" s="938">
        <f t="shared" ref="J490:J494" si="94">IF(L490=0,0,L490+0.00000000001*I490)</f>
        <v>0</v>
      </c>
      <c r="K490" s="804" t="str">
        <v>Winterheckenzwiebel (Kraut)</v>
      </c>
      <c r="L490" s="938">
        <f>SUMIFS($L$5:$L$104,'Flächen u. Kulturen'!$P$10:$P$109,'#BerechnungDBE'!K490,'Flächen u. Kulturen'!$E$10:$E$109,"x")</f>
        <v>0</v>
      </c>
    </row>
    <row r="491" spans="9:12" x14ac:dyDescent="0.2">
      <c r="I491" s="938">
        <v>363</v>
      </c>
      <c r="J491" s="938">
        <f t="shared" si="94"/>
        <v>0</v>
      </c>
      <c r="K491" s="804" t="str">
        <v>Ysop (Blühendes Kraut)</v>
      </c>
      <c r="L491" s="938">
        <f>SUMIFS($L$5:$L$104,'Flächen u. Kulturen'!$P$10:$P$109,'#BerechnungDBE'!K491,'Flächen u. Kulturen'!$E$10:$E$109,"x")</f>
        <v>0</v>
      </c>
    </row>
    <row r="492" spans="9:12" x14ac:dyDescent="0.2">
      <c r="I492" s="938">
        <v>364</v>
      </c>
      <c r="J492" s="938">
        <f t="shared" si="94"/>
        <v>0</v>
      </c>
      <c r="K492" s="804" t="str">
        <v>Zitronenmelisse (Nicht blühendes Kraut)</v>
      </c>
      <c r="L492" s="938">
        <f>SUMIFS($L$5:$L$104,'Flächen u. Kulturen'!$P$10:$P$109,'#BerechnungDBE'!K492,'Flächen u. Kulturen'!$E$10:$E$109,"x")</f>
        <v>0</v>
      </c>
    </row>
    <row r="493" spans="9:12" x14ac:dyDescent="0.2">
      <c r="I493" s="938">
        <v>365</v>
      </c>
      <c r="J493" s="938">
        <f t="shared" si="94"/>
        <v>0</v>
      </c>
      <c r="K493" s="804" t="str">
        <v>Zitronenverbene (Kraut)</v>
      </c>
      <c r="L493" s="938">
        <f>SUMIFS($L$5:$L$104,'Flächen u. Kulturen'!$P$10:$P$109,'#BerechnungDBE'!K493,'Flächen u. Kulturen'!$E$10:$E$109,"x")</f>
        <v>0</v>
      </c>
    </row>
    <row r="494" spans="9:12" x14ac:dyDescent="0.2">
      <c r="I494" s="938">
        <v>366</v>
      </c>
      <c r="J494" s="938">
        <f t="shared" si="94"/>
        <v>0</v>
      </c>
      <c r="K494" s="804" t="str">
        <v>Weitere s. Vorauswahl</v>
      </c>
      <c r="L494" s="938">
        <f>SUMIFS($L$5:$L$104,'Flächen u. Kulturen'!$P$10:$P$109,'#BerechnungDBE'!K494,'Flächen u. Kulturen'!$E$10:$E$109,"x")</f>
        <v>0</v>
      </c>
    </row>
    <row r="495" spans="9:12" x14ac:dyDescent="0.2">
      <c r="K495" s="804"/>
    </row>
    <row r="496" spans="9:12" x14ac:dyDescent="0.2">
      <c r="K496" s="804"/>
    </row>
    <row r="497" spans="11:11" x14ac:dyDescent="0.2">
      <c r="K497" s="804"/>
    </row>
    <row r="498" spans="11:11" x14ac:dyDescent="0.2">
      <c r="K498" s="804"/>
    </row>
    <row r="499" spans="11:11" x14ac:dyDescent="0.2">
      <c r="K499" s="804"/>
    </row>
    <row r="500" spans="11:11" x14ac:dyDescent="0.2">
      <c r="K500" s="804"/>
    </row>
    <row r="501" spans="11:11" x14ac:dyDescent="0.2">
      <c r="K501" s="804"/>
    </row>
    <row r="502" spans="11:11" x14ac:dyDescent="0.2">
      <c r="K502" s="804"/>
    </row>
    <row r="503" spans="11:11" x14ac:dyDescent="0.2">
      <c r="K503" s="804"/>
    </row>
    <row r="504" spans="11:11" x14ac:dyDescent="0.2">
      <c r="K504" s="804"/>
    </row>
    <row r="505" spans="11:11" x14ac:dyDescent="0.2">
      <c r="K505" s="804"/>
    </row>
    <row r="506" spans="11:11" x14ac:dyDescent="0.2">
      <c r="K506" s="804"/>
    </row>
    <row r="507" spans="11:11" x14ac:dyDescent="0.2">
      <c r="K507" s="804"/>
    </row>
    <row r="508" spans="11:11" x14ac:dyDescent="0.2">
      <c r="K508" s="804"/>
    </row>
    <row r="509" spans="11:11" x14ac:dyDescent="0.2">
      <c r="K509" s="804"/>
    </row>
    <row r="510" spans="11:11" x14ac:dyDescent="0.2">
      <c r="K510" s="804"/>
    </row>
    <row r="511" spans="11:11" x14ac:dyDescent="0.2">
      <c r="K511" s="804"/>
    </row>
    <row r="512" spans="11:11" x14ac:dyDescent="0.2">
      <c r="K512" s="804"/>
    </row>
    <row r="513" spans="11:11" x14ac:dyDescent="0.2">
      <c r="K513" s="804"/>
    </row>
    <row r="514" spans="11:11" x14ac:dyDescent="0.2">
      <c r="K514" s="804"/>
    </row>
    <row r="515" spans="11:11" x14ac:dyDescent="0.2">
      <c r="K515" s="804"/>
    </row>
    <row r="516" spans="11:11" x14ac:dyDescent="0.2">
      <c r="K516" s="804"/>
    </row>
    <row r="517" spans="11:11" x14ac:dyDescent="0.2">
      <c r="K517" s="804"/>
    </row>
    <row r="518" spans="11:11" x14ac:dyDescent="0.2">
      <c r="K518" s="804"/>
    </row>
    <row r="519" spans="11:11" x14ac:dyDescent="0.2">
      <c r="K519" s="804"/>
    </row>
    <row r="520" spans="11:11" x14ac:dyDescent="0.2">
      <c r="K520" s="804"/>
    </row>
    <row r="521" spans="11:11" x14ac:dyDescent="0.2">
      <c r="K521" s="804"/>
    </row>
    <row r="522" spans="11:11" x14ac:dyDescent="0.2">
      <c r="K522" s="804"/>
    </row>
    <row r="523" spans="11:11" x14ac:dyDescent="0.2">
      <c r="K523" s="804"/>
    </row>
    <row r="524" spans="11:11" x14ac:dyDescent="0.2">
      <c r="K524" s="804"/>
    </row>
    <row r="525" spans="11:11" x14ac:dyDescent="0.2">
      <c r="K525" s="804"/>
    </row>
    <row r="526" spans="11:11" x14ac:dyDescent="0.2">
      <c r="K526" s="804"/>
    </row>
    <row r="527" spans="11:11" x14ac:dyDescent="0.2">
      <c r="K527" s="804"/>
    </row>
    <row r="528" spans="11:11" x14ac:dyDescent="0.2">
      <c r="K528" s="804"/>
    </row>
    <row r="529" spans="11:11" x14ac:dyDescent="0.2">
      <c r="K529" s="804"/>
    </row>
    <row r="530" spans="11:11" x14ac:dyDescent="0.2">
      <c r="K530" s="804"/>
    </row>
    <row r="531" spans="11:11" x14ac:dyDescent="0.2">
      <c r="K531" s="804"/>
    </row>
    <row r="532" spans="11:11" x14ac:dyDescent="0.2">
      <c r="K532" s="804"/>
    </row>
    <row r="533" spans="11:11" x14ac:dyDescent="0.2">
      <c r="K533" s="804"/>
    </row>
    <row r="534" spans="11:11" x14ac:dyDescent="0.2">
      <c r="K534" s="804"/>
    </row>
    <row r="535" spans="11:11" x14ac:dyDescent="0.2">
      <c r="K535" s="804"/>
    </row>
    <row r="536" spans="11:11" x14ac:dyDescent="0.2">
      <c r="K536" s="804"/>
    </row>
    <row r="537" spans="11:11" x14ac:dyDescent="0.2">
      <c r="K537" s="804"/>
    </row>
    <row r="538" spans="11:11" x14ac:dyDescent="0.2">
      <c r="K538" s="804"/>
    </row>
    <row r="539" spans="11:11" x14ac:dyDescent="0.2">
      <c r="K539" s="804"/>
    </row>
    <row r="540" spans="11:11" x14ac:dyDescent="0.2">
      <c r="K540" s="804"/>
    </row>
    <row r="541" spans="11:11" x14ac:dyDescent="0.2">
      <c r="K541" s="804"/>
    </row>
    <row r="542" spans="11:11" x14ac:dyDescent="0.2">
      <c r="K542" s="804"/>
    </row>
    <row r="543" spans="11:11" x14ac:dyDescent="0.2">
      <c r="K543" s="804"/>
    </row>
    <row r="544" spans="11:11" x14ac:dyDescent="0.2">
      <c r="K544" s="804"/>
    </row>
    <row r="545" spans="11:11" x14ac:dyDescent="0.2">
      <c r="K545" s="804"/>
    </row>
    <row r="546" spans="11:11" x14ac:dyDescent="0.2">
      <c r="K546" s="804"/>
    </row>
    <row r="547" spans="11:11" x14ac:dyDescent="0.2">
      <c r="K547" s="804"/>
    </row>
    <row r="548" spans="11:11" x14ac:dyDescent="0.2">
      <c r="K548" s="804"/>
    </row>
    <row r="549" spans="11:11" x14ac:dyDescent="0.2">
      <c r="K549" s="804"/>
    </row>
    <row r="550" spans="11:11" x14ac:dyDescent="0.2">
      <c r="K550" s="804"/>
    </row>
    <row r="551" spans="11:11" x14ac:dyDescent="0.2">
      <c r="K551" s="804"/>
    </row>
    <row r="552" spans="11:11" x14ac:dyDescent="0.2">
      <c r="K552" s="804"/>
    </row>
    <row r="553" spans="11:11" x14ac:dyDescent="0.2">
      <c r="K553" s="804"/>
    </row>
    <row r="554" spans="11:11" x14ac:dyDescent="0.2">
      <c r="K554" s="804"/>
    </row>
    <row r="555" spans="11:11" x14ac:dyDescent="0.2">
      <c r="K555" s="804"/>
    </row>
    <row r="556" spans="11:11" x14ac:dyDescent="0.2">
      <c r="K556" s="804"/>
    </row>
    <row r="557" spans="11:11" x14ac:dyDescent="0.2">
      <c r="K557" s="804"/>
    </row>
    <row r="558" spans="11:11" x14ac:dyDescent="0.2">
      <c r="K558" s="804"/>
    </row>
    <row r="559" spans="11:11" x14ac:dyDescent="0.2">
      <c r="K559" s="804"/>
    </row>
    <row r="560" spans="11:11" x14ac:dyDescent="0.2">
      <c r="K560" s="804"/>
    </row>
    <row r="561" spans="11:11" x14ac:dyDescent="0.2">
      <c r="K561" s="804"/>
    </row>
    <row r="562" spans="11:11" x14ac:dyDescent="0.2">
      <c r="K562" s="804"/>
    </row>
    <row r="563" spans="11:11" x14ac:dyDescent="0.2">
      <c r="K563" s="804"/>
    </row>
    <row r="564" spans="11:11" x14ac:dyDescent="0.2">
      <c r="K564" s="804"/>
    </row>
    <row r="565" spans="11:11" x14ac:dyDescent="0.2">
      <c r="K565" s="804"/>
    </row>
    <row r="566" spans="11:11" x14ac:dyDescent="0.2">
      <c r="K566" s="804"/>
    </row>
    <row r="567" spans="11:11" x14ac:dyDescent="0.2">
      <c r="K567" s="804"/>
    </row>
    <row r="568" spans="11:11" x14ac:dyDescent="0.2">
      <c r="K568" s="804"/>
    </row>
    <row r="569" spans="11:11" x14ac:dyDescent="0.2">
      <c r="K569" s="804"/>
    </row>
    <row r="570" spans="11:11" x14ac:dyDescent="0.2">
      <c r="K570" s="804"/>
    </row>
  </sheetData>
  <mergeCells count="9">
    <mergeCell ref="M2:AA2"/>
    <mergeCell ref="AZ109:BA110"/>
    <mergeCell ref="BN3:BP3"/>
    <mergeCell ref="BT3:BU3"/>
    <mergeCell ref="BQ3:BS3"/>
    <mergeCell ref="AF2:AH2"/>
    <mergeCell ref="AX3:AZ3"/>
    <mergeCell ref="BA2:BA3"/>
    <mergeCell ref="BC2:BC3"/>
  </mergeCells>
  <pageMargins left="0.7" right="0.7" top="0.78740157499999996" bottom="0.78740157499999996" header="0.3" footer="0.3"/>
  <pageSetup paperSize="9" orientation="portrait" horizont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F8F896"/>
  </sheetPr>
  <dimension ref="A1:EC120"/>
  <sheetViews>
    <sheetView showGridLines="0" topLeftCell="A2" workbookViewId="0">
      <pane xSplit="6" ySplit="11" topLeftCell="G13" activePane="bottomRight" state="frozen"/>
      <selection activeCell="C8" sqref="C8:E8"/>
      <selection pane="topRight" activeCell="C8" sqref="C8:E8"/>
      <selection pane="bottomLeft" activeCell="C8" sqref="C8:E8"/>
      <selection pane="bottomRight" activeCell="J13" sqref="J13"/>
    </sheetView>
  </sheetViews>
  <sheetFormatPr baseColWidth="10" defaultColWidth="11.42578125" defaultRowHeight="15.95" customHeight="1" x14ac:dyDescent="0.2"/>
  <cols>
    <col min="1" max="1" width="3.7109375" customWidth="1"/>
    <col min="2" max="2" width="21.7109375" customWidth="1"/>
    <col min="3" max="3" width="6.5703125" customWidth="1"/>
    <col min="4" max="4" width="3.140625" style="414" customWidth="1"/>
    <col min="5" max="5" width="4.7109375" style="891" customWidth="1"/>
    <col min="6" max="6" width="21.5703125" customWidth="1"/>
    <col min="7" max="7" width="4.5703125" style="891" customWidth="1"/>
    <col min="8" max="8" width="4.5703125" style="1485" customWidth="1"/>
    <col min="9" max="9" width="8.7109375" customWidth="1"/>
    <col min="10" max="11" width="7.7109375" customWidth="1"/>
    <col min="12" max="12" width="5.140625" customWidth="1"/>
    <col min="13" max="15" width="3.28515625" style="875" customWidth="1"/>
    <col min="16" max="16" width="5.140625" style="875" customWidth="1"/>
    <col min="17" max="19" width="3.28515625" style="875" customWidth="1"/>
    <col min="20" max="20" width="5.140625" style="875" customWidth="1"/>
    <col min="21" max="23" width="3.28515625" style="875" customWidth="1"/>
    <col min="24" max="24" width="5.140625" style="875" customWidth="1"/>
    <col min="25" max="27" width="3.28515625" style="875" customWidth="1"/>
    <col min="28" max="28" width="5.140625" style="875" customWidth="1"/>
    <col min="29" max="31" width="3.28515625" style="875" customWidth="1"/>
    <col min="32" max="32" width="5.140625" style="875" customWidth="1"/>
    <col min="33" max="35" width="3.28515625" style="875" customWidth="1"/>
    <col min="36" max="36" width="5.140625" style="875" customWidth="1"/>
    <col min="37" max="39" width="3.28515625" style="875" customWidth="1"/>
    <col min="40" max="40" width="5.140625" style="875" customWidth="1"/>
    <col min="41" max="43" width="3.28515625" style="875" customWidth="1"/>
    <col min="44" max="44" width="5.140625" style="875" customWidth="1"/>
    <col min="45" max="47" width="3.28515625" style="875" customWidth="1"/>
    <col min="48" max="48" width="5.140625" style="875" customWidth="1"/>
    <col min="49" max="51" width="3.28515625" style="875" customWidth="1"/>
    <col min="52" max="52" width="5.140625" style="875" customWidth="1"/>
    <col min="53" max="55" width="3.28515625" style="875" customWidth="1"/>
    <col min="56" max="56" width="5.140625" style="875" customWidth="1"/>
    <col min="57" max="59" width="3.28515625" style="875" customWidth="1"/>
    <col min="60" max="60" width="5.140625" style="875" customWidth="1"/>
    <col min="61" max="63" width="3.28515625" style="875" customWidth="1"/>
    <col min="64" max="64" width="5.140625" style="875" customWidth="1"/>
    <col min="65" max="67" width="3.28515625" style="875" customWidth="1"/>
    <col min="68" max="68" width="5.140625" style="875" customWidth="1"/>
    <col min="69" max="71" width="3.28515625" style="875" customWidth="1"/>
    <col min="72" max="72" width="5.140625" style="875" customWidth="1"/>
    <col min="73" max="75" width="3.28515625" style="875" customWidth="1"/>
    <col min="76" max="76" width="5.140625" style="875" customWidth="1"/>
    <col min="77" max="79" width="3.28515625" style="875" customWidth="1"/>
    <col min="80" max="80" width="5.140625" style="875" customWidth="1"/>
    <col min="81" max="83" width="3.28515625" style="875" customWidth="1"/>
    <col min="84" max="84" width="5.140625" style="875" customWidth="1"/>
    <col min="85" max="87" width="3.28515625" style="875" customWidth="1"/>
    <col min="88" max="88" width="5.140625" style="875" customWidth="1"/>
    <col min="89" max="91" width="3.28515625" style="875" customWidth="1"/>
    <col min="92" max="92" width="5.140625" style="875" customWidth="1"/>
    <col min="93" max="95" width="3.28515625" style="875" customWidth="1"/>
    <col min="96" max="96" width="5.140625" style="875" customWidth="1"/>
    <col min="97" max="99" width="3.28515625" style="875" customWidth="1"/>
    <col min="100" max="100" width="5.140625" style="875" customWidth="1"/>
    <col min="101" max="103" width="3.28515625" style="875" customWidth="1"/>
    <col min="104" max="104" width="5.140625" style="875" customWidth="1"/>
    <col min="105" max="107" width="3.28515625" style="875" customWidth="1"/>
    <col min="108" max="108" width="5.140625" style="875" customWidth="1"/>
    <col min="109" max="111" width="3.28515625" style="875" customWidth="1"/>
    <col min="112" max="112" width="5.140625" style="875" customWidth="1"/>
    <col min="113" max="115" width="3.28515625" style="875" customWidth="1"/>
    <col min="116" max="116" width="5.140625" style="875" customWidth="1"/>
    <col min="117" max="119" width="3.28515625" style="875" customWidth="1"/>
    <col min="120" max="120" width="5.140625" style="875" customWidth="1"/>
    <col min="121" max="123" width="3.28515625" style="875" customWidth="1"/>
    <col min="124" max="124" width="5.140625" style="875" customWidth="1"/>
    <col min="125" max="127" width="3.28515625" style="875" customWidth="1"/>
    <col min="128" max="128" width="5.140625" style="875" customWidth="1"/>
    <col min="129" max="131" width="3.28515625" style="875" customWidth="1"/>
    <col min="132" max="133" width="3.28515625" style="300" customWidth="1"/>
    <col min="134" max="16384" width="11.42578125" style="300"/>
  </cols>
  <sheetData>
    <row r="1" spans="1:133" ht="15.95" hidden="1" customHeight="1" x14ac:dyDescent="0.2">
      <c r="A1" s="251" t="s">
        <v>351</v>
      </c>
      <c r="B1" s="252"/>
      <c r="C1" s="252"/>
      <c r="F1" s="252"/>
      <c r="I1" s="252"/>
      <c r="J1" s="252"/>
      <c r="K1" s="252"/>
      <c r="L1" s="252"/>
    </row>
    <row r="2" spans="1:133" s="617" customFormat="1" ht="22.5" customHeight="1" x14ac:dyDescent="0.2">
      <c r="A2" s="1182"/>
      <c r="B2" s="1136"/>
      <c r="C2" s="1136"/>
      <c r="D2" s="1136"/>
      <c r="E2" s="1176"/>
      <c r="F2" s="1183" t="s">
        <v>1113</v>
      </c>
      <c r="G2" s="1184"/>
      <c r="H2" s="1184"/>
      <c r="I2" s="11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row>
    <row r="3" spans="1:133" ht="15" customHeight="1" x14ac:dyDescent="0.2">
      <c r="A3" s="1041"/>
      <c r="B3" s="1612" t="s">
        <v>1599</v>
      </c>
      <c r="C3" s="1612"/>
      <c r="D3" s="1612"/>
      <c r="E3" s="1612"/>
      <c r="F3" s="1612"/>
      <c r="G3" s="1169"/>
      <c r="H3" s="1169"/>
      <c r="I3" s="1041"/>
      <c r="J3" s="478"/>
      <c r="K3" s="478"/>
      <c r="L3" s="1613" t="str">
        <f>IF('#orgDung'!AL127=0,"",TRIM(CONCATENATE('#orgDung'!$AI$123," ",'#orgDung'!AL123," ",'#orgDung'!AL124," ",'#orgDung'!AL125)))</f>
        <v/>
      </c>
      <c r="M3" s="1613"/>
      <c r="N3" s="1613"/>
      <c r="O3" s="1613"/>
      <c r="P3" s="1613" t="str">
        <f>IF('#orgDung'!BA127=0,"",TRIM(CONCATENATE('#orgDung'!$AI$123," ",'#orgDung'!BA123," ",'#orgDung'!BA124," ",'#orgDung'!BA125)))</f>
        <v/>
      </c>
      <c r="Q3" s="1613"/>
      <c r="R3" s="1613"/>
      <c r="S3" s="1613"/>
      <c r="T3" s="1613" t="str">
        <f>IF('#orgDung'!BP127=0,"",TRIM(CONCATENATE('#orgDung'!$AI$123," ",'#orgDung'!BP123," ",'#orgDung'!BP124," ",'#orgDung'!BP125)))</f>
        <v/>
      </c>
      <c r="U3" s="1613"/>
      <c r="V3" s="1613"/>
      <c r="W3" s="1613"/>
      <c r="X3" s="1613" t="str">
        <f>IF('#orgDung'!CE127=0,"",TRIM(CONCATENATE('#orgDung'!$AI$123," ",'#orgDung'!CE123," ",'#orgDung'!CE124," ",'#orgDung'!CE125)))</f>
        <v/>
      </c>
      <c r="Y3" s="1613"/>
      <c r="Z3" s="1613"/>
      <c r="AA3" s="1613"/>
      <c r="AB3" s="1613" t="str">
        <f>IF('#orgDung'!CT127=0,"",TRIM(CONCATENATE('#orgDung'!$AI$123," ",'#orgDung'!CT123," ",'#orgDung'!CT124," ",'#orgDung'!CT125)))</f>
        <v/>
      </c>
      <c r="AC3" s="1613"/>
      <c r="AD3" s="1613"/>
      <c r="AE3" s="1613"/>
      <c r="AF3" s="1613" t="str">
        <f>IF('#orgDung'!DI127=0,"",TRIM(CONCATENATE('#orgDung'!$AI$123," ",'#orgDung'!DI123," ",'#orgDung'!DI124," ",'#orgDung'!DI125)))</f>
        <v/>
      </c>
      <c r="AG3" s="1613"/>
      <c r="AH3" s="1613"/>
      <c r="AI3" s="1613"/>
      <c r="AJ3" s="1613" t="str">
        <f>IF('#orgDung'!DX127=0,"",TRIM(CONCATENATE('#orgDung'!$AI$123," ",'#orgDung'!DX123," ",'#orgDung'!DX124," ",'#orgDung'!DX125)))</f>
        <v/>
      </c>
      <c r="AK3" s="1613"/>
      <c r="AL3" s="1613"/>
      <c r="AM3" s="1613"/>
      <c r="AN3" s="1613" t="str">
        <f>IF('#orgDung'!EM127=0,"",TRIM(CONCATENATE('#orgDung'!$AI$123," ",'#orgDung'!EM123," ",'#orgDung'!EM124," ",'#orgDung'!EM125)))</f>
        <v/>
      </c>
      <c r="AO3" s="1613"/>
      <c r="AP3" s="1613"/>
      <c r="AQ3" s="1613"/>
      <c r="AR3" s="1613" t="str">
        <f>IF('#orgDung'!FB127=0,"",TRIM(CONCATENATE('#orgDung'!$AI$123," ",'#orgDung'!FB123," ",'#orgDung'!FB124," ",'#orgDung'!FB125)))</f>
        <v/>
      </c>
      <c r="AS3" s="1613"/>
      <c r="AT3" s="1613"/>
      <c r="AU3" s="1613"/>
      <c r="AV3" s="1613" t="str">
        <f>IF('#orgDung'!FQ127=0,"",TRIM(CONCATENATE('#orgDung'!$AI$123," ",'#orgDung'!FQ123," ",'#orgDung'!FQ124," ",'#orgDung'!FQ125)))</f>
        <v/>
      </c>
      <c r="AW3" s="1613"/>
      <c r="AX3" s="1613"/>
      <c r="AY3" s="1613"/>
      <c r="AZ3" s="1613" t="str">
        <f>IF('#orgDung'!GF127=0,"",TRIM(CONCATENATE('#orgDung'!$AI$123," ",'#orgDung'!GF123," ",'#orgDung'!GF124," ",'#orgDung'!GF125)))</f>
        <v/>
      </c>
      <c r="BA3" s="1613"/>
      <c r="BB3" s="1613"/>
      <c r="BC3" s="1613"/>
      <c r="BD3" s="1613" t="str">
        <f>IF('#orgDung'!GU127=0,"",TRIM(CONCATENATE('#orgDung'!$AI$123," ",'#orgDung'!GU123," ",'#orgDung'!GU124," ",'#orgDung'!GU125)))</f>
        <v/>
      </c>
      <c r="BE3" s="1613"/>
      <c r="BF3" s="1613"/>
      <c r="BG3" s="1613"/>
      <c r="BH3" s="1613" t="str">
        <f>IF('#orgDung'!HJ127=0,"",TRIM(CONCATENATE('#orgDung'!$AI$123," ",'#orgDung'!HJ123," ",'#orgDung'!HJ124," ",'#orgDung'!HJ125)))</f>
        <v/>
      </c>
      <c r="BI3" s="1613"/>
      <c r="BJ3" s="1613"/>
      <c r="BK3" s="1613"/>
      <c r="BL3" s="1613" t="str">
        <f>IF('#orgDung'!HY127=0,"",TRIM(CONCATENATE('#orgDung'!$AI$123," ",'#orgDung'!HY123," ",'#orgDung'!HY124," ",'#orgDung'!HY125)))</f>
        <v/>
      </c>
      <c r="BM3" s="1613"/>
      <c r="BN3" s="1613"/>
      <c r="BO3" s="1613"/>
      <c r="BP3" s="1613" t="str">
        <f>IF('#orgDung'!IN127=0,"",TRIM(CONCATENATE('#orgDung'!$AI$123," ",'#orgDung'!IN123," ",'#orgDung'!IN124," ",'#orgDung'!IN125)))</f>
        <v/>
      </c>
      <c r="BQ3" s="1613"/>
      <c r="BR3" s="1613"/>
      <c r="BS3" s="1613"/>
      <c r="BT3" s="1613" t="str">
        <f>IF('#orgDung'!JC127=0,"",TRIM(CONCATENATE('#orgDung'!$AI$123," ",'#orgDung'!JC123," ",'#orgDung'!JC124," ",'#orgDung'!JC125)))</f>
        <v/>
      </c>
      <c r="BU3" s="1613"/>
      <c r="BV3" s="1613"/>
      <c r="BW3" s="1613"/>
      <c r="BX3" s="1613" t="str">
        <f>IF('#orgDung'!JR127=0,"",TRIM(CONCATENATE('#orgDung'!$AI$123," ",'#orgDung'!JR123," ",'#orgDung'!JR124," ",'#orgDung'!JR125)))</f>
        <v/>
      </c>
      <c r="BY3" s="1613"/>
      <c r="BZ3" s="1613"/>
      <c r="CA3" s="1613"/>
      <c r="CB3" s="1613" t="str">
        <f>IF('#orgDung'!KG127=0,"",TRIM(CONCATENATE('#orgDung'!$AI$123," ",'#orgDung'!KG123," ",'#orgDung'!KG124," ",'#orgDung'!KG125)))</f>
        <v/>
      </c>
      <c r="CC3" s="1613"/>
      <c r="CD3" s="1613"/>
      <c r="CE3" s="1613"/>
      <c r="CF3" s="1613" t="str">
        <f>IF('#orgDung'!KV127=0,"",TRIM(CONCATENATE('#orgDung'!$AI$123," ",'#orgDung'!KV123," ",'#orgDung'!KV124," ",'#orgDung'!KV125)))</f>
        <v/>
      </c>
      <c r="CG3" s="1613"/>
      <c r="CH3" s="1613"/>
      <c r="CI3" s="1613"/>
      <c r="CJ3" s="1613" t="str">
        <f>IF('#orgDung'!LK127=0,"",TRIM(CONCATENATE('#orgDung'!$AI$123," ",'#orgDung'!LK123," ",'#orgDung'!LK124," ",'#orgDung'!LK125)))</f>
        <v/>
      </c>
      <c r="CK3" s="1613"/>
      <c r="CL3" s="1613"/>
      <c r="CM3" s="1613"/>
      <c r="CN3" s="1613" t="str">
        <f>IF('#orgDung'!LZ127=0,"",TRIM(CONCATENATE('#orgDung'!$AI$123," ",'#orgDung'!LZ123," ",'#orgDung'!LZ124," ",'#orgDung'!LZ125)))</f>
        <v/>
      </c>
      <c r="CO3" s="1613"/>
      <c r="CP3" s="1613"/>
      <c r="CQ3" s="1613"/>
      <c r="CR3" s="1613" t="str">
        <f>IF('#orgDung'!MO127=0,"",TRIM(CONCATENATE('#orgDung'!$AI$123," ",'#orgDung'!MO123," ",'#orgDung'!MO124," ",'#orgDung'!MO125)))</f>
        <v/>
      </c>
      <c r="CS3" s="1613"/>
      <c r="CT3" s="1613"/>
      <c r="CU3" s="1613"/>
      <c r="CV3" s="1613" t="str">
        <f>IF('#orgDung'!ND127=0,"",TRIM(CONCATENATE('#orgDung'!$AI$123," ",'#orgDung'!ND123," ",'#orgDung'!ND124," ",'#orgDung'!ND125)))</f>
        <v/>
      </c>
      <c r="CW3" s="1613"/>
      <c r="CX3" s="1613"/>
      <c r="CY3" s="1613"/>
      <c r="CZ3" s="1613" t="str">
        <f>IF('#orgDung'!NS127=0,"",TRIM(CONCATENATE('#orgDung'!$AI$123," ",'#orgDung'!NS123," ",'#orgDung'!NS124," ",'#orgDung'!NS125)))</f>
        <v/>
      </c>
      <c r="DA3" s="1613"/>
      <c r="DB3" s="1613"/>
      <c r="DC3" s="1613"/>
      <c r="DD3" s="1613" t="str">
        <f>IF('#orgDung'!OH127=0,"",TRIM(CONCATENATE('#orgDung'!$AI$123," ",'#orgDung'!OH123," ",'#orgDung'!OH124," ",'#orgDung'!OH125)))</f>
        <v/>
      </c>
      <c r="DE3" s="1613"/>
      <c r="DF3" s="1613"/>
      <c r="DG3" s="1613"/>
      <c r="DH3" s="1613" t="str">
        <f>IF('#orgDung'!OW127=0,"",TRIM(CONCATENATE('#orgDung'!$AI$123," ",'#orgDung'!OW123," ",'#orgDung'!OW124," ",'#orgDung'!OW125)))</f>
        <v/>
      </c>
      <c r="DI3" s="1613"/>
      <c r="DJ3" s="1613"/>
      <c r="DK3" s="1613"/>
      <c r="DL3" s="1613" t="str">
        <f>IF('#orgDung'!PL127=0,"",TRIM(CONCATENATE('#orgDung'!$AI$123," ",'#orgDung'!PL123," ",'#orgDung'!PL124," ",'#orgDung'!PL125)))</f>
        <v/>
      </c>
      <c r="DM3" s="1613"/>
      <c r="DN3" s="1613"/>
      <c r="DO3" s="1613"/>
      <c r="DP3" s="1613" t="str">
        <f>IF('#orgDung'!QA127=0,"",TRIM(CONCATENATE('#orgDung'!$AI$123," ",'#orgDung'!QA123," ",'#orgDung'!QA124," ",'#orgDung'!QA125)))</f>
        <v/>
      </c>
      <c r="DQ3" s="1613"/>
      <c r="DR3" s="1613"/>
      <c r="DS3" s="1613"/>
      <c r="DT3" s="1613" t="str">
        <f>IF('#orgDung'!QP127=0,"",TRIM(CONCATENATE('#orgDung'!$AI$123," ",'#orgDung'!QP123," ",'#orgDung'!QP124," ",'#orgDung'!QP125)))</f>
        <v/>
      </c>
      <c r="DU3" s="1613"/>
      <c r="DV3" s="1613"/>
      <c r="DW3" s="1613"/>
      <c r="DX3" s="1613" t="str">
        <f>IF('#orgDung'!RE127=0,"",TRIM(CONCATENATE('#orgDung'!$AI$123," ",'#orgDung'!RE123," ",'#orgDung'!RE124," ",'#orgDung'!RE125)))</f>
        <v/>
      </c>
      <c r="DY3" s="1613"/>
      <c r="DZ3" s="1613"/>
      <c r="EA3" s="1613"/>
    </row>
    <row r="4" spans="1:133" ht="15" customHeight="1" x14ac:dyDescent="0.2">
      <c r="A4" s="1041"/>
      <c r="B4" s="1041"/>
      <c r="C4" s="1041"/>
      <c r="D4" s="1041"/>
      <c r="E4" s="1185"/>
      <c r="F4" s="1041"/>
      <c r="G4" s="1169"/>
      <c r="H4" s="1169"/>
      <c r="I4" s="1186"/>
      <c r="J4" s="137"/>
      <c r="K4" s="137"/>
      <c r="L4" s="1614" t="str">
        <f>IF('#orgDung'!AL128=0,"",TRIM(CONCATENATE('#orgDung'!$AI$118," ",'#orgDung'!AL117," ",'#orgDung'!AL118," ",'#orgDung'!AL119," ",'#orgDung'!AL120)))</f>
        <v/>
      </c>
      <c r="M4" s="1614"/>
      <c r="N4" s="1614"/>
      <c r="O4" s="1614"/>
      <c r="P4" s="1614" t="str">
        <f>IF('#orgDung'!BA128=0,"",TRIM(CONCATENATE('#orgDung'!$AI$118," ",'#orgDung'!BA117," ",'#orgDung'!BA118," ",'#orgDung'!BA119," ",'#orgDung'!BA120)))</f>
        <v/>
      </c>
      <c r="Q4" s="1614"/>
      <c r="R4" s="1614"/>
      <c r="S4" s="1614"/>
      <c r="T4" s="1614" t="str">
        <f>IF('#orgDung'!BP128=0,"",TRIM(CONCATENATE('#orgDung'!$AI$118," ",'#orgDung'!BP117," ",'#orgDung'!BP118," ",'#orgDung'!BP119," ",'#orgDung'!BP120)))</f>
        <v/>
      </c>
      <c r="U4" s="1614"/>
      <c r="V4" s="1614"/>
      <c r="W4" s="1614"/>
      <c r="X4" s="1614" t="str">
        <f>IF('#orgDung'!CE128=0,"",TRIM(CONCATENATE('#orgDung'!$AI$118," ",'#orgDung'!CE117," ",'#orgDung'!CE118," ",'#orgDung'!CE119," ",'#orgDung'!CE120)))</f>
        <v/>
      </c>
      <c r="Y4" s="1614"/>
      <c r="Z4" s="1614"/>
      <c r="AA4" s="1614"/>
      <c r="AB4" s="1614" t="str">
        <f>IF('#orgDung'!CT128=0,"",TRIM(CONCATENATE('#orgDung'!$AI$118," ",'#orgDung'!CT117," ",'#orgDung'!CT118," ",'#orgDung'!CT119," ",'#orgDung'!CT120)))</f>
        <v/>
      </c>
      <c r="AC4" s="1614"/>
      <c r="AD4" s="1614"/>
      <c r="AE4" s="1614"/>
      <c r="AF4" s="1614" t="str">
        <f>IF('#orgDung'!DI128=0,"",TRIM(CONCATENATE('#orgDung'!$AI$118," ",'#orgDung'!DI117," ",'#orgDung'!DI118," ",'#orgDung'!DI119," ",'#orgDung'!DI120)))</f>
        <v/>
      </c>
      <c r="AG4" s="1614"/>
      <c r="AH4" s="1614"/>
      <c r="AI4" s="1614"/>
      <c r="AJ4" s="1614" t="str">
        <f>IF('#orgDung'!DX128=0,"",TRIM(CONCATENATE('#orgDung'!$AI$118," ",'#orgDung'!DX117," ",'#orgDung'!DX118," ",'#orgDung'!DX119," ",'#orgDung'!DX120)))</f>
        <v/>
      </c>
      <c r="AK4" s="1614"/>
      <c r="AL4" s="1614"/>
      <c r="AM4" s="1614"/>
      <c r="AN4" s="1614" t="str">
        <f>IF('#orgDung'!EM128=0,"",TRIM(CONCATENATE('#orgDung'!$AI$118," ",'#orgDung'!EM117," ",'#orgDung'!EM118," ",'#orgDung'!EM119," ",'#orgDung'!EM120)))</f>
        <v/>
      </c>
      <c r="AO4" s="1614"/>
      <c r="AP4" s="1614"/>
      <c r="AQ4" s="1614"/>
      <c r="AR4" s="1614" t="str">
        <f>IF('#orgDung'!FB128=0,"",TRIM(CONCATENATE('#orgDung'!$AI$118," ",'#orgDung'!FB117," ",'#orgDung'!FB118," ",'#orgDung'!FB119," ",'#orgDung'!FB120)))</f>
        <v/>
      </c>
      <c r="AS4" s="1614"/>
      <c r="AT4" s="1614"/>
      <c r="AU4" s="1614"/>
      <c r="AV4" s="1614" t="str">
        <f>IF('#orgDung'!FQ128=0,"",TRIM(CONCATENATE('#orgDung'!$AI$118," ",'#orgDung'!FQ117," ",'#orgDung'!FQ118," ",'#orgDung'!FQ119," ",'#orgDung'!FQ120)))</f>
        <v/>
      </c>
      <c r="AW4" s="1614"/>
      <c r="AX4" s="1614"/>
      <c r="AY4" s="1614"/>
      <c r="AZ4" s="1614" t="str">
        <f>IF('#orgDung'!GF128=0,"",TRIM(CONCATENATE('#orgDung'!$AI$118," ",'#orgDung'!GF117," ",'#orgDung'!GF118," ",'#orgDung'!GF119," ",'#orgDung'!GF120)))</f>
        <v/>
      </c>
      <c r="BA4" s="1614"/>
      <c r="BB4" s="1614"/>
      <c r="BC4" s="1614"/>
      <c r="BD4" s="1614" t="str">
        <f>IF('#orgDung'!GU128=0,"",TRIM(CONCATENATE('#orgDung'!$AI$118," ",'#orgDung'!GU117," ",'#orgDung'!GU118," ",'#orgDung'!GU119," ",'#orgDung'!GU120)))</f>
        <v/>
      </c>
      <c r="BE4" s="1614"/>
      <c r="BF4" s="1614"/>
      <c r="BG4" s="1614"/>
      <c r="BH4" s="1614" t="str">
        <f>IF('#orgDung'!HJ128=0,"",TRIM(CONCATENATE('#orgDung'!$AI$118," ",'#orgDung'!HJ117," ",'#orgDung'!HJ118," ",'#orgDung'!HJ119," ",'#orgDung'!HJ120)))</f>
        <v/>
      </c>
      <c r="BI4" s="1614"/>
      <c r="BJ4" s="1614"/>
      <c r="BK4" s="1614"/>
      <c r="BL4" s="1614" t="str">
        <f>IF('#orgDung'!HY128=0,"",TRIM(CONCATENATE('#orgDung'!$AI$118," ",'#orgDung'!HY117," ",'#orgDung'!HY118," ",'#orgDung'!HY119," ",'#orgDung'!HY120)))</f>
        <v/>
      </c>
      <c r="BM4" s="1614"/>
      <c r="BN4" s="1614"/>
      <c r="BO4" s="1614"/>
      <c r="BP4" s="1614" t="str">
        <f>IF('#orgDung'!IN128=0,"",TRIM(CONCATENATE('#orgDung'!$AI$118," ",'#orgDung'!IN117," ",'#orgDung'!IN118," ",'#orgDung'!IN119," ",'#orgDung'!IN120)))</f>
        <v/>
      </c>
      <c r="BQ4" s="1614"/>
      <c r="BR4" s="1614"/>
      <c r="BS4" s="1614"/>
      <c r="BT4" s="1614" t="str">
        <f>IF('#orgDung'!JC128=0,"",TRIM(CONCATENATE('#orgDung'!$AI$118," ",'#orgDung'!JC117," ",'#orgDung'!JC118," ",'#orgDung'!JC119," ",'#orgDung'!JC120)))</f>
        <v/>
      </c>
      <c r="BU4" s="1614"/>
      <c r="BV4" s="1614"/>
      <c r="BW4" s="1614"/>
      <c r="BX4" s="1614" t="str">
        <f>IF('#orgDung'!JR128=0,"",TRIM(CONCATENATE('#orgDung'!$AI$118," ",'#orgDung'!JR117," ",'#orgDung'!JR118," ",'#orgDung'!JR119," ",'#orgDung'!JR120)))</f>
        <v/>
      </c>
      <c r="BY4" s="1614"/>
      <c r="BZ4" s="1614"/>
      <c r="CA4" s="1614"/>
      <c r="CB4" s="1614" t="str">
        <f>IF('#orgDung'!KG128=0,"",TRIM(CONCATENATE('#orgDung'!$AI$118," ",'#orgDung'!KG117," ",'#orgDung'!KG118," ",'#orgDung'!KG119," ",'#orgDung'!KG120)))</f>
        <v/>
      </c>
      <c r="CC4" s="1614"/>
      <c r="CD4" s="1614"/>
      <c r="CE4" s="1614"/>
      <c r="CF4" s="1614" t="str">
        <f>IF('#orgDung'!KV128=0,"",TRIM(CONCATENATE('#orgDung'!$AI$118," ",'#orgDung'!KV117," ",'#orgDung'!KV118," ",'#orgDung'!KV119," ",'#orgDung'!KV120)))</f>
        <v/>
      </c>
      <c r="CG4" s="1614"/>
      <c r="CH4" s="1614"/>
      <c r="CI4" s="1614"/>
      <c r="CJ4" s="1614" t="str">
        <f>IF('#orgDung'!LK128=0,"",TRIM(CONCATENATE('#orgDung'!$AI$118," ",'#orgDung'!LK117," ",'#orgDung'!LK118," ",'#orgDung'!LK119," ",'#orgDung'!LK120)))</f>
        <v/>
      </c>
      <c r="CK4" s="1614"/>
      <c r="CL4" s="1614"/>
      <c r="CM4" s="1614"/>
      <c r="CN4" s="1614" t="str">
        <f>IF('#orgDung'!LZ128=0,"",TRIM(CONCATENATE('#orgDung'!$AI$118," ",'#orgDung'!LZ117," ",'#orgDung'!LZ118," ",'#orgDung'!LZ119," ",'#orgDung'!LZ120)))</f>
        <v/>
      </c>
      <c r="CO4" s="1614"/>
      <c r="CP4" s="1614"/>
      <c r="CQ4" s="1614"/>
      <c r="CR4" s="1614" t="str">
        <f>IF('#orgDung'!MO128=0,"",TRIM(CONCATENATE('#orgDung'!$AI$118," ",'#orgDung'!MO117," ",'#orgDung'!MO118," ",'#orgDung'!MO119," ",'#orgDung'!MO120)))</f>
        <v/>
      </c>
      <c r="CS4" s="1614"/>
      <c r="CT4" s="1614"/>
      <c r="CU4" s="1614"/>
      <c r="CV4" s="1614" t="str">
        <f>IF('#orgDung'!ND128=0,"",TRIM(CONCATENATE('#orgDung'!$AI$118," ",'#orgDung'!ND117," ",'#orgDung'!ND118," ",'#orgDung'!ND119," ",'#orgDung'!ND120)))</f>
        <v/>
      </c>
      <c r="CW4" s="1614"/>
      <c r="CX4" s="1614"/>
      <c r="CY4" s="1614"/>
      <c r="CZ4" s="1614" t="str">
        <f>IF('#orgDung'!NS128=0,"",TRIM(CONCATENATE('#orgDung'!$AI$118," ",'#orgDung'!NS117," ",'#orgDung'!NS118," ",'#orgDung'!NS119," ",'#orgDung'!NS120)))</f>
        <v/>
      </c>
      <c r="DA4" s="1614"/>
      <c r="DB4" s="1614"/>
      <c r="DC4" s="1614"/>
      <c r="DD4" s="1614" t="str">
        <f>IF('#orgDung'!OH128=0,"",TRIM(CONCATENATE('#orgDung'!$AI$118," ",'#orgDung'!OH117," ",'#orgDung'!OH118," ",'#orgDung'!OH119," ",'#orgDung'!OH120)))</f>
        <v/>
      </c>
      <c r="DE4" s="1614"/>
      <c r="DF4" s="1614"/>
      <c r="DG4" s="1614"/>
      <c r="DH4" s="1614" t="str">
        <f>IF('#orgDung'!OW128=0,"",TRIM(CONCATENATE('#orgDung'!$AI$118," ",'#orgDung'!OW117," ",'#orgDung'!OW118," ",'#orgDung'!OW119," ",'#orgDung'!OW120)))</f>
        <v/>
      </c>
      <c r="DI4" s="1614"/>
      <c r="DJ4" s="1614"/>
      <c r="DK4" s="1614"/>
      <c r="DL4" s="1614" t="str">
        <f>IF('#orgDung'!PL128=0,"",TRIM(CONCATENATE('#orgDung'!$AI$118," ",'#orgDung'!PL117," ",'#orgDung'!PL118," ",'#orgDung'!PL119," ",'#orgDung'!PL120)))</f>
        <v/>
      </c>
      <c r="DM4" s="1614"/>
      <c r="DN4" s="1614"/>
      <c r="DO4" s="1614"/>
      <c r="DP4" s="1614" t="str">
        <f>IF('#orgDung'!QA128=0,"",TRIM(CONCATENATE('#orgDung'!$AI$118," ",'#orgDung'!QA117," ",'#orgDung'!QA118," ",'#orgDung'!QA119," ",'#orgDung'!QA120)))</f>
        <v/>
      </c>
      <c r="DQ4" s="1614"/>
      <c r="DR4" s="1614"/>
      <c r="DS4" s="1614"/>
      <c r="DT4" s="1614" t="str">
        <f>IF('#orgDung'!QP128=0,"",TRIM(CONCATENATE('#orgDung'!$AI$118," ",'#orgDung'!QP117," ",'#orgDung'!QP118," ",'#orgDung'!QP119," ",'#orgDung'!QP120)))</f>
        <v/>
      </c>
      <c r="DU4" s="1614"/>
      <c r="DV4" s="1614"/>
      <c r="DW4" s="1614"/>
      <c r="DX4" s="1614" t="str">
        <f>IF('#orgDung'!RE128=0,"",TRIM(CONCATENATE('#orgDung'!$AI$118," ",'#orgDung'!RE117," ",'#orgDung'!RE118," ",'#orgDung'!RE119," ",'#orgDung'!RE120)))</f>
        <v/>
      </c>
      <c r="DY4" s="1614"/>
      <c r="DZ4" s="1614"/>
      <c r="EA4" s="1614"/>
    </row>
    <row r="5" spans="1:133" s="175" customFormat="1" ht="15.95" customHeight="1" x14ac:dyDescent="0.2">
      <c r="A5" s="1176"/>
      <c r="B5" s="1177" t="s">
        <v>1056</v>
      </c>
      <c r="C5" s="1178" t="str">
        <f>IF(Betrieb!C8="","Bitte in ''Betrieb'' eintragen",CONCATENATE(Betrieb!B8,Betrieb!C8))</f>
        <v>Bitte in ''Betrieb'' eintragen</v>
      </c>
      <c r="D5" s="1041"/>
      <c r="E5" s="1187"/>
      <c r="F5" s="1176"/>
      <c r="G5" s="1176"/>
      <c r="H5" s="1176"/>
      <c r="I5" s="1176"/>
      <c r="J5" s="479"/>
      <c r="K5" s="479"/>
      <c r="L5" s="1636" t="s">
        <v>93</v>
      </c>
      <c r="M5" s="1636"/>
      <c r="N5" s="1636"/>
      <c r="O5" s="1636"/>
      <c r="P5" s="1636" t="s">
        <v>93</v>
      </c>
      <c r="Q5" s="1636"/>
      <c r="R5" s="1636"/>
      <c r="S5" s="1636"/>
      <c r="T5" s="1636" t="s">
        <v>93</v>
      </c>
      <c r="U5" s="1636"/>
      <c r="V5" s="1636"/>
      <c r="W5" s="1636"/>
      <c r="X5" s="1636" t="s">
        <v>93</v>
      </c>
      <c r="Y5" s="1636"/>
      <c r="Z5" s="1636"/>
      <c r="AA5" s="1636"/>
      <c r="AB5" s="1636" t="s">
        <v>93</v>
      </c>
      <c r="AC5" s="1636"/>
      <c r="AD5" s="1636"/>
      <c r="AE5" s="1636"/>
      <c r="AF5" s="1636" t="s">
        <v>93</v>
      </c>
      <c r="AG5" s="1636"/>
      <c r="AH5" s="1636"/>
      <c r="AI5" s="1636"/>
      <c r="AJ5" s="1636" t="s">
        <v>93</v>
      </c>
      <c r="AK5" s="1636"/>
      <c r="AL5" s="1636"/>
      <c r="AM5" s="1636"/>
      <c r="AN5" s="1636" t="s">
        <v>93</v>
      </c>
      <c r="AO5" s="1636"/>
      <c r="AP5" s="1636"/>
      <c r="AQ5" s="1636"/>
      <c r="AR5" s="1636" t="s">
        <v>93</v>
      </c>
      <c r="AS5" s="1636"/>
      <c r="AT5" s="1636"/>
      <c r="AU5" s="1636"/>
      <c r="AV5" s="1636" t="s">
        <v>93</v>
      </c>
      <c r="AW5" s="1636"/>
      <c r="AX5" s="1636"/>
      <c r="AY5" s="1636"/>
      <c r="AZ5" s="1636" t="s">
        <v>93</v>
      </c>
      <c r="BA5" s="1636"/>
      <c r="BB5" s="1636"/>
      <c r="BC5" s="1636"/>
      <c r="BD5" s="1636" t="s">
        <v>93</v>
      </c>
      <c r="BE5" s="1636"/>
      <c r="BF5" s="1636"/>
      <c r="BG5" s="1636"/>
      <c r="BH5" s="1636" t="s">
        <v>93</v>
      </c>
      <c r="BI5" s="1636"/>
      <c r="BJ5" s="1636"/>
      <c r="BK5" s="1636"/>
      <c r="BL5" s="1636" t="s">
        <v>93</v>
      </c>
      <c r="BM5" s="1636"/>
      <c r="BN5" s="1636"/>
      <c r="BO5" s="1636"/>
      <c r="BP5" s="1636" t="s">
        <v>93</v>
      </c>
      <c r="BQ5" s="1636"/>
      <c r="BR5" s="1636"/>
      <c r="BS5" s="1636"/>
      <c r="BT5" s="1636" t="s">
        <v>93</v>
      </c>
      <c r="BU5" s="1636"/>
      <c r="BV5" s="1636"/>
      <c r="BW5" s="1636"/>
      <c r="BX5" s="1636" t="s">
        <v>93</v>
      </c>
      <c r="BY5" s="1636"/>
      <c r="BZ5" s="1636"/>
      <c r="CA5" s="1636"/>
      <c r="CB5" s="1636" t="s">
        <v>93</v>
      </c>
      <c r="CC5" s="1636"/>
      <c r="CD5" s="1636"/>
      <c r="CE5" s="1636"/>
      <c r="CF5" s="1636" t="s">
        <v>93</v>
      </c>
      <c r="CG5" s="1636"/>
      <c r="CH5" s="1636"/>
      <c r="CI5" s="1636"/>
      <c r="CJ5" s="1636" t="s">
        <v>93</v>
      </c>
      <c r="CK5" s="1636"/>
      <c r="CL5" s="1636"/>
      <c r="CM5" s="1636"/>
      <c r="CN5" s="1636" t="s">
        <v>93</v>
      </c>
      <c r="CO5" s="1636"/>
      <c r="CP5" s="1636"/>
      <c r="CQ5" s="1636"/>
      <c r="CR5" s="1636" t="s">
        <v>93</v>
      </c>
      <c r="CS5" s="1636"/>
      <c r="CT5" s="1636"/>
      <c r="CU5" s="1636"/>
      <c r="CV5" s="1636" t="s">
        <v>93</v>
      </c>
      <c r="CW5" s="1636"/>
      <c r="CX5" s="1636"/>
      <c r="CY5" s="1636"/>
      <c r="CZ5" s="1636" t="s">
        <v>93</v>
      </c>
      <c r="DA5" s="1636"/>
      <c r="DB5" s="1636"/>
      <c r="DC5" s="1636"/>
      <c r="DD5" s="1636" t="s">
        <v>93</v>
      </c>
      <c r="DE5" s="1636"/>
      <c r="DF5" s="1636"/>
      <c r="DG5" s="1636"/>
      <c r="DH5" s="1636" t="s">
        <v>93</v>
      </c>
      <c r="DI5" s="1636"/>
      <c r="DJ5" s="1636"/>
      <c r="DK5" s="1636"/>
      <c r="DL5" s="1636" t="s">
        <v>93</v>
      </c>
      <c r="DM5" s="1636"/>
      <c r="DN5" s="1636"/>
      <c r="DO5" s="1636"/>
      <c r="DP5" s="1636" t="s">
        <v>93</v>
      </c>
      <c r="DQ5" s="1636"/>
      <c r="DR5" s="1636"/>
      <c r="DS5" s="1636"/>
      <c r="DT5" s="1636" t="s">
        <v>93</v>
      </c>
      <c r="DU5" s="1636"/>
      <c r="DV5" s="1636"/>
      <c r="DW5" s="1636"/>
      <c r="DX5" s="1636" t="s">
        <v>93</v>
      </c>
      <c r="DY5" s="1636"/>
      <c r="DZ5" s="1636"/>
      <c r="EA5" s="1636"/>
    </row>
    <row r="6" spans="1:133" s="617" customFormat="1" ht="15.95" customHeight="1" x14ac:dyDescent="0.2">
      <c r="A6" s="1136"/>
      <c r="B6" s="1177" t="s">
        <v>64</v>
      </c>
      <c r="C6" s="1136" t="str">
        <f>IF(Betrieb!B9="","Bitte in ''Betrieb'' eintragen",Betrieb!B9)</f>
        <v>Bitte in ''Betrieb'' eintragen</v>
      </c>
      <c r="D6" s="1176"/>
      <c r="E6" s="1176"/>
      <c r="F6" s="1136"/>
      <c r="G6" s="1176"/>
      <c r="H6" s="1176"/>
      <c r="I6" s="1174"/>
      <c r="J6" s="36"/>
      <c r="K6" s="485"/>
      <c r="L6" s="1637"/>
      <c r="M6" s="1638"/>
      <c r="N6" s="1638"/>
      <c r="O6" s="1639"/>
      <c r="P6" s="1637"/>
      <c r="Q6" s="1638"/>
      <c r="R6" s="1638"/>
      <c r="S6" s="1639"/>
      <c r="T6" s="1637"/>
      <c r="U6" s="1638"/>
      <c r="V6" s="1638"/>
      <c r="W6" s="1639"/>
      <c r="X6" s="1637"/>
      <c r="Y6" s="1638"/>
      <c r="Z6" s="1638"/>
      <c r="AA6" s="1639"/>
      <c r="AB6" s="1637"/>
      <c r="AC6" s="1638"/>
      <c r="AD6" s="1638"/>
      <c r="AE6" s="1639"/>
      <c r="AF6" s="1637"/>
      <c r="AG6" s="1638"/>
      <c r="AH6" s="1638"/>
      <c r="AI6" s="1639"/>
      <c r="AJ6" s="1637"/>
      <c r="AK6" s="1638"/>
      <c r="AL6" s="1638"/>
      <c r="AM6" s="1639"/>
      <c r="AN6" s="1637"/>
      <c r="AO6" s="1638"/>
      <c r="AP6" s="1638"/>
      <c r="AQ6" s="1639"/>
      <c r="AR6" s="1637"/>
      <c r="AS6" s="1638"/>
      <c r="AT6" s="1638"/>
      <c r="AU6" s="1639"/>
      <c r="AV6" s="1637"/>
      <c r="AW6" s="1638"/>
      <c r="AX6" s="1638"/>
      <c r="AY6" s="1639"/>
      <c r="AZ6" s="1637"/>
      <c r="BA6" s="1638"/>
      <c r="BB6" s="1638"/>
      <c r="BC6" s="1639"/>
      <c r="BD6" s="1637"/>
      <c r="BE6" s="1638"/>
      <c r="BF6" s="1638"/>
      <c r="BG6" s="1639"/>
      <c r="BH6" s="1637"/>
      <c r="BI6" s="1638"/>
      <c r="BJ6" s="1638"/>
      <c r="BK6" s="1639"/>
      <c r="BL6" s="1637"/>
      <c r="BM6" s="1638"/>
      <c r="BN6" s="1638"/>
      <c r="BO6" s="1639"/>
      <c r="BP6" s="1637"/>
      <c r="BQ6" s="1638"/>
      <c r="BR6" s="1638"/>
      <c r="BS6" s="1639"/>
      <c r="BT6" s="1637"/>
      <c r="BU6" s="1638"/>
      <c r="BV6" s="1638"/>
      <c r="BW6" s="1639"/>
      <c r="BX6" s="1637"/>
      <c r="BY6" s="1638"/>
      <c r="BZ6" s="1638"/>
      <c r="CA6" s="1639"/>
      <c r="CB6" s="1637"/>
      <c r="CC6" s="1638"/>
      <c r="CD6" s="1638"/>
      <c r="CE6" s="1639"/>
      <c r="CF6" s="1637"/>
      <c r="CG6" s="1638"/>
      <c r="CH6" s="1638"/>
      <c r="CI6" s="1639"/>
      <c r="CJ6" s="1637"/>
      <c r="CK6" s="1638"/>
      <c r="CL6" s="1638"/>
      <c r="CM6" s="1639"/>
      <c r="CN6" s="1637"/>
      <c r="CO6" s="1638"/>
      <c r="CP6" s="1638"/>
      <c r="CQ6" s="1639"/>
      <c r="CR6" s="1637"/>
      <c r="CS6" s="1638"/>
      <c r="CT6" s="1638"/>
      <c r="CU6" s="1639"/>
      <c r="CV6" s="1637"/>
      <c r="CW6" s="1638"/>
      <c r="CX6" s="1638"/>
      <c r="CY6" s="1639"/>
      <c r="CZ6" s="1637"/>
      <c r="DA6" s="1638"/>
      <c r="DB6" s="1638"/>
      <c r="DC6" s="1639"/>
      <c r="DD6" s="1637"/>
      <c r="DE6" s="1638"/>
      <c r="DF6" s="1638"/>
      <c r="DG6" s="1639"/>
      <c r="DH6" s="1637"/>
      <c r="DI6" s="1638"/>
      <c r="DJ6" s="1638"/>
      <c r="DK6" s="1639"/>
      <c r="DL6" s="1637"/>
      <c r="DM6" s="1638"/>
      <c r="DN6" s="1638"/>
      <c r="DO6" s="1639"/>
      <c r="DP6" s="1637"/>
      <c r="DQ6" s="1638"/>
      <c r="DR6" s="1638"/>
      <c r="DS6" s="1639"/>
      <c r="DT6" s="1637"/>
      <c r="DU6" s="1638"/>
      <c r="DV6" s="1638"/>
      <c r="DW6" s="1639"/>
      <c r="DX6" s="1637"/>
      <c r="DY6" s="1638"/>
      <c r="DZ6" s="1638"/>
      <c r="EA6" s="1639"/>
    </row>
    <row r="7" spans="1:133" s="175" customFormat="1" ht="15.95" customHeight="1" x14ac:dyDescent="0.2">
      <c r="A7" s="1188"/>
      <c r="B7" s="1189" t="s">
        <v>1050</v>
      </c>
      <c r="C7" s="1625">
        <f ca="1">TODAY()</f>
        <v>44551</v>
      </c>
      <c r="D7" s="1625"/>
      <c r="E7" s="1625"/>
      <c r="F7" s="1190"/>
      <c r="G7" s="1191"/>
      <c r="H7" s="1191"/>
      <c r="I7" s="1192"/>
      <c r="J7" s="511"/>
      <c r="K7" s="511"/>
      <c r="L7" s="1640" t="s">
        <v>195</v>
      </c>
      <c r="M7" s="1641"/>
      <c r="N7" s="1641"/>
      <c r="O7" s="1642"/>
      <c r="P7" s="1640" t="s">
        <v>195</v>
      </c>
      <c r="Q7" s="1641"/>
      <c r="R7" s="1641"/>
      <c r="S7" s="1642"/>
      <c r="T7" s="1640" t="s">
        <v>195</v>
      </c>
      <c r="U7" s="1641"/>
      <c r="V7" s="1641"/>
      <c r="W7" s="1642"/>
      <c r="X7" s="1640" t="s">
        <v>195</v>
      </c>
      <c r="Y7" s="1641"/>
      <c r="Z7" s="1641"/>
      <c r="AA7" s="1642"/>
      <c r="AB7" s="1640" t="s">
        <v>195</v>
      </c>
      <c r="AC7" s="1641"/>
      <c r="AD7" s="1641"/>
      <c r="AE7" s="1642"/>
      <c r="AF7" s="1640" t="s">
        <v>195</v>
      </c>
      <c r="AG7" s="1641"/>
      <c r="AH7" s="1641"/>
      <c r="AI7" s="1642"/>
      <c r="AJ7" s="1640" t="s">
        <v>195</v>
      </c>
      <c r="AK7" s="1641"/>
      <c r="AL7" s="1641"/>
      <c r="AM7" s="1642"/>
      <c r="AN7" s="1640" t="s">
        <v>195</v>
      </c>
      <c r="AO7" s="1641"/>
      <c r="AP7" s="1641"/>
      <c r="AQ7" s="1642"/>
      <c r="AR7" s="1640" t="s">
        <v>195</v>
      </c>
      <c r="AS7" s="1641"/>
      <c r="AT7" s="1641"/>
      <c r="AU7" s="1642"/>
      <c r="AV7" s="1640" t="s">
        <v>195</v>
      </c>
      <c r="AW7" s="1641"/>
      <c r="AX7" s="1641"/>
      <c r="AY7" s="1642"/>
      <c r="AZ7" s="1640" t="s">
        <v>195</v>
      </c>
      <c r="BA7" s="1641"/>
      <c r="BB7" s="1641"/>
      <c r="BC7" s="1642"/>
      <c r="BD7" s="1640" t="s">
        <v>195</v>
      </c>
      <c r="BE7" s="1641"/>
      <c r="BF7" s="1641"/>
      <c r="BG7" s="1642"/>
      <c r="BH7" s="1640" t="s">
        <v>195</v>
      </c>
      <c r="BI7" s="1641"/>
      <c r="BJ7" s="1641"/>
      <c r="BK7" s="1642"/>
      <c r="BL7" s="1640" t="s">
        <v>195</v>
      </c>
      <c r="BM7" s="1641"/>
      <c r="BN7" s="1641"/>
      <c r="BO7" s="1642"/>
      <c r="BP7" s="1640" t="s">
        <v>195</v>
      </c>
      <c r="BQ7" s="1641"/>
      <c r="BR7" s="1641"/>
      <c r="BS7" s="1642"/>
      <c r="BT7" s="1640" t="s">
        <v>195</v>
      </c>
      <c r="BU7" s="1641"/>
      <c r="BV7" s="1641"/>
      <c r="BW7" s="1642"/>
      <c r="BX7" s="1640" t="s">
        <v>195</v>
      </c>
      <c r="BY7" s="1641"/>
      <c r="BZ7" s="1641"/>
      <c r="CA7" s="1642"/>
      <c r="CB7" s="1640" t="s">
        <v>195</v>
      </c>
      <c r="CC7" s="1641"/>
      <c r="CD7" s="1641"/>
      <c r="CE7" s="1642"/>
      <c r="CF7" s="1640" t="s">
        <v>195</v>
      </c>
      <c r="CG7" s="1641"/>
      <c r="CH7" s="1641"/>
      <c r="CI7" s="1642"/>
      <c r="CJ7" s="1640" t="s">
        <v>195</v>
      </c>
      <c r="CK7" s="1641"/>
      <c r="CL7" s="1641"/>
      <c r="CM7" s="1642"/>
      <c r="CN7" s="1640" t="s">
        <v>195</v>
      </c>
      <c r="CO7" s="1641"/>
      <c r="CP7" s="1641"/>
      <c r="CQ7" s="1642"/>
      <c r="CR7" s="1640" t="s">
        <v>195</v>
      </c>
      <c r="CS7" s="1641"/>
      <c r="CT7" s="1641"/>
      <c r="CU7" s="1642"/>
      <c r="CV7" s="1640" t="s">
        <v>195</v>
      </c>
      <c r="CW7" s="1641"/>
      <c r="CX7" s="1641"/>
      <c r="CY7" s="1642"/>
      <c r="CZ7" s="1640" t="s">
        <v>195</v>
      </c>
      <c r="DA7" s="1641"/>
      <c r="DB7" s="1641"/>
      <c r="DC7" s="1642"/>
      <c r="DD7" s="1640" t="s">
        <v>195</v>
      </c>
      <c r="DE7" s="1641"/>
      <c r="DF7" s="1641"/>
      <c r="DG7" s="1642"/>
      <c r="DH7" s="1640" t="s">
        <v>195</v>
      </c>
      <c r="DI7" s="1641"/>
      <c r="DJ7" s="1641"/>
      <c r="DK7" s="1642"/>
      <c r="DL7" s="1640" t="s">
        <v>195</v>
      </c>
      <c r="DM7" s="1641"/>
      <c r="DN7" s="1641"/>
      <c r="DO7" s="1642"/>
      <c r="DP7" s="1640" t="s">
        <v>195</v>
      </c>
      <c r="DQ7" s="1641"/>
      <c r="DR7" s="1641"/>
      <c r="DS7" s="1642"/>
      <c r="DT7" s="1640" t="s">
        <v>195</v>
      </c>
      <c r="DU7" s="1641"/>
      <c r="DV7" s="1641"/>
      <c r="DW7" s="1642"/>
      <c r="DX7" s="1640" t="s">
        <v>195</v>
      </c>
      <c r="DY7" s="1641"/>
      <c r="DZ7" s="1641"/>
      <c r="EA7" s="1642"/>
    </row>
    <row r="8" spans="1:133" s="618" customFormat="1" ht="15.95" customHeight="1" x14ac:dyDescent="0.2">
      <c r="A8" s="1193"/>
      <c r="B8" s="1193"/>
      <c r="C8" s="1193"/>
      <c r="D8" s="1193"/>
      <c r="E8" s="1194"/>
      <c r="F8" s="1193"/>
      <c r="G8" s="1194"/>
      <c r="H8" s="1194"/>
      <c r="I8" s="1193"/>
      <c r="J8" s="332"/>
      <c r="K8" s="332"/>
      <c r="L8" s="1643" t="s">
        <v>60</v>
      </c>
      <c r="M8" s="1644"/>
      <c r="N8" s="1644"/>
      <c r="O8" s="1645"/>
      <c r="P8" s="1643" t="s">
        <v>60</v>
      </c>
      <c r="Q8" s="1644"/>
      <c r="R8" s="1644"/>
      <c r="S8" s="1645"/>
      <c r="T8" s="1643" t="s">
        <v>60</v>
      </c>
      <c r="U8" s="1644"/>
      <c r="V8" s="1644"/>
      <c r="W8" s="1645"/>
      <c r="X8" s="1643" t="s">
        <v>60</v>
      </c>
      <c r="Y8" s="1644"/>
      <c r="Z8" s="1644"/>
      <c r="AA8" s="1645"/>
      <c r="AB8" s="1643" t="s">
        <v>60</v>
      </c>
      <c r="AC8" s="1644"/>
      <c r="AD8" s="1644"/>
      <c r="AE8" s="1645"/>
      <c r="AF8" s="1643" t="s">
        <v>60</v>
      </c>
      <c r="AG8" s="1644"/>
      <c r="AH8" s="1644"/>
      <c r="AI8" s="1645"/>
      <c r="AJ8" s="1643" t="s">
        <v>60</v>
      </c>
      <c r="AK8" s="1644"/>
      <c r="AL8" s="1644"/>
      <c r="AM8" s="1645"/>
      <c r="AN8" s="1643" t="s">
        <v>60</v>
      </c>
      <c r="AO8" s="1644"/>
      <c r="AP8" s="1644"/>
      <c r="AQ8" s="1645"/>
      <c r="AR8" s="1643" t="s">
        <v>60</v>
      </c>
      <c r="AS8" s="1644"/>
      <c r="AT8" s="1644"/>
      <c r="AU8" s="1645"/>
      <c r="AV8" s="1643" t="s">
        <v>60</v>
      </c>
      <c r="AW8" s="1644"/>
      <c r="AX8" s="1644"/>
      <c r="AY8" s="1645"/>
      <c r="AZ8" s="1643" t="s">
        <v>60</v>
      </c>
      <c r="BA8" s="1644"/>
      <c r="BB8" s="1644"/>
      <c r="BC8" s="1645"/>
      <c r="BD8" s="1643" t="s">
        <v>60</v>
      </c>
      <c r="BE8" s="1644"/>
      <c r="BF8" s="1644"/>
      <c r="BG8" s="1645"/>
      <c r="BH8" s="1643" t="s">
        <v>60</v>
      </c>
      <c r="BI8" s="1644"/>
      <c r="BJ8" s="1644"/>
      <c r="BK8" s="1645"/>
      <c r="BL8" s="1643" t="s">
        <v>60</v>
      </c>
      <c r="BM8" s="1644"/>
      <c r="BN8" s="1644"/>
      <c r="BO8" s="1645"/>
      <c r="BP8" s="1643" t="s">
        <v>60</v>
      </c>
      <c r="BQ8" s="1644"/>
      <c r="BR8" s="1644"/>
      <c r="BS8" s="1645"/>
      <c r="BT8" s="1643" t="s">
        <v>60</v>
      </c>
      <c r="BU8" s="1644"/>
      <c r="BV8" s="1644"/>
      <c r="BW8" s="1645"/>
      <c r="BX8" s="1643" t="s">
        <v>60</v>
      </c>
      <c r="BY8" s="1644"/>
      <c r="BZ8" s="1644"/>
      <c r="CA8" s="1645"/>
      <c r="CB8" s="1643" t="s">
        <v>60</v>
      </c>
      <c r="CC8" s="1644"/>
      <c r="CD8" s="1644"/>
      <c r="CE8" s="1645"/>
      <c r="CF8" s="1643" t="s">
        <v>60</v>
      </c>
      <c r="CG8" s="1644"/>
      <c r="CH8" s="1644"/>
      <c r="CI8" s="1645"/>
      <c r="CJ8" s="1643" t="s">
        <v>60</v>
      </c>
      <c r="CK8" s="1644"/>
      <c r="CL8" s="1644"/>
      <c r="CM8" s="1645"/>
      <c r="CN8" s="1643" t="s">
        <v>60</v>
      </c>
      <c r="CO8" s="1644"/>
      <c r="CP8" s="1644"/>
      <c r="CQ8" s="1645"/>
      <c r="CR8" s="1643" t="s">
        <v>60</v>
      </c>
      <c r="CS8" s="1644"/>
      <c r="CT8" s="1644"/>
      <c r="CU8" s="1645"/>
      <c r="CV8" s="1643" t="s">
        <v>60</v>
      </c>
      <c r="CW8" s="1644"/>
      <c r="CX8" s="1644"/>
      <c r="CY8" s="1645"/>
      <c r="CZ8" s="1643" t="s">
        <v>60</v>
      </c>
      <c r="DA8" s="1644"/>
      <c r="DB8" s="1644"/>
      <c r="DC8" s="1645"/>
      <c r="DD8" s="1643" t="s">
        <v>60</v>
      </c>
      <c r="DE8" s="1644"/>
      <c r="DF8" s="1644"/>
      <c r="DG8" s="1645"/>
      <c r="DH8" s="1643" t="s">
        <v>60</v>
      </c>
      <c r="DI8" s="1644"/>
      <c r="DJ8" s="1644"/>
      <c r="DK8" s="1645"/>
      <c r="DL8" s="1643" t="s">
        <v>60</v>
      </c>
      <c r="DM8" s="1644"/>
      <c r="DN8" s="1644"/>
      <c r="DO8" s="1645"/>
      <c r="DP8" s="1643" t="s">
        <v>60</v>
      </c>
      <c r="DQ8" s="1644"/>
      <c r="DR8" s="1644"/>
      <c r="DS8" s="1645"/>
      <c r="DT8" s="1643" t="s">
        <v>60</v>
      </c>
      <c r="DU8" s="1644"/>
      <c r="DV8" s="1644"/>
      <c r="DW8" s="1645"/>
      <c r="DX8" s="1643" t="s">
        <v>60</v>
      </c>
      <c r="DY8" s="1644"/>
      <c r="DZ8" s="1644"/>
      <c r="EA8" s="1645"/>
    </row>
    <row r="9" spans="1:133" ht="15.95" customHeight="1" x14ac:dyDescent="0.2">
      <c r="A9" s="1615" t="s">
        <v>84</v>
      </c>
      <c r="B9" s="1618" t="s">
        <v>101</v>
      </c>
      <c r="C9" s="1621" t="s">
        <v>1052</v>
      </c>
      <c r="D9" s="1622" t="s">
        <v>120</v>
      </c>
      <c r="E9" s="1622" t="s">
        <v>1111</v>
      </c>
      <c r="F9" s="1626" t="s">
        <v>1615</v>
      </c>
      <c r="G9" s="1622" t="s">
        <v>1110</v>
      </c>
      <c r="H9" s="1622" t="s">
        <v>2450</v>
      </c>
      <c r="I9" s="1626" t="s">
        <v>1680</v>
      </c>
      <c r="J9" s="1629" t="s">
        <v>121</v>
      </c>
      <c r="K9" s="1630"/>
      <c r="L9" s="1646" t="s">
        <v>1127</v>
      </c>
      <c r="M9" s="1647"/>
      <c r="N9" s="1647"/>
      <c r="O9" s="1648"/>
      <c r="P9" s="1646" t="s">
        <v>1127</v>
      </c>
      <c r="Q9" s="1647"/>
      <c r="R9" s="1647"/>
      <c r="S9" s="1648"/>
      <c r="T9" s="1646" t="s">
        <v>1127</v>
      </c>
      <c r="U9" s="1647"/>
      <c r="V9" s="1647"/>
      <c r="W9" s="1648"/>
      <c r="X9" s="1646" t="s">
        <v>1127</v>
      </c>
      <c r="Y9" s="1647"/>
      <c r="Z9" s="1647"/>
      <c r="AA9" s="1648"/>
      <c r="AB9" s="1646" t="s">
        <v>1127</v>
      </c>
      <c r="AC9" s="1647"/>
      <c r="AD9" s="1647"/>
      <c r="AE9" s="1648"/>
      <c r="AF9" s="1646" t="s">
        <v>1127</v>
      </c>
      <c r="AG9" s="1647"/>
      <c r="AH9" s="1647"/>
      <c r="AI9" s="1648"/>
      <c r="AJ9" s="1646" t="s">
        <v>1127</v>
      </c>
      <c r="AK9" s="1647"/>
      <c r="AL9" s="1647"/>
      <c r="AM9" s="1648"/>
      <c r="AN9" s="1646" t="s">
        <v>1127</v>
      </c>
      <c r="AO9" s="1647"/>
      <c r="AP9" s="1647"/>
      <c r="AQ9" s="1648"/>
      <c r="AR9" s="1646" t="s">
        <v>1127</v>
      </c>
      <c r="AS9" s="1647"/>
      <c r="AT9" s="1647"/>
      <c r="AU9" s="1648"/>
      <c r="AV9" s="1646" t="s">
        <v>1127</v>
      </c>
      <c r="AW9" s="1647"/>
      <c r="AX9" s="1647"/>
      <c r="AY9" s="1648"/>
      <c r="AZ9" s="1646" t="s">
        <v>1127</v>
      </c>
      <c r="BA9" s="1647"/>
      <c r="BB9" s="1647"/>
      <c r="BC9" s="1648"/>
      <c r="BD9" s="1646" t="s">
        <v>1127</v>
      </c>
      <c r="BE9" s="1647"/>
      <c r="BF9" s="1647"/>
      <c r="BG9" s="1648"/>
      <c r="BH9" s="1646" t="s">
        <v>1127</v>
      </c>
      <c r="BI9" s="1647"/>
      <c r="BJ9" s="1647"/>
      <c r="BK9" s="1648"/>
      <c r="BL9" s="1646" t="s">
        <v>1127</v>
      </c>
      <c r="BM9" s="1647"/>
      <c r="BN9" s="1647"/>
      <c r="BO9" s="1648"/>
      <c r="BP9" s="1646" t="s">
        <v>1127</v>
      </c>
      <c r="BQ9" s="1647"/>
      <c r="BR9" s="1647"/>
      <c r="BS9" s="1648"/>
      <c r="BT9" s="1646" t="s">
        <v>1127</v>
      </c>
      <c r="BU9" s="1647"/>
      <c r="BV9" s="1647"/>
      <c r="BW9" s="1648"/>
      <c r="BX9" s="1646" t="s">
        <v>1127</v>
      </c>
      <c r="BY9" s="1647"/>
      <c r="BZ9" s="1647"/>
      <c r="CA9" s="1648"/>
      <c r="CB9" s="1646" t="s">
        <v>1127</v>
      </c>
      <c r="CC9" s="1647"/>
      <c r="CD9" s="1647"/>
      <c r="CE9" s="1648"/>
      <c r="CF9" s="1646" t="s">
        <v>1127</v>
      </c>
      <c r="CG9" s="1647"/>
      <c r="CH9" s="1647"/>
      <c r="CI9" s="1648"/>
      <c r="CJ9" s="1646" t="s">
        <v>1127</v>
      </c>
      <c r="CK9" s="1647"/>
      <c r="CL9" s="1647"/>
      <c r="CM9" s="1648"/>
      <c r="CN9" s="1646" t="s">
        <v>1127</v>
      </c>
      <c r="CO9" s="1647"/>
      <c r="CP9" s="1647"/>
      <c r="CQ9" s="1648"/>
      <c r="CR9" s="1646" t="s">
        <v>1127</v>
      </c>
      <c r="CS9" s="1647"/>
      <c r="CT9" s="1647"/>
      <c r="CU9" s="1648"/>
      <c r="CV9" s="1646" t="s">
        <v>1127</v>
      </c>
      <c r="CW9" s="1647"/>
      <c r="CX9" s="1647"/>
      <c r="CY9" s="1648"/>
      <c r="CZ9" s="1646" t="s">
        <v>1127</v>
      </c>
      <c r="DA9" s="1647"/>
      <c r="DB9" s="1647"/>
      <c r="DC9" s="1648"/>
      <c r="DD9" s="1646" t="s">
        <v>1127</v>
      </c>
      <c r="DE9" s="1647"/>
      <c r="DF9" s="1647"/>
      <c r="DG9" s="1648"/>
      <c r="DH9" s="1646" t="s">
        <v>1127</v>
      </c>
      <c r="DI9" s="1647"/>
      <c r="DJ9" s="1647"/>
      <c r="DK9" s="1648"/>
      <c r="DL9" s="1646" t="s">
        <v>1127</v>
      </c>
      <c r="DM9" s="1647"/>
      <c r="DN9" s="1647"/>
      <c r="DO9" s="1648"/>
      <c r="DP9" s="1646" t="s">
        <v>1127</v>
      </c>
      <c r="DQ9" s="1647"/>
      <c r="DR9" s="1647"/>
      <c r="DS9" s="1648"/>
      <c r="DT9" s="1646" t="s">
        <v>1127</v>
      </c>
      <c r="DU9" s="1647"/>
      <c r="DV9" s="1647"/>
      <c r="DW9" s="1648"/>
      <c r="DX9" s="1646" t="s">
        <v>1127</v>
      </c>
      <c r="DY9" s="1647"/>
      <c r="DZ9" s="1647"/>
      <c r="EA9" s="1648"/>
    </row>
    <row r="10" spans="1:133" ht="15.95" customHeight="1" x14ac:dyDescent="0.2">
      <c r="A10" s="1616"/>
      <c r="B10" s="1619"/>
      <c r="C10" s="1621"/>
      <c r="D10" s="1623"/>
      <c r="E10" s="1623"/>
      <c r="F10" s="1627"/>
      <c r="G10" s="1623"/>
      <c r="H10" s="1623"/>
      <c r="I10" s="1627"/>
      <c r="J10" s="1631"/>
      <c r="K10" s="1632"/>
      <c r="L10" s="1649" t="s">
        <v>705</v>
      </c>
      <c r="M10" s="1650"/>
      <c r="N10" s="1650"/>
      <c r="O10" s="1651"/>
      <c r="P10" s="1649" t="s">
        <v>705</v>
      </c>
      <c r="Q10" s="1650"/>
      <c r="R10" s="1650"/>
      <c r="S10" s="1651"/>
      <c r="T10" s="1649" t="s">
        <v>705</v>
      </c>
      <c r="U10" s="1650"/>
      <c r="V10" s="1650"/>
      <c r="W10" s="1651"/>
      <c r="X10" s="1649" t="s">
        <v>705</v>
      </c>
      <c r="Y10" s="1650"/>
      <c r="Z10" s="1650"/>
      <c r="AA10" s="1651"/>
      <c r="AB10" s="1649" t="s">
        <v>705</v>
      </c>
      <c r="AC10" s="1650"/>
      <c r="AD10" s="1650"/>
      <c r="AE10" s="1651"/>
      <c r="AF10" s="1649" t="s">
        <v>705</v>
      </c>
      <c r="AG10" s="1650"/>
      <c r="AH10" s="1650"/>
      <c r="AI10" s="1651"/>
      <c r="AJ10" s="1649" t="s">
        <v>705</v>
      </c>
      <c r="AK10" s="1650"/>
      <c r="AL10" s="1650"/>
      <c r="AM10" s="1651"/>
      <c r="AN10" s="1649" t="s">
        <v>705</v>
      </c>
      <c r="AO10" s="1650"/>
      <c r="AP10" s="1650"/>
      <c r="AQ10" s="1651"/>
      <c r="AR10" s="1649" t="s">
        <v>705</v>
      </c>
      <c r="AS10" s="1650"/>
      <c r="AT10" s="1650"/>
      <c r="AU10" s="1651"/>
      <c r="AV10" s="1649" t="s">
        <v>705</v>
      </c>
      <c r="AW10" s="1650"/>
      <c r="AX10" s="1650"/>
      <c r="AY10" s="1651"/>
      <c r="AZ10" s="1649" t="s">
        <v>705</v>
      </c>
      <c r="BA10" s="1650"/>
      <c r="BB10" s="1650"/>
      <c r="BC10" s="1651"/>
      <c r="BD10" s="1649" t="s">
        <v>705</v>
      </c>
      <c r="BE10" s="1650"/>
      <c r="BF10" s="1650"/>
      <c r="BG10" s="1651"/>
      <c r="BH10" s="1649" t="s">
        <v>705</v>
      </c>
      <c r="BI10" s="1650"/>
      <c r="BJ10" s="1650"/>
      <c r="BK10" s="1651"/>
      <c r="BL10" s="1649" t="s">
        <v>705</v>
      </c>
      <c r="BM10" s="1650"/>
      <c r="BN10" s="1650"/>
      <c r="BO10" s="1651"/>
      <c r="BP10" s="1649" t="s">
        <v>705</v>
      </c>
      <c r="BQ10" s="1650"/>
      <c r="BR10" s="1650"/>
      <c r="BS10" s="1651"/>
      <c r="BT10" s="1649" t="s">
        <v>705</v>
      </c>
      <c r="BU10" s="1650"/>
      <c r="BV10" s="1650"/>
      <c r="BW10" s="1651"/>
      <c r="BX10" s="1649" t="s">
        <v>705</v>
      </c>
      <c r="BY10" s="1650"/>
      <c r="BZ10" s="1650"/>
      <c r="CA10" s="1651"/>
      <c r="CB10" s="1649" t="s">
        <v>705</v>
      </c>
      <c r="CC10" s="1650"/>
      <c r="CD10" s="1650"/>
      <c r="CE10" s="1651"/>
      <c r="CF10" s="1649" t="s">
        <v>705</v>
      </c>
      <c r="CG10" s="1650"/>
      <c r="CH10" s="1650"/>
      <c r="CI10" s="1651"/>
      <c r="CJ10" s="1649" t="s">
        <v>705</v>
      </c>
      <c r="CK10" s="1650"/>
      <c r="CL10" s="1650"/>
      <c r="CM10" s="1651"/>
      <c r="CN10" s="1649" t="s">
        <v>705</v>
      </c>
      <c r="CO10" s="1650"/>
      <c r="CP10" s="1650"/>
      <c r="CQ10" s="1651"/>
      <c r="CR10" s="1649" t="s">
        <v>705</v>
      </c>
      <c r="CS10" s="1650"/>
      <c r="CT10" s="1650"/>
      <c r="CU10" s="1651"/>
      <c r="CV10" s="1649" t="s">
        <v>705</v>
      </c>
      <c r="CW10" s="1650"/>
      <c r="CX10" s="1650"/>
      <c r="CY10" s="1651"/>
      <c r="CZ10" s="1649" t="s">
        <v>705</v>
      </c>
      <c r="DA10" s="1650"/>
      <c r="DB10" s="1650"/>
      <c r="DC10" s="1651"/>
      <c r="DD10" s="1649" t="s">
        <v>705</v>
      </c>
      <c r="DE10" s="1650"/>
      <c r="DF10" s="1650"/>
      <c r="DG10" s="1651"/>
      <c r="DH10" s="1649" t="s">
        <v>705</v>
      </c>
      <c r="DI10" s="1650"/>
      <c r="DJ10" s="1650"/>
      <c r="DK10" s="1651"/>
      <c r="DL10" s="1649" t="s">
        <v>705</v>
      </c>
      <c r="DM10" s="1650"/>
      <c r="DN10" s="1650"/>
      <c r="DO10" s="1651"/>
      <c r="DP10" s="1649" t="s">
        <v>705</v>
      </c>
      <c r="DQ10" s="1650"/>
      <c r="DR10" s="1650"/>
      <c r="DS10" s="1651"/>
      <c r="DT10" s="1649" t="s">
        <v>705</v>
      </c>
      <c r="DU10" s="1650"/>
      <c r="DV10" s="1650"/>
      <c r="DW10" s="1651"/>
      <c r="DX10" s="1649" t="s">
        <v>705</v>
      </c>
      <c r="DY10" s="1650"/>
      <c r="DZ10" s="1650"/>
      <c r="EA10" s="1651"/>
    </row>
    <row r="11" spans="1:133" ht="14.25" customHeight="1" x14ac:dyDescent="0.2">
      <c r="A11" s="1616"/>
      <c r="B11" s="1619"/>
      <c r="C11" s="1621"/>
      <c r="D11" s="1623"/>
      <c r="E11" s="1623"/>
      <c r="F11" s="1627"/>
      <c r="G11" s="1623"/>
      <c r="H11" s="1623"/>
      <c r="I11" s="1627"/>
      <c r="J11" s="545" t="s">
        <v>1078</v>
      </c>
      <c r="K11" s="543" t="s">
        <v>1112</v>
      </c>
      <c r="L11" s="1633" t="s">
        <v>265</v>
      </c>
      <c r="M11" s="1634"/>
      <c r="N11" s="1634"/>
      <c r="O11" s="1635"/>
      <c r="P11" s="1633" t="s">
        <v>265</v>
      </c>
      <c r="Q11" s="1634"/>
      <c r="R11" s="1634"/>
      <c r="S11" s="1635"/>
      <c r="T11" s="1633" t="s">
        <v>265</v>
      </c>
      <c r="U11" s="1634"/>
      <c r="V11" s="1634"/>
      <c r="W11" s="1635"/>
      <c r="X11" s="1633" t="s">
        <v>265</v>
      </c>
      <c r="Y11" s="1634"/>
      <c r="Z11" s="1634"/>
      <c r="AA11" s="1635"/>
      <c r="AB11" s="1633" t="s">
        <v>265</v>
      </c>
      <c r="AC11" s="1634"/>
      <c r="AD11" s="1634"/>
      <c r="AE11" s="1635"/>
      <c r="AF11" s="1633" t="s">
        <v>265</v>
      </c>
      <c r="AG11" s="1634"/>
      <c r="AH11" s="1634"/>
      <c r="AI11" s="1635"/>
      <c r="AJ11" s="1633" t="s">
        <v>265</v>
      </c>
      <c r="AK11" s="1634"/>
      <c r="AL11" s="1634"/>
      <c r="AM11" s="1635"/>
      <c r="AN11" s="1633" t="s">
        <v>265</v>
      </c>
      <c r="AO11" s="1634"/>
      <c r="AP11" s="1634"/>
      <c r="AQ11" s="1635"/>
      <c r="AR11" s="1633" t="s">
        <v>265</v>
      </c>
      <c r="AS11" s="1634"/>
      <c r="AT11" s="1634"/>
      <c r="AU11" s="1635"/>
      <c r="AV11" s="1633" t="s">
        <v>265</v>
      </c>
      <c r="AW11" s="1634"/>
      <c r="AX11" s="1634"/>
      <c r="AY11" s="1635"/>
      <c r="AZ11" s="1633" t="s">
        <v>265</v>
      </c>
      <c r="BA11" s="1634"/>
      <c r="BB11" s="1634"/>
      <c r="BC11" s="1635"/>
      <c r="BD11" s="1633" t="s">
        <v>265</v>
      </c>
      <c r="BE11" s="1634"/>
      <c r="BF11" s="1634"/>
      <c r="BG11" s="1635"/>
      <c r="BH11" s="1633" t="s">
        <v>265</v>
      </c>
      <c r="BI11" s="1634"/>
      <c r="BJ11" s="1634"/>
      <c r="BK11" s="1635"/>
      <c r="BL11" s="1633" t="s">
        <v>265</v>
      </c>
      <c r="BM11" s="1634"/>
      <c r="BN11" s="1634"/>
      <c r="BO11" s="1635"/>
      <c r="BP11" s="1633" t="s">
        <v>265</v>
      </c>
      <c r="BQ11" s="1634"/>
      <c r="BR11" s="1634"/>
      <c r="BS11" s="1635"/>
      <c r="BT11" s="1633" t="s">
        <v>265</v>
      </c>
      <c r="BU11" s="1634"/>
      <c r="BV11" s="1634"/>
      <c r="BW11" s="1635"/>
      <c r="BX11" s="1633" t="s">
        <v>265</v>
      </c>
      <c r="BY11" s="1634"/>
      <c r="BZ11" s="1634"/>
      <c r="CA11" s="1635"/>
      <c r="CB11" s="1633" t="s">
        <v>265</v>
      </c>
      <c r="CC11" s="1634"/>
      <c r="CD11" s="1634"/>
      <c r="CE11" s="1635"/>
      <c r="CF11" s="1633" t="s">
        <v>265</v>
      </c>
      <c r="CG11" s="1634"/>
      <c r="CH11" s="1634"/>
      <c r="CI11" s="1635"/>
      <c r="CJ11" s="1633" t="s">
        <v>265</v>
      </c>
      <c r="CK11" s="1634"/>
      <c r="CL11" s="1634"/>
      <c r="CM11" s="1635"/>
      <c r="CN11" s="1633" t="s">
        <v>265</v>
      </c>
      <c r="CO11" s="1634"/>
      <c r="CP11" s="1634"/>
      <c r="CQ11" s="1635"/>
      <c r="CR11" s="1633" t="s">
        <v>265</v>
      </c>
      <c r="CS11" s="1634"/>
      <c r="CT11" s="1634"/>
      <c r="CU11" s="1635"/>
      <c r="CV11" s="1633" t="s">
        <v>265</v>
      </c>
      <c r="CW11" s="1634"/>
      <c r="CX11" s="1634"/>
      <c r="CY11" s="1635"/>
      <c r="CZ11" s="1633" t="s">
        <v>265</v>
      </c>
      <c r="DA11" s="1634"/>
      <c r="DB11" s="1634"/>
      <c r="DC11" s="1635"/>
      <c r="DD11" s="1633" t="s">
        <v>265</v>
      </c>
      <c r="DE11" s="1634"/>
      <c r="DF11" s="1634"/>
      <c r="DG11" s="1635"/>
      <c r="DH11" s="1633" t="s">
        <v>265</v>
      </c>
      <c r="DI11" s="1634"/>
      <c r="DJ11" s="1634"/>
      <c r="DK11" s="1635"/>
      <c r="DL11" s="1633" t="s">
        <v>265</v>
      </c>
      <c r="DM11" s="1634"/>
      <c r="DN11" s="1634"/>
      <c r="DO11" s="1635"/>
      <c r="DP11" s="1633" t="s">
        <v>265</v>
      </c>
      <c r="DQ11" s="1634"/>
      <c r="DR11" s="1634"/>
      <c r="DS11" s="1635"/>
      <c r="DT11" s="1633" t="s">
        <v>265</v>
      </c>
      <c r="DU11" s="1634"/>
      <c r="DV11" s="1634"/>
      <c r="DW11" s="1635"/>
      <c r="DX11" s="1633" t="s">
        <v>265</v>
      </c>
      <c r="DY11" s="1634"/>
      <c r="DZ11" s="1634"/>
      <c r="EA11" s="1635"/>
    </row>
    <row r="12" spans="1:133" ht="14.25" customHeight="1" x14ac:dyDescent="0.2">
      <c r="A12" s="1617"/>
      <c r="B12" s="1620"/>
      <c r="C12" s="1621"/>
      <c r="D12" s="1624"/>
      <c r="E12" s="1624"/>
      <c r="F12" s="1628"/>
      <c r="G12" s="1624"/>
      <c r="H12" s="1624"/>
      <c r="I12" s="1628"/>
      <c r="J12" s="544" t="s">
        <v>1</v>
      </c>
      <c r="K12" s="553" t="s">
        <v>1</v>
      </c>
      <c r="L12" s="893" t="s">
        <v>1523</v>
      </c>
      <c r="M12" s="894" t="s">
        <v>12</v>
      </c>
      <c r="N12" s="894" t="s">
        <v>1525</v>
      </c>
      <c r="O12" s="1016" t="s">
        <v>1524</v>
      </c>
      <c r="P12" s="893" t="s">
        <v>1523</v>
      </c>
      <c r="Q12" s="894" t="s">
        <v>12</v>
      </c>
      <c r="R12" s="894" t="s">
        <v>1525</v>
      </c>
      <c r="S12" s="1016" t="s">
        <v>1524</v>
      </c>
      <c r="T12" s="893" t="s">
        <v>1523</v>
      </c>
      <c r="U12" s="894" t="s">
        <v>12</v>
      </c>
      <c r="V12" s="894" t="s">
        <v>1525</v>
      </c>
      <c r="W12" s="1016" t="s">
        <v>1524</v>
      </c>
      <c r="X12" s="893" t="s">
        <v>1523</v>
      </c>
      <c r="Y12" s="894" t="s">
        <v>12</v>
      </c>
      <c r="Z12" s="894" t="s">
        <v>1525</v>
      </c>
      <c r="AA12" s="1016" t="s">
        <v>1524</v>
      </c>
      <c r="AB12" s="893" t="s">
        <v>1523</v>
      </c>
      <c r="AC12" s="894" t="s">
        <v>12</v>
      </c>
      <c r="AD12" s="894" t="s">
        <v>1525</v>
      </c>
      <c r="AE12" s="1016" t="s">
        <v>1524</v>
      </c>
      <c r="AF12" s="893" t="s">
        <v>1523</v>
      </c>
      <c r="AG12" s="894" t="s">
        <v>12</v>
      </c>
      <c r="AH12" s="894" t="s">
        <v>1525</v>
      </c>
      <c r="AI12" s="1016" t="s">
        <v>1524</v>
      </c>
      <c r="AJ12" s="893" t="s">
        <v>1523</v>
      </c>
      <c r="AK12" s="894" t="s">
        <v>12</v>
      </c>
      <c r="AL12" s="894" t="s">
        <v>1525</v>
      </c>
      <c r="AM12" s="1016" t="s">
        <v>1524</v>
      </c>
      <c r="AN12" s="893" t="s">
        <v>1523</v>
      </c>
      <c r="AO12" s="894" t="s">
        <v>12</v>
      </c>
      <c r="AP12" s="894" t="s">
        <v>1525</v>
      </c>
      <c r="AQ12" s="1016" t="s">
        <v>1524</v>
      </c>
      <c r="AR12" s="893" t="s">
        <v>1523</v>
      </c>
      <c r="AS12" s="894" t="s">
        <v>12</v>
      </c>
      <c r="AT12" s="894" t="s">
        <v>1525</v>
      </c>
      <c r="AU12" s="1016" t="s">
        <v>1524</v>
      </c>
      <c r="AV12" s="893" t="s">
        <v>1523</v>
      </c>
      <c r="AW12" s="894" t="s">
        <v>12</v>
      </c>
      <c r="AX12" s="894" t="s">
        <v>1525</v>
      </c>
      <c r="AY12" s="1016" t="s">
        <v>1524</v>
      </c>
      <c r="AZ12" s="893" t="s">
        <v>1523</v>
      </c>
      <c r="BA12" s="894" t="s">
        <v>12</v>
      </c>
      <c r="BB12" s="894" t="s">
        <v>1525</v>
      </c>
      <c r="BC12" s="1016" t="s">
        <v>1524</v>
      </c>
      <c r="BD12" s="893" t="s">
        <v>1523</v>
      </c>
      <c r="BE12" s="894" t="s">
        <v>12</v>
      </c>
      <c r="BF12" s="894" t="s">
        <v>1525</v>
      </c>
      <c r="BG12" s="1016" t="s">
        <v>1524</v>
      </c>
      <c r="BH12" s="893" t="s">
        <v>1523</v>
      </c>
      <c r="BI12" s="894" t="s">
        <v>12</v>
      </c>
      <c r="BJ12" s="894" t="s">
        <v>1525</v>
      </c>
      <c r="BK12" s="1016" t="s">
        <v>1524</v>
      </c>
      <c r="BL12" s="893" t="s">
        <v>1523</v>
      </c>
      <c r="BM12" s="894" t="s">
        <v>12</v>
      </c>
      <c r="BN12" s="894" t="s">
        <v>1525</v>
      </c>
      <c r="BO12" s="1016" t="s">
        <v>1524</v>
      </c>
      <c r="BP12" s="893" t="s">
        <v>1523</v>
      </c>
      <c r="BQ12" s="894" t="s">
        <v>12</v>
      </c>
      <c r="BR12" s="894" t="s">
        <v>1525</v>
      </c>
      <c r="BS12" s="1016" t="s">
        <v>1524</v>
      </c>
      <c r="BT12" s="893" t="s">
        <v>1523</v>
      </c>
      <c r="BU12" s="894" t="s">
        <v>12</v>
      </c>
      <c r="BV12" s="894" t="s">
        <v>1525</v>
      </c>
      <c r="BW12" s="1016" t="s">
        <v>1524</v>
      </c>
      <c r="BX12" s="893" t="s">
        <v>1523</v>
      </c>
      <c r="BY12" s="894" t="s">
        <v>12</v>
      </c>
      <c r="BZ12" s="894" t="s">
        <v>1525</v>
      </c>
      <c r="CA12" s="1016" t="s">
        <v>1524</v>
      </c>
      <c r="CB12" s="893" t="s">
        <v>1523</v>
      </c>
      <c r="CC12" s="894" t="s">
        <v>12</v>
      </c>
      <c r="CD12" s="894" t="s">
        <v>1525</v>
      </c>
      <c r="CE12" s="1016" t="s">
        <v>1524</v>
      </c>
      <c r="CF12" s="893" t="s">
        <v>1523</v>
      </c>
      <c r="CG12" s="894" t="s">
        <v>12</v>
      </c>
      <c r="CH12" s="894" t="s">
        <v>1525</v>
      </c>
      <c r="CI12" s="1016" t="s">
        <v>1524</v>
      </c>
      <c r="CJ12" s="893" t="s">
        <v>1523</v>
      </c>
      <c r="CK12" s="894" t="s">
        <v>12</v>
      </c>
      <c r="CL12" s="894" t="s">
        <v>1525</v>
      </c>
      <c r="CM12" s="1016" t="s">
        <v>1524</v>
      </c>
      <c r="CN12" s="893" t="s">
        <v>1523</v>
      </c>
      <c r="CO12" s="894" t="s">
        <v>12</v>
      </c>
      <c r="CP12" s="894" t="s">
        <v>1525</v>
      </c>
      <c r="CQ12" s="1016" t="s">
        <v>1524</v>
      </c>
      <c r="CR12" s="893" t="s">
        <v>1523</v>
      </c>
      <c r="CS12" s="894" t="s">
        <v>12</v>
      </c>
      <c r="CT12" s="894" t="s">
        <v>1525</v>
      </c>
      <c r="CU12" s="1016" t="s">
        <v>1524</v>
      </c>
      <c r="CV12" s="893" t="s">
        <v>1523</v>
      </c>
      <c r="CW12" s="894" t="s">
        <v>12</v>
      </c>
      <c r="CX12" s="894" t="s">
        <v>1525</v>
      </c>
      <c r="CY12" s="1016" t="s">
        <v>1524</v>
      </c>
      <c r="CZ12" s="893" t="s">
        <v>1523</v>
      </c>
      <c r="DA12" s="894" t="s">
        <v>12</v>
      </c>
      <c r="DB12" s="894" t="s">
        <v>1525</v>
      </c>
      <c r="DC12" s="1016" t="s">
        <v>1524</v>
      </c>
      <c r="DD12" s="893" t="s">
        <v>1523</v>
      </c>
      <c r="DE12" s="894" t="s">
        <v>12</v>
      </c>
      <c r="DF12" s="894" t="s">
        <v>1525</v>
      </c>
      <c r="DG12" s="1016" t="s">
        <v>1524</v>
      </c>
      <c r="DH12" s="893" t="s">
        <v>1523</v>
      </c>
      <c r="DI12" s="894" t="s">
        <v>12</v>
      </c>
      <c r="DJ12" s="894" t="s">
        <v>1525</v>
      </c>
      <c r="DK12" s="1016" t="s">
        <v>1524</v>
      </c>
      <c r="DL12" s="893" t="s">
        <v>1523</v>
      </c>
      <c r="DM12" s="894" t="s">
        <v>12</v>
      </c>
      <c r="DN12" s="894" t="s">
        <v>1525</v>
      </c>
      <c r="DO12" s="1016" t="s">
        <v>1524</v>
      </c>
      <c r="DP12" s="893" t="s">
        <v>1523</v>
      </c>
      <c r="DQ12" s="894" t="s">
        <v>12</v>
      </c>
      <c r="DR12" s="894" t="s">
        <v>1525</v>
      </c>
      <c r="DS12" s="1016" t="s">
        <v>1524</v>
      </c>
      <c r="DT12" s="893" t="s">
        <v>1523</v>
      </c>
      <c r="DU12" s="894" t="s">
        <v>12</v>
      </c>
      <c r="DV12" s="894" t="s">
        <v>1525</v>
      </c>
      <c r="DW12" s="1016" t="s">
        <v>1524</v>
      </c>
      <c r="DX12" s="893" t="s">
        <v>1523</v>
      </c>
      <c r="DY12" s="894" t="s">
        <v>12</v>
      </c>
      <c r="DZ12" s="894" t="s">
        <v>1525</v>
      </c>
      <c r="EA12" s="1016" t="s">
        <v>1524</v>
      </c>
      <c r="EB12" s="896"/>
      <c r="EC12" s="896"/>
    </row>
    <row r="13" spans="1:133" ht="15" customHeight="1" x14ac:dyDescent="0.2">
      <c r="A13" s="1195">
        <f>'Flächen u. Kulturen'!A10</f>
        <v>1</v>
      </c>
      <c r="B13" s="1195" t="str">
        <f>IF('Flächen u. Kulturen'!B10="","",'Flächen u. Kulturen'!B10)</f>
        <v/>
      </c>
      <c r="C13" s="1196" t="str">
        <f>IF('Flächen u. Kulturen'!D10="","",'Flächen u. Kulturen'!D10)</f>
        <v/>
      </c>
      <c r="D13" s="1197" t="str">
        <f>IF(C13="","",IF('#BerechnungDBE'!Q5&lt;4,"x",""))</f>
        <v/>
      </c>
      <c r="E13" s="1198" t="str">
        <f>IF(C13="","",VLOOKUP('Flächen u. Kulturen'!L10,'#Zweitfr'!$D$8:$F$28,'#Zweitfr'!$F$1,FALSE))</f>
        <v/>
      </c>
      <c r="F13" s="1199" t="str">
        <f>IF(C13="","",IF('Flächen u. Kulturen'!E10="x",'Flächen u. Kulturen'!P10,"nicht im Betrieb"))</f>
        <v/>
      </c>
      <c r="G13" s="1200" t="str">
        <f>IF(C13="","",IF('#orgDung'!C14=2,"--",IF('#Kürzungen'!$F$2=2,"--",'#orgDung'!R14)))</f>
        <v/>
      </c>
      <c r="H13" s="1200" t="str">
        <f>IF(C13="","",'#orgDung'!U14)</f>
        <v/>
      </c>
      <c r="I13" s="1201" t="str">
        <f>IF(C13="","",IF(COUNT('#orgDung'!RS14:SA14)=0,"OK",TRIM(CONCATENATE('#orgDung'!RS14," ",'#orgDung'!RT14," ",'#orgDung'!RU14," ",'#orgDung'!RV14," ",'#orgDung'!RW14," ",'#orgDung'!RX14," ",'#orgDung'!RY14," ",'#orgDung'!RZ14," ",'#orgDung'!SA14))))</f>
        <v/>
      </c>
      <c r="J13" s="1023"/>
      <c r="K13" s="1024"/>
      <c r="L13" s="1025"/>
      <c r="M13" s="1026" t="str">
        <f>IF(L13="","",'#orgDung'!AN14)</f>
        <v/>
      </c>
      <c r="N13" s="1026" t="str">
        <f>IF(L13="","",'#orgDung'!AO14)</f>
        <v/>
      </c>
      <c r="O13" s="1027" t="str">
        <f>IF(L13="","",'#orgDung'!AQ14)</f>
        <v/>
      </c>
      <c r="P13" s="1025"/>
      <c r="Q13" s="1026" t="str">
        <f>IF(P13="","",'#orgDung'!BC14)</f>
        <v/>
      </c>
      <c r="R13" s="1026" t="str">
        <f>IF(P13="","",'#orgDung'!BD14)</f>
        <v/>
      </c>
      <c r="S13" s="1027" t="str">
        <f>IF(P13="","",'#orgDung'!BF14)</f>
        <v/>
      </c>
      <c r="T13" s="1025"/>
      <c r="U13" s="1026" t="str">
        <f>IF(T13="","",'#orgDung'!BR14)</f>
        <v/>
      </c>
      <c r="V13" s="1026" t="str">
        <f>IF(T13="","",'#orgDung'!BS14)</f>
        <v/>
      </c>
      <c r="W13" s="1027" t="str">
        <f>IF(T13="","",'#orgDung'!BU14)</f>
        <v/>
      </c>
      <c r="X13" s="1025"/>
      <c r="Y13" s="1026" t="str">
        <f>IF(X13="","",'#orgDung'!CG14)</f>
        <v/>
      </c>
      <c r="Z13" s="1026" t="str">
        <f>IF(X13="","",'#orgDung'!CH14)</f>
        <v/>
      </c>
      <c r="AA13" s="1027" t="str">
        <f>IF(X13="","",'#orgDung'!CJ14)</f>
        <v/>
      </c>
      <c r="AB13" s="1025"/>
      <c r="AC13" s="1026" t="str">
        <f>IF(AB13="","",'#orgDung'!CV14)</f>
        <v/>
      </c>
      <c r="AD13" s="1026" t="str">
        <f>IF(AB13="","",'#orgDung'!CW14)</f>
        <v/>
      </c>
      <c r="AE13" s="1027" t="str">
        <f>IF(AB13="","",'#orgDung'!CY14)</f>
        <v/>
      </c>
      <c r="AF13" s="1025"/>
      <c r="AG13" s="1026" t="str">
        <f>IF(AF13="","",'#orgDung'!DK14)</f>
        <v/>
      </c>
      <c r="AH13" s="1026" t="str">
        <f>IF(AF13="","",'#orgDung'!DL14)</f>
        <v/>
      </c>
      <c r="AI13" s="1027" t="str">
        <f>IF(AF13="","",'#orgDung'!DN14)</f>
        <v/>
      </c>
      <c r="AJ13" s="1025"/>
      <c r="AK13" s="1026" t="str">
        <f>IF(AJ13="","",'#orgDung'!DZ14)</f>
        <v/>
      </c>
      <c r="AL13" s="1026" t="str">
        <f>IF(AJ13="","",'#orgDung'!EA14)</f>
        <v/>
      </c>
      <c r="AM13" s="1027" t="str">
        <f>IF(AJ13="","",'#orgDung'!EC14)</f>
        <v/>
      </c>
      <c r="AN13" s="1025"/>
      <c r="AO13" s="1026" t="str">
        <f>IF(AN13="","",'#orgDung'!EO14)</f>
        <v/>
      </c>
      <c r="AP13" s="1026" t="str">
        <f>IF(AN13="","",'#orgDung'!EP14)</f>
        <v/>
      </c>
      <c r="AQ13" s="1027" t="str">
        <f>IF(AN13="","",'#orgDung'!ER14)</f>
        <v/>
      </c>
      <c r="AR13" s="1025"/>
      <c r="AS13" s="1026" t="str">
        <f>IF(AR13="","",'#orgDung'!FD14)</f>
        <v/>
      </c>
      <c r="AT13" s="1026" t="str">
        <f>IF(AR13="","",'#orgDung'!FE14)</f>
        <v/>
      </c>
      <c r="AU13" s="1027" t="str">
        <f>IF(AR13="","",'#orgDung'!FG14)</f>
        <v/>
      </c>
      <c r="AV13" s="1025"/>
      <c r="AW13" s="1026" t="str">
        <f>IF(AV13="","",'#orgDung'!FS14)</f>
        <v/>
      </c>
      <c r="AX13" s="1026" t="str">
        <f>IF(AV13="","",'#orgDung'!FT14)</f>
        <v/>
      </c>
      <c r="AY13" s="1027" t="str">
        <f>IF(AV13="","",'#orgDung'!FV14)</f>
        <v/>
      </c>
      <c r="AZ13" s="1025"/>
      <c r="BA13" s="1026" t="str">
        <f>IF(AZ13="","",'#orgDung'!GH14)</f>
        <v/>
      </c>
      <c r="BB13" s="1026" t="str">
        <f>IF(AZ13="","",'#orgDung'!GI14)</f>
        <v/>
      </c>
      <c r="BC13" s="1027" t="str">
        <f>IF(AZ13="","",'#orgDung'!GK14)</f>
        <v/>
      </c>
      <c r="BD13" s="1025"/>
      <c r="BE13" s="1026" t="str">
        <f>IF(BD13="","",'#orgDung'!GW14)</f>
        <v/>
      </c>
      <c r="BF13" s="1026" t="str">
        <f>IF(BD13="","",'#orgDung'!GX14)</f>
        <v/>
      </c>
      <c r="BG13" s="1027" t="str">
        <f>IF(BD13="","",'#orgDung'!GZ14)</f>
        <v/>
      </c>
      <c r="BH13" s="1025"/>
      <c r="BI13" s="1026" t="str">
        <f>IF(BH13="","",'#orgDung'!HL14)</f>
        <v/>
      </c>
      <c r="BJ13" s="1026" t="str">
        <f>IF(BH13="","",'#orgDung'!HM14)</f>
        <v/>
      </c>
      <c r="BK13" s="1027" t="str">
        <f>IF(BH13="","",'#orgDung'!HO14)</f>
        <v/>
      </c>
      <c r="BL13" s="1025"/>
      <c r="BM13" s="1026" t="str">
        <f>IF(BL13="","",'#orgDung'!IA14)</f>
        <v/>
      </c>
      <c r="BN13" s="1026" t="str">
        <f>IF(BL13="","",'#orgDung'!IB14)</f>
        <v/>
      </c>
      <c r="BO13" s="1027" t="str">
        <f>IF(BL13="","",'#orgDung'!ID14)</f>
        <v/>
      </c>
      <c r="BP13" s="1025"/>
      <c r="BQ13" s="1026" t="str">
        <f>IF(BP13="","",'#orgDung'!IP14)</f>
        <v/>
      </c>
      <c r="BR13" s="1026" t="str">
        <f>IF(BP13="","",'#orgDung'!IQ14)</f>
        <v/>
      </c>
      <c r="BS13" s="1027" t="str">
        <f>IF(BP13="","",'#orgDung'!IS14)</f>
        <v/>
      </c>
      <c r="BT13" s="1025"/>
      <c r="BU13" s="1026" t="str">
        <f>IF(BT13="","",'#orgDung'!JE14)</f>
        <v/>
      </c>
      <c r="BV13" s="1026" t="str">
        <f>IF(BT13="","",'#orgDung'!JF14)</f>
        <v/>
      </c>
      <c r="BW13" s="1027" t="str">
        <f>IF(BT13="","",'#orgDung'!JH14)</f>
        <v/>
      </c>
      <c r="BX13" s="1025"/>
      <c r="BY13" s="1026" t="str">
        <f>IF(BX13="","",'#orgDung'!JT14)</f>
        <v/>
      </c>
      <c r="BZ13" s="1026" t="str">
        <f>IF(BX13="","",'#orgDung'!JU14)</f>
        <v/>
      </c>
      <c r="CA13" s="1027" t="str">
        <f>IF(BX13="","",'#orgDung'!JW14)</f>
        <v/>
      </c>
      <c r="CB13" s="1025"/>
      <c r="CC13" s="1026" t="str">
        <f>IF(CB13="","",'#orgDung'!KI14)</f>
        <v/>
      </c>
      <c r="CD13" s="1026" t="str">
        <f>IF(CB13="","",'#orgDung'!KJ14)</f>
        <v/>
      </c>
      <c r="CE13" s="1027" t="str">
        <f>IF(CB13="","",'#orgDung'!KL14)</f>
        <v/>
      </c>
      <c r="CF13" s="1025"/>
      <c r="CG13" s="1026" t="str">
        <f>IF(CF13="","",'#orgDung'!KX14)</f>
        <v/>
      </c>
      <c r="CH13" s="1026" t="str">
        <f>IF(CF13="","",'#orgDung'!KY14)</f>
        <v/>
      </c>
      <c r="CI13" s="1027" t="str">
        <f>IF(CF13="","",'#orgDung'!LA14)</f>
        <v/>
      </c>
      <c r="CJ13" s="1025"/>
      <c r="CK13" s="1026" t="str">
        <f>IF(CJ13="","",'#orgDung'!LM14)</f>
        <v/>
      </c>
      <c r="CL13" s="1026" t="str">
        <f>IF(CJ13="","",'#orgDung'!LN14)</f>
        <v/>
      </c>
      <c r="CM13" s="1027" t="str">
        <f>IF(CJ13="","",'#orgDung'!LP14)</f>
        <v/>
      </c>
      <c r="CN13" s="1025"/>
      <c r="CO13" s="1026" t="str">
        <f>IF(CN13="","",'#orgDung'!MB14)</f>
        <v/>
      </c>
      <c r="CP13" s="1026" t="str">
        <f>IF(CN13="","",'#orgDung'!MC14)</f>
        <v/>
      </c>
      <c r="CQ13" s="1027" t="str">
        <f>IF(CN13="","",'#orgDung'!ME14)</f>
        <v/>
      </c>
      <c r="CR13" s="1025"/>
      <c r="CS13" s="1026" t="str">
        <f>IF(CR13="","",'#orgDung'!MQ14)</f>
        <v/>
      </c>
      <c r="CT13" s="1026" t="str">
        <f>IF(CR13="","",'#orgDung'!MR14)</f>
        <v/>
      </c>
      <c r="CU13" s="1027" t="str">
        <f>IF(CR13="","",'#orgDung'!MT14)</f>
        <v/>
      </c>
      <c r="CV13" s="1025"/>
      <c r="CW13" s="1026" t="str">
        <f>IF(CV13="","",'#orgDung'!NF14)</f>
        <v/>
      </c>
      <c r="CX13" s="1026" t="str">
        <f>IF(CV13="","",'#orgDung'!NG14)</f>
        <v/>
      </c>
      <c r="CY13" s="1027" t="str">
        <f>IF(CV13="","",'#orgDung'!NI14)</f>
        <v/>
      </c>
      <c r="CZ13" s="1025"/>
      <c r="DA13" s="1026" t="str">
        <f>IF(CZ13="","",'#orgDung'!NU14)</f>
        <v/>
      </c>
      <c r="DB13" s="1026" t="str">
        <f>IF(CZ13="","",'#orgDung'!NV14)</f>
        <v/>
      </c>
      <c r="DC13" s="1027" t="str">
        <f>IF(CZ13="","",'#orgDung'!NX14)</f>
        <v/>
      </c>
      <c r="DD13" s="1025"/>
      <c r="DE13" s="1026" t="str">
        <f>IF(DD13="","",'#orgDung'!OJ14)</f>
        <v/>
      </c>
      <c r="DF13" s="1026" t="str">
        <f>IF(DD13="","",'#orgDung'!OK14)</f>
        <v/>
      </c>
      <c r="DG13" s="1027" t="str">
        <f>IF(DD13="","",'#orgDung'!OM14)</f>
        <v/>
      </c>
      <c r="DH13" s="1025"/>
      <c r="DI13" s="1026" t="str">
        <f>IF(DH13="","",'#orgDung'!OY14)</f>
        <v/>
      </c>
      <c r="DJ13" s="1026" t="str">
        <f>IF(DH13="","",'#orgDung'!OZ14)</f>
        <v/>
      </c>
      <c r="DK13" s="1027" t="str">
        <f>IF(DH13="","",'#orgDung'!PB14)</f>
        <v/>
      </c>
      <c r="DL13" s="1025"/>
      <c r="DM13" s="1026" t="str">
        <f>IF(DL13="","",'#orgDung'!PN14)</f>
        <v/>
      </c>
      <c r="DN13" s="1026" t="str">
        <f>IF(DL13="","",'#orgDung'!PO14)</f>
        <v/>
      </c>
      <c r="DO13" s="1027" t="str">
        <f>IF(DL13="","",'#orgDung'!PQ14)</f>
        <v/>
      </c>
      <c r="DP13" s="1025"/>
      <c r="DQ13" s="1026" t="str">
        <f>IF(DP13="","",'#orgDung'!QC14)</f>
        <v/>
      </c>
      <c r="DR13" s="1026" t="str">
        <f>IF(DP13="","",'#orgDung'!QD14)</f>
        <v/>
      </c>
      <c r="DS13" s="1027" t="str">
        <f>IF(DP13="","",'#orgDung'!QF14)</f>
        <v/>
      </c>
      <c r="DT13" s="1025"/>
      <c r="DU13" s="1026" t="str">
        <f>IF(DT13="","",'#orgDung'!QR14)</f>
        <v/>
      </c>
      <c r="DV13" s="1026" t="str">
        <f>IF(DT13="","",'#orgDung'!QS14)</f>
        <v/>
      </c>
      <c r="DW13" s="1027" t="str">
        <f>IF(DT13="","",'#orgDung'!QU14)</f>
        <v/>
      </c>
      <c r="DX13" s="1025"/>
      <c r="DY13" s="1026" t="str">
        <f>IF(DX13="","",'#orgDung'!RG14)</f>
        <v/>
      </c>
      <c r="DZ13" s="1026" t="str">
        <f>IF(DX13="","",'#orgDung'!RH14)</f>
        <v/>
      </c>
      <c r="EA13" s="1027" t="str">
        <f>IF(DX13="","",'#orgDung'!RJ14)</f>
        <v/>
      </c>
    </row>
    <row r="14" spans="1:133" ht="15" customHeight="1" x14ac:dyDescent="0.2">
      <c r="A14" s="1195">
        <f>'Flächen u. Kulturen'!A11</f>
        <v>2</v>
      </c>
      <c r="B14" s="1195" t="str">
        <f>IF('Flächen u. Kulturen'!B11="","",'Flächen u. Kulturen'!B11)</f>
        <v/>
      </c>
      <c r="C14" s="1196" t="str">
        <f>IF('Flächen u. Kulturen'!D11="","",'Flächen u. Kulturen'!D11)</f>
        <v/>
      </c>
      <c r="D14" s="1197" t="str">
        <f>IF(C14="","",IF('#BerechnungDBE'!Q6&lt;4,"x",""))</f>
        <v/>
      </c>
      <c r="E14" s="1198" t="str">
        <f>IF(C14="","",VLOOKUP('Flächen u. Kulturen'!L11,'#Zweitfr'!$D$8:$F$28,'#Zweitfr'!$F$1,FALSE))</f>
        <v/>
      </c>
      <c r="F14" s="1199" t="str">
        <f>IF(C14="","",IF('Flächen u. Kulturen'!E11="x",'Flächen u. Kulturen'!P11,"nicht im Betrieb"))</f>
        <v/>
      </c>
      <c r="G14" s="1200" t="str">
        <f>IF(C14="","",IF('#orgDung'!C15=2,"--",IF('#Kürzungen'!$F$2=2,"--",'#orgDung'!R15)))</f>
        <v/>
      </c>
      <c r="H14" s="1200" t="str">
        <f>IF(C14="","",'#orgDung'!U15)</f>
        <v/>
      </c>
      <c r="I14" s="1201" t="str">
        <f>IF(C14="","",IF(COUNT('#orgDung'!RS15:SA15)=0,"OK",TRIM(CONCATENATE('#orgDung'!RS15," ",'#orgDung'!RT15," ",'#orgDung'!RU15," ",'#orgDung'!RV15," ",'#orgDung'!RW15," ",'#orgDung'!RX15," ",'#orgDung'!RY15," ",'#orgDung'!RZ15," ",'#orgDung'!SA15))))</f>
        <v/>
      </c>
      <c r="J14" s="1023"/>
      <c r="K14" s="1024"/>
      <c r="L14" s="1025"/>
      <c r="M14" s="1026" t="str">
        <f>IF(L14="","",'#orgDung'!AN15)</f>
        <v/>
      </c>
      <c r="N14" s="1026" t="str">
        <f>IF(L14="","",'#orgDung'!AO15)</f>
        <v/>
      </c>
      <c r="O14" s="1027" t="str">
        <f>IF(L14="","",'#orgDung'!AQ15)</f>
        <v/>
      </c>
      <c r="P14" s="1025"/>
      <c r="Q14" s="1026" t="str">
        <f>IF(P14="","",'#orgDung'!BC15)</f>
        <v/>
      </c>
      <c r="R14" s="1026" t="str">
        <f>IF(P14="","",'#orgDung'!BD15)</f>
        <v/>
      </c>
      <c r="S14" s="1027" t="str">
        <f>IF(P14="","",'#orgDung'!BF15)</f>
        <v/>
      </c>
      <c r="T14" s="1025"/>
      <c r="U14" s="1026" t="str">
        <f>IF(T14="","",'#orgDung'!BR15)</f>
        <v/>
      </c>
      <c r="V14" s="1026" t="str">
        <f>IF(T14="","",'#orgDung'!BS15)</f>
        <v/>
      </c>
      <c r="W14" s="1027" t="str">
        <f>IF(T14="","",'#orgDung'!BU15)</f>
        <v/>
      </c>
      <c r="X14" s="1025"/>
      <c r="Y14" s="1026" t="str">
        <f>IF(X14="","",'#orgDung'!CG15)</f>
        <v/>
      </c>
      <c r="Z14" s="1026" t="str">
        <f>IF(X14="","",'#orgDung'!CH15)</f>
        <v/>
      </c>
      <c r="AA14" s="1027" t="str">
        <f>IF(X14="","",'#orgDung'!CJ15)</f>
        <v/>
      </c>
      <c r="AB14" s="1025"/>
      <c r="AC14" s="1026" t="str">
        <f>IF(AB14="","",'#orgDung'!CV15)</f>
        <v/>
      </c>
      <c r="AD14" s="1026" t="str">
        <f>IF(AB14="","",'#orgDung'!CW15)</f>
        <v/>
      </c>
      <c r="AE14" s="1027" t="str">
        <f>IF(AB14="","",'#orgDung'!CY15)</f>
        <v/>
      </c>
      <c r="AF14" s="1025"/>
      <c r="AG14" s="1026" t="str">
        <f>IF(AF14="","",'#orgDung'!DK15)</f>
        <v/>
      </c>
      <c r="AH14" s="1026" t="str">
        <f>IF(AF14="","",'#orgDung'!DL15)</f>
        <v/>
      </c>
      <c r="AI14" s="1027" t="str">
        <f>IF(AF14="","",'#orgDung'!DN15)</f>
        <v/>
      </c>
      <c r="AJ14" s="1025"/>
      <c r="AK14" s="1026" t="str">
        <f>IF(AJ14="","",'#orgDung'!DZ15)</f>
        <v/>
      </c>
      <c r="AL14" s="1026" t="str">
        <f>IF(AJ14="","",'#orgDung'!EA15)</f>
        <v/>
      </c>
      <c r="AM14" s="1027" t="str">
        <f>IF(AJ14="","",'#orgDung'!EC15)</f>
        <v/>
      </c>
      <c r="AN14" s="1025"/>
      <c r="AO14" s="1026" t="str">
        <f>IF(AN14="","",'#orgDung'!EO15)</f>
        <v/>
      </c>
      <c r="AP14" s="1026" t="str">
        <f>IF(AN14="","",'#orgDung'!EP15)</f>
        <v/>
      </c>
      <c r="AQ14" s="1027" t="str">
        <f>IF(AN14="","",'#orgDung'!ER15)</f>
        <v/>
      </c>
      <c r="AR14" s="1025"/>
      <c r="AS14" s="1026" t="str">
        <f>IF(AR14="","",'#orgDung'!FD15)</f>
        <v/>
      </c>
      <c r="AT14" s="1026" t="str">
        <f>IF(AR14="","",'#orgDung'!FE15)</f>
        <v/>
      </c>
      <c r="AU14" s="1027" t="str">
        <f>IF(AR14="","",'#orgDung'!FG15)</f>
        <v/>
      </c>
      <c r="AV14" s="1025"/>
      <c r="AW14" s="1026" t="str">
        <f>IF(AV14="","",'#orgDung'!FS15)</f>
        <v/>
      </c>
      <c r="AX14" s="1026" t="str">
        <f>IF(AV14="","",'#orgDung'!FT15)</f>
        <v/>
      </c>
      <c r="AY14" s="1027" t="str">
        <f>IF(AV14="","",'#orgDung'!FV15)</f>
        <v/>
      </c>
      <c r="AZ14" s="1025"/>
      <c r="BA14" s="1026" t="str">
        <f>IF(AZ14="","",'#orgDung'!GH15)</f>
        <v/>
      </c>
      <c r="BB14" s="1026" t="str">
        <f>IF(AZ14="","",'#orgDung'!GI15)</f>
        <v/>
      </c>
      <c r="BC14" s="1027" t="str">
        <f>IF(AZ14="","",'#orgDung'!GK15)</f>
        <v/>
      </c>
      <c r="BD14" s="1025"/>
      <c r="BE14" s="1026" t="str">
        <f>IF(BD14="","",'#orgDung'!GW15)</f>
        <v/>
      </c>
      <c r="BF14" s="1026" t="str">
        <f>IF(BD14="","",'#orgDung'!GX15)</f>
        <v/>
      </c>
      <c r="BG14" s="1027" t="str">
        <f>IF(BD14="","",'#orgDung'!GZ15)</f>
        <v/>
      </c>
      <c r="BH14" s="1025"/>
      <c r="BI14" s="1026" t="str">
        <f>IF(BH14="","",'#orgDung'!HL15)</f>
        <v/>
      </c>
      <c r="BJ14" s="1026" t="str">
        <f>IF(BH14="","",'#orgDung'!HM15)</f>
        <v/>
      </c>
      <c r="BK14" s="1027" t="str">
        <f>IF(BH14="","",'#orgDung'!HO15)</f>
        <v/>
      </c>
      <c r="BL14" s="1025"/>
      <c r="BM14" s="1026" t="str">
        <f>IF(BL14="","",'#orgDung'!IA15)</f>
        <v/>
      </c>
      <c r="BN14" s="1026" t="str">
        <f>IF(BL14="","",'#orgDung'!IB15)</f>
        <v/>
      </c>
      <c r="BO14" s="1027" t="str">
        <f>IF(BL14="","",'#orgDung'!ID15)</f>
        <v/>
      </c>
      <c r="BP14" s="1025"/>
      <c r="BQ14" s="1026" t="str">
        <f>IF(BP14="","",'#orgDung'!IP15)</f>
        <v/>
      </c>
      <c r="BR14" s="1026" t="str">
        <f>IF(BP14="","",'#orgDung'!IQ15)</f>
        <v/>
      </c>
      <c r="BS14" s="1027" t="str">
        <f>IF(BP14="","",'#orgDung'!IS15)</f>
        <v/>
      </c>
      <c r="BT14" s="1025"/>
      <c r="BU14" s="1026" t="str">
        <f>IF(BT14="","",'#orgDung'!JE15)</f>
        <v/>
      </c>
      <c r="BV14" s="1026" t="str">
        <f>IF(BT14="","",'#orgDung'!JF15)</f>
        <v/>
      </c>
      <c r="BW14" s="1027" t="str">
        <f>IF(BT14="","",'#orgDung'!JH15)</f>
        <v/>
      </c>
      <c r="BX14" s="1025"/>
      <c r="BY14" s="1026" t="str">
        <f>IF(BX14="","",'#orgDung'!JT15)</f>
        <v/>
      </c>
      <c r="BZ14" s="1026" t="str">
        <f>IF(BX14="","",'#orgDung'!JU15)</f>
        <v/>
      </c>
      <c r="CA14" s="1027" t="str">
        <f>IF(BX14="","",'#orgDung'!JW15)</f>
        <v/>
      </c>
      <c r="CB14" s="1025"/>
      <c r="CC14" s="1026" t="str">
        <f>IF(CB14="","",'#orgDung'!KI15)</f>
        <v/>
      </c>
      <c r="CD14" s="1026" t="str">
        <f>IF(CB14="","",'#orgDung'!KJ15)</f>
        <v/>
      </c>
      <c r="CE14" s="1027" t="str">
        <f>IF(CB14="","",'#orgDung'!KL15)</f>
        <v/>
      </c>
      <c r="CF14" s="1025"/>
      <c r="CG14" s="1026" t="str">
        <f>IF(CF14="","",'#orgDung'!KX15)</f>
        <v/>
      </c>
      <c r="CH14" s="1026" t="str">
        <f>IF(CF14="","",'#orgDung'!KY15)</f>
        <v/>
      </c>
      <c r="CI14" s="1027" t="str">
        <f>IF(CF14="","",'#orgDung'!LA15)</f>
        <v/>
      </c>
      <c r="CJ14" s="1025"/>
      <c r="CK14" s="1026" t="str">
        <f>IF(CJ14="","",'#orgDung'!LM15)</f>
        <v/>
      </c>
      <c r="CL14" s="1026" t="str">
        <f>IF(CJ14="","",'#orgDung'!LN15)</f>
        <v/>
      </c>
      <c r="CM14" s="1027" t="str">
        <f>IF(CJ14="","",'#orgDung'!LP15)</f>
        <v/>
      </c>
      <c r="CN14" s="1025"/>
      <c r="CO14" s="1026" t="str">
        <f>IF(CN14="","",'#orgDung'!MB15)</f>
        <v/>
      </c>
      <c r="CP14" s="1026" t="str">
        <f>IF(CN14="","",'#orgDung'!MC15)</f>
        <v/>
      </c>
      <c r="CQ14" s="1027" t="str">
        <f>IF(CN14="","",'#orgDung'!ME15)</f>
        <v/>
      </c>
      <c r="CR14" s="1025"/>
      <c r="CS14" s="1026" t="str">
        <f>IF(CR14="","",'#orgDung'!MQ15)</f>
        <v/>
      </c>
      <c r="CT14" s="1026" t="str">
        <f>IF(CR14="","",'#orgDung'!MR15)</f>
        <v/>
      </c>
      <c r="CU14" s="1027" t="str">
        <f>IF(CR14="","",'#orgDung'!MT15)</f>
        <v/>
      </c>
      <c r="CV14" s="1025"/>
      <c r="CW14" s="1026" t="str">
        <f>IF(CV14="","",'#orgDung'!NF15)</f>
        <v/>
      </c>
      <c r="CX14" s="1026" t="str">
        <f>IF(CV14="","",'#orgDung'!NG15)</f>
        <v/>
      </c>
      <c r="CY14" s="1027" t="str">
        <f>IF(CV14="","",'#orgDung'!NI15)</f>
        <v/>
      </c>
      <c r="CZ14" s="1025"/>
      <c r="DA14" s="1026" t="str">
        <f>IF(CZ14="","",'#orgDung'!NU15)</f>
        <v/>
      </c>
      <c r="DB14" s="1026" t="str">
        <f>IF(CZ14="","",'#orgDung'!NV15)</f>
        <v/>
      </c>
      <c r="DC14" s="1027" t="str">
        <f>IF(CZ14="","",'#orgDung'!NX15)</f>
        <v/>
      </c>
      <c r="DD14" s="1025"/>
      <c r="DE14" s="1026" t="str">
        <f>IF(DD14="","",'#orgDung'!OJ15)</f>
        <v/>
      </c>
      <c r="DF14" s="1026" t="str">
        <f>IF(DD14="","",'#orgDung'!OK15)</f>
        <v/>
      </c>
      <c r="DG14" s="1027" t="str">
        <f>IF(DD14="","",'#orgDung'!OM15)</f>
        <v/>
      </c>
      <c r="DH14" s="1025"/>
      <c r="DI14" s="1026" t="str">
        <f>IF(DH14="","",'#orgDung'!OY15)</f>
        <v/>
      </c>
      <c r="DJ14" s="1026" t="str">
        <f>IF(DH14="","",'#orgDung'!OZ15)</f>
        <v/>
      </c>
      <c r="DK14" s="1027" t="str">
        <f>IF(DH14="","",'#orgDung'!PB15)</f>
        <v/>
      </c>
      <c r="DL14" s="1025"/>
      <c r="DM14" s="1026" t="str">
        <f>IF(DL14="","",'#orgDung'!PN15)</f>
        <v/>
      </c>
      <c r="DN14" s="1026" t="str">
        <f>IF(DL14="","",'#orgDung'!PO15)</f>
        <v/>
      </c>
      <c r="DO14" s="1027" t="str">
        <f>IF(DL14="","",'#orgDung'!PQ15)</f>
        <v/>
      </c>
      <c r="DP14" s="1025"/>
      <c r="DQ14" s="1026" t="str">
        <f>IF(DP14="","",'#orgDung'!QC15)</f>
        <v/>
      </c>
      <c r="DR14" s="1026" t="str">
        <f>IF(DP14="","",'#orgDung'!QD15)</f>
        <v/>
      </c>
      <c r="DS14" s="1027" t="str">
        <f>IF(DP14="","",'#orgDung'!QF15)</f>
        <v/>
      </c>
      <c r="DT14" s="1025"/>
      <c r="DU14" s="1026" t="str">
        <f>IF(DT14="","",'#orgDung'!QR15)</f>
        <v/>
      </c>
      <c r="DV14" s="1026" t="str">
        <f>IF(DT14="","",'#orgDung'!QS15)</f>
        <v/>
      </c>
      <c r="DW14" s="1027" t="str">
        <f>IF(DT14="","",'#orgDung'!QU15)</f>
        <v/>
      </c>
      <c r="DX14" s="1025"/>
      <c r="DY14" s="1026" t="str">
        <f>IF(DX14="","",'#orgDung'!RG15)</f>
        <v/>
      </c>
      <c r="DZ14" s="1026" t="str">
        <f>IF(DX14="","",'#orgDung'!RH15)</f>
        <v/>
      </c>
      <c r="EA14" s="1027" t="str">
        <f>IF(DX14="","",'#orgDung'!RJ15)</f>
        <v/>
      </c>
    </row>
    <row r="15" spans="1:133" ht="15" customHeight="1" x14ac:dyDescent="0.2">
      <c r="A15" s="1195">
        <f>'Flächen u. Kulturen'!A12</f>
        <v>3</v>
      </c>
      <c r="B15" s="1195" t="str">
        <f>IF('Flächen u. Kulturen'!B12="","",'Flächen u. Kulturen'!B12)</f>
        <v/>
      </c>
      <c r="C15" s="1196" t="str">
        <f>IF('Flächen u. Kulturen'!D12="","",'Flächen u. Kulturen'!D12)</f>
        <v/>
      </c>
      <c r="D15" s="1197" t="str">
        <f>IF(C15="","",IF('#BerechnungDBE'!Q7&lt;4,"x",""))</f>
        <v/>
      </c>
      <c r="E15" s="1198" t="str">
        <f>IF(C15="","",VLOOKUP('Flächen u. Kulturen'!L12,'#Zweitfr'!$D$8:$F$28,'#Zweitfr'!$F$1,FALSE))</f>
        <v/>
      </c>
      <c r="F15" s="1199" t="str">
        <f>IF(C15="","",IF('Flächen u. Kulturen'!E12="x",'Flächen u. Kulturen'!P12,"nicht im Betrieb"))</f>
        <v/>
      </c>
      <c r="G15" s="1200" t="str">
        <f>IF(C15="","",IF('#orgDung'!C16=2,"--",IF('#Kürzungen'!$F$2=2,"--",'#orgDung'!R16)))</f>
        <v/>
      </c>
      <c r="H15" s="1200" t="str">
        <f>IF(C15="","",'#orgDung'!U16)</f>
        <v/>
      </c>
      <c r="I15" s="1201" t="str">
        <f>IF(C15="","",IF(COUNT('#orgDung'!RS16:SA16)=0,"OK",TRIM(CONCATENATE('#orgDung'!RS16," ",'#orgDung'!RT16," ",'#orgDung'!RU16," ",'#orgDung'!RV16," ",'#orgDung'!RW16," ",'#orgDung'!RX16," ",'#orgDung'!RY16," ",'#orgDung'!RZ16," ",'#orgDung'!SA16))))</f>
        <v/>
      </c>
      <c r="J15" s="1023"/>
      <c r="K15" s="1024"/>
      <c r="L15" s="1025"/>
      <c r="M15" s="1026" t="str">
        <f>IF(L15="","",'#orgDung'!AN16)</f>
        <v/>
      </c>
      <c r="N15" s="1026" t="str">
        <f>IF(L15="","",'#orgDung'!AO16)</f>
        <v/>
      </c>
      <c r="O15" s="1027" t="str">
        <f>IF(L15="","",'#orgDung'!AQ16)</f>
        <v/>
      </c>
      <c r="P15" s="1025"/>
      <c r="Q15" s="1026" t="str">
        <f>IF(P15="","",'#orgDung'!BC16)</f>
        <v/>
      </c>
      <c r="R15" s="1026" t="str">
        <f>IF(P15="","",'#orgDung'!BD16)</f>
        <v/>
      </c>
      <c r="S15" s="1027" t="str">
        <f>IF(P15="","",'#orgDung'!BF16)</f>
        <v/>
      </c>
      <c r="T15" s="1025"/>
      <c r="U15" s="1026" t="str">
        <f>IF(T15="","",'#orgDung'!BR16)</f>
        <v/>
      </c>
      <c r="V15" s="1026" t="str">
        <f>IF(T15="","",'#orgDung'!BS16)</f>
        <v/>
      </c>
      <c r="W15" s="1027" t="str">
        <f>IF(T15="","",'#orgDung'!BU16)</f>
        <v/>
      </c>
      <c r="X15" s="1025"/>
      <c r="Y15" s="1026" t="str">
        <f>IF(X15="","",'#orgDung'!CG16)</f>
        <v/>
      </c>
      <c r="Z15" s="1026" t="str">
        <f>IF(X15="","",'#orgDung'!CH16)</f>
        <v/>
      </c>
      <c r="AA15" s="1027" t="str">
        <f>IF(X15="","",'#orgDung'!CJ16)</f>
        <v/>
      </c>
      <c r="AB15" s="1025"/>
      <c r="AC15" s="1026" t="str">
        <f>IF(AB15="","",'#orgDung'!CV16)</f>
        <v/>
      </c>
      <c r="AD15" s="1026" t="str">
        <f>IF(AB15="","",'#orgDung'!CW16)</f>
        <v/>
      </c>
      <c r="AE15" s="1027" t="str">
        <f>IF(AB15="","",'#orgDung'!CY16)</f>
        <v/>
      </c>
      <c r="AF15" s="1025"/>
      <c r="AG15" s="1026" t="str">
        <f>IF(AF15="","",'#orgDung'!DK16)</f>
        <v/>
      </c>
      <c r="AH15" s="1026" t="str">
        <f>IF(AF15="","",'#orgDung'!DL16)</f>
        <v/>
      </c>
      <c r="AI15" s="1027" t="str">
        <f>IF(AF15="","",'#orgDung'!DN16)</f>
        <v/>
      </c>
      <c r="AJ15" s="1025"/>
      <c r="AK15" s="1026" t="str">
        <f>IF(AJ15="","",'#orgDung'!DZ16)</f>
        <v/>
      </c>
      <c r="AL15" s="1026" t="str">
        <f>IF(AJ15="","",'#orgDung'!EA16)</f>
        <v/>
      </c>
      <c r="AM15" s="1027" t="str">
        <f>IF(AJ15="","",'#orgDung'!EC16)</f>
        <v/>
      </c>
      <c r="AN15" s="1025"/>
      <c r="AO15" s="1026" t="str">
        <f>IF(AN15="","",'#orgDung'!EO16)</f>
        <v/>
      </c>
      <c r="AP15" s="1026" t="str">
        <f>IF(AN15="","",'#orgDung'!EP16)</f>
        <v/>
      </c>
      <c r="AQ15" s="1027" t="str">
        <f>IF(AN15="","",'#orgDung'!ER16)</f>
        <v/>
      </c>
      <c r="AR15" s="1025"/>
      <c r="AS15" s="1026" t="str">
        <f>IF(AR15="","",'#orgDung'!FD16)</f>
        <v/>
      </c>
      <c r="AT15" s="1026" t="str">
        <f>IF(AR15="","",'#orgDung'!FE16)</f>
        <v/>
      </c>
      <c r="AU15" s="1027" t="str">
        <f>IF(AR15="","",'#orgDung'!FG16)</f>
        <v/>
      </c>
      <c r="AV15" s="1025"/>
      <c r="AW15" s="1026" t="str">
        <f>IF(AV15="","",'#orgDung'!FS16)</f>
        <v/>
      </c>
      <c r="AX15" s="1026" t="str">
        <f>IF(AV15="","",'#orgDung'!FT16)</f>
        <v/>
      </c>
      <c r="AY15" s="1027" t="str">
        <f>IF(AV15="","",'#orgDung'!FV16)</f>
        <v/>
      </c>
      <c r="AZ15" s="1025"/>
      <c r="BA15" s="1026" t="str">
        <f>IF(AZ15="","",'#orgDung'!GH16)</f>
        <v/>
      </c>
      <c r="BB15" s="1026" t="str">
        <f>IF(AZ15="","",'#orgDung'!GI16)</f>
        <v/>
      </c>
      <c r="BC15" s="1027" t="str">
        <f>IF(AZ15="","",'#orgDung'!GK16)</f>
        <v/>
      </c>
      <c r="BD15" s="1025"/>
      <c r="BE15" s="1026" t="str">
        <f>IF(BD15="","",'#orgDung'!GW16)</f>
        <v/>
      </c>
      <c r="BF15" s="1026" t="str">
        <f>IF(BD15="","",'#orgDung'!GX16)</f>
        <v/>
      </c>
      <c r="BG15" s="1027" t="str">
        <f>IF(BD15="","",'#orgDung'!GZ16)</f>
        <v/>
      </c>
      <c r="BH15" s="1025"/>
      <c r="BI15" s="1026" t="str">
        <f>IF(BH15="","",'#orgDung'!HL16)</f>
        <v/>
      </c>
      <c r="BJ15" s="1026" t="str">
        <f>IF(BH15="","",'#orgDung'!HM16)</f>
        <v/>
      </c>
      <c r="BK15" s="1027" t="str">
        <f>IF(BH15="","",'#orgDung'!HO16)</f>
        <v/>
      </c>
      <c r="BL15" s="1025"/>
      <c r="BM15" s="1026" t="str">
        <f>IF(BL15="","",'#orgDung'!IA16)</f>
        <v/>
      </c>
      <c r="BN15" s="1026" t="str">
        <f>IF(BL15="","",'#orgDung'!IB16)</f>
        <v/>
      </c>
      <c r="BO15" s="1027" t="str">
        <f>IF(BL15="","",'#orgDung'!ID16)</f>
        <v/>
      </c>
      <c r="BP15" s="1025"/>
      <c r="BQ15" s="1026" t="str">
        <f>IF(BP15="","",'#orgDung'!IP16)</f>
        <v/>
      </c>
      <c r="BR15" s="1026" t="str">
        <f>IF(BP15="","",'#orgDung'!IQ16)</f>
        <v/>
      </c>
      <c r="BS15" s="1027" t="str">
        <f>IF(BP15="","",'#orgDung'!IS16)</f>
        <v/>
      </c>
      <c r="BT15" s="1025"/>
      <c r="BU15" s="1026" t="str">
        <f>IF(BT15="","",'#orgDung'!JE16)</f>
        <v/>
      </c>
      <c r="BV15" s="1026" t="str">
        <f>IF(BT15="","",'#orgDung'!JF16)</f>
        <v/>
      </c>
      <c r="BW15" s="1027" t="str">
        <f>IF(BT15="","",'#orgDung'!JH16)</f>
        <v/>
      </c>
      <c r="BX15" s="1025"/>
      <c r="BY15" s="1026" t="str">
        <f>IF(BX15="","",'#orgDung'!JT16)</f>
        <v/>
      </c>
      <c r="BZ15" s="1026" t="str">
        <f>IF(BX15="","",'#orgDung'!JU16)</f>
        <v/>
      </c>
      <c r="CA15" s="1027" t="str">
        <f>IF(BX15="","",'#orgDung'!JW16)</f>
        <v/>
      </c>
      <c r="CB15" s="1025"/>
      <c r="CC15" s="1026" t="str">
        <f>IF(CB15="","",'#orgDung'!KI16)</f>
        <v/>
      </c>
      <c r="CD15" s="1026" t="str">
        <f>IF(CB15="","",'#orgDung'!KJ16)</f>
        <v/>
      </c>
      <c r="CE15" s="1027" t="str">
        <f>IF(CB15="","",'#orgDung'!KL16)</f>
        <v/>
      </c>
      <c r="CF15" s="1025"/>
      <c r="CG15" s="1026" t="str">
        <f>IF(CF15="","",'#orgDung'!KX16)</f>
        <v/>
      </c>
      <c r="CH15" s="1026" t="str">
        <f>IF(CF15="","",'#orgDung'!KY16)</f>
        <v/>
      </c>
      <c r="CI15" s="1027" t="str">
        <f>IF(CF15="","",'#orgDung'!LA16)</f>
        <v/>
      </c>
      <c r="CJ15" s="1025"/>
      <c r="CK15" s="1026" t="str">
        <f>IF(CJ15="","",'#orgDung'!LM16)</f>
        <v/>
      </c>
      <c r="CL15" s="1026" t="str">
        <f>IF(CJ15="","",'#orgDung'!LN16)</f>
        <v/>
      </c>
      <c r="CM15" s="1027" t="str">
        <f>IF(CJ15="","",'#orgDung'!LP16)</f>
        <v/>
      </c>
      <c r="CN15" s="1025"/>
      <c r="CO15" s="1026" t="str">
        <f>IF(CN15="","",'#orgDung'!MB16)</f>
        <v/>
      </c>
      <c r="CP15" s="1026" t="str">
        <f>IF(CN15="","",'#orgDung'!MC16)</f>
        <v/>
      </c>
      <c r="CQ15" s="1027" t="str">
        <f>IF(CN15="","",'#orgDung'!ME16)</f>
        <v/>
      </c>
      <c r="CR15" s="1025"/>
      <c r="CS15" s="1026" t="str">
        <f>IF(CR15="","",'#orgDung'!MQ16)</f>
        <v/>
      </c>
      <c r="CT15" s="1026" t="str">
        <f>IF(CR15="","",'#orgDung'!MR16)</f>
        <v/>
      </c>
      <c r="CU15" s="1027" t="str">
        <f>IF(CR15="","",'#orgDung'!MT16)</f>
        <v/>
      </c>
      <c r="CV15" s="1025"/>
      <c r="CW15" s="1026" t="str">
        <f>IF(CV15="","",'#orgDung'!NF16)</f>
        <v/>
      </c>
      <c r="CX15" s="1026" t="str">
        <f>IF(CV15="","",'#orgDung'!NG16)</f>
        <v/>
      </c>
      <c r="CY15" s="1027" t="str">
        <f>IF(CV15="","",'#orgDung'!NI16)</f>
        <v/>
      </c>
      <c r="CZ15" s="1025"/>
      <c r="DA15" s="1026" t="str">
        <f>IF(CZ15="","",'#orgDung'!NU16)</f>
        <v/>
      </c>
      <c r="DB15" s="1026" t="str">
        <f>IF(CZ15="","",'#orgDung'!NV16)</f>
        <v/>
      </c>
      <c r="DC15" s="1027" t="str">
        <f>IF(CZ15="","",'#orgDung'!NX16)</f>
        <v/>
      </c>
      <c r="DD15" s="1025"/>
      <c r="DE15" s="1026" t="str">
        <f>IF(DD15="","",'#orgDung'!OJ16)</f>
        <v/>
      </c>
      <c r="DF15" s="1026" t="str">
        <f>IF(DD15="","",'#orgDung'!OK16)</f>
        <v/>
      </c>
      <c r="DG15" s="1027" t="str">
        <f>IF(DD15="","",'#orgDung'!OM16)</f>
        <v/>
      </c>
      <c r="DH15" s="1025"/>
      <c r="DI15" s="1026" t="str">
        <f>IF(DH15="","",'#orgDung'!OY16)</f>
        <v/>
      </c>
      <c r="DJ15" s="1026" t="str">
        <f>IF(DH15="","",'#orgDung'!OZ16)</f>
        <v/>
      </c>
      <c r="DK15" s="1027" t="str">
        <f>IF(DH15="","",'#orgDung'!PB16)</f>
        <v/>
      </c>
      <c r="DL15" s="1025"/>
      <c r="DM15" s="1026" t="str">
        <f>IF(DL15="","",'#orgDung'!PN16)</f>
        <v/>
      </c>
      <c r="DN15" s="1026" t="str">
        <f>IF(DL15="","",'#orgDung'!PO16)</f>
        <v/>
      </c>
      <c r="DO15" s="1027" t="str">
        <f>IF(DL15="","",'#orgDung'!PQ16)</f>
        <v/>
      </c>
      <c r="DP15" s="1025"/>
      <c r="DQ15" s="1026" t="str">
        <f>IF(DP15="","",'#orgDung'!QC16)</f>
        <v/>
      </c>
      <c r="DR15" s="1026" t="str">
        <f>IF(DP15="","",'#orgDung'!QD16)</f>
        <v/>
      </c>
      <c r="DS15" s="1027" t="str">
        <f>IF(DP15="","",'#orgDung'!QF16)</f>
        <v/>
      </c>
      <c r="DT15" s="1025"/>
      <c r="DU15" s="1026" t="str">
        <f>IF(DT15="","",'#orgDung'!QR16)</f>
        <v/>
      </c>
      <c r="DV15" s="1026" t="str">
        <f>IF(DT15="","",'#orgDung'!QS16)</f>
        <v/>
      </c>
      <c r="DW15" s="1027" t="str">
        <f>IF(DT15="","",'#orgDung'!QU16)</f>
        <v/>
      </c>
      <c r="DX15" s="1025"/>
      <c r="DY15" s="1026" t="str">
        <f>IF(DX15="","",'#orgDung'!RG16)</f>
        <v/>
      </c>
      <c r="DZ15" s="1026" t="str">
        <f>IF(DX15="","",'#orgDung'!RH16)</f>
        <v/>
      </c>
      <c r="EA15" s="1027" t="str">
        <f>IF(DX15="","",'#orgDung'!RJ16)</f>
        <v/>
      </c>
    </row>
    <row r="16" spans="1:133" ht="15" customHeight="1" x14ac:dyDescent="0.2">
      <c r="A16" s="1195">
        <f>'Flächen u. Kulturen'!A13</f>
        <v>4</v>
      </c>
      <c r="B16" s="1195" t="str">
        <f>IF('Flächen u. Kulturen'!B13="","",'Flächen u. Kulturen'!B13)</f>
        <v/>
      </c>
      <c r="C16" s="1196" t="str">
        <f>IF('Flächen u. Kulturen'!D13="","",'Flächen u. Kulturen'!D13)</f>
        <v/>
      </c>
      <c r="D16" s="1197" t="str">
        <f>IF(C16="","",IF('#BerechnungDBE'!Q8&lt;4,"x",""))</f>
        <v/>
      </c>
      <c r="E16" s="1198" t="str">
        <f>IF(C16="","",VLOOKUP('Flächen u. Kulturen'!L13,'#Zweitfr'!$D$8:$F$28,'#Zweitfr'!$F$1,FALSE))</f>
        <v/>
      </c>
      <c r="F16" s="1199" t="str">
        <f>IF(C16="","",IF('Flächen u. Kulturen'!E13="x",'Flächen u. Kulturen'!P13,"nicht im Betrieb"))</f>
        <v/>
      </c>
      <c r="G16" s="1200" t="str">
        <f>IF(C16="","",IF('#orgDung'!C17=2,"--",IF('#Kürzungen'!$F$2=2,"--",'#orgDung'!R17)))</f>
        <v/>
      </c>
      <c r="H16" s="1200" t="str">
        <f>IF(C16="","",'#orgDung'!U17)</f>
        <v/>
      </c>
      <c r="I16" s="1201" t="str">
        <f>IF(C16="","",IF(COUNT('#orgDung'!RS17:SA17)=0,"OK",TRIM(CONCATENATE('#orgDung'!RS17," ",'#orgDung'!RT17," ",'#orgDung'!RU17," ",'#orgDung'!RV17," ",'#orgDung'!RW17," ",'#orgDung'!RX17," ",'#orgDung'!RY17," ",'#orgDung'!RZ17," ",'#orgDung'!SA17))))</f>
        <v/>
      </c>
      <c r="J16" s="1023"/>
      <c r="K16" s="1024"/>
      <c r="L16" s="1025"/>
      <c r="M16" s="1026" t="str">
        <f>IF(L16="","",'#orgDung'!AN17)</f>
        <v/>
      </c>
      <c r="N16" s="1026" t="str">
        <f>IF(L16="","",'#orgDung'!AO17)</f>
        <v/>
      </c>
      <c r="O16" s="1027" t="str">
        <f>IF(L16="","",'#orgDung'!AQ17)</f>
        <v/>
      </c>
      <c r="P16" s="1025"/>
      <c r="Q16" s="1026" t="str">
        <f>IF(P16="","",'#orgDung'!BC17)</f>
        <v/>
      </c>
      <c r="R16" s="1026" t="str">
        <f>IF(P16="","",'#orgDung'!BD17)</f>
        <v/>
      </c>
      <c r="S16" s="1027" t="str">
        <f>IF(P16="","",'#orgDung'!BF17)</f>
        <v/>
      </c>
      <c r="T16" s="1025"/>
      <c r="U16" s="1026" t="str">
        <f>IF(T16="","",'#orgDung'!BR17)</f>
        <v/>
      </c>
      <c r="V16" s="1026" t="str">
        <f>IF(T16="","",'#orgDung'!BS17)</f>
        <v/>
      </c>
      <c r="W16" s="1027" t="str">
        <f>IF(T16="","",'#orgDung'!BU17)</f>
        <v/>
      </c>
      <c r="X16" s="1025"/>
      <c r="Y16" s="1026" t="str">
        <f>IF(X16="","",'#orgDung'!CG17)</f>
        <v/>
      </c>
      <c r="Z16" s="1026" t="str">
        <f>IF(X16="","",'#orgDung'!CH17)</f>
        <v/>
      </c>
      <c r="AA16" s="1027" t="str">
        <f>IF(X16="","",'#orgDung'!CJ17)</f>
        <v/>
      </c>
      <c r="AB16" s="1025"/>
      <c r="AC16" s="1026" t="str">
        <f>IF(AB16="","",'#orgDung'!CV17)</f>
        <v/>
      </c>
      <c r="AD16" s="1026" t="str">
        <f>IF(AB16="","",'#orgDung'!CW17)</f>
        <v/>
      </c>
      <c r="AE16" s="1027" t="str">
        <f>IF(AB16="","",'#orgDung'!CY17)</f>
        <v/>
      </c>
      <c r="AF16" s="1025"/>
      <c r="AG16" s="1026" t="str">
        <f>IF(AF16="","",'#orgDung'!DK17)</f>
        <v/>
      </c>
      <c r="AH16" s="1026" t="str">
        <f>IF(AF16="","",'#orgDung'!DL17)</f>
        <v/>
      </c>
      <c r="AI16" s="1027" t="str">
        <f>IF(AF16="","",'#orgDung'!DN17)</f>
        <v/>
      </c>
      <c r="AJ16" s="1025"/>
      <c r="AK16" s="1026" t="str">
        <f>IF(AJ16="","",'#orgDung'!DZ17)</f>
        <v/>
      </c>
      <c r="AL16" s="1026" t="str">
        <f>IF(AJ16="","",'#orgDung'!EA17)</f>
        <v/>
      </c>
      <c r="AM16" s="1027" t="str">
        <f>IF(AJ16="","",'#orgDung'!EC17)</f>
        <v/>
      </c>
      <c r="AN16" s="1025"/>
      <c r="AO16" s="1026" t="str">
        <f>IF(AN16="","",'#orgDung'!EO17)</f>
        <v/>
      </c>
      <c r="AP16" s="1026" t="str">
        <f>IF(AN16="","",'#orgDung'!EP17)</f>
        <v/>
      </c>
      <c r="AQ16" s="1027" t="str">
        <f>IF(AN16="","",'#orgDung'!ER17)</f>
        <v/>
      </c>
      <c r="AR16" s="1025"/>
      <c r="AS16" s="1026" t="str">
        <f>IF(AR16="","",'#orgDung'!FD17)</f>
        <v/>
      </c>
      <c r="AT16" s="1026" t="str">
        <f>IF(AR16="","",'#orgDung'!FE17)</f>
        <v/>
      </c>
      <c r="AU16" s="1027" t="str">
        <f>IF(AR16="","",'#orgDung'!FG17)</f>
        <v/>
      </c>
      <c r="AV16" s="1025"/>
      <c r="AW16" s="1026" t="str">
        <f>IF(AV16="","",'#orgDung'!FS17)</f>
        <v/>
      </c>
      <c r="AX16" s="1026" t="str">
        <f>IF(AV16="","",'#orgDung'!FT17)</f>
        <v/>
      </c>
      <c r="AY16" s="1027" t="str">
        <f>IF(AV16="","",'#orgDung'!FV17)</f>
        <v/>
      </c>
      <c r="AZ16" s="1025"/>
      <c r="BA16" s="1026" t="str">
        <f>IF(AZ16="","",'#orgDung'!GH17)</f>
        <v/>
      </c>
      <c r="BB16" s="1026" t="str">
        <f>IF(AZ16="","",'#orgDung'!GI17)</f>
        <v/>
      </c>
      <c r="BC16" s="1027" t="str">
        <f>IF(AZ16="","",'#orgDung'!GK17)</f>
        <v/>
      </c>
      <c r="BD16" s="1025"/>
      <c r="BE16" s="1026" t="str">
        <f>IF(BD16="","",'#orgDung'!GW17)</f>
        <v/>
      </c>
      <c r="BF16" s="1026" t="str">
        <f>IF(BD16="","",'#orgDung'!GX17)</f>
        <v/>
      </c>
      <c r="BG16" s="1027" t="str">
        <f>IF(BD16="","",'#orgDung'!GZ17)</f>
        <v/>
      </c>
      <c r="BH16" s="1025"/>
      <c r="BI16" s="1026" t="str">
        <f>IF(BH16="","",'#orgDung'!HL17)</f>
        <v/>
      </c>
      <c r="BJ16" s="1026" t="str">
        <f>IF(BH16="","",'#orgDung'!HM17)</f>
        <v/>
      </c>
      <c r="BK16" s="1027" t="str">
        <f>IF(BH16="","",'#orgDung'!HO17)</f>
        <v/>
      </c>
      <c r="BL16" s="1025"/>
      <c r="BM16" s="1026" t="str">
        <f>IF(BL16="","",'#orgDung'!IA17)</f>
        <v/>
      </c>
      <c r="BN16" s="1026" t="str">
        <f>IF(BL16="","",'#orgDung'!IB17)</f>
        <v/>
      </c>
      <c r="BO16" s="1027" t="str">
        <f>IF(BL16="","",'#orgDung'!ID17)</f>
        <v/>
      </c>
      <c r="BP16" s="1025"/>
      <c r="BQ16" s="1026" t="str">
        <f>IF(BP16="","",'#orgDung'!IP17)</f>
        <v/>
      </c>
      <c r="BR16" s="1026" t="str">
        <f>IF(BP16="","",'#orgDung'!IQ17)</f>
        <v/>
      </c>
      <c r="BS16" s="1027" t="str">
        <f>IF(BP16="","",'#orgDung'!IS17)</f>
        <v/>
      </c>
      <c r="BT16" s="1025"/>
      <c r="BU16" s="1026" t="str">
        <f>IF(BT16="","",'#orgDung'!JE17)</f>
        <v/>
      </c>
      <c r="BV16" s="1026" t="str">
        <f>IF(BT16="","",'#orgDung'!JF17)</f>
        <v/>
      </c>
      <c r="BW16" s="1027" t="str">
        <f>IF(BT16="","",'#orgDung'!JH17)</f>
        <v/>
      </c>
      <c r="BX16" s="1025"/>
      <c r="BY16" s="1026" t="str">
        <f>IF(BX16="","",'#orgDung'!JT17)</f>
        <v/>
      </c>
      <c r="BZ16" s="1026" t="str">
        <f>IF(BX16="","",'#orgDung'!JU17)</f>
        <v/>
      </c>
      <c r="CA16" s="1027" t="str">
        <f>IF(BX16="","",'#orgDung'!JW17)</f>
        <v/>
      </c>
      <c r="CB16" s="1025"/>
      <c r="CC16" s="1026" t="str">
        <f>IF(CB16="","",'#orgDung'!KI17)</f>
        <v/>
      </c>
      <c r="CD16" s="1026" t="str">
        <f>IF(CB16="","",'#orgDung'!KJ17)</f>
        <v/>
      </c>
      <c r="CE16" s="1027" t="str">
        <f>IF(CB16="","",'#orgDung'!KL17)</f>
        <v/>
      </c>
      <c r="CF16" s="1025"/>
      <c r="CG16" s="1026" t="str">
        <f>IF(CF16="","",'#orgDung'!KX17)</f>
        <v/>
      </c>
      <c r="CH16" s="1026" t="str">
        <f>IF(CF16="","",'#orgDung'!KY17)</f>
        <v/>
      </c>
      <c r="CI16" s="1027" t="str">
        <f>IF(CF16="","",'#orgDung'!LA17)</f>
        <v/>
      </c>
      <c r="CJ16" s="1025"/>
      <c r="CK16" s="1026" t="str">
        <f>IF(CJ16="","",'#orgDung'!LM17)</f>
        <v/>
      </c>
      <c r="CL16" s="1026" t="str">
        <f>IF(CJ16="","",'#orgDung'!LN17)</f>
        <v/>
      </c>
      <c r="CM16" s="1027" t="str">
        <f>IF(CJ16="","",'#orgDung'!LP17)</f>
        <v/>
      </c>
      <c r="CN16" s="1025"/>
      <c r="CO16" s="1026" t="str">
        <f>IF(CN16="","",'#orgDung'!MB17)</f>
        <v/>
      </c>
      <c r="CP16" s="1026" t="str">
        <f>IF(CN16="","",'#orgDung'!MC17)</f>
        <v/>
      </c>
      <c r="CQ16" s="1027" t="str">
        <f>IF(CN16="","",'#orgDung'!ME17)</f>
        <v/>
      </c>
      <c r="CR16" s="1025"/>
      <c r="CS16" s="1026" t="str">
        <f>IF(CR16="","",'#orgDung'!MQ17)</f>
        <v/>
      </c>
      <c r="CT16" s="1026" t="str">
        <f>IF(CR16="","",'#orgDung'!MR17)</f>
        <v/>
      </c>
      <c r="CU16" s="1027" t="str">
        <f>IF(CR16="","",'#orgDung'!MT17)</f>
        <v/>
      </c>
      <c r="CV16" s="1025"/>
      <c r="CW16" s="1026" t="str">
        <f>IF(CV16="","",'#orgDung'!NF17)</f>
        <v/>
      </c>
      <c r="CX16" s="1026" t="str">
        <f>IF(CV16="","",'#orgDung'!NG17)</f>
        <v/>
      </c>
      <c r="CY16" s="1027" t="str">
        <f>IF(CV16="","",'#orgDung'!NI17)</f>
        <v/>
      </c>
      <c r="CZ16" s="1025"/>
      <c r="DA16" s="1026" t="str">
        <f>IF(CZ16="","",'#orgDung'!NU17)</f>
        <v/>
      </c>
      <c r="DB16" s="1026" t="str">
        <f>IF(CZ16="","",'#orgDung'!NV17)</f>
        <v/>
      </c>
      <c r="DC16" s="1027" t="str">
        <f>IF(CZ16="","",'#orgDung'!NX17)</f>
        <v/>
      </c>
      <c r="DD16" s="1025"/>
      <c r="DE16" s="1026" t="str">
        <f>IF(DD16="","",'#orgDung'!OJ17)</f>
        <v/>
      </c>
      <c r="DF16" s="1026" t="str">
        <f>IF(DD16="","",'#orgDung'!OK17)</f>
        <v/>
      </c>
      <c r="DG16" s="1027" t="str">
        <f>IF(DD16="","",'#orgDung'!OM17)</f>
        <v/>
      </c>
      <c r="DH16" s="1025"/>
      <c r="DI16" s="1026" t="str">
        <f>IF(DH16="","",'#orgDung'!OY17)</f>
        <v/>
      </c>
      <c r="DJ16" s="1026" t="str">
        <f>IF(DH16="","",'#orgDung'!OZ17)</f>
        <v/>
      </c>
      <c r="DK16" s="1027" t="str">
        <f>IF(DH16="","",'#orgDung'!PB17)</f>
        <v/>
      </c>
      <c r="DL16" s="1025"/>
      <c r="DM16" s="1026" t="str">
        <f>IF(DL16="","",'#orgDung'!PN17)</f>
        <v/>
      </c>
      <c r="DN16" s="1026" t="str">
        <f>IF(DL16="","",'#orgDung'!PO17)</f>
        <v/>
      </c>
      <c r="DO16" s="1027" t="str">
        <f>IF(DL16="","",'#orgDung'!PQ17)</f>
        <v/>
      </c>
      <c r="DP16" s="1025"/>
      <c r="DQ16" s="1026" t="str">
        <f>IF(DP16="","",'#orgDung'!QC17)</f>
        <v/>
      </c>
      <c r="DR16" s="1026" t="str">
        <f>IF(DP16="","",'#orgDung'!QD17)</f>
        <v/>
      </c>
      <c r="DS16" s="1027" t="str">
        <f>IF(DP16="","",'#orgDung'!QF17)</f>
        <v/>
      </c>
      <c r="DT16" s="1025"/>
      <c r="DU16" s="1026" t="str">
        <f>IF(DT16="","",'#orgDung'!QR17)</f>
        <v/>
      </c>
      <c r="DV16" s="1026" t="str">
        <f>IF(DT16="","",'#orgDung'!QS17)</f>
        <v/>
      </c>
      <c r="DW16" s="1027" t="str">
        <f>IF(DT16="","",'#orgDung'!QU17)</f>
        <v/>
      </c>
      <c r="DX16" s="1025"/>
      <c r="DY16" s="1026" t="str">
        <f>IF(DX16="","",'#orgDung'!RG17)</f>
        <v/>
      </c>
      <c r="DZ16" s="1026" t="str">
        <f>IF(DX16="","",'#orgDung'!RH17)</f>
        <v/>
      </c>
      <c r="EA16" s="1027" t="str">
        <f>IF(DX16="","",'#orgDung'!RJ17)</f>
        <v/>
      </c>
    </row>
    <row r="17" spans="1:131" ht="15" customHeight="1" x14ac:dyDescent="0.2">
      <c r="A17" s="1195">
        <f>'Flächen u. Kulturen'!A14</f>
        <v>5</v>
      </c>
      <c r="B17" s="1195" t="str">
        <f>IF('Flächen u. Kulturen'!B14="","",'Flächen u. Kulturen'!B14)</f>
        <v/>
      </c>
      <c r="C17" s="1196" t="str">
        <f>IF('Flächen u. Kulturen'!D14="","",'Flächen u. Kulturen'!D14)</f>
        <v/>
      </c>
      <c r="D17" s="1197" t="str">
        <f>IF(C17="","",IF('#BerechnungDBE'!Q9&lt;4,"x",""))</f>
        <v/>
      </c>
      <c r="E17" s="1198" t="str">
        <f>IF(C17="","",VLOOKUP('Flächen u. Kulturen'!L14,'#Zweitfr'!$D$8:$F$28,'#Zweitfr'!$F$1,FALSE))</f>
        <v/>
      </c>
      <c r="F17" s="1199" t="str">
        <f>IF(C17="","",IF('Flächen u. Kulturen'!E14="x",'Flächen u. Kulturen'!P14,"nicht im Betrieb"))</f>
        <v/>
      </c>
      <c r="G17" s="1200" t="str">
        <f>IF(C17="","",IF('#orgDung'!C18=2,"--",IF('#Kürzungen'!$F$2=2,"--",'#orgDung'!R18)))</f>
        <v/>
      </c>
      <c r="H17" s="1200" t="str">
        <f>IF(C17="","",'#orgDung'!U18)</f>
        <v/>
      </c>
      <c r="I17" s="1201" t="str">
        <f>IF(C17="","",IF(COUNT('#orgDung'!RS18:SA18)=0,"OK",TRIM(CONCATENATE('#orgDung'!RS18," ",'#orgDung'!RT18," ",'#orgDung'!RU18," ",'#orgDung'!RV18," ",'#orgDung'!RW18," ",'#orgDung'!RX18," ",'#orgDung'!RY18," ",'#orgDung'!RZ18," ",'#orgDung'!SA18))))</f>
        <v/>
      </c>
      <c r="J17" s="1023"/>
      <c r="K17" s="1024"/>
      <c r="L17" s="1025"/>
      <c r="M17" s="1026" t="str">
        <f>IF(L17="","",'#orgDung'!AN18)</f>
        <v/>
      </c>
      <c r="N17" s="1026" t="str">
        <f>IF(L17="","",'#orgDung'!AO18)</f>
        <v/>
      </c>
      <c r="O17" s="1027" t="str">
        <f>IF(L17="","",'#orgDung'!AQ18)</f>
        <v/>
      </c>
      <c r="P17" s="1025"/>
      <c r="Q17" s="1026" t="str">
        <f>IF(P17="","",'#orgDung'!BC18)</f>
        <v/>
      </c>
      <c r="R17" s="1026" t="str">
        <f>IF(P17="","",'#orgDung'!BD18)</f>
        <v/>
      </c>
      <c r="S17" s="1027" t="str">
        <f>IF(P17="","",'#orgDung'!BF18)</f>
        <v/>
      </c>
      <c r="T17" s="1025"/>
      <c r="U17" s="1026" t="str">
        <f>IF(T17="","",'#orgDung'!BR18)</f>
        <v/>
      </c>
      <c r="V17" s="1026" t="str">
        <f>IF(T17="","",'#orgDung'!BS18)</f>
        <v/>
      </c>
      <c r="W17" s="1027" t="str">
        <f>IF(T17="","",'#orgDung'!BU18)</f>
        <v/>
      </c>
      <c r="X17" s="1025"/>
      <c r="Y17" s="1026" t="str">
        <f>IF(X17="","",'#orgDung'!CG18)</f>
        <v/>
      </c>
      <c r="Z17" s="1026" t="str">
        <f>IF(X17="","",'#orgDung'!CH18)</f>
        <v/>
      </c>
      <c r="AA17" s="1027" t="str">
        <f>IF(X17="","",'#orgDung'!CJ18)</f>
        <v/>
      </c>
      <c r="AB17" s="1025"/>
      <c r="AC17" s="1026" t="str">
        <f>IF(AB17="","",'#orgDung'!CV18)</f>
        <v/>
      </c>
      <c r="AD17" s="1026" t="str">
        <f>IF(AB17="","",'#orgDung'!CW18)</f>
        <v/>
      </c>
      <c r="AE17" s="1027" t="str">
        <f>IF(AB17="","",'#orgDung'!CY18)</f>
        <v/>
      </c>
      <c r="AF17" s="1025"/>
      <c r="AG17" s="1026" t="str">
        <f>IF(AF17="","",'#orgDung'!DK18)</f>
        <v/>
      </c>
      <c r="AH17" s="1026" t="str">
        <f>IF(AF17="","",'#orgDung'!DL18)</f>
        <v/>
      </c>
      <c r="AI17" s="1027" t="str">
        <f>IF(AF17="","",'#orgDung'!DN18)</f>
        <v/>
      </c>
      <c r="AJ17" s="1025"/>
      <c r="AK17" s="1026" t="str">
        <f>IF(AJ17="","",'#orgDung'!DZ18)</f>
        <v/>
      </c>
      <c r="AL17" s="1026" t="str">
        <f>IF(AJ17="","",'#orgDung'!EA18)</f>
        <v/>
      </c>
      <c r="AM17" s="1027" t="str">
        <f>IF(AJ17="","",'#orgDung'!EC18)</f>
        <v/>
      </c>
      <c r="AN17" s="1025"/>
      <c r="AO17" s="1026" t="str">
        <f>IF(AN17="","",'#orgDung'!EO18)</f>
        <v/>
      </c>
      <c r="AP17" s="1026" t="str">
        <f>IF(AN17="","",'#orgDung'!EP18)</f>
        <v/>
      </c>
      <c r="AQ17" s="1027" t="str">
        <f>IF(AN17="","",'#orgDung'!ER18)</f>
        <v/>
      </c>
      <c r="AR17" s="1025"/>
      <c r="AS17" s="1026" t="str">
        <f>IF(AR17="","",'#orgDung'!FD18)</f>
        <v/>
      </c>
      <c r="AT17" s="1026" t="str">
        <f>IF(AR17="","",'#orgDung'!FE18)</f>
        <v/>
      </c>
      <c r="AU17" s="1027" t="str">
        <f>IF(AR17="","",'#orgDung'!FG18)</f>
        <v/>
      </c>
      <c r="AV17" s="1025"/>
      <c r="AW17" s="1026" t="str">
        <f>IF(AV17="","",'#orgDung'!FS18)</f>
        <v/>
      </c>
      <c r="AX17" s="1026" t="str">
        <f>IF(AV17="","",'#orgDung'!FT18)</f>
        <v/>
      </c>
      <c r="AY17" s="1027" t="str">
        <f>IF(AV17="","",'#orgDung'!FV18)</f>
        <v/>
      </c>
      <c r="AZ17" s="1025"/>
      <c r="BA17" s="1026" t="str">
        <f>IF(AZ17="","",'#orgDung'!GH18)</f>
        <v/>
      </c>
      <c r="BB17" s="1026" t="str">
        <f>IF(AZ17="","",'#orgDung'!GI18)</f>
        <v/>
      </c>
      <c r="BC17" s="1027" t="str">
        <f>IF(AZ17="","",'#orgDung'!GK18)</f>
        <v/>
      </c>
      <c r="BD17" s="1025"/>
      <c r="BE17" s="1026" t="str">
        <f>IF(BD17="","",'#orgDung'!GW18)</f>
        <v/>
      </c>
      <c r="BF17" s="1026" t="str">
        <f>IF(BD17="","",'#orgDung'!GX18)</f>
        <v/>
      </c>
      <c r="BG17" s="1027" t="str">
        <f>IF(BD17="","",'#orgDung'!GZ18)</f>
        <v/>
      </c>
      <c r="BH17" s="1025"/>
      <c r="BI17" s="1026" t="str">
        <f>IF(BH17="","",'#orgDung'!HL18)</f>
        <v/>
      </c>
      <c r="BJ17" s="1026" t="str">
        <f>IF(BH17="","",'#orgDung'!HM18)</f>
        <v/>
      </c>
      <c r="BK17" s="1027" t="str">
        <f>IF(BH17="","",'#orgDung'!HO18)</f>
        <v/>
      </c>
      <c r="BL17" s="1025"/>
      <c r="BM17" s="1026" t="str">
        <f>IF(BL17="","",'#orgDung'!IA18)</f>
        <v/>
      </c>
      <c r="BN17" s="1026" t="str">
        <f>IF(BL17="","",'#orgDung'!IB18)</f>
        <v/>
      </c>
      <c r="BO17" s="1027" t="str">
        <f>IF(BL17="","",'#orgDung'!ID18)</f>
        <v/>
      </c>
      <c r="BP17" s="1025"/>
      <c r="BQ17" s="1026" t="str">
        <f>IF(BP17="","",'#orgDung'!IP18)</f>
        <v/>
      </c>
      <c r="BR17" s="1026" t="str">
        <f>IF(BP17="","",'#orgDung'!IQ18)</f>
        <v/>
      </c>
      <c r="BS17" s="1027" t="str">
        <f>IF(BP17="","",'#orgDung'!IS18)</f>
        <v/>
      </c>
      <c r="BT17" s="1025"/>
      <c r="BU17" s="1026" t="str">
        <f>IF(BT17="","",'#orgDung'!JE18)</f>
        <v/>
      </c>
      <c r="BV17" s="1026" t="str">
        <f>IF(BT17="","",'#orgDung'!JF18)</f>
        <v/>
      </c>
      <c r="BW17" s="1027" t="str">
        <f>IF(BT17="","",'#orgDung'!JH18)</f>
        <v/>
      </c>
      <c r="BX17" s="1025"/>
      <c r="BY17" s="1026" t="str">
        <f>IF(BX17="","",'#orgDung'!JT18)</f>
        <v/>
      </c>
      <c r="BZ17" s="1026" t="str">
        <f>IF(BX17="","",'#orgDung'!JU18)</f>
        <v/>
      </c>
      <c r="CA17" s="1027" t="str">
        <f>IF(BX17="","",'#orgDung'!JW18)</f>
        <v/>
      </c>
      <c r="CB17" s="1025"/>
      <c r="CC17" s="1026" t="str">
        <f>IF(CB17="","",'#orgDung'!KI18)</f>
        <v/>
      </c>
      <c r="CD17" s="1026" t="str">
        <f>IF(CB17="","",'#orgDung'!KJ18)</f>
        <v/>
      </c>
      <c r="CE17" s="1027" t="str">
        <f>IF(CB17="","",'#orgDung'!KL18)</f>
        <v/>
      </c>
      <c r="CF17" s="1025"/>
      <c r="CG17" s="1026" t="str">
        <f>IF(CF17="","",'#orgDung'!KX18)</f>
        <v/>
      </c>
      <c r="CH17" s="1026" t="str">
        <f>IF(CF17="","",'#orgDung'!KY18)</f>
        <v/>
      </c>
      <c r="CI17" s="1027" t="str">
        <f>IF(CF17="","",'#orgDung'!LA18)</f>
        <v/>
      </c>
      <c r="CJ17" s="1025"/>
      <c r="CK17" s="1026" t="str">
        <f>IF(CJ17="","",'#orgDung'!LM18)</f>
        <v/>
      </c>
      <c r="CL17" s="1026" t="str">
        <f>IF(CJ17="","",'#orgDung'!LN18)</f>
        <v/>
      </c>
      <c r="CM17" s="1027" t="str">
        <f>IF(CJ17="","",'#orgDung'!LP18)</f>
        <v/>
      </c>
      <c r="CN17" s="1025"/>
      <c r="CO17" s="1026" t="str">
        <f>IF(CN17="","",'#orgDung'!MB18)</f>
        <v/>
      </c>
      <c r="CP17" s="1026" t="str">
        <f>IF(CN17="","",'#orgDung'!MC18)</f>
        <v/>
      </c>
      <c r="CQ17" s="1027" t="str">
        <f>IF(CN17="","",'#orgDung'!ME18)</f>
        <v/>
      </c>
      <c r="CR17" s="1025"/>
      <c r="CS17" s="1026" t="str">
        <f>IF(CR17="","",'#orgDung'!MQ18)</f>
        <v/>
      </c>
      <c r="CT17" s="1026" t="str">
        <f>IF(CR17="","",'#orgDung'!MR18)</f>
        <v/>
      </c>
      <c r="CU17" s="1027" t="str">
        <f>IF(CR17="","",'#orgDung'!MT18)</f>
        <v/>
      </c>
      <c r="CV17" s="1025"/>
      <c r="CW17" s="1026" t="str">
        <f>IF(CV17="","",'#orgDung'!NF18)</f>
        <v/>
      </c>
      <c r="CX17" s="1026" t="str">
        <f>IF(CV17="","",'#orgDung'!NG18)</f>
        <v/>
      </c>
      <c r="CY17" s="1027" t="str">
        <f>IF(CV17="","",'#orgDung'!NI18)</f>
        <v/>
      </c>
      <c r="CZ17" s="1025"/>
      <c r="DA17" s="1026" t="str">
        <f>IF(CZ17="","",'#orgDung'!NU18)</f>
        <v/>
      </c>
      <c r="DB17" s="1026" t="str">
        <f>IF(CZ17="","",'#orgDung'!NV18)</f>
        <v/>
      </c>
      <c r="DC17" s="1027" t="str">
        <f>IF(CZ17="","",'#orgDung'!NX18)</f>
        <v/>
      </c>
      <c r="DD17" s="1025"/>
      <c r="DE17" s="1026" t="str">
        <f>IF(DD17="","",'#orgDung'!OJ18)</f>
        <v/>
      </c>
      <c r="DF17" s="1026" t="str">
        <f>IF(DD17="","",'#orgDung'!OK18)</f>
        <v/>
      </c>
      <c r="DG17" s="1027" t="str">
        <f>IF(DD17="","",'#orgDung'!OM18)</f>
        <v/>
      </c>
      <c r="DH17" s="1025"/>
      <c r="DI17" s="1026" t="str">
        <f>IF(DH17="","",'#orgDung'!OY18)</f>
        <v/>
      </c>
      <c r="DJ17" s="1026" t="str">
        <f>IF(DH17="","",'#orgDung'!OZ18)</f>
        <v/>
      </c>
      <c r="DK17" s="1027" t="str">
        <f>IF(DH17="","",'#orgDung'!PB18)</f>
        <v/>
      </c>
      <c r="DL17" s="1025"/>
      <c r="DM17" s="1026" t="str">
        <f>IF(DL17="","",'#orgDung'!PN18)</f>
        <v/>
      </c>
      <c r="DN17" s="1026" t="str">
        <f>IF(DL17="","",'#orgDung'!PO18)</f>
        <v/>
      </c>
      <c r="DO17" s="1027" t="str">
        <f>IF(DL17="","",'#orgDung'!PQ18)</f>
        <v/>
      </c>
      <c r="DP17" s="1025"/>
      <c r="DQ17" s="1026" t="str">
        <f>IF(DP17="","",'#orgDung'!QC18)</f>
        <v/>
      </c>
      <c r="DR17" s="1026" t="str">
        <f>IF(DP17="","",'#orgDung'!QD18)</f>
        <v/>
      </c>
      <c r="DS17" s="1027" t="str">
        <f>IF(DP17="","",'#orgDung'!QF18)</f>
        <v/>
      </c>
      <c r="DT17" s="1025"/>
      <c r="DU17" s="1026" t="str">
        <f>IF(DT17="","",'#orgDung'!QR18)</f>
        <v/>
      </c>
      <c r="DV17" s="1026" t="str">
        <f>IF(DT17="","",'#orgDung'!QS18)</f>
        <v/>
      </c>
      <c r="DW17" s="1027" t="str">
        <f>IF(DT17="","",'#orgDung'!QU18)</f>
        <v/>
      </c>
      <c r="DX17" s="1025"/>
      <c r="DY17" s="1026" t="str">
        <f>IF(DX17="","",'#orgDung'!RG18)</f>
        <v/>
      </c>
      <c r="DZ17" s="1026" t="str">
        <f>IF(DX17="","",'#orgDung'!RH18)</f>
        <v/>
      </c>
      <c r="EA17" s="1027" t="str">
        <f>IF(DX17="","",'#orgDung'!RJ18)</f>
        <v/>
      </c>
    </row>
    <row r="18" spans="1:131" ht="15" customHeight="1" x14ac:dyDescent="0.2">
      <c r="A18" s="1195">
        <f>'Flächen u. Kulturen'!A15</f>
        <v>6</v>
      </c>
      <c r="B18" s="1195" t="str">
        <f>IF('Flächen u. Kulturen'!B15="","",'Flächen u. Kulturen'!B15)</f>
        <v/>
      </c>
      <c r="C18" s="1196" t="str">
        <f>IF('Flächen u. Kulturen'!D15="","",'Flächen u. Kulturen'!D15)</f>
        <v/>
      </c>
      <c r="D18" s="1197" t="str">
        <f>IF(C18="","",IF('#BerechnungDBE'!Q10&lt;4,"x",""))</f>
        <v/>
      </c>
      <c r="E18" s="1198" t="str">
        <f>IF(C18="","",VLOOKUP('Flächen u. Kulturen'!L15,'#Zweitfr'!$D$8:$F$28,'#Zweitfr'!$F$1,FALSE))</f>
        <v/>
      </c>
      <c r="F18" s="1199" t="str">
        <f>IF(C18="","",IF('Flächen u. Kulturen'!E15="x",'Flächen u. Kulturen'!P15,"nicht im Betrieb"))</f>
        <v/>
      </c>
      <c r="G18" s="1200" t="str">
        <f>IF(C18="","",IF('#orgDung'!C19=2,"--",IF('#Kürzungen'!$F$2=2,"--",'#orgDung'!R19)))</f>
        <v/>
      </c>
      <c r="H18" s="1200" t="str">
        <f>IF(C18="","",'#orgDung'!U19)</f>
        <v/>
      </c>
      <c r="I18" s="1201" t="str">
        <f>IF(C18="","",IF(COUNT('#orgDung'!RS19:SA19)=0,"OK",TRIM(CONCATENATE('#orgDung'!RS19," ",'#orgDung'!RT19," ",'#orgDung'!RU19," ",'#orgDung'!RV19," ",'#orgDung'!RW19," ",'#orgDung'!RX19," ",'#orgDung'!RY19," ",'#orgDung'!RZ19," ",'#orgDung'!SA19))))</f>
        <v/>
      </c>
      <c r="J18" s="1023"/>
      <c r="K18" s="1024"/>
      <c r="L18" s="1025"/>
      <c r="M18" s="1026" t="str">
        <f>IF(L18="","",'#orgDung'!AN19)</f>
        <v/>
      </c>
      <c r="N18" s="1026" t="str">
        <f>IF(L18="","",'#orgDung'!AO19)</f>
        <v/>
      </c>
      <c r="O18" s="1027" t="str">
        <f>IF(L18="","",'#orgDung'!AQ19)</f>
        <v/>
      </c>
      <c r="P18" s="1025"/>
      <c r="Q18" s="1026" t="str">
        <f>IF(P18="","",'#orgDung'!BC19)</f>
        <v/>
      </c>
      <c r="R18" s="1026" t="str">
        <f>IF(P18="","",'#orgDung'!BD19)</f>
        <v/>
      </c>
      <c r="S18" s="1027" t="str">
        <f>IF(P18="","",'#orgDung'!BF19)</f>
        <v/>
      </c>
      <c r="T18" s="1025"/>
      <c r="U18" s="1026" t="str">
        <f>IF(T18="","",'#orgDung'!BR19)</f>
        <v/>
      </c>
      <c r="V18" s="1026" t="str">
        <f>IF(T18="","",'#orgDung'!BS19)</f>
        <v/>
      </c>
      <c r="W18" s="1027" t="str">
        <f>IF(T18="","",'#orgDung'!BU19)</f>
        <v/>
      </c>
      <c r="X18" s="1025"/>
      <c r="Y18" s="1026" t="str">
        <f>IF(X18="","",'#orgDung'!CG19)</f>
        <v/>
      </c>
      <c r="Z18" s="1026" t="str">
        <f>IF(X18="","",'#orgDung'!CH19)</f>
        <v/>
      </c>
      <c r="AA18" s="1027" t="str">
        <f>IF(X18="","",'#orgDung'!CJ19)</f>
        <v/>
      </c>
      <c r="AB18" s="1025"/>
      <c r="AC18" s="1026" t="str">
        <f>IF(AB18="","",'#orgDung'!CV19)</f>
        <v/>
      </c>
      <c r="AD18" s="1026" t="str">
        <f>IF(AB18="","",'#orgDung'!CW19)</f>
        <v/>
      </c>
      <c r="AE18" s="1027" t="str">
        <f>IF(AB18="","",'#orgDung'!CY19)</f>
        <v/>
      </c>
      <c r="AF18" s="1025"/>
      <c r="AG18" s="1026" t="str">
        <f>IF(AF18="","",'#orgDung'!DK19)</f>
        <v/>
      </c>
      <c r="AH18" s="1026" t="str">
        <f>IF(AF18="","",'#orgDung'!DL19)</f>
        <v/>
      </c>
      <c r="AI18" s="1027" t="str">
        <f>IF(AF18="","",'#orgDung'!DN19)</f>
        <v/>
      </c>
      <c r="AJ18" s="1025"/>
      <c r="AK18" s="1026" t="str">
        <f>IF(AJ18="","",'#orgDung'!DZ19)</f>
        <v/>
      </c>
      <c r="AL18" s="1026" t="str">
        <f>IF(AJ18="","",'#orgDung'!EA19)</f>
        <v/>
      </c>
      <c r="AM18" s="1027" t="str">
        <f>IF(AJ18="","",'#orgDung'!EC19)</f>
        <v/>
      </c>
      <c r="AN18" s="1025"/>
      <c r="AO18" s="1026" t="str">
        <f>IF(AN18="","",'#orgDung'!EO19)</f>
        <v/>
      </c>
      <c r="AP18" s="1026" t="str">
        <f>IF(AN18="","",'#orgDung'!EP19)</f>
        <v/>
      </c>
      <c r="AQ18" s="1027" t="str">
        <f>IF(AN18="","",'#orgDung'!ER19)</f>
        <v/>
      </c>
      <c r="AR18" s="1025"/>
      <c r="AS18" s="1026" t="str">
        <f>IF(AR18="","",'#orgDung'!FD19)</f>
        <v/>
      </c>
      <c r="AT18" s="1026" t="str">
        <f>IF(AR18="","",'#orgDung'!FE19)</f>
        <v/>
      </c>
      <c r="AU18" s="1027" t="str">
        <f>IF(AR18="","",'#orgDung'!FG19)</f>
        <v/>
      </c>
      <c r="AV18" s="1025"/>
      <c r="AW18" s="1026" t="str">
        <f>IF(AV18="","",'#orgDung'!FS19)</f>
        <v/>
      </c>
      <c r="AX18" s="1026" t="str">
        <f>IF(AV18="","",'#orgDung'!FT19)</f>
        <v/>
      </c>
      <c r="AY18" s="1027" t="str">
        <f>IF(AV18="","",'#orgDung'!FV19)</f>
        <v/>
      </c>
      <c r="AZ18" s="1025"/>
      <c r="BA18" s="1026" t="str">
        <f>IF(AZ18="","",'#orgDung'!GH19)</f>
        <v/>
      </c>
      <c r="BB18" s="1026" t="str">
        <f>IF(AZ18="","",'#orgDung'!GI19)</f>
        <v/>
      </c>
      <c r="BC18" s="1027" t="str">
        <f>IF(AZ18="","",'#orgDung'!GK19)</f>
        <v/>
      </c>
      <c r="BD18" s="1025"/>
      <c r="BE18" s="1026" t="str">
        <f>IF(BD18="","",'#orgDung'!GW19)</f>
        <v/>
      </c>
      <c r="BF18" s="1026" t="str">
        <f>IF(BD18="","",'#orgDung'!GX19)</f>
        <v/>
      </c>
      <c r="BG18" s="1027" t="str">
        <f>IF(BD18="","",'#orgDung'!GZ19)</f>
        <v/>
      </c>
      <c r="BH18" s="1025"/>
      <c r="BI18" s="1026" t="str">
        <f>IF(BH18="","",'#orgDung'!HL19)</f>
        <v/>
      </c>
      <c r="BJ18" s="1026" t="str">
        <f>IF(BH18="","",'#orgDung'!HM19)</f>
        <v/>
      </c>
      <c r="BK18" s="1027" t="str">
        <f>IF(BH18="","",'#orgDung'!HO19)</f>
        <v/>
      </c>
      <c r="BL18" s="1025"/>
      <c r="BM18" s="1026" t="str">
        <f>IF(BL18="","",'#orgDung'!IA19)</f>
        <v/>
      </c>
      <c r="BN18" s="1026" t="str">
        <f>IF(BL18="","",'#orgDung'!IB19)</f>
        <v/>
      </c>
      <c r="BO18" s="1027" t="str">
        <f>IF(BL18="","",'#orgDung'!ID19)</f>
        <v/>
      </c>
      <c r="BP18" s="1025"/>
      <c r="BQ18" s="1026" t="str">
        <f>IF(BP18="","",'#orgDung'!IP19)</f>
        <v/>
      </c>
      <c r="BR18" s="1026" t="str">
        <f>IF(BP18="","",'#orgDung'!IQ19)</f>
        <v/>
      </c>
      <c r="BS18" s="1027" t="str">
        <f>IF(BP18="","",'#orgDung'!IS19)</f>
        <v/>
      </c>
      <c r="BT18" s="1025"/>
      <c r="BU18" s="1026" t="str">
        <f>IF(BT18="","",'#orgDung'!JE19)</f>
        <v/>
      </c>
      <c r="BV18" s="1026" t="str">
        <f>IF(BT18="","",'#orgDung'!JF19)</f>
        <v/>
      </c>
      <c r="BW18" s="1027" t="str">
        <f>IF(BT18="","",'#orgDung'!JH19)</f>
        <v/>
      </c>
      <c r="BX18" s="1025"/>
      <c r="BY18" s="1026" t="str">
        <f>IF(BX18="","",'#orgDung'!JT19)</f>
        <v/>
      </c>
      <c r="BZ18" s="1026" t="str">
        <f>IF(BX18="","",'#orgDung'!JU19)</f>
        <v/>
      </c>
      <c r="CA18" s="1027" t="str">
        <f>IF(BX18="","",'#orgDung'!JW19)</f>
        <v/>
      </c>
      <c r="CB18" s="1025"/>
      <c r="CC18" s="1026" t="str">
        <f>IF(CB18="","",'#orgDung'!KI19)</f>
        <v/>
      </c>
      <c r="CD18" s="1026" t="str">
        <f>IF(CB18="","",'#orgDung'!KJ19)</f>
        <v/>
      </c>
      <c r="CE18" s="1027" t="str">
        <f>IF(CB18="","",'#orgDung'!KL19)</f>
        <v/>
      </c>
      <c r="CF18" s="1025"/>
      <c r="CG18" s="1026" t="str">
        <f>IF(CF18="","",'#orgDung'!KX19)</f>
        <v/>
      </c>
      <c r="CH18" s="1026" t="str">
        <f>IF(CF18="","",'#orgDung'!KY19)</f>
        <v/>
      </c>
      <c r="CI18" s="1027" t="str">
        <f>IF(CF18="","",'#orgDung'!LA19)</f>
        <v/>
      </c>
      <c r="CJ18" s="1025"/>
      <c r="CK18" s="1026" t="str">
        <f>IF(CJ18="","",'#orgDung'!LM19)</f>
        <v/>
      </c>
      <c r="CL18" s="1026" t="str">
        <f>IF(CJ18="","",'#orgDung'!LN19)</f>
        <v/>
      </c>
      <c r="CM18" s="1027" t="str">
        <f>IF(CJ18="","",'#orgDung'!LP19)</f>
        <v/>
      </c>
      <c r="CN18" s="1025"/>
      <c r="CO18" s="1026" t="str">
        <f>IF(CN18="","",'#orgDung'!MB19)</f>
        <v/>
      </c>
      <c r="CP18" s="1026" t="str">
        <f>IF(CN18="","",'#orgDung'!MC19)</f>
        <v/>
      </c>
      <c r="CQ18" s="1027" t="str">
        <f>IF(CN18="","",'#orgDung'!ME19)</f>
        <v/>
      </c>
      <c r="CR18" s="1025"/>
      <c r="CS18" s="1026" t="str">
        <f>IF(CR18="","",'#orgDung'!MQ19)</f>
        <v/>
      </c>
      <c r="CT18" s="1026" t="str">
        <f>IF(CR18="","",'#orgDung'!MR19)</f>
        <v/>
      </c>
      <c r="CU18" s="1027" t="str">
        <f>IF(CR18="","",'#orgDung'!MT19)</f>
        <v/>
      </c>
      <c r="CV18" s="1025"/>
      <c r="CW18" s="1026" t="str">
        <f>IF(CV18="","",'#orgDung'!NF19)</f>
        <v/>
      </c>
      <c r="CX18" s="1026" t="str">
        <f>IF(CV18="","",'#orgDung'!NG19)</f>
        <v/>
      </c>
      <c r="CY18" s="1027" t="str">
        <f>IF(CV18="","",'#orgDung'!NI19)</f>
        <v/>
      </c>
      <c r="CZ18" s="1025"/>
      <c r="DA18" s="1026" t="str">
        <f>IF(CZ18="","",'#orgDung'!NU19)</f>
        <v/>
      </c>
      <c r="DB18" s="1026" t="str">
        <f>IF(CZ18="","",'#orgDung'!NV19)</f>
        <v/>
      </c>
      <c r="DC18" s="1027" t="str">
        <f>IF(CZ18="","",'#orgDung'!NX19)</f>
        <v/>
      </c>
      <c r="DD18" s="1025"/>
      <c r="DE18" s="1026" t="str">
        <f>IF(DD18="","",'#orgDung'!OJ19)</f>
        <v/>
      </c>
      <c r="DF18" s="1026" t="str">
        <f>IF(DD18="","",'#orgDung'!OK19)</f>
        <v/>
      </c>
      <c r="DG18" s="1027" t="str">
        <f>IF(DD18="","",'#orgDung'!OM19)</f>
        <v/>
      </c>
      <c r="DH18" s="1025"/>
      <c r="DI18" s="1026" t="str">
        <f>IF(DH18="","",'#orgDung'!OY19)</f>
        <v/>
      </c>
      <c r="DJ18" s="1026" t="str">
        <f>IF(DH18="","",'#orgDung'!OZ19)</f>
        <v/>
      </c>
      <c r="DK18" s="1027" t="str">
        <f>IF(DH18="","",'#orgDung'!PB19)</f>
        <v/>
      </c>
      <c r="DL18" s="1025"/>
      <c r="DM18" s="1026" t="str">
        <f>IF(DL18="","",'#orgDung'!PN19)</f>
        <v/>
      </c>
      <c r="DN18" s="1026" t="str">
        <f>IF(DL18="","",'#orgDung'!PO19)</f>
        <v/>
      </c>
      <c r="DO18" s="1027" t="str">
        <f>IF(DL18="","",'#orgDung'!PQ19)</f>
        <v/>
      </c>
      <c r="DP18" s="1025"/>
      <c r="DQ18" s="1026" t="str">
        <f>IF(DP18="","",'#orgDung'!QC19)</f>
        <v/>
      </c>
      <c r="DR18" s="1026" t="str">
        <f>IF(DP18="","",'#orgDung'!QD19)</f>
        <v/>
      </c>
      <c r="DS18" s="1027" t="str">
        <f>IF(DP18="","",'#orgDung'!QF19)</f>
        <v/>
      </c>
      <c r="DT18" s="1025"/>
      <c r="DU18" s="1026" t="str">
        <f>IF(DT18="","",'#orgDung'!QR19)</f>
        <v/>
      </c>
      <c r="DV18" s="1026" t="str">
        <f>IF(DT18="","",'#orgDung'!QS19)</f>
        <v/>
      </c>
      <c r="DW18" s="1027" t="str">
        <f>IF(DT18="","",'#orgDung'!QU19)</f>
        <v/>
      </c>
      <c r="DX18" s="1025"/>
      <c r="DY18" s="1026" t="str">
        <f>IF(DX18="","",'#orgDung'!RG19)</f>
        <v/>
      </c>
      <c r="DZ18" s="1026" t="str">
        <f>IF(DX18="","",'#orgDung'!RH19)</f>
        <v/>
      </c>
      <c r="EA18" s="1027" t="str">
        <f>IF(DX18="","",'#orgDung'!RJ19)</f>
        <v/>
      </c>
    </row>
    <row r="19" spans="1:131" ht="15" customHeight="1" x14ac:dyDescent="0.2">
      <c r="A19" s="1195">
        <f>'Flächen u. Kulturen'!A16</f>
        <v>7</v>
      </c>
      <c r="B19" s="1195" t="str">
        <f>IF('Flächen u. Kulturen'!B16="","",'Flächen u. Kulturen'!B16)</f>
        <v/>
      </c>
      <c r="C19" s="1196" t="str">
        <f>IF('Flächen u. Kulturen'!D16="","",'Flächen u. Kulturen'!D16)</f>
        <v/>
      </c>
      <c r="D19" s="1197" t="str">
        <f>IF(C19="","",IF('#BerechnungDBE'!Q11&lt;4,"x",""))</f>
        <v/>
      </c>
      <c r="E19" s="1198" t="str">
        <f>IF(C19="","",VLOOKUP('Flächen u. Kulturen'!L16,'#Zweitfr'!$D$8:$F$28,'#Zweitfr'!$F$1,FALSE))</f>
        <v/>
      </c>
      <c r="F19" s="1199" t="str">
        <f>IF(C19="","",IF('Flächen u. Kulturen'!E16="x",'Flächen u. Kulturen'!P16,"nicht im Betrieb"))</f>
        <v/>
      </c>
      <c r="G19" s="1200" t="str">
        <f>IF(C19="","",IF('#orgDung'!C20=2,"--",IF('#Kürzungen'!$F$2=2,"--",'#orgDung'!R20)))</f>
        <v/>
      </c>
      <c r="H19" s="1200" t="str">
        <f>IF(C19="","",'#orgDung'!U20)</f>
        <v/>
      </c>
      <c r="I19" s="1201" t="str">
        <f>IF(C19="","",IF(COUNT('#orgDung'!RS20:SA20)=0,"OK",TRIM(CONCATENATE('#orgDung'!RS20," ",'#orgDung'!RT20," ",'#orgDung'!RU20," ",'#orgDung'!RV20," ",'#orgDung'!RW20," ",'#orgDung'!RX20," ",'#orgDung'!RY20," ",'#orgDung'!RZ20," ",'#orgDung'!SA20))))</f>
        <v/>
      </c>
      <c r="J19" s="1023"/>
      <c r="K19" s="1024"/>
      <c r="L19" s="1025"/>
      <c r="M19" s="1026" t="str">
        <f>IF(L19="","",'#orgDung'!AN20)</f>
        <v/>
      </c>
      <c r="N19" s="1026" t="str">
        <f>IF(L19="","",'#orgDung'!AO20)</f>
        <v/>
      </c>
      <c r="O19" s="1027" t="str">
        <f>IF(L19="","",'#orgDung'!AQ20)</f>
        <v/>
      </c>
      <c r="P19" s="1025"/>
      <c r="Q19" s="1026" t="str">
        <f>IF(P19="","",'#orgDung'!BC20)</f>
        <v/>
      </c>
      <c r="R19" s="1026" t="str">
        <f>IF(P19="","",'#orgDung'!BD20)</f>
        <v/>
      </c>
      <c r="S19" s="1027" t="str">
        <f>IF(P19="","",'#orgDung'!BF20)</f>
        <v/>
      </c>
      <c r="T19" s="1025"/>
      <c r="U19" s="1026" t="str">
        <f>IF(T19="","",'#orgDung'!BR20)</f>
        <v/>
      </c>
      <c r="V19" s="1026" t="str">
        <f>IF(T19="","",'#orgDung'!BS20)</f>
        <v/>
      </c>
      <c r="W19" s="1027" t="str">
        <f>IF(T19="","",'#orgDung'!BU20)</f>
        <v/>
      </c>
      <c r="X19" s="1025"/>
      <c r="Y19" s="1026" t="str">
        <f>IF(X19="","",'#orgDung'!CG20)</f>
        <v/>
      </c>
      <c r="Z19" s="1026" t="str">
        <f>IF(X19="","",'#orgDung'!CH20)</f>
        <v/>
      </c>
      <c r="AA19" s="1027" t="str">
        <f>IF(X19="","",'#orgDung'!CJ20)</f>
        <v/>
      </c>
      <c r="AB19" s="1025"/>
      <c r="AC19" s="1026" t="str">
        <f>IF(AB19="","",'#orgDung'!CV20)</f>
        <v/>
      </c>
      <c r="AD19" s="1026" t="str">
        <f>IF(AB19="","",'#orgDung'!CW20)</f>
        <v/>
      </c>
      <c r="AE19" s="1027" t="str">
        <f>IF(AB19="","",'#orgDung'!CY20)</f>
        <v/>
      </c>
      <c r="AF19" s="1025"/>
      <c r="AG19" s="1026" t="str">
        <f>IF(AF19="","",'#orgDung'!DK20)</f>
        <v/>
      </c>
      <c r="AH19" s="1026" t="str">
        <f>IF(AF19="","",'#orgDung'!DL20)</f>
        <v/>
      </c>
      <c r="AI19" s="1027" t="str">
        <f>IF(AF19="","",'#orgDung'!DN20)</f>
        <v/>
      </c>
      <c r="AJ19" s="1025"/>
      <c r="AK19" s="1026" t="str">
        <f>IF(AJ19="","",'#orgDung'!DZ20)</f>
        <v/>
      </c>
      <c r="AL19" s="1026" t="str">
        <f>IF(AJ19="","",'#orgDung'!EA20)</f>
        <v/>
      </c>
      <c r="AM19" s="1027" t="str">
        <f>IF(AJ19="","",'#orgDung'!EC20)</f>
        <v/>
      </c>
      <c r="AN19" s="1025"/>
      <c r="AO19" s="1026" t="str">
        <f>IF(AN19="","",'#orgDung'!EO20)</f>
        <v/>
      </c>
      <c r="AP19" s="1026" t="str">
        <f>IF(AN19="","",'#orgDung'!EP20)</f>
        <v/>
      </c>
      <c r="AQ19" s="1027" t="str">
        <f>IF(AN19="","",'#orgDung'!ER20)</f>
        <v/>
      </c>
      <c r="AR19" s="1025"/>
      <c r="AS19" s="1026" t="str">
        <f>IF(AR19="","",'#orgDung'!FD20)</f>
        <v/>
      </c>
      <c r="AT19" s="1026" t="str">
        <f>IF(AR19="","",'#orgDung'!FE20)</f>
        <v/>
      </c>
      <c r="AU19" s="1027" t="str">
        <f>IF(AR19="","",'#orgDung'!FG20)</f>
        <v/>
      </c>
      <c r="AV19" s="1025"/>
      <c r="AW19" s="1026" t="str">
        <f>IF(AV19="","",'#orgDung'!FS20)</f>
        <v/>
      </c>
      <c r="AX19" s="1026" t="str">
        <f>IF(AV19="","",'#orgDung'!FT20)</f>
        <v/>
      </c>
      <c r="AY19" s="1027" t="str">
        <f>IF(AV19="","",'#orgDung'!FV20)</f>
        <v/>
      </c>
      <c r="AZ19" s="1025"/>
      <c r="BA19" s="1026" t="str">
        <f>IF(AZ19="","",'#orgDung'!GH20)</f>
        <v/>
      </c>
      <c r="BB19" s="1026" t="str">
        <f>IF(AZ19="","",'#orgDung'!GI20)</f>
        <v/>
      </c>
      <c r="BC19" s="1027" t="str">
        <f>IF(AZ19="","",'#orgDung'!GK20)</f>
        <v/>
      </c>
      <c r="BD19" s="1025"/>
      <c r="BE19" s="1026" t="str">
        <f>IF(BD19="","",'#orgDung'!GW20)</f>
        <v/>
      </c>
      <c r="BF19" s="1026" t="str">
        <f>IF(BD19="","",'#orgDung'!GX20)</f>
        <v/>
      </c>
      <c r="BG19" s="1027" t="str">
        <f>IF(BD19="","",'#orgDung'!GZ20)</f>
        <v/>
      </c>
      <c r="BH19" s="1025"/>
      <c r="BI19" s="1026" t="str">
        <f>IF(BH19="","",'#orgDung'!HL20)</f>
        <v/>
      </c>
      <c r="BJ19" s="1026" t="str">
        <f>IF(BH19="","",'#orgDung'!HM20)</f>
        <v/>
      </c>
      <c r="BK19" s="1027" t="str">
        <f>IF(BH19="","",'#orgDung'!HO20)</f>
        <v/>
      </c>
      <c r="BL19" s="1025"/>
      <c r="BM19" s="1026" t="str">
        <f>IF(BL19="","",'#orgDung'!IA20)</f>
        <v/>
      </c>
      <c r="BN19" s="1026" t="str">
        <f>IF(BL19="","",'#orgDung'!IB20)</f>
        <v/>
      </c>
      <c r="BO19" s="1027" t="str">
        <f>IF(BL19="","",'#orgDung'!ID20)</f>
        <v/>
      </c>
      <c r="BP19" s="1025"/>
      <c r="BQ19" s="1026" t="str">
        <f>IF(BP19="","",'#orgDung'!IP20)</f>
        <v/>
      </c>
      <c r="BR19" s="1026" t="str">
        <f>IF(BP19="","",'#orgDung'!IQ20)</f>
        <v/>
      </c>
      <c r="BS19" s="1027" t="str">
        <f>IF(BP19="","",'#orgDung'!IS20)</f>
        <v/>
      </c>
      <c r="BT19" s="1025"/>
      <c r="BU19" s="1026" t="str">
        <f>IF(BT19="","",'#orgDung'!JE20)</f>
        <v/>
      </c>
      <c r="BV19" s="1026" t="str">
        <f>IF(BT19="","",'#orgDung'!JF20)</f>
        <v/>
      </c>
      <c r="BW19" s="1027" t="str">
        <f>IF(BT19="","",'#orgDung'!JH20)</f>
        <v/>
      </c>
      <c r="BX19" s="1025"/>
      <c r="BY19" s="1026" t="str">
        <f>IF(BX19="","",'#orgDung'!JT20)</f>
        <v/>
      </c>
      <c r="BZ19" s="1026" t="str">
        <f>IF(BX19="","",'#orgDung'!JU20)</f>
        <v/>
      </c>
      <c r="CA19" s="1027" t="str">
        <f>IF(BX19="","",'#orgDung'!JW20)</f>
        <v/>
      </c>
      <c r="CB19" s="1025"/>
      <c r="CC19" s="1026" t="str">
        <f>IF(CB19="","",'#orgDung'!KI20)</f>
        <v/>
      </c>
      <c r="CD19" s="1026" t="str">
        <f>IF(CB19="","",'#orgDung'!KJ20)</f>
        <v/>
      </c>
      <c r="CE19" s="1027" t="str">
        <f>IF(CB19="","",'#orgDung'!KL20)</f>
        <v/>
      </c>
      <c r="CF19" s="1025"/>
      <c r="CG19" s="1026" t="str">
        <f>IF(CF19="","",'#orgDung'!KX20)</f>
        <v/>
      </c>
      <c r="CH19" s="1026" t="str">
        <f>IF(CF19="","",'#orgDung'!KY20)</f>
        <v/>
      </c>
      <c r="CI19" s="1027" t="str">
        <f>IF(CF19="","",'#orgDung'!LA20)</f>
        <v/>
      </c>
      <c r="CJ19" s="1025"/>
      <c r="CK19" s="1026" t="str">
        <f>IF(CJ19="","",'#orgDung'!LM20)</f>
        <v/>
      </c>
      <c r="CL19" s="1026" t="str">
        <f>IF(CJ19="","",'#orgDung'!LN20)</f>
        <v/>
      </c>
      <c r="CM19" s="1027" t="str">
        <f>IF(CJ19="","",'#orgDung'!LP20)</f>
        <v/>
      </c>
      <c r="CN19" s="1025"/>
      <c r="CO19" s="1026" t="str">
        <f>IF(CN19="","",'#orgDung'!MB20)</f>
        <v/>
      </c>
      <c r="CP19" s="1026" t="str">
        <f>IF(CN19="","",'#orgDung'!MC20)</f>
        <v/>
      </c>
      <c r="CQ19" s="1027" t="str">
        <f>IF(CN19="","",'#orgDung'!ME20)</f>
        <v/>
      </c>
      <c r="CR19" s="1025"/>
      <c r="CS19" s="1026" t="str">
        <f>IF(CR19="","",'#orgDung'!MQ20)</f>
        <v/>
      </c>
      <c r="CT19" s="1026" t="str">
        <f>IF(CR19="","",'#orgDung'!MR20)</f>
        <v/>
      </c>
      <c r="CU19" s="1027" t="str">
        <f>IF(CR19="","",'#orgDung'!MT20)</f>
        <v/>
      </c>
      <c r="CV19" s="1025"/>
      <c r="CW19" s="1026" t="str">
        <f>IF(CV19="","",'#orgDung'!NF20)</f>
        <v/>
      </c>
      <c r="CX19" s="1026" t="str">
        <f>IF(CV19="","",'#orgDung'!NG20)</f>
        <v/>
      </c>
      <c r="CY19" s="1027" t="str">
        <f>IF(CV19="","",'#orgDung'!NI20)</f>
        <v/>
      </c>
      <c r="CZ19" s="1025"/>
      <c r="DA19" s="1026" t="str">
        <f>IF(CZ19="","",'#orgDung'!NU20)</f>
        <v/>
      </c>
      <c r="DB19" s="1026" t="str">
        <f>IF(CZ19="","",'#orgDung'!NV20)</f>
        <v/>
      </c>
      <c r="DC19" s="1027" t="str">
        <f>IF(CZ19="","",'#orgDung'!NX20)</f>
        <v/>
      </c>
      <c r="DD19" s="1025"/>
      <c r="DE19" s="1026" t="str">
        <f>IF(DD19="","",'#orgDung'!OJ20)</f>
        <v/>
      </c>
      <c r="DF19" s="1026" t="str">
        <f>IF(DD19="","",'#orgDung'!OK20)</f>
        <v/>
      </c>
      <c r="DG19" s="1027" t="str">
        <f>IF(DD19="","",'#orgDung'!OM20)</f>
        <v/>
      </c>
      <c r="DH19" s="1025"/>
      <c r="DI19" s="1026" t="str">
        <f>IF(DH19="","",'#orgDung'!OY20)</f>
        <v/>
      </c>
      <c r="DJ19" s="1026" t="str">
        <f>IF(DH19="","",'#orgDung'!OZ20)</f>
        <v/>
      </c>
      <c r="DK19" s="1027" t="str">
        <f>IF(DH19="","",'#orgDung'!PB20)</f>
        <v/>
      </c>
      <c r="DL19" s="1025"/>
      <c r="DM19" s="1026" t="str">
        <f>IF(DL19="","",'#orgDung'!PN20)</f>
        <v/>
      </c>
      <c r="DN19" s="1026" t="str">
        <f>IF(DL19="","",'#orgDung'!PO20)</f>
        <v/>
      </c>
      <c r="DO19" s="1027" t="str">
        <f>IF(DL19="","",'#orgDung'!PQ20)</f>
        <v/>
      </c>
      <c r="DP19" s="1025"/>
      <c r="DQ19" s="1026" t="str">
        <f>IF(DP19="","",'#orgDung'!QC20)</f>
        <v/>
      </c>
      <c r="DR19" s="1026" t="str">
        <f>IF(DP19="","",'#orgDung'!QD20)</f>
        <v/>
      </c>
      <c r="DS19" s="1027" t="str">
        <f>IF(DP19="","",'#orgDung'!QF20)</f>
        <v/>
      </c>
      <c r="DT19" s="1025"/>
      <c r="DU19" s="1026" t="str">
        <f>IF(DT19="","",'#orgDung'!QR20)</f>
        <v/>
      </c>
      <c r="DV19" s="1026" t="str">
        <f>IF(DT19="","",'#orgDung'!QS20)</f>
        <v/>
      </c>
      <c r="DW19" s="1027" t="str">
        <f>IF(DT19="","",'#orgDung'!QU20)</f>
        <v/>
      </c>
      <c r="DX19" s="1025"/>
      <c r="DY19" s="1026" t="str">
        <f>IF(DX19="","",'#orgDung'!RG20)</f>
        <v/>
      </c>
      <c r="DZ19" s="1026" t="str">
        <f>IF(DX19="","",'#orgDung'!RH20)</f>
        <v/>
      </c>
      <c r="EA19" s="1027" t="str">
        <f>IF(DX19="","",'#orgDung'!RJ20)</f>
        <v/>
      </c>
    </row>
    <row r="20" spans="1:131" ht="15" customHeight="1" x14ac:dyDescent="0.2">
      <c r="A20" s="1195">
        <f>'Flächen u. Kulturen'!A17</f>
        <v>8</v>
      </c>
      <c r="B20" s="1195" t="str">
        <f>IF('Flächen u. Kulturen'!B17="","",'Flächen u. Kulturen'!B17)</f>
        <v/>
      </c>
      <c r="C20" s="1196" t="str">
        <f>IF('Flächen u. Kulturen'!D17="","",'Flächen u. Kulturen'!D17)</f>
        <v/>
      </c>
      <c r="D20" s="1197" t="str">
        <f>IF(C20="","",IF('#BerechnungDBE'!Q12&lt;4,"x",""))</f>
        <v/>
      </c>
      <c r="E20" s="1198" t="str">
        <f>IF(C20="","",VLOOKUP('Flächen u. Kulturen'!L17,'#Zweitfr'!$D$8:$F$28,'#Zweitfr'!$F$1,FALSE))</f>
        <v/>
      </c>
      <c r="F20" s="1199" t="str">
        <f>IF(C20="","",IF('Flächen u. Kulturen'!E17="x",'Flächen u. Kulturen'!P17,"nicht im Betrieb"))</f>
        <v/>
      </c>
      <c r="G20" s="1200" t="str">
        <f>IF(C20="","",IF('#orgDung'!C21=2,"--",IF('#Kürzungen'!$F$2=2,"--",'#orgDung'!R21)))</f>
        <v/>
      </c>
      <c r="H20" s="1200" t="str">
        <f>IF(C20="","",'#orgDung'!U21)</f>
        <v/>
      </c>
      <c r="I20" s="1201" t="str">
        <f>IF(C20="","",IF(COUNT('#orgDung'!RS21:SA21)=0,"OK",TRIM(CONCATENATE('#orgDung'!RS21," ",'#orgDung'!RT21," ",'#orgDung'!RU21," ",'#orgDung'!RV21," ",'#orgDung'!RW21," ",'#orgDung'!RX21," ",'#orgDung'!RY21," ",'#orgDung'!RZ21," ",'#orgDung'!SA21))))</f>
        <v/>
      </c>
      <c r="J20" s="1023"/>
      <c r="K20" s="1024"/>
      <c r="L20" s="1025"/>
      <c r="M20" s="1026" t="str">
        <f>IF(L20="","",'#orgDung'!AN21)</f>
        <v/>
      </c>
      <c r="N20" s="1026" t="str">
        <f>IF(L20="","",'#orgDung'!AO21)</f>
        <v/>
      </c>
      <c r="O20" s="1027" t="str">
        <f>IF(L20="","",'#orgDung'!AQ21)</f>
        <v/>
      </c>
      <c r="P20" s="1025"/>
      <c r="Q20" s="1026" t="str">
        <f>IF(P20="","",'#orgDung'!BC21)</f>
        <v/>
      </c>
      <c r="R20" s="1026" t="str">
        <f>IF(P20="","",'#orgDung'!BD21)</f>
        <v/>
      </c>
      <c r="S20" s="1027" t="str">
        <f>IF(P20="","",'#orgDung'!BF21)</f>
        <v/>
      </c>
      <c r="T20" s="1025"/>
      <c r="U20" s="1026" t="str">
        <f>IF(T20="","",'#orgDung'!BR21)</f>
        <v/>
      </c>
      <c r="V20" s="1026" t="str">
        <f>IF(T20="","",'#orgDung'!BS21)</f>
        <v/>
      </c>
      <c r="W20" s="1027" t="str">
        <f>IF(T20="","",'#orgDung'!BU21)</f>
        <v/>
      </c>
      <c r="X20" s="1025"/>
      <c r="Y20" s="1026" t="str">
        <f>IF(X20="","",'#orgDung'!CG21)</f>
        <v/>
      </c>
      <c r="Z20" s="1026" t="str">
        <f>IF(X20="","",'#orgDung'!CH21)</f>
        <v/>
      </c>
      <c r="AA20" s="1027" t="str">
        <f>IF(X20="","",'#orgDung'!CJ21)</f>
        <v/>
      </c>
      <c r="AB20" s="1025"/>
      <c r="AC20" s="1026" t="str">
        <f>IF(AB20="","",'#orgDung'!CV21)</f>
        <v/>
      </c>
      <c r="AD20" s="1026" t="str">
        <f>IF(AB20="","",'#orgDung'!CW21)</f>
        <v/>
      </c>
      <c r="AE20" s="1027" t="str">
        <f>IF(AB20="","",'#orgDung'!CY21)</f>
        <v/>
      </c>
      <c r="AF20" s="1025"/>
      <c r="AG20" s="1026" t="str">
        <f>IF(AF20="","",'#orgDung'!DK21)</f>
        <v/>
      </c>
      <c r="AH20" s="1026" t="str">
        <f>IF(AF20="","",'#orgDung'!DL21)</f>
        <v/>
      </c>
      <c r="AI20" s="1027" t="str">
        <f>IF(AF20="","",'#orgDung'!DN21)</f>
        <v/>
      </c>
      <c r="AJ20" s="1025"/>
      <c r="AK20" s="1026" t="str">
        <f>IF(AJ20="","",'#orgDung'!DZ21)</f>
        <v/>
      </c>
      <c r="AL20" s="1026" t="str">
        <f>IF(AJ20="","",'#orgDung'!EA21)</f>
        <v/>
      </c>
      <c r="AM20" s="1027" t="str">
        <f>IF(AJ20="","",'#orgDung'!EC21)</f>
        <v/>
      </c>
      <c r="AN20" s="1025"/>
      <c r="AO20" s="1026" t="str">
        <f>IF(AN20="","",'#orgDung'!EO21)</f>
        <v/>
      </c>
      <c r="AP20" s="1026" t="str">
        <f>IF(AN20="","",'#orgDung'!EP21)</f>
        <v/>
      </c>
      <c r="AQ20" s="1027" t="str">
        <f>IF(AN20="","",'#orgDung'!ER21)</f>
        <v/>
      </c>
      <c r="AR20" s="1025"/>
      <c r="AS20" s="1026" t="str">
        <f>IF(AR20="","",'#orgDung'!FD21)</f>
        <v/>
      </c>
      <c r="AT20" s="1026" t="str">
        <f>IF(AR20="","",'#orgDung'!FE21)</f>
        <v/>
      </c>
      <c r="AU20" s="1027" t="str">
        <f>IF(AR20="","",'#orgDung'!FG21)</f>
        <v/>
      </c>
      <c r="AV20" s="1025"/>
      <c r="AW20" s="1026" t="str">
        <f>IF(AV20="","",'#orgDung'!FS21)</f>
        <v/>
      </c>
      <c r="AX20" s="1026" t="str">
        <f>IF(AV20="","",'#orgDung'!FT21)</f>
        <v/>
      </c>
      <c r="AY20" s="1027" t="str">
        <f>IF(AV20="","",'#orgDung'!FV21)</f>
        <v/>
      </c>
      <c r="AZ20" s="1025"/>
      <c r="BA20" s="1026" t="str">
        <f>IF(AZ20="","",'#orgDung'!GH21)</f>
        <v/>
      </c>
      <c r="BB20" s="1026" t="str">
        <f>IF(AZ20="","",'#orgDung'!GI21)</f>
        <v/>
      </c>
      <c r="BC20" s="1027" t="str">
        <f>IF(AZ20="","",'#orgDung'!GK21)</f>
        <v/>
      </c>
      <c r="BD20" s="1025"/>
      <c r="BE20" s="1026" t="str">
        <f>IF(BD20="","",'#orgDung'!GW21)</f>
        <v/>
      </c>
      <c r="BF20" s="1026" t="str">
        <f>IF(BD20="","",'#orgDung'!GX21)</f>
        <v/>
      </c>
      <c r="BG20" s="1027" t="str">
        <f>IF(BD20="","",'#orgDung'!GZ21)</f>
        <v/>
      </c>
      <c r="BH20" s="1025"/>
      <c r="BI20" s="1026" t="str">
        <f>IF(BH20="","",'#orgDung'!HL21)</f>
        <v/>
      </c>
      <c r="BJ20" s="1026" t="str">
        <f>IF(BH20="","",'#orgDung'!HM21)</f>
        <v/>
      </c>
      <c r="BK20" s="1027" t="str">
        <f>IF(BH20="","",'#orgDung'!HO21)</f>
        <v/>
      </c>
      <c r="BL20" s="1025"/>
      <c r="BM20" s="1026" t="str">
        <f>IF(BL20="","",'#orgDung'!IA21)</f>
        <v/>
      </c>
      <c r="BN20" s="1026" t="str">
        <f>IF(BL20="","",'#orgDung'!IB21)</f>
        <v/>
      </c>
      <c r="BO20" s="1027" t="str">
        <f>IF(BL20="","",'#orgDung'!ID21)</f>
        <v/>
      </c>
      <c r="BP20" s="1025"/>
      <c r="BQ20" s="1026" t="str">
        <f>IF(BP20="","",'#orgDung'!IP21)</f>
        <v/>
      </c>
      <c r="BR20" s="1026" t="str">
        <f>IF(BP20="","",'#orgDung'!IQ21)</f>
        <v/>
      </c>
      <c r="BS20" s="1027" t="str">
        <f>IF(BP20="","",'#orgDung'!IS21)</f>
        <v/>
      </c>
      <c r="BT20" s="1025"/>
      <c r="BU20" s="1026" t="str">
        <f>IF(BT20="","",'#orgDung'!JE21)</f>
        <v/>
      </c>
      <c r="BV20" s="1026" t="str">
        <f>IF(BT20="","",'#orgDung'!JF21)</f>
        <v/>
      </c>
      <c r="BW20" s="1027" t="str">
        <f>IF(BT20="","",'#orgDung'!JH21)</f>
        <v/>
      </c>
      <c r="BX20" s="1025"/>
      <c r="BY20" s="1026" t="str">
        <f>IF(BX20="","",'#orgDung'!JT21)</f>
        <v/>
      </c>
      <c r="BZ20" s="1026" t="str">
        <f>IF(BX20="","",'#orgDung'!JU21)</f>
        <v/>
      </c>
      <c r="CA20" s="1027" t="str">
        <f>IF(BX20="","",'#orgDung'!JW21)</f>
        <v/>
      </c>
      <c r="CB20" s="1025"/>
      <c r="CC20" s="1026" t="str">
        <f>IF(CB20="","",'#orgDung'!KI21)</f>
        <v/>
      </c>
      <c r="CD20" s="1026" t="str">
        <f>IF(CB20="","",'#orgDung'!KJ21)</f>
        <v/>
      </c>
      <c r="CE20" s="1027" t="str">
        <f>IF(CB20="","",'#orgDung'!KL21)</f>
        <v/>
      </c>
      <c r="CF20" s="1025"/>
      <c r="CG20" s="1026" t="str">
        <f>IF(CF20="","",'#orgDung'!KX21)</f>
        <v/>
      </c>
      <c r="CH20" s="1026" t="str">
        <f>IF(CF20="","",'#orgDung'!KY21)</f>
        <v/>
      </c>
      <c r="CI20" s="1027" t="str">
        <f>IF(CF20="","",'#orgDung'!LA21)</f>
        <v/>
      </c>
      <c r="CJ20" s="1025"/>
      <c r="CK20" s="1026" t="str">
        <f>IF(CJ20="","",'#orgDung'!LM21)</f>
        <v/>
      </c>
      <c r="CL20" s="1026" t="str">
        <f>IF(CJ20="","",'#orgDung'!LN21)</f>
        <v/>
      </c>
      <c r="CM20" s="1027" t="str">
        <f>IF(CJ20="","",'#orgDung'!LP21)</f>
        <v/>
      </c>
      <c r="CN20" s="1025"/>
      <c r="CO20" s="1026" t="str">
        <f>IF(CN20="","",'#orgDung'!MB21)</f>
        <v/>
      </c>
      <c r="CP20" s="1026" t="str">
        <f>IF(CN20="","",'#orgDung'!MC21)</f>
        <v/>
      </c>
      <c r="CQ20" s="1027" t="str">
        <f>IF(CN20="","",'#orgDung'!ME21)</f>
        <v/>
      </c>
      <c r="CR20" s="1025"/>
      <c r="CS20" s="1026" t="str">
        <f>IF(CR20="","",'#orgDung'!MQ21)</f>
        <v/>
      </c>
      <c r="CT20" s="1026" t="str">
        <f>IF(CR20="","",'#orgDung'!MR21)</f>
        <v/>
      </c>
      <c r="CU20" s="1027" t="str">
        <f>IF(CR20="","",'#orgDung'!MT21)</f>
        <v/>
      </c>
      <c r="CV20" s="1025"/>
      <c r="CW20" s="1026" t="str">
        <f>IF(CV20="","",'#orgDung'!NF21)</f>
        <v/>
      </c>
      <c r="CX20" s="1026" t="str">
        <f>IF(CV20="","",'#orgDung'!NG21)</f>
        <v/>
      </c>
      <c r="CY20" s="1027" t="str">
        <f>IF(CV20="","",'#orgDung'!NI21)</f>
        <v/>
      </c>
      <c r="CZ20" s="1025"/>
      <c r="DA20" s="1026" t="str">
        <f>IF(CZ20="","",'#orgDung'!NU21)</f>
        <v/>
      </c>
      <c r="DB20" s="1026" t="str">
        <f>IF(CZ20="","",'#orgDung'!NV21)</f>
        <v/>
      </c>
      <c r="DC20" s="1027" t="str">
        <f>IF(CZ20="","",'#orgDung'!NX21)</f>
        <v/>
      </c>
      <c r="DD20" s="1025"/>
      <c r="DE20" s="1026" t="str">
        <f>IF(DD20="","",'#orgDung'!OJ21)</f>
        <v/>
      </c>
      <c r="DF20" s="1026" t="str">
        <f>IF(DD20="","",'#orgDung'!OK21)</f>
        <v/>
      </c>
      <c r="DG20" s="1027" t="str">
        <f>IF(DD20="","",'#orgDung'!OM21)</f>
        <v/>
      </c>
      <c r="DH20" s="1025"/>
      <c r="DI20" s="1026" t="str">
        <f>IF(DH20="","",'#orgDung'!OY21)</f>
        <v/>
      </c>
      <c r="DJ20" s="1026" t="str">
        <f>IF(DH20="","",'#orgDung'!OZ21)</f>
        <v/>
      </c>
      <c r="DK20" s="1027" t="str">
        <f>IF(DH20="","",'#orgDung'!PB21)</f>
        <v/>
      </c>
      <c r="DL20" s="1025"/>
      <c r="DM20" s="1026" t="str">
        <f>IF(DL20="","",'#orgDung'!PN21)</f>
        <v/>
      </c>
      <c r="DN20" s="1026" t="str">
        <f>IF(DL20="","",'#orgDung'!PO21)</f>
        <v/>
      </c>
      <c r="DO20" s="1027" t="str">
        <f>IF(DL20="","",'#orgDung'!PQ21)</f>
        <v/>
      </c>
      <c r="DP20" s="1025"/>
      <c r="DQ20" s="1026" t="str">
        <f>IF(DP20="","",'#orgDung'!QC21)</f>
        <v/>
      </c>
      <c r="DR20" s="1026" t="str">
        <f>IF(DP20="","",'#orgDung'!QD21)</f>
        <v/>
      </c>
      <c r="DS20" s="1027" t="str">
        <f>IF(DP20="","",'#orgDung'!QF21)</f>
        <v/>
      </c>
      <c r="DT20" s="1025"/>
      <c r="DU20" s="1026" t="str">
        <f>IF(DT20="","",'#orgDung'!QR21)</f>
        <v/>
      </c>
      <c r="DV20" s="1026" t="str">
        <f>IF(DT20="","",'#orgDung'!QS21)</f>
        <v/>
      </c>
      <c r="DW20" s="1027" t="str">
        <f>IF(DT20="","",'#orgDung'!QU21)</f>
        <v/>
      </c>
      <c r="DX20" s="1025"/>
      <c r="DY20" s="1026" t="str">
        <f>IF(DX20="","",'#orgDung'!RG21)</f>
        <v/>
      </c>
      <c r="DZ20" s="1026" t="str">
        <f>IF(DX20="","",'#orgDung'!RH21)</f>
        <v/>
      </c>
      <c r="EA20" s="1027" t="str">
        <f>IF(DX20="","",'#orgDung'!RJ21)</f>
        <v/>
      </c>
    </row>
    <row r="21" spans="1:131" ht="15" customHeight="1" x14ac:dyDescent="0.2">
      <c r="A21" s="1195">
        <f>'Flächen u. Kulturen'!A18</f>
        <v>9</v>
      </c>
      <c r="B21" s="1195" t="str">
        <f>IF('Flächen u. Kulturen'!B18="","",'Flächen u. Kulturen'!B18)</f>
        <v/>
      </c>
      <c r="C21" s="1196" t="str">
        <f>IF('Flächen u. Kulturen'!D18="","",'Flächen u. Kulturen'!D18)</f>
        <v/>
      </c>
      <c r="D21" s="1197" t="str">
        <f>IF(C21="","",IF('#BerechnungDBE'!Q13&lt;4,"x",""))</f>
        <v/>
      </c>
      <c r="E21" s="1198" t="str">
        <f>IF(C21="","",VLOOKUP('Flächen u. Kulturen'!L18,'#Zweitfr'!$D$8:$F$28,'#Zweitfr'!$F$1,FALSE))</f>
        <v/>
      </c>
      <c r="F21" s="1199" t="str">
        <f>IF(C21="","",IF('Flächen u. Kulturen'!E18="x",'Flächen u. Kulturen'!P18,"nicht im Betrieb"))</f>
        <v/>
      </c>
      <c r="G21" s="1200" t="str">
        <f>IF(C21="","",IF('#orgDung'!C22=2,"--",IF('#Kürzungen'!$F$2=2,"--",'#orgDung'!R22)))</f>
        <v/>
      </c>
      <c r="H21" s="1200" t="str">
        <f>IF(C21="","",'#orgDung'!U22)</f>
        <v/>
      </c>
      <c r="I21" s="1201" t="str">
        <f>IF(C21="","",IF(COUNT('#orgDung'!RS22:SA22)=0,"OK",TRIM(CONCATENATE('#orgDung'!RS22," ",'#orgDung'!RT22," ",'#orgDung'!RU22," ",'#orgDung'!RV22," ",'#orgDung'!RW22," ",'#orgDung'!RX22," ",'#orgDung'!RY22," ",'#orgDung'!RZ22," ",'#orgDung'!SA22))))</f>
        <v/>
      </c>
      <c r="J21" s="1023"/>
      <c r="K21" s="1024"/>
      <c r="L21" s="1025"/>
      <c r="M21" s="1026" t="str">
        <f>IF(L21="","",'#orgDung'!AN22)</f>
        <v/>
      </c>
      <c r="N21" s="1026" t="str">
        <f>IF(L21="","",'#orgDung'!AO22)</f>
        <v/>
      </c>
      <c r="O21" s="1027" t="str">
        <f>IF(L21="","",'#orgDung'!AQ22)</f>
        <v/>
      </c>
      <c r="P21" s="1025"/>
      <c r="Q21" s="1026" t="str">
        <f>IF(P21="","",'#orgDung'!BC22)</f>
        <v/>
      </c>
      <c r="R21" s="1026" t="str">
        <f>IF(P21="","",'#orgDung'!BD22)</f>
        <v/>
      </c>
      <c r="S21" s="1027" t="str">
        <f>IF(P21="","",'#orgDung'!BF22)</f>
        <v/>
      </c>
      <c r="T21" s="1025"/>
      <c r="U21" s="1026" t="str">
        <f>IF(T21="","",'#orgDung'!BR22)</f>
        <v/>
      </c>
      <c r="V21" s="1026" t="str">
        <f>IF(T21="","",'#orgDung'!BS22)</f>
        <v/>
      </c>
      <c r="W21" s="1027" t="str">
        <f>IF(T21="","",'#orgDung'!BU22)</f>
        <v/>
      </c>
      <c r="X21" s="1025"/>
      <c r="Y21" s="1026" t="str">
        <f>IF(X21="","",'#orgDung'!CG22)</f>
        <v/>
      </c>
      <c r="Z21" s="1026" t="str">
        <f>IF(X21="","",'#orgDung'!CH22)</f>
        <v/>
      </c>
      <c r="AA21" s="1027" t="str">
        <f>IF(X21="","",'#orgDung'!CJ22)</f>
        <v/>
      </c>
      <c r="AB21" s="1025"/>
      <c r="AC21" s="1026" t="str">
        <f>IF(AB21="","",'#orgDung'!CV22)</f>
        <v/>
      </c>
      <c r="AD21" s="1026" t="str">
        <f>IF(AB21="","",'#orgDung'!CW22)</f>
        <v/>
      </c>
      <c r="AE21" s="1027" t="str">
        <f>IF(AB21="","",'#orgDung'!CY22)</f>
        <v/>
      </c>
      <c r="AF21" s="1025"/>
      <c r="AG21" s="1026" t="str">
        <f>IF(AF21="","",'#orgDung'!DK22)</f>
        <v/>
      </c>
      <c r="AH21" s="1026" t="str">
        <f>IF(AF21="","",'#orgDung'!DL22)</f>
        <v/>
      </c>
      <c r="AI21" s="1027" t="str">
        <f>IF(AF21="","",'#orgDung'!DN22)</f>
        <v/>
      </c>
      <c r="AJ21" s="1025"/>
      <c r="AK21" s="1026" t="str">
        <f>IF(AJ21="","",'#orgDung'!DZ22)</f>
        <v/>
      </c>
      <c r="AL21" s="1026" t="str">
        <f>IF(AJ21="","",'#orgDung'!EA22)</f>
        <v/>
      </c>
      <c r="AM21" s="1027" t="str">
        <f>IF(AJ21="","",'#orgDung'!EC22)</f>
        <v/>
      </c>
      <c r="AN21" s="1025"/>
      <c r="AO21" s="1026" t="str">
        <f>IF(AN21="","",'#orgDung'!EO22)</f>
        <v/>
      </c>
      <c r="AP21" s="1026" t="str">
        <f>IF(AN21="","",'#orgDung'!EP22)</f>
        <v/>
      </c>
      <c r="AQ21" s="1027" t="str">
        <f>IF(AN21="","",'#orgDung'!ER22)</f>
        <v/>
      </c>
      <c r="AR21" s="1025"/>
      <c r="AS21" s="1026" t="str">
        <f>IF(AR21="","",'#orgDung'!FD22)</f>
        <v/>
      </c>
      <c r="AT21" s="1026" t="str">
        <f>IF(AR21="","",'#orgDung'!FE22)</f>
        <v/>
      </c>
      <c r="AU21" s="1027" t="str">
        <f>IF(AR21="","",'#orgDung'!FG22)</f>
        <v/>
      </c>
      <c r="AV21" s="1025"/>
      <c r="AW21" s="1026" t="str">
        <f>IF(AV21="","",'#orgDung'!FS22)</f>
        <v/>
      </c>
      <c r="AX21" s="1026" t="str">
        <f>IF(AV21="","",'#orgDung'!FT22)</f>
        <v/>
      </c>
      <c r="AY21" s="1027" t="str">
        <f>IF(AV21="","",'#orgDung'!FV22)</f>
        <v/>
      </c>
      <c r="AZ21" s="1025"/>
      <c r="BA21" s="1026" t="str">
        <f>IF(AZ21="","",'#orgDung'!GH22)</f>
        <v/>
      </c>
      <c r="BB21" s="1026" t="str">
        <f>IF(AZ21="","",'#orgDung'!GI22)</f>
        <v/>
      </c>
      <c r="BC21" s="1027" t="str">
        <f>IF(AZ21="","",'#orgDung'!GK22)</f>
        <v/>
      </c>
      <c r="BD21" s="1025"/>
      <c r="BE21" s="1026" t="str">
        <f>IF(BD21="","",'#orgDung'!GW22)</f>
        <v/>
      </c>
      <c r="BF21" s="1026" t="str">
        <f>IF(BD21="","",'#orgDung'!GX22)</f>
        <v/>
      </c>
      <c r="BG21" s="1027" t="str">
        <f>IF(BD21="","",'#orgDung'!GZ22)</f>
        <v/>
      </c>
      <c r="BH21" s="1025"/>
      <c r="BI21" s="1026" t="str">
        <f>IF(BH21="","",'#orgDung'!HL22)</f>
        <v/>
      </c>
      <c r="BJ21" s="1026" t="str">
        <f>IF(BH21="","",'#orgDung'!HM22)</f>
        <v/>
      </c>
      <c r="BK21" s="1027" t="str">
        <f>IF(BH21="","",'#orgDung'!HO22)</f>
        <v/>
      </c>
      <c r="BL21" s="1025"/>
      <c r="BM21" s="1026" t="str">
        <f>IF(BL21="","",'#orgDung'!IA22)</f>
        <v/>
      </c>
      <c r="BN21" s="1026" t="str">
        <f>IF(BL21="","",'#orgDung'!IB22)</f>
        <v/>
      </c>
      <c r="BO21" s="1027" t="str">
        <f>IF(BL21="","",'#orgDung'!ID22)</f>
        <v/>
      </c>
      <c r="BP21" s="1025"/>
      <c r="BQ21" s="1026" t="str">
        <f>IF(BP21="","",'#orgDung'!IP22)</f>
        <v/>
      </c>
      <c r="BR21" s="1026" t="str">
        <f>IF(BP21="","",'#orgDung'!IQ22)</f>
        <v/>
      </c>
      <c r="BS21" s="1027" t="str">
        <f>IF(BP21="","",'#orgDung'!IS22)</f>
        <v/>
      </c>
      <c r="BT21" s="1025"/>
      <c r="BU21" s="1026" t="str">
        <f>IF(BT21="","",'#orgDung'!JE22)</f>
        <v/>
      </c>
      <c r="BV21" s="1026" t="str">
        <f>IF(BT21="","",'#orgDung'!JF22)</f>
        <v/>
      </c>
      <c r="BW21" s="1027" t="str">
        <f>IF(BT21="","",'#orgDung'!JH22)</f>
        <v/>
      </c>
      <c r="BX21" s="1025"/>
      <c r="BY21" s="1026" t="str">
        <f>IF(BX21="","",'#orgDung'!JT22)</f>
        <v/>
      </c>
      <c r="BZ21" s="1026" t="str">
        <f>IF(BX21="","",'#orgDung'!JU22)</f>
        <v/>
      </c>
      <c r="CA21" s="1027" t="str">
        <f>IF(BX21="","",'#orgDung'!JW22)</f>
        <v/>
      </c>
      <c r="CB21" s="1025"/>
      <c r="CC21" s="1026" t="str">
        <f>IF(CB21="","",'#orgDung'!KI22)</f>
        <v/>
      </c>
      <c r="CD21" s="1026" t="str">
        <f>IF(CB21="","",'#orgDung'!KJ22)</f>
        <v/>
      </c>
      <c r="CE21" s="1027" t="str">
        <f>IF(CB21="","",'#orgDung'!KL22)</f>
        <v/>
      </c>
      <c r="CF21" s="1025"/>
      <c r="CG21" s="1026" t="str">
        <f>IF(CF21="","",'#orgDung'!KX22)</f>
        <v/>
      </c>
      <c r="CH21" s="1026" t="str">
        <f>IF(CF21="","",'#orgDung'!KY22)</f>
        <v/>
      </c>
      <c r="CI21" s="1027" t="str">
        <f>IF(CF21="","",'#orgDung'!LA22)</f>
        <v/>
      </c>
      <c r="CJ21" s="1025"/>
      <c r="CK21" s="1026" t="str">
        <f>IF(CJ21="","",'#orgDung'!LM22)</f>
        <v/>
      </c>
      <c r="CL21" s="1026" t="str">
        <f>IF(CJ21="","",'#orgDung'!LN22)</f>
        <v/>
      </c>
      <c r="CM21" s="1027" t="str">
        <f>IF(CJ21="","",'#orgDung'!LP22)</f>
        <v/>
      </c>
      <c r="CN21" s="1025"/>
      <c r="CO21" s="1026" t="str">
        <f>IF(CN21="","",'#orgDung'!MB22)</f>
        <v/>
      </c>
      <c r="CP21" s="1026" t="str">
        <f>IF(CN21="","",'#orgDung'!MC22)</f>
        <v/>
      </c>
      <c r="CQ21" s="1027" t="str">
        <f>IF(CN21="","",'#orgDung'!ME22)</f>
        <v/>
      </c>
      <c r="CR21" s="1025"/>
      <c r="CS21" s="1026" t="str">
        <f>IF(CR21="","",'#orgDung'!MQ22)</f>
        <v/>
      </c>
      <c r="CT21" s="1026" t="str">
        <f>IF(CR21="","",'#orgDung'!MR22)</f>
        <v/>
      </c>
      <c r="CU21" s="1027" t="str">
        <f>IF(CR21="","",'#orgDung'!MT22)</f>
        <v/>
      </c>
      <c r="CV21" s="1025"/>
      <c r="CW21" s="1026" t="str">
        <f>IF(CV21="","",'#orgDung'!NF22)</f>
        <v/>
      </c>
      <c r="CX21" s="1026" t="str">
        <f>IF(CV21="","",'#orgDung'!NG22)</f>
        <v/>
      </c>
      <c r="CY21" s="1027" t="str">
        <f>IF(CV21="","",'#orgDung'!NI22)</f>
        <v/>
      </c>
      <c r="CZ21" s="1025"/>
      <c r="DA21" s="1026" t="str">
        <f>IF(CZ21="","",'#orgDung'!NU22)</f>
        <v/>
      </c>
      <c r="DB21" s="1026" t="str">
        <f>IF(CZ21="","",'#orgDung'!NV22)</f>
        <v/>
      </c>
      <c r="DC21" s="1027" t="str">
        <f>IF(CZ21="","",'#orgDung'!NX22)</f>
        <v/>
      </c>
      <c r="DD21" s="1025"/>
      <c r="DE21" s="1026" t="str">
        <f>IF(DD21="","",'#orgDung'!OJ22)</f>
        <v/>
      </c>
      <c r="DF21" s="1026" t="str">
        <f>IF(DD21="","",'#orgDung'!OK22)</f>
        <v/>
      </c>
      <c r="DG21" s="1027" t="str">
        <f>IF(DD21="","",'#orgDung'!OM22)</f>
        <v/>
      </c>
      <c r="DH21" s="1025"/>
      <c r="DI21" s="1026" t="str">
        <f>IF(DH21="","",'#orgDung'!OY22)</f>
        <v/>
      </c>
      <c r="DJ21" s="1026" t="str">
        <f>IF(DH21="","",'#orgDung'!OZ22)</f>
        <v/>
      </c>
      <c r="DK21" s="1027" t="str">
        <f>IF(DH21="","",'#orgDung'!PB22)</f>
        <v/>
      </c>
      <c r="DL21" s="1025"/>
      <c r="DM21" s="1026" t="str">
        <f>IF(DL21="","",'#orgDung'!PN22)</f>
        <v/>
      </c>
      <c r="DN21" s="1026" t="str">
        <f>IF(DL21="","",'#orgDung'!PO22)</f>
        <v/>
      </c>
      <c r="DO21" s="1027" t="str">
        <f>IF(DL21="","",'#orgDung'!PQ22)</f>
        <v/>
      </c>
      <c r="DP21" s="1025"/>
      <c r="DQ21" s="1026" t="str">
        <f>IF(DP21="","",'#orgDung'!QC22)</f>
        <v/>
      </c>
      <c r="DR21" s="1026" t="str">
        <f>IF(DP21="","",'#orgDung'!QD22)</f>
        <v/>
      </c>
      <c r="DS21" s="1027" t="str">
        <f>IF(DP21="","",'#orgDung'!QF22)</f>
        <v/>
      </c>
      <c r="DT21" s="1025"/>
      <c r="DU21" s="1026" t="str">
        <f>IF(DT21="","",'#orgDung'!QR22)</f>
        <v/>
      </c>
      <c r="DV21" s="1026" t="str">
        <f>IF(DT21="","",'#orgDung'!QS22)</f>
        <v/>
      </c>
      <c r="DW21" s="1027" t="str">
        <f>IF(DT21="","",'#orgDung'!QU22)</f>
        <v/>
      </c>
      <c r="DX21" s="1025"/>
      <c r="DY21" s="1026" t="str">
        <f>IF(DX21="","",'#orgDung'!RG22)</f>
        <v/>
      </c>
      <c r="DZ21" s="1026" t="str">
        <f>IF(DX21="","",'#orgDung'!RH22)</f>
        <v/>
      </c>
      <c r="EA21" s="1027" t="str">
        <f>IF(DX21="","",'#orgDung'!RJ22)</f>
        <v/>
      </c>
    </row>
    <row r="22" spans="1:131" ht="15" customHeight="1" x14ac:dyDescent="0.2">
      <c r="A22" s="1195">
        <f>'Flächen u. Kulturen'!A19</f>
        <v>10</v>
      </c>
      <c r="B22" s="1195" t="str">
        <f>IF('Flächen u. Kulturen'!B19="","",'Flächen u. Kulturen'!B19)</f>
        <v/>
      </c>
      <c r="C22" s="1196" t="str">
        <f>IF('Flächen u. Kulturen'!D19="","",'Flächen u. Kulturen'!D19)</f>
        <v/>
      </c>
      <c r="D22" s="1197" t="str">
        <f>IF(C22="","",IF('#BerechnungDBE'!Q14&lt;4,"x",""))</f>
        <v/>
      </c>
      <c r="E22" s="1198" t="str">
        <f>IF(C22="","",VLOOKUP('Flächen u. Kulturen'!L19,'#Zweitfr'!$D$8:$F$28,'#Zweitfr'!$F$1,FALSE))</f>
        <v/>
      </c>
      <c r="F22" s="1199" t="str">
        <f>IF(C22="","",IF('Flächen u. Kulturen'!E19="x",'Flächen u. Kulturen'!P19,"nicht im Betrieb"))</f>
        <v/>
      </c>
      <c r="G22" s="1200" t="str">
        <f>IF(C22="","",IF('#orgDung'!C23=2,"--",IF('#Kürzungen'!$F$2=2,"--",'#orgDung'!R23)))</f>
        <v/>
      </c>
      <c r="H22" s="1200" t="str">
        <f>IF(C22="","",'#orgDung'!U23)</f>
        <v/>
      </c>
      <c r="I22" s="1201" t="str">
        <f>IF(C22="","",IF(COUNT('#orgDung'!RS23:SA23)=0,"OK",TRIM(CONCATENATE('#orgDung'!RS23," ",'#orgDung'!RT23," ",'#orgDung'!RU23," ",'#orgDung'!RV23," ",'#orgDung'!RW23," ",'#orgDung'!RX23," ",'#orgDung'!RY23," ",'#orgDung'!RZ23," ",'#orgDung'!SA23))))</f>
        <v/>
      </c>
      <c r="J22" s="1023"/>
      <c r="K22" s="1024"/>
      <c r="L22" s="1025"/>
      <c r="M22" s="1026" t="str">
        <f>IF(L22="","",'#orgDung'!AN23)</f>
        <v/>
      </c>
      <c r="N22" s="1026" t="str">
        <f>IF(L22="","",'#orgDung'!AO23)</f>
        <v/>
      </c>
      <c r="O22" s="1027" t="str">
        <f>IF(L22="","",'#orgDung'!AQ23)</f>
        <v/>
      </c>
      <c r="P22" s="1025"/>
      <c r="Q22" s="1026" t="str">
        <f>IF(P22="","",'#orgDung'!BC23)</f>
        <v/>
      </c>
      <c r="R22" s="1026" t="str">
        <f>IF(P22="","",'#orgDung'!BD23)</f>
        <v/>
      </c>
      <c r="S22" s="1027" t="str">
        <f>IF(P22="","",'#orgDung'!BF23)</f>
        <v/>
      </c>
      <c r="T22" s="1025"/>
      <c r="U22" s="1026" t="str">
        <f>IF(T22="","",'#orgDung'!BR23)</f>
        <v/>
      </c>
      <c r="V22" s="1026" t="str">
        <f>IF(T22="","",'#orgDung'!BS23)</f>
        <v/>
      </c>
      <c r="W22" s="1027" t="str">
        <f>IF(T22="","",'#orgDung'!BU23)</f>
        <v/>
      </c>
      <c r="X22" s="1025"/>
      <c r="Y22" s="1026" t="str">
        <f>IF(X22="","",'#orgDung'!CG23)</f>
        <v/>
      </c>
      <c r="Z22" s="1026" t="str">
        <f>IF(X22="","",'#orgDung'!CH23)</f>
        <v/>
      </c>
      <c r="AA22" s="1027" t="str">
        <f>IF(X22="","",'#orgDung'!CJ23)</f>
        <v/>
      </c>
      <c r="AB22" s="1025"/>
      <c r="AC22" s="1026" t="str">
        <f>IF(AB22="","",'#orgDung'!CV23)</f>
        <v/>
      </c>
      <c r="AD22" s="1026" t="str">
        <f>IF(AB22="","",'#orgDung'!CW23)</f>
        <v/>
      </c>
      <c r="AE22" s="1027" t="str">
        <f>IF(AB22="","",'#orgDung'!CY23)</f>
        <v/>
      </c>
      <c r="AF22" s="1025"/>
      <c r="AG22" s="1026" t="str">
        <f>IF(AF22="","",'#orgDung'!DK23)</f>
        <v/>
      </c>
      <c r="AH22" s="1026" t="str">
        <f>IF(AF22="","",'#orgDung'!DL23)</f>
        <v/>
      </c>
      <c r="AI22" s="1027" t="str">
        <f>IF(AF22="","",'#orgDung'!DN23)</f>
        <v/>
      </c>
      <c r="AJ22" s="1025"/>
      <c r="AK22" s="1026" t="str">
        <f>IF(AJ22="","",'#orgDung'!DZ23)</f>
        <v/>
      </c>
      <c r="AL22" s="1026" t="str">
        <f>IF(AJ22="","",'#orgDung'!EA23)</f>
        <v/>
      </c>
      <c r="AM22" s="1027" t="str">
        <f>IF(AJ22="","",'#orgDung'!EC23)</f>
        <v/>
      </c>
      <c r="AN22" s="1025"/>
      <c r="AO22" s="1026" t="str">
        <f>IF(AN22="","",'#orgDung'!EO23)</f>
        <v/>
      </c>
      <c r="AP22" s="1026" t="str">
        <f>IF(AN22="","",'#orgDung'!EP23)</f>
        <v/>
      </c>
      <c r="AQ22" s="1027" t="str">
        <f>IF(AN22="","",'#orgDung'!ER23)</f>
        <v/>
      </c>
      <c r="AR22" s="1025"/>
      <c r="AS22" s="1026" t="str">
        <f>IF(AR22="","",'#orgDung'!FD23)</f>
        <v/>
      </c>
      <c r="AT22" s="1026" t="str">
        <f>IF(AR22="","",'#orgDung'!FE23)</f>
        <v/>
      </c>
      <c r="AU22" s="1027" t="str">
        <f>IF(AR22="","",'#orgDung'!FG23)</f>
        <v/>
      </c>
      <c r="AV22" s="1025"/>
      <c r="AW22" s="1026" t="str">
        <f>IF(AV22="","",'#orgDung'!FS23)</f>
        <v/>
      </c>
      <c r="AX22" s="1026" t="str">
        <f>IF(AV22="","",'#orgDung'!FT23)</f>
        <v/>
      </c>
      <c r="AY22" s="1027" t="str">
        <f>IF(AV22="","",'#orgDung'!FV23)</f>
        <v/>
      </c>
      <c r="AZ22" s="1025"/>
      <c r="BA22" s="1026" t="str">
        <f>IF(AZ22="","",'#orgDung'!GH23)</f>
        <v/>
      </c>
      <c r="BB22" s="1026" t="str">
        <f>IF(AZ22="","",'#orgDung'!GI23)</f>
        <v/>
      </c>
      <c r="BC22" s="1027" t="str">
        <f>IF(AZ22="","",'#orgDung'!GK23)</f>
        <v/>
      </c>
      <c r="BD22" s="1025"/>
      <c r="BE22" s="1026" t="str">
        <f>IF(BD22="","",'#orgDung'!GW23)</f>
        <v/>
      </c>
      <c r="BF22" s="1026" t="str">
        <f>IF(BD22="","",'#orgDung'!GX23)</f>
        <v/>
      </c>
      <c r="BG22" s="1027" t="str">
        <f>IF(BD22="","",'#orgDung'!GZ23)</f>
        <v/>
      </c>
      <c r="BH22" s="1025"/>
      <c r="BI22" s="1026" t="str">
        <f>IF(BH22="","",'#orgDung'!HL23)</f>
        <v/>
      </c>
      <c r="BJ22" s="1026" t="str">
        <f>IF(BH22="","",'#orgDung'!HM23)</f>
        <v/>
      </c>
      <c r="BK22" s="1027" t="str">
        <f>IF(BH22="","",'#orgDung'!HO23)</f>
        <v/>
      </c>
      <c r="BL22" s="1025"/>
      <c r="BM22" s="1026" t="str">
        <f>IF(BL22="","",'#orgDung'!IA23)</f>
        <v/>
      </c>
      <c r="BN22" s="1026" t="str">
        <f>IF(BL22="","",'#orgDung'!IB23)</f>
        <v/>
      </c>
      <c r="BO22" s="1027" t="str">
        <f>IF(BL22="","",'#orgDung'!ID23)</f>
        <v/>
      </c>
      <c r="BP22" s="1025"/>
      <c r="BQ22" s="1026" t="str">
        <f>IF(BP22="","",'#orgDung'!IP23)</f>
        <v/>
      </c>
      <c r="BR22" s="1026" t="str">
        <f>IF(BP22="","",'#orgDung'!IQ23)</f>
        <v/>
      </c>
      <c r="BS22" s="1027" t="str">
        <f>IF(BP22="","",'#orgDung'!IS23)</f>
        <v/>
      </c>
      <c r="BT22" s="1025"/>
      <c r="BU22" s="1026" t="str">
        <f>IF(BT22="","",'#orgDung'!JE23)</f>
        <v/>
      </c>
      <c r="BV22" s="1026" t="str">
        <f>IF(BT22="","",'#orgDung'!JF23)</f>
        <v/>
      </c>
      <c r="BW22" s="1027" t="str">
        <f>IF(BT22="","",'#orgDung'!JH23)</f>
        <v/>
      </c>
      <c r="BX22" s="1025"/>
      <c r="BY22" s="1026" t="str">
        <f>IF(BX22="","",'#orgDung'!JT23)</f>
        <v/>
      </c>
      <c r="BZ22" s="1026" t="str">
        <f>IF(BX22="","",'#orgDung'!JU23)</f>
        <v/>
      </c>
      <c r="CA22" s="1027" t="str">
        <f>IF(BX22="","",'#orgDung'!JW23)</f>
        <v/>
      </c>
      <c r="CB22" s="1025"/>
      <c r="CC22" s="1026" t="str">
        <f>IF(CB22="","",'#orgDung'!KI23)</f>
        <v/>
      </c>
      <c r="CD22" s="1026" t="str">
        <f>IF(CB22="","",'#orgDung'!KJ23)</f>
        <v/>
      </c>
      <c r="CE22" s="1027" t="str">
        <f>IF(CB22="","",'#orgDung'!KL23)</f>
        <v/>
      </c>
      <c r="CF22" s="1025"/>
      <c r="CG22" s="1026" t="str">
        <f>IF(CF22="","",'#orgDung'!KX23)</f>
        <v/>
      </c>
      <c r="CH22" s="1026" t="str">
        <f>IF(CF22="","",'#orgDung'!KY23)</f>
        <v/>
      </c>
      <c r="CI22" s="1027" t="str">
        <f>IF(CF22="","",'#orgDung'!LA23)</f>
        <v/>
      </c>
      <c r="CJ22" s="1025"/>
      <c r="CK22" s="1026" t="str">
        <f>IF(CJ22="","",'#orgDung'!LM23)</f>
        <v/>
      </c>
      <c r="CL22" s="1026" t="str">
        <f>IF(CJ22="","",'#orgDung'!LN23)</f>
        <v/>
      </c>
      <c r="CM22" s="1027" t="str">
        <f>IF(CJ22="","",'#orgDung'!LP23)</f>
        <v/>
      </c>
      <c r="CN22" s="1025"/>
      <c r="CO22" s="1026" t="str">
        <f>IF(CN22="","",'#orgDung'!MB23)</f>
        <v/>
      </c>
      <c r="CP22" s="1026" t="str">
        <f>IF(CN22="","",'#orgDung'!MC23)</f>
        <v/>
      </c>
      <c r="CQ22" s="1027" t="str">
        <f>IF(CN22="","",'#orgDung'!ME23)</f>
        <v/>
      </c>
      <c r="CR22" s="1025"/>
      <c r="CS22" s="1026" t="str">
        <f>IF(CR22="","",'#orgDung'!MQ23)</f>
        <v/>
      </c>
      <c r="CT22" s="1026" t="str">
        <f>IF(CR22="","",'#orgDung'!MR23)</f>
        <v/>
      </c>
      <c r="CU22" s="1027" t="str">
        <f>IF(CR22="","",'#orgDung'!MT23)</f>
        <v/>
      </c>
      <c r="CV22" s="1025"/>
      <c r="CW22" s="1026" t="str">
        <f>IF(CV22="","",'#orgDung'!NF23)</f>
        <v/>
      </c>
      <c r="CX22" s="1026" t="str">
        <f>IF(CV22="","",'#orgDung'!NG23)</f>
        <v/>
      </c>
      <c r="CY22" s="1027" t="str">
        <f>IF(CV22="","",'#orgDung'!NI23)</f>
        <v/>
      </c>
      <c r="CZ22" s="1025"/>
      <c r="DA22" s="1026" t="str">
        <f>IF(CZ22="","",'#orgDung'!NU23)</f>
        <v/>
      </c>
      <c r="DB22" s="1026" t="str">
        <f>IF(CZ22="","",'#orgDung'!NV23)</f>
        <v/>
      </c>
      <c r="DC22" s="1027" t="str">
        <f>IF(CZ22="","",'#orgDung'!NX23)</f>
        <v/>
      </c>
      <c r="DD22" s="1025"/>
      <c r="DE22" s="1026" t="str">
        <f>IF(DD22="","",'#orgDung'!OJ23)</f>
        <v/>
      </c>
      <c r="DF22" s="1026" t="str">
        <f>IF(DD22="","",'#orgDung'!OK23)</f>
        <v/>
      </c>
      <c r="DG22" s="1027" t="str">
        <f>IF(DD22="","",'#orgDung'!OM23)</f>
        <v/>
      </c>
      <c r="DH22" s="1025"/>
      <c r="DI22" s="1026" t="str">
        <f>IF(DH22="","",'#orgDung'!OY23)</f>
        <v/>
      </c>
      <c r="DJ22" s="1026" t="str">
        <f>IF(DH22="","",'#orgDung'!OZ23)</f>
        <v/>
      </c>
      <c r="DK22" s="1027" t="str">
        <f>IF(DH22="","",'#orgDung'!PB23)</f>
        <v/>
      </c>
      <c r="DL22" s="1025"/>
      <c r="DM22" s="1026" t="str">
        <f>IF(DL22="","",'#orgDung'!PN23)</f>
        <v/>
      </c>
      <c r="DN22" s="1026" t="str">
        <f>IF(DL22="","",'#orgDung'!PO23)</f>
        <v/>
      </c>
      <c r="DO22" s="1027" t="str">
        <f>IF(DL22="","",'#orgDung'!PQ23)</f>
        <v/>
      </c>
      <c r="DP22" s="1025"/>
      <c r="DQ22" s="1026" t="str">
        <f>IF(DP22="","",'#orgDung'!QC23)</f>
        <v/>
      </c>
      <c r="DR22" s="1026" t="str">
        <f>IF(DP22="","",'#orgDung'!QD23)</f>
        <v/>
      </c>
      <c r="DS22" s="1027" t="str">
        <f>IF(DP22="","",'#orgDung'!QF23)</f>
        <v/>
      </c>
      <c r="DT22" s="1025"/>
      <c r="DU22" s="1026" t="str">
        <f>IF(DT22="","",'#orgDung'!QR23)</f>
        <v/>
      </c>
      <c r="DV22" s="1026" t="str">
        <f>IF(DT22="","",'#orgDung'!QS23)</f>
        <v/>
      </c>
      <c r="DW22" s="1027" t="str">
        <f>IF(DT22="","",'#orgDung'!QU23)</f>
        <v/>
      </c>
      <c r="DX22" s="1025"/>
      <c r="DY22" s="1026" t="str">
        <f>IF(DX22="","",'#orgDung'!RG23)</f>
        <v/>
      </c>
      <c r="DZ22" s="1026" t="str">
        <f>IF(DX22="","",'#orgDung'!RH23)</f>
        <v/>
      </c>
      <c r="EA22" s="1027" t="str">
        <f>IF(DX22="","",'#orgDung'!RJ23)</f>
        <v/>
      </c>
    </row>
    <row r="23" spans="1:131" ht="15" customHeight="1" x14ac:dyDescent="0.2">
      <c r="A23" s="1195">
        <f>'Flächen u. Kulturen'!A20</f>
        <v>11</v>
      </c>
      <c r="B23" s="1195" t="str">
        <f>IF('Flächen u. Kulturen'!B20="","",'Flächen u. Kulturen'!B20)</f>
        <v/>
      </c>
      <c r="C23" s="1196" t="str">
        <f>IF('Flächen u. Kulturen'!D20="","",'Flächen u. Kulturen'!D20)</f>
        <v/>
      </c>
      <c r="D23" s="1197" t="str">
        <f>IF(C23="","",IF('#BerechnungDBE'!Q15&lt;4,"x",""))</f>
        <v/>
      </c>
      <c r="E23" s="1198" t="str">
        <f>IF(C23="","",VLOOKUP('Flächen u. Kulturen'!L20,'#Zweitfr'!$D$8:$F$28,'#Zweitfr'!$F$1,FALSE))</f>
        <v/>
      </c>
      <c r="F23" s="1199" t="str">
        <f>IF(C23="","",IF('Flächen u. Kulturen'!E20="x",'Flächen u. Kulturen'!P20,"nicht im Betrieb"))</f>
        <v/>
      </c>
      <c r="G23" s="1200" t="str">
        <f>IF(C23="","",IF('#orgDung'!C24=2,"--",IF('#Kürzungen'!$F$2=2,"--",'#orgDung'!R24)))</f>
        <v/>
      </c>
      <c r="H23" s="1200" t="str">
        <f>IF(C23="","",'#orgDung'!U24)</f>
        <v/>
      </c>
      <c r="I23" s="1201" t="str">
        <f>IF(C23="","",IF(COUNT('#orgDung'!RS24:SA24)=0,"OK",TRIM(CONCATENATE('#orgDung'!RS24," ",'#orgDung'!RT24," ",'#orgDung'!RU24," ",'#orgDung'!RV24," ",'#orgDung'!RW24," ",'#orgDung'!RX24," ",'#orgDung'!RY24," ",'#orgDung'!RZ24," ",'#orgDung'!SA24))))</f>
        <v/>
      </c>
      <c r="J23" s="1023"/>
      <c r="K23" s="1024"/>
      <c r="L23" s="1025"/>
      <c r="M23" s="1026" t="str">
        <f>IF(L23="","",'#orgDung'!AN24)</f>
        <v/>
      </c>
      <c r="N23" s="1026" t="str">
        <f>IF(L23="","",'#orgDung'!AO24)</f>
        <v/>
      </c>
      <c r="O23" s="1027" t="str">
        <f>IF(L23="","",'#orgDung'!AQ24)</f>
        <v/>
      </c>
      <c r="P23" s="1025"/>
      <c r="Q23" s="1026" t="str">
        <f>IF(P23="","",'#orgDung'!BC24)</f>
        <v/>
      </c>
      <c r="R23" s="1026" t="str">
        <f>IF(P23="","",'#orgDung'!BD24)</f>
        <v/>
      </c>
      <c r="S23" s="1027" t="str">
        <f>IF(P23="","",'#orgDung'!BF24)</f>
        <v/>
      </c>
      <c r="T23" s="1025"/>
      <c r="U23" s="1026" t="str">
        <f>IF(T23="","",'#orgDung'!BR24)</f>
        <v/>
      </c>
      <c r="V23" s="1026" t="str">
        <f>IF(T23="","",'#orgDung'!BS24)</f>
        <v/>
      </c>
      <c r="W23" s="1027" t="str">
        <f>IF(T23="","",'#orgDung'!BU24)</f>
        <v/>
      </c>
      <c r="X23" s="1025"/>
      <c r="Y23" s="1026" t="str">
        <f>IF(X23="","",'#orgDung'!CG24)</f>
        <v/>
      </c>
      <c r="Z23" s="1026" t="str">
        <f>IF(X23="","",'#orgDung'!CH24)</f>
        <v/>
      </c>
      <c r="AA23" s="1027" t="str">
        <f>IF(X23="","",'#orgDung'!CJ24)</f>
        <v/>
      </c>
      <c r="AB23" s="1025"/>
      <c r="AC23" s="1026" t="str">
        <f>IF(AB23="","",'#orgDung'!CV24)</f>
        <v/>
      </c>
      <c r="AD23" s="1026" t="str">
        <f>IF(AB23="","",'#orgDung'!CW24)</f>
        <v/>
      </c>
      <c r="AE23" s="1027" t="str">
        <f>IF(AB23="","",'#orgDung'!CY24)</f>
        <v/>
      </c>
      <c r="AF23" s="1025"/>
      <c r="AG23" s="1026" t="str">
        <f>IF(AF23="","",'#orgDung'!DK24)</f>
        <v/>
      </c>
      <c r="AH23" s="1026" t="str">
        <f>IF(AF23="","",'#orgDung'!DL24)</f>
        <v/>
      </c>
      <c r="AI23" s="1027" t="str">
        <f>IF(AF23="","",'#orgDung'!DN24)</f>
        <v/>
      </c>
      <c r="AJ23" s="1025"/>
      <c r="AK23" s="1026" t="str">
        <f>IF(AJ23="","",'#orgDung'!DZ24)</f>
        <v/>
      </c>
      <c r="AL23" s="1026" t="str">
        <f>IF(AJ23="","",'#orgDung'!EA24)</f>
        <v/>
      </c>
      <c r="AM23" s="1027" t="str">
        <f>IF(AJ23="","",'#orgDung'!EC24)</f>
        <v/>
      </c>
      <c r="AN23" s="1025"/>
      <c r="AO23" s="1026" t="str">
        <f>IF(AN23="","",'#orgDung'!EO24)</f>
        <v/>
      </c>
      <c r="AP23" s="1026" t="str">
        <f>IF(AN23="","",'#orgDung'!EP24)</f>
        <v/>
      </c>
      <c r="AQ23" s="1027" t="str">
        <f>IF(AN23="","",'#orgDung'!ER24)</f>
        <v/>
      </c>
      <c r="AR23" s="1025"/>
      <c r="AS23" s="1026" t="str">
        <f>IF(AR23="","",'#orgDung'!FD24)</f>
        <v/>
      </c>
      <c r="AT23" s="1026" t="str">
        <f>IF(AR23="","",'#orgDung'!FE24)</f>
        <v/>
      </c>
      <c r="AU23" s="1027" t="str">
        <f>IF(AR23="","",'#orgDung'!FG24)</f>
        <v/>
      </c>
      <c r="AV23" s="1025"/>
      <c r="AW23" s="1026" t="str">
        <f>IF(AV23="","",'#orgDung'!FS24)</f>
        <v/>
      </c>
      <c r="AX23" s="1026" t="str">
        <f>IF(AV23="","",'#orgDung'!FT24)</f>
        <v/>
      </c>
      <c r="AY23" s="1027" t="str">
        <f>IF(AV23="","",'#orgDung'!FV24)</f>
        <v/>
      </c>
      <c r="AZ23" s="1025"/>
      <c r="BA23" s="1026" t="str">
        <f>IF(AZ23="","",'#orgDung'!GH24)</f>
        <v/>
      </c>
      <c r="BB23" s="1026" t="str">
        <f>IF(AZ23="","",'#orgDung'!GI24)</f>
        <v/>
      </c>
      <c r="BC23" s="1027" t="str">
        <f>IF(AZ23="","",'#orgDung'!GK24)</f>
        <v/>
      </c>
      <c r="BD23" s="1025"/>
      <c r="BE23" s="1026" t="str">
        <f>IF(BD23="","",'#orgDung'!GW24)</f>
        <v/>
      </c>
      <c r="BF23" s="1026" t="str">
        <f>IF(BD23="","",'#orgDung'!GX24)</f>
        <v/>
      </c>
      <c r="BG23" s="1027" t="str">
        <f>IF(BD23="","",'#orgDung'!GZ24)</f>
        <v/>
      </c>
      <c r="BH23" s="1025"/>
      <c r="BI23" s="1026" t="str">
        <f>IF(BH23="","",'#orgDung'!HL24)</f>
        <v/>
      </c>
      <c r="BJ23" s="1026" t="str">
        <f>IF(BH23="","",'#orgDung'!HM24)</f>
        <v/>
      </c>
      <c r="BK23" s="1027" t="str">
        <f>IF(BH23="","",'#orgDung'!HO24)</f>
        <v/>
      </c>
      <c r="BL23" s="1025"/>
      <c r="BM23" s="1026" t="str">
        <f>IF(BL23="","",'#orgDung'!IA24)</f>
        <v/>
      </c>
      <c r="BN23" s="1026" t="str">
        <f>IF(BL23="","",'#orgDung'!IB24)</f>
        <v/>
      </c>
      <c r="BO23" s="1027" t="str">
        <f>IF(BL23="","",'#orgDung'!ID24)</f>
        <v/>
      </c>
      <c r="BP23" s="1025"/>
      <c r="BQ23" s="1026" t="str">
        <f>IF(BP23="","",'#orgDung'!IP24)</f>
        <v/>
      </c>
      <c r="BR23" s="1026" t="str">
        <f>IF(BP23="","",'#orgDung'!IQ24)</f>
        <v/>
      </c>
      <c r="BS23" s="1027" t="str">
        <f>IF(BP23="","",'#orgDung'!IS24)</f>
        <v/>
      </c>
      <c r="BT23" s="1025"/>
      <c r="BU23" s="1026" t="str">
        <f>IF(BT23="","",'#orgDung'!JE24)</f>
        <v/>
      </c>
      <c r="BV23" s="1026" t="str">
        <f>IF(BT23="","",'#orgDung'!JF24)</f>
        <v/>
      </c>
      <c r="BW23" s="1027" t="str">
        <f>IF(BT23="","",'#orgDung'!JH24)</f>
        <v/>
      </c>
      <c r="BX23" s="1025"/>
      <c r="BY23" s="1026" t="str">
        <f>IF(BX23="","",'#orgDung'!JT24)</f>
        <v/>
      </c>
      <c r="BZ23" s="1026" t="str">
        <f>IF(BX23="","",'#orgDung'!JU24)</f>
        <v/>
      </c>
      <c r="CA23" s="1027" t="str">
        <f>IF(BX23="","",'#orgDung'!JW24)</f>
        <v/>
      </c>
      <c r="CB23" s="1025"/>
      <c r="CC23" s="1026" t="str">
        <f>IF(CB23="","",'#orgDung'!KI24)</f>
        <v/>
      </c>
      <c r="CD23" s="1026" t="str">
        <f>IF(CB23="","",'#orgDung'!KJ24)</f>
        <v/>
      </c>
      <c r="CE23" s="1027" t="str">
        <f>IF(CB23="","",'#orgDung'!KL24)</f>
        <v/>
      </c>
      <c r="CF23" s="1025"/>
      <c r="CG23" s="1026" t="str">
        <f>IF(CF23="","",'#orgDung'!KX24)</f>
        <v/>
      </c>
      <c r="CH23" s="1026" t="str">
        <f>IF(CF23="","",'#orgDung'!KY24)</f>
        <v/>
      </c>
      <c r="CI23" s="1027" t="str">
        <f>IF(CF23="","",'#orgDung'!LA24)</f>
        <v/>
      </c>
      <c r="CJ23" s="1025"/>
      <c r="CK23" s="1026" t="str">
        <f>IF(CJ23="","",'#orgDung'!LM24)</f>
        <v/>
      </c>
      <c r="CL23" s="1026" t="str">
        <f>IF(CJ23="","",'#orgDung'!LN24)</f>
        <v/>
      </c>
      <c r="CM23" s="1027" t="str">
        <f>IF(CJ23="","",'#orgDung'!LP24)</f>
        <v/>
      </c>
      <c r="CN23" s="1025"/>
      <c r="CO23" s="1026" t="str">
        <f>IF(CN23="","",'#orgDung'!MB24)</f>
        <v/>
      </c>
      <c r="CP23" s="1026" t="str">
        <f>IF(CN23="","",'#orgDung'!MC24)</f>
        <v/>
      </c>
      <c r="CQ23" s="1027" t="str">
        <f>IF(CN23="","",'#orgDung'!ME24)</f>
        <v/>
      </c>
      <c r="CR23" s="1025"/>
      <c r="CS23" s="1026" t="str">
        <f>IF(CR23="","",'#orgDung'!MQ24)</f>
        <v/>
      </c>
      <c r="CT23" s="1026" t="str">
        <f>IF(CR23="","",'#orgDung'!MR24)</f>
        <v/>
      </c>
      <c r="CU23" s="1027" t="str">
        <f>IF(CR23="","",'#orgDung'!MT24)</f>
        <v/>
      </c>
      <c r="CV23" s="1025"/>
      <c r="CW23" s="1026" t="str">
        <f>IF(CV23="","",'#orgDung'!NF24)</f>
        <v/>
      </c>
      <c r="CX23" s="1026" t="str">
        <f>IF(CV23="","",'#orgDung'!NG24)</f>
        <v/>
      </c>
      <c r="CY23" s="1027" t="str">
        <f>IF(CV23="","",'#orgDung'!NI24)</f>
        <v/>
      </c>
      <c r="CZ23" s="1025"/>
      <c r="DA23" s="1026" t="str">
        <f>IF(CZ23="","",'#orgDung'!NU24)</f>
        <v/>
      </c>
      <c r="DB23" s="1026" t="str">
        <f>IF(CZ23="","",'#orgDung'!NV24)</f>
        <v/>
      </c>
      <c r="DC23" s="1027" t="str">
        <f>IF(CZ23="","",'#orgDung'!NX24)</f>
        <v/>
      </c>
      <c r="DD23" s="1025"/>
      <c r="DE23" s="1026" t="str">
        <f>IF(DD23="","",'#orgDung'!OJ24)</f>
        <v/>
      </c>
      <c r="DF23" s="1026" t="str">
        <f>IF(DD23="","",'#orgDung'!OK24)</f>
        <v/>
      </c>
      <c r="DG23" s="1027" t="str">
        <f>IF(DD23="","",'#orgDung'!OM24)</f>
        <v/>
      </c>
      <c r="DH23" s="1025"/>
      <c r="DI23" s="1026" t="str">
        <f>IF(DH23="","",'#orgDung'!OY24)</f>
        <v/>
      </c>
      <c r="DJ23" s="1026" t="str">
        <f>IF(DH23="","",'#orgDung'!OZ24)</f>
        <v/>
      </c>
      <c r="DK23" s="1027" t="str">
        <f>IF(DH23="","",'#orgDung'!PB24)</f>
        <v/>
      </c>
      <c r="DL23" s="1025"/>
      <c r="DM23" s="1026" t="str">
        <f>IF(DL23="","",'#orgDung'!PN24)</f>
        <v/>
      </c>
      <c r="DN23" s="1026" t="str">
        <f>IF(DL23="","",'#orgDung'!PO24)</f>
        <v/>
      </c>
      <c r="DO23" s="1027" t="str">
        <f>IF(DL23="","",'#orgDung'!PQ24)</f>
        <v/>
      </c>
      <c r="DP23" s="1025"/>
      <c r="DQ23" s="1026" t="str">
        <f>IF(DP23="","",'#orgDung'!QC24)</f>
        <v/>
      </c>
      <c r="DR23" s="1026" t="str">
        <f>IF(DP23="","",'#orgDung'!QD24)</f>
        <v/>
      </c>
      <c r="DS23" s="1027" t="str">
        <f>IF(DP23="","",'#orgDung'!QF24)</f>
        <v/>
      </c>
      <c r="DT23" s="1025"/>
      <c r="DU23" s="1026" t="str">
        <f>IF(DT23="","",'#orgDung'!QR24)</f>
        <v/>
      </c>
      <c r="DV23" s="1026" t="str">
        <f>IF(DT23="","",'#orgDung'!QS24)</f>
        <v/>
      </c>
      <c r="DW23" s="1027" t="str">
        <f>IF(DT23="","",'#orgDung'!QU24)</f>
        <v/>
      </c>
      <c r="DX23" s="1025"/>
      <c r="DY23" s="1026" t="str">
        <f>IF(DX23="","",'#orgDung'!RG24)</f>
        <v/>
      </c>
      <c r="DZ23" s="1026" t="str">
        <f>IF(DX23="","",'#orgDung'!RH24)</f>
        <v/>
      </c>
      <c r="EA23" s="1027" t="str">
        <f>IF(DX23="","",'#orgDung'!RJ24)</f>
        <v/>
      </c>
    </row>
    <row r="24" spans="1:131" ht="15" customHeight="1" x14ac:dyDescent="0.2">
      <c r="A24" s="1195">
        <f>'Flächen u. Kulturen'!A21</f>
        <v>12</v>
      </c>
      <c r="B24" s="1195" t="str">
        <f>IF('Flächen u. Kulturen'!B21="","",'Flächen u. Kulturen'!B21)</f>
        <v/>
      </c>
      <c r="C24" s="1196" t="str">
        <f>IF('Flächen u. Kulturen'!D21="","",'Flächen u. Kulturen'!D21)</f>
        <v/>
      </c>
      <c r="D24" s="1197" t="str">
        <f>IF(C24="","",IF('#BerechnungDBE'!Q16&lt;4,"x",""))</f>
        <v/>
      </c>
      <c r="E24" s="1198" t="str">
        <f>IF(C24="","",VLOOKUP('Flächen u. Kulturen'!L21,'#Zweitfr'!$D$8:$F$28,'#Zweitfr'!$F$1,FALSE))</f>
        <v/>
      </c>
      <c r="F24" s="1199" t="str">
        <f>IF(C24="","",IF('Flächen u. Kulturen'!E21="x",'Flächen u. Kulturen'!P21,"nicht im Betrieb"))</f>
        <v/>
      </c>
      <c r="G24" s="1200" t="str">
        <f>IF(C24="","",IF('#orgDung'!C25=2,"--",IF('#Kürzungen'!$F$2=2,"--",'#orgDung'!R25)))</f>
        <v/>
      </c>
      <c r="H24" s="1200" t="str">
        <f>IF(C24="","",'#orgDung'!U25)</f>
        <v/>
      </c>
      <c r="I24" s="1201" t="str">
        <f>IF(C24="","",IF(COUNT('#orgDung'!RS25:SA25)=0,"OK",TRIM(CONCATENATE('#orgDung'!RS25," ",'#orgDung'!RT25," ",'#orgDung'!RU25," ",'#orgDung'!RV25," ",'#orgDung'!RW25," ",'#orgDung'!RX25," ",'#orgDung'!RY25," ",'#orgDung'!RZ25," ",'#orgDung'!SA25))))</f>
        <v/>
      </c>
      <c r="J24" s="1023"/>
      <c r="K24" s="1024"/>
      <c r="L24" s="1025"/>
      <c r="M24" s="1026" t="str">
        <f>IF(L24="","",'#orgDung'!AN25)</f>
        <v/>
      </c>
      <c r="N24" s="1026" t="str">
        <f>IF(L24="","",'#orgDung'!AO25)</f>
        <v/>
      </c>
      <c r="O24" s="1027" t="str">
        <f>IF(L24="","",'#orgDung'!AQ25)</f>
        <v/>
      </c>
      <c r="P24" s="1025"/>
      <c r="Q24" s="1026" t="str">
        <f>IF(P24="","",'#orgDung'!BC25)</f>
        <v/>
      </c>
      <c r="R24" s="1026" t="str">
        <f>IF(P24="","",'#orgDung'!BD25)</f>
        <v/>
      </c>
      <c r="S24" s="1027" t="str">
        <f>IF(P24="","",'#orgDung'!BF25)</f>
        <v/>
      </c>
      <c r="T24" s="1025"/>
      <c r="U24" s="1026" t="str">
        <f>IF(T24="","",'#orgDung'!BR25)</f>
        <v/>
      </c>
      <c r="V24" s="1026" t="str">
        <f>IF(T24="","",'#orgDung'!BS25)</f>
        <v/>
      </c>
      <c r="W24" s="1027" t="str">
        <f>IF(T24="","",'#orgDung'!BU25)</f>
        <v/>
      </c>
      <c r="X24" s="1025"/>
      <c r="Y24" s="1026" t="str">
        <f>IF(X24="","",'#orgDung'!CG25)</f>
        <v/>
      </c>
      <c r="Z24" s="1026" t="str">
        <f>IF(X24="","",'#orgDung'!CH25)</f>
        <v/>
      </c>
      <c r="AA24" s="1027" t="str">
        <f>IF(X24="","",'#orgDung'!CJ25)</f>
        <v/>
      </c>
      <c r="AB24" s="1025"/>
      <c r="AC24" s="1026" t="str">
        <f>IF(AB24="","",'#orgDung'!CV25)</f>
        <v/>
      </c>
      <c r="AD24" s="1026" t="str">
        <f>IF(AB24="","",'#orgDung'!CW25)</f>
        <v/>
      </c>
      <c r="AE24" s="1027" t="str">
        <f>IF(AB24="","",'#orgDung'!CY25)</f>
        <v/>
      </c>
      <c r="AF24" s="1025"/>
      <c r="AG24" s="1026" t="str">
        <f>IF(AF24="","",'#orgDung'!DK25)</f>
        <v/>
      </c>
      <c r="AH24" s="1026" t="str">
        <f>IF(AF24="","",'#orgDung'!DL25)</f>
        <v/>
      </c>
      <c r="AI24" s="1027" t="str">
        <f>IF(AF24="","",'#orgDung'!DN25)</f>
        <v/>
      </c>
      <c r="AJ24" s="1025"/>
      <c r="AK24" s="1026" t="str">
        <f>IF(AJ24="","",'#orgDung'!DZ25)</f>
        <v/>
      </c>
      <c r="AL24" s="1026" t="str">
        <f>IF(AJ24="","",'#orgDung'!EA25)</f>
        <v/>
      </c>
      <c r="AM24" s="1027" t="str">
        <f>IF(AJ24="","",'#orgDung'!EC25)</f>
        <v/>
      </c>
      <c r="AN24" s="1025"/>
      <c r="AO24" s="1026" t="str">
        <f>IF(AN24="","",'#orgDung'!EO25)</f>
        <v/>
      </c>
      <c r="AP24" s="1026" t="str">
        <f>IF(AN24="","",'#orgDung'!EP25)</f>
        <v/>
      </c>
      <c r="AQ24" s="1027" t="str">
        <f>IF(AN24="","",'#orgDung'!ER25)</f>
        <v/>
      </c>
      <c r="AR24" s="1025"/>
      <c r="AS24" s="1026" t="str">
        <f>IF(AR24="","",'#orgDung'!FD25)</f>
        <v/>
      </c>
      <c r="AT24" s="1026" t="str">
        <f>IF(AR24="","",'#orgDung'!FE25)</f>
        <v/>
      </c>
      <c r="AU24" s="1027" t="str">
        <f>IF(AR24="","",'#orgDung'!FG25)</f>
        <v/>
      </c>
      <c r="AV24" s="1025"/>
      <c r="AW24" s="1026" t="str">
        <f>IF(AV24="","",'#orgDung'!FS25)</f>
        <v/>
      </c>
      <c r="AX24" s="1026" t="str">
        <f>IF(AV24="","",'#orgDung'!FT25)</f>
        <v/>
      </c>
      <c r="AY24" s="1027" t="str">
        <f>IF(AV24="","",'#orgDung'!FV25)</f>
        <v/>
      </c>
      <c r="AZ24" s="1025"/>
      <c r="BA24" s="1026" t="str">
        <f>IF(AZ24="","",'#orgDung'!GH25)</f>
        <v/>
      </c>
      <c r="BB24" s="1026" t="str">
        <f>IF(AZ24="","",'#orgDung'!GI25)</f>
        <v/>
      </c>
      <c r="BC24" s="1027" t="str">
        <f>IF(AZ24="","",'#orgDung'!GK25)</f>
        <v/>
      </c>
      <c r="BD24" s="1025"/>
      <c r="BE24" s="1026" t="str">
        <f>IF(BD24="","",'#orgDung'!GW25)</f>
        <v/>
      </c>
      <c r="BF24" s="1026" t="str">
        <f>IF(BD24="","",'#orgDung'!GX25)</f>
        <v/>
      </c>
      <c r="BG24" s="1027" t="str">
        <f>IF(BD24="","",'#orgDung'!GZ25)</f>
        <v/>
      </c>
      <c r="BH24" s="1025"/>
      <c r="BI24" s="1026" t="str">
        <f>IF(BH24="","",'#orgDung'!HL25)</f>
        <v/>
      </c>
      <c r="BJ24" s="1026" t="str">
        <f>IF(BH24="","",'#orgDung'!HM25)</f>
        <v/>
      </c>
      <c r="BK24" s="1027" t="str">
        <f>IF(BH24="","",'#orgDung'!HO25)</f>
        <v/>
      </c>
      <c r="BL24" s="1025"/>
      <c r="BM24" s="1026" t="str">
        <f>IF(BL24="","",'#orgDung'!IA25)</f>
        <v/>
      </c>
      <c r="BN24" s="1026" t="str">
        <f>IF(BL24="","",'#orgDung'!IB25)</f>
        <v/>
      </c>
      <c r="BO24" s="1027" t="str">
        <f>IF(BL24="","",'#orgDung'!ID25)</f>
        <v/>
      </c>
      <c r="BP24" s="1025"/>
      <c r="BQ24" s="1026" t="str">
        <f>IF(BP24="","",'#orgDung'!IP25)</f>
        <v/>
      </c>
      <c r="BR24" s="1026" t="str">
        <f>IF(BP24="","",'#orgDung'!IQ25)</f>
        <v/>
      </c>
      <c r="BS24" s="1027" t="str">
        <f>IF(BP24="","",'#orgDung'!IS25)</f>
        <v/>
      </c>
      <c r="BT24" s="1025"/>
      <c r="BU24" s="1026" t="str">
        <f>IF(BT24="","",'#orgDung'!JE25)</f>
        <v/>
      </c>
      <c r="BV24" s="1026" t="str">
        <f>IF(BT24="","",'#orgDung'!JF25)</f>
        <v/>
      </c>
      <c r="BW24" s="1027" t="str">
        <f>IF(BT24="","",'#orgDung'!JH25)</f>
        <v/>
      </c>
      <c r="BX24" s="1025"/>
      <c r="BY24" s="1026" t="str">
        <f>IF(BX24="","",'#orgDung'!JT25)</f>
        <v/>
      </c>
      <c r="BZ24" s="1026" t="str">
        <f>IF(BX24="","",'#orgDung'!JU25)</f>
        <v/>
      </c>
      <c r="CA24" s="1027" t="str">
        <f>IF(BX24="","",'#orgDung'!JW25)</f>
        <v/>
      </c>
      <c r="CB24" s="1025"/>
      <c r="CC24" s="1026" t="str">
        <f>IF(CB24="","",'#orgDung'!KI25)</f>
        <v/>
      </c>
      <c r="CD24" s="1026" t="str">
        <f>IF(CB24="","",'#orgDung'!KJ25)</f>
        <v/>
      </c>
      <c r="CE24" s="1027" t="str">
        <f>IF(CB24="","",'#orgDung'!KL25)</f>
        <v/>
      </c>
      <c r="CF24" s="1025"/>
      <c r="CG24" s="1026" t="str">
        <f>IF(CF24="","",'#orgDung'!KX25)</f>
        <v/>
      </c>
      <c r="CH24" s="1026" t="str">
        <f>IF(CF24="","",'#orgDung'!KY25)</f>
        <v/>
      </c>
      <c r="CI24" s="1027" t="str">
        <f>IF(CF24="","",'#orgDung'!LA25)</f>
        <v/>
      </c>
      <c r="CJ24" s="1025"/>
      <c r="CK24" s="1026" t="str">
        <f>IF(CJ24="","",'#orgDung'!LM25)</f>
        <v/>
      </c>
      <c r="CL24" s="1026" t="str">
        <f>IF(CJ24="","",'#orgDung'!LN25)</f>
        <v/>
      </c>
      <c r="CM24" s="1027" t="str">
        <f>IF(CJ24="","",'#orgDung'!LP25)</f>
        <v/>
      </c>
      <c r="CN24" s="1025"/>
      <c r="CO24" s="1026" t="str">
        <f>IF(CN24="","",'#orgDung'!MB25)</f>
        <v/>
      </c>
      <c r="CP24" s="1026" t="str">
        <f>IF(CN24="","",'#orgDung'!MC25)</f>
        <v/>
      </c>
      <c r="CQ24" s="1027" t="str">
        <f>IF(CN24="","",'#orgDung'!ME25)</f>
        <v/>
      </c>
      <c r="CR24" s="1025"/>
      <c r="CS24" s="1026" t="str">
        <f>IF(CR24="","",'#orgDung'!MQ25)</f>
        <v/>
      </c>
      <c r="CT24" s="1026" t="str">
        <f>IF(CR24="","",'#orgDung'!MR25)</f>
        <v/>
      </c>
      <c r="CU24" s="1027" t="str">
        <f>IF(CR24="","",'#orgDung'!MT25)</f>
        <v/>
      </c>
      <c r="CV24" s="1025"/>
      <c r="CW24" s="1026" t="str">
        <f>IF(CV24="","",'#orgDung'!NF25)</f>
        <v/>
      </c>
      <c r="CX24" s="1026" t="str">
        <f>IF(CV24="","",'#orgDung'!NG25)</f>
        <v/>
      </c>
      <c r="CY24" s="1027" t="str">
        <f>IF(CV24="","",'#orgDung'!NI25)</f>
        <v/>
      </c>
      <c r="CZ24" s="1025"/>
      <c r="DA24" s="1026" t="str">
        <f>IF(CZ24="","",'#orgDung'!NU25)</f>
        <v/>
      </c>
      <c r="DB24" s="1026" t="str">
        <f>IF(CZ24="","",'#orgDung'!NV25)</f>
        <v/>
      </c>
      <c r="DC24" s="1027" t="str">
        <f>IF(CZ24="","",'#orgDung'!NX25)</f>
        <v/>
      </c>
      <c r="DD24" s="1025"/>
      <c r="DE24" s="1026" t="str">
        <f>IF(DD24="","",'#orgDung'!OJ25)</f>
        <v/>
      </c>
      <c r="DF24" s="1026" t="str">
        <f>IF(DD24="","",'#orgDung'!OK25)</f>
        <v/>
      </c>
      <c r="DG24" s="1027" t="str">
        <f>IF(DD24="","",'#orgDung'!OM25)</f>
        <v/>
      </c>
      <c r="DH24" s="1025"/>
      <c r="DI24" s="1026" t="str">
        <f>IF(DH24="","",'#orgDung'!OY25)</f>
        <v/>
      </c>
      <c r="DJ24" s="1026" t="str">
        <f>IF(DH24="","",'#orgDung'!OZ25)</f>
        <v/>
      </c>
      <c r="DK24" s="1027" t="str">
        <f>IF(DH24="","",'#orgDung'!PB25)</f>
        <v/>
      </c>
      <c r="DL24" s="1025"/>
      <c r="DM24" s="1026" t="str">
        <f>IF(DL24="","",'#orgDung'!PN25)</f>
        <v/>
      </c>
      <c r="DN24" s="1026" t="str">
        <f>IF(DL24="","",'#orgDung'!PO25)</f>
        <v/>
      </c>
      <c r="DO24" s="1027" t="str">
        <f>IF(DL24="","",'#orgDung'!PQ25)</f>
        <v/>
      </c>
      <c r="DP24" s="1025"/>
      <c r="DQ24" s="1026" t="str">
        <f>IF(DP24="","",'#orgDung'!QC25)</f>
        <v/>
      </c>
      <c r="DR24" s="1026" t="str">
        <f>IF(DP24="","",'#orgDung'!QD25)</f>
        <v/>
      </c>
      <c r="DS24" s="1027" t="str">
        <f>IF(DP24="","",'#orgDung'!QF25)</f>
        <v/>
      </c>
      <c r="DT24" s="1025"/>
      <c r="DU24" s="1026" t="str">
        <f>IF(DT24="","",'#orgDung'!QR25)</f>
        <v/>
      </c>
      <c r="DV24" s="1026" t="str">
        <f>IF(DT24="","",'#orgDung'!QS25)</f>
        <v/>
      </c>
      <c r="DW24" s="1027" t="str">
        <f>IF(DT24="","",'#orgDung'!QU25)</f>
        <v/>
      </c>
      <c r="DX24" s="1025"/>
      <c r="DY24" s="1026" t="str">
        <f>IF(DX24="","",'#orgDung'!RG25)</f>
        <v/>
      </c>
      <c r="DZ24" s="1026" t="str">
        <f>IF(DX24="","",'#orgDung'!RH25)</f>
        <v/>
      </c>
      <c r="EA24" s="1027" t="str">
        <f>IF(DX24="","",'#orgDung'!RJ25)</f>
        <v/>
      </c>
    </row>
    <row r="25" spans="1:131" ht="15" customHeight="1" x14ac:dyDescent="0.2">
      <c r="A25" s="1195">
        <f>'Flächen u. Kulturen'!A22</f>
        <v>13</v>
      </c>
      <c r="B25" s="1195" t="str">
        <f>IF('Flächen u. Kulturen'!B22="","",'Flächen u. Kulturen'!B22)</f>
        <v/>
      </c>
      <c r="C25" s="1196" t="str">
        <f>IF('Flächen u. Kulturen'!D22="","",'Flächen u. Kulturen'!D22)</f>
        <v/>
      </c>
      <c r="D25" s="1197" t="str">
        <f>IF(C25="","",IF('#BerechnungDBE'!Q17&lt;4,"x",""))</f>
        <v/>
      </c>
      <c r="E25" s="1198" t="str">
        <f>IF(C25="","",VLOOKUP('Flächen u. Kulturen'!L22,'#Zweitfr'!$D$8:$F$28,'#Zweitfr'!$F$1,FALSE))</f>
        <v/>
      </c>
      <c r="F25" s="1199" t="str">
        <f>IF(C25="","",IF('Flächen u. Kulturen'!E22="x",'Flächen u. Kulturen'!P22,"nicht im Betrieb"))</f>
        <v/>
      </c>
      <c r="G25" s="1200" t="str">
        <f>IF(C25="","",IF('#orgDung'!C26=2,"--",IF('#Kürzungen'!$F$2=2,"--",'#orgDung'!R26)))</f>
        <v/>
      </c>
      <c r="H25" s="1200" t="str">
        <f>IF(C25="","",'#orgDung'!U26)</f>
        <v/>
      </c>
      <c r="I25" s="1201" t="str">
        <f>IF(C25="","",IF(COUNT('#orgDung'!RS26:SA26)=0,"OK",TRIM(CONCATENATE('#orgDung'!RS26," ",'#orgDung'!RT26," ",'#orgDung'!RU26," ",'#orgDung'!RV26," ",'#orgDung'!RW26," ",'#orgDung'!RX26," ",'#orgDung'!RY26," ",'#orgDung'!RZ26," ",'#orgDung'!SA26))))</f>
        <v/>
      </c>
      <c r="J25" s="1023"/>
      <c r="K25" s="1024"/>
      <c r="L25" s="1025"/>
      <c r="M25" s="1026" t="str">
        <f>IF(L25="","",'#orgDung'!AN26)</f>
        <v/>
      </c>
      <c r="N25" s="1026" t="str">
        <f>IF(L25="","",'#orgDung'!AO26)</f>
        <v/>
      </c>
      <c r="O25" s="1027" t="str">
        <f>IF(L25="","",'#orgDung'!AQ26)</f>
        <v/>
      </c>
      <c r="P25" s="1025"/>
      <c r="Q25" s="1026" t="str">
        <f>IF(P25="","",'#orgDung'!BC26)</f>
        <v/>
      </c>
      <c r="R25" s="1026" t="str">
        <f>IF(P25="","",'#orgDung'!BD26)</f>
        <v/>
      </c>
      <c r="S25" s="1027" t="str">
        <f>IF(P25="","",'#orgDung'!BF26)</f>
        <v/>
      </c>
      <c r="T25" s="1025"/>
      <c r="U25" s="1026" t="str">
        <f>IF(T25="","",'#orgDung'!BR26)</f>
        <v/>
      </c>
      <c r="V25" s="1026" t="str">
        <f>IF(T25="","",'#orgDung'!BS26)</f>
        <v/>
      </c>
      <c r="W25" s="1027" t="str">
        <f>IF(T25="","",'#orgDung'!BU26)</f>
        <v/>
      </c>
      <c r="X25" s="1025"/>
      <c r="Y25" s="1026" t="str">
        <f>IF(X25="","",'#orgDung'!CG26)</f>
        <v/>
      </c>
      <c r="Z25" s="1026" t="str">
        <f>IF(X25="","",'#orgDung'!CH26)</f>
        <v/>
      </c>
      <c r="AA25" s="1027" t="str">
        <f>IF(X25="","",'#orgDung'!CJ26)</f>
        <v/>
      </c>
      <c r="AB25" s="1025"/>
      <c r="AC25" s="1026" t="str">
        <f>IF(AB25="","",'#orgDung'!CV26)</f>
        <v/>
      </c>
      <c r="AD25" s="1026" t="str">
        <f>IF(AB25="","",'#orgDung'!CW26)</f>
        <v/>
      </c>
      <c r="AE25" s="1027" t="str">
        <f>IF(AB25="","",'#orgDung'!CY26)</f>
        <v/>
      </c>
      <c r="AF25" s="1025"/>
      <c r="AG25" s="1026" t="str">
        <f>IF(AF25="","",'#orgDung'!DK26)</f>
        <v/>
      </c>
      <c r="AH25" s="1026" t="str">
        <f>IF(AF25="","",'#orgDung'!DL26)</f>
        <v/>
      </c>
      <c r="AI25" s="1027" t="str">
        <f>IF(AF25="","",'#orgDung'!DN26)</f>
        <v/>
      </c>
      <c r="AJ25" s="1025"/>
      <c r="AK25" s="1026" t="str">
        <f>IF(AJ25="","",'#orgDung'!DZ26)</f>
        <v/>
      </c>
      <c r="AL25" s="1026" t="str">
        <f>IF(AJ25="","",'#orgDung'!EA26)</f>
        <v/>
      </c>
      <c r="AM25" s="1027" t="str">
        <f>IF(AJ25="","",'#orgDung'!EC26)</f>
        <v/>
      </c>
      <c r="AN25" s="1025"/>
      <c r="AO25" s="1026" t="str">
        <f>IF(AN25="","",'#orgDung'!EO26)</f>
        <v/>
      </c>
      <c r="AP25" s="1026" t="str">
        <f>IF(AN25="","",'#orgDung'!EP26)</f>
        <v/>
      </c>
      <c r="AQ25" s="1027" t="str">
        <f>IF(AN25="","",'#orgDung'!ER26)</f>
        <v/>
      </c>
      <c r="AR25" s="1025"/>
      <c r="AS25" s="1026" t="str">
        <f>IF(AR25="","",'#orgDung'!FD26)</f>
        <v/>
      </c>
      <c r="AT25" s="1026" t="str">
        <f>IF(AR25="","",'#orgDung'!FE26)</f>
        <v/>
      </c>
      <c r="AU25" s="1027" t="str">
        <f>IF(AR25="","",'#orgDung'!FG26)</f>
        <v/>
      </c>
      <c r="AV25" s="1025"/>
      <c r="AW25" s="1026" t="str">
        <f>IF(AV25="","",'#orgDung'!FS26)</f>
        <v/>
      </c>
      <c r="AX25" s="1026" t="str">
        <f>IF(AV25="","",'#orgDung'!FT26)</f>
        <v/>
      </c>
      <c r="AY25" s="1027" t="str">
        <f>IF(AV25="","",'#orgDung'!FV26)</f>
        <v/>
      </c>
      <c r="AZ25" s="1025"/>
      <c r="BA25" s="1026" t="str">
        <f>IF(AZ25="","",'#orgDung'!GH26)</f>
        <v/>
      </c>
      <c r="BB25" s="1026" t="str">
        <f>IF(AZ25="","",'#orgDung'!GI26)</f>
        <v/>
      </c>
      <c r="BC25" s="1027" t="str">
        <f>IF(AZ25="","",'#orgDung'!GK26)</f>
        <v/>
      </c>
      <c r="BD25" s="1025"/>
      <c r="BE25" s="1026" t="str">
        <f>IF(BD25="","",'#orgDung'!GW26)</f>
        <v/>
      </c>
      <c r="BF25" s="1026" t="str">
        <f>IF(BD25="","",'#orgDung'!GX26)</f>
        <v/>
      </c>
      <c r="BG25" s="1027" t="str">
        <f>IF(BD25="","",'#orgDung'!GZ26)</f>
        <v/>
      </c>
      <c r="BH25" s="1025"/>
      <c r="BI25" s="1026" t="str">
        <f>IF(BH25="","",'#orgDung'!HL26)</f>
        <v/>
      </c>
      <c r="BJ25" s="1026" t="str">
        <f>IF(BH25="","",'#orgDung'!HM26)</f>
        <v/>
      </c>
      <c r="BK25" s="1027" t="str">
        <f>IF(BH25="","",'#orgDung'!HO26)</f>
        <v/>
      </c>
      <c r="BL25" s="1025"/>
      <c r="BM25" s="1026" t="str">
        <f>IF(BL25="","",'#orgDung'!IA26)</f>
        <v/>
      </c>
      <c r="BN25" s="1026" t="str">
        <f>IF(BL25="","",'#orgDung'!IB26)</f>
        <v/>
      </c>
      <c r="BO25" s="1027" t="str">
        <f>IF(BL25="","",'#orgDung'!ID26)</f>
        <v/>
      </c>
      <c r="BP25" s="1025"/>
      <c r="BQ25" s="1026" t="str">
        <f>IF(BP25="","",'#orgDung'!IP26)</f>
        <v/>
      </c>
      <c r="BR25" s="1026" t="str">
        <f>IF(BP25="","",'#orgDung'!IQ26)</f>
        <v/>
      </c>
      <c r="BS25" s="1027" t="str">
        <f>IF(BP25="","",'#orgDung'!IS26)</f>
        <v/>
      </c>
      <c r="BT25" s="1025"/>
      <c r="BU25" s="1026" t="str">
        <f>IF(BT25="","",'#orgDung'!JE26)</f>
        <v/>
      </c>
      <c r="BV25" s="1026" t="str">
        <f>IF(BT25="","",'#orgDung'!JF26)</f>
        <v/>
      </c>
      <c r="BW25" s="1027" t="str">
        <f>IF(BT25="","",'#orgDung'!JH26)</f>
        <v/>
      </c>
      <c r="BX25" s="1025"/>
      <c r="BY25" s="1026" t="str">
        <f>IF(BX25="","",'#orgDung'!JT26)</f>
        <v/>
      </c>
      <c r="BZ25" s="1026" t="str">
        <f>IF(BX25="","",'#orgDung'!JU26)</f>
        <v/>
      </c>
      <c r="CA25" s="1027" t="str">
        <f>IF(BX25="","",'#orgDung'!JW26)</f>
        <v/>
      </c>
      <c r="CB25" s="1025"/>
      <c r="CC25" s="1026" t="str">
        <f>IF(CB25="","",'#orgDung'!KI26)</f>
        <v/>
      </c>
      <c r="CD25" s="1026" t="str">
        <f>IF(CB25="","",'#orgDung'!KJ26)</f>
        <v/>
      </c>
      <c r="CE25" s="1027" t="str">
        <f>IF(CB25="","",'#orgDung'!KL26)</f>
        <v/>
      </c>
      <c r="CF25" s="1025"/>
      <c r="CG25" s="1026" t="str">
        <f>IF(CF25="","",'#orgDung'!KX26)</f>
        <v/>
      </c>
      <c r="CH25" s="1026" t="str">
        <f>IF(CF25="","",'#orgDung'!KY26)</f>
        <v/>
      </c>
      <c r="CI25" s="1027" t="str">
        <f>IF(CF25="","",'#orgDung'!LA26)</f>
        <v/>
      </c>
      <c r="CJ25" s="1025"/>
      <c r="CK25" s="1026" t="str">
        <f>IF(CJ25="","",'#orgDung'!LM26)</f>
        <v/>
      </c>
      <c r="CL25" s="1026" t="str">
        <f>IF(CJ25="","",'#orgDung'!LN26)</f>
        <v/>
      </c>
      <c r="CM25" s="1027" t="str">
        <f>IF(CJ25="","",'#orgDung'!LP26)</f>
        <v/>
      </c>
      <c r="CN25" s="1025"/>
      <c r="CO25" s="1026" t="str">
        <f>IF(CN25="","",'#orgDung'!MB26)</f>
        <v/>
      </c>
      <c r="CP25" s="1026" t="str">
        <f>IF(CN25="","",'#orgDung'!MC26)</f>
        <v/>
      </c>
      <c r="CQ25" s="1027" t="str">
        <f>IF(CN25="","",'#orgDung'!ME26)</f>
        <v/>
      </c>
      <c r="CR25" s="1025"/>
      <c r="CS25" s="1026" t="str">
        <f>IF(CR25="","",'#orgDung'!MQ26)</f>
        <v/>
      </c>
      <c r="CT25" s="1026" t="str">
        <f>IF(CR25="","",'#orgDung'!MR26)</f>
        <v/>
      </c>
      <c r="CU25" s="1027" t="str">
        <f>IF(CR25="","",'#orgDung'!MT26)</f>
        <v/>
      </c>
      <c r="CV25" s="1025"/>
      <c r="CW25" s="1026" t="str">
        <f>IF(CV25="","",'#orgDung'!NF26)</f>
        <v/>
      </c>
      <c r="CX25" s="1026" t="str">
        <f>IF(CV25="","",'#orgDung'!NG26)</f>
        <v/>
      </c>
      <c r="CY25" s="1027" t="str">
        <f>IF(CV25="","",'#orgDung'!NI26)</f>
        <v/>
      </c>
      <c r="CZ25" s="1025"/>
      <c r="DA25" s="1026" t="str">
        <f>IF(CZ25="","",'#orgDung'!NU26)</f>
        <v/>
      </c>
      <c r="DB25" s="1026" t="str">
        <f>IF(CZ25="","",'#orgDung'!NV26)</f>
        <v/>
      </c>
      <c r="DC25" s="1027" t="str">
        <f>IF(CZ25="","",'#orgDung'!NX26)</f>
        <v/>
      </c>
      <c r="DD25" s="1025"/>
      <c r="DE25" s="1026" t="str">
        <f>IF(DD25="","",'#orgDung'!OJ26)</f>
        <v/>
      </c>
      <c r="DF25" s="1026" t="str">
        <f>IF(DD25="","",'#orgDung'!OK26)</f>
        <v/>
      </c>
      <c r="DG25" s="1027" t="str">
        <f>IF(DD25="","",'#orgDung'!OM26)</f>
        <v/>
      </c>
      <c r="DH25" s="1025"/>
      <c r="DI25" s="1026" t="str">
        <f>IF(DH25="","",'#orgDung'!OY26)</f>
        <v/>
      </c>
      <c r="DJ25" s="1026" t="str">
        <f>IF(DH25="","",'#orgDung'!OZ26)</f>
        <v/>
      </c>
      <c r="DK25" s="1027" t="str">
        <f>IF(DH25="","",'#orgDung'!PB26)</f>
        <v/>
      </c>
      <c r="DL25" s="1025"/>
      <c r="DM25" s="1026" t="str">
        <f>IF(DL25="","",'#orgDung'!PN26)</f>
        <v/>
      </c>
      <c r="DN25" s="1026" t="str">
        <f>IF(DL25="","",'#orgDung'!PO26)</f>
        <v/>
      </c>
      <c r="DO25" s="1027" t="str">
        <f>IF(DL25="","",'#orgDung'!PQ26)</f>
        <v/>
      </c>
      <c r="DP25" s="1025"/>
      <c r="DQ25" s="1026" t="str">
        <f>IF(DP25="","",'#orgDung'!QC26)</f>
        <v/>
      </c>
      <c r="DR25" s="1026" t="str">
        <f>IF(DP25="","",'#orgDung'!QD26)</f>
        <v/>
      </c>
      <c r="DS25" s="1027" t="str">
        <f>IF(DP25="","",'#orgDung'!QF26)</f>
        <v/>
      </c>
      <c r="DT25" s="1025"/>
      <c r="DU25" s="1026" t="str">
        <f>IF(DT25="","",'#orgDung'!QR26)</f>
        <v/>
      </c>
      <c r="DV25" s="1026" t="str">
        <f>IF(DT25="","",'#orgDung'!QS26)</f>
        <v/>
      </c>
      <c r="DW25" s="1027" t="str">
        <f>IF(DT25="","",'#orgDung'!QU26)</f>
        <v/>
      </c>
      <c r="DX25" s="1025"/>
      <c r="DY25" s="1026" t="str">
        <f>IF(DX25="","",'#orgDung'!RG26)</f>
        <v/>
      </c>
      <c r="DZ25" s="1026" t="str">
        <f>IF(DX25="","",'#orgDung'!RH26)</f>
        <v/>
      </c>
      <c r="EA25" s="1027" t="str">
        <f>IF(DX25="","",'#orgDung'!RJ26)</f>
        <v/>
      </c>
    </row>
    <row r="26" spans="1:131" ht="15" customHeight="1" x14ac:dyDescent="0.2">
      <c r="A26" s="1195">
        <f>'Flächen u. Kulturen'!A23</f>
        <v>14</v>
      </c>
      <c r="B26" s="1195" t="str">
        <f>IF('Flächen u. Kulturen'!B23="","",'Flächen u. Kulturen'!B23)</f>
        <v/>
      </c>
      <c r="C26" s="1196" t="str">
        <f>IF('Flächen u. Kulturen'!D23="","",'Flächen u. Kulturen'!D23)</f>
        <v/>
      </c>
      <c r="D26" s="1197" t="str">
        <f>IF(C26="","",IF('#BerechnungDBE'!Q18&lt;4,"x",""))</f>
        <v/>
      </c>
      <c r="E26" s="1198" t="str">
        <f>IF(C26="","",VLOOKUP('Flächen u. Kulturen'!L23,'#Zweitfr'!$D$8:$F$28,'#Zweitfr'!$F$1,FALSE))</f>
        <v/>
      </c>
      <c r="F26" s="1199" t="str">
        <f>IF(C26="","",IF('Flächen u. Kulturen'!E23="x",'Flächen u. Kulturen'!P23,"nicht im Betrieb"))</f>
        <v/>
      </c>
      <c r="G26" s="1200" t="str">
        <f>IF(C26="","",IF('#orgDung'!C27=2,"--",IF('#Kürzungen'!$F$2=2,"--",'#orgDung'!R27)))</f>
        <v/>
      </c>
      <c r="H26" s="1200" t="str">
        <f>IF(C26="","",'#orgDung'!U27)</f>
        <v/>
      </c>
      <c r="I26" s="1201" t="str">
        <f>IF(C26="","",IF(COUNT('#orgDung'!RS27:SA27)=0,"OK",TRIM(CONCATENATE('#orgDung'!RS27," ",'#orgDung'!RT27," ",'#orgDung'!RU27," ",'#orgDung'!RV27," ",'#orgDung'!RW27," ",'#orgDung'!RX27," ",'#orgDung'!RY27," ",'#orgDung'!RZ27," ",'#orgDung'!SA27))))</f>
        <v/>
      </c>
      <c r="J26" s="1023"/>
      <c r="K26" s="1024"/>
      <c r="L26" s="1025"/>
      <c r="M26" s="1026" t="str">
        <f>IF(L26="","",'#orgDung'!AN27)</f>
        <v/>
      </c>
      <c r="N26" s="1026" t="str">
        <f>IF(L26="","",'#orgDung'!AO27)</f>
        <v/>
      </c>
      <c r="O26" s="1027" t="str">
        <f>IF(L26="","",'#orgDung'!AQ27)</f>
        <v/>
      </c>
      <c r="P26" s="1025"/>
      <c r="Q26" s="1026" t="str">
        <f>IF(P26="","",'#orgDung'!BC27)</f>
        <v/>
      </c>
      <c r="R26" s="1026" t="str">
        <f>IF(P26="","",'#orgDung'!BD27)</f>
        <v/>
      </c>
      <c r="S26" s="1027" t="str">
        <f>IF(P26="","",'#orgDung'!BF27)</f>
        <v/>
      </c>
      <c r="T26" s="1025"/>
      <c r="U26" s="1026" t="str">
        <f>IF(T26="","",'#orgDung'!BR27)</f>
        <v/>
      </c>
      <c r="V26" s="1026" t="str">
        <f>IF(T26="","",'#orgDung'!BS27)</f>
        <v/>
      </c>
      <c r="W26" s="1027" t="str">
        <f>IF(T26="","",'#orgDung'!BU27)</f>
        <v/>
      </c>
      <c r="X26" s="1025"/>
      <c r="Y26" s="1026" t="str">
        <f>IF(X26="","",'#orgDung'!CG27)</f>
        <v/>
      </c>
      <c r="Z26" s="1026" t="str">
        <f>IF(X26="","",'#orgDung'!CH27)</f>
        <v/>
      </c>
      <c r="AA26" s="1027" t="str">
        <f>IF(X26="","",'#orgDung'!CJ27)</f>
        <v/>
      </c>
      <c r="AB26" s="1025"/>
      <c r="AC26" s="1026" t="str">
        <f>IF(AB26="","",'#orgDung'!CV27)</f>
        <v/>
      </c>
      <c r="AD26" s="1026" t="str">
        <f>IF(AB26="","",'#orgDung'!CW27)</f>
        <v/>
      </c>
      <c r="AE26" s="1027" t="str">
        <f>IF(AB26="","",'#orgDung'!CY27)</f>
        <v/>
      </c>
      <c r="AF26" s="1025"/>
      <c r="AG26" s="1026" t="str">
        <f>IF(AF26="","",'#orgDung'!DK27)</f>
        <v/>
      </c>
      <c r="AH26" s="1026" t="str">
        <f>IF(AF26="","",'#orgDung'!DL27)</f>
        <v/>
      </c>
      <c r="AI26" s="1027" t="str">
        <f>IF(AF26="","",'#orgDung'!DN27)</f>
        <v/>
      </c>
      <c r="AJ26" s="1025"/>
      <c r="AK26" s="1026" t="str">
        <f>IF(AJ26="","",'#orgDung'!DZ27)</f>
        <v/>
      </c>
      <c r="AL26" s="1026" t="str">
        <f>IF(AJ26="","",'#orgDung'!EA27)</f>
        <v/>
      </c>
      <c r="AM26" s="1027" t="str">
        <f>IF(AJ26="","",'#orgDung'!EC27)</f>
        <v/>
      </c>
      <c r="AN26" s="1025"/>
      <c r="AO26" s="1026" t="str">
        <f>IF(AN26="","",'#orgDung'!EO27)</f>
        <v/>
      </c>
      <c r="AP26" s="1026" t="str">
        <f>IF(AN26="","",'#orgDung'!EP27)</f>
        <v/>
      </c>
      <c r="AQ26" s="1027" t="str">
        <f>IF(AN26="","",'#orgDung'!ER27)</f>
        <v/>
      </c>
      <c r="AR26" s="1025"/>
      <c r="AS26" s="1026" t="str">
        <f>IF(AR26="","",'#orgDung'!FD27)</f>
        <v/>
      </c>
      <c r="AT26" s="1026" t="str">
        <f>IF(AR26="","",'#orgDung'!FE27)</f>
        <v/>
      </c>
      <c r="AU26" s="1027" t="str">
        <f>IF(AR26="","",'#orgDung'!FG27)</f>
        <v/>
      </c>
      <c r="AV26" s="1025"/>
      <c r="AW26" s="1026" t="str">
        <f>IF(AV26="","",'#orgDung'!FS27)</f>
        <v/>
      </c>
      <c r="AX26" s="1026" t="str">
        <f>IF(AV26="","",'#orgDung'!FT27)</f>
        <v/>
      </c>
      <c r="AY26" s="1027" t="str">
        <f>IF(AV26="","",'#orgDung'!FV27)</f>
        <v/>
      </c>
      <c r="AZ26" s="1025"/>
      <c r="BA26" s="1026" t="str">
        <f>IF(AZ26="","",'#orgDung'!GH27)</f>
        <v/>
      </c>
      <c r="BB26" s="1026" t="str">
        <f>IF(AZ26="","",'#orgDung'!GI27)</f>
        <v/>
      </c>
      <c r="BC26" s="1027" t="str">
        <f>IF(AZ26="","",'#orgDung'!GK27)</f>
        <v/>
      </c>
      <c r="BD26" s="1025"/>
      <c r="BE26" s="1026" t="str">
        <f>IF(BD26="","",'#orgDung'!GW27)</f>
        <v/>
      </c>
      <c r="BF26" s="1026" t="str">
        <f>IF(BD26="","",'#orgDung'!GX27)</f>
        <v/>
      </c>
      <c r="BG26" s="1027" t="str">
        <f>IF(BD26="","",'#orgDung'!GZ27)</f>
        <v/>
      </c>
      <c r="BH26" s="1025"/>
      <c r="BI26" s="1026" t="str">
        <f>IF(BH26="","",'#orgDung'!HL27)</f>
        <v/>
      </c>
      <c r="BJ26" s="1026" t="str">
        <f>IF(BH26="","",'#orgDung'!HM27)</f>
        <v/>
      </c>
      <c r="BK26" s="1027" t="str">
        <f>IF(BH26="","",'#orgDung'!HO27)</f>
        <v/>
      </c>
      <c r="BL26" s="1025"/>
      <c r="BM26" s="1026" t="str">
        <f>IF(BL26="","",'#orgDung'!IA27)</f>
        <v/>
      </c>
      <c r="BN26" s="1026" t="str">
        <f>IF(BL26="","",'#orgDung'!IB27)</f>
        <v/>
      </c>
      <c r="BO26" s="1027" t="str">
        <f>IF(BL26="","",'#orgDung'!ID27)</f>
        <v/>
      </c>
      <c r="BP26" s="1025"/>
      <c r="BQ26" s="1026" t="str">
        <f>IF(BP26="","",'#orgDung'!IP27)</f>
        <v/>
      </c>
      <c r="BR26" s="1026" t="str">
        <f>IF(BP26="","",'#orgDung'!IQ27)</f>
        <v/>
      </c>
      <c r="BS26" s="1027" t="str">
        <f>IF(BP26="","",'#orgDung'!IS27)</f>
        <v/>
      </c>
      <c r="BT26" s="1025"/>
      <c r="BU26" s="1026" t="str">
        <f>IF(BT26="","",'#orgDung'!JE27)</f>
        <v/>
      </c>
      <c r="BV26" s="1026" t="str">
        <f>IF(BT26="","",'#orgDung'!JF27)</f>
        <v/>
      </c>
      <c r="BW26" s="1027" t="str">
        <f>IF(BT26="","",'#orgDung'!JH27)</f>
        <v/>
      </c>
      <c r="BX26" s="1025"/>
      <c r="BY26" s="1026" t="str">
        <f>IF(BX26="","",'#orgDung'!JT27)</f>
        <v/>
      </c>
      <c r="BZ26" s="1026" t="str">
        <f>IF(BX26="","",'#orgDung'!JU27)</f>
        <v/>
      </c>
      <c r="CA26" s="1027" t="str">
        <f>IF(BX26="","",'#orgDung'!JW27)</f>
        <v/>
      </c>
      <c r="CB26" s="1025"/>
      <c r="CC26" s="1026" t="str">
        <f>IF(CB26="","",'#orgDung'!KI27)</f>
        <v/>
      </c>
      <c r="CD26" s="1026" t="str">
        <f>IF(CB26="","",'#orgDung'!KJ27)</f>
        <v/>
      </c>
      <c r="CE26" s="1027" t="str">
        <f>IF(CB26="","",'#orgDung'!KL27)</f>
        <v/>
      </c>
      <c r="CF26" s="1025"/>
      <c r="CG26" s="1026" t="str">
        <f>IF(CF26="","",'#orgDung'!KX27)</f>
        <v/>
      </c>
      <c r="CH26" s="1026" t="str">
        <f>IF(CF26="","",'#orgDung'!KY27)</f>
        <v/>
      </c>
      <c r="CI26" s="1027" t="str">
        <f>IF(CF26="","",'#orgDung'!LA27)</f>
        <v/>
      </c>
      <c r="CJ26" s="1025"/>
      <c r="CK26" s="1026" t="str">
        <f>IF(CJ26="","",'#orgDung'!LM27)</f>
        <v/>
      </c>
      <c r="CL26" s="1026" t="str">
        <f>IF(CJ26="","",'#orgDung'!LN27)</f>
        <v/>
      </c>
      <c r="CM26" s="1027" t="str">
        <f>IF(CJ26="","",'#orgDung'!LP27)</f>
        <v/>
      </c>
      <c r="CN26" s="1025"/>
      <c r="CO26" s="1026" t="str">
        <f>IF(CN26="","",'#orgDung'!MB27)</f>
        <v/>
      </c>
      <c r="CP26" s="1026" t="str">
        <f>IF(CN26="","",'#orgDung'!MC27)</f>
        <v/>
      </c>
      <c r="CQ26" s="1027" t="str">
        <f>IF(CN26="","",'#orgDung'!ME27)</f>
        <v/>
      </c>
      <c r="CR26" s="1025"/>
      <c r="CS26" s="1026" t="str">
        <f>IF(CR26="","",'#orgDung'!MQ27)</f>
        <v/>
      </c>
      <c r="CT26" s="1026" t="str">
        <f>IF(CR26="","",'#orgDung'!MR27)</f>
        <v/>
      </c>
      <c r="CU26" s="1027" t="str">
        <f>IF(CR26="","",'#orgDung'!MT27)</f>
        <v/>
      </c>
      <c r="CV26" s="1025"/>
      <c r="CW26" s="1026" t="str">
        <f>IF(CV26="","",'#orgDung'!NF27)</f>
        <v/>
      </c>
      <c r="CX26" s="1026" t="str">
        <f>IF(CV26="","",'#orgDung'!NG27)</f>
        <v/>
      </c>
      <c r="CY26" s="1027" t="str">
        <f>IF(CV26="","",'#orgDung'!NI27)</f>
        <v/>
      </c>
      <c r="CZ26" s="1025"/>
      <c r="DA26" s="1026" t="str">
        <f>IF(CZ26="","",'#orgDung'!NU27)</f>
        <v/>
      </c>
      <c r="DB26" s="1026" t="str">
        <f>IF(CZ26="","",'#orgDung'!NV27)</f>
        <v/>
      </c>
      <c r="DC26" s="1027" t="str">
        <f>IF(CZ26="","",'#orgDung'!NX27)</f>
        <v/>
      </c>
      <c r="DD26" s="1025"/>
      <c r="DE26" s="1026" t="str">
        <f>IF(DD26="","",'#orgDung'!OJ27)</f>
        <v/>
      </c>
      <c r="DF26" s="1026" t="str">
        <f>IF(DD26="","",'#orgDung'!OK27)</f>
        <v/>
      </c>
      <c r="DG26" s="1027" t="str">
        <f>IF(DD26="","",'#orgDung'!OM27)</f>
        <v/>
      </c>
      <c r="DH26" s="1025"/>
      <c r="DI26" s="1026" t="str">
        <f>IF(DH26="","",'#orgDung'!OY27)</f>
        <v/>
      </c>
      <c r="DJ26" s="1026" t="str">
        <f>IF(DH26="","",'#orgDung'!OZ27)</f>
        <v/>
      </c>
      <c r="DK26" s="1027" t="str">
        <f>IF(DH26="","",'#orgDung'!PB27)</f>
        <v/>
      </c>
      <c r="DL26" s="1025"/>
      <c r="DM26" s="1026" t="str">
        <f>IF(DL26="","",'#orgDung'!PN27)</f>
        <v/>
      </c>
      <c r="DN26" s="1026" t="str">
        <f>IF(DL26="","",'#orgDung'!PO27)</f>
        <v/>
      </c>
      <c r="DO26" s="1027" t="str">
        <f>IF(DL26="","",'#orgDung'!PQ27)</f>
        <v/>
      </c>
      <c r="DP26" s="1025"/>
      <c r="DQ26" s="1026" t="str">
        <f>IF(DP26="","",'#orgDung'!QC27)</f>
        <v/>
      </c>
      <c r="DR26" s="1026" t="str">
        <f>IF(DP26="","",'#orgDung'!QD27)</f>
        <v/>
      </c>
      <c r="DS26" s="1027" t="str">
        <f>IF(DP26="","",'#orgDung'!QF27)</f>
        <v/>
      </c>
      <c r="DT26" s="1025"/>
      <c r="DU26" s="1026" t="str">
        <f>IF(DT26="","",'#orgDung'!QR27)</f>
        <v/>
      </c>
      <c r="DV26" s="1026" t="str">
        <f>IF(DT26="","",'#orgDung'!QS27)</f>
        <v/>
      </c>
      <c r="DW26" s="1027" t="str">
        <f>IF(DT26="","",'#orgDung'!QU27)</f>
        <v/>
      </c>
      <c r="DX26" s="1025"/>
      <c r="DY26" s="1026" t="str">
        <f>IF(DX26="","",'#orgDung'!RG27)</f>
        <v/>
      </c>
      <c r="DZ26" s="1026" t="str">
        <f>IF(DX26="","",'#orgDung'!RH27)</f>
        <v/>
      </c>
      <c r="EA26" s="1027" t="str">
        <f>IF(DX26="","",'#orgDung'!RJ27)</f>
        <v/>
      </c>
    </row>
    <row r="27" spans="1:131" ht="15" customHeight="1" x14ac:dyDescent="0.2">
      <c r="A27" s="1195">
        <f>'Flächen u. Kulturen'!A24</f>
        <v>15</v>
      </c>
      <c r="B27" s="1195" t="str">
        <f>IF('Flächen u. Kulturen'!B24="","",'Flächen u. Kulturen'!B24)</f>
        <v/>
      </c>
      <c r="C27" s="1196" t="str">
        <f>IF('Flächen u. Kulturen'!D24="","",'Flächen u. Kulturen'!D24)</f>
        <v/>
      </c>
      <c r="D27" s="1197" t="str">
        <f>IF(C27="","",IF('#BerechnungDBE'!Q19&lt;4,"x",""))</f>
        <v/>
      </c>
      <c r="E27" s="1198" t="str">
        <f>IF(C27="","",VLOOKUP('Flächen u. Kulturen'!L24,'#Zweitfr'!$D$8:$F$28,'#Zweitfr'!$F$1,FALSE))</f>
        <v/>
      </c>
      <c r="F27" s="1199" t="str">
        <f>IF(C27="","",IF('Flächen u. Kulturen'!E24="x",'Flächen u. Kulturen'!P24,"nicht im Betrieb"))</f>
        <v/>
      </c>
      <c r="G27" s="1200" t="str">
        <f>IF(C27="","",IF('#orgDung'!C28=2,"--",IF('#Kürzungen'!$F$2=2,"--",'#orgDung'!R28)))</f>
        <v/>
      </c>
      <c r="H27" s="1200" t="str">
        <f>IF(C27="","",'#orgDung'!U28)</f>
        <v/>
      </c>
      <c r="I27" s="1201" t="str">
        <f>IF(C27="","",IF(COUNT('#orgDung'!RS28:SA28)=0,"OK",TRIM(CONCATENATE('#orgDung'!RS28," ",'#orgDung'!RT28," ",'#orgDung'!RU28," ",'#orgDung'!RV28," ",'#orgDung'!RW28," ",'#orgDung'!RX28," ",'#orgDung'!RY28," ",'#orgDung'!RZ28," ",'#orgDung'!SA28))))</f>
        <v/>
      </c>
      <c r="J27" s="1023"/>
      <c r="K27" s="1024"/>
      <c r="L27" s="1025"/>
      <c r="M27" s="1026" t="str">
        <f>IF(L27="","",'#orgDung'!AN28)</f>
        <v/>
      </c>
      <c r="N27" s="1026" t="str">
        <f>IF(L27="","",'#orgDung'!AO28)</f>
        <v/>
      </c>
      <c r="O27" s="1027" t="str">
        <f>IF(L27="","",'#orgDung'!AQ28)</f>
        <v/>
      </c>
      <c r="P27" s="1025"/>
      <c r="Q27" s="1026" t="str">
        <f>IF(P27="","",'#orgDung'!BC28)</f>
        <v/>
      </c>
      <c r="R27" s="1026" t="str">
        <f>IF(P27="","",'#orgDung'!BD28)</f>
        <v/>
      </c>
      <c r="S27" s="1027" t="str">
        <f>IF(P27="","",'#orgDung'!BF28)</f>
        <v/>
      </c>
      <c r="T27" s="1025"/>
      <c r="U27" s="1026" t="str">
        <f>IF(T27="","",'#orgDung'!BR28)</f>
        <v/>
      </c>
      <c r="V27" s="1026" t="str">
        <f>IF(T27="","",'#orgDung'!BS28)</f>
        <v/>
      </c>
      <c r="W27" s="1027" t="str">
        <f>IF(T27="","",'#orgDung'!BU28)</f>
        <v/>
      </c>
      <c r="X27" s="1025"/>
      <c r="Y27" s="1026" t="str">
        <f>IF(X27="","",'#orgDung'!CG28)</f>
        <v/>
      </c>
      <c r="Z27" s="1026" t="str">
        <f>IF(X27="","",'#orgDung'!CH28)</f>
        <v/>
      </c>
      <c r="AA27" s="1027" t="str">
        <f>IF(X27="","",'#orgDung'!CJ28)</f>
        <v/>
      </c>
      <c r="AB27" s="1025"/>
      <c r="AC27" s="1026" t="str">
        <f>IF(AB27="","",'#orgDung'!CV28)</f>
        <v/>
      </c>
      <c r="AD27" s="1026" t="str">
        <f>IF(AB27="","",'#orgDung'!CW28)</f>
        <v/>
      </c>
      <c r="AE27" s="1027" t="str">
        <f>IF(AB27="","",'#orgDung'!CY28)</f>
        <v/>
      </c>
      <c r="AF27" s="1025"/>
      <c r="AG27" s="1026" t="str">
        <f>IF(AF27="","",'#orgDung'!DK28)</f>
        <v/>
      </c>
      <c r="AH27" s="1026" t="str">
        <f>IF(AF27="","",'#orgDung'!DL28)</f>
        <v/>
      </c>
      <c r="AI27" s="1027" t="str">
        <f>IF(AF27="","",'#orgDung'!DN28)</f>
        <v/>
      </c>
      <c r="AJ27" s="1025"/>
      <c r="AK27" s="1026" t="str">
        <f>IF(AJ27="","",'#orgDung'!DZ28)</f>
        <v/>
      </c>
      <c r="AL27" s="1026" t="str">
        <f>IF(AJ27="","",'#orgDung'!EA28)</f>
        <v/>
      </c>
      <c r="AM27" s="1027" t="str">
        <f>IF(AJ27="","",'#orgDung'!EC28)</f>
        <v/>
      </c>
      <c r="AN27" s="1025"/>
      <c r="AO27" s="1026" t="str">
        <f>IF(AN27="","",'#orgDung'!EO28)</f>
        <v/>
      </c>
      <c r="AP27" s="1026" t="str">
        <f>IF(AN27="","",'#orgDung'!EP28)</f>
        <v/>
      </c>
      <c r="AQ27" s="1027" t="str">
        <f>IF(AN27="","",'#orgDung'!ER28)</f>
        <v/>
      </c>
      <c r="AR27" s="1025"/>
      <c r="AS27" s="1026" t="str">
        <f>IF(AR27="","",'#orgDung'!FD28)</f>
        <v/>
      </c>
      <c r="AT27" s="1026" t="str">
        <f>IF(AR27="","",'#orgDung'!FE28)</f>
        <v/>
      </c>
      <c r="AU27" s="1027" t="str">
        <f>IF(AR27="","",'#orgDung'!FG28)</f>
        <v/>
      </c>
      <c r="AV27" s="1025"/>
      <c r="AW27" s="1026" t="str">
        <f>IF(AV27="","",'#orgDung'!FS28)</f>
        <v/>
      </c>
      <c r="AX27" s="1026" t="str">
        <f>IF(AV27="","",'#orgDung'!FT28)</f>
        <v/>
      </c>
      <c r="AY27" s="1027" t="str">
        <f>IF(AV27="","",'#orgDung'!FV28)</f>
        <v/>
      </c>
      <c r="AZ27" s="1025"/>
      <c r="BA27" s="1026" t="str">
        <f>IF(AZ27="","",'#orgDung'!GH28)</f>
        <v/>
      </c>
      <c r="BB27" s="1026" t="str">
        <f>IF(AZ27="","",'#orgDung'!GI28)</f>
        <v/>
      </c>
      <c r="BC27" s="1027" t="str">
        <f>IF(AZ27="","",'#orgDung'!GK28)</f>
        <v/>
      </c>
      <c r="BD27" s="1025"/>
      <c r="BE27" s="1026" t="str">
        <f>IF(BD27="","",'#orgDung'!GW28)</f>
        <v/>
      </c>
      <c r="BF27" s="1026" t="str">
        <f>IF(BD27="","",'#orgDung'!GX28)</f>
        <v/>
      </c>
      <c r="BG27" s="1027" t="str">
        <f>IF(BD27="","",'#orgDung'!GZ28)</f>
        <v/>
      </c>
      <c r="BH27" s="1025"/>
      <c r="BI27" s="1026" t="str">
        <f>IF(BH27="","",'#orgDung'!HL28)</f>
        <v/>
      </c>
      <c r="BJ27" s="1026" t="str">
        <f>IF(BH27="","",'#orgDung'!HM28)</f>
        <v/>
      </c>
      <c r="BK27" s="1027" t="str">
        <f>IF(BH27="","",'#orgDung'!HO28)</f>
        <v/>
      </c>
      <c r="BL27" s="1025"/>
      <c r="BM27" s="1026" t="str">
        <f>IF(BL27="","",'#orgDung'!IA28)</f>
        <v/>
      </c>
      <c r="BN27" s="1026" t="str">
        <f>IF(BL27="","",'#orgDung'!IB28)</f>
        <v/>
      </c>
      <c r="BO27" s="1027" t="str">
        <f>IF(BL27="","",'#orgDung'!ID28)</f>
        <v/>
      </c>
      <c r="BP27" s="1025"/>
      <c r="BQ27" s="1026" t="str">
        <f>IF(BP27="","",'#orgDung'!IP28)</f>
        <v/>
      </c>
      <c r="BR27" s="1026" t="str">
        <f>IF(BP27="","",'#orgDung'!IQ28)</f>
        <v/>
      </c>
      <c r="BS27" s="1027" t="str">
        <f>IF(BP27="","",'#orgDung'!IS28)</f>
        <v/>
      </c>
      <c r="BT27" s="1025"/>
      <c r="BU27" s="1026" t="str">
        <f>IF(BT27="","",'#orgDung'!JE28)</f>
        <v/>
      </c>
      <c r="BV27" s="1026" t="str">
        <f>IF(BT27="","",'#orgDung'!JF28)</f>
        <v/>
      </c>
      <c r="BW27" s="1027" t="str">
        <f>IF(BT27="","",'#orgDung'!JH28)</f>
        <v/>
      </c>
      <c r="BX27" s="1025"/>
      <c r="BY27" s="1026" t="str">
        <f>IF(BX27="","",'#orgDung'!JT28)</f>
        <v/>
      </c>
      <c r="BZ27" s="1026" t="str">
        <f>IF(BX27="","",'#orgDung'!JU28)</f>
        <v/>
      </c>
      <c r="CA27" s="1027" t="str">
        <f>IF(BX27="","",'#orgDung'!JW28)</f>
        <v/>
      </c>
      <c r="CB27" s="1025"/>
      <c r="CC27" s="1026" t="str">
        <f>IF(CB27="","",'#orgDung'!KI28)</f>
        <v/>
      </c>
      <c r="CD27" s="1026" t="str">
        <f>IF(CB27="","",'#orgDung'!KJ28)</f>
        <v/>
      </c>
      <c r="CE27" s="1027" t="str">
        <f>IF(CB27="","",'#orgDung'!KL28)</f>
        <v/>
      </c>
      <c r="CF27" s="1025"/>
      <c r="CG27" s="1026" t="str">
        <f>IF(CF27="","",'#orgDung'!KX28)</f>
        <v/>
      </c>
      <c r="CH27" s="1026" t="str">
        <f>IF(CF27="","",'#orgDung'!KY28)</f>
        <v/>
      </c>
      <c r="CI27" s="1027" t="str">
        <f>IF(CF27="","",'#orgDung'!LA28)</f>
        <v/>
      </c>
      <c r="CJ27" s="1025"/>
      <c r="CK27" s="1026" t="str">
        <f>IF(CJ27="","",'#orgDung'!LM28)</f>
        <v/>
      </c>
      <c r="CL27" s="1026" t="str">
        <f>IF(CJ27="","",'#orgDung'!LN28)</f>
        <v/>
      </c>
      <c r="CM27" s="1027" t="str">
        <f>IF(CJ27="","",'#orgDung'!LP28)</f>
        <v/>
      </c>
      <c r="CN27" s="1025"/>
      <c r="CO27" s="1026" t="str">
        <f>IF(CN27="","",'#orgDung'!MB28)</f>
        <v/>
      </c>
      <c r="CP27" s="1026" t="str">
        <f>IF(CN27="","",'#orgDung'!MC28)</f>
        <v/>
      </c>
      <c r="CQ27" s="1027" t="str">
        <f>IF(CN27="","",'#orgDung'!ME28)</f>
        <v/>
      </c>
      <c r="CR27" s="1025"/>
      <c r="CS27" s="1026" t="str">
        <f>IF(CR27="","",'#orgDung'!MQ28)</f>
        <v/>
      </c>
      <c r="CT27" s="1026" t="str">
        <f>IF(CR27="","",'#orgDung'!MR28)</f>
        <v/>
      </c>
      <c r="CU27" s="1027" t="str">
        <f>IF(CR27="","",'#orgDung'!MT28)</f>
        <v/>
      </c>
      <c r="CV27" s="1025"/>
      <c r="CW27" s="1026" t="str">
        <f>IF(CV27="","",'#orgDung'!NF28)</f>
        <v/>
      </c>
      <c r="CX27" s="1026" t="str">
        <f>IF(CV27="","",'#orgDung'!NG28)</f>
        <v/>
      </c>
      <c r="CY27" s="1027" t="str">
        <f>IF(CV27="","",'#orgDung'!NI28)</f>
        <v/>
      </c>
      <c r="CZ27" s="1025"/>
      <c r="DA27" s="1026" t="str">
        <f>IF(CZ27="","",'#orgDung'!NU28)</f>
        <v/>
      </c>
      <c r="DB27" s="1026" t="str">
        <f>IF(CZ27="","",'#orgDung'!NV28)</f>
        <v/>
      </c>
      <c r="DC27" s="1027" t="str">
        <f>IF(CZ27="","",'#orgDung'!NX28)</f>
        <v/>
      </c>
      <c r="DD27" s="1025"/>
      <c r="DE27" s="1026" t="str">
        <f>IF(DD27="","",'#orgDung'!OJ28)</f>
        <v/>
      </c>
      <c r="DF27" s="1026" t="str">
        <f>IF(DD27="","",'#orgDung'!OK28)</f>
        <v/>
      </c>
      <c r="DG27" s="1027" t="str">
        <f>IF(DD27="","",'#orgDung'!OM28)</f>
        <v/>
      </c>
      <c r="DH27" s="1025"/>
      <c r="DI27" s="1026" t="str">
        <f>IF(DH27="","",'#orgDung'!OY28)</f>
        <v/>
      </c>
      <c r="DJ27" s="1026" t="str">
        <f>IF(DH27="","",'#orgDung'!OZ28)</f>
        <v/>
      </c>
      <c r="DK27" s="1027" t="str">
        <f>IF(DH27="","",'#orgDung'!PB28)</f>
        <v/>
      </c>
      <c r="DL27" s="1025"/>
      <c r="DM27" s="1026" t="str">
        <f>IF(DL27="","",'#orgDung'!PN28)</f>
        <v/>
      </c>
      <c r="DN27" s="1026" t="str">
        <f>IF(DL27="","",'#orgDung'!PO28)</f>
        <v/>
      </c>
      <c r="DO27" s="1027" t="str">
        <f>IF(DL27="","",'#orgDung'!PQ28)</f>
        <v/>
      </c>
      <c r="DP27" s="1025"/>
      <c r="DQ27" s="1026" t="str">
        <f>IF(DP27="","",'#orgDung'!QC28)</f>
        <v/>
      </c>
      <c r="DR27" s="1026" t="str">
        <f>IF(DP27="","",'#orgDung'!QD28)</f>
        <v/>
      </c>
      <c r="DS27" s="1027" t="str">
        <f>IF(DP27="","",'#orgDung'!QF28)</f>
        <v/>
      </c>
      <c r="DT27" s="1025"/>
      <c r="DU27" s="1026" t="str">
        <f>IF(DT27="","",'#orgDung'!QR28)</f>
        <v/>
      </c>
      <c r="DV27" s="1026" t="str">
        <f>IF(DT27="","",'#orgDung'!QS28)</f>
        <v/>
      </c>
      <c r="DW27" s="1027" t="str">
        <f>IF(DT27="","",'#orgDung'!QU28)</f>
        <v/>
      </c>
      <c r="DX27" s="1025"/>
      <c r="DY27" s="1026" t="str">
        <f>IF(DX27="","",'#orgDung'!RG28)</f>
        <v/>
      </c>
      <c r="DZ27" s="1026" t="str">
        <f>IF(DX27="","",'#orgDung'!RH28)</f>
        <v/>
      </c>
      <c r="EA27" s="1027" t="str">
        <f>IF(DX27="","",'#orgDung'!RJ28)</f>
        <v/>
      </c>
    </row>
    <row r="28" spans="1:131" ht="15" customHeight="1" x14ac:dyDescent="0.2">
      <c r="A28" s="1195">
        <f>'Flächen u. Kulturen'!A25</f>
        <v>16</v>
      </c>
      <c r="B28" s="1195" t="str">
        <f>IF('Flächen u. Kulturen'!B25="","",'Flächen u. Kulturen'!B25)</f>
        <v/>
      </c>
      <c r="C28" s="1196" t="str">
        <f>IF('Flächen u. Kulturen'!D25="","",'Flächen u. Kulturen'!D25)</f>
        <v/>
      </c>
      <c r="D28" s="1197" t="str">
        <f>IF(C28="","",IF('#BerechnungDBE'!Q20&lt;4,"x",""))</f>
        <v/>
      </c>
      <c r="E28" s="1198" t="str">
        <f>IF(C28="","",VLOOKUP('Flächen u. Kulturen'!L25,'#Zweitfr'!$D$8:$F$28,'#Zweitfr'!$F$1,FALSE))</f>
        <v/>
      </c>
      <c r="F28" s="1199" t="str">
        <f>IF(C28="","",IF('Flächen u. Kulturen'!E25="x",'Flächen u. Kulturen'!P25,"nicht im Betrieb"))</f>
        <v/>
      </c>
      <c r="G28" s="1200" t="str">
        <f>IF(C28="","",IF('#orgDung'!C29=2,"--",IF('#Kürzungen'!$F$2=2,"--",'#orgDung'!R29)))</f>
        <v/>
      </c>
      <c r="H28" s="1200" t="str">
        <f>IF(C28="","",'#orgDung'!U29)</f>
        <v/>
      </c>
      <c r="I28" s="1201" t="str">
        <f>IF(C28="","",IF(COUNT('#orgDung'!RS29:SA29)=0,"OK",TRIM(CONCATENATE('#orgDung'!RS29," ",'#orgDung'!RT29," ",'#orgDung'!RU29," ",'#orgDung'!RV29," ",'#orgDung'!RW29," ",'#orgDung'!RX29," ",'#orgDung'!RY29," ",'#orgDung'!RZ29," ",'#orgDung'!SA29))))</f>
        <v/>
      </c>
      <c r="J28" s="1023"/>
      <c r="K28" s="1024"/>
      <c r="L28" s="1025"/>
      <c r="M28" s="1026" t="str">
        <f>IF(L28="","",'#orgDung'!AN29)</f>
        <v/>
      </c>
      <c r="N28" s="1026" t="str">
        <f>IF(L28="","",'#orgDung'!AO29)</f>
        <v/>
      </c>
      <c r="O28" s="1027" t="str">
        <f>IF(L28="","",'#orgDung'!AQ29)</f>
        <v/>
      </c>
      <c r="P28" s="1025"/>
      <c r="Q28" s="1026" t="str">
        <f>IF(P28="","",'#orgDung'!BC29)</f>
        <v/>
      </c>
      <c r="R28" s="1026" t="str">
        <f>IF(P28="","",'#orgDung'!BD29)</f>
        <v/>
      </c>
      <c r="S28" s="1027" t="str">
        <f>IF(P28="","",'#orgDung'!BF29)</f>
        <v/>
      </c>
      <c r="T28" s="1025"/>
      <c r="U28" s="1026" t="str">
        <f>IF(T28="","",'#orgDung'!BR29)</f>
        <v/>
      </c>
      <c r="V28" s="1026" t="str">
        <f>IF(T28="","",'#orgDung'!BS29)</f>
        <v/>
      </c>
      <c r="W28" s="1027" t="str">
        <f>IF(T28="","",'#orgDung'!BU29)</f>
        <v/>
      </c>
      <c r="X28" s="1025"/>
      <c r="Y28" s="1026" t="str">
        <f>IF(X28="","",'#orgDung'!CG29)</f>
        <v/>
      </c>
      <c r="Z28" s="1026" t="str">
        <f>IF(X28="","",'#orgDung'!CH29)</f>
        <v/>
      </c>
      <c r="AA28" s="1027" t="str">
        <f>IF(X28="","",'#orgDung'!CJ29)</f>
        <v/>
      </c>
      <c r="AB28" s="1025"/>
      <c r="AC28" s="1026" t="str">
        <f>IF(AB28="","",'#orgDung'!CV29)</f>
        <v/>
      </c>
      <c r="AD28" s="1026" t="str">
        <f>IF(AB28="","",'#orgDung'!CW29)</f>
        <v/>
      </c>
      <c r="AE28" s="1027" t="str">
        <f>IF(AB28="","",'#orgDung'!CY29)</f>
        <v/>
      </c>
      <c r="AF28" s="1025"/>
      <c r="AG28" s="1026" t="str">
        <f>IF(AF28="","",'#orgDung'!DK29)</f>
        <v/>
      </c>
      <c r="AH28" s="1026" t="str">
        <f>IF(AF28="","",'#orgDung'!DL29)</f>
        <v/>
      </c>
      <c r="AI28" s="1027" t="str">
        <f>IF(AF28="","",'#orgDung'!DN29)</f>
        <v/>
      </c>
      <c r="AJ28" s="1025"/>
      <c r="AK28" s="1026" t="str">
        <f>IF(AJ28="","",'#orgDung'!DZ29)</f>
        <v/>
      </c>
      <c r="AL28" s="1026" t="str">
        <f>IF(AJ28="","",'#orgDung'!EA29)</f>
        <v/>
      </c>
      <c r="AM28" s="1027" t="str">
        <f>IF(AJ28="","",'#orgDung'!EC29)</f>
        <v/>
      </c>
      <c r="AN28" s="1025"/>
      <c r="AO28" s="1026" t="str">
        <f>IF(AN28="","",'#orgDung'!EO29)</f>
        <v/>
      </c>
      <c r="AP28" s="1026" t="str">
        <f>IF(AN28="","",'#orgDung'!EP29)</f>
        <v/>
      </c>
      <c r="AQ28" s="1027" t="str">
        <f>IF(AN28="","",'#orgDung'!ER29)</f>
        <v/>
      </c>
      <c r="AR28" s="1025"/>
      <c r="AS28" s="1026" t="str">
        <f>IF(AR28="","",'#orgDung'!FD29)</f>
        <v/>
      </c>
      <c r="AT28" s="1026" t="str">
        <f>IF(AR28="","",'#orgDung'!FE29)</f>
        <v/>
      </c>
      <c r="AU28" s="1027" t="str">
        <f>IF(AR28="","",'#orgDung'!FG29)</f>
        <v/>
      </c>
      <c r="AV28" s="1025"/>
      <c r="AW28" s="1026" t="str">
        <f>IF(AV28="","",'#orgDung'!FS29)</f>
        <v/>
      </c>
      <c r="AX28" s="1026" t="str">
        <f>IF(AV28="","",'#orgDung'!FT29)</f>
        <v/>
      </c>
      <c r="AY28" s="1027" t="str">
        <f>IF(AV28="","",'#orgDung'!FV29)</f>
        <v/>
      </c>
      <c r="AZ28" s="1025"/>
      <c r="BA28" s="1026" t="str">
        <f>IF(AZ28="","",'#orgDung'!GH29)</f>
        <v/>
      </c>
      <c r="BB28" s="1026" t="str">
        <f>IF(AZ28="","",'#orgDung'!GI29)</f>
        <v/>
      </c>
      <c r="BC28" s="1027" t="str">
        <f>IF(AZ28="","",'#orgDung'!GK29)</f>
        <v/>
      </c>
      <c r="BD28" s="1025"/>
      <c r="BE28" s="1026" t="str">
        <f>IF(BD28="","",'#orgDung'!GW29)</f>
        <v/>
      </c>
      <c r="BF28" s="1026" t="str">
        <f>IF(BD28="","",'#orgDung'!GX29)</f>
        <v/>
      </c>
      <c r="BG28" s="1027" t="str">
        <f>IF(BD28="","",'#orgDung'!GZ29)</f>
        <v/>
      </c>
      <c r="BH28" s="1025"/>
      <c r="BI28" s="1026" t="str">
        <f>IF(BH28="","",'#orgDung'!HL29)</f>
        <v/>
      </c>
      <c r="BJ28" s="1026" t="str">
        <f>IF(BH28="","",'#orgDung'!HM29)</f>
        <v/>
      </c>
      <c r="BK28" s="1027" t="str">
        <f>IF(BH28="","",'#orgDung'!HO29)</f>
        <v/>
      </c>
      <c r="BL28" s="1025"/>
      <c r="BM28" s="1026" t="str">
        <f>IF(BL28="","",'#orgDung'!IA29)</f>
        <v/>
      </c>
      <c r="BN28" s="1026" t="str">
        <f>IF(BL28="","",'#orgDung'!IB29)</f>
        <v/>
      </c>
      <c r="BO28" s="1027" t="str">
        <f>IF(BL28="","",'#orgDung'!ID29)</f>
        <v/>
      </c>
      <c r="BP28" s="1025"/>
      <c r="BQ28" s="1026" t="str">
        <f>IF(BP28="","",'#orgDung'!IP29)</f>
        <v/>
      </c>
      <c r="BR28" s="1026" t="str">
        <f>IF(BP28="","",'#orgDung'!IQ29)</f>
        <v/>
      </c>
      <c r="BS28" s="1027" t="str">
        <f>IF(BP28="","",'#orgDung'!IS29)</f>
        <v/>
      </c>
      <c r="BT28" s="1025"/>
      <c r="BU28" s="1026" t="str">
        <f>IF(BT28="","",'#orgDung'!JE29)</f>
        <v/>
      </c>
      <c r="BV28" s="1026" t="str">
        <f>IF(BT28="","",'#orgDung'!JF29)</f>
        <v/>
      </c>
      <c r="BW28" s="1027" t="str">
        <f>IF(BT28="","",'#orgDung'!JH29)</f>
        <v/>
      </c>
      <c r="BX28" s="1025"/>
      <c r="BY28" s="1026" t="str">
        <f>IF(BX28="","",'#orgDung'!JT29)</f>
        <v/>
      </c>
      <c r="BZ28" s="1026" t="str">
        <f>IF(BX28="","",'#orgDung'!JU29)</f>
        <v/>
      </c>
      <c r="CA28" s="1027" t="str">
        <f>IF(BX28="","",'#orgDung'!JW29)</f>
        <v/>
      </c>
      <c r="CB28" s="1025"/>
      <c r="CC28" s="1026" t="str">
        <f>IF(CB28="","",'#orgDung'!KI29)</f>
        <v/>
      </c>
      <c r="CD28" s="1026" t="str">
        <f>IF(CB28="","",'#orgDung'!KJ29)</f>
        <v/>
      </c>
      <c r="CE28" s="1027" t="str">
        <f>IF(CB28="","",'#orgDung'!KL29)</f>
        <v/>
      </c>
      <c r="CF28" s="1025"/>
      <c r="CG28" s="1026" t="str">
        <f>IF(CF28="","",'#orgDung'!KX29)</f>
        <v/>
      </c>
      <c r="CH28" s="1026" t="str">
        <f>IF(CF28="","",'#orgDung'!KY29)</f>
        <v/>
      </c>
      <c r="CI28" s="1027" t="str">
        <f>IF(CF28="","",'#orgDung'!LA29)</f>
        <v/>
      </c>
      <c r="CJ28" s="1025"/>
      <c r="CK28" s="1026" t="str">
        <f>IF(CJ28="","",'#orgDung'!LM29)</f>
        <v/>
      </c>
      <c r="CL28" s="1026" t="str">
        <f>IF(CJ28="","",'#orgDung'!LN29)</f>
        <v/>
      </c>
      <c r="CM28" s="1027" t="str">
        <f>IF(CJ28="","",'#orgDung'!LP29)</f>
        <v/>
      </c>
      <c r="CN28" s="1025"/>
      <c r="CO28" s="1026" t="str">
        <f>IF(CN28="","",'#orgDung'!MB29)</f>
        <v/>
      </c>
      <c r="CP28" s="1026" t="str">
        <f>IF(CN28="","",'#orgDung'!MC29)</f>
        <v/>
      </c>
      <c r="CQ28" s="1027" t="str">
        <f>IF(CN28="","",'#orgDung'!ME29)</f>
        <v/>
      </c>
      <c r="CR28" s="1025"/>
      <c r="CS28" s="1026" t="str">
        <f>IF(CR28="","",'#orgDung'!MQ29)</f>
        <v/>
      </c>
      <c r="CT28" s="1026" t="str">
        <f>IF(CR28="","",'#orgDung'!MR29)</f>
        <v/>
      </c>
      <c r="CU28" s="1027" t="str">
        <f>IF(CR28="","",'#orgDung'!MT29)</f>
        <v/>
      </c>
      <c r="CV28" s="1025"/>
      <c r="CW28" s="1026" t="str">
        <f>IF(CV28="","",'#orgDung'!NF29)</f>
        <v/>
      </c>
      <c r="CX28" s="1026" t="str">
        <f>IF(CV28="","",'#orgDung'!NG29)</f>
        <v/>
      </c>
      <c r="CY28" s="1027" t="str">
        <f>IF(CV28="","",'#orgDung'!NI29)</f>
        <v/>
      </c>
      <c r="CZ28" s="1025"/>
      <c r="DA28" s="1026" t="str">
        <f>IF(CZ28="","",'#orgDung'!NU29)</f>
        <v/>
      </c>
      <c r="DB28" s="1026" t="str">
        <f>IF(CZ28="","",'#orgDung'!NV29)</f>
        <v/>
      </c>
      <c r="DC28" s="1027" t="str">
        <f>IF(CZ28="","",'#orgDung'!NX29)</f>
        <v/>
      </c>
      <c r="DD28" s="1025"/>
      <c r="DE28" s="1026" t="str">
        <f>IF(DD28="","",'#orgDung'!OJ29)</f>
        <v/>
      </c>
      <c r="DF28" s="1026" t="str">
        <f>IF(DD28="","",'#orgDung'!OK29)</f>
        <v/>
      </c>
      <c r="DG28" s="1027" t="str">
        <f>IF(DD28="","",'#orgDung'!OM29)</f>
        <v/>
      </c>
      <c r="DH28" s="1025"/>
      <c r="DI28" s="1026" t="str">
        <f>IF(DH28="","",'#orgDung'!OY29)</f>
        <v/>
      </c>
      <c r="DJ28" s="1026" t="str">
        <f>IF(DH28="","",'#orgDung'!OZ29)</f>
        <v/>
      </c>
      <c r="DK28" s="1027" t="str">
        <f>IF(DH28="","",'#orgDung'!PB29)</f>
        <v/>
      </c>
      <c r="DL28" s="1025"/>
      <c r="DM28" s="1026" t="str">
        <f>IF(DL28="","",'#orgDung'!PN29)</f>
        <v/>
      </c>
      <c r="DN28" s="1026" t="str">
        <f>IF(DL28="","",'#orgDung'!PO29)</f>
        <v/>
      </c>
      <c r="DO28" s="1027" t="str">
        <f>IF(DL28="","",'#orgDung'!PQ29)</f>
        <v/>
      </c>
      <c r="DP28" s="1025"/>
      <c r="DQ28" s="1026" t="str">
        <f>IF(DP28="","",'#orgDung'!QC29)</f>
        <v/>
      </c>
      <c r="DR28" s="1026" t="str">
        <f>IF(DP28="","",'#orgDung'!QD29)</f>
        <v/>
      </c>
      <c r="DS28" s="1027" t="str">
        <f>IF(DP28="","",'#orgDung'!QF29)</f>
        <v/>
      </c>
      <c r="DT28" s="1025"/>
      <c r="DU28" s="1026" t="str">
        <f>IF(DT28="","",'#orgDung'!QR29)</f>
        <v/>
      </c>
      <c r="DV28" s="1026" t="str">
        <f>IF(DT28="","",'#orgDung'!QS29)</f>
        <v/>
      </c>
      <c r="DW28" s="1027" t="str">
        <f>IF(DT28="","",'#orgDung'!QU29)</f>
        <v/>
      </c>
      <c r="DX28" s="1025"/>
      <c r="DY28" s="1026" t="str">
        <f>IF(DX28="","",'#orgDung'!RG29)</f>
        <v/>
      </c>
      <c r="DZ28" s="1026" t="str">
        <f>IF(DX28="","",'#orgDung'!RH29)</f>
        <v/>
      </c>
      <c r="EA28" s="1027" t="str">
        <f>IF(DX28="","",'#orgDung'!RJ29)</f>
        <v/>
      </c>
    </row>
    <row r="29" spans="1:131" ht="15" customHeight="1" x14ac:dyDescent="0.2">
      <c r="A29" s="1195">
        <f>'Flächen u. Kulturen'!A26</f>
        <v>17</v>
      </c>
      <c r="B29" s="1195" t="str">
        <f>IF('Flächen u. Kulturen'!B26="","",'Flächen u. Kulturen'!B26)</f>
        <v/>
      </c>
      <c r="C29" s="1196" t="str">
        <f>IF('Flächen u. Kulturen'!D26="","",'Flächen u. Kulturen'!D26)</f>
        <v/>
      </c>
      <c r="D29" s="1197" t="str">
        <f>IF(C29="","",IF('#BerechnungDBE'!Q21&lt;4,"x",""))</f>
        <v/>
      </c>
      <c r="E29" s="1198" t="str">
        <f>IF(C29="","",VLOOKUP('Flächen u. Kulturen'!L26,'#Zweitfr'!$D$8:$F$28,'#Zweitfr'!$F$1,FALSE))</f>
        <v/>
      </c>
      <c r="F29" s="1199" t="str">
        <f>IF(C29="","",IF('Flächen u. Kulturen'!E26="x",'Flächen u. Kulturen'!P26,"nicht im Betrieb"))</f>
        <v/>
      </c>
      <c r="G29" s="1200" t="str">
        <f>IF(C29="","",IF('#orgDung'!C30=2,"--",IF('#Kürzungen'!$F$2=2,"--",'#orgDung'!R30)))</f>
        <v/>
      </c>
      <c r="H29" s="1200" t="str">
        <f>IF(C29="","",'#orgDung'!U30)</f>
        <v/>
      </c>
      <c r="I29" s="1201" t="str">
        <f>IF(C29="","",IF(COUNT('#orgDung'!RS30:SA30)=0,"OK",TRIM(CONCATENATE('#orgDung'!RS30," ",'#orgDung'!RT30," ",'#orgDung'!RU30," ",'#orgDung'!RV30," ",'#orgDung'!RW30," ",'#orgDung'!RX30," ",'#orgDung'!RY30," ",'#orgDung'!RZ30," ",'#orgDung'!SA30))))</f>
        <v/>
      </c>
      <c r="J29" s="1023"/>
      <c r="K29" s="1024"/>
      <c r="L29" s="1025"/>
      <c r="M29" s="1026" t="str">
        <f>IF(L29="","",'#orgDung'!AN30)</f>
        <v/>
      </c>
      <c r="N29" s="1026" t="str">
        <f>IF(L29="","",'#orgDung'!AO30)</f>
        <v/>
      </c>
      <c r="O29" s="1027" t="str">
        <f>IF(L29="","",'#orgDung'!AQ30)</f>
        <v/>
      </c>
      <c r="P29" s="1025"/>
      <c r="Q29" s="1026" t="str">
        <f>IF(P29="","",'#orgDung'!BC30)</f>
        <v/>
      </c>
      <c r="R29" s="1026" t="str">
        <f>IF(P29="","",'#orgDung'!BD30)</f>
        <v/>
      </c>
      <c r="S29" s="1027" t="str">
        <f>IF(P29="","",'#orgDung'!BF30)</f>
        <v/>
      </c>
      <c r="T29" s="1025"/>
      <c r="U29" s="1026" t="str">
        <f>IF(T29="","",'#orgDung'!BR30)</f>
        <v/>
      </c>
      <c r="V29" s="1026" t="str">
        <f>IF(T29="","",'#orgDung'!BS30)</f>
        <v/>
      </c>
      <c r="W29" s="1027" t="str">
        <f>IF(T29="","",'#orgDung'!BU30)</f>
        <v/>
      </c>
      <c r="X29" s="1025"/>
      <c r="Y29" s="1026" t="str">
        <f>IF(X29="","",'#orgDung'!CG30)</f>
        <v/>
      </c>
      <c r="Z29" s="1026" t="str">
        <f>IF(X29="","",'#orgDung'!CH30)</f>
        <v/>
      </c>
      <c r="AA29" s="1027" t="str">
        <f>IF(X29="","",'#orgDung'!CJ30)</f>
        <v/>
      </c>
      <c r="AB29" s="1025"/>
      <c r="AC29" s="1026" t="str">
        <f>IF(AB29="","",'#orgDung'!CV30)</f>
        <v/>
      </c>
      <c r="AD29" s="1026" t="str">
        <f>IF(AB29="","",'#orgDung'!CW30)</f>
        <v/>
      </c>
      <c r="AE29" s="1027" t="str">
        <f>IF(AB29="","",'#orgDung'!CY30)</f>
        <v/>
      </c>
      <c r="AF29" s="1025"/>
      <c r="AG29" s="1026" t="str">
        <f>IF(AF29="","",'#orgDung'!DK30)</f>
        <v/>
      </c>
      <c r="AH29" s="1026" t="str">
        <f>IF(AF29="","",'#orgDung'!DL30)</f>
        <v/>
      </c>
      <c r="AI29" s="1027" t="str">
        <f>IF(AF29="","",'#orgDung'!DN30)</f>
        <v/>
      </c>
      <c r="AJ29" s="1025"/>
      <c r="AK29" s="1026" t="str">
        <f>IF(AJ29="","",'#orgDung'!DZ30)</f>
        <v/>
      </c>
      <c r="AL29" s="1026" t="str">
        <f>IF(AJ29="","",'#orgDung'!EA30)</f>
        <v/>
      </c>
      <c r="AM29" s="1027" t="str">
        <f>IF(AJ29="","",'#orgDung'!EC30)</f>
        <v/>
      </c>
      <c r="AN29" s="1025"/>
      <c r="AO29" s="1026" t="str">
        <f>IF(AN29="","",'#orgDung'!EO30)</f>
        <v/>
      </c>
      <c r="AP29" s="1026" t="str">
        <f>IF(AN29="","",'#orgDung'!EP30)</f>
        <v/>
      </c>
      <c r="AQ29" s="1027" t="str">
        <f>IF(AN29="","",'#orgDung'!ER30)</f>
        <v/>
      </c>
      <c r="AR29" s="1025"/>
      <c r="AS29" s="1026" t="str">
        <f>IF(AR29="","",'#orgDung'!FD30)</f>
        <v/>
      </c>
      <c r="AT29" s="1026" t="str">
        <f>IF(AR29="","",'#orgDung'!FE30)</f>
        <v/>
      </c>
      <c r="AU29" s="1027" t="str">
        <f>IF(AR29="","",'#orgDung'!FG30)</f>
        <v/>
      </c>
      <c r="AV29" s="1025"/>
      <c r="AW29" s="1026" t="str">
        <f>IF(AV29="","",'#orgDung'!FS30)</f>
        <v/>
      </c>
      <c r="AX29" s="1026" t="str">
        <f>IF(AV29="","",'#orgDung'!FT30)</f>
        <v/>
      </c>
      <c r="AY29" s="1027" t="str">
        <f>IF(AV29="","",'#orgDung'!FV30)</f>
        <v/>
      </c>
      <c r="AZ29" s="1025"/>
      <c r="BA29" s="1026" t="str">
        <f>IF(AZ29="","",'#orgDung'!GH30)</f>
        <v/>
      </c>
      <c r="BB29" s="1026" t="str">
        <f>IF(AZ29="","",'#orgDung'!GI30)</f>
        <v/>
      </c>
      <c r="BC29" s="1027" t="str">
        <f>IF(AZ29="","",'#orgDung'!GK30)</f>
        <v/>
      </c>
      <c r="BD29" s="1025"/>
      <c r="BE29" s="1026" t="str">
        <f>IF(BD29="","",'#orgDung'!GW30)</f>
        <v/>
      </c>
      <c r="BF29" s="1026" t="str">
        <f>IF(BD29="","",'#orgDung'!GX30)</f>
        <v/>
      </c>
      <c r="BG29" s="1027" t="str">
        <f>IF(BD29="","",'#orgDung'!GZ30)</f>
        <v/>
      </c>
      <c r="BH29" s="1025"/>
      <c r="BI29" s="1026" t="str">
        <f>IF(BH29="","",'#orgDung'!HL30)</f>
        <v/>
      </c>
      <c r="BJ29" s="1026" t="str">
        <f>IF(BH29="","",'#orgDung'!HM30)</f>
        <v/>
      </c>
      <c r="BK29" s="1027" t="str">
        <f>IF(BH29="","",'#orgDung'!HO30)</f>
        <v/>
      </c>
      <c r="BL29" s="1025"/>
      <c r="BM29" s="1026" t="str">
        <f>IF(BL29="","",'#orgDung'!IA30)</f>
        <v/>
      </c>
      <c r="BN29" s="1026" t="str">
        <f>IF(BL29="","",'#orgDung'!IB30)</f>
        <v/>
      </c>
      <c r="BO29" s="1027" t="str">
        <f>IF(BL29="","",'#orgDung'!ID30)</f>
        <v/>
      </c>
      <c r="BP29" s="1025"/>
      <c r="BQ29" s="1026" t="str">
        <f>IF(BP29="","",'#orgDung'!IP30)</f>
        <v/>
      </c>
      <c r="BR29" s="1026" t="str">
        <f>IF(BP29="","",'#orgDung'!IQ30)</f>
        <v/>
      </c>
      <c r="BS29" s="1027" t="str">
        <f>IF(BP29="","",'#orgDung'!IS30)</f>
        <v/>
      </c>
      <c r="BT29" s="1025"/>
      <c r="BU29" s="1026" t="str">
        <f>IF(BT29="","",'#orgDung'!JE30)</f>
        <v/>
      </c>
      <c r="BV29" s="1026" t="str">
        <f>IF(BT29="","",'#orgDung'!JF30)</f>
        <v/>
      </c>
      <c r="BW29" s="1027" t="str">
        <f>IF(BT29="","",'#orgDung'!JH30)</f>
        <v/>
      </c>
      <c r="BX29" s="1025"/>
      <c r="BY29" s="1026" t="str">
        <f>IF(BX29="","",'#orgDung'!JT30)</f>
        <v/>
      </c>
      <c r="BZ29" s="1026" t="str">
        <f>IF(BX29="","",'#orgDung'!JU30)</f>
        <v/>
      </c>
      <c r="CA29" s="1027" t="str">
        <f>IF(BX29="","",'#orgDung'!JW30)</f>
        <v/>
      </c>
      <c r="CB29" s="1025"/>
      <c r="CC29" s="1026" t="str">
        <f>IF(CB29="","",'#orgDung'!KI30)</f>
        <v/>
      </c>
      <c r="CD29" s="1026" t="str">
        <f>IF(CB29="","",'#orgDung'!KJ30)</f>
        <v/>
      </c>
      <c r="CE29" s="1027" t="str">
        <f>IF(CB29="","",'#orgDung'!KL30)</f>
        <v/>
      </c>
      <c r="CF29" s="1025"/>
      <c r="CG29" s="1026" t="str">
        <f>IF(CF29="","",'#orgDung'!KX30)</f>
        <v/>
      </c>
      <c r="CH29" s="1026" t="str">
        <f>IF(CF29="","",'#orgDung'!KY30)</f>
        <v/>
      </c>
      <c r="CI29" s="1027" t="str">
        <f>IF(CF29="","",'#orgDung'!LA30)</f>
        <v/>
      </c>
      <c r="CJ29" s="1025"/>
      <c r="CK29" s="1026" t="str">
        <f>IF(CJ29="","",'#orgDung'!LM30)</f>
        <v/>
      </c>
      <c r="CL29" s="1026" t="str">
        <f>IF(CJ29="","",'#orgDung'!LN30)</f>
        <v/>
      </c>
      <c r="CM29" s="1027" t="str">
        <f>IF(CJ29="","",'#orgDung'!LP30)</f>
        <v/>
      </c>
      <c r="CN29" s="1025"/>
      <c r="CO29" s="1026" t="str">
        <f>IF(CN29="","",'#orgDung'!MB30)</f>
        <v/>
      </c>
      <c r="CP29" s="1026" t="str">
        <f>IF(CN29="","",'#orgDung'!MC30)</f>
        <v/>
      </c>
      <c r="CQ29" s="1027" t="str">
        <f>IF(CN29="","",'#orgDung'!ME30)</f>
        <v/>
      </c>
      <c r="CR29" s="1025"/>
      <c r="CS29" s="1026" t="str">
        <f>IF(CR29="","",'#orgDung'!MQ30)</f>
        <v/>
      </c>
      <c r="CT29" s="1026" t="str">
        <f>IF(CR29="","",'#orgDung'!MR30)</f>
        <v/>
      </c>
      <c r="CU29" s="1027" t="str">
        <f>IF(CR29="","",'#orgDung'!MT30)</f>
        <v/>
      </c>
      <c r="CV29" s="1025"/>
      <c r="CW29" s="1026" t="str">
        <f>IF(CV29="","",'#orgDung'!NF30)</f>
        <v/>
      </c>
      <c r="CX29" s="1026" t="str">
        <f>IF(CV29="","",'#orgDung'!NG30)</f>
        <v/>
      </c>
      <c r="CY29" s="1027" t="str">
        <f>IF(CV29="","",'#orgDung'!NI30)</f>
        <v/>
      </c>
      <c r="CZ29" s="1025"/>
      <c r="DA29" s="1026" t="str">
        <f>IF(CZ29="","",'#orgDung'!NU30)</f>
        <v/>
      </c>
      <c r="DB29" s="1026" t="str">
        <f>IF(CZ29="","",'#orgDung'!NV30)</f>
        <v/>
      </c>
      <c r="DC29" s="1027" t="str">
        <f>IF(CZ29="","",'#orgDung'!NX30)</f>
        <v/>
      </c>
      <c r="DD29" s="1025"/>
      <c r="DE29" s="1026" t="str">
        <f>IF(DD29="","",'#orgDung'!OJ30)</f>
        <v/>
      </c>
      <c r="DF29" s="1026" t="str">
        <f>IF(DD29="","",'#orgDung'!OK30)</f>
        <v/>
      </c>
      <c r="DG29" s="1027" t="str">
        <f>IF(DD29="","",'#orgDung'!OM30)</f>
        <v/>
      </c>
      <c r="DH29" s="1025"/>
      <c r="DI29" s="1026" t="str">
        <f>IF(DH29="","",'#orgDung'!OY30)</f>
        <v/>
      </c>
      <c r="DJ29" s="1026" t="str">
        <f>IF(DH29="","",'#orgDung'!OZ30)</f>
        <v/>
      </c>
      <c r="DK29" s="1027" t="str">
        <f>IF(DH29="","",'#orgDung'!PB30)</f>
        <v/>
      </c>
      <c r="DL29" s="1025"/>
      <c r="DM29" s="1026" t="str">
        <f>IF(DL29="","",'#orgDung'!PN30)</f>
        <v/>
      </c>
      <c r="DN29" s="1026" t="str">
        <f>IF(DL29="","",'#orgDung'!PO30)</f>
        <v/>
      </c>
      <c r="DO29" s="1027" t="str">
        <f>IF(DL29="","",'#orgDung'!PQ30)</f>
        <v/>
      </c>
      <c r="DP29" s="1025"/>
      <c r="DQ29" s="1026" t="str">
        <f>IF(DP29="","",'#orgDung'!QC30)</f>
        <v/>
      </c>
      <c r="DR29" s="1026" t="str">
        <f>IF(DP29="","",'#orgDung'!QD30)</f>
        <v/>
      </c>
      <c r="DS29" s="1027" t="str">
        <f>IF(DP29="","",'#orgDung'!QF30)</f>
        <v/>
      </c>
      <c r="DT29" s="1025"/>
      <c r="DU29" s="1026" t="str">
        <f>IF(DT29="","",'#orgDung'!QR30)</f>
        <v/>
      </c>
      <c r="DV29" s="1026" t="str">
        <f>IF(DT29="","",'#orgDung'!QS30)</f>
        <v/>
      </c>
      <c r="DW29" s="1027" t="str">
        <f>IF(DT29="","",'#orgDung'!QU30)</f>
        <v/>
      </c>
      <c r="DX29" s="1025"/>
      <c r="DY29" s="1026" t="str">
        <f>IF(DX29="","",'#orgDung'!RG30)</f>
        <v/>
      </c>
      <c r="DZ29" s="1026" t="str">
        <f>IF(DX29="","",'#orgDung'!RH30)</f>
        <v/>
      </c>
      <c r="EA29" s="1027" t="str">
        <f>IF(DX29="","",'#orgDung'!RJ30)</f>
        <v/>
      </c>
    </row>
    <row r="30" spans="1:131" ht="15" customHeight="1" x14ac:dyDescent="0.2">
      <c r="A30" s="1195">
        <f>'Flächen u. Kulturen'!A27</f>
        <v>18</v>
      </c>
      <c r="B30" s="1195" t="str">
        <f>IF('Flächen u. Kulturen'!B27="","",'Flächen u. Kulturen'!B27)</f>
        <v/>
      </c>
      <c r="C30" s="1196" t="str">
        <f>IF('Flächen u. Kulturen'!D27="","",'Flächen u. Kulturen'!D27)</f>
        <v/>
      </c>
      <c r="D30" s="1197" t="str">
        <f>IF(C30="","",IF('#BerechnungDBE'!Q22&lt;4,"x",""))</f>
        <v/>
      </c>
      <c r="E30" s="1198" t="str">
        <f>IF(C30="","",VLOOKUP('Flächen u. Kulturen'!L27,'#Zweitfr'!$D$8:$F$28,'#Zweitfr'!$F$1,FALSE))</f>
        <v/>
      </c>
      <c r="F30" s="1199" t="str">
        <f>IF(C30="","",IF('Flächen u. Kulturen'!E27="x",'Flächen u. Kulturen'!P27,"nicht im Betrieb"))</f>
        <v/>
      </c>
      <c r="G30" s="1200" t="str">
        <f>IF(C30="","",IF('#orgDung'!C31=2,"--",IF('#Kürzungen'!$F$2=2,"--",'#orgDung'!R31)))</f>
        <v/>
      </c>
      <c r="H30" s="1200" t="str">
        <f>IF(C30="","",'#orgDung'!U31)</f>
        <v/>
      </c>
      <c r="I30" s="1201" t="str">
        <f>IF(C30="","",IF(COUNT('#orgDung'!RS31:SA31)=0,"OK",TRIM(CONCATENATE('#orgDung'!RS31," ",'#orgDung'!RT31," ",'#orgDung'!RU31," ",'#orgDung'!RV31," ",'#orgDung'!RW31," ",'#orgDung'!RX31," ",'#orgDung'!RY31," ",'#orgDung'!RZ31," ",'#orgDung'!SA31))))</f>
        <v/>
      </c>
      <c r="J30" s="1023"/>
      <c r="K30" s="1024"/>
      <c r="L30" s="1025"/>
      <c r="M30" s="1026" t="str">
        <f>IF(L30="","",'#orgDung'!AN31)</f>
        <v/>
      </c>
      <c r="N30" s="1026" t="str">
        <f>IF(L30="","",'#orgDung'!AO31)</f>
        <v/>
      </c>
      <c r="O30" s="1027" t="str">
        <f>IF(L30="","",'#orgDung'!AQ31)</f>
        <v/>
      </c>
      <c r="P30" s="1025"/>
      <c r="Q30" s="1026" t="str">
        <f>IF(P30="","",'#orgDung'!BC31)</f>
        <v/>
      </c>
      <c r="R30" s="1026" t="str">
        <f>IF(P30="","",'#orgDung'!BD31)</f>
        <v/>
      </c>
      <c r="S30" s="1027" t="str">
        <f>IF(P30="","",'#orgDung'!BF31)</f>
        <v/>
      </c>
      <c r="T30" s="1025"/>
      <c r="U30" s="1026" t="str">
        <f>IF(T30="","",'#orgDung'!BR31)</f>
        <v/>
      </c>
      <c r="V30" s="1026" t="str">
        <f>IF(T30="","",'#orgDung'!BS31)</f>
        <v/>
      </c>
      <c r="W30" s="1027" t="str">
        <f>IF(T30="","",'#orgDung'!BU31)</f>
        <v/>
      </c>
      <c r="X30" s="1025"/>
      <c r="Y30" s="1026" t="str">
        <f>IF(X30="","",'#orgDung'!CG31)</f>
        <v/>
      </c>
      <c r="Z30" s="1026" t="str">
        <f>IF(X30="","",'#orgDung'!CH31)</f>
        <v/>
      </c>
      <c r="AA30" s="1027" t="str">
        <f>IF(X30="","",'#orgDung'!CJ31)</f>
        <v/>
      </c>
      <c r="AB30" s="1025"/>
      <c r="AC30" s="1026" t="str">
        <f>IF(AB30="","",'#orgDung'!CV31)</f>
        <v/>
      </c>
      <c r="AD30" s="1026" t="str">
        <f>IF(AB30="","",'#orgDung'!CW31)</f>
        <v/>
      </c>
      <c r="AE30" s="1027" t="str">
        <f>IF(AB30="","",'#orgDung'!CY31)</f>
        <v/>
      </c>
      <c r="AF30" s="1025"/>
      <c r="AG30" s="1026" t="str">
        <f>IF(AF30="","",'#orgDung'!DK31)</f>
        <v/>
      </c>
      <c r="AH30" s="1026" t="str">
        <f>IF(AF30="","",'#orgDung'!DL31)</f>
        <v/>
      </c>
      <c r="AI30" s="1027" t="str">
        <f>IF(AF30="","",'#orgDung'!DN31)</f>
        <v/>
      </c>
      <c r="AJ30" s="1025"/>
      <c r="AK30" s="1026" t="str">
        <f>IF(AJ30="","",'#orgDung'!DZ31)</f>
        <v/>
      </c>
      <c r="AL30" s="1026" t="str">
        <f>IF(AJ30="","",'#orgDung'!EA31)</f>
        <v/>
      </c>
      <c r="AM30" s="1027" t="str">
        <f>IF(AJ30="","",'#orgDung'!EC31)</f>
        <v/>
      </c>
      <c r="AN30" s="1025"/>
      <c r="AO30" s="1026" t="str">
        <f>IF(AN30="","",'#orgDung'!EO31)</f>
        <v/>
      </c>
      <c r="AP30" s="1026" t="str">
        <f>IF(AN30="","",'#orgDung'!EP31)</f>
        <v/>
      </c>
      <c r="AQ30" s="1027" t="str">
        <f>IF(AN30="","",'#orgDung'!ER31)</f>
        <v/>
      </c>
      <c r="AR30" s="1025"/>
      <c r="AS30" s="1026" t="str">
        <f>IF(AR30="","",'#orgDung'!FD31)</f>
        <v/>
      </c>
      <c r="AT30" s="1026" t="str">
        <f>IF(AR30="","",'#orgDung'!FE31)</f>
        <v/>
      </c>
      <c r="AU30" s="1027" t="str">
        <f>IF(AR30="","",'#orgDung'!FG31)</f>
        <v/>
      </c>
      <c r="AV30" s="1025"/>
      <c r="AW30" s="1026" t="str">
        <f>IF(AV30="","",'#orgDung'!FS31)</f>
        <v/>
      </c>
      <c r="AX30" s="1026" t="str">
        <f>IF(AV30="","",'#orgDung'!FT31)</f>
        <v/>
      </c>
      <c r="AY30" s="1027" t="str">
        <f>IF(AV30="","",'#orgDung'!FV31)</f>
        <v/>
      </c>
      <c r="AZ30" s="1025"/>
      <c r="BA30" s="1026" t="str">
        <f>IF(AZ30="","",'#orgDung'!GH31)</f>
        <v/>
      </c>
      <c r="BB30" s="1026" t="str">
        <f>IF(AZ30="","",'#orgDung'!GI31)</f>
        <v/>
      </c>
      <c r="BC30" s="1027" t="str">
        <f>IF(AZ30="","",'#orgDung'!GK31)</f>
        <v/>
      </c>
      <c r="BD30" s="1025"/>
      <c r="BE30" s="1026" t="str">
        <f>IF(BD30="","",'#orgDung'!GW31)</f>
        <v/>
      </c>
      <c r="BF30" s="1026" t="str">
        <f>IF(BD30="","",'#orgDung'!GX31)</f>
        <v/>
      </c>
      <c r="BG30" s="1027" t="str">
        <f>IF(BD30="","",'#orgDung'!GZ31)</f>
        <v/>
      </c>
      <c r="BH30" s="1025"/>
      <c r="BI30" s="1026" t="str">
        <f>IF(BH30="","",'#orgDung'!HL31)</f>
        <v/>
      </c>
      <c r="BJ30" s="1026" t="str">
        <f>IF(BH30="","",'#orgDung'!HM31)</f>
        <v/>
      </c>
      <c r="BK30" s="1027" t="str">
        <f>IF(BH30="","",'#orgDung'!HO31)</f>
        <v/>
      </c>
      <c r="BL30" s="1025"/>
      <c r="BM30" s="1026" t="str">
        <f>IF(BL30="","",'#orgDung'!IA31)</f>
        <v/>
      </c>
      <c r="BN30" s="1026" t="str">
        <f>IF(BL30="","",'#orgDung'!IB31)</f>
        <v/>
      </c>
      <c r="BO30" s="1027" t="str">
        <f>IF(BL30="","",'#orgDung'!ID31)</f>
        <v/>
      </c>
      <c r="BP30" s="1025"/>
      <c r="BQ30" s="1026" t="str">
        <f>IF(BP30="","",'#orgDung'!IP31)</f>
        <v/>
      </c>
      <c r="BR30" s="1026" t="str">
        <f>IF(BP30="","",'#orgDung'!IQ31)</f>
        <v/>
      </c>
      <c r="BS30" s="1027" t="str">
        <f>IF(BP30="","",'#orgDung'!IS31)</f>
        <v/>
      </c>
      <c r="BT30" s="1025"/>
      <c r="BU30" s="1026" t="str">
        <f>IF(BT30="","",'#orgDung'!JE31)</f>
        <v/>
      </c>
      <c r="BV30" s="1026" t="str">
        <f>IF(BT30="","",'#orgDung'!JF31)</f>
        <v/>
      </c>
      <c r="BW30" s="1027" t="str">
        <f>IF(BT30="","",'#orgDung'!JH31)</f>
        <v/>
      </c>
      <c r="BX30" s="1025"/>
      <c r="BY30" s="1026" t="str">
        <f>IF(BX30="","",'#orgDung'!JT31)</f>
        <v/>
      </c>
      <c r="BZ30" s="1026" t="str">
        <f>IF(BX30="","",'#orgDung'!JU31)</f>
        <v/>
      </c>
      <c r="CA30" s="1027" t="str">
        <f>IF(BX30="","",'#orgDung'!JW31)</f>
        <v/>
      </c>
      <c r="CB30" s="1025"/>
      <c r="CC30" s="1026" t="str">
        <f>IF(CB30="","",'#orgDung'!KI31)</f>
        <v/>
      </c>
      <c r="CD30" s="1026" t="str">
        <f>IF(CB30="","",'#orgDung'!KJ31)</f>
        <v/>
      </c>
      <c r="CE30" s="1027" t="str">
        <f>IF(CB30="","",'#orgDung'!KL31)</f>
        <v/>
      </c>
      <c r="CF30" s="1025"/>
      <c r="CG30" s="1026" t="str">
        <f>IF(CF30="","",'#orgDung'!KX31)</f>
        <v/>
      </c>
      <c r="CH30" s="1026" t="str">
        <f>IF(CF30="","",'#orgDung'!KY31)</f>
        <v/>
      </c>
      <c r="CI30" s="1027" t="str">
        <f>IF(CF30="","",'#orgDung'!LA31)</f>
        <v/>
      </c>
      <c r="CJ30" s="1025"/>
      <c r="CK30" s="1026" t="str">
        <f>IF(CJ30="","",'#orgDung'!LM31)</f>
        <v/>
      </c>
      <c r="CL30" s="1026" t="str">
        <f>IF(CJ30="","",'#orgDung'!LN31)</f>
        <v/>
      </c>
      <c r="CM30" s="1027" t="str">
        <f>IF(CJ30="","",'#orgDung'!LP31)</f>
        <v/>
      </c>
      <c r="CN30" s="1025"/>
      <c r="CO30" s="1026" t="str">
        <f>IF(CN30="","",'#orgDung'!MB31)</f>
        <v/>
      </c>
      <c r="CP30" s="1026" t="str">
        <f>IF(CN30="","",'#orgDung'!MC31)</f>
        <v/>
      </c>
      <c r="CQ30" s="1027" t="str">
        <f>IF(CN30="","",'#orgDung'!ME31)</f>
        <v/>
      </c>
      <c r="CR30" s="1025"/>
      <c r="CS30" s="1026" t="str">
        <f>IF(CR30="","",'#orgDung'!MQ31)</f>
        <v/>
      </c>
      <c r="CT30" s="1026" t="str">
        <f>IF(CR30="","",'#orgDung'!MR31)</f>
        <v/>
      </c>
      <c r="CU30" s="1027" t="str">
        <f>IF(CR30="","",'#orgDung'!MT31)</f>
        <v/>
      </c>
      <c r="CV30" s="1025"/>
      <c r="CW30" s="1026" t="str">
        <f>IF(CV30="","",'#orgDung'!NF31)</f>
        <v/>
      </c>
      <c r="CX30" s="1026" t="str">
        <f>IF(CV30="","",'#orgDung'!NG31)</f>
        <v/>
      </c>
      <c r="CY30" s="1027" t="str">
        <f>IF(CV30="","",'#orgDung'!NI31)</f>
        <v/>
      </c>
      <c r="CZ30" s="1025"/>
      <c r="DA30" s="1026" t="str">
        <f>IF(CZ30="","",'#orgDung'!NU31)</f>
        <v/>
      </c>
      <c r="DB30" s="1026" t="str">
        <f>IF(CZ30="","",'#orgDung'!NV31)</f>
        <v/>
      </c>
      <c r="DC30" s="1027" t="str">
        <f>IF(CZ30="","",'#orgDung'!NX31)</f>
        <v/>
      </c>
      <c r="DD30" s="1025"/>
      <c r="DE30" s="1026" t="str">
        <f>IF(DD30="","",'#orgDung'!OJ31)</f>
        <v/>
      </c>
      <c r="DF30" s="1026" t="str">
        <f>IF(DD30="","",'#orgDung'!OK31)</f>
        <v/>
      </c>
      <c r="DG30" s="1027" t="str">
        <f>IF(DD30="","",'#orgDung'!OM31)</f>
        <v/>
      </c>
      <c r="DH30" s="1025"/>
      <c r="DI30" s="1026" t="str">
        <f>IF(DH30="","",'#orgDung'!OY31)</f>
        <v/>
      </c>
      <c r="DJ30" s="1026" t="str">
        <f>IF(DH30="","",'#orgDung'!OZ31)</f>
        <v/>
      </c>
      <c r="DK30" s="1027" t="str">
        <f>IF(DH30="","",'#orgDung'!PB31)</f>
        <v/>
      </c>
      <c r="DL30" s="1025"/>
      <c r="DM30" s="1026" t="str">
        <f>IF(DL30="","",'#orgDung'!PN31)</f>
        <v/>
      </c>
      <c r="DN30" s="1026" t="str">
        <f>IF(DL30="","",'#orgDung'!PO31)</f>
        <v/>
      </c>
      <c r="DO30" s="1027" t="str">
        <f>IF(DL30="","",'#orgDung'!PQ31)</f>
        <v/>
      </c>
      <c r="DP30" s="1025"/>
      <c r="DQ30" s="1026" t="str">
        <f>IF(DP30="","",'#orgDung'!QC31)</f>
        <v/>
      </c>
      <c r="DR30" s="1026" t="str">
        <f>IF(DP30="","",'#orgDung'!QD31)</f>
        <v/>
      </c>
      <c r="DS30" s="1027" t="str">
        <f>IF(DP30="","",'#orgDung'!QF31)</f>
        <v/>
      </c>
      <c r="DT30" s="1025"/>
      <c r="DU30" s="1026" t="str">
        <f>IF(DT30="","",'#orgDung'!QR31)</f>
        <v/>
      </c>
      <c r="DV30" s="1026" t="str">
        <f>IF(DT30="","",'#orgDung'!QS31)</f>
        <v/>
      </c>
      <c r="DW30" s="1027" t="str">
        <f>IF(DT30="","",'#orgDung'!QU31)</f>
        <v/>
      </c>
      <c r="DX30" s="1025"/>
      <c r="DY30" s="1026" t="str">
        <f>IF(DX30="","",'#orgDung'!RG31)</f>
        <v/>
      </c>
      <c r="DZ30" s="1026" t="str">
        <f>IF(DX30="","",'#orgDung'!RH31)</f>
        <v/>
      </c>
      <c r="EA30" s="1027" t="str">
        <f>IF(DX30="","",'#orgDung'!RJ31)</f>
        <v/>
      </c>
    </row>
    <row r="31" spans="1:131" ht="15" customHeight="1" x14ac:dyDescent="0.2">
      <c r="A31" s="1195">
        <f>'Flächen u. Kulturen'!A28</f>
        <v>19</v>
      </c>
      <c r="B31" s="1195" t="str">
        <f>IF('Flächen u. Kulturen'!B28="","",'Flächen u. Kulturen'!B28)</f>
        <v/>
      </c>
      <c r="C31" s="1196" t="str">
        <f>IF('Flächen u. Kulturen'!D28="","",'Flächen u. Kulturen'!D28)</f>
        <v/>
      </c>
      <c r="D31" s="1197" t="str">
        <f>IF(C31="","",IF('#BerechnungDBE'!Q23&lt;4,"x",""))</f>
        <v/>
      </c>
      <c r="E31" s="1198" t="str">
        <f>IF(C31="","",VLOOKUP('Flächen u. Kulturen'!L28,'#Zweitfr'!$D$8:$F$28,'#Zweitfr'!$F$1,FALSE))</f>
        <v/>
      </c>
      <c r="F31" s="1199" t="str">
        <f>IF(C31="","",IF('Flächen u. Kulturen'!E28="x",'Flächen u. Kulturen'!P28,"nicht im Betrieb"))</f>
        <v/>
      </c>
      <c r="G31" s="1200" t="str">
        <f>IF(C31="","",IF('#orgDung'!C32=2,"--",IF('#Kürzungen'!$F$2=2,"--",'#orgDung'!R32)))</f>
        <v/>
      </c>
      <c r="H31" s="1200" t="str">
        <f>IF(C31="","",'#orgDung'!U32)</f>
        <v/>
      </c>
      <c r="I31" s="1201" t="str">
        <f>IF(C31="","",IF(COUNT('#orgDung'!RS32:SA32)=0,"OK",TRIM(CONCATENATE('#orgDung'!RS32," ",'#orgDung'!RT32," ",'#orgDung'!RU32," ",'#orgDung'!RV32," ",'#orgDung'!RW32," ",'#orgDung'!RX32," ",'#orgDung'!RY32," ",'#orgDung'!RZ32," ",'#orgDung'!SA32))))</f>
        <v/>
      </c>
      <c r="J31" s="1023"/>
      <c r="K31" s="1024"/>
      <c r="L31" s="1025"/>
      <c r="M31" s="1026" t="str">
        <f>IF(L31="","",'#orgDung'!AN32)</f>
        <v/>
      </c>
      <c r="N31" s="1026" t="str">
        <f>IF(L31="","",'#orgDung'!AO32)</f>
        <v/>
      </c>
      <c r="O31" s="1027" t="str">
        <f>IF(L31="","",'#orgDung'!AQ32)</f>
        <v/>
      </c>
      <c r="P31" s="1025"/>
      <c r="Q31" s="1026" t="str">
        <f>IF(P31="","",'#orgDung'!BC32)</f>
        <v/>
      </c>
      <c r="R31" s="1026" t="str">
        <f>IF(P31="","",'#orgDung'!BD32)</f>
        <v/>
      </c>
      <c r="S31" s="1027" t="str">
        <f>IF(P31="","",'#orgDung'!BF32)</f>
        <v/>
      </c>
      <c r="T31" s="1025"/>
      <c r="U31" s="1026" t="str">
        <f>IF(T31="","",'#orgDung'!BR32)</f>
        <v/>
      </c>
      <c r="V31" s="1026" t="str">
        <f>IF(T31="","",'#orgDung'!BS32)</f>
        <v/>
      </c>
      <c r="W31" s="1027" t="str">
        <f>IF(T31="","",'#orgDung'!BU32)</f>
        <v/>
      </c>
      <c r="X31" s="1025"/>
      <c r="Y31" s="1026" t="str">
        <f>IF(X31="","",'#orgDung'!CG32)</f>
        <v/>
      </c>
      <c r="Z31" s="1026" t="str">
        <f>IF(X31="","",'#orgDung'!CH32)</f>
        <v/>
      </c>
      <c r="AA31" s="1027" t="str">
        <f>IF(X31="","",'#orgDung'!CJ32)</f>
        <v/>
      </c>
      <c r="AB31" s="1025"/>
      <c r="AC31" s="1026" t="str">
        <f>IF(AB31="","",'#orgDung'!CV32)</f>
        <v/>
      </c>
      <c r="AD31" s="1026" t="str">
        <f>IF(AB31="","",'#orgDung'!CW32)</f>
        <v/>
      </c>
      <c r="AE31" s="1027" t="str">
        <f>IF(AB31="","",'#orgDung'!CY32)</f>
        <v/>
      </c>
      <c r="AF31" s="1025"/>
      <c r="AG31" s="1026" t="str">
        <f>IF(AF31="","",'#orgDung'!DK32)</f>
        <v/>
      </c>
      <c r="AH31" s="1026" t="str">
        <f>IF(AF31="","",'#orgDung'!DL32)</f>
        <v/>
      </c>
      <c r="AI31" s="1027" t="str">
        <f>IF(AF31="","",'#orgDung'!DN32)</f>
        <v/>
      </c>
      <c r="AJ31" s="1025"/>
      <c r="AK31" s="1026" t="str">
        <f>IF(AJ31="","",'#orgDung'!DZ32)</f>
        <v/>
      </c>
      <c r="AL31" s="1026" t="str">
        <f>IF(AJ31="","",'#orgDung'!EA32)</f>
        <v/>
      </c>
      <c r="AM31" s="1027" t="str">
        <f>IF(AJ31="","",'#orgDung'!EC32)</f>
        <v/>
      </c>
      <c r="AN31" s="1025"/>
      <c r="AO31" s="1026" t="str">
        <f>IF(AN31="","",'#orgDung'!EO32)</f>
        <v/>
      </c>
      <c r="AP31" s="1026" t="str">
        <f>IF(AN31="","",'#orgDung'!EP32)</f>
        <v/>
      </c>
      <c r="AQ31" s="1027" t="str">
        <f>IF(AN31="","",'#orgDung'!ER32)</f>
        <v/>
      </c>
      <c r="AR31" s="1025"/>
      <c r="AS31" s="1026" t="str">
        <f>IF(AR31="","",'#orgDung'!FD32)</f>
        <v/>
      </c>
      <c r="AT31" s="1026" t="str">
        <f>IF(AR31="","",'#orgDung'!FE32)</f>
        <v/>
      </c>
      <c r="AU31" s="1027" t="str">
        <f>IF(AR31="","",'#orgDung'!FG32)</f>
        <v/>
      </c>
      <c r="AV31" s="1025"/>
      <c r="AW31" s="1026" t="str">
        <f>IF(AV31="","",'#orgDung'!FS32)</f>
        <v/>
      </c>
      <c r="AX31" s="1026" t="str">
        <f>IF(AV31="","",'#orgDung'!FT32)</f>
        <v/>
      </c>
      <c r="AY31" s="1027" t="str">
        <f>IF(AV31="","",'#orgDung'!FV32)</f>
        <v/>
      </c>
      <c r="AZ31" s="1025"/>
      <c r="BA31" s="1026" t="str">
        <f>IF(AZ31="","",'#orgDung'!GH32)</f>
        <v/>
      </c>
      <c r="BB31" s="1026" t="str">
        <f>IF(AZ31="","",'#orgDung'!GI32)</f>
        <v/>
      </c>
      <c r="BC31" s="1027" t="str">
        <f>IF(AZ31="","",'#orgDung'!GK32)</f>
        <v/>
      </c>
      <c r="BD31" s="1025"/>
      <c r="BE31" s="1026" t="str">
        <f>IF(BD31="","",'#orgDung'!GW32)</f>
        <v/>
      </c>
      <c r="BF31" s="1026" t="str">
        <f>IF(BD31="","",'#orgDung'!GX32)</f>
        <v/>
      </c>
      <c r="BG31" s="1027" t="str">
        <f>IF(BD31="","",'#orgDung'!GZ32)</f>
        <v/>
      </c>
      <c r="BH31" s="1025"/>
      <c r="BI31" s="1026" t="str">
        <f>IF(BH31="","",'#orgDung'!HL32)</f>
        <v/>
      </c>
      <c r="BJ31" s="1026" t="str">
        <f>IF(BH31="","",'#orgDung'!HM32)</f>
        <v/>
      </c>
      <c r="BK31" s="1027" t="str">
        <f>IF(BH31="","",'#orgDung'!HO32)</f>
        <v/>
      </c>
      <c r="BL31" s="1025"/>
      <c r="BM31" s="1026" t="str">
        <f>IF(BL31="","",'#orgDung'!IA32)</f>
        <v/>
      </c>
      <c r="BN31" s="1026" t="str">
        <f>IF(BL31="","",'#orgDung'!IB32)</f>
        <v/>
      </c>
      <c r="BO31" s="1027" t="str">
        <f>IF(BL31="","",'#orgDung'!ID32)</f>
        <v/>
      </c>
      <c r="BP31" s="1025"/>
      <c r="BQ31" s="1026" t="str">
        <f>IF(BP31="","",'#orgDung'!IP32)</f>
        <v/>
      </c>
      <c r="BR31" s="1026" t="str">
        <f>IF(BP31="","",'#orgDung'!IQ32)</f>
        <v/>
      </c>
      <c r="BS31" s="1027" t="str">
        <f>IF(BP31="","",'#orgDung'!IS32)</f>
        <v/>
      </c>
      <c r="BT31" s="1025"/>
      <c r="BU31" s="1026" t="str">
        <f>IF(BT31="","",'#orgDung'!JE32)</f>
        <v/>
      </c>
      <c r="BV31" s="1026" t="str">
        <f>IF(BT31="","",'#orgDung'!JF32)</f>
        <v/>
      </c>
      <c r="BW31" s="1027" t="str">
        <f>IF(BT31="","",'#orgDung'!JH32)</f>
        <v/>
      </c>
      <c r="BX31" s="1025"/>
      <c r="BY31" s="1026" t="str">
        <f>IF(BX31="","",'#orgDung'!JT32)</f>
        <v/>
      </c>
      <c r="BZ31" s="1026" t="str">
        <f>IF(BX31="","",'#orgDung'!JU32)</f>
        <v/>
      </c>
      <c r="CA31" s="1027" t="str">
        <f>IF(BX31="","",'#orgDung'!JW32)</f>
        <v/>
      </c>
      <c r="CB31" s="1025"/>
      <c r="CC31" s="1026" t="str">
        <f>IF(CB31="","",'#orgDung'!KI32)</f>
        <v/>
      </c>
      <c r="CD31" s="1026" t="str">
        <f>IF(CB31="","",'#orgDung'!KJ32)</f>
        <v/>
      </c>
      <c r="CE31" s="1027" t="str">
        <f>IF(CB31="","",'#orgDung'!KL32)</f>
        <v/>
      </c>
      <c r="CF31" s="1025"/>
      <c r="CG31" s="1026" t="str">
        <f>IF(CF31="","",'#orgDung'!KX32)</f>
        <v/>
      </c>
      <c r="CH31" s="1026" t="str">
        <f>IF(CF31="","",'#orgDung'!KY32)</f>
        <v/>
      </c>
      <c r="CI31" s="1027" t="str">
        <f>IF(CF31="","",'#orgDung'!LA32)</f>
        <v/>
      </c>
      <c r="CJ31" s="1025"/>
      <c r="CK31" s="1026" t="str">
        <f>IF(CJ31="","",'#orgDung'!LM32)</f>
        <v/>
      </c>
      <c r="CL31" s="1026" t="str">
        <f>IF(CJ31="","",'#orgDung'!LN32)</f>
        <v/>
      </c>
      <c r="CM31" s="1027" t="str">
        <f>IF(CJ31="","",'#orgDung'!LP32)</f>
        <v/>
      </c>
      <c r="CN31" s="1025"/>
      <c r="CO31" s="1026" t="str">
        <f>IF(CN31="","",'#orgDung'!MB32)</f>
        <v/>
      </c>
      <c r="CP31" s="1026" t="str">
        <f>IF(CN31="","",'#orgDung'!MC32)</f>
        <v/>
      </c>
      <c r="CQ31" s="1027" t="str">
        <f>IF(CN31="","",'#orgDung'!ME32)</f>
        <v/>
      </c>
      <c r="CR31" s="1025"/>
      <c r="CS31" s="1026" t="str">
        <f>IF(CR31="","",'#orgDung'!MQ32)</f>
        <v/>
      </c>
      <c r="CT31" s="1026" t="str">
        <f>IF(CR31="","",'#orgDung'!MR32)</f>
        <v/>
      </c>
      <c r="CU31" s="1027" t="str">
        <f>IF(CR31="","",'#orgDung'!MT32)</f>
        <v/>
      </c>
      <c r="CV31" s="1025"/>
      <c r="CW31" s="1026" t="str">
        <f>IF(CV31="","",'#orgDung'!NF32)</f>
        <v/>
      </c>
      <c r="CX31" s="1026" t="str">
        <f>IF(CV31="","",'#orgDung'!NG32)</f>
        <v/>
      </c>
      <c r="CY31" s="1027" t="str">
        <f>IF(CV31="","",'#orgDung'!NI32)</f>
        <v/>
      </c>
      <c r="CZ31" s="1025"/>
      <c r="DA31" s="1026" t="str">
        <f>IF(CZ31="","",'#orgDung'!NU32)</f>
        <v/>
      </c>
      <c r="DB31" s="1026" t="str">
        <f>IF(CZ31="","",'#orgDung'!NV32)</f>
        <v/>
      </c>
      <c r="DC31" s="1027" t="str">
        <f>IF(CZ31="","",'#orgDung'!NX32)</f>
        <v/>
      </c>
      <c r="DD31" s="1025"/>
      <c r="DE31" s="1026" t="str">
        <f>IF(DD31="","",'#orgDung'!OJ32)</f>
        <v/>
      </c>
      <c r="DF31" s="1026" t="str">
        <f>IF(DD31="","",'#orgDung'!OK32)</f>
        <v/>
      </c>
      <c r="DG31" s="1027" t="str">
        <f>IF(DD31="","",'#orgDung'!OM32)</f>
        <v/>
      </c>
      <c r="DH31" s="1025"/>
      <c r="DI31" s="1026" t="str">
        <f>IF(DH31="","",'#orgDung'!OY32)</f>
        <v/>
      </c>
      <c r="DJ31" s="1026" t="str">
        <f>IF(DH31="","",'#orgDung'!OZ32)</f>
        <v/>
      </c>
      <c r="DK31" s="1027" t="str">
        <f>IF(DH31="","",'#orgDung'!PB32)</f>
        <v/>
      </c>
      <c r="DL31" s="1025"/>
      <c r="DM31" s="1026" t="str">
        <f>IF(DL31="","",'#orgDung'!PN32)</f>
        <v/>
      </c>
      <c r="DN31" s="1026" t="str">
        <f>IF(DL31="","",'#orgDung'!PO32)</f>
        <v/>
      </c>
      <c r="DO31" s="1027" t="str">
        <f>IF(DL31="","",'#orgDung'!PQ32)</f>
        <v/>
      </c>
      <c r="DP31" s="1025"/>
      <c r="DQ31" s="1026" t="str">
        <f>IF(DP31="","",'#orgDung'!QC32)</f>
        <v/>
      </c>
      <c r="DR31" s="1026" t="str">
        <f>IF(DP31="","",'#orgDung'!QD32)</f>
        <v/>
      </c>
      <c r="DS31" s="1027" t="str">
        <f>IF(DP31="","",'#orgDung'!QF32)</f>
        <v/>
      </c>
      <c r="DT31" s="1025"/>
      <c r="DU31" s="1026" t="str">
        <f>IF(DT31="","",'#orgDung'!QR32)</f>
        <v/>
      </c>
      <c r="DV31" s="1026" t="str">
        <f>IF(DT31="","",'#orgDung'!QS32)</f>
        <v/>
      </c>
      <c r="DW31" s="1027" t="str">
        <f>IF(DT31="","",'#orgDung'!QU32)</f>
        <v/>
      </c>
      <c r="DX31" s="1025"/>
      <c r="DY31" s="1026" t="str">
        <f>IF(DX31="","",'#orgDung'!RG32)</f>
        <v/>
      </c>
      <c r="DZ31" s="1026" t="str">
        <f>IF(DX31="","",'#orgDung'!RH32)</f>
        <v/>
      </c>
      <c r="EA31" s="1027" t="str">
        <f>IF(DX31="","",'#orgDung'!RJ32)</f>
        <v/>
      </c>
    </row>
    <row r="32" spans="1:131" ht="15" customHeight="1" x14ac:dyDescent="0.2">
      <c r="A32" s="1195">
        <f>'Flächen u. Kulturen'!A29</f>
        <v>20</v>
      </c>
      <c r="B32" s="1195" t="str">
        <f>IF('Flächen u. Kulturen'!B29="","",'Flächen u. Kulturen'!B29)</f>
        <v/>
      </c>
      <c r="C32" s="1196" t="str">
        <f>IF('Flächen u. Kulturen'!D29="","",'Flächen u. Kulturen'!D29)</f>
        <v/>
      </c>
      <c r="D32" s="1197" t="str">
        <f>IF(C32="","",IF('#BerechnungDBE'!Q24&lt;4,"x",""))</f>
        <v/>
      </c>
      <c r="E32" s="1198" t="str">
        <f>IF(C32="","",VLOOKUP('Flächen u. Kulturen'!L29,'#Zweitfr'!$D$8:$F$28,'#Zweitfr'!$F$1,FALSE))</f>
        <v/>
      </c>
      <c r="F32" s="1199" t="str">
        <f>IF(C32="","",IF('Flächen u. Kulturen'!E29="x",'Flächen u. Kulturen'!P29,"nicht im Betrieb"))</f>
        <v/>
      </c>
      <c r="G32" s="1200" t="str">
        <f>IF(C32="","",IF('#orgDung'!C33=2,"--",IF('#Kürzungen'!$F$2=2,"--",'#orgDung'!R33)))</f>
        <v/>
      </c>
      <c r="H32" s="1200" t="str">
        <f>IF(C32="","",'#orgDung'!U33)</f>
        <v/>
      </c>
      <c r="I32" s="1201" t="str">
        <f>IF(C32="","",IF(COUNT('#orgDung'!RS33:SA33)=0,"OK",TRIM(CONCATENATE('#orgDung'!RS33," ",'#orgDung'!RT33," ",'#orgDung'!RU33," ",'#orgDung'!RV33," ",'#orgDung'!RW33," ",'#orgDung'!RX33," ",'#orgDung'!RY33," ",'#orgDung'!RZ33," ",'#orgDung'!SA33))))</f>
        <v/>
      </c>
      <c r="J32" s="1023"/>
      <c r="K32" s="1024"/>
      <c r="L32" s="1025"/>
      <c r="M32" s="1026" t="str">
        <f>IF(L32="","",'#orgDung'!AN33)</f>
        <v/>
      </c>
      <c r="N32" s="1026" t="str">
        <f>IF(L32="","",'#orgDung'!AO33)</f>
        <v/>
      </c>
      <c r="O32" s="1027" t="str">
        <f>IF(L32="","",'#orgDung'!AQ33)</f>
        <v/>
      </c>
      <c r="P32" s="1025"/>
      <c r="Q32" s="1026" t="str">
        <f>IF(P32="","",'#orgDung'!BC33)</f>
        <v/>
      </c>
      <c r="R32" s="1026" t="str">
        <f>IF(P32="","",'#orgDung'!BD33)</f>
        <v/>
      </c>
      <c r="S32" s="1027" t="str">
        <f>IF(P32="","",'#orgDung'!BF33)</f>
        <v/>
      </c>
      <c r="T32" s="1025"/>
      <c r="U32" s="1026" t="str">
        <f>IF(T32="","",'#orgDung'!BR33)</f>
        <v/>
      </c>
      <c r="V32" s="1026" t="str">
        <f>IF(T32="","",'#orgDung'!BS33)</f>
        <v/>
      </c>
      <c r="W32" s="1027" t="str">
        <f>IF(T32="","",'#orgDung'!BU33)</f>
        <v/>
      </c>
      <c r="X32" s="1025"/>
      <c r="Y32" s="1026" t="str">
        <f>IF(X32="","",'#orgDung'!CG33)</f>
        <v/>
      </c>
      <c r="Z32" s="1026" t="str">
        <f>IF(X32="","",'#orgDung'!CH33)</f>
        <v/>
      </c>
      <c r="AA32" s="1027" t="str">
        <f>IF(X32="","",'#orgDung'!CJ33)</f>
        <v/>
      </c>
      <c r="AB32" s="1025"/>
      <c r="AC32" s="1026" t="str">
        <f>IF(AB32="","",'#orgDung'!CV33)</f>
        <v/>
      </c>
      <c r="AD32" s="1026" t="str">
        <f>IF(AB32="","",'#orgDung'!CW33)</f>
        <v/>
      </c>
      <c r="AE32" s="1027" t="str">
        <f>IF(AB32="","",'#orgDung'!CY33)</f>
        <v/>
      </c>
      <c r="AF32" s="1025"/>
      <c r="AG32" s="1026" t="str">
        <f>IF(AF32="","",'#orgDung'!DK33)</f>
        <v/>
      </c>
      <c r="AH32" s="1026" t="str">
        <f>IF(AF32="","",'#orgDung'!DL33)</f>
        <v/>
      </c>
      <c r="AI32" s="1027" t="str">
        <f>IF(AF32="","",'#orgDung'!DN33)</f>
        <v/>
      </c>
      <c r="AJ32" s="1025"/>
      <c r="AK32" s="1026" t="str">
        <f>IF(AJ32="","",'#orgDung'!DZ33)</f>
        <v/>
      </c>
      <c r="AL32" s="1026" t="str">
        <f>IF(AJ32="","",'#orgDung'!EA33)</f>
        <v/>
      </c>
      <c r="AM32" s="1027" t="str">
        <f>IF(AJ32="","",'#orgDung'!EC33)</f>
        <v/>
      </c>
      <c r="AN32" s="1025"/>
      <c r="AO32" s="1026" t="str">
        <f>IF(AN32="","",'#orgDung'!EO33)</f>
        <v/>
      </c>
      <c r="AP32" s="1026" t="str">
        <f>IF(AN32="","",'#orgDung'!EP33)</f>
        <v/>
      </c>
      <c r="AQ32" s="1027" t="str">
        <f>IF(AN32="","",'#orgDung'!ER33)</f>
        <v/>
      </c>
      <c r="AR32" s="1025"/>
      <c r="AS32" s="1026" t="str">
        <f>IF(AR32="","",'#orgDung'!FD33)</f>
        <v/>
      </c>
      <c r="AT32" s="1026" t="str">
        <f>IF(AR32="","",'#orgDung'!FE33)</f>
        <v/>
      </c>
      <c r="AU32" s="1027" t="str">
        <f>IF(AR32="","",'#orgDung'!FG33)</f>
        <v/>
      </c>
      <c r="AV32" s="1025"/>
      <c r="AW32" s="1026" t="str">
        <f>IF(AV32="","",'#orgDung'!FS33)</f>
        <v/>
      </c>
      <c r="AX32" s="1026" t="str">
        <f>IF(AV32="","",'#orgDung'!FT33)</f>
        <v/>
      </c>
      <c r="AY32" s="1027" t="str">
        <f>IF(AV32="","",'#orgDung'!FV33)</f>
        <v/>
      </c>
      <c r="AZ32" s="1025"/>
      <c r="BA32" s="1026" t="str">
        <f>IF(AZ32="","",'#orgDung'!GH33)</f>
        <v/>
      </c>
      <c r="BB32" s="1026" t="str">
        <f>IF(AZ32="","",'#orgDung'!GI33)</f>
        <v/>
      </c>
      <c r="BC32" s="1027" t="str">
        <f>IF(AZ32="","",'#orgDung'!GK33)</f>
        <v/>
      </c>
      <c r="BD32" s="1025"/>
      <c r="BE32" s="1026" t="str">
        <f>IF(BD32="","",'#orgDung'!GW33)</f>
        <v/>
      </c>
      <c r="BF32" s="1026" t="str">
        <f>IF(BD32="","",'#orgDung'!GX33)</f>
        <v/>
      </c>
      <c r="BG32" s="1027" t="str">
        <f>IF(BD32="","",'#orgDung'!GZ33)</f>
        <v/>
      </c>
      <c r="BH32" s="1025"/>
      <c r="BI32" s="1026" t="str">
        <f>IF(BH32="","",'#orgDung'!HL33)</f>
        <v/>
      </c>
      <c r="BJ32" s="1026" t="str">
        <f>IF(BH32="","",'#orgDung'!HM33)</f>
        <v/>
      </c>
      <c r="BK32" s="1027" t="str">
        <f>IF(BH32="","",'#orgDung'!HO33)</f>
        <v/>
      </c>
      <c r="BL32" s="1025"/>
      <c r="BM32" s="1026" t="str">
        <f>IF(BL32="","",'#orgDung'!IA33)</f>
        <v/>
      </c>
      <c r="BN32" s="1026" t="str">
        <f>IF(BL32="","",'#orgDung'!IB33)</f>
        <v/>
      </c>
      <c r="BO32" s="1027" t="str">
        <f>IF(BL32="","",'#orgDung'!ID33)</f>
        <v/>
      </c>
      <c r="BP32" s="1025"/>
      <c r="BQ32" s="1026" t="str">
        <f>IF(BP32="","",'#orgDung'!IP33)</f>
        <v/>
      </c>
      <c r="BR32" s="1026" t="str">
        <f>IF(BP32="","",'#orgDung'!IQ33)</f>
        <v/>
      </c>
      <c r="BS32" s="1027" t="str">
        <f>IF(BP32="","",'#orgDung'!IS33)</f>
        <v/>
      </c>
      <c r="BT32" s="1025"/>
      <c r="BU32" s="1026" t="str">
        <f>IF(BT32="","",'#orgDung'!JE33)</f>
        <v/>
      </c>
      <c r="BV32" s="1026" t="str">
        <f>IF(BT32="","",'#orgDung'!JF33)</f>
        <v/>
      </c>
      <c r="BW32" s="1027" t="str">
        <f>IF(BT32="","",'#orgDung'!JH33)</f>
        <v/>
      </c>
      <c r="BX32" s="1025"/>
      <c r="BY32" s="1026" t="str">
        <f>IF(BX32="","",'#orgDung'!JT33)</f>
        <v/>
      </c>
      <c r="BZ32" s="1026" t="str">
        <f>IF(BX32="","",'#orgDung'!JU33)</f>
        <v/>
      </c>
      <c r="CA32" s="1027" t="str">
        <f>IF(BX32="","",'#orgDung'!JW33)</f>
        <v/>
      </c>
      <c r="CB32" s="1025"/>
      <c r="CC32" s="1026" t="str">
        <f>IF(CB32="","",'#orgDung'!KI33)</f>
        <v/>
      </c>
      <c r="CD32" s="1026" t="str">
        <f>IF(CB32="","",'#orgDung'!KJ33)</f>
        <v/>
      </c>
      <c r="CE32" s="1027" t="str">
        <f>IF(CB32="","",'#orgDung'!KL33)</f>
        <v/>
      </c>
      <c r="CF32" s="1025"/>
      <c r="CG32" s="1026" t="str">
        <f>IF(CF32="","",'#orgDung'!KX33)</f>
        <v/>
      </c>
      <c r="CH32" s="1026" t="str">
        <f>IF(CF32="","",'#orgDung'!KY33)</f>
        <v/>
      </c>
      <c r="CI32" s="1027" t="str">
        <f>IF(CF32="","",'#orgDung'!LA33)</f>
        <v/>
      </c>
      <c r="CJ32" s="1025"/>
      <c r="CK32" s="1026" t="str">
        <f>IF(CJ32="","",'#orgDung'!LM33)</f>
        <v/>
      </c>
      <c r="CL32" s="1026" t="str">
        <f>IF(CJ32="","",'#orgDung'!LN33)</f>
        <v/>
      </c>
      <c r="CM32" s="1027" t="str">
        <f>IF(CJ32="","",'#orgDung'!LP33)</f>
        <v/>
      </c>
      <c r="CN32" s="1025"/>
      <c r="CO32" s="1026" t="str">
        <f>IF(CN32="","",'#orgDung'!MB33)</f>
        <v/>
      </c>
      <c r="CP32" s="1026" t="str">
        <f>IF(CN32="","",'#orgDung'!MC33)</f>
        <v/>
      </c>
      <c r="CQ32" s="1027" t="str">
        <f>IF(CN32="","",'#orgDung'!ME33)</f>
        <v/>
      </c>
      <c r="CR32" s="1025"/>
      <c r="CS32" s="1026" t="str">
        <f>IF(CR32="","",'#orgDung'!MQ33)</f>
        <v/>
      </c>
      <c r="CT32" s="1026" t="str">
        <f>IF(CR32="","",'#orgDung'!MR33)</f>
        <v/>
      </c>
      <c r="CU32" s="1027" t="str">
        <f>IF(CR32="","",'#orgDung'!MT33)</f>
        <v/>
      </c>
      <c r="CV32" s="1025"/>
      <c r="CW32" s="1026" t="str">
        <f>IF(CV32="","",'#orgDung'!NF33)</f>
        <v/>
      </c>
      <c r="CX32" s="1026" t="str">
        <f>IF(CV32="","",'#orgDung'!NG33)</f>
        <v/>
      </c>
      <c r="CY32" s="1027" t="str">
        <f>IF(CV32="","",'#orgDung'!NI33)</f>
        <v/>
      </c>
      <c r="CZ32" s="1025"/>
      <c r="DA32" s="1026" t="str">
        <f>IF(CZ32="","",'#orgDung'!NU33)</f>
        <v/>
      </c>
      <c r="DB32" s="1026" t="str">
        <f>IF(CZ32="","",'#orgDung'!NV33)</f>
        <v/>
      </c>
      <c r="DC32" s="1027" t="str">
        <f>IF(CZ32="","",'#orgDung'!NX33)</f>
        <v/>
      </c>
      <c r="DD32" s="1025"/>
      <c r="DE32" s="1026" t="str">
        <f>IF(DD32="","",'#orgDung'!OJ33)</f>
        <v/>
      </c>
      <c r="DF32" s="1026" t="str">
        <f>IF(DD32="","",'#orgDung'!OK33)</f>
        <v/>
      </c>
      <c r="DG32" s="1027" t="str">
        <f>IF(DD32="","",'#orgDung'!OM33)</f>
        <v/>
      </c>
      <c r="DH32" s="1025"/>
      <c r="DI32" s="1026" t="str">
        <f>IF(DH32="","",'#orgDung'!OY33)</f>
        <v/>
      </c>
      <c r="DJ32" s="1026" t="str">
        <f>IF(DH32="","",'#orgDung'!OZ33)</f>
        <v/>
      </c>
      <c r="DK32" s="1027" t="str">
        <f>IF(DH32="","",'#orgDung'!PB33)</f>
        <v/>
      </c>
      <c r="DL32" s="1025"/>
      <c r="DM32" s="1026" t="str">
        <f>IF(DL32="","",'#orgDung'!PN33)</f>
        <v/>
      </c>
      <c r="DN32" s="1026" t="str">
        <f>IF(DL32="","",'#orgDung'!PO33)</f>
        <v/>
      </c>
      <c r="DO32" s="1027" t="str">
        <f>IF(DL32="","",'#orgDung'!PQ33)</f>
        <v/>
      </c>
      <c r="DP32" s="1025"/>
      <c r="DQ32" s="1026" t="str">
        <f>IF(DP32="","",'#orgDung'!QC33)</f>
        <v/>
      </c>
      <c r="DR32" s="1026" t="str">
        <f>IF(DP32="","",'#orgDung'!QD33)</f>
        <v/>
      </c>
      <c r="DS32" s="1027" t="str">
        <f>IF(DP32="","",'#orgDung'!QF33)</f>
        <v/>
      </c>
      <c r="DT32" s="1025"/>
      <c r="DU32" s="1026" t="str">
        <f>IF(DT32="","",'#orgDung'!QR33)</f>
        <v/>
      </c>
      <c r="DV32" s="1026" t="str">
        <f>IF(DT32="","",'#orgDung'!QS33)</f>
        <v/>
      </c>
      <c r="DW32" s="1027" t="str">
        <f>IF(DT32="","",'#orgDung'!QU33)</f>
        <v/>
      </c>
      <c r="DX32" s="1025"/>
      <c r="DY32" s="1026" t="str">
        <f>IF(DX32="","",'#orgDung'!RG33)</f>
        <v/>
      </c>
      <c r="DZ32" s="1026" t="str">
        <f>IF(DX32="","",'#orgDung'!RH33)</f>
        <v/>
      </c>
      <c r="EA32" s="1027" t="str">
        <f>IF(DX32="","",'#orgDung'!RJ33)</f>
        <v/>
      </c>
    </row>
    <row r="33" spans="1:131" ht="15" customHeight="1" x14ac:dyDescent="0.2">
      <c r="A33" s="1195">
        <f>'Flächen u. Kulturen'!A30</f>
        <v>21</v>
      </c>
      <c r="B33" s="1195" t="str">
        <f>IF('Flächen u. Kulturen'!B30="","",'Flächen u. Kulturen'!B30)</f>
        <v/>
      </c>
      <c r="C33" s="1196" t="str">
        <f>IF('Flächen u. Kulturen'!D30="","",'Flächen u. Kulturen'!D30)</f>
        <v/>
      </c>
      <c r="D33" s="1197" t="str">
        <f>IF(C33="","",IF('#BerechnungDBE'!Q25&lt;4,"x",""))</f>
        <v/>
      </c>
      <c r="E33" s="1198" t="str">
        <f>IF(C33="","",VLOOKUP('Flächen u. Kulturen'!L30,'#Zweitfr'!$D$8:$F$28,'#Zweitfr'!$F$1,FALSE))</f>
        <v/>
      </c>
      <c r="F33" s="1199" t="str">
        <f>IF(C33="","",IF('Flächen u. Kulturen'!E30="x",'Flächen u. Kulturen'!P30,"nicht im Betrieb"))</f>
        <v/>
      </c>
      <c r="G33" s="1200" t="str">
        <f>IF(C33="","",IF('#orgDung'!C34=2,"--",IF('#Kürzungen'!$F$2=2,"--",'#orgDung'!R34)))</f>
        <v/>
      </c>
      <c r="H33" s="1200" t="str">
        <f>IF(C33="","",'#orgDung'!U34)</f>
        <v/>
      </c>
      <c r="I33" s="1201" t="str">
        <f>IF(C33="","",IF(COUNT('#orgDung'!RS34:SA34)=0,"OK",TRIM(CONCATENATE('#orgDung'!RS34," ",'#orgDung'!RT34," ",'#orgDung'!RU34," ",'#orgDung'!RV34," ",'#orgDung'!RW34," ",'#orgDung'!RX34," ",'#orgDung'!RY34," ",'#orgDung'!RZ34," ",'#orgDung'!SA34))))</f>
        <v/>
      </c>
      <c r="J33" s="1023"/>
      <c r="K33" s="1024"/>
      <c r="L33" s="1025"/>
      <c r="M33" s="1026" t="str">
        <f>IF(L33="","",'#orgDung'!AN34)</f>
        <v/>
      </c>
      <c r="N33" s="1026" t="str">
        <f>IF(L33="","",'#orgDung'!AO34)</f>
        <v/>
      </c>
      <c r="O33" s="1027" t="str">
        <f>IF(L33="","",'#orgDung'!AQ34)</f>
        <v/>
      </c>
      <c r="P33" s="1025"/>
      <c r="Q33" s="1026" t="str">
        <f>IF(P33="","",'#orgDung'!BC34)</f>
        <v/>
      </c>
      <c r="R33" s="1026" t="str">
        <f>IF(P33="","",'#orgDung'!BD34)</f>
        <v/>
      </c>
      <c r="S33" s="1027" t="str">
        <f>IF(P33="","",'#orgDung'!BF34)</f>
        <v/>
      </c>
      <c r="T33" s="1025"/>
      <c r="U33" s="1026" t="str">
        <f>IF(T33="","",'#orgDung'!BR34)</f>
        <v/>
      </c>
      <c r="V33" s="1026" t="str">
        <f>IF(T33="","",'#orgDung'!BS34)</f>
        <v/>
      </c>
      <c r="W33" s="1027" t="str">
        <f>IF(T33="","",'#orgDung'!BU34)</f>
        <v/>
      </c>
      <c r="X33" s="1025"/>
      <c r="Y33" s="1026" t="str">
        <f>IF(X33="","",'#orgDung'!CG34)</f>
        <v/>
      </c>
      <c r="Z33" s="1026" t="str">
        <f>IF(X33="","",'#orgDung'!CH34)</f>
        <v/>
      </c>
      <c r="AA33" s="1027" t="str">
        <f>IF(X33="","",'#orgDung'!CJ34)</f>
        <v/>
      </c>
      <c r="AB33" s="1025"/>
      <c r="AC33" s="1026" t="str">
        <f>IF(AB33="","",'#orgDung'!CV34)</f>
        <v/>
      </c>
      <c r="AD33" s="1026" t="str">
        <f>IF(AB33="","",'#orgDung'!CW34)</f>
        <v/>
      </c>
      <c r="AE33" s="1027" t="str">
        <f>IF(AB33="","",'#orgDung'!CY34)</f>
        <v/>
      </c>
      <c r="AF33" s="1025"/>
      <c r="AG33" s="1026" t="str">
        <f>IF(AF33="","",'#orgDung'!DK34)</f>
        <v/>
      </c>
      <c r="AH33" s="1026" t="str">
        <f>IF(AF33="","",'#orgDung'!DL34)</f>
        <v/>
      </c>
      <c r="AI33" s="1027" t="str">
        <f>IF(AF33="","",'#orgDung'!DN34)</f>
        <v/>
      </c>
      <c r="AJ33" s="1025"/>
      <c r="AK33" s="1026" t="str">
        <f>IF(AJ33="","",'#orgDung'!DZ34)</f>
        <v/>
      </c>
      <c r="AL33" s="1026" t="str">
        <f>IF(AJ33="","",'#orgDung'!EA34)</f>
        <v/>
      </c>
      <c r="AM33" s="1027" t="str">
        <f>IF(AJ33="","",'#orgDung'!EC34)</f>
        <v/>
      </c>
      <c r="AN33" s="1025"/>
      <c r="AO33" s="1026" t="str">
        <f>IF(AN33="","",'#orgDung'!EO34)</f>
        <v/>
      </c>
      <c r="AP33" s="1026" t="str">
        <f>IF(AN33="","",'#orgDung'!EP34)</f>
        <v/>
      </c>
      <c r="AQ33" s="1027" t="str">
        <f>IF(AN33="","",'#orgDung'!ER34)</f>
        <v/>
      </c>
      <c r="AR33" s="1025"/>
      <c r="AS33" s="1026" t="str">
        <f>IF(AR33="","",'#orgDung'!FD34)</f>
        <v/>
      </c>
      <c r="AT33" s="1026" t="str">
        <f>IF(AR33="","",'#orgDung'!FE34)</f>
        <v/>
      </c>
      <c r="AU33" s="1027" t="str">
        <f>IF(AR33="","",'#orgDung'!FG34)</f>
        <v/>
      </c>
      <c r="AV33" s="1025"/>
      <c r="AW33" s="1026" t="str">
        <f>IF(AV33="","",'#orgDung'!FS34)</f>
        <v/>
      </c>
      <c r="AX33" s="1026" t="str">
        <f>IF(AV33="","",'#orgDung'!FT34)</f>
        <v/>
      </c>
      <c r="AY33" s="1027" t="str">
        <f>IF(AV33="","",'#orgDung'!FV34)</f>
        <v/>
      </c>
      <c r="AZ33" s="1025"/>
      <c r="BA33" s="1026" t="str">
        <f>IF(AZ33="","",'#orgDung'!GH34)</f>
        <v/>
      </c>
      <c r="BB33" s="1026" t="str">
        <f>IF(AZ33="","",'#orgDung'!GI34)</f>
        <v/>
      </c>
      <c r="BC33" s="1027" t="str">
        <f>IF(AZ33="","",'#orgDung'!GK34)</f>
        <v/>
      </c>
      <c r="BD33" s="1025"/>
      <c r="BE33" s="1026" t="str">
        <f>IF(BD33="","",'#orgDung'!GW34)</f>
        <v/>
      </c>
      <c r="BF33" s="1026" t="str">
        <f>IF(BD33="","",'#orgDung'!GX34)</f>
        <v/>
      </c>
      <c r="BG33" s="1027" t="str">
        <f>IF(BD33="","",'#orgDung'!GZ34)</f>
        <v/>
      </c>
      <c r="BH33" s="1025"/>
      <c r="BI33" s="1026" t="str">
        <f>IF(BH33="","",'#orgDung'!HL34)</f>
        <v/>
      </c>
      <c r="BJ33" s="1026" t="str">
        <f>IF(BH33="","",'#orgDung'!HM34)</f>
        <v/>
      </c>
      <c r="BK33" s="1027" t="str">
        <f>IF(BH33="","",'#orgDung'!HO34)</f>
        <v/>
      </c>
      <c r="BL33" s="1025"/>
      <c r="BM33" s="1026" t="str">
        <f>IF(BL33="","",'#orgDung'!IA34)</f>
        <v/>
      </c>
      <c r="BN33" s="1026" t="str">
        <f>IF(BL33="","",'#orgDung'!IB34)</f>
        <v/>
      </c>
      <c r="BO33" s="1027" t="str">
        <f>IF(BL33="","",'#orgDung'!ID34)</f>
        <v/>
      </c>
      <c r="BP33" s="1025"/>
      <c r="BQ33" s="1026" t="str">
        <f>IF(BP33="","",'#orgDung'!IP34)</f>
        <v/>
      </c>
      <c r="BR33" s="1026" t="str">
        <f>IF(BP33="","",'#orgDung'!IQ34)</f>
        <v/>
      </c>
      <c r="BS33" s="1027" t="str">
        <f>IF(BP33="","",'#orgDung'!IS34)</f>
        <v/>
      </c>
      <c r="BT33" s="1025"/>
      <c r="BU33" s="1026" t="str">
        <f>IF(BT33="","",'#orgDung'!JE34)</f>
        <v/>
      </c>
      <c r="BV33" s="1026" t="str">
        <f>IF(BT33="","",'#orgDung'!JF34)</f>
        <v/>
      </c>
      <c r="BW33" s="1027" t="str">
        <f>IF(BT33="","",'#orgDung'!JH34)</f>
        <v/>
      </c>
      <c r="BX33" s="1025"/>
      <c r="BY33" s="1026" t="str">
        <f>IF(BX33="","",'#orgDung'!JT34)</f>
        <v/>
      </c>
      <c r="BZ33" s="1026" t="str">
        <f>IF(BX33="","",'#orgDung'!JU34)</f>
        <v/>
      </c>
      <c r="CA33" s="1027" t="str">
        <f>IF(BX33="","",'#orgDung'!JW34)</f>
        <v/>
      </c>
      <c r="CB33" s="1025"/>
      <c r="CC33" s="1026" t="str">
        <f>IF(CB33="","",'#orgDung'!KI34)</f>
        <v/>
      </c>
      <c r="CD33" s="1026" t="str">
        <f>IF(CB33="","",'#orgDung'!KJ34)</f>
        <v/>
      </c>
      <c r="CE33" s="1027" t="str">
        <f>IF(CB33="","",'#orgDung'!KL34)</f>
        <v/>
      </c>
      <c r="CF33" s="1025"/>
      <c r="CG33" s="1026" t="str">
        <f>IF(CF33="","",'#orgDung'!KX34)</f>
        <v/>
      </c>
      <c r="CH33" s="1026" t="str">
        <f>IF(CF33="","",'#orgDung'!KY34)</f>
        <v/>
      </c>
      <c r="CI33" s="1027" t="str">
        <f>IF(CF33="","",'#orgDung'!LA34)</f>
        <v/>
      </c>
      <c r="CJ33" s="1025"/>
      <c r="CK33" s="1026" t="str">
        <f>IF(CJ33="","",'#orgDung'!LM34)</f>
        <v/>
      </c>
      <c r="CL33" s="1026" t="str">
        <f>IF(CJ33="","",'#orgDung'!LN34)</f>
        <v/>
      </c>
      <c r="CM33" s="1027" t="str">
        <f>IF(CJ33="","",'#orgDung'!LP34)</f>
        <v/>
      </c>
      <c r="CN33" s="1025"/>
      <c r="CO33" s="1026" t="str">
        <f>IF(CN33="","",'#orgDung'!MB34)</f>
        <v/>
      </c>
      <c r="CP33" s="1026" t="str">
        <f>IF(CN33="","",'#orgDung'!MC34)</f>
        <v/>
      </c>
      <c r="CQ33" s="1027" t="str">
        <f>IF(CN33="","",'#orgDung'!ME34)</f>
        <v/>
      </c>
      <c r="CR33" s="1025"/>
      <c r="CS33" s="1026" t="str">
        <f>IF(CR33="","",'#orgDung'!MQ34)</f>
        <v/>
      </c>
      <c r="CT33" s="1026" t="str">
        <f>IF(CR33="","",'#orgDung'!MR34)</f>
        <v/>
      </c>
      <c r="CU33" s="1027" t="str">
        <f>IF(CR33="","",'#orgDung'!MT34)</f>
        <v/>
      </c>
      <c r="CV33" s="1025"/>
      <c r="CW33" s="1026" t="str">
        <f>IF(CV33="","",'#orgDung'!NF34)</f>
        <v/>
      </c>
      <c r="CX33" s="1026" t="str">
        <f>IF(CV33="","",'#orgDung'!NG34)</f>
        <v/>
      </c>
      <c r="CY33" s="1027" t="str">
        <f>IF(CV33="","",'#orgDung'!NI34)</f>
        <v/>
      </c>
      <c r="CZ33" s="1025"/>
      <c r="DA33" s="1026" t="str">
        <f>IF(CZ33="","",'#orgDung'!NU34)</f>
        <v/>
      </c>
      <c r="DB33" s="1026" t="str">
        <f>IF(CZ33="","",'#orgDung'!NV34)</f>
        <v/>
      </c>
      <c r="DC33" s="1027" t="str">
        <f>IF(CZ33="","",'#orgDung'!NX34)</f>
        <v/>
      </c>
      <c r="DD33" s="1025"/>
      <c r="DE33" s="1026" t="str">
        <f>IF(DD33="","",'#orgDung'!OJ34)</f>
        <v/>
      </c>
      <c r="DF33" s="1026" t="str">
        <f>IF(DD33="","",'#orgDung'!OK34)</f>
        <v/>
      </c>
      <c r="DG33" s="1027" t="str">
        <f>IF(DD33="","",'#orgDung'!OM34)</f>
        <v/>
      </c>
      <c r="DH33" s="1025"/>
      <c r="DI33" s="1026" t="str">
        <f>IF(DH33="","",'#orgDung'!OY34)</f>
        <v/>
      </c>
      <c r="DJ33" s="1026" t="str">
        <f>IF(DH33="","",'#orgDung'!OZ34)</f>
        <v/>
      </c>
      <c r="DK33" s="1027" t="str">
        <f>IF(DH33="","",'#orgDung'!PB34)</f>
        <v/>
      </c>
      <c r="DL33" s="1025"/>
      <c r="DM33" s="1026" t="str">
        <f>IF(DL33="","",'#orgDung'!PN34)</f>
        <v/>
      </c>
      <c r="DN33" s="1026" t="str">
        <f>IF(DL33="","",'#orgDung'!PO34)</f>
        <v/>
      </c>
      <c r="DO33" s="1027" t="str">
        <f>IF(DL33="","",'#orgDung'!PQ34)</f>
        <v/>
      </c>
      <c r="DP33" s="1025"/>
      <c r="DQ33" s="1026" t="str">
        <f>IF(DP33="","",'#orgDung'!QC34)</f>
        <v/>
      </c>
      <c r="DR33" s="1026" t="str">
        <f>IF(DP33="","",'#orgDung'!QD34)</f>
        <v/>
      </c>
      <c r="DS33" s="1027" t="str">
        <f>IF(DP33="","",'#orgDung'!QF34)</f>
        <v/>
      </c>
      <c r="DT33" s="1025"/>
      <c r="DU33" s="1026" t="str">
        <f>IF(DT33="","",'#orgDung'!QR34)</f>
        <v/>
      </c>
      <c r="DV33" s="1026" t="str">
        <f>IF(DT33="","",'#orgDung'!QS34)</f>
        <v/>
      </c>
      <c r="DW33" s="1027" t="str">
        <f>IF(DT33="","",'#orgDung'!QU34)</f>
        <v/>
      </c>
      <c r="DX33" s="1025"/>
      <c r="DY33" s="1026" t="str">
        <f>IF(DX33="","",'#orgDung'!RG34)</f>
        <v/>
      </c>
      <c r="DZ33" s="1026" t="str">
        <f>IF(DX33="","",'#orgDung'!RH34)</f>
        <v/>
      </c>
      <c r="EA33" s="1027" t="str">
        <f>IF(DX33="","",'#orgDung'!RJ34)</f>
        <v/>
      </c>
    </row>
    <row r="34" spans="1:131" ht="15" customHeight="1" x14ac:dyDescent="0.2">
      <c r="A34" s="1195">
        <f>'Flächen u. Kulturen'!A31</f>
        <v>22</v>
      </c>
      <c r="B34" s="1195" t="str">
        <f>IF('Flächen u. Kulturen'!B31="","",'Flächen u. Kulturen'!B31)</f>
        <v/>
      </c>
      <c r="C34" s="1196" t="str">
        <f>IF('Flächen u. Kulturen'!D31="","",'Flächen u. Kulturen'!D31)</f>
        <v/>
      </c>
      <c r="D34" s="1197" t="str">
        <f>IF(C34="","",IF('#BerechnungDBE'!Q26&lt;4,"x",""))</f>
        <v/>
      </c>
      <c r="E34" s="1198" t="str">
        <f>IF(C34="","",VLOOKUP('Flächen u. Kulturen'!L31,'#Zweitfr'!$D$8:$F$28,'#Zweitfr'!$F$1,FALSE))</f>
        <v/>
      </c>
      <c r="F34" s="1199" t="str">
        <f>IF(C34="","",IF('Flächen u. Kulturen'!E31="x",'Flächen u. Kulturen'!P31,"nicht im Betrieb"))</f>
        <v/>
      </c>
      <c r="G34" s="1200" t="str">
        <f>IF(C34="","",IF('#orgDung'!C35=2,"--",IF('#Kürzungen'!$F$2=2,"--",'#orgDung'!R35)))</f>
        <v/>
      </c>
      <c r="H34" s="1200" t="str">
        <f>IF(C34="","",'#orgDung'!U35)</f>
        <v/>
      </c>
      <c r="I34" s="1201" t="str">
        <f>IF(C34="","",IF(COUNT('#orgDung'!RS35:SA35)=0,"OK",TRIM(CONCATENATE('#orgDung'!RS35," ",'#orgDung'!RT35," ",'#orgDung'!RU35," ",'#orgDung'!RV35," ",'#orgDung'!RW35," ",'#orgDung'!RX35," ",'#orgDung'!RY35," ",'#orgDung'!RZ35," ",'#orgDung'!SA35))))</f>
        <v/>
      </c>
      <c r="J34" s="1023"/>
      <c r="K34" s="1024"/>
      <c r="L34" s="1025"/>
      <c r="M34" s="1026" t="str">
        <f>IF(L34="","",'#orgDung'!AN35)</f>
        <v/>
      </c>
      <c r="N34" s="1026" t="str">
        <f>IF(L34="","",'#orgDung'!AO35)</f>
        <v/>
      </c>
      <c r="O34" s="1027" t="str">
        <f>IF(L34="","",'#orgDung'!AQ35)</f>
        <v/>
      </c>
      <c r="P34" s="1025"/>
      <c r="Q34" s="1026" t="str">
        <f>IF(P34="","",'#orgDung'!BC35)</f>
        <v/>
      </c>
      <c r="R34" s="1026" t="str">
        <f>IF(P34="","",'#orgDung'!BD35)</f>
        <v/>
      </c>
      <c r="S34" s="1027" t="str">
        <f>IF(P34="","",'#orgDung'!BF35)</f>
        <v/>
      </c>
      <c r="T34" s="1025"/>
      <c r="U34" s="1026" t="str">
        <f>IF(T34="","",'#orgDung'!BR35)</f>
        <v/>
      </c>
      <c r="V34" s="1026" t="str">
        <f>IF(T34="","",'#orgDung'!BS35)</f>
        <v/>
      </c>
      <c r="W34" s="1027" t="str">
        <f>IF(T34="","",'#orgDung'!BU35)</f>
        <v/>
      </c>
      <c r="X34" s="1025"/>
      <c r="Y34" s="1026" t="str">
        <f>IF(X34="","",'#orgDung'!CG35)</f>
        <v/>
      </c>
      <c r="Z34" s="1026" t="str">
        <f>IF(X34="","",'#orgDung'!CH35)</f>
        <v/>
      </c>
      <c r="AA34" s="1027" t="str">
        <f>IF(X34="","",'#orgDung'!CJ35)</f>
        <v/>
      </c>
      <c r="AB34" s="1025"/>
      <c r="AC34" s="1026" t="str">
        <f>IF(AB34="","",'#orgDung'!CV35)</f>
        <v/>
      </c>
      <c r="AD34" s="1026" t="str">
        <f>IF(AB34="","",'#orgDung'!CW35)</f>
        <v/>
      </c>
      <c r="AE34" s="1027" t="str">
        <f>IF(AB34="","",'#orgDung'!CY35)</f>
        <v/>
      </c>
      <c r="AF34" s="1025"/>
      <c r="AG34" s="1026" t="str">
        <f>IF(AF34="","",'#orgDung'!DK35)</f>
        <v/>
      </c>
      <c r="AH34" s="1026" t="str">
        <f>IF(AF34="","",'#orgDung'!DL35)</f>
        <v/>
      </c>
      <c r="AI34" s="1027" t="str">
        <f>IF(AF34="","",'#orgDung'!DN35)</f>
        <v/>
      </c>
      <c r="AJ34" s="1025"/>
      <c r="AK34" s="1026" t="str">
        <f>IF(AJ34="","",'#orgDung'!DZ35)</f>
        <v/>
      </c>
      <c r="AL34" s="1026" t="str">
        <f>IF(AJ34="","",'#orgDung'!EA35)</f>
        <v/>
      </c>
      <c r="AM34" s="1027" t="str">
        <f>IF(AJ34="","",'#orgDung'!EC35)</f>
        <v/>
      </c>
      <c r="AN34" s="1025"/>
      <c r="AO34" s="1026" t="str">
        <f>IF(AN34="","",'#orgDung'!EO35)</f>
        <v/>
      </c>
      <c r="AP34" s="1026" t="str">
        <f>IF(AN34="","",'#orgDung'!EP35)</f>
        <v/>
      </c>
      <c r="AQ34" s="1027" t="str">
        <f>IF(AN34="","",'#orgDung'!ER35)</f>
        <v/>
      </c>
      <c r="AR34" s="1025"/>
      <c r="AS34" s="1026" t="str">
        <f>IF(AR34="","",'#orgDung'!FD35)</f>
        <v/>
      </c>
      <c r="AT34" s="1026" t="str">
        <f>IF(AR34="","",'#orgDung'!FE35)</f>
        <v/>
      </c>
      <c r="AU34" s="1027" t="str">
        <f>IF(AR34="","",'#orgDung'!FG35)</f>
        <v/>
      </c>
      <c r="AV34" s="1025"/>
      <c r="AW34" s="1026" t="str">
        <f>IF(AV34="","",'#orgDung'!FS35)</f>
        <v/>
      </c>
      <c r="AX34" s="1026" t="str">
        <f>IF(AV34="","",'#orgDung'!FT35)</f>
        <v/>
      </c>
      <c r="AY34" s="1027" t="str">
        <f>IF(AV34="","",'#orgDung'!FV35)</f>
        <v/>
      </c>
      <c r="AZ34" s="1025"/>
      <c r="BA34" s="1026" t="str">
        <f>IF(AZ34="","",'#orgDung'!GH35)</f>
        <v/>
      </c>
      <c r="BB34" s="1026" t="str">
        <f>IF(AZ34="","",'#orgDung'!GI35)</f>
        <v/>
      </c>
      <c r="BC34" s="1027" t="str">
        <f>IF(AZ34="","",'#orgDung'!GK35)</f>
        <v/>
      </c>
      <c r="BD34" s="1025"/>
      <c r="BE34" s="1026" t="str">
        <f>IF(BD34="","",'#orgDung'!GW35)</f>
        <v/>
      </c>
      <c r="BF34" s="1026" t="str">
        <f>IF(BD34="","",'#orgDung'!GX35)</f>
        <v/>
      </c>
      <c r="BG34" s="1027" t="str">
        <f>IF(BD34="","",'#orgDung'!GZ35)</f>
        <v/>
      </c>
      <c r="BH34" s="1025"/>
      <c r="BI34" s="1026" t="str">
        <f>IF(BH34="","",'#orgDung'!HL35)</f>
        <v/>
      </c>
      <c r="BJ34" s="1026" t="str">
        <f>IF(BH34="","",'#orgDung'!HM35)</f>
        <v/>
      </c>
      <c r="BK34" s="1027" t="str">
        <f>IF(BH34="","",'#orgDung'!HO35)</f>
        <v/>
      </c>
      <c r="BL34" s="1025"/>
      <c r="BM34" s="1026" t="str">
        <f>IF(BL34="","",'#orgDung'!IA35)</f>
        <v/>
      </c>
      <c r="BN34" s="1026" t="str">
        <f>IF(BL34="","",'#orgDung'!IB35)</f>
        <v/>
      </c>
      <c r="BO34" s="1027" t="str">
        <f>IF(BL34="","",'#orgDung'!ID35)</f>
        <v/>
      </c>
      <c r="BP34" s="1025"/>
      <c r="BQ34" s="1026" t="str">
        <f>IF(BP34="","",'#orgDung'!IP35)</f>
        <v/>
      </c>
      <c r="BR34" s="1026" t="str">
        <f>IF(BP34="","",'#orgDung'!IQ35)</f>
        <v/>
      </c>
      <c r="BS34" s="1027" t="str">
        <f>IF(BP34="","",'#orgDung'!IS35)</f>
        <v/>
      </c>
      <c r="BT34" s="1025"/>
      <c r="BU34" s="1026" t="str">
        <f>IF(BT34="","",'#orgDung'!JE35)</f>
        <v/>
      </c>
      <c r="BV34" s="1026" t="str">
        <f>IF(BT34="","",'#orgDung'!JF35)</f>
        <v/>
      </c>
      <c r="BW34" s="1027" t="str">
        <f>IF(BT34="","",'#orgDung'!JH35)</f>
        <v/>
      </c>
      <c r="BX34" s="1025"/>
      <c r="BY34" s="1026" t="str">
        <f>IF(BX34="","",'#orgDung'!JT35)</f>
        <v/>
      </c>
      <c r="BZ34" s="1026" t="str">
        <f>IF(BX34="","",'#orgDung'!JU35)</f>
        <v/>
      </c>
      <c r="CA34" s="1027" t="str">
        <f>IF(BX34="","",'#orgDung'!JW35)</f>
        <v/>
      </c>
      <c r="CB34" s="1025"/>
      <c r="CC34" s="1026" t="str">
        <f>IF(CB34="","",'#orgDung'!KI35)</f>
        <v/>
      </c>
      <c r="CD34" s="1026" t="str">
        <f>IF(CB34="","",'#orgDung'!KJ35)</f>
        <v/>
      </c>
      <c r="CE34" s="1027" t="str">
        <f>IF(CB34="","",'#orgDung'!KL35)</f>
        <v/>
      </c>
      <c r="CF34" s="1025"/>
      <c r="CG34" s="1026" t="str">
        <f>IF(CF34="","",'#orgDung'!KX35)</f>
        <v/>
      </c>
      <c r="CH34" s="1026" t="str">
        <f>IF(CF34="","",'#orgDung'!KY35)</f>
        <v/>
      </c>
      <c r="CI34" s="1027" t="str">
        <f>IF(CF34="","",'#orgDung'!LA35)</f>
        <v/>
      </c>
      <c r="CJ34" s="1025"/>
      <c r="CK34" s="1026" t="str">
        <f>IF(CJ34="","",'#orgDung'!LM35)</f>
        <v/>
      </c>
      <c r="CL34" s="1026" t="str">
        <f>IF(CJ34="","",'#orgDung'!LN35)</f>
        <v/>
      </c>
      <c r="CM34" s="1027" t="str">
        <f>IF(CJ34="","",'#orgDung'!LP35)</f>
        <v/>
      </c>
      <c r="CN34" s="1025"/>
      <c r="CO34" s="1026" t="str">
        <f>IF(CN34="","",'#orgDung'!MB35)</f>
        <v/>
      </c>
      <c r="CP34" s="1026" t="str">
        <f>IF(CN34="","",'#orgDung'!MC35)</f>
        <v/>
      </c>
      <c r="CQ34" s="1027" t="str">
        <f>IF(CN34="","",'#orgDung'!ME35)</f>
        <v/>
      </c>
      <c r="CR34" s="1025"/>
      <c r="CS34" s="1026" t="str">
        <f>IF(CR34="","",'#orgDung'!MQ35)</f>
        <v/>
      </c>
      <c r="CT34" s="1026" t="str">
        <f>IF(CR34="","",'#orgDung'!MR35)</f>
        <v/>
      </c>
      <c r="CU34" s="1027" t="str">
        <f>IF(CR34="","",'#orgDung'!MT35)</f>
        <v/>
      </c>
      <c r="CV34" s="1025"/>
      <c r="CW34" s="1026" t="str">
        <f>IF(CV34="","",'#orgDung'!NF35)</f>
        <v/>
      </c>
      <c r="CX34" s="1026" t="str">
        <f>IF(CV34="","",'#orgDung'!NG35)</f>
        <v/>
      </c>
      <c r="CY34" s="1027" t="str">
        <f>IF(CV34="","",'#orgDung'!NI35)</f>
        <v/>
      </c>
      <c r="CZ34" s="1025"/>
      <c r="DA34" s="1026" t="str">
        <f>IF(CZ34="","",'#orgDung'!NU35)</f>
        <v/>
      </c>
      <c r="DB34" s="1026" t="str">
        <f>IF(CZ34="","",'#orgDung'!NV35)</f>
        <v/>
      </c>
      <c r="DC34" s="1027" t="str">
        <f>IF(CZ34="","",'#orgDung'!NX35)</f>
        <v/>
      </c>
      <c r="DD34" s="1025"/>
      <c r="DE34" s="1026" t="str">
        <f>IF(DD34="","",'#orgDung'!OJ35)</f>
        <v/>
      </c>
      <c r="DF34" s="1026" t="str">
        <f>IF(DD34="","",'#orgDung'!OK35)</f>
        <v/>
      </c>
      <c r="DG34" s="1027" t="str">
        <f>IF(DD34="","",'#orgDung'!OM35)</f>
        <v/>
      </c>
      <c r="DH34" s="1025"/>
      <c r="DI34" s="1026" t="str">
        <f>IF(DH34="","",'#orgDung'!OY35)</f>
        <v/>
      </c>
      <c r="DJ34" s="1026" t="str">
        <f>IF(DH34="","",'#orgDung'!OZ35)</f>
        <v/>
      </c>
      <c r="DK34" s="1027" t="str">
        <f>IF(DH34="","",'#orgDung'!PB35)</f>
        <v/>
      </c>
      <c r="DL34" s="1025"/>
      <c r="DM34" s="1026" t="str">
        <f>IF(DL34="","",'#orgDung'!PN35)</f>
        <v/>
      </c>
      <c r="DN34" s="1026" t="str">
        <f>IF(DL34="","",'#orgDung'!PO35)</f>
        <v/>
      </c>
      <c r="DO34" s="1027" t="str">
        <f>IF(DL34="","",'#orgDung'!PQ35)</f>
        <v/>
      </c>
      <c r="DP34" s="1025"/>
      <c r="DQ34" s="1026" t="str">
        <f>IF(DP34="","",'#orgDung'!QC35)</f>
        <v/>
      </c>
      <c r="DR34" s="1026" t="str">
        <f>IF(DP34="","",'#orgDung'!QD35)</f>
        <v/>
      </c>
      <c r="DS34" s="1027" t="str">
        <f>IF(DP34="","",'#orgDung'!QF35)</f>
        <v/>
      </c>
      <c r="DT34" s="1025"/>
      <c r="DU34" s="1026" t="str">
        <f>IF(DT34="","",'#orgDung'!QR35)</f>
        <v/>
      </c>
      <c r="DV34" s="1026" t="str">
        <f>IF(DT34="","",'#orgDung'!QS35)</f>
        <v/>
      </c>
      <c r="DW34" s="1027" t="str">
        <f>IF(DT34="","",'#orgDung'!QU35)</f>
        <v/>
      </c>
      <c r="DX34" s="1025"/>
      <c r="DY34" s="1026" t="str">
        <f>IF(DX34="","",'#orgDung'!RG35)</f>
        <v/>
      </c>
      <c r="DZ34" s="1026" t="str">
        <f>IF(DX34="","",'#orgDung'!RH35)</f>
        <v/>
      </c>
      <c r="EA34" s="1027" t="str">
        <f>IF(DX34="","",'#orgDung'!RJ35)</f>
        <v/>
      </c>
    </row>
    <row r="35" spans="1:131" ht="15" customHeight="1" x14ac:dyDescent="0.2">
      <c r="A35" s="1195">
        <f>'Flächen u. Kulturen'!A32</f>
        <v>23</v>
      </c>
      <c r="B35" s="1195" t="str">
        <f>IF('Flächen u. Kulturen'!B32="","",'Flächen u. Kulturen'!B32)</f>
        <v/>
      </c>
      <c r="C35" s="1196" t="str">
        <f>IF('Flächen u. Kulturen'!D32="","",'Flächen u. Kulturen'!D32)</f>
        <v/>
      </c>
      <c r="D35" s="1197" t="str">
        <f>IF(C35="","",IF('#BerechnungDBE'!Q27&lt;4,"x",""))</f>
        <v/>
      </c>
      <c r="E35" s="1198" t="str">
        <f>IF(C35="","",VLOOKUP('Flächen u. Kulturen'!L32,'#Zweitfr'!$D$8:$F$28,'#Zweitfr'!$F$1,FALSE))</f>
        <v/>
      </c>
      <c r="F35" s="1199" t="str">
        <f>IF(C35="","",IF('Flächen u. Kulturen'!E32="x",'Flächen u. Kulturen'!P32,"nicht im Betrieb"))</f>
        <v/>
      </c>
      <c r="G35" s="1200" t="str">
        <f>IF(C35="","",IF('#orgDung'!C36=2,"--",IF('#Kürzungen'!$F$2=2,"--",'#orgDung'!R36)))</f>
        <v/>
      </c>
      <c r="H35" s="1200" t="str">
        <f>IF(C35="","",'#orgDung'!U36)</f>
        <v/>
      </c>
      <c r="I35" s="1201" t="str">
        <f>IF(C35="","",IF(COUNT('#orgDung'!RS36:SA36)=0,"OK",TRIM(CONCATENATE('#orgDung'!RS36," ",'#orgDung'!RT36," ",'#orgDung'!RU36," ",'#orgDung'!RV36," ",'#orgDung'!RW36," ",'#orgDung'!RX36," ",'#orgDung'!RY36," ",'#orgDung'!RZ36," ",'#orgDung'!SA36))))</f>
        <v/>
      </c>
      <c r="J35" s="1023"/>
      <c r="K35" s="1024"/>
      <c r="L35" s="1025"/>
      <c r="M35" s="1026" t="str">
        <f>IF(L35="","",'#orgDung'!AN36)</f>
        <v/>
      </c>
      <c r="N35" s="1026" t="str">
        <f>IF(L35="","",'#orgDung'!AO36)</f>
        <v/>
      </c>
      <c r="O35" s="1027" t="str">
        <f>IF(L35="","",'#orgDung'!AQ36)</f>
        <v/>
      </c>
      <c r="P35" s="1025"/>
      <c r="Q35" s="1026" t="str">
        <f>IF(P35="","",'#orgDung'!BC36)</f>
        <v/>
      </c>
      <c r="R35" s="1026" t="str">
        <f>IF(P35="","",'#orgDung'!BD36)</f>
        <v/>
      </c>
      <c r="S35" s="1027" t="str">
        <f>IF(P35="","",'#orgDung'!BF36)</f>
        <v/>
      </c>
      <c r="T35" s="1025"/>
      <c r="U35" s="1026" t="str">
        <f>IF(T35="","",'#orgDung'!BR36)</f>
        <v/>
      </c>
      <c r="V35" s="1026" t="str">
        <f>IF(T35="","",'#orgDung'!BS36)</f>
        <v/>
      </c>
      <c r="W35" s="1027" t="str">
        <f>IF(T35="","",'#orgDung'!BU36)</f>
        <v/>
      </c>
      <c r="X35" s="1025"/>
      <c r="Y35" s="1026" t="str">
        <f>IF(X35="","",'#orgDung'!CG36)</f>
        <v/>
      </c>
      <c r="Z35" s="1026" t="str">
        <f>IF(X35="","",'#orgDung'!CH36)</f>
        <v/>
      </c>
      <c r="AA35" s="1027" t="str">
        <f>IF(X35="","",'#orgDung'!CJ36)</f>
        <v/>
      </c>
      <c r="AB35" s="1025"/>
      <c r="AC35" s="1026" t="str">
        <f>IF(AB35="","",'#orgDung'!CV36)</f>
        <v/>
      </c>
      <c r="AD35" s="1026" t="str">
        <f>IF(AB35="","",'#orgDung'!CW36)</f>
        <v/>
      </c>
      <c r="AE35" s="1027" t="str">
        <f>IF(AB35="","",'#orgDung'!CY36)</f>
        <v/>
      </c>
      <c r="AF35" s="1025"/>
      <c r="AG35" s="1026" t="str">
        <f>IF(AF35="","",'#orgDung'!DK36)</f>
        <v/>
      </c>
      <c r="AH35" s="1026" t="str">
        <f>IF(AF35="","",'#orgDung'!DL36)</f>
        <v/>
      </c>
      <c r="AI35" s="1027" t="str">
        <f>IF(AF35="","",'#orgDung'!DN36)</f>
        <v/>
      </c>
      <c r="AJ35" s="1025"/>
      <c r="AK35" s="1026" t="str">
        <f>IF(AJ35="","",'#orgDung'!DZ36)</f>
        <v/>
      </c>
      <c r="AL35" s="1026" t="str">
        <f>IF(AJ35="","",'#orgDung'!EA36)</f>
        <v/>
      </c>
      <c r="AM35" s="1027" t="str">
        <f>IF(AJ35="","",'#orgDung'!EC36)</f>
        <v/>
      </c>
      <c r="AN35" s="1025"/>
      <c r="AO35" s="1026" t="str">
        <f>IF(AN35="","",'#orgDung'!EO36)</f>
        <v/>
      </c>
      <c r="AP35" s="1026" t="str">
        <f>IF(AN35="","",'#orgDung'!EP36)</f>
        <v/>
      </c>
      <c r="AQ35" s="1027" t="str">
        <f>IF(AN35="","",'#orgDung'!ER36)</f>
        <v/>
      </c>
      <c r="AR35" s="1025"/>
      <c r="AS35" s="1026" t="str">
        <f>IF(AR35="","",'#orgDung'!FD36)</f>
        <v/>
      </c>
      <c r="AT35" s="1026" t="str">
        <f>IF(AR35="","",'#orgDung'!FE36)</f>
        <v/>
      </c>
      <c r="AU35" s="1027" t="str">
        <f>IF(AR35="","",'#orgDung'!FG36)</f>
        <v/>
      </c>
      <c r="AV35" s="1025"/>
      <c r="AW35" s="1026" t="str">
        <f>IF(AV35="","",'#orgDung'!FS36)</f>
        <v/>
      </c>
      <c r="AX35" s="1026" t="str">
        <f>IF(AV35="","",'#orgDung'!FT36)</f>
        <v/>
      </c>
      <c r="AY35" s="1027" t="str">
        <f>IF(AV35="","",'#orgDung'!FV36)</f>
        <v/>
      </c>
      <c r="AZ35" s="1025"/>
      <c r="BA35" s="1026" t="str">
        <f>IF(AZ35="","",'#orgDung'!GH36)</f>
        <v/>
      </c>
      <c r="BB35" s="1026" t="str">
        <f>IF(AZ35="","",'#orgDung'!GI36)</f>
        <v/>
      </c>
      <c r="BC35" s="1027" t="str">
        <f>IF(AZ35="","",'#orgDung'!GK36)</f>
        <v/>
      </c>
      <c r="BD35" s="1025"/>
      <c r="BE35" s="1026" t="str">
        <f>IF(BD35="","",'#orgDung'!GW36)</f>
        <v/>
      </c>
      <c r="BF35" s="1026" t="str">
        <f>IF(BD35="","",'#orgDung'!GX36)</f>
        <v/>
      </c>
      <c r="BG35" s="1027" t="str">
        <f>IF(BD35="","",'#orgDung'!GZ36)</f>
        <v/>
      </c>
      <c r="BH35" s="1025"/>
      <c r="BI35" s="1026" t="str">
        <f>IF(BH35="","",'#orgDung'!HL36)</f>
        <v/>
      </c>
      <c r="BJ35" s="1026" t="str">
        <f>IF(BH35="","",'#orgDung'!HM36)</f>
        <v/>
      </c>
      <c r="BK35" s="1027" t="str">
        <f>IF(BH35="","",'#orgDung'!HO36)</f>
        <v/>
      </c>
      <c r="BL35" s="1025"/>
      <c r="BM35" s="1026" t="str">
        <f>IF(BL35="","",'#orgDung'!IA36)</f>
        <v/>
      </c>
      <c r="BN35" s="1026" t="str">
        <f>IF(BL35="","",'#orgDung'!IB36)</f>
        <v/>
      </c>
      <c r="BO35" s="1027" t="str">
        <f>IF(BL35="","",'#orgDung'!ID36)</f>
        <v/>
      </c>
      <c r="BP35" s="1025"/>
      <c r="BQ35" s="1026" t="str">
        <f>IF(BP35="","",'#orgDung'!IP36)</f>
        <v/>
      </c>
      <c r="BR35" s="1026" t="str">
        <f>IF(BP35="","",'#orgDung'!IQ36)</f>
        <v/>
      </c>
      <c r="BS35" s="1027" t="str">
        <f>IF(BP35="","",'#orgDung'!IS36)</f>
        <v/>
      </c>
      <c r="BT35" s="1025"/>
      <c r="BU35" s="1026" t="str">
        <f>IF(BT35="","",'#orgDung'!JE36)</f>
        <v/>
      </c>
      <c r="BV35" s="1026" t="str">
        <f>IF(BT35="","",'#orgDung'!JF36)</f>
        <v/>
      </c>
      <c r="BW35" s="1027" t="str">
        <f>IF(BT35="","",'#orgDung'!JH36)</f>
        <v/>
      </c>
      <c r="BX35" s="1025"/>
      <c r="BY35" s="1026" t="str">
        <f>IF(BX35="","",'#orgDung'!JT36)</f>
        <v/>
      </c>
      <c r="BZ35" s="1026" t="str">
        <f>IF(BX35="","",'#orgDung'!JU36)</f>
        <v/>
      </c>
      <c r="CA35" s="1027" t="str">
        <f>IF(BX35="","",'#orgDung'!JW36)</f>
        <v/>
      </c>
      <c r="CB35" s="1025"/>
      <c r="CC35" s="1026" t="str">
        <f>IF(CB35="","",'#orgDung'!KI36)</f>
        <v/>
      </c>
      <c r="CD35" s="1026" t="str">
        <f>IF(CB35="","",'#orgDung'!KJ36)</f>
        <v/>
      </c>
      <c r="CE35" s="1027" t="str">
        <f>IF(CB35="","",'#orgDung'!KL36)</f>
        <v/>
      </c>
      <c r="CF35" s="1025"/>
      <c r="CG35" s="1026" t="str">
        <f>IF(CF35="","",'#orgDung'!KX36)</f>
        <v/>
      </c>
      <c r="CH35" s="1026" t="str">
        <f>IF(CF35="","",'#orgDung'!KY36)</f>
        <v/>
      </c>
      <c r="CI35" s="1027" t="str">
        <f>IF(CF35="","",'#orgDung'!LA36)</f>
        <v/>
      </c>
      <c r="CJ35" s="1025"/>
      <c r="CK35" s="1026" t="str">
        <f>IF(CJ35="","",'#orgDung'!LM36)</f>
        <v/>
      </c>
      <c r="CL35" s="1026" t="str">
        <f>IF(CJ35="","",'#orgDung'!LN36)</f>
        <v/>
      </c>
      <c r="CM35" s="1027" t="str">
        <f>IF(CJ35="","",'#orgDung'!LP36)</f>
        <v/>
      </c>
      <c r="CN35" s="1025"/>
      <c r="CO35" s="1026" t="str">
        <f>IF(CN35="","",'#orgDung'!MB36)</f>
        <v/>
      </c>
      <c r="CP35" s="1026" t="str">
        <f>IF(CN35="","",'#orgDung'!MC36)</f>
        <v/>
      </c>
      <c r="CQ35" s="1027" t="str">
        <f>IF(CN35="","",'#orgDung'!ME36)</f>
        <v/>
      </c>
      <c r="CR35" s="1025"/>
      <c r="CS35" s="1026" t="str">
        <f>IF(CR35="","",'#orgDung'!MQ36)</f>
        <v/>
      </c>
      <c r="CT35" s="1026" t="str">
        <f>IF(CR35="","",'#orgDung'!MR36)</f>
        <v/>
      </c>
      <c r="CU35" s="1027" t="str">
        <f>IF(CR35="","",'#orgDung'!MT36)</f>
        <v/>
      </c>
      <c r="CV35" s="1025"/>
      <c r="CW35" s="1026" t="str">
        <f>IF(CV35="","",'#orgDung'!NF36)</f>
        <v/>
      </c>
      <c r="CX35" s="1026" t="str">
        <f>IF(CV35="","",'#orgDung'!NG36)</f>
        <v/>
      </c>
      <c r="CY35" s="1027" t="str">
        <f>IF(CV35="","",'#orgDung'!NI36)</f>
        <v/>
      </c>
      <c r="CZ35" s="1025"/>
      <c r="DA35" s="1026" t="str">
        <f>IF(CZ35="","",'#orgDung'!NU36)</f>
        <v/>
      </c>
      <c r="DB35" s="1026" t="str">
        <f>IF(CZ35="","",'#orgDung'!NV36)</f>
        <v/>
      </c>
      <c r="DC35" s="1027" t="str">
        <f>IF(CZ35="","",'#orgDung'!NX36)</f>
        <v/>
      </c>
      <c r="DD35" s="1025"/>
      <c r="DE35" s="1026" t="str">
        <f>IF(DD35="","",'#orgDung'!OJ36)</f>
        <v/>
      </c>
      <c r="DF35" s="1026" t="str">
        <f>IF(DD35="","",'#orgDung'!OK36)</f>
        <v/>
      </c>
      <c r="DG35" s="1027" t="str">
        <f>IF(DD35="","",'#orgDung'!OM36)</f>
        <v/>
      </c>
      <c r="DH35" s="1025"/>
      <c r="DI35" s="1026" t="str">
        <f>IF(DH35="","",'#orgDung'!OY36)</f>
        <v/>
      </c>
      <c r="DJ35" s="1026" t="str">
        <f>IF(DH35="","",'#orgDung'!OZ36)</f>
        <v/>
      </c>
      <c r="DK35" s="1027" t="str">
        <f>IF(DH35="","",'#orgDung'!PB36)</f>
        <v/>
      </c>
      <c r="DL35" s="1025"/>
      <c r="DM35" s="1026" t="str">
        <f>IF(DL35="","",'#orgDung'!PN36)</f>
        <v/>
      </c>
      <c r="DN35" s="1026" t="str">
        <f>IF(DL35="","",'#orgDung'!PO36)</f>
        <v/>
      </c>
      <c r="DO35" s="1027" t="str">
        <f>IF(DL35="","",'#orgDung'!PQ36)</f>
        <v/>
      </c>
      <c r="DP35" s="1025"/>
      <c r="DQ35" s="1026" t="str">
        <f>IF(DP35="","",'#orgDung'!QC36)</f>
        <v/>
      </c>
      <c r="DR35" s="1026" t="str">
        <f>IF(DP35="","",'#orgDung'!QD36)</f>
        <v/>
      </c>
      <c r="DS35" s="1027" t="str">
        <f>IF(DP35="","",'#orgDung'!QF36)</f>
        <v/>
      </c>
      <c r="DT35" s="1025"/>
      <c r="DU35" s="1026" t="str">
        <f>IF(DT35="","",'#orgDung'!QR36)</f>
        <v/>
      </c>
      <c r="DV35" s="1026" t="str">
        <f>IF(DT35="","",'#orgDung'!QS36)</f>
        <v/>
      </c>
      <c r="DW35" s="1027" t="str">
        <f>IF(DT35="","",'#orgDung'!QU36)</f>
        <v/>
      </c>
      <c r="DX35" s="1025"/>
      <c r="DY35" s="1026" t="str">
        <f>IF(DX35="","",'#orgDung'!RG36)</f>
        <v/>
      </c>
      <c r="DZ35" s="1026" t="str">
        <f>IF(DX35="","",'#orgDung'!RH36)</f>
        <v/>
      </c>
      <c r="EA35" s="1027" t="str">
        <f>IF(DX35="","",'#orgDung'!RJ36)</f>
        <v/>
      </c>
    </row>
    <row r="36" spans="1:131" ht="15" customHeight="1" x14ac:dyDescent="0.2">
      <c r="A36" s="1195">
        <f>'Flächen u. Kulturen'!A33</f>
        <v>24</v>
      </c>
      <c r="B36" s="1195" t="str">
        <f>IF('Flächen u. Kulturen'!B33="","",'Flächen u. Kulturen'!B33)</f>
        <v/>
      </c>
      <c r="C36" s="1196" t="str">
        <f>IF('Flächen u. Kulturen'!D33="","",'Flächen u. Kulturen'!D33)</f>
        <v/>
      </c>
      <c r="D36" s="1197" t="str">
        <f>IF(C36="","",IF('#BerechnungDBE'!Q28&lt;4,"x",""))</f>
        <v/>
      </c>
      <c r="E36" s="1198" t="str">
        <f>IF(C36="","",VLOOKUP('Flächen u. Kulturen'!L33,'#Zweitfr'!$D$8:$F$28,'#Zweitfr'!$F$1,FALSE))</f>
        <v/>
      </c>
      <c r="F36" s="1199" t="str">
        <f>IF(C36="","",IF('Flächen u. Kulturen'!E33="x",'Flächen u. Kulturen'!P33,"nicht im Betrieb"))</f>
        <v/>
      </c>
      <c r="G36" s="1200" t="str">
        <f>IF(C36="","",IF('#orgDung'!C37=2,"--",IF('#Kürzungen'!$F$2=2,"--",'#orgDung'!R37)))</f>
        <v/>
      </c>
      <c r="H36" s="1200" t="str">
        <f>IF(C36="","",'#orgDung'!U37)</f>
        <v/>
      </c>
      <c r="I36" s="1201" t="str">
        <f>IF(C36="","",IF(COUNT('#orgDung'!RS37:SA37)=0,"OK",TRIM(CONCATENATE('#orgDung'!RS37," ",'#orgDung'!RT37," ",'#orgDung'!RU37," ",'#orgDung'!RV37," ",'#orgDung'!RW37," ",'#orgDung'!RX37," ",'#orgDung'!RY37," ",'#orgDung'!RZ37," ",'#orgDung'!SA37))))</f>
        <v/>
      </c>
      <c r="J36" s="1023"/>
      <c r="K36" s="1024"/>
      <c r="L36" s="1025"/>
      <c r="M36" s="1026" t="str">
        <f>IF(L36="","",'#orgDung'!AN37)</f>
        <v/>
      </c>
      <c r="N36" s="1026" t="str">
        <f>IF(L36="","",'#orgDung'!AO37)</f>
        <v/>
      </c>
      <c r="O36" s="1027" t="str">
        <f>IF(L36="","",'#orgDung'!AQ37)</f>
        <v/>
      </c>
      <c r="P36" s="1025"/>
      <c r="Q36" s="1026" t="str">
        <f>IF(P36="","",'#orgDung'!BC37)</f>
        <v/>
      </c>
      <c r="R36" s="1026" t="str">
        <f>IF(P36="","",'#orgDung'!BD37)</f>
        <v/>
      </c>
      <c r="S36" s="1027" t="str">
        <f>IF(P36="","",'#orgDung'!BF37)</f>
        <v/>
      </c>
      <c r="T36" s="1025"/>
      <c r="U36" s="1026" t="str">
        <f>IF(T36="","",'#orgDung'!BR37)</f>
        <v/>
      </c>
      <c r="V36" s="1026" t="str">
        <f>IF(T36="","",'#orgDung'!BS37)</f>
        <v/>
      </c>
      <c r="W36" s="1027" t="str">
        <f>IF(T36="","",'#orgDung'!BU37)</f>
        <v/>
      </c>
      <c r="X36" s="1025"/>
      <c r="Y36" s="1026" t="str">
        <f>IF(X36="","",'#orgDung'!CG37)</f>
        <v/>
      </c>
      <c r="Z36" s="1026" t="str">
        <f>IF(X36="","",'#orgDung'!CH37)</f>
        <v/>
      </c>
      <c r="AA36" s="1027" t="str">
        <f>IF(X36="","",'#orgDung'!CJ37)</f>
        <v/>
      </c>
      <c r="AB36" s="1025"/>
      <c r="AC36" s="1026" t="str">
        <f>IF(AB36="","",'#orgDung'!CV37)</f>
        <v/>
      </c>
      <c r="AD36" s="1026" t="str">
        <f>IF(AB36="","",'#orgDung'!CW37)</f>
        <v/>
      </c>
      <c r="AE36" s="1027" t="str">
        <f>IF(AB36="","",'#orgDung'!CY37)</f>
        <v/>
      </c>
      <c r="AF36" s="1025"/>
      <c r="AG36" s="1026" t="str">
        <f>IF(AF36="","",'#orgDung'!DK37)</f>
        <v/>
      </c>
      <c r="AH36" s="1026" t="str">
        <f>IF(AF36="","",'#orgDung'!DL37)</f>
        <v/>
      </c>
      <c r="AI36" s="1027" t="str">
        <f>IF(AF36="","",'#orgDung'!DN37)</f>
        <v/>
      </c>
      <c r="AJ36" s="1025"/>
      <c r="AK36" s="1026" t="str">
        <f>IF(AJ36="","",'#orgDung'!DZ37)</f>
        <v/>
      </c>
      <c r="AL36" s="1026" t="str">
        <f>IF(AJ36="","",'#orgDung'!EA37)</f>
        <v/>
      </c>
      <c r="AM36" s="1027" t="str">
        <f>IF(AJ36="","",'#orgDung'!EC37)</f>
        <v/>
      </c>
      <c r="AN36" s="1025"/>
      <c r="AO36" s="1026" t="str">
        <f>IF(AN36="","",'#orgDung'!EO37)</f>
        <v/>
      </c>
      <c r="AP36" s="1026" t="str">
        <f>IF(AN36="","",'#orgDung'!EP37)</f>
        <v/>
      </c>
      <c r="AQ36" s="1027" t="str">
        <f>IF(AN36="","",'#orgDung'!ER37)</f>
        <v/>
      </c>
      <c r="AR36" s="1025"/>
      <c r="AS36" s="1026" t="str">
        <f>IF(AR36="","",'#orgDung'!FD37)</f>
        <v/>
      </c>
      <c r="AT36" s="1026" t="str">
        <f>IF(AR36="","",'#orgDung'!FE37)</f>
        <v/>
      </c>
      <c r="AU36" s="1027" t="str">
        <f>IF(AR36="","",'#orgDung'!FG37)</f>
        <v/>
      </c>
      <c r="AV36" s="1025"/>
      <c r="AW36" s="1026" t="str">
        <f>IF(AV36="","",'#orgDung'!FS37)</f>
        <v/>
      </c>
      <c r="AX36" s="1026" t="str">
        <f>IF(AV36="","",'#orgDung'!FT37)</f>
        <v/>
      </c>
      <c r="AY36" s="1027" t="str">
        <f>IF(AV36="","",'#orgDung'!FV37)</f>
        <v/>
      </c>
      <c r="AZ36" s="1025"/>
      <c r="BA36" s="1026" t="str">
        <f>IF(AZ36="","",'#orgDung'!GH37)</f>
        <v/>
      </c>
      <c r="BB36" s="1026" t="str">
        <f>IF(AZ36="","",'#orgDung'!GI37)</f>
        <v/>
      </c>
      <c r="BC36" s="1027" t="str">
        <f>IF(AZ36="","",'#orgDung'!GK37)</f>
        <v/>
      </c>
      <c r="BD36" s="1025"/>
      <c r="BE36" s="1026" t="str">
        <f>IF(BD36="","",'#orgDung'!GW37)</f>
        <v/>
      </c>
      <c r="BF36" s="1026" t="str">
        <f>IF(BD36="","",'#orgDung'!GX37)</f>
        <v/>
      </c>
      <c r="BG36" s="1027" t="str">
        <f>IF(BD36="","",'#orgDung'!GZ37)</f>
        <v/>
      </c>
      <c r="BH36" s="1025"/>
      <c r="BI36" s="1026" t="str">
        <f>IF(BH36="","",'#orgDung'!HL37)</f>
        <v/>
      </c>
      <c r="BJ36" s="1026" t="str">
        <f>IF(BH36="","",'#orgDung'!HM37)</f>
        <v/>
      </c>
      <c r="BK36" s="1027" t="str">
        <f>IF(BH36="","",'#orgDung'!HO37)</f>
        <v/>
      </c>
      <c r="BL36" s="1025"/>
      <c r="BM36" s="1026" t="str">
        <f>IF(BL36="","",'#orgDung'!IA37)</f>
        <v/>
      </c>
      <c r="BN36" s="1026" t="str">
        <f>IF(BL36="","",'#orgDung'!IB37)</f>
        <v/>
      </c>
      <c r="BO36" s="1027" t="str">
        <f>IF(BL36="","",'#orgDung'!ID37)</f>
        <v/>
      </c>
      <c r="BP36" s="1025"/>
      <c r="BQ36" s="1026" t="str">
        <f>IF(BP36="","",'#orgDung'!IP37)</f>
        <v/>
      </c>
      <c r="BR36" s="1026" t="str">
        <f>IF(BP36="","",'#orgDung'!IQ37)</f>
        <v/>
      </c>
      <c r="BS36" s="1027" t="str">
        <f>IF(BP36="","",'#orgDung'!IS37)</f>
        <v/>
      </c>
      <c r="BT36" s="1025"/>
      <c r="BU36" s="1026" t="str">
        <f>IF(BT36="","",'#orgDung'!JE37)</f>
        <v/>
      </c>
      <c r="BV36" s="1026" t="str">
        <f>IF(BT36="","",'#orgDung'!JF37)</f>
        <v/>
      </c>
      <c r="BW36" s="1027" t="str">
        <f>IF(BT36="","",'#orgDung'!JH37)</f>
        <v/>
      </c>
      <c r="BX36" s="1025"/>
      <c r="BY36" s="1026" t="str">
        <f>IF(BX36="","",'#orgDung'!JT37)</f>
        <v/>
      </c>
      <c r="BZ36" s="1026" t="str">
        <f>IF(BX36="","",'#orgDung'!JU37)</f>
        <v/>
      </c>
      <c r="CA36" s="1027" t="str">
        <f>IF(BX36="","",'#orgDung'!JW37)</f>
        <v/>
      </c>
      <c r="CB36" s="1025"/>
      <c r="CC36" s="1026" t="str">
        <f>IF(CB36="","",'#orgDung'!KI37)</f>
        <v/>
      </c>
      <c r="CD36" s="1026" t="str">
        <f>IF(CB36="","",'#orgDung'!KJ37)</f>
        <v/>
      </c>
      <c r="CE36" s="1027" t="str">
        <f>IF(CB36="","",'#orgDung'!KL37)</f>
        <v/>
      </c>
      <c r="CF36" s="1025"/>
      <c r="CG36" s="1026" t="str">
        <f>IF(CF36="","",'#orgDung'!KX37)</f>
        <v/>
      </c>
      <c r="CH36" s="1026" t="str">
        <f>IF(CF36="","",'#orgDung'!KY37)</f>
        <v/>
      </c>
      <c r="CI36" s="1027" t="str">
        <f>IF(CF36="","",'#orgDung'!LA37)</f>
        <v/>
      </c>
      <c r="CJ36" s="1025"/>
      <c r="CK36" s="1026" t="str">
        <f>IF(CJ36="","",'#orgDung'!LM37)</f>
        <v/>
      </c>
      <c r="CL36" s="1026" t="str">
        <f>IF(CJ36="","",'#orgDung'!LN37)</f>
        <v/>
      </c>
      <c r="CM36" s="1027" t="str">
        <f>IF(CJ36="","",'#orgDung'!LP37)</f>
        <v/>
      </c>
      <c r="CN36" s="1025"/>
      <c r="CO36" s="1026" t="str">
        <f>IF(CN36="","",'#orgDung'!MB37)</f>
        <v/>
      </c>
      <c r="CP36" s="1026" t="str">
        <f>IF(CN36="","",'#orgDung'!MC37)</f>
        <v/>
      </c>
      <c r="CQ36" s="1027" t="str">
        <f>IF(CN36="","",'#orgDung'!ME37)</f>
        <v/>
      </c>
      <c r="CR36" s="1025"/>
      <c r="CS36" s="1026" t="str">
        <f>IF(CR36="","",'#orgDung'!MQ37)</f>
        <v/>
      </c>
      <c r="CT36" s="1026" t="str">
        <f>IF(CR36="","",'#orgDung'!MR37)</f>
        <v/>
      </c>
      <c r="CU36" s="1027" t="str">
        <f>IF(CR36="","",'#orgDung'!MT37)</f>
        <v/>
      </c>
      <c r="CV36" s="1025"/>
      <c r="CW36" s="1026" t="str">
        <f>IF(CV36="","",'#orgDung'!NF37)</f>
        <v/>
      </c>
      <c r="CX36" s="1026" t="str">
        <f>IF(CV36="","",'#orgDung'!NG37)</f>
        <v/>
      </c>
      <c r="CY36" s="1027" t="str">
        <f>IF(CV36="","",'#orgDung'!NI37)</f>
        <v/>
      </c>
      <c r="CZ36" s="1025"/>
      <c r="DA36" s="1026" t="str">
        <f>IF(CZ36="","",'#orgDung'!NU37)</f>
        <v/>
      </c>
      <c r="DB36" s="1026" t="str">
        <f>IF(CZ36="","",'#orgDung'!NV37)</f>
        <v/>
      </c>
      <c r="DC36" s="1027" t="str">
        <f>IF(CZ36="","",'#orgDung'!NX37)</f>
        <v/>
      </c>
      <c r="DD36" s="1025"/>
      <c r="DE36" s="1026" t="str">
        <f>IF(DD36="","",'#orgDung'!OJ37)</f>
        <v/>
      </c>
      <c r="DF36" s="1026" t="str">
        <f>IF(DD36="","",'#orgDung'!OK37)</f>
        <v/>
      </c>
      <c r="DG36" s="1027" t="str">
        <f>IF(DD36="","",'#orgDung'!OM37)</f>
        <v/>
      </c>
      <c r="DH36" s="1025"/>
      <c r="DI36" s="1026" t="str">
        <f>IF(DH36="","",'#orgDung'!OY37)</f>
        <v/>
      </c>
      <c r="DJ36" s="1026" t="str">
        <f>IF(DH36="","",'#orgDung'!OZ37)</f>
        <v/>
      </c>
      <c r="DK36" s="1027" t="str">
        <f>IF(DH36="","",'#orgDung'!PB37)</f>
        <v/>
      </c>
      <c r="DL36" s="1025"/>
      <c r="DM36" s="1026" t="str">
        <f>IF(DL36="","",'#orgDung'!PN37)</f>
        <v/>
      </c>
      <c r="DN36" s="1026" t="str">
        <f>IF(DL36="","",'#orgDung'!PO37)</f>
        <v/>
      </c>
      <c r="DO36" s="1027" t="str">
        <f>IF(DL36="","",'#orgDung'!PQ37)</f>
        <v/>
      </c>
      <c r="DP36" s="1025"/>
      <c r="DQ36" s="1026" t="str">
        <f>IF(DP36="","",'#orgDung'!QC37)</f>
        <v/>
      </c>
      <c r="DR36" s="1026" t="str">
        <f>IF(DP36="","",'#orgDung'!QD37)</f>
        <v/>
      </c>
      <c r="DS36" s="1027" t="str">
        <f>IF(DP36="","",'#orgDung'!QF37)</f>
        <v/>
      </c>
      <c r="DT36" s="1025"/>
      <c r="DU36" s="1026" t="str">
        <f>IF(DT36="","",'#orgDung'!QR37)</f>
        <v/>
      </c>
      <c r="DV36" s="1026" t="str">
        <f>IF(DT36="","",'#orgDung'!QS37)</f>
        <v/>
      </c>
      <c r="DW36" s="1027" t="str">
        <f>IF(DT36="","",'#orgDung'!QU37)</f>
        <v/>
      </c>
      <c r="DX36" s="1025"/>
      <c r="DY36" s="1026" t="str">
        <f>IF(DX36="","",'#orgDung'!RG37)</f>
        <v/>
      </c>
      <c r="DZ36" s="1026" t="str">
        <f>IF(DX36="","",'#orgDung'!RH37)</f>
        <v/>
      </c>
      <c r="EA36" s="1027" t="str">
        <f>IF(DX36="","",'#orgDung'!RJ37)</f>
        <v/>
      </c>
    </row>
    <row r="37" spans="1:131" ht="15" customHeight="1" x14ac:dyDescent="0.2">
      <c r="A37" s="1195">
        <f>'Flächen u. Kulturen'!A34</f>
        <v>25</v>
      </c>
      <c r="B37" s="1195" t="str">
        <f>IF('Flächen u. Kulturen'!B34="","",'Flächen u. Kulturen'!B34)</f>
        <v/>
      </c>
      <c r="C37" s="1196" t="str">
        <f>IF('Flächen u. Kulturen'!D34="","",'Flächen u. Kulturen'!D34)</f>
        <v/>
      </c>
      <c r="D37" s="1197" t="str">
        <f>IF(C37="","",IF('#BerechnungDBE'!Q29&lt;4,"x",""))</f>
        <v/>
      </c>
      <c r="E37" s="1198" t="str">
        <f>IF(C37="","",VLOOKUP('Flächen u. Kulturen'!L34,'#Zweitfr'!$D$8:$F$28,'#Zweitfr'!$F$1,FALSE))</f>
        <v/>
      </c>
      <c r="F37" s="1199" t="str">
        <f>IF(C37="","",IF('Flächen u. Kulturen'!E34="x",'Flächen u. Kulturen'!P34,"nicht im Betrieb"))</f>
        <v/>
      </c>
      <c r="G37" s="1200" t="str">
        <f>IF(C37="","",IF('#orgDung'!C38=2,"--",IF('#Kürzungen'!$F$2=2,"--",'#orgDung'!R38)))</f>
        <v/>
      </c>
      <c r="H37" s="1200" t="str">
        <f>IF(C37="","",'#orgDung'!U38)</f>
        <v/>
      </c>
      <c r="I37" s="1201" t="str">
        <f>IF(C37="","",IF(COUNT('#orgDung'!RS38:SA38)=0,"OK",TRIM(CONCATENATE('#orgDung'!RS38," ",'#orgDung'!RT38," ",'#orgDung'!RU38," ",'#orgDung'!RV38," ",'#orgDung'!RW38," ",'#orgDung'!RX38," ",'#orgDung'!RY38," ",'#orgDung'!RZ38," ",'#orgDung'!SA38))))</f>
        <v/>
      </c>
      <c r="J37" s="1023"/>
      <c r="K37" s="1024"/>
      <c r="L37" s="1025"/>
      <c r="M37" s="1026" t="str">
        <f>IF(L37="","",'#orgDung'!AN38)</f>
        <v/>
      </c>
      <c r="N37" s="1026" t="str">
        <f>IF(L37="","",'#orgDung'!AO38)</f>
        <v/>
      </c>
      <c r="O37" s="1027" t="str">
        <f>IF(L37="","",'#orgDung'!AQ38)</f>
        <v/>
      </c>
      <c r="P37" s="1025"/>
      <c r="Q37" s="1026" t="str">
        <f>IF(P37="","",'#orgDung'!BC38)</f>
        <v/>
      </c>
      <c r="R37" s="1026" t="str">
        <f>IF(P37="","",'#orgDung'!BD38)</f>
        <v/>
      </c>
      <c r="S37" s="1027" t="str">
        <f>IF(P37="","",'#orgDung'!BF38)</f>
        <v/>
      </c>
      <c r="T37" s="1025"/>
      <c r="U37" s="1026" t="str">
        <f>IF(T37="","",'#orgDung'!BR38)</f>
        <v/>
      </c>
      <c r="V37" s="1026" t="str">
        <f>IF(T37="","",'#orgDung'!BS38)</f>
        <v/>
      </c>
      <c r="W37" s="1027" t="str">
        <f>IF(T37="","",'#orgDung'!BU38)</f>
        <v/>
      </c>
      <c r="X37" s="1025"/>
      <c r="Y37" s="1026" t="str">
        <f>IF(X37="","",'#orgDung'!CG38)</f>
        <v/>
      </c>
      <c r="Z37" s="1026" t="str">
        <f>IF(X37="","",'#orgDung'!CH38)</f>
        <v/>
      </c>
      <c r="AA37" s="1027" t="str">
        <f>IF(X37="","",'#orgDung'!CJ38)</f>
        <v/>
      </c>
      <c r="AB37" s="1025"/>
      <c r="AC37" s="1026" t="str">
        <f>IF(AB37="","",'#orgDung'!CV38)</f>
        <v/>
      </c>
      <c r="AD37" s="1026" t="str">
        <f>IF(AB37="","",'#orgDung'!CW38)</f>
        <v/>
      </c>
      <c r="AE37" s="1027" t="str">
        <f>IF(AB37="","",'#orgDung'!CY38)</f>
        <v/>
      </c>
      <c r="AF37" s="1025"/>
      <c r="AG37" s="1026" t="str">
        <f>IF(AF37="","",'#orgDung'!DK38)</f>
        <v/>
      </c>
      <c r="AH37" s="1026" t="str">
        <f>IF(AF37="","",'#orgDung'!DL38)</f>
        <v/>
      </c>
      <c r="AI37" s="1027" t="str">
        <f>IF(AF37="","",'#orgDung'!DN38)</f>
        <v/>
      </c>
      <c r="AJ37" s="1025"/>
      <c r="AK37" s="1026" t="str">
        <f>IF(AJ37="","",'#orgDung'!DZ38)</f>
        <v/>
      </c>
      <c r="AL37" s="1026" t="str">
        <f>IF(AJ37="","",'#orgDung'!EA38)</f>
        <v/>
      </c>
      <c r="AM37" s="1027" t="str">
        <f>IF(AJ37="","",'#orgDung'!EC38)</f>
        <v/>
      </c>
      <c r="AN37" s="1025"/>
      <c r="AO37" s="1026" t="str">
        <f>IF(AN37="","",'#orgDung'!EO38)</f>
        <v/>
      </c>
      <c r="AP37" s="1026" t="str">
        <f>IF(AN37="","",'#orgDung'!EP38)</f>
        <v/>
      </c>
      <c r="AQ37" s="1027" t="str">
        <f>IF(AN37="","",'#orgDung'!ER38)</f>
        <v/>
      </c>
      <c r="AR37" s="1025"/>
      <c r="AS37" s="1026" t="str">
        <f>IF(AR37="","",'#orgDung'!FD38)</f>
        <v/>
      </c>
      <c r="AT37" s="1026" t="str">
        <f>IF(AR37="","",'#orgDung'!FE38)</f>
        <v/>
      </c>
      <c r="AU37" s="1027" t="str">
        <f>IF(AR37="","",'#orgDung'!FG38)</f>
        <v/>
      </c>
      <c r="AV37" s="1025"/>
      <c r="AW37" s="1026" t="str">
        <f>IF(AV37="","",'#orgDung'!FS38)</f>
        <v/>
      </c>
      <c r="AX37" s="1026" t="str">
        <f>IF(AV37="","",'#orgDung'!FT38)</f>
        <v/>
      </c>
      <c r="AY37" s="1027" t="str">
        <f>IF(AV37="","",'#orgDung'!FV38)</f>
        <v/>
      </c>
      <c r="AZ37" s="1025"/>
      <c r="BA37" s="1026" t="str">
        <f>IF(AZ37="","",'#orgDung'!GH38)</f>
        <v/>
      </c>
      <c r="BB37" s="1026" t="str">
        <f>IF(AZ37="","",'#orgDung'!GI38)</f>
        <v/>
      </c>
      <c r="BC37" s="1027" t="str">
        <f>IF(AZ37="","",'#orgDung'!GK38)</f>
        <v/>
      </c>
      <c r="BD37" s="1025"/>
      <c r="BE37" s="1026" t="str">
        <f>IF(BD37="","",'#orgDung'!GW38)</f>
        <v/>
      </c>
      <c r="BF37" s="1026" t="str">
        <f>IF(BD37="","",'#orgDung'!GX38)</f>
        <v/>
      </c>
      <c r="BG37" s="1027" t="str">
        <f>IF(BD37="","",'#orgDung'!GZ38)</f>
        <v/>
      </c>
      <c r="BH37" s="1025"/>
      <c r="BI37" s="1026" t="str">
        <f>IF(BH37="","",'#orgDung'!HL38)</f>
        <v/>
      </c>
      <c r="BJ37" s="1026" t="str">
        <f>IF(BH37="","",'#orgDung'!HM38)</f>
        <v/>
      </c>
      <c r="BK37" s="1027" t="str">
        <f>IF(BH37="","",'#orgDung'!HO38)</f>
        <v/>
      </c>
      <c r="BL37" s="1025"/>
      <c r="BM37" s="1026" t="str">
        <f>IF(BL37="","",'#orgDung'!IA38)</f>
        <v/>
      </c>
      <c r="BN37" s="1026" t="str">
        <f>IF(BL37="","",'#orgDung'!IB38)</f>
        <v/>
      </c>
      <c r="BO37" s="1027" t="str">
        <f>IF(BL37="","",'#orgDung'!ID38)</f>
        <v/>
      </c>
      <c r="BP37" s="1025"/>
      <c r="BQ37" s="1026" t="str">
        <f>IF(BP37="","",'#orgDung'!IP38)</f>
        <v/>
      </c>
      <c r="BR37" s="1026" t="str">
        <f>IF(BP37="","",'#orgDung'!IQ38)</f>
        <v/>
      </c>
      <c r="BS37" s="1027" t="str">
        <f>IF(BP37="","",'#orgDung'!IS38)</f>
        <v/>
      </c>
      <c r="BT37" s="1025"/>
      <c r="BU37" s="1026" t="str">
        <f>IF(BT37="","",'#orgDung'!JE38)</f>
        <v/>
      </c>
      <c r="BV37" s="1026" t="str">
        <f>IF(BT37="","",'#orgDung'!JF38)</f>
        <v/>
      </c>
      <c r="BW37" s="1027" t="str">
        <f>IF(BT37="","",'#orgDung'!JH38)</f>
        <v/>
      </c>
      <c r="BX37" s="1025"/>
      <c r="BY37" s="1026" t="str">
        <f>IF(BX37="","",'#orgDung'!JT38)</f>
        <v/>
      </c>
      <c r="BZ37" s="1026" t="str">
        <f>IF(BX37="","",'#orgDung'!JU38)</f>
        <v/>
      </c>
      <c r="CA37" s="1027" t="str">
        <f>IF(BX37="","",'#orgDung'!JW38)</f>
        <v/>
      </c>
      <c r="CB37" s="1025"/>
      <c r="CC37" s="1026" t="str">
        <f>IF(CB37="","",'#orgDung'!KI38)</f>
        <v/>
      </c>
      <c r="CD37" s="1026" t="str">
        <f>IF(CB37="","",'#orgDung'!KJ38)</f>
        <v/>
      </c>
      <c r="CE37" s="1027" t="str">
        <f>IF(CB37="","",'#orgDung'!KL38)</f>
        <v/>
      </c>
      <c r="CF37" s="1025"/>
      <c r="CG37" s="1026" t="str">
        <f>IF(CF37="","",'#orgDung'!KX38)</f>
        <v/>
      </c>
      <c r="CH37" s="1026" t="str">
        <f>IF(CF37="","",'#orgDung'!KY38)</f>
        <v/>
      </c>
      <c r="CI37" s="1027" t="str">
        <f>IF(CF37="","",'#orgDung'!LA38)</f>
        <v/>
      </c>
      <c r="CJ37" s="1025"/>
      <c r="CK37" s="1026" t="str">
        <f>IF(CJ37="","",'#orgDung'!LM38)</f>
        <v/>
      </c>
      <c r="CL37" s="1026" t="str">
        <f>IF(CJ37="","",'#orgDung'!LN38)</f>
        <v/>
      </c>
      <c r="CM37" s="1027" t="str">
        <f>IF(CJ37="","",'#orgDung'!LP38)</f>
        <v/>
      </c>
      <c r="CN37" s="1025"/>
      <c r="CO37" s="1026" t="str">
        <f>IF(CN37="","",'#orgDung'!MB38)</f>
        <v/>
      </c>
      <c r="CP37" s="1026" t="str">
        <f>IF(CN37="","",'#orgDung'!MC38)</f>
        <v/>
      </c>
      <c r="CQ37" s="1027" t="str">
        <f>IF(CN37="","",'#orgDung'!ME38)</f>
        <v/>
      </c>
      <c r="CR37" s="1025"/>
      <c r="CS37" s="1026" t="str">
        <f>IF(CR37="","",'#orgDung'!MQ38)</f>
        <v/>
      </c>
      <c r="CT37" s="1026" t="str">
        <f>IF(CR37="","",'#orgDung'!MR38)</f>
        <v/>
      </c>
      <c r="CU37" s="1027" t="str">
        <f>IF(CR37="","",'#orgDung'!MT38)</f>
        <v/>
      </c>
      <c r="CV37" s="1025"/>
      <c r="CW37" s="1026" t="str">
        <f>IF(CV37="","",'#orgDung'!NF38)</f>
        <v/>
      </c>
      <c r="CX37" s="1026" t="str">
        <f>IF(CV37="","",'#orgDung'!NG38)</f>
        <v/>
      </c>
      <c r="CY37" s="1027" t="str">
        <f>IF(CV37="","",'#orgDung'!NI38)</f>
        <v/>
      </c>
      <c r="CZ37" s="1025"/>
      <c r="DA37" s="1026" t="str">
        <f>IF(CZ37="","",'#orgDung'!NU38)</f>
        <v/>
      </c>
      <c r="DB37" s="1026" t="str">
        <f>IF(CZ37="","",'#orgDung'!NV38)</f>
        <v/>
      </c>
      <c r="DC37" s="1027" t="str">
        <f>IF(CZ37="","",'#orgDung'!NX38)</f>
        <v/>
      </c>
      <c r="DD37" s="1025"/>
      <c r="DE37" s="1026" t="str">
        <f>IF(DD37="","",'#orgDung'!OJ38)</f>
        <v/>
      </c>
      <c r="DF37" s="1026" t="str">
        <f>IF(DD37="","",'#orgDung'!OK38)</f>
        <v/>
      </c>
      <c r="DG37" s="1027" t="str">
        <f>IF(DD37="","",'#orgDung'!OM38)</f>
        <v/>
      </c>
      <c r="DH37" s="1025"/>
      <c r="DI37" s="1026" t="str">
        <f>IF(DH37="","",'#orgDung'!OY38)</f>
        <v/>
      </c>
      <c r="DJ37" s="1026" t="str">
        <f>IF(DH37="","",'#orgDung'!OZ38)</f>
        <v/>
      </c>
      <c r="DK37" s="1027" t="str">
        <f>IF(DH37="","",'#orgDung'!PB38)</f>
        <v/>
      </c>
      <c r="DL37" s="1025"/>
      <c r="DM37" s="1026" t="str">
        <f>IF(DL37="","",'#orgDung'!PN38)</f>
        <v/>
      </c>
      <c r="DN37" s="1026" t="str">
        <f>IF(DL37="","",'#orgDung'!PO38)</f>
        <v/>
      </c>
      <c r="DO37" s="1027" t="str">
        <f>IF(DL37="","",'#orgDung'!PQ38)</f>
        <v/>
      </c>
      <c r="DP37" s="1025"/>
      <c r="DQ37" s="1026" t="str">
        <f>IF(DP37="","",'#orgDung'!QC38)</f>
        <v/>
      </c>
      <c r="DR37" s="1026" t="str">
        <f>IF(DP37="","",'#orgDung'!QD38)</f>
        <v/>
      </c>
      <c r="DS37" s="1027" t="str">
        <f>IF(DP37="","",'#orgDung'!QF38)</f>
        <v/>
      </c>
      <c r="DT37" s="1025"/>
      <c r="DU37" s="1026" t="str">
        <f>IF(DT37="","",'#orgDung'!QR38)</f>
        <v/>
      </c>
      <c r="DV37" s="1026" t="str">
        <f>IF(DT37="","",'#orgDung'!QS38)</f>
        <v/>
      </c>
      <c r="DW37" s="1027" t="str">
        <f>IF(DT37="","",'#orgDung'!QU38)</f>
        <v/>
      </c>
      <c r="DX37" s="1025"/>
      <c r="DY37" s="1026" t="str">
        <f>IF(DX37="","",'#orgDung'!RG38)</f>
        <v/>
      </c>
      <c r="DZ37" s="1026" t="str">
        <f>IF(DX37="","",'#orgDung'!RH38)</f>
        <v/>
      </c>
      <c r="EA37" s="1027" t="str">
        <f>IF(DX37="","",'#orgDung'!RJ38)</f>
        <v/>
      </c>
    </row>
    <row r="38" spans="1:131" ht="15" customHeight="1" x14ac:dyDescent="0.2">
      <c r="A38" s="1195">
        <f>'Flächen u. Kulturen'!A35</f>
        <v>26</v>
      </c>
      <c r="B38" s="1195" t="str">
        <f>IF('Flächen u. Kulturen'!B35="","",'Flächen u. Kulturen'!B35)</f>
        <v/>
      </c>
      <c r="C38" s="1196" t="str">
        <f>IF('Flächen u. Kulturen'!D35="","",'Flächen u. Kulturen'!D35)</f>
        <v/>
      </c>
      <c r="D38" s="1197" t="str">
        <f>IF(C38="","",IF('#BerechnungDBE'!Q30&lt;4,"x",""))</f>
        <v/>
      </c>
      <c r="E38" s="1198" t="str">
        <f>IF(C38="","",VLOOKUP('Flächen u. Kulturen'!L35,'#Zweitfr'!$D$8:$F$28,'#Zweitfr'!$F$1,FALSE))</f>
        <v/>
      </c>
      <c r="F38" s="1199" t="str">
        <f>IF(C38="","",IF('Flächen u. Kulturen'!E35="x",'Flächen u. Kulturen'!P35,"nicht im Betrieb"))</f>
        <v/>
      </c>
      <c r="G38" s="1200" t="str">
        <f>IF(C38="","",IF('#orgDung'!C39=2,"--",IF('#Kürzungen'!$F$2=2,"--",'#orgDung'!R39)))</f>
        <v/>
      </c>
      <c r="H38" s="1200" t="str">
        <f>IF(C38="","",'#orgDung'!U39)</f>
        <v/>
      </c>
      <c r="I38" s="1201" t="str">
        <f>IF(C38="","",IF(COUNT('#orgDung'!RS39:SA39)=0,"OK",TRIM(CONCATENATE('#orgDung'!RS39," ",'#orgDung'!RT39," ",'#orgDung'!RU39," ",'#orgDung'!RV39," ",'#orgDung'!RW39," ",'#orgDung'!RX39," ",'#orgDung'!RY39," ",'#orgDung'!RZ39," ",'#orgDung'!SA39))))</f>
        <v/>
      </c>
      <c r="J38" s="1023"/>
      <c r="K38" s="1024"/>
      <c r="L38" s="1025"/>
      <c r="M38" s="1026" t="str">
        <f>IF(L38="","",'#orgDung'!AN39)</f>
        <v/>
      </c>
      <c r="N38" s="1026" t="str">
        <f>IF(L38="","",'#orgDung'!AO39)</f>
        <v/>
      </c>
      <c r="O38" s="1027" t="str">
        <f>IF(L38="","",'#orgDung'!AQ39)</f>
        <v/>
      </c>
      <c r="P38" s="1025"/>
      <c r="Q38" s="1026" t="str">
        <f>IF(P38="","",'#orgDung'!BC39)</f>
        <v/>
      </c>
      <c r="R38" s="1026" t="str">
        <f>IF(P38="","",'#orgDung'!BD39)</f>
        <v/>
      </c>
      <c r="S38" s="1027" t="str">
        <f>IF(P38="","",'#orgDung'!BF39)</f>
        <v/>
      </c>
      <c r="T38" s="1025"/>
      <c r="U38" s="1026" t="str">
        <f>IF(T38="","",'#orgDung'!BR39)</f>
        <v/>
      </c>
      <c r="V38" s="1026" t="str">
        <f>IF(T38="","",'#orgDung'!BS39)</f>
        <v/>
      </c>
      <c r="W38" s="1027" t="str">
        <f>IF(T38="","",'#orgDung'!BU39)</f>
        <v/>
      </c>
      <c r="X38" s="1025"/>
      <c r="Y38" s="1026" t="str">
        <f>IF(X38="","",'#orgDung'!CG39)</f>
        <v/>
      </c>
      <c r="Z38" s="1026" t="str">
        <f>IF(X38="","",'#orgDung'!CH39)</f>
        <v/>
      </c>
      <c r="AA38" s="1027" t="str">
        <f>IF(X38="","",'#orgDung'!CJ39)</f>
        <v/>
      </c>
      <c r="AB38" s="1025"/>
      <c r="AC38" s="1026" t="str">
        <f>IF(AB38="","",'#orgDung'!CV39)</f>
        <v/>
      </c>
      <c r="AD38" s="1026" t="str">
        <f>IF(AB38="","",'#orgDung'!CW39)</f>
        <v/>
      </c>
      <c r="AE38" s="1027" t="str">
        <f>IF(AB38="","",'#orgDung'!CY39)</f>
        <v/>
      </c>
      <c r="AF38" s="1025"/>
      <c r="AG38" s="1026" t="str">
        <f>IF(AF38="","",'#orgDung'!DK39)</f>
        <v/>
      </c>
      <c r="AH38" s="1026" t="str">
        <f>IF(AF38="","",'#orgDung'!DL39)</f>
        <v/>
      </c>
      <c r="AI38" s="1027" t="str">
        <f>IF(AF38="","",'#orgDung'!DN39)</f>
        <v/>
      </c>
      <c r="AJ38" s="1025"/>
      <c r="AK38" s="1026" t="str">
        <f>IF(AJ38="","",'#orgDung'!DZ39)</f>
        <v/>
      </c>
      <c r="AL38" s="1026" t="str">
        <f>IF(AJ38="","",'#orgDung'!EA39)</f>
        <v/>
      </c>
      <c r="AM38" s="1027" t="str">
        <f>IF(AJ38="","",'#orgDung'!EC39)</f>
        <v/>
      </c>
      <c r="AN38" s="1025"/>
      <c r="AO38" s="1026" t="str">
        <f>IF(AN38="","",'#orgDung'!EO39)</f>
        <v/>
      </c>
      <c r="AP38" s="1026" t="str">
        <f>IF(AN38="","",'#orgDung'!EP39)</f>
        <v/>
      </c>
      <c r="AQ38" s="1027" t="str">
        <f>IF(AN38="","",'#orgDung'!ER39)</f>
        <v/>
      </c>
      <c r="AR38" s="1025"/>
      <c r="AS38" s="1026" t="str">
        <f>IF(AR38="","",'#orgDung'!FD39)</f>
        <v/>
      </c>
      <c r="AT38" s="1026" t="str">
        <f>IF(AR38="","",'#orgDung'!FE39)</f>
        <v/>
      </c>
      <c r="AU38" s="1027" t="str">
        <f>IF(AR38="","",'#orgDung'!FG39)</f>
        <v/>
      </c>
      <c r="AV38" s="1025"/>
      <c r="AW38" s="1026" t="str">
        <f>IF(AV38="","",'#orgDung'!FS39)</f>
        <v/>
      </c>
      <c r="AX38" s="1026" t="str">
        <f>IF(AV38="","",'#orgDung'!FT39)</f>
        <v/>
      </c>
      <c r="AY38" s="1027" t="str">
        <f>IF(AV38="","",'#orgDung'!FV39)</f>
        <v/>
      </c>
      <c r="AZ38" s="1025"/>
      <c r="BA38" s="1026" t="str">
        <f>IF(AZ38="","",'#orgDung'!GH39)</f>
        <v/>
      </c>
      <c r="BB38" s="1026" t="str">
        <f>IF(AZ38="","",'#orgDung'!GI39)</f>
        <v/>
      </c>
      <c r="BC38" s="1027" t="str">
        <f>IF(AZ38="","",'#orgDung'!GK39)</f>
        <v/>
      </c>
      <c r="BD38" s="1025"/>
      <c r="BE38" s="1026" t="str">
        <f>IF(BD38="","",'#orgDung'!GW39)</f>
        <v/>
      </c>
      <c r="BF38" s="1026" t="str">
        <f>IF(BD38="","",'#orgDung'!GX39)</f>
        <v/>
      </c>
      <c r="BG38" s="1027" t="str">
        <f>IF(BD38="","",'#orgDung'!GZ39)</f>
        <v/>
      </c>
      <c r="BH38" s="1025"/>
      <c r="BI38" s="1026" t="str">
        <f>IF(BH38="","",'#orgDung'!HL39)</f>
        <v/>
      </c>
      <c r="BJ38" s="1026" t="str">
        <f>IF(BH38="","",'#orgDung'!HM39)</f>
        <v/>
      </c>
      <c r="BK38" s="1027" t="str">
        <f>IF(BH38="","",'#orgDung'!HO39)</f>
        <v/>
      </c>
      <c r="BL38" s="1025"/>
      <c r="BM38" s="1026" t="str">
        <f>IF(BL38="","",'#orgDung'!IA39)</f>
        <v/>
      </c>
      <c r="BN38" s="1026" t="str">
        <f>IF(BL38="","",'#orgDung'!IB39)</f>
        <v/>
      </c>
      <c r="BO38" s="1027" t="str">
        <f>IF(BL38="","",'#orgDung'!ID39)</f>
        <v/>
      </c>
      <c r="BP38" s="1025"/>
      <c r="BQ38" s="1026" t="str">
        <f>IF(BP38="","",'#orgDung'!IP39)</f>
        <v/>
      </c>
      <c r="BR38" s="1026" t="str">
        <f>IF(BP38="","",'#orgDung'!IQ39)</f>
        <v/>
      </c>
      <c r="BS38" s="1027" t="str">
        <f>IF(BP38="","",'#orgDung'!IS39)</f>
        <v/>
      </c>
      <c r="BT38" s="1025"/>
      <c r="BU38" s="1026" t="str">
        <f>IF(BT38="","",'#orgDung'!JE39)</f>
        <v/>
      </c>
      <c r="BV38" s="1026" t="str">
        <f>IF(BT38="","",'#orgDung'!JF39)</f>
        <v/>
      </c>
      <c r="BW38" s="1027" t="str">
        <f>IF(BT38="","",'#orgDung'!JH39)</f>
        <v/>
      </c>
      <c r="BX38" s="1025"/>
      <c r="BY38" s="1026" t="str">
        <f>IF(BX38="","",'#orgDung'!JT39)</f>
        <v/>
      </c>
      <c r="BZ38" s="1026" t="str">
        <f>IF(BX38="","",'#orgDung'!JU39)</f>
        <v/>
      </c>
      <c r="CA38" s="1027" t="str">
        <f>IF(BX38="","",'#orgDung'!JW39)</f>
        <v/>
      </c>
      <c r="CB38" s="1025"/>
      <c r="CC38" s="1026" t="str">
        <f>IF(CB38="","",'#orgDung'!KI39)</f>
        <v/>
      </c>
      <c r="CD38" s="1026" t="str">
        <f>IF(CB38="","",'#orgDung'!KJ39)</f>
        <v/>
      </c>
      <c r="CE38" s="1027" t="str">
        <f>IF(CB38="","",'#orgDung'!KL39)</f>
        <v/>
      </c>
      <c r="CF38" s="1025"/>
      <c r="CG38" s="1026" t="str">
        <f>IF(CF38="","",'#orgDung'!KX39)</f>
        <v/>
      </c>
      <c r="CH38" s="1026" t="str">
        <f>IF(CF38="","",'#orgDung'!KY39)</f>
        <v/>
      </c>
      <c r="CI38" s="1027" t="str">
        <f>IF(CF38="","",'#orgDung'!LA39)</f>
        <v/>
      </c>
      <c r="CJ38" s="1025"/>
      <c r="CK38" s="1026" t="str">
        <f>IF(CJ38="","",'#orgDung'!LM39)</f>
        <v/>
      </c>
      <c r="CL38" s="1026" t="str">
        <f>IF(CJ38="","",'#orgDung'!LN39)</f>
        <v/>
      </c>
      <c r="CM38" s="1027" t="str">
        <f>IF(CJ38="","",'#orgDung'!LP39)</f>
        <v/>
      </c>
      <c r="CN38" s="1025"/>
      <c r="CO38" s="1026" t="str">
        <f>IF(CN38="","",'#orgDung'!MB39)</f>
        <v/>
      </c>
      <c r="CP38" s="1026" t="str">
        <f>IF(CN38="","",'#orgDung'!MC39)</f>
        <v/>
      </c>
      <c r="CQ38" s="1027" t="str">
        <f>IF(CN38="","",'#orgDung'!ME39)</f>
        <v/>
      </c>
      <c r="CR38" s="1025"/>
      <c r="CS38" s="1026" t="str">
        <f>IF(CR38="","",'#orgDung'!MQ39)</f>
        <v/>
      </c>
      <c r="CT38" s="1026" t="str">
        <f>IF(CR38="","",'#orgDung'!MR39)</f>
        <v/>
      </c>
      <c r="CU38" s="1027" t="str">
        <f>IF(CR38="","",'#orgDung'!MT39)</f>
        <v/>
      </c>
      <c r="CV38" s="1025"/>
      <c r="CW38" s="1026" t="str">
        <f>IF(CV38="","",'#orgDung'!NF39)</f>
        <v/>
      </c>
      <c r="CX38" s="1026" t="str">
        <f>IF(CV38="","",'#orgDung'!NG39)</f>
        <v/>
      </c>
      <c r="CY38" s="1027" t="str">
        <f>IF(CV38="","",'#orgDung'!NI39)</f>
        <v/>
      </c>
      <c r="CZ38" s="1025"/>
      <c r="DA38" s="1026" t="str">
        <f>IF(CZ38="","",'#orgDung'!NU39)</f>
        <v/>
      </c>
      <c r="DB38" s="1026" t="str">
        <f>IF(CZ38="","",'#orgDung'!NV39)</f>
        <v/>
      </c>
      <c r="DC38" s="1027" t="str">
        <f>IF(CZ38="","",'#orgDung'!NX39)</f>
        <v/>
      </c>
      <c r="DD38" s="1025"/>
      <c r="DE38" s="1026" t="str">
        <f>IF(DD38="","",'#orgDung'!OJ39)</f>
        <v/>
      </c>
      <c r="DF38" s="1026" t="str">
        <f>IF(DD38="","",'#orgDung'!OK39)</f>
        <v/>
      </c>
      <c r="DG38" s="1027" t="str">
        <f>IF(DD38="","",'#orgDung'!OM39)</f>
        <v/>
      </c>
      <c r="DH38" s="1025"/>
      <c r="DI38" s="1026" t="str">
        <f>IF(DH38="","",'#orgDung'!OY39)</f>
        <v/>
      </c>
      <c r="DJ38" s="1026" t="str">
        <f>IF(DH38="","",'#orgDung'!OZ39)</f>
        <v/>
      </c>
      <c r="DK38" s="1027" t="str">
        <f>IF(DH38="","",'#orgDung'!PB39)</f>
        <v/>
      </c>
      <c r="DL38" s="1025"/>
      <c r="DM38" s="1026" t="str">
        <f>IF(DL38="","",'#orgDung'!PN39)</f>
        <v/>
      </c>
      <c r="DN38" s="1026" t="str">
        <f>IF(DL38="","",'#orgDung'!PO39)</f>
        <v/>
      </c>
      <c r="DO38" s="1027" t="str">
        <f>IF(DL38="","",'#orgDung'!PQ39)</f>
        <v/>
      </c>
      <c r="DP38" s="1025"/>
      <c r="DQ38" s="1026" t="str">
        <f>IF(DP38="","",'#orgDung'!QC39)</f>
        <v/>
      </c>
      <c r="DR38" s="1026" t="str">
        <f>IF(DP38="","",'#orgDung'!QD39)</f>
        <v/>
      </c>
      <c r="DS38" s="1027" t="str">
        <f>IF(DP38="","",'#orgDung'!QF39)</f>
        <v/>
      </c>
      <c r="DT38" s="1025"/>
      <c r="DU38" s="1026" t="str">
        <f>IF(DT38="","",'#orgDung'!QR39)</f>
        <v/>
      </c>
      <c r="DV38" s="1026" t="str">
        <f>IF(DT38="","",'#orgDung'!QS39)</f>
        <v/>
      </c>
      <c r="DW38" s="1027" t="str">
        <f>IF(DT38="","",'#orgDung'!QU39)</f>
        <v/>
      </c>
      <c r="DX38" s="1025"/>
      <c r="DY38" s="1026" t="str">
        <f>IF(DX38="","",'#orgDung'!RG39)</f>
        <v/>
      </c>
      <c r="DZ38" s="1026" t="str">
        <f>IF(DX38="","",'#orgDung'!RH39)</f>
        <v/>
      </c>
      <c r="EA38" s="1027" t="str">
        <f>IF(DX38="","",'#orgDung'!RJ39)</f>
        <v/>
      </c>
    </row>
    <row r="39" spans="1:131" ht="15" customHeight="1" x14ac:dyDescent="0.2">
      <c r="A39" s="1195">
        <f>'Flächen u. Kulturen'!A36</f>
        <v>27</v>
      </c>
      <c r="B39" s="1195" t="str">
        <f>IF('Flächen u. Kulturen'!B36="","",'Flächen u. Kulturen'!B36)</f>
        <v/>
      </c>
      <c r="C39" s="1196" t="str">
        <f>IF('Flächen u. Kulturen'!D36="","",'Flächen u. Kulturen'!D36)</f>
        <v/>
      </c>
      <c r="D39" s="1197" t="str">
        <f>IF(C39="","",IF('#BerechnungDBE'!Q31&lt;4,"x",""))</f>
        <v/>
      </c>
      <c r="E39" s="1198" t="str">
        <f>IF(C39="","",VLOOKUP('Flächen u. Kulturen'!L36,'#Zweitfr'!$D$8:$F$28,'#Zweitfr'!$F$1,FALSE))</f>
        <v/>
      </c>
      <c r="F39" s="1199" t="str">
        <f>IF(C39="","",IF('Flächen u. Kulturen'!E36="x",'Flächen u. Kulturen'!P36,"nicht im Betrieb"))</f>
        <v/>
      </c>
      <c r="G39" s="1200" t="str">
        <f>IF(C39="","",IF('#orgDung'!C40=2,"--",IF('#Kürzungen'!$F$2=2,"--",'#orgDung'!R40)))</f>
        <v/>
      </c>
      <c r="H39" s="1200" t="str">
        <f>IF(C39="","",'#orgDung'!U40)</f>
        <v/>
      </c>
      <c r="I39" s="1201" t="str">
        <f>IF(C39="","",IF(COUNT('#orgDung'!RS40:SA40)=0,"OK",TRIM(CONCATENATE('#orgDung'!RS40," ",'#orgDung'!RT40," ",'#orgDung'!RU40," ",'#orgDung'!RV40," ",'#orgDung'!RW40," ",'#orgDung'!RX40," ",'#orgDung'!RY40," ",'#orgDung'!RZ40," ",'#orgDung'!SA40))))</f>
        <v/>
      </c>
      <c r="J39" s="1023"/>
      <c r="K39" s="1024"/>
      <c r="L39" s="1025"/>
      <c r="M39" s="1026" t="str">
        <f>IF(L39="","",'#orgDung'!AN40)</f>
        <v/>
      </c>
      <c r="N39" s="1026" t="str">
        <f>IF(L39="","",'#orgDung'!AO40)</f>
        <v/>
      </c>
      <c r="O39" s="1027" t="str">
        <f>IF(L39="","",'#orgDung'!AQ40)</f>
        <v/>
      </c>
      <c r="P39" s="1025"/>
      <c r="Q39" s="1026" t="str">
        <f>IF(P39="","",'#orgDung'!BC40)</f>
        <v/>
      </c>
      <c r="R39" s="1026" t="str">
        <f>IF(P39="","",'#orgDung'!BD40)</f>
        <v/>
      </c>
      <c r="S39" s="1027" t="str">
        <f>IF(P39="","",'#orgDung'!BF40)</f>
        <v/>
      </c>
      <c r="T39" s="1025"/>
      <c r="U39" s="1026" t="str">
        <f>IF(T39="","",'#orgDung'!BR40)</f>
        <v/>
      </c>
      <c r="V39" s="1026" t="str">
        <f>IF(T39="","",'#orgDung'!BS40)</f>
        <v/>
      </c>
      <c r="W39" s="1027" t="str">
        <f>IF(T39="","",'#orgDung'!BU40)</f>
        <v/>
      </c>
      <c r="X39" s="1025"/>
      <c r="Y39" s="1026" t="str">
        <f>IF(X39="","",'#orgDung'!CG40)</f>
        <v/>
      </c>
      <c r="Z39" s="1026" t="str">
        <f>IF(X39="","",'#orgDung'!CH40)</f>
        <v/>
      </c>
      <c r="AA39" s="1027" t="str">
        <f>IF(X39="","",'#orgDung'!CJ40)</f>
        <v/>
      </c>
      <c r="AB39" s="1025"/>
      <c r="AC39" s="1026" t="str">
        <f>IF(AB39="","",'#orgDung'!CV40)</f>
        <v/>
      </c>
      <c r="AD39" s="1026" t="str">
        <f>IF(AB39="","",'#orgDung'!CW40)</f>
        <v/>
      </c>
      <c r="AE39" s="1027" t="str">
        <f>IF(AB39="","",'#orgDung'!CY40)</f>
        <v/>
      </c>
      <c r="AF39" s="1025"/>
      <c r="AG39" s="1026" t="str">
        <f>IF(AF39="","",'#orgDung'!DK40)</f>
        <v/>
      </c>
      <c r="AH39" s="1026" t="str">
        <f>IF(AF39="","",'#orgDung'!DL40)</f>
        <v/>
      </c>
      <c r="AI39" s="1027" t="str">
        <f>IF(AF39="","",'#orgDung'!DN40)</f>
        <v/>
      </c>
      <c r="AJ39" s="1025"/>
      <c r="AK39" s="1026" t="str">
        <f>IF(AJ39="","",'#orgDung'!DZ40)</f>
        <v/>
      </c>
      <c r="AL39" s="1026" t="str">
        <f>IF(AJ39="","",'#orgDung'!EA40)</f>
        <v/>
      </c>
      <c r="AM39" s="1027" t="str">
        <f>IF(AJ39="","",'#orgDung'!EC40)</f>
        <v/>
      </c>
      <c r="AN39" s="1025"/>
      <c r="AO39" s="1026" t="str">
        <f>IF(AN39="","",'#orgDung'!EO40)</f>
        <v/>
      </c>
      <c r="AP39" s="1026" t="str">
        <f>IF(AN39="","",'#orgDung'!EP40)</f>
        <v/>
      </c>
      <c r="AQ39" s="1027" t="str">
        <f>IF(AN39="","",'#orgDung'!ER40)</f>
        <v/>
      </c>
      <c r="AR39" s="1025"/>
      <c r="AS39" s="1026" t="str">
        <f>IF(AR39="","",'#orgDung'!FD40)</f>
        <v/>
      </c>
      <c r="AT39" s="1026" t="str">
        <f>IF(AR39="","",'#orgDung'!FE40)</f>
        <v/>
      </c>
      <c r="AU39" s="1027" t="str">
        <f>IF(AR39="","",'#orgDung'!FG40)</f>
        <v/>
      </c>
      <c r="AV39" s="1025"/>
      <c r="AW39" s="1026" t="str">
        <f>IF(AV39="","",'#orgDung'!FS40)</f>
        <v/>
      </c>
      <c r="AX39" s="1026" t="str">
        <f>IF(AV39="","",'#orgDung'!FT40)</f>
        <v/>
      </c>
      <c r="AY39" s="1027" t="str">
        <f>IF(AV39="","",'#orgDung'!FV40)</f>
        <v/>
      </c>
      <c r="AZ39" s="1025"/>
      <c r="BA39" s="1026" t="str">
        <f>IF(AZ39="","",'#orgDung'!GH40)</f>
        <v/>
      </c>
      <c r="BB39" s="1026" t="str">
        <f>IF(AZ39="","",'#orgDung'!GI40)</f>
        <v/>
      </c>
      <c r="BC39" s="1027" t="str">
        <f>IF(AZ39="","",'#orgDung'!GK40)</f>
        <v/>
      </c>
      <c r="BD39" s="1025"/>
      <c r="BE39" s="1026" t="str">
        <f>IF(BD39="","",'#orgDung'!GW40)</f>
        <v/>
      </c>
      <c r="BF39" s="1026" t="str">
        <f>IF(BD39="","",'#orgDung'!GX40)</f>
        <v/>
      </c>
      <c r="BG39" s="1027" t="str">
        <f>IF(BD39="","",'#orgDung'!GZ40)</f>
        <v/>
      </c>
      <c r="BH39" s="1025"/>
      <c r="BI39" s="1026" t="str">
        <f>IF(BH39="","",'#orgDung'!HL40)</f>
        <v/>
      </c>
      <c r="BJ39" s="1026" t="str">
        <f>IF(BH39="","",'#orgDung'!HM40)</f>
        <v/>
      </c>
      <c r="BK39" s="1027" t="str">
        <f>IF(BH39="","",'#orgDung'!HO40)</f>
        <v/>
      </c>
      <c r="BL39" s="1025"/>
      <c r="BM39" s="1026" t="str">
        <f>IF(BL39="","",'#orgDung'!IA40)</f>
        <v/>
      </c>
      <c r="BN39" s="1026" t="str">
        <f>IF(BL39="","",'#orgDung'!IB40)</f>
        <v/>
      </c>
      <c r="BO39" s="1027" t="str">
        <f>IF(BL39="","",'#orgDung'!ID40)</f>
        <v/>
      </c>
      <c r="BP39" s="1025"/>
      <c r="BQ39" s="1026" t="str">
        <f>IF(BP39="","",'#orgDung'!IP40)</f>
        <v/>
      </c>
      <c r="BR39" s="1026" t="str">
        <f>IF(BP39="","",'#orgDung'!IQ40)</f>
        <v/>
      </c>
      <c r="BS39" s="1027" t="str">
        <f>IF(BP39="","",'#orgDung'!IS40)</f>
        <v/>
      </c>
      <c r="BT39" s="1025"/>
      <c r="BU39" s="1026" t="str">
        <f>IF(BT39="","",'#orgDung'!JE40)</f>
        <v/>
      </c>
      <c r="BV39" s="1026" t="str">
        <f>IF(BT39="","",'#orgDung'!JF40)</f>
        <v/>
      </c>
      <c r="BW39" s="1027" t="str">
        <f>IF(BT39="","",'#orgDung'!JH40)</f>
        <v/>
      </c>
      <c r="BX39" s="1025"/>
      <c r="BY39" s="1026" t="str">
        <f>IF(BX39="","",'#orgDung'!JT40)</f>
        <v/>
      </c>
      <c r="BZ39" s="1026" t="str">
        <f>IF(BX39="","",'#orgDung'!JU40)</f>
        <v/>
      </c>
      <c r="CA39" s="1027" t="str">
        <f>IF(BX39="","",'#orgDung'!JW40)</f>
        <v/>
      </c>
      <c r="CB39" s="1025"/>
      <c r="CC39" s="1026" t="str">
        <f>IF(CB39="","",'#orgDung'!KI40)</f>
        <v/>
      </c>
      <c r="CD39" s="1026" t="str">
        <f>IF(CB39="","",'#orgDung'!KJ40)</f>
        <v/>
      </c>
      <c r="CE39" s="1027" t="str">
        <f>IF(CB39="","",'#orgDung'!KL40)</f>
        <v/>
      </c>
      <c r="CF39" s="1025"/>
      <c r="CG39" s="1026" t="str">
        <f>IF(CF39="","",'#orgDung'!KX40)</f>
        <v/>
      </c>
      <c r="CH39" s="1026" t="str">
        <f>IF(CF39="","",'#orgDung'!KY40)</f>
        <v/>
      </c>
      <c r="CI39" s="1027" t="str">
        <f>IF(CF39="","",'#orgDung'!LA40)</f>
        <v/>
      </c>
      <c r="CJ39" s="1025"/>
      <c r="CK39" s="1026" t="str">
        <f>IF(CJ39="","",'#orgDung'!LM40)</f>
        <v/>
      </c>
      <c r="CL39" s="1026" t="str">
        <f>IF(CJ39="","",'#orgDung'!LN40)</f>
        <v/>
      </c>
      <c r="CM39" s="1027" t="str">
        <f>IF(CJ39="","",'#orgDung'!LP40)</f>
        <v/>
      </c>
      <c r="CN39" s="1025"/>
      <c r="CO39" s="1026" t="str">
        <f>IF(CN39="","",'#orgDung'!MB40)</f>
        <v/>
      </c>
      <c r="CP39" s="1026" t="str">
        <f>IF(CN39="","",'#orgDung'!MC40)</f>
        <v/>
      </c>
      <c r="CQ39" s="1027" t="str">
        <f>IF(CN39="","",'#orgDung'!ME40)</f>
        <v/>
      </c>
      <c r="CR39" s="1025"/>
      <c r="CS39" s="1026" t="str">
        <f>IF(CR39="","",'#orgDung'!MQ40)</f>
        <v/>
      </c>
      <c r="CT39" s="1026" t="str">
        <f>IF(CR39="","",'#orgDung'!MR40)</f>
        <v/>
      </c>
      <c r="CU39" s="1027" t="str">
        <f>IF(CR39="","",'#orgDung'!MT40)</f>
        <v/>
      </c>
      <c r="CV39" s="1025"/>
      <c r="CW39" s="1026" t="str">
        <f>IF(CV39="","",'#orgDung'!NF40)</f>
        <v/>
      </c>
      <c r="CX39" s="1026" t="str">
        <f>IF(CV39="","",'#orgDung'!NG40)</f>
        <v/>
      </c>
      <c r="CY39" s="1027" t="str">
        <f>IF(CV39="","",'#orgDung'!NI40)</f>
        <v/>
      </c>
      <c r="CZ39" s="1025"/>
      <c r="DA39" s="1026" t="str">
        <f>IF(CZ39="","",'#orgDung'!NU40)</f>
        <v/>
      </c>
      <c r="DB39" s="1026" t="str">
        <f>IF(CZ39="","",'#orgDung'!NV40)</f>
        <v/>
      </c>
      <c r="DC39" s="1027" t="str">
        <f>IF(CZ39="","",'#orgDung'!NX40)</f>
        <v/>
      </c>
      <c r="DD39" s="1025"/>
      <c r="DE39" s="1026" t="str">
        <f>IF(DD39="","",'#orgDung'!OJ40)</f>
        <v/>
      </c>
      <c r="DF39" s="1026" t="str">
        <f>IF(DD39="","",'#orgDung'!OK40)</f>
        <v/>
      </c>
      <c r="DG39" s="1027" t="str">
        <f>IF(DD39="","",'#orgDung'!OM40)</f>
        <v/>
      </c>
      <c r="DH39" s="1025"/>
      <c r="DI39" s="1026" t="str">
        <f>IF(DH39="","",'#orgDung'!OY40)</f>
        <v/>
      </c>
      <c r="DJ39" s="1026" t="str">
        <f>IF(DH39="","",'#orgDung'!OZ40)</f>
        <v/>
      </c>
      <c r="DK39" s="1027" t="str">
        <f>IF(DH39="","",'#orgDung'!PB40)</f>
        <v/>
      </c>
      <c r="DL39" s="1025"/>
      <c r="DM39" s="1026" t="str">
        <f>IF(DL39="","",'#orgDung'!PN40)</f>
        <v/>
      </c>
      <c r="DN39" s="1026" t="str">
        <f>IF(DL39="","",'#orgDung'!PO40)</f>
        <v/>
      </c>
      <c r="DO39" s="1027" t="str">
        <f>IF(DL39="","",'#orgDung'!PQ40)</f>
        <v/>
      </c>
      <c r="DP39" s="1025"/>
      <c r="DQ39" s="1026" t="str">
        <f>IF(DP39="","",'#orgDung'!QC40)</f>
        <v/>
      </c>
      <c r="DR39" s="1026" t="str">
        <f>IF(DP39="","",'#orgDung'!QD40)</f>
        <v/>
      </c>
      <c r="DS39" s="1027" t="str">
        <f>IF(DP39="","",'#orgDung'!QF40)</f>
        <v/>
      </c>
      <c r="DT39" s="1025"/>
      <c r="DU39" s="1026" t="str">
        <f>IF(DT39="","",'#orgDung'!QR40)</f>
        <v/>
      </c>
      <c r="DV39" s="1026" t="str">
        <f>IF(DT39="","",'#orgDung'!QS40)</f>
        <v/>
      </c>
      <c r="DW39" s="1027" t="str">
        <f>IF(DT39="","",'#orgDung'!QU40)</f>
        <v/>
      </c>
      <c r="DX39" s="1025"/>
      <c r="DY39" s="1026" t="str">
        <f>IF(DX39="","",'#orgDung'!RG40)</f>
        <v/>
      </c>
      <c r="DZ39" s="1026" t="str">
        <f>IF(DX39="","",'#orgDung'!RH40)</f>
        <v/>
      </c>
      <c r="EA39" s="1027" t="str">
        <f>IF(DX39="","",'#orgDung'!RJ40)</f>
        <v/>
      </c>
    </row>
    <row r="40" spans="1:131" ht="15" customHeight="1" x14ac:dyDescent="0.2">
      <c r="A40" s="1195">
        <f>'Flächen u. Kulturen'!A37</f>
        <v>28</v>
      </c>
      <c r="B40" s="1195" t="str">
        <f>IF('Flächen u. Kulturen'!B37="","",'Flächen u. Kulturen'!B37)</f>
        <v/>
      </c>
      <c r="C40" s="1196" t="str">
        <f>IF('Flächen u. Kulturen'!D37="","",'Flächen u. Kulturen'!D37)</f>
        <v/>
      </c>
      <c r="D40" s="1197" t="str">
        <f>IF(C40="","",IF('#BerechnungDBE'!Q32&lt;4,"x",""))</f>
        <v/>
      </c>
      <c r="E40" s="1198" t="str">
        <f>IF(C40="","",VLOOKUP('Flächen u. Kulturen'!L37,'#Zweitfr'!$D$8:$F$28,'#Zweitfr'!$F$1,FALSE))</f>
        <v/>
      </c>
      <c r="F40" s="1199" t="str">
        <f>IF(C40="","",IF('Flächen u. Kulturen'!E37="x",'Flächen u. Kulturen'!P37,"nicht im Betrieb"))</f>
        <v/>
      </c>
      <c r="G40" s="1200" t="str">
        <f>IF(C40="","",IF('#orgDung'!C41=2,"--",IF('#Kürzungen'!$F$2=2,"--",'#orgDung'!R41)))</f>
        <v/>
      </c>
      <c r="H40" s="1200" t="str">
        <f>IF(C40="","",'#orgDung'!U41)</f>
        <v/>
      </c>
      <c r="I40" s="1201" t="str">
        <f>IF(C40="","",IF(COUNT('#orgDung'!RS41:SA41)=0,"OK",TRIM(CONCATENATE('#orgDung'!RS41," ",'#orgDung'!RT41," ",'#orgDung'!RU41," ",'#orgDung'!RV41," ",'#orgDung'!RW41," ",'#orgDung'!RX41," ",'#orgDung'!RY41," ",'#orgDung'!RZ41," ",'#orgDung'!SA41))))</f>
        <v/>
      </c>
      <c r="J40" s="1023"/>
      <c r="K40" s="1024"/>
      <c r="L40" s="1025"/>
      <c r="M40" s="1026" t="str">
        <f>IF(L40="","",'#orgDung'!AN41)</f>
        <v/>
      </c>
      <c r="N40" s="1026" t="str">
        <f>IF(L40="","",'#orgDung'!AO41)</f>
        <v/>
      </c>
      <c r="O40" s="1027" t="str">
        <f>IF(L40="","",'#orgDung'!AQ41)</f>
        <v/>
      </c>
      <c r="P40" s="1025"/>
      <c r="Q40" s="1026" t="str">
        <f>IF(P40="","",'#orgDung'!BC41)</f>
        <v/>
      </c>
      <c r="R40" s="1026" t="str">
        <f>IF(P40="","",'#orgDung'!BD41)</f>
        <v/>
      </c>
      <c r="S40" s="1027" t="str">
        <f>IF(P40="","",'#orgDung'!BF41)</f>
        <v/>
      </c>
      <c r="T40" s="1025"/>
      <c r="U40" s="1026" t="str">
        <f>IF(T40="","",'#orgDung'!BR41)</f>
        <v/>
      </c>
      <c r="V40" s="1026" t="str">
        <f>IF(T40="","",'#orgDung'!BS41)</f>
        <v/>
      </c>
      <c r="W40" s="1027" t="str">
        <f>IF(T40="","",'#orgDung'!BU41)</f>
        <v/>
      </c>
      <c r="X40" s="1025"/>
      <c r="Y40" s="1026" t="str">
        <f>IF(X40="","",'#orgDung'!CG41)</f>
        <v/>
      </c>
      <c r="Z40" s="1026" t="str">
        <f>IF(X40="","",'#orgDung'!CH41)</f>
        <v/>
      </c>
      <c r="AA40" s="1027" t="str">
        <f>IF(X40="","",'#orgDung'!CJ41)</f>
        <v/>
      </c>
      <c r="AB40" s="1025"/>
      <c r="AC40" s="1026" t="str">
        <f>IF(AB40="","",'#orgDung'!CV41)</f>
        <v/>
      </c>
      <c r="AD40" s="1026" t="str">
        <f>IF(AB40="","",'#orgDung'!CW41)</f>
        <v/>
      </c>
      <c r="AE40" s="1027" t="str">
        <f>IF(AB40="","",'#orgDung'!CY41)</f>
        <v/>
      </c>
      <c r="AF40" s="1025"/>
      <c r="AG40" s="1026" t="str">
        <f>IF(AF40="","",'#orgDung'!DK41)</f>
        <v/>
      </c>
      <c r="AH40" s="1026" t="str">
        <f>IF(AF40="","",'#orgDung'!DL41)</f>
        <v/>
      </c>
      <c r="AI40" s="1027" t="str">
        <f>IF(AF40="","",'#orgDung'!DN41)</f>
        <v/>
      </c>
      <c r="AJ40" s="1025"/>
      <c r="AK40" s="1026" t="str">
        <f>IF(AJ40="","",'#orgDung'!DZ41)</f>
        <v/>
      </c>
      <c r="AL40" s="1026" t="str">
        <f>IF(AJ40="","",'#orgDung'!EA41)</f>
        <v/>
      </c>
      <c r="AM40" s="1027" t="str">
        <f>IF(AJ40="","",'#orgDung'!EC41)</f>
        <v/>
      </c>
      <c r="AN40" s="1025"/>
      <c r="AO40" s="1026" t="str">
        <f>IF(AN40="","",'#orgDung'!EO41)</f>
        <v/>
      </c>
      <c r="AP40" s="1026" t="str">
        <f>IF(AN40="","",'#orgDung'!EP41)</f>
        <v/>
      </c>
      <c r="AQ40" s="1027" t="str">
        <f>IF(AN40="","",'#orgDung'!ER41)</f>
        <v/>
      </c>
      <c r="AR40" s="1025"/>
      <c r="AS40" s="1026" t="str">
        <f>IF(AR40="","",'#orgDung'!FD41)</f>
        <v/>
      </c>
      <c r="AT40" s="1026" t="str">
        <f>IF(AR40="","",'#orgDung'!FE41)</f>
        <v/>
      </c>
      <c r="AU40" s="1027" t="str">
        <f>IF(AR40="","",'#orgDung'!FG41)</f>
        <v/>
      </c>
      <c r="AV40" s="1025"/>
      <c r="AW40" s="1026" t="str">
        <f>IF(AV40="","",'#orgDung'!FS41)</f>
        <v/>
      </c>
      <c r="AX40" s="1026" t="str">
        <f>IF(AV40="","",'#orgDung'!FT41)</f>
        <v/>
      </c>
      <c r="AY40" s="1027" t="str">
        <f>IF(AV40="","",'#orgDung'!FV41)</f>
        <v/>
      </c>
      <c r="AZ40" s="1025"/>
      <c r="BA40" s="1026" t="str">
        <f>IF(AZ40="","",'#orgDung'!GH41)</f>
        <v/>
      </c>
      <c r="BB40" s="1026" t="str">
        <f>IF(AZ40="","",'#orgDung'!GI41)</f>
        <v/>
      </c>
      <c r="BC40" s="1027" t="str">
        <f>IF(AZ40="","",'#orgDung'!GK41)</f>
        <v/>
      </c>
      <c r="BD40" s="1025"/>
      <c r="BE40" s="1026" t="str">
        <f>IF(BD40="","",'#orgDung'!GW41)</f>
        <v/>
      </c>
      <c r="BF40" s="1026" t="str">
        <f>IF(BD40="","",'#orgDung'!GX41)</f>
        <v/>
      </c>
      <c r="BG40" s="1027" t="str">
        <f>IF(BD40="","",'#orgDung'!GZ41)</f>
        <v/>
      </c>
      <c r="BH40" s="1025"/>
      <c r="BI40" s="1026" t="str">
        <f>IF(BH40="","",'#orgDung'!HL41)</f>
        <v/>
      </c>
      <c r="BJ40" s="1026" t="str">
        <f>IF(BH40="","",'#orgDung'!HM41)</f>
        <v/>
      </c>
      <c r="BK40" s="1027" t="str">
        <f>IF(BH40="","",'#orgDung'!HO41)</f>
        <v/>
      </c>
      <c r="BL40" s="1025"/>
      <c r="BM40" s="1026" t="str">
        <f>IF(BL40="","",'#orgDung'!IA41)</f>
        <v/>
      </c>
      <c r="BN40" s="1026" t="str">
        <f>IF(BL40="","",'#orgDung'!IB41)</f>
        <v/>
      </c>
      <c r="BO40" s="1027" t="str">
        <f>IF(BL40="","",'#orgDung'!ID41)</f>
        <v/>
      </c>
      <c r="BP40" s="1025"/>
      <c r="BQ40" s="1026" t="str">
        <f>IF(BP40="","",'#orgDung'!IP41)</f>
        <v/>
      </c>
      <c r="BR40" s="1026" t="str">
        <f>IF(BP40="","",'#orgDung'!IQ41)</f>
        <v/>
      </c>
      <c r="BS40" s="1027" t="str">
        <f>IF(BP40="","",'#orgDung'!IS41)</f>
        <v/>
      </c>
      <c r="BT40" s="1025"/>
      <c r="BU40" s="1026" t="str">
        <f>IF(BT40="","",'#orgDung'!JE41)</f>
        <v/>
      </c>
      <c r="BV40" s="1026" t="str">
        <f>IF(BT40="","",'#orgDung'!JF41)</f>
        <v/>
      </c>
      <c r="BW40" s="1027" t="str">
        <f>IF(BT40="","",'#orgDung'!JH41)</f>
        <v/>
      </c>
      <c r="BX40" s="1025"/>
      <c r="BY40" s="1026" t="str">
        <f>IF(BX40="","",'#orgDung'!JT41)</f>
        <v/>
      </c>
      <c r="BZ40" s="1026" t="str">
        <f>IF(BX40="","",'#orgDung'!JU41)</f>
        <v/>
      </c>
      <c r="CA40" s="1027" t="str">
        <f>IF(BX40="","",'#orgDung'!JW41)</f>
        <v/>
      </c>
      <c r="CB40" s="1025"/>
      <c r="CC40" s="1026" t="str">
        <f>IF(CB40="","",'#orgDung'!KI41)</f>
        <v/>
      </c>
      <c r="CD40" s="1026" t="str">
        <f>IF(CB40="","",'#orgDung'!KJ41)</f>
        <v/>
      </c>
      <c r="CE40" s="1027" t="str">
        <f>IF(CB40="","",'#orgDung'!KL41)</f>
        <v/>
      </c>
      <c r="CF40" s="1025"/>
      <c r="CG40" s="1026" t="str">
        <f>IF(CF40="","",'#orgDung'!KX41)</f>
        <v/>
      </c>
      <c r="CH40" s="1026" t="str">
        <f>IF(CF40="","",'#orgDung'!KY41)</f>
        <v/>
      </c>
      <c r="CI40" s="1027" t="str">
        <f>IF(CF40="","",'#orgDung'!LA41)</f>
        <v/>
      </c>
      <c r="CJ40" s="1025"/>
      <c r="CK40" s="1026" t="str">
        <f>IF(CJ40="","",'#orgDung'!LM41)</f>
        <v/>
      </c>
      <c r="CL40" s="1026" t="str">
        <f>IF(CJ40="","",'#orgDung'!LN41)</f>
        <v/>
      </c>
      <c r="CM40" s="1027" t="str">
        <f>IF(CJ40="","",'#orgDung'!LP41)</f>
        <v/>
      </c>
      <c r="CN40" s="1025"/>
      <c r="CO40" s="1026" t="str">
        <f>IF(CN40="","",'#orgDung'!MB41)</f>
        <v/>
      </c>
      <c r="CP40" s="1026" t="str">
        <f>IF(CN40="","",'#orgDung'!MC41)</f>
        <v/>
      </c>
      <c r="CQ40" s="1027" t="str">
        <f>IF(CN40="","",'#orgDung'!ME41)</f>
        <v/>
      </c>
      <c r="CR40" s="1025"/>
      <c r="CS40" s="1026" t="str">
        <f>IF(CR40="","",'#orgDung'!MQ41)</f>
        <v/>
      </c>
      <c r="CT40" s="1026" t="str">
        <f>IF(CR40="","",'#orgDung'!MR41)</f>
        <v/>
      </c>
      <c r="CU40" s="1027" t="str">
        <f>IF(CR40="","",'#orgDung'!MT41)</f>
        <v/>
      </c>
      <c r="CV40" s="1025"/>
      <c r="CW40" s="1026" t="str">
        <f>IF(CV40="","",'#orgDung'!NF41)</f>
        <v/>
      </c>
      <c r="CX40" s="1026" t="str">
        <f>IF(CV40="","",'#orgDung'!NG41)</f>
        <v/>
      </c>
      <c r="CY40" s="1027" t="str">
        <f>IF(CV40="","",'#orgDung'!NI41)</f>
        <v/>
      </c>
      <c r="CZ40" s="1025"/>
      <c r="DA40" s="1026" t="str">
        <f>IF(CZ40="","",'#orgDung'!NU41)</f>
        <v/>
      </c>
      <c r="DB40" s="1026" t="str">
        <f>IF(CZ40="","",'#orgDung'!NV41)</f>
        <v/>
      </c>
      <c r="DC40" s="1027" t="str">
        <f>IF(CZ40="","",'#orgDung'!NX41)</f>
        <v/>
      </c>
      <c r="DD40" s="1025"/>
      <c r="DE40" s="1026" t="str">
        <f>IF(DD40="","",'#orgDung'!OJ41)</f>
        <v/>
      </c>
      <c r="DF40" s="1026" t="str">
        <f>IF(DD40="","",'#orgDung'!OK41)</f>
        <v/>
      </c>
      <c r="DG40" s="1027" t="str">
        <f>IF(DD40="","",'#orgDung'!OM41)</f>
        <v/>
      </c>
      <c r="DH40" s="1025"/>
      <c r="DI40" s="1026" t="str">
        <f>IF(DH40="","",'#orgDung'!OY41)</f>
        <v/>
      </c>
      <c r="DJ40" s="1026" t="str">
        <f>IF(DH40="","",'#orgDung'!OZ41)</f>
        <v/>
      </c>
      <c r="DK40" s="1027" t="str">
        <f>IF(DH40="","",'#orgDung'!PB41)</f>
        <v/>
      </c>
      <c r="DL40" s="1025"/>
      <c r="DM40" s="1026" t="str">
        <f>IF(DL40="","",'#orgDung'!PN41)</f>
        <v/>
      </c>
      <c r="DN40" s="1026" t="str">
        <f>IF(DL40="","",'#orgDung'!PO41)</f>
        <v/>
      </c>
      <c r="DO40" s="1027" t="str">
        <f>IF(DL40="","",'#orgDung'!PQ41)</f>
        <v/>
      </c>
      <c r="DP40" s="1025"/>
      <c r="DQ40" s="1026" t="str">
        <f>IF(DP40="","",'#orgDung'!QC41)</f>
        <v/>
      </c>
      <c r="DR40" s="1026" t="str">
        <f>IF(DP40="","",'#orgDung'!QD41)</f>
        <v/>
      </c>
      <c r="DS40" s="1027" t="str">
        <f>IF(DP40="","",'#orgDung'!QF41)</f>
        <v/>
      </c>
      <c r="DT40" s="1025"/>
      <c r="DU40" s="1026" t="str">
        <f>IF(DT40="","",'#orgDung'!QR41)</f>
        <v/>
      </c>
      <c r="DV40" s="1026" t="str">
        <f>IF(DT40="","",'#orgDung'!QS41)</f>
        <v/>
      </c>
      <c r="DW40" s="1027" t="str">
        <f>IF(DT40="","",'#orgDung'!QU41)</f>
        <v/>
      </c>
      <c r="DX40" s="1025"/>
      <c r="DY40" s="1026" t="str">
        <f>IF(DX40="","",'#orgDung'!RG41)</f>
        <v/>
      </c>
      <c r="DZ40" s="1026" t="str">
        <f>IF(DX40="","",'#orgDung'!RH41)</f>
        <v/>
      </c>
      <c r="EA40" s="1027" t="str">
        <f>IF(DX40="","",'#orgDung'!RJ41)</f>
        <v/>
      </c>
    </row>
    <row r="41" spans="1:131" ht="15" customHeight="1" x14ac:dyDescent="0.2">
      <c r="A41" s="1195">
        <f>'Flächen u. Kulturen'!A38</f>
        <v>29</v>
      </c>
      <c r="B41" s="1195" t="str">
        <f>IF('Flächen u. Kulturen'!B38="","",'Flächen u. Kulturen'!B38)</f>
        <v/>
      </c>
      <c r="C41" s="1196" t="str">
        <f>IF('Flächen u. Kulturen'!D38="","",'Flächen u. Kulturen'!D38)</f>
        <v/>
      </c>
      <c r="D41" s="1197" t="str">
        <f>IF(C41="","",IF('#BerechnungDBE'!Q33&lt;4,"x",""))</f>
        <v/>
      </c>
      <c r="E41" s="1198" t="str">
        <f>IF(C41="","",VLOOKUP('Flächen u. Kulturen'!L38,'#Zweitfr'!$D$8:$F$28,'#Zweitfr'!$F$1,FALSE))</f>
        <v/>
      </c>
      <c r="F41" s="1199" t="str">
        <f>IF(C41="","",IF('Flächen u. Kulturen'!E38="x",'Flächen u. Kulturen'!P38,"nicht im Betrieb"))</f>
        <v/>
      </c>
      <c r="G41" s="1200" t="str">
        <f>IF(C41="","",IF('#orgDung'!C42=2,"--",IF('#Kürzungen'!$F$2=2,"--",'#orgDung'!R42)))</f>
        <v/>
      </c>
      <c r="H41" s="1200" t="str">
        <f>IF(C41="","",'#orgDung'!U42)</f>
        <v/>
      </c>
      <c r="I41" s="1201" t="str">
        <f>IF(C41="","",IF(COUNT('#orgDung'!RS42:SA42)=0,"OK",TRIM(CONCATENATE('#orgDung'!RS42," ",'#orgDung'!RT42," ",'#orgDung'!RU42," ",'#orgDung'!RV42," ",'#orgDung'!RW42," ",'#orgDung'!RX42," ",'#orgDung'!RY42," ",'#orgDung'!RZ42," ",'#orgDung'!SA42))))</f>
        <v/>
      </c>
      <c r="J41" s="1023"/>
      <c r="K41" s="1024"/>
      <c r="L41" s="1025"/>
      <c r="M41" s="1026" t="str">
        <f>IF(L41="","",'#orgDung'!AN42)</f>
        <v/>
      </c>
      <c r="N41" s="1026" t="str">
        <f>IF(L41="","",'#orgDung'!AO42)</f>
        <v/>
      </c>
      <c r="O41" s="1027" t="str">
        <f>IF(L41="","",'#orgDung'!AQ42)</f>
        <v/>
      </c>
      <c r="P41" s="1025"/>
      <c r="Q41" s="1026" t="str">
        <f>IF(P41="","",'#orgDung'!BC42)</f>
        <v/>
      </c>
      <c r="R41" s="1026" t="str">
        <f>IF(P41="","",'#orgDung'!BD42)</f>
        <v/>
      </c>
      <c r="S41" s="1027" t="str">
        <f>IF(P41="","",'#orgDung'!BF42)</f>
        <v/>
      </c>
      <c r="T41" s="1025"/>
      <c r="U41" s="1026" t="str">
        <f>IF(T41="","",'#orgDung'!BR42)</f>
        <v/>
      </c>
      <c r="V41" s="1026" t="str">
        <f>IF(T41="","",'#orgDung'!BS42)</f>
        <v/>
      </c>
      <c r="W41" s="1027" t="str">
        <f>IF(T41="","",'#orgDung'!BU42)</f>
        <v/>
      </c>
      <c r="X41" s="1025"/>
      <c r="Y41" s="1026" t="str">
        <f>IF(X41="","",'#orgDung'!CG42)</f>
        <v/>
      </c>
      <c r="Z41" s="1026" t="str">
        <f>IF(X41="","",'#orgDung'!CH42)</f>
        <v/>
      </c>
      <c r="AA41" s="1027" t="str">
        <f>IF(X41="","",'#orgDung'!CJ42)</f>
        <v/>
      </c>
      <c r="AB41" s="1025"/>
      <c r="AC41" s="1026" t="str">
        <f>IF(AB41="","",'#orgDung'!CV42)</f>
        <v/>
      </c>
      <c r="AD41" s="1026" t="str">
        <f>IF(AB41="","",'#orgDung'!CW42)</f>
        <v/>
      </c>
      <c r="AE41" s="1027" t="str">
        <f>IF(AB41="","",'#orgDung'!CY42)</f>
        <v/>
      </c>
      <c r="AF41" s="1025"/>
      <c r="AG41" s="1026" t="str">
        <f>IF(AF41="","",'#orgDung'!DK42)</f>
        <v/>
      </c>
      <c r="AH41" s="1026" t="str">
        <f>IF(AF41="","",'#orgDung'!DL42)</f>
        <v/>
      </c>
      <c r="AI41" s="1027" t="str">
        <f>IF(AF41="","",'#orgDung'!DN42)</f>
        <v/>
      </c>
      <c r="AJ41" s="1025"/>
      <c r="AK41" s="1026" t="str">
        <f>IF(AJ41="","",'#orgDung'!DZ42)</f>
        <v/>
      </c>
      <c r="AL41" s="1026" t="str">
        <f>IF(AJ41="","",'#orgDung'!EA42)</f>
        <v/>
      </c>
      <c r="AM41" s="1027" t="str">
        <f>IF(AJ41="","",'#orgDung'!EC42)</f>
        <v/>
      </c>
      <c r="AN41" s="1025"/>
      <c r="AO41" s="1026" t="str">
        <f>IF(AN41="","",'#orgDung'!EO42)</f>
        <v/>
      </c>
      <c r="AP41" s="1026" t="str">
        <f>IF(AN41="","",'#orgDung'!EP42)</f>
        <v/>
      </c>
      <c r="AQ41" s="1027" t="str">
        <f>IF(AN41="","",'#orgDung'!ER42)</f>
        <v/>
      </c>
      <c r="AR41" s="1025"/>
      <c r="AS41" s="1026" t="str">
        <f>IF(AR41="","",'#orgDung'!FD42)</f>
        <v/>
      </c>
      <c r="AT41" s="1026" t="str">
        <f>IF(AR41="","",'#orgDung'!FE42)</f>
        <v/>
      </c>
      <c r="AU41" s="1027" t="str">
        <f>IF(AR41="","",'#orgDung'!FG42)</f>
        <v/>
      </c>
      <c r="AV41" s="1025"/>
      <c r="AW41" s="1026" t="str">
        <f>IF(AV41="","",'#orgDung'!FS42)</f>
        <v/>
      </c>
      <c r="AX41" s="1026" t="str">
        <f>IF(AV41="","",'#orgDung'!FT42)</f>
        <v/>
      </c>
      <c r="AY41" s="1027" t="str">
        <f>IF(AV41="","",'#orgDung'!FV42)</f>
        <v/>
      </c>
      <c r="AZ41" s="1025"/>
      <c r="BA41" s="1026" t="str">
        <f>IF(AZ41="","",'#orgDung'!GH42)</f>
        <v/>
      </c>
      <c r="BB41" s="1026" t="str">
        <f>IF(AZ41="","",'#orgDung'!GI42)</f>
        <v/>
      </c>
      <c r="BC41" s="1027" t="str">
        <f>IF(AZ41="","",'#orgDung'!GK42)</f>
        <v/>
      </c>
      <c r="BD41" s="1025"/>
      <c r="BE41" s="1026" t="str">
        <f>IF(BD41="","",'#orgDung'!GW42)</f>
        <v/>
      </c>
      <c r="BF41" s="1026" t="str">
        <f>IF(BD41="","",'#orgDung'!GX42)</f>
        <v/>
      </c>
      <c r="BG41" s="1027" t="str">
        <f>IF(BD41="","",'#orgDung'!GZ42)</f>
        <v/>
      </c>
      <c r="BH41" s="1025"/>
      <c r="BI41" s="1026" t="str">
        <f>IF(BH41="","",'#orgDung'!HL42)</f>
        <v/>
      </c>
      <c r="BJ41" s="1026" t="str">
        <f>IF(BH41="","",'#orgDung'!HM42)</f>
        <v/>
      </c>
      <c r="BK41" s="1027" t="str">
        <f>IF(BH41="","",'#orgDung'!HO42)</f>
        <v/>
      </c>
      <c r="BL41" s="1025"/>
      <c r="BM41" s="1026" t="str">
        <f>IF(BL41="","",'#orgDung'!IA42)</f>
        <v/>
      </c>
      <c r="BN41" s="1026" t="str">
        <f>IF(BL41="","",'#orgDung'!IB42)</f>
        <v/>
      </c>
      <c r="BO41" s="1027" t="str">
        <f>IF(BL41="","",'#orgDung'!ID42)</f>
        <v/>
      </c>
      <c r="BP41" s="1025"/>
      <c r="BQ41" s="1026" t="str">
        <f>IF(BP41="","",'#orgDung'!IP42)</f>
        <v/>
      </c>
      <c r="BR41" s="1026" t="str">
        <f>IF(BP41="","",'#orgDung'!IQ42)</f>
        <v/>
      </c>
      <c r="BS41" s="1027" t="str">
        <f>IF(BP41="","",'#orgDung'!IS42)</f>
        <v/>
      </c>
      <c r="BT41" s="1025"/>
      <c r="BU41" s="1026" t="str">
        <f>IF(BT41="","",'#orgDung'!JE42)</f>
        <v/>
      </c>
      <c r="BV41" s="1026" t="str">
        <f>IF(BT41="","",'#orgDung'!JF42)</f>
        <v/>
      </c>
      <c r="BW41" s="1027" t="str">
        <f>IF(BT41="","",'#orgDung'!JH42)</f>
        <v/>
      </c>
      <c r="BX41" s="1025"/>
      <c r="BY41" s="1026" t="str">
        <f>IF(BX41="","",'#orgDung'!JT42)</f>
        <v/>
      </c>
      <c r="BZ41" s="1026" t="str">
        <f>IF(BX41="","",'#orgDung'!JU42)</f>
        <v/>
      </c>
      <c r="CA41" s="1027" t="str">
        <f>IF(BX41="","",'#orgDung'!JW42)</f>
        <v/>
      </c>
      <c r="CB41" s="1025"/>
      <c r="CC41" s="1026" t="str">
        <f>IF(CB41="","",'#orgDung'!KI42)</f>
        <v/>
      </c>
      <c r="CD41" s="1026" t="str">
        <f>IF(CB41="","",'#orgDung'!KJ42)</f>
        <v/>
      </c>
      <c r="CE41" s="1027" t="str">
        <f>IF(CB41="","",'#orgDung'!KL42)</f>
        <v/>
      </c>
      <c r="CF41" s="1025"/>
      <c r="CG41" s="1026" t="str">
        <f>IF(CF41="","",'#orgDung'!KX42)</f>
        <v/>
      </c>
      <c r="CH41" s="1026" t="str">
        <f>IF(CF41="","",'#orgDung'!KY42)</f>
        <v/>
      </c>
      <c r="CI41" s="1027" t="str">
        <f>IF(CF41="","",'#orgDung'!LA42)</f>
        <v/>
      </c>
      <c r="CJ41" s="1025"/>
      <c r="CK41" s="1026" t="str">
        <f>IF(CJ41="","",'#orgDung'!LM42)</f>
        <v/>
      </c>
      <c r="CL41" s="1026" t="str">
        <f>IF(CJ41="","",'#orgDung'!LN42)</f>
        <v/>
      </c>
      <c r="CM41" s="1027" t="str">
        <f>IF(CJ41="","",'#orgDung'!LP42)</f>
        <v/>
      </c>
      <c r="CN41" s="1025"/>
      <c r="CO41" s="1026" t="str">
        <f>IF(CN41="","",'#orgDung'!MB42)</f>
        <v/>
      </c>
      <c r="CP41" s="1026" t="str">
        <f>IF(CN41="","",'#orgDung'!MC42)</f>
        <v/>
      </c>
      <c r="CQ41" s="1027" t="str">
        <f>IF(CN41="","",'#orgDung'!ME42)</f>
        <v/>
      </c>
      <c r="CR41" s="1025"/>
      <c r="CS41" s="1026" t="str">
        <f>IF(CR41="","",'#orgDung'!MQ42)</f>
        <v/>
      </c>
      <c r="CT41" s="1026" t="str">
        <f>IF(CR41="","",'#orgDung'!MR42)</f>
        <v/>
      </c>
      <c r="CU41" s="1027" t="str">
        <f>IF(CR41="","",'#orgDung'!MT42)</f>
        <v/>
      </c>
      <c r="CV41" s="1025"/>
      <c r="CW41" s="1026" t="str">
        <f>IF(CV41="","",'#orgDung'!NF42)</f>
        <v/>
      </c>
      <c r="CX41" s="1026" t="str">
        <f>IF(CV41="","",'#orgDung'!NG42)</f>
        <v/>
      </c>
      <c r="CY41" s="1027" t="str">
        <f>IF(CV41="","",'#orgDung'!NI42)</f>
        <v/>
      </c>
      <c r="CZ41" s="1025"/>
      <c r="DA41" s="1026" t="str">
        <f>IF(CZ41="","",'#orgDung'!NU42)</f>
        <v/>
      </c>
      <c r="DB41" s="1026" t="str">
        <f>IF(CZ41="","",'#orgDung'!NV42)</f>
        <v/>
      </c>
      <c r="DC41" s="1027" t="str">
        <f>IF(CZ41="","",'#orgDung'!NX42)</f>
        <v/>
      </c>
      <c r="DD41" s="1025"/>
      <c r="DE41" s="1026" t="str">
        <f>IF(DD41="","",'#orgDung'!OJ42)</f>
        <v/>
      </c>
      <c r="DF41" s="1026" t="str">
        <f>IF(DD41="","",'#orgDung'!OK42)</f>
        <v/>
      </c>
      <c r="DG41" s="1027" t="str">
        <f>IF(DD41="","",'#orgDung'!OM42)</f>
        <v/>
      </c>
      <c r="DH41" s="1025"/>
      <c r="DI41" s="1026" t="str">
        <f>IF(DH41="","",'#orgDung'!OY42)</f>
        <v/>
      </c>
      <c r="DJ41" s="1026" t="str">
        <f>IF(DH41="","",'#orgDung'!OZ42)</f>
        <v/>
      </c>
      <c r="DK41" s="1027" t="str">
        <f>IF(DH41="","",'#orgDung'!PB42)</f>
        <v/>
      </c>
      <c r="DL41" s="1025"/>
      <c r="DM41" s="1026" t="str">
        <f>IF(DL41="","",'#orgDung'!PN42)</f>
        <v/>
      </c>
      <c r="DN41" s="1026" t="str">
        <f>IF(DL41="","",'#orgDung'!PO42)</f>
        <v/>
      </c>
      <c r="DO41" s="1027" t="str">
        <f>IF(DL41="","",'#orgDung'!PQ42)</f>
        <v/>
      </c>
      <c r="DP41" s="1025"/>
      <c r="DQ41" s="1026" t="str">
        <f>IF(DP41="","",'#orgDung'!QC42)</f>
        <v/>
      </c>
      <c r="DR41" s="1026" t="str">
        <f>IF(DP41="","",'#orgDung'!QD42)</f>
        <v/>
      </c>
      <c r="DS41" s="1027" t="str">
        <f>IF(DP41="","",'#orgDung'!QF42)</f>
        <v/>
      </c>
      <c r="DT41" s="1025"/>
      <c r="DU41" s="1026" t="str">
        <f>IF(DT41="","",'#orgDung'!QR42)</f>
        <v/>
      </c>
      <c r="DV41" s="1026" t="str">
        <f>IF(DT41="","",'#orgDung'!QS42)</f>
        <v/>
      </c>
      <c r="DW41" s="1027" t="str">
        <f>IF(DT41="","",'#orgDung'!QU42)</f>
        <v/>
      </c>
      <c r="DX41" s="1025"/>
      <c r="DY41" s="1026" t="str">
        <f>IF(DX41="","",'#orgDung'!RG42)</f>
        <v/>
      </c>
      <c r="DZ41" s="1026" t="str">
        <f>IF(DX41="","",'#orgDung'!RH42)</f>
        <v/>
      </c>
      <c r="EA41" s="1027" t="str">
        <f>IF(DX41="","",'#orgDung'!RJ42)</f>
        <v/>
      </c>
    </row>
    <row r="42" spans="1:131" ht="15" customHeight="1" x14ac:dyDescent="0.2">
      <c r="A42" s="1195">
        <f>'Flächen u. Kulturen'!A39</f>
        <v>30</v>
      </c>
      <c r="B42" s="1195" t="str">
        <f>IF('Flächen u. Kulturen'!B39="","",'Flächen u. Kulturen'!B39)</f>
        <v/>
      </c>
      <c r="C42" s="1196" t="str">
        <f>IF('Flächen u. Kulturen'!D39="","",'Flächen u. Kulturen'!D39)</f>
        <v/>
      </c>
      <c r="D42" s="1197" t="str">
        <f>IF(C42="","",IF('#BerechnungDBE'!Q34&lt;4,"x",""))</f>
        <v/>
      </c>
      <c r="E42" s="1198" t="str">
        <f>IF(C42="","",VLOOKUP('Flächen u. Kulturen'!L39,'#Zweitfr'!$D$8:$F$28,'#Zweitfr'!$F$1,FALSE))</f>
        <v/>
      </c>
      <c r="F42" s="1199" t="str">
        <f>IF(C42="","",IF('Flächen u. Kulturen'!E39="x",'Flächen u. Kulturen'!P39,"nicht im Betrieb"))</f>
        <v/>
      </c>
      <c r="G42" s="1200" t="str">
        <f>IF(C42="","",IF('#orgDung'!C43=2,"--",IF('#Kürzungen'!$F$2=2,"--",'#orgDung'!R43)))</f>
        <v/>
      </c>
      <c r="H42" s="1200" t="str">
        <f>IF(C42="","",'#orgDung'!U43)</f>
        <v/>
      </c>
      <c r="I42" s="1201" t="str">
        <f>IF(C42="","",IF(COUNT('#orgDung'!RS43:SA43)=0,"OK",TRIM(CONCATENATE('#orgDung'!RS43," ",'#orgDung'!RT43," ",'#orgDung'!RU43," ",'#orgDung'!RV43," ",'#orgDung'!RW43," ",'#orgDung'!RX43," ",'#orgDung'!RY43," ",'#orgDung'!RZ43," ",'#orgDung'!SA43))))</f>
        <v/>
      </c>
      <c r="J42" s="1023"/>
      <c r="K42" s="1024"/>
      <c r="L42" s="1025"/>
      <c r="M42" s="1026" t="str">
        <f>IF(L42="","",'#orgDung'!AN43)</f>
        <v/>
      </c>
      <c r="N42" s="1026" t="str">
        <f>IF(L42="","",'#orgDung'!AO43)</f>
        <v/>
      </c>
      <c r="O42" s="1027" t="str">
        <f>IF(L42="","",'#orgDung'!AQ43)</f>
        <v/>
      </c>
      <c r="P42" s="1025"/>
      <c r="Q42" s="1026" t="str">
        <f>IF(P42="","",'#orgDung'!BC43)</f>
        <v/>
      </c>
      <c r="R42" s="1026" t="str">
        <f>IF(P42="","",'#orgDung'!BD43)</f>
        <v/>
      </c>
      <c r="S42" s="1027" t="str">
        <f>IF(P42="","",'#orgDung'!BF43)</f>
        <v/>
      </c>
      <c r="T42" s="1025"/>
      <c r="U42" s="1026" t="str">
        <f>IF(T42="","",'#orgDung'!BR43)</f>
        <v/>
      </c>
      <c r="V42" s="1026" t="str">
        <f>IF(T42="","",'#orgDung'!BS43)</f>
        <v/>
      </c>
      <c r="W42" s="1027" t="str">
        <f>IF(T42="","",'#orgDung'!BU43)</f>
        <v/>
      </c>
      <c r="X42" s="1025"/>
      <c r="Y42" s="1026" t="str">
        <f>IF(X42="","",'#orgDung'!CG43)</f>
        <v/>
      </c>
      <c r="Z42" s="1026" t="str">
        <f>IF(X42="","",'#orgDung'!CH43)</f>
        <v/>
      </c>
      <c r="AA42" s="1027" t="str">
        <f>IF(X42="","",'#orgDung'!CJ43)</f>
        <v/>
      </c>
      <c r="AB42" s="1025"/>
      <c r="AC42" s="1026" t="str">
        <f>IF(AB42="","",'#orgDung'!CV43)</f>
        <v/>
      </c>
      <c r="AD42" s="1026" t="str">
        <f>IF(AB42="","",'#orgDung'!CW43)</f>
        <v/>
      </c>
      <c r="AE42" s="1027" t="str">
        <f>IF(AB42="","",'#orgDung'!CY43)</f>
        <v/>
      </c>
      <c r="AF42" s="1025"/>
      <c r="AG42" s="1026" t="str">
        <f>IF(AF42="","",'#orgDung'!DK43)</f>
        <v/>
      </c>
      <c r="AH42" s="1026" t="str">
        <f>IF(AF42="","",'#orgDung'!DL43)</f>
        <v/>
      </c>
      <c r="AI42" s="1027" t="str">
        <f>IF(AF42="","",'#orgDung'!DN43)</f>
        <v/>
      </c>
      <c r="AJ42" s="1025"/>
      <c r="AK42" s="1026" t="str">
        <f>IF(AJ42="","",'#orgDung'!DZ43)</f>
        <v/>
      </c>
      <c r="AL42" s="1026" t="str">
        <f>IF(AJ42="","",'#orgDung'!EA43)</f>
        <v/>
      </c>
      <c r="AM42" s="1027" t="str">
        <f>IF(AJ42="","",'#orgDung'!EC43)</f>
        <v/>
      </c>
      <c r="AN42" s="1025"/>
      <c r="AO42" s="1026" t="str">
        <f>IF(AN42="","",'#orgDung'!EO43)</f>
        <v/>
      </c>
      <c r="AP42" s="1026" t="str">
        <f>IF(AN42="","",'#orgDung'!EP43)</f>
        <v/>
      </c>
      <c r="AQ42" s="1027" t="str">
        <f>IF(AN42="","",'#orgDung'!ER43)</f>
        <v/>
      </c>
      <c r="AR42" s="1025"/>
      <c r="AS42" s="1026" t="str">
        <f>IF(AR42="","",'#orgDung'!FD43)</f>
        <v/>
      </c>
      <c r="AT42" s="1026" t="str">
        <f>IF(AR42="","",'#orgDung'!FE43)</f>
        <v/>
      </c>
      <c r="AU42" s="1027" t="str">
        <f>IF(AR42="","",'#orgDung'!FG43)</f>
        <v/>
      </c>
      <c r="AV42" s="1025"/>
      <c r="AW42" s="1026" t="str">
        <f>IF(AV42="","",'#orgDung'!FS43)</f>
        <v/>
      </c>
      <c r="AX42" s="1026" t="str">
        <f>IF(AV42="","",'#orgDung'!FT43)</f>
        <v/>
      </c>
      <c r="AY42" s="1027" t="str">
        <f>IF(AV42="","",'#orgDung'!FV43)</f>
        <v/>
      </c>
      <c r="AZ42" s="1025"/>
      <c r="BA42" s="1026" t="str">
        <f>IF(AZ42="","",'#orgDung'!GH43)</f>
        <v/>
      </c>
      <c r="BB42" s="1026" t="str">
        <f>IF(AZ42="","",'#orgDung'!GI43)</f>
        <v/>
      </c>
      <c r="BC42" s="1027" t="str">
        <f>IF(AZ42="","",'#orgDung'!GK43)</f>
        <v/>
      </c>
      <c r="BD42" s="1025"/>
      <c r="BE42" s="1026" t="str">
        <f>IF(BD42="","",'#orgDung'!GW43)</f>
        <v/>
      </c>
      <c r="BF42" s="1026" t="str">
        <f>IF(BD42="","",'#orgDung'!GX43)</f>
        <v/>
      </c>
      <c r="BG42" s="1027" t="str">
        <f>IF(BD42="","",'#orgDung'!GZ43)</f>
        <v/>
      </c>
      <c r="BH42" s="1025"/>
      <c r="BI42" s="1026" t="str">
        <f>IF(BH42="","",'#orgDung'!HL43)</f>
        <v/>
      </c>
      <c r="BJ42" s="1026" t="str">
        <f>IF(BH42="","",'#orgDung'!HM43)</f>
        <v/>
      </c>
      <c r="BK42" s="1027" t="str">
        <f>IF(BH42="","",'#orgDung'!HO43)</f>
        <v/>
      </c>
      <c r="BL42" s="1025"/>
      <c r="BM42" s="1026" t="str">
        <f>IF(BL42="","",'#orgDung'!IA43)</f>
        <v/>
      </c>
      <c r="BN42" s="1026" t="str">
        <f>IF(BL42="","",'#orgDung'!IB43)</f>
        <v/>
      </c>
      <c r="BO42" s="1027" t="str">
        <f>IF(BL42="","",'#orgDung'!ID43)</f>
        <v/>
      </c>
      <c r="BP42" s="1025"/>
      <c r="BQ42" s="1026" t="str">
        <f>IF(BP42="","",'#orgDung'!IP43)</f>
        <v/>
      </c>
      <c r="BR42" s="1026" t="str">
        <f>IF(BP42="","",'#orgDung'!IQ43)</f>
        <v/>
      </c>
      <c r="BS42" s="1027" t="str">
        <f>IF(BP42="","",'#orgDung'!IS43)</f>
        <v/>
      </c>
      <c r="BT42" s="1025"/>
      <c r="BU42" s="1026" t="str">
        <f>IF(BT42="","",'#orgDung'!JE43)</f>
        <v/>
      </c>
      <c r="BV42" s="1026" t="str">
        <f>IF(BT42="","",'#orgDung'!JF43)</f>
        <v/>
      </c>
      <c r="BW42" s="1027" t="str">
        <f>IF(BT42="","",'#orgDung'!JH43)</f>
        <v/>
      </c>
      <c r="BX42" s="1025"/>
      <c r="BY42" s="1026" t="str">
        <f>IF(BX42="","",'#orgDung'!JT43)</f>
        <v/>
      </c>
      <c r="BZ42" s="1026" t="str">
        <f>IF(BX42="","",'#orgDung'!JU43)</f>
        <v/>
      </c>
      <c r="CA42" s="1027" t="str">
        <f>IF(BX42="","",'#orgDung'!JW43)</f>
        <v/>
      </c>
      <c r="CB42" s="1025"/>
      <c r="CC42" s="1026" t="str">
        <f>IF(CB42="","",'#orgDung'!KI43)</f>
        <v/>
      </c>
      <c r="CD42" s="1026" t="str">
        <f>IF(CB42="","",'#orgDung'!KJ43)</f>
        <v/>
      </c>
      <c r="CE42" s="1027" t="str">
        <f>IF(CB42="","",'#orgDung'!KL43)</f>
        <v/>
      </c>
      <c r="CF42" s="1025"/>
      <c r="CG42" s="1026" t="str">
        <f>IF(CF42="","",'#orgDung'!KX43)</f>
        <v/>
      </c>
      <c r="CH42" s="1026" t="str">
        <f>IF(CF42="","",'#orgDung'!KY43)</f>
        <v/>
      </c>
      <c r="CI42" s="1027" t="str">
        <f>IF(CF42="","",'#orgDung'!LA43)</f>
        <v/>
      </c>
      <c r="CJ42" s="1025"/>
      <c r="CK42" s="1026" t="str">
        <f>IF(CJ42="","",'#orgDung'!LM43)</f>
        <v/>
      </c>
      <c r="CL42" s="1026" t="str">
        <f>IF(CJ42="","",'#orgDung'!LN43)</f>
        <v/>
      </c>
      <c r="CM42" s="1027" t="str">
        <f>IF(CJ42="","",'#orgDung'!LP43)</f>
        <v/>
      </c>
      <c r="CN42" s="1025"/>
      <c r="CO42" s="1026" t="str">
        <f>IF(CN42="","",'#orgDung'!MB43)</f>
        <v/>
      </c>
      <c r="CP42" s="1026" t="str">
        <f>IF(CN42="","",'#orgDung'!MC43)</f>
        <v/>
      </c>
      <c r="CQ42" s="1027" t="str">
        <f>IF(CN42="","",'#orgDung'!ME43)</f>
        <v/>
      </c>
      <c r="CR42" s="1025"/>
      <c r="CS42" s="1026" t="str">
        <f>IF(CR42="","",'#orgDung'!MQ43)</f>
        <v/>
      </c>
      <c r="CT42" s="1026" t="str">
        <f>IF(CR42="","",'#orgDung'!MR43)</f>
        <v/>
      </c>
      <c r="CU42" s="1027" t="str">
        <f>IF(CR42="","",'#orgDung'!MT43)</f>
        <v/>
      </c>
      <c r="CV42" s="1025"/>
      <c r="CW42" s="1026" t="str">
        <f>IF(CV42="","",'#orgDung'!NF43)</f>
        <v/>
      </c>
      <c r="CX42" s="1026" t="str">
        <f>IF(CV42="","",'#orgDung'!NG43)</f>
        <v/>
      </c>
      <c r="CY42" s="1027" t="str">
        <f>IF(CV42="","",'#orgDung'!NI43)</f>
        <v/>
      </c>
      <c r="CZ42" s="1025"/>
      <c r="DA42" s="1026" t="str">
        <f>IF(CZ42="","",'#orgDung'!NU43)</f>
        <v/>
      </c>
      <c r="DB42" s="1026" t="str">
        <f>IF(CZ42="","",'#orgDung'!NV43)</f>
        <v/>
      </c>
      <c r="DC42" s="1027" t="str">
        <f>IF(CZ42="","",'#orgDung'!NX43)</f>
        <v/>
      </c>
      <c r="DD42" s="1025"/>
      <c r="DE42" s="1026" t="str">
        <f>IF(DD42="","",'#orgDung'!OJ43)</f>
        <v/>
      </c>
      <c r="DF42" s="1026" t="str">
        <f>IF(DD42="","",'#orgDung'!OK43)</f>
        <v/>
      </c>
      <c r="DG42" s="1027" t="str">
        <f>IF(DD42="","",'#orgDung'!OM43)</f>
        <v/>
      </c>
      <c r="DH42" s="1025"/>
      <c r="DI42" s="1026" t="str">
        <f>IF(DH42="","",'#orgDung'!OY43)</f>
        <v/>
      </c>
      <c r="DJ42" s="1026" t="str">
        <f>IF(DH42="","",'#orgDung'!OZ43)</f>
        <v/>
      </c>
      <c r="DK42" s="1027" t="str">
        <f>IF(DH42="","",'#orgDung'!PB43)</f>
        <v/>
      </c>
      <c r="DL42" s="1025"/>
      <c r="DM42" s="1026" t="str">
        <f>IF(DL42="","",'#orgDung'!PN43)</f>
        <v/>
      </c>
      <c r="DN42" s="1026" t="str">
        <f>IF(DL42="","",'#orgDung'!PO43)</f>
        <v/>
      </c>
      <c r="DO42" s="1027" t="str">
        <f>IF(DL42="","",'#orgDung'!PQ43)</f>
        <v/>
      </c>
      <c r="DP42" s="1025"/>
      <c r="DQ42" s="1026" t="str">
        <f>IF(DP42="","",'#orgDung'!QC43)</f>
        <v/>
      </c>
      <c r="DR42" s="1026" t="str">
        <f>IF(DP42="","",'#orgDung'!QD43)</f>
        <v/>
      </c>
      <c r="DS42" s="1027" t="str">
        <f>IF(DP42="","",'#orgDung'!QF43)</f>
        <v/>
      </c>
      <c r="DT42" s="1025"/>
      <c r="DU42" s="1026" t="str">
        <f>IF(DT42="","",'#orgDung'!QR43)</f>
        <v/>
      </c>
      <c r="DV42" s="1026" t="str">
        <f>IF(DT42="","",'#orgDung'!QS43)</f>
        <v/>
      </c>
      <c r="DW42" s="1027" t="str">
        <f>IF(DT42="","",'#orgDung'!QU43)</f>
        <v/>
      </c>
      <c r="DX42" s="1025"/>
      <c r="DY42" s="1026" t="str">
        <f>IF(DX42="","",'#orgDung'!RG43)</f>
        <v/>
      </c>
      <c r="DZ42" s="1026" t="str">
        <f>IF(DX42="","",'#orgDung'!RH43)</f>
        <v/>
      </c>
      <c r="EA42" s="1027" t="str">
        <f>IF(DX42="","",'#orgDung'!RJ43)</f>
        <v/>
      </c>
    </row>
    <row r="43" spans="1:131" ht="15" customHeight="1" x14ac:dyDescent="0.2">
      <c r="A43" s="1195">
        <f>'Flächen u. Kulturen'!A40</f>
        <v>31</v>
      </c>
      <c r="B43" s="1195" t="str">
        <f>IF('Flächen u. Kulturen'!B40="","",'Flächen u. Kulturen'!B40)</f>
        <v/>
      </c>
      <c r="C43" s="1196" t="str">
        <f>IF('Flächen u. Kulturen'!D40="","",'Flächen u. Kulturen'!D40)</f>
        <v/>
      </c>
      <c r="D43" s="1197" t="str">
        <f>IF(C43="","",IF('#BerechnungDBE'!Q35&lt;4,"x",""))</f>
        <v/>
      </c>
      <c r="E43" s="1198" t="str">
        <f>IF(C43="","",VLOOKUP('Flächen u. Kulturen'!L40,'#Zweitfr'!$D$8:$F$28,'#Zweitfr'!$F$1,FALSE))</f>
        <v/>
      </c>
      <c r="F43" s="1199" t="str">
        <f>IF(C43="","",IF('Flächen u. Kulturen'!E40="x",'Flächen u. Kulturen'!P40,"nicht im Betrieb"))</f>
        <v/>
      </c>
      <c r="G43" s="1200" t="str">
        <f>IF(C43="","",IF('#orgDung'!C44=2,"--",IF('#Kürzungen'!$F$2=2,"--",'#orgDung'!R44)))</f>
        <v/>
      </c>
      <c r="H43" s="1200" t="str">
        <f>IF(C43="","",'#orgDung'!U44)</f>
        <v/>
      </c>
      <c r="I43" s="1201" t="str">
        <f>IF(C43="","",IF(COUNT('#orgDung'!RS44:SA44)=0,"OK",TRIM(CONCATENATE('#orgDung'!RS44," ",'#orgDung'!RT44," ",'#orgDung'!RU44," ",'#orgDung'!RV44," ",'#orgDung'!RW44," ",'#orgDung'!RX44," ",'#orgDung'!RY44," ",'#orgDung'!RZ44," ",'#orgDung'!SA44))))</f>
        <v/>
      </c>
      <c r="J43" s="1023"/>
      <c r="K43" s="1024"/>
      <c r="L43" s="1025"/>
      <c r="M43" s="1026" t="str">
        <f>IF(L43="","",'#orgDung'!AN44)</f>
        <v/>
      </c>
      <c r="N43" s="1026" t="str">
        <f>IF(L43="","",'#orgDung'!AO44)</f>
        <v/>
      </c>
      <c r="O43" s="1027" t="str">
        <f>IF(L43="","",'#orgDung'!AQ44)</f>
        <v/>
      </c>
      <c r="P43" s="1025"/>
      <c r="Q43" s="1026" t="str">
        <f>IF(P43="","",'#orgDung'!BC44)</f>
        <v/>
      </c>
      <c r="R43" s="1026" t="str">
        <f>IF(P43="","",'#orgDung'!BD44)</f>
        <v/>
      </c>
      <c r="S43" s="1027" t="str">
        <f>IF(P43="","",'#orgDung'!BF44)</f>
        <v/>
      </c>
      <c r="T43" s="1025"/>
      <c r="U43" s="1026" t="str">
        <f>IF(T43="","",'#orgDung'!BR44)</f>
        <v/>
      </c>
      <c r="V43" s="1026" t="str">
        <f>IF(T43="","",'#orgDung'!BS44)</f>
        <v/>
      </c>
      <c r="W43" s="1027" t="str">
        <f>IF(T43="","",'#orgDung'!BU44)</f>
        <v/>
      </c>
      <c r="X43" s="1025"/>
      <c r="Y43" s="1026" t="str">
        <f>IF(X43="","",'#orgDung'!CG44)</f>
        <v/>
      </c>
      <c r="Z43" s="1026" t="str">
        <f>IF(X43="","",'#orgDung'!CH44)</f>
        <v/>
      </c>
      <c r="AA43" s="1027" t="str">
        <f>IF(X43="","",'#orgDung'!CJ44)</f>
        <v/>
      </c>
      <c r="AB43" s="1025"/>
      <c r="AC43" s="1026" t="str">
        <f>IF(AB43="","",'#orgDung'!CV44)</f>
        <v/>
      </c>
      <c r="AD43" s="1026" t="str">
        <f>IF(AB43="","",'#orgDung'!CW44)</f>
        <v/>
      </c>
      <c r="AE43" s="1027" t="str">
        <f>IF(AB43="","",'#orgDung'!CY44)</f>
        <v/>
      </c>
      <c r="AF43" s="1025"/>
      <c r="AG43" s="1026" t="str">
        <f>IF(AF43="","",'#orgDung'!DK44)</f>
        <v/>
      </c>
      <c r="AH43" s="1026" t="str">
        <f>IF(AF43="","",'#orgDung'!DL44)</f>
        <v/>
      </c>
      <c r="AI43" s="1027" t="str">
        <f>IF(AF43="","",'#orgDung'!DN44)</f>
        <v/>
      </c>
      <c r="AJ43" s="1025"/>
      <c r="AK43" s="1026" t="str">
        <f>IF(AJ43="","",'#orgDung'!DZ44)</f>
        <v/>
      </c>
      <c r="AL43" s="1026" t="str">
        <f>IF(AJ43="","",'#orgDung'!EA44)</f>
        <v/>
      </c>
      <c r="AM43" s="1027" t="str">
        <f>IF(AJ43="","",'#orgDung'!EC44)</f>
        <v/>
      </c>
      <c r="AN43" s="1025"/>
      <c r="AO43" s="1026" t="str">
        <f>IF(AN43="","",'#orgDung'!EO44)</f>
        <v/>
      </c>
      <c r="AP43" s="1026" t="str">
        <f>IF(AN43="","",'#orgDung'!EP44)</f>
        <v/>
      </c>
      <c r="AQ43" s="1027" t="str">
        <f>IF(AN43="","",'#orgDung'!ER44)</f>
        <v/>
      </c>
      <c r="AR43" s="1025"/>
      <c r="AS43" s="1026" t="str">
        <f>IF(AR43="","",'#orgDung'!FD44)</f>
        <v/>
      </c>
      <c r="AT43" s="1026" t="str">
        <f>IF(AR43="","",'#orgDung'!FE44)</f>
        <v/>
      </c>
      <c r="AU43" s="1027" t="str">
        <f>IF(AR43="","",'#orgDung'!FG44)</f>
        <v/>
      </c>
      <c r="AV43" s="1025"/>
      <c r="AW43" s="1026" t="str">
        <f>IF(AV43="","",'#orgDung'!FS44)</f>
        <v/>
      </c>
      <c r="AX43" s="1026" t="str">
        <f>IF(AV43="","",'#orgDung'!FT44)</f>
        <v/>
      </c>
      <c r="AY43" s="1027" t="str">
        <f>IF(AV43="","",'#orgDung'!FV44)</f>
        <v/>
      </c>
      <c r="AZ43" s="1025"/>
      <c r="BA43" s="1026" t="str">
        <f>IF(AZ43="","",'#orgDung'!GH44)</f>
        <v/>
      </c>
      <c r="BB43" s="1026" t="str">
        <f>IF(AZ43="","",'#orgDung'!GI44)</f>
        <v/>
      </c>
      <c r="BC43" s="1027" t="str">
        <f>IF(AZ43="","",'#orgDung'!GK44)</f>
        <v/>
      </c>
      <c r="BD43" s="1025"/>
      <c r="BE43" s="1026" t="str">
        <f>IF(BD43="","",'#orgDung'!GW44)</f>
        <v/>
      </c>
      <c r="BF43" s="1026" t="str">
        <f>IF(BD43="","",'#orgDung'!GX44)</f>
        <v/>
      </c>
      <c r="BG43" s="1027" t="str">
        <f>IF(BD43="","",'#orgDung'!GZ44)</f>
        <v/>
      </c>
      <c r="BH43" s="1025"/>
      <c r="BI43" s="1026" t="str">
        <f>IF(BH43="","",'#orgDung'!HL44)</f>
        <v/>
      </c>
      <c r="BJ43" s="1026" t="str">
        <f>IF(BH43="","",'#orgDung'!HM44)</f>
        <v/>
      </c>
      <c r="BK43" s="1027" t="str">
        <f>IF(BH43="","",'#orgDung'!HO44)</f>
        <v/>
      </c>
      <c r="BL43" s="1025"/>
      <c r="BM43" s="1026" t="str">
        <f>IF(BL43="","",'#orgDung'!IA44)</f>
        <v/>
      </c>
      <c r="BN43" s="1026" t="str">
        <f>IF(BL43="","",'#orgDung'!IB44)</f>
        <v/>
      </c>
      <c r="BO43" s="1027" t="str">
        <f>IF(BL43="","",'#orgDung'!ID44)</f>
        <v/>
      </c>
      <c r="BP43" s="1025"/>
      <c r="BQ43" s="1026" t="str">
        <f>IF(BP43="","",'#orgDung'!IP44)</f>
        <v/>
      </c>
      <c r="BR43" s="1026" t="str">
        <f>IF(BP43="","",'#orgDung'!IQ44)</f>
        <v/>
      </c>
      <c r="BS43" s="1027" t="str">
        <f>IF(BP43="","",'#orgDung'!IS44)</f>
        <v/>
      </c>
      <c r="BT43" s="1025"/>
      <c r="BU43" s="1026" t="str">
        <f>IF(BT43="","",'#orgDung'!JE44)</f>
        <v/>
      </c>
      <c r="BV43" s="1026" t="str">
        <f>IF(BT43="","",'#orgDung'!JF44)</f>
        <v/>
      </c>
      <c r="BW43" s="1027" t="str">
        <f>IF(BT43="","",'#orgDung'!JH44)</f>
        <v/>
      </c>
      <c r="BX43" s="1025"/>
      <c r="BY43" s="1026" t="str">
        <f>IF(BX43="","",'#orgDung'!JT44)</f>
        <v/>
      </c>
      <c r="BZ43" s="1026" t="str">
        <f>IF(BX43="","",'#orgDung'!JU44)</f>
        <v/>
      </c>
      <c r="CA43" s="1027" t="str">
        <f>IF(BX43="","",'#orgDung'!JW44)</f>
        <v/>
      </c>
      <c r="CB43" s="1025"/>
      <c r="CC43" s="1026" t="str">
        <f>IF(CB43="","",'#orgDung'!KI44)</f>
        <v/>
      </c>
      <c r="CD43" s="1026" t="str">
        <f>IF(CB43="","",'#orgDung'!KJ44)</f>
        <v/>
      </c>
      <c r="CE43" s="1027" t="str">
        <f>IF(CB43="","",'#orgDung'!KL44)</f>
        <v/>
      </c>
      <c r="CF43" s="1025"/>
      <c r="CG43" s="1026" t="str">
        <f>IF(CF43="","",'#orgDung'!KX44)</f>
        <v/>
      </c>
      <c r="CH43" s="1026" t="str">
        <f>IF(CF43="","",'#orgDung'!KY44)</f>
        <v/>
      </c>
      <c r="CI43" s="1027" t="str">
        <f>IF(CF43="","",'#orgDung'!LA44)</f>
        <v/>
      </c>
      <c r="CJ43" s="1025"/>
      <c r="CK43" s="1026" t="str">
        <f>IF(CJ43="","",'#orgDung'!LM44)</f>
        <v/>
      </c>
      <c r="CL43" s="1026" t="str">
        <f>IF(CJ43="","",'#orgDung'!LN44)</f>
        <v/>
      </c>
      <c r="CM43" s="1027" t="str">
        <f>IF(CJ43="","",'#orgDung'!LP44)</f>
        <v/>
      </c>
      <c r="CN43" s="1025"/>
      <c r="CO43" s="1026" t="str">
        <f>IF(CN43="","",'#orgDung'!MB44)</f>
        <v/>
      </c>
      <c r="CP43" s="1026" t="str">
        <f>IF(CN43="","",'#orgDung'!MC44)</f>
        <v/>
      </c>
      <c r="CQ43" s="1027" t="str">
        <f>IF(CN43="","",'#orgDung'!ME44)</f>
        <v/>
      </c>
      <c r="CR43" s="1025"/>
      <c r="CS43" s="1026" t="str">
        <f>IF(CR43="","",'#orgDung'!MQ44)</f>
        <v/>
      </c>
      <c r="CT43" s="1026" t="str">
        <f>IF(CR43="","",'#orgDung'!MR44)</f>
        <v/>
      </c>
      <c r="CU43" s="1027" t="str">
        <f>IF(CR43="","",'#orgDung'!MT44)</f>
        <v/>
      </c>
      <c r="CV43" s="1025"/>
      <c r="CW43" s="1026" t="str">
        <f>IF(CV43="","",'#orgDung'!NF44)</f>
        <v/>
      </c>
      <c r="CX43" s="1026" t="str">
        <f>IF(CV43="","",'#orgDung'!NG44)</f>
        <v/>
      </c>
      <c r="CY43" s="1027" t="str">
        <f>IF(CV43="","",'#orgDung'!NI44)</f>
        <v/>
      </c>
      <c r="CZ43" s="1025"/>
      <c r="DA43" s="1026" t="str">
        <f>IF(CZ43="","",'#orgDung'!NU44)</f>
        <v/>
      </c>
      <c r="DB43" s="1026" t="str">
        <f>IF(CZ43="","",'#orgDung'!NV44)</f>
        <v/>
      </c>
      <c r="DC43" s="1027" t="str">
        <f>IF(CZ43="","",'#orgDung'!NX44)</f>
        <v/>
      </c>
      <c r="DD43" s="1025"/>
      <c r="DE43" s="1026" t="str">
        <f>IF(DD43="","",'#orgDung'!OJ44)</f>
        <v/>
      </c>
      <c r="DF43" s="1026" t="str">
        <f>IF(DD43="","",'#orgDung'!OK44)</f>
        <v/>
      </c>
      <c r="DG43" s="1027" t="str">
        <f>IF(DD43="","",'#orgDung'!OM44)</f>
        <v/>
      </c>
      <c r="DH43" s="1025"/>
      <c r="DI43" s="1026" t="str">
        <f>IF(DH43="","",'#orgDung'!OY44)</f>
        <v/>
      </c>
      <c r="DJ43" s="1026" t="str">
        <f>IF(DH43="","",'#orgDung'!OZ44)</f>
        <v/>
      </c>
      <c r="DK43" s="1027" t="str">
        <f>IF(DH43="","",'#orgDung'!PB44)</f>
        <v/>
      </c>
      <c r="DL43" s="1025"/>
      <c r="DM43" s="1026" t="str">
        <f>IF(DL43="","",'#orgDung'!PN44)</f>
        <v/>
      </c>
      <c r="DN43" s="1026" t="str">
        <f>IF(DL43="","",'#orgDung'!PO44)</f>
        <v/>
      </c>
      <c r="DO43" s="1027" t="str">
        <f>IF(DL43="","",'#orgDung'!PQ44)</f>
        <v/>
      </c>
      <c r="DP43" s="1025"/>
      <c r="DQ43" s="1026" t="str">
        <f>IF(DP43="","",'#orgDung'!QC44)</f>
        <v/>
      </c>
      <c r="DR43" s="1026" t="str">
        <f>IF(DP43="","",'#orgDung'!QD44)</f>
        <v/>
      </c>
      <c r="DS43" s="1027" t="str">
        <f>IF(DP43="","",'#orgDung'!QF44)</f>
        <v/>
      </c>
      <c r="DT43" s="1025"/>
      <c r="DU43" s="1026" t="str">
        <f>IF(DT43="","",'#orgDung'!QR44)</f>
        <v/>
      </c>
      <c r="DV43" s="1026" t="str">
        <f>IF(DT43="","",'#orgDung'!QS44)</f>
        <v/>
      </c>
      <c r="DW43" s="1027" t="str">
        <f>IF(DT43="","",'#orgDung'!QU44)</f>
        <v/>
      </c>
      <c r="DX43" s="1025"/>
      <c r="DY43" s="1026" t="str">
        <f>IF(DX43="","",'#orgDung'!RG44)</f>
        <v/>
      </c>
      <c r="DZ43" s="1026" t="str">
        <f>IF(DX43="","",'#orgDung'!RH44)</f>
        <v/>
      </c>
      <c r="EA43" s="1027" t="str">
        <f>IF(DX43="","",'#orgDung'!RJ44)</f>
        <v/>
      </c>
    </row>
    <row r="44" spans="1:131" ht="15" customHeight="1" x14ac:dyDescent="0.2">
      <c r="A44" s="1195">
        <f>'Flächen u. Kulturen'!A41</f>
        <v>32</v>
      </c>
      <c r="B44" s="1195" t="str">
        <f>IF('Flächen u. Kulturen'!B41="","",'Flächen u. Kulturen'!B41)</f>
        <v/>
      </c>
      <c r="C44" s="1196" t="str">
        <f>IF('Flächen u. Kulturen'!D41="","",'Flächen u. Kulturen'!D41)</f>
        <v/>
      </c>
      <c r="D44" s="1197" t="str">
        <f>IF(C44="","",IF('#BerechnungDBE'!Q36&lt;4,"x",""))</f>
        <v/>
      </c>
      <c r="E44" s="1198" t="str">
        <f>IF(C44="","",VLOOKUP('Flächen u. Kulturen'!L41,'#Zweitfr'!$D$8:$F$28,'#Zweitfr'!$F$1,FALSE))</f>
        <v/>
      </c>
      <c r="F44" s="1199" t="str">
        <f>IF(C44="","",IF('Flächen u. Kulturen'!E41="x",'Flächen u. Kulturen'!P41,"nicht im Betrieb"))</f>
        <v/>
      </c>
      <c r="G44" s="1200" t="str">
        <f>IF(C44="","",IF('#orgDung'!C45=2,"--",IF('#Kürzungen'!$F$2=2,"--",'#orgDung'!R45)))</f>
        <v/>
      </c>
      <c r="H44" s="1200" t="str">
        <f>IF(C44="","",'#orgDung'!U45)</f>
        <v/>
      </c>
      <c r="I44" s="1201" t="str">
        <f>IF(C44="","",IF(COUNT('#orgDung'!RS45:SA45)=0,"OK",TRIM(CONCATENATE('#orgDung'!RS45," ",'#orgDung'!RT45," ",'#orgDung'!RU45," ",'#orgDung'!RV45," ",'#orgDung'!RW45," ",'#orgDung'!RX45," ",'#orgDung'!RY45," ",'#orgDung'!RZ45," ",'#orgDung'!SA45))))</f>
        <v/>
      </c>
      <c r="J44" s="1023"/>
      <c r="K44" s="1024"/>
      <c r="L44" s="1025"/>
      <c r="M44" s="1026" t="str">
        <f>IF(L44="","",'#orgDung'!AN45)</f>
        <v/>
      </c>
      <c r="N44" s="1026" t="str">
        <f>IF(L44="","",'#orgDung'!AO45)</f>
        <v/>
      </c>
      <c r="O44" s="1027" t="str">
        <f>IF(L44="","",'#orgDung'!AQ45)</f>
        <v/>
      </c>
      <c r="P44" s="1025"/>
      <c r="Q44" s="1026" t="str">
        <f>IF(P44="","",'#orgDung'!BC45)</f>
        <v/>
      </c>
      <c r="R44" s="1026" t="str">
        <f>IF(P44="","",'#orgDung'!BD45)</f>
        <v/>
      </c>
      <c r="S44" s="1027" t="str">
        <f>IF(P44="","",'#orgDung'!BF45)</f>
        <v/>
      </c>
      <c r="T44" s="1025"/>
      <c r="U44" s="1026" t="str">
        <f>IF(T44="","",'#orgDung'!BR45)</f>
        <v/>
      </c>
      <c r="V44" s="1026" t="str">
        <f>IF(T44="","",'#orgDung'!BS45)</f>
        <v/>
      </c>
      <c r="W44" s="1027" t="str">
        <f>IF(T44="","",'#orgDung'!BU45)</f>
        <v/>
      </c>
      <c r="X44" s="1025"/>
      <c r="Y44" s="1026" t="str">
        <f>IF(X44="","",'#orgDung'!CG45)</f>
        <v/>
      </c>
      <c r="Z44" s="1026" t="str">
        <f>IF(X44="","",'#orgDung'!CH45)</f>
        <v/>
      </c>
      <c r="AA44" s="1027" t="str">
        <f>IF(X44="","",'#orgDung'!CJ45)</f>
        <v/>
      </c>
      <c r="AB44" s="1025"/>
      <c r="AC44" s="1026" t="str">
        <f>IF(AB44="","",'#orgDung'!CV45)</f>
        <v/>
      </c>
      <c r="AD44" s="1026" t="str">
        <f>IF(AB44="","",'#orgDung'!CW45)</f>
        <v/>
      </c>
      <c r="AE44" s="1027" t="str">
        <f>IF(AB44="","",'#orgDung'!CY45)</f>
        <v/>
      </c>
      <c r="AF44" s="1025"/>
      <c r="AG44" s="1026" t="str">
        <f>IF(AF44="","",'#orgDung'!DK45)</f>
        <v/>
      </c>
      <c r="AH44" s="1026" t="str">
        <f>IF(AF44="","",'#orgDung'!DL45)</f>
        <v/>
      </c>
      <c r="AI44" s="1027" t="str">
        <f>IF(AF44="","",'#orgDung'!DN45)</f>
        <v/>
      </c>
      <c r="AJ44" s="1025"/>
      <c r="AK44" s="1026" t="str">
        <f>IF(AJ44="","",'#orgDung'!DZ45)</f>
        <v/>
      </c>
      <c r="AL44" s="1026" t="str">
        <f>IF(AJ44="","",'#orgDung'!EA45)</f>
        <v/>
      </c>
      <c r="AM44" s="1027" t="str">
        <f>IF(AJ44="","",'#orgDung'!EC45)</f>
        <v/>
      </c>
      <c r="AN44" s="1025"/>
      <c r="AO44" s="1026" t="str">
        <f>IF(AN44="","",'#orgDung'!EO45)</f>
        <v/>
      </c>
      <c r="AP44" s="1026" t="str">
        <f>IF(AN44="","",'#orgDung'!EP45)</f>
        <v/>
      </c>
      <c r="AQ44" s="1027" t="str">
        <f>IF(AN44="","",'#orgDung'!ER45)</f>
        <v/>
      </c>
      <c r="AR44" s="1025"/>
      <c r="AS44" s="1026" t="str">
        <f>IF(AR44="","",'#orgDung'!FD45)</f>
        <v/>
      </c>
      <c r="AT44" s="1026" t="str">
        <f>IF(AR44="","",'#orgDung'!FE45)</f>
        <v/>
      </c>
      <c r="AU44" s="1027" t="str">
        <f>IF(AR44="","",'#orgDung'!FG45)</f>
        <v/>
      </c>
      <c r="AV44" s="1025"/>
      <c r="AW44" s="1026" t="str">
        <f>IF(AV44="","",'#orgDung'!FS45)</f>
        <v/>
      </c>
      <c r="AX44" s="1026" t="str">
        <f>IF(AV44="","",'#orgDung'!FT45)</f>
        <v/>
      </c>
      <c r="AY44" s="1027" t="str">
        <f>IF(AV44="","",'#orgDung'!FV45)</f>
        <v/>
      </c>
      <c r="AZ44" s="1025"/>
      <c r="BA44" s="1026" t="str">
        <f>IF(AZ44="","",'#orgDung'!GH45)</f>
        <v/>
      </c>
      <c r="BB44" s="1026" t="str">
        <f>IF(AZ44="","",'#orgDung'!GI45)</f>
        <v/>
      </c>
      <c r="BC44" s="1027" t="str">
        <f>IF(AZ44="","",'#orgDung'!GK45)</f>
        <v/>
      </c>
      <c r="BD44" s="1025"/>
      <c r="BE44" s="1026" t="str">
        <f>IF(BD44="","",'#orgDung'!GW45)</f>
        <v/>
      </c>
      <c r="BF44" s="1026" t="str">
        <f>IF(BD44="","",'#orgDung'!GX45)</f>
        <v/>
      </c>
      <c r="BG44" s="1027" t="str">
        <f>IF(BD44="","",'#orgDung'!GZ45)</f>
        <v/>
      </c>
      <c r="BH44" s="1025"/>
      <c r="BI44" s="1026" t="str">
        <f>IF(BH44="","",'#orgDung'!HL45)</f>
        <v/>
      </c>
      <c r="BJ44" s="1026" t="str">
        <f>IF(BH44="","",'#orgDung'!HM45)</f>
        <v/>
      </c>
      <c r="BK44" s="1027" t="str">
        <f>IF(BH44="","",'#orgDung'!HO45)</f>
        <v/>
      </c>
      <c r="BL44" s="1025"/>
      <c r="BM44" s="1026" t="str">
        <f>IF(BL44="","",'#orgDung'!IA45)</f>
        <v/>
      </c>
      <c r="BN44" s="1026" t="str">
        <f>IF(BL44="","",'#orgDung'!IB45)</f>
        <v/>
      </c>
      <c r="BO44" s="1027" t="str">
        <f>IF(BL44="","",'#orgDung'!ID45)</f>
        <v/>
      </c>
      <c r="BP44" s="1025"/>
      <c r="BQ44" s="1026" t="str">
        <f>IF(BP44="","",'#orgDung'!IP45)</f>
        <v/>
      </c>
      <c r="BR44" s="1026" t="str">
        <f>IF(BP44="","",'#orgDung'!IQ45)</f>
        <v/>
      </c>
      <c r="BS44" s="1027" t="str">
        <f>IF(BP44="","",'#orgDung'!IS45)</f>
        <v/>
      </c>
      <c r="BT44" s="1025"/>
      <c r="BU44" s="1026" t="str">
        <f>IF(BT44="","",'#orgDung'!JE45)</f>
        <v/>
      </c>
      <c r="BV44" s="1026" t="str">
        <f>IF(BT44="","",'#orgDung'!JF45)</f>
        <v/>
      </c>
      <c r="BW44" s="1027" t="str">
        <f>IF(BT44="","",'#orgDung'!JH45)</f>
        <v/>
      </c>
      <c r="BX44" s="1025"/>
      <c r="BY44" s="1026" t="str">
        <f>IF(BX44="","",'#orgDung'!JT45)</f>
        <v/>
      </c>
      <c r="BZ44" s="1026" t="str">
        <f>IF(BX44="","",'#orgDung'!JU45)</f>
        <v/>
      </c>
      <c r="CA44" s="1027" t="str">
        <f>IF(BX44="","",'#orgDung'!JW45)</f>
        <v/>
      </c>
      <c r="CB44" s="1025"/>
      <c r="CC44" s="1026" t="str">
        <f>IF(CB44="","",'#orgDung'!KI45)</f>
        <v/>
      </c>
      <c r="CD44" s="1026" t="str">
        <f>IF(CB44="","",'#orgDung'!KJ45)</f>
        <v/>
      </c>
      <c r="CE44" s="1027" t="str">
        <f>IF(CB44="","",'#orgDung'!KL45)</f>
        <v/>
      </c>
      <c r="CF44" s="1025"/>
      <c r="CG44" s="1026" t="str">
        <f>IF(CF44="","",'#orgDung'!KX45)</f>
        <v/>
      </c>
      <c r="CH44" s="1026" t="str">
        <f>IF(CF44="","",'#orgDung'!KY45)</f>
        <v/>
      </c>
      <c r="CI44" s="1027" t="str">
        <f>IF(CF44="","",'#orgDung'!LA45)</f>
        <v/>
      </c>
      <c r="CJ44" s="1025"/>
      <c r="CK44" s="1026" t="str">
        <f>IF(CJ44="","",'#orgDung'!LM45)</f>
        <v/>
      </c>
      <c r="CL44" s="1026" t="str">
        <f>IF(CJ44="","",'#orgDung'!LN45)</f>
        <v/>
      </c>
      <c r="CM44" s="1027" t="str">
        <f>IF(CJ44="","",'#orgDung'!LP45)</f>
        <v/>
      </c>
      <c r="CN44" s="1025"/>
      <c r="CO44" s="1026" t="str">
        <f>IF(CN44="","",'#orgDung'!MB45)</f>
        <v/>
      </c>
      <c r="CP44" s="1026" t="str">
        <f>IF(CN44="","",'#orgDung'!MC45)</f>
        <v/>
      </c>
      <c r="CQ44" s="1027" t="str">
        <f>IF(CN44="","",'#orgDung'!ME45)</f>
        <v/>
      </c>
      <c r="CR44" s="1025"/>
      <c r="CS44" s="1026" t="str">
        <f>IF(CR44="","",'#orgDung'!MQ45)</f>
        <v/>
      </c>
      <c r="CT44" s="1026" t="str">
        <f>IF(CR44="","",'#orgDung'!MR45)</f>
        <v/>
      </c>
      <c r="CU44" s="1027" t="str">
        <f>IF(CR44="","",'#orgDung'!MT45)</f>
        <v/>
      </c>
      <c r="CV44" s="1025"/>
      <c r="CW44" s="1026" t="str">
        <f>IF(CV44="","",'#orgDung'!NF45)</f>
        <v/>
      </c>
      <c r="CX44" s="1026" t="str">
        <f>IF(CV44="","",'#orgDung'!NG45)</f>
        <v/>
      </c>
      <c r="CY44" s="1027" t="str">
        <f>IF(CV44="","",'#orgDung'!NI45)</f>
        <v/>
      </c>
      <c r="CZ44" s="1025"/>
      <c r="DA44" s="1026" t="str">
        <f>IF(CZ44="","",'#orgDung'!NU45)</f>
        <v/>
      </c>
      <c r="DB44" s="1026" t="str">
        <f>IF(CZ44="","",'#orgDung'!NV45)</f>
        <v/>
      </c>
      <c r="DC44" s="1027" t="str">
        <f>IF(CZ44="","",'#orgDung'!NX45)</f>
        <v/>
      </c>
      <c r="DD44" s="1025"/>
      <c r="DE44" s="1026" t="str">
        <f>IF(DD44="","",'#orgDung'!OJ45)</f>
        <v/>
      </c>
      <c r="DF44" s="1026" t="str">
        <f>IF(DD44="","",'#orgDung'!OK45)</f>
        <v/>
      </c>
      <c r="DG44" s="1027" t="str">
        <f>IF(DD44="","",'#orgDung'!OM45)</f>
        <v/>
      </c>
      <c r="DH44" s="1025"/>
      <c r="DI44" s="1026" t="str">
        <f>IF(DH44="","",'#orgDung'!OY45)</f>
        <v/>
      </c>
      <c r="DJ44" s="1026" t="str">
        <f>IF(DH44="","",'#orgDung'!OZ45)</f>
        <v/>
      </c>
      <c r="DK44" s="1027" t="str">
        <f>IF(DH44="","",'#orgDung'!PB45)</f>
        <v/>
      </c>
      <c r="DL44" s="1025"/>
      <c r="DM44" s="1026" t="str">
        <f>IF(DL44="","",'#orgDung'!PN45)</f>
        <v/>
      </c>
      <c r="DN44" s="1026" t="str">
        <f>IF(DL44="","",'#orgDung'!PO45)</f>
        <v/>
      </c>
      <c r="DO44" s="1027" t="str">
        <f>IF(DL44="","",'#orgDung'!PQ45)</f>
        <v/>
      </c>
      <c r="DP44" s="1025"/>
      <c r="DQ44" s="1026" t="str">
        <f>IF(DP44="","",'#orgDung'!QC45)</f>
        <v/>
      </c>
      <c r="DR44" s="1026" t="str">
        <f>IF(DP44="","",'#orgDung'!QD45)</f>
        <v/>
      </c>
      <c r="DS44" s="1027" t="str">
        <f>IF(DP44="","",'#orgDung'!QF45)</f>
        <v/>
      </c>
      <c r="DT44" s="1025"/>
      <c r="DU44" s="1026" t="str">
        <f>IF(DT44="","",'#orgDung'!QR45)</f>
        <v/>
      </c>
      <c r="DV44" s="1026" t="str">
        <f>IF(DT44="","",'#orgDung'!QS45)</f>
        <v/>
      </c>
      <c r="DW44" s="1027" t="str">
        <f>IF(DT44="","",'#orgDung'!QU45)</f>
        <v/>
      </c>
      <c r="DX44" s="1025"/>
      <c r="DY44" s="1026" t="str">
        <f>IF(DX44="","",'#orgDung'!RG45)</f>
        <v/>
      </c>
      <c r="DZ44" s="1026" t="str">
        <f>IF(DX44="","",'#orgDung'!RH45)</f>
        <v/>
      </c>
      <c r="EA44" s="1027" t="str">
        <f>IF(DX44="","",'#orgDung'!RJ45)</f>
        <v/>
      </c>
    </row>
    <row r="45" spans="1:131" ht="15" customHeight="1" x14ac:dyDescent="0.2">
      <c r="A45" s="1195">
        <f>'Flächen u. Kulturen'!A42</f>
        <v>33</v>
      </c>
      <c r="B45" s="1195" t="str">
        <f>IF('Flächen u. Kulturen'!B42="","",'Flächen u. Kulturen'!B42)</f>
        <v/>
      </c>
      <c r="C45" s="1196" t="str">
        <f>IF('Flächen u. Kulturen'!D42="","",'Flächen u. Kulturen'!D42)</f>
        <v/>
      </c>
      <c r="D45" s="1197" t="str">
        <f>IF(C45="","",IF('#BerechnungDBE'!Q37&lt;4,"x",""))</f>
        <v/>
      </c>
      <c r="E45" s="1198" t="str">
        <f>IF(C45="","",VLOOKUP('Flächen u. Kulturen'!L42,'#Zweitfr'!$D$8:$F$28,'#Zweitfr'!$F$1,FALSE))</f>
        <v/>
      </c>
      <c r="F45" s="1199" t="str">
        <f>IF(C45="","",IF('Flächen u. Kulturen'!E42="x",'Flächen u. Kulturen'!P42,"nicht im Betrieb"))</f>
        <v/>
      </c>
      <c r="G45" s="1200" t="str">
        <f>IF(C45="","",IF('#orgDung'!C46=2,"--",IF('#Kürzungen'!$F$2=2,"--",'#orgDung'!R46)))</f>
        <v/>
      </c>
      <c r="H45" s="1200" t="str">
        <f>IF(C45="","",'#orgDung'!U46)</f>
        <v/>
      </c>
      <c r="I45" s="1201" t="str">
        <f>IF(C45="","",IF(COUNT('#orgDung'!RS46:SA46)=0,"OK",TRIM(CONCATENATE('#orgDung'!RS46," ",'#orgDung'!RT46," ",'#orgDung'!RU46," ",'#orgDung'!RV46," ",'#orgDung'!RW46," ",'#orgDung'!RX46," ",'#orgDung'!RY46," ",'#orgDung'!RZ46," ",'#orgDung'!SA46))))</f>
        <v/>
      </c>
      <c r="J45" s="1023"/>
      <c r="K45" s="1024"/>
      <c r="L45" s="1025"/>
      <c r="M45" s="1026" t="str">
        <f>IF(L45="","",'#orgDung'!AN46)</f>
        <v/>
      </c>
      <c r="N45" s="1026" t="str">
        <f>IF(L45="","",'#orgDung'!AO46)</f>
        <v/>
      </c>
      <c r="O45" s="1027" t="str">
        <f>IF(L45="","",'#orgDung'!AQ46)</f>
        <v/>
      </c>
      <c r="P45" s="1025"/>
      <c r="Q45" s="1026" t="str">
        <f>IF(P45="","",'#orgDung'!BC46)</f>
        <v/>
      </c>
      <c r="R45" s="1026" t="str">
        <f>IF(P45="","",'#orgDung'!BD46)</f>
        <v/>
      </c>
      <c r="S45" s="1027" t="str">
        <f>IF(P45="","",'#orgDung'!BF46)</f>
        <v/>
      </c>
      <c r="T45" s="1025"/>
      <c r="U45" s="1026" t="str">
        <f>IF(T45="","",'#orgDung'!BR46)</f>
        <v/>
      </c>
      <c r="V45" s="1026" t="str">
        <f>IF(T45="","",'#orgDung'!BS46)</f>
        <v/>
      </c>
      <c r="W45" s="1027" t="str">
        <f>IF(T45="","",'#orgDung'!BU46)</f>
        <v/>
      </c>
      <c r="X45" s="1025"/>
      <c r="Y45" s="1026" t="str">
        <f>IF(X45="","",'#orgDung'!CG46)</f>
        <v/>
      </c>
      <c r="Z45" s="1026" t="str">
        <f>IF(X45="","",'#orgDung'!CH46)</f>
        <v/>
      </c>
      <c r="AA45" s="1027" t="str">
        <f>IF(X45="","",'#orgDung'!CJ46)</f>
        <v/>
      </c>
      <c r="AB45" s="1025"/>
      <c r="AC45" s="1026" t="str">
        <f>IF(AB45="","",'#orgDung'!CV46)</f>
        <v/>
      </c>
      <c r="AD45" s="1026" t="str">
        <f>IF(AB45="","",'#orgDung'!CW46)</f>
        <v/>
      </c>
      <c r="AE45" s="1027" t="str">
        <f>IF(AB45="","",'#orgDung'!CY46)</f>
        <v/>
      </c>
      <c r="AF45" s="1025"/>
      <c r="AG45" s="1026" t="str">
        <f>IF(AF45="","",'#orgDung'!DK46)</f>
        <v/>
      </c>
      <c r="AH45" s="1026" t="str">
        <f>IF(AF45="","",'#orgDung'!DL46)</f>
        <v/>
      </c>
      <c r="AI45" s="1027" t="str">
        <f>IF(AF45="","",'#orgDung'!DN46)</f>
        <v/>
      </c>
      <c r="AJ45" s="1025"/>
      <c r="AK45" s="1026" t="str">
        <f>IF(AJ45="","",'#orgDung'!DZ46)</f>
        <v/>
      </c>
      <c r="AL45" s="1026" t="str">
        <f>IF(AJ45="","",'#orgDung'!EA46)</f>
        <v/>
      </c>
      <c r="AM45" s="1027" t="str">
        <f>IF(AJ45="","",'#orgDung'!EC46)</f>
        <v/>
      </c>
      <c r="AN45" s="1025"/>
      <c r="AO45" s="1026" t="str">
        <f>IF(AN45="","",'#orgDung'!EO46)</f>
        <v/>
      </c>
      <c r="AP45" s="1026" t="str">
        <f>IF(AN45="","",'#orgDung'!EP46)</f>
        <v/>
      </c>
      <c r="AQ45" s="1027" t="str">
        <f>IF(AN45="","",'#orgDung'!ER46)</f>
        <v/>
      </c>
      <c r="AR45" s="1025"/>
      <c r="AS45" s="1026" t="str">
        <f>IF(AR45="","",'#orgDung'!FD46)</f>
        <v/>
      </c>
      <c r="AT45" s="1026" t="str">
        <f>IF(AR45="","",'#orgDung'!FE46)</f>
        <v/>
      </c>
      <c r="AU45" s="1027" t="str">
        <f>IF(AR45="","",'#orgDung'!FG46)</f>
        <v/>
      </c>
      <c r="AV45" s="1025"/>
      <c r="AW45" s="1026" t="str">
        <f>IF(AV45="","",'#orgDung'!FS46)</f>
        <v/>
      </c>
      <c r="AX45" s="1026" t="str">
        <f>IF(AV45="","",'#orgDung'!FT46)</f>
        <v/>
      </c>
      <c r="AY45" s="1027" t="str">
        <f>IF(AV45="","",'#orgDung'!FV46)</f>
        <v/>
      </c>
      <c r="AZ45" s="1025"/>
      <c r="BA45" s="1026" t="str">
        <f>IF(AZ45="","",'#orgDung'!GH46)</f>
        <v/>
      </c>
      <c r="BB45" s="1026" t="str">
        <f>IF(AZ45="","",'#orgDung'!GI46)</f>
        <v/>
      </c>
      <c r="BC45" s="1027" t="str">
        <f>IF(AZ45="","",'#orgDung'!GK46)</f>
        <v/>
      </c>
      <c r="BD45" s="1025"/>
      <c r="BE45" s="1026" t="str">
        <f>IF(BD45="","",'#orgDung'!GW46)</f>
        <v/>
      </c>
      <c r="BF45" s="1026" t="str">
        <f>IF(BD45="","",'#orgDung'!GX46)</f>
        <v/>
      </c>
      <c r="BG45" s="1027" t="str">
        <f>IF(BD45="","",'#orgDung'!GZ46)</f>
        <v/>
      </c>
      <c r="BH45" s="1025"/>
      <c r="BI45" s="1026" t="str">
        <f>IF(BH45="","",'#orgDung'!HL46)</f>
        <v/>
      </c>
      <c r="BJ45" s="1026" t="str">
        <f>IF(BH45="","",'#orgDung'!HM46)</f>
        <v/>
      </c>
      <c r="BK45" s="1027" t="str">
        <f>IF(BH45="","",'#orgDung'!HO46)</f>
        <v/>
      </c>
      <c r="BL45" s="1025"/>
      <c r="BM45" s="1026" t="str">
        <f>IF(BL45="","",'#orgDung'!IA46)</f>
        <v/>
      </c>
      <c r="BN45" s="1026" t="str">
        <f>IF(BL45="","",'#orgDung'!IB46)</f>
        <v/>
      </c>
      <c r="BO45" s="1027" t="str">
        <f>IF(BL45="","",'#orgDung'!ID46)</f>
        <v/>
      </c>
      <c r="BP45" s="1025"/>
      <c r="BQ45" s="1026" t="str">
        <f>IF(BP45="","",'#orgDung'!IP46)</f>
        <v/>
      </c>
      <c r="BR45" s="1026" t="str">
        <f>IF(BP45="","",'#orgDung'!IQ46)</f>
        <v/>
      </c>
      <c r="BS45" s="1027" t="str">
        <f>IF(BP45="","",'#orgDung'!IS46)</f>
        <v/>
      </c>
      <c r="BT45" s="1025"/>
      <c r="BU45" s="1026" t="str">
        <f>IF(BT45="","",'#orgDung'!JE46)</f>
        <v/>
      </c>
      <c r="BV45" s="1026" t="str">
        <f>IF(BT45="","",'#orgDung'!JF46)</f>
        <v/>
      </c>
      <c r="BW45" s="1027" t="str">
        <f>IF(BT45="","",'#orgDung'!JH46)</f>
        <v/>
      </c>
      <c r="BX45" s="1025"/>
      <c r="BY45" s="1026" t="str">
        <f>IF(BX45="","",'#orgDung'!JT46)</f>
        <v/>
      </c>
      <c r="BZ45" s="1026" t="str">
        <f>IF(BX45="","",'#orgDung'!JU46)</f>
        <v/>
      </c>
      <c r="CA45" s="1027" t="str">
        <f>IF(BX45="","",'#orgDung'!JW46)</f>
        <v/>
      </c>
      <c r="CB45" s="1025"/>
      <c r="CC45" s="1026" t="str">
        <f>IF(CB45="","",'#orgDung'!KI46)</f>
        <v/>
      </c>
      <c r="CD45" s="1026" t="str">
        <f>IF(CB45="","",'#orgDung'!KJ46)</f>
        <v/>
      </c>
      <c r="CE45" s="1027" t="str">
        <f>IF(CB45="","",'#orgDung'!KL46)</f>
        <v/>
      </c>
      <c r="CF45" s="1025"/>
      <c r="CG45" s="1026" t="str">
        <f>IF(CF45="","",'#orgDung'!KX46)</f>
        <v/>
      </c>
      <c r="CH45" s="1026" t="str">
        <f>IF(CF45="","",'#orgDung'!KY46)</f>
        <v/>
      </c>
      <c r="CI45" s="1027" t="str">
        <f>IF(CF45="","",'#orgDung'!LA46)</f>
        <v/>
      </c>
      <c r="CJ45" s="1025"/>
      <c r="CK45" s="1026" t="str">
        <f>IF(CJ45="","",'#orgDung'!LM46)</f>
        <v/>
      </c>
      <c r="CL45" s="1026" t="str">
        <f>IF(CJ45="","",'#orgDung'!LN46)</f>
        <v/>
      </c>
      <c r="CM45" s="1027" t="str">
        <f>IF(CJ45="","",'#orgDung'!LP46)</f>
        <v/>
      </c>
      <c r="CN45" s="1025"/>
      <c r="CO45" s="1026" t="str">
        <f>IF(CN45="","",'#orgDung'!MB46)</f>
        <v/>
      </c>
      <c r="CP45" s="1026" t="str">
        <f>IF(CN45="","",'#orgDung'!MC46)</f>
        <v/>
      </c>
      <c r="CQ45" s="1027" t="str">
        <f>IF(CN45="","",'#orgDung'!ME46)</f>
        <v/>
      </c>
      <c r="CR45" s="1025"/>
      <c r="CS45" s="1026" t="str">
        <f>IF(CR45="","",'#orgDung'!MQ46)</f>
        <v/>
      </c>
      <c r="CT45" s="1026" t="str">
        <f>IF(CR45="","",'#orgDung'!MR46)</f>
        <v/>
      </c>
      <c r="CU45" s="1027" t="str">
        <f>IF(CR45="","",'#orgDung'!MT46)</f>
        <v/>
      </c>
      <c r="CV45" s="1025"/>
      <c r="CW45" s="1026" t="str">
        <f>IF(CV45="","",'#orgDung'!NF46)</f>
        <v/>
      </c>
      <c r="CX45" s="1026" t="str">
        <f>IF(CV45="","",'#orgDung'!NG46)</f>
        <v/>
      </c>
      <c r="CY45" s="1027" t="str">
        <f>IF(CV45="","",'#orgDung'!NI46)</f>
        <v/>
      </c>
      <c r="CZ45" s="1025"/>
      <c r="DA45" s="1026" t="str">
        <f>IF(CZ45="","",'#orgDung'!NU46)</f>
        <v/>
      </c>
      <c r="DB45" s="1026" t="str">
        <f>IF(CZ45="","",'#orgDung'!NV46)</f>
        <v/>
      </c>
      <c r="DC45" s="1027" t="str">
        <f>IF(CZ45="","",'#orgDung'!NX46)</f>
        <v/>
      </c>
      <c r="DD45" s="1025"/>
      <c r="DE45" s="1026" t="str">
        <f>IF(DD45="","",'#orgDung'!OJ46)</f>
        <v/>
      </c>
      <c r="DF45" s="1026" t="str">
        <f>IF(DD45="","",'#orgDung'!OK46)</f>
        <v/>
      </c>
      <c r="DG45" s="1027" t="str">
        <f>IF(DD45="","",'#orgDung'!OM46)</f>
        <v/>
      </c>
      <c r="DH45" s="1025"/>
      <c r="DI45" s="1026" t="str">
        <f>IF(DH45="","",'#orgDung'!OY46)</f>
        <v/>
      </c>
      <c r="DJ45" s="1026" t="str">
        <f>IF(DH45="","",'#orgDung'!OZ46)</f>
        <v/>
      </c>
      <c r="DK45" s="1027" t="str">
        <f>IF(DH45="","",'#orgDung'!PB46)</f>
        <v/>
      </c>
      <c r="DL45" s="1025"/>
      <c r="DM45" s="1026" t="str">
        <f>IF(DL45="","",'#orgDung'!PN46)</f>
        <v/>
      </c>
      <c r="DN45" s="1026" t="str">
        <f>IF(DL45="","",'#orgDung'!PO46)</f>
        <v/>
      </c>
      <c r="DO45" s="1027" t="str">
        <f>IF(DL45="","",'#orgDung'!PQ46)</f>
        <v/>
      </c>
      <c r="DP45" s="1025"/>
      <c r="DQ45" s="1026" t="str">
        <f>IF(DP45="","",'#orgDung'!QC46)</f>
        <v/>
      </c>
      <c r="DR45" s="1026" t="str">
        <f>IF(DP45="","",'#orgDung'!QD46)</f>
        <v/>
      </c>
      <c r="DS45" s="1027" t="str">
        <f>IF(DP45="","",'#orgDung'!QF46)</f>
        <v/>
      </c>
      <c r="DT45" s="1025"/>
      <c r="DU45" s="1026" t="str">
        <f>IF(DT45="","",'#orgDung'!QR46)</f>
        <v/>
      </c>
      <c r="DV45" s="1026" t="str">
        <f>IF(DT45="","",'#orgDung'!QS46)</f>
        <v/>
      </c>
      <c r="DW45" s="1027" t="str">
        <f>IF(DT45="","",'#orgDung'!QU46)</f>
        <v/>
      </c>
      <c r="DX45" s="1025"/>
      <c r="DY45" s="1026" t="str">
        <f>IF(DX45="","",'#orgDung'!RG46)</f>
        <v/>
      </c>
      <c r="DZ45" s="1026" t="str">
        <f>IF(DX45="","",'#orgDung'!RH46)</f>
        <v/>
      </c>
      <c r="EA45" s="1027" t="str">
        <f>IF(DX45="","",'#orgDung'!RJ46)</f>
        <v/>
      </c>
    </row>
    <row r="46" spans="1:131" ht="15" customHeight="1" x14ac:dyDescent="0.2">
      <c r="A46" s="1195">
        <f>'Flächen u. Kulturen'!A43</f>
        <v>34</v>
      </c>
      <c r="B46" s="1195" t="str">
        <f>IF('Flächen u. Kulturen'!B43="","",'Flächen u. Kulturen'!B43)</f>
        <v/>
      </c>
      <c r="C46" s="1196" t="str">
        <f>IF('Flächen u. Kulturen'!D43="","",'Flächen u. Kulturen'!D43)</f>
        <v/>
      </c>
      <c r="D46" s="1197" t="str">
        <f>IF(C46="","",IF('#BerechnungDBE'!Q38&lt;4,"x",""))</f>
        <v/>
      </c>
      <c r="E46" s="1198" t="str">
        <f>IF(C46="","",VLOOKUP('Flächen u. Kulturen'!L43,'#Zweitfr'!$D$8:$F$28,'#Zweitfr'!$F$1,FALSE))</f>
        <v/>
      </c>
      <c r="F46" s="1199" t="str">
        <f>IF(C46="","",IF('Flächen u. Kulturen'!E43="x",'Flächen u. Kulturen'!P43,"nicht im Betrieb"))</f>
        <v/>
      </c>
      <c r="G46" s="1200" t="str">
        <f>IF(C46="","",IF('#orgDung'!C47=2,"--",IF('#Kürzungen'!$F$2=2,"--",'#orgDung'!R47)))</f>
        <v/>
      </c>
      <c r="H46" s="1200" t="str">
        <f>IF(C46="","",'#orgDung'!U47)</f>
        <v/>
      </c>
      <c r="I46" s="1201" t="str">
        <f>IF(C46="","",IF(COUNT('#orgDung'!RS47:SA47)=0,"OK",TRIM(CONCATENATE('#orgDung'!RS47," ",'#orgDung'!RT47," ",'#orgDung'!RU47," ",'#orgDung'!RV47," ",'#orgDung'!RW47," ",'#orgDung'!RX47," ",'#orgDung'!RY47," ",'#orgDung'!RZ47," ",'#orgDung'!SA47))))</f>
        <v/>
      </c>
      <c r="J46" s="1023"/>
      <c r="K46" s="1024"/>
      <c r="L46" s="1025"/>
      <c r="M46" s="1026" t="str">
        <f>IF(L46="","",'#orgDung'!AN47)</f>
        <v/>
      </c>
      <c r="N46" s="1026" t="str">
        <f>IF(L46="","",'#orgDung'!AO47)</f>
        <v/>
      </c>
      <c r="O46" s="1027" t="str">
        <f>IF(L46="","",'#orgDung'!AQ47)</f>
        <v/>
      </c>
      <c r="P46" s="1025"/>
      <c r="Q46" s="1026" t="str">
        <f>IF(P46="","",'#orgDung'!BC47)</f>
        <v/>
      </c>
      <c r="R46" s="1026" t="str">
        <f>IF(P46="","",'#orgDung'!BD47)</f>
        <v/>
      </c>
      <c r="S46" s="1027" t="str">
        <f>IF(P46="","",'#orgDung'!BF47)</f>
        <v/>
      </c>
      <c r="T46" s="1025"/>
      <c r="U46" s="1026" t="str">
        <f>IF(T46="","",'#orgDung'!BR47)</f>
        <v/>
      </c>
      <c r="V46" s="1026" t="str">
        <f>IF(T46="","",'#orgDung'!BS47)</f>
        <v/>
      </c>
      <c r="W46" s="1027" t="str">
        <f>IF(T46="","",'#orgDung'!BU47)</f>
        <v/>
      </c>
      <c r="X46" s="1025"/>
      <c r="Y46" s="1026" t="str">
        <f>IF(X46="","",'#orgDung'!CG47)</f>
        <v/>
      </c>
      <c r="Z46" s="1026" t="str">
        <f>IF(X46="","",'#orgDung'!CH47)</f>
        <v/>
      </c>
      <c r="AA46" s="1027" t="str">
        <f>IF(X46="","",'#orgDung'!CJ47)</f>
        <v/>
      </c>
      <c r="AB46" s="1025"/>
      <c r="AC46" s="1026" t="str">
        <f>IF(AB46="","",'#orgDung'!CV47)</f>
        <v/>
      </c>
      <c r="AD46" s="1026" t="str">
        <f>IF(AB46="","",'#orgDung'!CW47)</f>
        <v/>
      </c>
      <c r="AE46" s="1027" t="str">
        <f>IF(AB46="","",'#orgDung'!CY47)</f>
        <v/>
      </c>
      <c r="AF46" s="1025"/>
      <c r="AG46" s="1026" t="str">
        <f>IF(AF46="","",'#orgDung'!DK47)</f>
        <v/>
      </c>
      <c r="AH46" s="1026" t="str">
        <f>IF(AF46="","",'#orgDung'!DL47)</f>
        <v/>
      </c>
      <c r="AI46" s="1027" t="str">
        <f>IF(AF46="","",'#orgDung'!DN47)</f>
        <v/>
      </c>
      <c r="AJ46" s="1025"/>
      <c r="AK46" s="1026" t="str">
        <f>IF(AJ46="","",'#orgDung'!DZ47)</f>
        <v/>
      </c>
      <c r="AL46" s="1026" t="str">
        <f>IF(AJ46="","",'#orgDung'!EA47)</f>
        <v/>
      </c>
      <c r="AM46" s="1027" t="str">
        <f>IF(AJ46="","",'#orgDung'!EC47)</f>
        <v/>
      </c>
      <c r="AN46" s="1025"/>
      <c r="AO46" s="1026" t="str">
        <f>IF(AN46="","",'#orgDung'!EO47)</f>
        <v/>
      </c>
      <c r="AP46" s="1026" t="str">
        <f>IF(AN46="","",'#orgDung'!EP47)</f>
        <v/>
      </c>
      <c r="AQ46" s="1027" t="str">
        <f>IF(AN46="","",'#orgDung'!ER47)</f>
        <v/>
      </c>
      <c r="AR46" s="1025"/>
      <c r="AS46" s="1026" t="str">
        <f>IF(AR46="","",'#orgDung'!FD47)</f>
        <v/>
      </c>
      <c r="AT46" s="1026" t="str">
        <f>IF(AR46="","",'#orgDung'!FE47)</f>
        <v/>
      </c>
      <c r="AU46" s="1027" t="str">
        <f>IF(AR46="","",'#orgDung'!FG47)</f>
        <v/>
      </c>
      <c r="AV46" s="1025"/>
      <c r="AW46" s="1026" t="str">
        <f>IF(AV46="","",'#orgDung'!FS47)</f>
        <v/>
      </c>
      <c r="AX46" s="1026" t="str">
        <f>IF(AV46="","",'#orgDung'!FT47)</f>
        <v/>
      </c>
      <c r="AY46" s="1027" t="str">
        <f>IF(AV46="","",'#orgDung'!FV47)</f>
        <v/>
      </c>
      <c r="AZ46" s="1025"/>
      <c r="BA46" s="1026" t="str">
        <f>IF(AZ46="","",'#orgDung'!GH47)</f>
        <v/>
      </c>
      <c r="BB46" s="1026" t="str">
        <f>IF(AZ46="","",'#orgDung'!GI47)</f>
        <v/>
      </c>
      <c r="BC46" s="1027" t="str">
        <f>IF(AZ46="","",'#orgDung'!GK47)</f>
        <v/>
      </c>
      <c r="BD46" s="1025"/>
      <c r="BE46" s="1026" t="str">
        <f>IF(BD46="","",'#orgDung'!GW47)</f>
        <v/>
      </c>
      <c r="BF46" s="1026" t="str">
        <f>IF(BD46="","",'#orgDung'!GX47)</f>
        <v/>
      </c>
      <c r="BG46" s="1027" t="str">
        <f>IF(BD46="","",'#orgDung'!GZ47)</f>
        <v/>
      </c>
      <c r="BH46" s="1025"/>
      <c r="BI46" s="1026" t="str">
        <f>IF(BH46="","",'#orgDung'!HL47)</f>
        <v/>
      </c>
      <c r="BJ46" s="1026" t="str">
        <f>IF(BH46="","",'#orgDung'!HM47)</f>
        <v/>
      </c>
      <c r="BK46" s="1027" t="str">
        <f>IF(BH46="","",'#orgDung'!HO47)</f>
        <v/>
      </c>
      <c r="BL46" s="1025"/>
      <c r="BM46" s="1026" t="str">
        <f>IF(BL46="","",'#orgDung'!IA47)</f>
        <v/>
      </c>
      <c r="BN46" s="1026" t="str">
        <f>IF(BL46="","",'#orgDung'!IB47)</f>
        <v/>
      </c>
      <c r="BO46" s="1027" t="str">
        <f>IF(BL46="","",'#orgDung'!ID47)</f>
        <v/>
      </c>
      <c r="BP46" s="1025"/>
      <c r="BQ46" s="1026" t="str">
        <f>IF(BP46="","",'#orgDung'!IP47)</f>
        <v/>
      </c>
      <c r="BR46" s="1026" t="str">
        <f>IF(BP46="","",'#orgDung'!IQ47)</f>
        <v/>
      </c>
      <c r="BS46" s="1027" t="str">
        <f>IF(BP46="","",'#orgDung'!IS47)</f>
        <v/>
      </c>
      <c r="BT46" s="1025"/>
      <c r="BU46" s="1026" t="str">
        <f>IF(BT46="","",'#orgDung'!JE47)</f>
        <v/>
      </c>
      <c r="BV46" s="1026" t="str">
        <f>IF(BT46="","",'#orgDung'!JF47)</f>
        <v/>
      </c>
      <c r="BW46" s="1027" t="str">
        <f>IF(BT46="","",'#orgDung'!JH47)</f>
        <v/>
      </c>
      <c r="BX46" s="1025"/>
      <c r="BY46" s="1026" t="str">
        <f>IF(BX46="","",'#orgDung'!JT47)</f>
        <v/>
      </c>
      <c r="BZ46" s="1026" t="str">
        <f>IF(BX46="","",'#orgDung'!JU47)</f>
        <v/>
      </c>
      <c r="CA46" s="1027" t="str">
        <f>IF(BX46="","",'#orgDung'!JW47)</f>
        <v/>
      </c>
      <c r="CB46" s="1025"/>
      <c r="CC46" s="1026" t="str">
        <f>IF(CB46="","",'#orgDung'!KI47)</f>
        <v/>
      </c>
      <c r="CD46" s="1026" t="str">
        <f>IF(CB46="","",'#orgDung'!KJ47)</f>
        <v/>
      </c>
      <c r="CE46" s="1027" t="str">
        <f>IF(CB46="","",'#orgDung'!KL47)</f>
        <v/>
      </c>
      <c r="CF46" s="1025"/>
      <c r="CG46" s="1026" t="str">
        <f>IF(CF46="","",'#orgDung'!KX47)</f>
        <v/>
      </c>
      <c r="CH46" s="1026" t="str">
        <f>IF(CF46="","",'#orgDung'!KY47)</f>
        <v/>
      </c>
      <c r="CI46" s="1027" t="str">
        <f>IF(CF46="","",'#orgDung'!LA47)</f>
        <v/>
      </c>
      <c r="CJ46" s="1025"/>
      <c r="CK46" s="1026" t="str">
        <f>IF(CJ46="","",'#orgDung'!LM47)</f>
        <v/>
      </c>
      <c r="CL46" s="1026" t="str">
        <f>IF(CJ46="","",'#orgDung'!LN47)</f>
        <v/>
      </c>
      <c r="CM46" s="1027" t="str">
        <f>IF(CJ46="","",'#orgDung'!LP47)</f>
        <v/>
      </c>
      <c r="CN46" s="1025"/>
      <c r="CO46" s="1026" t="str">
        <f>IF(CN46="","",'#orgDung'!MB47)</f>
        <v/>
      </c>
      <c r="CP46" s="1026" t="str">
        <f>IF(CN46="","",'#orgDung'!MC47)</f>
        <v/>
      </c>
      <c r="CQ46" s="1027" t="str">
        <f>IF(CN46="","",'#orgDung'!ME47)</f>
        <v/>
      </c>
      <c r="CR46" s="1025"/>
      <c r="CS46" s="1026" t="str">
        <f>IF(CR46="","",'#orgDung'!MQ47)</f>
        <v/>
      </c>
      <c r="CT46" s="1026" t="str">
        <f>IF(CR46="","",'#orgDung'!MR47)</f>
        <v/>
      </c>
      <c r="CU46" s="1027" t="str">
        <f>IF(CR46="","",'#orgDung'!MT47)</f>
        <v/>
      </c>
      <c r="CV46" s="1025"/>
      <c r="CW46" s="1026" t="str">
        <f>IF(CV46="","",'#orgDung'!NF47)</f>
        <v/>
      </c>
      <c r="CX46" s="1026" t="str">
        <f>IF(CV46="","",'#orgDung'!NG47)</f>
        <v/>
      </c>
      <c r="CY46" s="1027" t="str">
        <f>IF(CV46="","",'#orgDung'!NI47)</f>
        <v/>
      </c>
      <c r="CZ46" s="1025"/>
      <c r="DA46" s="1026" t="str">
        <f>IF(CZ46="","",'#orgDung'!NU47)</f>
        <v/>
      </c>
      <c r="DB46" s="1026" t="str">
        <f>IF(CZ46="","",'#orgDung'!NV47)</f>
        <v/>
      </c>
      <c r="DC46" s="1027" t="str">
        <f>IF(CZ46="","",'#orgDung'!NX47)</f>
        <v/>
      </c>
      <c r="DD46" s="1025"/>
      <c r="DE46" s="1026" t="str">
        <f>IF(DD46="","",'#orgDung'!OJ47)</f>
        <v/>
      </c>
      <c r="DF46" s="1026" t="str">
        <f>IF(DD46="","",'#orgDung'!OK47)</f>
        <v/>
      </c>
      <c r="DG46" s="1027" t="str">
        <f>IF(DD46="","",'#orgDung'!OM47)</f>
        <v/>
      </c>
      <c r="DH46" s="1025"/>
      <c r="DI46" s="1026" t="str">
        <f>IF(DH46="","",'#orgDung'!OY47)</f>
        <v/>
      </c>
      <c r="DJ46" s="1026" t="str">
        <f>IF(DH46="","",'#orgDung'!OZ47)</f>
        <v/>
      </c>
      <c r="DK46" s="1027" t="str">
        <f>IF(DH46="","",'#orgDung'!PB47)</f>
        <v/>
      </c>
      <c r="DL46" s="1025"/>
      <c r="DM46" s="1026" t="str">
        <f>IF(DL46="","",'#orgDung'!PN47)</f>
        <v/>
      </c>
      <c r="DN46" s="1026" t="str">
        <f>IF(DL46="","",'#orgDung'!PO47)</f>
        <v/>
      </c>
      <c r="DO46" s="1027" t="str">
        <f>IF(DL46="","",'#orgDung'!PQ47)</f>
        <v/>
      </c>
      <c r="DP46" s="1025"/>
      <c r="DQ46" s="1026" t="str">
        <f>IF(DP46="","",'#orgDung'!QC47)</f>
        <v/>
      </c>
      <c r="DR46" s="1026" t="str">
        <f>IF(DP46="","",'#orgDung'!QD47)</f>
        <v/>
      </c>
      <c r="DS46" s="1027" t="str">
        <f>IF(DP46="","",'#orgDung'!QF47)</f>
        <v/>
      </c>
      <c r="DT46" s="1025"/>
      <c r="DU46" s="1026" t="str">
        <f>IF(DT46="","",'#orgDung'!QR47)</f>
        <v/>
      </c>
      <c r="DV46" s="1026" t="str">
        <f>IF(DT46="","",'#orgDung'!QS47)</f>
        <v/>
      </c>
      <c r="DW46" s="1027" t="str">
        <f>IF(DT46="","",'#orgDung'!QU47)</f>
        <v/>
      </c>
      <c r="DX46" s="1025"/>
      <c r="DY46" s="1026" t="str">
        <f>IF(DX46="","",'#orgDung'!RG47)</f>
        <v/>
      </c>
      <c r="DZ46" s="1026" t="str">
        <f>IF(DX46="","",'#orgDung'!RH47)</f>
        <v/>
      </c>
      <c r="EA46" s="1027" t="str">
        <f>IF(DX46="","",'#orgDung'!RJ47)</f>
        <v/>
      </c>
    </row>
    <row r="47" spans="1:131" ht="15" customHeight="1" x14ac:dyDescent="0.2">
      <c r="A47" s="1195">
        <f>'Flächen u. Kulturen'!A44</f>
        <v>35</v>
      </c>
      <c r="B47" s="1195" t="str">
        <f>IF('Flächen u. Kulturen'!B44="","",'Flächen u. Kulturen'!B44)</f>
        <v/>
      </c>
      <c r="C47" s="1196" t="str">
        <f>IF('Flächen u. Kulturen'!D44="","",'Flächen u. Kulturen'!D44)</f>
        <v/>
      </c>
      <c r="D47" s="1197" t="str">
        <f>IF(C47="","",IF('#BerechnungDBE'!Q39&lt;4,"x",""))</f>
        <v/>
      </c>
      <c r="E47" s="1198" t="str">
        <f>IF(C47="","",VLOOKUP('Flächen u. Kulturen'!L44,'#Zweitfr'!$D$8:$F$28,'#Zweitfr'!$F$1,FALSE))</f>
        <v/>
      </c>
      <c r="F47" s="1199" t="str">
        <f>IF(C47="","",IF('Flächen u. Kulturen'!E44="x",'Flächen u. Kulturen'!P44,"nicht im Betrieb"))</f>
        <v/>
      </c>
      <c r="G47" s="1200" t="str">
        <f>IF(C47="","",IF('#orgDung'!C48=2,"--",IF('#Kürzungen'!$F$2=2,"--",'#orgDung'!R48)))</f>
        <v/>
      </c>
      <c r="H47" s="1200" t="str">
        <f>IF(C47="","",'#orgDung'!U48)</f>
        <v/>
      </c>
      <c r="I47" s="1201" t="str">
        <f>IF(C47="","",IF(COUNT('#orgDung'!RS48:SA48)=0,"OK",TRIM(CONCATENATE('#orgDung'!RS48," ",'#orgDung'!RT48," ",'#orgDung'!RU48," ",'#orgDung'!RV48," ",'#orgDung'!RW48," ",'#orgDung'!RX48," ",'#orgDung'!RY48," ",'#orgDung'!RZ48," ",'#orgDung'!SA48))))</f>
        <v/>
      </c>
      <c r="J47" s="1023"/>
      <c r="K47" s="1024"/>
      <c r="L47" s="1025"/>
      <c r="M47" s="1026" t="str">
        <f>IF(L47="","",'#orgDung'!AN48)</f>
        <v/>
      </c>
      <c r="N47" s="1026" t="str">
        <f>IF(L47="","",'#orgDung'!AO48)</f>
        <v/>
      </c>
      <c r="O47" s="1027" t="str">
        <f>IF(L47="","",'#orgDung'!AQ48)</f>
        <v/>
      </c>
      <c r="P47" s="1025"/>
      <c r="Q47" s="1026" t="str">
        <f>IF(P47="","",'#orgDung'!BC48)</f>
        <v/>
      </c>
      <c r="R47" s="1026" t="str">
        <f>IF(P47="","",'#orgDung'!BD48)</f>
        <v/>
      </c>
      <c r="S47" s="1027" t="str">
        <f>IF(P47="","",'#orgDung'!BF48)</f>
        <v/>
      </c>
      <c r="T47" s="1025"/>
      <c r="U47" s="1026" t="str">
        <f>IF(T47="","",'#orgDung'!BR48)</f>
        <v/>
      </c>
      <c r="V47" s="1026" t="str">
        <f>IF(T47="","",'#orgDung'!BS48)</f>
        <v/>
      </c>
      <c r="W47" s="1027" t="str">
        <f>IF(T47="","",'#orgDung'!BU48)</f>
        <v/>
      </c>
      <c r="X47" s="1025"/>
      <c r="Y47" s="1026" t="str">
        <f>IF(X47="","",'#orgDung'!CG48)</f>
        <v/>
      </c>
      <c r="Z47" s="1026" t="str">
        <f>IF(X47="","",'#orgDung'!CH48)</f>
        <v/>
      </c>
      <c r="AA47" s="1027" t="str">
        <f>IF(X47="","",'#orgDung'!CJ48)</f>
        <v/>
      </c>
      <c r="AB47" s="1025"/>
      <c r="AC47" s="1026" t="str">
        <f>IF(AB47="","",'#orgDung'!CV48)</f>
        <v/>
      </c>
      <c r="AD47" s="1026" t="str">
        <f>IF(AB47="","",'#orgDung'!CW48)</f>
        <v/>
      </c>
      <c r="AE47" s="1027" t="str">
        <f>IF(AB47="","",'#orgDung'!CY48)</f>
        <v/>
      </c>
      <c r="AF47" s="1025"/>
      <c r="AG47" s="1026" t="str">
        <f>IF(AF47="","",'#orgDung'!DK48)</f>
        <v/>
      </c>
      <c r="AH47" s="1026" t="str">
        <f>IF(AF47="","",'#orgDung'!DL48)</f>
        <v/>
      </c>
      <c r="AI47" s="1027" t="str">
        <f>IF(AF47="","",'#orgDung'!DN48)</f>
        <v/>
      </c>
      <c r="AJ47" s="1025"/>
      <c r="AK47" s="1026" t="str">
        <f>IF(AJ47="","",'#orgDung'!DZ48)</f>
        <v/>
      </c>
      <c r="AL47" s="1026" t="str">
        <f>IF(AJ47="","",'#orgDung'!EA48)</f>
        <v/>
      </c>
      <c r="AM47" s="1027" t="str">
        <f>IF(AJ47="","",'#orgDung'!EC48)</f>
        <v/>
      </c>
      <c r="AN47" s="1025"/>
      <c r="AO47" s="1026" t="str">
        <f>IF(AN47="","",'#orgDung'!EO48)</f>
        <v/>
      </c>
      <c r="AP47" s="1026" t="str">
        <f>IF(AN47="","",'#orgDung'!EP48)</f>
        <v/>
      </c>
      <c r="AQ47" s="1027" t="str">
        <f>IF(AN47="","",'#orgDung'!ER48)</f>
        <v/>
      </c>
      <c r="AR47" s="1025"/>
      <c r="AS47" s="1026" t="str">
        <f>IF(AR47="","",'#orgDung'!FD48)</f>
        <v/>
      </c>
      <c r="AT47" s="1026" t="str">
        <f>IF(AR47="","",'#orgDung'!FE48)</f>
        <v/>
      </c>
      <c r="AU47" s="1027" t="str">
        <f>IF(AR47="","",'#orgDung'!FG48)</f>
        <v/>
      </c>
      <c r="AV47" s="1025"/>
      <c r="AW47" s="1026" t="str">
        <f>IF(AV47="","",'#orgDung'!FS48)</f>
        <v/>
      </c>
      <c r="AX47" s="1026" t="str">
        <f>IF(AV47="","",'#orgDung'!FT48)</f>
        <v/>
      </c>
      <c r="AY47" s="1027" t="str">
        <f>IF(AV47="","",'#orgDung'!FV48)</f>
        <v/>
      </c>
      <c r="AZ47" s="1025"/>
      <c r="BA47" s="1026" t="str">
        <f>IF(AZ47="","",'#orgDung'!GH48)</f>
        <v/>
      </c>
      <c r="BB47" s="1026" t="str">
        <f>IF(AZ47="","",'#orgDung'!GI48)</f>
        <v/>
      </c>
      <c r="BC47" s="1027" t="str">
        <f>IF(AZ47="","",'#orgDung'!GK48)</f>
        <v/>
      </c>
      <c r="BD47" s="1025"/>
      <c r="BE47" s="1026" t="str">
        <f>IF(BD47="","",'#orgDung'!GW48)</f>
        <v/>
      </c>
      <c r="BF47" s="1026" t="str">
        <f>IF(BD47="","",'#orgDung'!GX48)</f>
        <v/>
      </c>
      <c r="BG47" s="1027" t="str">
        <f>IF(BD47="","",'#orgDung'!GZ48)</f>
        <v/>
      </c>
      <c r="BH47" s="1025"/>
      <c r="BI47" s="1026" t="str">
        <f>IF(BH47="","",'#orgDung'!HL48)</f>
        <v/>
      </c>
      <c r="BJ47" s="1026" t="str">
        <f>IF(BH47="","",'#orgDung'!HM48)</f>
        <v/>
      </c>
      <c r="BK47" s="1027" t="str">
        <f>IF(BH47="","",'#orgDung'!HO48)</f>
        <v/>
      </c>
      <c r="BL47" s="1025"/>
      <c r="BM47" s="1026" t="str">
        <f>IF(BL47="","",'#orgDung'!IA48)</f>
        <v/>
      </c>
      <c r="BN47" s="1026" t="str">
        <f>IF(BL47="","",'#orgDung'!IB48)</f>
        <v/>
      </c>
      <c r="BO47" s="1027" t="str">
        <f>IF(BL47="","",'#orgDung'!ID48)</f>
        <v/>
      </c>
      <c r="BP47" s="1025"/>
      <c r="BQ47" s="1026" t="str">
        <f>IF(BP47="","",'#orgDung'!IP48)</f>
        <v/>
      </c>
      <c r="BR47" s="1026" t="str">
        <f>IF(BP47="","",'#orgDung'!IQ48)</f>
        <v/>
      </c>
      <c r="BS47" s="1027" t="str">
        <f>IF(BP47="","",'#orgDung'!IS48)</f>
        <v/>
      </c>
      <c r="BT47" s="1025"/>
      <c r="BU47" s="1026" t="str">
        <f>IF(BT47="","",'#orgDung'!JE48)</f>
        <v/>
      </c>
      <c r="BV47" s="1026" t="str">
        <f>IF(BT47="","",'#orgDung'!JF48)</f>
        <v/>
      </c>
      <c r="BW47" s="1027" t="str">
        <f>IF(BT47="","",'#orgDung'!JH48)</f>
        <v/>
      </c>
      <c r="BX47" s="1025"/>
      <c r="BY47" s="1026" t="str">
        <f>IF(BX47="","",'#orgDung'!JT48)</f>
        <v/>
      </c>
      <c r="BZ47" s="1026" t="str">
        <f>IF(BX47="","",'#orgDung'!JU48)</f>
        <v/>
      </c>
      <c r="CA47" s="1027" t="str">
        <f>IF(BX47="","",'#orgDung'!JW48)</f>
        <v/>
      </c>
      <c r="CB47" s="1025"/>
      <c r="CC47" s="1026" t="str">
        <f>IF(CB47="","",'#orgDung'!KI48)</f>
        <v/>
      </c>
      <c r="CD47" s="1026" t="str">
        <f>IF(CB47="","",'#orgDung'!KJ48)</f>
        <v/>
      </c>
      <c r="CE47" s="1027" t="str">
        <f>IF(CB47="","",'#orgDung'!KL48)</f>
        <v/>
      </c>
      <c r="CF47" s="1025"/>
      <c r="CG47" s="1026" t="str">
        <f>IF(CF47="","",'#orgDung'!KX48)</f>
        <v/>
      </c>
      <c r="CH47" s="1026" t="str">
        <f>IF(CF47="","",'#orgDung'!KY48)</f>
        <v/>
      </c>
      <c r="CI47" s="1027" t="str">
        <f>IF(CF47="","",'#orgDung'!LA48)</f>
        <v/>
      </c>
      <c r="CJ47" s="1025"/>
      <c r="CK47" s="1026" t="str">
        <f>IF(CJ47="","",'#orgDung'!LM48)</f>
        <v/>
      </c>
      <c r="CL47" s="1026" t="str">
        <f>IF(CJ47="","",'#orgDung'!LN48)</f>
        <v/>
      </c>
      <c r="CM47" s="1027" t="str">
        <f>IF(CJ47="","",'#orgDung'!LP48)</f>
        <v/>
      </c>
      <c r="CN47" s="1025"/>
      <c r="CO47" s="1026" t="str">
        <f>IF(CN47="","",'#orgDung'!MB48)</f>
        <v/>
      </c>
      <c r="CP47" s="1026" t="str">
        <f>IF(CN47="","",'#orgDung'!MC48)</f>
        <v/>
      </c>
      <c r="CQ47" s="1027" t="str">
        <f>IF(CN47="","",'#orgDung'!ME48)</f>
        <v/>
      </c>
      <c r="CR47" s="1025"/>
      <c r="CS47" s="1026" t="str">
        <f>IF(CR47="","",'#orgDung'!MQ48)</f>
        <v/>
      </c>
      <c r="CT47" s="1026" t="str">
        <f>IF(CR47="","",'#orgDung'!MR48)</f>
        <v/>
      </c>
      <c r="CU47" s="1027" t="str">
        <f>IF(CR47="","",'#orgDung'!MT48)</f>
        <v/>
      </c>
      <c r="CV47" s="1025"/>
      <c r="CW47" s="1026" t="str">
        <f>IF(CV47="","",'#orgDung'!NF48)</f>
        <v/>
      </c>
      <c r="CX47" s="1026" t="str">
        <f>IF(CV47="","",'#orgDung'!NG48)</f>
        <v/>
      </c>
      <c r="CY47" s="1027" t="str">
        <f>IF(CV47="","",'#orgDung'!NI48)</f>
        <v/>
      </c>
      <c r="CZ47" s="1025"/>
      <c r="DA47" s="1026" t="str">
        <f>IF(CZ47="","",'#orgDung'!NU48)</f>
        <v/>
      </c>
      <c r="DB47" s="1026" t="str">
        <f>IF(CZ47="","",'#orgDung'!NV48)</f>
        <v/>
      </c>
      <c r="DC47" s="1027" t="str">
        <f>IF(CZ47="","",'#orgDung'!NX48)</f>
        <v/>
      </c>
      <c r="DD47" s="1025"/>
      <c r="DE47" s="1026" t="str">
        <f>IF(DD47="","",'#orgDung'!OJ48)</f>
        <v/>
      </c>
      <c r="DF47" s="1026" t="str">
        <f>IF(DD47="","",'#orgDung'!OK48)</f>
        <v/>
      </c>
      <c r="DG47" s="1027" t="str">
        <f>IF(DD47="","",'#orgDung'!OM48)</f>
        <v/>
      </c>
      <c r="DH47" s="1025"/>
      <c r="DI47" s="1026" t="str">
        <f>IF(DH47="","",'#orgDung'!OY48)</f>
        <v/>
      </c>
      <c r="DJ47" s="1026" t="str">
        <f>IF(DH47="","",'#orgDung'!OZ48)</f>
        <v/>
      </c>
      <c r="DK47" s="1027" t="str">
        <f>IF(DH47="","",'#orgDung'!PB48)</f>
        <v/>
      </c>
      <c r="DL47" s="1025"/>
      <c r="DM47" s="1026" t="str">
        <f>IF(DL47="","",'#orgDung'!PN48)</f>
        <v/>
      </c>
      <c r="DN47" s="1026" t="str">
        <f>IF(DL47="","",'#orgDung'!PO48)</f>
        <v/>
      </c>
      <c r="DO47" s="1027" t="str">
        <f>IF(DL47="","",'#orgDung'!PQ48)</f>
        <v/>
      </c>
      <c r="DP47" s="1025"/>
      <c r="DQ47" s="1026" t="str">
        <f>IF(DP47="","",'#orgDung'!QC48)</f>
        <v/>
      </c>
      <c r="DR47" s="1026" t="str">
        <f>IF(DP47="","",'#orgDung'!QD48)</f>
        <v/>
      </c>
      <c r="DS47" s="1027" t="str">
        <f>IF(DP47="","",'#orgDung'!QF48)</f>
        <v/>
      </c>
      <c r="DT47" s="1025"/>
      <c r="DU47" s="1026" t="str">
        <f>IF(DT47="","",'#orgDung'!QR48)</f>
        <v/>
      </c>
      <c r="DV47" s="1026" t="str">
        <f>IF(DT47="","",'#orgDung'!QS48)</f>
        <v/>
      </c>
      <c r="DW47" s="1027" t="str">
        <f>IF(DT47="","",'#orgDung'!QU48)</f>
        <v/>
      </c>
      <c r="DX47" s="1025"/>
      <c r="DY47" s="1026" t="str">
        <f>IF(DX47="","",'#orgDung'!RG48)</f>
        <v/>
      </c>
      <c r="DZ47" s="1026" t="str">
        <f>IF(DX47="","",'#orgDung'!RH48)</f>
        <v/>
      </c>
      <c r="EA47" s="1027" t="str">
        <f>IF(DX47="","",'#orgDung'!RJ48)</f>
        <v/>
      </c>
    </row>
    <row r="48" spans="1:131" ht="15" customHeight="1" x14ac:dyDescent="0.2">
      <c r="A48" s="1195">
        <f>'Flächen u. Kulturen'!A45</f>
        <v>36</v>
      </c>
      <c r="B48" s="1195" t="str">
        <f>IF('Flächen u. Kulturen'!B45="","",'Flächen u. Kulturen'!B45)</f>
        <v/>
      </c>
      <c r="C48" s="1196" t="str">
        <f>IF('Flächen u. Kulturen'!D45="","",'Flächen u. Kulturen'!D45)</f>
        <v/>
      </c>
      <c r="D48" s="1197" t="str">
        <f>IF(C48="","",IF('#BerechnungDBE'!Q40&lt;4,"x",""))</f>
        <v/>
      </c>
      <c r="E48" s="1198" t="str">
        <f>IF(C48="","",VLOOKUP('Flächen u. Kulturen'!L45,'#Zweitfr'!$D$8:$F$28,'#Zweitfr'!$F$1,FALSE))</f>
        <v/>
      </c>
      <c r="F48" s="1199" t="str">
        <f>IF(C48="","",IF('Flächen u. Kulturen'!E45="x",'Flächen u. Kulturen'!P45,"nicht im Betrieb"))</f>
        <v/>
      </c>
      <c r="G48" s="1200" t="str">
        <f>IF(C48="","",IF('#orgDung'!C49=2,"--",IF('#Kürzungen'!$F$2=2,"--",'#orgDung'!R49)))</f>
        <v/>
      </c>
      <c r="H48" s="1200" t="str">
        <f>IF(C48="","",'#orgDung'!U49)</f>
        <v/>
      </c>
      <c r="I48" s="1201" t="str">
        <f>IF(C48="","",IF(COUNT('#orgDung'!RS49:SA49)=0,"OK",TRIM(CONCATENATE('#orgDung'!RS49," ",'#orgDung'!RT49," ",'#orgDung'!RU49," ",'#orgDung'!RV49," ",'#orgDung'!RW49," ",'#orgDung'!RX49," ",'#orgDung'!RY49," ",'#orgDung'!RZ49," ",'#orgDung'!SA49))))</f>
        <v/>
      </c>
      <c r="J48" s="1023"/>
      <c r="K48" s="1024"/>
      <c r="L48" s="1025"/>
      <c r="M48" s="1026" t="str">
        <f>IF(L48="","",'#orgDung'!AN49)</f>
        <v/>
      </c>
      <c r="N48" s="1026" t="str">
        <f>IF(L48="","",'#orgDung'!AO49)</f>
        <v/>
      </c>
      <c r="O48" s="1027" t="str">
        <f>IF(L48="","",'#orgDung'!AQ49)</f>
        <v/>
      </c>
      <c r="P48" s="1025"/>
      <c r="Q48" s="1026" t="str">
        <f>IF(P48="","",'#orgDung'!BC49)</f>
        <v/>
      </c>
      <c r="R48" s="1026" t="str">
        <f>IF(P48="","",'#orgDung'!BD49)</f>
        <v/>
      </c>
      <c r="S48" s="1027" t="str">
        <f>IF(P48="","",'#orgDung'!BF49)</f>
        <v/>
      </c>
      <c r="T48" s="1025"/>
      <c r="U48" s="1026" t="str">
        <f>IF(T48="","",'#orgDung'!BR49)</f>
        <v/>
      </c>
      <c r="V48" s="1026" t="str">
        <f>IF(T48="","",'#orgDung'!BS49)</f>
        <v/>
      </c>
      <c r="W48" s="1027" t="str">
        <f>IF(T48="","",'#orgDung'!BU49)</f>
        <v/>
      </c>
      <c r="X48" s="1025"/>
      <c r="Y48" s="1026" t="str">
        <f>IF(X48="","",'#orgDung'!CG49)</f>
        <v/>
      </c>
      <c r="Z48" s="1026" t="str">
        <f>IF(X48="","",'#orgDung'!CH49)</f>
        <v/>
      </c>
      <c r="AA48" s="1027" t="str">
        <f>IF(X48="","",'#orgDung'!CJ49)</f>
        <v/>
      </c>
      <c r="AB48" s="1025"/>
      <c r="AC48" s="1026" t="str">
        <f>IF(AB48="","",'#orgDung'!CV49)</f>
        <v/>
      </c>
      <c r="AD48" s="1026" t="str">
        <f>IF(AB48="","",'#orgDung'!CW49)</f>
        <v/>
      </c>
      <c r="AE48" s="1027" t="str">
        <f>IF(AB48="","",'#orgDung'!CY49)</f>
        <v/>
      </c>
      <c r="AF48" s="1025"/>
      <c r="AG48" s="1026" t="str">
        <f>IF(AF48="","",'#orgDung'!DK49)</f>
        <v/>
      </c>
      <c r="AH48" s="1026" t="str">
        <f>IF(AF48="","",'#orgDung'!DL49)</f>
        <v/>
      </c>
      <c r="AI48" s="1027" t="str">
        <f>IF(AF48="","",'#orgDung'!DN49)</f>
        <v/>
      </c>
      <c r="AJ48" s="1025"/>
      <c r="AK48" s="1026" t="str">
        <f>IF(AJ48="","",'#orgDung'!DZ49)</f>
        <v/>
      </c>
      <c r="AL48" s="1026" t="str">
        <f>IF(AJ48="","",'#orgDung'!EA49)</f>
        <v/>
      </c>
      <c r="AM48" s="1027" t="str">
        <f>IF(AJ48="","",'#orgDung'!EC49)</f>
        <v/>
      </c>
      <c r="AN48" s="1025"/>
      <c r="AO48" s="1026" t="str">
        <f>IF(AN48="","",'#orgDung'!EO49)</f>
        <v/>
      </c>
      <c r="AP48" s="1026" t="str">
        <f>IF(AN48="","",'#orgDung'!EP49)</f>
        <v/>
      </c>
      <c r="AQ48" s="1027" t="str">
        <f>IF(AN48="","",'#orgDung'!ER49)</f>
        <v/>
      </c>
      <c r="AR48" s="1025"/>
      <c r="AS48" s="1026" t="str">
        <f>IF(AR48="","",'#orgDung'!FD49)</f>
        <v/>
      </c>
      <c r="AT48" s="1026" t="str">
        <f>IF(AR48="","",'#orgDung'!FE49)</f>
        <v/>
      </c>
      <c r="AU48" s="1027" t="str">
        <f>IF(AR48="","",'#orgDung'!FG49)</f>
        <v/>
      </c>
      <c r="AV48" s="1025"/>
      <c r="AW48" s="1026" t="str">
        <f>IF(AV48="","",'#orgDung'!FS49)</f>
        <v/>
      </c>
      <c r="AX48" s="1026" t="str">
        <f>IF(AV48="","",'#orgDung'!FT49)</f>
        <v/>
      </c>
      <c r="AY48" s="1027" t="str">
        <f>IF(AV48="","",'#orgDung'!FV49)</f>
        <v/>
      </c>
      <c r="AZ48" s="1025"/>
      <c r="BA48" s="1026" t="str">
        <f>IF(AZ48="","",'#orgDung'!GH49)</f>
        <v/>
      </c>
      <c r="BB48" s="1026" t="str">
        <f>IF(AZ48="","",'#orgDung'!GI49)</f>
        <v/>
      </c>
      <c r="BC48" s="1027" t="str">
        <f>IF(AZ48="","",'#orgDung'!GK49)</f>
        <v/>
      </c>
      <c r="BD48" s="1025"/>
      <c r="BE48" s="1026" t="str">
        <f>IF(BD48="","",'#orgDung'!GW49)</f>
        <v/>
      </c>
      <c r="BF48" s="1026" t="str">
        <f>IF(BD48="","",'#orgDung'!GX49)</f>
        <v/>
      </c>
      <c r="BG48" s="1027" t="str">
        <f>IF(BD48="","",'#orgDung'!GZ49)</f>
        <v/>
      </c>
      <c r="BH48" s="1025"/>
      <c r="BI48" s="1026" t="str">
        <f>IF(BH48="","",'#orgDung'!HL49)</f>
        <v/>
      </c>
      <c r="BJ48" s="1026" t="str">
        <f>IF(BH48="","",'#orgDung'!HM49)</f>
        <v/>
      </c>
      <c r="BK48" s="1027" t="str">
        <f>IF(BH48="","",'#orgDung'!HO49)</f>
        <v/>
      </c>
      <c r="BL48" s="1025"/>
      <c r="BM48" s="1026" t="str">
        <f>IF(BL48="","",'#orgDung'!IA49)</f>
        <v/>
      </c>
      <c r="BN48" s="1026" t="str">
        <f>IF(BL48="","",'#orgDung'!IB49)</f>
        <v/>
      </c>
      <c r="BO48" s="1027" t="str">
        <f>IF(BL48="","",'#orgDung'!ID49)</f>
        <v/>
      </c>
      <c r="BP48" s="1025"/>
      <c r="BQ48" s="1026" t="str">
        <f>IF(BP48="","",'#orgDung'!IP49)</f>
        <v/>
      </c>
      <c r="BR48" s="1026" t="str">
        <f>IF(BP48="","",'#orgDung'!IQ49)</f>
        <v/>
      </c>
      <c r="BS48" s="1027" t="str">
        <f>IF(BP48="","",'#orgDung'!IS49)</f>
        <v/>
      </c>
      <c r="BT48" s="1025"/>
      <c r="BU48" s="1026" t="str">
        <f>IF(BT48="","",'#orgDung'!JE49)</f>
        <v/>
      </c>
      <c r="BV48" s="1026" t="str">
        <f>IF(BT48="","",'#orgDung'!JF49)</f>
        <v/>
      </c>
      <c r="BW48" s="1027" t="str">
        <f>IF(BT48="","",'#orgDung'!JH49)</f>
        <v/>
      </c>
      <c r="BX48" s="1025"/>
      <c r="BY48" s="1026" t="str">
        <f>IF(BX48="","",'#orgDung'!JT49)</f>
        <v/>
      </c>
      <c r="BZ48" s="1026" t="str">
        <f>IF(BX48="","",'#orgDung'!JU49)</f>
        <v/>
      </c>
      <c r="CA48" s="1027" t="str">
        <f>IF(BX48="","",'#orgDung'!JW49)</f>
        <v/>
      </c>
      <c r="CB48" s="1025"/>
      <c r="CC48" s="1026" t="str">
        <f>IF(CB48="","",'#orgDung'!KI49)</f>
        <v/>
      </c>
      <c r="CD48" s="1026" t="str">
        <f>IF(CB48="","",'#orgDung'!KJ49)</f>
        <v/>
      </c>
      <c r="CE48" s="1027" t="str">
        <f>IF(CB48="","",'#orgDung'!KL49)</f>
        <v/>
      </c>
      <c r="CF48" s="1025"/>
      <c r="CG48" s="1026" t="str">
        <f>IF(CF48="","",'#orgDung'!KX49)</f>
        <v/>
      </c>
      <c r="CH48" s="1026" t="str">
        <f>IF(CF48="","",'#orgDung'!KY49)</f>
        <v/>
      </c>
      <c r="CI48" s="1027" t="str">
        <f>IF(CF48="","",'#orgDung'!LA49)</f>
        <v/>
      </c>
      <c r="CJ48" s="1025"/>
      <c r="CK48" s="1026" t="str">
        <f>IF(CJ48="","",'#orgDung'!LM49)</f>
        <v/>
      </c>
      <c r="CL48" s="1026" t="str">
        <f>IF(CJ48="","",'#orgDung'!LN49)</f>
        <v/>
      </c>
      <c r="CM48" s="1027" t="str">
        <f>IF(CJ48="","",'#orgDung'!LP49)</f>
        <v/>
      </c>
      <c r="CN48" s="1025"/>
      <c r="CO48" s="1026" t="str">
        <f>IF(CN48="","",'#orgDung'!MB49)</f>
        <v/>
      </c>
      <c r="CP48" s="1026" t="str">
        <f>IF(CN48="","",'#orgDung'!MC49)</f>
        <v/>
      </c>
      <c r="CQ48" s="1027" t="str">
        <f>IF(CN48="","",'#orgDung'!ME49)</f>
        <v/>
      </c>
      <c r="CR48" s="1025"/>
      <c r="CS48" s="1026" t="str">
        <f>IF(CR48="","",'#orgDung'!MQ49)</f>
        <v/>
      </c>
      <c r="CT48" s="1026" t="str">
        <f>IF(CR48="","",'#orgDung'!MR49)</f>
        <v/>
      </c>
      <c r="CU48" s="1027" t="str">
        <f>IF(CR48="","",'#orgDung'!MT49)</f>
        <v/>
      </c>
      <c r="CV48" s="1025"/>
      <c r="CW48" s="1026" t="str">
        <f>IF(CV48="","",'#orgDung'!NF49)</f>
        <v/>
      </c>
      <c r="CX48" s="1026" t="str">
        <f>IF(CV48="","",'#orgDung'!NG49)</f>
        <v/>
      </c>
      <c r="CY48" s="1027" t="str">
        <f>IF(CV48="","",'#orgDung'!NI49)</f>
        <v/>
      </c>
      <c r="CZ48" s="1025"/>
      <c r="DA48" s="1026" t="str">
        <f>IF(CZ48="","",'#orgDung'!NU49)</f>
        <v/>
      </c>
      <c r="DB48" s="1026" t="str">
        <f>IF(CZ48="","",'#orgDung'!NV49)</f>
        <v/>
      </c>
      <c r="DC48" s="1027" t="str">
        <f>IF(CZ48="","",'#orgDung'!NX49)</f>
        <v/>
      </c>
      <c r="DD48" s="1025"/>
      <c r="DE48" s="1026" t="str">
        <f>IF(DD48="","",'#orgDung'!OJ49)</f>
        <v/>
      </c>
      <c r="DF48" s="1026" t="str">
        <f>IF(DD48="","",'#orgDung'!OK49)</f>
        <v/>
      </c>
      <c r="DG48" s="1027" t="str">
        <f>IF(DD48="","",'#orgDung'!OM49)</f>
        <v/>
      </c>
      <c r="DH48" s="1025"/>
      <c r="DI48" s="1026" t="str">
        <f>IF(DH48="","",'#orgDung'!OY49)</f>
        <v/>
      </c>
      <c r="DJ48" s="1026" t="str">
        <f>IF(DH48="","",'#orgDung'!OZ49)</f>
        <v/>
      </c>
      <c r="DK48" s="1027" t="str">
        <f>IF(DH48="","",'#orgDung'!PB49)</f>
        <v/>
      </c>
      <c r="DL48" s="1025"/>
      <c r="DM48" s="1026" t="str">
        <f>IF(DL48="","",'#orgDung'!PN49)</f>
        <v/>
      </c>
      <c r="DN48" s="1026" t="str">
        <f>IF(DL48="","",'#orgDung'!PO49)</f>
        <v/>
      </c>
      <c r="DO48" s="1027" t="str">
        <f>IF(DL48="","",'#orgDung'!PQ49)</f>
        <v/>
      </c>
      <c r="DP48" s="1025"/>
      <c r="DQ48" s="1026" t="str">
        <f>IF(DP48="","",'#orgDung'!QC49)</f>
        <v/>
      </c>
      <c r="DR48" s="1026" t="str">
        <f>IF(DP48="","",'#orgDung'!QD49)</f>
        <v/>
      </c>
      <c r="DS48" s="1027" t="str">
        <f>IF(DP48="","",'#orgDung'!QF49)</f>
        <v/>
      </c>
      <c r="DT48" s="1025"/>
      <c r="DU48" s="1026" t="str">
        <f>IF(DT48="","",'#orgDung'!QR49)</f>
        <v/>
      </c>
      <c r="DV48" s="1026" t="str">
        <f>IF(DT48="","",'#orgDung'!QS49)</f>
        <v/>
      </c>
      <c r="DW48" s="1027" t="str">
        <f>IF(DT48="","",'#orgDung'!QU49)</f>
        <v/>
      </c>
      <c r="DX48" s="1025"/>
      <c r="DY48" s="1026" t="str">
        <f>IF(DX48="","",'#orgDung'!RG49)</f>
        <v/>
      </c>
      <c r="DZ48" s="1026" t="str">
        <f>IF(DX48="","",'#orgDung'!RH49)</f>
        <v/>
      </c>
      <c r="EA48" s="1027" t="str">
        <f>IF(DX48="","",'#orgDung'!RJ49)</f>
        <v/>
      </c>
    </row>
    <row r="49" spans="1:131" ht="15" customHeight="1" x14ac:dyDescent="0.2">
      <c r="A49" s="1195">
        <f>'Flächen u. Kulturen'!A46</f>
        <v>37</v>
      </c>
      <c r="B49" s="1195" t="str">
        <f>IF('Flächen u. Kulturen'!B46="","",'Flächen u. Kulturen'!B46)</f>
        <v/>
      </c>
      <c r="C49" s="1196" t="str">
        <f>IF('Flächen u. Kulturen'!D46="","",'Flächen u. Kulturen'!D46)</f>
        <v/>
      </c>
      <c r="D49" s="1197" t="str">
        <f>IF(C49="","",IF('#BerechnungDBE'!Q41&lt;4,"x",""))</f>
        <v/>
      </c>
      <c r="E49" s="1198" t="str">
        <f>IF(C49="","",VLOOKUP('Flächen u. Kulturen'!L46,'#Zweitfr'!$D$8:$F$28,'#Zweitfr'!$F$1,FALSE))</f>
        <v/>
      </c>
      <c r="F49" s="1199" t="str">
        <f>IF(C49="","",IF('Flächen u. Kulturen'!E46="x",'Flächen u. Kulturen'!P46,"nicht im Betrieb"))</f>
        <v/>
      </c>
      <c r="G49" s="1200" t="str">
        <f>IF(C49="","",IF('#orgDung'!C50=2,"--",IF('#Kürzungen'!$F$2=2,"--",'#orgDung'!R50)))</f>
        <v/>
      </c>
      <c r="H49" s="1200" t="str">
        <f>IF(C49="","",'#orgDung'!U50)</f>
        <v/>
      </c>
      <c r="I49" s="1201" t="str">
        <f>IF(C49="","",IF(COUNT('#orgDung'!RS50:SA50)=0,"OK",TRIM(CONCATENATE('#orgDung'!RS50," ",'#orgDung'!RT50," ",'#orgDung'!RU50," ",'#orgDung'!RV50," ",'#orgDung'!RW50," ",'#orgDung'!RX50," ",'#orgDung'!RY50," ",'#orgDung'!RZ50," ",'#orgDung'!SA50))))</f>
        <v/>
      </c>
      <c r="J49" s="1023"/>
      <c r="K49" s="1024"/>
      <c r="L49" s="1025"/>
      <c r="M49" s="1026" t="str">
        <f>IF(L49="","",'#orgDung'!AN50)</f>
        <v/>
      </c>
      <c r="N49" s="1026" t="str">
        <f>IF(L49="","",'#orgDung'!AO50)</f>
        <v/>
      </c>
      <c r="O49" s="1027" t="str">
        <f>IF(L49="","",'#orgDung'!AQ50)</f>
        <v/>
      </c>
      <c r="P49" s="1025"/>
      <c r="Q49" s="1026" t="str">
        <f>IF(P49="","",'#orgDung'!BC50)</f>
        <v/>
      </c>
      <c r="R49" s="1026" t="str">
        <f>IF(P49="","",'#orgDung'!BD50)</f>
        <v/>
      </c>
      <c r="S49" s="1027" t="str">
        <f>IF(P49="","",'#orgDung'!BF50)</f>
        <v/>
      </c>
      <c r="T49" s="1025"/>
      <c r="U49" s="1026" t="str">
        <f>IF(T49="","",'#orgDung'!BR50)</f>
        <v/>
      </c>
      <c r="V49" s="1026" t="str">
        <f>IF(T49="","",'#orgDung'!BS50)</f>
        <v/>
      </c>
      <c r="W49" s="1027" t="str">
        <f>IF(T49="","",'#orgDung'!BU50)</f>
        <v/>
      </c>
      <c r="X49" s="1025"/>
      <c r="Y49" s="1026" t="str">
        <f>IF(X49="","",'#orgDung'!CG50)</f>
        <v/>
      </c>
      <c r="Z49" s="1026" t="str">
        <f>IF(X49="","",'#orgDung'!CH50)</f>
        <v/>
      </c>
      <c r="AA49" s="1027" t="str">
        <f>IF(X49="","",'#orgDung'!CJ50)</f>
        <v/>
      </c>
      <c r="AB49" s="1025"/>
      <c r="AC49" s="1026" t="str">
        <f>IF(AB49="","",'#orgDung'!CV50)</f>
        <v/>
      </c>
      <c r="AD49" s="1026" t="str">
        <f>IF(AB49="","",'#orgDung'!CW50)</f>
        <v/>
      </c>
      <c r="AE49" s="1027" t="str">
        <f>IF(AB49="","",'#orgDung'!CY50)</f>
        <v/>
      </c>
      <c r="AF49" s="1025"/>
      <c r="AG49" s="1026" t="str">
        <f>IF(AF49="","",'#orgDung'!DK50)</f>
        <v/>
      </c>
      <c r="AH49" s="1026" t="str">
        <f>IF(AF49="","",'#orgDung'!DL50)</f>
        <v/>
      </c>
      <c r="AI49" s="1027" t="str">
        <f>IF(AF49="","",'#orgDung'!DN50)</f>
        <v/>
      </c>
      <c r="AJ49" s="1025"/>
      <c r="AK49" s="1026" t="str">
        <f>IF(AJ49="","",'#orgDung'!DZ50)</f>
        <v/>
      </c>
      <c r="AL49" s="1026" t="str">
        <f>IF(AJ49="","",'#orgDung'!EA50)</f>
        <v/>
      </c>
      <c r="AM49" s="1027" t="str">
        <f>IF(AJ49="","",'#orgDung'!EC50)</f>
        <v/>
      </c>
      <c r="AN49" s="1025"/>
      <c r="AO49" s="1026" t="str">
        <f>IF(AN49="","",'#orgDung'!EO50)</f>
        <v/>
      </c>
      <c r="AP49" s="1026" t="str">
        <f>IF(AN49="","",'#orgDung'!EP50)</f>
        <v/>
      </c>
      <c r="AQ49" s="1027" t="str">
        <f>IF(AN49="","",'#orgDung'!ER50)</f>
        <v/>
      </c>
      <c r="AR49" s="1025"/>
      <c r="AS49" s="1026" t="str">
        <f>IF(AR49="","",'#orgDung'!FD50)</f>
        <v/>
      </c>
      <c r="AT49" s="1026" t="str">
        <f>IF(AR49="","",'#orgDung'!FE50)</f>
        <v/>
      </c>
      <c r="AU49" s="1027" t="str">
        <f>IF(AR49="","",'#orgDung'!FG50)</f>
        <v/>
      </c>
      <c r="AV49" s="1025"/>
      <c r="AW49" s="1026" t="str">
        <f>IF(AV49="","",'#orgDung'!FS50)</f>
        <v/>
      </c>
      <c r="AX49" s="1026" t="str">
        <f>IF(AV49="","",'#orgDung'!FT50)</f>
        <v/>
      </c>
      <c r="AY49" s="1027" t="str">
        <f>IF(AV49="","",'#orgDung'!FV50)</f>
        <v/>
      </c>
      <c r="AZ49" s="1025"/>
      <c r="BA49" s="1026" t="str">
        <f>IF(AZ49="","",'#orgDung'!GH50)</f>
        <v/>
      </c>
      <c r="BB49" s="1026" t="str">
        <f>IF(AZ49="","",'#orgDung'!GI50)</f>
        <v/>
      </c>
      <c r="BC49" s="1027" t="str">
        <f>IF(AZ49="","",'#orgDung'!GK50)</f>
        <v/>
      </c>
      <c r="BD49" s="1025"/>
      <c r="BE49" s="1026" t="str">
        <f>IF(BD49="","",'#orgDung'!GW50)</f>
        <v/>
      </c>
      <c r="BF49" s="1026" t="str">
        <f>IF(BD49="","",'#orgDung'!GX50)</f>
        <v/>
      </c>
      <c r="BG49" s="1027" t="str">
        <f>IF(BD49="","",'#orgDung'!GZ50)</f>
        <v/>
      </c>
      <c r="BH49" s="1025"/>
      <c r="BI49" s="1026" t="str">
        <f>IF(BH49="","",'#orgDung'!HL50)</f>
        <v/>
      </c>
      <c r="BJ49" s="1026" t="str">
        <f>IF(BH49="","",'#orgDung'!HM50)</f>
        <v/>
      </c>
      <c r="BK49" s="1027" t="str">
        <f>IF(BH49="","",'#orgDung'!HO50)</f>
        <v/>
      </c>
      <c r="BL49" s="1025"/>
      <c r="BM49" s="1026" t="str">
        <f>IF(BL49="","",'#orgDung'!IA50)</f>
        <v/>
      </c>
      <c r="BN49" s="1026" t="str">
        <f>IF(BL49="","",'#orgDung'!IB50)</f>
        <v/>
      </c>
      <c r="BO49" s="1027" t="str">
        <f>IF(BL49="","",'#orgDung'!ID50)</f>
        <v/>
      </c>
      <c r="BP49" s="1025"/>
      <c r="BQ49" s="1026" t="str">
        <f>IF(BP49="","",'#orgDung'!IP50)</f>
        <v/>
      </c>
      <c r="BR49" s="1026" t="str">
        <f>IF(BP49="","",'#orgDung'!IQ50)</f>
        <v/>
      </c>
      <c r="BS49" s="1027" t="str">
        <f>IF(BP49="","",'#orgDung'!IS50)</f>
        <v/>
      </c>
      <c r="BT49" s="1025"/>
      <c r="BU49" s="1026" t="str">
        <f>IF(BT49="","",'#orgDung'!JE50)</f>
        <v/>
      </c>
      <c r="BV49" s="1026" t="str">
        <f>IF(BT49="","",'#orgDung'!JF50)</f>
        <v/>
      </c>
      <c r="BW49" s="1027" t="str">
        <f>IF(BT49="","",'#orgDung'!JH50)</f>
        <v/>
      </c>
      <c r="BX49" s="1025"/>
      <c r="BY49" s="1026" t="str">
        <f>IF(BX49="","",'#orgDung'!JT50)</f>
        <v/>
      </c>
      <c r="BZ49" s="1026" t="str">
        <f>IF(BX49="","",'#orgDung'!JU50)</f>
        <v/>
      </c>
      <c r="CA49" s="1027" t="str">
        <f>IF(BX49="","",'#orgDung'!JW50)</f>
        <v/>
      </c>
      <c r="CB49" s="1025"/>
      <c r="CC49" s="1026" t="str">
        <f>IF(CB49="","",'#orgDung'!KI50)</f>
        <v/>
      </c>
      <c r="CD49" s="1026" t="str">
        <f>IF(CB49="","",'#orgDung'!KJ50)</f>
        <v/>
      </c>
      <c r="CE49" s="1027" t="str">
        <f>IF(CB49="","",'#orgDung'!KL50)</f>
        <v/>
      </c>
      <c r="CF49" s="1025"/>
      <c r="CG49" s="1026" t="str">
        <f>IF(CF49="","",'#orgDung'!KX50)</f>
        <v/>
      </c>
      <c r="CH49" s="1026" t="str">
        <f>IF(CF49="","",'#orgDung'!KY50)</f>
        <v/>
      </c>
      <c r="CI49" s="1027" t="str">
        <f>IF(CF49="","",'#orgDung'!LA50)</f>
        <v/>
      </c>
      <c r="CJ49" s="1025"/>
      <c r="CK49" s="1026" t="str">
        <f>IF(CJ49="","",'#orgDung'!LM50)</f>
        <v/>
      </c>
      <c r="CL49" s="1026" t="str">
        <f>IF(CJ49="","",'#orgDung'!LN50)</f>
        <v/>
      </c>
      <c r="CM49" s="1027" t="str">
        <f>IF(CJ49="","",'#orgDung'!LP50)</f>
        <v/>
      </c>
      <c r="CN49" s="1025"/>
      <c r="CO49" s="1026" t="str">
        <f>IF(CN49="","",'#orgDung'!MB50)</f>
        <v/>
      </c>
      <c r="CP49" s="1026" t="str">
        <f>IF(CN49="","",'#orgDung'!MC50)</f>
        <v/>
      </c>
      <c r="CQ49" s="1027" t="str">
        <f>IF(CN49="","",'#orgDung'!ME50)</f>
        <v/>
      </c>
      <c r="CR49" s="1025"/>
      <c r="CS49" s="1026" t="str">
        <f>IF(CR49="","",'#orgDung'!MQ50)</f>
        <v/>
      </c>
      <c r="CT49" s="1026" t="str">
        <f>IF(CR49="","",'#orgDung'!MR50)</f>
        <v/>
      </c>
      <c r="CU49" s="1027" t="str">
        <f>IF(CR49="","",'#orgDung'!MT50)</f>
        <v/>
      </c>
      <c r="CV49" s="1025"/>
      <c r="CW49" s="1026" t="str">
        <f>IF(CV49="","",'#orgDung'!NF50)</f>
        <v/>
      </c>
      <c r="CX49" s="1026" t="str">
        <f>IF(CV49="","",'#orgDung'!NG50)</f>
        <v/>
      </c>
      <c r="CY49" s="1027" t="str">
        <f>IF(CV49="","",'#orgDung'!NI50)</f>
        <v/>
      </c>
      <c r="CZ49" s="1025"/>
      <c r="DA49" s="1026" t="str">
        <f>IF(CZ49="","",'#orgDung'!NU50)</f>
        <v/>
      </c>
      <c r="DB49" s="1026" t="str">
        <f>IF(CZ49="","",'#orgDung'!NV50)</f>
        <v/>
      </c>
      <c r="DC49" s="1027" t="str">
        <f>IF(CZ49="","",'#orgDung'!NX50)</f>
        <v/>
      </c>
      <c r="DD49" s="1025"/>
      <c r="DE49" s="1026" t="str">
        <f>IF(DD49="","",'#orgDung'!OJ50)</f>
        <v/>
      </c>
      <c r="DF49" s="1026" t="str">
        <f>IF(DD49="","",'#orgDung'!OK50)</f>
        <v/>
      </c>
      <c r="DG49" s="1027" t="str">
        <f>IF(DD49="","",'#orgDung'!OM50)</f>
        <v/>
      </c>
      <c r="DH49" s="1025"/>
      <c r="DI49" s="1026" t="str">
        <f>IF(DH49="","",'#orgDung'!OY50)</f>
        <v/>
      </c>
      <c r="DJ49" s="1026" t="str">
        <f>IF(DH49="","",'#orgDung'!OZ50)</f>
        <v/>
      </c>
      <c r="DK49" s="1027" t="str">
        <f>IF(DH49="","",'#orgDung'!PB50)</f>
        <v/>
      </c>
      <c r="DL49" s="1025"/>
      <c r="DM49" s="1026" t="str">
        <f>IF(DL49="","",'#orgDung'!PN50)</f>
        <v/>
      </c>
      <c r="DN49" s="1026" t="str">
        <f>IF(DL49="","",'#orgDung'!PO50)</f>
        <v/>
      </c>
      <c r="DO49" s="1027" t="str">
        <f>IF(DL49="","",'#orgDung'!PQ50)</f>
        <v/>
      </c>
      <c r="DP49" s="1025"/>
      <c r="DQ49" s="1026" t="str">
        <f>IF(DP49="","",'#orgDung'!QC50)</f>
        <v/>
      </c>
      <c r="DR49" s="1026" t="str">
        <f>IF(DP49="","",'#orgDung'!QD50)</f>
        <v/>
      </c>
      <c r="DS49" s="1027" t="str">
        <f>IF(DP49="","",'#orgDung'!QF50)</f>
        <v/>
      </c>
      <c r="DT49" s="1025"/>
      <c r="DU49" s="1026" t="str">
        <f>IF(DT49="","",'#orgDung'!QR50)</f>
        <v/>
      </c>
      <c r="DV49" s="1026" t="str">
        <f>IF(DT49="","",'#orgDung'!QS50)</f>
        <v/>
      </c>
      <c r="DW49" s="1027" t="str">
        <f>IF(DT49="","",'#orgDung'!QU50)</f>
        <v/>
      </c>
      <c r="DX49" s="1025"/>
      <c r="DY49" s="1026" t="str">
        <f>IF(DX49="","",'#orgDung'!RG50)</f>
        <v/>
      </c>
      <c r="DZ49" s="1026" t="str">
        <f>IF(DX49="","",'#orgDung'!RH50)</f>
        <v/>
      </c>
      <c r="EA49" s="1027" t="str">
        <f>IF(DX49="","",'#orgDung'!RJ50)</f>
        <v/>
      </c>
    </row>
    <row r="50" spans="1:131" ht="15" customHeight="1" x14ac:dyDescent="0.2">
      <c r="A50" s="1195">
        <f>'Flächen u. Kulturen'!A47</f>
        <v>38</v>
      </c>
      <c r="B50" s="1195" t="str">
        <f>IF('Flächen u. Kulturen'!B47="","",'Flächen u. Kulturen'!B47)</f>
        <v/>
      </c>
      <c r="C50" s="1196" t="str">
        <f>IF('Flächen u. Kulturen'!D47="","",'Flächen u. Kulturen'!D47)</f>
        <v/>
      </c>
      <c r="D50" s="1197" t="str">
        <f>IF(C50="","",IF('#BerechnungDBE'!Q42&lt;4,"x",""))</f>
        <v/>
      </c>
      <c r="E50" s="1198" t="str">
        <f>IF(C50="","",VLOOKUP('Flächen u. Kulturen'!L47,'#Zweitfr'!$D$8:$F$28,'#Zweitfr'!$F$1,FALSE))</f>
        <v/>
      </c>
      <c r="F50" s="1199" t="str">
        <f>IF(C50="","",IF('Flächen u. Kulturen'!E47="x",'Flächen u. Kulturen'!P47,"nicht im Betrieb"))</f>
        <v/>
      </c>
      <c r="G50" s="1200" t="str">
        <f>IF(C50="","",IF('#orgDung'!C51=2,"--",IF('#Kürzungen'!$F$2=2,"--",'#orgDung'!R51)))</f>
        <v/>
      </c>
      <c r="H50" s="1200" t="str">
        <f>IF(C50="","",'#orgDung'!U51)</f>
        <v/>
      </c>
      <c r="I50" s="1201" t="str">
        <f>IF(C50="","",IF(COUNT('#orgDung'!RS51:SA51)=0,"OK",TRIM(CONCATENATE('#orgDung'!RS51," ",'#orgDung'!RT51," ",'#orgDung'!RU51," ",'#orgDung'!RV51," ",'#orgDung'!RW51," ",'#orgDung'!RX51," ",'#orgDung'!RY51," ",'#orgDung'!RZ51," ",'#orgDung'!SA51))))</f>
        <v/>
      </c>
      <c r="J50" s="1023"/>
      <c r="K50" s="1024"/>
      <c r="L50" s="1025"/>
      <c r="M50" s="1026" t="str">
        <f>IF(L50="","",'#orgDung'!AN51)</f>
        <v/>
      </c>
      <c r="N50" s="1026" t="str">
        <f>IF(L50="","",'#orgDung'!AO51)</f>
        <v/>
      </c>
      <c r="O50" s="1027" t="str">
        <f>IF(L50="","",'#orgDung'!AQ51)</f>
        <v/>
      </c>
      <c r="P50" s="1025"/>
      <c r="Q50" s="1026" t="str">
        <f>IF(P50="","",'#orgDung'!BC51)</f>
        <v/>
      </c>
      <c r="R50" s="1026" t="str">
        <f>IF(P50="","",'#orgDung'!BD51)</f>
        <v/>
      </c>
      <c r="S50" s="1027" t="str">
        <f>IF(P50="","",'#orgDung'!BF51)</f>
        <v/>
      </c>
      <c r="T50" s="1025"/>
      <c r="U50" s="1026" t="str">
        <f>IF(T50="","",'#orgDung'!BR51)</f>
        <v/>
      </c>
      <c r="V50" s="1026" t="str">
        <f>IF(T50="","",'#orgDung'!BS51)</f>
        <v/>
      </c>
      <c r="W50" s="1027" t="str">
        <f>IF(T50="","",'#orgDung'!BU51)</f>
        <v/>
      </c>
      <c r="X50" s="1025"/>
      <c r="Y50" s="1026" t="str">
        <f>IF(X50="","",'#orgDung'!CG51)</f>
        <v/>
      </c>
      <c r="Z50" s="1026" t="str">
        <f>IF(X50="","",'#orgDung'!CH51)</f>
        <v/>
      </c>
      <c r="AA50" s="1027" t="str">
        <f>IF(X50="","",'#orgDung'!CJ51)</f>
        <v/>
      </c>
      <c r="AB50" s="1025"/>
      <c r="AC50" s="1026" t="str">
        <f>IF(AB50="","",'#orgDung'!CV51)</f>
        <v/>
      </c>
      <c r="AD50" s="1026" t="str">
        <f>IF(AB50="","",'#orgDung'!CW51)</f>
        <v/>
      </c>
      <c r="AE50" s="1027" t="str">
        <f>IF(AB50="","",'#orgDung'!CY51)</f>
        <v/>
      </c>
      <c r="AF50" s="1025"/>
      <c r="AG50" s="1026" t="str">
        <f>IF(AF50="","",'#orgDung'!DK51)</f>
        <v/>
      </c>
      <c r="AH50" s="1026" t="str">
        <f>IF(AF50="","",'#orgDung'!DL51)</f>
        <v/>
      </c>
      <c r="AI50" s="1027" t="str">
        <f>IF(AF50="","",'#orgDung'!DN51)</f>
        <v/>
      </c>
      <c r="AJ50" s="1025"/>
      <c r="AK50" s="1026" t="str">
        <f>IF(AJ50="","",'#orgDung'!DZ51)</f>
        <v/>
      </c>
      <c r="AL50" s="1026" t="str">
        <f>IF(AJ50="","",'#orgDung'!EA51)</f>
        <v/>
      </c>
      <c r="AM50" s="1027" t="str">
        <f>IF(AJ50="","",'#orgDung'!EC51)</f>
        <v/>
      </c>
      <c r="AN50" s="1025"/>
      <c r="AO50" s="1026" t="str">
        <f>IF(AN50="","",'#orgDung'!EO51)</f>
        <v/>
      </c>
      <c r="AP50" s="1026" t="str">
        <f>IF(AN50="","",'#orgDung'!EP51)</f>
        <v/>
      </c>
      <c r="AQ50" s="1027" t="str">
        <f>IF(AN50="","",'#orgDung'!ER51)</f>
        <v/>
      </c>
      <c r="AR50" s="1025"/>
      <c r="AS50" s="1026" t="str">
        <f>IF(AR50="","",'#orgDung'!FD51)</f>
        <v/>
      </c>
      <c r="AT50" s="1026" t="str">
        <f>IF(AR50="","",'#orgDung'!FE51)</f>
        <v/>
      </c>
      <c r="AU50" s="1027" t="str">
        <f>IF(AR50="","",'#orgDung'!FG51)</f>
        <v/>
      </c>
      <c r="AV50" s="1025"/>
      <c r="AW50" s="1026" t="str">
        <f>IF(AV50="","",'#orgDung'!FS51)</f>
        <v/>
      </c>
      <c r="AX50" s="1026" t="str">
        <f>IF(AV50="","",'#orgDung'!FT51)</f>
        <v/>
      </c>
      <c r="AY50" s="1027" t="str">
        <f>IF(AV50="","",'#orgDung'!FV51)</f>
        <v/>
      </c>
      <c r="AZ50" s="1025"/>
      <c r="BA50" s="1026" t="str">
        <f>IF(AZ50="","",'#orgDung'!GH51)</f>
        <v/>
      </c>
      <c r="BB50" s="1026" t="str">
        <f>IF(AZ50="","",'#orgDung'!GI51)</f>
        <v/>
      </c>
      <c r="BC50" s="1027" t="str">
        <f>IF(AZ50="","",'#orgDung'!GK51)</f>
        <v/>
      </c>
      <c r="BD50" s="1025"/>
      <c r="BE50" s="1026" t="str">
        <f>IF(BD50="","",'#orgDung'!GW51)</f>
        <v/>
      </c>
      <c r="BF50" s="1026" t="str">
        <f>IF(BD50="","",'#orgDung'!GX51)</f>
        <v/>
      </c>
      <c r="BG50" s="1027" t="str">
        <f>IF(BD50="","",'#orgDung'!GZ51)</f>
        <v/>
      </c>
      <c r="BH50" s="1025"/>
      <c r="BI50" s="1026" t="str">
        <f>IF(BH50="","",'#orgDung'!HL51)</f>
        <v/>
      </c>
      <c r="BJ50" s="1026" t="str">
        <f>IF(BH50="","",'#orgDung'!HM51)</f>
        <v/>
      </c>
      <c r="BK50" s="1027" t="str">
        <f>IF(BH50="","",'#orgDung'!HO51)</f>
        <v/>
      </c>
      <c r="BL50" s="1025"/>
      <c r="BM50" s="1026" t="str">
        <f>IF(BL50="","",'#orgDung'!IA51)</f>
        <v/>
      </c>
      <c r="BN50" s="1026" t="str">
        <f>IF(BL50="","",'#orgDung'!IB51)</f>
        <v/>
      </c>
      <c r="BO50" s="1027" t="str">
        <f>IF(BL50="","",'#orgDung'!ID51)</f>
        <v/>
      </c>
      <c r="BP50" s="1025"/>
      <c r="BQ50" s="1026" t="str">
        <f>IF(BP50="","",'#orgDung'!IP51)</f>
        <v/>
      </c>
      <c r="BR50" s="1026" t="str">
        <f>IF(BP50="","",'#orgDung'!IQ51)</f>
        <v/>
      </c>
      <c r="BS50" s="1027" t="str">
        <f>IF(BP50="","",'#orgDung'!IS51)</f>
        <v/>
      </c>
      <c r="BT50" s="1025"/>
      <c r="BU50" s="1026" t="str">
        <f>IF(BT50="","",'#orgDung'!JE51)</f>
        <v/>
      </c>
      <c r="BV50" s="1026" t="str">
        <f>IF(BT50="","",'#orgDung'!JF51)</f>
        <v/>
      </c>
      <c r="BW50" s="1027" t="str">
        <f>IF(BT50="","",'#orgDung'!JH51)</f>
        <v/>
      </c>
      <c r="BX50" s="1025"/>
      <c r="BY50" s="1026" t="str">
        <f>IF(BX50="","",'#orgDung'!JT51)</f>
        <v/>
      </c>
      <c r="BZ50" s="1026" t="str">
        <f>IF(BX50="","",'#orgDung'!JU51)</f>
        <v/>
      </c>
      <c r="CA50" s="1027" t="str">
        <f>IF(BX50="","",'#orgDung'!JW51)</f>
        <v/>
      </c>
      <c r="CB50" s="1025"/>
      <c r="CC50" s="1026" t="str">
        <f>IF(CB50="","",'#orgDung'!KI51)</f>
        <v/>
      </c>
      <c r="CD50" s="1026" t="str">
        <f>IF(CB50="","",'#orgDung'!KJ51)</f>
        <v/>
      </c>
      <c r="CE50" s="1027" t="str">
        <f>IF(CB50="","",'#orgDung'!KL51)</f>
        <v/>
      </c>
      <c r="CF50" s="1025"/>
      <c r="CG50" s="1026" t="str">
        <f>IF(CF50="","",'#orgDung'!KX51)</f>
        <v/>
      </c>
      <c r="CH50" s="1026" t="str">
        <f>IF(CF50="","",'#orgDung'!KY51)</f>
        <v/>
      </c>
      <c r="CI50" s="1027" t="str">
        <f>IF(CF50="","",'#orgDung'!LA51)</f>
        <v/>
      </c>
      <c r="CJ50" s="1025"/>
      <c r="CK50" s="1026" t="str">
        <f>IF(CJ50="","",'#orgDung'!LM51)</f>
        <v/>
      </c>
      <c r="CL50" s="1026" t="str">
        <f>IF(CJ50="","",'#orgDung'!LN51)</f>
        <v/>
      </c>
      <c r="CM50" s="1027" t="str">
        <f>IF(CJ50="","",'#orgDung'!LP51)</f>
        <v/>
      </c>
      <c r="CN50" s="1025"/>
      <c r="CO50" s="1026" t="str">
        <f>IF(CN50="","",'#orgDung'!MB51)</f>
        <v/>
      </c>
      <c r="CP50" s="1026" t="str">
        <f>IF(CN50="","",'#orgDung'!MC51)</f>
        <v/>
      </c>
      <c r="CQ50" s="1027" t="str">
        <f>IF(CN50="","",'#orgDung'!ME51)</f>
        <v/>
      </c>
      <c r="CR50" s="1025"/>
      <c r="CS50" s="1026" t="str">
        <f>IF(CR50="","",'#orgDung'!MQ51)</f>
        <v/>
      </c>
      <c r="CT50" s="1026" t="str">
        <f>IF(CR50="","",'#orgDung'!MR51)</f>
        <v/>
      </c>
      <c r="CU50" s="1027" t="str">
        <f>IF(CR50="","",'#orgDung'!MT51)</f>
        <v/>
      </c>
      <c r="CV50" s="1025"/>
      <c r="CW50" s="1026" t="str">
        <f>IF(CV50="","",'#orgDung'!NF51)</f>
        <v/>
      </c>
      <c r="CX50" s="1026" t="str">
        <f>IF(CV50="","",'#orgDung'!NG51)</f>
        <v/>
      </c>
      <c r="CY50" s="1027" t="str">
        <f>IF(CV50="","",'#orgDung'!NI51)</f>
        <v/>
      </c>
      <c r="CZ50" s="1025"/>
      <c r="DA50" s="1026" t="str">
        <f>IF(CZ50="","",'#orgDung'!NU51)</f>
        <v/>
      </c>
      <c r="DB50" s="1026" t="str">
        <f>IF(CZ50="","",'#orgDung'!NV51)</f>
        <v/>
      </c>
      <c r="DC50" s="1027" t="str">
        <f>IF(CZ50="","",'#orgDung'!NX51)</f>
        <v/>
      </c>
      <c r="DD50" s="1025"/>
      <c r="DE50" s="1026" t="str">
        <f>IF(DD50="","",'#orgDung'!OJ51)</f>
        <v/>
      </c>
      <c r="DF50" s="1026" t="str">
        <f>IF(DD50="","",'#orgDung'!OK51)</f>
        <v/>
      </c>
      <c r="DG50" s="1027" t="str">
        <f>IF(DD50="","",'#orgDung'!OM51)</f>
        <v/>
      </c>
      <c r="DH50" s="1025"/>
      <c r="DI50" s="1026" t="str">
        <f>IF(DH50="","",'#orgDung'!OY51)</f>
        <v/>
      </c>
      <c r="DJ50" s="1026" t="str">
        <f>IF(DH50="","",'#orgDung'!OZ51)</f>
        <v/>
      </c>
      <c r="DK50" s="1027" t="str">
        <f>IF(DH50="","",'#orgDung'!PB51)</f>
        <v/>
      </c>
      <c r="DL50" s="1025"/>
      <c r="DM50" s="1026" t="str">
        <f>IF(DL50="","",'#orgDung'!PN51)</f>
        <v/>
      </c>
      <c r="DN50" s="1026" t="str">
        <f>IF(DL50="","",'#orgDung'!PO51)</f>
        <v/>
      </c>
      <c r="DO50" s="1027" t="str">
        <f>IF(DL50="","",'#orgDung'!PQ51)</f>
        <v/>
      </c>
      <c r="DP50" s="1025"/>
      <c r="DQ50" s="1026" t="str">
        <f>IF(DP50="","",'#orgDung'!QC51)</f>
        <v/>
      </c>
      <c r="DR50" s="1026" t="str">
        <f>IF(DP50="","",'#orgDung'!QD51)</f>
        <v/>
      </c>
      <c r="DS50" s="1027" t="str">
        <f>IF(DP50="","",'#orgDung'!QF51)</f>
        <v/>
      </c>
      <c r="DT50" s="1025"/>
      <c r="DU50" s="1026" t="str">
        <f>IF(DT50="","",'#orgDung'!QR51)</f>
        <v/>
      </c>
      <c r="DV50" s="1026" t="str">
        <f>IF(DT50="","",'#orgDung'!QS51)</f>
        <v/>
      </c>
      <c r="DW50" s="1027" t="str">
        <f>IF(DT50="","",'#orgDung'!QU51)</f>
        <v/>
      </c>
      <c r="DX50" s="1025"/>
      <c r="DY50" s="1026" t="str">
        <f>IF(DX50="","",'#orgDung'!RG51)</f>
        <v/>
      </c>
      <c r="DZ50" s="1026" t="str">
        <f>IF(DX50="","",'#orgDung'!RH51)</f>
        <v/>
      </c>
      <c r="EA50" s="1027" t="str">
        <f>IF(DX50="","",'#orgDung'!RJ51)</f>
        <v/>
      </c>
    </row>
    <row r="51" spans="1:131" ht="15" customHeight="1" x14ac:dyDescent="0.2">
      <c r="A51" s="1195">
        <f>'Flächen u. Kulturen'!A48</f>
        <v>39</v>
      </c>
      <c r="B51" s="1195" t="str">
        <f>IF('Flächen u. Kulturen'!B48="","",'Flächen u. Kulturen'!B48)</f>
        <v/>
      </c>
      <c r="C51" s="1196" t="str">
        <f>IF('Flächen u. Kulturen'!D48="","",'Flächen u. Kulturen'!D48)</f>
        <v/>
      </c>
      <c r="D51" s="1197" t="str">
        <f>IF(C51="","",IF('#BerechnungDBE'!Q43&lt;4,"x",""))</f>
        <v/>
      </c>
      <c r="E51" s="1198" t="str">
        <f>IF(C51="","",VLOOKUP('Flächen u. Kulturen'!L48,'#Zweitfr'!$D$8:$F$28,'#Zweitfr'!$F$1,FALSE))</f>
        <v/>
      </c>
      <c r="F51" s="1199" t="str">
        <f>IF(C51="","",IF('Flächen u. Kulturen'!E48="x",'Flächen u. Kulturen'!P48,"nicht im Betrieb"))</f>
        <v/>
      </c>
      <c r="G51" s="1200" t="str">
        <f>IF(C51="","",IF('#orgDung'!C52=2,"--",IF('#Kürzungen'!$F$2=2,"--",'#orgDung'!R52)))</f>
        <v/>
      </c>
      <c r="H51" s="1200" t="str">
        <f>IF(C51="","",'#orgDung'!U52)</f>
        <v/>
      </c>
      <c r="I51" s="1201" t="str">
        <f>IF(C51="","",IF(COUNT('#orgDung'!RS52:SA52)=0,"OK",TRIM(CONCATENATE('#orgDung'!RS52," ",'#orgDung'!RT52," ",'#orgDung'!RU52," ",'#orgDung'!RV52," ",'#orgDung'!RW52," ",'#orgDung'!RX52," ",'#orgDung'!RY52," ",'#orgDung'!RZ52," ",'#orgDung'!SA52))))</f>
        <v/>
      </c>
      <c r="J51" s="1023"/>
      <c r="K51" s="1024"/>
      <c r="L51" s="1025"/>
      <c r="M51" s="1026" t="str">
        <f>IF(L51="","",'#orgDung'!AN52)</f>
        <v/>
      </c>
      <c r="N51" s="1026" t="str">
        <f>IF(L51="","",'#orgDung'!AO52)</f>
        <v/>
      </c>
      <c r="O51" s="1027" t="str">
        <f>IF(L51="","",'#orgDung'!AQ52)</f>
        <v/>
      </c>
      <c r="P51" s="1025"/>
      <c r="Q51" s="1026" t="str">
        <f>IF(P51="","",'#orgDung'!BC52)</f>
        <v/>
      </c>
      <c r="R51" s="1026" t="str">
        <f>IF(P51="","",'#orgDung'!BD52)</f>
        <v/>
      </c>
      <c r="S51" s="1027" t="str">
        <f>IF(P51="","",'#orgDung'!BF52)</f>
        <v/>
      </c>
      <c r="T51" s="1025"/>
      <c r="U51" s="1026" t="str">
        <f>IF(T51="","",'#orgDung'!BR52)</f>
        <v/>
      </c>
      <c r="V51" s="1026" t="str">
        <f>IF(T51="","",'#orgDung'!BS52)</f>
        <v/>
      </c>
      <c r="W51" s="1027" t="str">
        <f>IF(T51="","",'#orgDung'!BU52)</f>
        <v/>
      </c>
      <c r="X51" s="1025"/>
      <c r="Y51" s="1026" t="str">
        <f>IF(X51="","",'#orgDung'!CG52)</f>
        <v/>
      </c>
      <c r="Z51" s="1026" t="str">
        <f>IF(X51="","",'#orgDung'!CH52)</f>
        <v/>
      </c>
      <c r="AA51" s="1027" t="str">
        <f>IF(X51="","",'#orgDung'!CJ52)</f>
        <v/>
      </c>
      <c r="AB51" s="1025"/>
      <c r="AC51" s="1026" t="str">
        <f>IF(AB51="","",'#orgDung'!CV52)</f>
        <v/>
      </c>
      <c r="AD51" s="1026" t="str">
        <f>IF(AB51="","",'#orgDung'!CW52)</f>
        <v/>
      </c>
      <c r="AE51" s="1027" t="str">
        <f>IF(AB51="","",'#orgDung'!CY52)</f>
        <v/>
      </c>
      <c r="AF51" s="1025"/>
      <c r="AG51" s="1026" t="str">
        <f>IF(AF51="","",'#orgDung'!DK52)</f>
        <v/>
      </c>
      <c r="AH51" s="1026" t="str">
        <f>IF(AF51="","",'#orgDung'!DL52)</f>
        <v/>
      </c>
      <c r="AI51" s="1027" t="str">
        <f>IF(AF51="","",'#orgDung'!DN52)</f>
        <v/>
      </c>
      <c r="AJ51" s="1025"/>
      <c r="AK51" s="1026" t="str">
        <f>IF(AJ51="","",'#orgDung'!DZ52)</f>
        <v/>
      </c>
      <c r="AL51" s="1026" t="str">
        <f>IF(AJ51="","",'#orgDung'!EA52)</f>
        <v/>
      </c>
      <c r="AM51" s="1027" t="str">
        <f>IF(AJ51="","",'#orgDung'!EC52)</f>
        <v/>
      </c>
      <c r="AN51" s="1025"/>
      <c r="AO51" s="1026" t="str">
        <f>IF(AN51="","",'#orgDung'!EO52)</f>
        <v/>
      </c>
      <c r="AP51" s="1026" t="str">
        <f>IF(AN51="","",'#orgDung'!EP52)</f>
        <v/>
      </c>
      <c r="AQ51" s="1027" t="str">
        <f>IF(AN51="","",'#orgDung'!ER52)</f>
        <v/>
      </c>
      <c r="AR51" s="1025"/>
      <c r="AS51" s="1026" t="str">
        <f>IF(AR51="","",'#orgDung'!FD52)</f>
        <v/>
      </c>
      <c r="AT51" s="1026" t="str">
        <f>IF(AR51="","",'#orgDung'!FE52)</f>
        <v/>
      </c>
      <c r="AU51" s="1027" t="str">
        <f>IF(AR51="","",'#orgDung'!FG52)</f>
        <v/>
      </c>
      <c r="AV51" s="1025"/>
      <c r="AW51" s="1026" t="str">
        <f>IF(AV51="","",'#orgDung'!FS52)</f>
        <v/>
      </c>
      <c r="AX51" s="1026" t="str">
        <f>IF(AV51="","",'#orgDung'!FT52)</f>
        <v/>
      </c>
      <c r="AY51" s="1027" t="str">
        <f>IF(AV51="","",'#orgDung'!FV52)</f>
        <v/>
      </c>
      <c r="AZ51" s="1025"/>
      <c r="BA51" s="1026" t="str">
        <f>IF(AZ51="","",'#orgDung'!GH52)</f>
        <v/>
      </c>
      <c r="BB51" s="1026" t="str">
        <f>IF(AZ51="","",'#orgDung'!GI52)</f>
        <v/>
      </c>
      <c r="BC51" s="1027" t="str">
        <f>IF(AZ51="","",'#orgDung'!GK52)</f>
        <v/>
      </c>
      <c r="BD51" s="1025"/>
      <c r="BE51" s="1026" t="str">
        <f>IF(BD51="","",'#orgDung'!GW52)</f>
        <v/>
      </c>
      <c r="BF51" s="1026" t="str">
        <f>IF(BD51="","",'#orgDung'!GX52)</f>
        <v/>
      </c>
      <c r="BG51" s="1027" t="str">
        <f>IF(BD51="","",'#orgDung'!GZ52)</f>
        <v/>
      </c>
      <c r="BH51" s="1025"/>
      <c r="BI51" s="1026" t="str">
        <f>IF(BH51="","",'#orgDung'!HL52)</f>
        <v/>
      </c>
      <c r="BJ51" s="1026" t="str">
        <f>IF(BH51="","",'#orgDung'!HM52)</f>
        <v/>
      </c>
      <c r="BK51" s="1027" t="str">
        <f>IF(BH51="","",'#orgDung'!HO52)</f>
        <v/>
      </c>
      <c r="BL51" s="1025"/>
      <c r="BM51" s="1026" t="str">
        <f>IF(BL51="","",'#orgDung'!IA52)</f>
        <v/>
      </c>
      <c r="BN51" s="1026" t="str">
        <f>IF(BL51="","",'#orgDung'!IB52)</f>
        <v/>
      </c>
      <c r="BO51" s="1027" t="str">
        <f>IF(BL51="","",'#orgDung'!ID52)</f>
        <v/>
      </c>
      <c r="BP51" s="1025"/>
      <c r="BQ51" s="1026" t="str">
        <f>IF(BP51="","",'#orgDung'!IP52)</f>
        <v/>
      </c>
      <c r="BR51" s="1026" t="str">
        <f>IF(BP51="","",'#orgDung'!IQ52)</f>
        <v/>
      </c>
      <c r="BS51" s="1027" t="str">
        <f>IF(BP51="","",'#orgDung'!IS52)</f>
        <v/>
      </c>
      <c r="BT51" s="1025"/>
      <c r="BU51" s="1026" t="str">
        <f>IF(BT51="","",'#orgDung'!JE52)</f>
        <v/>
      </c>
      <c r="BV51" s="1026" t="str">
        <f>IF(BT51="","",'#orgDung'!JF52)</f>
        <v/>
      </c>
      <c r="BW51" s="1027" t="str">
        <f>IF(BT51="","",'#orgDung'!JH52)</f>
        <v/>
      </c>
      <c r="BX51" s="1025"/>
      <c r="BY51" s="1026" t="str">
        <f>IF(BX51="","",'#orgDung'!JT52)</f>
        <v/>
      </c>
      <c r="BZ51" s="1026" t="str">
        <f>IF(BX51="","",'#orgDung'!JU52)</f>
        <v/>
      </c>
      <c r="CA51" s="1027" t="str">
        <f>IF(BX51="","",'#orgDung'!JW52)</f>
        <v/>
      </c>
      <c r="CB51" s="1025"/>
      <c r="CC51" s="1026" t="str">
        <f>IF(CB51="","",'#orgDung'!KI52)</f>
        <v/>
      </c>
      <c r="CD51" s="1026" t="str">
        <f>IF(CB51="","",'#orgDung'!KJ52)</f>
        <v/>
      </c>
      <c r="CE51" s="1027" t="str">
        <f>IF(CB51="","",'#orgDung'!KL52)</f>
        <v/>
      </c>
      <c r="CF51" s="1025"/>
      <c r="CG51" s="1026" t="str">
        <f>IF(CF51="","",'#orgDung'!KX52)</f>
        <v/>
      </c>
      <c r="CH51" s="1026" t="str">
        <f>IF(CF51="","",'#orgDung'!KY52)</f>
        <v/>
      </c>
      <c r="CI51" s="1027" t="str">
        <f>IF(CF51="","",'#orgDung'!LA52)</f>
        <v/>
      </c>
      <c r="CJ51" s="1025"/>
      <c r="CK51" s="1026" t="str">
        <f>IF(CJ51="","",'#orgDung'!LM52)</f>
        <v/>
      </c>
      <c r="CL51" s="1026" t="str">
        <f>IF(CJ51="","",'#orgDung'!LN52)</f>
        <v/>
      </c>
      <c r="CM51" s="1027" t="str">
        <f>IF(CJ51="","",'#orgDung'!LP52)</f>
        <v/>
      </c>
      <c r="CN51" s="1025"/>
      <c r="CO51" s="1026" t="str">
        <f>IF(CN51="","",'#orgDung'!MB52)</f>
        <v/>
      </c>
      <c r="CP51" s="1026" t="str">
        <f>IF(CN51="","",'#orgDung'!MC52)</f>
        <v/>
      </c>
      <c r="CQ51" s="1027" t="str">
        <f>IF(CN51="","",'#orgDung'!ME52)</f>
        <v/>
      </c>
      <c r="CR51" s="1025"/>
      <c r="CS51" s="1026" t="str">
        <f>IF(CR51="","",'#orgDung'!MQ52)</f>
        <v/>
      </c>
      <c r="CT51" s="1026" t="str">
        <f>IF(CR51="","",'#orgDung'!MR52)</f>
        <v/>
      </c>
      <c r="CU51" s="1027" t="str">
        <f>IF(CR51="","",'#orgDung'!MT52)</f>
        <v/>
      </c>
      <c r="CV51" s="1025"/>
      <c r="CW51" s="1026" t="str">
        <f>IF(CV51="","",'#orgDung'!NF52)</f>
        <v/>
      </c>
      <c r="CX51" s="1026" t="str">
        <f>IF(CV51="","",'#orgDung'!NG52)</f>
        <v/>
      </c>
      <c r="CY51" s="1027" t="str">
        <f>IF(CV51="","",'#orgDung'!NI52)</f>
        <v/>
      </c>
      <c r="CZ51" s="1025"/>
      <c r="DA51" s="1026" t="str">
        <f>IF(CZ51="","",'#orgDung'!NU52)</f>
        <v/>
      </c>
      <c r="DB51" s="1026" t="str">
        <f>IF(CZ51="","",'#orgDung'!NV52)</f>
        <v/>
      </c>
      <c r="DC51" s="1027" t="str">
        <f>IF(CZ51="","",'#orgDung'!NX52)</f>
        <v/>
      </c>
      <c r="DD51" s="1025"/>
      <c r="DE51" s="1026" t="str">
        <f>IF(DD51="","",'#orgDung'!OJ52)</f>
        <v/>
      </c>
      <c r="DF51" s="1026" t="str">
        <f>IF(DD51="","",'#orgDung'!OK52)</f>
        <v/>
      </c>
      <c r="DG51" s="1027" t="str">
        <f>IF(DD51="","",'#orgDung'!OM52)</f>
        <v/>
      </c>
      <c r="DH51" s="1025"/>
      <c r="DI51" s="1026" t="str">
        <f>IF(DH51="","",'#orgDung'!OY52)</f>
        <v/>
      </c>
      <c r="DJ51" s="1026" t="str">
        <f>IF(DH51="","",'#orgDung'!OZ52)</f>
        <v/>
      </c>
      <c r="DK51" s="1027" t="str">
        <f>IF(DH51="","",'#orgDung'!PB52)</f>
        <v/>
      </c>
      <c r="DL51" s="1025"/>
      <c r="DM51" s="1026" t="str">
        <f>IF(DL51="","",'#orgDung'!PN52)</f>
        <v/>
      </c>
      <c r="DN51" s="1026" t="str">
        <f>IF(DL51="","",'#orgDung'!PO52)</f>
        <v/>
      </c>
      <c r="DO51" s="1027" t="str">
        <f>IF(DL51="","",'#orgDung'!PQ52)</f>
        <v/>
      </c>
      <c r="DP51" s="1025"/>
      <c r="DQ51" s="1026" t="str">
        <f>IF(DP51="","",'#orgDung'!QC52)</f>
        <v/>
      </c>
      <c r="DR51" s="1026" t="str">
        <f>IF(DP51="","",'#orgDung'!QD52)</f>
        <v/>
      </c>
      <c r="DS51" s="1027" t="str">
        <f>IF(DP51="","",'#orgDung'!QF52)</f>
        <v/>
      </c>
      <c r="DT51" s="1025"/>
      <c r="DU51" s="1026" t="str">
        <f>IF(DT51="","",'#orgDung'!QR52)</f>
        <v/>
      </c>
      <c r="DV51" s="1026" t="str">
        <f>IF(DT51="","",'#orgDung'!QS52)</f>
        <v/>
      </c>
      <c r="DW51" s="1027" t="str">
        <f>IF(DT51="","",'#orgDung'!QU52)</f>
        <v/>
      </c>
      <c r="DX51" s="1025"/>
      <c r="DY51" s="1026" t="str">
        <f>IF(DX51="","",'#orgDung'!RG52)</f>
        <v/>
      </c>
      <c r="DZ51" s="1026" t="str">
        <f>IF(DX51="","",'#orgDung'!RH52)</f>
        <v/>
      </c>
      <c r="EA51" s="1027" t="str">
        <f>IF(DX51="","",'#orgDung'!RJ52)</f>
        <v/>
      </c>
    </row>
    <row r="52" spans="1:131" ht="15" customHeight="1" x14ac:dyDescent="0.2">
      <c r="A52" s="1195">
        <f>'Flächen u. Kulturen'!A49</f>
        <v>40</v>
      </c>
      <c r="B52" s="1195" t="str">
        <f>IF('Flächen u. Kulturen'!B49="","",'Flächen u. Kulturen'!B49)</f>
        <v/>
      </c>
      <c r="C52" s="1196" t="str">
        <f>IF('Flächen u. Kulturen'!D49="","",'Flächen u. Kulturen'!D49)</f>
        <v/>
      </c>
      <c r="D52" s="1197" t="str">
        <f>IF(C52="","",IF('#BerechnungDBE'!Q44&lt;4,"x",""))</f>
        <v/>
      </c>
      <c r="E52" s="1198" t="str">
        <f>IF(C52="","",VLOOKUP('Flächen u. Kulturen'!L49,'#Zweitfr'!$D$8:$F$28,'#Zweitfr'!$F$1,FALSE))</f>
        <v/>
      </c>
      <c r="F52" s="1199" t="str">
        <f>IF(C52="","",IF('Flächen u. Kulturen'!E49="x",'Flächen u. Kulturen'!P49,"nicht im Betrieb"))</f>
        <v/>
      </c>
      <c r="G52" s="1200" t="str">
        <f>IF(C52="","",IF('#orgDung'!C53=2,"--",IF('#Kürzungen'!$F$2=2,"--",'#orgDung'!R53)))</f>
        <v/>
      </c>
      <c r="H52" s="1200" t="str">
        <f>IF(C52="","",'#orgDung'!U53)</f>
        <v/>
      </c>
      <c r="I52" s="1201" t="str">
        <f>IF(C52="","",IF(COUNT('#orgDung'!RS53:SA53)=0,"OK",TRIM(CONCATENATE('#orgDung'!RS53," ",'#orgDung'!RT53," ",'#orgDung'!RU53," ",'#orgDung'!RV53," ",'#orgDung'!RW53," ",'#orgDung'!RX53," ",'#orgDung'!RY53," ",'#orgDung'!RZ53," ",'#orgDung'!SA53))))</f>
        <v/>
      </c>
      <c r="J52" s="1023"/>
      <c r="K52" s="1024"/>
      <c r="L52" s="1025"/>
      <c r="M52" s="1026" t="str">
        <f>IF(L52="","",'#orgDung'!AN53)</f>
        <v/>
      </c>
      <c r="N52" s="1026" t="str">
        <f>IF(L52="","",'#orgDung'!AO53)</f>
        <v/>
      </c>
      <c r="O52" s="1027" t="str">
        <f>IF(L52="","",'#orgDung'!AQ53)</f>
        <v/>
      </c>
      <c r="P52" s="1025"/>
      <c r="Q52" s="1026" t="str">
        <f>IF(P52="","",'#orgDung'!BC53)</f>
        <v/>
      </c>
      <c r="R52" s="1026" t="str">
        <f>IF(P52="","",'#orgDung'!BD53)</f>
        <v/>
      </c>
      <c r="S52" s="1027" t="str">
        <f>IF(P52="","",'#orgDung'!BF53)</f>
        <v/>
      </c>
      <c r="T52" s="1025"/>
      <c r="U52" s="1026" t="str">
        <f>IF(T52="","",'#orgDung'!BR53)</f>
        <v/>
      </c>
      <c r="V52" s="1026" t="str">
        <f>IF(T52="","",'#orgDung'!BS53)</f>
        <v/>
      </c>
      <c r="W52" s="1027" t="str">
        <f>IF(T52="","",'#orgDung'!BU53)</f>
        <v/>
      </c>
      <c r="X52" s="1025"/>
      <c r="Y52" s="1026" t="str">
        <f>IF(X52="","",'#orgDung'!CG53)</f>
        <v/>
      </c>
      <c r="Z52" s="1026" t="str">
        <f>IF(X52="","",'#orgDung'!CH53)</f>
        <v/>
      </c>
      <c r="AA52" s="1027" t="str">
        <f>IF(X52="","",'#orgDung'!CJ53)</f>
        <v/>
      </c>
      <c r="AB52" s="1025"/>
      <c r="AC52" s="1026" t="str">
        <f>IF(AB52="","",'#orgDung'!CV53)</f>
        <v/>
      </c>
      <c r="AD52" s="1026" t="str">
        <f>IF(AB52="","",'#orgDung'!CW53)</f>
        <v/>
      </c>
      <c r="AE52" s="1027" t="str">
        <f>IF(AB52="","",'#orgDung'!CY53)</f>
        <v/>
      </c>
      <c r="AF52" s="1025"/>
      <c r="AG52" s="1026" t="str">
        <f>IF(AF52="","",'#orgDung'!DK53)</f>
        <v/>
      </c>
      <c r="AH52" s="1026" t="str">
        <f>IF(AF52="","",'#orgDung'!DL53)</f>
        <v/>
      </c>
      <c r="AI52" s="1027" t="str">
        <f>IF(AF52="","",'#orgDung'!DN53)</f>
        <v/>
      </c>
      <c r="AJ52" s="1025"/>
      <c r="AK52" s="1026" t="str">
        <f>IF(AJ52="","",'#orgDung'!DZ53)</f>
        <v/>
      </c>
      <c r="AL52" s="1026" t="str">
        <f>IF(AJ52="","",'#orgDung'!EA53)</f>
        <v/>
      </c>
      <c r="AM52" s="1027" t="str">
        <f>IF(AJ52="","",'#orgDung'!EC53)</f>
        <v/>
      </c>
      <c r="AN52" s="1025"/>
      <c r="AO52" s="1026" t="str">
        <f>IF(AN52="","",'#orgDung'!EO53)</f>
        <v/>
      </c>
      <c r="AP52" s="1026" t="str">
        <f>IF(AN52="","",'#orgDung'!EP53)</f>
        <v/>
      </c>
      <c r="AQ52" s="1027" t="str">
        <f>IF(AN52="","",'#orgDung'!ER53)</f>
        <v/>
      </c>
      <c r="AR52" s="1025"/>
      <c r="AS52" s="1026" t="str">
        <f>IF(AR52="","",'#orgDung'!FD53)</f>
        <v/>
      </c>
      <c r="AT52" s="1026" t="str">
        <f>IF(AR52="","",'#orgDung'!FE53)</f>
        <v/>
      </c>
      <c r="AU52" s="1027" t="str">
        <f>IF(AR52="","",'#orgDung'!FG53)</f>
        <v/>
      </c>
      <c r="AV52" s="1025"/>
      <c r="AW52" s="1026" t="str">
        <f>IF(AV52="","",'#orgDung'!FS53)</f>
        <v/>
      </c>
      <c r="AX52" s="1026" t="str">
        <f>IF(AV52="","",'#orgDung'!FT53)</f>
        <v/>
      </c>
      <c r="AY52" s="1027" t="str">
        <f>IF(AV52="","",'#orgDung'!FV53)</f>
        <v/>
      </c>
      <c r="AZ52" s="1025"/>
      <c r="BA52" s="1026" t="str">
        <f>IF(AZ52="","",'#orgDung'!GH53)</f>
        <v/>
      </c>
      <c r="BB52" s="1026" t="str">
        <f>IF(AZ52="","",'#orgDung'!GI53)</f>
        <v/>
      </c>
      <c r="BC52" s="1027" t="str">
        <f>IF(AZ52="","",'#orgDung'!GK53)</f>
        <v/>
      </c>
      <c r="BD52" s="1025"/>
      <c r="BE52" s="1026" t="str">
        <f>IF(BD52="","",'#orgDung'!GW53)</f>
        <v/>
      </c>
      <c r="BF52" s="1026" t="str">
        <f>IF(BD52="","",'#orgDung'!GX53)</f>
        <v/>
      </c>
      <c r="BG52" s="1027" t="str">
        <f>IF(BD52="","",'#orgDung'!GZ53)</f>
        <v/>
      </c>
      <c r="BH52" s="1025"/>
      <c r="BI52" s="1026" t="str">
        <f>IF(BH52="","",'#orgDung'!HL53)</f>
        <v/>
      </c>
      <c r="BJ52" s="1026" t="str">
        <f>IF(BH52="","",'#orgDung'!HM53)</f>
        <v/>
      </c>
      <c r="BK52" s="1027" t="str">
        <f>IF(BH52="","",'#orgDung'!HO53)</f>
        <v/>
      </c>
      <c r="BL52" s="1025"/>
      <c r="BM52" s="1026" t="str">
        <f>IF(BL52="","",'#orgDung'!IA53)</f>
        <v/>
      </c>
      <c r="BN52" s="1026" t="str">
        <f>IF(BL52="","",'#orgDung'!IB53)</f>
        <v/>
      </c>
      <c r="BO52" s="1027" t="str">
        <f>IF(BL52="","",'#orgDung'!ID53)</f>
        <v/>
      </c>
      <c r="BP52" s="1025"/>
      <c r="BQ52" s="1026" t="str">
        <f>IF(BP52="","",'#orgDung'!IP53)</f>
        <v/>
      </c>
      <c r="BR52" s="1026" t="str">
        <f>IF(BP52="","",'#orgDung'!IQ53)</f>
        <v/>
      </c>
      <c r="BS52" s="1027" t="str">
        <f>IF(BP52="","",'#orgDung'!IS53)</f>
        <v/>
      </c>
      <c r="BT52" s="1025"/>
      <c r="BU52" s="1026" t="str">
        <f>IF(BT52="","",'#orgDung'!JE53)</f>
        <v/>
      </c>
      <c r="BV52" s="1026" t="str">
        <f>IF(BT52="","",'#orgDung'!JF53)</f>
        <v/>
      </c>
      <c r="BW52" s="1027" t="str">
        <f>IF(BT52="","",'#orgDung'!JH53)</f>
        <v/>
      </c>
      <c r="BX52" s="1025"/>
      <c r="BY52" s="1026" t="str">
        <f>IF(BX52="","",'#orgDung'!JT53)</f>
        <v/>
      </c>
      <c r="BZ52" s="1026" t="str">
        <f>IF(BX52="","",'#orgDung'!JU53)</f>
        <v/>
      </c>
      <c r="CA52" s="1027" t="str">
        <f>IF(BX52="","",'#orgDung'!JW53)</f>
        <v/>
      </c>
      <c r="CB52" s="1025"/>
      <c r="CC52" s="1026" t="str">
        <f>IF(CB52="","",'#orgDung'!KI53)</f>
        <v/>
      </c>
      <c r="CD52" s="1026" t="str">
        <f>IF(CB52="","",'#orgDung'!KJ53)</f>
        <v/>
      </c>
      <c r="CE52" s="1027" t="str">
        <f>IF(CB52="","",'#orgDung'!KL53)</f>
        <v/>
      </c>
      <c r="CF52" s="1025"/>
      <c r="CG52" s="1026" t="str">
        <f>IF(CF52="","",'#orgDung'!KX53)</f>
        <v/>
      </c>
      <c r="CH52" s="1026" t="str">
        <f>IF(CF52="","",'#orgDung'!KY53)</f>
        <v/>
      </c>
      <c r="CI52" s="1027" t="str">
        <f>IF(CF52="","",'#orgDung'!LA53)</f>
        <v/>
      </c>
      <c r="CJ52" s="1025"/>
      <c r="CK52" s="1026" t="str">
        <f>IF(CJ52="","",'#orgDung'!LM53)</f>
        <v/>
      </c>
      <c r="CL52" s="1026" t="str">
        <f>IF(CJ52="","",'#orgDung'!LN53)</f>
        <v/>
      </c>
      <c r="CM52" s="1027" t="str">
        <f>IF(CJ52="","",'#orgDung'!LP53)</f>
        <v/>
      </c>
      <c r="CN52" s="1025"/>
      <c r="CO52" s="1026" t="str">
        <f>IF(CN52="","",'#orgDung'!MB53)</f>
        <v/>
      </c>
      <c r="CP52" s="1026" t="str">
        <f>IF(CN52="","",'#orgDung'!MC53)</f>
        <v/>
      </c>
      <c r="CQ52" s="1027" t="str">
        <f>IF(CN52="","",'#orgDung'!ME53)</f>
        <v/>
      </c>
      <c r="CR52" s="1025"/>
      <c r="CS52" s="1026" t="str">
        <f>IF(CR52="","",'#orgDung'!MQ53)</f>
        <v/>
      </c>
      <c r="CT52" s="1026" t="str">
        <f>IF(CR52="","",'#orgDung'!MR53)</f>
        <v/>
      </c>
      <c r="CU52" s="1027" t="str">
        <f>IF(CR52="","",'#orgDung'!MT53)</f>
        <v/>
      </c>
      <c r="CV52" s="1025"/>
      <c r="CW52" s="1026" t="str">
        <f>IF(CV52="","",'#orgDung'!NF53)</f>
        <v/>
      </c>
      <c r="CX52" s="1026" t="str">
        <f>IF(CV52="","",'#orgDung'!NG53)</f>
        <v/>
      </c>
      <c r="CY52" s="1027" t="str">
        <f>IF(CV52="","",'#orgDung'!NI53)</f>
        <v/>
      </c>
      <c r="CZ52" s="1025"/>
      <c r="DA52" s="1026" t="str">
        <f>IF(CZ52="","",'#orgDung'!NU53)</f>
        <v/>
      </c>
      <c r="DB52" s="1026" t="str">
        <f>IF(CZ52="","",'#orgDung'!NV53)</f>
        <v/>
      </c>
      <c r="DC52" s="1027" t="str">
        <f>IF(CZ52="","",'#orgDung'!NX53)</f>
        <v/>
      </c>
      <c r="DD52" s="1025"/>
      <c r="DE52" s="1026" t="str">
        <f>IF(DD52="","",'#orgDung'!OJ53)</f>
        <v/>
      </c>
      <c r="DF52" s="1026" t="str">
        <f>IF(DD52="","",'#orgDung'!OK53)</f>
        <v/>
      </c>
      <c r="DG52" s="1027" t="str">
        <f>IF(DD52="","",'#orgDung'!OM53)</f>
        <v/>
      </c>
      <c r="DH52" s="1025"/>
      <c r="DI52" s="1026" t="str">
        <f>IF(DH52="","",'#orgDung'!OY53)</f>
        <v/>
      </c>
      <c r="DJ52" s="1026" t="str">
        <f>IF(DH52="","",'#orgDung'!OZ53)</f>
        <v/>
      </c>
      <c r="DK52" s="1027" t="str">
        <f>IF(DH52="","",'#orgDung'!PB53)</f>
        <v/>
      </c>
      <c r="DL52" s="1025"/>
      <c r="DM52" s="1026" t="str">
        <f>IF(DL52="","",'#orgDung'!PN53)</f>
        <v/>
      </c>
      <c r="DN52" s="1026" t="str">
        <f>IF(DL52="","",'#orgDung'!PO53)</f>
        <v/>
      </c>
      <c r="DO52" s="1027" t="str">
        <f>IF(DL52="","",'#orgDung'!PQ53)</f>
        <v/>
      </c>
      <c r="DP52" s="1025"/>
      <c r="DQ52" s="1026" t="str">
        <f>IF(DP52="","",'#orgDung'!QC53)</f>
        <v/>
      </c>
      <c r="DR52" s="1026" t="str">
        <f>IF(DP52="","",'#orgDung'!QD53)</f>
        <v/>
      </c>
      <c r="DS52" s="1027" t="str">
        <f>IF(DP52="","",'#orgDung'!QF53)</f>
        <v/>
      </c>
      <c r="DT52" s="1025"/>
      <c r="DU52" s="1026" t="str">
        <f>IF(DT52="","",'#orgDung'!QR53)</f>
        <v/>
      </c>
      <c r="DV52" s="1026" t="str">
        <f>IF(DT52="","",'#orgDung'!QS53)</f>
        <v/>
      </c>
      <c r="DW52" s="1027" t="str">
        <f>IF(DT52="","",'#orgDung'!QU53)</f>
        <v/>
      </c>
      <c r="DX52" s="1025"/>
      <c r="DY52" s="1026" t="str">
        <f>IF(DX52="","",'#orgDung'!RG53)</f>
        <v/>
      </c>
      <c r="DZ52" s="1026" t="str">
        <f>IF(DX52="","",'#orgDung'!RH53)</f>
        <v/>
      </c>
      <c r="EA52" s="1027" t="str">
        <f>IF(DX52="","",'#orgDung'!RJ53)</f>
        <v/>
      </c>
    </row>
    <row r="53" spans="1:131" ht="15" customHeight="1" x14ac:dyDescent="0.2">
      <c r="A53" s="1195">
        <f>'Flächen u. Kulturen'!A50</f>
        <v>41</v>
      </c>
      <c r="B53" s="1195" t="str">
        <f>IF('Flächen u. Kulturen'!B50="","",'Flächen u. Kulturen'!B50)</f>
        <v/>
      </c>
      <c r="C53" s="1196" t="str">
        <f>IF('Flächen u. Kulturen'!D50="","",'Flächen u. Kulturen'!D50)</f>
        <v/>
      </c>
      <c r="D53" s="1197" t="str">
        <f>IF(C53="","",IF('#BerechnungDBE'!Q45&lt;4,"x",""))</f>
        <v/>
      </c>
      <c r="E53" s="1198" t="str">
        <f>IF(C53="","",VLOOKUP('Flächen u. Kulturen'!L50,'#Zweitfr'!$D$8:$F$28,'#Zweitfr'!$F$1,FALSE))</f>
        <v/>
      </c>
      <c r="F53" s="1199" t="str">
        <f>IF(C53="","",IF('Flächen u. Kulturen'!E50="x",'Flächen u. Kulturen'!P50,"nicht im Betrieb"))</f>
        <v/>
      </c>
      <c r="G53" s="1200" t="str">
        <f>IF(C53="","",IF('#orgDung'!C54=2,"--",IF('#Kürzungen'!$F$2=2,"--",'#orgDung'!R54)))</f>
        <v/>
      </c>
      <c r="H53" s="1200" t="str">
        <f>IF(C53="","",'#orgDung'!U54)</f>
        <v/>
      </c>
      <c r="I53" s="1201" t="str">
        <f>IF(C53="","",IF(COUNT('#orgDung'!RS54:SA54)=0,"OK",TRIM(CONCATENATE('#orgDung'!RS54," ",'#orgDung'!RT54," ",'#orgDung'!RU54," ",'#orgDung'!RV54," ",'#orgDung'!RW54," ",'#orgDung'!RX54," ",'#orgDung'!RY54," ",'#orgDung'!RZ54," ",'#orgDung'!SA54))))</f>
        <v/>
      </c>
      <c r="J53" s="1023"/>
      <c r="K53" s="1024"/>
      <c r="L53" s="1025"/>
      <c r="M53" s="1026" t="str">
        <f>IF(L53="","",'#orgDung'!AN54)</f>
        <v/>
      </c>
      <c r="N53" s="1026" t="str">
        <f>IF(L53="","",'#orgDung'!AO54)</f>
        <v/>
      </c>
      <c r="O53" s="1027" t="str">
        <f>IF(L53="","",'#orgDung'!AQ54)</f>
        <v/>
      </c>
      <c r="P53" s="1025"/>
      <c r="Q53" s="1026" t="str">
        <f>IF(P53="","",'#orgDung'!BC54)</f>
        <v/>
      </c>
      <c r="R53" s="1026" t="str">
        <f>IF(P53="","",'#orgDung'!BD54)</f>
        <v/>
      </c>
      <c r="S53" s="1027" t="str">
        <f>IF(P53="","",'#orgDung'!BF54)</f>
        <v/>
      </c>
      <c r="T53" s="1025"/>
      <c r="U53" s="1026" t="str">
        <f>IF(T53="","",'#orgDung'!BR54)</f>
        <v/>
      </c>
      <c r="V53" s="1026" t="str">
        <f>IF(T53="","",'#orgDung'!BS54)</f>
        <v/>
      </c>
      <c r="W53" s="1027" t="str">
        <f>IF(T53="","",'#orgDung'!BU54)</f>
        <v/>
      </c>
      <c r="X53" s="1025"/>
      <c r="Y53" s="1026" t="str">
        <f>IF(X53="","",'#orgDung'!CG54)</f>
        <v/>
      </c>
      <c r="Z53" s="1026" t="str">
        <f>IF(X53="","",'#orgDung'!CH54)</f>
        <v/>
      </c>
      <c r="AA53" s="1027" t="str">
        <f>IF(X53="","",'#orgDung'!CJ54)</f>
        <v/>
      </c>
      <c r="AB53" s="1025"/>
      <c r="AC53" s="1026" t="str">
        <f>IF(AB53="","",'#orgDung'!CV54)</f>
        <v/>
      </c>
      <c r="AD53" s="1026" t="str">
        <f>IF(AB53="","",'#orgDung'!CW54)</f>
        <v/>
      </c>
      <c r="AE53" s="1027" t="str">
        <f>IF(AB53="","",'#orgDung'!CY54)</f>
        <v/>
      </c>
      <c r="AF53" s="1025"/>
      <c r="AG53" s="1026" t="str">
        <f>IF(AF53="","",'#orgDung'!DK54)</f>
        <v/>
      </c>
      <c r="AH53" s="1026" t="str">
        <f>IF(AF53="","",'#orgDung'!DL54)</f>
        <v/>
      </c>
      <c r="AI53" s="1027" t="str">
        <f>IF(AF53="","",'#orgDung'!DN54)</f>
        <v/>
      </c>
      <c r="AJ53" s="1025"/>
      <c r="AK53" s="1026" t="str">
        <f>IF(AJ53="","",'#orgDung'!DZ54)</f>
        <v/>
      </c>
      <c r="AL53" s="1026" t="str">
        <f>IF(AJ53="","",'#orgDung'!EA54)</f>
        <v/>
      </c>
      <c r="AM53" s="1027" t="str">
        <f>IF(AJ53="","",'#orgDung'!EC54)</f>
        <v/>
      </c>
      <c r="AN53" s="1025"/>
      <c r="AO53" s="1026" t="str">
        <f>IF(AN53="","",'#orgDung'!EO54)</f>
        <v/>
      </c>
      <c r="AP53" s="1026" t="str">
        <f>IF(AN53="","",'#orgDung'!EP54)</f>
        <v/>
      </c>
      <c r="AQ53" s="1027" t="str">
        <f>IF(AN53="","",'#orgDung'!ER54)</f>
        <v/>
      </c>
      <c r="AR53" s="1025"/>
      <c r="AS53" s="1026" t="str">
        <f>IF(AR53="","",'#orgDung'!FD54)</f>
        <v/>
      </c>
      <c r="AT53" s="1026" t="str">
        <f>IF(AR53="","",'#orgDung'!FE54)</f>
        <v/>
      </c>
      <c r="AU53" s="1027" t="str">
        <f>IF(AR53="","",'#orgDung'!FG54)</f>
        <v/>
      </c>
      <c r="AV53" s="1025"/>
      <c r="AW53" s="1026" t="str">
        <f>IF(AV53="","",'#orgDung'!FS54)</f>
        <v/>
      </c>
      <c r="AX53" s="1026" t="str">
        <f>IF(AV53="","",'#orgDung'!FT54)</f>
        <v/>
      </c>
      <c r="AY53" s="1027" t="str">
        <f>IF(AV53="","",'#orgDung'!FV54)</f>
        <v/>
      </c>
      <c r="AZ53" s="1025"/>
      <c r="BA53" s="1026" t="str">
        <f>IF(AZ53="","",'#orgDung'!GH54)</f>
        <v/>
      </c>
      <c r="BB53" s="1026" t="str">
        <f>IF(AZ53="","",'#orgDung'!GI54)</f>
        <v/>
      </c>
      <c r="BC53" s="1027" t="str">
        <f>IF(AZ53="","",'#orgDung'!GK54)</f>
        <v/>
      </c>
      <c r="BD53" s="1025"/>
      <c r="BE53" s="1026" t="str">
        <f>IF(BD53="","",'#orgDung'!GW54)</f>
        <v/>
      </c>
      <c r="BF53" s="1026" t="str">
        <f>IF(BD53="","",'#orgDung'!GX54)</f>
        <v/>
      </c>
      <c r="BG53" s="1027" t="str">
        <f>IF(BD53="","",'#orgDung'!GZ54)</f>
        <v/>
      </c>
      <c r="BH53" s="1025"/>
      <c r="BI53" s="1026" t="str">
        <f>IF(BH53="","",'#orgDung'!HL54)</f>
        <v/>
      </c>
      <c r="BJ53" s="1026" t="str">
        <f>IF(BH53="","",'#orgDung'!HM54)</f>
        <v/>
      </c>
      <c r="BK53" s="1027" t="str">
        <f>IF(BH53="","",'#orgDung'!HO54)</f>
        <v/>
      </c>
      <c r="BL53" s="1025"/>
      <c r="BM53" s="1026" t="str">
        <f>IF(BL53="","",'#orgDung'!IA54)</f>
        <v/>
      </c>
      <c r="BN53" s="1026" t="str">
        <f>IF(BL53="","",'#orgDung'!IB54)</f>
        <v/>
      </c>
      <c r="BO53" s="1027" t="str">
        <f>IF(BL53="","",'#orgDung'!ID54)</f>
        <v/>
      </c>
      <c r="BP53" s="1025"/>
      <c r="BQ53" s="1026" t="str">
        <f>IF(BP53="","",'#orgDung'!IP54)</f>
        <v/>
      </c>
      <c r="BR53" s="1026" t="str">
        <f>IF(BP53="","",'#orgDung'!IQ54)</f>
        <v/>
      </c>
      <c r="BS53" s="1027" t="str">
        <f>IF(BP53="","",'#orgDung'!IS54)</f>
        <v/>
      </c>
      <c r="BT53" s="1025"/>
      <c r="BU53" s="1026" t="str">
        <f>IF(BT53="","",'#orgDung'!JE54)</f>
        <v/>
      </c>
      <c r="BV53" s="1026" t="str">
        <f>IF(BT53="","",'#orgDung'!JF54)</f>
        <v/>
      </c>
      <c r="BW53" s="1027" t="str">
        <f>IF(BT53="","",'#orgDung'!JH54)</f>
        <v/>
      </c>
      <c r="BX53" s="1025"/>
      <c r="BY53" s="1026" t="str">
        <f>IF(BX53="","",'#orgDung'!JT54)</f>
        <v/>
      </c>
      <c r="BZ53" s="1026" t="str">
        <f>IF(BX53="","",'#orgDung'!JU54)</f>
        <v/>
      </c>
      <c r="CA53" s="1027" t="str">
        <f>IF(BX53="","",'#orgDung'!JW54)</f>
        <v/>
      </c>
      <c r="CB53" s="1025"/>
      <c r="CC53" s="1026" t="str">
        <f>IF(CB53="","",'#orgDung'!KI54)</f>
        <v/>
      </c>
      <c r="CD53" s="1026" t="str">
        <f>IF(CB53="","",'#orgDung'!KJ54)</f>
        <v/>
      </c>
      <c r="CE53" s="1027" t="str">
        <f>IF(CB53="","",'#orgDung'!KL54)</f>
        <v/>
      </c>
      <c r="CF53" s="1025"/>
      <c r="CG53" s="1026" t="str">
        <f>IF(CF53="","",'#orgDung'!KX54)</f>
        <v/>
      </c>
      <c r="CH53" s="1026" t="str">
        <f>IF(CF53="","",'#orgDung'!KY54)</f>
        <v/>
      </c>
      <c r="CI53" s="1027" t="str">
        <f>IF(CF53="","",'#orgDung'!LA54)</f>
        <v/>
      </c>
      <c r="CJ53" s="1025"/>
      <c r="CK53" s="1026" t="str">
        <f>IF(CJ53="","",'#orgDung'!LM54)</f>
        <v/>
      </c>
      <c r="CL53" s="1026" t="str">
        <f>IF(CJ53="","",'#orgDung'!LN54)</f>
        <v/>
      </c>
      <c r="CM53" s="1027" t="str">
        <f>IF(CJ53="","",'#orgDung'!LP54)</f>
        <v/>
      </c>
      <c r="CN53" s="1025"/>
      <c r="CO53" s="1026" t="str">
        <f>IF(CN53="","",'#orgDung'!MB54)</f>
        <v/>
      </c>
      <c r="CP53" s="1026" t="str">
        <f>IF(CN53="","",'#orgDung'!MC54)</f>
        <v/>
      </c>
      <c r="CQ53" s="1027" t="str">
        <f>IF(CN53="","",'#orgDung'!ME54)</f>
        <v/>
      </c>
      <c r="CR53" s="1025"/>
      <c r="CS53" s="1026" t="str">
        <f>IF(CR53="","",'#orgDung'!MQ54)</f>
        <v/>
      </c>
      <c r="CT53" s="1026" t="str">
        <f>IF(CR53="","",'#orgDung'!MR54)</f>
        <v/>
      </c>
      <c r="CU53" s="1027" t="str">
        <f>IF(CR53="","",'#orgDung'!MT54)</f>
        <v/>
      </c>
      <c r="CV53" s="1025"/>
      <c r="CW53" s="1026" t="str">
        <f>IF(CV53="","",'#orgDung'!NF54)</f>
        <v/>
      </c>
      <c r="CX53" s="1026" t="str">
        <f>IF(CV53="","",'#orgDung'!NG54)</f>
        <v/>
      </c>
      <c r="CY53" s="1027" t="str">
        <f>IF(CV53="","",'#orgDung'!NI54)</f>
        <v/>
      </c>
      <c r="CZ53" s="1025"/>
      <c r="DA53" s="1026" t="str">
        <f>IF(CZ53="","",'#orgDung'!NU54)</f>
        <v/>
      </c>
      <c r="DB53" s="1026" t="str">
        <f>IF(CZ53="","",'#orgDung'!NV54)</f>
        <v/>
      </c>
      <c r="DC53" s="1027" t="str">
        <f>IF(CZ53="","",'#orgDung'!NX54)</f>
        <v/>
      </c>
      <c r="DD53" s="1025"/>
      <c r="DE53" s="1026" t="str">
        <f>IF(DD53="","",'#orgDung'!OJ54)</f>
        <v/>
      </c>
      <c r="DF53" s="1026" t="str">
        <f>IF(DD53="","",'#orgDung'!OK54)</f>
        <v/>
      </c>
      <c r="DG53" s="1027" t="str">
        <f>IF(DD53="","",'#orgDung'!OM54)</f>
        <v/>
      </c>
      <c r="DH53" s="1025"/>
      <c r="DI53" s="1026" t="str">
        <f>IF(DH53="","",'#orgDung'!OY54)</f>
        <v/>
      </c>
      <c r="DJ53" s="1026" t="str">
        <f>IF(DH53="","",'#orgDung'!OZ54)</f>
        <v/>
      </c>
      <c r="DK53" s="1027" t="str">
        <f>IF(DH53="","",'#orgDung'!PB54)</f>
        <v/>
      </c>
      <c r="DL53" s="1025"/>
      <c r="DM53" s="1026" t="str">
        <f>IF(DL53="","",'#orgDung'!PN54)</f>
        <v/>
      </c>
      <c r="DN53" s="1026" t="str">
        <f>IF(DL53="","",'#orgDung'!PO54)</f>
        <v/>
      </c>
      <c r="DO53" s="1027" t="str">
        <f>IF(DL53="","",'#orgDung'!PQ54)</f>
        <v/>
      </c>
      <c r="DP53" s="1025"/>
      <c r="DQ53" s="1026" t="str">
        <f>IF(DP53="","",'#orgDung'!QC54)</f>
        <v/>
      </c>
      <c r="DR53" s="1026" t="str">
        <f>IF(DP53="","",'#orgDung'!QD54)</f>
        <v/>
      </c>
      <c r="DS53" s="1027" t="str">
        <f>IF(DP53="","",'#orgDung'!QF54)</f>
        <v/>
      </c>
      <c r="DT53" s="1025"/>
      <c r="DU53" s="1026" t="str">
        <f>IF(DT53="","",'#orgDung'!QR54)</f>
        <v/>
      </c>
      <c r="DV53" s="1026" t="str">
        <f>IF(DT53="","",'#orgDung'!QS54)</f>
        <v/>
      </c>
      <c r="DW53" s="1027" t="str">
        <f>IF(DT53="","",'#orgDung'!QU54)</f>
        <v/>
      </c>
      <c r="DX53" s="1025"/>
      <c r="DY53" s="1026" t="str">
        <f>IF(DX53="","",'#orgDung'!RG54)</f>
        <v/>
      </c>
      <c r="DZ53" s="1026" t="str">
        <f>IF(DX53="","",'#orgDung'!RH54)</f>
        <v/>
      </c>
      <c r="EA53" s="1027" t="str">
        <f>IF(DX53="","",'#orgDung'!RJ54)</f>
        <v/>
      </c>
    </row>
    <row r="54" spans="1:131" ht="15" customHeight="1" x14ac:dyDescent="0.2">
      <c r="A54" s="1195">
        <f>'Flächen u. Kulturen'!A51</f>
        <v>42</v>
      </c>
      <c r="B54" s="1195" t="str">
        <f>IF('Flächen u. Kulturen'!B51="","",'Flächen u. Kulturen'!B51)</f>
        <v/>
      </c>
      <c r="C54" s="1196" t="str">
        <f>IF('Flächen u. Kulturen'!D51="","",'Flächen u. Kulturen'!D51)</f>
        <v/>
      </c>
      <c r="D54" s="1197" t="str">
        <f>IF(C54="","",IF('#BerechnungDBE'!Q46&lt;4,"x",""))</f>
        <v/>
      </c>
      <c r="E54" s="1198" t="str">
        <f>IF(C54="","",VLOOKUP('Flächen u. Kulturen'!L51,'#Zweitfr'!$D$8:$F$28,'#Zweitfr'!$F$1,FALSE))</f>
        <v/>
      </c>
      <c r="F54" s="1199" t="str">
        <f>IF(C54="","",IF('Flächen u. Kulturen'!E51="x",'Flächen u. Kulturen'!P51,"nicht im Betrieb"))</f>
        <v/>
      </c>
      <c r="G54" s="1200" t="str">
        <f>IF(C54="","",IF('#orgDung'!C55=2,"--",IF('#Kürzungen'!$F$2=2,"--",'#orgDung'!R55)))</f>
        <v/>
      </c>
      <c r="H54" s="1200" t="str">
        <f>IF(C54="","",'#orgDung'!U55)</f>
        <v/>
      </c>
      <c r="I54" s="1201" t="str">
        <f>IF(C54="","",IF(COUNT('#orgDung'!RS55:SA55)=0,"OK",TRIM(CONCATENATE('#orgDung'!RS55," ",'#orgDung'!RT55," ",'#orgDung'!RU55," ",'#orgDung'!RV55," ",'#orgDung'!RW55," ",'#orgDung'!RX55," ",'#orgDung'!RY55," ",'#orgDung'!RZ55," ",'#orgDung'!SA55))))</f>
        <v/>
      </c>
      <c r="J54" s="1023"/>
      <c r="K54" s="1024"/>
      <c r="L54" s="1025"/>
      <c r="M54" s="1026" t="str">
        <f>IF(L54="","",'#orgDung'!AN55)</f>
        <v/>
      </c>
      <c r="N54" s="1026" t="str">
        <f>IF(L54="","",'#orgDung'!AO55)</f>
        <v/>
      </c>
      <c r="O54" s="1027" t="str">
        <f>IF(L54="","",'#orgDung'!AQ55)</f>
        <v/>
      </c>
      <c r="P54" s="1025"/>
      <c r="Q54" s="1026" t="str">
        <f>IF(P54="","",'#orgDung'!BC55)</f>
        <v/>
      </c>
      <c r="R54" s="1026" t="str">
        <f>IF(P54="","",'#orgDung'!BD55)</f>
        <v/>
      </c>
      <c r="S54" s="1027" t="str">
        <f>IF(P54="","",'#orgDung'!BF55)</f>
        <v/>
      </c>
      <c r="T54" s="1025"/>
      <c r="U54" s="1026" t="str">
        <f>IF(T54="","",'#orgDung'!BR55)</f>
        <v/>
      </c>
      <c r="V54" s="1026" t="str">
        <f>IF(T54="","",'#orgDung'!BS55)</f>
        <v/>
      </c>
      <c r="W54" s="1027" t="str">
        <f>IF(T54="","",'#orgDung'!BU55)</f>
        <v/>
      </c>
      <c r="X54" s="1025"/>
      <c r="Y54" s="1026" t="str">
        <f>IF(X54="","",'#orgDung'!CG55)</f>
        <v/>
      </c>
      <c r="Z54" s="1026" t="str">
        <f>IF(X54="","",'#orgDung'!CH55)</f>
        <v/>
      </c>
      <c r="AA54" s="1027" t="str">
        <f>IF(X54="","",'#orgDung'!CJ55)</f>
        <v/>
      </c>
      <c r="AB54" s="1025"/>
      <c r="AC54" s="1026" t="str">
        <f>IF(AB54="","",'#orgDung'!CV55)</f>
        <v/>
      </c>
      <c r="AD54" s="1026" t="str">
        <f>IF(AB54="","",'#orgDung'!CW55)</f>
        <v/>
      </c>
      <c r="AE54" s="1027" t="str">
        <f>IF(AB54="","",'#orgDung'!CY55)</f>
        <v/>
      </c>
      <c r="AF54" s="1025"/>
      <c r="AG54" s="1026" t="str">
        <f>IF(AF54="","",'#orgDung'!DK55)</f>
        <v/>
      </c>
      <c r="AH54" s="1026" t="str">
        <f>IF(AF54="","",'#orgDung'!DL55)</f>
        <v/>
      </c>
      <c r="AI54" s="1027" t="str">
        <f>IF(AF54="","",'#orgDung'!DN55)</f>
        <v/>
      </c>
      <c r="AJ54" s="1025"/>
      <c r="AK54" s="1026" t="str">
        <f>IF(AJ54="","",'#orgDung'!DZ55)</f>
        <v/>
      </c>
      <c r="AL54" s="1026" t="str">
        <f>IF(AJ54="","",'#orgDung'!EA55)</f>
        <v/>
      </c>
      <c r="AM54" s="1027" t="str">
        <f>IF(AJ54="","",'#orgDung'!EC55)</f>
        <v/>
      </c>
      <c r="AN54" s="1025"/>
      <c r="AO54" s="1026" t="str">
        <f>IF(AN54="","",'#orgDung'!EO55)</f>
        <v/>
      </c>
      <c r="AP54" s="1026" t="str">
        <f>IF(AN54="","",'#orgDung'!EP55)</f>
        <v/>
      </c>
      <c r="AQ54" s="1027" t="str">
        <f>IF(AN54="","",'#orgDung'!ER55)</f>
        <v/>
      </c>
      <c r="AR54" s="1025"/>
      <c r="AS54" s="1026" t="str">
        <f>IF(AR54="","",'#orgDung'!FD55)</f>
        <v/>
      </c>
      <c r="AT54" s="1026" t="str">
        <f>IF(AR54="","",'#orgDung'!FE55)</f>
        <v/>
      </c>
      <c r="AU54" s="1027" t="str">
        <f>IF(AR54="","",'#orgDung'!FG55)</f>
        <v/>
      </c>
      <c r="AV54" s="1025"/>
      <c r="AW54" s="1026" t="str">
        <f>IF(AV54="","",'#orgDung'!FS55)</f>
        <v/>
      </c>
      <c r="AX54" s="1026" t="str">
        <f>IF(AV54="","",'#orgDung'!FT55)</f>
        <v/>
      </c>
      <c r="AY54" s="1027" t="str">
        <f>IF(AV54="","",'#orgDung'!FV55)</f>
        <v/>
      </c>
      <c r="AZ54" s="1025"/>
      <c r="BA54" s="1026" t="str">
        <f>IF(AZ54="","",'#orgDung'!GH55)</f>
        <v/>
      </c>
      <c r="BB54" s="1026" t="str">
        <f>IF(AZ54="","",'#orgDung'!GI55)</f>
        <v/>
      </c>
      <c r="BC54" s="1027" t="str">
        <f>IF(AZ54="","",'#orgDung'!GK55)</f>
        <v/>
      </c>
      <c r="BD54" s="1025"/>
      <c r="BE54" s="1026" t="str">
        <f>IF(BD54="","",'#orgDung'!GW55)</f>
        <v/>
      </c>
      <c r="BF54" s="1026" t="str">
        <f>IF(BD54="","",'#orgDung'!GX55)</f>
        <v/>
      </c>
      <c r="BG54" s="1027" t="str">
        <f>IF(BD54="","",'#orgDung'!GZ55)</f>
        <v/>
      </c>
      <c r="BH54" s="1025"/>
      <c r="BI54" s="1026" t="str">
        <f>IF(BH54="","",'#orgDung'!HL55)</f>
        <v/>
      </c>
      <c r="BJ54" s="1026" t="str">
        <f>IF(BH54="","",'#orgDung'!HM55)</f>
        <v/>
      </c>
      <c r="BK54" s="1027" t="str">
        <f>IF(BH54="","",'#orgDung'!HO55)</f>
        <v/>
      </c>
      <c r="BL54" s="1025"/>
      <c r="BM54" s="1026" t="str">
        <f>IF(BL54="","",'#orgDung'!IA55)</f>
        <v/>
      </c>
      <c r="BN54" s="1026" t="str">
        <f>IF(BL54="","",'#orgDung'!IB55)</f>
        <v/>
      </c>
      <c r="BO54" s="1027" t="str">
        <f>IF(BL54="","",'#orgDung'!ID55)</f>
        <v/>
      </c>
      <c r="BP54" s="1025"/>
      <c r="BQ54" s="1026" t="str">
        <f>IF(BP54="","",'#orgDung'!IP55)</f>
        <v/>
      </c>
      <c r="BR54" s="1026" t="str">
        <f>IF(BP54="","",'#orgDung'!IQ55)</f>
        <v/>
      </c>
      <c r="BS54" s="1027" t="str">
        <f>IF(BP54="","",'#orgDung'!IS55)</f>
        <v/>
      </c>
      <c r="BT54" s="1025"/>
      <c r="BU54" s="1026" t="str">
        <f>IF(BT54="","",'#orgDung'!JE55)</f>
        <v/>
      </c>
      <c r="BV54" s="1026" t="str">
        <f>IF(BT54="","",'#orgDung'!JF55)</f>
        <v/>
      </c>
      <c r="BW54" s="1027" t="str">
        <f>IF(BT54="","",'#orgDung'!JH55)</f>
        <v/>
      </c>
      <c r="BX54" s="1025"/>
      <c r="BY54" s="1026" t="str">
        <f>IF(BX54="","",'#orgDung'!JT55)</f>
        <v/>
      </c>
      <c r="BZ54" s="1026" t="str">
        <f>IF(BX54="","",'#orgDung'!JU55)</f>
        <v/>
      </c>
      <c r="CA54" s="1027" t="str">
        <f>IF(BX54="","",'#orgDung'!JW55)</f>
        <v/>
      </c>
      <c r="CB54" s="1025"/>
      <c r="CC54" s="1026" t="str">
        <f>IF(CB54="","",'#orgDung'!KI55)</f>
        <v/>
      </c>
      <c r="CD54" s="1026" t="str">
        <f>IF(CB54="","",'#orgDung'!KJ55)</f>
        <v/>
      </c>
      <c r="CE54" s="1027" t="str">
        <f>IF(CB54="","",'#orgDung'!KL55)</f>
        <v/>
      </c>
      <c r="CF54" s="1025"/>
      <c r="CG54" s="1026" t="str">
        <f>IF(CF54="","",'#orgDung'!KX55)</f>
        <v/>
      </c>
      <c r="CH54" s="1026" t="str">
        <f>IF(CF54="","",'#orgDung'!KY55)</f>
        <v/>
      </c>
      <c r="CI54" s="1027" t="str">
        <f>IF(CF54="","",'#orgDung'!LA55)</f>
        <v/>
      </c>
      <c r="CJ54" s="1025"/>
      <c r="CK54" s="1026" t="str">
        <f>IF(CJ54="","",'#orgDung'!LM55)</f>
        <v/>
      </c>
      <c r="CL54" s="1026" t="str">
        <f>IF(CJ54="","",'#orgDung'!LN55)</f>
        <v/>
      </c>
      <c r="CM54" s="1027" t="str">
        <f>IF(CJ54="","",'#orgDung'!LP55)</f>
        <v/>
      </c>
      <c r="CN54" s="1025"/>
      <c r="CO54" s="1026" t="str">
        <f>IF(CN54="","",'#orgDung'!MB55)</f>
        <v/>
      </c>
      <c r="CP54" s="1026" t="str">
        <f>IF(CN54="","",'#orgDung'!MC55)</f>
        <v/>
      </c>
      <c r="CQ54" s="1027" t="str">
        <f>IF(CN54="","",'#orgDung'!ME55)</f>
        <v/>
      </c>
      <c r="CR54" s="1025"/>
      <c r="CS54" s="1026" t="str">
        <f>IF(CR54="","",'#orgDung'!MQ55)</f>
        <v/>
      </c>
      <c r="CT54" s="1026" t="str">
        <f>IF(CR54="","",'#orgDung'!MR55)</f>
        <v/>
      </c>
      <c r="CU54" s="1027" t="str">
        <f>IF(CR54="","",'#orgDung'!MT55)</f>
        <v/>
      </c>
      <c r="CV54" s="1025"/>
      <c r="CW54" s="1026" t="str">
        <f>IF(CV54="","",'#orgDung'!NF55)</f>
        <v/>
      </c>
      <c r="CX54" s="1026" t="str">
        <f>IF(CV54="","",'#orgDung'!NG55)</f>
        <v/>
      </c>
      <c r="CY54" s="1027" t="str">
        <f>IF(CV54="","",'#orgDung'!NI55)</f>
        <v/>
      </c>
      <c r="CZ54" s="1025"/>
      <c r="DA54" s="1026" t="str">
        <f>IF(CZ54="","",'#orgDung'!NU55)</f>
        <v/>
      </c>
      <c r="DB54" s="1026" t="str">
        <f>IF(CZ54="","",'#orgDung'!NV55)</f>
        <v/>
      </c>
      <c r="DC54" s="1027" t="str">
        <f>IF(CZ54="","",'#orgDung'!NX55)</f>
        <v/>
      </c>
      <c r="DD54" s="1025"/>
      <c r="DE54" s="1026" t="str">
        <f>IF(DD54="","",'#orgDung'!OJ55)</f>
        <v/>
      </c>
      <c r="DF54" s="1026" t="str">
        <f>IF(DD54="","",'#orgDung'!OK55)</f>
        <v/>
      </c>
      <c r="DG54" s="1027" t="str">
        <f>IF(DD54="","",'#orgDung'!OM55)</f>
        <v/>
      </c>
      <c r="DH54" s="1025"/>
      <c r="DI54" s="1026" t="str">
        <f>IF(DH54="","",'#orgDung'!OY55)</f>
        <v/>
      </c>
      <c r="DJ54" s="1026" t="str">
        <f>IF(DH54="","",'#orgDung'!OZ55)</f>
        <v/>
      </c>
      <c r="DK54" s="1027" t="str">
        <f>IF(DH54="","",'#orgDung'!PB55)</f>
        <v/>
      </c>
      <c r="DL54" s="1025"/>
      <c r="DM54" s="1026" t="str">
        <f>IF(DL54="","",'#orgDung'!PN55)</f>
        <v/>
      </c>
      <c r="DN54" s="1026" t="str">
        <f>IF(DL54="","",'#orgDung'!PO55)</f>
        <v/>
      </c>
      <c r="DO54" s="1027" t="str">
        <f>IF(DL54="","",'#orgDung'!PQ55)</f>
        <v/>
      </c>
      <c r="DP54" s="1025"/>
      <c r="DQ54" s="1026" t="str">
        <f>IF(DP54="","",'#orgDung'!QC55)</f>
        <v/>
      </c>
      <c r="DR54" s="1026" t="str">
        <f>IF(DP54="","",'#orgDung'!QD55)</f>
        <v/>
      </c>
      <c r="DS54" s="1027" t="str">
        <f>IF(DP54="","",'#orgDung'!QF55)</f>
        <v/>
      </c>
      <c r="DT54" s="1025"/>
      <c r="DU54" s="1026" t="str">
        <f>IF(DT54="","",'#orgDung'!QR55)</f>
        <v/>
      </c>
      <c r="DV54" s="1026" t="str">
        <f>IF(DT54="","",'#orgDung'!QS55)</f>
        <v/>
      </c>
      <c r="DW54" s="1027" t="str">
        <f>IF(DT54="","",'#orgDung'!QU55)</f>
        <v/>
      </c>
      <c r="DX54" s="1025"/>
      <c r="DY54" s="1026" t="str">
        <f>IF(DX54="","",'#orgDung'!RG55)</f>
        <v/>
      </c>
      <c r="DZ54" s="1026" t="str">
        <f>IF(DX54="","",'#orgDung'!RH55)</f>
        <v/>
      </c>
      <c r="EA54" s="1027" t="str">
        <f>IF(DX54="","",'#orgDung'!RJ55)</f>
        <v/>
      </c>
    </row>
    <row r="55" spans="1:131" ht="15" customHeight="1" x14ac:dyDescent="0.2">
      <c r="A55" s="1195">
        <f>'Flächen u. Kulturen'!A52</f>
        <v>43</v>
      </c>
      <c r="B55" s="1195" t="str">
        <f>IF('Flächen u. Kulturen'!B52="","",'Flächen u. Kulturen'!B52)</f>
        <v/>
      </c>
      <c r="C55" s="1196" t="str">
        <f>IF('Flächen u. Kulturen'!D52="","",'Flächen u. Kulturen'!D52)</f>
        <v/>
      </c>
      <c r="D55" s="1197" t="str">
        <f>IF(C55="","",IF('#BerechnungDBE'!Q47&lt;4,"x",""))</f>
        <v/>
      </c>
      <c r="E55" s="1198" t="str">
        <f>IF(C55="","",VLOOKUP('Flächen u. Kulturen'!L52,'#Zweitfr'!$D$8:$F$28,'#Zweitfr'!$F$1,FALSE))</f>
        <v/>
      </c>
      <c r="F55" s="1199" t="str">
        <f>IF(C55="","",IF('Flächen u. Kulturen'!E52="x",'Flächen u. Kulturen'!P52,"nicht im Betrieb"))</f>
        <v/>
      </c>
      <c r="G55" s="1200" t="str">
        <f>IF(C55="","",IF('#orgDung'!C56=2,"--",IF('#Kürzungen'!$F$2=2,"--",'#orgDung'!R56)))</f>
        <v/>
      </c>
      <c r="H55" s="1200" t="str">
        <f>IF(C55="","",'#orgDung'!U56)</f>
        <v/>
      </c>
      <c r="I55" s="1201" t="str">
        <f>IF(C55="","",IF(COUNT('#orgDung'!RS56:SA56)=0,"OK",TRIM(CONCATENATE('#orgDung'!RS56," ",'#orgDung'!RT56," ",'#orgDung'!RU56," ",'#orgDung'!RV56," ",'#orgDung'!RW56," ",'#orgDung'!RX56," ",'#orgDung'!RY56," ",'#orgDung'!RZ56," ",'#orgDung'!SA56))))</f>
        <v/>
      </c>
      <c r="J55" s="1023"/>
      <c r="K55" s="1024"/>
      <c r="L55" s="1025"/>
      <c r="M55" s="1026" t="str">
        <f>IF(L55="","",'#orgDung'!AN56)</f>
        <v/>
      </c>
      <c r="N55" s="1026" t="str">
        <f>IF(L55="","",'#orgDung'!AO56)</f>
        <v/>
      </c>
      <c r="O55" s="1027" t="str">
        <f>IF(L55="","",'#orgDung'!AQ56)</f>
        <v/>
      </c>
      <c r="P55" s="1025"/>
      <c r="Q55" s="1026" t="str">
        <f>IF(P55="","",'#orgDung'!BC56)</f>
        <v/>
      </c>
      <c r="R55" s="1026" t="str">
        <f>IF(P55="","",'#orgDung'!BD56)</f>
        <v/>
      </c>
      <c r="S55" s="1027" t="str">
        <f>IF(P55="","",'#orgDung'!BF56)</f>
        <v/>
      </c>
      <c r="T55" s="1025"/>
      <c r="U55" s="1026" t="str">
        <f>IF(T55="","",'#orgDung'!BR56)</f>
        <v/>
      </c>
      <c r="V55" s="1026" t="str">
        <f>IF(T55="","",'#orgDung'!BS56)</f>
        <v/>
      </c>
      <c r="W55" s="1027" t="str">
        <f>IF(T55="","",'#orgDung'!BU56)</f>
        <v/>
      </c>
      <c r="X55" s="1025"/>
      <c r="Y55" s="1026" t="str">
        <f>IF(X55="","",'#orgDung'!CG56)</f>
        <v/>
      </c>
      <c r="Z55" s="1026" t="str">
        <f>IF(X55="","",'#orgDung'!CH56)</f>
        <v/>
      </c>
      <c r="AA55" s="1027" t="str">
        <f>IF(X55="","",'#orgDung'!CJ56)</f>
        <v/>
      </c>
      <c r="AB55" s="1025"/>
      <c r="AC55" s="1026" t="str">
        <f>IF(AB55="","",'#orgDung'!CV56)</f>
        <v/>
      </c>
      <c r="AD55" s="1026" t="str">
        <f>IF(AB55="","",'#orgDung'!CW56)</f>
        <v/>
      </c>
      <c r="AE55" s="1027" t="str">
        <f>IF(AB55="","",'#orgDung'!CY56)</f>
        <v/>
      </c>
      <c r="AF55" s="1025"/>
      <c r="AG55" s="1026" t="str">
        <f>IF(AF55="","",'#orgDung'!DK56)</f>
        <v/>
      </c>
      <c r="AH55" s="1026" t="str">
        <f>IF(AF55="","",'#orgDung'!DL56)</f>
        <v/>
      </c>
      <c r="AI55" s="1027" t="str">
        <f>IF(AF55="","",'#orgDung'!DN56)</f>
        <v/>
      </c>
      <c r="AJ55" s="1025"/>
      <c r="AK55" s="1026" t="str">
        <f>IF(AJ55="","",'#orgDung'!DZ56)</f>
        <v/>
      </c>
      <c r="AL55" s="1026" t="str">
        <f>IF(AJ55="","",'#orgDung'!EA56)</f>
        <v/>
      </c>
      <c r="AM55" s="1027" t="str">
        <f>IF(AJ55="","",'#orgDung'!EC56)</f>
        <v/>
      </c>
      <c r="AN55" s="1025"/>
      <c r="AO55" s="1026" t="str">
        <f>IF(AN55="","",'#orgDung'!EO56)</f>
        <v/>
      </c>
      <c r="AP55" s="1026" t="str">
        <f>IF(AN55="","",'#orgDung'!EP56)</f>
        <v/>
      </c>
      <c r="AQ55" s="1027" t="str">
        <f>IF(AN55="","",'#orgDung'!ER56)</f>
        <v/>
      </c>
      <c r="AR55" s="1025"/>
      <c r="AS55" s="1026" t="str">
        <f>IF(AR55="","",'#orgDung'!FD56)</f>
        <v/>
      </c>
      <c r="AT55" s="1026" t="str">
        <f>IF(AR55="","",'#orgDung'!FE56)</f>
        <v/>
      </c>
      <c r="AU55" s="1027" t="str">
        <f>IF(AR55="","",'#orgDung'!FG56)</f>
        <v/>
      </c>
      <c r="AV55" s="1025"/>
      <c r="AW55" s="1026" t="str">
        <f>IF(AV55="","",'#orgDung'!FS56)</f>
        <v/>
      </c>
      <c r="AX55" s="1026" t="str">
        <f>IF(AV55="","",'#orgDung'!FT56)</f>
        <v/>
      </c>
      <c r="AY55" s="1027" t="str">
        <f>IF(AV55="","",'#orgDung'!FV56)</f>
        <v/>
      </c>
      <c r="AZ55" s="1025"/>
      <c r="BA55" s="1026" t="str">
        <f>IF(AZ55="","",'#orgDung'!GH56)</f>
        <v/>
      </c>
      <c r="BB55" s="1026" t="str">
        <f>IF(AZ55="","",'#orgDung'!GI56)</f>
        <v/>
      </c>
      <c r="BC55" s="1027" t="str">
        <f>IF(AZ55="","",'#orgDung'!GK56)</f>
        <v/>
      </c>
      <c r="BD55" s="1025"/>
      <c r="BE55" s="1026" t="str">
        <f>IF(BD55="","",'#orgDung'!GW56)</f>
        <v/>
      </c>
      <c r="BF55" s="1026" t="str">
        <f>IF(BD55="","",'#orgDung'!GX56)</f>
        <v/>
      </c>
      <c r="BG55" s="1027" t="str">
        <f>IF(BD55="","",'#orgDung'!GZ56)</f>
        <v/>
      </c>
      <c r="BH55" s="1025"/>
      <c r="BI55" s="1026" t="str">
        <f>IF(BH55="","",'#orgDung'!HL56)</f>
        <v/>
      </c>
      <c r="BJ55" s="1026" t="str">
        <f>IF(BH55="","",'#orgDung'!HM56)</f>
        <v/>
      </c>
      <c r="BK55" s="1027" t="str">
        <f>IF(BH55="","",'#orgDung'!HO56)</f>
        <v/>
      </c>
      <c r="BL55" s="1025"/>
      <c r="BM55" s="1026" t="str">
        <f>IF(BL55="","",'#orgDung'!IA56)</f>
        <v/>
      </c>
      <c r="BN55" s="1026" t="str">
        <f>IF(BL55="","",'#orgDung'!IB56)</f>
        <v/>
      </c>
      <c r="BO55" s="1027" t="str">
        <f>IF(BL55="","",'#orgDung'!ID56)</f>
        <v/>
      </c>
      <c r="BP55" s="1025"/>
      <c r="BQ55" s="1026" t="str">
        <f>IF(BP55="","",'#orgDung'!IP56)</f>
        <v/>
      </c>
      <c r="BR55" s="1026" t="str">
        <f>IF(BP55="","",'#orgDung'!IQ56)</f>
        <v/>
      </c>
      <c r="BS55" s="1027" t="str">
        <f>IF(BP55="","",'#orgDung'!IS56)</f>
        <v/>
      </c>
      <c r="BT55" s="1025"/>
      <c r="BU55" s="1026" t="str">
        <f>IF(BT55="","",'#orgDung'!JE56)</f>
        <v/>
      </c>
      <c r="BV55" s="1026" t="str">
        <f>IF(BT55="","",'#orgDung'!JF56)</f>
        <v/>
      </c>
      <c r="BW55" s="1027" t="str">
        <f>IF(BT55="","",'#orgDung'!JH56)</f>
        <v/>
      </c>
      <c r="BX55" s="1025"/>
      <c r="BY55" s="1026" t="str">
        <f>IF(BX55="","",'#orgDung'!JT56)</f>
        <v/>
      </c>
      <c r="BZ55" s="1026" t="str">
        <f>IF(BX55="","",'#orgDung'!JU56)</f>
        <v/>
      </c>
      <c r="CA55" s="1027" t="str">
        <f>IF(BX55="","",'#orgDung'!JW56)</f>
        <v/>
      </c>
      <c r="CB55" s="1025"/>
      <c r="CC55" s="1026" t="str">
        <f>IF(CB55="","",'#orgDung'!KI56)</f>
        <v/>
      </c>
      <c r="CD55" s="1026" t="str">
        <f>IF(CB55="","",'#orgDung'!KJ56)</f>
        <v/>
      </c>
      <c r="CE55" s="1027" t="str">
        <f>IF(CB55="","",'#orgDung'!KL56)</f>
        <v/>
      </c>
      <c r="CF55" s="1025"/>
      <c r="CG55" s="1026" t="str">
        <f>IF(CF55="","",'#orgDung'!KX56)</f>
        <v/>
      </c>
      <c r="CH55" s="1026" t="str">
        <f>IF(CF55="","",'#orgDung'!KY56)</f>
        <v/>
      </c>
      <c r="CI55" s="1027" t="str">
        <f>IF(CF55="","",'#orgDung'!LA56)</f>
        <v/>
      </c>
      <c r="CJ55" s="1025"/>
      <c r="CK55" s="1026" t="str">
        <f>IF(CJ55="","",'#orgDung'!LM56)</f>
        <v/>
      </c>
      <c r="CL55" s="1026" t="str">
        <f>IF(CJ55="","",'#orgDung'!LN56)</f>
        <v/>
      </c>
      <c r="CM55" s="1027" t="str">
        <f>IF(CJ55="","",'#orgDung'!LP56)</f>
        <v/>
      </c>
      <c r="CN55" s="1025"/>
      <c r="CO55" s="1026" t="str">
        <f>IF(CN55="","",'#orgDung'!MB56)</f>
        <v/>
      </c>
      <c r="CP55" s="1026" t="str">
        <f>IF(CN55="","",'#orgDung'!MC56)</f>
        <v/>
      </c>
      <c r="CQ55" s="1027" t="str">
        <f>IF(CN55="","",'#orgDung'!ME56)</f>
        <v/>
      </c>
      <c r="CR55" s="1025"/>
      <c r="CS55" s="1026" t="str">
        <f>IF(CR55="","",'#orgDung'!MQ56)</f>
        <v/>
      </c>
      <c r="CT55" s="1026" t="str">
        <f>IF(CR55="","",'#orgDung'!MR56)</f>
        <v/>
      </c>
      <c r="CU55" s="1027" t="str">
        <f>IF(CR55="","",'#orgDung'!MT56)</f>
        <v/>
      </c>
      <c r="CV55" s="1025"/>
      <c r="CW55" s="1026" t="str">
        <f>IF(CV55="","",'#orgDung'!NF56)</f>
        <v/>
      </c>
      <c r="CX55" s="1026" t="str">
        <f>IF(CV55="","",'#orgDung'!NG56)</f>
        <v/>
      </c>
      <c r="CY55" s="1027" t="str">
        <f>IF(CV55="","",'#orgDung'!NI56)</f>
        <v/>
      </c>
      <c r="CZ55" s="1025"/>
      <c r="DA55" s="1026" t="str">
        <f>IF(CZ55="","",'#orgDung'!NU56)</f>
        <v/>
      </c>
      <c r="DB55" s="1026" t="str">
        <f>IF(CZ55="","",'#orgDung'!NV56)</f>
        <v/>
      </c>
      <c r="DC55" s="1027" t="str">
        <f>IF(CZ55="","",'#orgDung'!NX56)</f>
        <v/>
      </c>
      <c r="DD55" s="1025"/>
      <c r="DE55" s="1026" t="str">
        <f>IF(DD55="","",'#orgDung'!OJ56)</f>
        <v/>
      </c>
      <c r="DF55" s="1026" t="str">
        <f>IF(DD55="","",'#orgDung'!OK56)</f>
        <v/>
      </c>
      <c r="DG55" s="1027" t="str">
        <f>IF(DD55="","",'#orgDung'!OM56)</f>
        <v/>
      </c>
      <c r="DH55" s="1025"/>
      <c r="DI55" s="1026" t="str">
        <f>IF(DH55="","",'#orgDung'!OY56)</f>
        <v/>
      </c>
      <c r="DJ55" s="1026" t="str">
        <f>IF(DH55="","",'#orgDung'!OZ56)</f>
        <v/>
      </c>
      <c r="DK55" s="1027" t="str">
        <f>IF(DH55="","",'#orgDung'!PB56)</f>
        <v/>
      </c>
      <c r="DL55" s="1025"/>
      <c r="DM55" s="1026" t="str">
        <f>IF(DL55="","",'#orgDung'!PN56)</f>
        <v/>
      </c>
      <c r="DN55" s="1026" t="str">
        <f>IF(DL55="","",'#orgDung'!PO56)</f>
        <v/>
      </c>
      <c r="DO55" s="1027" t="str">
        <f>IF(DL55="","",'#orgDung'!PQ56)</f>
        <v/>
      </c>
      <c r="DP55" s="1025"/>
      <c r="DQ55" s="1026" t="str">
        <f>IF(DP55="","",'#orgDung'!QC56)</f>
        <v/>
      </c>
      <c r="DR55" s="1026" t="str">
        <f>IF(DP55="","",'#orgDung'!QD56)</f>
        <v/>
      </c>
      <c r="DS55" s="1027" t="str">
        <f>IF(DP55="","",'#orgDung'!QF56)</f>
        <v/>
      </c>
      <c r="DT55" s="1025"/>
      <c r="DU55" s="1026" t="str">
        <f>IF(DT55="","",'#orgDung'!QR56)</f>
        <v/>
      </c>
      <c r="DV55" s="1026" t="str">
        <f>IF(DT55="","",'#orgDung'!QS56)</f>
        <v/>
      </c>
      <c r="DW55" s="1027" t="str">
        <f>IF(DT55="","",'#orgDung'!QU56)</f>
        <v/>
      </c>
      <c r="DX55" s="1025"/>
      <c r="DY55" s="1026" t="str">
        <f>IF(DX55="","",'#orgDung'!RG56)</f>
        <v/>
      </c>
      <c r="DZ55" s="1026" t="str">
        <f>IF(DX55="","",'#orgDung'!RH56)</f>
        <v/>
      </c>
      <c r="EA55" s="1027" t="str">
        <f>IF(DX55="","",'#orgDung'!RJ56)</f>
        <v/>
      </c>
    </row>
    <row r="56" spans="1:131" ht="15" customHeight="1" x14ac:dyDescent="0.2">
      <c r="A56" s="1195">
        <f>'Flächen u. Kulturen'!A53</f>
        <v>44</v>
      </c>
      <c r="B56" s="1195" t="str">
        <f>IF('Flächen u. Kulturen'!B53="","",'Flächen u. Kulturen'!B53)</f>
        <v/>
      </c>
      <c r="C56" s="1196" t="str">
        <f>IF('Flächen u. Kulturen'!D53="","",'Flächen u. Kulturen'!D53)</f>
        <v/>
      </c>
      <c r="D56" s="1197" t="str">
        <f>IF(C56="","",IF('#BerechnungDBE'!Q48&lt;4,"x",""))</f>
        <v/>
      </c>
      <c r="E56" s="1198" t="str">
        <f>IF(C56="","",VLOOKUP('Flächen u. Kulturen'!L53,'#Zweitfr'!$D$8:$F$28,'#Zweitfr'!$F$1,FALSE))</f>
        <v/>
      </c>
      <c r="F56" s="1199" t="str">
        <f>IF(C56="","",IF('Flächen u. Kulturen'!E53="x",'Flächen u. Kulturen'!P53,"nicht im Betrieb"))</f>
        <v/>
      </c>
      <c r="G56" s="1200" t="str">
        <f>IF(C56="","",IF('#orgDung'!C57=2,"--",IF('#Kürzungen'!$F$2=2,"--",'#orgDung'!R57)))</f>
        <v/>
      </c>
      <c r="H56" s="1200" t="str">
        <f>IF(C56="","",'#orgDung'!U57)</f>
        <v/>
      </c>
      <c r="I56" s="1201" t="str">
        <f>IF(C56="","",IF(COUNT('#orgDung'!RS57:SA57)=0,"OK",TRIM(CONCATENATE('#orgDung'!RS57," ",'#orgDung'!RT57," ",'#orgDung'!RU57," ",'#orgDung'!RV57," ",'#orgDung'!RW57," ",'#orgDung'!RX57," ",'#orgDung'!RY57," ",'#orgDung'!RZ57," ",'#orgDung'!SA57))))</f>
        <v/>
      </c>
      <c r="J56" s="1023"/>
      <c r="K56" s="1024"/>
      <c r="L56" s="1025"/>
      <c r="M56" s="1026" t="str">
        <f>IF(L56="","",'#orgDung'!AN57)</f>
        <v/>
      </c>
      <c r="N56" s="1026" t="str">
        <f>IF(L56="","",'#orgDung'!AO57)</f>
        <v/>
      </c>
      <c r="O56" s="1027" t="str">
        <f>IF(L56="","",'#orgDung'!AQ57)</f>
        <v/>
      </c>
      <c r="P56" s="1025"/>
      <c r="Q56" s="1026" t="str">
        <f>IF(P56="","",'#orgDung'!BC57)</f>
        <v/>
      </c>
      <c r="R56" s="1026" t="str">
        <f>IF(P56="","",'#orgDung'!BD57)</f>
        <v/>
      </c>
      <c r="S56" s="1027" t="str">
        <f>IF(P56="","",'#orgDung'!BF57)</f>
        <v/>
      </c>
      <c r="T56" s="1025"/>
      <c r="U56" s="1026" t="str">
        <f>IF(T56="","",'#orgDung'!BR57)</f>
        <v/>
      </c>
      <c r="V56" s="1026" t="str">
        <f>IF(T56="","",'#orgDung'!BS57)</f>
        <v/>
      </c>
      <c r="W56" s="1027" t="str">
        <f>IF(T56="","",'#orgDung'!BU57)</f>
        <v/>
      </c>
      <c r="X56" s="1025"/>
      <c r="Y56" s="1026" t="str">
        <f>IF(X56="","",'#orgDung'!CG57)</f>
        <v/>
      </c>
      <c r="Z56" s="1026" t="str">
        <f>IF(X56="","",'#orgDung'!CH57)</f>
        <v/>
      </c>
      <c r="AA56" s="1027" t="str">
        <f>IF(X56="","",'#orgDung'!CJ57)</f>
        <v/>
      </c>
      <c r="AB56" s="1025"/>
      <c r="AC56" s="1026" t="str">
        <f>IF(AB56="","",'#orgDung'!CV57)</f>
        <v/>
      </c>
      <c r="AD56" s="1026" t="str">
        <f>IF(AB56="","",'#orgDung'!CW57)</f>
        <v/>
      </c>
      <c r="AE56" s="1027" t="str">
        <f>IF(AB56="","",'#orgDung'!CY57)</f>
        <v/>
      </c>
      <c r="AF56" s="1025"/>
      <c r="AG56" s="1026" t="str">
        <f>IF(AF56="","",'#orgDung'!DK57)</f>
        <v/>
      </c>
      <c r="AH56" s="1026" t="str">
        <f>IF(AF56="","",'#orgDung'!DL57)</f>
        <v/>
      </c>
      <c r="AI56" s="1027" t="str">
        <f>IF(AF56="","",'#orgDung'!DN57)</f>
        <v/>
      </c>
      <c r="AJ56" s="1025"/>
      <c r="AK56" s="1026" t="str">
        <f>IF(AJ56="","",'#orgDung'!DZ57)</f>
        <v/>
      </c>
      <c r="AL56" s="1026" t="str">
        <f>IF(AJ56="","",'#orgDung'!EA57)</f>
        <v/>
      </c>
      <c r="AM56" s="1027" t="str">
        <f>IF(AJ56="","",'#orgDung'!EC57)</f>
        <v/>
      </c>
      <c r="AN56" s="1025"/>
      <c r="AO56" s="1026" t="str">
        <f>IF(AN56="","",'#orgDung'!EO57)</f>
        <v/>
      </c>
      <c r="AP56" s="1026" t="str">
        <f>IF(AN56="","",'#orgDung'!EP57)</f>
        <v/>
      </c>
      <c r="AQ56" s="1027" t="str">
        <f>IF(AN56="","",'#orgDung'!ER57)</f>
        <v/>
      </c>
      <c r="AR56" s="1025"/>
      <c r="AS56" s="1026" t="str">
        <f>IF(AR56="","",'#orgDung'!FD57)</f>
        <v/>
      </c>
      <c r="AT56" s="1026" t="str">
        <f>IF(AR56="","",'#orgDung'!FE57)</f>
        <v/>
      </c>
      <c r="AU56" s="1027" t="str">
        <f>IF(AR56="","",'#orgDung'!FG57)</f>
        <v/>
      </c>
      <c r="AV56" s="1025"/>
      <c r="AW56" s="1026" t="str">
        <f>IF(AV56="","",'#orgDung'!FS57)</f>
        <v/>
      </c>
      <c r="AX56" s="1026" t="str">
        <f>IF(AV56="","",'#orgDung'!FT57)</f>
        <v/>
      </c>
      <c r="AY56" s="1027" t="str">
        <f>IF(AV56="","",'#orgDung'!FV57)</f>
        <v/>
      </c>
      <c r="AZ56" s="1025"/>
      <c r="BA56" s="1026" t="str">
        <f>IF(AZ56="","",'#orgDung'!GH57)</f>
        <v/>
      </c>
      <c r="BB56" s="1026" t="str">
        <f>IF(AZ56="","",'#orgDung'!GI57)</f>
        <v/>
      </c>
      <c r="BC56" s="1027" t="str">
        <f>IF(AZ56="","",'#orgDung'!GK57)</f>
        <v/>
      </c>
      <c r="BD56" s="1025"/>
      <c r="BE56" s="1026" t="str">
        <f>IF(BD56="","",'#orgDung'!GW57)</f>
        <v/>
      </c>
      <c r="BF56" s="1026" t="str">
        <f>IF(BD56="","",'#orgDung'!GX57)</f>
        <v/>
      </c>
      <c r="BG56" s="1027" t="str">
        <f>IF(BD56="","",'#orgDung'!GZ57)</f>
        <v/>
      </c>
      <c r="BH56" s="1025"/>
      <c r="BI56" s="1026" t="str">
        <f>IF(BH56="","",'#orgDung'!HL57)</f>
        <v/>
      </c>
      <c r="BJ56" s="1026" t="str">
        <f>IF(BH56="","",'#orgDung'!HM57)</f>
        <v/>
      </c>
      <c r="BK56" s="1027" t="str">
        <f>IF(BH56="","",'#orgDung'!HO57)</f>
        <v/>
      </c>
      <c r="BL56" s="1025"/>
      <c r="BM56" s="1026" t="str">
        <f>IF(BL56="","",'#orgDung'!IA57)</f>
        <v/>
      </c>
      <c r="BN56" s="1026" t="str">
        <f>IF(BL56="","",'#orgDung'!IB57)</f>
        <v/>
      </c>
      <c r="BO56" s="1027" t="str">
        <f>IF(BL56="","",'#orgDung'!ID57)</f>
        <v/>
      </c>
      <c r="BP56" s="1025"/>
      <c r="BQ56" s="1026" t="str">
        <f>IF(BP56="","",'#orgDung'!IP57)</f>
        <v/>
      </c>
      <c r="BR56" s="1026" t="str">
        <f>IF(BP56="","",'#orgDung'!IQ57)</f>
        <v/>
      </c>
      <c r="BS56" s="1027" t="str">
        <f>IF(BP56="","",'#orgDung'!IS57)</f>
        <v/>
      </c>
      <c r="BT56" s="1025"/>
      <c r="BU56" s="1026" t="str">
        <f>IF(BT56="","",'#orgDung'!JE57)</f>
        <v/>
      </c>
      <c r="BV56" s="1026" t="str">
        <f>IF(BT56="","",'#orgDung'!JF57)</f>
        <v/>
      </c>
      <c r="BW56" s="1027" t="str">
        <f>IF(BT56="","",'#orgDung'!JH57)</f>
        <v/>
      </c>
      <c r="BX56" s="1025"/>
      <c r="BY56" s="1026" t="str">
        <f>IF(BX56="","",'#orgDung'!JT57)</f>
        <v/>
      </c>
      <c r="BZ56" s="1026" t="str">
        <f>IF(BX56="","",'#orgDung'!JU57)</f>
        <v/>
      </c>
      <c r="CA56" s="1027" t="str">
        <f>IF(BX56="","",'#orgDung'!JW57)</f>
        <v/>
      </c>
      <c r="CB56" s="1025"/>
      <c r="CC56" s="1026" t="str">
        <f>IF(CB56="","",'#orgDung'!KI57)</f>
        <v/>
      </c>
      <c r="CD56" s="1026" t="str">
        <f>IF(CB56="","",'#orgDung'!KJ57)</f>
        <v/>
      </c>
      <c r="CE56" s="1027" t="str">
        <f>IF(CB56="","",'#orgDung'!KL57)</f>
        <v/>
      </c>
      <c r="CF56" s="1025"/>
      <c r="CG56" s="1026" t="str">
        <f>IF(CF56="","",'#orgDung'!KX57)</f>
        <v/>
      </c>
      <c r="CH56" s="1026" t="str">
        <f>IF(CF56="","",'#orgDung'!KY57)</f>
        <v/>
      </c>
      <c r="CI56" s="1027" t="str">
        <f>IF(CF56="","",'#orgDung'!LA57)</f>
        <v/>
      </c>
      <c r="CJ56" s="1025"/>
      <c r="CK56" s="1026" t="str">
        <f>IF(CJ56="","",'#orgDung'!LM57)</f>
        <v/>
      </c>
      <c r="CL56" s="1026" t="str">
        <f>IF(CJ56="","",'#orgDung'!LN57)</f>
        <v/>
      </c>
      <c r="CM56" s="1027" t="str">
        <f>IF(CJ56="","",'#orgDung'!LP57)</f>
        <v/>
      </c>
      <c r="CN56" s="1025"/>
      <c r="CO56" s="1026" t="str">
        <f>IF(CN56="","",'#orgDung'!MB57)</f>
        <v/>
      </c>
      <c r="CP56" s="1026" t="str">
        <f>IF(CN56="","",'#orgDung'!MC57)</f>
        <v/>
      </c>
      <c r="CQ56" s="1027" t="str">
        <f>IF(CN56="","",'#orgDung'!ME57)</f>
        <v/>
      </c>
      <c r="CR56" s="1025"/>
      <c r="CS56" s="1026" t="str">
        <f>IF(CR56="","",'#orgDung'!MQ57)</f>
        <v/>
      </c>
      <c r="CT56" s="1026" t="str">
        <f>IF(CR56="","",'#orgDung'!MR57)</f>
        <v/>
      </c>
      <c r="CU56" s="1027" t="str">
        <f>IF(CR56="","",'#orgDung'!MT57)</f>
        <v/>
      </c>
      <c r="CV56" s="1025"/>
      <c r="CW56" s="1026" t="str">
        <f>IF(CV56="","",'#orgDung'!NF57)</f>
        <v/>
      </c>
      <c r="CX56" s="1026" t="str">
        <f>IF(CV56="","",'#orgDung'!NG57)</f>
        <v/>
      </c>
      <c r="CY56" s="1027" t="str">
        <f>IF(CV56="","",'#orgDung'!NI57)</f>
        <v/>
      </c>
      <c r="CZ56" s="1025"/>
      <c r="DA56" s="1026" t="str">
        <f>IF(CZ56="","",'#orgDung'!NU57)</f>
        <v/>
      </c>
      <c r="DB56" s="1026" t="str">
        <f>IF(CZ56="","",'#orgDung'!NV57)</f>
        <v/>
      </c>
      <c r="DC56" s="1027" t="str">
        <f>IF(CZ56="","",'#orgDung'!NX57)</f>
        <v/>
      </c>
      <c r="DD56" s="1025"/>
      <c r="DE56" s="1026" t="str">
        <f>IF(DD56="","",'#orgDung'!OJ57)</f>
        <v/>
      </c>
      <c r="DF56" s="1026" t="str">
        <f>IF(DD56="","",'#orgDung'!OK57)</f>
        <v/>
      </c>
      <c r="DG56" s="1027" t="str">
        <f>IF(DD56="","",'#orgDung'!OM57)</f>
        <v/>
      </c>
      <c r="DH56" s="1025"/>
      <c r="DI56" s="1026" t="str">
        <f>IF(DH56="","",'#orgDung'!OY57)</f>
        <v/>
      </c>
      <c r="DJ56" s="1026" t="str">
        <f>IF(DH56="","",'#orgDung'!OZ57)</f>
        <v/>
      </c>
      <c r="DK56" s="1027" t="str">
        <f>IF(DH56="","",'#orgDung'!PB57)</f>
        <v/>
      </c>
      <c r="DL56" s="1025"/>
      <c r="DM56" s="1026" t="str">
        <f>IF(DL56="","",'#orgDung'!PN57)</f>
        <v/>
      </c>
      <c r="DN56" s="1026" t="str">
        <f>IF(DL56="","",'#orgDung'!PO57)</f>
        <v/>
      </c>
      <c r="DO56" s="1027" t="str">
        <f>IF(DL56="","",'#orgDung'!PQ57)</f>
        <v/>
      </c>
      <c r="DP56" s="1025"/>
      <c r="DQ56" s="1026" t="str">
        <f>IF(DP56="","",'#orgDung'!QC57)</f>
        <v/>
      </c>
      <c r="DR56" s="1026" t="str">
        <f>IF(DP56="","",'#orgDung'!QD57)</f>
        <v/>
      </c>
      <c r="DS56" s="1027" t="str">
        <f>IF(DP56="","",'#orgDung'!QF57)</f>
        <v/>
      </c>
      <c r="DT56" s="1025"/>
      <c r="DU56" s="1026" t="str">
        <f>IF(DT56="","",'#orgDung'!QR57)</f>
        <v/>
      </c>
      <c r="DV56" s="1026" t="str">
        <f>IF(DT56="","",'#orgDung'!QS57)</f>
        <v/>
      </c>
      <c r="DW56" s="1027" t="str">
        <f>IF(DT56="","",'#orgDung'!QU57)</f>
        <v/>
      </c>
      <c r="DX56" s="1025"/>
      <c r="DY56" s="1026" t="str">
        <f>IF(DX56="","",'#orgDung'!RG57)</f>
        <v/>
      </c>
      <c r="DZ56" s="1026" t="str">
        <f>IF(DX56="","",'#orgDung'!RH57)</f>
        <v/>
      </c>
      <c r="EA56" s="1027" t="str">
        <f>IF(DX56="","",'#orgDung'!RJ57)</f>
        <v/>
      </c>
    </row>
    <row r="57" spans="1:131" ht="15" customHeight="1" x14ac:dyDescent="0.2">
      <c r="A57" s="1195">
        <f>'Flächen u. Kulturen'!A54</f>
        <v>45</v>
      </c>
      <c r="B57" s="1195" t="str">
        <f>IF('Flächen u. Kulturen'!B54="","",'Flächen u. Kulturen'!B54)</f>
        <v/>
      </c>
      <c r="C57" s="1196" t="str">
        <f>IF('Flächen u. Kulturen'!D54="","",'Flächen u. Kulturen'!D54)</f>
        <v/>
      </c>
      <c r="D57" s="1197" t="str">
        <f>IF(C57="","",IF('#BerechnungDBE'!Q49&lt;4,"x",""))</f>
        <v/>
      </c>
      <c r="E57" s="1198" t="str">
        <f>IF(C57="","",VLOOKUP('Flächen u. Kulturen'!L54,'#Zweitfr'!$D$8:$F$28,'#Zweitfr'!$F$1,FALSE))</f>
        <v/>
      </c>
      <c r="F57" s="1199" t="str">
        <f>IF(C57="","",IF('Flächen u. Kulturen'!E54="x",'Flächen u. Kulturen'!P54,"nicht im Betrieb"))</f>
        <v/>
      </c>
      <c r="G57" s="1200" t="str">
        <f>IF(C57="","",IF('#orgDung'!C58=2,"--",IF('#Kürzungen'!$F$2=2,"--",'#orgDung'!R58)))</f>
        <v/>
      </c>
      <c r="H57" s="1200" t="str">
        <f>IF(C57="","",'#orgDung'!U58)</f>
        <v/>
      </c>
      <c r="I57" s="1201" t="str">
        <f>IF(C57="","",IF(COUNT('#orgDung'!RS58:SA58)=0,"OK",TRIM(CONCATENATE('#orgDung'!RS58," ",'#orgDung'!RT58," ",'#orgDung'!RU58," ",'#orgDung'!RV58," ",'#orgDung'!RW58," ",'#orgDung'!RX58," ",'#orgDung'!RY58," ",'#orgDung'!RZ58," ",'#orgDung'!SA58))))</f>
        <v/>
      </c>
      <c r="J57" s="1023"/>
      <c r="K57" s="1024"/>
      <c r="L57" s="1025"/>
      <c r="M57" s="1026" t="str">
        <f>IF(L57="","",'#orgDung'!AN58)</f>
        <v/>
      </c>
      <c r="N57" s="1026" t="str">
        <f>IF(L57="","",'#orgDung'!AO58)</f>
        <v/>
      </c>
      <c r="O57" s="1027" t="str">
        <f>IF(L57="","",'#orgDung'!AQ58)</f>
        <v/>
      </c>
      <c r="P57" s="1025"/>
      <c r="Q57" s="1026" t="str">
        <f>IF(P57="","",'#orgDung'!BC58)</f>
        <v/>
      </c>
      <c r="R57" s="1026" t="str">
        <f>IF(P57="","",'#orgDung'!BD58)</f>
        <v/>
      </c>
      <c r="S57" s="1027" t="str">
        <f>IF(P57="","",'#orgDung'!BF58)</f>
        <v/>
      </c>
      <c r="T57" s="1025"/>
      <c r="U57" s="1026" t="str">
        <f>IF(T57="","",'#orgDung'!BR58)</f>
        <v/>
      </c>
      <c r="V57" s="1026" t="str">
        <f>IF(T57="","",'#orgDung'!BS58)</f>
        <v/>
      </c>
      <c r="W57" s="1027" t="str">
        <f>IF(T57="","",'#orgDung'!BU58)</f>
        <v/>
      </c>
      <c r="X57" s="1025"/>
      <c r="Y57" s="1026" t="str">
        <f>IF(X57="","",'#orgDung'!CG58)</f>
        <v/>
      </c>
      <c r="Z57" s="1026" t="str">
        <f>IF(X57="","",'#orgDung'!CH58)</f>
        <v/>
      </c>
      <c r="AA57" s="1027" t="str">
        <f>IF(X57="","",'#orgDung'!CJ58)</f>
        <v/>
      </c>
      <c r="AB57" s="1025"/>
      <c r="AC57" s="1026" t="str">
        <f>IF(AB57="","",'#orgDung'!CV58)</f>
        <v/>
      </c>
      <c r="AD57" s="1026" t="str">
        <f>IF(AB57="","",'#orgDung'!CW58)</f>
        <v/>
      </c>
      <c r="AE57" s="1027" t="str">
        <f>IF(AB57="","",'#orgDung'!CY58)</f>
        <v/>
      </c>
      <c r="AF57" s="1025"/>
      <c r="AG57" s="1026" t="str">
        <f>IF(AF57="","",'#orgDung'!DK58)</f>
        <v/>
      </c>
      <c r="AH57" s="1026" t="str">
        <f>IF(AF57="","",'#orgDung'!DL58)</f>
        <v/>
      </c>
      <c r="AI57" s="1027" t="str">
        <f>IF(AF57="","",'#orgDung'!DN58)</f>
        <v/>
      </c>
      <c r="AJ57" s="1025"/>
      <c r="AK57" s="1026" t="str">
        <f>IF(AJ57="","",'#orgDung'!DZ58)</f>
        <v/>
      </c>
      <c r="AL57" s="1026" t="str">
        <f>IF(AJ57="","",'#orgDung'!EA58)</f>
        <v/>
      </c>
      <c r="AM57" s="1027" t="str">
        <f>IF(AJ57="","",'#orgDung'!EC58)</f>
        <v/>
      </c>
      <c r="AN57" s="1025"/>
      <c r="AO57" s="1026" t="str">
        <f>IF(AN57="","",'#orgDung'!EO58)</f>
        <v/>
      </c>
      <c r="AP57" s="1026" t="str">
        <f>IF(AN57="","",'#orgDung'!EP58)</f>
        <v/>
      </c>
      <c r="AQ57" s="1027" t="str">
        <f>IF(AN57="","",'#orgDung'!ER58)</f>
        <v/>
      </c>
      <c r="AR57" s="1025"/>
      <c r="AS57" s="1026" t="str">
        <f>IF(AR57="","",'#orgDung'!FD58)</f>
        <v/>
      </c>
      <c r="AT57" s="1026" t="str">
        <f>IF(AR57="","",'#orgDung'!FE58)</f>
        <v/>
      </c>
      <c r="AU57" s="1027" t="str">
        <f>IF(AR57="","",'#orgDung'!FG58)</f>
        <v/>
      </c>
      <c r="AV57" s="1025"/>
      <c r="AW57" s="1026" t="str">
        <f>IF(AV57="","",'#orgDung'!FS58)</f>
        <v/>
      </c>
      <c r="AX57" s="1026" t="str">
        <f>IF(AV57="","",'#orgDung'!FT58)</f>
        <v/>
      </c>
      <c r="AY57" s="1027" t="str">
        <f>IF(AV57="","",'#orgDung'!FV58)</f>
        <v/>
      </c>
      <c r="AZ57" s="1025"/>
      <c r="BA57" s="1026" t="str">
        <f>IF(AZ57="","",'#orgDung'!GH58)</f>
        <v/>
      </c>
      <c r="BB57" s="1026" t="str">
        <f>IF(AZ57="","",'#orgDung'!GI58)</f>
        <v/>
      </c>
      <c r="BC57" s="1027" t="str">
        <f>IF(AZ57="","",'#orgDung'!GK58)</f>
        <v/>
      </c>
      <c r="BD57" s="1025"/>
      <c r="BE57" s="1026" t="str">
        <f>IF(BD57="","",'#orgDung'!GW58)</f>
        <v/>
      </c>
      <c r="BF57" s="1026" t="str">
        <f>IF(BD57="","",'#orgDung'!GX58)</f>
        <v/>
      </c>
      <c r="BG57" s="1027" t="str">
        <f>IF(BD57="","",'#orgDung'!GZ58)</f>
        <v/>
      </c>
      <c r="BH57" s="1025"/>
      <c r="BI57" s="1026" t="str">
        <f>IF(BH57="","",'#orgDung'!HL58)</f>
        <v/>
      </c>
      <c r="BJ57" s="1026" t="str">
        <f>IF(BH57="","",'#orgDung'!HM58)</f>
        <v/>
      </c>
      <c r="BK57" s="1027" t="str">
        <f>IF(BH57="","",'#orgDung'!HO58)</f>
        <v/>
      </c>
      <c r="BL57" s="1025"/>
      <c r="BM57" s="1026" t="str">
        <f>IF(BL57="","",'#orgDung'!IA58)</f>
        <v/>
      </c>
      <c r="BN57" s="1026" t="str">
        <f>IF(BL57="","",'#orgDung'!IB58)</f>
        <v/>
      </c>
      <c r="BO57" s="1027" t="str">
        <f>IF(BL57="","",'#orgDung'!ID58)</f>
        <v/>
      </c>
      <c r="BP57" s="1025"/>
      <c r="BQ57" s="1026" t="str">
        <f>IF(BP57="","",'#orgDung'!IP58)</f>
        <v/>
      </c>
      <c r="BR57" s="1026" t="str">
        <f>IF(BP57="","",'#orgDung'!IQ58)</f>
        <v/>
      </c>
      <c r="BS57" s="1027" t="str">
        <f>IF(BP57="","",'#orgDung'!IS58)</f>
        <v/>
      </c>
      <c r="BT57" s="1025"/>
      <c r="BU57" s="1026" t="str">
        <f>IF(BT57="","",'#orgDung'!JE58)</f>
        <v/>
      </c>
      <c r="BV57" s="1026" t="str">
        <f>IF(BT57="","",'#orgDung'!JF58)</f>
        <v/>
      </c>
      <c r="BW57" s="1027" t="str">
        <f>IF(BT57="","",'#orgDung'!JH58)</f>
        <v/>
      </c>
      <c r="BX57" s="1025"/>
      <c r="BY57" s="1026" t="str">
        <f>IF(BX57="","",'#orgDung'!JT58)</f>
        <v/>
      </c>
      <c r="BZ57" s="1026" t="str">
        <f>IF(BX57="","",'#orgDung'!JU58)</f>
        <v/>
      </c>
      <c r="CA57" s="1027" t="str">
        <f>IF(BX57="","",'#orgDung'!JW58)</f>
        <v/>
      </c>
      <c r="CB57" s="1025"/>
      <c r="CC57" s="1026" t="str">
        <f>IF(CB57="","",'#orgDung'!KI58)</f>
        <v/>
      </c>
      <c r="CD57" s="1026" t="str">
        <f>IF(CB57="","",'#orgDung'!KJ58)</f>
        <v/>
      </c>
      <c r="CE57" s="1027" t="str">
        <f>IF(CB57="","",'#orgDung'!KL58)</f>
        <v/>
      </c>
      <c r="CF57" s="1025"/>
      <c r="CG57" s="1026" t="str">
        <f>IF(CF57="","",'#orgDung'!KX58)</f>
        <v/>
      </c>
      <c r="CH57" s="1026" t="str">
        <f>IF(CF57="","",'#orgDung'!KY58)</f>
        <v/>
      </c>
      <c r="CI57" s="1027" t="str">
        <f>IF(CF57="","",'#orgDung'!LA58)</f>
        <v/>
      </c>
      <c r="CJ57" s="1025"/>
      <c r="CK57" s="1026" t="str">
        <f>IF(CJ57="","",'#orgDung'!LM58)</f>
        <v/>
      </c>
      <c r="CL57" s="1026" t="str">
        <f>IF(CJ57="","",'#orgDung'!LN58)</f>
        <v/>
      </c>
      <c r="CM57" s="1027" t="str">
        <f>IF(CJ57="","",'#orgDung'!LP58)</f>
        <v/>
      </c>
      <c r="CN57" s="1025"/>
      <c r="CO57" s="1026" t="str">
        <f>IF(CN57="","",'#orgDung'!MB58)</f>
        <v/>
      </c>
      <c r="CP57" s="1026" t="str">
        <f>IF(CN57="","",'#orgDung'!MC58)</f>
        <v/>
      </c>
      <c r="CQ57" s="1027" t="str">
        <f>IF(CN57="","",'#orgDung'!ME58)</f>
        <v/>
      </c>
      <c r="CR57" s="1025"/>
      <c r="CS57" s="1026" t="str">
        <f>IF(CR57="","",'#orgDung'!MQ58)</f>
        <v/>
      </c>
      <c r="CT57" s="1026" t="str">
        <f>IF(CR57="","",'#orgDung'!MR58)</f>
        <v/>
      </c>
      <c r="CU57" s="1027" t="str">
        <f>IF(CR57="","",'#orgDung'!MT58)</f>
        <v/>
      </c>
      <c r="CV57" s="1025"/>
      <c r="CW57" s="1026" t="str">
        <f>IF(CV57="","",'#orgDung'!NF58)</f>
        <v/>
      </c>
      <c r="CX57" s="1026" t="str">
        <f>IF(CV57="","",'#orgDung'!NG58)</f>
        <v/>
      </c>
      <c r="CY57" s="1027" t="str">
        <f>IF(CV57="","",'#orgDung'!NI58)</f>
        <v/>
      </c>
      <c r="CZ57" s="1025"/>
      <c r="DA57" s="1026" t="str">
        <f>IF(CZ57="","",'#orgDung'!NU58)</f>
        <v/>
      </c>
      <c r="DB57" s="1026" t="str">
        <f>IF(CZ57="","",'#orgDung'!NV58)</f>
        <v/>
      </c>
      <c r="DC57" s="1027" t="str">
        <f>IF(CZ57="","",'#orgDung'!NX58)</f>
        <v/>
      </c>
      <c r="DD57" s="1025"/>
      <c r="DE57" s="1026" t="str">
        <f>IF(DD57="","",'#orgDung'!OJ58)</f>
        <v/>
      </c>
      <c r="DF57" s="1026" t="str">
        <f>IF(DD57="","",'#orgDung'!OK58)</f>
        <v/>
      </c>
      <c r="DG57" s="1027" t="str">
        <f>IF(DD57="","",'#orgDung'!OM58)</f>
        <v/>
      </c>
      <c r="DH57" s="1025"/>
      <c r="DI57" s="1026" t="str">
        <f>IF(DH57="","",'#orgDung'!OY58)</f>
        <v/>
      </c>
      <c r="DJ57" s="1026" t="str">
        <f>IF(DH57="","",'#orgDung'!OZ58)</f>
        <v/>
      </c>
      <c r="DK57" s="1027" t="str">
        <f>IF(DH57="","",'#orgDung'!PB58)</f>
        <v/>
      </c>
      <c r="DL57" s="1025"/>
      <c r="DM57" s="1026" t="str">
        <f>IF(DL57="","",'#orgDung'!PN58)</f>
        <v/>
      </c>
      <c r="DN57" s="1026" t="str">
        <f>IF(DL57="","",'#orgDung'!PO58)</f>
        <v/>
      </c>
      <c r="DO57" s="1027" t="str">
        <f>IF(DL57="","",'#orgDung'!PQ58)</f>
        <v/>
      </c>
      <c r="DP57" s="1025"/>
      <c r="DQ57" s="1026" t="str">
        <f>IF(DP57="","",'#orgDung'!QC58)</f>
        <v/>
      </c>
      <c r="DR57" s="1026" t="str">
        <f>IF(DP57="","",'#orgDung'!QD58)</f>
        <v/>
      </c>
      <c r="DS57" s="1027" t="str">
        <f>IF(DP57="","",'#orgDung'!QF58)</f>
        <v/>
      </c>
      <c r="DT57" s="1025"/>
      <c r="DU57" s="1026" t="str">
        <f>IF(DT57="","",'#orgDung'!QR58)</f>
        <v/>
      </c>
      <c r="DV57" s="1026" t="str">
        <f>IF(DT57="","",'#orgDung'!QS58)</f>
        <v/>
      </c>
      <c r="DW57" s="1027" t="str">
        <f>IF(DT57="","",'#orgDung'!QU58)</f>
        <v/>
      </c>
      <c r="DX57" s="1025"/>
      <c r="DY57" s="1026" t="str">
        <f>IF(DX57="","",'#orgDung'!RG58)</f>
        <v/>
      </c>
      <c r="DZ57" s="1026" t="str">
        <f>IF(DX57="","",'#orgDung'!RH58)</f>
        <v/>
      </c>
      <c r="EA57" s="1027" t="str">
        <f>IF(DX57="","",'#orgDung'!RJ58)</f>
        <v/>
      </c>
    </row>
    <row r="58" spans="1:131" ht="15" customHeight="1" x14ac:dyDescent="0.2">
      <c r="A58" s="1195">
        <f>'Flächen u. Kulturen'!A55</f>
        <v>46</v>
      </c>
      <c r="B58" s="1195" t="str">
        <f>IF('Flächen u. Kulturen'!B55="","",'Flächen u. Kulturen'!B55)</f>
        <v/>
      </c>
      <c r="C58" s="1196" t="str">
        <f>IF('Flächen u. Kulturen'!D55="","",'Flächen u. Kulturen'!D55)</f>
        <v/>
      </c>
      <c r="D58" s="1197" t="str">
        <f>IF(C58="","",IF('#BerechnungDBE'!Q50&lt;4,"x",""))</f>
        <v/>
      </c>
      <c r="E58" s="1198" t="str">
        <f>IF(C58="","",VLOOKUP('Flächen u. Kulturen'!L55,'#Zweitfr'!$D$8:$F$28,'#Zweitfr'!$F$1,FALSE))</f>
        <v/>
      </c>
      <c r="F58" s="1199" t="str">
        <f>IF(C58="","",IF('Flächen u. Kulturen'!E55="x",'Flächen u. Kulturen'!P55,"nicht im Betrieb"))</f>
        <v/>
      </c>
      <c r="G58" s="1200" t="str">
        <f>IF(C58="","",IF('#orgDung'!C59=2,"--",IF('#Kürzungen'!$F$2=2,"--",'#orgDung'!R59)))</f>
        <v/>
      </c>
      <c r="H58" s="1200" t="str">
        <f>IF(C58="","",'#orgDung'!U59)</f>
        <v/>
      </c>
      <c r="I58" s="1201" t="str">
        <f>IF(C58="","",IF(COUNT('#orgDung'!RS59:SA59)=0,"OK",TRIM(CONCATENATE('#orgDung'!RS59," ",'#orgDung'!RT59," ",'#orgDung'!RU59," ",'#orgDung'!RV59," ",'#orgDung'!RW59," ",'#orgDung'!RX59," ",'#orgDung'!RY59," ",'#orgDung'!RZ59," ",'#orgDung'!SA59))))</f>
        <v/>
      </c>
      <c r="J58" s="1023"/>
      <c r="K58" s="1024"/>
      <c r="L58" s="1025"/>
      <c r="M58" s="1026" t="str">
        <f>IF(L58="","",'#orgDung'!AN59)</f>
        <v/>
      </c>
      <c r="N58" s="1026" t="str">
        <f>IF(L58="","",'#orgDung'!AO59)</f>
        <v/>
      </c>
      <c r="O58" s="1027" t="str">
        <f>IF(L58="","",'#orgDung'!AQ59)</f>
        <v/>
      </c>
      <c r="P58" s="1025"/>
      <c r="Q58" s="1026" t="str">
        <f>IF(P58="","",'#orgDung'!BC59)</f>
        <v/>
      </c>
      <c r="R58" s="1026" t="str">
        <f>IF(P58="","",'#orgDung'!BD59)</f>
        <v/>
      </c>
      <c r="S58" s="1027" t="str">
        <f>IF(P58="","",'#orgDung'!BF59)</f>
        <v/>
      </c>
      <c r="T58" s="1025"/>
      <c r="U58" s="1026" t="str">
        <f>IF(T58="","",'#orgDung'!BR59)</f>
        <v/>
      </c>
      <c r="V58" s="1026" t="str">
        <f>IF(T58="","",'#orgDung'!BS59)</f>
        <v/>
      </c>
      <c r="W58" s="1027" t="str">
        <f>IF(T58="","",'#orgDung'!BU59)</f>
        <v/>
      </c>
      <c r="X58" s="1025"/>
      <c r="Y58" s="1026" t="str">
        <f>IF(X58="","",'#orgDung'!CG59)</f>
        <v/>
      </c>
      <c r="Z58" s="1026" t="str">
        <f>IF(X58="","",'#orgDung'!CH59)</f>
        <v/>
      </c>
      <c r="AA58" s="1027" t="str">
        <f>IF(X58="","",'#orgDung'!CJ59)</f>
        <v/>
      </c>
      <c r="AB58" s="1025"/>
      <c r="AC58" s="1026" t="str">
        <f>IF(AB58="","",'#orgDung'!CV59)</f>
        <v/>
      </c>
      <c r="AD58" s="1026" t="str">
        <f>IF(AB58="","",'#orgDung'!CW59)</f>
        <v/>
      </c>
      <c r="AE58" s="1027" t="str">
        <f>IF(AB58="","",'#orgDung'!CY59)</f>
        <v/>
      </c>
      <c r="AF58" s="1025"/>
      <c r="AG58" s="1026" t="str">
        <f>IF(AF58="","",'#orgDung'!DK59)</f>
        <v/>
      </c>
      <c r="AH58" s="1026" t="str">
        <f>IF(AF58="","",'#orgDung'!DL59)</f>
        <v/>
      </c>
      <c r="AI58" s="1027" t="str">
        <f>IF(AF58="","",'#orgDung'!DN59)</f>
        <v/>
      </c>
      <c r="AJ58" s="1025"/>
      <c r="AK58" s="1026" t="str">
        <f>IF(AJ58="","",'#orgDung'!DZ59)</f>
        <v/>
      </c>
      <c r="AL58" s="1026" t="str">
        <f>IF(AJ58="","",'#orgDung'!EA59)</f>
        <v/>
      </c>
      <c r="AM58" s="1027" t="str">
        <f>IF(AJ58="","",'#orgDung'!EC59)</f>
        <v/>
      </c>
      <c r="AN58" s="1025"/>
      <c r="AO58" s="1026" t="str">
        <f>IF(AN58="","",'#orgDung'!EO59)</f>
        <v/>
      </c>
      <c r="AP58" s="1026" t="str">
        <f>IF(AN58="","",'#orgDung'!EP59)</f>
        <v/>
      </c>
      <c r="AQ58" s="1027" t="str">
        <f>IF(AN58="","",'#orgDung'!ER59)</f>
        <v/>
      </c>
      <c r="AR58" s="1025"/>
      <c r="AS58" s="1026" t="str">
        <f>IF(AR58="","",'#orgDung'!FD59)</f>
        <v/>
      </c>
      <c r="AT58" s="1026" t="str">
        <f>IF(AR58="","",'#orgDung'!FE59)</f>
        <v/>
      </c>
      <c r="AU58" s="1027" t="str">
        <f>IF(AR58="","",'#orgDung'!FG59)</f>
        <v/>
      </c>
      <c r="AV58" s="1025"/>
      <c r="AW58" s="1026" t="str">
        <f>IF(AV58="","",'#orgDung'!FS59)</f>
        <v/>
      </c>
      <c r="AX58" s="1026" t="str">
        <f>IF(AV58="","",'#orgDung'!FT59)</f>
        <v/>
      </c>
      <c r="AY58" s="1027" t="str">
        <f>IF(AV58="","",'#orgDung'!FV59)</f>
        <v/>
      </c>
      <c r="AZ58" s="1025"/>
      <c r="BA58" s="1026" t="str">
        <f>IF(AZ58="","",'#orgDung'!GH59)</f>
        <v/>
      </c>
      <c r="BB58" s="1026" t="str">
        <f>IF(AZ58="","",'#orgDung'!GI59)</f>
        <v/>
      </c>
      <c r="BC58" s="1027" t="str">
        <f>IF(AZ58="","",'#orgDung'!GK59)</f>
        <v/>
      </c>
      <c r="BD58" s="1025"/>
      <c r="BE58" s="1026" t="str">
        <f>IF(BD58="","",'#orgDung'!GW59)</f>
        <v/>
      </c>
      <c r="BF58" s="1026" t="str">
        <f>IF(BD58="","",'#orgDung'!GX59)</f>
        <v/>
      </c>
      <c r="BG58" s="1027" t="str">
        <f>IF(BD58="","",'#orgDung'!GZ59)</f>
        <v/>
      </c>
      <c r="BH58" s="1025"/>
      <c r="BI58" s="1026" t="str">
        <f>IF(BH58="","",'#orgDung'!HL59)</f>
        <v/>
      </c>
      <c r="BJ58" s="1026" t="str">
        <f>IF(BH58="","",'#orgDung'!HM59)</f>
        <v/>
      </c>
      <c r="BK58" s="1027" t="str">
        <f>IF(BH58="","",'#orgDung'!HO59)</f>
        <v/>
      </c>
      <c r="BL58" s="1025"/>
      <c r="BM58" s="1026" t="str">
        <f>IF(BL58="","",'#orgDung'!IA59)</f>
        <v/>
      </c>
      <c r="BN58" s="1026" t="str">
        <f>IF(BL58="","",'#orgDung'!IB59)</f>
        <v/>
      </c>
      <c r="BO58" s="1027" t="str">
        <f>IF(BL58="","",'#orgDung'!ID59)</f>
        <v/>
      </c>
      <c r="BP58" s="1025"/>
      <c r="BQ58" s="1026" t="str">
        <f>IF(BP58="","",'#orgDung'!IP59)</f>
        <v/>
      </c>
      <c r="BR58" s="1026" t="str">
        <f>IF(BP58="","",'#orgDung'!IQ59)</f>
        <v/>
      </c>
      <c r="BS58" s="1027" t="str">
        <f>IF(BP58="","",'#orgDung'!IS59)</f>
        <v/>
      </c>
      <c r="BT58" s="1025"/>
      <c r="BU58" s="1026" t="str">
        <f>IF(BT58="","",'#orgDung'!JE59)</f>
        <v/>
      </c>
      <c r="BV58" s="1026" t="str">
        <f>IF(BT58="","",'#orgDung'!JF59)</f>
        <v/>
      </c>
      <c r="BW58" s="1027" t="str">
        <f>IF(BT58="","",'#orgDung'!JH59)</f>
        <v/>
      </c>
      <c r="BX58" s="1025"/>
      <c r="BY58" s="1026" t="str">
        <f>IF(BX58="","",'#orgDung'!JT59)</f>
        <v/>
      </c>
      <c r="BZ58" s="1026" t="str">
        <f>IF(BX58="","",'#orgDung'!JU59)</f>
        <v/>
      </c>
      <c r="CA58" s="1027" t="str">
        <f>IF(BX58="","",'#orgDung'!JW59)</f>
        <v/>
      </c>
      <c r="CB58" s="1025"/>
      <c r="CC58" s="1026" t="str">
        <f>IF(CB58="","",'#orgDung'!KI59)</f>
        <v/>
      </c>
      <c r="CD58" s="1026" t="str">
        <f>IF(CB58="","",'#orgDung'!KJ59)</f>
        <v/>
      </c>
      <c r="CE58" s="1027" t="str">
        <f>IF(CB58="","",'#orgDung'!KL59)</f>
        <v/>
      </c>
      <c r="CF58" s="1025"/>
      <c r="CG58" s="1026" t="str">
        <f>IF(CF58="","",'#orgDung'!KX59)</f>
        <v/>
      </c>
      <c r="CH58" s="1026" t="str">
        <f>IF(CF58="","",'#orgDung'!KY59)</f>
        <v/>
      </c>
      <c r="CI58" s="1027" t="str">
        <f>IF(CF58="","",'#orgDung'!LA59)</f>
        <v/>
      </c>
      <c r="CJ58" s="1025"/>
      <c r="CK58" s="1026" t="str">
        <f>IF(CJ58="","",'#orgDung'!LM59)</f>
        <v/>
      </c>
      <c r="CL58" s="1026" t="str">
        <f>IF(CJ58="","",'#orgDung'!LN59)</f>
        <v/>
      </c>
      <c r="CM58" s="1027" t="str">
        <f>IF(CJ58="","",'#orgDung'!LP59)</f>
        <v/>
      </c>
      <c r="CN58" s="1025"/>
      <c r="CO58" s="1026" t="str">
        <f>IF(CN58="","",'#orgDung'!MB59)</f>
        <v/>
      </c>
      <c r="CP58" s="1026" t="str">
        <f>IF(CN58="","",'#orgDung'!MC59)</f>
        <v/>
      </c>
      <c r="CQ58" s="1027" t="str">
        <f>IF(CN58="","",'#orgDung'!ME59)</f>
        <v/>
      </c>
      <c r="CR58" s="1025"/>
      <c r="CS58" s="1026" t="str">
        <f>IF(CR58="","",'#orgDung'!MQ59)</f>
        <v/>
      </c>
      <c r="CT58" s="1026" t="str">
        <f>IF(CR58="","",'#orgDung'!MR59)</f>
        <v/>
      </c>
      <c r="CU58" s="1027" t="str">
        <f>IF(CR58="","",'#orgDung'!MT59)</f>
        <v/>
      </c>
      <c r="CV58" s="1025"/>
      <c r="CW58" s="1026" t="str">
        <f>IF(CV58="","",'#orgDung'!NF59)</f>
        <v/>
      </c>
      <c r="CX58" s="1026" t="str">
        <f>IF(CV58="","",'#orgDung'!NG59)</f>
        <v/>
      </c>
      <c r="CY58" s="1027" t="str">
        <f>IF(CV58="","",'#orgDung'!NI59)</f>
        <v/>
      </c>
      <c r="CZ58" s="1025"/>
      <c r="DA58" s="1026" t="str">
        <f>IF(CZ58="","",'#orgDung'!NU59)</f>
        <v/>
      </c>
      <c r="DB58" s="1026" t="str">
        <f>IF(CZ58="","",'#orgDung'!NV59)</f>
        <v/>
      </c>
      <c r="DC58" s="1027" t="str">
        <f>IF(CZ58="","",'#orgDung'!NX59)</f>
        <v/>
      </c>
      <c r="DD58" s="1025"/>
      <c r="DE58" s="1026" t="str">
        <f>IF(DD58="","",'#orgDung'!OJ59)</f>
        <v/>
      </c>
      <c r="DF58" s="1026" t="str">
        <f>IF(DD58="","",'#orgDung'!OK59)</f>
        <v/>
      </c>
      <c r="DG58" s="1027" t="str">
        <f>IF(DD58="","",'#orgDung'!OM59)</f>
        <v/>
      </c>
      <c r="DH58" s="1025"/>
      <c r="DI58" s="1026" t="str">
        <f>IF(DH58="","",'#orgDung'!OY59)</f>
        <v/>
      </c>
      <c r="DJ58" s="1026" t="str">
        <f>IF(DH58="","",'#orgDung'!OZ59)</f>
        <v/>
      </c>
      <c r="DK58" s="1027" t="str">
        <f>IF(DH58="","",'#orgDung'!PB59)</f>
        <v/>
      </c>
      <c r="DL58" s="1025"/>
      <c r="DM58" s="1026" t="str">
        <f>IF(DL58="","",'#orgDung'!PN59)</f>
        <v/>
      </c>
      <c r="DN58" s="1026" t="str">
        <f>IF(DL58="","",'#orgDung'!PO59)</f>
        <v/>
      </c>
      <c r="DO58" s="1027" t="str">
        <f>IF(DL58="","",'#orgDung'!PQ59)</f>
        <v/>
      </c>
      <c r="DP58" s="1025"/>
      <c r="DQ58" s="1026" t="str">
        <f>IF(DP58="","",'#orgDung'!QC59)</f>
        <v/>
      </c>
      <c r="DR58" s="1026" t="str">
        <f>IF(DP58="","",'#orgDung'!QD59)</f>
        <v/>
      </c>
      <c r="DS58" s="1027" t="str">
        <f>IF(DP58="","",'#orgDung'!QF59)</f>
        <v/>
      </c>
      <c r="DT58" s="1025"/>
      <c r="DU58" s="1026" t="str">
        <f>IF(DT58="","",'#orgDung'!QR59)</f>
        <v/>
      </c>
      <c r="DV58" s="1026" t="str">
        <f>IF(DT58="","",'#orgDung'!QS59)</f>
        <v/>
      </c>
      <c r="DW58" s="1027" t="str">
        <f>IF(DT58="","",'#orgDung'!QU59)</f>
        <v/>
      </c>
      <c r="DX58" s="1025"/>
      <c r="DY58" s="1026" t="str">
        <f>IF(DX58="","",'#orgDung'!RG59)</f>
        <v/>
      </c>
      <c r="DZ58" s="1026" t="str">
        <f>IF(DX58="","",'#orgDung'!RH59)</f>
        <v/>
      </c>
      <c r="EA58" s="1027" t="str">
        <f>IF(DX58="","",'#orgDung'!RJ59)</f>
        <v/>
      </c>
    </row>
    <row r="59" spans="1:131" ht="15" customHeight="1" x14ac:dyDescent="0.2">
      <c r="A59" s="1195">
        <f>'Flächen u. Kulturen'!A56</f>
        <v>47</v>
      </c>
      <c r="B59" s="1195" t="str">
        <f>IF('Flächen u. Kulturen'!B56="","",'Flächen u. Kulturen'!B56)</f>
        <v/>
      </c>
      <c r="C59" s="1196" t="str">
        <f>IF('Flächen u. Kulturen'!D56="","",'Flächen u. Kulturen'!D56)</f>
        <v/>
      </c>
      <c r="D59" s="1197" t="str">
        <f>IF(C59="","",IF('#BerechnungDBE'!Q51&lt;4,"x",""))</f>
        <v/>
      </c>
      <c r="E59" s="1198" t="str">
        <f>IF(C59="","",VLOOKUP('Flächen u. Kulturen'!L56,'#Zweitfr'!$D$8:$F$28,'#Zweitfr'!$F$1,FALSE))</f>
        <v/>
      </c>
      <c r="F59" s="1199" t="str">
        <f>IF(C59="","",IF('Flächen u. Kulturen'!E56="x",'Flächen u. Kulturen'!P56,"nicht im Betrieb"))</f>
        <v/>
      </c>
      <c r="G59" s="1200" t="str">
        <f>IF(C59="","",IF('#orgDung'!C60=2,"--",IF('#Kürzungen'!$F$2=2,"--",'#orgDung'!R60)))</f>
        <v/>
      </c>
      <c r="H59" s="1200" t="str">
        <f>IF(C59="","",'#orgDung'!U60)</f>
        <v/>
      </c>
      <c r="I59" s="1201" t="str">
        <f>IF(C59="","",IF(COUNT('#orgDung'!RS60:SA60)=0,"OK",TRIM(CONCATENATE('#orgDung'!RS60," ",'#orgDung'!RT60," ",'#orgDung'!RU60," ",'#orgDung'!RV60," ",'#orgDung'!RW60," ",'#orgDung'!RX60," ",'#orgDung'!RY60," ",'#orgDung'!RZ60," ",'#orgDung'!SA60))))</f>
        <v/>
      </c>
      <c r="J59" s="1023"/>
      <c r="K59" s="1024"/>
      <c r="L59" s="1025"/>
      <c r="M59" s="1026" t="str">
        <f>IF(L59="","",'#orgDung'!AN60)</f>
        <v/>
      </c>
      <c r="N59" s="1026" t="str">
        <f>IF(L59="","",'#orgDung'!AO60)</f>
        <v/>
      </c>
      <c r="O59" s="1027" t="str">
        <f>IF(L59="","",'#orgDung'!AQ60)</f>
        <v/>
      </c>
      <c r="P59" s="1025"/>
      <c r="Q59" s="1026" t="str">
        <f>IF(P59="","",'#orgDung'!BC60)</f>
        <v/>
      </c>
      <c r="R59" s="1026" t="str">
        <f>IF(P59="","",'#orgDung'!BD60)</f>
        <v/>
      </c>
      <c r="S59" s="1027" t="str">
        <f>IF(P59="","",'#orgDung'!BF60)</f>
        <v/>
      </c>
      <c r="T59" s="1025"/>
      <c r="U59" s="1026" t="str">
        <f>IF(T59="","",'#orgDung'!BR60)</f>
        <v/>
      </c>
      <c r="V59" s="1026" t="str">
        <f>IF(T59="","",'#orgDung'!BS60)</f>
        <v/>
      </c>
      <c r="W59" s="1027" t="str">
        <f>IF(T59="","",'#orgDung'!BU60)</f>
        <v/>
      </c>
      <c r="X59" s="1025"/>
      <c r="Y59" s="1026" t="str">
        <f>IF(X59="","",'#orgDung'!CG60)</f>
        <v/>
      </c>
      <c r="Z59" s="1026" t="str">
        <f>IF(X59="","",'#orgDung'!CH60)</f>
        <v/>
      </c>
      <c r="AA59" s="1027" t="str">
        <f>IF(X59="","",'#orgDung'!CJ60)</f>
        <v/>
      </c>
      <c r="AB59" s="1025"/>
      <c r="AC59" s="1026" t="str">
        <f>IF(AB59="","",'#orgDung'!CV60)</f>
        <v/>
      </c>
      <c r="AD59" s="1026" t="str">
        <f>IF(AB59="","",'#orgDung'!CW60)</f>
        <v/>
      </c>
      <c r="AE59" s="1027" t="str">
        <f>IF(AB59="","",'#orgDung'!CY60)</f>
        <v/>
      </c>
      <c r="AF59" s="1025"/>
      <c r="AG59" s="1026" t="str">
        <f>IF(AF59="","",'#orgDung'!DK60)</f>
        <v/>
      </c>
      <c r="AH59" s="1026" t="str">
        <f>IF(AF59="","",'#orgDung'!DL60)</f>
        <v/>
      </c>
      <c r="AI59" s="1027" t="str">
        <f>IF(AF59="","",'#orgDung'!DN60)</f>
        <v/>
      </c>
      <c r="AJ59" s="1025"/>
      <c r="AK59" s="1026" t="str">
        <f>IF(AJ59="","",'#orgDung'!DZ60)</f>
        <v/>
      </c>
      <c r="AL59" s="1026" t="str">
        <f>IF(AJ59="","",'#orgDung'!EA60)</f>
        <v/>
      </c>
      <c r="AM59" s="1027" t="str">
        <f>IF(AJ59="","",'#orgDung'!EC60)</f>
        <v/>
      </c>
      <c r="AN59" s="1025"/>
      <c r="AO59" s="1026" t="str">
        <f>IF(AN59="","",'#orgDung'!EO60)</f>
        <v/>
      </c>
      <c r="AP59" s="1026" t="str">
        <f>IF(AN59="","",'#orgDung'!EP60)</f>
        <v/>
      </c>
      <c r="AQ59" s="1027" t="str">
        <f>IF(AN59="","",'#orgDung'!ER60)</f>
        <v/>
      </c>
      <c r="AR59" s="1025"/>
      <c r="AS59" s="1026" t="str">
        <f>IF(AR59="","",'#orgDung'!FD60)</f>
        <v/>
      </c>
      <c r="AT59" s="1026" t="str">
        <f>IF(AR59="","",'#orgDung'!FE60)</f>
        <v/>
      </c>
      <c r="AU59" s="1027" t="str">
        <f>IF(AR59="","",'#orgDung'!FG60)</f>
        <v/>
      </c>
      <c r="AV59" s="1025"/>
      <c r="AW59" s="1026" t="str">
        <f>IF(AV59="","",'#orgDung'!FS60)</f>
        <v/>
      </c>
      <c r="AX59" s="1026" t="str">
        <f>IF(AV59="","",'#orgDung'!FT60)</f>
        <v/>
      </c>
      <c r="AY59" s="1027" t="str">
        <f>IF(AV59="","",'#orgDung'!FV60)</f>
        <v/>
      </c>
      <c r="AZ59" s="1025"/>
      <c r="BA59" s="1026" t="str">
        <f>IF(AZ59="","",'#orgDung'!GH60)</f>
        <v/>
      </c>
      <c r="BB59" s="1026" t="str">
        <f>IF(AZ59="","",'#orgDung'!GI60)</f>
        <v/>
      </c>
      <c r="BC59" s="1027" t="str">
        <f>IF(AZ59="","",'#orgDung'!GK60)</f>
        <v/>
      </c>
      <c r="BD59" s="1025"/>
      <c r="BE59" s="1026" t="str">
        <f>IF(BD59="","",'#orgDung'!GW60)</f>
        <v/>
      </c>
      <c r="BF59" s="1026" t="str">
        <f>IF(BD59="","",'#orgDung'!GX60)</f>
        <v/>
      </c>
      <c r="BG59" s="1027" t="str">
        <f>IF(BD59="","",'#orgDung'!GZ60)</f>
        <v/>
      </c>
      <c r="BH59" s="1025"/>
      <c r="BI59" s="1026" t="str">
        <f>IF(BH59="","",'#orgDung'!HL60)</f>
        <v/>
      </c>
      <c r="BJ59" s="1026" t="str">
        <f>IF(BH59="","",'#orgDung'!HM60)</f>
        <v/>
      </c>
      <c r="BK59" s="1027" t="str">
        <f>IF(BH59="","",'#orgDung'!HO60)</f>
        <v/>
      </c>
      <c r="BL59" s="1025"/>
      <c r="BM59" s="1026" t="str">
        <f>IF(BL59="","",'#orgDung'!IA60)</f>
        <v/>
      </c>
      <c r="BN59" s="1026" t="str">
        <f>IF(BL59="","",'#orgDung'!IB60)</f>
        <v/>
      </c>
      <c r="BO59" s="1027" t="str">
        <f>IF(BL59="","",'#orgDung'!ID60)</f>
        <v/>
      </c>
      <c r="BP59" s="1025"/>
      <c r="BQ59" s="1026" t="str">
        <f>IF(BP59="","",'#orgDung'!IP60)</f>
        <v/>
      </c>
      <c r="BR59" s="1026" t="str">
        <f>IF(BP59="","",'#orgDung'!IQ60)</f>
        <v/>
      </c>
      <c r="BS59" s="1027" t="str">
        <f>IF(BP59="","",'#orgDung'!IS60)</f>
        <v/>
      </c>
      <c r="BT59" s="1025"/>
      <c r="BU59" s="1026" t="str">
        <f>IF(BT59="","",'#orgDung'!JE60)</f>
        <v/>
      </c>
      <c r="BV59" s="1026" t="str">
        <f>IF(BT59="","",'#orgDung'!JF60)</f>
        <v/>
      </c>
      <c r="BW59" s="1027" t="str">
        <f>IF(BT59="","",'#orgDung'!JH60)</f>
        <v/>
      </c>
      <c r="BX59" s="1025"/>
      <c r="BY59" s="1026" t="str">
        <f>IF(BX59="","",'#orgDung'!JT60)</f>
        <v/>
      </c>
      <c r="BZ59" s="1026" t="str">
        <f>IF(BX59="","",'#orgDung'!JU60)</f>
        <v/>
      </c>
      <c r="CA59" s="1027" t="str">
        <f>IF(BX59="","",'#orgDung'!JW60)</f>
        <v/>
      </c>
      <c r="CB59" s="1025"/>
      <c r="CC59" s="1026" t="str">
        <f>IF(CB59="","",'#orgDung'!KI60)</f>
        <v/>
      </c>
      <c r="CD59" s="1026" t="str">
        <f>IF(CB59="","",'#orgDung'!KJ60)</f>
        <v/>
      </c>
      <c r="CE59" s="1027" t="str">
        <f>IF(CB59="","",'#orgDung'!KL60)</f>
        <v/>
      </c>
      <c r="CF59" s="1025"/>
      <c r="CG59" s="1026" t="str">
        <f>IF(CF59="","",'#orgDung'!KX60)</f>
        <v/>
      </c>
      <c r="CH59" s="1026" t="str">
        <f>IF(CF59="","",'#orgDung'!KY60)</f>
        <v/>
      </c>
      <c r="CI59" s="1027" t="str">
        <f>IF(CF59="","",'#orgDung'!LA60)</f>
        <v/>
      </c>
      <c r="CJ59" s="1025"/>
      <c r="CK59" s="1026" t="str">
        <f>IF(CJ59="","",'#orgDung'!LM60)</f>
        <v/>
      </c>
      <c r="CL59" s="1026" t="str">
        <f>IF(CJ59="","",'#orgDung'!LN60)</f>
        <v/>
      </c>
      <c r="CM59" s="1027" t="str">
        <f>IF(CJ59="","",'#orgDung'!LP60)</f>
        <v/>
      </c>
      <c r="CN59" s="1025"/>
      <c r="CO59" s="1026" t="str">
        <f>IF(CN59="","",'#orgDung'!MB60)</f>
        <v/>
      </c>
      <c r="CP59" s="1026" t="str">
        <f>IF(CN59="","",'#orgDung'!MC60)</f>
        <v/>
      </c>
      <c r="CQ59" s="1027" t="str">
        <f>IF(CN59="","",'#orgDung'!ME60)</f>
        <v/>
      </c>
      <c r="CR59" s="1025"/>
      <c r="CS59" s="1026" t="str">
        <f>IF(CR59="","",'#orgDung'!MQ60)</f>
        <v/>
      </c>
      <c r="CT59" s="1026" t="str">
        <f>IF(CR59="","",'#orgDung'!MR60)</f>
        <v/>
      </c>
      <c r="CU59" s="1027" t="str">
        <f>IF(CR59="","",'#orgDung'!MT60)</f>
        <v/>
      </c>
      <c r="CV59" s="1025"/>
      <c r="CW59" s="1026" t="str">
        <f>IF(CV59="","",'#orgDung'!NF60)</f>
        <v/>
      </c>
      <c r="CX59" s="1026" t="str">
        <f>IF(CV59="","",'#orgDung'!NG60)</f>
        <v/>
      </c>
      <c r="CY59" s="1027" t="str">
        <f>IF(CV59="","",'#orgDung'!NI60)</f>
        <v/>
      </c>
      <c r="CZ59" s="1025"/>
      <c r="DA59" s="1026" t="str">
        <f>IF(CZ59="","",'#orgDung'!NU60)</f>
        <v/>
      </c>
      <c r="DB59" s="1026" t="str">
        <f>IF(CZ59="","",'#orgDung'!NV60)</f>
        <v/>
      </c>
      <c r="DC59" s="1027" t="str">
        <f>IF(CZ59="","",'#orgDung'!NX60)</f>
        <v/>
      </c>
      <c r="DD59" s="1025"/>
      <c r="DE59" s="1026" t="str">
        <f>IF(DD59="","",'#orgDung'!OJ60)</f>
        <v/>
      </c>
      <c r="DF59" s="1026" t="str">
        <f>IF(DD59="","",'#orgDung'!OK60)</f>
        <v/>
      </c>
      <c r="DG59" s="1027" t="str">
        <f>IF(DD59="","",'#orgDung'!OM60)</f>
        <v/>
      </c>
      <c r="DH59" s="1025"/>
      <c r="DI59" s="1026" t="str">
        <f>IF(DH59="","",'#orgDung'!OY60)</f>
        <v/>
      </c>
      <c r="DJ59" s="1026" t="str">
        <f>IF(DH59="","",'#orgDung'!OZ60)</f>
        <v/>
      </c>
      <c r="DK59" s="1027" t="str">
        <f>IF(DH59="","",'#orgDung'!PB60)</f>
        <v/>
      </c>
      <c r="DL59" s="1025"/>
      <c r="DM59" s="1026" t="str">
        <f>IF(DL59="","",'#orgDung'!PN60)</f>
        <v/>
      </c>
      <c r="DN59" s="1026" t="str">
        <f>IF(DL59="","",'#orgDung'!PO60)</f>
        <v/>
      </c>
      <c r="DO59" s="1027" t="str">
        <f>IF(DL59="","",'#orgDung'!PQ60)</f>
        <v/>
      </c>
      <c r="DP59" s="1025"/>
      <c r="DQ59" s="1026" t="str">
        <f>IF(DP59="","",'#orgDung'!QC60)</f>
        <v/>
      </c>
      <c r="DR59" s="1026" t="str">
        <f>IF(DP59="","",'#orgDung'!QD60)</f>
        <v/>
      </c>
      <c r="DS59" s="1027" t="str">
        <f>IF(DP59="","",'#orgDung'!QF60)</f>
        <v/>
      </c>
      <c r="DT59" s="1025"/>
      <c r="DU59" s="1026" t="str">
        <f>IF(DT59="","",'#orgDung'!QR60)</f>
        <v/>
      </c>
      <c r="DV59" s="1026" t="str">
        <f>IF(DT59="","",'#orgDung'!QS60)</f>
        <v/>
      </c>
      <c r="DW59" s="1027" t="str">
        <f>IF(DT59="","",'#orgDung'!QU60)</f>
        <v/>
      </c>
      <c r="DX59" s="1025"/>
      <c r="DY59" s="1026" t="str">
        <f>IF(DX59="","",'#orgDung'!RG60)</f>
        <v/>
      </c>
      <c r="DZ59" s="1026" t="str">
        <f>IF(DX59="","",'#orgDung'!RH60)</f>
        <v/>
      </c>
      <c r="EA59" s="1027" t="str">
        <f>IF(DX59="","",'#orgDung'!RJ60)</f>
        <v/>
      </c>
    </row>
    <row r="60" spans="1:131" ht="15" customHeight="1" x14ac:dyDescent="0.2">
      <c r="A60" s="1195">
        <f>'Flächen u. Kulturen'!A57</f>
        <v>48</v>
      </c>
      <c r="B60" s="1195" t="str">
        <f>IF('Flächen u. Kulturen'!B57="","",'Flächen u. Kulturen'!B57)</f>
        <v/>
      </c>
      <c r="C60" s="1196" t="str">
        <f>IF('Flächen u. Kulturen'!D57="","",'Flächen u. Kulturen'!D57)</f>
        <v/>
      </c>
      <c r="D60" s="1197" t="str">
        <f>IF(C60="","",IF('#BerechnungDBE'!Q52&lt;4,"x",""))</f>
        <v/>
      </c>
      <c r="E60" s="1198" t="str">
        <f>IF(C60="","",VLOOKUP('Flächen u. Kulturen'!L57,'#Zweitfr'!$D$8:$F$28,'#Zweitfr'!$F$1,FALSE))</f>
        <v/>
      </c>
      <c r="F60" s="1199" t="str">
        <f>IF(C60="","",IF('Flächen u. Kulturen'!E57="x",'Flächen u. Kulturen'!P57,"nicht im Betrieb"))</f>
        <v/>
      </c>
      <c r="G60" s="1200" t="str">
        <f>IF(C60="","",IF('#orgDung'!C61=2,"--",IF('#Kürzungen'!$F$2=2,"--",'#orgDung'!R61)))</f>
        <v/>
      </c>
      <c r="H60" s="1200" t="str">
        <f>IF(C60="","",'#orgDung'!U61)</f>
        <v/>
      </c>
      <c r="I60" s="1201" t="str">
        <f>IF(C60="","",IF(COUNT('#orgDung'!RS61:SA61)=0,"OK",TRIM(CONCATENATE('#orgDung'!RS61," ",'#orgDung'!RT61," ",'#orgDung'!RU61," ",'#orgDung'!RV61," ",'#orgDung'!RW61," ",'#orgDung'!RX61," ",'#orgDung'!RY61," ",'#orgDung'!RZ61," ",'#orgDung'!SA61))))</f>
        <v/>
      </c>
      <c r="J60" s="1023"/>
      <c r="K60" s="1024"/>
      <c r="L60" s="1025"/>
      <c r="M60" s="1026" t="str">
        <f>IF(L60="","",'#orgDung'!AN61)</f>
        <v/>
      </c>
      <c r="N60" s="1026" t="str">
        <f>IF(L60="","",'#orgDung'!AO61)</f>
        <v/>
      </c>
      <c r="O60" s="1027" t="str">
        <f>IF(L60="","",'#orgDung'!AQ61)</f>
        <v/>
      </c>
      <c r="P60" s="1025"/>
      <c r="Q60" s="1026" t="str">
        <f>IF(P60="","",'#orgDung'!BC61)</f>
        <v/>
      </c>
      <c r="R60" s="1026" t="str">
        <f>IF(P60="","",'#orgDung'!BD61)</f>
        <v/>
      </c>
      <c r="S60" s="1027" t="str">
        <f>IF(P60="","",'#orgDung'!BF61)</f>
        <v/>
      </c>
      <c r="T60" s="1025"/>
      <c r="U60" s="1026" t="str">
        <f>IF(T60="","",'#orgDung'!BR61)</f>
        <v/>
      </c>
      <c r="V60" s="1026" t="str">
        <f>IF(T60="","",'#orgDung'!BS61)</f>
        <v/>
      </c>
      <c r="W60" s="1027" t="str">
        <f>IF(T60="","",'#orgDung'!BU61)</f>
        <v/>
      </c>
      <c r="X60" s="1025"/>
      <c r="Y60" s="1026" t="str">
        <f>IF(X60="","",'#orgDung'!CG61)</f>
        <v/>
      </c>
      <c r="Z60" s="1026" t="str">
        <f>IF(X60="","",'#orgDung'!CH61)</f>
        <v/>
      </c>
      <c r="AA60" s="1027" t="str">
        <f>IF(X60="","",'#orgDung'!CJ61)</f>
        <v/>
      </c>
      <c r="AB60" s="1025"/>
      <c r="AC60" s="1026" t="str">
        <f>IF(AB60="","",'#orgDung'!CV61)</f>
        <v/>
      </c>
      <c r="AD60" s="1026" t="str">
        <f>IF(AB60="","",'#orgDung'!CW61)</f>
        <v/>
      </c>
      <c r="AE60" s="1027" t="str">
        <f>IF(AB60="","",'#orgDung'!CY61)</f>
        <v/>
      </c>
      <c r="AF60" s="1025"/>
      <c r="AG60" s="1026" t="str">
        <f>IF(AF60="","",'#orgDung'!DK61)</f>
        <v/>
      </c>
      <c r="AH60" s="1026" t="str">
        <f>IF(AF60="","",'#orgDung'!DL61)</f>
        <v/>
      </c>
      <c r="AI60" s="1027" t="str">
        <f>IF(AF60="","",'#orgDung'!DN61)</f>
        <v/>
      </c>
      <c r="AJ60" s="1025"/>
      <c r="AK60" s="1026" t="str">
        <f>IF(AJ60="","",'#orgDung'!DZ61)</f>
        <v/>
      </c>
      <c r="AL60" s="1026" t="str">
        <f>IF(AJ60="","",'#orgDung'!EA61)</f>
        <v/>
      </c>
      <c r="AM60" s="1027" t="str">
        <f>IF(AJ60="","",'#orgDung'!EC61)</f>
        <v/>
      </c>
      <c r="AN60" s="1025"/>
      <c r="AO60" s="1026" t="str">
        <f>IF(AN60="","",'#orgDung'!EO61)</f>
        <v/>
      </c>
      <c r="AP60" s="1026" t="str">
        <f>IF(AN60="","",'#orgDung'!EP61)</f>
        <v/>
      </c>
      <c r="AQ60" s="1027" t="str">
        <f>IF(AN60="","",'#orgDung'!ER61)</f>
        <v/>
      </c>
      <c r="AR60" s="1025"/>
      <c r="AS60" s="1026" t="str">
        <f>IF(AR60="","",'#orgDung'!FD61)</f>
        <v/>
      </c>
      <c r="AT60" s="1026" t="str">
        <f>IF(AR60="","",'#orgDung'!FE61)</f>
        <v/>
      </c>
      <c r="AU60" s="1027" t="str">
        <f>IF(AR60="","",'#orgDung'!FG61)</f>
        <v/>
      </c>
      <c r="AV60" s="1025"/>
      <c r="AW60" s="1026" t="str">
        <f>IF(AV60="","",'#orgDung'!FS61)</f>
        <v/>
      </c>
      <c r="AX60" s="1026" t="str">
        <f>IF(AV60="","",'#orgDung'!FT61)</f>
        <v/>
      </c>
      <c r="AY60" s="1027" t="str">
        <f>IF(AV60="","",'#orgDung'!FV61)</f>
        <v/>
      </c>
      <c r="AZ60" s="1025"/>
      <c r="BA60" s="1026" t="str">
        <f>IF(AZ60="","",'#orgDung'!GH61)</f>
        <v/>
      </c>
      <c r="BB60" s="1026" t="str">
        <f>IF(AZ60="","",'#orgDung'!GI61)</f>
        <v/>
      </c>
      <c r="BC60" s="1027" t="str">
        <f>IF(AZ60="","",'#orgDung'!GK61)</f>
        <v/>
      </c>
      <c r="BD60" s="1025"/>
      <c r="BE60" s="1026" t="str">
        <f>IF(BD60="","",'#orgDung'!GW61)</f>
        <v/>
      </c>
      <c r="BF60" s="1026" t="str">
        <f>IF(BD60="","",'#orgDung'!GX61)</f>
        <v/>
      </c>
      <c r="BG60" s="1027" t="str">
        <f>IF(BD60="","",'#orgDung'!GZ61)</f>
        <v/>
      </c>
      <c r="BH60" s="1025"/>
      <c r="BI60" s="1026" t="str">
        <f>IF(BH60="","",'#orgDung'!HL61)</f>
        <v/>
      </c>
      <c r="BJ60" s="1026" t="str">
        <f>IF(BH60="","",'#orgDung'!HM61)</f>
        <v/>
      </c>
      <c r="BK60" s="1027" t="str">
        <f>IF(BH60="","",'#orgDung'!HO61)</f>
        <v/>
      </c>
      <c r="BL60" s="1025"/>
      <c r="BM60" s="1026" t="str">
        <f>IF(BL60="","",'#orgDung'!IA61)</f>
        <v/>
      </c>
      <c r="BN60" s="1026" t="str">
        <f>IF(BL60="","",'#orgDung'!IB61)</f>
        <v/>
      </c>
      <c r="BO60" s="1027" t="str">
        <f>IF(BL60="","",'#orgDung'!ID61)</f>
        <v/>
      </c>
      <c r="BP60" s="1025"/>
      <c r="BQ60" s="1026" t="str">
        <f>IF(BP60="","",'#orgDung'!IP61)</f>
        <v/>
      </c>
      <c r="BR60" s="1026" t="str">
        <f>IF(BP60="","",'#orgDung'!IQ61)</f>
        <v/>
      </c>
      <c r="BS60" s="1027" t="str">
        <f>IF(BP60="","",'#orgDung'!IS61)</f>
        <v/>
      </c>
      <c r="BT60" s="1025"/>
      <c r="BU60" s="1026" t="str">
        <f>IF(BT60="","",'#orgDung'!JE61)</f>
        <v/>
      </c>
      <c r="BV60" s="1026" t="str">
        <f>IF(BT60="","",'#orgDung'!JF61)</f>
        <v/>
      </c>
      <c r="BW60" s="1027" t="str">
        <f>IF(BT60="","",'#orgDung'!JH61)</f>
        <v/>
      </c>
      <c r="BX60" s="1025"/>
      <c r="BY60" s="1026" t="str">
        <f>IF(BX60="","",'#orgDung'!JT61)</f>
        <v/>
      </c>
      <c r="BZ60" s="1026" t="str">
        <f>IF(BX60="","",'#orgDung'!JU61)</f>
        <v/>
      </c>
      <c r="CA60" s="1027" t="str">
        <f>IF(BX60="","",'#orgDung'!JW61)</f>
        <v/>
      </c>
      <c r="CB60" s="1025"/>
      <c r="CC60" s="1026" t="str">
        <f>IF(CB60="","",'#orgDung'!KI61)</f>
        <v/>
      </c>
      <c r="CD60" s="1026" t="str">
        <f>IF(CB60="","",'#orgDung'!KJ61)</f>
        <v/>
      </c>
      <c r="CE60" s="1027" t="str">
        <f>IF(CB60="","",'#orgDung'!KL61)</f>
        <v/>
      </c>
      <c r="CF60" s="1025"/>
      <c r="CG60" s="1026" t="str">
        <f>IF(CF60="","",'#orgDung'!KX61)</f>
        <v/>
      </c>
      <c r="CH60" s="1026" t="str">
        <f>IF(CF60="","",'#orgDung'!KY61)</f>
        <v/>
      </c>
      <c r="CI60" s="1027" t="str">
        <f>IF(CF60="","",'#orgDung'!LA61)</f>
        <v/>
      </c>
      <c r="CJ60" s="1025"/>
      <c r="CK60" s="1026" t="str">
        <f>IF(CJ60="","",'#orgDung'!LM61)</f>
        <v/>
      </c>
      <c r="CL60" s="1026" t="str">
        <f>IF(CJ60="","",'#orgDung'!LN61)</f>
        <v/>
      </c>
      <c r="CM60" s="1027" t="str">
        <f>IF(CJ60="","",'#orgDung'!LP61)</f>
        <v/>
      </c>
      <c r="CN60" s="1025"/>
      <c r="CO60" s="1026" t="str">
        <f>IF(CN60="","",'#orgDung'!MB61)</f>
        <v/>
      </c>
      <c r="CP60" s="1026" t="str">
        <f>IF(CN60="","",'#orgDung'!MC61)</f>
        <v/>
      </c>
      <c r="CQ60" s="1027" t="str">
        <f>IF(CN60="","",'#orgDung'!ME61)</f>
        <v/>
      </c>
      <c r="CR60" s="1025"/>
      <c r="CS60" s="1026" t="str">
        <f>IF(CR60="","",'#orgDung'!MQ61)</f>
        <v/>
      </c>
      <c r="CT60" s="1026" t="str">
        <f>IF(CR60="","",'#orgDung'!MR61)</f>
        <v/>
      </c>
      <c r="CU60" s="1027" t="str">
        <f>IF(CR60="","",'#orgDung'!MT61)</f>
        <v/>
      </c>
      <c r="CV60" s="1025"/>
      <c r="CW60" s="1026" t="str">
        <f>IF(CV60="","",'#orgDung'!NF61)</f>
        <v/>
      </c>
      <c r="CX60" s="1026" t="str">
        <f>IF(CV60="","",'#orgDung'!NG61)</f>
        <v/>
      </c>
      <c r="CY60" s="1027" t="str">
        <f>IF(CV60="","",'#orgDung'!NI61)</f>
        <v/>
      </c>
      <c r="CZ60" s="1025"/>
      <c r="DA60" s="1026" t="str">
        <f>IF(CZ60="","",'#orgDung'!NU61)</f>
        <v/>
      </c>
      <c r="DB60" s="1026" t="str">
        <f>IF(CZ60="","",'#orgDung'!NV61)</f>
        <v/>
      </c>
      <c r="DC60" s="1027" t="str">
        <f>IF(CZ60="","",'#orgDung'!NX61)</f>
        <v/>
      </c>
      <c r="DD60" s="1025"/>
      <c r="DE60" s="1026" t="str">
        <f>IF(DD60="","",'#orgDung'!OJ61)</f>
        <v/>
      </c>
      <c r="DF60" s="1026" t="str">
        <f>IF(DD60="","",'#orgDung'!OK61)</f>
        <v/>
      </c>
      <c r="DG60" s="1027" t="str">
        <f>IF(DD60="","",'#orgDung'!OM61)</f>
        <v/>
      </c>
      <c r="DH60" s="1025"/>
      <c r="DI60" s="1026" t="str">
        <f>IF(DH60="","",'#orgDung'!OY61)</f>
        <v/>
      </c>
      <c r="DJ60" s="1026" t="str">
        <f>IF(DH60="","",'#orgDung'!OZ61)</f>
        <v/>
      </c>
      <c r="DK60" s="1027" t="str">
        <f>IF(DH60="","",'#orgDung'!PB61)</f>
        <v/>
      </c>
      <c r="DL60" s="1025"/>
      <c r="DM60" s="1026" t="str">
        <f>IF(DL60="","",'#orgDung'!PN61)</f>
        <v/>
      </c>
      <c r="DN60" s="1026" t="str">
        <f>IF(DL60="","",'#orgDung'!PO61)</f>
        <v/>
      </c>
      <c r="DO60" s="1027" t="str">
        <f>IF(DL60="","",'#orgDung'!PQ61)</f>
        <v/>
      </c>
      <c r="DP60" s="1025"/>
      <c r="DQ60" s="1026" t="str">
        <f>IF(DP60="","",'#orgDung'!QC61)</f>
        <v/>
      </c>
      <c r="DR60" s="1026" t="str">
        <f>IF(DP60="","",'#orgDung'!QD61)</f>
        <v/>
      </c>
      <c r="DS60" s="1027" t="str">
        <f>IF(DP60="","",'#orgDung'!QF61)</f>
        <v/>
      </c>
      <c r="DT60" s="1025"/>
      <c r="DU60" s="1026" t="str">
        <f>IF(DT60="","",'#orgDung'!QR61)</f>
        <v/>
      </c>
      <c r="DV60" s="1026" t="str">
        <f>IF(DT60="","",'#orgDung'!QS61)</f>
        <v/>
      </c>
      <c r="DW60" s="1027" t="str">
        <f>IF(DT60="","",'#orgDung'!QU61)</f>
        <v/>
      </c>
      <c r="DX60" s="1025"/>
      <c r="DY60" s="1026" t="str">
        <f>IF(DX60="","",'#orgDung'!RG61)</f>
        <v/>
      </c>
      <c r="DZ60" s="1026" t="str">
        <f>IF(DX60="","",'#orgDung'!RH61)</f>
        <v/>
      </c>
      <c r="EA60" s="1027" t="str">
        <f>IF(DX60="","",'#orgDung'!RJ61)</f>
        <v/>
      </c>
    </row>
    <row r="61" spans="1:131" ht="15" customHeight="1" x14ac:dyDescent="0.2">
      <c r="A61" s="1195">
        <f>'Flächen u. Kulturen'!A58</f>
        <v>49</v>
      </c>
      <c r="B61" s="1195" t="str">
        <f>IF('Flächen u. Kulturen'!B58="","",'Flächen u. Kulturen'!B58)</f>
        <v/>
      </c>
      <c r="C61" s="1196" t="str">
        <f>IF('Flächen u. Kulturen'!D58="","",'Flächen u. Kulturen'!D58)</f>
        <v/>
      </c>
      <c r="D61" s="1197" t="str">
        <f>IF(C61="","",IF('#BerechnungDBE'!Q53&lt;4,"x",""))</f>
        <v/>
      </c>
      <c r="E61" s="1198" t="str">
        <f>IF(C61="","",VLOOKUP('Flächen u. Kulturen'!L58,'#Zweitfr'!$D$8:$F$28,'#Zweitfr'!$F$1,FALSE))</f>
        <v/>
      </c>
      <c r="F61" s="1199" t="str">
        <f>IF(C61="","",IF('Flächen u. Kulturen'!E58="x",'Flächen u. Kulturen'!P58,"nicht im Betrieb"))</f>
        <v/>
      </c>
      <c r="G61" s="1200" t="str">
        <f>IF(C61="","",IF('#orgDung'!C62=2,"--",IF('#Kürzungen'!$F$2=2,"--",'#orgDung'!R62)))</f>
        <v/>
      </c>
      <c r="H61" s="1200" t="str">
        <f>IF(C61="","",'#orgDung'!U62)</f>
        <v/>
      </c>
      <c r="I61" s="1201" t="str">
        <f>IF(C61="","",IF(COUNT('#orgDung'!RS62:SA62)=0,"OK",TRIM(CONCATENATE('#orgDung'!RS62," ",'#orgDung'!RT62," ",'#orgDung'!RU62," ",'#orgDung'!RV62," ",'#orgDung'!RW62," ",'#orgDung'!RX62," ",'#orgDung'!RY62," ",'#orgDung'!RZ62," ",'#orgDung'!SA62))))</f>
        <v/>
      </c>
      <c r="J61" s="1023"/>
      <c r="K61" s="1024"/>
      <c r="L61" s="1025"/>
      <c r="M61" s="1026" t="str">
        <f>IF(L61="","",'#orgDung'!AN62)</f>
        <v/>
      </c>
      <c r="N61" s="1026" t="str">
        <f>IF(L61="","",'#orgDung'!AO62)</f>
        <v/>
      </c>
      <c r="O61" s="1027" t="str">
        <f>IF(L61="","",'#orgDung'!AQ62)</f>
        <v/>
      </c>
      <c r="P61" s="1025"/>
      <c r="Q61" s="1026" t="str">
        <f>IF(P61="","",'#orgDung'!BC62)</f>
        <v/>
      </c>
      <c r="R61" s="1026" t="str">
        <f>IF(P61="","",'#orgDung'!BD62)</f>
        <v/>
      </c>
      <c r="S61" s="1027" t="str">
        <f>IF(P61="","",'#orgDung'!BF62)</f>
        <v/>
      </c>
      <c r="T61" s="1025"/>
      <c r="U61" s="1026" t="str">
        <f>IF(T61="","",'#orgDung'!BR62)</f>
        <v/>
      </c>
      <c r="V61" s="1026" t="str">
        <f>IF(T61="","",'#orgDung'!BS62)</f>
        <v/>
      </c>
      <c r="W61" s="1027" t="str">
        <f>IF(T61="","",'#orgDung'!BU62)</f>
        <v/>
      </c>
      <c r="X61" s="1025"/>
      <c r="Y61" s="1026" t="str">
        <f>IF(X61="","",'#orgDung'!CG62)</f>
        <v/>
      </c>
      <c r="Z61" s="1026" t="str">
        <f>IF(X61="","",'#orgDung'!CH62)</f>
        <v/>
      </c>
      <c r="AA61" s="1027" t="str">
        <f>IF(X61="","",'#orgDung'!CJ62)</f>
        <v/>
      </c>
      <c r="AB61" s="1025"/>
      <c r="AC61" s="1026" t="str">
        <f>IF(AB61="","",'#orgDung'!CV62)</f>
        <v/>
      </c>
      <c r="AD61" s="1026" t="str">
        <f>IF(AB61="","",'#orgDung'!CW62)</f>
        <v/>
      </c>
      <c r="AE61" s="1027" t="str">
        <f>IF(AB61="","",'#orgDung'!CY62)</f>
        <v/>
      </c>
      <c r="AF61" s="1025"/>
      <c r="AG61" s="1026" t="str">
        <f>IF(AF61="","",'#orgDung'!DK62)</f>
        <v/>
      </c>
      <c r="AH61" s="1026" t="str">
        <f>IF(AF61="","",'#orgDung'!DL62)</f>
        <v/>
      </c>
      <c r="AI61" s="1027" t="str">
        <f>IF(AF61="","",'#orgDung'!DN62)</f>
        <v/>
      </c>
      <c r="AJ61" s="1025"/>
      <c r="AK61" s="1026" t="str">
        <f>IF(AJ61="","",'#orgDung'!DZ62)</f>
        <v/>
      </c>
      <c r="AL61" s="1026" t="str">
        <f>IF(AJ61="","",'#orgDung'!EA62)</f>
        <v/>
      </c>
      <c r="AM61" s="1027" t="str">
        <f>IF(AJ61="","",'#orgDung'!EC62)</f>
        <v/>
      </c>
      <c r="AN61" s="1025"/>
      <c r="AO61" s="1026" t="str">
        <f>IF(AN61="","",'#orgDung'!EO62)</f>
        <v/>
      </c>
      <c r="AP61" s="1026" t="str">
        <f>IF(AN61="","",'#orgDung'!EP62)</f>
        <v/>
      </c>
      <c r="AQ61" s="1027" t="str">
        <f>IF(AN61="","",'#orgDung'!ER62)</f>
        <v/>
      </c>
      <c r="AR61" s="1025"/>
      <c r="AS61" s="1026" t="str">
        <f>IF(AR61="","",'#orgDung'!FD62)</f>
        <v/>
      </c>
      <c r="AT61" s="1026" t="str">
        <f>IF(AR61="","",'#orgDung'!FE62)</f>
        <v/>
      </c>
      <c r="AU61" s="1027" t="str">
        <f>IF(AR61="","",'#orgDung'!FG62)</f>
        <v/>
      </c>
      <c r="AV61" s="1025"/>
      <c r="AW61" s="1026" t="str">
        <f>IF(AV61="","",'#orgDung'!FS62)</f>
        <v/>
      </c>
      <c r="AX61" s="1026" t="str">
        <f>IF(AV61="","",'#orgDung'!FT62)</f>
        <v/>
      </c>
      <c r="AY61" s="1027" t="str">
        <f>IF(AV61="","",'#orgDung'!FV62)</f>
        <v/>
      </c>
      <c r="AZ61" s="1025"/>
      <c r="BA61" s="1026" t="str">
        <f>IF(AZ61="","",'#orgDung'!GH62)</f>
        <v/>
      </c>
      <c r="BB61" s="1026" t="str">
        <f>IF(AZ61="","",'#orgDung'!GI62)</f>
        <v/>
      </c>
      <c r="BC61" s="1027" t="str">
        <f>IF(AZ61="","",'#orgDung'!GK62)</f>
        <v/>
      </c>
      <c r="BD61" s="1025"/>
      <c r="BE61" s="1026" t="str">
        <f>IF(BD61="","",'#orgDung'!GW62)</f>
        <v/>
      </c>
      <c r="BF61" s="1026" t="str">
        <f>IF(BD61="","",'#orgDung'!GX62)</f>
        <v/>
      </c>
      <c r="BG61" s="1027" t="str">
        <f>IF(BD61="","",'#orgDung'!GZ62)</f>
        <v/>
      </c>
      <c r="BH61" s="1025"/>
      <c r="BI61" s="1026" t="str">
        <f>IF(BH61="","",'#orgDung'!HL62)</f>
        <v/>
      </c>
      <c r="BJ61" s="1026" t="str">
        <f>IF(BH61="","",'#orgDung'!HM62)</f>
        <v/>
      </c>
      <c r="BK61" s="1027" t="str">
        <f>IF(BH61="","",'#orgDung'!HO62)</f>
        <v/>
      </c>
      <c r="BL61" s="1025"/>
      <c r="BM61" s="1026" t="str">
        <f>IF(BL61="","",'#orgDung'!IA62)</f>
        <v/>
      </c>
      <c r="BN61" s="1026" t="str">
        <f>IF(BL61="","",'#orgDung'!IB62)</f>
        <v/>
      </c>
      <c r="BO61" s="1027" t="str">
        <f>IF(BL61="","",'#orgDung'!ID62)</f>
        <v/>
      </c>
      <c r="BP61" s="1025"/>
      <c r="BQ61" s="1026" t="str">
        <f>IF(BP61="","",'#orgDung'!IP62)</f>
        <v/>
      </c>
      <c r="BR61" s="1026" t="str">
        <f>IF(BP61="","",'#orgDung'!IQ62)</f>
        <v/>
      </c>
      <c r="BS61" s="1027" t="str">
        <f>IF(BP61="","",'#orgDung'!IS62)</f>
        <v/>
      </c>
      <c r="BT61" s="1025"/>
      <c r="BU61" s="1026" t="str">
        <f>IF(BT61="","",'#orgDung'!JE62)</f>
        <v/>
      </c>
      <c r="BV61" s="1026" t="str">
        <f>IF(BT61="","",'#orgDung'!JF62)</f>
        <v/>
      </c>
      <c r="BW61" s="1027" t="str">
        <f>IF(BT61="","",'#orgDung'!JH62)</f>
        <v/>
      </c>
      <c r="BX61" s="1025"/>
      <c r="BY61" s="1026" t="str">
        <f>IF(BX61="","",'#orgDung'!JT62)</f>
        <v/>
      </c>
      <c r="BZ61" s="1026" t="str">
        <f>IF(BX61="","",'#orgDung'!JU62)</f>
        <v/>
      </c>
      <c r="CA61" s="1027" t="str">
        <f>IF(BX61="","",'#orgDung'!JW62)</f>
        <v/>
      </c>
      <c r="CB61" s="1025"/>
      <c r="CC61" s="1026" t="str">
        <f>IF(CB61="","",'#orgDung'!KI62)</f>
        <v/>
      </c>
      <c r="CD61" s="1026" t="str">
        <f>IF(CB61="","",'#orgDung'!KJ62)</f>
        <v/>
      </c>
      <c r="CE61" s="1027" t="str">
        <f>IF(CB61="","",'#orgDung'!KL62)</f>
        <v/>
      </c>
      <c r="CF61" s="1025"/>
      <c r="CG61" s="1026" t="str">
        <f>IF(CF61="","",'#orgDung'!KX62)</f>
        <v/>
      </c>
      <c r="CH61" s="1026" t="str">
        <f>IF(CF61="","",'#orgDung'!KY62)</f>
        <v/>
      </c>
      <c r="CI61" s="1027" t="str">
        <f>IF(CF61="","",'#orgDung'!LA62)</f>
        <v/>
      </c>
      <c r="CJ61" s="1025"/>
      <c r="CK61" s="1026" t="str">
        <f>IF(CJ61="","",'#orgDung'!LM62)</f>
        <v/>
      </c>
      <c r="CL61" s="1026" t="str">
        <f>IF(CJ61="","",'#orgDung'!LN62)</f>
        <v/>
      </c>
      <c r="CM61" s="1027" t="str">
        <f>IF(CJ61="","",'#orgDung'!LP62)</f>
        <v/>
      </c>
      <c r="CN61" s="1025"/>
      <c r="CO61" s="1026" t="str">
        <f>IF(CN61="","",'#orgDung'!MB62)</f>
        <v/>
      </c>
      <c r="CP61" s="1026" t="str">
        <f>IF(CN61="","",'#orgDung'!MC62)</f>
        <v/>
      </c>
      <c r="CQ61" s="1027" t="str">
        <f>IF(CN61="","",'#orgDung'!ME62)</f>
        <v/>
      </c>
      <c r="CR61" s="1025"/>
      <c r="CS61" s="1026" t="str">
        <f>IF(CR61="","",'#orgDung'!MQ62)</f>
        <v/>
      </c>
      <c r="CT61" s="1026" t="str">
        <f>IF(CR61="","",'#orgDung'!MR62)</f>
        <v/>
      </c>
      <c r="CU61" s="1027" t="str">
        <f>IF(CR61="","",'#orgDung'!MT62)</f>
        <v/>
      </c>
      <c r="CV61" s="1025"/>
      <c r="CW61" s="1026" t="str">
        <f>IF(CV61="","",'#orgDung'!NF62)</f>
        <v/>
      </c>
      <c r="CX61" s="1026" t="str">
        <f>IF(CV61="","",'#orgDung'!NG62)</f>
        <v/>
      </c>
      <c r="CY61" s="1027" t="str">
        <f>IF(CV61="","",'#orgDung'!NI62)</f>
        <v/>
      </c>
      <c r="CZ61" s="1025"/>
      <c r="DA61" s="1026" t="str">
        <f>IF(CZ61="","",'#orgDung'!NU62)</f>
        <v/>
      </c>
      <c r="DB61" s="1026" t="str">
        <f>IF(CZ61="","",'#orgDung'!NV62)</f>
        <v/>
      </c>
      <c r="DC61" s="1027" t="str">
        <f>IF(CZ61="","",'#orgDung'!NX62)</f>
        <v/>
      </c>
      <c r="DD61" s="1025"/>
      <c r="DE61" s="1026" t="str">
        <f>IF(DD61="","",'#orgDung'!OJ62)</f>
        <v/>
      </c>
      <c r="DF61" s="1026" t="str">
        <f>IF(DD61="","",'#orgDung'!OK62)</f>
        <v/>
      </c>
      <c r="DG61" s="1027" t="str">
        <f>IF(DD61="","",'#orgDung'!OM62)</f>
        <v/>
      </c>
      <c r="DH61" s="1025"/>
      <c r="DI61" s="1026" t="str">
        <f>IF(DH61="","",'#orgDung'!OY62)</f>
        <v/>
      </c>
      <c r="DJ61" s="1026" t="str">
        <f>IF(DH61="","",'#orgDung'!OZ62)</f>
        <v/>
      </c>
      <c r="DK61" s="1027" t="str">
        <f>IF(DH61="","",'#orgDung'!PB62)</f>
        <v/>
      </c>
      <c r="DL61" s="1025"/>
      <c r="DM61" s="1026" t="str">
        <f>IF(DL61="","",'#orgDung'!PN62)</f>
        <v/>
      </c>
      <c r="DN61" s="1026" t="str">
        <f>IF(DL61="","",'#orgDung'!PO62)</f>
        <v/>
      </c>
      <c r="DO61" s="1027" t="str">
        <f>IF(DL61="","",'#orgDung'!PQ62)</f>
        <v/>
      </c>
      <c r="DP61" s="1025"/>
      <c r="DQ61" s="1026" t="str">
        <f>IF(DP61="","",'#orgDung'!QC62)</f>
        <v/>
      </c>
      <c r="DR61" s="1026" t="str">
        <f>IF(DP61="","",'#orgDung'!QD62)</f>
        <v/>
      </c>
      <c r="DS61" s="1027" t="str">
        <f>IF(DP61="","",'#orgDung'!QF62)</f>
        <v/>
      </c>
      <c r="DT61" s="1025"/>
      <c r="DU61" s="1026" t="str">
        <f>IF(DT61="","",'#orgDung'!QR62)</f>
        <v/>
      </c>
      <c r="DV61" s="1026" t="str">
        <f>IF(DT61="","",'#orgDung'!QS62)</f>
        <v/>
      </c>
      <c r="DW61" s="1027" t="str">
        <f>IF(DT61="","",'#orgDung'!QU62)</f>
        <v/>
      </c>
      <c r="DX61" s="1025"/>
      <c r="DY61" s="1026" t="str">
        <f>IF(DX61="","",'#orgDung'!RG62)</f>
        <v/>
      </c>
      <c r="DZ61" s="1026" t="str">
        <f>IF(DX61="","",'#orgDung'!RH62)</f>
        <v/>
      </c>
      <c r="EA61" s="1027" t="str">
        <f>IF(DX61="","",'#orgDung'!RJ62)</f>
        <v/>
      </c>
    </row>
    <row r="62" spans="1:131" ht="15" customHeight="1" x14ac:dyDescent="0.2">
      <c r="A62" s="1195">
        <f>'Flächen u. Kulturen'!A59</f>
        <v>50</v>
      </c>
      <c r="B62" s="1195" t="str">
        <f>IF('Flächen u. Kulturen'!B59="","",'Flächen u. Kulturen'!B59)</f>
        <v/>
      </c>
      <c r="C62" s="1196" t="str">
        <f>IF('Flächen u. Kulturen'!D59="","",'Flächen u. Kulturen'!D59)</f>
        <v/>
      </c>
      <c r="D62" s="1197" t="str">
        <f>IF(C62="","",IF('#BerechnungDBE'!Q54&lt;4,"x",""))</f>
        <v/>
      </c>
      <c r="E62" s="1198" t="str">
        <f>IF(C62="","",VLOOKUP('Flächen u. Kulturen'!L59,'#Zweitfr'!$D$8:$F$28,'#Zweitfr'!$F$1,FALSE))</f>
        <v/>
      </c>
      <c r="F62" s="1199" t="str">
        <f>IF(C62="","",IF('Flächen u. Kulturen'!E59="x",'Flächen u. Kulturen'!P59,"nicht im Betrieb"))</f>
        <v/>
      </c>
      <c r="G62" s="1200" t="str">
        <f>IF(C62="","",IF('#orgDung'!C63=2,"--",IF('#Kürzungen'!$F$2=2,"--",'#orgDung'!R63)))</f>
        <v/>
      </c>
      <c r="H62" s="1200" t="str">
        <f>IF(C62="","",'#orgDung'!U63)</f>
        <v/>
      </c>
      <c r="I62" s="1201" t="str">
        <f>IF(C62="","",IF(COUNT('#orgDung'!RS63:SA63)=0,"OK",TRIM(CONCATENATE('#orgDung'!RS63," ",'#orgDung'!RT63," ",'#orgDung'!RU63," ",'#orgDung'!RV63," ",'#orgDung'!RW63," ",'#orgDung'!RX63," ",'#orgDung'!RY63," ",'#orgDung'!RZ63," ",'#orgDung'!SA63))))</f>
        <v/>
      </c>
      <c r="J62" s="1023"/>
      <c r="K62" s="1024"/>
      <c r="L62" s="1025"/>
      <c r="M62" s="1026" t="str">
        <f>IF(L62="","",'#orgDung'!AN63)</f>
        <v/>
      </c>
      <c r="N62" s="1026" t="str">
        <f>IF(L62="","",'#orgDung'!AO63)</f>
        <v/>
      </c>
      <c r="O62" s="1027" t="str">
        <f>IF(L62="","",'#orgDung'!AQ63)</f>
        <v/>
      </c>
      <c r="P62" s="1025"/>
      <c r="Q62" s="1026" t="str">
        <f>IF(P62="","",'#orgDung'!BC63)</f>
        <v/>
      </c>
      <c r="R62" s="1026" t="str">
        <f>IF(P62="","",'#orgDung'!BD63)</f>
        <v/>
      </c>
      <c r="S62" s="1027" t="str">
        <f>IF(P62="","",'#orgDung'!BF63)</f>
        <v/>
      </c>
      <c r="T62" s="1025"/>
      <c r="U62" s="1026" t="str">
        <f>IF(T62="","",'#orgDung'!BR63)</f>
        <v/>
      </c>
      <c r="V62" s="1026" t="str">
        <f>IF(T62="","",'#orgDung'!BS63)</f>
        <v/>
      </c>
      <c r="W62" s="1027" t="str">
        <f>IF(T62="","",'#orgDung'!BU63)</f>
        <v/>
      </c>
      <c r="X62" s="1025"/>
      <c r="Y62" s="1026" t="str">
        <f>IF(X62="","",'#orgDung'!CG63)</f>
        <v/>
      </c>
      <c r="Z62" s="1026" t="str">
        <f>IF(X62="","",'#orgDung'!CH63)</f>
        <v/>
      </c>
      <c r="AA62" s="1027" t="str">
        <f>IF(X62="","",'#orgDung'!CJ63)</f>
        <v/>
      </c>
      <c r="AB62" s="1025"/>
      <c r="AC62" s="1026" t="str">
        <f>IF(AB62="","",'#orgDung'!CV63)</f>
        <v/>
      </c>
      <c r="AD62" s="1026" t="str">
        <f>IF(AB62="","",'#orgDung'!CW63)</f>
        <v/>
      </c>
      <c r="AE62" s="1027" t="str">
        <f>IF(AB62="","",'#orgDung'!CY63)</f>
        <v/>
      </c>
      <c r="AF62" s="1025"/>
      <c r="AG62" s="1026" t="str">
        <f>IF(AF62="","",'#orgDung'!DK63)</f>
        <v/>
      </c>
      <c r="AH62" s="1026" t="str">
        <f>IF(AF62="","",'#orgDung'!DL63)</f>
        <v/>
      </c>
      <c r="AI62" s="1027" t="str">
        <f>IF(AF62="","",'#orgDung'!DN63)</f>
        <v/>
      </c>
      <c r="AJ62" s="1025"/>
      <c r="AK62" s="1026" t="str">
        <f>IF(AJ62="","",'#orgDung'!DZ63)</f>
        <v/>
      </c>
      <c r="AL62" s="1026" t="str">
        <f>IF(AJ62="","",'#orgDung'!EA63)</f>
        <v/>
      </c>
      <c r="AM62" s="1027" t="str">
        <f>IF(AJ62="","",'#orgDung'!EC63)</f>
        <v/>
      </c>
      <c r="AN62" s="1025"/>
      <c r="AO62" s="1026" t="str">
        <f>IF(AN62="","",'#orgDung'!EO63)</f>
        <v/>
      </c>
      <c r="AP62" s="1026" t="str">
        <f>IF(AN62="","",'#orgDung'!EP63)</f>
        <v/>
      </c>
      <c r="AQ62" s="1027" t="str">
        <f>IF(AN62="","",'#orgDung'!ER63)</f>
        <v/>
      </c>
      <c r="AR62" s="1025"/>
      <c r="AS62" s="1026" t="str">
        <f>IF(AR62="","",'#orgDung'!FD63)</f>
        <v/>
      </c>
      <c r="AT62" s="1026" t="str">
        <f>IF(AR62="","",'#orgDung'!FE63)</f>
        <v/>
      </c>
      <c r="AU62" s="1027" t="str">
        <f>IF(AR62="","",'#orgDung'!FG63)</f>
        <v/>
      </c>
      <c r="AV62" s="1025"/>
      <c r="AW62" s="1026" t="str">
        <f>IF(AV62="","",'#orgDung'!FS63)</f>
        <v/>
      </c>
      <c r="AX62" s="1026" t="str">
        <f>IF(AV62="","",'#orgDung'!FT63)</f>
        <v/>
      </c>
      <c r="AY62" s="1027" t="str">
        <f>IF(AV62="","",'#orgDung'!FV63)</f>
        <v/>
      </c>
      <c r="AZ62" s="1025"/>
      <c r="BA62" s="1026" t="str">
        <f>IF(AZ62="","",'#orgDung'!GH63)</f>
        <v/>
      </c>
      <c r="BB62" s="1026" t="str">
        <f>IF(AZ62="","",'#orgDung'!GI63)</f>
        <v/>
      </c>
      <c r="BC62" s="1027" t="str">
        <f>IF(AZ62="","",'#orgDung'!GK63)</f>
        <v/>
      </c>
      <c r="BD62" s="1025"/>
      <c r="BE62" s="1026" t="str">
        <f>IF(BD62="","",'#orgDung'!GW63)</f>
        <v/>
      </c>
      <c r="BF62" s="1026" t="str">
        <f>IF(BD62="","",'#orgDung'!GX63)</f>
        <v/>
      </c>
      <c r="BG62" s="1027" t="str">
        <f>IF(BD62="","",'#orgDung'!GZ63)</f>
        <v/>
      </c>
      <c r="BH62" s="1025"/>
      <c r="BI62" s="1026" t="str">
        <f>IF(BH62="","",'#orgDung'!HL63)</f>
        <v/>
      </c>
      <c r="BJ62" s="1026" t="str">
        <f>IF(BH62="","",'#orgDung'!HM63)</f>
        <v/>
      </c>
      <c r="BK62" s="1027" t="str">
        <f>IF(BH62="","",'#orgDung'!HO63)</f>
        <v/>
      </c>
      <c r="BL62" s="1025"/>
      <c r="BM62" s="1026" t="str">
        <f>IF(BL62="","",'#orgDung'!IA63)</f>
        <v/>
      </c>
      <c r="BN62" s="1026" t="str">
        <f>IF(BL62="","",'#orgDung'!IB63)</f>
        <v/>
      </c>
      <c r="BO62" s="1027" t="str">
        <f>IF(BL62="","",'#orgDung'!ID63)</f>
        <v/>
      </c>
      <c r="BP62" s="1025"/>
      <c r="BQ62" s="1026" t="str">
        <f>IF(BP62="","",'#orgDung'!IP63)</f>
        <v/>
      </c>
      <c r="BR62" s="1026" t="str">
        <f>IF(BP62="","",'#orgDung'!IQ63)</f>
        <v/>
      </c>
      <c r="BS62" s="1027" t="str">
        <f>IF(BP62="","",'#orgDung'!IS63)</f>
        <v/>
      </c>
      <c r="BT62" s="1025"/>
      <c r="BU62" s="1026" t="str">
        <f>IF(BT62="","",'#orgDung'!JE63)</f>
        <v/>
      </c>
      <c r="BV62" s="1026" t="str">
        <f>IF(BT62="","",'#orgDung'!JF63)</f>
        <v/>
      </c>
      <c r="BW62" s="1027" t="str">
        <f>IF(BT62="","",'#orgDung'!JH63)</f>
        <v/>
      </c>
      <c r="BX62" s="1025"/>
      <c r="BY62" s="1026" t="str">
        <f>IF(BX62="","",'#orgDung'!JT63)</f>
        <v/>
      </c>
      <c r="BZ62" s="1026" t="str">
        <f>IF(BX62="","",'#orgDung'!JU63)</f>
        <v/>
      </c>
      <c r="CA62" s="1027" t="str">
        <f>IF(BX62="","",'#orgDung'!JW63)</f>
        <v/>
      </c>
      <c r="CB62" s="1025"/>
      <c r="CC62" s="1026" t="str">
        <f>IF(CB62="","",'#orgDung'!KI63)</f>
        <v/>
      </c>
      <c r="CD62" s="1026" t="str">
        <f>IF(CB62="","",'#orgDung'!KJ63)</f>
        <v/>
      </c>
      <c r="CE62" s="1027" t="str">
        <f>IF(CB62="","",'#orgDung'!KL63)</f>
        <v/>
      </c>
      <c r="CF62" s="1025"/>
      <c r="CG62" s="1026" t="str">
        <f>IF(CF62="","",'#orgDung'!KX63)</f>
        <v/>
      </c>
      <c r="CH62" s="1026" t="str">
        <f>IF(CF62="","",'#orgDung'!KY63)</f>
        <v/>
      </c>
      <c r="CI62" s="1027" t="str">
        <f>IF(CF62="","",'#orgDung'!LA63)</f>
        <v/>
      </c>
      <c r="CJ62" s="1025"/>
      <c r="CK62" s="1026" t="str">
        <f>IF(CJ62="","",'#orgDung'!LM63)</f>
        <v/>
      </c>
      <c r="CL62" s="1026" t="str">
        <f>IF(CJ62="","",'#orgDung'!LN63)</f>
        <v/>
      </c>
      <c r="CM62" s="1027" t="str">
        <f>IF(CJ62="","",'#orgDung'!LP63)</f>
        <v/>
      </c>
      <c r="CN62" s="1025"/>
      <c r="CO62" s="1026" t="str">
        <f>IF(CN62="","",'#orgDung'!MB63)</f>
        <v/>
      </c>
      <c r="CP62" s="1026" t="str">
        <f>IF(CN62="","",'#orgDung'!MC63)</f>
        <v/>
      </c>
      <c r="CQ62" s="1027" t="str">
        <f>IF(CN62="","",'#orgDung'!ME63)</f>
        <v/>
      </c>
      <c r="CR62" s="1025"/>
      <c r="CS62" s="1026" t="str">
        <f>IF(CR62="","",'#orgDung'!MQ63)</f>
        <v/>
      </c>
      <c r="CT62" s="1026" t="str">
        <f>IF(CR62="","",'#orgDung'!MR63)</f>
        <v/>
      </c>
      <c r="CU62" s="1027" t="str">
        <f>IF(CR62="","",'#orgDung'!MT63)</f>
        <v/>
      </c>
      <c r="CV62" s="1025"/>
      <c r="CW62" s="1026" t="str">
        <f>IF(CV62="","",'#orgDung'!NF63)</f>
        <v/>
      </c>
      <c r="CX62" s="1026" t="str">
        <f>IF(CV62="","",'#orgDung'!NG63)</f>
        <v/>
      </c>
      <c r="CY62" s="1027" t="str">
        <f>IF(CV62="","",'#orgDung'!NI63)</f>
        <v/>
      </c>
      <c r="CZ62" s="1025"/>
      <c r="DA62" s="1026" t="str">
        <f>IF(CZ62="","",'#orgDung'!NU63)</f>
        <v/>
      </c>
      <c r="DB62" s="1026" t="str">
        <f>IF(CZ62="","",'#orgDung'!NV63)</f>
        <v/>
      </c>
      <c r="DC62" s="1027" t="str">
        <f>IF(CZ62="","",'#orgDung'!NX63)</f>
        <v/>
      </c>
      <c r="DD62" s="1025"/>
      <c r="DE62" s="1026" t="str">
        <f>IF(DD62="","",'#orgDung'!OJ63)</f>
        <v/>
      </c>
      <c r="DF62" s="1026" t="str">
        <f>IF(DD62="","",'#orgDung'!OK63)</f>
        <v/>
      </c>
      <c r="DG62" s="1027" t="str">
        <f>IF(DD62="","",'#orgDung'!OM63)</f>
        <v/>
      </c>
      <c r="DH62" s="1025"/>
      <c r="DI62" s="1026" t="str">
        <f>IF(DH62="","",'#orgDung'!OY63)</f>
        <v/>
      </c>
      <c r="DJ62" s="1026" t="str">
        <f>IF(DH62="","",'#orgDung'!OZ63)</f>
        <v/>
      </c>
      <c r="DK62" s="1027" t="str">
        <f>IF(DH62="","",'#orgDung'!PB63)</f>
        <v/>
      </c>
      <c r="DL62" s="1025"/>
      <c r="DM62" s="1026" t="str">
        <f>IF(DL62="","",'#orgDung'!PN63)</f>
        <v/>
      </c>
      <c r="DN62" s="1026" t="str">
        <f>IF(DL62="","",'#orgDung'!PO63)</f>
        <v/>
      </c>
      <c r="DO62" s="1027" t="str">
        <f>IF(DL62="","",'#orgDung'!PQ63)</f>
        <v/>
      </c>
      <c r="DP62" s="1025"/>
      <c r="DQ62" s="1026" t="str">
        <f>IF(DP62="","",'#orgDung'!QC63)</f>
        <v/>
      </c>
      <c r="DR62" s="1026" t="str">
        <f>IF(DP62="","",'#orgDung'!QD63)</f>
        <v/>
      </c>
      <c r="DS62" s="1027" t="str">
        <f>IF(DP62="","",'#orgDung'!QF63)</f>
        <v/>
      </c>
      <c r="DT62" s="1025"/>
      <c r="DU62" s="1026" t="str">
        <f>IF(DT62="","",'#orgDung'!QR63)</f>
        <v/>
      </c>
      <c r="DV62" s="1026" t="str">
        <f>IF(DT62="","",'#orgDung'!QS63)</f>
        <v/>
      </c>
      <c r="DW62" s="1027" t="str">
        <f>IF(DT62="","",'#orgDung'!QU63)</f>
        <v/>
      </c>
      <c r="DX62" s="1025"/>
      <c r="DY62" s="1026" t="str">
        <f>IF(DX62="","",'#orgDung'!RG63)</f>
        <v/>
      </c>
      <c r="DZ62" s="1026" t="str">
        <f>IF(DX62="","",'#orgDung'!RH63)</f>
        <v/>
      </c>
      <c r="EA62" s="1027" t="str">
        <f>IF(DX62="","",'#orgDung'!RJ63)</f>
        <v/>
      </c>
    </row>
    <row r="63" spans="1:131" ht="15" customHeight="1" x14ac:dyDescent="0.2">
      <c r="A63" s="1195">
        <f>'Flächen u. Kulturen'!A60</f>
        <v>51</v>
      </c>
      <c r="B63" s="1195" t="str">
        <f>IF('Flächen u. Kulturen'!B60="","",'Flächen u. Kulturen'!B60)</f>
        <v/>
      </c>
      <c r="C63" s="1196" t="str">
        <f>IF('Flächen u. Kulturen'!D60="","",'Flächen u. Kulturen'!D60)</f>
        <v/>
      </c>
      <c r="D63" s="1197" t="str">
        <f>IF(C63="","",IF('#BerechnungDBE'!Q55&lt;4,"x",""))</f>
        <v/>
      </c>
      <c r="E63" s="1198" t="str">
        <f>IF(C63="","",VLOOKUP('Flächen u. Kulturen'!L60,'#Zweitfr'!$D$8:$F$28,'#Zweitfr'!$F$1,FALSE))</f>
        <v/>
      </c>
      <c r="F63" s="1199" t="str">
        <f>IF(C63="","",IF('Flächen u. Kulturen'!E60="x",'Flächen u. Kulturen'!P60,"nicht im Betrieb"))</f>
        <v/>
      </c>
      <c r="G63" s="1200" t="str">
        <f>IF(C63="","",IF('#orgDung'!C64=2,"--",IF('#Kürzungen'!$F$2=2,"--",'#orgDung'!R64)))</f>
        <v/>
      </c>
      <c r="H63" s="1200" t="str">
        <f>IF(C63="","",'#orgDung'!U64)</f>
        <v/>
      </c>
      <c r="I63" s="1201" t="str">
        <f>IF(C63="","",IF(COUNT('#orgDung'!RS64:SA64)=0,"OK",TRIM(CONCATENATE('#orgDung'!RS64," ",'#orgDung'!RT64," ",'#orgDung'!RU64," ",'#orgDung'!RV64," ",'#orgDung'!RW64," ",'#orgDung'!RX64," ",'#orgDung'!RY64," ",'#orgDung'!RZ64," ",'#orgDung'!SA64))))</f>
        <v/>
      </c>
      <c r="J63" s="1023"/>
      <c r="K63" s="1024"/>
      <c r="L63" s="1025"/>
      <c r="M63" s="1026" t="str">
        <f>IF(L63="","",'#orgDung'!AN64)</f>
        <v/>
      </c>
      <c r="N63" s="1026" t="str">
        <f>IF(L63="","",'#orgDung'!AO64)</f>
        <v/>
      </c>
      <c r="O63" s="1027" t="str">
        <f>IF(L63="","",'#orgDung'!AQ64)</f>
        <v/>
      </c>
      <c r="P63" s="1025"/>
      <c r="Q63" s="1026" t="str">
        <f>IF(P63="","",'#orgDung'!BC64)</f>
        <v/>
      </c>
      <c r="R63" s="1026" t="str">
        <f>IF(P63="","",'#orgDung'!BD64)</f>
        <v/>
      </c>
      <c r="S63" s="1027" t="str">
        <f>IF(P63="","",'#orgDung'!BF64)</f>
        <v/>
      </c>
      <c r="T63" s="1025"/>
      <c r="U63" s="1026" t="str">
        <f>IF(T63="","",'#orgDung'!BR64)</f>
        <v/>
      </c>
      <c r="V63" s="1026" t="str">
        <f>IF(T63="","",'#orgDung'!BS64)</f>
        <v/>
      </c>
      <c r="W63" s="1027" t="str">
        <f>IF(T63="","",'#orgDung'!BU64)</f>
        <v/>
      </c>
      <c r="X63" s="1025"/>
      <c r="Y63" s="1026" t="str">
        <f>IF(X63="","",'#orgDung'!CG64)</f>
        <v/>
      </c>
      <c r="Z63" s="1026" t="str">
        <f>IF(X63="","",'#orgDung'!CH64)</f>
        <v/>
      </c>
      <c r="AA63" s="1027" t="str">
        <f>IF(X63="","",'#orgDung'!CJ64)</f>
        <v/>
      </c>
      <c r="AB63" s="1025"/>
      <c r="AC63" s="1026" t="str">
        <f>IF(AB63="","",'#orgDung'!CV64)</f>
        <v/>
      </c>
      <c r="AD63" s="1026" t="str">
        <f>IF(AB63="","",'#orgDung'!CW64)</f>
        <v/>
      </c>
      <c r="AE63" s="1027" t="str">
        <f>IF(AB63="","",'#orgDung'!CY64)</f>
        <v/>
      </c>
      <c r="AF63" s="1025"/>
      <c r="AG63" s="1026" t="str">
        <f>IF(AF63="","",'#orgDung'!DK64)</f>
        <v/>
      </c>
      <c r="AH63" s="1026" t="str">
        <f>IF(AF63="","",'#orgDung'!DL64)</f>
        <v/>
      </c>
      <c r="AI63" s="1027" t="str">
        <f>IF(AF63="","",'#orgDung'!DN64)</f>
        <v/>
      </c>
      <c r="AJ63" s="1025"/>
      <c r="AK63" s="1026" t="str">
        <f>IF(AJ63="","",'#orgDung'!DZ64)</f>
        <v/>
      </c>
      <c r="AL63" s="1026" t="str">
        <f>IF(AJ63="","",'#orgDung'!EA64)</f>
        <v/>
      </c>
      <c r="AM63" s="1027" t="str">
        <f>IF(AJ63="","",'#orgDung'!EC64)</f>
        <v/>
      </c>
      <c r="AN63" s="1025"/>
      <c r="AO63" s="1026" t="str">
        <f>IF(AN63="","",'#orgDung'!EO64)</f>
        <v/>
      </c>
      <c r="AP63" s="1026" t="str">
        <f>IF(AN63="","",'#orgDung'!EP64)</f>
        <v/>
      </c>
      <c r="AQ63" s="1027" t="str">
        <f>IF(AN63="","",'#orgDung'!ER64)</f>
        <v/>
      </c>
      <c r="AR63" s="1025"/>
      <c r="AS63" s="1026" t="str">
        <f>IF(AR63="","",'#orgDung'!FD64)</f>
        <v/>
      </c>
      <c r="AT63" s="1026" t="str">
        <f>IF(AR63="","",'#orgDung'!FE64)</f>
        <v/>
      </c>
      <c r="AU63" s="1027" t="str">
        <f>IF(AR63="","",'#orgDung'!FG64)</f>
        <v/>
      </c>
      <c r="AV63" s="1025"/>
      <c r="AW63" s="1026" t="str">
        <f>IF(AV63="","",'#orgDung'!FS64)</f>
        <v/>
      </c>
      <c r="AX63" s="1026" t="str">
        <f>IF(AV63="","",'#orgDung'!FT64)</f>
        <v/>
      </c>
      <c r="AY63" s="1027" t="str">
        <f>IF(AV63="","",'#orgDung'!FV64)</f>
        <v/>
      </c>
      <c r="AZ63" s="1025"/>
      <c r="BA63" s="1026" t="str">
        <f>IF(AZ63="","",'#orgDung'!GH64)</f>
        <v/>
      </c>
      <c r="BB63" s="1026" t="str">
        <f>IF(AZ63="","",'#orgDung'!GI64)</f>
        <v/>
      </c>
      <c r="BC63" s="1027" t="str">
        <f>IF(AZ63="","",'#orgDung'!GK64)</f>
        <v/>
      </c>
      <c r="BD63" s="1025"/>
      <c r="BE63" s="1026" t="str">
        <f>IF(BD63="","",'#orgDung'!GW64)</f>
        <v/>
      </c>
      <c r="BF63" s="1026" t="str">
        <f>IF(BD63="","",'#orgDung'!GX64)</f>
        <v/>
      </c>
      <c r="BG63" s="1027" t="str">
        <f>IF(BD63="","",'#orgDung'!GZ64)</f>
        <v/>
      </c>
      <c r="BH63" s="1025"/>
      <c r="BI63" s="1026" t="str">
        <f>IF(BH63="","",'#orgDung'!HL64)</f>
        <v/>
      </c>
      <c r="BJ63" s="1026" t="str">
        <f>IF(BH63="","",'#orgDung'!HM64)</f>
        <v/>
      </c>
      <c r="BK63" s="1027" t="str">
        <f>IF(BH63="","",'#orgDung'!HO64)</f>
        <v/>
      </c>
      <c r="BL63" s="1025"/>
      <c r="BM63" s="1026" t="str">
        <f>IF(BL63="","",'#orgDung'!IA64)</f>
        <v/>
      </c>
      <c r="BN63" s="1026" t="str">
        <f>IF(BL63="","",'#orgDung'!IB64)</f>
        <v/>
      </c>
      <c r="BO63" s="1027" t="str">
        <f>IF(BL63="","",'#orgDung'!ID64)</f>
        <v/>
      </c>
      <c r="BP63" s="1025"/>
      <c r="BQ63" s="1026" t="str">
        <f>IF(BP63="","",'#orgDung'!IP64)</f>
        <v/>
      </c>
      <c r="BR63" s="1026" t="str">
        <f>IF(BP63="","",'#orgDung'!IQ64)</f>
        <v/>
      </c>
      <c r="BS63" s="1027" t="str">
        <f>IF(BP63="","",'#orgDung'!IS64)</f>
        <v/>
      </c>
      <c r="BT63" s="1025"/>
      <c r="BU63" s="1026" t="str">
        <f>IF(BT63="","",'#orgDung'!JE64)</f>
        <v/>
      </c>
      <c r="BV63" s="1026" t="str">
        <f>IF(BT63="","",'#orgDung'!JF64)</f>
        <v/>
      </c>
      <c r="BW63" s="1027" t="str">
        <f>IF(BT63="","",'#orgDung'!JH64)</f>
        <v/>
      </c>
      <c r="BX63" s="1025"/>
      <c r="BY63" s="1026" t="str">
        <f>IF(BX63="","",'#orgDung'!JT64)</f>
        <v/>
      </c>
      <c r="BZ63" s="1026" t="str">
        <f>IF(BX63="","",'#orgDung'!JU64)</f>
        <v/>
      </c>
      <c r="CA63" s="1027" t="str">
        <f>IF(BX63="","",'#orgDung'!JW64)</f>
        <v/>
      </c>
      <c r="CB63" s="1025"/>
      <c r="CC63" s="1026" t="str">
        <f>IF(CB63="","",'#orgDung'!KI64)</f>
        <v/>
      </c>
      <c r="CD63" s="1026" t="str">
        <f>IF(CB63="","",'#orgDung'!KJ64)</f>
        <v/>
      </c>
      <c r="CE63" s="1027" t="str">
        <f>IF(CB63="","",'#orgDung'!KL64)</f>
        <v/>
      </c>
      <c r="CF63" s="1025"/>
      <c r="CG63" s="1026" t="str">
        <f>IF(CF63="","",'#orgDung'!KX64)</f>
        <v/>
      </c>
      <c r="CH63" s="1026" t="str">
        <f>IF(CF63="","",'#orgDung'!KY64)</f>
        <v/>
      </c>
      <c r="CI63" s="1027" t="str">
        <f>IF(CF63="","",'#orgDung'!LA64)</f>
        <v/>
      </c>
      <c r="CJ63" s="1025"/>
      <c r="CK63" s="1026" t="str">
        <f>IF(CJ63="","",'#orgDung'!LM64)</f>
        <v/>
      </c>
      <c r="CL63" s="1026" t="str">
        <f>IF(CJ63="","",'#orgDung'!LN64)</f>
        <v/>
      </c>
      <c r="CM63" s="1027" t="str">
        <f>IF(CJ63="","",'#orgDung'!LP64)</f>
        <v/>
      </c>
      <c r="CN63" s="1025"/>
      <c r="CO63" s="1026" t="str">
        <f>IF(CN63="","",'#orgDung'!MB64)</f>
        <v/>
      </c>
      <c r="CP63" s="1026" t="str">
        <f>IF(CN63="","",'#orgDung'!MC64)</f>
        <v/>
      </c>
      <c r="CQ63" s="1027" t="str">
        <f>IF(CN63="","",'#orgDung'!ME64)</f>
        <v/>
      </c>
      <c r="CR63" s="1025"/>
      <c r="CS63" s="1026" t="str">
        <f>IF(CR63="","",'#orgDung'!MQ64)</f>
        <v/>
      </c>
      <c r="CT63" s="1026" t="str">
        <f>IF(CR63="","",'#orgDung'!MR64)</f>
        <v/>
      </c>
      <c r="CU63" s="1027" t="str">
        <f>IF(CR63="","",'#orgDung'!MT64)</f>
        <v/>
      </c>
      <c r="CV63" s="1025"/>
      <c r="CW63" s="1026" t="str">
        <f>IF(CV63="","",'#orgDung'!NF64)</f>
        <v/>
      </c>
      <c r="CX63" s="1026" t="str">
        <f>IF(CV63="","",'#orgDung'!NG64)</f>
        <v/>
      </c>
      <c r="CY63" s="1027" t="str">
        <f>IF(CV63="","",'#orgDung'!NI64)</f>
        <v/>
      </c>
      <c r="CZ63" s="1025"/>
      <c r="DA63" s="1026" t="str">
        <f>IF(CZ63="","",'#orgDung'!NU64)</f>
        <v/>
      </c>
      <c r="DB63" s="1026" t="str">
        <f>IF(CZ63="","",'#orgDung'!NV64)</f>
        <v/>
      </c>
      <c r="DC63" s="1027" t="str">
        <f>IF(CZ63="","",'#orgDung'!NX64)</f>
        <v/>
      </c>
      <c r="DD63" s="1025"/>
      <c r="DE63" s="1026" t="str">
        <f>IF(DD63="","",'#orgDung'!OJ64)</f>
        <v/>
      </c>
      <c r="DF63" s="1026" t="str">
        <f>IF(DD63="","",'#orgDung'!OK64)</f>
        <v/>
      </c>
      <c r="DG63" s="1027" t="str">
        <f>IF(DD63="","",'#orgDung'!OM64)</f>
        <v/>
      </c>
      <c r="DH63" s="1025"/>
      <c r="DI63" s="1026" t="str">
        <f>IF(DH63="","",'#orgDung'!OY64)</f>
        <v/>
      </c>
      <c r="DJ63" s="1026" t="str">
        <f>IF(DH63="","",'#orgDung'!OZ64)</f>
        <v/>
      </c>
      <c r="DK63" s="1027" t="str">
        <f>IF(DH63="","",'#orgDung'!PB64)</f>
        <v/>
      </c>
      <c r="DL63" s="1025"/>
      <c r="DM63" s="1026" t="str">
        <f>IF(DL63="","",'#orgDung'!PN64)</f>
        <v/>
      </c>
      <c r="DN63" s="1026" t="str">
        <f>IF(DL63="","",'#orgDung'!PO64)</f>
        <v/>
      </c>
      <c r="DO63" s="1027" t="str">
        <f>IF(DL63="","",'#orgDung'!PQ64)</f>
        <v/>
      </c>
      <c r="DP63" s="1025"/>
      <c r="DQ63" s="1026" t="str">
        <f>IF(DP63="","",'#orgDung'!QC64)</f>
        <v/>
      </c>
      <c r="DR63" s="1026" t="str">
        <f>IF(DP63="","",'#orgDung'!QD64)</f>
        <v/>
      </c>
      <c r="DS63" s="1027" t="str">
        <f>IF(DP63="","",'#orgDung'!QF64)</f>
        <v/>
      </c>
      <c r="DT63" s="1025"/>
      <c r="DU63" s="1026" t="str">
        <f>IF(DT63="","",'#orgDung'!QR64)</f>
        <v/>
      </c>
      <c r="DV63" s="1026" t="str">
        <f>IF(DT63="","",'#orgDung'!QS64)</f>
        <v/>
      </c>
      <c r="DW63" s="1027" t="str">
        <f>IF(DT63="","",'#orgDung'!QU64)</f>
        <v/>
      </c>
      <c r="DX63" s="1025"/>
      <c r="DY63" s="1026" t="str">
        <f>IF(DX63="","",'#orgDung'!RG64)</f>
        <v/>
      </c>
      <c r="DZ63" s="1026" t="str">
        <f>IF(DX63="","",'#orgDung'!RH64)</f>
        <v/>
      </c>
      <c r="EA63" s="1027" t="str">
        <f>IF(DX63="","",'#orgDung'!RJ64)</f>
        <v/>
      </c>
    </row>
    <row r="64" spans="1:131" ht="15" customHeight="1" x14ac:dyDescent="0.2">
      <c r="A64" s="1195">
        <f>'Flächen u. Kulturen'!A61</f>
        <v>52</v>
      </c>
      <c r="B64" s="1195" t="str">
        <f>IF('Flächen u. Kulturen'!B61="","",'Flächen u. Kulturen'!B61)</f>
        <v/>
      </c>
      <c r="C64" s="1196" t="str">
        <f>IF('Flächen u. Kulturen'!D61="","",'Flächen u. Kulturen'!D61)</f>
        <v/>
      </c>
      <c r="D64" s="1197" t="str">
        <f>IF(C64="","",IF('#BerechnungDBE'!Q56&lt;4,"x",""))</f>
        <v/>
      </c>
      <c r="E64" s="1198" t="str">
        <f>IF(C64="","",VLOOKUP('Flächen u. Kulturen'!L61,'#Zweitfr'!$D$8:$F$28,'#Zweitfr'!$F$1,FALSE))</f>
        <v/>
      </c>
      <c r="F64" s="1199" t="str">
        <f>IF(C64="","",IF('Flächen u. Kulturen'!E61="x",'Flächen u. Kulturen'!P61,"nicht im Betrieb"))</f>
        <v/>
      </c>
      <c r="G64" s="1200" t="str">
        <f>IF(C64="","",IF('#orgDung'!C65=2,"--",IF('#Kürzungen'!$F$2=2,"--",'#orgDung'!R65)))</f>
        <v/>
      </c>
      <c r="H64" s="1200" t="str">
        <f>IF(C64="","",'#orgDung'!U65)</f>
        <v/>
      </c>
      <c r="I64" s="1201" t="str">
        <f>IF(C64="","",IF(COUNT('#orgDung'!RS65:SA65)=0,"OK",TRIM(CONCATENATE('#orgDung'!RS65," ",'#orgDung'!RT65," ",'#orgDung'!RU65," ",'#orgDung'!RV65," ",'#orgDung'!RW65," ",'#orgDung'!RX65," ",'#orgDung'!RY65," ",'#orgDung'!RZ65," ",'#orgDung'!SA65))))</f>
        <v/>
      </c>
      <c r="J64" s="1023"/>
      <c r="K64" s="1024"/>
      <c r="L64" s="1025"/>
      <c r="M64" s="1026" t="str">
        <f>IF(L64="","",'#orgDung'!AN65)</f>
        <v/>
      </c>
      <c r="N64" s="1026" t="str">
        <f>IF(L64="","",'#orgDung'!AO65)</f>
        <v/>
      </c>
      <c r="O64" s="1027" t="str">
        <f>IF(L64="","",'#orgDung'!AQ65)</f>
        <v/>
      </c>
      <c r="P64" s="1025"/>
      <c r="Q64" s="1026" t="str">
        <f>IF(P64="","",'#orgDung'!BC65)</f>
        <v/>
      </c>
      <c r="R64" s="1026" t="str">
        <f>IF(P64="","",'#orgDung'!BD65)</f>
        <v/>
      </c>
      <c r="S64" s="1027" t="str">
        <f>IF(P64="","",'#orgDung'!BF65)</f>
        <v/>
      </c>
      <c r="T64" s="1025"/>
      <c r="U64" s="1026" t="str">
        <f>IF(T64="","",'#orgDung'!BR65)</f>
        <v/>
      </c>
      <c r="V64" s="1026" t="str">
        <f>IF(T64="","",'#orgDung'!BS65)</f>
        <v/>
      </c>
      <c r="W64" s="1027" t="str">
        <f>IF(T64="","",'#orgDung'!BU65)</f>
        <v/>
      </c>
      <c r="X64" s="1025"/>
      <c r="Y64" s="1026" t="str">
        <f>IF(X64="","",'#orgDung'!CG65)</f>
        <v/>
      </c>
      <c r="Z64" s="1026" t="str">
        <f>IF(X64="","",'#orgDung'!CH65)</f>
        <v/>
      </c>
      <c r="AA64" s="1027" t="str">
        <f>IF(X64="","",'#orgDung'!CJ65)</f>
        <v/>
      </c>
      <c r="AB64" s="1025"/>
      <c r="AC64" s="1026" t="str">
        <f>IF(AB64="","",'#orgDung'!CV65)</f>
        <v/>
      </c>
      <c r="AD64" s="1026" t="str">
        <f>IF(AB64="","",'#orgDung'!CW65)</f>
        <v/>
      </c>
      <c r="AE64" s="1027" t="str">
        <f>IF(AB64="","",'#orgDung'!CY65)</f>
        <v/>
      </c>
      <c r="AF64" s="1025"/>
      <c r="AG64" s="1026" t="str">
        <f>IF(AF64="","",'#orgDung'!DK65)</f>
        <v/>
      </c>
      <c r="AH64" s="1026" t="str">
        <f>IF(AF64="","",'#orgDung'!DL65)</f>
        <v/>
      </c>
      <c r="AI64" s="1027" t="str">
        <f>IF(AF64="","",'#orgDung'!DN65)</f>
        <v/>
      </c>
      <c r="AJ64" s="1025"/>
      <c r="AK64" s="1026" t="str">
        <f>IF(AJ64="","",'#orgDung'!DZ65)</f>
        <v/>
      </c>
      <c r="AL64" s="1026" t="str">
        <f>IF(AJ64="","",'#orgDung'!EA65)</f>
        <v/>
      </c>
      <c r="AM64" s="1027" t="str">
        <f>IF(AJ64="","",'#orgDung'!EC65)</f>
        <v/>
      </c>
      <c r="AN64" s="1025"/>
      <c r="AO64" s="1026" t="str">
        <f>IF(AN64="","",'#orgDung'!EO65)</f>
        <v/>
      </c>
      <c r="AP64" s="1026" t="str">
        <f>IF(AN64="","",'#orgDung'!EP65)</f>
        <v/>
      </c>
      <c r="AQ64" s="1027" t="str">
        <f>IF(AN64="","",'#orgDung'!ER65)</f>
        <v/>
      </c>
      <c r="AR64" s="1025"/>
      <c r="AS64" s="1026" t="str">
        <f>IF(AR64="","",'#orgDung'!FD65)</f>
        <v/>
      </c>
      <c r="AT64" s="1026" t="str">
        <f>IF(AR64="","",'#orgDung'!FE65)</f>
        <v/>
      </c>
      <c r="AU64" s="1027" t="str">
        <f>IF(AR64="","",'#orgDung'!FG65)</f>
        <v/>
      </c>
      <c r="AV64" s="1025"/>
      <c r="AW64" s="1026" t="str">
        <f>IF(AV64="","",'#orgDung'!FS65)</f>
        <v/>
      </c>
      <c r="AX64" s="1026" t="str">
        <f>IF(AV64="","",'#orgDung'!FT65)</f>
        <v/>
      </c>
      <c r="AY64" s="1027" t="str">
        <f>IF(AV64="","",'#orgDung'!FV65)</f>
        <v/>
      </c>
      <c r="AZ64" s="1025"/>
      <c r="BA64" s="1026" t="str">
        <f>IF(AZ64="","",'#orgDung'!GH65)</f>
        <v/>
      </c>
      <c r="BB64" s="1026" t="str">
        <f>IF(AZ64="","",'#orgDung'!GI65)</f>
        <v/>
      </c>
      <c r="BC64" s="1027" t="str">
        <f>IF(AZ64="","",'#orgDung'!GK65)</f>
        <v/>
      </c>
      <c r="BD64" s="1025"/>
      <c r="BE64" s="1026" t="str">
        <f>IF(BD64="","",'#orgDung'!GW65)</f>
        <v/>
      </c>
      <c r="BF64" s="1026" t="str">
        <f>IF(BD64="","",'#orgDung'!GX65)</f>
        <v/>
      </c>
      <c r="BG64" s="1027" t="str">
        <f>IF(BD64="","",'#orgDung'!GZ65)</f>
        <v/>
      </c>
      <c r="BH64" s="1025"/>
      <c r="BI64" s="1026" t="str">
        <f>IF(BH64="","",'#orgDung'!HL65)</f>
        <v/>
      </c>
      <c r="BJ64" s="1026" t="str">
        <f>IF(BH64="","",'#orgDung'!HM65)</f>
        <v/>
      </c>
      <c r="BK64" s="1027" t="str">
        <f>IF(BH64="","",'#orgDung'!HO65)</f>
        <v/>
      </c>
      <c r="BL64" s="1025"/>
      <c r="BM64" s="1026" t="str">
        <f>IF(BL64="","",'#orgDung'!IA65)</f>
        <v/>
      </c>
      <c r="BN64" s="1026" t="str">
        <f>IF(BL64="","",'#orgDung'!IB65)</f>
        <v/>
      </c>
      <c r="BO64" s="1027" t="str">
        <f>IF(BL64="","",'#orgDung'!ID65)</f>
        <v/>
      </c>
      <c r="BP64" s="1025"/>
      <c r="BQ64" s="1026" t="str">
        <f>IF(BP64="","",'#orgDung'!IP65)</f>
        <v/>
      </c>
      <c r="BR64" s="1026" t="str">
        <f>IF(BP64="","",'#orgDung'!IQ65)</f>
        <v/>
      </c>
      <c r="BS64" s="1027" t="str">
        <f>IF(BP64="","",'#orgDung'!IS65)</f>
        <v/>
      </c>
      <c r="BT64" s="1025"/>
      <c r="BU64" s="1026" t="str">
        <f>IF(BT64="","",'#orgDung'!JE65)</f>
        <v/>
      </c>
      <c r="BV64" s="1026" t="str">
        <f>IF(BT64="","",'#orgDung'!JF65)</f>
        <v/>
      </c>
      <c r="BW64" s="1027" t="str">
        <f>IF(BT64="","",'#orgDung'!JH65)</f>
        <v/>
      </c>
      <c r="BX64" s="1025"/>
      <c r="BY64" s="1026" t="str">
        <f>IF(BX64="","",'#orgDung'!JT65)</f>
        <v/>
      </c>
      <c r="BZ64" s="1026" t="str">
        <f>IF(BX64="","",'#orgDung'!JU65)</f>
        <v/>
      </c>
      <c r="CA64" s="1027" t="str">
        <f>IF(BX64="","",'#orgDung'!JW65)</f>
        <v/>
      </c>
      <c r="CB64" s="1025"/>
      <c r="CC64" s="1026" t="str">
        <f>IF(CB64="","",'#orgDung'!KI65)</f>
        <v/>
      </c>
      <c r="CD64" s="1026" t="str">
        <f>IF(CB64="","",'#orgDung'!KJ65)</f>
        <v/>
      </c>
      <c r="CE64" s="1027" t="str">
        <f>IF(CB64="","",'#orgDung'!KL65)</f>
        <v/>
      </c>
      <c r="CF64" s="1025"/>
      <c r="CG64" s="1026" t="str">
        <f>IF(CF64="","",'#orgDung'!KX65)</f>
        <v/>
      </c>
      <c r="CH64" s="1026" t="str">
        <f>IF(CF64="","",'#orgDung'!KY65)</f>
        <v/>
      </c>
      <c r="CI64" s="1027" t="str">
        <f>IF(CF64="","",'#orgDung'!LA65)</f>
        <v/>
      </c>
      <c r="CJ64" s="1025"/>
      <c r="CK64" s="1026" t="str">
        <f>IF(CJ64="","",'#orgDung'!LM65)</f>
        <v/>
      </c>
      <c r="CL64" s="1026" t="str">
        <f>IF(CJ64="","",'#orgDung'!LN65)</f>
        <v/>
      </c>
      <c r="CM64" s="1027" t="str">
        <f>IF(CJ64="","",'#orgDung'!LP65)</f>
        <v/>
      </c>
      <c r="CN64" s="1025"/>
      <c r="CO64" s="1026" t="str">
        <f>IF(CN64="","",'#orgDung'!MB65)</f>
        <v/>
      </c>
      <c r="CP64" s="1026" t="str">
        <f>IF(CN64="","",'#orgDung'!MC65)</f>
        <v/>
      </c>
      <c r="CQ64" s="1027" t="str">
        <f>IF(CN64="","",'#orgDung'!ME65)</f>
        <v/>
      </c>
      <c r="CR64" s="1025"/>
      <c r="CS64" s="1026" t="str">
        <f>IF(CR64="","",'#orgDung'!MQ65)</f>
        <v/>
      </c>
      <c r="CT64" s="1026" t="str">
        <f>IF(CR64="","",'#orgDung'!MR65)</f>
        <v/>
      </c>
      <c r="CU64" s="1027" t="str">
        <f>IF(CR64="","",'#orgDung'!MT65)</f>
        <v/>
      </c>
      <c r="CV64" s="1025"/>
      <c r="CW64" s="1026" t="str">
        <f>IF(CV64="","",'#orgDung'!NF65)</f>
        <v/>
      </c>
      <c r="CX64" s="1026" t="str">
        <f>IF(CV64="","",'#orgDung'!NG65)</f>
        <v/>
      </c>
      <c r="CY64" s="1027" t="str">
        <f>IF(CV64="","",'#orgDung'!NI65)</f>
        <v/>
      </c>
      <c r="CZ64" s="1025"/>
      <c r="DA64" s="1026" t="str">
        <f>IF(CZ64="","",'#orgDung'!NU65)</f>
        <v/>
      </c>
      <c r="DB64" s="1026" t="str">
        <f>IF(CZ64="","",'#orgDung'!NV65)</f>
        <v/>
      </c>
      <c r="DC64" s="1027" t="str">
        <f>IF(CZ64="","",'#orgDung'!NX65)</f>
        <v/>
      </c>
      <c r="DD64" s="1025"/>
      <c r="DE64" s="1026" t="str">
        <f>IF(DD64="","",'#orgDung'!OJ65)</f>
        <v/>
      </c>
      <c r="DF64" s="1026" t="str">
        <f>IF(DD64="","",'#orgDung'!OK65)</f>
        <v/>
      </c>
      <c r="DG64" s="1027" t="str">
        <f>IF(DD64="","",'#orgDung'!OM65)</f>
        <v/>
      </c>
      <c r="DH64" s="1025"/>
      <c r="DI64" s="1026" t="str">
        <f>IF(DH64="","",'#orgDung'!OY65)</f>
        <v/>
      </c>
      <c r="DJ64" s="1026" t="str">
        <f>IF(DH64="","",'#orgDung'!OZ65)</f>
        <v/>
      </c>
      <c r="DK64" s="1027" t="str">
        <f>IF(DH64="","",'#orgDung'!PB65)</f>
        <v/>
      </c>
      <c r="DL64" s="1025"/>
      <c r="DM64" s="1026" t="str">
        <f>IF(DL64="","",'#orgDung'!PN65)</f>
        <v/>
      </c>
      <c r="DN64" s="1026" t="str">
        <f>IF(DL64="","",'#orgDung'!PO65)</f>
        <v/>
      </c>
      <c r="DO64" s="1027" t="str">
        <f>IF(DL64="","",'#orgDung'!PQ65)</f>
        <v/>
      </c>
      <c r="DP64" s="1025"/>
      <c r="DQ64" s="1026" t="str">
        <f>IF(DP64="","",'#orgDung'!QC65)</f>
        <v/>
      </c>
      <c r="DR64" s="1026" t="str">
        <f>IF(DP64="","",'#orgDung'!QD65)</f>
        <v/>
      </c>
      <c r="DS64" s="1027" t="str">
        <f>IF(DP64="","",'#orgDung'!QF65)</f>
        <v/>
      </c>
      <c r="DT64" s="1025"/>
      <c r="DU64" s="1026" t="str">
        <f>IF(DT64="","",'#orgDung'!QR65)</f>
        <v/>
      </c>
      <c r="DV64" s="1026" t="str">
        <f>IF(DT64="","",'#orgDung'!QS65)</f>
        <v/>
      </c>
      <c r="DW64" s="1027" t="str">
        <f>IF(DT64="","",'#orgDung'!QU65)</f>
        <v/>
      </c>
      <c r="DX64" s="1025"/>
      <c r="DY64" s="1026" t="str">
        <f>IF(DX64="","",'#orgDung'!RG65)</f>
        <v/>
      </c>
      <c r="DZ64" s="1026" t="str">
        <f>IF(DX64="","",'#orgDung'!RH65)</f>
        <v/>
      </c>
      <c r="EA64" s="1027" t="str">
        <f>IF(DX64="","",'#orgDung'!RJ65)</f>
        <v/>
      </c>
    </row>
    <row r="65" spans="1:131" ht="15" customHeight="1" x14ac:dyDescent="0.2">
      <c r="A65" s="1195">
        <f>'Flächen u. Kulturen'!A62</f>
        <v>53</v>
      </c>
      <c r="B65" s="1195" t="str">
        <f>IF('Flächen u. Kulturen'!B62="","",'Flächen u. Kulturen'!B62)</f>
        <v/>
      </c>
      <c r="C65" s="1196" t="str">
        <f>IF('Flächen u. Kulturen'!D62="","",'Flächen u. Kulturen'!D62)</f>
        <v/>
      </c>
      <c r="D65" s="1197" t="str">
        <f>IF(C65="","",IF('#BerechnungDBE'!Q57&lt;4,"x",""))</f>
        <v/>
      </c>
      <c r="E65" s="1198" t="str">
        <f>IF(C65="","",VLOOKUP('Flächen u. Kulturen'!L62,'#Zweitfr'!$D$8:$F$28,'#Zweitfr'!$F$1,FALSE))</f>
        <v/>
      </c>
      <c r="F65" s="1199" t="str">
        <f>IF(C65="","",IF('Flächen u. Kulturen'!E62="x",'Flächen u. Kulturen'!P62,"nicht im Betrieb"))</f>
        <v/>
      </c>
      <c r="G65" s="1200" t="str">
        <f>IF(C65="","",IF('#orgDung'!C66=2,"--",IF('#Kürzungen'!$F$2=2,"--",'#orgDung'!R66)))</f>
        <v/>
      </c>
      <c r="H65" s="1200" t="str">
        <f>IF(C65="","",'#orgDung'!U66)</f>
        <v/>
      </c>
      <c r="I65" s="1201" t="str">
        <f>IF(C65="","",IF(COUNT('#orgDung'!RS66:SA66)=0,"OK",TRIM(CONCATENATE('#orgDung'!RS66," ",'#orgDung'!RT66," ",'#orgDung'!RU66," ",'#orgDung'!RV66," ",'#orgDung'!RW66," ",'#orgDung'!RX66," ",'#orgDung'!RY66," ",'#orgDung'!RZ66," ",'#orgDung'!SA66))))</f>
        <v/>
      </c>
      <c r="J65" s="1023"/>
      <c r="K65" s="1024"/>
      <c r="L65" s="1025"/>
      <c r="M65" s="1026" t="str">
        <f>IF(L65="","",'#orgDung'!AN66)</f>
        <v/>
      </c>
      <c r="N65" s="1026" t="str">
        <f>IF(L65="","",'#orgDung'!AO66)</f>
        <v/>
      </c>
      <c r="O65" s="1027" t="str">
        <f>IF(L65="","",'#orgDung'!AQ66)</f>
        <v/>
      </c>
      <c r="P65" s="1025"/>
      <c r="Q65" s="1026" t="str">
        <f>IF(P65="","",'#orgDung'!BC66)</f>
        <v/>
      </c>
      <c r="R65" s="1026" t="str">
        <f>IF(P65="","",'#orgDung'!BD66)</f>
        <v/>
      </c>
      <c r="S65" s="1027" t="str">
        <f>IF(P65="","",'#orgDung'!BF66)</f>
        <v/>
      </c>
      <c r="T65" s="1025"/>
      <c r="U65" s="1026" t="str">
        <f>IF(T65="","",'#orgDung'!BR66)</f>
        <v/>
      </c>
      <c r="V65" s="1026" t="str">
        <f>IF(T65="","",'#orgDung'!BS66)</f>
        <v/>
      </c>
      <c r="W65" s="1027" t="str">
        <f>IF(T65="","",'#orgDung'!BU66)</f>
        <v/>
      </c>
      <c r="X65" s="1025"/>
      <c r="Y65" s="1026" t="str">
        <f>IF(X65="","",'#orgDung'!CG66)</f>
        <v/>
      </c>
      <c r="Z65" s="1026" t="str">
        <f>IF(X65="","",'#orgDung'!CH66)</f>
        <v/>
      </c>
      <c r="AA65" s="1027" t="str">
        <f>IF(X65="","",'#orgDung'!CJ66)</f>
        <v/>
      </c>
      <c r="AB65" s="1025"/>
      <c r="AC65" s="1026" t="str">
        <f>IF(AB65="","",'#orgDung'!CV66)</f>
        <v/>
      </c>
      <c r="AD65" s="1026" t="str">
        <f>IF(AB65="","",'#orgDung'!CW66)</f>
        <v/>
      </c>
      <c r="AE65" s="1027" t="str">
        <f>IF(AB65="","",'#orgDung'!CY66)</f>
        <v/>
      </c>
      <c r="AF65" s="1025"/>
      <c r="AG65" s="1026" t="str">
        <f>IF(AF65="","",'#orgDung'!DK66)</f>
        <v/>
      </c>
      <c r="AH65" s="1026" t="str">
        <f>IF(AF65="","",'#orgDung'!DL66)</f>
        <v/>
      </c>
      <c r="AI65" s="1027" t="str">
        <f>IF(AF65="","",'#orgDung'!DN66)</f>
        <v/>
      </c>
      <c r="AJ65" s="1025"/>
      <c r="AK65" s="1026" t="str">
        <f>IF(AJ65="","",'#orgDung'!DZ66)</f>
        <v/>
      </c>
      <c r="AL65" s="1026" t="str">
        <f>IF(AJ65="","",'#orgDung'!EA66)</f>
        <v/>
      </c>
      <c r="AM65" s="1027" t="str">
        <f>IF(AJ65="","",'#orgDung'!EC66)</f>
        <v/>
      </c>
      <c r="AN65" s="1025"/>
      <c r="AO65" s="1026" t="str">
        <f>IF(AN65="","",'#orgDung'!EO66)</f>
        <v/>
      </c>
      <c r="AP65" s="1026" t="str">
        <f>IF(AN65="","",'#orgDung'!EP66)</f>
        <v/>
      </c>
      <c r="AQ65" s="1027" t="str">
        <f>IF(AN65="","",'#orgDung'!ER66)</f>
        <v/>
      </c>
      <c r="AR65" s="1025"/>
      <c r="AS65" s="1026" t="str">
        <f>IF(AR65="","",'#orgDung'!FD66)</f>
        <v/>
      </c>
      <c r="AT65" s="1026" t="str">
        <f>IF(AR65="","",'#orgDung'!FE66)</f>
        <v/>
      </c>
      <c r="AU65" s="1027" t="str">
        <f>IF(AR65="","",'#orgDung'!FG66)</f>
        <v/>
      </c>
      <c r="AV65" s="1025"/>
      <c r="AW65" s="1026" t="str">
        <f>IF(AV65="","",'#orgDung'!FS66)</f>
        <v/>
      </c>
      <c r="AX65" s="1026" t="str">
        <f>IF(AV65="","",'#orgDung'!FT66)</f>
        <v/>
      </c>
      <c r="AY65" s="1027" t="str">
        <f>IF(AV65="","",'#orgDung'!FV66)</f>
        <v/>
      </c>
      <c r="AZ65" s="1025"/>
      <c r="BA65" s="1026" t="str">
        <f>IF(AZ65="","",'#orgDung'!GH66)</f>
        <v/>
      </c>
      <c r="BB65" s="1026" t="str">
        <f>IF(AZ65="","",'#orgDung'!GI66)</f>
        <v/>
      </c>
      <c r="BC65" s="1027" t="str">
        <f>IF(AZ65="","",'#orgDung'!GK66)</f>
        <v/>
      </c>
      <c r="BD65" s="1025"/>
      <c r="BE65" s="1026" t="str">
        <f>IF(BD65="","",'#orgDung'!GW66)</f>
        <v/>
      </c>
      <c r="BF65" s="1026" t="str">
        <f>IF(BD65="","",'#orgDung'!GX66)</f>
        <v/>
      </c>
      <c r="BG65" s="1027" t="str">
        <f>IF(BD65="","",'#orgDung'!GZ66)</f>
        <v/>
      </c>
      <c r="BH65" s="1025"/>
      <c r="BI65" s="1026" t="str">
        <f>IF(BH65="","",'#orgDung'!HL66)</f>
        <v/>
      </c>
      <c r="BJ65" s="1026" t="str">
        <f>IF(BH65="","",'#orgDung'!HM66)</f>
        <v/>
      </c>
      <c r="BK65" s="1027" t="str">
        <f>IF(BH65="","",'#orgDung'!HO66)</f>
        <v/>
      </c>
      <c r="BL65" s="1025"/>
      <c r="BM65" s="1026" t="str">
        <f>IF(BL65="","",'#orgDung'!IA66)</f>
        <v/>
      </c>
      <c r="BN65" s="1026" t="str">
        <f>IF(BL65="","",'#orgDung'!IB66)</f>
        <v/>
      </c>
      <c r="BO65" s="1027" t="str">
        <f>IF(BL65="","",'#orgDung'!ID66)</f>
        <v/>
      </c>
      <c r="BP65" s="1025"/>
      <c r="BQ65" s="1026" t="str">
        <f>IF(BP65="","",'#orgDung'!IP66)</f>
        <v/>
      </c>
      <c r="BR65" s="1026" t="str">
        <f>IF(BP65="","",'#orgDung'!IQ66)</f>
        <v/>
      </c>
      <c r="BS65" s="1027" t="str">
        <f>IF(BP65="","",'#orgDung'!IS66)</f>
        <v/>
      </c>
      <c r="BT65" s="1025"/>
      <c r="BU65" s="1026" t="str">
        <f>IF(BT65="","",'#orgDung'!JE66)</f>
        <v/>
      </c>
      <c r="BV65" s="1026" t="str">
        <f>IF(BT65="","",'#orgDung'!JF66)</f>
        <v/>
      </c>
      <c r="BW65" s="1027" t="str">
        <f>IF(BT65="","",'#orgDung'!JH66)</f>
        <v/>
      </c>
      <c r="BX65" s="1025"/>
      <c r="BY65" s="1026" t="str">
        <f>IF(BX65="","",'#orgDung'!JT66)</f>
        <v/>
      </c>
      <c r="BZ65" s="1026" t="str">
        <f>IF(BX65="","",'#orgDung'!JU66)</f>
        <v/>
      </c>
      <c r="CA65" s="1027" t="str">
        <f>IF(BX65="","",'#orgDung'!JW66)</f>
        <v/>
      </c>
      <c r="CB65" s="1025"/>
      <c r="CC65" s="1026" t="str">
        <f>IF(CB65="","",'#orgDung'!KI66)</f>
        <v/>
      </c>
      <c r="CD65" s="1026" t="str">
        <f>IF(CB65="","",'#orgDung'!KJ66)</f>
        <v/>
      </c>
      <c r="CE65" s="1027" t="str">
        <f>IF(CB65="","",'#orgDung'!KL66)</f>
        <v/>
      </c>
      <c r="CF65" s="1025"/>
      <c r="CG65" s="1026" t="str">
        <f>IF(CF65="","",'#orgDung'!KX66)</f>
        <v/>
      </c>
      <c r="CH65" s="1026" t="str">
        <f>IF(CF65="","",'#orgDung'!KY66)</f>
        <v/>
      </c>
      <c r="CI65" s="1027" t="str">
        <f>IF(CF65="","",'#orgDung'!LA66)</f>
        <v/>
      </c>
      <c r="CJ65" s="1025"/>
      <c r="CK65" s="1026" t="str">
        <f>IF(CJ65="","",'#orgDung'!LM66)</f>
        <v/>
      </c>
      <c r="CL65" s="1026" t="str">
        <f>IF(CJ65="","",'#orgDung'!LN66)</f>
        <v/>
      </c>
      <c r="CM65" s="1027" t="str">
        <f>IF(CJ65="","",'#orgDung'!LP66)</f>
        <v/>
      </c>
      <c r="CN65" s="1025"/>
      <c r="CO65" s="1026" t="str">
        <f>IF(CN65="","",'#orgDung'!MB66)</f>
        <v/>
      </c>
      <c r="CP65" s="1026" t="str">
        <f>IF(CN65="","",'#orgDung'!MC66)</f>
        <v/>
      </c>
      <c r="CQ65" s="1027" t="str">
        <f>IF(CN65="","",'#orgDung'!ME66)</f>
        <v/>
      </c>
      <c r="CR65" s="1025"/>
      <c r="CS65" s="1026" t="str">
        <f>IF(CR65="","",'#orgDung'!MQ66)</f>
        <v/>
      </c>
      <c r="CT65" s="1026" t="str">
        <f>IF(CR65="","",'#orgDung'!MR66)</f>
        <v/>
      </c>
      <c r="CU65" s="1027" t="str">
        <f>IF(CR65="","",'#orgDung'!MT66)</f>
        <v/>
      </c>
      <c r="CV65" s="1025"/>
      <c r="CW65" s="1026" t="str">
        <f>IF(CV65="","",'#orgDung'!NF66)</f>
        <v/>
      </c>
      <c r="CX65" s="1026" t="str">
        <f>IF(CV65="","",'#orgDung'!NG66)</f>
        <v/>
      </c>
      <c r="CY65" s="1027" t="str">
        <f>IF(CV65="","",'#orgDung'!NI66)</f>
        <v/>
      </c>
      <c r="CZ65" s="1025"/>
      <c r="DA65" s="1026" t="str">
        <f>IF(CZ65="","",'#orgDung'!NU66)</f>
        <v/>
      </c>
      <c r="DB65" s="1026" t="str">
        <f>IF(CZ65="","",'#orgDung'!NV66)</f>
        <v/>
      </c>
      <c r="DC65" s="1027" t="str">
        <f>IF(CZ65="","",'#orgDung'!NX66)</f>
        <v/>
      </c>
      <c r="DD65" s="1025"/>
      <c r="DE65" s="1026" t="str">
        <f>IF(DD65="","",'#orgDung'!OJ66)</f>
        <v/>
      </c>
      <c r="DF65" s="1026" t="str">
        <f>IF(DD65="","",'#orgDung'!OK66)</f>
        <v/>
      </c>
      <c r="DG65" s="1027" t="str">
        <f>IF(DD65="","",'#orgDung'!OM66)</f>
        <v/>
      </c>
      <c r="DH65" s="1025"/>
      <c r="DI65" s="1026" t="str">
        <f>IF(DH65="","",'#orgDung'!OY66)</f>
        <v/>
      </c>
      <c r="DJ65" s="1026" t="str">
        <f>IF(DH65="","",'#orgDung'!OZ66)</f>
        <v/>
      </c>
      <c r="DK65" s="1027" t="str">
        <f>IF(DH65="","",'#orgDung'!PB66)</f>
        <v/>
      </c>
      <c r="DL65" s="1025"/>
      <c r="DM65" s="1026" t="str">
        <f>IF(DL65="","",'#orgDung'!PN66)</f>
        <v/>
      </c>
      <c r="DN65" s="1026" t="str">
        <f>IF(DL65="","",'#orgDung'!PO66)</f>
        <v/>
      </c>
      <c r="DO65" s="1027" t="str">
        <f>IF(DL65="","",'#orgDung'!PQ66)</f>
        <v/>
      </c>
      <c r="DP65" s="1025"/>
      <c r="DQ65" s="1026" t="str">
        <f>IF(DP65="","",'#orgDung'!QC66)</f>
        <v/>
      </c>
      <c r="DR65" s="1026" t="str">
        <f>IF(DP65="","",'#orgDung'!QD66)</f>
        <v/>
      </c>
      <c r="DS65" s="1027" t="str">
        <f>IF(DP65="","",'#orgDung'!QF66)</f>
        <v/>
      </c>
      <c r="DT65" s="1025"/>
      <c r="DU65" s="1026" t="str">
        <f>IF(DT65="","",'#orgDung'!QR66)</f>
        <v/>
      </c>
      <c r="DV65" s="1026" t="str">
        <f>IF(DT65="","",'#orgDung'!QS66)</f>
        <v/>
      </c>
      <c r="DW65" s="1027" t="str">
        <f>IF(DT65="","",'#orgDung'!QU66)</f>
        <v/>
      </c>
      <c r="DX65" s="1025"/>
      <c r="DY65" s="1026" t="str">
        <f>IF(DX65="","",'#orgDung'!RG66)</f>
        <v/>
      </c>
      <c r="DZ65" s="1026" t="str">
        <f>IF(DX65="","",'#orgDung'!RH66)</f>
        <v/>
      </c>
      <c r="EA65" s="1027" t="str">
        <f>IF(DX65="","",'#orgDung'!RJ66)</f>
        <v/>
      </c>
    </row>
    <row r="66" spans="1:131" ht="15" customHeight="1" x14ac:dyDescent="0.2">
      <c r="A66" s="1195">
        <f>'Flächen u. Kulturen'!A63</f>
        <v>54</v>
      </c>
      <c r="B66" s="1195" t="str">
        <f>IF('Flächen u. Kulturen'!B63="","",'Flächen u. Kulturen'!B63)</f>
        <v/>
      </c>
      <c r="C66" s="1196" t="str">
        <f>IF('Flächen u. Kulturen'!D63="","",'Flächen u. Kulturen'!D63)</f>
        <v/>
      </c>
      <c r="D66" s="1197" t="str">
        <f>IF(C66="","",IF('#BerechnungDBE'!Q58&lt;4,"x",""))</f>
        <v/>
      </c>
      <c r="E66" s="1198" t="str">
        <f>IF(C66="","",VLOOKUP('Flächen u. Kulturen'!L63,'#Zweitfr'!$D$8:$F$28,'#Zweitfr'!$F$1,FALSE))</f>
        <v/>
      </c>
      <c r="F66" s="1199" t="str">
        <f>IF(C66="","",IF('Flächen u. Kulturen'!E63="x",'Flächen u. Kulturen'!P63,"nicht im Betrieb"))</f>
        <v/>
      </c>
      <c r="G66" s="1200" t="str">
        <f>IF(C66="","",IF('#orgDung'!C67=2,"--",IF('#Kürzungen'!$F$2=2,"--",'#orgDung'!R67)))</f>
        <v/>
      </c>
      <c r="H66" s="1200" t="str">
        <f>IF(C66="","",'#orgDung'!U67)</f>
        <v/>
      </c>
      <c r="I66" s="1201" t="str">
        <f>IF(C66="","",IF(COUNT('#orgDung'!RS67:SA67)=0,"OK",TRIM(CONCATENATE('#orgDung'!RS67," ",'#orgDung'!RT67," ",'#orgDung'!RU67," ",'#orgDung'!RV67," ",'#orgDung'!RW67," ",'#orgDung'!RX67," ",'#orgDung'!RY67," ",'#orgDung'!RZ67," ",'#orgDung'!SA67))))</f>
        <v/>
      </c>
      <c r="J66" s="1023"/>
      <c r="K66" s="1024"/>
      <c r="L66" s="1025"/>
      <c r="M66" s="1026" t="str">
        <f>IF(L66="","",'#orgDung'!AN67)</f>
        <v/>
      </c>
      <c r="N66" s="1026" t="str">
        <f>IF(L66="","",'#orgDung'!AO67)</f>
        <v/>
      </c>
      <c r="O66" s="1027" t="str">
        <f>IF(L66="","",'#orgDung'!AQ67)</f>
        <v/>
      </c>
      <c r="P66" s="1025"/>
      <c r="Q66" s="1026" t="str">
        <f>IF(P66="","",'#orgDung'!BC67)</f>
        <v/>
      </c>
      <c r="R66" s="1026" t="str">
        <f>IF(P66="","",'#orgDung'!BD67)</f>
        <v/>
      </c>
      <c r="S66" s="1027" t="str">
        <f>IF(P66="","",'#orgDung'!BF67)</f>
        <v/>
      </c>
      <c r="T66" s="1025"/>
      <c r="U66" s="1026" t="str">
        <f>IF(T66="","",'#orgDung'!BR67)</f>
        <v/>
      </c>
      <c r="V66" s="1026" t="str">
        <f>IF(T66="","",'#orgDung'!BS67)</f>
        <v/>
      </c>
      <c r="W66" s="1027" t="str">
        <f>IF(T66="","",'#orgDung'!BU67)</f>
        <v/>
      </c>
      <c r="X66" s="1025"/>
      <c r="Y66" s="1026" t="str">
        <f>IF(X66="","",'#orgDung'!CG67)</f>
        <v/>
      </c>
      <c r="Z66" s="1026" t="str">
        <f>IF(X66="","",'#orgDung'!CH67)</f>
        <v/>
      </c>
      <c r="AA66" s="1027" t="str">
        <f>IF(X66="","",'#orgDung'!CJ67)</f>
        <v/>
      </c>
      <c r="AB66" s="1025"/>
      <c r="AC66" s="1026" t="str">
        <f>IF(AB66="","",'#orgDung'!CV67)</f>
        <v/>
      </c>
      <c r="AD66" s="1026" t="str">
        <f>IF(AB66="","",'#orgDung'!CW67)</f>
        <v/>
      </c>
      <c r="AE66" s="1027" t="str">
        <f>IF(AB66="","",'#orgDung'!CY67)</f>
        <v/>
      </c>
      <c r="AF66" s="1025"/>
      <c r="AG66" s="1026" t="str">
        <f>IF(AF66="","",'#orgDung'!DK67)</f>
        <v/>
      </c>
      <c r="AH66" s="1026" t="str">
        <f>IF(AF66="","",'#orgDung'!DL67)</f>
        <v/>
      </c>
      <c r="AI66" s="1027" t="str">
        <f>IF(AF66="","",'#orgDung'!DN67)</f>
        <v/>
      </c>
      <c r="AJ66" s="1025"/>
      <c r="AK66" s="1026" t="str">
        <f>IF(AJ66="","",'#orgDung'!DZ67)</f>
        <v/>
      </c>
      <c r="AL66" s="1026" t="str">
        <f>IF(AJ66="","",'#orgDung'!EA67)</f>
        <v/>
      </c>
      <c r="AM66" s="1027" t="str">
        <f>IF(AJ66="","",'#orgDung'!EC67)</f>
        <v/>
      </c>
      <c r="AN66" s="1025"/>
      <c r="AO66" s="1026" t="str">
        <f>IF(AN66="","",'#orgDung'!EO67)</f>
        <v/>
      </c>
      <c r="AP66" s="1026" t="str">
        <f>IF(AN66="","",'#orgDung'!EP67)</f>
        <v/>
      </c>
      <c r="AQ66" s="1027" t="str">
        <f>IF(AN66="","",'#orgDung'!ER67)</f>
        <v/>
      </c>
      <c r="AR66" s="1025"/>
      <c r="AS66" s="1026" t="str">
        <f>IF(AR66="","",'#orgDung'!FD67)</f>
        <v/>
      </c>
      <c r="AT66" s="1026" t="str">
        <f>IF(AR66="","",'#orgDung'!FE67)</f>
        <v/>
      </c>
      <c r="AU66" s="1027" t="str">
        <f>IF(AR66="","",'#orgDung'!FG67)</f>
        <v/>
      </c>
      <c r="AV66" s="1025"/>
      <c r="AW66" s="1026" t="str">
        <f>IF(AV66="","",'#orgDung'!FS67)</f>
        <v/>
      </c>
      <c r="AX66" s="1026" t="str">
        <f>IF(AV66="","",'#orgDung'!FT67)</f>
        <v/>
      </c>
      <c r="AY66" s="1027" t="str">
        <f>IF(AV66="","",'#orgDung'!FV67)</f>
        <v/>
      </c>
      <c r="AZ66" s="1025"/>
      <c r="BA66" s="1026" t="str">
        <f>IF(AZ66="","",'#orgDung'!GH67)</f>
        <v/>
      </c>
      <c r="BB66" s="1026" t="str">
        <f>IF(AZ66="","",'#orgDung'!GI67)</f>
        <v/>
      </c>
      <c r="BC66" s="1027" t="str">
        <f>IF(AZ66="","",'#orgDung'!GK67)</f>
        <v/>
      </c>
      <c r="BD66" s="1025"/>
      <c r="BE66" s="1026" t="str">
        <f>IF(BD66="","",'#orgDung'!GW67)</f>
        <v/>
      </c>
      <c r="BF66" s="1026" t="str">
        <f>IF(BD66="","",'#orgDung'!GX67)</f>
        <v/>
      </c>
      <c r="BG66" s="1027" t="str">
        <f>IF(BD66="","",'#orgDung'!GZ67)</f>
        <v/>
      </c>
      <c r="BH66" s="1025"/>
      <c r="BI66" s="1026" t="str">
        <f>IF(BH66="","",'#orgDung'!HL67)</f>
        <v/>
      </c>
      <c r="BJ66" s="1026" t="str">
        <f>IF(BH66="","",'#orgDung'!HM67)</f>
        <v/>
      </c>
      <c r="BK66" s="1027" t="str">
        <f>IF(BH66="","",'#orgDung'!HO67)</f>
        <v/>
      </c>
      <c r="BL66" s="1025"/>
      <c r="BM66" s="1026" t="str">
        <f>IF(BL66="","",'#orgDung'!IA67)</f>
        <v/>
      </c>
      <c r="BN66" s="1026" t="str">
        <f>IF(BL66="","",'#orgDung'!IB67)</f>
        <v/>
      </c>
      <c r="BO66" s="1027" t="str">
        <f>IF(BL66="","",'#orgDung'!ID67)</f>
        <v/>
      </c>
      <c r="BP66" s="1025"/>
      <c r="BQ66" s="1026" t="str">
        <f>IF(BP66="","",'#orgDung'!IP67)</f>
        <v/>
      </c>
      <c r="BR66" s="1026" t="str">
        <f>IF(BP66="","",'#orgDung'!IQ67)</f>
        <v/>
      </c>
      <c r="BS66" s="1027" t="str">
        <f>IF(BP66="","",'#orgDung'!IS67)</f>
        <v/>
      </c>
      <c r="BT66" s="1025"/>
      <c r="BU66" s="1026" t="str">
        <f>IF(BT66="","",'#orgDung'!JE67)</f>
        <v/>
      </c>
      <c r="BV66" s="1026" t="str">
        <f>IF(BT66="","",'#orgDung'!JF67)</f>
        <v/>
      </c>
      <c r="BW66" s="1027" t="str">
        <f>IF(BT66="","",'#orgDung'!JH67)</f>
        <v/>
      </c>
      <c r="BX66" s="1025"/>
      <c r="BY66" s="1026" t="str">
        <f>IF(BX66="","",'#orgDung'!JT67)</f>
        <v/>
      </c>
      <c r="BZ66" s="1026" t="str">
        <f>IF(BX66="","",'#orgDung'!JU67)</f>
        <v/>
      </c>
      <c r="CA66" s="1027" t="str">
        <f>IF(BX66="","",'#orgDung'!JW67)</f>
        <v/>
      </c>
      <c r="CB66" s="1025"/>
      <c r="CC66" s="1026" t="str">
        <f>IF(CB66="","",'#orgDung'!KI67)</f>
        <v/>
      </c>
      <c r="CD66" s="1026" t="str">
        <f>IF(CB66="","",'#orgDung'!KJ67)</f>
        <v/>
      </c>
      <c r="CE66" s="1027" t="str">
        <f>IF(CB66="","",'#orgDung'!KL67)</f>
        <v/>
      </c>
      <c r="CF66" s="1025"/>
      <c r="CG66" s="1026" t="str">
        <f>IF(CF66="","",'#orgDung'!KX67)</f>
        <v/>
      </c>
      <c r="CH66" s="1026" t="str">
        <f>IF(CF66="","",'#orgDung'!KY67)</f>
        <v/>
      </c>
      <c r="CI66" s="1027" t="str">
        <f>IF(CF66="","",'#orgDung'!LA67)</f>
        <v/>
      </c>
      <c r="CJ66" s="1025"/>
      <c r="CK66" s="1026" t="str">
        <f>IF(CJ66="","",'#orgDung'!LM67)</f>
        <v/>
      </c>
      <c r="CL66" s="1026" t="str">
        <f>IF(CJ66="","",'#orgDung'!LN67)</f>
        <v/>
      </c>
      <c r="CM66" s="1027" t="str">
        <f>IF(CJ66="","",'#orgDung'!LP67)</f>
        <v/>
      </c>
      <c r="CN66" s="1025"/>
      <c r="CO66" s="1026" t="str">
        <f>IF(CN66="","",'#orgDung'!MB67)</f>
        <v/>
      </c>
      <c r="CP66" s="1026" t="str">
        <f>IF(CN66="","",'#orgDung'!MC67)</f>
        <v/>
      </c>
      <c r="CQ66" s="1027" t="str">
        <f>IF(CN66="","",'#orgDung'!ME67)</f>
        <v/>
      </c>
      <c r="CR66" s="1025"/>
      <c r="CS66" s="1026" t="str">
        <f>IF(CR66="","",'#orgDung'!MQ67)</f>
        <v/>
      </c>
      <c r="CT66" s="1026" t="str">
        <f>IF(CR66="","",'#orgDung'!MR67)</f>
        <v/>
      </c>
      <c r="CU66" s="1027" t="str">
        <f>IF(CR66="","",'#orgDung'!MT67)</f>
        <v/>
      </c>
      <c r="CV66" s="1025"/>
      <c r="CW66" s="1026" t="str">
        <f>IF(CV66="","",'#orgDung'!NF67)</f>
        <v/>
      </c>
      <c r="CX66" s="1026" t="str">
        <f>IF(CV66="","",'#orgDung'!NG67)</f>
        <v/>
      </c>
      <c r="CY66" s="1027" t="str">
        <f>IF(CV66="","",'#orgDung'!NI67)</f>
        <v/>
      </c>
      <c r="CZ66" s="1025"/>
      <c r="DA66" s="1026" t="str">
        <f>IF(CZ66="","",'#orgDung'!NU67)</f>
        <v/>
      </c>
      <c r="DB66" s="1026" t="str">
        <f>IF(CZ66="","",'#orgDung'!NV67)</f>
        <v/>
      </c>
      <c r="DC66" s="1027" t="str">
        <f>IF(CZ66="","",'#orgDung'!NX67)</f>
        <v/>
      </c>
      <c r="DD66" s="1025"/>
      <c r="DE66" s="1026" t="str">
        <f>IF(DD66="","",'#orgDung'!OJ67)</f>
        <v/>
      </c>
      <c r="DF66" s="1026" t="str">
        <f>IF(DD66="","",'#orgDung'!OK67)</f>
        <v/>
      </c>
      <c r="DG66" s="1027" t="str">
        <f>IF(DD66="","",'#orgDung'!OM67)</f>
        <v/>
      </c>
      <c r="DH66" s="1025"/>
      <c r="DI66" s="1026" t="str">
        <f>IF(DH66="","",'#orgDung'!OY67)</f>
        <v/>
      </c>
      <c r="DJ66" s="1026" t="str">
        <f>IF(DH66="","",'#orgDung'!OZ67)</f>
        <v/>
      </c>
      <c r="DK66" s="1027" t="str">
        <f>IF(DH66="","",'#orgDung'!PB67)</f>
        <v/>
      </c>
      <c r="DL66" s="1025"/>
      <c r="DM66" s="1026" t="str">
        <f>IF(DL66="","",'#orgDung'!PN67)</f>
        <v/>
      </c>
      <c r="DN66" s="1026" t="str">
        <f>IF(DL66="","",'#orgDung'!PO67)</f>
        <v/>
      </c>
      <c r="DO66" s="1027" t="str">
        <f>IF(DL66="","",'#orgDung'!PQ67)</f>
        <v/>
      </c>
      <c r="DP66" s="1025"/>
      <c r="DQ66" s="1026" t="str">
        <f>IF(DP66="","",'#orgDung'!QC67)</f>
        <v/>
      </c>
      <c r="DR66" s="1026" t="str">
        <f>IF(DP66="","",'#orgDung'!QD67)</f>
        <v/>
      </c>
      <c r="DS66" s="1027" t="str">
        <f>IF(DP66="","",'#orgDung'!QF67)</f>
        <v/>
      </c>
      <c r="DT66" s="1025"/>
      <c r="DU66" s="1026" t="str">
        <f>IF(DT66="","",'#orgDung'!QR67)</f>
        <v/>
      </c>
      <c r="DV66" s="1026" t="str">
        <f>IF(DT66="","",'#orgDung'!QS67)</f>
        <v/>
      </c>
      <c r="DW66" s="1027" t="str">
        <f>IF(DT66="","",'#orgDung'!QU67)</f>
        <v/>
      </c>
      <c r="DX66" s="1025"/>
      <c r="DY66" s="1026" t="str">
        <f>IF(DX66="","",'#orgDung'!RG67)</f>
        <v/>
      </c>
      <c r="DZ66" s="1026" t="str">
        <f>IF(DX66="","",'#orgDung'!RH67)</f>
        <v/>
      </c>
      <c r="EA66" s="1027" t="str">
        <f>IF(DX66="","",'#orgDung'!RJ67)</f>
        <v/>
      </c>
    </row>
    <row r="67" spans="1:131" ht="15" customHeight="1" x14ac:dyDescent="0.2">
      <c r="A67" s="1195">
        <f>'Flächen u. Kulturen'!A64</f>
        <v>55</v>
      </c>
      <c r="B67" s="1195" t="str">
        <f>IF('Flächen u. Kulturen'!B64="","",'Flächen u. Kulturen'!B64)</f>
        <v/>
      </c>
      <c r="C67" s="1196" t="str">
        <f>IF('Flächen u. Kulturen'!D64="","",'Flächen u. Kulturen'!D64)</f>
        <v/>
      </c>
      <c r="D67" s="1197" t="str">
        <f>IF(C67="","",IF('#BerechnungDBE'!Q59&lt;4,"x",""))</f>
        <v/>
      </c>
      <c r="E67" s="1198" t="str">
        <f>IF(C67="","",VLOOKUP('Flächen u. Kulturen'!L64,'#Zweitfr'!$D$8:$F$28,'#Zweitfr'!$F$1,FALSE))</f>
        <v/>
      </c>
      <c r="F67" s="1199" t="str">
        <f>IF(C67="","",IF('Flächen u. Kulturen'!E64="x",'Flächen u. Kulturen'!P64,"nicht im Betrieb"))</f>
        <v/>
      </c>
      <c r="G67" s="1200" t="str">
        <f>IF(C67="","",IF('#orgDung'!C68=2,"--",IF('#Kürzungen'!$F$2=2,"--",'#orgDung'!R68)))</f>
        <v/>
      </c>
      <c r="H67" s="1200" t="str">
        <f>IF(C67="","",'#orgDung'!U68)</f>
        <v/>
      </c>
      <c r="I67" s="1201" t="str">
        <f>IF(C67="","",IF(COUNT('#orgDung'!RS68:SA68)=0,"OK",TRIM(CONCATENATE('#orgDung'!RS68," ",'#orgDung'!RT68," ",'#orgDung'!RU68," ",'#orgDung'!RV68," ",'#orgDung'!RW68," ",'#orgDung'!RX68," ",'#orgDung'!RY68," ",'#orgDung'!RZ68," ",'#orgDung'!SA68))))</f>
        <v/>
      </c>
      <c r="J67" s="1023"/>
      <c r="K67" s="1024"/>
      <c r="L67" s="1025"/>
      <c r="M67" s="1026" t="str">
        <f>IF(L67="","",'#orgDung'!AN68)</f>
        <v/>
      </c>
      <c r="N67" s="1026" t="str">
        <f>IF(L67="","",'#orgDung'!AO68)</f>
        <v/>
      </c>
      <c r="O67" s="1027" t="str">
        <f>IF(L67="","",'#orgDung'!AQ68)</f>
        <v/>
      </c>
      <c r="P67" s="1025"/>
      <c r="Q67" s="1026" t="str">
        <f>IF(P67="","",'#orgDung'!BC68)</f>
        <v/>
      </c>
      <c r="R67" s="1026" t="str">
        <f>IF(P67="","",'#orgDung'!BD68)</f>
        <v/>
      </c>
      <c r="S67" s="1027" t="str">
        <f>IF(P67="","",'#orgDung'!BF68)</f>
        <v/>
      </c>
      <c r="T67" s="1025"/>
      <c r="U67" s="1026" t="str">
        <f>IF(T67="","",'#orgDung'!BR68)</f>
        <v/>
      </c>
      <c r="V67" s="1026" t="str">
        <f>IF(T67="","",'#orgDung'!BS68)</f>
        <v/>
      </c>
      <c r="W67" s="1027" t="str">
        <f>IF(T67="","",'#orgDung'!BU68)</f>
        <v/>
      </c>
      <c r="X67" s="1025"/>
      <c r="Y67" s="1026" t="str">
        <f>IF(X67="","",'#orgDung'!CG68)</f>
        <v/>
      </c>
      <c r="Z67" s="1026" t="str">
        <f>IF(X67="","",'#orgDung'!CH68)</f>
        <v/>
      </c>
      <c r="AA67" s="1027" t="str">
        <f>IF(X67="","",'#orgDung'!CJ68)</f>
        <v/>
      </c>
      <c r="AB67" s="1025"/>
      <c r="AC67" s="1026" t="str">
        <f>IF(AB67="","",'#orgDung'!CV68)</f>
        <v/>
      </c>
      <c r="AD67" s="1026" t="str">
        <f>IF(AB67="","",'#orgDung'!CW68)</f>
        <v/>
      </c>
      <c r="AE67" s="1027" t="str">
        <f>IF(AB67="","",'#orgDung'!CY68)</f>
        <v/>
      </c>
      <c r="AF67" s="1025"/>
      <c r="AG67" s="1026" t="str">
        <f>IF(AF67="","",'#orgDung'!DK68)</f>
        <v/>
      </c>
      <c r="AH67" s="1026" t="str">
        <f>IF(AF67="","",'#orgDung'!DL68)</f>
        <v/>
      </c>
      <c r="AI67" s="1027" t="str">
        <f>IF(AF67="","",'#orgDung'!DN68)</f>
        <v/>
      </c>
      <c r="AJ67" s="1025"/>
      <c r="AK67" s="1026" t="str">
        <f>IF(AJ67="","",'#orgDung'!DZ68)</f>
        <v/>
      </c>
      <c r="AL67" s="1026" t="str">
        <f>IF(AJ67="","",'#orgDung'!EA68)</f>
        <v/>
      </c>
      <c r="AM67" s="1027" t="str">
        <f>IF(AJ67="","",'#orgDung'!EC68)</f>
        <v/>
      </c>
      <c r="AN67" s="1025"/>
      <c r="AO67" s="1026" t="str">
        <f>IF(AN67="","",'#orgDung'!EO68)</f>
        <v/>
      </c>
      <c r="AP67" s="1026" t="str">
        <f>IF(AN67="","",'#orgDung'!EP68)</f>
        <v/>
      </c>
      <c r="AQ67" s="1027" t="str">
        <f>IF(AN67="","",'#orgDung'!ER68)</f>
        <v/>
      </c>
      <c r="AR67" s="1025"/>
      <c r="AS67" s="1026" t="str">
        <f>IF(AR67="","",'#orgDung'!FD68)</f>
        <v/>
      </c>
      <c r="AT67" s="1026" t="str">
        <f>IF(AR67="","",'#orgDung'!FE68)</f>
        <v/>
      </c>
      <c r="AU67" s="1027" t="str">
        <f>IF(AR67="","",'#orgDung'!FG68)</f>
        <v/>
      </c>
      <c r="AV67" s="1025"/>
      <c r="AW67" s="1026" t="str">
        <f>IF(AV67="","",'#orgDung'!FS68)</f>
        <v/>
      </c>
      <c r="AX67" s="1026" t="str">
        <f>IF(AV67="","",'#orgDung'!FT68)</f>
        <v/>
      </c>
      <c r="AY67" s="1027" t="str">
        <f>IF(AV67="","",'#orgDung'!FV68)</f>
        <v/>
      </c>
      <c r="AZ67" s="1025"/>
      <c r="BA67" s="1026" t="str">
        <f>IF(AZ67="","",'#orgDung'!GH68)</f>
        <v/>
      </c>
      <c r="BB67" s="1026" t="str">
        <f>IF(AZ67="","",'#orgDung'!GI68)</f>
        <v/>
      </c>
      <c r="BC67" s="1027" t="str">
        <f>IF(AZ67="","",'#orgDung'!GK68)</f>
        <v/>
      </c>
      <c r="BD67" s="1025"/>
      <c r="BE67" s="1026" t="str">
        <f>IF(BD67="","",'#orgDung'!GW68)</f>
        <v/>
      </c>
      <c r="BF67" s="1026" t="str">
        <f>IF(BD67="","",'#orgDung'!GX68)</f>
        <v/>
      </c>
      <c r="BG67" s="1027" t="str">
        <f>IF(BD67="","",'#orgDung'!GZ68)</f>
        <v/>
      </c>
      <c r="BH67" s="1025"/>
      <c r="BI67" s="1026" t="str">
        <f>IF(BH67="","",'#orgDung'!HL68)</f>
        <v/>
      </c>
      <c r="BJ67" s="1026" t="str">
        <f>IF(BH67="","",'#orgDung'!HM68)</f>
        <v/>
      </c>
      <c r="BK67" s="1027" t="str">
        <f>IF(BH67="","",'#orgDung'!HO68)</f>
        <v/>
      </c>
      <c r="BL67" s="1025"/>
      <c r="BM67" s="1026" t="str">
        <f>IF(BL67="","",'#orgDung'!IA68)</f>
        <v/>
      </c>
      <c r="BN67" s="1026" t="str">
        <f>IF(BL67="","",'#orgDung'!IB68)</f>
        <v/>
      </c>
      <c r="BO67" s="1027" t="str">
        <f>IF(BL67="","",'#orgDung'!ID68)</f>
        <v/>
      </c>
      <c r="BP67" s="1025"/>
      <c r="BQ67" s="1026" t="str">
        <f>IF(BP67="","",'#orgDung'!IP68)</f>
        <v/>
      </c>
      <c r="BR67" s="1026" t="str">
        <f>IF(BP67="","",'#orgDung'!IQ68)</f>
        <v/>
      </c>
      <c r="BS67" s="1027" t="str">
        <f>IF(BP67="","",'#orgDung'!IS68)</f>
        <v/>
      </c>
      <c r="BT67" s="1025"/>
      <c r="BU67" s="1026" t="str">
        <f>IF(BT67="","",'#orgDung'!JE68)</f>
        <v/>
      </c>
      <c r="BV67" s="1026" t="str">
        <f>IF(BT67="","",'#orgDung'!JF68)</f>
        <v/>
      </c>
      <c r="BW67" s="1027" t="str">
        <f>IF(BT67="","",'#orgDung'!JH68)</f>
        <v/>
      </c>
      <c r="BX67" s="1025"/>
      <c r="BY67" s="1026" t="str">
        <f>IF(BX67="","",'#orgDung'!JT68)</f>
        <v/>
      </c>
      <c r="BZ67" s="1026" t="str">
        <f>IF(BX67="","",'#orgDung'!JU68)</f>
        <v/>
      </c>
      <c r="CA67" s="1027" t="str">
        <f>IF(BX67="","",'#orgDung'!JW68)</f>
        <v/>
      </c>
      <c r="CB67" s="1025"/>
      <c r="CC67" s="1026" t="str">
        <f>IF(CB67="","",'#orgDung'!KI68)</f>
        <v/>
      </c>
      <c r="CD67" s="1026" t="str">
        <f>IF(CB67="","",'#orgDung'!KJ68)</f>
        <v/>
      </c>
      <c r="CE67" s="1027" t="str">
        <f>IF(CB67="","",'#orgDung'!KL68)</f>
        <v/>
      </c>
      <c r="CF67" s="1025"/>
      <c r="CG67" s="1026" t="str">
        <f>IF(CF67="","",'#orgDung'!KX68)</f>
        <v/>
      </c>
      <c r="CH67" s="1026" t="str">
        <f>IF(CF67="","",'#orgDung'!KY68)</f>
        <v/>
      </c>
      <c r="CI67" s="1027" t="str">
        <f>IF(CF67="","",'#orgDung'!LA68)</f>
        <v/>
      </c>
      <c r="CJ67" s="1025"/>
      <c r="CK67" s="1026" t="str">
        <f>IF(CJ67="","",'#orgDung'!LM68)</f>
        <v/>
      </c>
      <c r="CL67" s="1026" t="str">
        <f>IF(CJ67="","",'#orgDung'!LN68)</f>
        <v/>
      </c>
      <c r="CM67" s="1027" t="str">
        <f>IF(CJ67="","",'#orgDung'!LP68)</f>
        <v/>
      </c>
      <c r="CN67" s="1025"/>
      <c r="CO67" s="1026" t="str">
        <f>IF(CN67="","",'#orgDung'!MB68)</f>
        <v/>
      </c>
      <c r="CP67" s="1026" t="str">
        <f>IF(CN67="","",'#orgDung'!MC68)</f>
        <v/>
      </c>
      <c r="CQ67" s="1027" t="str">
        <f>IF(CN67="","",'#orgDung'!ME68)</f>
        <v/>
      </c>
      <c r="CR67" s="1025"/>
      <c r="CS67" s="1026" t="str">
        <f>IF(CR67="","",'#orgDung'!MQ68)</f>
        <v/>
      </c>
      <c r="CT67" s="1026" t="str">
        <f>IF(CR67="","",'#orgDung'!MR68)</f>
        <v/>
      </c>
      <c r="CU67" s="1027" t="str">
        <f>IF(CR67="","",'#orgDung'!MT68)</f>
        <v/>
      </c>
      <c r="CV67" s="1025"/>
      <c r="CW67" s="1026" t="str">
        <f>IF(CV67="","",'#orgDung'!NF68)</f>
        <v/>
      </c>
      <c r="CX67" s="1026" t="str">
        <f>IF(CV67="","",'#orgDung'!NG68)</f>
        <v/>
      </c>
      <c r="CY67" s="1027" t="str">
        <f>IF(CV67="","",'#orgDung'!NI68)</f>
        <v/>
      </c>
      <c r="CZ67" s="1025"/>
      <c r="DA67" s="1026" t="str">
        <f>IF(CZ67="","",'#orgDung'!NU68)</f>
        <v/>
      </c>
      <c r="DB67" s="1026" t="str">
        <f>IF(CZ67="","",'#orgDung'!NV68)</f>
        <v/>
      </c>
      <c r="DC67" s="1027" t="str">
        <f>IF(CZ67="","",'#orgDung'!NX68)</f>
        <v/>
      </c>
      <c r="DD67" s="1025"/>
      <c r="DE67" s="1026" t="str">
        <f>IF(DD67="","",'#orgDung'!OJ68)</f>
        <v/>
      </c>
      <c r="DF67" s="1026" t="str">
        <f>IF(DD67="","",'#orgDung'!OK68)</f>
        <v/>
      </c>
      <c r="DG67" s="1027" t="str">
        <f>IF(DD67="","",'#orgDung'!OM68)</f>
        <v/>
      </c>
      <c r="DH67" s="1025"/>
      <c r="DI67" s="1026" t="str">
        <f>IF(DH67="","",'#orgDung'!OY68)</f>
        <v/>
      </c>
      <c r="DJ67" s="1026" t="str">
        <f>IF(DH67="","",'#orgDung'!OZ68)</f>
        <v/>
      </c>
      <c r="DK67" s="1027" t="str">
        <f>IF(DH67="","",'#orgDung'!PB68)</f>
        <v/>
      </c>
      <c r="DL67" s="1025"/>
      <c r="DM67" s="1026" t="str">
        <f>IF(DL67="","",'#orgDung'!PN68)</f>
        <v/>
      </c>
      <c r="DN67" s="1026" t="str">
        <f>IF(DL67="","",'#orgDung'!PO68)</f>
        <v/>
      </c>
      <c r="DO67" s="1027" t="str">
        <f>IF(DL67="","",'#orgDung'!PQ68)</f>
        <v/>
      </c>
      <c r="DP67" s="1025"/>
      <c r="DQ67" s="1026" t="str">
        <f>IF(DP67="","",'#orgDung'!QC68)</f>
        <v/>
      </c>
      <c r="DR67" s="1026" t="str">
        <f>IF(DP67="","",'#orgDung'!QD68)</f>
        <v/>
      </c>
      <c r="DS67" s="1027" t="str">
        <f>IF(DP67="","",'#orgDung'!QF68)</f>
        <v/>
      </c>
      <c r="DT67" s="1025"/>
      <c r="DU67" s="1026" t="str">
        <f>IF(DT67="","",'#orgDung'!QR68)</f>
        <v/>
      </c>
      <c r="DV67" s="1026" t="str">
        <f>IF(DT67="","",'#orgDung'!QS68)</f>
        <v/>
      </c>
      <c r="DW67" s="1027" t="str">
        <f>IF(DT67="","",'#orgDung'!QU68)</f>
        <v/>
      </c>
      <c r="DX67" s="1025"/>
      <c r="DY67" s="1026" t="str">
        <f>IF(DX67="","",'#orgDung'!RG68)</f>
        <v/>
      </c>
      <c r="DZ67" s="1026" t="str">
        <f>IF(DX67="","",'#orgDung'!RH68)</f>
        <v/>
      </c>
      <c r="EA67" s="1027" t="str">
        <f>IF(DX67="","",'#orgDung'!RJ68)</f>
        <v/>
      </c>
    </row>
    <row r="68" spans="1:131" ht="15" customHeight="1" x14ac:dyDescent="0.2">
      <c r="A68" s="1195">
        <f>'Flächen u. Kulturen'!A65</f>
        <v>56</v>
      </c>
      <c r="B68" s="1195" t="str">
        <f>IF('Flächen u. Kulturen'!B65="","",'Flächen u. Kulturen'!B65)</f>
        <v/>
      </c>
      <c r="C68" s="1196" t="str">
        <f>IF('Flächen u. Kulturen'!D65="","",'Flächen u. Kulturen'!D65)</f>
        <v/>
      </c>
      <c r="D68" s="1197" t="str">
        <f>IF(C68="","",IF('#BerechnungDBE'!Q60&lt;4,"x",""))</f>
        <v/>
      </c>
      <c r="E68" s="1198" t="str">
        <f>IF(C68="","",VLOOKUP('Flächen u. Kulturen'!L65,'#Zweitfr'!$D$8:$F$28,'#Zweitfr'!$F$1,FALSE))</f>
        <v/>
      </c>
      <c r="F68" s="1199" t="str">
        <f>IF(C68="","",IF('Flächen u. Kulturen'!E65="x",'Flächen u. Kulturen'!P65,"nicht im Betrieb"))</f>
        <v/>
      </c>
      <c r="G68" s="1200" t="str">
        <f>IF(C68="","",IF('#orgDung'!C69=2,"--",IF('#Kürzungen'!$F$2=2,"--",'#orgDung'!R69)))</f>
        <v/>
      </c>
      <c r="H68" s="1200" t="str">
        <f>IF(C68="","",'#orgDung'!U69)</f>
        <v/>
      </c>
      <c r="I68" s="1201" t="str">
        <f>IF(C68="","",IF(COUNT('#orgDung'!RS69:SA69)=0,"OK",TRIM(CONCATENATE('#orgDung'!RS69," ",'#orgDung'!RT69," ",'#orgDung'!RU69," ",'#orgDung'!RV69," ",'#orgDung'!RW69," ",'#orgDung'!RX69," ",'#orgDung'!RY69," ",'#orgDung'!RZ69," ",'#orgDung'!SA69))))</f>
        <v/>
      </c>
      <c r="J68" s="1023"/>
      <c r="K68" s="1024"/>
      <c r="L68" s="1025"/>
      <c r="M68" s="1026" t="str">
        <f>IF(L68="","",'#orgDung'!AN69)</f>
        <v/>
      </c>
      <c r="N68" s="1026" t="str">
        <f>IF(L68="","",'#orgDung'!AO69)</f>
        <v/>
      </c>
      <c r="O68" s="1027" t="str">
        <f>IF(L68="","",'#orgDung'!AQ69)</f>
        <v/>
      </c>
      <c r="P68" s="1025"/>
      <c r="Q68" s="1026" t="str">
        <f>IF(P68="","",'#orgDung'!BC69)</f>
        <v/>
      </c>
      <c r="R68" s="1026" t="str">
        <f>IF(P68="","",'#orgDung'!BD69)</f>
        <v/>
      </c>
      <c r="S68" s="1027" t="str">
        <f>IF(P68="","",'#orgDung'!BF69)</f>
        <v/>
      </c>
      <c r="T68" s="1025"/>
      <c r="U68" s="1026" t="str">
        <f>IF(T68="","",'#orgDung'!BR69)</f>
        <v/>
      </c>
      <c r="V68" s="1026" t="str">
        <f>IF(T68="","",'#orgDung'!BS69)</f>
        <v/>
      </c>
      <c r="W68" s="1027" t="str">
        <f>IF(T68="","",'#orgDung'!BU69)</f>
        <v/>
      </c>
      <c r="X68" s="1025"/>
      <c r="Y68" s="1026" t="str">
        <f>IF(X68="","",'#orgDung'!CG69)</f>
        <v/>
      </c>
      <c r="Z68" s="1026" t="str">
        <f>IF(X68="","",'#orgDung'!CH69)</f>
        <v/>
      </c>
      <c r="AA68" s="1027" t="str">
        <f>IF(X68="","",'#orgDung'!CJ69)</f>
        <v/>
      </c>
      <c r="AB68" s="1025"/>
      <c r="AC68" s="1026" t="str">
        <f>IF(AB68="","",'#orgDung'!CV69)</f>
        <v/>
      </c>
      <c r="AD68" s="1026" t="str">
        <f>IF(AB68="","",'#orgDung'!CW69)</f>
        <v/>
      </c>
      <c r="AE68" s="1027" t="str">
        <f>IF(AB68="","",'#orgDung'!CY69)</f>
        <v/>
      </c>
      <c r="AF68" s="1025"/>
      <c r="AG68" s="1026" t="str">
        <f>IF(AF68="","",'#orgDung'!DK69)</f>
        <v/>
      </c>
      <c r="AH68" s="1026" t="str">
        <f>IF(AF68="","",'#orgDung'!DL69)</f>
        <v/>
      </c>
      <c r="AI68" s="1027" t="str">
        <f>IF(AF68="","",'#orgDung'!DN69)</f>
        <v/>
      </c>
      <c r="AJ68" s="1025"/>
      <c r="AK68" s="1026" t="str">
        <f>IF(AJ68="","",'#orgDung'!DZ69)</f>
        <v/>
      </c>
      <c r="AL68" s="1026" t="str">
        <f>IF(AJ68="","",'#orgDung'!EA69)</f>
        <v/>
      </c>
      <c r="AM68" s="1027" t="str">
        <f>IF(AJ68="","",'#orgDung'!EC69)</f>
        <v/>
      </c>
      <c r="AN68" s="1025"/>
      <c r="AO68" s="1026" t="str">
        <f>IF(AN68="","",'#orgDung'!EO69)</f>
        <v/>
      </c>
      <c r="AP68" s="1026" t="str">
        <f>IF(AN68="","",'#orgDung'!EP69)</f>
        <v/>
      </c>
      <c r="AQ68" s="1027" t="str">
        <f>IF(AN68="","",'#orgDung'!ER69)</f>
        <v/>
      </c>
      <c r="AR68" s="1025"/>
      <c r="AS68" s="1026" t="str">
        <f>IF(AR68="","",'#orgDung'!FD69)</f>
        <v/>
      </c>
      <c r="AT68" s="1026" t="str">
        <f>IF(AR68="","",'#orgDung'!FE69)</f>
        <v/>
      </c>
      <c r="AU68" s="1027" t="str">
        <f>IF(AR68="","",'#orgDung'!FG69)</f>
        <v/>
      </c>
      <c r="AV68" s="1025"/>
      <c r="AW68" s="1026" t="str">
        <f>IF(AV68="","",'#orgDung'!FS69)</f>
        <v/>
      </c>
      <c r="AX68" s="1026" t="str">
        <f>IF(AV68="","",'#orgDung'!FT69)</f>
        <v/>
      </c>
      <c r="AY68" s="1027" t="str">
        <f>IF(AV68="","",'#orgDung'!FV69)</f>
        <v/>
      </c>
      <c r="AZ68" s="1025"/>
      <c r="BA68" s="1026" t="str">
        <f>IF(AZ68="","",'#orgDung'!GH69)</f>
        <v/>
      </c>
      <c r="BB68" s="1026" t="str">
        <f>IF(AZ68="","",'#orgDung'!GI69)</f>
        <v/>
      </c>
      <c r="BC68" s="1027" t="str">
        <f>IF(AZ68="","",'#orgDung'!GK69)</f>
        <v/>
      </c>
      <c r="BD68" s="1025"/>
      <c r="BE68" s="1026" t="str">
        <f>IF(BD68="","",'#orgDung'!GW69)</f>
        <v/>
      </c>
      <c r="BF68" s="1026" t="str">
        <f>IF(BD68="","",'#orgDung'!GX69)</f>
        <v/>
      </c>
      <c r="BG68" s="1027" t="str">
        <f>IF(BD68="","",'#orgDung'!GZ69)</f>
        <v/>
      </c>
      <c r="BH68" s="1025"/>
      <c r="BI68" s="1026" t="str">
        <f>IF(BH68="","",'#orgDung'!HL69)</f>
        <v/>
      </c>
      <c r="BJ68" s="1026" t="str">
        <f>IF(BH68="","",'#orgDung'!HM69)</f>
        <v/>
      </c>
      <c r="BK68" s="1027" t="str">
        <f>IF(BH68="","",'#orgDung'!HO69)</f>
        <v/>
      </c>
      <c r="BL68" s="1025"/>
      <c r="BM68" s="1026" t="str">
        <f>IF(BL68="","",'#orgDung'!IA69)</f>
        <v/>
      </c>
      <c r="BN68" s="1026" t="str">
        <f>IF(BL68="","",'#orgDung'!IB69)</f>
        <v/>
      </c>
      <c r="BO68" s="1027" t="str">
        <f>IF(BL68="","",'#orgDung'!ID69)</f>
        <v/>
      </c>
      <c r="BP68" s="1025"/>
      <c r="BQ68" s="1026" t="str">
        <f>IF(BP68="","",'#orgDung'!IP69)</f>
        <v/>
      </c>
      <c r="BR68" s="1026" t="str">
        <f>IF(BP68="","",'#orgDung'!IQ69)</f>
        <v/>
      </c>
      <c r="BS68" s="1027" t="str">
        <f>IF(BP68="","",'#orgDung'!IS69)</f>
        <v/>
      </c>
      <c r="BT68" s="1025"/>
      <c r="BU68" s="1026" t="str">
        <f>IF(BT68="","",'#orgDung'!JE69)</f>
        <v/>
      </c>
      <c r="BV68" s="1026" t="str">
        <f>IF(BT68="","",'#orgDung'!JF69)</f>
        <v/>
      </c>
      <c r="BW68" s="1027" t="str">
        <f>IF(BT68="","",'#orgDung'!JH69)</f>
        <v/>
      </c>
      <c r="BX68" s="1025"/>
      <c r="BY68" s="1026" t="str">
        <f>IF(BX68="","",'#orgDung'!JT69)</f>
        <v/>
      </c>
      <c r="BZ68" s="1026" t="str">
        <f>IF(BX68="","",'#orgDung'!JU69)</f>
        <v/>
      </c>
      <c r="CA68" s="1027" t="str">
        <f>IF(BX68="","",'#orgDung'!JW69)</f>
        <v/>
      </c>
      <c r="CB68" s="1025"/>
      <c r="CC68" s="1026" t="str">
        <f>IF(CB68="","",'#orgDung'!KI69)</f>
        <v/>
      </c>
      <c r="CD68" s="1026" t="str">
        <f>IF(CB68="","",'#orgDung'!KJ69)</f>
        <v/>
      </c>
      <c r="CE68" s="1027" t="str">
        <f>IF(CB68="","",'#orgDung'!KL69)</f>
        <v/>
      </c>
      <c r="CF68" s="1025"/>
      <c r="CG68" s="1026" t="str">
        <f>IF(CF68="","",'#orgDung'!KX69)</f>
        <v/>
      </c>
      <c r="CH68" s="1026" t="str">
        <f>IF(CF68="","",'#orgDung'!KY69)</f>
        <v/>
      </c>
      <c r="CI68" s="1027" t="str">
        <f>IF(CF68="","",'#orgDung'!LA69)</f>
        <v/>
      </c>
      <c r="CJ68" s="1025"/>
      <c r="CK68" s="1026" t="str">
        <f>IF(CJ68="","",'#orgDung'!LM69)</f>
        <v/>
      </c>
      <c r="CL68" s="1026" t="str">
        <f>IF(CJ68="","",'#orgDung'!LN69)</f>
        <v/>
      </c>
      <c r="CM68" s="1027" t="str">
        <f>IF(CJ68="","",'#orgDung'!LP69)</f>
        <v/>
      </c>
      <c r="CN68" s="1025"/>
      <c r="CO68" s="1026" t="str">
        <f>IF(CN68="","",'#orgDung'!MB69)</f>
        <v/>
      </c>
      <c r="CP68" s="1026" t="str">
        <f>IF(CN68="","",'#orgDung'!MC69)</f>
        <v/>
      </c>
      <c r="CQ68" s="1027" t="str">
        <f>IF(CN68="","",'#orgDung'!ME69)</f>
        <v/>
      </c>
      <c r="CR68" s="1025"/>
      <c r="CS68" s="1026" t="str">
        <f>IF(CR68="","",'#orgDung'!MQ69)</f>
        <v/>
      </c>
      <c r="CT68" s="1026" t="str">
        <f>IF(CR68="","",'#orgDung'!MR69)</f>
        <v/>
      </c>
      <c r="CU68" s="1027" t="str">
        <f>IF(CR68="","",'#orgDung'!MT69)</f>
        <v/>
      </c>
      <c r="CV68" s="1025"/>
      <c r="CW68" s="1026" t="str">
        <f>IF(CV68="","",'#orgDung'!NF69)</f>
        <v/>
      </c>
      <c r="CX68" s="1026" t="str">
        <f>IF(CV68="","",'#orgDung'!NG69)</f>
        <v/>
      </c>
      <c r="CY68" s="1027" t="str">
        <f>IF(CV68="","",'#orgDung'!NI69)</f>
        <v/>
      </c>
      <c r="CZ68" s="1025"/>
      <c r="DA68" s="1026" t="str">
        <f>IF(CZ68="","",'#orgDung'!NU69)</f>
        <v/>
      </c>
      <c r="DB68" s="1026" t="str">
        <f>IF(CZ68="","",'#orgDung'!NV69)</f>
        <v/>
      </c>
      <c r="DC68" s="1027" t="str">
        <f>IF(CZ68="","",'#orgDung'!NX69)</f>
        <v/>
      </c>
      <c r="DD68" s="1025"/>
      <c r="DE68" s="1026" t="str">
        <f>IF(DD68="","",'#orgDung'!OJ69)</f>
        <v/>
      </c>
      <c r="DF68" s="1026" t="str">
        <f>IF(DD68="","",'#orgDung'!OK69)</f>
        <v/>
      </c>
      <c r="DG68" s="1027" t="str">
        <f>IF(DD68="","",'#orgDung'!OM69)</f>
        <v/>
      </c>
      <c r="DH68" s="1025"/>
      <c r="DI68" s="1026" t="str">
        <f>IF(DH68="","",'#orgDung'!OY69)</f>
        <v/>
      </c>
      <c r="DJ68" s="1026" t="str">
        <f>IF(DH68="","",'#orgDung'!OZ69)</f>
        <v/>
      </c>
      <c r="DK68" s="1027" t="str">
        <f>IF(DH68="","",'#orgDung'!PB69)</f>
        <v/>
      </c>
      <c r="DL68" s="1025"/>
      <c r="DM68" s="1026" t="str">
        <f>IF(DL68="","",'#orgDung'!PN69)</f>
        <v/>
      </c>
      <c r="DN68" s="1026" t="str">
        <f>IF(DL68="","",'#orgDung'!PO69)</f>
        <v/>
      </c>
      <c r="DO68" s="1027" t="str">
        <f>IF(DL68="","",'#orgDung'!PQ69)</f>
        <v/>
      </c>
      <c r="DP68" s="1025"/>
      <c r="DQ68" s="1026" t="str">
        <f>IF(DP68="","",'#orgDung'!QC69)</f>
        <v/>
      </c>
      <c r="DR68" s="1026" t="str">
        <f>IF(DP68="","",'#orgDung'!QD69)</f>
        <v/>
      </c>
      <c r="DS68" s="1027" t="str">
        <f>IF(DP68="","",'#orgDung'!QF69)</f>
        <v/>
      </c>
      <c r="DT68" s="1025"/>
      <c r="DU68" s="1026" t="str">
        <f>IF(DT68="","",'#orgDung'!QR69)</f>
        <v/>
      </c>
      <c r="DV68" s="1026" t="str">
        <f>IF(DT68="","",'#orgDung'!QS69)</f>
        <v/>
      </c>
      <c r="DW68" s="1027" t="str">
        <f>IF(DT68="","",'#orgDung'!QU69)</f>
        <v/>
      </c>
      <c r="DX68" s="1025"/>
      <c r="DY68" s="1026" t="str">
        <f>IF(DX68="","",'#orgDung'!RG69)</f>
        <v/>
      </c>
      <c r="DZ68" s="1026" t="str">
        <f>IF(DX68="","",'#orgDung'!RH69)</f>
        <v/>
      </c>
      <c r="EA68" s="1027" t="str">
        <f>IF(DX68="","",'#orgDung'!RJ69)</f>
        <v/>
      </c>
    </row>
    <row r="69" spans="1:131" ht="15" customHeight="1" x14ac:dyDescent="0.2">
      <c r="A69" s="1195">
        <f>'Flächen u. Kulturen'!A66</f>
        <v>57</v>
      </c>
      <c r="B69" s="1195" t="str">
        <f>IF('Flächen u. Kulturen'!B66="","",'Flächen u. Kulturen'!B66)</f>
        <v/>
      </c>
      <c r="C69" s="1196" t="str">
        <f>IF('Flächen u. Kulturen'!D66="","",'Flächen u. Kulturen'!D66)</f>
        <v/>
      </c>
      <c r="D69" s="1197" t="str">
        <f>IF(C69="","",IF('#BerechnungDBE'!Q61&lt;4,"x",""))</f>
        <v/>
      </c>
      <c r="E69" s="1198" t="str">
        <f>IF(C69="","",VLOOKUP('Flächen u. Kulturen'!L66,'#Zweitfr'!$D$8:$F$28,'#Zweitfr'!$F$1,FALSE))</f>
        <v/>
      </c>
      <c r="F69" s="1199" t="str">
        <f>IF(C69="","",IF('Flächen u. Kulturen'!E66="x",'Flächen u. Kulturen'!P66,"nicht im Betrieb"))</f>
        <v/>
      </c>
      <c r="G69" s="1200" t="str">
        <f>IF(C69="","",IF('#orgDung'!C70=2,"--",IF('#Kürzungen'!$F$2=2,"--",'#orgDung'!R70)))</f>
        <v/>
      </c>
      <c r="H69" s="1200" t="str">
        <f>IF(C69="","",'#orgDung'!U70)</f>
        <v/>
      </c>
      <c r="I69" s="1201" t="str">
        <f>IF(C69="","",IF(COUNT('#orgDung'!RS70:SA70)=0,"OK",TRIM(CONCATENATE('#orgDung'!RS70," ",'#orgDung'!RT70," ",'#orgDung'!RU70," ",'#orgDung'!RV70," ",'#orgDung'!RW70," ",'#orgDung'!RX70," ",'#orgDung'!RY70," ",'#orgDung'!RZ70," ",'#orgDung'!SA70))))</f>
        <v/>
      </c>
      <c r="J69" s="1023"/>
      <c r="K69" s="1024"/>
      <c r="L69" s="1025"/>
      <c r="M69" s="1026" t="str">
        <f>IF(L69="","",'#orgDung'!AN70)</f>
        <v/>
      </c>
      <c r="N69" s="1026" t="str">
        <f>IF(L69="","",'#orgDung'!AO70)</f>
        <v/>
      </c>
      <c r="O69" s="1027" t="str">
        <f>IF(L69="","",'#orgDung'!AQ70)</f>
        <v/>
      </c>
      <c r="P69" s="1025"/>
      <c r="Q69" s="1026" t="str">
        <f>IF(P69="","",'#orgDung'!BC70)</f>
        <v/>
      </c>
      <c r="R69" s="1026" t="str">
        <f>IF(P69="","",'#orgDung'!BD70)</f>
        <v/>
      </c>
      <c r="S69" s="1027" t="str">
        <f>IF(P69="","",'#orgDung'!BF70)</f>
        <v/>
      </c>
      <c r="T69" s="1025"/>
      <c r="U69" s="1026" t="str">
        <f>IF(T69="","",'#orgDung'!BR70)</f>
        <v/>
      </c>
      <c r="V69" s="1026" t="str">
        <f>IF(T69="","",'#orgDung'!BS70)</f>
        <v/>
      </c>
      <c r="W69" s="1027" t="str">
        <f>IF(T69="","",'#orgDung'!BU70)</f>
        <v/>
      </c>
      <c r="X69" s="1025"/>
      <c r="Y69" s="1026" t="str">
        <f>IF(X69="","",'#orgDung'!CG70)</f>
        <v/>
      </c>
      <c r="Z69" s="1026" t="str">
        <f>IF(X69="","",'#orgDung'!CH70)</f>
        <v/>
      </c>
      <c r="AA69" s="1027" t="str">
        <f>IF(X69="","",'#orgDung'!CJ70)</f>
        <v/>
      </c>
      <c r="AB69" s="1025"/>
      <c r="AC69" s="1026" t="str">
        <f>IF(AB69="","",'#orgDung'!CV70)</f>
        <v/>
      </c>
      <c r="AD69" s="1026" t="str">
        <f>IF(AB69="","",'#orgDung'!CW70)</f>
        <v/>
      </c>
      <c r="AE69" s="1027" t="str">
        <f>IF(AB69="","",'#orgDung'!CY70)</f>
        <v/>
      </c>
      <c r="AF69" s="1025"/>
      <c r="AG69" s="1026" t="str">
        <f>IF(AF69="","",'#orgDung'!DK70)</f>
        <v/>
      </c>
      <c r="AH69" s="1026" t="str">
        <f>IF(AF69="","",'#orgDung'!DL70)</f>
        <v/>
      </c>
      <c r="AI69" s="1027" t="str">
        <f>IF(AF69="","",'#orgDung'!DN70)</f>
        <v/>
      </c>
      <c r="AJ69" s="1025"/>
      <c r="AK69" s="1026" t="str">
        <f>IF(AJ69="","",'#orgDung'!DZ70)</f>
        <v/>
      </c>
      <c r="AL69" s="1026" t="str">
        <f>IF(AJ69="","",'#orgDung'!EA70)</f>
        <v/>
      </c>
      <c r="AM69" s="1027" t="str">
        <f>IF(AJ69="","",'#orgDung'!EC70)</f>
        <v/>
      </c>
      <c r="AN69" s="1025"/>
      <c r="AO69" s="1026" t="str">
        <f>IF(AN69="","",'#orgDung'!EO70)</f>
        <v/>
      </c>
      <c r="AP69" s="1026" t="str">
        <f>IF(AN69="","",'#orgDung'!EP70)</f>
        <v/>
      </c>
      <c r="AQ69" s="1027" t="str">
        <f>IF(AN69="","",'#orgDung'!ER70)</f>
        <v/>
      </c>
      <c r="AR69" s="1025"/>
      <c r="AS69" s="1026" t="str">
        <f>IF(AR69="","",'#orgDung'!FD70)</f>
        <v/>
      </c>
      <c r="AT69" s="1026" t="str">
        <f>IF(AR69="","",'#orgDung'!FE70)</f>
        <v/>
      </c>
      <c r="AU69" s="1027" t="str">
        <f>IF(AR69="","",'#orgDung'!FG70)</f>
        <v/>
      </c>
      <c r="AV69" s="1025"/>
      <c r="AW69" s="1026" t="str">
        <f>IF(AV69="","",'#orgDung'!FS70)</f>
        <v/>
      </c>
      <c r="AX69" s="1026" t="str">
        <f>IF(AV69="","",'#orgDung'!FT70)</f>
        <v/>
      </c>
      <c r="AY69" s="1027" t="str">
        <f>IF(AV69="","",'#orgDung'!FV70)</f>
        <v/>
      </c>
      <c r="AZ69" s="1025"/>
      <c r="BA69" s="1026" t="str">
        <f>IF(AZ69="","",'#orgDung'!GH70)</f>
        <v/>
      </c>
      <c r="BB69" s="1026" t="str">
        <f>IF(AZ69="","",'#orgDung'!GI70)</f>
        <v/>
      </c>
      <c r="BC69" s="1027" t="str">
        <f>IF(AZ69="","",'#orgDung'!GK70)</f>
        <v/>
      </c>
      <c r="BD69" s="1025"/>
      <c r="BE69" s="1026" t="str">
        <f>IF(BD69="","",'#orgDung'!GW70)</f>
        <v/>
      </c>
      <c r="BF69" s="1026" t="str">
        <f>IF(BD69="","",'#orgDung'!GX70)</f>
        <v/>
      </c>
      <c r="BG69" s="1027" t="str">
        <f>IF(BD69="","",'#orgDung'!GZ70)</f>
        <v/>
      </c>
      <c r="BH69" s="1025"/>
      <c r="BI69" s="1026" t="str">
        <f>IF(BH69="","",'#orgDung'!HL70)</f>
        <v/>
      </c>
      <c r="BJ69" s="1026" t="str">
        <f>IF(BH69="","",'#orgDung'!HM70)</f>
        <v/>
      </c>
      <c r="BK69" s="1027" t="str">
        <f>IF(BH69="","",'#orgDung'!HO70)</f>
        <v/>
      </c>
      <c r="BL69" s="1025"/>
      <c r="BM69" s="1026" t="str">
        <f>IF(BL69="","",'#orgDung'!IA70)</f>
        <v/>
      </c>
      <c r="BN69" s="1026" t="str">
        <f>IF(BL69="","",'#orgDung'!IB70)</f>
        <v/>
      </c>
      <c r="BO69" s="1027" t="str">
        <f>IF(BL69="","",'#orgDung'!ID70)</f>
        <v/>
      </c>
      <c r="BP69" s="1025"/>
      <c r="BQ69" s="1026" t="str">
        <f>IF(BP69="","",'#orgDung'!IP70)</f>
        <v/>
      </c>
      <c r="BR69" s="1026" t="str">
        <f>IF(BP69="","",'#orgDung'!IQ70)</f>
        <v/>
      </c>
      <c r="BS69" s="1027" t="str">
        <f>IF(BP69="","",'#orgDung'!IS70)</f>
        <v/>
      </c>
      <c r="BT69" s="1025"/>
      <c r="BU69" s="1026" t="str">
        <f>IF(BT69="","",'#orgDung'!JE70)</f>
        <v/>
      </c>
      <c r="BV69" s="1026" t="str">
        <f>IF(BT69="","",'#orgDung'!JF70)</f>
        <v/>
      </c>
      <c r="BW69" s="1027" t="str">
        <f>IF(BT69="","",'#orgDung'!JH70)</f>
        <v/>
      </c>
      <c r="BX69" s="1025"/>
      <c r="BY69" s="1026" t="str">
        <f>IF(BX69="","",'#orgDung'!JT70)</f>
        <v/>
      </c>
      <c r="BZ69" s="1026" t="str">
        <f>IF(BX69="","",'#orgDung'!JU70)</f>
        <v/>
      </c>
      <c r="CA69" s="1027" t="str">
        <f>IF(BX69="","",'#orgDung'!JW70)</f>
        <v/>
      </c>
      <c r="CB69" s="1025"/>
      <c r="CC69" s="1026" t="str">
        <f>IF(CB69="","",'#orgDung'!KI70)</f>
        <v/>
      </c>
      <c r="CD69" s="1026" t="str">
        <f>IF(CB69="","",'#orgDung'!KJ70)</f>
        <v/>
      </c>
      <c r="CE69" s="1027" t="str">
        <f>IF(CB69="","",'#orgDung'!KL70)</f>
        <v/>
      </c>
      <c r="CF69" s="1025"/>
      <c r="CG69" s="1026" t="str">
        <f>IF(CF69="","",'#orgDung'!KX70)</f>
        <v/>
      </c>
      <c r="CH69" s="1026" t="str">
        <f>IF(CF69="","",'#orgDung'!KY70)</f>
        <v/>
      </c>
      <c r="CI69" s="1027" t="str">
        <f>IF(CF69="","",'#orgDung'!LA70)</f>
        <v/>
      </c>
      <c r="CJ69" s="1025"/>
      <c r="CK69" s="1026" t="str">
        <f>IF(CJ69="","",'#orgDung'!LM70)</f>
        <v/>
      </c>
      <c r="CL69" s="1026" t="str">
        <f>IF(CJ69="","",'#orgDung'!LN70)</f>
        <v/>
      </c>
      <c r="CM69" s="1027" t="str">
        <f>IF(CJ69="","",'#orgDung'!LP70)</f>
        <v/>
      </c>
      <c r="CN69" s="1025"/>
      <c r="CO69" s="1026" t="str">
        <f>IF(CN69="","",'#orgDung'!MB70)</f>
        <v/>
      </c>
      <c r="CP69" s="1026" t="str">
        <f>IF(CN69="","",'#orgDung'!MC70)</f>
        <v/>
      </c>
      <c r="CQ69" s="1027" t="str">
        <f>IF(CN69="","",'#orgDung'!ME70)</f>
        <v/>
      </c>
      <c r="CR69" s="1025"/>
      <c r="CS69" s="1026" t="str">
        <f>IF(CR69="","",'#orgDung'!MQ70)</f>
        <v/>
      </c>
      <c r="CT69" s="1026" t="str">
        <f>IF(CR69="","",'#orgDung'!MR70)</f>
        <v/>
      </c>
      <c r="CU69" s="1027" t="str">
        <f>IF(CR69="","",'#orgDung'!MT70)</f>
        <v/>
      </c>
      <c r="CV69" s="1025"/>
      <c r="CW69" s="1026" t="str">
        <f>IF(CV69="","",'#orgDung'!NF70)</f>
        <v/>
      </c>
      <c r="CX69" s="1026" t="str">
        <f>IF(CV69="","",'#orgDung'!NG70)</f>
        <v/>
      </c>
      <c r="CY69" s="1027" t="str">
        <f>IF(CV69="","",'#orgDung'!NI70)</f>
        <v/>
      </c>
      <c r="CZ69" s="1025"/>
      <c r="DA69" s="1026" t="str">
        <f>IF(CZ69="","",'#orgDung'!NU70)</f>
        <v/>
      </c>
      <c r="DB69" s="1026" t="str">
        <f>IF(CZ69="","",'#orgDung'!NV70)</f>
        <v/>
      </c>
      <c r="DC69" s="1027" t="str">
        <f>IF(CZ69="","",'#orgDung'!NX70)</f>
        <v/>
      </c>
      <c r="DD69" s="1025"/>
      <c r="DE69" s="1026" t="str">
        <f>IF(DD69="","",'#orgDung'!OJ70)</f>
        <v/>
      </c>
      <c r="DF69" s="1026" t="str">
        <f>IF(DD69="","",'#orgDung'!OK70)</f>
        <v/>
      </c>
      <c r="DG69" s="1027" t="str">
        <f>IF(DD69="","",'#orgDung'!OM70)</f>
        <v/>
      </c>
      <c r="DH69" s="1025"/>
      <c r="DI69" s="1026" t="str">
        <f>IF(DH69="","",'#orgDung'!OY70)</f>
        <v/>
      </c>
      <c r="DJ69" s="1026" t="str">
        <f>IF(DH69="","",'#orgDung'!OZ70)</f>
        <v/>
      </c>
      <c r="DK69" s="1027" t="str">
        <f>IF(DH69="","",'#orgDung'!PB70)</f>
        <v/>
      </c>
      <c r="DL69" s="1025"/>
      <c r="DM69" s="1026" t="str">
        <f>IF(DL69="","",'#orgDung'!PN70)</f>
        <v/>
      </c>
      <c r="DN69" s="1026" t="str">
        <f>IF(DL69="","",'#orgDung'!PO70)</f>
        <v/>
      </c>
      <c r="DO69" s="1027" t="str">
        <f>IF(DL69="","",'#orgDung'!PQ70)</f>
        <v/>
      </c>
      <c r="DP69" s="1025"/>
      <c r="DQ69" s="1026" t="str">
        <f>IF(DP69="","",'#orgDung'!QC70)</f>
        <v/>
      </c>
      <c r="DR69" s="1026" t="str">
        <f>IF(DP69="","",'#orgDung'!QD70)</f>
        <v/>
      </c>
      <c r="DS69" s="1027" t="str">
        <f>IF(DP69="","",'#orgDung'!QF70)</f>
        <v/>
      </c>
      <c r="DT69" s="1025"/>
      <c r="DU69" s="1026" t="str">
        <f>IF(DT69="","",'#orgDung'!QR70)</f>
        <v/>
      </c>
      <c r="DV69" s="1026" t="str">
        <f>IF(DT69="","",'#orgDung'!QS70)</f>
        <v/>
      </c>
      <c r="DW69" s="1027" t="str">
        <f>IF(DT69="","",'#orgDung'!QU70)</f>
        <v/>
      </c>
      <c r="DX69" s="1025"/>
      <c r="DY69" s="1026" t="str">
        <f>IF(DX69="","",'#orgDung'!RG70)</f>
        <v/>
      </c>
      <c r="DZ69" s="1026" t="str">
        <f>IF(DX69="","",'#orgDung'!RH70)</f>
        <v/>
      </c>
      <c r="EA69" s="1027" t="str">
        <f>IF(DX69="","",'#orgDung'!RJ70)</f>
        <v/>
      </c>
    </row>
    <row r="70" spans="1:131" ht="15" customHeight="1" x14ac:dyDescent="0.2">
      <c r="A70" s="1195">
        <f>'Flächen u. Kulturen'!A67</f>
        <v>58</v>
      </c>
      <c r="B70" s="1195" t="str">
        <f>IF('Flächen u. Kulturen'!B67="","",'Flächen u. Kulturen'!B67)</f>
        <v/>
      </c>
      <c r="C70" s="1196" t="str">
        <f>IF('Flächen u. Kulturen'!D67="","",'Flächen u. Kulturen'!D67)</f>
        <v/>
      </c>
      <c r="D70" s="1197" t="str">
        <f>IF(C70="","",IF('#BerechnungDBE'!Q62&lt;4,"x",""))</f>
        <v/>
      </c>
      <c r="E70" s="1198" t="str">
        <f>IF(C70="","",VLOOKUP('Flächen u. Kulturen'!L67,'#Zweitfr'!$D$8:$F$28,'#Zweitfr'!$F$1,FALSE))</f>
        <v/>
      </c>
      <c r="F70" s="1199" t="str">
        <f>IF(C70="","",IF('Flächen u. Kulturen'!E67="x",'Flächen u. Kulturen'!P67,"nicht im Betrieb"))</f>
        <v/>
      </c>
      <c r="G70" s="1200" t="str">
        <f>IF(C70="","",IF('#orgDung'!C71=2,"--",IF('#Kürzungen'!$F$2=2,"--",'#orgDung'!R71)))</f>
        <v/>
      </c>
      <c r="H70" s="1200" t="str">
        <f>IF(C70="","",'#orgDung'!U71)</f>
        <v/>
      </c>
      <c r="I70" s="1201" t="str">
        <f>IF(C70="","",IF(COUNT('#orgDung'!RS71:SA71)=0,"OK",TRIM(CONCATENATE('#orgDung'!RS71," ",'#orgDung'!RT71," ",'#orgDung'!RU71," ",'#orgDung'!RV71," ",'#orgDung'!RW71," ",'#orgDung'!RX71," ",'#orgDung'!RY71," ",'#orgDung'!RZ71," ",'#orgDung'!SA71))))</f>
        <v/>
      </c>
      <c r="J70" s="1023"/>
      <c r="K70" s="1024"/>
      <c r="L70" s="1025"/>
      <c r="M70" s="1026" t="str">
        <f>IF(L70="","",'#orgDung'!AN71)</f>
        <v/>
      </c>
      <c r="N70" s="1026" t="str">
        <f>IF(L70="","",'#orgDung'!AO71)</f>
        <v/>
      </c>
      <c r="O70" s="1027" t="str">
        <f>IF(L70="","",'#orgDung'!AQ71)</f>
        <v/>
      </c>
      <c r="P70" s="1025"/>
      <c r="Q70" s="1026" t="str">
        <f>IF(P70="","",'#orgDung'!BC71)</f>
        <v/>
      </c>
      <c r="R70" s="1026" t="str">
        <f>IF(P70="","",'#orgDung'!BD71)</f>
        <v/>
      </c>
      <c r="S70" s="1027" t="str">
        <f>IF(P70="","",'#orgDung'!BF71)</f>
        <v/>
      </c>
      <c r="T70" s="1025"/>
      <c r="U70" s="1026" t="str">
        <f>IF(T70="","",'#orgDung'!BR71)</f>
        <v/>
      </c>
      <c r="V70" s="1026" t="str">
        <f>IF(T70="","",'#orgDung'!BS71)</f>
        <v/>
      </c>
      <c r="W70" s="1027" t="str">
        <f>IF(T70="","",'#orgDung'!BU71)</f>
        <v/>
      </c>
      <c r="X70" s="1025"/>
      <c r="Y70" s="1026" t="str">
        <f>IF(X70="","",'#orgDung'!CG71)</f>
        <v/>
      </c>
      <c r="Z70" s="1026" t="str">
        <f>IF(X70="","",'#orgDung'!CH71)</f>
        <v/>
      </c>
      <c r="AA70" s="1027" t="str">
        <f>IF(X70="","",'#orgDung'!CJ71)</f>
        <v/>
      </c>
      <c r="AB70" s="1025"/>
      <c r="AC70" s="1026" t="str">
        <f>IF(AB70="","",'#orgDung'!CV71)</f>
        <v/>
      </c>
      <c r="AD70" s="1026" t="str">
        <f>IF(AB70="","",'#orgDung'!CW71)</f>
        <v/>
      </c>
      <c r="AE70" s="1027" t="str">
        <f>IF(AB70="","",'#orgDung'!CY71)</f>
        <v/>
      </c>
      <c r="AF70" s="1025"/>
      <c r="AG70" s="1026" t="str">
        <f>IF(AF70="","",'#orgDung'!DK71)</f>
        <v/>
      </c>
      <c r="AH70" s="1026" t="str">
        <f>IF(AF70="","",'#orgDung'!DL71)</f>
        <v/>
      </c>
      <c r="AI70" s="1027" t="str">
        <f>IF(AF70="","",'#orgDung'!DN71)</f>
        <v/>
      </c>
      <c r="AJ70" s="1025"/>
      <c r="AK70" s="1026" t="str">
        <f>IF(AJ70="","",'#orgDung'!DZ71)</f>
        <v/>
      </c>
      <c r="AL70" s="1026" t="str">
        <f>IF(AJ70="","",'#orgDung'!EA71)</f>
        <v/>
      </c>
      <c r="AM70" s="1027" t="str">
        <f>IF(AJ70="","",'#orgDung'!EC71)</f>
        <v/>
      </c>
      <c r="AN70" s="1025"/>
      <c r="AO70" s="1026" t="str">
        <f>IF(AN70="","",'#orgDung'!EO71)</f>
        <v/>
      </c>
      <c r="AP70" s="1026" t="str">
        <f>IF(AN70="","",'#orgDung'!EP71)</f>
        <v/>
      </c>
      <c r="AQ70" s="1027" t="str">
        <f>IF(AN70="","",'#orgDung'!ER71)</f>
        <v/>
      </c>
      <c r="AR70" s="1025"/>
      <c r="AS70" s="1026" t="str">
        <f>IF(AR70="","",'#orgDung'!FD71)</f>
        <v/>
      </c>
      <c r="AT70" s="1026" t="str">
        <f>IF(AR70="","",'#orgDung'!FE71)</f>
        <v/>
      </c>
      <c r="AU70" s="1027" t="str">
        <f>IF(AR70="","",'#orgDung'!FG71)</f>
        <v/>
      </c>
      <c r="AV70" s="1025"/>
      <c r="AW70" s="1026" t="str">
        <f>IF(AV70="","",'#orgDung'!FS71)</f>
        <v/>
      </c>
      <c r="AX70" s="1026" t="str">
        <f>IF(AV70="","",'#orgDung'!FT71)</f>
        <v/>
      </c>
      <c r="AY70" s="1027" t="str">
        <f>IF(AV70="","",'#orgDung'!FV71)</f>
        <v/>
      </c>
      <c r="AZ70" s="1025"/>
      <c r="BA70" s="1026" t="str">
        <f>IF(AZ70="","",'#orgDung'!GH71)</f>
        <v/>
      </c>
      <c r="BB70" s="1026" t="str">
        <f>IF(AZ70="","",'#orgDung'!GI71)</f>
        <v/>
      </c>
      <c r="BC70" s="1027" t="str">
        <f>IF(AZ70="","",'#orgDung'!GK71)</f>
        <v/>
      </c>
      <c r="BD70" s="1025"/>
      <c r="BE70" s="1026" t="str">
        <f>IF(BD70="","",'#orgDung'!GW71)</f>
        <v/>
      </c>
      <c r="BF70" s="1026" t="str">
        <f>IF(BD70="","",'#orgDung'!GX71)</f>
        <v/>
      </c>
      <c r="BG70" s="1027" t="str">
        <f>IF(BD70="","",'#orgDung'!GZ71)</f>
        <v/>
      </c>
      <c r="BH70" s="1025"/>
      <c r="BI70" s="1026" t="str">
        <f>IF(BH70="","",'#orgDung'!HL71)</f>
        <v/>
      </c>
      <c r="BJ70" s="1026" t="str">
        <f>IF(BH70="","",'#orgDung'!HM71)</f>
        <v/>
      </c>
      <c r="BK70" s="1027" t="str">
        <f>IF(BH70="","",'#orgDung'!HO71)</f>
        <v/>
      </c>
      <c r="BL70" s="1025"/>
      <c r="BM70" s="1026" t="str">
        <f>IF(BL70="","",'#orgDung'!IA71)</f>
        <v/>
      </c>
      <c r="BN70" s="1026" t="str">
        <f>IF(BL70="","",'#orgDung'!IB71)</f>
        <v/>
      </c>
      <c r="BO70" s="1027" t="str">
        <f>IF(BL70="","",'#orgDung'!ID71)</f>
        <v/>
      </c>
      <c r="BP70" s="1025"/>
      <c r="BQ70" s="1026" t="str">
        <f>IF(BP70="","",'#orgDung'!IP71)</f>
        <v/>
      </c>
      <c r="BR70" s="1026" t="str">
        <f>IF(BP70="","",'#orgDung'!IQ71)</f>
        <v/>
      </c>
      <c r="BS70" s="1027" t="str">
        <f>IF(BP70="","",'#orgDung'!IS71)</f>
        <v/>
      </c>
      <c r="BT70" s="1025"/>
      <c r="BU70" s="1026" t="str">
        <f>IF(BT70="","",'#orgDung'!JE71)</f>
        <v/>
      </c>
      <c r="BV70" s="1026" t="str">
        <f>IF(BT70="","",'#orgDung'!JF71)</f>
        <v/>
      </c>
      <c r="BW70" s="1027" t="str">
        <f>IF(BT70="","",'#orgDung'!JH71)</f>
        <v/>
      </c>
      <c r="BX70" s="1025"/>
      <c r="BY70" s="1026" t="str">
        <f>IF(BX70="","",'#orgDung'!JT71)</f>
        <v/>
      </c>
      <c r="BZ70" s="1026" t="str">
        <f>IF(BX70="","",'#orgDung'!JU71)</f>
        <v/>
      </c>
      <c r="CA70" s="1027" t="str">
        <f>IF(BX70="","",'#orgDung'!JW71)</f>
        <v/>
      </c>
      <c r="CB70" s="1025"/>
      <c r="CC70" s="1026" t="str">
        <f>IF(CB70="","",'#orgDung'!KI71)</f>
        <v/>
      </c>
      <c r="CD70" s="1026" t="str">
        <f>IF(CB70="","",'#orgDung'!KJ71)</f>
        <v/>
      </c>
      <c r="CE70" s="1027" t="str">
        <f>IF(CB70="","",'#orgDung'!KL71)</f>
        <v/>
      </c>
      <c r="CF70" s="1025"/>
      <c r="CG70" s="1026" t="str">
        <f>IF(CF70="","",'#orgDung'!KX71)</f>
        <v/>
      </c>
      <c r="CH70" s="1026" t="str">
        <f>IF(CF70="","",'#orgDung'!KY71)</f>
        <v/>
      </c>
      <c r="CI70" s="1027" t="str">
        <f>IF(CF70="","",'#orgDung'!LA71)</f>
        <v/>
      </c>
      <c r="CJ70" s="1025"/>
      <c r="CK70" s="1026" t="str">
        <f>IF(CJ70="","",'#orgDung'!LM71)</f>
        <v/>
      </c>
      <c r="CL70" s="1026" t="str">
        <f>IF(CJ70="","",'#orgDung'!LN71)</f>
        <v/>
      </c>
      <c r="CM70" s="1027" t="str">
        <f>IF(CJ70="","",'#orgDung'!LP71)</f>
        <v/>
      </c>
      <c r="CN70" s="1025"/>
      <c r="CO70" s="1026" t="str">
        <f>IF(CN70="","",'#orgDung'!MB71)</f>
        <v/>
      </c>
      <c r="CP70" s="1026" t="str">
        <f>IF(CN70="","",'#orgDung'!MC71)</f>
        <v/>
      </c>
      <c r="CQ70" s="1027" t="str">
        <f>IF(CN70="","",'#orgDung'!ME71)</f>
        <v/>
      </c>
      <c r="CR70" s="1025"/>
      <c r="CS70" s="1026" t="str">
        <f>IF(CR70="","",'#orgDung'!MQ71)</f>
        <v/>
      </c>
      <c r="CT70" s="1026" t="str">
        <f>IF(CR70="","",'#orgDung'!MR71)</f>
        <v/>
      </c>
      <c r="CU70" s="1027" t="str">
        <f>IF(CR70="","",'#orgDung'!MT71)</f>
        <v/>
      </c>
      <c r="CV70" s="1025"/>
      <c r="CW70" s="1026" t="str">
        <f>IF(CV70="","",'#orgDung'!NF71)</f>
        <v/>
      </c>
      <c r="CX70" s="1026" t="str">
        <f>IF(CV70="","",'#orgDung'!NG71)</f>
        <v/>
      </c>
      <c r="CY70" s="1027" t="str">
        <f>IF(CV70="","",'#orgDung'!NI71)</f>
        <v/>
      </c>
      <c r="CZ70" s="1025"/>
      <c r="DA70" s="1026" t="str">
        <f>IF(CZ70="","",'#orgDung'!NU71)</f>
        <v/>
      </c>
      <c r="DB70" s="1026" t="str">
        <f>IF(CZ70="","",'#orgDung'!NV71)</f>
        <v/>
      </c>
      <c r="DC70" s="1027" t="str">
        <f>IF(CZ70="","",'#orgDung'!NX71)</f>
        <v/>
      </c>
      <c r="DD70" s="1025"/>
      <c r="DE70" s="1026" t="str">
        <f>IF(DD70="","",'#orgDung'!OJ71)</f>
        <v/>
      </c>
      <c r="DF70" s="1026" t="str">
        <f>IF(DD70="","",'#orgDung'!OK71)</f>
        <v/>
      </c>
      <c r="DG70" s="1027" t="str">
        <f>IF(DD70="","",'#orgDung'!OM71)</f>
        <v/>
      </c>
      <c r="DH70" s="1025"/>
      <c r="DI70" s="1026" t="str">
        <f>IF(DH70="","",'#orgDung'!OY71)</f>
        <v/>
      </c>
      <c r="DJ70" s="1026" t="str">
        <f>IF(DH70="","",'#orgDung'!OZ71)</f>
        <v/>
      </c>
      <c r="DK70" s="1027" t="str">
        <f>IF(DH70="","",'#orgDung'!PB71)</f>
        <v/>
      </c>
      <c r="DL70" s="1025"/>
      <c r="DM70" s="1026" t="str">
        <f>IF(DL70="","",'#orgDung'!PN71)</f>
        <v/>
      </c>
      <c r="DN70" s="1026" t="str">
        <f>IF(DL70="","",'#orgDung'!PO71)</f>
        <v/>
      </c>
      <c r="DO70" s="1027" t="str">
        <f>IF(DL70="","",'#orgDung'!PQ71)</f>
        <v/>
      </c>
      <c r="DP70" s="1025"/>
      <c r="DQ70" s="1026" t="str">
        <f>IF(DP70="","",'#orgDung'!QC71)</f>
        <v/>
      </c>
      <c r="DR70" s="1026" t="str">
        <f>IF(DP70="","",'#orgDung'!QD71)</f>
        <v/>
      </c>
      <c r="DS70" s="1027" t="str">
        <f>IF(DP70="","",'#orgDung'!QF71)</f>
        <v/>
      </c>
      <c r="DT70" s="1025"/>
      <c r="DU70" s="1026" t="str">
        <f>IF(DT70="","",'#orgDung'!QR71)</f>
        <v/>
      </c>
      <c r="DV70" s="1026" t="str">
        <f>IF(DT70="","",'#orgDung'!QS71)</f>
        <v/>
      </c>
      <c r="DW70" s="1027" t="str">
        <f>IF(DT70="","",'#orgDung'!QU71)</f>
        <v/>
      </c>
      <c r="DX70" s="1025"/>
      <c r="DY70" s="1026" t="str">
        <f>IF(DX70="","",'#orgDung'!RG71)</f>
        <v/>
      </c>
      <c r="DZ70" s="1026" t="str">
        <f>IF(DX70="","",'#orgDung'!RH71)</f>
        <v/>
      </c>
      <c r="EA70" s="1027" t="str">
        <f>IF(DX70="","",'#orgDung'!RJ71)</f>
        <v/>
      </c>
    </row>
    <row r="71" spans="1:131" ht="15" customHeight="1" x14ac:dyDescent="0.2">
      <c r="A71" s="1195">
        <f>'Flächen u. Kulturen'!A68</f>
        <v>59</v>
      </c>
      <c r="B71" s="1195" t="str">
        <f>IF('Flächen u. Kulturen'!B68="","",'Flächen u. Kulturen'!B68)</f>
        <v/>
      </c>
      <c r="C71" s="1196" t="str">
        <f>IF('Flächen u. Kulturen'!D68="","",'Flächen u. Kulturen'!D68)</f>
        <v/>
      </c>
      <c r="D71" s="1197" t="str">
        <f>IF(C71="","",IF('#BerechnungDBE'!Q63&lt;4,"x",""))</f>
        <v/>
      </c>
      <c r="E71" s="1198" t="str">
        <f>IF(C71="","",VLOOKUP('Flächen u. Kulturen'!L68,'#Zweitfr'!$D$8:$F$28,'#Zweitfr'!$F$1,FALSE))</f>
        <v/>
      </c>
      <c r="F71" s="1199" t="str">
        <f>IF(C71="","",IF('Flächen u. Kulturen'!E68="x",'Flächen u. Kulturen'!P68,"nicht im Betrieb"))</f>
        <v/>
      </c>
      <c r="G71" s="1200" t="str">
        <f>IF(C71="","",IF('#orgDung'!C72=2,"--",IF('#Kürzungen'!$F$2=2,"--",'#orgDung'!R72)))</f>
        <v/>
      </c>
      <c r="H71" s="1200" t="str">
        <f>IF(C71="","",'#orgDung'!U72)</f>
        <v/>
      </c>
      <c r="I71" s="1201" t="str">
        <f>IF(C71="","",IF(COUNT('#orgDung'!RS72:SA72)=0,"OK",TRIM(CONCATENATE('#orgDung'!RS72," ",'#orgDung'!RT72," ",'#orgDung'!RU72," ",'#orgDung'!RV72," ",'#orgDung'!RW72," ",'#orgDung'!RX72," ",'#orgDung'!RY72," ",'#orgDung'!RZ72," ",'#orgDung'!SA72))))</f>
        <v/>
      </c>
      <c r="J71" s="1023"/>
      <c r="K71" s="1024"/>
      <c r="L71" s="1025"/>
      <c r="M71" s="1026" t="str">
        <f>IF(L71="","",'#orgDung'!AN72)</f>
        <v/>
      </c>
      <c r="N71" s="1026" t="str">
        <f>IF(L71="","",'#orgDung'!AO72)</f>
        <v/>
      </c>
      <c r="O71" s="1027" t="str">
        <f>IF(L71="","",'#orgDung'!AQ72)</f>
        <v/>
      </c>
      <c r="P71" s="1025"/>
      <c r="Q71" s="1026" t="str">
        <f>IF(P71="","",'#orgDung'!BC72)</f>
        <v/>
      </c>
      <c r="R71" s="1026" t="str">
        <f>IF(P71="","",'#orgDung'!BD72)</f>
        <v/>
      </c>
      <c r="S71" s="1027" t="str">
        <f>IF(P71="","",'#orgDung'!BF72)</f>
        <v/>
      </c>
      <c r="T71" s="1025"/>
      <c r="U71" s="1026" t="str">
        <f>IF(T71="","",'#orgDung'!BR72)</f>
        <v/>
      </c>
      <c r="V71" s="1026" t="str">
        <f>IF(T71="","",'#orgDung'!BS72)</f>
        <v/>
      </c>
      <c r="W71" s="1027" t="str">
        <f>IF(T71="","",'#orgDung'!BU72)</f>
        <v/>
      </c>
      <c r="X71" s="1025"/>
      <c r="Y71" s="1026" t="str">
        <f>IF(X71="","",'#orgDung'!CG72)</f>
        <v/>
      </c>
      <c r="Z71" s="1026" t="str">
        <f>IF(X71="","",'#orgDung'!CH72)</f>
        <v/>
      </c>
      <c r="AA71" s="1027" t="str">
        <f>IF(X71="","",'#orgDung'!CJ72)</f>
        <v/>
      </c>
      <c r="AB71" s="1025"/>
      <c r="AC71" s="1026" t="str">
        <f>IF(AB71="","",'#orgDung'!CV72)</f>
        <v/>
      </c>
      <c r="AD71" s="1026" t="str">
        <f>IF(AB71="","",'#orgDung'!CW72)</f>
        <v/>
      </c>
      <c r="AE71" s="1027" t="str">
        <f>IF(AB71="","",'#orgDung'!CY72)</f>
        <v/>
      </c>
      <c r="AF71" s="1025"/>
      <c r="AG71" s="1026" t="str">
        <f>IF(AF71="","",'#orgDung'!DK72)</f>
        <v/>
      </c>
      <c r="AH71" s="1026" t="str">
        <f>IF(AF71="","",'#orgDung'!DL72)</f>
        <v/>
      </c>
      <c r="AI71" s="1027" t="str">
        <f>IF(AF71="","",'#orgDung'!DN72)</f>
        <v/>
      </c>
      <c r="AJ71" s="1025"/>
      <c r="AK71" s="1026" t="str">
        <f>IF(AJ71="","",'#orgDung'!DZ72)</f>
        <v/>
      </c>
      <c r="AL71" s="1026" t="str">
        <f>IF(AJ71="","",'#orgDung'!EA72)</f>
        <v/>
      </c>
      <c r="AM71" s="1027" t="str">
        <f>IF(AJ71="","",'#orgDung'!EC72)</f>
        <v/>
      </c>
      <c r="AN71" s="1025"/>
      <c r="AO71" s="1026" t="str">
        <f>IF(AN71="","",'#orgDung'!EO72)</f>
        <v/>
      </c>
      <c r="AP71" s="1026" t="str">
        <f>IF(AN71="","",'#orgDung'!EP72)</f>
        <v/>
      </c>
      <c r="AQ71" s="1027" t="str">
        <f>IF(AN71="","",'#orgDung'!ER72)</f>
        <v/>
      </c>
      <c r="AR71" s="1025"/>
      <c r="AS71" s="1026" t="str">
        <f>IF(AR71="","",'#orgDung'!FD72)</f>
        <v/>
      </c>
      <c r="AT71" s="1026" t="str">
        <f>IF(AR71="","",'#orgDung'!FE72)</f>
        <v/>
      </c>
      <c r="AU71" s="1027" t="str">
        <f>IF(AR71="","",'#orgDung'!FG72)</f>
        <v/>
      </c>
      <c r="AV71" s="1025"/>
      <c r="AW71" s="1026" t="str">
        <f>IF(AV71="","",'#orgDung'!FS72)</f>
        <v/>
      </c>
      <c r="AX71" s="1026" t="str">
        <f>IF(AV71="","",'#orgDung'!FT72)</f>
        <v/>
      </c>
      <c r="AY71" s="1027" t="str">
        <f>IF(AV71="","",'#orgDung'!FV72)</f>
        <v/>
      </c>
      <c r="AZ71" s="1025"/>
      <c r="BA71" s="1026" t="str">
        <f>IF(AZ71="","",'#orgDung'!GH72)</f>
        <v/>
      </c>
      <c r="BB71" s="1026" t="str">
        <f>IF(AZ71="","",'#orgDung'!GI72)</f>
        <v/>
      </c>
      <c r="BC71" s="1027" t="str">
        <f>IF(AZ71="","",'#orgDung'!GK72)</f>
        <v/>
      </c>
      <c r="BD71" s="1025"/>
      <c r="BE71" s="1026" t="str">
        <f>IF(BD71="","",'#orgDung'!GW72)</f>
        <v/>
      </c>
      <c r="BF71" s="1026" t="str">
        <f>IF(BD71="","",'#orgDung'!GX72)</f>
        <v/>
      </c>
      <c r="BG71" s="1027" t="str">
        <f>IF(BD71="","",'#orgDung'!GZ72)</f>
        <v/>
      </c>
      <c r="BH71" s="1025"/>
      <c r="BI71" s="1026" t="str">
        <f>IF(BH71="","",'#orgDung'!HL72)</f>
        <v/>
      </c>
      <c r="BJ71" s="1026" t="str">
        <f>IF(BH71="","",'#orgDung'!HM72)</f>
        <v/>
      </c>
      <c r="BK71" s="1027" t="str">
        <f>IF(BH71="","",'#orgDung'!HO72)</f>
        <v/>
      </c>
      <c r="BL71" s="1025"/>
      <c r="BM71" s="1026" t="str">
        <f>IF(BL71="","",'#orgDung'!IA72)</f>
        <v/>
      </c>
      <c r="BN71" s="1026" t="str">
        <f>IF(BL71="","",'#orgDung'!IB72)</f>
        <v/>
      </c>
      <c r="BO71" s="1027" t="str">
        <f>IF(BL71="","",'#orgDung'!ID72)</f>
        <v/>
      </c>
      <c r="BP71" s="1025"/>
      <c r="BQ71" s="1026" t="str">
        <f>IF(BP71="","",'#orgDung'!IP72)</f>
        <v/>
      </c>
      <c r="BR71" s="1026" t="str">
        <f>IF(BP71="","",'#orgDung'!IQ72)</f>
        <v/>
      </c>
      <c r="BS71" s="1027" t="str">
        <f>IF(BP71="","",'#orgDung'!IS72)</f>
        <v/>
      </c>
      <c r="BT71" s="1025"/>
      <c r="BU71" s="1026" t="str">
        <f>IF(BT71="","",'#orgDung'!JE72)</f>
        <v/>
      </c>
      <c r="BV71" s="1026" t="str">
        <f>IF(BT71="","",'#orgDung'!JF72)</f>
        <v/>
      </c>
      <c r="BW71" s="1027" t="str">
        <f>IF(BT71="","",'#orgDung'!JH72)</f>
        <v/>
      </c>
      <c r="BX71" s="1025"/>
      <c r="BY71" s="1026" t="str">
        <f>IF(BX71="","",'#orgDung'!JT72)</f>
        <v/>
      </c>
      <c r="BZ71" s="1026" t="str">
        <f>IF(BX71="","",'#orgDung'!JU72)</f>
        <v/>
      </c>
      <c r="CA71" s="1027" t="str">
        <f>IF(BX71="","",'#orgDung'!JW72)</f>
        <v/>
      </c>
      <c r="CB71" s="1025"/>
      <c r="CC71" s="1026" t="str">
        <f>IF(CB71="","",'#orgDung'!KI72)</f>
        <v/>
      </c>
      <c r="CD71" s="1026" t="str">
        <f>IF(CB71="","",'#orgDung'!KJ72)</f>
        <v/>
      </c>
      <c r="CE71" s="1027" t="str">
        <f>IF(CB71="","",'#orgDung'!KL72)</f>
        <v/>
      </c>
      <c r="CF71" s="1025"/>
      <c r="CG71" s="1026" t="str">
        <f>IF(CF71="","",'#orgDung'!KX72)</f>
        <v/>
      </c>
      <c r="CH71" s="1026" t="str">
        <f>IF(CF71="","",'#orgDung'!KY72)</f>
        <v/>
      </c>
      <c r="CI71" s="1027" t="str">
        <f>IF(CF71="","",'#orgDung'!LA72)</f>
        <v/>
      </c>
      <c r="CJ71" s="1025"/>
      <c r="CK71" s="1026" t="str">
        <f>IF(CJ71="","",'#orgDung'!LM72)</f>
        <v/>
      </c>
      <c r="CL71" s="1026" t="str">
        <f>IF(CJ71="","",'#orgDung'!LN72)</f>
        <v/>
      </c>
      <c r="CM71" s="1027" t="str">
        <f>IF(CJ71="","",'#orgDung'!LP72)</f>
        <v/>
      </c>
      <c r="CN71" s="1025"/>
      <c r="CO71" s="1026" t="str">
        <f>IF(CN71="","",'#orgDung'!MB72)</f>
        <v/>
      </c>
      <c r="CP71" s="1026" t="str">
        <f>IF(CN71="","",'#orgDung'!MC72)</f>
        <v/>
      </c>
      <c r="CQ71" s="1027" t="str">
        <f>IF(CN71="","",'#orgDung'!ME72)</f>
        <v/>
      </c>
      <c r="CR71" s="1025"/>
      <c r="CS71" s="1026" t="str">
        <f>IF(CR71="","",'#orgDung'!MQ72)</f>
        <v/>
      </c>
      <c r="CT71" s="1026" t="str">
        <f>IF(CR71="","",'#orgDung'!MR72)</f>
        <v/>
      </c>
      <c r="CU71" s="1027" t="str">
        <f>IF(CR71="","",'#orgDung'!MT72)</f>
        <v/>
      </c>
      <c r="CV71" s="1025"/>
      <c r="CW71" s="1026" t="str">
        <f>IF(CV71="","",'#orgDung'!NF72)</f>
        <v/>
      </c>
      <c r="CX71" s="1026" t="str">
        <f>IF(CV71="","",'#orgDung'!NG72)</f>
        <v/>
      </c>
      <c r="CY71" s="1027" t="str">
        <f>IF(CV71="","",'#orgDung'!NI72)</f>
        <v/>
      </c>
      <c r="CZ71" s="1025"/>
      <c r="DA71" s="1026" t="str">
        <f>IF(CZ71="","",'#orgDung'!NU72)</f>
        <v/>
      </c>
      <c r="DB71" s="1026" t="str">
        <f>IF(CZ71="","",'#orgDung'!NV72)</f>
        <v/>
      </c>
      <c r="DC71" s="1027" t="str">
        <f>IF(CZ71="","",'#orgDung'!NX72)</f>
        <v/>
      </c>
      <c r="DD71" s="1025"/>
      <c r="DE71" s="1026" t="str">
        <f>IF(DD71="","",'#orgDung'!OJ72)</f>
        <v/>
      </c>
      <c r="DF71" s="1026" t="str">
        <f>IF(DD71="","",'#orgDung'!OK72)</f>
        <v/>
      </c>
      <c r="DG71" s="1027" t="str">
        <f>IF(DD71="","",'#orgDung'!OM72)</f>
        <v/>
      </c>
      <c r="DH71" s="1025"/>
      <c r="DI71" s="1026" t="str">
        <f>IF(DH71="","",'#orgDung'!OY72)</f>
        <v/>
      </c>
      <c r="DJ71" s="1026" t="str">
        <f>IF(DH71="","",'#orgDung'!OZ72)</f>
        <v/>
      </c>
      <c r="DK71" s="1027" t="str">
        <f>IF(DH71="","",'#orgDung'!PB72)</f>
        <v/>
      </c>
      <c r="DL71" s="1025"/>
      <c r="DM71" s="1026" t="str">
        <f>IF(DL71="","",'#orgDung'!PN72)</f>
        <v/>
      </c>
      <c r="DN71" s="1026" t="str">
        <f>IF(DL71="","",'#orgDung'!PO72)</f>
        <v/>
      </c>
      <c r="DO71" s="1027" t="str">
        <f>IF(DL71="","",'#orgDung'!PQ72)</f>
        <v/>
      </c>
      <c r="DP71" s="1025"/>
      <c r="DQ71" s="1026" t="str">
        <f>IF(DP71="","",'#orgDung'!QC72)</f>
        <v/>
      </c>
      <c r="DR71" s="1026" t="str">
        <f>IF(DP71="","",'#orgDung'!QD72)</f>
        <v/>
      </c>
      <c r="DS71" s="1027" t="str">
        <f>IF(DP71="","",'#orgDung'!QF72)</f>
        <v/>
      </c>
      <c r="DT71" s="1025"/>
      <c r="DU71" s="1026" t="str">
        <f>IF(DT71="","",'#orgDung'!QR72)</f>
        <v/>
      </c>
      <c r="DV71" s="1026" t="str">
        <f>IF(DT71="","",'#orgDung'!QS72)</f>
        <v/>
      </c>
      <c r="DW71" s="1027" t="str">
        <f>IF(DT71="","",'#orgDung'!QU72)</f>
        <v/>
      </c>
      <c r="DX71" s="1025"/>
      <c r="DY71" s="1026" t="str">
        <f>IF(DX71="","",'#orgDung'!RG72)</f>
        <v/>
      </c>
      <c r="DZ71" s="1026" t="str">
        <f>IF(DX71="","",'#orgDung'!RH72)</f>
        <v/>
      </c>
      <c r="EA71" s="1027" t="str">
        <f>IF(DX71="","",'#orgDung'!RJ72)</f>
        <v/>
      </c>
    </row>
    <row r="72" spans="1:131" ht="15" customHeight="1" x14ac:dyDescent="0.2">
      <c r="A72" s="1195">
        <f>'Flächen u. Kulturen'!A69</f>
        <v>60</v>
      </c>
      <c r="B72" s="1195" t="str">
        <f>IF('Flächen u. Kulturen'!B69="","",'Flächen u. Kulturen'!B69)</f>
        <v/>
      </c>
      <c r="C72" s="1196" t="str">
        <f>IF('Flächen u. Kulturen'!D69="","",'Flächen u. Kulturen'!D69)</f>
        <v/>
      </c>
      <c r="D72" s="1197" t="str">
        <f>IF(C72="","",IF('#BerechnungDBE'!Q64&lt;4,"x",""))</f>
        <v/>
      </c>
      <c r="E72" s="1198" t="str">
        <f>IF(C72="","",VLOOKUP('Flächen u. Kulturen'!L69,'#Zweitfr'!$D$8:$F$28,'#Zweitfr'!$F$1,FALSE))</f>
        <v/>
      </c>
      <c r="F72" s="1199" t="str">
        <f>IF(C72="","",IF('Flächen u. Kulturen'!E69="x",'Flächen u. Kulturen'!P69,"nicht im Betrieb"))</f>
        <v/>
      </c>
      <c r="G72" s="1200" t="str">
        <f>IF(C72="","",IF('#orgDung'!C73=2,"--",IF('#Kürzungen'!$F$2=2,"--",'#orgDung'!R73)))</f>
        <v/>
      </c>
      <c r="H72" s="1200" t="str">
        <f>IF(C72="","",'#orgDung'!U73)</f>
        <v/>
      </c>
      <c r="I72" s="1201" t="str">
        <f>IF(C72="","",IF(COUNT('#orgDung'!RS73:SA73)=0,"OK",TRIM(CONCATENATE('#orgDung'!RS73," ",'#orgDung'!RT73," ",'#orgDung'!RU73," ",'#orgDung'!RV73," ",'#orgDung'!RW73," ",'#orgDung'!RX73," ",'#orgDung'!RY73," ",'#orgDung'!RZ73," ",'#orgDung'!SA73))))</f>
        <v/>
      </c>
      <c r="J72" s="1023"/>
      <c r="K72" s="1024"/>
      <c r="L72" s="1025"/>
      <c r="M72" s="1026" t="str">
        <f>IF(L72="","",'#orgDung'!AN73)</f>
        <v/>
      </c>
      <c r="N72" s="1026" t="str">
        <f>IF(L72="","",'#orgDung'!AO73)</f>
        <v/>
      </c>
      <c r="O72" s="1027" t="str">
        <f>IF(L72="","",'#orgDung'!AQ73)</f>
        <v/>
      </c>
      <c r="P72" s="1025"/>
      <c r="Q72" s="1026" t="str">
        <f>IF(P72="","",'#orgDung'!BC73)</f>
        <v/>
      </c>
      <c r="R72" s="1026" t="str">
        <f>IF(P72="","",'#orgDung'!BD73)</f>
        <v/>
      </c>
      <c r="S72" s="1027" t="str">
        <f>IF(P72="","",'#orgDung'!BF73)</f>
        <v/>
      </c>
      <c r="T72" s="1025"/>
      <c r="U72" s="1026" t="str">
        <f>IF(T72="","",'#orgDung'!BR73)</f>
        <v/>
      </c>
      <c r="V72" s="1026" t="str">
        <f>IF(T72="","",'#orgDung'!BS73)</f>
        <v/>
      </c>
      <c r="W72" s="1027" t="str">
        <f>IF(T72="","",'#orgDung'!BU73)</f>
        <v/>
      </c>
      <c r="X72" s="1025"/>
      <c r="Y72" s="1026" t="str">
        <f>IF(X72="","",'#orgDung'!CG73)</f>
        <v/>
      </c>
      <c r="Z72" s="1026" t="str">
        <f>IF(X72="","",'#orgDung'!CH73)</f>
        <v/>
      </c>
      <c r="AA72" s="1027" t="str">
        <f>IF(X72="","",'#orgDung'!CJ73)</f>
        <v/>
      </c>
      <c r="AB72" s="1025"/>
      <c r="AC72" s="1026" t="str">
        <f>IF(AB72="","",'#orgDung'!CV73)</f>
        <v/>
      </c>
      <c r="AD72" s="1026" t="str">
        <f>IF(AB72="","",'#orgDung'!CW73)</f>
        <v/>
      </c>
      <c r="AE72" s="1027" t="str">
        <f>IF(AB72="","",'#orgDung'!CY73)</f>
        <v/>
      </c>
      <c r="AF72" s="1025"/>
      <c r="AG72" s="1026" t="str">
        <f>IF(AF72="","",'#orgDung'!DK73)</f>
        <v/>
      </c>
      <c r="AH72" s="1026" t="str">
        <f>IF(AF72="","",'#orgDung'!DL73)</f>
        <v/>
      </c>
      <c r="AI72" s="1027" t="str">
        <f>IF(AF72="","",'#orgDung'!DN73)</f>
        <v/>
      </c>
      <c r="AJ72" s="1025"/>
      <c r="AK72" s="1026" t="str">
        <f>IF(AJ72="","",'#orgDung'!DZ73)</f>
        <v/>
      </c>
      <c r="AL72" s="1026" t="str">
        <f>IF(AJ72="","",'#orgDung'!EA73)</f>
        <v/>
      </c>
      <c r="AM72" s="1027" t="str">
        <f>IF(AJ72="","",'#orgDung'!EC73)</f>
        <v/>
      </c>
      <c r="AN72" s="1025"/>
      <c r="AO72" s="1026" t="str">
        <f>IF(AN72="","",'#orgDung'!EO73)</f>
        <v/>
      </c>
      <c r="AP72" s="1026" t="str">
        <f>IF(AN72="","",'#orgDung'!EP73)</f>
        <v/>
      </c>
      <c r="AQ72" s="1027" t="str">
        <f>IF(AN72="","",'#orgDung'!ER73)</f>
        <v/>
      </c>
      <c r="AR72" s="1025"/>
      <c r="AS72" s="1026" t="str">
        <f>IF(AR72="","",'#orgDung'!FD73)</f>
        <v/>
      </c>
      <c r="AT72" s="1026" t="str">
        <f>IF(AR72="","",'#orgDung'!FE73)</f>
        <v/>
      </c>
      <c r="AU72" s="1027" t="str">
        <f>IF(AR72="","",'#orgDung'!FG73)</f>
        <v/>
      </c>
      <c r="AV72" s="1025"/>
      <c r="AW72" s="1026" t="str">
        <f>IF(AV72="","",'#orgDung'!FS73)</f>
        <v/>
      </c>
      <c r="AX72" s="1026" t="str">
        <f>IF(AV72="","",'#orgDung'!FT73)</f>
        <v/>
      </c>
      <c r="AY72" s="1027" t="str">
        <f>IF(AV72="","",'#orgDung'!FV73)</f>
        <v/>
      </c>
      <c r="AZ72" s="1025"/>
      <c r="BA72" s="1026" t="str">
        <f>IF(AZ72="","",'#orgDung'!GH73)</f>
        <v/>
      </c>
      <c r="BB72" s="1026" t="str">
        <f>IF(AZ72="","",'#orgDung'!GI73)</f>
        <v/>
      </c>
      <c r="BC72" s="1027" t="str">
        <f>IF(AZ72="","",'#orgDung'!GK73)</f>
        <v/>
      </c>
      <c r="BD72" s="1025"/>
      <c r="BE72" s="1026" t="str">
        <f>IF(BD72="","",'#orgDung'!GW73)</f>
        <v/>
      </c>
      <c r="BF72" s="1026" t="str">
        <f>IF(BD72="","",'#orgDung'!GX73)</f>
        <v/>
      </c>
      <c r="BG72" s="1027" t="str">
        <f>IF(BD72="","",'#orgDung'!GZ73)</f>
        <v/>
      </c>
      <c r="BH72" s="1025"/>
      <c r="BI72" s="1026" t="str">
        <f>IF(BH72="","",'#orgDung'!HL73)</f>
        <v/>
      </c>
      <c r="BJ72" s="1026" t="str">
        <f>IF(BH72="","",'#orgDung'!HM73)</f>
        <v/>
      </c>
      <c r="BK72" s="1027" t="str">
        <f>IF(BH72="","",'#orgDung'!HO73)</f>
        <v/>
      </c>
      <c r="BL72" s="1025"/>
      <c r="BM72" s="1026" t="str">
        <f>IF(BL72="","",'#orgDung'!IA73)</f>
        <v/>
      </c>
      <c r="BN72" s="1026" t="str">
        <f>IF(BL72="","",'#orgDung'!IB73)</f>
        <v/>
      </c>
      <c r="BO72" s="1027" t="str">
        <f>IF(BL72="","",'#orgDung'!ID73)</f>
        <v/>
      </c>
      <c r="BP72" s="1025"/>
      <c r="BQ72" s="1026" t="str">
        <f>IF(BP72="","",'#orgDung'!IP73)</f>
        <v/>
      </c>
      <c r="BR72" s="1026" t="str">
        <f>IF(BP72="","",'#orgDung'!IQ73)</f>
        <v/>
      </c>
      <c r="BS72" s="1027" t="str">
        <f>IF(BP72="","",'#orgDung'!IS73)</f>
        <v/>
      </c>
      <c r="BT72" s="1025"/>
      <c r="BU72" s="1026" t="str">
        <f>IF(BT72="","",'#orgDung'!JE73)</f>
        <v/>
      </c>
      <c r="BV72" s="1026" t="str">
        <f>IF(BT72="","",'#orgDung'!JF73)</f>
        <v/>
      </c>
      <c r="BW72" s="1027" t="str">
        <f>IF(BT72="","",'#orgDung'!JH73)</f>
        <v/>
      </c>
      <c r="BX72" s="1025"/>
      <c r="BY72" s="1026" t="str">
        <f>IF(BX72="","",'#orgDung'!JT73)</f>
        <v/>
      </c>
      <c r="BZ72" s="1026" t="str">
        <f>IF(BX72="","",'#orgDung'!JU73)</f>
        <v/>
      </c>
      <c r="CA72" s="1027" t="str">
        <f>IF(BX72="","",'#orgDung'!JW73)</f>
        <v/>
      </c>
      <c r="CB72" s="1025"/>
      <c r="CC72" s="1026" t="str">
        <f>IF(CB72="","",'#orgDung'!KI73)</f>
        <v/>
      </c>
      <c r="CD72" s="1026" t="str">
        <f>IF(CB72="","",'#orgDung'!KJ73)</f>
        <v/>
      </c>
      <c r="CE72" s="1027" t="str">
        <f>IF(CB72="","",'#orgDung'!KL73)</f>
        <v/>
      </c>
      <c r="CF72" s="1025"/>
      <c r="CG72" s="1026" t="str">
        <f>IF(CF72="","",'#orgDung'!KX73)</f>
        <v/>
      </c>
      <c r="CH72" s="1026" t="str">
        <f>IF(CF72="","",'#orgDung'!KY73)</f>
        <v/>
      </c>
      <c r="CI72" s="1027" t="str">
        <f>IF(CF72="","",'#orgDung'!LA73)</f>
        <v/>
      </c>
      <c r="CJ72" s="1025"/>
      <c r="CK72" s="1026" t="str">
        <f>IF(CJ72="","",'#orgDung'!LM73)</f>
        <v/>
      </c>
      <c r="CL72" s="1026" t="str">
        <f>IF(CJ72="","",'#orgDung'!LN73)</f>
        <v/>
      </c>
      <c r="CM72" s="1027" t="str">
        <f>IF(CJ72="","",'#orgDung'!LP73)</f>
        <v/>
      </c>
      <c r="CN72" s="1025"/>
      <c r="CO72" s="1026" t="str">
        <f>IF(CN72="","",'#orgDung'!MB73)</f>
        <v/>
      </c>
      <c r="CP72" s="1026" t="str">
        <f>IF(CN72="","",'#orgDung'!MC73)</f>
        <v/>
      </c>
      <c r="CQ72" s="1027" t="str">
        <f>IF(CN72="","",'#orgDung'!ME73)</f>
        <v/>
      </c>
      <c r="CR72" s="1025"/>
      <c r="CS72" s="1026" t="str">
        <f>IF(CR72="","",'#orgDung'!MQ73)</f>
        <v/>
      </c>
      <c r="CT72" s="1026" t="str">
        <f>IF(CR72="","",'#orgDung'!MR73)</f>
        <v/>
      </c>
      <c r="CU72" s="1027" t="str">
        <f>IF(CR72="","",'#orgDung'!MT73)</f>
        <v/>
      </c>
      <c r="CV72" s="1025"/>
      <c r="CW72" s="1026" t="str">
        <f>IF(CV72="","",'#orgDung'!NF73)</f>
        <v/>
      </c>
      <c r="CX72" s="1026" t="str">
        <f>IF(CV72="","",'#orgDung'!NG73)</f>
        <v/>
      </c>
      <c r="CY72" s="1027" t="str">
        <f>IF(CV72="","",'#orgDung'!NI73)</f>
        <v/>
      </c>
      <c r="CZ72" s="1025"/>
      <c r="DA72" s="1026" t="str">
        <f>IF(CZ72="","",'#orgDung'!NU73)</f>
        <v/>
      </c>
      <c r="DB72" s="1026" t="str">
        <f>IF(CZ72="","",'#orgDung'!NV73)</f>
        <v/>
      </c>
      <c r="DC72" s="1027" t="str">
        <f>IF(CZ72="","",'#orgDung'!NX73)</f>
        <v/>
      </c>
      <c r="DD72" s="1025"/>
      <c r="DE72" s="1026" t="str">
        <f>IF(DD72="","",'#orgDung'!OJ73)</f>
        <v/>
      </c>
      <c r="DF72" s="1026" t="str">
        <f>IF(DD72="","",'#orgDung'!OK73)</f>
        <v/>
      </c>
      <c r="DG72" s="1027" t="str">
        <f>IF(DD72="","",'#orgDung'!OM73)</f>
        <v/>
      </c>
      <c r="DH72" s="1025"/>
      <c r="DI72" s="1026" t="str">
        <f>IF(DH72="","",'#orgDung'!OY73)</f>
        <v/>
      </c>
      <c r="DJ72" s="1026" t="str">
        <f>IF(DH72="","",'#orgDung'!OZ73)</f>
        <v/>
      </c>
      <c r="DK72" s="1027" t="str">
        <f>IF(DH72="","",'#orgDung'!PB73)</f>
        <v/>
      </c>
      <c r="DL72" s="1025"/>
      <c r="DM72" s="1026" t="str">
        <f>IF(DL72="","",'#orgDung'!PN73)</f>
        <v/>
      </c>
      <c r="DN72" s="1026" t="str">
        <f>IF(DL72="","",'#orgDung'!PO73)</f>
        <v/>
      </c>
      <c r="DO72" s="1027" t="str">
        <f>IF(DL72="","",'#orgDung'!PQ73)</f>
        <v/>
      </c>
      <c r="DP72" s="1025"/>
      <c r="DQ72" s="1026" t="str">
        <f>IF(DP72="","",'#orgDung'!QC73)</f>
        <v/>
      </c>
      <c r="DR72" s="1026" t="str">
        <f>IF(DP72="","",'#orgDung'!QD73)</f>
        <v/>
      </c>
      <c r="DS72" s="1027" t="str">
        <f>IF(DP72="","",'#orgDung'!QF73)</f>
        <v/>
      </c>
      <c r="DT72" s="1025"/>
      <c r="DU72" s="1026" t="str">
        <f>IF(DT72="","",'#orgDung'!QR73)</f>
        <v/>
      </c>
      <c r="DV72" s="1026" t="str">
        <f>IF(DT72="","",'#orgDung'!QS73)</f>
        <v/>
      </c>
      <c r="DW72" s="1027" t="str">
        <f>IF(DT72="","",'#orgDung'!QU73)</f>
        <v/>
      </c>
      <c r="DX72" s="1025"/>
      <c r="DY72" s="1026" t="str">
        <f>IF(DX72="","",'#orgDung'!RG73)</f>
        <v/>
      </c>
      <c r="DZ72" s="1026" t="str">
        <f>IF(DX72="","",'#orgDung'!RH73)</f>
        <v/>
      </c>
      <c r="EA72" s="1027" t="str">
        <f>IF(DX72="","",'#orgDung'!RJ73)</f>
        <v/>
      </c>
    </row>
    <row r="73" spans="1:131" ht="15" customHeight="1" x14ac:dyDescent="0.2">
      <c r="A73" s="1195">
        <f>'Flächen u. Kulturen'!A70</f>
        <v>61</v>
      </c>
      <c r="B73" s="1195" t="str">
        <f>IF('Flächen u. Kulturen'!B70="","",'Flächen u. Kulturen'!B70)</f>
        <v/>
      </c>
      <c r="C73" s="1196" t="str">
        <f>IF('Flächen u. Kulturen'!D70="","",'Flächen u. Kulturen'!D70)</f>
        <v/>
      </c>
      <c r="D73" s="1197" t="str">
        <f>IF(C73="","",IF('#BerechnungDBE'!Q65&lt;4,"x",""))</f>
        <v/>
      </c>
      <c r="E73" s="1198" t="str">
        <f>IF(C73="","",VLOOKUP('Flächen u. Kulturen'!L70,'#Zweitfr'!$D$8:$F$28,'#Zweitfr'!$F$1,FALSE))</f>
        <v/>
      </c>
      <c r="F73" s="1199" t="str">
        <f>IF(C73="","",IF('Flächen u. Kulturen'!E70="x",'Flächen u. Kulturen'!P70,"nicht im Betrieb"))</f>
        <v/>
      </c>
      <c r="G73" s="1200" t="str">
        <f>IF(C73="","",IF('#orgDung'!C74=2,"--",IF('#Kürzungen'!$F$2=2,"--",'#orgDung'!R74)))</f>
        <v/>
      </c>
      <c r="H73" s="1200" t="str">
        <f>IF(C73="","",'#orgDung'!U74)</f>
        <v/>
      </c>
      <c r="I73" s="1201" t="str">
        <f>IF(C73="","",IF(COUNT('#orgDung'!RS74:SA74)=0,"OK",TRIM(CONCATENATE('#orgDung'!RS74," ",'#orgDung'!RT74," ",'#orgDung'!RU74," ",'#orgDung'!RV74," ",'#orgDung'!RW74," ",'#orgDung'!RX74," ",'#orgDung'!RY74," ",'#orgDung'!RZ74," ",'#orgDung'!SA74))))</f>
        <v/>
      </c>
      <c r="J73" s="1023"/>
      <c r="K73" s="1024"/>
      <c r="L73" s="1025"/>
      <c r="M73" s="1026" t="str">
        <f>IF(L73="","",'#orgDung'!AN74)</f>
        <v/>
      </c>
      <c r="N73" s="1026" t="str">
        <f>IF(L73="","",'#orgDung'!AO74)</f>
        <v/>
      </c>
      <c r="O73" s="1027" t="str">
        <f>IF(L73="","",'#orgDung'!AQ74)</f>
        <v/>
      </c>
      <c r="P73" s="1025"/>
      <c r="Q73" s="1026" t="str">
        <f>IF(P73="","",'#orgDung'!BC74)</f>
        <v/>
      </c>
      <c r="R73" s="1026" t="str">
        <f>IF(P73="","",'#orgDung'!BD74)</f>
        <v/>
      </c>
      <c r="S73" s="1027" t="str">
        <f>IF(P73="","",'#orgDung'!BF74)</f>
        <v/>
      </c>
      <c r="T73" s="1025"/>
      <c r="U73" s="1026" t="str">
        <f>IF(T73="","",'#orgDung'!BR74)</f>
        <v/>
      </c>
      <c r="V73" s="1026" t="str">
        <f>IF(T73="","",'#orgDung'!BS74)</f>
        <v/>
      </c>
      <c r="W73" s="1027" t="str">
        <f>IF(T73="","",'#orgDung'!BU74)</f>
        <v/>
      </c>
      <c r="X73" s="1025"/>
      <c r="Y73" s="1026" t="str">
        <f>IF(X73="","",'#orgDung'!CG74)</f>
        <v/>
      </c>
      <c r="Z73" s="1026" t="str">
        <f>IF(X73="","",'#orgDung'!CH74)</f>
        <v/>
      </c>
      <c r="AA73" s="1027" t="str">
        <f>IF(X73="","",'#orgDung'!CJ74)</f>
        <v/>
      </c>
      <c r="AB73" s="1025"/>
      <c r="AC73" s="1026" t="str">
        <f>IF(AB73="","",'#orgDung'!CV74)</f>
        <v/>
      </c>
      <c r="AD73" s="1026" t="str">
        <f>IF(AB73="","",'#orgDung'!CW74)</f>
        <v/>
      </c>
      <c r="AE73" s="1027" t="str">
        <f>IF(AB73="","",'#orgDung'!CY74)</f>
        <v/>
      </c>
      <c r="AF73" s="1025"/>
      <c r="AG73" s="1026" t="str">
        <f>IF(AF73="","",'#orgDung'!DK74)</f>
        <v/>
      </c>
      <c r="AH73" s="1026" t="str">
        <f>IF(AF73="","",'#orgDung'!DL74)</f>
        <v/>
      </c>
      <c r="AI73" s="1027" t="str">
        <f>IF(AF73="","",'#orgDung'!DN74)</f>
        <v/>
      </c>
      <c r="AJ73" s="1025"/>
      <c r="AK73" s="1026" t="str">
        <f>IF(AJ73="","",'#orgDung'!DZ74)</f>
        <v/>
      </c>
      <c r="AL73" s="1026" t="str">
        <f>IF(AJ73="","",'#orgDung'!EA74)</f>
        <v/>
      </c>
      <c r="AM73" s="1027" t="str">
        <f>IF(AJ73="","",'#orgDung'!EC74)</f>
        <v/>
      </c>
      <c r="AN73" s="1025"/>
      <c r="AO73" s="1026" t="str">
        <f>IF(AN73="","",'#orgDung'!EO74)</f>
        <v/>
      </c>
      <c r="AP73" s="1026" t="str">
        <f>IF(AN73="","",'#orgDung'!EP74)</f>
        <v/>
      </c>
      <c r="AQ73" s="1027" t="str">
        <f>IF(AN73="","",'#orgDung'!ER74)</f>
        <v/>
      </c>
      <c r="AR73" s="1025"/>
      <c r="AS73" s="1026" t="str">
        <f>IF(AR73="","",'#orgDung'!FD74)</f>
        <v/>
      </c>
      <c r="AT73" s="1026" t="str">
        <f>IF(AR73="","",'#orgDung'!FE74)</f>
        <v/>
      </c>
      <c r="AU73" s="1027" t="str">
        <f>IF(AR73="","",'#orgDung'!FG74)</f>
        <v/>
      </c>
      <c r="AV73" s="1025"/>
      <c r="AW73" s="1026" t="str">
        <f>IF(AV73="","",'#orgDung'!FS74)</f>
        <v/>
      </c>
      <c r="AX73" s="1026" t="str">
        <f>IF(AV73="","",'#orgDung'!FT74)</f>
        <v/>
      </c>
      <c r="AY73" s="1027" t="str">
        <f>IF(AV73="","",'#orgDung'!FV74)</f>
        <v/>
      </c>
      <c r="AZ73" s="1025"/>
      <c r="BA73" s="1026" t="str">
        <f>IF(AZ73="","",'#orgDung'!GH74)</f>
        <v/>
      </c>
      <c r="BB73" s="1026" t="str">
        <f>IF(AZ73="","",'#orgDung'!GI74)</f>
        <v/>
      </c>
      <c r="BC73" s="1027" t="str">
        <f>IF(AZ73="","",'#orgDung'!GK74)</f>
        <v/>
      </c>
      <c r="BD73" s="1025"/>
      <c r="BE73" s="1026" t="str">
        <f>IF(BD73="","",'#orgDung'!GW74)</f>
        <v/>
      </c>
      <c r="BF73" s="1026" t="str">
        <f>IF(BD73="","",'#orgDung'!GX74)</f>
        <v/>
      </c>
      <c r="BG73" s="1027" t="str">
        <f>IF(BD73="","",'#orgDung'!GZ74)</f>
        <v/>
      </c>
      <c r="BH73" s="1025"/>
      <c r="BI73" s="1026" t="str">
        <f>IF(BH73="","",'#orgDung'!HL74)</f>
        <v/>
      </c>
      <c r="BJ73" s="1026" t="str">
        <f>IF(BH73="","",'#orgDung'!HM74)</f>
        <v/>
      </c>
      <c r="BK73" s="1027" t="str">
        <f>IF(BH73="","",'#orgDung'!HO74)</f>
        <v/>
      </c>
      <c r="BL73" s="1025"/>
      <c r="BM73" s="1026" t="str">
        <f>IF(BL73="","",'#orgDung'!IA74)</f>
        <v/>
      </c>
      <c r="BN73" s="1026" t="str">
        <f>IF(BL73="","",'#orgDung'!IB74)</f>
        <v/>
      </c>
      <c r="BO73" s="1027" t="str">
        <f>IF(BL73="","",'#orgDung'!ID74)</f>
        <v/>
      </c>
      <c r="BP73" s="1025"/>
      <c r="BQ73" s="1026" t="str">
        <f>IF(BP73="","",'#orgDung'!IP74)</f>
        <v/>
      </c>
      <c r="BR73" s="1026" t="str">
        <f>IF(BP73="","",'#orgDung'!IQ74)</f>
        <v/>
      </c>
      <c r="BS73" s="1027" t="str">
        <f>IF(BP73="","",'#orgDung'!IS74)</f>
        <v/>
      </c>
      <c r="BT73" s="1025"/>
      <c r="BU73" s="1026" t="str">
        <f>IF(BT73="","",'#orgDung'!JE74)</f>
        <v/>
      </c>
      <c r="BV73" s="1026" t="str">
        <f>IF(BT73="","",'#orgDung'!JF74)</f>
        <v/>
      </c>
      <c r="BW73" s="1027" t="str">
        <f>IF(BT73="","",'#orgDung'!JH74)</f>
        <v/>
      </c>
      <c r="BX73" s="1025"/>
      <c r="BY73" s="1026" t="str">
        <f>IF(BX73="","",'#orgDung'!JT74)</f>
        <v/>
      </c>
      <c r="BZ73" s="1026" t="str">
        <f>IF(BX73="","",'#orgDung'!JU74)</f>
        <v/>
      </c>
      <c r="CA73" s="1027" t="str">
        <f>IF(BX73="","",'#orgDung'!JW74)</f>
        <v/>
      </c>
      <c r="CB73" s="1025"/>
      <c r="CC73" s="1026" t="str">
        <f>IF(CB73="","",'#orgDung'!KI74)</f>
        <v/>
      </c>
      <c r="CD73" s="1026" t="str">
        <f>IF(CB73="","",'#orgDung'!KJ74)</f>
        <v/>
      </c>
      <c r="CE73" s="1027" t="str">
        <f>IF(CB73="","",'#orgDung'!KL74)</f>
        <v/>
      </c>
      <c r="CF73" s="1025"/>
      <c r="CG73" s="1026" t="str">
        <f>IF(CF73="","",'#orgDung'!KX74)</f>
        <v/>
      </c>
      <c r="CH73" s="1026" t="str">
        <f>IF(CF73="","",'#orgDung'!KY74)</f>
        <v/>
      </c>
      <c r="CI73" s="1027" t="str">
        <f>IF(CF73="","",'#orgDung'!LA74)</f>
        <v/>
      </c>
      <c r="CJ73" s="1025"/>
      <c r="CK73" s="1026" t="str">
        <f>IF(CJ73="","",'#orgDung'!LM74)</f>
        <v/>
      </c>
      <c r="CL73" s="1026" t="str">
        <f>IF(CJ73="","",'#orgDung'!LN74)</f>
        <v/>
      </c>
      <c r="CM73" s="1027" t="str">
        <f>IF(CJ73="","",'#orgDung'!LP74)</f>
        <v/>
      </c>
      <c r="CN73" s="1025"/>
      <c r="CO73" s="1026" t="str">
        <f>IF(CN73="","",'#orgDung'!MB74)</f>
        <v/>
      </c>
      <c r="CP73" s="1026" t="str">
        <f>IF(CN73="","",'#orgDung'!MC74)</f>
        <v/>
      </c>
      <c r="CQ73" s="1027" t="str">
        <f>IF(CN73="","",'#orgDung'!ME74)</f>
        <v/>
      </c>
      <c r="CR73" s="1025"/>
      <c r="CS73" s="1026" t="str">
        <f>IF(CR73="","",'#orgDung'!MQ74)</f>
        <v/>
      </c>
      <c r="CT73" s="1026" t="str">
        <f>IF(CR73="","",'#orgDung'!MR74)</f>
        <v/>
      </c>
      <c r="CU73" s="1027" t="str">
        <f>IF(CR73="","",'#orgDung'!MT74)</f>
        <v/>
      </c>
      <c r="CV73" s="1025"/>
      <c r="CW73" s="1026" t="str">
        <f>IF(CV73="","",'#orgDung'!NF74)</f>
        <v/>
      </c>
      <c r="CX73" s="1026" t="str">
        <f>IF(CV73="","",'#orgDung'!NG74)</f>
        <v/>
      </c>
      <c r="CY73" s="1027" t="str">
        <f>IF(CV73="","",'#orgDung'!NI74)</f>
        <v/>
      </c>
      <c r="CZ73" s="1025"/>
      <c r="DA73" s="1026" t="str">
        <f>IF(CZ73="","",'#orgDung'!NU74)</f>
        <v/>
      </c>
      <c r="DB73" s="1026" t="str">
        <f>IF(CZ73="","",'#orgDung'!NV74)</f>
        <v/>
      </c>
      <c r="DC73" s="1027" t="str">
        <f>IF(CZ73="","",'#orgDung'!NX74)</f>
        <v/>
      </c>
      <c r="DD73" s="1025"/>
      <c r="DE73" s="1026" t="str">
        <f>IF(DD73="","",'#orgDung'!OJ74)</f>
        <v/>
      </c>
      <c r="DF73" s="1026" t="str">
        <f>IF(DD73="","",'#orgDung'!OK74)</f>
        <v/>
      </c>
      <c r="DG73" s="1027" t="str">
        <f>IF(DD73="","",'#orgDung'!OM74)</f>
        <v/>
      </c>
      <c r="DH73" s="1025"/>
      <c r="DI73" s="1026" t="str">
        <f>IF(DH73="","",'#orgDung'!OY74)</f>
        <v/>
      </c>
      <c r="DJ73" s="1026" t="str">
        <f>IF(DH73="","",'#orgDung'!OZ74)</f>
        <v/>
      </c>
      <c r="DK73" s="1027" t="str">
        <f>IF(DH73="","",'#orgDung'!PB74)</f>
        <v/>
      </c>
      <c r="DL73" s="1025"/>
      <c r="DM73" s="1026" t="str">
        <f>IF(DL73="","",'#orgDung'!PN74)</f>
        <v/>
      </c>
      <c r="DN73" s="1026" t="str">
        <f>IF(DL73="","",'#orgDung'!PO74)</f>
        <v/>
      </c>
      <c r="DO73" s="1027" t="str">
        <f>IF(DL73="","",'#orgDung'!PQ74)</f>
        <v/>
      </c>
      <c r="DP73" s="1025"/>
      <c r="DQ73" s="1026" t="str">
        <f>IF(DP73="","",'#orgDung'!QC74)</f>
        <v/>
      </c>
      <c r="DR73" s="1026" t="str">
        <f>IF(DP73="","",'#orgDung'!QD74)</f>
        <v/>
      </c>
      <c r="DS73" s="1027" t="str">
        <f>IF(DP73="","",'#orgDung'!QF74)</f>
        <v/>
      </c>
      <c r="DT73" s="1025"/>
      <c r="DU73" s="1026" t="str">
        <f>IF(DT73="","",'#orgDung'!QR74)</f>
        <v/>
      </c>
      <c r="DV73" s="1026" t="str">
        <f>IF(DT73="","",'#orgDung'!QS74)</f>
        <v/>
      </c>
      <c r="DW73" s="1027" t="str">
        <f>IF(DT73="","",'#orgDung'!QU74)</f>
        <v/>
      </c>
      <c r="DX73" s="1025"/>
      <c r="DY73" s="1026" t="str">
        <f>IF(DX73="","",'#orgDung'!RG74)</f>
        <v/>
      </c>
      <c r="DZ73" s="1026" t="str">
        <f>IF(DX73="","",'#orgDung'!RH74)</f>
        <v/>
      </c>
      <c r="EA73" s="1027" t="str">
        <f>IF(DX73="","",'#orgDung'!RJ74)</f>
        <v/>
      </c>
    </row>
    <row r="74" spans="1:131" ht="15" customHeight="1" x14ac:dyDescent="0.2">
      <c r="A74" s="1195">
        <f>'Flächen u. Kulturen'!A71</f>
        <v>62</v>
      </c>
      <c r="B74" s="1195" t="str">
        <f>IF('Flächen u. Kulturen'!B71="","",'Flächen u. Kulturen'!B71)</f>
        <v/>
      </c>
      <c r="C74" s="1196" t="str">
        <f>IF('Flächen u. Kulturen'!D71="","",'Flächen u. Kulturen'!D71)</f>
        <v/>
      </c>
      <c r="D74" s="1197" t="str">
        <f>IF(C74="","",IF('#BerechnungDBE'!Q66&lt;4,"x",""))</f>
        <v/>
      </c>
      <c r="E74" s="1198" t="str">
        <f>IF(C74="","",VLOOKUP('Flächen u. Kulturen'!L71,'#Zweitfr'!$D$8:$F$28,'#Zweitfr'!$F$1,FALSE))</f>
        <v/>
      </c>
      <c r="F74" s="1199" t="str">
        <f>IF(C74="","",IF('Flächen u. Kulturen'!E71="x",'Flächen u. Kulturen'!P71,"nicht im Betrieb"))</f>
        <v/>
      </c>
      <c r="G74" s="1200" t="str">
        <f>IF(C74="","",IF('#orgDung'!C75=2,"--",IF('#Kürzungen'!$F$2=2,"--",'#orgDung'!R75)))</f>
        <v/>
      </c>
      <c r="H74" s="1200" t="str">
        <f>IF(C74="","",'#orgDung'!U75)</f>
        <v/>
      </c>
      <c r="I74" s="1201" t="str">
        <f>IF(C74="","",IF(COUNT('#orgDung'!RS75:SA75)=0,"OK",TRIM(CONCATENATE('#orgDung'!RS75," ",'#orgDung'!RT75," ",'#orgDung'!RU75," ",'#orgDung'!RV75," ",'#orgDung'!RW75," ",'#orgDung'!RX75," ",'#orgDung'!RY75," ",'#orgDung'!RZ75," ",'#orgDung'!SA75))))</f>
        <v/>
      </c>
      <c r="J74" s="1023"/>
      <c r="K74" s="1024"/>
      <c r="L74" s="1025"/>
      <c r="M74" s="1026" t="str">
        <f>IF(L74="","",'#orgDung'!AN75)</f>
        <v/>
      </c>
      <c r="N74" s="1026" t="str">
        <f>IF(L74="","",'#orgDung'!AO75)</f>
        <v/>
      </c>
      <c r="O74" s="1027" t="str">
        <f>IF(L74="","",'#orgDung'!AQ75)</f>
        <v/>
      </c>
      <c r="P74" s="1025"/>
      <c r="Q74" s="1026" t="str">
        <f>IF(P74="","",'#orgDung'!BC75)</f>
        <v/>
      </c>
      <c r="R74" s="1026" t="str">
        <f>IF(P74="","",'#orgDung'!BD75)</f>
        <v/>
      </c>
      <c r="S74" s="1027" t="str">
        <f>IF(P74="","",'#orgDung'!BF75)</f>
        <v/>
      </c>
      <c r="T74" s="1025"/>
      <c r="U74" s="1026" t="str">
        <f>IF(T74="","",'#orgDung'!BR75)</f>
        <v/>
      </c>
      <c r="V74" s="1026" t="str">
        <f>IF(T74="","",'#orgDung'!BS75)</f>
        <v/>
      </c>
      <c r="W74" s="1027" t="str">
        <f>IF(T74="","",'#orgDung'!BU75)</f>
        <v/>
      </c>
      <c r="X74" s="1025"/>
      <c r="Y74" s="1026" t="str">
        <f>IF(X74="","",'#orgDung'!CG75)</f>
        <v/>
      </c>
      <c r="Z74" s="1026" t="str">
        <f>IF(X74="","",'#orgDung'!CH75)</f>
        <v/>
      </c>
      <c r="AA74" s="1027" t="str">
        <f>IF(X74="","",'#orgDung'!CJ75)</f>
        <v/>
      </c>
      <c r="AB74" s="1025"/>
      <c r="AC74" s="1026" t="str">
        <f>IF(AB74="","",'#orgDung'!CV75)</f>
        <v/>
      </c>
      <c r="AD74" s="1026" t="str">
        <f>IF(AB74="","",'#orgDung'!CW75)</f>
        <v/>
      </c>
      <c r="AE74" s="1027" t="str">
        <f>IF(AB74="","",'#orgDung'!CY75)</f>
        <v/>
      </c>
      <c r="AF74" s="1025"/>
      <c r="AG74" s="1026" t="str">
        <f>IF(AF74="","",'#orgDung'!DK75)</f>
        <v/>
      </c>
      <c r="AH74" s="1026" t="str">
        <f>IF(AF74="","",'#orgDung'!DL75)</f>
        <v/>
      </c>
      <c r="AI74" s="1027" t="str">
        <f>IF(AF74="","",'#orgDung'!DN75)</f>
        <v/>
      </c>
      <c r="AJ74" s="1025"/>
      <c r="AK74" s="1026" t="str">
        <f>IF(AJ74="","",'#orgDung'!DZ75)</f>
        <v/>
      </c>
      <c r="AL74" s="1026" t="str">
        <f>IF(AJ74="","",'#orgDung'!EA75)</f>
        <v/>
      </c>
      <c r="AM74" s="1027" t="str">
        <f>IF(AJ74="","",'#orgDung'!EC75)</f>
        <v/>
      </c>
      <c r="AN74" s="1025"/>
      <c r="AO74" s="1026" t="str">
        <f>IF(AN74="","",'#orgDung'!EO75)</f>
        <v/>
      </c>
      <c r="AP74" s="1026" t="str">
        <f>IF(AN74="","",'#orgDung'!EP75)</f>
        <v/>
      </c>
      <c r="AQ74" s="1027" t="str">
        <f>IF(AN74="","",'#orgDung'!ER75)</f>
        <v/>
      </c>
      <c r="AR74" s="1025"/>
      <c r="AS74" s="1026" t="str">
        <f>IF(AR74="","",'#orgDung'!FD75)</f>
        <v/>
      </c>
      <c r="AT74" s="1026" t="str">
        <f>IF(AR74="","",'#orgDung'!FE75)</f>
        <v/>
      </c>
      <c r="AU74" s="1027" t="str">
        <f>IF(AR74="","",'#orgDung'!FG75)</f>
        <v/>
      </c>
      <c r="AV74" s="1025"/>
      <c r="AW74" s="1026" t="str">
        <f>IF(AV74="","",'#orgDung'!FS75)</f>
        <v/>
      </c>
      <c r="AX74" s="1026" t="str">
        <f>IF(AV74="","",'#orgDung'!FT75)</f>
        <v/>
      </c>
      <c r="AY74" s="1027" t="str">
        <f>IF(AV74="","",'#orgDung'!FV75)</f>
        <v/>
      </c>
      <c r="AZ74" s="1025"/>
      <c r="BA74" s="1026" t="str">
        <f>IF(AZ74="","",'#orgDung'!GH75)</f>
        <v/>
      </c>
      <c r="BB74" s="1026" t="str">
        <f>IF(AZ74="","",'#orgDung'!GI75)</f>
        <v/>
      </c>
      <c r="BC74" s="1027" t="str">
        <f>IF(AZ74="","",'#orgDung'!GK75)</f>
        <v/>
      </c>
      <c r="BD74" s="1025"/>
      <c r="BE74" s="1026" t="str">
        <f>IF(BD74="","",'#orgDung'!GW75)</f>
        <v/>
      </c>
      <c r="BF74" s="1026" t="str">
        <f>IF(BD74="","",'#orgDung'!GX75)</f>
        <v/>
      </c>
      <c r="BG74" s="1027" t="str">
        <f>IF(BD74="","",'#orgDung'!GZ75)</f>
        <v/>
      </c>
      <c r="BH74" s="1025"/>
      <c r="BI74" s="1026" t="str">
        <f>IF(BH74="","",'#orgDung'!HL75)</f>
        <v/>
      </c>
      <c r="BJ74" s="1026" t="str">
        <f>IF(BH74="","",'#orgDung'!HM75)</f>
        <v/>
      </c>
      <c r="BK74" s="1027" t="str">
        <f>IF(BH74="","",'#orgDung'!HO75)</f>
        <v/>
      </c>
      <c r="BL74" s="1025"/>
      <c r="BM74" s="1026" t="str">
        <f>IF(BL74="","",'#orgDung'!IA75)</f>
        <v/>
      </c>
      <c r="BN74" s="1026" t="str">
        <f>IF(BL74="","",'#orgDung'!IB75)</f>
        <v/>
      </c>
      <c r="BO74" s="1027" t="str">
        <f>IF(BL74="","",'#orgDung'!ID75)</f>
        <v/>
      </c>
      <c r="BP74" s="1025"/>
      <c r="BQ74" s="1026" t="str">
        <f>IF(BP74="","",'#orgDung'!IP75)</f>
        <v/>
      </c>
      <c r="BR74" s="1026" t="str">
        <f>IF(BP74="","",'#orgDung'!IQ75)</f>
        <v/>
      </c>
      <c r="BS74" s="1027" t="str">
        <f>IF(BP74="","",'#orgDung'!IS75)</f>
        <v/>
      </c>
      <c r="BT74" s="1025"/>
      <c r="BU74" s="1026" t="str">
        <f>IF(BT74="","",'#orgDung'!JE75)</f>
        <v/>
      </c>
      <c r="BV74" s="1026" t="str">
        <f>IF(BT74="","",'#orgDung'!JF75)</f>
        <v/>
      </c>
      <c r="BW74" s="1027" t="str">
        <f>IF(BT74="","",'#orgDung'!JH75)</f>
        <v/>
      </c>
      <c r="BX74" s="1025"/>
      <c r="BY74" s="1026" t="str">
        <f>IF(BX74="","",'#orgDung'!JT75)</f>
        <v/>
      </c>
      <c r="BZ74" s="1026" t="str">
        <f>IF(BX74="","",'#orgDung'!JU75)</f>
        <v/>
      </c>
      <c r="CA74" s="1027" t="str">
        <f>IF(BX74="","",'#orgDung'!JW75)</f>
        <v/>
      </c>
      <c r="CB74" s="1025"/>
      <c r="CC74" s="1026" t="str">
        <f>IF(CB74="","",'#orgDung'!KI75)</f>
        <v/>
      </c>
      <c r="CD74" s="1026" t="str">
        <f>IF(CB74="","",'#orgDung'!KJ75)</f>
        <v/>
      </c>
      <c r="CE74" s="1027" t="str">
        <f>IF(CB74="","",'#orgDung'!KL75)</f>
        <v/>
      </c>
      <c r="CF74" s="1025"/>
      <c r="CG74" s="1026" t="str">
        <f>IF(CF74="","",'#orgDung'!KX75)</f>
        <v/>
      </c>
      <c r="CH74" s="1026" t="str">
        <f>IF(CF74="","",'#orgDung'!KY75)</f>
        <v/>
      </c>
      <c r="CI74" s="1027" t="str">
        <f>IF(CF74="","",'#orgDung'!LA75)</f>
        <v/>
      </c>
      <c r="CJ74" s="1025"/>
      <c r="CK74" s="1026" t="str">
        <f>IF(CJ74="","",'#orgDung'!LM75)</f>
        <v/>
      </c>
      <c r="CL74" s="1026" t="str">
        <f>IF(CJ74="","",'#orgDung'!LN75)</f>
        <v/>
      </c>
      <c r="CM74" s="1027" t="str">
        <f>IF(CJ74="","",'#orgDung'!LP75)</f>
        <v/>
      </c>
      <c r="CN74" s="1025"/>
      <c r="CO74" s="1026" t="str">
        <f>IF(CN74="","",'#orgDung'!MB75)</f>
        <v/>
      </c>
      <c r="CP74" s="1026" t="str">
        <f>IF(CN74="","",'#orgDung'!MC75)</f>
        <v/>
      </c>
      <c r="CQ74" s="1027" t="str">
        <f>IF(CN74="","",'#orgDung'!ME75)</f>
        <v/>
      </c>
      <c r="CR74" s="1025"/>
      <c r="CS74" s="1026" t="str">
        <f>IF(CR74="","",'#orgDung'!MQ75)</f>
        <v/>
      </c>
      <c r="CT74" s="1026" t="str">
        <f>IF(CR74="","",'#orgDung'!MR75)</f>
        <v/>
      </c>
      <c r="CU74" s="1027" t="str">
        <f>IF(CR74="","",'#orgDung'!MT75)</f>
        <v/>
      </c>
      <c r="CV74" s="1025"/>
      <c r="CW74" s="1026" t="str">
        <f>IF(CV74="","",'#orgDung'!NF75)</f>
        <v/>
      </c>
      <c r="CX74" s="1026" t="str">
        <f>IF(CV74="","",'#orgDung'!NG75)</f>
        <v/>
      </c>
      <c r="CY74" s="1027" t="str">
        <f>IF(CV74="","",'#orgDung'!NI75)</f>
        <v/>
      </c>
      <c r="CZ74" s="1025"/>
      <c r="DA74" s="1026" t="str">
        <f>IF(CZ74="","",'#orgDung'!NU75)</f>
        <v/>
      </c>
      <c r="DB74" s="1026" t="str">
        <f>IF(CZ74="","",'#orgDung'!NV75)</f>
        <v/>
      </c>
      <c r="DC74" s="1027" t="str">
        <f>IF(CZ74="","",'#orgDung'!NX75)</f>
        <v/>
      </c>
      <c r="DD74" s="1025"/>
      <c r="DE74" s="1026" t="str">
        <f>IF(DD74="","",'#orgDung'!OJ75)</f>
        <v/>
      </c>
      <c r="DF74" s="1026" t="str">
        <f>IF(DD74="","",'#orgDung'!OK75)</f>
        <v/>
      </c>
      <c r="DG74" s="1027" t="str">
        <f>IF(DD74="","",'#orgDung'!OM75)</f>
        <v/>
      </c>
      <c r="DH74" s="1025"/>
      <c r="DI74" s="1026" t="str">
        <f>IF(DH74="","",'#orgDung'!OY75)</f>
        <v/>
      </c>
      <c r="DJ74" s="1026" t="str">
        <f>IF(DH74="","",'#orgDung'!OZ75)</f>
        <v/>
      </c>
      <c r="DK74" s="1027" t="str">
        <f>IF(DH74="","",'#orgDung'!PB75)</f>
        <v/>
      </c>
      <c r="DL74" s="1025"/>
      <c r="DM74" s="1026" t="str">
        <f>IF(DL74="","",'#orgDung'!PN75)</f>
        <v/>
      </c>
      <c r="DN74" s="1026" t="str">
        <f>IF(DL74="","",'#orgDung'!PO75)</f>
        <v/>
      </c>
      <c r="DO74" s="1027" t="str">
        <f>IF(DL74="","",'#orgDung'!PQ75)</f>
        <v/>
      </c>
      <c r="DP74" s="1025"/>
      <c r="DQ74" s="1026" t="str">
        <f>IF(DP74="","",'#orgDung'!QC75)</f>
        <v/>
      </c>
      <c r="DR74" s="1026" t="str">
        <f>IF(DP74="","",'#orgDung'!QD75)</f>
        <v/>
      </c>
      <c r="DS74" s="1027" t="str">
        <f>IF(DP74="","",'#orgDung'!QF75)</f>
        <v/>
      </c>
      <c r="DT74" s="1025"/>
      <c r="DU74" s="1026" t="str">
        <f>IF(DT74="","",'#orgDung'!QR75)</f>
        <v/>
      </c>
      <c r="DV74" s="1026" t="str">
        <f>IF(DT74="","",'#orgDung'!QS75)</f>
        <v/>
      </c>
      <c r="DW74" s="1027" t="str">
        <f>IF(DT74="","",'#orgDung'!QU75)</f>
        <v/>
      </c>
      <c r="DX74" s="1025"/>
      <c r="DY74" s="1026" t="str">
        <f>IF(DX74="","",'#orgDung'!RG75)</f>
        <v/>
      </c>
      <c r="DZ74" s="1026" t="str">
        <f>IF(DX74="","",'#orgDung'!RH75)</f>
        <v/>
      </c>
      <c r="EA74" s="1027" t="str">
        <f>IF(DX74="","",'#orgDung'!RJ75)</f>
        <v/>
      </c>
    </row>
    <row r="75" spans="1:131" ht="15" customHeight="1" x14ac:dyDescent="0.2">
      <c r="A75" s="1195">
        <f>'Flächen u. Kulturen'!A72</f>
        <v>63</v>
      </c>
      <c r="B75" s="1195" t="str">
        <f>IF('Flächen u. Kulturen'!B72="","",'Flächen u. Kulturen'!B72)</f>
        <v/>
      </c>
      <c r="C75" s="1196" t="str">
        <f>IF('Flächen u. Kulturen'!D72="","",'Flächen u. Kulturen'!D72)</f>
        <v/>
      </c>
      <c r="D75" s="1197" t="str">
        <f>IF(C75="","",IF('#BerechnungDBE'!Q67&lt;4,"x",""))</f>
        <v/>
      </c>
      <c r="E75" s="1198" t="str">
        <f>IF(C75="","",VLOOKUP('Flächen u. Kulturen'!L72,'#Zweitfr'!$D$8:$F$28,'#Zweitfr'!$F$1,FALSE))</f>
        <v/>
      </c>
      <c r="F75" s="1199" t="str">
        <f>IF(C75="","",IF('Flächen u. Kulturen'!E72="x",'Flächen u. Kulturen'!P72,"nicht im Betrieb"))</f>
        <v/>
      </c>
      <c r="G75" s="1200" t="str">
        <f>IF(C75="","",IF('#orgDung'!C76=2,"--",IF('#Kürzungen'!$F$2=2,"--",'#orgDung'!R76)))</f>
        <v/>
      </c>
      <c r="H75" s="1200" t="str">
        <f>IF(C75="","",'#orgDung'!U76)</f>
        <v/>
      </c>
      <c r="I75" s="1201" t="str">
        <f>IF(C75="","",IF(COUNT('#orgDung'!RS76:SA76)=0,"OK",TRIM(CONCATENATE('#orgDung'!RS76," ",'#orgDung'!RT76," ",'#orgDung'!RU76," ",'#orgDung'!RV76," ",'#orgDung'!RW76," ",'#orgDung'!RX76," ",'#orgDung'!RY76," ",'#orgDung'!RZ76," ",'#orgDung'!SA76))))</f>
        <v/>
      </c>
      <c r="J75" s="1023"/>
      <c r="K75" s="1024"/>
      <c r="L75" s="1025"/>
      <c r="M75" s="1026" t="str">
        <f>IF(L75="","",'#orgDung'!AN76)</f>
        <v/>
      </c>
      <c r="N75" s="1026" t="str">
        <f>IF(L75="","",'#orgDung'!AO76)</f>
        <v/>
      </c>
      <c r="O75" s="1027" t="str">
        <f>IF(L75="","",'#orgDung'!AQ76)</f>
        <v/>
      </c>
      <c r="P75" s="1025"/>
      <c r="Q75" s="1026" t="str">
        <f>IF(P75="","",'#orgDung'!BC76)</f>
        <v/>
      </c>
      <c r="R75" s="1026" t="str">
        <f>IF(P75="","",'#orgDung'!BD76)</f>
        <v/>
      </c>
      <c r="S75" s="1027" t="str">
        <f>IF(P75="","",'#orgDung'!BF76)</f>
        <v/>
      </c>
      <c r="T75" s="1025"/>
      <c r="U75" s="1026" t="str">
        <f>IF(T75="","",'#orgDung'!BR76)</f>
        <v/>
      </c>
      <c r="V75" s="1026" t="str">
        <f>IF(T75="","",'#orgDung'!BS76)</f>
        <v/>
      </c>
      <c r="W75" s="1027" t="str">
        <f>IF(T75="","",'#orgDung'!BU76)</f>
        <v/>
      </c>
      <c r="X75" s="1025"/>
      <c r="Y75" s="1026" t="str">
        <f>IF(X75="","",'#orgDung'!CG76)</f>
        <v/>
      </c>
      <c r="Z75" s="1026" t="str">
        <f>IF(X75="","",'#orgDung'!CH76)</f>
        <v/>
      </c>
      <c r="AA75" s="1027" t="str">
        <f>IF(X75="","",'#orgDung'!CJ76)</f>
        <v/>
      </c>
      <c r="AB75" s="1025"/>
      <c r="AC75" s="1026" t="str">
        <f>IF(AB75="","",'#orgDung'!CV76)</f>
        <v/>
      </c>
      <c r="AD75" s="1026" t="str">
        <f>IF(AB75="","",'#orgDung'!CW76)</f>
        <v/>
      </c>
      <c r="AE75" s="1027" t="str">
        <f>IF(AB75="","",'#orgDung'!CY76)</f>
        <v/>
      </c>
      <c r="AF75" s="1025"/>
      <c r="AG75" s="1026" t="str">
        <f>IF(AF75="","",'#orgDung'!DK76)</f>
        <v/>
      </c>
      <c r="AH75" s="1026" t="str">
        <f>IF(AF75="","",'#orgDung'!DL76)</f>
        <v/>
      </c>
      <c r="AI75" s="1027" t="str">
        <f>IF(AF75="","",'#orgDung'!DN76)</f>
        <v/>
      </c>
      <c r="AJ75" s="1025"/>
      <c r="AK75" s="1026" t="str">
        <f>IF(AJ75="","",'#orgDung'!DZ76)</f>
        <v/>
      </c>
      <c r="AL75" s="1026" t="str">
        <f>IF(AJ75="","",'#orgDung'!EA76)</f>
        <v/>
      </c>
      <c r="AM75" s="1027" t="str">
        <f>IF(AJ75="","",'#orgDung'!EC76)</f>
        <v/>
      </c>
      <c r="AN75" s="1025"/>
      <c r="AO75" s="1026" t="str">
        <f>IF(AN75="","",'#orgDung'!EO76)</f>
        <v/>
      </c>
      <c r="AP75" s="1026" t="str">
        <f>IF(AN75="","",'#orgDung'!EP76)</f>
        <v/>
      </c>
      <c r="AQ75" s="1027" t="str">
        <f>IF(AN75="","",'#orgDung'!ER76)</f>
        <v/>
      </c>
      <c r="AR75" s="1025"/>
      <c r="AS75" s="1026" t="str">
        <f>IF(AR75="","",'#orgDung'!FD76)</f>
        <v/>
      </c>
      <c r="AT75" s="1026" t="str">
        <f>IF(AR75="","",'#orgDung'!FE76)</f>
        <v/>
      </c>
      <c r="AU75" s="1027" t="str">
        <f>IF(AR75="","",'#orgDung'!FG76)</f>
        <v/>
      </c>
      <c r="AV75" s="1025"/>
      <c r="AW75" s="1026" t="str">
        <f>IF(AV75="","",'#orgDung'!FS76)</f>
        <v/>
      </c>
      <c r="AX75" s="1026" t="str">
        <f>IF(AV75="","",'#orgDung'!FT76)</f>
        <v/>
      </c>
      <c r="AY75" s="1027" t="str">
        <f>IF(AV75="","",'#orgDung'!FV76)</f>
        <v/>
      </c>
      <c r="AZ75" s="1025"/>
      <c r="BA75" s="1026" t="str">
        <f>IF(AZ75="","",'#orgDung'!GH76)</f>
        <v/>
      </c>
      <c r="BB75" s="1026" t="str">
        <f>IF(AZ75="","",'#orgDung'!GI76)</f>
        <v/>
      </c>
      <c r="BC75" s="1027" t="str">
        <f>IF(AZ75="","",'#orgDung'!GK76)</f>
        <v/>
      </c>
      <c r="BD75" s="1025"/>
      <c r="BE75" s="1026" t="str">
        <f>IF(BD75="","",'#orgDung'!GW76)</f>
        <v/>
      </c>
      <c r="BF75" s="1026" t="str">
        <f>IF(BD75="","",'#orgDung'!GX76)</f>
        <v/>
      </c>
      <c r="BG75" s="1027" t="str">
        <f>IF(BD75="","",'#orgDung'!GZ76)</f>
        <v/>
      </c>
      <c r="BH75" s="1025"/>
      <c r="BI75" s="1026" t="str">
        <f>IF(BH75="","",'#orgDung'!HL76)</f>
        <v/>
      </c>
      <c r="BJ75" s="1026" t="str">
        <f>IF(BH75="","",'#orgDung'!HM76)</f>
        <v/>
      </c>
      <c r="BK75" s="1027" t="str">
        <f>IF(BH75="","",'#orgDung'!HO76)</f>
        <v/>
      </c>
      <c r="BL75" s="1025"/>
      <c r="BM75" s="1026" t="str">
        <f>IF(BL75="","",'#orgDung'!IA76)</f>
        <v/>
      </c>
      <c r="BN75" s="1026" t="str">
        <f>IF(BL75="","",'#orgDung'!IB76)</f>
        <v/>
      </c>
      <c r="BO75" s="1027" t="str">
        <f>IF(BL75="","",'#orgDung'!ID76)</f>
        <v/>
      </c>
      <c r="BP75" s="1025"/>
      <c r="BQ75" s="1026" t="str">
        <f>IF(BP75="","",'#orgDung'!IP76)</f>
        <v/>
      </c>
      <c r="BR75" s="1026" t="str">
        <f>IF(BP75="","",'#orgDung'!IQ76)</f>
        <v/>
      </c>
      <c r="BS75" s="1027" t="str">
        <f>IF(BP75="","",'#orgDung'!IS76)</f>
        <v/>
      </c>
      <c r="BT75" s="1025"/>
      <c r="BU75" s="1026" t="str">
        <f>IF(BT75="","",'#orgDung'!JE76)</f>
        <v/>
      </c>
      <c r="BV75" s="1026" t="str">
        <f>IF(BT75="","",'#orgDung'!JF76)</f>
        <v/>
      </c>
      <c r="BW75" s="1027" t="str">
        <f>IF(BT75="","",'#orgDung'!JH76)</f>
        <v/>
      </c>
      <c r="BX75" s="1025"/>
      <c r="BY75" s="1026" t="str">
        <f>IF(BX75="","",'#orgDung'!JT76)</f>
        <v/>
      </c>
      <c r="BZ75" s="1026" t="str">
        <f>IF(BX75="","",'#orgDung'!JU76)</f>
        <v/>
      </c>
      <c r="CA75" s="1027" t="str">
        <f>IF(BX75="","",'#orgDung'!JW76)</f>
        <v/>
      </c>
      <c r="CB75" s="1025"/>
      <c r="CC75" s="1026" t="str">
        <f>IF(CB75="","",'#orgDung'!KI76)</f>
        <v/>
      </c>
      <c r="CD75" s="1026" t="str">
        <f>IF(CB75="","",'#orgDung'!KJ76)</f>
        <v/>
      </c>
      <c r="CE75" s="1027" t="str">
        <f>IF(CB75="","",'#orgDung'!KL76)</f>
        <v/>
      </c>
      <c r="CF75" s="1025"/>
      <c r="CG75" s="1026" t="str">
        <f>IF(CF75="","",'#orgDung'!KX76)</f>
        <v/>
      </c>
      <c r="CH75" s="1026" t="str">
        <f>IF(CF75="","",'#orgDung'!KY76)</f>
        <v/>
      </c>
      <c r="CI75" s="1027" t="str">
        <f>IF(CF75="","",'#orgDung'!LA76)</f>
        <v/>
      </c>
      <c r="CJ75" s="1025"/>
      <c r="CK75" s="1026" t="str">
        <f>IF(CJ75="","",'#orgDung'!LM76)</f>
        <v/>
      </c>
      <c r="CL75" s="1026" t="str">
        <f>IF(CJ75="","",'#orgDung'!LN76)</f>
        <v/>
      </c>
      <c r="CM75" s="1027" t="str">
        <f>IF(CJ75="","",'#orgDung'!LP76)</f>
        <v/>
      </c>
      <c r="CN75" s="1025"/>
      <c r="CO75" s="1026" t="str">
        <f>IF(CN75="","",'#orgDung'!MB76)</f>
        <v/>
      </c>
      <c r="CP75" s="1026" t="str">
        <f>IF(CN75="","",'#orgDung'!MC76)</f>
        <v/>
      </c>
      <c r="CQ75" s="1027" t="str">
        <f>IF(CN75="","",'#orgDung'!ME76)</f>
        <v/>
      </c>
      <c r="CR75" s="1025"/>
      <c r="CS75" s="1026" t="str">
        <f>IF(CR75="","",'#orgDung'!MQ76)</f>
        <v/>
      </c>
      <c r="CT75" s="1026" t="str">
        <f>IF(CR75="","",'#orgDung'!MR76)</f>
        <v/>
      </c>
      <c r="CU75" s="1027" t="str">
        <f>IF(CR75="","",'#orgDung'!MT76)</f>
        <v/>
      </c>
      <c r="CV75" s="1025"/>
      <c r="CW75" s="1026" t="str">
        <f>IF(CV75="","",'#orgDung'!NF76)</f>
        <v/>
      </c>
      <c r="CX75" s="1026" t="str">
        <f>IF(CV75="","",'#orgDung'!NG76)</f>
        <v/>
      </c>
      <c r="CY75" s="1027" t="str">
        <f>IF(CV75="","",'#orgDung'!NI76)</f>
        <v/>
      </c>
      <c r="CZ75" s="1025"/>
      <c r="DA75" s="1026" t="str">
        <f>IF(CZ75="","",'#orgDung'!NU76)</f>
        <v/>
      </c>
      <c r="DB75" s="1026" t="str">
        <f>IF(CZ75="","",'#orgDung'!NV76)</f>
        <v/>
      </c>
      <c r="DC75" s="1027" t="str">
        <f>IF(CZ75="","",'#orgDung'!NX76)</f>
        <v/>
      </c>
      <c r="DD75" s="1025"/>
      <c r="DE75" s="1026" t="str">
        <f>IF(DD75="","",'#orgDung'!OJ76)</f>
        <v/>
      </c>
      <c r="DF75" s="1026" t="str">
        <f>IF(DD75="","",'#orgDung'!OK76)</f>
        <v/>
      </c>
      <c r="DG75" s="1027" t="str">
        <f>IF(DD75="","",'#orgDung'!OM76)</f>
        <v/>
      </c>
      <c r="DH75" s="1025"/>
      <c r="DI75" s="1026" t="str">
        <f>IF(DH75="","",'#orgDung'!OY76)</f>
        <v/>
      </c>
      <c r="DJ75" s="1026" t="str">
        <f>IF(DH75="","",'#orgDung'!OZ76)</f>
        <v/>
      </c>
      <c r="DK75" s="1027" t="str">
        <f>IF(DH75="","",'#orgDung'!PB76)</f>
        <v/>
      </c>
      <c r="DL75" s="1025"/>
      <c r="DM75" s="1026" t="str">
        <f>IF(DL75="","",'#orgDung'!PN76)</f>
        <v/>
      </c>
      <c r="DN75" s="1026" t="str">
        <f>IF(DL75="","",'#orgDung'!PO76)</f>
        <v/>
      </c>
      <c r="DO75" s="1027" t="str">
        <f>IF(DL75="","",'#orgDung'!PQ76)</f>
        <v/>
      </c>
      <c r="DP75" s="1025"/>
      <c r="DQ75" s="1026" t="str">
        <f>IF(DP75="","",'#orgDung'!QC76)</f>
        <v/>
      </c>
      <c r="DR75" s="1026" t="str">
        <f>IF(DP75="","",'#orgDung'!QD76)</f>
        <v/>
      </c>
      <c r="DS75" s="1027" t="str">
        <f>IF(DP75="","",'#orgDung'!QF76)</f>
        <v/>
      </c>
      <c r="DT75" s="1025"/>
      <c r="DU75" s="1026" t="str">
        <f>IF(DT75="","",'#orgDung'!QR76)</f>
        <v/>
      </c>
      <c r="DV75" s="1026" t="str">
        <f>IF(DT75="","",'#orgDung'!QS76)</f>
        <v/>
      </c>
      <c r="DW75" s="1027" t="str">
        <f>IF(DT75="","",'#orgDung'!QU76)</f>
        <v/>
      </c>
      <c r="DX75" s="1025"/>
      <c r="DY75" s="1026" t="str">
        <f>IF(DX75="","",'#orgDung'!RG76)</f>
        <v/>
      </c>
      <c r="DZ75" s="1026" t="str">
        <f>IF(DX75="","",'#orgDung'!RH76)</f>
        <v/>
      </c>
      <c r="EA75" s="1027" t="str">
        <f>IF(DX75="","",'#orgDung'!RJ76)</f>
        <v/>
      </c>
    </row>
    <row r="76" spans="1:131" ht="15" customHeight="1" x14ac:dyDescent="0.2">
      <c r="A76" s="1195">
        <f>'Flächen u. Kulturen'!A73</f>
        <v>64</v>
      </c>
      <c r="B76" s="1195" t="str">
        <f>IF('Flächen u. Kulturen'!B73="","",'Flächen u. Kulturen'!B73)</f>
        <v/>
      </c>
      <c r="C76" s="1196" t="str">
        <f>IF('Flächen u. Kulturen'!D73="","",'Flächen u. Kulturen'!D73)</f>
        <v/>
      </c>
      <c r="D76" s="1197" t="str">
        <f>IF(C76="","",IF('#BerechnungDBE'!Q68&lt;4,"x",""))</f>
        <v/>
      </c>
      <c r="E76" s="1198" t="str">
        <f>IF(C76="","",VLOOKUP('Flächen u. Kulturen'!L73,'#Zweitfr'!$D$8:$F$28,'#Zweitfr'!$F$1,FALSE))</f>
        <v/>
      </c>
      <c r="F76" s="1199" t="str">
        <f>IF(C76="","",IF('Flächen u. Kulturen'!E73="x",'Flächen u. Kulturen'!P73,"nicht im Betrieb"))</f>
        <v/>
      </c>
      <c r="G76" s="1200" t="str">
        <f>IF(C76="","",IF('#orgDung'!C77=2,"--",IF('#Kürzungen'!$F$2=2,"--",'#orgDung'!R77)))</f>
        <v/>
      </c>
      <c r="H76" s="1200" t="str">
        <f>IF(C76="","",'#orgDung'!U77)</f>
        <v/>
      </c>
      <c r="I76" s="1201" t="str">
        <f>IF(C76="","",IF(COUNT('#orgDung'!RS77:SA77)=0,"OK",TRIM(CONCATENATE('#orgDung'!RS77," ",'#orgDung'!RT77," ",'#orgDung'!RU77," ",'#orgDung'!RV77," ",'#orgDung'!RW77," ",'#orgDung'!RX77," ",'#orgDung'!RY77," ",'#orgDung'!RZ77," ",'#orgDung'!SA77))))</f>
        <v/>
      </c>
      <c r="J76" s="1023"/>
      <c r="K76" s="1024"/>
      <c r="L76" s="1025"/>
      <c r="M76" s="1026" t="str">
        <f>IF(L76="","",'#orgDung'!AN77)</f>
        <v/>
      </c>
      <c r="N76" s="1026" t="str">
        <f>IF(L76="","",'#orgDung'!AO77)</f>
        <v/>
      </c>
      <c r="O76" s="1027" t="str">
        <f>IF(L76="","",'#orgDung'!AQ77)</f>
        <v/>
      </c>
      <c r="P76" s="1025"/>
      <c r="Q76" s="1026" t="str">
        <f>IF(P76="","",'#orgDung'!BC77)</f>
        <v/>
      </c>
      <c r="R76" s="1026" t="str">
        <f>IF(P76="","",'#orgDung'!BD77)</f>
        <v/>
      </c>
      <c r="S76" s="1027" t="str">
        <f>IF(P76="","",'#orgDung'!BF77)</f>
        <v/>
      </c>
      <c r="T76" s="1025"/>
      <c r="U76" s="1026" t="str">
        <f>IF(T76="","",'#orgDung'!BR77)</f>
        <v/>
      </c>
      <c r="V76" s="1026" t="str">
        <f>IF(T76="","",'#orgDung'!BS77)</f>
        <v/>
      </c>
      <c r="W76" s="1027" t="str">
        <f>IF(T76="","",'#orgDung'!BU77)</f>
        <v/>
      </c>
      <c r="X76" s="1025"/>
      <c r="Y76" s="1026" t="str">
        <f>IF(X76="","",'#orgDung'!CG77)</f>
        <v/>
      </c>
      <c r="Z76" s="1026" t="str">
        <f>IF(X76="","",'#orgDung'!CH77)</f>
        <v/>
      </c>
      <c r="AA76" s="1027" t="str">
        <f>IF(X76="","",'#orgDung'!CJ77)</f>
        <v/>
      </c>
      <c r="AB76" s="1025"/>
      <c r="AC76" s="1026" t="str">
        <f>IF(AB76="","",'#orgDung'!CV77)</f>
        <v/>
      </c>
      <c r="AD76" s="1026" t="str">
        <f>IF(AB76="","",'#orgDung'!CW77)</f>
        <v/>
      </c>
      <c r="AE76" s="1027" t="str">
        <f>IF(AB76="","",'#orgDung'!CY77)</f>
        <v/>
      </c>
      <c r="AF76" s="1025"/>
      <c r="AG76" s="1026" t="str">
        <f>IF(AF76="","",'#orgDung'!DK77)</f>
        <v/>
      </c>
      <c r="AH76" s="1026" t="str">
        <f>IF(AF76="","",'#orgDung'!DL77)</f>
        <v/>
      </c>
      <c r="AI76" s="1027" t="str">
        <f>IF(AF76="","",'#orgDung'!DN77)</f>
        <v/>
      </c>
      <c r="AJ76" s="1025"/>
      <c r="AK76" s="1026" t="str">
        <f>IF(AJ76="","",'#orgDung'!DZ77)</f>
        <v/>
      </c>
      <c r="AL76" s="1026" t="str">
        <f>IF(AJ76="","",'#orgDung'!EA77)</f>
        <v/>
      </c>
      <c r="AM76" s="1027" t="str">
        <f>IF(AJ76="","",'#orgDung'!EC77)</f>
        <v/>
      </c>
      <c r="AN76" s="1025"/>
      <c r="AO76" s="1026" t="str">
        <f>IF(AN76="","",'#orgDung'!EO77)</f>
        <v/>
      </c>
      <c r="AP76" s="1026" t="str">
        <f>IF(AN76="","",'#orgDung'!EP77)</f>
        <v/>
      </c>
      <c r="AQ76" s="1027" t="str">
        <f>IF(AN76="","",'#orgDung'!ER77)</f>
        <v/>
      </c>
      <c r="AR76" s="1025"/>
      <c r="AS76" s="1026" t="str">
        <f>IF(AR76="","",'#orgDung'!FD77)</f>
        <v/>
      </c>
      <c r="AT76" s="1026" t="str">
        <f>IF(AR76="","",'#orgDung'!FE77)</f>
        <v/>
      </c>
      <c r="AU76" s="1027" t="str">
        <f>IF(AR76="","",'#orgDung'!FG77)</f>
        <v/>
      </c>
      <c r="AV76" s="1025"/>
      <c r="AW76" s="1026" t="str">
        <f>IF(AV76="","",'#orgDung'!FS77)</f>
        <v/>
      </c>
      <c r="AX76" s="1026" t="str">
        <f>IF(AV76="","",'#orgDung'!FT77)</f>
        <v/>
      </c>
      <c r="AY76" s="1027" t="str">
        <f>IF(AV76="","",'#orgDung'!FV77)</f>
        <v/>
      </c>
      <c r="AZ76" s="1025"/>
      <c r="BA76" s="1026" t="str">
        <f>IF(AZ76="","",'#orgDung'!GH77)</f>
        <v/>
      </c>
      <c r="BB76" s="1026" t="str">
        <f>IF(AZ76="","",'#orgDung'!GI77)</f>
        <v/>
      </c>
      <c r="BC76" s="1027" t="str">
        <f>IF(AZ76="","",'#orgDung'!GK77)</f>
        <v/>
      </c>
      <c r="BD76" s="1025"/>
      <c r="BE76" s="1026" t="str">
        <f>IF(BD76="","",'#orgDung'!GW77)</f>
        <v/>
      </c>
      <c r="BF76" s="1026" t="str">
        <f>IF(BD76="","",'#orgDung'!GX77)</f>
        <v/>
      </c>
      <c r="BG76" s="1027" t="str">
        <f>IF(BD76="","",'#orgDung'!GZ77)</f>
        <v/>
      </c>
      <c r="BH76" s="1025"/>
      <c r="BI76" s="1026" t="str">
        <f>IF(BH76="","",'#orgDung'!HL77)</f>
        <v/>
      </c>
      <c r="BJ76" s="1026" t="str">
        <f>IF(BH76="","",'#orgDung'!HM77)</f>
        <v/>
      </c>
      <c r="BK76" s="1027" t="str">
        <f>IF(BH76="","",'#orgDung'!HO77)</f>
        <v/>
      </c>
      <c r="BL76" s="1025"/>
      <c r="BM76" s="1026" t="str">
        <f>IF(BL76="","",'#orgDung'!IA77)</f>
        <v/>
      </c>
      <c r="BN76" s="1026" t="str">
        <f>IF(BL76="","",'#orgDung'!IB77)</f>
        <v/>
      </c>
      <c r="BO76" s="1027" t="str">
        <f>IF(BL76="","",'#orgDung'!ID77)</f>
        <v/>
      </c>
      <c r="BP76" s="1025"/>
      <c r="BQ76" s="1026" t="str">
        <f>IF(BP76="","",'#orgDung'!IP77)</f>
        <v/>
      </c>
      <c r="BR76" s="1026" t="str">
        <f>IF(BP76="","",'#orgDung'!IQ77)</f>
        <v/>
      </c>
      <c r="BS76" s="1027" t="str">
        <f>IF(BP76="","",'#orgDung'!IS77)</f>
        <v/>
      </c>
      <c r="BT76" s="1025"/>
      <c r="BU76" s="1026" t="str">
        <f>IF(BT76="","",'#orgDung'!JE77)</f>
        <v/>
      </c>
      <c r="BV76" s="1026" t="str">
        <f>IF(BT76="","",'#orgDung'!JF77)</f>
        <v/>
      </c>
      <c r="BW76" s="1027" t="str">
        <f>IF(BT76="","",'#orgDung'!JH77)</f>
        <v/>
      </c>
      <c r="BX76" s="1025"/>
      <c r="BY76" s="1026" t="str">
        <f>IF(BX76="","",'#orgDung'!JT77)</f>
        <v/>
      </c>
      <c r="BZ76" s="1026" t="str">
        <f>IF(BX76="","",'#orgDung'!JU77)</f>
        <v/>
      </c>
      <c r="CA76" s="1027" t="str">
        <f>IF(BX76="","",'#orgDung'!JW77)</f>
        <v/>
      </c>
      <c r="CB76" s="1025"/>
      <c r="CC76" s="1026" t="str">
        <f>IF(CB76="","",'#orgDung'!KI77)</f>
        <v/>
      </c>
      <c r="CD76" s="1026" t="str">
        <f>IF(CB76="","",'#orgDung'!KJ77)</f>
        <v/>
      </c>
      <c r="CE76" s="1027" t="str">
        <f>IF(CB76="","",'#orgDung'!KL77)</f>
        <v/>
      </c>
      <c r="CF76" s="1025"/>
      <c r="CG76" s="1026" t="str">
        <f>IF(CF76="","",'#orgDung'!KX77)</f>
        <v/>
      </c>
      <c r="CH76" s="1026" t="str">
        <f>IF(CF76="","",'#orgDung'!KY77)</f>
        <v/>
      </c>
      <c r="CI76" s="1027" t="str">
        <f>IF(CF76="","",'#orgDung'!LA77)</f>
        <v/>
      </c>
      <c r="CJ76" s="1025"/>
      <c r="CK76" s="1026" t="str">
        <f>IF(CJ76="","",'#orgDung'!LM77)</f>
        <v/>
      </c>
      <c r="CL76" s="1026" t="str">
        <f>IF(CJ76="","",'#orgDung'!LN77)</f>
        <v/>
      </c>
      <c r="CM76" s="1027" t="str">
        <f>IF(CJ76="","",'#orgDung'!LP77)</f>
        <v/>
      </c>
      <c r="CN76" s="1025"/>
      <c r="CO76" s="1026" t="str">
        <f>IF(CN76="","",'#orgDung'!MB77)</f>
        <v/>
      </c>
      <c r="CP76" s="1026" t="str">
        <f>IF(CN76="","",'#orgDung'!MC77)</f>
        <v/>
      </c>
      <c r="CQ76" s="1027" t="str">
        <f>IF(CN76="","",'#orgDung'!ME77)</f>
        <v/>
      </c>
      <c r="CR76" s="1025"/>
      <c r="CS76" s="1026" t="str">
        <f>IF(CR76="","",'#orgDung'!MQ77)</f>
        <v/>
      </c>
      <c r="CT76" s="1026" t="str">
        <f>IF(CR76="","",'#orgDung'!MR77)</f>
        <v/>
      </c>
      <c r="CU76" s="1027" t="str">
        <f>IF(CR76="","",'#orgDung'!MT77)</f>
        <v/>
      </c>
      <c r="CV76" s="1025"/>
      <c r="CW76" s="1026" t="str">
        <f>IF(CV76="","",'#orgDung'!NF77)</f>
        <v/>
      </c>
      <c r="CX76" s="1026" t="str">
        <f>IF(CV76="","",'#orgDung'!NG77)</f>
        <v/>
      </c>
      <c r="CY76" s="1027" t="str">
        <f>IF(CV76="","",'#orgDung'!NI77)</f>
        <v/>
      </c>
      <c r="CZ76" s="1025"/>
      <c r="DA76" s="1026" t="str">
        <f>IF(CZ76="","",'#orgDung'!NU77)</f>
        <v/>
      </c>
      <c r="DB76" s="1026" t="str">
        <f>IF(CZ76="","",'#orgDung'!NV77)</f>
        <v/>
      </c>
      <c r="DC76" s="1027" t="str">
        <f>IF(CZ76="","",'#orgDung'!NX77)</f>
        <v/>
      </c>
      <c r="DD76" s="1025"/>
      <c r="DE76" s="1026" t="str">
        <f>IF(DD76="","",'#orgDung'!OJ77)</f>
        <v/>
      </c>
      <c r="DF76" s="1026" t="str">
        <f>IF(DD76="","",'#orgDung'!OK77)</f>
        <v/>
      </c>
      <c r="DG76" s="1027" t="str">
        <f>IF(DD76="","",'#orgDung'!OM77)</f>
        <v/>
      </c>
      <c r="DH76" s="1025"/>
      <c r="DI76" s="1026" t="str">
        <f>IF(DH76="","",'#orgDung'!OY77)</f>
        <v/>
      </c>
      <c r="DJ76" s="1026" t="str">
        <f>IF(DH76="","",'#orgDung'!OZ77)</f>
        <v/>
      </c>
      <c r="DK76" s="1027" t="str">
        <f>IF(DH76="","",'#orgDung'!PB77)</f>
        <v/>
      </c>
      <c r="DL76" s="1025"/>
      <c r="DM76" s="1026" t="str">
        <f>IF(DL76="","",'#orgDung'!PN77)</f>
        <v/>
      </c>
      <c r="DN76" s="1026" t="str">
        <f>IF(DL76="","",'#orgDung'!PO77)</f>
        <v/>
      </c>
      <c r="DO76" s="1027" t="str">
        <f>IF(DL76="","",'#orgDung'!PQ77)</f>
        <v/>
      </c>
      <c r="DP76" s="1025"/>
      <c r="DQ76" s="1026" t="str">
        <f>IF(DP76="","",'#orgDung'!QC77)</f>
        <v/>
      </c>
      <c r="DR76" s="1026" t="str">
        <f>IF(DP76="","",'#orgDung'!QD77)</f>
        <v/>
      </c>
      <c r="DS76" s="1027" t="str">
        <f>IF(DP76="","",'#orgDung'!QF77)</f>
        <v/>
      </c>
      <c r="DT76" s="1025"/>
      <c r="DU76" s="1026" t="str">
        <f>IF(DT76="","",'#orgDung'!QR77)</f>
        <v/>
      </c>
      <c r="DV76" s="1026" t="str">
        <f>IF(DT76="","",'#orgDung'!QS77)</f>
        <v/>
      </c>
      <c r="DW76" s="1027" t="str">
        <f>IF(DT76="","",'#orgDung'!QU77)</f>
        <v/>
      </c>
      <c r="DX76" s="1025"/>
      <c r="DY76" s="1026" t="str">
        <f>IF(DX76="","",'#orgDung'!RG77)</f>
        <v/>
      </c>
      <c r="DZ76" s="1026" t="str">
        <f>IF(DX76="","",'#orgDung'!RH77)</f>
        <v/>
      </c>
      <c r="EA76" s="1027" t="str">
        <f>IF(DX76="","",'#orgDung'!RJ77)</f>
        <v/>
      </c>
    </row>
    <row r="77" spans="1:131" ht="15" customHeight="1" x14ac:dyDescent="0.2">
      <c r="A77" s="1195">
        <f>'Flächen u. Kulturen'!A74</f>
        <v>65</v>
      </c>
      <c r="B77" s="1195" t="str">
        <f>IF('Flächen u. Kulturen'!B74="","",'Flächen u. Kulturen'!B74)</f>
        <v/>
      </c>
      <c r="C77" s="1196" t="str">
        <f>IF('Flächen u. Kulturen'!D74="","",'Flächen u. Kulturen'!D74)</f>
        <v/>
      </c>
      <c r="D77" s="1197" t="str">
        <f>IF(C77="","",IF('#BerechnungDBE'!Q69&lt;4,"x",""))</f>
        <v/>
      </c>
      <c r="E77" s="1198" t="str">
        <f>IF(C77="","",VLOOKUP('Flächen u. Kulturen'!L74,'#Zweitfr'!$D$8:$F$28,'#Zweitfr'!$F$1,FALSE))</f>
        <v/>
      </c>
      <c r="F77" s="1199" t="str">
        <f>IF(C77="","",IF('Flächen u. Kulturen'!E74="x",'Flächen u. Kulturen'!P74,"nicht im Betrieb"))</f>
        <v/>
      </c>
      <c r="G77" s="1200" t="str">
        <f>IF(C77="","",IF('#orgDung'!C78=2,"--",IF('#Kürzungen'!$F$2=2,"--",'#orgDung'!R78)))</f>
        <v/>
      </c>
      <c r="H77" s="1200" t="str">
        <f>IF(C77="","",'#orgDung'!U78)</f>
        <v/>
      </c>
      <c r="I77" s="1201" t="str">
        <f>IF(C77="","",IF(COUNT('#orgDung'!RS78:SA78)=0,"OK",TRIM(CONCATENATE('#orgDung'!RS78," ",'#orgDung'!RT78," ",'#orgDung'!RU78," ",'#orgDung'!RV78," ",'#orgDung'!RW78," ",'#orgDung'!RX78," ",'#orgDung'!RY78," ",'#orgDung'!RZ78," ",'#orgDung'!SA78))))</f>
        <v/>
      </c>
      <c r="J77" s="1023"/>
      <c r="K77" s="1024"/>
      <c r="L77" s="1025"/>
      <c r="M77" s="1026" t="str">
        <f>IF(L77="","",'#orgDung'!AN78)</f>
        <v/>
      </c>
      <c r="N77" s="1026" t="str">
        <f>IF(L77="","",'#orgDung'!AO78)</f>
        <v/>
      </c>
      <c r="O77" s="1027" t="str">
        <f>IF(L77="","",'#orgDung'!AQ78)</f>
        <v/>
      </c>
      <c r="P77" s="1025"/>
      <c r="Q77" s="1026" t="str">
        <f>IF(P77="","",'#orgDung'!BC78)</f>
        <v/>
      </c>
      <c r="R77" s="1026" t="str">
        <f>IF(P77="","",'#orgDung'!BD78)</f>
        <v/>
      </c>
      <c r="S77" s="1027" t="str">
        <f>IF(P77="","",'#orgDung'!BF78)</f>
        <v/>
      </c>
      <c r="T77" s="1025"/>
      <c r="U77" s="1026" t="str">
        <f>IF(T77="","",'#orgDung'!BR78)</f>
        <v/>
      </c>
      <c r="V77" s="1026" t="str">
        <f>IF(T77="","",'#orgDung'!BS78)</f>
        <v/>
      </c>
      <c r="W77" s="1027" t="str">
        <f>IF(T77="","",'#orgDung'!BU78)</f>
        <v/>
      </c>
      <c r="X77" s="1025"/>
      <c r="Y77" s="1026" t="str">
        <f>IF(X77="","",'#orgDung'!CG78)</f>
        <v/>
      </c>
      <c r="Z77" s="1026" t="str">
        <f>IF(X77="","",'#orgDung'!CH78)</f>
        <v/>
      </c>
      <c r="AA77" s="1027" t="str">
        <f>IF(X77="","",'#orgDung'!CJ78)</f>
        <v/>
      </c>
      <c r="AB77" s="1025"/>
      <c r="AC77" s="1026" t="str">
        <f>IF(AB77="","",'#orgDung'!CV78)</f>
        <v/>
      </c>
      <c r="AD77" s="1026" t="str">
        <f>IF(AB77="","",'#orgDung'!CW78)</f>
        <v/>
      </c>
      <c r="AE77" s="1027" t="str">
        <f>IF(AB77="","",'#orgDung'!CY78)</f>
        <v/>
      </c>
      <c r="AF77" s="1025"/>
      <c r="AG77" s="1026" t="str">
        <f>IF(AF77="","",'#orgDung'!DK78)</f>
        <v/>
      </c>
      <c r="AH77" s="1026" t="str">
        <f>IF(AF77="","",'#orgDung'!DL78)</f>
        <v/>
      </c>
      <c r="AI77" s="1027" t="str">
        <f>IF(AF77="","",'#orgDung'!DN78)</f>
        <v/>
      </c>
      <c r="AJ77" s="1025"/>
      <c r="AK77" s="1026" t="str">
        <f>IF(AJ77="","",'#orgDung'!DZ78)</f>
        <v/>
      </c>
      <c r="AL77" s="1026" t="str">
        <f>IF(AJ77="","",'#orgDung'!EA78)</f>
        <v/>
      </c>
      <c r="AM77" s="1027" t="str">
        <f>IF(AJ77="","",'#orgDung'!EC78)</f>
        <v/>
      </c>
      <c r="AN77" s="1025"/>
      <c r="AO77" s="1026" t="str">
        <f>IF(AN77="","",'#orgDung'!EO78)</f>
        <v/>
      </c>
      <c r="AP77" s="1026" t="str">
        <f>IF(AN77="","",'#orgDung'!EP78)</f>
        <v/>
      </c>
      <c r="AQ77" s="1027" t="str">
        <f>IF(AN77="","",'#orgDung'!ER78)</f>
        <v/>
      </c>
      <c r="AR77" s="1025"/>
      <c r="AS77" s="1026" t="str">
        <f>IF(AR77="","",'#orgDung'!FD78)</f>
        <v/>
      </c>
      <c r="AT77" s="1026" t="str">
        <f>IF(AR77="","",'#orgDung'!FE78)</f>
        <v/>
      </c>
      <c r="AU77" s="1027" t="str">
        <f>IF(AR77="","",'#orgDung'!FG78)</f>
        <v/>
      </c>
      <c r="AV77" s="1025"/>
      <c r="AW77" s="1026" t="str">
        <f>IF(AV77="","",'#orgDung'!FS78)</f>
        <v/>
      </c>
      <c r="AX77" s="1026" t="str">
        <f>IF(AV77="","",'#orgDung'!FT78)</f>
        <v/>
      </c>
      <c r="AY77" s="1027" t="str">
        <f>IF(AV77="","",'#orgDung'!FV78)</f>
        <v/>
      </c>
      <c r="AZ77" s="1025"/>
      <c r="BA77" s="1026" t="str">
        <f>IF(AZ77="","",'#orgDung'!GH78)</f>
        <v/>
      </c>
      <c r="BB77" s="1026" t="str">
        <f>IF(AZ77="","",'#orgDung'!GI78)</f>
        <v/>
      </c>
      <c r="BC77" s="1027" t="str">
        <f>IF(AZ77="","",'#orgDung'!GK78)</f>
        <v/>
      </c>
      <c r="BD77" s="1025"/>
      <c r="BE77" s="1026" t="str">
        <f>IF(BD77="","",'#orgDung'!GW78)</f>
        <v/>
      </c>
      <c r="BF77" s="1026" t="str">
        <f>IF(BD77="","",'#orgDung'!GX78)</f>
        <v/>
      </c>
      <c r="BG77" s="1027" t="str">
        <f>IF(BD77="","",'#orgDung'!GZ78)</f>
        <v/>
      </c>
      <c r="BH77" s="1025"/>
      <c r="BI77" s="1026" t="str">
        <f>IF(BH77="","",'#orgDung'!HL78)</f>
        <v/>
      </c>
      <c r="BJ77" s="1026" t="str">
        <f>IF(BH77="","",'#orgDung'!HM78)</f>
        <v/>
      </c>
      <c r="BK77" s="1027" t="str">
        <f>IF(BH77="","",'#orgDung'!HO78)</f>
        <v/>
      </c>
      <c r="BL77" s="1025"/>
      <c r="BM77" s="1026" t="str">
        <f>IF(BL77="","",'#orgDung'!IA78)</f>
        <v/>
      </c>
      <c r="BN77" s="1026" t="str">
        <f>IF(BL77="","",'#orgDung'!IB78)</f>
        <v/>
      </c>
      <c r="BO77" s="1027" t="str">
        <f>IF(BL77="","",'#orgDung'!ID78)</f>
        <v/>
      </c>
      <c r="BP77" s="1025"/>
      <c r="BQ77" s="1026" t="str">
        <f>IF(BP77="","",'#orgDung'!IP78)</f>
        <v/>
      </c>
      <c r="BR77" s="1026" t="str">
        <f>IF(BP77="","",'#orgDung'!IQ78)</f>
        <v/>
      </c>
      <c r="BS77" s="1027" t="str">
        <f>IF(BP77="","",'#orgDung'!IS78)</f>
        <v/>
      </c>
      <c r="BT77" s="1025"/>
      <c r="BU77" s="1026" t="str">
        <f>IF(BT77="","",'#orgDung'!JE78)</f>
        <v/>
      </c>
      <c r="BV77" s="1026" t="str">
        <f>IF(BT77="","",'#orgDung'!JF78)</f>
        <v/>
      </c>
      <c r="BW77" s="1027" t="str">
        <f>IF(BT77="","",'#orgDung'!JH78)</f>
        <v/>
      </c>
      <c r="BX77" s="1025"/>
      <c r="BY77" s="1026" t="str">
        <f>IF(BX77="","",'#orgDung'!JT78)</f>
        <v/>
      </c>
      <c r="BZ77" s="1026" t="str">
        <f>IF(BX77="","",'#orgDung'!JU78)</f>
        <v/>
      </c>
      <c r="CA77" s="1027" t="str">
        <f>IF(BX77="","",'#orgDung'!JW78)</f>
        <v/>
      </c>
      <c r="CB77" s="1025"/>
      <c r="CC77" s="1026" t="str">
        <f>IF(CB77="","",'#orgDung'!KI78)</f>
        <v/>
      </c>
      <c r="CD77" s="1026" t="str">
        <f>IF(CB77="","",'#orgDung'!KJ78)</f>
        <v/>
      </c>
      <c r="CE77" s="1027" t="str">
        <f>IF(CB77="","",'#orgDung'!KL78)</f>
        <v/>
      </c>
      <c r="CF77" s="1025"/>
      <c r="CG77" s="1026" t="str">
        <f>IF(CF77="","",'#orgDung'!KX78)</f>
        <v/>
      </c>
      <c r="CH77" s="1026" t="str">
        <f>IF(CF77="","",'#orgDung'!KY78)</f>
        <v/>
      </c>
      <c r="CI77" s="1027" t="str">
        <f>IF(CF77="","",'#orgDung'!LA78)</f>
        <v/>
      </c>
      <c r="CJ77" s="1025"/>
      <c r="CK77" s="1026" t="str">
        <f>IF(CJ77="","",'#orgDung'!LM78)</f>
        <v/>
      </c>
      <c r="CL77" s="1026" t="str">
        <f>IF(CJ77="","",'#orgDung'!LN78)</f>
        <v/>
      </c>
      <c r="CM77" s="1027" t="str">
        <f>IF(CJ77="","",'#orgDung'!LP78)</f>
        <v/>
      </c>
      <c r="CN77" s="1025"/>
      <c r="CO77" s="1026" t="str">
        <f>IF(CN77="","",'#orgDung'!MB78)</f>
        <v/>
      </c>
      <c r="CP77" s="1026" t="str">
        <f>IF(CN77="","",'#orgDung'!MC78)</f>
        <v/>
      </c>
      <c r="CQ77" s="1027" t="str">
        <f>IF(CN77="","",'#orgDung'!ME78)</f>
        <v/>
      </c>
      <c r="CR77" s="1025"/>
      <c r="CS77" s="1026" t="str">
        <f>IF(CR77="","",'#orgDung'!MQ78)</f>
        <v/>
      </c>
      <c r="CT77" s="1026" t="str">
        <f>IF(CR77="","",'#orgDung'!MR78)</f>
        <v/>
      </c>
      <c r="CU77" s="1027" t="str">
        <f>IF(CR77="","",'#orgDung'!MT78)</f>
        <v/>
      </c>
      <c r="CV77" s="1025"/>
      <c r="CW77" s="1026" t="str">
        <f>IF(CV77="","",'#orgDung'!NF78)</f>
        <v/>
      </c>
      <c r="CX77" s="1026" t="str">
        <f>IF(CV77="","",'#orgDung'!NG78)</f>
        <v/>
      </c>
      <c r="CY77" s="1027" t="str">
        <f>IF(CV77="","",'#orgDung'!NI78)</f>
        <v/>
      </c>
      <c r="CZ77" s="1025"/>
      <c r="DA77" s="1026" t="str">
        <f>IF(CZ77="","",'#orgDung'!NU78)</f>
        <v/>
      </c>
      <c r="DB77" s="1026" t="str">
        <f>IF(CZ77="","",'#orgDung'!NV78)</f>
        <v/>
      </c>
      <c r="DC77" s="1027" t="str">
        <f>IF(CZ77="","",'#orgDung'!NX78)</f>
        <v/>
      </c>
      <c r="DD77" s="1025"/>
      <c r="DE77" s="1026" t="str">
        <f>IF(DD77="","",'#orgDung'!OJ78)</f>
        <v/>
      </c>
      <c r="DF77" s="1026" t="str">
        <f>IF(DD77="","",'#orgDung'!OK78)</f>
        <v/>
      </c>
      <c r="DG77" s="1027" t="str">
        <f>IF(DD77="","",'#orgDung'!OM78)</f>
        <v/>
      </c>
      <c r="DH77" s="1025"/>
      <c r="DI77" s="1026" t="str">
        <f>IF(DH77="","",'#orgDung'!OY78)</f>
        <v/>
      </c>
      <c r="DJ77" s="1026" t="str">
        <f>IF(DH77="","",'#orgDung'!OZ78)</f>
        <v/>
      </c>
      <c r="DK77" s="1027" t="str">
        <f>IF(DH77="","",'#orgDung'!PB78)</f>
        <v/>
      </c>
      <c r="DL77" s="1025"/>
      <c r="DM77" s="1026" t="str">
        <f>IF(DL77="","",'#orgDung'!PN78)</f>
        <v/>
      </c>
      <c r="DN77" s="1026" t="str">
        <f>IF(DL77="","",'#orgDung'!PO78)</f>
        <v/>
      </c>
      <c r="DO77" s="1027" t="str">
        <f>IF(DL77="","",'#orgDung'!PQ78)</f>
        <v/>
      </c>
      <c r="DP77" s="1025"/>
      <c r="DQ77" s="1026" t="str">
        <f>IF(DP77="","",'#orgDung'!QC78)</f>
        <v/>
      </c>
      <c r="DR77" s="1026" t="str">
        <f>IF(DP77="","",'#orgDung'!QD78)</f>
        <v/>
      </c>
      <c r="DS77" s="1027" t="str">
        <f>IF(DP77="","",'#orgDung'!QF78)</f>
        <v/>
      </c>
      <c r="DT77" s="1025"/>
      <c r="DU77" s="1026" t="str">
        <f>IF(DT77="","",'#orgDung'!QR78)</f>
        <v/>
      </c>
      <c r="DV77" s="1026" t="str">
        <f>IF(DT77="","",'#orgDung'!QS78)</f>
        <v/>
      </c>
      <c r="DW77" s="1027" t="str">
        <f>IF(DT77="","",'#orgDung'!QU78)</f>
        <v/>
      </c>
      <c r="DX77" s="1025"/>
      <c r="DY77" s="1026" t="str">
        <f>IF(DX77="","",'#orgDung'!RG78)</f>
        <v/>
      </c>
      <c r="DZ77" s="1026" t="str">
        <f>IF(DX77="","",'#orgDung'!RH78)</f>
        <v/>
      </c>
      <c r="EA77" s="1027" t="str">
        <f>IF(DX77="","",'#orgDung'!RJ78)</f>
        <v/>
      </c>
    </row>
    <row r="78" spans="1:131" ht="15" customHeight="1" x14ac:dyDescent="0.2">
      <c r="A78" s="1195">
        <f>'Flächen u. Kulturen'!A75</f>
        <v>66</v>
      </c>
      <c r="B78" s="1195" t="str">
        <f>IF('Flächen u. Kulturen'!B75="","",'Flächen u. Kulturen'!B75)</f>
        <v/>
      </c>
      <c r="C78" s="1196" t="str">
        <f>IF('Flächen u. Kulturen'!D75="","",'Flächen u. Kulturen'!D75)</f>
        <v/>
      </c>
      <c r="D78" s="1197" t="str">
        <f>IF(C78="","",IF('#BerechnungDBE'!Q70&lt;4,"x",""))</f>
        <v/>
      </c>
      <c r="E78" s="1198" t="str">
        <f>IF(C78="","",VLOOKUP('Flächen u. Kulturen'!L75,'#Zweitfr'!$D$8:$F$28,'#Zweitfr'!$F$1,FALSE))</f>
        <v/>
      </c>
      <c r="F78" s="1199" t="str">
        <f>IF(C78="","",IF('Flächen u. Kulturen'!E75="x",'Flächen u. Kulturen'!P75,"nicht im Betrieb"))</f>
        <v/>
      </c>
      <c r="G78" s="1200" t="str">
        <f>IF(C78="","",IF('#orgDung'!C79=2,"--",IF('#Kürzungen'!$F$2=2,"--",'#orgDung'!R79)))</f>
        <v/>
      </c>
      <c r="H78" s="1200" t="str">
        <f>IF(C78="","",'#orgDung'!U79)</f>
        <v/>
      </c>
      <c r="I78" s="1201" t="str">
        <f>IF(C78="","",IF(COUNT('#orgDung'!RS79:SA79)=0,"OK",TRIM(CONCATENATE('#orgDung'!RS79," ",'#orgDung'!RT79," ",'#orgDung'!RU79," ",'#orgDung'!RV79," ",'#orgDung'!RW79," ",'#orgDung'!RX79," ",'#orgDung'!RY79," ",'#orgDung'!RZ79," ",'#orgDung'!SA79))))</f>
        <v/>
      </c>
      <c r="J78" s="1023"/>
      <c r="K78" s="1024"/>
      <c r="L78" s="1025"/>
      <c r="M78" s="1026" t="str">
        <f>IF(L78="","",'#orgDung'!AN79)</f>
        <v/>
      </c>
      <c r="N78" s="1026" t="str">
        <f>IF(L78="","",'#orgDung'!AO79)</f>
        <v/>
      </c>
      <c r="O78" s="1027" t="str">
        <f>IF(L78="","",'#orgDung'!AQ79)</f>
        <v/>
      </c>
      <c r="P78" s="1025"/>
      <c r="Q78" s="1026" t="str">
        <f>IF(P78="","",'#orgDung'!BC79)</f>
        <v/>
      </c>
      <c r="R78" s="1026" t="str">
        <f>IF(P78="","",'#orgDung'!BD79)</f>
        <v/>
      </c>
      <c r="S78" s="1027" t="str">
        <f>IF(P78="","",'#orgDung'!BF79)</f>
        <v/>
      </c>
      <c r="T78" s="1025"/>
      <c r="U78" s="1026" t="str">
        <f>IF(T78="","",'#orgDung'!BR79)</f>
        <v/>
      </c>
      <c r="V78" s="1026" t="str">
        <f>IF(T78="","",'#orgDung'!BS79)</f>
        <v/>
      </c>
      <c r="W78" s="1027" t="str">
        <f>IF(T78="","",'#orgDung'!BU79)</f>
        <v/>
      </c>
      <c r="X78" s="1025"/>
      <c r="Y78" s="1026" t="str">
        <f>IF(X78="","",'#orgDung'!CG79)</f>
        <v/>
      </c>
      <c r="Z78" s="1026" t="str">
        <f>IF(X78="","",'#orgDung'!CH79)</f>
        <v/>
      </c>
      <c r="AA78" s="1027" t="str">
        <f>IF(X78="","",'#orgDung'!CJ79)</f>
        <v/>
      </c>
      <c r="AB78" s="1025"/>
      <c r="AC78" s="1026" t="str">
        <f>IF(AB78="","",'#orgDung'!CV79)</f>
        <v/>
      </c>
      <c r="AD78" s="1026" t="str">
        <f>IF(AB78="","",'#orgDung'!CW79)</f>
        <v/>
      </c>
      <c r="AE78" s="1027" t="str">
        <f>IF(AB78="","",'#orgDung'!CY79)</f>
        <v/>
      </c>
      <c r="AF78" s="1025"/>
      <c r="AG78" s="1026" t="str">
        <f>IF(AF78="","",'#orgDung'!DK79)</f>
        <v/>
      </c>
      <c r="AH78" s="1026" t="str">
        <f>IF(AF78="","",'#orgDung'!DL79)</f>
        <v/>
      </c>
      <c r="AI78" s="1027" t="str">
        <f>IF(AF78="","",'#orgDung'!DN79)</f>
        <v/>
      </c>
      <c r="AJ78" s="1025"/>
      <c r="AK78" s="1026" t="str">
        <f>IF(AJ78="","",'#orgDung'!DZ79)</f>
        <v/>
      </c>
      <c r="AL78" s="1026" t="str">
        <f>IF(AJ78="","",'#orgDung'!EA79)</f>
        <v/>
      </c>
      <c r="AM78" s="1027" t="str">
        <f>IF(AJ78="","",'#orgDung'!EC79)</f>
        <v/>
      </c>
      <c r="AN78" s="1025"/>
      <c r="AO78" s="1026" t="str">
        <f>IF(AN78="","",'#orgDung'!EO79)</f>
        <v/>
      </c>
      <c r="AP78" s="1026" t="str">
        <f>IF(AN78="","",'#orgDung'!EP79)</f>
        <v/>
      </c>
      <c r="AQ78" s="1027" t="str">
        <f>IF(AN78="","",'#orgDung'!ER79)</f>
        <v/>
      </c>
      <c r="AR78" s="1025"/>
      <c r="AS78" s="1026" t="str">
        <f>IF(AR78="","",'#orgDung'!FD79)</f>
        <v/>
      </c>
      <c r="AT78" s="1026" t="str">
        <f>IF(AR78="","",'#orgDung'!FE79)</f>
        <v/>
      </c>
      <c r="AU78" s="1027" t="str">
        <f>IF(AR78="","",'#orgDung'!FG79)</f>
        <v/>
      </c>
      <c r="AV78" s="1025"/>
      <c r="AW78" s="1026" t="str">
        <f>IF(AV78="","",'#orgDung'!FS79)</f>
        <v/>
      </c>
      <c r="AX78" s="1026" t="str">
        <f>IF(AV78="","",'#orgDung'!FT79)</f>
        <v/>
      </c>
      <c r="AY78" s="1027" t="str">
        <f>IF(AV78="","",'#orgDung'!FV79)</f>
        <v/>
      </c>
      <c r="AZ78" s="1025"/>
      <c r="BA78" s="1026" t="str">
        <f>IF(AZ78="","",'#orgDung'!GH79)</f>
        <v/>
      </c>
      <c r="BB78" s="1026" t="str">
        <f>IF(AZ78="","",'#orgDung'!GI79)</f>
        <v/>
      </c>
      <c r="BC78" s="1027" t="str">
        <f>IF(AZ78="","",'#orgDung'!GK79)</f>
        <v/>
      </c>
      <c r="BD78" s="1025"/>
      <c r="BE78" s="1026" t="str">
        <f>IF(BD78="","",'#orgDung'!GW79)</f>
        <v/>
      </c>
      <c r="BF78" s="1026" t="str">
        <f>IF(BD78="","",'#orgDung'!GX79)</f>
        <v/>
      </c>
      <c r="BG78" s="1027" t="str">
        <f>IF(BD78="","",'#orgDung'!GZ79)</f>
        <v/>
      </c>
      <c r="BH78" s="1025"/>
      <c r="BI78" s="1026" t="str">
        <f>IF(BH78="","",'#orgDung'!HL79)</f>
        <v/>
      </c>
      <c r="BJ78" s="1026" t="str">
        <f>IF(BH78="","",'#orgDung'!HM79)</f>
        <v/>
      </c>
      <c r="BK78" s="1027" t="str">
        <f>IF(BH78="","",'#orgDung'!HO79)</f>
        <v/>
      </c>
      <c r="BL78" s="1025"/>
      <c r="BM78" s="1026" t="str">
        <f>IF(BL78="","",'#orgDung'!IA79)</f>
        <v/>
      </c>
      <c r="BN78" s="1026" t="str">
        <f>IF(BL78="","",'#orgDung'!IB79)</f>
        <v/>
      </c>
      <c r="BO78" s="1027" t="str">
        <f>IF(BL78="","",'#orgDung'!ID79)</f>
        <v/>
      </c>
      <c r="BP78" s="1025"/>
      <c r="BQ78" s="1026" t="str">
        <f>IF(BP78="","",'#orgDung'!IP79)</f>
        <v/>
      </c>
      <c r="BR78" s="1026" t="str">
        <f>IF(BP78="","",'#orgDung'!IQ79)</f>
        <v/>
      </c>
      <c r="BS78" s="1027" t="str">
        <f>IF(BP78="","",'#orgDung'!IS79)</f>
        <v/>
      </c>
      <c r="BT78" s="1025"/>
      <c r="BU78" s="1026" t="str">
        <f>IF(BT78="","",'#orgDung'!JE79)</f>
        <v/>
      </c>
      <c r="BV78" s="1026" t="str">
        <f>IF(BT78="","",'#orgDung'!JF79)</f>
        <v/>
      </c>
      <c r="BW78" s="1027" t="str">
        <f>IF(BT78="","",'#orgDung'!JH79)</f>
        <v/>
      </c>
      <c r="BX78" s="1025"/>
      <c r="BY78" s="1026" t="str">
        <f>IF(BX78="","",'#orgDung'!JT79)</f>
        <v/>
      </c>
      <c r="BZ78" s="1026" t="str">
        <f>IF(BX78="","",'#orgDung'!JU79)</f>
        <v/>
      </c>
      <c r="CA78" s="1027" t="str">
        <f>IF(BX78="","",'#orgDung'!JW79)</f>
        <v/>
      </c>
      <c r="CB78" s="1025"/>
      <c r="CC78" s="1026" t="str">
        <f>IF(CB78="","",'#orgDung'!KI79)</f>
        <v/>
      </c>
      <c r="CD78" s="1026" t="str">
        <f>IF(CB78="","",'#orgDung'!KJ79)</f>
        <v/>
      </c>
      <c r="CE78" s="1027" t="str">
        <f>IF(CB78="","",'#orgDung'!KL79)</f>
        <v/>
      </c>
      <c r="CF78" s="1025"/>
      <c r="CG78" s="1026" t="str">
        <f>IF(CF78="","",'#orgDung'!KX79)</f>
        <v/>
      </c>
      <c r="CH78" s="1026" t="str">
        <f>IF(CF78="","",'#orgDung'!KY79)</f>
        <v/>
      </c>
      <c r="CI78" s="1027" t="str">
        <f>IF(CF78="","",'#orgDung'!LA79)</f>
        <v/>
      </c>
      <c r="CJ78" s="1025"/>
      <c r="CK78" s="1026" t="str">
        <f>IF(CJ78="","",'#orgDung'!LM79)</f>
        <v/>
      </c>
      <c r="CL78" s="1026" t="str">
        <f>IF(CJ78="","",'#orgDung'!LN79)</f>
        <v/>
      </c>
      <c r="CM78" s="1027" t="str">
        <f>IF(CJ78="","",'#orgDung'!LP79)</f>
        <v/>
      </c>
      <c r="CN78" s="1025"/>
      <c r="CO78" s="1026" t="str">
        <f>IF(CN78="","",'#orgDung'!MB79)</f>
        <v/>
      </c>
      <c r="CP78" s="1026" t="str">
        <f>IF(CN78="","",'#orgDung'!MC79)</f>
        <v/>
      </c>
      <c r="CQ78" s="1027" t="str">
        <f>IF(CN78="","",'#orgDung'!ME79)</f>
        <v/>
      </c>
      <c r="CR78" s="1025"/>
      <c r="CS78" s="1026" t="str">
        <f>IF(CR78="","",'#orgDung'!MQ79)</f>
        <v/>
      </c>
      <c r="CT78" s="1026" t="str">
        <f>IF(CR78="","",'#orgDung'!MR79)</f>
        <v/>
      </c>
      <c r="CU78" s="1027" t="str">
        <f>IF(CR78="","",'#orgDung'!MT79)</f>
        <v/>
      </c>
      <c r="CV78" s="1025"/>
      <c r="CW78" s="1026" t="str">
        <f>IF(CV78="","",'#orgDung'!NF79)</f>
        <v/>
      </c>
      <c r="CX78" s="1026" t="str">
        <f>IF(CV78="","",'#orgDung'!NG79)</f>
        <v/>
      </c>
      <c r="CY78" s="1027" t="str">
        <f>IF(CV78="","",'#orgDung'!NI79)</f>
        <v/>
      </c>
      <c r="CZ78" s="1025"/>
      <c r="DA78" s="1026" t="str">
        <f>IF(CZ78="","",'#orgDung'!NU79)</f>
        <v/>
      </c>
      <c r="DB78" s="1026" t="str">
        <f>IF(CZ78="","",'#orgDung'!NV79)</f>
        <v/>
      </c>
      <c r="DC78" s="1027" t="str">
        <f>IF(CZ78="","",'#orgDung'!NX79)</f>
        <v/>
      </c>
      <c r="DD78" s="1025"/>
      <c r="DE78" s="1026" t="str">
        <f>IF(DD78="","",'#orgDung'!OJ79)</f>
        <v/>
      </c>
      <c r="DF78" s="1026" t="str">
        <f>IF(DD78="","",'#orgDung'!OK79)</f>
        <v/>
      </c>
      <c r="DG78" s="1027" t="str">
        <f>IF(DD78="","",'#orgDung'!OM79)</f>
        <v/>
      </c>
      <c r="DH78" s="1025"/>
      <c r="DI78" s="1026" t="str">
        <f>IF(DH78="","",'#orgDung'!OY79)</f>
        <v/>
      </c>
      <c r="DJ78" s="1026" t="str">
        <f>IF(DH78="","",'#orgDung'!OZ79)</f>
        <v/>
      </c>
      <c r="DK78" s="1027" t="str">
        <f>IF(DH78="","",'#orgDung'!PB79)</f>
        <v/>
      </c>
      <c r="DL78" s="1025"/>
      <c r="DM78" s="1026" t="str">
        <f>IF(DL78="","",'#orgDung'!PN79)</f>
        <v/>
      </c>
      <c r="DN78" s="1026" t="str">
        <f>IF(DL78="","",'#orgDung'!PO79)</f>
        <v/>
      </c>
      <c r="DO78" s="1027" t="str">
        <f>IF(DL78="","",'#orgDung'!PQ79)</f>
        <v/>
      </c>
      <c r="DP78" s="1025"/>
      <c r="DQ78" s="1026" t="str">
        <f>IF(DP78="","",'#orgDung'!QC79)</f>
        <v/>
      </c>
      <c r="DR78" s="1026" t="str">
        <f>IF(DP78="","",'#orgDung'!QD79)</f>
        <v/>
      </c>
      <c r="DS78" s="1027" t="str">
        <f>IF(DP78="","",'#orgDung'!QF79)</f>
        <v/>
      </c>
      <c r="DT78" s="1025"/>
      <c r="DU78" s="1026" t="str">
        <f>IF(DT78="","",'#orgDung'!QR79)</f>
        <v/>
      </c>
      <c r="DV78" s="1026" t="str">
        <f>IF(DT78="","",'#orgDung'!QS79)</f>
        <v/>
      </c>
      <c r="DW78" s="1027" t="str">
        <f>IF(DT78="","",'#orgDung'!QU79)</f>
        <v/>
      </c>
      <c r="DX78" s="1025"/>
      <c r="DY78" s="1026" t="str">
        <f>IF(DX78="","",'#orgDung'!RG79)</f>
        <v/>
      </c>
      <c r="DZ78" s="1026" t="str">
        <f>IF(DX78="","",'#orgDung'!RH79)</f>
        <v/>
      </c>
      <c r="EA78" s="1027" t="str">
        <f>IF(DX78="","",'#orgDung'!RJ79)</f>
        <v/>
      </c>
    </row>
    <row r="79" spans="1:131" ht="15" customHeight="1" x14ac:dyDescent="0.2">
      <c r="A79" s="1195">
        <f>'Flächen u. Kulturen'!A76</f>
        <v>67</v>
      </c>
      <c r="B79" s="1195" t="str">
        <f>IF('Flächen u. Kulturen'!B76="","",'Flächen u. Kulturen'!B76)</f>
        <v/>
      </c>
      <c r="C79" s="1196" t="str">
        <f>IF('Flächen u. Kulturen'!D76="","",'Flächen u. Kulturen'!D76)</f>
        <v/>
      </c>
      <c r="D79" s="1197" t="str">
        <f>IF(C79="","",IF('#BerechnungDBE'!Q71&lt;4,"x",""))</f>
        <v/>
      </c>
      <c r="E79" s="1198" t="str">
        <f>IF(C79="","",VLOOKUP('Flächen u. Kulturen'!L76,'#Zweitfr'!$D$8:$F$28,'#Zweitfr'!$F$1,FALSE))</f>
        <v/>
      </c>
      <c r="F79" s="1199" t="str">
        <f>IF(C79="","",IF('Flächen u. Kulturen'!E76="x",'Flächen u. Kulturen'!P76,"nicht im Betrieb"))</f>
        <v/>
      </c>
      <c r="G79" s="1200" t="str">
        <f>IF(C79="","",IF('#orgDung'!C80=2,"--",IF('#Kürzungen'!$F$2=2,"--",'#orgDung'!R80)))</f>
        <v/>
      </c>
      <c r="H79" s="1200" t="str">
        <f>IF(C79="","",'#orgDung'!U80)</f>
        <v/>
      </c>
      <c r="I79" s="1201" t="str">
        <f>IF(C79="","",IF(COUNT('#orgDung'!RS80:SA80)=0,"OK",TRIM(CONCATENATE('#orgDung'!RS80," ",'#orgDung'!RT80," ",'#orgDung'!RU80," ",'#orgDung'!RV80," ",'#orgDung'!RW80," ",'#orgDung'!RX80," ",'#orgDung'!RY80," ",'#orgDung'!RZ80," ",'#orgDung'!SA80))))</f>
        <v/>
      </c>
      <c r="J79" s="1023"/>
      <c r="K79" s="1024"/>
      <c r="L79" s="1025"/>
      <c r="M79" s="1026" t="str">
        <f>IF(L79="","",'#orgDung'!AN80)</f>
        <v/>
      </c>
      <c r="N79" s="1026" t="str">
        <f>IF(L79="","",'#orgDung'!AO80)</f>
        <v/>
      </c>
      <c r="O79" s="1027" t="str">
        <f>IF(L79="","",'#orgDung'!AQ80)</f>
        <v/>
      </c>
      <c r="P79" s="1025"/>
      <c r="Q79" s="1026" t="str">
        <f>IF(P79="","",'#orgDung'!BC80)</f>
        <v/>
      </c>
      <c r="R79" s="1026" t="str">
        <f>IF(P79="","",'#orgDung'!BD80)</f>
        <v/>
      </c>
      <c r="S79" s="1027" t="str">
        <f>IF(P79="","",'#orgDung'!BF80)</f>
        <v/>
      </c>
      <c r="T79" s="1025"/>
      <c r="U79" s="1026" t="str">
        <f>IF(T79="","",'#orgDung'!BR80)</f>
        <v/>
      </c>
      <c r="V79" s="1026" t="str">
        <f>IF(T79="","",'#orgDung'!BS80)</f>
        <v/>
      </c>
      <c r="W79" s="1027" t="str">
        <f>IF(T79="","",'#orgDung'!BU80)</f>
        <v/>
      </c>
      <c r="X79" s="1025"/>
      <c r="Y79" s="1026" t="str">
        <f>IF(X79="","",'#orgDung'!CG80)</f>
        <v/>
      </c>
      <c r="Z79" s="1026" t="str">
        <f>IF(X79="","",'#orgDung'!CH80)</f>
        <v/>
      </c>
      <c r="AA79" s="1027" t="str">
        <f>IF(X79="","",'#orgDung'!CJ80)</f>
        <v/>
      </c>
      <c r="AB79" s="1025"/>
      <c r="AC79" s="1026" t="str">
        <f>IF(AB79="","",'#orgDung'!CV80)</f>
        <v/>
      </c>
      <c r="AD79" s="1026" t="str">
        <f>IF(AB79="","",'#orgDung'!CW80)</f>
        <v/>
      </c>
      <c r="AE79" s="1027" t="str">
        <f>IF(AB79="","",'#orgDung'!CY80)</f>
        <v/>
      </c>
      <c r="AF79" s="1025"/>
      <c r="AG79" s="1026" t="str">
        <f>IF(AF79="","",'#orgDung'!DK80)</f>
        <v/>
      </c>
      <c r="AH79" s="1026" t="str">
        <f>IF(AF79="","",'#orgDung'!DL80)</f>
        <v/>
      </c>
      <c r="AI79" s="1027" t="str">
        <f>IF(AF79="","",'#orgDung'!DN80)</f>
        <v/>
      </c>
      <c r="AJ79" s="1025"/>
      <c r="AK79" s="1026" t="str">
        <f>IF(AJ79="","",'#orgDung'!DZ80)</f>
        <v/>
      </c>
      <c r="AL79" s="1026" t="str">
        <f>IF(AJ79="","",'#orgDung'!EA80)</f>
        <v/>
      </c>
      <c r="AM79" s="1027" t="str">
        <f>IF(AJ79="","",'#orgDung'!EC80)</f>
        <v/>
      </c>
      <c r="AN79" s="1025"/>
      <c r="AO79" s="1026" t="str">
        <f>IF(AN79="","",'#orgDung'!EO80)</f>
        <v/>
      </c>
      <c r="AP79" s="1026" t="str">
        <f>IF(AN79="","",'#orgDung'!EP80)</f>
        <v/>
      </c>
      <c r="AQ79" s="1027" t="str">
        <f>IF(AN79="","",'#orgDung'!ER80)</f>
        <v/>
      </c>
      <c r="AR79" s="1025"/>
      <c r="AS79" s="1026" t="str">
        <f>IF(AR79="","",'#orgDung'!FD80)</f>
        <v/>
      </c>
      <c r="AT79" s="1026" t="str">
        <f>IF(AR79="","",'#orgDung'!FE80)</f>
        <v/>
      </c>
      <c r="AU79" s="1027" t="str">
        <f>IF(AR79="","",'#orgDung'!FG80)</f>
        <v/>
      </c>
      <c r="AV79" s="1025"/>
      <c r="AW79" s="1026" t="str">
        <f>IF(AV79="","",'#orgDung'!FS80)</f>
        <v/>
      </c>
      <c r="AX79" s="1026" t="str">
        <f>IF(AV79="","",'#orgDung'!FT80)</f>
        <v/>
      </c>
      <c r="AY79" s="1027" t="str">
        <f>IF(AV79="","",'#orgDung'!FV80)</f>
        <v/>
      </c>
      <c r="AZ79" s="1025"/>
      <c r="BA79" s="1026" t="str">
        <f>IF(AZ79="","",'#orgDung'!GH80)</f>
        <v/>
      </c>
      <c r="BB79" s="1026" t="str">
        <f>IF(AZ79="","",'#orgDung'!GI80)</f>
        <v/>
      </c>
      <c r="BC79" s="1027" t="str">
        <f>IF(AZ79="","",'#orgDung'!GK80)</f>
        <v/>
      </c>
      <c r="BD79" s="1025"/>
      <c r="BE79" s="1026" t="str">
        <f>IF(BD79="","",'#orgDung'!GW80)</f>
        <v/>
      </c>
      <c r="BF79" s="1026" t="str">
        <f>IF(BD79="","",'#orgDung'!GX80)</f>
        <v/>
      </c>
      <c r="BG79" s="1027" t="str">
        <f>IF(BD79="","",'#orgDung'!GZ80)</f>
        <v/>
      </c>
      <c r="BH79" s="1025"/>
      <c r="BI79" s="1026" t="str">
        <f>IF(BH79="","",'#orgDung'!HL80)</f>
        <v/>
      </c>
      <c r="BJ79" s="1026" t="str">
        <f>IF(BH79="","",'#orgDung'!HM80)</f>
        <v/>
      </c>
      <c r="BK79" s="1027" t="str">
        <f>IF(BH79="","",'#orgDung'!HO80)</f>
        <v/>
      </c>
      <c r="BL79" s="1025"/>
      <c r="BM79" s="1026" t="str">
        <f>IF(BL79="","",'#orgDung'!IA80)</f>
        <v/>
      </c>
      <c r="BN79" s="1026" t="str">
        <f>IF(BL79="","",'#orgDung'!IB80)</f>
        <v/>
      </c>
      <c r="BO79" s="1027" t="str">
        <f>IF(BL79="","",'#orgDung'!ID80)</f>
        <v/>
      </c>
      <c r="BP79" s="1025"/>
      <c r="BQ79" s="1026" t="str">
        <f>IF(BP79="","",'#orgDung'!IP80)</f>
        <v/>
      </c>
      <c r="BR79" s="1026" t="str">
        <f>IF(BP79="","",'#orgDung'!IQ80)</f>
        <v/>
      </c>
      <c r="BS79" s="1027" t="str">
        <f>IF(BP79="","",'#orgDung'!IS80)</f>
        <v/>
      </c>
      <c r="BT79" s="1025"/>
      <c r="BU79" s="1026" t="str">
        <f>IF(BT79="","",'#orgDung'!JE80)</f>
        <v/>
      </c>
      <c r="BV79" s="1026" t="str">
        <f>IF(BT79="","",'#orgDung'!JF80)</f>
        <v/>
      </c>
      <c r="BW79" s="1027" t="str">
        <f>IF(BT79="","",'#orgDung'!JH80)</f>
        <v/>
      </c>
      <c r="BX79" s="1025"/>
      <c r="BY79" s="1026" t="str">
        <f>IF(BX79="","",'#orgDung'!JT80)</f>
        <v/>
      </c>
      <c r="BZ79" s="1026" t="str">
        <f>IF(BX79="","",'#orgDung'!JU80)</f>
        <v/>
      </c>
      <c r="CA79" s="1027" t="str">
        <f>IF(BX79="","",'#orgDung'!JW80)</f>
        <v/>
      </c>
      <c r="CB79" s="1025"/>
      <c r="CC79" s="1026" t="str">
        <f>IF(CB79="","",'#orgDung'!KI80)</f>
        <v/>
      </c>
      <c r="CD79" s="1026" t="str">
        <f>IF(CB79="","",'#orgDung'!KJ80)</f>
        <v/>
      </c>
      <c r="CE79" s="1027" t="str">
        <f>IF(CB79="","",'#orgDung'!KL80)</f>
        <v/>
      </c>
      <c r="CF79" s="1025"/>
      <c r="CG79" s="1026" t="str">
        <f>IF(CF79="","",'#orgDung'!KX80)</f>
        <v/>
      </c>
      <c r="CH79" s="1026" t="str">
        <f>IF(CF79="","",'#orgDung'!KY80)</f>
        <v/>
      </c>
      <c r="CI79" s="1027" t="str">
        <f>IF(CF79="","",'#orgDung'!LA80)</f>
        <v/>
      </c>
      <c r="CJ79" s="1025"/>
      <c r="CK79" s="1026" t="str">
        <f>IF(CJ79="","",'#orgDung'!LM80)</f>
        <v/>
      </c>
      <c r="CL79" s="1026" t="str">
        <f>IF(CJ79="","",'#orgDung'!LN80)</f>
        <v/>
      </c>
      <c r="CM79" s="1027" t="str">
        <f>IF(CJ79="","",'#orgDung'!LP80)</f>
        <v/>
      </c>
      <c r="CN79" s="1025"/>
      <c r="CO79" s="1026" t="str">
        <f>IF(CN79="","",'#orgDung'!MB80)</f>
        <v/>
      </c>
      <c r="CP79" s="1026" t="str">
        <f>IF(CN79="","",'#orgDung'!MC80)</f>
        <v/>
      </c>
      <c r="CQ79" s="1027" t="str">
        <f>IF(CN79="","",'#orgDung'!ME80)</f>
        <v/>
      </c>
      <c r="CR79" s="1025"/>
      <c r="CS79" s="1026" t="str">
        <f>IF(CR79="","",'#orgDung'!MQ80)</f>
        <v/>
      </c>
      <c r="CT79" s="1026" t="str">
        <f>IF(CR79="","",'#orgDung'!MR80)</f>
        <v/>
      </c>
      <c r="CU79" s="1027" t="str">
        <f>IF(CR79="","",'#orgDung'!MT80)</f>
        <v/>
      </c>
      <c r="CV79" s="1025"/>
      <c r="CW79" s="1026" t="str">
        <f>IF(CV79="","",'#orgDung'!NF80)</f>
        <v/>
      </c>
      <c r="CX79" s="1026" t="str">
        <f>IF(CV79="","",'#orgDung'!NG80)</f>
        <v/>
      </c>
      <c r="CY79" s="1027" t="str">
        <f>IF(CV79="","",'#orgDung'!NI80)</f>
        <v/>
      </c>
      <c r="CZ79" s="1025"/>
      <c r="DA79" s="1026" t="str">
        <f>IF(CZ79="","",'#orgDung'!NU80)</f>
        <v/>
      </c>
      <c r="DB79" s="1026" t="str">
        <f>IF(CZ79="","",'#orgDung'!NV80)</f>
        <v/>
      </c>
      <c r="DC79" s="1027" t="str">
        <f>IF(CZ79="","",'#orgDung'!NX80)</f>
        <v/>
      </c>
      <c r="DD79" s="1025"/>
      <c r="DE79" s="1026" t="str">
        <f>IF(DD79="","",'#orgDung'!OJ80)</f>
        <v/>
      </c>
      <c r="DF79" s="1026" t="str">
        <f>IF(DD79="","",'#orgDung'!OK80)</f>
        <v/>
      </c>
      <c r="DG79" s="1027" t="str">
        <f>IF(DD79="","",'#orgDung'!OM80)</f>
        <v/>
      </c>
      <c r="DH79" s="1025"/>
      <c r="DI79" s="1026" t="str">
        <f>IF(DH79="","",'#orgDung'!OY80)</f>
        <v/>
      </c>
      <c r="DJ79" s="1026" t="str">
        <f>IF(DH79="","",'#orgDung'!OZ80)</f>
        <v/>
      </c>
      <c r="DK79" s="1027" t="str">
        <f>IF(DH79="","",'#orgDung'!PB80)</f>
        <v/>
      </c>
      <c r="DL79" s="1025"/>
      <c r="DM79" s="1026" t="str">
        <f>IF(DL79="","",'#orgDung'!PN80)</f>
        <v/>
      </c>
      <c r="DN79" s="1026" t="str">
        <f>IF(DL79="","",'#orgDung'!PO80)</f>
        <v/>
      </c>
      <c r="DO79" s="1027" t="str">
        <f>IF(DL79="","",'#orgDung'!PQ80)</f>
        <v/>
      </c>
      <c r="DP79" s="1025"/>
      <c r="DQ79" s="1026" t="str">
        <f>IF(DP79="","",'#orgDung'!QC80)</f>
        <v/>
      </c>
      <c r="DR79" s="1026" t="str">
        <f>IF(DP79="","",'#orgDung'!QD80)</f>
        <v/>
      </c>
      <c r="DS79" s="1027" t="str">
        <f>IF(DP79="","",'#orgDung'!QF80)</f>
        <v/>
      </c>
      <c r="DT79" s="1025"/>
      <c r="DU79" s="1026" t="str">
        <f>IF(DT79="","",'#orgDung'!QR80)</f>
        <v/>
      </c>
      <c r="DV79" s="1026" t="str">
        <f>IF(DT79="","",'#orgDung'!QS80)</f>
        <v/>
      </c>
      <c r="DW79" s="1027" t="str">
        <f>IF(DT79="","",'#orgDung'!QU80)</f>
        <v/>
      </c>
      <c r="DX79" s="1025"/>
      <c r="DY79" s="1026" t="str">
        <f>IF(DX79="","",'#orgDung'!RG80)</f>
        <v/>
      </c>
      <c r="DZ79" s="1026" t="str">
        <f>IF(DX79="","",'#orgDung'!RH80)</f>
        <v/>
      </c>
      <c r="EA79" s="1027" t="str">
        <f>IF(DX79="","",'#orgDung'!RJ80)</f>
        <v/>
      </c>
    </row>
    <row r="80" spans="1:131" ht="15" customHeight="1" x14ac:dyDescent="0.2">
      <c r="A80" s="1195">
        <f>'Flächen u. Kulturen'!A77</f>
        <v>68</v>
      </c>
      <c r="B80" s="1195" t="str">
        <f>IF('Flächen u. Kulturen'!B77="","",'Flächen u. Kulturen'!B77)</f>
        <v/>
      </c>
      <c r="C80" s="1196" t="str">
        <f>IF('Flächen u. Kulturen'!D77="","",'Flächen u. Kulturen'!D77)</f>
        <v/>
      </c>
      <c r="D80" s="1197" t="str">
        <f>IF(C80="","",IF('#BerechnungDBE'!Q72&lt;4,"x",""))</f>
        <v/>
      </c>
      <c r="E80" s="1198" t="str">
        <f>IF(C80="","",VLOOKUP('Flächen u. Kulturen'!L77,'#Zweitfr'!$D$8:$F$28,'#Zweitfr'!$F$1,FALSE))</f>
        <v/>
      </c>
      <c r="F80" s="1199" t="str">
        <f>IF(C80="","",IF('Flächen u. Kulturen'!E77="x",'Flächen u. Kulturen'!P77,"nicht im Betrieb"))</f>
        <v/>
      </c>
      <c r="G80" s="1200" t="str">
        <f>IF(C80="","",IF('#orgDung'!C81=2,"--",IF('#Kürzungen'!$F$2=2,"--",'#orgDung'!R81)))</f>
        <v/>
      </c>
      <c r="H80" s="1200" t="str">
        <f>IF(C80="","",'#orgDung'!U81)</f>
        <v/>
      </c>
      <c r="I80" s="1201" t="str">
        <f>IF(C80="","",IF(COUNT('#orgDung'!RS81:SA81)=0,"OK",TRIM(CONCATENATE('#orgDung'!RS81," ",'#orgDung'!RT81," ",'#orgDung'!RU81," ",'#orgDung'!RV81," ",'#orgDung'!RW81," ",'#orgDung'!RX81," ",'#orgDung'!RY81," ",'#orgDung'!RZ81," ",'#orgDung'!SA81))))</f>
        <v/>
      </c>
      <c r="J80" s="1023"/>
      <c r="K80" s="1024"/>
      <c r="L80" s="1025"/>
      <c r="M80" s="1026" t="str">
        <f>IF(L80="","",'#orgDung'!AN81)</f>
        <v/>
      </c>
      <c r="N80" s="1026" t="str">
        <f>IF(L80="","",'#orgDung'!AO81)</f>
        <v/>
      </c>
      <c r="O80" s="1027" t="str">
        <f>IF(L80="","",'#orgDung'!AQ81)</f>
        <v/>
      </c>
      <c r="P80" s="1025"/>
      <c r="Q80" s="1026" t="str">
        <f>IF(P80="","",'#orgDung'!BC81)</f>
        <v/>
      </c>
      <c r="R80" s="1026" t="str">
        <f>IF(P80="","",'#orgDung'!BD81)</f>
        <v/>
      </c>
      <c r="S80" s="1027" t="str">
        <f>IF(P80="","",'#orgDung'!BF81)</f>
        <v/>
      </c>
      <c r="T80" s="1025"/>
      <c r="U80" s="1026" t="str">
        <f>IF(T80="","",'#orgDung'!BR81)</f>
        <v/>
      </c>
      <c r="V80" s="1026" t="str">
        <f>IF(T80="","",'#orgDung'!BS81)</f>
        <v/>
      </c>
      <c r="W80" s="1027" t="str">
        <f>IF(T80="","",'#orgDung'!BU81)</f>
        <v/>
      </c>
      <c r="X80" s="1025"/>
      <c r="Y80" s="1026" t="str">
        <f>IF(X80="","",'#orgDung'!CG81)</f>
        <v/>
      </c>
      <c r="Z80" s="1026" t="str">
        <f>IF(X80="","",'#orgDung'!CH81)</f>
        <v/>
      </c>
      <c r="AA80" s="1027" t="str">
        <f>IF(X80="","",'#orgDung'!CJ81)</f>
        <v/>
      </c>
      <c r="AB80" s="1025"/>
      <c r="AC80" s="1026" t="str">
        <f>IF(AB80="","",'#orgDung'!CV81)</f>
        <v/>
      </c>
      <c r="AD80" s="1026" t="str">
        <f>IF(AB80="","",'#orgDung'!CW81)</f>
        <v/>
      </c>
      <c r="AE80" s="1027" t="str">
        <f>IF(AB80="","",'#orgDung'!CY81)</f>
        <v/>
      </c>
      <c r="AF80" s="1025"/>
      <c r="AG80" s="1026" t="str">
        <f>IF(AF80="","",'#orgDung'!DK81)</f>
        <v/>
      </c>
      <c r="AH80" s="1026" t="str">
        <f>IF(AF80="","",'#orgDung'!DL81)</f>
        <v/>
      </c>
      <c r="AI80" s="1027" t="str">
        <f>IF(AF80="","",'#orgDung'!DN81)</f>
        <v/>
      </c>
      <c r="AJ80" s="1025"/>
      <c r="AK80" s="1026" t="str">
        <f>IF(AJ80="","",'#orgDung'!DZ81)</f>
        <v/>
      </c>
      <c r="AL80" s="1026" t="str">
        <f>IF(AJ80="","",'#orgDung'!EA81)</f>
        <v/>
      </c>
      <c r="AM80" s="1027" t="str">
        <f>IF(AJ80="","",'#orgDung'!EC81)</f>
        <v/>
      </c>
      <c r="AN80" s="1025"/>
      <c r="AO80" s="1026" t="str">
        <f>IF(AN80="","",'#orgDung'!EO81)</f>
        <v/>
      </c>
      <c r="AP80" s="1026" t="str">
        <f>IF(AN80="","",'#orgDung'!EP81)</f>
        <v/>
      </c>
      <c r="AQ80" s="1027" t="str">
        <f>IF(AN80="","",'#orgDung'!ER81)</f>
        <v/>
      </c>
      <c r="AR80" s="1025"/>
      <c r="AS80" s="1026" t="str">
        <f>IF(AR80="","",'#orgDung'!FD81)</f>
        <v/>
      </c>
      <c r="AT80" s="1026" t="str">
        <f>IF(AR80="","",'#orgDung'!FE81)</f>
        <v/>
      </c>
      <c r="AU80" s="1027" t="str">
        <f>IF(AR80="","",'#orgDung'!FG81)</f>
        <v/>
      </c>
      <c r="AV80" s="1025"/>
      <c r="AW80" s="1026" t="str">
        <f>IF(AV80="","",'#orgDung'!FS81)</f>
        <v/>
      </c>
      <c r="AX80" s="1026" t="str">
        <f>IF(AV80="","",'#orgDung'!FT81)</f>
        <v/>
      </c>
      <c r="AY80" s="1027" t="str">
        <f>IF(AV80="","",'#orgDung'!FV81)</f>
        <v/>
      </c>
      <c r="AZ80" s="1025"/>
      <c r="BA80" s="1026" t="str">
        <f>IF(AZ80="","",'#orgDung'!GH81)</f>
        <v/>
      </c>
      <c r="BB80" s="1026" t="str">
        <f>IF(AZ80="","",'#orgDung'!GI81)</f>
        <v/>
      </c>
      <c r="BC80" s="1027" t="str">
        <f>IF(AZ80="","",'#orgDung'!GK81)</f>
        <v/>
      </c>
      <c r="BD80" s="1025"/>
      <c r="BE80" s="1026" t="str">
        <f>IF(BD80="","",'#orgDung'!GW81)</f>
        <v/>
      </c>
      <c r="BF80" s="1026" t="str">
        <f>IF(BD80="","",'#orgDung'!GX81)</f>
        <v/>
      </c>
      <c r="BG80" s="1027" t="str">
        <f>IF(BD80="","",'#orgDung'!GZ81)</f>
        <v/>
      </c>
      <c r="BH80" s="1025"/>
      <c r="BI80" s="1026" t="str">
        <f>IF(BH80="","",'#orgDung'!HL81)</f>
        <v/>
      </c>
      <c r="BJ80" s="1026" t="str">
        <f>IF(BH80="","",'#orgDung'!HM81)</f>
        <v/>
      </c>
      <c r="BK80" s="1027" t="str">
        <f>IF(BH80="","",'#orgDung'!HO81)</f>
        <v/>
      </c>
      <c r="BL80" s="1025"/>
      <c r="BM80" s="1026" t="str">
        <f>IF(BL80="","",'#orgDung'!IA81)</f>
        <v/>
      </c>
      <c r="BN80" s="1026" t="str">
        <f>IF(BL80="","",'#orgDung'!IB81)</f>
        <v/>
      </c>
      <c r="BO80" s="1027" t="str">
        <f>IF(BL80="","",'#orgDung'!ID81)</f>
        <v/>
      </c>
      <c r="BP80" s="1025"/>
      <c r="BQ80" s="1026" t="str">
        <f>IF(BP80="","",'#orgDung'!IP81)</f>
        <v/>
      </c>
      <c r="BR80" s="1026" t="str">
        <f>IF(BP80="","",'#orgDung'!IQ81)</f>
        <v/>
      </c>
      <c r="BS80" s="1027" t="str">
        <f>IF(BP80="","",'#orgDung'!IS81)</f>
        <v/>
      </c>
      <c r="BT80" s="1025"/>
      <c r="BU80" s="1026" t="str">
        <f>IF(BT80="","",'#orgDung'!JE81)</f>
        <v/>
      </c>
      <c r="BV80" s="1026" t="str">
        <f>IF(BT80="","",'#orgDung'!JF81)</f>
        <v/>
      </c>
      <c r="BW80" s="1027" t="str">
        <f>IF(BT80="","",'#orgDung'!JH81)</f>
        <v/>
      </c>
      <c r="BX80" s="1025"/>
      <c r="BY80" s="1026" t="str">
        <f>IF(BX80="","",'#orgDung'!JT81)</f>
        <v/>
      </c>
      <c r="BZ80" s="1026" t="str">
        <f>IF(BX80="","",'#orgDung'!JU81)</f>
        <v/>
      </c>
      <c r="CA80" s="1027" t="str">
        <f>IF(BX80="","",'#orgDung'!JW81)</f>
        <v/>
      </c>
      <c r="CB80" s="1025"/>
      <c r="CC80" s="1026" t="str">
        <f>IF(CB80="","",'#orgDung'!KI81)</f>
        <v/>
      </c>
      <c r="CD80" s="1026" t="str">
        <f>IF(CB80="","",'#orgDung'!KJ81)</f>
        <v/>
      </c>
      <c r="CE80" s="1027" t="str">
        <f>IF(CB80="","",'#orgDung'!KL81)</f>
        <v/>
      </c>
      <c r="CF80" s="1025"/>
      <c r="CG80" s="1026" t="str">
        <f>IF(CF80="","",'#orgDung'!KX81)</f>
        <v/>
      </c>
      <c r="CH80" s="1026" t="str">
        <f>IF(CF80="","",'#orgDung'!KY81)</f>
        <v/>
      </c>
      <c r="CI80" s="1027" t="str">
        <f>IF(CF80="","",'#orgDung'!LA81)</f>
        <v/>
      </c>
      <c r="CJ80" s="1025"/>
      <c r="CK80" s="1026" t="str">
        <f>IF(CJ80="","",'#orgDung'!LM81)</f>
        <v/>
      </c>
      <c r="CL80" s="1026" t="str">
        <f>IF(CJ80="","",'#orgDung'!LN81)</f>
        <v/>
      </c>
      <c r="CM80" s="1027" t="str">
        <f>IF(CJ80="","",'#orgDung'!LP81)</f>
        <v/>
      </c>
      <c r="CN80" s="1025"/>
      <c r="CO80" s="1026" t="str">
        <f>IF(CN80="","",'#orgDung'!MB81)</f>
        <v/>
      </c>
      <c r="CP80" s="1026" t="str">
        <f>IF(CN80="","",'#orgDung'!MC81)</f>
        <v/>
      </c>
      <c r="CQ80" s="1027" t="str">
        <f>IF(CN80="","",'#orgDung'!ME81)</f>
        <v/>
      </c>
      <c r="CR80" s="1025"/>
      <c r="CS80" s="1026" t="str">
        <f>IF(CR80="","",'#orgDung'!MQ81)</f>
        <v/>
      </c>
      <c r="CT80" s="1026" t="str">
        <f>IF(CR80="","",'#orgDung'!MR81)</f>
        <v/>
      </c>
      <c r="CU80" s="1027" t="str">
        <f>IF(CR80="","",'#orgDung'!MT81)</f>
        <v/>
      </c>
      <c r="CV80" s="1025"/>
      <c r="CW80" s="1026" t="str">
        <f>IF(CV80="","",'#orgDung'!NF81)</f>
        <v/>
      </c>
      <c r="CX80" s="1026" t="str">
        <f>IF(CV80="","",'#orgDung'!NG81)</f>
        <v/>
      </c>
      <c r="CY80" s="1027" t="str">
        <f>IF(CV80="","",'#orgDung'!NI81)</f>
        <v/>
      </c>
      <c r="CZ80" s="1025"/>
      <c r="DA80" s="1026" t="str">
        <f>IF(CZ80="","",'#orgDung'!NU81)</f>
        <v/>
      </c>
      <c r="DB80" s="1026" t="str">
        <f>IF(CZ80="","",'#orgDung'!NV81)</f>
        <v/>
      </c>
      <c r="DC80" s="1027" t="str">
        <f>IF(CZ80="","",'#orgDung'!NX81)</f>
        <v/>
      </c>
      <c r="DD80" s="1025"/>
      <c r="DE80" s="1026" t="str">
        <f>IF(DD80="","",'#orgDung'!OJ81)</f>
        <v/>
      </c>
      <c r="DF80" s="1026" t="str">
        <f>IF(DD80="","",'#orgDung'!OK81)</f>
        <v/>
      </c>
      <c r="DG80" s="1027" t="str">
        <f>IF(DD80="","",'#orgDung'!OM81)</f>
        <v/>
      </c>
      <c r="DH80" s="1025"/>
      <c r="DI80" s="1026" t="str">
        <f>IF(DH80="","",'#orgDung'!OY81)</f>
        <v/>
      </c>
      <c r="DJ80" s="1026" t="str">
        <f>IF(DH80="","",'#orgDung'!OZ81)</f>
        <v/>
      </c>
      <c r="DK80" s="1027" t="str">
        <f>IF(DH80="","",'#orgDung'!PB81)</f>
        <v/>
      </c>
      <c r="DL80" s="1025"/>
      <c r="DM80" s="1026" t="str">
        <f>IF(DL80="","",'#orgDung'!PN81)</f>
        <v/>
      </c>
      <c r="DN80" s="1026" t="str">
        <f>IF(DL80="","",'#orgDung'!PO81)</f>
        <v/>
      </c>
      <c r="DO80" s="1027" t="str">
        <f>IF(DL80="","",'#orgDung'!PQ81)</f>
        <v/>
      </c>
      <c r="DP80" s="1025"/>
      <c r="DQ80" s="1026" t="str">
        <f>IF(DP80="","",'#orgDung'!QC81)</f>
        <v/>
      </c>
      <c r="DR80" s="1026" t="str">
        <f>IF(DP80="","",'#orgDung'!QD81)</f>
        <v/>
      </c>
      <c r="DS80" s="1027" t="str">
        <f>IF(DP80="","",'#orgDung'!QF81)</f>
        <v/>
      </c>
      <c r="DT80" s="1025"/>
      <c r="DU80" s="1026" t="str">
        <f>IF(DT80="","",'#orgDung'!QR81)</f>
        <v/>
      </c>
      <c r="DV80" s="1026" t="str">
        <f>IF(DT80="","",'#orgDung'!QS81)</f>
        <v/>
      </c>
      <c r="DW80" s="1027" t="str">
        <f>IF(DT80="","",'#orgDung'!QU81)</f>
        <v/>
      </c>
      <c r="DX80" s="1025"/>
      <c r="DY80" s="1026" t="str">
        <f>IF(DX80="","",'#orgDung'!RG81)</f>
        <v/>
      </c>
      <c r="DZ80" s="1026" t="str">
        <f>IF(DX80="","",'#orgDung'!RH81)</f>
        <v/>
      </c>
      <c r="EA80" s="1027" t="str">
        <f>IF(DX80="","",'#orgDung'!RJ81)</f>
        <v/>
      </c>
    </row>
    <row r="81" spans="1:131" ht="15" customHeight="1" x14ac:dyDescent="0.2">
      <c r="A81" s="1195">
        <f>'Flächen u. Kulturen'!A78</f>
        <v>69</v>
      </c>
      <c r="B81" s="1195" t="str">
        <f>IF('Flächen u. Kulturen'!B78="","",'Flächen u. Kulturen'!B78)</f>
        <v/>
      </c>
      <c r="C81" s="1196" t="str">
        <f>IF('Flächen u. Kulturen'!D78="","",'Flächen u. Kulturen'!D78)</f>
        <v/>
      </c>
      <c r="D81" s="1197" t="str">
        <f>IF(C81="","",IF('#BerechnungDBE'!Q73&lt;4,"x",""))</f>
        <v/>
      </c>
      <c r="E81" s="1198" t="str">
        <f>IF(C81="","",VLOOKUP('Flächen u. Kulturen'!L78,'#Zweitfr'!$D$8:$F$28,'#Zweitfr'!$F$1,FALSE))</f>
        <v/>
      </c>
      <c r="F81" s="1199" t="str">
        <f>IF(C81="","",IF('Flächen u. Kulturen'!E78="x",'Flächen u. Kulturen'!P78,"nicht im Betrieb"))</f>
        <v/>
      </c>
      <c r="G81" s="1200" t="str">
        <f>IF(C81="","",IF('#orgDung'!C82=2,"--",IF('#Kürzungen'!$F$2=2,"--",'#orgDung'!R82)))</f>
        <v/>
      </c>
      <c r="H81" s="1200" t="str">
        <f>IF(C81="","",'#orgDung'!U82)</f>
        <v/>
      </c>
      <c r="I81" s="1201" t="str">
        <f>IF(C81="","",IF(COUNT('#orgDung'!RS82:SA82)=0,"OK",TRIM(CONCATENATE('#orgDung'!RS82," ",'#orgDung'!RT82," ",'#orgDung'!RU82," ",'#orgDung'!RV82," ",'#orgDung'!RW82," ",'#orgDung'!RX82," ",'#orgDung'!RY82," ",'#orgDung'!RZ82," ",'#orgDung'!SA82))))</f>
        <v/>
      </c>
      <c r="J81" s="1023"/>
      <c r="K81" s="1024"/>
      <c r="L81" s="1025"/>
      <c r="M81" s="1026" t="str">
        <f>IF(L81="","",'#orgDung'!AN82)</f>
        <v/>
      </c>
      <c r="N81" s="1026" t="str">
        <f>IF(L81="","",'#orgDung'!AO82)</f>
        <v/>
      </c>
      <c r="O81" s="1027" t="str">
        <f>IF(L81="","",'#orgDung'!AQ82)</f>
        <v/>
      </c>
      <c r="P81" s="1025"/>
      <c r="Q81" s="1026" t="str">
        <f>IF(P81="","",'#orgDung'!BC82)</f>
        <v/>
      </c>
      <c r="R81" s="1026" t="str">
        <f>IF(P81="","",'#orgDung'!BD82)</f>
        <v/>
      </c>
      <c r="S81" s="1027" t="str">
        <f>IF(P81="","",'#orgDung'!BF82)</f>
        <v/>
      </c>
      <c r="T81" s="1025"/>
      <c r="U81" s="1026" t="str">
        <f>IF(T81="","",'#orgDung'!BR82)</f>
        <v/>
      </c>
      <c r="V81" s="1026" t="str">
        <f>IF(T81="","",'#orgDung'!BS82)</f>
        <v/>
      </c>
      <c r="W81" s="1027" t="str">
        <f>IF(T81="","",'#orgDung'!BU82)</f>
        <v/>
      </c>
      <c r="X81" s="1025"/>
      <c r="Y81" s="1026" t="str">
        <f>IF(X81="","",'#orgDung'!CG82)</f>
        <v/>
      </c>
      <c r="Z81" s="1026" t="str">
        <f>IF(X81="","",'#orgDung'!CH82)</f>
        <v/>
      </c>
      <c r="AA81" s="1027" t="str">
        <f>IF(X81="","",'#orgDung'!CJ82)</f>
        <v/>
      </c>
      <c r="AB81" s="1025"/>
      <c r="AC81" s="1026" t="str">
        <f>IF(AB81="","",'#orgDung'!CV82)</f>
        <v/>
      </c>
      <c r="AD81" s="1026" t="str">
        <f>IF(AB81="","",'#orgDung'!CW82)</f>
        <v/>
      </c>
      <c r="AE81" s="1027" t="str">
        <f>IF(AB81="","",'#orgDung'!CY82)</f>
        <v/>
      </c>
      <c r="AF81" s="1025"/>
      <c r="AG81" s="1026" t="str">
        <f>IF(AF81="","",'#orgDung'!DK82)</f>
        <v/>
      </c>
      <c r="AH81" s="1026" t="str">
        <f>IF(AF81="","",'#orgDung'!DL82)</f>
        <v/>
      </c>
      <c r="AI81" s="1027" t="str">
        <f>IF(AF81="","",'#orgDung'!DN82)</f>
        <v/>
      </c>
      <c r="AJ81" s="1025"/>
      <c r="AK81" s="1026" t="str">
        <f>IF(AJ81="","",'#orgDung'!DZ82)</f>
        <v/>
      </c>
      <c r="AL81" s="1026" t="str">
        <f>IF(AJ81="","",'#orgDung'!EA82)</f>
        <v/>
      </c>
      <c r="AM81" s="1027" t="str">
        <f>IF(AJ81="","",'#orgDung'!EC82)</f>
        <v/>
      </c>
      <c r="AN81" s="1025"/>
      <c r="AO81" s="1026" t="str">
        <f>IF(AN81="","",'#orgDung'!EO82)</f>
        <v/>
      </c>
      <c r="AP81" s="1026" t="str">
        <f>IF(AN81="","",'#orgDung'!EP82)</f>
        <v/>
      </c>
      <c r="AQ81" s="1027" t="str">
        <f>IF(AN81="","",'#orgDung'!ER82)</f>
        <v/>
      </c>
      <c r="AR81" s="1025"/>
      <c r="AS81" s="1026" t="str">
        <f>IF(AR81="","",'#orgDung'!FD82)</f>
        <v/>
      </c>
      <c r="AT81" s="1026" t="str">
        <f>IF(AR81="","",'#orgDung'!FE82)</f>
        <v/>
      </c>
      <c r="AU81" s="1027" t="str">
        <f>IF(AR81="","",'#orgDung'!FG82)</f>
        <v/>
      </c>
      <c r="AV81" s="1025"/>
      <c r="AW81" s="1026" t="str">
        <f>IF(AV81="","",'#orgDung'!FS82)</f>
        <v/>
      </c>
      <c r="AX81" s="1026" t="str">
        <f>IF(AV81="","",'#orgDung'!FT82)</f>
        <v/>
      </c>
      <c r="AY81" s="1027" t="str">
        <f>IF(AV81="","",'#orgDung'!FV82)</f>
        <v/>
      </c>
      <c r="AZ81" s="1025"/>
      <c r="BA81" s="1026" t="str">
        <f>IF(AZ81="","",'#orgDung'!GH82)</f>
        <v/>
      </c>
      <c r="BB81" s="1026" t="str">
        <f>IF(AZ81="","",'#orgDung'!GI82)</f>
        <v/>
      </c>
      <c r="BC81" s="1027" t="str">
        <f>IF(AZ81="","",'#orgDung'!GK82)</f>
        <v/>
      </c>
      <c r="BD81" s="1025"/>
      <c r="BE81" s="1026" t="str">
        <f>IF(BD81="","",'#orgDung'!GW82)</f>
        <v/>
      </c>
      <c r="BF81" s="1026" t="str">
        <f>IF(BD81="","",'#orgDung'!GX82)</f>
        <v/>
      </c>
      <c r="BG81" s="1027" t="str">
        <f>IF(BD81="","",'#orgDung'!GZ82)</f>
        <v/>
      </c>
      <c r="BH81" s="1025"/>
      <c r="BI81" s="1026" t="str">
        <f>IF(BH81="","",'#orgDung'!HL82)</f>
        <v/>
      </c>
      <c r="BJ81" s="1026" t="str">
        <f>IF(BH81="","",'#orgDung'!HM82)</f>
        <v/>
      </c>
      <c r="BK81" s="1027" t="str">
        <f>IF(BH81="","",'#orgDung'!HO82)</f>
        <v/>
      </c>
      <c r="BL81" s="1025"/>
      <c r="BM81" s="1026" t="str">
        <f>IF(BL81="","",'#orgDung'!IA82)</f>
        <v/>
      </c>
      <c r="BN81" s="1026" t="str">
        <f>IF(BL81="","",'#orgDung'!IB82)</f>
        <v/>
      </c>
      <c r="BO81" s="1027" t="str">
        <f>IF(BL81="","",'#orgDung'!ID82)</f>
        <v/>
      </c>
      <c r="BP81" s="1025"/>
      <c r="BQ81" s="1026" t="str">
        <f>IF(BP81="","",'#orgDung'!IP82)</f>
        <v/>
      </c>
      <c r="BR81" s="1026" t="str">
        <f>IF(BP81="","",'#orgDung'!IQ82)</f>
        <v/>
      </c>
      <c r="BS81" s="1027" t="str">
        <f>IF(BP81="","",'#orgDung'!IS82)</f>
        <v/>
      </c>
      <c r="BT81" s="1025"/>
      <c r="BU81" s="1026" t="str">
        <f>IF(BT81="","",'#orgDung'!JE82)</f>
        <v/>
      </c>
      <c r="BV81" s="1026" t="str">
        <f>IF(BT81="","",'#orgDung'!JF82)</f>
        <v/>
      </c>
      <c r="BW81" s="1027" t="str">
        <f>IF(BT81="","",'#orgDung'!JH82)</f>
        <v/>
      </c>
      <c r="BX81" s="1025"/>
      <c r="BY81" s="1026" t="str">
        <f>IF(BX81="","",'#orgDung'!JT82)</f>
        <v/>
      </c>
      <c r="BZ81" s="1026" t="str">
        <f>IF(BX81="","",'#orgDung'!JU82)</f>
        <v/>
      </c>
      <c r="CA81" s="1027" t="str">
        <f>IF(BX81="","",'#orgDung'!JW82)</f>
        <v/>
      </c>
      <c r="CB81" s="1025"/>
      <c r="CC81" s="1026" t="str">
        <f>IF(CB81="","",'#orgDung'!KI82)</f>
        <v/>
      </c>
      <c r="CD81" s="1026" t="str">
        <f>IF(CB81="","",'#orgDung'!KJ82)</f>
        <v/>
      </c>
      <c r="CE81" s="1027" t="str">
        <f>IF(CB81="","",'#orgDung'!KL82)</f>
        <v/>
      </c>
      <c r="CF81" s="1025"/>
      <c r="CG81" s="1026" t="str">
        <f>IF(CF81="","",'#orgDung'!KX82)</f>
        <v/>
      </c>
      <c r="CH81" s="1026" t="str">
        <f>IF(CF81="","",'#orgDung'!KY82)</f>
        <v/>
      </c>
      <c r="CI81" s="1027" t="str">
        <f>IF(CF81="","",'#orgDung'!LA82)</f>
        <v/>
      </c>
      <c r="CJ81" s="1025"/>
      <c r="CK81" s="1026" t="str">
        <f>IF(CJ81="","",'#orgDung'!LM82)</f>
        <v/>
      </c>
      <c r="CL81" s="1026" t="str">
        <f>IF(CJ81="","",'#orgDung'!LN82)</f>
        <v/>
      </c>
      <c r="CM81" s="1027" t="str">
        <f>IF(CJ81="","",'#orgDung'!LP82)</f>
        <v/>
      </c>
      <c r="CN81" s="1025"/>
      <c r="CO81" s="1026" t="str">
        <f>IF(CN81="","",'#orgDung'!MB82)</f>
        <v/>
      </c>
      <c r="CP81" s="1026" t="str">
        <f>IF(CN81="","",'#orgDung'!MC82)</f>
        <v/>
      </c>
      <c r="CQ81" s="1027" t="str">
        <f>IF(CN81="","",'#orgDung'!ME82)</f>
        <v/>
      </c>
      <c r="CR81" s="1025"/>
      <c r="CS81" s="1026" t="str">
        <f>IF(CR81="","",'#orgDung'!MQ82)</f>
        <v/>
      </c>
      <c r="CT81" s="1026" t="str">
        <f>IF(CR81="","",'#orgDung'!MR82)</f>
        <v/>
      </c>
      <c r="CU81" s="1027" t="str">
        <f>IF(CR81="","",'#orgDung'!MT82)</f>
        <v/>
      </c>
      <c r="CV81" s="1025"/>
      <c r="CW81" s="1026" t="str">
        <f>IF(CV81="","",'#orgDung'!NF82)</f>
        <v/>
      </c>
      <c r="CX81" s="1026" t="str">
        <f>IF(CV81="","",'#orgDung'!NG82)</f>
        <v/>
      </c>
      <c r="CY81" s="1027" t="str">
        <f>IF(CV81="","",'#orgDung'!NI82)</f>
        <v/>
      </c>
      <c r="CZ81" s="1025"/>
      <c r="DA81" s="1026" t="str">
        <f>IF(CZ81="","",'#orgDung'!NU82)</f>
        <v/>
      </c>
      <c r="DB81" s="1026" t="str">
        <f>IF(CZ81="","",'#orgDung'!NV82)</f>
        <v/>
      </c>
      <c r="DC81" s="1027" t="str">
        <f>IF(CZ81="","",'#orgDung'!NX82)</f>
        <v/>
      </c>
      <c r="DD81" s="1025"/>
      <c r="DE81" s="1026" t="str">
        <f>IF(DD81="","",'#orgDung'!OJ82)</f>
        <v/>
      </c>
      <c r="DF81" s="1026" t="str">
        <f>IF(DD81="","",'#orgDung'!OK82)</f>
        <v/>
      </c>
      <c r="DG81" s="1027" t="str">
        <f>IF(DD81="","",'#orgDung'!OM82)</f>
        <v/>
      </c>
      <c r="DH81" s="1025"/>
      <c r="DI81" s="1026" t="str">
        <f>IF(DH81="","",'#orgDung'!OY82)</f>
        <v/>
      </c>
      <c r="DJ81" s="1026" t="str">
        <f>IF(DH81="","",'#orgDung'!OZ82)</f>
        <v/>
      </c>
      <c r="DK81" s="1027" t="str">
        <f>IF(DH81="","",'#orgDung'!PB82)</f>
        <v/>
      </c>
      <c r="DL81" s="1025"/>
      <c r="DM81" s="1026" t="str">
        <f>IF(DL81="","",'#orgDung'!PN82)</f>
        <v/>
      </c>
      <c r="DN81" s="1026" t="str">
        <f>IF(DL81="","",'#orgDung'!PO82)</f>
        <v/>
      </c>
      <c r="DO81" s="1027" t="str">
        <f>IF(DL81="","",'#orgDung'!PQ82)</f>
        <v/>
      </c>
      <c r="DP81" s="1025"/>
      <c r="DQ81" s="1026" t="str">
        <f>IF(DP81="","",'#orgDung'!QC82)</f>
        <v/>
      </c>
      <c r="DR81" s="1026" t="str">
        <f>IF(DP81="","",'#orgDung'!QD82)</f>
        <v/>
      </c>
      <c r="DS81" s="1027" t="str">
        <f>IF(DP81="","",'#orgDung'!QF82)</f>
        <v/>
      </c>
      <c r="DT81" s="1025"/>
      <c r="DU81" s="1026" t="str">
        <f>IF(DT81="","",'#orgDung'!QR82)</f>
        <v/>
      </c>
      <c r="DV81" s="1026" t="str">
        <f>IF(DT81="","",'#orgDung'!QS82)</f>
        <v/>
      </c>
      <c r="DW81" s="1027" t="str">
        <f>IF(DT81="","",'#orgDung'!QU82)</f>
        <v/>
      </c>
      <c r="DX81" s="1025"/>
      <c r="DY81" s="1026" t="str">
        <f>IF(DX81="","",'#orgDung'!RG82)</f>
        <v/>
      </c>
      <c r="DZ81" s="1026" t="str">
        <f>IF(DX81="","",'#orgDung'!RH82)</f>
        <v/>
      </c>
      <c r="EA81" s="1027" t="str">
        <f>IF(DX81="","",'#orgDung'!RJ82)</f>
        <v/>
      </c>
    </row>
    <row r="82" spans="1:131" ht="15" customHeight="1" x14ac:dyDescent="0.2">
      <c r="A82" s="1195">
        <f>'Flächen u. Kulturen'!A79</f>
        <v>70</v>
      </c>
      <c r="B82" s="1195" t="str">
        <f>IF('Flächen u. Kulturen'!B79="","",'Flächen u. Kulturen'!B79)</f>
        <v/>
      </c>
      <c r="C82" s="1196" t="str">
        <f>IF('Flächen u. Kulturen'!D79="","",'Flächen u. Kulturen'!D79)</f>
        <v/>
      </c>
      <c r="D82" s="1197" t="str">
        <f>IF(C82="","",IF('#BerechnungDBE'!Q74&lt;4,"x",""))</f>
        <v/>
      </c>
      <c r="E82" s="1198" t="str">
        <f>IF(C82="","",VLOOKUP('Flächen u. Kulturen'!L79,'#Zweitfr'!$D$8:$F$28,'#Zweitfr'!$F$1,FALSE))</f>
        <v/>
      </c>
      <c r="F82" s="1199" t="str">
        <f>IF(C82="","",IF('Flächen u. Kulturen'!E79="x",'Flächen u. Kulturen'!P79,"nicht im Betrieb"))</f>
        <v/>
      </c>
      <c r="G82" s="1200" t="str">
        <f>IF(C82="","",IF('#orgDung'!C83=2,"--",IF('#Kürzungen'!$F$2=2,"--",'#orgDung'!R83)))</f>
        <v/>
      </c>
      <c r="H82" s="1200" t="str">
        <f>IF(C82="","",'#orgDung'!U83)</f>
        <v/>
      </c>
      <c r="I82" s="1201" t="str">
        <f>IF(C82="","",IF(COUNT('#orgDung'!RS83:SA83)=0,"OK",TRIM(CONCATENATE('#orgDung'!RS83," ",'#orgDung'!RT83," ",'#orgDung'!RU83," ",'#orgDung'!RV83," ",'#orgDung'!RW83," ",'#orgDung'!RX83," ",'#orgDung'!RY83," ",'#orgDung'!RZ83," ",'#orgDung'!SA83))))</f>
        <v/>
      </c>
      <c r="J82" s="1023"/>
      <c r="K82" s="1024"/>
      <c r="L82" s="1025"/>
      <c r="M82" s="1026" t="str">
        <f>IF(L82="","",'#orgDung'!AN83)</f>
        <v/>
      </c>
      <c r="N82" s="1026" t="str">
        <f>IF(L82="","",'#orgDung'!AO83)</f>
        <v/>
      </c>
      <c r="O82" s="1027" t="str">
        <f>IF(L82="","",'#orgDung'!AQ83)</f>
        <v/>
      </c>
      <c r="P82" s="1025"/>
      <c r="Q82" s="1026" t="str">
        <f>IF(P82="","",'#orgDung'!BC83)</f>
        <v/>
      </c>
      <c r="R82" s="1026" t="str">
        <f>IF(P82="","",'#orgDung'!BD83)</f>
        <v/>
      </c>
      <c r="S82" s="1027" t="str">
        <f>IF(P82="","",'#orgDung'!BF83)</f>
        <v/>
      </c>
      <c r="T82" s="1025"/>
      <c r="U82" s="1026" t="str">
        <f>IF(T82="","",'#orgDung'!BR83)</f>
        <v/>
      </c>
      <c r="V82" s="1026" t="str">
        <f>IF(T82="","",'#orgDung'!BS83)</f>
        <v/>
      </c>
      <c r="W82" s="1027" t="str">
        <f>IF(T82="","",'#orgDung'!BU83)</f>
        <v/>
      </c>
      <c r="X82" s="1025"/>
      <c r="Y82" s="1026" t="str">
        <f>IF(X82="","",'#orgDung'!CG83)</f>
        <v/>
      </c>
      <c r="Z82" s="1026" t="str">
        <f>IF(X82="","",'#orgDung'!CH83)</f>
        <v/>
      </c>
      <c r="AA82" s="1027" t="str">
        <f>IF(X82="","",'#orgDung'!CJ83)</f>
        <v/>
      </c>
      <c r="AB82" s="1025"/>
      <c r="AC82" s="1026" t="str">
        <f>IF(AB82="","",'#orgDung'!CV83)</f>
        <v/>
      </c>
      <c r="AD82" s="1026" t="str">
        <f>IF(AB82="","",'#orgDung'!CW83)</f>
        <v/>
      </c>
      <c r="AE82" s="1027" t="str">
        <f>IF(AB82="","",'#orgDung'!CY83)</f>
        <v/>
      </c>
      <c r="AF82" s="1025"/>
      <c r="AG82" s="1026" t="str">
        <f>IF(AF82="","",'#orgDung'!DK83)</f>
        <v/>
      </c>
      <c r="AH82" s="1026" t="str">
        <f>IF(AF82="","",'#orgDung'!DL83)</f>
        <v/>
      </c>
      <c r="AI82" s="1027" t="str">
        <f>IF(AF82="","",'#orgDung'!DN83)</f>
        <v/>
      </c>
      <c r="AJ82" s="1025"/>
      <c r="AK82" s="1026" t="str">
        <f>IF(AJ82="","",'#orgDung'!DZ83)</f>
        <v/>
      </c>
      <c r="AL82" s="1026" t="str">
        <f>IF(AJ82="","",'#orgDung'!EA83)</f>
        <v/>
      </c>
      <c r="AM82" s="1027" t="str">
        <f>IF(AJ82="","",'#orgDung'!EC83)</f>
        <v/>
      </c>
      <c r="AN82" s="1025"/>
      <c r="AO82" s="1026" t="str">
        <f>IF(AN82="","",'#orgDung'!EO83)</f>
        <v/>
      </c>
      <c r="AP82" s="1026" t="str">
        <f>IF(AN82="","",'#orgDung'!EP83)</f>
        <v/>
      </c>
      <c r="AQ82" s="1027" t="str">
        <f>IF(AN82="","",'#orgDung'!ER83)</f>
        <v/>
      </c>
      <c r="AR82" s="1025"/>
      <c r="AS82" s="1026" t="str">
        <f>IF(AR82="","",'#orgDung'!FD83)</f>
        <v/>
      </c>
      <c r="AT82" s="1026" t="str">
        <f>IF(AR82="","",'#orgDung'!FE83)</f>
        <v/>
      </c>
      <c r="AU82" s="1027" t="str">
        <f>IF(AR82="","",'#orgDung'!FG83)</f>
        <v/>
      </c>
      <c r="AV82" s="1025"/>
      <c r="AW82" s="1026" t="str">
        <f>IF(AV82="","",'#orgDung'!FS83)</f>
        <v/>
      </c>
      <c r="AX82" s="1026" t="str">
        <f>IF(AV82="","",'#orgDung'!FT83)</f>
        <v/>
      </c>
      <c r="AY82" s="1027" t="str">
        <f>IF(AV82="","",'#orgDung'!FV83)</f>
        <v/>
      </c>
      <c r="AZ82" s="1025"/>
      <c r="BA82" s="1026" t="str">
        <f>IF(AZ82="","",'#orgDung'!GH83)</f>
        <v/>
      </c>
      <c r="BB82" s="1026" t="str">
        <f>IF(AZ82="","",'#orgDung'!GI83)</f>
        <v/>
      </c>
      <c r="BC82" s="1027" t="str">
        <f>IF(AZ82="","",'#orgDung'!GK83)</f>
        <v/>
      </c>
      <c r="BD82" s="1025"/>
      <c r="BE82" s="1026" t="str">
        <f>IF(BD82="","",'#orgDung'!GW83)</f>
        <v/>
      </c>
      <c r="BF82" s="1026" t="str">
        <f>IF(BD82="","",'#orgDung'!GX83)</f>
        <v/>
      </c>
      <c r="BG82" s="1027" t="str">
        <f>IF(BD82="","",'#orgDung'!GZ83)</f>
        <v/>
      </c>
      <c r="BH82" s="1025"/>
      <c r="BI82" s="1026" t="str">
        <f>IF(BH82="","",'#orgDung'!HL83)</f>
        <v/>
      </c>
      <c r="BJ82" s="1026" t="str">
        <f>IF(BH82="","",'#orgDung'!HM83)</f>
        <v/>
      </c>
      <c r="BK82" s="1027" t="str">
        <f>IF(BH82="","",'#orgDung'!HO83)</f>
        <v/>
      </c>
      <c r="BL82" s="1025"/>
      <c r="BM82" s="1026" t="str">
        <f>IF(BL82="","",'#orgDung'!IA83)</f>
        <v/>
      </c>
      <c r="BN82" s="1026" t="str">
        <f>IF(BL82="","",'#orgDung'!IB83)</f>
        <v/>
      </c>
      <c r="BO82" s="1027" t="str">
        <f>IF(BL82="","",'#orgDung'!ID83)</f>
        <v/>
      </c>
      <c r="BP82" s="1025"/>
      <c r="BQ82" s="1026" t="str">
        <f>IF(BP82="","",'#orgDung'!IP83)</f>
        <v/>
      </c>
      <c r="BR82" s="1026" t="str">
        <f>IF(BP82="","",'#orgDung'!IQ83)</f>
        <v/>
      </c>
      <c r="BS82" s="1027" t="str">
        <f>IF(BP82="","",'#orgDung'!IS83)</f>
        <v/>
      </c>
      <c r="BT82" s="1025"/>
      <c r="BU82" s="1026" t="str">
        <f>IF(BT82="","",'#orgDung'!JE83)</f>
        <v/>
      </c>
      <c r="BV82" s="1026" t="str">
        <f>IF(BT82="","",'#orgDung'!JF83)</f>
        <v/>
      </c>
      <c r="BW82" s="1027" t="str">
        <f>IF(BT82="","",'#orgDung'!JH83)</f>
        <v/>
      </c>
      <c r="BX82" s="1025"/>
      <c r="BY82" s="1026" t="str">
        <f>IF(BX82="","",'#orgDung'!JT83)</f>
        <v/>
      </c>
      <c r="BZ82" s="1026" t="str">
        <f>IF(BX82="","",'#orgDung'!JU83)</f>
        <v/>
      </c>
      <c r="CA82" s="1027" t="str">
        <f>IF(BX82="","",'#orgDung'!JW83)</f>
        <v/>
      </c>
      <c r="CB82" s="1025"/>
      <c r="CC82" s="1026" t="str">
        <f>IF(CB82="","",'#orgDung'!KI83)</f>
        <v/>
      </c>
      <c r="CD82" s="1026" t="str">
        <f>IF(CB82="","",'#orgDung'!KJ83)</f>
        <v/>
      </c>
      <c r="CE82" s="1027" t="str">
        <f>IF(CB82="","",'#orgDung'!KL83)</f>
        <v/>
      </c>
      <c r="CF82" s="1025"/>
      <c r="CG82" s="1026" t="str">
        <f>IF(CF82="","",'#orgDung'!KX83)</f>
        <v/>
      </c>
      <c r="CH82" s="1026" t="str">
        <f>IF(CF82="","",'#orgDung'!KY83)</f>
        <v/>
      </c>
      <c r="CI82" s="1027" t="str">
        <f>IF(CF82="","",'#orgDung'!LA83)</f>
        <v/>
      </c>
      <c r="CJ82" s="1025"/>
      <c r="CK82" s="1026" t="str">
        <f>IF(CJ82="","",'#orgDung'!LM83)</f>
        <v/>
      </c>
      <c r="CL82" s="1026" t="str">
        <f>IF(CJ82="","",'#orgDung'!LN83)</f>
        <v/>
      </c>
      <c r="CM82" s="1027" t="str">
        <f>IF(CJ82="","",'#orgDung'!LP83)</f>
        <v/>
      </c>
      <c r="CN82" s="1025"/>
      <c r="CO82" s="1026" t="str">
        <f>IF(CN82="","",'#orgDung'!MB83)</f>
        <v/>
      </c>
      <c r="CP82" s="1026" t="str">
        <f>IF(CN82="","",'#orgDung'!MC83)</f>
        <v/>
      </c>
      <c r="CQ82" s="1027" t="str">
        <f>IF(CN82="","",'#orgDung'!ME83)</f>
        <v/>
      </c>
      <c r="CR82" s="1025"/>
      <c r="CS82" s="1026" t="str">
        <f>IF(CR82="","",'#orgDung'!MQ83)</f>
        <v/>
      </c>
      <c r="CT82" s="1026" t="str">
        <f>IF(CR82="","",'#orgDung'!MR83)</f>
        <v/>
      </c>
      <c r="CU82" s="1027" t="str">
        <f>IF(CR82="","",'#orgDung'!MT83)</f>
        <v/>
      </c>
      <c r="CV82" s="1025"/>
      <c r="CW82" s="1026" t="str">
        <f>IF(CV82="","",'#orgDung'!NF83)</f>
        <v/>
      </c>
      <c r="CX82" s="1026" t="str">
        <f>IF(CV82="","",'#orgDung'!NG83)</f>
        <v/>
      </c>
      <c r="CY82" s="1027" t="str">
        <f>IF(CV82="","",'#orgDung'!NI83)</f>
        <v/>
      </c>
      <c r="CZ82" s="1025"/>
      <c r="DA82" s="1026" t="str">
        <f>IF(CZ82="","",'#orgDung'!NU83)</f>
        <v/>
      </c>
      <c r="DB82" s="1026" t="str">
        <f>IF(CZ82="","",'#orgDung'!NV83)</f>
        <v/>
      </c>
      <c r="DC82" s="1027" t="str">
        <f>IF(CZ82="","",'#orgDung'!NX83)</f>
        <v/>
      </c>
      <c r="DD82" s="1025"/>
      <c r="DE82" s="1026" t="str">
        <f>IF(DD82="","",'#orgDung'!OJ83)</f>
        <v/>
      </c>
      <c r="DF82" s="1026" t="str">
        <f>IF(DD82="","",'#orgDung'!OK83)</f>
        <v/>
      </c>
      <c r="DG82" s="1027" t="str">
        <f>IF(DD82="","",'#orgDung'!OM83)</f>
        <v/>
      </c>
      <c r="DH82" s="1025"/>
      <c r="DI82" s="1026" t="str">
        <f>IF(DH82="","",'#orgDung'!OY83)</f>
        <v/>
      </c>
      <c r="DJ82" s="1026" t="str">
        <f>IF(DH82="","",'#orgDung'!OZ83)</f>
        <v/>
      </c>
      <c r="DK82" s="1027" t="str">
        <f>IF(DH82="","",'#orgDung'!PB83)</f>
        <v/>
      </c>
      <c r="DL82" s="1025"/>
      <c r="DM82" s="1026" t="str">
        <f>IF(DL82="","",'#orgDung'!PN83)</f>
        <v/>
      </c>
      <c r="DN82" s="1026" t="str">
        <f>IF(DL82="","",'#orgDung'!PO83)</f>
        <v/>
      </c>
      <c r="DO82" s="1027" t="str">
        <f>IF(DL82="","",'#orgDung'!PQ83)</f>
        <v/>
      </c>
      <c r="DP82" s="1025"/>
      <c r="DQ82" s="1026" t="str">
        <f>IF(DP82="","",'#orgDung'!QC83)</f>
        <v/>
      </c>
      <c r="DR82" s="1026" t="str">
        <f>IF(DP82="","",'#orgDung'!QD83)</f>
        <v/>
      </c>
      <c r="DS82" s="1027" t="str">
        <f>IF(DP82="","",'#orgDung'!QF83)</f>
        <v/>
      </c>
      <c r="DT82" s="1025"/>
      <c r="DU82" s="1026" t="str">
        <f>IF(DT82="","",'#orgDung'!QR83)</f>
        <v/>
      </c>
      <c r="DV82" s="1026" t="str">
        <f>IF(DT82="","",'#orgDung'!QS83)</f>
        <v/>
      </c>
      <c r="DW82" s="1027" t="str">
        <f>IF(DT82="","",'#orgDung'!QU83)</f>
        <v/>
      </c>
      <c r="DX82" s="1025"/>
      <c r="DY82" s="1026" t="str">
        <f>IF(DX82="","",'#orgDung'!RG83)</f>
        <v/>
      </c>
      <c r="DZ82" s="1026" t="str">
        <f>IF(DX82="","",'#orgDung'!RH83)</f>
        <v/>
      </c>
      <c r="EA82" s="1027" t="str">
        <f>IF(DX82="","",'#orgDung'!RJ83)</f>
        <v/>
      </c>
    </row>
    <row r="83" spans="1:131" ht="15" customHeight="1" x14ac:dyDescent="0.2">
      <c r="A83" s="1195">
        <f>'Flächen u. Kulturen'!A80</f>
        <v>71</v>
      </c>
      <c r="B83" s="1195" t="str">
        <f>IF('Flächen u. Kulturen'!B80="","",'Flächen u. Kulturen'!B80)</f>
        <v/>
      </c>
      <c r="C83" s="1196" t="str">
        <f>IF('Flächen u. Kulturen'!D80="","",'Flächen u. Kulturen'!D80)</f>
        <v/>
      </c>
      <c r="D83" s="1197" t="str">
        <f>IF(C83="","",IF('#BerechnungDBE'!Q75&lt;4,"x",""))</f>
        <v/>
      </c>
      <c r="E83" s="1198" t="str">
        <f>IF(C83="","",VLOOKUP('Flächen u. Kulturen'!L80,'#Zweitfr'!$D$8:$F$28,'#Zweitfr'!$F$1,FALSE))</f>
        <v/>
      </c>
      <c r="F83" s="1199" t="str">
        <f>IF(C83="","",IF('Flächen u. Kulturen'!E80="x",'Flächen u. Kulturen'!P80,"nicht im Betrieb"))</f>
        <v/>
      </c>
      <c r="G83" s="1200" t="str">
        <f>IF(C83="","",IF('#orgDung'!C84=2,"--",IF('#Kürzungen'!$F$2=2,"--",'#orgDung'!R84)))</f>
        <v/>
      </c>
      <c r="H83" s="1200" t="str">
        <f>IF(C83="","",'#orgDung'!U84)</f>
        <v/>
      </c>
      <c r="I83" s="1201" t="str">
        <f>IF(C83="","",IF(COUNT('#orgDung'!RS84:SA84)=0,"OK",TRIM(CONCATENATE('#orgDung'!RS84," ",'#orgDung'!RT84," ",'#orgDung'!RU84," ",'#orgDung'!RV84," ",'#orgDung'!RW84," ",'#orgDung'!RX84," ",'#orgDung'!RY84," ",'#orgDung'!RZ84," ",'#orgDung'!SA84))))</f>
        <v/>
      </c>
      <c r="J83" s="1023"/>
      <c r="K83" s="1024"/>
      <c r="L83" s="1025"/>
      <c r="M83" s="1026" t="str">
        <f>IF(L83="","",'#orgDung'!AN84)</f>
        <v/>
      </c>
      <c r="N83" s="1026" t="str">
        <f>IF(L83="","",'#orgDung'!AO84)</f>
        <v/>
      </c>
      <c r="O83" s="1027" t="str">
        <f>IF(L83="","",'#orgDung'!AQ84)</f>
        <v/>
      </c>
      <c r="P83" s="1025"/>
      <c r="Q83" s="1026" t="str">
        <f>IF(P83="","",'#orgDung'!BC84)</f>
        <v/>
      </c>
      <c r="R83" s="1026" t="str">
        <f>IF(P83="","",'#orgDung'!BD84)</f>
        <v/>
      </c>
      <c r="S83" s="1027" t="str">
        <f>IF(P83="","",'#orgDung'!BF84)</f>
        <v/>
      </c>
      <c r="T83" s="1025"/>
      <c r="U83" s="1026" t="str">
        <f>IF(T83="","",'#orgDung'!BR84)</f>
        <v/>
      </c>
      <c r="V83" s="1026" t="str">
        <f>IF(T83="","",'#orgDung'!BS84)</f>
        <v/>
      </c>
      <c r="W83" s="1027" t="str">
        <f>IF(T83="","",'#orgDung'!BU84)</f>
        <v/>
      </c>
      <c r="X83" s="1025"/>
      <c r="Y83" s="1026" t="str">
        <f>IF(X83="","",'#orgDung'!CG84)</f>
        <v/>
      </c>
      <c r="Z83" s="1026" t="str">
        <f>IF(X83="","",'#orgDung'!CH84)</f>
        <v/>
      </c>
      <c r="AA83" s="1027" t="str">
        <f>IF(X83="","",'#orgDung'!CJ84)</f>
        <v/>
      </c>
      <c r="AB83" s="1025"/>
      <c r="AC83" s="1026" t="str">
        <f>IF(AB83="","",'#orgDung'!CV84)</f>
        <v/>
      </c>
      <c r="AD83" s="1026" t="str">
        <f>IF(AB83="","",'#orgDung'!CW84)</f>
        <v/>
      </c>
      <c r="AE83" s="1027" t="str">
        <f>IF(AB83="","",'#orgDung'!CY84)</f>
        <v/>
      </c>
      <c r="AF83" s="1025"/>
      <c r="AG83" s="1026" t="str">
        <f>IF(AF83="","",'#orgDung'!DK84)</f>
        <v/>
      </c>
      <c r="AH83" s="1026" t="str">
        <f>IF(AF83="","",'#orgDung'!DL84)</f>
        <v/>
      </c>
      <c r="AI83" s="1027" t="str">
        <f>IF(AF83="","",'#orgDung'!DN84)</f>
        <v/>
      </c>
      <c r="AJ83" s="1025"/>
      <c r="AK83" s="1026" t="str">
        <f>IF(AJ83="","",'#orgDung'!DZ84)</f>
        <v/>
      </c>
      <c r="AL83" s="1026" t="str">
        <f>IF(AJ83="","",'#orgDung'!EA84)</f>
        <v/>
      </c>
      <c r="AM83" s="1027" t="str">
        <f>IF(AJ83="","",'#orgDung'!EC84)</f>
        <v/>
      </c>
      <c r="AN83" s="1025"/>
      <c r="AO83" s="1026" t="str">
        <f>IF(AN83="","",'#orgDung'!EO84)</f>
        <v/>
      </c>
      <c r="AP83" s="1026" t="str">
        <f>IF(AN83="","",'#orgDung'!EP84)</f>
        <v/>
      </c>
      <c r="AQ83" s="1027" t="str">
        <f>IF(AN83="","",'#orgDung'!ER84)</f>
        <v/>
      </c>
      <c r="AR83" s="1025"/>
      <c r="AS83" s="1026" t="str">
        <f>IF(AR83="","",'#orgDung'!FD84)</f>
        <v/>
      </c>
      <c r="AT83" s="1026" t="str">
        <f>IF(AR83="","",'#orgDung'!FE84)</f>
        <v/>
      </c>
      <c r="AU83" s="1027" t="str">
        <f>IF(AR83="","",'#orgDung'!FG84)</f>
        <v/>
      </c>
      <c r="AV83" s="1025"/>
      <c r="AW83" s="1026" t="str">
        <f>IF(AV83="","",'#orgDung'!FS84)</f>
        <v/>
      </c>
      <c r="AX83" s="1026" t="str">
        <f>IF(AV83="","",'#orgDung'!FT84)</f>
        <v/>
      </c>
      <c r="AY83" s="1027" t="str">
        <f>IF(AV83="","",'#orgDung'!FV84)</f>
        <v/>
      </c>
      <c r="AZ83" s="1025"/>
      <c r="BA83" s="1026" t="str">
        <f>IF(AZ83="","",'#orgDung'!GH84)</f>
        <v/>
      </c>
      <c r="BB83" s="1026" t="str">
        <f>IF(AZ83="","",'#orgDung'!GI84)</f>
        <v/>
      </c>
      <c r="BC83" s="1027" t="str">
        <f>IF(AZ83="","",'#orgDung'!GK84)</f>
        <v/>
      </c>
      <c r="BD83" s="1025"/>
      <c r="BE83" s="1026" t="str">
        <f>IF(BD83="","",'#orgDung'!GW84)</f>
        <v/>
      </c>
      <c r="BF83" s="1026" t="str">
        <f>IF(BD83="","",'#orgDung'!GX84)</f>
        <v/>
      </c>
      <c r="BG83" s="1027" t="str">
        <f>IF(BD83="","",'#orgDung'!GZ84)</f>
        <v/>
      </c>
      <c r="BH83" s="1025"/>
      <c r="BI83" s="1026" t="str">
        <f>IF(BH83="","",'#orgDung'!HL84)</f>
        <v/>
      </c>
      <c r="BJ83" s="1026" t="str">
        <f>IF(BH83="","",'#orgDung'!HM84)</f>
        <v/>
      </c>
      <c r="BK83" s="1027" t="str">
        <f>IF(BH83="","",'#orgDung'!HO84)</f>
        <v/>
      </c>
      <c r="BL83" s="1025"/>
      <c r="BM83" s="1026" t="str">
        <f>IF(BL83="","",'#orgDung'!IA84)</f>
        <v/>
      </c>
      <c r="BN83" s="1026" t="str">
        <f>IF(BL83="","",'#orgDung'!IB84)</f>
        <v/>
      </c>
      <c r="BO83" s="1027" t="str">
        <f>IF(BL83="","",'#orgDung'!ID84)</f>
        <v/>
      </c>
      <c r="BP83" s="1025"/>
      <c r="BQ83" s="1026" t="str">
        <f>IF(BP83="","",'#orgDung'!IP84)</f>
        <v/>
      </c>
      <c r="BR83" s="1026" t="str">
        <f>IF(BP83="","",'#orgDung'!IQ84)</f>
        <v/>
      </c>
      <c r="BS83" s="1027" t="str">
        <f>IF(BP83="","",'#orgDung'!IS84)</f>
        <v/>
      </c>
      <c r="BT83" s="1025"/>
      <c r="BU83" s="1026" t="str">
        <f>IF(BT83="","",'#orgDung'!JE84)</f>
        <v/>
      </c>
      <c r="BV83" s="1026" t="str">
        <f>IF(BT83="","",'#orgDung'!JF84)</f>
        <v/>
      </c>
      <c r="BW83" s="1027" t="str">
        <f>IF(BT83="","",'#orgDung'!JH84)</f>
        <v/>
      </c>
      <c r="BX83" s="1025"/>
      <c r="BY83" s="1026" t="str">
        <f>IF(BX83="","",'#orgDung'!JT84)</f>
        <v/>
      </c>
      <c r="BZ83" s="1026" t="str">
        <f>IF(BX83="","",'#orgDung'!JU84)</f>
        <v/>
      </c>
      <c r="CA83" s="1027" t="str">
        <f>IF(BX83="","",'#orgDung'!JW84)</f>
        <v/>
      </c>
      <c r="CB83" s="1025"/>
      <c r="CC83" s="1026" t="str">
        <f>IF(CB83="","",'#orgDung'!KI84)</f>
        <v/>
      </c>
      <c r="CD83" s="1026" t="str">
        <f>IF(CB83="","",'#orgDung'!KJ84)</f>
        <v/>
      </c>
      <c r="CE83" s="1027" t="str">
        <f>IF(CB83="","",'#orgDung'!KL84)</f>
        <v/>
      </c>
      <c r="CF83" s="1025"/>
      <c r="CG83" s="1026" t="str">
        <f>IF(CF83="","",'#orgDung'!KX84)</f>
        <v/>
      </c>
      <c r="CH83" s="1026" t="str">
        <f>IF(CF83="","",'#orgDung'!KY84)</f>
        <v/>
      </c>
      <c r="CI83" s="1027" t="str">
        <f>IF(CF83="","",'#orgDung'!LA84)</f>
        <v/>
      </c>
      <c r="CJ83" s="1025"/>
      <c r="CK83" s="1026" t="str">
        <f>IF(CJ83="","",'#orgDung'!LM84)</f>
        <v/>
      </c>
      <c r="CL83" s="1026" t="str">
        <f>IF(CJ83="","",'#orgDung'!LN84)</f>
        <v/>
      </c>
      <c r="CM83" s="1027" t="str">
        <f>IF(CJ83="","",'#orgDung'!LP84)</f>
        <v/>
      </c>
      <c r="CN83" s="1025"/>
      <c r="CO83" s="1026" t="str">
        <f>IF(CN83="","",'#orgDung'!MB84)</f>
        <v/>
      </c>
      <c r="CP83" s="1026" t="str">
        <f>IF(CN83="","",'#orgDung'!MC84)</f>
        <v/>
      </c>
      <c r="CQ83" s="1027" t="str">
        <f>IF(CN83="","",'#orgDung'!ME84)</f>
        <v/>
      </c>
      <c r="CR83" s="1025"/>
      <c r="CS83" s="1026" t="str">
        <f>IF(CR83="","",'#orgDung'!MQ84)</f>
        <v/>
      </c>
      <c r="CT83" s="1026" t="str">
        <f>IF(CR83="","",'#orgDung'!MR84)</f>
        <v/>
      </c>
      <c r="CU83" s="1027" t="str">
        <f>IF(CR83="","",'#orgDung'!MT84)</f>
        <v/>
      </c>
      <c r="CV83" s="1025"/>
      <c r="CW83" s="1026" t="str">
        <f>IF(CV83="","",'#orgDung'!NF84)</f>
        <v/>
      </c>
      <c r="CX83" s="1026" t="str">
        <f>IF(CV83="","",'#orgDung'!NG84)</f>
        <v/>
      </c>
      <c r="CY83" s="1027" t="str">
        <f>IF(CV83="","",'#orgDung'!NI84)</f>
        <v/>
      </c>
      <c r="CZ83" s="1025"/>
      <c r="DA83" s="1026" t="str">
        <f>IF(CZ83="","",'#orgDung'!NU84)</f>
        <v/>
      </c>
      <c r="DB83" s="1026" t="str">
        <f>IF(CZ83="","",'#orgDung'!NV84)</f>
        <v/>
      </c>
      <c r="DC83" s="1027" t="str">
        <f>IF(CZ83="","",'#orgDung'!NX84)</f>
        <v/>
      </c>
      <c r="DD83" s="1025"/>
      <c r="DE83" s="1026" t="str">
        <f>IF(DD83="","",'#orgDung'!OJ84)</f>
        <v/>
      </c>
      <c r="DF83" s="1026" t="str">
        <f>IF(DD83="","",'#orgDung'!OK84)</f>
        <v/>
      </c>
      <c r="DG83" s="1027" t="str">
        <f>IF(DD83="","",'#orgDung'!OM84)</f>
        <v/>
      </c>
      <c r="DH83" s="1025"/>
      <c r="DI83" s="1026" t="str">
        <f>IF(DH83="","",'#orgDung'!OY84)</f>
        <v/>
      </c>
      <c r="DJ83" s="1026" t="str">
        <f>IF(DH83="","",'#orgDung'!OZ84)</f>
        <v/>
      </c>
      <c r="DK83" s="1027" t="str">
        <f>IF(DH83="","",'#orgDung'!PB84)</f>
        <v/>
      </c>
      <c r="DL83" s="1025"/>
      <c r="DM83" s="1026" t="str">
        <f>IF(DL83="","",'#orgDung'!PN84)</f>
        <v/>
      </c>
      <c r="DN83" s="1026" t="str">
        <f>IF(DL83="","",'#orgDung'!PO84)</f>
        <v/>
      </c>
      <c r="DO83" s="1027" t="str">
        <f>IF(DL83="","",'#orgDung'!PQ84)</f>
        <v/>
      </c>
      <c r="DP83" s="1025"/>
      <c r="DQ83" s="1026" t="str">
        <f>IF(DP83="","",'#orgDung'!QC84)</f>
        <v/>
      </c>
      <c r="DR83" s="1026" t="str">
        <f>IF(DP83="","",'#orgDung'!QD84)</f>
        <v/>
      </c>
      <c r="DS83" s="1027" t="str">
        <f>IF(DP83="","",'#orgDung'!QF84)</f>
        <v/>
      </c>
      <c r="DT83" s="1025"/>
      <c r="DU83" s="1026" t="str">
        <f>IF(DT83="","",'#orgDung'!QR84)</f>
        <v/>
      </c>
      <c r="DV83" s="1026" t="str">
        <f>IF(DT83="","",'#orgDung'!QS84)</f>
        <v/>
      </c>
      <c r="DW83" s="1027" t="str">
        <f>IF(DT83="","",'#orgDung'!QU84)</f>
        <v/>
      </c>
      <c r="DX83" s="1025"/>
      <c r="DY83" s="1026" t="str">
        <f>IF(DX83="","",'#orgDung'!RG84)</f>
        <v/>
      </c>
      <c r="DZ83" s="1026" t="str">
        <f>IF(DX83="","",'#orgDung'!RH84)</f>
        <v/>
      </c>
      <c r="EA83" s="1027" t="str">
        <f>IF(DX83="","",'#orgDung'!RJ84)</f>
        <v/>
      </c>
    </row>
    <row r="84" spans="1:131" ht="15" customHeight="1" x14ac:dyDescent="0.2">
      <c r="A84" s="1195">
        <f>'Flächen u. Kulturen'!A81</f>
        <v>72</v>
      </c>
      <c r="B84" s="1195" t="str">
        <f>IF('Flächen u. Kulturen'!B81="","",'Flächen u. Kulturen'!B81)</f>
        <v/>
      </c>
      <c r="C84" s="1196" t="str">
        <f>IF('Flächen u. Kulturen'!D81="","",'Flächen u. Kulturen'!D81)</f>
        <v/>
      </c>
      <c r="D84" s="1197" t="str">
        <f>IF(C84="","",IF('#BerechnungDBE'!Q76&lt;4,"x",""))</f>
        <v/>
      </c>
      <c r="E84" s="1198" t="str">
        <f>IF(C84="","",VLOOKUP('Flächen u. Kulturen'!L81,'#Zweitfr'!$D$8:$F$28,'#Zweitfr'!$F$1,FALSE))</f>
        <v/>
      </c>
      <c r="F84" s="1199" t="str">
        <f>IF(C84="","",IF('Flächen u. Kulturen'!E81="x",'Flächen u. Kulturen'!P81,"nicht im Betrieb"))</f>
        <v/>
      </c>
      <c r="G84" s="1200" t="str">
        <f>IF(C84="","",IF('#orgDung'!C85=2,"--",IF('#Kürzungen'!$F$2=2,"--",'#orgDung'!R85)))</f>
        <v/>
      </c>
      <c r="H84" s="1200" t="str">
        <f>IF(C84="","",'#orgDung'!U85)</f>
        <v/>
      </c>
      <c r="I84" s="1201" t="str">
        <f>IF(C84="","",IF(COUNT('#orgDung'!RS85:SA85)=0,"OK",TRIM(CONCATENATE('#orgDung'!RS85," ",'#orgDung'!RT85," ",'#orgDung'!RU85," ",'#orgDung'!RV85," ",'#orgDung'!RW85," ",'#orgDung'!RX85," ",'#orgDung'!RY85," ",'#orgDung'!RZ85," ",'#orgDung'!SA85))))</f>
        <v/>
      </c>
      <c r="J84" s="1023"/>
      <c r="K84" s="1024"/>
      <c r="L84" s="1025"/>
      <c r="M84" s="1026" t="str">
        <f>IF(L84="","",'#orgDung'!AN85)</f>
        <v/>
      </c>
      <c r="N84" s="1026" t="str">
        <f>IF(L84="","",'#orgDung'!AO85)</f>
        <v/>
      </c>
      <c r="O84" s="1027" t="str">
        <f>IF(L84="","",'#orgDung'!AQ85)</f>
        <v/>
      </c>
      <c r="P84" s="1025"/>
      <c r="Q84" s="1026" t="str">
        <f>IF(P84="","",'#orgDung'!BC85)</f>
        <v/>
      </c>
      <c r="R84" s="1026" t="str">
        <f>IF(P84="","",'#orgDung'!BD85)</f>
        <v/>
      </c>
      <c r="S84" s="1027" t="str">
        <f>IF(P84="","",'#orgDung'!BF85)</f>
        <v/>
      </c>
      <c r="T84" s="1025"/>
      <c r="U84" s="1026" t="str">
        <f>IF(T84="","",'#orgDung'!BR85)</f>
        <v/>
      </c>
      <c r="V84" s="1026" t="str">
        <f>IF(T84="","",'#orgDung'!BS85)</f>
        <v/>
      </c>
      <c r="W84" s="1027" t="str">
        <f>IF(T84="","",'#orgDung'!BU85)</f>
        <v/>
      </c>
      <c r="X84" s="1025"/>
      <c r="Y84" s="1026" t="str">
        <f>IF(X84="","",'#orgDung'!CG85)</f>
        <v/>
      </c>
      <c r="Z84" s="1026" t="str">
        <f>IF(X84="","",'#orgDung'!CH85)</f>
        <v/>
      </c>
      <c r="AA84" s="1027" t="str">
        <f>IF(X84="","",'#orgDung'!CJ85)</f>
        <v/>
      </c>
      <c r="AB84" s="1025"/>
      <c r="AC84" s="1026" t="str">
        <f>IF(AB84="","",'#orgDung'!CV85)</f>
        <v/>
      </c>
      <c r="AD84" s="1026" t="str">
        <f>IF(AB84="","",'#orgDung'!CW85)</f>
        <v/>
      </c>
      <c r="AE84" s="1027" t="str">
        <f>IF(AB84="","",'#orgDung'!CY85)</f>
        <v/>
      </c>
      <c r="AF84" s="1025"/>
      <c r="AG84" s="1026" t="str">
        <f>IF(AF84="","",'#orgDung'!DK85)</f>
        <v/>
      </c>
      <c r="AH84" s="1026" t="str">
        <f>IF(AF84="","",'#orgDung'!DL85)</f>
        <v/>
      </c>
      <c r="AI84" s="1027" t="str">
        <f>IF(AF84="","",'#orgDung'!DN85)</f>
        <v/>
      </c>
      <c r="AJ84" s="1025"/>
      <c r="AK84" s="1026" t="str">
        <f>IF(AJ84="","",'#orgDung'!DZ85)</f>
        <v/>
      </c>
      <c r="AL84" s="1026" t="str">
        <f>IF(AJ84="","",'#orgDung'!EA85)</f>
        <v/>
      </c>
      <c r="AM84" s="1027" t="str">
        <f>IF(AJ84="","",'#orgDung'!EC85)</f>
        <v/>
      </c>
      <c r="AN84" s="1025"/>
      <c r="AO84" s="1026" t="str">
        <f>IF(AN84="","",'#orgDung'!EO85)</f>
        <v/>
      </c>
      <c r="AP84" s="1026" t="str">
        <f>IF(AN84="","",'#orgDung'!EP85)</f>
        <v/>
      </c>
      <c r="AQ84" s="1027" t="str">
        <f>IF(AN84="","",'#orgDung'!ER85)</f>
        <v/>
      </c>
      <c r="AR84" s="1025"/>
      <c r="AS84" s="1026" t="str">
        <f>IF(AR84="","",'#orgDung'!FD85)</f>
        <v/>
      </c>
      <c r="AT84" s="1026" t="str">
        <f>IF(AR84="","",'#orgDung'!FE85)</f>
        <v/>
      </c>
      <c r="AU84" s="1027" t="str">
        <f>IF(AR84="","",'#orgDung'!FG85)</f>
        <v/>
      </c>
      <c r="AV84" s="1025"/>
      <c r="AW84" s="1026" t="str">
        <f>IF(AV84="","",'#orgDung'!FS85)</f>
        <v/>
      </c>
      <c r="AX84" s="1026" t="str">
        <f>IF(AV84="","",'#orgDung'!FT85)</f>
        <v/>
      </c>
      <c r="AY84" s="1027" t="str">
        <f>IF(AV84="","",'#orgDung'!FV85)</f>
        <v/>
      </c>
      <c r="AZ84" s="1025"/>
      <c r="BA84" s="1026" t="str">
        <f>IF(AZ84="","",'#orgDung'!GH85)</f>
        <v/>
      </c>
      <c r="BB84" s="1026" t="str">
        <f>IF(AZ84="","",'#orgDung'!GI85)</f>
        <v/>
      </c>
      <c r="BC84" s="1027" t="str">
        <f>IF(AZ84="","",'#orgDung'!GK85)</f>
        <v/>
      </c>
      <c r="BD84" s="1025"/>
      <c r="BE84" s="1026" t="str">
        <f>IF(BD84="","",'#orgDung'!GW85)</f>
        <v/>
      </c>
      <c r="BF84" s="1026" t="str">
        <f>IF(BD84="","",'#orgDung'!GX85)</f>
        <v/>
      </c>
      <c r="BG84" s="1027" t="str">
        <f>IF(BD84="","",'#orgDung'!GZ85)</f>
        <v/>
      </c>
      <c r="BH84" s="1025"/>
      <c r="BI84" s="1026" t="str">
        <f>IF(BH84="","",'#orgDung'!HL85)</f>
        <v/>
      </c>
      <c r="BJ84" s="1026" t="str">
        <f>IF(BH84="","",'#orgDung'!HM85)</f>
        <v/>
      </c>
      <c r="BK84" s="1027" t="str">
        <f>IF(BH84="","",'#orgDung'!HO85)</f>
        <v/>
      </c>
      <c r="BL84" s="1025"/>
      <c r="BM84" s="1026" t="str">
        <f>IF(BL84="","",'#orgDung'!IA85)</f>
        <v/>
      </c>
      <c r="BN84" s="1026" t="str">
        <f>IF(BL84="","",'#orgDung'!IB85)</f>
        <v/>
      </c>
      <c r="BO84" s="1027" t="str">
        <f>IF(BL84="","",'#orgDung'!ID85)</f>
        <v/>
      </c>
      <c r="BP84" s="1025"/>
      <c r="BQ84" s="1026" t="str">
        <f>IF(BP84="","",'#orgDung'!IP85)</f>
        <v/>
      </c>
      <c r="BR84" s="1026" t="str">
        <f>IF(BP84="","",'#orgDung'!IQ85)</f>
        <v/>
      </c>
      <c r="BS84" s="1027" t="str">
        <f>IF(BP84="","",'#orgDung'!IS85)</f>
        <v/>
      </c>
      <c r="BT84" s="1025"/>
      <c r="BU84" s="1026" t="str">
        <f>IF(BT84="","",'#orgDung'!JE85)</f>
        <v/>
      </c>
      <c r="BV84" s="1026" t="str">
        <f>IF(BT84="","",'#orgDung'!JF85)</f>
        <v/>
      </c>
      <c r="BW84" s="1027" t="str">
        <f>IF(BT84="","",'#orgDung'!JH85)</f>
        <v/>
      </c>
      <c r="BX84" s="1025"/>
      <c r="BY84" s="1026" t="str">
        <f>IF(BX84="","",'#orgDung'!JT85)</f>
        <v/>
      </c>
      <c r="BZ84" s="1026" t="str">
        <f>IF(BX84="","",'#orgDung'!JU85)</f>
        <v/>
      </c>
      <c r="CA84" s="1027" t="str">
        <f>IF(BX84="","",'#orgDung'!JW85)</f>
        <v/>
      </c>
      <c r="CB84" s="1025"/>
      <c r="CC84" s="1026" t="str">
        <f>IF(CB84="","",'#orgDung'!KI85)</f>
        <v/>
      </c>
      <c r="CD84" s="1026" t="str">
        <f>IF(CB84="","",'#orgDung'!KJ85)</f>
        <v/>
      </c>
      <c r="CE84" s="1027" t="str">
        <f>IF(CB84="","",'#orgDung'!KL85)</f>
        <v/>
      </c>
      <c r="CF84" s="1025"/>
      <c r="CG84" s="1026" t="str">
        <f>IF(CF84="","",'#orgDung'!KX85)</f>
        <v/>
      </c>
      <c r="CH84" s="1026" t="str">
        <f>IF(CF84="","",'#orgDung'!KY85)</f>
        <v/>
      </c>
      <c r="CI84" s="1027" t="str">
        <f>IF(CF84="","",'#orgDung'!LA85)</f>
        <v/>
      </c>
      <c r="CJ84" s="1025"/>
      <c r="CK84" s="1026" t="str">
        <f>IF(CJ84="","",'#orgDung'!LM85)</f>
        <v/>
      </c>
      <c r="CL84" s="1026" t="str">
        <f>IF(CJ84="","",'#orgDung'!LN85)</f>
        <v/>
      </c>
      <c r="CM84" s="1027" t="str">
        <f>IF(CJ84="","",'#orgDung'!LP85)</f>
        <v/>
      </c>
      <c r="CN84" s="1025"/>
      <c r="CO84" s="1026" t="str">
        <f>IF(CN84="","",'#orgDung'!MB85)</f>
        <v/>
      </c>
      <c r="CP84" s="1026" t="str">
        <f>IF(CN84="","",'#orgDung'!MC85)</f>
        <v/>
      </c>
      <c r="CQ84" s="1027" t="str">
        <f>IF(CN84="","",'#orgDung'!ME85)</f>
        <v/>
      </c>
      <c r="CR84" s="1025"/>
      <c r="CS84" s="1026" t="str">
        <f>IF(CR84="","",'#orgDung'!MQ85)</f>
        <v/>
      </c>
      <c r="CT84" s="1026" t="str">
        <f>IF(CR84="","",'#orgDung'!MR85)</f>
        <v/>
      </c>
      <c r="CU84" s="1027" t="str">
        <f>IF(CR84="","",'#orgDung'!MT85)</f>
        <v/>
      </c>
      <c r="CV84" s="1025"/>
      <c r="CW84" s="1026" t="str">
        <f>IF(CV84="","",'#orgDung'!NF85)</f>
        <v/>
      </c>
      <c r="CX84" s="1026" t="str">
        <f>IF(CV84="","",'#orgDung'!NG85)</f>
        <v/>
      </c>
      <c r="CY84" s="1027" t="str">
        <f>IF(CV84="","",'#orgDung'!NI85)</f>
        <v/>
      </c>
      <c r="CZ84" s="1025"/>
      <c r="DA84" s="1026" t="str">
        <f>IF(CZ84="","",'#orgDung'!NU85)</f>
        <v/>
      </c>
      <c r="DB84" s="1026" t="str">
        <f>IF(CZ84="","",'#orgDung'!NV85)</f>
        <v/>
      </c>
      <c r="DC84" s="1027" t="str">
        <f>IF(CZ84="","",'#orgDung'!NX85)</f>
        <v/>
      </c>
      <c r="DD84" s="1025"/>
      <c r="DE84" s="1026" t="str">
        <f>IF(DD84="","",'#orgDung'!OJ85)</f>
        <v/>
      </c>
      <c r="DF84" s="1026" t="str">
        <f>IF(DD84="","",'#orgDung'!OK85)</f>
        <v/>
      </c>
      <c r="DG84" s="1027" t="str">
        <f>IF(DD84="","",'#orgDung'!OM85)</f>
        <v/>
      </c>
      <c r="DH84" s="1025"/>
      <c r="DI84" s="1026" t="str">
        <f>IF(DH84="","",'#orgDung'!OY85)</f>
        <v/>
      </c>
      <c r="DJ84" s="1026" t="str">
        <f>IF(DH84="","",'#orgDung'!OZ85)</f>
        <v/>
      </c>
      <c r="DK84" s="1027" t="str">
        <f>IF(DH84="","",'#orgDung'!PB85)</f>
        <v/>
      </c>
      <c r="DL84" s="1025"/>
      <c r="DM84" s="1026" t="str">
        <f>IF(DL84="","",'#orgDung'!PN85)</f>
        <v/>
      </c>
      <c r="DN84" s="1026" t="str">
        <f>IF(DL84="","",'#orgDung'!PO85)</f>
        <v/>
      </c>
      <c r="DO84" s="1027" t="str">
        <f>IF(DL84="","",'#orgDung'!PQ85)</f>
        <v/>
      </c>
      <c r="DP84" s="1025"/>
      <c r="DQ84" s="1026" t="str">
        <f>IF(DP84="","",'#orgDung'!QC85)</f>
        <v/>
      </c>
      <c r="DR84" s="1026" t="str">
        <f>IF(DP84="","",'#orgDung'!QD85)</f>
        <v/>
      </c>
      <c r="DS84" s="1027" t="str">
        <f>IF(DP84="","",'#orgDung'!QF85)</f>
        <v/>
      </c>
      <c r="DT84" s="1025"/>
      <c r="DU84" s="1026" t="str">
        <f>IF(DT84="","",'#orgDung'!QR85)</f>
        <v/>
      </c>
      <c r="DV84" s="1026" t="str">
        <f>IF(DT84="","",'#orgDung'!QS85)</f>
        <v/>
      </c>
      <c r="DW84" s="1027" t="str">
        <f>IF(DT84="","",'#orgDung'!QU85)</f>
        <v/>
      </c>
      <c r="DX84" s="1025"/>
      <c r="DY84" s="1026" t="str">
        <f>IF(DX84="","",'#orgDung'!RG85)</f>
        <v/>
      </c>
      <c r="DZ84" s="1026" t="str">
        <f>IF(DX84="","",'#orgDung'!RH85)</f>
        <v/>
      </c>
      <c r="EA84" s="1027" t="str">
        <f>IF(DX84="","",'#orgDung'!RJ85)</f>
        <v/>
      </c>
    </row>
    <row r="85" spans="1:131" ht="15" customHeight="1" x14ac:dyDescent="0.2">
      <c r="A85" s="1195">
        <f>'Flächen u. Kulturen'!A82</f>
        <v>73</v>
      </c>
      <c r="B85" s="1195" t="str">
        <f>IF('Flächen u. Kulturen'!B82="","",'Flächen u. Kulturen'!B82)</f>
        <v/>
      </c>
      <c r="C85" s="1196" t="str">
        <f>IF('Flächen u. Kulturen'!D82="","",'Flächen u. Kulturen'!D82)</f>
        <v/>
      </c>
      <c r="D85" s="1197" t="str">
        <f>IF(C85="","",IF('#BerechnungDBE'!Q77&lt;4,"x",""))</f>
        <v/>
      </c>
      <c r="E85" s="1198" t="str">
        <f>IF(C85="","",VLOOKUP('Flächen u. Kulturen'!L82,'#Zweitfr'!$D$8:$F$28,'#Zweitfr'!$F$1,FALSE))</f>
        <v/>
      </c>
      <c r="F85" s="1199" t="str">
        <f>IF(C85="","",IF('Flächen u. Kulturen'!E82="x",'Flächen u. Kulturen'!P82,"nicht im Betrieb"))</f>
        <v/>
      </c>
      <c r="G85" s="1200" t="str">
        <f>IF(C85="","",IF('#orgDung'!C86=2,"--",IF('#Kürzungen'!$F$2=2,"--",'#orgDung'!R86)))</f>
        <v/>
      </c>
      <c r="H85" s="1200" t="str">
        <f>IF(C85="","",'#orgDung'!U86)</f>
        <v/>
      </c>
      <c r="I85" s="1201" t="str">
        <f>IF(C85="","",IF(COUNT('#orgDung'!RS86:SA86)=0,"OK",TRIM(CONCATENATE('#orgDung'!RS86," ",'#orgDung'!RT86," ",'#orgDung'!RU86," ",'#orgDung'!RV86," ",'#orgDung'!RW86," ",'#orgDung'!RX86," ",'#orgDung'!RY86," ",'#orgDung'!RZ86," ",'#orgDung'!SA86))))</f>
        <v/>
      </c>
      <c r="J85" s="1023"/>
      <c r="K85" s="1024"/>
      <c r="L85" s="1025"/>
      <c r="M85" s="1026" t="str">
        <f>IF(L85="","",'#orgDung'!AN86)</f>
        <v/>
      </c>
      <c r="N85" s="1026" t="str">
        <f>IF(L85="","",'#orgDung'!AO86)</f>
        <v/>
      </c>
      <c r="O85" s="1027" t="str">
        <f>IF(L85="","",'#orgDung'!AQ86)</f>
        <v/>
      </c>
      <c r="P85" s="1025"/>
      <c r="Q85" s="1026" t="str">
        <f>IF(P85="","",'#orgDung'!BC86)</f>
        <v/>
      </c>
      <c r="R85" s="1026" t="str">
        <f>IF(P85="","",'#orgDung'!BD86)</f>
        <v/>
      </c>
      <c r="S85" s="1027" t="str">
        <f>IF(P85="","",'#orgDung'!BF86)</f>
        <v/>
      </c>
      <c r="T85" s="1025"/>
      <c r="U85" s="1026" t="str">
        <f>IF(T85="","",'#orgDung'!BR86)</f>
        <v/>
      </c>
      <c r="V85" s="1026" t="str">
        <f>IF(T85="","",'#orgDung'!BS86)</f>
        <v/>
      </c>
      <c r="W85" s="1027" t="str">
        <f>IF(T85="","",'#orgDung'!BU86)</f>
        <v/>
      </c>
      <c r="X85" s="1025"/>
      <c r="Y85" s="1026" t="str">
        <f>IF(X85="","",'#orgDung'!CG86)</f>
        <v/>
      </c>
      <c r="Z85" s="1026" t="str">
        <f>IF(X85="","",'#orgDung'!CH86)</f>
        <v/>
      </c>
      <c r="AA85" s="1027" t="str">
        <f>IF(X85="","",'#orgDung'!CJ86)</f>
        <v/>
      </c>
      <c r="AB85" s="1025"/>
      <c r="AC85" s="1026" t="str">
        <f>IF(AB85="","",'#orgDung'!CV86)</f>
        <v/>
      </c>
      <c r="AD85" s="1026" t="str">
        <f>IF(AB85="","",'#orgDung'!CW86)</f>
        <v/>
      </c>
      <c r="AE85" s="1027" t="str">
        <f>IF(AB85="","",'#orgDung'!CY86)</f>
        <v/>
      </c>
      <c r="AF85" s="1025"/>
      <c r="AG85" s="1026" t="str">
        <f>IF(AF85="","",'#orgDung'!DK86)</f>
        <v/>
      </c>
      <c r="AH85" s="1026" t="str">
        <f>IF(AF85="","",'#orgDung'!DL86)</f>
        <v/>
      </c>
      <c r="AI85" s="1027" t="str">
        <f>IF(AF85="","",'#orgDung'!DN86)</f>
        <v/>
      </c>
      <c r="AJ85" s="1025"/>
      <c r="AK85" s="1026" t="str">
        <f>IF(AJ85="","",'#orgDung'!DZ86)</f>
        <v/>
      </c>
      <c r="AL85" s="1026" t="str">
        <f>IF(AJ85="","",'#orgDung'!EA86)</f>
        <v/>
      </c>
      <c r="AM85" s="1027" t="str">
        <f>IF(AJ85="","",'#orgDung'!EC86)</f>
        <v/>
      </c>
      <c r="AN85" s="1025"/>
      <c r="AO85" s="1026" t="str">
        <f>IF(AN85="","",'#orgDung'!EO86)</f>
        <v/>
      </c>
      <c r="AP85" s="1026" t="str">
        <f>IF(AN85="","",'#orgDung'!EP86)</f>
        <v/>
      </c>
      <c r="AQ85" s="1027" t="str">
        <f>IF(AN85="","",'#orgDung'!ER86)</f>
        <v/>
      </c>
      <c r="AR85" s="1025"/>
      <c r="AS85" s="1026" t="str">
        <f>IF(AR85="","",'#orgDung'!FD86)</f>
        <v/>
      </c>
      <c r="AT85" s="1026" t="str">
        <f>IF(AR85="","",'#orgDung'!FE86)</f>
        <v/>
      </c>
      <c r="AU85" s="1027" t="str">
        <f>IF(AR85="","",'#orgDung'!FG86)</f>
        <v/>
      </c>
      <c r="AV85" s="1025"/>
      <c r="AW85" s="1026" t="str">
        <f>IF(AV85="","",'#orgDung'!FS86)</f>
        <v/>
      </c>
      <c r="AX85" s="1026" t="str">
        <f>IF(AV85="","",'#orgDung'!FT86)</f>
        <v/>
      </c>
      <c r="AY85" s="1027" t="str">
        <f>IF(AV85="","",'#orgDung'!FV86)</f>
        <v/>
      </c>
      <c r="AZ85" s="1025"/>
      <c r="BA85" s="1026" t="str">
        <f>IF(AZ85="","",'#orgDung'!GH86)</f>
        <v/>
      </c>
      <c r="BB85" s="1026" t="str">
        <f>IF(AZ85="","",'#orgDung'!GI86)</f>
        <v/>
      </c>
      <c r="BC85" s="1027" t="str">
        <f>IF(AZ85="","",'#orgDung'!GK86)</f>
        <v/>
      </c>
      <c r="BD85" s="1025"/>
      <c r="BE85" s="1026" t="str">
        <f>IF(BD85="","",'#orgDung'!GW86)</f>
        <v/>
      </c>
      <c r="BF85" s="1026" t="str">
        <f>IF(BD85="","",'#orgDung'!GX86)</f>
        <v/>
      </c>
      <c r="BG85" s="1027" t="str">
        <f>IF(BD85="","",'#orgDung'!GZ86)</f>
        <v/>
      </c>
      <c r="BH85" s="1025"/>
      <c r="BI85" s="1026" t="str">
        <f>IF(BH85="","",'#orgDung'!HL86)</f>
        <v/>
      </c>
      <c r="BJ85" s="1026" t="str">
        <f>IF(BH85="","",'#orgDung'!HM86)</f>
        <v/>
      </c>
      <c r="BK85" s="1027" t="str">
        <f>IF(BH85="","",'#orgDung'!HO86)</f>
        <v/>
      </c>
      <c r="BL85" s="1025"/>
      <c r="BM85" s="1026" t="str">
        <f>IF(BL85="","",'#orgDung'!IA86)</f>
        <v/>
      </c>
      <c r="BN85" s="1026" t="str">
        <f>IF(BL85="","",'#orgDung'!IB86)</f>
        <v/>
      </c>
      <c r="BO85" s="1027" t="str">
        <f>IF(BL85="","",'#orgDung'!ID86)</f>
        <v/>
      </c>
      <c r="BP85" s="1025"/>
      <c r="BQ85" s="1026" t="str">
        <f>IF(BP85="","",'#orgDung'!IP86)</f>
        <v/>
      </c>
      <c r="BR85" s="1026" t="str">
        <f>IF(BP85="","",'#orgDung'!IQ86)</f>
        <v/>
      </c>
      <c r="BS85" s="1027" t="str">
        <f>IF(BP85="","",'#orgDung'!IS86)</f>
        <v/>
      </c>
      <c r="BT85" s="1025"/>
      <c r="BU85" s="1026" t="str">
        <f>IF(BT85="","",'#orgDung'!JE86)</f>
        <v/>
      </c>
      <c r="BV85" s="1026" t="str">
        <f>IF(BT85="","",'#orgDung'!JF86)</f>
        <v/>
      </c>
      <c r="BW85" s="1027" t="str">
        <f>IF(BT85="","",'#orgDung'!JH86)</f>
        <v/>
      </c>
      <c r="BX85" s="1025"/>
      <c r="BY85" s="1026" t="str">
        <f>IF(BX85="","",'#orgDung'!JT86)</f>
        <v/>
      </c>
      <c r="BZ85" s="1026" t="str">
        <f>IF(BX85="","",'#orgDung'!JU86)</f>
        <v/>
      </c>
      <c r="CA85" s="1027" t="str">
        <f>IF(BX85="","",'#orgDung'!JW86)</f>
        <v/>
      </c>
      <c r="CB85" s="1025"/>
      <c r="CC85" s="1026" t="str">
        <f>IF(CB85="","",'#orgDung'!KI86)</f>
        <v/>
      </c>
      <c r="CD85" s="1026" t="str">
        <f>IF(CB85="","",'#orgDung'!KJ86)</f>
        <v/>
      </c>
      <c r="CE85" s="1027" t="str">
        <f>IF(CB85="","",'#orgDung'!KL86)</f>
        <v/>
      </c>
      <c r="CF85" s="1025"/>
      <c r="CG85" s="1026" t="str">
        <f>IF(CF85="","",'#orgDung'!KX86)</f>
        <v/>
      </c>
      <c r="CH85" s="1026" t="str">
        <f>IF(CF85="","",'#orgDung'!KY86)</f>
        <v/>
      </c>
      <c r="CI85" s="1027" t="str">
        <f>IF(CF85="","",'#orgDung'!LA86)</f>
        <v/>
      </c>
      <c r="CJ85" s="1025"/>
      <c r="CK85" s="1026" t="str">
        <f>IF(CJ85="","",'#orgDung'!LM86)</f>
        <v/>
      </c>
      <c r="CL85" s="1026" t="str">
        <f>IF(CJ85="","",'#orgDung'!LN86)</f>
        <v/>
      </c>
      <c r="CM85" s="1027" t="str">
        <f>IF(CJ85="","",'#orgDung'!LP86)</f>
        <v/>
      </c>
      <c r="CN85" s="1025"/>
      <c r="CO85" s="1026" t="str">
        <f>IF(CN85="","",'#orgDung'!MB86)</f>
        <v/>
      </c>
      <c r="CP85" s="1026" t="str">
        <f>IF(CN85="","",'#orgDung'!MC86)</f>
        <v/>
      </c>
      <c r="CQ85" s="1027" t="str">
        <f>IF(CN85="","",'#orgDung'!ME86)</f>
        <v/>
      </c>
      <c r="CR85" s="1025"/>
      <c r="CS85" s="1026" t="str">
        <f>IF(CR85="","",'#orgDung'!MQ86)</f>
        <v/>
      </c>
      <c r="CT85" s="1026" t="str">
        <f>IF(CR85="","",'#orgDung'!MR86)</f>
        <v/>
      </c>
      <c r="CU85" s="1027" t="str">
        <f>IF(CR85="","",'#orgDung'!MT86)</f>
        <v/>
      </c>
      <c r="CV85" s="1025"/>
      <c r="CW85" s="1026" t="str">
        <f>IF(CV85="","",'#orgDung'!NF86)</f>
        <v/>
      </c>
      <c r="CX85" s="1026" t="str">
        <f>IF(CV85="","",'#orgDung'!NG86)</f>
        <v/>
      </c>
      <c r="CY85" s="1027" t="str">
        <f>IF(CV85="","",'#orgDung'!NI86)</f>
        <v/>
      </c>
      <c r="CZ85" s="1025"/>
      <c r="DA85" s="1026" t="str">
        <f>IF(CZ85="","",'#orgDung'!NU86)</f>
        <v/>
      </c>
      <c r="DB85" s="1026" t="str">
        <f>IF(CZ85="","",'#orgDung'!NV86)</f>
        <v/>
      </c>
      <c r="DC85" s="1027" t="str">
        <f>IF(CZ85="","",'#orgDung'!NX86)</f>
        <v/>
      </c>
      <c r="DD85" s="1025"/>
      <c r="DE85" s="1026" t="str">
        <f>IF(DD85="","",'#orgDung'!OJ86)</f>
        <v/>
      </c>
      <c r="DF85" s="1026" t="str">
        <f>IF(DD85="","",'#orgDung'!OK86)</f>
        <v/>
      </c>
      <c r="DG85" s="1027" t="str">
        <f>IF(DD85="","",'#orgDung'!OM86)</f>
        <v/>
      </c>
      <c r="DH85" s="1025"/>
      <c r="DI85" s="1026" t="str">
        <f>IF(DH85="","",'#orgDung'!OY86)</f>
        <v/>
      </c>
      <c r="DJ85" s="1026" t="str">
        <f>IF(DH85="","",'#orgDung'!OZ86)</f>
        <v/>
      </c>
      <c r="DK85" s="1027" t="str">
        <f>IF(DH85="","",'#orgDung'!PB86)</f>
        <v/>
      </c>
      <c r="DL85" s="1025"/>
      <c r="DM85" s="1026" t="str">
        <f>IF(DL85="","",'#orgDung'!PN86)</f>
        <v/>
      </c>
      <c r="DN85" s="1026" t="str">
        <f>IF(DL85="","",'#orgDung'!PO86)</f>
        <v/>
      </c>
      <c r="DO85" s="1027" t="str">
        <f>IF(DL85="","",'#orgDung'!PQ86)</f>
        <v/>
      </c>
      <c r="DP85" s="1025"/>
      <c r="DQ85" s="1026" t="str">
        <f>IF(DP85="","",'#orgDung'!QC86)</f>
        <v/>
      </c>
      <c r="DR85" s="1026" t="str">
        <f>IF(DP85="","",'#orgDung'!QD86)</f>
        <v/>
      </c>
      <c r="DS85" s="1027" t="str">
        <f>IF(DP85="","",'#orgDung'!QF86)</f>
        <v/>
      </c>
      <c r="DT85" s="1025"/>
      <c r="DU85" s="1026" t="str">
        <f>IF(DT85="","",'#orgDung'!QR86)</f>
        <v/>
      </c>
      <c r="DV85" s="1026" t="str">
        <f>IF(DT85="","",'#orgDung'!QS86)</f>
        <v/>
      </c>
      <c r="DW85" s="1027" t="str">
        <f>IF(DT85="","",'#orgDung'!QU86)</f>
        <v/>
      </c>
      <c r="DX85" s="1025"/>
      <c r="DY85" s="1026" t="str">
        <f>IF(DX85="","",'#orgDung'!RG86)</f>
        <v/>
      </c>
      <c r="DZ85" s="1026" t="str">
        <f>IF(DX85="","",'#orgDung'!RH86)</f>
        <v/>
      </c>
      <c r="EA85" s="1027" t="str">
        <f>IF(DX85="","",'#orgDung'!RJ86)</f>
        <v/>
      </c>
    </row>
    <row r="86" spans="1:131" ht="15" customHeight="1" x14ac:dyDescent="0.2">
      <c r="A86" s="1195">
        <f>'Flächen u. Kulturen'!A83</f>
        <v>74</v>
      </c>
      <c r="B86" s="1195" t="str">
        <f>IF('Flächen u. Kulturen'!B83="","",'Flächen u. Kulturen'!B83)</f>
        <v/>
      </c>
      <c r="C86" s="1196" t="str">
        <f>IF('Flächen u. Kulturen'!D83="","",'Flächen u. Kulturen'!D83)</f>
        <v/>
      </c>
      <c r="D86" s="1197" t="str">
        <f>IF(C86="","",IF('#BerechnungDBE'!Q78&lt;4,"x",""))</f>
        <v/>
      </c>
      <c r="E86" s="1198" t="str">
        <f>IF(C86="","",VLOOKUP('Flächen u. Kulturen'!L83,'#Zweitfr'!$D$8:$F$28,'#Zweitfr'!$F$1,FALSE))</f>
        <v/>
      </c>
      <c r="F86" s="1199" t="str">
        <f>IF(C86="","",IF('Flächen u. Kulturen'!E83="x",'Flächen u. Kulturen'!P83,"nicht im Betrieb"))</f>
        <v/>
      </c>
      <c r="G86" s="1200" t="str">
        <f>IF(C86="","",IF('#orgDung'!C87=2,"--",IF('#Kürzungen'!$F$2=2,"--",'#orgDung'!R87)))</f>
        <v/>
      </c>
      <c r="H86" s="1200" t="str">
        <f>IF(C86="","",'#orgDung'!U87)</f>
        <v/>
      </c>
      <c r="I86" s="1201" t="str">
        <f>IF(C86="","",IF(COUNT('#orgDung'!RS87:SA87)=0,"OK",TRIM(CONCATENATE('#orgDung'!RS87," ",'#orgDung'!RT87," ",'#orgDung'!RU87," ",'#orgDung'!RV87," ",'#orgDung'!RW87," ",'#orgDung'!RX87," ",'#orgDung'!RY87," ",'#orgDung'!RZ87," ",'#orgDung'!SA87))))</f>
        <v/>
      </c>
      <c r="J86" s="1023"/>
      <c r="K86" s="1024"/>
      <c r="L86" s="1025"/>
      <c r="M86" s="1026" t="str">
        <f>IF(L86="","",'#orgDung'!AN87)</f>
        <v/>
      </c>
      <c r="N86" s="1026" t="str">
        <f>IF(L86="","",'#orgDung'!AO87)</f>
        <v/>
      </c>
      <c r="O86" s="1027" t="str">
        <f>IF(L86="","",'#orgDung'!AQ87)</f>
        <v/>
      </c>
      <c r="P86" s="1025"/>
      <c r="Q86" s="1026" t="str">
        <f>IF(P86="","",'#orgDung'!BC87)</f>
        <v/>
      </c>
      <c r="R86" s="1026" t="str">
        <f>IF(P86="","",'#orgDung'!BD87)</f>
        <v/>
      </c>
      <c r="S86" s="1027" t="str">
        <f>IF(P86="","",'#orgDung'!BF87)</f>
        <v/>
      </c>
      <c r="T86" s="1025"/>
      <c r="U86" s="1026" t="str">
        <f>IF(T86="","",'#orgDung'!BR87)</f>
        <v/>
      </c>
      <c r="V86" s="1026" t="str">
        <f>IF(T86="","",'#orgDung'!BS87)</f>
        <v/>
      </c>
      <c r="W86" s="1027" t="str">
        <f>IF(T86="","",'#orgDung'!BU87)</f>
        <v/>
      </c>
      <c r="X86" s="1025"/>
      <c r="Y86" s="1026" t="str">
        <f>IF(X86="","",'#orgDung'!CG87)</f>
        <v/>
      </c>
      <c r="Z86" s="1026" t="str">
        <f>IF(X86="","",'#orgDung'!CH87)</f>
        <v/>
      </c>
      <c r="AA86" s="1027" t="str">
        <f>IF(X86="","",'#orgDung'!CJ87)</f>
        <v/>
      </c>
      <c r="AB86" s="1025"/>
      <c r="AC86" s="1026" t="str">
        <f>IF(AB86="","",'#orgDung'!CV87)</f>
        <v/>
      </c>
      <c r="AD86" s="1026" t="str">
        <f>IF(AB86="","",'#orgDung'!CW87)</f>
        <v/>
      </c>
      <c r="AE86" s="1027" t="str">
        <f>IF(AB86="","",'#orgDung'!CY87)</f>
        <v/>
      </c>
      <c r="AF86" s="1025"/>
      <c r="AG86" s="1026" t="str">
        <f>IF(AF86="","",'#orgDung'!DK87)</f>
        <v/>
      </c>
      <c r="AH86" s="1026" t="str">
        <f>IF(AF86="","",'#orgDung'!DL87)</f>
        <v/>
      </c>
      <c r="AI86" s="1027" t="str">
        <f>IF(AF86="","",'#orgDung'!DN87)</f>
        <v/>
      </c>
      <c r="AJ86" s="1025"/>
      <c r="AK86" s="1026" t="str">
        <f>IF(AJ86="","",'#orgDung'!DZ87)</f>
        <v/>
      </c>
      <c r="AL86" s="1026" t="str">
        <f>IF(AJ86="","",'#orgDung'!EA87)</f>
        <v/>
      </c>
      <c r="AM86" s="1027" t="str">
        <f>IF(AJ86="","",'#orgDung'!EC87)</f>
        <v/>
      </c>
      <c r="AN86" s="1025"/>
      <c r="AO86" s="1026" t="str">
        <f>IF(AN86="","",'#orgDung'!EO87)</f>
        <v/>
      </c>
      <c r="AP86" s="1026" t="str">
        <f>IF(AN86="","",'#orgDung'!EP87)</f>
        <v/>
      </c>
      <c r="AQ86" s="1027" t="str">
        <f>IF(AN86="","",'#orgDung'!ER87)</f>
        <v/>
      </c>
      <c r="AR86" s="1025"/>
      <c r="AS86" s="1026" t="str">
        <f>IF(AR86="","",'#orgDung'!FD87)</f>
        <v/>
      </c>
      <c r="AT86" s="1026" t="str">
        <f>IF(AR86="","",'#orgDung'!FE87)</f>
        <v/>
      </c>
      <c r="AU86" s="1027" t="str">
        <f>IF(AR86="","",'#orgDung'!FG87)</f>
        <v/>
      </c>
      <c r="AV86" s="1025"/>
      <c r="AW86" s="1026" t="str">
        <f>IF(AV86="","",'#orgDung'!FS87)</f>
        <v/>
      </c>
      <c r="AX86" s="1026" t="str">
        <f>IF(AV86="","",'#orgDung'!FT87)</f>
        <v/>
      </c>
      <c r="AY86" s="1027" t="str">
        <f>IF(AV86="","",'#orgDung'!FV87)</f>
        <v/>
      </c>
      <c r="AZ86" s="1025"/>
      <c r="BA86" s="1026" t="str">
        <f>IF(AZ86="","",'#orgDung'!GH87)</f>
        <v/>
      </c>
      <c r="BB86" s="1026" t="str">
        <f>IF(AZ86="","",'#orgDung'!GI87)</f>
        <v/>
      </c>
      <c r="BC86" s="1027" t="str">
        <f>IF(AZ86="","",'#orgDung'!GK87)</f>
        <v/>
      </c>
      <c r="BD86" s="1025"/>
      <c r="BE86" s="1026" t="str">
        <f>IF(BD86="","",'#orgDung'!GW87)</f>
        <v/>
      </c>
      <c r="BF86" s="1026" t="str">
        <f>IF(BD86="","",'#orgDung'!GX87)</f>
        <v/>
      </c>
      <c r="BG86" s="1027" t="str">
        <f>IF(BD86="","",'#orgDung'!GZ87)</f>
        <v/>
      </c>
      <c r="BH86" s="1025"/>
      <c r="BI86" s="1026" t="str">
        <f>IF(BH86="","",'#orgDung'!HL87)</f>
        <v/>
      </c>
      <c r="BJ86" s="1026" t="str">
        <f>IF(BH86="","",'#orgDung'!HM87)</f>
        <v/>
      </c>
      <c r="BK86" s="1027" t="str">
        <f>IF(BH86="","",'#orgDung'!HO87)</f>
        <v/>
      </c>
      <c r="BL86" s="1025"/>
      <c r="BM86" s="1026" t="str">
        <f>IF(BL86="","",'#orgDung'!IA87)</f>
        <v/>
      </c>
      <c r="BN86" s="1026" t="str">
        <f>IF(BL86="","",'#orgDung'!IB87)</f>
        <v/>
      </c>
      <c r="BO86" s="1027" t="str">
        <f>IF(BL86="","",'#orgDung'!ID87)</f>
        <v/>
      </c>
      <c r="BP86" s="1025"/>
      <c r="BQ86" s="1026" t="str">
        <f>IF(BP86="","",'#orgDung'!IP87)</f>
        <v/>
      </c>
      <c r="BR86" s="1026" t="str">
        <f>IF(BP86="","",'#orgDung'!IQ87)</f>
        <v/>
      </c>
      <c r="BS86" s="1027" t="str">
        <f>IF(BP86="","",'#orgDung'!IS87)</f>
        <v/>
      </c>
      <c r="BT86" s="1025"/>
      <c r="BU86" s="1026" t="str">
        <f>IF(BT86="","",'#orgDung'!JE87)</f>
        <v/>
      </c>
      <c r="BV86" s="1026" t="str">
        <f>IF(BT86="","",'#orgDung'!JF87)</f>
        <v/>
      </c>
      <c r="BW86" s="1027" t="str">
        <f>IF(BT86="","",'#orgDung'!JH87)</f>
        <v/>
      </c>
      <c r="BX86" s="1025"/>
      <c r="BY86" s="1026" t="str">
        <f>IF(BX86="","",'#orgDung'!JT87)</f>
        <v/>
      </c>
      <c r="BZ86" s="1026" t="str">
        <f>IF(BX86="","",'#orgDung'!JU87)</f>
        <v/>
      </c>
      <c r="CA86" s="1027" t="str">
        <f>IF(BX86="","",'#orgDung'!JW87)</f>
        <v/>
      </c>
      <c r="CB86" s="1025"/>
      <c r="CC86" s="1026" t="str">
        <f>IF(CB86="","",'#orgDung'!KI87)</f>
        <v/>
      </c>
      <c r="CD86" s="1026" t="str">
        <f>IF(CB86="","",'#orgDung'!KJ87)</f>
        <v/>
      </c>
      <c r="CE86" s="1027" t="str">
        <f>IF(CB86="","",'#orgDung'!KL87)</f>
        <v/>
      </c>
      <c r="CF86" s="1025"/>
      <c r="CG86" s="1026" t="str">
        <f>IF(CF86="","",'#orgDung'!KX87)</f>
        <v/>
      </c>
      <c r="CH86" s="1026" t="str">
        <f>IF(CF86="","",'#orgDung'!KY87)</f>
        <v/>
      </c>
      <c r="CI86" s="1027" t="str">
        <f>IF(CF86="","",'#orgDung'!LA87)</f>
        <v/>
      </c>
      <c r="CJ86" s="1025"/>
      <c r="CK86" s="1026" t="str">
        <f>IF(CJ86="","",'#orgDung'!LM87)</f>
        <v/>
      </c>
      <c r="CL86" s="1026" t="str">
        <f>IF(CJ86="","",'#orgDung'!LN87)</f>
        <v/>
      </c>
      <c r="CM86" s="1027" t="str">
        <f>IF(CJ86="","",'#orgDung'!LP87)</f>
        <v/>
      </c>
      <c r="CN86" s="1025"/>
      <c r="CO86" s="1026" t="str">
        <f>IF(CN86="","",'#orgDung'!MB87)</f>
        <v/>
      </c>
      <c r="CP86" s="1026" t="str">
        <f>IF(CN86="","",'#orgDung'!MC87)</f>
        <v/>
      </c>
      <c r="CQ86" s="1027" t="str">
        <f>IF(CN86="","",'#orgDung'!ME87)</f>
        <v/>
      </c>
      <c r="CR86" s="1025"/>
      <c r="CS86" s="1026" t="str">
        <f>IF(CR86="","",'#orgDung'!MQ87)</f>
        <v/>
      </c>
      <c r="CT86" s="1026" t="str">
        <f>IF(CR86="","",'#orgDung'!MR87)</f>
        <v/>
      </c>
      <c r="CU86" s="1027" t="str">
        <f>IF(CR86="","",'#orgDung'!MT87)</f>
        <v/>
      </c>
      <c r="CV86" s="1025"/>
      <c r="CW86" s="1026" t="str">
        <f>IF(CV86="","",'#orgDung'!NF87)</f>
        <v/>
      </c>
      <c r="CX86" s="1026" t="str">
        <f>IF(CV86="","",'#orgDung'!NG87)</f>
        <v/>
      </c>
      <c r="CY86" s="1027" t="str">
        <f>IF(CV86="","",'#orgDung'!NI87)</f>
        <v/>
      </c>
      <c r="CZ86" s="1025"/>
      <c r="DA86" s="1026" t="str">
        <f>IF(CZ86="","",'#orgDung'!NU87)</f>
        <v/>
      </c>
      <c r="DB86" s="1026" t="str">
        <f>IF(CZ86="","",'#orgDung'!NV87)</f>
        <v/>
      </c>
      <c r="DC86" s="1027" t="str">
        <f>IF(CZ86="","",'#orgDung'!NX87)</f>
        <v/>
      </c>
      <c r="DD86" s="1025"/>
      <c r="DE86" s="1026" t="str">
        <f>IF(DD86="","",'#orgDung'!OJ87)</f>
        <v/>
      </c>
      <c r="DF86" s="1026" t="str">
        <f>IF(DD86="","",'#orgDung'!OK87)</f>
        <v/>
      </c>
      <c r="DG86" s="1027" t="str">
        <f>IF(DD86="","",'#orgDung'!OM87)</f>
        <v/>
      </c>
      <c r="DH86" s="1025"/>
      <c r="DI86" s="1026" t="str">
        <f>IF(DH86="","",'#orgDung'!OY87)</f>
        <v/>
      </c>
      <c r="DJ86" s="1026" t="str">
        <f>IF(DH86="","",'#orgDung'!OZ87)</f>
        <v/>
      </c>
      <c r="DK86" s="1027" t="str">
        <f>IF(DH86="","",'#orgDung'!PB87)</f>
        <v/>
      </c>
      <c r="DL86" s="1025"/>
      <c r="DM86" s="1026" t="str">
        <f>IF(DL86="","",'#orgDung'!PN87)</f>
        <v/>
      </c>
      <c r="DN86" s="1026" t="str">
        <f>IF(DL86="","",'#orgDung'!PO87)</f>
        <v/>
      </c>
      <c r="DO86" s="1027" t="str">
        <f>IF(DL86="","",'#orgDung'!PQ87)</f>
        <v/>
      </c>
      <c r="DP86" s="1025"/>
      <c r="DQ86" s="1026" t="str">
        <f>IF(DP86="","",'#orgDung'!QC87)</f>
        <v/>
      </c>
      <c r="DR86" s="1026" t="str">
        <f>IF(DP86="","",'#orgDung'!QD87)</f>
        <v/>
      </c>
      <c r="DS86" s="1027" t="str">
        <f>IF(DP86="","",'#orgDung'!QF87)</f>
        <v/>
      </c>
      <c r="DT86" s="1025"/>
      <c r="DU86" s="1026" t="str">
        <f>IF(DT86="","",'#orgDung'!QR87)</f>
        <v/>
      </c>
      <c r="DV86" s="1026" t="str">
        <f>IF(DT86="","",'#orgDung'!QS87)</f>
        <v/>
      </c>
      <c r="DW86" s="1027" t="str">
        <f>IF(DT86="","",'#orgDung'!QU87)</f>
        <v/>
      </c>
      <c r="DX86" s="1025"/>
      <c r="DY86" s="1026" t="str">
        <f>IF(DX86="","",'#orgDung'!RG87)</f>
        <v/>
      </c>
      <c r="DZ86" s="1026" t="str">
        <f>IF(DX86="","",'#orgDung'!RH87)</f>
        <v/>
      </c>
      <c r="EA86" s="1027" t="str">
        <f>IF(DX86="","",'#orgDung'!RJ87)</f>
        <v/>
      </c>
    </row>
    <row r="87" spans="1:131" ht="15" customHeight="1" x14ac:dyDescent="0.2">
      <c r="A87" s="1195">
        <f>'Flächen u. Kulturen'!A84</f>
        <v>75</v>
      </c>
      <c r="B87" s="1195" t="str">
        <f>IF('Flächen u. Kulturen'!B84="","",'Flächen u. Kulturen'!B84)</f>
        <v/>
      </c>
      <c r="C87" s="1196" t="str">
        <f>IF('Flächen u. Kulturen'!D84="","",'Flächen u. Kulturen'!D84)</f>
        <v/>
      </c>
      <c r="D87" s="1197" t="str">
        <f>IF(C87="","",IF('#BerechnungDBE'!Q79&lt;4,"x",""))</f>
        <v/>
      </c>
      <c r="E87" s="1198" t="str">
        <f>IF(C87="","",VLOOKUP('Flächen u. Kulturen'!L84,'#Zweitfr'!$D$8:$F$28,'#Zweitfr'!$F$1,FALSE))</f>
        <v/>
      </c>
      <c r="F87" s="1199" t="str">
        <f>IF(C87="","",IF('Flächen u. Kulturen'!E84="x",'Flächen u. Kulturen'!P84,"nicht im Betrieb"))</f>
        <v/>
      </c>
      <c r="G87" s="1200" t="str">
        <f>IF(C87="","",IF('#orgDung'!C88=2,"--",IF('#Kürzungen'!$F$2=2,"--",'#orgDung'!R88)))</f>
        <v/>
      </c>
      <c r="H87" s="1200" t="str">
        <f>IF(C87="","",'#orgDung'!U88)</f>
        <v/>
      </c>
      <c r="I87" s="1201" t="str">
        <f>IF(C87="","",IF(COUNT('#orgDung'!RS88:SA88)=0,"OK",TRIM(CONCATENATE('#orgDung'!RS88," ",'#orgDung'!RT88," ",'#orgDung'!RU88," ",'#orgDung'!RV88," ",'#orgDung'!RW88," ",'#orgDung'!RX88," ",'#orgDung'!RY88," ",'#orgDung'!RZ88," ",'#orgDung'!SA88))))</f>
        <v/>
      </c>
      <c r="J87" s="1023"/>
      <c r="K87" s="1024"/>
      <c r="L87" s="1025"/>
      <c r="M87" s="1026" t="str">
        <f>IF(L87="","",'#orgDung'!AN88)</f>
        <v/>
      </c>
      <c r="N87" s="1026" t="str">
        <f>IF(L87="","",'#orgDung'!AO88)</f>
        <v/>
      </c>
      <c r="O87" s="1027" t="str">
        <f>IF(L87="","",'#orgDung'!AQ88)</f>
        <v/>
      </c>
      <c r="P87" s="1025"/>
      <c r="Q87" s="1026" t="str">
        <f>IF(P87="","",'#orgDung'!BC88)</f>
        <v/>
      </c>
      <c r="R87" s="1026" t="str">
        <f>IF(P87="","",'#orgDung'!BD88)</f>
        <v/>
      </c>
      <c r="S87" s="1027" t="str">
        <f>IF(P87="","",'#orgDung'!BF88)</f>
        <v/>
      </c>
      <c r="T87" s="1025"/>
      <c r="U87" s="1026" t="str">
        <f>IF(T87="","",'#orgDung'!BR88)</f>
        <v/>
      </c>
      <c r="V87" s="1026" t="str">
        <f>IF(T87="","",'#orgDung'!BS88)</f>
        <v/>
      </c>
      <c r="W87" s="1027" t="str">
        <f>IF(T87="","",'#orgDung'!BU88)</f>
        <v/>
      </c>
      <c r="X87" s="1025"/>
      <c r="Y87" s="1026" t="str">
        <f>IF(X87="","",'#orgDung'!CG88)</f>
        <v/>
      </c>
      <c r="Z87" s="1026" t="str">
        <f>IF(X87="","",'#orgDung'!CH88)</f>
        <v/>
      </c>
      <c r="AA87" s="1027" t="str">
        <f>IF(X87="","",'#orgDung'!CJ88)</f>
        <v/>
      </c>
      <c r="AB87" s="1025"/>
      <c r="AC87" s="1026" t="str">
        <f>IF(AB87="","",'#orgDung'!CV88)</f>
        <v/>
      </c>
      <c r="AD87" s="1026" t="str">
        <f>IF(AB87="","",'#orgDung'!CW88)</f>
        <v/>
      </c>
      <c r="AE87" s="1027" t="str">
        <f>IF(AB87="","",'#orgDung'!CY88)</f>
        <v/>
      </c>
      <c r="AF87" s="1025"/>
      <c r="AG87" s="1026" t="str">
        <f>IF(AF87="","",'#orgDung'!DK88)</f>
        <v/>
      </c>
      <c r="AH87" s="1026" t="str">
        <f>IF(AF87="","",'#orgDung'!DL88)</f>
        <v/>
      </c>
      <c r="AI87" s="1027" t="str">
        <f>IF(AF87="","",'#orgDung'!DN88)</f>
        <v/>
      </c>
      <c r="AJ87" s="1025"/>
      <c r="AK87" s="1026" t="str">
        <f>IF(AJ87="","",'#orgDung'!DZ88)</f>
        <v/>
      </c>
      <c r="AL87" s="1026" t="str">
        <f>IF(AJ87="","",'#orgDung'!EA88)</f>
        <v/>
      </c>
      <c r="AM87" s="1027" t="str">
        <f>IF(AJ87="","",'#orgDung'!EC88)</f>
        <v/>
      </c>
      <c r="AN87" s="1025"/>
      <c r="AO87" s="1026" t="str">
        <f>IF(AN87="","",'#orgDung'!EO88)</f>
        <v/>
      </c>
      <c r="AP87" s="1026" t="str">
        <f>IF(AN87="","",'#orgDung'!EP88)</f>
        <v/>
      </c>
      <c r="AQ87" s="1027" t="str">
        <f>IF(AN87="","",'#orgDung'!ER88)</f>
        <v/>
      </c>
      <c r="AR87" s="1025"/>
      <c r="AS87" s="1026" t="str">
        <f>IF(AR87="","",'#orgDung'!FD88)</f>
        <v/>
      </c>
      <c r="AT87" s="1026" t="str">
        <f>IF(AR87="","",'#orgDung'!FE88)</f>
        <v/>
      </c>
      <c r="AU87" s="1027" t="str">
        <f>IF(AR87="","",'#orgDung'!FG88)</f>
        <v/>
      </c>
      <c r="AV87" s="1025"/>
      <c r="AW87" s="1026" t="str">
        <f>IF(AV87="","",'#orgDung'!FS88)</f>
        <v/>
      </c>
      <c r="AX87" s="1026" t="str">
        <f>IF(AV87="","",'#orgDung'!FT88)</f>
        <v/>
      </c>
      <c r="AY87" s="1027" t="str">
        <f>IF(AV87="","",'#orgDung'!FV88)</f>
        <v/>
      </c>
      <c r="AZ87" s="1025"/>
      <c r="BA87" s="1026" t="str">
        <f>IF(AZ87="","",'#orgDung'!GH88)</f>
        <v/>
      </c>
      <c r="BB87" s="1026" t="str">
        <f>IF(AZ87="","",'#orgDung'!GI88)</f>
        <v/>
      </c>
      <c r="BC87" s="1027" t="str">
        <f>IF(AZ87="","",'#orgDung'!GK88)</f>
        <v/>
      </c>
      <c r="BD87" s="1025"/>
      <c r="BE87" s="1026" t="str">
        <f>IF(BD87="","",'#orgDung'!GW88)</f>
        <v/>
      </c>
      <c r="BF87" s="1026" t="str">
        <f>IF(BD87="","",'#orgDung'!GX88)</f>
        <v/>
      </c>
      <c r="BG87" s="1027" t="str">
        <f>IF(BD87="","",'#orgDung'!GZ88)</f>
        <v/>
      </c>
      <c r="BH87" s="1025"/>
      <c r="BI87" s="1026" t="str">
        <f>IF(BH87="","",'#orgDung'!HL88)</f>
        <v/>
      </c>
      <c r="BJ87" s="1026" t="str">
        <f>IF(BH87="","",'#orgDung'!HM88)</f>
        <v/>
      </c>
      <c r="BK87" s="1027" t="str">
        <f>IF(BH87="","",'#orgDung'!HO88)</f>
        <v/>
      </c>
      <c r="BL87" s="1025"/>
      <c r="BM87" s="1026" t="str">
        <f>IF(BL87="","",'#orgDung'!IA88)</f>
        <v/>
      </c>
      <c r="BN87" s="1026" t="str">
        <f>IF(BL87="","",'#orgDung'!IB88)</f>
        <v/>
      </c>
      <c r="BO87" s="1027" t="str">
        <f>IF(BL87="","",'#orgDung'!ID88)</f>
        <v/>
      </c>
      <c r="BP87" s="1025"/>
      <c r="BQ87" s="1026" t="str">
        <f>IF(BP87="","",'#orgDung'!IP88)</f>
        <v/>
      </c>
      <c r="BR87" s="1026" t="str">
        <f>IF(BP87="","",'#orgDung'!IQ88)</f>
        <v/>
      </c>
      <c r="BS87" s="1027" t="str">
        <f>IF(BP87="","",'#orgDung'!IS88)</f>
        <v/>
      </c>
      <c r="BT87" s="1025"/>
      <c r="BU87" s="1026" t="str">
        <f>IF(BT87="","",'#orgDung'!JE88)</f>
        <v/>
      </c>
      <c r="BV87" s="1026" t="str">
        <f>IF(BT87="","",'#orgDung'!JF88)</f>
        <v/>
      </c>
      <c r="BW87" s="1027" t="str">
        <f>IF(BT87="","",'#orgDung'!JH88)</f>
        <v/>
      </c>
      <c r="BX87" s="1025"/>
      <c r="BY87" s="1026" t="str">
        <f>IF(BX87="","",'#orgDung'!JT88)</f>
        <v/>
      </c>
      <c r="BZ87" s="1026" t="str">
        <f>IF(BX87="","",'#orgDung'!JU88)</f>
        <v/>
      </c>
      <c r="CA87" s="1027" t="str">
        <f>IF(BX87="","",'#orgDung'!JW88)</f>
        <v/>
      </c>
      <c r="CB87" s="1025"/>
      <c r="CC87" s="1026" t="str">
        <f>IF(CB87="","",'#orgDung'!KI88)</f>
        <v/>
      </c>
      <c r="CD87" s="1026" t="str">
        <f>IF(CB87="","",'#orgDung'!KJ88)</f>
        <v/>
      </c>
      <c r="CE87" s="1027" t="str">
        <f>IF(CB87="","",'#orgDung'!KL88)</f>
        <v/>
      </c>
      <c r="CF87" s="1025"/>
      <c r="CG87" s="1026" t="str">
        <f>IF(CF87="","",'#orgDung'!KX88)</f>
        <v/>
      </c>
      <c r="CH87" s="1026" t="str">
        <f>IF(CF87="","",'#orgDung'!KY88)</f>
        <v/>
      </c>
      <c r="CI87" s="1027" t="str">
        <f>IF(CF87="","",'#orgDung'!LA88)</f>
        <v/>
      </c>
      <c r="CJ87" s="1025"/>
      <c r="CK87" s="1026" t="str">
        <f>IF(CJ87="","",'#orgDung'!LM88)</f>
        <v/>
      </c>
      <c r="CL87" s="1026" t="str">
        <f>IF(CJ87="","",'#orgDung'!LN88)</f>
        <v/>
      </c>
      <c r="CM87" s="1027" t="str">
        <f>IF(CJ87="","",'#orgDung'!LP88)</f>
        <v/>
      </c>
      <c r="CN87" s="1025"/>
      <c r="CO87" s="1026" t="str">
        <f>IF(CN87="","",'#orgDung'!MB88)</f>
        <v/>
      </c>
      <c r="CP87" s="1026" t="str">
        <f>IF(CN87="","",'#orgDung'!MC88)</f>
        <v/>
      </c>
      <c r="CQ87" s="1027" t="str">
        <f>IF(CN87="","",'#orgDung'!ME88)</f>
        <v/>
      </c>
      <c r="CR87" s="1025"/>
      <c r="CS87" s="1026" t="str">
        <f>IF(CR87="","",'#orgDung'!MQ88)</f>
        <v/>
      </c>
      <c r="CT87" s="1026" t="str">
        <f>IF(CR87="","",'#orgDung'!MR88)</f>
        <v/>
      </c>
      <c r="CU87" s="1027" t="str">
        <f>IF(CR87="","",'#orgDung'!MT88)</f>
        <v/>
      </c>
      <c r="CV87" s="1025"/>
      <c r="CW87" s="1026" t="str">
        <f>IF(CV87="","",'#orgDung'!NF88)</f>
        <v/>
      </c>
      <c r="CX87" s="1026" t="str">
        <f>IF(CV87="","",'#orgDung'!NG88)</f>
        <v/>
      </c>
      <c r="CY87" s="1027" t="str">
        <f>IF(CV87="","",'#orgDung'!NI88)</f>
        <v/>
      </c>
      <c r="CZ87" s="1025"/>
      <c r="DA87" s="1026" t="str">
        <f>IF(CZ87="","",'#orgDung'!NU88)</f>
        <v/>
      </c>
      <c r="DB87" s="1026" t="str">
        <f>IF(CZ87="","",'#orgDung'!NV88)</f>
        <v/>
      </c>
      <c r="DC87" s="1027" t="str">
        <f>IF(CZ87="","",'#orgDung'!NX88)</f>
        <v/>
      </c>
      <c r="DD87" s="1025"/>
      <c r="DE87" s="1026" t="str">
        <f>IF(DD87="","",'#orgDung'!OJ88)</f>
        <v/>
      </c>
      <c r="DF87" s="1026" t="str">
        <f>IF(DD87="","",'#orgDung'!OK88)</f>
        <v/>
      </c>
      <c r="DG87" s="1027" t="str">
        <f>IF(DD87="","",'#orgDung'!OM88)</f>
        <v/>
      </c>
      <c r="DH87" s="1025"/>
      <c r="DI87" s="1026" t="str">
        <f>IF(DH87="","",'#orgDung'!OY88)</f>
        <v/>
      </c>
      <c r="DJ87" s="1026" t="str">
        <f>IF(DH87="","",'#orgDung'!OZ88)</f>
        <v/>
      </c>
      <c r="DK87" s="1027" t="str">
        <f>IF(DH87="","",'#orgDung'!PB88)</f>
        <v/>
      </c>
      <c r="DL87" s="1025"/>
      <c r="DM87" s="1026" t="str">
        <f>IF(DL87="","",'#orgDung'!PN88)</f>
        <v/>
      </c>
      <c r="DN87" s="1026" t="str">
        <f>IF(DL87="","",'#orgDung'!PO88)</f>
        <v/>
      </c>
      <c r="DO87" s="1027" t="str">
        <f>IF(DL87="","",'#orgDung'!PQ88)</f>
        <v/>
      </c>
      <c r="DP87" s="1025"/>
      <c r="DQ87" s="1026" t="str">
        <f>IF(DP87="","",'#orgDung'!QC88)</f>
        <v/>
      </c>
      <c r="DR87" s="1026" t="str">
        <f>IF(DP87="","",'#orgDung'!QD88)</f>
        <v/>
      </c>
      <c r="DS87" s="1027" t="str">
        <f>IF(DP87="","",'#orgDung'!QF88)</f>
        <v/>
      </c>
      <c r="DT87" s="1025"/>
      <c r="DU87" s="1026" t="str">
        <f>IF(DT87="","",'#orgDung'!QR88)</f>
        <v/>
      </c>
      <c r="DV87" s="1026" t="str">
        <f>IF(DT87="","",'#orgDung'!QS88)</f>
        <v/>
      </c>
      <c r="DW87" s="1027" t="str">
        <f>IF(DT87="","",'#orgDung'!QU88)</f>
        <v/>
      </c>
      <c r="DX87" s="1025"/>
      <c r="DY87" s="1026" t="str">
        <f>IF(DX87="","",'#orgDung'!RG88)</f>
        <v/>
      </c>
      <c r="DZ87" s="1026" t="str">
        <f>IF(DX87="","",'#orgDung'!RH88)</f>
        <v/>
      </c>
      <c r="EA87" s="1027" t="str">
        <f>IF(DX87="","",'#orgDung'!RJ88)</f>
        <v/>
      </c>
    </row>
    <row r="88" spans="1:131" ht="15" customHeight="1" x14ac:dyDescent="0.2">
      <c r="A88" s="1195">
        <f>'Flächen u. Kulturen'!A85</f>
        <v>76</v>
      </c>
      <c r="B88" s="1195" t="str">
        <f>IF('Flächen u. Kulturen'!B85="","",'Flächen u. Kulturen'!B85)</f>
        <v/>
      </c>
      <c r="C88" s="1196" t="str">
        <f>IF('Flächen u. Kulturen'!D85="","",'Flächen u. Kulturen'!D85)</f>
        <v/>
      </c>
      <c r="D88" s="1197" t="str">
        <f>IF(C88="","",IF('#BerechnungDBE'!Q80&lt;4,"x",""))</f>
        <v/>
      </c>
      <c r="E88" s="1198" t="str">
        <f>IF(C88="","",VLOOKUP('Flächen u. Kulturen'!L85,'#Zweitfr'!$D$8:$F$28,'#Zweitfr'!$F$1,FALSE))</f>
        <v/>
      </c>
      <c r="F88" s="1199" t="str">
        <f>IF(C88="","",IF('Flächen u. Kulturen'!E85="x",'Flächen u. Kulturen'!P85,"nicht im Betrieb"))</f>
        <v/>
      </c>
      <c r="G88" s="1200" t="str">
        <f>IF(C88="","",IF('#orgDung'!C89=2,"--",IF('#Kürzungen'!$F$2=2,"--",'#orgDung'!R89)))</f>
        <v/>
      </c>
      <c r="H88" s="1200" t="str">
        <f>IF(C88="","",'#orgDung'!U89)</f>
        <v/>
      </c>
      <c r="I88" s="1201" t="str">
        <f>IF(C88="","",IF(COUNT('#orgDung'!RS89:SA89)=0,"OK",TRIM(CONCATENATE('#orgDung'!RS89," ",'#orgDung'!RT89," ",'#orgDung'!RU89," ",'#orgDung'!RV89," ",'#orgDung'!RW89," ",'#orgDung'!RX89," ",'#orgDung'!RY89," ",'#orgDung'!RZ89," ",'#orgDung'!SA89))))</f>
        <v/>
      </c>
      <c r="J88" s="1023"/>
      <c r="K88" s="1024"/>
      <c r="L88" s="1025"/>
      <c r="M88" s="1026" t="str">
        <f>IF(L88="","",'#orgDung'!AN89)</f>
        <v/>
      </c>
      <c r="N88" s="1026" t="str">
        <f>IF(L88="","",'#orgDung'!AO89)</f>
        <v/>
      </c>
      <c r="O88" s="1027" t="str">
        <f>IF(L88="","",'#orgDung'!AQ89)</f>
        <v/>
      </c>
      <c r="P88" s="1025"/>
      <c r="Q88" s="1026" t="str">
        <f>IF(P88="","",'#orgDung'!BC89)</f>
        <v/>
      </c>
      <c r="R88" s="1026" t="str">
        <f>IF(P88="","",'#orgDung'!BD89)</f>
        <v/>
      </c>
      <c r="S88" s="1027" t="str">
        <f>IF(P88="","",'#orgDung'!BF89)</f>
        <v/>
      </c>
      <c r="T88" s="1025"/>
      <c r="U88" s="1026" t="str">
        <f>IF(T88="","",'#orgDung'!BR89)</f>
        <v/>
      </c>
      <c r="V88" s="1026" t="str">
        <f>IF(T88="","",'#orgDung'!BS89)</f>
        <v/>
      </c>
      <c r="W88" s="1027" t="str">
        <f>IF(T88="","",'#orgDung'!BU89)</f>
        <v/>
      </c>
      <c r="X88" s="1025"/>
      <c r="Y88" s="1026" t="str">
        <f>IF(X88="","",'#orgDung'!CG89)</f>
        <v/>
      </c>
      <c r="Z88" s="1026" t="str">
        <f>IF(X88="","",'#orgDung'!CH89)</f>
        <v/>
      </c>
      <c r="AA88" s="1027" t="str">
        <f>IF(X88="","",'#orgDung'!CJ89)</f>
        <v/>
      </c>
      <c r="AB88" s="1025"/>
      <c r="AC88" s="1026" t="str">
        <f>IF(AB88="","",'#orgDung'!CV89)</f>
        <v/>
      </c>
      <c r="AD88" s="1026" t="str">
        <f>IF(AB88="","",'#orgDung'!CW89)</f>
        <v/>
      </c>
      <c r="AE88" s="1027" t="str">
        <f>IF(AB88="","",'#orgDung'!CY89)</f>
        <v/>
      </c>
      <c r="AF88" s="1025"/>
      <c r="AG88" s="1026" t="str">
        <f>IF(AF88="","",'#orgDung'!DK89)</f>
        <v/>
      </c>
      <c r="AH88" s="1026" t="str">
        <f>IF(AF88="","",'#orgDung'!DL89)</f>
        <v/>
      </c>
      <c r="AI88" s="1027" t="str">
        <f>IF(AF88="","",'#orgDung'!DN89)</f>
        <v/>
      </c>
      <c r="AJ88" s="1025"/>
      <c r="AK88" s="1026" t="str">
        <f>IF(AJ88="","",'#orgDung'!DZ89)</f>
        <v/>
      </c>
      <c r="AL88" s="1026" t="str">
        <f>IF(AJ88="","",'#orgDung'!EA89)</f>
        <v/>
      </c>
      <c r="AM88" s="1027" t="str">
        <f>IF(AJ88="","",'#orgDung'!EC89)</f>
        <v/>
      </c>
      <c r="AN88" s="1025"/>
      <c r="AO88" s="1026" t="str">
        <f>IF(AN88="","",'#orgDung'!EO89)</f>
        <v/>
      </c>
      <c r="AP88" s="1026" t="str">
        <f>IF(AN88="","",'#orgDung'!EP89)</f>
        <v/>
      </c>
      <c r="AQ88" s="1027" t="str">
        <f>IF(AN88="","",'#orgDung'!ER89)</f>
        <v/>
      </c>
      <c r="AR88" s="1025"/>
      <c r="AS88" s="1026" t="str">
        <f>IF(AR88="","",'#orgDung'!FD89)</f>
        <v/>
      </c>
      <c r="AT88" s="1026" t="str">
        <f>IF(AR88="","",'#orgDung'!FE89)</f>
        <v/>
      </c>
      <c r="AU88" s="1027" t="str">
        <f>IF(AR88="","",'#orgDung'!FG89)</f>
        <v/>
      </c>
      <c r="AV88" s="1025"/>
      <c r="AW88" s="1026" t="str">
        <f>IF(AV88="","",'#orgDung'!FS89)</f>
        <v/>
      </c>
      <c r="AX88" s="1026" t="str">
        <f>IF(AV88="","",'#orgDung'!FT89)</f>
        <v/>
      </c>
      <c r="AY88" s="1027" t="str">
        <f>IF(AV88="","",'#orgDung'!FV89)</f>
        <v/>
      </c>
      <c r="AZ88" s="1025"/>
      <c r="BA88" s="1026" t="str">
        <f>IF(AZ88="","",'#orgDung'!GH89)</f>
        <v/>
      </c>
      <c r="BB88" s="1026" t="str">
        <f>IF(AZ88="","",'#orgDung'!GI89)</f>
        <v/>
      </c>
      <c r="BC88" s="1027" t="str">
        <f>IF(AZ88="","",'#orgDung'!GK89)</f>
        <v/>
      </c>
      <c r="BD88" s="1025"/>
      <c r="BE88" s="1026" t="str">
        <f>IF(BD88="","",'#orgDung'!GW89)</f>
        <v/>
      </c>
      <c r="BF88" s="1026" t="str">
        <f>IF(BD88="","",'#orgDung'!GX89)</f>
        <v/>
      </c>
      <c r="BG88" s="1027" t="str">
        <f>IF(BD88="","",'#orgDung'!GZ89)</f>
        <v/>
      </c>
      <c r="BH88" s="1025"/>
      <c r="BI88" s="1026" t="str">
        <f>IF(BH88="","",'#orgDung'!HL89)</f>
        <v/>
      </c>
      <c r="BJ88" s="1026" t="str">
        <f>IF(BH88="","",'#orgDung'!HM89)</f>
        <v/>
      </c>
      <c r="BK88" s="1027" t="str">
        <f>IF(BH88="","",'#orgDung'!HO89)</f>
        <v/>
      </c>
      <c r="BL88" s="1025"/>
      <c r="BM88" s="1026" t="str">
        <f>IF(BL88="","",'#orgDung'!IA89)</f>
        <v/>
      </c>
      <c r="BN88" s="1026" t="str">
        <f>IF(BL88="","",'#orgDung'!IB89)</f>
        <v/>
      </c>
      <c r="BO88" s="1027" t="str">
        <f>IF(BL88="","",'#orgDung'!ID89)</f>
        <v/>
      </c>
      <c r="BP88" s="1025"/>
      <c r="BQ88" s="1026" t="str">
        <f>IF(BP88="","",'#orgDung'!IP89)</f>
        <v/>
      </c>
      <c r="BR88" s="1026" t="str">
        <f>IF(BP88="","",'#orgDung'!IQ89)</f>
        <v/>
      </c>
      <c r="BS88" s="1027" t="str">
        <f>IF(BP88="","",'#orgDung'!IS89)</f>
        <v/>
      </c>
      <c r="BT88" s="1025"/>
      <c r="BU88" s="1026" t="str">
        <f>IF(BT88="","",'#orgDung'!JE89)</f>
        <v/>
      </c>
      <c r="BV88" s="1026" t="str">
        <f>IF(BT88="","",'#orgDung'!JF89)</f>
        <v/>
      </c>
      <c r="BW88" s="1027" t="str">
        <f>IF(BT88="","",'#orgDung'!JH89)</f>
        <v/>
      </c>
      <c r="BX88" s="1025"/>
      <c r="BY88" s="1026" t="str">
        <f>IF(BX88="","",'#orgDung'!JT89)</f>
        <v/>
      </c>
      <c r="BZ88" s="1026" t="str">
        <f>IF(BX88="","",'#orgDung'!JU89)</f>
        <v/>
      </c>
      <c r="CA88" s="1027" t="str">
        <f>IF(BX88="","",'#orgDung'!JW89)</f>
        <v/>
      </c>
      <c r="CB88" s="1025"/>
      <c r="CC88" s="1026" t="str">
        <f>IF(CB88="","",'#orgDung'!KI89)</f>
        <v/>
      </c>
      <c r="CD88" s="1026" t="str">
        <f>IF(CB88="","",'#orgDung'!KJ89)</f>
        <v/>
      </c>
      <c r="CE88" s="1027" t="str">
        <f>IF(CB88="","",'#orgDung'!KL89)</f>
        <v/>
      </c>
      <c r="CF88" s="1025"/>
      <c r="CG88" s="1026" t="str">
        <f>IF(CF88="","",'#orgDung'!KX89)</f>
        <v/>
      </c>
      <c r="CH88" s="1026" t="str">
        <f>IF(CF88="","",'#orgDung'!KY89)</f>
        <v/>
      </c>
      <c r="CI88" s="1027" t="str">
        <f>IF(CF88="","",'#orgDung'!LA89)</f>
        <v/>
      </c>
      <c r="CJ88" s="1025"/>
      <c r="CK88" s="1026" t="str">
        <f>IF(CJ88="","",'#orgDung'!LM89)</f>
        <v/>
      </c>
      <c r="CL88" s="1026" t="str">
        <f>IF(CJ88="","",'#orgDung'!LN89)</f>
        <v/>
      </c>
      <c r="CM88" s="1027" t="str">
        <f>IF(CJ88="","",'#orgDung'!LP89)</f>
        <v/>
      </c>
      <c r="CN88" s="1025"/>
      <c r="CO88" s="1026" t="str">
        <f>IF(CN88="","",'#orgDung'!MB89)</f>
        <v/>
      </c>
      <c r="CP88" s="1026" t="str">
        <f>IF(CN88="","",'#orgDung'!MC89)</f>
        <v/>
      </c>
      <c r="CQ88" s="1027" t="str">
        <f>IF(CN88="","",'#orgDung'!ME89)</f>
        <v/>
      </c>
      <c r="CR88" s="1025"/>
      <c r="CS88" s="1026" t="str">
        <f>IF(CR88="","",'#orgDung'!MQ89)</f>
        <v/>
      </c>
      <c r="CT88" s="1026" t="str">
        <f>IF(CR88="","",'#orgDung'!MR89)</f>
        <v/>
      </c>
      <c r="CU88" s="1027" t="str">
        <f>IF(CR88="","",'#orgDung'!MT89)</f>
        <v/>
      </c>
      <c r="CV88" s="1025"/>
      <c r="CW88" s="1026" t="str">
        <f>IF(CV88="","",'#orgDung'!NF89)</f>
        <v/>
      </c>
      <c r="CX88" s="1026" t="str">
        <f>IF(CV88="","",'#orgDung'!NG89)</f>
        <v/>
      </c>
      <c r="CY88" s="1027" t="str">
        <f>IF(CV88="","",'#orgDung'!NI89)</f>
        <v/>
      </c>
      <c r="CZ88" s="1025"/>
      <c r="DA88" s="1026" t="str">
        <f>IF(CZ88="","",'#orgDung'!NU89)</f>
        <v/>
      </c>
      <c r="DB88" s="1026" t="str">
        <f>IF(CZ88="","",'#orgDung'!NV89)</f>
        <v/>
      </c>
      <c r="DC88" s="1027" t="str">
        <f>IF(CZ88="","",'#orgDung'!NX89)</f>
        <v/>
      </c>
      <c r="DD88" s="1025"/>
      <c r="DE88" s="1026" t="str">
        <f>IF(DD88="","",'#orgDung'!OJ89)</f>
        <v/>
      </c>
      <c r="DF88" s="1026" t="str">
        <f>IF(DD88="","",'#orgDung'!OK89)</f>
        <v/>
      </c>
      <c r="DG88" s="1027" t="str">
        <f>IF(DD88="","",'#orgDung'!OM89)</f>
        <v/>
      </c>
      <c r="DH88" s="1025"/>
      <c r="DI88" s="1026" t="str">
        <f>IF(DH88="","",'#orgDung'!OY89)</f>
        <v/>
      </c>
      <c r="DJ88" s="1026" t="str">
        <f>IF(DH88="","",'#orgDung'!OZ89)</f>
        <v/>
      </c>
      <c r="DK88" s="1027" t="str">
        <f>IF(DH88="","",'#orgDung'!PB89)</f>
        <v/>
      </c>
      <c r="DL88" s="1025"/>
      <c r="DM88" s="1026" t="str">
        <f>IF(DL88="","",'#orgDung'!PN89)</f>
        <v/>
      </c>
      <c r="DN88" s="1026" t="str">
        <f>IF(DL88="","",'#orgDung'!PO89)</f>
        <v/>
      </c>
      <c r="DO88" s="1027" t="str">
        <f>IF(DL88="","",'#orgDung'!PQ89)</f>
        <v/>
      </c>
      <c r="DP88" s="1025"/>
      <c r="DQ88" s="1026" t="str">
        <f>IF(DP88="","",'#orgDung'!QC89)</f>
        <v/>
      </c>
      <c r="DR88" s="1026" t="str">
        <f>IF(DP88="","",'#orgDung'!QD89)</f>
        <v/>
      </c>
      <c r="DS88" s="1027" t="str">
        <f>IF(DP88="","",'#orgDung'!QF89)</f>
        <v/>
      </c>
      <c r="DT88" s="1025"/>
      <c r="DU88" s="1026" t="str">
        <f>IF(DT88="","",'#orgDung'!QR89)</f>
        <v/>
      </c>
      <c r="DV88" s="1026" t="str">
        <f>IF(DT88="","",'#orgDung'!QS89)</f>
        <v/>
      </c>
      <c r="DW88" s="1027" t="str">
        <f>IF(DT88="","",'#orgDung'!QU89)</f>
        <v/>
      </c>
      <c r="DX88" s="1025"/>
      <c r="DY88" s="1026" t="str">
        <f>IF(DX88="","",'#orgDung'!RG89)</f>
        <v/>
      </c>
      <c r="DZ88" s="1026" t="str">
        <f>IF(DX88="","",'#orgDung'!RH89)</f>
        <v/>
      </c>
      <c r="EA88" s="1027" t="str">
        <f>IF(DX88="","",'#orgDung'!RJ89)</f>
        <v/>
      </c>
    </row>
    <row r="89" spans="1:131" ht="15" customHeight="1" x14ac:dyDescent="0.2">
      <c r="A89" s="1195">
        <f>'Flächen u. Kulturen'!A86</f>
        <v>77</v>
      </c>
      <c r="B89" s="1195" t="str">
        <f>IF('Flächen u. Kulturen'!B86="","",'Flächen u. Kulturen'!B86)</f>
        <v/>
      </c>
      <c r="C89" s="1196" t="str">
        <f>IF('Flächen u. Kulturen'!D86="","",'Flächen u. Kulturen'!D86)</f>
        <v/>
      </c>
      <c r="D89" s="1197" t="str">
        <f>IF(C89="","",IF('#BerechnungDBE'!Q81&lt;4,"x",""))</f>
        <v/>
      </c>
      <c r="E89" s="1198" t="str">
        <f>IF(C89="","",VLOOKUP('Flächen u. Kulturen'!L86,'#Zweitfr'!$D$8:$F$28,'#Zweitfr'!$F$1,FALSE))</f>
        <v/>
      </c>
      <c r="F89" s="1199" t="str">
        <f>IF(C89="","",IF('Flächen u. Kulturen'!E86="x",'Flächen u. Kulturen'!P86,"nicht im Betrieb"))</f>
        <v/>
      </c>
      <c r="G89" s="1200" t="str">
        <f>IF(C89="","",IF('#orgDung'!C90=2,"--",IF('#Kürzungen'!$F$2=2,"--",'#orgDung'!R90)))</f>
        <v/>
      </c>
      <c r="H89" s="1200" t="str">
        <f>IF(C89="","",'#orgDung'!U90)</f>
        <v/>
      </c>
      <c r="I89" s="1201" t="str">
        <f>IF(C89="","",IF(COUNT('#orgDung'!RS90:SA90)=0,"OK",TRIM(CONCATENATE('#orgDung'!RS90," ",'#orgDung'!RT90," ",'#orgDung'!RU90," ",'#orgDung'!RV90," ",'#orgDung'!RW90," ",'#orgDung'!RX90," ",'#orgDung'!RY90," ",'#orgDung'!RZ90," ",'#orgDung'!SA90))))</f>
        <v/>
      </c>
      <c r="J89" s="1023"/>
      <c r="K89" s="1024"/>
      <c r="L89" s="1025"/>
      <c r="M89" s="1026" t="str">
        <f>IF(L89="","",'#orgDung'!AN90)</f>
        <v/>
      </c>
      <c r="N89" s="1026" t="str">
        <f>IF(L89="","",'#orgDung'!AO90)</f>
        <v/>
      </c>
      <c r="O89" s="1027" t="str">
        <f>IF(L89="","",'#orgDung'!AQ90)</f>
        <v/>
      </c>
      <c r="P89" s="1025"/>
      <c r="Q89" s="1026" t="str">
        <f>IF(P89="","",'#orgDung'!BC90)</f>
        <v/>
      </c>
      <c r="R89" s="1026" t="str">
        <f>IF(P89="","",'#orgDung'!BD90)</f>
        <v/>
      </c>
      <c r="S89" s="1027" t="str">
        <f>IF(P89="","",'#orgDung'!BF90)</f>
        <v/>
      </c>
      <c r="T89" s="1025"/>
      <c r="U89" s="1026" t="str">
        <f>IF(T89="","",'#orgDung'!BR90)</f>
        <v/>
      </c>
      <c r="V89" s="1026" t="str">
        <f>IF(T89="","",'#orgDung'!BS90)</f>
        <v/>
      </c>
      <c r="W89" s="1027" t="str">
        <f>IF(T89="","",'#orgDung'!BU90)</f>
        <v/>
      </c>
      <c r="X89" s="1025"/>
      <c r="Y89" s="1026" t="str">
        <f>IF(X89="","",'#orgDung'!CG90)</f>
        <v/>
      </c>
      <c r="Z89" s="1026" t="str">
        <f>IF(X89="","",'#orgDung'!CH90)</f>
        <v/>
      </c>
      <c r="AA89" s="1027" t="str">
        <f>IF(X89="","",'#orgDung'!CJ90)</f>
        <v/>
      </c>
      <c r="AB89" s="1025"/>
      <c r="AC89" s="1026" t="str">
        <f>IF(AB89="","",'#orgDung'!CV90)</f>
        <v/>
      </c>
      <c r="AD89" s="1026" t="str">
        <f>IF(AB89="","",'#orgDung'!CW90)</f>
        <v/>
      </c>
      <c r="AE89" s="1027" t="str">
        <f>IF(AB89="","",'#orgDung'!CY90)</f>
        <v/>
      </c>
      <c r="AF89" s="1025"/>
      <c r="AG89" s="1026" t="str">
        <f>IF(AF89="","",'#orgDung'!DK90)</f>
        <v/>
      </c>
      <c r="AH89" s="1026" t="str">
        <f>IF(AF89="","",'#orgDung'!DL90)</f>
        <v/>
      </c>
      <c r="AI89" s="1027" t="str">
        <f>IF(AF89="","",'#orgDung'!DN90)</f>
        <v/>
      </c>
      <c r="AJ89" s="1025"/>
      <c r="AK89" s="1026" t="str">
        <f>IF(AJ89="","",'#orgDung'!DZ90)</f>
        <v/>
      </c>
      <c r="AL89" s="1026" t="str">
        <f>IF(AJ89="","",'#orgDung'!EA90)</f>
        <v/>
      </c>
      <c r="AM89" s="1027" t="str">
        <f>IF(AJ89="","",'#orgDung'!EC90)</f>
        <v/>
      </c>
      <c r="AN89" s="1025"/>
      <c r="AO89" s="1026" t="str">
        <f>IF(AN89="","",'#orgDung'!EO90)</f>
        <v/>
      </c>
      <c r="AP89" s="1026" t="str">
        <f>IF(AN89="","",'#orgDung'!EP90)</f>
        <v/>
      </c>
      <c r="AQ89" s="1027" t="str">
        <f>IF(AN89="","",'#orgDung'!ER90)</f>
        <v/>
      </c>
      <c r="AR89" s="1025"/>
      <c r="AS89" s="1026" t="str">
        <f>IF(AR89="","",'#orgDung'!FD90)</f>
        <v/>
      </c>
      <c r="AT89" s="1026" t="str">
        <f>IF(AR89="","",'#orgDung'!FE90)</f>
        <v/>
      </c>
      <c r="AU89" s="1027" t="str">
        <f>IF(AR89="","",'#orgDung'!FG90)</f>
        <v/>
      </c>
      <c r="AV89" s="1025"/>
      <c r="AW89" s="1026" t="str">
        <f>IF(AV89="","",'#orgDung'!FS90)</f>
        <v/>
      </c>
      <c r="AX89" s="1026" t="str">
        <f>IF(AV89="","",'#orgDung'!FT90)</f>
        <v/>
      </c>
      <c r="AY89" s="1027" t="str">
        <f>IF(AV89="","",'#orgDung'!FV90)</f>
        <v/>
      </c>
      <c r="AZ89" s="1025"/>
      <c r="BA89" s="1026" t="str">
        <f>IF(AZ89="","",'#orgDung'!GH90)</f>
        <v/>
      </c>
      <c r="BB89" s="1026" t="str">
        <f>IF(AZ89="","",'#orgDung'!GI90)</f>
        <v/>
      </c>
      <c r="BC89" s="1027" t="str">
        <f>IF(AZ89="","",'#orgDung'!GK90)</f>
        <v/>
      </c>
      <c r="BD89" s="1025"/>
      <c r="BE89" s="1026" t="str">
        <f>IF(BD89="","",'#orgDung'!GW90)</f>
        <v/>
      </c>
      <c r="BF89" s="1026" t="str">
        <f>IF(BD89="","",'#orgDung'!GX90)</f>
        <v/>
      </c>
      <c r="BG89" s="1027" t="str">
        <f>IF(BD89="","",'#orgDung'!GZ90)</f>
        <v/>
      </c>
      <c r="BH89" s="1025"/>
      <c r="BI89" s="1026" t="str">
        <f>IF(BH89="","",'#orgDung'!HL90)</f>
        <v/>
      </c>
      <c r="BJ89" s="1026" t="str">
        <f>IF(BH89="","",'#orgDung'!HM90)</f>
        <v/>
      </c>
      <c r="BK89" s="1027" t="str">
        <f>IF(BH89="","",'#orgDung'!HO90)</f>
        <v/>
      </c>
      <c r="BL89" s="1025"/>
      <c r="BM89" s="1026" t="str">
        <f>IF(BL89="","",'#orgDung'!IA90)</f>
        <v/>
      </c>
      <c r="BN89" s="1026" t="str">
        <f>IF(BL89="","",'#orgDung'!IB90)</f>
        <v/>
      </c>
      <c r="BO89" s="1027" t="str">
        <f>IF(BL89="","",'#orgDung'!ID90)</f>
        <v/>
      </c>
      <c r="BP89" s="1025"/>
      <c r="BQ89" s="1026" t="str">
        <f>IF(BP89="","",'#orgDung'!IP90)</f>
        <v/>
      </c>
      <c r="BR89" s="1026" t="str">
        <f>IF(BP89="","",'#orgDung'!IQ90)</f>
        <v/>
      </c>
      <c r="BS89" s="1027" t="str">
        <f>IF(BP89="","",'#orgDung'!IS90)</f>
        <v/>
      </c>
      <c r="BT89" s="1025"/>
      <c r="BU89" s="1026" t="str">
        <f>IF(BT89="","",'#orgDung'!JE90)</f>
        <v/>
      </c>
      <c r="BV89" s="1026" t="str">
        <f>IF(BT89="","",'#orgDung'!JF90)</f>
        <v/>
      </c>
      <c r="BW89" s="1027" t="str">
        <f>IF(BT89="","",'#orgDung'!JH90)</f>
        <v/>
      </c>
      <c r="BX89" s="1025"/>
      <c r="BY89" s="1026" t="str">
        <f>IF(BX89="","",'#orgDung'!JT90)</f>
        <v/>
      </c>
      <c r="BZ89" s="1026" t="str">
        <f>IF(BX89="","",'#orgDung'!JU90)</f>
        <v/>
      </c>
      <c r="CA89" s="1027" t="str">
        <f>IF(BX89="","",'#orgDung'!JW90)</f>
        <v/>
      </c>
      <c r="CB89" s="1025"/>
      <c r="CC89" s="1026" t="str">
        <f>IF(CB89="","",'#orgDung'!KI90)</f>
        <v/>
      </c>
      <c r="CD89" s="1026" t="str">
        <f>IF(CB89="","",'#orgDung'!KJ90)</f>
        <v/>
      </c>
      <c r="CE89" s="1027" t="str">
        <f>IF(CB89="","",'#orgDung'!KL90)</f>
        <v/>
      </c>
      <c r="CF89" s="1025"/>
      <c r="CG89" s="1026" t="str">
        <f>IF(CF89="","",'#orgDung'!KX90)</f>
        <v/>
      </c>
      <c r="CH89" s="1026" t="str">
        <f>IF(CF89="","",'#orgDung'!KY90)</f>
        <v/>
      </c>
      <c r="CI89" s="1027" t="str">
        <f>IF(CF89="","",'#orgDung'!LA90)</f>
        <v/>
      </c>
      <c r="CJ89" s="1025"/>
      <c r="CK89" s="1026" t="str">
        <f>IF(CJ89="","",'#orgDung'!LM90)</f>
        <v/>
      </c>
      <c r="CL89" s="1026" t="str">
        <f>IF(CJ89="","",'#orgDung'!LN90)</f>
        <v/>
      </c>
      <c r="CM89" s="1027" t="str">
        <f>IF(CJ89="","",'#orgDung'!LP90)</f>
        <v/>
      </c>
      <c r="CN89" s="1025"/>
      <c r="CO89" s="1026" t="str">
        <f>IF(CN89="","",'#orgDung'!MB90)</f>
        <v/>
      </c>
      <c r="CP89" s="1026" t="str">
        <f>IF(CN89="","",'#orgDung'!MC90)</f>
        <v/>
      </c>
      <c r="CQ89" s="1027" t="str">
        <f>IF(CN89="","",'#orgDung'!ME90)</f>
        <v/>
      </c>
      <c r="CR89" s="1025"/>
      <c r="CS89" s="1026" t="str">
        <f>IF(CR89="","",'#orgDung'!MQ90)</f>
        <v/>
      </c>
      <c r="CT89" s="1026" t="str">
        <f>IF(CR89="","",'#orgDung'!MR90)</f>
        <v/>
      </c>
      <c r="CU89" s="1027" t="str">
        <f>IF(CR89="","",'#orgDung'!MT90)</f>
        <v/>
      </c>
      <c r="CV89" s="1025"/>
      <c r="CW89" s="1026" t="str">
        <f>IF(CV89="","",'#orgDung'!NF90)</f>
        <v/>
      </c>
      <c r="CX89" s="1026" t="str">
        <f>IF(CV89="","",'#orgDung'!NG90)</f>
        <v/>
      </c>
      <c r="CY89" s="1027" t="str">
        <f>IF(CV89="","",'#orgDung'!NI90)</f>
        <v/>
      </c>
      <c r="CZ89" s="1025"/>
      <c r="DA89" s="1026" t="str">
        <f>IF(CZ89="","",'#orgDung'!NU90)</f>
        <v/>
      </c>
      <c r="DB89" s="1026" t="str">
        <f>IF(CZ89="","",'#orgDung'!NV90)</f>
        <v/>
      </c>
      <c r="DC89" s="1027" t="str">
        <f>IF(CZ89="","",'#orgDung'!NX90)</f>
        <v/>
      </c>
      <c r="DD89" s="1025"/>
      <c r="DE89" s="1026" t="str">
        <f>IF(DD89="","",'#orgDung'!OJ90)</f>
        <v/>
      </c>
      <c r="DF89" s="1026" t="str">
        <f>IF(DD89="","",'#orgDung'!OK90)</f>
        <v/>
      </c>
      <c r="DG89" s="1027" t="str">
        <f>IF(DD89="","",'#orgDung'!OM90)</f>
        <v/>
      </c>
      <c r="DH89" s="1025"/>
      <c r="DI89" s="1026" t="str">
        <f>IF(DH89="","",'#orgDung'!OY90)</f>
        <v/>
      </c>
      <c r="DJ89" s="1026" t="str">
        <f>IF(DH89="","",'#orgDung'!OZ90)</f>
        <v/>
      </c>
      <c r="DK89" s="1027" t="str">
        <f>IF(DH89="","",'#orgDung'!PB90)</f>
        <v/>
      </c>
      <c r="DL89" s="1025"/>
      <c r="DM89" s="1026" t="str">
        <f>IF(DL89="","",'#orgDung'!PN90)</f>
        <v/>
      </c>
      <c r="DN89" s="1026" t="str">
        <f>IF(DL89="","",'#orgDung'!PO90)</f>
        <v/>
      </c>
      <c r="DO89" s="1027" t="str">
        <f>IF(DL89="","",'#orgDung'!PQ90)</f>
        <v/>
      </c>
      <c r="DP89" s="1025"/>
      <c r="DQ89" s="1026" t="str">
        <f>IF(DP89="","",'#orgDung'!QC90)</f>
        <v/>
      </c>
      <c r="DR89" s="1026" t="str">
        <f>IF(DP89="","",'#orgDung'!QD90)</f>
        <v/>
      </c>
      <c r="DS89" s="1027" t="str">
        <f>IF(DP89="","",'#orgDung'!QF90)</f>
        <v/>
      </c>
      <c r="DT89" s="1025"/>
      <c r="DU89" s="1026" t="str">
        <f>IF(DT89="","",'#orgDung'!QR90)</f>
        <v/>
      </c>
      <c r="DV89" s="1026" t="str">
        <f>IF(DT89="","",'#orgDung'!QS90)</f>
        <v/>
      </c>
      <c r="DW89" s="1027" t="str">
        <f>IF(DT89="","",'#orgDung'!QU90)</f>
        <v/>
      </c>
      <c r="DX89" s="1025"/>
      <c r="DY89" s="1026" t="str">
        <f>IF(DX89="","",'#orgDung'!RG90)</f>
        <v/>
      </c>
      <c r="DZ89" s="1026" t="str">
        <f>IF(DX89="","",'#orgDung'!RH90)</f>
        <v/>
      </c>
      <c r="EA89" s="1027" t="str">
        <f>IF(DX89="","",'#orgDung'!RJ90)</f>
        <v/>
      </c>
    </row>
    <row r="90" spans="1:131" ht="15" customHeight="1" x14ac:dyDescent="0.2">
      <c r="A90" s="1195">
        <f>'Flächen u. Kulturen'!A87</f>
        <v>78</v>
      </c>
      <c r="B90" s="1195" t="str">
        <f>IF('Flächen u. Kulturen'!B87="","",'Flächen u. Kulturen'!B87)</f>
        <v/>
      </c>
      <c r="C90" s="1196" t="str">
        <f>IF('Flächen u. Kulturen'!D87="","",'Flächen u. Kulturen'!D87)</f>
        <v/>
      </c>
      <c r="D90" s="1197" t="str">
        <f>IF(C90="","",IF('#BerechnungDBE'!Q82&lt;4,"x",""))</f>
        <v/>
      </c>
      <c r="E90" s="1198" t="str">
        <f>IF(C90="","",VLOOKUP('Flächen u. Kulturen'!L87,'#Zweitfr'!$D$8:$F$28,'#Zweitfr'!$F$1,FALSE))</f>
        <v/>
      </c>
      <c r="F90" s="1199" t="str">
        <f>IF(C90="","",IF('Flächen u. Kulturen'!E87="x",'Flächen u. Kulturen'!P87,"nicht im Betrieb"))</f>
        <v/>
      </c>
      <c r="G90" s="1200" t="str">
        <f>IF(C90="","",IF('#orgDung'!C91=2,"--",IF('#Kürzungen'!$F$2=2,"--",'#orgDung'!R91)))</f>
        <v/>
      </c>
      <c r="H90" s="1200" t="str">
        <f>IF(C90="","",'#orgDung'!U91)</f>
        <v/>
      </c>
      <c r="I90" s="1201" t="str">
        <f>IF(C90="","",IF(COUNT('#orgDung'!RS91:SA91)=0,"OK",TRIM(CONCATENATE('#orgDung'!RS91," ",'#orgDung'!RT91," ",'#orgDung'!RU91," ",'#orgDung'!RV91," ",'#orgDung'!RW91," ",'#orgDung'!RX91," ",'#orgDung'!RY91," ",'#orgDung'!RZ91," ",'#orgDung'!SA91))))</f>
        <v/>
      </c>
      <c r="J90" s="1023"/>
      <c r="K90" s="1024"/>
      <c r="L90" s="1025"/>
      <c r="M90" s="1026" t="str">
        <f>IF(L90="","",'#orgDung'!AN91)</f>
        <v/>
      </c>
      <c r="N90" s="1026" t="str">
        <f>IF(L90="","",'#orgDung'!AO91)</f>
        <v/>
      </c>
      <c r="O90" s="1027" t="str">
        <f>IF(L90="","",'#orgDung'!AQ91)</f>
        <v/>
      </c>
      <c r="P90" s="1025"/>
      <c r="Q90" s="1026" t="str">
        <f>IF(P90="","",'#orgDung'!BC91)</f>
        <v/>
      </c>
      <c r="R90" s="1026" t="str">
        <f>IF(P90="","",'#orgDung'!BD91)</f>
        <v/>
      </c>
      <c r="S90" s="1027" t="str">
        <f>IF(P90="","",'#orgDung'!BF91)</f>
        <v/>
      </c>
      <c r="T90" s="1025"/>
      <c r="U90" s="1026" t="str">
        <f>IF(T90="","",'#orgDung'!BR91)</f>
        <v/>
      </c>
      <c r="V90" s="1026" t="str">
        <f>IF(T90="","",'#orgDung'!BS91)</f>
        <v/>
      </c>
      <c r="W90" s="1027" t="str">
        <f>IF(T90="","",'#orgDung'!BU91)</f>
        <v/>
      </c>
      <c r="X90" s="1025"/>
      <c r="Y90" s="1026" t="str">
        <f>IF(X90="","",'#orgDung'!CG91)</f>
        <v/>
      </c>
      <c r="Z90" s="1026" t="str">
        <f>IF(X90="","",'#orgDung'!CH91)</f>
        <v/>
      </c>
      <c r="AA90" s="1027" t="str">
        <f>IF(X90="","",'#orgDung'!CJ91)</f>
        <v/>
      </c>
      <c r="AB90" s="1025"/>
      <c r="AC90" s="1026" t="str">
        <f>IF(AB90="","",'#orgDung'!CV91)</f>
        <v/>
      </c>
      <c r="AD90" s="1026" t="str">
        <f>IF(AB90="","",'#orgDung'!CW91)</f>
        <v/>
      </c>
      <c r="AE90" s="1027" t="str">
        <f>IF(AB90="","",'#orgDung'!CY91)</f>
        <v/>
      </c>
      <c r="AF90" s="1025"/>
      <c r="AG90" s="1026" t="str">
        <f>IF(AF90="","",'#orgDung'!DK91)</f>
        <v/>
      </c>
      <c r="AH90" s="1026" t="str">
        <f>IF(AF90="","",'#orgDung'!DL91)</f>
        <v/>
      </c>
      <c r="AI90" s="1027" t="str">
        <f>IF(AF90="","",'#orgDung'!DN91)</f>
        <v/>
      </c>
      <c r="AJ90" s="1025"/>
      <c r="AK90" s="1026" t="str">
        <f>IF(AJ90="","",'#orgDung'!DZ91)</f>
        <v/>
      </c>
      <c r="AL90" s="1026" t="str">
        <f>IF(AJ90="","",'#orgDung'!EA91)</f>
        <v/>
      </c>
      <c r="AM90" s="1027" t="str">
        <f>IF(AJ90="","",'#orgDung'!EC91)</f>
        <v/>
      </c>
      <c r="AN90" s="1025"/>
      <c r="AO90" s="1026" t="str">
        <f>IF(AN90="","",'#orgDung'!EO91)</f>
        <v/>
      </c>
      <c r="AP90" s="1026" t="str">
        <f>IF(AN90="","",'#orgDung'!EP91)</f>
        <v/>
      </c>
      <c r="AQ90" s="1027" t="str">
        <f>IF(AN90="","",'#orgDung'!ER91)</f>
        <v/>
      </c>
      <c r="AR90" s="1025"/>
      <c r="AS90" s="1026" t="str">
        <f>IF(AR90="","",'#orgDung'!FD91)</f>
        <v/>
      </c>
      <c r="AT90" s="1026" t="str">
        <f>IF(AR90="","",'#orgDung'!FE91)</f>
        <v/>
      </c>
      <c r="AU90" s="1027" t="str">
        <f>IF(AR90="","",'#orgDung'!FG91)</f>
        <v/>
      </c>
      <c r="AV90" s="1025"/>
      <c r="AW90" s="1026" t="str">
        <f>IF(AV90="","",'#orgDung'!FS91)</f>
        <v/>
      </c>
      <c r="AX90" s="1026" t="str">
        <f>IF(AV90="","",'#orgDung'!FT91)</f>
        <v/>
      </c>
      <c r="AY90" s="1027" t="str">
        <f>IF(AV90="","",'#orgDung'!FV91)</f>
        <v/>
      </c>
      <c r="AZ90" s="1025"/>
      <c r="BA90" s="1026" t="str">
        <f>IF(AZ90="","",'#orgDung'!GH91)</f>
        <v/>
      </c>
      <c r="BB90" s="1026" t="str">
        <f>IF(AZ90="","",'#orgDung'!GI91)</f>
        <v/>
      </c>
      <c r="BC90" s="1027" t="str">
        <f>IF(AZ90="","",'#orgDung'!GK91)</f>
        <v/>
      </c>
      <c r="BD90" s="1025"/>
      <c r="BE90" s="1026" t="str">
        <f>IF(BD90="","",'#orgDung'!GW91)</f>
        <v/>
      </c>
      <c r="BF90" s="1026" t="str">
        <f>IF(BD90="","",'#orgDung'!GX91)</f>
        <v/>
      </c>
      <c r="BG90" s="1027" t="str">
        <f>IF(BD90="","",'#orgDung'!GZ91)</f>
        <v/>
      </c>
      <c r="BH90" s="1025"/>
      <c r="BI90" s="1026" t="str">
        <f>IF(BH90="","",'#orgDung'!HL91)</f>
        <v/>
      </c>
      <c r="BJ90" s="1026" t="str">
        <f>IF(BH90="","",'#orgDung'!HM91)</f>
        <v/>
      </c>
      <c r="BK90" s="1027" t="str">
        <f>IF(BH90="","",'#orgDung'!HO91)</f>
        <v/>
      </c>
      <c r="BL90" s="1025"/>
      <c r="BM90" s="1026" t="str">
        <f>IF(BL90="","",'#orgDung'!IA91)</f>
        <v/>
      </c>
      <c r="BN90" s="1026" t="str">
        <f>IF(BL90="","",'#orgDung'!IB91)</f>
        <v/>
      </c>
      <c r="BO90" s="1027" t="str">
        <f>IF(BL90="","",'#orgDung'!ID91)</f>
        <v/>
      </c>
      <c r="BP90" s="1025"/>
      <c r="BQ90" s="1026" t="str">
        <f>IF(BP90="","",'#orgDung'!IP91)</f>
        <v/>
      </c>
      <c r="BR90" s="1026" t="str">
        <f>IF(BP90="","",'#orgDung'!IQ91)</f>
        <v/>
      </c>
      <c r="BS90" s="1027" t="str">
        <f>IF(BP90="","",'#orgDung'!IS91)</f>
        <v/>
      </c>
      <c r="BT90" s="1025"/>
      <c r="BU90" s="1026" t="str">
        <f>IF(BT90="","",'#orgDung'!JE91)</f>
        <v/>
      </c>
      <c r="BV90" s="1026" t="str">
        <f>IF(BT90="","",'#orgDung'!JF91)</f>
        <v/>
      </c>
      <c r="BW90" s="1027" t="str">
        <f>IF(BT90="","",'#orgDung'!JH91)</f>
        <v/>
      </c>
      <c r="BX90" s="1025"/>
      <c r="BY90" s="1026" t="str">
        <f>IF(BX90="","",'#orgDung'!JT91)</f>
        <v/>
      </c>
      <c r="BZ90" s="1026" t="str">
        <f>IF(BX90="","",'#orgDung'!JU91)</f>
        <v/>
      </c>
      <c r="CA90" s="1027" t="str">
        <f>IF(BX90="","",'#orgDung'!JW91)</f>
        <v/>
      </c>
      <c r="CB90" s="1025"/>
      <c r="CC90" s="1026" t="str">
        <f>IF(CB90="","",'#orgDung'!KI91)</f>
        <v/>
      </c>
      <c r="CD90" s="1026" t="str">
        <f>IF(CB90="","",'#orgDung'!KJ91)</f>
        <v/>
      </c>
      <c r="CE90" s="1027" t="str">
        <f>IF(CB90="","",'#orgDung'!KL91)</f>
        <v/>
      </c>
      <c r="CF90" s="1025"/>
      <c r="CG90" s="1026" t="str">
        <f>IF(CF90="","",'#orgDung'!KX91)</f>
        <v/>
      </c>
      <c r="CH90" s="1026" t="str">
        <f>IF(CF90="","",'#orgDung'!KY91)</f>
        <v/>
      </c>
      <c r="CI90" s="1027" t="str">
        <f>IF(CF90="","",'#orgDung'!LA91)</f>
        <v/>
      </c>
      <c r="CJ90" s="1025"/>
      <c r="CK90" s="1026" t="str">
        <f>IF(CJ90="","",'#orgDung'!LM91)</f>
        <v/>
      </c>
      <c r="CL90" s="1026" t="str">
        <f>IF(CJ90="","",'#orgDung'!LN91)</f>
        <v/>
      </c>
      <c r="CM90" s="1027" t="str">
        <f>IF(CJ90="","",'#orgDung'!LP91)</f>
        <v/>
      </c>
      <c r="CN90" s="1025"/>
      <c r="CO90" s="1026" t="str">
        <f>IF(CN90="","",'#orgDung'!MB91)</f>
        <v/>
      </c>
      <c r="CP90" s="1026" t="str">
        <f>IF(CN90="","",'#orgDung'!MC91)</f>
        <v/>
      </c>
      <c r="CQ90" s="1027" t="str">
        <f>IF(CN90="","",'#orgDung'!ME91)</f>
        <v/>
      </c>
      <c r="CR90" s="1025"/>
      <c r="CS90" s="1026" t="str">
        <f>IF(CR90="","",'#orgDung'!MQ91)</f>
        <v/>
      </c>
      <c r="CT90" s="1026" t="str">
        <f>IF(CR90="","",'#orgDung'!MR91)</f>
        <v/>
      </c>
      <c r="CU90" s="1027" t="str">
        <f>IF(CR90="","",'#orgDung'!MT91)</f>
        <v/>
      </c>
      <c r="CV90" s="1025"/>
      <c r="CW90" s="1026" t="str">
        <f>IF(CV90="","",'#orgDung'!NF91)</f>
        <v/>
      </c>
      <c r="CX90" s="1026" t="str">
        <f>IF(CV90="","",'#orgDung'!NG91)</f>
        <v/>
      </c>
      <c r="CY90" s="1027" t="str">
        <f>IF(CV90="","",'#orgDung'!NI91)</f>
        <v/>
      </c>
      <c r="CZ90" s="1025"/>
      <c r="DA90" s="1026" t="str">
        <f>IF(CZ90="","",'#orgDung'!NU91)</f>
        <v/>
      </c>
      <c r="DB90" s="1026" t="str">
        <f>IF(CZ90="","",'#orgDung'!NV91)</f>
        <v/>
      </c>
      <c r="DC90" s="1027" t="str">
        <f>IF(CZ90="","",'#orgDung'!NX91)</f>
        <v/>
      </c>
      <c r="DD90" s="1025"/>
      <c r="DE90" s="1026" t="str">
        <f>IF(DD90="","",'#orgDung'!OJ91)</f>
        <v/>
      </c>
      <c r="DF90" s="1026" t="str">
        <f>IF(DD90="","",'#orgDung'!OK91)</f>
        <v/>
      </c>
      <c r="DG90" s="1027" t="str">
        <f>IF(DD90="","",'#orgDung'!OM91)</f>
        <v/>
      </c>
      <c r="DH90" s="1025"/>
      <c r="DI90" s="1026" t="str">
        <f>IF(DH90="","",'#orgDung'!OY91)</f>
        <v/>
      </c>
      <c r="DJ90" s="1026" t="str">
        <f>IF(DH90="","",'#orgDung'!OZ91)</f>
        <v/>
      </c>
      <c r="DK90" s="1027" t="str">
        <f>IF(DH90="","",'#orgDung'!PB91)</f>
        <v/>
      </c>
      <c r="DL90" s="1025"/>
      <c r="DM90" s="1026" t="str">
        <f>IF(DL90="","",'#orgDung'!PN91)</f>
        <v/>
      </c>
      <c r="DN90" s="1026" t="str">
        <f>IF(DL90="","",'#orgDung'!PO91)</f>
        <v/>
      </c>
      <c r="DO90" s="1027" t="str">
        <f>IF(DL90="","",'#orgDung'!PQ91)</f>
        <v/>
      </c>
      <c r="DP90" s="1025"/>
      <c r="DQ90" s="1026" t="str">
        <f>IF(DP90="","",'#orgDung'!QC91)</f>
        <v/>
      </c>
      <c r="DR90" s="1026" t="str">
        <f>IF(DP90="","",'#orgDung'!QD91)</f>
        <v/>
      </c>
      <c r="DS90" s="1027" t="str">
        <f>IF(DP90="","",'#orgDung'!QF91)</f>
        <v/>
      </c>
      <c r="DT90" s="1025"/>
      <c r="DU90" s="1026" t="str">
        <f>IF(DT90="","",'#orgDung'!QR91)</f>
        <v/>
      </c>
      <c r="DV90" s="1026" t="str">
        <f>IF(DT90="","",'#orgDung'!QS91)</f>
        <v/>
      </c>
      <c r="DW90" s="1027" t="str">
        <f>IF(DT90="","",'#orgDung'!QU91)</f>
        <v/>
      </c>
      <c r="DX90" s="1025"/>
      <c r="DY90" s="1026" t="str">
        <f>IF(DX90="","",'#orgDung'!RG91)</f>
        <v/>
      </c>
      <c r="DZ90" s="1026" t="str">
        <f>IF(DX90="","",'#orgDung'!RH91)</f>
        <v/>
      </c>
      <c r="EA90" s="1027" t="str">
        <f>IF(DX90="","",'#orgDung'!RJ91)</f>
        <v/>
      </c>
    </row>
    <row r="91" spans="1:131" ht="15" customHeight="1" x14ac:dyDescent="0.2">
      <c r="A91" s="1195">
        <f>'Flächen u. Kulturen'!A88</f>
        <v>79</v>
      </c>
      <c r="B91" s="1195" t="str">
        <f>IF('Flächen u. Kulturen'!B88="","",'Flächen u. Kulturen'!B88)</f>
        <v/>
      </c>
      <c r="C91" s="1196" t="str">
        <f>IF('Flächen u. Kulturen'!D88="","",'Flächen u. Kulturen'!D88)</f>
        <v/>
      </c>
      <c r="D91" s="1197" t="str">
        <f>IF(C91="","",IF('#BerechnungDBE'!Q83&lt;4,"x",""))</f>
        <v/>
      </c>
      <c r="E91" s="1198" t="str">
        <f>IF(C91="","",VLOOKUP('Flächen u. Kulturen'!L88,'#Zweitfr'!$D$8:$F$28,'#Zweitfr'!$F$1,FALSE))</f>
        <v/>
      </c>
      <c r="F91" s="1199" t="str">
        <f>IF(C91="","",IF('Flächen u. Kulturen'!E88="x",'Flächen u. Kulturen'!P88,"nicht im Betrieb"))</f>
        <v/>
      </c>
      <c r="G91" s="1200" t="str">
        <f>IF(C91="","",IF('#orgDung'!C92=2,"--",IF('#Kürzungen'!$F$2=2,"--",'#orgDung'!R92)))</f>
        <v/>
      </c>
      <c r="H91" s="1200" t="str">
        <f>IF(C91="","",'#orgDung'!U92)</f>
        <v/>
      </c>
      <c r="I91" s="1201" t="str">
        <f>IF(C91="","",IF(COUNT('#orgDung'!RS92:SA92)=0,"OK",TRIM(CONCATENATE('#orgDung'!RS92," ",'#orgDung'!RT92," ",'#orgDung'!RU92," ",'#orgDung'!RV92," ",'#orgDung'!RW92," ",'#orgDung'!RX92," ",'#orgDung'!RY92," ",'#orgDung'!RZ92," ",'#orgDung'!SA92))))</f>
        <v/>
      </c>
      <c r="J91" s="1023"/>
      <c r="K91" s="1024"/>
      <c r="L91" s="1025"/>
      <c r="M91" s="1026" t="str">
        <f>IF(L91="","",'#orgDung'!AN92)</f>
        <v/>
      </c>
      <c r="N91" s="1026" t="str">
        <f>IF(L91="","",'#orgDung'!AO92)</f>
        <v/>
      </c>
      <c r="O91" s="1027" t="str">
        <f>IF(L91="","",'#orgDung'!AQ92)</f>
        <v/>
      </c>
      <c r="P91" s="1025"/>
      <c r="Q91" s="1026" t="str">
        <f>IF(P91="","",'#orgDung'!BC92)</f>
        <v/>
      </c>
      <c r="R91" s="1026" t="str">
        <f>IF(P91="","",'#orgDung'!BD92)</f>
        <v/>
      </c>
      <c r="S91" s="1027" t="str">
        <f>IF(P91="","",'#orgDung'!BF92)</f>
        <v/>
      </c>
      <c r="T91" s="1025"/>
      <c r="U91" s="1026" t="str">
        <f>IF(T91="","",'#orgDung'!BR92)</f>
        <v/>
      </c>
      <c r="V91" s="1026" t="str">
        <f>IF(T91="","",'#orgDung'!BS92)</f>
        <v/>
      </c>
      <c r="W91" s="1027" t="str">
        <f>IF(T91="","",'#orgDung'!BU92)</f>
        <v/>
      </c>
      <c r="X91" s="1025"/>
      <c r="Y91" s="1026" t="str">
        <f>IF(X91="","",'#orgDung'!CG92)</f>
        <v/>
      </c>
      <c r="Z91" s="1026" t="str">
        <f>IF(X91="","",'#orgDung'!CH92)</f>
        <v/>
      </c>
      <c r="AA91" s="1027" t="str">
        <f>IF(X91="","",'#orgDung'!CJ92)</f>
        <v/>
      </c>
      <c r="AB91" s="1025"/>
      <c r="AC91" s="1026" t="str">
        <f>IF(AB91="","",'#orgDung'!CV92)</f>
        <v/>
      </c>
      <c r="AD91" s="1026" t="str">
        <f>IF(AB91="","",'#orgDung'!CW92)</f>
        <v/>
      </c>
      <c r="AE91" s="1027" t="str">
        <f>IF(AB91="","",'#orgDung'!CY92)</f>
        <v/>
      </c>
      <c r="AF91" s="1025"/>
      <c r="AG91" s="1026" t="str">
        <f>IF(AF91="","",'#orgDung'!DK92)</f>
        <v/>
      </c>
      <c r="AH91" s="1026" t="str">
        <f>IF(AF91="","",'#orgDung'!DL92)</f>
        <v/>
      </c>
      <c r="AI91" s="1027" t="str">
        <f>IF(AF91="","",'#orgDung'!DN92)</f>
        <v/>
      </c>
      <c r="AJ91" s="1025"/>
      <c r="AK91" s="1026" t="str">
        <f>IF(AJ91="","",'#orgDung'!DZ92)</f>
        <v/>
      </c>
      <c r="AL91" s="1026" t="str">
        <f>IF(AJ91="","",'#orgDung'!EA92)</f>
        <v/>
      </c>
      <c r="AM91" s="1027" t="str">
        <f>IF(AJ91="","",'#orgDung'!EC92)</f>
        <v/>
      </c>
      <c r="AN91" s="1025"/>
      <c r="AO91" s="1026" t="str">
        <f>IF(AN91="","",'#orgDung'!EO92)</f>
        <v/>
      </c>
      <c r="AP91" s="1026" t="str">
        <f>IF(AN91="","",'#orgDung'!EP92)</f>
        <v/>
      </c>
      <c r="AQ91" s="1027" t="str">
        <f>IF(AN91="","",'#orgDung'!ER92)</f>
        <v/>
      </c>
      <c r="AR91" s="1025"/>
      <c r="AS91" s="1026" t="str">
        <f>IF(AR91="","",'#orgDung'!FD92)</f>
        <v/>
      </c>
      <c r="AT91" s="1026" t="str">
        <f>IF(AR91="","",'#orgDung'!FE92)</f>
        <v/>
      </c>
      <c r="AU91" s="1027" t="str">
        <f>IF(AR91="","",'#orgDung'!FG92)</f>
        <v/>
      </c>
      <c r="AV91" s="1025"/>
      <c r="AW91" s="1026" t="str">
        <f>IF(AV91="","",'#orgDung'!FS92)</f>
        <v/>
      </c>
      <c r="AX91" s="1026" t="str">
        <f>IF(AV91="","",'#orgDung'!FT92)</f>
        <v/>
      </c>
      <c r="AY91" s="1027" t="str">
        <f>IF(AV91="","",'#orgDung'!FV92)</f>
        <v/>
      </c>
      <c r="AZ91" s="1025"/>
      <c r="BA91" s="1026" t="str">
        <f>IF(AZ91="","",'#orgDung'!GH92)</f>
        <v/>
      </c>
      <c r="BB91" s="1026" t="str">
        <f>IF(AZ91="","",'#orgDung'!GI92)</f>
        <v/>
      </c>
      <c r="BC91" s="1027" t="str">
        <f>IF(AZ91="","",'#orgDung'!GK92)</f>
        <v/>
      </c>
      <c r="BD91" s="1025"/>
      <c r="BE91" s="1026" t="str">
        <f>IF(BD91="","",'#orgDung'!GW92)</f>
        <v/>
      </c>
      <c r="BF91" s="1026" t="str">
        <f>IF(BD91="","",'#orgDung'!GX92)</f>
        <v/>
      </c>
      <c r="BG91" s="1027" t="str">
        <f>IF(BD91="","",'#orgDung'!GZ92)</f>
        <v/>
      </c>
      <c r="BH91" s="1025"/>
      <c r="BI91" s="1026" t="str">
        <f>IF(BH91="","",'#orgDung'!HL92)</f>
        <v/>
      </c>
      <c r="BJ91" s="1026" t="str">
        <f>IF(BH91="","",'#orgDung'!HM92)</f>
        <v/>
      </c>
      <c r="BK91" s="1027" t="str">
        <f>IF(BH91="","",'#orgDung'!HO92)</f>
        <v/>
      </c>
      <c r="BL91" s="1025"/>
      <c r="BM91" s="1026" t="str">
        <f>IF(BL91="","",'#orgDung'!IA92)</f>
        <v/>
      </c>
      <c r="BN91" s="1026" t="str">
        <f>IF(BL91="","",'#orgDung'!IB92)</f>
        <v/>
      </c>
      <c r="BO91" s="1027" t="str">
        <f>IF(BL91="","",'#orgDung'!ID92)</f>
        <v/>
      </c>
      <c r="BP91" s="1025"/>
      <c r="BQ91" s="1026" t="str">
        <f>IF(BP91="","",'#orgDung'!IP92)</f>
        <v/>
      </c>
      <c r="BR91" s="1026" t="str">
        <f>IF(BP91="","",'#orgDung'!IQ92)</f>
        <v/>
      </c>
      <c r="BS91" s="1027" t="str">
        <f>IF(BP91="","",'#orgDung'!IS92)</f>
        <v/>
      </c>
      <c r="BT91" s="1025"/>
      <c r="BU91" s="1026" t="str">
        <f>IF(BT91="","",'#orgDung'!JE92)</f>
        <v/>
      </c>
      <c r="BV91" s="1026" t="str">
        <f>IF(BT91="","",'#orgDung'!JF92)</f>
        <v/>
      </c>
      <c r="BW91" s="1027" t="str">
        <f>IF(BT91="","",'#orgDung'!JH92)</f>
        <v/>
      </c>
      <c r="BX91" s="1025"/>
      <c r="BY91" s="1026" t="str">
        <f>IF(BX91="","",'#orgDung'!JT92)</f>
        <v/>
      </c>
      <c r="BZ91" s="1026" t="str">
        <f>IF(BX91="","",'#orgDung'!JU92)</f>
        <v/>
      </c>
      <c r="CA91" s="1027" t="str">
        <f>IF(BX91="","",'#orgDung'!JW92)</f>
        <v/>
      </c>
      <c r="CB91" s="1025"/>
      <c r="CC91" s="1026" t="str">
        <f>IF(CB91="","",'#orgDung'!KI92)</f>
        <v/>
      </c>
      <c r="CD91" s="1026" t="str">
        <f>IF(CB91="","",'#orgDung'!KJ92)</f>
        <v/>
      </c>
      <c r="CE91" s="1027" t="str">
        <f>IF(CB91="","",'#orgDung'!KL92)</f>
        <v/>
      </c>
      <c r="CF91" s="1025"/>
      <c r="CG91" s="1026" t="str">
        <f>IF(CF91="","",'#orgDung'!KX92)</f>
        <v/>
      </c>
      <c r="CH91" s="1026" t="str">
        <f>IF(CF91="","",'#orgDung'!KY92)</f>
        <v/>
      </c>
      <c r="CI91" s="1027" t="str">
        <f>IF(CF91="","",'#orgDung'!LA92)</f>
        <v/>
      </c>
      <c r="CJ91" s="1025"/>
      <c r="CK91" s="1026" t="str">
        <f>IF(CJ91="","",'#orgDung'!LM92)</f>
        <v/>
      </c>
      <c r="CL91" s="1026" t="str">
        <f>IF(CJ91="","",'#orgDung'!LN92)</f>
        <v/>
      </c>
      <c r="CM91" s="1027" t="str">
        <f>IF(CJ91="","",'#orgDung'!LP92)</f>
        <v/>
      </c>
      <c r="CN91" s="1025"/>
      <c r="CO91" s="1026" t="str">
        <f>IF(CN91="","",'#orgDung'!MB92)</f>
        <v/>
      </c>
      <c r="CP91" s="1026" t="str">
        <f>IF(CN91="","",'#orgDung'!MC92)</f>
        <v/>
      </c>
      <c r="CQ91" s="1027" t="str">
        <f>IF(CN91="","",'#orgDung'!ME92)</f>
        <v/>
      </c>
      <c r="CR91" s="1025"/>
      <c r="CS91" s="1026" t="str">
        <f>IF(CR91="","",'#orgDung'!MQ92)</f>
        <v/>
      </c>
      <c r="CT91" s="1026" t="str">
        <f>IF(CR91="","",'#orgDung'!MR92)</f>
        <v/>
      </c>
      <c r="CU91" s="1027" t="str">
        <f>IF(CR91="","",'#orgDung'!MT92)</f>
        <v/>
      </c>
      <c r="CV91" s="1025"/>
      <c r="CW91" s="1026" t="str">
        <f>IF(CV91="","",'#orgDung'!NF92)</f>
        <v/>
      </c>
      <c r="CX91" s="1026" t="str">
        <f>IF(CV91="","",'#orgDung'!NG92)</f>
        <v/>
      </c>
      <c r="CY91" s="1027" t="str">
        <f>IF(CV91="","",'#orgDung'!NI92)</f>
        <v/>
      </c>
      <c r="CZ91" s="1025"/>
      <c r="DA91" s="1026" t="str">
        <f>IF(CZ91="","",'#orgDung'!NU92)</f>
        <v/>
      </c>
      <c r="DB91" s="1026" t="str">
        <f>IF(CZ91="","",'#orgDung'!NV92)</f>
        <v/>
      </c>
      <c r="DC91" s="1027" t="str">
        <f>IF(CZ91="","",'#orgDung'!NX92)</f>
        <v/>
      </c>
      <c r="DD91" s="1025"/>
      <c r="DE91" s="1026" t="str">
        <f>IF(DD91="","",'#orgDung'!OJ92)</f>
        <v/>
      </c>
      <c r="DF91" s="1026" t="str">
        <f>IF(DD91="","",'#orgDung'!OK92)</f>
        <v/>
      </c>
      <c r="DG91" s="1027" t="str">
        <f>IF(DD91="","",'#orgDung'!OM92)</f>
        <v/>
      </c>
      <c r="DH91" s="1025"/>
      <c r="DI91" s="1026" t="str">
        <f>IF(DH91="","",'#orgDung'!OY92)</f>
        <v/>
      </c>
      <c r="DJ91" s="1026" t="str">
        <f>IF(DH91="","",'#orgDung'!OZ92)</f>
        <v/>
      </c>
      <c r="DK91" s="1027" t="str">
        <f>IF(DH91="","",'#orgDung'!PB92)</f>
        <v/>
      </c>
      <c r="DL91" s="1025"/>
      <c r="DM91" s="1026" t="str">
        <f>IF(DL91="","",'#orgDung'!PN92)</f>
        <v/>
      </c>
      <c r="DN91" s="1026" t="str">
        <f>IF(DL91="","",'#orgDung'!PO92)</f>
        <v/>
      </c>
      <c r="DO91" s="1027" t="str">
        <f>IF(DL91="","",'#orgDung'!PQ92)</f>
        <v/>
      </c>
      <c r="DP91" s="1025"/>
      <c r="DQ91" s="1026" t="str">
        <f>IF(DP91="","",'#orgDung'!QC92)</f>
        <v/>
      </c>
      <c r="DR91" s="1026" t="str">
        <f>IF(DP91="","",'#orgDung'!QD92)</f>
        <v/>
      </c>
      <c r="DS91" s="1027" t="str">
        <f>IF(DP91="","",'#orgDung'!QF92)</f>
        <v/>
      </c>
      <c r="DT91" s="1025"/>
      <c r="DU91" s="1026" t="str">
        <f>IF(DT91="","",'#orgDung'!QR92)</f>
        <v/>
      </c>
      <c r="DV91" s="1026" t="str">
        <f>IF(DT91="","",'#orgDung'!QS92)</f>
        <v/>
      </c>
      <c r="DW91" s="1027" t="str">
        <f>IF(DT91="","",'#orgDung'!QU92)</f>
        <v/>
      </c>
      <c r="DX91" s="1025"/>
      <c r="DY91" s="1026" t="str">
        <f>IF(DX91="","",'#orgDung'!RG92)</f>
        <v/>
      </c>
      <c r="DZ91" s="1026" t="str">
        <f>IF(DX91="","",'#orgDung'!RH92)</f>
        <v/>
      </c>
      <c r="EA91" s="1027" t="str">
        <f>IF(DX91="","",'#orgDung'!RJ92)</f>
        <v/>
      </c>
    </row>
    <row r="92" spans="1:131" ht="15" customHeight="1" x14ac:dyDescent="0.2">
      <c r="A92" s="1195">
        <f>'Flächen u. Kulturen'!A89</f>
        <v>80</v>
      </c>
      <c r="B92" s="1195" t="str">
        <f>IF('Flächen u. Kulturen'!B89="","",'Flächen u. Kulturen'!B89)</f>
        <v/>
      </c>
      <c r="C92" s="1196" t="str">
        <f>IF('Flächen u. Kulturen'!D89="","",'Flächen u. Kulturen'!D89)</f>
        <v/>
      </c>
      <c r="D92" s="1197" t="str">
        <f>IF(C92="","",IF('#BerechnungDBE'!Q84&lt;4,"x",""))</f>
        <v/>
      </c>
      <c r="E92" s="1198" t="str">
        <f>IF(C92="","",VLOOKUP('Flächen u. Kulturen'!L89,'#Zweitfr'!$D$8:$F$28,'#Zweitfr'!$F$1,FALSE))</f>
        <v/>
      </c>
      <c r="F92" s="1199" t="str">
        <f>IF(C92="","",IF('Flächen u. Kulturen'!E89="x",'Flächen u. Kulturen'!P89,"nicht im Betrieb"))</f>
        <v/>
      </c>
      <c r="G92" s="1200" t="str">
        <f>IF(C92="","",IF('#orgDung'!C93=2,"--",IF('#Kürzungen'!$F$2=2,"--",'#orgDung'!R93)))</f>
        <v/>
      </c>
      <c r="H92" s="1200" t="str">
        <f>IF(C92="","",'#orgDung'!U93)</f>
        <v/>
      </c>
      <c r="I92" s="1201" t="str">
        <f>IF(C92="","",IF(COUNT('#orgDung'!RS93:SA93)=0,"OK",TRIM(CONCATENATE('#orgDung'!RS93," ",'#orgDung'!RT93," ",'#orgDung'!RU93," ",'#orgDung'!RV93," ",'#orgDung'!RW93," ",'#orgDung'!RX93," ",'#orgDung'!RY93," ",'#orgDung'!RZ93," ",'#orgDung'!SA93))))</f>
        <v/>
      </c>
      <c r="J92" s="1023"/>
      <c r="K92" s="1024"/>
      <c r="L92" s="1025"/>
      <c r="M92" s="1026" t="str">
        <f>IF(L92="","",'#orgDung'!AN93)</f>
        <v/>
      </c>
      <c r="N92" s="1026" t="str">
        <f>IF(L92="","",'#orgDung'!AO93)</f>
        <v/>
      </c>
      <c r="O92" s="1027" t="str">
        <f>IF(L92="","",'#orgDung'!AQ93)</f>
        <v/>
      </c>
      <c r="P92" s="1025"/>
      <c r="Q92" s="1026" t="str">
        <f>IF(P92="","",'#orgDung'!BC93)</f>
        <v/>
      </c>
      <c r="R92" s="1026" t="str">
        <f>IF(P92="","",'#orgDung'!BD93)</f>
        <v/>
      </c>
      <c r="S92" s="1027" t="str">
        <f>IF(P92="","",'#orgDung'!BF93)</f>
        <v/>
      </c>
      <c r="T92" s="1025"/>
      <c r="U92" s="1026" t="str">
        <f>IF(T92="","",'#orgDung'!BR93)</f>
        <v/>
      </c>
      <c r="V92" s="1026" t="str">
        <f>IF(T92="","",'#orgDung'!BS93)</f>
        <v/>
      </c>
      <c r="W92" s="1027" t="str">
        <f>IF(T92="","",'#orgDung'!BU93)</f>
        <v/>
      </c>
      <c r="X92" s="1025"/>
      <c r="Y92" s="1026" t="str">
        <f>IF(X92="","",'#orgDung'!CG93)</f>
        <v/>
      </c>
      <c r="Z92" s="1026" t="str">
        <f>IF(X92="","",'#orgDung'!CH93)</f>
        <v/>
      </c>
      <c r="AA92" s="1027" t="str">
        <f>IF(X92="","",'#orgDung'!CJ93)</f>
        <v/>
      </c>
      <c r="AB92" s="1025"/>
      <c r="AC92" s="1026" t="str">
        <f>IF(AB92="","",'#orgDung'!CV93)</f>
        <v/>
      </c>
      <c r="AD92" s="1026" t="str">
        <f>IF(AB92="","",'#orgDung'!CW93)</f>
        <v/>
      </c>
      <c r="AE92" s="1027" t="str">
        <f>IF(AB92="","",'#orgDung'!CY93)</f>
        <v/>
      </c>
      <c r="AF92" s="1025"/>
      <c r="AG92" s="1026" t="str">
        <f>IF(AF92="","",'#orgDung'!DK93)</f>
        <v/>
      </c>
      <c r="AH92" s="1026" t="str">
        <f>IF(AF92="","",'#orgDung'!DL93)</f>
        <v/>
      </c>
      <c r="AI92" s="1027" t="str">
        <f>IF(AF92="","",'#orgDung'!DN93)</f>
        <v/>
      </c>
      <c r="AJ92" s="1025"/>
      <c r="AK92" s="1026" t="str">
        <f>IF(AJ92="","",'#orgDung'!DZ93)</f>
        <v/>
      </c>
      <c r="AL92" s="1026" t="str">
        <f>IF(AJ92="","",'#orgDung'!EA93)</f>
        <v/>
      </c>
      <c r="AM92" s="1027" t="str">
        <f>IF(AJ92="","",'#orgDung'!EC93)</f>
        <v/>
      </c>
      <c r="AN92" s="1025"/>
      <c r="AO92" s="1026" t="str">
        <f>IF(AN92="","",'#orgDung'!EO93)</f>
        <v/>
      </c>
      <c r="AP92" s="1026" t="str">
        <f>IF(AN92="","",'#orgDung'!EP93)</f>
        <v/>
      </c>
      <c r="AQ92" s="1027" t="str">
        <f>IF(AN92="","",'#orgDung'!ER93)</f>
        <v/>
      </c>
      <c r="AR92" s="1025"/>
      <c r="AS92" s="1026" t="str">
        <f>IF(AR92="","",'#orgDung'!FD93)</f>
        <v/>
      </c>
      <c r="AT92" s="1026" t="str">
        <f>IF(AR92="","",'#orgDung'!FE93)</f>
        <v/>
      </c>
      <c r="AU92" s="1027" t="str">
        <f>IF(AR92="","",'#orgDung'!FG93)</f>
        <v/>
      </c>
      <c r="AV92" s="1025"/>
      <c r="AW92" s="1026" t="str">
        <f>IF(AV92="","",'#orgDung'!FS93)</f>
        <v/>
      </c>
      <c r="AX92" s="1026" t="str">
        <f>IF(AV92="","",'#orgDung'!FT93)</f>
        <v/>
      </c>
      <c r="AY92" s="1027" t="str">
        <f>IF(AV92="","",'#orgDung'!FV93)</f>
        <v/>
      </c>
      <c r="AZ92" s="1025"/>
      <c r="BA92" s="1026" t="str">
        <f>IF(AZ92="","",'#orgDung'!GH93)</f>
        <v/>
      </c>
      <c r="BB92" s="1026" t="str">
        <f>IF(AZ92="","",'#orgDung'!GI93)</f>
        <v/>
      </c>
      <c r="BC92" s="1027" t="str">
        <f>IF(AZ92="","",'#orgDung'!GK93)</f>
        <v/>
      </c>
      <c r="BD92" s="1025"/>
      <c r="BE92" s="1026" t="str">
        <f>IF(BD92="","",'#orgDung'!GW93)</f>
        <v/>
      </c>
      <c r="BF92" s="1026" t="str">
        <f>IF(BD92="","",'#orgDung'!GX93)</f>
        <v/>
      </c>
      <c r="BG92" s="1027" t="str">
        <f>IF(BD92="","",'#orgDung'!GZ93)</f>
        <v/>
      </c>
      <c r="BH92" s="1025"/>
      <c r="BI92" s="1026" t="str">
        <f>IF(BH92="","",'#orgDung'!HL93)</f>
        <v/>
      </c>
      <c r="BJ92" s="1026" t="str">
        <f>IF(BH92="","",'#orgDung'!HM93)</f>
        <v/>
      </c>
      <c r="BK92" s="1027" t="str">
        <f>IF(BH92="","",'#orgDung'!HO93)</f>
        <v/>
      </c>
      <c r="BL92" s="1025"/>
      <c r="BM92" s="1026" t="str">
        <f>IF(BL92="","",'#orgDung'!IA93)</f>
        <v/>
      </c>
      <c r="BN92" s="1026" t="str">
        <f>IF(BL92="","",'#orgDung'!IB93)</f>
        <v/>
      </c>
      <c r="BO92" s="1027" t="str">
        <f>IF(BL92="","",'#orgDung'!ID93)</f>
        <v/>
      </c>
      <c r="BP92" s="1025"/>
      <c r="BQ92" s="1026" t="str">
        <f>IF(BP92="","",'#orgDung'!IP93)</f>
        <v/>
      </c>
      <c r="BR92" s="1026" t="str">
        <f>IF(BP92="","",'#orgDung'!IQ93)</f>
        <v/>
      </c>
      <c r="BS92" s="1027" t="str">
        <f>IF(BP92="","",'#orgDung'!IS93)</f>
        <v/>
      </c>
      <c r="BT92" s="1025"/>
      <c r="BU92" s="1026" t="str">
        <f>IF(BT92="","",'#orgDung'!JE93)</f>
        <v/>
      </c>
      <c r="BV92" s="1026" t="str">
        <f>IF(BT92="","",'#orgDung'!JF93)</f>
        <v/>
      </c>
      <c r="BW92" s="1027" t="str">
        <f>IF(BT92="","",'#orgDung'!JH93)</f>
        <v/>
      </c>
      <c r="BX92" s="1025"/>
      <c r="BY92" s="1026" t="str">
        <f>IF(BX92="","",'#orgDung'!JT93)</f>
        <v/>
      </c>
      <c r="BZ92" s="1026" t="str">
        <f>IF(BX92="","",'#orgDung'!JU93)</f>
        <v/>
      </c>
      <c r="CA92" s="1027" t="str">
        <f>IF(BX92="","",'#orgDung'!JW93)</f>
        <v/>
      </c>
      <c r="CB92" s="1025"/>
      <c r="CC92" s="1026" t="str">
        <f>IF(CB92="","",'#orgDung'!KI93)</f>
        <v/>
      </c>
      <c r="CD92" s="1026" t="str">
        <f>IF(CB92="","",'#orgDung'!KJ93)</f>
        <v/>
      </c>
      <c r="CE92" s="1027" t="str">
        <f>IF(CB92="","",'#orgDung'!KL93)</f>
        <v/>
      </c>
      <c r="CF92" s="1025"/>
      <c r="CG92" s="1026" t="str">
        <f>IF(CF92="","",'#orgDung'!KX93)</f>
        <v/>
      </c>
      <c r="CH92" s="1026" t="str">
        <f>IF(CF92="","",'#orgDung'!KY93)</f>
        <v/>
      </c>
      <c r="CI92" s="1027" t="str">
        <f>IF(CF92="","",'#orgDung'!LA93)</f>
        <v/>
      </c>
      <c r="CJ92" s="1025"/>
      <c r="CK92" s="1026" t="str">
        <f>IF(CJ92="","",'#orgDung'!LM93)</f>
        <v/>
      </c>
      <c r="CL92" s="1026" t="str">
        <f>IF(CJ92="","",'#orgDung'!LN93)</f>
        <v/>
      </c>
      <c r="CM92" s="1027" t="str">
        <f>IF(CJ92="","",'#orgDung'!LP93)</f>
        <v/>
      </c>
      <c r="CN92" s="1025"/>
      <c r="CO92" s="1026" t="str">
        <f>IF(CN92="","",'#orgDung'!MB93)</f>
        <v/>
      </c>
      <c r="CP92" s="1026" t="str">
        <f>IF(CN92="","",'#orgDung'!MC93)</f>
        <v/>
      </c>
      <c r="CQ92" s="1027" t="str">
        <f>IF(CN92="","",'#orgDung'!ME93)</f>
        <v/>
      </c>
      <c r="CR92" s="1025"/>
      <c r="CS92" s="1026" t="str">
        <f>IF(CR92="","",'#orgDung'!MQ93)</f>
        <v/>
      </c>
      <c r="CT92" s="1026" t="str">
        <f>IF(CR92="","",'#orgDung'!MR93)</f>
        <v/>
      </c>
      <c r="CU92" s="1027" t="str">
        <f>IF(CR92="","",'#orgDung'!MT93)</f>
        <v/>
      </c>
      <c r="CV92" s="1025"/>
      <c r="CW92" s="1026" t="str">
        <f>IF(CV92="","",'#orgDung'!NF93)</f>
        <v/>
      </c>
      <c r="CX92" s="1026" t="str">
        <f>IF(CV92="","",'#orgDung'!NG93)</f>
        <v/>
      </c>
      <c r="CY92" s="1027" t="str">
        <f>IF(CV92="","",'#orgDung'!NI93)</f>
        <v/>
      </c>
      <c r="CZ92" s="1025"/>
      <c r="DA92" s="1026" t="str">
        <f>IF(CZ92="","",'#orgDung'!NU93)</f>
        <v/>
      </c>
      <c r="DB92" s="1026" t="str">
        <f>IF(CZ92="","",'#orgDung'!NV93)</f>
        <v/>
      </c>
      <c r="DC92" s="1027" t="str">
        <f>IF(CZ92="","",'#orgDung'!NX93)</f>
        <v/>
      </c>
      <c r="DD92" s="1025"/>
      <c r="DE92" s="1026" t="str">
        <f>IF(DD92="","",'#orgDung'!OJ93)</f>
        <v/>
      </c>
      <c r="DF92" s="1026" t="str">
        <f>IF(DD92="","",'#orgDung'!OK93)</f>
        <v/>
      </c>
      <c r="DG92" s="1027" t="str">
        <f>IF(DD92="","",'#orgDung'!OM93)</f>
        <v/>
      </c>
      <c r="DH92" s="1025"/>
      <c r="DI92" s="1026" t="str">
        <f>IF(DH92="","",'#orgDung'!OY93)</f>
        <v/>
      </c>
      <c r="DJ92" s="1026" t="str">
        <f>IF(DH92="","",'#orgDung'!OZ93)</f>
        <v/>
      </c>
      <c r="DK92" s="1027" t="str">
        <f>IF(DH92="","",'#orgDung'!PB93)</f>
        <v/>
      </c>
      <c r="DL92" s="1025"/>
      <c r="DM92" s="1026" t="str">
        <f>IF(DL92="","",'#orgDung'!PN93)</f>
        <v/>
      </c>
      <c r="DN92" s="1026" t="str">
        <f>IF(DL92="","",'#orgDung'!PO93)</f>
        <v/>
      </c>
      <c r="DO92" s="1027" t="str">
        <f>IF(DL92="","",'#orgDung'!PQ93)</f>
        <v/>
      </c>
      <c r="DP92" s="1025"/>
      <c r="DQ92" s="1026" t="str">
        <f>IF(DP92="","",'#orgDung'!QC93)</f>
        <v/>
      </c>
      <c r="DR92" s="1026" t="str">
        <f>IF(DP92="","",'#orgDung'!QD93)</f>
        <v/>
      </c>
      <c r="DS92" s="1027" t="str">
        <f>IF(DP92="","",'#orgDung'!QF93)</f>
        <v/>
      </c>
      <c r="DT92" s="1025"/>
      <c r="DU92" s="1026" t="str">
        <f>IF(DT92="","",'#orgDung'!QR93)</f>
        <v/>
      </c>
      <c r="DV92" s="1026" t="str">
        <f>IF(DT92="","",'#orgDung'!QS93)</f>
        <v/>
      </c>
      <c r="DW92" s="1027" t="str">
        <f>IF(DT92="","",'#orgDung'!QU93)</f>
        <v/>
      </c>
      <c r="DX92" s="1025"/>
      <c r="DY92" s="1026" t="str">
        <f>IF(DX92="","",'#orgDung'!RG93)</f>
        <v/>
      </c>
      <c r="DZ92" s="1026" t="str">
        <f>IF(DX92="","",'#orgDung'!RH93)</f>
        <v/>
      </c>
      <c r="EA92" s="1027" t="str">
        <f>IF(DX92="","",'#orgDung'!RJ93)</f>
        <v/>
      </c>
    </row>
    <row r="93" spans="1:131" ht="15" customHeight="1" x14ac:dyDescent="0.2">
      <c r="A93" s="1195">
        <f>'Flächen u. Kulturen'!A90</f>
        <v>81</v>
      </c>
      <c r="B93" s="1195" t="str">
        <f>IF('Flächen u. Kulturen'!B90="","",'Flächen u. Kulturen'!B90)</f>
        <v/>
      </c>
      <c r="C93" s="1196" t="str">
        <f>IF('Flächen u. Kulturen'!D90="","",'Flächen u. Kulturen'!D90)</f>
        <v/>
      </c>
      <c r="D93" s="1197" t="str">
        <f>IF(C93="","",IF('#BerechnungDBE'!Q85&lt;4,"x",""))</f>
        <v/>
      </c>
      <c r="E93" s="1198" t="str">
        <f>IF(C93="","",VLOOKUP('Flächen u. Kulturen'!L90,'#Zweitfr'!$D$8:$F$28,'#Zweitfr'!$F$1,FALSE))</f>
        <v/>
      </c>
      <c r="F93" s="1199" t="str">
        <f>IF(C93="","",IF('Flächen u. Kulturen'!E90="x",'Flächen u. Kulturen'!P90,"nicht im Betrieb"))</f>
        <v/>
      </c>
      <c r="G93" s="1200" t="str">
        <f>IF(C93="","",IF('#orgDung'!C94=2,"--",IF('#Kürzungen'!$F$2=2,"--",'#orgDung'!R94)))</f>
        <v/>
      </c>
      <c r="H93" s="1200" t="str">
        <f>IF(C93="","",'#orgDung'!U94)</f>
        <v/>
      </c>
      <c r="I93" s="1201" t="str">
        <f>IF(C93="","",IF(COUNT('#orgDung'!RS94:SA94)=0,"OK",TRIM(CONCATENATE('#orgDung'!RS94," ",'#orgDung'!RT94," ",'#orgDung'!RU94," ",'#orgDung'!RV94," ",'#orgDung'!RW94," ",'#orgDung'!RX94," ",'#orgDung'!RY94," ",'#orgDung'!RZ94," ",'#orgDung'!SA94))))</f>
        <v/>
      </c>
      <c r="J93" s="1023"/>
      <c r="K93" s="1024"/>
      <c r="L93" s="1025"/>
      <c r="M93" s="1026" t="str">
        <f>IF(L93="","",'#orgDung'!AN94)</f>
        <v/>
      </c>
      <c r="N93" s="1026" t="str">
        <f>IF(L93="","",'#orgDung'!AO94)</f>
        <v/>
      </c>
      <c r="O93" s="1027" t="str">
        <f>IF(L93="","",'#orgDung'!AQ94)</f>
        <v/>
      </c>
      <c r="P93" s="1025"/>
      <c r="Q93" s="1026" t="str">
        <f>IF(P93="","",'#orgDung'!BC94)</f>
        <v/>
      </c>
      <c r="R93" s="1026" t="str">
        <f>IF(P93="","",'#orgDung'!BD94)</f>
        <v/>
      </c>
      <c r="S93" s="1027" t="str">
        <f>IF(P93="","",'#orgDung'!BF94)</f>
        <v/>
      </c>
      <c r="T93" s="1025"/>
      <c r="U93" s="1026" t="str">
        <f>IF(T93="","",'#orgDung'!BR94)</f>
        <v/>
      </c>
      <c r="V93" s="1026" t="str">
        <f>IF(T93="","",'#orgDung'!BS94)</f>
        <v/>
      </c>
      <c r="W93" s="1027" t="str">
        <f>IF(T93="","",'#orgDung'!BU94)</f>
        <v/>
      </c>
      <c r="X93" s="1025"/>
      <c r="Y93" s="1026" t="str">
        <f>IF(X93="","",'#orgDung'!CG94)</f>
        <v/>
      </c>
      <c r="Z93" s="1026" t="str">
        <f>IF(X93="","",'#orgDung'!CH94)</f>
        <v/>
      </c>
      <c r="AA93" s="1027" t="str">
        <f>IF(X93="","",'#orgDung'!CJ94)</f>
        <v/>
      </c>
      <c r="AB93" s="1025"/>
      <c r="AC93" s="1026" t="str">
        <f>IF(AB93="","",'#orgDung'!CV94)</f>
        <v/>
      </c>
      <c r="AD93" s="1026" t="str">
        <f>IF(AB93="","",'#orgDung'!CW94)</f>
        <v/>
      </c>
      <c r="AE93" s="1027" t="str">
        <f>IF(AB93="","",'#orgDung'!CY94)</f>
        <v/>
      </c>
      <c r="AF93" s="1025"/>
      <c r="AG93" s="1026" t="str">
        <f>IF(AF93="","",'#orgDung'!DK94)</f>
        <v/>
      </c>
      <c r="AH93" s="1026" t="str">
        <f>IF(AF93="","",'#orgDung'!DL94)</f>
        <v/>
      </c>
      <c r="AI93" s="1027" t="str">
        <f>IF(AF93="","",'#orgDung'!DN94)</f>
        <v/>
      </c>
      <c r="AJ93" s="1025"/>
      <c r="AK93" s="1026" t="str">
        <f>IF(AJ93="","",'#orgDung'!DZ94)</f>
        <v/>
      </c>
      <c r="AL93" s="1026" t="str">
        <f>IF(AJ93="","",'#orgDung'!EA94)</f>
        <v/>
      </c>
      <c r="AM93" s="1027" t="str">
        <f>IF(AJ93="","",'#orgDung'!EC94)</f>
        <v/>
      </c>
      <c r="AN93" s="1025"/>
      <c r="AO93" s="1026" t="str">
        <f>IF(AN93="","",'#orgDung'!EO94)</f>
        <v/>
      </c>
      <c r="AP93" s="1026" t="str">
        <f>IF(AN93="","",'#orgDung'!EP94)</f>
        <v/>
      </c>
      <c r="AQ93" s="1027" t="str">
        <f>IF(AN93="","",'#orgDung'!ER94)</f>
        <v/>
      </c>
      <c r="AR93" s="1025"/>
      <c r="AS93" s="1026" t="str">
        <f>IF(AR93="","",'#orgDung'!FD94)</f>
        <v/>
      </c>
      <c r="AT93" s="1026" t="str">
        <f>IF(AR93="","",'#orgDung'!FE94)</f>
        <v/>
      </c>
      <c r="AU93" s="1027" t="str">
        <f>IF(AR93="","",'#orgDung'!FG94)</f>
        <v/>
      </c>
      <c r="AV93" s="1025"/>
      <c r="AW93" s="1026" t="str">
        <f>IF(AV93="","",'#orgDung'!FS94)</f>
        <v/>
      </c>
      <c r="AX93" s="1026" t="str">
        <f>IF(AV93="","",'#orgDung'!FT94)</f>
        <v/>
      </c>
      <c r="AY93" s="1027" t="str">
        <f>IF(AV93="","",'#orgDung'!FV94)</f>
        <v/>
      </c>
      <c r="AZ93" s="1025"/>
      <c r="BA93" s="1026" t="str">
        <f>IF(AZ93="","",'#orgDung'!GH94)</f>
        <v/>
      </c>
      <c r="BB93" s="1026" t="str">
        <f>IF(AZ93="","",'#orgDung'!GI94)</f>
        <v/>
      </c>
      <c r="BC93" s="1027" t="str">
        <f>IF(AZ93="","",'#orgDung'!GK94)</f>
        <v/>
      </c>
      <c r="BD93" s="1025"/>
      <c r="BE93" s="1026" t="str">
        <f>IF(BD93="","",'#orgDung'!GW94)</f>
        <v/>
      </c>
      <c r="BF93" s="1026" t="str">
        <f>IF(BD93="","",'#orgDung'!GX94)</f>
        <v/>
      </c>
      <c r="BG93" s="1027" t="str">
        <f>IF(BD93="","",'#orgDung'!GZ94)</f>
        <v/>
      </c>
      <c r="BH93" s="1025"/>
      <c r="BI93" s="1026" t="str">
        <f>IF(BH93="","",'#orgDung'!HL94)</f>
        <v/>
      </c>
      <c r="BJ93" s="1026" t="str">
        <f>IF(BH93="","",'#orgDung'!HM94)</f>
        <v/>
      </c>
      <c r="BK93" s="1027" t="str">
        <f>IF(BH93="","",'#orgDung'!HO94)</f>
        <v/>
      </c>
      <c r="BL93" s="1025"/>
      <c r="BM93" s="1026" t="str">
        <f>IF(BL93="","",'#orgDung'!IA94)</f>
        <v/>
      </c>
      <c r="BN93" s="1026" t="str">
        <f>IF(BL93="","",'#orgDung'!IB94)</f>
        <v/>
      </c>
      <c r="BO93" s="1027" t="str">
        <f>IF(BL93="","",'#orgDung'!ID94)</f>
        <v/>
      </c>
      <c r="BP93" s="1025"/>
      <c r="BQ93" s="1026" t="str">
        <f>IF(BP93="","",'#orgDung'!IP94)</f>
        <v/>
      </c>
      <c r="BR93" s="1026" t="str">
        <f>IF(BP93="","",'#orgDung'!IQ94)</f>
        <v/>
      </c>
      <c r="BS93" s="1027" t="str">
        <f>IF(BP93="","",'#orgDung'!IS94)</f>
        <v/>
      </c>
      <c r="BT93" s="1025"/>
      <c r="BU93" s="1026" t="str">
        <f>IF(BT93="","",'#orgDung'!JE94)</f>
        <v/>
      </c>
      <c r="BV93" s="1026" t="str">
        <f>IF(BT93="","",'#orgDung'!JF94)</f>
        <v/>
      </c>
      <c r="BW93" s="1027" t="str">
        <f>IF(BT93="","",'#orgDung'!JH94)</f>
        <v/>
      </c>
      <c r="BX93" s="1025"/>
      <c r="BY93" s="1026" t="str">
        <f>IF(BX93="","",'#orgDung'!JT94)</f>
        <v/>
      </c>
      <c r="BZ93" s="1026" t="str">
        <f>IF(BX93="","",'#orgDung'!JU94)</f>
        <v/>
      </c>
      <c r="CA93" s="1027" t="str">
        <f>IF(BX93="","",'#orgDung'!JW94)</f>
        <v/>
      </c>
      <c r="CB93" s="1025"/>
      <c r="CC93" s="1026" t="str">
        <f>IF(CB93="","",'#orgDung'!KI94)</f>
        <v/>
      </c>
      <c r="CD93" s="1026" t="str">
        <f>IF(CB93="","",'#orgDung'!KJ94)</f>
        <v/>
      </c>
      <c r="CE93" s="1027" t="str">
        <f>IF(CB93="","",'#orgDung'!KL94)</f>
        <v/>
      </c>
      <c r="CF93" s="1025"/>
      <c r="CG93" s="1026" t="str">
        <f>IF(CF93="","",'#orgDung'!KX94)</f>
        <v/>
      </c>
      <c r="CH93" s="1026" t="str">
        <f>IF(CF93="","",'#orgDung'!KY94)</f>
        <v/>
      </c>
      <c r="CI93" s="1027" t="str">
        <f>IF(CF93="","",'#orgDung'!LA94)</f>
        <v/>
      </c>
      <c r="CJ93" s="1025"/>
      <c r="CK93" s="1026" t="str">
        <f>IF(CJ93="","",'#orgDung'!LM94)</f>
        <v/>
      </c>
      <c r="CL93" s="1026" t="str">
        <f>IF(CJ93="","",'#orgDung'!LN94)</f>
        <v/>
      </c>
      <c r="CM93" s="1027" t="str">
        <f>IF(CJ93="","",'#orgDung'!LP94)</f>
        <v/>
      </c>
      <c r="CN93" s="1025"/>
      <c r="CO93" s="1026" t="str">
        <f>IF(CN93="","",'#orgDung'!MB94)</f>
        <v/>
      </c>
      <c r="CP93" s="1026" t="str">
        <f>IF(CN93="","",'#orgDung'!MC94)</f>
        <v/>
      </c>
      <c r="CQ93" s="1027" t="str">
        <f>IF(CN93="","",'#orgDung'!ME94)</f>
        <v/>
      </c>
      <c r="CR93" s="1025"/>
      <c r="CS93" s="1026" t="str">
        <f>IF(CR93="","",'#orgDung'!MQ94)</f>
        <v/>
      </c>
      <c r="CT93" s="1026" t="str">
        <f>IF(CR93="","",'#orgDung'!MR94)</f>
        <v/>
      </c>
      <c r="CU93" s="1027" t="str">
        <f>IF(CR93="","",'#orgDung'!MT94)</f>
        <v/>
      </c>
      <c r="CV93" s="1025"/>
      <c r="CW93" s="1026" t="str">
        <f>IF(CV93="","",'#orgDung'!NF94)</f>
        <v/>
      </c>
      <c r="CX93" s="1026" t="str">
        <f>IF(CV93="","",'#orgDung'!NG94)</f>
        <v/>
      </c>
      <c r="CY93" s="1027" t="str">
        <f>IF(CV93="","",'#orgDung'!NI94)</f>
        <v/>
      </c>
      <c r="CZ93" s="1025"/>
      <c r="DA93" s="1026" t="str">
        <f>IF(CZ93="","",'#orgDung'!NU94)</f>
        <v/>
      </c>
      <c r="DB93" s="1026" t="str">
        <f>IF(CZ93="","",'#orgDung'!NV94)</f>
        <v/>
      </c>
      <c r="DC93" s="1027" t="str">
        <f>IF(CZ93="","",'#orgDung'!NX94)</f>
        <v/>
      </c>
      <c r="DD93" s="1025"/>
      <c r="DE93" s="1026" t="str">
        <f>IF(DD93="","",'#orgDung'!OJ94)</f>
        <v/>
      </c>
      <c r="DF93" s="1026" t="str">
        <f>IF(DD93="","",'#orgDung'!OK94)</f>
        <v/>
      </c>
      <c r="DG93" s="1027" t="str">
        <f>IF(DD93="","",'#orgDung'!OM94)</f>
        <v/>
      </c>
      <c r="DH93" s="1025"/>
      <c r="DI93" s="1026" t="str">
        <f>IF(DH93="","",'#orgDung'!OY94)</f>
        <v/>
      </c>
      <c r="DJ93" s="1026" t="str">
        <f>IF(DH93="","",'#orgDung'!OZ94)</f>
        <v/>
      </c>
      <c r="DK93" s="1027" t="str">
        <f>IF(DH93="","",'#orgDung'!PB94)</f>
        <v/>
      </c>
      <c r="DL93" s="1025"/>
      <c r="DM93" s="1026" t="str">
        <f>IF(DL93="","",'#orgDung'!PN94)</f>
        <v/>
      </c>
      <c r="DN93" s="1026" t="str">
        <f>IF(DL93="","",'#orgDung'!PO94)</f>
        <v/>
      </c>
      <c r="DO93" s="1027" t="str">
        <f>IF(DL93="","",'#orgDung'!PQ94)</f>
        <v/>
      </c>
      <c r="DP93" s="1025"/>
      <c r="DQ93" s="1026" t="str">
        <f>IF(DP93="","",'#orgDung'!QC94)</f>
        <v/>
      </c>
      <c r="DR93" s="1026" t="str">
        <f>IF(DP93="","",'#orgDung'!QD94)</f>
        <v/>
      </c>
      <c r="DS93" s="1027" t="str">
        <f>IF(DP93="","",'#orgDung'!QF94)</f>
        <v/>
      </c>
      <c r="DT93" s="1025"/>
      <c r="DU93" s="1026" t="str">
        <f>IF(DT93="","",'#orgDung'!QR94)</f>
        <v/>
      </c>
      <c r="DV93" s="1026" t="str">
        <f>IF(DT93="","",'#orgDung'!QS94)</f>
        <v/>
      </c>
      <c r="DW93" s="1027" t="str">
        <f>IF(DT93="","",'#orgDung'!QU94)</f>
        <v/>
      </c>
      <c r="DX93" s="1025"/>
      <c r="DY93" s="1026" t="str">
        <f>IF(DX93="","",'#orgDung'!RG94)</f>
        <v/>
      </c>
      <c r="DZ93" s="1026" t="str">
        <f>IF(DX93="","",'#orgDung'!RH94)</f>
        <v/>
      </c>
      <c r="EA93" s="1027" t="str">
        <f>IF(DX93="","",'#orgDung'!RJ94)</f>
        <v/>
      </c>
    </row>
    <row r="94" spans="1:131" ht="15" customHeight="1" x14ac:dyDescent="0.2">
      <c r="A94" s="1195">
        <f>'Flächen u. Kulturen'!A91</f>
        <v>82</v>
      </c>
      <c r="B94" s="1195" t="str">
        <f>IF('Flächen u. Kulturen'!B91="","",'Flächen u. Kulturen'!B91)</f>
        <v/>
      </c>
      <c r="C94" s="1196" t="str">
        <f>IF('Flächen u. Kulturen'!D91="","",'Flächen u. Kulturen'!D91)</f>
        <v/>
      </c>
      <c r="D94" s="1197" t="str">
        <f>IF(C94="","",IF('#BerechnungDBE'!Q86&lt;4,"x",""))</f>
        <v/>
      </c>
      <c r="E94" s="1198" t="str">
        <f>IF(C94="","",VLOOKUP('Flächen u. Kulturen'!L91,'#Zweitfr'!$D$8:$F$28,'#Zweitfr'!$F$1,FALSE))</f>
        <v/>
      </c>
      <c r="F94" s="1199" t="str">
        <f>IF(C94="","",IF('Flächen u. Kulturen'!E91="x",'Flächen u. Kulturen'!P91,"nicht im Betrieb"))</f>
        <v/>
      </c>
      <c r="G94" s="1200" t="str">
        <f>IF(C94="","",IF('#orgDung'!C95=2,"--",IF('#Kürzungen'!$F$2=2,"--",'#orgDung'!R95)))</f>
        <v/>
      </c>
      <c r="H94" s="1200" t="str">
        <f>IF(C94="","",'#orgDung'!U95)</f>
        <v/>
      </c>
      <c r="I94" s="1201" t="str">
        <f>IF(C94="","",IF(COUNT('#orgDung'!RS95:SA95)=0,"OK",TRIM(CONCATENATE('#orgDung'!RS95," ",'#orgDung'!RT95," ",'#orgDung'!RU95," ",'#orgDung'!RV95," ",'#orgDung'!RW95," ",'#orgDung'!RX95," ",'#orgDung'!RY95," ",'#orgDung'!RZ95," ",'#orgDung'!SA95))))</f>
        <v/>
      </c>
      <c r="J94" s="1023"/>
      <c r="K94" s="1024"/>
      <c r="L94" s="1025"/>
      <c r="M94" s="1026" t="str">
        <f>IF(L94="","",'#orgDung'!AN95)</f>
        <v/>
      </c>
      <c r="N94" s="1026" t="str">
        <f>IF(L94="","",'#orgDung'!AO95)</f>
        <v/>
      </c>
      <c r="O94" s="1027" t="str">
        <f>IF(L94="","",'#orgDung'!AQ95)</f>
        <v/>
      </c>
      <c r="P94" s="1025"/>
      <c r="Q94" s="1026" t="str">
        <f>IF(P94="","",'#orgDung'!BC95)</f>
        <v/>
      </c>
      <c r="R94" s="1026" t="str">
        <f>IF(P94="","",'#orgDung'!BD95)</f>
        <v/>
      </c>
      <c r="S94" s="1027" t="str">
        <f>IF(P94="","",'#orgDung'!BF95)</f>
        <v/>
      </c>
      <c r="T94" s="1025"/>
      <c r="U94" s="1026" t="str">
        <f>IF(T94="","",'#orgDung'!BR95)</f>
        <v/>
      </c>
      <c r="V94" s="1026" t="str">
        <f>IF(T94="","",'#orgDung'!BS95)</f>
        <v/>
      </c>
      <c r="W94" s="1027" t="str">
        <f>IF(T94="","",'#orgDung'!BU95)</f>
        <v/>
      </c>
      <c r="X94" s="1025"/>
      <c r="Y94" s="1026" t="str">
        <f>IF(X94="","",'#orgDung'!CG95)</f>
        <v/>
      </c>
      <c r="Z94" s="1026" t="str">
        <f>IF(X94="","",'#orgDung'!CH95)</f>
        <v/>
      </c>
      <c r="AA94" s="1027" t="str">
        <f>IF(X94="","",'#orgDung'!CJ95)</f>
        <v/>
      </c>
      <c r="AB94" s="1025"/>
      <c r="AC94" s="1026" t="str">
        <f>IF(AB94="","",'#orgDung'!CV95)</f>
        <v/>
      </c>
      <c r="AD94" s="1026" t="str">
        <f>IF(AB94="","",'#orgDung'!CW95)</f>
        <v/>
      </c>
      <c r="AE94" s="1027" t="str">
        <f>IF(AB94="","",'#orgDung'!CY95)</f>
        <v/>
      </c>
      <c r="AF94" s="1025"/>
      <c r="AG94" s="1026" t="str">
        <f>IF(AF94="","",'#orgDung'!DK95)</f>
        <v/>
      </c>
      <c r="AH94" s="1026" t="str">
        <f>IF(AF94="","",'#orgDung'!DL95)</f>
        <v/>
      </c>
      <c r="AI94" s="1027" t="str">
        <f>IF(AF94="","",'#orgDung'!DN95)</f>
        <v/>
      </c>
      <c r="AJ94" s="1025"/>
      <c r="AK94" s="1026" t="str">
        <f>IF(AJ94="","",'#orgDung'!DZ95)</f>
        <v/>
      </c>
      <c r="AL94" s="1026" t="str">
        <f>IF(AJ94="","",'#orgDung'!EA95)</f>
        <v/>
      </c>
      <c r="AM94" s="1027" t="str">
        <f>IF(AJ94="","",'#orgDung'!EC95)</f>
        <v/>
      </c>
      <c r="AN94" s="1025"/>
      <c r="AO94" s="1026" t="str">
        <f>IF(AN94="","",'#orgDung'!EO95)</f>
        <v/>
      </c>
      <c r="AP94" s="1026" t="str">
        <f>IF(AN94="","",'#orgDung'!EP95)</f>
        <v/>
      </c>
      <c r="AQ94" s="1027" t="str">
        <f>IF(AN94="","",'#orgDung'!ER95)</f>
        <v/>
      </c>
      <c r="AR94" s="1025"/>
      <c r="AS94" s="1026" t="str">
        <f>IF(AR94="","",'#orgDung'!FD95)</f>
        <v/>
      </c>
      <c r="AT94" s="1026" t="str">
        <f>IF(AR94="","",'#orgDung'!FE95)</f>
        <v/>
      </c>
      <c r="AU94" s="1027" t="str">
        <f>IF(AR94="","",'#orgDung'!FG95)</f>
        <v/>
      </c>
      <c r="AV94" s="1025"/>
      <c r="AW94" s="1026" t="str">
        <f>IF(AV94="","",'#orgDung'!FS95)</f>
        <v/>
      </c>
      <c r="AX94" s="1026" t="str">
        <f>IF(AV94="","",'#orgDung'!FT95)</f>
        <v/>
      </c>
      <c r="AY94" s="1027" t="str">
        <f>IF(AV94="","",'#orgDung'!FV95)</f>
        <v/>
      </c>
      <c r="AZ94" s="1025"/>
      <c r="BA94" s="1026" t="str">
        <f>IF(AZ94="","",'#orgDung'!GH95)</f>
        <v/>
      </c>
      <c r="BB94" s="1026" t="str">
        <f>IF(AZ94="","",'#orgDung'!GI95)</f>
        <v/>
      </c>
      <c r="BC94" s="1027" t="str">
        <f>IF(AZ94="","",'#orgDung'!GK95)</f>
        <v/>
      </c>
      <c r="BD94" s="1025"/>
      <c r="BE94" s="1026" t="str">
        <f>IF(BD94="","",'#orgDung'!GW95)</f>
        <v/>
      </c>
      <c r="BF94" s="1026" t="str">
        <f>IF(BD94="","",'#orgDung'!GX95)</f>
        <v/>
      </c>
      <c r="BG94" s="1027" t="str">
        <f>IF(BD94="","",'#orgDung'!GZ95)</f>
        <v/>
      </c>
      <c r="BH94" s="1025"/>
      <c r="BI94" s="1026" t="str">
        <f>IF(BH94="","",'#orgDung'!HL95)</f>
        <v/>
      </c>
      <c r="BJ94" s="1026" t="str">
        <f>IF(BH94="","",'#orgDung'!HM95)</f>
        <v/>
      </c>
      <c r="BK94" s="1027" t="str">
        <f>IF(BH94="","",'#orgDung'!HO95)</f>
        <v/>
      </c>
      <c r="BL94" s="1025"/>
      <c r="BM94" s="1026" t="str">
        <f>IF(BL94="","",'#orgDung'!IA95)</f>
        <v/>
      </c>
      <c r="BN94" s="1026" t="str">
        <f>IF(BL94="","",'#orgDung'!IB95)</f>
        <v/>
      </c>
      <c r="BO94" s="1027" t="str">
        <f>IF(BL94="","",'#orgDung'!ID95)</f>
        <v/>
      </c>
      <c r="BP94" s="1025"/>
      <c r="BQ94" s="1026" t="str">
        <f>IF(BP94="","",'#orgDung'!IP95)</f>
        <v/>
      </c>
      <c r="BR94" s="1026" t="str">
        <f>IF(BP94="","",'#orgDung'!IQ95)</f>
        <v/>
      </c>
      <c r="BS94" s="1027" t="str">
        <f>IF(BP94="","",'#orgDung'!IS95)</f>
        <v/>
      </c>
      <c r="BT94" s="1025"/>
      <c r="BU94" s="1026" t="str">
        <f>IF(BT94="","",'#orgDung'!JE95)</f>
        <v/>
      </c>
      <c r="BV94" s="1026" t="str">
        <f>IF(BT94="","",'#orgDung'!JF95)</f>
        <v/>
      </c>
      <c r="BW94" s="1027" t="str">
        <f>IF(BT94="","",'#orgDung'!JH95)</f>
        <v/>
      </c>
      <c r="BX94" s="1025"/>
      <c r="BY94" s="1026" t="str">
        <f>IF(BX94="","",'#orgDung'!JT95)</f>
        <v/>
      </c>
      <c r="BZ94" s="1026" t="str">
        <f>IF(BX94="","",'#orgDung'!JU95)</f>
        <v/>
      </c>
      <c r="CA94" s="1027" t="str">
        <f>IF(BX94="","",'#orgDung'!JW95)</f>
        <v/>
      </c>
      <c r="CB94" s="1025"/>
      <c r="CC94" s="1026" t="str">
        <f>IF(CB94="","",'#orgDung'!KI95)</f>
        <v/>
      </c>
      <c r="CD94" s="1026" t="str">
        <f>IF(CB94="","",'#orgDung'!KJ95)</f>
        <v/>
      </c>
      <c r="CE94" s="1027" t="str">
        <f>IF(CB94="","",'#orgDung'!KL95)</f>
        <v/>
      </c>
      <c r="CF94" s="1025"/>
      <c r="CG94" s="1026" t="str">
        <f>IF(CF94="","",'#orgDung'!KX95)</f>
        <v/>
      </c>
      <c r="CH94" s="1026" t="str">
        <f>IF(CF94="","",'#orgDung'!KY95)</f>
        <v/>
      </c>
      <c r="CI94" s="1027" t="str">
        <f>IF(CF94="","",'#orgDung'!LA95)</f>
        <v/>
      </c>
      <c r="CJ94" s="1025"/>
      <c r="CK94" s="1026" t="str">
        <f>IF(CJ94="","",'#orgDung'!LM95)</f>
        <v/>
      </c>
      <c r="CL94" s="1026" t="str">
        <f>IF(CJ94="","",'#orgDung'!LN95)</f>
        <v/>
      </c>
      <c r="CM94" s="1027" t="str">
        <f>IF(CJ94="","",'#orgDung'!LP95)</f>
        <v/>
      </c>
      <c r="CN94" s="1025"/>
      <c r="CO94" s="1026" t="str">
        <f>IF(CN94="","",'#orgDung'!MB95)</f>
        <v/>
      </c>
      <c r="CP94" s="1026" t="str">
        <f>IF(CN94="","",'#orgDung'!MC95)</f>
        <v/>
      </c>
      <c r="CQ94" s="1027" t="str">
        <f>IF(CN94="","",'#orgDung'!ME95)</f>
        <v/>
      </c>
      <c r="CR94" s="1025"/>
      <c r="CS94" s="1026" t="str">
        <f>IF(CR94="","",'#orgDung'!MQ95)</f>
        <v/>
      </c>
      <c r="CT94" s="1026" t="str">
        <f>IF(CR94="","",'#orgDung'!MR95)</f>
        <v/>
      </c>
      <c r="CU94" s="1027" t="str">
        <f>IF(CR94="","",'#orgDung'!MT95)</f>
        <v/>
      </c>
      <c r="CV94" s="1025"/>
      <c r="CW94" s="1026" t="str">
        <f>IF(CV94="","",'#orgDung'!NF95)</f>
        <v/>
      </c>
      <c r="CX94" s="1026" t="str">
        <f>IF(CV94="","",'#orgDung'!NG95)</f>
        <v/>
      </c>
      <c r="CY94" s="1027" t="str">
        <f>IF(CV94="","",'#orgDung'!NI95)</f>
        <v/>
      </c>
      <c r="CZ94" s="1025"/>
      <c r="DA94" s="1026" t="str">
        <f>IF(CZ94="","",'#orgDung'!NU95)</f>
        <v/>
      </c>
      <c r="DB94" s="1026" t="str">
        <f>IF(CZ94="","",'#orgDung'!NV95)</f>
        <v/>
      </c>
      <c r="DC94" s="1027" t="str">
        <f>IF(CZ94="","",'#orgDung'!NX95)</f>
        <v/>
      </c>
      <c r="DD94" s="1025"/>
      <c r="DE94" s="1026" t="str">
        <f>IF(DD94="","",'#orgDung'!OJ95)</f>
        <v/>
      </c>
      <c r="DF94" s="1026" t="str">
        <f>IF(DD94="","",'#orgDung'!OK95)</f>
        <v/>
      </c>
      <c r="DG94" s="1027" t="str">
        <f>IF(DD94="","",'#orgDung'!OM95)</f>
        <v/>
      </c>
      <c r="DH94" s="1025"/>
      <c r="DI94" s="1026" t="str">
        <f>IF(DH94="","",'#orgDung'!OY95)</f>
        <v/>
      </c>
      <c r="DJ94" s="1026" t="str">
        <f>IF(DH94="","",'#orgDung'!OZ95)</f>
        <v/>
      </c>
      <c r="DK94" s="1027" t="str">
        <f>IF(DH94="","",'#orgDung'!PB95)</f>
        <v/>
      </c>
      <c r="DL94" s="1025"/>
      <c r="DM94" s="1026" t="str">
        <f>IF(DL94="","",'#orgDung'!PN95)</f>
        <v/>
      </c>
      <c r="DN94" s="1026" t="str">
        <f>IF(DL94="","",'#orgDung'!PO95)</f>
        <v/>
      </c>
      <c r="DO94" s="1027" t="str">
        <f>IF(DL94="","",'#orgDung'!PQ95)</f>
        <v/>
      </c>
      <c r="DP94" s="1025"/>
      <c r="DQ94" s="1026" t="str">
        <f>IF(DP94="","",'#orgDung'!QC95)</f>
        <v/>
      </c>
      <c r="DR94" s="1026" t="str">
        <f>IF(DP94="","",'#orgDung'!QD95)</f>
        <v/>
      </c>
      <c r="DS94" s="1027" t="str">
        <f>IF(DP94="","",'#orgDung'!QF95)</f>
        <v/>
      </c>
      <c r="DT94" s="1025"/>
      <c r="DU94" s="1026" t="str">
        <f>IF(DT94="","",'#orgDung'!QR95)</f>
        <v/>
      </c>
      <c r="DV94" s="1026" t="str">
        <f>IF(DT94="","",'#orgDung'!QS95)</f>
        <v/>
      </c>
      <c r="DW94" s="1027" t="str">
        <f>IF(DT94="","",'#orgDung'!QU95)</f>
        <v/>
      </c>
      <c r="DX94" s="1025"/>
      <c r="DY94" s="1026" t="str">
        <f>IF(DX94="","",'#orgDung'!RG95)</f>
        <v/>
      </c>
      <c r="DZ94" s="1026" t="str">
        <f>IF(DX94="","",'#orgDung'!RH95)</f>
        <v/>
      </c>
      <c r="EA94" s="1027" t="str">
        <f>IF(DX94="","",'#orgDung'!RJ95)</f>
        <v/>
      </c>
    </row>
    <row r="95" spans="1:131" ht="15" customHeight="1" x14ac:dyDescent="0.2">
      <c r="A95" s="1195">
        <f>'Flächen u. Kulturen'!A92</f>
        <v>83</v>
      </c>
      <c r="B95" s="1195" t="str">
        <f>IF('Flächen u. Kulturen'!B92="","",'Flächen u. Kulturen'!B92)</f>
        <v/>
      </c>
      <c r="C95" s="1196" t="str">
        <f>IF('Flächen u. Kulturen'!D92="","",'Flächen u. Kulturen'!D92)</f>
        <v/>
      </c>
      <c r="D95" s="1197" t="str">
        <f>IF(C95="","",IF('#BerechnungDBE'!Q87&lt;4,"x",""))</f>
        <v/>
      </c>
      <c r="E95" s="1198" t="str">
        <f>IF(C95="","",VLOOKUP('Flächen u. Kulturen'!L92,'#Zweitfr'!$D$8:$F$28,'#Zweitfr'!$F$1,FALSE))</f>
        <v/>
      </c>
      <c r="F95" s="1199" t="str">
        <f>IF(C95="","",IF('Flächen u. Kulturen'!E92="x",'Flächen u. Kulturen'!P92,"nicht im Betrieb"))</f>
        <v/>
      </c>
      <c r="G95" s="1200" t="str">
        <f>IF(C95="","",IF('#orgDung'!C96=2,"--",IF('#Kürzungen'!$F$2=2,"--",'#orgDung'!R96)))</f>
        <v/>
      </c>
      <c r="H95" s="1200" t="str">
        <f>IF(C95="","",'#orgDung'!U96)</f>
        <v/>
      </c>
      <c r="I95" s="1201" t="str">
        <f>IF(C95="","",IF(COUNT('#orgDung'!RS96:SA96)=0,"OK",TRIM(CONCATENATE('#orgDung'!RS96," ",'#orgDung'!RT96," ",'#orgDung'!RU96," ",'#orgDung'!RV96," ",'#orgDung'!RW96," ",'#orgDung'!RX96," ",'#orgDung'!RY96," ",'#orgDung'!RZ96," ",'#orgDung'!SA96))))</f>
        <v/>
      </c>
      <c r="J95" s="1023"/>
      <c r="K95" s="1024"/>
      <c r="L95" s="1025"/>
      <c r="M95" s="1026" t="str">
        <f>IF(L95="","",'#orgDung'!AN96)</f>
        <v/>
      </c>
      <c r="N95" s="1026" t="str">
        <f>IF(L95="","",'#orgDung'!AO96)</f>
        <v/>
      </c>
      <c r="O95" s="1027" t="str">
        <f>IF(L95="","",'#orgDung'!AQ96)</f>
        <v/>
      </c>
      <c r="P95" s="1025"/>
      <c r="Q95" s="1026" t="str">
        <f>IF(P95="","",'#orgDung'!BC96)</f>
        <v/>
      </c>
      <c r="R95" s="1026" t="str">
        <f>IF(P95="","",'#orgDung'!BD96)</f>
        <v/>
      </c>
      <c r="S95" s="1027" t="str">
        <f>IF(P95="","",'#orgDung'!BF96)</f>
        <v/>
      </c>
      <c r="T95" s="1025"/>
      <c r="U95" s="1026" t="str">
        <f>IF(T95="","",'#orgDung'!BR96)</f>
        <v/>
      </c>
      <c r="V95" s="1026" t="str">
        <f>IF(T95="","",'#orgDung'!BS96)</f>
        <v/>
      </c>
      <c r="W95" s="1027" t="str">
        <f>IF(T95="","",'#orgDung'!BU96)</f>
        <v/>
      </c>
      <c r="X95" s="1025"/>
      <c r="Y95" s="1026" t="str">
        <f>IF(X95="","",'#orgDung'!CG96)</f>
        <v/>
      </c>
      <c r="Z95" s="1026" t="str">
        <f>IF(X95="","",'#orgDung'!CH96)</f>
        <v/>
      </c>
      <c r="AA95" s="1027" t="str">
        <f>IF(X95="","",'#orgDung'!CJ96)</f>
        <v/>
      </c>
      <c r="AB95" s="1025"/>
      <c r="AC95" s="1026" t="str">
        <f>IF(AB95="","",'#orgDung'!CV96)</f>
        <v/>
      </c>
      <c r="AD95" s="1026" t="str">
        <f>IF(AB95="","",'#orgDung'!CW96)</f>
        <v/>
      </c>
      <c r="AE95" s="1027" t="str">
        <f>IF(AB95="","",'#orgDung'!CY96)</f>
        <v/>
      </c>
      <c r="AF95" s="1025"/>
      <c r="AG95" s="1026" t="str">
        <f>IF(AF95="","",'#orgDung'!DK96)</f>
        <v/>
      </c>
      <c r="AH95" s="1026" t="str">
        <f>IF(AF95="","",'#orgDung'!DL96)</f>
        <v/>
      </c>
      <c r="AI95" s="1027" t="str">
        <f>IF(AF95="","",'#orgDung'!DN96)</f>
        <v/>
      </c>
      <c r="AJ95" s="1025"/>
      <c r="AK95" s="1026" t="str">
        <f>IF(AJ95="","",'#orgDung'!DZ96)</f>
        <v/>
      </c>
      <c r="AL95" s="1026" t="str">
        <f>IF(AJ95="","",'#orgDung'!EA96)</f>
        <v/>
      </c>
      <c r="AM95" s="1027" t="str">
        <f>IF(AJ95="","",'#orgDung'!EC96)</f>
        <v/>
      </c>
      <c r="AN95" s="1025"/>
      <c r="AO95" s="1026" t="str">
        <f>IF(AN95="","",'#orgDung'!EO96)</f>
        <v/>
      </c>
      <c r="AP95" s="1026" t="str">
        <f>IF(AN95="","",'#orgDung'!EP96)</f>
        <v/>
      </c>
      <c r="AQ95" s="1027" t="str">
        <f>IF(AN95="","",'#orgDung'!ER96)</f>
        <v/>
      </c>
      <c r="AR95" s="1025"/>
      <c r="AS95" s="1026" t="str">
        <f>IF(AR95="","",'#orgDung'!FD96)</f>
        <v/>
      </c>
      <c r="AT95" s="1026" t="str">
        <f>IF(AR95="","",'#orgDung'!FE96)</f>
        <v/>
      </c>
      <c r="AU95" s="1027" t="str">
        <f>IF(AR95="","",'#orgDung'!FG96)</f>
        <v/>
      </c>
      <c r="AV95" s="1025"/>
      <c r="AW95" s="1026" t="str">
        <f>IF(AV95="","",'#orgDung'!FS96)</f>
        <v/>
      </c>
      <c r="AX95" s="1026" t="str">
        <f>IF(AV95="","",'#orgDung'!FT96)</f>
        <v/>
      </c>
      <c r="AY95" s="1027" t="str">
        <f>IF(AV95="","",'#orgDung'!FV96)</f>
        <v/>
      </c>
      <c r="AZ95" s="1025"/>
      <c r="BA95" s="1026" t="str">
        <f>IF(AZ95="","",'#orgDung'!GH96)</f>
        <v/>
      </c>
      <c r="BB95" s="1026" t="str">
        <f>IF(AZ95="","",'#orgDung'!GI96)</f>
        <v/>
      </c>
      <c r="BC95" s="1027" t="str">
        <f>IF(AZ95="","",'#orgDung'!GK96)</f>
        <v/>
      </c>
      <c r="BD95" s="1025"/>
      <c r="BE95" s="1026" t="str">
        <f>IF(BD95="","",'#orgDung'!GW96)</f>
        <v/>
      </c>
      <c r="BF95" s="1026" t="str">
        <f>IF(BD95="","",'#orgDung'!GX96)</f>
        <v/>
      </c>
      <c r="BG95" s="1027" t="str">
        <f>IF(BD95="","",'#orgDung'!GZ96)</f>
        <v/>
      </c>
      <c r="BH95" s="1025"/>
      <c r="BI95" s="1026" t="str">
        <f>IF(BH95="","",'#orgDung'!HL96)</f>
        <v/>
      </c>
      <c r="BJ95" s="1026" t="str">
        <f>IF(BH95="","",'#orgDung'!HM96)</f>
        <v/>
      </c>
      <c r="BK95" s="1027" t="str">
        <f>IF(BH95="","",'#orgDung'!HO96)</f>
        <v/>
      </c>
      <c r="BL95" s="1025"/>
      <c r="BM95" s="1026" t="str">
        <f>IF(BL95="","",'#orgDung'!IA96)</f>
        <v/>
      </c>
      <c r="BN95" s="1026" t="str">
        <f>IF(BL95="","",'#orgDung'!IB96)</f>
        <v/>
      </c>
      <c r="BO95" s="1027" t="str">
        <f>IF(BL95="","",'#orgDung'!ID96)</f>
        <v/>
      </c>
      <c r="BP95" s="1025"/>
      <c r="BQ95" s="1026" t="str">
        <f>IF(BP95="","",'#orgDung'!IP96)</f>
        <v/>
      </c>
      <c r="BR95" s="1026" t="str">
        <f>IF(BP95="","",'#orgDung'!IQ96)</f>
        <v/>
      </c>
      <c r="BS95" s="1027" t="str">
        <f>IF(BP95="","",'#orgDung'!IS96)</f>
        <v/>
      </c>
      <c r="BT95" s="1025"/>
      <c r="BU95" s="1026" t="str">
        <f>IF(BT95="","",'#orgDung'!JE96)</f>
        <v/>
      </c>
      <c r="BV95" s="1026" t="str">
        <f>IF(BT95="","",'#orgDung'!JF96)</f>
        <v/>
      </c>
      <c r="BW95" s="1027" t="str">
        <f>IF(BT95="","",'#orgDung'!JH96)</f>
        <v/>
      </c>
      <c r="BX95" s="1025"/>
      <c r="BY95" s="1026" t="str">
        <f>IF(BX95="","",'#orgDung'!JT96)</f>
        <v/>
      </c>
      <c r="BZ95" s="1026" t="str">
        <f>IF(BX95="","",'#orgDung'!JU96)</f>
        <v/>
      </c>
      <c r="CA95" s="1027" t="str">
        <f>IF(BX95="","",'#orgDung'!JW96)</f>
        <v/>
      </c>
      <c r="CB95" s="1025"/>
      <c r="CC95" s="1026" t="str">
        <f>IF(CB95="","",'#orgDung'!KI96)</f>
        <v/>
      </c>
      <c r="CD95" s="1026" t="str">
        <f>IF(CB95="","",'#orgDung'!KJ96)</f>
        <v/>
      </c>
      <c r="CE95" s="1027" t="str">
        <f>IF(CB95="","",'#orgDung'!KL96)</f>
        <v/>
      </c>
      <c r="CF95" s="1025"/>
      <c r="CG95" s="1026" t="str">
        <f>IF(CF95="","",'#orgDung'!KX96)</f>
        <v/>
      </c>
      <c r="CH95" s="1026" t="str">
        <f>IF(CF95="","",'#orgDung'!KY96)</f>
        <v/>
      </c>
      <c r="CI95" s="1027" t="str">
        <f>IF(CF95="","",'#orgDung'!LA96)</f>
        <v/>
      </c>
      <c r="CJ95" s="1025"/>
      <c r="CK95" s="1026" t="str">
        <f>IF(CJ95="","",'#orgDung'!LM96)</f>
        <v/>
      </c>
      <c r="CL95" s="1026" t="str">
        <f>IF(CJ95="","",'#orgDung'!LN96)</f>
        <v/>
      </c>
      <c r="CM95" s="1027" t="str">
        <f>IF(CJ95="","",'#orgDung'!LP96)</f>
        <v/>
      </c>
      <c r="CN95" s="1025"/>
      <c r="CO95" s="1026" t="str">
        <f>IF(CN95="","",'#orgDung'!MB96)</f>
        <v/>
      </c>
      <c r="CP95" s="1026" t="str">
        <f>IF(CN95="","",'#orgDung'!MC96)</f>
        <v/>
      </c>
      <c r="CQ95" s="1027" t="str">
        <f>IF(CN95="","",'#orgDung'!ME96)</f>
        <v/>
      </c>
      <c r="CR95" s="1025"/>
      <c r="CS95" s="1026" t="str">
        <f>IF(CR95="","",'#orgDung'!MQ96)</f>
        <v/>
      </c>
      <c r="CT95" s="1026" t="str">
        <f>IF(CR95="","",'#orgDung'!MR96)</f>
        <v/>
      </c>
      <c r="CU95" s="1027" t="str">
        <f>IF(CR95="","",'#orgDung'!MT96)</f>
        <v/>
      </c>
      <c r="CV95" s="1025"/>
      <c r="CW95" s="1026" t="str">
        <f>IF(CV95="","",'#orgDung'!NF96)</f>
        <v/>
      </c>
      <c r="CX95" s="1026" t="str">
        <f>IF(CV95="","",'#orgDung'!NG96)</f>
        <v/>
      </c>
      <c r="CY95" s="1027" t="str">
        <f>IF(CV95="","",'#orgDung'!NI96)</f>
        <v/>
      </c>
      <c r="CZ95" s="1025"/>
      <c r="DA95" s="1026" t="str">
        <f>IF(CZ95="","",'#orgDung'!NU96)</f>
        <v/>
      </c>
      <c r="DB95" s="1026" t="str">
        <f>IF(CZ95="","",'#orgDung'!NV96)</f>
        <v/>
      </c>
      <c r="DC95" s="1027" t="str">
        <f>IF(CZ95="","",'#orgDung'!NX96)</f>
        <v/>
      </c>
      <c r="DD95" s="1025"/>
      <c r="DE95" s="1026" t="str">
        <f>IF(DD95="","",'#orgDung'!OJ96)</f>
        <v/>
      </c>
      <c r="DF95" s="1026" t="str">
        <f>IF(DD95="","",'#orgDung'!OK96)</f>
        <v/>
      </c>
      <c r="DG95" s="1027" t="str">
        <f>IF(DD95="","",'#orgDung'!OM96)</f>
        <v/>
      </c>
      <c r="DH95" s="1025"/>
      <c r="DI95" s="1026" t="str">
        <f>IF(DH95="","",'#orgDung'!OY96)</f>
        <v/>
      </c>
      <c r="DJ95" s="1026" t="str">
        <f>IF(DH95="","",'#orgDung'!OZ96)</f>
        <v/>
      </c>
      <c r="DK95" s="1027" t="str">
        <f>IF(DH95="","",'#orgDung'!PB96)</f>
        <v/>
      </c>
      <c r="DL95" s="1025"/>
      <c r="DM95" s="1026" t="str">
        <f>IF(DL95="","",'#orgDung'!PN96)</f>
        <v/>
      </c>
      <c r="DN95" s="1026" t="str">
        <f>IF(DL95="","",'#orgDung'!PO96)</f>
        <v/>
      </c>
      <c r="DO95" s="1027" t="str">
        <f>IF(DL95="","",'#orgDung'!PQ96)</f>
        <v/>
      </c>
      <c r="DP95" s="1025"/>
      <c r="DQ95" s="1026" t="str">
        <f>IF(DP95="","",'#orgDung'!QC96)</f>
        <v/>
      </c>
      <c r="DR95" s="1026" t="str">
        <f>IF(DP95="","",'#orgDung'!QD96)</f>
        <v/>
      </c>
      <c r="DS95" s="1027" t="str">
        <f>IF(DP95="","",'#orgDung'!QF96)</f>
        <v/>
      </c>
      <c r="DT95" s="1025"/>
      <c r="DU95" s="1026" t="str">
        <f>IF(DT95="","",'#orgDung'!QR96)</f>
        <v/>
      </c>
      <c r="DV95" s="1026" t="str">
        <f>IF(DT95="","",'#orgDung'!QS96)</f>
        <v/>
      </c>
      <c r="DW95" s="1027" t="str">
        <f>IF(DT95="","",'#orgDung'!QU96)</f>
        <v/>
      </c>
      <c r="DX95" s="1025"/>
      <c r="DY95" s="1026" t="str">
        <f>IF(DX95="","",'#orgDung'!RG96)</f>
        <v/>
      </c>
      <c r="DZ95" s="1026" t="str">
        <f>IF(DX95="","",'#orgDung'!RH96)</f>
        <v/>
      </c>
      <c r="EA95" s="1027" t="str">
        <f>IF(DX95="","",'#orgDung'!RJ96)</f>
        <v/>
      </c>
    </row>
    <row r="96" spans="1:131" ht="15" customHeight="1" x14ac:dyDescent="0.2">
      <c r="A96" s="1195">
        <f>'Flächen u. Kulturen'!A93</f>
        <v>84</v>
      </c>
      <c r="B96" s="1195" t="str">
        <f>IF('Flächen u. Kulturen'!B93="","",'Flächen u. Kulturen'!B93)</f>
        <v/>
      </c>
      <c r="C96" s="1196" t="str">
        <f>IF('Flächen u. Kulturen'!D93="","",'Flächen u. Kulturen'!D93)</f>
        <v/>
      </c>
      <c r="D96" s="1197" t="str">
        <f>IF(C96="","",IF('#BerechnungDBE'!Q88&lt;4,"x",""))</f>
        <v/>
      </c>
      <c r="E96" s="1198" t="str">
        <f>IF(C96="","",VLOOKUP('Flächen u. Kulturen'!L93,'#Zweitfr'!$D$8:$F$28,'#Zweitfr'!$F$1,FALSE))</f>
        <v/>
      </c>
      <c r="F96" s="1199" t="str">
        <f>IF(C96="","",IF('Flächen u. Kulturen'!E93="x",'Flächen u. Kulturen'!P93,"nicht im Betrieb"))</f>
        <v/>
      </c>
      <c r="G96" s="1200" t="str">
        <f>IF(C96="","",IF('#orgDung'!C97=2,"--",IF('#Kürzungen'!$F$2=2,"--",'#orgDung'!R97)))</f>
        <v/>
      </c>
      <c r="H96" s="1200" t="str">
        <f>IF(C96="","",'#orgDung'!U97)</f>
        <v/>
      </c>
      <c r="I96" s="1201" t="str">
        <f>IF(C96="","",IF(COUNT('#orgDung'!RS97:SA97)=0,"OK",TRIM(CONCATENATE('#orgDung'!RS97," ",'#orgDung'!RT97," ",'#orgDung'!RU97," ",'#orgDung'!RV97," ",'#orgDung'!RW97," ",'#orgDung'!RX97," ",'#orgDung'!RY97," ",'#orgDung'!RZ97," ",'#orgDung'!SA97))))</f>
        <v/>
      </c>
      <c r="J96" s="1023"/>
      <c r="K96" s="1024"/>
      <c r="L96" s="1025"/>
      <c r="M96" s="1026" t="str">
        <f>IF(L96="","",'#orgDung'!AN97)</f>
        <v/>
      </c>
      <c r="N96" s="1026" t="str">
        <f>IF(L96="","",'#orgDung'!AO97)</f>
        <v/>
      </c>
      <c r="O96" s="1027" t="str">
        <f>IF(L96="","",'#orgDung'!AQ97)</f>
        <v/>
      </c>
      <c r="P96" s="1025"/>
      <c r="Q96" s="1026" t="str">
        <f>IF(P96="","",'#orgDung'!BC97)</f>
        <v/>
      </c>
      <c r="R96" s="1026" t="str">
        <f>IF(P96="","",'#orgDung'!BD97)</f>
        <v/>
      </c>
      <c r="S96" s="1027" t="str">
        <f>IF(P96="","",'#orgDung'!BF97)</f>
        <v/>
      </c>
      <c r="T96" s="1025"/>
      <c r="U96" s="1026" t="str">
        <f>IF(T96="","",'#orgDung'!BR97)</f>
        <v/>
      </c>
      <c r="V96" s="1026" t="str">
        <f>IF(T96="","",'#orgDung'!BS97)</f>
        <v/>
      </c>
      <c r="W96" s="1027" t="str">
        <f>IF(T96="","",'#orgDung'!BU97)</f>
        <v/>
      </c>
      <c r="X96" s="1025"/>
      <c r="Y96" s="1026" t="str">
        <f>IF(X96="","",'#orgDung'!CG97)</f>
        <v/>
      </c>
      <c r="Z96" s="1026" t="str">
        <f>IF(X96="","",'#orgDung'!CH97)</f>
        <v/>
      </c>
      <c r="AA96" s="1027" t="str">
        <f>IF(X96="","",'#orgDung'!CJ97)</f>
        <v/>
      </c>
      <c r="AB96" s="1025"/>
      <c r="AC96" s="1026" t="str">
        <f>IF(AB96="","",'#orgDung'!CV97)</f>
        <v/>
      </c>
      <c r="AD96" s="1026" t="str">
        <f>IF(AB96="","",'#orgDung'!CW97)</f>
        <v/>
      </c>
      <c r="AE96" s="1027" t="str">
        <f>IF(AB96="","",'#orgDung'!CY97)</f>
        <v/>
      </c>
      <c r="AF96" s="1025"/>
      <c r="AG96" s="1026" t="str">
        <f>IF(AF96="","",'#orgDung'!DK97)</f>
        <v/>
      </c>
      <c r="AH96" s="1026" t="str">
        <f>IF(AF96="","",'#orgDung'!DL97)</f>
        <v/>
      </c>
      <c r="AI96" s="1027" t="str">
        <f>IF(AF96="","",'#orgDung'!DN97)</f>
        <v/>
      </c>
      <c r="AJ96" s="1025"/>
      <c r="AK96" s="1026" t="str">
        <f>IF(AJ96="","",'#orgDung'!DZ97)</f>
        <v/>
      </c>
      <c r="AL96" s="1026" t="str">
        <f>IF(AJ96="","",'#orgDung'!EA97)</f>
        <v/>
      </c>
      <c r="AM96" s="1027" t="str">
        <f>IF(AJ96="","",'#orgDung'!EC97)</f>
        <v/>
      </c>
      <c r="AN96" s="1025"/>
      <c r="AO96" s="1026" t="str">
        <f>IF(AN96="","",'#orgDung'!EO97)</f>
        <v/>
      </c>
      <c r="AP96" s="1026" t="str">
        <f>IF(AN96="","",'#orgDung'!EP97)</f>
        <v/>
      </c>
      <c r="AQ96" s="1027" t="str">
        <f>IF(AN96="","",'#orgDung'!ER97)</f>
        <v/>
      </c>
      <c r="AR96" s="1025"/>
      <c r="AS96" s="1026" t="str">
        <f>IF(AR96="","",'#orgDung'!FD97)</f>
        <v/>
      </c>
      <c r="AT96" s="1026" t="str">
        <f>IF(AR96="","",'#orgDung'!FE97)</f>
        <v/>
      </c>
      <c r="AU96" s="1027" t="str">
        <f>IF(AR96="","",'#orgDung'!FG97)</f>
        <v/>
      </c>
      <c r="AV96" s="1025"/>
      <c r="AW96" s="1026" t="str">
        <f>IF(AV96="","",'#orgDung'!FS97)</f>
        <v/>
      </c>
      <c r="AX96" s="1026" t="str">
        <f>IF(AV96="","",'#orgDung'!FT97)</f>
        <v/>
      </c>
      <c r="AY96" s="1027" t="str">
        <f>IF(AV96="","",'#orgDung'!FV97)</f>
        <v/>
      </c>
      <c r="AZ96" s="1025"/>
      <c r="BA96" s="1026" t="str">
        <f>IF(AZ96="","",'#orgDung'!GH97)</f>
        <v/>
      </c>
      <c r="BB96" s="1026" t="str">
        <f>IF(AZ96="","",'#orgDung'!GI97)</f>
        <v/>
      </c>
      <c r="BC96" s="1027" t="str">
        <f>IF(AZ96="","",'#orgDung'!GK97)</f>
        <v/>
      </c>
      <c r="BD96" s="1025"/>
      <c r="BE96" s="1026" t="str">
        <f>IF(BD96="","",'#orgDung'!GW97)</f>
        <v/>
      </c>
      <c r="BF96" s="1026" t="str">
        <f>IF(BD96="","",'#orgDung'!GX97)</f>
        <v/>
      </c>
      <c r="BG96" s="1027" t="str">
        <f>IF(BD96="","",'#orgDung'!GZ97)</f>
        <v/>
      </c>
      <c r="BH96" s="1025"/>
      <c r="BI96" s="1026" t="str">
        <f>IF(BH96="","",'#orgDung'!HL97)</f>
        <v/>
      </c>
      <c r="BJ96" s="1026" t="str">
        <f>IF(BH96="","",'#orgDung'!HM97)</f>
        <v/>
      </c>
      <c r="BK96" s="1027" t="str">
        <f>IF(BH96="","",'#orgDung'!HO97)</f>
        <v/>
      </c>
      <c r="BL96" s="1025"/>
      <c r="BM96" s="1026" t="str">
        <f>IF(BL96="","",'#orgDung'!IA97)</f>
        <v/>
      </c>
      <c r="BN96" s="1026" t="str">
        <f>IF(BL96="","",'#orgDung'!IB97)</f>
        <v/>
      </c>
      <c r="BO96" s="1027" t="str">
        <f>IF(BL96="","",'#orgDung'!ID97)</f>
        <v/>
      </c>
      <c r="BP96" s="1025"/>
      <c r="BQ96" s="1026" t="str">
        <f>IF(BP96="","",'#orgDung'!IP97)</f>
        <v/>
      </c>
      <c r="BR96" s="1026" t="str">
        <f>IF(BP96="","",'#orgDung'!IQ97)</f>
        <v/>
      </c>
      <c r="BS96" s="1027" t="str">
        <f>IF(BP96="","",'#orgDung'!IS97)</f>
        <v/>
      </c>
      <c r="BT96" s="1025"/>
      <c r="BU96" s="1026" t="str">
        <f>IF(BT96="","",'#orgDung'!JE97)</f>
        <v/>
      </c>
      <c r="BV96" s="1026" t="str">
        <f>IF(BT96="","",'#orgDung'!JF97)</f>
        <v/>
      </c>
      <c r="BW96" s="1027" t="str">
        <f>IF(BT96="","",'#orgDung'!JH97)</f>
        <v/>
      </c>
      <c r="BX96" s="1025"/>
      <c r="BY96" s="1026" t="str">
        <f>IF(BX96="","",'#orgDung'!JT97)</f>
        <v/>
      </c>
      <c r="BZ96" s="1026" t="str">
        <f>IF(BX96="","",'#orgDung'!JU97)</f>
        <v/>
      </c>
      <c r="CA96" s="1027" t="str">
        <f>IF(BX96="","",'#orgDung'!JW97)</f>
        <v/>
      </c>
      <c r="CB96" s="1025"/>
      <c r="CC96" s="1026" t="str">
        <f>IF(CB96="","",'#orgDung'!KI97)</f>
        <v/>
      </c>
      <c r="CD96" s="1026" t="str">
        <f>IF(CB96="","",'#orgDung'!KJ97)</f>
        <v/>
      </c>
      <c r="CE96" s="1027" t="str">
        <f>IF(CB96="","",'#orgDung'!KL97)</f>
        <v/>
      </c>
      <c r="CF96" s="1025"/>
      <c r="CG96" s="1026" t="str">
        <f>IF(CF96="","",'#orgDung'!KX97)</f>
        <v/>
      </c>
      <c r="CH96" s="1026" t="str">
        <f>IF(CF96="","",'#orgDung'!KY97)</f>
        <v/>
      </c>
      <c r="CI96" s="1027" t="str">
        <f>IF(CF96="","",'#orgDung'!LA97)</f>
        <v/>
      </c>
      <c r="CJ96" s="1025"/>
      <c r="CK96" s="1026" t="str">
        <f>IF(CJ96="","",'#orgDung'!LM97)</f>
        <v/>
      </c>
      <c r="CL96" s="1026" t="str">
        <f>IF(CJ96="","",'#orgDung'!LN97)</f>
        <v/>
      </c>
      <c r="CM96" s="1027" t="str">
        <f>IF(CJ96="","",'#orgDung'!LP97)</f>
        <v/>
      </c>
      <c r="CN96" s="1025"/>
      <c r="CO96" s="1026" t="str">
        <f>IF(CN96="","",'#orgDung'!MB97)</f>
        <v/>
      </c>
      <c r="CP96" s="1026" t="str">
        <f>IF(CN96="","",'#orgDung'!MC97)</f>
        <v/>
      </c>
      <c r="CQ96" s="1027" t="str">
        <f>IF(CN96="","",'#orgDung'!ME97)</f>
        <v/>
      </c>
      <c r="CR96" s="1025"/>
      <c r="CS96" s="1026" t="str">
        <f>IF(CR96="","",'#orgDung'!MQ97)</f>
        <v/>
      </c>
      <c r="CT96" s="1026" t="str">
        <f>IF(CR96="","",'#orgDung'!MR97)</f>
        <v/>
      </c>
      <c r="CU96" s="1027" t="str">
        <f>IF(CR96="","",'#orgDung'!MT97)</f>
        <v/>
      </c>
      <c r="CV96" s="1025"/>
      <c r="CW96" s="1026" t="str">
        <f>IF(CV96="","",'#orgDung'!NF97)</f>
        <v/>
      </c>
      <c r="CX96" s="1026" t="str">
        <f>IF(CV96="","",'#orgDung'!NG97)</f>
        <v/>
      </c>
      <c r="CY96" s="1027" t="str">
        <f>IF(CV96="","",'#orgDung'!NI97)</f>
        <v/>
      </c>
      <c r="CZ96" s="1025"/>
      <c r="DA96" s="1026" t="str">
        <f>IF(CZ96="","",'#orgDung'!NU97)</f>
        <v/>
      </c>
      <c r="DB96" s="1026" t="str">
        <f>IF(CZ96="","",'#orgDung'!NV97)</f>
        <v/>
      </c>
      <c r="DC96" s="1027" t="str">
        <f>IF(CZ96="","",'#orgDung'!NX97)</f>
        <v/>
      </c>
      <c r="DD96" s="1025"/>
      <c r="DE96" s="1026" t="str">
        <f>IF(DD96="","",'#orgDung'!OJ97)</f>
        <v/>
      </c>
      <c r="DF96" s="1026" t="str">
        <f>IF(DD96="","",'#orgDung'!OK97)</f>
        <v/>
      </c>
      <c r="DG96" s="1027" t="str">
        <f>IF(DD96="","",'#orgDung'!OM97)</f>
        <v/>
      </c>
      <c r="DH96" s="1025"/>
      <c r="DI96" s="1026" t="str">
        <f>IF(DH96="","",'#orgDung'!OY97)</f>
        <v/>
      </c>
      <c r="DJ96" s="1026" t="str">
        <f>IF(DH96="","",'#orgDung'!OZ97)</f>
        <v/>
      </c>
      <c r="DK96" s="1027" t="str">
        <f>IF(DH96="","",'#orgDung'!PB97)</f>
        <v/>
      </c>
      <c r="DL96" s="1025"/>
      <c r="DM96" s="1026" t="str">
        <f>IF(DL96="","",'#orgDung'!PN97)</f>
        <v/>
      </c>
      <c r="DN96" s="1026" t="str">
        <f>IF(DL96="","",'#orgDung'!PO97)</f>
        <v/>
      </c>
      <c r="DO96" s="1027" t="str">
        <f>IF(DL96="","",'#orgDung'!PQ97)</f>
        <v/>
      </c>
      <c r="DP96" s="1025"/>
      <c r="DQ96" s="1026" t="str">
        <f>IF(DP96="","",'#orgDung'!QC97)</f>
        <v/>
      </c>
      <c r="DR96" s="1026" t="str">
        <f>IF(DP96="","",'#orgDung'!QD97)</f>
        <v/>
      </c>
      <c r="DS96" s="1027" t="str">
        <f>IF(DP96="","",'#orgDung'!QF97)</f>
        <v/>
      </c>
      <c r="DT96" s="1025"/>
      <c r="DU96" s="1026" t="str">
        <f>IF(DT96="","",'#orgDung'!QR97)</f>
        <v/>
      </c>
      <c r="DV96" s="1026" t="str">
        <f>IF(DT96="","",'#orgDung'!QS97)</f>
        <v/>
      </c>
      <c r="DW96" s="1027" t="str">
        <f>IF(DT96="","",'#orgDung'!QU97)</f>
        <v/>
      </c>
      <c r="DX96" s="1025"/>
      <c r="DY96" s="1026" t="str">
        <f>IF(DX96="","",'#orgDung'!RG97)</f>
        <v/>
      </c>
      <c r="DZ96" s="1026" t="str">
        <f>IF(DX96="","",'#orgDung'!RH97)</f>
        <v/>
      </c>
      <c r="EA96" s="1027" t="str">
        <f>IF(DX96="","",'#orgDung'!RJ97)</f>
        <v/>
      </c>
    </row>
    <row r="97" spans="1:131" ht="15" customHeight="1" x14ac:dyDescent="0.2">
      <c r="A97" s="1195">
        <f>'Flächen u. Kulturen'!A94</f>
        <v>85</v>
      </c>
      <c r="B97" s="1195" t="str">
        <f>IF('Flächen u. Kulturen'!B94="","",'Flächen u. Kulturen'!B94)</f>
        <v/>
      </c>
      <c r="C97" s="1196" t="str">
        <f>IF('Flächen u. Kulturen'!D94="","",'Flächen u. Kulturen'!D94)</f>
        <v/>
      </c>
      <c r="D97" s="1197" t="str">
        <f>IF(C97="","",IF('#BerechnungDBE'!Q89&lt;4,"x",""))</f>
        <v/>
      </c>
      <c r="E97" s="1198" t="str">
        <f>IF(C97="","",VLOOKUP('Flächen u. Kulturen'!L94,'#Zweitfr'!$D$8:$F$28,'#Zweitfr'!$F$1,FALSE))</f>
        <v/>
      </c>
      <c r="F97" s="1199" t="str">
        <f>IF(C97="","",IF('Flächen u. Kulturen'!E94="x",'Flächen u. Kulturen'!P94,"nicht im Betrieb"))</f>
        <v/>
      </c>
      <c r="G97" s="1200" t="str">
        <f>IF(C97="","",IF('#orgDung'!C98=2,"--",IF('#Kürzungen'!$F$2=2,"--",'#orgDung'!R98)))</f>
        <v/>
      </c>
      <c r="H97" s="1200" t="str">
        <f>IF(C97="","",'#orgDung'!U98)</f>
        <v/>
      </c>
      <c r="I97" s="1201" t="str">
        <f>IF(C97="","",IF(COUNT('#orgDung'!RS98:SA98)=0,"OK",TRIM(CONCATENATE('#orgDung'!RS98," ",'#orgDung'!RT98," ",'#orgDung'!RU98," ",'#orgDung'!RV98," ",'#orgDung'!RW98," ",'#orgDung'!RX98," ",'#orgDung'!RY98," ",'#orgDung'!RZ98," ",'#orgDung'!SA98))))</f>
        <v/>
      </c>
      <c r="J97" s="1023"/>
      <c r="K97" s="1024"/>
      <c r="L97" s="1025"/>
      <c r="M97" s="1026" t="str">
        <f>IF(L97="","",'#orgDung'!AN98)</f>
        <v/>
      </c>
      <c r="N97" s="1026" t="str">
        <f>IF(L97="","",'#orgDung'!AO98)</f>
        <v/>
      </c>
      <c r="O97" s="1027" t="str">
        <f>IF(L97="","",'#orgDung'!AQ98)</f>
        <v/>
      </c>
      <c r="P97" s="1025"/>
      <c r="Q97" s="1026" t="str">
        <f>IF(P97="","",'#orgDung'!BC98)</f>
        <v/>
      </c>
      <c r="R97" s="1026" t="str">
        <f>IF(P97="","",'#orgDung'!BD98)</f>
        <v/>
      </c>
      <c r="S97" s="1027" t="str">
        <f>IF(P97="","",'#orgDung'!BF98)</f>
        <v/>
      </c>
      <c r="T97" s="1025"/>
      <c r="U97" s="1026" t="str">
        <f>IF(T97="","",'#orgDung'!BR98)</f>
        <v/>
      </c>
      <c r="V97" s="1026" t="str">
        <f>IF(T97="","",'#orgDung'!BS98)</f>
        <v/>
      </c>
      <c r="W97" s="1027" t="str">
        <f>IF(T97="","",'#orgDung'!BU98)</f>
        <v/>
      </c>
      <c r="X97" s="1025"/>
      <c r="Y97" s="1026" t="str">
        <f>IF(X97="","",'#orgDung'!CG98)</f>
        <v/>
      </c>
      <c r="Z97" s="1026" t="str">
        <f>IF(X97="","",'#orgDung'!CH98)</f>
        <v/>
      </c>
      <c r="AA97" s="1027" t="str">
        <f>IF(X97="","",'#orgDung'!CJ98)</f>
        <v/>
      </c>
      <c r="AB97" s="1025"/>
      <c r="AC97" s="1026" t="str">
        <f>IF(AB97="","",'#orgDung'!CV98)</f>
        <v/>
      </c>
      <c r="AD97" s="1026" t="str">
        <f>IF(AB97="","",'#orgDung'!CW98)</f>
        <v/>
      </c>
      <c r="AE97" s="1027" t="str">
        <f>IF(AB97="","",'#orgDung'!CY98)</f>
        <v/>
      </c>
      <c r="AF97" s="1025"/>
      <c r="AG97" s="1026" t="str">
        <f>IF(AF97="","",'#orgDung'!DK98)</f>
        <v/>
      </c>
      <c r="AH97" s="1026" t="str">
        <f>IF(AF97="","",'#orgDung'!DL98)</f>
        <v/>
      </c>
      <c r="AI97" s="1027" t="str">
        <f>IF(AF97="","",'#orgDung'!DN98)</f>
        <v/>
      </c>
      <c r="AJ97" s="1025"/>
      <c r="AK97" s="1026" t="str">
        <f>IF(AJ97="","",'#orgDung'!DZ98)</f>
        <v/>
      </c>
      <c r="AL97" s="1026" t="str">
        <f>IF(AJ97="","",'#orgDung'!EA98)</f>
        <v/>
      </c>
      <c r="AM97" s="1027" t="str">
        <f>IF(AJ97="","",'#orgDung'!EC98)</f>
        <v/>
      </c>
      <c r="AN97" s="1025"/>
      <c r="AO97" s="1026" t="str">
        <f>IF(AN97="","",'#orgDung'!EO98)</f>
        <v/>
      </c>
      <c r="AP97" s="1026" t="str">
        <f>IF(AN97="","",'#orgDung'!EP98)</f>
        <v/>
      </c>
      <c r="AQ97" s="1027" t="str">
        <f>IF(AN97="","",'#orgDung'!ER98)</f>
        <v/>
      </c>
      <c r="AR97" s="1025"/>
      <c r="AS97" s="1026" t="str">
        <f>IF(AR97="","",'#orgDung'!FD98)</f>
        <v/>
      </c>
      <c r="AT97" s="1026" t="str">
        <f>IF(AR97="","",'#orgDung'!FE98)</f>
        <v/>
      </c>
      <c r="AU97" s="1027" t="str">
        <f>IF(AR97="","",'#orgDung'!FG98)</f>
        <v/>
      </c>
      <c r="AV97" s="1025"/>
      <c r="AW97" s="1026" t="str">
        <f>IF(AV97="","",'#orgDung'!FS98)</f>
        <v/>
      </c>
      <c r="AX97" s="1026" t="str">
        <f>IF(AV97="","",'#orgDung'!FT98)</f>
        <v/>
      </c>
      <c r="AY97" s="1027" t="str">
        <f>IF(AV97="","",'#orgDung'!FV98)</f>
        <v/>
      </c>
      <c r="AZ97" s="1025"/>
      <c r="BA97" s="1026" t="str">
        <f>IF(AZ97="","",'#orgDung'!GH98)</f>
        <v/>
      </c>
      <c r="BB97" s="1026" t="str">
        <f>IF(AZ97="","",'#orgDung'!GI98)</f>
        <v/>
      </c>
      <c r="BC97" s="1027" t="str">
        <f>IF(AZ97="","",'#orgDung'!GK98)</f>
        <v/>
      </c>
      <c r="BD97" s="1025"/>
      <c r="BE97" s="1026" t="str">
        <f>IF(BD97="","",'#orgDung'!GW98)</f>
        <v/>
      </c>
      <c r="BF97" s="1026" t="str">
        <f>IF(BD97="","",'#orgDung'!GX98)</f>
        <v/>
      </c>
      <c r="BG97" s="1027" t="str">
        <f>IF(BD97="","",'#orgDung'!GZ98)</f>
        <v/>
      </c>
      <c r="BH97" s="1025"/>
      <c r="BI97" s="1026" t="str">
        <f>IF(BH97="","",'#orgDung'!HL98)</f>
        <v/>
      </c>
      <c r="BJ97" s="1026" t="str">
        <f>IF(BH97="","",'#orgDung'!HM98)</f>
        <v/>
      </c>
      <c r="BK97" s="1027" t="str">
        <f>IF(BH97="","",'#orgDung'!HO98)</f>
        <v/>
      </c>
      <c r="BL97" s="1025"/>
      <c r="BM97" s="1026" t="str">
        <f>IF(BL97="","",'#orgDung'!IA98)</f>
        <v/>
      </c>
      <c r="BN97" s="1026" t="str">
        <f>IF(BL97="","",'#orgDung'!IB98)</f>
        <v/>
      </c>
      <c r="BO97" s="1027" t="str">
        <f>IF(BL97="","",'#orgDung'!ID98)</f>
        <v/>
      </c>
      <c r="BP97" s="1025"/>
      <c r="BQ97" s="1026" t="str">
        <f>IF(BP97="","",'#orgDung'!IP98)</f>
        <v/>
      </c>
      <c r="BR97" s="1026" t="str">
        <f>IF(BP97="","",'#orgDung'!IQ98)</f>
        <v/>
      </c>
      <c r="BS97" s="1027" t="str">
        <f>IF(BP97="","",'#orgDung'!IS98)</f>
        <v/>
      </c>
      <c r="BT97" s="1025"/>
      <c r="BU97" s="1026" t="str">
        <f>IF(BT97="","",'#orgDung'!JE98)</f>
        <v/>
      </c>
      <c r="BV97" s="1026" t="str">
        <f>IF(BT97="","",'#orgDung'!JF98)</f>
        <v/>
      </c>
      <c r="BW97" s="1027" t="str">
        <f>IF(BT97="","",'#orgDung'!JH98)</f>
        <v/>
      </c>
      <c r="BX97" s="1025"/>
      <c r="BY97" s="1026" t="str">
        <f>IF(BX97="","",'#orgDung'!JT98)</f>
        <v/>
      </c>
      <c r="BZ97" s="1026" t="str">
        <f>IF(BX97="","",'#orgDung'!JU98)</f>
        <v/>
      </c>
      <c r="CA97" s="1027" t="str">
        <f>IF(BX97="","",'#orgDung'!JW98)</f>
        <v/>
      </c>
      <c r="CB97" s="1025"/>
      <c r="CC97" s="1026" t="str">
        <f>IF(CB97="","",'#orgDung'!KI98)</f>
        <v/>
      </c>
      <c r="CD97" s="1026" t="str">
        <f>IF(CB97="","",'#orgDung'!KJ98)</f>
        <v/>
      </c>
      <c r="CE97" s="1027" t="str">
        <f>IF(CB97="","",'#orgDung'!KL98)</f>
        <v/>
      </c>
      <c r="CF97" s="1025"/>
      <c r="CG97" s="1026" t="str">
        <f>IF(CF97="","",'#orgDung'!KX98)</f>
        <v/>
      </c>
      <c r="CH97" s="1026" t="str">
        <f>IF(CF97="","",'#orgDung'!KY98)</f>
        <v/>
      </c>
      <c r="CI97" s="1027" t="str">
        <f>IF(CF97="","",'#orgDung'!LA98)</f>
        <v/>
      </c>
      <c r="CJ97" s="1025"/>
      <c r="CK97" s="1026" t="str">
        <f>IF(CJ97="","",'#orgDung'!LM98)</f>
        <v/>
      </c>
      <c r="CL97" s="1026" t="str">
        <f>IF(CJ97="","",'#orgDung'!LN98)</f>
        <v/>
      </c>
      <c r="CM97" s="1027" t="str">
        <f>IF(CJ97="","",'#orgDung'!LP98)</f>
        <v/>
      </c>
      <c r="CN97" s="1025"/>
      <c r="CO97" s="1026" t="str">
        <f>IF(CN97="","",'#orgDung'!MB98)</f>
        <v/>
      </c>
      <c r="CP97" s="1026" t="str">
        <f>IF(CN97="","",'#orgDung'!MC98)</f>
        <v/>
      </c>
      <c r="CQ97" s="1027" t="str">
        <f>IF(CN97="","",'#orgDung'!ME98)</f>
        <v/>
      </c>
      <c r="CR97" s="1025"/>
      <c r="CS97" s="1026" t="str">
        <f>IF(CR97="","",'#orgDung'!MQ98)</f>
        <v/>
      </c>
      <c r="CT97" s="1026" t="str">
        <f>IF(CR97="","",'#orgDung'!MR98)</f>
        <v/>
      </c>
      <c r="CU97" s="1027" t="str">
        <f>IF(CR97="","",'#orgDung'!MT98)</f>
        <v/>
      </c>
      <c r="CV97" s="1025"/>
      <c r="CW97" s="1026" t="str">
        <f>IF(CV97="","",'#orgDung'!NF98)</f>
        <v/>
      </c>
      <c r="CX97" s="1026" t="str">
        <f>IF(CV97="","",'#orgDung'!NG98)</f>
        <v/>
      </c>
      <c r="CY97" s="1027" t="str">
        <f>IF(CV97="","",'#orgDung'!NI98)</f>
        <v/>
      </c>
      <c r="CZ97" s="1025"/>
      <c r="DA97" s="1026" t="str">
        <f>IF(CZ97="","",'#orgDung'!NU98)</f>
        <v/>
      </c>
      <c r="DB97" s="1026" t="str">
        <f>IF(CZ97="","",'#orgDung'!NV98)</f>
        <v/>
      </c>
      <c r="DC97" s="1027" t="str">
        <f>IF(CZ97="","",'#orgDung'!NX98)</f>
        <v/>
      </c>
      <c r="DD97" s="1025"/>
      <c r="DE97" s="1026" t="str">
        <f>IF(DD97="","",'#orgDung'!OJ98)</f>
        <v/>
      </c>
      <c r="DF97" s="1026" t="str">
        <f>IF(DD97="","",'#orgDung'!OK98)</f>
        <v/>
      </c>
      <c r="DG97" s="1027" t="str">
        <f>IF(DD97="","",'#orgDung'!OM98)</f>
        <v/>
      </c>
      <c r="DH97" s="1025"/>
      <c r="DI97" s="1026" t="str">
        <f>IF(DH97="","",'#orgDung'!OY98)</f>
        <v/>
      </c>
      <c r="DJ97" s="1026" t="str">
        <f>IF(DH97="","",'#orgDung'!OZ98)</f>
        <v/>
      </c>
      <c r="DK97" s="1027" t="str">
        <f>IF(DH97="","",'#orgDung'!PB98)</f>
        <v/>
      </c>
      <c r="DL97" s="1025"/>
      <c r="DM97" s="1026" t="str">
        <f>IF(DL97="","",'#orgDung'!PN98)</f>
        <v/>
      </c>
      <c r="DN97" s="1026" t="str">
        <f>IF(DL97="","",'#orgDung'!PO98)</f>
        <v/>
      </c>
      <c r="DO97" s="1027" t="str">
        <f>IF(DL97="","",'#orgDung'!PQ98)</f>
        <v/>
      </c>
      <c r="DP97" s="1025"/>
      <c r="DQ97" s="1026" t="str">
        <f>IF(DP97="","",'#orgDung'!QC98)</f>
        <v/>
      </c>
      <c r="DR97" s="1026" t="str">
        <f>IF(DP97="","",'#orgDung'!QD98)</f>
        <v/>
      </c>
      <c r="DS97" s="1027" t="str">
        <f>IF(DP97="","",'#orgDung'!QF98)</f>
        <v/>
      </c>
      <c r="DT97" s="1025"/>
      <c r="DU97" s="1026" t="str">
        <f>IF(DT97="","",'#orgDung'!QR98)</f>
        <v/>
      </c>
      <c r="DV97" s="1026" t="str">
        <f>IF(DT97="","",'#orgDung'!QS98)</f>
        <v/>
      </c>
      <c r="DW97" s="1027" t="str">
        <f>IF(DT97="","",'#orgDung'!QU98)</f>
        <v/>
      </c>
      <c r="DX97" s="1025"/>
      <c r="DY97" s="1026" t="str">
        <f>IF(DX97="","",'#orgDung'!RG98)</f>
        <v/>
      </c>
      <c r="DZ97" s="1026" t="str">
        <f>IF(DX97="","",'#orgDung'!RH98)</f>
        <v/>
      </c>
      <c r="EA97" s="1027" t="str">
        <f>IF(DX97="","",'#orgDung'!RJ98)</f>
        <v/>
      </c>
    </row>
    <row r="98" spans="1:131" ht="15" customHeight="1" x14ac:dyDescent="0.2">
      <c r="A98" s="1195">
        <f>'Flächen u. Kulturen'!A95</f>
        <v>86</v>
      </c>
      <c r="B98" s="1195" t="str">
        <f>IF('Flächen u. Kulturen'!B95="","",'Flächen u. Kulturen'!B95)</f>
        <v/>
      </c>
      <c r="C98" s="1196" t="str">
        <f>IF('Flächen u. Kulturen'!D95="","",'Flächen u. Kulturen'!D95)</f>
        <v/>
      </c>
      <c r="D98" s="1197" t="str">
        <f>IF(C98="","",IF('#BerechnungDBE'!Q90&lt;4,"x",""))</f>
        <v/>
      </c>
      <c r="E98" s="1198" t="str">
        <f>IF(C98="","",VLOOKUP('Flächen u. Kulturen'!L95,'#Zweitfr'!$D$8:$F$28,'#Zweitfr'!$F$1,FALSE))</f>
        <v/>
      </c>
      <c r="F98" s="1199" t="str">
        <f>IF(C98="","",IF('Flächen u. Kulturen'!E95="x",'Flächen u. Kulturen'!P95,"nicht im Betrieb"))</f>
        <v/>
      </c>
      <c r="G98" s="1200" t="str">
        <f>IF(C98="","",IF('#orgDung'!C99=2,"--",IF('#Kürzungen'!$F$2=2,"--",'#orgDung'!R99)))</f>
        <v/>
      </c>
      <c r="H98" s="1200" t="str">
        <f>IF(C98="","",'#orgDung'!U99)</f>
        <v/>
      </c>
      <c r="I98" s="1201" t="str">
        <f>IF(C98="","",IF(COUNT('#orgDung'!RS99:SA99)=0,"OK",TRIM(CONCATENATE('#orgDung'!RS99," ",'#orgDung'!RT99," ",'#orgDung'!RU99," ",'#orgDung'!RV99," ",'#orgDung'!RW99," ",'#orgDung'!RX99," ",'#orgDung'!RY99," ",'#orgDung'!RZ99," ",'#orgDung'!SA99))))</f>
        <v/>
      </c>
      <c r="J98" s="1023"/>
      <c r="K98" s="1024"/>
      <c r="L98" s="1025"/>
      <c r="M98" s="1026" t="str">
        <f>IF(L98="","",'#orgDung'!AN99)</f>
        <v/>
      </c>
      <c r="N98" s="1026" t="str">
        <f>IF(L98="","",'#orgDung'!AO99)</f>
        <v/>
      </c>
      <c r="O98" s="1027" t="str">
        <f>IF(L98="","",'#orgDung'!AQ99)</f>
        <v/>
      </c>
      <c r="P98" s="1025"/>
      <c r="Q98" s="1026" t="str">
        <f>IF(P98="","",'#orgDung'!BC99)</f>
        <v/>
      </c>
      <c r="R98" s="1026" t="str">
        <f>IF(P98="","",'#orgDung'!BD99)</f>
        <v/>
      </c>
      <c r="S98" s="1027" t="str">
        <f>IF(P98="","",'#orgDung'!BF99)</f>
        <v/>
      </c>
      <c r="T98" s="1025"/>
      <c r="U98" s="1026" t="str">
        <f>IF(T98="","",'#orgDung'!BR99)</f>
        <v/>
      </c>
      <c r="V98" s="1026" t="str">
        <f>IF(T98="","",'#orgDung'!BS99)</f>
        <v/>
      </c>
      <c r="W98" s="1027" t="str">
        <f>IF(T98="","",'#orgDung'!BU99)</f>
        <v/>
      </c>
      <c r="X98" s="1025"/>
      <c r="Y98" s="1026" t="str">
        <f>IF(X98="","",'#orgDung'!CG99)</f>
        <v/>
      </c>
      <c r="Z98" s="1026" t="str">
        <f>IF(X98="","",'#orgDung'!CH99)</f>
        <v/>
      </c>
      <c r="AA98" s="1027" t="str">
        <f>IF(X98="","",'#orgDung'!CJ99)</f>
        <v/>
      </c>
      <c r="AB98" s="1025"/>
      <c r="AC98" s="1026" t="str">
        <f>IF(AB98="","",'#orgDung'!CV99)</f>
        <v/>
      </c>
      <c r="AD98" s="1026" t="str">
        <f>IF(AB98="","",'#orgDung'!CW99)</f>
        <v/>
      </c>
      <c r="AE98" s="1027" t="str">
        <f>IF(AB98="","",'#orgDung'!CY99)</f>
        <v/>
      </c>
      <c r="AF98" s="1025"/>
      <c r="AG98" s="1026" t="str">
        <f>IF(AF98="","",'#orgDung'!DK99)</f>
        <v/>
      </c>
      <c r="AH98" s="1026" t="str">
        <f>IF(AF98="","",'#orgDung'!DL99)</f>
        <v/>
      </c>
      <c r="AI98" s="1027" t="str">
        <f>IF(AF98="","",'#orgDung'!DN99)</f>
        <v/>
      </c>
      <c r="AJ98" s="1025"/>
      <c r="AK98" s="1026" t="str">
        <f>IF(AJ98="","",'#orgDung'!DZ99)</f>
        <v/>
      </c>
      <c r="AL98" s="1026" t="str">
        <f>IF(AJ98="","",'#orgDung'!EA99)</f>
        <v/>
      </c>
      <c r="AM98" s="1027" t="str">
        <f>IF(AJ98="","",'#orgDung'!EC99)</f>
        <v/>
      </c>
      <c r="AN98" s="1025"/>
      <c r="AO98" s="1026" t="str">
        <f>IF(AN98="","",'#orgDung'!EO99)</f>
        <v/>
      </c>
      <c r="AP98" s="1026" t="str">
        <f>IF(AN98="","",'#orgDung'!EP99)</f>
        <v/>
      </c>
      <c r="AQ98" s="1027" t="str">
        <f>IF(AN98="","",'#orgDung'!ER99)</f>
        <v/>
      </c>
      <c r="AR98" s="1025"/>
      <c r="AS98" s="1026" t="str">
        <f>IF(AR98="","",'#orgDung'!FD99)</f>
        <v/>
      </c>
      <c r="AT98" s="1026" t="str">
        <f>IF(AR98="","",'#orgDung'!FE99)</f>
        <v/>
      </c>
      <c r="AU98" s="1027" t="str">
        <f>IF(AR98="","",'#orgDung'!FG99)</f>
        <v/>
      </c>
      <c r="AV98" s="1025"/>
      <c r="AW98" s="1026" t="str">
        <f>IF(AV98="","",'#orgDung'!FS99)</f>
        <v/>
      </c>
      <c r="AX98" s="1026" t="str">
        <f>IF(AV98="","",'#orgDung'!FT99)</f>
        <v/>
      </c>
      <c r="AY98" s="1027" t="str">
        <f>IF(AV98="","",'#orgDung'!FV99)</f>
        <v/>
      </c>
      <c r="AZ98" s="1025"/>
      <c r="BA98" s="1026" t="str">
        <f>IF(AZ98="","",'#orgDung'!GH99)</f>
        <v/>
      </c>
      <c r="BB98" s="1026" t="str">
        <f>IF(AZ98="","",'#orgDung'!GI99)</f>
        <v/>
      </c>
      <c r="BC98" s="1027" t="str">
        <f>IF(AZ98="","",'#orgDung'!GK99)</f>
        <v/>
      </c>
      <c r="BD98" s="1025"/>
      <c r="BE98" s="1026" t="str">
        <f>IF(BD98="","",'#orgDung'!GW99)</f>
        <v/>
      </c>
      <c r="BF98" s="1026" t="str">
        <f>IF(BD98="","",'#orgDung'!GX99)</f>
        <v/>
      </c>
      <c r="BG98" s="1027" t="str">
        <f>IF(BD98="","",'#orgDung'!GZ99)</f>
        <v/>
      </c>
      <c r="BH98" s="1025"/>
      <c r="BI98" s="1026" t="str">
        <f>IF(BH98="","",'#orgDung'!HL99)</f>
        <v/>
      </c>
      <c r="BJ98" s="1026" t="str">
        <f>IF(BH98="","",'#orgDung'!HM99)</f>
        <v/>
      </c>
      <c r="BK98" s="1027" t="str">
        <f>IF(BH98="","",'#orgDung'!HO99)</f>
        <v/>
      </c>
      <c r="BL98" s="1025"/>
      <c r="BM98" s="1026" t="str">
        <f>IF(BL98="","",'#orgDung'!IA99)</f>
        <v/>
      </c>
      <c r="BN98" s="1026" t="str">
        <f>IF(BL98="","",'#orgDung'!IB99)</f>
        <v/>
      </c>
      <c r="BO98" s="1027" t="str">
        <f>IF(BL98="","",'#orgDung'!ID99)</f>
        <v/>
      </c>
      <c r="BP98" s="1025"/>
      <c r="BQ98" s="1026" t="str">
        <f>IF(BP98="","",'#orgDung'!IP99)</f>
        <v/>
      </c>
      <c r="BR98" s="1026" t="str">
        <f>IF(BP98="","",'#orgDung'!IQ99)</f>
        <v/>
      </c>
      <c r="BS98" s="1027" t="str">
        <f>IF(BP98="","",'#orgDung'!IS99)</f>
        <v/>
      </c>
      <c r="BT98" s="1025"/>
      <c r="BU98" s="1026" t="str">
        <f>IF(BT98="","",'#orgDung'!JE99)</f>
        <v/>
      </c>
      <c r="BV98" s="1026" t="str">
        <f>IF(BT98="","",'#orgDung'!JF99)</f>
        <v/>
      </c>
      <c r="BW98" s="1027" t="str">
        <f>IF(BT98="","",'#orgDung'!JH99)</f>
        <v/>
      </c>
      <c r="BX98" s="1025"/>
      <c r="BY98" s="1026" t="str">
        <f>IF(BX98="","",'#orgDung'!JT99)</f>
        <v/>
      </c>
      <c r="BZ98" s="1026" t="str">
        <f>IF(BX98="","",'#orgDung'!JU99)</f>
        <v/>
      </c>
      <c r="CA98" s="1027" t="str">
        <f>IF(BX98="","",'#orgDung'!JW99)</f>
        <v/>
      </c>
      <c r="CB98" s="1025"/>
      <c r="CC98" s="1026" t="str">
        <f>IF(CB98="","",'#orgDung'!KI99)</f>
        <v/>
      </c>
      <c r="CD98" s="1026" t="str">
        <f>IF(CB98="","",'#orgDung'!KJ99)</f>
        <v/>
      </c>
      <c r="CE98" s="1027" t="str">
        <f>IF(CB98="","",'#orgDung'!KL99)</f>
        <v/>
      </c>
      <c r="CF98" s="1025"/>
      <c r="CG98" s="1026" t="str">
        <f>IF(CF98="","",'#orgDung'!KX99)</f>
        <v/>
      </c>
      <c r="CH98" s="1026" t="str">
        <f>IF(CF98="","",'#orgDung'!KY99)</f>
        <v/>
      </c>
      <c r="CI98" s="1027" t="str">
        <f>IF(CF98="","",'#orgDung'!LA99)</f>
        <v/>
      </c>
      <c r="CJ98" s="1025"/>
      <c r="CK98" s="1026" t="str">
        <f>IF(CJ98="","",'#orgDung'!LM99)</f>
        <v/>
      </c>
      <c r="CL98" s="1026" t="str">
        <f>IF(CJ98="","",'#orgDung'!LN99)</f>
        <v/>
      </c>
      <c r="CM98" s="1027" t="str">
        <f>IF(CJ98="","",'#orgDung'!LP99)</f>
        <v/>
      </c>
      <c r="CN98" s="1025"/>
      <c r="CO98" s="1026" t="str">
        <f>IF(CN98="","",'#orgDung'!MB99)</f>
        <v/>
      </c>
      <c r="CP98" s="1026" t="str">
        <f>IF(CN98="","",'#orgDung'!MC99)</f>
        <v/>
      </c>
      <c r="CQ98" s="1027" t="str">
        <f>IF(CN98="","",'#orgDung'!ME99)</f>
        <v/>
      </c>
      <c r="CR98" s="1025"/>
      <c r="CS98" s="1026" t="str">
        <f>IF(CR98="","",'#orgDung'!MQ99)</f>
        <v/>
      </c>
      <c r="CT98" s="1026" t="str">
        <f>IF(CR98="","",'#orgDung'!MR99)</f>
        <v/>
      </c>
      <c r="CU98" s="1027" t="str">
        <f>IF(CR98="","",'#orgDung'!MT99)</f>
        <v/>
      </c>
      <c r="CV98" s="1025"/>
      <c r="CW98" s="1026" t="str">
        <f>IF(CV98="","",'#orgDung'!NF99)</f>
        <v/>
      </c>
      <c r="CX98" s="1026" t="str">
        <f>IF(CV98="","",'#orgDung'!NG99)</f>
        <v/>
      </c>
      <c r="CY98" s="1027" t="str">
        <f>IF(CV98="","",'#orgDung'!NI99)</f>
        <v/>
      </c>
      <c r="CZ98" s="1025"/>
      <c r="DA98" s="1026" t="str">
        <f>IF(CZ98="","",'#orgDung'!NU99)</f>
        <v/>
      </c>
      <c r="DB98" s="1026" t="str">
        <f>IF(CZ98="","",'#orgDung'!NV99)</f>
        <v/>
      </c>
      <c r="DC98" s="1027" t="str">
        <f>IF(CZ98="","",'#orgDung'!NX99)</f>
        <v/>
      </c>
      <c r="DD98" s="1025"/>
      <c r="DE98" s="1026" t="str">
        <f>IF(DD98="","",'#orgDung'!OJ99)</f>
        <v/>
      </c>
      <c r="DF98" s="1026" t="str">
        <f>IF(DD98="","",'#orgDung'!OK99)</f>
        <v/>
      </c>
      <c r="DG98" s="1027" t="str">
        <f>IF(DD98="","",'#orgDung'!OM99)</f>
        <v/>
      </c>
      <c r="DH98" s="1025"/>
      <c r="DI98" s="1026" t="str">
        <f>IF(DH98="","",'#orgDung'!OY99)</f>
        <v/>
      </c>
      <c r="DJ98" s="1026" t="str">
        <f>IF(DH98="","",'#orgDung'!OZ99)</f>
        <v/>
      </c>
      <c r="DK98" s="1027" t="str">
        <f>IF(DH98="","",'#orgDung'!PB99)</f>
        <v/>
      </c>
      <c r="DL98" s="1025"/>
      <c r="DM98" s="1026" t="str">
        <f>IF(DL98="","",'#orgDung'!PN99)</f>
        <v/>
      </c>
      <c r="DN98" s="1026" t="str">
        <f>IF(DL98="","",'#orgDung'!PO99)</f>
        <v/>
      </c>
      <c r="DO98" s="1027" t="str">
        <f>IF(DL98="","",'#orgDung'!PQ99)</f>
        <v/>
      </c>
      <c r="DP98" s="1025"/>
      <c r="DQ98" s="1026" t="str">
        <f>IF(DP98="","",'#orgDung'!QC99)</f>
        <v/>
      </c>
      <c r="DR98" s="1026" t="str">
        <f>IF(DP98="","",'#orgDung'!QD99)</f>
        <v/>
      </c>
      <c r="DS98" s="1027" t="str">
        <f>IF(DP98="","",'#orgDung'!QF99)</f>
        <v/>
      </c>
      <c r="DT98" s="1025"/>
      <c r="DU98" s="1026" t="str">
        <f>IF(DT98="","",'#orgDung'!QR99)</f>
        <v/>
      </c>
      <c r="DV98" s="1026" t="str">
        <f>IF(DT98="","",'#orgDung'!QS99)</f>
        <v/>
      </c>
      <c r="DW98" s="1027" t="str">
        <f>IF(DT98="","",'#orgDung'!QU99)</f>
        <v/>
      </c>
      <c r="DX98" s="1025"/>
      <c r="DY98" s="1026" t="str">
        <f>IF(DX98="","",'#orgDung'!RG99)</f>
        <v/>
      </c>
      <c r="DZ98" s="1026" t="str">
        <f>IF(DX98="","",'#orgDung'!RH99)</f>
        <v/>
      </c>
      <c r="EA98" s="1027" t="str">
        <f>IF(DX98="","",'#orgDung'!RJ99)</f>
        <v/>
      </c>
    </row>
    <row r="99" spans="1:131" ht="15" customHeight="1" x14ac:dyDescent="0.2">
      <c r="A99" s="1195">
        <f>'Flächen u. Kulturen'!A96</f>
        <v>87</v>
      </c>
      <c r="B99" s="1195" t="str">
        <f>IF('Flächen u. Kulturen'!B96="","",'Flächen u. Kulturen'!B96)</f>
        <v/>
      </c>
      <c r="C99" s="1196" t="str">
        <f>IF('Flächen u. Kulturen'!D96="","",'Flächen u. Kulturen'!D96)</f>
        <v/>
      </c>
      <c r="D99" s="1197" t="str">
        <f>IF(C99="","",IF('#BerechnungDBE'!Q91&lt;4,"x",""))</f>
        <v/>
      </c>
      <c r="E99" s="1198" t="str">
        <f>IF(C99="","",VLOOKUP('Flächen u. Kulturen'!L96,'#Zweitfr'!$D$8:$F$28,'#Zweitfr'!$F$1,FALSE))</f>
        <v/>
      </c>
      <c r="F99" s="1199" t="str">
        <f>IF(C99="","",IF('Flächen u. Kulturen'!E96="x",'Flächen u. Kulturen'!P96,"nicht im Betrieb"))</f>
        <v/>
      </c>
      <c r="G99" s="1200" t="str">
        <f>IF(C99="","",IF('#orgDung'!C100=2,"--",IF('#Kürzungen'!$F$2=2,"--",'#orgDung'!R100)))</f>
        <v/>
      </c>
      <c r="H99" s="1200" t="str">
        <f>IF(C99="","",'#orgDung'!U100)</f>
        <v/>
      </c>
      <c r="I99" s="1201" t="str">
        <f>IF(C99="","",IF(COUNT('#orgDung'!RS100:SA100)=0,"OK",TRIM(CONCATENATE('#orgDung'!RS100," ",'#orgDung'!RT100," ",'#orgDung'!RU100," ",'#orgDung'!RV100," ",'#orgDung'!RW100," ",'#orgDung'!RX100," ",'#orgDung'!RY100," ",'#orgDung'!RZ100," ",'#orgDung'!SA100))))</f>
        <v/>
      </c>
      <c r="J99" s="1023"/>
      <c r="K99" s="1024"/>
      <c r="L99" s="1025"/>
      <c r="M99" s="1026" t="str">
        <f>IF(L99="","",'#orgDung'!AN100)</f>
        <v/>
      </c>
      <c r="N99" s="1026" t="str">
        <f>IF(L99="","",'#orgDung'!AO100)</f>
        <v/>
      </c>
      <c r="O99" s="1027" t="str">
        <f>IF(L99="","",'#orgDung'!AQ100)</f>
        <v/>
      </c>
      <c r="P99" s="1025"/>
      <c r="Q99" s="1026" t="str">
        <f>IF(P99="","",'#orgDung'!BC100)</f>
        <v/>
      </c>
      <c r="R99" s="1026" t="str">
        <f>IF(P99="","",'#orgDung'!BD100)</f>
        <v/>
      </c>
      <c r="S99" s="1027" t="str">
        <f>IF(P99="","",'#orgDung'!BF100)</f>
        <v/>
      </c>
      <c r="T99" s="1025"/>
      <c r="U99" s="1026" t="str">
        <f>IF(T99="","",'#orgDung'!BR100)</f>
        <v/>
      </c>
      <c r="V99" s="1026" t="str">
        <f>IF(T99="","",'#orgDung'!BS100)</f>
        <v/>
      </c>
      <c r="W99" s="1027" t="str">
        <f>IF(T99="","",'#orgDung'!BU100)</f>
        <v/>
      </c>
      <c r="X99" s="1025"/>
      <c r="Y99" s="1026" t="str">
        <f>IF(X99="","",'#orgDung'!CG100)</f>
        <v/>
      </c>
      <c r="Z99" s="1026" t="str">
        <f>IF(X99="","",'#orgDung'!CH100)</f>
        <v/>
      </c>
      <c r="AA99" s="1027" t="str">
        <f>IF(X99="","",'#orgDung'!CJ100)</f>
        <v/>
      </c>
      <c r="AB99" s="1025"/>
      <c r="AC99" s="1026" t="str">
        <f>IF(AB99="","",'#orgDung'!CV100)</f>
        <v/>
      </c>
      <c r="AD99" s="1026" t="str">
        <f>IF(AB99="","",'#orgDung'!CW100)</f>
        <v/>
      </c>
      <c r="AE99" s="1027" t="str">
        <f>IF(AB99="","",'#orgDung'!CY100)</f>
        <v/>
      </c>
      <c r="AF99" s="1025"/>
      <c r="AG99" s="1026" t="str">
        <f>IF(AF99="","",'#orgDung'!DK100)</f>
        <v/>
      </c>
      <c r="AH99" s="1026" t="str">
        <f>IF(AF99="","",'#orgDung'!DL100)</f>
        <v/>
      </c>
      <c r="AI99" s="1027" t="str">
        <f>IF(AF99="","",'#orgDung'!DN100)</f>
        <v/>
      </c>
      <c r="AJ99" s="1025"/>
      <c r="AK99" s="1026" t="str">
        <f>IF(AJ99="","",'#orgDung'!DZ100)</f>
        <v/>
      </c>
      <c r="AL99" s="1026" t="str">
        <f>IF(AJ99="","",'#orgDung'!EA100)</f>
        <v/>
      </c>
      <c r="AM99" s="1027" t="str">
        <f>IF(AJ99="","",'#orgDung'!EC100)</f>
        <v/>
      </c>
      <c r="AN99" s="1025"/>
      <c r="AO99" s="1026" t="str">
        <f>IF(AN99="","",'#orgDung'!EO100)</f>
        <v/>
      </c>
      <c r="AP99" s="1026" t="str">
        <f>IF(AN99="","",'#orgDung'!EP100)</f>
        <v/>
      </c>
      <c r="AQ99" s="1027" t="str">
        <f>IF(AN99="","",'#orgDung'!ER100)</f>
        <v/>
      </c>
      <c r="AR99" s="1025"/>
      <c r="AS99" s="1026" t="str">
        <f>IF(AR99="","",'#orgDung'!FD100)</f>
        <v/>
      </c>
      <c r="AT99" s="1026" t="str">
        <f>IF(AR99="","",'#orgDung'!FE100)</f>
        <v/>
      </c>
      <c r="AU99" s="1027" t="str">
        <f>IF(AR99="","",'#orgDung'!FG100)</f>
        <v/>
      </c>
      <c r="AV99" s="1025"/>
      <c r="AW99" s="1026" t="str">
        <f>IF(AV99="","",'#orgDung'!FS100)</f>
        <v/>
      </c>
      <c r="AX99" s="1026" t="str">
        <f>IF(AV99="","",'#orgDung'!FT100)</f>
        <v/>
      </c>
      <c r="AY99" s="1027" t="str">
        <f>IF(AV99="","",'#orgDung'!FV100)</f>
        <v/>
      </c>
      <c r="AZ99" s="1025"/>
      <c r="BA99" s="1026" t="str">
        <f>IF(AZ99="","",'#orgDung'!GH100)</f>
        <v/>
      </c>
      <c r="BB99" s="1026" t="str">
        <f>IF(AZ99="","",'#orgDung'!GI100)</f>
        <v/>
      </c>
      <c r="BC99" s="1027" t="str">
        <f>IF(AZ99="","",'#orgDung'!GK100)</f>
        <v/>
      </c>
      <c r="BD99" s="1025"/>
      <c r="BE99" s="1026" t="str">
        <f>IF(BD99="","",'#orgDung'!GW100)</f>
        <v/>
      </c>
      <c r="BF99" s="1026" t="str">
        <f>IF(BD99="","",'#orgDung'!GX100)</f>
        <v/>
      </c>
      <c r="BG99" s="1027" t="str">
        <f>IF(BD99="","",'#orgDung'!GZ100)</f>
        <v/>
      </c>
      <c r="BH99" s="1025"/>
      <c r="BI99" s="1026" t="str">
        <f>IF(BH99="","",'#orgDung'!HL100)</f>
        <v/>
      </c>
      <c r="BJ99" s="1026" t="str">
        <f>IF(BH99="","",'#orgDung'!HM100)</f>
        <v/>
      </c>
      <c r="BK99" s="1027" t="str">
        <f>IF(BH99="","",'#orgDung'!HO100)</f>
        <v/>
      </c>
      <c r="BL99" s="1025"/>
      <c r="BM99" s="1026" t="str">
        <f>IF(BL99="","",'#orgDung'!IA100)</f>
        <v/>
      </c>
      <c r="BN99" s="1026" t="str">
        <f>IF(BL99="","",'#orgDung'!IB100)</f>
        <v/>
      </c>
      <c r="BO99" s="1027" t="str">
        <f>IF(BL99="","",'#orgDung'!ID100)</f>
        <v/>
      </c>
      <c r="BP99" s="1025"/>
      <c r="BQ99" s="1026" t="str">
        <f>IF(BP99="","",'#orgDung'!IP100)</f>
        <v/>
      </c>
      <c r="BR99" s="1026" t="str">
        <f>IF(BP99="","",'#orgDung'!IQ100)</f>
        <v/>
      </c>
      <c r="BS99" s="1027" t="str">
        <f>IF(BP99="","",'#orgDung'!IS100)</f>
        <v/>
      </c>
      <c r="BT99" s="1025"/>
      <c r="BU99" s="1026" t="str">
        <f>IF(BT99="","",'#orgDung'!JE100)</f>
        <v/>
      </c>
      <c r="BV99" s="1026" t="str">
        <f>IF(BT99="","",'#orgDung'!JF100)</f>
        <v/>
      </c>
      <c r="BW99" s="1027" t="str">
        <f>IF(BT99="","",'#orgDung'!JH100)</f>
        <v/>
      </c>
      <c r="BX99" s="1025"/>
      <c r="BY99" s="1026" t="str">
        <f>IF(BX99="","",'#orgDung'!JT100)</f>
        <v/>
      </c>
      <c r="BZ99" s="1026" t="str">
        <f>IF(BX99="","",'#orgDung'!JU100)</f>
        <v/>
      </c>
      <c r="CA99" s="1027" t="str">
        <f>IF(BX99="","",'#orgDung'!JW100)</f>
        <v/>
      </c>
      <c r="CB99" s="1025"/>
      <c r="CC99" s="1026" t="str">
        <f>IF(CB99="","",'#orgDung'!KI100)</f>
        <v/>
      </c>
      <c r="CD99" s="1026" t="str">
        <f>IF(CB99="","",'#orgDung'!KJ100)</f>
        <v/>
      </c>
      <c r="CE99" s="1027" t="str">
        <f>IF(CB99="","",'#orgDung'!KL100)</f>
        <v/>
      </c>
      <c r="CF99" s="1025"/>
      <c r="CG99" s="1026" t="str">
        <f>IF(CF99="","",'#orgDung'!KX100)</f>
        <v/>
      </c>
      <c r="CH99" s="1026" t="str">
        <f>IF(CF99="","",'#orgDung'!KY100)</f>
        <v/>
      </c>
      <c r="CI99" s="1027" t="str">
        <f>IF(CF99="","",'#orgDung'!LA100)</f>
        <v/>
      </c>
      <c r="CJ99" s="1025"/>
      <c r="CK99" s="1026" t="str">
        <f>IF(CJ99="","",'#orgDung'!LM100)</f>
        <v/>
      </c>
      <c r="CL99" s="1026" t="str">
        <f>IF(CJ99="","",'#orgDung'!LN100)</f>
        <v/>
      </c>
      <c r="CM99" s="1027" t="str">
        <f>IF(CJ99="","",'#orgDung'!LP100)</f>
        <v/>
      </c>
      <c r="CN99" s="1025"/>
      <c r="CO99" s="1026" t="str">
        <f>IF(CN99="","",'#orgDung'!MB100)</f>
        <v/>
      </c>
      <c r="CP99" s="1026" t="str">
        <f>IF(CN99="","",'#orgDung'!MC100)</f>
        <v/>
      </c>
      <c r="CQ99" s="1027" t="str">
        <f>IF(CN99="","",'#orgDung'!ME100)</f>
        <v/>
      </c>
      <c r="CR99" s="1025"/>
      <c r="CS99" s="1026" t="str">
        <f>IF(CR99="","",'#orgDung'!MQ100)</f>
        <v/>
      </c>
      <c r="CT99" s="1026" t="str">
        <f>IF(CR99="","",'#orgDung'!MR100)</f>
        <v/>
      </c>
      <c r="CU99" s="1027" t="str">
        <f>IF(CR99="","",'#orgDung'!MT100)</f>
        <v/>
      </c>
      <c r="CV99" s="1025"/>
      <c r="CW99" s="1026" t="str">
        <f>IF(CV99="","",'#orgDung'!NF100)</f>
        <v/>
      </c>
      <c r="CX99" s="1026" t="str">
        <f>IF(CV99="","",'#orgDung'!NG100)</f>
        <v/>
      </c>
      <c r="CY99" s="1027" t="str">
        <f>IF(CV99="","",'#orgDung'!NI100)</f>
        <v/>
      </c>
      <c r="CZ99" s="1025"/>
      <c r="DA99" s="1026" t="str">
        <f>IF(CZ99="","",'#orgDung'!NU100)</f>
        <v/>
      </c>
      <c r="DB99" s="1026" t="str">
        <f>IF(CZ99="","",'#orgDung'!NV100)</f>
        <v/>
      </c>
      <c r="DC99" s="1027" t="str">
        <f>IF(CZ99="","",'#orgDung'!NX100)</f>
        <v/>
      </c>
      <c r="DD99" s="1025"/>
      <c r="DE99" s="1026" t="str">
        <f>IF(DD99="","",'#orgDung'!OJ100)</f>
        <v/>
      </c>
      <c r="DF99" s="1026" t="str">
        <f>IF(DD99="","",'#orgDung'!OK100)</f>
        <v/>
      </c>
      <c r="DG99" s="1027" t="str">
        <f>IF(DD99="","",'#orgDung'!OM100)</f>
        <v/>
      </c>
      <c r="DH99" s="1025"/>
      <c r="DI99" s="1026" t="str">
        <f>IF(DH99="","",'#orgDung'!OY100)</f>
        <v/>
      </c>
      <c r="DJ99" s="1026" t="str">
        <f>IF(DH99="","",'#orgDung'!OZ100)</f>
        <v/>
      </c>
      <c r="DK99" s="1027" t="str">
        <f>IF(DH99="","",'#orgDung'!PB100)</f>
        <v/>
      </c>
      <c r="DL99" s="1025"/>
      <c r="DM99" s="1026" t="str">
        <f>IF(DL99="","",'#orgDung'!PN100)</f>
        <v/>
      </c>
      <c r="DN99" s="1026" t="str">
        <f>IF(DL99="","",'#orgDung'!PO100)</f>
        <v/>
      </c>
      <c r="DO99" s="1027" t="str">
        <f>IF(DL99="","",'#orgDung'!PQ100)</f>
        <v/>
      </c>
      <c r="DP99" s="1025"/>
      <c r="DQ99" s="1026" t="str">
        <f>IF(DP99="","",'#orgDung'!QC100)</f>
        <v/>
      </c>
      <c r="DR99" s="1026" t="str">
        <f>IF(DP99="","",'#orgDung'!QD100)</f>
        <v/>
      </c>
      <c r="DS99" s="1027" t="str">
        <f>IF(DP99="","",'#orgDung'!QF100)</f>
        <v/>
      </c>
      <c r="DT99" s="1025"/>
      <c r="DU99" s="1026" t="str">
        <f>IF(DT99="","",'#orgDung'!QR100)</f>
        <v/>
      </c>
      <c r="DV99" s="1026" t="str">
        <f>IF(DT99="","",'#orgDung'!QS100)</f>
        <v/>
      </c>
      <c r="DW99" s="1027" t="str">
        <f>IF(DT99="","",'#orgDung'!QU100)</f>
        <v/>
      </c>
      <c r="DX99" s="1025"/>
      <c r="DY99" s="1026" t="str">
        <f>IF(DX99="","",'#orgDung'!RG100)</f>
        <v/>
      </c>
      <c r="DZ99" s="1026" t="str">
        <f>IF(DX99="","",'#orgDung'!RH100)</f>
        <v/>
      </c>
      <c r="EA99" s="1027" t="str">
        <f>IF(DX99="","",'#orgDung'!RJ100)</f>
        <v/>
      </c>
    </row>
    <row r="100" spans="1:131" ht="15" customHeight="1" x14ac:dyDescent="0.2">
      <c r="A100" s="1195">
        <f>'Flächen u. Kulturen'!A97</f>
        <v>88</v>
      </c>
      <c r="B100" s="1195" t="str">
        <f>IF('Flächen u. Kulturen'!B97="","",'Flächen u. Kulturen'!B97)</f>
        <v/>
      </c>
      <c r="C100" s="1196" t="str">
        <f>IF('Flächen u. Kulturen'!D97="","",'Flächen u. Kulturen'!D97)</f>
        <v/>
      </c>
      <c r="D100" s="1197" t="str">
        <f>IF(C100="","",IF('#BerechnungDBE'!Q92&lt;4,"x",""))</f>
        <v/>
      </c>
      <c r="E100" s="1198" t="str">
        <f>IF(C100="","",VLOOKUP('Flächen u. Kulturen'!L97,'#Zweitfr'!$D$8:$F$28,'#Zweitfr'!$F$1,FALSE))</f>
        <v/>
      </c>
      <c r="F100" s="1199" t="str">
        <f>IF(C100="","",IF('Flächen u. Kulturen'!E97="x",'Flächen u. Kulturen'!P97,"nicht im Betrieb"))</f>
        <v/>
      </c>
      <c r="G100" s="1200" t="str">
        <f>IF(C100="","",IF('#orgDung'!C101=2,"--",IF('#Kürzungen'!$F$2=2,"--",'#orgDung'!R101)))</f>
        <v/>
      </c>
      <c r="H100" s="1200" t="str">
        <f>IF(C100="","",'#orgDung'!U101)</f>
        <v/>
      </c>
      <c r="I100" s="1201" t="str">
        <f>IF(C100="","",IF(COUNT('#orgDung'!RS101:SA101)=0,"OK",TRIM(CONCATENATE('#orgDung'!RS101," ",'#orgDung'!RT101," ",'#orgDung'!RU101," ",'#orgDung'!RV101," ",'#orgDung'!RW101," ",'#orgDung'!RX101," ",'#orgDung'!RY101," ",'#orgDung'!RZ101," ",'#orgDung'!SA101))))</f>
        <v/>
      </c>
      <c r="J100" s="1023"/>
      <c r="K100" s="1024"/>
      <c r="L100" s="1025"/>
      <c r="M100" s="1026" t="str">
        <f>IF(L100="","",'#orgDung'!AN101)</f>
        <v/>
      </c>
      <c r="N100" s="1026" t="str">
        <f>IF(L100="","",'#orgDung'!AO101)</f>
        <v/>
      </c>
      <c r="O100" s="1027" t="str">
        <f>IF(L100="","",'#orgDung'!AQ101)</f>
        <v/>
      </c>
      <c r="P100" s="1025"/>
      <c r="Q100" s="1026" t="str">
        <f>IF(P100="","",'#orgDung'!BC101)</f>
        <v/>
      </c>
      <c r="R100" s="1026" t="str">
        <f>IF(P100="","",'#orgDung'!BD101)</f>
        <v/>
      </c>
      <c r="S100" s="1027" t="str">
        <f>IF(P100="","",'#orgDung'!BF101)</f>
        <v/>
      </c>
      <c r="T100" s="1025"/>
      <c r="U100" s="1026" t="str">
        <f>IF(T100="","",'#orgDung'!BR101)</f>
        <v/>
      </c>
      <c r="V100" s="1026" t="str">
        <f>IF(T100="","",'#orgDung'!BS101)</f>
        <v/>
      </c>
      <c r="W100" s="1027" t="str">
        <f>IF(T100="","",'#orgDung'!BU101)</f>
        <v/>
      </c>
      <c r="X100" s="1025"/>
      <c r="Y100" s="1026" t="str">
        <f>IF(X100="","",'#orgDung'!CG101)</f>
        <v/>
      </c>
      <c r="Z100" s="1026" t="str">
        <f>IF(X100="","",'#orgDung'!CH101)</f>
        <v/>
      </c>
      <c r="AA100" s="1027" t="str">
        <f>IF(X100="","",'#orgDung'!CJ101)</f>
        <v/>
      </c>
      <c r="AB100" s="1025"/>
      <c r="AC100" s="1026" t="str">
        <f>IF(AB100="","",'#orgDung'!CV101)</f>
        <v/>
      </c>
      <c r="AD100" s="1026" t="str">
        <f>IF(AB100="","",'#orgDung'!CW101)</f>
        <v/>
      </c>
      <c r="AE100" s="1027" t="str">
        <f>IF(AB100="","",'#orgDung'!CY101)</f>
        <v/>
      </c>
      <c r="AF100" s="1025"/>
      <c r="AG100" s="1026" t="str">
        <f>IF(AF100="","",'#orgDung'!DK101)</f>
        <v/>
      </c>
      <c r="AH100" s="1026" t="str">
        <f>IF(AF100="","",'#orgDung'!DL101)</f>
        <v/>
      </c>
      <c r="AI100" s="1027" t="str">
        <f>IF(AF100="","",'#orgDung'!DN101)</f>
        <v/>
      </c>
      <c r="AJ100" s="1025"/>
      <c r="AK100" s="1026" t="str">
        <f>IF(AJ100="","",'#orgDung'!DZ101)</f>
        <v/>
      </c>
      <c r="AL100" s="1026" t="str">
        <f>IF(AJ100="","",'#orgDung'!EA101)</f>
        <v/>
      </c>
      <c r="AM100" s="1027" t="str">
        <f>IF(AJ100="","",'#orgDung'!EC101)</f>
        <v/>
      </c>
      <c r="AN100" s="1025"/>
      <c r="AO100" s="1026" t="str">
        <f>IF(AN100="","",'#orgDung'!EO101)</f>
        <v/>
      </c>
      <c r="AP100" s="1026" t="str">
        <f>IF(AN100="","",'#orgDung'!EP101)</f>
        <v/>
      </c>
      <c r="AQ100" s="1027" t="str">
        <f>IF(AN100="","",'#orgDung'!ER101)</f>
        <v/>
      </c>
      <c r="AR100" s="1025"/>
      <c r="AS100" s="1026" t="str">
        <f>IF(AR100="","",'#orgDung'!FD101)</f>
        <v/>
      </c>
      <c r="AT100" s="1026" t="str">
        <f>IF(AR100="","",'#orgDung'!FE101)</f>
        <v/>
      </c>
      <c r="AU100" s="1027" t="str">
        <f>IF(AR100="","",'#orgDung'!FG101)</f>
        <v/>
      </c>
      <c r="AV100" s="1025"/>
      <c r="AW100" s="1026" t="str">
        <f>IF(AV100="","",'#orgDung'!FS101)</f>
        <v/>
      </c>
      <c r="AX100" s="1026" t="str">
        <f>IF(AV100="","",'#orgDung'!FT101)</f>
        <v/>
      </c>
      <c r="AY100" s="1027" t="str">
        <f>IF(AV100="","",'#orgDung'!FV101)</f>
        <v/>
      </c>
      <c r="AZ100" s="1025"/>
      <c r="BA100" s="1026" t="str">
        <f>IF(AZ100="","",'#orgDung'!GH101)</f>
        <v/>
      </c>
      <c r="BB100" s="1026" t="str">
        <f>IF(AZ100="","",'#orgDung'!GI101)</f>
        <v/>
      </c>
      <c r="BC100" s="1027" t="str">
        <f>IF(AZ100="","",'#orgDung'!GK101)</f>
        <v/>
      </c>
      <c r="BD100" s="1025"/>
      <c r="BE100" s="1026" t="str">
        <f>IF(BD100="","",'#orgDung'!GW101)</f>
        <v/>
      </c>
      <c r="BF100" s="1026" t="str">
        <f>IF(BD100="","",'#orgDung'!GX101)</f>
        <v/>
      </c>
      <c r="BG100" s="1027" t="str">
        <f>IF(BD100="","",'#orgDung'!GZ101)</f>
        <v/>
      </c>
      <c r="BH100" s="1025"/>
      <c r="BI100" s="1026" t="str">
        <f>IF(BH100="","",'#orgDung'!HL101)</f>
        <v/>
      </c>
      <c r="BJ100" s="1026" t="str">
        <f>IF(BH100="","",'#orgDung'!HM101)</f>
        <v/>
      </c>
      <c r="BK100" s="1027" t="str">
        <f>IF(BH100="","",'#orgDung'!HO101)</f>
        <v/>
      </c>
      <c r="BL100" s="1025"/>
      <c r="BM100" s="1026" t="str">
        <f>IF(BL100="","",'#orgDung'!IA101)</f>
        <v/>
      </c>
      <c r="BN100" s="1026" t="str">
        <f>IF(BL100="","",'#orgDung'!IB101)</f>
        <v/>
      </c>
      <c r="BO100" s="1027" t="str">
        <f>IF(BL100="","",'#orgDung'!ID101)</f>
        <v/>
      </c>
      <c r="BP100" s="1025"/>
      <c r="BQ100" s="1026" t="str">
        <f>IF(BP100="","",'#orgDung'!IP101)</f>
        <v/>
      </c>
      <c r="BR100" s="1026" t="str">
        <f>IF(BP100="","",'#orgDung'!IQ101)</f>
        <v/>
      </c>
      <c r="BS100" s="1027" t="str">
        <f>IF(BP100="","",'#orgDung'!IS101)</f>
        <v/>
      </c>
      <c r="BT100" s="1025"/>
      <c r="BU100" s="1026" t="str">
        <f>IF(BT100="","",'#orgDung'!JE101)</f>
        <v/>
      </c>
      <c r="BV100" s="1026" t="str">
        <f>IF(BT100="","",'#orgDung'!JF101)</f>
        <v/>
      </c>
      <c r="BW100" s="1027" t="str">
        <f>IF(BT100="","",'#orgDung'!JH101)</f>
        <v/>
      </c>
      <c r="BX100" s="1025"/>
      <c r="BY100" s="1026" t="str">
        <f>IF(BX100="","",'#orgDung'!JT101)</f>
        <v/>
      </c>
      <c r="BZ100" s="1026" t="str">
        <f>IF(BX100="","",'#orgDung'!JU101)</f>
        <v/>
      </c>
      <c r="CA100" s="1027" t="str">
        <f>IF(BX100="","",'#orgDung'!JW101)</f>
        <v/>
      </c>
      <c r="CB100" s="1025"/>
      <c r="CC100" s="1026" t="str">
        <f>IF(CB100="","",'#orgDung'!KI101)</f>
        <v/>
      </c>
      <c r="CD100" s="1026" t="str">
        <f>IF(CB100="","",'#orgDung'!KJ101)</f>
        <v/>
      </c>
      <c r="CE100" s="1027" t="str">
        <f>IF(CB100="","",'#orgDung'!KL101)</f>
        <v/>
      </c>
      <c r="CF100" s="1025"/>
      <c r="CG100" s="1026" t="str">
        <f>IF(CF100="","",'#orgDung'!KX101)</f>
        <v/>
      </c>
      <c r="CH100" s="1026" t="str">
        <f>IF(CF100="","",'#orgDung'!KY101)</f>
        <v/>
      </c>
      <c r="CI100" s="1027" t="str">
        <f>IF(CF100="","",'#orgDung'!LA101)</f>
        <v/>
      </c>
      <c r="CJ100" s="1025"/>
      <c r="CK100" s="1026" t="str">
        <f>IF(CJ100="","",'#orgDung'!LM101)</f>
        <v/>
      </c>
      <c r="CL100" s="1026" t="str">
        <f>IF(CJ100="","",'#orgDung'!LN101)</f>
        <v/>
      </c>
      <c r="CM100" s="1027" t="str">
        <f>IF(CJ100="","",'#orgDung'!LP101)</f>
        <v/>
      </c>
      <c r="CN100" s="1025"/>
      <c r="CO100" s="1026" t="str">
        <f>IF(CN100="","",'#orgDung'!MB101)</f>
        <v/>
      </c>
      <c r="CP100" s="1026" t="str">
        <f>IF(CN100="","",'#orgDung'!MC101)</f>
        <v/>
      </c>
      <c r="CQ100" s="1027" t="str">
        <f>IF(CN100="","",'#orgDung'!ME101)</f>
        <v/>
      </c>
      <c r="CR100" s="1025"/>
      <c r="CS100" s="1026" t="str">
        <f>IF(CR100="","",'#orgDung'!MQ101)</f>
        <v/>
      </c>
      <c r="CT100" s="1026" t="str">
        <f>IF(CR100="","",'#orgDung'!MR101)</f>
        <v/>
      </c>
      <c r="CU100" s="1027" t="str">
        <f>IF(CR100="","",'#orgDung'!MT101)</f>
        <v/>
      </c>
      <c r="CV100" s="1025"/>
      <c r="CW100" s="1026" t="str">
        <f>IF(CV100="","",'#orgDung'!NF101)</f>
        <v/>
      </c>
      <c r="CX100" s="1026" t="str">
        <f>IF(CV100="","",'#orgDung'!NG101)</f>
        <v/>
      </c>
      <c r="CY100" s="1027" t="str">
        <f>IF(CV100="","",'#orgDung'!NI101)</f>
        <v/>
      </c>
      <c r="CZ100" s="1025"/>
      <c r="DA100" s="1026" t="str">
        <f>IF(CZ100="","",'#orgDung'!NU101)</f>
        <v/>
      </c>
      <c r="DB100" s="1026" t="str">
        <f>IF(CZ100="","",'#orgDung'!NV101)</f>
        <v/>
      </c>
      <c r="DC100" s="1027" t="str">
        <f>IF(CZ100="","",'#orgDung'!NX101)</f>
        <v/>
      </c>
      <c r="DD100" s="1025"/>
      <c r="DE100" s="1026" t="str">
        <f>IF(DD100="","",'#orgDung'!OJ101)</f>
        <v/>
      </c>
      <c r="DF100" s="1026" t="str">
        <f>IF(DD100="","",'#orgDung'!OK101)</f>
        <v/>
      </c>
      <c r="DG100" s="1027" t="str">
        <f>IF(DD100="","",'#orgDung'!OM101)</f>
        <v/>
      </c>
      <c r="DH100" s="1025"/>
      <c r="DI100" s="1026" t="str">
        <f>IF(DH100="","",'#orgDung'!OY101)</f>
        <v/>
      </c>
      <c r="DJ100" s="1026" t="str">
        <f>IF(DH100="","",'#orgDung'!OZ101)</f>
        <v/>
      </c>
      <c r="DK100" s="1027" t="str">
        <f>IF(DH100="","",'#orgDung'!PB101)</f>
        <v/>
      </c>
      <c r="DL100" s="1025"/>
      <c r="DM100" s="1026" t="str">
        <f>IF(DL100="","",'#orgDung'!PN101)</f>
        <v/>
      </c>
      <c r="DN100" s="1026" t="str">
        <f>IF(DL100="","",'#orgDung'!PO101)</f>
        <v/>
      </c>
      <c r="DO100" s="1027" t="str">
        <f>IF(DL100="","",'#orgDung'!PQ101)</f>
        <v/>
      </c>
      <c r="DP100" s="1025"/>
      <c r="DQ100" s="1026" t="str">
        <f>IF(DP100="","",'#orgDung'!QC101)</f>
        <v/>
      </c>
      <c r="DR100" s="1026" t="str">
        <f>IF(DP100="","",'#orgDung'!QD101)</f>
        <v/>
      </c>
      <c r="DS100" s="1027" t="str">
        <f>IF(DP100="","",'#orgDung'!QF101)</f>
        <v/>
      </c>
      <c r="DT100" s="1025"/>
      <c r="DU100" s="1026" t="str">
        <f>IF(DT100="","",'#orgDung'!QR101)</f>
        <v/>
      </c>
      <c r="DV100" s="1026" t="str">
        <f>IF(DT100="","",'#orgDung'!QS101)</f>
        <v/>
      </c>
      <c r="DW100" s="1027" t="str">
        <f>IF(DT100="","",'#orgDung'!QU101)</f>
        <v/>
      </c>
      <c r="DX100" s="1025"/>
      <c r="DY100" s="1026" t="str">
        <f>IF(DX100="","",'#orgDung'!RG101)</f>
        <v/>
      </c>
      <c r="DZ100" s="1026" t="str">
        <f>IF(DX100="","",'#orgDung'!RH101)</f>
        <v/>
      </c>
      <c r="EA100" s="1027" t="str">
        <f>IF(DX100="","",'#orgDung'!RJ101)</f>
        <v/>
      </c>
    </row>
    <row r="101" spans="1:131" ht="15" customHeight="1" x14ac:dyDescent="0.2">
      <c r="A101" s="1195">
        <f>'Flächen u. Kulturen'!A98</f>
        <v>89</v>
      </c>
      <c r="B101" s="1195" t="str">
        <f>IF('Flächen u. Kulturen'!B98="","",'Flächen u. Kulturen'!B98)</f>
        <v/>
      </c>
      <c r="C101" s="1196" t="str">
        <f>IF('Flächen u. Kulturen'!D98="","",'Flächen u. Kulturen'!D98)</f>
        <v/>
      </c>
      <c r="D101" s="1197" t="str">
        <f>IF(C101="","",IF('#BerechnungDBE'!Q93&lt;4,"x",""))</f>
        <v/>
      </c>
      <c r="E101" s="1198" t="str">
        <f>IF(C101="","",VLOOKUP('Flächen u. Kulturen'!L98,'#Zweitfr'!$D$8:$F$28,'#Zweitfr'!$F$1,FALSE))</f>
        <v/>
      </c>
      <c r="F101" s="1199" t="str">
        <f>IF(C101="","",IF('Flächen u. Kulturen'!E98="x",'Flächen u. Kulturen'!P98,"nicht im Betrieb"))</f>
        <v/>
      </c>
      <c r="G101" s="1200" t="str">
        <f>IF(C101="","",IF('#orgDung'!C102=2,"--",IF('#Kürzungen'!$F$2=2,"--",'#orgDung'!R102)))</f>
        <v/>
      </c>
      <c r="H101" s="1200" t="str">
        <f>IF(C101="","",'#orgDung'!U102)</f>
        <v/>
      </c>
      <c r="I101" s="1201" t="str">
        <f>IF(C101="","",IF(COUNT('#orgDung'!RS102:SA102)=0,"OK",TRIM(CONCATENATE('#orgDung'!RS102," ",'#orgDung'!RT102," ",'#orgDung'!RU102," ",'#orgDung'!RV102," ",'#orgDung'!RW102," ",'#orgDung'!RX102," ",'#orgDung'!RY102," ",'#orgDung'!RZ102," ",'#orgDung'!SA102))))</f>
        <v/>
      </c>
      <c r="J101" s="1023"/>
      <c r="K101" s="1024"/>
      <c r="L101" s="1025"/>
      <c r="M101" s="1026" t="str">
        <f>IF(L101="","",'#orgDung'!AN102)</f>
        <v/>
      </c>
      <c r="N101" s="1026" t="str">
        <f>IF(L101="","",'#orgDung'!AO102)</f>
        <v/>
      </c>
      <c r="O101" s="1027" t="str">
        <f>IF(L101="","",'#orgDung'!AQ102)</f>
        <v/>
      </c>
      <c r="P101" s="1025"/>
      <c r="Q101" s="1026" t="str">
        <f>IF(P101="","",'#orgDung'!BC102)</f>
        <v/>
      </c>
      <c r="R101" s="1026" t="str">
        <f>IF(P101="","",'#orgDung'!BD102)</f>
        <v/>
      </c>
      <c r="S101" s="1027" t="str">
        <f>IF(P101="","",'#orgDung'!BF102)</f>
        <v/>
      </c>
      <c r="T101" s="1025"/>
      <c r="U101" s="1026" t="str">
        <f>IF(T101="","",'#orgDung'!BR102)</f>
        <v/>
      </c>
      <c r="V101" s="1026" t="str">
        <f>IF(T101="","",'#orgDung'!BS102)</f>
        <v/>
      </c>
      <c r="W101" s="1027" t="str">
        <f>IF(T101="","",'#orgDung'!BU102)</f>
        <v/>
      </c>
      <c r="X101" s="1025"/>
      <c r="Y101" s="1026" t="str">
        <f>IF(X101="","",'#orgDung'!CG102)</f>
        <v/>
      </c>
      <c r="Z101" s="1026" t="str">
        <f>IF(X101="","",'#orgDung'!CH102)</f>
        <v/>
      </c>
      <c r="AA101" s="1027" t="str">
        <f>IF(X101="","",'#orgDung'!CJ102)</f>
        <v/>
      </c>
      <c r="AB101" s="1025"/>
      <c r="AC101" s="1026" t="str">
        <f>IF(AB101="","",'#orgDung'!CV102)</f>
        <v/>
      </c>
      <c r="AD101" s="1026" t="str">
        <f>IF(AB101="","",'#orgDung'!CW102)</f>
        <v/>
      </c>
      <c r="AE101" s="1027" t="str">
        <f>IF(AB101="","",'#orgDung'!CY102)</f>
        <v/>
      </c>
      <c r="AF101" s="1025"/>
      <c r="AG101" s="1026" t="str">
        <f>IF(AF101="","",'#orgDung'!DK102)</f>
        <v/>
      </c>
      <c r="AH101" s="1026" t="str">
        <f>IF(AF101="","",'#orgDung'!DL102)</f>
        <v/>
      </c>
      <c r="AI101" s="1027" t="str">
        <f>IF(AF101="","",'#orgDung'!DN102)</f>
        <v/>
      </c>
      <c r="AJ101" s="1025"/>
      <c r="AK101" s="1026" t="str">
        <f>IF(AJ101="","",'#orgDung'!DZ102)</f>
        <v/>
      </c>
      <c r="AL101" s="1026" t="str">
        <f>IF(AJ101="","",'#orgDung'!EA102)</f>
        <v/>
      </c>
      <c r="AM101" s="1027" t="str">
        <f>IF(AJ101="","",'#orgDung'!EC102)</f>
        <v/>
      </c>
      <c r="AN101" s="1025"/>
      <c r="AO101" s="1026" t="str">
        <f>IF(AN101="","",'#orgDung'!EO102)</f>
        <v/>
      </c>
      <c r="AP101" s="1026" t="str">
        <f>IF(AN101="","",'#orgDung'!EP102)</f>
        <v/>
      </c>
      <c r="AQ101" s="1027" t="str">
        <f>IF(AN101="","",'#orgDung'!ER102)</f>
        <v/>
      </c>
      <c r="AR101" s="1025"/>
      <c r="AS101" s="1026" t="str">
        <f>IF(AR101="","",'#orgDung'!FD102)</f>
        <v/>
      </c>
      <c r="AT101" s="1026" t="str">
        <f>IF(AR101="","",'#orgDung'!FE102)</f>
        <v/>
      </c>
      <c r="AU101" s="1027" t="str">
        <f>IF(AR101="","",'#orgDung'!FG102)</f>
        <v/>
      </c>
      <c r="AV101" s="1025"/>
      <c r="AW101" s="1026" t="str">
        <f>IF(AV101="","",'#orgDung'!FS102)</f>
        <v/>
      </c>
      <c r="AX101" s="1026" t="str">
        <f>IF(AV101="","",'#orgDung'!FT102)</f>
        <v/>
      </c>
      <c r="AY101" s="1027" t="str">
        <f>IF(AV101="","",'#orgDung'!FV102)</f>
        <v/>
      </c>
      <c r="AZ101" s="1025"/>
      <c r="BA101" s="1026" t="str">
        <f>IF(AZ101="","",'#orgDung'!GH102)</f>
        <v/>
      </c>
      <c r="BB101" s="1026" t="str">
        <f>IF(AZ101="","",'#orgDung'!GI102)</f>
        <v/>
      </c>
      <c r="BC101" s="1027" t="str">
        <f>IF(AZ101="","",'#orgDung'!GK102)</f>
        <v/>
      </c>
      <c r="BD101" s="1025"/>
      <c r="BE101" s="1026" t="str">
        <f>IF(BD101="","",'#orgDung'!GW102)</f>
        <v/>
      </c>
      <c r="BF101" s="1026" t="str">
        <f>IF(BD101="","",'#orgDung'!GX102)</f>
        <v/>
      </c>
      <c r="BG101" s="1027" t="str">
        <f>IF(BD101="","",'#orgDung'!GZ102)</f>
        <v/>
      </c>
      <c r="BH101" s="1025"/>
      <c r="BI101" s="1026" t="str">
        <f>IF(BH101="","",'#orgDung'!HL102)</f>
        <v/>
      </c>
      <c r="BJ101" s="1026" t="str">
        <f>IF(BH101="","",'#orgDung'!HM102)</f>
        <v/>
      </c>
      <c r="BK101" s="1027" t="str">
        <f>IF(BH101="","",'#orgDung'!HO102)</f>
        <v/>
      </c>
      <c r="BL101" s="1025"/>
      <c r="BM101" s="1026" t="str">
        <f>IF(BL101="","",'#orgDung'!IA102)</f>
        <v/>
      </c>
      <c r="BN101" s="1026" t="str">
        <f>IF(BL101="","",'#orgDung'!IB102)</f>
        <v/>
      </c>
      <c r="BO101" s="1027" t="str">
        <f>IF(BL101="","",'#orgDung'!ID102)</f>
        <v/>
      </c>
      <c r="BP101" s="1025"/>
      <c r="BQ101" s="1026" t="str">
        <f>IF(BP101="","",'#orgDung'!IP102)</f>
        <v/>
      </c>
      <c r="BR101" s="1026" t="str">
        <f>IF(BP101="","",'#orgDung'!IQ102)</f>
        <v/>
      </c>
      <c r="BS101" s="1027" t="str">
        <f>IF(BP101="","",'#orgDung'!IS102)</f>
        <v/>
      </c>
      <c r="BT101" s="1025"/>
      <c r="BU101" s="1026" t="str">
        <f>IF(BT101="","",'#orgDung'!JE102)</f>
        <v/>
      </c>
      <c r="BV101" s="1026" t="str">
        <f>IF(BT101="","",'#orgDung'!JF102)</f>
        <v/>
      </c>
      <c r="BW101" s="1027" t="str">
        <f>IF(BT101="","",'#orgDung'!JH102)</f>
        <v/>
      </c>
      <c r="BX101" s="1025"/>
      <c r="BY101" s="1026" t="str">
        <f>IF(BX101="","",'#orgDung'!JT102)</f>
        <v/>
      </c>
      <c r="BZ101" s="1026" t="str">
        <f>IF(BX101="","",'#orgDung'!JU102)</f>
        <v/>
      </c>
      <c r="CA101" s="1027" t="str">
        <f>IF(BX101="","",'#orgDung'!JW102)</f>
        <v/>
      </c>
      <c r="CB101" s="1025"/>
      <c r="CC101" s="1026" t="str">
        <f>IF(CB101="","",'#orgDung'!KI102)</f>
        <v/>
      </c>
      <c r="CD101" s="1026" t="str">
        <f>IF(CB101="","",'#orgDung'!KJ102)</f>
        <v/>
      </c>
      <c r="CE101" s="1027" t="str">
        <f>IF(CB101="","",'#orgDung'!KL102)</f>
        <v/>
      </c>
      <c r="CF101" s="1025"/>
      <c r="CG101" s="1026" t="str">
        <f>IF(CF101="","",'#orgDung'!KX102)</f>
        <v/>
      </c>
      <c r="CH101" s="1026" t="str">
        <f>IF(CF101="","",'#orgDung'!KY102)</f>
        <v/>
      </c>
      <c r="CI101" s="1027" t="str">
        <f>IF(CF101="","",'#orgDung'!LA102)</f>
        <v/>
      </c>
      <c r="CJ101" s="1025"/>
      <c r="CK101" s="1026" t="str">
        <f>IF(CJ101="","",'#orgDung'!LM102)</f>
        <v/>
      </c>
      <c r="CL101" s="1026" t="str">
        <f>IF(CJ101="","",'#orgDung'!LN102)</f>
        <v/>
      </c>
      <c r="CM101" s="1027" t="str">
        <f>IF(CJ101="","",'#orgDung'!LP102)</f>
        <v/>
      </c>
      <c r="CN101" s="1025"/>
      <c r="CO101" s="1026" t="str">
        <f>IF(CN101="","",'#orgDung'!MB102)</f>
        <v/>
      </c>
      <c r="CP101" s="1026" t="str">
        <f>IF(CN101="","",'#orgDung'!MC102)</f>
        <v/>
      </c>
      <c r="CQ101" s="1027" t="str">
        <f>IF(CN101="","",'#orgDung'!ME102)</f>
        <v/>
      </c>
      <c r="CR101" s="1025"/>
      <c r="CS101" s="1026" t="str">
        <f>IF(CR101="","",'#orgDung'!MQ102)</f>
        <v/>
      </c>
      <c r="CT101" s="1026" t="str">
        <f>IF(CR101="","",'#orgDung'!MR102)</f>
        <v/>
      </c>
      <c r="CU101" s="1027" t="str">
        <f>IF(CR101="","",'#orgDung'!MT102)</f>
        <v/>
      </c>
      <c r="CV101" s="1025"/>
      <c r="CW101" s="1026" t="str">
        <f>IF(CV101="","",'#orgDung'!NF102)</f>
        <v/>
      </c>
      <c r="CX101" s="1026" t="str">
        <f>IF(CV101="","",'#orgDung'!NG102)</f>
        <v/>
      </c>
      <c r="CY101" s="1027" t="str">
        <f>IF(CV101="","",'#orgDung'!NI102)</f>
        <v/>
      </c>
      <c r="CZ101" s="1025"/>
      <c r="DA101" s="1026" t="str">
        <f>IF(CZ101="","",'#orgDung'!NU102)</f>
        <v/>
      </c>
      <c r="DB101" s="1026" t="str">
        <f>IF(CZ101="","",'#orgDung'!NV102)</f>
        <v/>
      </c>
      <c r="DC101" s="1027" t="str">
        <f>IF(CZ101="","",'#orgDung'!NX102)</f>
        <v/>
      </c>
      <c r="DD101" s="1025"/>
      <c r="DE101" s="1026" t="str">
        <f>IF(DD101="","",'#orgDung'!OJ102)</f>
        <v/>
      </c>
      <c r="DF101" s="1026" t="str">
        <f>IF(DD101="","",'#orgDung'!OK102)</f>
        <v/>
      </c>
      <c r="DG101" s="1027" t="str">
        <f>IF(DD101="","",'#orgDung'!OM102)</f>
        <v/>
      </c>
      <c r="DH101" s="1025"/>
      <c r="DI101" s="1026" t="str">
        <f>IF(DH101="","",'#orgDung'!OY102)</f>
        <v/>
      </c>
      <c r="DJ101" s="1026" t="str">
        <f>IF(DH101="","",'#orgDung'!OZ102)</f>
        <v/>
      </c>
      <c r="DK101" s="1027" t="str">
        <f>IF(DH101="","",'#orgDung'!PB102)</f>
        <v/>
      </c>
      <c r="DL101" s="1025"/>
      <c r="DM101" s="1026" t="str">
        <f>IF(DL101="","",'#orgDung'!PN102)</f>
        <v/>
      </c>
      <c r="DN101" s="1026" t="str">
        <f>IF(DL101="","",'#orgDung'!PO102)</f>
        <v/>
      </c>
      <c r="DO101" s="1027" t="str">
        <f>IF(DL101="","",'#orgDung'!PQ102)</f>
        <v/>
      </c>
      <c r="DP101" s="1025"/>
      <c r="DQ101" s="1026" t="str">
        <f>IF(DP101="","",'#orgDung'!QC102)</f>
        <v/>
      </c>
      <c r="DR101" s="1026" t="str">
        <f>IF(DP101="","",'#orgDung'!QD102)</f>
        <v/>
      </c>
      <c r="DS101" s="1027" t="str">
        <f>IF(DP101="","",'#orgDung'!QF102)</f>
        <v/>
      </c>
      <c r="DT101" s="1025"/>
      <c r="DU101" s="1026" t="str">
        <f>IF(DT101="","",'#orgDung'!QR102)</f>
        <v/>
      </c>
      <c r="DV101" s="1026" t="str">
        <f>IF(DT101="","",'#orgDung'!QS102)</f>
        <v/>
      </c>
      <c r="DW101" s="1027" t="str">
        <f>IF(DT101="","",'#orgDung'!QU102)</f>
        <v/>
      </c>
      <c r="DX101" s="1025"/>
      <c r="DY101" s="1026" t="str">
        <f>IF(DX101="","",'#orgDung'!RG102)</f>
        <v/>
      </c>
      <c r="DZ101" s="1026" t="str">
        <f>IF(DX101="","",'#orgDung'!RH102)</f>
        <v/>
      </c>
      <c r="EA101" s="1027" t="str">
        <f>IF(DX101="","",'#orgDung'!RJ102)</f>
        <v/>
      </c>
    </row>
    <row r="102" spans="1:131" ht="15" customHeight="1" x14ac:dyDescent="0.2">
      <c r="A102" s="1195">
        <f>'Flächen u. Kulturen'!A99</f>
        <v>90</v>
      </c>
      <c r="B102" s="1195" t="str">
        <f>IF('Flächen u. Kulturen'!B99="","",'Flächen u. Kulturen'!B99)</f>
        <v/>
      </c>
      <c r="C102" s="1196" t="str">
        <f>IF('Flächen u. Kulturen'!D99="","",'Flächen u. Kulturen'!D99)</f>
        <v/>
      </c>
      <c r="D102" s="1197" t="str">
        <f>IF(C102="","",IF('#BerechnungDBE'!Q94&lt;4,"x",""))</f>
        <v/>
      </c>
      <c r="E102" s="1198" t="str">
        <f>IF(C102="","",VLOOKUP('Flächen u. Kulturen'!L99,'#Zweitfr'!$D$8:$F$28,'#Zweitfr'!$F$1,FALSE))</f>
        <v/>
      </c>
      <c r="F102" s="1199" t="str">
        <f>IF(C102="","",IF('Flächen u. Kulturen'!E99="x",'Flächen u. Kulturen'!P99,"nicht im Betrieb"))</f>
        <v/>
      </c>
      <c r="G102" s="1200" t="str">
        <f>IF(C102="","",IF('#orgDung'!C103=2,"--",IF('#Kürzungen'!$F$2=2,"--",'#orgDung'!R103)))</f>
        <v/>
      </c>
      <c r="H102" s="1200" t="str">
        <f>IF(C102="","",'#orgDung'!U103)</f>
        <v/>
      </c>
      <c r="I102" s="1201" t="str">
        <f>IF(C102="","",IF(COUNT('#orgDung'!RS103:SA103)=0,"OK",TRIM(CONCATENATE('#orgDung'!RS103," ",'#orgDung'!RT103," ",'#orgDung'!RU103," ",'#orgDung'!RV103," ",'#orgDung'!RW103," ",'#orgDung'!RX103," ",'#orgDung'!RY103," ",'#orgDung'!RZ103," ",'#orgDung'!SA103))))</f>
        <v/>
      </c>
      <c r="J102" s="1023"/>
      <c r="K102" s="1024"/>
      <c r="L102" s="1025"/>
      <c r="M102" s="1026" t="str">
        <f>IF(L102="","",'#orgDung'!AN103)</f>
        <v/>
      </c>
      <c r="N102" s="1026" t="str">
        <f>IF(L102="","",'#orgDung'!AO103)</f>
        <v/>
      </c>
      <c r="O102" s="1027" t="str">
        <f>IF(L102="","",'#orgDung'!AQ103)</f>
        <v/>
      </c>
      <c r="P102" s="1025"/>
      <c r="Q102" s="1026" t="str">
        <f>IF(P102="","",'#orgDung'!BC103)</f>
        <v/>
      </c>
      <c r="R102" s="1026" t="str">
        <f>IF(P102="","",'#orgDung'!BD103)</f>
        <v/>
      </c>
      <c r="S102" s="1027" t="str">
        <f>IF(P102="","",'#orgDung'!BF103)</f>
        <v/>
      </c>
      <c r="T102" s="1025"/>
      <c r="U102" s="1026" t="str">
        <f>IF(T102="","",'#orgDung'!BR103)</f>
        <v/>
      </c>
      <c r="V102" s="1026" t="str">
        <f>IF(T102="","",'#orgDung'!BS103)</f>
        <v/>
      </c>
      <c r="W102" s="1027" t="str">
        <f>IF(T102="","",'#orgDung'!BU103)</f>
        <v/>
      </c>
      <c r="X102" s="1025"/>
      <c r="Y102" s="1026" t="str">
        <f>IF(X102="","",'#orgDung'!CG103)</f>
        <v/>
      </c>
      <c r="Z102" s="1026" t="str">
        <f>IF(X102="","",'#orgDung'!CH103)</f>
        <v/>
      </c>
      <c r="AA102" s="1027" t="str">
        <f>IF(X102="","",'#orgDung'!CJ103)</f>
        <v/>
      </c>
      <c r="AB102" s="1025"/>
      <c r="AC102" s="1026" t="str">
        <f>IF(AB102="","",'#orgDung'!CV103)</f>
        <v/>
      </c>
      <c r="AD102" s="1026" t="str">
        <f>IF(AB102="","",'#orgDung'!CW103)</f>
        <v/>
      </c>
      <c r="AE102" s="1027" t="str">
        <f>IF(AB102="","",'#orgDung'!CY103)</f>
        <v/>
      </c>
      <c r="AF102" s="1025"/>
      <c r="AG102" s="1026" t="str">
        <f>IF(AF102="","",'#orgDung'!DK103)</f>
        <v/>
      </c>
      <c r="AH102" s="1026" t="str">
        <f>IF(AF102="","",'#orgDung'!DL103)</f>
        <v/>
      </c>
      <c r="AI102" s="1027" t="str">
        <f>IF(AF102="","",'#orgDung'!DN103)</f>
        <v/>
      </c>
      <c r="AJ102" s="1025"/>
      <c r="AK102" s="1026" t="str">
        <f>IF(AJ102="","",'#orgDung'!DZ103)</f>
        <v/>
      </c>
      <c r="AL102" s="1026" t="str">
        <f>IF(AJ102="","",'#orgDung'!EA103)</f>
        <v/>
      </c>
      <c r="AM102" s="1027" t="str">
        <f>IF(AJ102="","",'#orgDung'!EC103)</f>
        <v/>
      </c>
      <c r="AN102" s="1025"/>
      <c r="AO102" s="1026" t="str">
        <f>IF(AN102="","",'#orgDung'!EO103)</f>
        <v/>
      </c>
      <c r="AP102" s="1026" t="str">
        <f>IF(AN102="","",'#orgDung'!EP103)</f>
        <v/>
      </c>
      <c r="AQ102" s="1027" t="str">
        <f>IF(AN102="","",'#orgDung'!ER103)</f>
        <v/>
      </c>
      <c r="AR102" s="1025"/>
      <c r="AS102" s="1026" t="str">
        <f>IF(AR102="","",'#orgDung'!FD103)</f>
        <v/>
      </c>
      <c r="AT102" s="1026" t="str">
        <f>IF(AR102="","",'#orgDung'!FE103)</f>
        <v/>
      </c>
      <c r="AU102" s="1027" t="str">
        <f>IF(AR102="","",'#orgDung'!FG103)</f>
        <v/>
      </c>
      <c r="AV102" s="1025"/>
      <c r="AW102" s="1026" t="str">
        <f>IF(AV102="","",'#orgDung'!FS103)</f>
        <v/>
      </c>
      <c r="AX102" s="1026" t="str">
        <f>IF(AV102="","",'#orgDung'!FT103)</f>
        <v/>
      </c>
      <c r="AY102" s="1027" t="str">
        <f>IF(AV102="","",'#orgDung'!FV103)</f>
        <v/>
      </c>
      <c r="AZ102" s="1025"/>
      <c r="BA102" s="1026" t="str">
        <f>IF(AZ102="","",'#orgDung'!GH103)</f>
        <v/>
      </c>
      <c r="BB102" s="1026" t="str">
        <f>IF(AZ102="","",'#orgDung'!GI103)</f>
        <v/>
      </c>
      <c r="BC102" s="1027" t="str">
        <f>IF(AZ102="","",'#orgDung'!GK103)</f>
        <v/>
      </c>
      <c r="BD102" s="1025"/>
      <c r="BE102" s="1026" t="str">
        <f>IF(BD102="","",'#orgDung'!GW103)</f>
        <v/>
      </c>
      <c r="BF102" s="1026" t="str">
        <f>IF(BD102="","",'#orgDung'!GX103)</f>
        <v/>
      </c>
      <c r="BG102" s="1027" t="str">
        <f>IF(BD102="","",'#orgDung'!GZ103)</f>
        <v/>
      </c>
      <c r="BH102" s="1025"/>
      <c r="BI102" s="1026" t="str">
        <f>IF(BH102="","",'#orgDung'!HL103)</f>
        <v/>
      </c>
      <c r="BJ102" s="1026" t="str">
        <f>IF(BH102="","",'#orgDung'!HM103)</f>
        <v/>
      </c>
      <c r="BK102" s="1027" t="str">
        <f>IF(BH102="","",'#orgDung'!HO103)</f>
        <v/>
      </c>
      <c r="BL102" s="1025"/>
      <c r="BM102" s="1026" t="str">
        <f>IF(BL102="","",'#orgDung'!IA103)</f>
        <v/>
      </c>
      <c r="BN102" s="1026" t="str">
        <f>IF(BL102="","",'#orgDung'!IB103)</f>
        <v/>
      </c>
      <c r="BO102" s="1027" t="str">
        <f>IF(BL102="","",'#orgDung'!ID103)</f>
        <v/>
      </c>
      <c r="BP102" s="1025"/>
      <c r="BQ102" s="1026" t="str">
        <f>IF(BP102="","",'#orgDung'!IP103)</f>
        <v/>
      </c>
      <c r="BR102" s="1026" t="str">
        <f>IF(BP102="","",'#orgDung'!IQ103)</f>
        <v/>
      </c>
      <c r="BS102" s="1027" t="str">
        <f>IF(BP102="","",'#orgDung'!IS103)</f>
        <v/>
      </c>
      <c r="BT102" s="1025"/>
      <c r="BU102" s="1026" t="str">
        <f>IF(BT102="","",'#orgDung'!JE103)</f>
        <v/>
      </c>
      <c r="BV102" s="1026" t="str">
        <f>IF(BT102="","",'#orgDung'!JF103)</f>
        <v/>
      </c>
      <c r="BW102" s="1027" t="str">
        <f>IF(BT102="","",'#orgDung'!JH103)</f>
        <v/>
      </c>
      <c r="BX102" s="1025"/>
      <c r="BY102" s="1026" t="str">
        <f>IF(BX102="","",'#orgDung'!JT103)</f>
        <v/>
      </c>
      <c r="BZ102" s="1026" t="str">
        <f>IF(BX102="","",'#orgDung'!JU103)</f>
        <v/>
      </c>
      <c r="CA102" s="1027" t="str">
        <f>IF(BX102="","",'#orgDung'!JW103)</f>
        <v/>
      </c>
      <c r="CB102" s="1025"/>
      <c r="CC102" s="1026" t="str">
        <f>IF(CB102="","",'#orgDung'!KI103)</f>
        <v/>
      </c>
      <c r="CD102" s="1026" t="str">
        <f>IF(CB102="","",'#orgDung'!KJ103)</f>
        <v/>
      </c>
      <c r="CE102" s="1027" t="str">
        <f>IF(CB102="","",'#orgDung'!KL103)</f>
        <v/>
      </c>
      <c r="CF102" s="1025"/>
      <c r="CG102" s="1026" t="str">
        <f>IF(CF102="","",'#orgDung'!KX103)</f>
        <v/>
      </c>
      <c r="CH102" s="1026" t="str">
        <f>IF(CF102="","",'#orgDung'!KY103)</f>
        <v/>
      </c>
      <c r="CI102" s="1027" t="str">
        <f>IF(CF102="","",'#orgDung'!LA103)</f>
        <v/>
      </c>
      <c r="CJ102" s="1025"/>
      <c r="CK102" s="1026" t="str">
        <f>IF(CJ102="","",'#orgDung'!LM103)</f>
        <v/>
      </c>
      <c r="CL102" s="1026" t="str">
        <f>IF(CJ102="","",'#orgDung'!LN103)</f>
        <v/>
      </c>
      <c r="CM102" s="1027" t="str">
        <f>IF(CJ102="","",'#orgDung'!LP103)</f>
        <v/>
      </c>
      <c r="CN102" s="1025"/>
      <c r="CO102" s="1026" t="str">
        <f>IF(CN102="","",'#orgDung'!MB103)</f>
        <v/>
      </c>
      <c r="CP102" s="1026" t="str">
        <f>IF(CN102="","",'#orgDung'!MC103)</f>
        <v/>
      </c>
      <c r="CQ102" s="1027" t="str">
        <f>IF(CN102="","",'#orgDung'!ME103)</f>
        <v/>
      </c>
      <c r="CR102" s="1025"/>
      <c r="CS102" s="1026" t="str">
        <f>IF(CR102="","",'#orgDung'!MQ103)</f>
        <v/>
      </c>
      <c r="CT102" s="1026" t="str">
        <f>IF(CR102="","",'#orgDung'!MR103)</f>
        <v/>
      </c>
      <c r="CU102" s="1027" t="str">
        <f>IF(CR102="","",'#orgDung'!MT103)</f>
        <v/>
      </c>
      <c r="CV102" s="1025"/>
      <c r="CW102" s="1026" t="str">
        <f>IF(CV102="","",'#orgDung'!NF103)</f>
        <v/>
      </c>
      <c r="CX102" s="1026" t="str">
        <f>IF(CV102="","",'#orgDung'!NG103)</f>
        <v/>
      </c>
      <c r="CY102" s="1027" t="str">
        <f>IF(CV102="","",'#orgDung'!NI103)</f>
        <v/>
      </c>
      <c r="CZ102" s="1025"/>
      <c r="DA102" s="1026" t="str">
        <f>IF(CZ102="","",'#orgDung'!NU103)</f>
        <v/>
      </c>
      <c r="DB102" s="1026" t="str">
        <f>IF(CZ102="","",'#orgDung'!NV103)</f>
        <v/>
      </c>
      <c r="DC102" s="1027" t="str">
        <f>IF(CZ102="","",'#orgDung'!NX103)</f>
        <v/>
      </c>
      <c r="DD102" s="1025"/>
      <c r="DE102" s="1026" t="str">
        <f>IF(DD102="","",'#orgDung'!OJ103)</f>
        <v/>
      </c>
      <c r="DF102" s="1026" t="str">
        <f>IF(DD102="","",'#orgDung'!OK103)</f>
        <v/>
      </c>
      <c r="DG102" s="1027" t="str">
        <f>IF(DD102="","",'#orgDung'!OM103)</f>
        <v/>
      </c>
      <c r="DH102" s="1025"/>
      <c r="DI102" s="1026" t="str">
        <f>IF(DH102="","",'#orgDung'!OY103)</f>
        <v/>
      </c>
      <c r="DJ102" s="1026" t="str">
        <f>IF(DH102="","",'#orgDung'!OZ103)</f>
        <v/>
      </c>
      <c r="DK102" s="1027" t="str">
        <f>IF(DH102="","",'#orgDung'!PB103)</f>
        <v/>
      </c>
      <c r="DL102" s="1025"/>
      <c r="DM102" s="1026" t="str">
        <f>IF(DL102="","",'#orgDung'!PN103)</f>
        <v/>
      </c>
      <c r="DN102" s="1026" t="str">
        <f>IF(DL102="","",'#orgDung'!PO103)</f>
        <v/>
      </c>
      <c r="DO102" s="1027" t="str">
        <f>IF(DL102="","",'#orgDung'!PQ103)</f>
        <v/>
      </c>
      <c r="DP102" s="1025"/>
      <c r="DQ102" s="1026" t="str">
        <f>IF(DP102="","",'#orgDung'!QC103)</f>
        <v/>
      </c>
      <c r="DR102" s="1026" t="str">
        <f>IF(DP102="","",'#orgDung'!QD103)</f>
        <v/>
      </c>
      <c r="DS102" s="1027" t="str">
        <f>IF(DP102="","",'#orgDung'!QF103)</f>
        <v/>
      </c>
      <c r="DT102" s="1025"/>
      <c r="DU102" s="1026" t="str">
        <f>IF(DT102="","",'#orgDung'!QR103)</f>
        <v/>
      </c>
      <c r="DV102" s="1026" t="str">
        <f>IF(DT102="","",'#orgDung'!QS103)</f>
        <v/>
      </c>
      <c r="DW102" s="1027" t="str">
        <f>IF(DT102="","",'#orgDung'!QU103)</f>
        <v/>
      </c>
      <c r="DX102" s="1025"/>
      <c r="DY102" s="1026" t="str">
        <f>IF(DX102="","",'#orgDung'!RG103)</f>
        <v/>
      </c>
      <c r="DZ102" s="1026" t="str">
        <f>IF(DX102="","",'#orgDung'!RH103)</f>
        <v/>
      </c>
      <c r="EA102" s="1027" t="str">
        <f>IF(DX102="","",'#orgDung'!RJ103)</f>
        <v/>
      </c>
    </row>
    <row r="103" spans="1:131" ht="15" customHeight="1" x14ac:dyDescent="0.2">
      <c r="A103" s="1195">
        <f>'Flächen u. Kulturen'!A100</f>
        <v>91</v>
      </c>
      <c r="B103" s="1195" t="str">
        <f>IF('Flächen u. Kulturen'!B100="","",'Flächen u. Kulturen'!B100)</f>
        <v/>
      </c>
      <c r="C103" s="1196" t="str">
        <f>IF('Flächen u. Kulturen'!D100="","",'Flächen u. Kulturen'!D100)</f>
        <v/>
      </c>
      <c r="D103" s="1197" t="str">
        <f>IF(C103="","",IF('#BerechnungDBE'!Q95&lt;4,"x",""))</f>
        <v/>
      </c>
      <c r="E103" s="1198" t="str">
        <f>IF(C103="","",VLOOKUP('Flächen u. Kulturen'!L100,'#Zweitfr'!$D$8:$F$28,'#Zweitfr'!$F$1,FALSE))</f>
        <v/>
      </c>
      <c r="F103" s="1199" t="str">
        <f>IF(C103="","",IF('Flächen u. Kulturen'!E100="x",'Flächen u. Kulturen'!P100,"nicht im Betrieb"))</f>
        <v/>
      </c>
      <c r="G103" s="1200" t="str">
        <f>IF(C103="","",IF('#orgDung'!C104=2,"--",IF('#Kürzungen'!$F$2=2,"--",'#orgDung'!R104)))</f>
        <v/>
      </c>
      <c r="H103" s="1200" t="str">
        <f>IF(C103="","",'#orgDung'!U104)</f>
        <v/>
      </c>
      <c r="I103" s="1201" t="str">
        <f>IF(C103="","",IF(COUNT('#orgDung'!RS104:SA104)=0,"OK",TRIM(CONCATENATE('#orgDung'!RS104," ",'#orgDung'!RT104," ",'#orgDung'!RU104," ",'#orgDung'!RV104," ",'#orgDung'!RW104," ",'#orgDung'!RX104," ",'#orgDung'!RY104," ",'#orgDung'!RZ104," ",'#orgDung'!SA104))))</f>
        <v/>
      </c>
      <c r="J103" s="1023"/>
      <c r="K103" s="1024"/>
      <c r="L103" s="1025"/>
      <c r="M103" s="1026" t="str">
        <f>IF(L103="","",'#orgDung'!AN104)</f>
        <v/>
      </c>
      <c r="N103" s="1026" t="str">
        <f>IF(L103="","",'#orgDung'!AO104)</f>
        <v/>
      </c>
      <c r="O103" s="1027" t="str">
        <f>IF(L103="","",'#orgDung'!AQ104)</f>
        <v/>
      </c>
      <c r="P103" s="1025"/>
      <c r="Q103" s="1026" t="str">
        <f>IF(P103="","",'#orgDung'!BC104)</f>
        <v/>
      </c>
      <c r="R103" s="1026" t="str">
        <f>IF(P103="","",'#orgDung'!BD104)</f>
        <v/>
      </c>
      <c r="S103" s="1027" t="str">
        <f>IF(P103="","",'#orgDung'!BF104)</f>
        <v/>
      </c>
      <c r="T103" s="1025"/>
      <c r="U103" s="1026" t="str">
        <f>IF(T103="","",'#orgDung'!BR104)</f>
        <v/>
      </c>
      <c r="V103" s="1026" t="str">
        <f>IF(T103="","",'#orgDung'!BS104)</f>
        <v/>
      </c>
      <c r="W103" s="1027" t="str">
        <f>IF(T103="","",'#orgDung'!BU104)</f>
        <v/>
      </c>
      <c r="X103" s="1025"/>
      <c r="Y103" s="1026" t="str">
        <f>IF(X103="","",'#orgDung'!CG104)</f>
        <v/>
      </c>
      <c r="Z103" s="1026" t="str">
        <f>IF(X103="","",'#orgDung'!CH104)</f>
        <v/>
      </c>
      <c r="AA103" s="1027" t="str">
        <f>IF(X103="","",'#orgDung'!CJ104)</f>
        <v/>
      </c>
      <c r="AB103" s="1025"/>
      <c r="AC103" s="1026" t="str">
        <f>IF(AB103="","",'#orgDung'!CV104)</f>
        <v/>
      </c>
      <c r="AD103" s="1026" t="str">
        <f>IF(AB103="","",'#orgDung'!CW104)</f>
        <v/>
      </c>
      <c r="AE103" s="1027" t="str">
        <f>IF(AB103="","",'#orgDung'!CY104)</f>
        <v/>
      </c>
      <c r="AF103" s="1025"/>
      <c r="AG103" s="1026" t="str">
        <f>IF(AF103="","",'#orgDung'!DK104)</f>
        <v/>
      </c>
      <c r="AH103" s="1026" t="str">
        <f>IF(AF103="","",'#orgDung'!DL104)</f>
        <v/>
      </c>
      <c r="AI103" s="1027" t="str">
        <f>IF(AF103="","",'#orgDung'!DN104)</f>
        <v/>
      </c>
      <c r="AJ103" s="1025"/>
      <c r="AK103" s="1026" t="str">
        <f>IF(AJ103="","",'#orgDung'!DZ104)</f>
        <v/>
      </c>
      <c r="AL103" s="1026" t="str">
        <f>IF(AJ103="","",'#orgDung'!EA104)</f>
        <v/>
      </c>
      <c r="AM103" s="1027" t="str">
        <f>IF(AJ103="","",'#orgDung'!EC104)</f>
        <v/>
      </c>
      <c r="AN103" s="1025"/>
      <c r="AO103" s="1026" t="str">
        <f>IF(AN103="","",'#orgDung'!EO104)</f>
        <v/>
      </c>
      <c r="AP103" s="1026" t="str">
        <f>IF(AN103="","",'#orgDung'!EP104)</f>
        <v/>
      </c>
      <c r="AQ103" s="1027" t="str">
        <f>IF(AN103="","",'#orgDung'!ER104)</f>
        <v/>
      </c>
      <c r="AR103" s="1025"/>
      <c r="AS103" s="1026" t="str">
        <f>IF(AR103="","",'#orgDung'!FD104)</f>
        <v/>
      </c>
      <c r="AT103" s="1026" t="str">
        <f>IF(AR103="","",'#orgDung'!FE104)</f>
        <v/>
      </c>
      <c r="AU103" s="1027" t="str">
        <f>IF(AR103="","",'#orgDung'!FG104)</f>
        <v/>
      </c>
      <c r="AV103" s="1025"/>
      <c r="AW103" s="1026" t="str">
        <f>IF(AV103="","",'#orgDung'!FS104)</f>
        <v/>
      </c>
      <c r="AX103" s="1026" t="str">
        <f>IF(AV103="","",'#orgDung'!FT104)</f>
        <v/>
      </c>
      <c r="AY103" s="1027" t="str">
        <f>IF(AV103="","",'#orgDung'!FV104)</f>
        <v/>
      </c>
      <c r="AZ103" s="1025"/>
      <c r="BA103" s="1026" t="str">
        <f>IF(AZ103="","",'#orgDung'!GH104)</f>
        <v/>
      </c>
      <c r="BB103" s="1026" t="str">
        <f>IF(AZ103="","",'#orgDung'!GI104)</f>
        <v/>
      </c>
      <c r="BC103" s="1027" t="str">
        <f>IF(AZ103="","",'#orgDung'!GK104)</f>
        <v/>
      </c>
      <c r="BD103" s="1025"/>
      <c r="BE103" s="1026" t="str">
        <f>IF(BD103="","",'#orgDung'!GW104)</f>
        <v/>
      </c>
      <c r="BF103" s="1026" t="str">
        <f>IF(BD103="","",'#orgDung'!GX104)</f>
        <v/>
      </c>
      <c r="BG103" s="1027" t="str">
        <f>IF(BD103="","",'#orgDung'!GZ104)</f>
        <v/>
      </c>
      <c r="BH103" s="1025"/>
      <c r="BI103" s="1026" t="str">
        <f>IF(BH103="","",'#orgDung'!HL104)</f>
        <v/>
      </c>
      <c r="BJ103" s="1026" t="str">
        <f>IF(BH103="","",'#orgDung'!HM104)</f>
        <v/>
      </c>
      <c r="BK103" s="1027" t="str">
        <f>IF(BH103="","",'#orgDung'!HO104)</f>
        <v/>
      </c>
      <c r="BL103" s="1025"/>
      <c r="BM103" s="1026" t="str">
        <f>IF(BL103="","",'#orgDung'!IA104)</f>
        <v/>
      </c>
      <c r="BN103" s="1026" t="str">
        <f>IF(BL103="","",'#orgDung'!IB104)</f>
        <v/>
      </c>
      <c r="BO103" s="1027" t="str">
        <f>IF(BL103="","",'#orgDung'!ID104)</f>
        <v/>
      </c>
      <c r="BP103" s="1025"/>
      <c r="BQ103" s="1026" t="str">
        <f>IF(BP103="","",'#orgDung'!IP104)</f>
        <v/>
      </c>
      <c r="BR103" s="1026" t="str">
        <f>IF(BP103="","",'#orgDung'!IQ104)</f>
        <v/>
      </c>
      <c r="BS103" s="1027" t="str">
        <f>IF(BP103="","",'#orgDung'!IS104)</f>
        <v/>
      </c>
      <c r="BT103" s="1025"/>
      <c r="BU103" s="1026" t="str">
        <f>IF(BT103="","",'#orgDung'!JE104)</f>
        <v/>
      </c>
      <c r="BV103" s="1026" t="str">
        <f>IF(BT103="","",'#orgDung'!JF104)</f>
        <v/>
      </c>
      <c r="BW103" s="1027" t="str">
        <f>IF(BT103="","",'#orgDung'!JH104)</f>
        <v/>
      </c>
      <c r="BX103" s="1025"/>
      <c r="BY103" s="1026" t="str">
        <f>IF(BX103="","",'#orgDung'!JT104)</f>
        <v/>
      </c>
      <c r="BZ103" s="1026" t="str">
        <f>IF(BX103="","",'#orgDung'!JU104)</f>
        <v/>
      </c>
      <c r="CA103" s="1027" t="str">
        <f>IF(BX103="","",'#orgDung'!JW104)</f>
        <v/>
      </c>
      <c r="CB103" s="1025"/>
      <c r="CC103" s="1026" t="str">
        <f>IF(CB103="","",'#orgDung'!KI104)</f>
        <v/>
      </c>
      <c r="CD103" s="1026" t="str">
        <f>IF(CB103="","",'#orgDung'!KJ104)</f>
        <v/>
      </c>
      <c r="CE103" s="1027" t="str">
        <f>IF(CB103="","",'#orgDung'!KL104)</f>
        <v/>
      </c>
      <c r="CF103" s="1025"/>
      <c r="CG103" s="1026" t="str">
        <f>IF(CF103="","",'#orgDung'!KX104)</f>
        <v/>
      </c>
      <c r="CH103" s="1026" t="str">
        <f>IF(CF103="","",'#orgDung'!KY104)</f>
        <v/>
      </c>
      <c r="CI103" s="1027" t="str">
        <f>IF(CF103="","",'#orgDung'!LA104)</f>
        <v/>
      </c>
      <c r="CJ103" s="1025"/>
      <c r="CK103" s="1026" t="str">
        <f>IF(CJ103="","",'#orgDung'!LM104)</f>
        <v/>
      </c>
      <c r="CL103" s="1026" t="str">
        <f>IF(CJ103="","",'#orgDung'!LN104)</f>
        <v/>
      </c>
      <c r="CM103" s="1027" t="str">
        <f>IF(CJ103="","",'#orgDung'!LP104)</f>
        <v/>
      </c>
      <c r="CN103" s="1025"/>
      <c r="CO103" s="1026" t="str">
        <f>IF(CN103="","",'#orgDung'!MB104)</f>
        <v/>
      </c>
      <c r="CP103" s="1026" t="str">
        <f>IF(CN103="","",'#orgDung'!MC104)</f>
        <v/>
      </c>
      <c r="CQ103" s="1027" t="str">
        <f>IF(CN103="","",'#orgDung'!ME104)</f>
        <v/>
      </c>
      <c r="CR103" s="1025"/>
      <c r="CS103" s="1026" t="str">
        <f>IF(CR103="","",'#orgDung'!MQ104)</f>
        <v/>
      </c>
      <c r="CT103" s="1026" t="str">
        <f>IF(CR103="","",'#orgDung'!MR104)</f>
        <v/>
      </c>
      <c r="CU103" s="1027" t="str">
        <f>IF(CR103="","",'#orgDung'!MT104)</f>
        <v/>
      </c>
      <c r="CV103" s="1025"/>
      <c r="CW103" s="1026" t="str">
        <f>IF(CV103="","",'#orgDung'!NF104)</f>
        <v/>
      </c>
      <c r="CX103" s="1026" t="str">
        <f>IF(CV103="","",'#orgDung'!NG104)</f>
        <v/>
      </c>
      <c r="CY103" s="1027" t="str">
        <f>IF(CV103="","",'#orgDung'!NI104)</f>
        <v/>
      </c>
      <c r="CZ103" s="1025"/>
      <c r="DA103" s="1026" t="str">
        <f>IF(CZ103="","",'#orgDung'!NU104)</f>
        <v/>
      </c>
      <c r="DB103" s="1026" t="str">
        <f>IF(CZ103="","",'#orgDung'!NV104)</f>
        <v/>
      </c>
      <c r="DC103" s="1027" t="str">
        <f>IF(CZ103="","",'#orgDung'!NX104)</f>
        <v/>
      </c>
      <c r="DD103" s="1025"/>
      <c r="DE103" s="1026" t="str">
        <f>IF(DD103="","",'#orgDung'!OJ104)</f>
        <v/>
      </c>
      <c r="DF103" s="1026" t="str">
        <f>IF(DD103="","",'#orgDung'!OK104)</f>
        <v/>
      </c>
      <c r="DG103" s="1027" t="str">
        <f>IF(DD103="","",'#orgDung'!OM104)</f>
        <v/>
      </c>
      <c r="DH103" s="1025"/>
      <c r="DI103" s="1026" t="str">
        <f>IF(DH103="","",'#orgDung'!OY104)</f>
        <v/>
      </c>
      <c r="DJ103" s="1026" t="str">
        <f>IF(DH103="","",'#orgDung'!OZ104)</f>
        <v/>
      </c>
      <c r="DK103" s="1027" t="str">
        <f>IF(DH103="","",'#orgDung'!PB104)</f>
        <v/>
      </c>
      <c r="DL103" s="1025"/>
      <c r="DM103" s="1026" t="str">
        <f>IF(DL103="","",'#orgDung'!PN104)</f>
        <v/>
      </c>
      <c r="DN103" s="1026" t="str">
        <f>IF(DL103="","",'#orgDung'!PO104)</f>
        <v/>
      </c>
      <c r="DO103" s="1027" t="str">
        <f>IF(DL103="","",'#orgDung'!PQ104)</f>
        <v/>
      </c>
      <c r="DP103" s="1025"/>
      <c r="DQ103" s="1026" t="str">
        <f>IF(DP103="","",'#orgDung'!QC104)</f>
        <v/>
      </c>
      <c r="DR103" s="1026" t="str">
        <f>IF(DP103="","",'#orgDung'!QD104)</f>
        <v/>
      </c>
      <c r="DS103" s="1027" t="str">
        <f>IF(DP103="","",'#orgDung'!QF104)</f>
        <v/>
      </c>
      <c r="DT103" s="1025"/>
      <c r="DU103" s="1026" t="str">
        <f>IF(DT103="","",'#orgDung'!QR104)</f>
        <v/>
      </c>
      <c r="DV103" s="1026" t="str">
        <f>IF(DT103="","",'#orgDung'!QS104)</f>
        <v/>
      </c>
      <c r="DW103" s="1027" t="str">
        <f>IF(DT103="","",'#orgDung'!QU104)</f>
        <v/>
      </c>
      <c r="DX103" s="1025"/>
      <c r="DY103" s="1026" t="str">
        <f>IF(DX103="","",'#orgDung'!RG104)</f>
        <v/>
      </c>
      <c r="DZ103" s="1026" t="str">
        <f>IF(DX103="","",'#orgDung'!RH104)</f>
        <v/>
      </c>
      <c r="EA103" s="1027" t="str">
        <f>IF(DX103="","",'#orgDung'!RJ104)</f>
        <v/>
      </c>
    </row>
    <row r="104" spans="1:131" ht="15" customHeight="1" x14ac:dyDescent="0.2">
      <c r="A104" s="1195">
        <f>'Flächen u. Kulturen'!A101</f>
        <v>92</v>
      </c>
      <c r="B104" s="1195" t="str">
        <f>IF('Flächen u. Kulturen'!B101="","",'Flächen u. Kulturen'!B101)</f>
        <v/>
      </c>
      <c r="C104" s="1196" t="str">
        <f>IF('Flächen u. Kulturen'!D101="","",'Flächen u. Kulturen'!D101)</f>
        <v/>
      </c>
      <c r="D104" s="1197" t="str">
        <f>IF(C104="","",IF('#BerechnungDBE'!Q96&lt;4,"x",""))</f>
        <v/>
      </c>
      <c r="E104" s="1198" t="str">
        <f>IF(C104="","",VLOOKUP('Flächen u. Kulturen'!L101,'#Zweitfr'!$D$8:$F$28,'#Zweitfr'!$F$1,FALSE))</f>
        <v/>
      </c>
      <c r="F104" s="1199" t="str">
        <f>IF(C104="","",IF('Flächen u. Kulturen'!E101="x",'Flächen u. Kulturen'!P101,"nicht im Betrieb"))</f>
        <v/>
      </c>
      <c r="G104" s="1200" t="str">
        <f>IF(C104="","",IF('#orgDung'!C105=2,"--",IF('#Kürzungen'!$F$2=2,"--",'#orgDung'!R105)))</f>
        <v/>
      </c>
      <c r="H104" s="1200" t="str">
        <f>IF(C104="","",'#orgDung'!U105)</f>
        <v/>
      </c>
      <c r="I104" s="1201" t="str">
        <f>IF(C104="","",IF(COUNT('#orgDung'!RS105:SA105)=0,"OK",TRIM(CONCATENATE('#orgDung'!RS105," ",'#orgDung'!RT105," ",'#orgDung'!RU105," ",'#orgDung'!RV105," ",'#orgDung'!RW105," ",'#orgDung'!RX105," ",'#orgDung'!RY105," ",'#orgDung'!RZ105," ",'#orgDung'!SA105))))</f>
        <v/>
      </c>
      <c r="J104" s="1023"/>
      <c r="K104" s="1024"/>
      <c r="L104" s="1025"/>
      <c r="M104" s="1026" t="str">
        <f>IF(L104="","",'#orgDung'!AN105)</f>
        <v/>
      </c>
      <c r="N104" s="1026" t="str">
        <f>IF(L104="","",'#orgDung'!AO105)</f>
        <v/>
      </c>
      <c r="O104" s="1027" t="str">
        <f>IF(L104="","",'#orgDung'!AQ105)</f>
        <v/>
      </c>
      <c r="P104" s="1025"/>
      <c r="Q104" s="1026" t="str">
        <f>IF(P104="","",'#orgDung'!BC105)</f>
        <v/>
      </c>
      <c r="R104" s="1026" t="str">
        <f>IF(P104="","",'#orgDung'!BD105)</f>
        <v/>
      </c>
      <c r="S104" s="1027" t="str">
        <f>IF(P104="","",'#orgDung'!BF105)</f>
        <v/>
      </c>
      <c r="T104" s="1025"/>
      <c r="U104" s="1026" t="str">
        <f>IF(T104="","",'#orgDung'!BR105)</f>
        <v/>
      </c>
      <c r="V104" s="1026" t="str">
        <f>IF(T104="","",'#orgDung'!BS105)</f>
        <v/>
      </c>
      <c r="W104" s="1027" t="str">
        <f>IF(T104="","",'#orgDung'!BU105)</f>
        <v/>
      </c>
      <c r="X104" s="1025"/>
      <c r="Y104" s="1026" t="str">
        <f>IF(X104="","",'#orgDung'!CG105)</f>
        <v/>
      </c>
      <c r="Z104" s="1026" t="str">
        <f>IF(X104="","",'#orgDung'!CH105)</f>
        <v/>
      </c>
      <c r="AA104" s="1027" t="str">
        <f>IF(X104="","",'#orgDung'!CJ105)</f>
        <v/>
      </c>
      <c r="AB104" s="1025"/>
      <c r="AC104" s="1026" t="str">
        <f>IF(AB104="","",'#orgDung'!CV105)</f>
        <v/>
      </c>
      <c r="AD104" s="1026" t="str">
        <f>IF(AB104="","",'#orgDung'!CW105)</f>
        <v/>
      </c>
      <c r="AE104" s="1027" t="str">
        <f>IF(AB104="","",'#orgDung'!CY105)</f>
        <v/>
      </c>
      <c r="AF104" s="1025"/>
      <c r="AG104" s="1026" t="str">
        <f>IF(AF104="","",'#orgDung'!DK105)</f>
        <v/>
      </c>
      <c r="AH104" s="1026" t="str">
        <f>IF(AF104="","",'#orgDung'!DL105)</f>
        <v/>
      </c>
      <c r="AI104" s="1027" t="str">
        <f>IF(AF104="","",'#orgDung'!DN105)</f>
        <v/>
      </c>
      <c r="AJ104" s="1025"/>
      <c r="AK104" s="1026" t="str">
        <f>IF(AJ104="","",'#orgDung'!DZ105)</f>
        <v/>
      </c>
      <c r="AL104" s="1026" t="str">
        <f>IF(AJ104="","",'#orgDung'!EA105)</f>
        <v/>
      </c>
      <c r="AM104" s="1027" t="str">
        <f>IF(AJ104="","",'#orgDung'!EC105)</f>
        <v/>
      </c>
      <c r="AN104" s="1025"/>
      <c r="AO104" s="1026" t="str">
        <f>IF(AN104="","",'#orgDung'!EO105)</f>
        <v/>
      </c>
      <c r="AP104" s="1026" t="str">
        <f>IF(AN104="","",'#orgDung'!EP105)</f>
        <v/>
      </c>
      <c r="AQ104" s="1027" t="str">
        <f>IF(AN104="","",'#orgDung'!ER105)</f>
        <v/>
      </c>
      <c r="AR104" s="1025"/>
      <c r="AS104" s="1026" t="str">
        <f>IF(AR104="","",'#orgDung'!FD105)</f>
        <v/>
      </c>
      <c r="AT104" s="1026" t="str">
        <f>IF(AR104="","",'#orgDung'!FE105)</f>
        <v/>
      </c>
      <c r="AU104" s="1027" t="str">
        <f>IF(AR104="","",'#orgDung'!FG105)</f>
        <v/>
      </c>
      <c r="AV104" s="1025"/>
      <c r="AW104" s="1026" t="str">
        <f>IF(AV104="","",'#orgDung'!FS105)</f>
        <v/>
      </c>
      <c r="AX104" s="1026" t="str">
        <f>IF(AV104="","",'#orgDung'!FT105)</f>
        <v/>
      </c>
      <c r="AY104" s="1027" t="str">
        <f>IF(AV104="","",'#orgDung'!FV105)</f>
        <v/>
      </c>
      <c r="AZ104" s="1025"/>
      <c r="BA104" s="1026" t="str">
        <f>IF(AZ104="","",'#orgDung'!GH105)</f>
        <v/>
      </c>
      <c r="BB104" s="1026" t="str">
        <f>IF(AZ104="","",'#orgDung'!GI105)</f>
        <v/>
      </c>
      <c r="BC104" s="1027" t="str">
        <f>IF(AZ104="","",'#orgDung'!GK105)</f>
        <v/>
      </c>
      <c r="BD104" s="1025"/>
      <c r="BE104" s="1026" t="str">
        <f>IF(BD104="","",'#orgDung'!GW105)</f>
        <v/>
      </c>
      <c r="BF104" s="1026" t="str">
        <f>IF(BD104="","",'#orgDung'!GX105)</f>
        <v/>
      </c>
      <c r="BG104" s="1027" t="str">
        <f>IF(BD104="","",'#orgDung'!GZ105)</f>
        <v/>
      </c>
      <c r="BH104" s="1025"/>
      <c r="BI104" s="1026" t="str">
        <f>IF(BH104="","",'#orgDung'!HL105)</f>
        <v/>
      </c>
      <c r="BJ104" s="1026" t="str">
        <f>IF(BH104="","",'#orgDung'!HM105)</f>
        <v/>
      </c>
      <c r="BK104" s="1027" t="str">
        <f>IF(BH104="","",'#orgDung'!HO105)</f>
        <v/>
      </c>
      <c r="BL104" s="1025"/>
      <c r="BM104" s="1026" t="str">
        <f>IF(BL104="","",'#orgDung'!IA105)</f>
        <v/>
      </c>
      <c r="BN104" s="1026" t="str">
        <f>IF(BL104="","",'#orgDung'!IB105)</f>
        <v/>
      </c>
      <c r="BO104" s="1027" t="str">
        <f>IF(BL104="","",'#orgDung'!ID105)</f>
        <v/>
      </c>
      <c r="BP104" s="1025"/>
      <c r="BQ104" s="1026" t="str">
        <f>IF(BP104="","",'#orgDung'!IP105)</f>
        <v/>
      </c>
      <c r="BR104" s="1026" t="str">
        <f>IF(BP104="","",'#orgDung'!IQ105)</f>
        <v/>
      </c>
      <c r="BS104" s="1027" t="str">
        <f>IF(BP104="","",'#orgDung'!IS105)</f>
        <v/>
      </c>
      <c r="BT104" s="1025"/>
      <c r="BU104" s="1026" t="str">
        <f>IF(BT104="","",'#orgDung'!JE105)</f>
        <v/>
      </c>
      <c r="BV104" s="1026" t="str">
        <f>IF(BT104="","",'#orgDung'!JF105)</f>
        <v/>
      </c>
      <c r="BW104" s="1027" t="str">
        <f>IF(BT104="","",'#orgDung'!JH105)</f>
        <v/>
      </c>
      <c r="BX104" s="1025"/>
      <c r="BY104" s="1026" t="str">
        <f>IF(BX104="","",'#orgDung'!JT105)</f>
        <v/>
      </c>
      <c r="BZ104" s="1026" t="str">
        <f>IF(BX104="","",'#orgDung'!JU105)</f>
        <v/>
      </c>
      <c r="CA104" s="1027" t="str">
        <f>IF(BX104="","",'#orgDung'!JW105)</f>
        <v/>
      </c>
      <c r="CB104" s="1025"/>
      <c r="CC104" s="1026" t="str">
        <f>IF(CB104="","",'#orgDung'!KI105)</f>
        <v/>
      </c>
      <c r="CD104" s="1026" t="str">
        <f>IF(CB104="","",'#orgDung'!KJ105)</f>
        <v/>
      </c>
      <c r="CE104" s="1027" t="str">
        <f>IF(CB104="","",'#orgDung'!KL105)</f>
        <v/>
      </c>
      <c r="CF104" s="1025"/>
      <c r="CG104" s="1026" t="str">
        <f>IF(CF104="","",'#orgDung'!KX105)</f>
        <v/>
      </c>
      <c r="CH104" s="1026" t="str">
        <f>IF(CF104="","",'#orgDung'!KY105)</f>
        <v/>
      </c>
      <c r="CI104" s="1027" t="str">
        <f>IF(CF104="","",'#orgDung'!LA105)</f>
        <v/>
      </c>
      <c r="CJ104" s="1025"/>
      <c r="CK104" s="1026" t="str">
        <f>IF(CJ104="","",'#orgDung'!LM105)</f>
        <v/>
      </c>
      <c r="CL104" s="1026" t="str">
        <f>IF(CJ104="","",'#orgDung'!LN105)</f>
        <v/>
      </c>
      <c r="CM104" s="1027" t="str">
        <f>IF(CJ104="","",'#orgDung'!LP105)</f>
        <v/>
      </c>
      <c r="CN104" s="1025"/>
      <c r="CO104" s="1026" t="str">
        <f>IF(CN104="","",'#orgDung'!MB105)</f>
        <v/>
      </c>
      <c r="CP104" s="1026" t="str">
        <f>IF(CN104="","",'#orgDung'!MC105)</f>
        <v/>
      </c>
      <c r="CQ104" s="1027" t="str">
        <f>IF(CN104="","",'#orgDung'!ME105)</f>
        <v/>
      </c>
      <c r="CR104" s="1025"/>
      <c r="CS104" s="1026" t="str">
        <f>IF(CR104="","",'#orgDung'!MQ105)</f>
        <v/>
      </c>
      <c r="CT104" s="1026" t="str">
        <f>IF(CR104="","",'#orgDung'!MR105)</f>
        <v/>
      </c>
      <c r="CU104" s="1027" t="str">
        <f>IF(CR104="","",'#orgDung'!MT105)</f>
        <v/>
      </c>
      <c r="CV104" s="1025"/>
      <c r="CW104" s="1026" t="str">
        <f>IF(CV104="","",'#orgDung'!NF105)</f>
        <v/>
      </c>
      <c r="CX104" s="1026" t="str">
        <f>IF(CV104="","",'#orgDung'!NG105)</f>
        <v/>
      </c>
      <c r="CY104" s="1027" t="str">
        <f>IF(CV104="","",'#orgDung'!NI105)</f>
        <v/>
      </c>
      <c r="CZ104" s="1025"/>
      <c r="DA104" s="1026" t="str">
        <f>IF(CZ104="","",'#orgDung'!NU105)</f>
        <v/>
      </c>
      <c r="DB104" s="1026" t="str">
        <f>IF(CZ104="","",'#orgDung'!NV105)</f>
        <v/>
      </c>
      <c r="DC104" s="1027" t="str">
        <f>IF(CZ104="","",'#orgDung'!NX105)</f>
        <v/>
      </c>
      <c r="DD104" s="1025"/>
      <c r="DE104" s="1026" t="str">
        <f>IF(DD104="","",'#orgDung'!OJ105)</f>
        <v/>
      </c>
      <c r="DF104" s="1026" t="str">
        <f>IF(DD104="","",'#orgDung'!OK105)</f>
        <v/>
      </c>
      <c r="DG104" s="1027" t="str">
        <f>IF(DD104="","",'#orgDung'!OM105)</f>
        <v/>
      </c>
      <c r="DH104" s="1025"/>
      <c r="DI104" s="1026" t="str">
        <f>IF(DH104="","",'#orgDung'!OY105)</f>
        <v/>
      </c>
      <c r="DJ104" s="1026" t="str">
        <f>IF(DH104="","",'#orgDung'!OZ105)</f>
        <v/>
      </c>
      <c r="DK104" s="1027" t="str">
        <f>IF(DH104="","",'#orgDung'!PB105)</f>
        <v/>
      </c>
      <c r="DL104" s="1025"/>
      <c r="DM104" s="1026" t="str">
        <f>IF(DL104="","",'#orgDung'!PN105)</f>
        <v/>
      </c>
      <c r="DN104" s="1026" t="str">
        <f>IF(DL104="","",'#orgDung'!PO105)</f>
        <v/>
      </c>
      <c r="DO104" s="1027" t="str">
        <f>IF(DL104="","",'#orgDung'!PQ105)</f>
        <v/>
      </c>
      <c r="DP104" s="1025"/>
      <c r="DQ104" s="1026" t="str">
        <f>IF(DP104="","",'#orgDung'!QC105)</f>
        <v/>
      </c>
      <c r="DR104" s="1026" t="str">
        <f>IF(DP104="","",'#orgDung'!QD105)</f>
        <v/>
      </c>
      <c r="DS104" s="1027" t="str">
        <f>IF(DP104="","",'#orgDung'!QF105)</f>
        <v/>
      </c>
      <c r="DT104" s="1025"/>
      <c r="DU104" s="1026" t="str">
        <f>IF(DT104="","",'#orgDung'!QR105)</f>
        <v/>
      </c>
      <c r="DV104" s="1026" t="str">
        <f>IF(DT104="","",'#orgDung'!QS105)</f>
        <v/>
      </c>
      <c r="DW104" s="1027" t="str">
        <f>IF(DT104="","",'#orgDung'!QU105)</f>
        <v/>
      </c>
      <c r="DX104" s="1025"/>
      <c r="DY104" s="1026" t="str">
        <f>IF(DX104="","",'#orgDung'!RG105)</f>
        <v/>
      </c>
      <c r="DZ104" s="1026" t="str">
        <f>IF(DX104="","",'#orgDung'!RH105)</f>
        <v/>
      </c>
      <c r="EA104" s="1027" t="str">
        <f>IF(DX104="","",'#orgDung'!RJ105)</f>
        <v/>
      </c>
    </row>
    <row r="105" spans="1:131" ht="15" customHeight="1" x14ac:dyDescent="0.2">
      <c r="A105" s="1195">
        <f>'Flächen u. Kulturen'!A102</f>
        <v>93</v>
      </c>
      <c r="B105" s="1195" t="str">
        <f>IF('Flächen u. Kulturen'!B102="","",'Flächen u. Kulturen'!B102)</f>
        <v/>
      </c>
      <c r="C105" s="1196" t="str">
        <f>IF('Flächen u. Kulturen'!D102="","",'Flächen u. Kulturen'!D102)</f>
        <v/>
      </c>
      <c r="D105" s="1197" t="str">
        <f>IF(C105="","",IF('#BerechnungDBE'!Q97&lt;4,"x",""))</f>
        <v/>
      </c>
      <c r="E105" s="1198" t="str">
        <f>IF(C105="","",VLOOKUP('Flächen u. Kulturen'!L102,'#Zweitfr'!$D$8:$F$28,'#Zweitfr'!$F$1,FALSE))</f>
        <v/>
      </c>
      <c r="F105" s="1199" t="str">
        <f>IF(C105="","",IF('Flächen u. Kulturen'!E102="x",'Flächen u. Kulturen'!P102,"nicht im Betrieb"))</f>
        <v/>
      </c>
      <c r="G105" s="1200" t="str">
        <f>IF(C105="","",IF('#orgDung'!C106=2,"--",IF('#Kürzungen'!$F$2=2,"--",'#orgDung'!R106)))</f>
        <v/>
      </c>
      <c r="H105" s="1200" t="str">
        <f>IF(C105="","",'#orgDung'!U106)</f>
        <v/>
      </c>
      <c r="I105" s="1201" t="str">
        <f>IF(C105="","",IF(COUNT('#orgDung'!RS106:SA106)=0,"OK",TRIM(CONCATENATE('#orgDung'!RS106," ",'#orgDung'!RT106," ",'#orgDung'!RU106," ",'#orgDung'!RV106," ",'#orgDung'!RW106," ",'#orgDung'!RX106," ",'#orgDung'!RY106," ",'#orgDung'!RZ106," ",'#orgDung'!SA106))))</f>
        <v/>
      </c>
      <c r="J105" s="1023"/>
      <c r="K105" s="1024"/>
      <c r="L105" s="1025"/>
      <c r="M105" s="1026" t="str">
        <f>IF(L105="","",'#orgDung'!AN106)</f>
        <v/>
      </c>
      <c r="N105" s="1026" t="str">
        <f>IF(L105="","",'#orgDung'!AO106)</f>
        <v/>
      </c>
      <c r="O105" s="1027" t="str">
        <f>IF(L105="","",'#orgDung'!AQ106)</f>
        <v/>
      </c>
      <c r="P105" s="1025"/>
      <c r="Q105" s="1026" t="str">
        <f>IF(P105="","",'#orgDung'!BC106)</f>
        <v/>
      </c>
      <c r="R105" s="1026" t="str">
        <f>IF(P105="","",'#orgDung'!BD106)</f>
        <v/>
      </c>
      <c r="S105" s="1027" t="str">
        <f>IF(P105="","",'#orgDung'!BF106)</f>
        <v/>
      </c>
      <c r="T105" s="1025"/>
      <c r="U105" s="1026" t="str">
        <f>IF(T105="","",'#orgDung'!BR106)</f>
        <v/>
      </c>
      <c r="V105" s="1026" t="str">
        <f>IF(T105="","",'#orgDung'!BS106)</f>
        <v/>
      </c>
      <c r="W105" s="1027" t="str">
        <f>IF(T105="","",'#orgDung'!BU106)</f>
        <v/>
      </c>
      <c r="X105" s="1025"/>
      <c r="Y105" s="1026" t="str">
        <f>IF(X105="","",'#orgDung'!CG106)</f>
        <v/>
      </c>
      <c r="Z105" s="1026" t="str">
        <f>IF(X105="","",'#orgDung'!CH106)</f>
        <v/>
      </c>
      <c r="AA105" s="1027" t="str">
        <f>IF(X105="","",'#orgDung'!CJ106)</f>
        <v/>
      </c>
      <c r="AB105" s="1025"/>
      <c r="AC105" s="1026" t="str">
        <f>IF(AB105="","",'#orgDung'!CV106)</f>
        <v/>
      </c>
      <c r="AD105" s="1026" t="str">
        <f>IF(AB105="","",'#orgDung'!CW106)</f>
        <v/>
      </c>
      <c r="AE105" s="1027" t="str">
        <f>IF(AB105="","",'#orgDung'!CY106)</f>
        <v/>
      </c>
      <c r="AF105" s="1025"/>
      <c r="AG105" s="1026" t="str">
        <f>IF(AF105="","",'#orgDung'!DK106)</f>
        <v/>
      </c>
      <c r="AH105" s="1026" t="str">
        <f>IF(AF105="","",'#orgDung'!DL106)</f>
        <v/>
      </c>
      <c r="AI105" s="1027" t="str">
        <f>IF(AF105="","",'#orgDung'!DN106)</f>
        <v/>
      </c>
      <c r="AJ105" s="1025"/>
      <c r="AK105" s="1026" t="str">
        <f>IF(AJ105="","",'#orgDung'!DZ106)</f>
        <v/>
      </c>
      <c r="AL105" s="1026" t="str">
        <f>IF(AJ105="","",'#orgDung'!EA106)</f>
        <v/>
      </c>
      <c r="AM105" s="1027" t="str">
        <f>IF(AJ105="","",'#orgDung'!EC106)</f>
        <v/>
      </c>
      <c r="AN105" s="1025"/>
      <c r="AO105" s="1026" t="str">
        <f>IF(AN105="","",'#orgDung'!EO106)</f>
        <v/>
      </c>
      <c r="AP105" s="1026" t="str">
        <f>IF(AN105="","",'#orgDung'!EP106)</f>
        <v/>
      </c>
      <c r="AQ105" s="1027" t="str">
        <f>IF(AN105="","",'#orgDung'!ER106)</f>
        <v/>
      </c>
      <c r="AR105" s="1025"/>
      <c r="AS105" s="1026" t="str">
        <f>IF(AR105="","",'#orgDung'!FD106)</f>
        <v/>
      </c>
      <c r="AT105" s="1026" t="str">
        <f>IF(AR105="","",'#orgDung'!FE106)</f>
        <v/>
      </c>
      <c r="AU105" s="1027" t="str">
        <f>IF(AR105="","",'#orgDung'!FG106)</f>
        <v/>
      </c>
      <c r="AV105" s="1025"/>
      <c r="AW105" s="1026" t="str">
        <f>IF(AV105="","",'#orgDung'!FS106)</f>
        <v/>
      </c>
      <c r="AX105" s="1026" t="str">
        <f>IF(AV105="","",'#orgDung'!FT106)</f>
        <v/>
      </c>
      <c r="AY105" s="1027" t="str">
        <f>IF(AV105="","",'#orgDung'!FV106)</f>
        <v/>
      </c>
      <c r="AZ105" s="1025"/>
      <c r="BA105" s="1026" t="str">
        <f>IF(AZ105="","",'#orgDung'!GH106)</f>
        <v/>
      </c>
      <c r="BB105" s="1026" t="str">
        <f>IF(AZ105="","",'#orgDung'!GI106)</f>
        <v/>
      </c>
      <c r="BC105" s="1027" t="str">
        <f>IF(AZ105="","",'#orgDung'!GK106)</f>
        <v/>
      </c>
      <c r="BD105" s="1025"/>
      <c r="BE105" s="1026" t="str">
        <f>IF(BD105="","",'#orgDung'!GW106)</f>
        <v/>
      </c>
      <c r="BF105" s="1026" t="str">
        <f>IF(BD105="","",'#orgDung'!GX106)</f>
        <v/>
      </c>
      <c r="BG105" s="1027" t="str">
        <f>IF(BD105="","",'#orgDung'!GZ106)</f>
        <v/>
      </c>
      <c r="BH105" s="1025"/>
      <c r="BI105" s="1026" t="str">
        <f>IF(BH105="","",'#orgDung'!HL106)</f>
        <v/>
      </c>
      <c r="BJ105" s="1026" t="str">
        <f>IF(BH105="","",'#orgDung'!HM106)</f>
        <v/>
      </c>
      <c r="BK105" s="1027" t="str">
        <f>IF(BH105="","",'#orgDung'!HO106)</f>
        <v/>
      </c>
      <c r="BL105" s="1025"/>
      <c r="BM105" s="1026" t="str">
        <f>IF(BL105="","",'#orgDung'!IA106)</f>
        <v/>
      </c>
      <c r="BN105" s="1026" t="str">
        <f>IF(BL105="","",'#orgDung'!IB106)</f>
        <v/>
      </c>
      <c r="BO105" s="1027" t="str">
        <f>IF(BL105="","",'#orgDung'!ID106)</f>
        <v/>
      </c>
      <c r="BP105" s="1025"/>
      <c r="BQ105" s="1026" t="str">
        <f>IF(BP105="","",'#orgDung'!IP106)</f>
        <v/>
      </c>
      <c r="BR105" s="1026" t="str">
        <f>IF(BP105="","",'#orgDung'!IQ106)</f>
        <v/>
      </c>
      <c r="BS105" s="1027" t="str">
        <f>IF(BP105="","",'#orgDung'!IS106)</f>
        <v/>
      </c>
      <c r="BT105" s="1025"/>
      <c r="BU105" s="1026" t="str">
        <f>IF(BT105="","",'#orgDung'!JE106)</f>
        <v/>
      </c>
      <c r="BV105" s="1026" t="str">
        <f>IF(BT105="","",'#orgDung'!JF106)</f>
        <v/>
      </c>
      <c r="BW105" s="1027" t="str">
        <f>IF(BT105="","",'#orgDung'!JH106)</f>
        <v/>
      </c>
      <c r="BX105" s="1025"/>
      <c r="BY105" s="1026" t="str">
        <f>IF(BX105="","",'#orgDung'!JT106)</f>
        <v/>
      </c>
      <c r="BZ105" s="1026" t="str">
        <f>IF(BX105="","",'#orgDung'!JU106)</f>
        <v/>
      </c>
      <c r="CA105" s="1027" t="str">
        <f>IF(BX105="","",'#orgDung'!JW106)</f>
        <v/>
      </c>
      <c r="CB105" s="1025"/>
      <c r="CC105" s="1026" t="str">
        <f>IF(CB105="","",'#orgDung'!KI106)</f>
        <v/>
      </c>
      <c r="CD105" s="1026" t="str">
        <f>IF(CB105="","",'#orgDung'!KJ106)</f>
        <v/>
      </c>
      <c r="CE105" s="1027" t="str">
        <f>IF(CB105="","",'#orgDung'!KL106)</f>
        <v/>
      </c>
      <c r="CF105" s="1025"/>
      <c r="CG105" s="1026" t="str">
        <f>IF(CF105="","",'#orgDung'!KX106)</f>
        <v/>
      </c>
      <c r="CH105" s="1026" t="str">
        <f>IF(CF105="","",'#orgDung'!KY106)</f>
        <v/>
      </c>
      <c r="CI105" s="1027" t="str">
        <f>IF(CF105="","",'#orgDung'!LA106)</f>
        <v/>
      </c>
      <c r="CJ105" s="1025"/>
      <c r="CK105" s="1026" t="str">
        <f>IF(CJ105="","",'#orgDung'!LM106)</f>
        <v/>
      </c>
      <c r="CL105" s="1026" t="str">
        <f>IF(CJ105="","",'#orgDung'!LN106)</f>
        <v/>
      </c>
      <c r="CM105" s="1027" t="str">
        <f>IF(CJ105="","",'#orgDung'!LP106)</f>
        <v/>
      </c>
      <c r="CN105" s="1025"/>
      <c r="CO105" s="1026" t="str">
        <f>IF(CN105="","",'#orgDung'!MB106)</f>
        <v/>
      </c>
      <c r="CP105" s="1026" t="str">
        <f>IF(CN105="","",'#orgDung'!MC106)</f>
        <v/>
      </c>
      <c r="CQ105" s="1027" t="str">
        <f>IF(CN105="","",'#orgDung'!ME106)</f>
        <v/>
      </c>
      <c r="CR105" s="1025"/>
      <c r="CS105" s="1026" t="str">
        <f>IF(CR105="","",'#orgDung'!MQ106)</f>
        <v/>
      </c>
      <c r="CT105" s="1026" t="str">
        <f>IF(CR105="","",'#orgDung'!MR106)</f>
        <v/>
      </c>
      <c r="CU105" s="1027" t="str">
        <f>IF(CR105="","",'#orgDung'!MT106)</f>
        <v/>
      </c>
      <c r="CV105" s="1025"/>
      <c r="CW105" s="1026" t="str">
        <f>IF(CV105="","",'#orgDung'!NF106)</f>
        <v/>
      </c>
      <c r="CX105" s="1026" t="str">
        <f>IF(CV105="","",'#orgDung'!NG106)</f>
        <v/>
      </c>
      <c r="CY105" s="1027" t="str">
        <f>IF(CV105="","",'#orgDung'!NI106)</f>
        <v/>
      </c>
      <c r="CZ105" s="1025"/>
      <c r="DA105" s="1026" t="str">
        <f>IF(CZ105="","",'#orgDung'!NU106)</f>
        <v/>
      </c>
      <c r="DB105" s="1026" t="str">
        <f>IF(CZ105="","",'#orgDung'!NV106)</f>
        <v/>
      </c>
      <c r="DC105" s="1027" t="str">
        <f>IF(CZ105="","",'#orgDung'!NX106)</f>
        <v/>
      </c>
      <c r="DD105" s="1025"/>
      <c r="DE105" s="1026" t="str">
        <f>IF(DD105="","",'#orgDung'!OJ106)</f>
        <v/>
      </c>
      <c r="DF105" s="1026" t="str">
        <f>IF(DD105="","",'#orgDung'!OK106)</f>
        <v/>
      </c>
      <c r="DG105" s="1027" t="str">
        <f>IF(DD105="","",'#orgDung'!OM106)</f>
        <v/>
      </c>
      <c r="DH105" s="1025"/>
      <c r="DI105" s="1026" t="str">
        <f>IF(DH105="","",'#orgDung'!OY106)</f>
        <v/>
      </c>
      <c r="DJ105" s="1026" t="str">
        <f>IF(DH105="","",'#orgDung'!OZ106)</f>
        <v/>
      </c>
      <c r="DK105" s="1027" t="str">
        <f>IF(DH105="","",'#orgDung'!PB106)</f>
        <v/>
      </c>
      <c r="DL105" s="1025"/>
      <c r="DM105" s="1026" t="str">
        <f>IF(DL105="","",'#orgDung'!PN106)</f>
        <v/>
      </c>
      <c r="DN105" s="1026" t="str">
        <f>IF(DL105="","",'#orgDung'!PO106)</f>
        <v/>
      </c>
      <c r="DO105" s="1027" t="str">
        <f>IF(DL105="","",'#orgDung'!PQ106)</f>
        <v/>
      </c>
      <c r="DP105" s="1025"/>
      <c r="DQ105" s="1026" t="str">
        <f>IF(DP105="","",'#orgDung'!QC106)</f>
        <v/>
      </c>
      <c r="DR105" s="1026" t="str">
        <f>IF(DP105="","",'#orgDung'!QD106)</f>
        <v/>
      </c>
      <c r="DS105" s="1027" t="str">
        <f>IF(DP105="","",'#orgDung'!QF106)</f>
        <v/>
      </c>
      <c r="DT105" s="1025"/>
      <c r="DU105" s="1026" t="str">
        <f>IF(DT105="","",'#orgDung'!QR106)</f>
        <v/>
      </c>
      <c r="DV105" s="1026" t="str">
        <f>IF(DT105="","",'#orgDung'!QS106)</f>
        <v/>
      </c>
      <c r="DW105" s="1027" t="str">
        <f>IF(DT105="","",'#orgDung'!QU106)</f>
        <v/>
      </c>
      <c r="DX105" s="1025"/>
      <c r="DY105" s="1026" t="str">
        <f>IF(DX105="","",'#orgDung'!RG106)</f>
        <v/>
      </c>
      <c r="DZ105" s="1026" t="str">
        <f>IF(DX105="","",'#orgDung'!RH106)</f>
        <v/>
      </c>
      <c r="EA105" s="1027" t="str">
        <f>IF(DX105="","",'#orgDung'!RJ106)</f>
        <v/>
      </c>
    </row>
    <row r="106" spans="1:131" ht="15" customHeight="1" x14ac:dyDescent="0.2">
      <c r="A106" s="1195">
        <f>'Flächen u. Kulturen'!A103</f>
        <v>94</v>
      </c>
      <c r="B106" s="1195" t="str">
        <f>IF('Flächen u. Kulturen'!B103="","",'Flächen u. Kulturen'!B103)</f>
        <v/>
      </c>
      <c r="C106" s="1196" t="str">
        <f>IF('Flächen u. Kulturen'!D103="","",'Flächen u. Kulturen'!D103)</f>
        <v/>
      </c>
      <c r="D106" s="1197" t="str">
        <f>IF(C106="","",IF('#BerechnungDBE'!Q98&lt;4,"x",""))</f>
        <v/>
      </c>
      <c r="E106" s="1198" t="str">
        <f>IF(C106="","",VLOOKUP('Flächen u. Kulturen'!L103,'#Zweitfr'!$D$8:$F$28,'#Zweitfr'!$F$1,FALSE))</f>
        <v/>
      </c>
      <c r="F106" s="1199" t="str">
        <f>IF(C106="","",IF('Flächen u. Kulturen'!E103="x",'Flächen u. Kulturen'!P103,"nicht im Betrieb"))</f>
        <v/>
      </c>
      <c r="G106" s="1200" t="str">
        <f>IF(C106="","",IF('#orgDung'!C107=2,"--",IF('#Kürzungen'!$F$2=2,"--",'#orgDung'!R107)))</f>
        <v/>
      </c>
      <c r="H106" s="1200" t="str">
        <f>IF(C106="","",'#orgDung'!U107)</f>
        <v/>
      </c>
      <c r="I106" s="1201" t="str">
        <f>IF(C106="","",IF(COUNT('#orgDung'!RS107:SA107)=0,"OK",TRIM(CONCATENATE('#orgDung'!RS107," ",'#orgDung'!RT107," ",'#orgDung'!RU107," ",'#orgDung'!RV107," ",'#orgDung'!RW107," ",'#orgDung'!RX107," ",'#orgDung'!RY107," ",'#orgDung'!RZ107," ",'#orgDung'!SA107))))</f>
        <v/>
      </c>
      <c r="J106" s="1023"/>
      <c r="K106" s="1024"/>
      <c r="L106" s="1025"/>
      <c r="M106" s="1026" t="str">
        <f>IF(L106="","",'#orgDung'!AN107)</f>
        <v/>
      </c>
      <c r="N106" s="1026" t="str">
        <f>IF(L106="","",'#orgDung'!AO107)</f>
        <v/>
      </c>
      <c r="O106" s="1027" t="str">
        <f>IF(L106="","",'#orgDung'!AQ107)</f>
        <v/>
      </c>
      <c r="P106" s="1025"/>
      <c r="Q106" s="1026" t="str">
        <f>IF(P106="","",'#orgDung'!BC107)</f>
        <v/>
      </c>
      <c r="R106" s="1026" t="str">
        <f>IF(P106="","",'#orgDung'!BD107)</f>
        <v/>
      </c>
      <c r="S106" s="1027" t="str">
        <f>IF(P106="","",'#orgDung'!BF107)</f>
        <v/>
      </c>
      <c r="T106" s="1025"/>
      <c r="U106" s="1026" t="str">
        <f>IF(T106="","",'#orgDung'!BR107)</f>
        <v/>
      </c>
      <c r="V106" s="1026" t="str">
        <f>IF(T106="","",'#orgDung'!BS107)</f>
        <v/>
      </c>
      <c r="W106" s="1027" t="str">
        <f>IF(T106="","",'#orgDung'!BU107)</f>
        <v/>
      </c>
      <c r="X106" s="1025"/>
      <c r="Y106" s="1026" t="str">
        <f>IF(X106="","",'#orgDung'!CG107)</f>
        <v/>
      </c>
      <c r="Z106" s="1026" t="str">
        <f>IF(X106="","",'#orgDung'!CH107)</f>
        <v/>
      </c>
      <c r="AA106" s="1027" t="str">
        <f>IF(X106="","",'#orgDung'!CJ107)</f>
        <v/>
      </c>
      <c r="AB106" s="1025"/>
      <c r="AC106" s="1026" t="str">
        <f>IF(AB106="","",'#orgDung'!CV107)</f>
        <v/>
      </c>
      <c r="AD106" s="1026" t="str">
        <f>IF(AB106="","",'#orgDung'!CW107)</f>
        <v/>
      </c>
      <c r="AE106" s="1027" t="str">
        <f>IF(AB106="","",'#orgDung'!CY107)</f>
        <v/>
      </c>
      <c r="AF106" s="1025"/>
      <c r="AG106" s="1026" t="str">
        <f>IF(AF106="","",'#orgDung'!DK107)</f>
        <v/>
      </c>
      <c r="AH106" s="1026" t="str">
        <f>IF(AF106="","",'#orgDung'!DL107)</f>
        <v/>
      </c>
      <c r="AI106" s="1027" t="str">
        <f>IF(AF106="","",'#orgDung'!DN107)</f>
        <v/>
      </c>
      <c r="AJ106" s="1025"/>
      <c r="AK106" s="1026" t="str">
        <f>IF(AJ106="","",'#orgDung'!DZ107)</f>
        <v/>
      </c>
      <c r="AL106" s="1026" t="str">
        <f>IF(AJ106="","",'#orgDung'!EA107)</f>
        <v/>
      </c>
      <c r="AM106" s="1027" t="str">
        <f>IF(AJ106="","",'#orgDung'!EC107)</f>
        <v/>
      </c>
      <c r="AN106" s="1025"/>
      <c r="AO106" s="1026" t="str">
        <f>IF(AN106="","",'#orgDung'!EO107)</f>
        <v/>
      </c>
      <c r="AP106" s="1026" t="str">
        <f>IF(AN106="","",'#orgDung'!EP107)</f>
        <v/>
      </c>
      <c r="AQ106" s="1027" t="str">
        <f>IF(AN106="","",'#orgDung'!ER107)</f>
        <v/>
      </c>
      <c r="AR106" s="1025"/>
      <c r="AS106" s="1026" t="str">
        <f>IF(AR106="","",'#orgDung'!FD107)</f>
        <v/>
      </c>
      <c r="AT106" s="1026" t="str">
        <f>IF(AR106="","",'#orgDung'!FE107)</f>
        <v/>
      </c>
      <c r="AU106" s="1027" t="str">
        <f>IF(AR106="","",'#orgDung'!FG107)</f>
        <v/>
      </c>
      <c r="AV106" s="1025"/>
      <c r="AW106" s="1026" t="str">
        <f>IF(AV106="","",'#orgDung'!FS107)</f>
        <v/>
      </c>
      <c r="AX106" s="1026" t="str">
        <f>IF(AV106="","",'#orgDung'!FT107)</f>
        <v/>
      </c>
      <c r="AY106" s="1027" t="str">
        <f>IF(AV106="","",'#orgDung'!FV107)</f>
        <v/>
      </c>
      <c r="AZ106" s="1025"/>
      <c r="BA106" s="1026" t="str">
        <f>IF(AZ106="","",'#orgDung'!GH107)</f>
        <v/>
      </c>
      <c r="BB106" s="1026" t="str">
        <f>IF(AZ106="","",'#orgDung'!GI107)</f>
        <v/>
      </c>
      <c r="BC106" s="1027" t="str">
        <f>IF(AZ106="","",'#orgDung'!GK107)</f>
        <v/>
      </c>
      <c r="BD106" s="1025"/>
      <c r="BE106" s="1026" t="str">
        <f>IF(BD106="","",'#orgDung'!GW107)</f>
        <v/>
      </c>
      <c r="BF106" s="1026" t="str">
        <f>IF(BD106="","",'#orgDung'!GX107)</f>
        <v/>
      </c>
      <c r="BG106" s="1027" t="str">
        <f>IF(BD106="","",'#orgDung'!GZ107)</f>
        <v/>
      </c>
      <c r="BH106" s="1025"/>
      <c r="BI106" s="1026" t="str">
        <f>IF(BH106="","",'#orgDung'!HL107)</f>
        <v/>
      </c>
      <c r="BJ106" s="1026" t="str">
        <f>IF(BH106="","",'#orgDung'!HM107)</f>
        <v/>
      </c>
      <c r="BK106" s="1027" t="str">
        <f>IF(BH106="","",'#orgDung'!HO107)</f>
        <v/>
      </c>
      <c r="BL106" s="1025"/>
      <c r="BM106" s="1026" t="str">
        <f>IF(BL106="","",'#orgDung'!IA107)</f>
        <v/>
      </c>
      <c r="BN106" s="1026" t="str">
        <f>IF(BL106="","",'#orgDung'!IB107)</f>
        <v/>
      </c>
      <c r="BO106" s="1027" t="str">
        <f>IF(BL106="","",'#orgDung'!ID107)</f>
        <v/>
      </c>
      <c r="BP106" s="1025"/>
      <c r="BQ106" s="1026" t="str">
        <f>IF(BP106="","",'#orgDung'!IP107)</f>
        <v/>
      </c>
      <c r="BR106" s="1026" t="str">
        <f>IF(BP106="","",'#orgDung'!IQ107)</f>
        <v/>
      </c>
      <c r="BS106" s="1027" t="str">
        <f>IF(BP106="","",'#orgDung'!IS107)</f>
        <v/>
      </c>
      <c r="BT106" s="1025"/>
      <c r="BU106" s="1026" t="str">
        <f>IF(BT106="","",'#orgDung'!JE107)</f>
        <v/>
      </c>
      <c r="BV106" s="1026" t="str">
        <f>IF(BT106="","",'#orgDung'!JF107)</f>
        <v/>
      </c>
      <c r="BW106" s="1027" t="str">
        <f>IF(BT106="","",'#orgDung'!JH107)</f>
        <v/>
      </c>
      <c r="BX106" s="1025"/>
      <c r="BY106" s="1026" t="str">
        <f>IF(BX106="","",'#orgDung'!JT107)</f>
        <v/>
      </c>
      <c r="BZ106" s="1026" t="str">
        <f>IF(BX106="","",'#orgDung'!JU107)</f>
        <v/>
      </c>
      <c r="CA106" s="1027" t="str">
        <f>IF(BX106="","",'#orgDung'!JW107)</f>
        <v/>
      </c>
      <c r="CB106" s="1025"/>
      <c r="CC106" s="1026" t="str">
        <f>IF(CB106="","",'#orgDung'!KI107)</f>
        <v/>
      </c>
      <c r="CD106" s="1026" t="str">
        <f>IF(CB106="","",'#orgDung'!KJ107)</f>
        <v/>
      </c>
      <c r="CE106" s="1027" t="str">
        <f>IF(CB106="","",'#orgDung'!KL107)</f>
        <v/>
      </c>
      <c r="CF106" s="1025"/>
      <c r="CG106" s="1026" t="str">
        <f>IF(CF106="","",'#orgDung'!KX107)</f>
        <v/>
      </c>
      <c r="CH106" s="1026" t="str">
        <f>IF(CF106="","",'#orgDung'!KY107)</f>
        <v/>
      </c>
      <c r="CI106" s="1027" t="str">
        <f>IF(CF106="","",'#orgDung'!LA107)</f>
        <v/>
      </c>
      <c r="CJ106" s="1025"/>
      <c r="CK106" s="1026" t="str">
        <f>IF(CJ106="","",'#orgDung'!LM107)</f>
        <v/>
      </c>
      <c r="CL106" s="1026" t="str">
        <f>IF(CJ106="","",'#orgDung'!LN107)</f>
        <v/>
      </c>
      <c r="CM106" s="1027" t="str">
        <f>IF(CJ106="","",'#orgDung'!LP107)</f>
        <v/>
      </c>
      <c r="CN106" s="1025"/>
      <c r="CO106" s="1026" t="str">
        <f>IF(CN106="","",'#orgDung'!MB107)</f>
        <v/>
      </c>
      <c r="CP106" s="1026" t="str">
        <f>IF(CN106="","",'#orgDung'!MC107)</f>
        <v/>
      </c>
      <c r="CQ106" s="1027" t="str">
        <f>IF(CN106="","",'#orgDung'!ME107)</f>
        <v/>
      </c>
      <c r="CR106" s="1025"/>
      <c r="CS106" s="1026" t="str">
        <f>IF(CR106="","",'#orgDung'!MQ107)</f>
        <v/>
      </c>
      <c r="CT106" s="1026" t="str">
        <f>IF(CR106="","",'#orgDung'!MR107)</f>
        <v/>
      </c>
      <c r="CU106" s="1027" t="str">
        <f>IF(CR106="","",'#orgDung'!MT107)</f>
        <v/>
      </c>
      <c r="CV106" s="1025"/>
      <c r="CW106" s="1026" t="str">
        <f>IF(CV106="","",'#orgDung'!NF107)</f>
        <v/>
      </c>
      <c r="CX106" s="1026" t="str">
        <f>IF(CV106="","",'#orgDung'!NG107)</f>
        <v/>
      </c>
      <c r="CY106" s="1027" t="str">
        <f>IF(CV106="","",'#orgDung'!NI107)</f>
        <v/>
      </c>
      <c r="CZ106" s="1025"/>
      <c r="DA106" s="1026" t="str">
        <f>IF(CZ106="","",'#orgDung'!NU107)</f>
        <v/>
      </c>
      <c r="DB106" s="1026" t="str">
        <f>IF(CZ106="","",'#orgDung'!NV107)</f>
        <v/>
      </c>
      <c r="DC106" s="1027" t="str">
        <f>IF(CZ106="","",'#orgDung'!NX107)</f>
        <v/>
      </c>
      <c r="DD106" s="1025"/>
      <c r="DE106" s="1026" t="str">
        <f>IF(DD106="","",'#orgDung'!OJ107)</f>
        <v/>
      </c>
      <c r="DF106" s="1026" t="str">
        <f>IF(DD106="","",'#orgDung'!OK107)</f>
        <v/>
      </c>
      <c r="DG106" s="1027" t="str">
        <f>IF(DD106="","",'#orgDung'!OM107)</f>
        <v/>
      </c>
      <c r="DH106" s="1025"/>
      <c r="DI106" s="1026" t="str">
        <f>IF(DH106="","",'#orgDung'!OY107)</f>
        <v/>
      </c>
      <c r="DJ106" s="1026" t="str">
        <f>IF(DH106="","",'#orgDung'!OZ107)</f>
        <v/>
      </c>
      <c r="DK106" s="1027" t="str">
        <f>IF(DH106="","",'#orgDung'!PB107)</f>
        <v/>
      </c>
      <c r="DL106" s="1025"/>
      <c r="DM106" s="1026" t="str">
        <f>IF(DL106="","",'#orgDung'!PN107)</f>
        <v/>
      </c>
      <c r="DN106" s="1026" t="str">
        <f>IF(DL106="","",'#orgDung'!PO107)</f>
        <v/>
      </c>
      <c r="DO106" s="1027" t="str">
        <f>IF(DL106="","",'#orgDung'!PQ107)</f>
        <v/>
      </c>
      <c r="DP106" s="1025"/>
      <c r="DQ106" s="1026" t="str">
        <f>IF(DP106="","",'#orgDung'!QC107)</f>
        <v/>
      </c>
      <c r="DR106" s="1026" t="str">
        <f>IF(DP106="","",'#orgDung'!QD107)</f>
        <v/>
      </c>
      <c r="DS106" s="1027" t="str">
        <f>IF(DP106="","",'#orgDung'!QF107)</f>
        <v/>
      </c>
      <c r="DT106" s="1025"/>
      <c r="DU106" s="1026" t="str">
        <f>IF(DT106="","",'#orgDung'!QR107)</f>
        <v/>
      </c>
      <c r="DV106" s="1026" t="str">
        <f>IF(DT106="","",'#orgDung'!QS107)</f>
        <v/>
      </c>
      <c r="DW106" s="1027" t="str">
        <f>IF(DT106="","",'#orgDung'!QU107)</f>
        <v/>
      </c>
      <c r="DX106" s="1025"/>
      <c r="DY106" s="1026" t="str">
        <f>IF(DX106="","",'#orgDung'!RG107)</f>
        <v/>
      </c>
      <c r="DZ106" s="1026" t="str">
        <f>IF(DX106="","",'#orgDung'!RH107)</f>
        <v/>
      </c>
      <c r="EA106" s="1027" t="str">
        <f>IF(DX106="","",'#orgDung'!RJ107)</f>
        <v/>
      </c>
    </row>
    <row r="107" spans="1:131" ht="15" customHeight="1" x14ac:dyDescent="0.2">
      <c r="A107" s="1195">
        <f>'Flächen u. Kulturen'!A104</f>
        <v>95</v>
      </c>
      <c r="B107" s="1195" t="str">
        <f>IF('Flächen u. Kulturen'!B104="","",'Flächen u. Kulturen'!B104)</f>
        <v/>
      </c>
      <c r="C107" s="1196" t="str">
        <f>IF('Flächen u. Kulturen'!D104="","",'Flächen u. Kulturen'!D104)</f>
        <v/>
      </c>
      <c r="D107" s="1197" t="str">
        <f>IF(C107="","",IF('#BerechnungDBE'!Q99&lt;4,"x",""))</f>
        <v/>
      </c>
      <c r="E107" s="1198" t="str">
        <f>IF(C107="","",VLOOKUP('Flächen u. Kulturen'!L104,'#Zweitfr'!$D$8:$F$28,'#Zweitfr'!$F$1,FALSE))</f>
        <v/>
      </c>
      <c r="F107" s="1199" t="str">
        <f>IF(C107="","",IF('Flächen u. Kulturen'!E104="x",'Flächen u. Kulturen'!P104,"nicht im Betrieb"))</f>
        <v/>
      </c>
      <c r="G107" s="1200" t="str">
        <f>IF(C107="","",IF('#orgDung'!C108=2,"--",IF('#Kürzungen'!$F$2=2,"--",'#orgDung'!R108)))</f>
        <v/>
      </c>
      <c r="H107" s="1200" t="str">
        <f>IF(C107="","",'#orgDung'!U108)</f>
        <v/>
      </c>
      <c r="I107" s="1201" t="str">
        <f>IF(C107="","",IF(COUNT('#orgDung'!RS108:SA108)=0,"OK",TRIM(CONCATENATE('#orgDung'!RS108," ",'#orgDung'!RT108," ",'#orgDung'!RU108," ",'#orgDung'!RV108," ",'#orgDung'!RW108," ",'#orgDung'!RX108," ",'#orgDung'!RY108," ",'#orgDung'!RZ108," ",'#orgDung'!SA108))))</f>
        <v/>
      </c>
      <c r="J107" s="1023"/>
      <c r="K107" s="1024"/>
      <c r="L107" s="1025"/>
      <c r="M107" s="1026" t="str">
        <f>IF(L107="","",'#orgDung'!AN108)</f>
        <v/>
      </c>
      <c r="N107" s="1026" t="str">
        <f>IF(L107="","",'#orgDung'!AO108)</f>
        <v/>
      </c>
      <c r="O107" s="1027" t="str">
        <f>IF(L107="","",'#orgDung'!AQ108)</f>
        <v/>
      </c>
      <c r="P107" s="1025"/>
      <c r="Q107" s="1026" t="str">
        <f>IF(P107="","",'#orgDung'!BC108)</f>
        <v/>
      </c>
      <c r="R107" s="1026" t="str">
        <f>IF(P107="","",'#orgDung'!BD108)</f>
        <v/>
      </c>
      <c r="S107" s="1027" t="str">
        <f>IF(P107="","",'#orgDung'!BF108)</f>
        <v/>
      </c>
      <c r="T107" s="1025"/>
      <c r="U107" s="1026" t="str">
        <f>IF(T107="","",'#orgDung'!BR108)</f>
        <v/>
      </c>
      <c r="V107" s="1026" t="str">
        <f>IF(T107="","",'#orgDung'!BS108)</f>
        <v/>
      </c>
      <c r="W107" s="1027" t="str">
        <f>IF(T107="","",'#orgDung'!BU108)</f>
        <v/>
      </c>
      <c r="X107" s="1025"/>
      <c r="Y107" s="1026" t="str">
        <f>IF(X107="","",'#orgDung'!CG108)</f>
        <v/>
      </c>
      <c r="Z107" s="1026" t="str">
        <f>IF(X107="","",'#orgDung'!CH108)</f>
        <v/>
      </c>
      <c r="AA107" s="1027" t="str">
        <f>IF(X107="","",'#orgDung'!CJ108)</f>
        <v/>
      </c>
      <c r="AB107" s="1025"/>
      <c r="AC107" s="1026" t="str">
        <f>IF(AB107="","",'#orgDung'!CV108)</f>
        <v/>
      </c>
      <c r="AD107" s="1026" t="str">
        <f>IF(AB107="","",'#orgDung'!CW108)</f>
        <v/>
      </c>
      <c r="AE107" s="1027" t="str">
        <f>IF(AB107="","",'#orgDung'!CY108)</f>
        <v/>
      </c>
      <c r="AF107" s="1025"/>
      <c r="AG107" s="1026" t="str">
        <f>IF(AF107="","",'#orgDung'!DK108)</f>
        <v/>
      </c>
      <c r="AH107" s="1026" t="str">
        <f>IF(AF107="","",'#orgDung'!DL108)</f>
        <v/>
      </c>
      <c r="AI107" s="1027" t="str">
        <f>IF(AF107="","",'#orgDung'!DN108)</f>
        <v/>
      </c>
      <c r="AJ107" s="1025"/>
      <c r="AK107" s="1026" t="str">
        <f>IF(AJ107="","",'#orgDung'!DZ108)</f>
        <v/>
      </c>
      <c r="AL107" s="1026" t="str">
        <f>IF(AJ107="","",'#orgDung'!EA108)</f>
        <v/>
      </c>
      <c r="AM107" s="1027" t="str">
        <f>IF(AJ107="","",'#orgDung'!EC108)</f>
        <v/>
      </c>
      <c r="AN107" s="1025"/>
      <c r="AO107" s="1026" t="str">
        <f>IF(AN107="","",'#orgDung'!EO108)</f>
        <v/>
      </c>
      <c r="AP107" s="1026" t="str">
        <f>IF(AN107="","",'#orgDung'!EP108)</f>
        <v/>
      </c>
      <c r="AQ107" s="1027" t="str">
        <f>IF(AN107="","",'#orgDung'!ER108)</f>
        <v/>
      </c>
      <c r="AR107" s="1025"/>
      <c r="AS107" s="1026" t="str">
        <f>IF(AR107="","",'#orgDung'!FD108)</f>
        <v/>
      </c>
      <c r="AT107" s="1026" t="str">
        <f>IF(AR107="","",'#orgDung'!FE108)</f>
        <v/>
      </c>
      <c r="AU107" s="1027" t="str">
        <f>IF(AR107="","",'#orgDung'!FG108)</f>
        <v/>
      </c>
      <c r="AV107" s="1025"/>
      <c r="AW107" s="1026" t="str">
        <f>IF(AV107="","",'#orgDung'!FS108)</f>
        <v/>
      </c>
      <c r="AX107" s="1026" t="str">
        <f>IF(AV107="","",'#orgDung'!FT108)</f>
        <v/>
      </c>
      <c r="AY107" s="1027" t="str">
        <f>IF(AV107="","",'#orgDung'!FV108)</f>
        <v/>
      </c>
      <c r="AZ107" s="1025"/>
      <c r="BA107" s="1026" t="str">
        <f>IF(AZ107="","",'#orgDung'!GH108)</f>
        <v/>
      </c>
      <c r="BB107" s="1026" t="str">
        <f>IF(AZ107="","",'#orgDung'!GI108)</f>
        <v/>
      </c>
      <c r="BC107" s="1027" t="str">
        <f>IF(AZ107="","",'#orgDung'!GK108)</f>
        <v/>
      </c>
      <c r="BD107" s="1025"/>
      <c r="BE107" s="1026" t="str">
        <f>IF(BD107="","",'#orgDung'!GW108)</f>
        <v/>
      </c>
      <c r="BF107" s="1026" t="str">
        <f>IF(BD107="","",'#orgDung'!GX108)</f>
        <v/>
      </c>
      <c r="BG107" s="1027" t="str">
        <f>IF(BD107="","",'#orgDung'!GZ108)</f>
        <v/>
      </c>
      <c r="BH107" s="1025"/>
      <c r="BI107" s="1026" t="str">
        <f>IF(BH107="","",'#orgDung'!HL108)</f>
        <v/>
      </c>
      <c r="BJ107" s="1026" t="str">
        <f>IF(BH107="","",'#orgDung'!HM108)</f>
        <v/>
      </c>
      <c r="BK107" s="1027" t="str">
        <f>IF(BH107="","",'#orgDung'!HO108)</f>
        <v/>
      </c>
      <c r="BL107" s="1025"/>
      <c r="BM107" s="1026" t="str">
        <f>IF(BL107="","",'#orgDung'!IA108)</f>
        <v/>
      </c>
      <c r="BN107" s="1026" t="str">
        <f>IF(BL107="","",'#orgDung'!IB108)</f>
        <v/>
      </c>
      <c r="BO107" s="1027" t="str">
        <f>IF(BL107="","",'#orgDung'!ID108)</f>
        <v/>
      </c>
      <c r="BP107" s="1025"/>
      <c r="BQ107" s="1026" t="str">
        <f>IF(BP107="","",'#orgDung'!IP108)</f>
        <v/>
      </c>
      <c r="BR107" s="1026" t="str">
        <f>IF(BP107="","",'#orgDung'!IQ108)</f>
        <v/>
      </c>
      <c r="BS107" s="1027" t="str">
        <f>IF(BP107="","",'#orgDung'!IS108)</f>
        <v/>
      </c>
      <c r="BT107" s="1025"/>
      <c r="BU107" s="1026" t="str">
        <f>IF(BT107="","",'#orgDung'!JE108)</f>
        <v/>
      </c>
      <c r="BV107" s="1026" t="str">
        <f>IF(BT107="","",'#orgDung'!JF108)</f>
        <v/>
      </c>
      <c r="BW107" s="1027" t="str">
        <f>IF(BT107="","",'#orgDung'!JH108)</f>
        <v/>
      </c>
      <c r="BX107" s="1025"/>
      <c r="BY107" s="1026" t="str">
        <f>IF(BX107="","",'#orgDung'!JT108)</f>
        <v/>
      </c>
      <c r="BZ107" s="1026" t="str">
        <f>IF(BX107="","",'#orgDung'!JU108)</f>
        <v/>
      </c>
      <c r="CA107" s="1027" t="str">
        <f>IF(BX107="","",'#orgDung'!JW108)</f>
        <v/>
      </c>
      <c r="CB107" s="1025"/>
      <c r="CC107" s="1026" t="str">
        <f>IF(CB107="","",'#orgDung'!KI108)</f>
        <v/>
      </c>
      <c r="CD107" s="1026" t="str">
        <f>IF(CB107="","",'#orgDung'!KJ108)</f>
        <v/>
      </c>
      <c r="CE107" s="1027" t="str">
        <f>IF(CB107="","",'#orgDung'!KL108)</f>
        <v/>
      </c>
      <c r="CF107" s="1025"/>
      <c r="CG107" s="1026" t="str">
        <f>IF(CF107="","",'#orgDung'!KX108)</f>
        <v/>
      </c>
      <c r="CH107" s="1026" t="str">
        <f>IF(CF107="","",'#orgDung'!KY108)</f>
        <v/>
      </c>
      <c r="CI107" s="1027" t="str">
        <f>IF(CF107="","",'#orgDung'!LA108)</f>
        <v/>
      </c>
      <c r="CJ107" s="1025"/>
      <c r="CK107" s="1026" t="str">
        <f>IF(CJ107="","",'#orgDung'!LM108)</f>
        <v/>
      </c>
      <c r="CL107" s="1026" t="str">
        <f>IF(CJ107="","",'#orgDung'!LN108)</f>
        <v/>
      </c>
      <c r="CM107" s="1027" t="str">
        <f>IF(CJ107="","",'#orgDung'!LP108)</f>
        <v/>
      </c>
      <c r="CN107" s="1025"/>
      <c r="CO107" s="1026" t="str">
        <f>IF(CN107="","",'#orgDung'!MB108)</f>
        <v/>
      </c>
      <c r="CP107" s="1026" t="str">
        <f>IF(CN107="","",'#orgDung'!MC108)</f>
        <v/>
      </c>
      <c r="CQ107" s="1027" t="str">
        <f>IF(CN107="","",'#orgDung'!ME108)</f>
        <v/>
      </c>
      <c r="CR107" s="1025"/>
      <c r="CS107" s="1026" t="str">
        <f>IF(CR107="","",'#orgDung'!MQ108)</f>
        <v/>
      </c>
      <c r="CT107" s="1026" t="str">
        <f>IF(CR107="","",'#orgDung'!MR108)</f>
        <v/>
      </c>
      <c r="CU107" s="1027" t="str">
        <f>IF(CR107="","",'#orgDung'!MT108)</f>
        <v/>
      </c>
      <c r="CV107" s="1025"/>
      <c r="CW107" s="1026" t="str">
        <f>IF(CV107="","",'#orgDung'!NF108)</f>
        <v/>
      </c>
      <c r="CX107" s="1026" t="str">
        <f>IF(CV107="","",'#orgDung'!NG108)</f>
        <v/>
      </c>
      <c r="CY107" s="1027" t="str">
        <f>IF(CV107="","",'#orgDung'!NI108)</f>
        <v/>
      </c>
      <c r="CZ107" s="1025"/>
      <c r="DA107" s="1026" t="str">
        <f>IF(CZ107="","",'#orgDung'!NU108)</f>
        <v/>
      </c>
      <c r="DB107" s="1026" t="str">
        <f>IF(CZ107="","",'#orgDung'!NV108)</f>
        <v/>
      </c>
      <c r="DC107" s="1027" t="str">
        <f>IF(CZ107="","",'#orgDung'!NX108)</f>
        <v/>
      </c>
      <c r="DD107" s="1025"/>
      <c r="DE107" s="1026" t="str">
        <f>IF(DD107="","",'#orgDung'!OJ108)</f>
        <v/>
      </c>
      <c r="DF107" s="1026" t="str">
        <f>IF(DD107="","",'#orgDung'!OK108)</f>
        <v/>
      </c>
      <c r="DG107" s="1027" t="str">
        <f>IF(DD107="","",'#orgDung'!OM108)</f>
        <v/>
      </c>
      <c r="DH107" s="1025"/>
      <c r="DI107" s="1026" t="str">
        <f>IF(DH107="","",'#orgDung'!OY108)</f>
        <v/>
      </c>
      <c r="DJ107" s="1026" t="str">
        <f>IF(DH107="","",'#orgDung'!OZ108)</f>
        <v/>
      </c>
      <c r="DK107" s="1027" t="str">
        <f>IF(DH107="","",'#orgDung'!PB108)</f>
        <v/>
      </c>
      <c r="DL107" s="1025"/>
      <c r="DM107" s="1026" t="str">
        <f>IF(DL107="","",'#orgDung'!PN108)</f>
        <v/>
      </c>
      <c r="DN107" s="1026" t="str">
        <f>IF(DL107="","",'#orgDung'!PO108)</f>
        <v/>
      </c>
      <c r="DO107" s="1027" t="str">
        <f>IF(DL107="","",'#orgDung'!PQ108)</f>
        <v/>
      </c>
      <c r="DP107" s="1025"/>
      <c r="DQ107" s="1026" t="str">
        <f>IF(DP107="","",'#orgDung'!QC108)</f>
        <v/>
      </c>
      <c r="DR107" s="1026" t="str">
        <f>IF(DP107="","",'#orgDung'!QD108)</f>
        <v/>
      </c>
      <c r="DS107" s="1027" t="str">
        <f>IF(DP107="","",'#orgDung'!QF108)</f>
        <v/>
      </c>
      <c r="DT107" s="1025"/>
      <c r="DU107" s="1026" t="str">
        <f>IF(DT107="","",'#orgDung'!QR108)</f>
        <v/>
      </c>
      <c r="DV107" s="1026" t="str">
        <f>IF(DT107="","",'#orgDung'!QS108)</f>
        <v/>
      </c>
      <c r="DW107" s="1027" t="str">
        <f>IF(DT107="","",'#orgDung'!QU108)</f>
        <v/>
      </c>
      <c r="DX107" s="1025"/>
      <c r="DY107" s="1026" t="str">
        <f>IF(DX107="","",'#orgDung'!RG108)</f>
        <v/>
      </c>
      <c r="DZ107" s="1026" t="str">
        <f>IF(DX107="","",'#orgDung'!RH108)</f>
        <v/>
      </c>
      <c r="EA107" s="1027" t="str">
        <f>IF(DX107="","",'#orgDung'!RJ108)</f>
        <v/>
      </c>
    </row>
    <row r="108" spans="1:131" ht="15" customHeight="1" x14ac:dyDescent="0.2">
      <c r="A108" s="1195">
        <f>'Flächen u. Kulturen'!A105</f>
        <v>96</v>
      </c>
      <c r="B108" s="1195" t="str">
        <f>IF('Flächen u. Kulturen'!B105="","",'Flächen u. Kulturen'!B105)</f>
        <v/>
      </c>
      <c r="C108" s="1196" t="str">
        <f>IF('Flächen u. Kulturen'!D105="","",'Flächen u. Kulturen'!D105)</f>
        <v/>
      </c>
      <c r="D108" s="1197" t="str">
        <f>IF(C108="","",IF('#BerechnungDBE'!Q100&lt;4,"x",""))</f>
        <v/>
      </c>
      <c r="E108" s="1198" t="str">
        <f>IF(C108="","",VLOOKUP('Flächen u. Kulturen'!L105,'#Zweitfr'!$D$8:$F$28,'#Zweitfr'!$F$1,FALSE))</f>
        <v/>
      </c>
      <c r="F108" s="1199" t="str">
        <f>IF(C108="","",IF('Flächen u. Kulturen'!E105="x",'Flächen u. Kulturen'!P105,"nicht im Betrieb"))</f>
        <v/>
      </c>
      <c r="G108" s="1200" t="str">
        <f>IF(C108="","",IF('#orgDung'!C109=2,"--",IF('#Kürzungen'!$F$2=2,"--",'#orgDung'!R109)))</f>
        <v/>
      </c>
      <c r="H108" s="1200" t="str">
        <f>IF(C108="","",'#orgDung'!U109)</f>
        <v/>
      </c>
      <c r="I108" s="1201" t="str">
        <f>IF(C108="","",IF(COUNT('#orgDung'!RS109:SA109)=0,"OK",TRIM(CONCATENATE('#orgDung'!RS109," ",'#orgDung'!RT109," ",'#orgDung'!RU109," ",'#orgDung'!RV109," ",'#orgDung'!RW109," ",'#orgDung'!RX109," ",'#orgDung'!RY109," ",'#orgDung'!RZ109," ",'#orgDung'!SA109))))</f>
        <v/>
      </c>
      <c r="J108" s="1023"/>
      <c r="K108" s="1024"/>
      <c r="L108" s="1025"/>
      <c r="M108" s="1026" t="str">
        <f>IF(L108="","",'#orgDung'!AN109)</f>
        <v/>
      </c>
      <c r="N108" s="1026" t="str">
        <f>IF(L108="","",'#orgDung'!AO109)</f>
        <v/>
      </c>
      <c r="O108" s="1027" t="str">
        <f>IF(L108="","",'#orgDung'!AQ109)</f>
        <v/>
      </c>
      <c r="P108" s="1025"/>
      <c r="Q108" s="1026" t="str">
        <f>IF(P108="","",'#orgDung'!BC109)</f>
        <v/>
      </c>
      <c r="R108" s="1026" t="str">
        <f>IF(P108="","",'#orgDung'!BD109)</f>
        <v/>
      </c>
      <c r="S108" s="1027" t="str">
        <f>IF(P108="","",'#orgDung'!BF109)</f>
        <v/>
      </c>
      <c r="T108" s="1025"/>
      <c r="U108" s="1026" t="str">
        <f>IF(T108="","",'#orgDung'!BR109)</f>
        <v/>
      </c>
      <c r="V108" s="1026" t="str">
        <f>IF(T108="","",'#orgDung'!BS109)</f>
        <v/>
      </c>
      <c r="W108" s="1027" t="str">
        <f>IF(T108="","",'#orgDung'!BU109)</f>
        <v/>
      </c>
      <c r="X108" s="1025"/>
      <c r="Y108" s="1026" t="str">
        <f>IF(X108="","",'#orgDung'!CG109)</f>
        <v/>
      </c>
      <c r="Z108" s="1026" t="str">
        <f>IF(X108="","",'#orgDung'!CH109)</f>
        <v/>
      </c>
      <c r="AA108" s="1027" t="str">
        <f>IF(X108="","",'#orgDung'!CJ109)</f>
        <v/>
      </c>
      <c r="AB108" s="1025"/>
      <c r="AC108" s="1026" t="str">
        <f>IF(AB108="","",'#orgDung'!CV109)</f>
        <v/>
      </c>
      <c r="AD108" s="1026" t="str">
        <f>IF(AB108="","",'#orgDung'!CW109)</f>
        <v/>
      </c>
      <c r="AE108" s="1027" t="str">
        <f>IF(AB108="","",'#orgDung'!CY109)</f>
        <v/>
      </c>
      <c r="AF108" s="1025"/>
      <c r="AG108" s="1026" t="str">
        <f>IF(AF108="","",'#orgDung'!DK109)</f>
        <v/>
      </c>
      <c r="AH108" s="1026" t="str">
        <f>IF(AF108="","",'#orgDung'!DL109)</f>
        <v/>
      </c>
      <c r="AI108" s="1027" t="str">
        <f>IF(AF108="","",'#orgDung'!DN109)</f>
        <v/>
      </c>
      <c r="AJ108" s="1025"/>
      <c r="AK108" s="1026" t="str">
        <f>IF(AJ108="","",'#orgDung'!DZ109)</f>
        <v/>
      </c>
      <c r="AL108" s="1026" t="str">
        <f>IF(AJ108="","",'#orgDung'!EA109)</f>
        <v/>
      </c>
      <c r="AM108" s="1027" t="str">
        <f>IF(AJ108="","",'#orgDung'!EC109)</f>
        <v/>
      </c>
      <c r="AN108" s="1025"/>
      <c r="AO108" s="1026" t="str">
        <f>IF(AN108="","",'#orgDung'!EO109)</f>
        <v/>
      </c>
      <c r="AP108" s="1026" t="str">
        <f>IF(AN108="","",'#orgDung'!EP109)</f>
        <v/>
      </c>
      <c r="AQ108" s="1027" t="str">
        <f>IF(AN108="","",'#orgDung'!ER109)</f>
        <v/>
      </c>
      <c r="AR108" s="1025"/>
      <c r="AS108" s="1026" t="str">
        <f>IF(AR108="","",'#orgDung'!FD109)</f>
        <v/>
      </c>
      <c r="AT108" s="1026" t="str">
        <f>IF(AR108="","",'#orgDung'!FE109)</f>
        <v/>
      </c>
      <c r="AU108" s="1027" t="str">
        <f>IF(AR108="","",'#orgDung'!FG109)</f>
        <v/>
      </c>
      <c r="AV108" s="1025"/>
      <c r="AW108" s="1026" t="str">
        <f>IF(AV108="","",'#orgDung'!FS109)</f>
        <v/>
      </c>
      <c r="AX108" s="1026" t="str">
        <f>IF(AV108="","",'#orgDung'!FT109)</f>
        <v/>
      </c>
      <c r="AY108" s="1027" t="str">
        <f>IF(AV108="","",'#orgDung'!FV109)</f>
        <v/>
      </c>
      <c r="AZ108" s="1025"/>
      <c r="BA108" s="1026" t="str">
        <f>IF(AZ108="","",'#orgDung'!GH109)</f>
        <v/>
      </c>
      <c r="BB108" s="1026" t="str">
        <f>IF(AZ108="","",'#orgDung'!GI109)</f>
        <v/>
      </c>
      <c r="BC108" s="1027" t="str">
        <f>IF(AZ108="","",'#orgDung'!GK109)</f>
        <v/>
      </c>
      <c r="BD108" s="1025"/>
      <c r="BE108" s="1026" t="str">
        <f>IF(BD108="","",'#orgDung'!GW109)</f>
        <v/>
      </c>
      <c r="BF108" s="1026" t="str">
        <f>IF(BD108="","",'#orgDung'!GX109)</f>
        <v/>
      </c>
      <c r="BG108" s="1027" t="str">
        <f>IF(BD108="","",'#orgDung'!GZ109)</f>
        <v/>
      </c>
      <c r="BH108" s="1025"/>
      <c r="BI108" s="1026" t="str">
        <f>IF(BH108="","",'#orgDung'!HL109)</f>
        <v/>
      </c>
      <c r="BJ108" s="1026" t="str">
        <f>IF(BH108="","",'#orgDung'!HM109)</f>
        <v/>
      </c>
      <c r="BK108" s="1027" t="str">
        <f>IF(BH108="","",'#orgDung'!HO109)</f>
        <v/>
      </c>
      <c r="BL108" s="1025"/>
      <c r="BM108" s="1026" t="str">
        <f>IF(BL108="","",'#orgDung'!IA109)</f>
        <v/>
      </c>
      <c r="BN108" s="1026" t="str">
        <f>IF(BL108="","",'#orgDung'!IB109)</f>
        <v/>
      </c>
      <c r="BO108" s="1027" t="str">
        <f>IF(BL108="","",'#orgDung'!ID109)</f>
        <v/>
      </c>
      <c r="BP108" s="1025"/>
      <c r="BQ108" s="1026" t="str">
        <f>IF(BP108="","",'#orgDung'!IP109)</f>
        <v/>
      </c>
      <c r="BR108" s="1026" t="str">
        <f>IF(BP108="","",'#orgDung'!IQ109)</f>
        <v/>
      </c>
      <c r="BS108" s="1027" t="str">
        <f>IF(BP108="","",'#orgDung'!IS109)</f>
        <v/>
      </c>
      <c r="BT108" s="1025"/>
      <c r="BU108" s="1026" t="str">
        <f>IF(BT108="","",'#orgDung'!JE109)</f>
        <v/>
      </c>
      <c r="BV108" s="1026" t="str">
        <f>IF(BT108="","",'#orgDung'!JF109)</f>
        <v/>
      </c>
      <c r="BW108" s="1027" t="str">
        <f>IF(BT108="","",'#orgDung'!JH109)</f>
        <v/>
      </c>
      <c r="BX108" s="1025"/>
      <c r="BY108" s="1026" t="str">
        <f>IF(BX108="","",'#orgDung'!JT109)</f>
        <v/>
      </c>
      <c r="BZ108" s="1026" t="str">
        <f>IF(BX108="","",'#orgDung'!JU109)</f>
        <v/>
      </c>
      <c r="CA108" s="1027" t="str">
        <f>IF(BX108="","",'#orgDung'!JW109)</f>
        <v/>
      </c>
      <c r="CB108" s="1025"/>
      <c r="CC108" s="1026" t="str">
        <f>IF(CB108="","",'#orgDung'!KI109)</f>
        <v/>
      </c>
      <c r="CD108" s="1026" t="str">
        <f>IF(CB108="","",'#orgDung'!KJ109)</f>
        <v/>
      </c>
      <c r="CE108" s="1027" t="str">
        <f>IF(CB108="","",'#orgDung'!KL109)</f>
        <v/>
      </c>
      <c r="CF108" s="1025"/>
      <c r="CG108" s="1026" t="str">
        <f>IF(CF108="","",'#orgDung'!KX109)</f>
        <v/>
      </c>
      <c r="CH108" s="1026" t="str">
        <f>IF(CF108="","",'#orgDung'!KY109)</f>
        <v/>
      </c>
      <c r="CI108" s="1027" t="str">
        <f>IF(CF108="","",'#orgDung'!LA109)</f>
        <v/>
      </c>
      <c r="CJ108" s="1025"/>
      <c r="CK108" s="1026" t="str">
        <f>IF(CJ108="","",'#orgDung'!LM109)</f>
        <v/>
      </c>
      <c r="CL108" s="1026" t="str">
        <f>IF(CJ108="","",'#orgDung'!LN109)</f>
        <v/>
      </c>
      <c r="CM108" s="1027" t="str">
        <f>IF(CJ108="","",'#orgDung'!LP109)</f>
        <v/>
      </c>
      <c r="CN108" s="1025"/>
      <c r="CO108" s="1026" t="str">
        <f>IF(CN108="","",'#orgDung'!MB109)</f>
        <v/>
      </c>
      <c r="CP108" s="1026" t="str">
        <f>IF(CN108="","",'#orgDung'!MC109)</f>
        <v/>
      </c>
      <c r="CQ108" s="1027" t="str">
        <f>IF(CN108="","",'#orgDung'!ME109)</f>
        <v/>
      </c>
      <c r="CR108" s="1025"/>
      <c r="CS108" s="1026" t="str">
        <f>IF(CR108="","",'#orgDung'!MQ109)</f>
        <v/>
      </c>
      <c r="CT108" s="1026" t="str">
        <f>IF(CR108="","",'#orgDung'!MR109)</f>
        <v/>
      </c>
      <c r="CU108" s="1027" t="str">
        <f>IF(CR108="","",'#orgDung'!MT109)</f>
        <v/>
      </c>
      <c r="CV108" s="1025"/>
      <c r="CW108" s="1026" t="str">
        <f>IF(CV108="","",'#orgDung'!NF109)</f>
        <v/>
      </c>
      <c r="CX108" s="1026" t="str">
        <f>IF(CV108="","",'#orgDung'!NG109)</f>
        <v/>
      </c>
      <c r="CY108" s="1027" t="str">
        <f>IF(CV108="","",'#orgDung'!NI109)</f>
        <v/>
      </c>
      <c r="CZ108" s="1025"/>
      <c r="DA108" s="1026" t="str">
        <f>IF(CZ108="","",'#orgDung'!NU109)</f>
        <v/>
      </c>
      <c r="DB108" s="1026" t="str">
        <f>IF(CZ108="","",'#orgDung'!NV109)</f>
        <v/>
      </c>
      <c r="DC108" s="1027" t="str">
        <f>IF(CZ108="","",'#orgDung'!NX109)</f>
        <v/>
      </c>
      <c r="DD108" s="1025"/>
      <c r="DE108" s="1026" t="str">
        <f>IF(DD108="","",'#orgDung'!OJ109)</f>
        <v/>
      </c>
      <c r="DF108" s="1026" t="str">
        <f>IF(DD108="","",'#orgDung'!OK109)</f>
        <v/>
      </c>
      <c r="DG108" s="1027" t="str">
        <f>IF(DD108="","",'#orgDung'!OM109)</f>
        <v/>
      </c>
      <c r="DH108" s="1025"/>
      <c r="DI108" s="1026" t="str">
        <f>IF(DH108="","",'#orgDung'!OY109)</f>
        <v/>
      </c>
      <c r="DJ108" s="1026" t="str">
        <f>IF(DH108="","",'#orgDung'!OZ109)</f>
        <v/>
      </c>
      <c r="DK108" s="1027" t="str">
        <f>IF(DH108="","",'#orgDung'!PB109)</f>
        <v/>
      </c>
      <c r="DL108" s="1025"/>
      <c r="DM108" s="1026" t="str">
        <f>IF(DL108="","",'#orgDung'!PN109)</f>
        <v/>
      </c>
      <c r="DN108" s="1026" t="str">
        <f>IF(DL108="","",'#orgDung'!PO109)</f>
        <v/>
      </c>
      <c r="DO108" s="1027" t="str">
        <f>IF(DL108="","",'#orgDung'!PQ109)</f>
        <v/>
      </c>
      <c r="DP108" s="1025"/>
      <c r="DQ108" s="1026" t="str">
        <f>IF(DP108="","",'#orgDung'!QC109)</f>
        <v/>
      </c>
      <c r="DR108" s="1026" t="str">
        <f>IF(DP108="","",'#orgDung'!QD109)</f>
        <v/>
      </c>
      <c r="DS108" s="1027" t="str">
        <f>IF(DP108="","",'#orgDung'!QF109)</f>
        <v/>
      </c>
      <c r="DT108" s="1025"/>
      <c r="DU108" s="1026" t="str">
        <f>IF(DT108="","",'#orgDung'!QR109)</f>
        <v/>
      </c>
      <c r="DV108" s="1026" t="str">
        <f>IF(DT108="","",'#orgDung'!QS109)</f>
        <v/>
      </c>
      <c r="DW108" s="1027" t="str">
        <f>IF(DT108="","",'#orgDung'!QU109)</f>
        <v/>
      </c>
      <c r="DX108" s="1025"/>
      <c r="DY108" s="1026" t="str">
        <f>IF(DX108="","",'#orgDung'!RG109)</f>
        <v/>
      </c>
      <c r="DZ108" s="1026" t="str">
        <f>IF(DX108="","",'#orgDung'!RH109)</f>
        <v/>
      </c>
      <c r="EA108" s="1027" t="str">
        <f>IF(DX108="","",'#orgDung'!RJ109)</f>
        <v/>
      </c>
    </row>
    <row r="109" spans="1:131" ht="15" customHeight="1" x14ac:dyDescent="0.2">
      <c r="A109" s="1195">
        <f>'Flächen u. Kulturen'!A106</f>
        <v>97</v>
      </c>
      <c r="B109" s="1195" t="str">
        <f>IF('Flächen u. Kulturen'!B106="","",'Flächen u. Kulturen'!B106)</f>
        <v/>
      </c>
      <c r="C109" s="1196" t="str">
        <f>IF('Flächen u. Kulturen'!D106="","",'Flächen u. Kulturen'!D106)</f>
        <v/>
      </c>
      <c r="D109" s="1197" t="str">
        <f>IF(C109="","",IF('#BerechnungDBE'!Q101&lt;4,"x",""))</f>
        <v/>
      </c>
      <c r="E109" s="1198" t="str">
        <f>IF(C109="","",VLOOKUP('Flächen u. Kulturen'!L106,'#Zweitfr'!$D$8:$F$28,'#Zweitfr'!$F$1,FALSE))</f>
        <v/>
      </c>
      <c r="F109" s="1199" t="str">
        <f>IF(C109="","",IF('Flächen u. Kulturen'!E106="x",'Flächen u. Kulturen'!P106,"nicht im Betrieb"))</f>
        <v/>
      </c>
      <c r="G109" s="1200" t="str">
        <f>IF(C109="","",IF('#orgDung'!C110=2,"--",IF('#Kürzungen'!$F$2=2,"--",'#orgDung'!R110)))</f>
        <v/>
      </c>
      <c r="H109" s="1200" t="str">
        <f>IF(C109="","",'#orgDung'!U110)</f>
        <v/>
      </c>
      <c r="I109" s="1201" t="str">
        <f>IF(C109="","",IF(COUNT('#orgDung'!RS110:SA110)=0,"OK",TRIM(CONCATENATE('#orgDung'!RS110," ",'#orgDung'!RT110," ",'#orgDung'!RU110," ",'#orgDung'!RV110," ",'#orgDung'!RW110," ",'#orgDung'!RX110," ",'#orgDung'!RY110," ",'#orgDung'!RZ110," ",'#orgDung'!SA110))))</f>
        <v/>
      </c>
      <c r="J109" s="1023"/>
      <c r="K109" s="1024"/>
      <c r="L109" s="1025"/>
      <c r="M109" s="1026" t="str">
        <f>IF(L109="","",'#orgDung'!AN110)</f>
        <v/>
      </c>
      <c r="N109" s="1026" t="str">
        <f>IF(L109="","",'#orgDung'!AO110)</f>
        <v/>
      </c>
      <c r="O109" s="1027" t="str">
        <f>IF(L109="","",'#orgDung'!AQ110)</f>
        <v/>
      </c>
      <c r="P109" s="1025"/>
      <c r="Q109" s="1026" t="str">
        <f>IF(P109="","",'#orgDung'!BC110)</f>
        <v/>
      </c>
      <c r="R109" s="1026" t="str">
        <f>IF(P109="","",'#orgDung'!BD110)</f>
        <v/>
      </c>
      <c r="S109" s="1027" t="str">
        <f>IF(P109="","",'#orgDung'!BF110)</f>
        <v/>
      </c>
      <c r="T109" s="1025"/>
      <c r="U109" s="1026" t="str">
        <f>IF(T109="","",'#orgDung'!BR110)</f>
        <v/>
      </c>
      <c r="V109" s="1026" t="str">
        <f>IF(T109="","",'#orgDung'!BS110)</f>
        <v/>
      </c>
      <c r="W109" s="1027" t="str">
        <f>IF(T109="","",'#orgDung'!BU110)</f>
        <v/>
      </c>
      <c r="X109" s="1025"/>
      <c r="Y109" s="1026" t="str">
        <f>IF(X109="","",'#orgDung'!CG110)</f>
        <v/>
      </c>
      <c r="Z109" s="1026" t="str">
        <f>IF(X109="","",'#orgDung'!CH110)</f>
        <v/>
      </c>
      <c r="AA109" s="1027" t="str">
        <f>IF(X109="","",'#orgDung'!CJ110)</f>
        <v/>
      </c>
      <c r="AB109" s="1025"/>
      <c r="AC109" s="1026" t="str">
        <f>IF(AB109="","",'#orgDung'!CV110)</f>
        <v/>
      </c>
      <c r="AD109" s="1026" t="str">
        <f>IF(AB109="","",'#orgDung'!CW110)</f>
        <v/>
      </c>
      <c r="AE109" s="1027" t="str">
        <f>IF(AB109="","",'#orgDung'!CY110)</f>
        <v/>
      </c>
      <c r="AF109" s="1025"/>
      <c r="AG109" s="1026" t="str">
        <f>IF(AF109="","",'#orgDung'!DK110)</f>
        <v/>
      </c>
      <c r="AH109" s="1026" t="str">
        <f>IF(AF109="","",'#orgDung'!DL110)</f>
        <v/>
      </c>
      <c r="AI109" s="1027" t="str">
        <f>IF(AF109="","",'#orgDung'!DN110)</f>
        <v/>
      </c>
      <c r="AJ109" s="1025"/>
      <c r="AK109" s="1026" t="str">
        <f>IF(AJ109="","",'#orgDung'!DZ110)</f>
        <v/>
      </c>
      <c r="AL109" s="1026" t="str">
        <f>IF(AJ109="","",'#orgDung'!EA110)</f>
        <v/>
      </c>
      <c r="AM109" s="1027" t="str">
        <f>IF(AJ109="","",'#orgDung'!EC110)</f>
        <v/>
      </c>
      <c r="AN109" s="1025"/>
      <c r="AO109" s="1026" t="str">
        <f>IF(AN109="","",'#orgDung'!EO110)</f>
        <v/>
      </c>
      <c r="AP109" s="1026" t="str">
        <f>IF(AN109="","",'#orgDung'!EP110)</f>
        <v/>
      </c>
      <c r="AQ109" s="1027" t="str">
        <f>IF(AN109="","",'#orgDung'!ER110)</f>
        <v/>
      </c>
      <c r="AR109" s="1025"/>
      <c r="AS109" s="1026" t="str">
        <f>IF(AR109="","",'#orgDung'!FD110)</f>
        <v/>
      </c>
      <c r="AT109" s="1026" t="str">
        <f>IF(AR109="","",'#orgDung'!FE110)</f>
        <v/>
      </c>
      <c r="AU109" s="1027" t="str">
        <f>IF(AR109="","",'#orgDung'!FG110)</f>
        <v/>
      </c>
      <c r="AV109" s="1025"/>
      <c r="AW109" s="1026" t="str">
        <f>IF(AV109="","",'#orgDung'!FS110)</f>
        <v/>
      </c>
      <c r="AX109" s="1026" t="str">
        <f>IF(AV109="","",'#orgDung'!FT110)</f>
        <v/>
      </c>
      <c r="AY109" s="1027" t="str">
        <f>IF(AV109="","",'#orgDung'!FV110)</f>
        <v/>
      </c>
      <c r="AZ109" s="1025"/>
      <c r="BA109" s="1026" t="str">
        <f>IF(AZ109="","",'#orgDung'!GH110)</f>
        <v/>
      </c>
      <c r="BB109" s="1026" t="str">
        <f>IF(AZ109="","",'#orgDung'!GI110)</f>
        <v/>
      </c>
      <c r="BC109" s="1027" t="str">
        <f>IF(AZ109="","",'#orgDung'!GK110)</f>
        <v/>
      </c>
      <c r="BD109" s="1025"/>
      <c r="BE109" s="1026" t="str">
        <f>IF(BD109="","",'#orgDung'!GW110)</f>
        <v/>
      </c>
      <c r="BF109" s="1026" t="str">
        <f>IF(BD109="","",'#orgDung'!GX110)</f>
        <v/>
      </c>
      <c r="BG109" s="1027" t="str">
        <f>IF(BD109="","",'#orgDung'!GZ110)</f>
        <v/>
      </c>
      <c r="BH109" s="1025"/>
      <c r="BI109" s="1026" t="str">
        <f>IF(BH109="","",'#orgDung'!HL110)</f>
        <v/>
      </c>
      <c r="BJ109" s="1026" t="str">
        <f>IF(BH109="","",'#orgDung'!HM110)</f>
        <v/>
      </c>
      <c r="BK109" s="1027" t="str">
        <f>IF(BH109="","",'#orgDung'!HO110)</f>
        <v/>
      </c>
      <c r="BL109" s="1025"/>
      <c r="BM109" s="1026" t="str">
        <f>IF(BL109="","",'#orgDung'!IA110)</f>
        <v/>
      </c>
      <c r="BN109" s="1026" t="str">
        <f>IF(BL109="","",'#orgDung'!IB110)</f>
        <v/>
      </c>
      <c r="BO109" s="1027" t="str">
        <f>IF(BL109="","",'#orgDung'!ID110)</f>
        <v/>
      </c>
      <c r="BP109" s="1025"/>
      <c r="BQ109" s="1026" t="str">
        <f>IF(BP109="","",'#orgDung'!IP110)</f>
        <v/>
      </c>
      <c r="BR109" s="1026" t="str">
        <f>IF(BP109="","",'#orgDung'!IQ110)</f>
        <v/>
      </c>
      <c r="BS109" s="1027" t="str">
        <f>IF(BP109="","",'#orgDung'!IS110)</f>
        <v/>
      </c>
      <c r="BT109" s="1025"/>
      <c r="BU109" s="1026" t="str">
        <f>IF(BT109="","",'#orgDung'!JE110)</f>
        <v/>
      </c>
      <c r="BV109" s="1026" t="str">
        <f>IF(BT109="","",'#orgDung'!JF110)</f>
        <v/>
      </c>
      <c r="BW109" s="1027" t="str">
        <f>IF(BT109="","",'#orgDung'!JH110)</f>
        <v/>
      </c>
      <c r="BX109" s="1025"/>
      <c r="BY109" s="1026" t="str">
        <f>IF(BX109="","",'#orgDung'!JT110)</f>
        <v/>
      </c>
      <c r="BZ109" s="1026" t="str">
        <f>IF(BX109="","",'#orgDung'!JU110)</f>
        <v/>
      </c>
      <c r="CA109" s="1027" t="str">
        <f>IF(BX109="","",'#orgDung'!JW110)</f>
        <v/>
      </c>
      <c r="CB109" s="1025"/>
      <c r="CC109" s="1026" t="str">
        <f>IF(CB109="","",'#orgDung'!KI110)</f>
        <v/>
      </c>
      <c r="CD109" s="1026" t="str">
        <f>IF(CB109="","",'#orgDung'!KJ110)</f>
        <v/>
      </c>
      <c r="CE109" s="1027" t="str">
        <f>IF(CB109="","",'#orgDung'!KL110)</f>
        <v/>
      </c>
      <c r="CF109" s="1025"/>
      <c r="CG109" s="1026" t="str">
        <f>IF(CF109="","",'#orgDung'!KX110)</f>
        <v/>
      </c>
      <c r="CH109" s="1026" t="str">
        <f>IF(CF109="","",'#orgDung'!KY110)</f>
        <v/>
      </c>
      <c r="CI109" s="1027" t="str">
        <f>IF(CF109="","",'#orgDung'!LA110)</f>
        <v/>
      </c>
      <c r="CJ109" s="1025"/>
      <c r="CK109" s="1026" t="str">
        <f>IF(CJ109="","",'#orgDung'!LM110)</f>
        <v/>
      </c>
      <c r="CL109" s="1026" t="str">
        <f>IF(CJ109="","",'#orgDung'!LN110)</f>
        <v/>
      </c>
      <c r="CM109" s="1027" t="str">
        <f>IF(CJ109="","",'#orgDung'!LP110)</f>
        <v/>
      </c>
      <c r="CN109" s="1025"/>
      <c r="CO109" s="1026" t="str">
        <f>IF(CN109="","",'#orgDung'!MB110)</f>
        <v/>
      </c>
      <c r="CP109" s="1026" t="str">
        <f>IF(CN109="","",'#orgDung'!MC110)</f>
        <v/>
      </c>
      <c r="CQ109" s="1027" t="str">
        <f>IF(CN109="","",'#orgDung'!ME110)</f>
        <v/>
      </c>
      <c r="CR109" s="1025"/>
      <c r="CS109" s="1026" t="str">
        <f>IF(CR109="","",'#orgDung'!MQ110)</f>
        <v/>
      </c>
      <c r="CT109" s="1026" t="str">
        <f>IF(CR109="","",'#orgDung'!MR110)</f>
        <v/>
      </c>
      <c r="CU109" s="1027" t="str">
        <f>IF(CR109="","",'#orgDung'!MT110)</f>
        <v/>
      </c>
      <c r="CV109" s="1025"/>
      <c r="CW109" s="1026" t="str">
        <f>IF(CV109="","",'#orgDung'!NF110)</f>
        <v/>
      </c>
      <c r="CX109" s="1026" t="str">
        <f>IF(CV109="","",'#orgDung'!NG110)</f>
        <v/>
      </c>
      <c r="CY109" s="1027" t="str">
        <f>IF(CV109="","",'#orgDung'!NI110)</f>
        <v/>
      </c>
      <c r="CZ109" s="1025"/>
      <c r="DA109" s="1026" t="str">
        <f>IF(CZ109="","",'#orgDung'!NU110)</f>
        <v/>
      </c>
      <c r="DB109" s="1026" t="str">
        <f>IF(CZ109="","",'#orgDung'!NV110)</f>
        <v/>
      </c>
      <c r="DC109" s="1027" t="str">
        <f>IF(CZ109="","",'#orgDung'!NX110)</f>
        <v/>
      </c>
      <c r="DD109" s="1025"/>
      <c r="DE109" s="1026" t="str">
        <f>IF(DD109="","",'#orgDung'!OJ110)</f>
        <v/>
      </c>
      <c r="DF109" s="1026" t="str">
        <f>IF(DD109="","",'#orgDung'!OK110)</f>
        <v/>
      </c>
      <c r="DG109" s="1027" t="str">
        <f>IF(DD109="","",'#orgDung'!OM110)</f>
        <v/>
      </c>
      <c r="DH109" s="1025"/>
      <c r="DI109" s="1026" t="str">
        <f>IF(DH109="","",'#orgDung'!OY110)</f>
        <v/>
      </c>
      <c r="DJ109" s="1026" t="str">
        <f>IF(DH109="","",'#orgDung'!OZ110)</f>
        <v/>
      </c>
      <c r="DK109" s="1027" t="str">
        <f>IF(DH109="","",'#orgDung'!PB110)</f>
        <v/>
      </c>
      <c r="DL109" s="1025"/>
      <c r="DM109" s="1026" t="str">
        <f>IF(DL109="","",'#orgDung'!PN110)</f>
        <v/>
      </c>
      <c r="DN109" s="1026" t="str">
        <f>IF(DL109="","",'#orgDung'!PO110)</f>
        <v/>
      </c>
      <c r="DO109" s="1027" t="str">
        <f>IF(DL109="","",'#orgDung'!PQ110)</f>
        <v/>
      </c>
      <c r="DP109" s="1025"/>
      <c r="DQ109" s="1026" t="str">
        <f>IF(DP109="","",'#orgDung'!QC110)</f>
        <v/>
      </c>
      <c r="DR109" s="1026" t="str">
        <f>IF(DP109="","",'#orgDung'!QD110)</f>
        <v/>
      </c>
      <c r="DS109" s="1027" t="str">
        <f>IF(DP109="","",'#orgDung'!QF110)</f>
        <v/>
      </c>
      <c r="DT109" s="1025"/>
      <c r="DU109" s="1026" t="str">
        <f>IF(DT109="","",'#orgDung'!QR110)</f>
        <v/>
      </c>
      <c r="DV109" s="1026" t="str">
        <f>IF(DT109="","",'#orgDung'!QS110)</f>
        <v/>
      </c>
      <c r="DW109" s="1027" t="str">
        <f>IF(DT109="","",'#orgDung'!QU110)</f>
        <v/>
      </c>
      <c r="DX109" s="1025"/>
      <c r="DY109" s="1026" t="str">
        <f>IF(DX109="","",'#orgDung'!RG110)</f>
        <v/>
      </c>
      <c r="DZ109" s="1026" t="str">
        <f>IF(DX109="","",'#orgDung'!RH110)</f>
        <v/>
      </c>
      <c r="EA109" s="1027" t="str">
        <f>IF(DX109="","",'#orgDung'!RJ110)</f>
        <v/>
      </c>
    </row>
    <row r="110" spans="1:131" ht="15" customHeight="1" x14ac:dyDescent="0.2">
      <c r="A110" s="1195">
        <f>'Flächen u. Kulturen'!A107</f>
        <v>98</v>
      </c>
      <c r="B110" s="1195" t="str">
        <f>IF('Flächen u. Kulturen'!B107="","",'Flächen u. Kulturen'!B107)</f>
        <v/>
      </c>
      <c r="C110" s="1196" t="str">
        <f>IF('Flächen u. Kulturen'!D107="","",'Flächen u. Kulturen'!D107)</f>
        <v/>
      </c>
      <c r="D110" s="1197" t="str">
        <f>IF(C110="","",IF('#BerechnungDBE'!Q102&lt;4,"x",""))</f>
        <v/>
      </c>
      <c r="E110" s="1198" t="str">
        <f>IF(C110="","",VLOOKUP('Flächen u. Kulturen'!L107,'#Zweitfr'!$D$8:$F$28,'#Zweitfr'!$F$1,FALSE))</f>
        <v/>
      </c>
      <c r="F110" s="1199" t="str">
        <f>IF(C110="","",IF('Flächen u. Kulturen'!E107="x",'Flächen u. Kulturen'!P107,"nicht im Betrieb"))</f>
        <v/>
      </c>
      <c r="G110" s="1200" t="str">
        <f>IF(C110="","",IF('#orgDung'!C111=2,"--",IF('#Kürzungen'!$F$2=2,"--",'#orgDung'!R111)))</f>
        <v/>
      </c>
      <c r="H110" s="1200" t="str">
        <f>IF(C110="","",'#orgDung'!U111)</f>
        <v/>
      </c>
      <c r="I110" s="1201" t="str">
        <f>IF(C110="","",IF(COUNT('#orgDung'!RS111:SA111)=0,"OK",TRIM(CONCATENATE('#orgDung'!RS111," ",'#orgDung'!RT111," ",'#orgDung'!RU111," ",'#orgDung'!RV111," ",'#orgDung'!RW111," ",'#orgDung'!RX111," ",'#orgDung'!RY111," ",'#orgDung'!RZ111," ",'#orgDung'!SA111))))</f>
        <v/>
      </c>
      <c r="J110" s="1023"/>
      <c r="K110" s="1024"/>
      <c r="L110" s="1025"/>
      <c r="M110" s="1026" t="str">
        <f>IF(L110="","",'#orgDung'!AN111)</f>
        <v/>
      </c>
      <c r="N110" s="1026" t="str">
        <f>IF(L110="","",'#orgDung'!AO111)</f>
        <v/>
      </c>
      <c r="O110" s="1027" t="str">
        <f>IF(L110="","",'#orgDung'!AQ111)</f>
        <v/>
      </c>
      <c r="P110" s="1025"/>
      <c r="Q110" s="1026" t="str">
        <f>IF(P110="","",'#orgDung'!BC111)</f>
        <v/>
      </c>
      <c r="R110" s="1026" t="str">
        <f>IF(P110="","",'#orgDung'!BD111)</f>
        <v/>
      </c>
      <c r="S110" s="1027" t="str">
        <f>IF(P110="","",'#orgDung'!BF111)</f>
        <v/>
      </c>
      <c r="T110" s="1025"/>
      <c r="U110" s="1026" t="str">
        <f>IF(T110="","",'#orgDung'!BR111)</f>
        <v/>
      </c>
      <c r="V110" s="1026" t="str">
        <f>IF(T110="","",'#orgDung'!BS111)</f>
        <v/>
      </c>
      <c r="W110" s="1027" t="str">
        <f>IF(T110="","",'#orgDung'!BU111)</f>
        <v/>
      </c>
      <c r="X110" s="1025"/>
      <c r="Y110" s="1026" t="str">
        <f>IF(X110="","",'#orgDung'!CG111)</f>
        <v/>
      </c>
      <c r="Z110" s="1026" t="str">
        <f>IF(X110="","",'#orgDung'!CH111)</f>
        <v/>
      </c>
      <c r="AA110" s="1027" t="str">
        <f>IF(X110="","",'#orgDung'!CJ111)</f>
        <v/>
      </c>
      <c r="AB110" s="1025"/>
      <c r="AC110" s="1026" t="str">
        <f>IF(AB110="","",'#orgDung'!CV111)</f>
        <v/>
      </c>
      <c r="AD110" s="1026" t="str">
        <f>IF(AB110="","",'#orgDung'!CW111)</f>
        <v/>
      </c>
      <c r="AE110" s="1027" t="str">
        <f>IF(AB110="","",'#orgDung'!CY111)</f>
        <v/>
      </c>
      <c r="AF110" s="1025"/>
      <c r="AG110" s="1026" t="str">
        <f>IF(AF110="","",'#orgDung'!DK111)</f>
        <v/>
      </c>
      <c r="AH110" s="1026" t="str">
        <f>IF(AF110="","",'#orgDung'!DL111)</f>
        <v/>
      </c>
      <c r="AI110" s="1027" t="str">
        <f>IF(AF110="","",'#orgDung'!DN111)</f>
        <v/>
      </c>
      <c r="AJ110" s="1025"/>
      <c r="AK110" s="1026" t="str">
        <f>IF(AJ110="","",'#orgDung'!DZ111)</f>
        <v/>
      </c>
      <c r="AL110" s="1026" t="str">
        <f>IF(AJ110="","",'#orgDung'!EA111)</f>
        <v/>
      </c>
      <c r="AM110" s="1027" t="str">
        <f>IF(AJ110="","",'#orgDung'!EC111)</f>
        <v/>
      </c>
      <c r="AN110" s="1025"/>
      <c r="AO110" s="1026" t="str">
        <f>IF(AN110="","",'#orgDung'!EO111)</f>
        <v/>
      </c>
      <c r="AP110" s="1026" t="str">
        <f>IF(AN110="","",'#orgDung'!EP111)</f>
        <v/>
      </c>
      <c r="AQ110" s="1027" t="str">
        <f>IF(AN110="","",'#orgDung'!ER111)</f>
        <v/>
      </c>
      <c r="AR110" s="1025"/>
      <c r="AS110" s="1026" t="str">
        <f>IF(AR110="","",'#orgDung'!FD111)</f>
        <v/>
      </c>
      <c r="AT110" s="1026" t="str">
        <f>IF(AR110="","",'#orgDung'!FE111)</f>
        <v/>
      </c>
      <c r="AU110" s="1027" t="str">
        <f>IF(AR110="","",'#orgDung'!FG111)</f>
        <v/>
      </c>
      <c r="AV110" s="1025"/>
      <c r="AW110" s="1026" t="str">
        <f>IF(AV110="","",'#orgDung'!FS111)</f>
        <v/>
      </c>
      <c r="AX110" s="1026" t="str">
        <f>IF(AV110="","",'#orgDung'!FT111)</f>
        <v/>
      </c>
      <c r="AY110" s="1027" t="str">
        <f>IF(AV110="","",'#orgDung'!FV111)</f>
        <v/>
      </c>
      <c r="AZ110" s="1025"/>
      <c r="BA110" s="1026" t="str">
        <f>IF(AZ110="","",'#orgDung'!GH111)</f>
        <v/>
      </c>
      <c r="BB110" s="1026" t="str">
        <f>IF(AZ110="","",'#orgDung'!GI111)</f>
        <v/>
      </c>
      <c r="BC110" s="1027" t="str">
        <f>IF(AZ110="","",'#orgDung'!GK111)</f>
        <v/>
      </c>
      <c r="BD110" s="1025"/>
      <c r="BE110" s="1026" t="str">
        <f>IF(BD110="","",'#orgDung'!GW111)</f>
        <v/>
      </c>
      <c r="BF110" s="1026" t="str">
        <f>IF(BD110="","",'#orgDung'!GX111)</f>
        <v/>
      </c>
      <c r="BG110" s="1027" t="str">
        <f>IF(BD110="","",'#orgDung'!GZ111)</f>
        <v/>
      </c>
      <c r="BH110" s="1025"/>
      <c r="BI110" s="1026" t="str">
        <f>IF(BH110="","",'#orgDung'!HL111)</f>
        <v/>
      </c>
      <c r="BJ110" s="1026" t="str">
        <f>IF(BH110="","",'#orgDung'!HM111)</f>
        <v/>
      </c>
      <c r="BK110" s="1027" t="str">
        <f>IF(BH110="","",'#orgDung'!HO111)</f>
        <v/>
      </c>
      <c r="BL110" s="1025"/>
      <c r="BM110" s="1026" t="str">
        <f>IF(BL110="","",'#orgDung'!IA111)</f>
        <v/>
      </c>
      <c r="BN110" s="1026" t="str">
        <f>IF(BL110="","",'#orgDung'!IB111)</f>
        <v/>
      </c>
      <c r="BO110" s="1027" t="str">
        <f>IF(BL110="","",'#orgDung'!ID111)</f>
        <v/>
      </c>
      <c r="BP110" s="1025"/>
      <c r="BQ110" s="1026" t="str">
        <f>IF(BP110="","",'#orgDung'!IP111)</f>
        <v/>
      </c>
      <c r="BR110" s="1026" t="str">
        <f>IF(BP110="","",'#orgDung'!IQ111)</f>
        <v/>
      </c>
      <c r="BS110" s="1027" t="str">
        <f>IF(BP110="","",'#orgDung'!IS111)</f>
        <v/>
      </c>
      <c r="BT110" s="1025"/>
      <c r="BU110" s="1026" t="str">
        <f>IF(BT110="","",'#orgDung'!JE111)</f>
        <v/>
      </c>
      <c r="BV110" s="1026" t="str">
        <f>IF(BT110="","",'#orgDung'!JF111)</f>
        <v/>
      </c>
      <c r="BW110" s="1027" t="str">
        <f>IF(BT110="","",'#orgDung'!JH111)</f>
        <v/>
      </c>
      <c r="BX110" s="1025"/>
      <c r="BY110" s="1026" t="str">
        <f>IF(BX110="","",'#orgDung'!JT111)</f>
        <v/>
      </c>
      <c r="BZ110" s="1026" t="str">
        <f>IF(BX110="","",'#orgDung'!JU111)</f>
        <v/>
      </c>
      <c r="CA110" s="1027" t="str">
        <f>IF(BX110="","",'#orgDung'!JW111)</f>
        <v/>
      </c>
      <c r="CB110" s="1025"/>
      <c r="CC110" s="1026" t="str">
        <f>IF(CB110="","",'#orgDung'!KI111)</f>
        <v/>
      </c>
      <c r="CD110" s="1026" t="str">
        <f>IF(CB110="","",'#orgDung'!KJ111)</f>
        <v/>
      </c>
      <c r="CE110" s="1027" t="str">
        <f>IF(CB110="","",'#orgDung'!KL111)</f>
        <v/>
      </c>
      <c r="CF110" s="1025"/>
      <c r="CG110" s="1026" t="str">
        <f>IF(CF110="","",'#orgDung'!KX111)</f>
        <v/>
      </c>
      <c r="CH110" s="1026" t="str">
        <f>IF(CF110="","",'#orgDung'!KY111)</f>
        <v/>
      </c>
      <c r="CI110" s="1027" t="str">
        <f>IF(CF110="","",'#orgDung'!LA111)</f>
        <v/>
      </c>
      <c r="CJ110" s="1025"/>
      <c r="CK110" s="1026" t="str">
        <f>IF(CJ110="","",'#orgDung'!LM111)</f>
        <v/>
      </c>
      <c r="CL110" s="1026" t="str">
        <f>IF(CJ110="","",'#orgDung'!LN111)</f>
        <v/>
      </c>
      <c r="CM110" s="1027" t="str">
        <f>IF(CJ110="","",'#orgDung'!LP111)</f>
        <v/>
      </c>
      <c r="CN110" s="1025"/>
      <c r="CO110" s="1026" t="str">
        <f>IF(CN110="","",'#orgDung'!MB111)</f>
        <v/>
      </c>
      <c r="CP110" s="1026" t="str">
        <f>IF(CN110="","",'#orgDung'!MC111)</f>
        <v/>
      </c>
      <c r="CQ110" s="1027" t="str">
        <f>IF(CN110="","",'#orgDung'!ME111)</f>
        <v/>
      </c>
      <c r="CR110" s="1025"/>
      <c r="CS110" s="1026" t="str">
        <f>IF(CR110="","",'#orgDung'!MQ111)</f>
        <v/>
      </c>
      <c r="CT110" s="1026" t="str">
        <f>IF(CR110="","",'#orgDung'!MR111)</f>
        <v/>
      </c>
      <c r="CU110" s="1027" t="str">
        <f>IF(CR110="","",'#orgDung'!MT111)</f>
        <v/>
      </c>
      <c r="CV110" s="1025"/>
      <c r="CW110" s="1026" t="str">
        <f>IF(CV110="","",'#orgDung'!NF111)</f>
        <v/>
      </c>
      <c r="CX110" s="1026" t="str">
        <f>IF(CV110="","",'#orgDung'!NG111)</f>
        <v/>
      </c>
      <c r="CY110" s="1027" t="str">
        <f>IF(CV110="","",'#orgDung'!NI111)</f>
        <v/>
      </c>
      <c r="CZ110" s="1025"/>
      <c r="DA110" s="1026" t="str">
        <f>IF(CZ110="","",'#orgDung'!NU111)</f>
        <v/>
      </c>
      <c r="DB110" s="1026" t="str">
        <f>IF(CZ110="","",'#orgDung'!NV111)</f>
        <v/>
      </c>
      <c r="DC110" s="1027" t="str">
        <f>IF(CZ110="","",'#orgDung'!NX111)</f>
        <v/>
      </c>
      <c r="DD110" s="1025"/>
      <c r="DE110" s="1026" t="str">
        <f>IF(DD110="","",'#orgDung'!OJ111)</f>
        <v/>
      </c>
      <c r="DF110" s="1026" t="str">
        <f>IF(DD110="","",'#orgDung'!OK111)</f>
        <v/>
      </c>
      <c r="DG110" s="1027" t="str">
        <f>IF(DD110="","",'#orgDung'!OM111)</f>
        <v/>
      </c>
      <c r="DH110" s="1025"/>
      <c r="DI110" s="1026" t="str">
        <f>IF(DH110="","",'#orgDung'!OY111)</f>
        <v/>
      </c>
      <c r="DJ110" s="1026" t="str">
        <f>IF(DH110="","",'#orgDung'!OZ111)</f>
        <v/>
      </c>
      <c r="DK110" s="1027" t="str">
        <f>IF(DH110="","",'#orgDung'!PB111)</f>
        <v/>
      </c>
      <c r="DL110" s="1025"/>
      <c r="DM110" s="1026" t="str">
        <f>IF(DL110="","",'#orgDung'!PN111)</f>
        <v/>
      </c>
      <c r="DN110" s="1026" t="str">
        <f>IF(DL110="","",'#orgDung'!PO111)</f>
        <v/>
      </c>
      <c r="DO110" s="1027" t="str">
        <f>IF(DL110="","",'#orgDung'!PQ111)</f>
        <v/>
      </c>
      <c r="DP110" s="1025"/>
      <c r="DQ110" s="1026" t="str">
        <f>IF(DP110="","",'#orgDung'!QC111)</f>
        <v/>
      </c>
      <c r="DR110" s="1026" t="str">
        <f>IF(DP110="","",'#orgDung'!QD111)</f>
        <v/>
      </c>
      <c r="DS110" s="1027" t="str">
        <f>IF(DP110="","",'#orgDung'!QF111)</f>
        <v/>
      </c>
      <c r="DT110" s="1025"/>
      <c r="DU110" s="1026" t="str">
        <f>IF(DT110="","",'#orgDung'!QR111)</f>
        <v/>
      </c>
      <c r="DV110" s="1026" t="str">
        <f>IF(DT110="","",'#orgDung'!QS111)</f>
        <v/>
      </c>
      <c r="DW110" s="1027" t="str">
        <f>IF(DT110="","",'#orgDung'!QU111)</f>
        <v/>
      </c>
      <c r="DX110" s="1025"/>
      <c r="DY110" s="1026" t="str">
        <f>IF(DX110="","",'#orgDung'!RG111)</f>
        <v/>
      </c>
      <c r="DZ110" s="1026" t="str">
        <f>IF(DX110="","",'#orgDung'!RH111)</f>
        <v/>
      </c>
      <c r="EA110" s="1027" t="str">
        <f>IF(DX110="","",'#orgDung'!RJ111)</f>
        <v/>
      </c>
    </row>
    <row r="111" spans="1:131" ht="15" customHeight="1" x14ac:dyDescent="0.2">
      <c r="A111" s="1195">
        <f>'Flächen u. Kulturen'!A108</f>
        <v>99</v>
      </c>
      <c r="B111" s="1195" t="str">
        <f>IF('Flächen u. Kulturen'!B108="","",'Flächen u. Kulturen'!B108)</f>
        <v/>
      </c>
      <c r="C111" s="1196" t="str">
        <f>IF('Flächen u. Kulturen'!D108="","",'Flächen u. Kulturen'!D108)</f>
        <v/>
      </c>
      <c r="D111" s="1197" t="str">
        <f>IF(C111="","",IF('#BerechnungDBE'!Q103&lt;4,"x",""))</f>
        <v/>
      </c>
      <c r="E111" s="1198" t="str">
        <f>IF(C111="","",VLOOKUP('Flächen u. Kulturen'!L108,'#Zweitfr'!$D$8:$F$28,'#Zweitfr'!$F$1,FALSE))</f>
        <v/>
      </c>
      <c r="F111" s="1199" t="str">
        <f>IF(C111="","",IF('Flächen u. Kulturen'!E108="x",'Flächen u. Kulturen'!P108,"nicht im Betrieb"))</f>
        <v/>
      </c>
      <c r="G111" s="1200" t="str">
        <f>IF(C111="","",IF('#orgDung'!C112=2,"--",IF('#Kürzungen'!$F$2=2,"--",'#orgDung'!R112)))</f>
        <v/>
      </c>
      <c r="H111" s="1200" t="str">
        <f>IF(C111="","",'#orgDung'!U112)</f>
        <v/>
      </c>
      <c r="I111" s="1201" t="str">
        <f>IF(C111="","",IF(COUNT('#orgDung'!RS112:SA112)=0,"OK",TRIM(CONCATENATE('#orgDung'!RS112," ",'#orgDung'!RT112," ",'#orgDung'!RU112," ",'#orgDung'!RV112," ",'#orgDung'!RW112," ",'#orgDung'!RX112," ",'#orgDung'!RY112," ",'#orgDung'!RZ112," ",'#orgDung'!SA112))))</f>
        <v/>
      </c>
      <c r="J111" s="1023"/>
      <c r="K111" s="1024"/>
      <c r="L111" s="1025"/>
      <c r="M111" s="1026" t="str">
        <f>IF(L111="","",'#orgDung'!AN112)</f>
        <v/>
      </c>
      <c r="N111" s="1026" t="str">
        <f>IF(L111="","",'#orgDung'!AO112)</f>
        <v/>
      </c>
      <c r="O111" s="1027" t="str">
        <f>IF(L111="","",'#orgDung'!AQ112)</f>
        <v/>
      </c>
      <c r="P111" s="1025"/>
      <c r="Q111" s="1026" t="str">
        <f>IF(P111="","",'#orgDung'!BC112)</f>
        <v/>
      </c>
      <c r="R111" s="1026" t="str">
        <f>IF(P111="","",'#orgDung'!BD112)</f>
        <v/>
      </c>
      <c r="S111" s="1027" t="str">
        <f>IF(P111="","",'#orgDung'!BF112)</f>
        <v/>
      </c>
      <c r="T111" s="1025"/>
      <c r="U111" s="1026" t="str">
        <f>IF(T111="","",'#orgDung'!BR112)</f>
        <v/>
      </c>
      <c r="V111" s="1026" t="str">
        <f>IF(T111="","",'#orgDung'!BS112)</f>
        <v/>
      </c>
      <c r="W111" s="1027" t="str">
        <f>IF(T111="","",'#orgDung'!BU112)</f>
        <v/>
      </c>
      <c r="X111" s="1025"/>
      <c r="Y111" s="1026" t="str">
        <f>IF(X111="","",'#orgDung'!CG112)</f>
        <v/>
      </c>
      <c r="Z111" s="1026" t="str">
        <f>IF(X111="","",'#orgDung'!CH112)</f>
        <v/>
      </c>
      <c r="AA111" s="1027" t="str">
        <f>IF(X111="","",'#orgDung'!CJ112)</f>
        <v/>
      </c>
      <c r="AB111" s="1025"/>
      <c r="AC111" s="1026" t="str">
        <f>IF(AB111="","",'#orgDung'!CV112)</f>
        <v/>
      </c>
      <c r="AD111" s="1026" t="str">
        <f>IF(AB111="","",'#orgDung'!CW112)</f>
        <v/>
      </c>
      <c r="AE111" s="1027" t="str">
        <f>IF(AB111="","",'#orgDung'!CY112)</f>
        <v/>
      </c>
      <c r="AF111" s="1025"/>
      <c r="AG111" s="1026" t="str">
        <f>IF(AF111="","",'#orgDung'!DK112)</f>
        <v/>
      </c>
      <c r="AH111" s="1026" t="str">
        <f>IF(AF111="","",'#orgDung'!DL112)</f>
        <v/>
      </c>
      <c r="AI111" s="1027" t="str">
        <f>IF(AF111="","",'#orgDung'!DN112)</f>
        <v/>
      </c>
      <c r="AJ111" s="1025"/>
      <c r="AK111" s="1026" t="str">
        <f>IF(AJ111="","",'#orgDung'!DZ112)</f>
        <v/>
      </c>
      <c r="AL111" s="1026" t="str">
        <f>IF(AJ111="","",'#orgDung'!EA112)</f>
        <v/>
      </c>
      <c r="AM111" s="1027" t="str">
        <f>IF(AJ111="","",'#orgDung'!EC112)</f>
        <v/>
      </c>
      <c r="AN111" s="1025"/>
      <c r="AO111" s="1026" t="str">
        <f>IF(AN111="","",'#orgDung'!EO112)</f>
        <v/>
      </c>
      <c r="AP111" s="1026" t="str">
        <f>IF(AN111="","",'#orgDung'!EP112)</f>
        <v/>
      </c>
      <c r="AQ111" s="1027" t="str">
        <f>IF(AN111="","",'#orgDung'!ER112)</f>
        <v/>
      </c>
      <c r="AR111" s="1025"/>
      <c r="AS111" s="1026" t="str">
        <f>IF(AR111="","",'#orgDung'!FD112)</f>
        <v/>
      </c>
      <c r="AT111" s="1026" t="str">
        <f>IF(AR111="","",'#orgDung'!FE112)</f>
        <v/>
      </c>
      <c r="AU111" s="1027" t="str">
        <f>IF(AR111="","",'#orgDung'!FG112)</f>
        <v/>
      </c>
      <c r="AV111" s="1025"/>
      <c r="AW111" s="1026" t="str">
        <f>IF(AV111="","",'#orgDung'!FS112)</f>
        <v/>
      </c>
      <c r="AX111" s="1026" t="str">
        <f>IF(AV111="","",'#orgDung'!FT112)</f>
        <v/>
      </c>
      <c r="AY111" s="1027" t="str">
        <f>IF(AV111="","",'#orgDung'!FV112)</f>
        <v/>
      </c>
      <c r="AZ111" s="1025"/>
      <c r="BA111" s="1026" t="str">
        <f>IF(AZ111="","",'#orgDung'!GH112)</f>
        <v/>
      </c>
      <c r="BB111" s="1026" t="str">
        <f>IF(AZ111="","",'#orgDung'!GI112)</f>
        <v/>
      </c>
      <c r="BC111" s="1027" t="str">
        <f>IF(AZ111="","",'#orgDung'!GK112)</f>
        <v/>
      </c>
      <c r="BD111" s="1025"/>
      <c r="BE111" s="1026" t="str">
        <f>IF(BD111="","",'#orgDung'!GW112)</f>
        <v/>
      </c>
      <c r="BF111" s="1026" t="str">
        <f>IF(BD111="","",'#orgDung'!GX112)</f>
        <v/>
      </c>
      <c r="BG111" s="1027" t="str">
        <f>IF(BD111="","",'#orgDung'!GZ112)</f>
        <v/>
      </c>
      <c r="BH111" s="1025"/>
      <c r="BI111" s="1026" t="str">
        <f>IF(BH111="","",'#orgDung'!HL112)</f>
        <v/>
      </c>
      <c r="BJ111" s="1026" t="str">
        <f>IF(BH111="","",'#orgDung'!HM112)</f>
        <v/>
      </c>
      <c r="BK111" s="1027" t="str">
        <f>IF(BH111="","",'#orgDung'!HO112)</f>
        <v/>
      </c>
      <c r="BL111" s="1025"/>
      <c r="BM111" s="1026" t="str">
        <f>IF(BL111="","",'#orgDung'!IA112)</f>
        <v/>
      </c>
      <c r="BN111" s="1026" t="str">
        <f>IF(BL111="","",'#orgDung'!IB112)</f>
        <v/>
      </c>
      <c r="BO111" s="1027" t="str">
        <f>IF(BL111="","",'#orgDung'!ID112)</f>
        <v/>
      </c>
      <c r="BP111" s="1025"/>
      <c r="BQ111" s="1026" t="str">
        <f>IF(BP111="","",'#orgDung'!IP112)</f>
        <v/>
      </c>
      <c r="BR111" s="1026" t="str">
        <f>IF(BP111="","",'#orgDung'!IQ112)</f>
        <v/>
      </c>
      <c r="BS111" s="1027" t="str">
        <f>IF(BP111="","",'#orgDung'!IS112)</f>
        <v/>
      </c>
      <c r="BT111" s="1025"/>
      <c r="BU111" s="1026" t="str">
        <f>IF(BT111="","",'#orgDung'!JE112)</f>
        <v/>
      </c>
      <c r="BV111" s="1026" t="str">
        <f>IF(BT111="","",'#orgDung'!JF112)</f>
        <v/>
      </c>
      <c r="BW111" s="1027" t="str">
        <f>IF(BT111="","",'#orgDung'!JH112)</f>
        <v/>
      </c>
      <c r="BX111" s="1025"/>
      <c r="BY111" s="1026" t="str">
        <f>IF(BX111="","",'#orgDung'!JT112)</f>
        <v/>
      </c>
      <c r="BZ111" s="1026" t="str">
        <f>IF(BX111="","",'#orgDung'!JU112)</f>
        <v/>
      </c>
      <c r="CA111" s="1027" t="str">
        <f>IF(BX111="","",'#orgDung'!JW112)</f>
        <v/>
      </c>
      <c r="CB111" s="1025"/>
      <c r="CC111" s="1026" t="str">
        <f>IF(CB111="","",'#orgDung'!KI112)</f>
        <v/>
      </c>
      <c r="CD111" s="1026" t="str">
        <f>IF(CB111="","",'#orgDung'!KJ112)</f>
        <v/>
      </c>
      <c r="CE111" s="1027" t="str">
        <f>IF(CB111="","",'#orgDung'!KL112)</f>
        <v/>
      </c>
      <c r="CF111" s="1025"/>
      <c r="CG111" s="1026" t="str">
        <f>IF(CF111="","",'#orgDung'!KX112)</f>
        <v/>
      </c>
      <c r="CH111" s="1026" t="str">
        <f>IF(CF111="","",'#orgDung'!KY112)</f>
        <v/>
      </c>
      <c r="CI111" s="1027" t="str">
        <f>IF(CF111="","",'#orgDung'!LA112)</f>
        <v/>
      </c>
      <c r="CJ111" s="1025"/>
      <c r="CK111" s="1026" t="str">
        <f>IF(CJ111="","",'#orgDung'!LM112)</f>
        <v/>
      </c>
      <c r="CL111" s="1026" t="str">
        <f>IF(CJ111="","",'#orgDung'!LN112)</f>
        <v/>
      </c>
      <c r="CM111" s="1027" t="str">
        <f>IF(CJ111="","",'#orgDung'!LP112)</f>
        <v/>
      </c>
      <c r="CN111" s="1025"/>
      <c r="CO111" s="1026" t="str">
        <f>IF(CN111="","",'#orgDung'!MB112)</f>
        <v/>
      </c>
      <c r="CP111" s="1026" t="str">
        <f>IF(CN111="","",'#orgDung'!MC112)</f>
        <v/>
      </c>
      <c r="CQ111" s="1027" t="str">
        <f>IF(CN111="","",'#orgDung'!ME112)</f>
        <v/>
      </c>
      <c r="CR111" s="1025"/>
      <c r="CS111" s="1026" t="str">
        <f>IF(CR111="","",'#orgDung'!MQ112)</f>
        <v/>
      </c>
      <c r="CT111" s="1026" t="str">
        <f>IF(CR111="","",'#orgDung'!MR112)</f>
        <v/>
      </c>
      <c r="CU111" s="1027" t="str">
        <f>IF(CR111="","",'#orgDung'!MT112)</f>
        <v/>
      </c>
      <c r="CV111" s="1025"/>
      <c r="CW111" s="1026" t="str">
        <f>IF(CV111="","",'#orgDung'!NF112)</f>
        <v/>
      </c>
      <c r="CX111" s="1026" t="str">
        <f>IF(CV111="","",'#orgDung'!NG112)</f>
        <v/>
      </c>
      <c r="CY111" s="1027" t="str">
        <f>IF(CV111="","",'#orgDung'!NI112)</f>
        <v/>
      </c>
      <c r="CZ111" s="1025"/>
      <c r="DA111" s="1026" t="str">
        <f>IF(CZ111="","",'#orgDung'!NU112)</f>
        <v/>
      </c>
      <c r="DB111" s="1026" t="str">
        <f>IF(CZ111="","",'#orgDung'!NV112)</f>
        <v/>
      </c>
      <c r="DC111" s="1027" t="str">
        <f>IF(CZ111="","",'#orgDung'!NX112)</f>
        <v/>
      </c>
      <c r="DD111" s="1025"/>
      <c r="DE111" s="1026" t="str">
        <f>IF(DD111="","",'#orgDung'!OJ112)</f>
        <v/>
      </c>
      <c r="DF111" s="1026" t="str">
        <f>IF(DD111="","",'#orgDung'!OK112)</f>
        <v/>
      </c>
      <c r="DG111" s="1027" t="str">
        <f>IF(DD111="","",'#orgDung'!OM112)</f>
        <v/>
      </c>
      <c r="DH111" s="1025"/>
      <c r="DI111" s="1026" t="str">
        <f>IF(DH111="","",'#orgDung'!OY112)</f>
        <v/>
      </c>
      <c r="DJ111" s="1026" t="str">
        <f>IF(DH111="","",'#orgDung'!OZ112)</f>
        <v/>
      </c>
      <c r="DK111" s="1027" t="str">
        <f>IF(DH111="","",'#orgDung'!PB112)</f>
        <v/>
      </c>
      <c r="DL111" s="1025"/>
      <c r="DM111" s="1026" t="str">
        <f>IF(DL111="","",'#orgDung'!PN112)</f>
        <v/>
      </c>
      <c r="DN111" s="1026" t="str">
        <f>IF(DL111="","",'#orgDung'!PO112)</f>
        <v/>
      </c>
      <c r="DO111" s="1027" t="str">
        <f>IF(DL111="","",'#orgDung'!PQ112)</f>
        <v/>
      </c>
      <c r="DP111" s="1025"/>
      <c r="DQ111" s="1026" t="str">
        <f>IF(DP111="","",'#orgDung'!QC112)</f>
        <v/>
      </c>
      <c r="DR111" s="1026" t="str">
        <f>IF(DP111="","",'#orgDung'!QD112)</f>
        <v/>
      </c>
      <c r="DS111" s="1027" t="str">
        <f>IF(DP111="","",'#orgDung'!QF112)</f>
        <v/>
      </c>
      <c r="DT111" s="1025"/>
      <c r="DU111" s="1026" t="str">
        <f>IF(DT111="","",'#orgDung'!QR112)</f>
        <v/>
      </c>
      <c r="DV111" s="1026" t="str">
        <f>IF(DT111="","",'#orgDung'!QS112)</f>
        <v/>
      </c>
      <c r="DW111" s="1027" t="str">
        <f>IF(DT111="","",'#orgDung'!QU112)</f>
        <v/>
      </c>
      <c r="DX111" s="1025"/>
      <c r="DY111" s="1026" t="str">
        <f>IF(DX111="","",'#orgDung'!RG112)</f>
        <v/>
      </c>
      <c r="DZ111" s="1026" t="str">
        <f>IF(DX111="","",'#orgDung'!RH112)</f>
        <v/>
      </c>
      <c r="EA111" s="1027" t="str">
        <f>IF(DX111="","",'#orgDung'!RJ112)</f>
        <v/>
      </c>
    </row>
    <row r="112" spans="1:131" ht="15" customHeight="1" x14ac:dyDescent="0.2">
      <c r="A112" s="1195">
        <f>'Flächen u. Kulturen'!A109</f>
        <v>100</v>
      </c>
      <c r="B112" s="1195" t="str">
        <f>IF('Flächen u. Kulturen'!B109="","",'Flächen u. Kulturen'!B109)</f>
        <v/>
      </c>
      <c r="C112" s="1196" t="str">
        <f>IF('Flächen u. Kulturen'!D109="","",'Flächen u. Kulturen'!D109)</f>
        <v/>
      </c>
      <c r="D112" s="1197" t="str">
        <f>IF(C112="","",IF('#BerechnungDBE'!Q104&lt;4,"x",""))</f>
        <v/>
      </c>
      <c r="E112" s="1198" t="str">
        <f>IF(C112="","",VLOOKUP('Flächen u. Kulturen'!L109,'#Zweitfr'!$D$8:$F$28,'#Zweitfr'!$F$1,FALSE))</f>
        <v/>
      </c>
      <c r="F112" s="1199" t="str">
        <f>IF(C112="","",IF('Flächen u. Kulturen'!E109="x",'Flächen u. Kulturen'!P109,"nicht im Betrieb"))</f>
        <v/>
      </c>
      <c r="G112" s="1200" t="str">
        <f>IF(C112="","",IF('#orgDung'!C113=2,"--",IF('#Kürzungen'!$F$2=2,"--",'#orgDung'!R113)))</f>
        <v/>
      </c>
      <c r="H112" s="1200" t="str">
        <f>IF(C112="","",'#orgDung'!U113)</f>
        <v/>
      </c>
      <c r="I112" s="1201" t="str">
        <f>IF(C112="","",IF(COUNT('#orgDung'!RS113:SA113)=0,"OK",TRIM(CONCATENATE('#orgDung'!RS113," ",'#orgDung'!RT113," ",'#orgDung'!RU113," ",'#orgDung'!RV113," ",'#orgDung'!RW113," ",'#orgDung'!RX113," ",'#orgDung'!RY113," ",'#orgDung'!RZ113," ",'#orgDung'!SA113))))</f>
        <v/>
      </c>
      <c r="J112" s="1023"/>
      <c r="K112" s="1024"/>
      <c r="L112" s="1025"/>
      <c r="M112" s="1026" t="str">
        <f>IF(L112="","",'#orgDung'!AN113)</f>
        <v/>
      </c>
      <c r="N112" s="1026" t="str">
        <f>IF(L112="","",'#orgDung'!AO113)</f>
        <v/>
      </c>
      <c r="O112" s="1027" t="str">
        <f>IF(L112="","",'#orgDung'!AQ113)</f>
        <v/>
      </c>
      <c r="P112" s="1025"/>
      <c r="Q112" s="1026" t="str">
        <f>IF(P112="","",'#orgDung'!BC113)</f>
        <v/>
      </c>
      <c r="R112" s="1026" t="str">
        <f>IF(P112="","",'#orgDung'!BD113)</f>
        <v/>
      </c>
      <c r="S112" s="1027" t="str">
        <f>IF(P112="","",'#orgDung'!BF113)</f>
        <v/>
      </c>
      <c r="T112" s="1025"/>
      <c r="U112" s="1026" t="str">
        <f>IF(T112="","",'#orgDung'!BR113)</f>
        <v/>
      </c>
      <c r="V112" s="1026" t="str">
        <f>IF(T112="","",'#orgDung'!BS113)</f>
        <v/>
      </c>
      <c r="W112" s="1027" t="str">
        <f>IF(T112="","",'#orgDung'!BU113)</f>
        <v/>
      </c>
      <c r="X112" s="1025"/>
      <c r="Y112" s="1026" t="str">
        <f>IF(X112="","",'#orgDung'!CG113)</f>
        <v/>
      </c>
      <c r="Z112" s="1026" t="str">
        <f>IF(X112="","",'#orgDung'!CH113)</f>
        <v/>
      </c>
      <c r="AA112" s="1027" t="str">
        <f>IF(X112="","",'#orgDung'!CJ113)</f>
        <v/>
      </c>
      <c r="AB112" s="1025"/>
      <c r="AC112" s="1026" t="str">
        <f>IF(AB112="","",'#orgDung'!CV113)</f>
        <v/>
      </c>
      <c r="AD112" s="1026" t="str">
        <f>IF(AB112="","",'#orgDung'!CW113)</f>
        <v/>
      </c>
      <c r="AE112" s="1027" t="str">
        <f>IF(AB112="","",'#orgDung'!CY113)</f>
        <v/>
      </c>
      <c r="AF112" s="1025"/>
      <c r="AG112" s="1026" t="str">
        <f>IF(AF112="","",'#orgDung'!DK113)</f>
        <v/>
      </c>
      <c r="AH112" s="1026" t="str">
        <f>IF(AF112="","",'#orgDung'!DL113)</f>
        <v/>
      </c>
      <c r="AI112" s="1027" t="str">
        <f>IF(AF112="","",'#orgDung'!DN113)</f>
        <v/>
      </c>
      <c r="AJ112" s="1025"/>
      <c r="AK112" s="1026" t="str">
        <f>IF(AJ112="","",'#orgDung'!DZ113)</f>
        <v/>
      </c>
      <c r="AL112" s="1026" t="str">
        <f>IF(AJ112="","",'#orgDung'!EA113)</f>
        <v/>
      </c>
      <c r="AM112" s="1027" t="str">
        <f>IF(AJ112="","",'#orgDung'!EC113)</f>
        <v/>
      </c>
      <c r="AN112" s="1025"/>
      <c r="AO112" s="1026" t="str">
        <f>IF(AN112="","",'#orgDung'!EO113)</f>
        <v/>
      </c>
      <c r="AP112" s="1026" t="str">
        <f>IF(AN112="","",'#orgDung'!EP113)</f>
        <v/>
      </c>
      <c r="AQ112" s="1027" t="str">
        <f>IF(AN112="","",'#orgDung'!ER113)</f>
        <v/>
      </c>
      <c r="AR112" s="1025"/>
      <c r="AS112" s="1026" t="str">
        <f>IF(AR112="","",'#orgDung'!FD113)</f>
        <v/>
      </c>
      <c r="AT112" s="1026" t="str">
        <f>IF(AR112="","",'#orgDung'!FE113)</f>
        <v/>
      </c>
      <c r="AU112" s="1027" t="str">
        <f>IF(AR112="","",'#orgDung'!FG113)</f>
        <v/>
      </c>
      <c r="AV112" s="1025"/>
      <c r="AW112" s="1026" t="str">
        <f>IF(AV112="","",'#orgDung'!FS113)</f>
        <v/>
      </c>
      <c r="AX112" s="1026" t="str">
        <f>IF(AV112="","",'#orgDung'!FT113)</f>
        <v/>
      </c>
      <c r="AY112" s="1027" t="str">
        <f>IF(AV112="","",'#orgDung'!FV113)</f>
        <v/>
      </c>
      <c r="AZ112" s="1025"/>
      <c r="BA112" s="1026" t="str">
        <f>IF(AZ112="","",'#orgDung'!GH113)</f>
        <v/>
      </c>
      <c r="BB112" s="1026" t="str">
        <f>IF(AZ112="","",'#orgDung'!GI113)</f>
        <v/>
      </c>
      <c r="BC112" s="1027" t="str">
        <f>IF(AZ112="","",'#orgDung'!GK113)</f>
        <v/>
      </c>
      <c r="BD112" s="1025"/>
      <c r="BE112" s="1026" t="str">
        <f>IF(BD112="","",'#orgDung'!GW113)</f>
        <v/>
      </c>
      <c r="BF112" s="1026" t="str">
        <f>IF(BD112="","",'#orgDung'!GX113)</f>
        <v/>
      </c>
      <c r="BG112" s="1027" t="str">
        <f>IF(BD112="","",'#orgDung'!GZ113)</f>
        <v/>
      </c>
      <c r="BH112" s="1025"/>
      <c r="BI112" s="1026" t="str">
        <f>IF(BH112="","",'#orgDung'!HL113)</f>
        <v/>
      </c>
      <c r="BJ112" s="1026" t="str">
        <f>IF(BH112="","",'#orgDung'!HM113)</f>
        <v/>
      </c>
      <c r="BK112" s="1027" t="str">
        <f>IF(BH112="","",'#orgDung'!HO113)</f>
        <v/>
      </c>
      <c r="BL112" s="1025"/>
      <c r="BM112" s="1026" t="str">
        <f>IF(BL112="","",'#orgDung'!IA113)</f>
        <v/>
      </c>
      <c r="BN112" s="1026" t="str">
        <f>IF(BL112="","",'#orgDung'!IB113)</f>
        <v/>
      </c>
      <c r="BO112" s="1027" t="str">
        <f>IF(BL112="","",'#orgDung'!ID113)</f>
        <v/>
      </c>
      <c r="BP112" s="1025"/>
      <c r="BQ112" s="1026" t="str">
        <f>IF(BP112="","",'#orgDung'!IP113)</f>
        <v/>
      </c>
      <c r="BR112" s="1026" t="str">
        <f>IF(BP112="","",'#orgDung'!IQ113)</f>
        <v/>
      </c>
      <c r="BS112" s="1027" t="str">
        <f>IF(BP112="","",'#orgDung'!IS113)</f>
        <v/>
      </c>
      <c r="BT112" s="1025"/>
      <c r="BU112" s="1026" t="str">
        <f>IF(BT112="","",'#orgDung'!JE113)</f>
        <v/>
      </c>
      <c r="BV112" s="1026" t="str">
        <f>IF(BT112="","",'#orgDung'!JF113)</f>
        <v/>
      </c>
      <c r="BW112" s="1027" t="str">
        <f>IF(BT112="","",'#orgDung'!JH113)</f>
        <v/>
      </c>
      <c r="BX112" s="1025"/>
      <c r="BY112" s="1026" t="str">
        <f>IF(BX112="","",'#orgDung'!JT113)</f>
        <v/>
      </c>
      <c r="BZ112" s="1026" t="str">
        <f>IF(BX112="","",'#orgDung'!JU113)</f>
        <v/>
      </c>
      <c r="CA112" s="1027" t="str">
        <f>IF(BX112="","",'#orgDung'!JW113)</f>
        <v/>
      </c>
      <c r="CB112" s="1025"/>
      <c r="CC112" s="1026" t="str">
        <f>IF(CB112="","",'#orgDung'!KI113)</f>
        <v/>
      </c>
      <c r="CD112" s="1026" t="str">
        <f>IF(CB112="","",'#orgDung'!KJ113)</f>
        <v/>
      </c>
      <c r="CE112" s="1027" t="str">
        <f>IF(CB112="","",'#orgDung'!KL113)</f>
        <v/>
      </c>
      <c r="CF112" s="1025"/>
      <c r="CG112" s="1026" t="str">
        <f>IF(CF112="","",'#orgDung'!KX113)</f>
        <v/>
      </c>
      <c r="CH112" s="1026" t="str">
        <f>IF(CF112="","",'#orgDung'!KY113)</f>
        <v/>
      </c>
      <c r="CI112" s="1027" t="str">
        <f>IF(CF112="","",'#orgDung'!LA113)</f>
        <v/>
      </c>
      <c r="CJ112" s="1025"/>
      <c r="CK112" s="1026" t="str">
        <f>IF(CJ112="","",'#orgDung'!LM113)</f>
        <v/>
      </c>
      <c r="CL112" s="1026" t="str">
        <f>IF(CJ112="","",'#orgDung'!LN113)</f>
        <v/>
      </c>
      <c r="CM112" s="1027" t="str">
        <f>IF(CJ112="","",'#orgDung'!LP113)</f>
        <v/>
      </c>
      <c r="CN112" s="1025"/>
      <c r="CO112" s="1026" t="str">
        <f>IF(CN112="","",'#orgDung'!MB113)</f>
        <v/>
      </c>
      <c r="CP112" s="1026" t="str">
        <f>IF(CN112="","",'#orgDung'!MC113)</f>
        <v/>
      </c>
      <c r="CQ112" s="1027" t="str">
        <f>IF(CN112="","",'#orgDung'!ME113)</f>
        <v/>
      </c>
      <c r="CR112" s="1025"/>
      <c r="CS112" s="1026" t="str">
        <f>IF(CR112="","",'#orgDung'!MQ113)</f>
        <v/>
      </c>
      <c r="CT112" s="1026" t="str">
        <f>IF(CR112="","",'#orgDung'!MR113)</f>
        <v/>
      </c>
      <c r="CU112" s="1027" t="str">
        <f>IF(CR112="","",'#orgDung'!MT113)</f>
        <v/>
      </c>
      <c r="CV112" s="1025"/>
      <c r="CW112" s="1026" t="str">
        <f>IF(CV112="","",'#orgDung'!NF113)</f>
        <v/>
      </c>
      <c r="CX112" s="1026" t="str">
        <f>IF(CV112="","",'#orgDung'!NG113)</f>
        <v/>
      </c>
      <c r="CY112" s="1027" t="str">
        <f>IF(CV112="","",'#orgDung'!NI113)</f>
        <v/>
      </c>
      <c r="CZ112" s="1025"/>
      <c r="DA112" s="1026" t="str">
        <f>IF(CZ112="","",'#orgDung'!NU113)</f>
        <v/>
      </c>
      <c r="DB112" s="1026" t="str">
        <f>IF(CZ112="","",'#orgDung'!NV113)</f>
        <v/>
      </c>
      <c r="DC112" s="1027" t="str">
        <f>IF(CZ112="","",'#orgDung'!NX113)</f>
        <v/>
      </c>
      <c r="DD112" s="1025"/>
      <c r="DE112" s="1026" t="str">
        <f>IF(DD112="","",'#orgDung'!OJ113)</f>
        <v/>
      </c>
      <c r="DF112" s="1026" t="str">
        <f>IF(DD112="","",'#orgDung'!OK113)</f>
        <v/>
      </c>
      <c r="DG112" s="1027" t="str">
        <f>IF(DD112="","",'#orgDung'!OM113)</f>
        <v/>
      </c>
      <c r="DH112" s="1025"/>
      <c r="DI112" s="1026" t="str">
        <f>IF(DH112="","",'#orgDung'!OY113)</f>
        <v/>
      </c>
      <c r="DJ112" s="1026" t="str">
        <f>IF(DH112="","",'#orgDung'!OZ113)</f>
        <v/>
      </c>
      <c r="DK112" s="1027" t="str">
        <f>IF(DH112="","",'#orgDung'!PB113)</f>
        <v/>
      </c>
      <c r="DL112" s="1025"/>
      <c r="DM112" s="1026" t="str">
        <f>IF(DL112="","",'#orgDung'!PN113)</f>
        <v/>
      </c>
      <c r="DN112" s="1026" t="str">
        <f>IF(DL112="","",'#orgDung'!PO113)</f>
        <v/>
      </c>
      <c r="DO112" s="1027" t="str">
        <f>IF(DL112="","",'#orgDung'!PQ113)</f>
        <v/>
      </c>
      <c r="DP112" s="1025"/>
      <c r="DQ112" s="1026" t="str">
        <f>IF(DP112="","",'#orgDung'!QC113)</f>
        <v/>
      </c>
      <c r="DR112" s="1026" t="str">
        <f>IF(DP112="","",'#orgDung'!QD113)</f>
        <v/>
      </c>
      <c r="DS112" s="1027" t="str">
        <f>IF(DP112="","",'#orgDung'!QF113)</f>
        <v/>
      </c>
      <c r="DT112" s="1025"/>
      <c r="DU112" s="1026" t="str">
        <f>IF(DT112="","",'#orgDung'!QR113)</f>
        <v/>
      </c>
      <c r="DV112" s="1026" t="str">
        <f>IF(DT112="","",'#orgDung'!QS113)</f>
        <v/>
      </c>
      <c r="DW112" s="1027" t="str">
        <f>IF(DT112="","",'#orgDung'!QU113)</f>
        <v/>
      </c>
      <c r="DX112" s="1025"/>
      <c r="DY112" s="1026" t="str">
        <f>IF(DX112="","",'#orgDung'!RG113)</f>
        <v/>
      </c>
      <c r="DZ112" s="1026" t="str">
        <f>IF(DX112="","",'#orgDung'!RH113)</f>
        <v/>
      </c>
      <c r="EA112" s="1027" t="str">
        <f>IF(DX112="","",'#orgDung'!RJ113)</f>
        <v/>
      </c>
    </row>
    <row r="113" spans="1:131" ht="15.95" customHeight="1" x14ac:dyDescent="0.2">
      <c r="A113" s="300"/>
      <c r="B113" s="300"/>
      <c r="C113" s="300"/>
      <c r="D113" s="300"/>
      <c r="E113" s="173"/>
      <c r="F113" s="300"/>
      <c r="G113" s="915"/>
      <c r="H113" s="915"/>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s="300"/>
      <c r="CP113" s="300"/>
      <c r="CQ113" s="300"/>
      <c r="CR113" s="300"/>
      <c r="CS113" s="300"/>
      <c r="CT113" s="300"/>
      <c r="CU113" s="300"/>
      <c r="CV113" s="300"/>
      <c r="CW113" s="300"/>
      <c r="CX113" s="300"/>
      <c r="CY113" s="300"/>
      <c r="CZ113" s="300"/>
      <c r="DA113" s="300"/>
      <c r="DB113" s="300"/>
      <c r="DC113" s="300"/>
      <c r="DD113" s="300"/>
      <c r="DE113" s="300"/>
      <c r="DF113" s="300"/>
      <c r="DG113" s="300"/>
      <c r="DH113" s="300"/>
      <c r="DI113" s="300"/>
      <c r="DJ113" s="300"/>
      <c r="DK113" s="300"/>
      <c r="DL113" s="300"/>
      <c r="DM113" s="300"/>
      <c r="DN113" s="300"/>
      <c r="DO113" s="300"/>
      <c r="DP113" s="300"/>
      <c r="DQ113" s="300"/>
      <c r="DR113" s="300"/>
      <c r="DS113" s="300"/>
      <c r="DT113" s="300"/>
      <c r="DU113" s="300"/>
      <c r="DV113" s="300"/>
      <c r="DW113" s="300"/>
      <c r="DX113" s="300"/>
      <c r="DY113" s="300"/>
      <c r="DZ113" s="300"/>
      <c r="EA113" s="300"/>
    </row>
    <row r="114" spans="1:131" ht="15.95" hidden="1" customHeight="1" x14ac:dyDescent="0.2">
      <c r="A114" s="474"/>
      <c r="B114" s="474"/>
      <c r="C114" s="474"/>
      <c r="D114" s="474"/>
      <c r="E114" s="914"/>
      <c r="F114" s="474"/>
      <c r="G114" s="916"/>
      <c r="H114" s="916"/>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c r="AY114" s="474"/>
      <c r="AZ114" s="474"/>
      <c r="BA114" s="474"/>
      <c r="BB114" s="474"/>
      <c r="BC114" s="474"/>
      <c r="BD114" s="474"/>
      <c r="BE114" s="474"/>
      <c r="BF114" s="474"/>
      <c r="BG114" s="474"/>
      <c r="BH114" s="474"/>
      <c r="BI114" s="474"/>
      <c r="BJ114" s="474"/>
      <c r="BK114" s="474"/>
      <c r="BL114" s="474"/>
      <c r="BM114" s="474"/>
      <c r="BN114" s="474"/>
      <c r="BO114" s="474"/>
      <c r="BP114" s="474"/>
      <c r="BQ114" s="474"/>
      <c r="BR114" s="474"/>
      <c r="BS114" s="474"/>
      <c r="BT114" s="474"/>
      <c r="BU114" s="474"/>
      <c r="BV114" s="474"/>
      <c r="BW114" s="474"/>
      <c r="BX114" s="474"/>
      <c r="BY114" s="474"/>
      <c r="BZ114" s="474"/>
      <c r="CA114" s="474"/>
      <c r="CB114" s="474"/>
      <c r="CC114" s="474"/>
      <c r="CD114" s="474"/>
      <c r="CE114" s="474"/>
      <c r="CF114" s="474"/>
      <c r="CG114" s="474"/>
      <c r="CH114" s="474"/>
      <c r="CI114" s="474"/>
      <c r="CJ114" s="474"/>
      <c r="CK114" s="474"/>
      <c r="CL114" s="474"/>
      <c r="CM114" s="474"/>
      <c r="CN114" s="474"/>
      <c r="CO114" s="474"/>
      <c r="CP114" s="474"/>
      <c r="CQ114" s="474"/>
      <c r="CR114" s="474"/>
      <c r="CS114" s="474"/>
      <c r="CT114" s="474"/>
      <c r="CU114" s="474"/>
      <c r="CV114" s="474"/>
      <c r="CW114" s="474"/>
      <c r="CX114" s="474"/>
      <c r="CY114" s="474"/>
      <c r="CZ114" s="474"/>
      <c r="DA114" s="474"/>
      <c r="DB114" s="474"/>
      <c r="DC114" s="474"/>
      <c r="DD114" s="474"/>
      <c r="DE114" s="474"/>
      <c r="DF114" s="474"/>
      <c r="DG114" s="474"/>
      <c r="DH114" s="474"/>
      <c r="DI114" s="474"/>
      <c r="DJ114" s="474"/>
      <c r="DK114" s="474"/>
      <c r="DL114" s="474"/>
      <c r="DM114" s="474"/>
      <c r="DN114" s="474"/>
      <c r="DO114" s="474"/>
      <c r="DP114" s="474"/>
      <c r="DQ114" s="474"/>
      <c r="DR114" s="474"/>
      <c r="DS114" s="474"/>
      <c r="DT114" s="474"/>
      <c r="DU114" s="474"/>
      <c r="DV114" s="474"/>
      <c r="DW114" s="474"/>
      <c r="DX114" s="474"/>
      <c r="DY114" s="474"/>
      <c r="DZ114" s="474"/>
      <c r="EA114" s="474"/>
    </row>
    <row r="115" spans="1:131" ht="15.95" hidden="1" customHeight="1" x14ac:dyDescent="0.2">
      <c r="A115" s="615"/>
      <c r="B115" s="882" t="s">
        <v>1216</v>
      </c>
      <c r="C115" s="615"/>
      <c r="D115" s="615"/>
      <c r="F115" s="615"/>
      <c r="G115" s="968" t="s">
        <v>1691</v>
      </c>
      <c r="H115" s="1484"/>
      <c r="I115" s="615">
        <f>IF(MAX(L115:EA115)=0,COLUMN(AQ114),MAX(L115:EA115))</f>
        <v>43</v>
      </c>
      <c r="J115" s="615"/>
      <c r="K115" s="615"/>
      <c r="L115" s="1611" t="str">
        <f>IF(SUM(L13:L112)&gt;0,COLUMN(O114),"")</f>
        <v/>
      </c>
      <c r="M115" s="1611"/>
      <c r="N115" s="1611"/>
      <c r="O115" s="1611"/>
      <c r="P115" s="1611" t="str">
        <f t="shared" ref="P115" si="0">IF(SUM(P13:P112)&gt;0,COLUMN(S114),"")</f>
        <v/>
      </c>
      <c r="Q115" s="1611"/>
      <c r="R115" s="1611"/>
      <c r="S115" s="1611"/>
      <c r="T115" s="1611" t="str">
        <f t="shared" ref="T115" si="1">IF(SUM(T13:T112)&gt;0,COLUMN(W114),"")</f>
        <v/>
      </c>
      <c r="U115" s="1611"/>
      <c r="V115" s="1611"/>
      <c r="W115" s="1611"/>
      <c r="X115" s="1611" t="str">
        <f t="shared" ref="X115" si="2">IF(SUM(X13:X112)&gt;0,COLUMN(AA114),"")</f>
        <v/>
      </c>
      <c r="Y115" s="1611"/>
      <c r="Z115" s="1611"/>
      <c r="AA115" s="1611"/>
      <c r="AB115" s="1611" t="str">
        <f t="shared" ref="AB115" si="3">IF(SUM(AB13:AB112)&gt;0,COLUMN(AE114),"")</f>
        <v/>
      </c>
      <c r="AC115" s="1611"/>
      <c r="AD115" s="1611"/>
      <c r="AE115" s="1611"/>
      <c r="AF115" s="1611" t="str">
        <f t="shared" ref="AF115" si="4">IF(SUM(AF13:AF112)&gt;0,COLUMN(AI114),"")</f>
        <v/>
      </c>
      <c r="AG115" s="1611"/>
      <c r="AH115" s="1611"/>
      <c r="AI115" s="1611"/>
      <c r="AJ115" s="1611" t="str">
        <f t="shared" ref="AJ115" si="5">IF(SUM(AJ13:AJ112)&gt;0,COLUMN(AM114),"")</f>
        <v/>
      </c>
      <c r="AK115" s="1611"/>
      <c r="AL115" s="1611"/>
      <c r="AM115" s="1611"/>
      <c r="AN115" s="1611" t="str">
        <f t="shared" ref="AN115" si="6">IF(SUM(AN13:AN112)&gt;0,COLUMN(AQ114),"")</f>
        <v/>
      </c>
      <c r="AO115" s="1611"/>
      <c r="AP115" s="1611"/>
      <c r="AQ115" s="1611"/>
      <c r="AR115" s="1611" t="str">
        <f t="shared" ref="AR115" si="7">IF(SUM(AR13:AR112)&gt;0,COLUMN(AU114),"")</f>
        <v/>
      </c>
      <c r="AS115" s="1611"/>
      <c r="AT115" s="1611"/>
      <c r="AU115" s="1611"/>
      <c r="AV115" s="1611" t="str">
        <f t="shared" ref="AV115" si="8">IF(SUM(AV13:AV112)&gt;0,COLUMN(AY114),"")</f>
        <v/>
      </c>
      <c r="AW115" s="1611"/>
      <c r="AX115" s="1611"/>
      <c r="AY115" s="1611"/>
      <c r="AZ115" s="1611" t="str">
        <f t="shared" ref="AZ115" si="9">IF(SUM(AZ13:AZ112)&gt;0,COLUMN(BC114),"")</f>
        <v/>
      </c>
      <c r="BA115" s="1611"/>
      <c r="BB115" s="1611"/>
      <c r="BC115" s="1611"/>
      <c r="BD115" s="1611" t="str">
        <f t="shared" ref="BD115" si="10">IF(SUM(BD13:BD112)&gt;0,COLUMN(BG114),"")</f>
        <v/>
      </c>
      <c r="BE115" s="1611"/>
      <c r="BF115" s="1611"/>
      <c r="BG115" s="1611"/>
      <c r="BH115" s="1611" t="str">
        <f t="shared" ref="BH115" si="11">IF(SUM(BH13:BH112)&gt;0,COLUMN(BK114),"")</f>
        <v/>
      </c>
      <c r="BI115" s="1611"/>
      <c r="BJ115" s="1611"/>
      <c r="BK115" s="1611"/>
      <c r="BL115" s="1611" t="str">
        <f t="shared" ref="BL115" si="12">IF(SUM(BL13:BL112)&gt;0,COLUMN(BO114),"")</f>
        <v/>
      </c>
      <c r="BM115" s="1611"/>
      <c r="BN115" s="1611"/>
      <c r="BO115" s="1611"/>
      <c r="BP115" s="1611" t="str">
        <f t="shared" ref="BP115" si="13">IF(SUM(BP13:BP112)&gt;0,COLUMN(BS114),"")</f>
        <v/>
      </c>
      <c r="BQ115" s="1611"/>
      <c r="BR115" s="1611"/>
      <c r="BS115" s="1611"/>
      <c r="BT115" s="1611" t="str">
        <f t="shared" ref="BT115" si="14">IF(SUM(BT13:BT112)&gt;0,COLUMN(BW114),"")</f>
        <v/>
      </c>
      <c r="BU115" s="1611"/>
      <c r="BV115" s="1611"/>
      <c r="BW115" s="1611"/>
      <c r="BX115" s="1611" t="str">
        <f t="shared" ref="BX115" si="15">IF(SUM(BX13:BX112)&gt;0,COLUMN(CA114),"")</f>
        <v/>
      </c>
      <c r="BY115" s="1611"/>
      <c r="BZ115" s="1611"/>
      <c r="CA115" s="1611"/>
      <c r="CB115" s="1611" t="str">
        <f t="shared" ref="CB115" si="16">IF(SUM(CB13:CB112)&gt;0,COLUMN(CE114),"")</f>
        <v/>
      </c>
      <c r="CC115" s="1611"/>
      <c r="CD115" s="1611"/>
      <c r="CE115" s="1611"/>
      <c r="CF115" s="1611" t="str">
        <f t="shared" ref="CF115" si="17">IF(SUM(CF13:CF112)&gt;0,COLUMN(CI114),"")</f>
        <v/>
      </c>
      <c r="CG115" s="1611"/>
      <c r="CH115" s="1611"/>
      <c r="CI115" s="1611"/>
      <c r="CJ115" s="1611" t="str">
        <f t="shared" ref="CJ115" si="18">IF(SUM(CJ13:CJ112)&gt;0,COLUMN(CM114),"")</f>
        <v/>
      </c>
      <c r="CK115" s="1611"/>
      <c r="CL115" s="1611"/>
      <c r="CM115" s="1611"/>
      <c r="CN115" s="1611" t="str">
        <f t="shared" ref="CN115" si="19">IF(SUM(CN13:CN112)&gt;0,COLUMN(CQ114),"")</f>
        <v/>
      </c>
      <c r="CO115" s="1611"/>
      <c r="CP115" s="1611"/>
      <c r="CQ115" s="1611"/>
      <c r="CR115" s="1611" t="str">
        <f t="shared" ref="CR115" si="20">IF(SUM(CR13:CR112)&gt;0,COLUMN(CU114),"")</f>
        <v/>
      </c>
      <c r="CS115" s="1611"/>
      <c r="CT115" s="1611"/>
      <c r="CU115" s="1611"/>
      <c r="CV115" s="1611" t="str">
        <f t="shared" ref="CV115" si="21">IF(SUM(CV13:CV112)&gt;0,COLUMN(CY114),"")</f>
        <v/>
      </c>
      <c r="CW115" s="1611"/>
      <c r="CX115" s="1611"/>
      <c r="CY115" s="1611"/>
      <c r="CZ115" s="1611" t="str">
        <f t="shared" ref="CZ115" si="22">IF(SUM(CZ13:CZ112)&gt;0,COLUMN(DC114),"")</f>
        <v/>
      </c>
      <c r="DA115" s="1611"/>
      <c r="DB115" s="1611"/>
      <c r="DC115" s="1611"/>
      <c r="DD115" s="1611" t="str">
        <f t="shared" ref="DD115" si="23">IF(SUM(DD13:DD112)&gt;0,COLUMN(DG114),"")</f>
        <v/>
      </c>
      <c r="DE115" s="1611"/>
      <c r="DF115" s="1611"/>
      <c r="DG115" s="1611"/>
      <c r="DH115" s="1611" t="str">
        <f t="shared" ref="DH115" si="24">IF(SUM(DH13:DH112)&gt;0,COLUMN(DK114),"")</f>
        <v/>
      </c>
      <c r="DI115" s="1611"/>
      <c r="DJ115" s="1611"/>
      <c r="DK115" s="1611"/>
      <c r="DL115" s="1611" t="str">
        <f t="shared" ref="DL115" si="25">IF(SUM(DL13:DL112)&gt;0,COLUMN(DO114),"")</f>
        <v/>
      </c>
      <c r="DM115" s="1611"/>
      <c r="DN115" s="1611"/>
      <c r="DO115" s="1611"/>
      <c r="DP115" s="1611" t="str">
        <f t="shared" ref="DP115" si="26">IF(SUM(DP13:DP112)&gt;0,COLUMN(DS114),"")</f>
        <v/>
      </c>
      <c r="DQ115" s="1611"/>
      <c r="DR115" s="1611"/>
      <c r="DS115" s="1611"/>
      <c r="DT115" s="1611" t="str">
        <f t="shared" ref="DT115" si="27">IF(SUM(DT13:DT112)&gt;0,COLUMN(DW114),"")</f>
        <v/>
      </c>
      <c r="DU115" s="1611"/>
      <c r="DV115" s="1611"/>
      <c r="DW115" s="1611"/>
      <c r="DX115" s="1611" t="str">
        <f>IF(SUM(DX13:DX112)&gt;0,COLUMN(EA114),"")</f>
        <v/>
      </c>
      <c r="DY115" s="1611"/>
      <c r="DZ115" s="1611"/>
      <c r="EA115" s="1611"/>
    </row>
    <row r="116" spans="1:131" ht="15.95" hidden="1" customHeight="1" x14ac:dyDescent="0.2">
      <c r="B116" t="str">
        <f>CONCATENATE("A1:",I116)</f>
        <v>A1:AQ37</v>
      </c>
      <c r="I116" s="938" t="str">
        <f>ADDRESS('#BerechnungDBE'!DS106+3,I115,4)</f>
        <v>AQ37</v>
      </c>
    </row>
    <row r="117" spans="1:131" ht="15.95" hidden="1" customHeight="1" x14ac:dyDescent="0.2"/>
    <row r="120" spans="1:131" ht="15.95" customHeight="1" x14ac:dyDescent="0.2">
      <c r="K120" s="615"/>
    </row>
  </sheetData>
  <sheetProtection algorithmName="SHA-512" hashValue="MhRglaeMtrLVs4Z3rEVxPe+G3KoFoeGl5X60h0e1W1TlUuXF6D1rKdEbKNeYqwdxKY84041wYyVbQzmVtAFqtg==" saltValue="kTYGdLZ6RV2if5YWobhOCA=="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L11:O11"/>
    <mergeCell ref="L5:O5"/>
    <mergeCell ref="P5:S5"/>
    <mergeCell ref="P6:S6"/>
    <mergeCell ref="P7:S7"/>
    <mergeCell ref="P8:S8"/>
    <mergeCell ref="P9:S9"/>
    <mergeCell ref="P10:S10"/>
    <mergeCell ref="P11:S11"/>
    <mergeCell ref="L6:O6"/>
    <mergeCell ref="L7:O7"/>
    <mergeCell ref="L8:O8"/>
    <mergeCell ref="L9:O9"/>
    <mergeCell ref="L10:O10"/>
    <mergeCell ref="A9:A12"/>
    <mergeCell ref="B9:B12"/>
    <mergeCell ref="C9:C12"/>
    <mergeCell ref="D9:D12"/>
    <mergeCell ref="E9:E12"/>
    <mergeCell ref="C7:E7"/>
    <mergeCell ref="F9:F12"/>
    <mergeCell ref="G9:G12"/>
    <mergeCell ref="J9:K10"/>
    <mergeCell ref="I9:I12"/>
    <mergeCell ref="H9:H12"/>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R3:AU3"/>
    <mergeCell ref="AV3:AY3"/>
    <mergeCell ref="AZ3:BC3"/>
    <mergeCell ref="BD3:BG3"/>
    <mergeCell ref="BH3:BK3"/>
    <mergeCell ref="BL3:BO3"/>
    <mergeCell ref="BP3:BS3"/>
    <mergeCell ref="BT3:BW3"/>
    <mergeCell ref="BX3:CA3"/>
    <mergeCell ref="CB3:CE3"/>
    <mergeCell ref="CF3:CI3"/>
    <mergeCell ref="CJ3:CM3"/>
    <mergeCell ref="CN3:CQ3"/>
    <mergeCell ref="CR3:CU3"/>
    <mergeCell ref="CV3:CY3"/>
    <mergeCell ref="CZ3:DC3"/>
    <mergeCell ref="DD3:DG3"/>
    <mergeCell ref="DH3:DK3"/>
    <mergeCell ref="AR4:AU4"/>
    <mergeCell ref="AV4:AY4"/>
    <mergeCell ref="CZ4:DC4"/>
    <mergeCell ref="DD4:DG4"/>
    <mergeCell ref="DH4:DK4"/>
    <mergeCell ref="DL4:DO4"/>
    <mergeCell ref="DP4:DS4"/>
    <mergeCell ref="DT4:DW4"/>
    <mergeCell ref="DX4:EA4"/>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s>
  <dataValidations xWindow="798" yWindow="301" count="3">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formula1>0</formula1>
      <formula2>1000.1</formula2>
    </dataValidation>
    <dataValidation type="list" allowBlank="1" showInputMessage="1" showErrorMessage="1" sqref="DP8 DT8 AB8 X8 DX8 AF8 AJ8 AN8 AR8 AV8 AZ8 BD8 BH8 BL8 BP8 BT8 BX8 CB8 CF8 CJ8 CN8 CR8 CV8 CZ8 DD8 DH8 DL8 T8 L8 P8">
      <formula1>orgDünger</formula1>
    </dataValidation>
    <dataValidation type="date" allowBlank="1" showInputMessage="1" showErrorMessage="1" errorTitle="Fehler Datum" error="Datum nicht Plausibel_x000a_" promptTitle="Datum" prompt="Bitte Datum der Düngergabe eintragen" sqref="L6:EA6">
      <formula1>44348</formula1>
      <formula2>44926</formula2>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Sr, Sp, Ka), Stand: 13.12.2021&amp;RSeite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2">
        <x14:dataValidation type="list" allowBlank="1" showInputMessage="1" showErrorMessage="1">
          <x14:formula1>
            <xm:f>'#Boden'!$B$49:$B$50</xm:f>
          </x14:formula1>
          <xm:sqref>L11:EA11</xm:sqref>
        </x14:dataValidation>
        <x14:dataValidation type="list" allowBlank="1" showInputMessage="1" showErrorMessage="1">
          <x14:formula1>
            <xm:f>'#Boden'!$B$41:$B$43</xm:f>
          </x14:formula1>
          <xm:sqref>L10:EA10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SA188"/>
  <sheetViews>
    <sheetView topLeftCell="I1" workbookViewId="0">
      <selection activeCell="U3" sqref="U3"/>
    </sheetView>
  </sheetViews>
  <sheetFormatPr baseColWidth="10" defaultRowHeight="12.75" x14ac:dyDescent="0.2"/>
  <cols>
    <col min="2" max="2" width="11.42578125" style="683"/>
    <col min="4" max="4" width="11.42578125" style="683"/>
    <col min="7" max="7" width="11.42578125" style="683"/>
    <col min="11" max="11" width="11.42578125" style="906"/>
    <col min="14" max="14" width="15.140625" customWidth="1"/>
    <col min="19" max="19" width="11.42578125" style="938"/>
    <col min="21" max="21" width="11.42578125" style="683"/>
    <col min="25" max="25" width="11.42578125" style="691"/>
    <col min="27" max="27" width="11.42578125" style="910"/>
    <col min="28" max="28" width="11.5703125" style="836"/>
    <col min="31" max="31" width="11.42578125" style="691"/>
    <col min="32" max="32" width="11.5703125" style="836"/>
    <col min="33" max="33" width="11.42578125" style="683"/>
    <col min="36" max="36" width="13.140625" style="683" customWidth="1"/>
    <col min="39" max="39" width="11.42578125" style="714"/>
    <col min="41" max="41" width="11.5703125" style="875"/>
    <col min="44" max="44" width="11.42578125" style="683"/>
    <col min="48" max="48" width="11.42578125" style="906"/>
    <col min="49" max="49" width="12.7109375" customWidth="1"/>
    <col min="52" max="62" width="11.42578125" style="875" customWidth="1"/>
    <col min="63" max="63" width="11.42578125" style="910" customWidth="1"/>
    <col min="64" max="64" width="12.7109375" style="875" customWidth="1"/>
    <col min="65" max="65" width="11.42578125" style="875" customWidth="1"/>
    <col min="66" max="66" width="11.42578125" customWidth="1"/>
    <col min="67" max="77" width="11.42578125" style="875" customWidth="1"/>
    <col min="78" max="78" width="11.42578125" style="910" customWidth="1"/>
    <col min="79" max="79" width="12.7109375" style="875" customWidth="1"/>
    <col min="80" max="80" width="11.42578125" style="875" customWidth="1"/>
    <col min="81" max="81" width="11.5703125" customWidth="1"/>
    <col min="82" max="92" width="11.42578125" style="875" customWidth="1"/>
    <col min="93" max="93" width="11.42578125" style="910" customWidth="1"/>
    <col min="94" max="94" width="12.7109375" style="875" customWidth="1"/>
    <col min="95" max="95" width="11.42578125" style="875" customWidth="1"/>
    <col min="96" max="96" width="11.5703125" customWidth="1"/>
    <col min="97" max="107" width="11.42578125" style="875" customWidth="1"/>
    <col min="108" max="108" width="11.42578125" style="910" customWidth="1"/>
    <col min="109" max="109" width="12.7109375" style="875" customWidth="1"/>
    <col min="110" max="110" width="11.42578125" style="875" customWidth="1"/>
    <col min="111" max="111" width="11.5703125" customWidth="1"/>
    <col min="112" max="122" width="11.42578125" style="875" customWidth="1"/>
    <col min="123" max="123" width="11.42578125" style="910" customWidth="1"/>
    <col min="124" max="124" width="12.7109375" style="875" customWidth="1"/>
    <col min="125" max="125" width="11.42578125" style="875" customWidth="1"/>
    <col min="126" max="126" width="11.5703125" customWidth="1"/>
    <col min="127" max="137" width="11.42578125" style="875" customWidth="1"/>
    <col min="138" max="138" width="11.42578125" style="910" customWidth="1"/>
    <col min="139" max="139" width="12.7109375" style="875" customWidth="1"/>
    <col min="140" max="140" width="11.42578125" style="875" customWidth="1"/>
    <col min="141" max="141" width="11.5703125" customWidth="1"/>
    <col min="142" max="152" width="11.42578125" style="875" customWidth="1"/>
    <col min="153" max="153" width="11.42578125" style="910" customWidth="1"/>
    <col min="154" max="154" width="12.7109375" style="875" customWidth="1"/>
    <col min="155" max="155" width="11.42578125" style="875" customWidth="1"/>
    <col min="156" max="156" width="11.5703125" customWidth="1"/>
    <col min="157" max="167" width="11.42578125" style="875" customWidth="1"/>
    <col min="168" max="168" width="11.42578125" style="910" customWidth="1"/>
    <col min="169" max="169" width="12.7109375" style="875" customWidth="1"/>
    <col min="170" max="170" width="11.42578125" style="875" customWidth="1"/>
    <col min="171" max="171" width="11.5703125" customWidth="1"/>
    <col min="172" max="182" width="11.42578125" style="875" customWidth="1"/>
    <col min="183" max="183" width="11.42578125" style="910" customWidth="1"/>
    <col min="184" max="184" width="12.7109375" style="875" customWidth="1"/>
    <col min="185" max="185" width="11.42578125" style="875" customWidth="1"/>
    <col min="186" max="186" width="11.5703125" customWidth="1"/>
    <col min="187" max="197" width="11.42578125" style="875" customWidth="1"/>
    <col min="198" max="198" width="11.42578125" style="910" customWidth="1"/>
    <col min="199" max="199" width="12.7109375" style="875" customWidth="1"/>
    <col min="200" max="200" width="11.42578125" style="875" customWidth="1"/>
    <col min="201" max="201" width="11.5703125" customWidth="1"/>
    <col min="202" max="212" width="11.42578125" style="875" customWidth="1"/>
    <col min="213" max="213" width="11.42578125" style="910" customWidth="1"/>
    <col min="214" max="214" width="12.7109375" style="875" customWidth="1"/>
    <col min="215" max="215" width="11.42578125" style="875" customWidth="1"/>
    <col min="216" max="216" width="11.5703125" customWidth="1"/>
    <col min="217" max="227" width="11.42578125" style="875" customWidth="1"/>
    <col min="228" max="228" width="11.42578125" style="910" customWidth="1"/>
    <col min="229" max="229" width="12.7109375" style="875" customWidth="1"/>
    <col min="230" max="230" width="11.42578125" style="875" customWidth="1"/>
    <col min="231" max="231" width="11.5703125" customWidth="1"/>
    <col min="232" max="242" width="11.42578125" style="875" customWidth="1"/>
    <col min="243" max="243" width="11.42578125" style="910" customWidth="1"/>
    <col min="244" max="244" width="12.7109375" style="875" customWidth="1"/>
    <col min="245" max="245" width="11.42578125" style="875" customWidth="1"/>
    <col min="246" max="246" width="11.5703125" customWidth="1"/>
    <col min="247" max="257" width="11.42578125" style="875" customWidth="1"/>
    <col min="258" max="258" width="11.42578125" style="910" customWidth="1"/>
    <col min="259" max="259" width="12.7109375" style="875" customWidth="1"/>
    <col min="260" max="260" width="11.42578125" style="875" customWidth="1"/>
    <col min="261" max="261" width="11.5703125" customWidth="1"/>
    <col min="262" max="272" width="11.42578125" style="875" customWidth="1"/>
    <col min="273" max="273" width="11.42578125" style="910" customWidth="1"/>
    <col min="274" max="274" width="12.7109375" style="875" customWidth="1"/>
    <col min="275" max="275" width="11.42578125" style="875" customWidth="1"/>
    <col min="276" max="276" width="11.5703125" customWidth="1"/>
    <col min="277" max="287" width="11.42578125" style="875" customWidth="1"/>
    <col min="288" max="288" width="11.42578125" style="910" customWidth="1"/>
    <col min="289" max="289" width="12.7109375" style="875" customWidth="1"/>
    <col min="290" max="290" width="11.42578125" style="875" customWidth="1"/>
    <col min="291" max="291" width="11.5703125" customWidth="1"/>
    <col min="292" max="302" width="11.42578125" style="875" customWidth="1"/>
    <col min="303" max="303" width="11.42578125" style="910" customWidth="1"/>
    <col min="304" max="304" width="12.7109375" style="875" customWidth="1"/>
    <col min="305" max="305" width="11.42578125" style="875" customWidth="1"/>
    <col min="306" max="306" width="11.5703125" customWidth="1"/>
    <col min="307" max="317" width="11.42578125" style="875" customWidth="1"/>
    <col min="318" max="318" width="11.42578125" style="910" customWidth="1"/>
    <col min="319" max="319" width="12.7109375" style="875" customWidth="1"/>
    <col min="320" max="320" width="11.42578125" style="875" customWidth="1"/>
    <col min="321" max="321" width="11.5703125" customWidth="1"/>
    <col min="322" max="332" width="11.42578125" style="875" customWidth="1"/>
    <col min="333" max="333" width="11.42578125" style="910" customWidth="1"/>
    <col min="334" max="334" width="12.7109375" style="875" customWidth="1"/>
    <col min="335" max="335" width="11.42578125" style="875" customWidth="1"/>
    <col min="336" max="336" width="11.5703125" customWidth="1"/>
    <col min="337" max="347" width="11.42578125" style="875" customWidth="1"/>
    <col min="348" max="348" width="11.42578125" style="910" customWidth="1"/>
    <col min="349" max="349" width="12.7109375" style="875" customWidth="1"/>
    <col min="350" max="350" width="11.42578125" style="875" customWidth="1"/>
    <col min="351" max="351" width="11.5703125" customWidth="1"/>
    <col min="352" max="362" width="11.42578125" style="875" customWidth="1"/>
    <col min="363" max="363" width="11.42578125" style="910" customWidth="1"/>
    <col min="364" max="364" width="12.7109375" style="875" customWidth="1"/>
    <col min="365" max="365" width="11.42578125" style="875" customWidth="1"/>
    <col min="366" max="366" width="11.5703125" customWidth="1"/>
    <col min="367" max="377" width="11.42578125" style="875" customWidth="1"/>
    <col min="378" max="378" width="11.42578125" style="910" customWidth="1"/>
    <col min="379" max="379" width="12.7109375" style="875" customWidth="1"/>
    <col min="380" max="380" width="11.42578125" style="875" customWidth="1"/>
    <col min="381" max="381" width="11.5703125" customWidth="1"/>
    <col min="382" max="392" width="11.42578125" style="875" customWidth="1"/>
    <col min="393" max="393" width="11.42578125" style="910" customWidth="1"/>
    <col min="394" max="394" width="12.7109375" style="875" customWidth="1"/>
    <col min="395" max="395" width="11.42578125" style="875" customWidth="1"/>
    <col min="396" max="396" width="11.5703125" customWidth="1"/>
    <col min="397" max="407" width="11.42578125" style="875" customWidth="1"/>
    <col min="408" max="408" width="11.42578125" style="910" customWidth="1"/>
    <col min="409" max="409" width="12.7109375" style="875" customWidth="1"/>
    <col min="410" max="410" width="11.42578125" style="875" customWidth="1"/>
    <col min="411" max="411" width="11.5703125" customWidth="1"/>
    <col min="412" max="422" width="11.42578125" style="875" customWidth="1"/>
    <col min="423" max="423" width="11.42578125" style="910" customWidth="1"/>
    <col min="424" max="424" width="12.7109375" style="875" customWidth="1"/>
    <col min="425" max="425" width="11.42578125" style="875" customWidth="1"/>
    <col min="426" max="426" width="11.5703125" customWidth="1"/>
    <col min="427" max="437" width="11.42578125" style="875" customWidth="1"/>
    <col min="438" max="438" width="11.42578125" style="910" customWidth="1"/>
    <col min="439" max="439" width="12.7109375" style="875" customWidth="1"/>
    <col min="440" max="440" width="11.42578125" style="875" customWidth="1"/>
    <col min="441" max="441" width="11.5703125" customWidth="1"/>
    <col min="442" max="452" width="11.42578125" style="875" customWidth="1"/>
    <col min="453" max="453" width="11.42578125" style="910" customWidth="1"/>
    <col min="454" max="454" width="12.7109375" style="875" customWidth="1"/>
    <col min="455" max="455" width="11.42578125" style="875" customWidth="1"/>
    <col min="456" max="456" width="11.5703125" customWidth="1"/>
    <col min="457" max="467" width="11.42578125" style="875" customWidth="1"/>
    <col min="468" max="468" width="11.42578125" style="910" customWidth="1"/>
    <col min="469" max="469" width="12.7109375" style="875" customWidth="1"/>
    <col min="470" max="470" width="11.42578125" style="875" customWidth="1"/>
    <col min="471" max="471" width="11.5703125" customWidth="1"/>
    <col min="472" max="482" width="11.42578125" style="875" customWidth="1"/>
    <col min="483" max="483" width="11.42578125" style="910" customWidth="1"/>
    <col min="484" max="484" width="12.7109375" style="875" customWidth="1"/>
    <col min="485" max="485" width="11.42578125" style="875" customWidth="1"/>
  </cols>
  <sheetData>
    <row r="1" spans="1:495" s="683" customFormat="1" x14ac:dyDescent="0.2">
      <c r="A1" s="685" t="s">
        <v>1323</v>
      </c>
      <c r="B1" s="685"/>
      <c r="K1" s="906"/>
      <c r="P1" s="685" t="s">
        <v>1317</v>
      </c>
      <c r="S1" s="938"/>
      <c r="Y1" s="691"/>
      <c r="AA1" s="910"/>
      <c r="AB1" s="836"/>
      <c r="AE1" s="691"/>
      <c r="AF1" s="836"/>
      <c r="AG1" s="685" t="s">
        <v>1324</v>
      </c>
      <c r="AM1" s="714"/>
      <c r="AO1" s="875"/>
      <c r="AV1" s="906"/>
      <c r="AZ1" s="910"/>
      <c r="BA1" s="910"/>
      <c r="BB1" s="910"/>
      <c r="BC1" s="910"/>
      <c r="BD1" s="910"/>
      <c r="BE1" s="910"/>
      <c r="BF1" s="910"/>
      <c r="BG1" s="910"/>
      <c r="BH1" s="910"/>
      <c r="BI1" s="910"/>
      <c r="BJ1" s="910"/>
      <c r="BK1" s="910"/>
      <c r="BL1" s="910"/>
      <c r="BM1" s="910"/>
      <c r="BN1" s="691"/>
      <c r="BO1" s="910"/>
      <c r="BP1" s="910"/>
      <c r="BQ1" s="910"/>
      <c r="BR1" s="910"/>
      <c r="BS1" s="910"/>
      <c r="BT1" s="910"/>
      <c r="BU1" s="910"/>
      <c r="BV1" s="910"/>
      <c r="BW1" s="910"/>
      <c r="BX1" s="910"/>
      <c r="BY1" s="910"/>
      <c r="BZ1" s="910"/>
      <c r="CA1" s="910"/>
      <c r="CB1" s="910"/>
      <c r="CD1" s="910"/>
      <c r="CE1" s="910"/>
      <c r="CF1" s="910"/>
      <c r="CG1" s="910"/>
      <c r="CH1" s="910"/>
      <c r="CI1" s="910"/>
      <c r="CJ1" s="910"/>
      <c r="CK1" s="910"/>
      <c r="CL1" s="910"/>
      <c r="CM1" s="910"/>
      <c r="CN1" s="910"/>
      <c r="CO1" s="910"/>
      <c r="CP1" s="910"/>
      <c r="CQ1" s="910"/>
      <c r="CS1" s="910"/>
      <c r="CT1" s="910"/>
      <c r="CU1" s="910"/>
      <c r="CV1" s="910"/>
      <c r="CW1" s="910"/>
      <c r="CX1" s="910"/>
      <c r="CY1" s="910"/>
      <c r="CZ1" s="910"/>
      <c r="DA1" s="910"/>
      <c r="DB1" s="910"/>
      <c r="DC1" s="910"/>
      <c r="DD1" s="910"/>
      <c r="DE1" s="910"/>
      <c r="DF1" s="910"/>
      <c r="DH1" s="910"/>
      <c r="DI1" s="910"/>
      <c r="DJ1" s="910"/>
      <c r="DK1" s="910"/>
      <c r="DL1" s="910"/>
      <c r="DM1" s="910"/>
      <c r="DN1" s="910"/>
      <c r="DO1" s="910"/>
      <c r="DP1" s="910"/>
      <c r="DQ1" s="910"/>
      <c r="DR1" s="910"/>
      <c r="DS1" s="910"/>
      <c r="DT1" s="910"/>
      <c r="DU1" s="910"/>
      <c r="DW1" s="910"/>
      <c r="DX1" s="910"/>
      <c r="DY1" s="910"/>
      <c r="DZ1" s="910"/>
      <c r="EA1" s="910"/>
      <c r="EB1" s="910"/>
      <c r="EC1" s="910"/>
      <c r="ED1" s="910"/>
      <c r="EE1" s="910"/>
      <c r="EF1" s="910"/>
      <c r="EG1" s="910"/>
      <c r="EH1" s="910"/>
      <c r="EI1" s="910"/>
      <c r="EJ1" s="910"/>
      <c r="EL1" s="910"/>
      <c r="EM1" s="910"/>
      <c r="EN1" s="910"/>
      <c r="EO1" s="910"/>
      <c r="EP1" s="910"/>
      <c r="EQ1" s="910"/>
      <c r="ER1" s="910"/>
      <c r="ES1" s="910"/>
      <c r="ET1" s="910"/>
      <c r="EU1" s="910"/>
      <c r="EV1" s="910"/>
      <c r="EW1" s="910"/>
      <c r="EX1" s="910"/>
      <c r="EY1" s="910"/>
      <c r="FA1" s="910"/>
      <c r="FB1" s="910"/>
      <c r="FC1" s="910"/>
      <c r="FD1" s="910"/>
      <c r="FE1" s="910"/>
      <c r="FF1" s="910"/>
      <c r="FG1" s="910"/>
      <c r="FH1" s="910"/>
      <c r="FI1" s="910"/>
      <c r="FJ1" s="910"/>
      <c r="FK1" s="910"/>
      <c r="FL1" s="910"/>
      <c r="FM1" s="910"/>
      <c r="FN1" s="910"/>
      <c r="FP1" s="910"/>
      <c r="FQ1" s="910"/>
      <c r="FR1" s="910"/>
      <c r="FS1" s="910"/>
      <c r="FT1" s="910"/>
      <c r="FU1" s="910"/>
      <c r="FV1" s="910"/>
      <c r="FW1" s="910"/>
      <c r="FX1" s="910"/>
      <c r="FY1" s="910"/>
      <c r="FZ1" s="910"/>
      <c r="GA1" s="910"/>
      <c r="GB1" s="910"/>
      <c r="GC1" s="910"/>
      <c r="GE1" s="910"/>
      <c r="GF1" s="910"/>
      <c r="GG1" s="910"/>
      <c r="GH1" s="910"/>
      <c r="GI1" s="910"/>
      <c r="GJ1" s="910"/>
      <c r="GK1" s="910"/>
      <c r="GL1" s="910"/>
      <c r="GM1" s="910"/>
      <c r="GN1" s="910"/>
      <c r="GO1" s="910"/>
      <c r="GP1" s="910"/>
      <c r="GQ1" s="910"/>
      <c r="GR1" s="910"/>
      <c r="GT1" s="910"/>
      <c r="GU1" s="910"/>
      <c r="GV1" s="910"/>
      <c r="GW1" s="910"/>
      <c r="GX1" s="910"/>
      <c r="GY1" s="910"/>
      <c r="GZ1" s="910"/>
      <c r="HA1" s="910"/>
      <c r="HB1" s="910"/>
      <c r="HC1" s="910"/>
      <c r="HD1" s="910"/>
      <c r="HE1" s="910"/>
      <c r="HF1" s="910"/>
      <c r="HG1" s="910"/>
      <c r="HI1" s="910"/>
      <c r="HJ1" s="910"/>
      <c r="HK1" s="910"/>
      <c r="HL1" s="910"/>
      <c r="HM1" s="910"/>
      <c r="HN1" s="910"/>
      <c r="HO1" s="910"/>
      <c r="HP1" s="910"/>
      <c r="HQ1" s="910"/>
      <c r="HR1" s="910"/>
      <c r="HS1" s="910"/>
      <c r="HT1" s="910"/>
      <c r="HU1" s="910"/>
      <c r="HV1" s="910"/>
      <c r="HX1" s="910"/>
      <c r="HY1" s="910"/>
      <c r="HZ1" s="910"/>
      <c r="IA1" s="910"/>
      <c r="IB1" s="910"/>
      <c r="IC1" s="910"/>
      <c r="ID1" s="910"/>
      <c r="IE1" s="910"/>
      <c r="IF1" s="910"/>
      <c r="IG1" s="910"/>
      <c r="IH1" s="910"/>
      <c r="II1" s="910"/>
      <c r="IJ1" s="910"/>
      <c r="IK1" s="910"/>
      <c r="IM1" s="910"/>
      <c r="IN1" s="910"/>
      <c r="IO1" s="910"/>
      <c r="IP1" s="910"/>
      <c r="IQ1" s="910"/>
      <c r="IR1" s="910"/>
      <c r="IS1" s="910"/>
      <c r="IT1" s="910"/>
      <c r="IU1" s="910"/>
      <c r="IV1" s="910"/>
      <c r="IW1" s="910"/>
      <c r="IX1" s="910"/>
      <c r="IY1" s="910"/>
      <c r="IZ1" s="910"/>
      <c r="JB1" s="910"/>
      <c r="JC1" s="910"/>
      <c r="JD1" s="910"/>
      <c r="JE1" s="910"/>
      <c r="JF1" s="910"/>
      <c r="JG1" s="910"/>
      <c r="JH1" s="910"/>
      <c r="JI1" s="910"/>
      <c r="JJ1" s="910"/>
      <c r="JK1" s="910"/>
      <c r="JL1" s="910"/>
      <c r="JM1" s="910"/>
      <c r="JN1" s="910"/>
      <c r="JO1" s="910"/>
      <c r="JQ1" s="910"/>
      <c r="JR1" s="910"/>
      <c r="JS1" s="910"/>
      <c r="JT1" s="910"/>
      <c r="JU1" s="910"/>
      <c r="JV1" s="910"/>
      <c r="JW1" s="910"/>
      <c r="JX1" s="910"/>
      <c r="JY1" s="910"/>
      <c r="JZ1" s="910"/>
      <c r="KA1" s="910"/>
      <c r="KB1" s="910"/>
      <c r="KC1" s="910"/>
      <c r="KD1" s="910"/>
      <c r="KF1" s="910"/>
      <c r="KG1" s="910"/>
      <c r="KH1" s="910"/>
      <c r="KI1" s="910"/>
      <c r="KJ1" s="910"/>
      <c r="KK1" s="910"/>
      <c r="KL1" s="910"/>
      <c r="KM1" s="910"/>
      <c r="KN1" s="910"/>
      <c r="KO1" s="910"/>
      <c r="KP1" s="910"/>
      <c r="KQ1" s="910"/>
      <c r="KR1" s="910"/>
      <c r="KS1" s="910"/>
      <c r="KU1" s="910"/>
      <c r="KV1" s="910"/>
      <c r="KW1" s="910"/>
      <c r="KX1" s="910"/>
      <c r="KY1" s="910"/>
      <c r="KZ1" s="910"/>
      <c r="LA1" s="910"/>
      <c r="LB1" s="910"/>
      <c r="LC1" s="910"/>
      <c r="LD1" s="910"/>
      <c r="LE1" s="910"/>
      <c r="LF1" s="910"/>
      <c r="LG1" s="910"/>
      <c r="LH1" s="910"/>
      <c r="LJ1" s="910"/>
      <c r="LK1" s="910"/>
      <c r="LL1" s="910"/>
      <c r="LM1" s="910"/>
      <c r="LN1" s="910"/>
      <c r="LO1" s="910"/>
      <c r="LP1" s="910"/>
      <c r="LQ1" s="910"/>
      <c r="LR1" s="910"/>
      <c r="LS1" s="910"/>
      <c r="LT1" s="910"/>
      <c r="LU1" s="910"/>
      <c r="LV1" s="910"/>
      <c r="LW1" s="910"/>
      <c r="LY1" s="910"/>
      <c r="LZ1" s="910"/>
      <c r="MA1" s="910"/>
      <c r="MB1" s="910"/>
      <c r="MC1" s="910"/>
      <c r="MD1" s="910"/>
      <c r="ME1" s="910"/>
      <c r="MF1" s="910"/>
      <c r="MG1" s="910"/>
      <c r="MH1" s="910"/>
      <c r="MI1" s="910"/>
      <c r="MJ1" s="910"/>
      <c r="MK1" s="910"/>
      <c r="ML1" s="910"/>
      <c r="MN1" s="875"/>
      <c r="MO1" s="875"/>
      <c r="MP1" s="875"/>
      <c r="MQ1" s="875"/>
      <c r="MR1" s="875"/>
      <c r="MS1" s="875"/>
      <c r="MT1" s="875"/>
      <c r="MU1" s="875"/>
      <c r="MV1" s="875"/>
      <c r="MW1" s="875"/>
      <c r="MX1" s="875"/>
      <c r="MY1" s="910"/>
      <c r="MZ1" s="875"/>
      <c r="NA1" s="875"/>
      <c r="NC1" s="875"/>
      <c r="ND1" s="875"/>
      <c r="NE1" s="875"/>
      <c r="NF1" s="875"/>
      <c r="NG1" s="875"/>
      <c r="NH1" s="875"/>
      <c r="NI1" s="875"/>
      <c r="NJ1" s="875"/>
      <c r="NK1" s="875"/>
      <c r="NL1" s="875"/>
      <c r="NM1" s="875"/>
      <c r="NN1" s="910"/>
      <c r="NO1" s="875"/>
      <c r="NP1" s="875"/>
      <c r="NR1" s="875"/>
      <c r="NS1" s="875"/>
      <c r="NT1" s="875"/>
      <c r="NU1" s="875"/>
      <c r="NV1" s="875"/>
      <c r="NW1" s="875"/>
      <c r="NX1" s="875"/>
      <c r="NY1" s="875"/>
      <c r="NZ1" s="875"/>
      <c r="OA1" s="875"/>
      <c r="OB1" s="875"/>
      <c r="OC1" s="910"/>
      <c r="OD1" s="875"/>
      <c r="OE1" s="875"/>
      <c r="OG1" s="875"/>
      <c r="OH1" s="875"/>
      <c r="OI1" s="875"/>
      <c r="OJ1" s="875"/>
      <c r="OK1" s="875"/>
      <c r="OL1" s="875"/>
      <c r="OM1" s="875"/>
      <c r="ON1" s="875"/>
      <c r="OO1" s="875"/>
      <c r="OP1" s="875"/>
      <c r="OQ1" s="875"/>
      <c r="OR1" s="910"/>
      <c r="OS1" s="875"/>
      <c r="OT1" s="875"/>
      <c r="OV1" s="875"/>
      <c r="OW1" s="875"/>
      <c r="OX1" s="875"/>
      <c r="OY1" s="875"/>
      <c r="OZ1" s="875"/>
      <c r="PA1" s="875"/>
      <c r="PB1" s="875"/>
      <c r="PC1" s="875"/>
      <c r="PD1" s="875"/>
      <c r="PE1" s="875"/>
      <c r="PF1" s="875"/>
      <c r="PG1" s="910"/>
      <c r="PH1" s="875"/>
      <c r="PI1" s="875"/>
      <c r="PK1" s="875"/>
      <c r="PL1" s="875"/>
      <c r="PM1" s="875"/>
      <c r="PN1" s="875"/>
      <c r="PO1" s="875"/>
      <c r="PP1" s="875"/>
      <c r="PQ1" s="875"/>
      <c r="PR1" s="875"/>
      <c r="PS1" s="875"/>
      <c r="PT1" s="875"/>
      <c r="PU1" s="875"/>
      <c r="PV1" s="910"/>
      <c r="PW1" s="875"/>
      <c r="PX1" s="875"/>
      <c r="PZ1" s="875"/>
      <c r="QA1" s="875"/>
      <c r="QB1" s="875"/>
      <c r="QC1" s="875"/>
      <c r="QD1" s="875"/>
      <c r="QE1" s="875"/>
      <c r="QF1" s="875"/>
      <c r="QG1" s="875"/>
      <c r="QH1" s="875"/>
      <c r="QI1" s="875"/>
      <c r="QJ1" s="875"/>
      <c r="QK1" s="910"/>
      <c r="QL1" s="875"/>
      <c r="QM1" s="875"/>
      <c r="QO1" s="875"/>
      <c r="QP1" s="875"/>
      <c r="QQ1" s="875"/>
      <c r="QR1" s="875"/>
      <c r="QS1" s="875"/>
      <c r="QT1" s="875"/>
      <c r="QU1" s="875"/>
      <c r="QV1" s="875"/>
      <c r="QW1" s="875"/>
      <c r="QX1" s="875"/>
      <c r="QY1" s="875"/>
      <c r="QZ1" s="910"/>
      <c r="RA1" s="875"/>
      <c r="RB1" s="875"/>
      <c r="RD1" s="875"/>
      <c r="RE1" s="875"/>
      <c r="RF1" s="875"/>
      <c r="RG1" s="875"/>
      <c r="RH1" s="875"/>
      <c r="RI1" s="875"/>
      <c r="RJ1" s="875"/>
      <c r="RK1" s="875"/>
      <c r="RL1" s="875"/>
      <c r="RM1" s="875"/>
      <c r="RN1" s="875"/>
      <c r="RO1" s="910"/>
      <c r="RP1" s="875"/>
      <c r="RQ1" s="875"/>
    </row>
    <row r="2" spans="1:495" s="683" customFormat="1" x14ac:dyDescent="0.2">
      <c r="A2" s="699" t="s">
        <v>10</v>
      </c>
      <c r="B2" s="699"/>
      <c r="C2" s="700"/>
      <c r="D2" s="700"/>
      <c r="E2" s="700"/>
      <c r="F2" s="701" t="s">
        <v>1315</v>
      </c>
      <c r="G2" s="701"/>
      <c r="H2" s="702"/>
      <c r="I2" s="702"/>
      <c r="J2" s="702"/>
      <c r="K2" s="702"/>
      <c r="L2" s="704" t="s">
        <v>1316</v>
      </c>
      <c r="M2" s="703"/>
      <c r="N2" s="703"/>
      <c r="P2" s="699" t="s">
        <v>10</v>
      </c>
      <c r="Q2" s="699"/>
      <c r="R2" s="699"/>
      <c r="S2" s="699"/>
      <c r="T2" s="699"/>
      <c r="U2" s="701" t="s">
        <v>1315</v>
      </c>
      <c r="V2" s="701"/>
      <c r="W2" s="701"/>
      <c r="X2" s="701"/>
      <c r="Y2" s="701"/>
      <c r="Z2" s="701"/>
      <c r="AA2" s="701"/>
      <c r="AB2" s="701"/>
      <c r="AC2" s="704" t="s">
        <v>1316</v>
      </c>
      <c r="AD2" s="704"/>
      <c r="AE2" s="704"/>
      <c r="AF2" s="704"/>
      <c r="AG2" s="683">
        <v>1</v>
      </c>
      <c r="AH2" s="683">
        <v>2</v>
      </c>
      <c r="AI2" s="691"/>
      <c r="AJ2" s="691"/>
      <c r="AK2" s="691"/>
      <c r="AL2" s="691"/>
      <c r="AM2" s="714"/>
      <c r="AN2" s="691"/>
      <c r="AO2" s="875"/>
      <c r="AP2" s="691"/>
      <c r="AQ2" s="691"/>
      <c r="AR2" s="691"/>
      <c r="AS2" s="691"/>
      <c r="AT2" s="691"/>
      <c r="AU2" s="691"/>
      <c r="AV2" s="906"/>
      <c r="AW2" s="691"/>
      <c r="AX2" s="691"/>
      <c r="AY2" s="691"/>
      <c r="AZ2" s="910"/>
      <c r="BA2" s="910"/>
      <c r="BB2" s="910"/>
      <c r="BC2" s="910"/>
      <c r="BD2" s="910"/>
      <c r="BE2" s="910"/>
      <c r="BF2" s="910"/>
      <c r="BG2" s="910"/>
      <c r="BH2" s="910"/>
      <c r="BI2" s="910"/>
      <c r="BJ2" s="910"/>
      <c r="BK2" s="910"/>
      <c r="BL2" s="910"/>
      <c r="BM2" s="910"/>
      <c r="BN2" s="691"/>
      <c r="BO2" s="910"/>
      <c r="BP2" s="910"/>
      <c r="BQ2" s="910"/>
      <c r="BR2" s="910"/>
      <c r="BS2" s="910"/>
      <c r="BT2" s="910"/>
      <c r="BU2" s="910"/>
      <c r="BV2" s="910"/>
      <c r="BW2" s="910"/>
      <c r="BX2" s="910"/>
      <c r="BY2" s="910"/>
      <c r="BZ2" s="910"/>
      <c r="CA2" s="910"/>
      <c r="CB2" s="910"/>
      <c r="CC2" s="691"/>
      <c r="CD2" s="910"/>
      <c r="CE2" s="910"/>
      <c r="CF2" s="910"/>
      <c r="CG2" s="910"/>
      <c r="CH2" s="910"/>
      <c r="CI2" s="910"/>
      <c r="CJ2" s="910"/>
      <c r="CK2" s="910"/>
      <c r="CL2" s="910"/>
      <c r="CM2" s="910"/>
      <c r="CN2" s="910"/>
      <c r="CO2" s="910"/>
      <c r="CP2" s="910"/>
      <c r="CQ2" s="910"/>
      <c r="CR2" s="691"/>
      <c r="CS2" s="910"/>
      <c r="CT2" s="910"/>
      <c r="CU2" s="910"/>
      <c r="CV2" s="910"/>
      <c r="CW2" s="910"/>
      <c r="CX2" s="910"/>
      <c r="CY2" s="910"/>
      <c r="CZ2" s="910"/>
      <c r="DA2" s="910"/>
      <c r="DB2" s="910"/>
      <c r="DC2" s="910"/>
      <c r="DD2" s="910"/>
      <c r="DE2" s="910"/>
      <c r="DF2" s="910"/>
      <c r="DG2" s="691"/>
      <c r="DH2" s="910"/>
      <c r="DI2" s="910"/>
      <c r="DJ2" s="910"/>
      <c r="DK2" s="910"/>
      <c r="DL2" s="910"/>
      <c r="DM2" s="910"/>
      <c r="DN2" s="910"/>
      <c r="DO2" s="910"/>
      <c r="DP2" s="910"/>
      <c r="DQ2" s="910"/>
      <c r="DR2" s="910"/>
      <c r="DS2" s="910"/>
      <c r="DT2" s="910"/>
      <c r="DU2" s="910"/>
      <c r="DV2" s="691"/>
      <c r="DW2" s="910"/>
      <c r="DX2" s="910"/>
      <c r="DY2" s="910"/>
      <c r="DZ2" s="910"/>
      <c r="EA2" s="910"/>
      <c r="EB2" s="910"/>
      <c r="EC2" s="910"/>
      <c r="ED2" s="910"/>
      <c r="EE2" s="910"/>
      <c r="EF2" s="910"/>
      <c r="EG2" s="910"/>
      <c r="EH2" s="910"/>
      <c r="EI2" s="910"/>
      <c r="EJ2" s="910"/>
      <c r="EK2" s="691"/>
      <c r="EL2" s="910"/>
      <c r="EM2" s="910"/>
      <c r="EN2" s="910"/>
      <c r="EO2" s="910"/>
      <c r="EP2" s="910"/>
      <c r="EQ2" s="910"/>
      <c r="ER2" s="910"/>
      <c r="ES2" s="910"/>
      <c r="ET2" s="910"/>
      <c r="EU2" s="910"/>
      <c r="EV2" s="910"/>
      <c r="EW2" s="910"/>
      <c r="EX2" s="910"/>
      <c r="EY2" s="910"/>
      <c r="EZ2" s="691"/>
      <c r="FA2" s="910"/>
      <c r="FB2" s="910"/>
      <c r="FC2" s="910"/>
      <c r="FD2" s="910"/>
      <c r="FE2" s="910"/>
      <c r="FF2" s="910"/>
      <c r="FG2" s="910"/>
      <c r="FH2" s="910"/>
      <c r="FI2" s="910"/>
      <c r="FJ2" s="910"/>
      <c r="FK2" s="910"/>
      <c r="FL2" s="910"/>
      <c r="FM2" s="910"/>
      <c r="FN2" s="910"/>
      <c r="FO2" s="691"/>
      <c r="FP2" s="910"/>
      <c r="FQ2" s="910"/>
      <c r="FR2" s="910"/>
      <c r="FS2" s="910"/>
      <c r="FT2" s="910"/>
      <c r="FU2" s="910"/>
      <c r="FV2" s="910"/>
      <c r="FW2" s="910"/>
      <c r="FX2" s="910"/>
      <c r="FY2" s="910"/>
      <c r="FZ2" s="910"/>
      <c r="GA2" s="910"/>
      <c r="GB2" s="910"/>
      <c r="GC2" s="910"/>
      <c r="GD2" s="691"/>
      <c r="GE2" s="910"/>
      <c r="GF2" s="910"/>
      <c r="GG2" s="910"/>
      <c r="GH2" s="910"/>
      <c r="GI2" s="910"/>
      <c r="GJ2" s="910"/>
      <c r="GK2" s="910"/>
      <c r="GL2" s="910"/>
      <c r="GM2" s="910"/>
      <c r="GN2" s="910"/>
      <c r="GO2" s="910"/>
      <c r="GP2" s="910"/>
      <c r="GQ2" s="910"/>
      <c r="GR2" s="910"/>
      <c r="GS2" s="691"/>
      <c r="GT2" s="910"/>
      <c r="GU2" s="910"/>
      <c r="GV2" s="910"/>
      <c r="GW2" s="910"/>
      <c r="GX2" s="910"/>
      <c r="GY2" s="910"/>
      <c r="GZ2" s="910"/>
      <c r="HA2" s="910"/>
      <c r="HB2" s="910"/>
      <c r="HC2" s="910"/>
      <c r="HD2" s="910"/>
      <c r="HE2" s="910"/>
      <c r="HF2" s="910"/>
      <c r="HG2" s="910"/>
      <c r="HH2" s="691"/>
      <c r="HI2" s="910"/>
      <c r="HJ2" s="910"/>
      <c r="HK2" s="910"/>
      <c r="HL2" s="910"/>
      <c r="HM2" s="910"/>
      <c r="HN2" s="910"/>
      <c r="HO2" s="910"/>
      <c r="HP2" s="910"/>
      <c r="HQ2" s="910"/>
      <c r="HR2" s="910"/>
      <c r="HS2" s="910"/>
      <c r="HT2" s="910"/>
      <c r="HU2" s="910"/>
      <c r="HV2" s="910"/>
      <c r="HW2" s="691"/>
      <c r="HX2" s="910"/>
      <c r="HY2" s="910"/>
      <c r="HZ2" s="910"/>
      <c r="IA2" s="910"/>
      <c r="IB2" s="910"/>
      <c r="IC2" s="910"/>
      <c r="ID2" s="910"/>
      <c r="IE2" s="910"/>
      <c r="IF2" s="910"/>
      <c r="IG2" s="910"/>
      <c r="IH2" s="910"/>
      <c r="II2" s="910"/>
      <c r="IJ2" s="910"/>
      <c r="IK2" s="910"/>
      <c r="IL2" s="691"/>
      <c r="IM2" s="910"/>
      <c r="IN2" s="910"/>
      <c r="IO2" s="910"/>
      <c r="IP2" s="910"/>
      <c r="IQ2" s="910"/>
      <c r="IR2" s="910"/>
      <c r="IS2" s="910"/>
      <c r="IT2" s="910"/>
      <c r="IU2" s="910"/>
      <c r="IV2" s="910"/>
      <c r="IW2" s="910"/>
      <c r="IX2" s="910"/>
      <c r="IY2" s="910"/>
      <c r="IZ2" s="910"/>
      <c r="JA2" s="691"/>
      <c r="JB2" s="910"/>
      <c r="JC2" s="910"/>
      <c r="JD2" s="910"/>
      <c r="JE2" s="910"/>
      <c r="JF2" s="910"/>
      <c r="JG2" s="910"/>
      <c r="JH2" s="910"/>
      <c r="JI2" s="910"/>
      <c r="JJ2" s="910"/>
      <c r="JK2" s="910"/>
      <c r="JL2" s="910"/>
      <c r="JM2" s="910"/>
      <c r="JN2" s="910"/>
      <c r="JO2" s="910"/>
      <c r="JP2" s="691"/>
      <c r="JQ2" s="910"/>
      <c r="JR2" s="910"/>
      <c r="JS2" s="910"/>
      <c r="JT2" s="910"/>
      <c r="JU2" s="910"/>
      <c r="JV2" s="910"/>
      <c r="JW2" s="910"/>
      <c r="JX2" s="910"/>
      <c r="JY2" s="910"/>
      <c r="JZ2" s="910"/>
      <c r="KA2" s="910"/>
      <c r="KB2" s="910"/>
      <c r="KC2" s="910"/>
      <c r="KD2" s="910"/>
      <c r="KE2" s="691"/>
      <c r="KF2" s="910"/>
      <c r="KG2" s="910"/>
      <c r="KH2" s="910"/>
      <c r="KI2" s="910"/>
      <c r="KJ2" s="910"/>
      <c r="KK2" s="910"/>
      <c r="KL2" s="910"/>
      <c r="KM2" s="910"/>
      <c r="KN2" s="910"/>
      <c r="KO2" s="910"/>
      <c r="KP2" s="910"/>
      <c r="KQ2" s="910"/>
      <c r="KR2" s="910"/>
      <c r="KS2" s="910"/>
      <c r="KT2" s="691"/>
      <c r="KU2" s="910"/>
      <c r="KV2" s="910"/>
      <c r="KW2" s="910"/>
      <c r="KX2" s="910"/>
      <c r="KY2" s="910"/>
      <c r="KZ2" s="910"/>
      <c r="LA2" s="910"/>
      <c r="LB2" s="910"/>
      <c r="LC2" s="910"/>
      <c r="LD2" s="910"/>
      <c r="LE2" s="910"/>
      <c r="LF2" s="910"/>
      <c r="LG2" s="910"/>
      <c r="LH2" s="910"/>
      <c r="LI2" s="691"/>
      <c r="LJ2" s="910"/>
      <c r="LK2" s="910"/>
      <c r="LL2" s="910"/>
      <c r="LM2" s="910"/>
      <c r="LN2" s="910"/>
      <c r="LO2" s="910"/>
      <c r="LP2" s="910"/>
      <c r="LQ2" s="910"/>
      <c r="LR2" s="910"/>
      <c r="LS2" s="910"/>
      <c r="LT2" s="910"/>
      <c r="LU2" s="910"/>
      <c r="LV2" s="910"/>
      <c r="LW2" s="910"/>
      <c r="LX2" s="691"/>
      <c r="LY2" s="910"/>
      <c r="LZ2" s="910"/>
      <c r="MA2" s="910"/>
      <c r="MB2" s="910"/>
      <c r="MC2" s="910"/>
      <c r="MD2" s="910"/>
      <c r="ME2" s="910"/>
      <c r="MF2" s="910"/>
      <c r="MG2" s="910"/>
      <c r="MH2" s="910"/>
      <c r="MI2" s="910"/>
      <c r="MJ2" s="910"/>
      <c r="MK2" s="910"/>
      <c r="ML2" s="910"/>
      <c r="MM2" s="691"/>
      <c r="MN2" s="875"/>
      <c r="MO2" s="875"/>
      <c r="MP2" s="875"/>
      <c r="MQ2" s="875"/>
      <c r="MR2" s="875"/>
      <c r="MS2" s="875"/>
      <c r="MT2" s="875"/>
      <c r="MU2" s="875"/>
      <c r="MV2" s="875"/>
      <c r="MW2" s="875"/>
      <c r="MX2" s="875"/>
      <c r="MY2" s="910"/>
      <c r="MZ2" s="875"/>
      <c r="NA2" s="875"/>
      <c r="NB2" s="691"/>
      <c r="NC2" s="875"/>
      <c r="ND2" s="875"/>
      <c r="NE2" s="875"/>
      <c r="NF2" s="875"/>
      <c r="NG2" s="875"/>
      <c r="NH2" s="875"/>
      <c r="NI2" s="875"/>
      <c r="NJ2" s="875"/>
      <c r="NK2" s="875"/>
      <c r="NL2" s="875"/>
      <c r="NM2" s="875"/>
      <c r="NN2" s="910"/>
      <c r="NO2" s="875"/>
      <c r="NP2" s="875"/>
      <c r="NQ2" s="691"/>
      <c r="NR2" s="875"/>
      <c r="NS2" s="875"/>
      <c r="NT2" s="875"/>
      <c r="NU2" s="875"/>
      <c r="NV2" s="875"/>
      <c r="NW2" s="875"/>
      <c r="NX2" s="875"/>
      <c r="NY2" s="875"/>
      <c r="NZ2" s="875"/>
      <c r="OA2" s="875"/>
      <c r="OB2" s="875"/>
      <c r="OC2" s="910"/>
      <c r="OD2" s="875"/>
      <c r="OE2" s="875"/>
      <c r="OF2" s="691"/>
      <c r="OG2" s="875"/>
      <c r="OH2" s="875"/>
      <c r="OI2" s="875"/>
      <c r="OJ2" s="875"/>
      <c r="OK2" s="875"/>
      <c r="OL2" s="875"/>
      <c r="OM2" s="875"/>
      <c r="ON2" s="875"/>
      <c r="OO2" s="875"/>
      <c r="OP2" s="875"/>
      <c r="OQ2" s="875"/>
      <c r="OR2" s="910"/>
      <c r="OS2" s="875"/>
      <c r="OT2" s="875"/>
      <c r="OU2" s="691"/>
      <c r="OV2" s="875"/>
      <c r="OW2" s="875"/>
      <c r="OX2" s="875"/>
      <c r="OY2" s="875"/>
      <c r="OZ2" s="875"/>
      <c r="PA2" s="875"/>
      <c r="PB2" s="875"/>
      <c r="PC2" s="875"/>
      <c r="PD2" s="875"/>
      <c r="PE2" s="875"/>
      <c r="PF2" s="875"/>
      <c r="PG2" s="910"/>
      <c r="PH2" s="875"/>
      <c r="PI2" s="875"/>
      <c r="PJ2" s="691"/>
      <c r="PK2" s="875"/>
      <c r="PL2" s="875"/>
      <c r="PM2" s="875"/>
      <c r="PN2" s="875"/>
      <c r="PO2" s="875"/>
      <c r="PP2" s="875"/>
      <c r="PQ2" s="875"/>
      <c r="PR2" s="875"/>
      <c r="PS2" s="875"/>
      <c r="PT2" s="875"/>
      <c r="PU2" s="875"/>
      <c r="PV2" s="910"/>
      <c r="PW2" s="875"/>
      <c r="PX2" s="875"/>
      <c r="PY2" s="691"/>
      <c r="PZ2" s="875"/>
      <c r="QA2" s="875"/>
      <c r="QB2" s="875"/>
      <c r="QC2" s="875"/>
      <c r="QD2" s="875"/>
      <c r="QE2" s="875"/>
      <c r="QF2" s="875"/>
      <c r="QG2" s="875"/>
      <c r="QH2" s="875"/>
      <c r="QI2" s="875"/>
      <c r="QJ2" s="875"/>
      <c r="QK2" s="910"/>
      <c r="QL2" s="875"/>
      <c r="QM2" s="875"/>
      <c r="QN2" s="691"/>
      <c r="QO2" s="875"/>
      <c r="QP2" s="875"/>
      <c r="QQ2" s="875"/>
      <c r="QR2" s="875"/>
      <c r="QS2" s="875"/>
      <c r="QT2" s="875"/>
      <c r="QU2" s="875"/>
      <c r="QV2" s="875"/>
      <c r="QW2" s="875"/>
      <c r="QX2" s="875"/>
      <c r="QY2" s="875"/>
      <c r="QZ2" s="910"/>
      <c r="RA2" s="875"/>
      <c r="RB2" s="875"/>
      <c r="RC2" s="691"/>
      <c r="RD2" s="875"/>
      <c r="RE2" s="875"/>
      <c r="RF2" s="875"/>
      <c r="RG2" s="875"/>
      <c r="RH2" s="875"/>
      <c r="RI2" s="875"/>
      <c r="RJ2" s="875"/>
      <c r="RK2" s="875"/>
      <c r="RL2" s="875"/>
      <c r="RM2" s="875"/>
      <c r="RN2" s="875"/>
      <c r="RO2" s="910"/>
      <c r="RP2" s="875"/>
      <c r="RQ2" s="875"/>
    </row>
    <row r="3" spans="1:495" ht="89.25" x14ac:dyDescent="0.2">
      <c r="A3" s="685" t="s">
        <v>84</v>
      </c>
      <c r="B3" s="685" t="s">
        <v>10</v>
      </c>
      <c r="C3" s="49" t="s">
        <v>1411</v>
      </c>
      <c r="D3" s="49" t="s">
        <v>1314</v>
      </c>
      <c r="E3" s="685" t="s">
        <v>1308</v>
      </c>
      <c r="F3" s="685" t="s">
        <v>1273</v>
      </c>
      <c r="G3" s="49" t="s">
        <v>1329</v>
      </c>
      <c r="H3" s="49" t="s">
        <v>1313</v>
      </c>
      <c r="I3" s="49" t="s">
        <v>1330</v>
      </c>
      <c r="J3" s="49" t="s">
        <v>1638</v>
      </c>
      <c r="K3" s="49" t="s">
        <v>1587</v>
      </c>
      <c r="L3" s="49" t="s">
        <v>1309</v>
      </c>
      <c r="M3" s="49" t="s">
        <v>1310</v>
      </c>
      <c r="N3" s="49" t="s">
        <v>1311</v>
      </c>
      <c r="P3" s="49" t="s">
        <v>1547</v>
      </c>
      <c r="Q3" s="49" t="s">
        <v>1822</v>
      </c>
      <c r="R3" s="49" t="s">
        <v>1318</v>
      </c>
      <c r="S3" s="49" t="s">
        <v>2442</v>
      </c>
      <c r="T3" s="49" t="s">
        <v>1322</v>
      </c>
      <c r="U3" s="49" t="s">
        <v>1588</v>
      </c>
      <c r="V3" s="49" t="s">
        <v>1319</v>
      </c>
      <c r="W3" s="49" t="s">
        <v>1320</v>
      </c>
      <c r="X3" s="49" t="s">
        <v>1321</v>
      </c>
      <c r="Y3" s="49" t="s">
        <v>1388</v>
      </c>
      <c r="Z3" s="49" t="s">
        <v>1387</v>
      </c>
      <c r="AA3" s="49" t="s">
        <v>1589</v>
      </c>
      <c r="AB3" s="49" t="s">
        <v>1546</v>
      </c>
      <c r="AC3" s="49" t="s">
        <v>1344</v>
      </c>
      <c r="AD3" s="49" t="s">
        <v>1343</v>
      </c>
      <c r="AE3" s="49" t="s">
        <v>1389</v>
      </c>
      <c r="AF3" s="49" t="s">
        <v>1546</v>
      </c>
      <c r="AG3" s="49" t="s">
        <v>1325</v>
      </c>
      <c r="AH3" s="49" t="s">
        <v>1326</v>
      </c>
      <c r="AI3" s="49"/>
      <c r="AJ3" s="49" t="s">
        <v>1327</v>
      </c>
      <c r="AK3" s="727" t="s">
        <v>1342</v>
      </c>
      <c r="AL3" s="728"/>
      <c r="AN3" s="691"/>
      <c r="AP3" s="691"/>
      <c r="AQ3" s="691"/>
      <c r="AR3" s="938"/>
      <c r="AS3" s="691"/>
      <c r="AT3" s="691"/>
      <c r="AU3" s="691"/>
      <c r="AW3" s="691"/>
      <c r="AX3" s="691"/>
      <c r="AY3" s="49" t="s">
        <v>1356</v>
      </c>
      <c r="AZ3" s="727" t="s">
        <v>1342</v>
      </c>
      <c r="BA3" s="728"/>
      <c r="BB3" s="938"/>
      <c r="BC3" s="938"/>
      <c r="BD3" s="938"/>
      <c r="BE3" s="938"/>
      <c r="BF3" s="938"/>
      <c r="BG3" s="938"/>
      <c r="BH3" s="938"/>
      <c r="BI3" s="938"/>
      <c r="BJ3" s="938"/>
      <c r="BK3" s="938"/>
      <c r="BL3" s="938"/>
      <c r="BM3" s="938"/>
      <c r="BN3" s="49" t="s">
        <v>1357</v>
      </c>
      <c r="BO3" s="727" t="s">
        <v>1342</v>
      </c>
      <c r="BP3" s="728"/>
      <c r="BQ3" s="938"/>
      <c r="BR3" s="938"/>
      <c r="BS3" s="938"/>
      <c r="BT3" s="938"/>
      <c r="BU3" s="938"/>
      <c r="BV3" s="938"/>
      <c r="BW3" s="938"/>
      <c r="BX3" s="938"/>
      <c r="BY3" s="938"/>
      <c r="BZ3" s="938"/>
      <c r="CA3" s="938"/>
      <c r="CB3" s="938"/>
      <c r="CC3" s="49" t="s">
        <v>1358</v>
      </c>
      <c r="CD3" s="727" t="s">
        <v>1342</v>
      </c>
      <c r="CE3" s="728"/>
      <c r="CF3" s="938"/>
      <c r="CG3" s="938"/>
      <c r="CH3" s="938"/>
      <c r="CI3" s="938"/>
      <c r="CJ3" s="938"/>
      <c r="CK3" s="938"/>
      <c r="CL3" s="938"/>
      <c r="CM3" s="938"/>
      <c r="CN3" s="938"/>
      <c r="CO3" s="938"/>
      <c r="CP3" s="938"/>
      <c r="CQ3" s="938"/>
      <c r="CR3" s="49" t="s">
        <v>1359</v>
      </c>
      <c r="CS3" s="727" t="s">
        <v>1342</v>
      </c>
      <c r="CT3" s="728"/>
      <c r="CU3" s="938"/>
      <c r="CV3" s="938"/>
      <c r="CW3" s="938"/>
      <c r="CX3" s="938"/>
      <c r="CY3" s="938"/>
      <c r="CZ3" s="938"/>
      <c r="DA3" s="938"/>
      <c r="DB3" s="938"/>
      <c r="DC3" s="938"/>
      <c r="DD3" s="938"/>
      <c r="DE3" s="938"/>
      <c r="DF3" s="938"/>
      <c r="DG3" s="49" t="s">
        <v>1360</v>
      </c>
      <c r="DH3" s="727" t="s">
        <v>1342</v>
      </c>
      <c r="DI3" s="728"/>
      <c r="DJ3" s="938"/>
      <c r="DK3" s="938"/>
      <c r="DL3" s="938"/>
      <c r="DM3" s="938"/>
      <c r="DN3" s="938"/>
      <c r="DO3" s="938"/>
      <c r="DP3" s="938"/>
      <c r="DQ3" s="938"/>
      <c r="DR3" s="938"/>
      <c r="DS3" s="938"/>
      <c r="DT3" s="938"/>
      <c r="DU3" s="938"/>
      <c r="DV3" s="49" t="s">
        <v>1361</v>
      </c>
      <c r="DW3" s="727" t="s">
        <v>1342</v>
      </c>
      <c r="DX3" s="728"/>
      <c r="DY3" s="938"/>
      <c r="DZ3" s="938"/>
      <c r="EA3" s="938"/>
      <c r="EB3" s="938"/>
      <c r="EC3" s="938"/>
      <c r="ED3" s="938"/>
      <c r="EE3" s="938"/>
      <c r="EF3" s="938"/>
      <c r="EG3" s="938"/>
      <c r="EH3" s="938"/>
      <c r="EI3" s="938"/>
      <c r="EJ3" s="938"/>
      <c r="EK3" s="49" t="s">
        <v>1362</v>
      </c>
      <c r="EL3" s="727" t="s">
        <v>1342</v>
      </c>
      <c r="EM3" s="728"/>
      <c r="EN3" s="938"/>
      <c r="EO3" s="938"/>
      <c r="EP3" s="938"/>
      <c r="EQ3" s="938"/>
      <c r="ER3" s="938"/>
      <c r="ES3" s="938"/>
      <c r="ET3" s="938"/>
      <c r="EU3" s="938"/>
      <c r="EV3" s="938"/>
      <c r="EW3" s="938"/>
      <c r="EX3" s="938"/>
      <c r="EY3" s="938"/>
      <c r="EZ3" s="49" t="s">
        <v>1363</v>
      </c>
      <c r="FA3" s="727" t="s">
        <v>1342</v>
      </c>
      <c r="FB3" s="728"/>
      <c r="FC3" s="938"/>
      <c r="FD3" s="938"/>
      <c r="FE3" s="938"/>
      <c r="FF3" s="938"/>
      <c r="FG3" s="938"/>
      <c r="FH3" s="938"/>
      <c r="FI3" s="938"/>
      <c r="FJ3" s="938"/>
      <c r="FK3" s="938"/>
      <c r="FL3" s="938"/>
      <c r="FM3" s="938"/>
      <c r="FN3" s="938"/>
      <c r="FO3" s="49" t="s">
        <v>1364</v>
      </c>
      <c r="FP3" s="727" t="s">
        <v>1342</v>
      </c>
      <c r="FQ3" s="728"/>
      <c r="FR3" s="938"/>
      <c r="FS3" s="938"/>
      <c r="FT3" s="938"/>
      <c r="FU3" s="938"/>
      <c r="FV3" s="938"/>
      <c r="FW3" s="938"/>
      <c r="FX3" s="938"/>
      <c r="FY3" s="938"/>
      <c r="FZ3" s="938"/>
      <c r="GA3" s="938"/>
      <c r="GB3" s="938"/>
      <c r="GC3" s="938"/>
      <c r="GD3" s="49" t="s">
        <v>1365</v>
      </c>
      <c r="GE3" s="727" t="s">
        <v>1342</v>
      </c>
      <c r="GF3" s="728"/>
      <c r="GG3" s="938"/>
      <c r="GH3" s="938"/>
      <c r="GI3" s="938"/>
      <c r="GJ3" s="938"/>
      <c r="GK3" s="938"/>
      <c r="GL3" s="938"/>
      <c r="GM3" s="938"/>
      <c r="GN3" s="938"/>
      <c r="GO3" s="938"/>
      <c r="GP3" s="938"/>
      <c r="GQ3" s="938"/>
      <c r="GR3" s="938"/>
      <c r="GS3" s="49" t="s">
        <v>1366</v>
      </c>
      <c r="GT3" s="727" t="s">
        <v>1342</v>
      </c>
      <c r="GU3" s="728"/>
      <c r="GV3" s="938"/>
      <c r="GW3" s="938"/>
      <c r="GX3" s="938"/>
      <c r="GY3" s="938"/>
      <c r="GZ3" s="938"/>
      <c r="HA3" s="938"/>
      <c r="HB3" s="938"/>
      <c r="HC3" s="938"/>
      <c r="HD3" s="938"/>
      <c r="HE3" s="938"/>
      <c r="HF3" s="938"/>
      <c r="HG3" s="938"/>
      <c r="HH3" s="49" t="s">
        <v>1367</v>
      </c>
      <c r="HI3" s="727" t="s">
        <v>1342</v>
      </c>
      <c r="HJ3" s="728"/>
      <c r="HK3" s="938"/>
      <c r="HL3" s="938"/>
      <c r="HM3" s="938"/>
      <c r="HN3" s="938"/>
      <c r="HO3" s="938"/>
      <c r="HP3" s="938"/>
      <c r="HQ3" s="938"/>
      <c r="HR3" s="938"/>
      <c r="HS3" s="938"/>
      <c r="HT3" s="938"/>
      <c r="HU3" s="938"/>
      <c r="HV3" s="938"/>
      <c r="HW3" s="49" t="s">
        <v>1368</v>
      </c>
      <c r="HX3" s="727" t="s">
        <v>1342</v>
      </c>
      <c r="HY3" s="728"/>
      <c r="HZ3" s="938"/>
      <c r="IA3" s="938"/>
      <c r="IB3" s="938"/>
      <c r="IC3" s="938"/>
      <c r="ID3" s="938"/>
      <c r="IE3" s="938"/>
      <c r="IF3" s="938"/>
      <c r="IG3" s="938"/>
      <c r="IH3" s="938"/>
      <c r="II3" s="938"/>
      <c r="IJ3" s="938"/>
      <c r="IK3" s="938"/>
      <c r="IL3" s="49" t="s">
        <v>1369</v>
      </c>
      <c r="IM3" s="727" t="s">
        <v>1342</v>
      </c>
      <c r="IN3" s="728"/>
      <c r="IO3" s="938"/>
      <c r="IP3" s="938"/>
      <c r="IQ3" s="938"/>
      <c r="IR3" s="938"/>
      <c r="IS3" s="938"/>
      <c r="IT3" s="938"/>
      <c r="IU3" s="938"/>
      <c r="IV3" s="938"/>
      <c r="IW3" s="938"/>
      <c r="IX3" s="938"/>
      <c r="IY3" s="938"/>
      <c r="IZ3" s="938"/>
      <c r="JA3" s="49" t="s">
        <v>1370</v>
      </c>
      <c r="JB3" s="727" t="s">
        <v>1342</v>
      </c>
      <c r="JC3" s="728"/>
      <c r="JD3" s="938"/>
      <c r="JE3" s="938"/>
      <c r="JF3" s="938"/>
      <c r="JG3" s="938"/>
      <c r="JH3" s="938"/>
      <c r="JI3" s="938"/>
      <c r="JJ3" s="938"/>
      <c r="JK3" s="938"/>
      <c r="JL3" s="938"/>
      <c r="JM3" s="938"/>
      <c r="JN3" s="938"/>
      <c r="JO3" s="938"/>
      <c r="JP3" s="49" t="s">
        <v>1371</v>
      </c>
      <c r="JQ3" s="727" t="s">
        <v>1342</v>
      </c>
      <c r="JR3" s="728"/>
      <c r="JS3" s="938"/>
      <c r="JT3" s="938"/>
      <c r="JU3" s="938"/>
      <c r="JV3" s="938"/>
      <c r="JW3" s="938"/>
      <c r="JX3" s="938"/>
      <c r="JY3" s="938"/>
      <c r="JZ3" s="938"/>
      <c r="KA3" s="938"/>
      <c r="KB3" s="938"/>
      <c r="KC3" s="938"/>
      <c r="KD3" s="938"/>
      <c r="KE3" s="49" t="s">
        <v>1372</v>
      </c>
      <c r="KF3" s="727" t="s">
        <v>1342</v>
      </c>
      <c r="KG3" s="728"/>
      <c r="KH3" s="938"/>
      <c r="KI3" s="938"/>
      <c r="KJ3" s="938"/>
      <c r="KK3" s="938"/>
      <c r="KL3" s="938"/>
      <c r="KM3" s="938"/>
      <c r="KN3" s="938"/>
      <c r="KO3" s="938"/>
      <c r="KP3" s="938"/>
      <c r="KQ3" s="938"/>
      <c r="KR3" s="938"/>
      <c r="KS3" s="938"/>
      <c r="KT3" s="49" t="s">
        <v>1373</v>
      </c>
      <c r="KU3" s="727" t="s">
        <v>1342</v>
      </c>
      <c r="KV3" s="728"/>
      <c r="KW3" s="938"/>
      <c r="KX3" s="938"/>
      <c r="KY3" s="938"/>
      <c r="KZ3" s="938"/>
      <c r="LA3" s="938"/>
      <c r="LB3" s="938"/>
      <c r="LC3" s="938"/>
      <c r="LD3" s="938"/>
      <c r="LE3" s="938"/>
      <c r="LF3" s="938"/>
      <c r="LG3" s="938"/>
      <c r="LH3" s="938"/>
      <c r="LI3" s="49" t="s">
        <v>1374</v>
      </c>
      <c r="LJ3" s="727" t="s">
        <v>1342</v>
      </c>
      <c r="LK3" s="728"/>
      <c r="LL3" s="938"/>
      <c r="LM3" s="938"/>
      <c r="LN3" s="938"/>
      <c r="LO3" s="938"/>
      <c r="LP3" s="938"/>
      <c r="LQ3" s="938"/>
      <c r="LR3" s="938"/>
      <c r="LS3" s="938"/>
      <c r="LT3" s="938"/>
      <c r="LU3" s="938"/>
      <c r="LV3" s="938"/>
      <c r="LW3" s="938"/>
      <c r="LX3" s="49" t="s">
        <v>1375</v>
      </c>
      <c r="LY3" s="727" t="s">
        <v>1342</v>
      </c>
      <c r="LZ3" s="728"/>
      <c r="MA3" s="938"/>
      <c r="MB3" s="938"/>
      <c r="MC3" s="938"/>
      <c r="MD3" s="938"/>
      <c r="ME3" s="938"/>
      <c r="MF3" s="938"/>
      <c r="MG3" s="938"/>
      <c r="MH3" s="938"/>
      <c r="MI3" s="938"/>
      <c r="MJ3" s="938"/>
      <c r="MK3" s="938"/>
      <c r="ML3" s="938"/>
      <c r="MM3" s="49" t="s">
        <v>1376</v>
      </c>
      <c r="MN3" s="727" t="s">
        <v>1342</v>
      </c>
      <c r="MO3" s="728"/>
      <c r="MP3" s="938"/>
      <c r="MQ3" s="938"/>
      <c r="MR3" s="938"/>
      <c r="MS3" s="938"/>
      <c r="MT3" s="938"/>
      <c r="MU3" s="938"/>
      <c r="MV3" s="938"/>
      <c r="MW3" s="938"/>
      <c r="MX3" s="938"/>
      <c r="MY3" s="938"/>
      <c r="MZ3" s="938"/>
      <c r="NA3" s="938"/>
      <c r="NB3" s="49" t="s">
        <v>1377</v>
      </c>
      <c r="NC3" s="727" t="s">
        <v>1342</v>
      </c>
      <c r="ND3" s="728"/>
      <c r="NE3" s="938"/>
      <c r="NF3" s="938"/>
      <c r="NG3" s="938"/>
      <c r="NH3" s="938"/>
      <c r="NI3" s="938"/>
      <c r="NJ3" s="938"/>
      <c r="NK3" s="938"/>
      <c r="NL3" s="938"/>
      <c r="NM3" s="938"/>
      <c r="NN3" s="938"/>
      <c r="NO3" s="938"/>
      <c r="NP3" s="938"/>
      <c r="NQ3" s="49" t="s">
        <v>1378</v>
      </c>
      <c r="NR3" s="727" t="s">
        <v>1342</v>
      </c>
      <c r="NS3" s="728"/>
      <c r="NT3" s="938"/>
      <c r="NU3" s="938"/>
      <c r="NV3" s="938"/>
      <c r="NW3" s="938"/>
      <c r="NX3" s="938"/>
      <c r="NY3" s="938"/>
      <c r="NZ3" s="938"/>
      <c r="OA3" s="938"/>
      <c r="OB3" s="938"/>
      <c r="OC3" s="938"/>
      <c r="OD3" s="938"/>
      <c r="OE3" s="938"/>
      <c r="OF3" s="49" t="s">
        <v>1379</v>
      </c>
      <c r="OG3" s="727" t="s">
        <v>1342</v>
      </c>
      <c r="OH3" s="728"/>
      <c r="OI3" s="938"/>
      <c r="OJ3" s="938"/>
      <c r="OK3" s="938"/>
      <c r="OL3" s="938"/>
      <c r="OM3" s="938"/>
      <c r="ON3" s="938"/>
      <c r="OO3" s="938"/>
      <c r="OP3" s="938"/>
      <c r="OQ3" s="938"/>
      <c r="OR3" s="938"/>
      <c r="OS3" s="938"/>
      <c r="OT3" s="938"/>
      <c r="OU3" s="49" t="s">
        <v>1380</v>
      </c>
      <c r="OV3" s="727" t="s">
        <v>1342</v>
      </c>
      <c r="OW3" s="728"/>
      <c r="OX3" s="938"/>
      <c r="OY3" s="938"/>
      <c r="OZ3" s="938"/>
      <c r="PA3" s="938"/>
      <c r="PB3" s="938"/>
      <c r="PC3" s="938"/>
      <c r="PD3" s="938"/>
      <c r="PE3" s="938"/>
      <c r="PF3" s="938"/>
      <c r="PG3" s="938"/>
      <c r="PH3" s="938"/>
      <c r="PI3" s="938"/>
      <c r="PJ3" s="49" t="s">
        <v>1381</v>
      </c>
      <c r="PK3" s="727" t="s">
        <v>1342</v>
      </c>
      <c r="PL3" s="728"/>
      <c r="PM3" s="938"/>
      <c r="PN3" s="938"/>
      <c r="PO3" s="938"/>
      <c r="PP3" s="938"/>
      <c r="PQ3" s="938"/>
      <c r="PR3" s="938"/>
      <c r="PS3" s="938"/>
      <c r="PT3" s="938"/>
      <c r="PU3" s="938"/>
      <c r="PV3" s="938"/>
      <c r="PW3" s="938"/>
      <c r="PX3" s="938"/>
      <c r="PY3" s="49" t="s">
        <v>1382</v>
      </c>
      <c r="PZ3" s="727" t="s">
        <v>1342</v>
      </c>
      <c r="QA3" s="728"/>
      <c r="QB3" s="938"/>
      <c r="QC3" s="938"/>
      <c r="QD3" s="938"/>
      <c r="QE3" s="938"/>
      <c r="QF3" s="938"/>
      <c r="QG3" s="938"/>
      <c r="QH3" s="938"/>
      <c r="QI3" s="938"/>
      <c r="QJ3" s="938"/>
      <c r="QK3" s="938"/>
      <c r="QL3" s="938"/>
      <c r="QM3" s="938"/>
      <c r="QN3" s="49" t="s">
        <v>1383</v>
      </c>
      <c r="QO3" s="727" t="s">
        <v>1342</v>
      </c>
      <c r="QP3" s="728"/>
      <c r="QQ3" s="938"/>
      <c r="QR3" s="938"/>
      <c r="QS3" s="938"/>
      <c r="QT3" s="938"/>
      <c r="QU3" s="938"/>
      <c r="QV3" s="938"/>
      <c r="QW3" s="938"/>
      <c r="QX3" s="938"/>
      <c r="QY3" s="938"/>
      <c r="QZ3" s="938"/>
      <c r="RA3" s="938"/>
      <c r="RB3" s="938"/>
      <c r="RC3" s="49" t="s">
        <v>1384</v>
      </c>
      <c r="RD3" s="727" t="s">
        <v>1342</v>
      </c>
      <c r="RE3" s="728"/>
      <c r="RF3" s="938"/>
      <c r="RG3" s="938"/>
      <c r="RH3" s="938"/>
      <c r="RI3" s="938"/>
      <c r="RJ3" s="938"/>
      <c r="RK3" s="938"/>
      <c r="RL3" s="938"/>
      <c r="RM3" s="938"/>
      <c r="RN3" s="938"/>
      <c r="RO3" s="938"/>
      <c r="RP3" s="938"/>
      <c r="RQ3" s="938"/>
      <c r="RS3" t="s">
        <v>1630</v>
      </c>
    </row>
    <row r="4" spans="1:495" ht="25.5" x14ac:dyDescent="0.2">
      <c r="T4" s="683"/>
      <c r="U4"/>
      <c r="AD4" s="683"/>
      <c r="AG4"/>
      <c r="AI4" s="692" t="s">
        <v>93</v>
      </c>
      <c r="AJ4" s="711">
        <f>'org. Düngung 22'!L6</f>
        <v>0</v>
      </c>
      <c r="AK4" s="729" t="s">
        <v>1398</v>
      </c>
      <c r="AL4" s="47">
        <f>VLOOKUP(AJ$5,Tab_org21[[Dünger]:[anrechenbarer N bei DBE Grünland]],'#org22'!$P$1,FALSE)</f>
        <v>0</v>
      </c>
      <c r="AN4" s="691"/>
      <c r="AP4" s="691"/>
      <c r="AQ4" s="691"/>
      <c r="AR4" s="691"/>
      <c r="AS4" s="691"/>
      <c r="AT4" s="691"/>
      <c r="AU4" s="691"/>
      <c r="AW4" s="691"/>
      <c r="AX4" s="691"/>
      <c r="AY4" s="711">
        <f>'org. Düngung 22'!P6</f>
        <v>0</v>
      </c>
      <c r="AZ4" s="729" t="s">
        <v>1398</v>
      </c>
      <c r="BA4" s="47">
        <f>VLOOKUP(AY$5,Tab_org21[[Dünger]:[anrechenbarer N bei DBE Grünland]],'#org22'!$P$1,FALSE)</f>
        <v>0</v>
      </c>
      <c r="BB4" s="938"/>
      <c r="BC4" s="938"/>
      <c r="BD4" s="938"/>
      <c r="BE4" s="938"/>
      <c r="BF4" s="938"/>
      <c r="BG4" s="938"/>
      <c r="BH4" s="938"/>
      <c r="BI4" s="938"/>
      <c r="BJ4" s="938"/>
      <c r="BK4" s="938"/>
      <c r="BL4" s="938"/>
      <c r="BM4" s="938"/>
      <c r="BN4" s="711">
        <f>'org. Düngung 22'!T6</f>
        <v>0</v>
      </c>
      <c r="BO4" s="729" t="s">
        <v>1398</v>
      </c>
      <c r="BP4" s="47">
        <f>VLOOKUP(BN$5,Tab_org21[[Dünger]:[anrechenbarer N bei DBE Grünland]],'#org22'!$P$1,FALSE)</f>
        <v>0</v>
      </c>
      <c r="BQ4" s="938"/>
      <c r="BR4" s="938"/>
      <c r="BS4" s="938"/>
      <c r="BT4" s="938"/>
      <c r="BU4" s="938"/>
      <c r="BV4" s="938"/>
      <c r="BW4" s="938"/>
      <c r="BX4" s="938"/>
      <c r="BY4" s="938"/>
      <c r="BZ4" s="938"/>
      <c r="CA4" s="938"/>
      <c r="CB4" s="938"/>
      <c r="CC4" s="711">
        <f>'org. Düngung 22'!X6</f>
        <v>0</v>
      </c>
      <c r="CD4" s="729" t="s">
        <v>1398</v>
      </c>
      <c r="CE4" s="47">
        <f>VLOOKUP(CC$5,Tab_org21[[Dünger]:[anrechenbarer N bei DBE Grünland]],'#org22'!$P$1,FALSE)</f>
        <v>0</v>
      </c>
      <c r="CF4" s="938"/>
      <c r="CG4" s="938"/>
      <c r="CH4" s="938"/>
      <c r="CI4" s="938"/>
      <c r="CJ4" s="938"/>
      <c r="CK4" s="938"/>
      <c r="CL4" s="938"/>
      <c r="CM4" s="938"/>
      <c r="CN4" s="938"/>
      <c r="CO4" s="938"/>
      <c r="CP4" s="938"/>
      <c r="CQ4" s="938"/>
      <c r="CR4" s="711">
        <f>'org. Düngung 22'!AB6</f>
        <v>0</v>
      </c>
      <c r="CS4" s="729" t="s">
        <v>1398</v>
      </c>
      <c r="CT4" s="47">
        <f>VLOOKUP(CR$5,Tab_org21[[Dünger]:[anrechenbarer N bei DBE Grünland]],'#org22'!$P$1,FALSE)</f>
        <v>0</v>
      </c>
      <c r="CU4" s="938"/>
      <c r="CV4" s="938"/>
      <c r="CW4" s="938"/>
      <c r="CX4" s="938"/>
      <c r="CY4" s="938"/>
      <c r="CZ4" s="938"/>
      <c r="DA4" s="938"/>
      <c r="DB4" s="938"/>
      <c r="DC4" s="938"/>
      <c r="DD4" s="938"/>
      <c r="DE4" s="938"/>
      <c r="DF4" s="938"/>
      <c r="DG4" s="711">
        <f>'org. Düngung 22'!AF6</f>
        <v>0</v>
      </c>
      <c r="DH4" s="729" t="s">
        <v>1398</v>
      </c>
      <c r="DI4" s="47">
        <f>VLOOKUP(DG$5,Tab_org21[[Dünger]:[anrechenbarer N bei DBE Grünland]],'#org22'!$P$1,FALSE)</f>
        <v>0</v>
      </c>
      <c r="DJ4" s="938"/>
      <c r="DK4" s="938"/>
      <c r="DL4" s="938"/>
      <c r="DM4" s="938"/>
      <c r="DN4" s="938"/>
      <c r="DO4" s="938"/>
      <c r="DP4" s="938"/>
      <c r="DQ4" s="938"/>
      <c r="DR4" s="938"/>
      <c r="DS4" s="938"/>
      <c r="DT4" s="938"/>
      <c r="DU4" s="938"/>
      <c r="DV4" s="711">
        <f>'org. Düngung 22'!AJ6</f>
        <v>0</v>
      </c>
      <c r="DW4" s="729" t="s">
        <v>1398</v>
      </c>
      <c r="DX4" s="47">
        <f>VLOOKUP(DV$5,Tab_org21[[Dünger]:[anrechenbarer N bei DBE Grünland]],'#org22'!$P$1,FALSE)</f>
        <v>0</v>
      </c>
      <c r="DY4" s="938"/>
      <c r="DZ4" s="938"/>
      <c r="EA4" s="938"/>
      <c r="EB4" s="938"/>
      <c r="EC4" s="938"/>
      <c r="ED4" s="938"/>
      <c r="EE4" s="938"/>
      <c r="EF4" s="938"/>
      <c r="EG4" s="938"/>
      <c r="EH4" s="938"/>
      <c r="EI4" s="938"/>
      <c r="EJ4" s="938"/>
      <c r="EK4" s="711">
        <f>'org. Düngung 22'!AN6</f>
        <v>0</v>
      </c>
      <c r="EL4" s="729" t="s">
        <v>1398</v>
      </c>
      <c r="EM4" s="47">
        <f>VLOOKUP(EK$5,Tab_org21[[Dünger]:[anrechenbarer N bei DBE Grünland]],'#org22'!$P$1,FALSE)</f>
        <v>0</v>
      </c>
      <c r="EN4" s="938"/>
      <c r="EO4" s="938"/>
      <c r="EP4" s="938"/>
      <c r="EQ4" s="938"/>
      <c r="ER4" s="938"/>
      <c r="ES4" s="938"/>
      <c r="ET4" s="938"/>
      <c r="EU4" s="938"/>
      <c r="EV4" s="938"/>
      <c r="EW4" s="938"/>
      <c r="EX4" s="938"/>
      <c r="EY4" s="938"/>
      <c r="EZ4" s="711">
        <f>'org. Düngung 22'!AR6</f>
        <v>0</v>
      </c>
      <c r="FA4" s="729" t="s">
        <v>1398</v>
      </c>
      <c r="FB4" s="47">
        <f>VLOOKUP(EZ$5,Tab_org21[[Dünger]:[anrechenbarer N bei DBE Grünland]],'#org22'!$P$1,FALSE)</f>
        <v>0</v>
      </c>
      <c r="FC4" s="938"/>
      <c r="FD4" s="938"/>
      <c r="FE4" s="938"/>
      <c r="FF4" s="938"/>
      <c r="FG4" s="938"/>
      <c r="FH4" s="938"/>
      <c r="FI4" s="938"/>
      <c r="FJ4" s="938"/>
      <c r="FK4" s="938"/>
      <c r="FL4" s="938"/>
      <c r="FM4" s="938"/>
      <c r="FN4" s="938"/>
      <c r="FO4" s="711">
        <f>'org. Düngung 22'!AV6</f>
        <v>0</v>
      </c>
      <c r="FP4" s="729" t="s">
        <v>1398</v>
      </c>
      <c r="FQ4" s="47">
        <f>VLOOKUP(FO$5,Tab_org21[[Dünger]:[anrechenbarer N bei DBE Grünland]],'#org22'!$P$1,FALSE)</f>
        <v>0</v>
      </c>
      <c r="FR4" s="938"/>
      <c r="FS4" s="938"/>
      <c r="FT4" s="938"/>
      <c r="FU4" s="938"/>
      <c r="FV4" s="938"/>
      <c r="FW4" s="938"/>
      <c r="FX4" s="938"/>
      <c r="FY4" s="938"/>
      <c r="FZ4" s="938"/>
      <c r="GA4" s="938"/>
      <c r="GB4" s="938"/>
      <c r="GC4" s="938"/>
      <c r="GD4" s="711">
        <f>'org. Düngung 22'!AZ6</f>
        <v>0</v>
      </c>
      <c r="GE4" s="729" t="s">
        <v>1398</v>
      </c>
      <c r="GF4" s="47">
        <f>VLOOKUP(GD$5,Tab_org21[[Dünger]:[anrechenbarer N bei DBE Grünland]],'#org22'!$P$1,FALSE)</f>
        <v>0</v>
      </c>
      <c r="GG4" s="938"/>
      <c r="GH4" s="938"/>
      <c r="GI4" s="938"/>
      <c r="GJ4" s="938"/>
      <c r="GK4" s="938"/>
      <c r="GL4" s="938"/>
      <c r="GM4" s="938"/>
      <c r="GN4" s="938"/>
      <c r="GO4" s="938"/>
      <c r="GP4" s="938"/>
      <c r="GQ4" s="938"/>
      <c r="GR4" s="938"/>
      <c r="GS4" s="711">
        <f>'org. Düngung 22'!BD6</f>
        <v>0</v>
      </c>
      <c r="GT4" s="729" t="s">
        <v>1398</v>
      </c>
      <c r="GU4" s="47">
        <f>VLOOKUP(GS$5,Tab_org21[[Dünger]:[anrechenbarer N bei DBE Grünland]],'#org22'!$P$1,FALSE)</f>
        <v>0</v>
      </c>
      <c r="GV4" s="938"/>
      <c r="GW4" s="938"/>
      <c r="GX4" s="938"/>
      <c r="GY4" s="938"/>
      <c r="GZ4" s="938"/>
      <c r="HA4" s="938"/>
      <c r="HB4" s="938"/>
      <c r="HC4" s="938"/>
      <c r="HD4" s="938"/>
      <c r="HE4" s="938"/>
      <c r="HF4" s="938"/>
      <c r="HG4" s="938"/>
      <c r="HH4" s="711">
        <f>'org. Düngung 22'!BH6</f>
        <v>0</v>
      </c>
      <c r="HI4" s="729" t="s">
        <v>1398</v>
      </c>
      <c r="HJ4" s="47">
        <f>VLOOKUP(HH$5,Tab_org21[[Dünger]:[anrechenbarer N bei DBE Grünland]],'#org22'!$P$1,FALSE)</f>
        <v>0</v>
      </c>
      <c r="HK4" s="938"/>
      <c r="HL4" s="938"/>
      <c r="HM4" s="938"/>
      <c r="HN4" s="938"/>
      <c r="HO4" s="938"/>
      <c r="HP4" s="938"/>
      <c r="HQ4" s="938"/>
      <c r="HR4" s="938"/>
      <c r="HS4" s="938"/>
      <c r="HT4" s="938"/>
      <c r="HU4" s="938"/>
      <c r="HV4" s="938"/>
      <c r="HW4" s="711">
        <f>'org. Düngung 22'!BL6</f>
        <v>0</v>
      </c>
      <c r="HX4" s="729" t="s">
        <v>1398</v>
      </c>
      <c r="HY4" s="47">
        <f>VLOOKUP(HW$5,Tab_org21[[Dünger]:[anrechenbarer N bei DBE Grünland]],'#org22'!$P$1,FALSE)</f>
        <v>0</v>
      </c>
      <c r="HZ4" s="938"/>
      <c r="IA4" s="938"/>
      <c r="IB4" s="938"/>
      <c r="IC4" s="938"/>
      <c r="ID4" s="938"/>
      <c r="IE4" s="938"/>
      <c r="IF4" s="938"/>
      <c r="IG4" s="938"/>
      <c r="IH4" s="938"/>
      <c r="II4" s="938"/>
      <c r="IJ4" s="938"/>
      <c r="IK4" s="938"/>
      <c r="IL4" s="711">
        <f>'org. Düngung 22'!BP6</f>
        <v>0</v>
      </c>
      <c r="IM4" s="729" t="s">
        <v>1398</v>
      </c>
      <c r="IN4" s="47">
        <f>VLOOKUP(IL$5,Tab_org21[[Dünger]:[anrechenbarer N bei DBE Grünland]],'#org22'!$P$1,FALSE)</f>
        <v>0</v>
      </c>
      <c r="IO4" s="938"/>
      <c r="IP4" s="938"/>
      <c r="IQ4" s="938"/>
      <c r="IR4" s="938"/>
      <c r="IS4" s="938"/>
      <c r="IT4" s="938"/>
      <c r="IU4" s="938"/>
      <c r="IV4" s="938"/>
      <c r="IW4" s="938"/>
      <c r="IX4" s="938"/>
      <c r="IY4" s="938"/>
      <c r="IZ4" s="938"/>
      <c r="JA4" s="711">
        <f>'org. Düngung 22'!BT6</f>
        <v>0</v>
      </c>
      <c r="JB4" s="729" t="s">
        <v>1398</v>
      </c>
      <c r="JC4" s="47">
        <f>VLOOKUP(JA$5,Tab_org21[[Dünger]:[anrechenbarer N bei DBE Grünland]],'#org22'!$P$1,FALSE)</f>
        <v>0</v>
      </c>
      <c r="JD4" s="938"/>
      <c r="JE4" s="938"/>
      <c r="JF4" s="938"/>
      <c r="JG4" s="938"/>
      <c r="JH4" s="938"/>
      <c r="JI4" s="938"/>
      <c r="JJ4" s="938"/>
      <c r="JK4" s="938"/>
      <c r="JL4" s="938"/>
      <c r="JM4" s="938"/>
      <c r="JN4" s="938"/>
      <c r="JO4" s="938"/>
      <c r="JP4" s="711">
        <f>'org. Düngung 22'!BX6</f>
        <v>0</v>
      </c>
      <c r="JQ4" s="729" t="s">
        <v>1398</v>
      </c>
      <c r="JR4" s="47">
        <f>VLOOKUP(JP$5,Tab_org21[[Dünger]:[anrechenbarer N bei DBE Grünland]],'#org22'!$P$1,FALSE)</f>
        <v>0</v>
      </c>
      <c r="JS4" s="938"/>
      <c r="JT4" s="938"/>
      <c r="JU4" s="938"/>
      <c r="JV4" s="938"/>
      <c r="JW4" s="938"/>
      <c r="JX4" s="938"/>
      <c r="JY4" s="938"/>
      <c r="JZ4" s="938"/>
      <c r="KA4" s="938"/>
      <c r="KB4" s="938"/>
      <c r="KC4" s="938"/>
      <c r="KD4" s="938"/>
      <c r="KE4" s="711">
        <f>'org. Düngung 22'!CB6</f>
        <v>0</v>
      </c>
      <c r="KF4" s="729" t="s">
        <v>1398</v>
      </c>
      <c r="KG4" s="47">
        <f>VLOOKUP(KE$5,Tab_org21[[Dünger]:[anrechenbarer N bei DBE Grünland]],'#org22'!$P$1,FALSE)</f>
        <v>0</v>
      </c>
      <c r="KH4" s="938"/>
      <c r="KI4" s="938"/>
      <c r="KJ4" s="938"/>
      <c r="KK4" s="938"/>
      <c r="KL4" s="938"/>
      <c r="KM4" s="938"/>
      <c r="KN4" s="938"/>
      <c r="KO4" s="938"/>
      <c r="KP4" s="938"/>
      <c r="KQ4" s="938"/>
      <c r="KR4" s="938"/>
      <c r="KS4" s="938"/>
      <c r="KT4" s="711">
        <f>'org. Düngung 22'!CF6</f>
        <v>0</v>
      </c>
      <c r="KU4" s="729" t="s">
        <v>1398</v>
      </c>
      <c r="KV4" s="47">
        <f>VLOOKUP(KT$5,Tab_org21[[Dünger]:[anrechenbarer N bei DBE Grünland]],'#org22'!$P$1,FALSE)</f>
        <v>0</v>
      </c>
      <c r="KW4" s="938"/>
      <c r="KX4" s="938"/>
      <c r="KY4" s="938"/>
      <c r="KZ4" s="938"/>
      <c r="LA4" s="938"/>
      <c r="LB4" s="938"/>
      <c r="LC4" s="938"/>
      <c r="LD4" s="938"/>
      <c r="LE4" s="938"/>
      <c r="LF4" s="938"/>
      <c r="LG4" s="938"/>
      <c r="LH4" s="938"/>
      <c r="LI4" s="711">
        <f>'org. Düngung 22'!CJ6</f>
        <v>0</v>
      </c>
      <c r="LJ4" s="729" t="s">
        <v>1398</v>
      </c>
      <c r="LK4" s="47">
        <f>VLOOKUP(LI$5,Tab_org21[[Dünger]:[anrechenbarer N bei DBE Grünland]],'#org22'!$P$1,FALSE)</f>
        <v>0</v>
      </c>
      <c r="LL4" s="938"/>
      <c r="LM4" s="938"/>
      <c r="LN4" s="938"/>
      <c r="LO4" s="938"/>
      <c r="LP4" s="938"/>
      <c r="LQ4" s="938"/>
      <c r="LR4" s="938"/>
      <c r="LS4" s="938"/>
      <c r="LT4" s="938"/>
      <c r="LU4" s="938"/>
      <c r="LV4" s="938"/>
      <c r="LW4" s="938"/>
      <c r="LX4" s="711">
        <f>'org. Düngung 22'!CN6</f>
        <v>0</v>
      </c>
      <c r="LY4" s="729" t="s">
        <v>1398</v>
      </c>
      <c r="LZ4" s="47">
        <f>VLOOKUP(LX$5,Tab_org21[[Dünger]:[anrechenbarer N bei DBE Grünland]],'#org22'!$P$1,FALSE)</f>
        <v>0</v>
      </c>
      <c r="MA4" s="938"/>
      <c r="MB4" s="938"/>
      <c r="MC4" s="938"/>
      <c r="MD4" s="938"/>
      <c r="ME4" s="938"/>
      <c r="MF4" s="938"/>
      <c r="MG4" s="938"/>
      <c r="MH4" s="938"/>
      <c r="MI4" s="938"/>
      <c r="MJ4" s="938"/>
      <c r="MK4" s="938"/>
      <c r="ML4" s="938"/>
      <c r="MM4" s="711">
        <f>'org. Düngung 22'!CR6</f>
        <v>0</v>
      </c>
      <c r="MN4" s="729" t="s">
        <v>1398</v>
      </c>
      <c r="MO4" s="47">
        <f>VLOOKUP(MM$5,Tab_org21[[Dünger]:[anrechenbarer N bei DBE Grünland]],'#org22'!$P$1,FALSE)</f>
        <v>0</v>
      </c>
      <c r="MP4" s="938"/>
      <c r="MQ4" s="938"/>
      <c r="MR4" s="938"/>
      <c r="MS4" s="938"/>
      <c r="MT4" s="938"/>
      <c r="MU4" s="938"/>
      <c r="MV4" s="938"/>
      <c r="MW4" s="938"/>
      <c r="MX4" s="938"/>
      <c r="MY4" s="938"/>
      <c r="MZ4" s="938"/>
      <c r="NA4" s="938"/>
      <c r="NB4" s="711">
        <f>'org. Düngung 22'!CV6</f>
        <v>0</v>
      </c>
      <c r="NC4" s="729" t="s">
        <v>1398</v>
      </c>
      <c r="ND4" s="47">
        <f>VLOOKUP(NB$5,Tab_org21[[Dünger]:[anrechenbarer N bei DBE Grünland]],'#org22'!$P$1,FALSE)</f>
        <v>0</v>
      </c>
      <c r="NE4" s="938"/>
      <c r="NF4" s="938"/>
      <c r="NG4" s="938"/>
      <c r="NH4" s="938"/>
      <c r="NI4" s="938"/>
      <c r="NJ4" s="938"/>
      <c r="NK4" s="938"/>
      <c r="NL4" s="938"/>
      <c r="NM4" s="938"/>
      <c r="NN4" s="938"/>
      <c r="NO4" s="938"/>
      <c r="NP4" s="938"/>
      <c r="NQ4" s="711">
        <f>'org. Düngung 22'!CZ6</f>
        <v>0</v>
      </c>
      <c r="NR4" s="729" t="s">
        <v>1398</v>
      </c>
      <c r="NS4" s="47">
        <f>VLOOKUP(NQ$5,Tab_org21[[Dünger]:[anrechenbarer N bei DBE Grünland]],'#org22'!$P$1,FALSE)</f>
        <v>0</v>
      </c>
      <c r="NT4" s="938"/>
      <c r="NU4" s="938"/>
      <c r="NV4" s="938"/>
      <c r="NW4" s="938"/>
      <c r="NX4" s="938"/>
      <c r="NY4" s="938"/>
      <c r="NZ4" s="938"/>
      <c r="OA4" s="938"/>
      <c r="OB4" s="938"/>
      <c r="OC4" s="938"/>
      <c r="OD4" s="938"/>
      <c r="OE4" s="938"/>
      <c r="OF4" s="711">
        <f>'org. Düngung 22'!DD6</f>
        <v>0</v>
      </c>
      <c r="OG4" s="729" t="s">
        <v>1398</v>
      </c>
      <c r="OH4" s="47">
        <f>VLOOKUP(OF$5,Tab_org21[[Dünger]:[anrechenbarer N bei DBE Grünland]],'#org22'!$P$1,FALSE)</f>
        <v>0</v>
      </c>
      <c r="OI4" s="938"/>
      <c r="OJ4" s="938"/>
      <c r="OK4" s="938"/>
      <c r="OL4" s="938"/>
      <c r="OM4" s="938"/>
      <c r="ON4" s="938"/>
      <c r="OO4" s="938"/>
      <c r="OP4" s="938"/>
      <c r="OQ4" s="938"/>
      <c r="OR4" s="938"/>
      <c r="OS4" s="938"/>
      <c r="OT4" s="938"/>
      <c r="OU4" s="711">
        <f>'org. Düngung 22'!DH6</f>
        <v>0</v>
      </c>
      <c r="OV4" s="729" t="s">
        <v>1398</v>
      </c>
      <c r="OW4" s="47">
        <f>VLOOKUP(OU$5,Tab_org21[[Dünger]:[anrechenbarer N bei DBE Grünland]],'#org22'!$P$1,FALSE)</f>
        <v>0</v>
      </c>
      <c r="OX4" s="938"/>
      <c r="OY4" s="938"/>
      <c r="OZ4" s="938"/>
      <c r="PA4" s="938"/>
      <c r="PB4" s="938"/>
      <c r="PC4" s="938"/>
      <c r="PD4" s="938"/>
      <c r="PE4" s="938"/>
      <c r="PF4" s="938"/>
      <c r="PG4" s="938"/>
      <c r="PH4" s="938"/>
      <c r="PI4" s="938"/>
      <c r="PJ4" s="711">
        <f>'org. Düngung 22'!DL6</f>
        <v>0</v>
      </c>
      <c r="PK4" s="729" t="s">
        <v>1398</v>
      </c>
      <c r="PL4" s="47">
        <f>VLOOKUP(PJ$5,Tab_org21[[Dünger]:[anrechenbarer N bei DBE Grünland]],'#org22'!$P$1,FALSE)</f>
        <v>0</v>
      </c>
      <c r="PM4" s="938"/>
      <c r="PN4" s="938"/>
      <c r="PO4" s="938"/>
      <c r="PP4" s="938"/>
      <c r="PQ4" s="938"/>
      <c r="PR4" s="938"/>
      <c r="PS4" s="938"/>
      <c r="PT4" s="938"/>
      <c r="PU4" s="938"/>
      <c r="PV4" s="938"/>
      <c r="PW4" s="938"/>
      <c r="PX4" s="938"/>
      <c r="PY4" s="711">
        <f>'org. Düngung 22'!DP6</f>
        <v>0</v>
      </c>
      <c r="PZ4" s="729" t="s">
        <v>1398</v>
      </c>
      <c r="QA4" s="47">
        <f>VLOOKUP(PY$5,Tab_org21[[Dünger]:[anrechenbarer N bei DBE Grünland]],'#org22'!$P$1,FALSE)</f>
        <v>0</v>
      </c>
      <c r="QB4" s="938"/>
      <c r="QC4" s="938"/>
      <c r="QD4" s="938"/>
      <c r="QE4" s="938"/>
      <c r="QF4" s="938"/>
      <c r="QG4" s="938"/>
      <c r="QH4" s="938"/>
      <c r="QI4" s="938"/>
      <c r="QJ4" s="938"/>
      <c r="QK4" s="938"/>
      <c r="QL4" s="938"/>
      <c r="QM4" s="938"/>
      <c r="QN4" s="711">
        <f>'org. Düngung 22'!DT6</f>
        <v>0</v>
      </c>
      <c r="QO4" s="729" t="s">
        <v>1398</v>
      </c>
      <c r="QP4" s="47">
        <f>VLOOKUP(QN$5,Tab_org21[[Dünger]:[anrechenbarer N bei DBE Grünland]],'#org22'!$P$1,FALSE)</f>
        <v>0</v>
      </c>
      <c r="QQ4" s="938"/>
      <c r="QR4" s="938"/>
      <c r="QS4" s="938"/>
      <c r="QT4" s="938"/>
      <c r="QU4" s="938"/>
      <c r="QV4" s="938"/>
      <c r="QW4" s="938"/>
      <c r="QX4" s="938"/>
      <c r="QY4" s="938"/>
      <c r="QZ4" s="938"/>
      <c r="RA4" s="938"/>
      <c r="RB4" s="938"/>
      <c r="RC4" s="711">
        <f>'org. Düngung 22'!DX6</f>
        <v>0</v>
      </c>
      <c r="RD4" s="729" t="s">
        <v>1398</v>
      </c>
      <c r="RE4" s="47">
        <f>VLOOKUP(RC$5,Tab_org21[[Dünger]:[anrechenbarer N bei DBE Grünland]],'#org22'!$P$1,FALSE)</f>
        <v>0</v>
      </c>
      <c r="RF4" s="938"/>
      <c r="RG4" s="938"/>
      <c r="RH4" s="938"/>
      <c r="RI4" s="938"/>
      <c r="RJ4" s="938"/>
      <c r="RK4" s="938"/>
      <c r="RL4" s="938"/>
      <c r="RM4" s="938"/>
      <c r="RN4" s="938"/>
      <c r="RO4" s="938"/>
      <c r="RP4" s="938"/>
      <c r="RQ4" s="938"/>
    </row>
    <row r="5" spans="1:495" ht="25.5" x14ac:dyDescent="0.2">
      <c r="T5" s="683"/>
      <c r="U5"/>
      <c r="AD5" s="683"/>
      <c r="AG5"/>
      <c r="AI5" s="692" t="s">
        <v>195</v>
      </c>
      <c r="AJ5" s="712" t="str">
        <f>IF('org. Düngung 22'!L8="",'#org22'!$C$7,'org. Düngung 22'!L8)</f>
        <v xml:space="preserve"> --</v>
      </c>
      <c r="AK5" s="729" t="s">
        <v>1399</v>
      </c>
      <c r="AL5" s="47">
        <f>VLOOKUP(AJ$5,Tab_org21[[Dünger]:[anrechenbarer N bei DBE Grünland]],'#org22'!$Q$1,FALSE)</f>
        <v>0</v>
      </c>
      <c r="AN5" s="691"/>
      <c r="AP5" s="691"/>
      <c r="AQ5" s="691"/>
      <c r="AR5" s="691"/>
      <c r="AS5" s="691"/>
      <c r="AT5" s="691"/>
      <c r="AU5" s="691"/>
      <c r="AW5" s="691"/>
      <c r="AX5" s="691"/>
      <c r="AY5" s="712" t="str">
        <f>IF('org. Düngung 22'!P8="",'#org22'!$C$7,'org. Düngung 22'!P8)</f>
        <v xml:space="preserve"> --</v>
      </c>
      <c r="AZ5" s="729" t="s">
        <v>1399</v>
      </c>
      <c r="BA5" s="47">
        <f>VLOOKUP(AY$5,Tab_org21[[Dünger]:[anrechenbarer N bei DBE Grünland]],'#org22'!$Q$1,FALSE)</f>
        <v>0</v>
      </c>
      <c r="BB5" s="938"/>
      <c r="BC5" s="938"/>
      <c r="BD5" s="938"/>
      <c r="BE5" s="938"/>
      <c r="BF5" s="938"/>
      <c r="BG5" s="938"/>
      <c r="BH5" s="938"/>
      <c r="BI5" s="938"/>
      <c r="BJ5" s="938"/>
      <c r="BK5" s="938"/>
      <c r="BL5" s="938"/>
      <c r="BM5" s="938"/>
      <c r="BN5" s="712" t="str">
        <f>IF('org. Düngung 22'!T8="",'#org22'!$C$7,'org. Düngung 22'!T8)</f>
        <v xml:space="preserve"> --</v>
      </c>
      <c r="BO5" s="729" t="s">
        <v>1399</v>
      </c>
      <c r="BP5" s="47">
        <f>VLOOKUP(BN$5,Tab_org21[[Dünger]:[anrechenbarer N bei DBE Grünland]],'#org22'!$Q$1,FALSE)</f>
        <v>0</v>
      </c>
      <c r="BQ5" s="938"/>
      <c r="BR5" s="938"/>
      <c r="BS5" s="938"/>
      <c r="BT5" s="938"/>
      <c r="BU5" s="938"/>
      <c r="BV5" s="938"/>
      <c r="BW5" s="938"/>
      <c r="BX5" s="938"/>
      <c r="BY5" s="938"/>
      <c r="BZ5" s="938"/>
      <c r="CA5" s="938"/>
      <c r="CB5" s="938"/>
      <c r="CC5" s="712" t="str">
        <f>IF('org. Düngung 22'!X8="",'#org22'!$C$7,'org. Düngung 22'!X8)</f>
        <v xml:space="preserve"> --</v>
      </c>
      <c r="CD5" s="729" t="s">
        <v>1399</v>
      </c>
      <c r="CE5" s="47">
        <f>VLOOKUP(CC$5,Tab_org21[[Dünger]:[anrechenbarer N bei DBE Grünland]],'#org22'!$Q$1,FALSE)</f>
        <v>0</v>
      </c>
      <c r="CF5" s="938"/>
      <c r="CG5" s="938"/>
      <c r="CH5" s="938"/>
      <c r="CI5" s="938"/>
      <c r="CJ5" s="938"/>
      <c r="CK5" s="938"/>
      <c r="CL5" s="938"/>
      <c r="CM5" s="938"/>
      <c r="CN5" s="938"/>
      <c r="CO5" s="938"/>
      <c r="CP5" s="938"/>
      <c r="CQ5" s="938"/>
      <c r="CR5" s="712" t="str">
        <f>IF('org. Düngung 22'!AB8="",'#org22'!$C$7,'org. Düngung 22'!AB8)</f>
        <v xml:space="preserve"> --</v>
      </c>
      <c r="CS5" s="729" t="s">
        <v>1399</v>
      </c>
      <c r="CT5" s="47">
        <f>VLOOKUP(CR$5,Tab_org21[[Dünger]:[anrechenbarer N bei DBE Grünland]],'#org22'!$Q$1,FALSE)</f>
        <v>0</v>
      </c>
      <c r="CU5" s="938"/>
      <c r="CV5" s="938"/>
      <c r="CW5" s="938"/>
      <c r="CX5" s="938"/>
      <c r="CY5" s="938"/>
      <c r="CZ5" s="938"/>
      <c r="DA5" s="938"/>
      <c r="DB5" s="938"/>
      <c r="DC5" s="938"/>
      <c r="DD5" s="938"/>
      <c r="DE5" s="938"/>
      <c r="DF5" s="938"/>
      <c r="DG5" s="712" t="str">
        <f>IF('org. Düngung 22'!AF8="",'#org22'!$C$7,'org. Düngung 22'!AF8)</f>
        <v xml:space="preserve"> --</v>
      </c>
      <c r="DH5" s="729" t="s">
        <v>1399</v>
      </c>
      <c r="DI5" s="47">
        <f>VLOOKUP(DG$5,Tab_org21[[Dünger]:[anrechenbarer N bei DBE Grünland]],'#org22'!$Q$1,FALSE)</f>
        <v>0</v>
      </c>
      <c r="DJ5" s="938"/>
      <c r="DK5" s="938"/>
      <c r="DL5" s="938"/>
      <c r="DM5" s="938"/>
      <c r="DN5" s="938"/>
      <c r="DO5" s="938"/>
      <c r="DP5" s="938"/>
      <c r="DQ5" s="938"/>
      <c r="DR5" s="938"/>
      <c r="DS5" s="938"/>
      <c r="DT5" s="938"/>
      <c r="DU5" s="938"/>
      <c r="DV5" s="712" t="str">
        <f>IF('org. Düngung 22'!AJ8="",'#org22'!$C$7,'org. Düngung 22'!AJ8)</f>
        <v xml:space="preserve"> --</v>
      </c>
      <c r="DW5" s="729" t="s">
        <v>1399</v>
      </c>
      <c r="DX5" s="47">
        <f>VLOOKUP(DV$5,Tab_org21[[Dünger]:[anrechenbarer N bei DBE Grünland]],'#org22'!$Q$1,FALSE)</f>
        <v>0</v>
      </c>
      <c r="DY5" s="938"/>
      <c r="DZ5" s="938"/>
      <c r="EA5" s="938"/>
      <c r="EB5" s="938"/>
      <c r="EC5" s="938"/>
      <c r="ED5" s="938"/>
      <c r="EE5" s="938"/>
      <c r="EF5" s="938"/>
      <c r="EG5" s="938"/>
      <c r="EH5" s="938"/>
      <c r="EI5" s="938"/>
      <c r="EJ5" s="938"/>
      <c r="EK5" s="712" t="str">
        <f>IF('org. Düngung 22'!AN8="",'#org22'!$C$7,'org. Düngung 22'!AN8)</f>
        <v xml:space="preserve"> --</v>
      </c>
      <c r="EL5" s="729" t="s">
        <v>1399</v>
      </c>
      <c r="EM5" s="47">
        <f>VLOOKUP(EK$5,Tab_org21[[Dünger]:[anrechenbarer N bei DBE Grünland]],'#org22'!$Q$1,FALSE)</f>
        <v>0</v>
      </c>
      <c r="EN5" s="938"/>
      <c r="EO5" s="938"/>
      <c r="EP5" s="938"/>
      <c r="EQ5" s="938"/>
      <c r="ER5" s="938"/>
      <c r="ES5" s="938"/>
      <c r="ET5" s="938"/>
      <c r="EU5" s="938"/>
      <c r="EV5" s="938"/>
      <c r="EW5" s="938"/>
      <c r="EX5" s="938"/>
      <c r="EY5" s="938"/>
      <c r="EZ5" s="712" t="str">
        <f>IF('org. Düngung 22'!AR8="",'#org22'!$C$7,'org. Düngung 22'!AR8)</f>
        <v xml:space="preserve"> --</v>
      </c>
      <c r="FA5" s="729" t="s">
        <v>1399</v>
      </c>
      <c r="FB5" s="47">
        <f>VLOOKUP(EZ$5,Tab_org21[[Dünger]:[anrechenbarer N bei DBE Grünland]],'#org22'!$Q$1,FALSE)</f>
        <v>0</v>
      </c>
      <c r="FC5" s="938"/>
      <c r="FD5" s="938"/>
      <c r="FE5" s="938"/>
      <c r="FF5" s="938"/>
      <c r="FG5" s="938"/>
      <c r="FH5" s="938"/>
      <c r="FI5" s="938"/>
      <c r="FJ5" s="938"/>
      <c r="FK5" s="938"/>
      <c r="FL5" s="938"/>
      <c r="FM5" s="938"/>
      <c r="FN5" s="938"/>
      <c r="FO5" s="712" t="str">
        <f>IF('org. Düngung 22'!AV8="",'#org22'!$C$7,'org. Düngung 22'!AV8)</f>
        <v xml:space="preserve"> --</v>
      </c>
      <c r="FP5" s="729" t="s">
        <v>1399</v>
      </c>
      <c r="FQ5" s="47">
        <f>VLOOKUP(FO$5,Tab_org21[[Dünger]:[anrechenbarer N bei DBE Grünland]],'#org22'!$Q$1,FALSE)</f>
        <v>0</v>
      </c>
      <c r="FR5" s="938"/>
      <c r="FS5" s="938"/>
      <c r="FT5" s="938"/>
      <c r="FU5" s="938"/>
      <c r="FV5" s="938"/>
      <c r="FW5" s="938"/>
      <c r="FX5" s="938"/>
      <c r="FY5" s="938"/>
      <c r="FZ5" s="938"/>
      <c r="GA5" s="938"/>
      <c r="GB5" s="938"/>
      <c r="GC5" s="938"/>
      <c r="GD5" s="712" t="str">
        <f>IF('org. Düngung 22'!AZ8="",'#org22'!$C$7,'org. Düngung 22'!AZ8)</f>
        <v xml:space="preserve"> --</v>
      </c>
      <c r="GE5" s="729" t="s">
        <v>1399</v>
      </c>
      <c r="GF5" s="47">
        <f>VLOOKUP(GD$5,Tab_org21[[Dünger]:[anrechenbarer N bei DBE Grünland]],'#org22'!$Q$1,FALSE)</f>
        <v>0</v>
      </c>
      <c r="GG5" s="938"/>
      <c r="GH5" s="938"/>
      <c r="GI5" s="938"/>
      <c r="GJ5" s="938"/>
      <c r="GK5" s="938"/>
      <c r="GL5" s="938"/>
      <c r="GM5" s="938"/>
      <c r="GN5" s="938"/>
      <c r="GO5" s="938"/>
      <c r="GP5" s="938"/>
      <c r="GQ5" s="938"/>
      <c r="GR5" s="938"/>
      <c r="GS5" s="712" t="str">
        <f>IF('org. Düngung 22'!BD8="",'#org22'!$C$7,'org. Düngung 22'!BD8)</f>
        <v xml:space="preserve"> --</v>
      </c>
      <c r="GT5" s="729" t="s">
        <v>1399</v>
      </c>
      <c r="GU5" s="47">
        <f>VLOOKUP(GS$5,Tab_org21[[Dünger]:[anrechenbarer N bei DBE Grünland]],'#org22'!$Q$1,FALSE)</f>
        <v>0</v>
      </c>
      <c r="GV5" s="938"/>
      <c r="GW5" s="938"/>
      <c r="GX5" s="938"/>
      <c r="GY5" s="938"/>
      <c r="GZ5" s="938"/>
      <c r="HA5" s="938"/>
      <c r="HB5" s="938"/>
      <c r="HC5" s="938"/>
      <c r="HD5" s="938"/>
      <c r="HE5" s="938"/>
      <c r="HF5" s="938"/>
      <c r="HG5" s="938"/>
      <c r="HH5" s="712" t="str">
        <f>IF('org. Düngung 22'!BH8="",'#org22'!$C$7,'org. Düngung 22'!BH8)</f>
        <v xml:space="preserve"> --</v>
      </c>
      <c r="HI5" s="729" t="s">
        <v>1399</v>
      </c>
      <c r="HJ5" s="47">
        <f>VLOOKUP(HH$5,Tab_org21[[Dünger]:[anrechenbarer N bei DBE Grünland]],'#org22'!$Q$1,FALSE)</f>
        <v>0</v>
      </c>
      <c r="HK5" s="938"/>
      <c r="HL5" s="938"/>
      <c r="HM5" s="938"/>
      <c r="HN5" s="938"/>
      <c r="HO5" s="938"/>
      <c r="HP5" s="938"/>
      <c r="HQ5" s="938"/>
      <c r="HR5" s="938"/>
      <c r="HS5" s="938"/>
      <c r="HT5" s="938"/>
      <c r="HU5" s="938"/>
      <c r="HV5" s="938"/>
      <c r="HW5" s="712" t="str">
        <f>IF('org. Düngung 22'!BL8="",'#org22'!$C$7,'org. Düngung 22'!BL8)</f>
        <v xml:space="preserve"> --</v>
      </c>
      <c r="HX5" s="729" t="s">
        <v>1399</v>
      </c>
      <c r="HY5" s="47">
        <f>VLOOKUP(HW$5,Tab_org21[[Dünger]:[anrechenbarer N bei DBE Grünland]],'#org22'!$Q$1,FALSE)</f>
        <v>0</v>
      </c>
      <c r="HZ5" s="938"/>
      <c r="IA5" s="938"/>
      <c r="IB5" s="938"/>
      <c r="IC5" s="938"/>
      <c r="ID5" s="938"/>
      <c r="IE5" s="938"/>
      <c r="IF5" s="938"/>
      <c r="IG5" s="938"/>
      <c r="IH5" s="938"/>
      <c r="II5" s="938"/>
      <c r="IJ5" s="938"/>
      <c r="IK5" s="938"/>
      <c r="IL5" s="712" t="str">
        <f>IF('org. Düngung 22'!BP8="",'#org22'!$C$7,'org. Düngung 22'!BP8)</f>
        <v xml:space="preserve"> --</v>
      </c>
      <c r="IM5" s="729" t="s">
        <v>1399</v>
      </c>
      <c r="IN5" s="47">
        <f>VLOOKUP(IL$5,Tab_org21[[Dünger]:[anrechenbarer N bei DBE Grünland]],'#org22'!$Q$1,FALSE)</f>
        <v>0</v>
      </c>
      <c r="IO5" s="938"/>
      <c r="IP5" s="938"/>
      <c r="IQ5" s="938"/>
      <c r="IR5" s="938"/>
      <c r="IS5" s="938"/>
      <c r="IT5" s="938"/>
      <c r="IU5" s="938"/>
      <c r="IV5" s="938"/>
      <c r="IW5" s="938"/>
      <c r="IX5" s="938"/>
      <c r="IY5" s="938"/>
      <c r="IZ5" s="938"/>
      <c r="JA5" s="712" t="str">
        <f>IF('org. Düngung 22'!BT8="",'#org22'!$C$7,'org. Düngung 22'!BT8)</f>
        <v xml:space="preserve"> --</v>
      </c>
      <c r="JB5" s="729" t="s">
        <v>1399</v>
      </c>
      <c r="JC5" s="47">
        <f>VLOOKUP(JA$5,Tab_org21[[Dünger]:[anrechenbarer N bei DBE Grünland]],'#org22'!$Q$1,FALSE)</f>
        <v>0</v>
      </c>
      <c r="JD5" s="938"/>
      <c r="JE5" s="938"/>
      <c r="JF5" s="938"/>
      <c r="JG5" s="938"/>
      <c r="JH5" s="938"/>
      <c r="JI5" s="938"/>
      <c r="JJ5" s="938"/>
      <c r="JK5" s="938"/>
      <c r="JL5" s="938"/>
      <c r="JM5" s="938"/>
      <c r="JN5" s="938"/>
      <c r="JO5" s="938"/>
      <c r="JP5" s="712" t="str">
        <f>IF('org. Düngung 22'!BX8="",'#org22'!$C$7,'org. Düngung 22'!BX8)</f>
        <v xml:space="preserve"> --</v>
      </c>
      <c r="JQ5" s="729" t="s">
        <v>1399</v>
      </c>
      <c r="JR5" s="47">
        <f>VLOOKUP(JP$5,Tab_org21[[Dünger]:[anrechenbarer N bei DBE Grünland]],'#org22'!$Q$1,FALSE)</f>
        <v>0</v>
      </c>
      <c r="JS5" s="938"/>
      <c r="JT5" s="938"/>
      <c r="JU5" s="938"/>
      <c r="JV5" s="938"/>
      <c r="JW5" s="938"/>
      <c r="JX5" s="938"/>
      <c r="JY5" s="938"/>
      <c r="JZ5" s="938"/>
      <c r="KA5" s="938"/>
      <c r="KB5" s="938"/>
      <c r="KC5" s="938"/>
      <c r="KD5" s="938"/>
      <c r="KE5" s="712" t="str">
        <f>IF('org. Düngung 22'!CB8="",'#org22'!$C$7,'org. Düngung 22'!CB8)</f>
        <v xml:space="preserve"> --</v>
      </c>
      <c r="KF5" s="729" t="s">
        <v>1399</v>
      </c>
      <c r="KG5" s="47">
        <f>VLOOKUP(KE$5,Tab_org21[[Dünger]:[anrechenbarer N bei DBE Grünland]],'#org22'!$Q$1,FALSE)</f>
        <v>0</v>
      </c>
      <c r="KH5" s="938"/>
      <c r="KI5" s="938"/>
      <c r="KJ5" s="938"/>
      <c r="KK5" s="938"/>
      <c r="KL5" s="938"/>
      <c r="KM5" s="938"/>
      <c r="KN5" s="938"/>
      <c r="KO5" s="938"/>
      <c r="KP5" s="938"/>
      <c r="KQ5" s="938"/>
      <c r="KR5" s="938"/>
      <c r="KS5" s="938"/>
      <c r="KT5" s="712" t="str">
        <f>IF('org. Düngung 22'!CF8="",'#org22'!$C$7,'org. Düngung 22'!CF8)</f>
        <v xml:space="preserve"> --</v>
      </c>
      <c r="KU5" s="729" t="s">
        <v>1399</v>
      </c>
      <c r="KV5" s="47">
        <f>VLOOKUP(KT$5,Tab_org21[[Dünger]:[anrechenbarer N bei DBE Grünland]],'#org22'!$Q$1,FALSE)</f>
        <v>0</v>
      </c>
      <c r="KW5" s="938"/>
      <c r="KX5" s="938"/>
      <c r="KY5" s="938"/>
      <c r="KZ5" s="938"/>
      <c r="LA5" s="938"/>
      <c r="LB5" s="938"/>
      <c r="LC5" s="938"/>
      <c r="LD5" s="938"/>
      <c r="LE5" s="938"/>
      <c r="LF5" s="938"/>
      <c r="LG5" s="938"/>
      <c r="LH5" s="938"/>
      <c r="LI5" s="712" t="str">
        <f>IF('org. Düngung 22'!CJ8="",'#org22'!$C$7,'org. Düngung 22'!CJ8)</f>
        <v xml:space="preserve"> --</v>
      </c>
      <c r="LJ5" s="729" t="s">
        <v>1399</v>
      </c>
      <c r="LK5" s="47">
        <f>VLOOKUP(LI$5,Tab_org21[[Dünger]:[anrechenbarer N bei DBE Grünland]],'#org22'!$Q$1,FALSE)</f>
        <v>0</v>
      </c>
      <c r="LL5" s="938"/>
      <c r="LM5" s="938"/>
      <c r="LN5" s="938"/>
      <c r="LO5" s="938"/>
      <c r="LP5" s="938"/>
      <c r="LQ5" s="938"/>
      <c r="LR5" s="938"/>
      <c r="LS5" s="938"/>
      <c r="LT5" s="938"/>
      <c r="LU5" s="938"/>
      <c r="LV5" s="938"/>
      <c r="LW5" s="938"/>
      <c r="LX5" s="712" t="str">
        <f>IF('org. Düngung 22'!CN8="",'#org22'!$C$7,'org. Düngung 22'!CN8)</f>
        <v xml:space="preserve"> --</v>
      </c>
      <c r="LY5" s="729" t="s">
        <v>1399</v>
      </c>
      <c r="LZ5" s="47">
        <f>VLOOKUP(LX$5,Tab_org21[[Dünger]:[anrechenbarer N bei DBE Grünland]],'#org22'!$Q$1,FALSE)</f>
        <v>0</v>
      </c>
      <c r="MA5" s="938"/>
      <c r="MB5" s="938"/>
      <c r="MC5" s="938"/>
      <c r="MD5" s="938"/>
      <c r="ME5" s="938"/>
      <c r="MF5" s="938"/>
      <c r="MG5" s="938"/>
      <c r="MH5" s="938"/>
      <c r="MI5" s="938"/>
      <c r="MJ5" s="938"/>
      <c r="MK5" s="938"/>
      <c r="ML5" s="938"/>
      <c r="MM5" s="712" t="str">
        <f>IF('org. Düngung 22'!CR8="",'#org22'!$C$7,'org. Düngung 22'!CR8)</f>
        <v xml:space="preserve"> --</v>
      </c>
      <c r="MN5" s="729" t="s">
        <v>1399</v>
      </c>
      <c r="MO5" s="47">
        <f>VLOOKUP(MM$5,Tab_org21[[Dünger]:[anrechenbarer N bei DBE Grünland]],'#org22'!$Q$1,FALSE)</f>
        <v>0</v>
      </c>
      <c r="MP5" s="938"/>
      <c r="MQ5" s="938"/>
      <c r="MR5" s="938"/>
      <c r="MS5" s="938"/>
      <c r="MT5" s="938"/>
      <c r="MU5" s="938"/>
      <c r="MV5" s="938"/>
      <c r="MW5" s="938"/>
      <c r="MX5" s="938"/>
      <c r="MY5" s="938"/>
      <c r="MZ5" s="938"/>
      <c r="NA5" s="938"/>
      <c r="NB5" s="712" t="str">
        <f>IF('org. Düngung 22'!CV8="",'#org22'!$C$7,'org. Düngung 22'!CV8)</f>
        <v xml:space="preserve"> --</v>
      </c>
      <c r="NC5" s="729" t="s">
        <v>1399</v>
      </c>
      <c r="ND5" s="47">
        <f>VLOOKUP(NB$5,Tab_org21[[Dünger]:[anrechenbarer N bei DBE Grünland]],'#org22'!$Q$1,FALSE)</f>
        <v>0</v>
      </c>
      <c r="NE5" s="938"/>
      <c r="NF5" s="938"/>
      <c r="NG5" s="938"/>
      <c r="NH5" s="938"/>
      <c r="NI5" s="938"/>
      <c r="NJ5" s="938"/>
      <c r="NK5" s="938"/>
      <c r="NL5" s="938"/>
      <c r="NM5" s="938"/>
      <c r="NN5" s="938"/>
      <c r="NO5" s="938"/>
      <c r="NP5" s="938"/>
      <c r="NQ5" s="712" t="str">
        <f>IF('org. Düngung 22'!CZ8="",'#org22'!$C$7,'org. Düngung 22'!CZ8)</f>
        <v xml:space="preserve"> --</v>
      </c>
      <c r="NR5" s="729" t="s">
        <v>1399</v>
      </c>
      <c r="NS5" s="47">
        <f>VLOOKUP(NQ$5,Tab_org21[[Dünger]:[anrechenbarer N bei DBE Grünland]],'#org22'!$Q$1,FALSE)</f>
        <v>0</v>
      </c>
      <c r="NT5" s="938"/>
      <c r="NU5" s="938"/>
      <c r="NV5" s="938"/>
      <c r="NW5" s="938"/>
      <c r="NX5" s="938"/>
      <c r="NY5" s="938"/>
      <c r="NZ5" s="938"/>
      <c r="OA5" s="938"/>
      <c r="OB5" s="938"/>
      <c r="OC5" s="938"/>
      <c r="OD5" s="938"/>
      <c r="OE5" s="938"/>
      <c r="OF5" s="712" t="str">
        <f>IF('org. Düngung 22'!DD8="",'#org22'!$C$7,'org. Düngung 22'!DD8)</f>
        <v xml:space="preserve"> --</v>
      </c>
      <c r="OG5" s="729" t="s">
        <v>1399</v>
      </c>
      <c r="OH5" s="47">
        <f>VLOOKUP(OF$5,Tab_org21[[Dünger]:[anrechenbarer N bei DBE Grünland]],'#org22'!$Q$1,FALSE)</f>
        <v>0</v>
      </c>
      <c r="OI5" s="938"/>
      <c r="OJ5" s="938"/>
      <c r="OK5" s="938"/>
      <c r="OL5" s="938"/>
      <c r="OM5" s="938"/>
      <c r="ON5" s="938"/>
      <c r="OO5" s="938"/>
      <c r="OP5" s="938"/>
      <c r="OQ5" s="938"/>
      <c r="OR5" s="938"/>
      <c r="OS5" s="938"/>
      <c r="OT5" s="938"/>
      <c r="OU5" s="712" t="str">
        <f>IF('org. Düngung 22'!DH8="",'#org22'!$C$7,'org. Düngung 22'!DH8)</f>
        <v xml:space="preserve"> --</v>
      </c>
      <c r="OV5" s="729" t="s">
        <v>1399</v>
      </c>
      <c r="OW5" s="47">
        <f>VLOOKUP(OU$5,Tab_org21[[Dünger]:[anrechenbarer N bei DBE Grünland]],'#org22'!$Q$1,FALSE)</f>
        <v>0</v>
      </c>
      <c r="OX5" s="938"/>
      <c r="OY5" s="938"/>
      <c r="OZ5" s="938"/>
      <c r="PA5" s="938"/>
      <c r="PB5" s="938"/>
      <c r="PC5" s="938"/>
      <c r="PD5" s="938"/>
      <c r="PE5" s="938"/>
      <c r="PF5" s="938"/>
      <c r="PG5" s="938"/>
      <c r="PH5" s="938"/>
      <c r="PI5" s="938"/>
      <c r="PJ5" s="712" t="str">
        <f>IF('org. Düngung 22'!DL8="",'#org22'!$C$7,'org. Düngung 22'!DL8)</f>
        <v xml:space="preserve"> --</v>
      </c>
      <c r="PK5" s="729" t="s">
        <v>1399</v>
      </c>
      <c r="PL5" s="47">
        <f>VLOOKUP(PJ$5,Tab_org21[[Dünger]:[anrechenbarer N bei DBE Grünland]],'#org22'!$Q$1,FALSE)</f>
        <v>0</v>
      </c>
      <c r="PM5" s="938"/>
      <c r="PN5" s="938"/>
      <c r="PO5" s="938"/>
      <c r="PP5" s="938"/>
      <c r="PQ5" s="938"/>
      <c r="PR5" s="938"/>
      <c r="PS5" s="938"/>
      <c r="PT5" s="938"/>
      <c r="PU5" s="938"/>
      <c r="PV5" s="938"/>
      <c r="PW5" s="938"/>
      <c r="PX5" s="938"/>
      <c r="PY5" s="712" t="str">
        <f>IF('org. Düngung 22'!DP8="",'#org22'!$C$7,'org. Düngung 22'!DP8)</f>
        <v xml:space="preserve"> --</v>
      </c>
      <c r="PZ5" s="729" t="s">
        <v>1399</v>
      </c>
      <c r="QA5" s="47">
        <f>VLOOKUP(PY$5,Tab_org21[[Dünger]:[anrechenbarer N bei DBE Grünland]],'#org22'!$Q$1,FALSE)</f>
        <v>0</v>
      </c>
      <c r="QB5" s="938"/>
      <c r="QC5" s="938"/>
      <c r="QD5" s="938"/>
      <c r="QE5" s="938"/>
      <c r="QF5" s="938"/>
      <c r="QG5" s="938"/>
      <c r="QH5" s="938"/>
      <c r="QI5" s="938"/>
      <c r="QJ5" s="938"/>
      <c r="QK5" s="938"/>
      <c r="QL5" s="938"/>
      <c r="QM5" s="938"/>
      <c r="QN5" s="712" t="str">
        <f>IF('org. Düngung 22'!DT8="",'#org22'!$C$7,'org. Düngung 22'!DT8)</f>
        <v xml:space="preserve"> --</v>
      </c>
      <c r="QO5" s="729" t="s">
        <v>1399</v>
      </c>
      <c r="QP5" s="47">
        <f>VLOOKUP(QN$5,Tab_org21[[Dünger]:[anrechenbarer N bei DBE Grünland]],'#org22'!$Q$1,FALSE)</f>
        <v>0</v>
      </c>
      <c r="QQ5" s="938"/>
      <c r="QR5" s="938"/>
      <c r="QS5" s="938"/>
      <c r="QT5" s="938"/>
      <c r="QU5" s="938"/>
      <c r="QV5" s="938"/>
      <c r="QW5" s="938"/>
      <c r="QX5" s="938"/>
      <c r="QY5" s="938"/>
      <c r="QZ5" s="938"/>
      <c r="RA5" s="938"/>
      <c r="RB5" s="938"/>
      <c r="RC5" s="712" t="str">
        <f>IF('org. Düngung 22'!DX8="",'#org22'!$C$7,'org. Düngung 22'!DX8)</f>
        <v xml:space="preserve"> --</v>
      </c>
      <c r="RD5" s="729" t="s">
        <v>1399</v>
      </c>
      <c r="RE5" s="47">
        <f>VLOOKUP(RC$5,Tab_org21[[Dünger]:[anrechenbarer N bei DBE Grünland]],'#org22'!$Q$1,FALSE)</f>
        <v>0</v>
      </c>
      <c r="RF5" s="938"/>
      <c r="RG5" s="938"/>
      <c r="RH5" s="938"/>
      <c r="RI5" s="938"/>
      <c r="RJ5" s="938"/>
      <c r="RK5" s="938"/>
      <c r="RL5" s="938"/>
      <c r="RM5" s="938"/>
      <c r="RN5" s="938"/>
      <c r="RO5" s="938"/>
      <c r="RP5" s="938"/>
      <c r="RQ5" s="938"/>
    </row>
    <row r="6" spans="1:495" x14ac:dyDescent="0.2">
      <c r="T6" s="683"/>
      <c r="U6"/>
      <c r="AD6" s="683"/>
      <c r="AG6"/>
      <c r="AI6" s="692" t="s">
        <v>1126</v>
      </c>
      <c r="AJ6" s="712">
        <f>IF('org. Düngung 22'!L10="",0,VLOOKUP('org. Düngung 22'!L10,'#Boden'!$B$41:$C$43,2,FALSE))</f>
        <v>3</v>
      </c>
      <c r="AK6" s="715" t="s">
        <v>1402</v>
      </c>
      <c r="AL6" s="47">
        <f>VLOOKUP(AJ$5,Tab_org21[[Dünger]:[anrechenbarer N bei DBE Grünland]],'#org22'!$AC$1,FALSE)</f>
        <v>0</v>
      </c>
      <c r="AN6" s="691"/>
      <c r="AP6" s="691"/>
      <c r="AQ6" s="691"/>
      <c r="AR6" s="691"/>
      <c r="AS6" s="691"/>
      <c r="AT6" s="691"/>
      <c r="AU6" s="691"/>
      <c r="AW6" s="691"/>
      <c r="AX6" s="691"/>
      <c r="AY6" s="712">
        <f>IF('org. Düngung 22'!P10="",0,VLOOKUP('org. Düngung 22'!P10,'#Boden'!$B$41:$C$43,2,FALSE))</f>
        <v>3</v>
      </c>
      <c r="AZ6" s="881" t="s">
        <v>1402</v>
      </c>
      <c r="BA6" s="47">
        <f>VLOOKUP(AY$5,Tab_org21[[Dünger]:[anrechenbarer N bei DBE Grünland]],'#org22'!$AC$1,FALSE)</f>
        <v>0</v>
      </c>
      <c r="BB6" s="938"/>
      <c r="BC6" s="938"/>
      <c r="BD6" s="938"/>
      <c r="BE6" s="938"/>
      <c r="BF6" s="938"/>
      <c r="BG6" s="938"/>
      <c r="BH6" s="938"/>
      <c r="BI6" s="938"/>
      <c r="BJ6" s="938"/>
      <c r="BK6" s="938"/>
      <c r="BL6" s="938"/>
      <c r="BM6" s="938"/>
      <c r="BN6" s="712">
        <f>IF('org. Düngung 22'!T10="",0,VLOOKUP('org. Düngung 22'!T10,'#Boden'!$B$41:$C$43,2,FALSE))</f>
        <v>3</v>
      </c>
      <c r="BO6" s="881" t="s">
        <v>1402</v>
      </c>
      <c r="BP6" s="47">
        <f>VLOOKUP(BN$5,Tab_org21[[Dünger]:[anrechenbarer N bei DBE Grünland]],'#org22'!$AC$1,FALSE)</f>
        <v>0</v>
      </c>
      <c r="BQ6" s="938"/>
      <c r="BR6" s="938"/>
      <c r="BS6" s="938"/>
      <c r="BT6" s="938"/>
      <c r="BU6" s="938"/>
      <c r="BV6" s="938"/>
      <c r="BW6" s="938"/>
      <c r="BX6" s="938"/>
      <c r="BY6" s="938"/>
      <c r="BZ6" s="938"/>
      <c r="CA6" s="938"/>
      <c r="CB6" s="938"/>
      <c r="CC6" s="712">
        <f>IF('org. Düngung 22'!X10="",0,VLOOKUP('org. Düngung 22'!X10,'#Boden'!$B$41:$C$43,2,FALSE))</f>
        <v>3</v>
      </c>
      <c r="CD6" s="881" t="s">
        <v>1402</v>
      </c>
      <c r="CE6" s="47">
        <f>VLOOKUP(CC$5,Tab_org21[[Dünger]:[anrechenbarer N bei DBE Grünland]],'#org22'!$AC$1,FALSE)</f>
        <v>0</v>
      </c>
      <c r="CF6" s="938"/>
      <c r="CG6" s="938"/>
      <c r="CH6" s="938"/>
      <c r="CI6" s="938"/>
      <c r="CJ6" s="938"/>
      <c r="CK6" s="938"/>
      <c r="CL6" s="938"/>
      <c r="CM6" s="938"/>
      <c r="CN6" s="938"/>
      <c r="CO6" s="938"/>
      <c r="CP6" s="938"/>
      <c r="CQ6" s="938"/>
      <c r="CR6" s="712">
        <f>IF('org. Düngung 22'!AB10="",0,VLOOKUP('org. Düngung 22'!AB10,'#Boden'!$B$41:$C$43,2,FALSE))</f>
        <v>3</v>
      </c>
      <c r="CS6" s="881" t="s">
        <v>1402</v>
      </c>
      <c r="CT6" s="47">
        <f>VLOOKUP(CR$5,Tab_org21[[Dünger]:[anrechenbarer N bei DBE Grünland]],'#org22'!$AC$1,FALSE)</f>
        <v>0</v>
      </c>
      <c r="CU6" s="938"/>
      <c r="CV6" s="938"/>
      <c r="CW6" s="938"/>
      <c r="CX6" s="938"/>
      <c r="CY6" s="938"/>
      <c r="CZ6" s="938"/>
      <c r="DA6" s="938"/>
      <c r="DB6" s="938"/>
      <c r="DC6" s="938"/>
      <c r="DD6" s="938"/>
      <c r="DE6" s="938"/>
      <c r="DF6" s="938"/>
      <c r="DG6" s="712">
        <f>IF('org. Düngung 22'!AF10="",0,VLOOKUP('org. Düngung 22'!AF10,'#Boden'!$B$41:$C$43,2,FALSE))</f>
        <v>3</v>
      </c>
      <c r="DH6" s="881" t="s">
        <v>1402</v>
      </c>
      <c r="DI6" s="47">
        <f>VLOOKUP(DG$5,Tab_org21[[Dünger]:[anrechenbarer N bei DBE Grünland]],'#org22'!$AC$1,FALSE)</f>
        <v>0</v>
      </c>
      <c r="DJ6" s="938"/>
      <c r="DK6" s="938"/>
      <c r="DL6" s="938"/>
      <c r="DM6" s="938"/>
      <c r="DN6" s="938"/>
      <c r="DO6" s="938"/>
      <c r="DP6" s="938"/>
      <c r="DQ6" s="938"/>
      <c r="DR6" s="938"/>
      <c r="DS6" s="938"/>
      <c r="DT6" s="938"/>
      <c r="DU6" s="938"/>
      <c r="DV6" s="712">
        <f>IF('org. Düngung 22'!AJ10="",0,VLOOKUP('org. Düngung 22'!AJ10,'#Boden'!$B$41:$C$43,2,FALSE))</f>
        <v>3</v>
      </c>
      <c r="DW6" s="881" t="s">
        <v>1402</v>
      </c>
      <c r="DX6" s="47">
        <f>VLOOKUP(DV$5,Tab_org21[[Dünger]:[anrechenbarer N bei DBE Grünland]],'#org22'!$AC$1,FALSE)</f>
        <v>0</v>
      </c>
      <c r="DY6" s="938"/>
      <c r="DZ6" s="938"/>
      <c r="EA6" s="938"/>
      <c r="EB6" s="938"/>
      <c r="EC6" s="938"/>
      <c r="ED6" s="938"/>
      <c r="EE6" s="938"/>
      <c r="EF6" s="938"/>
      <c r="EG6" s="938"/>
      <c r="EH6" s="938"/>
      <c r="EI6" s="938"/>
      <c r="EJ6" s="938"/>
      <c r="EK6" s="712">
        <f>IF('org. Düngung 22'!AN10="",0,VLOOKUP('org. Düngung 22'!AN10,'#Boden'!$B$41:$C$43,2,FALSE))</f>
        <v>3</v>
      </c>
      <c r="EL6" s="881" t="s">
        <v>1402</v>
      </c>
      <c r="EM6" s="47">
        <f>VLOOKUP(EK$5,Tab_org21[[Dünger]:[anrechenbarer N bei DBE Grünland]],'#org22'!$AC$1,FALSE)</f>
        <v>0</v>
      </c>
      <c r="EN6" s="938"/>
      <c r="EO6" s="938"/>
      <c r="EP6" s="938"/>
      <c r="EQ6" s="938"/>
      <c r="ER6" s="938"/>
      <c r="ES6" s="938"/>
      <c r="ET6" s="938"/>
      <c r="EU6" s="938"/>
      <c r="EV6" s="938"/>
      <c r="EW6" s="938"/>
      <c r="EX6" s="938"/>
      <c r="EY6" s="938"/>
      <c r="EZ6" s="712">
        <f>IF('org. Düngung 22'!AR10="",0,VLOOKUP('org. Düngung 22'!AR10,'#Boden'!$B$41:$C$43,2,FALSE))</f>
        <v>3</v>
      </c>
      <c r="FA6" s="881" t="s">
        <v>1402</v>
      </c>
      <c r="FB6" s="47">
        <f>VLOOKUP(EZ$5,Tab_org21[[Dünger]:[anrechenbarer N bei DBE Grünland]],'#org22'!$AC$1,FALSE)</f>
        <v>0</v>
      </c>
      <c r="FC6" s="938"/>
      <c r="FD6" s="938"/>
      <c r="FE6" s="938"/>
      <c r="FF6" s="938"/>
      <c r="FG6" s="938"/>
      <c r="FH6" s="938"/>
      <c r="FI6" s="938"/>
      <c r="FJ6" s="938"/>
      <c r="FK6" s="938"/>
      <c r="FL6" s="938"/>
      <c r="FM6" s="938"/>
      <c r="FN6" s="938"/>
      <c r="FO6" s="712">
        <f>IF('org. Düngung 22'!AV10="",0,VLOOKUP('org. Düngung 22'!AV10,'#Boden'!$B$41:$C$43,2,FALSE))</f>
        <v>3</v>
      </c>
      <c r="FP6" s="881" t="s">
        <v>1402</v>
      </c>
      <c r="FQ6" s="47">
        <f>VLOOKUP(FO$5,Tab_org21[[Dünger]:[anrechenbarer N bei DBE Grünland]],'#org22'!$AC$1,FALSE)</f>
        <v>0</v>
      </c>
      <c r="FR6" s="938"/>
      <c r="FS6" s="938"/>
      <c r="FT6" s="938"/>
      <c r="FU6" s="938"/>
      <c r="FV6" s="938"/>
      <c r="FW6" s="938"/>
      <c r="FX6" s="938"/>
      <c r="FY6" s="938"/>
      <c r="FZ6" s="938"/>
      <c r="GA6" s="938"/>
      <c r="GB6" s="938"/>
      <c r="GC6" s="938"/>
      <c r="GD6" s="712">
        <f>IF('org. Düngung 22'!AZ10="",0,VLOOKUP('org. Düngung 22'!AZ10,'#Boden'!$B$41:$C$43,2,FALSE))</f>
        <v>3</v>
      </c>
      <c r="GE6" s="881" t="s">
        <v>1402</v>
      </c>
      <c r="GF6" s="47">
        <f>VLOOKUP(GD$5,Tab_org21[[Dünger]:[anrechenbarer N bei DBE Grünland]],'#org22'!$AC$1,FALSE)</f>
        <v>0</v>
      </c>
      <c r="GG6" s="938"/>
      <c r="GH6" s="938"/>
      <c r="GI6" s="938"/>
      <c r="GJ6" s="938"/>
      <c r="GK6" s="938"/>
      <c r="GL6" s="938"/>
      <c r="GM6" s="938"/>
      <c r="GN6" s="938"/>
      <c r="GO6" s="938"/>
      <c r="GP6" s="938"/>
      <c r="GQ6" s="938"/>
      <c r="GR6" s="938"/>
      <c r="GS6" s="712">
        <f>IF('org. Düngung 22'!BD10="",0,VLOOKUP('org. Düngung 22'!BD10,'#Boden'!$B$41:$C$43,2,FALSE))</f>
        <v>3</v>
      </c>
      <c r="GT6" s="881" t="s">
        <v>1402</v>
      </c>
      <c r="GU6" s="47">
        <f>VLOOKUP(GS$5,Tab_org21[[Dünger]:[anrechenbarer N bei DBE Grünland]],'#org22'!$AC$1,FALSE)</f>
        <v>0</v>
      </c>
      <c r="GV6" s="938"/>
      <c r="GW6" s="938"/>
      <c r="GX6" s="938"/>
      <c r="GY6" s="938"/>
      <c r="GZ6" s="938"/>
      <c r="HA6" s="938"/>
      <c r="HB6" s="938"/>
      <c r="HC6" s="938"/>
      <c r="HD6" s="938"/>
      <c r="HE6" s="938"/>
      <c r="HF6" s="938"/>
      <c r="HG6" s="938"/>
      <c r="HH6" s="712">
        <f>IF('org. Düngung 22'!BH10="",0,VLOOKUP('org. Düngung 22'!BH10,'#Boden'!$B$41:$C$43,2,FALSE))</f>
        <v>3</v>
      </c>
      <c r="HI6" s="881" t="s">
        <v>1402</v>
      </c>
      <c r="HJ6" s="47">
        <f>VLOOKUP(HH$5,Tab_org21[[Dünger]:[anrechenbarer N bei DBE Grünland]],'#org22'!$AC$1,FALSE)</f>
        <v>0</v>
      </c>
      <c r="HK6" s="938"/>
      <c r="HL6" s="938"/>
      <c r="HM6" s="938"/>
      <c r="HN6" s="938"/>
      <c r="HO6" s="938"/>
      <c r="HP6" s="938"/>
      <c r="HQ6" s="938"/>
      <c r="HR6" s="938"/>
      <c r="HS6" s="938"/>
      <c r="HT6" s="938"/>
      <c r="HU6" s="938"/>
      <c r="HV6" s="938"/>
      <c r="HW6" s="712">
        <f>IF('org. Düngung 22'!BL10="",0,VLOOKUP('org. Düngung 22'!BL10,'#Boden'!$B$41:$C$43,2,FALSE))</f>
        <v>3</v>
      </c>
      <c r="HX6" s="881" t="s">
        <v>1402</v>
      </c>
      <c r="HY6" s="47">
        <f>VLOOKUP(HW$5,Tab_org21[[Dünger]:[anrechenbarer N bei DBE Grünland]],'#org22'!$AC$1,FALSE)</f>
        <v>0</v>
      </c>
      <c r="HZ6" s="938"/>
      <c r="IA6" s="938"/>
      <c r="IB6" s="938"/>
      <c r="IC6" s="938"/>
      <c r="ID6" s="938"/>
      <c r="IE6" s="938"/>
      <c r="IF6" s="938"/>
      <c r="IG6" s="938"/>
      <c r="IH6" s="938"/>
      <c r="II6" s="938"/>
      <c r="IJ6" s="938"/>
      <c r="IK6" s="938"/>
      <c r="IL6" s="712">
        <f>IF('org. Düngung 22'!BP10="",0,VLOOKUP('org. Düngung 22'!BP10,'#Boden'!$B$41:$C$43,2,FALSE))</f>
        <v>3</v>
      </c>
      <c r="IM6" s="881" t="s">
        <v>1402</v>
      </c>
      <c r="IN6" s="47">
        <f>VLOOKUP(IL$5,Tab_org21[[Dünger]:[anrechenbarer N bei DBE Grünland]],'#org22'!$AC$1,FALSE)</f>
        <v>0</v>
      </c>
      <c r="IO6" s="938"/>
      <c r="IP6" s="938"/>
      <c r="IQ6" s="938"/>
      <c r="IR6" s="938"/>
      <c r="IS6" s="938"/>
      <c r="IT6" s="938"/>
      <c r="IU6" s="938"/>
      <c r="IV6" s="938"/>
      <c r="IW6" s="938"/>
      <c r="IX6" s="938"/>
      <c r="IY6" s="938"/>
      <c r="IZ6" s="938"/>
      <c r="JA6" s="712">
        <f>IF('org. Düngung 22'!BT10="",0,VLOOKUP('org. Düngung 22'!BT10,'#Boden'!$B$41:$C$43,2,FALSE))</f>
        <v>3</v>
      </c>
      <c r="JB6" s="881" t="s">
        <v>1402</v>
      </c>
      <c r="JC6" s="47">
        <f>VLOOKUP(JA$5,Tab_org21[[Dünger]:[anrechenbarer N bei DBE Grünland]],'#org22'!$AC$1,FALSE)</f>
        <v>0</v>
      </c>
      <c r="JD6" s="938"/>
      <c r="JE6" s="938"/>
      <c r="JF6" s="938"/>
      <c r="JG6" s="938"/>
      <c r="JH6" s="938"/>
      <c r="JI6" s="938"/>
      <c r="JJ6" s="938"/>
      <c r="JK6" s="938"/>
      <c r="JL6" s="938"/>
      <c r="JM6" s="938"/>
      <c r="JN6" s="938"/>
      <c r="JO6" s="938"/>
      <c r="JP6" s="712">
        <f>IF('org. Düngung 22'!BX10="",0,VLOOKUP('org. Düngung 22'!BX10,'#Boden'!$B$41:$C$43,2,FALSE))</f>
        <v>3</v>
      </c>
      <c r="JQ6" s="881" t="s">
        <v>1402</v>
      </c>
      <c r="JR6" s="47">
        <f>VLOOKUP(JP$5,Tab_org21[[Dünger]:[anrechenbarer N bei DBE Grünland]],'#org22'!$AC$1,FALSE)</f>
        <v>0</v>
      </c>
      <c r="JS6" s="938"/>
      <c r="JT6" s="938"/>
      <c r="JU6" s="938"/>
      <c r="JV6" s="938"/>
      <c r="JW6" s="938"/>
      <c r="JX6" s="938"/>
      <c r="JY6" s="938"/>
      <c r="JZ6" s="938"/>
      <c r="KA6" s="938"/>
      <c r="KB6" s="938"/>
      <c r="KC6" s="938"/>
      <c r="KD6" s="938"/>
      <c r="KE6" s="712">
        <f>IF('org. Düngung 22'!CB10="",0,VLOOKUP('org. Düngung 22'!CB10,'#Boden'!$B$41:$C$43,2,FALSE))</f>
        <v>3</v>
      </c>
      <c r="KF6" s="881" t="s">
        <v>1402</v>
      </c>
      <c r="KG6" s="47">
        <f>VLOOKUP(KE$5,Tab_org21[[Dünger]:[anrechenbarer N bei DBE Grünland]],'#org22'!$AC$1,FALSE)</f>
        <v>0</v>
      </c>
      <c r="KH6" s="938"/>
      <c r="KI6" s="938"/>
      <c r="KJ6" s="938"/>
      <c r="KK6" s="938"/>
      <c r="KL6" s="938"/>
      <c r="KM6" s="938"/>
      <c r="KN6" s="938"/>
      <c r="KO6" s="938"/>
      <c r="KP6" s="938"/>
      <c r="KQ6" s="938"/>
      <c r="KR6" s="938"/>
      <c r="KS6" s="938"/>
      <c r="KT6" s="712">
        <f>IF('org. Düngung 22'!CF10="",0,VLOOKUP('org. Düngung 22'!CF10,'#Boden'!$B$41:$C$43,2,FALSE))</f>
        <v>3</v>
      </c>
      <c r="KU6" s="881" t="s">
        <v>1402</v>
      </c>
      <c r="KV6" s="47">
        <f>VLOOKUP(KT$5,Tab_org21[[Dünger]:[anrechenbarer N bei DBE Grünland]],'#org22'!$AC$1,FALSE)</f>
        <v>0</v>
      </c>
      <c r="KW6" s="938"/>
      <c r="KX6" s="938"/>
      <c r="KY6" s="938"/>
      <c r="KZ6" s="938"/>
      <c r="LA6" s="938"/>
      <c r="LB6" s="938"/>
      <c r="LC6" s="938"/>
      <c r="LD6" s="938"/>
      <c r="LE6" s="938"/>
      <c r="LF6" s="938"/>
      <c r="LG6" s="938"/>
      <c r="LH6" s="938"/>
      <c r="LI6" s="712">
        <f>IF('org. Düngung 22'!CJ10="",0,VLOOKUP('org. Düngung 22'!CJ10,'#Boden'!$B$41:$C$43,2,FALSE))</f>
        <v>3</v>
      </c>
      <c r="LJ6" s="881" t="s">
        <v>1402</v>
      </c>
      <c r="LK6" s="47">
        <f>VLOOKUP(LI$5,Tab_org21[[Dünger]:[anrechenbarer N bei DBE Grünland]],'#org22'!$AC$1,FALSE)</f>
        <v>0</v>
      </c>
      <c r="LL6" s="938"/>
      <c r="LM6" s="938"/>
      <c r="LN6" s="938"/>
      <c r="LO6" s="938"/>
      <c r="LP6" s="938"/>
      <c r="LQ6" s="938"/>
      <c r="LR6" s="938"/>
      <c r="LS6" s="938"/>
      <c r="LT6" s="938"/>
      <c r="LU6" s="938"/>
      <c r="LV6" s="938"/>
      <c r="LW6" s="938"/>
      <c r="LX6" s="712">
        <f>IF('org. Düngung 22'!CN10="",0,VLOOKUP('org. Düngung 22'!CN10,'#Boden'!$B$41:$C$43,2,FALSE))</f>
        <v>3</v>
      </c>
      <c r="LY6" s="881" t="s">
        <v>1402</v>
      </c>
      <c r="LZ6" s="47">
        <f>VLOOKUP(LX$5,Tab_org21[[Dünger]:[anrechenbarer N bei DBE Grünland]],'#org22'!$AC$1,FALSE)</f>
        <v>0</v>
      </c>
      <c r="MA6" s="938"/>
      <c r="MB6" s="938"/>
      <c r="MC6" s="938"/>
      <c r="MD6" s="938"/>
      <c r="ME6" s="938"/>
      <c r="MF6" s="938"/>
      <c r="MG6" s="938"/>
      <c r="MH6" s="938"/>
      <c r="MI6" s="938"/>
      <c r="MJ6" s="938"/>
      <c r="MK6" s="938"/>
      <c r="ML6" s="938"/>
      <c r="MM6" s="712">
        <f>IF('org. Düngung 22'!CR10="",0,VLOOKUP('org. Düngung 22'!CR10,'#Boden'!$B$41:$C$43,2,FALSE))</f>
        <v>3</v>
      </c>
      <c r="MN6" s="881" t="s">
        <v>1402</v>
      </c>
      <c r="MO6" s="47">
        <f>VLOOKUP(MM$5,Tab_org21[[Dünger]:[anrechenbarer N bei DBE Grünland]],'#org22'!$AC$1,FALSE)</f>
        <v>0</v>
      </c>
      <c r="MP6" s="938"/>
      <c r="MQ6" s="938"/>
      <c r="MR6" s="938"/>
      <c r="MS6" s="938"/>
      <c r="MT6" s="938"/>
      <c r="MU6" s="938"/>
      <c r="MV6" s="938"/>
      <c r="MW6" s="938"/>
      <c r="MX6" s="938"/>
      <c r="MY6" s="938"/>
      <c r="MZ6" s="938"/>
      <c r="NA6" s="938"/>
      <c r="NB6" s="712">
        <f>IF('org. Düngung 22'!CV10="",0,VLOOKUP('org. Düngung 22'!CV10,'#Boden'!$B$41:$C$43,2,FALSE))</f>
        <v>3</v>
      </c>
      <c r="NC6" s="881" t="s">
        <v>1402</v>
      </c>
      <c r="ND6" s="47">
        <f>VLOOKUP(NB$5,Tab_org21[[Dünger]:[anrechenbarer N bei DBE Grünland]],'#org22'!$AC$1,FALSE)</f>
        <v>0</v>
      </c>
      <c r="NE6" s="938"/>
      <c r="NF6" s="938"/>
      <c r="NG6" s="938"/>
      <c r="NH6" s="938"/>
      <c r="NI6" s="938"/>
      <c r="NJ6" s="938"/>
      <c r="NK6" s="938"/>
      <c r="NL6" s="938"/>
      <c r="NM6" s="938"/>
      <c r="NN6" s="938"/>
      <c r="NO6" s="938"/>
      <c r="NP6" s="938"/>
      <c r="NQ6" s="712">
        <f>IF('org. Düngung 22'!CZ10="",0,VLOOKUP('org. Düngung 22'!CZ10,'#Boden'!$B$41:$C$43,2,FALSE))</f>
        <v>3</v>
      </c>
      <c r="NR6" s="881" t="s">
        <v>1402</v>
      </c>
      <c r="NS6" s="47">
        <f>VLOOKUP(NQ$5,Tab_org21[[Dünger]:[anrechenbarer N bei DBE Grünland]],'#org22'!$AC$1,FALSE)</f>
        <v>0</v>
      </c>
      <c r="NT6" s="938"/>
      <c r="NU6" s="938"/>
      <c r="NV6" s="938"/>
      <c r="NW6" s="938"/>
      <c r="NX6" s="938"/>
      <c r="NY6" s="938"/>
      <c r="NZ6" s="938"/>
      <c r="OA6" s="938"/>
      <c r="OB6" s="938"/>
      <c r="OC6" s="938"/>
      <c r="OD6" s="938"/>
      <c r="OE6" s="938"/>
      <c r="OF6" s="712">
        <f>IF('org. Düngung 22'!DD10="",0,VLOOKUP('org. Düngung 22'!DD10,'#Boden'!$B$41:$C$43,2,FALSE))</f>
        <v>3</v>
      </c>
      <c r="OG6" s="881" t="s">
        <v>1402</v>
      </c>
      <c r="OH6" s="47">
        <f>VLOOKUP(OF$5,Tab_org21[[Dünger]:[anrechenbarer N bei DBE Grünland]],'#org22'!$AC$1,FALSE)</f>
        <v>0</v>
      </c>
      <c r="OI6" s="938"/>
      <c r="OJ6" s="938"/>
      <c r="OK6" s="938"/>
      <c r="OL6" s="938"/>
      <c r="OM6" s="938"/>
      <c r="ON6" s="938"/>
      <c r="OO6" s="938"/>
      <c r="OP6" s="938"/>
      <c r="OQ6" s="938"/>
      <c r="OR6" s="938"/>
      <c r="OS6" s="938"/>
      <c r="OT6" s="938"/>
      <c r="OU6" s="712">
        <f>IF('org. Düngung 22'!DH10="",0,VLOOKUP('org. Düngung 22'!DH10,'#Boden'!$B$41:$C$43,2,FALSE))</f>
        <v>3</v>
      </c>
      <c r="OV6" s="881" t="s">
        <v>1402</v>
      </c>
      <c r="OW6" s="47">
        <f>VLOOKUP(OU$5,Tab_org21[[Dünger]:[anrechenbarer N bei DBE Grünland]],'#org22'!$AC$1,FALSE)</f>
        <v>0</v>
      </c>
      <c r="OX6" s="938"/>
      <c r="OY6" s="938"/>
      <c r="OZ6" s="938"/>
      <c r="PA6" s="938"/>
      <c r="PB6" s="938"/>
      <c r="PC6" s="938"/>
      <c r="PD6" s="938"/>
      <c r="PE6" s="938"/>
      <c r="PF6" s="938"/>
      <c r="PG6" s="938"/>
      <c r="PH6" s="938"/>
      <c r="PI6" s="938"/>
      <c r="PJ6" s="712">
        <f>IF('org. Düngung 22'!DL10="",0,VLOOKUP('org. Düngung 22'!DL10,'#Boden'!$B$41:$C$43,2,FALSE))</f>
        <v>3</v>
      </c>
      <c r="PK6" s="881" t="s">
        <v>1402</v>
      </c>
      <c r="PL6" s="47">
        <f>VLOOKUP(PJ$5,Tab_org21[[Dünger]:[anrechenbarer N bei DBE Grünland]],'#org22'!$AC$1,FALSE)</f>
        <v>0</v>
      </c>
      <c r="PM6" s="938"/>
      <c r="PN6" s="938"/>
      <c r="PO6" s="938"/>
      <c r="PP6" s="938"/>
      <c r="PQ6" s="938"/>
      <c r="PR6" s="938"/>
      <c r="PS6" s="938"/>
      <c r="PT6" s="938"/>
      <c r="PU6" s="938"/>
      <c r="PV6" s="938"/>
      <c r="PW6" s="938"/>
      <c r="PX6" s="938"/>
      <c r="PY6" s="712">
        <f>IF('org. Düngung 22'!DP10="",0,VLOOKUP('org. Düngung 22'!DP10,'#Boden'!$B$41:$C$43,2,FALSE))</f>
        <v>3</v>
      </c>
      <c r="PZ6" s="881" t="s">
        <v>1402</v>
      </c>
      <c r="QA6" s="47">
        <f>VLOOKUP(PY$5,Tab_org21[[Dünger]:[anrechenbarer N bei DBE Grünland]],'#org22'!$AC$1,FALSE)</f>
        <v>0</v>
      </c>
      <c r="QB6" s="938"/>
      <c r="QC6" s="938"/>
      <c r="QD6" s="938"/>
      <c r="QE6" s="938"/>
      <c r="QF6" s="938"/>
      <c r="QG6" s="938"/>
      <c r="QH6" s="938"/>
      <c r="QI6" s="938"/>
      <c r="QJ6" s="938"/>
      <c r="QK6" s="938"/>
      <c r="QL6" s="938"/>
      <c r="QM6" s="938"/>
      <c r="QN6" s="712">
        <f>IF('org. Düngung 22'!DT10="",0,VLOOKUP('org. Düngung 22'!DT10,'#Boden'!$B$41:$C$43,2,FALSE))</f>
        <v>3</v>
      </c>
      <c r="QO6" s="881" t="s">
        <v>1402</v>
      </c>
      <c r="QP6" s="47">
        <f>VLOOKUP(QN$5,Tab_org21[[Dünger]:[anrechenbarer N bei DBE Grünland]],'#org22'!$AC$1,FALSE)</f>
        <v>0</v>
      </c>
      <c r="QQ6" s="938"/>
      <c r="QR6" s="938"/>
      <c r="QS6" s="938"/>
      <c r="QT6" s="938"/>
      <c r="QU6" s="938"/>
      <c r="QV6" s="938"/>
      <c r="QW6" s="938"/>
      <c r="QX6" s="938"/>
      <c r="QY6" s="938"/>
      <c r="QZ6" s="938"/>
      <c r="RA6" s="938"/>
      <c r="RB6" s="938"/>
      <c r="RC6" s="712">
        <f>IF('org. Düngung 22'!DX10="",0,VLOOKUP('org. Düngung 22'!DX10,'#Boden'!$B$41:$C$43,2,FALSE))</f>
        <v>3</v>
      </c>
      <c r="RD6" s="881" t="s">
        <v>1402</v>
      </c>
      <c r="RE6" s="47">
        <f>VLOOKUP(RC$5,Tab_org21[[Dünger]:[anrechenbarer N bei DBE Grünland]],'#org22'!$AC$1,FALSE)</f>
        <v>0</v>
      </c>
      <c r="RF6" s="938"/>
      <c r="RG6" s="938"/>
      <c r="RH6" s="938"/>
      <c r="RI6" s="938"/>
      <c r="RJ6" s="938"/>
      <c r="RK6" s="938"/>
      <c r="RL6" s="938"/>
      <c r="RM6" s="938"/>
      <c r="RN6" s="938"/>
      <c r="RO6" s="938"/>
      <c r="RP6" s="938"/>
      <c r="RQ6" s="938"/>
    </row>
    <row r="7" spans="1:495" x14ac:dyDescent="0.2">
      <c r="T7" s="683"/>
      <c r="U7"/>
      <c r="AD7" s="683" cm="1">
        <f t="array" ref="AD7">SUMPRODUCT(AD14:AD113,B14:B113,(E14:E113="x")*1,(C14:C113=1)*1)</f>
        <v>0</v>
      </c>
      <c r="AE7" s="691" t="s">
        <v>171</v>
      </c>
      <c r="AG7" cm="1">
        <f t="array" ref="AG7">SUMPRODUCT(AG14:AG113,B14:B113,(E14:E113="x")*1,(C14:C113=1)*1)</f>
        <v>0</v>
      </c>
      <c r="AI7" s="692" t="s">
        <v>1328</v>
      </c>
      <c r="AJ7" s="712" t="str">
        <f>'org. Düngung 22'!L11</f>
        <v>Planung</v>
      </c>
      <c r="AK7" s="729" t="s">
        <v>1403</v>
      </c>
      <c r="AL7" s="529">
        <f>VLOOKUP(AJ$5,Tab_org21[[Dünger]:[anrechenbarer N bei DBE Grünland]],'#org22'!$AD$1,FALSE)</f>
        <v>0</v>
      </c>
      <c r="AM7" s="699" t="s">
        <v>10</v>
      </c>
      <c r="AN7" s="699"/>
      <c r="AO7" s="699"/>
      <c r="AP7" s="699"/>
      <c r="AQ7" s="699"/>
      <c r="AR7" s="701" t="s">
        <v>1315</v>
      </c>
      <c r="AS7" s="701"/>
      <c r="AT7" s="701"/>
      <c r="AU7" s="701"/>
      <c r="AV7" s="701"/>
      <c r="AW7" s="704" t="s">
        <v>1316</v>
      </c>
      <c r="AX7" s="704"/>
      <c r="AY7" s="712" t="str">
        <f>'org. Düngung 22'!P11</f>
        <v>Planung</v>
      </c>
      <c r="AZ7" s="729" t="s">
        <v>1403</v>
      </c>
      <c r="BA7" s="529">
        <f>VLOOKUP(AY$5,Tab_org21[[Dünger]:[anrechenbarer N bei DBE Grünland]],'#org22'!$AD$1,FALSE)</f>
        <v>0</v>
      </c>
      <c r="BB7" s="699" t="s">
        <v>10</v>
      </c>
      <c r="BC7" s="699"/>
      <c r="BD7" s="699"/>
      <c r="BE7" s="699"/>
      <c r="BF7" s="699"/>
      <c r="BG7" s="701" t="s">
        <v>1315</v>
      </c>
      <c r="BH7" s="701"/>
      <c r="BI7" s="701"/>
      <c r="BJ7" s="701"/>
      <c r="BK7" s="701"/>
      <c r="BL7" s="704" t="s">
        <v>1316</v>
      </c>
      <c r="BM7" s="704"/>
      <c r="BN7" s="712" t="str">
        <f>'org. Düngung 22'!T11</f>
        <v>Planung</v>
      </c>
      <c r="BO7" s="729" t="s">
        <v>1403</v>
      </c>
      <c r="BP7" s="529">
        <f>VLOOKUP(BN$5,Tab_org21[[Dünger]:[anrechenbarer N bei DBE Grünland]],'#org22'!$AD$1,FALSE)</f>
        <v>0</v>
      </c>
      <c r="BQ7" s="699" t="s">
        <v>10</v>
      </c>
      <c r="BR7" s="699"/>
      <c r="BS7" s="699"/>
      <c r="BT7" s="699"/>
      <c r="BU7" s="699"/>
      <c r="BV7" s="701" t="s">
        <v>1315</v>
      </c>
      <c r="BW7" s="701"/>
      <c r="BX7" s="701"/>
      <c r="BY7" s="701"/>
      <c r="BZ7" s="701"/>
      <c r="CA7" s="704" t="s">
        <v>1316</v>
      </c>
      <c r="CB7" s="704"/>
      <c r="CC7" s="712" t="str">
        <f>'org. Düngung 22'!X11</f>
        <v>Planung</v>
      </c>
      <c r="CD7" s="729" t="s">
        <v>1403</v>
      </c>
      <c r="CE7" s="529">
        <f>VLOOKUP(CC$5,Tab_org21[[Dünger]:[anrechenbarer N bei DBE Grünland]],'#org22'!$AD$1,FALSE)</f>
        <v>0</v>
      </c>
      <c r="CF7" s="699" t="s">
        <v>10</v>
      </c>
      <c r="CG7" s="699"/>
      <c r="CH7" s="699"/>
      <c r="CI7" s="699"/>
      <c r="CJ7" s="699"/>
      <c r="CK7" s="701" t="s">
        <v>1315</v>
      </c>
      <c r="CL7" s="701"/>
      <c r="CM7" s="701"/>
      <c r="CN7" s="701"/>
      <c r="CO7" s="701"/>
      <c r="CP7" s="704" t="s">
        <v>1316</v>
      </c>
      <c r="CQ7" s="704"/>
      <c r="CR7" s="712" t="str">
        <f>'org. Düngung 22'!AB11</f>
        <v>Planung</v>
      </c>
      <c r="CS7" s="729" t="s">
        <v>1403</v>
      </c>
      <c r="CT7" s="529">
        <f>VLOOKUP(CR$5,Tab_org21[[Dünger]:[anrechenbarer N bei DBE Grünland]],'#org22'!$AD$1,FALSE)</f>
        <v>0</v>
      </c>
      <c r="CU7" s="699" t="s">
        <v>10</v>
      </c>
      <c r="CV7" s="699"/>
      <c r="CW7" s="699"/>
      <c r="CX7" s="699"/>
      <c r="CY7" s="699"/>
      <c r="CZ7" s="701" t="s">
        <v>1315</v>
      </c>
      <c r="DA7" s="701"/>
      <c r="DB7" s="701"/>
      <c r="DC7" s="701"/>
      <c r="DD7" s="701"/>
      <c r="DE7" s="704" t="s">
        <v>1316</v>
      </c>
      <c r="DF7" s="704"/>
      <c r="DG7" s="712" t="str">
        <f>'org. Düngung 22'!AF11</f>
        <v>Planung</v>
      </c>
      <c r="DH7" s="729" t="s">
        <v>1403</v>
      </c>
      <c r="DI7" s="529">
        <f>VLOOKUP(DG$5,Tab_org21[[Dünger]:[anrechenbarer N bei DBE Grünland]],'#org22'!$AD$1,FALSE)</f>
        <v>0</v>
      </c>
      <c r="DJ7" s="699" t="s">
        <v>10</v>
      </c>
      <c r="DK7" s="699"/>
      <c r="DL7" s="699"/>
      <c r="DM7" s="699"/>
      <c r="DN7" s="699"/>
      <c r="DO7" s="701" t="s">
        <v>1315</v>
      </c>
      <c r="DP7" s="701"/>
      <c r="DQ7" s="701"/>
      <c r="DR7" s="701"/>
      <c r="DS7" s="701"/>
      <c r="DT7" s="704" t="s">
        <v>1316</v>
      </c>
      <c r="DU7" s="704"/>
      <c r="DV7" s="712" t="str">
        <f>'org. Düngung 22'!AJ11</f>
        <v>Planung</v>
      </c>
      <c r="DW7" s="729" t="s">
        <v>1403</v>
      </c>
      <c r="DX7" s="529">
        <f>VLOOKUP(DV$5,Tab_org21[[Dünger]:[anrechenbarer N bei DBE Grünland]],'#org22'!$AD$1,FALSE)</f>
        <v>0</v>
      </c>
      <c r="DY7" s="699" t="s">
        <v>10</v>
      </c>
      <c r="DZ7" s="699"/>
      <c r="EA7" s="699"/>
      <c r="EB7" s="699"/>
      <c r="EC7" s="699"/>
      <c r="ED7" s="701" t="s">
        <v>1315</v>
      </c>
      <c r="EE7" s="701"/>
      <c r="EF7" s="701"/>
      <c r="EG7" s="701"/>
      <c r="EH7" s="701"/>
      <c r="EI7" s="704" t="s">
        <v>1316</v>
      </c>
      <c r="EJ7" s="704"/>
      <c r="EK7" s="712" t="str">
        <f>'org. Düngung 22'!AN11</f>
        <v>Planung</v>
      </c>
      <c r="EL7" s="729" t="s">
        <v>1403</v>
      </c>
      <c r="EM7" s="529">
        <f>VLOOKUP(EK$5,Tab_org21[[Dünger]:[anrechenbarer N bei DBE Grünland]],'#org22'!$AD$1,FALSE)</f>
        <v>0</v>
      </c>
      <c r="EN7" s="699" t="s">
        <v>10</v>
      </c>
      <c r="EO7" s="699"/>
      <c r="EP7" s="699"/>
      <c r="EQ7" s="699"/>
      <c r="ER7" s="699"/>
      <c r="ES7" s="701" t="s">
        <v>1315</v>
      </c>
      <c r="ET7" s="701"/>
      <c r="EU7" s="701"/>
      <c r="EV7" s="701"/>
      <c r="EW7" s="701"/>
      <c r="EX7" s="704" t="s">
        <v>1316</v>
      </c>
      <c r="EY7" s="704"/>
      <c r="EZ7" s="712" t="str">
        <f>'org. Düngung 22'!AR11</f>
        <v>Planung</v>
      </c>
      <c r="FA7" s="729" t="s">
        <v>1403</v>
      </c>
      <c r="FB7" s="529">
        <f>VLOOKUP(EZ$5,Tab_org21[[Dünger]:[anrechenbarer N bei DBE Grünland]],'#org22'!$AD$1,FALSE)</f>
        <v>0</v>
      </c>
      <c r="FC7" s="699" t="s">
        <v>10</v>
      </c>
      <c r="FD7" s="699"/>
      <c r="FE7" s="699"/>
      <c r="FF7" s="699"/>
      <c r="FG7" s="699"/>
      <c r="FH7" s="701" t="s">
        <v>1315</v>
      </c>
      <c r="FI7" s="701"/>
      <c r="FJ7" s="701"/>
      <c r="FK7" s="701"/>
      <c r="FL7" s="701"/>
      <c r="FM7" s="704" t="s">
        <v>1316</v>
      </c>
      <c r="FN7" s="704"/>
      <c r="FO7" s="712" t="str">
        <f>'org. Düngung 22'!AV11</f>
        <v>Planung</v>
      </c>
      <c r="FP7" s="729" t="s">
        <v>1403</v>
      </c>
      <c r="FQ7" s="529">
        <f>VLOOKUP(FO$5,Tab_org21[[Dünger]:[anrechenbarer N bei DBE Grünland]],'#org22'!$AD$1,FALSE)</f>
        <v>0</v>
      </c>
      <c r="FR7" s="699" t="s">
        <v>10</v>
      </c>
      <c r="FS7" s="699"/>
      <c r="FT7" s="699"/>
      <c r="FU7" s="699"/>
      <c r="FV7" s="699"/>
      <c r="FW7" s="701" t="s">
        <v>1315</v>
      </c>
      <c r="FX7" s="701"/>
      <c r="FY7" s="701"/>
      <c r="FZ7" s="701"/>
      <c r="GA7" s="701"/>
      <c r="GB7" s="704" t="s">
        <v>1316</v>
      </c>
      <c r="GC7" s="704"/>
      <c r="GD7" s="712" t="str">
        <f>'org. Düngung 22'!AZ11</f>
        <v>Planung</v>
      </c>
      <c r="GE7" s="729" t="s">
        <v>1403</v>
      </c>
      <c r="GF7" s="529">
        <f>VLOOKUP(GD$5,Tab_org21[[Dünger]:[anrechenbarer N bei DBE Grünland]],'#org22'!$AD$1,FALSE)</f>
        <v>0</v>
      </c>
      <c r="GG7" s="699" t="s">
        <v>10</v>
      </c>
      <c r="GH7" s="699"/>
      <c r="GI7" s="699"/>
      <c r="GJ7" s="699"/>
      <c r="GK7" s="699"/>
      <c r="GL7" s="701" t="s">
        <v>1315</v>
      </c>
      <c r="GM7" s="701"/>
      <c r="GN7" s="701"/>
      <c r="GO7" s="701"/>
      <c r="GP7" s="701"/>
      <c r="GQ7" s="704" t="s">
        <v>1316</v>
      </c>
      <c r="GR7" s="704"/>
      <c r="GS7" s="712" t="str">
        <f>'org. Düngung 22'!BD11</f>
        <v>Planung</v>
      </c>
      <c r="GT7" s="729" t="s">
        <v>1403</v>
      </c>
      <c r="GU7" s="529">
        <f>VLOOKUP(GS$5,Tab_org21[[Dünger]:[anrechenbarer N bei DBE Grünland]],'#org22'!$AD$1,FALSE)</f>
        <v>0</v>
      </c>
      <c r="GV7" s="699" t="s">
        <v>10</v>
      </c>
      <c r="GW7" s="699"/>
      <c r="GX7" s="699"/>
      <c r="GY7" s="699"/>
      <c r="GZ7" s="699"/>
      <c r="HA7" s="701" t="s">
        <v>1315</v>
      </c>
      <c r="HB7" s="701"/>
      <c r="HC7" s="701"/>
      <c r="HD7" s="701"/>
      <c r="HE7" s="701"/>
      <c r="HF7" s="704" t="s">
        <v>1316</v>
      </c>
      <c r="HG7" s="704"/>
      <c r="HH7" s="712" t="str">
        <f>'org. Düngung 22'!BH11</f>
        <v>Planung</v>
      </c>
      <c r="HI7" s="729" t="s">
        <v>1403</v>
      </c>
      <c r="HJ7" s="529">
        <f>VLOOKUP(HH$5,Tab_org21[[Dünger]:[anrechenbarer N bei DBE Grünland]],'#org22'!$AD$1,FALSE)</f>
        <v>0</v>
      </c>
      <c r="HK7" s="699" t="s">
        <v>10</v>
      </c>
      <c r="HL7" s="699"/>
      <c r="HM7" s="699"/>
      <c r="HN7" s="699"/>
      <c r="HO7" s="699"/>
      <c r="HP7" s="701" t="s">
        <v>1315</v>
      </c>
      <c r="HQ7" s="701"/>
      <c r="HR7" s="701"/>
      <c r="HS7" s="701"/>
      <c r="HT7" s="701"/>
      <c r="HU7" s="704" t="s">
        <v>1316</v>
      </c>
      <c r="HV7" s="704"/>
      <c r="HW7" s="712" t="str">
        <f>'org. Düngung 22'!BL11</f>
        <v>Planung</v>
      </c>
      <c r="HX7" s="729" t="s">
        <v>1403</v>
      </c>
      <c r="HY7" s="529">
        <f>VLOOKUP(HW$5,Tab_org21[[Dünger]:[anrechenbarer N bei DBE Grünland]],'#org22'!$AD$1,FALSE)</f>
        <v>0</v>
      </c>
      <c r="HZ7" s="699" t="s">
        <v>10</v>
      </c>
      <c r="IA7" s="699"/>
      <c r="IB7" s="699"/>
      <c r="IC7" s="699"/>
      <c r="ID7" s="699"/>
      <c r="IE7" s="701" t="s">
        <v>1315</v>
      </c>
      <c r="IF7" s="701"/>
      <c r="IG7" s="701"/>
      <c r="IH7" s="701"/>
      <c r="II7" s="701"/>
      <c r="IJ7" s="704" t="s">
        <v>1316</v>
      </c>
      <c r="IK7" s="704"/>
      <c r="IL7" s="712" t="str">
        <f>'org. Düngung 22'!BP11</f>
        <v>Planung</v>
      </c>
      <c r="IM7" s="729" t="s">
        <v>1403</v>
      </c>
      <c r="IN7" s="529">
        <f>VLOOKUP(IL$5,Tab_org21[[Dünger]:[anrechenbarer N bei DBE Grünland]],'#org22'!$AD$1,FALSE)</f>
        <v>0</v>
      </c>
      <c r="IO7" s="699" t="s">
        <v>10</v>
      </c>
      <c r="IP7" s="699"/>
      <c r="IQ7" s="699"/>
      <c r="IR7" s="699"/>
      <c r="IS7" s="699"/>
      <c r="IT7" s="701" t="s">
        <v>1315</v>
      </c>
      <c r="IU7" s="701"/>
      <c r="IV7" s="701"/>
      <c r="IW7" s="701"/>
      <c r="IX7" s="701"/>
      <c r="IY7" s="704" t="s">
        <v>1316</v>
      </c>
      <c r="IZ7" s="704"/>
      <c r="JA7" s="712" t="str">
        <f>'org. Düngung 22'!BT11</f>
        <v>Planung</v>
      </c>
      <c r="JB7" s="729" t="s">
        <v>1403</v>
      </c>
      <c r="JC7" s="529">
        <f>VLOOKUP(JA$5,Tab_org21[[Dünger]:[anrechenbarer N bei DBE Grünland]],'#org22'!$AD$1,FALSE)</f>
        <v>0</v>
      </c>
      <c r="JD7" s="699" t="s">
        <v>10</v>
      </c>
      <c r="JE7" s="699"/>
      <c r="JF7" s="699"/>
      <c r="JG7" s="699"/>
      <c r="JH7" s="699"/>
      <c r="JI7" s="701" t="s">
        <v>1315</v>
      </c>
      <c r="JJ7" s="701"/>
      <c r="JK7" s="701"/>
      <c r="JL7" s="701"/>
      <c r="JM7" s="701"/>
      <c r="JN7" s="704" t="s">
        <v>1316</v>
      </c>
      <c r="JO7" s="704"/>
      <c r="JP7" s="712" t="str">
        <f>'org. Düngung 22'!BX11</f>
        <v>Planung</v>
      </c>
      <c r="JQ7" s="729" t="s">
        <v>1403</v>
      </c>
      <c r="JR7" s="529">
        <f>VLOOKUP(JP$5,Tab_org21[[Dünger]:[anrechenbarer N bei DBE Grünland]],'#org22'!$AD$1,FALSE)</f>
        <v>0</v>
      </c>
      <c r="JS7" s="699" t="s">
        <v>10</v>
      </c>
      <c r="JT7" s="699"/>
      <c r="JU7" s="699"/>
      <c r="JV7" s="699"/>
      <c r="JW7" s="699"/>
      <c r="JX7" s="701" t="s">
        <v>1315</v>
      </c>
      <c r="JY7" s="701"/>
      <c r="JZ7" s="701"/>
      <c r="KA7" s="701"/>
      <c r="KB7" s="701"/>
      <c r="KC7" s="704" t="s">
        <v>1316</v>
      </c>
      <c r="KD7" s="704"/>
      <c r="KE7" s="712" t="str">
        <f>'org. Düngung 22'!CB11</f>
        <v>Planung</v>
      </c>
      <c r="KF7" s="729" t="s">
        <v>1403</v>
      </c>
      <c r="KG7" s="529">
        <f>VLOOKUP(KE$5,Tab_org21[[Dünger]:[anrechenbarer N bei DBE Grünland]],'#org22'!$AD$1,FALSE)</f>
        <v>0</v>
      </c>
      <c r="KH7" s="699" t="s">
        <v>10</v>
      </c>
      <c r="KI7" s="699"/>
      <c r="KJ7" s="699"/>
      <c r="KK7" s="699"/>
      <c r="KL7" s="699"/>
      <c r="KM7" s="701" t="s">
        <v>1315</v>
      </c>
      <c r="KN7" s="701"/>
      <c r="KO7" s="701"/>
      <c r="KP7" s="701"/>
      <c r="KQ7" s="701"/>
      <c r="KR7" s="704" t="s">
        <v>1316</v>
      </c>
      <c r="KS7" s="704"/>
      <c r="KT7" s="712" t="str">
        <f>'org. Düngung 22'!CF11</f>
        <v>Planung</v>
      </c>
      <c r="KU7" s="729" t="s">
        <v>1403</v>
      </c>
      <c r="KV7" s="529">
        <f>VLOOKUP(KT$5,Tab_org21[[Dünger]:[anrechenbarer N bei DBE Grünland]],'#org22'!$AD$1,FALSE)</f>
        <v>0</v>
      </c>
      <c r="KW7" s="699" t="s">
        <v>10</v>
      </c>
      <c r="KX7" s="699"/>
      <c r="KY7" s="699"/>
      <c r="KZ7" s="699"/>
      <c r="LA7" s="699"/>
      <c r="LB7" s="701" t="s">
        <v>1315</v>
      </c>
      <c r="LC7" s="701"/>
      <c r="LD7" s="701"/>
      <c r="LE7" s="701"/>
      <c r="LF7" s="701"/>
      <c r="LG7" s="704" t="s">
        <v>1316</v>
      </c>
      <c r="LH7" s="704"/>
      <c r="LI7" s="712" t="str">
        <f>'org. Düngung 22'!CJ11</f>
        <v>Planung</v>
      </c>
      <c r="LJ7" s="729" t="s">
        <v>1403</v>
      </c>
      <c r="LK7" s="529">
        <f>VLOOKUP(LI$5,Tab_org21[[Dünger]:[anrechenbarer N bei DBE Grünland]],'#org22'!$AD$1,FALSE)</f>
        <v>0</v>
      </c>
      <c r="LL7" s="699" t="s">
        <v>10</v>
      </c>
      <c r="LM7" s="699"/>
      <c r="LN7" s="699"/>
      <c r="LO7" s="699"/>
      <c r="LP7" s="699"/>
      <c r="LQ7" s="701" t="s">
        <v>1315</v>
      </c>
      <c r="LR7" s="701"/>
      <c r="LS7" s="701"/>
      <c r="LT7" s="701"/>
      <c r="LU7" s="701"/>
      <c r="LV7" s="704" t="s">
        <v>1316</v>
      </c>
      <c r="LW7" s="704"/>
      <c r="LX7" s="712" t="str">
        <f>'org. Düngung 22'!CN11</f>
        <v>Planung</v>
      </c>
      <c r="LY7" s="729" t="s">
        <v>1403</v>
      </c>
      <c r="LZ7" s="529">
        <f>VLOOKUP(LX$5,Tab_org21[[Dünger]:[anrechenbarer N bei DBE Grünland]],'#org22'!$AD$1,FALSE)</f>
        <v>0</v>
      </c>
      <c r="MA7" s="699" t="s">
        <v>10</v>
      </c>
      <c r="MB7" s="699"/>
      <c r="MC7" s="699"/>
      <c r="MD7" s="699"/>
      <c r="ME7" s="699"/>
      <c r="MF7" s="701" t="s">
        <v>1315</v>
      </c>
      <c r="MG7" s="701"/>
      <c r="MH7" s="701"/>
      <c r="MI7" s="701"/>
      <c r="MJ7" s="701"/>
      <c r="MK7" s="704" t="s">
        <v>1316</v>
      </c>
      <c r="ML7" s="704"/>
      <c r="MM7" s="712" t="str">
        <f>'org. Düngung 22'!CR11</f>
        <v>Planung</v>
      </c>
      <c r="MN7" s="729" t="s">
        <v>1403</v>
      </c>
      <c r="MO7" s="529">
        <f>VLOOKUP(MM$5,Tab_org21[[Dünger]:[anrechenbarer N bei DBE Grünland]],'#org22'!$AD$1,FALSE)</f>
        <v>0</v>
      </c>
      <c r="MP7" s="699" t="s">
        <v>10</v>
      </c>
      <c r="MQ7" s="699"/>
      <c r="MR7" s="699"/>
      <c r="MS7" s="699"/>
      <c r="MT7" s="699"/>
      <c r="MU7" s="701" t="s">
        <v>1315</v>
      </c>
      <c r="MV7" s="701"/>
      <c r="MW7" s="701"/>
      <c r="MX7" s="701"/>
      <c r="MY7" s="701"/>
      <c r="MZ7" s="704" t="s">
        <v>1316</v>
      </c>
      <c r="NA7" s="704"/>
      <c r="NB7" s="712" t="str">
        <f>'org. Düngung 22'!CV11</f>
        <v>Planung</v>
      </c>
      <c r="NC7" s="729" t="s">
        <v>1403</v>
      </c>
      <c r="ND7" s="529">
        <f>VLOOKUP(NB$5,Tab_org21[[Dünger]:[anrechenbarer N bei DBE Grünland]],'#org22'!$AD$1,FALSE)</f>
        <v>0</v>
      </c>
      <c r="NE7" s="699" t="s">
        <v>10</v>
      </c>
      <c r="NF7" s="699"/>
      <c r="NG7" s="699"/>
      <c r="NH7" s="699"/>
      <c r="NI7" s="699"/>
      <c r="NJ7" s="701" t="s">
        <v>1315</v>
      </c>
      <c r="NK7" s="701"/>
      <c r="NL7" s="701"/>
      <c r="NM7" s="701"/>
      <c r="NN7" s="701"/>
      <c r="NO7" s="704" t="s">
        <v>1316</v>
      </c>
      <c r="NP7" s="704"/>
      <c r="NQ7" s="712" t="str">
        <f>'org. Düngung 22'!CZ11</f>
        <v>Planung</v>
      </c>
      <c r="NR7" s="729" t="s">
        <v>1403</v>
      </c>
      <c r="NS7" s="529">
        <f>VLOOKUP(NQ$5,Tab_org21[[Dünger]:[anrechenbarer N bei DBE Grünland]],'#org22'!$AD$1,FALSE)</f>
        <v>0</v>
      </c>
      <c r="NT7" s="699" t="s">
        <v>10</v>
      </c>
      <c r="NU7" s="699"/>
      <c r="NV7" s="699"/>
      <c r="NW7" s="699"/>
      <c r="NX7" s="699"/>
      <c r="NY7" s="701" t="s">
        <v>1315</v>
      </c>
      <c r="NZ7" s="701"/>
      <c r="OA7" s="701"/>
      <c r="OB7" s="701"/>
      <c r="OC7" s="701"/>
      <c r="OD7" s="704" t="s">
        <v>1316</v>
      </c>
      <c r="OE7" s="704"/>
      <c r="OF7" s="712" t="str">
        <f>'org. Düngung 22'!DD11</f>
        <v>Planung</v>
      </c>
      <c r="OG7" s="729" t="s">
        <v>1403</v>
      </c>
      <c r="OH7" s="529">
        <f>VLOOKUP(OF$5,Tab_org21[[Dünger]:[anrechenbarer N bei DBE Grünland]],'#org22'!$AD$1,FALSE)</f>
        <v>0</v>
      </c>
      <c r="OI7" s="699" t="s">
        <v>10</v>
      </c>
      <c r="OJ7" s="699"/>
      <c r="OK7" s="699"/>
      <c r="OL7" s="699"/>
      <c r="OM7" s="699"/>
      <c r="ON7" s="701" t="s">
        <v>1315</v>
      </c>
      <c r="OO7" s="701"/>
      <c r="OP7" s="701"/>
      <c r="OQ7" s="701"/>
      <c r="OR7" s="701"/>
      <c r="OS7" s="704" t="s">
        <v>1316</v>
      </c>
      <c r="OT7" s="704"/>
      <c r="OU7" s="712" t="str">
        <f>'org. Düngung 22'!DH11</f>
        <v>Planung</v>
      </c>
      <c r="OV7" s="729" t="s">
        <v>1403</v>
      </c>
      <c r="OW7" s="529">
        <f>VLOOKUP(OU$5,Tab_org21[[Dünger]:[anrechenbarer N bei DBE Grünland]],'#org22'!$AD$1,FALSE)</f>
        <v>0</v>
      </c>
      <c r="OX7" s="699" t="s">
        <v>10</v>
      </c>
      <c r="OY7" s="699"/>
      <c r="OZ7" s="699"/>
      <c r="PA7" s="699"/>
      <c r="PB7" s="699"/>
      <c r="PC7" s="701" t="s">
        <v>1315</v>
      </c>
      <c r="PD7" s="701"/>
      <c r="PE7" s="701"/>
      <c r="PF7" s="701"/>
      <c r="PG7" s="701"/>
      <c r="PH7" s="704" t="s">
        <v>1316</v>
      </c>
      <c r="PI7" s="704"/>
      <c r="PJ7" s="712" t="str">
        <f>'org. Düngung 22'!DL11</f>
        <v>Planung</v>
      </c>
      <c r="PK7" s="729" t="s">
        <v>1403</v>
      </c>
      <c r="PL7" s="529">
        <f>VLOOKUP(PJ$5,Tab_org21[[Dünger]:[anrechenbarer N bei DBE Grünland]],'#org22'!$AD$1,FALSE)</f>
        <v>0</v>
      </c>
      <c r="PM7" s="699" t="s">
        <v>10</v>
      </c>
      <c r="PN7" s="699"/>
      <c r="PO7" s="699"/>
      <c r="PP7" s="699"/>
      <c r="PQ7" s="699"/>
      <c r="PR7" s="701" t="s">
        <v>1315</v>
      </c>
      <c r="PS7" s="701"/>
      <c r="PT7" s="701"/>
      <c r="PU7" s="701"/>
      <c r="PV7" s="701"/>
      <c r="PW7" s="704" t="s">
        <v>1316</v>
      </c>
      <c r="PX7" s="704"/>
      <c r="PY7" s="712" t="str">
        <f>'org. Düngung 22'!DP11</f>
        <v>Planung</v>
      </c>
      <c r="PZ7" s="729" t="s">
        <v>1403</v>
      </c>
      <c r="QA7" s="529">
        <f>VLOOKUP(PY$5,Tab_org21[[Dünger]:[anrechenbarer N bei DBE Grünland]],'#org22'!$AD$1,FALSE)</f>
        <v>0</v>
      </c>
      <c r="QB7" s="699" t="s">
        <v>10</v>
      </c>
      <c r="QC7" s="699"/>
      <c r="QD7" s="699"/>
      <c r="QE7" s="699"/>
      <c r="QF7" s="699"/>
      <c r="QG7" s="701" t="s">
        <v>1315</v>
      </c>
      <c r="QH7" s="701"/>
      <c r="QI7" s="701"/>
      <c r="QJ7" s="701"/>
      <c r="QK7" s="701"/>
      <c r="QL7" s="704" t="s">
        <v>1316</v>
      </c>
      <c r="QM7" s="704"/>
      <c r="QN7" s="712" t="str">
        <f>'org. Düngung 22'!DT11</f>
        <v>Planung</v>
      </c>
      <c r="QO7" s="729" t="s">
        <v>1403</v>
      </c>
      <c r="QP7" s="529">
        <f>VLOOKUP(QN$5,Tab_org21[[Dünger]:[anrechenbarer N bei DBE Grünland]],'#org22'!$AD$1,FALSE)</f>
        <v>0</v>
      </c>
      <c r="QQ7" s="699" t="s">
        <v>10</v>
      </c>
      <c r="QR7" s="699"/>
      <c r="QS7" s="699"/>
      <c r="QT7" s="699"/>
      <c r="QU7" s="699"/>
      <c r="QV7" s="701" t="s">
        <v>1315</v>
      </c>
      <c r="QW7" s="701"/>
      <c r="QX7" s="701"/>
      <c r="QY7" s="701"/>
      <c r="QZ7" s="701"/>
      <c r="RA7" s="704" t="s">
        <v>1316</v>
      </c>
      <c r="RB7" s="704"/>
      <c r="RC7" s="712" t="str">
        <f>'org. Düngung 22'!DX11</f>
        <v>Planung</v>
      </c>
      <c r="RD7" s="729" t="s">
        <v>1403</v>
      </c>
      <c r="RE7" s="529">
        <f>VLOOKUP(RC$5,Tab_org21[[Dünger]:[anrechenbarer N bei DBE Grünland]],'#org22'!$AD$1,FALSE)</f>
        <v>0</v>
      </c>
      <c r="RF7" s="699" t="s">
        <v>10</v>
      </c>
      <c r="RG7" s="699"/>
      <c r="RH7" s="699"/>
      <c r="RI7" s="699"/>
      <c r="RJ7" s="699"/>
      <c r="RK7" s="701" t="s">
        <v>1315</v>
      </c>
      <c r="RL7" s="701"/>
      <c r="RM7" s="701"/>
      <c r="RN7" s="701"/>
      <c r="RO7" s="701"/>
      <c r="RP7" s="704" t="s">
        <v>1316</v>
      </c>
      <c r="RQ7" s="704"/>
    </row>
    <row r="8" spans="1:495" s="332" customFormat="1" ht="89.25" x14ac:dyDescent="0.2">
      <c r="AE8" s="332" t="s">
        <v>174</v>
      </c>
      <c r="AG8" s="332" cm="1">
        <f t="array" ref="AG8">SUMPRODUCT(AG14:AG113,B14:B113,(E14:E113="x")*1,(C14:C113=2)*1)</f>
        <v>0</v>
      </c>
      <c r="AJ8" s="49" t="s">
        <v>1128</v>
      </c>
      <c r="AK8" s="729" t="s">
        <v>1400</v>
      </c>
      <c r="AL8" s="730">
        <f>VLOOKUP(AJ$5,Tab_org21[[Dünger]:[anrechenbarer N bei DBE Grünland]],'#org22'!$R$1,FALSE)</f>
        <v>0</v>
      </c>
      <c r="AM8" s="49" t="s">
        <v>1339</v>
      </c>
      <c r="AN8" s="49" t="s">
        <v>1346</v>
      </c>
      <c r="AO8" s="49" t="s">
        <v>1565</v>
      </c>
      <c r="AP8" s="49" t="s">
        <v>1347</v>
      </c>
      <c r="AQ8" s="49" t="s">
        <v>1345</v>
      </c>
      <c r="AR8" s="49" t="s">
        <v>1348</v>
      </c>
      <c r="AS8" s="49" t="s">
        <v>1349</v>
      </c>
      <c r="AT8" s="49" t="s">
        <v>1350</v>
      </c>
      <c r="AU8" s="49" t="s">
        <v>1351</v>
      </c>
      <c r="AV8" s="49" t="s">
        <v>1589</v>
      </c>
      <c r="AW8" s="49" t="s">
        <v>1352</v>
      </c>
      <c r="AX8" s="49" t="s">
        <v>1343</v>
      </c>
      <c r="AY8" s="49" t="s">
        <v>1128</v>
      </c>
      <c r="AZ8" s="729" t="s">
        <v>1400</v>
      </c>
      <c r="BA8" s="730">
        <f>VLOOKUP(AY$5,Tab_org21[[Dünger]:[anrechenbarer N bei DBE Grünland]],'#org22'!$R$1,FALSE)</f>
        <v>0</v>
      </c>
      <c r="BB8" s="49" t="s">
        <v>1339</v>
      </c>
      <c r="BC8" s="49" t="s">
        <v>1346</v>
      </c>
      <c r="BD8" s="49" t="s">
        <v>1565</v>
      </c>
      <c r="BE8" s="49" t="s">
        <v>1347</v>
      </c>
      <c r="BF8" s="49" t="s">
        <v>1345</v>
      </c>
      <c r="BG8" s="49" t="s">
        <v>1348</v>
      </c>
      <c r="BH8" s="49" t="s">
        <v>1349</v>
      </c>
      <c r="BI8" s="49" t="s">
        <v>1350</v>
      </c>
      <c r="BJ8" s="49" t="s">
        <v>1351</v>
      </c>
      <c r="BK8" s="49" t="s">
        <v>1589</v>
      </c>
      <c r="BL8" s="49" t="s">
        <v>1352</v>
      </c>
      <c r="BM8" s="49" t="s">
        <v>1343</v>
      </c>
      <c r="BN8" s="49" t="s">
        <v>1128</v>
      </c>
      <c r="BO8" s="729" t="s">
        <v>1400</v>
      </c>
      <c r="BP8" s="730">
        <f>VLOOKUP(BN$5,Tab_org21[[Dünger]:[anrechenbarer N bei DBE Grünland]],'#org22'!$R$1,FALSE)</f>
        <v>0</v>
      </c>
      <c r="BQ8" s="49" t="s">
        <v>1339</v>
      </c>
      <c r="BR8" s="49" t="s">
        <v>1346</v>
      </c>
      <c r="BS8" s="49" t="s">
        <v>1565</v>
      </c>
      <c r="BT8" s="49" t="s">
        <v>1347</v>
      </c>
      <c r="BU8" s="49" t="s">
        <v>1345</v>
      </c>
      <c r="BV8" s="49" t="s">
        <v>1348</v>
      </c>
      <c r="BW8" s="49" t="s">
        <v>1349</v>
      </c>
      <c r="BX8" s="49" t="s">
        <v>1350</v>
      </c>
      <c r="BY8" s="49" t="s">
        <v>1351</v>
      </c>
      <c r="BZ8" s="49" t="s">
        <v>1589</v>
      </c>
      <c r="CA8" s="49" t="s">
        <v>1352</v>
      </c>
      <c r="CB8" s="49" t="s">
        <v>1343</v>
      </c>
      <c r="CC8" s="49" t="s">
        <v>1128</v>
      </c>
      <c r="CD8" s="729" t="s">
        <v>1400</v>
      </c>
      <c r="CE8" s="730">
        <f>VLOOKUP(CC$5,Tab_org21[[Dünger]:[anrechenbarer N bei DBE Grünland]],'#org22'!$R$1,FALSE)</f>
        <v>0</v>
      </c>
      <c r="CF8" s="49" t="s">
        <v>1339</v>
      </c>
      <c r="CG8" s="49" t="s">
        <v>1346</v>
      </c>
      <c r="CH8" s="49" t="s">
        <v>1565</v>
      </c>
      <c r="CI8" s="49" t="s">
        <v>1347</v>
      </c>
      <c r="CJ8" s="49" t="s">
        <v>1345</v>
      </c>
      <c r="CK8" s="49" t="s">
        <v>1348</v>
      </c>
      <c r="CL8" s="49" t="s">
        <v>1349</v>
      </c>
      <c r="CM8" s="49" t="s">
        <v>1350</v>
      </c>
      <c r="CN8" s="49" t="s">
        <v>1351</v>
      </c>
      <c r="CO8" s="49" t="s">
        <v>1589</v>
      </c>
      <c r="CP8" s="49" t="s">
        <v>1352</v>
      </c>
      <c r="CQ8" s="49" t="s">
        <v>1343</v>
      </c>
      <c r="CR8" s="49" t="s">
        <v>1128</v>
      </c>
      <c r="CS8" s="729" t="s">
        <v>1400</v>
      </c>
      <c r="CT8" s="730">
        <f>VLOOKUP(CR$5,Tab_org21[[Dünger]:[anrechenbarer N bei DBE Grünland]],'#org22'!$R$1,FALSE)</f>
        <v>0</v>
      </c>
      <c r="CU8" s="49" t="s">
        <v>1339</v>
      </c>
      <c r="CV8" s="49" t="s">
        <v>1346</v>
      </c>
      <c r="CW8" s="49" t="s">
        <v>1565</v>
      </c>
      <c r="CX8" s="49" t="s">
        <v>1347</v>
      </c>
      <c r="CY8" s="49" t="s">
        <v>1345</v>
      </c>
      <c r="CZ8" s="49" t="s">
        <v>1348</v>
      </c>
      <c r="DA8" s="49" t="s">
        <v>1349</v>
      </c>
      <c r="DB8" s="49" t="s">
        <v>1350</v>
      </c>
      <c r="DC8" s="49" t="s">
        <v>1351</v>
      </c>
      <c r="DD8" s="49" t="s">
        <v>1589</v>
      </c>
      <c r="DE8" s="49" t="s">
        <v>1352</v>
      </c>
      <c r="DF8" s="49" t="s">
        <v>1343</v>
      </c>
      <c r="DG8" s="49" t="s">
        <v>1128</v>
      </c>
      <c r="DH8" s="729" t="s">
        <v>1400</v>
      </c>
      <c r="DI8" s="730">
        <f>VLOOKUP(DG$5,Tab_org21[[Dünger]:[anrechenbarer N bei DBE Grünland]],'#org22'!$R$1,FALSE)</f>
        <v>0</v>
      </c>
      <c r="DJ8" s="49" t="s">
        <v>1339</v>
      </c>
      <c r="DK8" s="49" t="s">
        <v>1346</v>
      </c>
      <c r="DL8" s="49" t="s">
        <v>1565</v>
      </c>
      <c r="DM8" s="49" t="s">
        <v>1347</v>
      </c>
      <c r="DN8" s="49" t="s">
        <v>1345</v>
      </c>
      <c r="DO8" s="49" t="s">
        <v>1348</v>
      </c>
      <c r="DP8" s="49" t="s">
        <v>1349</v>
      </c>
      <c r="DQ8" s="49" t="s">
        <v>1350</v>
      </c>
      <c r="DR8" s="49" t="s">
        <v>1351</v>
      </c>
      <c r="DS8" s="49" t="s">
        <v>1589</v>
      </c>
      <c r="DT8" s="49" t="s">
        <v>1352</v>
      </c>
      <c r="DU8" s="49" t="s">
        <v>1343</v>
      </c>
      <c r="DV8" s="49" t="s">
        <v>1128</v>
      </c>
      <c r="DW8" s="729" t="s">
        <v>1400</v>
      </c>
      <c r="DX8" s="730">
        <f>VLOOKUP(DV$5,Tab_org21[[Dünger]:[anrechenbarer N bei DBE Grünland]],'#org22'!$R$1,FALSE)</f>
        <v>0</v>
      </c>
      <c r="DY8" s="49" t="s">
        <v>1339</v>
      </c>
      <c r="DZ8" s="49" t="s">
        <v>1346</v>
      </c>
      <c r="EA8" s="49" t="s">
        <v>1565</v>
      </c>
      <c r="EB8" s="49" t="s">
        <v>1347</v>
      </c>
      <c r="EC8" s="49" t="s">
        <v>1345</v>
      </c>
      <c r="ED8" s="49" t="s">
        <v>1348</v>
      </c>
      <c r="EE8" s="49" t="s">
        <v>1349</v>
      </c>
      <c r="EF8" s="49" t="s">
        <v>1350</v>
      </c>
      <c r="EG8" s="49" t="s">
        <v>1351</v>
      </c>
      <c r="EH8" s="49" t="s">
        <v>1589</v>
      </c>
      <c r="EI8" s="49" t="s">
        <v>1352</v>
      </c>
      <c r="EJ8" s="49" t="s">
        <v>1343</v>
      </c>
      <c r="EK8" s="49" t="s">
        <v>1128</v>
      </c>
      <c r="EL8" s="729" t="s">
        <v>1400</v>
      </c>
      <c r="EM8" s="730">
        <f>VLOOKUP(EK$5,Tab_org21[[Dünger]:[anrechenbarer N bei DBE Grünland]],'#org22'!$R$1,FALSE)</f>
        <v>0</v>
      </c>
      <c r="EN8" s="49" t="s">
        <v>1339</v>
      </c>
      <c r="EO8" s="49" t="s">
        <v>1346</v>
      </c>
      <c r="EP8" s="49" t="s">
        <v>1565</v>
      </c>
      <c r="EQ8" s="49" t="s">
        <v>1347</v>
      </c>
      <c r="ER8" s="49" t="s">
        <v>1345</v>
      </c>
      <c r="ES8" s="49" t="s">
        <v>1348</v>
      </c>
      <c r="ET8" s="49" t="s">
        <v>1349</v>
      </c>
      <c r="EU8" s="49" t="s">
        <v>1350</v>
      </c>
      <c r="EV8" s="49" t="s">
        <v>1351</v>
      </c>
      <c r="EW8" s="49" t="s">
        <v>1589</v>
      </c>
      <c r="EX8" s="49" t="s">
        <v>1352</v>
      </c>
      <c r="EY8" s="49" t="s">
        <v>1343</v>
      </c>
      <c r="EZ8" s="49" t="s">
        <v>1128</v>
      </c>
      <c r="FA8" s="729" t="s">
        <v>1400</v>
      </c>
      <c r="FB8" s="730">
        <f>VLOOKUP(EZ$5,Tab_org21[[Dünger]:[anrechenbarer N bei DBE Grünland]],'#org22'!$R$1,FALSE)</f>
        <v>0</v>
      </c>
      <c r="FC8" s="49" t="s">
        <v>1339</v>
      </c>
      <c r="FD8" s="49" t="s">
        <v>1346</v>
      </c>
      <c r="FE8" s="49" t="s">
        <v>1565</v>
      </c>
      <c r="FF8" s="49" t="s">
        <v>1347</v>
      </c>
      <c r="FG8" s="49" t="s">
        <v>1345</v>
      </c>
      <c r="FH8" s="49" t="s">
        <v>1348</v>
      </c>
      <c r="FI8" s="49" t="s">
        <v>1349</v>
      </c>
      <c r="FJ8" s="49" t="s">
        <v>1350</v>
      </c>
      <c r="FK8" s="49" t="s">
        <v>1351</v>
      </c>
      <c r="FL8" s="49" t="s">
        <v>1589</v>
      </c>
      <c r="FM8" s="49" t="s">
        <v>1352</v>
      </c>
      <c r="FN8" s="49" t="s">
        <v>1343</v>
      </c>
      <c r="FO8" s="49" t="s">
        <v>1128</v>
      </c>
      <c r="FP8" s="729" t="s">
        <v>1400</v>
      </c>
      <c r="FQ8" s="730">
        <f>VLOOKUP(FO$5,Tab_org21[[Dünger]:[anrechenbarer N bei DBE Grünland]],'#org22'!$R$1,FALSE)</f>
        <v>0</v>
      </c>
      <c r="FR8" s="49" t="s">
        <v>1339</v>
      </c>
      <c r="FS8" s="49" t="s">
        <v>1346</v>
      </c>
      <c r="FT8" s="49" t="s">
        <v>1565</v>
      </c>
      <c r="FU8" s="49" t="s">
        <v>1347</v>
      </c>
      <c r="FV8" s="49" t="s">
        <v>1345</v>
      </c>
      <c r="FW8" s="49" t="s">
        <v>1348</v>
      </c>
      <c r="FX8" s="49" t="s">
        <v>1349</v>
      </c>
      <c r="FY8" s="49" t="s">
        <v>1350</v>
      </c>
      <c r="FZ8" s="49" t="s">
        <v>1351</v>
      </c>
      <c r="GA8" s="49" t="s">
        <v>1589</v>
      </c>
      <c r="GB8" s="49" t="s">
        <v>1352</v>
      </c>
      <c r="GC8" s="49" t="s">
        <v>1343</v>
      </c>
      <c r="GD8" s="49" t="s">
        <v>1128</v>
      </c>
      <c r="GE8" s="729" t="s">
        <v>1400</v>
      </c>
      <c r="GF8" s="730">
        <f>VLOOKUP(GD$5,Tab_org21[[Dünger]:[anrechenbarer N bei DBE Grünland]],'#org22'!$R$1,FALSE)</f>
        <v>0</v>
      </c>
      <c r="GG8" s="49" t="s">
        <v>1339</v>
      </c>
      <c r="GH8" s="49" t="s">
        <v>1346</v>
      </c>
      <c r="GI8" s="49" t="s">
        <v>1565</v>
      </c>
      <c r="GJ8" s="49" t="s">
        <v>1347</v>
      </c>
      <c r="GK8" s="49" t="s">
        <v>1345</v>
      </c>
      <c r="GL8" s="49" t="s">
        <v>1348</v>
      </c>
      <c r="GM8" s="49" t="s">
        <v>1349</v>
      </c>
      <c r="GN8" s="49" t="s">
        <v>1350</v>
      </c>
      <c r="GO8" s="49" t="s">
        <v>1351</v>
      </c>
      <c r="GP8" s="49" t="s">
        <v>1589</v>
      </c>
      <c r="GQ8" s="49" t="s">
        <v>1352</v>
      </c>
      <c r="GR8" s="49" t="s">
        <v>1343</v>
      </c>
      <c r="GS8" s="49" t="s">
        <v>1128</v>
      </c>
      <c r="GT8" s="729" t="s">
        <v>1400</v>
      </c>
      <c r="GU8" s="730">
        <f>VLOOKUP(GS$5,Tab_org21[[Dünger]:[anrechenbarer N bei DBE Grünland]],'#org22'!$R$1,FALSE)</f>
        <v>0</v>
      </c>
      <c r="GV8" s="49" t="s">
        <v>1339</v>
      </c>
      <c r="GW8" s="49" t="s">
        <v>1346</v>
      </c>
      <c r="GX8" s="49" t="s">
        <v>1565</v>
      </c>
      <c r="GY8" s="49" t="s">
        <v>1347</v>
      </c>
      <c r="GZ8" s="49" t="s">
        <v>1345</v>
      </c>
      <c r="HA8" s="49" t="s">
        <v>1348</v>
      </c>
      <c r="HB8" s="49" t="s">
        <v>1349</v>
      </c>
      <c r="HC8" s="49" t="s">
        <v>1350</v>
      </c>
      <c r="HD8" s="49" t="s">
        <v>1351</v>
      </c>
      <c r="HE8" s="49" t="s">
        <v>1589</v>
      </c>
      <c r="HF8" s="49" t="s">
        <v>1352</v>
      </c>
      <c r="HG8" s="49" t="s">
        <v>1343</v>
      </c>
      <c r="HH8" s="49" t="s">
        <v>1128</v>
      </c>
      <c r="HI8" s="729" t="s">
        <v>1400</v>
      </c>
      <c r="HJ8" s="730">
        <f>VLOOKUP(HH$5,Tab_org21[[Dünger]:[anrechenbarer N bei DBE Grünland]],'#org22'!$R$1,FALSE)</f>
        <v>0</v>
      </c>
      <c r="HK8" s="49" t="s">
        <v>1339</v>
      </c>
      <c r="HL8" s="49" t="s">
        <v>1346</v>
      </c>
      <c r="HM8" s="49" t="s">
        <v>1565</v>
      </c>
      <c r="HN8" s="49" t="s">
        <v>1347</v>
      </c>
      <c r="HO8" s="49" t="s">
        <v>1345</v>
      </c>
      <c r="HP8" s="49" t="s">
        <v>1348</v>
      </c>
      <c r="HQ8" s="49" t="s">
        <v>1349</v>
      </c>
      <c r="HR8" s="49" t="s">
        <v>1350</v>
      </c>
      <c r="HS8" s="49" t="s">
        <v>1351</v>
      </c>
      <c r="HT8" s="49" t="s">
        <v>1589</v>
      </c>
      <c r="HU8" s="49" t="s">
        <v>1352</v>
      </c>
      <c r="HV8" s="49" t="s">
        <v>1343</v>
      </c>
      <c r="HW8" s="49" t="s">
        <v>1128</v>
      </c>
      <c r="HX8" s="729" t="s">
        <v>1400</v>
      </c>
      <c r="HY8" s="730">
        <f>VLOOKUP(HW$5,Tab_org21[[Dünger]:[anrechenbarer N bei DBE Grünland]],'#org22'!$R$1,FALSE)</f>
        <v>0</v>
      </c>
      <c r="HZ8" s="49" t="s">
        <v>1339</v>
      </c>
      <c r="IA8" s="49" t="s">
        <v>1346</v>
      </c>
      <c r="IB8" s="49" t="s">
        <v>1565</v>
      </c>
      <c r="IC8" s="49" t="s">
        <v>1347</v>
      </c>
      <c r="ID8" s="49" t="s">
        <v>1345</v>
      </c>
      <c r="IE8" s="49" t="s">
        <v>1348</v>
      </c>
      <c r="IF8" s="49" t="s">
        <v>1349</v>
      </c>
      <c r="IG8" s="49" t="s">
        <v>1350</v>
      </c>
      <c r="IH8" s="49" t="s">
        <v>1351</v>
      </c>
      <c r="II8" s="49" t="s">
        <v>1589</v>
      </c>
      <c r="IJ8" s="49" t="s">
        <v>1352</v>
      </c>
      <c r="IK8" s="49" t="s">
        <v>1343</v>
      </c>
      <c r="IL8" s="49" t="s">
        <v>1128</v>
      </c>
      <c r="IM8" s="729" t="s">
        <v>1400</v>
      </c>
      <c r="IN8" s="730">
        <f>VLOOKUP(IL$5,Tab_org21[[Dünger]:[anrechenbarer N bei DBE Grünland]],'#org22'!$R$1,FALSE)</f>
        <v>0</v>
      </c>
      <c r="IO8" s="49" t="s">
        <v>1339</v>
      </c>
      <c r="IP8" s="49" t="s">
        <v>1346</v>
      </c>
      <c r="IQ8" s="49" t="s">
        <v>1565</v>
      </c>
      <c r="IR8" s="49" t="s">
        <v>1347</v>
      </c>
      <c r="IS8" s="49" t="s">
        <v>1345</v>
      </c>
      <c r="IT8" s="49" t="s">
        <v>1348</v>
      </c>
      <c r="IU8" s="49" t="s">
        <v>1349</v>
      </c>
      <c r="IV8" s="49" t="s">
        <v>1350</v>
      </c>
      <c r="IW8" s="49" t="s">
        <v>1351</v>
      </c>
      <c r="IX8" s="49" t="s">
        <v>1589</v>
      </c>
      <c r="IY8" s="49" t="s">
        <v>1352</v>
      </c>
      <c r="IZ8" s="49" t="s">
        <v>1343</v>
      </c>
      <c r="JA8" s="49" t="s">
        <v>1128</v>
      </c>
      <c r="JB8" s="729" t="s">
        <v>1400</v>
      </c>
      <c r="JC8" s="730">
        <f>VLOOKUP(JA$5,Tab_org21[[Dünger]:[anrechenbarer N bei DBE Grünland]],'#org22'!$R$1,FALSE)</f>
        <v>0</v>
      </c>
      <c r="JD8" s="49" t="s">
        <v>1339</v>
      </c>
      <c r="JE8" s="49" t="s">
        <v>1346</v>
      </c>
      <c r="JF8" s="49" t="s">
        <v>1565</v>
      </c>
      <c r="JG8" s="49" t="s">
        <v>1347</v>
      </c>
      <c r="JH8" s="49" t="s">
        <v>1345</v>
      </c>
      <c r="JI8" s="49" t="s">
        <v>1348</v>
      </c>
      <c r="JJ8" s="49" t="s">
        <v>1349</v>
      </c>
      <c r="JK8" s="49" t="s">
        <v>1350</v>
      </c>
      <c r="JL8" s="49" t="s">
        <v>1351</v>
      </c>
      <c r="JM8" s="49" t="s">
        <v>1589</v>
      </c>
      <c r="JN8" s="49" t="s">
        <v>1352</v>
      </c>
      <c r="JO8" s="49" t="s">
        <v>1343</v>
      </c>
      <c r="JP8" s="49" t="s">
        <v>1128</v>
      </c>
      <c r="JQ8" s="729" t="s">
        <v>1400</v>
      </c>
      <c r="JR8" s="730">
        <f>VLOOKUP(JP$5,Tab_org21[[Dünger]:[anrechenbarer N bei DBE Grünland]],'#org22'!$R$1,FALSE)</f>
        <v>0</v>
      </c>
      <c r="JS8" s="49" t="s">
        <v>1339</v>
      </c>
      <c r="JT8" s="49" t="s">
        <v>1346</v>
      </c>
      <c r="JU8" s="49" t="s">
        <v>1565</v>
      </c>
      <c r="JV8" s="49" t="s">
        <v>1347</v>
      </c>
      <c r="JW8" s="49" t="s">
        <v>1345</v>
      </c>
      <c r="JX8" s="49" t="s">
        <v>1348</v>
      </c>
      <c r="JY8" s="49" t="s">
        <v>1349</v>
      </c>
      <c r="JZ8" s="49" t="s">
        <v>1350</v>
      </c>
      <c r="KA8" s="49" t="s">
        <v>1351</v>
      </c>
      <c r="KB8" s="49" t="s">
        <v>1589</v>
      </c>
      <c r="KC8" s="49" t="s">
        <v>1352</v>
      </c>
      <c r="KD8" s="49" t="s">
        <v>1343</v>
      </c>
      <c r="KE8" s="49" t="s">
        <v>1128</v>
      </c>
      <c r="KF8" s="729" t="s">
        <v>1400</v>
      </c>
      <c r="KG8" s="730">
        <f>VLOOKUP(KE$5,Tab_org21[[Dünger]:[anrechenbarer N bei DBE Grünland]],'#org22'!$R$1,FALSE)</f>
        <v>0</v>
      </c>
      <c r="KH8" s="49" t="s">
        <v>1339</v>
      </c>
      <c r="KI8" s="49" t="s">
        <v>1346</v>
      </c>
      <c r="KJ8" s="49" t="s">
        <v>1565</v>
      </c>
      <c r="KK8" s="49" t="s">
        <v>1347</v>
      </c>
      <c r="KL8" s="49" t="s">
        <v>1345</v>
      </c>
      <c r="KM8" s="49" t="s">
        <v>1348</v>
      </c>
      <c r="KN8" s="49" t="s">
        <v>1349</v>
      </c>
      <c r="KO8" s="49" t="s">
        <v>1350</v>
      </c>
      <c r="KP8" s="49" t="s">
        <v>1351</v>
      </c>
      <c r="KQ8" s="49" t="s">
        <v>1589</v>
      </c>
      <c r="KR8" s="49" t="s">
        <v>1352</v>
      </c>
      <c r="KS8" s="49" t="s">
        <v>1343</v>
      </c>
      <c r="KT8" s="49" t="s">
        <v>1128</v>
      </c>
      <c r="KU8" s="729" t="s">
        <v>1400</v>
      </c>
      <c r="KV8" s="730">
        <f>VLOOKUP(KT$5,Tab_org21[[Dünger]:[anrechenbarer N bei DBE Grünland]],'#org22'!$R$1,FALSE)</f>
        <v>0</v>
      </c>
      <c r="KW8" s="49" t="s">
        <v>1339</v>
      </c>
      <c r="KX8" s="49" t="s">
        <v>1346</v>
      </c>
      <c r="KY8" s="49" t="s">
        <v>1565</v>
      </c>
      <c r="KZ8" s="49" t="s">
        <v>1347</v>
      </c>
      <c r="LA8" s="49" t="s">
        <v>1345</v>
      </c>
      <c r="LB8" s="49" t="s">
        <v>1348</v>
      </c>
      <c r="LC8" s="49" t="s">
        <v>1349</v>
      </c>
      <c r="LD8" s="49" t="s">
        <v>1350</v>
      </c>
      <c r="LE8" s="49" t="s">
        <v>1351</v>
      </c>
      <c r="LF8" s="49" t="s">
        <v>1589</v>
      </c>
      <c r="LG8" s="49" t="s">
        <v>1352</v>
      </c>
      <c r="LH8" s="49" t="s">
        <v>1343</v>
      </c>
      <c r="LI8" s="49" t="s">
        <v>1128</v>
      </c>
      <c r="LJ8" s="729" t="s">
        <v>1400</v>
      </c>
      <c r="LK8" s="730">
        <f>VLOOKUP(LI$5,Tab_org21[[Dünger]:[anrechenbarer N bei DBE Grünland]],'#org22'!$R$1,FALSE)</f>
        <v>0</v>
      </c>
      <c r="LL8" s="49" t="s">
        <v>1339</v>
      </c>
      <c r="LM8" s="49" t="s">
        <v>1346</v>
      </c>
      <c r="LN8" s="49" t="s">
        <v>1565</v>
      </c>
      <c r="LO8" s="49" t="s">
        <v>1347</v>
      </c>
      <c r="LP8" s="49" t="s">
        <v>1345</v>
      </c>
      <c r="LQ8" s="49" t="s">
        <v>1348</v>
      </c>
      <c r="LR8" s="49" t="s">
        <v>1349</v>
      </c>
      <c r="LS8" s="49" t="s">
        <v>1350</v>
      </c>
      <c r="LT8" s="49" t="s">
        <v>1351</v>
      </c>
      <c r="LU8" s="49" t="s">
        <v>1589</v>
      </c>
      <c r="LV8" s="49" t="s">
        <v>1352</v>
      </c>
      <c r="LW8" s="49" t="s">
        <v>1343</v>
      </c>
      <c r="LX8" s="49" t="s">
        <v>1128</v>
      </c>
      <c r="LY8" s="729" t="s">
        <v>1400</v>
      </c>
      <c r="LZ8" s="730">
        <f>VLOOKUP(LX$5,Tab_org21[[Dünger]:[anrechenbarer N bei DBE Grünland]],'#org22'!$R$1,FALSE)</f>
        <v>0</v>
      </c>
      <c r="MA8" s="49" t="s">
        <v>1339</v>
      </c>
      <c r="MB8" s="49" t="s">
        <v>1346</v>
      </c>
      <c r="MC8" s="49" t="s">
        <v>1565</v>
      </c>
      <c r="MD8" s="49" t="s">
        <v>1347</v>
      </c>
      <c r="ME8" s="49" t="s">
        <v>1345</v>
      </c>
      <c r="MF8" s="49" t="s">
        <v>1348</v>
      </c>
      <c r="MG8" s="49" t="s">
        <v>1349</v>
      </c>
      <c r="MH8" s="49" t="s">
        <v>1350</v>
      </c>
      <c r="MI8" s="49" t="s">
        <v>1351</v>
      </c>
      <c r="MJ8" s="49" t="s">
        <v>1589</v>
      </c>
      <c r="MK8" s="49" t="s">
        <v>1352</v>
      </c>
      <c r="ML8" s="49" t="s">
        <v>1343</v>
      </c>
      <c r="MM8" s="49" t="s">
        <v>1128</v>
      </c>
      <c r="MN8" s="729" t="s">
        <v>1400</v>
      </c>
      <c r="MO8" s="730">
        <f>VLOOKUP(MM$5,Tab_org21[[Dünger]:[anrechenbarer N bei DBE Grünland]],'#org22'!$R$1,FALSE)</f>
        <v>0</v>
      </c>
      <c r="MP8" s="49" t="s">
        <v>1339</v>
      </c>
      <c r="MQ8" s="49" t="s">
        <v>1346</v>
      </c>
      <c r="MR8" s="49" t="s">
        <v>1565</v>
      </c>
      <c r="MS8" s="49" t="s">
        <v>1347</v>
      </c>
      <c r="MT8" s="49" t="s">
        <v>1345</v>
      </c>
      <c r="MU8" s="49" t="s">
        <v>1348</v>
      </c>
      <c r="MV8" s="49" t="s">
        <v>1349</v>
      </c>
      <c r="MW8" s="49" t="s">
        <v>1350</v>
      </c>
      <c r="MX8" s="49" t="s">
        <v>1351</v>
      </c>
      <c r="MY8" s="49" t="s">
        <v>1589</v>
      </c>
      <c r="MZ8" s="49" t="s">
        <v>1352</v>
      </c>
      <c r="NA8" s="49" t="s">
        <v>1343</v>
      </c>
      <c r="NB8" s="49" t="s">
        <v>1128</v>
      </c>
      <c r="NC8" s="729" t="s">
        <v>1400</v>
      </c>
      <c r="ND8" s="730">
        <f>VLOOKUP(NB$5,Tab_org21[[Dünger]:[anrechenbarer N bei DBE Grünland]],'#org22'!$R$1,FALSE)</f>
        <v>0</v>
      </c>
      <c r="NE8" s="49" t="s">
        <v>1339</v>
      </c>
      <c r="NF8" s="49" t="s">
        <v>1346</v>
      </c>
      <c r="NG8" s="49" t="s">
        <v>1565</v>
      </c>
      <c r="NH8" s="49" t="s">
        <v>1347</v>
      </c>
      <c r="NI8" s="49" t="s">
        <v>1345</v>
      </c>
      <c r="NJ8" s="49" t="s">
        <v>1348</v>
      </c>
      <c r="NK8" s="49" t="s">
        <v>1349</v>
      </c>
      <c r="NL8" s="49" t="s">
        <v>1350</v>
      </c>
      <c r="NM8" s="49" t="s">
        <v>1351</v>
      </c>
      <c r="NN8" s="49" t="s">
        <v>1589</v>
      </c>
      <c r="NO8" s="49" t="s">
        <v>1352</v>
      </c>
      <c r="NP8" s="49" t="s">
        <v>1343</v>
      </c>
      <c r="NQ8" s="49" t="s">
        <v>1128</v>
      </c>
      <c r="NR8" s="729" t="s">
        <v>1400</v>
      </c>
      <c r="NS8" s="730">
        <f>VLOOKUP(NQ$5,Tab_org21[[Dünger]:[anrechenbarer N bei DBE Grünland]],'#org22'!$R$1,FALSE)</f>
        <v>0</v>
      </c>
      <c r="NT8" s="49" t="s">
        <v>1339</v>
      </c>
      <c r="NU8" s="49" t="s">
        <v>1346</v>
      </c>
      <c r="NV8" s="49" t="s">
        <v>1565</v>
      </c>
      <c r="NW8" s="49" t="s">
        <v>1347</v>
      </c>
      <c r="NX8" s="49" t="s">
        <v>1345</v>
      </c>
      <c r="NY8" s="49" t="s">
        <v>1348</v>
      </c>
      <c r="NZ8" s="49" t="s">
        <v>1349</v>
      </c>
      <c r="OA8" s="49" t="s">
        <v>1350</v>
      </c>
      <c r="OB8" s="49" t="s">
        <v>1351</v>
      </c>
      <c r="OC8" s="49" t="s">
        <v>1589</v>
      </c>
      <c r="OD8" s="49" t="s">
        <v>1352</v>
      </c>
      <c r="OE8" s="49" t="s">
        <v>1343</v>
      </c>
      <c r="OF8" s="49" t="s">
        <v>1128</v>
      </c>
      <c r="OG8" s="729" t="s">
        <v>1400</v>
      </c>
      <c r="OH8" s="730">
        <f>VLOOKUP(OF$5,Tab_org21[[Dünger]:[anrechenbarer N bei DBE Grünland]],'#org22'!$R$1,FALSE)</f>
        <v>0</v>
      </c>
      <c r="OI8" s="49" t="s">
        <v>1339</v>
      </c>
      <c r="OJ8" s="49" t="s">
        <v>1346</v>
      </c>
      <c r="OK8" s="49" t="s">
        <v>1565</v>
      </c>
      <c r="OL8" s="49" t="s">
        <v>1347</v>
      </c>
      <c r="OM8" s="49" t="s">
        <v>1345</v>
      </c>
      <c r="ON8" s="49" t="s">
        <v>1348</v>
      </c>
      <c r="OO8" s="49" t="s">
        <v>1349</v>
      </c>
      <c r="OP8" s="49" t="s">
        <v>1350</v>
      </c>
      <c r="OQ8" s="49" t="s">
        <v>1351</v>
      </c>
      <c r="OR8" s="49" t="s">
        <v>1589</v>
      </c>
      <c r="OS8" s="49" t="s">
        <v>1352</v>
      </c>
      <c r="OT8" s="49" t="s">
        <v>1343</v>
      </c>
      <c r="OU8" s="49" t="s">
        <v>1128</v>
      </c>
      <c r="OV8" s="729" t="s">
        <v>1400</v>
      </c>
      <c r="OW8" s="730">
        <f>VLOOKUP(OU$5,Tab_org21[[Dünger]:[anrechenbarer N bei DBE Grünland]],'#org22'!$R$1,FALSE)</f>
        <v>0</v>
      </c>
      <c r="OX8" s="49" t="s">
        <v>1339</v>
      </c>
      <c r="OY8" s="49" t="s">
        <v>1346</v>
      </c>
      <c r="OZ8" s="49" t="s">
        <v>1565</v>
      </c>
      <c r="PA8" s="49" t="s">
        <v>1347</v>
      </c>
      <c r="PB8" s="49" t="s">
        <v>1345</v>
      </c>
      <c r="PC8" s="49" t="s">
        <v>1348</v>
      </c>
      <c r="PD8" s="49" t="s">
        <v>1349</v>
      </c>
      <c r="PE8" s="49" t="s">
        <v>1350</v>
      </c>
      <c r="PF8" s="49" t="s">
        <v>1351</v>
      </c>
      <c r="PG8" s="49" t="s">
        <v>1589</v>
      </c>
      <c r="PH8" s="49" t="s">
        <v>1352</v>
      </c>
      <c r="PI8" s="49" t="s">
        <v>1343</v>
      </c>
      <c r="PJ8" s="49" t="s">
        <v>1128</v>
      </c>
      <c r="PK8" s="729" t="s">
        <v>1400</v>
      </c>
      <c r="PL8" s="730">
        <f>VLOOKUP(PJ$5,Tab_org21[[Dünger]:[anrechenbarer N bei DBE Grünland]],'#org22'!$R$1,FALSE)</f>
        <v>0</v>
      </c>
      <c r="PM8" s="49" t="s">
        <v>1339</v>
      </c>
      <c r="PN8" s="49" t="s">
        <v>1346</v>
      </c>
      <c r="PO8" s="49" t="s">
        <v>1565</v>
      </c>
      <c r="PP8" s="49" t="s">
        <v>1347</v>
      </c>
      <c r="PQ8" s="49" t="s">
        <v>1345</v>
      </c>
      <c r="PR8" s="49" t="s">
        <v>1348</v>
      </c>
      <c r="PS8" s="49" t="s">
        <v>1349</v>
      </c>
      <c r="PT8" s="49" t="s">
        <v>1350</v>
      </c>
      <c r="PU8" s="49" t="s">
        <v>1351</v>
      </c>
      <c r="PV8" s="49" t="s">
        <v>1589</v>
      </c>
      <c r="PW8" s="49" t="s">
        <v>1352</v>
      </c>
      <c r="PX8" s="49" t="s">
        <v>1343</v>
      </c>
      <c r="PY8" s="49" t="s">
        <v>1128</v>
      </c>
      <c r="PZ8" s="729" t="s">
        <v>1400</v>
      </c>
      <c r="QA8" s="730">
        <f>VLOOKUP(PY$5,Tab_org21[[Dünger]:[anrechenbarer N bei DBE Grünland]],'#org22'!$R$1,FALSE)</f>
        <v>0</v>
      </c>
      <c r="QB8" s="49" t="s">
        <v>1339</v>
      </c>
      <c r="QC8" s="49" t="s">
        <v>1346</v>
      </c>
      <c r="QD8" s="49" t="s">
        <v>1565</v>
      </c>
      <c r="QE8" s="49" t="s">
        <v>1347</v>
      </c>
      <c r="QF8" s="49" t="s">
        <v>1345</v>
      </c>
      <c r="QG8" s="49" t="s">
        <v>1348</v>
      </c>
      <c r="QH8" s="49" t="s">
        <v>1349</v>
      </c>
      <c r="QI8" s="49" t="s">
        <v>1350</v>
      </c>
      <c r="QJ8" s="49" t="s">
        <v>1351</v>
      </c>
      <c r="QK8" s="49" t="s">
        <v>1589</v>
      </c>
      <c r="QL8" s="49" t="s">
        <v>1352</v>
      </c>
      <c r="QM8" s="49" t="s">
        <v>1343</v>
      </c>
      <c r="QN8" s="49" t="s">
        <v>1128</v>
      </c>
      <c r="QO8" s="729" t="s">
        <v>1400</v>
      </c>
      <c r="QP8" s="730">
        <f>VLOOKUP(QN$5,Tab_org21[[Dünger]:[anrechenbarer N bei DBE Grünland]],'#org22'!$R$1,FALSE)</f>
        <v>0</v>
      </c>
      <c r="QQ8" s="49" t="s">
        <v>1339</v>
      </c>
      <c r="QR8" s="49" t="s">
        <v>1346</v>
      </c>
      <c r="QS8" s="49" t="s">
        <v>1565</v>
      </c>
      <c r="QT8" s="49" t="s">
        <v>1347</v>
      </c>
      <c r="QU8" s="49" t="s">
        <v>1345</v>
      </c>
      <c r="QV8" s="49" t="s">
        <v>1348</v>
      </c>
      <c r="QW8" s="49" t="s">
        <v>1349</v>
      </c>
      <c r="QX8" s="49" t="s">
        <v>1350</v>
      </c>
      <c r="QY8" s="49" t="s">
        <v>1351</v>
      </c>
      <c r="QZ8" s="49" t="s">
        <v>1589</v>
      </c>
      <c r="RA8" s="49" t="s">
        <v>1352</v>
      </c>
      <c r="RB8" s="49" t="s">
        <v>1343</v>
      </c>
      <c r="RC8" s="49" t="s">
        <v>1128</v>
      </c>
      <c r="RD8" s="729" t="s">
        <v>1400</v>
      </c>
      <c r="RE8" s="730">
        <f>VLOOKUP(RC$5,Tab_org21[[Dünger]:[anrechenbarer N bei DBE Grünland]],'#org22'!$R$1,FALSE)</f>
        <v>0</v>
      </c>
      <c r="RF8" s="49" t="s">
        <v>1339</v>
      </c>
      <c r="RG8" s="49" t="s">
        <v>1346</v>
      </c>
      <c r="RH8" s="49" t="s">
        <v>1565</v>
      </c>
      <c r="RI8" s="49" t="s">
        <v>1347</v>
      </c>
      <c r="RJ8" s="49" t="s">
        <v>1345</v>
      </c>
      <c r="RK8" s="49" t="s">
        <v>1348</v>
      </c>
      <c r="RL8" s="49" t="s">
        <v>1349</v>
      </c>
      <c r="RM8" s="49" t="s">
        <v>1350</v>
      </c>
      <c r="RN8" s="49" t="s">
        <v>1351</v>
      </c>
      <c r="RO8" s="49" t="s">
        <v>1589</v>
      </c>
      <c r="RP8" s="49" t="s">
        <v>1352</v>
      </c>
      <c r="RQ8" s="49" t="s">
        <v>1343</v>
      </c>
      <c r="RS8" s="332" t="s">
        <v>1639</v>
      </c>
      <c r="RT8" s="332" t="s">
        <v>1641</v>
      </c>
      <c r="RU8" s="332" t="s">
        <v>1642</v>
      </c>
      <c r="RV8" s="332" t="s">
        <v>1643</v>
      </c>
      <c r="RW8" s="332" t="s">
        <v>1644</v>
      </c>
      <c r="RX8" s="332" t="s">
        <v>1645</v>
      </c>
      <c r="RY8" s="332" t="s">
        <v>1646</v>
      </c>
      <c r="RZ8" s="332" t="s">
        <v>1819</v>
      </c>
      <c r="SA8" s="49" t="s">
        <v>1825</v>
      </c>
    </row>
    <row r="9" spans="1:495" ht="25.5" x14ac:dyDescent="0.2">
      <c r="O9" t="s">
        <v>1413</v>
      </c>
      <c r="P9" s="332"/>
      <c r="Q9" s="332"/>
      <c r="R9" s="332"/>
      <c r="S9" s="332"/>
      <c r="T9" s="332"/>
      <c r="U9" s="714" cm="1">
        <f t="array" ref="U9">SUMPRODUCT(U14:U113,(F14:F113=1)*1,B14:B113,(E14:E113="x")*1)+SUMPRODUCT(U14:U113,(F14:F113=2)*1,B14:B113,(E14:E113="x")*1)</f>
        <v>0</v>
      </c>
      <c r="V9" s="332"/>
      <c r="W9" s="332"/>
      <c r="X9" s="332"/>
      <c r="Y9" s="332"/>
      <c r="Z9" s="332"/>
      <c r="AA9" s="332"/>
      <c r="AB9" s="332"/>
      <c r="AC9" s="683" cm="1">
        <f t="array" ref="AC9">SUMPRODUCT(B14:B113,(L14:L113=80)*1,AC14:AC113,(E14:E113="x")*1)</f>
        <v>0</v>
      </c>
      <c r="AD9" cm="1">
        <f t="array" ref="AD9">SUMPRODUCT(AD14:AD113,B14:B113,(E14:E113="x")*1)</f>
        <v>0</v>
      </c>
      <c r="AG9" s="332" cm="1">
        <f t="array" ref="AG9">SUMPRODUCT(AG14:AG113,(F14:F113=1)*1,B14:B113,(E14:E113="x")*1)+SUMPRODUCT(AG14:AG113,(F14:F113=2)*1,B14:B113,(E14:E113="x")*1)</f>
        <v>0</v>
      </c>
      <c r="AH9" s="332" cm="1">
        <f t="array" ref="AH9">SUMPRODUCT(AH14:AH113,(F14:F113=1)*1,B14:B113,(E14:E113="x")*1)+SUMPRODUCT(AH14:AH113,(F14:F113=2)*1,B14:B113,(E14:E113="x")*1)</f>
        <v>0</v>
      </c>
      <c r="AI9" s="683"/>
      <c r="AJ9"/>
      <c r="AK9" s="729" t="s">
        <v>1340</v>
      </c>
      <c r="AL9" s="47">
        <f>VLOOKUP(AJ$5,Tab_org21[[Dünger]:[Greift im Herbst 30/60 mit Rebenh]],'#org22'!$AE$1,FALSE)</f>
        <v>0</v>
      </c>
      <c r="AQ9" s="683"/>
      <c r="AR9"/>
      <c r="AY9" s="691"/>
      <c r="AZ9" s="729" t="s">
        <v>1340</v>
      </c>
      <c r="BA9" s="47">
        <f>VLOOKUP(AY$5,Tab_org21[[Dünger]:[Greift im Herbst 30/60 mit Rebenh]],'#org22'!$AE$1,FALSE)</f>
        <v>0</v>
      </c>
      <c r="BB9" s="938"/>
      <c r="BC9" s="938"/>
      <c r="BD9" s="938"/>
      <c r="BE9" s="938"/>
      <c r="BF9" s="938"/>
      <c r="BG9" s="938"/>
      <c r="BH9" s="938"/>
      <c r="BI9" s="938"/>
      <c r="BJ9" s="938"/>
      <c r="BK9" s="938"/>
      <c r="BL9" s="938"/>
      <c r="BM9" s="938"/>
      <c r="BN9" s="691"/>
      <c r="BO9" s="729" t="s">
        <v>1340</v>
      </c>
      <c r="BP9" s="47">
        <f>VLOOKUP(BN$5,Tab_org21[[Dünger]:[Greift im Herbst 30/60 mit Rebenh]],'#org22'!$AE$1,FALSE)</f>
        <v>0</v>
      </c>
      <c r="BQ9" s="938"/>
      <c r="BR9" s="938"/>
      <c r="BS9" s="938"/>
      <c r="BT9" s="938"/>
      <c r="BU9" s="938"/>
      <c r="BV9" s="938"/>
      <c r="BW9" s="938"/>
      <c r="BX9" s="938"/>
      <c r="BY9" s="938"/>
      <c r="BZ9" s="938"/>
      <c r="CA9" s="938"/>
      <c r="CB9" s="938"/>
      <c r="CC9" s="691"/>
      <c r="CD9" s="729" t="s">
        <v>1340</v>
      </c>
      <c r="CE9" s="47">
        <f>VLOOKUP(CC$5,Tab_org21[[Dünger]:[Greift im Herbst 30/60 mit Rebenh]],'#org22'!$AE$1,FALSE)</f>
        <v>0</v>
      </c>
      <c r="CF9" s="938"/>
      <c r="CG9" s="938"/>
      <c r="CH9" s="938"/>
      <c r="CI9" s="938"/>
      <c r="CJ9" s="938"/>
      <c r="CK9" s="938"/>
      <c r="CL9" s="938"/>
      <c r="CM9" s="938"/>
      <c r="CN9" s="938"/>
      <c r="CO9" s="938"/>
      <c r="CP9" s="938"/>
      <c r="CQ9" s="938"/>
      <c r="CR9" s="691"/>
      <c r="CS9" s="729" t="s">
        <v>1340</v>
      </c>
      <c r="CT9" s="47">
        <f>VLOOKUP(CR$5,Tab_org21[[Dünger]:[Greift im Herbst 30/60 mit Rebenh]],'#org22'!$AE$1,FALSE)</f>
        <v>0</v>
      </c>
      <c r="CU9" s="938"/>
      <c r="CV9" s="938"/>
      <c r="CW9" s="938"/>
      <c r="CX9" s="938"/>
      <c r="CY9" s="938"/>
      <c r="CZ9" s="938"/>
      <c r="DA9" s="938"/>
      <c r="DB9" s="938"/>
      <c r="DC9" s="938"/>
      <c r="DD9" s="938"/>
      <c r="DE9" s="938"/>
      <c r="DF9" s="938"/>
      <c r="DG9" s="691"/>
      <c r="DH9" s="729" t="s">
        <v>1340</v>
      </c>
      <c r="DI9" s="47">
        <f>VLOOKUP(DG$5,Tab_org21[[Dünger]:[Greift im Herbst 30/60 mit Rebenh]],'#org22'!$AE$1,FALSE)</f>
        <v>0</v>
      </c>
      <c r="DJ9" s="938"/>
      <c r="DK9" s="938"/>
      <c r="DL9" s="938"/>
      <c r="DM9" s="938"/>
      <c r="DN9" s="938"/>
      <c r="DO9" s="938"/>
      <c r="DP9" s="938"/>
      <c r="DQ9" s="938"/>
      <c r="DR9" s="938"/>
      <c r="DS9" s="938"/>
      <c r="DT9" s="938"/>
      <c r="DU9" s="938"/>
      <c r="DV9" s="691"/>
      <c r="DW9" s="729" t="s">
        <v>1340</v>
      </c>
      <c r="DX9" s="47">
        <f>VLOOKUP(DV$5,Tab_org21[[Dünger]:[Greift im Herbst 30/60 mit Rebenh]],'#org22'!$AE$1,FALSE)</f>
        <v>0</v>
      </c>
      <c r="DY9" s="938"/>
      <c r="DZ9" s="938"/>
      <c r="EA9" s="938"/>
      <c r="EB9" s="938"/>
      <c r="EC9" s="938"/>
      <c r="ED9" s="938"/>
      <c r="EE9" s="938"/>
      <c r="EF9" s="938"/>
      <c r="EG9" s="938"/>
      <c r="EH9" s="938"/>
      <c r="EI9" s="938"/>
      <c r="EJ9" s="938"/>
      <c r="EK9" s="691"/>
      <c r="EL9" s="729" t="s">
        <v>1340</v>
      </c>
      <c r="EM9" s="47">
        <f>VLOOKUP(EK$5,Tab_org21[[Dünger]:[Greift im Herbst 30/60 mit Rebenh]],'#org22'!$AE$1,FALSE)</f>
        <v>0</v>
      </c>
      <c r="EN9" s="938"/>
      <c r="EO9" s="938"/>
      <c r="EP9" s="938"/>
      <c r="EQ9" s="938"/>
      <c r="ER9" s="938"/>
      <c r="ES9" s="938"/>
      <c r="ET9" s="938"/>
      <c r="EU9" s="938"/>
      <c r="EV9" s="938"/>
      <c r="EW9" s="938"/>
      <c r="EX9" s="938"/>
      <c r="EY9" s="938"/>
      <c r="EZ9" s="691"/>
      <c r="FA9" s="729" t="s">
        <v>1340</v>
      </c>
      <c r="FB9" s="47">
        <f>VLOOKUP(EZ$5,Tab_org21[[Dünger]:[Greift im Herbst 30/60 mit Rebenh]],'#org22'!$AE$1,FALSE)</f>
        <v>0</v>
      </c>
      <c r="FC9" s="938"/>
      <c r="FD9" s="938"/>
      <c r="FE9" s="938"/>
      <c r="FF9" s="938"/>
      <c r="FG9" s="938"/>
      <c r="FH9" s="938"/>
      <c r="FI9" s="938"/>
      <c r="FJ9" s="938"/>
      <c r="FK9" s="938"/>
      <c r="FL9" s="938"/>
      <c r="FM9" s="938"/>
      <c r="FN9" s="938"/>
      <c r="FO9" s="691"/>
      <c r="FP9" s="729" t="s">
        <v>1340</v>
      </c>
      <c r="FQ9" s="47">
        <f>VLOOKUP(FO$5,Tab_org21[[Dünger]:[Greift im Herbst 30/60 mit Rebenh]],'#org22'!$AE$1,FALSE)</f>
        <v>0</v>
      </c>
      <c r="FR9" s="938"/>
      <c r="FS9" s="938"/>
      <c r="FT9" s="938"/>
      <c r="FU9" s="938"/>
      <c r="FV9" s="938"/>
      <c r="FW9" s="938"/>
      <c r="FX9" s="938"/>
      <c r="FY9" s="938"/>
      <c r="FZ9" s="938"/>
      <c r="GA9" s="938"/>
      <c r="GB9" s="938"/>
      <c r="GC9" s="938"/>
      <c r="GD9" s="691"/>
      <c r="GE9" s="729" t="s">
        <v>1340</v>
      </c>
      <c r="GF9" s="47">
        <f>VLOOKUP(GD$5,Tab_org21[[Dünger]:[Greift im Herbst 30/60 mit Rebenh]],'#org22'!$AE$1,FALSE)</f>
        <v>0</v>
      </c>
      <c r="GG9" s="938"/>
      <c r="GH9" s="938"/>
      <c r="GI9" s="938"/>
      <c r="GJ9" s="938"/>
      <c r="GK9" s="938"/>
      <c r="GL9" s="938"/>
      <c r="GM9" s="938"/>
      <c r="GN9" s="938"/>
      <c r="GO9" s="938"/>
      <c r="GP9" s="938"/>
      <c r="GQ9" s="938"/>
      <c r="GR9" s="938"/>
      <c r="GS9" s="691"/>
      <c r="GT9" s="729" t="s">
        <v>1340</v>
      </c>
      <c r="GU9" s="47">
        <f>VLOOKUP(GS$5,Tab_org21[[Dünger]:[Greift im Herbst 30/60 mit Rebenh]],'#org22'!$AE$1,FALSE)</f>
        <v>0</v>
      </c>
      <c r="GV9" s="938"/>
      <c r="GW9" s="938"/>
      <c r="GX9" s="938"/>
      <c r="GY9" s="938"/>
      <c r="GZ9" s="938"/>
      <c r="HA9" s="938"/>
      <c r="HB9" s="938"/>
      <c r="HC9" s="938"/>
      <c r="HD9" s="938"/>
      <c r="HE9" s="938"/>
      <c r="HF9" s="938"/>
      <c r="HG9" s="938"/>
      <c r="HH9" s="691"/>
      <c r="HI9" s="729" t="s">
        <v>1340</v>
      </c>
      <c r="HJ9" s="47">
        <f>VLOOKUP(HH$5,Tab_org21[[Dünger]:[Greift im Herbst 30/60 mit Rebenh]],'#org22'!$AE$1,FALSE)</f>
        <v>0</v>
      </c>
      <c r="HK9" s="938"/>
      <c r="HL9" s="938"/>
      <c r="HM9" s="938"/>
      <c r="HN9" s="938"/>
      <c r="HO9" s="938"/>
      <c r="HP9" s="938"/>
      <c r="HQ9" s="938"/>
      <c r="HR9" s="938"/>
      <c r="HS9" s="938"/>
      <c r="HT9" s="938"/>
      <c r="HU9" s="938"/>
      <c r="HV9" s="938"/>
      <c r="HW9" s="691"/>
      <c r="HX9" s="729" t="s">
        <v>1340</v>
      </c>
      <c r="HY9" s="47">
        <f>VLOOKUP(HW$5,Tab_org21[[Dünger]:[Greift im Herbst 30/60 mit Rebenh]],'#org22'!$AE$1,FALSE)</f>
        <v>0</v>
      </c>
      <c r="HZ9" s="938"/>
      <c r="IA9" s="938"/>
      <c r="IB9" s="938"/>
      <c r="IC9" s="938"/>
      <c r="ID9" s="938"/>
      <c r="IE9" s="938"/>
      <c r="IF9" s="938"/>
      <c r="IG9" s="938"/>
      <c r="IH9" s="938"/>
      <c r="II9" s="938"/>
      <c r="IJ9" s="938"/>
      <c r="IK9" s="938"/>
      <c r="IL9" s="691"/>
      <c r="IM9" s="729" t="s">
        <v>1340</v>
      </c>
      <c r="IN9" s="47">
        <f>VLOOKUP(IL$5,Tab_org21[[Dünger]:[Greift im Herbst 30/60 mit Rebenh]],'#org22'!$AE$1,FALSE)</f>
        <v>0</v>
      </c>
      <c r="IO9" s="938"/>
      <c r="IP9" s="938"/>
      <c r="IQ9" s="938"/>
      <c r="IR9" s="938"/>
      <c r="IS9" s="938"/>
      <c r="IT9" s="938"/>
      <c r="IU9" s="938"/>
      <c r="IV9" s="938"/>
      <c r="IW9" s="938"/>
      <c r="IX9" s="938"/>
      <c r="IY9" s="938"/>
      <c r="IZ9" s="938"/>
      <c r="JA9" s="691"/>
      <c r="JB9" s="729" t="s">
        <v>1340</v>
      </c>
      <c r="JC9" s="47">
        <f>VLOOKUP(JA$5,Tab_org21[[Dünger]:[Greift im Herbst 30/60 mit Rebenh]],'#org22'!$AE$1,FALSE)</f>
        <v>0</v>
      </c>
      <c r="JD9" s="938"/>
      <c r="JE9" s="938"/>
      <c r="JF9" s="938"/>
      <c r="JG9" s="938"/>
      <c r="JH9" s="938"/>
      <c r="JI9" s="938"/>
      <c r="JJ9" s="938"/>
      <c r="JK9" s="938"/>
      <c r="JL9" s="938"/>
      <c r="JM9" s="938"/>
      <c r="JN9" s="938"/>
      <c r="JO9" s="938"/>
      <c r="JP9" s="691"/>
      <c r="JQ9" s="729" t="s">
        <v>1340</v>
      </c>
      <c r="JR9" s="47">
        <f>VLOOKUP(JP$5,Tab_org21[[Dünger]:[Greift im Herbst 30/60 mit Rebenh]],'#org22'!$AE$1,FALSE)</f>
        <v>0</v>
      </c>
      <c r="JS9" s="938"/>
      <c r="JT9" s="938"/>
      <c r="JU9" s="938"/>
      <c r="JV9" s="938"/>
      <c r="JW9" s="938"/>
      <c r="JX9" s="938"/>
      <c r="JY9" s="938"/>
      <c r="JZ9" s="938"/>
      <c r="KA9" s="938"/>
      <c r="KB9" s="938"/>
      <c r="KC9" s="938"/>
      <c r="KD9" s="938"/>
      <c r="KE9" s="691"/>
      <c r="KF9" s="729" t="s">
        <v>1340</v>
      </c>
      <c r="KG9" s="47">
        <f>VLOOKUP(KE$5,Tab_org21[[Dünger]:[Greift im Herbst 30/60 mit Rebenh]],'#org22'!$AE$1,FALSE)</f>
        <v>0</v>
      </c>
      <c r="KH9" s="938"/>
      <c r="KI9" s="938"/>
      <c r="KJ9" s="938"/>
      <c r="KK9" s="938"/>
      <c r="KL9" s="938"/>
      <c r="KM9" s="938"/>
      <c r="KN9" s="938"/>
      <c r="KO9" s="938"/>
      <c r="KP9" s="938"/>
      <c r="KQ9" s="938"/>
      <c r="KR9" s="938"/>
      <c r="KS9" s="938"/>
      <c r="KT9" s="691"/>
      <c r="KU9" s="729" t="s">
        <v>1340</v>
      </c>
      <c r="KV9" s="47">
        <f>VLOOKUP(KT$5,Tab_org21[[Dünger]:[Greift im Herbst 30/60 mit Rebenh]],'#org22'!$AE$1,FALSE)</f>
        <v>0</v>
      </c>
      <c r="KW9" s="938"/>
      <c r="KX9" s="938"/>
      <c r="KY9" s="938"/>
      <c r="KZ9" s="938"/>
      <c r="LA9" s="938"/>
      <c r="LB9" s="938"/>
      <c r="LC9" s="938"/>
      <c r="LD9" s="938"/>
      <c r="LE9" s="938"/>
      <c r="LF9" s="938"/>
      <c r="LG9" s="938"/>
      <c r="LH9" s="938"/>
      <c r="LI9" s="691"/>
      <c r="LJ9" s="729" t="s">
        <v>1340</v>
      </c>
      <c r="LK9" s="47">
        <f>VLOOKUP(LI$5,Tab_org21[[Dünger]:[Greift im Herbst 30/60 mit Rebenh]],'#org22'!$AE$1,FALSE)</f>
        <v>0</v>
      </c>
      <c r="LL9" s="938"/>
      <c r="LM9" s="938"/>
      <c r="LN9" s="938"/>
      <c r="LO9" s="938"/>
      <c r="LP9" s="938"/>
      <c r="LQ9" s="938"/>
      <c r="LR9" s="938"/>
      <c r="LS9" s="938"/>
      <c r="LT9" s="938"/>
      <c r="LU9" s="938"/>
      <c r="LV9" s="938"/>
      <c r="LW9" s="938"/>
      <c r="LX9" s="691"/>
      <c r="LY9" s="729" t="s">
        <v>1340</v>
      </c>
      <c r="LZ9" s="47">
        <f>VLOOKUP(LX$5,Tab_org21[[Dünger]:[Greift im Herbst 30/60 mit Rebenh]],'#org22'!$AE$1,FALSE)</f>
        <v>0</v>
      </c>
      <c r="MA9" s="938"/>
      <c r="MB9" s="938"/>
      <c r="MC9" s="938"/>
      <c r="MD9" s="938"/>
      <c r="ME9" s="938"/>
      <c r="MF9" s="938"/>
      <c r="MG9" s="938"/>
      <c r="MH9" s="938"/>
      <c r="MI9" s="938"/>
      <c r="MJ9" s="938"/>
      <c r="MK9" s="938"/>
      <c r="ML9" s="938"/>
      <c r="MM9" s="691"/>
      <c r="MN9" s="729" t="s">
        <v>1340</v>
      </c>
      <c r="MO9" s="47">
        <f>VLOOKUP(MM$5,Tab_org21[[Dünger]:[Greift im Herbst 30/60 mit Rebenh]],'#org22'!$AE$1,FALSE)</f>
        <v>0</v>
      </c>
      <c r="MP9" s="938"/>
      <c r="MQ9" s="938"/>
      <c r="MR9" s="938"/>
      <c r="MS9" s="938"/>
      <c r="MT9" s="938"/>
      <c r="MU9" s="938"/>
      <c r="MV9" s="938"/>
      <c r="MW9" s="938"/>
      <c r="MX9" s="938"/>
      <c r="MY9" s="938"/>
      <c r="MZ9" s="938"/>
      <c r="NA9" s="938"/>
      <c r="NB9" s="691"/>
      <c r="NC9" s="729" t="s">
        <v>1340</v>
      </c>
      <c r="ND9" s="47">
        <f>VLOOKUP(NB$5,Tab_org21[[Dünger]:[Greift im Herbst 30/60 mit Rebenh]],'#org22'!$AE$1,FALSE)</f>
        <v>0</v>
      </c>
      <c r="NE9" s="938"/>
      <c r="NF9" s="938"/>
      <c r="NG9" s="938"/>
      <c r="NH9" s="938"/>
      <c r="NI9" s="938"/>
      <c r="NJ9" s="938"/>
      <c r="NK9" s="938"/>
      <c r="NL9" s="938"/>
      <c r="NM9" s="938"/>
      <c r="NN9" s="938"/>
      <c r="NO9" s="938"/>
      <c r="NP9" s="938"/>
      <c r="NQ9" s="691"/>
      <c r="NR9" s="729" t="s">
        <v>1340</v>
      </c>
      <c r="NS9" s="47">
        <f>VLOOKUP(NQ$5,Tab_org21[[Dünger]:[Greift im Herbst 30/60 mit Rebenh]],'#org22'!$AE$1,FALSE)</f>
        <v>0</v>
      </c>
      <c r="NT9" s="938"/>
      <c r="NU9" s="938"/>
      <c r="NV9" s="938"/>
      <c r="NW9" s="938"/>
      <c r="NX9" s="938"/>
      <c r="NY9" s="938"/>
      <c r="NZ9" s="938"/>
      <c r="OA9" s="938"/>
      <c r="OB9" s="938"/>
      <c r="OC9" s="938"/>
      <c r="OD9" s="938"/>
      <c r="OE9" s="938"/>
      <c r="OF9" s="691"/>
      <c r="OG9" s="729" t="s">
        <v>1340</v>
      </c>
      <c r="OH9" s="47">
        <f>VLOOKUP(OF$5,Tab_org21[[Dünger]:[Greift im Herbst 30/60 mit Rebenh]],'#org22'!$AE$1,FALSE)</f>
        <v>0</v>
      </c>
      <c r="OI9" s="938"/>
      <c r="OJ9" s="938"/>
      <c r="OK9" s="938"/>
      <c r="OL9" s="938"/>
      <c r="OM9" s="938"/>
      <c r="ON9" s="938"/>
      <c r="OO9" s="938"/>
      <c r="OP9" s="938"/>
      <c r="OQ9" s="938"/>
      <c r="OR9" s="938"/>
      <c r="OS9" s="938"/>
      <c r="OT9" s="938"/>
      <c r="OU9" s="691"/>
      <c r="OV9" s="729" t="s">
        <v>1340</v>
      </c>
      <c r="OW9" s="47">
        <f>VLOOKUP(OU$5,Tab_org21[[Dünger]:[Greift im Herbst 30/60 mit Rebenh]],'#org22'!$AE$1,FALSE)</f>
        <v>0</v>
      </c>
      <c r="OX9" s="938"/>
      <c r="OY9" s="938"/>
      <c r="OZ9" s="938"/>
      <c r="PA9" s="938"/>
      <c r="PB9" s="938"/>
      <c r="PC9" s="938"/>
      <c r="PD9" s="938"/>
      <c r="PE9" s="938"/>
      <c r="PF9" s="938"/>
      <c r="PG9" s="938"/>
      <c r="PH9" s="938"/>
      <c r="PI9" s="938"/>
      <c r="PJ9" s="691"/>
      <c r="PK9" s="729" t="s">
        <v>1340</v>
      </c>
      <c r="PL9" s="47">
        <f>VLOOKUP(PJ$5,Tab_org21[[Dünger]:[Greift im Herbst 30/60 mit Rebenh]],'#org22'!$AE$1,FALSE)</f>
        <v>0</v>
      </c>
      <c r="PM9" s="938"/>
      <c r="PN9" s="938"/>
      <c r="PO9" s="938"/>
      <c r="PP9" s="938"/>
      <c r="PQ9" s="938"/>
      <c r="PR9" s="938"/>
      <c r="PS9" s="938"/>
      <c r="PT9" s="938"/>
      <c r="PU9" s="938"/>
      <c r="PV9" s="938"/>
      <c r="PW9" s="938"/>
      <c r="PX9" s="938"/>
      <c r="PY9" s="691"/>
      <c r="PZ9" s="729" t="s">
        <v>1340</v>
      </c>
      <c r="QA9" s="47">
        <f>VLOOKUP(PY$5,Tab_org21[[Dünger]:[Greift im Herbst 30/60 mit Rebenh]],'#org22'!$AE$1,FALSE)</f>
        <v>0</v>
      </c>
      <c r="QB9" s="938"/>
      <c r="QC9" s="938"/>
      <c r="QD9" s="938"/>
      <c r="QE9" s="938"/>
      <c r="QF9" s="938"/>
      <c r="QG9" s="938"/>
      <c r="QH9" s="938"/>
      <c r="QI9" s="938"/>
      <c r="QJ9" s="938"/>
      <c r="QK9" s="938"/>
      <c r="QL9" s="938"/>
      <c r="QM9" s="938"/>
      <c r="QN9" s="691"/>
      <c r="QO9" s="729" t="s">
        <v>1340</v>
      </c>
      <c r="QP9" s="47">
        <f>VLOOKUP(QN$5,Tab_org21[[Dünger]:[Greift im Herbst 30/60 mit Rebenh]],'#org22'!$AE$1,FALSE)</f>
        <v>0</v>
      </c>
      <c r="QQ9" s="938"/>
      <c r="QR9" s="938"/>
      <c r="QS9" s="938"/>
      <c r="QT9" s="938"/>
      <c r="QU9" s="938"/>
      <c r="QV9" s="938"/>
      <c r="QW9" s="938"/>
      <c r="QX9" s="938"/>
      <c r="QY9" s="938"/>
      <c r="QZ9" s="938"/>
      <c r="RA9" s="938"/>
      <c r="RB9" s="938"/>
      <c r="RC9" s="691"/>
      <c r="RD9" s="729" t="s">
        <v>1340</v>
      </c>
      <c r="RE9" s="47">
        <f>VLOOKUP(RC$5,Tab_org21[[Dünger]:[Greift im Herbst 30/60 mit Rebenh]],'#org22'!$AE$1,FALSE)</f>
        <v>0</v>
      </c>
      <c r="RF9" s="938"/>
      <c r="RG9" s="938"/>
      <c r="RH9" s="938"/>
      <c r="RI9" s="938"/>
      <c r="RJ9" s="938"/>
      <c r="RK9" s="938"/>
      <c r="RL9" s="938"/>
      <c r="RM9" s="938"/>
      <c r="RN9" s="938"/>
      <c r="RO9" s="938"/>
      <c r="RP9" s="938"/>
      <c r="RQ9" s="938"/>
      <c r="RS9">
        <v>4</v>
      </c>
      <c r="RT9">
        <v>5</v>
      </c>
      <c r="RU9">
        <v>6</v>
      </c>
      <c r="RV9">
        <v>7</v>
      </c>
      <c r="RW9">
        <v>8</v>
      </c>
      <c r="RX9">
        <v>9</v>
      </c>
      <c r="RY9">
        <v>10</v>
      </c>
      <c r="RZ9">
        <v>18</v>
      </c>
      <c r="SA9">
        <v>19</v>
      </c>
    </row>
    <row r="10" spans="1:495" s="714" customFormat="1" ht="25.5" x14ac:dyDescent="0.2">
      <c r="K10" s="906"/>
      <c r="O10" s="714" t="s">
        <v>1414</v>
      </c>
      <c r="S10" s="938"/>
      <c r="U10" cm="1">
        <f t="array" ref="U10">SUMPRODUCT(B14:B113,(F14:F113=3)*1,U14:U113,(E14:E113="x")*1)</f>
        <v>0</v>
      </c>
      <c r="AA10" s="910"/>
      <c r="AB10" s="836"/>
      <c r="AC10" s="714" cm="1">
        <f t="array" ref="AC10">SUMPRODUCT(B14:B113,(L14:L113=70)*1,AC14:AC113,(E14:E113="x")*1)</f>
        <v>0</v>
      </c>
      <c r="AF10" s="836"/>
      <c r="AG10" s="714" cm="1">
        <f t="array" ref="AG10">SUMPRODUCT(B14:B113,(F14:F113=3)*1,AG14:AG113,(E14:E113="x")*1)</f>
        <v>0</v>
      </c>
      <c r="AH10" s="714" cm="1">
        <f t="array" ref="AH10">SUMPRODUCT(B14:B113,(F14:F113=3)*1,AH14:AH113,(E14:E113="x")*1)</f>
        <v>0</v>
      </c>
      <c r="AK10" s="731" t="s">
        <v>1341</v>
      </c>
      <c r="AL10" s="81">
        <f>VLOOKUP(AJ$5,Tab_org21[[Dünger]:[Greift im Herbst 30/60 mit Rebenh]],'#org22'!$V$1,FALSE)</f>
        <v>0</v>
      </c>
      <c r="AO10" s="875"/>
      <c r="AV10" s="906"/>
      <c r="AZ10" s="731" t="s">
        <v>1341</v>
      </c>
      <c r="BA10" s="81">
        <f>VLOOKUP(AY$5,Tab_org21[[Dünger]:[anrechenbarer N bei DBE Grünland]],'#org22'!$V$1,FALSE)</f>
        <v>0</v>
      </c>
      <c r="BB10" s="938"/>
      <c r="BC10" s="938"/>
      <c r="BD10" s="938"/>
      <c r="BE10" s="938"/>
      <c r="BF10" s="938"/>
      <c r="BG10" s="938"/>
      <c r="BH10" s="938"/>
      <c r="BI10" s="938"/>
      <c r="BJ10" s="938"/>
      <c r="BK10" s="938"/>
      <c r="BL10" s="938"/>
      <c r="BM10" s="938"/>
      <c r="BO10" s="731" t="s">
        <v>1341</v>
      </c>
      <c r="BP10" s="81">
        <f>VLOOKUP(BN$5,Tab_org21[[Dünger]:[anrechenbarer N bei DBE Grünland]],'#org22'!$V$1,FALSE)</f>
        <v>0</v>
      </c>
      <c r="BQ10" s="938"/>
      <c r="BR10" s="938"/>
      <c r="BS10" s="938"/>
      <c r="BT10" s="938"/>
      <c r="BU10" s="938"/>
      <c r="BV10" s="938"/>
      <c r="BW10" s="938"/>
      <c r="BX10" s="938"/>
      <c r="BY10" s="938"/>
      <c r="BZ10" s="938"/>
      <c r="CA10" s="938"/>
      <c r="CB10" s="938"/>
      <c r="CD10" s="731" t="s">
        <v>1341</v>
      </c>
      <c r="CE10" s="81">
        <f>VLOOKUP(CC$5,Tab_org21[[Dünger]:[anrechenbarer N bei DBE Grünland]],'#org22'!$V$1,FALSE)</f>
        <v>0</v>
      </c>
      <c r="CF10" s="938"/>
      <c r="CG10" s="938"/>
      <c r="CH10" s="938"/>
      <c r="CI10" s="938"/>
      <c r="CJ10" s="938"/>
      <c r="CK10" s="938"/>
      <c r="CL10" s="938"/>
      <c r="CM10" s="938"/>
      <c r="CN10" s="938"/>
      <c r="CO10" s="938"/>
      <c r="CP10" s="938"/>
      <c r="CQ10" s="938"/>
      <c r="CS10" s="731" t="s">
        <v>1341</v>
      </c>
      <c r="CT10" s="81">
        <f>VLOOKUP(CR$5,Tab_org21[[Dünger]:[anrechenbarer N bei DBE Grünland]],'#org22'!$V$1,FALSE)</f>
        <v>0</v>
      </c>
      <c r="CU10" s="938"/>
      <c r="CV10" s="938"/>
      <c r="CW10" s="938"/>
      <c r="CX10" s="938"/>
      <c r="CY10" s="938"/>
      <c r="CZ10" s="938"/>
      <c r="DA10" s="938"/>
      <c r="DB10" s="938"/>
      <c r="DC10" s="938"/>
      <c r="DD10" s="938"/>
      <c r="DE10" s="938"/>
      <c r="DF10" s="938"/>
      <c r="DH10" s="731" t="s">
        <v>1341</v>
      </c>
      <c r="DI10" s="81">
        <f>VLOOKUP(DG$5,Tab_org21[[Dünger]:[anrechenbarer N bei DBE Grünland]],'#org22'!$V$1,FALSE)</f>
        <v>0</v>
      </c>
      <c r="DJ10" s="938"/>
      <c r="DK10" s="938"/>
      <c r="DL10" s="938"/>
      <c r="DM10" s="938"/>
      <c r="DN10" s="938"/>
      <c r="DO10" s="938"/>
      <c r="DP10" s="938"/>
      <c r="DQ10" s="938"/>
      <c r="DR10" s="938"/>
      <c r="DS10" s="938"/>
      <c r="DT10" s="938"/>
      <c r="DU10" s="938"/>
      <c r="DW10" s="731" t="s">
        <v>1341</v>
      </c>
      <c r="DX10" s="81">
        <f>VLOOKUP(DV$5,Tab_org21[[Dünger]:[anrechenbarer N bei DBE Grünland]],'#org22'!$V$1,FALSE)</f>
        <v>0</v>
      </c>
      <c r="DY10" s="938"/>
      <c r="DZ10" s="938"/>
      <c r="EA10" s="938"/>
      <c r="EB10" s="938"/>
      <c r="EC10" s="938"/>
      <c r="ED10" s="938"/>
      <c r="EE10" s="938"/>
      <c r="EF10" s="938"/>
      <c r="EG10" s="938"/>
      <c r="EH10" s="938"/>
      <c r="EI10" s="938"/>
      <c r="EJ10" s="938"/>
      <c r="EL10" s="731" t="s">
        <v>1341</v>
      </c>
      <c r="EM10" s="81">
        <f>VLOOKUP(EK$5,Tab_org21[[Dünger]:[anrechenbarer N bei DBE Grünland]],'#org22'!$V$1,FALSE)</f>
        <v>0</v>
      </c>
      <c r="EN10" s="938"/>
      <c r="EO10" s="938"/>
      <c r="EP10" s="938"/>
      <c r="EQ10" s="938"/>
      <c r="ER10" s="938"/>
      <c r="ES10" s="938"/>
      <c r="ET10" s="938"/>
      <c r="EU10" s="938"/>
      <c r="EV10" s="938"/>
      <c r="EW10" s="938"/>
      <c r="EX10" s="938"/>
      <c r="EY10" s="938"/>
      <c r="FA10" s="731" t="s">
        <v>1341</v>
      </c>
      <c r="FB10" s="81">
        <f>VLOOKUP(EZ$5,Tab_org21[[Dünger]:[anrechenbarer N bei DBE Grünland]],'#org22'!$V$1,FALSE)</f>
        <v>0</v>
      </c>
      <c r="FC10" s="938"/>
      <c r="FD10" s="938"/>
      <c r="FE10" s="938"/>
      <c r="FF10" s="938"/>
      <c r="FG10" s="938"/>
      <c r="FH10" s="938"/>
      <c r="FI10" s="938"/>
      <c r="FJ10" s="938"/>
      <c r="FK10" s="938"/>
      <c r="FL10" s="938"/>
      <c r="FM10" s="938"/>
      <c r="FN10" s="938"/>
      <c r="FP10" s="731" t="s">
        <v>1341</v>
      </c>
      <c r="FQ10" s="81">
        <f>VLOOKUP(FO$5,Tab_org21[[Dünger]:[anrechenbarer N bei DBE Grünland]],'#org22'!$V$1,FALSE)</f>
        <v>0</v>
      </c>
      <c r="FR10" s="938"/>
      <c r="FS10" s="938"/>
      <c r="FT10" s="938"/>
      <c r="FU10" s="938"/>
      <c r="FV10" s="938"/>
      <c r="FW10" s="938"/>
      <c r="FX10" s="938"/>
      <c r="FY10" s="938"/>
      <c r="FZ10" s="938"/>
      <c r="GA10" s="938"/>
      <c r="GB10" s="938"/>
      <c r="GC10" s="938"/>
      <c r="GE10" s="731" t="s">
        <v>1341</v>
      </c>
      <c r="GF10" s="81">
        <f>VLOOKUP(GD$5,Tab_org21[[Dünger]:[anrechenbarer N bei DBE Grünland]],'#org22'!$V$1,FALSE)</f>
        <v>0</v>
      </c>
      <c r="GG10" s="938"/>
      <c r="GH10" s="938"/>
      <c r="GI10" s="938"/>
      <c r="GJ10" s="938"/>
      <c r="GK10" s="938"/>
      <c r="GL10" s="938"/>
      <c r="GM10" s="938"/>
      <c r="GN10" s="938"/>
      <c r="GO10" s="938"/>
      <c r="GP10" s="938"/>
      <c r="GQ10" s="938"/>
      <c r="GR10" s="938"/>
      <c r="GT10" s="731" t="s">
        <v>1341</v>
      </c>
      <c r="GU10" s="81">
        <f>VLOOKUP(GS$5,Tab_org21[[Dünger]:[anrechenbarer N bei DBE Grünland]],'#org22'!$V$1,FALSE)</f>
        <v>0</v>
      </c>
      <c r="GV10" s="938"/>
      <c r="GW10" s="938"/>
      <c r="GX10" s="938"/>
      <c r="GY10" s="938"/>
      <c r="GZ10" s="938"/>
      <c r="HA10" s="938"/>
      <c r="HB10" s="938"/>
      <c r="HC10" s="938"/>
      <c r="HD10" s="938"/>
      <c r="HE10" s="938"/>
      <c r="HF10" s="938"/>
      <c r="HG10" s="938"/>
      <c r="HI10" s="731" t="s">
        <v>1341</v>
      </c>
      <c r="HJ10" s="81">
        <f>VLOOKUP(HH$5,Tab_org21[[Dünger]:[anrechenbarer N bei DBE Grünland]],'#org22'!$V$1,FALSE)</f>
        <v>0</v>
      </c>
      <c r="HK10" s="938"/>
      <c r="HL10" s="938"/>
      <c r="HM10" s="938"/>
      <c r="HN10" s="938"/>
      <c r="HO10" s="938"/>
      <c r="HP10" s="938"/>
      <c r="HQ10" s="938"/>
      <c r="HR10" s="938"/>
      <c r="HS10" s="938"/>
      <c r="HT10" s="938"/>
      <c r="HU10" s="938"/>
      <c r="HV10" s="938"/>
      <c r="HX10" s="731" t="s">
        <v>1341</v>
      </c>
      <c r="HY10" s="81">
        <f>VLOOKUP(HW$5,Tab_org21[[Dünger]:[anrechenbarer N bei DBE Grünland]],'#org22'!$V$1,FALSE)</f>
        <v>0</v>
      </c>
      <c r="HZ10" s="938"/>
      <c r="IA10" s="938"/>
      <c r="IB10" s="938"/>
      <c r="IC10" s="938"/>
      <c r="ID10" s="938"/>
      <c r="IE10" s="938"/>
      <c r="IF10" s="938"/>
      <c r="IG10" s="938"/>
      <c r="IH10" s="938"/>
      <c r="II10" s="938"/>
      <c r="IJ10" s="938"/>
      <c r="IK10" s="938"/>
      <c r="IM10" s="731" t="s">
        <v>1341</v>
      </c>
      <c r="IN10" s="81">
        <f>VLOOKUP(IL$5,Tab_org21[[Dünger]:[anrechenbarer N bei DBE Grünland]],'#org22'!$V$1,FALSE)</f>
        <v>0</v>
      </c>
      <c r="IO10" s="938"/>
      <c r="IP10" s="938"/>
      <c r="IQ10" s="938"/>
      <c r="IR10" s="938"/>
      <c r="IS10" s="938"/>
      <c r="IT10" s="938"/>
      <c r="IU10" s="938"/>
      <c r="IV10" s="938"/>
      <c r="IW10" s="938"/>
      <c r="IX10" s="938"/>
      <c r="IY10" s="938"/>
      <c r="IZ10" s="938"/>
      <c r="JB10" s="731" t="s">
        <v>1341</v>
      </c>
      <c r="JC10" s="81">
        <f>VLOOKUP(JA$5,Tab_org21[[Dünger]:[anrechenbarer N bei DBE Grünland]],'#org22'!$V$1,FALSE)</f>
        <v>0</v>
      </c>
      <c r="JD10" s="938"/>
      <c r="JE10" s="938"/>
      <c r="JF10" s="938"/>
      <c r="JG10" s="938"/>
      <c r="JH10" s="938"/>
      <c r="JI10" s="938"/>
      <c r="JJ10" s="938"/>
      <c r="JK10" s="938"/>
      <c r="JL10" s="938"/>
      <c r="JM10" s="938"/>
      <c r="JN10" s="938"/>
      <c r="JO10" s="938"/>
      <c r="JQ10" s="731" t="s">
        <v>1341</v>
      </c>
      <c r="JR10" s="81">
        <f>VLOOKUP(JP$5,Tab_org21[[Dünger]:[anrechenbarer N bei DBE Grünland]],'#org22'!$V$1,FALSE)</f>
        <v>0</v>
      </c>
      <c r="JS10" s="938"/>
      <c r="JT10" s="938"/>
      <c r="JU10" s="938"/>
      <c r="JV10" s="938"/>
      <c r="JW10" s="938"/>
      <c r="JX10" s="938"/>
      <c r="JY10" s="938"/>
      <c r="JZ10" s="938"/>
      <c r="KA10" s="938"/>
      <c r="KB10" s="938"/>
      <c r="KC10" s="938"/>
      <c r="KD10" s="938"/>
      <c r="KF10" s="731" t="s">
        <v>1341</v>
      </c>
      <c r="KG10" s="81">
        <f>VLOOKUP(KE$5,Tab_org21[[Dünger]:[anrechenbarer N bei DBE Grünland]],'#org22'!$V$1,FALSE)</f>
        <v>0</v>
      </c>
      <c r="KH10" s="938"/>
      <c r="KI10" s="938"/>
      <c r="KJ10" s="938"/>
      <c r="KK10" s="938"/>
      <c r="KL10" s="938"/>
      <c r="KM10" s="938"/>
      <c r="KN10" s="938"/>
      <c r="KO10" s="938"/>
      <c r="KP10" s="938"/>
      <c r="KQ10" s="938"/>
      <c r="KR10" s="938"/>
      <c r="KS10" s="938"/>
      <c r="KU10" s="731" t="s">
        <v>1341</v>
      </c>
      <c r="KV10" s="81">
        <f>VLOOKUP(KT$5,Tab_org21[[Dünger]:[anrechenbarer N bei DBE Grünland]],'#org22'!$V$1,FALSE)</f>
        <v>0</v>
      </c>
      <c r="KW10" s="938"/>
      <c r="KX10" s="938"/>
      <c r="KY10" s="938"/>
      <c r="KZ10" s="938"/>
      <c r="LA10" s="938"/>
      <c r="LB10" s="938"/>
      <c r="LC10" s="938"/>
      <c r="LD10" s="938"/>
      <c r="LE10" s="938"/>
      <c r="LF10" s="938"/>
      <c r="LG10" s="938"/>
      <c r="LH10" s="938"/>
      <c r="LJ10" s="731" t="s">
        <v>1341</v>
      </c>
      <c r="LK10" s="81">
        <f>VLOOKUP(LI$5,Tab_org21[[Dünger]:[anrechenbarer N bei DBE Grünland]],'#org22'!$V$1,FALSE)</f>
        <v>0</v>
      </c>
      <c r="LL10" s="938"/>
      <c r="LM10" s="938"/>
      <c r="LN10" s="938"/>
      <c r="LO10" s="938"/>
      <c r="LP10" s="938"/>
      <c r="LQ10" s="938"/>
      <c r="LR10" s="938"/>
      <c r="LS10" s="938"/>
      <c r="LT10" s="938"/>
      <c r="LU10" s="938"/>
      <c r="LV10" s="938"/>
      <c r="LW10" s="938"/>
      <c r="LY10" s="731" t="s">
        <v>1341</v>
      </c>
      <c r="LZ10" s="81">
        <f>VLOOKUP(LX$5,Tab_org21[[Dünger]:[anrechenbarer N bei DBE Grünland]],'#org22'!$V$1,FALSE)</f>
        <v>0</v>
      </c>
      <c r="MA10" s="938"/>
      <c r="MB10" s="938"/>
      <c r="MC10" s="938"/>
      <c r="MD10" s="938"/>
      <c r="ME10" s="938"/>
      <c r="MF10" s="938"/>
      <c r="MG10" s="938"/>
      <c r="MH10" s="938"/>
      <c r="MI10" s="938"/>
      <c r="MJ10" s="938"/>
      <c r="MK10" s="938"/>
      <c r="ML10" s="938"/>
      <c r="MN10" s="731" t="s">
        <v>1341</v>
      </c>
      <c r="MO10" s="81">
        <f>VLOOKUP(MM$5,Tab_org21[[Dünger]:[anrechenbarer N bei DBE Grünland]],'#org22'!$V$1,FALSE)</f>
        <v>0</v>
      </c>
      <c r="MP10" s="938"/>
      <c r="MQ10" s="938"/>
      <c r="MR10" s="938"/>
      <c r="MS10" s="938"/>
      <c r="MT10" s="938"/>
      <c r="MU10" s="938"/>
      <c r="MV10" s="938"/>
      <c r="MW10" s="938"/>
      <c r="MX10" s="938"/>
      <c r="MY10" s="938"/>
      <c r="MZ10" s="938"/>
      <c r="NA10" s="938"/>
      <c r="NC10" s="731" t="s">
        <v>1341</v>
      </c>
      <c r="ND10" s="81">
        <f>VLOOKUP(NB$5,Tab_org21[[Dünger]:[anrechenbarer N bei DBE Grünland]],'#org22'!$V$1,FALSE)</f>
        <v>0</v>
      </c>
      <c r="NE10" s="938"/>
      <c r="NF10" s="938"/>
      <c r="NG10" s="938"/>
      <c r="NH10" s="938"/>
      <c r="NI10" s="938"/>
      <c r="NJ10" s="938"/>
      <c r="NK10" s="938"/>
      <c r="NL10" s="938"/>
      <c r="NM10" s="938"/>
      <c r="NN10" s="938"/>
      <c r="NO10" s="938"/>
      <c r="NP10" s="938"/>
      <c r="NR10" s="731" t="s">
        <v>1341</v>
      </c>
      <c r="NS10" s="81">
        <f>VLOOKUP(NQ$5,Tab_org21[[Dünger]:[anrechenbarer N bei DBE Grünland]],'#org22'!$V$1,FALSE)</f>
        <v>0</v>
      </c>
      <c r="NT10" s="938"/>
      <c r="NU10" s="938"/>
      <c r="NV10" s="938"/>
      <c r="NW10" s="938"/>
      <c r="NX10" s="938"/>
      <c r="NY10" s="938"/>
      <c r="NZ10" s="938"/>
      <c r="OA10" s="938"/>
      <c r="OB10" s="938"/>
      <c r="OC10" s="938"/>
      <c r="OD10" s="938"/>
      <c r="OE10" s="938"/>
      <c r="OG10" s="731" t="s">
        <v>1341</v>
      </c>
      <c r="OH10" s="81">
        <f>VLOOKUP(OF$5,Tab_org21[[Dünger]:[anrechenbarer N bei DBE Grünland]],'#org22'!$V$1,FALSE)</f>
        <v>0</v>
      </c>
      <c r="OI10" s="938"/>
      <c r="OJ10" s="938"/>
      <c r="OK10" s="938"/>
      <c r="OL10" s="938"/>
      <c r="OM10" s="938"/>
      <c r="ON10" s="938"/>
      <c r="OO10" s="938"/>
      <c r="OP10" s="938"/>
      <c r="OQ10" s="938"/>
      <c r="OR10" s="938"/>
      <c r="OS10" s="938"/>
      <c r="OT10" s="938"/>
      <c r="OV10" s="731" t="s">
        <v>1341</v>
      </c>
      <c r="OW10" s="81">
        <f>VLOOKUP(OU$5,Tab_org21[[Dünger]:[anrechenbarer N bei DBE Grünland]],'#org22'!$V$1,FALSE)</f>
        <v>0</v>
      </c>
      <c r="OX10" s="938"/>
      <c r="OY10" s="938"/>
      <c r="OZ10" s="938"/>
      <c r="PA10" s="938"/>
      <c r="PB10" s="938"/>
      <c r="PC10" s="938"/>
      <c r="PD10" s="938"/>
      <c r="PE10" s="938"/>
      <c r="PF10" s="938"/>
      <c r="PG10" s="938"/>
      <c r="PH10" s="938"/>
      <c r="PI10" s="938"/>
      <c r="PK10" s="731" t="s">
        <v>1341</v>
      </c>
      <c r="PL10" s="81">
        <f>VLOOKUP(PJ$5,Tab_org21[[Dünger]:[anrechenbarer N bei DBE Grünland]],'#org22'!$V$1,FALSE)</f>
        <v>0</v>
      </c>
      <c r="PM10" s="938"/>
      <c r="PN10" s="938"/>
      <c r="PO10" s="938"/>
      <c r="PP10" s="938"/>
      <c r="PQ10" s="938"/>
      <c r="PR10" s="938"/>
      <c r="PS10" s="938"/>
      <c r="PT10" s="938"/>
      <c r="PU10" s="938"/>
      <c r="PV10" s="938"/>
      <c r="PW10" s="938"/>
      <c r="PX10" s="938"/>
      <c r="PZ10" s="731" t="s">
        <v>1341</v>
      </c>
      <c r="QA10" s="81">
        <f>VLOOKUP(PY$5,Tab_org21[[Dünger]:[anrechenbarer N bei DBE Grünland]],'#org22'!$V$1,FALSE)</f>
        <v>0</v>
      </c>
      <c r="QB10" s="938"/>
      <c r="QC10" s="938"/>
      <c r="QD10" s="938"/>
      <c r="QE10" s="938"/>
      <c r="QF10" s="938"/>
      <c r="QG10" s="938"/>
      <c r="QH10" s="938"/>
      <c r="QI10" s="938"/>
      <c r="QJ10" s="938"/>
      <c r="QK10" s="938"/>
      <c r="QL10" s="938"/>
      <c r="QM10" s="938"/>
      <c r="QO10" s="731" t="s">
        <v>1341</v>
      </c>
      <c r="QP10" s="81">
        <f>VLOOKUP(QN$5,Tab_org21[[Dünger]:[anrechenbarer N bei DBE Grünland]],'#org22'!$V$1,FALSE)</f>
        <v>0</v>
      </c>
      <c r="QQ10" s="938"/>
      <c r="QR10" s="938"/>
      <c r="QS10" s="938"/>
      <c r="QT10" s="938"/>
      <c r="QU10" s="938"/>
      <c r="QV10" s="938"/>
      <c r="QW10" s="938"/>
      <c r="QX10" s="938"/>
      <c r="QY10" s="938"/>
      <c r="QZ10" s="938"/>
      <c r="RA10" s="938"/>
      <c r="RB10" s="938"/>
      <c r="RD10" s="731" t="s">
        <v>1341</v>
      </c>
      <c r="RE10" s="81">
        <f>VLOOKUP(RC$5,Tab_org21[[Dünger]:[anrechenbarer N bei DBE Grünland]],'#org22'!$V$1,FALSE)</f>
        <v>0</v>
      </c>
      <c r="RF10" s="938"/>
      <c r="RG10" s="938"/>
      <c r="RH10" s="938"/>
      <c r="RI10" s="938"/>
      <c r="RJ10" s="938"/>
      <c r="RK10" s="938"/>
      <c r="RL10" s="938"/>
      <c r="RM10" s="938"/>
      <c r="RN10" s="938"/>
      <c r="RO10" s="938"/>
      <c r="RP10" s="938"/>
      <c r="RQ10" s="938"/>
    </row>
    <row r="11" spans="1:495" s="938" customFormat="1" x14ac:dyDescent="0.2">
      <c r="AI11" s="882" t="s">
        <v>1826</v>
      </c>
      <c r="AK11" s="1353"/>
      <c r="AL11" s="46"/>
      <c r="AO11" s="938" t="str">
        <f>IF(AND(AJ6=2,AL9=1),AO13,"")</f>
        <v/>
      </c>
      <c r="AZ11" s="1353"/>
      <c r="BA11" s="46"/>
      <c r="BD11" s="938" t="str">
        <f>IF(AY6=2,BD13,"")</f>
        <v/>
      </c>
      <c r="BO11" s="1353"/>
      <c r="BP11" s="46"/>
      <c r="BS11" s="938" t="str">
        <f>IF(BN6=2,BS13,"")</f>
        <v/>
      </c>
      <c r="CD11" s="1353"/>
      <c r="CE11" s="46"/>
      <c r="CH11" s="938" t="str">
        <f>IF(CC6=2,CH13,"")</f>
        <v/>
      </c>
      <c r="CS11" s="1353"/>
      <c r="CT11" s="46"/>
      <c r="CW11" s="938" t="str">
        <f>IF(CR6=2,CW13,"")</f>
        <v/>
      </c>
      <c r="DH11" s="1353"/>
      <c r="DI11" s="46"/>
      <c r="DL11" s="938" t="str">
        <f>IF(DG6=2,DL13,"")</f>
        <v/>
      </c>
      <c r="DW11" s="1353"/>
      <c r="DX11" s="46"/>
      <c r="EA11" s="938" t="str">
        <f>IF(DV6=2,EA13,"")</f>
        <v/>
      </c>
      <c r="EL11" s="1353"/>
      <c r="EM11" s="46"/>
      <c r="EP11" s="938" t="str">
        <f>IF(EK6=2,EP13,"")</f>
        <v/>
      </c>
      <c r="FA11" s="1353"/>
      <c r="FB11" s="46"/>
      <c r="FE11" s="938" t="str">
        <f>IF(EZ6=2,FE13,"")</f>
        <v/>
      </c>
      <c r="FP11" s="1353"/>
      <c r="FQ11" s="46"/>
      <c r="FT11" s="938" t="str">
        <f>IF(FO6=2,FT13,"")</f>
        <v/>
      </c>
      <c r="GE11" s="1353"/>
      <c r="GF11" s="46"/>
      <c r="GI11" s="938" t="str">
        <f>IF(GD6=2,GI13,"")</f>
        <v/>
      </c>
      <c r="GT11" s="1353"/>
      <c r="GU11" s="46"/>
      <c r="GX11" s="938" t="str">
        <f>IF(GS6=2,GX13,"")</f>
        <v/>
      </c>
      <c r="HI11" s="1353"/>
      <c r="HJ11" s="46"/>
      <c r="HM11" s="938" t="str">
        <f>IF(HH6=2,HM13,"")</f>
        <v/>
      </c>
      <c r="HX11" s="1353"/>
      <c r="HY11" s="46"/>
      <c r="IB11" s="938" t="str">
        <f>IF(HW6=2,IB13,"")</f>
        <v/>
      </c>
      <c r="IM11" s="1353"/>
      <c r="IN11" s="46"/>
      <c r="IQ11" s="938" t="str">
        <f>IF(IL6=2,IQ13,"")</f>
        <v/>
      </c>
      <c r="JB11" s="1353"/>
      <c r="JC11" s="46"/>
      <c r="JF11" s="938" t="str">
        <f>IF(JA6=2,JF13,"")</f>
        <v/>
      </c>
      <c r="JQ11" s="1353"/>
      <c r="JR11" s="46"/>
      <c r="JU11" s="938" t="str">
        <f>IF(JP6=2,JU13,"")</f>
        <v/>
      </c>
      <c r="KF11" s="1353"/>
      <c r="KG11" s="46"/>
      <c r="KJ11" s="938" t="str">
        <f>IF(KE6=2,KJ13,"")</f>
        <v/>
      </c>
      <c r="KU11" s="1353"/>
      <c r="KV11" s="46"/>
      <c r="KY11" s="938" t="str">
        <f>IF(KT6=2,KY13,"")</f>
        <v/>
      </c>
      <c r="LJ11" s="1353"/>
      <c r="LK11" s="46"/>
      <c r="LN11" s="938" t="str">
        <f>IF(LI6=2,LN13,"")</f>
        <v/>
      </c>
      <c r="LY11" s="1353"/>
      <c r="LZ11" s="46"/>
      <c r="MC11" s="938" t="str">
        <f>IF(LX6=2,MC13,"")</f>
        <v/>
      </c>
      <c r="MN11" s="1353"/>
      <c r="MO11" s="46"/>
      <c r="MR11" s="938" t="str">
        <f>IF(MM6=2,MR13,"")</f>
        <v/>
      </c>
      <c r="NC11" s="1353"/>
      <c r="ND11" s="46"/>
      <c r="NG11" s="938" t="str">
        <f>IF(NB6=2,NG13,"")</f>
        <v/>
      </c>
      <c r="NR11" s="1353"/>
      <c r="NS11" s="46"/>
      <c r="NV11" s="938" t="str">
        <f>IF(NQ6=2,NV13,"")</f>
        <v/>
      </c>
      <c r="OG11" s="1353"/>
      <c r="OH11" s="46"/>
      <c r="OK11" s="938" t="str">
        <f>IF(OF6=2,OK13,"")</f>
        <v/>
      </c>
      <c r="OV11" s="1353"/>
      <c r="OW11" s="46"/>
      <c r="OZ11" s="938" t="str">
        <f>IF(OU6=2,OZ13,"")</f>
        <v/>
      </c>
      <c r="PK11" s="1353"/>
      <c r="PL11" s="46"/>
      <c r="PO11" s="938" t="str">
        <f>IF(PJ6=2,PO13,"")</f>
        <v/>
      </c>
      <c r="PZ11" s="1353"/>
      <c r="QA11" s="46"/>
      <c r="QD11" s="938" t="str">
        <f>IF(PY6=2,QD13,"")</f>
        <v/>
      </c>
      <c r="QO11" s="1353"/>
      <c r="QP11" s="46"/>
      <c r="QS11" s="938" t="str">
        <f>IF(QN6=2,QS13,"")</f>
        <v/>
      </c>
      <c r="RD11" s="1353"/>
      <c r="RE11" s="46"/>
      <c r="RH11" s="938" t="str">
        <f>IF(RC6=2,RH13,"")</f>
        <v/>
      </c>
    </row>
    <row r="12" spans="1:495" s="691" customFormat="1" x14ac:dyDescent="0.2">
      <c r="K12" s="906"/>
      <c r="S12" s="938"/>
      <c r="AA12" s="910"/>
      <c r="AB12" s="836"/>
      <c r="AF12" s="836"/>
      <c r="AI12" s="691" t="s">
        <v>265</v>
      </c>
      <c r="AJ12" s="691" t="str">
        <f>IF(AND(AJ7='#Boden'!$G$27,AK115&gt;0),1,"")</f>
        <v/>
      </c>
      <c r="AM12" s="714"/>
      <c r="AN12" s="691">
        <f>IF(AJ7='#Boden'!$G$27,AN13,"")</f>
        <v>2</v>
      </c>
      <c r="AO12" s="875"/>
      <c r="AP12" s="691">
        <f>IF(AJ7='#Boden'!$G$27,AP13,"")</f>
        <v>4</v>
      </c>
      <c r="AQ12" s="691">
        <f>IF(AJ7='#Boden'!$G$27,AQ13,"")</f>
        <v>5</v>
      </c>
      <c r="AR12" s="691">
        <f>IF(AJ7='#Boden'!$G$27,AR13,"")</f>
        <v>6</v>
      </c>
      <c r="AS12" s="691">
        <f>IF(AJ7='#Boden'!$G$27,AS13,"")</f>
        <v>7</v>
      </c>
      <c r="AT12" s="691">
        <f>IF(AJ7='#Boden'!$G$27,AT13,"")</f>
        <v>8</v>
      </c>
      <c r="AU12" s="691">
        <f>IF(AJ7='#Boden'!$G$27,AU13,"")</f>
        <v>9</v>
      </c>
      <c r="AV12" s="906">
        <f>IF(AJ7='#Boden'!$G$27,AV13,"")</f>
        <v>10</v>
      </c>
      <c r="AW12" s="691">
        <f>IF(AJ7='#Boden'!$G$27,AW13,"")</f>
        <v>11</v>
      </c>
      <c r="AX12" s="691">
        <f>IF(AJ7='#Boden'!$G$27,AX13,"")</f>
        <v>12</v>
      </c>
      <c r="AY12" s="691" t="str">
        <f>IF(AND(AY7='#Boden'!$G$27,AY115&gt;0),1,"")</f>
        <v/>
      </c>
      <c r="AZ12" s="938"/>
      <c r="BA12" s="938"/>
      <c r="BB12" s="938"/>
      <c r="BC12" s="938">
        <f>IF(AY7='#Boden'!$G$27,BC13,"")</f>
        <v>2</v>
      </c>
      <c r="BD12" s="938"/>
      <c r="BE12" s="938">
        <f>IF(AY7='#Boden'!$G$27,BE13,"")</f>
        <v>4</v>
      </c>
      <c r="BF12" s="938">
        <f>IF(AY7='#Boden'!$G$27,BF13,"")</f>
        <v>5</v>
      </c>
      <c r="BG12" s="938">
        <f>IF(AY7='#Boden'!$G$27,BG13,"")</f>
        <v>6</v>
      </c>
      <c r="BH12" s="938">
        <f>IF(AY7='#Boden'!$G$27,BH13,"")</f>
        <v>7</v>
      </c>
      <c r="BI12" s="938">
        <f>IF(AY7='#Boden'!$G$27,BI13,"")</f>
        <v>8</v>
      </c>
      <c r="BJ12" s="938">
        <f>IF(AY7='#Boden'!$G$27,BJ13,"")</f>
        <v>9</v>
      </c>
      <c r="BK12" s="938">
        <f>IF(AY7='#Boden'!$G$27,BK13,"")</f>
        <v>10</v>
      </c>
      <c r="BL12" s="938">
        <f>IF(AY7='#Boden'!$G$27,BL13,"")</f>
        <v>11</v>
      </c>
      <c r="BM12" s="938">
        <f>IF(AY7='#Boden'!$G$27,BM13,"")</f>
        <v>12</v>
      </c>
      <c r="BN12" s="691" t="str">
        <f>IF(AND(BN7='#Boden'!$G$27,BN115&gt;0),1,"")</f>
        <v/>
      </c>
      <c r="BO12" s="938"/>
      <c r="BP12" s="938"/>
      <c r="BQ12" s="938"/>
      <c r="BR12" s="938">
        <f>IF(BN7='#Boden'!$G$27,BR13,"")</f>
        <v>2</v>
      </c>
      <c r="BS12" s="938"/>
      <c r="BT12" s="938">
        <f>IF(BN7='#Boden'!$G$27,BT13,"")</f>
        <v>4</v>
      </c>
      <c r="BU12" s="938">
        <f>IF(BN7='#Boden'!$G$27,BU13,"")</f>
        <v>5</v>
      </c>
      <c r="BV12" s="938">
        <f>IF(BN7='#Boden'!$G$27,BV13,"")</f>
        <v>6</v>
      </c>
      <c r="BW12" s="938">
        <f>IF(BN7='#Boden'!$G$27,BW13,"")</f>
        <v>7</v>
      </c>
      <c r="BX12" s="938">
        <f>IF(BN7='#Boden'!$G$27,BX13,"")</f>
        <v>8</v>
      </c>
      <c r="BY12" s="938">
        <f>IF(BN7='#Boden'!$G$27,BY13,"")</f>
        <v>9</v>
      </c>
      <c r="BZ12" s="938">
        <f>IF(BN7='#Boden'!$G$27,BZ13,"")</f>
        <v>10</v>
      </c>
      <c r="CA12" s="938">
        <f>IF(BN7='#Boden'!$G$27,CA13,"")</f>
        <v>11</v>
      </c>
      <c r="CB12" s="938">
        <f>IF(BN7='#Boden'!$G$27,CB13,"")</f>
        <v>12</v>
      </c>
      <c r="CD12" s="938"/>
      <c r="CE12" s="938"/>
      <c r="CF12" s="938"/>
      <c r="CG12" s="938">
        <f>IF(CC7='#Boden'!$G$27,CG13,"")</f>
        <v>2</v>
      </c>
      <c r="CH12" s="938"/>
      <c r="CI12" s="938">
        <f>IF(CC7='#Boden'!$G$27,CI13,"")</f>
        <v>4</v>
      </c>
      <c r="CJ12" s="938">
        <f>IF(CC7='#Boden'!$G$27,CJ13,"")</f>
        <v>5</v>
      </c>
      <c r="CK12" s="938">
        <f>IF(CC7='#Boden'!$G$27,CK13,"")</f>
        <v>6</v>
      </c>
      <c r="CL12" s="938">
        <f>IF(CC7='#Boden'!$G$27,CL13,"")</f>
        <v>7</v>
      </c>
      <c r="CM12" s="938">
        <f>IF(CC7='#Boden'!$G$27,CM13,"")</f>
        <v>8</v>
      </c>
      <c r="CN12" s="938">
        <f>IF(CC7='#Boden'!$G$27,CN13,"")</f>
        <v>9</v>
      </c>
      <c r="CO12" s="938">
        <f>IF(CC7='#Boden'!$G$27,CO13,"")</f>
        <v>10</v>
      </c>
      <c r="CP12" s="938">
        <f>IF(CC7='#Boden'!$G$27,CP13,"")</f>
        <v>11</v>
      </c>
      <c r="CQ12" s="938">
        <f>IF(CC7='#Boden'!$G$27,CQ13,"")</f>
        <v>12</v>
      </c>
      <c r="CS12" s="938"/>
      <c r="CT12" s="938"/>
      <c r="CU12" s="938"/>
      <c r="CV12" s="938">
        <f>IF(CR7='#Boden'!$G$27,CV13,"")</f>
        <v>2</v>
      </c>
      <c r="CW12" s="938"/>
      <c r="CX12" s="938">
        <f>IF(CR7='#Boden'!$G$27,CX13,"")</f>
        <v>4</v>
      </c>
      <c r="CY12" s="938">
        <f>IF(CR7='#Boden'!$G$27,CY13,"")</f>
        <v>5</v>
      </c>
      <c r="CZ12" s="938">
        <f>IF(CR7='#Boden'!$G$27,CZ13,"")</f>
        <v>6</v>
      </c>
      <c r="DA12" s="938">
        <f>IF(CR7='#Boden'!$G$27,DA13,"")</f>
        <v>7</v>
      </c>
      <c r="DB12" s="938">
        <f>IF(CR7='#Boden'!$G$27,DB13,"")</f>
        <v>8</v>
      </c>
      <c r="DC12" s="938">
        <f>IF(CR7='#Boden'!$G$27,DC13,"")</f>
        <v>9</v>
      </c>
      <c r="DD12" s="938">
        <f>IF(CR7='#Boden'!$G$27,DD13,"")</f>
        <v>10</v>
      </c>
      <c r="DE12" s="938">
        <f>IF(CR7='#Boden'!$G$27,DE13,"")</f>
        <v>11</v>
      </c>
      <c r="DF12" s="938">
        <f>IF(CR7='#Boden'!$G$27,DF13,"")</f>
        <v>12</v>
      </c>
      <c r="DH12" s="938"/>
      <c r="DI12" s="938"/>
      <c r="DJ12" s="938"/>
      <c r="DK12" s="938">
        <f>IF(DG7='#Boden'!$G$27,DK13,"")</f>
        <v>2</v>
      </c>
      <c r="DL12" s="938"/>
      <c r="DM12" s="938">
        <f>IF(DG7='#Boden'!$G$27,DM13,"")</f>
        <v>4</v>
      </c>
      <c r="DN12" s="938">
        <f>IF(DG7='#Boden'!$G$27,DN13,"")</f>
        <v>5</v>
      </c>
      <c r="DO12" s="938">
        <f>IF(DG7='#Boden'!$G$27,DO13,"")</f>
        <v>6</v>
      </c>
      <c r="DP12" s="938">
        <f>IF(DG7='#Boden'!$G$27,DP13,"")</f>
        <v>7</v>
      </c>
      <c r="DQ12" s="938">
        <f>IF(DG7='#Boden'!$G$27,DQ13,"")</f>
        <v>8</v>
      </c>
      <c r="DR12" s="938">
        <f>IF(DG7='#Boden'!$G$27,DR13,"")</f>
        <v>9</v>
      </c>
      <c r="DS12" s="938">
        <f>IF(DG7='#Boden'!$G$27,DS13,"")</f>
        <v>10</v>
      </c>
      <c r="DT12" s="938">
        <f>IF(DG7='#Boden'!$G$27,DT13,"")</f>
        <v>11</v>
      </c>
      <c r="DU12" s="938">
        <f>IF(DG7='#Boden'!$G$27,DU13,"")</f>
        <v>12</v>
      </c>
      <c r="DW12" s="938"/>
      <c r="DX12" s="938"/>
      <c r="DY12" s="938"/>
      <c r="DZ12" s="938">
        <f>IF(DV7='#Boden'!$G$27,DZ13,"")</f>
        <v>2</v>
      </c>
      <c r="EA12" s="938"/>
      <c r="EB12" s="938">
        <f>IF(DV7='#Boden'!$G$27,EB13,"")</f>
        <v>4</v>
      </c>
      <c r="EC12" s="938">
        <f>IF(DV7='#Boden'!$G$27,EC13,"")</f>
        <v>5</v>
      </c>
      <c r="ED12" s="938">
        <f>IF(DV7='#Boden'!$G$27,ED13,"")</f>
        <v>6</v>
      </c>
      <c r="EE12" s="938">
        <f>IF(DV7='#Boden'!$G$27,EE13,"")</f>
        <v>7</v>
      </c>
      <c r="EF12" s="938">
        <f>IF(DV7='#Boden'!$G$27,EF13,"")</f>
        <v>8</v>
      </c>
      <c r="EG12" s="938">
        <f>IF(DV7='#Boden'!$G$27,EG13,"")</f>
        <v>9</v>
      </c>
      <c r="EH12" s="938">
        <f>IF(DV7='#Boden'!$G$27,EH13,"")</f>
        <v>10</v>
      </c>
      <c r="EI12" s="938">
        <f>IF(DV7='#Boden'!$G$27,EI13,"")</f>
        <v>11</v>
      </c>
      <c r="EJ12" s="938">
        <f>IF(DV7='#Boden'!$G$27,EJ13,"")</f>
        <v>12</v>
      </c>
      <c r="EL12" s="938"/>
      <c r="EM12" s="938"/>
      <c r="EN12" s="938"/>
      <c r="EO12" s="938">
        <f>IF(EK7='#Boden'!$G$27,EO13,"")</f>
        <v>2</v>
      </c>
      <c r="EP12" s="938"/>
      <c r="EQ12" s="938">
        <f>IF(EK7='#Boden'!$G$27,EQ13,"")</f>
        <v>4</v>
      </c>
      <c r="ER12" s="938">
        <f>IF(EK7='#Boden'!$G$27,ER13,"")</f>
        <v>5</v>
      </c>
      <c r="ES12" s="938">
        <f>IF(EK7='#Boden'!$G$27,ES13,"")</f>
        <v>6</v>
      </c>
      <c r="ET12" s="938">
        <f>IF(EK7='#Boden'!$G$27,ET13,"")</f>
        <v>7</v>
      </c>
      <c r="EU12" s="938">
        <f>IF(EK7='#Boden'!$G$27,EU13,"")</f>
        <v>8</v>
      </c>
      <c r="EV12" s="938">
        <f>IF(EK7='#Boden'!$G$27,EV13,"")</f>
        <v>9</v>
      </c>
      <c r="EW12" s="938">
        <f>IF(EK7='#Boden'!$G$27,EW13,"")</f>
        <v>10</v>
      </c>
      <c r="EX12" s="938">
        <f>IF(EK7='#Boden'!$G$27,EX13,"")</f>
        <v>11</v>
      </c>
      <c r="EY12" s="938">
        <f>IF(EK7='#Boden'!$G$27,EY13,"")</f>
        <v>12</v>
      </c>
      <c r="FA12" s="938"/>
      <c r="FB12" s="938"/>
      <c r="FC12" s="938"/>
      <c r="FD12" s="938">
        <f>IF(EZ7='#Boden'!$G$27,FD13,"")</f>
        <v>2</v>
      </c>
      <c r="FE12" s="938"/>
      <c r="FF12" s="938">
        <f>IF(EZ7='#Boden'!$G$27,FF13,"")</f>
        <v>4</v>
      </c>
      <c r="FG12" s="938">
        <f>IF(EZ7='#Boden'!$G$27,FG13,"")</f>
        <v>5</v>
      </c>
      <c r="FH12" s="938">
        <f>IF(EZ7='#Boden'!$G$27,FH13,"")</f>
        <v>6</v>
      </c>
      <c r="FI12" s="938">
        <f>IF(EZ7='#Boden'!$G$27,FI13,"")</f>
        <v>7</v>
      </c>
      <c r="FJ12" s="938">
        <f>IF(EZ7='#Boden'!$G$27,FJ13,"")</f>
        <v>8</v>
      </c>
      <c r="FK12" s="938">
        <f>IF(EZ7='#Boden'!$G$27,FK13,"")</f>
        <v>9</v>
      </c>
      <c r="FL12" s="938">
        <f>IF(EZ7='#Boden'!$G$27,FL13,"")</f>
        <v>10</v>
      </c>
      <c r="FM12" s="938">
        <f>IF(EZ7='#Boden'!$G$27,FM13,"")</f>
        <v>11</v>
      </c>
      <c r="FN12" s="938">
        <f>IF(EZ7='#Boden'!$G$27,FN13,"")</f>
        <v>12</v>
      </c>
      <c r="FP12" s="938"/>
      <c r="FQ12" s="938"/>
      <c r="FR12" s="938"/>
      <c r="FS12" s="938">
        <f>IF(FO7='#Boden'!$G$27,FS13,"")</f>
        <v>2</v>
      </c>
      <c r="FT12" s="938"/>
      <c r="FU12" s="938">
        <f>IF(FO7='#Boden'!$G$27,FU13,"")</f>
        <v>4</v>
      </c>
      <c r="FV12" s="938">
        <f>IF(FO7='#Boden'!$G$27,FV13,"")</f>
        <v>5</v>
      </c>
      <c r="FW12" s="938">
        <f>IF(FO7='#Boden'!$G$27,FW13,"")</f>
        <v>6</v>
      </c>
      <c r="FX12" s="938">
        <f>IF(FO7='#Boden'!$G$27,FX13,"")</f>
        <v>7</v>
      </c>
      <c r="FY12" s="938">
        <f>IF(FO7='#Boden'!$G$27,FY13,"")</f>
        <v>8</v>
      </c>
      <c r="FZ12" s="938">
        <f>IF(FO7='#Boden'!$G$27,FZ13,"")</f>
        <v>9</v>
      </c>
      <c r="GA12" s="938">
        <f>IF(FO7='#Boden'!$G$27,GA13,"")</f>
        <v>10</v>
      </c>
      <c r="GB12" s="938">
        <f>IF(FO7='#Boden'!$G$27,GB13,"")</f>
        <v>11</v>
      </c>
      <c r="GC12" s="938">
        <f>IF(FO7='#Boden'!$G$27,GC13,"")</f>
        <v>12</v>
      </c>
      <c r="GE12" s="938"/>
      <c r="GF12" s="938"/>
      <c r="GG12" s="938"/>
      <c r="GH12" s="938">
        <f>IF(GD7='#Boden'!$G$27,GH13,"")</f>
        <v>2</v>
      </c>
      <c r="GI12" s="938"/>
      <c r="GJ12" s="938">
        <f>IF(GD7='#Boden'!$G$27,GJ13,"")</f>
        <v>4</v>
      </c>
      <c r="GK12" s="938">
        <f>IF(GD7='#Boden'!$G$27,GK13,"")</f>
        <v>5</v>
      </c>
      <c r="GL12" s="938">
        <f>IF(GD7='#Boden'!$G$27,GL13,"")</f>
        <v>6</v>
      </c>
      <c r="GM12" s="938">
        <f>IF(GD7='#Boden'!$G$27,GM13,"")</f>
        <v>7</v>
      </c>
      <c r="GN12" s="938">
        <f>IF(GD7='#Boden'!$G$27,GN13,"")</f>
        <v>8</v>
      </c>
      <c r="GO12" s="938">
        <f>IF(GD7='#Boden'!$G$27,GO13,"")</f>
        <v>9</v>
      </c>
      <c r="GP12" s="938">
        <f>IF(GD7='#Boden'!$G$27,GP13,"")</f>
        <v>10</v>
      </c>
      <c r="GQ12" s="938">
        <f>IF(GD7='#Boden'!$G$27,GQ13,"")</f>
        <v>11</v>
      </c>
      <c r="GR12" s="938">
        <f>IF(GD7='#Boden'!$G$27,GR13,"")</f>
        <v>12</v>
      </c>
      <c r="GT12" s="938"/>
      <c r="GU12" s="938"/>
      <c r="GV12" s="938"/>
      <c r="GW12" s="938">
        <f>IF(GS7='#Boden'!$G$27,GW13,"")</f>
        <v>2</v>
      </c>
      <c r="GX12" s="938"/>
      <c r="GY12" s="938">
        <f>IF(GS7='#Boden'!$G$27,GY13,"")</f>
        <v>4</v>
      </c>
      <c r="GZ12" s="938">
        <f>IF(GS7='#Boden'!$G$27,GZ13,"")</f>
        <v>5</v>
      </c>
      <c r="HA12" s="938">
        <f>IF(GS7='#Boden'!$G$27,HA13,"")</f>
        <v>6</v>
      </c>
      <c r="HB12" s="938">
        <f>IF(GS7='#Boden'!$G$27,HB13,"")</f>
        <v>7</v>
      </c>
      <c r="HC12" s="938">
        <f>IF(GS7='#Boden'!$G$27,HC13,"")</f>
        <v>8</v>
      </c>
      <c r="HD12" s="938">
        <f>IF(GS7='#Boden'!$G$27,HD13,"")</f>
        <v>9</v>
      </c>
      <c r="HE12" s="938">
        <f>IF(GS7='#Boden'!$G$27,HE13,"")</f>
        <v>10</v>
      </c>
      <c r="HF12" s="938">
        <f>IF(GS7='#Boden'!$G$27,HF13,"")</f>
        <v>11</v>
      </c>
      <c r="HG12" s="938">
        <f>IF(GS7='#Boden'!$G$27,HG13,"")</f>
        <v>12</v>
      </c>
      <c r="HI12" s="938"/>
      <c r="HJ12" s="938"/>
      <c r="HK12" s="938"/>
      <c r="HL12" s="938">
        <f>IF(HH7='#Boden'!$G$27,HL13,"")</f>
        <v>2</v>
      </c>
      <c r="HM12" s="938"/>
      <c r="HN12" s="938">
        <f>IF(HH7='#Boden'!$G$27,HN13,"")</f>
        <v>4</v>
      </c>
      <c r="HO12" s="938">
        <f>IF(HH7='#Boden'!$G$27,HO13,"")</f>
        <v>5</v>
      </c>
      <c r="HP12" s="938">
        <f>IF(HH7='#Boden'!$G$27,HP13,"")</f>
        <v>6</v>
      </c>
      <c r="HQ12" s="938">
        <f>IF(HH7='#Boden'!$G$27,HQ13,"")</f>
        <v>7</v>
      </c>
      <c r="HR12" s="938">
        <f>IF(HH7='#Boden'!$G$27,HR13,"")</f>
        <v>8</v>
      </c>
      <c r="HS12" s="938">
        <f>IF(HH7='#Boden'!$G$27,HS13,"")</f>
        <v>9</v>
      </c>
      <c r="HT12" s="938">
        <f>IF(HH7='#Boden'!$G$27,HT13,"")</f>
        <v>10</v>
      </c>
      <c r="HU12" s="938">
        <f>IF(HH7='#Boden'!$G$27,HU13,"")</f>
        <v>11</v>
      </c>
      <c r="HV12" s="938">
        <f>IF(HH7='#Boden'!$G$27,HV13,"")</f>
        <v>12</v>
      </c>
      <c r="HX12" s="938"/>
      <c r="HY12" s="938"/>
      <c r="HZ12" s="938"/>
      <c r="IA12" s="938">
        <f>IF(HW7='#Boden'!$G$27,IA13,"")</f>
        <v>2</v>
      </c>
      <c r="IB12" s="938"/>
      <c r="IC12" s="938">
        <f>IF(HW7='#Boden'!$G$27,IC13,"")</f>
        <v>4</v>
      </c>
      <c r="ID12" s="938">
        <f>IF(HW7='#Boden'!$G$27,ID13,"")</f>
        <v>5</v>
      </c>
      <c r="IE12" s="938">
        <f>IF(HW7='#Boden'!$G$27,IE13,"")</f>
        <v>6</v>
      </c>
      <c r="IF12" s="938">
        <f>IF(HW7='#Boden'!$G$27,IF13,"")</f>
        <v>7</v>
      </c>
      <c r="IG12" s="938">
        <f>IF(HW7='#Boden'!$G$27,IG13,"")</f>
        <v>8</v>
      </c>
      <c r="IH12" s="938">
        <f>IF(HW7='#Boden'!$G$27,IH13,"")</f>
        <v>9</v>
      </c>
      <c r="II12" s="938">
        <f>IF(HW7='#Boden'!$G$27,II13,"")</f>
        <v>10</v>
      </c>
      <c r="IJ12" s="938">
        <f>IF(HW7='#Boden'!$G$27,IJ13,"")</f>
        <v>11</v>
      </c>
      <c r="IK12" s="938">
        <f>IF(HW7='#Boden'!$G$27,IK13,"")</f>
        <v>12</v>
      </c>
      <c r="IM12" s="938"/>
      <c r="IN12" s="938"/>
      <c r="IO12" s="938"/>
      <c r="IP12" s="938">
        <f>IF(IL7='#Boden'!$G$27,IP13,"")</f>
        <v>2</v>
      </c>
      <c r="IQ12" s="938"/>
      <c r="IR12" s="938">
        <f>IF(IL7='#Boden'!$G$27,IR13,"")</f>
        <v>4</v>
      </c>
      <c r="IS12" s="938">
        <f>IF(IL7='#Boden'!$G$27,IS13,"")</f>
        <v>5</v>
      </c>
      <c r="IT12" s="938">
        <f>IF(IL7='#Boden'!$G$27,IT13,"")</f>
        <v>6</v>
      </c>
      <c r="IU12" s="938">
        <f>IF(IL7='#Boden'!$G$27,IU13,"")</f>
        <v>7</v>
      </c>
      <c r="IV12" s="938">
        <f>IF(IL7='#Boden'!$G$27,IV13,"")</f>
        <v>8</v>
      </c>
      <c r="IW12" s="938">
        <f>IF(IL7='#Boden'!$G$27,IW13,"")</f>
        <v>9</v>
      </c>
      <c r="IX12" s="938">
        <f>IF(IL7='#Boden'!$G$27,IX13,"")</f>
        <v>10</v>
      </c>
      <c r="IY12" s="938">
        <f>IF(IL7='#Boden'!$G$27,IY13,"")</f>
        <v>11</v>
      </c>
      <c r="IZ12" s="938">
        <f>IF(IL7='#Boden'!$G$27,IZ13,"")</f>
        <v>12</v>
      </c>
      <c r="JB12" s="938"/>
      <c r="JC12" s="938"/>
      <c r="JD12" s="938"/>
      <c r="JE12" s="938">
        <f>IF(JA7='#Boden'!$G$27,JE13,"")</f>
        <v>2</v>
      </c>
      <c r="JF12" s="938"/>
      <c r="JG12" s="938">
        <f>IF(JA7='#Boden'!$G$27,JG13,"")</f>
        <v>4</v>
      </c>
      <c r="JH12" s="938">
        <f>IF(JA7='#Boden'!$G$27,JH13,"")</f>
        <v>5</v>
      </c>
      <c r="JI12" s="938">
        <f>IF(JA7='#Boden'!$G$27,JI13,"")</f>
        <v>6</v>
      </c>
      <c r="JJ12" s="938">
        <f>IF(JA7='#Boden'!$G$27,JJ13,"")</f>
        <v>7</v>
      </c>
      <c r="JK12" s="938">
        <f>IF(JA7='#Boden'!$G$27,JK13,"")</f>
        <v>8</v>
      </c>
      <c r="JL12" s="938">
        <f>IF(JA7='#Boden'!$G$27,JL13,"")</f>
        <v>9</v>
      </c>
      <c r="JM12" s="938">
        <f>IF(JA7='#Boden'!$G$27,JM13,"")</f>
        <v>10</v>
      </c>
      <c r="JN12" s="938">
        <f>IF(JA7='#Boden'!$G$27,JN13,"")</f>
        <v>11</v>
      </c>
      <c r="JO12" s="938">
        <f>IF(JA7='#Boden'!$G$27,JO13,"")</f>
        <v>12</v>
      </c>
      <c r="JQ12" s="938"/>
      <c r="JR12" s="938"/>
      <c r="JS12" s="938"/>
      <c r="JT12" s="938">
        <f>IF(JP7='#Boden'!$G$27,JT13,"")</f>
        <v>2</v>
      </c>
      <c r="JU12" s="938"/>
      <c r="JV12" s="938">
        <f>IF(JP7='#Boden'!$G$27,JV13,"")</f>
        <v>4</v>
      </c>
      <c r="JW12" s="938">
        <f>IF(JP7='#Boden'!$G$27,JW13,"")</f>
        <v>5</v>
      </c>
      <c r="JX12" s="938">
        <f>IF(JP7='#Boden'!$G$27,JX13,"")</f>
        <v>6</v>
      </c>
      <c r="JY12" s="938">
        <f>IF(JP7='#Boden'!$G$27,JY13,"")</f>
        <v>7</v>
      </c>
      <c r="JZ12" s="938">
        <f>IF(JP7='#Boden'!$G$27,JZ13,"")</f>
        <v>8</v>
      </c>
      <c r="KA12" s="938">
        <f>IF(JP7='#Boden'!$G$27,KA13,"")</f>
        <v>9</v>
      </c>
      <c r="KB12" s="938">
        <f>IF(JP7='#Boden'!$G$27,KB13,"")</f>
        <v>10</v>
      </c>
      <c r="KC12" s="938">
        <f>IF(JP7='#Boden'!$G$27,KC13,"")</f>
        <v>11</v>
      </c>
      <c r="KD12" s="938">
        <f>IF(JP7='#Boden'!$G$27,KD13,"")</f>
        <v>12</v>
      </c>
      <c r="KF12" s="938"/>
      <c r="KG12" s="938"/>
      <c r="KH12" s="938"/>
      <c r="KI12" s="938">
        <f>IF(KE7='#Boden'!$G$27,KI13,"")</f>
        <v>2</v>
      </c>
      <c r="KJ12" s="938"/>
      <c r="KK12" s="938">
        <f>IF(KE7='#Boden'!$G$27,KK13,"")</f>
        <v>4</v>
      </c>
      <c r="KL12" s="938">
        <f>IF(KE7='#Boden'!$G$27,KL13,"")</f>
        <v>5</v>
      </c>
      <c r="KM12" s="938">
        <f>IF(KE7='#Boden'!$G$27,KM13,"")</f>
        <v>6</v>
      </c>
      <c r="KN12" s="938">
        <f>IF(KE7='#Boden'!$G$27,KN13,"")</f>
        <v>7</v>
      </c>
      <c r="KO12" s="938">
        <f>IF(KE7='#Boden'!$G$27,KO13,"")</f>
        <v>8</v>
      </c>
      <c r="KP12" s="938">
        <f>IF(KE7='#Boden'!$G$27,KP13,"")</f>
        <v>9</v>
      </c>
      <c r="KQ12" s="938">
        <f>IF(KE7='#Boden'!$G$27,KQ13,"")</f>
        <v>10</v>
      </c>
      <c r="KR12" s="938">
        <f>IF(KE7='#Boden'!$G$27,KR13,"")</f>
        <v>11</v>
      </c>
      <c r="KS12" s="938">
        <f>IF(KE7='#Boden'!$G$27,KS13,"")</f>
        <v>12</v>
      </c>
      <c r="KU12" s="938"/>
      <c r="KV12" s="938"/>
      <c r="KW12" s="938"/>
      <c r="KX12" s="938">
        <f>IF(KT7='#Boden'!$G$27,KX13,"")</f>
        <v>2</v>
      </c>
      <c r="KY12" s="938"/>
      <c r="KZ12" s="938">
        <f>IF(KT7='#Boden'!$G$27,KZ13,"")</f>
        <v>4</v>
      </c>
      <c r="LA12" s="938">
        <f>IF(KT7='#Boden'!$G$27,LA13,"")</f>
        <v>5</v>
      </c>
      <c r="LB12" s="938">
        <f>IF(KT7='#Boden'!$G$27,LB13,"")</f>
        <v>6</v>
      </c>
      <c r="LC12" s="938">
        <f>IF(KT7='#Boden'!$G$27,LC13,"")</f>
        <v>7</v>
      </c>
      <c r="LD12" s="938">
        <f>IF(KT7='#Boden'!$G$27,LD13,"")</f>
        <v>8</v>
      </c>
      <c r="LE12" s="938">
        <f>IF(KT7='#Boden'!$G$27,LE13,"")</f>
        <v>9</v>
      </c>
      <c r="LF12" s="938">
        <f>IF(KT7='#Boden'!$G$27,LF13,"")</f>
        <v>10</v>
      </c>
      <c r="LG12" s="938">
        <f>IF(KT7='#Boden'!$G$27,LG13,"")</f>
        <v>11</v>
      </c>
      <c r="LH12" s="938">
        <f>IF(KT7='#Boden'!$G$27,LH13,"")</f>
        <v>12</v>
      </c>
      <c r="LJ12" s="938"/>
      <c r="LK12" s="938"/>
      <c r="LL12" s="938"/>
      <c r="LM12" s="938">
        <f>IF(LI7='#Boden'!$G$27,LM13,"")</f>
        <v>2</v>
      </c>
      <c r="LN12" s="938"/>
      <c r="LO12" s="938">
        <f>IF(LI7='#Boden'!$G$27,LO13,"")</f>
        <v>4</v>
      </c>
      <c r="LP12" s="938">
        <f>IF(LI7='#Boden'!$G$27,LP13,"")</f>
        <v>5</v>
      </c>
      <c r="LQ12" s="938">
        <f>IF(LI7='#Boden'!$G$27,LQ13,"")</f>
        <v>6</v>
      </c>
      <c r="LR12" s="938">
        <f>IF(LI7='#Boden'!$G$27,LR13,"")</f>
        <v>7</v>
      </c>
      <c r="LS12" s="938">
        <f>IF(LI7='#Boden'!$G$27,LS13,"")</f>
        <v>8</v>
      </c>
      <c r="LT12" s="938">
        <f>IF(LI7='#Boden'!$G$27,LT13,"")</f>
        <v>9</v>
      </c>
      <c r="LU12" s="938">
        <f>IF(LI7='#Boden'!$G$27,LU13,"")</f>
        <v>10</v>
      </c>
      <c r="LV12" s="938">
        <f>IF(LI7='#Boden'!$G$27,LV13,"")</f>
        <v>11</v>
      </c>
      <c r="LW12" s="938">
        <f>IF(LI7='#Boden'!$G$27,LW13,"")</f>
        <v>12</v>
      </c>
      <c r="LY12" s="938"/>
      <c r="LZ12" s="938"/>
      <c r="MA12" s="938"/>
      <c r="MB12" s="938">
        <f>IF(LX7='#Boden'!$G$27,MB13,"")</f>
        <v>2</v>
      </c>
      <c r="MC12" s="938"/>
      <c r="MD12" s="938">
        <f>IF(LX7='#Boden'!$G$27,MD13,"")</f>
        <v>4</v>
      </c>
      <c r="ME12" s="938">
        <f>IF(LX7='#Boden'!$G$27,ME13,"")</f>
        <v>5</v>
      </c>
      <c r="MF12" s="938">
        <f>IF(LX7='#Boden'!$G$27,MF13,"")</f>
        <v>6</v>
      </c>
      <c r="MG12" s="938">
        <f>IF(LX7='#Boden'!$G$27,MG13,"")</f>
        <v>7</v>
      </c>
      <c r="MH12" s="938">
        <f>IF(LX7='#Boden'!$G$27,MH13,"")</f>
        <v>8</v>
      </c>
      <c r="MI12" s="938">
        <f>IF(LX7='#Boden'!$G$27,MI13,"")</f>
        <v>9</v>
      </c>
      <c r="MJ12" s="938">
        <f>IF(LX7='#Boden'!$G$27,MJ13,"")</f>
        <v>10</v>
      </c>
      <c r="MK12" s="938">
        <f>IF(LX7='#Boden'!$G$27,MK13,"")</f>
        <v>11</v>
      </c>
      <c r="ML12" s="938">
        <f>IF(LX7='#Boden'!$G$27,ML13,"")</f>
        <v>12</v>
      </c>
      <c r="MN12" s="938"/>
      <c r="MO12" s="938"/>
      <c r="MP12" s="938"/>
      <c r="MQ12" s="938">
        <f>IF(MM7='#Boden'!$G$27,MQ13,"")</f>
        <v>2</v>
      </c>
      <c r="MR12" s="938"/>
      <c r="MS12" s="938">
        <f>IF(MM7='#Boden'!$G$27,MS13,"")</f>
        <v>4</v>
      </c>
      <c r="MT12" s="938">
        <f>IF(MM7='#Boden'!$G$27,MT13,"")</f>
        <v>5</v>
      </c>
      <c r="MU12" s="938">
        <f>IF(MM7='#Boden'!$G$27,MU13,"")</f>
        <v>6</v>
      </c>
      <c r="MV12" s="938">
        <f>IF(MM7='#Boden'!$G$27,MV13,"")</f>
        <v>7</v>
      </c>
      <c r="MW12" s="938">
        <f>IF(MM7='#Boden'!$G$27,MW13,"")</f>
        <v>8</v>
      </c>
      <c r="MX12" s="938">
        <f>IF(MM7='#Boden'!$G$27,MX13,"")</f>
        <v>9</v>
      </c>
      <c r="MY12" s="938">
        <f>IF(MM7='#Boden'!$G$27,MY13,"")</f>
        <v>10</v>
      </c>
      <c r="MZ12" s="938">
        <f>IF(MM7='#Boden'!$G$27,MZ13,"")</f>
        <v>11</v>
      </c>
      <c r="NA12" s="938">
        <f>IF(MM7='#Boden'!$G$27,NA13,"")</f>
        <v>12</v>
      </c>
      <c r="NC12" s="938"/>
      <c r="ND12" s="938"/>
      <c r="NE12" s="938"/>
      <c r="NF12" s="938">
        <f>IF(NB7='#Boden'!$G$27,NF13,"")</f>
        <v>2</v>
      </c>
      <c r="NG12" s="938"/>
      <c r="NH12" s="938">
        <f>IF(NB7='#Boden'!$G$27,NH13,"")</f>
        <v>4</v>
      </c>
      <c r="NI12" s="938">
        <f>IF(NB7='#Boden'!$G$27,NI13,"")</f>
        <v>5</v>
      </c>
      <c r="NJ12" s="938">
        <f>IF(NB7='#Boden'!$G$27,NJ13,"")</f>
        <v>6</v>
      </c>
      <c r="NK12" s="938">
        <f>IF(NB7='#Boden'!$G$27,NK13,"")</f>
        <v>7</v>
      </c>
      <c r="NL12" s="938">
        <f>IF(NB7='#Boden'!$G$27,NL13,"")</f>
        <v>8</v>
      </c>
      <c r="NM12" s="938">
        <f>IF(NB7='#Boden'!$G$27,NM13,"")</f>
        <v>9</v>
      </c>
      <c r="NN12" s="938">
        <f>IF(NB7='#Boden'!$G$27,NN13,"")</f>
        <v>10</v>
      </c>
      <c r="NO12" s="938">
        <f>IF(NB7='#Boden'!$G$27,NO13,"")</f>
        <v>11</v>
      </c>
      <c r="NP12" s="938">
        <f>IF(NB7='#Boden'!$G$27,NP13,"")</f>
        <v>12</v>
      </c>
      <c r="NR12" s="938"/>
      <c r="NS12" s="938"/>
      <c r="NT12" s="938"/>
      <c r="NU12" s="938">
        <f>IF(NQ7='#Boden'!$G$27,NU13,"")</f>
        <v>2</v>
      </c>
      <c r="NV12" s="938"/>
      <c r="NW12" s="938">
        <f>IF(NQ7='#Boden'!$G$27,NW13,"")</f>
        <v>4</v>
      </c>
      <c r="NX12" s="938">
        <f>IF(NQ7='#Boden'!$G$27,NX13,"")</f>
        <v>5</v>
      </c>
      <c r="NY12" s="938">
        <f>IF(NQ7='#Boden'!$G$27,NY13,"")</f>
        <v>6</v>
      </c>
      <c r="NZ12" s="938">
        <f>IF(NQ7='#Boden'!$G$27,NZ13,"")</f>
        <v>7</v>
      </c>
      <c r="OA12" s="938">
        <f>IF(NQ7='#Boden'!$G$27,OA13,"")</f>
        <v>8</v>
      </c>
      <c r="OB12" s="938">
        <f>IF(NQ7='#Boden'!$G$27,OB13,"")</f>
        <v>9</v>
      </c>
      <c r="OC12" s="938">
        <f>IF(NQ7='#Boden'!$G$27,OC13,"")</f>
        <v>10</v>
      </c>
      <c r="OD12" s="938">
        <f>IF(NQ7='#Boden'!$G$27,OD13,"")</f>
        <v>11</v>
      </c>
      <c r="OE12" s="938">
        <f>IF(NQ7='#Boden'!$G$27,OE13,"")</f>
        <v>12</v>
      </c>
      <c r="OG12" s="938"/>
      <c r="OH12" s="938"/>
      <c r="OI12" s="938"/>
      <c r="OJ12" s="938">
        <f>IF(OF7='#Boden'!$G$27,OJ13,"")</f>
        <v>2</v>
      </c>
      <c r="OK12" s="938"/>
      <c r="OL12" s="938">
        <f>IF(OF7='#Boden'!$G$27,OL13,"")</f>
        <v>4</v>
      </c>
      <c r="OM12" s="938">
        <f>IF(OF7='#Boden'!$G$27,OM13,"")</f>
        <v>5</v>
      </c>
      <c r="ON12" s="938">
        <f>IF(OF7='#Boden'!$G$27,ON13,"")</f>
        <v>6</v>
      </c>
      <c r="OO12" s="938">
        <f>IF(OF7='#Boden'!$G$27,OO13,"")</f>
        <v>7</v>
      </c>
      <c r="OP12" s="938">
        <f>IF(OF7='#Boden'!$G$27,OP13,"")</f>
        <v>8</v>
      </c>
      <c r="OQ12" s="938">
        <f>IF(OF7='#Boden'!$G$27,OQ13,"")</f>
        <v>9</v>
      </c>
      <c r="OR12" s="938">
        <f>IF(OF7='#Boden'!$G$27,OR13,"")</f>
        <v>10</v>
      </c>
      <c r="OS12" s="938">
        <f>IF(OF7='#Boden'!$G$27,OS13,"")</f>
        <v>11</v>
      </c>
      <c r="OT12" s="938">
        <f>IF(OF7='#Boden'!$G$27,OT13,"")</f>
        <v>12</v>
      </c>
      <c r="OV12" s="938"/>
      <c r="OW12" s="938"/>
      <c r="OX12" s="938"/>
      <c r="OY12" s="938">
        <f>IF(OU7='#Boden'!$G$27,OY13,"")</f>
        <v>2</v>
      </c>
      <c r="OZ12" s="938"/>
      <c r="PA12" s="938">
        <f>IF(OU7='#Boden'!$G$27,PA13,"")</f>
        <v>4</v>
      </c>
      <c r="PB12" s="938">
        <f>IF(OU7='#Boden'!$G$27,PB13,"")</f>
        <v>5</v>
      </c>
      <c r="PC12" s="938">
        <f>IF(OU7='#Boden'!$G$27,PC13,"")</f>
        <v>6</v>
      </c>
      <c r="PD12" s="938">
        <f>IF(OU7='#Boden'!$G$27,PD13,"")</f>
        <v>7</v>
      </c>
      <c r="PE12" s="938">
        <f>IF(OU7='#Boden'!$G$27,PE13,"")</f>
        <v>8</v>
      </c>
      <c r="PF12" s="938">
        <f>IF(OU7='#Boden'!$G$27,PF13,"")</f>
        <v>9</v>
      </c>
      <c r="PG12" s="938">
        <f>IF(OU7='#Boden'!$G$27,PG13,"")</f>
        <v>10</v>
      </c>
      <c r="PH12" s="938">
        <f>IF(OU7='#Boden'!$G$27,PH13,"")</f>
        <v>11</v>
      </c>
      <c r="PI12" s="938">
        <f>IF(OU7='#Boden'!$G$27,PI13,"")</f>
        <v>12</v>
      </c>
      <c r="PK12" s="938"/>
      <c r="PL12" s="938"/>
      <c r="PM12" s="938"/>
      <c r="PN12" s="938">
        <f>IF(PJ7='#Boden'!$G$27,PN13,"")</f>
        <v>2</v>
      </c>
      <c r="PO12" s="938"/>
      <c r="PP12" s="938">
        <f>IF(PJ7='#Boden'!$G$27,PP13,"")</f>
        <v>4</v>
      </c>
      <c r="PQ12" s="938">
        <f>IF(PJ7='#Boden'!$G$27,PQ13,"")</f>
        <v>5</v>
      </c>
      <c r="PR12" s="938">
        <f>IF(PJ7='#Boden'!$G$27,PR13,"")</f>
        <v>6</v>
      </c>
      <c r="PS12" s="938">
        <f>IF(PJ7='#Boden'!$G$27,PS13,"")</f>
        <v>7</v>
      </c>
      <c r="PT12" s="938">
        <f>IF(PJ7='#Boden'!$G$27,PT13,"")</f>
        <v>8</v>
      </c>
      <c r="PU12" s="938">
        <f>IF(PJ7='#Boden'!$G$27,PU13,"")</f>
        <v>9</v>
      </c>
      <c r="PV12" s="938">
        <f>IF(PJ7='#Boden'!$G$27,PV13,"")</f>
        <v>10</v>
      </c>
      <c r="PW12" s="938">
        <f>IF(PJ7='#Boden'!$G$27,PW13,"")</f>
        <v>11</v>
      </c>
      <c r="PX12" s="938">
        <f>IF(PJ7='#Boden'!$G$27,PX13,"")</f>
        <v>12</v>
      </c>
      <c r="PZ12" s="938"/>
      <c r="QA12" s="938"/>
      <c r="QB12" s="938"/>
      <c r="QC12" s="938">
        <f>IF(PY7='#Boden'!$G$27,QC13,"")</f>
        <v>2</v>
      </c>
      <c r="QD12" s="938"/>
      <c r="QE12" s="938">
        <f>IF(PY7='#Boden'!$G$27,QE13,"")</f>
        <v>4</v>
      </c>
      <c r="QF12" s="938">
        <f>IF(PY7='#Boden'!$G$27,QF13,"")</f>
        <v>5</v>
      </c>
      <c r="QG12" s="938">
        <f>IF(PY7='#Boden'!$G$27,QG13,"")</f>
        <v>6</v>
      </c>
      <c r="QH12" s="938">
        <f>IF(PY7='#Boden'!$G$27,QH13,"")</f>
        <v>7</v>
      </c>
      <c r="QI12" s="938">
        <f>IF(PY7='#Boden'!$G$27,QI13,"")</f>
        <v>8</v>
      </c>
      <c r="QJ12" s="938">
        <f>IF(PY7='#Boden'!$G$27,QJ13,"")</f>
        <v>9</v>
      </c>
      <c r="QK12" s="938">
        <f>IF(PY7='#Boden'!$G$27,QK13,"")</f>
        <v>10</v>
      </c>
      <c r="QL12" s="938">
        <f>IF(PY7='#Boden'!$G$27,QL13,"")</f>
        <v>11</v>
      </c>
      <c r="QM12" s="938">
        <f>IF(PY7='#Boden'!$G$27,QM13,"")</f>
        <v>12</v>
      </c>
      <c r="QO12" s="938"/>
      <c r="QP12" s="938"/>
      <c r="QQ12" s="938"/>
      <c r="QR12" s="938">
        <f>IF(QN7='#Boden'!$G$27,QR13,"")</f>
        <v>2</v>
      </c>
      <c r="QS12" s="938"/>
      <c r="QT12" s="938">
        <f>IF(QN7='#Boden'!$G$27,QT13,"")</f>
        <v>4</v>
      </c>
      <c r="QU12" s="938">
        <f>IF(QN7='#Boden'!$G$27,QU13,"")</f>
        <v>5</v>
      </c>
      <c r="QV12" s="938">
        <f>IF(QN7='#Boden'!$G$27,QV13,"")</f>
        <v>6</v>
      </c>
      <c r="QW12" s="938">
        <f>IF(QN7='#Boden'!$G$27,QW13,"")</f>
        <v>7</v>
      </c>
      <c r="QX12" s="938">
        <f>IF(QN7='#Boden'!$G$27,QX13,"")</f>
        <v>8</v>
      </c>
      <c r="QY12" s="938">
        <f>IF(QN7='#Boden'!$G$27,QY13,"")</f>
        <v>9</v>
      </c>
      <c r="QZ12" s="938">
        <f>IF(QN7='#Boden'!$G$27,QZ13,"")</f>
        <v>10</v>
      </c>
      <c r="RA12" s="938">
        <f>IF(QN7='#Boden'!$G$27,RA13,"")</f>
        <v>11</v>
      </c>
      <c r="RB12" s="938">
        <f>IF(QN7='#Boden'!$G$27,RB13,"")</f>
        <v>12</v>
      </c>
      <c r="RD12" s="938"/>
      <c r="RE12" s="938"/>
      <c r="RF12" s="938"/>
      <c r="RG12" s="938">
        <f>IF(RC7='#Boden'!$G$27,RG13,"")</f>
        <v>2</v>
      </c>
      <c r="RH12" s="938"/>
      <c r="RI12" s="938">
        <f>IF(RC7='#Boden'!$G$27,RI13,"")</f>
        <v>4</v>
      </c>
      <c r="RJ12" s="938">
        <f>IF(RC7='#Boden'!$G$27,RJ13,"")</f>
        <v>5</v>
      </c>
      <c r="RK12" s="938">
        <f>IF(RC7='#Boden'!$G$27,RK13,"")</f>
        <v>6</v>
      </c>
      <c r="RL12" s="938">
        <f>IF(RC7='#Boden'!$G$27,RL13,"")</f>
        <v>7</v>
      </c>
      <c r="RM12" s="938">
        <f>IF(RC7='#Boden'!$G$27,RM13,"")</f>
        <v>8</v>
      </c>
      <c r="RN12" s="938">
        <f>IF(RC7='#Boden'!$G$27,RN13,"")</f>
        <v>9</v>
      </c>
      <c r="RO12" s="938">
        <f>IF(RC7='#Boden'!$G$27,RO13,"")</f>
        <v>10</v>
      </c>
      <c r="RP12" s="938">
        <f>IF(RC7='#Boden'!$G$27,RP13,"")</f>
        <v>11</v>
      </c>
      <c r="RQ12" s="938">
        <f>IF(RC7='#Boden'!$G$27,RQ13,"")</f>
        <v>12</v>
      </c>
    </row>
    <row r="13" spans="1:495" s="691" customFormat="1" x14ac:dyDescent="0.2">
      <c r="K13" s="906"/>
      <c r="S13" s="938"/>
      <c r="AA13" s="910"/>
      <c r="AB13" s="836"/>
      <c r="AF13" s="836"/>
      <c r="AI13" s="141" t="s">
        <v>1386</v>
      </c>
      <c r="AJ13" s="691" t="str">
        <f>IF(AK115&gt;0,1,"")</f>
        <v/>
      </c>
      <c r="AM13" s="714"/>
      <c r="AN13" s="691">
        <v>2</v>
      </c>
      <c r="AO13" s="875">
        <v>3</v>
      </c>
      <c r="AP13" s="938">
        <v>4</v>
      </c>
      <c r="AQ13" s="938">
        <v>5</v>
      </c>
      <c r="AR13" s="938">
        <v>6</v>
      </c>
      <c r="AS13" s="938">
        <v>7</v>
      </c>
      <c r="AT13" s="938">
        <v>8</v>
      </c>
      <c r="AU13" s="938">
        <v>9</v>
      </c>
      <c r="AV13" s="938">
        <v>10</v>
      </c>
      <c r="AW13" s="938">
        <v>11</v>
      </c>
      <c r="AX13" s="938">
        <v>12</v>
      </c>
      <c r="AY13" s="691" t="str">
        <f>IF(AY115&gt;0,1,"")</f>
        <v/>
      </c>
      <c r="AZ13" s="938"/>
      <c r="BA13" s="938"/>
      <c r="BB13" s="938"/>
      <c r="BC13" s="938">
        <v>2</v>
      </c>
      <c r="BD13" s="938">
        <v>3</v>
      </c>
      <c r="BE13" s="938">
        <v>4</v>
      </c>
      <c r="BF13" s="938">
        <v>5</v>
      </c>
      <c r="BG13" s="938">
        <v>6</v>
      </c>
      <c r="BH13" s="938">
        <v>7</v>
      </c>
      <c r="BI13" s="938">
        <v>8</v>
      </c>
      <c r="BJ13" s="938">
        <v>9</v>
      </c>
      <c r="BK13" s="938">
        <v>10</v>
      </c>
      <c r="BL13" s="938">
        <v>11</v>
      </c>
      <c r="BM13" s="938">
        <v>12</v>
      </c>
      <c r="BN13" s="691" t="str">
        <f>IF(BN115&gt;0,1,"")</f>
        <v/>
      </c>
      <c r="BO13" s="938"/>
      <c r="BP13" s="938"/>
      <c r="BQ13" s="938"/>
      <c r="BR13" s="938">
        <v>2</v>
      </c>
      <c r="BS13" s="938">
        <v>3</v>
      </c>
      <c r="BT13" s="938">
        <v>4</v>
      </c>
      <c r="BU13" s="938">
        <v>5</v>
      </c>
      <c r="BV13" s="938">
        <v>6</v>
      </c>
      <c r="BW13" s="938">
        <v>7</v>
      </c>
      <c r="BX13" s="938">
        <v>8</v>
      </c>
      <c r="BY13" s="938">
        <v>9</v>
      </c>
      <c r="BZ13" s="938">
        <v>10</v>
      </c>
      <c r="CA13" s="938">
        <v>11</v>
      </c>
      <c r="CB13" s="938">
        <v>12</v>
      </c>
      <c r="CD13" s="938"/>
      <c r="CE13" s="938"/>
      <c r="CF13" s="938"/>
      <c r="CG13" s="938">
        <v>2</v>
      </c>
      <c r="CH13" s="938">
        <v>3</v>
      </c>
      <c r="CI13" s="938">
        <v>4</v>
      </c>
      <c r="CJ13" s="938">
        <v>5</v>
      </c>
      <c r="CK13" s="938">
        <v>6</v>
      </c>
      <c r="CL13" s="938">
        <v>7</v>
      </c>
      <c r="CM13" s="938">
        <v>8</v>
      </c>
      <c r="CN13" s="938">
        <v>9</v>
      </c>
      <c r="CO13" s="938">
        <v>10</v>
      </c>
      <c r="CP13" s="938">
        <v>11</v>
      </c>
      <c r="CQ13" s="938">
        <v>12</v>
      </c>
      <c r="CS13" s="938"/>
      <c r="CT13" s="938"/>
      <c r="CU13" s="938"/>
      <c r="CV13" s="938">
        <v>2</v>
      </c>
      <c r="CW13" s="938">
        <v>3</v>
      </c>
      <c r="CX13" s="938">
        <v>4</v>
      </c>
      <c r="CY13" s="938">
        <v>5</v>
      </c>
      <c r="CZ13" s="938">
        <v>6</v>
      </c>
      <c r="DA13" s="938">
        <v>7</v>
      </c>
      <c r="DB13" s="938">
        <v>8</v>
      </c>
      <c r="DC13" s="938">
        <v>9</v>
      </c>
      <c r="DD13" s="938">
        <v>10</v>
      </c>
      <c r="DE13" s="938">
        <v>11</v>
      </c>
      <c r="DF13" s="938">
        <v>12</v>
      </c>
      <c r="DH13" s="938"/>
      <c r="DI13" s="938"/>
      <c r="DJ13" s="938"/>
      <c r="DK13" s="938">
        <v>2</v>
      </c>
      <c r="DL13" s="938">
        <v>3</v>
      </c>
      <c r="DM13" s="938">
        <v>4</v>
      </c>
      <c r="DN13" s="938">
        <v>5</v>
      </c>
      <c r="DO13" s="938">
        <v>6</v>
      </c>
      <c r="DP13" s="938">
        <v>7</v>
      </c>
      <c r="DQ13" s="938">
        <v>8</v>
      </c>
      <c r="DR13" s="938">
        <v>9</v>
      </c>
      <c r="DS13" s="938">
        <v>10</v>
      </c>
      <c r="DT13" s="938">
        <v>11</v>
      </c>
      <c r="DU13" s="938">
        <v>12</v>
      </c>
      <c r="DW13" s="938"/>
      <c r="DX13" s="938"/>
      <c r="DY13" s="938"/>
      <c r="DZ13" s="938">
        <v>2</v>
      </c>
      <c r="EA13" s="938">
        <v>3</v>
      </c>
      <c r="EB13" s="938">
        <v>4</v>
      </c>
      <c r="EC13" s="938">
        <v>5</v>
      </c>
      <c r="ED13" s="938">
        <v>6</v>
      </c>
      <c r="EE13" s="938">
        <v>7</v>
      </c>
      <c r="EF13" s="938">
        <v>8</v>
      </c>
      <c r="EG13" s="938">
        <v>9</v>
      </c>
      <c r="EH13" s="938">
        <v>10</v>
      </c>
      <c r="EI13" s="938">
        <v>11</v>
      </c>
      <c r="EJ13" s="938">
        <v>12</v>
      </c>
      <c r="EL13" s="938"/>
      <c r="EM13" s="938"/>
      <c r="EN13" s="938"/>
      <c r="EO13" s="938">
        <v>2</v>
      </c>
      <c r="EP13" s="938">
        <v>3</v>
      </c>
      <c r="EQ13" s="938">
        <v>4</v>
      </c>
      <c r="ER13" s="938">
        <v>5</v>
      </c>
      <c r="ES13" s="938">
        <v>6</v>
      </c>
      <c r="ET13" s="938">
        <v>7</v>
      </c>
      <c r="EU13" s="938">
        <v>8</v>
      </c>
      <c r="EV13" s="938">
        <v>9</v>
      </c>
      <c r="EW13" s="938">
        <v>10</v>
      </c>
      <c r="EX13" s="938">
        <v>11</v>
      </c>
      <c r="EY13" s="938">
        <v>12</v>
      </c>
      <c r="FA13" s="938"/>
      <c r="FB13" s="938"/>
      <c r="FC13" s="938"/>
      <c r="FD13" s="938">
        <v>2</v>
      </c>
      <c r="FE13" s="938">
        <v>3</v>
      </c>
      <c r="FF13" s="938">
        <v>4</v>
      </c>
      <c r="FG13" s="938">
        <v>5</v>
      </c>
      <c r="FH13" s="938">
        <v>6</v>
      </c>
      <c r="FI13" s="938">
        <v>7</v>
      </c>
      <c r="FJ13" s="938">
        <v>8</v>
      </c>
      <c r="FK13" s="938">
        <v>9</v>
      </c>
      <c r="FL13" s="938">
        <v>10</v>
      </c>
      <c r="FM13" s="938">
        <v>11</v>
      </c>
      <c r="FN13" s="938">
        <v>12</v>
      </c>
      <c r="FP13" s="938"/>
      <c r="FQ13" s="938"/>
      <c r="FR13" s="938"/>
      <c r="FS13" s="938">
        <v>2</v>
      </c>
      <c r="FT13" s="938">
        <v>3</v>
      </c>
      <c r="FU13" s="938">
        <v>4</v>
      </c>
      <c r="FV13" s="938">
        <v>5</v>
      </c>
      <c r="FW13" s="938">
        <v>6</v>
      </c>
      <c r="FX13" s="938">
        <v>7</v>
      </c>
      <c r="FY13" s="938">
        <v>8</v>
      </c>
      <c r="FZ13" s="938">
        <v>9</v>
      </c>
      <c r="GA13" s="938">
        <v>10</v>
      </c>
      <c r="GB13" s="938">
        <v>11</v>
      </c>
      <c r="GC13" s="938">
        <v>12</v>
      </c>
      <c r="GE13" s="938"/>
      <c r="GF13" s="938"/>
      <c r="GG13" s="938"/>
      <c r="GH13" s="938">
        <v>2</v>
      </c>
      <c r="GI13" s="938">
        <v>3</v>
      </c>
      <c r="GJ13" s="938">
        <v>4</v>
      </c>
      <c r="GK13" s="938">
        <v>5</v>
      </c>
      <c r="GL13" s="938">
        <v>6</v>
      </c>
      <c r="GM13" s="938">
        <v>7</v>
      </c>
      <c r="GN13" s="938">
        <v>8</v>
      </c>
      <c r="GO13" s="938">
        <v>9</v>
      </c>
      <c r="GP13" s="938">
        <v>10</v>
      </c>
      <c r="GQ13" s="938">
        <v>11</v>
      </c>
      <c r="GR13" s="938">
        <v>12</v>
      </c>
      <c r="GT13" s="938"/>
      <c r="GU13" s="938"/>
      <c r="GV13" s="938"/>
      <c r="GW13" s="938">
        <v>2</v>
      </c>
      <c r="GX13" s="938">
        <v>3</v>
      </c>
      <c r="GY13" s="938">
        <v>4</v>
      </c>
      <c r="GZ13" s="938">
        <v>5</v>
      </c>
      <c r="HA13" s="938">
        <v>6</v>
      </c>
      <c r="HB13" s="938">
        <v>7</v>
      </c>
      <c r="HC13" s="938">
        <v>8</v>
      </c>
      <c r="HD13" s="938">
        <v>9</v>
      </c>
      <c r="HE13" s="938">
        <v>10</v>
      </c>
      <c r="HF13" s="938">
        <v>11</v>
      </c>
      <c r="HG13" s="938">
        <v>12</v>
      </c>
      <c r="HI13" s="938"/>
      <c r="HJ13" s="938"/>
      <c r="HK13" s="938"/>
      <c r="HL13" s="938">
        <v>2</v>
      </c>
      <c r="HM13" s="938">
        <v>3</v>
      </c>
      <c r="HN13" s="938">
        <v>4</v>
      </c>
      <c r="HO13" s="938">
        <v>5</v>
      </c>
      <c r="HP13" s="938">
        <v>6</v>
      </c>
      <c r="HQ13" s="938">
        <v>7</v>
      </c>
      <c r="HR13" s="938">
        <v>8</v>
      </c>
      <c r="HS13" s="938">
        <v>9</v>
      </c>
      <c r="HT13" s="938">
        <v>10</v>
      </c>
      <c r="HU13" s="938">
        <v>11</v>
      </c>
      <c r="HV13" s="938">
        <v>12</v>
      </c>
      <c r="HX13" s="938"/>
      <c r="HY13" s="938"/>
      <c r="HZ13" s="938"/>
      <c r="IA13" s="938">
        <v>2</v>
      </c>
      <c r="IB13" s="938">
        <v>3</v>
      </c>
      <c r="IC13" s="938">
        <v>4</v>
      </c>
      <c r="ID13" s="938">
        <v>5</v>
      </c>
      <c r="IE13" s="938">
        <v>6</v>
      </c>
      <c r="IF13" s="938">
        <v>7</v>
      </c>
      <c r="IG13" s="938">
        <v>8</v>
      </c>
      <c r="IH13" s="938">
        <v>9</v>
      </c>
      <c r="II13" s="938">
        <v>10</v>
      </c>
      <c r="IJ13" s="938">
        <v>11</v>
      </c>
      <c r="IK13" s="938">
        <v>12</v>
      </c>
      <c r="IM13" s="938"/>
      <c r="IN13" s="938"/>
      <c r="IO13" s="938"/>
      <c r="IP13" s="938">
        <v>2</v>
      </c>
      <c r="IQ13" s="938">
        <v>3</v>
      </c>
      <c r="IR13" s="938">
        <v>4</v>
      </c>
      <c r="IS13" s="938">
        <v>5</v>
      </c>
      <c r="IT13" s="938">
        <v>6</v>
      </c>
      <c r="IU13" s="938">
        <v>7</v>
      </c>
      <c r="IV13" s="938">
        <v>8</v>
      </c>
      <c r="IW13" s="938">
        <v>9</v>
      </c>
      <c r="IX13" s="938">
        <v>10</v>
      </c>
      <c r="IY13" s="938">
        <v>11</v>
      </c>
      <c r="IZ13" s="938">
        <v>12</v>
      </c>
      <c r="JB13" s="938"/>
      <c r="JC13" s="938"/>
      <c r="JD13" s="938"/>
      <c r="JE13" s="938">
        <v>2</v>
      </c>
      <c r="JF13" s="938">
        <v>3</v>
      </c>
      <c r="JG13" s="938">
        <v>4</v>
      </c>
      <c r="JH13" s="938">
        <v>5</v>
      </c>
      <c r="JI13" s="938">
        <v>6</v>
      </c>
      <c r="JJ13" s="938">
        <v>7</v>
      </c>
      <c r="JK13" s="938">
        <v>8</v>
      </c>
      <c r="JL13" s="938">
        <v>9</v>
      </c>
      <c r="JM13" s="938">
        <v>10</v>
      </c>
      <c r="JN13" s="938">
        <v>11</v>
      </c>
      <c r="JO13" s="938">
        <v>12</v>
      </c>
      <c r="JQ13" s="938"/>
      <c r="JR13" s="938"/>
      <c r="JS13" s="938"/>
      <c r="JT13" s="938">
        <v>2</v>
      </c>
      <c r="JU13" s="938">
        <v>3</v>
      </c>
      <c r="JV13" s="938">
        <v>4</v>
      </c>
      <c r="JW13" s="938">
        <v>5</v>
      </c>
      <c r="JX13" s="938">
        <v>6</v>
      </c>
      <c r="JY13" s="938">
        <v>7</v>
      </c>
      <c r="JZ13" s="938">
        <v>8</v>
      </c>
      <c r="KA13" s="938">
        <v>9</v>
      </c>
      <c r="KB13" s="938">
        <v>10</v>
      </c>
      <c r="KC13" s="938">
        <v>11</v>
      </c>
      <c r="KD13" s="938">
        <v>12</v>
      </c>
      <c r="KF13" s="938"/>
      <c r="KG13" s="938"/>
      <c r="KH13" s="938"/>
      <c r="KI13" s="938">
        <v>2</v>
      </c>
      <c r="KJ13" s="938">
        <v>3</v>
      </c>
      <c r="KK13" s="938">
        <v>4</v>
      </c>
      <c r="KL13" s="938">
        <v>5</v>
      </c>
      <c r="KM13" s="938">
        <v>6</v>
      </c>
      <c r="KN13" s="938">
        <v>7</v>
      </c>
      <c r="KO13" s="938">
        <v>8</v>
      </c>
      <c r="KP13" s="938">
        <v>9</v>
      </c>
      <c r="KQ13" s="938">
        <v>10</v>
      </c>
      <c r="KR13" s="938">
        <v>11</v>
      </c>
      <c r="KS13" s="938">
        <v>12</v>
      </c>
      <c r="KU13" s="938"/>
      <c r="KV13" s="938"/>
      <c r="KW13" s="938"/>
      <c r="KX13" s="938">
        <v>2</v>
      </c>
      <c r="KY13" s="938">
        <v>3</v>
      </c>
      <c r="KZ13" s="938">
        <v>4</v>
      </c>
      <c r="LA13" s="938">
        <v>5</v>
      </c>
      <c r="LB13" s="938">
        <v>6</v>
      </c>
      <c r="LC13" s="938">
        <v>7</v>
      </c>
      <c r="LD13" s="938">
        <v>8</v>
      </c>
      <c r="LE13" s="938">
        <v>9</v>
      </c>
      <c r="LF13" s="938">
        <v>10</v>
      </c>
      <c r="LG13" s="938">
        <v>11</v>
      </c>
      <c r="LH13" s="938">
        <v>12</v>
      </c>
      <c r="LJ13" s="938"/>
      <c r="LK13" s="938"/>
      <c r="LL13" s="938"/>
      <c r="LM13" s="938">
        <v>2</v>
      </c>
      <c r="LN13" s="938">
        <v>3</v>
      </c>
      <c r="LO13" s="938">
        <v>4</v>
      </c>
      <c r="LP13" s="938">
        <v>5</v>
      </c>
      <c r="LQ13" s="938">
        <v>6</v>
      </c>
      <c r="LR13" s="938">
        <v>7</v>
      </c>
      <c r="LS13" s="938">
        <v>8</v>
      </c>
      <c r="LT13" s="938">
        <v>9</v>
      </c>
      <c r="LU13" s="938">
        <v>10</v>
      </c>
      <c r="LV13" s="938">
        <v>11</v>
      </c>
      <c r="LW13" s="938">
        <v>12</v>
      </c>
      <c r="LY13" s="938"/>
      <c r="LZ13" s="938"/>
      <c r="MA13" s="938"/>
      <c r="MB13" s="938">
        <v>2</v>
      </c>
      <c r="MC13" s="938">
        <v>3</v>
      </c>
      <c r="MD13" s="938">
        <v>4</v>
      </c>
      <c r="ME13" s="938">
        <v>5</v>
      </c>
      <c r="MF13" s="938">
        <v>6</v>
      </c>
      <c r="MG13" s="938">
        <v>7</v>
      </c>
      <c r="MH13" s="938">
        <v>8</v>
      </c>
      <c r="MI13" s="938">
        <v>9</v>
      </c>
      <c r="MJ13" s="938">
        <v>10</v>
      </c>
      <c r="MK13" s="938">
        <v>11</v>
      </c>
      <c r="ML13" s="938">
        <v>12</v>
      </c>
      <c r="MN13" s="938"/>
      <c r="MO13" s="938"/>
      <c r="MP13" s="938"/>
      <c r="MQ13" s="938">
        <v>2</v>
      </c>
      <c r="MR13" s="938">
        <v>3</v>
      </c>
      <c r="MS13" s="938">
        <v>4</v>
      </c>
      <c r="MT13" s="938">
        <v>5</v>
      </c>
      <c r="MU13" s="938">
        <v>6</v>
      </c>
      <c r="MV13" s="938">
        <v>7</v>
      </c>
      <c r="MW13" s="938">
        <v>8</v>
      </c>
      <c r="MX13" s="938">
        <v>9</v>
      </c>
      <c r="MY13" s="938">
        <v>10</v>
      </c>
      <c r="MZ13" s="938">
        <v>11</v>
      </c>
      <c r="NA13" s="938">
        <v>12</v>
      </c>
      <c r="NC13" s="938"/>
      <c r="ND13" s="938"/>
      <c r="NE13" s="938"/>
      <c r="NF13" s="938">
        <v>2</v>
      </c>
      <c r="NG13" s="938">
        <v>3</v>
      </c>
      <c r="NH13" s="938">
        <v>4</v>
      </c>
      <c r="NI13" s="938">
        <v>5</v>
      </c>
      <c r="NJ13" s="938">
        <v>6</v>
      </c>
      <c r="NK13" s="938">
        <v>7</v>
      </c>
      <c r="NL13" s="938">
        <v>8</v>
      </c>
      <c r="NM13" s="938">
        <v>9</v>
      </c>
      <c r="NN13" s="938">
        <v>10</v>
      </c>
      <c r="NO13" s="938">
        <v>11</v>
      </c>
      <c r="NP13" s="938">
        <v>12</v>
      </c>
      <c r="NR13" s="938"/>
      <c r="NS13" s="938"/>
      <c r="NT13" s="938"/>
      <c r="NU13" s="938">
        <v>2</v>
      </c>
      <c r="NV13" s="938">
        <v>3</v>
      </c>
      <c r="NW13" s="938">
        <v>4</v>
      </c>
      <c r="NX13" s="938">
        <v>5</v>
      </c>
      <c r="NY13" s="938">
        <v>6</v>
      </c>
      <c r="NZ13" s="938">
        <v>7</v>
      </c>
      <c r="OA13" s="938">
        <v>8</v>
      </c>
      <c r="OB13" s="938">
        <v>9</v>
      </c>
      <c r="OC13" s="938">
        <v>10</v>
      </c>
      <c r="OD13" s="938">
        <v>11</v>
      </c>
      <c r="OE13" s="938">
        <v>12</v>
      </c>
      <c r="OG13" s="938"/>
      <c r="OH13" s="938"/>
      <c r="OI13" s="938"/>
      <c r="OJ13" s="938">
        <v>2</v>
      </c>
      <c r="OK13" s="938">
        <v>3</v>
      </c>
      <c r="OL13" s="938">
        <v>4</v>
      </c>
      <c r="OM13" s="938">
        <v>5</v>
      </c>
      <c r="ON13" s="938">
        <v>6</v>
      </c>
      <c r="OO13" s="938">
        <v>7</v>
      </c>
      <c r="OP13" s="938">
        <v>8</v>
      </c>
      <c r="OQ13" s="938">
        <v>9</v>
      </c>
      <c r="OR13" s="938">
        <v>10</v>
      </c>
      <c r="OS13" s="938">
        <v>11</v>
      </c>
      <c r="OT13" s="938">
        <v>12</v>
      </c>
      <c r="OV13" s="938"/>
      <c r="OW13" s="938"/>
      <c r="OX13" s="938"/>
      <c r="OY13" s="938">
        <v>2</v>
      </c>
      <c r="OZ13" s="938">
        <v>3</v>
      </c>
      <c r="PA13" s="938">
        <v>4</v>
      </c>
      <c r="PB13" s="938">
        <v>5</v>
      </c>
      <c r="PC13" s="938">
        <v>6</v>
      </c>
      <c r="PD13" s="938">
        <v>7</v>
      </c>
      <c r="PE13" s="938">
        <v>8</v>
      </c>
      <c r="PF13" s="938">
        <v>9</v>
      </c>
      <c r="PG13" s="938">
        <v>10</v>
      </c>
      <c r="PH13" s="938">
        <v>11</v>
      </c>
      <c r="PI13" s="938">
        <v>12</v>
      </c>
      <c r="PK13" s="938"/>
      <c r="PL13" s="938"/>
      <c r="PM13" s="938"/>
      <c r="PN13" s="938">
        <v>2</v>
      </c>
      <c r="PO13" s="938">
        <v>3</v>
      </c>
      <c r="PP13" s="938">
        <v>4</v>
      </c>
      <c r="PQ13" s="938">
        <v>5</v>
      </c>
      <c r="PR13" s="938">
        <v>6</v>
      </c>
      <c r="PS13" s="938">
        <v>7</v>
      </c>
      <c r="PT13" s="938">
        <v>8</v>
      </c>
      <c r="PU13" s="938">
        <v>9</v>
      </c>
      <c r="PV13" s="938">
        <v>10</v>
      </c>
      <c r="PW13" s="938">
        <v>11</v>
      </c>
      <c r="PX13" s="938">
        <v>12</v>
      </c>
      <c r="PZ13" s="938"/>
      <c r="QA13" s="938"/>
      <c r="QB13" s="938"/>
      <c r="QC13" s="938">
        <v>2</v>
      </c>
      <c r="QD13" s="938">
        <v>3</v>
      </c>
      <c r="QE13" s="938">
        <v>4</v>
      </c>
      <c r="QF13" s="938">
        <v>5</v>
      </c>
      <c r="QG13" s="938">
        <v>6</v>
      </c>
      <c r="QH13" s="938">
        <v>7</v>
      </c>
      <c r="QI13" s="938">
        <v>8</v>
      </c>
      <c r="QJ13" s="938">
        <v>9</v>
      </c>
      <c r="QK13" s="938">
        <v>10</v>
      </c>
      <c r="QL13" s="938">
        <v>11</v>
      </c>
      <c r="QM13" s="938">
        <v>12</v>
      </c>
      <c r="QO13" s="938"/>
      <c r="QP13" s="938"/>
      <c r="QQ13" s="938"/>
      <c r="QR13" s="938">
        <v>2</v>
      </c>
      <c r="QS13" s="938">
        <v>3</v>
      </c>
      <c r="QT13" s="938">
        <v>4</v>
      </c>
      <c r="QU13" s="938">
        <v>5</v>
      </c>
      <c r="QV13" s="938">
        <v>6</v>
      </c>
      <c r="QW13" s="938">
        <v>7</v>
      </c>
      <c r="QX13" s="938">
        <v>8</v>
      </c>
      <c r="QY13" s="938">
        <v>9</v>
      </c>
      <c r="QZ13" s="938">
        <v>10</v>
      </c>
      <c r="RA13" s="938">
        <v>11</v>
      </c>
      <c r="RB13" s="938">
        <v>12</v>
      </c>
      <c r="RD13" s="938"/>
      <c r="RE13" s="938"/>
      <c r="RF13" s="938"/>
      <c r="RG13" s="938">
        <v>2</v>
      </c>
      <c r="RH13" s="938">
        <v>3</v>
      </c>
      <c r="RI13" s="938">
        <v>4</v>
      </c>
      <c r="RJ13" s="938">
        <v>5</v>
      </c>
      <c r="RK13" s="938">
        <v>6</v>
      </c>
      <c r="RL13" s="938">
        <v>7</v>
      </c>
      <c r="RM13" s="938">
        <v>8</v>
      </c>
      <c r="RN13" s="938">
        <v>9</v>
      </c>
      <c r="RO13" s="938">
        <v>10</v>
      </c>
      <c r="RP13" s="938">
        <v>11</v>
      </c>
      <c r="RQ13" s="938">
        <v>12</v>
      </c>
    </row>
    <row r="14" spans="1:495" s="57" customFormat="1" x14ac:dyDescent="0.2">
      <c r="A14" s="57">
        <f>'Flächen u. Kulturen'!A10</f>
        <v>1</v>
      </c>
      <c r="B14" s="705">
        <f>'#BerechnungDBE'!L5</f>
        <v>0</v>
      </c>
      <c r="C14" s="57">
        <f>'#BerechnungDBE'!R5</f>
        <v>1</v>
      </c>
      <c r="D14" s="57">
        <f>'#BerechnungDBE'!T5</f>
        <v>2</v>
      </c>
      <c r="E14" s="57" t="str">
        <f>'Flächen u. Kulturen'!E10</f>
        <v>x</v>
      </c>
      <c r="F14" s="706">
        <f>'#BerechnungDBE'!N5</f>
        <v>1</v>
      </c>
      <c r="G14" s="706">
        <f>'#BerechnungDBE'!O5</f>
        <v>1</v>
      </c>
      <c r="H14" s="57">
        <f>IF('Flächen u. Kulturen'!P10="",0,VLOOKUP('Flächen u. Kulturen'!P10,Kulturen[[HF]:[Berechnungsgruppe]],'#Frucht'!$H$1,FALSE))</f>
        <v>0</v>
      </c>
      <c r="I14" s="57">
        <f>IF('Flächen u. Kulturen'!J10="",0,VLOOKUP('Flächen u. Kulturen'!J10,Kulturen[[HF]:[Berechnungsgruppe]],'#Frucht'!$G$1,FALSE))</f>
        <v>90</v>
      </c>
      <c r="J14" s="507">
        <f>IF(G14&gt;1,1,IF(H14=1,1,IF(AND(H14=2,I14=1),1,2)))</f>
        <v>2</v>
      </c>
      <c r="K14" s="507">
        <f>IF('Flächen u. Kulturen'!P10="",0,IF(VLOOKUP('Flächen u. Kulturen'!P10,Kulturen[[HF]:[Saat Winterungen]],'#Frucht'!$P$1,FALSE)&gt;0,1,2))</f>
        <v>2</v>
      </c>
      <c r="L14" s="57">
        <f>'#BerechnungDBE'!AF5</f>
        <v>0</v>
      </c>
      <c r="M14" s="57">
        <f>IF('Flächen u. Kulturen'!L10="",0,VLOOKUP('Flächen u. Kulturen'!L10,Nebenkultur[[Nebenkultur]:[Legum. Zwischenfr.]],'#Zweitfr'!$K$1,FALSE))</f>
        <v>0</v>
      </c>
      <c r="N14" s="57">
        <f>'#BerechnungDBE'!AG5</f>
        <v>0</v>
      </c>
      <c r="P14" s="57">
        <f t="shared" ref="P14:P45" si="0">SUMIF($AJ$13:$XFD$13,$AN$13,AJ14:XFD14)+AG14</f>
        <v>0</v>
      </c>
      <c r="Q14" s="57">
        <f t="shared" ref="Q14:Q45" si="1">IF(E14="x",SUMIF($AJ$12:$XFD$12,$AN$13,AJ14:XFD14),0)</f>
        <v>0</v>
      </c>
      <c r="R14" s="57">
        <f t="shared" ref="R14:R45" si="2">SUMIF($AJ$13:$XFD$13,$AP$13,AJ14:XFD14)+AG14</f>
        <v>0</v>
      </c>
      <c r="S14" s="171" t="str">
        <f t="shared" ref="S14:S78" si="3">IF(OR(C14=2,E14&lt;&gt;"x",B14=0),"",ROUND(R14,0))</f>
        <v/>
      </c>
      <c r="T14" s="57">
        <f t="shared" ref="T14:T45" si="4">SUMIF($AJ$13:$XFD$13,$AQ$13,AJ14:XFD14)+AH14</f>
        <v>0</v>
      </c>
      <c r="U14" s="57">
        <f t="shared" ref="U14:U45" si="5">SUMIF($AJ$13:$XFD$13,$AR$13,AJ14:XFD14)</f>
        <v>0</v>
      </c>
      <c r="V14" s="57">
        <f t="shared" ref="V14:V45" si="6">SUMIF($AJ$13:$XFD$13,$AS$13,AJ14:XFD14)</f>
        <v>0</v>
      </c>
      <c r="W14" s="57">
        <f t="shared" ref="W14:W45" si="7">SUMIF($AJ$13:$XFD$13,$AT$13,AJ14:XFD14)</f>
        <v>0</v>
      </c>
      <c r="X14" s="57">
        <f t="shared" ref="X14:X45" si="8">SUMIF($AJ$13:$XFD$13,$AU$13,AJ14:XFD14)</f>
        <v>0</v>
      </c>
      <c r="Y14" s="57">
        <f>AG14*0.5</f>
        <v>0</v>
      </c>
      <c r="Z14" s="57">
        <f>W14+X14+Y14</f>
        <v>0</v>
      </c>
      <c r="AA14" s="57">
        <f t="shared" ref="AA14:AA45" si="9">SUMIF($AJ$13:$XFD$13,$AV$13,AJ14:XFD14)</f>
        <v>0</v>
      </c>
      <c r="AB14" s="57">
        <f>IF(U14+AG14=0,0,(Z14+W14)/(U14+AG14))</f>
        <v>0</v>
      </c>
      <c r="AC14" s="57">
        <f t="shared" ref="AC14:AC45" si="10">P14-U14-AG14</f>
        <v>0</v>
      </c>
      <c r="AD14" s="57">
        <f t="shared" ref="AD14:AD45" si="11">SUMIF($AJ$13:$XFD$13,$AX$13,AJ14:XFD14)</f>
        <v>0</v>
      </c>
      <c r="AE14" s="57">
        <f t="shared" ref="AE14:AE45" si="12">SUMIF($AJ$13:$XFD$13,$AW$13,AJ14:XFD14)</f>
        <v>0</v>
      </c>
      <c r="AF14" s="57">
        <f>IF(AC14=0,0,AE14/AC14)</f>
        <v>0</v>
      </c>
      <c r="AG14" s="57">
        <f>'org. Düngung 22'!J13</f>
        <v>0</v>
      </c>
      <c r="AH14" s="57">
        <f>'org. Düngung 22'!K13</f>
        <v>0</v>
      </c>
      <c r="AJ14" s="713">
        <f>'org. Düngung 22'!L13</f>
        <v>0</v>
      </c>
      <c r="AM14" s="57">
        <f t="shared" ref="AM14" si="13">AJ14*$B14</f>
        <v>0</v>
      </c>
      <c r="AN14" s="57">
        <f>AL$4*AJ14</f>
        <v>0</v>
      </c>
      <c r="AO14" s="57">
        <f>AL$5*AJ14</f>
        <v>0</v>
      </c>
      <c r="AP14" s="57">
        <f>AN14-AN14*AL$10/100</f>
        <v>0</v>
      </c>
      <c r="AQ14" s="57">
        <f>AL$8*AJ14</f>
        <v>0</v>
      </c>
      <c r="AR14" s="1029">
        <f t="shared" ref="AR14:AR45" si="14">IF(AJ$6&gt;1,AN14,        IF($L14=70,"",         IF(OR($L14=0,$N14=2),AN14, IF(AJ$4&gt;=$C$133,AN14,IF(AN14&lt;60,0,AN14-60)))))</f>
        <v>0</v>
      </c>
      <c r="AS14" s="57">
        <f t="shared" ref="AS14:AS45" si="15">IF(OR(AJ$6&lt;&gt;2,$J14=2,$F14&gt;1),0,IF(AL$9=2,0,IF(AND(OR(AL$9=3,AL$9=1),AJ$4&lt;$C$133),IF(AN14&lt;=60,AJ14*AL$5,60/AL$4*AL$5),0)))</f>
        <v>0</v>
      </c>
      <c r="AT14" s="171" t="str">
        <f t="shared" ref="AT14:AT45" si="16">IF(OR(AL$4=0,AJ$6=3),"",         IF(AJ$6=1,      IF($L14=70,"",IF($F14=1,AR14/AL$4*AL$6,AR14/AL$4*AL$7)),      IF($F14&gt;1,AJ14*AL$7,   IF(OR($J14=2,AJ$4&gt;=$C$133,AL$9=2),AJ14*AL$6,IF(AN14&lt;=60,0,(AN14-60)/AL$4*AL$6)))))</f>
        <v/>
      </c>
      <c r="AU14" s="57">
        <f>IF(AJ$6=3,IF($F14=1,AJ14*AL$6,AJ14*AL$7),"")</f>
        <v>0</v>
      </c>
      <c r="AV14" s="57">
        <f>IF(OR(AND(AJ$6=1,$L14=0),AND(AJ$6=2,$K14=2,$G14=1)),0,IF(AND(AL$9=2,(OR($F14&gt;1,$K14=1,AND($L14=80,OR($N14=1,AND($N14=2,'#BerechnungDBE'!$AL5&gt;0)))))),IF(AJ$4&gt;=$AD$126,0,AT14),IF(AL$9=3,IF(OR(AJ$4&gt;=$AD$127,AND($G14=1,$J14=2,AJ$6=2),AND(AJ$6=1,$N14&lt;&gt;1)),0,IF(AN14&lt;=120,AT14,IF(AJ$4&lt;$AD$124,IF($F14=1,60/AL$4*AL$6,60/AL$4*AL$7),IF($F14=1,120/AL$4*AL$6,120/AL$4*AL$7)))),IF(OR($F14=3,$G14=2),IF(OR(AND(AJ$4&gt;=$AD$119,$C14=2),AND(AJ$4&gt;=$AF$119,$C14=1)),0,IF(AN14&lt;=60,AT14,60/AL$4*AL$7)),IF(AND($F14=2,$G14=1),AT14,0)))))</f>
        <v>0</v>
      </c>
      <c r="AW14" s="57" t="str">
        <f>IF(OR(AJ$6&lt;&gt;1,$L14=80),"",IF($M14=1,AJ14*AL$6,AJ14*AL$7))</f>
        <v/>
      </c>
      <c r="AX14" s="57" t="str">
        <f t="shared" ref="AX14:AX45" si="17">IF(AND(AJ$6=1,$L14=80),IF(OR($N14=2,AJ$4&gt;=$C$133),0,IF(AN14&lt;=60,AJ14*AL$5,60/AL$4*AL$5)),"")</f>
        <v/>
      </c>
      <c r="AY14" s="713">
        <f>'org. Düngung 22'!P13</f>
        <v>0</v>
      </c>
      <c r="BB14" s="57">
        <f t="shared" ref="BB14:BB77" si="18">AY14*$B14</f>
        <v>0</v>
      </c>
      <c r="BC14" s="57">
        <f>BA$4*AY14</f>
        <v>0</v>
      </c>
      <c r="BD14" s="57">
        <f>BA$5*AY14</f>
        <v>0</v>
      </c>
      <c r="BE14" s="57">
        <f>BC14-BC14*BA$10/100</f>
        <v>0</v>
      </c>
      <c r="BF14" s="57">
        <f>BA$8*AY14</f>
        <v>0</v>
      </c>
      <c r="BG14" s="1029">
        <f t="shared" ref="BG14:BG45" si="19">IF(AY$6&gt;1,BC14,        IF($L14=70,"",         IF(OR($L14=0,$N14=2),BC14, IF(AY$4&gt;=$C$133,BC14,IF(BC14&lt;60,0,BC14-60)))))</f>
        <v>0</v>
      </c>
      <c r="BH14" s="57">
        <f t="shared" ref="BH14:BH45" si="20">IF(OR(AY$6&lt;&gt;2,$J14=2,$F14&gt;1),0,IF(BA$9=2,0,IF(AND(OR(BA$9=3,BA$9=1),AY$4&lt;$C$133),IF(BC14&lt;=60,AY14*BA$5,60/BA$4*BA$5),0)))</f>
        <v>0</v>
      </c>
      <c r="BI14" s="171" t="str">
        <f t="shared" ref="BI14:BI45" si="21">IF(OR(BA$4=0,AY$6=3),"",         IF(AY$6=1,      IF($L14=70,"",IF($F14=1,BG14/BA$4*BA$6,BG14/BA$4*BA$7)),      IF($F14&gt;1,AY14*BA$7,   IF(OR($J14=2,AY$4&gt;=$C$133,BA$9=2),AY14*BA$6,IF(BC14&lt;=60,0,(BC14-60)/BA$4*BA$6)))))</f>
        <v/>
      </c>
      <c r="BJ14" s="57">
        <f>IF(AY$6=3,IF($F14=1,AY14*BA$6,AY14*BA$7),"")</f>
        <v>0</v>
      </c>
      <c r="BK14" s="57">
        <f>IF(OR(AND(AY$6=1,$L14=0),AND(AY$6=2,$K14=2,$G14=1)),0,IF(AND(BA$9=2,(OR($F14&gt;1,$K14=1,AND($L14=80,OR($N14=1,AND($N14=2,'#BerechnungDBE'!$AL5&gt;0)))))),IF(AY$4&gt;=$AD$126,0,BI14),IF(BA$9=3,IF(OR(AY$4&gt;=$AD$127,AND($G14=1,$J14=2,AY$6=2),AND(AY$6=1,$N14&lt;&gt;1)),0,IF(BC14&lt;=120,BI14,IF(AY$4&lt;$AD$124,IF($F14=1,60/BA$4*BA$6,60/BA$4*BA$7),IF($F14=1,120/BA$4*BA$6,120/BA$4*BA$7)))),IF(OR($F14=3,$G14=2),IF(OR(AND(AY$4&gt;=$AD$119,$C14=2),AND(AY$4&gt;=$AF$119,$C14=1)),0,IF(BC14&lt;=60,BI14,60/BA$4*BA$7)),IF(AND($F14=2,$G14=1),BI14,0)))))</f>
        <v>0</v>
      </c>
      <c r="BL14" s="57" t="str">
        <f t="shared" ref="BL14:BL77" si="22">IF(OR(AY$6&lt;&gt;1,$L14=80),"",IF($M14=1,AY14*BA$6,AY14*BA$7))</f>
        <v/>
      </c>
      <c r="BM14" s="57" t="str">
        <f t="shared" ref="BM14:BM45" si="23">IF(AND(AY$6=1,$L14=80),IF(OR($N14=2,AY$4&gt;=$C$133),0,IF(BC14&lt;=60,AY14*BA$5,60/BA$4*BA$5)),"")</f>
        <v/>
      </c>
      <c r="BN14" s="713">
        <f>'org. Düngung 22'!T13</f>
        <v>0</v>
      </c>
      <c r="BQ14" s="57">
        <f t="shared" ref="BQ14:BQ77" si="24">BN14*$B14</f>
        <v>0</v>
      </c>
      <c r="BR14" s="57">
        <f>BP$4*BN14</f>
        <v>0</v>
      </c>
      <c r="BS14" s="57">
        <f>BP$5*BN14</f>
        <v>0</v>
      </c>
      <c r="BT14" s="57">
        <f>BR14-BR14*BP$10/100</f>
        <v>0</v>
      </c>
      <c r="BU14" s="57">
        <f>BP$8*BN14</f>
        <v>0</v>
      </c>
      <c r="BV14" s="1029">
        <f t="shared" ref="BV14:BV45" si="25">IF(BN$6&gt;1,BR14,        IF($L14=70,"",         IF(OR($L14=0,$N14=2),BR14, IF(BN$4&gt;=$C$133,BR14,IF(BR14&lt;60,0,BR14-60)))))</f>
        <v>0</v>
      </c>
      <c r="BW14" s="57">
        <f t="shared" ref="BW14:BW45" si="26">IF(OR(BN$6&lt;&gt;2,$J14=2,$F14&gt;1),0,IF(BP$9=2,0,IF(AND(OR(BP$9=3,BP$9=1),BN$4&lt;$C$133),IF(BR14&lt;=60,BN14*BP$5,60/BP$4*BP$5),0)))</f>
        <v>0</v>
      </c>
      <c r="BX14" s="171" t="str">
        <f t="shared" ref="BX14:BX45" si="27">IF(OR(BP$4=0,BN$6=3),"",         IF(BN$6=1,      IF($L14=70,"",IF($F14=1,BV14/BP$4*BP$6,BV14/BP$4*BP$7)),      IF($F14&gt;1,BN14*BP$7,   IF(OR($J14=2,BN$4&gt;=$C$133,BP$9=2),BN14*BP$6,IF(BR14&lt;=60,0,(BR14-60)/BP$4*BP$6)))))</f>
        <v/>
      </c>
      <c r="BY14" s="57">
        <f>IF(BN$6=3,IF($F14=1,BN14*BP$6,BN14*BP$7),"")</f>
        <v>0</v>
      </c>
      <c r="BZ14" s="57">
        <f>IF(OR(AND(BN$6=1,$L14=0),AND(BN$6=2,$K14=2,$G14=1)),0,IF(AND(BP$9=2,(OR($F14&gt;1,$K14=1,AND($L14=80,OR($N14=1,AND($N14=2,'#BerechnungDBE'!$AL5&gt;0)))))),IF(BN$4&gt;=$AD$126,0,BX14),IF(BP$9=3,IF(OR(BN$4&gt;=$AD$127,AND($G14=1,$J14=2,BN$6=2),AND(BN$6=1,$N14&lt;&gt;1)),0,IF(BR14&lt;=120,BX14,IF(BN$4&lt;$AD$124,IF($F14=1,60/BP$4*BP$6,60/BP$4*BP$7),IF($F14=1,120/BP$4*BP$6,120/BP$4*BP$7)))),IF(OR($F14=3,$G14=2),IF(OR(AND(BN$4&gt;=$AD$119,$C14=2),AND(BN$4&gt;=$AF$119,$C14=1)),0,IF(BR14&lt;=60,BX14,60/BP$4*BP$7)),IF(AND($F14=2,$G14=1),BX14,0)))))</f>
        <v>0</v>
      </c>
      <c r="CA14" s="57" t="str">
        <f t="shared" ref="CA14:CA77" si="28">IF(OR(BN$6&lt;&gt;1,$L14=80),"",IF($M14=1,BN14*BP$6,BN14*BP$7))</f>
        <v/>
      </c>
      <c r="CB14" s="57" t="str">
        <f t="shared" ref="CB14:CB45" si="29">IF(AND(BN$6=1,$L14=80),IF(OR($N14=2,BN$4&gt;=$C$133),0,IF(BR14&lt;=60,BN14*BP$5,60/BP$4*BP$5)),"")</f>
        <v/>
      </c>
      <c r="CC14" s="713">
        <f>'org. Düngung 22'!X13</f>
        <v>0</v>
      </c>
      <c r="CF14" s="57">
        <f t="shared" ref="CF14:CF77" si="30">CC14*$B14</f>
        <v>0</v>
      </c>
      <c r="CG14" s="57">
        <f>CE$4*CC14</f>
        <v>0</v>
      </c>
      <c r="CH14" s="57">
        <f>CE$5*CC14</f>
        <v>0</v>
      </c>
      <c r="CI14" s="57">
        <f>CG14-CG14*CE$10/100</f>
        <v>0</v>
      </c>
      <c r="CJ14" s="57">
        <f>CE$8*CC14</f>
        <v>0</v>
      </c>
      <c r="CK14" s="1029">
        <f t="shared" ref="CK14:CK45" si="31">IF(CC$6&gt;1,CG14,        IF($L14=70,"",         IF(OR($L14=0,$N14=2),CG14, IF(CC$4&gt;=$C$133,CG14,IF(CG14&lt;60,0,CG14-60)))))</f>
        <v>0</v>
      </c>
      <c r="CL14" s="57">
        <f t="shared" ref="CL14:CL45" si="32">IF(OR(CC$6&lt;&gt;2,$J14=2,$F14&gt;1),0,IF(CE$9=2,0,IF(AND(OR(CE$9=3,CE$9=1),CC$4&lt;$C$133),IF(CG14&lt;=60,CC14*CE$5,60/CE$4*CE$5),0)))</f>
        <v>0</v>
      </c>
      <c r="CM14" s="171" t="str">
        <f t="shared" ref="CM14:CM45" si="33">IF(OR(CE$4=0,CC$6=3),"",         IF(CC$6=1,      IF($L14=70,"",IF($F14=1,CK14/CE$4*CE$6,CK14/CE$4*CE$7)),      IF($F14&gt;1,CC14*CE$7,   IF(OR($J14=2,CC$4&gt;=$C$133,CE$9=2),CC14*CE$6,IF(CG14&lt;=60,0,(CG14-60)/CE$4*CE$6)))))</f>
        <v/>
      </c>
      <c r="CN14" s="57">
        <f>IF(CC$6=3,IF($F14=1,CC14*CE$6,CC14*CE$7),"")</f>
        <v>0</v>
      </c>
      <c r="CO14" s="57">
        <f>IF(OR(AND(CC$6=1,$L14=0),AND(CC$6=2,$K14=2,$G14=1)),0,IF(AND(CE$9=2,(OR($F14&gt;1,$K14=1,AND($L14=80,OR($N14=1,AND($N14=2,'#BerechnungDBE'!$AL5&gt;0)))))),IF(CC$4&gt;=$AD$126,0,CM14),IF(CE$9=3,IF(OR(CC$4&gt;=$AD$127,AND($G14=1,$J14=2,CC$6=2),AND(CC$6=1,$N14&lt;&gt;1)),0,IF(CG14&lt;=120,CM14,IF(CC$4&lt;$AD$124,IF($F14=1,60/CE$4*CE$6,60/CE$4*CE$7),IF($F14=1,120/CE$4*CE$6,120/CE$4*CE$7)))),IF(OR($F14=3,$G14=2),IF(OR(AND(CC$4&gt;=$AD$119,$C14=2),AND(CC$4&gt;=$AF$119,$C14=1)),0,IF(CG14&lt;=60,CM14,60/CE$4*CE$7)),IF(AND($F14=2,$G14=1),CM14,0)))))</f>
        <v>0</v>
      </c>
      <c r="CP14" s="57" t="str">
        <f t="shared" ref="CP14:CP77" si="34">IF(OR(CC$6&lt;&gt;1,$L14=80),"",IF($M14=1,CC14*CE$6,CC14*CE$7))</f>
        <v/>
      </c>
      <c r="CQ14" s="57" t="str">
        <f t="shared" ref="CQ14:CQ45" si="35">IF(AND(CC$6=1,$L14=80),IF(OR($N14=2,CC$4&gt;=$C$133),0,IF(CG14&lt;=60,CC14*CE$5,60/CE$4*CE$5)),"")</f>
        <v/>
      </c>
      <c r="CR14" s="713">
        <f>'org. Düngung 22'!AB13</f>
        <v>0</v>
      </c>
      <c r="CU14" s="57">
        <f t="shared" ref="CU14:CU77" si="36">CR14*$B14</f>
        <v>0</v>
      </c>
      <c r="CV14" s="57">
        <f>CT$4*CR14</f>
        <v>0</v>
      </c>
      <c r="CW14" s="57">
        <f>CT$5*CR14</f>
        <v>0</v>
      </c>
      <c r="CX14" s="57">
        <f>CV14-CV14*CT$10/100</f>
        <v>0</v>
      </c>
      <c r="CY14" s="57">
        <f>CT$8*CR14</f>
        <v>0</v>
      </c>
      <c r="CZ14" s="1029">
        <f t="shared" ref="CZ14:CZ45" si="37">IF(CR$6&gt;1,CV14,        IF($L14=70,"",         IF(OR($L14=0,$N14=2),CV14, IF(CR$4&gt;=$C$133,CV14,IF(CV14&lt;60,0,CV14-60)))))</f>
        <v>0</v>
      </c>
      <c r="DA14" s="57">
        <f t="shared" ref="DA14:DA45" si="38">IF(OR(CR$6&lt;&gt;2,$J14=2,$F14&gt;1),0,IF(CT$9=2,0,IF(AND(OR(CT$9=3,CT$9=1),CR$4&lt;$C$133),IF(CV14&lt;=60,CR14*CT$5,60/CT$4*CT$5),0)))</f>
        <v>0</v>
      </c>
      <c r="DB14" s="171" t="str">
        <f t="shared" ref="DB14:DB45" si="39">IF(OR(CT$4=0,CR$6=3),"",         IF(CR$6=1,      IF($L14=70,"",IF($F14=1,CZ14/CT$4*CT$6,CZ14/CT$4*CT$7)),      IF($F14&gt;1,CR14*CT$7,   IF(OR($J14=2,CR$4&gt;=$C$133,CT$9=2),CR14*CT$6,IF(CV14&lt;=60,0,(CV14-60)/CT$4*CT$6)))))</f>
        <v/>
      </c>
      <c r="DC14" s="57">
        <f>IF(CR$6=3,IF($F14=1,CR14*CT$6,CR14*CT$7),"")</f>
        <v>0</v>
      </c>
      <c r="DD14" s="57">
        <f>IF(OR(AND(CR$6=1,$L14=0),AND(CR$6=2,$K14=2,$G14=1)),0,IF(AND(CT$9=2,(OR($F14&gt;1,$K14=1,AND($L14=80,OR($N14=1,AND($N14=2,'#BerechnungDBE'!$AL5&gt;0)))))),IF(CR$4&gt;=$AD$126,0,DB14),IF(CT$9=3,IF(OR(CR$4&gt;=$AD$127,AND($G14=1,$J14=2,CR$6=2),AND(CR$6=1,$N14&lt;&gt;1)),0,IF(CV14&lt;=120,DB14,IF(CR$4&lt;$AD$124,IF($F14=1,60/CT$4*CT$6,60/CT$4*CT$7),IF($F14=1,120/CT$4*CT$6,120/CT$4*CT$7)))),IF(OR($F14=3,$G14=2),IF(OR(AND(CR$4&gt;=$AD$119,$C14=2),AND(CR$4&gt;=$AF$119,$C14=1)),0,IF(CV14&lt;=60,DB14,60/CT$4*CT$7)),IF(AND($F14=2,$G14=1),DB14,0)))))</f>
        <v>0</v>
      </c>
      <c r="DE14" s="57" t="str">
        <f t="shared" ref="DE14:DE77" si="40">IF(OR(CR$6&lt;&gt;1,$L14=80),"",IF($M14=1,CR14*CT$6,CR14*CT$7))</f>
        <v/>
      </c>
      <c r="DF14" s="57" t="str">
        <f t="shared" ref="DF14:DF45" si="41">IF(AND(CR$6=1,$L14=80),IF(OR($N14=2,CR$4&gt;=$C$133),0,IF(CV14&lt;=60,CR14*CT$5,60/CT$4*CT$5)),"")</f>
        <v/>
      </c>
      <c r="DG14" s="713">
        <f>'org. Düngung 22'!AF13</f>
        <v>0</v>
      </c>
      <c r="DJ14" s="57">
        <f t="shared" ref="DJ14:DJ77" si="42">DG14*$B14</f>
        <v>0</v>
      </c>
      <c r="DK14" s="57">
        <f>DI$4*DG14</f>
        <v>0</v>
      </c>
      <c r="DL14" s="57">
        <f>DI$5*DG14</f>
        <v>0</v>
      </c>
      <c r="DM14" s="57">
        <f>DK14-DK14*DI$10/100</f>
        <v>0</v>
      </c>
      <c r="DN14" s="57">
        <f>DI$8*DG14</f>
        <v>0</v>
      </c>
      <c r="DO14" s="1029">
        <f t="shared" ref="DO14:DO45" si="43">IF(DG$6&gt;1,DK14,        IF($L14=70,"",         IF(OR($L14=0,$N14=2),DK14, IF(DG$4&gt;=$C$133,DK14,IF(DK14&lt;60,0,DK14-60)))))</f>
        <v>0</v>
      </c>
      <c r="DP14" s="57">
        <f t="shared" ref="DP14:DP45" si="44">IF(OR(DG$6&lt;&gt;2,$J14=2,$F14&gt;1),0,IF(DI$9=2,0,IF(AND(OR(DI$9=3,DI$9=1),DG$4&lt;$C$133),IF(DK14&lt;=60,DG14*DI$5,60/DI$4*DI$5),0)))</f>
        <v>0</v>
      </c>
      <c r="DQ14" s="171" t="str">
        <f t="shared" ref="DQ14:DQ45" si="45">IF(OR(DI$4=0,DG$6=3),"",         IF(DG$6=1,      IF($L14=70,"",IF($F14=1,DO14/DI$4*DI$6,DO14/DI$4*DI$7)),      IF($F14&gt;1,DG14*DI$7,   IF(OR($J14=2,DG$4&gt;=$C$133,DI$9=2),DG14*DI$6,IF(DK14&lt;=60,0,(DK14-60)/DI$4*DI$6)))))</f>
        <v/>
      </c>
      <c r="DR14" s="57">
        <f>IF(DG$6=3,IF($F14=1,DG14*DI$6,DG14*DI$7),"")</f>
        <v>0</v>
      </c>
      <c r="DS14" s="57">
        <f>IF(OR(AND(DG$6=1,$L14=0),AND(DG$6=2,$K14=2,$G14=1)),0,IF(AND(DI$9=2,(OR($F14&gt;1,$K14=1,AND($L14=80,OR($N14=1,AND($N14=2,'#BerechnungDBE'!$AL5&gt;0)))))),IF(DG$4&gt;=$AD$126,0,DQ14),IF(DI$9=3,IF(OR(DG$4&gt;=$AD$127,AND($G14=1,$J14=2,DG$6=2),AND(DG$6=1,$N14&lt;&gt;1)),0,IF(DK14&lt;=120,DQ14,IF(DG$4&lt;$AD$124,IF($F14=1,60/DI$4*DI$6,60/DI$4*DI$7),IF($F14=1,120/DI$4*DI$6,120/DI$4*DI$7)))),IF(OR($F14=3,$G14=2),IF(OR(AND(DG$4&gt;=$AD$119,$C14=2),AND(DG$4&gt;=$AF$119,$C14=1)),0,IF(DK14&lt;=60,DQ14,60/DI$4*DI$7)),IF(AND($F14=2,$G14=1),DQ14,0)))))</f>
        <v>0</v>
      </c>
      <c r="DT14" s="57" t="str">
        <f t="shared" ref="DT14:DT77" si="46">IF(OR(DG$6&lt;&gt;1,$L14=80),"",IF($M14=1,DG14*DI$6,DG14*DI$7))</f>
        <v/>
      </c>
      <c r="DU14" s="57" t="str">
        <f t="shared" ref="DU14:DU45" si="47">IF(AND(DG$6=1,$L14=80),IF(OR($N14=2,DG$4&gt;=$C$133),0,IF(DK14&lt;=60,DG14*DI$5,60/DI$4*DI$5)),"")</f>
        <v/>
      </c>
      <c r="DV14" s="713">
        <f>'org. Düngung 22'!AJ13</f>
        <v>0</v>
      </c>
      <c r="DY14" s="57">
        <f t="shared" ref="DY14:DY77" si="48">DV14*$B14</f>
        <v>0</v>
      </c>
      <c r="DZ14" s="57">
        <f>DX$4*DV14</f>
        <v>0</v>
      </c>
      <c r="EA14" s="57">
        <f>DX$5*DV14</f>
        <v>0</v>
      </c>
      <c r="EB14" s="57">
        <f>DZ14-DZ14*DX$10/100</f>
        <v>0</v>
      </c>
      <c r="EC14" s="57">
        <f>DX$8*DV14</f>
        <v>0</v>
      </c>
      <c r="ED14" s="1029">
        <f t="shared" ref="ED14:ED45" si="49">IF(DV$6&gt;1,DZ14,        IF($L14=70,"",         IF(OR($L14=0,$N14=2),DZ14, IF(DV$4&gt;=$C$133,DZ14,IF(DZ14&lt;60,0,DZ14-60)))))</f>
        <v>0</v>
      </c>
      <c r="EE14" s="57">
        <f t="shared" ref="EE14:EE45" si="50">IF(OR(DV$6&lt;&gt;2,$J14=2,$F14&gt;1),0,IF(DX$9=2,0,IF(AND(OR(DX$9=3,DX$9=1),DV$4&lt;$C$133),IF(DZ14&lt;=60,DV14*DX$5,60/DX$4*DX$5),0)))</f>
        <v>0</v>
      </c>
      <c r="EF14" s="171" t="str">
        <f t="shared" ref="EF14:EF45" si="51">IF(OR(DX$4=0,DV$6=3),"",         IF(DV$6=1,      IF($L14=70,"",IF($F14=1,ED14/DX$4*DX$6,ED14/DX$4*DX$7)),      IF($F14&gt;1,DV14*DX$7,   IF(OR($J14=2,DV$4&gt;=$C$133,DX$9=2),DV14*DX$6,IF(DZ14&lt;=60,0,(DZ14-60)/DX$4*DX$6)))))</f>
        <v/>
      </c>
      <c r="EG14" s="57">
        <f>IF(DV$6=3,IF($F14=1,DV14*DX$6,DV14*DX$7),"")</f>
        <v>0</v>
      </c>
      <c r="EH14" s="57">
        <f>IF(OR(AND(DV$6=1,$L14=0),AND(DV$6=2,$K14=2,$G14=1)),0,IF(AND(DX$9=2,(OR($F14&gt;1,$K14=1,AND($L14=80,OR($N14=1,AND($N14=2,'#BerechnungDBE'!$AL5&gt;0)))))),IF(DV$4&gt;=$AD$126,0,EF14),IF(DX$9=3,IF(OR(DV$4&gt;=$AD$127,AND($G14=1,$J14=2,DV$6=2),AND(DV$6=1,$N14&lt;&gt;1)),0,IF(DZ14&lt;=120,EF14,IF(DV$4&lt;$AD$124,IF($F14=1,60/DX$4*DX$6,60/DX$4*DX$7),IF($F14=1,120/DX$4*DX$6,120/DX$4*DX$7)))),IF(OR($F14=3,$G14=2),IF(OR(AND(DV$4&gt;=$AD$119,$C14=2),AND(DV$4&gt;=$AF$119,$C14=1)),0,IF(DZ14&lt;=60,EF14,60/DX$4*DX$7)),IF(AND($F14=2,$G14=1),EF14,0)))))</f>
        <v>0</v>
      </c>
      <c r="EI14" s="57" t="str">
        <f t="shared" ref="EI14:EI77" si="52">IF(OR(DV$6&lt;&gt;1,$L14=80),"",IF($M14=1,DV14*DX$6,DV14*DX$7))</f>
        <v/>
      </c>
      <c r="EJ14" s="57" t="str">
        <f t="shared" ref="EJ14:EJ45" si="53">IF(AND(DV$6=1,$L14=80),IF(OR($N14=2,DV$4&gt;=$C$133),0,IF(DZ14&lt;=60,DV14*DX$5,60/DX$4*DX$5)),"")</f>
        <v/>
      </c>
      <c r="EK14" s="713">
        <f>'org. Düngung 22'!AN13</f>
        <v>0</v>
      </c>
      <c r="EN14" s="57">
        <f t="shared" ref="EN14:EN77" si="54">EK14*$B14</f>
        <v>0</v>
      </c>
      <c r="EO14" s="57">
        <f>EM$4*EK14</f>
        <v>0</v>
      </c>
      <c r="EP14" s="57">
        <f>EM$5*EK14</f>
        <v>0</v>
      </c>
      <c r="EQ14" s="57">
        <f>EO14-EO14*EM$10/100</f>
        <v>0</v>
      </c>
      <c r="ER14" s="57">
        <f>EM$8*EK14</f>
        <v>0</v>
      </c>
      <c r="ES14" s="1029">
        <f t="shared" ref="ES14:ES45" si="55">IF(EK$6&gt;1,EO14,        IF($L14=70,"",         IF(OR($L14=0,$N14=2),EO14, IF(EK$4&gt;=$C$133,EO14,IF(EO14&lt;60,0,EO14-60)))))</f>
        <v>0</v>
      </c>
      <c r="ET14" s="57">
        <f t="shared" ref="ET14:ET45" si="56">IF(OR(EK$6&lt;&gt;2,$J14=2,$F14&gt;1),0,IF(EM$9=2,0,IF(AND(OR(EM$9=3,EM$9=1),EK$4&lt;$C$133),IF(EO14&lt;=60,EK14*EM$5,60/EM$4*EM$5),0)))</f>
        <v>0</v>
      </c>
      <c r="EU14" s="171" t="str">
        <f t="shared" ref="EU14:EU45" si="57">IF(OR(EM$4=0,EK$6=3),"",         IF(EK$6=1,      IF($L14=70,"",IF($F14=1,ES14/EM$4*EM$6,ES14/EM$4*EM$7)),      IF($F14&gt;1,EK14*EM$7,   IF(OR($J14=2,EK$4&gt;=$C$133,EM$9=2),EK14*EM$6,IF(EO14&lt;=60,0,(EO14-60)/EM$4*EM$6)))))</f>
        <v/>
      </c>
      <c r="EV14" s="57">
        <f>IF(EK$6=3,IF($F14=1,EK14*EM$6,EK14*EM$7),"")</f>
        <v>0</v>
      </c>
      <c r="EW14" s="57">
        <f>IF(OR(AND(EK$6=1,$L14=0),AND(EK$6=2,$K14=2,$G14=1)),0,IF(AND(EM$9=2,(OR($F14&gt;1,$K14=1,AND($L14=80,OR($N14=1,AND($N14=2,'#BerechnungDBE'!$AL5&gt;0)))))),IF(EK$4&gt;=$AD$126,0,EU14),IF(EM$9=3,IF(OR(EK$4&gt;=$AD$127,AND($G14=1,$J14=2,EK$6=2),AND(EK$6=1,$N14&lt;&gt;1)),0,IF(EO14&lt;=120,EU14,IF(EK$4&lt;$AD$124,IF($F14=1,60/EM$4*EM$6,60/EM$4*EM$7),IF($F14=1,120/EM$4*EM$6,120/EM$4*EM$7)))),IF(OR($F14=3,$G14=2),IF(OR(AND(EK$4&gt;=$AD$119,$C14=2),AND(EK$4&gt;=$AF$119,$C14=1)),0,IF(EO14&lt;=60,EU14,60/EM$4*EM$7)),IF(AND($F14=2,$G14=1),EU14,0)))))</f>
        <v>0</v>
      </c>
      <c r="EX14" s="57" t="str">
        <f t="shared" ref="EX14:EX77" si="58">IF(OR(EK$6&lt;&gt;1,$L14=80),"",IF($M14=1,EK14*EM$6,EK14*EM$7))</f>
        <v/>
      </c>
      <c r="EY14" s="57" t="str">
        <f t="shared" ref="EY14:EY45" si="59">IF(AND(EK$6=1,$L14=80),IF(OR($N14=2,EK$4&gt;=$C$133),0,IF(EO14&lt;=60,EK14*EM$5,60/EM$4*EM$5)),"")</f>
        <v/>
      </c>
      <c r="EZ14" s="713">
        <f>'org. Düngung 22'!AR13</f>
        <v>0</v>
      </c>
      <c r="FC14" s="57">
        <f t="shared" ref="FC14:FC77" si="60">EZ14*$B14</f>
        <v>0</v>
      </c>
      <c r="FD14" s="57">
        <f>FB$4*EZ14</f>
        <v>0</v>
      </c>
      <c r="FE14" s="57">
        <f>FB$5*EZ14</f>
        <v>0</v>
      </c>
      <c r="FF14" s="57">
        <f>FD14-FD14*FB$10/100</f>
        <v>0</v>
      </c>
      <c r="FG14" s="57">
        <f>FB$8*EZ14</f>
        <v>0</v>
      </c>
      <c r="FH14" s="1029">
        <f t="shared" ref="FH14:FH45" si="61">IF(EZ$6&gt;1,FD14,        IF($L14=70,"",         IF(OR($L14=0,$N14=2),FD14, IF(EZ$4&gt;=$C$133,FD14,IF(FD14&lt;60,0,FD14-60)))))</f>
        <v>0</v>
      </c>
      <c r="FI14" s="57">
        <f t="shared" ref="FI14:FI45" si="62">IF(OR(EZ$6&lt;&gt;2,$J14=2,$F14&gt;1),0,IF(FB$9=2,0,IF(AND(OR(FB$9=3,FB$9=1),EZ$4&lt;$C$133),IF(FD14&lt;=60,EZ14*FB$5,60/FB$4*FB$5),0)))</f>
        <v>0</v>
      </c>
      <c r="FJ14" s="171" t="str">
        <f t="shared" ref="FJ14:FJ45" si="63">IF(OR(FB$4=0,EZ$6=3),"",         IF(EZ$6=1,      IF($L14=70,"",IF($F14=1,FH14/FB$4*FB$6,FH14/FB$4*FB$7)),      IF($F14&gt;1,EZ14*FB$7,   IF(OR($J14=2,EZ$4&gt;=$C$133,FB$9=2),EZ14*FB$6,IF(FD14&lt;=60,0,(FD14-60)/FB$4*FB$6)))))</f>
        <v/>
      </c>
      <c r="FK14" s="57">
        <f>IF(EZ$6=3,IF($F14=1,EZ14*FB$6,EZ14*FB$7),"")</f>
        <v>0</v>
      </c>
      <c r="FL14" s="57">
        <f>IF(OR(AND(EZ$6=1,$L14=0),AND(EZ$6=2,$K14=2,$G14=1)),0,IF(AND(FB$9=2,(OR($F14&gt;1,$K14=1,AND($L14=80,OR($N14=1,AND($N14=2,'#BerechnungDBE'!$AL5&gt;0)))))),IF(EZ$4&gt;=$AD$126,0,FJ14),IF(FB$9=3,IF(OR(EZ$4&gt;=$AD$127,AND($G14=1,$J14=2,EZ$6=2),AND(EZ$6=1,$N14&lt;&gt;1)),0,IF(FD14&lt;=120,FJ14,IF(EZ$4&lt;$AD$124,IF($F14=1,60/FB$4*FB$6,60/FB$4*FB$7),IF($F14=1,120/FB$4*FB$6,120/FB$4*FB$7)))),IF(OR($F14=3,$G14=2),IF(OR(AND(EZ$4&gt;=$AD$119,$C14=2),AND(EZ$4&gt;=$AF$119,$C14=1)),0,IF(FD14&lt;=60,FJ14,60/FB$4*FB$7)),IF(AND($F14=2,$G14=1),FJ14,0)))))</f>
        <v>0</v>
      </c>
      <c r="FM14" s="57" t="str">
        <f t="shared" ref="FM14:FM77" si="64">IF(OR(EZ$6&lt;&gt;1,$L14=80),"",IF($M14=1,EZ14*FB$6,EZ14*FB$7))</f>
        <v/>
      </c>
      <c r="FN14" s="57" t="str">
        <f t="shared" ref="FN14:FN45" si="65">IF(AND(EZ$6=1,$L14=80),IF(OR($N14=2,EZ$4&gt;=$C$133),0,IF(FD14&lt;=60,EZ14*FB$5,60/FB$4*FB$5)),"")</f>
        <v/>
      </c>
      <c r="FO14" s="713">
        <f>'org. Düngung 22'!AV13</f>
        <v>0</v>
      </c>
      <c r="FR14" s="57">
        <f t="shared" ref="FR14:FR77" si="66">FO14*$B14</f>
        <v>0</v>
      </c>
      <c r="FS14" s="57">
        <f>FQ$4*FO14</f>
        <v>0</v>
      </c>
      <c r="FT14" s="57">
        <f>FQ$5*FO14</f>
        <v>0</v>
      </c>
      <c r="FU14" s="57">
        <f>FS14-FS14*FQ$10/100</f>
        <v>0</v>
      </c>
      <c r="FV14" s="57">
        <f>FQ$8*FO14</f>
        <v>0</v>
      </c>
      <c r="FW14" s="1029">
        <f t="shared" ref="FW14:FW45" si="67">IF(FO$6&gt;1,FS14,        IF($L14=70,"",         IF(OR($L14=0,$N14=2),FS14, IF(FO$4&gt;=$C$133,FS14,IF(FS14&lt;60,0,FS14-60)))))</f>
        <v>0</v>
      </c>
      <c r="FX14" s="57">
        <f t="shared" ref="FX14:FX45" si="68">IF(OR(FO$6&lt;&gt;2,$J14=2,$F14&gt;1),0,IF(FQ$9=2,0,IF(AND(OR(FQ$9=3,FQ$9=1),FO$4&lt;$C$133),IF(FS14&lt;=60,FO14*FQ$5,60/FQ$4*FQ$5),0)))</f>
        <v>0</v>
      </c>
      <c r="FY14" s="171" t="str">
        <f t="shared" ref="FY14:FY45" si="69">IF(OR(FQ$4=0,FO$6=3),"",         IF(FO$6=1,      IF($L14=70,"",IF($F14=1,FW14/FQ$4*FQ$6,FW14/FQ$4*FQ$7)),      IF($F14&gt;1,FO14*FQ$7,   IF(OR($J14=2,FO$4&gt;=$C$133,FQ$9=2),FO14*FQ$6,IF(FS14&lt;=60,0,(FS14-60)/FQ$4*FQ$6)))))</f>
        <v/>
      </c>
      <c r="FZ14" s="57">
        <f>IF(FO$6=3,IF($F14=1,FO14*FQ$6,FO14*FQ$7),"")</f>
        <v>0</v>
      </c>
      <c r="GA14" s="57">
        <f>IF(OR(AND(FO$6=1,$L14=0),AND(FO$6=2,$K14=2,$G14=1)),0,IF(AND(FQ$9=2,(OR($F14&gt;1,$K14=1,AND($L14=80,OR($N14=1,AND($N14=2,'#BerechnungDBE'!$AL5&gt;0)))))),IF(FO$4&gt;=$AD$126,0,FY14),IF(FQ$9=3,IF(OR(FO$4&gt;=$AD$127,AND($G14=1,$J14=2,FO$6=2),AND(FO$6=1,$N14&lt;&gt;1)),0,IF(FS14&lt;=120,FY14,IF(FO$4&lt;$AD$124,IF($F14=1,60/FQ$4*FQ$6,60/FQ$4*FQ$7),IF($F14=1,120/FQ$4*FQ$6,120/FQ$4*FQ$7)))),IF(OR($F14=3,$G14=2),IF(OR(AND(FO$4&gt;=$AD$119,$C14=2),AND(FO$4&gt;=$AF$119,$C14=1)),0,IF(FS14&lt;=60,FY14,60/FQ$4*FQ$7)),IF(AND($F14=2,$G14=1),FY14,0)))))</f>
        <v>0</v>
      </c>
      <c r="GB14" s="57" t="str">
        <f t="shared" ref="GB14:GB77" si="70">IF(OR(FO$6&lt;&gt;1,$L14=80),"",IF($M14=1,FO14*FQ$6,FO14*FQ$7))</f>
        <v/>
      </c>
      <c r="GC14" s="57" t="str">
        <f t="shared" ref="GC14:GC45" si="71">IF(AND(FO$6=1,$L14=80),IF(OR($N14=2,FO$4&gt;=$C$133),0,IF(FS14&lt;=60,FO14*FQ$5,60/FQ$4*FQ$5)),"")</f>
        <v/>
      </c>
      <c r="GD14" s="713">
        <f>'org. Düngung 22'!AZ13</f>
        <v>0</v>
      </c>
      <c r="GG14" s="57">
        <f t="shared" ref="GG14:GG77" si="72">GD14*$B14</f>
        <v>0</v>
      </c>
      <c r="GH14" s="57">
        <f>GF$4*GD14</f>
        <v>0</v>
      </c>
      <c r="GI14" s="57">
        <f>GF$5*GD14</f>
        <v>0</v>
      </c>
      <c r="GJ14" s="57">
        <f>GH14-GH14*GF$10/100</f>
        <v>0</v>
      </c>
      <c r="GK14" s="57">
        <f>GF$8*GD14</f>
        <v>0</v>
      </c>
      <c r="GL14" s="1029">
        <f t="shared" ref="GL14:GL45" si="73">IF(GD$6&gt;1,GH14,        IF($L14=70,"",         IF(OR($L14=0,$N14=2),GH14, IF(GD$4&gt;=$C$133,GH14,IF(GH14&lt;60,0,GH14-60)))))</f>
        <v>0</v>
      </c>
      <c r="GM14" s="57">
        <f t="shared" ref="GM14:GM45" si="74">IF(OR(GD$6&lt;&gt;2,$J14=2,$F14&gt;1),0,IF(GF$9=2,0,IF(AND(OR(GF$9=3,GF$9=1),GD$4&lt;$C$133),IF(GH14&lt;=60,GD14*GF$5,60/GF$4*GF$5),0)))</f>
        <v>0</v>
      </c>
      <c r="GN14" s="171" t="str">
        <f t="shared" ref="GN14:GN45" si="75">IF(OR(GF$4=0,GD$6=3),"",         IF(GD$6=1,      IF($L14=70,"",IF($F14=1,GL14/GF$4*GF$6,GL14/GF$4*GF$7)),      IF($F14&gt;1,GD14*GF$7,   IF(OR($J14=2,GD$4&gt;=$C$133,GF$9=2),GD14*GF$6,IF(GH14&lt;=60,0,(GH14-60)/GF$4*GF$6)))))</f>
        <v/>
      </c>
      <c r="GO14" s="57">
        <f>IF(GD$6=3,IF($F14=1,GD14*GF$6,GD14*GF$7),"")</f>
        <v>0</v>
      </c>
      <c r="GP14" s="57">
        <f>IF(OR(AND(GD$6=1,$L14=0),AND(GD$6=2,$K14=2,$G14=1)),0,IF(AND(GF$9=2,(OR($F14&gt;1,$K14=1,AND($L14=80,OR($N14=1,AND($N14=2,'#BerechnungDBE'!$AL5&gt;0)))))),IF(GD$4&gt;=$AD$126,0,GN14),IF(GF$9=3,IF(OR(GD$4&gt;=$AD$127,AND($G14=1,$J14=2,GD$6=2),AND(GD$6=1,$N14&lt;&gt;1)),0,IF(GH14&lt;=120,GN14,IF(GD$4&lt;$AD$124,IF($F14=1,60/GF$4*GF$6,60/GF$4*GF$7),IF($F14=1,120/GF$4*GF$6,120/GF$4*GF$7)))),IF(OR($F14=3,$G14=2),IF(OR(AND(GD$4&gt;=$AD$119,$C14=2),AND(GD$4&gt;=$AF$119,$C14=1)),0,IF(GH14&lt;=60,GN14,60/GF$4*GF$7)),IF(AND($F14=2,$G14=1),GN14,0)))))</f>
        <v>0</v>
      </c>
      <c r="GQ14" s="57" t="str">
        <f t="shared" ref="GQ14:GQ77" si="76">IF(OR(GD$6&lt;&gt;1,$L14=80),"",IF($M14=1,GD14*GF$6,GD14*GF$7))</f>
        <v/>
      </c>
      <c r="GR14" s="57" t="str">
        <f t="shared" ref="GR14:GR45" si="77">IF(AND(GD$6=1,$L14=80),IF(OR($N14=2,GD$4&gt;=$C$133),0,IF(GH14&lt;=60,GD14*GF$5,60/GF$4*GF$5)),"")</f>
        <v/>
      </c>
      <c r="GS14" s="713">
        <f>'org. Düngung 22'!BD13</f>
        <v>0</v>
      </c>
      <c r="GV14" s="57">
        <f t="shared" ref="GV14:GV77" si="78">GS14*$B14</f>
        <v>0</v>
      </c>
      <c r="GW14" s="57">
        <f>GU$4*GS14</f>
        <v>0</v>
      </c>
      <c r="GX14" s="57">
        <f>GU$5*GS14</f>
        <v>0</v>
      </c>
      <c r="GY14" s="57">
        <f>GW14-GW14*GU$10/100</f>
        <v>0</v>
      </c>
      <c r="GZ14" s="57">
        <f>GU$8*GS14</f>
        <v>0</v>
      </c>
      <c r="HA14" s="1029">
        <f t="shared" ref="HA14:HA45" si="79">IF(GS$6&gt;1,GW14,        IF($L14=70,"",         IF(OR($L14=0,$N14=2),GW14, IF(GS$4&gt;=$C$133,GW14,IF(GW14&lt;60,0,GW14-60)))))</f>
        <v>0</v>
      </c>
      <c r="HB14" s="57">
        <f t="shared" ref="HB14:HB45" si="80">IF(OR(GS$6&lt;&gt;2,$J14=2,$F14&gt;1),0,IF(GU$9=2,0,IF(AND(OR(GU$9=3,GU$9=1),GS$4&lt;$C$133),IF(GW14&lt;=60,GS14*GU$5,60/GU$4*GU$5),0)))</f>
        <v>0</v>
      </c>
      <c r="HC14" s="171" t="str">
        <f t="shared" ref="HC14:HC45" si="81">IF(OR(GU$4=0,GS$6=3),"",         IF(GS$6=1,      IF($L14=70,"",IF($F14=1,HA14/GU$4*GU$6,HA14/GU$4*GU$7)),      IF($F14&gt;1,GS14*GU$7,   IF(OR($J14=2,GS$4&gt;=$C$133,GU$9=2),GS14*GU$6,IF(GW14&lt;=60,0,(GW14-60)/GU$4*GU$6)))))</f>
        <v/>
      </c>
      <c r="HD14" s="57">
        <f>IF(GS$6=3,IF($F14=1,GS14*GU$6,GS14*GU$7),"")</f>
        <v>0</v>
      </c>
      <c r="HE14" s="57">
        <f>IF(OR(AND(GS$6=1,$L14=0),AND(GS$6=2,$K14=2,$G14=1)),0,IF(AND(GU$9=2,(OR($F14&gt;1,$K14=1,AND($L14=80,OR($N14=1,AND($N14=2,'#BerechnungDBE'!$AL5&gt;0)))))),IF(GS$4&gt;=$AD$126,0,HC14),IF(GU$9=3,IF(OR(GS$4&gt;=$AD$127,AND($G14=1,$J14=2,GS$6=2),AND(GS$6=1,$N14&lt;&gt;1)),0,IF(GW14&lt;=120,HC14,IF(GS$4&lt;$AD$124,IF($F14=1,60/GU$4*GU$6,60/GU$4*GU$7),IF($F14=1,120/GU$4*GU$6,120/GU$4*GU$7)))),IF(OR($F14=3,$G14=2),IF(OR(AND(GS$4&gt;=$AD$119,$C14=2),AND(GS$4&gt;=$AF$119,$C14=1)),0,IF(GW14&lt;=60,HC14,60/GU$4*GU$7)),IF(AND($F14=2,$G14=1),HC14,0)))))</f>
        <v>0</v>
      </c>
      <c r="HF14" s="57" t="str">
        <f t="shared" ref="HF14:HF77" si="82">IF(OR(GS$6&lt;&gt;1,$L14=80),"",IF($M14=1,GS14*GU$6,GS14*GU$7))</f>
        <v/>
      </c>
      <c r="HG14" s="57" t="str">
        <f t="shared" ref="HG14:HG45" si="83">IF(AND(GS$6=1,$L14=80),IF(OR($N14=2,GS$4&gt;=$C$133),0,IF(GW14&lt;=60,GS14*GU$5,60/GU$4*GU$5)),"")</f>
        <v/>
      </c>
      <c r="HH14" s="713">
        <f>'org. Düngung 22'!BH13</f>
        <v>0</v>
      </c>
      <c r="HK14" s="57">
        <f t="shared" ref="HK14:HK77" si="84">HH14*$B14</f>
        <v>0</v>
      </c>
      <c r="HL14" s="57">
        <f>HJ$4*HH14</f>
        <v>0</v>
      </c>
      <c r="HM14" s="57">
        <f>HJ$5*HH14</f>
        <v>0</v>
      </c>
      <c r="HN14" s="57">
        <f>HL14-HL14*HJ$10/100</f>
        <v>0</v>
      </c>
      <c r="HO14" s="57">
        <f>HJ$8*HH14</f>
        <v>0</v>
      </c>
      <c r="HP14" s="1029">
        <f t="shared" ref="HP14:HP45" si="85">IF(HH$6&gt;1,HL14,        IF($L14=70,"",         IF(OR($L14=0,$N14=2),HL14, IF(HH$4&gt;=$C$133,HL14,IF(HL14&lt;60,0,HL14-60)))))</f>
        <v>0</v>
      </c>
      <c r="HQ14" s="57">
        <f t="shared" ref="HQ14:HQ45" si="86">IF(OR(HH$6&lt;&gt;2,$J14=2,$F14&gt;1),0,IF(HJ$9=2,0,IF(AND(OR(HJ$9=3,HJ$9=1),HH$4&lt;$C$133),IF(HL14&lt;=60,HH14*HJ$5,60/HJ$4*HJ$5),0)))</f>
        <v>0</v>
      </c>
      <c r="HR14" s="171" t="str">
        <f t="shared" ref="HR14:HR45" si="87">IF(OR(HJ$4=0,HH$6=3),"",         IF(HH$6=1,      IF($L14=70,"",IF($F14=1,HP14/HJ$4*HJ$6,HP14/HJ$4*HJ$7)),      IF($F14&gt;1,HH14*HJ$7,   IF(OR($J14=2,HH$4&gt;=$C$133,HJ$9=2),HH14*HJ$6,IF(HL14&lt;=60,0,(HL14-60)/HJ$4*HJ$6)))))</f>
        <v/>
      </c>
      <c r="HS14" s="57">
        <f>IF(HH$6=3,IF($F14=1,HH14*HJ$6,HH14*HJ$7),"")</f>
        <v>0</v>
      </c>
      <c r="HT14" s="57">
        <f>IF(OR(AND(HH$6=1,$L14=0),AND(HH$6=2,$K14=2,$G14=1)),0,IF(AND(HJ$9=2,(OR($F14&gt;1,$K14=1,AND($L14=80,OR($N14=1,AND($N14=2,'#BerechnungDBE'!$AL5&gt;0)))))),IF(HH$4&gt;=$AD$126,0,HR14),IF(HJ$9=3,IF(OR(HH$4&gt;=$AD$127,AND($G14=1,$J14=2,HH$6=2),AND(HH$6=1,$N14&lt;&gt;1)),0,IF(HL14&lt;=120,HR14,IF(HH$4&lt;$AD$124,IF($F14=1,60/HJ$4*HJ$6,60/HJ$4*HJ$7),IF($F14=1,120/HJ$4*HJ$6,120/HJ$4*HJ$7)))),IF(OR($F14=3,$G14=2),IF(OR(AND(HH$4&gt;=$AD$119,$C14=2),AND(HH$4&gt;=$AF$119,$C14=1)),0,IF(HL14&lt;=60,HR14,60/HJ$4*HJ$7)),IF(AND($F14=2,$G14=1),HR14,0)))))</f>
        <v>0</v>
      </c>
      <c r="HU14" s="57" t="str">
        <f t="shared" ref="HU14:HU77" si="88">IF(OR(HH$6&lt;&gt;1,$L14=80),"",IF($M14=1,HH14*HJ$6,HH14*HJ$7))</f>
        <v/>
      </c>
      <c r="HV14" s="57" t="str">
        <f t="shared" ref="HV14:HV45" si="89">IF(AND(HH$6=1,$L14=80),IF(OR($N14=2,HH$4&gt;=$C$133),0,IF(HL14&lt;=60,HH14*HJ$5,60/HJ$4*HJ$5)),"")</f>
        <v/>
      </c>
      <c r="HW14" s="713">
        <f>'org. Düngung 22'!BL13</f>
        <v>0</v>
      </c>
      <c r="HZ14" s="57">
        <f t="shared" ref="HZ14:HZ77" si="90">HW14*$B14</f>
        <v>0</v>
      </c>
      <c r="IA14" s="57">
        <f>HY$4*HW14</f>
        <v>0</v>
      </c>
      <c r="IB14" s="57">
        <f>HY$5*HW14</f>
        <v>0</v>
      </c>
      <c r="IC14" s="57">
        <f>IA14-IA14*HY$10/100</f>
        <v>0</v>
      </c>
      <c r="ID14" s="57">
        <f>HY$8*HW14</f>
        <v>0</v>
      </c>
      <c r="IE14" s="1029">
        <f t="shared" ref="IE14:IE45" si="91">IF(HW$6&gt;1,IA14,        IF($L14=70,"",         IF(OR($L14=0,$N14=2),IA14, IF(HW$4&gt;=$C$133,IA14,IF(IA14&lt;60,0,IA14-60)))))</f>
        <v>0</v>
      </c>
      <c r="IF14" s="57">
        <f t="shared" ref="IF14:IF45" si="92">IF(OR(HW$6&lt;&gt;2,$J14=2,$F14&gt;1),0,IF(HY$9=2,0,IF(AND(OR(HY$9=3,HY$9=1),HW$4&lt;$C$133),IF(IA14&lt;=60,HW14*HY$5,60/HY$4*HY$5),0)))</f>
        <v>0</v>
      </c>
      <c r="IG14" s="171" t="str">
        <f t="shared" ref="IG14:IG45" si="93">IF(OR(HY$4=0,HW$6=3),"",         IF(HW$6=1,      IF($L14=70,"",IF($F14=1,IE14/HY$4*HY$6,IE14/HY$4*HY$7)),      IF($F14&gt;1,HW14*HY$7,   IF(OR($J14=2,HW$4&gt;=$C$133,HY$9=2),HW14*HY$6,IF(IA14&lt;=60,0,(IA14-60)/HY$4*HY$6)))))</f>
        <v/>
      </c>
      <c r="IH14" s="57">
        <f>IF(HW$6=3,IF($F14=1,HW14*HY$6,HW14*HY$7),"")</f>
        <v>0</v>
      </c>
      <c r="II14" s="57">
        <f>IF(OR(AND(HW$6=1,$L14=0),AND(HW$6=2,$K14=2,$G14=1)),0,IF(AND(HY$9=2,(OR($F14&gt;1,$K14=1,AND($L14=80,OR($N14=1,AND($N14=2,'#BerechnungDBE'!$AL5&gt;0)))))),IF(HW$4&gt;=$AD$126,0,IG14),IF(HY$9=3,IF(OR(HW$4&gt;=$AD$127,AND($G14=1,$J14=2,HW$6=2),AND(HW$6=1,$N14&lt;&gt;1)),0,IF(IA14&lt;=120,IG14,IF(HW$4&lt;$AD$124,IF($F14=1,60/HY$4*HY$6,60/HY$4*HY$7),IF($F14=1,120/HY$4*HY$6,120/HY$4*HY$7)))),IF(OR($F14=3,$G14=2),IF(OR(AND(HW$4&gt;=$AD$119,$C14=2),AND(HW$4&gt;=$AF$119,$C14=1)),0,IF(IA14&lt;=60,IG14,60/HY$4*HY$7)),IF(AND($F14=2,$G14=1),IG14,0)))))</f>
        <v>0</v>
      </c>
      <c r="IJ14" s="57" t="str">
        <f t="shared" ref="IJ14:IJ77" si="94">IF(OR(HW$6&lt;&gt;1,$L14=80),"",IF($M14=1,HW14*HY$6,HW14*HY$7))</f>
        <v/>
      </c>
      <c r="IK14" s="57" t="str">
        <f t="shared" ref="IK14:IK45" si="95">IF(AND(HW$6=1,$L14=80),IF(OR($N14=2,HW$4&gt;=$C$133),0,IF(IA14&lt;=60,HW14*HY$5,60/HY$4*HY$5)),"")</f>
        <v/>
      </c>
      <c r="IL14" s="713">
        <f>'org. Düngung 22'!BP13</f>
        <v>0</v>
      </c>
      <c r="IO14" s="57">
        <f t="shared" ref="IO14:IO77" si="96">IL14*$B14</f>
        <v>0</v>
      </c>
      <c r="IP14" s="57">
        <f>IN$4*IL14</f>
        <v>0</v>
      </c>
      <c r="IQ14" s="57">
        <f>IN$5*IL14</f>
        <v>0</v>
      </c>
      <c r="IR14" s="57">
        <f>IP14-IP14*IN$10/100</f>
        <v>0</v>
      </c>
      <c r="IS14" s="57">
        <f>IN$8*IL14</f>
        <v>0</v>
      </c>
      <c r="IT14" s="1029">
        <f t="shared" ref="IT14:IT45" si="97">IF(IL$6&gt;1,IP14,        IF($L14=70,"",         IF(OR($L14=0,$N14=2),IP14, IF(IL$4&gt;=$C$133,IP14,IF(IP14&lt;60,0,IP14-60)))))</f>
        <v>0</v>
      </c>
      <c r="IU14" s="57">
        <f t="shared" ref="IU14:IU45" si="98">IF(OR(IL$6&lt;&gt;2,$J14=2,$F14&gt;1),0,IF(IN$9=2,0,IF(AND(OR(IN$9=3,IN$9=1),IL$4&lt;$C$133),IF(IP14&lt;=60,IL14*IN$5,60/IN$4*IN$5),0)))</f>
        <v>0</v>
      </c>
      <c r="IV14" s="171" t="str">
        <f t="shared" ref="IV14:IV45" si="99">IF(OR(IN$4=0,IL$6=3),"",         IF(IL$6=1,      IF($L14=70,"",IF($F14=1,IT14/IN$4*IN$6,IT14/IN$4*IN$7)),      IF($F14&gt;1,IL14*IN$7,   IF(OR($J14=2,IL$4&gt;=$C$133,IN$9=2),IL14*IN$6,IF(IP14&lt;=60,0,(IP14-60)/IN$4*IN$6)))))</f>
        <v/>
      </c>
      <c r="IW14" s="57">
        <f>IF(IL$6=3,IF($F14=1,IL14*IN$6,IL14*IN$7),"")</f>
        <v>0</v>
      </c>
      <c r="IX14" s="57">
        <f>IF(OR(AND(IL$6=1,$L14=0),AND(IL$6=2,$K14=2,$G14=1)),0,IF(AND(IN$9=2,(OR($F14&gt;1,$K14=1,AND($L14=80,OR($N14=1,AND($N14=2,'#BerechnungDBE'!$AL5&gt;0)))))),IF(IL$4&gt;=$AD$126,0,IV14),IF(IN$9=3,IF(OR(IL$4&gt;=$AD$127,AND($G14=1,$J14=2,IL$6=2),AND(IL$6=1,$N14&lt;&gt;1)),0,IF(IP14&lt;=120,IV14,IF(IL$4&lt;$AD$124,IF($F14=1,60/IN$4*IN$6,60/IN$4*IN$7),IF($F14=1,120/IN$4*IN$6,120/IN$4*IN$7)))),IF(OR($F14=3,$G14=2),IF(OR(AND(IL$4&gt;=$AD$119,$C14=2),AND(IL$4&gt;=$AF$119,$C14=1)),0,IF(IP14&lt;=60,IV14,60/IN$4*IN$7)),IF(AND($F14=2,$G14=1),IV14,0)))))</f>
        <v>0</v>
      </c>
      <c r="IY14" s="57" t="str">
        <f t="shared" ref="IY14:IY77" si="100">IF(OR(IL$6&lt;&gt;1,$L14=80),"",IF($M14=1,IL14*IN$6,IL14*IN$7))</f>
        <v/>
      </c>
      <c r="IZ14" s="57" t="str">
        <f t="shared" ref="IZ14:IZ45" si="101">IF(AND(IL$6=1,$L14=80),IF(OR($N14=2,IL$4&gt;=$C$133),0,IF(IP14&lt;=60,IL14*IN$5,60/IN$4*IN$5)),"")</f>
        <v/>
      </c>
      <c r="JA14" s="713">
        <f>'org. Düngung 22'!BT13</f>
        <v>0</v>
      </c>
      <c r="JD14" s="57">
        <f t="shared" ref="JD14:JD77" si="102">JA14*$B14</f>
        <v>0</v>
      </c>
      <c r="JE14" s="57">
        <f>JC$4*JA14</f>
        <v>0</v>
      </c>
      <c r="JF14" s="57">
        <f>JC$5*JA14</f>
        <v>0</v>
      </c>
      <c r="JG14" s="57">
        <f>JE14-JE14*JC$10/100</f>
        <v>0</v>
      </c>
      <c r="JH14" s="57">
        <f>JC$8*JA14</f>
        <v>0</v>
      </c>
      <c r="JI14" s="1029">
        <f t="shared" ref="JI14:JI45" si="103">IF(JA$6&gt;1,JE14,        IF($L14=70,"",         IF(OR($L14=0,$N14=2),JE14, IF(JA$4&gt;=$C$133,JE14,IF(JE14&lt;60,0,JE14-60)))))</f>
        <v>0</v>
      </c>
      <c r="JJ14" s="57">
        <f t="shared" ref="JJ14:JJ45" si="104">IF(OR(JA$6&lt;&gt;2,$J14=2,$F14&gt;1),0,IF(JC$9=2,0,IF(AND(OR(JC$9=3,JC$9=1),JA$4&lt;$C$133),IF(JE14&lt;=60,JA14*JC$5,60/JC$4*JC$5),0)))</f>
        <v>0</v>
      </c>
      <c r="JK14" s="171" t="str">
        <f t="shared" ref="JK14:JK45" si="105">IF(OR(JC$4=0,JA$6=3),"",         IF(JA$6=1,      IF($L14=70,"",IF($F14=1,JI14/JC$4*JC$6,JI14/JC$4*JC$7)),      IF($F14&gt;1,JA14*JC$7,   IF(OR($J14=2,JA$4&gt;=$C$133,JC$9=2),JA14*JC$6,IF(JE14&lt;=60,0,(JE14-60)/JC$4*JC$6)))))</f>
        <v/>
      </c>
      <c r="JL14" s="57">
        <f>IF(JA$6=3,IF($F14=1,JA14*JC$6,JA14*JC$7),"")</f>
        <v>0</v>
      </c>
      <c r="JM14" s="57">
        <f>IF(OR(AND(JA$6=1,$L14=0),AND(JA$6=2,$K14=2,$G14=1)),0,IF(AND(JC$9=2,(OR($F14&gt;1,$K14=1,AND($L14=80,OR($N14=1,AND($N14=2,'#BerechnungDBE'!$AL5&gt;0)))))),IF(JA$4&gt;=$AD$126,0,JK14),IF(JC$9=3,IF(OR(JA$4&gt;=$AD$127,AND($G14=1,$J14=2,JA$6=2),AND(JA$6=1,$N14&lt;&gt;1)),0,IF(JE14&lt;=120,JK14,IF(JA$4&lt;$AD$124,IF($F14=1,60/JC$4*JC$6,60/JC$4*JC$7),IF($F14=1,120/JC$4*JC$6,120/JC$4*JC$7)))),IF(OR($F14=3,$G14=2),IF(OR(AND(JA$4&gt;=$AD$119,$C14=2),AND(JA$4&gt;=$AF$119,$C14=1)),0,IF(JE14&lt;=60,JK14,60/JC$4*JC$7)),IF(AND($F14=2,$G14=1),JK14,0)))))</f>
        <v>0</v>
      </c>
      <c r="JN14" s="57" t="str">
        <f t="shared" ref="JN14:JN77" si="106">IF(OR(JA$6&lt;&gt;1,$L14=80),"",IF($M14=1,JA14*JC$6,JA14*JC$7))</f>
        <v/>
      </c>
      <c r="JO14" s="57" t="str">
        <f t="shared" ref="JO14:JO45" si="107">IF(AND(JA$6=1,$L14=80),IF(OR($N14=2,JA$4&gt;=$C$133),0,IF(JE14&lt;=60,JA14*JC$5,60/JC$4*JC$5)),"")</f>
        <v/>
      </c>
      <c r="JP14" s="713">
        <f>'org. Düngung 22'!BX13</f>
        <v>0</v>
      </c>
      <c r="JS14" s="57">
        <f t="shared" ref="JS14:JS77" si="108">JP14*$B14</f>
        <v>0</v>
      </c>
      <c r="JT14" s="57">
        <f>JR$4*JP14</f>
        <v>0</v>
      </c>
      <c r="JU14" s="57">
        <f>JR$5*JP14</f>
        <v>0</v>
      </c>
      <c r="JV14" s="57">
        <f>JT14-JT14*JR$10/100</f>
        <v>0</v>
      </c>
      <c r="JW14" s="57">
        <f>JR$8*JP14</f>
        <v>0</v>
      </c>
      <c r="JX14" s="1029">
        <f t="shared" ref="JX14:JX45" si="109">IF(JP$6&gt;1,JT14,        IF($L14=70,"",         IF(OR($L14=0,$N14=2),JT14, IF(JP$4&gt;=$C$133,JT14,IF(JT14&lt;60,0,JT14-60)))))</f>
        <v>0</v>
      </c>
      <c r="JY14" s="57">
        <f t="shared" ref="JY14:JY45" si="110">IF(OR(JP$6&lt;&gt;2,$J14=2,$F14&gt;1),0,IF(JR$9=2,0,IF(AND(OR(JR$9=3,JR$9=1),JP$4&lt;$C$133),IF(JT14&lt;=60,JP14*JR$5,60/JR$4*JR$5),0)))</f>
        <v>0</v>
      </c>
      <c r="JZ14" s="171" t="str">
        <f t="shared" ref="JZ14:JZ45" si="111">IF(OR(JR$4=0,JP$6=3),"",         IF(JP$6=1,      IF($L14=70,"",IF($F14=1,JX14/JR$4*JR$6,JX14/JR$4*JR$7)),      IF($F14&gt;1,JP14*JR$7,   IF(OR($J14=2,JP$4&gt;=$C$133,JR$9=2),JP14*JR$6,IF(JT14&lt;=60,0,(JT14-60)/JR$4*JR$6)))))</f>
        <v/>
      </c>
      <c r="KA14" s="57">
        <f>IF(JP$6=3,IF($F14=1,JP14*JR$6,JP14*JR$7),"")</f>
        <v>0</v>
      </c>
      <c r="KB14" s="57">
        <f>IF(OR(AND(JP$6=1,$L14=0),AND(JP$6=2,$K14=2,$G14=1)),0,IF(AND(JR$9=2,(OR($F14&gt;1,$K14=1,AND($L14=80,OR($N14=1,AND($N14=2,'#BerechnungDBE'!$AL5&gt;0)))))),IF(JP$4&gt;=$AD$126,0,JZ14),IF(JR$9=3,IF(OR(JP$4&gt;=$AD$127,AND($G14=1,$J14=2,JP$6=2),AND(JP$6=1,$N14&lt;&gt;1)),0,IF(JT14&lt;=120,JZ14,IF(JP$4&lt;$AD$124,IF($F14=1,60/JR$4*JR$6,60/JR$4*JR$7),IF($F14=1,120/JR$4*JR$6,120/JR$4*JR$7)))),IF(OR($F14=3,$G14=2),IF(OR(AND(JP$4&gt;=$AD$119,$C14=2),AND(JP$4&gt;=$AF$119,$C14=1)),0,IF(JT14&lt;=60,JZ14,60/JR$4*JR$7)),IF(AND($F14=2,$G14=1),JZ14,0)))))</f>
        <v>0</v>
      </c>
      <c r="KC14" s="57" t="str">
        <f t="shared" ref="KC14:KC77" si="112">IF(OR(JP$6&lt;&gt;1,$L14=80),"",IF($M14=1,JP14*JR$6,JP14*JR$7))</f>
        <v/>
      </c>
      <c r="KD14" s="57" t="str">
        <f t="shared" ref="KD14:KD45" si="113">IF(AND(JP$6=1,$L14=80),IF(OR($N14=2,JP$4&gt;=$C$133),0,IF(JT14&lt;=60,JP14*JR$5,60/JR$4*JR$5)),"")</f>
        <v/>
      </c>
      <c r="KE14" s="713">
        <f>'org. Düngung 22'!CB13</f>
        <v>0</v>
      </c>
      <c r="KH14" s="57">
        <f t="shared" ref="KH14:KH77" si="114">KE14*$B14</f>
        <v>0</v>
      </c>
      <c r="KI14" s="57">
        <f>KG$4*KE14</f>
        <v>0</v>
      </c>
      <c r="KJ14" s="57">
        <f>KG$5*KE14</f>
        <v>0</v>
      </c>
      <c r="KK14" s="57">
        <f>KI14-KI14*KG$10/100</f>
        <v>0</v>
      </c>
      <c r="KL14" s="57">
        <f>KG$8*KE14</f>
        <v>0</v>
      </c>
      <c r="KM14" s="1029">
        <f t="shared" ref="KM14:KM45" si="115">IF(KE$6&gt;1,KI14,        IF($L14=70,"",         IF(OR($L14=0,$N14=2),KI14, IF(KE$4&gt;=$C$133,KI14,IF(KI14&lt;60,0,KI14-60)))))</f>
        <v>0</v>
      </c>
      <c r="KN14" s="57">
        <f t="shared" ref="KN14:KN45" si="116">IF(OR(KE$6&lt;&gt;2,$J14=2,$F14&gt;1),0,IF(KG$9=2,0,IF(AND(OR(KG$9=3,KG$9=1),KE$4&lt;$C$133),IF(KI14&lt;=60,KE14*KG$5,60/KG$4*KG$5),0)))</f>
        <v>0</v>
      </c>
      <c r="KO14" s="171" t="str">
        <f t="shared" ref="KO14:KO45" si="117">IF(OR(KG$4=0,KE$6=3),"",         IF(KE$6=1,      IF($L14=70,"",IF($F14=1,KM14/KG$4*KG$6,KM14/KG$4*KG$7)),      IF($F14&gt;1,KE14*KG$7,   IF(OR($J14=2,KE$4&gt;=$C$133,KG$9=2),KE14*KG$6,IF(KI14&lt;=60,0,(KI14-60)/KG$4*KG$6)))))</f>
        <v/>
      </c>
      <c r="KP14" s="57">
        <f>IF(KE$6=3,IF($F14=1,KE14*KG$6,KE14*KG$7),"")</f>
        <v>0</v>
      </c>
      <c r="KQ14" s="57">
        <f>IF(OR(AND(KE$6=1,$L14=0),AND(KE$6=2,$K14=2,$G14=1)),0,IF(AND(KG$9=2,(OR($F14&gt;1,$K14=1,AND($L14=80,OR($N14=1,AND($N14=2,'#BerechnungDBE'!$AL5&gt;0)))))),IF(KE$4&gt;=$AD$126,0,KO14),IF(KG$9=3,IF(OR(KE$4&gt;=$AD$127,AND($G14=1,$J14=2,KE$6=2),AND(KE$6=1,$N14&lt;&gt;1)),0,IF(KI14&lt;=120,KO14,IF(KE$4&lt;$AD$124,IF($F14=1,60/KG$4*KG$6,60/KG$4*KG$7),IF($F14=1,120/KG$4*KG$6,120/KG$4*KG$7)))),IF(OR($F14=3,$G14=2),IF(OR(AND(KE$4&gt;=$AD$119,$C14=2),AND(KE$4&gt;=$AF$119,$C14=1)),0,IF(KI14&lt;=60,KO14,60/KG$4*KG$7)),IF(AND($F14=2,$G14=1),KO14,0)))))</f>
        <v>0</v>
      </c>
      <c r="KR14" s="57" t="str">
        <f t="shared" ref="KR14:KR77" si="118">IF(OR(KE$6&lt;&gt;1,$L14=80),"",IF($M14=1,KE14*KG$6,KE14*KG$7))</f>
        <v/>
      </c>
      <c r="KS14" s="57" t="str">
        <f t="shared" ref="KS14:KS45" si="119">IF(AND(KE$6=1,$L14=80),IF(OR($N14=2,KE$4&gt;=$C$133),0,IF(KI14&lt;=60,KE14*KG$5,60/KG$4*KG$5)),"")</f>
        <v/>
      </c>
      <c r="KT14" s="713">
        <f>'org. Düngung 22'!CF13</f>
        <v>0</v>
      </c>
      <c r="KW14" s="57">
        <f t="shared" ref="KW14:KW77" si="120">KT14*$B14</f>
        <v>0</v>
      </c>
      <c r="KX14" s="57">
        <f>KV$4*KT14</f>
        <v>0</v>
      </c>
      <c r="KY14" s="57">
        <f>KV$5*KT14</f>
        <v>0</v>
      </c>
      <c r="KZ14" s="57">
        <f>KX14-KX14*KV$10/100</f>
        <v>0</v>
      </c>
      <c r="LA14" s="57">
        <f>KV$8*KT14</f>
        <v>0</v>
      </c>
      <c r="LB14" s="1029">
        <f t="shared" ref="LB14:LB45" si="121">IF(KT$6&gt;1,KX14,        IF($L14=70,"",         IF(OR($L14=0,$N14=2),KX14, IF(KT$4&gt;=$C$133,KX14,IF(KX14&lt;60,0,KX14-60)))))</f>
        <v>0</v>
      </c>
      <c r="LC14" s="57">
        <f t="shared" ref="LC14:LC45" si="122">IF(OR(KT$6&lt;&gt;2,$J14=2,$F14&gt;1),0,IF(KV$9=2,0,IF(AND(OR(KV$9=3,KV$9=1),KT$4&lt;$C$133),IF(KX14&lt;=60,KT14*KV$5,60/KV$4*KV$5),0)))</f>
        <v>0</v>
      </c>
      <c r="LD14" s="171" t="str">
        <f t="shared" ref="LD14:LD45" si="123">IF(OR(KV$4=0,KT$6=3),"",         IF(KT$6=1,      IF($L14=70,"",IF($F14=1,LB14/KV$4*KV$6,LB14/KV$4*KV$7)),      IF($F14&gt;1,KT14*KV$7,   IF(OR($J14=2,KT$4&gt;=$C$133,KV$9=2),KT14*KV$6,IF(KX14&lt;=60,0,(KX14-60)/KV$4*KV$6)))))</f>
        <v/>
      </c>
      <c r="LE14" s="57">
        <f>IF(KT$6=3,IF($F14=1,KT14*KV$6,KT14*KV$7),"")</f>
        <v>0</v>
      </c>
      <c r="LF14" s="57">
        <f>IF(OR(AND(KT$6=1,$L14=0),AND(KT$6=2,$K14=2,$G14=1)),0,IF(AND(KV$9=2,(OR($F14&gt;1,$K14=1,AND($L14=80,OR($N14=1,AND($N14=2,'#BerechnungDBE'!$AL5&gt;0)))))),IF(KT$4&gt;=$AD$126,0,LD14),IF(KV$9=3,IF(OR(KT$4&gt;=$AD$127,AND($G14=1,$J14=2,KT$6=2),AND(KT$6=1,$N14&lt;&gt;1)),0,IF(KX14&lt;=120,LD14,IF(KT$4&lt;$AD$124,IF($F14=1,60/KV$4*KV$6,60/KV$4*KV$7),IF($F14=1,120/KV$4*KV$6,120/KV$4*KV$7)))),IF(OR($F14=3,$G14=2),IF(OR(AND(KT$4&gt;=$AD$119,$C14=2),AND(KT$4&gt;=$AF$119,$C14=1)),0,IF(KX14&lt;=60,LD14,60/KV$4*KV$7)),IF(AND($F14=2,$G14=1),LD14,0)))))</f>
        <v>0</v>
      </c>
      <c r="LG14" s="57" t="str">
        <f t="shared" ref="LG14:LG77" si="124">IF(OR(KT$6&lt;&gt;1,$L14=80),"",IF($M14=1,KT14*KV$6,KT14*KV$7))</f>
        <v/>
      </c>
      <c r="LH14" s="57" t="str">
        <f t="shared" ref="LH14:LH45" si="125">IF(AND(KT$6=1,$L14=80),IF(OR($N14=2,KT$4&gt;=$C$133),0,IF(KX14&lt;=60,KT14*KV$5,60/KV$4*KV$5)),"")</f>
        <v/>
      </c>
      <c r="LI14" s="713">
        <f>'org. Düngung 22'!CJ13</f>
        <v>0</v>
      </c>
      <c r="LL14" s="57">
        <f t="shared" ref="LL14:LL77" si="126">LI14*$B14</f>
        <v>0</v>
      </c>
      <c r="LM14" s="57">
        <f>LK$4*LI14</f>
        <v>0</v>
      </c>
      <c r="LN14" s="57">
        <f>LK$5*LI14</f>
        <v>0</v>
      </c>
      <c r="LO14" s="57">
        <f>LM14-LM14*LK$10/100</f>
        <v>0</v>
      </c>
      <c r="LP14" s="57">
        <f>LK$8*LI14</f>
        <v>0</v>
      </c>
      <c r="LQ14" s="1029">
        <f t="shared" ref="LQ14:LQ45" si="127">IF(LI$6&gt;1,LM14,        IF($L14=70,"",         IF(OR($L14=0,$N14=2),LM14, IF(LI$4&gt;=$C$133,LM14,IF(LM14&lt;60,0,LM14-60)))))</f>
        <v>0</v>
      </c>
      <c r="LR14" s="57">
        <f t="shared" ref="LR14:LR45" si="128">IF(OR(LI$6&lt;&gt;2,$J14=2,$F14&gt;1),0,IF(LK$9=2,0,IF(AND(OR(LK$9=3,LK$9=1),LI$4&lt;$C$133),IF(LM14&lt;=60,LI14*LK$5,60/LK$4*LK$5),0)))</f>
        <v>0</v>
      </c>
      <c r="LS14" s="171" t="str">
        <f t="shared" ref="LS14:LS45" si="129">IF(OR(LK$4=0,LI$6=3),"",         IF(LI$6=1,      IF($L14=70,"",IF($F14=1,LQ14/LK$4*LK$6,LQ14/LK$4*LK$7)),      IF($F14&gt;1,LI14*LK$7,   IF(OR($J14=2,LI$4&gt;=$C$133,LK$9=2),LI14*LK$6,IF(LM14&lt;=60,0,(LM14-60)/LK$4*LK$6)))))</f>
        <v/>
      </c>
      <c r="LT14" s="57">
        <f>IF(LI$6=3,IF($F14=1,LI14*LK$6,LI14*LK$7),"")</f>
        <v>0</v>
      </c>
      <c r="LU14" s="57">
        <f>IF(OR(AND(LI$6=1,$L14=0),AND(LI$6=2,$K14=2,$G14=1)),0,IF(AND(LK$9=2,(OR($F14&gt;1,$K14=1,AND($L14=80,OR($N14=1,AND($N14=2,'#BerechnungDBE'!$AL5&gt;0)))))),IF(LI$4&gt;=$AD$126,0,LS14),IF(LK$9=3,IF(OR(LI$4&gt;=$AD$127,AND($G14=1,$J14=2,LI$6=2),AND(LI$6=1,$N14&lt;&gt;1)),0,IF(LM14&lt;=120,LS14,IF(LI$4&lt;$AD$124,IF($F14=1,60/LK$4*LK$6,60/LK$4*LK$7),IF($F14=1,120/LK$4*LK$6,120/LK$4*LK$7)))),IF(OR($F14=3,$G14=2),IF(OR(AND(LI$4&gt;=$AD$119,$C14=2),AND(LI$4&gt;=$AF$119,$C14=1)),0,IF(LM14&lt;=60,LS14,60/LK$4*LK$7)),IF(AND($F14=2,$G14=1),LS14,0)))))</f>
        <v>0</v>
      </c>
      <c r="LV14" s="57" t="str">
        <f t="shared" ref="LV14:LV77" si="130">IF(OR(LI$6&lt;&gt;1,$L14=80),"",IF($M14=1,LI14*LK$6,LI14*LK$7))</f>
        <v/>
      </c>
      <c r="LW14" s="57" t="str">
        <f t="shared" ref="LW14:LW45" si="131">IF(AND(LI$6=1,$L14=80),IF(OR($N14=2,LI$4&gt;=$C$133),0,IF(LM14&lt;=60,LI14*LK$5,60/LK$4*LK$5)),"")</f>
        <v/>
      </c>
      <c r="LX14" s="713">
        <f>'org. Düngung 22'!CN13</f>
        <v>0</v>
      </c>
      <c r="MA14" s="57">
        <f t="shared" ref="MA14:MA77" si="132">LX14*$B14</f>
        <v>0</v>
      </c>
      <c r="MB14" s="57">
        <f>LZ$4*LX14</f>
        <v>0</v>
      </c>
      <c r="MC14" s="57">
        <f>LZ$5*LX14</f>
        <v>0</v>
      </c>
      <c r="MD14" s="57">
        <f>MB14-MB14*LZ$10/100</f>
        <v>0</v>
      </c>
      <c r="ME14" s="57">
        <f>LZ$8*LX14</f>
        <v>0</v>
      </c>
      <c r="MF14" s="1029">
        <f t="shared" ref="MF14:MF45" si="133">IF(LX$6&gt;1,MB14,        IF($L14=70,"",         IF(OR($L14=0,$N14=2),MB14, IF(LX$4&gt;=$C$133,MB14,IF(MB14&lt;60,0,MB14-60)))))</f>
        <v>0</v>
      </c>
      <c r="MG14" s="57">
        <f t="shared" ref="MG14:MG45" si="134">IF(OR(LX$6&lt;&gt;2,$J14=2,$F14&gt;1),0,IF(LZ$9=2,0,IF(AND(OR(LZ$9=3,LZ$9=1),LX$4&lt;$C$133),IF(MB14&lt;=60,LX14*LZ$5,60/LZ$4*LZ$5),0)))</f>
        <v>0</v>
      </c>
      <c r="MH14" s="171" t="str">
        <f t="shared" ref="MH14:MH45" si="135">IF(OR(LZ$4=0,LX$6=3),"",         IF(LX$6=1,      IF($L14=70,"",IF($F14=1,MF14/LZ$4*LZ$6,MF14/LZ$4*LZ$7)),      IF($F14&gt;1,LX14*LZ$7,   IF(OR($J14=2,LX$4&gt;=$C$133,LZ$9=2),LX14*LZ$6,IF(MB14&lt;=60,0,(MB14-60)/LZ$4*LZ$6)))))</f>
        <v/>
      </c>
      <c r="MI14" s="57">
        <f>IF(LX$6=3,IF($F14=1,LX14*LZ$6,LX14*LZ$7),"")</f>
        <v>0</v>
      </c>
      <c r="MJ14" s="57">
        <f>IF(OR(AND(LX$6=1,$L14=0),AND(LX$6=2,$K14=2,$G14=1)),0,IF(AND(LZ$9=2,(OR($F14&gt;1,$K14=1,AND($L14=80,OR($N14=1,AND($N14=2,'#BerechnungDBE'!$AL5&gt;0)))))),IF(LX$4&gt;=$AD$126,0,MH14),IF(LZ$9=3,IF(OR(LX$4&gt;=$AD$127,AND($G14=1,$J14=2,LX$6=2),AND(LX$6=1,$N14&lt;&gt;1)),0,IF(MB14&lt;=120,MH14,IF(LX$4&lt;$AD$124,IF($F14=1,60/LZ$4*LZ$6,60/LZ$4*LZ$7),IF($F14=1,120/LZ$4*LZ$6,120/LZ$4*LZ$7)))),IF(OR($F14=3,$G14=2),IF(OR(AND(LX$4&gt;=$AD$119,$C14=2),AND(LX$4&gt;=$AF$119,$C14=1)),0,IF(MB14&lt;=60,MH14,60/LZ$4*LZ$7)),IF(AND($F14=2,$G14=1),MH14,0)))))</f>
        <v>0</v>
      </c>
      <c r="MK14" s="57" t="str">
        <f t="shared" ref="MK14:MK77" si="136">IF(OR(LX$6&lt;&gt;1,$L14=80),"",IF($M14=1,LX14*LZ$6,LX14*LZ$7))</f>
        <v/>
      </c>
      <c r="ML14" s="57" t="str">
        <f t="shared" ref="ML14:ML45" si="137">IF(AND(LX$6=1,$L14=80),IF(OR($N14=2,LX$4&gt;=$C$133),0,IF(MB14&lt;=60,LX14*LZ$5,60/LZ$4*LZ$5)),"")</f>
        <v/>
      </c>
      <c r="MM14" s="713">
        <f>'org. Düngung 22'!CR13</f>
        <v>0</v>
      </c>
      <c r="MP14" s="57">
        <f t="shared" ref="MP14:MP77" si="138">MM14*$B14</f>
        <v>0</v>
      </c>
      <c r="MQ14" s="57">
        <f>MO$4*MM14</f>
        <v>0</v>
      </c>
      <c r="MR14" s="57">
        <f>MO$5*MM14</f>
        <v>0</v>
      </c>
      <c r="MS14" s="57">
        <f>MQ14-MQ14*MO$10/100</f>
        <v>0</v>
      </c>
      <c r="MT14" s="57">
        <f>MO$8*MM14</f>
        <v>0</v>
      </c>
      <c r="MU14" s="1029">
        <f t="shared" ref="MU14:MU45" si="139">IF(MM$6&gt;1,MQ14,        IF($L14=70,"",         IF(OR($L14=0,$N14=2),MQ14, IF(MM$4&gt;=$C$133,MQ14,IF(MQ14&lt;60,0,MQ14-60)))))</f>
        <v>0</v>
      </c>
      <c r="MV14" s="57">
        <f t="shared" ref="MV14:MV45" si="140">IF(OR(MM$6&lt;&gt;2,$J14=2,$F14&gt;1),0,IF(MO$9=2,0,IF(AND(OR(MO$9=3,MO$9=1),MM$4&lt;$C$133),IF(MQ14&lt;=60,MM14*MO$5,60/MO$4*MO$5),0)))</f>
        <v>0</v>
      </c>
      <c r="MW14" s="171" t="str">
        <f t="shared" ref="MW14:MW45" si="141">IF(OR(MO$4=0,MM$6=3),"",         IF(MM$6=1,      IF($L14=70,"",IF($F14=1,MU14/MO$4*MO$6,MU14/MO$4*MO$7)),      IF($F14&gt;1,MM14*MO$7,   IF(OR($J14=2,MM$4&gt;=$C$133,MO$9=2),MM14*MO$6,IF(MQ14&lt;=60,0,(MQ14-60)/MO$4*MO$6)))))</f>
        <v/>
      </c>
      <c r="MX14" s="57">
        <f>IF(MM$6=3,IF($F14=1,MM14*MO$6,MM14*MO$7),"")</f>
        <v>0</v>
      </c>
      <c r="MY14" s="57">
        <f>IF(OR(AND(MM$6=1,$L14=0),AND(MM$6=2,$K14=2,$G14=1)),0,IF(AND(MO$9=2,(OR($F14&gt;1,$K14=1,AND($L14=80,OR($N14=1,AND($N14=2,'#BerechnungDBE'!$AL5&gt;0)))))),IF(MM$4&gt;=$AD$126,0,MW14),IF(MO$9=3,IF(OR(MM$4&gt;=$AD$127,AND($G14=1,$J14=2,MM$6=2),AND(MM$6=1,$N14&lt;&gt;1)),0,IF(MQ14&lt;=120,MW14,IF(MM$4&lt;$AD$124,IF($F14=1,60/MO$4*MO$6,60/MO$4*MO$7),IF($F14=1,120/MO$4*MO$6,120/MO$4*MO$7)))),IF(OR($F14=3,$G14=2),IF(OR(AND(MM$4&gt;=$AD$119,$C14=2),AND(MM$4&gt;=$AF$119,$C14=1)),0,IF(MQ14&lt;=60,MW14,60/MO$4*MO$7)),IF(AND($F14=2,$G14=1),MW14,0)))))</f>
        <v>0</v>
      </c>
      <c r="MZ14" s="57" t="str">
        <f t="shared" ref="MZ14:MZ77" si="142">IF(OR(MM$6&lt;&gt;1,$L14=80),"",IF($M14=1,MM14*MO$6,MM14*MO$7))</f>
        <v/>
      </c>
      <c r="NA14" s="57" t="str">
        <f t="shared" ref="NA14:NA45" si="143">IF(AND(MM$6=1,$L14=80),IF(OR($N14=2,MM$4&gt;=$C$133),0,IF(MQ14&lt;=60,MM14*MO$5,60/MO$4*MO$5)),"")</f>
        <v/>
      </c>
      <c r="NB14" s="713">
        <f>'org. Düngung 22'!CV13</f>
        <v>0</v>
      </c>
      <c r="NE14" s="57">
        <f t="shared" ref="NE14:NE77" si="144">NB14*$B14</f>
        <v>0</v>
      </c>
      <c r="NF14" s="57">
        <f>ND$4*NB14</f>
        <v>0</v>
      </c>
      <c r="NG14" s="57">
        <f>ND$5*NB14</f>
        <v>0</v>
      </c>
      <c r="NH14" s="57">
        <f>NF14-NF14*ND$10/100</f>
        <v>0</v>
      </c>
      <c r="NI14" s="57">
        <f>ND$8*NB14</f>
        <v>0</v>
      </c>
      <c r="NJ14" s="1029">
        <f t="shared" ref="NJ14:NJ45" si="145">IF(NB$6&gt;1,NF14,        IF($L14=70,"",         IF(OR($L14=0,$N14=2),NF14, IF(NB$4&gt;=$C$133,NF14,IF(NF14&lt;60,0,NF14-60)))))</f>
        <v>0</v>
      </c>
      <c r="NK14" s="57">
        <f t="shared" ref="NK14:NK45" si="146">IF(OR(NB$6&lt;&gt;2,$J14=2,$F14&gt;1),0,IF(ND$9=2,0,IF(AND(OR(ND$9=3,ND$9=1),NB$4&lt;$C$133),IF(NF14&lt;=60,NB14*ND$5,60/ND$4*ND$5),0)))</f>
        <v>0</v>
      </c>
      <c r="NL14" s="171" t="str">
        <f t="shared" ref="NL14:NL45" si="147">IF(OR(ND$4=0,NB$6=3),"",         IF(NB$6=1,      IF($L14=70,"",IF($F14=1,NJ14/ND$4*ND$6,NJ14/ND$4*ND$7)),      IF($F14&gt;1,NB14*ND$7,   IF(OR($J14=2,NB$4&gt;=$C$133,ND$9=2),NB14*ND$6,IF(NF14&lt;=60,0,(NF14-60)/ND$4*ND$6)))))</f>
        <v/>
      </c>
      <c r="NM14" s="57">
        <f>IF(NB$6=3,IF($F14=1,NB14*ND$6,NB14*ND$7),"")</f>
        <v>0</v>
      </c>
      <c r="NN14" s="57">
        <f>IF(OR(AND(NB$6=1,$L14=0),AND(NB$6=2,$K14=2,$G14=1)),0,IF(AND(ND$9=2,(OR($F14&gt;1,$K14=1,AND($L14=80,OR($N14=1,AND($N14=2,'#BerechnungDBE'!$AL5&gt;0)))))),IF(NB$4&gt;=$AD$126,0,NL14),IF(ND$9=3,IF(OR(NB$4&gt;=$AD$127,AND($G14=1,$J14=2,NB$6=2),AND(NB$6=1,$N14&lt;&gt;1)),0,IF(NF14&lt;=120,NL14,IF(NB$4&lt;$AD$124,IF($F14=1,60/ND$4*ND$6,60/ND$4*ND$7),IF($F14=1,120/ND$4*ND$6,120/ND$4*ND$7)))),IF(OR($F14=3,$G14=2),IF(OR(AND(NB$4&gt;=$AD$119,$C14=2),AND(NB$4&gt;=$AF$119,$C14=1)),0,IF(NF14&lt;=60,NL14,60/ND$4*ND$7)),IF(AND($F14=2,$G14=1),NL14,0)))))</f>
        <v>0</v>
      </c>
      <c r="NO14" s="57" t="str">
        <f t="shared" ref="NO14:NO77" si="148">IF(OR(NB$6&lt;&gt;1,$L14=80),"",IF($M14=1,NB14*ND$6,NB14*ND$7))</f>
        <v/>
      </c>
      <c r="NP14" s="57" t="str">
        <f t="shared" ref="NP14:NP45" si="149">IF(AND(NB$6=1,$L14=80),IF(OR($N14=2,NB$4&gt;=$C$133),0,IF(NF14&lt;=60,NB14*ND$5,60/ND$4*ND$5)),"")</f>
        <v/>
      </c>
      <c r="NQ14" s="713">
        <f>'org. Düngung 22'!CZ13</f>
        <v>0</v>
      </c>
      <c r="NT14" s="57">
        <f t="shared" ref="NT14:NT77" si="150">NQ14*$B14</f>
        <v>0</v>
      </c>
      <c r="NU14" s="57">
        <f>NS$4*NQ14</f>
        <v>0</v>
      </c>
      <c r="NV14" s="57">
        <f>NS$5*NQ14</f>
        <v>0</v>
      </c>
      <c r="NW14" s="57">
        <f>NU14-NU14*NS$10/100</f>
        <v>0</v>
      </c>
      <c r="NX14" s="57">
        <f>NS$8*NQ14</f>
        <v>0</v>
      </c>
      <c r="NY14" s="1029">
        <f t="shared" ref="NY14:NY45" si="151">IF(NQ$6&gt;1,NU14,        IF($L14=70,"",         IF(OR($L14=0,$N14=2),NU14, IF(NQ$4&gt;=$C$133,NU14,IF(NU14&lt;60,0,NU14-60)))))</f>
        <v>0</v>
      </c>
      <c r="NZ14" s="57">
        <f t="shared" ref="NZ14:NZ45" si="152">IF(OR(NQ$6&lt;&gt;2,$J14=2,$F14&gt;1),0,IF(NS$9=2,0,IF(AND(OR(NS$9=3,NS$9=1),NQ$4&lt;$C$133),IF(NU14&lt;=60,NQ14*NS$5,60/NS$4*NS$5),0)))</f>
        <v>0</v>
      </c>
      <c r="OA14" s="171" t="str">
        <f t="shared" ref="OA14:OA45" si="153">IF(OR(NS$4=0,NQ$6=3),"",         IF(NQ$6=1,      IF($L14=70,"",IF($F14=1,NY14/NS$4*NS$6,NY14/NS$4*NS$7)),      IF($F14&gt;1,NQ14*NS$7,   IF(OR($J14=2,NQ$4&gt;=$C$133,NS$9=2),NQ14*NS$6,IF(NU14&lt;=60,0,(NU14-60)/NS$4*NS$6)))))</f>
        <v/>
      </c>
      <c r="OB14" s="57">
        <f>IF(NQ$6=3,IF($F14=1,NQ14*NS$6,NQ14*NS$7),"")</f>
        <v>0</v>
      </c>
      <c r="OC14" s="57">
        <f>IF(OR(AND(NQ$6=1,$L14=0),AND(NQ$6=2,$K14=2,$G14=1)),0,IF(AND(NS$9=2,(OR($F14&gt;1,$K14=1,AND($L14=80,OR($N14=1,AND($N14=2,'#BerechnungDBE'!$AL5&gt;0)))))),IF(NQ$4&gt;=$AD$126,0,OA14),IF(NS$9=3,IF(OR(NQ$4&gt;=$AD$127,AND($G14=1,$J14=2,NQ$6=2),AND(NQ$6=1,$N14&lt;&gt;1)),0,IF(NU14&lt;=120,OA14,IF(NQ$4&lt;$AD$124,IF($F14=1,60/NS$4*NS$6,60/NS$4*NS$7),IF($F14=1,120/NS$4*NS$6,120/NS$4*NS$7)))),IF(OR($F14=3,$G14=2),IF(OR(AND(NQ$4&gt;=$AD$119,$C14=2),AND(NQ$4&gt;=$AF$119,$C14=1)),0,IF(NU14&lt;=60,OA14,60/NS$4*NS$7)),IF(AND($F14=2,$G14=1),OA14,0)))))</f>
        <v>0</v>
      </c>
      <c r="OD14" s="57" t="str">
        <f t="shared" ref="OD14:OD77" si="154">IF(OR(NQ$6&lt;&gt;1,$L14=80),"",IF($M14=1,NQ14*NS$6,NQ14*NS$7))</f>
        <v/>
      </c>
      <c r="OE14" s="57" t="str">
        <f t="shared" ref="OE14:OE45" si="155">IF(AND(NQ$6=1,$L14=80),IF(OR($N14=2,NQ$4&gt;=$C$133),0,IF(NU14&lt;=60,NQ14*NS$5,60/NS$4*NS$5)),"")</f>
        <v/>
      </c>
      <c r="OF14" s="713">
        <f>'org. Düngung 22'!DD13</f>
        <v>0</v>
      </c>
      <c r="OI14" s="57">
        <f t="shared" ref="OI14:OI77" si="156">OF14*$B14</f>
        <v>0</v>
      </c>
      <c r="OJ14" s="57">
        <f>OH$4*OF14</f>
        <v>0</v>
      </c>
      <c r="OK14" s="57">
        <f>OH$5*OF14</f>
        <v>0</v>
      </c>
      <c r="OL14" s="57">
        <f>OJ14-OJ14*OH$10/100</f>
        <v>0</v>
      </c>
      <c r="OM14" s="57">
        <f>OH$8*OF14</f>
        <v>0</v>
      </c>
      <c r="ON14" s="1029">
        <f t="shared" ref="ON14:ON45" si="157">IF(OF$6&gt;1,OJ14,        IF($L14=70,"",         IF(OR($L14=0,$N14=2),OJ14, IF(OF$4&gt;=$C$133,OJ14,IF(OJ14&lt;60,0,OJ14-60)))))</f>
        <v>0</v>
      </c>
      <c r="OO14" s="57">
        <f t="shared" ref="OO14:OO45" si="158">IF(OR(OF$6&lt;&gt;2,$J14=2,$F14&gt;1),0,IF(OH$9=2,0,IF(AND(OR(OH$9=3,OH$9=1),OF$4&lt;$C$133),IF(OJ14&lt;=60,OF14*OH$5,60/OH$4*OH$5),0)))</f>
        <v>0</v>
      </c>
      <c r="OP14" s="171" t="str">
        <f t="shared" ref="OP14:OP45" si="159">IF(OR(OH$4=0,OF$6=3),"",         IF(OF$6=1,      IF($L14=70,"",IF($F14=1,ON14/OH$4*OH$6,ON14/OH$4*OH$7)),      IF($F14&gt;1,OF14*OH$7,   IF(OR($J14=2,OF$4&gt;=$C$133,OH$9=2),OF14*OH$6,IF(OJ14&lt;=60,0,(OJ14-60)/OH$4*OH$6)))))</f>
        <v/>
      </c>
      <c r="OQ14" s="57">
        <f>IF(OF$6=3,IF($F14=1,OF14*OH$6,OF14*OH$7),"")</f>
        <v>0</v>
      </c>
      <c r="OR14" s="57">
        <f>IF(OR(AND(OF$6=1,$L14=0),AND(OF$6=2,$K14=2,$G14=1)),0,IF(AND(OH$9=2,(OR($F14&gt;1,$K14=1,AND($L14=80,OR($N14=1,AND($N14=2,'#BerechnungDBE'!$AL5&gt;0)))))),IF(OF$4&gt;=$AD$126,0,OP14),IF(OH$9=3,IF(OR(OF$4&gt;=$AD$127,AND($G14=1,$J14=2,OF$6=2),AND(OF$6=1,$N14&lt;&gt;1)),0,IF(OJ14&lt;=120,OP14,IF(OF$4&lt;$AD$124,IF($F14=1,60/OH$4*OH$6,60/OH$4*OH$7),IF($F14=1,120/OH$4*OH$6,120/OH$4*OH$7)))),IF(OR($F14=3,$G14=2),IF(OR(AND(OF$4&gt;=$AD$119,$C14=2),AND(OF$4&gt;=$AF$119,$C14=1)),0,IF(OJ14&lt;=60,OP14,60/OH$4*OH$7)),IF(AND($F14=2,$G14=1),OP14,0)))))</f>
        <v>0</v>
      </c>
      <c r="OS14" s="57" t="str">
        <f t="shared" ref="OS14:OS77" si="160">IF(OR(OF$6&lt;&gt;1,$L14=80),"",IF($M14=1,OF14*OH$6,OF14*OH$7))</f>
        <v/>
      </c>
      <c r="OT14" s="57" t="str">
        <f t="shared" ref="OT14:OT45" si="161">IF(AND(OF$6=1,$L14=80),IF(OR($N14=2,OF$4&gt;=$C$133),0,IF(OJ14&lt;=60,OF14*OH$5,60/OH$4*OH$5)),"")</f>
        <v/>
      </c>
      <c r="OU14" s="713">
        <f>'org. Düngung 22'!DH13</f>
        <v>0</v>
      </c>
      <c r="OX14" s="57">
        <f t="shared" ref="OX14:OX77" si="162">OU14*$B14</f>
        <v>0</v>
      </c>
      <c r="OY14" s="57">
        <f>OW$4*OU14</f>
        <v>0</v>
      </c>
      <c r="OZ14" s="57">
        <f>OW$5*OU14</f>
        <v>0</v>
      </c>
      <c r="PA14" s="57">
        <f>OY14-OY14*OW$10/100</f>
        <v>0</v>
      </c>
      <c r="PB14" s="57">
        <f>OW$8*OU14</f>
        <v>0</v>
      </c>
      <c r="PC14" s="1029">
        <f t="shared" ref="PC14:PC45" si="163">IF(OU$6&gt;1,OY14,        IF($L14=70,"",         IF(OR($L14=0,$N14=2),OY14, IF(OU$4&gt;=$C$133,OY14,IF(OY14&lt;60,0,OY14-60)))))</f>
        <v>0</v>
      </c>
      <c r="PD14" s="57">
        <f t="shared" ref="PD14:PD45" si="164">IF(OR(OU$6&lt;&gt;2,$J14=2,$F14&gt;1),0,IF(OW$9=2,0,IF(AND(OR(OW$9=3,OW$9=1),OU$4&lt;$C$133),IF(OY14&lt;=60,OU14*OW$5,60/OW$4*OW$5),0)))</f>
        <v>0</v>
      </c>
      <c r="PE14" s="171" t="str">
        <f t="shared" ref="PE14:PE45" si="165">IF(OR(OW$4=0,OU$6=3),"",         IF(OU$6=1,      IF($L14=70,"",IF($F14=1,PC14/OW$4*OW$6,PC14/OW$4*OW$7)),      IF($F14&gt;1,OU14*OW$7,   IF(OR($J14=2,OU$4&gt;=$C$133,OW$9=2),OU14*OW$6,IF(OY14&lt;=60,0,(OY14-60)/OW$4*OW$6)))))</f>
        <v/>
      </c>
      <c r="PF14" s="57">
        <f>IF(OU$6=3,IF($F14=1,OU14*OW$6,OU14*OW$7),"")</f>
        <v>0</v>
      </c>
      <c r="PG14" s="57">
        <f>IF(OR(AND(OU$6=1,$L14=0),AND(OU$6=2,$K14=2,$G14=1)),0,IF(AND(OW$9=2,(OR($F14&gt;1,$K14=1,AND($L14=80,OR($N14=1,AND($N14=2,'#BerechnungDBE'!$AL5&gt;0)))))),IF(OU$4&gt;=$AD$126,0,PE14),IF(OW$9=3,IF(OR(OU$4&gt;=$AD$127,AND($G14=1,$J14=2,OU$6=2),AND(OU$6=1,$N14&lt;&gt;1)),0,IF(OY14&lt;=120,PE14,IF(OU$4&lt;$AD$124,IF($F14=1,60/OW$4*OW$6,60/OW$4*OW$7),IF($F14=1,120/OW$4*OW$6,120/OW$4*OW$7)))),IF(OR($F14=3,$G14=2),IF(OR(AND(OU$4&gt;=$AD$119,$C14=2),AND(OU$4&gt;=$AF$119,$C14=1)),0,IF(OY14&lt;=60,PE14,60/OW$4*OW$7)),IF(AND($F14=2,$G14=1),PE14,0)))))</f>
        <v>0</v>
      </c>
      <c r="PH14" s="57" t="str">
        <f t="shared" ref="PH14:PH77" si="166">IF(OR(OU$6&lt;&gt;1,$L14=80),"",IF($M14=1,OU14*OW$6,OU14*OW$7))</f>
        <v/>
      </c>
      <c r="PI14" s="57" t="str">
        <f t="shared" ref="PI14:PI45" si="167">IF(AND(OU$6=1,$L14=80),IF(OR($N14=2,OU$4&gt;=$C$133),0,IF(OY14&lt;=60,OU14*OW$5,60/OW$4*OW$5)),"")</f>
        <v/>
      </c>
      <c r="PJ14" s="713">
        <f>'org. Düngung 22'!DL13</f>
        <v>0</v>
      </c>
      <c r="PM14" s="57">
        <f t="shared" ref="PM14:PM77" si="168">PJ14*$B14</f>
        <v>0</v>
      </c>
      <c r="PN14" s="57">
        <f>PL$4*PJ14</f>
        <v>0</v>
      </c>
      <c r="PO14" s="57">
        <f>PL$5*PJ14</f>
        <v>0</v>
      </c>
      <c r="PP14" s="57">
        <f>PN14-PN14*PL$10/100</f>
        <v>0</v>
      </c>
      <c r="PQ14" s="57">
        <f>PL$8*PJ14</f>
        <v>0</v>
      </c>
      <c r="PR14" s="1029">
        <f t="shared" ref="PR14:PR45" si="169">IF(PJ$6&gt;1,PN14,        IF($L14=70,"",         IF(OR($L14=0,$N14=2),PN14, IF(PJ$4&gt;=$C$133,PN14,IF(PN14&lt;60,0,PN14-60)))))</f>
        <v>0</v>
      </c>
      <c r="PS14" s="57">
        <f t="shared" ref="PS14:PS45" si="170">IF(OR(PJ$6&lt;&gt;2,$J14=2,$F14&gt;1),0,IF(PL$9=2,0,IF(AND(OR(PL$9=3,PL$9=1),PJ$4&lt;$C$133),IF(PN14&lt;=60,PJ14*PL$5,60/PL$4*PL$5),0)))</f>
        <v>0</v>
      </c>
      <c r="PT14" s="171" t="str">
        <f t="shared" ref="PT14:PT45" si="171">IF(OR(PL$4=0,PJ$6=3),"",         IF(PJ$6=1,      IF($L14=70,"",IF($F14=1,PR14/PL$4*PL$6,PR14/PL$4*PL$7)),      IF($F14&gt;1,PJ14*PL$7,   IF(OR($J14=2,PJ$4&gt;=$C$133,PL$9=2),PJ14*PL$6,IF(PN14&lt;=60,0,(PN14-60)/PL$4*PL$6)))))</f>
        <v/>
      </c>
      <c r="PU14" s="57">
        <f>IF(PJ$6=3,IF($F14=1,PJ14*PL$6,PJ14*PL$7),"")</f>
        <v>0</v>
      </c>
      <c r="PV14" s="57">
        <f>IF(OR(AND(PJ$6=1,$L14=0),AND(PJ$6=2,$K14=2,$G14=1)),0,IF(AND(PL$9=2,(OR($F14&gt;1,$K14=1,AND($L14=80,OR($N14=1,AND($N14=2,'#BerechnungDBE'!$AL5&gt;0)))))),IF(PJ$4&gt;=$AD$126,0,PT14),IF(PL$9=3,IF(OR(PJ$4&gt;=$AD$127,AND($G14=1,$J14=2,PJ$6=2),AND(PJ$6=1,$N14&lt;&gt;1)),0,IF(PN14&lt;=120,PT14,IF(PJ$4&lt;$AD$124,IF($F14=1,60/PL$4*PL$6,60/PL$4*PL$7),IF($F14=1,120/PL$4*PL$6,120/PL$4*PL$7)))),IF(OR($F14=3,$G14=2),IF(OR(AND(PJ$4&gt;=$AD$119,$C14=2),AND(PJ$4&gt;=$AF$119,$C14=1)),0,IF(PN14&lt;=60,PT14,60/PL$4*PL$7)),IF(AND($F14=2,$G14=1),PT14,0)))))</f>
        <v>0</v>
      </c>
      <c r="PW14" s="57" t="str">
        <f t="shared" ref="PW14:PW77" si="172">IF(OR(PJ$6&lt;&gt;1,$L14=80),"",IF($M14=1,PJ14*PL$6,PJ14*PL$7))</f>
        <v/>
      </c>
      <c r="PX14" s="57" t="str">
        <f t="shared" ref="PX14:PX45" si="173">IF(AND(PJ$6=1,$L14=80),IF(OR($N14=2,PJ$4&gt;=$C$133),0,IF(PN14&lt;=60,PJ14*PL$5,60/PL$4*PL$5)),"")</f>
        <v/>
      </c>
      <c r="PY14" s="713">
        <f>'org. Düngung 22'!DP13</f>
        <v>0</v>
      </c>
      <c r="QB14" s="57">
        <f t="shared" ref="QB14:QB77" si="174">PY14*$B14</f>
        <v>0</v>
      </c>
      <c r="QC14" s="57">
        <f>QA$4*PY14</f>
        <v>0</v>
      </c>
      <c r="QD14" s="57">
        <f>QA$5*PY14</f>
        <v>0</v>
      </c>
      <c r="QE14" s="57">
        <f>QC14-QC14*QA$10/100</f>
        <v>0</v>
      </c>
      <c r="QF14" s="57">
        <f>QA$8*PY14</f>
        <v>0</v>
      </c>
      <c r="QG14" s="1029">
        <f t="shared" ref="QG14:QG45" si="175">IF(PY$6&gt;1,QC14,        IF($L14=70,"",         IF(OR($L14=0,$N14=2),QC14, IF(PY$4&gt;=$C$133,QC14,IF(QC14&lt;60,0,QC14-60)))))</f>
        <v>0</v>
      </c>
      <c r="QH14" s="57">
        <f t="shared" ref="QH14:QH45" si="176">IF(OR(PY$6&lt;&gt;2,$J14=2,$F14&gt;1),0,IF(QA$9=2,0,IF(AND(OR(QA$9=3,QA$9=1),PY$4&lt;$C$133),IF(QC14&lt;=60,PY14*QA$5,60/QA$4*QA$5),0)))</f>
        <v>0</v>
      </c>
      <c r="QI14" s="171" t="str">
        <f t="shared" ref="QI14:QI45" si="177">IF(OR(QA$4=0,PY$6=3),"",         IF(PY$6=1,      IF($L14=70,"",IF($F14=1,QG14/QA$4*QA$6,QG14/QA$4*QA$7)),      IF($F14&gt;1,PY14*QA$7,   IF(OR($J14=2,PY$4&gt;=$C$133,QA$9=2),PY14*QA$6,IF(QC14&lt;=60,0,(QC14-60)/QA$4*QA$6)))))</f>
        <v/>
      </c>
      <c r="QJ14" s="57">
        <f>IF(PY$6=3,IF($F14=1,PY14*QA$6,PY14*QA$7),"")</f>
        <v>0</v>
      </c>
      <c r="QK14" s="57">
        <f>IF(OR(AND(PY$6=1,$L14=0),AND(PY$6=2,$K14=2,$G14=1)),0,IF(AND(QA$9=2,(OR($F14&gt;1,$K14=1,AND($L14=80,OR($N14=1,AND($N14=2,'#BerechnungDBE'!$AL5&gt;0)))))),IF(PY$4&gt;=$AD$126,0,QI14),IF(QA$9=3,IF(OR(PY$4&gt;=$AD$127,AND($G14=1,$J14=2,PY$6=2),AND(PY$6=1,$N14&lt;&gt;1)),0,IF(QC14&lt;=120,QI14,IF(PY$4&lt;$AD$124,IF($F14=1,60/QA$4*QA$6,60/QA$4*QA$7),IF($F14=1,120/QA$4*QA$6,120/QA$4*QA$7)))),IF(OR($F14=3,$G14=2),IF(OR(AND(PY$4&gt;=$AD$119,$C14=2),AND(PY$4&gt;=$AF$119,$C14=1)),0,IF(QC14&lt;=60,QI14,60/QA$4*QA$7)),IF(AND($F14=2,$G14=1),QI14,0)))))</f>
        <v>0</v>
      </c>
      <c r="QL14" s="57" t="str">
        <f t="shared" ref="QL14:QL77" si="178">IF(OR(PY$6&lt;&gt;1,$L14=80),"",IF($M14=1,PY14*QA$6,PY14*QA$7))</f>
        <v/>
      </c>
      <c r="QM14" s="57" t="str">
        <f t="shared" ref="QM14:QM45" si="179">IF(AND(PY$6=1,$L14=80),IF(OR($N14=2,PY$4&gt;=$C$133),0,IF(QC14&lt;=60,PY14*QA$5,60/QA$4*QA$5)),"")</f>
        <v/>
      </c>
      <c r="QN14" s="713">
        <f>'org. Düngung 22'!DT13</f>
        <v>0</v>
      </c>
      <c r="QQ14" s="57">
        <f t="shared" ref="QQ14:QQ77" si="180">QN14*$B14</f>
        <v>0</v>
      </c>
      <c r="QR14" s="57">
        <f>QP$4*QN14</f>
        <v>0</v>
      </c>
      <c r="QS14" s="57">
        <f>QP$5*QN14</f>
        <v>0</v>
      </c>
      <c r="QT14" s="57">
        <f>QR14-QR14*QP$10/100</f>
        <v>0</v>
      </c>
      <c r="QU14" s="57">
        <f>QP$8*QN14</f>
        <v>0</v>
      </c>
      <c r="QV14" s="1029">
        <f t="shared" ref="QV14:QV45" si="181">IF(QN$6&gt;1,QR14,        IF($L14=70,"",         IF(OR($L14=0,$N14=2),QR14, IF(QN$4&gt;=$C$133,QR14,IF(QR14&lt;60,0,QR14-60)))))</f>
        <v>0</v>
      </c>
      <c r="QW14" s="57">
        <f t="shared" ref="QW14:QW45" si="182">IF(OR(QN$6&lt;&gt;2,$J14=2,$F14&gt;1),0,IF(QP$9=2,0,IF(AND(OR(QP$9=3,QP$9=1),QN$4&lt;$C$133),IF(QR14&lt;=60,QN14*QP$5,60/QP$4*QP$5),0)))</f>
        <v>0</v>
      </c>
      <c r="QX14" s="171" t="str">
        <f t="shared" ref="QX14:QX45" si="183">IF(OR(QP$4=0,QN$6=3),"",         IF(QN$6=1,      IF($L14=70,"",IF($F14=1,QV14/QP$4*QP$6,QV14/QP$4*QP$7)),      IF($F14&gt;1,QN14*QP$7,   IF(OR($J14=2,QN$4&gt;=$C$133,QP$9=2),QN14*QP$6,IF(QR14&lt;=60,0,(QR14-60)/QP$4*QP$6)))))</f>
        <v/>
      </c>
      <c r="QY14" s="57">
        <f>IF(QN$6=3,IF($F14=1,QN14*QP$6,QN14*QP$7),"")</f>
        <v>0</v>
      </c>
      <c r="QZ14" s="57">
        <f>IF(OR(AND(QN$6=1,$L14=0),AND(QN$6=2,$K14=2,$G14=1)),0,IF(AND(QP$9=2,(OR($F14&gt;1,$K14=1,AND($L14=80,OR($N14=1,AND($N14=2,'#BerechnungDBE'!$AL5&gt;0)))))),IF(QN$4&gt;=$AD$126,0,QX14),IF(QP$9=3,IF(OR(QN$4&gt;=$AD$127,AND($G14=1,$J14=2,QN$6=2),AND(QN$6=1,$N14&lt;&gt;1)),0,IF(QR14&lt;=120,QX14,IF(QN$4&lt;$AD$124,IF($F14=1,60/QP$4*QP$6,60/QP$4*QP$7),IF($F14=1,120/QP$4*QP$6,120/QP$4*QP$7)))),IF(OR($F14=3,$G14=2),IF(OR(AND(QN$4&gt;=$AD$119,$C14=2),AND(QN$4&gt;=$AF$119,$C14=1)),0,IF(QR14&lt;=60,QX14,60/QP$4*QP$7)),IF(AND($F14=2,$G14=1),QX14,0)))))</f>
        <v>0</v>
      </c>
      <c r="RA14" s="57" t="str">
        <f t="shared" ref="RA14:RA77" si="184">IF(OR(QN$6&lt;&gt;1,$L14=80),"",IF($M14=1,QN14*QP$6,QN14*QP$7))</f>
        <v/>
      </c>
      <c r="RB14" s="57" t="str">
        <f t="shared" ref="RB14:RB45" si="185">IF(AND(QN$6=1,$L14=80),IF(OR($N14=2,QN$4&gt;=$C$133),0,IF(QR14&lt;=60,QN14*QP$5,60/QP$4*QP$5)),"")</f>
        <v/>
      </c>
      <c r="RC14" s="713">
        <f>'org. Düngung 22'!DX13</f>
        <v>0</v>
      </c>
      <c r="RF14" s="57">
        <f t="shared" ref="RF14:RF77" si="186">RC14*$B14</f>
        <v>0</v>
      </c>
      <c r="RG14" s="57">
        <f>RE$4*RC14</f>
        <v>0</v>
      </c>
      <c r="RH14" s="57">
        <f>RE$5*RC14</f>
        <v>0</v>
      </c>
      <c r="RI14" s="57">
        <f>RG14-RG14*RE$10/100</f>
        <v>0</v>
      </c>
      <c r="RJ14" s="57">
        <f>RE$8*RC14</f>
        <v>0</v>
      </c>
      <c r="RK14" s="1029">
        <f t="shared" ref="RK14:RK45" si="187">IF(RC$6&gt;1,RG14,        IF($L14=70,"",         IF(OR($L14=0,$N14=2),RG14, IF(RC$4&gt;=$C$133,RG14,IF(RG14&lt;60,0,RG14-60)))))</f>
        <v>0</v>
      </c>
      <c r="RL14" s="57">
        <f t="shared" ref="RL14:RL45" si="188">IF(OR(RC$6&lt;&gt;2,$J14=2,$F14&gt;1),0,IF(RE$9=2,0,IF(AND(OR(RE$9=3,RE$9=1),RC$4&lt;$C$133),IF(RG14&lt;=60,RC14*RE$5,60/RE$4*RE$5),0)))</f>
        <v>0</v>
      </c>
      <c r="RM14" s="171" t="str">
        <f t="shared" ref="RM14:RM45" si="189">IF(OR(RE$4=0,RC$6=3),"",         IF(RC$6=1,      IF($L14=70,"",IF($F14=1,RK14/RE$4*RE$6,RK14/RE$4*RE$7)),      IF($F14&gt;1,RC14*RE$7,   IF(OR($J14=2,RC$4&gt;=$C$133,RE$9=2),RC14*RE$6,IF(RG14&lt;=60,0,(RG14-60)/RE$4*RE$6)))))</f>
        <v/>
      </c>
      <c r="RN14" s="57">
        <f>IF(RC$6=3,IF($F14=1,RC14*RE$6,RC14*RE$7),"")</f>
        <v>0</v>
      </c>
      <c r="RO14" s="57">
        <f>IF(OR(AND(RC$6=1,$L14=0),AND(RC$6=2,$K14=2,$G14=1)),0,IF(AND(RE$9=2,(OR($F14&gt;1,$K14=1,AND($L14=80,OR($N14=1,AND($N14=2,'#BerechnungDBE'!$AL5&gt;0)))))),IF(RC$4&gt;=$AD$126,0,RM14),IF(RE$9=3,IF(OR(RC$4&gt;=$AD$127,AND($G14=1,$J14=2,RC$6=2),AND(RC$6=1,$N14&lt;&gt;1)),0,IF(RG14&lt;=120,RM14,IF(RC$4&lt;$AD$124,IF($F14=1,60/RE$4*RE$6,60/RE$4*RE$7),IF($F14=1,120/RE$4*RE$6,120/RE$4*RE$7)))),IF(OR($F14=3,$G14=2),IF(OR(AND(RC$4&gt;=$AD$119,$C14=2),AND(RC$4&gt;=$AF$119,$C14=1)),0,IF(RG14&lt;=60,RM14,60/RE$4*RE$7)),IF(AND($F14=2,$G14=1),RM14,0)))))</f>
        <v>0</v>
      </c>
      <c r="RP14" s="57" t="str">
        <f t="shared" ref="RP14:RP77" si="190">IF(OR(RC$6&lt;&gt;1,$L14=80),"",IF($M14=1,RC14*RE$6,RC14*RE$7))</f>
        <v/>
      </c>
      <c r="RQ14" s="57" t="str">
        <f t="shared" ref="RQ14:RQ45" si="191">IF(AND(RC$6=1,$L14=80),IF(OR($N14=2,RC$4&gt;=$C$133),0,IF(RG14&lt;=60,RC14*RE$5,60/RE$4*RE$5)),"")</f>
        <v/>
      </c>
      <c r="RS14" s="57" t="str">
        <f>IF(AND(F14=2,G14=1),"",IF(OR(W14&gt;AA14,V14&gt;30,AD14&gt;30,AND(AC14&gt;60,L14=80),SUMIF($AK$11:$XFD$11,$AO$13,AK14:XFD14)&gt;30),$RS$9,""))</f>
        <v/>
      </c>
      <c r="RT14" s="57" t="str">
        <f t="shared" ref="RT14:RT45" si="192">IF(AND(C14=1,H14=2,V14&gt;0),$RT$9,"")</f>
        <v/>
      </c>
      <c r="RU14" s="57" t="str">
        <f t="shared" ref="RU14:RU45" si="193">IF(AND(D14&lt;&gt;2,P14-AG14&gt;0),$RU$9,"")</f>
        <v/>
      </c>
      <c r="RV14" s="57" t="str">
        <f>IF(Z14&gt;'#BerechnungDBE'!BM5,$RV$9,"")</f>
        <v/>
      </c>
      <c r="RW14" s="57" t="str">
        <f>IF(AND(L14=70,AE14&gt;'#BerechnungDBE'!CQ5),$RW$9,"")</f>
        <v/>
      </c>
      <c r="RX14" s="57" t="str">
        <f>IF(OR('org. Düngung 22'!G13="--",'org. Düngung 22'!G13&lt;=170,'org. Düngung 22'!G13=""),"",$RX$9)</f>
        <v/>
      </c>
      <c r="RY14" s="57" t="str">
        <f>IF('org. Düngung 22'!K13&gt;120,'#orgDung'!$RY$9,"")</f>
        <v/>
      </c>
      <c r="RZ14" s="57" t="str">
        <f>IF('#BerechnungDBE'!P5&lt;4,"",IF(AND('#BerechnungDBE'!BZ5&gt;0,T14&gt;0),'#orgDung'!$RZ$9,""))</f>
        <v/>
      </c>
      <c r="SA14" s="57" t="str">
        <f t="shared" ref="SA14:SA45" si="194">IF(AND(F14=2,G14=1,W14&gt;0),$SA$9,"")</f>
        <v/>
      </c>
    </row>
    <row r="15" spans="1:495" x14ac:dyDescent="0.2">
      <c r="A15" s="683">
        <f>'Flächen u. Kulturen'!A11</f>
        <v>2</v>
      </c>
      <c r="B15" s="367">
        <f>'#BerechnungDBE'!L6</f>
        <v>0</v>
      </c>
      <c r="C15" s="683">
        <f>'#BerechnungDBE'!R6</f>
        <v>1</v>
      </c>
      <c r="D15" s="683">
        <f>'#BerechnungDBE'!T6</f>
        <v>2</v>
      </c>
      <c r="E15" s="683" t="str">
        <f>'Flächen u. Kulturen'!E11</f>
        <v>x</v>
      </c>
      <c r="F15" s="52">
        <f>'#BerechnungDBE'!N6</f>
        <v>1</v>
      </c>
      <c r="G15" s="52">
        <f>'#BerechnungDBE'!O6</f>
        <v>1</v>
      </c>
      <c r="H15" s="683">
        <f>IF('Flächen u. Kulturen'!P11="",0,VLOOKUP('Flächen u. Kulturen'!P11,Kulturen[[HF]:[Berechnungsgruppe]],'#Frucht'!$H$1,FALSE))</f>
        <v>0</v>
      </c>
      <c r="I15" s="683">
        <f>IF('Flächen u. Kulturen'!J11="",0,VLOOKUP('Flächen u. Kulturen'!J11,Kulturen[[HF]:[Berechnungsgruppe]],'#Frucht'!$G$1,FALSE))</f>
        <v>90</v>
      </c>
      <c r="J15" s="505">
        <f t="shared" ref="J15:J78" si="195">IF(G15&gt;1,1,IF(H15=1,1,IF(AND(H15=2,I15=1),1,2)))</f>
        <v>2</v>
      </c>
      <c r="K15" s="505">
        <f>IF('Flächen u. Kulturen'!P11="",0,IF(VLOOKUP('Flächen u. Kulturen'!P11,Kulturen[[HF]:[Saat Winterungen]],'#Frucht'!$P$1,FALSE)&gt;0,1,2))</f>
        <v>2</v>
      </c>
      <c r="L15" s="683">
        <f>'#BerechnungDBE'!AF6</f>
        <v>0</v>
      </c>
      <c r="M15" s="683">
        <f>IF('Flächen u. Kulturen'!L11="",0,VLOOKUP('Flächen u. Kulturen'!L11,Nebenkultur[[Nebenkultur]:[Legum. Zwischenfr.]],'#Zweitfr'!$K$1,FALSE))</f>
        <v>0</v>
      </c>
      <c r="N15" s="683">
        <f>'#BerechnungDBE'!AG6</f>
        <v>0</v>
      </c>
      <c r="P15" s="57">
        <f t="shared" si="0"/>
        <v>0</v>
      </c>
      <c r="Q15" s="57">
        <f t="shared" si="1"/>
        <v>0</v>
      </c>
      <c r="R15">
        <f t="shared" si="2"/>
        <v>0</v>
      </c>
      <c r="S15" s="938" t="str">
        <f t="shared" si="3"/>
        <v/>
      </c>
      <c r="T15" s="683">
        <f t="shared" si="4"/>
        <v>0</v>
      </c>
      <c r="U15">
        <f t="shared" si="5"/>
        <v>0</v>
      </c>
      <c r="V15">
        <f t="shared" si="6"/>
        <v>0</v>
      </c>
      <c r="W15">
        <f t="shared" si="7"/>
        <v>0</v>
      </c>
      <c r="X15">
        <f t="shared" si="8"/>
        <v>0</v>
      </c>
      <c r="Y15" s="691">
        <f>AG15*0.5</f>
        <v>0</v>
      </c>
      <c r="Z15">
        <f>W15+X15+Y15</f>
        <v>0</v>
      </c>
      <c r="AA15" s="910">
        <f t="shared" si="9"/>
        <v>0</v>
      </c>
      <c r="AB15" s="57">
        <f>IF(U15+AG15=0,0,(Z15+W15)/(U15+AG15))</f>
        <v>0</v>
      </c>
      <c r="AC15">
        <f t="shared" si="10"/>
        <v>0</v>
      </c>
      <c r="AD15" s="683">
        <f t="shared" si="11"/>
        <v>0</v>
      </c>
      <c r="AE15" s="691">
        <f t="shared" si="12"/>
        <v>0</v>
      </c>
      <c r="AF15" s="836">
        <f>IF(AC15=0,0,AE15/AC15)</f>
        <v>0</v>
      </c>
      <c r="AG15">
        <f>'org. Düngung 22'!J14</f>
        <v>0</v>
      </c>
      <c r="AH15">
        <f>'org. Düngung 22'!K14</f>
        <v>0</v>
      </c>
      <c r="AI15" s="683"/>
      <c r="AJ15" s="713">
        <f>'org. Düngung 22'!L14</f>
        <v>0</v>
      </c>
      <c r="AK15" s="57"/>
      <c r="AL15" s="57"/>
      <c r="AM15" s="57">
        <f t="shared" ref="AM15:AM78" si="196">AJ15*$B15</f>
        <v>0</v>
      </c>
      <c r="AN15" s="57">
        <f t="shared" ref="AN15:AN78" si="197">AL$4*AJ15</f>
        <v>0</v>
      </c>
      <c r="AO15" s="57">
        <f t="shared" ref="AO15:AO78" si="198">AL$5*AJ15</f>
        <v>0</v>
      </c>
      <c r="AP15" s="57">
        <f t="shared" ref="AP15:AP78" si="199">AN15-AN15*AL$10/100</f>
        <v>0</v>
      </c>
      <c r="AQ15" s="57">
        <f t="shared" ref="AQ15:AQ78" si="200">AL$8*AJ15</f>
        <v>0</v>
      </c>
      <c r="AR15" s="1029">
        <f t="shared" si="14"/>
        <v>0</v>
      </c>
      <c r="AS15" s="57">
        <f t="shared" si="15"/>
        <v>0</v>
      </c>
      <c r="AT15" s="171" t="str">
        <f t="shared" si="16"/>
        <v/>
      </c>
      <c r="AU15" s="57">
        <f t="shared" ref="AU15:AU78" si="201">IF(AJ$6=3,IF($F15=1,AJ15*AL$6,AJ15*AL$7),"")</f>
        <v>0</v>
      </c>
      <c r="AV15" s="57">
        <f>IF(OR(AND(AJ$6=1,$L15=0),AND(AJ$6=2,$K15=2,$G15=1)),0,IF(AND(AL$9=2,(OR($F15&gt;1,$K15=1,AND($L15=80,OR($N15=1,AND($N15=2,'#BerechnungDBE'!$AL6&gt;0)))))),IF(AJ$4&gt;=$AD$126,0,AT15),IF(AL$9=3,IF(OR(AJ$4&gt;=$AD$127,AND($G15=1,$J15=2,AJ$6=2),AND(AJ$6=1,$N15&lt;&gt;1)),0,IF(AN15&lt;=120,AT15,IF(AJ$4&lt;$AD$124,IF($F15=1,60/AL$4*AL$6,60/AL$4*AL$7),IF($F15=1,120/AL$4*AL$6,120/AL$4*AL$7)))),IF(OR($F15=3,$G15=2),IF(OR(AND(AJ$4&gt;=$AD$119,$C15=2),AND(AJ$4&gt;=$AF$119,$C15=1)),0,IF(AN15&lt;=60,AT15,60/AL$4*AL$7)),IF(AND($F15=2,$G15=1),AT15,0)))))</f>
        <v>0</v>
      </c>
      <c r="AW15" s="57" t="str">
        <f t="shared" ref="AW15:AW78" si="202">IF(OR(AJ$6&lt;&gt;1,$L15=80),"",IF($M15=1,AJ15*AL$6,AJ15*AL$7))</f>
        <v/>
      </c>
      <c r="AX15" s="57" t="str">
        <f t="shared" si="17"/>
        <v/>
      </c>
      <c r="AY15" s="713">
        <f>'org. Düngung 22'!P14</f>
        <v>0</v>
      </c>
      <c r="AZ15" s="57"/>
      <c r="BA15" s="57"/>
      <c r="BB15" s="57">
        <f t="shared" si="18"/>
        <v>0</v>
      </c>
      <c r="BC15" s="57">
        <f t="shared" ref="BC15:BC78" si="203">BA$4*AY15</f>
        <v>0</v>
      </c>
      <c r="BD15" s="57">
        <f t="shared" ref="BD15:BD78" si="204">BA$5*AY15</f>
        <v>0</v>
      </c>
      <c r="BE15" s="57">
        <f t="shared" ref="BE15:BE78" si="205">BC15-BC15*BA$10/100</f>
        <v>0</v>
      </c>
      <c r="BF15" s="57">
        <f t="shared" ref="BF15:BF78" si="206">BA$8*AY15</f>
        <v>0</v>
      </c>
      <c r="BG15" s="1029">
        <f t="shared" si="19"/>
        <v>0</v>
      </c>
      <c r="BH15" s="57">
        <f t="shared" si="20"/>
        <v>0</v>
      </c>
      <c r="BI15" s="171" t="str">
        <f t="shared" si="21"/>
        <v/>
      </c>
      <c r="BJ15" s="57">
        <f t="shared" ref="BJ15:BJ78" si="207">IF(AY$6=3,IF($F15=1,AY15*BA$6,AY15*BA$7),"")</f>
        <v>0</v>
      </c>
      <c r="BK15" s="57">
        <f>IF(OR(AND(AY$6=1,$L15=0),AND(AY$6=2,$K15=2,$G15=1)),0,IF(AND(BA$9=2,(OR($F15&gt;1,$K15=1,AND($L15=80,OR($N15=1,AND($N15=2,'#BerechnungDBE'!$AL6&gt;0)))))),IF(AY$4&gt;=$AD$126,0,BI15),IF(BA$9=3,IF(OR(AY$4&gt;=$AD$127,AND($G15=1,$J15=2,AY$6=2),AND(AY$6=1,$N15&lt;&gt;1)),0,IF(BC15&lt;=120,BI15,IF(AY$4&lt;$AD$124,IF($F15=1,60/BA$4*BA$6,60/BA$4*BA$7),IF($F15=1,120/BA$4*BA$6,120/BA$4*BA$7)))),IF(OR($F15=3,$G15=2),IF(OR(AND(AY$4&gt;=$AD$119,$C15=2),AND(AY$4&gt;=$AF$119,$C15=1)),0,IF(BC15&lt;=60,BI15,60/BA$4*BA$7)),IF(AND($F15=2,$G15=1),BI15,0)))))</f>
        <v>0</v>
      </c>
      <c r="BL15" s="57" t="str">
        <f t="shared" si="22"/>
        <v/>
      </c>
      <c r="BM15" s="57" t="str">
        <f t="shared" si="23"/>
        <v/>
      </c>
      <c r="BN15" s="713">
        <f>'org. Düngung 22'!T14</f>
        <v>0</v>
      </c>
      <c r="BO15" s="57"/>
      <c r="BP15" s="57"/>
      <c r="BQ15" s="57">
        <f t="shared" si="24"/>
        <v>0</v>
      </c>
      <c r="BR15" s="57">
        <f t="shared" ref="BR15:BR78" si="208">BP$4*BN15</f>
        <v>0</v>
      </c>
      <c r="BS15" s="57">
        <f t="shared" ref="BS15:BS78" si="209">BP$5*BN15</f>
        <v>0</v>
      </c>
      <c r="BT15" s="57">
        <f t="shared" ref="BT15:BT78" si="210">BR15-BR15*BP$10/100</f>
        <v>0</v>
      </c>
      <c r="BU15" s="57">
        <f t="shared" ref="BU15:BU78" si="211">BP$8*BN15</f>
        <v>0</v>
      </c>
      <c r="BV15" s="1029">
        <f t="shared" si="25"/>
        <v>0</v>
      </c>
      <c r="BW15" s="57">
        <f t="shared" si="26"/>
        <v>0</v>
      </c>
      <c r="BX15" s="171" t="str">
        <f t="shared" si="27"/>
        <v/>
      </c>
      <c r="BY15" s="57">
        <f t="shared" ref="BY15:BY78" si="212">IF(BN$6=3,IF($F15=1,BN15*BP$6,BN15*BP$7),"")</f>
        <v>0</v>
      </c>
      <c r="BZ15" s="57">
        <f>IF(OR(AND(BN$6=1,$L15=0),AND(BN$6=2,$K15=2,$G15=1)),0,IF(AND(BP$9=2,(OR($F15&gt;1,$K15=1,AND($L15=80,OR($N15=1,AND($N15=2,'#BerechnungDBE'!$AL6&gt;0)))))),IF(BN$4&gt;=$AD$126,0,BX15),IF(BP$9=3,IF(OR(BN$4&gt;=$AD$127,AND($G15=1,$J15=2,BN$6=2),AND(BN$6=1,$N15&lt;&gt;1)),0,IF(BR15&lt;=120,BX15,IF(BN$4&lt;$AD$124,IF($F15=1,60/BP$4*BP$6,60/BP$4*BP$7),IF($F15=1,120/BP$4*BP$6,120/BP$4*BP$7)))),IF(OR($F15=3,$G15=2),IF(OR(AND(BN$4&gt;=$AD$119,$C15=2),AND(BN$4&gt;=$AF$119,$C15=1)),0,IF(BR15&lt;=60,BX15,60/BP$4*BP$7)),IF(AND($F15=2,$G15=1),BX15,0)))))</f>
        <v>0</v>
      </c>
      <c r="CA15" s="57" t="str">
        <f t="shared" si="28"/>
        <v/>
      </c>
      <c r="CB15" s="57" t="str">
        <f t="shared" si="29"/>
        <v/>
      </c>
      <c r="CC15" s="713">
        <f>'org. Düngung 22'!X14</f>
        <v>0</v>
      </c>
      <c r="CD15" s="57"/>
      <c r="CE15" s="57"/>
      <c r="CF15" s="57">
        <f t="shared" si="30"/>
        <v>0</v>
      </c>
      <c r="CG15" s="57">
        <f t="shared" ref="CG15:CG78" si="213">CE$4*CC15</f>
        <v>0</v>
      </c>
      <c r="CH15" s="57">
        <f t="shared" ref="CH15:CH78" si="214">CE$5*CC15</f>
        <v>0</v>
      </c>
      <c r="CI15" s="57">
        <f t="shared" ref="CI15:CI78" si="215">CG15-CG15*CE$10/100</f>
        <v>0</v>
      </c>
      <c r="CJ15" s="57">
        <f t="shared" ref="CJ15:CJ78" si="216">CE$8*CC15</f>
        <v>0</v>
      </c>
      <c r="CK15" s="1029">
        <f t="shared" si="31"/>
        <v>0</v>
      </c>
      <c r="CL15" s="57">
        <f t="shared" si="32"/>
        <v>0</v>
      </c>
      <c r="CM15" s="171" t="str">
        <f t="shared" si="33"/>
        <v/>
      </c>
      <c r="CN15" s="57">
        <f t="shared" ref="CN15:CN78" si="217">IF(CC$6=3,IF($F15=1,CC15*CE$6,CC15*CE$7),"")</f>
        <v>0</v>
      </c>
      <c r="CO15" s="57">
        <f>IF(OR(AND(CC$6=1,$L15=0),AND(CC$6=2,$K15=2,$G15=1)),0,IF(AND(CE$9=2,(OR($F15&gt;1,$K15=1,AND($L15=80,OR($N15=1,AND($N15=2,'#BerechnungDBE'!$AL6&gt;0)))))),IF(CC$4&gt;=$AD$126,0,CM15),IF(CE$9=3,IF(OR(CC$4&gt;=$AD$127,AND($G15=1,$J15=2,CC$6=2),AND(CC$6=1,$N15&lt;&gt;1)),0,IF(CG15&lt;=120,CM15,IF(CC$4&lt;$AD$124,IF($F15=1,60/CE$4*CE$6,60/CE$4*CE$7),IF($F15=1,120/CE$4*CE$6,120/CE$4*CE$7)))),IF(OR($F15=3,$G15=2),IF(OR(AND(CC$4&gt;=$AD$119,$C15=2),AND(CC$4&gt;=$AF$119,$C15=1)),0,IF(CG15&lt;=60,CM15,60/CE$4*CE$7)),IF(AND($F15=2,$G15=1),CM15,0)))))</f>
        <v>0</v>
      </c>
      <c r="CP15" s="57" t="str">
        <f t="shared" si="34"/>
        <v/>
      </c>
      <c r="CQ15" s="57" t="str">
        <f t="shared" si="35"/>
        <v/>
      </c>
      <c r="CR15" s="713">
        <f>'org. Düngung 22'!AB14</f>
        <v>0</v>
      </c>
      <c r="CS15" s="57"/>
      <c r="CT15" s="57"/>
      <c r="CU15" s="57">
        <f t="shared" si="36"/>
        <v>0</v>
      </c>
      <c r="CV15" s="57">
        <f t="shared" ref="CV15:CV78" si="218">CT$4*CR15</f>
        <v>0</v>
      </c>
      <c r="CW15" s="57">
        <f t="shared" ref="CW15:CW78" si="219">CT$5*CR15</f>
        <v>0</v>
      </c>
      <c r="CX15" s="57">
        <f t="shared" ref="CX15:CX78" si="220">CV15-CV15*CT$10/100</f>
        <v>0</v>
      </c>
      <c r="CY15" s="57">
        <f t="shared" ref="CY15:CY78" si="221">CT$8*CR15</f>
        <v>0</v>
      </c>
      <c r="CZ15" s="1029">
        <f t="shared" si="37"/>
        <v>0</v>
      </c>
      <c r="DA15" s="57">
        <f t="shared" si="38"/>
        <v>0</v>
      </c>
      <c r="DB15" s="171" t="str">
        <f t="shared" si="39"/>
        <v/>
      </c>
      <c r="DC15" s="57">
        <f t="shared" ref="DC15:DC78" si="222">IF(CR$6=3,IF($F15=1,CR15*CT$6,CR15*CT$7),"")</f>
        <v>0</v>
      </c>
      <c r="DD15" s="57">
        <f>IF(OR(AND(CR$6=1,$L15=0),AND(CR$6=2,$K15=2,$G15=1)),0,IF(AND(CT$9=2,(OR($F15&gt;1,$K15=1,AND($L15=80,OR($N15=1,AND($N15=2,'#BerechnungDBE'!$AL6&gt;0)))))),IF(CR$4&gt;=$AD$126,0,DB15),IF(CT$9=3,IF(OR(CR$4&gt;=$AD$127,AND($G15=1,$J15=2,CR$6=2),AND(CR$6=1,$N15&lt;&gt;1)),0,IF(CV15&lt;=120,DB15,IF(CR$4&lt;$AD$124,IF($F15=1,60/CT$4*CT$6,60/CT$4*CT$7),IF($F15=1,120/CT$4*CT$6,120/CT$4*CT$7)))),IF(OR($F15=3,$G15=2),IF(OR(AND(CR$4&gt;=$AD$119,$C15=2),AND(CR$4&gt;=$AF$119,$C15=1)),0,IF(CV15&lt;=60,DB15,60/CT$4*CT$7)),IF(AND($F15=2,$G15=1),DB15,0)))))</f>
        <v>0</v>
      </c>
      <c r="DE15" s="57" t="str">
        <f t="shared" si="40"/>
        <v/>
      </c>
      <c r="DF15" s="57" t="str">
        <f t="shared" si="41"/>
        <v/>
      </c>
      <c r="DG15" s="713">
        <f>'org. Düngung 22'!AF14</f>
        <v>0</v>
      </c>
      <c r="DH15" s="57"/>
      <c r="DI15" s="57"/>
      <c r="DJ15" s="57">
        <f t="shared" si="42"/>
        <v>0</v>
      </c>
      <c r="DK15" s="57">
        <f t="shared" ref="DK15:DK78" si="223">DI$4*DG15</f>
        <v>0</v>
      </c>
      <c r="DL15" s="57">
        <f t="shared" ref="DL15:DL78" si="224">DI$5*DG15</f>
        <v>0</v>
      </c>
      <c r="DM15" s="57">
        <f t="shared" ref="DM15:DM78" si="225">DK15-DK15*DI$10/100</f>
        <v>0</v>
      </c>
      <c r="DN15" s="57">
        <f t="shared" ref="DN15:DN78" si="226">DI$8*DG15</f>
        <v>0</v>
      </c>
      <c r="DO15" s="1029">
        <f t="shared" si="43"/>
        <v>0</v>
      </c>
      <c r="DP15" s="57">
        <f t="shared" si="44"/>
        <v>0</v>
      </c>
      <c r="DQ15" s="171" t="str">
        <f t="shared" si="45"/>
        <v/>
      </c>
      <c r="DR15" s="57">
        <f t="shared" ref="DR15:DR78" si="227">IF(DG$6=3,IF($F15=1,DG15*DI$6,DG15*DI$7),"")</f>
        <v>0</v>
      </c>
      <c r="DS15" s="57">
        <f>IF(OR(AND(DG$6=1,$L15=0),AND(DG$6=2,$K15=2,$G15=1)),0,IF(AND(DI$9=2,(OR($F15&gt;1,$K15=1,AND($L15=80,OR($N15=1,AND($N15=2,'#BerechnungDBE'!$AL6&gt;0)))))),IF(DG$4&gt;=$AD$126,0,DQ15),IF(DI$9=3,IF(OR(DG$4&gt;=$AD$127,AND($G15=1,$J15=2,DG$6=2),AND(DG$6=1,$N15&lt;&gt;1)),0,IF(DK15&lt;=120,DQ15,IF(DG$4&lt;$AD$124,IF($F15=1,60/DI$4*DI$6,60/DI$4*DI$7),IF($F15=1,120/DI$4*DI$6,120/DI$4*DI$7)))),IF(OR($F15=3,$G15=2),IF(OR(AND(DG$4&gt;=$AD$119,$C15=2),AND(DG$4&gt;=$AF$119,$C15=1)),0,IF(DK15&lt;=60,DQ15,60/DI$4*DI$7)),IF(AND($F15=2,$G15=1),DQ15,0)))))</f>
        <v>0</v>
      </c>
      <c r="DT15" s="57" t="str">
        <f t="shared" si="46"/>
        <v/>
      </c>
      <c r="DU15" s="57" t="str">
        <f t="shared" si="47"/>
        <v/>
      </c>
      <c r="DV15" s="713">
        <f>'org. Düngung 22'!AJ14</f>
        <v>0</v>
      </c>
      <c r="DW15" s="57"/>
      <c r="DX15" s="57"/>
      <c r="DY15" s="57">
        <f t="shared" si="48"/>
        <v>0</v>
      </c>
      <c r="DZ15" s="57">
        <f t="shared" ref="DZ15:DZ78" si="228">DX$4*DV15</f>
        <v>0</v>
      </c>
      <c r="EA15" s="57">
        <f t="shared" ref="EA15:EA78" si="229">DX$5*DV15</f>
        <v>0</v>
      </c>
      <c r="EB15" s="57">
        <f t="shared" ref="EB15:EB78" si="230">DZ15-DZ15*DX$10/100</f>
        <v>0</v>
      </c>
      <c r="EC15" s="57">
        <f t="shared" ref="EC15:EC78" si="231">DX$8*DV15</f>
        <v>0</v>
      </c>
      <c r="ED15" s="1029">
        <f t="shared" si="49"/>
        <v>0</v>
      </c>
      <c r="EE15" s="57">
        <f t="shared" si="50"/>
        <v>0</v>
      </c>
      <c r="EF15" s="171" t="str">
        <f t="shared" si="51"/>
        <v/>
      </c>
      <c r="EG15" s="57">
        <f t="shared" ref="EG15:EG78" si="232">IF(DV$6=3,IF($F15=1,DV15*DX$6,DV15*DX$7),"")</f>
        <v>0</v>
      </c>
      <c r="EH15" s="57">
        <f>IF(OR(AND(DV$6=1,$L15=0),AND(DV$6=2,$K15=2,$G15=1)),0,IF(AND(DX$9=2,(OR($F15&gt;1,$K15=1,AND($L15=80,OR($N15=1,AND($N15=2,'#BerechnungDBE'!$AL6&gt;0)))))),IF(DV$4&gt;=$AD$126,0,EF15),IF(DX$9=3,IF(OR(DV$4&gt;=$AD$127,AND($G15=1,$J15=2,DV$6=2),AND(DV$6=1,$N15&lt;&gt;1)),0,IF(DZ15&lt;=120,EF15,IF(DV$4&lt;$AD$124,IF($F15=1,60/DX$4*DX$6,60/DX$4*DX$7),IF($F15=1,120/DX$4*DX$6,120/DX$4*DX$7)))),IF(OR($F15=3,$G15=2),IF(OR(AND(DV$4&gt;=$AD$119,$C15=2),AND(DV$4&gt;=$AF$119,$C15=1)),0,IF(DZ15&lt;=60,EF15,60/DX$4*DX$7)),IF(AND($F15=2,$G15=1),EF15,0)))))</f>
        <v>0</v>
      </c>
      <c r="EI15" s="57" t="str">
        <f t="shared" si="52"/>
        <v/>
      </c>
      <c r="EJ15" s="57" t="str">
        <f t="shared" si="53"/>
        <v/>
      </c>
      <c r="EK15" s="713">
        <f>'org. Düngung 22'!AN14</f>
        <v>0</v>
      </c>
      <c r="EL15" s="57"/>
      <c r="EM15" s="57"/>
      <c r="EN15" s="57">
        <f t="shared" si="54"/>
        <v>0</v>
      </c>
      <c r="EO15" s="57">
        <f t="shared" ref="EO15:EO78" si="233">EM$4*EK15</f>
        <v>0</v>
      </c>
      <c r="EP15" s="57">
        <f t="shared" ref="EP15:EP78" si="234">EM$5*EK15</f>
        <v>0</v>
      </c>
      <c r="EQ15" s="57">
        <f t="shared" ref="EQ15:EQ78" si="235">EO15-EO15*EM$10/100</f>
        <v>0</v>
      </c>
      <c r="ER15" s="57">
        <f t="shared" ref="ER15:ER78" si="236">EM$8*EK15</f>
        <v>0</v>
      </c>
      <c r="ES15" s="1029">
        <f t="shared" si="55"/>
        <v>0</v>
      </c>
      <c r="ET15" s="57">
        <f t="shared" si="56"/>
        <v>0</v>
      </c>
      <c r="EU15" s="171" t="str">
        <f t="shared" si="57"/>
        <v/>
      </c>
      <c r="EV15" s="57">
        <f t="shared" ref="EV15:EV78" si="237">IF(EK$6=3,IF($F15=1,EK15*EM$6,EK15*EM$7),"")</f>
        <v>0</v>
      </c>
      <c r="EW15" s="57">
        <f>IF(OR(AND(EK$6=1,$L15=0),AND(EK$6=2,$K15=2,$G15=1)),0,IF(AND(EM$9=2,(OR($F15&gt;1,$K15=1,AND($L15=80,OR($N15=1,AND($N15=2,'#BerechnungDBE'!$AL6&gt;0)))))),IF(EK$4&gt;=$AD$126,0,EU15),IF(EM$9=3,IF(OR(EK$4&gt;=$AD$127,AND($G15=1,$J15=2,EK$6=2),AND(EK$6=1,$N15&lt;&gt;1)),0,IF(EO15&lt;=120,EU15,IF(EK$4&lt;$AD$124,IF($F15=1,60/EM$4*EM$6,60/EM$4*EM$7),IF($F15=1,120/EM$4*EM$6,120/EM$4*EM$7)))),IF(OR($F15=3,$G15=2),IF(OR(AND(EK$4&gt;=$AD$119,$C15=2),AND(EK$4&gt;=$AF$119,$C15=1)),0,IF(EO15&lt;=60,EU15,60/EM$4*EM$7)),IF(AND($F15=2,$G15=1),EU15,0)))))</f>
        <v>0</v>
      </c>
      <c r="EX15" s="57" t="str">
        <f t="shared" si="58"/>
        <v/>
      </c>
      <c r="EY15" s="57" t="str">
        <f t="shared" si="59"/>
        <v/>
      </c>
      <c r="EZ15" s="713">
        <f>'org. Düngung 22'!AR14</f>
        <v>0</v>
      </c>
      <c r="FA15" s="57"/>
      <c r="FB15" s="57"/>
      <c r="FC15" s="57">
        <f t="shared" si="60"/>
        <v>0</v>
      </c>
      <c r="FD15" s="57">
        <f t="shared" ref="FD15:FD78" si="238">FB$4*EZ15</f>
        <v>0</v>
      </c>
      <c r="FE15" s="57">
        <f t="shared" ref="FE15:FE78" si="239">FB$5*EZ15</f>
        <v>0</v>
      </c>
      <c r="FF15" s="57">
        <f t="shared" ref="FF15:FF78" si="240">FD15-FD15*FB$10/100</f>
        <v>0</v>
      </c>
      <c r="FG15" s="57">
        <f t="shared" ref="FG15:FG78" si="241">FB$8*EZ15</f>
        <v>0</v>
      </c>
      <c r="FH15" s="1029">
        <f t="shared" si="61"/>
        <v>0</v>
      </c>
      <c r="FI15" s="57">
        <f t="shared" si="62"/>
        <v>0</v>
      </c>
      <c r="FJ15" s="171" t="str">
        <f t="shared" si="63"/>
        <v/>
      </c>
      <c r="FK15" s="57">
        <f t="shared" ref="FK15:FK78" si="242">IF(EZ$6=3,IF($F15=1,EZ15*FB$6,EZ15*FB$7),"")</f>
        <v>0</v>
      </c>
      <c r="FL15" s="57">
        <f>IF(OR(AND(EZ$6=1,$L15=0),AND(EZ$6=2,$K15=2,$G15=1)),0,IF(AND(FB$9=2,(OR($F15&gt;1,$K15=1,AND($L15=80,OR($N15=1,AND($N15=2,'#BerechnungDBE'!$AL6&gt;0)))))),IF(EZ$4&gt;=$AD$126,0,FJ15),IF(FB$9=3,IF(OR(EZ$4&gt;=$AD$127,AND($G15=1,$J15=2,EZ$6=2),AND(EZ$6=1,$N15&lt;&gt;1)),0,IF(FD15&lt;=120,FJ15,IF(EZ$4&lt;$AD$124,IF($F15=1,60/FB$4*FB$6,60/FB$4*FB$7),IF($F15=1,120/FB$4*FB$6,120/FB$4*FB$7)))),IF(OR($F15=3,$G15=2),IF(OR(AND(EZ$4&gt;=$AD$119,$C15=2),AND(EZ$4&gt;=$AF$119,$C15=1)),0,IF(FD15&lt;=60,FJ15,60/FB$4*FB$7)),IF(AND($F15=2,$G15=1),FJ15,0)))))</f>
        <v>0</v>
      </c>
      <c r="FM15" s="57" t="str">
        <f t="shared" si="64"/>
        <v/>
      </c>
      <c r="FN15" s="57" t="str">
        <f t="shared" si="65"/>
        <v/>
      </c>
      <c r="FO15" s="713">
        <f>'org. Düngung 22'!AV14</f>
        <v>0</v>
      </c>
      <c r="FP15" s="57"/>
      <c r="FQ15" s="57"/>
      <c r="FR15" s="57">
        <f t="shared" si="66"/>
        <v>0</v>
      </c>
      <c r="FS15" s="57">
        <f t="shared" ref="FS15:FS78" si="243">FQ$4*FO15</f>
        <v>0</v>
      </c>
      <c r="FT15" s="57">
        <f t="shared" ref="FT15:FT78" si="244">FQ$5*FO15</f>
        <v>0</v>
      </c>
      <c r="FU15" s="57">
        <f t="shared" ref="FU15:FU78" si="245">FS15-FS15*FQ$10/100</f>
        <v>0</v>
      </c>
      <c r="FV15" s="57">
        <f t="shared" ref="FV15:FV78" si="246">FQ$8*FO15</f>
        <v>0</v>
      </c>
      <c r="FW15" s="1029">
        <f t="shared" si="67"/>
        <v>0</v>
      </c>
      <c r="FX15" s="57">
        <f t="shared" si="68"/>
        <v>0</v>
      </c>
      <c r="FY15" s="171" t="str">
        <f t="shared" si="69"/>
        <v/>
      </c>
      <c r="FZ15" s="57">
        <f t="shared" ref="FZ15:FZ78" si="247">IF(FO$6=3,IF($F15=1,FO15*FQ$6,FO15*FQ$7),"")</f>
        <v>0</v>
      </c>
      <c r="GA15" s="57">
        <f>IF(OR(AND(FO$6=1,$L15=0),AND(FO$6=2,$K15=2,$G15=1)),0,IF(AND(FQ$9=2,(OR($F15&gt;1,$K15=1,AND($L15=80,OR($N15=1,AND($N15=2,'#BerechnungDBE'!$AL6&gt;0)))))),IF(FO$4&gt;=$AD$126,0,FY15),IF(FQ$9=3,IF(OR(FO$4&gt;=$AD$127,AND($G15=1,$J15=2,FO$6=2),AND(FO$6=1,$N15&lt;&gt;1)),0,IF(FS15&lt;=120,FY15,IF(FO$4&lt;$AD$124,IF($F15=1,60/FQ$4*FQ$6,60/FQ$4*FQ$7),IF($F15=1,120/FQ$4*FQ$6,120/FQ$4*FQ$7)))),IF(OR($F15=3,$G15=2),IF(OR(AND(FO$4&gt;=$AD$119,$C15=2),AND(FO$4&gt;=$AF$119,$C15=1)),0,IF(FS15&lt;=60,FY15,60/FQ$4*FQ$7)),IF(AND($F15=2,$G15=1),FY15,0)))))</f>
        <v>0</v>
      </c>
      <c r="GB15" s="57" t="str">
        <f t="shared" si="70"/>
        <v/>
      </c>
      <c r="GC15" s="57" t="str">
        <f t="shared" si="71"/>
        <v/>
      </c>
      <c r="GD15" s="713">
        <f>'org. Düngung 22'!AZ14</f>
        <v>0</v>
      </c>
      <c r="GE15" s="57"/>
      <c r="GF15" s="57"/>
      <c r="GG15" s="57">
        <f t="shared" si="72"/>
        <v>0</v>
      </c>
      <c r="GH15" s="57">
        <f t="shared" ref="GH15:GH78" si="248">GF$4*GD15</f>
        <v>0</v>
      </c>
      <c r="GI15" s="57">
        <f t="shared" ref="GI15:GI78" si="249">GF$5*GD15</f>
        <v>0</v>
      </c>
      <c r="GJ15" s="57">
        <f t="shared" ref="GJ15:GJ78" si="250">GH15-GH15*GF$10/100</f>
        <v>0</v>
      </c>
      <c r="GK15" s="57">
        <f t="shared" ref="GK15:GK78" si="251">GF$8*GD15</f>
        <v>0</v>
      </c>
      <c r="GL15" s="1029">
        <f t="shared" si="73"/>
        <v>0</v>
      </c>
      <c r="GM15" s="57">
        <f t="shared" si="74"/>
        <v>0</v>
      </c>
      <c r="GN15" s="171" t="str">
        <f t="shared" si="75"/>
        <v/>
      </c>
      <c r="GO15" s="57">
        <f t="shared" ref="GO15:GO78" si="252">IF(GD$6=3,IF($F15=1,GD15*GF$6,GD15*GF$7),"")</f>
        <v>0</v>
      </c>
      <c r="GP15" s="57">
        <f>IF(OR(AND(GD$6=1,$L15=0),AND(GD$6=2,$K15=2,$G15=1)),0,IF(AND(GF$9=2,(OR($F15&gt;1,$K15=1,AND($L15=80,OR($N15=1,AND($N15=2,'#BerechnungDBE'!$AL6&gt;0)))))),IF(GD$4&gt;=$AD$126,0,GN15),IF(GF$9=3,IF(OR(GD$4&gt;=$AD$127,AND($G15=1,$J15=2,GD$6=2),AND(GD$6=1,$N15&lt;&gt;1)),0,IF(GH15&lt;=120,GN15,IF(GD$4&lt;$AD$124,IF($F15=1,60/GF$4*GF$6,60/GF$4*GF$7),IF($F15=1,120/GF$4*GF$6,120/GF$4*GF$7)))),IF(OR($F15=3,$G15=2),IF(OR(AND(GD$4&gt;=$AD$119,$C15=2),AND(GD$4&gt;=$AF$119,$C15=1)),0,IF(GH15&lt;=60,GN15,60/GF$4*GF$7)),IF(AND($F15=2,$G15=1),GN15,0)))))</f>
        <v>0</v>
      </c>
      <c r="GQ15" s="57" t="str">
        <f t="shared" si="76"/>
        <v/>
      </c>
      <c r="GR15" s="57" t="str">
        <f t="shared" si="77"/>
        <v/>
      </c>
      <c r="GS15" s="713">
        <f>'org. Düngung 22'!BD14</f>
        <v>0</v>
      </c>
      <c r="GT15" s="57"/>
      <c r="GU15" s="57"/>
      <c r="GV15" s="57">
        <f t="shared" si="78"/>
        <v>0</v>
      </c>
      <c r="GW15" s="57">
        <f t="shared" ref="GW15:GW78" si="253">GU$4*GS15</f>
        <v>0</v>
      </c>
      <c r="GX15" s="57">
        <f t="shared" ref="GX15:GX78" si="254">GU$5*GS15</f>
        <v>0</v>
      </c>
      <c r="GY15" s="57">
        <f t="shared" ref="GY15:GY78" si="255">GW15-GW15*GU$10/100</f>
        <v>0</v>
      </c>
      <c r="GZ15" s="57">
        <f t="shared" ref="GZ15:GZ78" si="256">GU$8*GS15</f>
        <v>0</v>
      </c>
      <c r="HA15" s="1029">
        <f t="shared" si="79"/>
        <v>0</v>
      </c>
      <c r="HB15" s="57">
        <f t="shared" si="80"/>
        <v>0</v>
      </c>
      <c r="HC15" s="171" t="str">
        <f t="shared" si="81"/>
        <v/>
      </c>
      <c r="HD15" s="57">
        <f t="shared" ref="HD15:HD78" si="257">IF(GS$6=3,IF($F15=1,GS15*GU$6,GS15*GU$7),"")</f>
        <v>0</v>
      </c>
      <c r="HE15" s="57">
        <f>IF(OR(AND(GS$6=1,$L15=0),AND(GS$6=2,$K15=2,$G15=1)),0,IF(AND(GU$9=2,(OR($F15&gt;1,$K15=1,AND($L15=80,OR($N15=1,AND($N15=2,'#BerechnungDBE'!$AL6&gt;0)))))),IF(GS$4&gt;=$AD$126,0,HC15),IF(GU$9=3,IF(OR(GS$4&gt;=$AD$127,AND($G15=1,$J15=2,GS$6=2),AND(GS$6=1,$N15&lt;&gt;1)),0,IF(GW15&lt;=120,HC15,IF(GS$4&lt;$AD$124,IF($F15=1,60/GU$4*GU$6,60/GU$4*GU$7),IF($F15=1,120/GU$4*GU$6,120/GU$4*GU$7)))),IF(OR($F15=3,$G15=2),IF(OR(AND(GS$4&gt;=$AD$119,$C15=2),AND(GS$4&gt;=$AF$119,$C15=1)),0,IF(GW15&lt;=60,HC15,60/GU$4*GU$7)),IF(AND($F15=2,$G15=1),HC15,0)))))</f>
        <v>0</v>
      </c>
      <c r="HF15" s="57" t="str">
        <f t="shared" si="82"/>
        <v/>
      </c>
      <c r="HG15" s="57" t="str">
        <f t="shared" si="83"/>
        <v/>
      </c>
      <c r="HH15" s="713">
        <f>'org. Düngung 22'!BH14</f>
        <v>0</v>
      </c>
      <c r="HI15" s="57"/>
      <c r="HJ15" s="57"/>
      <c r="HK15" s="57">
        <f t="shared" si="84"/>
        <v>0</v>
      </c>
      <c r="HL15" s="57">
        <f t="shared" ref="HL15:HL78" si="258">HJ$4*HH15</f>
        <v>0</v>
      </c>
      <c r="HM15" s="57">
        <f t="shared" ref="HM15:HM78" si="259">HJ$5*HH15</f>
        <v>0</v>
      </c>
      <c r="HN15" s="57">
        <f t="shared" ref="HN15:HN78" si="260">HL15-HL15*HJ$10/100</f>
        <v>0</v>
      </c>
      <c r="HO15" s="57">
        <f t="shared" ref="HO15:HO78" si="261">HJ$8*HH15</f>
        <v>0</v>
      </c>
      <c r="HP15" s="1029">
        <f t="shared" si="85"/>
        <v>0</v>
      </c>
      <c r="HQ15" s="57">
        <f t="shared" si="86"/>
        <v>0</v>
      </c>
      <c r="HR15" s="171" t="str">
        <f t="shared" si="87"/>
        <v/>
      </c>
      <c r="HS15" s="57">
        <f t="shared" ref="HS15:HS78" si="262">IF(HH$6=3,IF($F15=1,HH15*HJ$6,HH15*HJ$7),"")</f>
        <v>0</v>
      </c>
      <c r="HT15" s="57">
        <f>IF(OR(AND(HH$6=1,$L15=0),AND(HH$6=2,$K15=2,$G15=1)),0,IF(AND(HJ$9=2,(OR($F15&gt;1,$K15=1,AND($L15=80,OR($N15=1,AND($N15=2,'#BerechnungDBE'!$AL6&gt;0)))))),IF(HH$4&gt;=$AD$126,0,HR15),IF(HJ$9=3,IF(OR(HH$4&gt;=$AD$127,AND($G15=1,$J15=2,HH$6=2),AND(HH$6=1,$N15&lt;&gt;1)),0,IF(HL15&lt;=120,HR15,IF(HH$4&lt;$AD$124,IF($F15=1,60/HJ$4*HJ$6,60/HJ$4*HJ$7),IF($F15=1,120/HJ$4*HJ$6,120/HJ$4*HJ$7)))),IF(OR($F15=3,$G15=2),IF(OR(AND(HH$4&gt;=$AD$119,$C15=2),AND(HH$4&gt;=$AF$119,$C15=1)),0,IF(HL15&lt;=60,HR15,60/HJ$4*HJ$7)),IF(AND($F15=2,$G15=1),HR15,0)))))</f>
        <v>0</v>
      </c>
      <c r="HU15" s="57" t="str">
        <f t="shared" si="88"/>
        <v/>
      </c>
      <c r="HV15" s="57" t="str">
        <f t="shared" si="89"/>
        <v/>
      </c>
      <c r="HW15" s="713">
        <f>'org. Düngung 22'!BL14</f>
        <v>0</v>
      </c>
      <c r="HX15" s="57"/>
      <c r="HY15" s="57"/>
      <c r="HZ15" s="57">
        <f t="shared" si="90"/>
        <v>0</v>
      </c>
      <c r="IA15" s="57">
        <f t="shared" ref="IA15:IA78" si="263">HY$4*HW15</f>
        <v>0</v>
      </c>
      <c r="IB15" s="57">
        <f t="shared" ref="IB15:IB78" si="264">HY$5*HW15</f>
        <v>0</v>
      </c>
      <c r="IC15" s="57">
        <f t="shared" ref="IC15:IC78" si="265">IA15-IA15*HY$10/100</f>
        <v>0</v>
      </c>
      <c r="ID15" s="57">
        <f t="shared" ref="ID15:ID78" si="266">HY$8*HW15</f>
        <v>0</v>
      </c>
      <c r="IE15" s="1029">
        <f t="shared" si="91"/>
        <v>0</v>
      </c>
      <c r="IF15" s="57">
        <f t="shared" si="92"/>
        <v>0</v>
      </c>
      <c r="IG15" s="171" t="str">
        <f t="shared" si="93"/>
        <v/>
      </c>
      <c r="IH15" s="57">
        <f t="shared" ref="IH15:IH78" si="267">IF(HW$6=3,IF($F15=1,HW15*HY$6,HW15*HY$7),"")</f>
        <v>0</v>
      </c>
      <c r="II15" s="57">
        <f>IF(OR(AND(HW$6=1,$L15=0),AND(HW$6=2,$K15=2,$G15=1)),0,IF(AND(HY$9=2,(OR($F15&gt;1,$K15=1,AND($L15=80,OR($N15=1,AND($N15=2,'#BerechnungDBE'!$AL6&gt;0)))))),IF(HW$4&gt;=$AD$126,0,IG15),IF(HY$9=3,IF(OR(HW$4&gt;=$AD$127,AND($G15=1,$J15=2,HW$6=2),AND(HW$6=1,$N15&lt;&gt;1)),0,IF(IA15&lt;=120,IG15,IF(HW$4&lt;$AD$124,IF($F15=1,60/HY$4*HY$6,60/HY$4*HY$7),IF($F15=1,120/HY$4*HY$6,120/HY$4*HY$7)))),IF(OR($F15=3,$G15=2),IF(OR(AND(HW$4&gt;=$AD$119,$C15=2),AND(HW$4&gt;=$AF$119,$C15=1)),0,IF(IA15&lt;=60,IG15,60/HY$4*HY$7)),IF(AND($F15=2,$G15=1),IG15,0)))))</f>
        <v>0</v>
      </c>
      <c r="IJ15" s="57" t="str">
        <f t="shared" si="94"/>
        <v/>
      </c>
      <c r="IK15" s="57" t="str">
        <f t="shared" si="95"/>
        <v/>
      </c>
      <c r="IL15" s="713">
        <f>'org. Düngung 22'!BP14</f>
        <v>0</v>
      </c>
      <c r="IM15" s="57"/>
      <c r="IN15" s="57"/>
      <c r="IO15" s="57">
        <f t="shared" si="96"/>
        <v>0</v>
      </c>
      <c r="IP15" s="57">
        <f t="shared" ref="IP15:IP78" si="268">IN$4*IL15</f>
        <v>0</v>
      </c>
      <c r="IQ15" s="57">
        <f t="shared" ref="IQ15:IQ78" si="269">IN$5*IL15</f>
        <v>0</v>
      </c>
      <c r="IR15" s="57">
        <f t="shared" ref="IR15:IR78" si="270">IP15-IP15*IN$10/100</f>
        <v>0</v>
      </c>
      <c r="IS15" s="57">
        <f t="shared" ref="IS15:IS78" si="271">IN$8*IL15</f>
        <v>0</v>
      </c>
      <c r="IT15" s="1029">
        <f t="shared" si="97"/>
        <v>0</v>
      </c>
      <c r="IU15" s="57">
        <f t="shared" si="98"/>
        <v>0</v>
      </c>
      <c r="IV15" s="171" t="str">
        <f t="shared" si="99"/>
        <v/>
      </c>
      <c r="IW15" s="57">
        <f t="shared" ref="IW15:IW78" si="272">IF(IL$6=3,IF($F15=1,IL15*IN$6,IL15*IN$7),"")</f>
        <v>0</v>
      </c>
      <c r="IX15" s="57">
        <f>IF(OR(AND(IL$6=1,$L15=0),AND(IL$6=2,$K15=2,$G15=1)),0,IF(AND(IN$9=2,(OR($F15&gt;1,$K15=1,AND($L15=80,OR($N15=1,AND($N15=2,'#BerechnungDBE'!$AL6&gt;0)))))),IF(IL$4&gt;=$AD$126,0,IV15),IF(IN$9=3,IF(OR(IL$4&gt;=$AD$127,AND($G15=1,$J15=2,IL$6=2),AND(IL$6=1,$N15&lt;&gt;1)),0,IF(IP15&lt;=120,IV15,IF(IL$4&lt;$AD$124,IF($F15=1,60/IN$4*IN$6,60/IN$4*IN$7),IF($F15=1,120/IN$4*IN$6,120/IN$4*IN$7)))),IF(OR($F15=3,$G15=2),IF(OR(AND(IL$4&gt;=$AD$119,$C15=2),AND(IL$4&gt;=$AF$119,$C15=1)),0,IF(IP15&lt;=60,IV15,60/IN$4*IN$7)),IF(AND($F15=2,$G15=1),IV15,0)))))</f>
        <v>0</v>
      </c>
      <c r="IY15" s="57" t="str">
        <f t="shared" si="100"/>
        <v/>
      </c>
      <c r="IZ15" s="57" t="str">
        <f t="shared" si="101"/>
        <v/>
      </c>
      <c r="JA15" s="713">
        <f>'org. Düngung 22'!BT14</f>
        <v>0</v>
      </c>
      <c r="JB15" s="57"/>
      <c r="JC15" s="57"/>
      <c r="JD15" s="57">
        <f t="shared" si="102"/>
        <v>0</v>
      </c>
      <c r="JE15" s="57">
        <f t="shared" ref="JE15:JE78" si="273">JC$4*JA15</f>
        <v>0</v>
      </c>
      <c r="JF15" s="57">
        <f t="shared" ref="JF15:JF78" si="274">JC$5*JA15</f>
        <v>0</v>
      </c>
      <c r="JG15" s="57">
        <f t="shared" ref="JG15:JG78" si="275">JE15-JE15*JC$10/100</f>
        <v>0</v>
      </c>
      <c r="JH15" s="57">
        <f t="shared" ref="JH15:JH78" si="276">JC$8*JA15</f>
        <v>0</v>
      </c>
      <c r="JI15" s="1029">
        <f t="shared" si="103"/>
        <v>0</v>
      </c>
      <c r="JJ15" s="57">
        <f t="shared" si="104"/>
        <v>0</v>
      </c>
      <c r="JK15" s="171" t="str">
        <f t="shared" si="105"/>
        <v/>
      </c>
      <c r="JL15" s="57">
        <f t="shared" ref="JL15:JL78" si="277">IF(JA$6=3,IF($F15=1,JA15*JC$6,JA15*JC$7),"")</f>
        <v>0</v>
      </c>
      <c r="JM15" s="57">
        <f>IF(OR(AND(JA$6=1,$L15=0),AND(JA$6=2,$K15=2,$G15=1)),0,IF(AND(JC$9=2,(OR($F15&gt;1,$K15=1,AND($L15=80,OR($N15=1,AND($N15=2,'#BerechnungDBE'!$AL6&gt;0)))))),IF(JA$4&gt;=$AD$126,0,JK15),IF(JC$9=3,IF(OR(JA$4&gt;=$AD$127,AND($G15=1,$J15=2,JA$6=2),AND(JA$6=1,$N15&lt;&gt;1)),0,IF(JE15&lt;=120,JK15,IF(JA$4&lt;$AD$124,IF($F15=1,60/JC$4*JC$6,60/JC$4*JC$7),IF($F15=1,120/JC$4*JC$6,120/JC$4*JC$7)))),IF(OR($F15=3,$G15=2),IF(OR(AND(JA$4&gt;=$AD$119,$C15=2),AND(JA$4&gt;=$AF$119,$C15=1)),0,IF(JE15&lt;=60,JK15,60/JC$4*JC$7)),IF(AND($F15=2,$G15=1),JK15,0)))))</f>
        <v>0</v>
      </c>
      <c r="JN15" s="57" t="str">
        <f t="shared" si="106"/>
        <v/>
      </c>
      <c r="JO15" s="57" t="str">
        <f t="shared" si="107"/>
        <v/>
      </c>
      <c r="JP15" s="713">
        <f>'org. Düngung 22'!BX14</f>
        <v>0</v>
      </c>
      <c r="JQ15" s="57"/>
      <c r="JR15" s="57"/>
      <c r="JS15" s="57">
        <f t="shared" si="108"/>
        <v>0</v>
      </c>
      <c r="JT15" s="57">
        <f t="shared" ref="JT15:JT78" si="278">JR$4*JP15</f>
        <v>0</v>
      </c>
      <c r="JU15" s="57">
        <f t="shared" ref="JU15:JU78" si="279">JR$5*JP15</f>
        <v>0</v>
      </c>
      <c r="JV15" s="57">
        <f t="shared" ref="JV15:JV78" si="280">JT15-JT15*JR$10/100</f>
        <v>0</v>
      </c>
      <c r="JW15" s="57">
        <f t="shared" ref="JW15:JW78" si="281">JR$8*JP15</f>
        <v>0</v>
      </c>
      <c r="JX15" s="1029">
        <f t="shared" si="109"/>
        <v>0</v>
      </c>
      <c r="JY15" s="57">
        <f t="shared" si="110"/>
        <v>0</v>
      </c>
      <c r="JZ15" s="171" t="str">
        <f t="shared" si="111"/>
        <v/>
      </c>
      <c r="KA15" s="57">
        <f t="shared" ref="KA15:KA78" si="282">IF(JP$6=3,IF($F15=1,JP15*JR$6,JP15*JR$7),"")</f>
        <v>0</v>
      </c>
      <c r="KB15" s="57">
        <f>IF(OR(AND(JP$6=1,$L15=0),AND(JP$6=2,$K15=2,$G15=1)),0,IF(AND(JR$9=2,(OR($F15&gt;1,$K15=1,AND($L15=80,OR($N15=1,AND($N15=2,'#BerechnungDBE'!$AL6&gt;0)))))),IF(JP$4&gt;=$AD$126,0,JZ15),IF(JR$9=3,IF(OR(JP$4&gt;=$AD$127,AND($G15=1,$J15=2,JP$6=2),AND(JP$6=1,$N15&lt;&gt;1)),0,IF(JT15&lt;=120,JZ15,IF(JP$4&lt;$AD$124,IF($F15=1,60/JR$4*JR$6,60/JR$4*JR$7),IF($F15=1,120/JR$4*JR$6,120/JR$4*JR$7)))),IF(OR($F15=3,$G15=2),IF(OR(AND(JP$4&gt;=$AD$119,$C15=2),AND(JP$4&gt;=$AF$119,$C15=1)),0,IF(JT15&lt;=60,JZ15,60/JR$4*JR$7)),IF(AND($F15=2,$G15=1),JZ15,0)))))</f>
        <v>0</v>
      </c>
      <c r="KC15" s="57" t="str">
        <f t="shared" si="112"/>
        <v/>
      </c>
      <c r="KD15" s="57" t="str">
        <f t="shared" si="113"/>
        <v/>
      </c>
      <c r="KE15" s="713">
        <f>'org. Düngung 22'!CB14</f>
        <v>0</v>
      </c>
      <c r="KF15" s="57"/>
      <c r="KG15" s="57"/>
      <c r="KH15" s="57">
        <f t="shared" si="114"/>
        <v>0</v>
      </c>
      <c r="KI15" s="57">
        <f t="shared" ref="KI15:KI78" si="283">KG$4*KE15</f>
        <v>0</v>
      </c>
      <c r="KJ15" s="57">
        <f t="shared" ref="KJ15:KJ78" si="284">KG$5*KE15</f>
        <v>0</v>
      </c>
      <c r="KK15" s="57">
        <f t="shared" ref="KK15:KK78" si="285">KI15-KI15*KG$10/100</f>
        <v>0</v>
      </c>
      <c r="KL15" s="57">
        <f t="shared" ref="KL15:KL78" si="286">KG$8*KE15</f>
        <v>0</v>
      </c>
      <c r="KM15" s="1029">
        <f t="shared" si="115"/>
        <v>0</v>
      </c>
      <c r="KN15" s="57">
        <f t="shared" si="116"/>
        <v>0</v>
      </c>
      <c r="KO15" s="171" t="str">
        <f t="shared" si="117"/>
        <v/>
      </c>
      <c r="KP15" s="57">
        <f t="shared" ref="KP15:KP78" si="287">IF(KE$6=3,IF($F15=1,KE15*KG$6,KE15*KG$7),"")</f>
        <v>0</v>
      </c>
      <c r="KQ15" s="57">
        <f>IF(OR(AND(KE$6=1,$L15=0),AND(KE$6=2,$K15=2,$G15=1)),0,IF(AND(KG$9=2,(OR($F15&gt;1,$K15=1,AND($L15=80,OR($N15=1,AND($N15=2,'#BerechnungDBE'!$AL6&gt;0)))))),IF(KE$4&gt;=$AD$126,0,KO15),IF(KG$9=3,IF(OR(KE$4&gt;=$AD$127,AND($G15=1,$J15=2,KE$6=2),AND(KE$6=1,$N15&lt;&gt;1)),0,IF(KI15&lt;=120,KO15,IF(KE$4&lt;$AD$124,IF($F15=1,60/KG$4*KG$6,60/KG$4*KG$7),IF($F15=1,120/KG$4*KG$6,120/KG$4*KG$7)))),IF(OR($F15=3,$G15=2),IF(OR(AND(KE$4&gt;=$AD$119,$C15=2),AND(KE$4&gt;=$AF$119,$C15=1)),0,IF(KI15&lt;=60,KO15,60/KG$4*KG$7)),IF(AND($F15=2,$G15=1),KO15,0)))))</f>
        <v>0</v>
      </c>
      <c r="KR15" s="57" t="str">
        <f t="shared" si="118"/>
        <v/>
      </c>
      <c r="KS15" s="57" t="str">
        <f t="shared" si="119"/>
        <v/>
      </c>
      <c r="KT15" s="713">
        <f>'org. Düngung 22'!CF14</f>
        <v>0</v>
      </c>
      <c r="KU15" s="57"/>
      <c r="KV15" s="57"/>
      <c r="KW15" s="57">
        <f t="shared" si="120"/>
        <v>0</v>
      </c>
      <c r="KX15" s="57">
        <f t="shared" ref="KX15:KX78" si="288">KV$4*KT15</f>
        <v>0</v>
      </c>
      <c r="KY15" s="57">
        <f t="shared" ref="KY15:KY78" si="289">KV$5*KT15</f>
        <v>0</v>
      </c>
      <c r="KZ15" s="57">
        <f t="shared" ref="KZ15:KZ78" si="290">KX15-KX15*KV$10/100</f>
        <v>0</v>
      </c>
      <c r="LA15" s="57">
        <f t="shared" ref="LA15:LA78" si="291">KV$8*KT15</f>
        <v>0</v>
      </c>
      <c r="LB15" s="1029">
        <f t="shared" si="121"/>
        <v>0</v>
      </c>
      <c r="LC15" s="57">
        <f t="shared" si="122"/>
        <v>0</v>
      </c>
      <c r="LD15" s="171" t="str">
        <f t="shared" si="123"/>
        <v/>
      </c>
      <c r="LE15" s="57">
        <f t="shared" ref="LE15:LE78" si="292">IF(KT$6=3,IF($F15=1,KT15*KV$6,KT15*KV$7),"")</f>
        <v>0</v>
      </c>
      <c r="LF15" s="57">
        <f>IF(OR(AND(KT$6=1,$L15=0),AND(KT$6=2,$K15=2,$G15=1)),0,IF(AND(KV$9=2,(OR($F15&gt;1,$K15=1,AND($L15=80,OR($N15=1,AND($N15=2,'#BerechnungDBE'!$AL6&gt;0)))))),IF(KT$4&gt;=$AD$126,0,LD15),IF(KV$9=3,IF(OR(KT$4&gt;=$AD$127,AND($G15=1,$J15=2,KT$6=2),AND(KT$6=1,$N15&lt;&gt;1)),0,IF(KX15&lt;=120,LD15,IF(KT$4&lt;$AD$124,IF($F15=1,60/KV$4*KV$6,60/KV$4*KV$7),IF($F15=1,120/KV$4*KV$6,120/KV$4*KV$7)))),IF(OR($F15=3,$G15=2),IF(OR(AND(KT$4&gt;=$AD$119,$C15=2),AND(KT$4&gt;=$AF$119,$C15=1)),0,IF(KX15&lt;=60,LD15,60/KV$4*KV$7)),IF(AND($F15=2,$G15=1),LD15,0)))))</f>
        <v>0</v>
      </c>
      <c r="LG15" s="57" t="str">
        <f t="shared" si="124"/>
        <v/>
      </c>
      <c r="LH15" s="57" t="str">
        <f t="shared" si="125"/>
        <v/>
      </c>
      <c r="LI15" s="713">
        <f>'org. Düngung 22'!CJ14</f>
        <v>0</v>
      </c>
      <c r="LJ15" s="57"/>
      <c r="LK15" s="57"/>
      <c r="LL15" s="57">
        <f t="shared" si="126"/>
        <v>0</v>
      </c>
      <c r="LM15" s="57">
        <f t="shared" ref="LM15:LM78" si="293">LK$4*LI15</f>
        <v>0</v>
      </c>
      <c r="LN15" s="57">
        <f t="shared" ref="LN15:LN78" si="294">LK$5*LI15</f>
        <v>0</v>
      </c>
      <c r="LO15" s="57">
        <f t="shared" ref="LO15:LO78" si="295">LM15-LM15*LK$10/100</f>
        <v>0</v>
      </c>
      <c r="LP15" s="57">
        <f t="shared" ref="LP15:LP78" si="296">LK$8*LI15</f>
        <v>0</v>
      </c>
      <c r="LQ15" s="1029">
        <f t="shared" si="127"/>
        <v>0</v>
      </c>
      <c r="LR15" s="57">
        <f t="shared" si="128"/>
        <v>0</v>
      </c>
      <c r="LS15" s="171" t="str">
        <f t="shared" si="129"/>
        <v/>
      </c>
      <c r="LT15" s="57">
        <f t="shared" ref="LT15:LT78" si="297">IF(LI$6=3,IF($F15=1,LI15*LK$6,LI15*LK$7),"")</f>
        <v>0</v>
      </c>
      <c r="LU15" s="57">
        <f>IF(OR(AND(LI$6=1,$L15=0),AND(LI$6=2,$K15=2,$G15=1)),0,IF(AND(LK$9=2,(OR($F15&gt;1,$K15=1,AND($L15=80,OR($N15=1,AND($N15=2,'#BerechnungDBE'!$AL6&gt;0)))))),IF(LI$4&gt;=$AD$126,0,LS15),IF(LK$9=3,IF(OR(LI$4&gt;=$AD$127,AND($G15=1,$J15=2,LI$6=2),AND(LI$6=1,$N15&lt;&gt;1)),0,IF(LM15&lt;=120,LS15,IF(LI$4&lt;$AD$124,IF($F15=1,60/LK$4*LK$6,60/LK$4*LK$7),IF($F15=1,120/LK$4*LK$6,120/LK$4*LK$7)))),IF(OR($F15=3,$G15=2),IF(OR(AND(LI$4&gt;=$AD$119,$C15=2),AND(LI$4&gt;=$AF$119,$C15=1)),0,IF(LM15&lt;=60,LS15,60/LK$4*LK$7)),IF(AND($F15=2,$G15=1),LS15,0)))))</f>
        <v>0</v>
      </c>
      <c r="LV15" s="57" t="str">
        <f t="shared" si="130"/>
        <v/>
      </c>
      <c r="LW15" s="57" t="str">
        <f t="shared" si="131"/>
        <v/>
      </c>
      <c r="LX15" s="713">
        <f>'org. Düngung 22'!CN14</f>
        <v>0</v>
      </c>
      <c r="LY15" s="57"/>
      <c r="LZ15" s="57"/>
      <c r="MA15" s="57">
        <f t="shared" si="132"/>
        <v>0</v>
      </c>
      <c r="MB15" s="57">
        <f t="shared" ref="MB15:MB78" si="298">LZ$4*LX15</f>
        <v>0</v>
      </c>
      <c r="MC15" s="57">
        <f t="shared" ref="MC15:MC78" si="299">LZ$5*LX15</f>
        <v>0</v>
      </c>
      <c r="MD15" s="57">
        <f t="shared" ref="MD15:MD78" si="300">MB15-MB15*LZ$10/100</f>
        <v>0</v>
      </c>
      <c r="ME15" s="57">
        <f t="shared" ref="ME15:ME78" si="301">LZ$8*LX15</f>
        <v>0</v>
      </c>
      <c r="MF15" s="1029">
        <f t="shared" si="133"/>
        <v>0</v>
      </c>
      <c r="MG15" s="57">
        <f t="shared" si="134"/>
        <v>0</v>
      </c>
      <c r="MH15" s="171" t="str">
        <f t="shared" si="135"/>
        <v/>
      </c>
      <c r="MI15" s="57">
        <f t="shared" ref="MI15:MI78" si="302">IF(LX$6=3,IF($F15=1,LX15*LZ$6,LX15*LZ$7),"")</f>
        <v>0</v>
      </c>
      <c r="MJ15" s="57">
        <f>IF(OR(AND(LX$6=1,$L15=0),AND(LX$6=2,$K15=2,$G15=1)),0,IF(AND(LZ$9=2,(OR($F15&gt;1,$K15=1,AND($L15=80,OR($N15=1,AND($N15=2,'#BerechnungDBE'!$AL6&gt;0)))))),IF(LX$4&gt;=$AD$126,0,MH15),IF(LZ$9=3,IF(OR(LX$4&gt;=$AD$127,AND($G15=1,$J15=2,LX$6=2),AND(LX$6=1,$N15&lt;&gt;1)),0,IF(MB15&lt;=120,MH15,IF(LX$4&lt;$AD$124,IF($F15=1,60/LZ$4*LZ$6,60/LZ$4*LZ$7),IF($F15=1,120/LZ$4*LZ$6,120/LZ$4*LZ$7)))),IF(OR($F15=3,$G15=2),IF(OR(AND(LX$4&gt;=$AD$119,$C15=2),AND(LX$4&gt;=$AF$119,$C15=1)),0,IF(MB15&lt;=60,MH15,60/LZ$4*LZ$7)),IF(AND($F15=2,$G15=1),MH15,0)))))</f>
        <v>0</v>
      </c>
      <c r="MK15" s="57" t="str">
        <f t="shared" si="136"/>
        <v/>
      </c>
      <c r="ML15" s="57" t="str">
        <f t="shared" si="137"/>
        <v/>
      </c>
      <c r="MM15" s="713">
        <f>'org. Düngung 22'!CR14</f>
        <v>0</v>
      </c>
      <c r="MN15" s="57"/>
      <c r="MO15" s="57"/>
      <c r="MP15" s="57">
        <f t="shared" si="138"/>
        <v>0</v>
      </c>
      <c r="MQ15" s="57">
        <f t="shared" ref="MQ15:MQ78" si="303">MO$4*MM15</f>
        <v>0</v>
      </c>
      <c r="MR15" s="57">
        <f t="shared" ref="MR15:MR78" si="304">MO$5*MM15</f>
        <v>0</v>
      </c>
      <c r="MS15" s="57">
        <f t="shared" ref="MS15:MS78" si="305">MQ15-MQ15*MO$10/100</f>
        <v>0</v>
      </c>
      <c r="MT15" s="57">
        <f t="shared" ref="MT15:MT78" si="306">MO$8*MM15</f>
        <v>0</v>
      </c>
      <c r="MU15" s="1029">
        <f t="shared" si="139"/>
        <v>0</v>
      </c>
      <c r="MV15" s="57">
        <f t="shared" si="140"/>
        <v>0</v>
      </c>
      <c r="MW15" s="171" t="str">
        <f t="shared" si="141"/>
        <v/>
      </c>
      <c r="MX15" s="57">
        <f t="shared" ref="MX15:MX78" si="307">IF(MM$6=3,IF($F15=1,MM15*MO$6,MM15*MO$7),"")</f>
        <v>0</v>
      </c>
      <c r="MY15" s="57">
        <f>IF(OR(AND(MM$6=1,$L15=0),AND(MM$6=2,$K15=2,$G15=1)),0,IF(AND(MO$9=2,(OR($F15&gt;1,$K15=1,AND($L15=80,OR($N15=1,AND($N15=2,'#BerechnungDBE'!$AL6&gt;0)))))),IF(MM$4&gt;=$AD$126,0,MW15),IF(MO$9=3,IF(OR(MM$4&gt;=$AD$127,AND($G15=1,$J15=2,MM$6=2),AND(MM$6=1,$N15&lt;&gt;1)),0,IF(MQ15&lt;=120,MW15,IF(MM$4&lt;$AD$124,IF($F15=1,60/MO$4*MO$6,60/MO$4*MO$7),IF($F15=1,120/MO$4*MO$6,120/MO$4*MO$7)))),IF(OR($F15=3,$G15=2),IF(OR(AND(MM$4&gt;=$AD$119,$C15=2),AND(MM$4&gt;=$AF$119,$C15=1)),0,IF(MQ15&lt;=60,MW15,60/MO$4*MO$7)),IF(AND($F15=2,$G15=1),MW15,0)))))</f>
        <v>0</v>
      </c>
      <c r="MZ15" s="57" t="str">
        <f t="shared" si="142"/>
        <v/>
      </c>
      <c r="NA15" s="57" t="str">
        <f t="shared" si="143"/>
        <v/>
      </c>
      <c r="NB15" s="713">
        <f>'org. Düngung 22'!CV14</f>
        <v>0</v>
      </c>
      <c r="NC15" s="57"/>
      <c r="ND15" s="57"/>
      <c r="NE15" s="57">
        <f t="shared" si="144"/>
        <v>0</v>
      </c>
      <c r="NF15" s="57">
        <f t="shared" ref="NF15:NF78" si="308">ND$4*NB15</f>
        <v>0</v>
      </c>
      <c r="NG15" s="57">
        <f t="shared" ref="NG15:NG78" si="309">ND$5*NB15</f>
        <v>0</v>
      </c>
      <c r="NH15" s="57">
        <f t="shared" ref="NH15:NH78" si="310">NF15-NF15*ND$10/100</f>
        <v>0</v>
      </c>
      <c r="NI15" s="57">
        <f t="shared" ref="NI15:NI78" si="311">ND$8*NB15</f>
        <v>0</v>
      </c>
      <c r="NJ15" s="1029">
        <f t="shared" si="145"/>
        <v>0</v>
      </c>
      <c r="NK15" s="57">
        <f t="shared" si="146"/>
        <v>0</v>
      </c>
      <c r="NL15" s="171" t="str">
        <f t="shared" si="147"/>
        <v/>
      </c>
      <c r="NM15" s="57">
        <f t="shared" ref="NM15:NM78" si="312">IF(NB$6=3,IF($F15=1,NB15*ND$6,NB15*ND$7),"")</f>
        <v>0</v>
      </c>
      <c r="NN15" s="57">
        <f>IF(OR(AND(NB$6=1,$L15=0),AND(NB$6=2,$K15=2,$G15=1)),0,IF(AND(ND$9=2,(OR($F15&gt;1,$K15=1,AND($L15=80,OR($N15=1,AND($N15=2,'#BerechnungDBE'!$AL6&gt;0)))))),IF(NB$4&gt;=$AD$126,0,NL15),IF(ND$9=3,IF(OR(NB$4&gt;=$AD$127,AND($G15=1,$J15=2,NB$6=2),AND(NB$6=1,$N15&lt;&gt;1)),0,IF(NF15&lt;=120,NL15,IF(NB$4&lt;$AD$124,IF($F15=1,60/ND$4*ND$6,60/ND$4*ND$7),IF($F15=1,120/ND$4*ND$6,120/ND$4*ND$7)))),IF(OR($F15=3,$G15=2),IF(OR(AND(NB$4&gt;=$AD$119,$C15=2),AND(NB$4&gt;=$AF$119,$C15=1)),0,IF(NF15&lt;=60,NL15,60/ND$4*ND$7)),IF(AND($F15=2,$G15=1),NL15,0)))))</f>
        <v>0</v>
      </c>
      <c r="NO15" s="57" t="str">
        <f t="shared" si="148"/>
        <v/>
      </c>
      <c r="NP15" s="57" t="str">
        <f t="shared" si="149"/>
        <v/>
      </c>
      <c r="NQ15" s="713">
        <f>'org. Düngung 22'!CZ14</f>
        <v>0</v>
      </c>
      <c r="NR15" s="57"/>
      <c r="NS15" s="57"/>
      <c r="NT15" s="57">
        <f t="shared" si="150"/>
        <v>0</v>
      </c>
      <c r="NU15" s="57">
        <f t="shared" ref="NU15:NU78" si="313">NS$4*NQ15</f>
        <v>0</v>
      </c>
      <c r="NV15" s="57">
        <f t="shared" ref="NV15:NV78" si="314">NS$5*NQ15</f>
        <v>0</v>
      </c>
      <c r="NW15" s="57">
        <f t="shared" ref="NW15:NW78" si="315">NU15-NU15*NS$10/100</f>
        <v>0</v>
      </c>
      <c r="NX15" s="57">
        <f t="shared" ref="NX15:NX78" si="316">NS$8*NQ15</f>
        <v>0</v>
      </c>
      <c r="NY15" s="1029">
        <f t="shared" si="151"/>
        <v>0</v>
      </c>
      <c r="NZ15" s="57">
        <f t="shared" si="152"/>
        <v>0</v>
      </c>
      <c r="OA15" s="171" t="str">
        <f t="shared" si="153"/>
        <v/>
      </c>
      <c r="OB15" s="57">
        <f t="shared" ref="OB15:OB78" si="317">IF(NQ$6=3,IF($F15=1,NQ15*NS$6,NQ15*NS$7),"")</f>
        <v>0</v>
      </c>
      <c r="OC15" s="57">
        <f>IF(OR(AND(NQ$6=1,$L15=0),AND(NQ$6=2,$K15=2,$G15=1)),0,IF(AND(NS$9=2,(OR($F15&gt;1,$K15=1,AND($L15=80,OR($N15=1,AND($N15=2,'#BerechnungDBE'!$AL6&gt;0)))))),IF(NQ$4&gt;=$AD$126,0,OA15),IF(NS$9=3,IF(OR(NQ$4&gt;=$AD$127,AND($G15=1,$J15=2,NQ$6=2),AND(NQ$6=1,$N15&lt;&gt;1)),0,IF(NU15&lt;=120,OA15,IF(NQ$4&lt;$AD$124,IF($F15=1,60/NS$4*NS$6,60/NS$4*NS$7),IF($F15=1,120/NS$4*NS$6,120/NS$4*NS$7)))),IF(OR($F15=3,$G15=2),IF(OR(AND(NQ$4&gt;=$AD$119,$C15=2),AND(NQ$4&gt;=$AF$119,$C15=1)),0,IF(NU15&lt;=60,OA15,60/NS$4*NS$7)),IF(AND($F15=2,$G15=1),OA15,0)))))</f>
        <v>0</v>
      </c>
      <c r="OD15" s="57" t="str">
        <f t="shared" si="154"/>
        <v/>
      </c>
      <c r="OE15" s="57" t="str">
        <f t="shared" si="155"/>
        <v/>
      </c>
      <c r="OF15" s="713">
        <f>'org. Düngung 22'!DD14</f>
        <v>0</v>
      </c>
      <c r="OG15" s="57"/>
      <c r="OH15" s="57"/>
      <c r="OI15" s="57">
        <f t="shared" si="156"/>
        <v>0</v>
      </c>
      <c r="OJ15" s="57">
        <f t="shared" ref="OJ15:OJ78" si="318">OH$4*OF15</f>
        <v>0</v>
      </c>
      <c r="OK15" s="57">
        <f t="shared" ref="OK15:OK78" si="319">OH$5*OF15</f>
        <v>0</v>
      </c>
      <c r="OL15" s="57">
        <f t="shared" ref="OL15:OL78" si="320">OJ15-OJ15*OH$10/100</f>
        <v>0</v>
      </c>
      <c r="OM15" s="57">
        <f t="shared" ref="OM15:OM78" si="321">OH$8*OF15</f>
        <v>0</v>
      </c>
      <c r="ON15" s="1029">
        <f t="shared" si="157"/>
        <v>0</v>
      </c>
      <c r="OO15" s="57">
        <f t="shared" si="158"/>
        <v>0</v>
      </c>
      <c r="OP15" s="171" t="str">
        <f t="shared" si="159"/>
        <v/>
      </c>
      <c r="OQ15" s="57">
        <f t="shared" ref="OQ15:OQ78" si="322">IF(OF$6=3,IF($F15=1,OF15*OH$6,OF15*OH$7),"")</f>
        <v>0</v>
      </c>
      <c r="OR15" s="57">
        <f>IF(OR(AND(OF$6=1,$L15=0),AND(OF$6=2,$K15=2,$G15=1)),0,IF(AND(OH$9=2,(OR($F15&gt;1,$K15=1,AND($L15=80,OR($N15=1,AND($N15=2,'#BerechnungDBE'!$AL6&gt;0)))))),IF(OF$4&gt;=$AD$126,0,OP15),IF(OH$9=3,IF(OR(OF$4&gt;=$AD$127,AND($G15=1,$J15=2,OF$6=2),AND(OF$6=1,$N15&lt;&gt;1)),0,IF(OJ15&lt;=120,OP15,IF(OF$4&lt;$AD$124,IF($F15=1,60/OH$4*OH$6,60/OH$4*OH$7),IF($F15=1,120/OH$4*OH$6,120/OH$4*OH$7)))),IF(OR($F15=3,$G15=2),IF(OR(AND(OF$4&gt;=$AD$119,$C15=2),AND(OF$4&gt;=$AF$119,$C15=1)),0,IF(OJ15&lt;=60,OP15,60/OH$4*OH$7)),IF(AND($F15=2,$G15=1),OP15,0)))))</f>
        <v>0</v>
      </c>
      <c r="OS15" s="57" t="str">
        <f t="shared" si="160"/>
        <v/>
      </c>
      <c r="OT15" s="57" t="str">
        <f t="shared" si="161"/>
        <v/>
      </c>
      <c r="OU15" s="713">
        <f>'org. Düngung 22'!DH14</f>
        <v>0</v>
      </c>
      <c r="OV15" s="57"/>
      <c r="OW15" s="57"/>
      <c r="OX15" s="57">
        <f t="shared" si="162"/>
        <v>0</v>
      </c>
      <c r="OY15" s="57">
        <f t="shared" ref="OY15:OY78" si="323">OW$4*OU15</f>
        <v>0</v>
      </c>
      <c r="OZ15" s="57">
        <f t="shared" ref="OZ15:OZ78" si="324">OW$5*OU15</f>
        <v>0</v>
      </c>
      <c r="PA15" s="57">
        <f t="shared" ref="PA15:PA78" si="325">OY15-OY15*OW$10/100</f>
        <v>0</v>
      </c>
      <c r="PB15" s="57">
        <f t="shared" ref="PB15:PB78" si="326">OW$8*OU15</f>
        <v>0</v>
      </c>
      <c r="PC15" s="1029">
        <f t="shared" si="163"/>
        <v>0</v>
      </c>
      <c r="PD15" s="57">
        <f t="shared" si="164"/>
        <v>0</v>
      </c>
      <c r="PE15" s="171" t="str">
        <f t="shared" si="165"/>
        <v/>
      </c>
      <c r="PF15" s="57">
        <f t="shared" ref="PF15:PF78" si="327">IF(OU$6=3,IF($F15=1,OU15*OW$6,OU15*OW$7),"")</f>
        <v>0</v>
      </c>
      <c r="PG15" s="57">
        <f>IF(OR(AND(OU$6=1,$L15=0),AND(OU$6=2,$K15=2,$G15=1)),0,IF(AND(OW$9=2,(OR($F15&gt;1,$K15=1,AND($L15=80,OR($N15=1,AND($N15=2,'#BerechnungDBE'!$AL6&gt;0)))))),IF(OU$4&gt;=$AD$126,0,PE15),IF(OW$9=3,IF(OR(OU$4&gt;=$AD$127,AND($G15=1,$J15=2,OU$6=2),AND(OU$6=1,$N15&lt;&gt;1)),0,IF(OY15&lt;=120,PE15,IF(OU$4&lt;$AD$124,IF($F15=1,60/OW$4*OW$6,60/OW$4*OW$7),IF($F15=1,120/OW$4*OW$6,120/OW$4*OW$7)))),IF(OR($F15=3,$G15=2),IF(OR(AND(OU$4&gt;=$AD$119,$C15=2),AND(OU$4&gt;=$AF$119,$C15=1)),0,IF(OY15&lt;=60,PE15,60/OW$4*OW$7)),IF(AND($F15=2,$G15=1),PE15,0)))))</f>
        <v>0</v>
      </c>
      <c r="PH15" s="57" t="str">
        <f t="shared" si="166"/>
        <v/>
      </c>
      <c r="PI15" s="57" t="str">
        <f t="shared" si="167"/>
        <v/>
      </c>
      <c r="PJ15" s="713">
        <f>'org. Düngung 22'!DL14</f>
        <v>0</v>
      </c>
      <c r="PK15" s="57"/>
      <c r="PL15" s="57"/>
      <c r="PM15" s="57">
        <f t="shared" si="168"/>
        <v>0</v>
      </c>
      <c r="PN15" s="57">
        <f t="shared" ref="PN15:PN78" si="328">PL$4*PJ15</f>
        <v>0</v>
      </c>
      <c r="PO15" s="57">
        <f t="shared" ref="PO15:PO78" si="329">PL$5*PJ15</f>
        <v>0</v>
      </c>
      <c r="PP15" s="57">
        <f t="shared" ref="PP15:PP78" si="330">PN15-PN15*PL$10/100</f>
        <v>0</v>
      </c>
      <c r="PQ15" s="57">
        <f t="shared" ref="PQ15:PQ78" si="331">PL$8*PJ15</f>
        <v>0</v>
      </c>
      <c r="PR15" s="1029">
        <f t="shared" si="169"/>
        <v>0</v>
      </c>
      <c r="PS15" s="57">
        <f t="shared" si="170"/>
        <v>0</v>
      </c>
      <c r="PT15" s="171" t="str">
        <f t="shared" si="171"/>
        <v/>
      </c>
      <c r="PU15" s="57">
        <f t="shared" ref="PU15:PU78" si="332">IF(PJ$6=3,IF($F15=1,PJ15*PL$6,PJ15*PL$7),"")</f>
        <v>0</v>
      </c>
      <c r="PV15" s="57">
        <f>IF(OR(AND(PJ$6=1,$L15=0),AND(PJ$6=2,$K15=2,$G15=1)),0,IF(AND(PL$9=2,(OR($F15&gt;1,$K15=1,AND($L15=80,OR($N15=1,AND($N15=2,'#BerechnungDBE'!$AL6&gt;0)))))),IF(PJ$4&gt;=$AD$126,0,PT15),IF(PL$9=3,IF(OR(PJ$4&gt;=$AD$127,AND($G15=1,$J15=2,PJ$6=2),AND(PJ$6=1,$N15&lt;&gt;1)),0,IF(PN15&lt;=120,PT15,IF(PJ$4&lt;$AD$124,IF($F15=1,60/PL$4*PL$6,60/PL$4*PL$7),IF($F15=1,120/PL$4*PL$6,120/PL$4*PL$7)))),IF(OR($F15=3,$G15=2),IF(OR(AND(PJ$4&gt;=$AD$119,$C15=2),AND(PJ$4&gt;=$AF$119,$C15=1)),0,IF(PN15&lt;=60,PT15,60/PL$4*PL$7)),IF(AND($F15=2,$G15=1),PT15,0)))))</f>
        <v>0</v>
      </c>
      <c r="PW15" s="57" t="str">
        <f t="shared" si="172"/>
        <v/>
      </c>
      <c r="PX15" s="57" t="str">
        <f t="shared" si="173"/>
        <v/>
      </c>
      <c r="PY15" s="713">
        <f>'org. Düngung 22'!DP14</f>
        <v>0</v>
      </c>
      <c r="PZ15" s="57"/>
      <c r="QA15" s="57"/>
      <c r="QB15" s="57">
        <f t="shared" si="174"/>
        <v>0</v>
      </c>
      <c r="QC15" s="57">
        <f t="shared" ref="QC15:QC78" si="333">QA$4*PY15</f>
        <v>0</v>
      </c>
      <c r="QD15" s="57">
        <f t="shared" ref="QD15:QD78" si="334">QA$5*PY15</f>
        <v>0</v>
      </c>
      <c r="QE15" s="57">
        <f t="shared" ref="QE15:QE78" si="335">QC15-QC15*QA$10/100</f>
        <v>0</v>
      </c>
      <c r="QF15" s="57">
        <f t="shared" ref="QF15:QF78" si="336">QA$8*PY15</f>
        <v>0</v>
      </c>
      <c r="QG15" s="1029">
        <f t="shared" si="175"/>
        <v>0</v>
      </c>
      <c r="QH15" s="57">
        <f t="shared" si="176"/>
        <v>0</v>
      </c>
      <c r="QI15" s="171" t="str">
        <f t="shared" si="177"/>
        <v/>
      </c>
      <c r="QJ15" s="57">
        <f t="shared" ref="QJ15:QJ78" si="337">IF(PY$6=3,IF($F15=1,PY15*QA$6,PY15*QA$7),"")</f>
        <v>0</v>
      </c>
      <c r="QK15" s="57">
        <f>IF(OR(AND(PY$6=1,$L15=0),AND(PY$6=2,$K15=2,$G15=1)),0,IF(AND(QA$9=2,(OR($F15&gt;1,$K15=1,AND($L15=80,OR($N15=1,AND($N15=2,'#BerechnungDBE'!$AL6&gt;0)))))),IF(PY$4&gt;=$AD$126,0,QI15),IF(QA$9=3,IF(OR(PY$4&gt;=$AD$127,AND($G15=1,$J15=2,PY$6=2),AND(PY$6=1,$N15&lt;&gt;1)),0,IF(QC15&lt;=120,QI15,IF(PY$4&lt;$AD$124,IF($F15=1,60/QA$4*QA$6,60/QA$4*QA$7),IF($F15=1,120/QA$4*QA$6,120/QA$4*QA$7)))),IF(OR($F15=3,$G15=2),IF(OR(AND(PY$4&gt;=$AD$119,$C15=2),AND(PY$4&gt;=$AF$119,$C15=1)),0,IF(QC15&lt;=60,QI15,60/QA$4*QA$7)),IF(AND($F15=2,$G15=1),QI15,0)))))</f>
        <v>0</v>
      </c>
      <c r="QL15" s="57" t="str">
        <f t="shared" si="178"/>
        <v/>
      </c>
      <c r="QM15" s="57" t="str">
        <f t="shared" si="179"/>
        <v/>
      </c>
      <c r="QN15" s="713">
        <f>'org. Düngung 22'!DT14</f>
        <v>0</v>
      </c>
      <c r="QO15" s="57"/>
      <c r="QP15" s="57"/>
      <c r="QQ15" s="57">
        <f t="shared" si="180"/>
        <v>0</v>
      </c>
      <c r="QR15" s="57">
        <f t="shared" ref="QR15:QR78" si="338">QP$4*QN15</f>
        <v>0</v>
      </c>
      <c r="QS15" s="57">
        <f t="shared" ref="QS15:QS78" si="339">QP$5*QN15</f>
        <v>0</v>
      </c>
      <c r="QT15" s="57">
        <f t="shared" ref="QT15:QT78" si="340">QR15-QR15*QP$10/100</f>
        <v>0</v>
      </c>
      <c r="QU15" s="57">
        <f t="shared" ref="QU15:QU78" si="341">QP$8*QN15</f>
        <v>0</v>
      </c>
      <c r="QV15" s="1029">
        <f t="shared" si="181"/>
        <v>0</v>
      </c>
      <c r="QW15" s="57">
        <f t="shared" si="182"/>
        <v>0</v>
      </c>
      <c r="QX15" s="171" t="str">
        <f t="shared" si="183"/>
        <v/>
      </c>
      <c r="QY15" s="57">
        <f t="shared" ref="QY15:QY78" si="342">IF(QN$6=3,IF($F15=1,QN15*QP$6,QN15*QP$7),"")</f>
        <v>0</v>
      </c>
      <c r="QZ15" s="57">
        <f>IF(OR(AND(QN$6=1,$L15=0),AND(QN$6=2,$K15=2,$G15=1)),0,IF(AND(QP$9=2,(OR($F15&gt;1,$K15=1,AND($L15=80,OR($N15=1,AND($N15=2,'#BerechnungDBE'!$AL6&gt;0)))))),IF(QN$4&gt;=$AD$126,0,QX15),IF(QP$9=3,IF(OR(QN$4&gt;=$AD$127,AND($G15=1,$J15=2,QN$6=2),AND(QN$6=1,$N15&lt;&gt;1)),0,IF(QR15&lt;=120,QX15,IF(QN$4&lt;$AD$124,IF($F15=1,60/QP$4*QP$6,60/QP$4*QP$7),IF($F15=1,120/QP$4*QP$6,120/QP$4*QP$7)))),IF(OR($F15=3,$G15=2),IF(OR(AND(QN$4&gt;=$AD$119,$C15=2),AND(QN$4&gt;=$AF$119,$C15=1)),0,IF(QR15&lt;=60,QX15,60/QP$4*QP$7)),IF(AND($F15=2,$G15=1),QX15,0)))))</f>
        <v>0</v>
      </c>
      <c r="RA15" s="57" t="str">
        <f t="shared" si="184"/>
        <v/>
      </c>
      <c r="RB15" s="57" t="str">
        <f t="shared" si="185"/>
        <v/>
      </c>
      <c r="RC15" s="713">
        <f>'org. Düngung 22'!DX14</f>
        <v>0</v>
      </c>
      <c r="RD15" s="57"/>
      <c r="RE15" s="57"/>
      <c r="RF15" s="57">
        <f t="shared" si="186"/>
        <v>0</v>
      </c>
      <c r="RG15" s="57">
        <f t="shared" ref="RG15:RG78" si="343">RE$4*RC15</f>
        <v>0</v>
      </c>
      <c r="RH15" s="57">
        <f t="shared" ref="RH15:RH78" si="344">RE$5*RC15</f>
        <v>0</v>
      </c>
      <c r="RI15" s="57">
        <f t="shared" ref="RI15:RI78" si="345">RG15-RG15*RE$10/100</f>
        <v>0</v>
      </c>
      <c r="RJ15" s="57">
        <f t="shared" ref="RJ15:RJ78" si="346">RE$8*RC15</f>
        <v>0</v>
      </c>
      <c r="RK15" s="1029">
        <f t="shared" si="187"/>
        <v>0</v>
      </c>
      <c r="RL15" s="57">
        <f t="shared" si="188"/>
        <v>0</v>
      </c>
      <c r="RM15" s="171" t="str">
        <f t="shared" si="189"/>
        <v/>
      </c>
      <c r="RN15" s="57">
        <f t="shared" ref="RN15:RN78" si="347">IF(RC$6=3,IF($F15=1,RC15*RE$6,RC15*RE$7),"")</f>
        <v>0</v>
      </c>
      <c r="RO15" s="57">
        <f>IF(OR(AND(RC$6=1,$L15=0),AND(RC$6=2,$K15=2,$G15=1)),0,IF(AND(RE$9=2,(OR($F15&gt;1,$K15=1,AND($L15=80,OR($N15=1,AND($N15=2,'#BerechnungDBE'!$AL6&gt;0)))))),IF(RC$4&gt;=$AD$126,0,RM15),IF(RE$9=3,IF(OR(RC$4&gt;=$AD$127,AND($G15=1,$J15=2,RC$6=2),AND(RC$6=1,$N15&lt;&gt;1)),0,IF(RG15&lt;=120,RM15,IF(RC$4&lt;$AD$124,IF($F15=1,60/RE$4*RE$6,60/RE$4*RE$7),IF($F15=1,120/RE$4*RE$6,120/RE$4*RE$7)))),IF(OR($F15=3,$G15=2),IF(OR(AND(RC$4&gt;=$AD$119,$C15=2),AND(RC$4&gt;=$AF$119,$C15=1)),0,IF(RG15&lt;=60,RM15,60/RE$4*RE$7)),IF(AND($F15=2,$G15=1),RM15,0)))))</f>
        <v>0</v>
      </c>
      <c r="RP15" s="57" t="str">
        <f t="shared" si="190"/>
        <v/>
      </c>
      <c r="RQ15" s="57" t="str">
        <f t="shared" si="191"/>
        <v/>
      </c>
      <c r="RS15" s="57" t="str">
        <f t="shared" ref="RS15:RS46" si="348">IF(AND(F15=2,G15=1),"",IF(OR(W15&gt;AA15,V15&gt;30,AD15&gt;30,AND(AC15&gt;60,L15=80)),$RS$9,""))</f>
        <v/>
      </c>
      <c r="RT15" s="57" t="str">
        <f t="shared" si="192"/>
        <v/>
      </c>
      <c r="RU15" s="57" t="str">
        <f t="shared" si="193"/>
        <v/>
      </c>
      <c r="RV15" s="57" t="str">
        <f>IF(Z15&gt;'#BerechnungDBE'!BM6,$RV$9,"")</f>
        <v/>
      </c>
      <c r="RW15" s="57" t="str">
        <f>IF(AND(L15=70,AE15&gt;'#BerechnungDBE'!CQ6),$RW$9,"")</f>
        <v/>
      </c>
      <c r="RX15" s="57" t="str">
        <f>IF(OR('org. Düngung 22'!G14="--",'org. Düngung 22'!G14&lt;=170,'org. Düngung 22'!G14=""),"",$RX$9)</f>
        <v/>
      </c>
      <c r="RY15" s="57" t="str">
        <f>IF('org. Düngung 22'!K14&gt;120,'#orgDung'!$RY$9,"")</f>
        <v/>
      </c>
      <c r="RZ15" s="57" t="str">
        <f>IF('#BerechnungDBE'!P6&lt;4,"",IF(AND('#BerechnungDBE'!BZ6&gt;0,T15&gt;0),'#orgDung'!$RZ$9,""))</f>
        <v/>
      </c>
      <c r="SA15" s="57" t="str">
        <f t="shared" si="194"/>
        <v/>
      </c>
    </row>
    <row r="16" spans="1:495" x14ac:dyDescent="0.2">
      <c r="A16" s="683">
        <f>'Flächen u. Kulturen'!A12</f>
        <v>3</v>
      </c>
      <c r="B16" s="367">
        <f>'#BerechnungDBE'!L7</f>
        <v>0</v>
      </c>
      <c r="C16" s="683">
        <f>'#BerechnungDBE'!R7</f>
        <v>1</v>
      </c>
      <c r="D16" s="683">
        <f>'#BerechnungDBE'!T7</f>
        <v>2</v>
      </c>
      <c r="E16" s="683" t="str">
        <f>'Flächen u. Kulturen'!E12</f>
        <v>x</v>
      </c>
      <c r="F16" s="52">
        <f>'#BerechnungDBE'!N7</f>
        <v>1</v>
      </c>
      <c r="G16" s="52">
        <f>'#BerechnungDBE'!O7</f>
        <v>1</v>
      </c>
      <c r="H16" s="683">
        <f>IF('Flächen u. Kulturen'!P12="",0,VLOOKUP('Flächen u. Kulturen'!P12,Kulturen[[HF]:[Berechnungsgruppe]],'#Frucht'!$H$1,FALSE))</f>
        <v>0</v>
      </c>
      <c r="I16" s="683">
        <f>IF('Flächen u. Kulturen'!J12="",0,VLOOKUP('Flächen u. Kulturen'!J12,Kulturen[[HF]:[Berechnungsgruppe]],'#Frucht'!$G$1,FALSE))</f>
        <v>90</v>
      </c>
      <c r="J16" s="505">
        <f t="shared" si="195"/>
        <v>2</v>
      </c>
      <c r="K16" s="505">
        <f>IF('Flächen u. Kulturen'!P12="",0,IF(VLOOKUP('Flächen u. Kulturen'!P12,Kulturen[[HF]:[Saat Winterungen]],'#Frucht'!$P$1,FALSE)&gt;0,1,2))</f>
        <v>2</v>
      </c>
      <c r="L16" s="683">
        <f>'#BerechnungDBE'!AF7</f>
        <v>0</v>
      </c>
      <c r="M16" s="683">
        <f>IF('Flächen u. Kulturen'!L12="",0,VLOOKUP('Flächen u. Kulturen'!L12,Nebenkultur[[Nebenkultur]:[Legum. Zwischenfr.]],'#Zweitfr'!$K$1,FALSE))</f>
        <v>0</v>
      </c>
      <c r="N16" s="683">
        <f>'#BerechnungDBE'!AG7</f>
        <v>0</v>
      </c>
      <c r="P16" s="57">
        <f t="shared" si="0"/>
        <v>0</v>
      </c>
      <c r="Q16" s="57">
        <f t="shared" si="1"/>
        <v>0</v>
      </c>
      <c r="R16">
        <f t="shared" si="2"/>
        <v>0</v>
      </c>
      <c r="S16" s="938" t="str">
        <f t="shared" si="3"/>
        <v/>
      </c>
      <c r="T16" s="683">
        <f t="shared" si="4"/>
        <v>0</v>
      </c>
      <c r="U16">
        <f t="shared" si="5"/>
        <v>0</v>
      </c>
      <c r="V16">
        <f t="shared" si="6"/>
        <v>0</v>
      </c>
      <c r="W16">
        <f t="shared" si="7"/>
        <v>0</v>
      </c>
      <c r="X16">
        <f t="shared" si="8"/>
        <v>0</v>
      </c>
      <c r="Y16" s="691">
        <f>AG16*0.5</f>
        <v>0</v>
      </c>
      <c r="Z16">
        <f>W16+X16+Y16</f>
        <v>0</v>
      </c>
      <c r="AA16" s="910">
        <f t="shared" si="9"/>
        <v>0</v>
      </c>
      <c r="AB16" s="57">
        <f>IF(U16+AG16=0,0,(Z16+W16)/(U16+AG16))</f>
        <v>0</v>
      </c>
      <c r="AC16">
        <f t="shared" si="10"/>
        <v>0</v>
      </c>
      <c r="AD16" s="683">
        <f t="shared" si="11"/>
        <v>0</v>
      </c>
      <c r="AE16" s="691">
        <f t="shared" si="12"/>
        <v>0</v>
      </c>
      <c r="AF16" s="836">
        <f>IF(AC16=0,0,AE16/AC16)</f>
        <v>0</v>
      </c>
      <c r="AG16">
        <f>'org. Düngung 22'!J15</f>
        <v>0</v>
      </c>
      <c r="AH16">
        <f>'org. Düngung 22'!K15</f>
        <v>0</v>
      </c>
      <c r="AI16" s="683"/>
      <c r="AJ16" s="713">
        <f>'org. Düngung 22'!L15</f>
        <v>0</v>
      </c>
      <c r="AK16" s="57"/>
      <c r="AL16" s="57"/>
      <c r="AM16" s="57">
        <f t="shared" si="196"/>
        <v>0</v>
      </c>
      <c r="AN16" s="57">
        <f t="shared" si="197"/>
        <v>0</v>
      </c>
      <c r="AO16" s="57">
        <f t="shared" si="198"/>
        <v>0</v>
      </c>
      <c r="AP16" s="57">
        <f t="shared" si="199"/>
        <v>0</v>
      </c>
      <c r="AQ16" s="57">
        <f t="shared" si="200"/>
        <v>0</v>
      </c>
      <c r="AR16" s="1029">
        <f t="shared" si="14"/>
        <v>0</v>
      </c>
      <c r="AS16" s="57">
        <f t="shared" si="15"/>
        <v>0</v>
      </c>
      <c r="AT16" s="171" t="str">
        <f t="shared" si="16"/>
        <v/>
      </c>
      <c r="AU16" s="57">
        <f t="shared" si="201"/>
        <v>0</v>
      </c>
      <c r="AV16" s="57">
        <f>IF(OR(AND(AJ$6=1,$L16=0),AND(AJ$6=2,$K16=2,$G16=1)),0,IF(AND(AL$9=2,(OR($F16&gt;1,$K16=1,AND($L16=80,OR($N16=1,AND($N16=2,'#BerechnungDBE'!$AL7&gt;0)))))),IF(AJ$4&gt;=$AD$126,0,AT16),IF(AL$9=3,IF(OR(AJ$4&gt;=$AD$127,AND($G16=1,$J16=2,AJ$6=2),AND(AJ$6=1,$N16&lt;&gt;1)),0,IF(AN16&lt;=120,AT16,IF(AJ$4&lt;$AD$124,IF($F16=1,60/AL$4*AL$6,60/AL$4*AL$7),IF($F16=1,120/AL$4*AL$6,120/AL$4*AL$7)))),IF(OR($F16=3,$G16=2),IF(OR(AND(AJ$4&gt;=$AD$119,$C16=2),AND(AJ$4&gt;=$AF$119,$C16=1)),0,IF(AN16&lt;=60,AT16,60/AL$4*AL$7)),IF(AND($F16=2,$G16=1),AT16,0)))))</f>
        <v>0</v>
      </c>
      <c r="AW16" s="57" t="str">
        <f t="shared" si="202"/>
        <v/>
      </c>
      <c r="AX16" s="57" t="str">
        <f t="shared" si="17"/>
        <v/>
      </c>
      <c r="AY16" s="713">
        <f>'org. Düngung 22'!P15</f>
        <v>0</v>
      </c>
      <c r="AZ16" s="57"/>
      <c r="BA16" s="57"/>
      <c r="BB16" s="57">
        <f t="shared" si="18"/>
        <v>0</v>
      </c>
      <c r="BC16" s="57">
        <f t="shared" si="203"/>
        <v>0</v>
      </c>
      <c r="BD16" s="57">
        <f t="shared" si="204"/>
        <v>0</v>
      </c>
      <c r="BE16" s="57">
        <f t="shared" si="205"/>
        <v>0</v>
      </c>
      <c r="BF16" s="57">
        <f t="shared" si="206"/>
        <v>0</v>
      </c>
      <c r="BG16" s="1029">
        <f t="shared" si="19"/>
        <v>0</v>
      </c>
      <c r="BH16" s="57">
        <f t="shared" si="20"/>
        <v>0</v>
      </c>
      <c r="BI16" s="171" t="str">
        <f t="shared" si="21"/>
        <v/>
      </c>
      <c r="BJ16" s="57">
        <f t="shared" si="207"/>
        <v>0</v>
      </c>
      <c r="BK16" s="57">
        <f>IF(OR(AND(AY$6=1,$L16=0),AND(AY$6=2,$K16=2,$G16=1)),0,IF(AND(BA$9=2,(OR($F16&gt;1,$K16=1,AND($L16=80,OR($N16=1,AND($N16=2,'#BerechnungDBE'!$AL7&gt;0)))))),IF(AY$4&gt;=$AD$126,0,BI16),IF(BA$9=3,IF(OR(AY$4&gt;=$AD$127,AND($G16=1,$J16=2,AY$6=2),AND(AY$6=1,$N16&lt;&gt;1)),0,IF(BC16&lt;=120,BI16,IF(AY$4&lt;$AD$124,IF($F16=1,60/BA$4*BA$6,60/BA$4*BA$7),IF($F16=1,120/BA$4*BA$6,120/BA$4*BA$7)))),IF(OR($F16=3,$G16=2),IF(OR(AND(AY$4&gt;=$AD$119,$C16=2),AND(AY$4&gt;=$AF$119,$C16=1)),0,IF(BC16&lt;=60,BI16,60/BA$4*BA$7)),IF(AND($F16=2,$G16=1),BI16,0)))))</f>
        <v>0</v>
      </c>
      <c r="BL16" s="57" t="str">
        <f t="shared" si="22"/>
        <v/>
      </c>
      <c r="BM16" s="57" t="str">
        <f t="shared" si="23"/>
        <v/>
      </c>
      <c r="BN16" s="713">
        <f>'org. Düngung 22'!T15</f>
        <v>0</v>
      </c>
      <c r="BO16" s="57"/>
      <c r="BP16" s="57"/>
      <c r="BQ16" s="57">
        <f t="shared" si="24"/>
        <v>0</v>
      </c>
      <c r="BR16" s="57">
        <f t="shared" si="208"/>
        <v>0</v>
      </c>
      <c r="BS16" s="57">
        <f t="shared" si="209"/>
        <v>0</v>
      </c>
      <c r="BT16" s="57">
        <f t="shared" si="210"/>
        <v>0</v>
      </c>
      <c r="BU16" s="57">
        <f t="shared" si="211"/>
        <v>0</v>
      </c>
      <c r="BV16" s="1029">
        <f t="shared" si="25"/>
        <v>0</v>
      </c>
      <c r="BW16" s="57">
        <f t="shared" si="26"/>
        <v>0</v>
      </c>
      <c r="BX16" s="171" t="str">
        <f t="shared" si="27"/>
        <v/>
      </c>
      <c r="BY16" s="57">
        <f t="shared" si="212"/>
        <v>0</v>
      </c>
      <c r="BZ16" s="57">
        <f>IF(OR(AND(BN$6=1,$L16=0),AND(BN$6=2,$K16=2,$G16=1)),0,IF(AND(BP$9=2,(OR($F16&gt;1,$K16=1,AND($L16=80,OR($N16=1,AND($N16=2,'#BerechnungDBE'!$AL7&gt;0)))))),IF(BN$4&gt;=$AD$126,0,BX16),IF(BP$9=3,IF(OR(BN$4&gt;=$AD$127,AND($G16=1,$J16=2,BN$6=2),AND(BN$6=1,$N16&lt;&gt;1)),0,IF(BR16&lt;=120,BX16,IF(BN$4&lt;$AD$124,IF($F16=1,60/BP$4*BP$6,60/BP$4*BP$7),IF($F16=1,120/BP$4*BP$6,120/BP$4*BP$7)))),IF(OR($F16=3,$G16=2),IF(OR(AND(BN$4&gt;=$AD$119,$C16=2),AND(BN$4&gt;=$AF$119,$C16=1)),0,IF(BR16&lt;=60,BX16,60/BP$4*BP$7)),IF(AND($F16=2,$G16=1),BX16,0)))))</f>
        <v>0</v>
      </c>
      <c r="CA16" s="57" t="str">
        <f t="shared" si="28"/>
        <v/>
      </c>
      <c r="CB16" s="57" t="str">
        <f t="shared" si="29"/>
        <v/>
      </c>
      <c r="CC16" s="713">
        <f>'org. Düngung 22'!X15</f>
        <v>0</v>
      </c>
      <c r="CD16" s="57"/>
      <c r="CE16" s="57"/>
      <c r="CF16" s="57">
        <f t="shared" si="30"/>
        <v>0</v>
      </c>
      <c r="CG16" s="57">
        <f t="shared" si="213"/>
        <v>0</v>
      </c>
      <c r="CH16" s="57">
        <f t="shared" si="214"/>
        <v>0</v>
      </c>
      <c r="CI16" s="57">
        <f t="shared" si="215"/>
        <v>0</v>
      </c>
      <c r="CJ16" s="57">
        <f t="shared" si="216"/>
        <v>0</v>
      </c>
      <c r="CK16" s="1029">
        <f t="shared" si="31"/>
        <v>0</v>
      </c>
      <c r="CL16" s="57">
        <f t="shared" si="32"/>
        <v>0</v>
      </c>
      <c r="CM16" s="171" t="str">
        <f t="shared" si="33"/>
        <v/>
      </c>
      <c r="CN16" s="57">
        <f t="shared" si="217"/>
        <v>0</v>
      </c>
      <c r="CO16" s="57">
        <f>IF(OR(AND(CC$6=1,$L16=0),AND(CC$6=2,$K16=2,$G16=1)),0,IF(AND(CE$9=2,(OR($F16&gt;1,$K16=1,AND($L16=80,OR($N16=1,AND($N16=2,'#BerechnungDBE'!$AL7&gt;0)))))),IF(CC$4&gt;=$AD$126,0,CM16),IF(CE$9=3,IF(OR(CC$4&gt;=$AD$127,AND($G16=1,$J16=2,CC$6=2),AND(CC$6=1,$N16&lt;&gt;1)),0,IF(CG16&lt;=120,CM16,IF(CC$4&lt;$AD$124,IF($F16=1,60/CE$4*CE$6,60/CE$4*CE$7),IF($F16=1,120/CE$4*CE$6,120/CE$4*CE$7)))),IF(OR($F16=3,$G16=2),IF(OR(AND(CC$4&gt;=$AD$119,$C16=2),AND(CC$4&gt;=$AF$119,$C16=1)),0,IF(CG16&lt;=60,CM16,60/CE$4*CE$7)),IF(AND($F16=2,$G16=1),CM16,0)))))</f>
        <v>0</v>
      </c>
      <c r="CP16" s="57" t="str">
        <f t="shared" si="34"/>
        <v/>
      </c>
      <c r="CQ16" s="57" t="str">
        <f t="shared" si="35"/>
        <v/>
      </c>
      <c r="CR16" s="713">
        <f>'org. Düngung 22'!AB15</f>
        <v>0</v>
      </c>
      <c r="CS16" s="57"/>
      <c r="CT16" s="57"/>
      <c r="CU16" s="57">
        <f t="shared" si="36"/>
        <v>0</v>
      </c>
      <c r="CV16" s="57">
        <f t="shared" si="218"/>
        <v>0</v>
      </c>
      <c r="CW16" s="57">
        <f t="shared" si="219"/>
        <v>0</v>
      </c>
      <c r="CX16" s="57">
        <f t="shared" si="220"/>
        <v>0</v>
      </c>
      <c r="CY16" s="57">
        <f t="shared" si="221"/>
        <v>0</v>
      </c>
      <c r="CZ16" s="1029">
        <f t="shared" si="37"/>
        <v>0</v>
      </c>
      <c r="DA16" s="57">
        <f t="shared" si="38"/>
        <v>0</v>
      </c>
      <c r="DB16" s="171" t="str">
        <f t="shared" si="39"/>
        <v/>
      </c>
      <c r="DC16" s="57">
        <f t="shared" si="222"/>
        <v>0</v>
      </c>
      <c r="DD16" s="57">
        <f>IF(OR(AND(CR$6=1,$L16=0),AND(CR$6=2,$K16=2,$G16=1)),0,IF(AND(CT$9=2,(OR($F16&gt;1,$K16=1,AND($L16=80,OR($N16=1,AND($N16=2,'#BerechnungDBE'!$AL7&gt;0)))))),IF(CR$4&gt;=$AD$126,0,DB16),IF(CT$9=3,IF(OR(CR$4&gt;=$AD$127,AND($G16=1,$J16=2,CR$6=2),AND(CR$6=1,$N16&lt;&gt;1)),0,IF(CV16&lt;=120,DB16,IF(CR$4&lt;$AD$124,IF($F16=1,60/CT$4*CT$6,60/CT$4*CT$7),IF($F16=1,120/CT$4*CT$6,120/CT$4*CT$7)))),IF(OR($F16=3,$G16=2),IF(OR(AND(CR$4&gt;=$AD$119,$C16=2),AND(CR$4&gt;=$AF$119,$C16=1)),0,IF(CV16&lt;=60,DB16,60/CT$4*CT$7)),IF(AND($F16=2,$G16=1),DB16,0)))))</f>
        <v>0</v>
      </c>
      <c r="DE16" s="57" t="str">
        <f t="shared" si="40"/>
        <v/>
      </c>
      <c r="DF16" s="57" t="str">
        <f t="shared" si="41"/>
        <v/>
      </c>
      <c r="DG16" s="713">
        <f>'org. Düngung 22'!AF15</f>
        <v>0</v>
      </c>
      <c r="DH16" s="57"/>
      <c r="DI16" s="57"/>
      <c r="DJ16" s="57">
        <f t="shared" si="42"/>
        <v>0</v>
      </c>
      <c r="DK16" s="57">
        <f t="shared" si="223"/>
        <v>0</v>
      </c>
      <c r="DL16" s="57">
        <f t="shared" si="224"/>
        <v>0</v>
      </c>
      <c r="DM16" s="57">
        <f t="shared" si="225"/>
        <v>0</v>
      </c>
      <c r="DN16" s="57">
        <f t="shared" si="226"/>
        <v>0</v>
      </c>
      <c r="DO16" s="1029">
        <f t="shared" si="43"/>
        <v>0</v>
      </c>
      <c r="DP16" s="57">
        <f t="shared" si="44"/>
        <v>0</v>
      </c>
      <c r="DQ16" s="171" t="str">
        <f t="shared" si="45"/>
        <v/>
      </c>
      <c r="DR16" s="57">
        <f t="shared" si="227"/>
        <v>0</v>
      </c>
      <c r="DS16" s="57">
        <f>IF(OR(AND(DG$6=1,$L16=0),AND(DG$6=2,$K16=2,$G16=1)),0,IF(AND(DI$9=2,(OR($F16&gt;1,$K16=1,AND($L16=80,OR($N16=1,AND($N16=2,'#BerechnungDBE'!$AL7&gt;0)))))),IF(DG$4&gt;=$AD$126,0,DQ16),IF(DI$9=3,IF(OR(DG$4&gt;=$AD$127,AND($G16=1,$J16=2,DG$6=2),AND(DG$6=1,$N16&lt;&gt;1)),0,IF(DK16&lt;=120,DQ16,IF(DG$4&lt;$AD$124,IF($F16=1,60/DI$4*DI$6,60/DI$4*DI$7),IF($F16=1,120/DI$4*DI$6,120/DI$4*DI$7)))),IF(OR($F16=3,$G16=2),IF(OR(AND(DG$4&gt;=$AD$119,$C16=2),AND(DG$4&gt;=$AF$119,$C16=1)),0,IF(DK16&lt;=60,DQ16,60/DI$4*DI$7)),IF(AND($F16=2,$G16=1),DQ16,0)))))</f>
        <v>0</v>
      </c>
      <c r="DT16" s="57" t="str">
        <f t="shared" si="46"/>
        <v/>
      </c>
      <c r="DU16" s="57" t="str">
        <f t="shared" si="47"/>
        <v/>
      </c>
      <c r="DV16" s="713">
        <f>'org. Düngung 22'!AJ15</f>
        <v>0</v>
      </c>
      <c r="DW16" s="57"/>
      <c r="DX16" s="57"/>
      <c r="DY16" s="57">
        <f t="shared" si="48"/>
        <v>0</v>
      </c>
      <c r="DZ16" s="57">
        <f t="shared" si="228"/>
        <v>0</v>
      </c>
      <c r="EA16" s="57">
        <f t="shared" si="229"/>
        <v>0</v>
      </c>
      <c r="EB16" s="57">
        <f t="shared" si="230"/>
        <v>0</v>
      </c>
      <c r="EC16" s="57">
        <f t="shared" si="231"/>
        <v>0</v>
      </c>
      <c r="ED16" s="1029">
        <f t="shared" si="49"/>
        <v>0</v>
      </c>
      <c r="EE16" s="57">
        <f t="shared" si="50"/>
        <v>0</v>
      </c>
      <c r="EF16" s="171" t="str">
        <f t="shared" si="51"/>
        <v/>
      </c>
      <c r="EG16" s="57">
        <f t="shared" si="232"/>
        <v>0</v>
      </c>
      <c r="EH16" s="57">
        <f>IF(OR(AND(DV$6=1,$L16=0),AND(DV$6=2,$K16=2,$G16=1)),0,IF(AND(DX$9=2,(OR($F16&gt;1,$K16=1,AND($L16=80,OR($N16=1,AND($N16=2,'#BerechnungDBE'!$AL7&gt;0)))))),IF(DV$4&gt;=$AD$126,0,EF16),IF(DX$9=3,IF(OR(DV$4&gt;=$AD$127,AND($G16=1,$J16=2,DV$6=2),AND(DV$6=1,$N16&lt;&gt;1)),0,IF(DZ16&lt;=120,EF16,IF(DV$4&lt;$AD$124,IF($F16=1,60/DX$4*DX$6,60/DX$4*DX$7),IF($F16=1,120/DX$4*DX$6,120/DX$4*DX$7)))),IF(OR($F16=3,$G16=2),IF(OR(AND(DV$4&gt;=$AD$119,$C16=2),AND(DV$4&gt;=$AF$119,$C16=1)),0,IF(DZ16&lt;=60,EF16,60/DX$4*DX$7)),IF(AND($F16=2,$G16=1),EF16,0)))))</f>
        <v>0</v>
      </c>
      <c r="EI16" s="57" t="str">
        <f t="shared" si="52"/>
        <v/>
      </c>
      <c r="EJ16" s="57" t="str">
        <f t="shared" si="53"/>
        <v/>
      </c>
      <c r="EK16" s="713">
        <f>'org. Düngung 22'!AN15</f>
        <v>0</v>
      </c>
      <c r="EL16" s="57"/>
      <c r="EM16" s="57"/>
      <c r="EN16" s="57">
        <f t="shared" si="54"/>
        <v>0</v>
      </c>
      <c r="EO16" s="57">
        <f t="shared" si="233"/>
        <v>0</v>
      </c>
      <c r="EP16" s="57">
        <f t="shared" si="234"/>
        <v>0</v>
      </c>
      <c r="EQ16" s="57">
        <f t="shared" si="235"/>
        <v>0</v>
      </c>
      <c r="ER16" s="57">
        <f t="shared" si="236"/>
        <v>0</v>
      </c>
      <c r="ES16" s="1029">
        <f t="shared" si="55"/>
        <v>0</v>
      </c>
      <c r="ET16" s="57">
        <f t="shared" si="56"/>
        <v>0</v>
      </c>
      <c r="EU16" s="171" t="str">
        <f t="shared" si="57"/>
        <v/>
      </c>
      <c r="EV16" s="57">
        <f t="shared" si="237"/>
        <v>0</v>
      </c>
      <c r="EW16" s="57">
        <f>IF(OR(AND(EK$6=1,$L16=0),AND(EK$6=2,$K16=2,$G16=1)),0,IF(AND(EM$9=2,(OR($F16&gt;1,$K16=1,AND($L16=80,OR($N16=1,AND($N16=2,'#BerechnungDBE'!$AL7&gt;0)))))),IF(EK$4&gt;=$AD$126,0,EU16),IF(EM$9=3,IF(OR(EK$4&gt;=$AD$127,AND($G16=1,$J16=2,EK$6=2),AND(EK$6=1,$N16&lt;&gt;1)),0,IF(EO16&lt;=120,EU16,IF(EK$4&lt;$AD$124,IF($F16=1,60/EM$4*EM$6,60/EM$4*EM$7),IF($F16=1,120/EM$4*EM$6,120/EM$4*EM$7)))),IF(OR($F16=3,$G16=2),IF(OR(AND(EK$4&gt;=$AD$119,$C16=2),AND(EK$4&gt;=$AF$119,$C16=1)),0,IF(EO16&lt;=60,EU16,60/EM$4*EM$7)),IF(AND($F16=2,$G16=1),EU16,0)))))</f>
        <v>0</v>
      </c>
      <c r="EX16" s="57" t="str">
        <f t="shared" si="58"/>
        <v/>
      </c>
      <c r="EY16" s="57" t="str">
        <f t="shared" si="59"/>
        <v/>
      </c>
      <c r="EZ16" s="713">
        <f>'org. Düngung 22'!AR15</f>
        <v>0</v>
      </c>
      <c r="FA16" s="57"/>
      <c r="FB16" s="57"/>
      <c r="FC16" s="57">
        <f t="shared" si="60"/>
        <v>0</v>
      </c>
      <c r="FD16" s="57">
        <f t="shared" si="238"/>
        <v>0</v>
      </c>
      <c r="FE16" s="57">
        <f t="shared" si="239"/>
        <v>0</v>
      </c>
      <c r="FF16" s="57">
        <f t="shared" si="240"/>
        <v>0</v>
      </c>
      <c r="FG16" s="57">
        <f t="shared" si="241"/>
        <v>0</v>
      </c>
      <c r="FH16" s="1029">
        <f t="shared" si="61"/>
        <v>0</v>
      </c>
      <c r="FI16" s="57">
        <f t="shared" si="62"/>
        <v>0</v>
      </c>
      <c r="FJ16" s="171" t="str">
        <f t="shared" si="63"/>
        <v/>
      </c>
      <c r="FK16" s="57">
        <f t="shared" si="242"/>
        <v>0</v>
      </c>
      <c r="FL16" s="57">
        <f>IF(OR(AND(EZ$6=1,$L16=0),AND(EZ$6=2,$K16=2,$G16=1)),0,IF(AND(FB$9=2,(OR($F16&gt;1,$K16=1,AND($L16=80,OR($N16=1,AND($N16=2,'#BerechnungDBE'!$AL7&gt;0)))))),IF(EZ$4&gt;=$AD$126,0,FJ16),IF(FB$9=3,IF(OR(EZ$4&gt;=$AD$127,AND($G16=1,$J16=2,EZ$6=2),AND(EZ$6=1,$N16&lt;&gt;1)),0,IF(FD16&lt;=120,FJ16,IF(EZ$4&lt;$AD$124,IF($F16=1,60/FB$4*FB$6,60/FB$4*FB$7),IF($F16=1,120/FB$4*FB$6,120/FB$4*FB$7)))),IF(OR($F16=3,$G16=2),IF(OR(AND(EZ$4&gt;=$AD$119,$C16=2),AND(EZ$4&gt;=$AF$119,$C16=1)),0,IF(FD16&lt;=60,FJ16,60/FB$4*FB$7)),IF(AND($F16=2,$G16=1),FJ16,0)))))</f>
        <v>0</v>
      </c>
      <c r="FM16" s="57" t="str">
        <f t="shared" si="64"/>
        <v/>
      </c>
      <c r="FN16" s="57" t="str">
        <f t="shared" si="65"/>
        <v/>
      </c>
      <c r="FO16" s="713">
        <f>'org. Düngung 22'!AV15</f>
        <v>0</v>
      </c>
      <c r="FP16" s="57"/>
      <c r="FQ16" s="57"/>
      <c r="FR16" s="57">
        <f t="shared" si="66"/>
        <v>0</v>
      </c>
      <c r="FS16" s="57">
        <f t="shared" si="243"/>
        <v>0</v>
      </c>
      <c r="FT16" s="57">
        <f t="shared" si="244"/>
        <v>0</v>
      </c>
      <c r="FU16" s="57">
        <f t="shared" si="245"/>
        <v>0</v>
      </c>
      <c r="FV16" s="57">
        <f t="shared" si="246"/>
        <v>0</v>
      </c>
      <c r="FW16" s="1029">
        <f t="shared" si="67"/>
        <v>0</v>
      </c>
      <c r="FX16" s="57">
        <f t="shared" si="68"/>
        <v>0</v>
      </c>
      <c r="FY16" s="171" t="str">
        <f t="shared" si="69"/>
        <v/>
      </c>
      <c r="FZ16" s="57">
        <f t="shared" si="247"/>
        <v>0</v>
      </c>
      <c r="GA16" s="57">
        <f>IF(OR(AND(FO$6=1,$L16=0),AND(FO$6=2,$K16=2,$G16=1)),0,IF(AND(FQ$9=2,(OR($F16&gt;1,$K16=1,AND($L16=80,OR($N16=1,AND($N16=2,'#BerechnungDBE'!$AL7&gt;0)))))),IF(FO$4&gt;=$AD$126,0,FY16),IF(FQ$9=3,IF(OR(FO$4&gt;=$AD$127,AND($G16=1,$J16=2,FO$6=2),AND(FO$6=1,$N16&lt;&gt;1)),0,IF(FS16&lt;=120,FY16,IF(FO$4&lt;$AD$124,IF($F16=1,60/FQ$4*FQ$6,60/FQ$4*FQ$7),IF($F16=1,120/FQ$4*FQ$6,120/FQ$4*FQ$7)))),IF(OR($F16=3,$G16=2),IF(OR(AND(FO$4&gt;=$AD$119,$C16=2),AND(FO$4&gt;=$AF$119,$C16=1)),0,IF(FS16&lt;=60,FY16,60/FQ$4*FQ$7)),IF(AND($F16=2,$G16=1),FY16,0)))))</f>
        <v>0</v>
      </c>
      <c r="GB16" s="57" t="str">
        <f t="shared" si="70"/>
        <v/>
      </c>
      <c r="GC16" s="57" t="str">
        <f t="shared" si="71"/>
        <v/>
      </c>
      <c r="GD16" s="713">
        <f>'org. Düngung 22'!AZ15</f>
        <v>0</v>
      </c>
      <c r="GE16" s="57"/>
      <c r="GF16" s="57"/>
      <c r="GG16" s="57">
        <f t="shared" si="72"/>
        <v>0</v>
      </c>
      <c r="GH16" s="57">
        <f t="shared" si="248"/>
        <v>0</v>
      </c>
      <c r="GI16" s="57">
        <f t="shared" si="249"/>
        <v>0</v>
      </c>
      <c r="GJ16" s="57">
        <f t="shared" si="250"/>
        <v>0</v>
      </c>
      <c r="GK16" s="57">
        <f t="shared" si="251"/>
        <v>0</v>
      </c>
      <c r="GL16" s="1029">
        <f t="shared" si="73"/>
        <v>0</v>
      </c>
      <c r="GM16" s="57">
        <f t="shared" si="74"/>
        <v>0</v>
      </c>
      <c r="GN16" s="171" t="str">
        <f t="shared" si="75"/>
        <v/>
      </c>
      <c r="GO16" s="57">
        <f t="shared" si="252"/>
        <v>0</v>
      </c>
      <c r="GP16" s="57">
        <f>IF(OR(AND(GD$6=1,$L16=0),AND(GD$6=2,$K16=2,$G16=1)),0,IF(AND(GF$9=2,(OR($F16&gt;1,$K16=1,AND($L16=80,OR($N16=1,AND($N16=2,'#BerechnungDBE'!$AL7&gt;0)))))),IF(GD$4&gt;=$AD$126,0,GN16),IF(GF$9=3,IF(OR(GD$4&gt;=$AD$127,AND($G16=1,$J16=2,GD$6=2),AND(GD$6=1,$N16&lt;&gt;1)),0,IF(GH16&lt;=120,GN16,IF(GD$4&lt;$AD$124,IF($F16=1,60/GF$4*GF$6,60/GF$4*GF$7),IF($F16=1,120/GF$4*GF$6,120/GF$4*GF$7)))),IF(OR($F16=3,$G16=2),IF(OR(AND(GD$4&gt;=$AD$119,$C16=2),AND(GD$4&gt;=$AF$119,$C16=1)),0,IF(GH16&lt;=60,GN16,60/GF$4*GF$7)),IF(AND($F16=2,$G16=1),GN16,0)))))</f>
        <v>0</v>
      </c>
      <c r="GQ16" s="57" t="str">
        <f t="shared" si="76"/>
        <v/>
      </c>
      <c r="GR16" s="57" t="str">
        <f t="shared" si="77"/>
        <v/>
      </c>
      <c r="GS16" s="713">
        <f>'org. Düngung 22'!BD15</f>
        <v>0</v>
      </c>
      <c r="GT16" s="57"/>
      <c r="GU16" s="57"/>
      <c r="GV16" s="57">
        <f t="shared" si="78"/>
        <v>0</v>
      </c>
      <c r="GW16" s="57">
        <f t="shared" si="253"/>
        <v>0</v>
      </c>
      <c r="GX16" s="57">
        <f t="shared" si="254"/>
        <v>0</v>
      </c>
      <c r="GY16" s="57">
        <f t="shared" si="255"/>
        <v>0</v>
      </c>
      <c r="GZ16" s="57">
        <f t="shared" si="256"/>
        <v>0</v>
      </c>
      <c r="HA16" s="1029">
        <f t="shared" si="79"/>
        <v>0</v>
      </c>
      <c r="HB16" s="57">
        <f t="shared" si="80"/>
        <v>0</v>
      </c>
      <c r="HC16" s="171" t="str">
        <f t="shared" si="81"/>
        <v/>
      </c>
      <c r="HD16" s="57">
        <f t="shared" si="257"/>
        <v>0</v>
      </c>
      <c r="HE16" s="57">
        <f>IF(OR(AND(GS$6=1,$L16=0),AND(GS$6=2,$K16=2,$G16=1)),0,IF(AND(GU$9=2,(OR($F16&gt;1,$K16=1,AND($L16=80,OR($N16=1,AND($N16=2,'#BerechnungDBE'!$AL7&gt;0)))))),IF(GS$4&gt;=$AD$126,0,HC16),IF(GU$9=3,IF(OR(GS$4&gt;=$AD$127,AND($G16=1,$J16=2,GS$6=2),AND(GS$6=1,$N16&lt;&gt;1)),0,IF(GW16&lt;=120,HC16,IF(GS$4&lt;$AD$124,IF($F16=1,60/GU$4*GU$6,60/GU$4*GU$7),IF($F16=1,120/GU$4*GU$6,120/GU$4*GU$7)))),IF(OR($F16=3,$G16=2),IF(OR(AND(GS$4&gt;=$AD$119,$C16=2),AND(GS$4&gt;=$AF$119,$C16=1)),0,IF(GW16&lt;=60,HC16,60/GU$4*GU$7)),IF(AND($F16=2,$G16=1),HC16,0)))))</f>
        <v>0</v>
      </c>
      <c r="HF16" s="57" t="str">
        <f t="shared" si="82"/>
        <v/>
      </c>
      <c r="HG16" s="57" t="str">
        <f t="shared" si="83"/>
        <v/>
      </c>
      <c r="HH16" s="713">
        <f>'org. Düngung 22'!BH15</f>
        <v>0</v>
      </c>
      <c r="HI16" s="57"/>
      <c r="HJ16" s="57"/>
      <c r="HK16" s="57">
        <f t="shared" si="84"/>
        <v>0</v>
      </c>
      <c r="HL16" s="57">
        <f t="shared" si="258"/>
        <v>0</v>
      </c>
      <c r="HM16" s="57">
        <f t="shared" si="259"/>
        <v>0</v>
      </c>
      <c r="HN16" s="57">
        <f t="shared" si="260"/>
        <v>0</v>
      </c>
      <c r="HO16" s="57">
        <f t="shared" si="261"/>
        <v>0</v>
      </c>
      <c r="HP16" s="1029">
        <f t="shared" si="85"/>
        <v>0</v>
      </c>
      <c r="HQ16" s="57">
        <f t="shared" si="86"/>
        <v>0</v>
      </c>
      <c r="HR16" s="171" t="str">
        <f t="shared" si="87"/>
        <v/>
      </c>
      <c r="HS16" s="57">
        <f t="shared" si="262"/>
        <v>0</v>
      </c>
      <c r="HT16" s="57">
        <f>IF(OR(AND(HH$6=1,$L16=0),AND(HH$6=2,$K16=2,$G16=1)),0,IF(AND(HJ$9=2,(OR($F16&gt;1,$K16=1,AND($L16=80,OR($N16=1,AND($N16=2,'#BerechnungDBE'!$AL7&gt;0)))))),IF(HH$4&gt;=$AD$126,0,HR16),IF(HJ$9=3,IF(OR(HH$4&gt;=$AD$127,AND($G16=1,$J16=2,HH$6=2),AND(HH$6=1,$N16&lt;&gt;1)),0,IF(HL16&lt;=120,HR16,IF(HH$4&lt;$AD$124,IF($F16=1,60/HJ$4*HJ$6,60/HJ$4*HJ$7),IF($F16=1,120/HJ$4*HJ$6,120/HJ$4*HJ$7)))),IF(OR($F16=3,$G16=2),IF(OR(AND(HH$4&gt;=$AD$119,$C16=2),AND(HH$4&gt;=$AF$119,$C16=1)),0,IF(HL16&lt;=60,HR16,60/HJ$4*HJ$7)),IF(AND($F16=2,$G16=1),HR16,0)))))</f>
        <v>0</v>
      </c>
      <c r="HU16" s="57" t="str">
        <f t="shared" si="88"/>
        <v/>
      </c>
      <c r="HV16" s="57" t="str">
        <f t="shared" si="89"/>
        <v/>
      </c>
      <c r="HW16" s="713">
        <f>'org. Düngung 22'!BL15</f>
        <v>0</v>
      </c>
      <c r="HX16" s="57"/>
      <c r="HY16" s="57"/>
      <c r="HZ16" s="57">
        <f t="shared" si="90"/>
        <v>0</v>
      </c>
      <c r="IA16" s="57">
        <f t="shared" si="263"/>
        <v>0</v>
      </c>
      <c r="IB16" s="57">
        <f t="shared" si="264"/>
        <v>0</v>
      </c>
      <c r="IC16" s="57">
        <f t="shared" si="265"/>
        <v>0</v>
      </c>
      <c r="ID16" s="57">
        <f t="shared" si="266"/>
        <v>0</v>
      </c>
      <c r="IE16" s="1029">
        <f t="shared" si="91"/>
        <v>0</v>
      </c>
      <c r="IF16" s="57">
        <f t="shared" si="92"/>
        <v>0</v>
      </c>
      <c r="IG16" s="171" t="str">
        <f t="shared" si="93"/>
        <v/>
      </c>
      <c r="IH16" s="57">
        <f t="shared" si="267"/>
        <v>0</v>
      </c>
      <c r="II16" s="57">
        <f>IF(OR(AND(HW$6=1,$L16=0),AND(HW$6=2,$K16=2,$G16=1)),0,IF(AND(HY$9=2,(OR($F16&gt;1,$K16=1,AND($L16=80,OR($N16=1,AND($N16=2,'#BerechnungDBE'!$AL7&gt;0)))))),IF(HW$4&gt;=$AD$126,0,IG16),IF(HY$9=3,IF(OR(HW$4&gt;=$AD$127,AND($G16=1,$J16=2,HW$6=2),AND(HW$6=1,$N16&lt;&gt;1)),0,IF(IA16&lt;=120,IG16,IF(HW$4&lt;$AD$124,IF($F16=1,60/HY$4*HY$6,60/HY$4*HY$7),IF($F16=1,120/HY$4*HY$6,120/HY$4*HY$7)))),IF(OR($F16=3,$G16=2),IF(OR(AND(HW$4&gt;=$AD$119,$C16=2),AND(HW$4&gt;=$AF$119,$C16=1)),0,IF(IA16&lt;=60,IG16,60/HY$4*HY$7)),IF(AND($F16=2,$G16=1),IG16,0)))))</f>
        <v>0</v>
      </c>
      <c r="IJ16" s="57" t="str">
        <f t="shared" si="94"/>
        <v/>
      </c>
      <c r="IK16" s="57" t="str">
        <f t="shared" si="95"/>
        <v/>
      </c>
      <c r="IL16" s="713">
        <f>'org. Düngung 22'!BP15</f>
        <v>0</v>
      </c>
      <c r="IM16" s="57"/>
      <c r="IN16" s="57"/>
      <c r="IO16" s="57">
        <f t="shared" si="96"/>
        <v>0</v>
      </c>
      <c r="IP16" s="57">
        <f t="shared" si="268"/>
        <v>0</v>
      </c>
      <c r="IQ16" s="57">
        <f t="shared" si="269"/>
        <v>0</v>
      </c>
      <c r="IR16" s="57">
        <f t="shared" si="270"/>
        <v>0</v>
      </c>
      <c r="IS16" s="57">
        <f t="shared" si="271"/>
        <v>0</v>
      </c>
      <c r="IT16" s="1029">
        <f t="shared" si="97"/>
        <v>0</v>
      </c>
      <c r="IU16" s="57">
        <f t="shared" si="98"/>
        <v>0</v>
      </c>
      <c r="IV16" s="171" t="str">
        <f t="shared" si="99"/>
        <v/>
      </c>
      <c r="IW16" s="57">
        <f t="shared" si="272"/>
        <v>0</v>
      </c>
      <c r="IX16" s="57">
        <f>IF(OR(AND(IL$6=1,$L16=0),AND(IL$6=2,$K16=2,$G16=1)),0,IF(AND(IN$9=2,(OR($F16&gt;1,$K16=1,AND($L16=80,OR($N16=1,AND($N16=2,'#BerechnungDBE'!$AL7&gt;0)))))),IF(IL$4&gt;=$AD$126,0,IV16),IF(IN$9=3,IF(OR(IL$4&gt;=$AD$127,AND($G16=1,$J16=2,IL$6=2),AND(IL$6=1,$N16&lt;&gt;1)),0,IF(IP16&lt;=120,IV16,IF(IL$4&lt;$AD$124,IF($F16=1,60/IN$4*IN$6,60/IN$4*IN$7),IF($F16=1,120/IN$4*IN$6,120/IN$4*IN$7)))),IF(OR($F16=3,$G16=2),IF(OR(AND(IL$4&gt;=$AD$119,$C16=2),AND(IL$4&gt;=$AF$119,$C16=1)),0,IF(IP16&lt;=60,IV16,60/IN$4*IN$7)),IF(AND($F16=2,$G16=1),IV16,0)))))</f>
        <v>0</v>
      </c>
      <c r="IY16" s="57" t="str">
        <f t="shared" si="100"/>
        <v/>
      </c>
      <c r="IZ16" s="57" t="str">
        <f t="shared" si="101"/>
        <v/>
      </c>
      <c r="JA16" s="713">
        <f>'org. Düngung 22'!BT15</f>
        <v>0</v>
      </c>
      <c r="JB16" s="57"/>
      <c r="JC16" s="57"/>
      <c r="JD16" s="57">
        <f t="shared" si="102"/>
        <v>0</v>
      </c>
      <c r="JE16" s="57">
        <f t="shared" si="273"/>
        <v>0</v>
      </c>
      <c r="JF16" s="57">
        <f t="shared" si="274"/>
        <v>0</v>
      </c>
      <c r="JG16" s="57">
        <f t="shared" si="275"/>
        <v>0</v>
      </c>
      <c r="JH16" s="57">
        <f t="shared" si="276"/>
        <v>0</v>
      </c>
      <c r="JI16" s="1029">
        <f t="shared" si="103"/>
        <v>0</v>
      </c>
      <c r="JJ16" s="57">
        <f t="shared" si="104"/>
        <v>0</v>
      </c>
      <c r="JK16" s="171" t="str">
        <f t="shared" si="105"/>
        <v/>
      </c>
      <c r="JL16" s="57">
        <f t="shared" si="277"/>
        <v>0</v>
      </c>
      <c r="JM16" s="57">
        <f>IF(OR(AND(JA$6=1,$L16=0),AND(JA$6=2,$K16=2,$G16=1)),0,IF(AND(JC$9=2,(OR($F16&gt;1,$K16=1,AND($L16=80,OR($N16=1,AND($N16=2,'#BerechnungDBE'!$AL7&gt;0)))))),IF(JA$4&gt;=$AD$126,0,JK16),IF(JC$9=3,IF(OR(JA$4&gt;=$AD$127,AND($G16=1,$J16=2,JA$6=2),AND(JA$6=1,$N16&lt;&gt;1)),0,IF(JE16&lt;=120,JK16,IF(JA$4&lt;$AD$124,IF($F16=1,60/JC$4*JC$6,60/JC$4*JC$7),IF($F16=1,120/JC$4*JC$6,120/JC$4*JC$7)))),IF(OR($F16=3,$G16=2),IF(OR(AND(JA$4&gt;=$AD$119,$C16=2),AND(JA$4&gt;=$AF$119,$C16=1)),0,IF(JE16&lt;=60,JK16,60/JC$4*JC$7)),IF(AND($F16=2,$G16=1),JK16,0)))))</f>
        <v>0</v>
      </c>
      <c r="JN16" s="57" t="str">
        <f t="shared" si="106"/>
        <v/>
      </c>
      <c r="JO16" s="57" t="str">
        <f t="shared" si="107"/>
        <v/>
      </c>
      <c r="JP16" s="713">
        <f>'org. Düngung 22'!BX15</f>
        <v>0</v>
      </c>
      <c r="JQ16" s="57"/>
      <c r="JR16" s="57"/>
      <c r="JS16" s="57">
        <f t="shared" si="108"/>
        <v>0</v>
      </c>
      <c r="JT16" s="57">
        <f t="shared" si="278"/>
        <v>0</v>
      </c>
      <c r="JU16" s="57">
        <f t="shared" si="279"/>
        <v>0</v>
      </c>
      <c r="JV16" s="57">
        <f t="shared" si="280"/>
        <v>0</v>
      </c>
      <c r="JW16" s="57">
        <f t="shared" si="281"/>
        <v>0</v>
      </c>
      <c r="JX16" s="1029">
        <f t="shared" si="109"/>
        <v>0</v>
      </c>
      <c r="JY16" s="57">
        <f t="shared" si="110"/>
        <v>0</v>
      </c>
      <c r="JZ16" s="171" t="str">
        <f t="shared" si="111"/>
        <v/>
      </c>
      <c r="KA16" s="57">
        <f t="shared" si="282"/>
        <v>0</v>
      </c>
      <c r="KB16" s="57">
        <f>IF(OR(AND(JP$6=1,$L16=0),AND(JP$6=2,$K16=2,$G16=1)),0,IF(AND(JR$9=2,(OR($F16&gt;1,$K16=1,AND($L16=80,OR($N16=1,AND($N16=2,'#BerechnungDBE'!$AL7&gt;0)))))),IF(JP$4&gt;=$AD$126,0,JZ16),IF(JR$9=3,IF(OR(JP$4&gt;=$AD$127,AND($G16=1,$J16=2,JP$6=2),AND(JP$6=1,$N16&lt;&gt;1)),0,IF(JT16&lt;=120,JZ16,IF(JP$4&lt;$AD$124,IF($F16=1,60/JR$4*JR$6,60/JR$4*JR$7),IF($F16=1,120/JR$4*JR$6,120/JR$4*JR$7)))),IF(OR($F16=3,$G16=2),IF(OR(AND(JP$4&gt;=$AD$119,$C16=2),AND(JP$4&gt;=$AF$119,$C16=1)),0,IF(JT16&lt;=60,JZ16,60/JR$4*JR$7)),IF(AND($F16=2,$G16=1),JZ16,0)))))</f>
        <v>0</v>
      </c>
      <c r="KC16" s="57" t="str">
        <f t="shared" si="112"/>
        <v/>
      </c>
      <c r="KD16" s="57" t="str">
        <f t="shared" si="113"/>
        <v/>
      </c>
      <c r="KE16" s="713">
        <f>'org. Düngung 22'!CB15</f>
        <v>0</v>
      </c>
      <c r="KF16" s="57"/>
      <c r="KG16" s="57"/>
      <c r="KH16" s="57">
        <f t="shared" si="114"/>
        <v>0</v>
      </c>
      <c r="KI16" s="57">
        <f t="shared" si="283"/>
        <v>0</v>
      </c>
      <c r="KJ16" s="57">
        <f t="shared" si="284"/>
        <v>0</v>
      </c>
      <c r="KK16" s="57">
        <f t="shared" si="285"/>
        <v>0</v>
      </c>
      <c r="KL16" s="57">
        <f t="shared" si="286"/>
        <v>0</v>
      </c>
      <c r="KM16" s="1029">
        <f t="shared" si="115"/>
        <v>0</v>
      </c>
      <c r="KN16" s="57">
        <f t="shared" si="116"/>
        <v>0</v>
      </c>
      <c r="KO16" s="171" t="str">
        <f t="shared" si="117"/>
        <v/>
      </c>
      <c r="KP16" s="57">
        <f t="shared" si="287"/>
        <v>0</v>
      </c>
      <c r="KQ16" s="57">
        <f>IF(OR(AND(KE$6=1,$L16=0),AND(KE$6=2,$K16=2,$G16=1)),0,IF(AND(KG$9=2,(OR($F16&gt;1,$K16=1,AND($L16=80,OR($N16=1,AND($N16=2,'#BerechnungDBE'!$AL7&gt;0)))))),IF(KE$4&gt;=$AD$126,0,KO16),IF(KG$9=3,IF(OR(KE$4&gt;=$AD$127,AND($G16=1,$J16=2,KE$6=2),AND(KE$6=1,$N16&lt;&gt;1)),0,IF(KI16&lt;=120,KO16,IF(KE$4&lt;$AD$124,IF($F16=1,60/KG$4*KG$6,60/KG$4*KG$7),IF($F16=1,120/KG$4*KG$6,120/KG$4*KG$7)))),IF(OR($F16=3,$G16=2),IF(OR(AND(KE$4&gt;=$AD$119,$C16=2),AND(KE$4&gt;=$AF$119,$C16=1)),0,IF(KI16&lt;=60,KO16,60/KG$4*KG$7)),IF(AND($F16=2,$G16=1),KO16,0)))))</f>
        <v>0</v>
      </c>
      <c r="KR16" s="57" t="str">
        <f t="shared" si="118"/>
        <v/>
      </c>
      <c r="KS16" s="57" t="str">
        <f t="shared" si="119"/>
        <v/>
      </c>
      <c r="KT16" s="713">
        <f>'org. Düngung 22'!CF15</f>
        <v>0</v>
      </c>
      <c r="KU16" s="57"/>
      <c r="KV16" s="57"/>
      <c r="KW16" s="57">
        <f t="shared" si="120"/>
        <v>0</v>
      </c>
      <c r="KX16" s="57">
        <f t="shared" si="288"/>
        <v>0</v>
      </c>
      <c r="KY16" s="57">
        <f t="shared" si="289"/>
        <v>0</v>
      </c>
      <c r="KZ16" s="57">
        <f t="shared" si="290"/>
        <v>0</v>
      </c>
      <c r="LA16" s="57">
        <f t="shared" si="291"/>
        <v>0</v>
      </c>
      <c r="LB16" s="1029">
        <f t="shared" si="121"/>
        <v>0</v>
      </c>
      <c r="LC16" s="57">
        <f t="shared" si="122"/>
        <v>0</v>
      </c>
      <c r="LD16" s="171" t="str">
        <f t="shared" si="123"/>
        <v/>
      </c>
      <c r="LE16" s="57">
        <f t="shared" si="292"/>
        <v>0</v>
      </c>
      <c r="LF16" s="57">
        <f>IF(OR(AND(KT$6=1,$L16=0),AND(KT$6=2,$K16=2,$G16=1)),0,IF(AND(KV$9=2,(OR($F16&gt;1,$K16=1,AND($L16=80,OR($N16=1,AND($N16=2,'#BerechnungDBE'!$AL7&gt;0)))))),IF(KT$4&gt;=$AD$126,0,LD16),IF(KV$9=3,IF(OR(KT$4&gt;=$AD$127,AND($G16=1,$J16=2,KT$6=2),AND(KT$6=1,$N16&lt;&gt;1)),0,IF(KX16&lt;=120,LD16,IF(KT$4&lt;$AD$124,IF($F16=1,60/KV$4*KV$6,60/KV$4*KV$7),IF($F16=1,120/KV$4*KV$6,120/KV$4*KV$7)))),IF(OR($F16=3,$G16=2),IF(OR(AND(KT$4&gt;=$AD$119,$C16=2),AND(KT$4&gt;=$AF$119,$C16=1)),0,IF(KX16&lt;=60,LD16,60/KV$4*KV$7)),IF(AND($F16=2,$G16=1),LD16,0)))))</f>
        <v>0</v>
      </c>
      <c r="LG16" s="57" t="str">
        <f t="shared" si="124"/>
        <v/>
      </c>
      <c r="LH16" s="57" t="str">
        <f t="shared" si="125"/>
        <v/>
      </c>
      <c r="LI16" s="713">
        <f>'org. Düngung 22'!CJ15</f>
        <v>0</v>
      </c>
      <c r="LJ16" s="57"/>
      <c r="LK16" s="57"/>
      <c r="LL16" s="57">
        <f t="shared" si="126"/>
        <v>0</v>
      </c>
      <c r="LM16" s="57">
        <f t="shared" si="293"/>
        <v>0</v>
      </c>
      <c r="LN16" s="57">
        <f t="shared" si="294"/>
        <v>0</v>
      </c>
      <c r="LO16" s="57">
        <f t="shared" si="295"/>
        <v>0</v>
      </c>
      <c r="LP16" s="57">
        <f t="shared" si="296"/>
        <v>0</v>
      </c>
      <c r="LQ16" s="1029">
        <f t="shared" si="127"/>
        <v>0</v>
      </c>
      <c r="LR16" s="57">
        <f t="shared" si="128"/>
        <v>0</v>
      </c>
      <c r="LS16" s="171" t="str">
        <f t="shared" si="129"/>
        <v/>
      </c>
      <c r="LT16" s="57">
        <f t="shared" si="297"/>
        <v>0</v>
      </c>
      <c r="LU16" s="57">
        <f>IF(OR(AND(LI$6=1,$L16=0),AND(LI$6=2,$K16=2,$G16=1)),0,IF(AND(LK$9=2,(OR($F16&gt;1,$K16=1,AND($L16=80,OR($N16=1,AND($N16=2,'#BerechnungDBE'!$AL7&gt;0)))))),IF(LI$4&gt;=$AD$126,0,LS16),IF(LK$9=3,IF(OR(LI$4&gt;=$AD$127,AND($G16=1,$J16=2,LI$6=2),AND(LI$6=1,$N16&lt;&gt;1)),0,IF(LM16&lt;=120,LS16,IF(LI$4&lt;$AD$124,IF($F16=1,60/LK$4*LK$6,60/LK$4*LK$7),IF($F16=1,120/LK$4*LK$6,120/LK$4*LK$7)))),IF(OR($F16=3,$G16=2),IF(OR(AND(LI$4&gt;=$AD$119,$C16=2),AND(LI$4&gt;=$AF$119,$C16=1)),0,IF(LM16&lt;=60,LS16,60/LK$4*LK$7)),IF(AND($F16=2,$G16=1),LS16,0)))))</f>
        <v>0</v>
      </c>
      <c r="LV16" s="57" t="str">
        <f t="shared" si="130"/>
        <v/>
      </c>
      <c r="LW16" s="57" t="str">
        <f t="shared" si="131"/>
        <v/>
      </c>
      <c r="LX16" s="713">
        <f>'org. Düngung 22'!CN15</f>
        <v>0</v>
      </c>
      <c r="LY16" s="57"/>
      <c r="LZ16" s="57"/>
      <c r="MA16" s="57">
        <f t="shared" si="132"/>
        <v>0</v>
      </c>
      <c r="MB16" s="57">
        <f t="shared" si="298"/>
        <v>0</v>
      </c>
      <c r="MC16" s="57">
        <f t="shared" si="299"/>
        <v>0</v>
      </c>
      <c r="MD16" s="57">
        <f t="shared" si="300"/>
        <v>0</v>
      </c>
      <c r="ME16" s="57">
        <f t="shared" si="301"/>
        <v>0</v>
      </c>
      <c r="MF16" s="1029">
        <f t="shared" si="133"/>
        <v>0</v>
      </c>
      <c r="MG16" s="57">
        <f t="shared" si="134"/>
        <v>0</v>
      </c>
      <c r="MH16" s="171" t="str">
        <f t="shared" si="135"/>
        <v/>
      </c>
      <c r="MI16" s="57">
        <f t="shared" si="302"/>
        <v>0</v>
      </c>
      <c r="MJ16" s="57">
        <f>IF(OR(AND(LX$6=1,$L16=0),AND(LX$6=2,$K16=2,$G16=1)),0,IF(AND(LZ$9=2,(OR($F16&gt;1,$K16=1,AND($L16=80,OR($N16=1,AND($N16=2,'#BerechnungDBE'!$AL7&gt;0)))))),IF(LX$4&gt;=$AD$126,0,MH16),IF(LZ$9=3,IF(OR(LX$4&gt;=$AD$127,AND($G16=1,$J16=2,LX$6=2),AND(LX$6=1,$N16&lt;&gt;1)),0,IF(MB16&lt;=120,MH16,IF(LX$4&lt;$AD$124,IF($F16=1,60/LZ$4*LZ$6,60/LZ$4*LZ$7),IF($F16=1,120/LZ$4*LZ$6,120/LZ$4*LZ$7)))),IF(OR($F16=3,$G16=2),IF(OR(AND(LX$4&gt;=$AD$119,$C16=2),AND(LX$4&gt;=$AF$119,$C16=1)),0,IF(MB16&lt;=60,MH16,60/LZ$4*LZ$7)),IF(AND($F16=2,$G16=1),MH16,0)))))</f>
        <v>0</v>
      </c>
      <c r="MK16" s="57" t="str">
        <f t="shared" si="136"/>
        <v/>
      </c>
      <c r="ML16" s="57" t="str">
        <f t="shared" si="137"/>
        <v/>
      </c>
      <c r="MM16" s="713">
        <f>'org. Düngung 22'!CR15</f>
        <v>0</v>
      </c>
      <c r="MN16" s="57"/>
      <c r="MO16" s="57"/>
      <c r="MP16" s="57">
        <f t="shared" si="138"/>
        <v>0</v>
      </c>
      <c r="MQ16" s="57">
        <f t="shared" si="303"/>
        <v>0</v>
      </c>
      <c r="MR16" s="57">
        <f t="shared" si="304"/>
        <v>0</v>
      </c>
      <c r="MS16" s="57">
        <f t="shared" si="305"/>
        <v>0</v>
      </c>
      <c r="MT16" s="57">
        <f t="shared" si="306"/>
        <v>0</v>
      </c>
      <c r="MU16" s="1029">
        <f t="shared" si="139"/>
        <v>0</v>
      </c>
      <c r="MV16" s="57">
        <f t="shared" si="140"/>
        <v>0</v>
      </c>
      <c r="MW16" s="171" t="str">
        <f t="shared" si="141"/>
        <v/>
      </c>
      <c r="MX16" s="57">
        <f t="shared" si="307"/>
        <v>0</v>
      </c>
      <c r="MY16" s="57">
        <f>IF(OR(AND(MM$6=1,$L16=0),AND(MM$6=2,$K16=2,$G16=1)),0,IF(AND(MO$9=2,(OR($F16&gt;1,$K16=1,AND($L16=80,OR($N16=1,AND($N16=2,'#BerechnungDBE'!$AL7&gt;0)))))),IF(MM$4&gt;=$AD$126,0,MW16),IF(MO$9=3,IF(OR(MM$4&gt;=$AD$127,AND($G16=1,$J16=2,MM$6=2),AND(MM$6=1,$N16&lt;&gt;1)),0,IF(MQ16&lt;=120,MW16,IF(MM$4&lt;$AD$124,IF($F16=1,60/MO$4*MO$6,60/MO$4*MO$7),IF($F16=1,120/MO$4*MO$6,120/MO$4*MO$7)))),IF(OR($F16=3,$G16=2),IF(OR(AND(MM$4&gt;=$AD$119,$C16=2),AND(MM$4&gt;=$AF$119,$C16=1)),0,IF(MQ16&lt;=60,MW16,60/MO$4*MO$7)),IF(AND($F16=2,$G16=1),MW16,0)))))</f>
        <v>0</v>
      </c>
      <c r="MZ16" s="57" t="str">
        <f t="shared" si="142"/>
        <v/>
      </c>
      <c r="NA16" s="57" t="str">
        <f t="shared" si="143"/>
        <v/>
      </c>
      <c r="NB16" s="713">
        <f>'org. Düngung 22'!CV15</f>
        <v>0</v>
      </c>
      <c r="NC16" s="57"/>
      <c r="ND16" s="57"/>
      <c r="NE16" s="57">
        <f t="shared" si="144"/>
        <v>0</v>
      </c>
      <c r="NF16" s="57">
        <f t="shared" si="308"/>
        <v>0</v>
      </c>
      <c r="NG16" s="57">
        <f t="shared" si="309"/>
        <v>0</v>
      </c>
      <c r="NH16" s="57">
        <f t="shared" si="310"/>
        <v>0</v>
      </c>
      <c r="NI16" s="57">
        <f t="shared" si="311"/>
        <v>0</v>
      </c>
      <c r="NJ16" s="1029">
        <f t="shared" si="145"/>
        <v>0</v>
      </c>
      <c r="NK16" s="57">
        <f t="shared" si="146"/>
        <v>0</v>
      </c>
      <c r="NL16" s="171" t="str">
        <f t="shared" si="147"/>
        <v/>
      </c>
      <c r="NM16" s="57">
        <f t="shared" si="312"/>
        <v>0</v>
      </c>
      <c r="NN16" s="57">
        <f>IF(OR(AND(NB$6=1,$L16=0),AND(NB$6=2,$K16=2,$G16=1)),0,IF(AND(ND$9=2,(OR($F16&gt;1,$K16=1,AND($L16=80,OR($N16=1,AND($N16=2,'#BerechnungDBE'!$AL7&gt;0)))))),IF(NB$4&gt;=$AD$126,0,NL16),IF(ND$9=3,IF(OR(NB$4&gt;=$AD$127,AND($G16=1,$J16=2,NB$6=2),AND(NB$6=1,$N16&lt;&gt;1)),0,IF(NF16&lt;=120,NL16,IF(NB$4&lt;$AD$124,IF($F16=1,60/ND$4*ND$6,60/ND$4*ND$7),IF($F16=1,120/ND$4*ND$6,120/ND$4*ND$7)))),IF(OR($F16=3,$G16=2),IF(OR(AND(NB$4&gt;=$AD$119,$C16=2),AND(NB$4&gt;=$AF$119,$C16=1)),0,IF(NF16&lt;=60,NL16,60/ND$4*ND$7)),IF(AND($F16=2,$G16=1),NL16,0)))))</f>
        <v>0</v>
      </c>
      <c r="NO16" s="57" t="str">
        <f t="shared" si="148"/>
        <v/>
      </c>
      <c r="NP16" s="57" t="str">
        <f t="shared" si="149"/>
        <v/>
      </c>
      <c r="NQ16" s="713">
        <f>'org. Düngung 22'!CZ15</f>
        <v>0</v>
      </c>
      <c r="NR16" s="57"/>
      <c r="NS16" s="57"/>
      <c r="NT16" s="57">
        <f t="shared" si="150"/>
        <v>0</v>
      </c>
      <c r="NU16" s="57">
        <f t="shared" si="313"/>
        <v>0</v>
      </c>
      <c r="NV16" s="57">
        <f t="shared" si="314"/>
        <v>0</v>
      </c>
      <c r="NW16" s="57">
        <f t="shared" si="315"/>
        <v>0</v>
      </c>
      <c r="NX16" s="57">
        <f t="shared" si="316"/>
        <v>0</v>
      </c>
      <c r="NY16" s="1029">
        <f t="shared" si="151"/>
        <v>0</v>
      </c>
      <c r="NZ16" s="57">
        <f t="shared" si="152"/>
        <v>0</v>
      </c>
      <c r="OA16" s="171" t="str">
        <f t="shared" si="153"/>
        <v/>
      </c>
      <c r="OB16" s="57">
        <f t="shared" si="317"/>
        <v>0</v>
      </c>
      <c r="OC16" s="57">
        <f>IF(OR(AND(NQ$6=1,$L16=0),AND(NQ$6=2,$K16=2,$G16=1)),0,IF(AND(NS$9=2,(OR($F16&gt;1,$K16=1,AND($L16=80,OR($N16=1,AND($N16=2,'#BerechnungDBE'!$AL7&gt;0)))))),IF(NQ$4&gt;=$AD$126,0,OA16),IF(NS$9=3,IF(OR(NQ$4&gt;=$AD$127,AND($G16=1,$J16=2,NQ$6=2),AND(NQ$6=1,$N16&lt;&gt;1)),0,IF(NU16&lt;=120,OA16,IF(NQ$4&lt;$AD$124,IF($F16=1,60/NS$4*NS$6,60/NS$4*NS$7),IF($F16=1,120/NS$4*NS$6,120/NS$4*NS$7)))),IF(OR($F16=3,$G16=2),IF(OR(AND(NQ$4&gt;=$AD$119,$C16=2),AND(NQ$4&gt;=$AF$119,$C16=1)),0,IF(NU16&lt;=60,OA16,60/NS$4*NS$7)),IF(AND($F16=2,$G16=1),OA16,0)))))</f>
        <v>0</v>
      </c>
      <c r="OD16" s="57" t="str">
        <f t="shared" si="154"/>
        <v/>
      </c>
      <c r="OE16" s="57" t="str">
        <f t="shared" si="155"/>
        <v/>
      </c>
      <c r="OF16" s="713">
        <f>'org. Düngung 22'!DD15</f>
        <v>0</v>
      </c>
      <c r="OG16" s="57"/>
      <c r="OH16" s="57"/>
      <c r="OI16" s="57">
        <f t="shared" si="156"/>
        <v>0</v>
      </c>
      <c r="OJ16" s="57">
        <f t="shared" si="318"/>
        <v>0</v>
      </c>
      <c r="OK16" s="57">
        <f t="shared" si="319"/>
        <v>0</v>
      </c>
      <c r="OL16" s="57">
        <f t="shared" si="320"/>
        <v>0</v>
      </c>
      <c r="OM16" s="57">
        <f t="shared" si="321"/>
        <v>0</v>
      </c>
      <c r="ON16" s="1029">
        <f t="shared" si="157"/>
        <v>0</v>
      </c>
      <c r="OO16" s="57">
        <f t="shared" si="158"/>
        <v>0</v>
      </c>
      <c r="OP16" s="171" t="str">
        <f t="shared" si="159"/>
        <v/>
      </c>
      <c r="OQ16" s="57">
        <f t="shared" si="322"/>
        <v>0</v>
      </c>
      <c r="OR16" s="57">
        <f>IF(OR(AND(OF$6=1,$L16=0),AND(OF$6=2,$K16=2,$G16=1)),0,IF(AND(OH$9=2,(OR($F16&gt;1,$K16=1,AND($L16=80,OR($N16=1,AND($N16=2,'#BerechnungDBE'!$AL7&gt;0)))))),IF(OF$4&gt;=$AD$126,0,OP16),IF(OH$9=3,IF(OR(OF$4&gt;=$AD$127,AND($G16=1,$J16=2,OF$6=2),AND(OF$6=1,$N16&lt;&gt;1)),0,IF(OJ16&lt;=120,OP16,IF(OF$4&lt;$AD$124,IF($F16=1,60/OH$4*OH$6,60/OH$4*OH$7),IF($F16=1,120/OH$4*OH$6,120/OH$4*OH$7)))),IF(OR($F16=3,$G16=2),IF(OR(AND(OF$4&gt;=$AD$119,$C16=2),AND(OF$4&gt;=$AF$119,$C16=1)),0,IF(OJ16&lt;=60,OP16,60/OH$4*OH$7)),IF(AND($F16=2,$G16=1),OP16,0)))))</f>
        <v>0</v>
      </c>
      <c r="OS16" s="57" t="str">
        <f t="shared" si="160"/>
        <v/>
      </c>
      <c r="OT16" s="57" t="str">
        <f t="shared" si="161"/>
        <v/>
      </c>
      <c r="OU16" s="713">
        <f>'org. Düngung 22'!DH15</f>
        <v>0</v>
      </c>
      <c r="OV16" s="57"/>
      <c r="OW16" s="57"/>
      <c r="OX16" s="57">
        <f t="shared" si="162"/>
        <v>0</v>
      </c>
      <c r="OY16" s="57">
        <f t="shared" si="323"/>
        <v>0</v>
      </c>
      <c r="OZ16" s="57">
        <f t="shared" si="324"/>
        <v>0</v>
      </c>
      <c r="PA16" s="57">
        <f t="shared" si="325"/>
        <v>0</v>
      </c>
      <c r="PB16" s="57">
        <f t="shared" si="326"/>
        <v>0</v>
      </c>
      <c r="PC16" s="1029">
        <f t="shared" si="163"/>
        <v>0</v>
      </c>
      <c r="PD16" s="57">
        <f t="shared" si="164"/>
        <v>0</v>
      </c>
      <c r="PE16" s="171" t="str">
        <f t="shared" si="165"/>
        <v/>
      </c>
      <c r="PF16" s="57">
        <f t="shared" si="327"/>
        <v>0</v>
      </c>
      <c r="PG16" s="57">
        <f>IF(OR(AND(OU$6=1,$L16=0),AND(OU$6=2,$K16=2,$G16=1)),0,IF(AND(OW$9=2,(OR($F16&gt;1,$K16=1,AND($L16=80,OR($N16=1,AND($N16=2,'#BerechnungDBE'!$AL7&gt;0)))))),IF(OU$4&gt;=$AD$126,0,PE16),IF(OW$9=3,IF(OR(OU$4&gt;=$AD$127,AND($G16=1,$J16=2,OU$6=2),AND(OU$6=1,$N16&lt;&gt;1)),0,IF(OY16&lt;=120,PE16,IF(OU$4&lt;$AD$124,IF($F16=1,60/OW$4*OW$6,60/OW$4*OW$7),IF($F16=1,120/OW$4*OW$6,120/OW$4*OW$7)))),IF(OR($F16=3,$G16=2),IF(OR(AND(OU$4&gt;=$AD$119,$C16=2),AND(OU$4&gt;=$AF$119,$C16=1)),0,IF(OY16&lt;=60,PE16,60/OW$4*OW$7)),IF(AND($F16=2,$G16=1),PE16,0)))))</f>
        <v>0</v>
      </c>
      <c r="PH16" s="57" t="str">
        <f t="shared" si="166"/>
        <v/>
      </c>
      <c r="PI16" s="57" t="str">
        <f t="shared" si="167"/>
        <v/>
      </c>
      <c r="PJ16" s="713">
        <f>'org. Düngung 22'!DL15</f>
        <v>0</v>
      </c>
      <c r="PK16" s="57"/>
      <c r="PL16" s="57"/>
      <c r="PM16" s="57">
        <f t="shared" si="168"/>
        <v>0</v>
      </c>
      <c r="PN16" s="57">
        <f t="shared" si="328"/>
        <v>0</v>
      </c>
      <c r="PO16" s="57">
        <f t="shared" si="329"/>
        <v>0</v>
      </c>
      <c r="PP16" s="57">
        <f t="shared" si="330"/>
        <v>0</v>
      </c>
      <c r="PQ16" s="57">
        <f t="shared" si="331"/>
        <v>0</v>
      </c>
      <c r="PR16" s="1029">
        <f t="shared" si="169"/>
        <v>0</v>
      </c>
      <c r="PS16" s="57">
        <f t="shared" si="170"/>
        <v>0</v>
      </c>
      <c r="PT16" s="171" t="str">
        <f t="shared" si="171"/>
        <v/>
      </c>
      <c r="PU16" s="57">
        <f t="shared" si="332"/>
        <v>0</v>
      </c>
      <c r="PV16" s="57">
        <f>IF(OR(AND(PJ$6=1,$L16=0),AND(PJ$6=2,$K16=2,$G16=1)),0,IF(AND(PL$9=2,(OR($F16&gt;1,$K16=1,AND($L16=80,OR($N16=1,AND($N16=2,'#BerechnungDBE'!$AL7&gt;0)))))),IF(PJ$4&gt;=$AD$126,0,PT16),IF(PL$9=3,IF(OR(PJ$4&gt;=$AD$127,AND($G16=1,$J16=2,PJ$6=2),AND(PJ$6=1,$N16&lt;&gt;1)),0,IF(PN16&lt;=120,PT16,IF(PJ$4&lt;$AD$124,IF($F16=1,60/PL$4*PL$6,60/PL$4*PL$7),IF($F16=1,120/PL$4*PL$6,120/PL$4*PL$7)))),IF(OR($F16=3,$G16=2),IF(OR(AND(PJ$4&gt;=$AD$119,$C16=2),AND(PJ$4&gt;=$AF$119,$C16=1)),0,IF(PN16&lt;=60,PT16,60/PL$4*PL$7)),IF(AND($F16=2,$G16=1),PT16,0)))))</f>
        <v>0</v>
      </c>
      <c r="PW16" s="57" t="str">
        <f t="shared" si="172"/>
        <v/>
      </c>
      <c r="PX16" s="57" t="str">
        <f t="shared" si="173"/>
        <v/>
      </c>
      <c r="PY16" s="713">
        <f>'org. Düngung 22'!DP15</f>
        <v>0</v>
      </c>
      <c r="PZ16" s="57"/>
      <c r="QA16" s="57"/>
      <c r="QB16" s="57">
        <f t="shared" si="174"/>
        <v>0</v>
      </c>
      <c r="QC16" s="57">
        <f t="shared" si="333"/>
        <v>0</v>
      </c>
      <c r="QD16" s="57">
        <f t="shared" si="334"/>
        <v>0</v>
      </c>
      <c r="QE16" s="57">
        <f t="shared" si="335"/>
        <v>0</v>
      </c>
      <c r="QF16" s="57">
        <f t="shared" si="336"/>
        <v>0</v>
      </c>
      <c r="QG16" s="1029">
        <f t="shared" si="175"/>
        <v>0</v>
      </c>
      <c r="QH16" s="57">
        <f t="shared" si="176"/>
        <v>0</v>
      </c>
      <c r="QI16" s="171" t="str">
        <f t="shared" si="177"/>
        <v/>
      </c>
      <c r="QJ16" s="57">
        <f t="shared" si="337"/>
        <v>0</v>
      </c>
      <c r="QK16" s="57">
        <f>IF(OR(AND(PY$6=1,$L16=0),AND(PY$6=2,$K16=2,$G16=1)),0,IF(AND(QA$9=2,(OR($F16&gt;1,$K16=1,AND($L16=80,OR($N16=1,AND($N16=2,'#BerechnungDBE'!$AL7&gt;0)))))),IF(PY$4&gt;=$AD$126,0,QI16),IF(QA$9=3,IF(OR(PY$4&gt;=$AD$127,AND($G16=1,$J16=2,PY$6=2),AND(PY$6=1,$N16&lt;&gt;1)),0,IF(QC16&lt;=120,QI16,IF(PY$4&lt;$AD$124,IF($F16=1,60/QA$4*QA$6,60/QA$4*QA$7),IF($F16=1,120/QA$4*QA$6,120/QA$4*QA$7)))),IF(OR($F16=3,$G16=2),IF(OR(AND(PY$4&gt;=$AD$119,$C16=2),AND(PY$4&gt;=$AF$119,$C16=1)),0,IF(QC16&lt;=60,QI16,60/QA$4*QA$7)),IF(AND($F16=2,$G16=1),QI16,0)))))</f>
        <v>0</v>
      </c>
      <c r="QL16" s="57" t="str">
        <f t="shared" si="178"/>
        <v/>
      </c>
      <c r="QM16" s="57" t="str">
        <f t="shared" si="179"/>
        <v/>
      </c>
      <c r="QN16" s="713">
        <f>'org. Düngung 22'!DT15</f>
        <v>0</v>
      </c>
      <c r="QO16" s="57"/>
      <c r="QP16" s="57"/>
      <c r="QQ16" s="57">
        <f t="shared" si="180"/>
        <v>0</v>
      </c>
      <c r="QR16" s="57">
        <f t="shared" si="338"/>
        <v>0</v>
      </c>
      <c r="QS16" s="57">
        <f t="shared" si="339"/>
        <v>0</v>
      </c>
      <c r="QT16" s="57">
        <f t="shared" si="340"/>
        <v>0</v>
      </c>
      <c r="QU16" s="57">
        <f t="shared" si="341"/>
        <v>0</v>
      </c>
      <c r="QV16" s="1029">
        <f t="shared" si="181"/>
        <v>0</v>
      </c>
      <c r="QW16" s="57">
        <f t="shared" si="182"/>
        <v>0</v>
      </c>
      <c r="QX16" s="171" t="str">
        <f t="shared" si="183"/>
        <v/>
      </c>
      <c r="QY16" s="57">
        <f t="shared" si="342"/>
        <v>0</v>
      </c>
      <c r="QZ16" s="57">
        <f>IF(OR(AND(QN$6=1,$L16=0),AND(QN$6=2,$K16=2,$G16=1)),0,IF(AND(QP$9=2,(OR($F16&gt;1,$K16=1,AND($L16=80,OR($N16=1,AND($N16=2,'#BerechnungDBE'!$AL7&gt;0)))))),IF(QN$4&gt;=$AD$126,0,QX16),IF(QP$9=3,IF(OR(QN$4&gt;=$AD$127,AND($G16=1,$J16=2,QN$6=2),AND(QN$6=1,$N16&lt;&gt;1)),0,IF(QR16&lt;=120,QX16,IF(QN$4&lt;$AD$124,IF($F16=1,60/QP$4*QP$6,60/QP$4*QP$7),IF($F16=1,120/QP$4*QP$6,120/QP$4*QP$7)))),IF(OR($F16=3,$G16=2),IF(OR(AND(QN$4&gt;=$AD$119,$C16=2),AND(QN$4&gt;=$AF$119,$C16=1)),0,IF(QR16&lt;=60,QX16,60/QP$4*QP$7)),IF(AND($F16=2,$G16=1),QX16,0)))))</f>
        <v>0</v>
      </c>
      <c r="RA16" s="57" t="str">
        <f t="shared" si="184"/>
        <v/>
      </c>
      <c r="RB16" s="57" t="str">
        <f t="shared" si="185"/>
        <v/>
      </c>
      <c r="RC16" s="713">
        <f>'org. Düngung 22'!DX15</f>
        <v>0</v>
      </c>
      <c r="RD16" s="57"/>
      <c r="RE16" s="57"/>
      <c r="RF16" s="57">
        <f t="shared" si="186"/>
        <v>0</v>
      </c>
      <c r="RG16" s="57">
        <f t="shared" si="343"/>
        <v>0</v>
      </c>
      <c r="RH16" s="57">
        <f t="shared" si="344"/>
        <v>0</v>
      </c>
      <c r="RI16" s="57">
        <f t="shared" si="345"/>
        <v>0</v>
      </c>
      <c r="RJ16" s="57">
        <f t="shared" si="346"/>
        <v>0</v>
      </c>
      <c r="RK16" s="1029">
        <f t="shared" si="187"/>
        <v>0</v>
      </c>
      <c r="RL16" s="57">
        <f t="shared" si="188"/>
        <v>0</v>
      </c>
      <c r="RM16" s="171" t="str">
        <f t="shared" si="189"/>
        <v/>
      </c>
      <c r="RN16" s="57">
        <f t="shared" si="347"/>
        <v>0</v>
      </c>
      <c r="RO16" s="57">
        <f>IF(OR(AND(RC$6=1,$L16=0),AND(RC$6=2,$K16=2,$G16=1)),0,IF(AND(RE$9=2,(OR($F16&gt;1,$K16=1,AND($L16=80,OR($N16=1,AND($N16=2,'#BerechnungDBE'!$AL7&gt;0)))))),IF(RC$4&gt;=$AD$126,0,RM16),IF(RE$9=3,IF(OR(RC$4&gt;=$AD$127,AND($G16=1,$J16=2,RC$6=2),AND(RC$6=1,$N16&lt;&gt;1)),0,IF(RG16&lt;=120,RM16,IF(RC$4&lt;$AD$124,IF($F16=1,60/RE$4*RE$6,60/RE$4*RE$7),IF($F16=1,120/RE$4*RE$6,120/RE$4*RE$7)))),IF(OR($F16=3,$G16=2),IF(OR(AND(RC$4&gt;=$AD$119,$C16=2),AND(RC$4&gt;=$AF$119,$C16=1)),0,IF(RG16&lt;=60,RM16,60/RE$4*RE$7)),IF(AND($F16=2,$G16=1),RM16,0)))))</f>
        <v>0</v>
      </c>
      <c r="RP16" s="57" t="str">
        <f t="shared" si="190"/>
        <v/>
      </c>
      <c r="RQ16" s="57" t="str">
        <f t="shared" si="191"/>
        <v/>
      </c>
      <c r="RS16" s="57" t="str">
        <f t="shared" si="348"/>
        <v/>
      </c>
      <c r="RT16" s="57" t="str">
        <f t="shared" si="192"/>
        <v/>
      </c>
      <c r="RU16" s="57" t="str">
        <f t="shared" si="193"/>
        <v/>
      </c>
      <c r="RV16" s="57" t="str">
        <f>IF(Z16&gt;'#BerechnungDBE'!BM7,$RV$9,"")</f>
        <v/>
      </c>
      <c r="RW16" s="57" t="str">
        <f>IF(AND(L16=70,AE16&gt;'#BerechnungDBE'!CQ7),$RW$9,"")</f>
        <v/>
      </c>
      <c r="RX16" s="57" t="str">
        <f>IF(OR('org. Düngung 22'!G15="--",'org. Düngung 22'!G15&lt;=170,'org. Düngung 22'!G15=""),"",$RX$9)</f>
        <v/>
      </c>
      <c r="RY16" s="57" t="str">
        <f>IF('org. Düngung 22'!K15&gt;120,'#orgDung'!$RY$9,"")</f>
        <v/>
      </c>
      <c r="RZ16" s="57" t="str">
        <f>IF('#BerechnungDBE'!P7&lt;4,"",IF(AND('#BerechnungDBE'!BZ7&gt;0,T16&gt;0),'#orgDung'!$RZ$9,""))</f>
        <v/>
      </c>
      <c r="SA16" s="57" t="str">
        <f t="shared" si="194"/>
        <v/>
      </c>
    </row>
    <row r="17" spans="1:495" x14ac:dyDescent="0.2">
      <c r="A17" s="683">
        <f>'Flächen u. Kulturen'!A13</f>
        <v>4</v>
      </c>
      <c r="B17" s="367">
        <f>'#BerechnungDBE'!L8</f>
        <v>0</v>
      </c>
      <c r="C17" s="683">
        <f>'#BerechnungDBE'!R8</f>
        <v>1</v>
      </c>
      <c r="D17" s="683">
        <f>'#BerechnungDBE'!T8</f>
        <v>2</v>
      </c>
      <c r="E17" s="683" t="str">
        <f>'Flächen u. Kulturen'!E13</f>
        <v>x</v>
      </c>
      <c r="F17" s="52">
        <f>'#BerechnungDBE'!N8</f>
        <v>1</v>
      </c>
      <c r="G17" s="52">
        <f>'#BerechnungDBE'!O8</f>
        <v>1</v>
      </c>
      <c r="H17" s="683">
        <f>IF('Flächen u. Kulturen'!P13="",0,VLOOKUP('Flächen u. Kulturen'!P13,Kulturen[[HF]:[Berechnungsgruppe]],'#Frucht'!$H$1,FALSE))</f>
        <v>0</v>
      </c>
      <c r="I17" s="683">
        <f>IF('Flächen u. Kulturen'!J13="",0,VLOOKUP('Flächen u. Kulturen'!J13,Kulturen[[HF]:[Berechnungsgruppe]],'#Frucht'!$G$1,FALSE))</f>
        <v>90</v>
      </c>
      <c r="J17" s="505">
        <f t="shared" si="195"/>
        <v>2</v>
      </c>
      <c r="K17" s="505">
        <f>IF('Flächen u. Kulturen'!P13="",0,IF(VLOOKUP('Flächen u. Kulturen'!P13,Kulturen[[HF]:[Saat Winterungen]],'#Frucht'!$P$1,FALSE)&gt;0,1,2))</f>
        <v>2</v>
      </c>
      <c r="L17" s="683">
        <f>'#BerechnungDBE'!AF8</f>
        <v>0</v>
      </c>
      <c r="M17" s="683">
        <f>IF('Flächen u. Kulturen'!L13="",0,VLOOKUP('Flächen u. Kulturen'!L13,Nebenkultur[[Nebenkultur]:[Legum. Zwischenfr.]],'#Zweitfr'!$K$1,FALSE))</f>
        <v>0</v>
      </c>
      <c r="N17" s="683">
        <f>'#BerechnungDBE'!AG8</f>
        <v>0</v>
      </c>
      <c r="P17" s="57">
        <f t="shared" si="0"/>
        <v>0</v>
      </c>
      <c r="Q17" s="57">
        <f t="shared" si="1"/>
        <v>0</v>
      </c>
      <c r="R17">
        <f t="shared" si="2"/>
        <v>0</v>
      </c>
      <c r="S17" s="938" t="str">
        <f t="shared" si="3"/>
        <v/>
      </c>
      <c r="T17" s="683">
        <f t="shared" si="4"/>
        <v>0</v>
      </c>
      <c r="U17">
        <f t="shared" si="5"/>
        <v>0</v>
      </c>
      <c r="V17">
        <f t="shared" si="6"/>
        <v>0</v>
      </c>
      <c r="W17">
        <f t="shared" si="7"/>
        <v>0</v>
      </c>
      <c r="X17">
        <f t="shared" si="8"/>
        <v>0</v>
      </c>
      <c r="Y17" s="691">
        <f>AG17*0.5</f>
        <v>0</v>
      </c>
      <c r="Z17">
        <f>W17+X17+Y17</f>
        <v>0</v>
      </c>
      <c r="AA17" s="910">
        <f t="shared" si="9"/>
        <v>0</v>
      </c>
      <c r="AB17" s="57">
        <f>IF(U17+AG17=0,0,(Z17+W17)/(U17+AG17))</f>
        <v>0</v>
      </c>
      <c r="AC17">
        <f t="shared" si="10"/>
        <v>0</v>
      </c>
      <c r="AD17" s="683">
        <f t="shared" si="11"/>
        <v>0</v>
      </c>
      <c r="AE17" s="691">
        <f t="shared" si="12"/>
        <v>0</v>
      </c>
      <c r="AF17" s="836">
        <f>IF(AC17=0,0,AE17/AC17)</f>
        <v>0</v>
      </c>
      <c r="AG17">
        <f>'org. Düngung 22'!J16</f>
        <v>0</v>
      </c>
      <c r="AH17">
        <f>'org. Düngung 22'!K16</f>
        <v>0</v>
      </c>
      <c r="AI17" s="683"/>
      <c r="AJ17" s="713">
        <f>'org. Düngung 22'!L16</f>
        <v>0</v>
      </c>
      <c r="AK17" s="57"/>
      <c r="AL17" s="57"/>
      <c r="AM17" s="57">
        <f t="shared" si="196"/>
        <v>0</v>
      </c>
      <c r="AN17" s="57">
        <f t="shared" si="197"/>
        <v>0</v>
      </c>
      <c r="AO17" s="57">
        <f t="shared" si="198"/>
        <v>0</v>
      </c>
      <c r="AP17" s="57">
        <f t="shared" si="199"/>
        <v>0</v>
      </c>
      <c r="AQ17" s="57">
        <f t="shared" si="200"/>
        <v>0</v>
      </c>
      <c r="AR17" s="1029">
        <f t="shared" si="14"/>
        <v>0</v>
      </c>
      <c r="AS17" s="57">
        <f t="shared" si="15"/>
        <v>0</v>
      </c>
      <c r="AT17" s="171" t="str">
        <f t="shared" si="16"/>
        <v/>
      </c>
      <c r="AU17" s="57">
        <f t="shared" si="201"/>
        <v>0</v>
      </c>
      <c r="AV17" s="57">
        <f>IF(OR(AND(AJ$6=1,$L17=0),AND(AJ$6=2,$K17=2,$G17=1)),0,IF(AND(AL$9=2,(OR($F17&gt;1,$K17=1,AND($L17=80,OR($N17=1,AND($N17=2,'#BerechnungDBE'!$AL8&gt;0)))))),IF(AJ$4&gt;=$AD$126,0,AT17),IF(AL$9=3,IF(OR(AJ$4&gt;=$AD$127,AND($G17=1,$J17=2,AJ$6=2),AND(AJ$6=1,$N17&lt;&gt;1)),0,IF(AN17&lt;=120,AT17,IF(AJ$4&lt;$AD$124,IF($F17=1,60/AL$4*AL$6,60/AL$4*AL$7),IF($F17=1,120/AL$4*AL$6,120/AL$4*AL$7)))),IF(OR($F17=3,$G17=2),IF(OR(AND(AJ$4&gt;=$AD$119,$C17=2),AND(AJ$4&gt;=$AF$119,$C17=1)),0,IF(AN17&lt;=60,AT17,60/AL$4*AL$7)),IF(AND($F17=2,$G17=1),AT17,0)))))</f>
        <v>0</v>
      </c>
      <c r="AW17" s="57" t="str">
        <f t="shared" si="202"/>
        <v/>
      </c>
      <c r="AX17" s="57" t="str">
        <f t="shared" si="17"/>
        <v/>
      </c>
      <c r="AY17" s="713">
        <f>'org. Düngung 22'!P16</f>
        <v>0</v>
      </c>
      <c r="AZ17" s="57"/>
      <c r="BA17" s="57"/>
      <c r="BB17" s="57">
        <f t="shared" si="18"/>
        <v>0</v>
      </c>
      <c r="BC17" s="57">
        <f t="shared" si="203"/>
        <v>0</v>
      </c>
      <c r="BD17" s="57">
        <f t="shared" si="204"/>
        <v>0</v>
      </c>
      <c r="BE17" s="57">
        <f t="shared" si="205"/>
        <v>0</v>
      </c>
      <c r="BF17" s="57">
        <f t="shared" si="206"/>
        <v>0</v>
      </c>
      <c r="BG17" s="1029">
        <f t="shared" si="19"/>
        <v>0</v>
      </c>
      <c r="BH17" s="57">
        <f t="shared" si="20"/>
        <v>0</v>
      </c>
      <c r="BI17" s="171" t="str">
        <f t="shared" si="21"/>
        <v/>
      </c>
      <c r="BJ17" s="57">
        <f t="shared" si="207"/>
        <v>0</v>
      </c>
      <c r="BK17" s="57">
        <f>IF(OR(AND(AY$6=1,$L17=0),AND(AY$6=2,$K17=2,$G17=1)),0,IF(AND(BA$9=2,(OR($F17&gt;1,$K17=1,AND($L17=80,OR($N17=1,AND($N17=2,'#BerechnungDBE'!$AL8&gt;0)))))),IF(AY$4&gt;=$AD$126,0,BI17),IF(BA$9=3,IF(OR(AY$4&gt;=$AD$127,AND($G17=1,$J17=2,AY$6=2),AND(AY$6=1,$N17&lt;&gt;1)),0,IF(BC17&lt;=120,BI17,IF(AY$4&lt;$AD$124,IF($F17=1,60/BA$4*BA$6,60/BA$4*BA$7),IF($F17=1,120/BA$4*BA$6,120/BA$4*BA$7)))),IF(OR($F17=3,$G17=2),IF(OR(AND(AY$4&gt;=$AD$119,$C17=2),AND(AY$4&gt;=$AF$119,$C17=1)),0,IF(BC17&lt;=60,BI17,60/BA$4*BA$7)),IF(AND($F17=2,$G17=1),BI17,0)))))</f>
        <v>0</v>
      </c>
      <c r="BL17" s="57" t="str">
        <f t="shared" si="22"/>
        <v/>
      </c>
      <c r="BM17" s="57" t="str">
        <f t="shared" si="23"/>
        <v/>
      </c>
      <c r="BN17" s="713">
        <f>'org. Düngung 22'!T16</f>
        <v>0</v>
      </c>
      <c r="BO17" s="57"/>
      <c r="BP17" s="57"/>
      <c r="BQ17" s="57">
        <f t="shared" si="24"/>
        <v>0</v>
      </c>
      <c r="BR17" s="57">
        <f t="shared" si="208"/>
        <v>0</v>
      </c>
      <c r="BS17" s="57">
        <f t="shared" si="209"/>
        <v>0</v>
      </c>
      <c r="BT17" s="57">
        <f t="shared" si="210"/>
        <v>0</v>
      </c>
      <c r="BU17" s="57">
        <f t="shared" si="211"/>
        <v>0</v>
      </c>
      <c r="BV17" s="1029">
        <f t="shared" si="25"/>
        <v>0</v>
      </c>
      <c r="BW17" s="57">
        <f t="shared" si="26"/>
        <v>0</v>
      </c>
      <c r="BX17" s="171" t="str">
        <f t="shared" si="27"/>
        <v/>
      </c>
      <c r="BY17" s="57">
        <f t="shared" si="212"/>
        <v>0</v>
      </c>
      <c r="BZ17" s="57">
        <f>IF(OR(AND(BN$6=1,$L17=0),AND(BN$6=2,$K17=2,$G17=1)),0,IF(AND(BP$9=2,(OR($F17&gt;1,$K17=1,AND($L17=80,OR($N17=1,AND($N17=2,'#BerechnungDBE'!$AL8&gt;0)))))),IF(BN$4&gt;=$AD$126,0,BX17),IF(BP$9=3,IF(OR(BN$4&gt;=$AD$127,AND($G17=1,$J17=2,BN$6=2),AND(BN$6=1,$N17&lt;&gt;1)),0,IF(BR17&lt;=120,BX17,IF(BN$4&lt;$AD$124,IF($F17=1,60/BP$4*BP$6,60/BP$4*BP$7),IF($F17=1,120/BP$4*BP$6,120/BP$4*BP$7)))),IF(OR($F17=3,$G17=2),IF(OR(AND(BN$4&gt;=$AD$119,$C17=2),AND(BN$4&gt;=$AF$119,$C17=1)),0,IF(BR17&lt;=60,BX17,60/BP$4*BP$7)),IF(AND($F17=2,$G17=1),BX17,0)))))</f>
        <v>0</v>
      </c>
      <c r="CA17" s="57" t="str">
        <f t="shared" si="28"/>
        <v/>
      </c>
      <c r="CB17" s="57" t="str">
        <f t="shared" si="29"/>
        <v/>
      </c>
      <c r="CC17" s="713">
        <f>'org. Düngung 22'!X16</f>
        <v>0</v>
      </c>
      <c r="CD17" s="57"/>
      <c r="CE17" s="57"/>
      <c r="CF17" s="57">
        <f t="shared" si="30"/>
        <v>0</v>
      </c>
      <c r="CG17" s="57">
        <f t="shared" si="213"/>
        <v>0</v>
      </c>
      <c r="CH17" s="57">
        <f t="shared" si="214"/>
        <v>0</v>
      </c>
      <c r="CI17" s="57">
        <f t="shared" si="215"/>
        <v>0</v>
      </c>
      <c r="CJ17" s="57">
        <f t="shared" si="216"/>
        <v>0</v>
      </c>
      <c r="CK17" s="1029">
        <f t="shared" si="31"/>
        <v>0</v>
      </c>
      <c r="CL17" s="57">
        <f t="shared" si="32"/>
        <v>0</v>
      </c>
      <c r="CM17" s="171" t="str">
        <f t="shared" si="33"/>
        <v/>
      </c>
      <c r="CN17" s="57">
        <f t="shared" si="217"/>
        <v>0</v>
      </c>
      <c r="CO17" s="57">
        <f>IF(OR(AND(CC$6=1,$L17=0),AND(CC$6=2,$K17=2,$G17=1)),0,IF(AND(CE$9=2,(OR($F17&gt;1,$K17=1,AND($L17=80,OR($N17=1,AND($N17=2,'#BerechnungDBE'!$AL8&gt;0)))))),IF(CC$4&gt;=$AD$126,0,CM17),IF(CE$9=3,IF(OR(CC$4&gt;=$AD$127,AND($G17=1,$J17=2,CC$6=2),AND(CC$6=1,$N17&lt;&gt;1)),0,IF(CG17&lt;=120,CM17,IF(CC$4&lt;$AD$124,IF($F17=1,60/CE$4*CE$6,60/CE$4*CE$7),IF($F17=1,120/CE$4*CE$6,120/CE$4*CE$7)))),IF(OR($F17=3,$G17=2),IF(OR(AND(CC$4&gt;=$AD$119,$C17=2),AND(CC$4&gt;=$AF$119,$C17=1)),0,IF(CG17&lt;=60,CM17,60/CE$4*CE$7)),IF(AND($F17=2,$G17=1),CM17,0)))))</f>
        <v>0</v>
      </c>
      <c r="CP17" s="57" t="str">
        <f t="shared" si="34"/>
        <v/>
      </c>
      <c r="CQ17" s="57" t="str">
        <f t="shared" si="35"/>
        <v/>
      </c>
      <c r="CR17" s="713">
        <f>'org. Düngung 22'!AB16</f>
        <v>0</v>
      </c>
      <c r="CS17" s="57"/>
      <c r="CT17" s="57"/>
      <c r="CU17" s="57">
        <f t="shared" si="36"/>
        <v>0</v>
      </c>
      <c r="CV17" s="57">
        <f t="shared" si="218"/>
        <v>0</v>
      </c>
      <c r="CW17" s="57">
        <f t="shared" si="219"/>
        <v>0</v>
      </c>
      <c r="CX17" s="57">
        <f t="shared" si="220"/>
        <v>0</v>
      </c>
      <c r="CY17" s="57">
        <f t="shared" si="221"/>
        <v>0</v>
      </c>
      <c r="CZ17" s="1029">
        <f t="shared" si="37"/>
        <v>0</v>
      </c>
      <c r="DA17" s="57">
        <f t="shared" si="38"/>
        <v>0</v>
      </c>
      <c r="DB17" s="171" t="str">
        <f t="shared" si="39"/>
        <v/>
      </c>
      <c r="DC17" s="57">
        <f t="shared" si="222"/>
        <v>0</v>
      </c>
      <c r="DD17" s="57">
        <f>IF(OR(AND(CR$6=1,$L17=0),AND(CR$6=2,$K17=2,$G17=1)),0,IF(AND(CT$9=2,(OR($F17&gt;1,$K17=1,AND($L17=80,OR($N17=1,AND($N17=2,'#BerechnungDBE'!$AL8&gt;0)))))),IF(CR$4&gt;=$AD$126,0,DB17),IF(CT$9=3,IF(OR(CR$4&gt;=$AD$127,AND($G17=1,$J17=2,CR$6=2),AND(CR$6=1,$N17&lt;&gt;1)),0,IF(CV17&lt;=120,DB17,IF(CR$4&lt;$AD$124,IF($F17=1,60/CT$4*CT$6,60/CT$4*CT$7),IF($F17=1,120/CT$4*CT$6,120/CT$4*CT$7)))),IF(OR($F17=3,$G17=2),IF(OR(AND(CR$4&gt;=$AD$119,$C17=2),AND(CR$4&gt;=$AF$119,$C17=1)),0,IF(CV17&lt;=60,DB17,60/CT$4*CT$7)),IF(AND($F17=2,$G17=1),DB17,0)))))</f>
        <v>0</v>
      </c>
      <c r="DE17" s="57" t="str">
        <f t="shared" si="40"/>
        <v/>
      </c>
      <c r="DF17" s="57" t="str">
        <f t="shared" si="41"/>
        <v/>
      </c>
      <c r="DG17" s="713">
        <f>'org. Düngung 22'!AF16</f>
        <v>0</v>
      </c>
      <c r="DH17" s="57"/>
      <c r="DI17" s="57"/>
      <c r="DJ17" s="57">
        <f t="shared" si="42"/>
        <v>0</v>
      </c>
      <c r="DK17" s="57">
        <f t="shared" si="223"/>
        <v>0</v>
      </c>
      <c r="DL17" s="57">
        <f t="shared" si="224"/>
        <v>0</v>
      </c>
      <c r="DM17" s="57">
        <f t="shared" si="225"/>
        <v>0</v>
      </c>
      <c r="DN17" s="57">
        <f t="shared" si="226"/>
        <v>0</v>
      </c>
      <c r="DO17" s="1029">
        <f t="shared" si="43"/>
        <v>0</v>
      </c>
      <c r="DP17" s="57">
        <f t="shared" si="44"/>
        <v>0</v>
      </c>
      <c r="DQ17" s="171" t="str">
        <f t="shared" si="45"/>
        <v/>
      </c>
      <c r="DR17" s="57">
        <f t="shared" si="227"/>
        <v>0</v>
      </c>
      <c r="DS17" s="57">
        <f>IF(OR(AND(DG$6=1,$L17=0),AND(DG$6=2,$K17=2,$G17=1)),0,IF(AND(DI$9=2,(OR($F17&gt;1,$K17=1,AND($L17=80,OR($N17=1,AND($N17=2,'#BerechnungDBE'!$AL8&gt;0)))))),IF(DG$4&gt;=$AD$126,0,DQ17),IF(DI$9=3,IF(OR(DG$4&gt;=$AD$127,AND($G17=1,$J17=2,DG$6=2),AND(DG$6=1,$N17&lt;&gt;1)),0,IF(DK17&lt;=120,DQ17,IF(DG$4&lt;$AD$124,IF($F17=1,60/DI$4*DI$6,60/DI$4*DI$7),IF($F17=1,120/DI$4*DI$6,120/DI$4*DI$7)))),IF(OR($F17=3,$G17=2),IF(OR(AND(DG$4&gt;=$AD$119,$C17=2),AND(DG$4&gt;=$AF$119,$C17=1)),0,IF(DK17&lt;=60,DQ17,60/DI$4*DI$7)),IF(AND($F17=2,$G17=1),DQ17,0)))))</f>
        <v>0</v>
      </c>
      <c r="DT17" s="57" t="str">
        <f t="shared" si="46"/>
        <v/>
      </c>
      <c r="DU17" s="57" t="str">
        <f t="shared" si="47"/>
        <v/>
      </c>
      <c r="DV17" s="713">
        <f>'org. Düngung 22'!AJ16</f>
        <v>0</v>
      </c>
      <c r="DW17" s="57"/>
      <c r="DX17" s="57"/>
      <c r="DY17" s="57">
        <f t="shared" si="48"/>
        <v>0</v>
      </c>
      <c r="DZ17" s="57">
        <f t="shared" si="228"/>
        <v>0</v>
      </c>
      <c r="EA17" s="57">
        <f t="shared" si="229"/>
        <v>0</v>
      </c>
      <c r="EB17" s="57">
        <f t="shared" si="230"/>
        <v>0</v>
      </c>
      <c r="EC17" s="57">
        <f t="shared" si="231"/>
        <v>0</v>
      </c>
      <c r="ED17" s="1029">
        <f t="shared" si="49"/>
        <v>0</v>
      </c>
      <c r="EE17" s="57">
        <f t="shared" si="50"/>
        <v>0</v>
      </c>
      <c r="EF17" s="171" t="str">
        <f t="shared" si="51"/>
        <v/>
      </c>
      <c r="EG17" s="57">
        <f t="shared" si="232"/>
        <v>0</v>
      </c>
      <c r="EH17" s="57">
        <f>IF(OR(AND(DV$6=1,$L17=0),AND(DV$6=2,$K17=2,$G17=1)),0,IF(AND(DX$9=2,(OR($F17&gt;1,$K17=1,AND($L17=80,OR($N17=1,AND($N17=2,'#BerechnungDBE'!$AL8&gt;0)))))),IF(DV$4&gt;=$AD$126,0,EF17),IF(DX$9=3,IF(OR(DV$4&gt;=$AD$127,AND($G17=1,$J17=2,DV$6=2),AND(DV$6=1,$N17&lt;&gt;1)),0,IF(DZ17&lt;=120,EF17,IF(DV$4&lt;$AD$124,IF($F17=1,60/DX$4*DX$6,60/DX$4*DX$7),IF($F17=1,120/DX$4*DX$6,120/DX$4*DX$7)))),IF(OR($F17=3,$G17=2),IF(OR(AND(DV$4&gt;=$AD$119,$C17=2),AND(DV$4&gt;=$AF$119,$C17=1)),0,IF(DZ17&lt;=60,EF17,60/DX$4*DX$7)),IF(AND($F17=2,$G17=1),EF17,0)))))</f>
        <v>0</v>
      </c>
      <c r="EI17" s="57" t="str">
        <f t="shared" si="52"/>
        <v/>
      </c>
      <c r="EJ17" s="57" t="str">
        <f t="shared" si="53"/>
        <v/>
      </c>
      <c r="EK17" s="713">
        <f>'org. Düngung 22'!AN16</f>
        <v>0</v>
      </c>
      <c r="EL17" s="57"/>
      <c r="EM17" s="57"/>
      <c r="EN17" s="57">
        <f t="shared" si="54"/>
        <v>0</v>
      </c>
      <c r="EO17" s="57">
        <f t="shared" si="233"/>
        <v>0</v>
      </c>
      <c r="EP17" s="57">
        <f t="shared" si="234"/>
        <v>0</v>
      </c>
      <c r="EQ17" s="57">
        <f t="shared" si="235"/>
        <v>0</v>
      </c>
      <c r="ER17" s="57">
        <f t="shared" si="236"/>
        <v>0</v>
      </c>
      <c r="ES17" s="1029">
        <f t="shared" si="55"/>
        <v>0</v>
      </c>
      <c r="ET17" s="57">
        <f t="shared" si="56"/>
        <v>0</v>
      </c>
      <c r="EU17" s="171" t="str">
        <f t="shared" si="57"/>
        <v/>
      </c>
      <c r="EV17" s="57">
        <f t="shared" si="237"/>
        <v>0</v>
      </c>
      <c r="EW17" s="57">
        <f>IF(OR(AND(EK$6=1,$L17=0),AND(EK$6=2,$K17=2,$G17=1)),0,IF(AND(EM$9=2,(OR($F17&gt;1,$K17=1,AND($L17=80,OR($N17=1,AND($N17=2,'#BerechnungDBE'!$AL8&gt;0)))))),IF(EK$4&gt;=$AD$126,0,EU17),IF(EM$9=3,IF(OR(EK$4&gt;=$AD$127,AND($G17=1,$J17=2,EK$6=2),AND(EK$6=1,$N17&lt;&gt;1)),0,IF(EO17&lt;=120,EU17,IF(EK$4&lt;$AD$124,IF($F17=1,60/EM$4*EM$6,60/EM$4*EM$7),IF($F17=1,120/EM$4*EM$6,120/EM$4*EM$7)))),IF(OR($F17=3,$G17=2),IF(OR(AND(EK$4&gt;=$AD$119,$C17=2),AND(EK$4&gt;=$AF$119,$C17=1)),0,IF(EO17&lt;=60,EU17,60/EM$4*EM$7)),IF(AND($F17=2,$G17=1),EU17,0)))))</f>
        <v>0</v>
      </c>
      <c r="EX17" s="57" t="str">
        <f t="shared" si="58"/>
        <v/>
      </c>
      <c r="EY17" s="57" t="str">
        <f t="shared" si="59"/>
        <v/>
      </c>
      <c r="EZ17" s="713">
        <f>'org. Düngung 22'!AR16</f>
        <v>0</v>
      </c>
      <c r="FA17" s="57"/>
      <c r="FB17" s="57"/>
      <c r="FC17" s="57">
        <f t="shared" si="60"/>
        <v>0</v>
      </c>
      <c r="FD17" s="57">
        <f t="shared" si="238"/>
        <v>0</v>
      </c>
      <c r="FE17" s="57">
        <f t="shared" si="239"/>
        <v>0</v>
      </c>
      <c r="FF17" s="57">
        <f t="shared" si="240"/>
        <v>0</v>
      </c>
      <c r="FG17" s="57">
        <f t="shared" si="241"/>
        <v>0</v>
      </c>
      <c r="FH17" s="1029">
        <f t="shared" si="61"/>
        <v>0</v>
      </c>
      <c r="FI17" s="57">
        <f t="shared" si="62"/>
        <v>0</v>
      </c>
      <c r="FJ17" s="171" t="str">
        <f t="shared" si="63"/>
        <v/>
      </c>
      <c r="FK17" s="57">
        <f t="shared" si="242"/>
        <v>0</v>
      </c>
      <c r="FL17" s="57">
        <f>IF(OR(AND(EZ$6=1,$L17=0),AND(EZ$6=2,$K17=2,$G17=1)),0,IF(AND(FB$9=2,(OR($F17&gt;1,$K17=1,AND($L17=80,OR($N17=1,AND($N17=2,'#BerechnungDBE'!$AL8&gt;0)))))),IF(EZ$4&gt;=$AD$126,0,FJ17),IF(FB$9=3,IF(OR(EZ$4&gt;=$AD$127,AND($G17=1,$J17=2,EZ$6=2),AND(EZ$6=1,$N17&lt;&gt;1)),0,IF(FD17&lt;=120,FJ17,IF(EZ$4&lt;$AD$124,IF($F17=1,60/FB$4*FB$6,60/FB$4*FB$7),IF($F17=1,120/FB$4*FB$6,120/FB$4*FB$7)))),IF(OR($F17=3,$G17=2),IF(OR(AND(EZ$4&gt;=$AD$119,$C17=2),AND(EZ$4&gt;=$AF$119,$C17=1)),0,IF(FD17&lt;=60,FJ17,60/FB$4*FB$7)),IF(AND($F17=2,$G17=1),FJ17,0)))))</f>
        <v>0</v>
      </c>
      <c r="FM17" s="57" t="str">
        <f t="shared" si="64"/>
        <v/>
      </c>
      <c r="FN17" s="57" t="str">
        <f t="shared" si="65"/>
        <v/>
      </c>
      <c r="FO17" s="713">
        <f>'org. Düngung 22'!AV16</f>
        <v>0</v>
      </c>
      <c r="FP17" s="57"/>
      <c r="FQ17" s="57"/>
      <c r="FR17" s="57">
        <f t="shared" si="66"/>
        <v>0</v>
      </c>
      <c r="FS17" s="57">
        <f t="shared" si="243"/>
        <v>0</v>
      </c>
      <c r="FT17" s="57">
        <f t="shared" si="244"/>
        <v>0</v>
      </c>
      <c r="FU17" s="57">
        <f t="shared" si="245"/>
        <v>0</v>
      </c>
      <c r="FV17" s="57">
        <f t="shared" si="246"/>
        <v>0</v>
      </c>
      <c r="FW17" s="1029">
        <f t="shared" si="67"/>
        <v>0</v>
      </c>
      <c r="FX17" s="57">
        <f t="shared" si="68"/>
        <v>0</v>
      </c>
      <c r="FY17" s="171" t="str">
        <f t="shared" si="69"/>
        <v/>
      </c>
      <c r="FZ17" s="57">
        <f t="shared" si="247"/>
        <v>0</v>
      </c>
      <c r="GA17" s="57">
        <f>IF(OR(AND(FO$6=1,$L17=0),AND(FO$6=2,$K17=2,$G17=1)),0,IF(AND(FQ$9=2,(OR($F17&gt;1,$K17=1,AND($L17=80,OR($N17=1,AND($N17=2,'#BerechnungDBE'!$AL8&gt;0)))))),IF(FO$4&gt;=$AD$126,0,FY17),IF(FQ$9=3,IF(OR(FO$4&gt;=$AD$127,AND($G17=1,$J17=2,FO$6=2),AND(FO$6=1,$N17&lt;&gt;1)),0,IF(FS17&lt;=120,FY17,IF(FO$4&lt;$AD$124,IF($F17=1,60/FQ$4*FQ$6,60/FQ$4*FQ$7),IF($F17=1,120/FQ$4*FQ$6,120/FQ$4*FQ$7)))),IF(OR($F17=3,$G17=2),IF(OR(AND(FO$4&gt;=$AD$119,$C17=2),AND(FO$4&gt;=$AF$119,$C17=1)),0,IF(FS17&lt;=60,FY17,60/FQ$4*FQ$7)),IF(AND($F17=2,$G17=1),FY17,0)))))</f>
        <v>0</v>
      </c>
      <c r="GB17" s="57" t="str">
        <f t="shared" si="70"/>
        <v/>
      </c>
      <c r="GC17" s="57" t="str">
        <f t="shared" si="71"/>
        <v/>
      </c>
      <c r="GD17" s="713">
        <f>'org. Düngung 22'!AZ16</f>
        <v>0</v>
      </c>
      <c r="GE17" s="57"/>
      <c r="GF17" s="57"/>
      <c r="GG17" s="57">
        <f t="shared" si="72"/>
        <v>0</v>
      </c>
      <c r="GH17" s="57">
        <f t="shared" si="248"/>
        <v>0</v>
      </c>
      <c r="GI17" s="57">
        <f t="shared" si="249"/>
        <v>0</v>
      </c>
      <c r="GJ17" s="57">
        <f t="shared" si="250"/>
        <v>0</v>
      </c>
      <c r="GK17" s="57">
        <f t="shared" si="251"/>
        <v>0</v>
      </c>
      <c r="GL17" s="1029">
        <f t="shared" si="73"/>
        <v>0</v>
      </c>
      <c r="GM17" s="57">
        <f t="shared" si="74"/>
        <v>0</v>
      </c>
      <c r="GN17" s="171" t="str">
        <f t="shared" si="75"/>
        <v/>
      </c>
      <c r="GO17" s="57">
        <f t="shared" si="252"/>
        <v>0</v>
      </c>
      <c r="GP17" s="57">
        <f>IF(OR(AND(GD$6=1,$L17=0),AND(GD$6=2,$K17=2,$G17=1)),0,IF(AND(GF$9=2,(OR($F17&gt;1,$K17=1,AND($L17=80,OR($N17=1,AND($N17=2,'#BerechnungDBE'!$AL8&gt;0)))))),IF(GD$4&gt;=$AD$126,0,GN17),IF(GF$9=3,IF(OR(GD$4&gt;=$AD$127,AND($G17=1,$J17=2,GD$6=2),AND(GD$6=1,$N17&lt;&gt;1)),0,IF(GH17&lt;=120,GN17,IF(GD$4&lt;$AD$124,IF($F17=1,60/GF$4*GF$6,60/GF$4*GF$7),IF($F17=1,120/GF$4*GF$6,120/GF$4*GF$7)))),IF(OR($F17=3,$G17=2),IF(OR(AND(GD$4&gt;=$AD$119,$C17=2),AND(GD$4&gt;=$AF$119,$C17=1)),0,IF(GH17&lt;=60,GN17,60/GF$4*GF$7)),IF(AND($F17=2,$G17=1),GN17,0)))))</f>
        <v>0</v>
      </c>
      <c r="GQ17" s="57" t="str">
        <f t="shared" si="76"/>
        <v/>
      </c>
      <c r="GR17" s="57" t="str">
        <f t="shared" si="77"/>
        <v/>
      </c>
      <c r="GS17" s="713">
        <f>'org. Düngung 22'!BD16</f>
        <v>0</v>
      </c>
      <c r="GT17" s="57"/>
      <c r="GU17" s="57"/>
      <c r="GV17" s="57">
        <f t="shared" si="78"/>
        <v>0</v>
      </c>
      <c r="GW17" s="57">
        <f t="shared" si="253"/>
        <v>0</v>
      </c>
      <c r="GX17" s="57">
        <f t="shared" si="254"/>
        <v>0</v>
      </c>
      <c r="GY17" s="57">
        <f t="shared" si="255"/>
        <v>0</v>
      </c>
      <c r="GZ17" s="57">
        <f t="shared" si="256"/>
        <v>0</v>
      </c>
      <c r="HA17" s="1029">
        <f t="shared" si="79"/>
        <v>0</v>
      </c>
      <c r="HB17" s="57">
        <f t="shared" si="80"/>
        <v>0</v>
      </c>
      <c r="HC17" s="171" t="str">
        <f t="shared" si="81"/>
        <v/>
      </c>
      <c r="HD17" s="57">
        <f t="shared" si="257"/>
        <v>0</v>
      </c>
      <c r="HE17" s="57">
        <f>IF(OR(AND(GS$6=1,$L17=0),AND(GS$6=2,$K17=2,$G17=1)),0,IF(AND(GU$9=2,(OR($F17&gt;1,$K17=1,AND($L17=80,OR($N17=1,AND($N17=2,'#BerechnungDBE'!$AL8&gt;0)))))),IF(GS$4&gt;=$AD$126,0,HC17),IF(GU$9=3,IF(OR(GS$4&gt;=$AD$127,AND($G17=1,$J17=2,GS$6=2),AND(GS$6=1,$N17&lt;&gt;1)),0,IF(GW17&lt;=120,HC17,IF(GS$4&lt;$AD$124,IF($F17=1,60/GU$4*GU$6,60/GU$4*GU$7),IF($F17=1,120/GU$4*GU$6,120/GU$4*GU$7)))),IF(OR($F17=3,$G17=2),IF(OR(AND(GS$4&gt;=$AD$119,$C17=2),AND(GS$4&gt;=$AF$119,$C17=1)),0,IF(GW17&lt;=60,HC17,60/GU$4*GU$7)),IF(AND($F17=2,$G17=1),HC17,0)))))</f>
        <v>0</v>
      </c>
      <c r="HF17" s="57" t="str">
        <f t="shared" si="82"/>
        <v/>
      </c>
      <c r="HG17" s="57" t="str">
        <f t="shared" si="83"/>
        <v/>
      </c>
      <c r="HH17" s="713">
        <f>'org. Düngung 22'!BH16</f>
        <v>0</v>
      </c>
      <c r="HI17" s="57"/>
      <c r="HJ17" s="57"/>
      <c r="HK17" s="57">
        <f t="shared" si="84"/>
        <v>0</v>
      </c>
      <c r="HL17" s="57">
        <f t="shared" si="258"/>
        <v>0</v>
      </c>
      <c r="HM17" s="57">
        <f t="shared" si="259"/>
        <v>0</v>
      </c>
      <c r="HN17" s="57">
        <f t="shared" si="260"/>
        <v>0</v>
      </c>
      <c r="HO17" s="57">
        <f t="shared" si="261"/>
        <v>0</v>
      </c>
      <c r="HP17" s="1029">
        <f t="shared" si="85"/>
        <v>0</v>
      </c>
      <c r="HQ17" s="57">
        <f t="shared" si="86"/>
        <v>0</v>
      </c>
      <c r="HR17" s="171" t="str">
        <f t="shared" si="87"/>
        <v/>
      </c>
      <c r="HS17" s="57">
        <f t="shared" si="262"/>
        <v>0</v>
      </c>
      <c r="HT17" s="57">
        <f>IF(OR(AND(HH$6=1,$L17=0),AND(HH$6=2,$K17=2,$G17=1)),0,IF(AND(HJ$9=2,(OR($F17&gt;1,$K17=1,AND($L17=80,OR($N17=1,AND($N17=2,'#BerechnungDBE'!$AL8&gt;0)))))),IF(HH$4&gt;=$AD$126,0,HR17),IF(HJ$9=3,IF(OR(HH$4&gt;=$AD$127,AND($G17=1,$J17=2,HH$6=2),AND(HH$6=1,$N17&lt;&gt;1)),0,IF(HL17&lt;=120,HR17,IF(HH$4&lt;$AD$124,IF($F17=1,60/HJ$4*HJ$6,60/HJ$4*HJ$7),IF($F17=1,120/HJ$4*HJ$6,120/HJ$4*HJ$7)))),IF(OR($F17=3,$G17=2),IF(OR(AND(HH$4&gt;=$AD$119,$C17=2),AND(HH$4&gt;=$AF$119,$C17=1)),0,IF(HL17&lt;=60,HR17,60/HJ$4*HJ$7)),IF(AND($F17=2,$G17=1),HR17,0)))))</f>
        <v>0</v>
      </c>
      <c r="HU17" s="57" t="str">
        <f t="shared" si="88"/>
        <v/>
      </c>
      <c r="HV17" s="57" t="str">
        <f t="shared" si="89"/>
        <v/>
      </c>
      <c r="HW17" s="713">
        <f>'org. Düngung 22'!BL16</f>
        <v>0</v>
      </c>
      <c r="HX17" s="57"/>
      <c r="HY17" s="57"/>
      <c r="HZ17" s="57">
        <f t="shared" si="90"/>
        <v>0</v>
      </c>
      <c r="IA17" s="57">
        <f t="shared" si="263"/>
        <v>0</v>
      </c>
      <c r="IB17" s="57">
        <f t="shared" si="264"/>
        <v>0</v>
      </c>
      <c r="IC17" s="57">
        <f t="shared" si="265"/>
        <v>0</v>
      </c>
      <c r="ID17" s="57">
        <f t="shared" si="266"/>
        <v>0</v>
      </c>
      <c r="IE17" s="1029">
        <f t="shared" si="91"/>
        <v>0</v>
      </c>
      <c r="IF17" s="57">
        <f t="shared" si="92"/>
        <v>0</v>
      </c>
      <c r="IG17" s="171" t="str">
        <f t="shared" si="93"/>
        <v/>
      </c>
      <c r="IH17" s="57">
        <f t="shared" si="267"/>
        <v>0</v>
      </c>
      <c r="II17" s="57">
        <f>IF(OR(AND(HW$6=1,$L17=0),AND(HW$6=2,$K17=2,$G17=1)),0,IF(AND(HY$9=2,(OR($F17&gt;1,$K17=1,AND($L17=80,OR($N17=1,AND($N17=2,'#BerechnungDBE'!$AL8&gt;0)))))),IF(HW$4&gt;=$AD$126,0,IG17),IF(HY$9=3,IF(OR(HW$4&gt;=$AD$127,AND($G17=1,$J17=2,HW$6=2),AND(HW$6=1,$N17&lt;&gt;1)),0,IF(IA17&lt;=120,IG17,IF(HW$4&lt;$AD$124,IF($F17=1,60/HY$4*HY$6,60/HY$4*HY$7),IF($F17=1,120/HY$4*HY$6,120/HY$4*HY$7)))),IF(OR($F17=3,$G17=2),IF(OR(AND(HW$4&gt;=$AD$119,$C17=2),AND(HW$4&gt;=$AF$119,$C17=1)),0,IF(IA17&lt;=60,IG17,60/HY$4*HY$7)),IF(AND($F17=2,$G17=1),IG17,0)))))</f>
        <v>0</v>
      </c>
      <c r="IJ17" s="57" t="str">
        <f t="shared" si="94"/>
        <v/>
      </c>
      <c r="IK17" s="57" t="str">
        <f t="shared" si="95"/>
        <v/>
      </c>
      <c r="IL17" s="713">
        <f>'org. Düngung 22'!BP16</f>
        <v>0</v>
      </c>
      <c r="IM17" s="57"/>
      <c r="IN17" s="57"/>
      <c r="IO17" s="57">
        <f t="shared" si="96"/>
        <v>0</v>
      </c>
      <c r="IP17" s="57">
        <f t="shared" si="268"/>
        <v>0</v>
      </c>
      <c r="IQ17" s="57">
        <f t="shared" si="269"/>
        <v>0</v>
      </c>
      <c r="IR17" s="57">
        <f t="shared" si="270"/>
        <v>0</v>
      </c>
      <c r="IS17" s="57">
        <f t="shared" si="271"/>
        <v>0</v>
      </c>
      <c r="IT17" s="1029">
        <f t="shared" si="97"/>
        <v>0</v>
      </c>
      <c r="IU17" s="57">
        <f t="shared" si="98"/>
        <v>0</v>
      </c>
      <c r="IV17" s="171" t="str">
        <f t="shared" si="99"/>
        <v/>
      </c>
      <c r="IW17" s="57">
        <f t="shared" si="272"/>
        <v>0</v>
      </c>
      <c r="IX17" s="57">
        <f>IF(OR(AND(IL$6=1,$L17=0),AND(IL$6=2,$K17=2,$G17=1)),0,IF(AND(IN$9=2,(OR($F17&gt;1,$K17=1,AND($L17=80,OR($N17=1,AND($N17=2,'#BerechnungDBE'!$AL8&gt;0)))))),IF(IL$4&gt;=$AD$126,0,IV17),IF(IN$9=3,IF(OR(IL$4&gt;=$AD$127,AND($G17=1,$J17=2,IL$6=2),AND(IL$6=1,$N17&lt;&gt;1)),0,IF(IP17&lt;=120,IV17,IF(IL$4&lt;$AD$124,IF($F17=1,60/IN$4*IN$6,60/IN$4*IN$7),IF($F17=1,120/IN$4*IN$6,120/IN$4*IN$7)))),IF(OR($F17=3,$G17=2),IF(OR(AND(IL$4&gt;=$AD$119,$C17=2),AND(IL$4&gt;=$AF$119,$C17=1)),0,IF(IP17&lt;=60,IV17,60/IN$4*IN$7)),IF(AND($F17=2,$G17=1),IV17,0)))))</f>
        <v>0</v>
      </c>
      <c r="IY17" s="57" t="str">
        <f t="shared" si="100"/>
        <v/>
      </c>
      <c r="IZ17" s="57" t="str">
        <f t="shared" si="101"/>
        <v/>
      </c>
      <c r="JA17" s="713">
        <f>'org. Düngung 22'!BT16</f>
        <v>0</v>
      </c>
      <c r="JB17" s="57"/>
      <c r="JC17" s="57"/>
      <c r="JD17" s="57">
        <f t="shared" si="102"/>
        <v>0</v>
      </c>
      <c r="JE17" s="57">
        <f t="shared" si="273"/>
        <v>0</v>
      </c>
      <c r="JF17" s="57">
        <f t="shared" si="274"/>
        <v>0</v>
      </c>
      <c r="JG17" s="57">
        <f t="shared" si="275"/>
        <v>0</v>
      </c>
      <c r="JH17" s="57">
        <f t="shared" si="276"/>
        <v>0</v>
      </c>
      <c r="JI17" s="1029">
        <f t="shared" si="103"/>
        <v>0</v>
      </c>
      <c r="JJ17" s="57">
        <f t="shared" si="104"/>
        <v>0</v>
      </c>
      <c r="JK17" s="171" t="str">
        <f t="shared" si="105"/>
        <v/>
      </c>
      <c r="JL17" s="57">
        <f t="shared" si="277"/>
        <v>0</v>
      </c>
      <c r="JM17" s="57">
        <f>IF(OR(AND(JA$6=1,$L17=0),AND(JA$6=2,$K17=2,$G17=1)),0,IF(AND(JC$9=2,(OR($F17&gt;1,$K17=1,AND($L17=80,OR($N17=1,AND($N17=2,'#BerechnungDBE'!$AL8&gt;0)))))),IF(JA$4&gt;=$AD$126,0,JK17),IF(JC$9=3,IF(OR(JA$4&gt;=$AD$127,AND($G17=1,$J17=2,JA$6=2),AND(JA$6=1,$N17&lt;&gt;1)),0,IF(JE17&lt;=120,JK17,IF(JA$4&lt;$AD$124,IF($F17=1,60/JC$4*JC$6,60/JC$4*JC$7),IF($F17=1,120/JC$4*JC$6,120/JC$4*JC$7)))),IF(OR($F17=3,$G17=2),IF(OR(AND(JA$4&gt;=$AD$119,$C17=2),AND(JA$4&gt;=$AF$119,$C17=1)),0,IF(JE17&lt;=60,JK17,60/JC$4*JC$7)),IF(AND($F17=2,$G17=1),JK17,0)))))</f>
        <v>0</v>
      </c>
      <c r="JN17" s="57" t="str">
        <f t="shared" si="106"/>
        <v/>
      </c>
      <c r="JO17" s="57" t="str">
        <f t="shared" si="107"/>
        <v/>
      </c>
      <c r="JP17" s="713">
        <f>'org. Düngung 22'!BX16</f>
        <v>0</v>
      </c>
      <c r="JQ17" s="57"/>
      <c r="JR17" s="57"/>
      <c r="JS17" s="57">
        <f t="shared" si="108"/>
        <v>0</v>
      </c>
      <c r="JT17" s="57">
        <f t="shared" si="278"/>
        <v>0</v>
      </c>
      <c r="JU17" s="57">
        <f t="shared" si="279"/>
        <v>0</v>
      </c>
      <c r="JV17" s="57">
        <f t="shared" si="280"/>
        <v>0</v>
      </c>
      <c r="JW17" s="57">
        <f t="shared" si="281"/>
        <v>0</v>
      </c>
      <c r="JX17" s="1029">
        <f t="shared" si="109"/>
        <v>0</v>
      </c>
      <c r="JY17" s="57">
        <f t="shared" si="110"/>
        <v>0</v>
      </c>
      <c r="JZ17" s="171" t="str">
        <f t="shared" si="111"/>
        <v/>
      </c>
      <c r="KA17" s="57">
        <f t="shared" si="282"/>
        <v>0</v>
      </c>
      <c r="KB17" s="57">
        <f>IF(OR(AND(JP$6=1,$L17=0),AND(JP$6=2,$K17=2,$G17=1)),0,IF(AND(JR$9=2,(OR($F17&gt;1,$K17=1,AND($L17=80,OR($N17=1,AND($N17=2,'#BerechnungDBE'!$AL8&gt;0)))))),IF(JP$4&gt;=$AD$126,0,JZ17),IF(JR$9=3,IF(OR(JP$4&gt;=$AD$127,AND($G17=1,$J17=2,JP$6=2),AND(JP$6=1,$N17&lt;&gt;1)),0,IF(JT17&lt;=120,JZ17,IF(JP$4&lt;$AD$124,IF($F17=1,60/JR$4*JR$6,60/JR$4*JR$7),IF($F17=1,120/JR$4*JR$6,120/JR$4*JR$7)))),IF(OR($F17=3,$G17=2),IF(OR(AND(JP$4&gt;=$AD$119,$C17=2),AND(JP$4&gt;=$AF$119,$C17=1)),0,IF(JT17&lt;=60,JZ17,60/JR$4*JR$7)),IF(AND($F17=2,$G17=1),JZ17,0)))))</f>
        <v>0</v>
      </c>
      <c r="KC17" s="57" t="str">
        <f t="shared" si="112"/>
        <v/>
      </c>
      <c r="KD17" s="57" t="str">
        <f t="shared" si="113"/>
        <v/>
      </c>
      <c r="KE17" s="713">
        <f>'org. Düngung 22'!CB16</f>
        <v>0</v>
      </c>
      <c r="KF17" s="57"/>
      <c r="KG17" s="57"/>
      <c r="KH17" s="57">
        <f t="shared" si="114"/>
        <v>0</v>
      </c>
      <c r="KI17" s="57">
        <f t="shared" si="283"/>
        <v>0</v>
      </c>
      <c r="KJ17" s="57">
        <f t="shared" si="284"/>
        <v>0</v>
      </c>
      <c r="KK17" s="57">
        <f t="shared" si="285"/>
        <v>0</v>
      </c>
      <c r="KL17" s="57">
        <f t="shared" si="286"/>
        <v>0</v>
      </c>
      <c r="KM17" s="1029">
        <f t="shared" si="115"/>
        <v>0</v>
      </c>
      <c r="KN17" s="57">
        <f t="shared" si="116"/>
        <v>0</v>
      </c>
      <c r="KO17" s="171" t="str">
        <f t="shared" si="117"/>
        <v/>
      </c>
      <c r="KP17" s="57">
        <f t="shared" si="287"/>
        <v>0</v>
      </c>
      <c r="KQ17" s="57">
        <f>IF(OR(AND(KE$6=1,$L17=0),AND(KE$6=2,$K17=2,$G17=1)),0,IF(AND(KG$9=2,(OR($F17&gt;1,$K17=1,AND($L17=80,OR($N17=1,AND($N17=2,'#BerechnungDBE'!$AL8&gt;0)))))),IF(KE$4&gt;=$AD$126,0,KO17),IF(KG$9=3,IF(OR(KE$4&gt;=$AD$127,AND($G17=1,$J17=2,KE$6=2),AND(KE$6=1,$N17&lt;&gt;1)),0,IF(KI17&lt;=120,KO17,IF(KE$4&lt;$AD$124,IF($F17=1,60/KG$4*KG$6,60/KG$4*KG$7),IF($F17=1,120/KG$4*KG$6,120/KG$4*KG$7)))),IF(OR($F17=3,$G17=2),IF(OR(AND(KE$4&gt;=$AD$119,$C17=2),AND(KE$4&gt;=$AF$119,$C17=1)),0,IF(KI17&lt;=60,KO17,60/KG$4*KG$7)),IF(AND($F17=2,$G17=1),KO17,0)))))</f>
        <v>0</v>
      </c>
      <c r="KR17" s="57" t="str">
        <f t="shared" si="118"/>
        <v/>
      </c>
      <c r="KS17" s="57" t="str">
        <f t="shared" si="119"/>
        <v/>
      </c>
      <c r="KT17" s="713">
        <f>'org. Düngung 22'!CF16</f>
        <v>0</v>
      </c>
      <c r="KU17" s="57"/>
      <c r="KV17" s="57"/>
      <c r="KW17" s="57">
        <f t="shared" si="120"/>
        <v>0</v>
      </c>
      <c r="KX17" s="57">
        <f t="shared" si="288"/>
        <v>0</v>
      </c>
      <c r="KY17" s="57">
        <f t="shared" si="289"/>
        <v>0</v>
      </c>
      <c r="KZ17" s="57">
        <f t="shared" si="290"/>
        <v>0</v>
      </c>
      <c r="LA17" s="57">
        <f t="shared" si="291"/>
        <v>0</v>
      </c>
      <c r="LB17" s="1029">
        <f t="shared" si="121"/>
        <v>0</v>
      </c>
      <c r="LC17" s="57">
        <f t="shared" si="122"/>
        <v>0</v>
      </c>
      <c r="LD17" s="171" t="str">
        <f t="shared" si="123"/>
        <v/>
      </c>
      <c r="LE17" s="57">
        <f t="shared" si="292"/>
        <v>0</v>
      </c>
      <c r="LF17" s="57">
        <f>IF(OR(AND(KT$6=1,$L17=0),AND(KT$6=2,$K17=2,$G17=1)),0,IF(AND(KV$9=2,(OR($F17&gt;1,$K17=1,AND($L17=80,OR($N17=1,AND($N17=2,'#BerechnungDBE'!$AL8&gt;0)))))),IF(KT$4&gt;=$AD$126,0,LD17),IF(KV$9=3,IF(OR(KT$4&gt;=$AD$127,AND($G17=1,$J17=2,KT$6=2),AND(KT$6=1,$N17&lt;&gt;1)),0,IF(KX17&lt;=120,LD17,IF(KT$4&lt;$AD$124,IF($F17=1,60/KV$4*KV$6,60/KV$4*KV$7),IF($F17=1,120/KV$4*KV$6,120/KV$4*KV$7)))),IF(OR($F17=3,$G17=2),IF(OR(AND(KT$4&gt;=$AD$119,$C17=2),AND(KT$4&gt;=$AF$119,$C17=1)),0,IF(KX17&lt;=60,LD17,60/KV$4*KV$7)),IF(AND($F17=2,$G17=1),LD17,0)))))</f>
        <v>0</v>
      </c>
      <c r="LG17" s="57" t="str">
        <f t="shared" si="124"/>
        <v/>
      </c>
      <c r="LH17" s="57" t="str">
        <f t="shared" si="125"/>
        <v/>
      </c>
      <c r="LI17" s="713">
        <f>'org. Düngung 22'!CJ16</f>
        <v>0</v>
      </c>
      <c r="LJ17" s="57"/>
      <c r="LK17" s="57"/>
      <c r="LL17" s="57">
        <f t="shared" si="126"/>
        <v>0</v>
      </c>
      <c r="LM17" s="57">
        <f t="shared" si="293"/>
        <v>0</v>
      </c>
      <c r="LN17" s="57">
        <f t="shared" si="294"/>
        <v>0</v>
      </c>
      <c r="LO17" s="57">
        <f t="shared" si="295"/>
        <v>0</v>
      </c>
      <c r="LP17" s="57">
        <f t="shared" si="296"/>
        <v>0</v>
      </c>
      <c r="LQ17" s="1029">
        <f t="shared" si="127"/>
        <v>0</v>
      </c>
      <c r="LR17" s="57">
        <f t="shared" si="128"/>
        <v>0</v>
      </c>
      <c r="LS17" s="171" t="str">
        <f t="shared" si="129"/>
        <v/>
      </c>
      <c r="LT17" s="57">
        <f t="shared" si="297"/>
        <v>0</v>
      </c>
      <c r="LU17" s="57">
        <f>IF(OR(AND(LI$6=1,$L17=0),AND(LI$6=2,$K17=2,$G17=1)),0,IF(AND(LK$9=2,(OR($F17&gt;1,$K17=1,AND($L17=80,OR($N17=1,AND($N17=2,'#BerechnungDBE'!$AL8&gt;0)))))),IF(LI$4&gt;=$AD$126,0,LS17),IF(LK$9=3,IF(OR(LI$4&gt;=$AD$127,AND($G17=1,$J17=2,LI$6=2),AND(LI$6=1,$N17&lt;&gt;1)),0,IF(LM17&lt;=120,LS17,IF(LI$4&lt;$AD$124,IF($F17=1,60/LK$4*LK$6,60/LK$4*LK$7),IF($F17=1,120/LK$4*LK$6,120/LK$4*LK$7)))),IF(OR($F17=3,$G17=2),IF(OR(AND(LI$4&gt;=$AD$119,$C17=2),AND(LI$4&gt;=$AF$119,$C17=1)),0,IF(LM17&lt;=60,LS17,60/LK$4*LK$7)),IF(AND($F17=2,$G17=1),LS17,0)))))</f>
        <v>0</v>
      </c>
      <c r="LV17" s="57" t="str">
        <f t="shared" si="130"/>
        <v/>
      </c>
      <c r="LW17" s="57" t="str">
        <f t="shared" si="131"/>
        <v/>
      </c>
      <c r="LX17" s="713">
        <f>'org. Düngung 22'!CN16</f>
        <v>0</v>
      </c>
      <c r="LY17" s="57"/>
      <c r="LZ17" s="57"/>
      <c r="MA17" s="57">
        <f t="shared" si="132"/>
        <v>0</v>
      </c>
      <c r="MB17" s="57">
        <f t="shared" si="298"/>
        <v>0</v>
      </c>
      <c r="MC17" s="57">
        <f t="shared" si="299"/>
        <v>0</v>
      </c>
      <c r="MD17" s="57">
        <f t="shared" si="300"/>
        <v>0</v>
      </c>
      <c r="ME17" s="57">
        <f t="shared" si="301"/>
        <v>0</v>
      </c>
      <c r="MF17" s="1029">
        <f t="shared" si="133"/>
        <v>0</v>
      </c>
      <c r="MG17" s="57">
        <f t="shared" si="134"/>
        <v>0</v>
      </c>
      <c r="MH17" s="171" t="str">
        <f t="shared" si="135"/>
        <v/>
      </c>
      <c r="MI17" s="57">
        <f t="shared" si="302"/>
        <v>0</v>
      </c>
      <c r="MJ17" s="57">
        <f>IF(OR(AND(LX$6=1,$L17=0),AND(LX$6=2,$K17=2,$G17=1)),0,IF(AND(LZ$9=2,(OR($F17&gt;1,$K17=1,AND($L17=80,OR($N17=1,AND($N17=2,'#BerechnungDBE'!$AL8&gt;0)))))),IF(LX$4&gt;=$AD$126,0,MH17),IF(LZ$9=3,IF(OR(LX$4&gt;=$AD$127,AND($G17=1,$J17=2,LX$6=2),AND(LX$6=1,$N17&lt;&gt;1)),0,IF(MB17&lt;=120,MH17,IF(LX$4&lt;$AD$124,IF($F17=1,60/LZ$4*LZ$6,60/LZ$4*LZ$7),IF($F17=1,120/LZ$4*LZ$6,120/LZ$4*LZ$7)))),IF(OR($F17=3,$G17=2),IF(OR(AND(LX$4&gt;=$AD$119,$C17=2),AND(LX$4&gt;=$AF$119,$C17=1)),0,IF(MB17&lt;=60,MH17,60/LZ$4*LZ$7)),IF(AND($F17=2,$G17=1),MH17,0)))))</f>
        <v>0</v>
      </c>
      <c r="MK17" s="57" t="str">
        <f t="shared" si="136"/>
        <v/>
      </c>
      <c r="ML17" s="57" t="str">
        <f t="shared" si="137"/>
        <v/>
      </c>
      <c r="MM17" s="713">
        <f>'org. Düngung 22'!CR16</f>
        <v>0</v>
      </c>
      <c r="MN17" s="57"/>
      <c r="MO17" s="57"/>
      <c r="MP17" s="57">
        <f t="shared" si="138"/>
        <v>0</v>
      </c>
      <c r="MQ17" s="57">
        <f t="shared" si="303"/>
        <v>0</v>
      </c>
      <c r="MR17" s="57">
        <f t="shared" si="304"/>
        <v>0</v>
      </c>
      <c r="MS17" s="57">
        <f t="shared" si="305"/>
        <v>0</v>
      </c>
      <c r="MT17" s="57">
        <f t="shared" si="306"/>
        <v>0</v>
      </c>
      <c r="MU17" s="1029">
        <f t="shared" si="139"/>
        <v>0</v>
      </c>
      <c r="MV17" s="57">
        <f t="shared" si="140"/>
        <v>0</v>
      </c>
      <c r="MW17" s="171" t="str">
        <f t="shared" si="141"/>
        <v/>
      </c>
      <c r="MX17" s="57">
        <f t="shared" si="307"/>
        <v>0</v>
      </c>
      <c r="MY17" s="57">
        <f>IF(OR(AND(MM$6=1,$L17=0),AND(MM$6=2,$K17=2,$G17=1)),0,IF(AND(MO$9=2,(OR($F17&gt;1,$K17=1,AND($L17=80,OR($N17=1,AND($N17=2,'#BerechnungDBE'!$AL8&gt;0)))))),IF(MM$4&gt;=$AD$126,0,MW17),IF(MO$9=3,IF(OR(MM$4&gt;=$AD$127,AND($G17=1,$J17=2,MM$6=2),AND(MM$6=1,$N17&lt;&gt;1)),0,IF(MQ17&lt;=120,MW17,IF(MM$4&lt;$AD$124,IF($F17=1,60/MO$4*MO$6,60/MO$4*MO$7),IF($F17=1,120/MO$4*MO$6,120/MO$4*MO$7)))),IF(OR($F17=3,$G17=2),IF(OR(AND(MM$4&gt;=$AD$119,$C17=2),AND(MM$4&gt;=$AF$119,$C17=1)),0,IF(MQ17&lt;=60,MW17,60/MO$4*MO$7)),IF(AND($F17=2,$G17=1),MW17,0)))))</f>
        <v>0</v>
      </c>
      <c r="MZ17" s="57" t="str">
        <f t="shared" si="142"/>
        <v/>
      </c>
      <c r="NA17" s="57" t="str">
        <f t="shared" si="143"/>
        <v/>
      </c>
      <c r="NB17" s="713">
        <f>'org. Düngung 22'!CV16</f>
        <v>0</v>
      </c>
      <c r="NC17" s="57"/>
      <c r="ND17" s="57"/>
      <c r="NE17" s="57">
        <f t="shared" si="144"/>
        <v>0</v>
      </c>
      <c r="NF17" s="57">
        <f t="shared" si="308"/>
        <v>0</v>
      </c>
      <c r="NG17" s="57">
        <f t="shared" si="309"/>
        <v>0</v>
      </c>
      <c r="NH17" s="57">
        <f t="shared" si="310"/>
        <v>0</v>
      </c>
      <c r="NI17" s="57">
        <f t="shared" si="311"/>
        <v>0</v>
      </c>
      <c r="NJ17" s="1029">
        <f t="shared" si="145"/>
        <v>0</v>
      </c>
      <c r="NK17" s="57">
        <f t="shared" si="146"/>
        <v>0</v>
      </c>
      <c r="NL17" s="171" t="str">
        <f t="shared" si="147"/>
        <v/>
      </c>
      <c r="NM17" s="57">
        <f t="shared" si="312"/>
        <v>0</v>
      </c>
      <c r="NN17" s="57">
        <f>IF(OR(AND(NB$6=1,$L17=0),AND(NB$6=2,$K17=2,$G17=1)),0,IF(AND(ND$9=2,(OR($F17&gt;1,$K17=1,AND($L17=80,OR($N17=1,AND($N17=2,'#BerechnungDBE'!$AL8&gt;0)))))),IF(NB$4&gt;=$AD$126,0,NL17),IF(ND$9=3,IF(OR(NB$4&gt;=$AD$127,AND($G17=1,$J17=2,NB$6=2),AND(NB$6=1,$N17&lt;&gt;1)),0,IF(NF17&lt;=120,NL17,IF(NB$4&lt;$AD$124,IF($F17=1,60/ND$4*ND$6,60/ND$4*ND$7),IF($F17=1,120/ND$4*ND$6,120/ND$4*ND$7)))),IF(OR($F17=3,$G17=2),IF(OR(AND(NB$4&gt;=$AD$119,$C17=2),AND(NB$4&gt;=$AF$119,$C17=1)),0,IF(NF17&lt;=60,NL17,60/ND$4*ND$7)),IF(AND($F17=2,$G17=1),NL17,0)))))</f>
        <v>0</v>
      </c>
      <c r="NO17" s="57" t="str">
        <f t="shared" si="148"/>
        <v/>
      </c>
      <c r="NP17" s="57" t="str">
        <f t="shared" si="149"/>
        <v/>
      </c>
      <c r="NQ17" s="713">
        <f>'org. Düngung 22'!CZ16</f>
        <v>0</v>
      </c>
      <c r="NR17" s="57"/>
      <c r="NS17" s="57"/>
      <c r="NT17" s="57">
        <f t="shared" si="150"/>
        <v>0</v>
      </c>
      <c r="NU17" s="57">
        <f t="shared" si="313"/>
        <v>0</v>
      </c>
      <c r="NV17" s="57">
        <f t="shared" si="314"/>
        <v>0</v>
      </c>
      <c r="NW17" s="57">
        <f t="shared" si="315"/>
        <v>0</v>
      </c>
      <c r="NX17" s="57">
        <f t="shared" si="316"/>
        <v>0</v>
      </c>
      <c r="NY17" s="1029">
        <f t="shared" si="151"/>
        <v>0</v>
      </c>
      <c r="NZ17" s="57">
        <f t="shared" si="152"/>
        <v>0</v>
      </c>
      <c r="OA17" s="171" t="str">
        <f t="shared" si="153"/>
        <v/>
      </c>
      <c r="OB17" s="57">
        <f t="shared" si="317"/>
        <v>0</v>
      </c>
      <c r="OC17" s="57">
        <f>IF(OR(AND(NQ$6=1,$L17=0),AND(NQ$6=2,$K17=2,$G17=1)),0,IF(AND(NS$9=2,(OR($F17&gt;1,$K17=1,AND($L17=80,OR($N17=1,AND($N17=2,'#BerechnungDBE'!$AL8&gt;0)))))),IF(NQ$4&gt;=$AD$126,0,OA17),IF(NS$9=3,IF(OR(NQ$4&gt;=$AD$127,AND($G17=1,$J17=2,NQ$6=2),AND(NQ$6=1,$N17&lt;&gt;1)),0,IF(NU17&lt;=120,OA17,IF(NQ$4&lt;$AD$124,IF($F17=1,60/NS$4*NS$6,60/NS$4*NS$7),IF($F17=1,120/NS$4*NS$6,120/NS$4*NS$7)))),IF(OR($F17=3,$G17=2),IF(OR(AND(NQ$4&gt;=$AD$119,$C17=2),AND(NQ$4&gt;=$AF$119,$C17=1)),0,IF(NU17&lt;=60,OA17,60/NS$4*NS$7)),IF(AND($F17=2,$G17=1),OA17,0)))))</f>
        <v>0</v>
      </c>
      <c r="OD17" s="57" t="str">
        <f t="shared" si="154"/>
        <v/>
      </c>
      <c r="OE17" s="57" t="str">
        <f t="shared" si="155"/>
        <v/>
      </c>
      <c r="OF17" s="713">
        <f>'org. Düngung 22'!DD16</f>
        <v>0</v>
      </c>
      <c r="OG17" s="57"/>
      <c r="OH17" s="57"/>
      <c r="OI17" s="57">
        <f t="shared" si="156"/>
        <v>0</v>
      </c>
      <c r="OJ17" s="57">
        <f t="shared" si="318"/>
        <v>0</v>
      </c>
      <c r="OK17" s="57">
        <f t="shared" si="319"/>
        <v>0</v>
      </c>
      <c r="OL17" s="57">
        <f t="shared" si="320"/>
        <v>0</v>
      </c>
      <c r="OM17" s="57">
        <f t="shared" si="321"/>
        <v>0</v>
      </c>
      <c r="ON17" s="1029">
        <f t="shared" si="157"/>
        <v>0</v>
      </c>
      <c r="OO17" s="57">
        <f t="shared" si="158"/>
        <v>0</v>
      </c>
      <c r="OP17" s="171" t="str">
        <f t="shared" si="159"/>
        <v/>
      </c>
      <c r="OQ17" s="57">
        <f t="shared" si="322"/>
        <v>0</v>
      </c>
      <c r="OR17" s="57">
        <f>IF(OR(AND(OF$6=1,$L17=0),AND(OF$6=2,$K17=2,$G17=1)),0,IF(AND(OH$9=2,(OR($F17&gt;1,$K17=1,AND($L17=80,OR($N17=1,AND($N17=2,'#BerechnungDBE'!$AL8&gt;0)))))),IF(OF$4&gt;=$AD$126,0,OP17),IF(OH$9=3,IF(OR(OF$4&gt;=$AD$127,AND($G17=1,$J17=2,OF$6=2),AND(OF$6=1,$N17&lt;&gt;1)),0,IF(OJ17&lt;=120,OP17,IF(OF$4&lt;$AD$124,IF($F17=1,60/OH$4*OH$6,60/OH$4*OH$7),IF($F17=1,120/OH$4*OH$6,120/OH$4*OH$7)))),IF(OR($F17=3,$G17=2),IF(OR(AND(OF$4&gt;=$AD$119,$C17=2),AND(OF$4&gt;=$AF$119,$C17=1)),0,IF(OJ17&lt;=60,OP17,60/OH$4*OH$7)),IF(AND($F17=2,$G17=1),OP17,0)))))</f>
        <v>0</v>
      </c>
      <c r="OS17" s="57" t="str">
        <f t="shared" si="160"/>
        <v/>
      </c>
      <c r="OT17" s="57" t="str">
        <f t="shared" si="161"/>
        <v/>
      </c>
      <c r="OU17" s="713">
        <f>'org. Düngung 22'!DH16</f>
        <v>0</v>
      </c>
      <c r="OV17" s="57"/>
      <c r="OW17" s="57"/>
      <c r="OX17" s="57">
        <f t="shared" si="162"/>
        <v>0</v>
      </c>
      <c r="OY17" s="57">
        <f t="shared" si="323"/>
        <v>0</v>
      </c>
      <c r="OZ17" s="57">
        <f t="shared" si="324"/>
        <v>0</v>
      </c>
      <c r="PA17" s="57">
        <f t="shared" si="325"/>
        <v>0</v>
      </c>
      <c r="PB17" s="57">
        <f t="shared" si="326"/>
        <v>0</v>
      </c>
      <c r="PC17" s="1029">
        <f t="shared" si="163"/>
        <v>0</v>
      </c>
      <c r="PD17" s="57">
        <f t="shared" si="164"/>
        <v>0</v>
      </c>
      <c r="PE17" s="171" t="str">
        <f t="shared" si="165"/>
        <v/>
      </c>
      <c r="PF17" s="57">
        <f t="shared" si="327"/>
        <v>0</v>
      </c>
      <c r="PG17" s="57">
        <f>IF(OR(AND(OU$6=1,$L17=0),AND(OU$6=2,$K17=2,$G17=1)),0,IF(AND(OW$9=2,(OR($F17&gt;1,$K17=1,AND($L17=80,OR($N17=1,AND($N17=2,'#BerechnungDBE'!$AL8&gt;0)))))),IF(OU$4&gt;=$AD$126,0,PE17),IF(OW$9=3,IF(OR(OU$4&gt;=$AD$127,AND($G17=1,$J17=2,OU$6=2),AND(OU$6=1,$N17&lt;&gt;1)),0,IF(OY17&lt;=120,PE17,IF(OU$4&lt;$AD$124,IF($F17=1,60/OW$4*OW$6,60/OW$4*OW$7),IF($F17=1,120/OW$4*OW$6,120/OW$4*OW$7)))),IF(OR($F17=3,$G17=2),IF(OR(AND(OU$4&gt;=$AD$119,$C17=2),AND(OU$4&gt;=$AF$119,$C17=1)),0,IF(OY17&lt;=60,PE17,60/OW$4*OW$7)),IF(AND($F17=2,$G17=1),PE17,0)))))</f>
        <v>0</v>
      </c>
      <c r="PH17" s="57" t="str">
        <f t="shared" si="166"/>
        <v/>
      </c>
      <c r="PI17" s="57" t="str">
        <f t="shared" si="167"/>
        <v/>
      </c>
      <c r="PJ17" s="713">
        <f>'org. Düngung 22'!DL16</f>
        <v>0</v>
      </c>
      <c r="PK17" s="57"/>
      <c r="PL17" s="57"/>
      <c r="PM17" s="57">
        <f t="shared" si="168"/>
        <v>0</v>
      </c>
      <c r="PN17" s="57">
        <f t="shared" si="328"/>
        <v>0</v>
      </c>
      <c r="PO17" s="57">
        <f t="shared" si="329"/>
        <v>0</v>
      </c>
      <c r="PP17" s="57">
        <f t="shared" si="330"/>
        <v>0</v>
      </c>
      <c r="PQ17" s="57">
        <f t="shared" si="331"/>
        <v>0</v>
      </c>
      <c r="PR17" s="1029">
        <f t="shared" si="169"/>
        <v>0</v>
      </c>
      <c r="PS17" s="57">
        <f t="shared" si="170"/>
        <v>0</v>
      </c>
      <c r="PT17" s="171" t="str">
        <f t="shared" si="171"/>
        <v/>
      </c>
      <c r="PU17" s="57">
        <f t="shared" si="332"/>
        <v>0</v>
      </c>
      <c r="PV17" s="57">
        <f>IF(OR(AND(PJ$6=1,$L17=0),AND(PJ$6=2,$K17=2,$G17=1)),0,IF(AND(PL$9=2,(OR($F17&gt;1,$K17=1,AND($L17=80,OR($N17=1,AND($N17=2,'#BerechnungDBE'!$AL8&gt;0)))))),IF(PJ$4&gt;=$AD$126,0,PT17),IF(PL$9=3,IF(OR(PJ$4&gt;=$AD$127,AND($G17=1,$J17=2,PJ$6=2),AND(PJ$6=1,$N17&lt;&gt;1)),0,IF(PN17&lt;=120,PT17,IF(PJ$4&lt;$AD$124,IF($F17=1,60/PL$4*PL$6,60/PL$4*PL$7),IF($F17=1,120/PL$4*PL$6,120/PL$4*PL$7)))),IF(OR($F17=3,$G17=2),IF(OR(AND(PJ$4&gt;=$AD$119,$C17=2),AND(PJ$4&gt;=$AF$119,$C17=1)),0,IF(PN17&lt;=60,PT17,60/PL$4*PL$7)),IF(AND($F17=2,$G17=1),PT17,0)))))</f>
        <v>0</v>
      </c>
      <c r="PW17" s="57" t="str">
        <f t="shared" si="172"/>
        <v/>
      </c>
      <c r="PX17" s="57" t="str">
        <f t="shared" si="173"/>
        <v/>
      </c>
      <c r="PY17" s="713">
        <f>'org. Düngung 22'!DP16</f>
        <v>0</v>
      </c>
      <c r="PZ17" s="57"/>
      <c r="QA17" s="57"/>
      <c r="QB17" s="57">
        <f t="shared" si="174"/>
        <v>0</v>
      </c>
      <c r="QC17" s="57">
        <f t="shared" si="333"/>
        <v>0</v>
      </c>
      <c r="QD17" s="57">
        <f t="shared" si="334"/>
        <v>0</v>
      </c>
      <c r="QE17" s="57">
        <f t="shared" si="335"/>
        <v>0</v>
      </c>
      <c r="QF17" s="57">
        <f t="shared" si="336"/>
        <v>0</v>
      </c>
      <c r="QG17" s="1029">
        <f t="shared" si="175"/>
        <v>0</v>
      </c>
      <c r="QH17" s="57">
        <f t="shared" si="176"/>
        <v>0</v>
      </c>
      <c r="QI17" s="171" t="str">
        <f t="shared" si="177"/>
        <v/>
      </c>
      <c r="QJ17" s="57">
        <f t="shared" si="337"/>
        <v>0</v>
      </c>
      <c r="QK17" s="57">
        <f>IF(OR(AND(PY$6=1,$L17=0),AND(PY$6=2,$K17=2,$G17=1)),0,IF(AND(QA$9=2,(OR($F17&gt;1,$K17=1,AND($L17=80,OR($N17=1,AND($N17=2,'#BerechnungDBE'!$AL8&gt;0)))))),IF(PY$4&gt;=$AD$126,0,QI17),IF(QA$9=3,IF(OR(PY$4&gt;=$AD$127,AND($G17=1,$J17=2,PY$6=2),AND(PY$6=1,$N17&lt;&gt;1)),0,IF(QC17&lt;=120,QI17,IF(PY$4&lt;$AD$124,IF($F17=1,60/QA$4*QA$6,60/QA$4*QA$7),IF($F17=1,120/QA$4*QA$6,120/QA$4*QA$7)))),IF(OR($F17=3,$G17=2),IF(OR(AND(PY$4&gt;=$AD$119,$C17=2),AND(PY$4&gt;=$AF$119,$C17=1)),0,IF(QC17&lt;=60,QI17,60/QA$4*QA$7)),IF(AND($F17=2,$G17=1),QI17,0)))))</f>
        <v>0</v>
      </c>
      <c r="QL17" s="57" t="str">
        <f t="shared" si="178"/>
        <v/>
      </c>
      <c r="QM17" s="57" t="str">
        <f t="shared" si="179"/>
        <v/>
      </c>
      <c r="QN17" s="713">
        <f>'org. Düngung 22'!DT16</f>
        <v>0</v>
      </c>
      <c r="QO17" s="57"/>
      <c r="QP17" s="57"/>
      <c r="QQ17" s="57">
        <f t="shared" si="180"/>
        <v>0</v>
      </c>
      <c r="QR17" s="57">
        <f t="shared" si="338"/>
        <v>0</v>
      </c>
      <c r="QS17" s="57">
        <f t="shared" si="339"/>
        <v>0</v>
      </c>
      <c r="QT17" s="57">
        <f t="shared" si="340"/>
        <v>0</v>
      </c>
      <c r="QU17" s="57">
        <f t="shared" si="341"/>
        <v>0</v>
      </c>
      <c r="QV17" s="1029">
        <f t="shared" si="181"/>
        <v>0</v>
      </c>
      <c r="QW17" s="57">
        <f t="shared" si="182"/>
        <v>0</v>
      </c>
      <c r="QX17" s="171" t="str">
        <f t="shared" si="183"/>
        <v/>
      </c>
      <c r="QY17" s="57">
        <f t="shared" si="342"/>
        <v>0</v>
      </c>
      <c r="QZ17" s="57">
        <f>IF(OR(AND(QN$6=1,$L17=0),AND(QN$6=2,$K17=2,$G17=1)),0,IF(AND(QP$9=2,(OR($F17&gt;1,$K17=1,AND($L17=80,OR($N17=1,AND($N17=2,'#BerechnungDBE'!$AL8&gt;0)))))),IF(QN$4&gt;=$AD$126,0,QX17),IF(QP$9=3,IF(OR(QN$4&gt;=$AD$127,AND($G17=1,$J17=2,QN$6=2),AND(QN$6=1,$N17&lt;&gt;1)),0,IF(QR17&lt;=120,QX17,IF(QN$4&lt;$AD$124,IF($F17=1,60/QP$4*QP$6,60/QP$4*QP$7),IF($F17=1,120/QP$4*QP$6,120/QP$4*QP$7)))),IF(OR($F17=3,$G17=2),IF(OR(AND(QN$4&gt;=$AD$119,$C17=2),AND(QN$4&gt;=$AF$119,$C17=1)),0,IF(QR17&lt;=60,QX17,60/QP$4*QP$7)),IF(AND($F17=2,$G17=1),QX17,0)))))</f>
        <v>0</v>
      </c>
      <c r="RA17" s="57" t="str">
        <f t="shared" si="184"/>
        <v/>
      </c>
      <c r="RB17" s="57" t="str">
        <f t="shared" si="185"/>
        <v/>
      </c>
      <c r="RC17" s="713">
        <f>'org. Düngung 22'!DX16</f>
        <v>0</v>
      </c>
      <c r="RD17" s="57"/>
      <c r="RE17" s="57"/>
      <c r="RF17" s="57">
        <f t="shared" si="186"/>
        <v>0</v>
      </c>
      <c r="RG17" s="57">
        <f t="shared" si="343"/>
        <v>0</v>
      </c>
      <c r="RH17" s="57">
        <f t="shared" si="344"/>
        <v>0</v>
      </c>
      <c r="RI17" s="57">
        <f t="shared" si="345"/>
        <v>0</v>
      </c>
      <c r="RJ17" s="57">
        <f t="shared" si="346"/>
        <v>0</v>
      </c>
      <c r="RK17" s="1029">
        <f t="shared" si="187"/>
        <v>0</v>
      </c>
      <c r="RL17" s="57">
        <f t="shared" si="188"/>
        <v>0</v>
      </c>
      <c r="RM17" s="171" t="str">
        <f t="shared" si="189"/>
        <v/>
      </c>
      <c r="RN17" s="57">
        <f t="shared" si="347"/>
        <v>0</v>
      </c>
      <c r="RO17" s="57">
        <f>IF(OR(AND(RC$6=1,$L17=0),AND(RC$6=2,$K17=2,$G17=1)),0,IF(AND(RE$9=2,(OR($F17&gt;1,$K17=1,AND($L17=80,OR($N17=1,AND($N17=2,'#BerechnungDBE'!$AL8&gt;0)))))),IF(RC$4&gt;=$AD$126,0,RM17),IF(RE$9=3,IF(OR(RC$4&gt;=$AD$127,AND($G17=1,$J17=2,RC$6=2),AND(RC$6=1,$N17&lt;&gt;1)),0,IF(RG17&lt;=120,RM17,IF(RC$4&lt;$AD$124,IF($F17=1,60/RE$4*RE$6,60/RE$4*RE$7),IF($F17=1,120/RE$4*RE$6,120/RE$4*RE$7)))),IF(OR($F17=3,$G17=2),IF(OR(AND(RC$4&gt;=$AD$119,$C17=2),AND(RC$4&gt;=$AF$119,$C17=1)),0,IF(RG17&lt;=60,RM17,60/RE$4*RE$7)),IF(AND($F17=2,$G17=1),RM17,0)))))</f>
        <v>0</v>
      </c>
      <c r="RP17" s="57" t="str">
        <f t="shared" si="190"/>
        <v/>
      </c>
      <c r="RQ17" s="57" t="str">
        <f t="shared" si="191"/>
        <v/>
      </c>
      <c r="RS17" s="57" t="str">
        <f t="shared" si="348"/>
        <v/>
      </c>
      <c r="RT17" s="57" t="str">
        <f t="shared" si="192"/>
        <v/>
      </c>
      <c r="RU17" s="57" t="str">
        <f t="shared" si="193"/>
        <v/>
      </c>
      <c r="RV17" s="57" t="str">
        <f>IF(Z17&gt;'#BerechnungDBE'!BM8,$RV$9,"")</f>
        <v/>
      </c>
      <c r="RW17" s="57" t="str">
        <f>IF(AND(L17=70,AE17&gt;'#BerechnungDBE'!CQ8),$RW$9,"")</f>
        <v/>
      </c>
      <c r="RX17" s="57" t="str">
        <f>IF(OR('org. Düngung 22'!G16="--",'org. Düngung 22'!G16&lt;=170,'org. Düngung 22'!G16=""),"",$RX$9)</f>
        <v/>
      </c>
      <c r="RY17" s="57" t="str">
        <f>IF('org. Düngung 22'!K16&gt;120,'#orgDung'!$RY$9,"")</f>
        <v/>
      </c>
      <c r="RZ17" s="57" t="str">
        <f>IF('#BerechnungDBE'!P8&lt;4,"",IF(AND('#BerechnungDBE'!BZ8&gt;0,T17&gt;0),'#orgDung'!$RZ$9,""))</f>
        <v/>
      </c>
      <c r="SA17" s="57" t="str">
        <f t="shared" si="194"/>
        <v/>
      </c>
    </row>
    <row r="18" spans="1:495" x14ac:dyDescent="0.2">
      <c r="A18" s="683">
        <f>'Flächen u. Kulturen'!A14</f>
        <v>5</v>
      </c>
      <c r="B18" s="367">
        <f>'#BerechnungDBE'!L9</f>
        <v>0</v>
      </c>
      <c r="C18" s="683">
        <f>'#BerechnungDBE'!R9</f>
        <v>1</v>
      </c>
      <c r="D18" s="683">
        <f>'#BerechnungDBE'!T9</f>
        <v>2</v>
      </c>
      <c r="E18" s="683" t="str">
        <f>'Flächen u. Kulturen'!E14</f>
        <v>x</v>
      </c>
      <c r="F18" s="52">
        <f>'#BerechnungDBE'!N9</f>
        <v>1</v>
      </c>
      <c r="G18" s="52">
        <f>'#BerechnungDBE'!O9</f>
        <v>1</v>
      </c>
      <c r="H18" s="683">
        <f>IF('Flächen u. Kulturen'!P14="",0,VLOOKUP('Flächen u. Kulturen'!P14,Kulturen[[HF]:[Berechnungsgruppe]],'#Frucht'!$H$1,FALSE))</f>
        <v>0</v>
      </c>
      <c r="I18" s="683">
        <f>IF('Flächen u. Kulturen'!J14="",0,VLOOKUP('Flächen u. Kulturen'!J14,Kulturen[[HF]:[Berechnungsgruppe]],'#Frucht'!$G$1,FALSE))</f>
        <v>90</v>
      </c>
      <c r="J18" s="505">
        <f t="shared" si="195"/>
        <v>2</v>
      </c>
      <c r="K18" s="505">
        <f>IF('Flächen u. Kulturen'!P14="",0,IF(VLOOKUP('Flächen u. Kulturen'!P14,Kulturen[[HF]:[Saat Winterungen]],'#Frucht'!$P$1,FALSE)&gt;0,1,2))</f>
        <v>2</v>
      </c>
      <c r="L18" s="683">
        <f>'#BerechnungDBE'!AF9</f>
        <v>0</v>
      </c>
      <c r="M18" s="683">
        <f>IF('Flächen u. Kulturen'!L14="",0,VLOOKUP('Flächen u. Kulturen'!L14,Nebenkultur[[Nebenkultur]:[Legum. Zwischenfr.]],'#Zweitfr'!$K$1,FALSE))</f>
        <v>0</v>
      </c>
      <c r="N18" s="683">
        <f>'#BerechnungDBE'!AG9</f>
        <v>0</v>
      </c>
      <c r="P18" s="57">
        <f t="shared" si="0"/>
        <v>0</v>
      </c>
      <c r="Q18" s="57">
        <f t="shared" si="1"/>
        <v>0</v>
      </c>
      <c r="R18">
        <f t="shared" si="2"/>
        <v>0</v>
      </c>
      <c r="S18" s="938" t="str">
        <f t="shared" si="3"/>
        <v/>
      </c>
      <c r="T18" s="683">
        <f t="shared" si="4"/>
        <v>0</v>
      </c>
      <c r="U18">
        <f t="shared" si="5"/>
        <v>0</v>
      </c>
      <c r="V18">
        <f t="shared" si="6"/>
        <v>0</v>
      </c>
      <c r="W18">
        <f t="shared" si="7"/>
        <v>0</v>
      </c>
      <c r="X18">
        <f t="shared" si="8"/>
        <v>0</v>
      </c>
      <c r="Y18" s="691">
        <f>AG18*0.5</f>
        <v>0</v>
      </c>
      <c r="Z18">
        <f>W18+X18+Y18</f>
        <v>0</v>
      </c>
      <c r="AA18" s="910">
        <f t="shared" si="9"/>
        <v>0</v>
      </c>
      <c r="AB18" s="57">
        <f>IF(U18+AG18=0,0,(Z18+W18)/(U18+AG18))</f>
        <v>0</v>
      </c>
      <c r="AC18">
        <f t="shared" si="10"/>
        <v>0</v>
      </c>
      <c r="AD18" s="683">
        <f t="shared" si="11"/>
        <v>0</v>
      </c>
      <c r="AE18" s="691">
        <f t="shared" si="12"/>
        <v>0</v>
      </c>
      <c r="AF18" s="836">
        <f>IF(AC18=0,0,AE18/AC18)</f>
        <v>0</v>
      </c>
      <c r="AG18">
        <f>'org. Düngung 22'!J17</f>
        <v>0</v>
      </c>
      <c r="AH18">
        <f>'org. Düngung 22'!K17</f>
        <v>0</v>
      </c>
      <c r="AI18" s="683"/>
      <c r="AJ18" s="713">
        <f>'org. Düngung 22'!L17</f>
        <v>0</v>
      </c>
      <c r="AK18" s="57"/>
      <c r="AL18" s="57"/>
      <c r="AM18" s="57">
        <f t="shared" si="196"/>
        <v>0</v>
      </c>
      <c r="AN18" s="57">
        <f t="shared" si="197"/>
        <v>0</v>
      </c>
      <c r="AO18" s="57">
        <f t="shared" si="198"/>
        <v>0</v>
      </c>
      <c r="AP18" s="57">
        <f t="shared" si="199"/>
        <v>0</v>
      </c>
      <c r="AQ18" s="57">
        <f t="shared" si="200"/>
        <v>0</v>
      </c>
      <c r="AR18" s="1029">
        <f t="shared" si="14"/>
        <v>0</v>
      </c>
      <c r="AS18" s="57">
        <f t="shared" si="15"/>
        <v>0</v>
      </c>
      <c r="AT18" s="171" t="str">
        <f t="shared" si="16"/>
        <v/>
      </c>
      <c r="AU18" s="57">
        <f t="shared" si="201"/>
        <v>0</v>
      </c>
      <c r="AV18" s="57">
        <f>IF(OR(AND(AJ$6=1,$L18=0),AND(AJ$6=2,$K18=2,$G18=1)),0,IF(AND(AL$9=2,(OR($F18&gt;1,$K18=1,AND($L18=80,OR($N18=1,AND($N18=2,'#BerechnungDBE'!$AL9&gt;0)))))),IF(AJ$4&gt;=$AD$126,0,AT18),IF(AL$9=3,IF(OR(AJ$4&gt;=$AD$127,AND($G18=1,$J18=2,AJ$6=2),AND(AJ$6=1,$N18&lt;&gt;1)),0,IF(AN18&lt;=120,AT18,IF(AJ$4&lt;$AD$124,IF($F18=1,60/AL$4*AL$6,60/AL$4*AL$7),IF($F18=1,120/AL$4*AL$6,120/AL$4*AL$7)))),IF(OR($F18=3,$G18=2),IF(OR(AND(AJ$4&gt;=$AD$119,$C18=2),AND(AJ$4&gt;=$AF$119,$C18=1)),0,IF(AN18&lt;=60,AT18,60/AL$4*AL$7)),IF(AND($F18=2,$G18=1),AT18,0)))))</f>
        <v>0</v>
      </c>
      <c r="AW18" s="57" t="str">
        <f t="shared" si="202"/>
        <v/>
      </c>
      <c r="AX18" s="57" t="str">
        <f t="shared" si="17"/>
        <v/>
      </c>
      <c r="AY18" s="713">
        <f>'org. Düngung 22'!P17</f>
        <v>0</v>
      </c>
      <c r="AZ18" s="57"/>
      <c r="BA18" s="57"/>
      <c r="BB18" s="57">
        <f t="shared" si="18"/>
        <v>0</v>
      </c>
      <c r="BC18" s="57">
        <f t="shared" si="203"/>
        <v>0</v>
      </c>
      <c r="BD18" s="57">
        <f t="shared" si="204"/>
        <v>0</v>
      </c>
      <c r="BE18" s="57">
        <f t="shared" si="205"/>
        <v>0</v>
      </c>
      <c r="BF18" s="57">
        <f t="shared" si="206"/>
        <v>0</v>
      </c>
      <c r="BG18" s="1029">
        <f t="shared" si="19"/>
        <v>0</v>
      </c>
      <c r="BH18" s="57">
        <f t="shared" si="20"/>
        <v>0</v>
      </c>
      <c r="BI18" s="171" t="str">
        <f t="shared" si="21"/>
        <v/>
      </c>
      <c r="BJ18" s="57">
        <f t="shared" si="207"/>
        <v>0</v>
      </c>
      <c r="BK18" s="57">
        <f>IF(OR(AND(AY$6=1,$L18=0),AND(AY$6=2,$K18=2,$G18=1)),0,IF(AND(BA$9=2,(OR($F18&gt;1,$K18=1,AND($L18=80,OR($N18=1,AND($N18=2,'#BerechnungDBE'!$AL9&gt;0)))))),IF(AY$4&gt;=$AD$126,0,BI18),IF(BA$9=3,IF(OR(AY$4&gt;=$AD$127,AND($G18=1,$J18=2,AY$6=2),AND(AY$6=1,$N18&lt;&gt;1)),0,IF(BC18&lt;=120,BI18,IF(AY$4&lt;$AD$124,IF($F18=1,60/BA$4*BA$6,60/BA$4*BA$7),IF($F18=1,120/BA$4*BA$6,120/BA$4*BA$7)))),IF(OR($F18=3,$G18=2),IF(OR(AND(AY$4&gt;=$AD$119,$C18=2),AND(AY$4&gt;=$AF$119,$C18=1)),0,IF(BC18&lt;=60,BI18,60/BA$4*BA$7)),IF(AND($F18=2,$G18=1),BI18,0)))))</f>
        <v>0</v>
      </c>
      <c r="BL18" s="57" t="str">
        <f t="shared" si="22"/>
        <v/>
      </c>
      <c r="BM18" s="57" t="str">
        <f t="shared" si="23"/>
        <v/>
      </c>
      <c r="BN18" s="713">
        <f>'org. Düngung 22'!T17</f>
        <v>0</v>
      </c>
      <c r="BO18" s="57"/>
      <c r="BP18" s="57"/>
      <c r="BQ18" s="57">
        <f t="shared" si="24"/>
        <v>0</v>
      </c>
      <c r="BR18" s="57">
        <f t="shared" si="208"/>
        <v>0</v>
      </c>
      <c r="BS18" s="57">
        <f t="shared" si="209"/>
        <v>0</v>
      </c>
      <c r="BT18" s="57">
        <f t="shared" si="210"/>
        <v>0</v>
      </c>
      <c r="BU18" s="57">
        <f t="shared" si="211"/>
        <v>0</v>
      </c>
      <c r="BV18" s="1029">
        <f t="shared" si="25"/>
        <v>0</v>
      </c>
      <c r="BW18" s="57">
        <f t="shared" si="26"/>
        <v>0</v>
      </c>
      <c r="BX18" s="171" t="str">
        <f t="shared" si="27"/>
        <v/>
      </c>
      <c r="BY18" s="57">
        <f t="shared" si="212"/>
        <v>0</v>
      </c>
      <c r="BZ18" s="57">
        <f>IF(OR(AND(BN$6=1,$L18=0),AND(BN$6=2,$K18=2,$G18=1)),0,IF(AND(BP$9=2,(OR($F18&gt;1,$K18=1,AND($L18=80,OR($N18=1,AND($N18=2,'#BerechnungDBE'!$AL9&gt;0)))))),IF(BN$4&gt;=$AD$126,0,BX18),IF(BP$9=3,IF(OR(BN$4&gt;=$AD$127,AND($G18=1,$J18=2,BN$6=2),AND(BN$6=1,$N18&lt;&gt;1)),0,IF(BR18&lt;=120,BX18,IF(BN$4&lt;$AD$124,IF($F18=1,60/BP$4*BP$6,60/BP$4*BP$7),IF($F18=1,120/BP$4*BP$6,120/BP$4*BP$7)))),IF(OR($F18=3,$G18=2),IF(OR(AND(BN$4&gt;=$AD$119,$C18=2),AND(BN$4&gt;=$AF$119,$C18=1)),0,IF(BR18&lt;=60,BX18,60/BP$4*BP$7)),IF(AND($F18=2,$G18=1),BX18,0)))))</f>
        <v>0</v>
      </c>
      <c r="CA18" s="57" t="str">
        <f t="shared" si="28"/>
        <v/>
      </c>
      <c r="CB18" s="57" t="str">
        <f t="shared" si="29"/>
        <v/>
      </c>
      <c r="CC18" s="713">
        <f>'org. Düngung 22'!X17</f>
        <v>0</v>
      </c>
      <c r="CD18" s="57"/>
      <c r="CE18" s="57"/>
      <c r="CF18" s="57">
        <f t="shared" si="30"/>
        <v>0</v>
      </c>
      <c r="CG18" s="57">
        <f t="shared" si="213"/>
        <v>0</v>
      </c>
      <c r="CH18" s="57">
        <f t="shared" si="214"/>
        <v>0</v>
      </c>
      <c r="CI18" s="57">
        <f t="shared" si="215"/>
        <v>0</v>
      </c>
      <c r="CJ18" s="57">
        <f t="shared" si="216"/>
        <v>0</v>
      </c>
      <c r="CK18" s="1029">
        <f t="shared" si="31"/>
        <v>0</v>
      </c>
      <c r="CL18" s="57">
        <f t="shared" si="32"/>
        <v>0</v>
      </c>
      <c r="CM18" s="171" t="str">
        <f t="shared" si="33"/>
        <v/>
      </c>
      <c r="CN18" s="57">
        <f t="shared" si="217"/>
        <v>0</v>
      </c>
      <c r="CO18" s="57">
        <f>IF(OR(AND(CC$6=1,$L18=0),AND(CC$6=2,$K18=2,$G18=1)),0,IF(AND(CE$9=2,(OR($F18&gt;1,$K18=1,AND($L18=80,OR($N18=1,AND($N18=2,'#BerechnungDBE'!$AL9&gt;0)))))),IF(CC$4&gt;=$AD$126,0,CM18),IF(CE$9=3,IF(OR(CC$4&gt;=$AD$127,AND($G18=1,$J18=2,CC$6=2),AND(CC$6=1,$N18&lt;&gt;1)),0,IF(CG18&lt;=120,CM18,IF(CC$4&lt;$AD$124,IF($F18=1,60/CE$4*CE$6,60/CE$4*CE$7),IF($F18=1,120/CE$4*CE$6,120/CE$4*CE$7)))),IF(OR($F18=3,$G18=2),IF(OR(AND(CC$4&gt;=$AD$119,$C18=2),AND(CC$4&gt;=$AF$119,$C18=1)),0,IF(CG18&lt;=60,CM18,60/CE$4*CE$7)),IF(AND($F18=2,$G18=1),CM18,0)))))</f>
        <v>0</v>
      </c>
      <c r="CP18" s="57" t="str">
        <f t="shared" si="34"/>
        <v/>
      </c>
      <c r="CQ18" s="57" t="str">
        <f t="shared" si="35"/>
        <v/>
      </c>
      <c r="CR18" s="713">
        <f>'org. Düngung 22'!AB17</f>
        <v>0</v>
      </c>
      <c r="CS18" s="57"/>
      <c r="CT18" s="57"/>
      <c r="CU18" s="57">
        <f t="shared" si="36"/>
        <v>0</v>
      </c>
      <c r="CV18" s="57">
        <f t="shared" si="218"/>
        <v>0</v>
      </c>
      <c r="CW18" s="57">
        <f t="shared" si="219"/>
        <v>0</v>
      </c>
      <c r="CX18" s="57">
        <f t="shared" si="220"/>
        <v>0</v>
      </c>
      <c r="CY18" s="57">
        <f t="shared" si="221"/>
        <v>0</v>
      </c>
      <c r="CZ18" s="1029">
        <f t="shared" si="37"/>
        <v>0</v>
      </c>
      <c r="DA18" s="57">
        <f t="shared" si="38"/>
        <v>0</v>
      </c>
      <c r="DB18" s="171" t="str">
        <f t="shared" si="39"/>
        <v/>
      </c>
      <c r="DC18" s="57">
        <f t="shared" si="222"/>
        <v>0</v>
      </c>
      <c r="DD18" s="57">
        <f>IF(OR(AND(CR$6=1,$L18=0),AND(CR$6=2,$K18=2,$G18=1)),0,IF(AND(CT$9=2,(OR($F18&gt;1,$K18=1,AND($L18=80,OR($N18=1,AND($N18=2,'#BerechnungDBE'!$AL9&gt;0)))))),IF(CR$4&gt;=$AD$126,0,DB18),IF(CT$9=3,IF(OR(CR$4&gt;=$AD$127,AND($G18=1,$J18=2,CR$6=2),AND(CR$6=1,$N18&lt;&gt;1)),0,IF(CV18&lt;=120,DB18,IF(CR$4&lt;$AD$124,IF($F18=1,60/CT$4*CT$6,60/CT$4*CT$7),IF($F18=1,120/CT$4*CT$6,120/CT$4*CT$7)))),IF(OR($F18=3,$G18=2),IF(OR(AND(CR$4&gt;=$AD$119,$C18=2),AND(CR$4&gt;=$AF$119,$C18=1)),0,IF(CV18&lt;=60,DB18,60/CT$4*CT$7)),IF(AND($F18=2,$G18=1),DB18,0)))))</f>
        <v>0</v>
      </c>
      <c r="DE18" s="57" t="str">
        <f t="shared" si="40"/>
        <v/>
      </c>
      <c r="DF18" s="57" t="str">
        <f t="shared" si="41"/>
        <v/>
      </c>
      <c r="DG18" s="713">
        <f>'org. Düngung 22'!AF17</f>
        <v>0</v>
      </c>
      <c r="DH18" s="57"/>
      <c r="DI18" s="57"/>
      <c r="DJ18" s="57">
        <f t="shared" si="42"/>
        <v>0</v>
      </c>
      <c r="DK18" s="57">
        <f t="shared" si="223"/>
        <v>0</v>
      </c>
      <c r="DL18" s="57">
        <f t="shared" si="224"/>
        <v>0</v>
      </c>
      <c r="DM18" s="57">
        <f t="shared" si="225"/>
        <v>0</v>
      </c>
      <c r="DN18" s="57">
        <f t="shared" si="226"/>
        <v>0</v>
      </c>
      <c r="DO18" s="1029">
        <f t="shared" si="43"/>
        <v>0</v>
      </c>
      <c r="DP18" s="57">
        <f t="shared" si="44"/>
        <v>0</v>
      </c>
      <c r="DQ18" s="171" t="str">
        <f t="shared" si="45"/>
        <v/>
      </c>
      <c r="DR18" s="57">
        <f t="shared" si="227"/>
        <v>0</v>
      </c>
      <c r="DS18" s="57">
        <f>IF(OR(AND(DG$6=1,$L18=0),AND(DG$6=2,$K18=2,$G18=1)),0,IF(AND(DI$9=2,(OR($F18&gt;1,$K18=1,AND($L18=80,OR($N18=1,AND($N18=2,'#BerechnungDBE'!$AL9&gt;0)))))),IF(DG$4&gt;=$AD$126,0,DQ18),IF(DI$9=3,IF(OR(DG$4&gt;=$AD$127,AND($G18=1,$J18=2,DG$6=2),AND(DG$6=1,$N18&lt;&gt;1)),0,IF(DK18&lt;=120,DQ18,IF(DG$4&lt;$AD$124,IF($F18=1,60/DI$4*DI$6,60/DI$4*DI$7),IF($F18=1,120/DI$4*DI$6,120/DI$4*DI$7)))),IF(OR($F18=3,$G18=2),IF(OR(AND(DG$4&gt;=$AD$119,$C18=2),AND(DG$4&gt;=$AF$119,$C18=1)),0,IF(DK18&lt;=60,DQ18,60/DI$4*DI$7)),IF(AND($F18=2,$G18=1),DQ18,0)))))</f>
        <v>0</v>
      </c>
      <c r="DT18" s="57" t="str">
        <f t="shared" si="46"/>
        <v/>
      </c>
      <c r="DU18" s="57" t="str">
        <f t="shared" si="47"/>
        <v/>
      </c>
      <c r="DV18" s="713">
        <f>'org. Düngung 22'!AJ17</f>
        <v>0</v>
      </c>
      <c r="DW18" s="57"/>
      <c r="DX18" s="57"/>
      <c r="DY18" s="57">
        <f t="shared" si="48"/>
        <v>0</v>
      </c>
      <c r="DZ18" s="57">
        <f t="shared" si="228"/>
        <v>0</v>
      </c>
      <c r="EA18" s="57">
        <f t="shared" si="229"/>
        <v>0</v>
      </c>
      <c r="EB18" s="57">
        <f t="shared" si="230"/>
        <v>0</v>
      </c>
      <c r="EC18" s="57">
        <f t="shared" si="231"/>
        <v>0</v>
      </c>
      <c r="ED18" s="1029">
        <f t="shared" si="49"/>
        <v>0</v>
      </c>
      <c r="EE18" s="57">
        <f t="shared" si="50"/>
        <v>0</v>
      </c>
      <c r="EF18" s="171" t="str">
        <f t="shared" si="51"/>
        <v/>
      </c>
      <c r="EG18" s="57">
        <f t="shared" si="232"/>
        <v>0</v>
      </c>
      <c r="EH18" s="57">
        <f>IF(OR(AND(DV$6=1,$L18=0),AND(DV$6=2,$K18=2,$G18=1)),0,IF(AND(DX$9=2,(OR($F18&gt;1,$K18=1,AND($L18=80,OR($N18=1,AND($N18=2,'#BerechnungDBE'!$AL9&gt;0)))))),IF(DV$4&gt;=$AD$126,0,EF18),IF(DX$9=3,IF(OR(DV$4&gt;=$AD$127,AND($G18=1,$J18=2,DV$6=2),AND(DV$6=1,$N18&lt;&gt;1)),0,IF(DZ18&lt;=120,EF18,IF(DV$4&lt;$AD$124,IF($F18=1,60/DX$4*DX$6,60/DX$4*DX$7),IF($F18=1,120/DX$4*DX$6,120/DX$4*DX$7)))),IF(OR($F18=3,$G18=2),IF(OR(AND(DV$4&gt;=$AD$119,$C18=2),AND(DV$4&gt;=$AF$119,$C18=1)),0,IF(DZ18&lt;=60,EF18,60/DX$4*DX$7)),IF(AND($F18=2,$G18=1),EF18,0)))))</f>
        <v>0</v>
      </c>
      <c r="EI18" s="57" t="str">
        <f t="shared" si="52"/>
        <v/>
      </c>
      <c r="EJ18" s="57" t="str">
        <f t="shared" si="53"/>
        <v/>
      </c>
      <c r="EK18" s="713">
        <f>'org. Düngung 22'!AN17</f>
        <v>0</v>
      </c>
      <c r="EL18" s="57"/>
      <c r="EM18" s="57"/>
      <c r="EN18" s="57">
        <f t="shared" si="54"/>
        <v>0</v>
      </c>
      <c r="EO18" s="57">
        <f t="shared" si="233"/>
        <v>0</v>
      </c>
      <c r="EP18" s="57">
        <f t="shared" si="234"/>
        <v>0</v>
      </c>
      <c r="EQ18" s="57">
        <f t="shared" si="235"/>
        <v>0</v>
      </c>
      <c r="ER18" s="57">
        <f t="shared" si="236"/>
        <v>0</v>
      </c>
      <c r="ES18" s="1029">
        <f t="shared" si="55"/>
        <v>0</v>
      </c>
      <c r="ET18" s="57">
        <f t="shared" si="56"/>
        <v>0</v>
      </c>
      <c r="EU18" s="171" t="str">
        <f t="shared" si="57"/>
        <v/>
      </c>
      <c r="EV18" s="57">
        <f t="shared" si="237"/>
        <v>0</v>
      </c>
      <c r="EW18" s="57">
        <f>IF(OR(AND(EK$6=1,$L18=0),AND(EK$6=2,$K18=2,$G18=1)),0,IF(AND(EM$9=2,(OR($F18&gt;1,$K18=1,AND($L18=80,OR($N18=1,AND($N18=2,'#BerechnungDBE'!$AL9&gt;0)))))),IF(EK$4&gt;=$AD$126,0,EU18),IF(EM$9=3,IF(OR(EK$4&gt;=$AD$127,AND($G18=1,$J18=2,EK$6=2),AND(EK$6=1,$N18&lt;&gt;1)),0,IF(EO18&lt;=120,EU18,IF(EK$4&lt;$AD$124,IF($F18=1,60/EM$4*EM$6,60/EM$4*EM$7),IF($F18=1,120/EM$4*EM$6,120/EM$4*EM$7)))),IF(OR($F18=3,$G18=2),IF(OR(AND(EK$4&gt;=$AD$119,$C18=2),AND(EK$4&gt;=$AF$119,$C18=1)),0,IF(EO18&lt;=60,EU18,60/EM$4*EM$7)),IF(AND($F18=2,$G18=1),EU18,0)))))</f>
        <v>0</v>
      </c>
      <c r="EX18" s="57" t="str">
        <f t="shared" si="58"/>
        <v/>
      </c>
      <c r="EY18" s="57" t="str">
        <f t="shared" si="59"/>
        <v/>
      </c>
      <c r="EZ18" s="713">
        <f>'org. Düngung 22'!AR17</f>
        <v>0</v>
      </c>
      <c r="FA18" s="57"/>
      <c r="FB18" s="57"/>
      <c r="FC18" s="57">
        <f t="shared" si="60"/>
        <v>0</v>
      </c>
      <c r="FD18" s="57">
        <f t="shared" si="238"/>
        <v>0</v>
      </c>
      <c r="FE18" s="57">
        <f t="shared" si="239"/>
        <v>0</v>
      </c>
      <c r="FF18" s="57">
        <f t="shared" si="240"/>
        <v>0</v>
      </c>
      <c r="FG18" s="57">
        <f t="shared" si="241"/>
        <v>0</v>
      </c>
      <c r="FH18" s="1029">
        <f t="shared" si="61"/>
        <v>0</v>
      </c>
      <c r="FI18" s="57">
        <f t="shared" si="62"/>
        <v>0</v>
      </c>
      <c r="FJ18" s="171" t="str">
        <f t="shared" si="63"/>
        <v/>
      </c>
      <c r="FK18" s="57">
        <f t="shared" si="242"/>
        <v>0</v>
      </c>
      <c r="FL18" s="57">
        <f>IF(OR(AND(EZ$6=1,$L18=0),AND(EZ$6=2,$K18=2,$G18=1)),0,IF(AND(FB$9=2,(OR($F18&gt;1,$K18=1,AND($L18=80,OR($N18=1,AND($N18=2,'#BerechnungDBE'!$AL9&gt;0)))))),IF(EZ$4&gt;=$AD$126,0,FJ18),IF(FB$9=3,IF(OR(EZ$4&gt;=$AD$127,AND($G18=1,$J18=2,EZ$6=2),AND(EZ$6=1,$N18&lt;&gt;1)),0,IF(FD18&lt;=120,FJ18,IF(EZ$4&lt;$AD$124,IF($F18=1,60/FB$4*FB$6,60/FB$4*FB$7),IF($F18=1,120/FB$4*FB$6,120/FB$4*FB$7)))),IF(OR($F18=3,$G18=2),IF(OR(AND(EZ$4&gt;=$AD$119,$C18=2),AND(EZ$4&gt;=$AF$119,$C18=1)),0,IF(FD18&lt;=60,FJ18,60/FB$4*FB$7)),IF(AND($F18=2,$G18=1),FJ18,0)))))</f>
        <v>0</v>
      </c>
      <c r="FM18" s="57" t="str">
        <f t="shared" si="64"/>
        <v/>
      </c>
      <c r="FN18" s="57" t="str">
        <f t="shared" si="65"/>
        <v/>
      </c>
      <c r="FO18" s="713">
        <f>'org. Düngung 22'!AV17</f>
        <v>0</v>
      </c>
      <c r="FP18" s="57"/>
      <c r="FQ18" s="57"/>
      <c r="FR18" s="57">
        <f t="shared" si="66"/>
        <v>0</v>
      </c>
      <c r="FS18" s="57">
        <f t="shared" si="243"/>
        <v>0</v>
      </c>
      <c r="FT18" s="57">
        <f t="shared" si="244"/>
        <v>0</v>
      </c>
      <c r="FU18" s="57">
        <f t="shared" si="245"/>
        <v>0</v>
      </c>
      <c r="FV18" s="57">
        <f t="shared" si="246"/>
        <v>0</v>
      </c>
      <c r="FW18" s="1029">
        <f t="shared" si="67"/>
        <v>0</v>
      </c>
      <c r="FX18" s="57">
        <f t="shared" si="68"/>
        <v>0</v>
      </c>
      <c r="FY18" s="171" t="str">
        <f t="shared" si="69"/>
        <v/>
      </c>
      <c r="FZ18" s="57">
        <f t="shared" si="247"/>
        <v>0</v>
      </c>
      <c r="GA18" s="57">
        <f>IF(OR(AND(FO$6=1,$L18=0),AND(FO$6=2,$K18=2,$G18=1)),0,IF(AND(FQ$9=2,(OR($F18&gt;1,$K18=1,AND($L18=80,OR($N18=1,AND($N18=2,'#BerechnungDBE'!$AL9&gt;0)))))),IF(FO$4&gt;=$AD$126,0,FY18),IF(FQ$9=3,IF(OR(FO$4&gt;=$AD$127,AND($G18=1,$J18=2,FO$6=2),AND(FO$6=1,$N18&lt;&gt;1)),0,IF(FS18&lt;=120,FY18,IF(FO$4&lt;$AD$124,IF($F18=1,60/FQ$4*FQ$6,60/FQ$4*FQ$7),IF($F18=1,120/FQ$4*FQ$6,120/FQ$4*FQ$7)))),IF(OR($F18=3,$G18=2),IF(OR(AND(FO$4&gt;=$AD$119,$C18=2),AND(FO$4&gt;=$AF$119,$C18=1)),0,IF(FS18&lt;=60,FY18,60/FQ$4*FQ$7)),IF(AND($F18=2,$G18=1),FY18,0)))))</f>
        <v>0</v>
      </c>
      <c r="GB18" s="57" t="str">
        <f t="shared" si="70"/>
        <v/>
      </c>
      <c r="GC18" s="57" t="str">
        <f t="shared" si="71"/>
        <v/>
      </c>
      <c r="GD18" s="713">
        <f>'org. Düngung 22'!AZ17</f>
        <v>0</v>
      </c>
      <c r="GE18" s="57"/>
      <c r="GF18" s="57"/>
      <c r="GG18" s="57">
        <f t="shared" si="72"/>
        <v>0</v>
      </c>
      <c r="GH18" s="57">
        <f t="shared" si="248"/>
        <v>0</v>
      </c>
      <c r="GI18" s="57">
        <f t="shared" si="249"/>
        <v>0</v>
      </c>
      <c r="GJ18" s="57">
        <f t="shared" si="250"/>
        <v>0</v>
      </c>
      <c r="GK18" s="57">
        <f t="shared" si="251"/>
        <v>0</v>
      </c>
      <c r="GL18" s="1029">
        <f t="shared" si="73"/>
        <v>0</v>
      </c>
      <c r="GM18" s="57">
        <f t="shared" si="74"/>
        <v>0</v>
      </c>
      <c r="GN18" s="171" t="str">
        <f t="shared" si="75"/>
        <v/>
      </c>
      <c r="GO18" s="57">
        <f t="shared" si="252"/>
        <v>0</v>
      </c>
      <c r="GP18" s="57">
        <f>IF(OR(AND(GD$6=1,$L18=0),AND(GD$6=2,$K18=2,$G18=1)),0,IF(AND(GF$9=2,(OR($F18&gt;1,$K18=1,AND($L18=80,OR($N18=1,AND($N18=2,'#BerechnungDBE'!$AL9&gt;0)))))),IF(GD$4&gt;=$AD$126,0,GN18),IF(GF$9=3,IF(OR(GD$4&gt;=$AD$127,AND($G18=1,$J18=2,GD$6=2),AND(GD$6=1,$N18&lt;&gt;1)),0,IF(GH18&lt;=120,GN18,IF(GD$4&lt;$AD$124,IF($F18=1,60/GF$4*GF$6,60/GF$4*GF$7),IF($F18=1,120/GF$4*GF$6,120/GF$4*GF$7)))),IF(OR($F18=3,$G18=2),IF(OR(AND(GD$4&gt;=$AD$119,$C18=2),AND(GD$4&gt;=$AF$119,$C18=1)),0,IF(GH18&lt;=60,GN18,60/GF$4*GF$7)),IF(AND($F18=2,$G18=1),GN18,0)))))</f>
        <v>0</v>
      </c>
      <c r="GQ18" s="57" t="str">
        <f t="shared" si="76"/>
        <v/>
      </c>
      <c r="GR18" s="57" t="str">
        <f t="shared" si="77"/>
        <v/>
      </c>
      <c r="GS18" s="713">
        <f>'org. Düngung 22'!BD17</f>
        <v>0</v>
      </c>
      <c r="GT18" s="57"/>
      <c r="GU18" s="57"/>
      <c r="GV18" s="57">
        <f t="shared" si="78"/>
        <v>0</v>
      </c>
      <c r="GW18" s="57">
        <f t="shared" si="253"/>
        <v>0</v>
      </c>
      <c r="GX18" s="57">
        <f t="shared" si="254"/>
        <v>0</v>
      </c>
      <c r="GY18" s="57">
        <f t="shared" si="255"/>
        <v>0</v>
      </c>
      <c r="GZ18" s="57">
        <f t="shared" si="256"/>
        <v>0</v>
      </c>
      <c r="HA18" s="1029">
        <f t="shared" si="79"/>
        <v>0</v>
      </c>
      <c r="HB18" s="57">
        <f t="shared" si="80"/>
        <v>0</v>
      </c>
      <c r="HC18" s="171" t="str">
        <f t="shared" si="81"/>
        <v/>
      </c>
      <c r="HD18" s="57">
        <f t="shared" si="257"/>
        <v>0</v>
      </c>
      <c r="HE18" s="57">
        <f>IF(OR(AND(GS$6=1,$L18=0),AND(GS$6=2,$K18=2,$G18=1)),0,IF(AND(GU$9=2,(OR($F18&gt;1,$K18=1,AND($L18=80,OR($N18=1,AND($N18=2,'#BerechnungDBE'!$AL9&gt;0)))))),IF(GS$4&gt;=$AD$126,0,HC18),IF(GU$9=3,IF(OR(GS$4&gt;=$AD$127,AND($G18=1,$J18=2,GS$6=2),AND(GS$6=1,$N18&lt;&gt;1)),0,IF(GW18&lt;=120,HC18,IF(GS$4&lt;$AD$124,IF($F18=1,60/GU$4*GU$6,60/GU$4*GU$7),IF($F18=1,120/GU$4*GU$6,120/GU$4*GU$7)))),IF(OR($F18=3,$G18=2),IF(OR(AND(GS$4&gt;=$AD$119,$C18=2),AND(GS$4&gt;=$AF$119,$C18=1)),0,IF(GW18&lt;=60,HC18,60/GU$4*GU$7)),IF(AND($F18=2,$G18=1),HC18,0)))))</f>
        <v>0</v>
      </c>
      <c r="HF18" s="57" t="str">
        <f t="shared" si="82"/>
        <v/>
      </c>
      <c r="HG18" s="57" t="str">
        <f t="shared" si="83"/>
        <v/>
      </c>
      <c r="HH18" s="713">
        <f>'org. Düngung 22'!BH17</f>
        <v>0</v>
      </c>
      <c r="HI18" s="57"/>
      <c r="HJ18" s="57"/>
      <c r="HK18" s="57">
        <f t="shared" si="84"/>
        <v>0</v>
      </c>
      <c r="HL18" s="57">
        <f t="shared" si="258"/>
        <v>0</v>
      </c>
      <c r="HM18" s="57">
        <f t="shared" si="259"/>
        <v>0</v>
      </c>
      <c r="HN18" s="57">
        <f t="shared" si="260"/>
        <v>0</v>
      </c>
      <c r="HO18" s="57">
        <f t="shared" si="261"/>
        <v>0</v>
      </c>
      <c r="HP18" s="1029">
        <f t="shared" si="85"/>
        <v>0</v>
      </c>
      <c r="HQ18" s="57">
        <f t="shared" si="86"/>
        <v>0</v>
      </c>
      <c r="HR18" s="171" t="str">
        <f t="shared" si="87"/>
        <v/>
      </c>
      <c r="HS18" s="57">
        <f t="shared" si="262"/>
        <v>0</v>
      </c>
      <c r="HT18" s="57">
        <f>IF(OR(AND(HH$6=1,$L18=0),AND(HH$6=2,$K18=2,$G18=1)),0,IF(AND(HJ$9=2,(OR($F18&gt;1,$K18=1,AND($L18=80,OR($N18=1,AND($N18=2,'#BerechnungDBE'!$AL9&gt;0)))))),IF(HH$4&gt;=$AD$126,0,HR18),IF(HJ$9=3,IF(OR(HH$4&gt;=$AD$127,AND($G18=1,$J18=2,HH$6=2),AND(HH$6=1,$N18&lt;&gt;1)),0,IF(HL18&lt;=120,HR18,IF(HH$4&lt;$AD$124,IF($F18=1,60/HJ$4*HJ$6,60/HJ$4*HJ$7),IF($F18=1,120/HJ$4*HJ$6,120/HJ$4*HJ$7)))),IF(OR($F18=3,$G18=2),IF(OR(AND(HH$4&gt;=$AD$119,$C18=2),AND(HH$4&gt;=$AF$119,$C18=1)),0,IF(HL18&lt;=60,HR18,60/HJ$4*HJ$7)),IF(AND($F18=2,$G18=1),HR18,0)))))</f>
        <v>0</v>
      </c>
      <c r="HU18" s="57" t="str">
        <f t="shared" si="88"/>
        <v/>
      </c>
      <c r="HV18" s="57" t="str">
        <f t="shared" si="89"/>
        <v/>
      </c>
      <c r="HW18" s="713">
        <f>'org. Düngung 22'!BL17</f>
        <v>0</v>
      </c>
      <c r="HX18" s="57"/>
      <c r="HY18" s="57"/>
      <c r="HZ18" s="57">
        <f t="shared" si="90"/>
        <v>0</v>
      </c>
      <c r="IA18" s="57">
        <f t="shared" si="263"/>
        <v>0</v>
      </c>
      <c r="IB18" s="57">
        <f t="shared" si="264"/>
        <v>0</v>
      </c>
      <c r="IC18" s="57">
        <f t="shared" si="265"/>
        <v>0</v>
      </c>
      <c r="ID18" s="57">
        <f t="shared" si="266"/>
        <v>0</v>
      </c>
      <c r="IE18" s="1029">
        <f t="shared" si="91"/>
        <v>0</v>
      </c>
      <c r="IF18" s="57">
        <f t="shared" si="92"/>
        <v>0</v>
      </c>
      <c r="IG18" s="171" t="str">
        <f t="shared" si="93"/>
        <v/>
      </c>
      <c r="IH18" s="57">
        <f t="shared" si="267"/>
        <v>0</v>
      </c>
      <c r="II18" s="57">
        <f>IF(OR(AND(HW$6=1,$L18=0),AND(HW$6=2,$K18=2,$G18=1)),0,IF(AND(HY$9=2,(OR($F18&gt;1,$K18=1,AND($L18=80,OR($N18=1,AND($N18=2,'#BerechnungDBE'!$AL9&gt;0)))))),IF(HW$4&gt;=$AD$126,0,IG18),IF(HY$9=3,IF(OR(HW$4&gt;=$AD$127,AND($G18=1,$J18=2,HW$6=2),AND(HW$6=1,$N18&lt;&gt;1)),0,IF(IA18&lt;=120,IG18,IF(HW$4&lt;$AD$124,IF($F18=1,60/HY$4*HY$6,60/HY$4*HY$7),IF($F18=1,120/HY$4*HY$6,120/HY$4*HY$7)))),IF(OR($F18=3,$G18=2),IF(OR(AND(HW$4&gt;=$AD$119,$C18=2),AND(HW$4&gt;=$AF$119,$C18=1)),0,IF(IA18&lt;=60,IG18,60/HY$4*HY$7)),IF(AND($F18=2,$G18=1),IG18,0)))))</f>
        <v>0</v>
      </c>
      <c r="IJ18" s="57" t="str">
        <f t="shared" si="94"/>
        <v/>
      </c>
      <c r="IK18" s="57" t="str">
        <f t="shared" si="95"/>
        <v/>
      </c>
      <c r="IL18" s="713">
        <f>'org. Düngung 22'!BP17</f>
        <v>0</v>
      </c>
      <c r="IM18" s="57"/>
      <c r="IN18" s="57"/>
      <c r="IO18" s="57">
        <f t="shared" si="96"/>
        <v>0</v>
      </c>
      <c r="IP18" s="57">
        <f t="shared" si="268"/>
        <v>0</v>
      </c>
      <c r="IQ18" s="57">
        <f t="shared" si="269"/>
        <v>0</v>
      </c>
      <c r="IR18" s="57">
        <f t="shared" si="270"/>
        <v>0</v>
      </c>
      <c r="IS18" s="57">
        <f t="shared" si="271"/>
        <v>0</v>
      </c>
      <c r="IT18" s="1029">
        <f t="shared" si="97"/>
        <v>0</v>
      </c>
      <c r="IU18" s="57">
        <f t="shared" si="98"/>
        <v>0</v>
      </c>
      <c r="IV18" s="171" t="str">
        <f t="shared" si="99"/>
        <v/>
      </c>
      <c r="IW18" s="57">
        <f t="shared" si="272"/>
        <v>0</v>
      </c>
      <c r="IX18" s="57">
        <f>IF(OR(AND(IL$6=1,$L18=0),AND(IL$6=2,$K18=2,$G18=1)),0,IF(AND(IN$9=2,(OR($F18&gt;1,$K18=1,AND($L18=80,OR($N18=1,AND($N18=2,'#BerechnungDBE'!$AL9&gt;0)))))),IF(IL$4&gt;=$AD$126,0,IV18),IF(IN$9=3,IF(OR(IL$4&gt;=$AD$127,AND($G18=1,$J18=2,IL$6=2),AND(IL$6=1,$N18&lt;&gt;1)),0,IF(IP18&lt;=120,IV18,IF(IL$4&lt;$AD$124,IF($F18=1,60/IN$4*IN$6,60/IN$4*IN$7),IF($F18=1,120/IN$4*IN$6,120/IN$4*IN$7)))),IF(OR($F18=3,$G18=2),IF(OR(AND(IL$4&gt;=$AD$119,$C18=2),AND(IL$4&gt;=$AF$119,$C18=1)),0,IF(IP18&lt;=60,IV18,60/IN$4*IN$7)),IF(AND($F18=2,$G18=1),IV18,0)))))</f>
        <v>0</v>
      </c>
      <c r="IY18" s="57" t="str">
        <f t="shared" si="100"/>
        <v/>
      </c>
      <c r="IZ18" s="57" t="str">
        <f t="shared" si="101"/>
        <v/>
      </c>
      <c r="JA18" s="713">
        <f>'org. Düngung 22'!BT17</f>
        <v>0</v>
      </c>
      <c r="JB18" s="57"/>
      <c r="JC18" s="57"/>
      <c r="JD18" s="57">
        <f t="shared" si="102"/>
        <v>0</v>
      </c>
      <c r="JE18" s="57">
        <f t="shared" si="273"/>
        <v>0</v>
      </c>
      <c r="JF18" s="57">
        <f t="shared" si="274"/>
        <v>0</v>
      </c>
      <c r="JG18" s="57">
        <f t="shared" si="275"/>
        <v>0</v>
      </c>
      <c r="JH18" s="57">
        <f t="shared" si="276"/>
        <v>0</v>
      </c>
      <c r="JI18" s="1029">
        <f t="shared" si="103"/>
        <v>0</v>
      </c>
      <c r="JJ18" s="57">
        <f t="shared" si="104"/>
        <v>0</v>
      </c>
      <c r="JK18" s="171" t="str">
        <f t="shared" si="105"/>
        <v/>
      </c>
      <c r="JL18" s="57">
        <f t="shared" si="277"/>
        <v>0</v>
      </c>
      <c r="JM18" s="57">
        <f>IF(OR(AND(JA$6=1,$L18=0),AND(JA$6=2,$K18=2,$G18=1)),0,IF(AND(JC$9=2,(OR($F18&gt;1,$K18=1,AND($L18=80,OR($N18=1,AND($N18=2,'#BerechnungDBE'!$AL9&gt;0)))))),IF(JA$4&gt;=$AD$126,0,JK18),IF(JC$9=3,IF(OR(JA$4&gt;=$AD$127,AND($G18=1,$J18=2,JA$6=2),AND(JA$6=1,$N18&lt;&gt;1)),0,IF(JE18&lt;=120,JK18,IF(JA$4&lt;$AD$124,IF($F18=1,60/JC$4*JC$6,60/JC$4*JC$7),IF($F18=1,120/JC$4*JC$6,120/JC$4*JC$7)))),IF(OR($F18=3,$G18=2),IF(OR(AND(JA$4&gt;=$AD$119,$C18=2),AND(JA$4&gt;=$AF$119,$C18=1)),0,IF(JE18&lt;=60,JK18,60/JC$4*JC$7)),IF(AND($F18=2,$G18=1),JK18,0)))))</f>
        <v>0</v>
      </c>
      <c r="JN18" s="57" t="str">
        <f t="shared" si="106"/>
        <v/>
      </c>
      <c r="JO18" s="57" t="str">
        <f t="shared" si="107"/>
        <v/>
      </c>
      <c r="JP18" s="713">
        <f>'org. Düngung 22'!BX17</f>
        <v>0</v>
      </c>
      <c r="JQ18" s="57"/>
      <c r="JR18" s="57"/>
      <c r="JS18" s="57">
        <f t="shared" si="108"/>
        <v>0</v>
      </c>
      <c r="JT18" s="57">
        <f t="shared" si="278"/>
        <v>0</v>
      </c>
      <c r="JU18" s="57">
        <f t="shared" si="279"/>
        <v>0</v>
      </c>
      <c r="JV18" s="57">
        <f t="shared" si="280"/>
        <v>0</v>
      </c>
      <c r="JW18" s="57">
        <f t="shared" si="281"/>
        <v>0</v>
      </c>
      <c r="JX18" s="1029">
        <f t="shared" si="109"/>
        <v>0</v>
      </c>
      <c r="JY18" s="57">
        <f t="shared" si="110"/>
        <v>0</v>
      </c>
      <c r="JZ18" s="171" t="str">
        <f t="shared" si="111"/>
        <v/>
      </c>
      <c r="KA18" s="57">
        <f t="shared" si="282"/>
        <v>0</v>
      </c>
      <c r="KB18" s="57">
        <f>IF(OR(AND(JP$6=1,$L18=0),AND(JP$6=2,$K18=2,$G18=1)),0,IF(AND(JR$9=2,(OR($F18&gt;1,$K18=1,AND($L18=80,OR($N18=1,AND($N18=2,'#BerechnungDBE'!$AL9&gt;0)))))),IF(JP$4&gt;=$AD$126,0,JZ18),IF(JR$9=3,IF(OR(JP$4&gt;=$AD$127,AND($G18=1,$J18=2,JP$6=2),AND(JP$6=1,$N18&lt;&gt;1)),0,IF(JT18&lt;=120,JZ18,IF(JP$4&lt;$AD$124,IF($F18=1,60/JR$4*JR$6,60/JR$4*JR$7),IF($F18=1,120/JR$4*JR$6,120/JR$4*JR$7)))),IF(OR($F18=3,$G18=2),IF(OR(AND(JP$4&gt;=$AD$119,$C18=2),AND(JP$4&gt;=$AF$119,$C18=1)),0,IF(JT18&lt;=60,JZ18,60/JR$4*JR$7)),IF(AND($F18=2,$G18=1),JZ18,0)))))</f>
        <v>0</v>
      </c>
      <c r="KC18" s="57" t="str">
        <f t="shared" si="112"/>
        <v/>
      </c>
      <c r="KD18" s="57" t="str">
        <f t="shared" si="113"/>
        <v/>
      </c>
      <c r="KE18" s="713">
        <f>'org. Düngung 22'!CB17</f>
        <v>0</v>
      </c>
      <c r="KF18" s="57"/>
      <c r="KG18" s="57"/>
      <c r="KH18" s="57">
        <f t="shared" si="114"/>
        <v>0</v>
      </c>
      <c r="KI18" s="57">
        <f t="shared" si="283"/>
        <v>0</v>
      </c>
      <c r="KJ18" s="57">
        <f t="shared" si="284"/>
        <v>0</v>
      </c>
      <c r="KK18" s="57">
        <f t="shared" si="285"/>
        <v>0</v>
      </c>
      <c r="KL18" s="57">
        <f t="shared" si="286"/>
        <v>0</v>
      </c>
      <c r="KM18" s="1029">
        <f t="shared" si="115"/>
        <v>0</v>
      </c>
      <c r="KN18" s="57">
        <f t="shared" si="116"/>
        <v>0</v>
      </c>
      <c r="KO18" s="171" t="str">
        <f t="shared" si="117"/>
        <v/>
      </c>
      <c r="KP18" s="57">
        <f t="shared" si="287"/>
        <v>0</v>
      </c>
      <c r="KQ18" s="57">
        <f>IF(OR(AND(KE$6=1,$L18=0),AND(KE$6=2,$K18=2,$G18=1)),0,IF(AND(KG$9=2,(OR($F18&gt;1,$K18=1,AND($L18=80,OR($N18=1,AND($N18=2,'#BerechnungDBE'!$AL9&gt;0)))))),IF(KE$4&gt;=$AD$126,0,KO18),IF(KG$9=3,IF(OR(KE$4&gt;=$AD$127,AND($G18=1,$J18=2,KE$6=2),AND(KE$6=1,$N18&lt;&gt;1)),0,IF(KI18&lt;=120,KO18,IF(KE$4&lt;$AD$124,IF($F18=1,60/KG$4*KG$6,60/KG$4*KG$7),IF($F18=1,120/KG$4*KG$6,120/KG$4*KG$7)))),IF(OR($F18=3,$G18=2),IF(OR(AND(KE$4&gt;=$AD$119,$C18=2),AND(KE$4&gt;=$AF$119,$C18=1)),0,IF(KI18&lt;=60,KO18,60/KG$4*KG$7)),IF(AND($F18=2,$G18=1),KO18,0)))))</f>
        <v>0</v>
      </c>
      <c r="KR18" s="57" t="str">
        <f t="shared" si="118"/>
        <v/>
      </c>
      <c r="KS18" s="57" t="str">
        <f t="shared" si="119"/>
        <v/>
      </c>
      <c r="KT18" s="713">
        <f>'org. Düngung 22'!CF17</f>
        <v>0</v>
      </c>
      <c r="KU18" s="57"/>
      <c r="KV18" s="57"/>
      <c r="KW18" s="57">
        <f t="shared" si="120"/>
        <v>0</v>
      </c>
      <c r="KX18" s="57">
        <f t="shared" si="288"/>
        <v>0</v>
      </c>
      <c r="KY18" s="57">
        <f t="shared" si="289"/>
        <v>0</v>
      </c>
      <c r="KZ18" s="57">
        <f t="shared" si="290"/>
        <v>0</v>
      </c>
      <c r="LA18" s="57">
        <f t="shared" si="291"/>
        <v>0</v>
      </c>
      <c r="LB18" s="1029">
        <f t="shared" si="121"/>
        <v>0</v>
      </c>
      <c r="LC18" s="57">
        <f t="shared" si="122"/>
        <v>0</v>
      </c>
      <c r="LD18" s="171" t="str">
        <f t="shared" si="123"/>
        <v/>
      </c>
      <c r="LE18" s="57">
        <f t="shared" si="292"/>
        <v>0</v>
      </c>
      <c r="LF18" s="57">
        <f>IF(OR(AND(KT$6=1,$L18=0),AND(KT$6=2,$K18=2,$G18=1)),0,IF(AND(KV$9=2,(OR($F18&gt;1,$K18=1,AND($L18=80,OR($N18=1,AND($N18=2,'#BerechnungDBE'!$AL9&gt;0)))))),IF(KT$4&gt;=$AD$126,0,LD18),IF(KV$9=3,IF(OR(KT$4&gt;=$AD$127,AND($G18=1,$J18=2,KT$6=2),AND(KT$6=1,$N18&lt;&gt;1)),0,IF(KX18&lt;=120,LD18,IF(KT$4&lt;$AD$124,IF($F18=1,60/KV$4*KV$6,60/KV$4*KV$7),IF($F18=1,120/KV$4*KV$6,120/KV$4*KV$7)))),IF(OR($F18=3,$G18=2),IF(OR(AND(KT$4&gt;=$AD$119,$C18=2),AND(KT$4&gt;=$AF$119,$C18=1)),0,IF(KX18&lt;=60,LD18,60/KV$4*KV$7)),IF(AND($F18=2,$G18=1),LD18,0)))))</f>
        <v>0</v>
      </c>
      <c r="LG18" s="57" t="str">
        <f t="shared" si="124"/>
        <v/>
      </c>
      <c r="LH18" s="57" t="str">
        <f t="shared" si="125"/>
        <v/>
      </c>
      <c r="LI18" s="713">
        <f>'org. Düngung 22'!CJ17</f>
        <v>0</v>
      </c>
      <c r="LJ18" s="57"/>
      <c r="LK18" s="57"/>
      <c r="LL18" s="57">
        <f t="shared" si="126"/>
        <v>0</v>
      </c>
      <c r="LM18" s="57">
        <f t="shared" si="293"/>
        <v>0</v>
      </c>
      <c r="LN18" s="57">
        <f t="shared" si="294"/>
        <v>0</v>
      </c>
      <c r="LO18" s="57">
        <f t="shared" si="295"/>
        <v>0</v>
      </c>
      <c r="LP18" s="57">
        <f t="shared" si="296"/>
        <v>0</v>
      </c>
      <c r="LQ18" s="1029">
        <f t="shared" si="127"/>
        <v>0</v>
      </c>
      <c r="LR18" s="57">
        <f t="shared" si="128"/>
        <v>0</v>
      </c>
      <c r="LS18" s="171" t="str">
        <f t="shared" si="129"/>
        <v/>
      </c>
      <c r="LT18" s="57">
        <f t="shared" si="297"/>
        <v>0</v>
      </c>
      <c r="LU18" s="57">
        <f>IF(OR(AND(LI$6=1,$L18=0),AND(LI$6=2,$K18=2,$G18=1)),0,IF(AND(LK$9=2,(OR($F18&gt;1,$K18=1,AND($L18=80,OR($N18=1,AND($N18=2,'#BerechnungDBE'!$AL9&gt;0)))))),IF(LI$4&gt;=$AD$126,0,LS18),IF(LK$9=3,IF(OR(LI$4&gt;=$AD$127,AND($G18=1,$J18=2,LI$6=2),AND(LI$6=1,$N18&lt;&gt;1)),0,IF(LM18&lt;=120,LS18,IF(LI$4&lt;$AD$124,IF($F18=1,60/LK$4*LK$6,60/LK$4*LK$7),IF($F18=1,120/LK$4*LK$6,120/LK$4*LK$7)))),IF(OR($F18=3,$G18=2),IF(OR(AND(LI$4&gt;=$AD$119,$C18=2),AND(LI$4&gt;=$AF$119,$C18=1)),0,IF(LM18&lt;=60,LS18,60/LK$4*LK$7)),IF(AND($F18=2,$G18=1),LS18,0)))))</f>
        <v>0</v>
      </c>
      <c r="LV18" s="57" t="str">
        <f t="shared" si="130"/>
        <v/>
      </c>
      <c r="LW18" s="57" t="str">
        <f t="shared" si="131"/>
        <v/>
      </c>
      <c r="LX18" s="713">
        <f>'org. Düngung 22'!CN17</f>
        <v>0</v>
      </c>
      <c r="LY18" s="57"/>
      <c r="LZ18" s="57"/>
      <c r="MA18" s="57">
        <f t="shared" si="132"/>
        <v>0</v>
      </c>
      <c r="MB18" s="57">
        <f t="shared" si="298"/>
        <v>0</v>
      </c>
      <c r="MC18" s="57">
        <f t="shared" si="299"/>
        <v>0</v>
      </c>
      <c r="MD18" s="57">
        <f t="shared" si="300"/>
        <v>0</v>
      </c>
      <c r="ME18" s="57">
        <f t="shared" si="301"/>
        <v>0</v>
      </c>
      <c r="MF18" s="1029">
        <f t="shared" si="133"/>
        <v>0</v>
      </c>
      <c r="MG18" s="57">
        <f t="shared" si="134"/>
        <v>0</v>
      </c>
      <c r="MH18" s="171" t="str">
        <f t="shared" si="135"/>
        <v/>
      </c>
      <c r="MI18" s="57">
        <f t="shared" si="302"/>
        <v>0</v>
      </c>
      <c r="MJ18" s="57">
        <f>IF(OR(AND(LX$6=1,$L18=0),AND(LX$6=2,$K18=2,$G18=1)),0,IF(AND(LZ$9=2,(OR($F18&gt;1,$K18=1,AND($L18=80,OR($N18=1,AND($N18=2,'#BerechnungDBE'!$AL9&gt;0)))))),IF(LX$4&gt;=$AD$126,0,MH18),IF(LZ$9=3,IF(OR(LX$4&gt;=$AD$127,AND($G18=1,$J18=2,LX$6=2),AND(LX$6=1,$N18&lt;&gt;1)),0,IF(MB18&lt;=120,MH18,IF(LX$4&lt;$AD$124,IF($F18=1,60/LZ$4*LZ$6,60/LZ$4*LZ$7),IF($F18=1,120/LZ$4*LZ$6,120/LZ$4*LZ$7)))),IF(OR($F18=3,$G18=2),IF(OR(AND(LX$4&gt;=$AD$119,$C18=2),AND(LX$4&gt;=$AF$119,$C18=1)),0,IF(MB18&lt;=60,MH18,60/LZ$4*LZ$7)),IF(AND($F18=2,$G18=1),MH18,0)))))</f>
        <v>0</v>
      </c>
      <c r="MK18" s="57" t="str">
        <f t="shared" si="136"/>
        <v/>
      </c>
      <c r="ML18" s="57" t="str">
        <f t="shared" si="137"/>
        <v/>
      </c>
      <c r="MM18" s="713">
        <f>'org. Düngung 22'!CR17</f>
        <v>0</v>
      </c>
      <c r="MN18" s="57"/>
      <c r="MO18" s="57"/>
      <c r="MP18" s="57">
        <f t="shared" si="138"/>
        <v>0</v>
      </c>
      <c r="MQ18" s="57">
        <f t="shared" si="303"/>
        <v>0</v>
      </c>
      <c r="MR18" s="57">
        <f t="shared" si="304"/>
        <v>0</v>
      </c>
      <c r="MS18" s="57">
        <f t="shared" si="305"/>
        <v>0</v>
      </c>
      <c r="MT18" s="57">
        <f t="shared" si="306"/>
        <v>0</v>
      </c>
      <c r="MU18" s="1029">
        <f t="shared" si="139"/>
        <v>0</v>
      </c>
      <c r="MV18" s="57">
        <f t="shared" si="140"/>
        <v>0</v>
      </c>
      <c r="MW18" s="171" t="str">
        <f t="shared" si="141"/>
        <v/>
      </c>
      <c r="MX18" s="57">
        <f t="shared" si="307"/>
        <v>0</v>
      </c>
      <c r="MY18" s="57">
        <f>IF(OR(AND(MM$6=1,$L18=0),AND(MM$6=2,$K18=2,$G18=1)),0,IF(AND(MO$9=2,(OR($F18&gt;1,$K18=1,AND($L18=80,OR($N18=1,AND($N18=2,'#BerechnungDBE'!$AL9&gt;0)))))),IF(MM$4&gt;=$AD$126,0,MW18),IF(MO$9=3,IF(OR(MM$4&gt;=$AD$127,AND($G18=1,$J18=2,MM$6=2),AND(MM$6=1,$N18&lt;&gt;1)),0,IF(MQ18&lt;=120,MW18,IF(MM$4&lt;$AD$124,IF($F18=1,60/MO$4*MO$6,60/MO$4*MO$7),IF($F18=1,120/MO$4*MO$6,120/MO$4*MO$7)))),IF(OR($F18=3,$G18=2),IF(OR(AND(MM$4&gt;=$AD$119,$C18=2),AND(MM$4&gt;=$AF$119,$C18=1)),0,IF(MQ18&lt;=60,MW18,60/MO$4*MO$7)),IF(AND($F18=2,$G18=1),MW18,0)))))</f>
        <v>0</v>
      </c>
      <c r="MZ18" s="57" t="str">
        <f t="shared" si="142"/>
        <v/>
      </c>
      <c r="NA18" s="57" t="str">
        <f t="shared" si="143"/>
        <v/>
      </c>
      <c r="NB18" s="713">
        <f>'org. Düngung 22'!CV17</f>
        <v>0</v>
      </c>
      <c r="NC18" s="57"/>
      <c r="ND18" s="57"/>
      <c r="NE18" s="57">
        <f t="shared" si="144"/>
        <v>0</v>
      </c>
      <c r="NF18" s="57">
        <f t="shared" si="308"/>
        <v>0</v>
      </c>
      <c r="NG18" s="57">
        <f t="shared" si="309"/>
        <v>0</v>
      </c>
      <c r="NH18" s="57">
        <f t="shared" si="310"/>
        <v>0</v>
      </c>
      <c r="NI18" s="57">
        <f t="shared" si="311"/>
        <v>0</v>
      </c>
      <c r="NJ18" s="1029">
        <f t="shared" si="145"/>
        <v>0</v>
      </c>
      <c r="NK18" s="57">
        <f t="shared" si="146"/>
        <v>0</v>
      </c>
      <c r="NL18" s="171" t="str">
        <f t="shared" si="147"/>
        <v/>
      </c>
      <c r="NM18" s="57">
        <f t="shared" si="312"/>
        <v>0</v>
      </c>
      <c r="NN18" s="57">
        <f>IF(OR(AND(NB$6=1,$L18=0),AND(NB$6=2,$K18=2,$G18=1)),0,IF(AND(ND$9=2,(OR($F18&gt;1,$K18=1,AND($L18=80,OR($N18=1,AND($N18=2,'#BerechnungDBE'!$AL9&gt;0)))))),IF(NB$4&gt;=$AD$126,0,NL18),IF(ND$9=3,IF(OR(NB$4&gt;=$AD$127,AND($G18=1,$J18=2,NB$6=2),AND(NB$6=1,$N18&lt;&gt;1)),0,IF(NF18&lt;=120,NL18,IF(NB$4&lt;$AD$124,IF($F18=1,60/ND$4*ND$6,60/ND$4*ND$7),IF($F18=1,120/ND$4*ND$6,120/ND$4*ND$7)))),IF(OR($F18=3,$G18=2),IF(OR(AND(NB$4&gt;=$AD$119,$C18=2),AND(NB$4&gt;=$AF$119,$C18=1)),0,IF(NF18&lt;=60,NL18,60/ND$4*ND$7)),IF(AND($F18=2,$G18=1),NL18,0)))))</f>
        <v>0</v>
      </c>
      <c r="NO18" s="57" t="str">
        <f t="shared" si="148"/>
        <v/>
      </c>
      <c r="NP18" s="57" t="str">
        <f t="shared" si="149"/>
        <v/>
      </c>
      <c r="NQ18" s="713">
        <f>'org. Düngung 22'!CZ17</f>
        <v>0</v>
      </c>
      <c r="NR18" s="57"/>
      <c r="NS18" s="57"/>
      <c r="NT18" s="57">
        <f t="shared" si="150"/>
        <v>0</v>
      </c>
      <c r="NU18" s="57">
        <f t="shared" si="313"/>
        <v>0</v>
      </c>
      <c r="NV18" s="57">
        <f t="shared" si="314"/>
        <v>0</v>
      </c>
      <c r="NW18" s="57">
        <f t="shared" si="315"/>
        <v>0</v>
      </c>
      <c r="NX18" s="57">
        <f t="shared" si="316"/>
        <v>0</v>
      </c>
      <c r="NY18" s="1029">
        <f t="shared" si="151"/>
        <v>0</v>
      </c>
      <c r="NZ18" s="57">
        <f t="shared" si="152"/>
        <v>0</v>
      </c>
      <c r="OA18" s="171" t="str">
        <f t="shared" si="153"/>
        <v/>
      </c>
      <c r="OB18" s="57">
        <f t="shared" si="317"/>
        <v>0</v>
      </c>
      <c r="OC18" s="57">
        <f>IF(OR(AND(NQ$6=1,$L18=0),AND(NQ$6=2,$K18=2,$G18=1)),0,IF(AND(NS$9=2,(OR($F18&gt;1,$K18=1,AND($L18=80,OR($N18=1,AND($N18=2,'#BerechnungDBE'!$AL9&gt;0)))))),IF(NQ$4&gt;=$AD$126,0,OA18),IF(NS$9=3,IF(OR(NQ$4&gt;=$AD$127,AND($G18=1,$J18=2,NQ$6=2),AND(NQ$6=1,$N18&lt;&gt;1)),0,IF(NU18&lt;=120,OA18,IF(NQ$4&lt;$AD$124,IF($F18=1,60/NS$4*NS$6,60/NS$4*NS$7),IF($F18=1,120/NS$4*NS$6,120/NS$4*NS$7)))),IF(OR($F18=3,$G18=2),IF(OR(AND(NQ$4&gt;=$AD$119,$C18=2),AND(NQ$4&gt;=$AF$119,$C18=1)),0,IF(NU18&lt;=60,OA18,60/NS$4*NS$7)),IF(AND($F18=2,$G18=1),OA18,0)))))</f>
        <v>0</v>
      </c>
      <c r="OD18" s="57" t="str">
        <f t="shared" si="154"/>
        <v/>
      </c>
      <c r="OE18" s="57" t="str">
        <f t="shared" si="155"/>
        <v/>
      </c>
      <c r="OF18" s="713">
        <f>'org. Düngung 22'!DD17</f>
        <v>0</v>
      </c>
      <c r="OG18" s="57"/>
      <c r="OH18" s="57"/>
      <c r="OI18" s="57">
        <f t="shared" si="156"/>
        <v>0</v>
      </c>
      <c r="OJ18" s="57">
        <f t="shared" si="318"/>
        <v>0</v>
      </c>
      <c r="OK18" s="57">
        <f t="shared" si="319"/>
        <v>0</v>
      </c>
      <c r="OL18" s="57">
        <f t="shared" si="320"/>
        <v>0</v>
      </c>
      <c r="OM18" s="57">
        <f t="shared" si="321"/>
        <v>0</v>
      </c>
      <c r="ON18" s="1029">
        <f t="shared" si="157"/>
        <v>0</v>
      </c>
      <c r="OO18" s="57">
        <f t="shared" si="158"/>
        <v>0</v>
      </c>
      <c r="OP18" s="171" t="str">
        <f t="shared" si="159"/>
        <v/>
      </c>
      <c r="OQ18" s="57">
        <f t="shared" si="322"/>
        <v>0</v>
      </c>
      <c r="OR18" s="57">
        <f>IF(OR(AND(OF$6=1,$L18=0),AND(OF$6=2,$K18=2,$G18=1)),0,IF(AND(OH$9=2,(OR($F18&gt;1,$K18=1,AND($L18=80,OR($N18=1,AND($N18=2,'#BerechnungDBE'!$AL9&gt;0)))))),IF(OF$4&gt;=$AD$126,0,OP18),IF(OH$9=3,IF(OR(OF$4&gt;=$AD$127,AND($G18=1,$J18=2,OF$6=2),AND(OF$6=1,$N18&lt;&gt;1)),0,IF(OJ18&lt;=120,OP18,IF(OF$4&lt;$AD$124,IF($F18=1,60/OH$4*OH$6,60/OH$4*OH$7),IF($F18=1,120/OH$4*OH$6,120/OH$4*OH$7)))),IF(OR($F18=3,$G18=2),IF(OR(AND(OF$4&gt;=$AD$119,$C18=2),AND(OF$4&gt;=$AF$119,$C18=1)),0,IF(OJ18&lt;=60,OP18,60/OH$4*OH$7)),IF(AND($F18=2,$G18=1),OP18,0)))))</f>
        <v>0</v>
      </c>
      <c r="OS18" s="57" t="str">
        <f t="shared" si="160"/>
        <v/>
      </c>
      <c r="OT18" s="57" t="str">
        <f t="shared" si="161"/>
        <v/>
      </c>
      <c r="OU18" s="713">
        <f>'org. Düngung 22'!DH17</f>
        <v>0</v>
      </c>
      <c r="OV18" s="57"/>
      <c r="OW18" s="57"/>
      <c r="OX18" s="57">
        <f t="shared" si="162"/>
        <v>0</v>
      </c>
      <c r="OY18" s="57">
        <f t="shared" si="323"/>
        <v>0</v>
      </c>
      <c r="OZ18" s="57">
        <f t="shared" si="324"/>
        <v>0</v>
      </c>
      <c r="PA18" s="57">
        <f t="shared" si="325"/>
        <v>0</v>
      </c>
      <c r="PB18" s="57">
        <f t="shared" si="326"/>
        <v>0</v>
      </c>
      <c r="PC18" s="1029">
        <f t="shared" si="163"/>
        <v>0</v>
      </c>
      <c r="PD18" s="57">
        <f t="shared" si="164"/>
        <v>0</v>
      </c>
      <c r="PE18" s="171" t="str">
        <f t="shared" si="165"/>
        <v/>
      </c>
      <c r="PF18" s="57">
        <f t="shared" si="327"/>
        <v>0</v>
      </c>
      <c r="PG18" s="57">
        <f>IF(OR(AND(OU$6=1,$L18=0),AND(OU$6=2,$K18=2,$G18=1)),0,IF(AND(OW$9=2,(OR($F18&gt;1,$K18=1,AND($L18=80,OR($N18=1,AND($N18=2,'#BerechnungDBE'!$AL9&gt;0)))))),IF(OU$4&gt;=$AD$126,0,PE18),IF(OW$9=3,IF(OR(OU$4&gt;=$AD$127,AND($G18=1,$J18=2,OU$6=2),AND(OU$6=1,$N18&lt;&gt;1)),0,IF(OY18&lt;=120,PE18,IF(OU$4&lt;$AD$124,IF($F18=1,60/OW$4*OW$6,60/OW$4*OW$7),IF($F18=1,120/OW$4*OW$6,120/OW$4*OW$7)))),IF(OR($F18=3,$G18=2),IF(OR(AND(OU$4&gt;=$AD$119,$C18=2),AND(OU$4&gt;=$AF$119,$C18=1)),0,IF(OY18&lt;=60,PE18,60/OW$4*OW$7)),IF(AND($F18=2,$G18=1),PE18,0)))))</f>
        <v>0</v>
      </c>
      <c r="PH18" s="57" t="str">
        <f t="shared" si="166"/>
        <v/>
      </c>
      <c r="PI18" s="57" t="str">
        <f t="shared" si="167"/>
        <v/>
      </c>
      <c r="PJ18" s="713">
        <f>'org. Düngung 22'!DL17</f>
        <v>0</v>
      </c>
      <c r="PK18" s="57"/>
      <c r="PL18" s="57"/>
      <c r="PM18" s="57">
        <f t="shared" si="168"/>
        <v>0</v>
      </c>
      <c r="PN18" s="57">
        <f t="shared" si="328"/>
        <v>0</v>
      </c>
      <c r="PO18" s="57">
        <f t="shared" si="329"/>
        <v>0</v>
      </c>
      <c r="PP18" s="57">
        <f t="shared" si="330"/>
        <v>0</v>
      </c>
      <c r="PQ18" s="57">
        <f t="shared" si="331"/>
        <v>0</v>
      </c>
      <c r="PR18" s="1029">
        <f t="shared" si="169"/>
        <v>0</v>
      </c>
      <c r="PS18" s="57">
        <f t="shared" si="170"/>
        <v>0</v>
      </c>
      <c r="PT18" s="171" t="str">
        <f t="shared" si="171"/>
        <v/>
      </c>
      <c r="PU18" s="57">
        <f t="shared" si="332"/>
        <v>0</v>
      </c>
      <c r="PV18" s="57">
        <f>IF(OR(AND(PJ$6=1,$L18=0),AND(PJ$6=2,$K18=2,$G18=1)),0,IF(AND(PL$9=2,(OR($F18&gt;1,$K18=1,AND($L18=80,OR($N18=1,AND($N18=2,'#BerechnungDBE'!$AL9&gt;0)))))),IF(PJ$4&gt;=$AD$126,0,PT18),IF(PL$9=3,IF(OR(PJ$4&gt;=$AD$127,AND($G18=1,$J18=2,PJ$6=2),AND(PJ$6=1,$N18&lt;&gt;1)),0,IF(PN18&lt;=120,PT18,IF(PJ$4&lt;$AD$124,IF($F18=1,60/PL$4*PL$6,60/PL$4*PL$7),IF($F18=1,120/PL$4*PL$6,120/PL$4*PL$7)))),IF(OR($F18=3,$G18=2),IF(OR(AND(PJ$4&gt;=$AD$119,$C18=2),AND(PJ$4&gt;=$AF$119,$C18=1)),0,IF(PN18&lt;=60,PT18,60/PL$4*PL$7)),IF(AND($F18=2,$G18=1),PT18,0)))))</f>
        <v>0</v>
      </c>
      <c r="PW18" s="57" t="str">
        <f t="shared" si="172"/>
        <v/>
      </c>
      <c r="PX18" s="57" t="str">
        <f t="shared" si="173"/>
        <v/>
      </c>
      <c r="PY18" s="713">
        <f>'org. Düngung 22'!DP17</f>
        <v>0</v>
      </c>
      <c r="PZ18" s="57"/>
      <c r="QA18" s="57"/>
      <c r="QB18" s="57">
        <f t="shared" si="174"/>
        <v>0</v>
      </c>
      <c r="QC18" s="57">
        <f t="shared" si="333"/>
        <v>0</v>
      </c>
      <c r="QD18" s="57">
        <f t="shared" si="334"/>
        <v>0</v>
      </c>
      <c r="QE18" s="57">
        <f t="shared" si="335"/>
        <v>0</v>
      </c>
      <c r="QF18" s="57">
        <f t="shared" si="336"/>
        <v>0</v>
      </c>
      <c r="QG18" s="1029">
        <f t="shared" si="175"/>
        <v>0</v>
      </c>
      <c r="QH18" s="57">
        <f t="shared" si="176"/>
        <v>0</v>
      </c>
      <c r="QI18" s="171" t="str">
        <f t="shared" si="177"/>
        <v/>
      </c>
      <c r="QJ18" s="57">
        <f t="shared" si="337"/>
        <v>0</v>
      </c>
      <c r="QK18" s="57">
        <f>IF(OR(AND(PY$6=1,$L18=0),AND(PY$6=2,$K18=2,$G18=1)),0,IF(AND(QA$9=2,(OR($F18&gt;1,$K18=1,AND($L18=80,OR($N18=1,AND($N18=2,'#BerechnungDBE'!$AL9&gt;0)))))),IF(PY$4&gt;=$AD$126,0,QI18),IF(QA$9=3,IF(OR(PY$4&gt;=$AD$127,AND($G18=1,$J18=2,PY$6=2),AND(PY$6=1,$N18&lt;&gt;1)),0,IF(QC18&lt;=120,QI18,IF(PY$4&lt;$AD$124,IF($F18=1,60/QA$4*QA$6,60/QA$4*QA$7),IF($F18=1,120/QA$4*QA$6,120/QA$4*QA$7)))),IF(OR($F18=3,$G18=2),IF(OR(AND(PY$4&gt;=$AD$119,$C18=2),AND(PY$4&gt;=$AF$119,$C18=1)),0,IF(QC18&lt;=60,QI18,60/QA$4*QA$7)),IF(AND($F18=2,$G18=1),QI18,0)))))</f>
        <v>0</v>
      </c>
      <c r="QL18" s="57" t="str">
        <f t="shared" si="178"/>
        <v/>
      </c>
      <c r="QM18" s="57" t="str">
        <f t="shared" si="179"/>
        <v/>
      </c>
      <c r="QN18" s="713">
        <f>'org. Düngung 22'!DT17</f>
        <v>0</v>
      </c>
      <c r="QO18" s="57"/>
      <c r="QP18" s="57"/>
      <c r="QQ18" s="57">
        <f t="shared" si="180"/>
        <v>0</v>
      </c>
      <c r="QR18" s="57">
        <f t="shared" si="338"/>
        <v>0</v>
      </c>
      <c r="QS18" s="57">
        <f t="shared" si="339"/>
        <v>0</v>
      </c>
      <c r="QT18" s="57">
        <f t="shared" si="340"/>
        <v>0</v>
      </c>
      <c r="QU18" s="57">
        <f t="shared" si="341"/>
        <v>0</v>
      </c>
      <c r="QV18" s="1029">
        <f t="shared" si="181"/>
        <v>0</v>
      </c>
      <c r="QW18" s="57">
        <f t="shared" si="182"/>
        <v>0</v>
      </c>
      <c r="QX18" s="171" t="str">
        <f t="shared" si="183"/>
        <v/>
      </c>
      <c r="QY18" s="57">
        <f t="shared" si="342"/>
        <v>0</v>
      </c>
      <c r="QZ18" s="57">
        <f>IF(OR(AND(QN$6=1,$L18=0),AND(QN$6=2,$K18=2,$G18=1)),0,IF(AND(QP$9=2,(OR($F18&gt;1,$K18=1,AND($L18=80,OR($N18=1,AND($N18=2,'#BerechnungDBE'!$AL9&gt;0)))))),IF(QN$4&gt;=$AD$126,0,QX18),IF(QP$9=3,IF(OR(QN$4&gt;=$AD$127,AND($G18=1,$J18=2,QN$6=2),AND(QN$6=1,$N18&lt;&gt;1)),0,IF(QR18&lt;=120,QX18,IF(QN$4&lt;$AD$124,IF($F18=1,60/QP$4*QP$6,60/QP$4*QP$7),IF($F18=1,120/QP$4*QP$6,120/QP$4*QP$7)))),IF(OR($F18=3,$G18=2),IF(OR(AND(QN$4&gt;=$AD$119,$C18=2),AND(QN$4&gt;=$AF$119,$C18=1)),0,IF(QR18&lt;=60,QX18,60/QP$4*QP$7)),IF(AND($F18=2,$G18=1),QX18,0)))))</f>
        <v>0</v>
      </c>
      <c r="RA18" s="57" t="str">
        <f t="shared" si="184"/>
        <v/>
      </c>
      <c r="RB18" s="57" t="str">
        <f t="shared" si="185"/>
        <v/>
      </c>
      <c r="RC18" s="713">
        <f>'org. Düngung 22'!DX17</f>
        <v>0</v>
      </c>
      <c r="RD18" s="57"/>
      <c r="RE18" s="57"/>
      <c r="RF18" s="57">
        <f t="shared" si="186"/>
        <v>0</v>
      </c>
      <c r="RG18" s="57">
        <f t="shared" si="343"/>
        <v>0</v>
      </c>
      <c r="RH18" s="57">
        <f t="shared" si="344"/>
        <v>0</v>
      </c>
      <c r="RI18" s="57">
        <f t="shared" si="345"/>
        <v>0</v>
      </c>
      <c r="RJ18" s="57">
        <f t="shared" si="346"/>
        <v>0</v>
      </c>
      <c r="RK18" s="1029">
        <f t="shared" si="187"/>
        <v>0</v>
      </c>
      <c r="RL18" s="57">
        <f t="shared" si="188"/>
        <v>0</v>
      </c>
      <c r="RM18" s="171" t="str">
        <f t="shared" si="189"/>
        <v/>
      </c>
      <c r="RN18" s="57">
        <f t="shared" si="347"/>
        <v>0</v>
      </c>
      <c r="RO18" s="57">
        <f>IF(OR(AND(RC$6=1,$L18=0),AND(RC$6=2,$K18=2,$G18=1)),0,IF(AND(RE$9=2,(OR($F18&gt;1,$K18=1,AND($L18=80,OR($N18=1,AND($N18=2,'#BerechnungDBE'!$AL9&gt;0)))))),IF(RC$4&gt;=$AD$126,0,RM18),IF(RE$9=3,IF(OR(RC$4&gt;=$AD$127,AND($G18=1,$J18=2,RC$6=2),AND(RC$6=1,$N18&lt;&gt;1)),0,IF(RG18&lt;=120,RM18,IF(RC$4&lt;$AD$124,IF($F18=1,60/RE$4*RE$6,60/RE$4*RE$7),IF($F18=1,120/RE$4*RE$6,120/RE$4*RE$7)))),IF(OR($F18=3,$G18=2),IF(OR(AND(RC$4&gt;=$AD$119,$C18=2),AND(RC$4&gt;=$AF$119,$C18=1)),0,IF(RG18&lt;=60,RM18,60/RE$4*RE$7)),IF(AND($F18=2,$G18=1),RM18,0)))))</f>
        <v>0</v>
      </c>
      <c r="RP18" s="57" t="str">
        <f t="shared" si="190"/>
        <v/>
      </c>
      <c r="RQ18" s="57" t="str">
        <f t="shared" si="191"/>
        <v/>
      </c>
      <c r="RS18" s="57" t="str">
        <f t="shared" si="348"/>
        <v/>
      </c>
      <c r="RT18" s="57" t="str">
        <f t="shared" si="192"/>
        <v/>
      </c>
      <c r="RU18" s="57" t="str">
        <f t="shared" si="193"/>
        <v/>
      </c>
      <c r="RV18" s="57" t="str">
        <f>IF(Z18&gt;'#BerechnungDBE'!BM9,$RV$9,"")</f>
        <v/>
      </c>
      <c r="RW18" s="57" t="str">
        <f>IF(AND(L18=70,AE18&gt;'#BerechnungDBE'!CQ9),$RW$9,"")</f>
        <v/>
      </c>
      <c r="RX18" s="57" t="str">
        <f>IF(OR('org. Düngung 22'!G17="--",'org. Düngung 22'!G17&lt;=170,'org. Düngung 22'!G17=""),"",$RX$9)</f>
        <v/>
      </c>
      <c r="RY18" s="57" t="str">
        <f>IF('org. Düngung 22'!K17&gt;120,'#orgDung'!$RY$9,"")</f>
        <v/>
      </c>
      <c r="RZ18" s="57" t="str">
        <f>IF('#BerechnungDBE'!P9&lt;4,"",IF(AND('#BerechnungDBE'!BZ9&gt;0,T18&gt;0),'#orgDung'!$RZ$9,""))</f>
        <v/>
      </c>
      <c r="SA18" s="57" t="str">
        <f t="shared" si="194"/>
        <v/>
      </c>
    </row>
    <row r="19" spans="1:495" s="875" customFormat="1" x14ac:dyDescent="0.2">
      <c r="A19" s="875">
        <f>'Flächen u. Kulturen'!A15</f>
        <v>6</v>
      </c>
      <c r="B19" s="367">
        <f>'#BerechnungDBE'!L10</f>
        <v>0</v>
      </c>
      <c r="C19" s="875">
        <f>'#BerechnungDBE'!R10</f>
        <v>1</v>
      </c>
      <c r="D19" s="875">
        <f>'#BerechnungDBE'!T10</f>
        <v>2</v>
      </c>
      <c r="E19" s="875" t="str">
        <f>'Flächen u. Kulturen'!E15</f>
        <v>x</v>
      </c>
      <c r="F19" s="52">
        <f>'#BerechnungDBE'!N10</f>
        <v>1</v>
      </c>
      <c r="G19" s="52">
        <f>'#BerechnungDBE'!O10</f>
        <v>1</v>
      </c>
      <c r="H19" s="875">
        <f>IF('Flächen u. Kulturen'!P15="",0,VLOOKUP('Flächen u. Kulturen'!P15,Kulturen[[HF]:[Berechnungsgruppe]],'#Frucht'!$H$1,FALSE))</f>
        <v>0</v>
      </c>
      <c r="I19" s="875">
        <f>IF('Flächen u. Kulturen'!J15="",0,VLOOKUP('Flächen u. Kulturen'!J15,Kulturen[[HF]:[Berechnungsgruppe]],'#Frucht'!$G$1,FALSE))</f>
        <v>90</v>
      </c>
      <c r="J19" s="505">
        <f t="shared" si="195"/>
        <v>2</v>
      </c>
      <c r="K19" s="505">
        <f>IF('Flächen u. Kulturen'!P15="",0,IF(VLOOKUP('Flächen u. Kulturen'!P15,Kulturen[[HF]:[Saat Winterungen]],'#Frucht'!$P$1,FALSE)&gt;0,1,2))</f>
        <v>2</v>
      </c>
      <c r="L19" s="875">
        <f>'#BerechnungDBE'!AF10</f>
        <v>0</v>
      </c>
      <c r="M19" s="875">
        <f>IF('Flächen u. Kulturen'!L15="",0,VLOOKUP('Flächen u. Kulturen'!L15,Nebenkultur[[Nebenkultur]:[Legum. Zwischenfr.]],'#Zweitfr'!$K$1,FALSE))</f>
        <v>0</v>
      </c>
      <c r="N19" s="875">
        <f>'#BerechnungDBE'!AG10</f>
        <v>0</v>
      </c>
      <c r="P19" s="57">
        <f t="shared" si="0"/>
        <v>0</v>
      </c>
      <c r="Q19" s="57">
        <f t="shared" si="1"/>
        <v>0</v>
      </c>
      <c r="R19" s="875">
        <f t="shared" si="2"/>
        <v>0</v>
      </c>
      <c r="S19" s="938" t="str">
        <f t="shared" si="3"/>
        <v/>
      </c>
      <c r="T19" s="875">
        <f t="shared" si="4"/>
        <v>0</v>
      </c>
      <c r="U19" s="875">
        <f t="shared" si="5"/>
        <v>0</v>
      </c>
      <c r="V19" s="875">
        <f t="shared" si="6"/>
        <v>0</v>
      </c>
      <c r="W19" s="875">
        <f t="shared" si="7"/>
        <v>0</v>
      </c>
      <c r="X19" s="875">
        <f t="shared" si="8"/>
        <v>0</v>
      </c>
      <c r="Y19" s="875">
        <f t="shared" ref="Y19:Y82" si="349">AG19*0.5</f>
        <v>0</v>
      </c>
      <c r="Z19" s="875">
        <f t="shared" ref="Z19:Z82" si="350">W19+X19+Y19</f>
        <v>0</v>
      </c>
      <c r="AA19" s="910">
        <f t="shared" si="9"/>
        <v>0</v>
      </c>
      <c r="AB19" s="57">
        <f t="shared" ref="AB19:AB82" si="351">IF(U19+AG19=0,0,(Z19+W19)/(U19+AG19))</f>
        <v>0</v>
      </c>
      <c r="AC19" s="875">
        <f t="shared" si="10"/>
        <v>0</v>
      </c>
      <c r="AD19" s="875">
        <f t="shared" si="11"/>
        <v>0</v>
      </c>
      <c r="AE19" s="875">
        <f t="shared" si="12"/>
        <v>0</v>
      </c>
      <c r="AF19" s="875">
        <f t="shared" ref="AF19:AF82" si="352">IF(AC19=0,0,AE19/AC19)</f>
        <v>0</v>
      </c>
      <c r="AG19" s="875">
        <f>'org. Düngung 22'!J18</f>
        <v>0</v>
      </c>
      <c r="AH19" s="875">
        <f>'org. Düngung 22'!K18</f>
        <v>0</v>
      </c>
      <c r="AJ19" s="713">
        <f>'org. Düngung 22'!L18</f>
        <v>0</v>
      </c>
      <c r="AK19" s="57"/>
      <c r="AL19" s="57"/>
      <c r="AM19" s="57">
        <f t="shared" si="196"/>
        <v>0</v>
      </c>
      <c r="AN19" s="57">
        <f t="shared" si="197"/>
        <v>0</v>
      </c>
      <c r="AO19" s="57">
        <f t="shared" si="198"/>
        <v>0</v>
      </c>
      <c r="AP19" s="57">
        <f t="shared" si="199"/>
        <v>0</v>
      </c>
      <c r="AQ19" s="57">
        <f t="shared" si="200"/>
        <v>0</v>
      </c>
      <c r="AR19" s="1029">
        <f t="shared" si="14"/>
        <v>0</v>
      </c>
      <c r="AS19" s="57">
        <f t="shared" si="15"/>
        <v>0</v>
      </c>
      <c r="AT19" s="171" t="str">
        <f t="shared" si="16"/>
        <v/>
      </c>
      <c r="AU19" s="57">
        <f t="shared" si="201"/>
        <v>0</v>
      </c>
      <c r="AV19" s="57">
        <f>IF(OR(AND(AJ$6=1,$L19=0),AND(AJ$6=2,$K19=2,$G19=1)),0,IF(AND(AL$9=2,(OR($F19&gt;1,$K19=1,AND($L19=80,OR($N19=1,AND($N19=2,'#BerechnungDBE'!$AL10&gt;0)))))),IF(AJ$4&gt;=$AD$126,0,AT19),IF(AL$9=3,IF(OR(AJ$4&gt;=$AD$127,AND($G19=1,$J19=2,AJ$6=2),AND(AJ$6=1,$N19&lt;&gt;1)),0,IF(AN19&lt;=120,AT19,IF(AJ$4&lt;$AD$124,IF($F19=1,60/AL$4*AL$6,60/AL$4*AL$7),IF($F19=1,120/AL$4*AL$6,120/AL$4*AL$7)))),IF(OR($F19=3,$G19=2),IF(OR(AND(AJ$4&gt;=$AD$119,$C19=2),AND(AJ$4&gt;=$AF$119,$C19=1)),0,IF(AN19&lt;=60,AT19,60/AL$4*AL$7)),IF(AND($F19=2,$G19=1),AT19,0)))))</f>
        <v>0</v>
      </c>
      <c r="AW19" s="57" t="str">
        <f t="shared" si="202"/>
        <v/>
      </c>
      <c r="AX19" s="57" t="str">
        <f t="shared" si="17"/>
        <v/>
      </c>
      <c r="AY19" s="713">
        <f>'org. Düngung 22'!P18</f>
        <v>0</v>
      </c>
      <c r="AZ19" s="57"/>
      <c r="BA19" s="57"/>
      <c r="BB19" s="57">
        <f t="shared" si="18"/>
        <v>0</v>
      </c>
      <c r="BC19" s="57">
        <f t="shared" si="203"/>
        <v>0</v>
      </c>
      <c r="BD19" s="57">
        <f t="shared" si="204"/>
        <v>0</v>
      </c>
      <c r="BE19" s="57">
        <f t="shared" si="205"/>
        <v>0</v>
      </c>
      <c r="BF19" s="57">
        <f t="shared" si="206"/>
        <v>0</v>
      </c>
      <c r="BG19" s="1029">
        <f t="shared" si="19"/>
        <v>0</v>
      </c>
      <c r="BH19" s="57">
        <f t="shared" si="20"/>
        <v>0</v>
      </c>
      <c r="BI19" s="171" t="str">
        <f t="shared" si="21"/>
        <v/>
      </c>
      <c r="BJ19" s="57">
        <f t="shared" si="207"/>
        <v>0</v>
      </c>
      <c r="BK19" s="57">
        <f>IF(OR(AND(AY$6=1,$L19=0),AND(AY$6=2,$K19=2,$G19=1)),0,IF(AND(BA$9=2,(OR($F19&gt;1,$K19=1,AND($L19=80,OR($N19=1,AND($N19=2,'#BerechnungDBE'!$AL10&gt;0)))))),IF(AY$4&gt;=$AD$126,0,BI19),IF(BA$9=3,IF(OR(AY$4&gt;=$AD$127,AND($G19=1,$J19=2,AY$6=2),AND(AY$6=1,$N19&lt;&gt;1)),0,IF(BC19&lt;=120,BI19,IF(AY$4&lt;$AD$124,IF($F19=1,60/BA$4*BA$6,60/BA$4*BA$7),IF($F19=1,120/BA$4*BA$6,120/BA$4*BA$7)))),IF(OR($F19=3,$G19=2),IF(OR(AND(AY$4&gt;=$AD$119,$C19=2),AND(AY$4&gt;=$AF$119,$C19=1)),0,IF(BC19&lt;=60,BI19,60/BA$4*BA$7)),IF(AND($F19=2,$G19=1),BI19,0)))))</f>
        <v>0</v>
      </c>
      <c r="BL19" s="57" t="str">
        <f t="shared" si="22"/>
        <v/>
      </c>
      <c r="BM19" s="57" t="str">
        <f t="shared" si="23"/>
        <v/>
      </c>
      <c r="BN19" s="713">
        <f>'org. Düngung 22'!T18</f>
        <v>0</v>
      </c>
      <c r="BO19" s="57"/>
      <c r="BP19" s="57"/>
      <c r="BQ19" s="57">
        <f t="shared" si="24"/>
        <v>0</v>
      </c>
      <c r="BR19" s="57">
        <f t="shared" si="208"/>
        <v>0</v>
      </c>
      <c r="BS19" s="57">
        <f t="shared" si="209"/>
        <v>0</v>
      </c>
      <c r="BT19" s="57">
        <f t="shared" si="210"/>
        <v>0</v>
      </c>
      <c r="BU19" s="57">
        <f t="shared" si="211"/>
        <v>0</v>
      </c>
      <c r="BV19" s="1029">
        <f t="shared" si="25"/>
        <v>0</v>
      </c>
      <c r="BW19" s="57">
        <f t="shared" si="26"/>
        <v>0</v>
      </c>
      <c r="BX19" s="171" t="str">
        <f t="shared" si="27"/>
        <v/>
      </c>
      <c r="BY19" s="57">
        <f t="shared" si="212"/>
        <v>0</v>
      </c>
      <c r="BZ19" s="57">
        <f>IF(OR(AND(BN$6=1,$L19=0),AND(BN$6=2,$K19=2,$G19=1)),0,IF(AND(BP$9=2,(OR($F19&gt;1,$K19=1,AND($L19=80,OR($N19=1,AND($N19=2,'#BerechnungDBE'!$AL10&gt;0)))))),IF(BN$4&gt;=$AD$126,0,BX19),IF(BP$9=3,IF(OR(BN$4&gt;=$AD$127,AND($G19=1,$J19=2,BN$6=2),AND(BN$6=1,$N19&lt;&gt;1)),0,IF(BR19&lt;=120,BX19,IF(BN$4&lt;$AD$124,IF($F19=1,60/BP$4*BP$6,60/BP$4*BP$7),IF($F19=1,120/BP$4*BP$6,120/BP$4*BP$7)))),IF(OR($F19=3,$G19=2),IF(OR(AND(BN$4&gt;=$AD$119,$C19=2),AND(BN$4&gt;=$AF$119,$C19=1)),0,IF(BR19&lt;=60,BX19,60/BP$4*BP$7)),IF(AND($F19=2,$G19=1),BX19,0)))))</f>
        <v>0</v>
      </c>
      <c r="CA19" s="57" t="str">
        <f t="shared" si="28"/>
        <v/>
      </c>
      <c r="CB19" s="57" t="str">
        <f t="shared" si="29"/>
        <v/>
      </c>
      <c r="CC19" s="713">
        <f>'org. Düngung 22'!X18</f>
        <v>0</v>
      </c>
      <c r="CD19" s="57"/>
      <c r="CE19" s="57"/>
      <c r="CF19" s="57">
        <f t="shared" si="30"/>
        <v>0</v>
      </c>
      <c r="CG19" s="57">
        <f t="shared" si="213"/>
        <v>0</v>
      </c>
      <c r="CH19" s="57">
        <f t="shared" si="214"/>
        <v>0</v>
      </c>
      <c r="CI19" s="57">
        <f t="shared" si="215"/>
        <v>0</v>
      </c>
      <c r="CJ19" s="57">
        <f t="shared" si="216"/>
        <v>0</v>
      </c>
      <c r="CK19" s="1029">
        <f t="shared" si="31"/>
        <v>0</v>
      </c>
      <c r="CL19" s="57">
        <f t="shared" si="32"/>
        <v>0</v>
      </c>
      <c r="CM19" s="171" t="str">
        <f t="shared" si="33"/>
        <v/>
      </c>
      <c r="CN19" s="57">
        <f t="shared" si="217"/>
        <v>0</v>
      </c>
      <c r="CO19" s="57">
        <f>IF(OR(AND(CC$6=1,$L19=0),AND(CC$6=2,$K19=2,$G19=1)),0,IF(AND(CE$9=2,(OR($F19&gt;1,$K19=1,AND($L19=80,OR($N19=1,AND($N19=2,'#BerechnungDBE'!$AL10&gt;0)))))),IF(CC$4&gt;=$AD$126,0,CM19),IF(CE$9=3,IF(OR(CC$4&gt;=$AD$127,AND($G19=1,$J19=2,CC$6=2),AND(CC$6=1,$N19&lt;&gt;1)),0,IF(CG19&lt;=120,CM19,IF(CC$4&lt;$AD$124,IF($F19=1,60/CE$4*CE$6,60/CE$4*CE$7),IF($F19=1,120/CE$4*CE$6,120/CE$4*CE$7)))),IF(OR($F19=3,$G19=2),IF(OR(AND(CC$4&gt;=$AD$119,$C19=2),AND(CC$4&gt;=$AF$119,$C19=1)),0,IF(CG19&lt;=60,CM19,60/CE$4*CE$7)),IF(AND($F19=2,$G19=1),CM19,0)))))</f>
        <v>0</v>
      </c>
      <c r="CP19" s="57" t="str">
        <f t="shared" si="34"/>
        <v/>
      </c>
      <c r="CQ19" s="57" t="str">
        <f t="shared" si="35"/>
        <v/>
      </c>
      <c r="CR19" s="713">
        <f>'org. Düngung 22'!AB18</f>
        <v>0</v>
      </c>
      <c r="CS19" s="57"/>
      <c r="CT19" s="57"/>
      <c r="CU19" s="57">
        <f t="shared" si="36"/>
        <v>0</v>
      </c>
      <c r="CV19" s="57">
        <f t="shared" si="218"/>
        <v>0</v>
      </c>
      <c r="CW19" s="57">
        <f t="shared" si="219"/>
        <v>0</v>
      </c>
      <c r="CX19" s="57">
        <f t="shared" si="220"/>
        <v>0</v>
      </c>
      <c r="CY19" s="57">
        <f t="shared" si="221"/>
        <v>0</v>
      </c>
      <c r="CZ19" s="1029">
        <f t="shared" si="37"/>
        <v>0</v>
      </c>
      <c r="DA19" s="57">
        <f t="shared" si="38"/>
        <v>0</v>
      </c>
      <c r="DB19" s="171" t="str">
        <f t="shared" si="39"/>
        <v/>
      </c>
      <c r="DC19" s="57">
        <f t="shared" si="222"/>
        <v>0</v>
      </c>
      <c r="DD19" s="57">
        <f>IF(OR(AND(CR$6=1,$L19=0),AND(CR$6=2,$K19=2,$G19=1)),0,IF(AND(CT$9=2,(OR($F19&gt;1,$K19=1,AND($L19=80,OR($N19=1,AND($N19=2,'#BerechnungDBE'!$AL10&gt;0)))))),IF(CR$4&gt;=$AD$126,0,DB19),IF(CT$9=3,IF(OR(CR$4&gt;=$AD$127,AND($G19=1,$J19=2,CR$6=2),AND(CR$6=1,$N19&lt;&gt;1)),0,IF(CV19&lt;=120,DB19,IF(CR$4&lt;$AD$124,IF($F19=1,60/CT$4*CT$6,60/CT$4*CT$7),IF($F19=1,120/CT$4*CT$6,120/CT$4*CT$7)))),IF(OR($F19=3,$G19=2),IF(OR(AND(CR$4&gt;=$AD$119,$C19=2),AND(CR$4&gt;=$AF$119,$C19=1)),0,IF(CV19&lt;=60,DB19,60/CT$4*CT$7)),IF(AND($F19=2,$G19=1),DB19,0)))))</f>
        <v>0</v>
      </c>
      <c r="DE19" s="57" t="str">
        <f t="shared" si="40"/>
        <v/>
      </c>
      <c r="DF19" s="57" t="str">
        <f t="shared" si="41"/>
        <v/>
      </c>
      <c r="DG19" s="713">
        <f>'org. Düngung 22'!AF18</f>
        <v>0</v>
      </c>
      <c r="DH19" s="57"/>
      <c r="DI19" s="57"/>
      <c r="DJ19" s="57">
        <f t="shared" si="42"/>
        <v>0</v>
      </c>
      <c r="DK19" s="57">
        <f t="shared" si="223"/>
        <v>0</v>
      </c>
      <c r="DL19" s="57">
        <f t="shared" si="224"/>
        <v>0</v>
      </c>
      <c r="DM19" s="57">
        <f t="shared" si="225"/>
        <v>0</v>
      </c>
      <c r="DN19" s="57">
        <f t="shared" si="226"/>
        <v>0</v>
      </c>
      <c r="DO19" s="1029">
        <f t="shared" si="43"/>
        <v>0</v>
      </c>
      <c r="DP19" s="57">
        <f t="shared" si="44"/>
        <v>0</v>
      </c>
      <c r="DQ19" s="171" t="str">
        <f t="shared" si="45"/>
        <v/>
      </c>
      <c r="DR19" s="57">
        <f t="shared" si="227"/>
        <v>0</v>
      </c>
      <c r="DS19" s="57">
        <f>IF(OR(AND(DG$6=1,$L19=0),AND(DG$6=2,$K19=2,$G19=1)),0,IF(AND(DI$9=2,(OR($F19&gt;1,$K19=1,AND($L19=80,OR($N19=1,AND($N19=2,'#BerechnungDBE'!$AL10&gt;0)))))),IF(DG$4&gt;=$AD$126,0,DQ19),IF(DI$9=3,IF(OR(DG$4&gt;=$AD$127,AND($G19=1,$J19=2,DG$6=2),AND(DG$6=1,$N19&lt;&gt;1)),0,IF(DK19&lt;=120,DQ19,IF(DG$4&lt;$AD$124,IF($F19=1,60/DI$4*DI$6,60/DI$4*DI$7),IF($F19=1,120/DI$4*DI$6,120/DI$4*DI$7)))),IF(OR($F19=3,$G19=2),IF(OR(AND(DG$4&gt;=$AD$119,$C19=2),AND(DG$4&gt;=$AF$119,$C19=1)),0,IF(DK19&lt;=60,DQ19,60/DI$4*DI$7)),IF(AND($F19=2,$G19=1),DQ19,0)))))</f>
        <v>0</v>
      </c>
      <c r="DT19" s="57" t="str">
        <f t="shared" si="46"/>
        <v/>
      </c>
      <c r="DU19" s="57" t="str">
        <f t="shared" si="47"/>
        <v/>
      </c>
      <c r="DV19" s="713">
        <f>'org. Düngung 22'!AJ18</f>
        <v>0</v>
      </c>
      <c r="DW19" s="57"/>
      <c r="DX19" s="57"/>
      <c r="DY19" s="57">
        <f t="shared" si="48"/>
        <v>0</v>
      </c>
      <c r="DZ19" s="57">
        <f t="shared" si="228"/>
        <v>0</v>
      </c>
      <c r="EA19" s="57">
        <f t="shared" si="229"/>
        <v>0</v>
      </c>
      <c r="EB19" s="57">
        <f t="shared" si="230"/>
        <v>0</v>
      </c>
      <c r="EC19" s="57">
        <f t="shared" si="231"/>
        <v>0</v>
      </c>
      <c r="ED19" s="1029">
        <f t="shared" si="49"/>
        <v>0</v>
      </c>
      <c r="EE19" s="57">
        <f t="shared" si="50"/>
        <v>0</v>
      </c>
      <c r="EF19" s="171" t="str">
        <f t="shared" si="51"/>
        <v/>
      </c>
      <c r="EG19" s="57">
        <f t="shared" si="232"/>
        <v>0</v>
      </c>
      <c r="EH19" s="57">
        <f>IF(OR(AND(DV$6=1,$L19=0),AND(DV$6=2,$K19=2,$G19=1)),0,IF(AND(DX$9=2,(OR($F19&gt;1,$K19=1,AND($L19=80,OR($N19=1,AND($N19=2,'#BerechnungDBE'!$AL10&gt;0)))))),IF(DV$4&gt;=$AD$126,0,EF19),IF(DX$9=3,IF(OR(DV$4&gt;=$AD$127,AND($G19=1,$J19=2,DV$6=2),AND(DV$6=1,$N19&lt;&gt;1)),0,IF(DZ19&lt;=120,EF19,IF(DV$4&lt;$AD$124,IF($F19=1,60/DX$4*DX$6,60/DX$4*DX$7),IF($F19=1,120/DX$4*DX$6,120/DX$4*DX$7)))),IF(OR($F19=3,$G19=2),IF(OR(AND(DV$4&gt;=$AD$119,$C19=2),AND(DV$4&gt;=$AF$119,$C19=1)),0,IF(DZ19&lt;=60,EF19,60/DX$4*DX$7)),IF(AND($F19=2,$G19=1),EF19,0)))))</f>
        <v>0</v>
      </c>
      <c r="EI19" s="57" t="str">
        <f t="shared" si="52"/>
        <v/>
      </c>
      <c r="EJ19" s="57" t="str">
        <f t="shared" si="53"/>
        <v/>
      </c>
      <c r="EK19" s="713">
        <f>'org. Düngung 22'!AN18</f>
        <v>0</v>
      </c>
      <c r="EL19" s="57"/>
      <c r="EM19" s="57"/>
      <c r="EN19" s="57">
        <f t="shared" si="54"/>
        <v>0</v>
      </c>
      <c r="EO19" s="57">
        <f t="shared" si="233"/>
        <v>0</v>
      </c>
      <c r="EP19" s="57">
        <f t="shared" si="234"/>
        <v>0</v>
      </c>
      <c r="EQ19" s="57">
        <f t="shared" si="235"/>
        <v>0</v>
      </c>
      <c r="ER19" s="57">
        <f t="shared" si="236"/>
        <v>0</v>
      </c>
      <c r="ES19" s="1029">
        <f t="shared" si="55"/>
        <v>0</v>
      </c>
      <c r="ET19" s="57">
        <f t="shared" si="56"/>
        <v>0</v>
      </c>
      <c r="EU19" s="171" t="str">
        <f t="shared" si="57"/>
        <v/>
      </c>
      <c r="EV19" s="57">
        <f t="shared" si="237"/>
        <v>0</v>
      </c>
      <c r="EW19" s="57">
        <f>IF(OR(AND(EK$6=1,$L19=0),AND(EK$6=2,$K19=2,$G19=1)),0,IF(AND(EM$9=2,(OR($F19&gt;1,$K19=1,AND($L19=80,OR($N19=1,AND($N19=2,'#BerechnungDBE'!$AL10&gt;0)))))),IF(EK$4&gt;=$AD$126,0,EU19),IF(EM$9=3,IF(OR(EK$4&gt;=$AD$127,AND($G19=1,$J19=2,EK$6=2),AND(EK$6=1,$N19&lt;&gt;1)),0,IF(EO19&lt;=120,EU19,IF(EK$4&lt;$AD$124,IF($F19=1,60/EM$4*EM$6,60/EM$4*EM$7),IF($F19=1,120/EM$4*EM$6,120/EM$4*EM$7)))),IF(OR($F19=3,$G19=2),IF(OR(AND(EK$4&gt;=$AD$119,$C19=2),AND(EK$4&gt;=$AF$119,$C19=1)),0,IF(EO19&lt;=60,EU19,60/EM$4*EM$7)),IF(AND($F19=2,$G19=1),EU19,0)))))</f>
        <v>0</v>
      </c>
      <c r="EX19" s="57" t="str">
        <f t="shared" si="58"/>
        <v/>
      </c>
      <c r="EY19" s="57" t="str">
        <f t="shared" si="59"/>
        <v/>
      </c>
      <c r="EZ19" s="713">
        <f>'org. Düngung 22'!AR18</f>
        <v>0</v>
      </c>
      <c r="FA19" s="57"/>
      <c r="FB19" s="57"/>
      <c r="FC19" s="57">
        <f t="shared" si="60"/>
        <v>0</v>
      </c>
      <c r="FD19" s="57">
        <f t="shared" si="238"/>
        <v>0</v>
      </c>
      <c r="FE19" s="57">
        <f t="shared" si="239"/>
        <v>0</v>
      </c>
      <c r="FF19" s="57">
        <f t="shared" si="240"/>
        <v>0</v>
      </c>
      <c r="FG19" s="57">
        <f t="shared" si="241"/>
        <v>0</v>
      </c>
      <c r="FH19" s="1029">
        <f t="shared" si="61"/>
        <v>0</v>
      </c>
      <c r="FI19" s="57">
        <f t="shared" si="62"/>
        <v>0</v>
      </c>
      <c r="FJ19" s="171" t="str">
        <f t="shared" si="63"/>
        <v/>
      </c>
      <c r="FK19" s="57">
        <f t="shared" si="242"/>
        <v>0</v>
      </c>
      <c r="FL19" s="57">
        <f>IF(OR(AND(EZ$6=1,$L19=0),AND(EZ$6=2,$K19=2,$G19=1)),0,IF(AND(FB$9=2,(OR($F19&gt;1,$K19=1,AND($L19=80,OR($N19=1,AND($N19=2,'#BerechnungDBE'!$AL10&gt;0)))))),IF(EZ$4&gt;=$AD$126,0,FJ19),IF(FB$9=3,IF(OR(EZ$4&gt;=$AD$127,AND($G19=1,$J19=2,EZ$6=2),AND(EZ$6=1,$N19&lt;&gt;1)),0,IF(FD19&lt;=120,FJ19,IF(EZ$4&lt;$AD$124,IF($F19=1,60/FB$4*FB$6,60/FB$4*FB$7),IF($F19=1,120/FB$4*FB$6,120/FB$4*FB$7)))),IF(OR($F19=3,$G19=2),IF(OR(AND(EZ$4&gt;=$AD$119,$C19=2),AND(EZ$4&gt;=$AF$119,$C19=1)),0,IF(FD19&lt;=60,FJ19,60/FB$4*FB$7)),IF(AND($F19=2,$G19=1),FJ19,0)))))</f>
        <v>0</v>
      </c>
      <c r="FM19" s="57" t="str">
        <f t="shared" si="64"/>
        <v/>
      </c>
      <c r="FN19" s="57" t="str">
        <f t="shared" si="65"/>
        <v/>
      </c>
      <c r="FO19" s="713">
        <f>'org. Düngung 22'!AV18</f>
        <v>0</v>
      </c>
      <c r="FP19" s="57"/>
      <c r="FQ19" s="57"/>
      <c r="FR19" s="57">
        <f t="shared" si="66"/>
        <v>0</v>
      </c>
      <c r="FS19" s="57">
        <f t="shared" si="243"/>
        <v>0</v>
      </c>
      <c r="FT19" s="57">
        <f t="shared" si="244"/>
        <v>0</v>
      </c>
      <c r="FU19" s="57">
        <f t="shared" si="245"/>
        <v>0</v>
      </c>
      <c r="FV19" s="57">
        <f t="shared" si="246"/>
        <v>0</v>
      </c>
      <c r="FW19" s="1029">
        <f t="shared" si="67"/>
        <v>0</v>
      </c>
      <c r="FX19" s="57">
        <f t="shared" si="68"/>
        <v>0</v>
      </c>
      <c r="FY19" s="171" t="str">
        <f t="shared" si="69"/>
        <v/>
      </c>
      <c r="FZ19" s="57">
        <f t="shared" si="247"/>
        <v>0</v>
      </c>
      <c r="GA19" s="57">
        <f>IF(OR(AND(FO$6=1,$L19=0),AND(FO$6=2,$K19=2,$G19=1)),0,IF(AND(FQ$9=2,(OR($F19&gt;1,$K19=1,AND($L19=80,OR($N19=1,AND($N19=2,'#BerechnungDBE'!$AL10&gt;0)))))),IF(FO$4&gt;=$AD$126,0,FY19),IF(FQ$9=3,IF(OR(FO$4&gt;=$AD$127,AND($G19=1,$J19=2,FO$6=2),AND(FO$6=1,$N19&lt;&gt;1)),0,IF(FS19&lt;=120,FY19,IF(FO$4&lt;$AD$124,IF($F19=1,60/FQ$4*FQ$6,60/FQ$4*FQ$7),IF($F19=1,120/FQ$4*FQ$6,120/FQ$4*FQ$7)))),IF(OR($F19=3,$G19=2),IF(OR(AND(FO$4&gt;=$AD$119,$C19=2),AND(FO$4&gt;=$AF$119,$C19=1)),0,IF(FS19&lt;=60,FY19,60/FQ$4*FQ$7)),IF(AND($F19=2,$G19=1),FY19,0)))))</f>
        <v>0</v>
      </c>
      <c r="GB19" s="57" t="str">
        <f t="shared" si="70"/>
        <v/>
      </c>
      <c r="GC19" s="57" t="str">
        <f t="shared" si="71"/>
        <v/>
      </c>
      <c r="GD19" s="713">
        <f>'org. Düngung 22'!AZ18</f>
        <v>0</v>
      </c>
      <c r="GE19" s="57"/>
      <c r="GF19" s="57"/>
      <c r="GG19" s="57">
        <f t="shared" si="72"/>
        <v>0</v>
      </c>
      <c r="GH19" s="57">
        <f t="shared" si="248"/>
        <v>0</v>
      </c>
      <c r="GI19" s="57">
        <f t="shared" si="249"/>
        <v>0</v>
      </c>
      <c r="GJ19" s="57">
        <f t="shared" si="250"/>
        <v>0</v>
      </c>
      <c r="GK19" s="57">
        <f t="shared" si="251"/>
        <v>0</v>
      </c>
      <c r="GL19" s="1029">
        <f t="shared" si="73"/>
        <v>0</v>
      </c>
      <c r="GM19" s="57">
        <f t="shared" si="74"/>
        <v>0</v>
      </c>
      <c r="GN19" s="171" t="str">
        <f t="shared" si="75"/>
        <v/>
      </c>
      <c r="GO19" s="57">
        <f t="shared" si="252"/>
        <v>0</v>
      </c>
      <c r="GP19" s="57">
        <f>IF(OR(AND(GD$6=1,$L19=0),AND(GD$6=2,$K19=2,$G19=1)),0,IF(AND(GF$9=2,(OR($F19&gt;1,$K19=1,AND($L19=80,OR($N19=1,AND($N19=2,'#BerechnungDBE'!$AL10&gt;0)))))),IF(GD$4&gt;=$AD$126,0,GN19),IF(GF$9=3,IF(OR(GD$4&gt;=$AD$127,AND($G19=1,$J19=2,GD$6=2),AND(GD$6=1,$N19&lt;&gt;1)),0,IF(GH19&lt;=120,GN19,IF(GD$4&lt;$AD$124,IF($F19=1,60/GF$4*GF$6,60/GF$4*GF$7),IF($F19=1,120/GF$4*GF$6,120/GF$4*GF$7)))),IF(OR($F19=3,$G19=2),IF(OR(AND(GD$4&gt;=$AD$119,$C19=2),AND(GD$4&gt;=$AF$119,$C19=1)),0,IF(GH19&lt;=60,GN19,60/GF$4*GF$7)),IF(AND($F19=2,$G19=1),GN19,0)))))</f>
        <v>0</v>
      </c>
      <c r="GQ19" s="57" t="str">
        <f t="shared" si="76"/>
        <v/>
      </c>
      <c r="GR19" s="57" t="str">
        <f t="shared" si="77"/>
        <v/>
      </c>
      <c r="GS19" s="713">
        <f>'org. Düngung 22'!BD18</f>
        <v>0</v>
      </c>
      <c r="GT19" s="57"/>
      <c r="GU19" s="57"/>
      <c r="GV19" s="57">
        <f t="shared" si="78"/>
        <v>0</v>
      </c>
      <c r="GW19" s="57">
        <f t="shared" si="253"/>
        <v>0</v>
      </c>
      <c r="GX19" s="57">
        <f t="shared" si="254"/>
        <v>0</v>
      </c>
      <c r="GY19" s="57">
        <f t="shared" si="255"/>
        <v>0</v>
      </c>
      <c r="GZ19" s="57">
        <f t="shared" si="256"/>
        <v>0</v>
      </c>
      <c r="HA19" s="1029">
        <f t="shared" si="79"/>
        <v>0</v>
      </c>
      <c r="HB19" s="57">
        <f t="shared" si="80"/>
        <v>0</v>
      </c>
      <c r="HC19" s="171" t="str">
        <f t="shared" si="81"/>
        <v/>
      </c>
      <c r="HD19" s="57">
        <f t="shared" si="257"/>
        <v>0</v>
      </c>
      <c r="HE19" s="57">
        <f>IF(OR(AND(GS$6=1,$L19=0),AND(GS$6=2,$K19=2,$G19=1)),0,IF(AND(GU$9=2,(OR($F19&gt;1,$K19=1,AND($L19=80,OR($N19=1,AND($N19=2,'#BerechnungDBE'!$AL10&gt;0)))))),IF(GS$4&gt;=$AD$126,0,HC19),IF(GU$9=3,IF(OR(GS$4&gt;=$AD$127,AND($G19=1,$J19=2,GS$6=2),AND(GS$6=1,$N19&lt;&gt;1)),0,IF(GW19&lt;=120,HC19,IF(GS$4&lt;$AD$124,IF($F19=1,60/GU$4*GU$6,60/GU$4*GU$7),IF($F19=1,120/GU$4*GU$6,120/GU$4*GU$7)))),IF(OR($F19=3,$G19=2),IF(OR(AND(GS$4&gt;=$AD$119,$C19=2),AND(GS$4&gt;=$AF$119,$C19=1)),0,IF(GW19&lt;=60,HC19,60/GU$4*GU$7)),IF(AND($F19=2,$G19=1),HC19,0)))))</f>
        <v>0</v>
      </c>
      <c r="HF19" s="57" t="str">
        <f t="shared" si="82"/>
        <v/>
      </c>
      <c r="HG19" s="57" t="str">
        <f t="shared" si="83"/>
        <v/>
      </c>
      <c r="HH19" s="713">
        <f>'org. Düngung 22'!BH18</f>
        <v>0</v>
      </c>
      <c r="HI19" s="57"/>
      <c r="HJ19" s="57"/>
      <c r="HK19" s="57">
        <f t="shared" si="84"/>
        <v>0</v>
      </c>
      <c r="HL19" s="57">
        <f t="shared" si="258"/>
        <v>0</v>
      </c>
      <c r="HM19" s="57">
        <f t="shared" si="259"/>
        <v>0</v>
      </c>
      <c r="HN19" s="57">
        <f t="shared" si="260"/>
        <v>0</v>
      </c>
      <c r="HO19" s="57">
        <f t="shared" si="261"/>
        <v>0</v>
      </c>
      <c r="HP19" s="1029">
        <f t="shared" si="85"/>
        <v>0</v>
      </c>
      <c r="HQ19" s="57">
        <f t="shared" si="86"/>
        <v>0</v>
      </c>
      <c r="HR19" s="171" t="str">
        <f t="shared" si="87"/>
        <v/>
      </c>
      <c r="HS19" s="57">
        <f t="shared" si="262"/>
        <v>0</v>
      </c>
      <c r="HT19" s="57">
        <f>IF(OR(AND(HH$6=1,$L19=0),AND(HH$6=2,$K19=2,$G19=1)),0,IF(AND(HJ$9=2,(OR($F19&gt;1,$K19=1,AND($L19=80,OR($N19=1,AND($N19=2,'#BerechnungDBE'!$AL10&gt;0)))))),IF(HH$4&gt;=$AD$126,0,HR19),IF(HJ$9=3,IF(OR(HH$4&gt;=$AD$127,AND($G19=1,$J19=2,HH$6=2),AND(HH$6=1,$N19&lt;&gt;1)),0,IF(HL19&lt;=120,HR19,IF(HH$4&lt;$AD$124,IF($F19=1,60/HJ$4*HJ$6,60/HJ$4*HJ$7),IF($F19=1,120/HJ$4*HJ$6,120/HJ$4*HJ$7)))),IF(OR($F19=3,$G19=2),IF(OR(AND(HH$4&gt;=$AD$119,$C19=2),AND(HH$4&gt;=$AF$119,$C19=1)),0,IF(HL19&lt;=60,HR19,60/HJ$4*HJ$7)),IF(AND($F19=2,$G19=1),HR19,0)))))</f>
        <v>0</v>
      </c>
      <c r="HU19" s="57" t="str">
        <f t="shared" si="88"/>
        <v/>
      </c>
      <c r="HV19" s="57" t="str">
        <f t="shared" si="89"/>
        <v/>
      </c>
      <c r="HW19" s="713">
        <f>'org. Düngung 22'!BL18</f>
        <v>0</v>
      </c>
      <c r="HX19" s="57"/>
      <c r="HY19" s="57"/>
      <c r="HZ19" s="57">
        <f t="shared" si="90"/>
        <v>0</v>
      </c>
      <c r="IA19" s="57">
        <f t="shared" si="263"/>
        <v>0</v>
      </c>
      <c r="IB19" s="57">
        <f t="shared" si="264"/>
        <v>0</v>
      </c>
      <c r="IC19" s="57">
        <f t="shared" si="265"/>
        <v>0</v>
      </c>
      <c r="ID19" s="57">
        <f t="shared" si="266"/>
        <v>0</v>
      </c>
      <c r="IE19" s="1029">
        <f t="shared" si="91"/>
        <v>0</v>
      </c>
      <c r="IF19" s="57">
        <f t="shared" si="92"/>
        <v>0</v>
      </c>
      <c r="IG19" s="171" t="str">
        <f t="shared" si="93"/>
        <v/>
      </c>
      <c r="IH19" s="57">
        <f t="shared" si="267"/>
        <v>0</v>
      </c>
      <c r="II19" s="57">
        <f>IF(OR(AND(HW$6=1,$L19=0),AND(HW$6=2,$K19=2,$G19=1)),0,IF(AND(HY$9=2,(OR($F19&gt;1,$K19=1,AND($L19=80,OR($N19=1,AND($N19=2,'#BerechnungDBE'!$AL10&gt;0)))))),IF(HW$4&gt;=$AD$126,0,IG19),IF(HY$9=3,IF(OR(HW$4&gt;=$AD$127,AND($G19=1,$J19=2,HW$6=2),AND(HW$6=1,$N19&lt;&gt;1)),0,IF(IA19&lt;=120,IG19,IF(HW$4&lt;$AD$124,IF($F19=1,60/HY$4*HY$6,60/HY$4*HY$7),IF($F19=1,120/HY$4*HY$6,120/HY$4*HY$7)))),IF(OR($F19=3,$G19=2),IF(OR(AND(HW$4&gt;=$AD$119,$C19=2),AND(HW$4&gt;=$AF$119,$C19=1)),0,IF(IA19&lt;=60,IG19,60/HY$4*HY$7)),IF(AND($F19=2,$G19=1),IG19,0)))))</f>
        <v>0</v>
      </c>
      <c r="IJ19" s="57" t="str">
        <f t="shared" si="94"/>
        <v/>
      </c>
      <c r="IK19" s="57" t="str">
        <f t="shared" si="95"/>
        <v/>
      </c>
      <c r="IL19" s="713">
        <f>'org. Düngung 22'!BP18</f>
        <v>0</v>
      </c>
      <c r="IM19" s="57"/>
      <c r="IN19" s="57"/>
      <c r="IO19" s="57">
        <f t="shared" si="96"/>
        <v>0</v>
      </c>
      <c r="IP19" s="57">
        <f t="shared" si="268"/>
        <v>0</v>
      </c>
      <c r="IQ19" s="57">
        <f t="shared" si="269"/>
        <v>0</v>
      </c>
      <c r="IR19" s="57">
        <f t="shared" si="270"/>
        <v>0</v>
      </c>
      <c r="IS19" s="57">
        <f t="shared" si="271"/>
        <v>0</v>
      </c>
      <c r="IT19" s="1029">
        <f t="shared" si="97"/>
        <v>0</v>
      </c>
      <c r="IU19" s="57">
        <f t="shared" si="98"/>
        <v>0</v>
      </c>
      <c r="IV19" s="171" t="str">
        <f t="shared" si="99"/>
        <v/>
      </c>
      <c r="IW19" s="57">
        <f t="shared" si="272"/>
        <v>0</v>
      </c>
      <c r="IX19" s="57">
        <f>IF(OR(AND(IL$6=1,$L19=0),AND(IL$6=2,$K19=2,$G19=1)),0,IF(AND(IN$9=2,(OR($F19&gt;1,$K19=1,AND($L19=80,OR($N19=1,AND($N19=2,'#BerechnungDBE'!$AL10&gt;0)))))),IF(IL$4&gt;=$AD$126,0,IV19),IF(IN$9=3,IF(OR(IL$4&gt;=$AD$127,AND($G19=1,$J19=2,IL$6=2),AND(IL$6=1,$N19&lt;&gt;1)),0,IF(IP19&lt;=120,IV19,IF(IL$4&lt;$AD$124,IF($F19=1,60/IN$4*IN$6,60/IN$4*IN$7),IF($F19=1,120/IN$4*IN$6,120/IN$4*IN$7)))),IF(OR($F19=3,$G19=2),IF(OR(AND(IL$4&gt;=$AD$119,$C19=2),AND(IL$4&gt;=$AF$119,$C19=1)),0,IF(IP19&lt;=60,IV19,60/IN$4*IN$7)),IF(AND($F19=2,$G19=1),IV19,0)))))</f>
        <v>0</v>
      </c>
      <c r="IY19" s="57" t="str">
        <f t="shared" si="100"/>
        <v/>
      </c>
      <c r="IZ19" s="57" t="str">
        <f t="shared" si="101"/>
        <v/>
      </c>
      <c r="JA19" s="713">
        <f>'org. Düngung 22'!BT18</f>
        <v>0</v>
      </c>
      <c r="JB19" s="57"/>
      <c r="JC19" s="57"/>
      <c r="JD19" s="57">
        <f t="shared" si="102"/>
        <v>0</v>
      </c>
      <c r="JE19" s="57">
        <f t="shared" si="273"/>
        <v>0</v>
      </c>
      <c r="JF19" s="57">
        <f t="shared" si="274"/>
        <v>0</v>
      </c>
      <c r="JG19" s="57">
        <f t="shared" si="275"/>
        <v>0</v>
      </c>
      <c r="JH19" s="57">
        <f t="shared" si="276"/>
        <v>0</v>
      </c>
      <c r="JI19" s="1029">
        <f t="shared" si="103"/>
        <v>0</v>
      </c>
      <c r="JJ19" s="57">
        <f t="shared" si="104"/>
        <v>0</v>
      </c>
      <c r="JK19" s="171" t="str">
        <f t="shared" si="105"/>
        <v/>
      </c>
      <c r="JL19" s="57">
        <f t="shared" si="277"/>
        <v>0</v>
      </c>
      <c r="JM19" s="57">
        <f>IF(OR(AND(JA$6=1,$L19=0),AND(JA$6=2,$K19=2,$G19=1)),0,IF(AND(JC$9=2,(OR($F19&gt;1,$K19=1,AND($L19=80,OR($N19=1,AND($N19=2,'#BerechnungDBE'!$AL10&gt;0)))))),IF(JA$4&gt;=$AD$126,0,JK19),IF(JC$9=3,IF(OR(JA$4&gt;=$AD$127,AND($G19=1,$J19=2,JA$6=2),AND(JA$6=1,$N19&lt;&gt;1)),0,IF(JE19&lt;=120,JK19,IF(JA$4&lt;$AD$124,IF($F19=1,60/JC$4*JC$6,60/JC$4*JC$7),IF($F19=1,120/JC$4*JC$6,120/JC$4*JC$7)))),IF(OR($F19=3,$G19=2),IF(OR(AND(JA$4&gt;=$AD$119,$C19=2),AND(JA$4&gt;=$AF$119,$C19=1)),0,IF(JE19&lt;=60,JK19,60/JC$4*JC$7)),IF(AND($F19=2,$G19=1),JK19,0)))))</f>
        <v>0</v>
      </c>
      <c r="JN19" s="57" t="str">
        <f t="shared" si="106"/>
        <v/>
      </c>
      <c r="JO19" s="57" t="str">
        <f t="shared" si="107"/>
        <v/>
      </c>
      <c r="JP19" s="713">
        <f>'org. Düngung 22'!BX18</f>
        <v>0</v>
      </c>
      <c r="JQ19" s="57"/>
      <c r="JR19" s="57"/>
      <c r="JS19" s="57">
        <f t="shared" si="108"/>
        <v>0</v>
      </c>
      <c r="JT19" s="57">
        <f t="shared" si="278"/>
        <v>0</v>
      </c>
      <c r="JU19" s="57">
        <f t="shared" si="279"/>
        <v>0</v>
      </c>
      <c r="JV19" s="57">
        <f t="shared" si="280"/>
        <v>0</v>
      </c>
      <c r="JW19" s="57">
        <f t="shared" si="281"/>
        <v>0</v>
      </c>
      <c r="JX19" s="1029">
        <f t="shared" si="109"/>
        <v>0</v>
      </c>
      <c r="JY19" s="57">
        <f t="shared" si="110"/>
        <v>0</v>
      </c>
      <c r="JZ19" s="171" t="str">
        <f t="shared" si="111"/>
        <v/>
      </c>
      <c r="KA19" s="57">
        <f t="shared" si="282"/>
        <v>0</v>
      </c>
      <c r="KB19" s="57">
        <f>IF(OR(AND(JP$6=1,$L19=0),AND(JP$6=2,$K19=2,$G19=1)),0,IF(AND(JR$9=2,(OR($F19&gt;1,$K19=1,AND($L19=80,OR($N19=1,AND($N19=2,'#BerechnungDBE'!$AL10&gt;0)))))),IF(JP$4&gt;=$AD$126,0,JZ19),IF(JR$9=3,IF(OR(JP$4&gt;=$AD$127,AND($G19=1,$J19=2,JP$6=2),AND(JP$6=1,$N19&lt;&gt;1)),0,IF(JT19&lt;=120,JZ19,IF(JP$4&lt;$AD$124,IF($F19=1,60/JR$4*JR$6,60/JR$4*JR$7),IF($F19=1,120/JR$4*JR$6,120/JR$4*JR$7)))),IF(OR($F19=3,$G19=2),IF(OR(AND(JP$4&gt;=$AD$119,$C19=2),AND(JP$4&gt;=$AF$119,$C19=1)),0,IF(JT19&lt;=60,JZ19,60/JR$4*JR$7)),IF(AND($F19=2,$G19=1),JZ19,0)))))</f>
        <v>0</v>
      </c>
      <c r="KC19" s="57" t="str">
        <f t="shared" si="112"/>
        <v/>
      </c>
      <c r="KD19" s="57" t="str">
        <f t="shared" si="113"/>
        <v/>
      </c>
      <c r="KE19" s="713">
        <f>'org. Düngung 22'!CB18</f>
        <v>0</v>
      </c>
      <c r="KF19" s="57"/>
      <c r="KG19" s="57"/>
      <c r="KH19" s="57">
        <f t="shared" si="114"/>
        <v>0</v>
      </c>
      <c r="KI19" s="57">
        <f t="shared" si="283"/>
        <v>0</v>
      </c>
      <c r="KJ19" s="57">
        <f t="shared" si="284"/>
        <v>0</v>
      </c>
      <c r="KK19" s="57">
        <f t="shared" si="285"/>
        <v>0</v>
      </c>
      <c r="KL19" s="57">
        <f t="shared" si="286"/>
        <v>0</v>
      </c>
      <c r="KM19" s="1029">
        <f t="shared" si="115"/>
        <v>0</v>
      </c>
      <c r="KN19" s="57">
        <f t="shared" si="116"/>
        <v>0</v>
      </c>
      <c r="KO19" s="171" t="str">
        <f t="shared" si="117"/>
        <v/>
      </c>
      <c r="KP19" s="57">
        <f t="shared" si="287"/>
        <v>0</v>
      </c>
      <c r="KQ19" s="57">
        <f>IF(OR(AND(KE$6=1,$L19=0),AND(KE$6=2,$K19=2,$G19=1)),0,IF(AND(KG$9=2,(OR($F19&gt;1,$K19=1,AND($L19=80,OR($N19=1,AND($N19=2,'#BerechnungDBE'!$AL10&gt;0)))))),IF(KE$4&gt;=$AD$126,0,KO19),IF(KG$9=3,IF(OR(KE$4&gt;=$AD$127,AND($G19=1,$J19=2,KE$6=2),AND(KE$6=1,$N19&lt;&gt;1)),0,IF(KI19&lt;=120,KO19,IF(KE$4&lt;$AD$124,IF($F19=1,60/KG$4*KG$6,60/KG$4*KG$7),IF($F19=1,120/KG$4*KG$6,120/KG$4*KG$7)))),IF(OR($F19=3,$G19=2),IF(OR(AND(KE$4&gt;=$AD$119,$C19=2),AND(KE$4&gt;=$AF$119,$C19=1)),0,IF(KI19&lt;=60,KO19,60/KG$4*KG$7)),IF(AND($F19=2,$G19=1),KO19,0)))))</f>
        <v>0</v>
      </c>
      <c r="KR19" s="57" t="str">
        <f t="shared" si="118"/>
        <v/>
      </c>
      <c r="KS19" s="57" t="str">
        <f t="shared" si="119"/>
        <v/>
      </c>
      <c r="KT19" s="713">
        <f>'org. Düngung 22'!CF18</f>
        <v>0</v>
      </c>
      <c r="KU19" s="57"/>
      <c r="KV19" s="57"/>
      <c r="KW19" s="57">
        <f t="shared" si="120"/>
        <v>0</v>
      </c>
      <c r="KX19" s="57">
        <f t="shared" si="288"/>
        <v>0</v>
      </c>
      <c r="KY19" s="57">
        <f t="shared" si="289"/>
        <v>0</v>
      </c>
      <c r="KZ19" s="57">
        <f t="shared" si="290"/>
        <v>0</v>
      </c>
      <c r="LA19" s="57">
        <f t="shared" si="291"/>
        <v>0</v>
      </c>
      <c r="LB19" s="1029">
        <f t="shared" si="121"/>
        <v>0</v>
      </c>
      <c r="LC19" s="57">
        <f t="shared" si="122"/>
        <v>0</v>
      </c>
      <c r="LD19" s="171" t="str">
        <f t="shared" si="123"/>
        <v/>
      </c>
      <c r="LE19" s="57">
        <f t="shared" si="292"/>
        <v>0</v>
      </c>
      <c r="LF19" s="57">
        <f>IF(OR(AND(KT$6=1,$L19=0),AND(KT$6=2,$K19=2,$G19=1)),0,IF(AND(KV$9=2,(OR($F19&gt;1,$K19=1,AND($L19=80,OR($N19=1,AND($N19=2,'#BerechnungDBE'!$AL10&gt;0)))))),IF(KT$4&gt;=$AD$126,0,LD19),IF(KV$9=3,IF(OR(KT$4&gt;=$AD$127,AND($G19=1,$J19=2,KT$6=2),AND(KT$6=1,$N19&lt;&gt;1)),0,IF(KX19&lt;=120,LD19,IF(KT$4&lt;$AD$124,IF($F19=1,60/KV$4*KV$6,60/KV$4*KV$7),IF($F19=1,120/KV$4*KV$6,120/KV$4*KV$7)))),IF(OR($F19=3,$G19=2),IF(OR(AND(KT$4&gt;=$AD$119,$C19=2),AND(KT$4&gt;=$AF$119,$C19=1)),0,IF(KX19&lt;=60,LD19,60/KV$4*KV$7)),IF(AND($F19=2,$G19=1),LD19,0)))))</f>
        <v>0</v>
      </c>
      <c r="LG19" s="57" t="str">
        <f t="shared" si="124"/>
        <v/>
      </c>
      <c r="LH19" s="57" t="str">
        <f t="shared" si="125"/>
        <v/>
      </c>
      <c r="LI19" s="713">
        <f>'org. Düngung 22'!CJ18</f>
        <v>0</v>
      </c>
      <c r="LJ19" s="57"/>
      <c r="LK19" s="57"/>
      <c r="LL19" s="57">
        <f t="shared" si="126"/>
        <v>0</v>
      </c>
      <c r="LM19" s="57">
        <f t="shared" si="293"/>
        <v>0</v>
      </c>
      <c r="LN19" s="57">
        <f t="shared" si="294"/>
        <v>0</v>
      </c>
      <c r="LO19" s="57">
        <f t="shared" si="295"/>
        <v>0</v>
      </c>
      <c r="LP19" s="57">
        <f t="shared" si="296"/>
        <v>0</v>
      </c>
      <c r="LQ19" s="1029">
        <f t="shared" si="127"/>
        <v>0</v>
      </c>
      <c r="LR19" s="57">
        <f t="shared" si="128"/>
        <v>0</v>
      </c>
      <c r="LS19" s="171" t="str">
        <f t="shared" si="129"/>
        <v/>
      </c>
      <c r="LT19" s="57">
        <f t="shared" si="297"/>
        <v>0</v>
      </c>
      <c r="LU19" s="57">
        <f>IF(OR(AND(LI$6=1,$L19=0),AND(LI$6=2,$K19=2,$G19=1)),0,IF(AND(LK$9=2,(OR($F19&gt;1,$K19=1,AND($L19=80,OR($N19=1,AND($N19=2,'#BerechnungDBE'!$AL10&gt;0)))))),IF(LI$4&gt;=$AD$126,0,LS19),IF(LK$9=3,IF(OR(LI$4&gt;=$AD$127,AND($G19=1,$J19=2,LI$6=2),AND(LI$6=1,$N19&lt;&gt;1)),0,IF(LM19&lt;=120,LS19,IF(LI$4&lt;$AD$124,IF($F19=1,60/LK$4*LK$6,60/LK$4*LK$7),IF($F19=1,120/LK$4*LK$6,120/LK$4*LK$7)))),IF(OR($F19=3,$G19=2),IF(OR(AND(LI$4&gt;=$AD$119,$C19=2),AND(LI$4&gt;=$AF$119,$C19=1)),0,IF(LM19&lt;=60,LS19,60/LK$4*LK$7)),IF(AND($F19=2,$G19=1),LS19,0)))))</f>
        <v>0</v>
      </c>
      <c r="LV19" s="57" t="str">
        <f t="shared" si="130"/>
        <v/>
      </c>
      <c r="LW19" s="57" t="str">
        <f t="shared" si="131"/>
        <v/>
      </c>
      <c r="LX19" s="713">
        <f>'org. Düngung 22'!CN18</f>
        <v>0</v>
      </c>
      <c r="LY19" s="57"/>
      <c r="LZ19" s="57"/>
      <c r="MA19" s="57">
        <f t="shared" si="132"/>
        <v>0</v>
      </c>
      <c r="MB19" s="57">
        <f t="shared" si="298"/>
        <v>0</v>
      </c>
      <c r="MC19" s="57">
        <f t="shared" si="299"/>
        <v>0</v>
      </c>
      <c r="MD19" s="57">
        <f t="shared" si="300"/>
        <v>0</v>
      </c>
      <c r="ME19" s="57">
        <f t="shared" si="301"/>
        <v>0</v>
      </c>
      <c r="MF19" s="1029">
        <f t="shared" si="133"/>
        <v>0</v>
      </c>
      <c r="MG19" s="57">
        <f t="shared" si="134"/>
        <v>0</v>
      </c>
      <c r="MH19" s="171" t="str">
        <f t="shared" si="135"/>
        <v/>
      </c>
      <c r="MI19" s="57">
        <f t="shared" si="302"/>
        <v>0</v>
      </c>
      <c r="MJ19" s="57">
        <f>IF(OR(AND(LX$6=1,$L19=0),AND(LX$6=2,$K19=2,$G19=1)),0,IF(AND(LZ$9=2,(OR($F19&gt;1,$K19=1,AND($L19=80,OR($N19=1,AND($N19=2,'#BerechnungDBE'!$AL10&gt;0)))))),IF(LX$4&gt;=$AD$126,0,MH19),IF(LZ$9=3,IF(OR(LX$4&gt;=$AD$127,AND($G19=1,$J19=2,LX$6=2),AND(LX$6=1,$N19&lt;&gt;1)),0,IF(MB19&lt;=120,MH19,IF(LX$4&lt;$AD$124,IF($F19=1,60/LZ$4*LZ$6,60/LZ$4*LZ$7),IF($F19=1,120/LZ$4*LZ$6,120/LZ$4*LZ$7)))),IF(OR($F19=3,$G19=2),IF(OR(AND(LX$4&gt;=$AD$119,$C19=2),AND(LX$4&gt;=$AF$119,$C19=1)),0,IF(MB19&lt;=60,MH19,60/LZ$4*LZ$7)),IF(AND($F19=2,$G19=1),MH19,0)))))</f>
        <v>0</v>
      </c>
      <c r="MK19" s="57" t="str">
        <f t="shared" si="136"/>
        <v/>
      </c>
      <c r="ML19" s="57" t="str">
        <f t="shared" si="137"/>
        <v/>
      </c>
      <c r="MM19" s="713">
        <f>'org. Düngung 22'!CR18</f>
        <v>0</v>
      </c>
      <c r="MN19" s="57"/>
      <c r="MO19" s="57"/>
      <c r="MP19" s="57">
        <f t="shared" si="138"/>
        <v>0</v>
      </c>
      <c r="MQ19" s="57">
        <f t="shared" si="303"/>
        <v>0</v>
      </c>
      <c r="MR19" s="57">
        <f t="shared" si="304"/>
        <v>0</v>
      </c>
      <c r="MS19" s="57">
        <f t="shared" si="305"/>
        <v>0</v>
      </c>
      <c r="MT19" s="57">
        <f t="shared" si="306"/>
        <v>0</v>
      </c>
      <c r="MU19" s="1029">
        <f t="shared" si="139"/>
        <v>0</v>
      </c>
      <c r="MV19" s="57">
        <f t="shared" si="140"/>
        <v>0</v>
      </c>
      <c r="MW19" s="171" t="str">
        <f t="shared" si="141"/>
        <v/>
      </c>
      <c r="MX19" s="57">
        <f t="shared" si="307"/>
        <v>0</v>
      </c>
      <c r="MY19" s="57">
        <f>IF(OR(AND(MM$6=1,$L19=0),AND(MM$6=2,$K19=2,$G19=1)),0,IF(AND(MO$9=2,(OR($F19&gt;1,$K19=1,AND($L19=80,OR($N19=1,AND($N19=2,'#BerechnungDBE'!$AL10&gt;0)))))),IF(MM$4&gt;=$AD$126,0,MW19),IF(MO$9=3,IF(OR(MM$4&gt;=$AD$127,AND($G19=1,$J19=2,MM$6=2),AND(MM$6=1,$N19&lt;&gt;1)),0,IF(MQ19&lt;=120,MW19,IF(MM$4&lt;$AD$124,IF($F19=1,60/MO$4*MO$6,60/MO$4*MO$7),IF($F19=1,120/MO$4*MO$6,120/MO$4*MO$7)))),IF(OR($F19=3,$G19=2),IF(OR(AND(MM$4&gt;=$AD$119,$C19=2),AND(MM$4&gt;=$AF$119,$C19=1)),0,IF(MQ19&lt;=60,MW19,60/MO$4*MO$7)),IF(AND($F19=2,$G19=1),MW19,0)))))</f>
        <v>0</v>
      </c>
      <c r="MZ19" s="57" t="str">
        <f t="shared" si="142"/>
        <v/>
      </c>
      <c r="NA19" s="57" t="str">
        <f t="shared" si="143"/>
        <v/>
      </c>
      <c r="NB19" s="713">
        <f>'org. Düngung 22'!CV18</f>
        <v>0</v>
      </c>
      <c r="NC19" s="57"/>
      <c r="ND19" s="57"/>
      <c r="NE19" s="57">
        <f t="shared" si="144"/>
        <v>0</v>
      </c>
      <c r="NF19" s="57">
        <f t="shared" si="308"/>
        <v>0</v>
      </c>
      <c r="NG19" s="57">
        <f t="shared" si="309"/>
        <v>0</v>
      </c>
      <c r="NH19" s="57">
        <f t="shared" si="310"/>
        <v>0</v>
      </c>
      <c r="NI19" s="57">
        <f t="shared" si="311"/>
        <v>0</v>
      </c>
      <c r="NJ19" s="1029">
        <f t="shared" si="145"/>
        <v>0</v>
      </c>
      <c r="NK19" s="57">
        <f t="shared" si="146"/>
        <v>0</v>
      </c>
      <c r="NL19" s="171" t="str">
        <f t="shared" si="147"/>
        <v/>
      </c>
      <c r="NM19" s="57">
        <f t="shared" si="312"/>
        <v>0</v>
      </c>
      <c r="NN19" s="57">
        <f>IF(OR(AND(NB$6=1,$L19=0),AND(NB$6=2,$K19=2,$G19=1)),0,IF(AND(ND$9=2,(OR($F19&gt;1,$K19=1,AND($L19=80,OR($N19=1,AND($N19=2,'#BerechnungDBE'!$AL10&gt;0)))))),IF(NB$4&gt;=$AD$126,0,NL19),IF(ND$9=3,IF(OR(NB$4&gt;=$AD$127,AND($G19=1,$J19=2,NB$6=2),AND(NB$6=1,$N19&lt;&gt;1)),0,IF(NF19&lt;=120,NL19,IF(NB$4&lt;$AD$124,IF($F19=1,60/ND$4*ND$6,60/ND$4*ND$7),IF($F19=1,120/ND$4*ND$6,120/ND$4*ND$7)))),IF(OR($F19=3,$G19=2),IF(OR(AND(NB$4&gt;=$AD$119,$C19=2),AND(NB$4&gt;=$AF$119,$C19=1)),0,IF(NF19&lt;=60,NL19,60/ND$4*ND$7)),IF(AND($F19=2,$G19=1),NL19,0)))))</f>
        <v>0</v>
      </c>
      <c r="NO19" s="57" t="str">
        <f t="shared" si="148"/>
        <v/>
      </c>
      <c r="NP19" s="57" t="str">
        <f t="shared" si="149"/>
        <v/>
      </c>
      <c r="NQ19" s="713">
        <f>'org. Düngung 22'!CZ18</f>
        <v>0</v>
      </c>
      <c r="NR19" s="57"/>
      <c r="NS19" s="57"/>
      <c r="NT19" s="57">
        <f t="shared" si="150"/>
        <v>0</v>
      </c>
      <c r="NU19" s="57">
        <f t="shared" si="313"/>
        <v>0</v>
      </c>
      <c r="NV19" s="57">
        <f t="shared" si="314"/>
        <v>0</v>
      </c>
      <c r="NW19" s="57">
        <f t="shared" si="315"/>
        <v>0</v>
      </c>
      <c r="NX19" s="57">
        <f t="shared" si="316"/>
        <v>0</v>
      </c>
      <c r="NY19" s="1029">
        <f t="shared" si="151"/>
        <v>0</v>
      </c>
      <c r="NZ19" s="57">
        <f t="shared" si="152"/>
        <v>0</v>
      </c>
      <c r="OA19" s="171" t="str">
        <f t="shared" si="153"/>
        <v/>
      </c>
      <c r="OB19" s="57">
        <f t="shared" si="317"/>
        <v>0</v>
      </c>
      <c r="OC19" s="57">
        <f>IF(OR(AND(NQ$6=1,$L19=0),AND(NQ$6=2,$K19=2,$G19=1)),0,IF(AND(NS$9=2,(OR($F19&gt;1,$K19=1,AND($L19=80,OR($N19=1,AND($N19=2,'#BerechnungDBE'!$AL10&gt;0)))))),IF(NQ$4&gt;=$AD$126,0,OA19),IF(NS$9=3,IF(OR(NQ$4&gt;=$AD$127,AND($G19=1,$J19=2,NQ$6=2),AND(NQ$6=1,$N19&lt;&gt;1)),0,IF(NU19&lt;=120,OA19,IF(NQ$4&lt;$AD$124,IF($F19=1,60/NS$4*NS$6,60/NS$4*NS$7),IF($F19=1,120/NS$4*NS$6,120/NS$4*NS$7)))),IF(OR($F19=3,$G19=2),IF(OR(AND(NQ$4&gt;=$AD$119,$C19=2),AND(NQ$4&gt;=$AF$119,$C19=1)),0,IF(NU19&lt;=60,OA19,60/NS$4*NS$7)),IF(AND($F19=2,$G19=1),OA19,0)))))</f>
        <v>0</v>
      </c>
      <c r="OD19" s="57" t="str">
        <f t="shared" si="154"/>
        <v/>
      </c>
      <c r="OE19" s="57" t="str">
        <f t="shared" si="155"/>
        <v/>
      </c>
      <c r="OF19" s="713">
        <f>'org. Düngung 22'!DD18</f>
        <v>0</v>
      </c>
      <c r="OG19" s="57"/>
      <c r="OH19" s="57"/>
      <c r="OI19" s="57">
        <f t="shared" si="156"/>
        <v>0</v>
      </c>
      <c r="OJ19" s="57">
        <f t="shared" si="318"/>
        <v>0</v>
      </c>
      <c r="OK19" s="57">
        <f t="shared" si="319"/>
        <v>0</v>
      </c>
      <c r="OL19" s="57">
        <f t="shared" si="320"/>
        <v>0</v>
      </c>
      <c r="OM19" s="57">
        <f t="shared" si="321"/>
        <v>0</v>
      </c>
      <c r="ON19" s="1029">
        <f t="shared" si="157"/>
        <v>0</v>
      </c>
      <c r="OO19" s="57">
        <f t="shared" si="158"/>
        <v>0</v>
      </c>
      <c r="OP19" s="171" t="str">
        <f t="shared" si="159"/>
        <v/>
      </c>
      <c r="OQ19" s="57">
        <f t="shared" si="322"/>
        <v>0</v>
      </c>
      <c r="OR19" s="57">
        <f>IF(OR(AND(OF$6=1,$L19=0),AND(OF$6=2,$K19=2,$G19=1)),0,IF(AND(OH$9=2,(OR($F19&gt;1,$K19=1,AND($L19=80,OR($N19=1,AND($N19=2,'#BerechnungDBE'!$AL10&gt;0)))))),IF(OF$4&gt;=$AD$126,0,OP19),IF(OH$9=3,IF(OR(OF$4&gt;=$AD$127,AND($G19=1,$J19=2,OF$6=2),AND(OF$6=1,$N19&lt;&gt;1)),0,IF(OJ19&lt;=120,OP19,IF(OF$4&lt;$AD$124,IF($F19=1,60/OH$4*OH$6,60/OH$4*OH$7),IF($F19=1,120/OH$4*OH$6,120/OH$4*OH$7)))),IF(OR($F19=3,$G19=2),IF(OR(AND(OF$4&gt;=$AD$119,$C19=2),AND(OF$4&gt;=$AF$119,$C19=1)),0,IF(OJ19&lt;=60,OP19,60/OH$4*OH$7)),IF(AND($F19=2,$G19=1),OP19,0)))))</f>
        <v>0</v>
      </c>
      <c r="OS19" s="57" t="str">
        <f t="shared" si="160"/>
        <v/>
      </c>
      <c r="OT19" s="57" t="str">
        <f t="shared" si="161"/>
        <v/>
      </c>
      <c r="OU19" s="713">
        <f>'org. Düngung 22'!DH18</f>
        <v>0</v>
      </c>
      <c r="OV19" s="57"/>
      <c r="OW19" s="57"/>
      <c r="OX19" s="57">
        <f t="shared" si="162"/>
        <v>0</v>
      </c>
      <c r="OY19" s="57">
        <f t="shared" si="323"/>
        <v>0</v>
      </c>
      <c r="OZ19" s="57">
        <f t="shared" si="324"/>
        <v>0</v>
      </c>
      <c r="PA19" s="57">
        <f t="shared" si="325"/>
        <v>0</v>
      </c>
      <c r="PB19" s="57">
        <f t="shared" si="326"/>
        <v>0</v>
      </c>
      <c r="PC19" s="1029">
        <f t="shared" si="163"/>
        <v>0</v>
      </c>
      <c r="PD19" s="57">
        <f t="shared" si="164"/>
        <v>0</v>
      </c>
      <c r="PE19" s="171" t="str">
        <f t="shared" si="165"/>
        <v/>
      </c>
      <c r="PF19" s="57">
        <f t="shared" si="327"/>
        <v>0</v>
      </c>
      <c r="PG19" s="57">
        <f>IF(OR(AND(OU$6=1,$L19=0),AND(OU$6=2,$K19=2,$G19=1)),0,IF(AND(OW$9=2,(OR($F19&gt;1,$K19=1,AND($L19=80,OR($N19=1,AND($N19=2,'#BerechnungDBE'!$AL10&gt;0)))))),IF(OU$4&gt;=$AD$126,0,PE19),IF(OW$9=3,IF(OR(OU$4&gt;=$AD$127,AND($G19=1,$J19=2,OU$6=2),AND(OU$6=1,$N19&lt;&gt;1)),0,IF(OY19&lt;=120,PE19,IF(OU$4&lt;$AD$124,IF($F19=1,60/OW$4*OW$6,60/OW$4*OW$7),IF($F19=1,120/OW$4*OW$6,120/OW$4*OW$7)))),IF(OR($F19=3,$G19=2),IF(OR(AND(OU$4&gt;=$AD$119,$C19=2),AND(OU$4&gt;=$AF$119,$C19=1)),0,IF(OY19&lt;=60,PE19,60/OW$4*OW$7)),IF(AND($F19=2,$G19=1),PE19,0)))))</f>
        <v>0</v>
      </c>
      <c r="PH19" s="57" t="str">
        <f t="shared" si="166"/>
        <v/>
      </c>
      <c r="PI19" s="57" t="str">
        <f t="shared" si="167"/>
        <v/>
      </c>
      <c r="PJ19" s="713">
        <f>'org. Düngung 22'!DL18</f>
        <v>0</v>
      </c>
      <c r="PK19" s="57"/>
      <c r="PL19" s="57"/>
      <c r="PM19" s="57">
        <f t="shared" si="168"/>
        <v>0</v>
      </c>
      <c r="PN19" s="57">
        <f t="shared" si="328"/>
        <v>0</v>
      </c>
      <c r="PO19" s="57">
        <f t="shared" si="329"/>
        <v>0</v>
      </c>
      <c r="PP19" s="57">
        <f t="shared" si="330"/>
        <v>0</v>
      </c>
      <c r="PQ19" s="57">
        <f t="shared" si="331"/>
        <v>0</v>
      </c>
      <c r="PR19" s="1029">
        <f t="shared" si="169"/>
        <v>0</v>
      </c>
      <c r="PS19" s="57">
        <f t="shared" si="170"/>
        <v>0</v>
      </c>
      <c r="PT19" s="171" t="str">
        <f t="shared" si="171"/>
        <v/>
      </c>
      <c r="PU19" s="57">
        <f t="shared" si="332"/>
        <v>0</v>
      </c>
      <c r="PV19" s="57">
        <f>IF(OR(AND(PJ$6=1,$L19=0),AND(PJ$6=2,$K19=2,$G19=1)),0,IF(AND(PL$9=2,(OR($F19&gt;1,$K19=1,AND($L19=80,OR($N19=1,AND($N19=2,'#BerechnungDBE'!$AL10&gt;0)))))),IF(PJ$4&gt;=$AD$126,0,PT19),IF(PL$9=3,IF(OR(PJ$4&gt;=$AD$127,AND($G19=1,$J19=2,PJ$6=2),AND(PJ$6=1,$N19&lt;&gt;1)),0,IF(PN19&lt;=120,PT19,IF(PJ$4&lt;$AD$124,IF($F19=1,60/PL$4*PL$6,60/PL$4*PL$7),IF($F19=1,120/PL$4*PL$6,120/PL$4*PL$7)))),IF(OR($F19=3,$G19=2),IF(OR(AND(PJ$4&gt;=$AD$119,$C19=2),AND(PJ$4&gt;=$AF$119,$C19=1)),0,IF(PN19&lt;=60,PT19,60/PL$4*PL$7)),IF(AND($F19=2,$G19=1),PT19,0)))))</f>
        <v>0</v>
      </c>
      <c r="PW19" s="57" t="str">
        <f t="shared" si="172"/>
        <v/>
      </c>
      <c r="PX19" s="57" t="str">
        <f t="shared" si="173"/>
        <v/>
      </c>
      <c r="PY19" s="713">
        <f>'org. Düngung 22'!DP18</f>
        <v>0</v>
      </c>
      <c r="PZ19" s="57"/>
      <c r="QA19" s="57"/>
      <c r="QB19" s="57">
        <f t="shared" si="174"/>
        <v>0</v>
      </c>
      <c r="QC19" s="57">
        <f t="shared" si="333"/>
        <v>0</v>
      </c>
      <c r="QD19" s="57">
        <f t="shared" si="334"/>
        <v>0</v>
      </c>
      <c r="QE19" s="57">
        <f t="shared" si="335"/>
        <v>0</v>
      </c>
      <c r="QF19" s="57">
        <f t="shared" si="336"/>
        <v>0</v>
      </c>
      <c r="QG19" s="1029">
        <f t="shared" si="175"/>
        <v>0</v>
      </c>
      <c r="QH19" s="57">
        <f t="shared" si="176"/>
        <v>0</v>
      </c>
      <c r="QI19" s="171" t="str">
        <f t="shared" si="177"/>
        <v/>
      </c>
      <c r="QJ19" s="57">
        <f t="shared" si="337"/>
        <v>0</v>
      </c>
      <c r="QK19" s="57">
        <f>IF(OR(AND(PY$6=1,$L19=0),AND(PY$6=2,$K19=2,$G19=1)),0,IF(AND(QA$9=2,(OR($F19&gt;1,$K19=1,AND($L19=80,OR($N19=1,AND($N19=2,'#BerechnungDBE'!$AL10&gt;0)))))),IF(PY$4&gt;=$AD$126,0,QI19),IF(QA$9=3,IF(OR(PY$4&gt;=$AD$127,AND($G19=1,$J19=2,PY$6=2),AND(PY$6=1,$N19&lt;&gt;1)),0,IF(QC19&lt;=120,QI19,IF(PY$4&lt;$AD$124,IF($F19=1,60/QA$4*QA$6,60/QA$4*QA$7),IF($F19=1,120/QA$4*QA$6,120/QA$4*QA$7)))),IF(OR($F19=3,$G19=2),IF(OR(AND(PY$4&gt;=$AD$119,$C19=2),AND(PY$4&gt;=$AF$119,$C19=1)),0,IF(QC19&lt;=60,QI19,60/QA$4*QA$7)),IF(AND($F19=2,$G19=1),QI19,0)))))</f>
        <v>0</v>
      </c>
      <c r="QL19" s="57" t="str">
        <f t="shared" si="178"/>
        <v/>
      </c>
      <c r="QM19" s="57" t="str">
        <f t="shared" si="179"/>
        <v/>
      </c>
      <c r="QN19" s="713">
        <f>'org. Düngung 22'!DT18</f>
        <v>0</v>
      </c>
      <c r="QO19" s="57"/>
      <c r="QP19" s="57"/>
      <c r="QQ19" s="57">
        <f t="shared" si="180"/>
        <v>0</v>
      </c>
      <c r="QR19" s="57">
        <f t="shared" si="338"/>
        <v>0</v>
      </c>
      <c r="QS19" s="57">
        <f t="shared" si="339"/>
        <v>0</v>
      </c>
      <c r="QT19" s="57">
        <f t="shared" si="340"/>
        <v>0</v>
      </c>
      <c r="QU19" s="57">
        <f t="shared" si="341"/>
        <v>0</v>
      </c>
      <c r="QV19" s="1029">
        <f t="shared" si="181"/>
        <v>0</v>
      </c>
      <c r="QW19" s="57">
        <f t="shared" si="182"/>
        <v>0</v>
      </c>
      <c r="QX19" s="171" t="str">
        <f t="shared" si="183"/>
        <v/>
      </c>
      <c r="QY19" s="57">
        <f t="shared" si="342"/>
        <v>0</v>
      </c>
      <c r="QZ19" s="57">
        <f>IF(OR(AND(QN$6=1,$L19=0),AND(QN$6=2,$K19=2,$G19=1)),0,IF(AND(QP$9=2,(OR($F19&gt;1,$K19=1,AND($L19=80,OR($N19=1,AND($N19=2,'#BerechnungDBE'!$AL10&gt;0)))))),IF(QN$4&gt;=$AD$126,0,QX19),IF(QP$9=3,IF(OR(QN$4&gt;=$AD$127,AND($G19=1,$J19=2,QN$6=2),AND(QN$6=1,$N19&lt;&gt;1)),0,IF(QR19&lt;=120,QX19,IF(QN$4&lt;$AD$124,IF($F19=1,60/QP$4*QP$6,60/QP$4*QP$7),IF($F19=1,120/QP$4*QP$6,120/QP$4*QP$7)))),IF(OR($F19=3,$G19=2),IF(OR(AND(QN$4&gt;=$AD$119,$C19=2),AND(QN$4&gt;=$AF$119,$C19=1)),0,IF(QR19&lt;=60,QX19,60/QP$4*QP$7)),IF(AND($F19=2,$G19=1),QX19,0)))))</f>
        <v>0</v>
      </c>
      <c r="RA19" s="57" t="str">
        <f t="shared" si="184"/>
        <v/>
      </c>
      <c r="RB19" s="57" t="str">
        <f t="shared" si="185"/>
        <v/>
      </c>
      <c r="RC19" s="713">
        <f>'org. Düngung 22'!DX18</f>
        <v>0</v>
      </c>
      <c r="RD19" s="57"/>
      <c r="RE19" s="57"/>
      <c r="RF19" s="57">
        <f t="shared" si="186"/>
        <v>0</v>
      </c>
      <c r="RG19" s="57">
        <f t="shared" si="343"/>
        <v>0</v>
      </c>
      <c r="RH19" s="57">
        <f t="shared" si="344"/>
        <v>0</v>
      </c>
      <c r="RI19" s="57">
        <f t="shared" si="345"/>
        <v>0</v>
      </c>
      <c r="RJ19" s="57">
        <f t="shared" si="346"/>
        <v>0</v>
      </c>
      <c r="RK19" s="1029">
        <f t="shared" si="187"/>
        <v>0</v>
      </c>
      <c r="RL19" s="57">
        <f t="shared" si="188"/>
        <v>0</v>
      </c>
      <c r="RM19" s="171" t="str">
        <f t="shared" si="189"/>
        <v/>
      </c>
      <c r="RN19" s="57">
        <f t="shared" si="347"/>
        <v>0</v>
      </c>
      <c r="RO19" s="57">
        <f>IF(OR(AND(RC$6=1,$L19=0),AND(RC$6=2,$K19=2,$G19=1)),0,IF(AND(RE$9=2,(OR($F19&gt;1,$K19=1,AND($L19=80,OR($N19=1,AND($N19=2,'#BerechnungDBE'!$AL10&gt;0)))))),IF(RC$4&gt;=$AD$126,0,RM19),IF(RE$9=3,IF(OR(RC$4&gt;=$AD$127,AND($G19=1,$J19=2,RC$6=2),AND(RC$6=1,$N19&lt;&gt;1)),0,IF(RG19&lt;=120,RM19,IF(RC$4&lt;$AD$124,IF($F19=1,60/RE$4*RE$6,60/RE$4*RE$7),IF($F19=1,120/RE$4*RE$6,120/RE$4*RE$7)))),IF(OR($F19=3,$G19=2),IF(OR(AND(RC$4&gt;=$AD$119,$C19=2),AND(RC$4&gt;=$AF$119,$C19=1)),0,IF(RG19&lt;=60,RM19,60/RE$4*RE$7)),IF(AND($F19=2,$G19=1),RM19,0)))))</f>
        <v>0</v>
      </c>
      <c r="RP19" s="57" t="str">
        <f t="shared" si="190"/>
        <v/>
      </c>
      <c r="RQ19" s="57" t="str">
        <f t="shared" si="191"/>
        <v/>
      </c>
      <c r="RS19" s="57" t="str">
        <f t="shared" si="348"/>
        <v/>
      </c>
      <c r="RT19" s="57" t="str">
        <f t="shared" si="192"/>
        <v/>
      </c>
      <c r="RU19" s="57" t="str">
        <f t="shared" si="193"/>
        <v/>
      </c>
      <c r="RV19" s="57" t="str">
        <f>IF(Z19&gt;'#BerechnungDBE'!BM10,$RV$9,"")</f>
        <v/>
      </c>
      <c r="RW19" s="57" t="str">
        <f>IF(AND(L19=70,AE19&gt;'#BerechnungDBE'!CQ10),$RW$9,"")</f>
        <v/>
      </c>
      <c r="RX19" s="57" t="str">
        <f>IF(OR('org. Düngung 22'!G18="--",'org. Düngung 22'!G18&lt;=170,'org. Düngung 22'!G18=""),"",$RX$9)</f>
        <v/>
      </c>
      <c r="RY19" s="57" t="str">
        <f>IF('org. Düngung 22'!K18&gt;120,'#orgDung'!$RY$9,"")</f>
        <v/>
      </c>
      <c r="RZ19" s="57" t="str">
        <f>IF('#BerechnungDBE'!P10&lt;4,"",IF(AND('#BerechnungDBE'!BZ10&gt;0,T19&gt;0),'#orgDung'!$RZ$9,""))</f>
        <v/>
      </c>
      <c r="SA19" s="57" t="str">
        <f t="shared" si="194"/>
        <v/>
      </c>
    </row>
    <row r="20" spans="1:495" s="875" customFormat="1" x14ac:dyDescent="0.2">
      <c r="A20" s="875">
        <f>'Flächen u. Kulturen'!A16</f>
        <v>7</v>
      </c>
      <c r="B20" s="367">
        <f>'#BerechnungDBE'!L11</f>
        <v>0</v>
      </c>
      <c r="C20" s="875">
        <f>'#BerechnungDBE'!R11</f>
        <v>1</v>
      </c>
      <c r="D20" s="875">
        <f>'#BerechnungDBE'!T11</f>
        <v>2</v>
      </c>
      <c r="E20" s="875" t="str">
        <f>'Flächen u. Kulturen'!E16</f>
        <v>x</v>
      </c>
      <c r="F20" s="52">
        <f>'#BerechnungDBE'!N11</f>
        <v>1</v>
      </c>
      <c r="G20" s="52">
        <f>'#BerechnungDBE'!O11</f>
        <v>1</v>
      </c>
      <c r="H20" s="875">
        <f>IF('Flächen u. Kulturen'!P16="",0,VLOOKUP('Flächen u. Kulturen'!P16,Kulturen[[HF]:[Berechnungsgruppe]],'#Frucht'!$H$1,FALSE))</f>
        <v>0</v>
      </c>
      <c r="I20" s="875">
        <f>IF('Flächen u. Kulturen'!J16="",0,VLOOKUP('Flächen u. Kulturen'!J16,Kulturen[[HF]:[Berechnungsgruppe]],'#Frucht'!$G$1,FALSE))</f>
        <v>90</v>
      </c>
      <c r="J20" s="505">
        <f t="shared" si="195"/>
        <v>2</v>
      </c>
      <c r="K20" s="505">
        <f>IF('Flächen u. Kulturen'!P16="",0,IF(VLOOKUP('Flächen u. Kulturen'!P16,Kulturen[[HF]:[Saat Winterungen]],'#Frucht'!$P$1,FALSE)&gt;0,1,2))</f>
        <v>2</v>
      </c>
      <c r="L20" s="875">
        <f>'#BerechnungDBE'!AF11</f>
        <v>0</v>
      </c>
      <c r="M20" s="875">
        <f>IF('Flächen u. Kulturen'!L16="",0,VLOOKUP('Flächen u. Kulturen'!L16,Nebenkultur[[Nebenkultur]:[Legum. Zwischenfr.]],'#Zweitfr'!$K$1,FALSE))</f>
        <v>0</v>
      </c>
      <c r="N20" s="875">
        <f>'#BerechnungDBE'!AG11</f>
        <v>0</v>
      </c>
      <c r="P20" s="57">
        <f t="shared" si="0"/>
        <v>0</v>
      </c>
      <c r="Q20" s="57">
        <f t="shared" si="1"/>
        <v>0</v>
      </c>
      <c r="R20" s="875">
        <f t="shared" si="2"/>
        <v>0</v>
      </c>
      <c r="S20" s="938" t="str">
        <f t="shared" si="3"/>
        <v/>
      </c>
      <c r="T20" s="875">
        <f t="shared" si="4"/>
        <v>0</v>
      </c>
      <c r="U20" s="875">
        <f t="shared" si="5"/>
        <v>0</v>
      </c>
      <c r="V20" s="875">
        <f t="shared" si="6"/>
        <v>0</v>
      </c>
      <c r="W20" s="875">
        <f t="shared" si="7"/>
        <v>0</v>
      </c>
      <c r="X20" s="875">
        <f t="shared" si="8"/>
        <v>0</v>
      </c>
      <c r="Y20" s="875">
        <f t="shared" si="349"/>
        <v>0</v>
      </c>
      <c r="Z20" s="875">
        <f t="shared" si="350"/>
        <v>0</v>
      </c>
      <c r="AA20" s="910">
        <f t="shared" si="9"/>
        <v>0</v>
      </c>
      <c r="AB20" s="57">
        <f t="shared" si="351"/>
        <v>0</v>
      </c>
      <c r="AC20" s="875">
        <f t="shared" si="10"/>
        <v>0</v>
      </c>
      <c r="AD20" s="875">
        <f t="shared" si="11"/>
        <v>0</v>
      </c>
      <c r="AE20" s="875">
        <f t="shared" si="12"/>
        <v>0</v>
      </c>
      <c r="AF20" s="875">
        <f t="shared" si="352"/>
        <v>0</v>
      </c>
      <c r="AG20" s="875">
        <f>'org. Düngung 22'!J19</f>
        <v>0</v>
      </c>
      <c r="AH20" s="875">
        <f>'org. Düngung 22'!K19</f>
        <v>0</v>
      </c>
      <c r="AJ20" s="713">
        <f>'org. Düngung 22'!L19</f>
        <v>0</v>
      </c>
      <c r="AK20" s="57"/>
      <c r="AL20" s="57"/>
      <c r="AM20" s="57">
        <f t="shared" si="196"/>
        <v>0</v>
      </c>
      <c r="AN20" s="57">
        <f t="shared" si="197"/>
        <v>0</v>
      </c>
      <c r="AO20" s="57">
        <f t="shared" si="198"/>
        <v>0</v>
      </c>
      <c r="AP20" s="57">
        <f t="shared" si="199"/>
        <v>0</v>
      </c>
      <c r="AQ20" s="57">
        <f t="shared" si="200"/>
        <v>0</v>
      </c>
      <c r="AR20" s="1029">
        <f t="shared" si="14"/>
        <v>0</v>
      </c>
      <c r="AS20" s="57">
        <f t="shared" si="15"/>
        <v>0</v>
      </c>
      <c r="AT20" s="171" t="str">
        <f t="shared" si="16"/>
        <v/>
      </c>
      <c r="AU20" s="57">
        <f t="shared" si="201"/>
        <v>0</v>
      </c>
      <c r="AV20" s="57">
        <f>IF(OR(AND(AJ$6=1,$L20=0),AND(AJ$6=2,$K20=2,$G20=1)),0,IF(AND(AL$9=2,(OR($F20&gt;1,$K20=1,AND($L20=80,OR($N20=1,AND($N20=2,'#BerechnungDBE'!$AL11&gt;0)))))),IF(AJ$4&gt;=$AD$126,0,AT20),IF(AL$9=3,IF(OR(AJ$4&gt;=$AD$127,AND($G20=1,$J20=2,AJ$6=2),AND(AJ$6=1,$N20&lt;&gt;1)),0,IF(AN20&lt;=120,AT20,IF(AJ$4&lt;$AD$124,IF($F20=1,60/AL$4*AL$6,60/AL$4*AL$7),IF($F20=1,120/AL$4*AL$6,120/AL$4*AL$7)))),IF(OR($F20=3,$G20=2),IF(OR(AND(AJ$4&gt;=$AD$119,$C20=2),AND(AJ$4&gt;=$AF$119,$C20=1)),0,IF(AN20&lt;=60,AT20,60/AL$4*AL$7)),IF(AND($F20=2,$G20=1),AT20,0)))))</f>
        <v>0</v>
      </c>
      <c r="AW20" s="57" t="str">
        <f t="shared" si="202"/>
        <v/>
      </c>
      <c r="AX20" s="57" t="str">
        <f t="shared" si="17"/>
        <v/>
      </c>
      <c r="AY20" s="713">
        <f>'org. Düngung 22'!P19</f>
        <v>0</v>
      </c>
      <c r="AZ20" s="57"/>
      <c r="BA20" s="57"/>
      <c r="BB20" s="57">
        <f t="shared" si="18"/>
        <v>0</v>
      </c>
      <c r="BC20" s="57">
        <f t="shared" si="203"/>
        <v>0</v>
      </c>
      <c r="BD20" s="57">
        <f t="shared" si="204"/>
        <v>0</v>
      </c>
      <c r="BE20" s="57">
        <f t="shared" si="205"/>
        <v>0</v>
      </c>
      <c r="BF20" s="57">
        <f t="shared" si="206"/>
        <v>0</v>
      </c>
      <c r="BG20" s="1029">
        <f t="shared" si="19"/>
        <v>0</v>
      </c>
      <c r="BH20" s="57">
        <f t="shared" si="20"/>
        <v>0</v>
      </c>
      <c r="BI20" s="171" t="str">
        <f t="shared" si="21"/>
        <v/>
      </c>
      <c r="BJ20" s="57">
        <f t="shared" si="207"/>
        <v>0</v>
      </c>
      <c r="BK20" s="57">
        <f>IF(OR(AND(AY$6=1,$L20=0),AND(AY$6=2,$K20=2,$G20=1)),0,IF(AND(BA$9=2,(OR($F20&gt;1,$K20=1,AND($L20=80,OR($N20=1,AND($N20=2,'#BerechnungDBE'!$AL11&gt;0)))))),IF(AY$4&gt;=$AD$126,0,BI20),IF(BA$9=3,IF(OR(AY$4&gt;=$AD$127,AND($G20=1,$J20=2,AY$6=2),AND(AY$6=1,$N20&lt;&gt;1)),0,IF(BC20&lt;=120,BI20,IF(AY$4&lt;$AD$124,IF($F20=1,60/BA$4*BA$6,60/BA$4*BA$7),IF($F20=1,120/BA$4*BA$6,120/BA$4*BA$7)))),IF(OR($F20=3,$G20=2),IF(OR(AND(AY$4&gt;=$AD$119,$C20=2),AND(AY$4&gt;=$AF$119,$C20=1)),0,IF(BC20&lt;=60,BI20,60/BA$4*BA$7)),IF(AND($F20=2,$G20=1),BI20,0)))))</f>
        <v>0</v>
      </c>
      <c r="BL20" s="57" t="str">
        <f t="shared" si="22"/>
        <v/>
      </c>
      <c r="BM20" s="57" t="str">
        <f t="shared" si="23"/>
        <v/>
      </c>
      <c r="BN20" s="713">
        <f>'org. Düngung 22'!T19</f>
        <v>0</v>
      </c>
      <c r="BO20" s="57"/>
      <c r="BP20" s="57"/>
      <c r="BQ20" s="57">
        <f t="shared" si="24"/>
        <v>0</v>
      </c>
      <c r="BR20" s="57">
        <f t="shared" si="208"/>
        <v>0</v>
      </c>
      <c r="BS20" s="57">
        <f t="shared" si="209"/>
        <v>0</v>
      </c>
      <c r="BT20" s="57">
        <f t="shared" si="210"/>
        <v>0</v>
      </c>
      <c r="BU20" s="57">
        <f t="shared" si="211"/>
        <v>0</v>
      </c>
      <c r="BV20" s="1029">
        <f t="shared" si="25"/>
        <v>0</v>
      </c>
      <c r="BW20" s="57">
        <f t="shared" si="26"/>
        <v>0</v>
      </c>
      <c r="BX20" s="171" t="str">
        <f t="shared" si="27"/>
        <v/>
      </c>
      <c r="BY20" s="57">
        <f t="shared" si="212"/>
        <v>0</v>
      </c>
      <c r="BZ20" s="57">
        <f>IF(OR(AND(BN$6=1,$L20=0),AND(BN$6=2,$K20=2,$G20=1)),0,IF(AND(BP$9=2,(OR($F20&gt;1,$K20=1,AND($L20=80,OR($N20=1,AND($N20=2,'#BerechnungDBE'!$AL11&gt;0)))))),IF(BN$4&gt;=$AD$126,0,BX20),IF(BP$9=3,IF(OR(BN$4&gt;=$AD$127,AND($G20=1,$J20=2,BN$6=2),AND(BN$6=1,$N20&lt;&gt;1)),0,IF(BR20&lt;=120,BX20,IF(BN$4&lt;$AD$124,IF($F20=1,60/BP$4*BP$6,60/BP$4*BP$7),IF($F20=1,120/BP$4*BP$6,120/BP$4*BP$7)))),IF(OR($F20=3,$G20=2),IF(OR(AND(BN$4&gt;=$AD$119,$C20=2),AND(BN$4&gt;=$AF$119,$C20=1)),0,IF(BR20&lt;=60,BX20,60/BP$4*BP$7)),IF(AND($F20=2,$G20=1),BX20,0)))))</f>
        <v>0</v>
      </c>
      <c r="CA20" s="57" t="str">
        <f t="shared" si="28"/>
        <v/>
      </c>
      <c r="CB20" s="57" t="str">
        <f t="shared" si="29"/>
        <v/>
      </c>
      <c r="CC20" s="713">
        <f>'org. Düngung 22'!X19</f>
        <v>0</v>
      </c>
      <c r="CD20" s="57"/>
      <c r="CE20" s="57"/>
      <c r="CF20" s="57">
        <f t="shared" si="30"/>
        <v>0</v>
      </c>
      <c r="CG20" s="57">
        <f t="shared" si="213"/>
        <v>0</v>
      </c>
      <c r="CH20" s="57">
        <f t="shared" si="214"/>
        <v>0</v>
      </c>
      <c r="CI20" s="57">
        <f t="shared" si="215"/>
        <v>0</v>
      </c>
      <c r="CJ20" s="57">
        <f t="shared" si="216"/>
        <v>0</v>
      </c>
      <c r="CK20" s="1029">
        <f t="shared" si="31"/>
        <v>0</v>
      </c>
      <c r="CL20" s="57">
        <f t="shared" si="32"/>
        <v>0</v>
      </c>
      <c r="CM20" s="171" t="str">
        <f t="shared" si="33"/>
        <v/>
      </c>
      <c r="CN20" s="57">
        <f t="shared" si="217"/>
        <v>0</v>
      </c>
      <c r="CO20" s="57">
        <f>IF(OR(AND(CC$6=1,$L20=0),AND(CC$6=2,$K20=2,$G20=1)),0,IF(AND(CE$9=2,(OR($F20&gt;1,$K20=1,AND($L20=80,OR($N20=1,AND($N20=2,'#BerechnungDBE'!$AL11&gt;0)))))),IF(CC$4&gt;=$AD$126,0,CM20),IF(CE$9=3,IF(OR(CC$4&gt;=$AD$127,AND($G20=1,$J20=2,CC$6=2),AND(CC$6=1,$N20&lt;&gt;1)),0,IF(CG20&lt;=120,CM20,IF(CC$4&lt;$AD$124,IF($F20=1,60/CE$4*CE$6,60/CE$4*CE$7),IF($F20=1,120/CE$4*CE$6,120/CE$4*CE$7)))),IF(OR($F20=3,$G20=2),IF(OR(AND(CC$4&gt;=$AD$119,$C20=2),AND(CC$4&gt;=$AF$119,$C20=1)),0,IF(CG20&lt;=60,CM20,60/CE$4*CE$7)),IF(AND($F20=2,$G20=1),CM20,0)))))</f>
        <v>0</v>
      </c>
      <c r="CP20" s="57" t="str">
        <f t="shared" si="34"/>
        <v/>
      </c>
      <c r="CQ20" s="57" t="str">
        <f t="shared" si="35"/>
        <v/>
      </c>
      <c r="CR20" s="713">
        <f>'org. Düngung 22'!AB19</f>
        <v>0</v>
      </c>
      <c r="CS20" s="57"/>
      <c r="CT20" s="57"/>
      <c r="CU20" s="57">
        <f t="shared" si="36"/>
        <v>0</v>
      </c>
      <c r="CV20" s="57">
        <f t="shared" si="218"/>
        <v>0</v>
      </c>
      <c r="CW20" s="57">
        <f t="shared" si="219"/>
        <v>0</v>
      </c>
      <c r="CX20" s="57">
        <f t="shared" si="220"/>
        <v>0</v>
      </c>
      <c r="CY20" s="57">
        <f t="shared" si="221"/>
        <v>0</v>
      </c>
      <c r="CZ20" s="1029">
        <f t="shared" si="37"/>
        <v>0</v>
      </c>
      <c r="DA20" s="57">
        <f t="shared" si="38"/>
        <v>0</v>
      </c>
      <c r="DB20" s="171" t="str">
        <f t="shared" si="39"/>
        <v/>
      </c>
      <c r="DC20" s="57">
        <f t="shared" si="222"/>
        <v>0</v>
      </c>
      <c r="DD20" s="57">
        <f>IF(OR(AND(CR$6=1,$L20=0),AND(CR$6=2,$K20=2,$G20=1)),0,IF(AND(CT$9=2,(OR($F20&gt;1,$K20=1,AND($L20=80,OR($N20=1,AND($N20=2,'#BerechnungDBE'!$AL11&gt;0)))))),IF(CR$4&gt;=$AD$126,0,DB20),IF(CT$9=3,IF(OR(CR$4&gt;=$AD$127,AND($G20=1,$J20=2,CR$6=2),AND(CR$6=1,$N20&lt;&gt;1)),0,IF(CV20&lt;=120,DB20,IF(CR$4&lt;$AD$124,IF($F20=1,60/CT$4*CT$6,60/CT$4*CT$7),IF($F20=1,120/CT$4*CT$6,120/CT$4*CT$7)))),IF(OR($F20=3,$G20=2),IF(OR(AND(CR$4&gt;=$AD$119,$C20=2),AND(CR$4&gt;=$AF$119,$C20=1)),0,IF(CV20&lt;=60,DB20,60/CT$4*CT$7)),IF(AND($F20=2,$G20=1),DB20,0)))))</f>
        <v>0</v>
      </c>
      <c r="DE20" s="57" t="str">
        <f t="shared" si="40"/>
        <v/>
      </c>
      <c r="DF20" s="57" t="str">
        <f t="shared" si="41"/>
        <v/>
      </c>
      <c r="DG20" s="713">
        <f>'org. Düngung 22'!AF19</f>
        <v>0</v>
      </c>
      <c r="DH20" s="57"/>
      <c r="DI20" s="57"/>
      <c r="DJ20" s="57">
        <f t="shared" si="42"/>
        <v>0</v>
      </c>
      <c r="DK20" s="57">
        <f t="shared" si="223"/>
        <v>0</v>
      </c>
      <c r="DL20" s="57">
        <f t="shared" si="224"/>
        <v>0</v>
      </c>
      <c r="DM20" s="57">
        <f t="shared" si="225"/>
        <v>0</v>
      </c>
      <c r="DN20" s="57">
        <f t="shared" si="226"/>
        <v>0</v>
      </c>
      <c r="DO20" s="1029">
        <f t="shared" si="43"/>
        <v>0</v>
      </c>
      <c r="DP20" s="57">
        <f t="shared" si="44"/>
        <v>0</v>
      </c>
      <c r="DQ20" s="171" t="str">
        <f t="shared" si="45"/>
        <v/>
      </c>
      <c r="DR20" s="57">
        <f t="shared" si="227"/>
        <v>0</v>
      </c>
      <c r="DS20" s="57">
        <f>IF(OR(AND(DG$6=1,$L20=0),AND(DG$6=2,$K20=2,$G20=1)),0,IF(AND(DI$9=2,(OR($F20&gt;1,$K20=1,AND($L20=80,OR($N20=1,AND($N20=2,'#BerechnungDBE'!$AL11&gt;0)))))),IF(DG$4&gt;=$AD$126,0,DQ20),IF(DI$9=3,IF(OR(DG$4&gt;=$AD$127,AND($G20=1,$J20=2,DG$6=2),AND(DG$6=1,$N20&lt;&gt;1)),0,IF(DK20&lt;=120,DQ20,IF(DG$4&lt;$AD$124,IF($F20=1,60/DI$4*DI$6,60/DI$4*DI$7),IF($F20=1,120/DI$4*DI$6,120/DI$4*DI$7)))),IF(OR($F20=3,$G20=2),IF(OR(AND(DG$4&gt;=$AD$119,$C20=2),AND(DG$4&gt;=$AF$119,$C20=1)),0,IF(DK20&lt;=60,DQ20,60/DI$4*DI$7)),IF(AND($F20=2,$G20=1),DQ20,0)))))</f>
        <v>0</v>
      </c>
      <c r="DT20" s="57" t="str">
        <f t="shared" si="46"/>
        <v/>
      </c>
      <c r="DU20" s="57" t="str">
        <f t="shared" si="47"/>
        <v/>
      </c>
      <c r="DV20" s="713">
        <f>'org. Düngung 22'!AJ19</f>
        <v>0</v>
      </c>
      <c r="DW20" s="57"/>
      <c r="DX20" s="57"/>
      <c r="DY20" s="57">
        <f t="shared" si="48"/>
        <v>0</v>
      </c>
      <c r="DZ20" s="57">
        <f t="shared" si="228"/>
        <v>0</v>
      </c>
      <c r="EA20" s="57">
        <f t="shared" si="229"/>
        <v>0</v>
      </c>
      <c r="EB20" s="57">
        <f t="shared" si="230"/>
        <v>0</v>
      </c>
      <c r="EC20" s="57">
        <f t="shared" si="231"/>
        <v>0</v>
      </c>
      <c r="ED20" s="1029">
        <f t="shared" si="49"/>
        <v>0</v>
      </c>
      <c r="EE20" s="57">
        <f t="shared" si="50"/>
        <v>0</v>
      </c>
      <c r="EF20" s="171" t="str">
        <f t="shared" si="51"/>
        <v/>
      </c>
      <c r="EG20" s="57">
        <f t="shared" si="232"/>
        <v>0</v>
      </c>
      <c r="EH20" s="57">
        <f>IF(OR(AND(DV$6=1,$L20=0),AND(DV$6=2,$K20=2,$G20=1)),0,IF(AND(DX$9=2,(OR($F20&gt;1,$K20=1,AND($L20=80,OR($N20=1,AND($N20=2,'#BerechnungDBE'!$AL11&gt;0)))))),IF(DV$4&gt;=$AD$126,0,EF20),IF(DX$9=3,IF(OR(DV$4&gt;=$AD$127,AND($G20=1,$J20=2,DV$6=2),AND(DV$6=1,$N20&lt;&gt;1)),0,IF(DZ20&lt;=120,EF20,IF(DV$4&lt;$AD$124,IF($F20=1,60/DX$4*DX$6,60/DX$4*DX$7),IF($F20=1,120/DX$4*DX$6,120/DX$4*DX$7)))),IF(OR($F20=3,$G20=2),IF(OR(AND(DV$4&gt;=$AD$119,$C20=2),AND(DV$4&gt;=$AF$119,$C20=1)),0,IF(DZ20&lt;=60,EF20,60/DX$4*DX$7)),IF(AND($F20=2,$G20=1),EF20,0)))))</f>
        <v>0</v>
      </c>
      <c r="EI20" s="57" t="str">
        <f t="shared" si="52"/>
        <v/>
      </c>
      <c r="EJ20" s="57" t="str">
        <f t="shared" si="53"/>
        <v/>
      </c>
      <c r="EK20" s="713">
        <f>'org. Düngung 22'!AN19</f>
        <v>0</v>
      </c>
      <c r="EL20" s="57"/>
      <c r="EM20" s="57"/>
      <c r="EN20" s="57">
        <f t="shared" si="54"/>
        <v>0</v>
      </c>
      <c r="EO20" s="57">
        <f t="shared" si="233"/>
        <v>0</v>
      </c>
      <c r="EP20" s="57">
        <f t="shared" si="234"/>
        <v>0</v>
      </c>
      <c r="EQ20" s="57">
        <f t="shared" si="235"/>
        <v>0</v>
      </c>
      <c r="ER20" s="57">
        <f t="shared" si="236"/>
        <v>0</v>
      </c>
      <c r="ES20" s="1029">
        <f t="shared" si="55"/>
        <v>0</v>
      </c>
      <c r="ET20" s="57">
        <f t="shared" si="56"/>
        <v>0</v>
      </c>
      <c r="EU20" s="171" t="str">
        <f t="shared" si="57"/>
        <v/>
      </c>
      <c r="EV20" s="57">
        <f t="shared" si="237"/>
        <v>0</v>
      </c>
      <c r="EW20" s="57">
        <f>IF(OR(AND(EK$6=1,$L20=0),AND(EK$6=2,$K20=2,$G20=1)),0,IF(AND(EM$9=2,(OR($F20&gt;1,$K20=1,AND($L20=80,OR($N20=1,AND($N20=2,'#BerechnungDBE'!$AL11&gt;0)))))),IF(EK$4&gt;=$AD$126,0,EU20),IF(EM$9=3,IF(OR(EK$4&gt;=$AD$127,AND($G20=1,$J20=2,EK$6=2),AND(EK$6=1,$N20&lt;&gt;1)),0,IF(EO20&lt;=120,EU20,IF(EK$4&lt;$AD$124,IF($F20=1,60/EM$4*EM$6,60/EM$4*EM$7),IF($F20=1,120/EM$4*EM$6,120/EM$4*EM$7)))),IF(OR($F20=3,$G20=2),IF(OR(AND(EK$4&gt;=$AD$119,$C20=2),AND(EK$4&gt;=$AF$119,$C20=1)),0,IF(EO20&lt;=60,EU20,60/EM$4*EM$7)),IF(AND($F20=2,$G20=1),EU20,0)))))</f>
        <v>0</v>
      </c>
      <c r="EX20" s="57" t="str">
        <f t="shared" si="58"/>
        <v/>
      </c>
      <c r="EY20" s="57" t="str">
        <f t="shared" si="59"/>
        <v/>
      </c>
      <c r="EZ20" s="713">
        <f>'org. Düngung 22'!AR19</f>
        <v>0</v>
      </c>
      <c r="FA20" s="57"/>
      <c r="FB20" s="57"/>
      <c r="FC20" s="57">
        <f t="shared" si="60"/>
        <v>0</v>
      </c>
      <c r="FD20" s="57">
        <f t="shared" si="238"/>
        <v>0</v>
      </c>
      <c r="FE20" s="57">
        <f t="shared" si="239"/>
        <v>0</v>
      </c>
      <c r="FF20" s="57">
        <f t="shared" si="240"/>
        <v>0</v>
      </c>
      <c r="FG20" s="57">
        <f t="shared" si="241"/>
        <v>0</v>
      </c>
      <c r="FH20" s="1029">
        <f t="shared" si="61"/>
        <v>0</v>
      </c>
      <c r="FI20" s="57">
        <f t="shared" si="62"/>
        <v>0</v>
      </c>
      <c r="FJ20" s="171" t="str">
        <f t="shared" si="63"/>
        <v/>
      </c>
      <c r="FK20" s="57">
        <f t="shared" si="242"/>
        <v>0</v>
      </c>
      <c r="FL20" s="57">
        <f>IF(OR(AND(EZ$6=1,$L20=0),AND(EZ$6=2,$K20=2,$G20=1)),0,IF(AND(FB$9=2,(OR($F20&gt;1,$K20=1,AND($L20=80,OR($N20=1,AND($N20=2,'#BerechnungDBE'!$AL11&gt;0)))))),IF(EZ$4&gt;=$AD$126,0,FJ20),IF(FB$9=3,IF(OR(EZ$4&gt;=$AD$127,AND($G20=1,$J20=2,EZ$6=2),AND(EZ$6=1,$N20&lt;&gt;1)),0,IF(FD20&lt;=120,FJ20,IF(EZ$4&lt;$AD$124,IF($F20=1,60/FB$4*FB$6,60/FB$4*FB$7),IF($F20=1,120/FB$4*FB$6,120/FB$4*FB$7)))),IF(OR($F20=3,$G20=2),IF(OR(AND(EZ$4&gt;=$AD$119,$C20=2),AND(EZ$4&gt;=$AF$119,$C20=1)),0,IF(FD20&lt;=60,FJ20,60/FB$4*FB$7)),IF(AND($F20=2,$G20=1),FJ20,0)))))</f>
        <v>0</v>
      </c>
      <c r="FM20" s="57" t="str">
        <f t="shared" si="64"/>
        <v/>
      </c>
      <c r="FN20" s="57" t="str">
        <f t="shared" si="65"/>
        <v/>
      </c>
      <c r="FO20" s="713">
        <f>'org. Düngung 22'!AV19</f>
        <v>0</v>
      </c>
      <c r="FP20" s="57"/>
      <c r="FQ20" s="57"/>
      <c r="FR20" s="57">
        <f t="shared" si="66"/>
        <v>0</v>
      </c>
      <c r="FS20" s="57">
        <f t="shared" si="243"/>
        <v>0</v>
      </c>
      <c r="FT20" s="57">
        <f t="shared" si="244"/>
        <v>0</v>
      </c>
      <c r="FU20" s="57">
        <f t="shared" si="245"/>
        <v>0</v>
      </c>
      <c r="FV20" s="57">
        <f t="shared" si="246"/>
        <v>0</v>
      </c>
      <c r="FW20" s="1029">
        <f t="shared" si="67"/>
        <v>0</v>
      </c>
      <c r="FX20" s="57">
        <f t="shared" si="68"/>
        <v>0</v>
      </c>
      <c r="FY20" s="171" t="str">
        <f t="shared" si="69"/>
        <v/>
      </c>
      <c r="FZ20" s="57">
        <f t="shared" si="247"/>
        <v>0</v>
      </c>
      <c r="GA20" s="57">
        <f>IF(OR(AND(FO$6=1,$L20=0),AND(FO$6=2,$K20=2,$G20=1)),0,IF(AND(FQ$9=2,(OR($F20&gt;1,$K20=1,AND($L20=80,OR($N20=1,AND($N20=2,'#BerechnungDBE'!$AL11&gt;0)))))),IF(FO$4&gt;=$AD$126,0,FY20),IF(FQ$9=3,IF(OR(FO$4&gt;=$AD$127,AND($G20=1,$J20=2,FO$6=2),AND(FO$6=1,$N20&lt;&gt;1)),0,IF(FS20&lt;=120,FY20,IF(FO$4&lt;$AD$124,IF($F20=1,60/FQ$4*FQ$6,60/FQ$4*FQ$7),IF($F20=1,120/FQ$4*FQ$6,120/FQ$4*FQ$7)))),IF(OR($F20=3,$G20=2),IF(OR(AND(FO$4&gt;=$AD$119,$C20=2),AND(FO$4&gt;=$AF$119,$C20=1)),0,IF(FS20&lt;=60,FY20,60/FQ$4*FQ$7)),IF(AND($F20=2,$G20=1),FY20,0)))))</f>
        <v>0</v>
      </c>
      <c r="GB20" s="57" t="str">
        <f t="shared" si="70"/>
        <v/>
      </c>
      <c r="GC20" s="57" t="str">
        <f t="shared" si="71"/>
        <v/>
      </c>
      <c r="GD20" s="713">
        <f>'org. Düngung 22'!AZ19</f>
        <v>0</v>
      </c>
      <c r="GE20" s="57"/>
      <c r="GF20" s="57"/>
      <c r="GG20" s="57">
        <f t="shared" si="72"/>
        <v>0</v>
      </c>
      <c r="GH20" s="57">
        <f t="shared" si="248"/>
        <v>0</v>
      </c>
      <c r="GI20" s="57">
        <f t="shared" si="249"/>
        <v>0</v>
      </c>
      <c r="GJ20" s="57">
        <f t="shared" si="250"/>
        <v>0</v>
      </c>
      <c r="GK20" s="57">
        <f t="shared" si="251"/>
        <v>0</v>
      </c>
      <c r="GL20" s="1029">
        <f t="shared" si="73"/>
        <v>0</v>
      </c>
      <c r="GM20" s="57">
        <f t="shared" si="74"/>
        <v>0</v>
      </c>
      <c r="GN20" s="171" t="str">
        <f t="shared" si="75"/>
        <v/>
      </c>
      <c r="GO20" s="57">
        <f t="shared" si="252"/>
        <v>0</v>
      </c>
      <c r="GP20" s="57">
        <f>IF(OR(AND(GD$6=1,$L20=0),AND(GD$6=2,$K20=2,$G20=1)),0,IF(AND(GF$9=2,(OR($F20&gt;1,$K20=1,AND($L20=80,OR($N20=1,AND($N20=2,'#BerechnungDBE'!$AL11&gt;0)))))),IF(GD$4&gt;=$AD$126,0,GN20),IF(GF$9=3,IF(OR(GD$4&gt;=$AD$127,AND($G20=1,$J20=2,GD$6=2),AND(GD$6=1,$N20&lt;&gt;1)),0,IF(GH20&lt;=120,GN20,IF(GD$4&lt;$AD$124,IF($F20=1,60/GF$4*GF$6,60/GF$4*GF$7),IF($F20=1,120/GF$4*GF$6,120/GF$4*GF$7)))),IF(OR($F20=3,$G20=2),IF(OR(AND(GD$4&gt;=$AD$119,$C20=2),AND(GD$4&gt;=$AF$119,$C20=1)),0,IF(GH20&lt;=60,GN20,60/GF$4*GF$7)),IF(AND($F20=2,$G20=1),GN20,0)))))</f>
        <v>0</v>
      </c>
      <c r="GQ20" s="57" t="str">
        <f t="shared" si="76"/>
        <v/>
      </c>
      <c r="GR20" s="57" t="str">
        <f t="shared" si="77"/>
        <v/>
      </c>
      <c r="GS20" s="713">
        <f>'org. Düngung 22'!BD19</f>
        <v>0</v>
      </c>
      <c r="GT20" s="57"/>
      <c r="GU20" s="57"/>
      <c r="GV20" s="57">
        <f t="shared" si="78"/>
        <v>0</v>
      </c>
      <c r="GW20" s="57">
        <f t="shared" si="253"/>
        <v>0</v>
      </c>
      <c r="GX20" s="57">
        <f t="shared" si="254"/>
        <v>0</v>
      </c>
      <c r="GY20" s="57">
        <f t="shared" si="255"/>
        <v>0</v>
      </c>
      <c r="GZ20" s="57">
        <f t="shared" si="256"/>
        <v>0</v>
      </c>
      <c r="HA20" s="1029">
        <f t="shared" si="79"/>
        <v>0</v>
      </c>
      <c r="HB20" s="57">
        <f t="shared" si="80"/>
        <v>0</v>
      </c>
      <c r="HC20" s="171" t="str">
        <f t="shared" si="81"/>
        <v/>
      </c>
      <c r="HD20" s="57">
        <f t="shared" si="257"/>
        <v>0</v>
      </c>
      <c r="HE20" s="57">
        <f>IF(OR(AND(GS$6=1,$L20=0),AND(GS$6=2,$K20=2,$G20=1)),0,IF(AND(GU$9=2,(OR($F20&gt;1,$K20=1,AND($L20=80,OR($N20=1,AND($N20=2,'#BerechnungDBE'!$AL11&gt;0)))))),IF(GS$4&gt;=$AD$126,0,HC20),IF(GU$9=3,IF(OR(GS$4&gt;=$AD$127,AND($G20=1,$J20=2,GS$6=2),AND(GS$6=1,$N20&lt;&gt;1)),0,IF(GW20&lt;=120,HC20,IF(GS$4&lt;$AD$124,IF($F20=1,60/GU$4*GU$6,60/GU$4*GU$7),IF($F20=1,120/GU$4*GU$6,120/GU$4*GU$7)))),IF(OR($F20=3,$G20=2),IF(OR(AND(GS$4&gt;=$AD$119,$C20=2),AND(GS$4&gt;=$AF$119,$C20=1)),0,IF(GW20&lt;=60,HC20,60/GU$4*GU$7)),IF(AND($F20=2,$G20=1),HC20,0)))))</f>
        <v>0</v>
      </c>
      <c r="HF20" s="57" t="str">
        <f t="shared" si="82"/>
        <v/>
      </c>
      <c r="HG20" s="57" t="str">
        <f t="shared" si="83"/>
        <v/>
      </c>
      <c r="HH20" s="713">
        <f>'org. Düngung 22'!BH19</f>
        <v>0</v>
      </c>
      <c r="HI20" s="57"/>
      <c r="HJ20" s="57"/>
      <c r="HK20" s="57">
        <f t="shared" si="84"/>
        <v>0</v>
      </c>
      <c r="HL20" s="57">
        <f t="shared" si="258"/>
        <v>0</v>
      </c>
      <c r="HM20" s="57">
        <f t="shared" si="259"/>
        <v>0</v>
      </c>
      <c r="HN20" s="57">
        <f t="shared" si="260"/>
        <v>0</v>
      </c>
      <c r="HO20" s="57">
        <f t="shared" si="261"/>
        <v>0</v>
      </c>
      <c r="HP20" s="1029">
        <f t="shared" si="85"/>
        <v>0</v>
      </c>
      <c r="HQ20" s="57">
        <f t="shared" si="86"/>
        <v>0</v>
      </c>
      <c r="HR20" s="171" t="str">
        <f t="shared" si="87"/>
        <v/>
      </c>
      <c r="HS20" s="57">
        <f t="shared" si="262"/>
        <v>0</v>
      </c>
      <c r="HT20" s="57">
        <f>IF(OR(AND(HH$6=1,$L20=0),AND(HH$6=2,$K20=2,$G20=1)),0,IF(AND(HJ$9=2,(OR($F20&gt;1,$K20=1,AND($L20=80,OR($N20=1,AND($N20=2,'#BerechnungDBE'!$AL11&gt;0)))))),IF(HH$4&gt;=$AD$126,0,HR20),IF(HJ$9=3,IF(OR(HH$4&gt;=$AD$127,AND($G20=1,$J20=2,HH$6=2),AND(HH$6=1,$N20&lt;&gt;1)),0,IF(HL20&lt;=120,HR20,IF(HH$4&lt;$AD$124,IF($F20=1,60/HJ$4*HJ$6,60/HJ$4*HJ$7),IF($F20=1,120/HJ$4*HJ$6,120/HJ$4*HJ$7)))),IF(OR($F20=3,$G20=2),IF(OR(AND(HH$4&gt;=$AD$119,$C20=2),AND(HH$4&gt;=$AF$119,$C20=1)),0,IF(HL20&lt;=60,HR20,60/HJ$4*HJ$7)),IF(AND($F20=2,$G20=1),HR20,0)))))</f>
        <v>0</v>
      </c>
      <c r="HU20" s="57" t="str">
        <f t="shared" si="88"/>
        <v/>
      </c>
      <c r="HV20" s="57" t="str">
        <f t="shared" si="89"/>
        <v/>
      </c>
      <c r="HW20" s="713">
        <f>'org. Düngung 22'!BL19</f>
        <v>0</v>
      </c>
      <c r="HX20" s="57"/>
      <c r="HY20" s="57"/>
      <c r="HZ20" s="57">
        <f t="shared" si="90"/>
        <v>0</v>
      </c>
      <c r="IA20" s="57">
        <f t="shared" si="263"/>
        <v>0</v>
      </c>
      <c r="IB20" s="57">
        <f t="shared" si="264"/>
        <v>0</v>
      </c>
      <c r="IC20" s="57">
        <f t="shared" si="265"/>
        <v>0</v>
      </c>
      <c r="ID20" s="57">
        <f t="shared" si="266"/>
        <v>0</v>
      </c>
      <c r="IE20" s="1029">
        <f t="shared" si="91"/>
        <v>0</v>
      </c>
      <c r="IF20" s="57">
        <f t="shared" si="92"/>
        <v>0</v>
      </c>
      <c r="IG20" s="171" t="str">
        <f t="shared" si="93"/>
        <v/>
      </c>
      <c r="IH20" s="57">
        <f t="shared" si="267"/>
        <v>0</v>
      </c>
      <c r="II20" s="57">
        <f>IF(OR(AND(HW$6=1,$L20=0),AND(HW$6=2,$K20=2,$G20=1)),0,IF(AND(HY$9=2,(OR($F20&gt;1,$K20=1,AND($L20=80,OR($N20=1,AND($N20=2,'#BerechnungDBE'!$AL11&gt;0)))))),IF(HW$4&gt;=$AD$126,0,IG20),IF(HY$9=3,IF(OR(HW$4&gt;=$AD$127,AND($G20=1,$J20=2,HW$6=2),AND(HW$6=1,$N20&lt;&gt;1)),0,IF(IA20&lt;=120,IG20,IF(HW$4&lt;$AD$124,IF($F20=1,60/HY$4*HY$6,60/HY$4*HY$7),IF($F20=1,120/HY$4*HY$6,120/HY$4*HY$7)))),IF(OR($F20=3,$G20=2),IF(OR(AND(HW$4&gt;=$AD$119,$C20=2),AND(HW$4&gt;=$AF$119,$C20=1)),0,IF(IA20&lt;=60,IG20,60/HY$4*HY$7)),IF(AND($F20=2,$G20=1),IG20,0)))))</f>
        <v>0</v>
      </c>
      <c r="IJ20" s="57" t="str">
        <f t="shared" si="94"/>
        <v/>
      </c>
      <c r="IK20" s="57" t="str">
        <f t="shared" si="95"/>
        <v/>
      </c>
      <c r="IL20" s="713">
        <f>'org. Düngung 22'!BP19</f>
        <v>0</v>
      </c>
      <c r="IM20" s="57"/>
      <c r="IN20" s="57"/>
      <c r="IO20" s="57">
        <f t="shared" si="96"/>
        <v>0</v>
      </c>
      <c r="IP20" s="57">
        <f t="shared" si="268"/>
        <v>0</v>
      </c>
      <c r="IQ20" s="57">
        <f t="shared" si="269"/>
        <v>0</v>
      </c>
      <c r="IR20" s="57">
        <f t="shared" si="270"/>
        <v>0</v>
      </c>
      <c r="IS20" s="57">
        <f t="shared" si="271"/>
        <v>0</v>
      </c>
      <c r="IT20" s="1029">
        <f t="shared" si="97"/>
        <v>0</v>
      </c>
      <c r="IU20" s="57">
        <f t="shared" si="98"/>
        <v>0</v>
      </c>
      <c r="IV20" s="171" t="str">
        <f t="shared" si="99"/>
        <v/>
      </c>
      <c r="IW20" s="57">
        <f t="shared" si="272"/>
        <v>0</v>
      </c>
      <c r="IX20" s="57">
        <f>IF(OR(AND(IL$6=1,$L20=0),AND(IL$6=2,$K20=2,$G20=1)),0,IF(AND(IN$9=2,(OR($F20&gt;1,$K20=1,AND($L20=80,OR($N20=1,AND($N20=2,'#BerechnungDBE'!$AL11&gt;0)))))),IF(IL$4&gt;=$AD$126,0,IV20),IF(IN$9=3,IF(OR(IL$4&gt;=$AD$127,AND($G20=1,$J20=2,IL$6=2),AND(IL$6=1,$N20&lt;&gt;1)),0,IF(IP20&lt;=120,IV20,IF(IL$4&lt;$AD$124,IF($F20=1,60/IN$4*IN$6,60/IN$4*IN$7),IF($F20=1,120/IN$4*IN$6,120/IN$4*IN$7)))),IF(OR($F20=3,$G20=2),IF(OR(AND(IL$4&gt;=$AD$119,$C20=2),AND(IL$4&gt;=$AF$119,$C20=1)),0,IF(IP20&lt;=60,IV20,60/IN$4*IN$7)),IF(AND($F20=2,$G20=1),IV20,0)))))</f>
        <v>0</v>
      </c>
      <c r="IY20" s="57" t="str">
        <f t="shared" si="100"/>
        <v/>
      </c>
      <c r="IZ20" s="57" t="str">
        <f t="shared" si="101"/>
        <v/>
      </c>
      <c r="JA20" s="713">
        <f>'org. Düngung 22'!BT19</f>
        <v>0</v>
      </c>
      <c r="JB20" s="57"/>
      <c r="JC20" s="57"/>
      <c r="JD20" s="57">
        <f t="shared" si="102"/>
        <v>0</v>
      </c>
      <c r="JE20" s="57">
        <f t="shared" si="273"/>
        <v>0</v>
      </c>
      <c r="JF20" s="57">
        <f t="shared" si="274"/>
        <v>0</v>
      </c>
      <c r="JG20" s="57">
        <f t="shared" si="275"/>
        <v>0</v>
      </c>
      <c r="JH20" s="57">
        <f t="shared" si="276"/>
        <v>0</v>
      </c>
      <c r="JI20" s="1029">
        <f t="shared" si="103"/>
        <v>0</v>
      </c>
      <c r="JJ20" s="57">
        <f t="shared" si="104"/>
        <v>0</v>
      </c>
      <c r="JK20" s="171" t="str">
        <f t="shared" si="105"/>
        <v/>
      </c>
      <c r="JL20" s="57">
        <f t="shared" si="277"/>
        <v>0</v>
      </c>
      <c r="JM20" s="57">
        <f>IF(OR(AND(JA$6=1,$L20=0),AND(JA$6=2,$K20=2,$G20=1)),0,IF(AND(JC$9=2,(OR($F20&gt;1,$K20=1,AND($L20=80,OR($N20=1,AND($N20=2,'#BerechnungDBE'!$AL11&gt;0)))))),IF(JA$4&gt;=$AD$126,0,JK20),IF(JC$9=3,IF(OR(JA$4&gt;=$AD$127,AND($G20=1,$J20=2,JA$6=2),AND(JA$6=1,$N20&lt;&gt;1)),0,IF(JE20&lt;=120,JK20,IF(JA$4&lt;$AD$124,IF($F20=1,60/JC$4*JC$6,60/JC$4*JC$7),IF($F20=1,120/JC$4*JC$6,120/JC$4*JC$7)))),IF(OR($F20=3,$G20=2),IF(OR(AND(JA$4&gt;=$AD$119,$C20=2),AND(JA$4&gt;=$AF$119,$C20=1)),0,IF(JE20&lt;=60,JK20,60/JC$4*JC$7)),IF(AND($F20=2,$G20=1),JK20,0)))))</f>
        <v>0</v>
      </c>
      <c r="JN20" s="57" t="str">
        <f t="shared" si="106"/>
        <v/>
      </c>
      <c r="JO20" s="57" t="str">
        <f t="shared" si="107"/>
        <v/>
      </c>
      <c r="JP20" s="713">
        <f>'org. Düngung 22'!BX19</f>
        <v>0</v>
      </c>
      <c r="JQ20" s="57"/>
      <c r="JR20" s="57"/>
      <c r="JS20" s="57">
        <f t="shared" si="108"/>
        <v>0</v>
      </c>
      <c r="JT20" s="57">
        <f t="shared" si="278"/>
        <v>0</v>
      </c>
      <c r="JU20" s="57">
        <f t="shared" si="279"/>
        <v>0</v>
      </c>
      <c r="JV20" s="57">
        <f t="shared" si="280"/>
        <v>0</v>
      </c>
      <c r="JW20" s="57">
        <f t="shared" si="281"/>
        <v>0</v>
      </c>
      <c r="JX20" s="1029">
        <f t="shared" si="109"/>
        <v>0</v>
      </c>
      <c r="JY20" s="57">
        <f t="shared" si="110"/>
        <v>0</v>
      </c>
      <c r="JZ20" s="171" t="str">
        <f t="shared" si="111"/>
        <v/>
      </c>
      <c r="KA20" s="57">
        <f t="shared" si="282"/>
        <v>0</v>
      </c>
      <c r="KB20" s="57">
        <f>IF(OR(AND(JP$6=1,$L20=0),AND(JP$6=2,$K20=2,$G20=1)),0,IF(AND(JR$9=2,(OR($F20&gt;1,$K20=1,AND($L20=80,OR($N20=1,AND($N20=2,'#BerechnungDBE'!$AL11&gt;0)))))),IF(JP$4&gt;=$AD$126,0,JZ20),IF(JR$9=3,IF(OR(JP$4&gt;=$AD$127,AND($G20=1,$J20=2,JP$6=2),AND(JP$6=1,$N20&lt;&gt;1)),0,IF(JT20&lt;=120,JZ20,IF(JP$4&lt;$AD$124,IF($F20=1,60/JR$4*JR$6,60/JR$4*JR$7),IF($F20=1,120/JR$4*JR$6,120/JR$4*JR$7)))),IF(OR($F20=3,$G20=2),IF(OR(AND(JP$4&gt;=$AD$119,$C20=2),AND(JP$4&gt;=$AF$119,$C20=1)),0,IF(JT20&lt;=60,JZ20,60/JR$4*JR$7)),IF(AND($F20=2,$G20=1),JZ20,0)))))</f>
        <v>0</v>
      </c>
      <c r="KC20" s="57" t="str">
        <f t="shared" si="112"/>
        <v/>
      </c>
      <c r="KD20" s="57" t="str">
        <f t="shared" si="113"/>
        <v/>
      </c>
      <c r="KE20" s="713">
        <f>'org. Düngung 22'!CB19</f>
        <v>0</v>
      </c>
      <c r="KF20" s="57"/>
      <c r="KG20" s="57"/>
      <c r="KH20" s="57">
        <f t="shared" si="114"/>
        <v>0</v>
      </c>
      <c r="KI20" s="57">
        <f t="shared" si="283"/>
        <v>0</v>
      </c>
      <c r="KJ20" s="57">
        <f t="shared" si="284"/>
        <v>0</v>
      </c>
      <c r="KK20" s="57">
        <f t="shared" si="285"/>
        <v>0</v>
      </c>
      <c r="KL20" s="57">
        <f t="shared" si="286"/>
        <v>0</v>
      </c>
      <c r="KM20" s="1029">
        <f t="shared" si="115"/>
        <v>0</v>
      </c>
      <c r="KN20" s="57">
        <f t="shared" si="116"/>
        <v>0</v>
      </c>
      <c r="KO20" s="171" t="str">
        <f t="shared" si="117"/>
        <v/>
      </c>
      <c r="KP20" s="57">
        <f t="shared" si="287"/>
        <v>0</v>
      </c>
      <c r="KQ20" s="57">
        <f>IF(OR(AND(KE$6=1,$L20=0),AND(KE$6=2,$K20=2,$G20=1)),0,IF(AND(KG$9=2,(OR($F20&gt;1,$K20=1,AND($L20=80,OR($N20=1,AND($N20=2,'#BerechnungDBE'!$AL11&gt;0)))))),IF(KE$4&gt;=$AD$126,0,KO20),IF(KG$9=3,IF(OR(KE$4&gt;=$AD$127,AND($G20=1,$J20=2,KE$6=2),AND(KE$6=1,$N20&lt;&gt;1)),0,IF(KI20&lt;=120,KO20,IF(KE$4&lt;$AD$124,IF($F20=1,60/KG$4*KG$6,60/KG$4*KG$7),IF($F20=1,120/KG$4*KG$6,120/KG$4*KG$7)))),IF(OR($F20=3,$G20=2),IF(OR(AND(KE$4&gt;=$AD$119,$C20=2),AND(KE$4&gt;=$AF$119,$C20=1)),0,IF(KI20&lt;=60,KO20,60/KG$4*KG$7)),IF(AND($F20=2,$G20=1),KO20,0)))))</f>
        <v>0</v>
      </c>
      <c r="KR20" s="57" t="str">
        <f t="shared" si="118"/>
        <v/>
      </c>
      <c r="KS20" s="57" t="str">
        <f t="shared" si="119"/>
        <v/>
      </c>
      <c r="KT20" s="713">
        <f>'org. Düngung 22'!CF19</f>
        <v>0</v>
      </c>
      <c r="KU20" s="57"/>
      <c r="KV20" s="57"/>
      <c r="KW20" s="57">
        <f t="shared" si="120"/>
        <v>0</v>
      </c>
      <c r="KX20" s="57">
        <f t="shared" si="288"/>
        <v>0</v>
      </c>
      <c r="KY20" s="57">
        <f t="shared" si="289"/>
        <v>0</v>
      </c>
      <c r="KZ20" s="57">
        <f t="shared" si="290"/>
        <v>0</v>
      </c>
      <c r="LA20" s="57">
        <f t="shared" si="291"/>
        <v>0</v>
      </c>
      <c r="LB20" s="1029">
        <f t="shared" si="121"/>
        <v>0</v>
      </c>
      <c r="LC20" s="57">
        <f t="shared" si="122"/>
        <v>0</v>
      </c>
      <c r="LD20" s="171" t="str">
        <f t="shared" si="123"/>
        <v/>
      </c>
      <c r="LE20" s="57">
        <f t="shared" si="292"/>
        <v>0</v>
      </c>
      <c r="LF20" s="57">
        <f>IF(OR(AND(KT$6=1,$L20=0),AND(KT$6=2,$K20=2,$G20=1)),0,IF(AND(KV$9=2,(OR($F20&gt;1,$K20=1,AND($L20=80,OR($N20=1,AND($N20=2,'#BerechnungDBE'!$AL11&gt;0)))))),IF(KT$4&gt;=$AD$126,0,LD20),IF(KV$9=3,IF(OR(KT$4&gt;=$AD$127,AND($G20=1,$J20=2,KT$6=2),AND(KT$6=1,$N20&lt;&gt;1)),0,IF(KX20&lt;=120,LD20,IF(KT$4&lt;$AD$124,IF($F20=1,60/KV$4*KV$6,60/KV$4*KV$7),IF($F20=1,120/KV$4*KV$6,120/KV$4*KV$7)))),IF(OR($F20=3,$G20=2),IF(OR(AND(KT$4&gt;=$AD$119,$C20=2),AND(KT$4&gt;=$AF$119,$C20=1)),0,IF(KX20&lt;=60,LD20,60/KV$4*KV$7)),IF(AND($F20=2,$G20=1),LD20,0)))))</f>
        <v>0</v>
      </c>
      <c r="LG20" s="57" t="str">
        <f t="shared" si="124"/>
        <v/>
      </c>
      <c r="LH20" s="57" t="str">
        <f t="shared" si="125"/>
        <v/>
      </c>
      <c r="LI20" s="713">
        <f>'org. Düngung 22'!CJ19</f>
        <v>0</v>
      </c>
      <c r="LJ20" s="57"/>
      <c r="LK20" s="57"/>
      <c r="LL20" s="57">
        <f t="shared" si="126"/>
        <v>0</v>
      </c>
      <c r="LM20" s="57">
        <f t="shared" si="293"/>
        <v>0</v>
      </c>
      <c r="LN20" s="57">
        <f t="shared" si="294"/>
        <v>0</v>
      </c>
      <c r="LO20" s="57">
        <f t="shared" si="295"/>
        <v>0</v>
      </c>
      <c r="LP20" s="57">
        <f t="shared" si="296"/>
        <v>0</v>
      </c>
      <c r="LQ20" s="1029">
        <f t="shared" si="127"/>
        <v>0</v>
      </c>
      <c r="LR20" s="57">
        <f t="shared" si="128"/>
        <v>0</v>
      </c>
      <c r="LS20" s="171" t="str">
        <f t="shared" si="129"/>
        <v/>
      </c>
      <c r="LT20" s="57">
        <f t="shared" si="297"/>
        <v>0</v>
      </c>
      <c r="LU20" s="57">
        <f>IF(OR(AND(LI$6=1,$L20=0),AND(LI$6=2,$K20=2,$G20=1)),0,IF(AND(LK$9=2,(OR($F20&gt;1,$K20=1,AND($L20=80,OR($N20=1,AND($N20=2,'#BerechnungDBE'!$AL11&gt;0)))))),IF(LI$4&gt;=$AD$126,0,LS20),IF(LK$9=3,IF(OR(LI$4&gt;=$AD$127,AND($G20=1,$J20=2,LI$6=2),AND(LI$6=1,$N20&lt;&gt;1)),0,IF(LM20&lt;=120,LS20,IF(LI$4&lt;$AD$124,IF($F20=1,60/LK$4*LK$6,60/LK$4*LK$7),IF($F20=1,120/LK$4*LK$6,120/LK$4*LK$7)))),IF(OR($F20=3,$G20=2),IF(OR(AND(LI$4&gt;=$AD$119,$C20=2),AND(LI$4&gt;=$AF$119,$C20=1)),0,IF(LM20&lt;=60,LS20,60/LK$4*LK$7)),IF(AND($F20=2,$G20=1),LS20,0)))))</f>
        <v>0</v>
      </c>
      <c r="LV20" s="57" t="str">
        <f t="shared" si="130"/>
        <v/>
      </c>
      <c r="LW20" s="57" t="str">
        <f t="shared" si="131"/>
        <v/>
      </c>
      <c r="LX20" s="713">
        <f>'org. Düngung 22'!CN19</f>
        <v>0</v>
      </c>
      <c r="LY20" s="57"/>
      <c r="LZ20" s="57"/>
      <c r="MA20" s="57">
        <f t="shared" si="132"/>
        <v>0</v>
      </c>
      <c r="MB20" s="57">
        <f t="shared" si="298"/>
        <v>0</v>
      </c>
      <c r="MC20" s="57">
        <f t="shared" si="299"/>
        <v>0</v>
      </c>
      <c r="MD20" s="57">
        <f t="shared" si="300"/>
        <v>0</v>
      </c>
      <c r="ME20" s="57">
        <f t="shared" si="301"/>
        <v>0</v>
      </c>
      <c r="MF20" s="1029">
        <f t="shared" si="133"/>
        <v>0</v>
      </c>
      <c r="MG20" s="57">
        <f t="shared" si="134"/>
        <v>0</v>
      </c>
      <c r="MH20" s="171" t="str">
        <f t="shared" si="135"/>
        <v/>
      </c>
      <c r="MI20" s="57">
        <f t="shared" si="302"/>
        <v>0</v>
      </c>
      <c r="MJ20" s="57">
        <f>IF(OR(AND(LX$6=1,$L20=0),AND(LX$6=2,$K20=2,$G20=1)),0,IF(AND(LZ$9=2,(OR($F20&gt;1,$K20=1,AND($L20=80,OR($N20=1,AND($N20=2,'#BerechnungDBE'!$AL11&gt;0)))))),IF(LX$4&gt;=$AD$126,0,MH20),IF(LZ$9=3,IF(OR(LX$4&gt;=$AD$127,AND($G20=1,$J20=2,LX$6=2),AND(LX$6=1,$N20&lt;&gt;1)),0,IF(MB20&lt;=120,MH20,IF(LX$4&lt;$AD$124,IF($F20=1,60/LZ$4*LZ$6,60/LZ$4*LZ$7),IF($F20=1,120/LZ$4*LZ$6,120/LZ$4*LZ$7)))),IF(OR($F20=3,$G20=2),IF(OR(AND(LX$4&gt;=$AD$119,$C20=2),AND(LX$4&gt;=$AF$119,$C20=1)),0,IF(MB20&lt;=60,MH20,60/LZ$4*LZ$7)),IF(AND($F20=2,$G20=1),MH20,0)))))</f>
        <v>0</v>
      </c>
      <c r="MK20" s="57" t="str">
        <f t="shared" si="136"/>
        <v/>
      </c>
      <c r="ML20" s="57" t="str">
        <f t="shared" si="137"/>
        <v/>
      </c>
      <c r="MM20" s="713">
        <f>'org. Düngung 22'!CR19</f>
        <v>0</v>
      </c>
      <c r="MN20" s="57"/>
      <c r="MO20" s="57"/>
      <c r="MP20" s="57">
        <f t="shared" si="138"/>
        <v>0</v>
      </c>
      <c r="MQ20" s="57">
        <f t="shared" si="303"/>
        <v>0</v>
      </c>
      <c r="MR20" s="57">
        <f t="shared" si="304"/>
        <v>0</v>
      </c>
      <c r="MS20" s="57">
        <f t="shared" si="305"/>
        <v>0</v>
      </c>
      <c r="MT20" s="57">
        <f t="shared" si="306"/>
        <v>0</v>
      </c>
      <c r="MU20" s="1029">
        <f t="shared" si="139"/>
        <v>0</v>
      </c>
      <c r="MV20" s="57">
        <f t="shared" si="140"/>
        <v>0</v>
      </c>
      <c r="MW20" s="171" t="str">
        <f t="shared" si="141"/>
        <v/>
      </c>
      <c r="MX20" s="57">
        <f t="shared" si="307"/>
        <v>0</v>
      </c>
      <c r="MY20" s="57">
        <f>IF(OR(AND(MM$6=1,$L20=0),AND(MM$6=2,$K20=2,$G20=1)),0,IF(AND(MO$9=2,(OR($F20&gt;1,$K20=1,AND($L20=80,OR($N20=1,AND($N20=2,'#BerechnungDBE'!$AL11&gt;0)))))),IF(MM$4&gt;=$AD$126,0,MW20),IF(MO$9=3,IF(OR(MM$4&gt;=$AD$127,AND($G20=1,$J20=2,MM$6=2),AND(MM$6=1,$N20&lt;&gt;1)),0,IF(MQ20&lt;=120,MW20,IF(MM$4&lt;$AD$124,IF($F20=1,60/MO$4*MO$6,60/MO$4*MO$7),IF($F20=1,120/MO$4*MO$6,120/MO$4*MO$7)))),IF(OR($F20=3,$G20=2),IF(OR(AND(MM$4&gt;=$AD$119,$C20=2),AND(MM$4&gt;=$AF$119,$C20=1)),0,IF(MQ20&lt;=60,MW20,60/MO$4*MO$7)),IF(AND($F20=2,$G20=1),MW20,0)))))</f>
        <v>0</v>
      </c>
      <c r="MZ20" s="57" t="str">
        <f t="shared" si="142"/>
        <v/>
      </c>
      <c r="NA20" s="57" t="str">
        <f t="shared" si="143"/>
        <v/>
      </c>
      <c r="NB20" s="713">
        <f>'org. Düngung 22'!CV19</f>
        <v>0</v>
      </c>
      <c r="NC20" s="57"/>
      <c r="ND20" s="57"/>
      <c r="NE20" s="57">
        <f t="shared" si="144"/>
        <v>0</v>
      </c>
      <c r="NF20" s="57">
        <f t="shared" si="308"/>
        <v>0</v>
      </c>
      <c r="NG20" s="57">
        <f t="shared" si="309"/>
        <v>0</v>
      </c>
      <c r="NH20" s="57">
        <f t="shared" si="310"/>
        <v>0</v>
      </c>
      <c r="NI20" s="57">
        <f t="shared" si="311"/>
        <v>0</v>
      </c>
      <c r="NJ20" s="1029">
        <f t="shared" si="145"/>
        <v>0</v>
      </c>
      <c r="NK20" s="57">
        <f t="shared" si="146"/>
        <v>0</v>
      </c>
      <c r="NL20" s="171" t="str">
        <f t="shared" si="147"/>
        <v/>
      </c>
      <c r="NM20" s="57">
        <f t="shared" si="312"/>
        <v>0</v>
      </c>
      <c r="NN20" s="57">
        <f>IF(OR(AND(NB$6=1,$L20=0),AND(NB$6=2,$K20=2,$G20=1)),0,IF(AND(ND$9=2,(OR($F20&gt;1,$K20=1,AND($L20=80,OR($N20=1,AND($N20=2,'#BerechnungDBE'!$AL11&gt;0)))))),IF(NB$4&gt;=$AD$126,0,NL20),IF(ND$9=3,IF(OR(NB$4&gt;=$AD$127,AND($G20=1,$J20=2,NB$6=2),AND(NB$6=1,$N20&lt;&gt;1)),0,IF(NF20&lt;=120,NL20,IF(NB$4&lt;$AD$124,IF($F20=1,60/ND$4*ND$6,60/ND$4*ND$7),IF($F20=1,120/ND$4*ND$6,120/ND$4*ND$7)))),IF(OR($F20=3,$G20=2),IF(OR(AND(NB$4&gt;=$AD$119,$C20=2),AND(NB$4&gt;=$AF$119,$C20=1)),0,IF(NF20&lt;=60,NL20,60/ND$4*ND$7)),IF(AND($F20=2,$G20=1),NL20,0)))))</f>
        <v>0</v>
      </c>
      <c r="NO20" s="57" t="str">
        <f t="shared" si="148"/>
        <v/>
      </c>
      <c r="NP20" s="57" t="str">
        <f t="shared" si="149"/>
        <v/>
      </c>
      <c r="NQ20" s="713">
        <f>'org. Düngung 22'!CZ19</f>
        <v>0</v>
      </c>
      <c r="NR20" s="57"/>
      <c r="NS20" s="57"/>
      <c r="NT20" s="57">
        <f t="shared" si="150"/>
        <v>0</v>
      </c>
      <c r="NU20" s="57">
        <f t="shared" si="313"/>
        <v>0</v>
      </c>
      <c r="NV20" s="57">
        <f t="shared" si="314"/>
        <v>0</v>
      </c>
      <c r="NW20" s="57">
        <f t="shared" si="315"/>
        <v>0</v>
      </c>
      <c r="NX20" s="57">
        <f t="shared" si="316"/>
        <v>0</v>
      </c>
      <c r="NY20" s="1029">
        <f t="shared" si="151"/>
        <v>0</v>
      </c>
      <c r="NZ20" s="57">
        <f t="shared" si="152"/>
        <v>0</v>
      </c>
      <c r="OA20" s="171" t="str">
        <f t="shared" si="153"/>
        <v/>
      </c>
      <c r="OB20" s="57">
        <f t="shared" si="317"/>
        <v>0</v>
      </c>
      <c r="OC20" s="57">
        <f>IF(OR(AND(NQ$6=1,$L20=0),AND(NQ$6=2,$K20=2,$G20=1)),0,IF(AND(NS$9=2,(OR($F20&gt;1,$K20=1,AND($L20=80,OR($N20=1,AND($N20=2,'#BerechnungDBE'!$AL11&gt;0)))))),IF(NQ$4&gt;=$AD$126,0,OA20),IF(NS$9=3,IF(OR(NQ$4&gt;=$AD$127,AND($G20=1,$J20=2,NQ$6=2),AND(NQ$6=1,$N20&lt;&gt;1)),0,IF(NU20&lt;=120,OA20,IF(NQ$4&lt;$AD$124,IF($F20=1,60/NS$4*NS$6,60/NS$4*NS$7),IF($F20=1,120/NS$4*NS$6,120/NS$4*NS$7)))),IF(OR($F20=3,$G20=2),IF(OR(AND(NQ$4&gt;=$AD$119,$C20=2),AND(NQ$4&gt;=$AF$119,$C20=1)),0,IF(NU20&lt;=60,OA20,60/NS$4*NS$7)),IF(AND($F20=2,$G20=1),OA20,0)))))</f>
        <v>0</v>
      </c>
      <c r="OD20" s="57" t="str">
        <f t="shared" si="154"/>
        <v/>
      </c>
      <c r="OE20" s="57" t="str">
        <f t="shared" si="155"/>
        <v/>
      </c>
      <c r="OF20" s="713">
        <f>'org. Düngung 22'!DD19</f>
        <v>0</v>
      </c>
      <c r="OG20" s="57"/>
      <c r="OH20" s="57"/>
      <c r="OI20" s="57">
        <f t="shared" si="156"/>
        <v>0</v>
      </c>
      <c r="OJ20" s="57">
        <f t="shared" si="318"/>
        <v>0</v>
      </c>
      <c r="OK20" s="57">
        <f t="shared" si="319"/>
        <v>0</v>
      </c>
      <c r="OL20" s="57">
        <f t="shared" si="320"/>
        <v>0</v>
      </c>
      <c r="OM20" s="57">
        <f t="shared" si="321"/>
        <v>0</v>
      </c>
      <c r="ON20" s="1029">
        <f t="shared" si="157"/>
        <v>0</v>
      </c>
      <c r="OO20" s="57">
        <f t="shared" si="158"/>
        <v>0</v>
      </c>
      <c r="OP20" s="171" t="str">
        <f t="shared" si="159"/>
        <v/>
      </c>
      <c r="OQ20" s="57">
        <f t="shared" si="322"/>
        <v>0</v>
      </c>
      <c r="OR20" s="57">
        <f>IF(OR(AND(OF$6=1,$L20=0),AND(OF$6=2,$K20=2,$G20=1)),0,IF(AND(OH$9=2,(OR($F20&gt;1,$K20=1,AND($L20=80,OR($N20=1,AND($N20=2,'#BerechnungDBE'!$AL11&gt;0)))))),IF(OF$4&gt;=$AD$126,0,OP20),IF(OH$9=3,IF(OR(OF$4&gt;=$AD$127,AND($G20=1,$J20=2,OF$6=2),AND(OF$6=1,$N20&lt;&gt;1)),0,IF(OJ20&lt;=120,OP20,IF(OF$4&lt;$AD$124,IF($F20=1,60/OH$4*OH$6,60/OH$4*OH$7),IF($F20=1,120/OH$4*OH$6,120/OH$4*OH$7)))),IF(OR($F20=3,$G20=2),IF(OR(AND(OF$4&gt;=$AD$119,$C20=2),AND(OF$4&gt;=$AF$119,$C20=1)),0,IF(OJ20&lt;=60,OP20,60/OH$4*OH$7)),IF(AND($F20=2,$G20=1),OP20,0)))))</f>
        <v>0</v>
      </c>
      <c r="OS20" s="57" t="str">
        <f t="shared" si="160"/>
        <v/>
      </c>
      <c r="OT20" s="57" t="str">
        <f t="shared" si="161"/>
        <v/>
      </c>
      <c r="OU20" s="713">
        <f>'org. Düngung 22'!DH19</f>
        <v>0</v>
      </c>
      <c r="OV20" s="57"/>
      <c r="OW20" s="57"/>
      <c r="OX20" s="57">
        <f t="shared" si="162"/>
        <v>0</v>
      </c>
      <c r="OY20" s="57">
        <f t="shared" si="323"/>
        <v>0</v>
      </c>
      <c r="OZ20" s="57">
        <f t="shared" si="324"/>
        <v>0</v>
      </c>
      <c r="PA20" s="57">
        <f t="shared" si="325"/>
        <v>0</v>
      </c>
      <c r="PB20" s="57">
        <f t="shared" si="326"/>
        <v>0</v>
      </c>
      <c r="PC20" s="1029">
        <f t="shared" si="163"/>
        <v>0</v>
      </c>
      <c r="PD20" s="57">
        <f t="shared" si="164"/>
        <v>0</v>
      </c>
      <c r="PE20" s="171" t="str">
        <f t="shared" si="165"/>
        <v/>
      </c>
      <c r="PF20" s="57">
        <f t="shared" si="327"/>
        <v>0</v>
      </c>
      <c r="PG20" s="57">
        <f>IF(OR(AND(OU$6=1,$L20=0),AND(OU$6=2,$K20=2,$G20=1)),0,IF(AND(OW$9=2,(OR($F20&gt;1,$K20=1,AND($L20=80,OR($N20=1,AND($N20=2,'#BerechnungDBE'!$AL11&gt;0)))))),IF(OU$4&gt;=$AD$126,0,PE20),IF(OW$9=3,IF(OR(OU$4&gt;=$AD$127,AND($G20=1,$J20=2,OU$6=2),AND(OU$6=1,$N20&lt;&gt;1)),0,IF(OY20&lt;=120,PE20,IF(OU$4&lt;$AD$124,IF($F20=1,60/OW$4*OW$6,60/OW$4*OW$7),IF($F20=1,120/OW$4*OW$6,120/OW$4*OW$7)))),IF(OR($F20=3,$G20=2),IF(OR(AND(OU$4&gt;=$AD$119,$C20=2),AND(OU$4&gt;=$AF$119,$C20=1)),0,IF(OY20&lt;=60,PE20,60/OW$4*OW$7)),IF(AND($F20=2,$G20=1),PE20,0)))))</f>
        <v>0</v>
      </c>
      <c r="PH20" s="57" t="str">
        <f t="shared" si="166"/>
        <v/>
      </c>
      <c r="PI20" s="57" t="str">
        <f t="shared" si="167"/>
        <v/>
      </c>
      <c r="PJ20" s="713">
        <f>'org. Düngung 22'!DL19</f>
        <v>0</v>
      </c>
      <c r="PK20" s="57"/>
      <c r="PL20" s="57"/>
      <c r="PM20" s="57">
        <f t="shared" si="168"/>
        <v>0</v>
      </c>
      <c r="PN20" s="57">
        <f t="shared" si="328"/>
        <v>0</v>
      </c>
      <c r="PO20" s="57">
        <f t="shared" si="329"/>
        <v>0</v>
      </c>
      <c r="PP20" s="57">
        <f t="shared" si="330"/>
        <v>0</v>
      </c>
      <c r="PQ20" s="57">
        <f t="shared" si="331"/>
        <v>0</v>
      </c>
      <c r="PR20" s="1029">
        <f t="shared" si="169"/>
        <v>0</v>
      </c>
      <c r="PS20" s="57">
        <f t="shared" si="170"/>
        <v>0</v>
      </c>
      <c r="PT20" s="171" t="str">
        <f t="shared" si="171"/>
        <v/>
      </c>
      <c r="PU20" s="57">
        <f t="shared" si="332"/>
        <v>0</v>
      </c>
      <c r="PV20" s="57">
        <f>IF(OR(AND(PJ$6=1,$L20=0),AND(PJ$6=2,$K20=2,$G20=1)),0,IF(AND(PL$9=2,(OR($F20&gt;1,$K20=1,AND($L20=80,OR($N20=1,AND($N20=2,'#BerechnungDBE'!$AL11&gt;0)))))),IF(PJ$4&gt;=$AD$126,0,PT20),IF(PL$9=3,IF(OR(PJ$4&gt;=$AD$127,AND($G20=1,$J20=2,PJ$6=2),AND(PJ$6=1,$N20&lt;&gt;1)),0,IF(PN20&lt;=120,PT20,IF(PJ$4&lt;$AD$124,IF($F20=1,60/PL$4*PL$6,60/PL$4*PL$7),IF($F20=1,120/PL$4*PL$6,120/PL$4*PL$7)))),IF(OR($F20=3,$G20=2),IF(OR(AND(PJ$4&gt;=$AD$119,$C20=2),AND(PJ$4&gt;=$AF$119,$C20=1)),0,IF(PN20&lt;=60,PT20,60/PL$4*PL$7)),IF(AND($F20=2,$G20=1),PT20,0)))))</f>
        <v>0</v>
      </c>
      <c r="PW20" s="57" t="str">
        <f t="shared" si="172"/>
        <v/>
      </c>
      <c r="PX20" s="57" t="str">
        <f t="shared" si="173"/>
        <v/>
      </c>
      <c r="PY20" s="713">
        <f>'org. Düngung 22'!DP19</f>
        <v>0</v>
      </c>
      <c r="PZ20" s="57"/>
      <c r="QA20" s="57"/>
      <c r="QB20" s="57">
        <f t="shared" si="174"/>
        <v>0</v>
      </c>
      <c r="QC20" s="57">
        <f t="shared" si="333"/>
        <v>0</v>
      </c>
      <c r="QD20" s="57">
        <f t="shared" si="334"/>
        <v>0</v>
      </c>
      <c r="QE20" s="57">
        <f t="shared" si="335"/>
        <v>0</v>
      </c>
      <c r="QF20" s="57">
        <f t="shared" si="336"/>
        <v>0</v>
      </c>
      <c r="QG20" s="1029">
        <f t="shared" si="175"/>
        <v>0</v>
      </c>
      <c r="QH20" s="57">
        <f t="shared" si="176"/>
        <v>0</v>
      </c>
      <c r="QI20" s="171" t="str">
        <f t="shared" si="177"/>
        <v/>
      </c>
      <c r="QJ20" s="57">
        <f t="shared" si="337"/>
        <v>0</v>
      </c>
      <c r="QK20" s="57">
        <f>IF(OR(AND(PY$6=1,$L20=0),AND(PY$6=2,$K20=2,$G20=1)),0,IF(AND(QA$9=2,(OR($F20&gt;1,$K20=1,AND($L20=80,OR($N20=1,AND($N20=2,'#BerechnungDBE'!$AL11&gt;0)))))),IF(PY$4&gt;=$AD$126,0,QI20),IF(QA$9=3,IF(OR(PY$4&gt;=$AD$127,AND($G20=1,$J20=2,PY$6=2),AND(PY$6=1,$N20&lt;&gt;1)),0,IF(QC20&lt;=120,QI20,IF(PY$4&lt;$AD$124,IF($F20=1,60/QA$4*QA$6,60/QA$4*QA$7),IF($F20=1,120/QA$4*QA$6,120/QA$4*QA$7)))),IF(OR($F20=3,$G20=2),IF(OR(AND(PY$4&gt;=$AD$119,$C20=2),AND(PY$4&gt;=$AF$119,$C20=1)),0,IF(QC20&lt;=60,QI20,60/QA$4*QA$7)),IF(AND($F20=2,$G20=1),QI20,0)))))</f>
        <v>0</v>
      </c>
      <c r="QL20" s="57" t="str">
        <f t="shared" si="178"/>
        <v/>
      </c>
      <c r="QM20" s="57" t="str">
        <f t="shared" si="179"/>
        <v/>
      </c>
      <c r="QN20" s="713">
        <f>'org. Düngung 22'!DT19</f>
        <v>0</v>
      </c>
      <c r="QO20" s="57"/>
      <c r="QP20" s="57"/>
      <c r="QQ20" s="57">
        <f t="shared" si="180"/>
        <v>0</v>
      </c>
      <c r="QR20" s="57">
        <f t="shared" si="338"/>
        <v>0</v>
      </c>
      <c r="QS20" s="57">
        <f t="shared" si="339"/>
        <v>0</v>
      </c>
      <c r="QT20" s="57">
        <f t="shared" si="340"/>
        <v>0</v>
      </c>
      <c r="QU20" s="57">
        <f t="shared" si="341"/>
        <v>0</v>
      </c>
      <c r="QV20" s="1029">
        <f t="shared" si="181"/>
        <v>0</v>
      </c>
      <c r="QW20" s="57">
        <f t="shared" si="182"/>
        <v>0</v>
      </c>
      <c r="QX20" s="171" t="str">
        <f t="shared" si="183"/>
        <v/>
      </c>
      <c r="QY20" s="57">
        <f t="shared" si="342"/>
        <v>0</v>
      </c>
      <c r="QZ20" s="57">
        <f>IF(OR(AND(QN$6=1,$L20=0),AND(QN$6=2,$K20=2,$G20=1)),0,IF(AND(QP$9=2,(OR($F20&gt;1,$K20=1,AND($L20=80,OR($N20=1,AND($N20=2,'#BerechnungDBE'!$AL11&gt;0)))))),IF(QN$4&gt;=$AD$126,0,QX20),IF(QP$9=3,IF(OR(QN$4&gt;=$AD$127,AND($G20=1,$J20=2,QN$6=2),AND(QN$6=1,$N20&lt;&gt;1)),0,IF(QR20&lt;=120,QX20,IF(QN$4&lt;$AD$124,IF($F20=1,60/QP$4*QP$6,60/QP$4*QP$7),IF($F20=1,120/QP$4*QP$6,120/QP$4*QP$7)))),IF(OR($F20=3,$G20=2),IF(OR(AND(QN$4&gt;=$AD$119,$C20=2),AND(QN$4&gt;=$AF$119,$C20=1)),0,IF(QR20&lt;=60,QX20,60/QP$4*QP$7)),IF(AND($F20=2,$G20=1),QX20,0)))))</f>
        <v>0</v>
      </c>
      <c r="RA20" s="57" t="str">
        <f t="shared" si="184"/>
        <v/>
      </c>
      <c r="RB20" s="57" t="str">
        <f t="shared" si="185"/>
        <v/>
      </c>
      <c r="RC20" s="713">
        <f>'org. Düngung 22'!DX19</f>
        <v>0</v>
      </c>
      <c r="RD20" s="57"/>
      <c r="RE20" s="57"/>
      <c r="RF20" s="57">
        <f t="shared" si="186"/>
        <v>0</v>
      </c>
      <c r="RG20" s="57">
        <f t="shared" si="343"/>
        <v>0</v>
      </c>
      <c r="RH20" s="57">
        <f t="shared" si="344"/>
        <v>0</v>
      </c>
      <c r="RI20" s="57">
        <f t="shared" si="345"/>
        <v>0</v>
      </c>
      <c r="RJ20" s="57">
        <f t="shared" si="346"/>
        <v>0</v>
      </c>
      <c r="RK20" s="1029">
        <f t="shared" si="187"/>
        <v>0</v>
      </c>
      <c r="RL20" s="57">
        <f t="shared" si="188"/>
        <v>0</v>
      </c>
      <c r="RM20" s="171" t="str">
        <f t="shared" si="189"/>
        <v/>
      </c>
      <c r="RN20" s="57">
        <f t="shared" si="347"/>
        <v>0</v>
      </c>
      <c r="RO20" s="57">
        <f>IF(OR(AND(RC$6=1,$L20=0),AND(RC$6=2,$K20=2,$G20=1)),0,IF(AND(RE$9=2,(OR($F20&gt;1,$K20=1,AND($L20=80,OR($N20=1,AND($N20=2,'#BerechnungDBE'!$AL11&gt;0)))))),IF(RC$4&gt;=$AD$126,0,RM20),IF(RE$9=3,IF(OR(RC$4&gt;=$AD$127,AND($G20=1,$J20=2,RC$6=2),AND(RC$6=1,$N20&lt;&gt;1)),0,IF(RG20&lt;=120,RM20,IF(RC$4&lt;$AD$124,IF($F20=1,60/RE$4*RE$6,60/RE$4*RE$7),IF($F20=1,120/RE$4*RE$6,120/RE$4*RE$7)))),IF(OR($F20=3,$G20=2),IF(OR(AND(RC$4&gt;=$AD$119,$C20=2),AND(RC$4&gt;=$AF$119,$C20=1)),0,IF(RG20&lt;=60,RM20,60/RE$4*RE$7)),IF(AND($F20=2,$G20=1),RM20,0)))))</f>
        <v>0</v>
      </c>
      <c r="RP20" s="57" t="str">
        <f t="shared" si="190"/>
        <v/>
      </c>
      <c r="RQ20" s="57" t="str">
        <f t="shared" si="191"/>
        <v/>
      </c>
      <c r="RS20" s="57" t="str">
        <f t="shared" si="348"/>
        <v/>
      </c>
      <c r="RT20" s="57" t="str">
        <f t="shared" si="192"/>
        <v/>
      </c>
      <c r="RU20" s="57" t="str">
        <f t="shared" si="193"/>
        <v/>
      </c>
      <c r="RV20" s="57" t="str">
        <f>IF(Z20&gt;'#BerechnungDBE'!BM11,$RV$9,"")</f>
        <v/>
      </c>
      <c r="RW20" s="57" t="str">
        <f>IF(AND(L20=70,AE20&gt;'#BerechnungDBE'!CQ11),$RW$9,"")</f>
        <v/>
      </c>
      <c r="RX20" s="57" t="str">
        <f>IF(OR('org. Düngung 22'!G19="--",'org. Düngung 22'!G19&lt;=170,'org. Düngung 22'!G19=""),"",$RX$9)</f>
        <v/>
      </c>
      <c r="RY20" s="57" t="str">
        <f>IF('org. Düngung 22'!K19&gt;120,'#orgDung'!$RY$9,"")</f>
        <v/>
      </c>
      <c r="RZ20" s="57" t="str">
        <f>IF('#BerechnungDBE'!P11&lt;4,"",IF(AND('#BerechnungDBE'!BZ11&gt;0,T20&gt;0),'#orgDung'!$RZ$9,""))</f>
        <v/>
      </c>
      <c r="SA20" s="57" t="str">
        <f t="shared" si="194"/>
        <v/>
      </c>
    </row>
    <row r="21" spans="1:495" s="875" customFormat="1" x14ac:dyDescent="0.2">
      <c r="A21" s="875">
        <f>'Flächen u. Kulturen'!A17</f>
        <v>8</v>
      </c>
      <c r="B21" s="367">
        <f>'#BerechnungDBE'!L12</f>
        <v>0</v>
      </c>
      <c r="C21" s="875">
        <f>'#BerechnungDBE'!R12</f>
        <v>1</v>
      </c>
      <c r="D21" s="875">
        <f>'#BerechnungDBE'!T12</f>
        <v>2</v>
      </c>
      <c r="E21" s="875" t="str">
        <f>'Flächen u. Kulturen'!E17</f>
        <v>x</v>
      </c>
      <c r="F21" s="52">
        <f>'#BerechnungDBE'!N12</f>
        <v>1</v>
      </c>
      <c r="G21" s="52">
        <f>'#BerechnungDBE'!O12</f>
        <v>1</v>
      </c>
      <c r="H21" s="875">
        <f>IF('Flächen u. Kulturen'!P17="",0,VLOOKUP('Flächen u. Kulturen'!P17,Kulturen[[HF]:[Berechnungsgruppe]],'#Frucht'!$H$1,FALSE))</f>
        <v>0</v>
      </c>
      <c r="I21" s="875">
        <f>IF('Flächen u. Kulturen'!J17="",0,VLOOKUP('Flächen u. Kulturen'!J17,Kulturen[[HF]:[Berechnungsgruppe]],'#Frucht'!$G$1,FALSE))</f>
        <v>90</v>
      </c>
      <c r="J21" s="505">
        <f t="shared" si="195"/>
        <v>2</v>
      </c>
      <c r="K21" s="505">
        <f>IF('Flächen u. Kulturen'!P17="",0,IF(VLOOKUP('Flächen u. Kulturen'!P17,Kulturen[[HF]:[Saat Winterungen]],'#Frucht'!$P$1,FALSE)&gt;0,1,2))</f>
        <v>2</v>
      </c>
      <c r="L21" s="875">
        <f>'#BerechnungDBE'!AF12</f>
        <v>0</v>
      </c>
      <c r="M21" s="875">
        <f>IF('Flächen u. Kulturen'!L17="",0,VLOOKUP('Flächen u. Kulturen'!L17,Nebenkultur[[Nebenkultur]:[Legum. Zwischenfr.]],'#Zweitfr'!$K$1,FALSE))</f>
        <v>0</v>
      </c>
      <c r="N21" s="875">
        <f>'#BerechnungDBE'!AG12</f>
        <v>0</v>
      </c>
      <c r="P21" s="57">
        <f t="shared" si="0"/>
        <v>0</v>
      </c>
      <c r="Q21" s="57">
        <f t="shared" si="1"/>
        <v>0</v>
      </c>
      <c r="R21" s="875">
        <f t="shared" si="2"/>
        <v>0</v>
      </c>
      <c r="S21" s="938" t="str">
        <f t="shared" si="3"/>
        <v/>
      </c>
      <c r="T21" s="875">
        <f t="shared" si="4"/>
        <v>0</v>
      </c>
      <c r="U21" s="875">
        <f t="shared" si="5"/>
        <v>0</v>
      </c>
      <c r="V21" s="875">
        <f t="shared" si="6"/>
        <v>0</v>
      </c>
      <c r="W21" s="875">
        <f t="shared" si="7"/>
        <v>0</v>
      </c>
      <c r="X21" s="875">
        <f t="shared" si="8"/>
        <v>0</v>
      </c>
      <c r="Y21" s="875">
        <f t="shared" si="349"/>
        <v>0</v>
      </c>
      <c r="Z21" s="875">
        <f t="shared" si="350"/>
        <v>0</v>
      </c>
      <c r="AA21" s="910">
        <f t="shared" si="9"/>
        <v>0</v>
      </c>
      <c r="AB21" s="57">
        <f t="shared" si="351"/>
        <v>0</v>
      </c>
      <c r="AC21" s="875">
        <f t="shared" si="10"/>
        <v>0</v>
      </c>
      <c r="AD21" s="875">
        <f t="shared" si="11"/>
        <v>0</v>
      </c>
      <c r="AE21" s="875">
        <f t="shared" si="12"/>
        <v>0</v>
      </c>
      <c r="AF21" s="875">
        <f t="shared" si="352"/>
        <v>0</v>
      </c>
      <c r="AG21" s="875">
        <f>'org. Düngung 22'!J20</f>
        <v>0</v>
      </c>
      <c r="AH21" s="875">
        <f>'org. Düngung 22'!K20</f>
        <v>0</v>
      </c>
      <c r="AJ21" s="713">
        <f>'org. Düngung 22'!L20</f>
        <v>0</v>
      </c>
      <c r="AK21" s="57"/>
      <c r="AL21" s="57"/>
      <c r="AM21" s="57">
        <f t="shared" si="196"/>
        <v>0</v>
      </c>
      <c r="AN21" s="57">
        <f t="shared" si="197"/>
        <v>0</v>
      </c>
      <c r="AO21" s="57">
        <f t="shared" si="198"/>
        <v>0</v>
      </c>
      <c r="AP21" s="57">
        <f t="shared" si="199"/>
        <v>0</v>
      </c>
      <c r="AQ21" s="57">
        <f t="shared" si="200"/>
        <v>0</v>
      </c>
      <c r="AR21" s="1029">
        <f t="shared" si="14"/>
        <v>0</v>
      </c>
      <c r="AS21" s="57">
        <f t="shared" si="15"/>
        <v>0</v>
      </c>
      <c r="AT21" s="171" t="str">
        <f t="shared" si="16"/>
        <v/>
      </c>
      <c r="AU21" s="57">
        <f t="shared" si="201"/>
        <v>0</v>
      </c>
      <c r="AV21" s="57">
        <f>IF(OR(AND(AJ$6=1,$L21=0),AND(AJ$6=2,$K21=2,$G21=1)),0,IF(AND(AL$9=2,(OR($F21&gt;1,$K21=1,AND($L21=80,OR($N21=1,AND($N21=2,'#BerechnungDBE'!$AL12&gt;0)))))),IF(AJ$4&gt;=$AD$126,0,AT21),IF(AL$9=3,IF(OR(AJ$4&gt;=$AD$127,AND($G21=1,$J21=2,AJ$6=2),AND(AJ$6=1,$N21&lt;&gt;1)),0,IF(AN21&lt;=120,AT21,IF(AJ$4&lt;$AD$124,IF($F21=1,60/AL$4*AL$6,60/AL$4*AL$7),IF($F21=1,120/AL$4*AL$6,120/AL$4*AL$7)))),IF(OR($F21=3,$G21=2),IF(OR(AND(AJ$4&gt;=$AD$119,$C21=2),AND(AJ$4&gt;=$AF$119,$C21=1)),0,IF(AN21&lt;=60,AT21,60/AL$4*AL$7)),IF(AND($F21=2,$G21=1),AT21,0)))))</f>
        <v>0</v>
      </c>
      <c r="AW21" s="57" t="str">
        <f t="shared" si="202"/>
        <v/>
      </c>
      <c r="AX21" s="57" t="str">
        <f t="shared" si="17"/>
        <v/>
      </c>
      <c r="AY21" s="713">
        <f>'org. Düngung 22'!P20</f>
        <v>0</v>
      </c>
      <c r="AZ21" s="57"/>
      <c r="BA21" s="57"/>
      <c r="BB21" s="57">
        <f t="shared" si="18"/>
        <v>0</v>
      </c>
      <c r="BC21" s="57">
        <f t="shared" si="203"/>
        <v>0</v>
      </c>
      <c r="BD21" s="57">
        <f t="shared" si="204"/>
        <v>0</v>
      </c>
      <c r="BE21" s="57">
        <f t="shared" si="205"/>
        <v>0</v>
      </c>
      <c r="BF21" s="57">
        <f t="shared" si="206"/>
        <v>0</v>
      </c>
      <c r="BG21" s="1029">
        <f t="shared" si="19"/>
        <v>0</v>
      </c>
      <c r="BH21" s="57">
        <f t="shared" si="20"/>
        <v>0</v>
      </c>
      <c r="BI21" s="171" t="str">
        <f t="shared" si="21"/>
        <v/>
      </c>
      <c r="BJ21" s="57">
        <f t="shared" si="207"/>
        <v>0</v>
      </c>
      <c r="BK21" s="57">
        <f>IF(OR(AND(AY$6=1,$L21=0),AND(AY$6=2,$K21=2,$G21=1)),0,IF(AND(BA$9=2,(OR($F21&gt;1,$K21=1,AND($L21=80,OR($N21=1,AND($N21=2,'#BerechnungDBE'!$AL12&gt;0)))))),IF(AY$4&gt;=$AD$126,0,BI21),IF(BA$9=3,IF(OR(AY$4&gt;=$AD$127,AND($G21=1,$J21=2,AY$6=2),AND(AY$6=1,$N21&lt;&gt;1)),0,IF(BC21&lt;=120,BI21,IF(AY$4&lt;$AD$124,IF($F21=1,60/BA$4*BA$6,60/BA$4*BA$7),IF($F21=1,120/BA$4*BA$6,120/BA$4*BA$7)))),IF(OR($F21=3,$G21=2),IF(OR(AND(AY$4&gt;=$AD$119,$C21=2),AND(AY$4&gt;=$AF$119,$C21=1)),0,IF(BC21&lt;=60,BI21,60/BA$4*BA$7)),IF(AND($F21=2,$G21=1),BI21,0)))))</f>
        <v>0</v>
      </c>
      <c r="BL21" s="57" t="str">
        <f t="shared" si="22"/>
        <v/>
      </c>
      <c r="BM21" s="57" t="str">
        <f t="shared" si="23"/>
        <v/>
      </c>
      <c r="BN21" s="713">
        <f>'org. Düngung 22'!T20</f>
        <v>0</v>
      </c>
      <c r="BO21" s="57"/>
      <c r="BP21" s="57"/>
      <c r="BQ21" s="57">
        <f t="shared" si="24"/>
        <v>0</v>
      </c>
      <c r="BR21" s="57">
        <f t="shared" si="208"/>
        <v>0</v>
      </c>
      <c r="BS21" s="57">
        <f t="shared" si="209"/>
        <v>0</v>
      </c>
      <c r="BT21" s="57">
        <f t="shared" si="210"/>
        <v>0</v>
      </c>
      <c r="BU21" s="57">
        <f t="shared" si="211"/>
        <v>0</v>
      </c>
      <c r="BV21" s="1029">
        <f t="shared" si="25"/>
        <v>0</v>
      </c>
      <c r="BW21" s="57">
        <f t="shared" si="26"/>
        <v>0</v>
      </c>
      <c r="BX21" s="171" t="str">
        <f t="shared" si="27"/>
        <v/>
      </c>
      <c r="BY21" s="57">
        <f t="shared" si="212"/>
        <v>0</v>
      </c>
      <c r="BZ21" s="57">
        <f>IF(OR(AND(BN$6=1,$L21=0),AND(BN$6=2,$K21=2,$G21=1)),0,IF(AND(BP$9=2,(OR($F21&gt;1,$K21=1,AND($L21=80,OR($N21=1,AND($N21=2,'#BerechnungDBE'!$AL12&gt;0)))))),IF(BN$4&gt;=$AD$126,0,BX21),IF(BP$9=3,IF(OR(BN$4&gt;=$AD$127,AND($G21=1,$J21=2,BN$6=2),AND(BN$6=1,$N21&lt;&gt;1)),0,IF(BR21&lt;=120,BX21,IF(BN$4&lt;$AD$124,IF($F21=1,60/BP$4*BP$6,60/BP$4*BP$7),IF($F21=1,120/BP$4*BP$6,120/BP$4*BP$7)))),IF(OR($F21=3,$G21=2),IF(OR(AND(BN$4&gt;=$AD$119,$C21=2),AND(BN$4&gt;=$AF$119,$C21=1)),0,IF(BR21&lt;=60,BX21,60/BP$4*BP$7)),IF(AND($F21=2,$G21=1),BX21,0)))))</f>
        <v>0</v>
      </c>
      <c r="CA21" s="57" t="str">
        <f t="shared" si="28"/>
        <v/>
      </c>
      <c r="CB21" s="57" t="str">
        <f t="shared" si="29"/>
        <v/>
      </c>
      <c r="CC21" s="713">
        <f>'org. Düngung 22'!X20</f>
        <v>0</v>
      </c>
      <c r="CD21" s="57"/>
      <c r="CE21" s="57"/>
      <c r="CF21" s="57">
        <f t="shared" si="30"/>
        <v>0</v>
      </c>
      <c r="CG21" s="57">
        <f t="shared" si="213"/>
        <v>0</v>
      </c>
      <c r="CH21" s="57">
        <f t="shared" si="214"/>
        <v>0</v>
      </c>
      <c r="CI21" s="57">
        <f t="shared" si="215"/>
        <v>0</v>
      </c>
      <c r="CJ21" s="57">
        <f t="shared" si="216"/>
        <v>0</v>
      </c>
      <c r="CK21" s="1029">
        <f t="shared" si="31"/>
        <v>0</v>
      </c>
      <c r="CL21" s="57">
        <f t="shared" si="32"/>
        <v>0</v>
      </c>
      <c r="CM21" s="171" t="str">
        <f t="shared" si="33"/>
        <v/>
      </c>
      <c r="CN21" s="57">
        <f t="shared" si="217"/>
        <v>0</v>
      </c>
      <c r="CO21" s="57">
        <f>IF(OR(AND(CC$6=1,$L21=0),AND(CC$6=2,$K21=2,$G21=1)),0,IF(AND(CE$9=2,(OR($F21&gt;1,$K21=1,AND($L21=80,OR($N21=1,AND($N21=2,'#BerechnungDBE'!$AL12&gt;0)))))),IF(CC$4&gt;=$AD$126,0,CM21),IF(CE$9=3,IF(OR(CC$4&gt;=$AD$127,AND($G21=1,$J21=2,CC$6=2),AND(CC$6=1,$N21&lt;&gt;1)),0,IF(CG21&lt;=120,CM21,IF(CC$4&lt;$AD$124,IF($F21=1,60/CE$4*CE$6,60/CE$4*CE$7),IF($F21=1,120/CE$4*CE$6,120/CE$4*CE$7)))),IF(OR($F21=3,$G21=2),IF(OR(AND(CC$4&gt;=$AD$119,$C21=2),AND(CC$4&gt;=$AF$119,$C21=1)),0,IF(CG21&lt;=60,CM21,60/CE$4*CE$7)),IF(AND($F21=2,$G21=1),CM21,0)))))</f>
        <v>0</v>
      </c>
      <c r="CP21" s="57" t="str">
        <f t="shared" si="34"/>
        <v/>
      </c>
      <c r="CQ21" s="57" t="str">
        <f t="shared" si="35"/>
        <v/>
      </c>
      <c r="CR21" s="713">
        <f>'org. Düngung 22'!AB20</f>
        <v>0</v>
      </c>
      <c r="CS21" s="57"/>
      <c r="CT21" s="57"/>
      <c r="CU21" s="57">
        <f t="shared" si="36"/>
        <v>0</v>
      </c>
      <c r="CV21" s="57">
        <f t="shared" si="218"/>
        <v>0</v>
      </c>
      <c r="CW21" s="57">
        <f t="shared" si="219"/>
        <v>0</v>
      </c>
      <c r="CX21" s="57">
        <f t="shared" si="220"/>
        <v>0</v>
      </c>
      <c r="CY21" s="57">
        <f t="shared" si="221"/>
        <v>0</v>
      </c>
      <c r="CZ21" s="1029">
        <f t="shared" si="37"/>
        <v>0</v>
      </c>
      <c r="DA21" s="57">
        <f t="shared" si="38"/>
        <v>0</v>
      </c>
      <c r="DB21" s="171" t="str">
        <f t="shared" si="39"/>
        <v/>
      </c>
      <c r="DC21" s="57">
        <f t="shared" si="222"/>
        <v>0</v>
      </c>
      <c r="DD21" s="57">
        <f>IF(OR(AND(CR$6=1,$L21=0),AND(CR$6=2,$K21=2,$G21=1)),0,IF(AND(CT$9=2,(OR($F21&gt;1,$K21=1,AND($L21=80,OR($N21=1,AND($N21=2,'#BerechnungDBE'!$AL12&gt;0)))))),IF(CR$4&gt;=$AD$126,0,DB21),IF(CT$9=3,IF(OR(CR$4&gt;=$AD$127,AND($G21=1,$J21=2,CR$6=2),AND(CR$6=1,$N21&lt;&gt;1)),0,IF(CV21&lt;=120,DB21,IF(CR$4&lt;$AD$124,IF($F21=1,60/CT$4*CT$6,60/CT$4*CT$7),IF($F21=1,120/CT$4*CT$6,120/CT$4*CT$7)))),IF(OR($F21=3,$G21=2),IF(OR(AND(CR$4&gt;=$AD$119,$C21=2),AND(CR$4&gt;=$AF$119,$C21=1)),0,IF(CV21&lt;=60,DB21,60/CT$4*CT$7)),IF(AND($F21=2,$G21=1),DB21,0)))))</f>
        <v>0</v>
      </c>
      <c r="DE21" s="57" t="str">
        <f t="shared" si="40"/>
        <v/>
      </c>
      <c r="DF21" s="57" t="str">
        <f t="shared" si="41"/>
        <v/>
      </c>
      <c r="DG21" s="713">
        <f>'org. Düngung 22'!AF20</f>
        <v>0</v>
      </c>
      <c r="DH21" s="57"/>
      <c r="DI21" s="57"/>
      <c r="DJ21" s="57">
        <f t="shared" si="42"/>
        <v>0</v>
      </c>
      <c r="DK21" s="57">
        <f t="shared" si="223"/>
        <v>0</v>
      </c>
      <c r="DL21" s="57">
        <f t="shared" si="224"/>
        <v>0</v>
      </c>
      <c r="DM21" s="57">
        <f t="shared" si="225"/>
        <v>0</v>
      </c>
      <c r="DN21" s="57">
        <f t="shared" si="226"/>
        <v>0</v>
      </c>
      <c r="DO21" s="1029">
        <f t="shared" si="43"/>
        <v>0</v>
      </c>
      <c r="DP21" s="57">
        <f t="shared" si="44"/>
        <v>0</v>
      </c>
      <c r="DQ21" s="171" t="str">
        <f t="shared" si="45"/>
        <v/>
      </c>
      <c r="DR21" s="57">
        <f t="shared" si="227"/>
        <v>0</v>
      </c>
      <c r="DS21" s="57">
        <f>IF(OR(AND(DG$6=1,$L21=0),AND(DG$6=2,$K21=2,$G21=1)),0,IF(AND(DI$9=2,(OR($F21&gt;1,$K21=1,AND($L21=80,OR($N21=1,AND($N21=2,'#BerechnungDBE'!$AL12&gt;0)))))),IF(DG$4&gt;=$AD$126,0,DQ21),IF(DI$9=3,IF(OR(DG$4&gt;=$AD$127,AND($G21=1,$J21=2,DG$6=2),AND(DG$6=1,$N21&lt;&gt;1)),0,IF(DK21&lt;=120,DQ21,IF(DG$4&lt;$AD$124,IF($F21=1,60/DI$4*DI$6,60/DI$4*DI$7),IF($F21=1,120/DI$4*DI$6,120/DI$4*DI$7)))),IF(OR($F21=3,$G21=2),IF(OR(AND(DG$4&gt;=$AD$119,$C21=2),AND(DG$4&gt;=$AF$119,$C21=1)),0,IF(DK21&lt;=60,DQ21,60/DI$4*DI$7)),IF(AND($F21=2,$G21=1),DQ21,0)))))</f>
        <v>0</v>
      </c>
      <c r="DT21" s="57" t="str">
        <f t="shared" si="46"/>
        <v/>
      </c>
      <c r="DU21" s="57" t="str">
        <f t="shared" si="47"/>
        <v/>
      </c>
      <c r="DV21" s="713">
        <f>'org. Düngung 22'!AJ20</f>
        <v>0</v>
      </c>
      <c r="DW21" s="57"/>
      <c r="DX21" s="57"/>
      <c r="DY21" s="57">
        <f t="shared" si="48"/>
        <v>0</v>
      </c>
      <c r="DZ21" s="57">
        <f t="shared" si="228"/>
        <v>0</v>
      </c>
      <c r="EA21" s="57">
        <f t="shared" si="229"/>
        <v>0</v>
      </c>
      <c r="EB21" s="57">
        <f t="shared" si="230"/>
        <v>0</v>
      </c>
      <c r="EC21" s="57">
        <f t="shared" si="231"/>
        <v>0</v>
      </c>
      <c r="ED21" s="1029">
        <f t="shared" si="49"/>
        <v>0</v>
      </c>
      <c r="EE21" s="57">
        <f t="shared" si="50"/>
        <v>0</v>
      </c>
      <c r="EF21" s="171" t="str">
        <f t="shared" si="51"/>
        <v/>
      </c>
      <c r="EG21" s="57">
        <f t="shared" si="232"/>
        <v>0</v>
      </c>
      <c r="EH21" s="57">
        <f>IF(OR(AND(DV$6=1,$L21=0),AND(DV$6=2,$K21=2,$G21=1)),0,IF(AND(DX$9=2,(OR($F21&gt;1,$K21=1,AND($L21=80,OR($N21=1,AND($N21=2,'#BerechnungDBE'!$AL12&gt;0)))))),IF(DV$4&gt;=$AD$126,0,EF21),IF(DX$9=3,IF(OR(DV$4&gt;=$AD$127,AND($G21=1,$J21=2,DV$6=2),AND(DV$6=1,$N21&lt;&gt;1)),0,IF(DZ21&lt;=120,EF21,IF(DV$4&lt;$AD$124,IF($F21=1,60/DX$4*DX$6,60/DX$4*DX$7),IF($F21=1,120/DX$4*DX$6,120/DX$4*DX$7)))),IF(OR($F21=3,$G21=2),IF(OR(AND(DV$4&gt;=$AD$119,$C21=2),AND(DV$4&gt;=$AF$119,$C21=1)),0,IF(DZ21&lt;=60,EF21,60/DX$4*DX$7)),IF(AND($F21=2,$G21=1),EF21,0)))))</f>
        <v>0</v>
      </c>
      <c r="EI21" s="57" t="str">
        <f t="shared" si="52"/>
        <v/>
      </c>
      <c r="EJ21" s="57" t="str">
        <f t="shared" si="53"/>
        <v/>
      </c>
      <c r="EK21" s="713">
        <f>'org. Düngung 22'!AN20</f>
        <v>0</v>
      </c>
      <c r="EL21" s="57"/>
      <c r="EM21" s="57"/>
      <c r="EN21" s="57">
        <f t="shared" si="54"/>
        <v>0</v>
      </c>
      <c r="EO21" s="57">
        <f t="shared" si="233"/>
        <v>0</v>
      </c>
      <c r="EP21" s="57">
        <f t="shared" si="234"/>
        <v>0</v>
      </c>
      <c r="EQ21" s="57">
        <f t="shared" si="235"/>
        <v>0</v>
      </c>
      <c r="ER21" s="57">
        <f t="shared" si="236"/>
        <v>0</v>
      </c>
      <c r="ES21" s="1029">
        <f t="shared" si="55"/>
        <v>0</v>
      </c>
      <c r="ET21" s="57">
        <f t="shared" si="56"/>
        <v>0</v>
      </c>
      <c r="EU21" s="171" t="str">
        <f t="shared" si="57"/>
        <v/>
      </c>
      <c r="EV21" s="57">
        <f t="shared" si="237"/>
        <v>0</v>
      </c>
      <c r="EW21" s="57">
        <f>IF(OR(AND(EK$6=1,$L21=0),AND(EK$6=2,$K21=2,$G21=1)),0,IF(AND(EM$9=2,(OR($F21&gt;1,$K21=1,AND($L21=80,OR($N21=1,AND($N21=2,'#BerechnungDBE'!$AL12&gt;0)))))),IF(EK$4&gt;=$AD$126,0,EU21),IF(EM$9=3,IF(OR(EK$4&gt;=$AD$127,AND($G21=1,$J21=2,EK$6=2),AND(EK$6=1,$N21&lt;&gt;1)),0,IF(EO21&lt;=120,EU21,IF(EK$4&lt;$AD$124,IF($F21=1,60/EM$4*EM$6,60/EM$4*EM$7),IF($F21=1,120/EM$4*EM$6,120/EM$4*EM$7)))),IF(OR($F21=3,$G21=2),IF(OR(AND(EK$4&gt;=$AD$119,$C21=2),AND(EK$4&gt;=$AF$119,$C21=1)),0,IF(EO21&lt;=60,EU21,60/EM$4*EM$7)),IF(AND($F21=2,$G21=1),EU21,0)))))</f>
        <v>0</v>
      </c>
      <c r="EX21" s="57" t="str">
        <f t="shared" si="58"/>
        <v/>
      </c>
      <c r="EY21" s="57" t="str">
        <f t="shared" si="59"/>
        <v/>
      </c>
      <c r="EZ21" s="713">
        <f>'org. Düngung 22'!AR20</f>
        <v>0</v>
      </c>
      <c r="FA21" s="57"/>
      <c r="FB21" s="57"/>
      <c r="FC21" s="57">
        <f t="shared" si="60"/>
        <v>0</v>
      </c>
      <c r="FD21" s="57">
        <f t="shared" si="238"/>
        <v>0</v>
      </c>
      <c r="FE21" s="57">
        <f t="shared" si="239"/>
        <v>0</v>
      </c>
      <c r="FF21" s="57">
        <f t="shared" si="240"/>
        <v>0</v>
      </c>
      <c r="FG21" s="57">
        <f t="shared" si="241"/>
        <v>0</v>
      </c>
      <c r="FH21" s="1029">
        <f t="shared" si="61"/>
        <v>0</v>
      </c>
      <c r="FI21" s="57">
        <f t="shared" si="62"/>
        <v>0</v>
      </c>
      <c r="FJ21" s="171" t="str">
        <f t="shared" si="63"/>
        <v/>
      </c>
      <c r="FK21" s="57">
        <f t="shared" si="242"/>
        <v>0</v>
      </c>
      <c r="FL21" s="57">
        <f>IF(OR(AND(EZ$6=1,$L21=0),AND(EZ$6=2,$K21=2,$G21=1)),0,IF(AND(FB$9=2,(OR($F21&gt;1,$K21=1,AND($L21=80,OR($N21=1,AND($N21=2,'#BerechnungDBE'!$AL12&gt;0)))))),IF(EZ$4&gt;=$AD$126,0,FJ21),IF(FB$9=3,IF(OR(EZ$4&gt;=$AD$127,AND($G21=1,$J21=2,EZ$6=2),AND(EZ$6=1,$N21&lt;&gt;1)),0,IF(FD21&lt;=120,FJ21,IF(EZ$4&lt;$AD$124,IF($F21=1,60/FB$4*FB$6,60/FB$4*FB$7),IF($F21=1,120/FB$4*FB$6,120/FB$4*FB$7)))),IF(OR($F21=3,$G21=2),IF(OR(AND(EZ$4&gt;=$AD$119,$C21=2),AND(EZ$4&gt;=$AF$119,$C21=1)),0,IF(FD21&lt;=60,FJ21,60/FB$4*FB$7)),IF(AND($F21=2,$G21=1),FJ21,0)))))</f>
        <v>0</v>
      </c>
      <c r="FM21" s="57" t="str">
        <f t="shared" si="64"/>
        <v/>
      </c>
      <c r="FN21" s="57" t="str">
        <f t="shared" si="65"/>
        <v/>
      </c>
      <c r="FO21" s="713">
        <f>'org. Düngung 22'!AV20</f>
        <v>0</v>
      </c>
      <c r="FP21" s="57"/>
      <c r="FQ21" s="57"/>
      <c r="FR21" s="57">
        <f t="shared" si="66"/>
        <v>0</v>
      </c>
      <c r="FS21" s="57">
        <f t="shared" si="243"/>
        <v>0</v>
      </c>
      <c r="FT21" s="57">
        <f t="shared" si="244"/>
        <v>0</v>
      </c>
      <c r="FU21" s="57">
        <f t="shared" si="245"/>
        <v>0</v>
      </c>
      <c r="FV21" s="57">
        <f t="shared" si="246"/>
        <v>0</v>
      </c>
      <c r="FW21" s="1029">
        <f t="shared" si="67"/>
        <v>0</v>
      </c>
      <c r="FX21" s="57">
        <f t="shared" si="68"/>
        <v>0</v>
      </c>
      <c r="FY21" s="171" t="str">
        <f t="shared" si="69"/>
        <v/>
      </c>
      <c r="FZ21" s="57">
        <f t="shared" si="247"/>
        <v>0</v>
      </c>
      <c r="GA21" s="57">
        <f>IF(OR(AND(FO$6=1,$L21=0),AND(FO$6=2,$K21=2,$G21=1)),0,IF(AND(FQ$9=2,(OR($F21&gt;1,$K21=1,AND($L21=80,OR($N21=1,AND($N21=2,'#BerechnungDBE'!$AL12&gt;0)))))),IF(FO$4&gt;=$AD$126,0,FY21),IF(FQ$9=3,IF(OR(FO$4&gt;=$AD$127,AND($G21=1,$J21=2,FO$6=2),AND(FO$6=1,$N21&lt;&gt;1)),0,IF(FS21&lt;=120,FY21,IF(FO$4&lt;$AD$124,IF($F21=1,60/FQ$4*FQ$6,60/FQ$4*FQ$7),IF($F21=1,120/FQ$4*FQ$6,120/FQ$4*FQ$7)))),IF(OR($F21=3,$G21=2),IF(OR(AND(FO$4&gt;=$AD$119,$C21=2),AND(FO$4&gt;=$AF$119,$C21=1)),0,IF(FS21&lt;=60,FY21,60/FQ$4*FQ$7)),IF(AND($F21=2,$G21=1),FY21,0)))))</f>
        <v>0</v>
      </c>
      <c r="GB21" s="57" t="str">
        <f t="shared" si="70"/>
        <v/>
      </c>
      <c r="GC21" s="57" t="str">
        <f t="shared" si="71"/>
        <v/>
      </c>
      <c r="GD21" s="713">
        <f>'org. Düngung 22'!AZ20</f>
        <v>0</v>
      </c>
      <c r="GE21" s="57"/>
      <c r="GF21" s="57"/>
      <c r="GG21" s="57">
        <f t="shared" si="72"/>
        <v>0</v>
      </c>
      <c r="GH21" s="57">
        <f t="shared" si="248"/>
        <v>0</v>
      </c>
      <c r="GI21" s="57">
        <f t="shared" si="249"/>
        <v>0</v>
      </c>
      <c r="GJ21" s="57">
        <f t="shared" si="250"/>
        <v>0</v>
      </c>
      <c r="GK21" s="57">
        <f t="shared" si="251"/>
        <v>0</v>
      </c>
      <c r="GL21" s="1029">
        <f t="shared" si="73"/>
        <v>0</v>
      </c>
      <c r="GM21" s="57">
        <f t="shared" si="74"/>
        <v>0</v>
      </c>
      <c r="GN21" s="171" t="str">
        <f t="shared" si="75"/>
        <v/>
      </c>
      <c r="GO21" s="57">
        <f t="shared" si="252"/>
        <v>0</v>
      </c>
      <c r="GP21" s="57">
        <f>IF(OR(AND(GD$6=1,$L21=0),AND(GD$6=2,$K21=2,$G21=1)),0,IF(AND(GF$9=2,(OR($F21&gt;1,$K21=1,AND($L21=80,OR($N21=1,AND($N21=2,'#BerechnungDBE'!$AL12&gt;0)))))),IF(GD$4&gt;=$AD$126,0,GN21),IF(GF$9=3,IF(OR(GD$4&gt;=$AD$127,AND($G21=1,$J21=2,GD$6=2),AND(GD$6=1,$N21&lt;&gt;1)),0,IF(GH21&lt;=120,GN21,IF(GD$4&lt;$AD$124,IF($F21=1,60/GF$4*GF$6,60/GF$4*GF$7),IF($F21=1,120/GF$4*GF$6,120/GF$4*GF$7)))),IF(OR($F21=3,$G21=2),IF(OR(AND(GD$4&gt;=$AD$119,$C21=2),AND(GD$4&gt;=$AF$119,$C21=1)),0,IF(GH21&lt;=60,GN21,60/GF$4*GF$7)),IF(AND($F21=2,$G21=1),GN21,0)))))</f>
        <v>0</v>
      </c>
      <c r="GQ21" s="57" t="str">
        <f t="shared" si="76"/>
        <v/>
      </c>
      <c r="GR21" s="57" t="str">
        <f t="shared" si="77"/>
        <v/>
      </c>
      <c r="GS21" s="713">
        <f>'org. Düngung 22'!BD20</f>
        <v>0</v>
      </c>
      <c r="GT21" s="57"/>
      <c r="GU21" s="57"/>
      <c r="GV21" s="57">
        <f t="shared" si="78"/>
        <v>0</v>
      </c>
      <c r="GW21" s="57">
        <f t="shared" si="253"/>
        <v>0</v>
      </c>
      <c r="GX21" s="57">
        <f t="shared" si="254"/>
        <v>0</v>
      </c>
      <c r="GY21" s="57">
        <f t="shared" si="255"/>
        <v>0</v>
      </c>
      <c r="GZ21" s="57">
        <f t="shared" si="256"/>
        <v>0</v>
      </c>
      <c r="HA21" s="1029">
        <f t="shared" si="79"/>
        <v>0</v>
      </c>
      <c r="HB21" s="57">
        <f t="shared" si="80"/>
        <v>0</v>
      </c>
      <c r="HC21" s="171" t="str">
        <f t="shared" si="81"/>
        <v/>
      </c>
      <c r="HD21" s="57">
        <f t="shared" si="257"/>
        <v>0</v>
      </c>
      <c r="HE21" s="57">
        <f>IF(OR(AND(GS$6=1,$L21=0),AND(GS$6=2,$K21=2,$G21=1)),0,IF(AND(GU$9=2,(OR($F21&gt;1,$K21=1,AND($L21=80,OR($N21=1,AND($N21=2,'#BerechnungDBE'!$AL12&gt;0)))))),IF(GS$4&gt;=$AD$126,0,HC21),IF(GU$9=3,IF(OR(GS$4&gt;=$AD$127,AND($G21=1,$J21=2,GS$6=2),AND(GS$6=1,$N21&lt;&gt;1)),0,IF(GW21&lt;=120,HC21,IF(GS$4&lt;$AD$124,IF($F21=1,60/GU$4*GU$6,60/GU$4*GU$7),IF($F21=1,120/GU$4*GU$6,120/GU$4*GU$7)))),IF(OR($F21=3,$G21=2),IF(OR(AND(GS$4&gt;=$AD$119,$C21=2),AND(GS$4&gt;=$AF$119,$C21=1)),0,IF(GW21&lt;=60,HC21,60/GU$4*GU$7)),IF(AND($F21=2,$G21=1),HC21,0)))))</f>
        <v>0</v>
      </c>
      <c r="HF21" s="57" t="str">
        <f t="shared" si="82"/>
        <v/>
      </c>
      <c r="HG21" s="57" t="str">
        <f t="shared" si="83"/>
        <v/>
      </c>
      <c r="HH21" s="713">
        <f>'org. Düngung 22'!BH20</f>
        <v>0</v>
      </c>
      <c r="HI21" s="57"/>
      <c r="HJ21" s="57"/>
      <c r="HK21" s="57">
        <f t="shared" si="84"/>
        <v>0</v>
      </c>
      <c r="HL21" s="57">
        <f t="shared" si="258"/>
        <v>0</v>
      </c>
      <c r="HM21" s="57">
        <f t="shared" si="259"/>
        <v>0</v>
      </c>
      <c r="HN21" s="57">
        <f t="shared" si="260"/>
        <v>0</v>
      </c>
      <c r="HO21" s="57">
        <f t="shared" si="261"/>
        <v>0</v>
      </c>
      <c r="HP21" s="1029">
        <f t="shared" si="85"/>
        <v>0</v>
      </c>
      <c r="HQ21" s="57">
        <f t="shared" si="86"/>
        <v>0</v>
      </c>
      <c r="HR21" s="171" t="str">
        <f t="shared" si="87"/>
        <v/>
      </c>
      <c r="HS21" s="57">
        <f t="shared" si="262"/>
        <v>0</v>
      </c>
      <c r="HT21" s="57">
        <f>IF(OR(AND(HH$6=1,$L21=0),AND(HH$6=2,$K21=2,$G21=1)),0,IF(AND(HJ$9=2,(OR($F21&gt;1,$K21=1,AND($L21=80,OR($N21=1,AND($N21=2,'#BerechnungDBE'!$AL12&gt;0)))))),IF(HH$4&gt;=$AD$126,0,HR21),IF(HJ$9=3,IF(OR(HH$4&gt;=$AD$127,AND($G21=1,$J21=2,HH$6=2),AND(HH$6=1,$N21&lt;&gt;1)),0,IF(HL21&lt;=120,HR21,IF(HH$4&lt;$AD$124,IF($F21=1,60/HJ$4*HJ$6,60/HJ$4*HJ$7),IF($F21=1,120/HJ$4*HJ$6,120/HJ$4*HJ$7)))),IF(OR($F21=3,$G21=2),IF(OR(AND(HH$4&gt;=$AD$119,$C21=2),AND(HH$4&gt;=$AF$119,$C21=1)),0,IF(HL21&lt;=60,HR21,60/HJ$4*HJ$7)),IF(AND($F21=2,$G21=1),HR21,0)))))</f>
        <v>0</v>
      </c>
      <c r="HU21" s="57" t="str">
        <f t="shared" si="88"/>
        <v/>
      </c>
      <c r="HV21" s="57" t="str">
        <f t="shared" si="89"/>
        <v/>
      </c>
      <c r="HW21" s="713">
        <f>'org. Düngung 22'!BL20</f>
        <v>0</v>
      </c>
      <c r="HX21" s="57"/>
      <c r="HY21" s="57"/>
      <c r="HZ21" s="57">
        <f t="shared" si="90"/>
        <v>0</v>
      </c>
      <c r="IA21" s="57">
        <f t="shared" si="263"/>
        <v>0</v>
      </c>
      <c r="IB21" s="57">
        <f t="shared" si="264"/>
        <v>0</v>
      </c>
      <c r="IC21" s="57">
        <f t="shared" si="265"/>
        <v>0</v>
      </c>
      <c r="ID21" s="57">
        <f t="shared" si="266"/>
        <v>0</v>
      </c>
      <c r="IE21" s="1029">
        <f t="shared" si="91"/>
        <v>0</v>
      </c>
      <c r="IF21" s="57">
        <f t="shared" si="92"/>
        <v>0</v>
      </c>
      <c r="IG21" s="171" t="str">
        <f t="shared" si="93"/>
        <v/>
      </c>
      <c r="IH21" s="57">
        <f t="shared" si="267"/>
        <v>0</v>
      </c>
      <c r="II21" s="57">
        <f>IF(OR(AND(HW$6=1,$L21=0),AND(HW$6=2,$K21=2,$G21=1)),0,IF(AND(HY$9=2,(OR($F21&gt;1,$K21=1,AND($L21=80,OR($N21=1,AND($N21=2,'#BerechnungDBE'!$AL12&gt;0)))))),IF(HW$4&gt;=$AD$126,0,IG21),IF(HY$9=3,IF(OR(HW$4&gt;=$AD$127,AND($G21=1,$J21=2,HW$6=2),AND(HW$6=1,$N21&lt;&gt;1)),0,IF(IA21&lt;=120,IG21,IF(HW$4&lt;$AD$124,IF($F21=1,60/HY$4*HY$6,60/HY$4*HY$7),IF($F21=1,120/HY$4*HY$6,120/HY$4*HY$7)))),IF(OR($F21=3,$G21=2),IF(OR(AND(HW$4&gt;=$AD$119,$C21=2),AND(HW$4&gt;=$AF$119,$C21=1)),0,IF(IA21&lt;=60,IG21,60/HY$4*HY$7)),IF(AND($F21=2,$G21=1),IG21,0)))))</f>
        <v>0</v>
      </c>
      <c r="IJ21" s="57" t="str">
        <f t="shared" si="94"/>
        <v/>
      </c>
      <c r="IK21" s="57" t="str">
        <f t="shared" si="95"/>
        <v/>
      </c>
      <c r="IL21" s="713">
        <f>'org. Düngung 22'!BP20</f>
        <v>0</v>
      </c>
      <c r="IM21" s="57"/>
      <c r="IN21" s="57"/>
      <c r="IO21" s="57">
        <f t="shared" si="96"/>
        <v>0</v>
      </c>
      <c r="IP21" s="57">
        <f t="shared" si="268"/>
        <v>0</v>
      </c>
      <c r="IQ21" s="57">
        <f t="shared" si="269"/>
        <v>0</v>
      </c>
      <c r="IR21" s="57">
        <f t="shared" si="270"/>
        <v>0</v>
      </c>
      <c r="IS21" s="57">
        <f t="shared" si="271"/>
        <v>0</v>
      </c>
      <c r="IT21" s="1029">
        <f t="shared" si="97"/>
        <v>0</v>
      </c>
      <c r="IU21" s="57">
        <f t="shared" si="98"/>
        <v>0</v>
      </c>
      <c r="IV21" s="171" t="str">
        <f t="shared" si="99"/>
        <v/>
      </c>
      <c r="IW21" s="57">
        <f t="shared" si="272"/>
        <v>0</v>
      </c>
      <c r="IX21" s="57">
        <f>IF(OR(AND(IL$6=1,$L21=0),AND(IL$6=2,$K21=2,$G21=1)),0,IF(AND(IN$9=2,(OR($F21&gt;1,$K21=1,AND($L21=80,OR($N21=1,AND($N21=2,'#BerechnungDBE'!$AL12&gt;0)))))),IF(IL$4&gt;=$AD$126,0,IV21),IF(IN$9=3,IF(OR(IL$4&gt;=$AD$127,AND($G21=1,$J21=2,IL$6=2),AND(IL$6=1,$N21&lt;&gt;1)),0,IF(IP21&lt;=120,IV21,IF(IL$4&lt;$AD$124,IF($F21=1,60/IN$4*IN$6,60/IN$4*IN$7),IF($F21=1,120/IN$4*IN$6,120/IN$4*IN$7)))),IF(OR($F21=3,$G21=2),IF(OR(AND(IL$4&gt;=$AD$119,$C21=2),AND(IL$4&gt;=$AF$119,$C21=1)),0,IF(IP21&lt;=60,IV21,60/IN$4*IN$7)),IF(AND($F21=2,$G21=1),IV21,0)))))</f>
        <v>0</v>
      </c>
      <c r="IY21" s="57" t="str">
        <f t="shared" si="100"/>
        <v/>
      </c>
      <c r="IZ21" s="57" t="str">
        <f t="shared" si="101"/>
        <v/>
      </c>
      <c r="JA21" s="713">
        <f>'org. Düngung 22'!BT20</f>
        <v>0</v>
      </c>
      <c r="JB21" s="57"/>
      <c r="JC21" s="57"/>
      <c r="JD21" s="57">
        <f t="shared" si="102"/>
        <v>0</v>
      </c>
      <c r="JE21" s="57">
        <f t="shared" si="273"/>
        <v>0</v>
      </c>
      <c r="JF21" s="57">
        <f t="shared" si="274"/>
        <v>0</v>
      </c>
      <c r="JG21" s="57">
        <f t="shared" si="275"/>
        <v>0</v>
      </c>
      <c r="JH21" s="57">
        <f t="shared" si="276"/>
        <v>0</v>
      </c>
      <c r="JI21" s="1029">
        <f t="shared" si="103"/>
        <v>0</v>
      </c>
      <c r="JJ21" s="57">
        <f t="shared" si="104"/>
        <v>0</v>
      </c>
      <c r="JK21" s="171" t="str">
        <f t="shared" si="105"/>
        <v/>
      </c>
      <c r="JL21" s="57">
        <f t="shared" si="277"/>
        <v>0</v>
      </c>
      <c r="JM21" s="57">
        <f>IF(OR(AND(JA$6=1,$L21=0),AND(JA$6=2,$K21=2,$G21=1)),0,IF(AND(JC$9=2,(OR($F21&gt;1,$K21=1,AND($L21=80,OR($N21=1,AND($N21=2,'#BerechnungDBE'!$AL12&gt;0)))))),IF(JA$4&gt;=$AD$126,0,JK21),IF(JC$9=3,IF(OR(JA$4&gt;=$AD$127,AND($G21=1,$J21=2,JA$6=2),AND(JA$6=1,$N21&lt;&gt;1)),0,IF(JE21&lt;=120,JK21,IF(JA$4&lt;$AD$124,IF($F21=1,60/JC$4*JC$6,60/JC$4*JC$7),IF($F21=1,120/JC$4*JC$6,120/JC$4*JC$7)))),IF(OR($F21=3,$G21=2),IF(OR(AND(JA$4&gt;=$AD$119,$C21=2),AND(JA$4&gt;=$AF$119,$C21=1)),0,IF(JE21&lt;=60,JK21,60/JC$4*JC$7)),IF(AND($F21=2,$G21=1),JK21,0)))))</f>
        <v>0</v>
      </c>
      <c r="JN21" s="57" t="str">
        <f t="shared" si="106"/>
        <v/>
      </c>
      <c r="JO21" s="57" t="str">
        <f t="shared" si="107"/>
        <v/>
      </c>
      <c r="JP21" s="713">
        <f>'org. Düngung 22'!BX20</f>
        <v>0</v>
      </c>
      <c r="JQ21" s="57"/>
      <c r="JR21" s="57"/>
      <c r="JS21" s="57">
        <f t="shared" si="108"/>
        <v>0</v>
      </c>
      <c r="JT21" s="57">
        <f t="shared" si="278"/>
        <v>0</v>
      </c>
      <c r="JU21" s="57">
        <f t="shared" si="279"/>
        <v>0</v>
      </c>
      <c r="JV21" s="57">
        <f t="shared" si="280"/>
        <v>0</v>
      </c>
      <c r="JW21" s="57">
        <f t="shared" si="281"/>
        <v>0</v>
      </c>
      <c r="JX21" s="1029">
        <f t="shared" si="109"/>
        <v>0</v>
      </c>
      <c r="JY21" s="57">
        <f t="shared" si="110"/>
        <v>0</v>
      </c>
      <c r="JZ21" s="171" t="str">
        <f t="shared" si="111"/>
        <v/>
      </c>
      <c r="KA21" s="57">
        <f t="shared" si="282"/>
        <v>0</v>
      </c>
      <c r="KB21" s="57">
        <f>IF(OR(AND(JP$6=1,$L21=0),AND(JP$6=2,$K21=2,$G21=1)),0,IF(AND(JR$9=2,(OR($F21&gt;1,$K21=1,AND($L21=80,OR($N21=1,AND($N21=2,'#BerechnungDBE'!$AL12&gt;0)))))),IF(JP$4&gt;=$AD$126,0,JZ21),IF(JR$9=3,IF(OR(JP$4&gt;=$AD$127,AND($G21=1,$J21=2,JP$6=2),AND(JP$6=1,$N21&lt;&gt;1)),0,IF(JT21&lt;=120,JZ21,IF(JP$4&lt;$AD$124,IF($F21=1,60/JR$4*JR$6,60/JR$4*JR$7),IF($F21=1,120/JR$4*JR$6,120/JR$4*JR$7)))),IF(OR($F21=3,$G21=2),IF(OR(AND(JP$4&gt;=$AD$119,$C21=2),AND(JP$4&gt;=$AF$119,$C21=1)),0,IF(JT21&lt;=60,JZ21,60/JR$4*JR$7)),IF(AND($F21=2,$G21=1),JZ21,0)))))</f>
        <v>0</v>
      </c>
      <c r="KC21" s="57" t="str">
        <f t="shared" si="112"/>
        <v/>
      </c>
      <c r="KD21" s="57" t="str">
        <f t="shared" si="113"/>
        <v/>
      </c>
      <c r="KE21" s="713">
        <f>'org. Düngung 22'!CB20</f>
        <v>0</v>
      </c>
      <c r="KF21" s="57"/>
      <c r="KG21" s="57"/>
      <c r="KH21" s="57">
        <f t="shared" si="114"/>
        <v>0</v>
      </c>
      <c r="KI21" s="57">
        <f t="shared" si="283"/>
        <v>0</v>
      </c>
      <c r="KJ21" s="57">
        <f t="shared" si="284"/>
        <v>0</v>
      </c>
      <c r="KK21" s="57">
        <f t="shared" si="285"/>
        <v>0</v>
      </c>
      <c r="KL21" s="57">
        <f t="shared" si="286"/>
        <v>0</v>
      </c>
      <c r="KM21" s="1029">
        <f t="shared" si="115"/>
        <v>0</v>
      </c>
      <c r="KN21" s="57">
        <f t="shared" si="116"/>
        <v>0</v>
      </c>
      <c r="KO21" s="171" t="str">
        <f t="shared" si="117"/>
        <v/>
      </c>
      <c r="KP21" s="57">
        <f t="shared" si="287"/>
        <v>0</v>
      </c>
      <c r="KQ21" s="57">
        <f>IF(OR(AND(KE$6=1,$L21=0),AND(KE$6=2,$K21=2,$G21=1)),0,IF(AND(KG$9=2,(OR($F21&gt;1,$K21=1,AND($L21=80,OR($N21=1,AND($N21=2,'#BerechnungDBE'!$AL12&gt;0)))))),IF(KE$4&gt;=$AD$126,0,KO21),IF(KG$9=3,IF(OR(KE$4&gt;=$AD$127,AND($G21=1,$J21=2,KE$6=2),AND(KE$6=1,$N21&lt;&gt;1)),0,IF(KI21&lt;=120,KO21,IF(KE$4&lt;$AD$124,IF($F21=1,60/KG$4*KG$6,60/KG$4*KG$7),IF($F21=1,120/KG$4*KG$6,120/KG$4*KG$7)))),IF(OR($F21=3,$G21=2),IF(OR(AND(KE$4&gt;=$AD$119,$C21=2),AND(KE$4&gt;=$AF$119,$C21=1)),0,IF(KI21&lt;=60,KO21,60/KG$4*KG$7)),IF(AND($F21=2,$G21=1),KO21,0)))))</f>
        <v>0</v>
      </c>
      <c r="KR21" s="57" t="str">
        <f t="shared" si="118"/>
        <v/>
      </c>
      <c r="KS21" s="57" t="str">
        <f t="shared" si="119"/>
        <v/>
      </c>
      <c r="KT21" s="713">
        <f>'org. Düngung 22'!CF20</f>
        <v>0</v>
      </c>
      <c r="KU21" s="57"/>
      <c r="KV21" s="57"/>
      <c r="KW21" s="57">
        <f t="shared" si="120"/>
        <v>0</v>
      </c>
      <c r="KX21" s="57">
        <f t="shared" si="288"/>
        <v>0</v>
      </c>
      <c r="KY21" s="57">
        <f t="shared" si="289"/>
        <v>0</v>
      </c>
      <c r="KZ21" s="57">
        <f t="shared" si="290"/>
        <v>0</v>
      </c>
      <c r="LA21" s="57">
        <f t="shared" si="291"/>
        <v>0</v>
      </c>
      <c r="LB21" s="1029">
        <f t="shared" si="121"/>
        <v>0</v>
      </c>
      <c r="LC21" s="57">
        <f t="shared" si="122"/>
        <v>0</v>
      </c>
      <c r="LD21" s="171" t="str">
        <f t="shared" si="123"/>
        <v/>
      </c>
      <c r="LE21" s="57">
        <f t="shared" si="292"/>
        <v>0</v>
      </c>
      <c r="LF21" s="57">
        <f>IF(OR(AND(KT$6=1,$L21=0),AND(KT$6=2,$K21=2,$G21=1)),0,IF(AND(KV$9=2,(OR($F21&gt;1,$K21=1,AND($L21=80,OR($N21=1,AND($N21=2,'#BerechnungDBE'!$AL12&gt;0)))))),IF(KT$4&gt;=$AD$126,0,LD21),IF(KV$9=3,IF(OR(KT$4&gt;=$AD$127,AND($G21=1,$J21=2,KT$6=2),AND(KT$6=1,$N21&lt;&gt;1)),0,IF(KX21&lt;=120,LD21,IF(KT$4&lt;$AD$124,IF($F21=1,60/KV$4*KV$6,60/KV$4*KV$7),IF($F21=1,120/KV$4*KV$6,120/KV$4*KV$7)))),IF(OR($F21=3,$G21=2),IF(OR(AND(KT$4&gt;=$AD$119,$C21=2),AND(KT$4&gt;=$AF$119,$C21=1)),0,IF(KX21&lt;=60,LD21,60/KV$4*KV$7)),IF(AND($F21=2,$G21=1),LD21,0)))))</f>
        <v>0</v>
      </c>
      <c r="LG21" s="57" t="str">
        <f t="shared" si="124"/>
        <v/>
      </c>
      <c r="LH21" s="57" t="str">
        <f t="shared" si="125"/>
        <v/>
      </c>
      <c r="LI21" s="713">
        <f>'org. Düngung 22'!CJ20</f>
        <v>0</v>
      </c>
      <c r="LJ21" s="57"/>
      <c r="LK21" s="57"/>
      <c r="LL21" s="57">
        <f t="shared" si="126"/>
        <v>0</v>
      </c>
      <c r="LM21" s="57">
        <f t="shared" si="293"/>
        <v>0</v>
      </c>
      <c r="LN21" s="57">
        <f t="shared" si="294"/>
        <v>0</v>
      </c>
      <c r="LO21" s="57">
        <f t="shared" si="295"/>
        <v>0</v>
      </c>
      <c r="LP21" s="57">
        <f t="shared" si="296"/>
        <v>0</v>
      </c>
      <c r="LQ21" s="1029">
        <f t="shared" si="127"/>
        <v>0</v>
      </c>
      <c r="LR21" s="57">
        <f t="shared" si="128"/>
        <v>0</v>
      </c>
      <c r="LS21" s="171" t="str">
        <f t="shared" si="129"/>
        <v/>
      </c>
      <c r="LT21" s="57">
        <f t="shared" si="297"/>
        <v>0</v>
      </c>
      <c r="LU21" s="57">
        <f>IF(OR(AND(LI$6=1,$L21=0),AND(LI$6=2,$K21=2,$G21=1)),0,IF(AND(LK$9=2,(OR($F21&gt;1,$K21=1,AND($L21=80,OR($N21=1,AND($N21=2,'#BerechnungDBE'!$AL12&gt;0)))))),IF(LI$4&gt;=$AD$126,0,LS21),IF(LK$9=3,IF(OR(LI$4&gt;=$AD$127,AND($G21=1,$J21=2,LI$6=2),AND(LI$6=1,$N21&lt;&gt;1)),0,IF(LM21&lt;=120,LS21,IF(LI$4&lt;$AD$124,IF($F21=1,60/LK$4*LK$6,60/LK$4*LK$7),IF($F21=1,120/LK$4*LK$6,120/LK$4*LK$7)))),IF(OR($F21=3,$G21=2),IF(OR(AND(LI$4&gt;=$AD$119,$C21=2),AND(LI$4&gt;=$AF$119,$C21=1)),0,IF(LM21&lt;=60,LS21,60/LK$4*LK$7)),IF(AND($F21=2,$G21=1),LS21,0)))))</f>
        <v>0</v>
      </c>
      <c r="LV21" s="57" t="str">
        <f t="shared" si="130"/>
        <v/>
      </c>
      <c r="LW21" s="57" t="str">
        <f t="shared" si="131"/>
        <v/>
      </c>
      <c r="LX21" s="713">
        <f>'org. Düngung 22'!CN20</f>
        <v>0</v>
      </c>
      <c r="LY21" s="57"/>
      <c r="LZ21" s="57"/>
      <c r="MA21" s="57">
        <f t="shared" si="132"/>
        <v>0</v>
      </c>
      <c r="MB21" s="57">
        <f t="shared" si="298"/>
        <v>0</v>
      </c>
      <c r="MC21" s="57">
        <f t="shared" si="299"/>
        <v>0</v>
      </c>
      <c r="MD21" s="57">
        <f t="shared" si="300"/>
        <v>0</v>
      </c>
      <c r="ME21" s="57">
        <f t="shared" si="301"/>
        <v>0</v>
      </c>
      <c r="MF21" s="1029">
        <f t="shared" si="133"/>
        <v>0</v>
      </c>
      <c r="MG21" s="57">
        <f t="shared" si="134"/>
        <v>0</v>
      </c>
      <c r="MH21" s="171" t="str">
        <f t="shared" si="135"/>
        <v/>
      </c>
      <c r="MI21" s="57">
        <f t="shared" si="302"/>
        <v>0</v>
      </c>
      <c r="MJ21" s="57">
        <f>IF(OR(AND(LX$6=1,$L21=0),AND(LX$6=2,$K21=2,$G21=1)),0,IF(AND(LZ$9=2,(OR($F21&gt;1,$K21=1,AND($L21=80,OR($N21=1,AND($N21=2,'#BerechnungDBE'!$AL12&gt;0)))))),IF(LX$4&gt;=$AD$126,0,MH21),IF(LZ$9=3,IF(OR(LX$4&gt;=$AD$127,AND($G21=1,$J21=2,LX$6=2),AND(LX$6=1,$N21&lt;&gt;1)),0,IF(MB21&lt;=120,MH21,IF(LX$4&lt;$AD$124,IF($F21=1,60/LZ$4*LZ$6,60/LZ$4*LZ$7),IF($F21=1,120/LZ$4*LZ$6,120/LZ$4*LZ$7)))),IF(OR($F21=3,$G21=2),IF(OR(AND(LX$4&gt;=$AD$119,$C21=2),AND(LX$4&gt;=$AF$119,$C21=1)),0,IF(MB21&lt;=60,MH21,60/LZ$4*LZ$7)),IF(AND($F21=2,$G21=1),MH21,0)))))</f>
        <v>0</v>
      </c>
      <c r="MK21" s="57" t="str">
        <f t="shared" si="136"/>
        <v/>
      </c>
      <c r="ML21" s="57" t="str">
        <f t="shared" si="137"/>
        <v/>
      </c>
      <c r="MM21" s="713">
        <f>'org. Düngung 22'!CR20</f>
        <v>0</v>
      </c>
      <c r="MN21" s="57"/>
      <c r="MO21" s="57"/>
      <c r="MP21" s="57">
        <f t="shared" si="138"/>
        <v>0</v>
      </c>
      <c r="MQ21" s="57">
        <f t="shared" si="303"/>
        <v>0</v>
      </c>
      <c r="MR21" s="57">
        <f t="shared" si="304"/>
        <v>0</v>
      </c>
      <c r="MS21" s="57">
        <f t="shared" si="305"/>
        <v>0</v>
      </c>
      <c r="MT21" s="57">
        <f t="shared" si="306"/>
        <v>0</v>
      </c>
      <c r="MU21" s="1029">
        <f t="shared" si="139"/>
        <v>0</v>
      </c>
      <c r="MV21" s="57">
        <f t="shared" si="140"/>
        <v>0</v>
      </c>
      <c r="MW21" s="171" t="str">
        <f t="shared" si="141"/>
        <v/>
      </c>
      <c r="MX21" s="57">
        <f t="shared" si="307"/>
        <v>0</v>
      </c>
      <c r="MY21" s="57">
        <f>IF(OR(AND(MM$6=1,$L21=0),AND(MM$6=2,$K21=2,$G21=1)),0,IF(AND(MO$9=2,(OR($F21&gt;1,$K21=1,AND($L21=80,OR($N21=1,AND($N21=2,'#BerechnungDBE'!$AL12&gt;0)))))),IF(MM$4&gt;=$AD$126,0,MW21),IF(MO$9=3,IF(OR(MM$4&gt;=$AD$127,AND($G21=1,$J21=2,MM$6=2),AND(MM$6=1,$N21&lt;&gt;1)),0,IF(MQ21&lt;=120,MW21,IF(MM$4&lt;$AD$124,IF($F21=1,60/MO$4*MO$6,60/MO$4*MO$7),IF($F21=1,120/MO$4*MO$6,120/MO$4*MO$7)))),IF(OR($F21=3,$G21=2),IF(OR(AND(MM$4&gt;=$AD$119,$C21=2),AND(MM$4&gt;=$AF$119,$C21=1)),0,IF(MQ21&lt;=60,MW21,60/MO$4*MO$7)),IF(AND($F21=2,$G21=1),MW21,0)))))</f>
        <v>0</v>
      </c>
      <c r="MZ21" s="57" t="str">
        <f t="shared" si="142"/>
        <v/>
      </c>
      <c r="NA21" s="57" t="str">
        <f t="shared" si="143"/>
        <v/>
      </c>
      <c r="NB21" s="713">
        <f>'org. Düngung 22'!CV20</f>
        <v>0</v>
      </c>
      <c r="NC21" s="57"/>
      <c r="ND21" s="57"/>
      <c r="NE21" s="57">
        <f t="shared" si="144"/>
        <v>0</v>
      </c>
      <c r="NF21" s="57">
        <f t="shared" si="308"/>
        <v>0</v>
      </c>
      <c r="NG21" s="57">
        <f t="shared" si="309"/>
        <v>0</v>
      </c>
      <c r="NH21" s="57">
        <f t="shared" si="310"/>
        <v>0</v>
      </c>
      <c r="NI21" s="57">
        <f t="shared" si="311"/>
        <v>0</v>
      </c>
      <c r="NJ21" s="1029">
        <f t="shared" si="145"/>
        <v>0</v>
      </c>
      <c r="NK21" s="57">
        <f t="shared" si="146"/>
        <v>0</v>
      </c>
      <c r="NL21" s="171" t="str">
        <f t="shared" si="147"/>
        <v/>
      </c>
      <c r="NM21" s="57">
        <f t="shared" si="312"/>
        <v>0</v>
      </c>
      <c r="NN21" s="57">
        <f>IF(OR(AND(NB$6=1,$L21=0),AND(NB$6=2,$K21=2,$G21=1)),0,IF(AND(ND$9=2,(OR($F21&gt;1,$K21=1,AND($L21=80,OR($N21=1,AND($N21=2,'#BerechnungDBE'!$AL12&gt;0)))))),IF(NB$4&gt;=$AD$126,0,NL21),IF(ND$9=3,IF(OR(NB$4&gt;=$AD$127,AND($G21=1,$J21=2,NB$6=2),AND(NB$6=1,$N21&lt;&gt;1)),0,IF(NF21&lt;=120,NL21,IF(NB$4&lt;$AD$124,IF($F21=1,60/ND$4*ND$6,60/ND$4*ND$7),IF($F21=1,120/ND$4*ND$6,120/ND$4*ND$7)))),IF(OR($F21=3,$G21=2),IF(OR(AND(NB$4&gt;=$AD$119,$C21=2),AND(NB$4&gt;=$AF$119,$C21=1)),0,IF(NF21&lt;=60,NL21,60/ND$4*ND$7)),IF(AND($F21=2,$G21=1),NL21,0)))))</f>
        <v>0</v>
      </c>
      <c r="NO21" s="57" t="str">
        <f t="shared" si="148"/>
        <v/>
      </c>
      <c r="NP21" s="57" t="str">
        <f t="shared" si="149"/>
        <v/>
      </c>
      <c r="NQ21" s="713">
        <f>'org. Düngung 22'!CZ20</f>
        <v>0</v>
      </c>
      <c r="NR21" s="57"/>
      <c r="NS21" s="57"/>
      <c r="NT21" s="57">
        <f t="shared" si="150"/>
        <v>0</v>
      </c>
      <c r="NU21" s="57">
        <f t="shared" si="313"/>
        <v>0</v>
      </c>
      <c r="NV21" s="57">
        <f t="shared" si="314"/>
        <v>0</v>
      </c>
      <c r="NW21" s="57">
        <f t="shared" si="315"/>
        <v>0</v>
      </c>
      <c r="NX21" s="57">
        <f t="shared" si="316"/>
        <v>0</v>
      </c>
      <c r="NY21" s="1029">
        <f t="shared" si="151"/>
        <v>0</v>
      </c>
      <c r="NZ21" s="57">
        <f t="shared" si="152"/>
        <v>0</v>
      </c>
      <c r="OA21" s="171" t="str">
        <f t="shared" si="153"/>
        <v/>
      </c>
      <c r="OB21" s="57">
        <f t="shared" si="317"/>
        <v>0</v>
      </c>
      <c r="OC21" s="57">
        <f>IF(OR(AND(NQ$6=1,$L21=0),AND(NQ$6=2,$K21=2,$G21=1)),0,IF(AND(NS$9=2,(OR($F21&gt;1,$K21=1,AND($L21=80,OR($N21=1,AND($N21=2,'#BerechnungDBE'!$AL12&gt;0)))))),IF(NQ$4&gt;=$AD$126,0,OA21),IF(NS$9=3,IF(OR(NQ$4&gt;=$AD$127,AND($G21=1,$J21=2,NQ$6=2),AND(NQ$6=1,$N21&lt;&gt;1)),0,IF(NU21&lt;=120,OA21,IF(NQ$4&lt;$AD$124,IF($F21=1,60/NS$4*NS$6,60/NS$4*NS$7),IF($F21=1,120/NS$4*NS$6,120/NS$4*NS$7)))),IF(OR($F21=3,$G21=2),IF(OR(AND(NQ$4&gt;=$AD$119,$C21=2),AND(NQ$4&gt;=$AF$119,$C21=1)),0,IF(NU21&lt;=60,OA21,60/NS$4*NS$7)),IF(AND($F21=2,$G21=1),OA21,0)))))</f>
        <v>0</v>
      </c>
      <c r="OD21" s="57" t="str">
        <f t="shared" si="154"/>
        <v/>
      </c>
      <c r="OE21" s="57" t="str">
        <f t="shared" si="155"/>
        <v/>
      </c>
      <c r="OF21" s="713">
        <f>'org. Düngung 22'!DD20</f>
        <v>0</v>
      </c>
      <c r="OG21" s="57"/>
      <c r="OH21" s="57"/>
      <c r="OI21" s="57">
        <f t="shared" si="156"/>
        <v>0</v>
      </c>
      <c r="OJ21" s="57">
        <f t="shared" si="318"/>
        <v>0</v>
      </c>
      <c r="OK21" s="57">
        <f t="shared" si="319"/>
        <v>0</v>
      </c>
      <c r="OL21" s="57">
        <f t="shared" si="320"/>
        <v>0</v>
      </c>
      <c r="OM21" s="57">
        <f t="shared" si="321"/>
        <v>0</v>
      </c>
      <c r="ON21" s="1029">
        <f t="shared" si="157"/>
        <v>0</v>
      </c>
      <c r="OO21" s="57">
        <f t="shared" si="158"/>
        <v>0</v>
      </c>
      <c r="OP21" s="171" t="str">
        <f t="shared" si="159"/>
        <v/>
      </c>
      <c r="OQ21" s="57">
        <f t="shared" si="322"/>
        <v>0</v>
      </c>
      <c r="OR21" s="57">
        <f>IF(OR(AND(OF$6=1,$L21=0),AND(OF$6=2,$K21=2,$G21=1)),0,IF(AND(OH$9=2,(OR($F21&gt;1,$K21=1,AND($L21=80,OR($N21=1,AND($N21=2,'#BerechnungDBE'!$AL12&gt;0)))))),IF(OF$4&gt;=$AD$126,0,OP21),IF(OH$9=3,IF(OR(OF$4&gt;=$AD$127,AND($G21=1,$J21=2,OF$6=2),AND(OF$6=1,$N21&lt;&gt;1)),0,IF(OJ21&lt;=120,OP21,IF(OF$4&lt;$AD$124,IF($F21=1,60/OH$4*OH$6,60/OH$4*OH$7),IF($F21=1,120/OH$4*OH$6,120/OH$4*OH$7)))),IF(OR($F21=3,$G21=2),IF(OR(AND(OF$4&gt;=$AD$119,$C21=2),AND(OF$4&gt;=$AF$119,$C21=1)),0,IF(OJ21&lt;=60,OP21,60/OH$4*OH$7)),IF(AND($F21=2,$G21=1),OP21,0)))))</f>
        <v>0</v>
      </c>
      <c r="OS21" s="57" t="str">
        <f t="shared" si="160"/>
        <v/>
      </c>
      <c r="OT21" s="57" t="str">
        <f t="shared" si="161"/>
        <v/>
      </c>
      <c r="OU21" s="713">
        <f>'org. Düngung 22'!DH20</f>
        <v>0</v>
      </c>
      <c r="OV21" s="57"/>
      <c r="OW21" s="57"/>
      <c r="OX21" s="57">
        <f t="shared" si="162"/>
        <v>0</v>
      </c>
      <c r="OY21" s="57">
        <f t="shared" si="323"/>
        <v>0</v>
      </c>
      <c r="OZ21" s="57">
        <f t="shared" si="324"/>
        <v>0</v>
      </c>
      <c r="PA21" s="57">
        <f t="shared" si="325"/>
        <v>0</v>
      </c>
      <c r="PB21" s="57">
        <f t="shared" si="326"/>
        <v>0</v>
      </c>
      <c r="PC21" s="1029">
        <f t="shared" si="163"/>
        <v>0</v>
      </c>
      <c r="PD21" s="57">
        <f t="shared" si="164"/>
        <v>0</v>
      </c>
      <c r="PE21" s="171" t="str">
        <f t="shared" si="165"/>
        <v/>
      </c>
      <c r="PF21" s="57">
        <f t="shared" si="327"/>
        <v>0</v>
      </c>
      <c r="PG21" s="57">
        <f>IF(OR(AND(OU$6=1,$L21=0),AND(OU$6=2,$K21=2,$G21=1)),0,IF(AND(OW$9=2,(OR($F21&gt;1,$K21=1,AND($L21=80,OR($N21=1,AND($N21=2,'#BerechnungDBE'!$AL12&gt;0)))))),IF(OU$4&gt;=$AD$126,0,PE21),IF(OW$9=3,IF(OR(OU$4&gt;=$AD$127,AND($G21=1,$J21=2,OU$6=2),AND(OU$6=1,$N21&lt;&gt;1)),0,IF(OY21&lt;=120,PE21,IF(OU$4&lt;$AD$124,IF($F21=1,60/OW$4*OW$6,60/OW$4*OW$7),IF($F21=1,120/OW$4*OW$6,120/OW$4*OW$7)))),IF(OR($F21=3,$G21=2),IF(OR(AND(OU$4&gt;=$AD$119,$C21=2),AND(OU$4&gt;=$AF$119,$C21=1)),0,IF(OY21&lt;=60,PE21,60/OW$4*OW$7)),IF(AND($F21=2,$G21=1),PE21,0)))))</f>
        <v>0</v>
      </c>
      <c r="PH21" s="57" t="str">
        <f t="shared" si="166"/>
        <v/>
      </c>
      <c r="PI21" s="57" t="str">
        <f t="shared" si="167"/>
        <v/>
      </c>
      <c r="PJ21" s="713">
        <f>'org. Düngung 22'!DL20</f>
        <v>0</v>
      </c>
      <c r="PK21" s="57"/>
      <c r="PL21" s="57"/>
      <c r="PM21" s="57">
        <f t="shared" si="168"/>
        <v>0</v>
      </c>
      <c r="PN21" s="57">
        <f t="shared" si="328"/>
        <v>0</v>
      </c>
      <c r="PO21" s="57">
        <f t="shared" si="329"/>
        <v>0</v>
      </c>
      <c r="PP21" s="57">
        <f t="shared" si="330"/>
        <v>0</v>
      </c>
      <c r="PQ21" s="57">
        <f t="shared" si="331"/>
        <v>0</v>
      </c>
      <c r="PR21" s="1029">
        <f t="shared" si="169"/>
        <v>0</v>
      </c>
      <c r="PS21" s="57">
        <f t="shared" si="170"/>
        <v>0</v>
      </c>
      <c r="PT21" s="171" t="str">
        <f t="shared" si="171"/>
        <v/>
      </c>
      <c r="PU21" s="57">
        <f t="shared" si="332"/>
        <v>0</v>
      </c>
      <c r="PV21" s="57">
        <f>IF(OR(AND(PJ$6=1,$L21=0),AND(PJ$6=2,$K21=2,$G21=1)),0,IF(AND(PL$9=2,(OR($F21&gt;1,$K21=1,AND($L21=80,OR($N21=1,AND($N21=2,'#BerechnungDBE'!$AL12&gt;0)))))),IF(PJ$4&gt;=$AD$126,0,PT21),IF(PL$9=3,IF(OR(PJ$4&gt;=$AD$127,AND($G21=1,$J21=2,PJ$6=2),AND(PJ$6=1,$N21&lt;&gt;1)),0,IF(PN21&lt;=120,PT21,IF(PJ$4&lt;$AD$124,IF($F21=1,60/PL$4*PL$6,60/PL$4*PL$7),IF($F21=1,120/PL$4*PL$6,120/PL$4*PL$7)))),IF(OR($F21=3,$G21=2),IF(OR(AND(PJ$4&gt;=$AD$119,$C21=2),AND(PJ$4&gt;=$AF$119,$C21=1)),0,IF(PN21&lt;=60,PT21,60/PL$4*PL$7)),IF(AND($F21=2,$G21=1),PT21,0)))))</f>
        <v>0</v>
      </c>
      <c r="PW21" s="57" t="str">
        <f t="shared" si="172"/>
        <v/>
      </c>
      <c r="PX21" s="57" t="str">
        <f t="shared" si="173"/>
        <v/>
      </c>
      <c r="PY21" s="713">
        <f>'org. Düngung 22'!DP20</f>
        <v>0</v>
      </c>
      <c r="PZ21" s="57"/>
      <c r="QA21" s="57"/>
      <c r="QB21" s="57">
        <f t="shared" si="174"/>
        <v>0</v>
      </c>
      <c r="QC21" s="57">
        <f t="shared" si="333"/>
        <v>0</v>
      </c>
      <c r="QD21" s="57">
        <f t="shared" si="334"/>
        <v>0</v>
      </c>
      <c r="QE21" s="57">
        <f t="shared" si="335"/>
        <v>0</v>
      </c>
      <c r="QF21" s="57">
        <f t="shared" si="336"/>
        <v>0</v>
      </c>
      <c r="QG21" s="1029">
        <f t="shared" si="175"/>
        <v>0</v>
      </c>
      <c r="QH21" s="57">
        <f t="shared" si="176"/>
        <v>0</v>
      </c>
      <c r="QI21" s="171" t="str">
        <f t="shared" si="177"/>
        <v/>
      </c>
      <c r="QJ21" s="57">
        <f t="shared" si="337"/>
        <v>0</v>
      </c>
      <c r="QK21" s="57">
        <f>IF(OR(AND(PY$6=1,$L21=0),AND(PY$6=2,$K21=2,$G21=1)),0,IF(AND(QA$9=2,(OR($F21&gt;1,$K21=1,AND($L21=80,OR($N21=1,AND($N21=2,'#BerechnungDBE'!$AL12&gt;0)))))),IF(PY$4&gt;=$AD$126,0,QI21),IF(QA$9=3,IF(OR(PY$4&gt;=$AD$127,AND($G21=1,$J21=2,PY$6=2),AND(PY$6=1,$N21&lt;&gt;1)),0,IF(QC21&lt;=120,QI21,IF(PY$4&lt;$AD$124,IF($F21=1,60/QA$4*QA$6,60/QA$4*QA$7),IF($F21=1,120/QA$4*QA$6,120/QA$4*QA$7)))),IF(OR($F21=3,$G21=2),IF(OR(AND(PY$4&gt;=$AD$119,$C21=2),AND(PY$4&gt;=$AF$119,$C21=1)),0,IF(QC21&lt;=60,QI21,60/QA$4*QA$7)),IF(AND($F21=2,$G21=1),QI21,0)))))</f>
        <v>0</v>
      </c>
      <c r="QL21" s="57" t="str">
        <f t="shared" si="178"/>
        <v/>
      </c>
      <c r="QM21" s="57" t="str">
        <f t="shared" si="179"/>
        <v/>
      </c>
      <c r="QN21" s="713">
        <f>'org. Düngung 22'!DT20</f>
        <v>0</v>
      </c>
      <c r="QO21" s="57"/>
      <c r="QP21" s="57"/>
      <c r="QQ21" s="57">
        <f t="shared" si="180"/>
        <v>0</v>
      </c>
      <c r="QR21" s="57">
        <f t="shared" si="338"/>
        <v>0</v>
      </c>
      <c r="QS21" s="57">
        <f t="shared" si="339"/>
        <v>0</v>
      </c>
      <c r="QT21" s="57">
        <f t="shared" si="340"/>
        <v>0</v>
      </c>
      <c r="QU21" s="57">
        <f t="shared" si="341"/>
        <v>0</v>
      </c>
      <c r="QV21" s="1029">
        <f t="shared" si="181"/>
        <v>0</v>
      </c>
      <c r="QW21" s="57">
        <f t="shared" si="182"/>
        <v>0</v>
      </c>
      <c r="QX21" s="171" t="str">
        <f t="shared" si="183"/>
        <v/>
      </c>
      <c r="QY21" s="57">
        <f t="shared" si="342"/>
        <v>0</v>
      </c>
      <c r="QZ21" s="57">
        <f>IF(OR(AND(QN$6=1,$L21=0),AND(QN$6=2,$K21=2,$G21=1)),0,IF(AND(QP$9=2,(OR($F21&gt;1,$K21=1,AND($L21=80,OR($N21=1,AND($N21=2,'#BerechnungDBE'!$AL12&gt;0)))))),IF(QN$4&gt;=$AD$126,0,QX21),IF(QP$9=3,IF(OR(QN$4&gt;=$AD$127,AND($G21=1,$J21=2,QN$6=2),AND(QN$6=1,$N21&lt;&gt;1)),0,IF(QR21&lt;=120,QX21,IF(QN$4&lt;$AD$124,IF($F21=1,60/QP$4*QP$6,60/QP$4*QP$7),IF($F21=1,120/QP$4*QP$6,120/QP$4*QP$7)))),IF(OR($F21=3,$G21=2),IF(OR(AND(QN$4&gt;=$AD$119,$C21=2),AND(QN$4&gt;=$AF$119,$C21=1)),0,IF(QR21&lt;=60,QX21,60/QP$4*QP$7)),IF(AND($F21=2,$G21=1),QX21,0)))))</f>
        <v>0</v>
      </c>
      <c r="RA21" s="57" t="str">
        <f t="shared" si="184"/>
        <v/>
      </c>
      <c r="RB21" s="57" t="str">
        <f t="shared" si="185"/>
        <v/>
      </c>
      <c r="RC21" s="713">
        <f>'org. Düngung 22'!DX20</f>
        <v>0</v>
      </c>
      <c r="RD21" s="57"/>
      <c r="RE21" s="57"/>
      <c r="RF21" s="57">
        <f t="shared" si="186"/>
        <v>0</v>
      </c>
      <c r="RG21" s="57">
        <f t="shared" si="343"/>
        <v>0</v>
      </c>
      <c r="RH21" s="57">
        <f t="shared" si="344"/>
        <v>0</v>
      </c>
      <c r="RI21" s="57">
        <f t="shared" si="345"/>
        <v>0</v>
      </c>
      <c r="RJ21" s="57">
        <f t="shared" si="346"/>
        <v>0</v>
      </c>
      <c r="RK21" s="1029">
        <f t="shared" si="187"/>
        <v>0</v>
      </c>
      <c r="RL21" s="57">
        <f t="shared" si="188"/>
        <v>0</v>
      </c>
      <c r="RM21" s="171" t="str">
        <f t="shared" si="189"/>
        <v/>
      </c>
      <c r="RN21" s="57">
        <f t="shared" si="347"/>
        <v>0</v>
      </c>
      <c r="RO21" s="57">
        <f>IF(OR(AND(RC$6=1,$L21=0),AND(RC$6=2,$K21=2,$G21=1)),0,IF(AND(RE$9=2,(OR($F21&gt;1,$K21=1,AND($L21=80,OR($N21=1,AND($N21=2,'#BerechnungDBE'!$AL12&gt;0)))))),IF(RC$4&gt;=$AD$126,0,RM21),IF(RE$9=3,IF(OR(RC$4&gt;=$AD$127,AND($G21=1,$J21=2,RC$6=2),AND(RC$6=1,$N21&lt;&gt;1)),0,IF(RG21&lt;=120,RM21,IF(RC$4&lt;$AD$124,IF($F21=1,60/RE$4*RE$6,60/RE$4*RE$7),IF($F21=1,120/RE$4*RE$6,120/RE$4*RE$7)))),IF(OR($F21=3,$G21=2),IF(OR(AND(RC$4&gt;=$AD$119,$C21=2),AND(RC$4&gt;=$AF$119,$C21=1)),0,IF(RG21&lt;=60,RM21,60/RE$4*RE$7)),IF(AND($F21=2,$G21=1),RM21,0)))))</f>
        <v>0</v>
      </c>
      <c r="RP21" s="57" t="str">
        <f t="shared" si="190"/>
        <v/>
      </c>
      <c r="RQ21" s="57" t="str">
        <f t="shared" si="191"/>
        <v/>
      </c>
      <c r="RS21" s="57" t="str">
        <f t="shared" si="348"/>
        <v/>
      </c>
      <c r="RT21" s="57" t="str">
        <f t="shared" si="192"/>
        <v/>
      </c>
      <c r="RU21" s="57" t="str">
        <f t="shared" si="193"/>
        <v/>
      </c>
      <c r="RV21" s="57" t="str">
        <f>IF(Z21&gt;'#BerechnungDBE'!BM12,$RV$9,"")</f>
        <v/>
      </c>
      <c r="RW21" s="57" t="str">
        <f>IF(AND(L21=70,AE21&gt;'#BerechnungDBE'!CQ12),$RW$9,"")</f>
        <v/>
      </c>
      <c r="RX21" s="57" t="str">
        <f>IF(OR('org. Düngung 22'!G20="--",'org. Düngung 22'!G20&lt;=170,'org. Düngung 22'!G20=""),"",$RX$9)</f>
        <v/>
      </c>
      <c r="RY21" s="57" t="str">
        <f>IF('org. Düngung 22'!K20&gt;120,'#orgDung'!$RY$9,"")</f>
        <v/>
      </c>
      <c r="RZ21" s="57" t="str">
        <f>IF('#BerechnungDBE'!P12&lt;4,"",IF(AND('#BerechnungDBE'!BZ12&gt;0,T21&gt;0),'#orgDung'!$RZ$9,""))</f>
        <v/>
      </c>
      <c r="SA21" s="57" t="str">
        <f t="shared" si="194"/>
        <v/>
      </c>
    </row>
    <row r="22" spans="1:495" s="875" customFormat="1" x14ac:dyDescent="0.2">
      <c r="A22" s="875">
        <f>'Flächen u. Kulturen'!A18</f>
        <v>9</v>
      </c>
      <c r="B22" s="367">
        <f>'#BerechnungDBE'!L13</f>
        <v>0</v>
      </c>
      <c r="C22" s="875">
        <f>'#BerechnungDBE'!R13</f>
        <v>1</v>
      </c>
      <c r="D22" s="875">
        <f>'#BerechnungDBE'!T13</f>
        <v>2</v>
      </c>
      <c r="E22" s="875" t="str">
        <f>'Flächen u. Kulturen'!E18</f>
        <v>x</v>
      </c>
      <c r="F22" s="52">
        <f>'#BerechnungDBE'!N13</f>
        <v>1</v>
      </c>
      <c r="G22" s="52">
        <f>'#BerechnungDBE'!O13</f>
        <v>1</v>
      </c>
      <c r="H22" s="875">
        <f>IF('Flächen u. Kulturen'!P18="",0,VLOOKUP('Flächen u. Kulturen'!P18,Kulturen[[HF]:[Berechnungsgruppe]],'#Frucht'!$H$1,FALSE))</f>
        <v>0</v>
      </c>
      <c r="I22" s="875">
        <f>IF('Flächen u. Kulturen'!J18="",0,VLOOKUP('Flächen u. Kulturen'!J18,Kulturen[[HF]:[Berechnungsgruppe]],'#Frucht'!$G$1,FALSE))</f>
        <v>90</v>
      </c>
      <c r="J22" s="505">
        <f t="shared" si="195"/>
        <v>2</v>
      </c>
      <c r="K22" s="505">
        <f>IF('Flächen u. Kulturen'!P18="",0,IF(VLOOKUP('Flächen u. Kulturen'!P18,Kulturen[[HF]:[Saat Winterungen]],'#Frucht'!$P$1,FALSE)&gt;0,1,2))</f>
        <v>2</v>
      </c>
      <c r="L22" s="875">
        <f>'#BerechnungDBE'!AF13</f>
        <v>0</v>
      </c>
      <c r="M22" s="875">
        <f>IF('Flächen u. Kulturen'!L18="",0,VLOOKUP('Flächen u. Kulturen'!L18,Nebenkultur[[Nebenkultur]:[Legum. Zwischenfr.]],'#Zweitfr'!$K$1,FALSE))</f>
        <v>0</v>
      </c>
      <c r="N22" s="875">
        <f>'#BerechnungDBE'!AG13</f>
        <v>0</v>
      </c>
      <c r="P22" s="57">
        <f t="shared" si="0"/>
        <v>0</v>
      </c>
      <c r="Q22" s="57">
        <f t="shared" si="1"/>
        <v>0</v>
      </c>
      <c r="R22" s="875">
        <f t="shared" si="2"/>
        <v>0</v>
      </c>
      <c r="S22" s="938" t="str">
        <f t="shared" si="3"/>
        <v/>
      </c>
      <c r="T22" s="875">
        <f t="shared" si="4"/>
        <v>0</v>
      </c>
      <c r="U22" s="875">
        <f t="shared" si="5"/>
        <v>0</v>
      </c>
      <c r="V22" s="875">
        <f t="shared" si="6"/>
        <v>0</v>
      </c>
      <c r="W22" s="875">
        <f t="shared" si="7"/>
        <v>0</v>
      </c>
      <c r="X22" s="875">
        <f t="shared" si="8"/>
        <v>0</v>
      </c>
      <c r="Y22" s="875">
        <f t="shared" si="349"/>
        <v>0</v>
      </c>
      <c r="Z22" s="875">
        <f t="shared" si="350"/>
        <v>0</v>
      </c>
      <c r="AA22" s="910">
        <f t="shared" si="9"/>
        <v>0</v>
      </c>
      <c r="AB22" s="57">
        <f t="shared" si="351"/>
        <v>0</v>
      </c>
      <c r="AC22" s="875">
        <f t="shared" si="10"/>
        <v>0</v>
      </c>
      <c r="AD22" s="875">
        <f t="shared" si="11"/>
        <v>0</v>
      </c>
      <c r="AE22" s="875">
        <f t="shared" si="12"/>
        <v>0</v>
      </c>
      <c r="AF22" s="875">
        <f t="shared" si="352"/>
        <v>0</v>
      </c>
      <c r="AG22" s="875">
        <f>'org. Düngung 22'!J21</f>
        <v>0</v>
      </c>
      <c r="AH22" s="875">
        <f>'org. Düngung 22'!K21</f>
        <v>0</v>
      </c>
      <c r="AJ22" s="713">
        <f>'org. Düngung 22'!L21</f>
        <v>0</v>
      </c>
      <c r="AK22" s="57"/>
      <c r="AL22" s="57"/>
      <c r="AM22" s="57">
        <f t="shared" si="196"/>
        <v>0</v>
      </c>
      <c r="AN22" s="57">
        <f t="shared" si="197"/>
        <v>0</v>
      </c>
      <c r="AO22" s="57">
        <f t="shared" si="198"/>
        <v>0</v>
      </c>
      <c r="AP22" s="57">
        <f t="shared" si="199"/>
        <v>0</v>
      </c>
      <c r="AQ22" s="57">
        <f t="shared" si="200"/>
        <v>0</v>
      </c>
      <c r="AR22" s="1029">
        <f t="shared" si="14"/>
        <v>0</v>
      </c>
      <c r="AS22" s="57">
        <f t="shared" si="15"/>
        <v>0</v>
      </c>
      <c r="AT22" s="171" t="str">
        <f t="shared" si="16"/>
        <v/>
      </c>
      <c r="AU22" s="57">
        <f t="shared" si="201"/>
        <v>0</v>
      </c>
      <c r="AV22" s="57">
        <f>IF(OR(AND(AJ$6=1,$L22=0),AND(AJ$6=2,$K22=2,$G22=1)),0,IF(AND(AL$9=2,(OR($F22&gt;1,$K22=1,AND($L22=80,OR($N22=1,AND($N22=2,'#BerechnungDBE'!$AL13&gt;0)))))),IF(AJ$4&gt;=$AD$126,0,AT22),IF(AL$9=3,IF(OR(AJ$4&gt;=$AD$127,AND($G22=1,$J22=2,AJ$6=2),AND(AJ$6=1,$N22&lt;&gt;1)),0,IF(AN22&lt;=120,AT22,IF(AJ$4&lt;$AD$124,IF($F22=1,60/AL$4*AL$6,60/AL$4*AL$7),IF($F22=1,120/AL$4*AL$6,120/AL$4*AL$7)))),IF(OR($F22=3,$G22=2),IF(OR(AND(AJ$4&gt;=$AD$119,$C22=2),AND(AJ$4&gt;=$AF$119,$C22=1)),0,IF(AN22&lt;=60,AT22,60/AL$4*AL$7)),IF(AND($F22=2,$G22=1),AT22,0)))))</f>
        <v>0</v>
      </c>
      <c r="AW22" s="57" t="str">
        <f t="shared" si="202"/>
        <v/>
      </c>
      <c r="AX22" s="57" t="str">
        <f t="shared" si="17"/>
        <v/>
      </c>
      <c r="AY22" s="713">
        <f>'org. Düngung 22'!P21</f>
        <v>0</v>
      </c>
      <c r="AZ22" s="57"/>
      <c r="BA22" s="57"/>
      <c r="BB22" s="57">
        <f t="shared" si="18"/>
        <v>0</v>
      </c>
      <c r="BC22" s="57">
        <f t="shared" si="203"/>
        <v>0</v>
      </c>
      <c r="BD22" s="57">
        <f t="shared" si="204"/>
        <v>0</v>
      </c>
      <c r="BE22" s="57">
        <f t="shared" si="205"/>
        <v>0</v>
      </c>
      <c r="BF22" s="57">
        <f t="shared" si="206"/>
        <v>0</v>
      </c>
      <c r="BG22" s="1029">
        <f t="shared" si="19"/>
        <v>0</v>
      </c>
      <c r="BH22" s="57">
        <f t="shared" si="20"/>
        <v>0</v>
      </c>
      <c r="BI22" s="171" t="str">
        <f t="shared" si="21"/>
        <v/>
      </c>
      <c r="BJ22" s="57">
        <f t="shared" si="207"/>
        <v>0</v>
      </c>
      <c r="BK22" s="57">
        <f>IF(OR(AND(AY$6=1,$L22=0),AND(AY$6=2,$K22=2,$G22=1)),0,IF(AND(BA$9=2,(OR($F22&gt;1,$K22=1,AND($L22=80,OR($N22=1,AND($N22=2,'#BerechnungDBE'!$AL13&gt;0)))))),IF(AY$4&gt;=$AD$126,0,BI22),IF(BA$9=3,IF(OR(AY$4&gt;=$AD$127,AND($G22=1,$J22=2,AY$6=2),AND(AY$6=1,$N22&lt;&gt;1)),0,IF(BC22&lt;=120,BI22,IF(AY$4&lt;$AD$124,IF($F22=1,60/BA$4*BA$6,60/BA$4*BA$7),IF($F22=1,120/BA$4*BA$6,120/BA$4*BA$7)))),IF(OR($F22=3,$G22=2),IF(OR(AND(AY$4&gt;=$AD$119,$C22=2),AND(AY$4&gt;=$AF$119,$C22=1)),0,IF(BC22&lt;=60,BI22,60/BA$4*BA$7)),IF(AND($F22=2,$G22=1),BI22,0)))))</f>
        <v>0</v>
      </c>
      <c r="BL22" s="57" t="str">
        <f t="shared" si="22"/>
        <v/>
      </c>
      <c r="BM22" s="57" t="str">
        <f t="shared" si="23"/>
        <v/>
      </c>
      <c r="BN22" s="713">
        <f>'org. Düngung 22'!T21</f>
        <v>0</v>
      </c>
      <c r="BO22" s="57"/>
      <c r="BP22" s="57"/>
      <c r="BQ22" s="57">
        <f t="shared" si="24"/>
        <v>0</v>
      </c>
      <c r="BR22" s="57">
        <f t="shared" si="208"/>
        <v>0</v>
      </c>
      <c r="BS22" s="57">
        <f t="shared" si="209"/>
        <v>0</v>
      </c>
      <c r="BT22" s="57">
        <f t="shared" si="210"/>
        <v>0</v>
      </c>
      <c r="BU22" s="57">
        <f t="shared" si="211"/>
        <v>0</v>
      </c>
      <c r="BV22" s="1029">
        <f t="shared" si="25"/>
        <v>0</v>
      </c>
      <c r="BW22" s="57">
        <f t="shared" si="26"/>
        <v>0</v>
      </c>
      <c r="BX22" s="171" t="str">
        <f t="shared" si="27"/>
        <v/>
      </c>
      <c r="BY22" s="57">
        <f t="shared" si="212"/>
        <v>0</v>
      </c>
      <c r="BZ22" s="57">
        <f>IF(OR(AND(BN$6=1,$L22=0),AND(BN$6=2,$K22=2,$G22=1)),0,IF(AND(BP$9=2,(OR($F22&gt;1,$K22=1,AND($L22=80,OR($N22=1,AND($N22=2,'#BerechnungDBE'!$AL13&gt;0)))))),IF(BN$4&gt;=$AD$126,0,BX22),IF(BP$9=3,IF(OR(BN$4&gt;=$AD$127,AND($G22=1,$J22=2,BN$6=2),AND(BN$6=1,$N22&lt;&gt;1)),0,IF(BR22&lt;=120,BX22,IF(BN$4&lt;$AD$124,IF($F22=1,60/BP$4*BP$6,60/BP$4*BP$7),IF($F22=1,120/BP$4*BP$6,120/BP$4*BP$7)))),IF(OR($F22=3,$G22=2),IF(OR(AND(BN$4&gt;=$AD$119,$C22=2),AND(BN$4&gt;=$AF$119,$C22=1)),0,IF(BR22&lt;=60,BX22,60/BP$4*BP$7)),IF(AND($F22=2,$G22=1),BX22,0)))))</f>
        <v>0</v>
      </c>
      <c r="CA22" s="57" t="str">
        <f t="shared" si="28"/>
        <v/>
      </c>
      <c r="CB22" s="57" t="str">
        <f t="shared" si="29"/>
        <v/>
      </c>
      <c r="CC22" s="713">
        <f>'org. Düngung 22'!X21</f>
        <v>0</v>
      </c>
      <c r="CD22" s="57"/>
      <c r="CE22" s="57"/>
      <c r="CF22" s="57">
        <f t="shared" si="30"/>
        <v>0</v>
      </c>
      <c r="CG22" s="57">
        <f t="shared" si="213"/>
        <v>0</v>
      </c>
      <c r="CH22" s="57">
        <f t="shared" si="214"/>
        <v>0</v>
      </c>
      <c r="CI22" s="57">
        <f t="shared" si="215"/>
        <v>0</v>
      </c>
      <c r="CJ22" s="57">
        <f t="shared" si="216"/>
        <v>0</v>
      </c>
      <c r="CK22" s="1029">
        <f t="shared" si="31"/>
        <v>0</v>
      </c>
      <c r="CL22" s="57">
        <f t="shared" si="32"/>
        <v>0</v>
      </c>
      <c r="CM22" s="171" t="str">
        <f t="shared" si="33"/>
        <v/>
      </c>
      <c r="CN22" s="57">
        <f t="shared" si="217"/>
        <v>0</v>
      </c>
      <c r="CO22" s="57">
        <f>IF(OR(AND(CC$6=1,$L22=0),AND(CC$6=2,$K22=2,$G22=1)),0,IF(AND(CE$9=2,(OR($F22&gt;1,$K22=1,AND($L22=80,OR($N22=1,AND($N22=2,'#BerechnungDBE'!$AL13&gt;0)))))),IF(CC$4&gt;=$AD$126,0,CM22),IF(CE$9=3,IF(OR(CC$4&gt;=$AD$127,AND($G22=1,$J22=2,CC$6=2),AND(CC$6=1,$N22&lt;&gt;1)),0,IF(CG22&lt;=120,CM22,IF(CC$4&lt;$AD$124,IF($F22=1,60/CE$4*CE$6,60/CE$4*CE$7),IF($F22=1,120/CE$4*CE$6,120/CE$4*CE$7)))),IF(OR($F22=3,$G22=2),IF(OR(AND(CC$4&gt;=$AD$119,$C22=2),AND(CC$4&gt;=$AF$119,$C22=1)),0,IF(CG22&lt;=60,CM22,60/CE$4*CE$7)),IF(AND($F22=2,$G22=1),CM22,0)))))</f>
        <v>0</v>
      </c>
      <c r="CP22" s="57" t="str">
        <f t="shared" si="34"/>
        <v/>
      </c>
      <c r="CQ22" s="57" t="str">
        <f t="shared" si="35"/>
        <v/>
      </c>
      <c r="CR22" s="713">
        <f>'org. Düngung 22'!AB21</f>
        <v>0</v>
      </c>
      <c r="CS22" s="57"/>
      <c r="CT22" s="57"/>
      <c r="CU22" s="57">
        <f t="shared" si="36"/>
        <v>0</v>
      </c>
      <c r="CV22" s="57">
        <f t="shared" si="218"/>
        <v>0</v>
      </c>
      <c r="CW22" s="57">
        <f t="shared" si="219"/>
        <v>0</v>
      </c>
      <c r="CX22" s="57">
        <f t="shared" si="220"/>
        <v>0</v>
      </c>
      <c r="CY22" s="57">
        <f t="shared" si="221"/>
        <v>0</v>
      </c>
      <c r="CZ22" s="1029">
        <f t="shared" si="37"/>
        <v>0</v>
      </c>
      <c r="DA22" s="57">
        <f t="shared" si="38"/>
        <v>0</v>
      </c>
      <c r="DB22" s="171" t="str">
        <f t="shared" si="39"/>
        <v/>
      </c>
      <c r="DC22" s="57">
        <f t="shared" si="222"/>
        <v>0</v>
      </c>
      <c r="DD22" s="57">
        <f>IF(OR(AND(CR$6=1,$L22=0),AND(CR$6=2,$K22=2,$G22=1)),0,IF(AND(CT$9=2,(OR($F22&gt;1,$K22=1,AND($L22=80,OR($N22=1,AND($N22=2,'#BerechnungDBE'!$AL13&gt;0)))))),IF(CR$4&gt;=$AD$126,0,DB22),IF(CT$9=3,IF(OR(CR$4&gt;=$AD$127,AND($G22=1,$J22=2,CR$6=2),AND(CR$6=1,$N22&lt;&gt;1)),0,IF(CV22&lt;=120,DB22,IF(CR$4&lt;$AD$124,IF($F22=1,60/CT$4*CT$6,60/CT$4*CT$7),IF($F22=1,120/CT$4*CT$6,120/CT$4*CT$7)))),IF(OR($F22=3,$G22=2),IF(OR(AND(CR$4&gt;=$AD$119,$C22=2),AND(CR$4&gt;=$AF$119,$C22=1)),0,IF(CV22&lt;=60,DB22,60/CT$4*CT$7)),IF(AND($F22=2,$G22=1),DB22,0)))))</f>
        <v>0</v>
      </c>
      <c r="DE22" s="57" t="str">
        <f t="shared" si="40"/>
        <v/>
      </c>
      <c r="DF22" s="57" t="str">
        <f t="shared" si="41"/>
        <v/>
      </c>
      <c r="DG22" s="713">
        <f>'org. Düngung 22'!AF21</f>
        <v>0</v>
      </c>
      <c r="DH22" s="57"/>
      <c r="DI22" s="57"/>
      <c r="DJ22" s="57">
        <f t="shared" si="42"/>
        <v>0</v>
      </c>
      <c r="DK22" s="57">
        <f t="shared" si="223"/>
        <v>0</v>
      </c>
      <c r="DL22" s="57">
        <f t="shared" si="224"/>
        <v>0</v>
      </c>
      <c r="DM22" s="57">
        <f t="shared" si="225"/>
        <v>0</v>
      </c>
      <c r="DN22" s="57">
        <f t="shared" si="226"/>
        <v>0</v>
      </c>
      <c r="DO22" s="1029">
        <f t="shared" si="43"/>
        <v>0</v>
      </c>
      <c r="DP22" s="57">
        <f t="shared" si="44"/>
        <v>0</v>
      </c>
      <c r="DQ22" s="171" t="str">
        <f t="shared" si="45"/>
        <v/>
      </c>
      <c r="DR22" s="57">
        <f t="shared" si="227"/>
        <v>0</v>
      </c>
      <c r="DS22" s="57">
        <f>IF(OR(AND(DG$6=1,$L22=0),AND(DG$6=2,$K22=2,$G22=1)),0,IF(AND(DI$9=2,(OR($F22&gt;1,$K22=1,AND($L22=80,OR($N22=1,AND($N22=2,'#BerechnungDBE'!$AL13&gt;0)))))),IF(DG$4&gt;=$AD$126,0,DQ22),IF(DI$9=3,IF(OR(DG$4&gt;=$AD$127,AND($G22=1,$J22=2,DG$6=2),AND(DG$6=1,$N22&lt;&gt;1)),0,IF(DK22&lt;=120,DQ22,IF(DG$4&lt;$AD$124,IF($F22=1,60/DI$4*DI$6,60/DI$4*DI$7),IF($F22=1,120/DI$4*DI$6,120/DI$4*DI$7)))),IF(OR($F22=3,$G22=2),IF(OR(AND(DG$4&gt;=$AD$119,$C22=2),AND(DG$4&gt;=$AF$119,$C22=1)),0,IF(DK22&lt;=60,DQ22,60/DI$4*DI$7)),IF(AND($F22=2,$G22=1),DQ22,0)))))</f>
        <v>0</v>
      </c>
      <c r="DT22" s="57" t="str">
        <f t="shared" si="46"/>
        <v/>
      </c>
      <c r="DU22" s="57" t="str">
        <f t="shared" si="47"/>
        <v/>
      </c>
      <c r="DV22" s="713">
        <f>'org. Düngung 22'!AJ21</f>
        <v>0</v>
      </c>
      <c r="DW22" s="57"/>
      <c r="DX22" s="57"/>
      <c r="DY22" s="57">
        <f t="shared" si="48"/>
        <v>0</v>
      </c>
      <c r="DZ22" s="57">
        <f t="shared" si="228"/>
        <v>0</v>
      </c>
      <c r="EA22" s="57">
        <f t="shared" si="229"/>
        <v>0</v>
      </c>
      <c r="EB22" s="57">
        <f t="shared" si="230"/>
        <v>0</v>
      </c>
      <c r="EC22" s="57">
        <f t="shared" si="231"/>
        <v>0</v>
      </c>
      <c r="ED22" s="1029">
        <f t="shared" si="49"/>
        <v>0</v>
      </c>
      <c r="EE22" s="57">
        <f t="shared" si="50"/>
        <v>0</v>
      </c>
      <c r="EF22" s="171" t="str">
        <f t="shared" si="51"/>
        <v/>
      </c>
      <c r="EG22" s="57">
        <f t="shared" si="232"/>
        <v>0</v>
      </c>
      <c r="EH22" s="57">
        <f>IF(OR(AND(DV$6=1,$L22=0),AND(DV$6=2,$K22=2,$G22=1)),0,IF(AND(DX$9=2,(OR($F22&gt;1,$K22=1,AND($L22=80,OR($N22=1,AND($N22=2,'#BerechnungDBE'!$AL13&gt;0)))))),IF(DV$4&gt;=$AD$126,0,EF22),IF(DX$9=3,IF(OR(DV$4&gt;=$AD$127,AND($G22=1,$J22=2,DV$6=2),AND(DV$6=1,$N22&lt;&gt;1)),0,IF(DZ22&lt;=120,EF22,IF(DV$4&lt;$AD$124,IF($F22=1,60/DX$4*DX$6,60/DX$4*DX$7),IF($F22=1,120/DX$4*DX$6,120/DX$4*DX$7)))),IF(OR($F22=3,$G22=2),IF(OR(AND(DV$4&gt;=$AD$119,$C22=2),AND(DV$4&gt;=$AF$119,$C22=1)),0,IF(DZ22&lt;=60,EF22,60/DX$4*DX$7)),IF(AND($F22=2,$G22=1),EF22,0)))))</f>
        <v>0</v>
      </c>
      <c r="EI22" s="57" t="str">
        <f t="shared" si="52"/>
        <v/>
      </c>
      <c r="EJ22" s="57" t="str">
        <f t="shared" si="53"/>
        <v/>
      </c>
      <c r="EK22" s="713">
        <f>'org. Düngung 22'!AN21</f>
        <v>0</v>
      </c>
      <c r="EL22" s="57"/>
      <c r="EM22" s="57"/>
      <c r="EN22" s="57">
        <f t="shared" si="54"/>
        <v>0</v>
      </c>
      <c r="EO22" s="57">
        <f t="shared" si="233"/>
        <v>0</v>
      </c>
      <c r="EP22" s="57">
        <f t="shared" si="234"/>
        <v>0</v>
      </c>
      <c r="EQ22" s="57">
        <f t="shared" si="235"/>
        <v>0</v>
      </c>
      <c r="ER22" s="57">
        <f t="shared" si="236"/>
        <v>0</v>
      </c>
      <c r="ES22" s="1029">
        <f t="shared" si="55"/>
        <v>0</v>
      </c>
      <c r="ET22" s="57">
        <f t="shared" si="56"/>
        <v>0</v>
      </c>
      <c r="EU22" s="171" t="str">
        <f t="shared" si="57"/>
        <v/>
      </c>
      <c r="EV22" s="57">
        <f t="shared" si="237"/>
        <v>0</v>
      </c>
      <c r="EW22" s="57">
        <f>IF(OR(AND(EK$6=1,$L22=0),AND(EK$6=2,$K22=2,$G22=1)),0,IF(AND(EM$9=2,(OR($F22&gt;1,$K22=1,AND($L22=80,OR($N22=1,AND($N22=2,'#BerechnungDBE'!$AL13&gt;0)))))),IF(EK$4&gt;=$AD$126,0,EU22),IF(EM$9=3,IF(OR(EK$4&gt;=$AD$127,AND($G22=1,$J22=2,EK$6=2),AND(EK$6=1,$N22&lt;&gt;1)),0,IF(EO22&lt;=120,EU22,IF(EK$4&lt;$AD$124,IF($F22=1,60/EM$4*EM$6,60/EM$4*EM$7),IF($F22=1,120/EM$4*EM$6,120/EM$4*EM$7)))),IF(OR($F22=3,$G22=2),IF(OR(AND(EK$4&gt;=$AD$119,$C22=2),AND(EK$4&gt;=$AF$119,$C22=1)),0,IF(EO22&lt;=60,EU22,60/EM$4*EM$7)),IF(AND($F22=2,$G22=1),EU22,0)))))</f>
        <v>0</v>
      </c>
      <c r="EX22" s="57" t="str">
        <f t="shared" si="58"/>
        <v/>
      </c>
      <c r="EY22" s="57" t="str">
        <f t="shared" si="59"/>
        <v/>
      </c>
      <c r="EZ22" s="713">
        <f>'org. Düngung 22'!AR21</f>
        <v>0</v>
      </c>
      <c r="FA22" s="57"/>
      <c r="FB22" s="57"/>
      <c r="FC22" s="57">
        <f t="shared" si="60"/>
        <v>0</v>
      </c>
      <c r="FD22" s="57">
        <f t="shared" si="238"/>
        <v>0</v>
      </c>
      <c r="FE22" s="57">
        <f t="shared" si="239"/>
        <v>0</v>
      </c>
      <c r="FF22" s="57">
        <f t="shared" si="240"/>
        <v>0</v>
      </c>
      <c r="FG22" s="57">
        <f t="shared" si="241"/>
        <v>0</v>
      </c>
      <c r="FH22" s="1029">
        <f t="shared" si="61"/>
        <v>0</v>
      </c>
      <c r="FI22" s="57">
        <f t="shared" si="62"/>
        <v>0</v>
      </c>
      <c r="FJ22" s="171" t="str">
        <f t="shared" si="63"/>
        <v/>
      </c>
      <c r="FK22" s="57">
        <f t="shared" si="242"/>
        <v>0</v>
      </c>
      <c r="FL22" s="57">
        <f>IF(OR(AND(EZ$6=1,$L22=0),AND(EZ$6=2,$K22=2,$G22=1)),0,IF(AND(FB$9=2,(OR($F22&gt;1,$K22=1,AND($L22=80,OR($N22=1,AND($N22=2,'#BerechnungDBE'!$AL13&gt;0)))))),IF(EZ$4&gt;=$AD$126,0,FJ22),IF(FB$9=3,IF(OR(EZ$4&gt;=$AD$127,AND($G22=1,$J22=2,EZ$6=2),AND(EZ$6=1,$N22&lt;&gt;1)),0,IF(FD22&lt;=120,FJ22,IF(EZ$4&lt;$AD$124,IF($F22=1,60/FB$4*FB$6,60/FB$4*FB$7),IF($F22=1,120/FB$4*FB$6,120/FB$4*FB$7)))),IF(OR($F22=3,$G22=2),IF(OR(AND(EZ$4&gt;=$AD$119,$C22=2),AND(EZ$4&gt;=$AF$119,$C22=1)),0,IF(FD22&lt;=60,FJ22,60/FB$4*FB$7)),IF(AND($F22=2,$G22=1),FJ22,0)))))</f>
        <v>0</v>
      </c>
      <c r="FM22" s="57" t="str">
        <f t="shared" si="64"/>
        <v/>
      </c>
      <c r="FN22" s="57" t="str">
        <f t="shared" si="65"/>
        <v/>
      </c>
      <c r="FO22" s="713">
        <f>'org. Düngung 22'!AV21</f>
        <v>0</v>
      </c>
      <c r="FP22" s="57"/>
      <c r="FQ22" s="57"/>
      <c r="FR22" s="57">
        <f t="shared" si="66"/>
        <v>0</v>
      </c>
      <c r="FS22" s="57">
        <f t="shared" si="243"/>
        <v>0</v>
      </c>
      <c r="FT22" s="57">
        <f t="shared" si="244"/>
        <v>0</v>
      </c>
      <c r="FU22" s="57">
        <f t="shared" si="245"/>
        <v>0</v>
      </c>
      <c r="FV22" s="57">
        <f t="shared" si="246"/>
        <v>0</v>
      </c>
      <c r="FW22" s="1029">
        <f t="shared" si="67"/>
        <v>0</v>
      </c>
      <c r="FX22" s="57">
        <f t="shared" si="68"/>
        <v>0</v>
      </c>
      <c r="FY22" s="171" t="str">
        <f t="shared" si="69"/>
        <v/>
      </c>
      <c r="FZ22" s="57">
        <f t="shared" si="247"/>
        <v>0</v>
      </c>
      <c r="GA22" s="57">
        <f>IF(OR(AND(FO$6=1,$L22=0),AND(FO$6=2,$K22=2,$G22=1)),0,IF(AND(FQ$9=2,(OR($F22&gt;1,$K22=1,AND($L22=80,OR($N22=1,AND($N22=2,'#BerechnungDBE'!$AL13&gt;0)))))),IF(FO$4&gt;=$AD$126,0,FY22),IF(FQ$9=3,IF(OR(FO$4&gt;=$AD$127,AND($G22=1,$J22=2,FO$6=2),AND(FO$6=1,$N22&lt;&gt;1)),0,IF(FS22&lt;=120,FY22,IF(FO$4&lt;$AD$124,IF($F22=1,60/FQ$4*FQ$6,60/FQ$4*FQ$7),IF($F22=1,120/FQ$4*FQ$6,120/FQ$4*FQ$7)))),IF(OR($F22=3,$G22=2),IF(OR(AND(FO$4&gt;=$AD$119,$C22=2),AND(FO$4&gt;=$AF$119,$C22=1)),0,IF(FS22&lt;=60,FY22,60/FQ$4*FQ$7)),IF(AND($F22=2,$G22=1),FY22,0)))))</f>
        <v>0</v>
      </c>
      <c r="GB22" s="57" t="str">
        <f t="shared" si="70"/>
        <v/>
      </c>
      <c r="GC22" s="57" t="str">
        <f t="shared" si="71"/>
        <v/>
      </c>
      <c r="GD22" s="713">
        <f>'org. Düngung 22'!AZ21</f>
        <v>0</v>
      </c>
      <c r="GE22" s="57"/>
      <c r="GF22" s="57"/>
      <c r="GG22" s="57">
        <f t="shared" si="72"/>
        <v>0</v>
      </c>
      <c r="GH22" s="57">
        <f t="shared" si="248"/>
        <v>0</v>
      </c>
      <c r="GI22" s="57">
        <f t="shared" si="249"/>
        <v>0</v>
      </c>
      <c r="GJ22" s="57">
        <f t="shared" si="250"/>
        <v>0</v>
      </c>
      <c r="GK22" s="57">
        <f t="shared" si="251"/>
        <v>0</v>
      </c>
      <c r="GL22" s="1029">
        <f t="shared" si="73"/>
        <v>0</v>
      </c>
      <c r="GM22" s="57">
        <f t="shared" si="74"/>
        <v>0</v>
      </c>
      <c r="GN22" s="171" t="str">
        <f t="shared" si="75"/>
        <v/>
      </c>
      <c r="GO22" s="57">
        <f t="shared" si="252"/>
        <v>0</v>
      </c>
      <c r="GP22" s="57">
        <f>IF(OR(AND(GD$6=1,$L22=0),AND(GD$6=2,$K22=2,$G22=1)),0,IF(AND(GF$9=2,(OR($F22&gt;1,$K22=1,AND($L22=80,OR($N22=1,AND($N22=2,'#BerechnungDBE'!$AL13&gt;0)))))),IF(GD$4&gt;=$AD$126,0,GN22),IF(GF$9=3,IF(OR(GD$4&gt;=$AD$127,AND($G22=1,$J22=2,GD$6=2),AND(GD$6=1,$N22&lt;&gt;1)),0,IF(GH22&lt;=120,GN22,IF(GD$4&lt;$AD$124,IF($F22=1,60/GF$4*GF$6,60/GF$4*GF$7),IF($F22=1,120/GF$4*GF$6,120/GF$4*GF$7)))),IF(OR($F22=3,$G22=2),IF(OR(AND(GD$4&gt;=$AD$119,$C22=2),AND(GD$4&gt;=$AF$119,$C22=1)),0,IF(GH22&lt;=60,GN22,60/GF$4*GF$7)),IF(AND($F22=2,$G22=1),GN22,0)))))</f>
        <v>0</v>
      </c>
      <c r="GQ22" s="57" t="str">
        <f t="shared" si="76"/>
        <v/>
      </c>
      <c r="GR22" s="57" t="str">
        <f t="shared" si="77"/>
        <v/>
      </c>
      <c r="GS22" s="713">
        <f>'org. Düngung 22'!BD21</f>
        <v>0</v>
      </c>
      <c r="GT22" s="57"/>
      <c r="GU22" s="57"/>
      <c r="GV22" s="57">
        <f t="shared" si="78"/>
        <v>0</v>
      </c>
      <c r="GW22" s="57">
        <f t="shared" si="253"/>
        <v>0</v>
      </c>
      <c r="GX22" s="57">
        <f t="shared" si="254"/>
        <v>0</v>
      </c>
      <c r="GY22" s="57">
        <f t="shared" si="255"/>
        <v>0</v>
      </c>
      <c r="GZ22" s="57">
        <f t="shared" si="256"/>
        <v>0</v>
      </c>
      <c r="HA22" s="1029">
        <f t="shared" si="79"/>
        <v>0</v>
      </c>
      <c r="HB22" s="57">
        <f t="shared" si="80"/>
        <v>0</v>
      </c>
      <c r="HC22" s="171" t="str">
        <f t="shared" si="81"/>
        <v/>
      </c>
      <c r="HD22" s="57">
        <f t="shared" si="257"/>
        <v>0</v>
      </c>
      <c r="HE22" s="57">
        <f>IF(OR(AND(GS$6=1,$L22=0),AND(GS$6=2,$K22=2,$G22=1)),0,IF(AND(GU$9=2,(OR($F22&gt;1,$K22=1,AND($L22=80,OR($N22=1,AND($N22=2,'#BerechnungDBE'!$AL13&gt;0)))))),IF(GS$4&gt;=$AD$126,0,HC22),IF(GU$9=3,IF(OR(GS$4&gt;=$AD$127,AND($G22=1,$J22=2,GS$6=2),AND(GS$6=1,$N22&lt;&gt;1)),0,IF(GW22&lt;=120,HC22,IF(GS$4&lt;$AD$124,IF($F22=1,60/GU$4*GU$6,60/GU$4*GU$7),IF($F22=1,120/GU$4*GU$6,120/GU$4*GU$7)))),IF(OR($F22=3,$G22=2),IF(OR(AND(GS$4&gt;=$AD$119,$C22=2),AND(GS$4&gt;=$AF$119,$C22=1)),0,IF(GW22&lt;=60,HC22,60/GU$4*GU$7)),IF(AND($F22=2,$G22=1),HC22,0)))))</f>
        <v>0</v>
      </c>
      <c r="HF22" s="57" t="str">
        <f t="shared" si="82"/>
        <v/>
      </c>
      <c r="HG22" s="57" t="str">
        <f t="shared" si="83"/>
        <v/>
      </c>
      <c r="HH22" s="713">
        <f>'org. Düngung 22'!BH21</f>
        <v>0</v>
      </c>
      <c r="HI22" s="57"/>
      <c r="HJ22" s="57"/>
      <c r="HK22" s="57">
        <f t="shared" si="84"/>
        <v>0</v>
      </c>
      <c r="HL22" s="57">
        <f t="shared" si="258"/>
        <v>0</v>
      </c>
      <c r="HM22" s="57">
        <f t="shared" si="259"/>
        <v>0</v>
      </c>
      <c r="HN22" s="57">
        <f t="shared" si="260"/>
        <v>0</v>
      </c>
      <c r="HO22" s="57">
        <f t="shared" si="261"/>
        <v>0</v>
      </c>
      <c r="HP22" s="1029">
        <f t="shared" si="85"/>
        <v>0</v>
      </c>
      <c r="HQ22" s="57">
        <f t="shared" si="86"/>
        <v>0</v>
      </c>
      <c r="HR22" s="171" t="str">
        <f t="shared" si="87"/>
        <v/>
      </c>
      <c r="HS22" s="57">
        <f t="shared" si="262"/>
        <v>0</v>
      </c>
      <c r="HT22" s="57">
        <f>IF(OR(AND(HH$6=1,$L22=0),AND(HH$6=2,$K22=2,$G22=1)),0,IF(AND(HJ$9=2,(OR($F22&gt;1,$K22=1,AND($L22=80,OR($N22=1,AND($N22=2,'#BerechnungDBE'!$AL13&gt;0)))))),IF(HH$4&gt;=$AD$126,0,HR22),IF(HJ$9=3,IF(OR(HH$4&gt;=$AD$127,AND($G22=1,$J22=2,HH$6=2),AND(HH$6=1,$N22&lt;&gt;1)),0,IF(HL22&lt;=120,HR22,IF(HH$4&lt;$AD$124,IF($F22=1,60/HJ$4*HJ$6,60/HJ$4*HJ$7),IF($F22=1,120/HJ$4*HJ$6,120/HJ$4*HJ$7)))),IF(OR($F22=3,$G22=2),IF(OR(AND(HH$4&gt;=$AD$119,$C22=2),AND(HH$4&gt;=$AF$119,$C22=1)),0,IF(HL22&lt;=60,HR22,60/HJ$4*HJ$7)),IF(AND($F22=2,$G22=1),HR22,0)))))</f>
        <v>0</v>
      </c>
      <c r="HU22" s="57" t="str">
        <f t="shared" si="88"/>
        <v/>
      </c>
      <c r="HV22" s="57" t="str">
        <f t="shared" si="89"/>
        <v/>
      </c>
      <c r="HW22" s="713">
        <f>'org. Düngung 22'!BL21</f>
        <v>0</v>
      </c>
      <c r="HX22" s="57"/>
      <c r="HY22" s="57"/>
      <c r="HZ22" s="57">
        <f t="shared" si="90"/>
        <v>0</v>
      </c>
      <c r="IA22" s="57">
        <f t="shared" si="263"/>
        <v>0</v>
      </c>
      <c r="IB22" s="57">
        <f t="shared" si="264"/>
        <v>0</v>
      </c>
      <c r="IC22" s="57">
        <f t="shared" si="265"/>
        <v>0</v>
      </c>
      <c r="ID22" s="57">
        <f t="shared" si="266"/>
        <v>0</v>
      </c>
      <c r="IE22" s="1029">
        <f t="shared" si="91"/>
        <v>0</v>
      </c>
      <c r="IF22" s="57">
        <f t="shared" si="92"/>
        <v>0</v>
      </c>
      <c r="IG22" s="171" t="str">
        <f t="shared" si="93"/>
        <v/>
      </c>
      <c r="IH22" s="57">
        <f t="shared" si="267"/>
        <v>0</v>
      </c>
      <c r="II22" s="57">
        <f>IF(OR(AND(HW$6=1,$L22=0),AND(HW$6=2,$K22=2,$G22=1)),0,IF(AND(HY$9=2,(OR($F22&gt;1,$K22=1,AND($L22=80,OR($N22=1,AND($N22=2,'#BerechnungDBE'!$AL13&gt;0)))))),IF(HW$4&gt;=$AD$126,0,IG22),IF(HY$9=3,IF(OR(HW$4&gt;=$AD$127,AND($G22=1,$J22=2,HW$6=2),AND(HW$6=1,$N22&lt;&gt;1)),0,IF(IA22&lt;=120,IG22,IF(HW$4&lt;$AD$124,IF($F22=1,60/HY$4*HY$6,60/HY$4*HY$7),IF($F22=1,120/HY$4*HY$6,120/HY$4*HY$7)))),IF(OR($F22=3,$G22=2),IF(OR(AND(HW$4&gt;=$AD$119,$C22=2),AND(HW$4&gt;=$AF$119,$C22=1)),0,IF(IA22&lt;=60,IG22,60/HY$4*HY$7)),IF(AND($F22=2,$G22=1),IG22,0)))))</f>
        <v>0</v>
      </c>
      <c r="IJ22" s="57" t="str">
        <f t="shared" si="94"/>
        <v/>
      </c>
      <c r="IK22" s="57" t="str">
        <f t="shared" si="95"/>
        <v/>
      </c>
      <c r="IL22" s="713">
        <f>'org. Düngung 22'!BP21</f>
        <v>0</v>
      </c>
      <c r="IM22" s="57"/>
      <c r="IN22" s="57"/>
      <c r="IO22" s="57">
        <f t="shared" si="96"/>
        <v>0</v>
      </c>
      <c r="IP22" s="57">
        <f t="shared" si="268"/>
        <v>0</v>
      </c>
      <c r="IQ22" s="57">
        <f t="shared" si="269"/>
        <v>0</v>
      </c>
      <c r="IR22" s="57">
        <f t="shared" si="270"/>
        <v>0</v>
      </c>
      <c r="IS22" s="57">
        <f t="shared" si="271"/>
        <v>0</v>
      </c>
      <c r="IT22" s="1029">
        <f t="shared" si="97"/>
        <v>0</v>
      </c>
      <c r="IU22" s="57">
        <f t="shared" si="98"/>
        <v>0</v>
      </c>
      <c r="IV22" s="171" t="str">
        <f t="shared" si="99"/>
        <v/>
      </c>
      <c r="IW22" s="57">
        <f t="shared" si="272"/>
        <v>0</v>
      </c>
      <c r="IX22" s="57">
        <f>IF(OR(AND(IL$6=1,$L22=0),AND(IL$6=2,$K22=2,$G22=1)),0,IF(AND(IN$9=2,(OR($F22&gt;1,$K22=1,AND($L22=80,OR($N22=1,AND($N22=2,'#BerechnungDBE'!$AL13&gt;0)))))),IF(IL$4&gt;=$AD$126,0,IV22),IF(IN$9=3,IF(OR(IL$4&gt;=$AD$127,AND($G22=1,$J22=2,IL$6=2),AND(IL$6=1,$N22&lt;&gt;1)),0,IF(IP22&lt;=120,IV22,IF(IL$4&lt;$AD$124,IF($F22=1,60/IN$4*IN$6,60/IN$4*IN$7),IF($F22=1,120/IN$4*IN$6,120/IN$4*IN$7)))),IF(OR($F22=3,$G22=2),IF(OR(AND(IL$4&gt;=$AD$119,$C22=2),AND(IL$4&gt;=$AF$119,$C22=1)),0,IF(IP22&lt;=60,IV22,60/IN$4*IN$7)),IF(AND($F22=2,$G22=1),IV22,0)))))</f>
        <v>0</v>
      </c>
      <c r="IY22" s="57" t="str">
        <f t="shared" si="100"/>
        <v/>
      </c>
      <c r="IZ22" s="57" t="str">
        <f t="shared" si="101"/>
        <v/>
      </c>
      <c r="JA22" s="713">
        <f>'org. Düngung 22'!BT21</f>
        <v>0</v>
      </c>
      <c r="JB22" s="57"/>
      <c r="JC22" s="57"/>
      <c r="JD22" s="57">
        <f t="shared" si="102"/>
        <v>0</v>
      </c>
      <c r="JE22" s="57">
        <f t="shared" si="273"/>
        <v>0</v>
      </c>
      <c r="JF22" s="57">
        <f t="shared" si="274"/>
        <v>0</v>
      </c>
      <c r="JG22" s="57">
        <f t="shared" si="275"/>
        <v>0</v>
      </c>
      <c r="JH22" s="57">
        <f t="shared" si="276"/>
        <v>0</v>
      </c>
      <c r="JI22" s="1029">
        <f t="shared" si="103"/>
        <v>0</v>
      </c>
      <c r="JJ22" s="57">
        <f t="shared" si="104"/>
        <v>0</v>
      </c>
      <c r="JK22" s="171" t="str">
        <f t="shared" si="105"/>
        <v/>
      </c>
      <c r="JL22" s="57">
        <f t="shared" si="277"/>
        <v>0</v>
      </c>
      <c r="JM22" s="57">
        <f>IF(OR(AND(JA$6=1,$L22=0),AND(JA$6=2,$K22=2,$G22=1)),0,IF(AND(JC$9=2,(OR($F22&gt;1,$K22=1,AND($L22=80,OR($N22=1,AND($N22=2,'#BerechnungDBE'!$AL13&gt;0)))))),IF(JA$4&gt;=$AD$126,0,JK22),IF(JC$9=3,IF(OR(JA$4&gt;=$AD$127,AND($G22=1,$J22=2,JA$6=2),AND(JA$6=1,$N22&lt;&gt;1)),0,IF(JE22&lt;=120,JK22,IF(JA$4&lt;$AD$124,IF($F22=1,60/JC$4*JC$6,60/JC$4*JC$7),IF($F22=1,120/JC$4*JC$6,120/JC$4*JC$7)))),IF(OR($F22=3,$G22=2),IF(OR(AND(JA$4&gt;=$AD$119,$C22=2),AND(JA$4&gt;=$AF$119,$C22=1)),0,IF(JE22&lt;=60,JK22,60/JC$4*JC$7)),IF(AND($F22=2,$G22=1),JK22,0)))))</f>
        <v>0</v>
      </c>
      <c r="JN22" s="57" t="str">
        <f t="shared" si="106"/>
        <v/>
      </c>
      <c r="JO22" s="57" t="str">
        <f t="shared" si="107"/>
        <v/>
      </c>
      <c r="JP22" s="713">
        <f>'org. Düngung 22'!BX21</f>
        <v>0</v>
      </c>
      <c r="JQ22" s="57"/>
      <c r="JR22" s="57"/>
      <c r="JS22" s="57">
        <f t="shared" si="108"/>
        <v>0</v>
      </c>
      <c r="JT22" s="57">
        <f t="shared" si="278"/>
        <v>0</v>
      </c>
      <c r="JU22" s="57">
        <f t="shared" si="279"/>
        <v>0</v>
      </c>
      <c r="JV22" s="57">
        <f t="shared" si="280"/>
        <v>0</v>
      </c>
      <c r="JW22" s="57">
        <f t="shared" si="281"/>
        <v>0</v>
      </c>
      <c r="JX22" s="1029">
        <f t="shared" si="109"/>
        <v>0</v>
      </c>
      <c r="JY22" s="57">
        <f t="shared" si="110"/>
        <v>0</v>
      </c>
      <c r="JZ22" s="171" t="str">
        <f t="shared" si="111"/>
        <v/>
      </c>
      <c r="KA22" s="57">
        <f t="shared" si="282"/>
        <v>0</v>
      </c>
      <c r="KB22" s="57">
        <f>IF(OR(AND(JP$6=1,$L22=0),AND(JP$6=2,$K22=2,$G22=1)),0,IF(AND(JR$9=2,(OR($F22&gt;1,$K22=1,AND($L22=80,OR($N22=1,AND($N22=2,'#BerechnungDBE'!$AL13&gt;0)))))),IF(JP$4&gt;=$AD$126,0,JZ22),IF(JR$9=3,IF(OR(JP$4&gt;=$AD$127,AND($G22=1,$J22=2,JP$6=2),AND(JP$6=1,$N22&lt;&gt;1)),0,IF(JT22&lt;=120,JZ22,IF(JP$4&lt;$AD$124,IF($F22=1,60/JR$4*JR$6,60/JR$4*JR$7),IF($F22=1,120/JR$4*JR$6,120/JR$4*JR$7)))),IF(OR($F22=3,$G22=2),IF(OR(AND(JP$4&gt;=$AD$119,$C22=2),AND(JP$4&gt;=$AF$119,$C22=1)),0,IF(JT22&lt;=60,JZ22,60/JR$4*JR$7)),IF(AND($F22=2,$G22=1),JZ22,0)))))</f>
        <v>0</v>
      </c>
      <c r="KC22" s="57" t="str">
        <f t="shared" si="112"/>
        <v/>
      </c>
      <c r="KD22" s="57" t="str">
        <f t="shared" si="113"/>
        <v/>
      </c>
      <c r="KE22" s="713">
        <f>'org. Düngung 22'!CB21</f>
        <v>0</v>
      </c>
      <c r="KF22" s="57"/>
      <c r="KG22" s="57"/>
      <c r="KH22" s="57">
        <f t="shared" si="114"/>
        <v>0</v>
      </c>
      <c r="KI22" s="57">
        <f t="shared" si="283"/>
        <v>0</v>
      </c>
      <c r="KJ22" s="57">
        <f t="shared" si="284"/>
        <v>0</v>
      </c>
      <c r="KK22" s="57">
        <f t="shared" si="285"/>
        <v>0</v>
      </c>
      <c r="KL22" s="57">
        <f t="shared" si="286"/>
        <v>0</v>
      </c>
      <c r="KM22" s="1029">
        <f t="shared" si="115"/>
        <v>0</v>
      </c>
      <c r="KN22" s="57">
        <f t="shared" si="116"/>
        <v>0</v>
      </c>
      <c r="KO22" s="171" t="str">
        <f t="shared" si="117"/>
        <v/>
      </c>
      <c r="KP22" s="57">
        <f t="shared" si="287"/>
        <v>0</v>
      </c>
      <c r="KQ22" s="57">
        <f>IF(OR(AND(KE$6=1,$L22=0),AND(KE$6=2,$K22=2,$G22=1)),0,IF(AND(KG$9=2,(OR($F22&gt;1,$K22=1,AND($L22=80,OR($N22=1,AND($N22=2,'#BerechnungDBE'!$AL13&gt;0)))))),IF(KE$4&gt;=$AD$126,0,KO22),IF(KG$9=3,IF(OR(KE$4&gt;=$AD$127,AND($G22=1,$J22=2,KE$6=2),AND(KE$6=1,$N22&lt;&gt;1)),0,IF(KI22&lt;=120,KO22,IF(KE$4&lt;$AD$124,IF($F22=1,60/KG$4*KG$6,60/KG$4*KG$7),IF($F22=1,120/KG$4*KG$6,120/KG$4*KG$7)))),IF(OR($F22=3,$G22=2),IF(OR(AND(KE$4&gt;=$AD$119,$C22=2),AND(KE$4&gt;=$AF$119,$C22=1)),0,IF(KI22&lt;=60,KO22,60/KG$4*KG$7)),IF(AND($F22=2,$G22=1),KO22,0)))))</f>
        <v>0</v>
      </c>
      <c r="KR22" s="57" t="str">
        <f t="shared" si="118"/>
        <v/>
      </c>
      <c r="KS22" s="57" t="str">
        <f t="shared" si="119"/>
        <v/>
      </c>
      <c r="KT22" s="713">
        <f>'org. Düngung 22'!CF21</f>
        <v>0</v>
      </c>
      <c r="KU22" s="57"/>
      <c r="KV22" s="57"/>
      <c r="KW22" s="57">
        <f t="shared" si="120"/>
        <v>0</v>
      </c>
      <c r="KX22" s="57">
        <f t="shared" si="288"/>
        <v>0</v>
      </c>
      <c r="KY22" s="57">
        <f t="shared" si="289"/>
        <v>0</v>
      </c>
      <c r="KZ22" s="57">
        <f t="shared" si="290"/>
        <v>0</v>
      </c>
      <c r="LA22" s="57">
        <f t="shared" si="291"/>
        <v>0</v>
      </c>
      <c r="LB22" s="1029">
        <f t="shared" si="121"/>
        <v>0</v>
      </c>
      <c r="LC22" s="57">
        <f t="shared" si="122"/>
        <v>0</v>
      </c>
      <c r="LD22" s="171" t="str">
        <f t="shared" si="123"/>
        <v/>
      </c>
      <c r="LE22" s="57">
        <f t="shared" si="292"/>
        <v>0</v>
      </c>
      <c r="LF22" s="57">
        <f>IF(OR(AND(KT$6=1,$L22=0),AND(KT$6=2,$K22=2,$G22=1)),0,IF(AND(KV$9=2,(OR($F22&gt;1,$K22=1,AND($L22=80,OR($N22=1,AND($N22=2,'#BerechnungDBE'!$AL13&gt;0)))))),IF(KT$4&gt;=$AD$126,0,LD22),IF(KV$9=3,IF(OR(KT$4&gt;=$AD$127,AND($G22=1,$J22=2,KT$6=2),AND(KT$6=1,$N22&lt;&gt;1)),0,IF(KX22&lt;=120,LD22,IF(KT$4&lt;$AD$124,IF($F22=1,60/KV$4*KV$6,60/KV$4*KV$7),IF($F22=1,120/KV$4*KV$6,120/KV$4*KV$7)))),IF(OR($F22=3,$G22=2),IF(OR(AND(KT$4&gt;=$AD$119,$C22=2),AND(KT$4&gt;=$AF$119,$C22=1)),0,IF(KX22&lt;=60,LD22,60/KV$4*KV$7)),IF(AND($F22=2,$G22=1),LD22,0)))))</f>
        <v>0</v>
      </c>
      <c r="LG22" s="57" t="str">
        <f t="shared" si="124"/>
        <v/>
      </c>
      <c r="LH22" s="57" t="str">
        <f t="shared" si="125"/>
        <v/>
      </c>
      <c r="LI22" s="713">
        <f>'org. Düngung 22'!CJ21</f>
        <v>0</v>
      </c>
      <c r="LJ22" s="57"/>
      <c r="LK22" s="57"/>
      <c r="LL22" s="57">
        <f t="shared" si="126"/>
        <v>0</v>
      </c>
      <c r="LM22" s="57">
        <f t="shared" si="293"/>
        <v>0</v>
      </c>
      <c r="LN22" s="57">
        <f t="shared" si="294"/>
        <v>0</v>
      </c>
      <c r="LO22" s="57">
        <f t="shared" si="295"/>
        <v>0</v>
      </c>
      <c r="LP22" s="57">
        <f t="shared" si="296"/>
        <v>0</v>
      </c>
      <c r="LQ22" s="1029">
        <f t="shared" si="127"/>
        <v>0</v>
      </c>
      <c r="LR22" s="57">
        <f t="shared" si="128"/>
        <v>0</v>
      </c>
      <c r="LS22" s="171" t="str">
        <f t="shared" si="129"/>
        <v/>
      </c>
      <c r="LT22" s="57">
        <f t="shared" si="297"/>
        <v>0</v>
      </c>
      <c r="LU22" s="57">
        <f>IF(OR(AND(LI$6=1,$L22=0),AND(LI$6=2,$K22=2,$G22=1)),0,IF(AND(LK$9=2,(OR($F22&gt;1,$K22=1,AND($L22=80,OR($N22=1,AND($N22=2,'#BerechnungDBE'!$AL13&gt;0)))))),IF(LI$4&gt;=$AD$126,0,LS22),IF(LK$9=3,IF(OR(LI$4&gt;=$AD$127,AND($G22=1,$J22=2,LI$6=2),AND(LI$6=1,$N22&lt;&gt;1)),0,IF(LM22&lt;=120,LS22,IF(LI$4&lt;$AD$124,IF($F22=1,60/LK$4*LK$6,60/LK$4*LK$7),IF($F22=1,120/LK$4*LK$6,120/LK$4*LK$7)))),IF(OR($F22=3,$G22=2),IF(OR(AND(LI$4&gt;=$AD$119,$C22=2),AND(LI$4&gt;=$AF$119,$C22=1)),0,IF(LM22&lt;=60,LS22,60/LK$4*LK$7)),IF(AND($F22=2,$G22=1),LS22,0)))))</f>
        <v>0</v>
      </c>
      <c r="LV22" s="57" t="str">
        <f t="shared" si="130"/>
        <v/>
      </c>
      <c r="LW22" s="57" t="str">
        <f t="shared" si="131"/>
        <v/>
      </c>
      <c r="LX22" s="713">
        <f>'org. Düngung 22'!CN21</f>
        <v>0</v>
      </c>
      <c r="LY22" s="57"/>
      <c r="LZ22" s="57"/>
      <c r="MA22" s="57">
        <f t="shared" si="132"/>
        <v>0</v>
      </c>
      <c r="MB22" s="57">
        <f t="shared" si="298"/>
        <v>0</v>
      </c>
      <c r="MC22" s="57">
        <f t="shared" si="299"/>
        <v>0</v>
      </c>
      <c r="MD22" s="57">
        <f t="shared" si="300"/>
        <v>0</v>
      </c>
      <c r="ME22" s="57">
        <f t="shared" si="301"/>
        <v>0</v>
      </c>
      <c r="MF22" s="1029">
        <f t="shared" si="133"/>
        <v>0</v>
      </c>
      <c r="MG22" s="57">
        <f t="shared" si="134"/>
        <v>0</v>
      </c>
      <c r="MH22" s="171" t="str">
        <f t="shared" si="135"/>
        <v/>
      </c>
      <c r="MI22" s="57">
        <f t="shared" si="302"/>
        <v>0</v>
      </c>
      <c r="MJ22" s="57">
        <f>IF(OR(AND(LX$6=1,$L22=0),AND(LX$6=2,$K22=2,$G22=1)),0,IF(AND(LZ$9=2,(OR($F22&gt;1,$K22=1,AND($L22=80,OR($N22=1,AND($N22=2,'#BerechnungDBE'!$AL13&gt;0)))))),IF(LX$4&gt;=$AD$126,0,MH22),IF(LZ$9=3,IF(OR(LX$4&gt;=$AD$127,AND($G22=1,$J22=2,LX$6=2),AND(LX$6=1,$N22&lt;&gt;1)),0,IF(MB22&lt;=120,MH22,IF(LX$4&lt;$AD$124,IF($F22=1,60/LZ$4*LZ$6,60/LZ$4*LZ$7),IF($F22=1,120/LZ$4*LZ$6,120/LZ$4*LZ$7)))),IF(OR($F22=3,$G22=2),IF(OR(AND(LX$4&gt;=$AD$119,$C22=2),AND(LX$4&gt;=$AF$119,$C22=1)),0,IF(MB22&lt;=60,MH22,60/LZ$4*LZ$7)),IF(AND($F22=2,$G22=1),MH22,0)))))</f>
        <v>0</v>
      </c>
      <c r="MK22" s="57" t="str">
        <f t="shared" si="136"/>
        <v/>
      </c>
      <c r="ML22" s="57" t="str">
        <f t="shared" si="137"/>
        <v/>
      </c>
      <c r="MM22" s="713">
        <f>'org. Düngung 22'!CR21</f>
        <v>0</v>
      </c>
      <c r="MN22" s="57"/>
      <c r="MO22" s="57"/>
      <c r="MP22" s="57">
        <f t="shared" si="138"/>
        <v>0</v>
      </c>
      <c r="MQ22" s="57">
        <f t="shared" si="303"/>
        <v>0</v>
      </c>
      <c r="MR22" s="57">
        <f t="shared" si="304"/>
        <v>0</v>
      </c>
      <c r="MS22" s="57">
        <f t="shared" si="305"/>
        <v>0</v>
      </c>
      <c r="MT22" s="57">
        <f t="shared" si="306"/>
        <v>0</v>
      </c>
      <c r="MU22" s="1029">
        <f t="shared" si="139"/>
        <v>0</v>
      </c>
      <c r="MV22" s="57">
        <f t="shared" si="140"/>
        <v>0</v>
      </c>
      <c r="MW22" s="171" t="str">
        <f t="shared" si="141"/>
        <v/>
      </c>
      <c r="MX22" s="57">
        <f t="shared" si="307"/>
        <v>0</v>
      </c>
      <c r="MY22" s="57">
        <f>IF(OR(AND(MM$6=1,$L22=0),AND(MM$6=2,$K22=2,$G22=1)),0,IF(AND(MO$9=2,(OR($F22&gt;1,$K22=1,AND($L22=80,OR($N22=1,AND($N22=2,'#BerechnungDBE'!$AL13&gt;0)))))),IF(MM$4&gt;=$AD$126,0,MW22),IF(MO$9=3,IF(OR(MM$4&gt;=$AD$127,AND($G22=1,$J22=2,MM$6=2),AND(MM$6=1,$N22&lt;&gt;1)),0,IF(MQ22&lt;=120,MW22,IF(MM$4&lt;$AD$124,IF($F22=1,60/MO$4*MO$6,60/MO$4*MO$7),IF($F22=1,120/MO$4*MO$6,120/MO$4*MO$7)))),IF(OR($F22=3,$G22=2),IF(OR(AND(MM$4&gt;=$AD$119,$C22=2),AND(MM$4&gt;=$AF$119,$C22=1)),0,IF(MQ22&lt;=60,MW22,60/MO$4*MO$7)),IF(AND($F22=2,$G22=1),MW22,0)))))</f>
        <v>0</v>
      </c>
      <c r="MZ22" s="57" t="str">
        <f t="shared" si="142"/>
        <v/>
      </c>
      <c r="NA22" s="57" t="str">
        <f t="shared" si="143"/>
        <v/>
      </c>
      <c r="NB22" s="713">
        <f>'org. Düngung 22'!CV21</f>
        <v>0</v>
      </c>
      <c r="NC22" s="57"/>
      <c r="ND22" s="57"/>
      <c r="NE22" s="57">
        <f t="shared" si="144"/>
        <v>0</v>
      </c>
      <c r="NF22" s="57">
        <f t="shared" si="308"/>
        <v>0</v>
      </c>
      <c r="NG22" s="57">
        <f t="shared" si="309"/>
        <v>0</v>
      </c>
      <c r="NH22" s="57">
        <f t="shared" si="310"/>
        <v>0</v>
      </c>
      <c r="NI22" s="57">
        <f t="shared" si="311"/>
        <v>0</v>
      </c>
      <c r="NJ22" s="1029">
        <f t="shared" si="145"/>
        <v>0</v>
      </c>
      <c r="NK22" s="57">
        <f t="shared" si="146"/>
        <v>0</v>
      </c>
      <c r="NL22" s="171" t="str">
        <f t="shared" si="147"/>
        <v/>
      </c>
      <c r="NM22" s="57">
        <f t="shared" si="312"/>
        <v>0</v>
      </c>
      <c r="NN22" s="57">
        <f>IF(OR(AND(NB$6=1,$L22=0),AND(NB$6=2,$K22=2,$G22=1)),0,IF(AND(ND$9=2,(OR($F22&gt;1,$K22=1,AND($L22=80,OR($N22=1,AND($N22=2,'#BerechnungDBE'!$AL13&gt;0)))))),IF(NB$4&gt;=$AD$126,0,NL22),IF(ND$9=3,IF(OR(NB$4&gt;=$AD$127,AND($G22=1,$J22=2,NB$6=2),AND(NB$6=1,$N22&lt;&gt;1)),0,IF(NF22&lt;=120,NL22,IF(NB$4&lt;$AD$124,IF($F22=1,60/ND$4*ND$6,60/ND$4*ND$7),IF($F22=1,120/ND$4*ND$6,120/ND$4*ND$7)))),IF(OR($F22=3,$G22=2),IF(OR(AND(NB$4&gt;=$AD$119,$C22=2),AND(NB$4&gt;=$AF$119,$C22=1)),0,IF(NF22&lt;=60,NL22,60/ND$4*ND$7)),IF(AND($F22=2,$G22=1),NL22,0)))))</f>
        <v>0</v>
      </c>
      <c r="NO22" s="57" t="str">
        <f t="shared" si="148"/>
        <v/>
      </c>
      <c r="NP22" s="57" t="str">
        <f t="shared" si="149"/>
        <v/>
      </c>
      <c r="NQ22" s="713">
        <f>'org. Düngung 22'!CZ21</f>
        <v>0</v>
      </c>
      <c r="NR22" s="57"/>
      <c r="NS22" s="57"/>
      <c r="NT22" s="57">
        <f t="shared" si="150"/>
        <v>0</v>
      </c>
      <c r="NU22" s="57">
        <f t="shared" si="313"/>
        <v>0</v>
      </c>
      <c r="NV22" s="57">
        <f t="shared" si="314"/>
        <v>0</v>
      </c>
      <c r="NW22" s="57">
        <f t="shared" si="315"/>
        <v>0</v>
      </c>
      <c r="NX22" s="57">
        <f t="shared" si="316"/>
        <v>0</v>
      </c>
      <c r="NY22" s="1029">
        <f t="shared" si="151"/>
        <v>0</v>
      </c>
      <c r="NZ22" s="57">
        <f t="shared" si="152"/>
        <v>0</v>
      </c>
      <c r="OA22" s="171" t="str">
        <f t="shared" si="153"/>
        <v/>
      </c>
      <c r="OB22" s="57">
        <f t="shared" si="317"/>
        <v>0</v>
      </c>
      <c r="OC22" s="57">
        <f>IF(OR(AND(NQ$6=1,$L22=0),AND(NQ$6=2,$K22=2,$G22=1)),0,IF(AND(NS$9=2,(OR($F22&gt;1,$K22=1,AND($L22=80,OR($N22=1,AND($N22=2,'#BerechnungDBE'!$AL13&gt;0)))))),IF(NQ$4&gt;=$AD$126,0,OA22),IF(NS$9=3,IF(OR(NQ$4&gt;=$AD$127,AND($G22=1,$J22=2,NQ$6=2),AND(NQ$6=1,$N22&lt;&gt;1)),0,IF(NU22&lt;=120,OA22,IF(NQ$4&lt;$AD$124,IF($F22=1,60/NS$4*NS$6,60/NS$4*NS$7),IF($F22=1,120/NS$4*NS$6,120/NS$4*NS$7)))),IF(OR($F22=3,$G22=2),IF(OR(AND(NQ$4&gt;=$AD$119,$C22=2),AND(NQ$4&gt;=$AF$119,$C22=1)),0,IF(NU22&lt;=60,OA22,60/NS$4*NS$7)),IF(AND($F22=2,$G22=1),OA22,0)))))</f>
        <v>0</v>
      </c>
      <c r="OD22" s="57" t="str">
        <f t="shared" si="154"/>
        <v/>
      </c>
      <c r="OE22" s="57" t="str">
        <f t="shared" si="155"/>
        <v/>
      </c>
      <c r="OF22" s="713">
        <f>'org. Düngung 22'!DD21</f>
        <v>0</v>
      </c>
      <c r="OG22" s="57"/>
      <c r="OH22" s="57"/>
      <c r="OI22" s="57">
        <f t="shared" si="156"/>
        <v>0</v>
      </c>
      <c r="OJ22" s="57">
        <f t="shared" si="318"/>
        <v>0</v>
      </c>
      <c r="OK22" s="57">
        <f t="shared" si="319"/>
        <v>0</v>
      </c>
      <c r="OL22" s="57">
        <f t="shared" si="320"/>
        <v>0</v>
      </c>
      <c r="OM22" s="57">
        <f t="shared" si="321"/>
        <v>0</v>
      </c>
      <c r="ON22" s="1029">
        <f t="shared" si="157"/>
        <v>0</v>
      </c>
      <c r="OO22" s="57">
        <f t="shared" si="158"/>
        <v>0</v>
      </c>
      <c r="OP22" s="171" t="str">
        <f t="shared" si="159"/>
        <v/>
      </c>
      <c r="OQ22" s="57">
        <f t="shared" si="322"/>
        <v>0</v>
      </c>
      <c r="OR22" s="57">
        <f>IF(OR(AND(OF$6=1,$L22=0),AND(OF$6=2,$K22=2,$G22=1)),0,IF(AND(OH$9=2,(OR($F22&gt;1,$K22=1,AND($L22=80,OR($N22=1,AND($N22=2,'#BerechnungDBE'!$AL13&gt;0)))))),IF(OF$4&gt;=$AD$126,0,OP22),IF(OH$9=3,IF(OR(OF$4&gt;=$AD$127,AND($G22=1,$J22=2,OF$6=2),AND(OF$6=1,$N22&lt;&gt;1)),0,IF(OJ22&lt;=120,OP22,IF(OF$4&lt;$AD$124,IF($F22=1,60/OH$4*OH$6,60/OH$4*OH$7),IF($F22=1,120/OH$4*OH$6,120/OH$4*OH$7)))),IF(OR($F22=3,$G22=2),IF(OR(AND(OF$4&gt;=$AD$119,$C22=2),AND(OF$4&gt;=$AF$119,$C22=1)),0,IF(OJ22&lt;=60,OP22,60/OH$4*OH$7)),IF(AND($F22=2,$G22=1),OP22,0)))))</f>
        <v>0</v>
      </c>
      <c r="OS22" s="57" t="str">
        <f t="shared" si="160"/>
        <v/>
      </c>
      <c r="OT22" s="57" t="str">
        <f t="shared" si="161"/>
        <v/>
      </c>
      <c r="OU22" s="713">
        <f>'org. Düngung 22'!DH21</f>
        <v>0</v>
      </c>
      <c r="OV22" s="57"/>
      <c r="OW22" s="57"/>
      <c r="OX22" s="57">
        <f t="shared" si="162"/>
        <v>0</v>
      </c>
      <c r="OY22" s="57">
        <f t="shared" si="323"/>
        <v>0</v>
      </c>
      <c r="OZ22" s="57">
        <f t="shared" si="324"/>
        <v>0</v>
      </c>
      <c r="PA22" s="57">
        <f t="shared" si="325"/>
        <v>0</v>
      </c>
      <c r="PB22" s="57">
        <f t="shared" si="326"/>
        <v>0</v>
      </c>
      <c r="PC22" s="1029">
        <f t="shared" si="163"/>
        <v>0</v>
      </c>
      <c r="PD22" s="57">
        <f t="shared" si="164"/>
        <v>0</v>
      </c>
      <c r="PE22" s="171" t="str">
        <f t="shared" si="165"/>
        <v/>
      </c>
      <c r="PF22" s="57">
        <f t="shared" si="327"/>
        <v>0</v>
      </c>
      <c r="PG22" s="57">
        <f>IF(OR(AND(OU$6=1,$L22=0),AND(OU$6=2,$K22=2,$G22=1)),0,IF(AND(OW$9=2,(OR($F22&gt;1,$K22=1,AND($L22=80,OR($N22=1,AND($N22=2,'#BerechnungDBE'!$AL13&gt;0)))))),IF(OU$4&gt;=$AD$126,0,PE22),IF(OW$9=3,IF(OR(OU$4&gt;=$AD$127,AND($G22=1,$J22=2,OU$6=2),AND(OU$6=1,$N22&lt;&gt;1)),0,IF(OY22&lt;=120,PE22,IF(OU$4&lt;$AD$124,IF($F22=1,60/OW$4*OW$6,60/OW$4*OW$7),IF($F22=1,120/OW$4*OW$6,120/OW$4*OW$7)))),IF(OR($F22=3,$G22=2),IF(OR(AND(OU$4&gt;=$AD$119,$C22=2),AND(OU$4&gt;=$AF$119,$C22=1)),0,IF(OY22&lt;=60,PE22,60/OW$4*OW$7)),IF(AND($F22=2,$G22=1),PE22,0)))))</f>
        <v>0</v>
      </c>
      <c r="PH22" s="57" t="str">
        <f t="shared" si="166"/>
        <v/>
      </c>
      <c r="PI22" s="57" t="str">
        <f t="shared" si="167"/>
        <v/>
      </c>
      <c r="PJ22" s="713">
        <f>'org. Düngung 22'!DL21</f>
        <v>0</v>
      </c>
      <c r="PK22" s="57"/>
      <c r="PL22" s="57"/>
      <c r="PM22" s="57">
        <f t="shared" si="168"/>
        <v>0</v>
      </c>
      <c r="PN22" s="57">
        <f t="shared" si="328"/>
        <v>0</v>
      </c>
      <c r="PO22" s="57">
        <f t="shared" si="329"/>
        <v>0</v>
      </c>
      <c r="PP22" s="57">
        <f t="shared" si="330"/>
        <v>0</v>
      </c>
      <c r="PQ22" s="57">
        <f t="shared" si="331"/>
        <v>0</v>
      </c>
      <c r="PR22" s="1029">
        <f t="shared" si="169"/>
        <v>0</v>
      </c>
      <c r="PS22" s="57">
        <f t="shared" si="170"/>
        <v>0</v>
      </c>
      <c r="PT22" s="171" t="str">
        <f t="shared" si="171"/>
        <v/>
      </c>
      <c r="PU22" s="57">
        <f t="shared" si="332"/>
        <v>0</v>
      </c>
      <c r="PV22" s="57">
        <f>IF(OR(AND(PJ$6=1,$L22=0),AND(PJ$6=2,$K22=2,$G22=1)),0,IF(AND(PL$9=2,(OR($F22&gt;1,$K22=1,AND($L22=80,OR($N22=1,AND($N22=2,'#BerechnungDBE'!$AL13&gt;0)))))),IF(PJ$4&gt;=$AD$126,0,PT22),IF(PL$9=3,IF(OR(PJ$4&gt;=$AD$127,AND($G22=1,$J22=2,PJ$6=2),AND(PJ$6=1,$N22&lt;&gt;1)),0,IF(PN22&lt;=120,PT22,IF(PJ$4&lt;$AD$124,IF($F22=1,60/PL$4*PL$6,60/PL$4*PL$7),IF($F22=1,120/PL$4*PL$6,120/PL$4*PL$7)))),IF(OR($F22=3,$G22=2),IF(OR(AND(PJ$4&gt;=$AD$119,$C22=2),AND(PJ$4&gt;=$AF$119,$C22=1)),0,IF(PN22&lt;=60,PT22,60/PL$4*PL$7)),IF(AND($F22=2,$G22=1),PT22,0)))))</f>
        <v>0</v>
      </c>
      <c r="PW22" s="57" t="str">
        <f t="shared" si="172"/>
        <v/>
      </c>
      <c r="PX22" s="57" t="str">
        <f t="shared" si="173"/>
        <v/>
      </c>
      <c r="PY22" s="713">
        <f>'org. Düngung 22'!DP21</f>
        <v>0</v>
      </c>
      <c r="PZ22" s="57"/>
      <c r="QA22" s="57"/>
      <c r="QB22" s="57">
        <f t="shared" si="174"/>
        <v>0</v>
      </c>
      <c r="QC22" s="57">
        <f t="shared" si="333"/>
        <v>0</v>
      </c>
      <c r="QD22" s="57">
        <f t="shared" si="334"/>
        <v>0</v>
      </c>
      <c r="QE22" s="57">
        <f t="shared" si="335"/>
        <v>0</v>
      </c>
      <c r="QF22" s="57">
        <f t="shared" si="336"/>
        <v>0</v>
      </c>
      <c r="QG22" s="1029">
        <f t="shared" si="175"/>
        <v>0</v>
      </c>
      <c r="QH22" s="57">
        <f t="shared" si="176"/>
        <v>0</v>
      </c>
      <c r="QI22" s="171" t="str">
        <f t="shared" si="177"/>
        <v/>
      </c>
      <c r="QJ22" s="57">
        <f t="shared" si="337"/>
        <v>0</v>
      </c>
      <c r="QK22" s="57">
        <f>IF(OR(AND(PY$6=1,$L22=0),AND(PY$6=2,$K22=2,$G22=1)),0,IF(AND(QA$9=2,(OR($F22&gt;1,$K22=1,AND($L22=80,OR($N22=1,AND($N22=2,'#BerechnungDBE'!$AL13&gt;0)))))),IF(PY$4&gt;=$AD$126,0,QI22),IF(QA$9=3,IF(OR(PY$4&gt;=$AD$127,AND($G22=1,$J22=2,PY$6=2),AND(PY$6=1,$N22&lt;&gt;1)),0,IF(QC22&lt;=120,QI22,IF(PY$4&lt;$AD$124,IF($F22=1,60/QA$4*QA$6,60/QA$4*QA$7),IF($F22=1,120/QA$4*QA$6,120/QA$4*QA$7)))),IF(OR($F22=3,$G22=2),IF(OR(AND(PY$4&gt;=$AD$119,$C22=2),AND(PY$4&gt;=$AF$119,$C22=1)),0,IF(QC22&lt;=60,QI22,60/QA$4*QA$7)),IF(AND($F22=2,$G22=1),QI22,0)))))</f>
        <v>0</v>
      </c>
      <c r="QL22" s="57" t="str">
        <f t="shared" si="178"/>
        <v/>
      </c>
      <c r="QM22" s="57" t="str">
        <f t="shared" si="179"/>
        <v/>
      </c>
      <c r="QN22" s="713">
        <f>'org. Düngung 22'!DT21</f>
        <v>0</v>
      </c>
      <c r="QO22" s="57"/>
      <c r="QP22" s="57"/>
      <c r="QQ22" s="57">
        <f t="shared" si="180"/>
        <v>0</v>
      </c>
      <c r="QR22" s="57">
        <f t="shared" si="338"/>
        <v>0</v>
      </c>
      <c r="QS22" s="57">
        <f t="shared" si="339"/>
        <v>0</v>
      </c>
      <c r="QT22" s="57">
        <f t="shared" si="340"/>
        <v>0</v>
      </c>
      <c r="QU22" s="57">
        <f t="shared" si="341"/>
        <v>0</v>
      </c>
      <c r="QV22" s="1029">
        <f t="shared" si="181"/>
        <v>0</v>
      </c>
      <c r="QW22" s="57">
        <f t="shared" si="182"/>
        <v>0</v>
      </c>
      <c r="QX22" s="171" t="str">
        <f t="shared" si="183"/>
        <v/>
      </c>
      <c r="QY22" s="57">
        <f t="shared" si="342"/>
        <v>0</v>
      </c>
      <c r="QZ22" s="57">
        <f>IF(OR(AND(QN$6=1,$L22=0),AND(QN$6=2,$K22=2,$G22=1)),0,IF(AND(QP$9=2,(OR($F22&gt;1,$K22=1,AND($L22=80,OR($N22=1,AND($N22=2,'#BerechnungDBE'!$AL13&gt;0)))))),IF(QN$4&gt;=$AD$126,0,QX22),IF(QP$9=3,IF(OR(QN$4&gt;=$AD$127,AND($G22=1,$J22=2,QN$6=2),AND(QN$6=1,$N22&lt;&gt;1)),0,IF(QR22&lt;=120,QX22,IF(QN$4&lt;$AD$124,IF($F22=1,60/QP$4*QP$6,60/QP$4*QP$7),IF($F22=1,120/QP$4*QP$6,120/QP$4*QP$7)))),IF(OR($F22=3,$G22=2),IF(OR(AND(QN$4&gt;=$AD$119,$C22=2),AND(QN$4&gt;=$AF$119,$C22=1)),0,IF(QR22&lt;=60,QX22,60/QP$4*QP$7)),IF(AND($F22=2,$G22=1),QX22,0)))))</f>
        <v>0</v>
      </c>
      <c r="RA22" s="57" t="str">
        <f t="shared" si="184"/>
        <v/>
      </c>
      <c r="RB22" s="57" t="str">
        <f t="shared" si="185"/>
        <v/>
      </c>
      <c r="RC22" s="713">
        <f>'org. Düngung 22'!DX21</f>
        <v>0</v>
      </c>
      <c r="RD22" s="57"/>
      <c r="RE22" s="57"/>
      <c r="RF22" s="57">
        <f t="shared" si="186"/>
        <v>0</v>
      </c>
      <c r="RG22" s="57">
        <f t="shared" si="343"/>
        <v>0</v>
      </c>
      <c r="RH22" s="57">
        <f t="shared" si="344"/>
        <v>0</v>
      </c>
      <c r="RI22" s="57">
        <f t="shared" si="345"/>
        <v>0</v>
      </c>
      <c r="RJ22" s="57">
        <f t="shared" si="346"/>
        <v>0</v>
      </c>
      <c r="RK22" s="1029">
        <f t="shared" si="187"/>
        <v>0</v>
      </c>
      <c r="RL22" s="57">
        <f t="shared" si="188"/>
        <v>0</v>
      </c>
      <c r="RM22" s="171" t="str">
        <f t="shared" si="189"/>
        <v/>
      </c>
      <c r="RN22" s="57">
        <f t="shared" si="347"/>
        <v>0</v>
      </c>
      <c r="RO22" s="57">
        <f>IF(OR(AND(RC$6=1,$L22=0),AND(RC$6=2,$K22=2,$G22=1)),0,IF(AND(RE$9=2,(OR($F22&gt;1,$K22=1,AND($L22=80,OR($N22=1,AND($N22=2,'#BerechnungDBE'!$AL13&gt;0)))))),IF(RC$4&gt;=$AD$126,0,RM22),IF(RE$9=3,IF(OR(RC$4&gt;=$AD$127,AND($G22=1,$J22=2,RC$6=2),AND(RC$6=1,$N22&lt;&gt;1)),0,IF(RG22&lt;=120,RM22,IF(RC$4&lt;$AD$124,IF($F22=1,60/RE$4*RE$6,60/RE$4*RE$7),IF($F22=1,120/RE$4*RE$6,120/RE$4*RE$7)))),IF(OR($F22=3,$G22=2),IF(OR(AND(RC$4&gt;=$AD$119,$C22=2),AND(RC$4&gt;=$AF$119,$C22=1)),0,IF(RG22&lt;=60,RM22,60/RE$4*RE$7)),IF(AND($F22=2,$G22=1),RM22,0)))))</f>
        <v>0</v>
      </c>
      <c r="RP22" s="57" t="str">
        <f t="shared" si="190"/>
        <v/>
      </c>
      <c r="RQ22" s="57" t="str">
        <f t="shared" si="191"/>
        <v/>
      </c>
      <c r="RS22" s="57" t="str">
        <f t="shared" si="348"/>
        <v/>
      </c>
      <c r="RT22" s="57" t="str">
        <f t="shared" si="192"/>
        <v/>
      </c>
      <c r="RU22" s="57" t="str">
        <f t="shared" si="193"/>
        <v/>
      </c>
      <c r="RV22" s="57" t="str">
        <f>IF(Z22&gt;'#BerechnungDBE'!BM13,$RV$9,"")</f>
        <v/>
      </c>
      <c r="RW22" s="57" t="str">
        <f>IF(AND(L22=70,AE22&gt;'#BerechnungDBE'!CQ13),$RW$9,"")</f>
        <v/>
      </c>
      <c r="RX22" s="57" t="str">
        <f>IF(OR('org. Düngung 22'!G21="--",'org. Düngung 22'!G21&lt;=170,'org. Düngung 22'!G21=""),"",$RX$9)</f>
        <v/>
      </c>
      <c r="RY22" s="57" t="str">
        <f>IF('org. Düngung 22'!K21&gt;120,'#orgDung'!$RY$9,"")</f>
        <v/>
      </c>
      <c r="RZ22" s="57" t="str">
        <f>IF('#BerechnungDBE'!P13&lt;4,"",IF(AND('#BerechnungDBE'!BZ13&gt;0,T22&gt;0),'#orgDung'!$RZ$9,""))</f>
        <v/>
      </c>
      <c r="SA22" s="57" t="str">
        <f t="shared" si="194"/>
        <v/>
      </c>
    </row>
    <row r="23" spans="1:495" s="875" customFormat="1" x14ac:dyDescent="0.2">
      <c r="A23" s="875">
        <f>'Flächen u. Kulturen'!A19</f>
        <v>10</v>
      </c>
      <c r="B23" s="367">
        <f>'#BerechnungDBE'!L14</f>
        <v>0</v>
      </c>
      <c r="C23" s="875">
        <f>'#BerechnungDBE'!R14</f>
        <v>1</v>
      </c>
      <c r="D23" s="875">
        <f>'#BerechnungDBE'!T14</f>
        <v>2</v>
      </c>
      <c r="E23" s="875" t="str">
        <f>'Flächen u. Kulturen'!E19</f>
        <v>x</v>
      </c>
      <c r="F23" s="52">
        <f>'#BerechnungDBE'!N14</f>
        <v>1</v>
      </c>
      <c r="G23" s="52">
        <f>'#BerechnungDBE'!O14</f>
        <v>1</v>
      </c>
      <c r="H23" s="875">
        <f>IF('Flächen u. Kulturen'!P19="",0,VLOOKUP('Flächen u. Kulturen'!P19,Kulturen[[HF]:[Berechnungsgruppe]],'#Frucht'!$H$1,FALSE))</f>
        <v>0</v>
      </c>
      <c r="I23" s="875">
        <f>IF('Flächen u. Kulturen'!J19="",0,VLOOKUP('Flächen u. Kulturen'!J19,Kulturen[[HF]:[Berechnungsgruppe]],'#Frucht'!$G$1,FALSE))</f>
        <v>90</v>
      </c>
      <c r="J23" s="505">
        <f t="shared" si="195"/>
        <v>2</v>
      </c>
      <c r="K23" s="505">
        <f>IF('Flächen u. Kulturen'!P19="",0,IF(VLOOKUP('Flächen u. Kulturen'!P19,Kulturen[[HF]:[Saat Winterungen]],'#Frucht'!$P$1,FALSE)&gt;0,1,2))</f>
        <v>2</v>
      </c>
      <c r="L23" s="875">
        <f>'#BerechnungDBE'!AF14</f>
        <v>0</v>
      </c>
      <c r="M23" s="875">
        <f>IF('Flächen u. Kulturen'!L19="",0,VLOOKUP('Flächen u. Kulturen'!L19,Nebenkultur[[Nebenkultur]:[Legum. Zwischenfr.]],'#Zweitfr'!$K$1,FALSE))</f>
        <v>0</v>
      </c>
      <c r="N23" s="875">
        <f>'#BerechnungDBE'!AG14</f>
        <v>0</v>
      </c>
      <c r="P23" s="57">
        <f t="shared" si="0"/>
        <v>0</v>
      </c>
      <c r="Q23" s="57">
        <f t="shared" si="1"/>
        <v>0</v>
      </c>
      <c r="R23" s="875">
        <f t="shared" si="2"/>
        <v>0</v>
      </c>
      <c r="S23" s="938" t="str">
        <f t="shared" si="3"/>
        <v/>
      </c>
      <c r="T23" s="875">
        <f t="shared" si="4"/>
        <v>0</v>
      </c>
      <c r="U23" s="875">
        <f t="shared" si="5"/>
        <v>0</v>
      </c>
      <c r="V23" s="875">
        <f t="shared" si="6"/>
        <v>0</v>
      </c>
      <c r="W23" s="875">
        <f t="shared" si="7"/>
        <v>0</v>
      </c>
      <c r="X23" s="875">
        <f t="shared" si="8"/>
        <v>0</v>
      </c>
      <c r="Y23" s="875">
        <f t="shared" si="349"/>
        <v>0</v>
      </c>
      <c r="Z23" s="875">
        <f t="shared" si="350"/>
        <v>0</v>
      </c>
      <c r="AA23" s="910">
        <f t="shared" si="9"/>
        <v>0</v>
      </c>
      <c r="AB23" s="57">
        <f t="shared" si="351"/>
        <v>0</v>
      </c>
      <c r="AC23" s="875">
        <f t="shared" si="10"/>
        <v>0</v>
      </c>
      <c r="AD23" s="875">
        <f t="shared" si="11"/>
        <v>0</v>
      </c>
      <c r="AE23" s="875">
        <f t="shared" si="12"/>
        <v>0</v>
      </c>
      <c r="AF23" s="875">
        <f t="shared" si="352"/>
        <v>0</v>
      </c>
      <c r="AG23" s="875">
        <f>'org. Düngung 22'!J22</f>
        <v>0</v>
      </c>
      <c r="AH23" s="875">
        <f>'org. Düngung 22'!K22</f>
        <v>0</v>
      </c>
      <c r="AJ23" s="713">
        <f>'org. Düngung 22'!L22</f>
        <v>0</v>
      </c>
      <c r="AK23" s="57"/>
      <c r="AL23" s="57"/>
      <c r="AM23" s="57">
        <f t="shared" si="196"/>
        <v>0</v>
      </c>
      <c r="AN23" s="57">
        <f t="shared" si="197"/>
        <v>0</v>
      </c>
      <c r="AO23" s="57">
        <f t="shared" si="198"/>
        <v>0</v>
      </c>
      <c r="AP23" s="57">
        <f t="shared" si="199"/>
        <v>0</v>
      </c>
      <c r="AQ23" s="57">
        <f t="shared" si="200"/>
        <v>0</v>
      </c>
      <c r="AR23" s="1029">
        <f t="shared" si="14"/>
        <v>0</v>
      </c>
      <c r="AS23" s="57">
        <f t="shared" si="15"/>
        <v>0</v>
      </c>
      <c r="AT23" s="171" t="str">
        <f t="shared" si="16"/>
        <v/>
      </c>
      <c r="AU23" s="57">
        <f t="shared" si="201"/>
        <v>0</v>
      </c>
      <c r="AV23" s="57">
        <f>IF(OR(AND(AJ$6=1,$L23=0),AND(AJ$6=2,$K23=2,$G23=1)),0,IF(AND(AL$9=2,(OR($F23&gt;1,$K23=1,AND($L23=80,OR($N23=1,AND($N23=2,'#BerechnungDBE'!$AL14&gt;0)))))),IF(AJ$4&gt;=$AD$126,0,AT23),IF(AL$9=3,IF(OR(AJ$4&gt;=$AD$127,AND($G23=1,$J23=2,AJ$6=2),AND(AJ$6=1,$N23&lt;&gt;1)),0,IF(AN23&lt;=120,AT23,IF(AJ$4&lt;$AD$124,IF($F23=1,60/AL$4*AL$6,60/AL$4*AL$7),IF($F23=1,120/AL$4*AL$6,120/AL$4*AL$7)))),IF(OR($F23=3,$G23=2),IF(OR(AND(AJ$4&gt;=$AD$119,$C23=2),AND(AJ$4&gt;=$AF$119,$C23=1)),0,IF(AN23&lt;=60,AT23,60/AL$4*AL$7)),IF(AND($F23=2,$G23=1),AT23,0)))))</f>
        <v>0</v>
      </c>
      <c r="AW23" s="57" t="str">
        <f t="shared" si="202"/>
        <v/>
      </c>
      <c r="AX23" s="57" t="str">
        <f t="shared" si="17"/>
        <v/>
      </c>
      <c r="AY23" s="713">
        <f>'org. Düngung 22'!P22</f>
        <v>0</v>
      </c>
      <c r="AZ23" s="57"/>
      <c r="BA23" s="57"/>
      <c r="BB23" s="57">
        <f t="shared" si="18"/>
        <v>0</v>
      </c>
      <c r="BC23" s="57">
        <f t="shared" si="203"/>
        <v>0</v>
      </c>
      <c r="BD23" s="57">
        <f t="shared" si="204"/>
        <v>0</v>
      </c>
      <c r="BE23" s="57">
        <f t="shared" si="205"/>
        <v>0</v>
      </c>
      <c r="BF23" s="57">
        <f t="shared" si="206"/>
        <v>0</v>
      </c>
      <c r="BG23" s="1029">
        <f t="shared" si="19"/>
        <v>0</v>
      </c>
      <c r="BH23" s="57">
        <f t="shared" si="20"/>
        <v>0</v>
      </c>
      <c r="BI23" s="171" t="str">
        <f t="shared" si="21"/>
        <v/>
      </c>
      <c r="BJ23" s="57">
        <f t="shared" si="207"/>
        <v>0</v>
      </c>
      <c r="BK23" s="57">
        <f>IF(OR(AND(AY$6=1,$L23=0),AND(AY$6=2,$K23=2,$G23=1)),0,IF(AND(BA$9=2,(OR($F23&gt;1,$K23=1,AND($L23=80,OR($N23=1,AND($N23=2,'#BerechnungDBE'!$AL14&gt;0)))))),IF(AY$4&gt;=$AD$126,0,BI23),IF(BA$9=3,IF(OR(AY$4&gt;=$AD$127,AND($G23=1,$J23=2,AY$6=2),AND(AY$6=1,$N23&lt;&gt;1)),0,IF(BC23&lt;=120,BI23,IF(AY$4&lt;$AD$124,IF($F23=1,60/BA$4*BA$6,60/BA$4*BA$7),IF($F23=1,120/BA$4*BA$6,120/BA$4*BA$7)))),IF(OR($F23=3,$G23=2),IF(OR(AND(AY$4&gt;=$AD$119,$C23=2),AND(AY$4&gt;=$AF$119,$C23=1)),0,IF(BC23&lt;=60,BI23,60/BA$4*BA$7)),IF(AND($F23=2,$G23=1),BI23,0)))))</f>
        <v>0</v>
      </c>
      <c r="BL23" s="57" t="str">
        <f t="shared" si="22"/>
        <v/>
      </c>
      <c r="BM23" s="57" t="str">
        <f t="shared" si="23"/>
        <v/>
      </c>
      <c r="BN23" s="713">
        <f>'org. Düngung 22'!T22</f>
        <v>0</v>
      </c>
      <c r="BO23" s="57"/>
      <c r="BP23" s="57"/>
      <c r="BQ23" s="57">
        <f t="shared" si="24"/>
        <v>0</v>
      </c>
      <c r="BR23" s="57">
        <f t="shared" si="208"/>
        <v>0</v>
      </c>
      <c r="BS23" s="57">
        <f t="shared" si="209"/>
        <v>0</v>
      </c>
      <c r="BT23" s="57">
        <f t="shared" si="210"/>
        <v>0</v>
      </c>
      <c r="BU23" s="57">
        <f t="shared" si="211"/>
        <v>0</v>
      </c>
      <c r="BV23" s="1029">
        <f t="shared" si="25"/>
        <v>0</v>
      </c>
      <c r="BW23" s="57">
        <f t="shared" si="26"/>
        <v>0</v>
      </c>
      <c r="BX23" s="171" t="str">
        <f t="shared" si="27"/>
        <v/>
      </c>
      <c r="BY23" s="57">
        <f t="shared" si="212"/>
        <v>0</v>
      </c>
      <c r="BZ23" s="57">
        <f>IF(OR(AND(BN$6=1,$L23=0),AND(BN$6=2,$K23=2,$G23=1)),0,IF(AND(BP$9=2,(OR($F23&gt;1,$K23=1,AND($L23=80,OR($N23=1,AND($N23=2,'#BerechnungDBE'!$AL14&gt;0)))))),IF(BN$4&gt;=$AD$126,0,BX23),IF(BP$9=3,IF(OR(BN$4&gt;=$AD$127,AND($G23=1,$J23=2,BN$6=2),AND(BN$6=1,$N23&lt;&gt;1)),0,IF(BR23&lt;=120,BX23,IF(BN$4&lt;$AD$124,IF($F23=1,60/BP$4*BP$6,60/BP$4*BP$7),IF($F23=1,120/BP$4*BP$6,120/BP$4*BP$7)))),IF(OR($F23=3,$G23=2),IF(OR(AND(BN$4&gt;=$AD$119,$C23=2),AND(BN$4&gt;=$AF$119,$C23=1)),0,IF(BR23&lt;=60,BX23,60/BP$4*BP$7)),IF(AND($F23=2,$G23=1),BX23,0)))))</f>
        <v>0</v>
      </c>
      <c r="CA23" s="57" t="str">
        <f t="shared" si="28"/>
        <v/>
      </c>
      <c r="CB23" s="57" t="str">
        <f t="shared" si="29"/>
        <v/>
      </c>
      <c r="CC23" s="713">
        <f>'org. Düngung 22'!X22</f>
        <v>0</v>
      </c>
      <c r="CD23" s="57"/>
      <c r="CE23" s="57"/>
      <c r="CF23" s="57">
        <f t="shared" si="30"/>
        <v>0</v>
      </c>
      <c r="CG23" s="57">
        <f t="shared" si="213"/>
        <v>0</v>
      </c>
      <c r="CH23" s="57">
        <f t="shared" si="214"/>
        <v>0</v>
      </c>
      <c r="CI23" s="57">
        <f t="shared" si="215"/>
        <v>0</v>
      </c>
      <c r="CJ23" s="57">
        <f t="shared" si="216"/>
        <v>0</v>
      </c>
      <c r="CK23" s="1029">
        <f t="shared" si="31"/>
        <v>0</v>
      </c>
      <c r="CL23" s="57">
        <f t="shared" si="32"/>
        <v>0</v>
      </c>
      <c r="CM23" s="171" t="str">
        <f t="shared" si="33"/>
        <v/>
      </c>
      <c r="CN23" s="57">
        <f t="shared" si="217"/>
        <v>0</v>
      </c>
      <c r="CO23" s="57">
        <f>IF(OR(AND(CC$6=1,$L23=0),AND(CC$6=2,$K23=2,$G23=1)),0,IF(AND(CE$9=2,(OR($F23&gt;1,$K23=1,AND($L23=80,OR($N23=1,AND($N23=2,'#BerechnungDBE'!$AL14&gt;0)))))),IF(CC$4&gt;=$AD$126,0,CM23),IF(CE$9=3,IF(OR(CC$4&gt;=$AD$127,AND($G23=1,$J23=2,CC$6=2),AND(CC$6=1,$N23&lt;&gt;1)),0,IF(CG23&lt;=120,CM23,IF(CC$4&lt;$AD$124,IF($F23=1,60/CE$4*CE$6,60/CE$4*CE$7),IF($F23=1,120/CE$4*CE$6,120/CE$4*CE$7)))),IF(OR($F23=3,$G23=2),IF(OR(AND(CC$4&gt;=$AD$119,$C23=2),AND(CC$4&gt;=$AF$119,$C23=1)),0,IF(CG23&lt;=60,CM23,60/CE$4*CE$7)),IF(AND($F23=2,$G23=1),CM23,0)))))</f>
        <v>0</v>
      </c>
      <c r="CP23" s="57" t="str">
        <f t="shared" si="34"/>
        <v/>
      </c>
      <c r="CQ23" s="57" t="str">
        <f t="shared" si="35"/>
        <v/>
      </c>
      <c r="CR23" s="713">
        <f>'org. Düngung 22'!AB22</f>
        <v>0</v>
      </c>
      <c r="CS23" s="57"/>
      <c r="CT23" s="57"/>
      <c r="CU23" s="57">
        <f t="shared" si="36"/>
        <v>0</v>
      </c>
      <c r="CV23" s="57">
        <f t="shared" si="218"/>
        <v>0</v>
      </c>
      <c r="CW23" s="57">
        <f t="shared" si="219"/>
        <v>0</v>
      </c>
      <c r="CX23" s="57">
        <f t="shared" si="220"/>
        <v>0</v>
      </c>
      <c r="CY23" s="57">
        <f t="shared" si="221"/>
        <v>0</v>
      </c>
      <c r="CZ23" s="1029">
        <f t="shared" si="37"/>
        <v>0</v>
      </c>
      <c r="DA23" s="57">
        <f t="shared" si="38"/>
        <v>0</v>
      </c>
      <c r="DB23" s="171" t="str">
        <f t="shared" si="39"/>
        <v/>
      </c>
      <c r="DC23" s="57">
        <f t="shared" si="222"/>
        <v>0</v>
      </c>
      <c r="DD23" s="57">
        <f>IF(OR(AND(CR$6=1,$L23=0),AND(CR$6=2,$K23=2,$G23=1)),0,IF(AND(CT$9=2,(OR($F23&gt;1,$K23=1,AND($L23=80,OR($N23=1,AND($N23=2,'#BerechnungDBE'!$AL14&gt;0)))))),IF(CR$4&gt;=$AD$126,0,DB23),IF(CT$9=3,IF(OR(CR$4&gt;=$AD$127,AND($G23=1,$J23=2,CR$6=2),AND(CR$6=1,$N23&lt;&gt;1)),0,IF(CV23&lt;=120,DB23,IF(CR$4&lt;$AD$124,IF($F23=1,60/CT$4*CT$6,60/CT$4*CT$7),IF($F23=1,120/CT$4*CT$6,120/CT$4*CT$7)))),IF(OR($F23=3,$G23=2),IF(OR(AND(CR$4&gt;=$AD$119,$C23=2),AND(CR$4&gt;=$AF$119,$C23=1)),0,IF(CV23&lt;=60,DB23,60/CT$4*CT$7)),IF(AND($F23=2,$G23=1),DB23,0)))))</f>
        <v>0</v>
      </c>
      <c r="DE23" s="57" t="str">
        <f t="shared" si="40"/>
        <v/>
      </c>
      <c r="DF23" s="57" t="str">
        <f t="shared" si="41"/>
        <v/>
      </c>
      <c r="DG23" s="713">
        <f>'org. Düngung 22'!AF22</f>
        <v>0</v>
      </c>
      <c r="DH23" s="57"/>
      <c r="DI23" s="57"/>
      <c r="DJ23" s="57">
        <f t="shared" si="42"/>
        <v>0</v>
      </c>
      <c r="DK23" s="57">
        <f t="shared" si="223"/>
        <v>0</v>
      </c>
      <c r="DL23" s="57">
        <f t="shared" si="224"/>
        <v>0</v>
      </c>
      <c r="DM23" s="57">
        <f t="shared" si="225"/>
        <v>0</v>
      </c>
      <c r="DN23" s="57">
        <f t="shared" si="226"/>
        <v>0</v>
      </c>
      <c r="DO23" s="1029">
        <f t="shared" si="43"/>
        <v>0</v>
      </c>
      <c r="DP23" s="57">
        <f t="shared" si="44"/>
        <v>0</v>
      </c>
      <c r="DQ23" s="171" t="str">
        <f t="shared" si="45"/>
        <v/>
      </c>
      <c r="DR23" s="57">
        <f t="shared" si="227"/>
        <v>0</v>
      </c>
      <c r="DS23" s="57">
        <f>IF(OR(AND(DG$6=1,$L23=0),AND(DG$6=2,$K23=2,$G23=1)),0,IF(AND(DI$9=2,(OR($F23&gt;1,$K23=1,AND($L23=80,OR($N23=1,AND($N23=2,'#BerechnungDBE'!$AL14&gt;0)))))),IF(DG$4&gt;=$AD$126,0,DQ23),IF(DI$9=3,IF(OR(DG$4&gt;=$AD$127,AND($G23=1,$J23=2,DG$6=2),AND(DG$6=1,$N23&lt;&gt;1)),0,IF(DK23&lt;=120,DQ23,IF(DG$4&lt;$AD$124,IF($F23=1,60/DI$4*DI$6,60/DI$4*DI$7),IF($F23=1,120/DI$4*DI$6,120/DI$4*DI$7)))),IF(OR($F23=3,$G23=2),IF(OR(AND(DG$4&gt;=$AD$119,$C23=2),AND(DG$4&gt;=$AF$119,$C23=1)),0,IF(DK23&lt;=60,DQ23,60/DI$4*DI$7)),IF(AND($F23=2,$G23=1),DQ23,0)))))</f>
        <v>0</v>
      </c>
      <c r="DT23" s="57" t="str">
        <f t="shared" si="46"/>
        <v/>
      </c>
      <c r="DU23" s="57" t="str">
        <f t="shared" si="47"/>
        <v/>
      </c>
      <c r="DV23" s="713">
        <f>'org. Düngung 22'!AJ22</f>
        <v>0</v>
      </c>
      <c r="DW23" s="57"/>
      <c r="DX23" s="57"/>
      <c r="DY23" s="57">
        <f t="shared" si="48"/>
        <v>0</v>
      </c>
      <c r="DZ23" s="57">
        <f t="shared" si="228"/>
        <v>0</v>
      </c>
      <c r="EA23" s="57">
        <f t="shared" si="229"/>
        <v>0</v>
      </c>
      <c r="EB23" s="57">
        <f t="shared" si="230"/>
        <v>0</v>
      </c>
      <c r="EC23" s="57">
        <f t="shared" si="231"/>
        <v>0</v>
      </c>
      <c r="ED23" s="1029">
        <f t="shared" si="49"/>
        <v>0</v>
      </c>
      <c r="EE23" s="57">
        <f t="shared" si="50"/>
        <v>0</v>
      </c>
      <c r="EF23" s="171" t="str">
        <f t="shared" si="51"/>
        <v/>
      </c>
      <c r="EG23" s="57">
        <f t="shared" si="232"/>
        <v>0</v>
      </c>
      <c r="EH23" s="57">
        <f>IF(OR(AND(DV$6=1,$L23=0),AND(DV$6=2,$K23=2,$G23=1)),0,IF(AND(DX$9=2,(OR($F23&gt;1,$K23=1,AND($L23=80,OR($N23=1,AND($N23=2,'#BerechnungDBE'!$AL14&gt;0)))))),IF(DV$4&gt;=$AD$126,0,EF23),IF(DX$9=3,IF(OR(DV$4&gt;=$AD$127,AND($G23=1,$J23=2,DV$6=2),AND(DV$6=1,$N23&lt;&gt;1)),0,IF(DZ23&lt;=120,EF23,IF(DV$4&lt;$AD$124,IF($F23=1,60/DX$4*DX$6,60/DX$4*DX$7),IF($F23=1,120/DX$4*DX$6,120/DX$4*DX$7)))),IF(OR($F23=3,$G23=2),IF(OR(AND(DV$4&gt;=$AD$119,$C23=2),AND(DV$4&gt;=$AF$119,$C23=1)),0,IF(DZ23&lt;=60,EF23,60/DX$4*DX$7)),IF(AND($F23=2,$G23=1),EF23,0)))))</f>
        <v>0</v>
      </c>
      <c r="EI23" s="57" t="str">
        <f t="shared" si="52"/>
        <v/>
      </c>
      <c r="EJ23" s="57" t="str">
        <f t="shared" si="53"/>
        <v/>
      </c>
      <c r="EK23" s="713">
        <f>'org. Düngung 22'!AN22</f>
        <v>0</v>
      </c>
      <c r="EL23" s="57"/>
      <c r="EM23" s="57"/>
      <c r="EN23" s="57">
        <f t="shared" si="54"/>
        <v>0</v>
      </c>
      <c r="EO23" s="57">
        <f t="shared" si="233"/>
        <v>0</v>
      </c>
      <c r="EP23" s="57">
        <f t="shared" si="234"/>
        <v>0</v>
      </c>
      <c r="EQ23" s="57">
        <f t="shared" si="235"/>
        <v>0</v>
      </c>
      <c r="ER23" s="57">
        <f t="shared" si="236"/>
        <v>0</v>
      </c>
      <c r="ES23" s="1029">
        <f t="shared" si="55"/>
        <v>0</v>
      </c>
      <c r="ET23" s="57">
        <f t="shared" si="56"/>
        <v>0</v>
      </c>
      <c r="EU23" s="171" t="str">
        <f t="shared" si="57"/>
        <v/>
      </c>
      <c r="EV23" s="57">
        <f t="shared" si="237"/>
        <v>0</v>
      </c>
      <c r="EW23" s="57">
        <f>IF(OR(AND(EK$6=1,$L23=0),AND(EK$6=2,$K23=2,$G23=1)),0,IF(AND(EM$9=2,(OR($F23&gt;1,$K23=1,AND($L23=80,OR($N23=1,AND($N23=2,'#BerechnungDBE'!$AL14&gt;0)))))),IF(EK$4&gt;=$AD$126,0,EU23),IF(EM$9=3,IF(OR(EK$4&gt;=$AD$127,AND($G23=1,$J23=2,EK$6=2),AND(EK$6=1,$N23&lt;&gt;1)),0,IF(EO23&lt;=120,EU23,IF(EK$4&lt;$AD$124,IF($F23=1,60/EM$4*EM$6,60/EM$4*EM$7),IF($F23=1,120/EM$4*EM$6,120/EM$4*EM$7)))),IF(OR($F23=3,$G23=2),IF(OR(AND(EK$4&gt;=$AD$119,$C23=2),AND(EK$4&gt;=$AF$119,$C23=1)),0,IF(EO23&lt;=60,EU23,60/EM$4*EM$7)),IF(AND($F23=2,$G23=1),EU23,0)))))</f>
        <v>0</v>
      </c>
      <c r="EX23" s="57" t="str">
        <f t="shared" si="58"/>
        <v/>
      </c>
      <c r="EY23" s="57" t="str">
        <f t="shared" si="59"/>
        <v/>
      </c>
      <c r="EZ23" s="713">
        <f>'org. Düngung 22'!AR22</f>
        <v>0</v>
      </c>
      <c r="FA23" s="57"/>
      <c r="FB23" s="57"/>
      <c r="FC23" s="57">
        <f t="shared" si="60"/>
        <v>0</v>
      </c>
      <c r="FD23" s="57">
        <f t="shared" si="238"/>
        <v>0</v>
      </c>
      <c r="FE23" s="57">
        <f t="shared" si="239"/>
        <v>0</v>
      </c>
      <c r="FF23" s="57">
        <f t="shared" si="240"/>
        <v>0</v>
      </c>
      <c r="FG23" s="57">
        <f t="shared" si="241"/>
        <v>0</v>
      </c>
      <c r="FH23" s="1029">
        <f t="shared" si="61"/>
        <v>0</v>
      </c>
      <c r="FI23" s="57">
        <f t="shared" si="62"/>
        <v>0</v>
      </c>
      <c r="FJ23" s="171" t="str">
        <f t="shared" si="63"/>
        <v/>
      </c>
      <c r="FK23" s="57">
        <f t="shared" si="242"/>
        <v>0</v>
      </c>
      <c r="FL23" s="57">
        <f>IF(OR(AND(EZ$6=1,$L23=0),AND(EZ$6=2,$K23=2,$G23=1)),0,IF(AND(FB$9=2,(OR($F23&gt;1,$K23=1,AND($L23=80,OR($N23=1,AND($N23=2,'#BerechnungDBE'!$AL14&gt;0)))))),IF(EZ$4&gt;=$AD$126,0,FJ23),IF(FB$9=3,IF(OR(EZ$4&gt;=$AD$127,AND($G23=1,$J23=2,EZ$6=2),AND(EZ$6=1,$N23&lt;&gt;1)),0,IF(FD23&lt;=120,FJ23,IF(EZ$4&lt;$AD$124,IF($F23=1,60/FB$4*FB$6,60/FB$4*FB$7),IF($F23=1,120/FB$4*FB$6,120/FB$4*FB$7)))),IF(OR($F23=3,$G23=2),IF(OR(AND(EZ$4&gt;=$AD$119,$C23=2),AND(EZ$4&gt;=$AF$119,$C23=1)),0,IF(FD23&lt;=60,FJ23,60/FB$4*FB$7)),IF(AND($F23=2,$G23=1),FJ23,0)))))</f>
        <v>0</v>
      </c>
      <c r="FM23" s="57" t="str">
        <f t="shared" si="64"/>
        <v/>
      </c>
      <c r="FN23" s="57" t="str">
        <f t="shared" si="65"/>
        <v/>
      </c>
      <c r="FO23" s="713">
        <f>'org. Düngung 22'!AV22</f>
        <v>0</v>
      </c>
      <c r="FP23" s="57"/>
      <c r="FQ23" s="57"/>
      <c r="FR23" s="57">
        <f t="shared" si="66"/>
        <v>0</v>
      </c>
      <c r="FS23" s="57">
        <f t="shared" si="243"/>
        <v>0</v>
      </c>
      <c r="FT23" s="57">
        <f t="shared" si="244"/>
        <v>0</v>
      </c>
      <c r="FU23" s="57">
        <f t="shared" si="245"/>
        <v>0</v>
      </c>
      <c r="FV23" s="57">
        <f t="shared" si="246"/>
        <v>0</v>
      </c>
      <c r="FW23" s="1029">
        <f t="shared" si="67"/>
        <v>0</v>
      </c>
      <c r="FX23" s="57">
        <f t="shared" si="68"/>
        <v>0</v>
      </c>
      <c r="FY23" s="171" t="str">
        <f t="shared" si="69"/>
        <v/>
      </c>
      <c r="FZ23" s="57">
        <f t="shared" si="247"/>
        <v>0</v>
      </c>
      <c r="GA23" s="57">
        <f>IF(OR(AND(FO$6=1,$L23=0),AND(FO$6=2,$K23=2,$G23=1)),0,IF(AND(FQ$9=2,(OR($F23&gt;1,$K23=1,AND($L23=80,OR($N23=1,AND($N23=2,'#BerechnungDBE'!$AL14&gt;0)))))),IF(FO$4&gt;=$AD$126,0,FY23),IF(FQ$9=3,IF(OR(FO$4&gt;=$AD$127,AND($G23=1,$J23=2,FO$6=2),AND(FO$6=1,$N23&lt;&gt;1)),0,IF(FS23&lt;=120,FY23,IF(FO$4&lt;$AD$124,IF($F23=1,60/FQ$4*FQ$6,60/FQ$4*FQ$7),IF($F23=1,120/FQ$4*FQ$6,120/FQ$4*FQ$7)))),IF(OR($F23=3,$G23=2),IF(OR(AND(FO$4&gt;=$AD$119,$C23=2),AND(FO$4&gt;=$AF$119,$C23=1)),0,IF(FS23&lt;=60,FY23,60/FQ$4*FQ$7)),IF(AND($F23=2,$G23=1),FY23,0)))))</f>
        <v>0</v>
      </c>
      <c r="GB23" s="57" t="str">
        <f t="shared" si="70"/>
        <v/>
      </c>
      <c r="GC23" s="57" t="str">
        <f t="shared" si="71"/>
        <v/>
      </c>
      <c r="GD23" s="713">
        <f>'org. Düngung 22'!AZ22</f>
        <v>0</v>
      </c>
      <c r="GE23" s="57"/>
      <c r="GF23" s="57"/>
      <c r="GG23" s="57">
        <f t="shared" si="72"/>
        <v>0</v>
      </c>
      <c r="GH23" s="57">
        <f t="shared" si="248"/>
        <v>0</v>
      </c>
      <c r="GI23" s="57">
        <f t="shared" si="249"/>
        <v>0</v>
      </c>
      <c r="GJ23" s="57">
        <f t="shared" si="250"/>
        <v>0</v>
      </c>
      <c r="GK23" s="57">
        <f t="shared" si="251"/>
        <v>0</v>
      </c>
      <c r="GL23" s="1029">
        <f t="shared" si="73"/>
        <v>0</v>
      </c>
      <c r="GM23" s="57">
        <f t="shared" si="74"/>
        <v>0</v>
      </c>
      <c r="GN23" s="171" t="str">
        <f t="shared" si="75"/>
        <v/>
      </c>
      <c r="GO23" s="57">
        <f t="shared" si="252"/>
        <v>0</v>
      </c>
      <c r="GP23" s="57">
        <f>IF(OR(AND(GD$6=1,$L23=0),AND(GD$6=2,$K23=2,$G23=1)),0,IF(AND(GF$9=2,(OR($F23&gt;1,$K23=1,AND($L23=80,OR($N23=1,AND($N23=2,'#BerechnungDBE'!$AL14&gt;0)))))),IF(GD$4&gt;=$AD$126,0,GN23),IF(GF$9=3,IF(OR(GD$4&gt;=$AD$127,AND($G23=1,$J23=2,GD$6=2),AND(GD$6=1,$N23&lt;&gt;1)),0,IF(GH23&lt;=120,GN23,IF(GD$4&lt;$AD$124,IF($F23=1,60/GF$4*GF$6,60/GF$4*GF$7),IF($F23=1,120/GF$4*GF$6,120/GF$4*GF$7)))),IF(OR($F23=3,$G23=2),IF(OR(AND(GD$4&gt;=$AD$119,$C23=2),AND(GD$4&gt;=$AF$119,$C23=1)),0,IF(GH23&lt;=60,GN23,60/GF$4*GF$7)),IF(AND($F23=2,$G23=1),GN23,0)))))</f>
        <v>0</v>
      </c>
      <c r="GQ23" s="57" t="str">
        <f t="shared" si="76"/>
        <v/>
      </c>
      <c r="GR23" s="57" t="str">
        <f t="shared" si="77"/>
        <v/>
      </c>
      <c r="GS23" s="713">
        <f>'org. Düngung 22'!BD22</f>
        <v>0</v>
      </c>
      <c r="GT23" s="57"/>
      <c r="GU23" s="57"/>
      <c r="GV23" s="57">
        <f t="shared" si="78"/>
        <v>0</v>
      </c>
      <c r="GW23" s="57">
        <f t="shared" si="253"/>
        <v>0</v>
      </c>
      <c r="GX23" s="57">
        <f t="shared" si="254"/>
        <v>0</v>
      </c>
      <c r="GY23" s="57">
        <f t="shared" si="255"/>
        <v>0</v>
      </c>
      <c r="GZ23" s="57">
        <f t="shared" si="256"/>
        <v>0</v>
      </c>
      <c r="HA23" s="1029">
        <f t="shared" si="79"/>
        <v>0</v>
      </c>
      <c r="HB23" s="57">
        <f t="shared" si="80"/>
        <v>0</v>
      </c>
      <c r="HC23" s="171" t="str">
        <f t="shared" si="81"/>
        <v/>
      </c>
      <c r="HD23" s="57">
        <f t="shared" si="257"/>
        <v>0</v>
      </c>
      <c r="HE23" s="57">
        <f>IF(OR(AND(GS$6=1,$L23=0),AND(GS$6=2,$K23=2,$G23=1)),0,IF(AND(GU$9=2,(OR($F23&gt;1,$K23=1,AND($L23=80,OR($N23=1,AND($N23=2,'#BerechnungDBE'!$AL14&gt;0)))))),IF(GS$4&gt;=$AD$126,0,HC23),IF(GU$9=3,IF(OR(GS$4&gt;=$AD$127,AND($G23=1,$J23=2,GS$6=2),AND(GS$6=1,$N23&lt;&gt;1)),0,IF(GW23&lt;=120,HC23,IF(GS$4&lt;$AD$124,IF($F23=1,60/GU$4*GU$6,60/GU$4*GU$7),IF($F23=1,120/GU$4*GU$6,120/GU$4*GU$7)))),IF(OR($F23=3,$G23=2),IF(OR(AND(GS$4&gt;=$AD$119,$C23=2),AND(GS$4&gt;=$AF$119,$C23=1)),0,IF(GW23&lt;=60,HC23,60/GU$4*GU$7)),IF(AND($F23=2,$G23=1),HC23,0)))))</f>
        <v>0</v>
      </c>
      <c r="HF23" s="57" t="str">
        <f t="shared" si="82"/>
        <v/>
      </c>
      <c r="HG23" s="57" t="str">
        <f t="shared" si="83"/>
        <v/>
      </c>
      <c r="HH23" s="713">
        <f>'org. Düngung 22'!BH22</f>
        <v>0</v>
      </c>
      <c r="HI23" s="57"/>
      <c r="HJ23" s="57"/>
      <c r="HK23" s="57">
        <f t="shared" si="84"/>
        <v>0</v>
      </c>
      <c r="HL23" s="57">
        <f t="shared" si="258"/>
        <v>0</v>
      </c>
      <c r="HM23" s="57">
        <f t="shared" si="259"/>
        <v>0</v>
      </c>
      <c r="HN23" s="57">
        <f t="shared" si="260"/>
        <v>0</v>
      </c>
      <c r="HO23" s="57">
        <f t="shared" si="261"/>
        <v>0</v>
      </c>
      <c r="HP23" s="1029">
        <f t="shared" si="85"/>
        <v>0</v>
      </c>
      <c r="HQ23" s="57">
        <f t="shared" si="86"/>
        <v>0</v>
      </c>
      <c r="HR23" s="171" t="str">
        <f t="shared" si="87"/>
        <v/>
      </c>
      <c r="HS23" s="57">
        <f t="shared" si="262"/>
        <v>0</v>
      </c>
      <c r="HT23" s="57">
        <f>IF(OR(AND(HH$6=1,$L23=0),AND(HH$6=2,$K23=2,$G23=1)),0,IF(AND(HJ$9=2,(OR($F23&gt;1,$K23=1,AND($L23=80,OR($N23=1,AND($N23=2,'#BerechnungDBE'!$AL14&gt;0)))))),IF(HH$4&gt;=$AD$126,0,HR23),IF(HJ$9=3,IF(OR(HH$4&gt;=$AD$127,AND($G23=1,$J23=2,HH$6=2),AND(HH$6=1,$N23&lt;&gt;1)),0,IF(HL23&lt;=120,HR23,IF(HH$4&lt;$AD$124,IF($F23=1,60/HJ$4*HJ$6,60/HJ$4*HJ$7),IF($F23=1,120/HJ$4*HJ$6,120/HJ$4*HJ$7)))),IF(OR($F23=3,$G23=2),IF(OR(AND(HH$4&gt;=$AD$119,$C23=2),AND(HH$4&gt;=$AF$119,$C23=1)),0,IF(HL23&lt;=60,HR23,60/HJ$4*HJ$7)),IF(AND($F23=2,$G23=1),HR23,0)))))</f>
        <v>0</v>
      </c>
      <c r="HU23" s="57" t="str">
        <f t="shared" si="88"/>
        <v/>
      </c>
      <c r="HV23" s="57" t="str">
        <f t="shared" si="89"/>
        <v/>
      </c>
      <c r="HW23" s="713">
        <f>'org. Düngung 22'!BL22</f>
        <v>0</v>
      </c>
      <c r="HX23" s="57"/>
      <c r="HY23" s="57"/>
      <c r="HZ23" s="57">
        <f t="shared" si="90"/>
        <v>0</v>
      </c>
      <c r="IA23" s="57">
        <f t="shared" si="263"/>
        <v>0</v>
      </c>
      <c r="IB23" s="57">
        <f t="shared" si="264"/>
        <v>0</v>
      </c>
      <c r="IC23" s="57">
        <f t="shared" si="265"/>
        <v>0</v>
      </c>
      <c r="ID23" s="57">
        <f t="shared" si="266"/>
        <v>0</v>
      </c>
      <c r="IE23" s="1029">
        <f t="shared" si="91"/>
        <v>0</v>
      </c>
      <c r="IF23" s="57">
        <f t="shared" si="92"/>
        <v>0</v>
      </c>
      <c r="IG23" s="171" t="str">
        <f t="shared" si="93"/>
        <v/>
      </c>
      <c r="IH23" s="57">
        <f t="shared" si="267"/>
        <v>0</v>
      </c>
      <c r="II23" s="57">
        <f>IF(OR(AND(HW$6=1,$L23=0),AND(HW$6=2,$K23=2,$G23=1)),0,IF(AND(HY$9=2,(OR($F23&gt;1,$K23=1,AND($L23=80,OR($N23=1,AND($N23=2,'#BerechnungDBE'!$AL14&gt;0)))))),IF(HW$4&gt;=$AD$126,0,IG23),IF(HY$9=3,IF(OR(HW$4&gt;=$AD$127,AND($G23=1,$J23=2,HW$6=2),AND(HW$6=1,$N23&lt;&gt;1)),0,IF(IA23&lt;=120,IG23,IF(HW$4&lt;$AD$124,IF($F23=1,60/HY$4*HY$6,60/HY$4*HY$7),IF($F23=1,120/HY$4*HY$6,120/HY$4*HY$7)))),IF(OR($F23=3,$G23=2),IF(OR(AND(HW$4&gt;=$AD$119,$C23=2),AND(HW$4&gt;=$AF$119,$C23=1)),0,IF(IA23&lt;=60,IG23,60/HY$4*HY$7)),IF(AND($F23=2,$G23=1),IG23,0)))))</f>
        <v>0</v>
      </c>
      <c r="IJ23" s="57" t="str">
        <f t="shared" si="94"/>
        <v/>
      </c>
      <c r="IK23" s="57" t="str">
        <f t="shared" si="95"/>
        <v/>
      </c>
      <c r="IL23" s="713">
        <f>'org. Düngung 22'!BP22</f>
        <v>0</v>
      </c>
      <c r="IM23" s="57"/>
      <c r="IN23" s="57"/>
      <c r="IO23" s="57">
        <f t="shared" si="96"/>
        <v>0</v>
      </c>
      <c r="IP23" s="57">
        <f t="shared" si="268"/>
        <v>0</v>
      </c>
      <c r="IQ23" s="57">
        <f t="shared" si="269"/>
        <v>0</v>
      </c>
      <c r="IR23" s="57">
        <f t="shared" si="270"/>
        <v>0</v>
      </c>
      <c r="IS23" s="57">
        <f t="shared" si="271"/>
        <v>0</v>
      </c>
      <c r="IT23" s="1029">
        <f t="shared" si="97"/>
        <v>0</v>
      </c>
      <c r="IU23" s="57">
        <f t="shared" si="98"/>
        <v>0</v>
      </c>
      <c r="IV23" s="171" t="str">
        <f t="shared" si="99"/>
        <v/>
      </c>
      <c r="IW23" s="57">
        <f t="shared" si="272"/>
        <v>0</v>
      </c>
      <c r="IX23" s="57">
        <f>IF(OR(AND(IL$6=1,$L23=0),AND(IL$6=2,$K23=2,$G23=1)),0,IF(AND(IN$9=2,(OR($F23&gt;1,$K23=1,AND($L23=80,OR($N23=1,AND($N23=2,'#BerechnungDBE'!$AL14&gt;0)))))),IF(IL$4&gt;=$AD$126,0,IV23),IF(IN$9=3,IF(OR(IL$4&gt;=$AD$127,AND($G23=1,$J23=2,IL$6=2),AND(IL$6=1,$N23&lt;&gt;1)),0,IF(IP23&lt;=120,IV23,IF(IL$4&lt;$AD$124,IF($F23=1,60/IN$4*IN$6,60/IN$4*IN$7),IF($F23=1,120/IN$4*IN$6,120/IN$4*IN$7)))),IF(OR($F23=3,$G23=2),IF(OR(AND(IL$4&gt;=$AD$119,$C23=2),AND(IL$4&gt;=$AF$119,$C23=1)),0,IF(IP23&lt;=60,IV23,60/IN$4*IN$7)),IF(AND($F23=2,$G23=1),IV23,0)))))</f>
        <v>0</v>
      </c>
      <c r="IY23" s="57" t="str">
        <f t="shared" si="100"/>
        <v/>
      </c>
      <c r="IZ23" s="57" t="str">
        <f t="shared" si="101"/>
        <v/>
      </c>
      <c r="JA23" s="713">
        <f>'org. Düngung 22'!BT22</f>
        <v>0</v>
      </c>
      <c r="JB23" s="57"/>
      <c r="JC23" s="57"/>
      <c r="JD23" s="57">
        <f t="shared" si="102"/>
        <v>0</v>
      </c>
      <c r="JE23" s="57">
        <f t="shared" si="273"/>
        <v>0</v>
      </c>
      <c r="JF23" s="57">
        <f t="shared" si="274"/>
        <v>0</v>
      </c>
      <c r="JG23" s="57">
        <f t="shared" si="275"/>
        <v>0</v>
      </c>
      <c r="JH23" s="57">
        <f t="shared" si="276"/>
        <v>0</v>
      </c>
      <c r="JI23" s="1029">
        <f t="shared" si="103"/>
        <v>0</v>
      </c>
      <c r="JJ23" s="57">
        <f t="shared" si="104"/>
        <v>0</v>
      </c>
      <c r="JK23" s="171" t="str">
        <f t="shared" si="105"/>
        <v/>
      </c>
      <c r="JL23" s="57">
        <f t="shared" si="277"/>
        <v>0</v>
      </c>
      <c r="JM23" s="57">
        <f>IF(OR(AND(JA$6=1,$L23=0),AND(JA$6=2,$K23=2,$G23=1)),0,IF(AND(JC$9=2,(OR($F23&gt;1,$K23=1,AND($L23=80,OR($N23=1,AND($N23=2,'#BerechnungDBE'!$AL14&gt;0)))))),IF(JA$4&gt;=$AD$126,0,JK23),IF(JC$9=3,IF(OR(JA$4&gt;=$AD$127,AND($G23=1,$J23=2,JA$6=2),AND(JA$6=1,$N23&lt;&gt;1)),0,IF(JE23&lt;=120,JK23,IF(JA$4&lt;$AD$124,IF($F23=1,60/JC$4*JC$6,60/JC$4*JC$7),IF($F23=1,120/JC$4*JC$6,120/JC$4*JC$7)))),IF(OR($F23=3,$G23=2),IF(OR(AND(JA$4&gt;=$AD$119,$C23=2),AND(JA$4&gt;=$AF$119,$C23=1)),0,IF(JE23&lt;=60,JK23,60/JC$4*JC$7)),IF(AND($F23=2,$G23=1),JK23,0)))))</f>
        <v>0</v>
      </c>
      <c r="JN23" s="57" t="str">
        <f t="shared" si="106"/>
        <v/>
      </c>
      <c r="JO23" s="57" t="str">
        <f t="shared" si="107"/>
        <v/>
      </c>
      <c r="JP23" s="713">
        <f>'org. Düngung 22'!BX22</f>
        <v>0</v>
      </c>
      <c r="JQ23" s="57"/>
      <c r="JR23" s="57"/>
      <c r="JS23" s="57">
        <f t="shared" si="108"/>
        <v>0</v>
      </c>
      <c r="JT23" s="57">
        <f t="shared" si="278"/>
        <v>0</v>
      </c>
      <c r="JU23" s="57">
        <f t="shared" si="279"/>
        <v>0</v>
      </c>
      <c r="JV23" s="57">
        <f t="shared" si="280"/>
        <v>0</v>
      </c>
      <c r="JW23" s="57">
        <f t="shared" si="281"/>
        <v>0</v>
      </c>
      <c r="JX23" s="1029">
        <f t="shared" si="109"/>
        <v>0</v>
      </c>
      <c r="JY23" s="57">
        <f t="shared" si="110"/>
        <v>0</v>
      </c>
      <c r="JZ23" s="171" t="str">
        <f t="shared" si="111"/>
        <v/>
      </c>
      <c r="KA23" s="57">
        <f t="shared" si="282"/>
        <v>0</v>
      </c>
      <c r="KB23" s="57">
        <f>IF(OR(AND(JP$6=1,$L23=0),AND(JP$6=2,$K23=2,$G23=1)),0,IF(AND(JR$9=2,(OR($F23&gt;1,$K23=1,AND($L23=80,OR($N23=1,AND($N23=2,'#BerechnungDBE'!$AL14&gt;0)))))),IF(JP$4&gt;=$AD$126,0,JZ23),IF(JR$9=3,IF(OR(JP$4&gt;=$AD$127,AND($G23=1,$J23=2,JP$6=2),AND(JP$6=1,$N23&lt;&gt;1)),0,IF(JT23&lt;=120,JZ23,IF(JP$4&lt;$AD$124,IF($F23=1,60/JR$4*JR$6,60/JR$4*JR$7),IF($F23=1,120/JR$4*JR$6,120/JR$4*JR$7)))),IF(OR($F23=3,$G23=2),IF(OR(AND(JP$4&gt;=$AD$119,$C23=2),AND(JP$4&gt;=$AF$119,$C23=1)),0,IF(JT23&lt;=60,JZ23,60/JR$4*JR$7)),IF(AND($F23=2,$G23=1),JZ23,0)))))</f>
        <v>0</v>
      </c>
      <c r="KC23" s="57" t="str">
        <f t="shared" si="112"/>
        <v/>
      </c>
      <c r="KD23" s="57" t="str">
        <f t="shared" si="113"/>
        <v/>
      </c>
      <c r="KE23" s="713">
        <f>'org. Düngung 22'!CB22</f>
        <v>0</v>
      </c>
      <c r="KF23" s="57"/>
      <c r="KG23" s="57"/>
      <c r="KH23" s="57">
        <f t="shared" si="114"/>
        <v>0</v>
      </c>
      <c r="KI23" s="57">
        <f t="shared" si="283"/>
        <v>0</v>
      </c>
      <c r="KJ23" s="57">
        <f t="shared" si="284"/>
        <v>0</v>
      </c>
      <c r="KK23" s="57">
        <f t="shared" si="285"/>
        <v>0</v>
      </c>
      <c r="KL23" s="57">
        <f t="shared" si="286"/>
        <v>0</v>
      </c>
      <c r="KM23" s="1029">
        <f t="shared" si="115"/>
        <v>0</v>
      </c>
      <c r="KN23" s="57">
        <f t="shared" si="116"/>
        <v>0</v>
      </c>
      <c r="KO23" s="171" t="str">
        <f t="shared" si="117"/>
        <v/>
      </c>
      <c r="KP23" s="57">
        <f t="shared" si="287"/>
        <v>0</v>
      </c>
      <c r="KQ23" s="57">
        <f>IF(OR(AND(KE$6=1,$L23=0),AND(KE$6=2,$K23=2,$G23=1)),0,IF(AND(KG$9=2,(OR($F23&gt;1,$K23=1,AND($L23=80,OR($N23=1,AND($N23=2,'#BerechnungDBE'!$AL14&gt;0)))))),IF(KE$4&gt;=$AD$126,0,KO23),IF(KG$9=3,IF(OR(KE$4&gt;=$AD$127,AND($G23=1,$J23=2,KE$6=2),AND(KE$6=1,$N23&lt;&gt;1)),0,IF(KI23&lt;=120,KO23,IF(KE$4&lt;$AD$124,IF($F23=1,60/KG$4*KG$6,60/KG$4*KG$7),IF($F23=1,120/KG$4*KG$6,120/KG$4*KG$7)))),IF(OR($F23=3,$G23=2),IF(OR(AND(KE$4&gt;=$AD$119,$C23=2),AND(KE$4&gt;=$AF$119,$C23=1)),0,IF(KI23&lt;=60,KO23,60/KG$4*KG$7)),IF(AND($F23=2,$G23=1),KO23,0)))))</f>
        <v>0</v>
      </c>
      <c r="KR23" s="57" t="str">
        <f t="shared" si="118"/>
        <v/>
      </c>
      <c r="KS23" s="57" t="str">
        <f t="shared" si="119"/>
        <v/>
      </c>
      <c r="KT23" s="713">
        <f>'org. Düngung 22'!CF22</f>
        <v>0</v>
      </c>
      <c r="KU23" s="57"/>
      <c r="KV23" s="57"/>
      <c r="KW23" s="57">
        <f t="shared" si="120"/>
        <v>0</v>
      </c>
      <c r="KX23" s="57">
        <f t="shared" si="288"/>
        <v>0</v>
      </c>
      <c r="KY23" s="57">
        <f t="shared" si="289"/>
        <v>0</v>
      </c>
      <c r="KZ23" s="57">
        <f t="shared" si="290"/>
        <v>0</v>
      </c>
      <c r="LA23" s="57">
        <f t="shared" si="291"/>
        <v>0</v>
      </c>
      <c r="LB23" s="1029">
        <f t="shared" si="121"/>
        <v>0</v>
      </c>
      <c r="LC23" s="57">
        <f t="shared" si="122"/>
        <v>0</v>
      </c>
      <c r="LD23" s="171" t="str">
        <f t="shared" si="123"/>
        <v/>
      </c>
      <c r="LE23" s="57">
        <f t="shared" si="292"/>
        <v>0</v>
      </c>
      <c r="LF23" s="57">
        <f>IF(OR(AND(KT$6=1,$L23=0),AND(KT$6=2,$K23=2,$G23=1)),0,IF(AND(KV$9=2,(OR($F23&gt;1,$K23=1,AND($L23=80,OR($N23=1,AND($N23=2,'#BerechnungDBE'!$AL14&gt;0)))))),IF(KT$4&gt;=$AD$126,0,LD23),IF(KV$9=3,IF(OR(KT$4&gt;=$AD$127,AND($G23=1,$J23=2,KT$6=2),AND(KT$6=1,$N23&lt;&gt;1)),0,IF(KX23&lt;=120,LD23,IF(KT$4&lt;$AD$124,IF($F23=1,60/KV$4*KV$6,60/KV$4*KV$7),IF($F23=1,120/KV$4*KV$6,120/KV$4*KV$7)))),IF(OR($F23=3,$G23=2),IF(OR(AND(KT$4&gt;=$AD$119,$C23=2),AND(KT$4&gt;=$AF$119,$C23=1)),0,IF(KX23&lt;=60,LD23,60/KV$4*KV$7)),IF(AND($F23=2,$G23=1),LD23,0)))))</f>
        <v>0</v>
      </c>
      <c r="LG23" s="57" t="str">
        <f t="shared" si="124"/>
        <v/>
      </c>
      <c r="LH23" s="57" t="str">
        <f t="shared" si="125"/>
        <v/>
      </c>
      <c r="LI23" s="713">
        <f>'org. Düngung 22'!CJ22</f>
        <v>0</v>
      </c>
      <c r="LJ23" s="57"/>
      <c r="LK23" s="57"/>
      <c r="LL23" s="57">
        <f t="shared" si="126"/>
        <v>0</v>
      </c>
      <c r="LM23" s="57">
        <f t="shared" si="293"/>
        <v>0</v>
      </c>
      <c r="LN23" s="57">
        <f t="shared" si="294"/>
        <v>0</v>
      </c>
      <c r="LO23" s="57">
        <f t="shared" si="295"/>
        <v>0</v>
      </c>
      <c r="LP23" s="57">
        <f t="shared" si="296"/>
        <v>0</v>
      </c>
      <c r="LQ23" s="1029">
        <f t="shared" si="127"/>
        <v>0</v>
      </c>
      <c r="LR23" s="57">
        <f t="shared" si="128"/>
        <v>0</v>
      </c>
      <c r="LS23" s="171" t="str">
        <f t="shared" si="129"/>
        <v/>
      </c>
      <c r="LT23" s="57">
        <f t="shared" si="297"/>
        <v>0</v>
      </c>
      <c r="LU23" s="57">
        <f>IF(OR(AND(LI$6=1,$L23=0),AND(LI$6=2,$K23=2,$G23=1)),0,IF(AND(LK$9=2,(OR($F23&gt;1,$K23=1,AND($L23=80,OR($N23=1,AND($N23=2,'#BerechnungDBE'!$AL14&gt;0)))))),IF(LI$4&gt;=$AD$126,0,LS23),IF(LK$9=3,IF(OR(LI$4&gt;=$AD$127,AND($G23=1,$J23=2,LI$6=2),AND(LI$6=1,$N23&lt;&gt;1)),0,IF(LM23&lt;=120,LS23,IF(LI$4&lt;$AD$124,IF($F23=1,60/LK$4*LK$6,60/LK$4*LK$7),IF($F23=1,120/LK$4*LK$6,120/LK$4*LK$7)))),IF(OR($F23=3,$G23=2),IF(OR(AND(LI$4&gt;=$AD$119,$C23=2),AND(LI$4&gt;=$AF$119,$C23=1)),0,IF(LM23&lt;=60,LS23,60/LK$4*LK$7)),IF(AND($F23=2,$G23=1),LS23,0)))))</f>
        <v>0</v>
      </c>
      <c r="LV23" s="57" t="str">
        <f t="shared" si="130"/>
        <v/>
      </c>
      <c r="LW23" s="57" t="str">
        <f t="shared" si="131"/>
        <v/>
      </c>
      <c r="LX23" s="713">
        <f>'org. Düngung 22'!CN22</f>
        <v>0</v>
      </c>
      <c r="LY23" s="57"/>
      <c r="LZ23" s="57"/>
      <c r="MA23" s="57">
        <f t="shared" si="132"/>
        <v>0</v>
      </c>
      <c r="MB23" s="57">
        <f t="shared" si="298"/>
        <v>0</v>
      </c>
      <c r="MC23" s="57">
        <f t="shared" si="299"/>
        <v>0</v>
      </c>
      <c r="MD23" s="57">
        <f t="shared" si="300"/>
        <v>0</v>
      </c>
      <c r="ME23" s="57">
        <f t="shared" si="301"/>
        <v>0</v>
      </c>
      <c r="MF23" s="1029">
        <f t="shared" si="133"/>
        <v>0</v>
      </c>
      <c r="MG23" s="57">
        <f t="shared" si="134"/>
        <v>0</v>
      </c>
      <c r="MH23" s="171" t="str">
        <f t="shared" si="135"/>
        <v/>
      </c>
      <c r="MI23" s="57">
        <f t="shared" si="302"/>
        <v>0</v>
      </c>
      <c r="MJ23" s="57">
        <f>IF(OR(AND(LX$6=1,$L23=0),AND(LX$6=2,$K23=2,$G23=1)),0,IF(AND(LZ$9=2,(OR($F23&gt;1,$K23=1,AND($L23=80,OR($N23=1,AND($N23=2,'#BerechnungDBE'!$AL14&gt;0)))))),IF(LX$4&gt;=$AD$126,0,MH23),IF(LZ$9=3,IF(OR(LX$4&gt;=$AD$127,AND($G23=1,$J23=2,LX$6=2),AND(LX$6=1,$N23&lt;&gt;1)),0,IF(MB23&lt;=120,MH23,IF(LX$4&lt;$AD$124,IF($F23=1,60/LZ$4*LZ$6,60/LZ$4*LZ$7),IF($F23=1,120/LZ$4*LZ$6,120/LZ$4*LZ$7)))),IF(OR($F23=3,$G23=2),IF(OR(AND(LX$4&gt;=$AD$119,$C23=2),AND(LX$4&gt;=$AF$119,$C23=1)),0,IF(MB23&lt;=60,MH23,60/LZ$4*LZ$7)),IF(AND($F23=2,$G23=1),MH23,0)))))</f>
        <v>0</v>
      </c>
      <c r="MK23" s="57" t="str">
        <f t="shared" si="136"/>
        <v/>
      </c>
      <c r="ML23" s="57" t="str">
        <f t="shared" si="137"/>
        <v/>
      </c>
      <c r="MM23" s="713">
        <f>'org. Düngung 22'!CR22</f>
        <v>0</v>
      </c>
      <c r="MN23" s="57"/>
      <c r="MO23" s="57"/>
      <c r="MP23" s="57">
        <f t="shared" si="138"/>
        <v>0</v>
      </c>
      <c r="MQ23" s="57">
        <f t="shared" si="303"/>
        <v>0</v>
      </c>
      <c r="MR23" s="57">
        <f t="shared" si="304"/>
        <v>0</v>
      </c>
      <c r="MS23" s="57">
        <f t="shared" si="305"/>
        <v>0</v>
      </c>
      <c r="MT23" s="57">
        <f t="shared" si="306"/>
        <v>0</v>
      </c>
      <c r="MU23" s="1029">
        <f t="shared" si="139"/>
        <v>0</v>
      </c>
      <c r="MV23" s="57">
        <f t="shared" si="140"/>
        <v>0</v>
      </c>
      <c r="MW23" s="171" t="str">
        <f t="shared" si="141"/>
        <v/>
      </c>
      <c r="MX23" s="57">
        <f t="shared" si="307"/>
        <v>0</v>
      </c>
      <c r="MY23" s="57">
        <f>IF(OR(AND(MM$6=1,$L23=0),AND(MM$6=2,$K23=2,$G23=1)),0,IF(AND(MO$9=2,(OR($F23&gt;1,$K23=1,AND($L23=80,OR($N23=1,AND($N23=2,'#BerechnungDBE'!$AL14&gt;0)))))),IF(MM$4&gt;=$AD$126,0,MW23),IF(MO$9=3,IF(OR(MM$4&gt;=$AD$127,AND($G23=1,$J23=2,MM$6=2),AND(MM$6=1,$N23&lt;&gt;1)),0,IF(MQ23&lt;=120,MW23,IF(MM$4&lt;$AD$124,IF($F23=1,60/MO$4*MO$6,60/MO$4*MO$7),IF($F23=1,120/MO$4*MO$6,120/MO$4*MO$7)))),IF(OR($F23=3,$G23=2),IF(OR(AND(MM$4&gt;=$AD$119,$C23=2),AND(MM$4&gt;=$AF$119,$C23=1)),0,IF(MQ23&lt;=60,MW23,60/MO$4*MO$7)),IF(AND($F23=2,$G23=1),MW23,0)))))</f>
        <v>0</v>
      </c>
      <c r="MZ23" s="57" t="str">
        <f t="shared" si="142"/>
        <v/>
      </c>
      <c r="NA23" s="57" t="str">
        <f t="shared" si="143"/>
        <v/>
      </c>
      <c r="NB23" s="713">
        <f>'org. Düngung 22'!CV22</f>
        <v>0</v>
      </c>
      <c r="NC23" s="57"/>
      <c r="ND23" s="57"/>
      <c r="NE23" s="57">
        <f t="shared" si="144"/>
        <v>0</v>
      </c>
      <c r="NF23" s="57">
        <f t="shared" si="308"/>
        <v>0</v>
      </c>
      <c r="NG23" s="57">
        <f t="shared" si="309"/>
        <v>0</v>
      </c>
      <c r="NH23" s="57">
        <f t="shared" si="310"/>
        <v>0</v>
      </c>
      <c r="NI23" s="57">
        <f t="shared" si="311"/>
        <v>0</v>
      </c>
      <c r="NJ23" s="1029">
        <f t="shared" si="145"/>
        <v>0</v>
      </c>
      <c r="NK23" s="57">
        <f t="shared" si="146"/>
        <v>0</v>
      </c>
      <c r="NL23" s="171" t="str">
        <f t="shared" si="147"/>
        <v/>
      </c>
      <c r="NM23" s="57">
        <f t="shared" si="312"/>
        <v>0</v>
      </c>
      <c r="NN23" s="57">
        <f>IF(OR(AND(NB$6=1,$L23=0),AND(NB$6=2,$K23=2,$G23=1)),0,IF(AND(ND$9=2,(OR($F23&gt;1,$K23=1,AND($L23=80,OR($N23=1,AND($N23=2,'#BerechnungDBE'!$AL14&gt;0)))))),IF(NB$4&gt;=$AD$126,0,NL23),IF(ND$9=3,IF(OR(NB$4&gt;=$AD$127,AND($G23=1,$J23=2,NB$6=2),AND(NB$6=1,$N23&lt;&gt;1)),0,IF(NF23&lt;=120,NL23,IF(NB$4&lt;$AD$124,IF($F23=1,60/ND$4*ND$6,60/ND$4*ND$7),IF($F23=1,120/ND$4*ND$6,120/ND$4*ND$7)))),IF(OR($F23=3,$G23=2),IF(OR(AND(NB$4&gt;=$AD$119,$C23=2),AND(NB$4&gt;=$AF$119,$C23=1)),0,IF(NF23&lt;=60,NL23,60/ND$4*ND$7)),IF(AND($F23=2,$G23=1),NL23,0)))))</f>
        <v>0</v>
      </c>
      <c r="NO23" s="57" t="str">
        <f t="shared" si="148"/>
        <v/>
      </c>
      <c r="NP23" s="57" t="str">
        <f t="shared" si="149"/>
        <v/>
      </c>
      <c r="NQ23" s="713">
        <f>'org. Düngung 22'!CZ22</f>
        <v>0</v>
      </c>
      <c r="NR23" s="57"/>
      <c r="NS23" s="57"/>
      <c r="NT23" s="57">
        <f t="shared" si="150"/>
        <v>0</v>
      </c>
      <c r="NU23" s="57">
        <f t="shared" si="313"/>
        <v>0</v>
      </c>
      <c r="NV23" s="57">
        <f t="shared" si="314"/>
        <v>0</v>
      </c>
      <c r="NW23" s="57">
        <f t="shared" si="315"/>
        <v>0</v>
      </c>
      <c r="NX23" s="57">
        <f t="shared" si="316"/>
        <v>0</v>
      </c>
      <c r="NY23" s="1029">
        <f t="shared" si="151"/>
        <v>0</v>
      </c>
      <c r="NZ23" s="57">
        <f t="shared" si="152"/>
        <v>0</v>
      </c>
      <c r="OA23" s="171" t="str">
        <f t="shared" si="153"/>
        <v/>
      </c>
      <c r="OB23" s="57">
        <f t="shared" si="317"/>
        <v>0</v>
      </c>
      <c r="OC23" s="57">
        <f>IF(OR(AND(NQ$6=1,$L23=0),AND(NQ$6=2,$K23=2,$G23=1)),0,IF(AND(NS$9=2,(OR($F23&gt;1,$K23=1,AND($L23=80,OR($N23=1,AND($N23=2,'#BerechnungDBE'!$AL14&gt;0)))))),IF(NQ$4&gt;=$AD$126,0,OA23),IF(NS$9=3,IF(OR(NQ$4&gt;=$AD$127,AND($G23=1,$J23=2,NQ$6=2),AND(NQ$6=1,$N23&lt;&gt;1)),0,IF(NU23&lt;=120,OA23,IF(NQ$4&lt;$AD$124,IF($F23=1,60/NS$4*NS$6,60/NS$4*NS$7),IF($F23=1,120/NS$4*NS$6,120/NS$4*NS$7)))),IF(OR($F23=3,$G23=2),IF(OR(AND(NQ$4&gt;=$AD$119,$C23=2),AND(NQ$4&gt;=$AF$119,$C23=1)),0,IF(NU23&lt;=60,OA23,60/NS$4*NS$7)),IF(AND($F23=2,$G23=1),OA23,0)))))</f>
        <v>0</v>
      </c>
      <c r="OD23" s="57" t="str">
        <f t="shared" si="154"/>
        <v/>
      </c>
      <c r="OE23" s="57" t="str">
        <f t="shared" si="155"/>
        <v/>
      </c>
      <c r="OF23" s="713">
        <f>'org. Düngung 22'!DD22</f>
        <v>0</v>
      </c>
      <c r="OG23" s="57"/>
      <c r="OH23" s="57"/>
      <c r="OI23" s="57">
        <f t="shared" si="156"/>
        <v>0</v>
      </c>
      <c r="OJ23" s="57">
        <f t="shared" si="318"/>
        <v>0</v>
      </c>
      <c r="OK23" s="57">
        <f t="shared" si="319"/>
        <v>0</v>
      </c>
      <c r="OL23" s="57">
        <f t="shared" si="320"/>
        <v>0</v>
      </c>
      <c r="OM23" s="57">
        <f t="shared" si="321"/>
        <v>0</v>
      </c>
      <c r="ON23" s="1029">
        <f t="shared" si="157"/>
        <v>0</v>
      </c>
      <c r="OO23" s="57">
        <f t="shared" si="158"/>
        <v>0</v>
      </c>
      <c r="OP23" s="171" t="str">
        <f t="shared" si="159"/>
        <v/>
      </c>
      <c r="OQ23" s="57">
        <f t="shared" si="322"/>
        <v>0</v>
      </c>
      <c r="OR23" s="57">
        <f>IF(OR(AND(OF$6=1,$L23=0),AND(OF$6=2,$K23=2,$G23=1)),0,IF(AND(OH$9=2,(OR($F23&gt;1,$K23=1,AND($L23=80,OR($N23=1,AND($N23=2,'#BerechnungDBE'!$AL14&gt;0)))))),IF(OF$4&gt;=$AD$126,0,OP23),IF(OH$9=3,IF(OR(OF$4&gt;=$AD$127,AND($G23=1,$J23=2,OF$6=2),AND(OF$6=1,$N23&lt;&gt;1)),0,IF(OJ23&lt;=120,OP23,IF(OF$4&lt;$AD$124,IF($F23=1,60/OH$4*OH$6,60/OH$4*OH$7),IF($F23=1,120/OH$4*OH$6,120/OH$4*OH$7)))),IF(OR($F23=3,$G23=2),IF(OR(AND(OF$4&gt;=$AD$119,$C23=2),AND(OF$4&gt;=$AF$119,$C23=1)),0,IF(OJ23&lt;=60,OP23,60/OH$4*OH$7)),IF(AND($F23=2,$G23=1),OP23,0)))))</f>
        <v>0</v>
      </c>
      <c r="OS23" s="57" t="str">
        <f t="shared" si="160"/>
        <v/>
      </c>
      <c r="OT23" s="57" t="str">
        <f t="shared" si="161"/>
        <v/>
      </c>
      <c r="OU23" s="713">
        <f>'org. Düngung 22'!DH22</f>
        <v>0</v>
      </c>
      <c r="OV23" s="57"/>
      <c r="OW23" s="57"/>
      <c r="OX23" s="57">
        <f t="shared" si="162"/>
        <v>0</v>
      </c>
      <c r="OY23" s="57">
        <f t="shared" si="323"/>
        <v>0</v>
      </c>
      <c r="OZ23" s="57">
        <f t="shared" si="324"/>
        <v>0</v>
      </c>
      <c r="PA23" s="57">
        <f t="shared" si="325"/>
        <v>0</v>
      </c>
      <c r="PB23" s="57">
        <f t="shared" si="326"/>
        <v>0</v>
      </c>
      <c r="PC23" s="1029">
        <f t="shared" si="163"/>
        <v>0</v>
      </c>
      <c r="PD23" s="57">
        <f t="shared" si="164"/>
        <v>0</v>
      </c>
      <c r="PE23" s="171" t="str">
        <f t="shared" si="165"/>
        <v/>
      </c>
      <c r="PF23" s="57">
        <f t="shared" si="327"/>
        <v>0</v>
      </c>
      <c r="PG23" s="57">
        <f>IF(OR(AND(OU$6=1,$L23=0),AND(OU$6=2,$K23=2,$G23=1)),0,IF(AND(OW$9=2,(OR($F23&gt;1,$K23=1,AND($L23=80,OR($N23=1,AND($N23=2,'#BerechnungDBE'!$AL14&gt;0)))))),IF(OU$4&gt;=$AD$126,0,PE23),IF(OW$9=3,IF(OR(OU$4&gt;=$AD$127,AND($G23=1,$J23=2,OU$6=2),AND(OU$6=1,$N23&lt;&gt;1)),0,IF(OY23&lt;=120,PE23,IF(OU$4&lt;$AD$124,IF($F23=1,60/OW$4*OW$6,60/OW$4*OW$7),IF($F23=1,120/OW$4*OW$6,120/OW$4*OW$7)))),IF(OR($F23=3,$G23=2),IF(OR(AND(OU$4&gt;=$AD$119,$C23=2),AND(OU$4&gt;=$AF$119,$C23=1)),0,IF(OY23&lt;=60,PE23,60/OW$4*OW$7)),IF(AND($F23=2,$G23=1),PE23,0)))))</f>
        <v>0</v>
      </c>
      <c r="PH23" s="57" t="str">
        <f t="shared" si="166"/>
        <v/>
      </c>
      <c r="PI23" s="57" t="str">
        <f t="shared" si="167"/>
        <v/>
      </c>
      <c r="PJ23" s="713">
        <f>'org. Düngung 22'!DL22</f>
        <v>0</v>
      </c>
      <c r="PK23" s="57"/>
      <c r="PL23" s="57"/>
      <c r="PM23" s="57">
        <f t="shared" si="168"/>
        <v>0</v>
      </c>
      <c r="PN23" s="57">
        <f t="shared" si="328"/>
        <v>0</v>
      </c>
      <c r="PO23" s="57">
        <f t="shared" si="329"/>
        <v>0</v>
      </c>
      <c r="PP23" s="57">
        <f t="shared" si="330"/>
        <v>0</v>
      </c>
      <c r="PQ23" s="57">
        <f t="shared" si="331"/>
        <v>0</v>
      </c>
      <c r="PR23" s="1029">
        <f t="shared" si="169"/>
        <v>0</v>
      </c>
      <c r="PS23" s="57">
        <f t="shared" si="170"/>
        <v>0</v>
      </c>
      <c r="PT23" s="171" t="str">
        <f t="shared" si="171"/>
        <v/>
      </c>
      <c r="PU23" s="57">
        <f t="shared" si="332"/>
        <v>0</v>
      </c>
      <c r="PV23" s="57">
        <f>IF(OR(AND(PJ$6=1,$L23=0),AND(PJ$6=2,$K23=2,$G23=1)),0,IF(AND(PL$9=2,(OR($F23&gt;1,$K23=1,AND($L23=80,OR($N23=1,AND($N23=2,'#BerechnungDBE'!$AL14&gt;0)))))),IF(PJ$4&gt;=$AD$126,0,PT23),IF(PL$9=3,IF(OR(PJ$4&gt;=$AD$127,AND($G23=1,$J23=2,PJ$6=2),AND(PJ$6=1,$N23&lt;&gt;1)),0,IF(PN23&lt;=120,PT23,IF(PJ$4&lt;$AD$124,IF($F23=1,60/PL$4*PL$6,60/PL$4*PL$7),IF($F23=1,120/PL$4*PL$6,120/PL$4*PL$7)))),IF(OR($F23=3,$G23=2),IF(OR(AND(PJ$4&gt;=$AD$119,$C23=2),AND(PJ$4&gt;=$AF$119,$C23=1)),0,IF(PN23&lt;=60,PT23,60/PL$4*PL$7)),IF(AND($F23=2,$G23=1),PT23,0)))))</f>
        <v>0</v>
      </c>
      <c r="PW23" s="57" t="str">
        <f t="shared" si="172"/>
        <v/>
      </c>
      <c r="PX23" s="57" t="str">
        <f t="shared" si="173"/>
        <v/>
      </c>
      <c r="PY23" s="713">
        <f>'org. Düngung 22'!DP22</f>
        <v>0</v>
      </c>
      <c r="PZ23" s="57"/>
      <c r="QA23" s="57"/>
      <c r="QB23" s="57">
        <f t="shared" si="174"/>
        <v>0</v>
      </c>
      <c r="QC23" s="57">
        <f t="shared" si="333"/>
        <v>0</v>
      </c>
      <c r="QD23" s="57">
        <f t="shared" si="334"/>
        <v>0</v>
      </c>
      <c r="QE23" s="57">
        <f t="shared" si="335"/>
        <v>0</v>
      </c>
      <c r="QF23" s="57">
        <f t="shared" si="336"/>
        <v>0</v>
      </c>
      <c r="QG23" s="1029">
        <f t="shared" si="175"/>
        <v>0</v>
      </c>
      <c r="QH23" s="57">
        <f t="shared" si="176"/>
        <v>0</v>
      </c>
      <c r="QI23" s="171" t="str">
        <f t="shared" si="177"/>
        <v/>
      </c>
      <c r="QJ23" s="57">
        <f t="shared" si="337"/>
        <v>0</v>
      </c>
      <c r="QK23" s="57">
        <f>IF(OR(AND(PY$6=1,$L23=0),AND(PY$6=2,$K23=2,$G23=1)),0,IF(AND(QA$9=2,(OR($F23&gt;1,$K23=1,AND($L23=80,OR($N23=1,AND($N23=2,'#BerechnungDBE'!$AL14&gt;0)))))),IF(PY$4&gt;=$AD$126,0,QI23),IF(QA$9=3,IF(OR(PY$4&gt;=$AD$127,AND($G23=1,$J23=2,PY$6=2),AND(PY$6=1,$N23&lt;&gt;1)),0,IF(QC23&lt;=120,QI23,IF(PY$4&lt;$AD$124,IF($F23=1,60/QA$4*QA$6,60/QA$4*QA$7),IF($F23=1,120/QA$4*QA$6,120/QA$4*QA$7)))),IF(OR($F23=3,$G23=2),IF(OR(AND(PY$4&gt;=$AD$119,$C23=2),AND(PY$4&gt;=$AF$119,$C23=1)),0,IF(QC23&lt;=60,QI23,60/QA$4*QA$7)),IF(AND($F23=2,$G23=1),QI23,0)))))</f>
        <v>0</v>
      </c>
      <c r="QL23" s="57" t="str">
        <f t="shared" si="178"/>
        <v/>
      </c>
      <c r="QM23" s="57" t="str">
        <f t="shared" si="179"/>
        <v/>
      </c>
      <c r="QN23" s="713">
        <f>'org. Düngung 22'!DT22</f>
        <v>0</v>
      </c>
      <c r="QO23" s="57"/>
      <c r="QP23" s="57"/>
      <c r="QQ23" s="57">
        <f t="shared" si="180"/>
        <v>0</v>
      </c>
      <c r="QR23" s="57">
        <f t="shared" si="338"/>
        <v>0</v>
      </c>
      <c r="QS23" s="57">
        <f t="shared" si="339"/>
        <v>0</v>
      </c>
      <c r="QT23" s="57">
        <f t="shared" si="340"/>
        <v>0</v>
      </c>
      <c r="QU23" s="57">
        <f t="shared" si="341"/>
        <v>0</v>
      </c>
      <c r="QV23" s="1029">
        <f t="shared" si="181"/>
        <v>0</v>
      </c>
      <c r="QW23" s="57">
        <f t="shared" si="182"/>
        <v>0</v>
      </c>
      <c r="QX23" s="171" t="str">
        <f t="shared" si="183"/>
        <v/>
      </c>
      <c r="QY23" s="57">
        <f t="shared" si="342"/>
        <v>0</v>
      </c>
      <c r="QZ23" s="57">
        <f>IF(OR(AND(QN$6=1,$L23=0),AND(QN$6=2,$K23=2,$G23=1)),0,IF(AND(QP$9=2,(OR($F23&gt;1,$K23=1,AND($L23=80,OR($N23=1,AND($N23=2,'#BerechnungDBE'!$AL14&gt;0)))))),IF(QN$4&gt;=$AD$126,0,QX23),IF(QP$9=3,IF(OR(QN$4&gt;=$AD$127,AND($G23=1,$J23=2,QN$6=2),AND(QN$6=1,$N23&lt;&gt;1)),0,IF(QR23&lt;=120,QX23,IF(QN$4&lt;$AD$124,IF($F23=1,60/QP$4*QP$6,60/QP$4*QP$7),IF($F23=1,120/QP$4*QP$6,120/QP$4*QP$7)))),IF(OR($F23=3,$G23=2),IF(OR(AND(QN$4&gt;=$AD$119,$C23=2),AND(QN$4&gt;=$AF$119,$C23=1)),0,IF(QR23&lt;=60,QX23,60/QP$4*QP$7)),IF(AND($F23=2,$G23=1),QX23,0)))))</f>
        <v>0</v>
      </c>
      <c r="RA23" s="57" t="str">
        <f t="shared" si="184"/>
        <v/>
      </c>
      <c r="RB23" s="57" t="str">
        <f t="shared" si="185"/>
        <v/>
      </c>
      <c r="RC23" s="713">
        <f>'org. Düngung 22'!DX22</f>
        <v>0</v>
      </c>
      <c r="RD23" s="57"/>
      <c r="RE23" s="57"/>
      <c r="RF23" s="57">
        <f t="shared" si="186"/>
        <v>0</v>
      </c>
      <c r="RG23" s="57">
        <f t="shared" si="343"/>
        <v>0</v>
      </c>
      <c r="RH23" s="57">
        <f t="shared" si="344"/>
        <v>0</v>
      </c>
      <c r="RI23" s="57">
        <f t="shared" si="345"/>
        <v>0</v>
      </c>
      <c r="RJ23" s="57">
        <f t="shared" si="346"/>
        <v>0</v>
      </c>
      <c r="RK23" s="1029">
        <f t="shared" si="187"/>
        <v>0</v>
      </c>
      <c r="RL23" s="57">
        <f t="shared" si="188"/>
        <v>0</v>
      </c>
      <c r="RM23" s="171" t="str">
        <f t="shared" si="189"/>
        <v/>
      </c>
      <c r="RN23" s="57">
        <f t="shared" si="347"/>
        <v>0</v>
      </c>
      <c r="RO23" s="57">
        <f>IF(OR(AND(RC$6=1,$L23=0),AND(RC$6=2,$K23=2,$G23=1)),0,IF(AND(RE$9=2,(OR($F23&gt;1,$K23=1,AND($L23=80,OR($N23=1,AND($N23=2,'#BerechnungDBE'!$AL14&gt;0)))))),IF(RC$4&gt;=$AD$126,0,RM23),IF(RE$9=3,IF(OR(RC$4&gt;=$AD$127,AND($G23=1,$J23=2,RC$6=2),AND(RC$6=1,$N23&lt;&gt;1)),0,IF(RG23&lt;=120,RM23,IF(RC$4&lt;$AD$124,IF($F23=1,60/RE$4*RE$6,60/RE$4*RE$7),IF($F23=1,120/RE$4*RE$6,120/RE$4*RE$7)))),IF(OR($F23=3,$G23=2),IF(OR(AND(RC$4&gt;=$AD$119,$C23=2),AND(RC$4&gt;=$AF$119,$C23=1)),0,IF(RG23&lt;=60,RM23,60/RE$4*RE$7)),IF(AND($F23=2,$G23=1),RM23,0)))))</f>
        <v>0</v>
      </c>
      <c r="RP23" s="57" t="str">
        <f t="shared" si="190"/>
        <v/>
      </c>
      <c r="RQ23" s="57" t="str">
        <f t="shared" si="191"/>
        <v/>
      </c>
      <c r="RS23" s="57" t="str">
        <f t="shared" si="348"/>
        <v/>
      </c>
      <c r="RT23" s="57" t="str">
        <f t="shared" si="192"/>
        <v/>
      </c>
      <c r="RU23" s="57" t="str">
        <f t="shared" si="193"/>
        <v/>
      </c>
      <c r="RV23" s="57" t="str">
        <f>IF(Z23&gt;'#BerechnungDBE'!BM14,$RV$9,"")</f>
        <v/>
      </c>
      <c r="RW23" s="57" t="str">
        <f>IF(AND(L23=70,AE23&gt;'#BerechnungDBE'!CQ14),$RW$9,"")</f>
        <v/>
      </c>
      <c r="RX23" s="57" t="str">
        <f>IF(OR('org. Düngung 22'!G22="--",'org. Düngung 22'!G22&lt;=170,'org. Düngung 22'!G22=""),"",$RX$9)</f>
        <v/>
      </c>
      <c r="RY23" s="57" t="str">
        <f>IF('org. Düngung 22'!K22&gt;120,'#orgDung'!$RY$9,"")</f>
        <v/>
      </c>
      <c r="RZ23" s="57" t="str">
        <f>IF('#BerechnungDBE'!P14&lt;4,"",IF(AND('#BerechnungDBE'!BZ14&gt;0,T23&gt;0),'#orgDung'!$RZ$9,""))</f>
        <v/>
      </c>
      <c r="SA23" s="57" t="str">
        <f t="shared" si="194"/>
        <v/>
      </c>
    </row>
    <row r="24" spans="1:495" s="875" customFormat="1" x14ac:dyDescent="0.2">
      <c r="A24" s="875">
        <f>'Flächen u. Kulturen'!A20</f>
        <v>11</v>
      </c>
      <c r="B24" s="367">
        <f>'#BerechnungDBE'!L15</f>
        <v>0</v>
      </c>
      <c r="C24" s="875">
        <f>'#BerechnungDBE'!R15</f>
        <v>1</v>
      </c>
      <c r="D24" s="875">
        <f>'#BerechnungDBE'!T15</f>
        <v>2</v>
      </c>
      <c r="E24" s="875" t="str">
        <f>'Flächen u. Kulturen'!E20</f>
        <v>x</v>
      </c>
      <c r="F24" s="52">
        <f>'#BerechnungDBE'!N15</f>
        <v>1</v>
      </c>
      <c r="G24" s="52">
        <f>'#BerechnungDBE'!O15</f>
        <v>1</v>
      </c>
      <c r="H24" s="875">
        <f>IF('Flächen u. Kulturen'!P20="",0,VLOOKUP('Flächen u. Kulturen'!P20,Kulturen[[HF]:[Berechnungsgruppe]],'#Frucht'!$H$1,FALSE))</f>
        <v>0</v>
      </c>
      <c r="I24" s="875">
        <f>IF('Flächen u. Kulturen'!J20="",0,VLOOKUP('Flächen u. Kulturen'!J20,Kulturen[[HF]:[Berechnungsgruppe]],'#Frucht'!$G$1,FALSE))</f>
        <v>90</v>
      </c>
      <c r="J24" s="505">
        <f t="shared" si="195"/>
        <v>2</v>
      </c>
      <c r="K24" s="505">
        <f>IF('Flächen u. Kulturen'!P20="",0,IF(VLOOKUP('Flächen u. Kulturen'!P20,Kulturen[[HF]:[Saat Winterungen]],'#Frucht'!$P$1,FALSE)&gt;0,1,2))</f>
        <v>2</v>
      </c>
      <c r="L24" s="875">
        <f>'#BerechnungDBE'!AF15</f>
        <v>0</v>
      </c>
      <c r="M24" s="875">
        <f>IF('Flächen u. Kulturen'!L20="",0,VLOOKUP('Flächen u. Kulturen'!L20,Nebenkultur[[Nebenkultur]:[Legum. Zwischenfr.]],'#Zweitfr'!$K$1,FALSE))</f>
        <v>0</v>
      </c>
      <c r="N24" s="875">
        <f>'#BerechnungDBE'!AG15</f>
        <v>0</v>
      </c>
      <c r="P24" s="57">
        <f t="shared" si="0"/>
        <v>0</v>
      </c>
      <c r="Q24" s="57">
        <f t="shared" si="1"/>
        <v>0</v>
      </c>
      <c r="R24" s="875">
        <f t="shared" si="2"/>
        <v>0</v>
      </c>
      <c r="S24" s="938" t="str">
        <f t="shared" si="3"/>
        <v/>
      </c>
      <c r="T24" s="875">
        <f t="shared" si="4"/>
        <v>0</v>
      </c>
      <c r="U24" s="875">
        <f t="shared" si="5"/>
        <v>0</v>
      </c>
      <c r="V24" s="875">
        <f t="shared" si="6"/>
        <v>0</v>
      </c>
      <c r="W24" s="875">
        <f t="shared" si="7"/>
        <v>0</v>
      </c>
      <c r="X24" s="875">
        <f t="shared" si="8"/>
        <v>0</v>
      </c>
      <c r="Y24" s="875">
        <f t="shared" si="349"/>
        <v>0</v>
      </c>
      <c r="Z24" s="875">
        <f t="shared" si="350"/>
        <v>0</v>
      </c>
      <c r="AA24" s="910">
        <f t="shared" si="9"/>
        <v>0</v>
      </c>
      <c r="AB24" s="57">
        <f t="shared" si="351"/>
        <v>0</v>
      </c>
      <c r="AC24" s="875">
        <f t="shared" si="10"/>
        <v>0</v>
      </c>
      <c r="AD24" s="875">
        <f t="shared" si="11"/>
        <v>0</v>
      </c>
      <c r="AE24" s="875">
        <f t="shared" si="12"/>
        <v>0</v>
      </c>
      <c r="AF24" s="875">
        <f t="shared" si="352"/>
        <v>0</v>
      </c>
      <c r="AG24" s="875">
        <f>'org. Düngung 22'!J23</f>
        <v>0</v>
      </c>
      <c r="AH24" s="875">
        <f>'org. Düngung 22'!K23</f>
        <v>0</v>
      </c>
      <c r="AJ24" s="713">
        <f>'org. Düngung 22'!L23</f>
        <v>0</v>
      </c>
      <c r="AK24" s="57"/>
      <c r="AL24" s="57"/>
      <c r="AM24" s="57">
        <f t="shared" si="196"/>
        <v>0</v>
      </c>
      <c r="AN24" s="57">
        <f t="shared" si="197"/>
        <v>0</v>
      </c>
      <c r="AO24" s="57">
        <f t="shared" si="198"/>
        <v>0</v>
      </c>
      <c r="AP24" s="57">
        <f t="shared" si="199"/>
        <v>0</v>
      </c>
      <c r="AQ24" s="57">
        <f t="shared" si="200"/>
        <v>0</v>
      </c>
      <c r="AR24" s="1029">
        <f t="shared" si="14"/>
        <v>0</v>
      </c>
      <c r="AS24" s="57">
        <f t="shared" si="15"/>
        <v>0</v>
      </c>
      <c r="AT24" s="171" t="str">
        <f t="shared" si="16"/>
        <v/>
      </c>
      <c r="AU24" s="57">
        <f t="shared" si="201"/>
        <v>0</v>
      </c>
      <c r="AV24" s="57">
        <f>IF(OR(AND(AJ$6=1,$L24=0),AND(AJ$6=2,$K24=2,$G24=1)),0,IF(AND(AL$9=2,(OR($F24&gt;1,$K24=1,AND($L24=80,OR($N24=1,AND($N24=2,'#BerechnungDBE'!$AL15&gt;0)))))),IF(AJ$4&gt;=$AD$126,0,AT24),IF(AL$9=3,IF(OR(AJ$4&gt;=$AD$127,AND($G24=1,$J24=2,AJ$6=2),AND(AJ$6=1,$N24&lt;&gt;1)),0,IF(AN24&lt;=120,AT24,IF(AJ$4&lt;$AD$124,IF($F24=1,60/AL$4*AL$6,60/AL$4*AL$7),IF($F24=1,120/AL$4*AL$6,120/AL$4*AL$7)))),IF(OR($F24=3,$G24=2),IF(OR(AND(AJ$4&gt;=$AD$119,$C24=2),AND(AJ$4&gt;=$AF$119,$C24=1)),0,IF(AN24&lt;=60,AT24,60/AL$4*AL$7)),IF(AND($F24=2,$G24=1),AT24,0)))))</f>
        <v>0</v>
      </c>
      <c r="AW24" s="57" t="str">
        <f t="shared" si="202"/>
        <v/>
      </c>
      <c r="AX24" s="57" t="str">
        <f t="shared" si="17"/>
        <v/>
      </c>
      <c r="AY24" s="713">
        <f>'org. Düngung 22'!P23</f>
        <v>0</v>
      </c>
      <c r="AZ24" s="57"/>
      <c r="BA24" s="57"/>
      <c r="BB24" s="57">
        <f t="shared" si="18"/>
        <v>0</v>
      </c>
      <c r="BC24" s="57">
        <f t="shared" si="203"/>
        <v>0</v>
      </c>
      <c r="BD24" s="57">
        <f t="shared" si="204"/>
        <v>0</v>
      </c>
      <c r="BE24" s="57">
        <f t="shared" si="205"/>
        <v>0</v>
      </c>
      <c r="BF24" s="57">
        <f t="shared" si="206"/>
        <v>0</v>
      </c>
      <c r="BG24" s="1029">
        <f t="shared" si="19"/>
        <v>0</v>
      </c>
      <c r="BH24" s="57">
        <f t="shared" si="20"/>
        <v>0</v>
      </c>
      <c r="BI24" s="171" t="str">
        <f t="shared" si="21"/>
        <v/>
      </c>
      <c r="BJ24" s="57">
        <f t="shared" si="207"/>
        <v>0</v>
      </c>
      <c r="BK24" s="57">
        <f>IF(OR(AND(AY$6=1,$L24=0),AND(AY$6=2,$K24=2,$G24=1)),0,IF(AND(BA$9=2,(OR($F24&gt;1,$K24=1,AND($L24=80,OR($N24=1,AND($N24=2,'#BerechnungDBE'!$AL15&gt;0)))))),IF(AY$4&gt;=$AD$126,0,BI24),IF(BA$9=3,IF(OR(AY$4&gt;=$AD$127,AND($G24=1,$J24=2,AY$6=2),AND(AY$6=1,$N24&lt;&gt;1)),0,IF(BC24&lt;=120,BI24,IF(AY$4&lt;$AD$124,IF($F24=1,60/BA$4*BA$6,60/BA$4*BA$7),IF($F24=1,120/BA$4*BA$6,120/BA$4*BA$7)))),IF(OR($F24=3,$G24=2),IF(OR(AND(AY$4&gt;=$AD$119,$C24=2),AND(AY$4&gt;=$AF$119,$C24=1)),0,IF(BC24&lt;=60,BI24,60/BA$4*BA$7)),IF(AND($F24=2,$G24=1),BI24,0)))))</f>
        <v>0</v>
      </c>
      <c r="BL24" s="57" t="str">
        <f t="shared" si="22"/>
        <v/>
      </c>
      <c r="BM24" s="57" t="str">
        <f t="shared" si="23"/>
        <v/>
      </c>
      <c r="BN24" s="713">
        <f>'org. Düngung 22'!T23</f>
        <v>0</v>
      </c>
      <c r="BO24" s="57"/>
      <c r="BP24" s="57"/>
      <c r="BQ24" s="57">
        <f t="shared" si="24"/>
        <v>0</v>
      </c>
      <c r="BR24" s="57">
        <f t="shared" si="208"/>
        <v>0</v>
      </c>
      <c r="BS24" s="57">
        <f t="shared" si="209"/>
        <v>0</v>
      </c>
      <c r="BT24" s="57">
        <f t="shared" si="210"/>
        <v>0</v>
      </c>
      <c r="BU24" s="57">
        <f t="shared" si="211"/>
        <v>0</v>
      </c>
      <c r="BV24" s="1029">
        <f t="shared" si="25"/>
        <v>0</v>
      </c>
      <c r="BW24" s="57">
        <f t="shared" si="26"/>
        <v>0</v>
      </c>
      <c r="BX24" s="171" t="str">
        <f t="shared" si="27"/>
        <v/>
      </c>
      <c r="BY24" s="57">
        <f t="shared" si="212"/>
        <v>0</v>
      </c>
      <c r="BZ24" s="57">
        <f>IF(OR(AND(BN$6=1,$L24=0),AND(BN$6=2,$K24=2,$G24=1)),0,IF(AND(BP$9=2,(OR($F24&gt;1,$K24=1,AND($L24=80,OR($N24=1,AND($N24=2,'#BerechnungDBE'!$AL15&gt;0)))))),IF(BN$4&gt;=$AD$126,0,BX24),IF(BP$9=3,IF(OR(BN$4&gt;=$AD$127,AND($G24=1,$J24=2,BN$6=2),AND(BN$6=1,$N24&lt;&gt;1)),0,IF(BR24&lt;=120,BX24,IF(BN$4&lt;$AD$124,IF($F24=1,60/BP$4*BP$6,60/BP$4*BP$7),IF($F24=1,120/BP$4*BP$6,120/BP$4*BP$7)))),IF(OR($F24=3,$G24=2),IF(OR(AND(BN$4&gt;=$AD$119,$C24=2),AND(BN$4&gt;=$AF$119,$C24=1)),0,IF(BR24&lt;=60,BX24,60/BP$4*BP$7)),IF(AND($F24=2,$G24=1),BX24,0)))))</f>
        <v>0</v>
      </c>
      <c r="CA24" s="57" t="str">
        <f t="shared" si="28"/>
        <v/>
      </c>
      <c r="CB24" s="57" t="str">
        <f t="shared" si="29"/>
        <v/>
      </c>
      <c r="CC24" s="713">
        <f>'org. Düngung 22'!X23</f>
        <v>0</v>
      </c>
      <c r="CD24" s="57"/>
      <c r="CE24" s="57"/>
      <c r="CF24" s="57">
        <f t="shared" si="30"/>
        <v>0</v>
      </c>
      <c r="CG24" s="57">
        <f t="shared" si="213"/>
        <v>0</v>
      </c>
      <c r="CH24" s="57">
        <f t="shared" si="214"/>
        <v>0</v>
      </c>
      <c r="CI24" s="57">
        <f t="shared" si="215"/>
        <v>0</v>
      </c>
      <c r="CJ24" s="57">
        <f t="shared" si="216"/>
        <v>0</v>
      </c>
      <c r="CK24" s="1029">
        <f t="shared" si="31"/>
        <v>0</v>
      </c>
      <c r="CL24" s="57">
        <f t="shared" si="32"/>
        <v>0</v>
      </c>
      <c r="CM24" s="171" t="str">
        <f t="shared" si="33"/>
        <v/>
      </c>
      <c r="CN24" s="57">
        <f t="shared" si="217"/>
        <v>0</v>
      </c>
      <c r="CO24" s="57">
        <f>IF(OR(AND(CC$6=1,$L24=0),AND(CC$6=2,$K24=2,$G24=1)),0,IF(AND(CE$9=2,(OR($F24&gt;1,$K24=1,AND($L24=80,OR($N24=1,AND($N24=2,'#BerechnungDBE'!$AL15&gt;0)))))),IF(CC$4&gt;=$AD$126,0,CM24),IF(CE$9=3,IF(OR(CC$4&gt;=$AD$127,AND($G24=1,$J24=2,CC$6=2),AND(CC$6=1,$N24&lt;&gt;1)),0,IF(CG24&lt;=120,CM24,IF(CC$4&lt;$AD$124,IF($F24=1,60/CE$4*CE$6,60/CE$4*CE$7),IF($F24=1,120/CE$4*CE$6,120/CE$4*CE$7)))),IF(OR($F24=3,$G24=2),IF(OR(AND(CC$4&gt;=$AD$119,$C24=2),AND(CC$4&gt;=$AF$119,$C24=1)),0,IF(CG24&lt;=60,CM24,60/CE$4*CE$7)),IF(AND($F24=2,$G24=1),CM24,0)))))</f>
        <v>0</v>
      </c>
      <c r="CP24" s="57" t="str">
        <f t="shared" si="34"/>
        <v/>
      </c>
      <c r="CQ24" s="57" t="str">
        <f t="shared" si="35"/>
        <v/>
      </c>
      <c r="CR24" s="713">
        <f>'org. Düngung 22'!AB23</f>
        <v>0</v>
      </c>
      <c r="CS24" s="57"/>
      <c r="CT24" s="57"/>
      <c r="CU24" s="57">
        <f t="shared" si="36"/>
        <v>0</v>
      </c>
      <c r="CV24" s="57">
        <f t="shared" si="218"/>
        <v>0</v>
      </c>
      <c r="CW24" s="57">
        <f t="shared" si="219"/>
        <v>0</v>
      </c>
      <c r="CX24" s="57">
        <f t="shared" si="220"/>
        <v>0</v>
      </c>
      <c r="CY24" s="57">
        <f t="shared" si="221"/>
        <v>0</v>
      </c>
      <c r="CZ24" s="1029">
        <f t="shared" si="37"/>
        <v>0</v>
      </c>
      <c r="DA24" s="57">
        <f t="shared" si="38"/>
        <v>0</v>
      </c>
      <c r="DB24" s="171" t="str">
        <f t="shared" si="39"/>
        <v/>
      </c>
      <c r="DC24" s="57">
        <f t="shared" si="222"/>
        <v>0</v>
      </c>
      <c r="DD24" s="57">
        <f>IF(OR(AND(CR$6=1,$L24=0),AND(CR$6=2,$K24=2,$G24=1)),0,IF(AND(CT$9=2,(OR($F24&gt;1,$K24=1,AND($L24=80,OR($N24=1,AND($N24=2,'#BerechnungDBE'!$AL15&gt;0)))))),IF(CR$4&gt;=$AD$126,0,DB24),IF(CT$9=3,IF(OR(CR$4&gt;=$AD$127,AND($G24=1,$J24=2,CR$6=2),AND(CR$6=1,$N24&lt;&gt;1)),0,IF(CV24&lt;=120,DB24,IF(CR$4&lt;$AD$124,IF($F24=1,60/CT$4*CT$6,60/CT$4*CT$7),IF($F24=1,120/CT$4*CT$6,120/CT$4*CT$7)))),IF(OR($F24=3,$G24=2),IF(OR(AND(CR$4&gt;=$AD$119,$C24=2),AND(CR$4&gt;=$AF$119,$C24=1)),0,IF(CV24&lt;=60,DB24,60/CT$4*CT$7)),IF(AND($F24=2,$G24=1),DB24,0)))))</f>
        <v>0</v>
      </c>
      <c r="DE24" s="57" t="str">
        <f t="shared" si="40"/>
        <v/>
      </c>
      <c r="DF24" s="57" t="str">
        <f t="shared" si="41"/>
        <v/>
      </c>
      <c r="DG24" s="713">
        <f>'org. Düngung 22'!AF23</f>
        <v>0</v>
      </c>
      <c r="DH24" s="57"/>
      <c r="DI24" s="57"/>
      <c r="DJ24" s="57">
        <f t="shared" si="42"/>
        <v>0</v>
      </c>
      <c r="DK24" s="57">
        <f t="shared" si="223"/>
        <v>0</v>
      </c>
      <c r="DL24" s="57">
        <f t="shared" si="224"/>
        <v>0</v>
      </c>
      <c r="DM24" s="57">
        <f t="shared" si="225"/>
        <v>0</v>
      </c>
      <c r="DN24" s="57">
        <f t="shared" si="226"/>
        <v>0</v>
      </c>
      <c r="DO24" s="1029">
        <f t="shared" si="43"/>
        <v>0</v>
      </c>
      <c r="DP24" s="57">
        <f t="shared" si="44"/>
        <v>0</v>
      </c>
      <c r="DQ24" s="171" t="str">
        <f t="shared" si="45"/>
        <v/>
      </c>
      <c r="DR24" s="57">
        <f t="shared" si="227"/>
        <v>0</v>
      </c>
      <c r="DS24" s="57">
        <f>IF(OR(AND(DG$6=1,$L24=0),AND(DG$6=2,$K24=2,$G24=1)),0,IF(AND(DI$9=2,(OR($F24&gt;1,$K24=1,AND($L24=80,OR($N24=1,AND($N24=2,'#BerechnungDBE'!$AL15&gt;0)))))),IF(DG$4&gt;=$AD$126,0,DQ24),IF(DI$9=3,IF(OR(DG$4&gt;=$AD$127,AND($G24=1,$J24=2,DG$6=2),AND(DG$6=1,$N24&lt;&gt;1)),0,IF(DK24&lt;=120,DQ24,IF(DG$4&lt;$AD$124,IF($F24=1,60/DI$4*DI$6,60/DI$4*DI$7),IF($F24=1,120/DI$4*DI$6,120/DI$4*DI$7)))),IF(OR($F24=3,$G24=2),IF(OR(AND(DG$4&gt;=$AD$119,$C24=2),AND(DG$4&gt;=$AF$119,$C24=1)),0,IF(DK24&lt;=60,DQ24,60/DI$4*DI$7)),IF(AND($F24=2,$G24=1),DQ24,0)))))</f>
        <v>0</v>
      </c>
      <c r="DT24" s="57" t="str">
        <f t="shared" si="46"/>
        <v/>
      </c>
      <c r="DU24" s="57" t="str">
        <f t="shared" si="47"/>
        <v/>
      </c>
      <c r="DV24" s="713">
        <f>'org. Düngung 22'!AJ23</f>
        <v>0</v>
      </c>
      <c r="DW24" s="57"/>
      <c r="DX24" s="57"/>
      <c r="DY24" s="57">
        <f t="shared" si="48"/>
        <v>0</v>
      </c>
      <c r="DZ24" s="57">
        <f t="shared" si="228"/>
        <v>0</v>
      </c>
      <c r="EA24" s="57">
        <f t="shared" si="229"/>
        <v>0</v>
      </c>
      <c r="EB24" s="57">
        <f t="shared" si="230"/>
        <v>0</v>
      </c>
      <c r="EC24" s="57">
        <f t="shared" si="231"/>
        <v>0</v>
      </c>
      <c r="ED24" s="1029">
        <f t="shared" si="49"/>
        <v>0</v>
      </c>
      <c r="EE24" s="57">
        <f t="shared" si="50"/>
        <v>0</v>
      </c>
      <c r="EF24" s="171" t="str">
        <f t="shared" si="51"/>
        <v/>
      </c>
      <c r="EG24" s="57">
        <f t="shared" si="232"/>
        <v>0</v>
      </c>
      <c r="EH24" s="57">
        <f>IF(OR(AND(DV$6=1,$L24=0),AND(DV$6=2,$K24=2,$G24=1)),0,IF(AND(DX$9=2,(OR($F24&gt;1,$K24=1,AND($L24=80,OR($N24=1,AND($N24=2,'#BerechnungDBE'!$AL15&gt;0)))))),IF(DV$4&gt;=$AD$126,0,EF24),IF(DX$9=3,IF(OR(DV$4&gt;=$AD$127,AND($G24=1,$J24=2,DV$6=2),AND(DV$6=1,$N24&lt;&gt;1)),0,IF(DZ24&lt;=120,EF24,IF(DV$4&lt;$AD$124,IF($F24=1,60/DX$4*DX$6,60/DX$4*DX$7),IF($F24=1,120/DX$4*DX$6,120/DX$4*DX$7)))),IF(OR($F24=3,$G24=2),IF(OR(AND(DV$4&gt;=$AD$119,$C24=2),AND(DV$4&gt;=$AF$119,$C24=1)),0,IF(DZ24&lt;=60,EF24,60/DX$4*DX$7)),IF(AND($F24=2,$G24=1),EF24,0)))))</f>
        <v>0</v>
      </c>
      <c r="EI24" s="57" t="str">
        <f t="shared" si="52"/>
        <v/>
      </c>
      <c r="EJ24" s="57" t="str">
        <f t="shared" si="53"/>
        <v/>
      </c>
      <c r="EK24" s="713">
        <f>'org. Düngung 22'!AN23</f>
        <v>0</v>
      </c>
      <c r="EL24" s="57"/>
      <c r="EM24" s="57"/>
      <c r="EN24" s="57">
        <f t="shared" si="54"/>
        <v>0</v>
      </c>
      <c r="EO24" s="57">
        <f t="shared" si="233"/>
        <v>0</v>
      </c>
      <c r="EP24" s="57">
        <f t="shared" si="234"/>
        <v>0</v>
      </c>
      <c r="EQ24" s="57">
        <f t="shared" si="235"/>
        <v>0</v>
      </c>
      <c r="ER24" s="57">
        <f t="shared" si="236"/>
        <v>0</v>
      </c>
      <c r="ES24" s="1029">
        <f t="shared" si="55"/>
        <v>0</v>
      </c>
      <c r="ET24" s="57">
        <f t="shared" si="56"/>
        <v>0</v>
      </c>
      <c r="EU24" s="171" t="str">
        <f t="shared" si="57"/>
        <v/>
      </c>
      <c r="EV24" s="57">
        <f t="shared" si="237"/>
        <v>0</v>
      </c>
      <c r="EW24" s="57">
        <f>IF(OR(AND(EK$6=1,$L24=0),AND(EK$6=2,$K24=2,$G24=1)),0,IF(AND(EM$9=2,(OR($F24&gt;1,$K24=1,AND($L24=80,OR($N24=1,AND($N24=2,'#BerechnungDBE'!$AL15&gt;0)))))),IF(EK$4&gt;=$AD$126,0,EU24),IF(EM$9=3,IF(OR(EK$4&gt;=$AD$127,AND($G24=1,$J24=2,EK$6=2),AND(EK$6=1,$N24&lt;&gt;1)),0,IF(EO24&lt;=120,EU24,IF(EK$4&lt;$AD$124,IF($F24=1,60/EM$4*EM$6,60/EM$4*EM$7),IF($F24=1,120/EM$4*EM$6,120/EM$4*EM$7)))),IF(OR($F24=3,$G24=2),IF(OR(AND(EK$4&gt;=$AD$119,$C24=2),AND(EK$4&gt;=$AF$119,$C24=1)),0,IF(EO24&lt;=60,EU24,60/EM$4*EM$7)),IF(AND($F24=2,$G24=1),EU24,0)))))</f>
        <v>0</v>
      </c>
      <c r="EX24" s="57" t="str">
        <f t="shared" si="58"/>
        <v/>
      </c>
      <c r="EY24" s="57" t="str">
        <f t="shared" si="59"/>
        <v/>
      </c>
      <c r="EZ24" s="713">
        <f>'org. Düngung 22'!AR23</f>
        <v>0</v>
      </c>
      <c r="FA24" s="57"/>
      <c r="FB24" s="57"/>
      <c r="FC24" s="57">
        <f t="shared" si="60"/>
        <v>0</v>
      </c>
      <c r="FD24" s="57">
        <f t="shared" si="238"/>
        <v>0</v>
      </c>
      <c r="FE24" s="57">
        <f t="shared" si="239"/>
        <v>0</v>
      </c>
      <c r="FF24" s="57">
        <f t="shared" si="240"/>
        <v>0</v>
      </c>
      <c r="FG24" s="57">
        <f t="shared" si="241"/>
        <v>0</v>
      </c>
      <c r="FH24" s="1029">
        <f t="shared" si="61"/>
        <v>0</v>
      </c>
      <c r="FI24" s="57">
        <f t="shared" si="62"/>
        <v>0</v>
      </c>
      <c r="FJ24" s="171" t="str">
        <f t="shared" si="63"/>
        <v/>
      </c>
      <c r="FK24" s="57">
        <f t="shared" si="242"/>
        <v>0</v>
      </c>
      <c r="FL24" s="57">
        <f>IF(OR(AND(EZ$6=1,$L24=0),AND(EZ$6=2,$K24=2,$G24=1)),0,IF(AND(FB$9=2,(OR($F24&gt;1,$K24=1,AND($L24=80,OR($N24=1,AND($N24=2,'#BerechnungDBE'!$AL15&gt;0)))))),IF(EZ$4&gt;=$AD$126,0,FJ24),IF(FB$9=3,IF(OR(EZ$4&gt;=$AD$127,AND($G24=1,$J24=2,EZ$6=2),AND(EZ$6=1,$N24&lt;&gt;1)),0,IF(FD24&lt;=120,FJ24,IF(EZ$4&lt;$AD$124,IF($F24=1,60/FB$4*FB$6,60/FB$4*FB$7),IF($F24=1,120/FB$4*FB$6,120/FB$4*FB$7)))),IF(OR($F24=3,$G24=2),IF(OR(AND(EZ$4&gt;=$AD$119,$C24=2),AND(EZ$4&gt;=$AF$119,$C24=1)),0,IF(FD24&lt;=60,FJ24,60/FB$4*FB$7)),IF(AND($F24=2,$G24=1),FJ24,0)))))</f>
        <v>0</v>
      </c>
      <c r="FM24" s="57" t="str">
        <f t="shared" si="64"/>
        <v/>
      </c>
      <c r="FN24" s="57" t="str">
        <f t="shared" si="65"/>
        <v/>
      </c>
      <c r="FO24" s="713">
        <f>'org. Düngung 22'!AV23</f>
        <v>0</v>
      </c>
      <c r="FP24" s="57"/>
      <c r="FQ24" s="57"/>
      <c r="FR24" s="57">
        <f t="shared" si="66"/>
        <v>0</v>
      </c>
      <c r="FS24" s="57">
        <f t="shared" si="243"/>
        <v>0</v>
      </c>
      <c r="FT24" s="57">
        <f t="shared" si="244"/>
        <v>0</v>
      </c>
      <c r="FU24" s="57">
        <f t="shared" si="245"/>
        <v>0</v>
      </c>
      <c r="FV24" s="57">
        <f t="shared" si="246"/>
        <v>0</v>
      </c>
      <c r="FW24" s="1029">
        <f t="shared" si="67"/>
        <v>0</v>
      </c>
      <c r="FX24" s="57">
        <f t="shared" si="68"/>
        <v>0</v>
      </c>
      <c r="FY24" s="171" t="str">
        <f t="shared" si="69"/>
        <v/>
      </c>
      <c r="FZ24" s="57">
        <f t="shared" si="247"/>
        <v>0</v>
      </c>
      <c r="GA24" s="57">
        <f>IF(OR(AND(FO$6=1,$L24=0),AND(FO$6=2,$K24=2,$G24=1)),0,IF(AND(FQ$9=2,(OR($F24&gt;1,$K24=1,AND($L24=80,OR($N24=1,AND($N24=2,'#BerechnungDBE'!$AL15&gt;0)))))),IF(FO$4&gt;=$AD$126,0,FY24),IF(FQ$9=3,IF(OR(FO$4&gt;=$AD$127,AND($G24=1,$J24=2,FO$6=2),AND(FO$6=1,$N24&lt;&gt;1)),0,IF(FS24&lt;=120,FY24,IF(FO$4&lt;$AD$124,IF($F24=1,60/FQ$4*FQ$6,60/FQ$4*FQ$7),IF($F24=1,120/FQ$4*FQ$6,120/FQ$4*FQ$7)))),IF(OR($F24=3,$G24=2),IF(OR(AND(FO$4&gt;=$AD$119,$C24=2),AND(FO$4&gt;=$AF$119,$C24=1)),0,IF(FS24&lt;=60,FY24,60/FQ$4*FQ$7)),IF(AND($F24=2,$G24=1),FY24,0)))))</f>
        <v>0</v>
      </c>
      <c r="GB24" s="57" t="str">
        <f t="shared" si="70"/>
        <v/>
      </c>
      <c r="GC24" s="57" t="str">
        <f t="shared" si="71"/>
        <v/>
      </c>
      <c r="GD24" s="713">
        <f>'org. Düngung 22'!AZ23</f>
        <v>0</v>
      </c>
      <c r="GE24" s="57"/>
      <c r="GF24" s="57"/>
      <c r="GG24" s="57">
        <f t="shared" si="72"/>
        <v>0</v>
      </c>
      <c r="GH24" s="57">
        <f t="shared" si="248"/>
        <v>0</v>
      </c>
      <c r="GI24" s="57">
        <f t="shared" si="249"/>
        <v>0</v>
      </c>
      <c r="GJ24" s="57">
        <f t="shared" si="250"/>
        <v>0</v>
      </c>
      <c r="GK24" s="57">
        <f t="shared" si="251"/>
        <v>0</v>
      </c>
      <c r="GL24" s="1029">
        <f t="shared" si="73"/>
        <v>0</v>
      </c>
      <c r="GM24" s="57">
        <f t="shared" si="74"/>
        <v>0</v>
      </c>
      <c r="GN24" s="171" t="str">
        <f t="shared" si="75"/>
        <v/>
      </c>
      <c r="GO24" s="57">
        <f t="shared" si="252"/>
        <v>0</v>
      </c>
      <c r="GP24" s="57">
        <f>IF(OR(AND(GD$6=1,$L24=0),AND(GD$6=2,$K24=2,$G24=1)),0,IF(AND(GF$9=2,(OR($F24&gt;1,$K24=1,AND($L24=80,OR($N24=1,AND($N24=2,'#BerechnungDBE'!$AL15&gt;0)))))),IF(GD$4&gt;=$AD$126,0,GN24),IF(GF$9=3,IF(OR(GD$4&gt;=$AD$127,AND($G24=1,$J24=2,GD$6=2),AND(GD$6=1,$N24&lt;&gt;1)),0,IF(GH24&lt;=120,GN24,IF(GD$4&lt;$AD$124,IF($F24=1,60/GF$4*GF$6,60/GF$4*GF$7),IF($F24=1,120/GF$4*GF$6,120/GF$4*GF$7)))),IF(OR($F24=3,$G24=2),IF(OR(AND(GD$4&gt;=$AD$119,$C24=2),AND(GD$4&gt;=$AF$119,$C24=1)),0,IF(GH24&lt;=60,GN24,60/GF$4*GF$7)),IF(AND($F24=2,$G24=1),GN24,0)))))</f>
        <v>0</v>
      </c>
      <c r="GQ24" s="57" t="str">
        <f t="shared" si="76"/>
        <v/>
      </c>
      <c r="GR24" s="57" t="str">
        <f t="shared" si="77"/>
        <v/>
      </c>
      <c r="GS24" s="713">
        <f>'org. Düngung 22'!BD23</f>
        <v>0</v>
      </c>
      <c r="GT24" s="57"/>
      <c r="GU24" s="57"/>
      <c r="GV24" s="57">
        <f t="shared" si="78"/>
        <v>0</v>
      </c>
      <c r="GW24" s="57">
        <f t="shared" si="253"/>
        <v>0</v>
      </c>
      <c r="GX24" s="57">
        <f t="shared" si="254"/>
        <v>0</v>
      </c>
      <c r="GY24" s="57">
        <f t="shared" si="255"/>
        <v>0</v>
      </c>
      <c r="GZ24" s="57">
        <f t="shared" si="256"/>
        <v>0</v>
      </c>
      <c r="HA24" s="1029">
        <f t="shared" si="79"/>
        <v>0</v>
      </c>
      <c r="HB24" s="57">
        <f t="shared" si="80"/>
        <v>0</v>
      </c>
      <c r="HC24" s="171" t="str">
        <f t="shared" si="81"/>
        <v/>
      </c>
      <c r="HD24" s="57">
        <f t="shared" si="257"/>
        <v>0</v>
      </c>
      <c r="HE24" s="57">
        <f>IF(OR(AND(GS$6=1,$L24=0),AND(GS$6=2,$K24=2,$G24=1)),0,IF(AND(GU$9=2,(OR($F24&gt;1,$K24=1,AND($L24=80,OR($N24=1,AND($N24=2,'#BerechnungDBE'!$AL15&gt;0)))))),IF(GS$4&gt;=$AD$126,0,HC24),IF(GU$9=3,IF(OR(GS$4&gt;=$AD$127,AND($G24=1,$J24=2,GS$6=2),AND(GS$6=1,$N24&lt;&gt;1)),0,IF(GW24&lt;=120,HC24,IF(GS$4&lt;$AD$124,IF($F24=1,60/GU$4*GU$6,60/GU$4*GU$7),IF($F24=1,120/GU$4*GU$6,120/GU$4*GU$7)))),IF(OR($F24=3,$G24=2),IF(OR(AND(GS$4&gt;=$AD$119,$C24=2),AND(GS$4&gt;=$AF$119,$C24=1)),0,IF(GW24&lt;=60,HC24,60/GU$4*GU$7)),IF(AND($F24=2,$G24=1),HC24,0)))))</f>
        <v>0</v>
      </c>
      <c r="HF24" s="57" t="str">
        <f t="shared" si="82"/>
        <v/>
      </c>
      <c r="HG24" s="57" t="str">
        <f t="shared" si="83"/>
        <v/>
      </c>
      <c r="HH24" s="713">
        <f>'org. Düngung 22'!BH23</f>
        <v>0</v>
      </c>
      <c r="HI24" s="57"/>
      <c r="HJ24" s="57"/>
      <c r="HK24" s="57">
        <f t="shared" si="84"/>
        <v>0</v>
      </c>
      <c r="HL24" s="57">
        <f t="shared" si="258"/>
        <v>0</v>
      </c>
      <c r="HM24" s="57">
        <f t="shared" si="259"/>
        <v>0</v>
      </c>
      <c r="HN24" s="57">
        <f t="shared" si="260"/>
        <v>0</v>
      </c>
      <c r="HO24" s="57">
        <f t="shared" si="261"/>
        <v>0</v>
      </c>
      <c r="HP24" s="1029">
        <f t="shared" si="85"/>
        <v>0</v>
      </c>
      <c r="HQ24" s="57">
        <f t="shared" si="86"/>
        <v>0</v>
      </c>
      <c r="HR24" s="171" t="str">
        <f t="shared" si="87"/>
        <v/>
      </c>
      <c r="HS24" s="57">
        <f t="shared" si="262"/>
        <v>0</v>
      </c>
      <c r="HT24" s="57">
        <f>IF(OR(AND(HH$6=1,$L24=0),AND(HH$6=2,$K24=2,$G24=1)),0,IF(AND(HJ$9=2,(OR($F24&gt;1,$K24=1,AND($L24=80,OR($N24=1,AND($N24=2,'#BerechnungDBE'!$AL15&gt;0)))))),IF(HH$4&gt;=$AD$126,0,HR24),IF(HJ$9=3,IF(OR(HH$4&gt;=$AD$127,AND($G24=1,$J24=2,HH$6=2),AND(HH$6=1,$N24&lt;&gt;1)),0,IF(HL24&lt;=120,HR24,IF(HH$4&lt;$AD$124,IF($F24=1,60/HJ$4*HJ$6,60/HJ$4*HJ$7),IF($F24=1,120/HJ$4*HJ$6,120/HJ$4*HJ$7)))),IF(OR($F24=3,$G24=2),IF(OR(AND(HH$4&gt;=$AD$119,$C24=2),AND(HH$4&gt;=$AF$119,$C24=1)),0,IF(HL24&lt;=60,HR24,60/HJ$4*HJ$7)),IF(AND($F24=2,$G24=1),HR24,0)))))</f>
        <v>0</v>
      </c>
      <c r="HU24" s="57" t="str">
        <f t="shared" si="88"/>
        <v/>
      </c>
      <c r="HV24" s="57" t="str">
        <f t="shared" si="89"/>
        <v/>
      </c>
      <c r="HW24" s="713">
        <f>'org. Düngung 22'!BL23</f>
        <v>0</v>
      </c>
      <c r="HX24" s="57"/>
      <c r="HY24" s="57"/>
      <c r="HZ24" s="57">
        <f t="shared" si="90"/>
        <v>0</v>
      </c>
      <c r="IA24" s="57">
        <f t="shared" si="263"/>
        <v>0</v>
      </c>
      <c r="IB24" s="57">
        <f t="shared" si="264"/>
        <v>0</v>
      </c>
      <c r="IC24" s="57">
        <f t="shared" si="265"/>
        <v>0</v>
      </c>
      <c r="ID24" s="57">
        <f t="shared" si="266"/>
        <v>0</v>
      </c>
      <c r="IE24" s="1029">
        <f t="shared" si="91"/>
        <v>0</v>
      </c>
      <c r="IF24" s="57">
        <f t="shared" si="92"/>
        <v>0</v>
      </c>
      <c r="IG24" s="171" t="str">
        <f t="shared" si="93"/>
        <v/>
      </c>
      <c r="IH24" s="57">
        <f t="shared" si="267"/>
        <v>0</v>
      </c>
      <c r="II24" s="57">
        <f>IF(OR(AND(HW$6=1,$L24=0),AND(HW$6=2,$K24=2,$G24=1)),0,IF(AND(HY$9=2,(OR($F24&gt;1,$K24=1,AND($L24=80,OR($N24=1,AND($N24=2,'#BerechnungDBE'!$AL15&gt;0)))))),IF(HW$4&gt;=$AD$126,0,IG24),IF(HY$9=3,IF(OR(HW$4&gt;=$AD$127,AND($G24=1,$J24=2,HW$6=2),AND(HW$6=1,$N24&lt;&gt;1)),0,IF(IA24&lt;=120,IG24,IF(HW$4&lt;$AD$124,IF($F24=1,60/HY$4*HY$6,60/HY$4*HY$7),IF($F24=1,120/HY$4*HY$6,120/HY$4*HY$7)))),IF(OR($F24=3,$G24=2),IF(OR(AND(HW$4&gt;=$AD$119,$C24=2),AND(HW$4&gt;=$AF$119,$C24=1)),0,IF(IA24&lt;=60,IG24,60/HY$4*HY$7)),IF(AND($F24=2,$G24=1),IG24,0)))))</f>
        <v>0</v>
      </c>
      <c r="IJ24" s="57" t="str">
        <f t="shared" si="94"/>
        <v/>
      </c>
      <c r="IK24" s="57" t="str">
        <f t="shared" si="95"/>
        <v/>
      </c>
      <c r="IL24" s="713">
        <f>'org. Düngung 22'!BP23</f>
        <v>0</v>
      </c>
      <c r="IM24" s="57"/>
      <c r="IN24" s="57"/>
      <c r="IO24" s="57">
        <f t="shared" si="96"/>
        <v>0</v>
      </c>
      <c r="IP24" s="57">
        <f t="shared" si="268"/>
        <v>0</v>
      </c>
      <c r="IQ24" s="57">
        <f t="shared" si="269"/>
        <v>0</v>
      </c>
      <c r="IR24" s="57">
        <f t="shared" si="270"/>
        <v>0</v>
      </c>
      <c r="IS24" s="57">
        <f t="shared" si="271"/>
        <v>0</v>
      </c>
      <c r="IT24" s="1029">
        <f t="shared" si="97"/>
        <v>0</v>
      </c>
      <c r="IU24" s="57">
        <f t="shared" si="98"/>
        <v>0</v>
      </c>
      <c r="IV24" s="171" t="str">
        <f t="shared" si="99"/>
        <v/>
      </c>
      <c r="IW24" s="57">
        <f t="shared" si="272"/>
        <v>0</v>
      </c>
      <c r="IX24" s="57">
        <f>IF(OR(AND(IL$6=1,$L24=0),AND(IL$6=2,$K24=2,$G24=1)),0,IF(AND(IN$9=2,(OR($F24&gt;1,$K24=1,AND($L24=80,OR($N24=1,AND($N24=2,'#BerechnungDBE'!$AL15&gt;0)))))),IF(IL$4&gt;=$AD$126,0,IV24),IF(IN$9=3,IF(OR(IL$4&gt;=$AD$127,AND($G24=1,$J24=2,IL$6=2),AND(IL$6=1,$N24&lt;&gt;1)),0,IF(IP24&lt;=120,IV24,IF(IL$4&lt;$AD$124,IF($F24=1,60/IN$4*IN$6,60/IN$4*IN$7),IF($F24=1,120/IN$4*IN$6,120/IN$4*IN$7)))),IF(OR($F24=3,$G24=2),IF(OR(AND(IL$4&gt;=$AD$119,$C24=2),AND(IL$4&gt;=$AF$119,$C24=1)),0,IF(IP24&lt;=60,IV24,60/IN$4*IN$7)),IF(AND($F24=2,$G24=1),IV24,0)))))</f>
        <v>0</v>
      </c>
      <c r="IY24" s="57" t="str">
        <f t="shared" si="100"/>
        <v/>
      </c>
      <c r="IZ24" s="57" t="str">
        <f t="shared" si="101"/>
        <v/>
      </c>
      <c r="JA24" s="713">
        <f>'org. Düngung 22'!BT23</f>
        <v>0</v>
      </c>
      <c r="JB24" s="57"/>
      <c r="JC24" s="57"/>
      <c r="JD24" s="57">
        <f t="shared" si="102"/>
        <v>0</v>
      </c>
      <c r="JE24" s="57">
        <f t="shared" si="273"/>
        <v>0</v>
      </c>
      <c r="JF24" s="57">
        <f t="shared" si="274"/>
        <v>0</v>
      </c>
      <c r="JG24" s="57">
        <f t="shared" si="275"/>
        <v>0</v>
      </c>
      <c r="JH24" s="57">
        <f t="shared" si="276"/>
        <v>0</v>
      </c>
      <c r="JI24" s="1029">
        <f t="shared" si="103"/>
        <v>0</v>
      </c>
      <c r="JJ24" s="57">
        <f t="shared" si="104"/>
        <v>0</v>
      </c>
      <c r="JK24" s="171" t="str">
        <f t="shared" si="105"/>
        <v/>
      </c>
      <c r="JL24" s="57">
        <f t="shared" si="277"/>
        <v>0</v>
      </c>
      <c r="JM24" s="57">
        <f>IF(OR(AND(JA$6=1,$L24=0),AND(JA$6=2,$K24=2,$G24=1)),0,IF(AND(JC$9=2,(OR($F24&gt;1,$K24=1,AND($L24=80,OR($N24=1,AND($N24=2,'#BerechnungDBE'!$AL15&gt;0)))))),IF(JA$4&gt;=$AD$126,0,JK24),IF(JC$9=3,IF(OR(JA$4&gt;=$AD$127,AND($G24=1,$J24=2,JA$6=2),AND(JA$6=1,$N24&lt;&gt;1)),0,IF(JE24&lt;=120,JK24,IF(JA$4&lt;$AD$124,IF($F24=1,60/JC$4*JC$6,60/JC$4*JC$7),IF($F24=1,120/JC$4*JC$6,120/JC$4*JC$7)))),IF(OR($F24=3,$G24=2),IF(OR(AND(JA$4&gt;=$AD$119,$C24=2),AND(JA$4&gt;=$AF$119,$C24=1)),0,IF(JE24&lt;=60,JK24,60/JC$4*JC$7)),IF(AND($F24=2,$G24=1),JK24,0)))))</f>
        <v>0</v>
      </c>
      <c r="JN24" s="57" t="str">
        <f t="shared" si="106"/>
        <v/>
      </c>
      <c r="JO24" s="57" t="str">
        <f t="shared" si="107"/>
        <v/>
      </c>
      <c r="JP24" s="713">
        <f>'org. Düngung 22'!BX23</f>
        <v>0</v>
      </c>
      <c r="JQ24" s="57"/>
      <c r="JR24" s="57"/>
      <c r="JS24" s="57">
        <f t="shared" si="108"/>
        <v>0</v>
      </c>
      <c r="JT24" s="57">
        <f t="shared" si="278"/>
        <v>0</v>
      </c>
      <c r="JU24" s="57">
        <f t="shared" si="279"/>
        <v>0</v>
      </c>
      <c r="JV24" s="57">
        <f t="shared" si="280"/>
        <v>0</v>
      </c>
      <c r="JW24" s="57">
        <f t="shared" si="281"/>
        <v>0</v>
      </c>
      <c r="JX24" s="1029">
        <f t="shared" si="109"/>
        <v>0</v>
      </c>
      <c r="JY24" s="57">
        <f t="shared" si="110"/>
        <v>0</v>
      </c>
      <c r="JZ24" s="171" t="str">
        <f t="shared" si="111"/>
        <v/>
      </c>
      <c r="KA24" s="57">
        <f t="shared" si="282"/>
        <v>0</v>
      </c>
      <c r="KB24" s="57">
        <f>IF(OR(AND(JP$6=1,$L24=0),AND(JP$6=2,$K24=2,$G24=1)),0,IF(AND(JR$9=2,(OR($F24&gt;1,$K24=1,AND($L24=80,OR($N24=1,AND($N24=2,'#BerechnungDBE'!$AL15&gt;0)))))),IF(JP$4&gt;=$AD$126,0,JZ24),IF(JR$9=3,IF(OR(JP$4&gt;=$AD$127,AND($G24=1,$J24=2,JP$6=2),AND(JP$6=1,$N24&lt;&gt;1)),0,IF(JT24&lt;=120,JZ24,IF(JP$4&lt;$AD$124,IF($F24=1,60/JR$4*JR$6,60/JR$4*JR$7),IF($F24=1,120/JR$4*JR$6,120/JR$4*JR$7)))),IF(OR($F24=3,$G24=2),IF(OR(AND(JP$4&gt;=$AD$119,$C24=2),AND(JP$4&gt;=$AF$119,$C24=1)),0,IF(JT24&lt;=60,JZ24,60/JR$4*JR$7)),IF(AND($F24=2,$G24=1),JZ24,0)))))</f>
        <v>0</v>
      </c>
      <c r="KC24" s="57" t="str">
        <f t="shared" si="112"/>
        <v/>
      </c>
      <c r="KD24" s="57" t="str">
        <f t="shared" si="113"/>
        <v/>
      </c>
      <c r="KE24" s="713">
        <f>'org. Düngung 22'!CB23</f>
        <v>0</v>
      </c>
      <c r="KF24" s="57"/>
      <c r="KG24" s="57"/>
      <c r="KH24" s="57">
        <f t="shared" si="114"/>
        <v>0</v>
      </c>
      <c r="KI24" s="57">
        <f t="shared" si="283"/>
        <v>0</v>
      </c>
      <c r="KJ24" s="57">
        <f t="shared" si="284"/>
        <v>0</v>
      </c>
      <c r="KK24" s="57">
        <f t="shared" si="285"/>
        <v>0</v>
      </c>
      <c r="KL24" s="57">
        <f t="shared" si="286"/>
        <v>0</v>
      </c>
      <c r="KM24" s="1029">
        <f t="shared" si="115"/>
        <v>0</v>
      </c>
      <c r="KN24" s="57">
        <f t="shared" si="116"/>
        <v>0</v>
      </c>
      <c r="KO24" s="171" t="str">
        <f t="shared" si="117"/>
        <v/>
      </c>
      <c r="KP24" s="57">
        <f t="shared" si="287"/>
        <v>0</v>
      </c>
      <c r="KQ24" s="57">
        <f>IF(OR(AND(KE$6=1,$L24=0),AND(KE$6=2,$K24=2,$G24=1)),0,IF(AND(KG$9=2,(OR($F24&gt;1,$K24=1,AND($L24=80,OR($N24=1,AND($N24=2,'#BerechnungDBE'!$AL15&gt;0)))))),IF(KE$4&gt;=$AD$126,0,KO24),IF(KG$9=3,IF(OR(KE$4&gt;=$AD$127,AND($G24=1,$J24=2,KE$6=2),AND(KE$6=1,$N24&lt;&gt;1)),0,IF(KI24&lt;=120,KO24,IF(KE$4&lt;$AD$124,IF($F24=1,60/KG$4*KG$6,60/KG$4*KG$7),IF($F24=1,120/KG$4*KG$6,120/KG$4*KG$7)))),IF(OR($F24=3,$G24=2),IF(OR(AND(KE$4&gt;=$AD$119,$C24=2),AND(KE$4&gt;=$AF$119,$C24=1)),0,IF(KI24&lt;=60,KO24,60/KG$4*KG$7)),IF(AND($F24=2,$G24=1),KO24,0)))))</f>
        <v>0</v>
      </c>
      <c r="KR24" s="57" t="str">
        <f t="shared" si="118"/>
        <v/>
      </c>
      <c r="KS24" s="57" t="str">
        <f t="shared" si="119"/>
        <v/>
      </c>
      <c r="KT24" s="713">
        <f>'org. Düngung 22'!CF23</f>
        <v>0</v>
      </c>
      <c r="KU24" s="57"/>
      <c r="KV24" s="57"/>
      <c r="KW24" s="57">
        <f t="shared" si="120"/>
        <v>0</v>
      </c>
      <c r="KX24" s="57">
        <f t="shared" si="288"/>
        <v>0</v>
      </c>
      <c r="KY24" s="57">
        <f t="shared" si="289"/>
        <v>0</v>
      </c>
      <c r="KZ24" s="57">
        <f t="shared" si="290"/>
        <v>0</v>
      </c>
      <c r="LA24" s="57">
        <f t="shared" si="291"/>
        <v>0</v>
      </c>
      <c r="LB24" s="1029">
        <f t="shared" si="121"/>
        <v>0</v>
      </c>
      <c r="LC24" s="57">
        <f t="shared" si="122"/>
        <v>0</v>
      </c>
      <c r="LD24" s="171" t="str">
        <f t="shared" si="123"/>
        <v/>
      </c>
      <c r="LE24" s="57">
        <f t="shared" si="292"/>
        <v>0</v>
      </c>
      <c r="LF24" s="57">
        <f>IF(OR(AND(KT$6=1,$L24=0),AND(KT$6=2,$K24=2,$G24=1)),0,IF(AND(KV$9=2,(OR($F24&gt;1,$K24=1,AND($L24=80,OR($N24=1,AND($N24=2,'#BerechnungDBE'!$AL15&gt;0)))))),IF(KT$4&gt;=$AD$126,0,LD24),IF(KV$9=3,IF(OR(KT$4&gt;=$AD$127,AND($G24=1,$J24=2,KT$6=2),AND(KT$6=1,$N24&lt;&gt;1)),0,IF(KX24&lt;=120,LD24,IF(KT$4&lt;$AD$124,IF($F24=1,60/KV$4*KV$6,60/KV$4*KV$7),IF($F24=1,120/KV$4*KV$6,120/KV$4*KV$7)))),IF(OR($F24=3,$G24=2),IF(OR(AND(KT$4&gt;=$AD$119,$C24=2),AND(KT$4&gt;=$AF$119,$C24=1)),0,IF(KX24&lt;=60,LD24,60/KV$4*KV$7)),IF(AND($F24=2,$G24=1),LD24,0)))))</f>
        <v>0</v>
      </c>
      <c r="LG24" s="57" t="str">
        <f t="shared" si="124"/>
        <v/>
      </c>
      <c r="LH24" s="57" t="str">
        <f t="shared" si="125"/>
        <v/>
      </c>
      <c r="LI24" s="713">
        <f>'org. Düngung 22'!CJ23</f>
        <v>0</v>
      </c>
      <c r="LJ24" s="57"/>
      <c r="LK24" s="57"/>
      <c r="LL24" s="57">
        <f t="shared" si="126"/>
        <v>0</v>
      </c>
      <c r="LM24" s="57">
        <f t="shared" si="293"/>
        <v>0</v>
      </c>
      <c r="LN24" s="57">
        <f t="shared" si="294"/>
        <v>0</v>
      </c>
      <c r="LO24" s="57">
        <f t="shared" si="295"/>
        <v>0</v>
      </c>
      <c r="LP24" s="57">
        <f t="shared" si="296"/>
        <v>0</v>
      </c>
      <c r="LQ24" s="1029">
        <f t="shared" si="127"/>
        <v>0</v>
      </c>
      <c r="LR24" s="57">
        <f t="shared" si="128"/>
        <v>0</v>
      </c>
      <c r="LS24" s="171" t="str">
        <f t="shared" si="129"/>
        <v/>
      </c>
      <c r="LT24" s="57">
        <f t="shared" si="297"/>
        <v>0</v>
      </c>
      <c r="LU24" s="57">
        <f>IF(OR(AND(LI$6=1,$L24=0),AND(LI$6=2,$K24=2,$G24=1)),0,IF(AND(LK$9=2,(OR($F24&gt;1,$K24=1,AND($L24=80,OR($N24=1,AND($N24=2,'#BerechnungDBE'!$AL15&gt;0)))))),IF(LI$4&gt;=$AD$126,0,LS24),IF(LK$9=3,IF(OR(LI$4&gt;=$AD$127,AND($G24=1,$J24=2,LI$6=2),AND(LI$6=1,$N24&lt;&gt;1)),0,IF(LM24&lt;=120,LS24,IF(LI$4&lt;$AD$124,IF($F24=1,60/LK$4*LK$6,60/LK$4*LK$7),IF($F24=1,120/LK$4*LK$6,120/LK$4*LK$7)))),IF(OR($F24=3,$G24=2),IF(OR(AND(LI$4&gt;=$AD$119,$C24=2),AND(LI$4&gt;=$AF$119,$C24=1)),0,IF(LM24&lt;=60,LS24,60/LK$4*LK$7)),IF(AND($F24=2,$G24=1),LS24,0)))))</f>
        <v>0</v>
      </c>
      <c r="LV24" s="57" t="str">
        <f t="shared" si="130"/>
        <v/>
      </c>
      <c r="LW24" s="57" t="str">
        <f t="shared" si="131"/>
        <v/>
      </c>
      <c r="LX24" s="713">
        <f>'org. Düngung 22'!CN23</f>
        <v>0</v>
      </c>
      <c r="LY24" s="57"/>
      <c r="LZ24" s="57"/>
      <c r="MA24" s="57">
        <f t="shared" si="132"/>
        <v>0</v>
      </c>
      <c r="MB24" s="57">
        <f t="shared" si="298"/>
        <v>0</v>
      </c>
      <c r="MC24" s="57">
        <f t="shared" si="299"/>
        <v>0</v>
      </c>
      <c r="MD24" s="57">
        <f t="shared" si="300"/>
        <v>0</v>
      </c>
      <c r="ME24" s="57">
        <f t="shared" si="301"/>
        <v>0</v>
      </c>
      <c r="MF24" s="1029">
        <f t="shared" si="133"/>
        <v>0</v>
      </c>
      <c r="MG24" s="57">
        <f t="shared" si="134"/>
        <v>0</v>
      </c>
      <c r="MH24" s="171" t="str">
        <f t="shared" si="135"/>
        <v/>
      </c>
      <c r="MI24" s="57">
        <f t="shared" si="302"/>
        <v>0</v>
      </c>
      <c r="MJ24" s="57">
        <f>IF(OR(AND(LX$6=1,$L24=0),AND(LX$6=2,$K24=2,$G24=1)),0,IF(AND(LZ$9=2,(OR($F24&gt;1,$K24=1,AND($L24=80,OR($N24=1,AND($N24=2,'#BerechnungDBE'!$AL15&gt;0)))))),IF(LX$4&gt;=$AD$126,0,MH24),IF(LZ$9=3,IF(OR(LX$4&gt;=$AD$127,AND($G24=1,$J24=2,LX$6=2),AND(LX$6=1,$N24&lt;&gt;1)),0,IF(MB24&lt;=120,MH24,IF(LX$4&lt;$AD$124,IF($F24=1,60/LZ$4*LZ$6,60/LZ$4*LZ$7),IF($F24=1,120/LZ$4*LZ$6,120/LZ$4*LZ$7)))),IF(OR($F24=3,$G24=2),IF(OR(AND(LX$4&gt;=$AD$119,$C24=2),AND(LX$4&gt;=$AF$119,$C24=1)),0,IF(MB24&lt;=60,MH24,60/LZ$4*LZ$7)),IF(AND($F24=2,$G24=1),MH24,0)))))</f>
        <v>0</v>
      </c>
      <c r="MK24" s="57" t="str">
        <f t="shared" si="136"/>
        <v/>
      </c>
      <c r="ML24" s="57" t="str">
        <f t="shared" si="137"/>
        <v/>
      </c>
      <c r="MM24" s="713">
        <f>'org. Düngung 22'!CR23</f>
        <v>0</v>
      </c>
      <c r="MN24" s="57"/>
      <c r="MO24" s="57"/>
      <c r="MP24" s="57">
        <f t="shared" si="138"/>
        <v>0</v>
      </c>
      <c r="MQ24" s="57">
        <f t="shared" si="303"/>
        <v>0</v>
      </c>
      <c r="MR24" s="57">
        <f t="shared" si="304"/>
        <v>0</v>
      </c>
      <c r="MS24" s="57">
        <f t="shared" si="305"/>
        <v>0</v>
      </c>
      <c r="MT24" s="57">
        <f t="shared" si="306"/>
        <v>0</v>
      </c>
      <c r="MU24" s="1029">
        <f t="shared" si="139"/>
        <v>0</v>
      </c>
      <c r="MV24" s="57">
        <f t="shared" si="140"/>
        <v>0</v>
      </c>
      <c r="MW24" s="171" t="str">
        <f t="shared" si="141"/>
        <v/>
      </c>
      <c r="MX24" s="57">
        <f t="shared" si="307"/>
        <v>0</v>
      </c>
      <c r="MY24" s="57">
        <f>IF(OR(AND(MM$6=1,$L24=0),AND(MM$6=2,$K24=2,$G24=1)),0,IF(AND(MO$9=2,(OR($F24&gt;1,$K24=1,AND($L24=80,OR($N24=1,AND($N24=2,'#BerechnungDBE'!$AL15&gt;0)))))),IF(MM$4&gt;=$AD$126,0,MW24),IF(MO$9=3,IF(OR(MM$4&gt;=$AD$127,AND($G24=1,$J24=2,MM$6=2),AND(MM$6=1,$N24&lt;&gt;1)),0,IF(MQ24&lt;=120,MW24,IF(MM$4&lt;$AD$124,IF($F24=1,60/MO$4*MO$6,60/MO$4*MO$7),IF($F24=1,120/MO$4*MO$6,120/MO$4*MO$7)))),IF(OR($F24=3,$G24=2),IF(OR(AND(MM$4&gt;=$AD$119,$C24=2),AND(MM$4&gt;=$AF$119,$C24=1)),0,IF(MQ24&lt;=60,MW24,60/MO$4*MO$7)),IF(AND($F24=2,$G24=1),MW24,0)))))</f>
        <v>0</v>
      </c>
      <c r="MZ24" s="57" t="str">
        <f t="shared" si="142"/>
        <v/>
      </c>
      <c r="NA24" s="57" t="str">
        <f t="shared" si="143"/>
        <v/>
      </c>
      <c r="NB24" s="713">
        <f>'org. Düngung 22'!CV23</f>
        <v>0</v>
      </c>
      <c r="NC24" s="57"/>
      <c r="ND24" s="57"/>
      <c r="NE24" s="57">
        <f t="shared" si="144"/>
        <v>0</v>
      </c>
      <c r="NF24" s="57">
        <f t="shared" si="308"/>
        <v>0</v>
      </c>
      <c r="NG24" s="57">
        <f t="shared" si="309"/>
        <v>0</v>
      </c>
      <c r="NH24" s="57">
        <f t="shared" si="310"/>
        <v>0</v>
      </c>
      <c r="NI24" s="57">
        <f t="shared" si="311"/>
        <v>0</v>
      </c>
      <c r="NJ24" s="1029">
        <f t="shared" si="145"/>
        <v>0</v>
      </c>
      <c r="NK24" s="57">
        <f t="shared" si="146"/>
        <v>0</v>
      </c>
      <c r="NL24" s="171" t="str">
        <f t="shared" si="147"/>
        <v/>
      </c>
      <c r="NM24" s="57">
        <f t="shared" si="312"/>
        <v>0</v>
      </c>
      <c r="NN24" s="57">
        <f>IF(OR(AND(NB$6=1,$L24=0),AND(NB$6=2,$K24=2,$G24=1)),0,IF(AND(ND$9=2,(OR($F24&gt;1,$K24=1,AND($L24=80,OR($N24=1,AND($N24=2,'#BerechnungDBE'!$AL15&gt;0)))))),IF(NB$4&gt;=$AD$126,0,NL24),IF(ND$9=3,IF(OR(NB$4&gt;=$AD$127,AND($G24=1,$J24=2,NB$6=2),AND(NB$6=1,$N24&lt;&gt;1)),0,IF(NF24&lt;=120,NL24,IF(NB$4&lt;$AD$124,IF($F24=1,60/ND$4*ND$6,60/ND$4*ND$7),IF($F24=1,120/ND$4*ND$6,120/ND$4*ND$7)))),IF(OR($F24=3,$G24=2),IF(OR(AND(NB$4&gt;=$AD$119,$C24=2),AND(NB$4&gt;=$AF$119,$C24=1)),0,IF(NF24&lt;=60,NL24,60/ND$4*ND$7)),IF(AND($F24=2,$G24=1),NL24,0)))))</f>
        <v>0</v>
      </c>
      <c r="NO24" s="57" t="str">
        <f t="shared" si="148"/>
        <v/>
      </c>
      <c r="NP24" s="57" t="str">
        <f t="shared" si="149"/>
        <v/>
      </c>
      <c r="NQ24" s="713">
        <f>'org. Düngung 22'!CZ23</f>
        <v>0</v>
      </c>
      <c r="NR24" s="57"/>
      <c r="NS24" s="57"/>
      <c r="NT24" s="57">
        <f t="shared" si="150"/>
        <v>0</v>
      </c>
      <c r="NU24" s="57">
        <f t="shared" si="313"/>
        <v>0</v>
      </c>
      <c r="NV24" s="57">
        <f t="shared" si="314"/>
        <v>0</v>
      </c>
      <c r="NW24" s="57">
        <f t="shared" si="315"/>
        <v>0</v>
      </c>
      <c r="NX24" s="57">
        <f t="shared" si="316"/>
        <v>0</v>
      </c>
      <c r="NY24" s="1029">
        <f t="shared" si="151"/>
        <v>0</v>
      </c>
      <c r="NZ24" s="57">
        <f t="shared" si="152"/>
        <v>0</v>
      </c>
      <c r="OA24" s="171" t="str">
        <f t="shared" si="153"/>
        <v/>
      </c>
      <c r="OB24" s="57">
        <f t="shared" si="317"/>
        <v>0</v>
      </c>
      <c r="OC24" s="57">
        <f>IF(OR(AND(NQ$6=1,$L24=0),AND(NQ$6=2,$K24=2,$G24=1)),0,IF(AND(NS$9=2,(OR($F24&gt;1,$K24=1,AND($L24=80,OR($N24=1,AND($N24=2,'#BerechnungDBE'!$AL15&gt;0)))))),IF(NQ$4&gt;=$AD$126,0,OA24),IF(NS$9=3,IF(OR(NQ$4&gt;=$AD$127,AND($G24=1,$J24=2,NQ$6=2),AND(NQ$6=1,$N24&lt;&gt;1)),0,IF(NU24&lt;=120,OA24,IF(NQ$4&lt;$AD$124,IF($F24=1,60/NS$4*NS$6,60/NS$4*NS$7),IF($F24=1,120/NS$4*NS$6,120/NS$4*NS$7)))),IF(OR($F24=3,$G24=2),IF(OR(AND(NQ$4&gt;=$AD$119,$C24=2),AND(NQ$4&gt;=$AF$119,$C24=1)),0,IF(NU24&lt;=60,OA24,60/NS$4*NS$7)),IF(AND($F24=2,$G24=1),OA24,0)))))</f>
        <v>0</v>
      </c>
      <c r="OD24" s="57" t="str">
        <f t="shared" si="154"/>
        <v/>
      </c>
      <c r="OE24" s="57" t="str">
        <f t="shared" si="155"/>
        <v/>
      </c>
      <c r="OF24" s="713">
        <f>'org. Düngung 22'!DD23</f>
        <v>0</v>
      </c>
      <c r="OG24" s="57"/>
      <c r="OH24" s="57"/>
      <c r="OI24" s="57">
        <f t="shared" si="156"/>
        <v>0</v>
      </c>
      <c r="OJ24" s="57">
        <f t="shared" si="318"/>
        <v>0</v>
      </c>
      <c r="OK24" s="57">
        <f t="shared" si="319"/>
        <v>0</v>
      </c>
      <c r="OL24" s="57">
        <f t="shared" si="320"/>
        <v>0</v>
      </c>
      <c r="OM24" s="57">
        <f t="shared" si="321"/>
        <v>0</v>
      </c>
      <c r="ON24" s="1029">
        <f t="shared" si="157"/>
        <v>0</v>
      </c>
      <c r="OO24" s="57">
        <f t="shared" si="158"/>
        <v>0</v>
      </c>
      <c r="OP24" s="171" t="str">
        <f t="shared" si="159"/>
        <v/>
      </c>
      <c r="OQ24" s="57">
        <f t="shared" si="322"/>
        <v>0</v>
      </c>
      <c r="OR24" s="57">
        <f>IF(OR(AND(OF$6=1,$L24=0),AND(OF$6=2,$K24=2,$G24=1)),0,IF(AND(OH$9=2,(OR($F24&gt;1,$K24=1,AND($L24=80,OR($N24=1,AND($N24=2,'#BerechnungDBE'!$AL15&gt;0)))))),IF(OF$4&gt;=$AD$126,0,OP24),IF(OH$9=3,IF(OR(OF$4&gt;=$AD$127,AND($G24=1,$J24=2,OF$6=2),AND(OF$6=1,$N24&lt;&gt;1)),0,IF(OJ24&lt;=120,OP24,IF(OF$4&lt;$AD$124,IF($F24=1,60/OH$4*OH$6,60/OH$4*OH$7),IF($F24=1,120/OH$4*OH$6,120/OH$4*OH$7)))),IF(OR($F24=3,$G24=2),IF(OR(AND(OF$4&gt;=$AD$119,$C24=2),AND(OF$4&gt;=$AF$119,$C24=1)),0,IF(OJ24&lt;=60,OP24,60/OH$4*OH$7)),IF(AND($F24=2,$G24=1),OP24,0)))))</f>
        <v>0</v>
      </c>
      <c r="OS24" s="57" t="str">
        <f t="shared" si="160"/>
        <v/>
      </c>
      <c r="OT24" s="57" t="str">
        <f t="shared" si="161"/>
        <v/>
      </c>
      <c r="OU24" s="713">
        <f>'org. Düngung 22'!DH23</f>
        <v>0</v>
      </c>
      <c r="OV24" s="57"/>
      <c r="OW24" s="57"/>
      <c r="OX24" s="57">
        <f t="shared" si="162"/>
        <v>0</v>
      </c>
      <c r="OY24" s="57">
        <f t="shared" si="323"/>
        <v>0</v>
      </c>
      <c r="OZ24" s="57">
        <f t="shared" si="324"/>
        <v>0</v>
      </c>
      <c r="PA24" s="57">
        <f t="shared" si="325"/>
        <v>0</v>
      </c>
      <c r="PB24" s="57">
        <f t="shared" si="326"/>
        <v>0</v>
      </c>
      <c r="PC24" s="1029">
        <f t="shared" si="163"/>
        <v>0</v>
      </c>
      <c r="PD24" s="57">
        <f t="shared" si="164"/>
        <v>0</v>
      </c>
      <c r="PE24" s="171" t="str">
        <f t="shared" si="165"/>
        <v/>
      </c>
      <c r="PF24" s="57">
        <f t="shared" si="327"/>
        <v>0</v>
      </c>
      <c r="PG24" s="57">
        <f>IF(OR(AND(OU$6=1,$L24=0),AND(OU$6=2,$K24=2,$G24=1)),0,IF(AND(OW$9=2,(OR($F24&gt;1,$K24=1,AND($L24=80,OR($N24=1,AND($N24=2,'#BerechnungDBE'!$AL15&gt;0)))))),IF(OU$4&gt;=$AD$126,0,PE24),IF(OW$9=3,IF(OR(OU$4&gt;=$AD$127,AND($G24=1,$J24=2,OU$6=2),AND(OU$6=1,$N24&lt;&gt;1)),0,IF(OY24&lt;=120,PE24,IF(OU$4&lt;$AD$124,IF($F24=1,60/OW$4*OW$6,60/OW$4*OW$7),IF($F24=1,120/OW$4*OW$6,120/OW$4*OW$7)))),IF(OR($F24=3,$G24=2),IF(OR(AND(OU$4&gt;=$AD$119,$C24=2),AND(OU$4&gt;=$AF$119,$C24=1)),0,IF(OY24&lt;=60,PE24,60/OW$4*OW$7)),IF(AND($F24=2,$G24=1),PE24,0)))))</f>
        <v>0</v>
      </c>
      <c r="PH24" s="57" t="str">
        <f t="shared" si="166"/>
        <v/>
      </c>
      <c r="PI24" s="57" t="str">
        <f t="shared" si="167"/>
        <v/>
      </c>
      <c r="PJ24" s="713">
        <f>'org. Düngung 22'!DL23</f>
        <v>0</v>
      </c>
      <c r="PK24" s="57"/>
      <c r="PL24" s="57"/>
      <c r="PM24" s="57">
        <f t="shared" si="168"/>
        <v>0</v>
      </c>
      <c r="PN24" s="57">
        <f t="shared" si="328"/>
        <v>0</v>
      </c>
      <c r="PO24" s="57">
        <f t="shared" si="329"/>
        <v>0</v>
      </c>
      <c r="PP24" s="57">
        <f t="shared" si="330"/>
        <v>0</v>
      </c>
      <c r="PQ24" s="57">
        <f t="shared" si="331"/>
        <v>0</v>
      </c>
      <c r="PR24" s="1029">
        <f t="shared" si="169"/>
        <v>0</v>
      </c>
      <c r="PS24" s="57">
        <f t="shared" si="170"/>
        <v>0</v>
      </c>
      <c r="PT24" s="171" t="str">
        <f t="shared" si="171"/>
        <v/>
      </c>
      <c r="PU24" s="57">
        <f t="shared" si="332"/>
        <v>0</v>
      </c>
      <c r="PV24" s="57">
        <f>IF(OR(AND(PJ$6=1,$L24=0),AND(PJ$6=2,$K24=2,$G24=1)),0,IF(AND(PL$9=2,(OR($F24&gt;1,$K24=1,AND($L24=80,OR($N24=1,AND($N24=2,'#BerechnungDBE'!$AL15&gt;0)))))),IF(PJ$4&gt;=$AD$126,0,PT24),IF(PL$9=3,IF(OR(PJ$4&gt;=$AD$127,AND($G24=1,$J24=2,PJ$6=2),AND(PJ$6=1,$N24&lt;&gt;1)),0,IF(PN24&lt;=120,PT24,IF(PJ$4&lt;$AD$124,IF($F24=1,60/PL$4*PL$6,60/PL$4*PL$7),IF($F24=1,120/PL$4*PL$6,120/PL$4*PL$7)))),IF(OR($F24=3,$G24=2),IF(OR(AND(PJ$4&gt;=$AD$119,$C24=2),AND(PJ$4&gt;=$AF$119,$C24=1)),0,IF(PN24&lt;=60,PT24,60/PL$4*PL$7)),IF(AND($F24=2,$G24=1),PT24,0)))))</f>
        <v>0</v>
      </c>
      <c r="PW24" s="57" t="str">
        <f t="shared" si="172"/>
        <v/>
      </c>
      <c r="PX24" s="57" t="str">
        <f t="shared" si="173"/>
        <v/>
      </c>
      <c r="PY24" s="713">
        <f>'org. Düngung 22'!DP23</f>
        <v>0</v>
      </c>
      <c r="PZ24" s="57"/>
      <c r="QA24" s="57"/>
      <c r="QB24" s="57">
        <f t="shared" si="174"/>
        <v>0</v>
      </c>
      <c r="QC24" s="57">
        <f t="shared" si="333"/>
        <v>0</v>
      </c>
      <c r="QD24" s="57">
        <f t="shared" si="334"/>
        <v>0</v>
      </c>
      <c r="QE24" s="57">
        <f t="shared" si="335"/>
        <v>0</v>
      </c>
      <c r="QF24" s="57">
        <f t="shared" si="336"/>
        <v>0</v>
      </c>
      <c r="QG24" s="1029">
        <f t="shared" si="175"/>
        <v>0</v>
      </c>
      <c r="QH24" s="57">
        <f t="shared" si="176"/>
        <v>0</v>
      </c>
      <c r="QI24" s="171" t="str">
        <f t="shared" si="177"/>
        <v/>
      </c>
      <c r="QJ24" s="57">
        <f t="shared" si="337"/>
        <v>0</v>
      </c>
      <c r="QK24" s="57">
        <f>IF(OR(AND(PY$6=1,$L24=0),AND(PY$6=2,$K24=2,$G24=1)),0,IF(AND(QA$9=2,(OR($F24&gt;1,$K24=1,AND($L24=80,OR($N24=1,AND($N24=2,'#BerechnungDBE'!$AL15&gt;0)))))),IF(PY$4&gt;=$AD$126,0,QI24),IF(QA$9=3,IF(OR(PY$4&gt;=$AD$127,AND($G24=1,$J24=2,PY$6=2),AND(PY$6=1,$N24&lt;&gt;1)),0,IF(QC24&lt;=120,QI24,IF(PY$4&lt;$AD$124,IF($F24=1,60/QA$4*QA$6,60/QA$4*QA$7),IF($F24=1,120/QA$4*QA$6,120/QA$4*QA$7)))),IF(OR($F24=3,$G24=2),IF(OR(AND(PY$4&gt;=$AD$119,$C24=2),AND(PY$4&gt;=$AF$119,$C24=1)),0,IF(QC24&lt;=60,QI24,60/QA$4*QA$7)),IF(AND($F24=2,$G24=1),QI24,0)))))</f>
        <v>0</v>
      </c>
      <c r="QL24" s="57" t="str">
        <f t="shared" si="178"/>
        <v/>
      </c>
      <c r="QM24" s="57" t="str">
        <f t="shared" si="179"/>
        <v/>
      </c>
      <c r="QN24" s="713">
        <f>'org. Düngung 22'!DT23</f>
        <v>0</v>
      </c>
      <c r="QO24" s="57"/>
      <c r="QP24" s="57"/>
      <c r="QQ24" s="57">
        <f t="shared" si="180"/>
        <v>0</v>
      </c>
      <c r="QR24" s="57">
        <f t="shared" si="338"/>
        <v>0</v>
      </c>
      <c r="QS24" s="57">
        <f t="shared" si="339"/>
        <v>0</v>
      </c>
      <c r="QT24" s="57">
        <f t="shared" si="340"/>
        <v>0</v>
      </c>
      <c r="QU24" s="57">
        <f t="shared" si="341"/>
        <v>0</v>
      </c>
      <c r="QV24" s="1029">
        <f t="shared" si="181"/>
        <v>0</v>
      </c>
      <c r="QW24" s="57">
        <f t="shared" si="182"/>
        <v>0</v>
      </c>
      <c r="QX24" s="171" t="str">
        <f t="shared" si="183"/>
        <v/>
      </c>
      <c r="QY24" s="57">
        <f t="shared" si="342"/>
        <v>0</v>
      </c>
      <c r="QZ24" s="57">
        <f>IF(OR(AND(QN$6=1,$L24=0),AND(QN$6=2,$K24=2,$G24=1)),0,IF(AND(QP$9=2,(OR($F24&gt;1,$K24=1,AND($L24=80,OR($N24=1,AND($N24=2,'#BerechnungDBE'!$AL15&gt;0)))))),IF(QN$4&gt;=$AD$126,0,QX24),IF(QP$9=3,IF(OR(QN$4&gt;=$AD$127,AND($G24=1,$J24=2,QN$6=2),AND(QN$6=1,$N24&lt;&gt;1)),0,IF(QR24&lt;=120,QX24,IF(QN$4&lt;$AD$124,IF($F24=1,60/QP$4*QP$6,60/QP$4*QP$7),IF($F24=1,120/QP$4*QP$6,120/QP$4*QP$7)))),IF(OR($F24=3,$G24=2),IF(OR(AND(QN$4&gt;=$AD$119,$C24=2),AND(QN$4&gt;=$AF$119,$C24=1)),0,IF(QR24&lt;=60,QX24,60/QP$4*QP$7)),IF(AND($F24=2,$G24=1),QX24,0)))))</f>
        <v>0</v>
      </c>
      <c r="RA24" s="57" t="str">
        <f t="shared" si="184"/>
        <v/>
      </c>
      <c r="RB24" s="57" t="str">
        <f t="shared" si="185"/>
        <v/>
      </c>
      <c r="RC24" s="713">
        <f>'org. Düngung 22'!DX23</f>
        <v>0</v>
      </c>
      <c r="RD24" s="57"/>
      <c r="RE24" s="57"/>
      <c r="RF24" s="57">
        <f t="shared" si="186"/>
        <v>0</v>
      </c>
      <c r="RG24" s="57">
        <f t="shared" si="343"/>
        <v>0</v>
      </c>
      <c r="RH24" s="57">
        <f t="shared" si="344"/>
        <v>0</v>
      </c>
      <c r="RI24" s="57">
        <f t="shared" si="345"/>
        <v>0</v>
      </c>
      <c r="RJ24" s="57">
        <f t="shared" si="346"/>
        <v>0</v>
      </c>
      <c r="RK24" s="1029">
        <f t="shared" si="187"/>
        <v>0</v>
      </c>
      <c r="RL24" s="57">
        <f t="shared" si="188"/>
        <v>0</v>
      </c>
      <c r="RM24" s="171" t="str">
        <f t="shared" si="189"/>
        <v/>
      </c>
      <c r="RN24" s="57">
        <f t="shared" si="347"/>
        <v>0</v>
      </c>
      <c r="RO24" s="57">
        <f>IF(OR(AND(RC$6=1,$L24=0),AND(RC$6=2,$K24=2,$G24=1)),0,IF(AND(RE$9=2,(OR($F24&gt;1,$K24=1,AND($L24=80,OR($N24=1,AND($N24=2,'#BerechnungDBE'!$AL15&gt;0)))))),IF(RC$4&gt;=$AD$126,0,RM24),IF(RE$9=3,IF(OR(RC$4&gt;=$AD$127,AND($G24=1,$J24=2,RC$6=2),AND(RC$6=1,$N24&lt;&gt;1)),0,IF(RG24&lt;=120,RM24,IF(RC$4&lt;$AD$124,IF($F24=1,60/RE$4*RE$6,60/RE$4*RE$7),IF($F24=1,120/RE$4*RE$6,120/RE$4*RE$7)))),IF(OR($F24=3,$G24=2),IF(OR(AND(RC$4&gt;=$AD$119,$C24=2),AND(RC$4&gt;=$AF$119,$C24=1)),0,IF(RG24&lt;=60,RM24,60/RE$4*RE$7)),IF(AND($F24=2,$G24=1),RM24,0)))))</f>
        <v>0</v>
      </c>
      <c r="RP24" s="57" t="str">
        <f t="shared" si="190"/>
        <v/>
      </c>
      <c r="RQ24" s="57" t="str">
        <f t="shared" si="191"/>
        <v/>
      </c>
      <c r="RS24" s="57" t="str">
        <f t="shared" si="348"/>
        <v/>
      </c>
      <c r="RT24" s="57" t="str">
        <f t="shared" si="192"/>
        <v/>
      </c>
      <c r="RU24" s="57" t="str">
        <f t="shared" si="193"/>
        <v/>
      </c>
      <c r="RV24" s="57" t="str">
        <f>IF(Z24&gt;'#BerechnungDBE'!BM15,$RV$9,"")</f>
        <v/>
      </c>
      <c r="RW24" s="57" t="str">
        <f>IF(AND(L24=70,AE24&gt;'#BerechnungDBE'!CQ15),$RW$9,"")</f>
        <v/>
      </c>
      <c r="RX24" s="57" t="str">
        <f>IF(OR('org. Düngung 22'!G23="--",'org. Düngung 22'!G23&lt;=170,'org. Düngung 22'!G23=""),"",$RX$9)</f>
        <v/>
      </c>
      <c r="RY24" s="57" t="str">
        <f>IF('org. Düngung 22'!K23&gt;120,'#orgDung'!$RY$9,"")</f>
        <v/>
      </c>
      <c r="RZ24" s="57" t="str">
        <f>IF('#BerechnungDBE'!P15&lt;4,"",IF(AND('#BerechnungDBE'!BZ15&gt;0,T24&gt;0),'#orgDung'!$RZ$9,""))</f>
        <v/>
      </c>
      <c r="SA24" s="57" t="str">
        <f t="shared" si="194"/>
        <v/>
      </c>
    </row>
    <row r="25" spans="1:495" s="875" customFormat="1" x14ac:dyDescent="0.2">
      <c r="A25" s="875">
        <f>'Flächen u. Kulturen'!A21</f>
        <v>12</v>
      </c>
      <c r="B25" s="367">
        <f>'#BerechnungDBE'!L16</f>
        <v>0</v>
      </c>
      <c r="C25" s="875">
        <f>'#BerechnungDBE'!R16</f>
        <v>1</v>
      </c>
      <c r="D25" s="875">
        <f>'#BerechnungDBE'!T16</f>
        <v>2</v>
      </c>
      <c r="E25" s="875" t="str">
        <f>'Flächen u. Kulturen'!E21</f>
        <v>x</v>
      </c>
      <c r="F25" s="52">
        <f>'#BerechnungDBE'!N16</f>
        <v>1</v>
      </c>
      <c r="G25" s="52">
        <f>'#BerechnungDBE'!O16</f>
        <v>1</v>
      </c>
      <c r="H25" s="875">
        <f>IF('Flächen u. Kulturen'!P21="",0,VLOOKUP('Flächen u. Kulturen'!P21,Kulturen[[HF]:[Berechnungsgruppe]],'#Frucht'!$H$1,FALSE))</f>
        <v>0</v>
      </c>
      <c r="I25" s="875">
        <f>IF('Flächen u. Kulturen'!J21="",0,VLOOKUP('Flächen u. Kulturen'!J21,Kulturen[[HF]:[Berechnungsgruppe]],'#Frucht'!$G$1,FALSE))</f>
        <v>90</v>
      </c>
      <c r="J25" s="505">
        <f t="shared" si="195"/>
        <v>2</v>
      </c>
      <c r="K25" s="505">
        <f>IF('Flächen u. Kulturen'!P21="",0,IF(VLOOKUP('Flächen u. Kulturen'!P21,Kulturen[[HF]:[Saat Winterungen]],'#Frucht'!$P$1,FALSE)&gt;0,1,2))</f>
        <v>2</v>
      </c>
      <c r="L25" s="875">
        <f>'#BerechnungDBE'!AF16</f>
        <v>0</v>
      </c>
      <c r="M25" s="875">
        <f>IF('Flächen u. Kulturen'!L21="",0,VLOOKUP('Flächen u. Kulturen'!L21,Nebenkultur[[Nebenkultur]:[Legum. Zwischenfr.]],'#Zweitfr'!$K$1,FALSE))</f>
        <v>0</v>
      </c>
      <c r="N25" s="875">
        <f>'#BerechnungDBE'!AG16</f>
        <v>0</v>
      </c>
      <c r="P25" s="57">
        <f t="shared" si="0"/>
        <v>0</v>
      </c>
      <c r="Q25" s="57">
        <f t="shared" si="1"/>
        <v>0</v>
      </c>
      <c r="R25" s="875">
        <f t="shared" si="2"/>
        <v>0</v>
      </c>
      <c r="S25" s="938" t="str">
        <f t="shared" si="3"/>
        <v/>
      </c>
      <c r="T25" s="875">
        <f t="shared" si="4"/>
        <v>0</v>
      </c>
      <c r="U25" s="875">
        <f t="shared" si="5"/>
        <v>0</v>
      </c>
      <c r="V25" s="875">
        <f t="shared" si="6"/>
        <v>0</v>
      </c>
      <c r="W25" s="875">
        <f t="shared" si="7"/>
        <v>0</v>
      </c>
      <c r="X25" s="875">
        <f t="shared" si="8"/>
        <v>0</v>
      </c>
      <c r="Y25" s="875">
        <f t="shared" si="349"/>
        <v>0</v>
      </c>
      <c r="Z25" s="875">
        <f t="shared" si="350"/>
        <v>0</v>
      </c>
      <c r="AA25" s="910">
        <f t="shared" si="9"/>
        <v>0</v>
      </c>
      <c r="AB25" s="57">
        <f t="shared" si="351"/>
        <v>0</v>
      </c>
      <c r="AC25" s="875">
        <f t="shared" si="10"/>
        <v>0</v>
      </c>
      <c r="AD25" s="875">
        <f t="shared" si="11"/>
        <v>0</v>
      </c>
      <c r="AE25" s="875">
        <f t="shared" si="12"/>
        <v>0</v>
      </c>
      <c r="AF25" s="875">
        <f t="shared" si="352"/>
        <v>0</v>
      </c>
      <c r="AG25" s="875">
        <f>'org. Düngung 22'!J24</f>
        <v>0</v>
      </c>
      <c r="AH25" s="875">
        <f>'org. Düngung 22'!K24</f>
        <v>0</v>
      </c>
      <c r="AJ25" s="713">
        <f>'org. Düngung 22'!L24</f>
        <v>0</v>
      </c>
      <c r="AK25" s="57"/>
      <c r="AL25" s="57"/>
      <c r="AM25" s="57">
        <f t="shared" si="196"/>
        <v>0</v>
      </c>
      <c r="AN25" s="57">
        <f t="shared" si="197"/>
        <v>0</v>
      </c>
      <c r="AO25" s="57">
        <f t="shared" si="198"/>
        <v>0</v>
      </c>
      <c r="AP25" s="57">
        <f t="shared" si="199"/>
        <v>0</v>
      </c>
      <c r="AQ25" s="57">
        <f t="shared" si="200"/>
        <v>0</v>
      </c>
      <c r="AR25" s="1029">
        <f t="shared" si="14"/>
        <v>0</v>
      </c>
      <c r="AS25" s="57">
        <f t="shared" si="15"/>
        <v>0</v>
      </c>
      <c r="AT25" s="171" t="str">
        <f t="shared" si="16"/>
        <v/>
      </c>
      <c r="AU25" s="57">
        <f t="shared" si="201"/>
        <v>0</v>
      </c>
      <c r="AV25" s="57">
        <f>IF(OR(AND(AJ$6=1,$L25=0),AND(AJ$6=2,$K25=2,$G25=1)),0,IF(AND(AL$9=2,(OR($F25&gt;1,$K25=1,AND($L25=80,OR($N25=1,AND($N25=2,'#BerechnungDBE'!$AL16&gt;0)))))),IF(AJ$4&gt;=$AD$126,0,AT25),IF(AL$9=3,IF(OR(AJ$4&gt;=$AD$127,AND($G25=1,$J25=2,AJ$6=2),AND(AJ$6=1,$N25&lt;&gt;1)),0,IF(AN25&lt;=120,AT25,IF(AJ$4&lt;$AD$124,IF($F25=1,60/AL$4*AL$6,60/AL$4*AL$7),IF($F25=1,120/AL$4*AL$6,120/AL$4*AL$7)))),IF(OR($F25=3,$G25=2),IF(OR(AND(AJ$4&gt;=$AD$119,$C25=2),AND(AJ$4&gt;=$AF$119,$C25=1)),0,IF(AN25&lt;=60,AT25,60/AL$4*AL$7)),IF(AND($F25=2,$G25=1),AT25,0)))))</f>
        <v>0</v>
      </c>
      <c r="AW25" s="57" t="str">
        <f t="shared" si="202"/>
        <v/>
      </c>
      <c r="AX25" s="57" t="str">
        <f t="shared" si="17"/>
        <v/>
      </c>
      <c r="AY25" s="713">
        <f>'org. Düngung 22'!P24</f>
        <v>0</v>
      </c>
      <c r="AZ25" s="57"/>
      <c r="BA25" s="57"/>
      <c r="BB25" s="57">
        <f t="shared" si="18"/>
        <v>0</v>
      </c>
      <c r="BC25" s="57">
        <f t="shared" si="203"/>
        <v>0</v>
      </c>
      <c r="BD25" s="57">
        <f t="shared" si="204"/>
        <v>0</v>
      </c>
      <c r="BE25" s="57">
        <f t="shared" si="205"/>
        <v>0</v>
      </c>
      <c r="BF25" s="57">
        <f t="shared" si="206"/>
        <v>0</v>
      </c>
      <c r="BG25" s="1029">
        <f t="shared" si="19"/>
        <v>0</v>
      </c>
      <c r="BH25" s="57">
        <f t="shared" si="20"/>
        <v>0</v>
      </c>
      <c r="BI25" s="171" t="str">
        <f t="shared" si="21"/>
        <v/>
      </c>
      <c r="BJ25" s="57">
        <f t="shared" si="207"/>
        <v>0</v>
      </c>
      <c r="BK25" s="57">
        <f>IF(OR(AND(AY$6=1,$L25=0),AND(AY$6=2,$K25=2,$G25=1)),0,IF(AND(BA$9=2,(OR($F25&gt;1,$K25=1,AND($L25=80,OR($N25=1,AND($N25=2,'#BerechnungDBE'!$AL16&gt;0)))))),IF(AY$4&gt;=$AD$126,0,BI25),IF(BA$9=3,IF(OR(AY$4&gt;=$AD$127,AND($G25=1,$J25=2,AY$6=2),AND(AY$6=1,$N25&lt;&gt;1)),0,IF(BC25&lt;=120,BI25,IF(AY$4&lt;$AD$124,IF($F25=1,60/BA$4*BA$6,60/BA$4*BA$7),IF($F25=1,120/BA$4*BA$6,120/BA$4*BA$7)))),IF(OR($F25=3,$G25=2),IF(OR(AND(AY$4&gt;=$AD$119,$C25=2),AND(AY$4&gt;=$AF$119,$C25=1)),0,IF(BC25&lt;=60,BI25,60/BA$4*BA$7)),IF(AND($F25=2,$G25=1),BI25,0)))))</f>
        <v>0</v>
      </c>
      <c r="BL25" s="57" t="str">
        <f t="shared" si="22"/>
        <v/>
      </c>
      <c r="BM25" s="57" t="str">
        <f t="shared" si="23"/>
        <v/>
      </c>
      <c r="BN25" s="713">
        <f>'org. Düngung 22'!T24</f>
        <v>0</v>
      </c>
      <c r="BO25" s="57"/>
      <c r="BP25" s="57"/>
      <c r="BQ25" s="57">
        <f t="shared" si="24"/>
        <v>0</v>
      </c>
      <c r="BR25" s="57">
        <f t="shared" si="208"/>
        <v>0</v>
      </c>
      <c r="BS25" s="57">
        <f t="shared" si="209"/>
        <v>0</v>
      </c>
      <c r="BT25" s="57">
        <f t="shared" si="210"/>
        <v>0</v>
      </c>
      <c r="BU25" s="57">
        <f t="shared" si="211"/>
        <v>0</v>
      </c>
      <c r="BV25" s="1029">
        <f t="shared" si="25"/>
        <v>0</v>
      </c>
      <c r="BW25" s="57">
        <f t="shared" si="26"/>
        <v>0</v>
      </c>
      <c r="BX25" s="171" t="str">
        <f t="shared" si="27"/>
        <v/>
      </c>
      <c r="BY25" s="57">
        <f t="shared" si="212"/>
        <v>0</v>
      </c>
      <c r="BZ25" s="57">
        <f>IF(OR(AND(BN$6=1,$L25=0),AND(BN$6=2,$K25=2,$G25=1)),0,IF(AND(BP$9=2,(OR($F25&gt;1,$K25=1,AND($L25=80,OR($N25=1,AND($N25=2,'#BerechnungDBE'!$AL16&gt;0)))))),IF(BN$4&gt;=$AD$126,0,BX25),IF(BP$9=3,IF(OR(BN$4&gt;=$AD$127,AND($G25=1,$J25=2,BN$6=2),AND(BN$6=1,$N25&lt;&gt;1)),0,IF(BR25&lt;=120,BX25,IF(BN$4&lt;$AD$124,IF($F25=1,60/BP$4*BP$6,60/BP$4*BP$7),IF($F25=1,120/BP$4*BP$6,120/BP$4*BP$7)))),IF(OR($F25=3,$G25=2),IF(OR(AND(BN$4&gt;=$AD$119,$C25=2),AND(BN$4&gt;=$AF$119,$C25=1)),0,IF(BR25&lt;=60,BX25,60/BP$4*BP$7)),IF(AND($F25=2,$G25=1),BX25,0)))))</f>
        <v>0</v>
      </c>
      <c r="CA25" s="57" t="str">
        <f t="shared" si="28"/>
        <v/>
      </c>
      <c r="CB25" s="57" t="str">
        <f t="shared" si="29"/>
        <v/>
      </c>
      <c r="CC25" s="713">
        <f>'org. Düngung 22'!X24</f>
        <v>0</v>
      </c>
      <c r="CD25" s="57"/>
      <c r="CE25" s="57"/>
      <c r="CF25" s="57">
        <f t="shared" si="30"/>
        <v>0</v>
      </c>
      <c r="CG25" s="57">
        <f t="shared" si="213"/>
        <v>0</v>
      </c>
      <c r="CH25" s="57">
        <f t="shared" si="214"/>
        <v>0</v>
      </c>
      <c r="CI25" s="57">
        <f t="shared" si="215"/>
        <v>0</v>
      </c>
      <c r="CJ25" s="57">
        <f t="shared" si="216"/>
        <v>0</v>
      </c>
      <c r="CK25" s="1029">
        <f t="shared" si="31"/>
        <v>0</v>
      </c>
      <c r="CL25" s="57">
        <f t="shared" si="32"/>
        <v>0</v>
      </c>
      <c r="CM25" s="171" t="str">
        <f t="shared" si="33"/>
        <v/>
      </c>
      <c r="CN25" s="57">
        <f t="shared" si="217"/>
        <v>0</v>
      </c>
      <c r="CO25" s="57">
        <f>IF(OR(AND(CC$6=1,$L25=0),AND(CC$6=2,$K25=2,$G25=1)),0,IF(AND(CE$9=2,(OR($F25&gt;1,$K25=1,AND($L25=80,OR($N25=1,AND($N25=2,'#BerechnungDBE'!$AL16&gt;0)))))),IF(CC$4&gt;=$AD$126,0,CM25),IF(CE$9=3,IF(OR(CC$4&gt;=$AD$127,AND($G25=1,$J25=2,CC$6=2),AND(CC$6=1,$N25&lt;&gt;1)),0,IF(CG25&lt;=120,CM25,IF(CC$4&lt;$AD$124,IF($F25=1,60/CE$4*CE$6,60/CE$4*CE$7),IF($F25=1,120/CE$4*CE$6,120/CE$4*CE$7)))),IF(OR($F25=3,$G25=2),IF(OR(AND(CC$4&gt;=$AD$119,$C25=2),AND(CC$4&gt;=$AF$119,$C25=1)),0,IF(CG25&lt;=60,CM25,60/CE$4*CE$7)),IF(AND($F25=2,$G25=1),CM25,0)))))</f>
        <v>0</v>
      </c>
      <c r="CP25" s="57" t="str">
        <f t="shared" si="34"/>
        <v/>
      </c>
      <c r="CQ25" s="57" t="str">
        <f t="shared" si="35"/>
        <v/>
      </c>
      <c r="CR25" s="713">
        <f>'org. Düngung 22'!AB24</f>
        <v>0</v>
      </c>
      <c r="CS25" s="57"/>
      <c r="CT25" s="57"/>
      <c r="CU25" s="57">
        <f t="shared" si="36"/>
        <v>0</v>
      </c>
      <c r="CV25" s="57">
        <f t="shared" si="218"/>
        <v>0</v>
      </c>
      <c r="CW25" s="57">
        <f t="shared" si="219"/>
        <v>0</v>
      </c>
      <c r="CX25" s="57">
        <f t="shared" si="220"/>
        <v>0</v>
      </c>
      <c r="CY25" s="57">
        <f t="shared" si="221"/>
        <v>0</v>
      </c>
      <c r="CZ25" s="1029">
        <f t="shared" si="37"/>
        <v>0</v>
      </c>
      <c r="DA25" s="57">
        <f t="shared" si="38"/>
        <v>0</v>
      </c>
      <c r="DB25" s="171" t="str">
        <f t="shared" si="39"/>
        <v/>
      </c>
      <c r="DC25" s="57">
        <f t="shared" si="222"/>
        <v>0</v>
      </c>
      <c r="DD25" s="57">
        <f>IF(OR(AND(CR$6=1,$L25=0),AND(CR$6=2,$K25=2,$G25=1)),0,IF(AND(CT$9=2,(OR($F25&gt;1,$K25=1,AND($L25=80,OR($N25=1,AND($N25=2,'#BerechnungDBE'!$AL16&gt;0)))))),IF(CR$4&gt;=$AD$126,0,DB25),IF(CT$9=3,IF(OR(CR$4&gt;=$AD$127,AND($G25=1,$J25=2,CR$6=2),AND(CR$6=1,$N25&lt;&gt;1)),0,IF(CV25&lt;=120,DB25,IF(CR$4&lt;$AD$124,IF($F25=1,60/CT$4*CT$6,60/CT$4*CT$7),IF($F25=1,120/CT$4*CT$6,120/CT$4*CT$7)))),IF(OR($F25=3,$G25=2),IF(OR(AND(CR$4&gt;=$AD$119,$C25=2),AND(CR$4&gt;=$AF$119,$C25=1)),0,IF(CV25&lt;=60,DB25,60/CT$4*CT$7)),IF(AND($F25=2,$G25=1),DB25,0)))))</f>
        <v>0</v>
      </c>
      <c r="DE25" s="57" t="str">
        <f t="shared" si="40"/>
        <v/>
      </c>
      <c r="DF25" s="57" t="str">
        <f t="shared" si="41"/>
        <v/>
      </c>
      <c r="DG25" s="713">
        <f>'org. Düngung 22'!AF24</f>
        <v>0</v>
      </c>
      <c r="DH25" s="57"/>
      <c r="DI25" s="57"/>
      <c r="DJ25" s="57">
        <f t="shared" si="42"/>
        <v>0</v>
      </c>
      <c r="DK25" s="57">
        <f t="shared" si="223"/>
        <v>0</v>
      </c>
      <c r="DL25" s="57">
        <f t="shared" si="224"/>
        <v>0</v>
      </c>
      <c r="DM25" s="57">
        <f t="shared" si="225"/>
        <v>0</v>
      </c>
      <c r="DN25" s="57">
        <f t="shared" si="226"/>
        <v>0</v>
      </c>
      <c r="DO25" s="1029">
        <f t="shared" si="43"/>
        <v>0</v>
      </c>
      <c r="DP25" s="57">
        <f t="shared" si="44"/>
        <v>0</v>
      </c>
      <c r="DQ25" s="171" t="str">
        <f t="shared" si="45"/>
        <v/>
      </c>
      <c r="DR25" s="57">
        <f t="shared" si="227"/>
        <v>0</v>
      </c>
      <c r="DS25" s="57">
        <f>IF(OR(AND(DG$6=1,$L25=0),AND(DG$6=2,$K25=2,$G25=1)),0,IF(AND(DI$9=2,(OR($F25&gt;1,$K25=1,AND($L25=80,OR($N25=1,AND($N25=2,'#BerechnungDBE'!$AL16&gt;0)))))),IF(DG$4&gt;=$AD$126,0,DQ25),IF(DI$9=3,IF(OR(DG$4&gt;=$AD$127,AND($G25=1,$J25=2,DG$6=2),AND(DG$6=1,$N25&lt;&gt;1)),0,IF(DK25&lt;=120,DQ25,IF(DG$4&lt;$AD$124,IF($F25=1,60/DI$4*DI$6,60/DI$4*DI$7),IF($F25=1,120/DI$4*DI$6,120/DI$4*DI$7)))),IF(OR($F25=3,$G25=2),IF(OR(AND(DG$4&gt;=$AD$119,$C25=2),AND(DG$4&gt;=$AF$119,$C25=1)),0,IF(DK25&lt;=60,DQ25,60/DI$4*DI$7)),IF(AND($F25=2,$G25=1),DQ25,0)))))</f>
        <v>0</v>
      </c>
      <c r="DT25" s="57" t="str">
        <f t="shared" si="46"/>
        <v/>
      </c>
      <c r="DU25" s="57" t="str">
        <f t="shared" si="47"/>
        <v/>
      </c>
      <c r="DV25" s="713">
        <f>'org. Düngung 22'!AJ24</f>
        <v>0</v>
      </c>
      <c r="DW25" s="57"/>
      <c r="DX25" s="57"/>
      <c r="DY25" s="57">
        <f t="shared" si="48"/>
        <v>0</v>
      </c>
      <c r="DZ25" s="57">
        <f t="shared" si="228"/>
        <v>0</v>
      </c>
      <c r="EA25" s="57">
        <f t="shared" si="229"/>
        <v>0</v>
      </c>
      <c r="EB25" s="57">
        <f t="shared" si="230"/>
        <v>0</v>
      </c>
      <c r="EC25" s="57">
        <f t="shared" si="231"/>
        <v>0</v>
      </c>
      <c r="ED25" s="1029">
        <f t="shared" si="49"/>
        <v>0</v>
      </c>
      <c r="EE25" s="57">
        <f t="shared" si="50"/>
        <v>0</v>
      </c>
      <c r="EF25" s="171" t="str">
        <f t="shared" si="51"/>
        <v/>
      </c>
      <c r="EG25" s="57">
        <f t="shared" si="232"/>
        <v>0</v>
      </c>
      <c r="EH25" s="57">
        <f>IF(OR(AND(DV$6=1,$L25=0),AND(DV$6=2,$K25=2,$G25=1)),0,IF(AND(DX$9=2,(OR($F25&gt;1,$K25=1,AND($L25=80,OR($N25=1,AND($N25=2,'#BerechnungDBE'!$AL16&gt;0)))))),IF(DV$4&gt;=$AD$126,0,EF25),IF(DX$9=3,IF(OR(DV$4&gt;=$AD$127,AND($G25=1,$J25=2,DV$6=2),AND(DV$6=1,$N25&lt;&gt;1)),0,IF(DZ25&lt;=120,EF25,IF(DV$4&lt;$AD$124,IF($F25=1,60/DX$4*DX$6,60/DX$4*DX$7),IF($F25=1,120/DX$4*DX$6,120/DX$4*DX$7)))),IF(OR($F25=3,$G25=2),IF(OR(AND(DV$4&gt;=$AD$119,$C25=2),AND(DV$4&gt;=$AF$119,$C25=1)),0,IF(DZ25&lt;=60,EF25,60/DX$4*DX$7)),IF(AND($F25=2,$G25=1),EF25,0)))))</f>
        <v>0</v>
      </c>
      <c r="EI25" s="57" t="str">
        <f t="shared" si="52"/>
        <v/>
      </c>
      <c r="EJ25" s="57" t="str">
        <f t="shared" si="53"/>
        <v/>
      </c>
      <c r="EK25" s="713">
        <f>'org. Düngung 22'!AN24</f>
        <v>0</v>
      </c>
      <c r="EL25" s="57"/>
      <c r="EM25" s="57"/>
      <c r="EN25" s="57">
        <f t="shared" si="54"/>
        <v>0</v>
      </c>
      <c r="EO25" s="57">
        <f t="shared" si="233"/>
        <v>0</v>
      </c>
      <c r="EP25" s="57">
        <f t="shared" si="234"/>
        <v>0</v>
      </c>
      <c r="EQ25" s="57">
        <f t="shared" si="235"/>
        <v>0</v>
      </c>
      <c r="ER25" s="57">
        <f t="shared" si="236"/>
        <v>0</v>
      </c>
      <c r="ES25" s="1029">
        <f t="shared" si="55"/>
        <v>0</v>
      </c>
      <c r="ET25" s="57">
        <f t="shared" si="56"/>
        <v>0</v>
      </c>
      <c r="EU25" s="171" t="str">
        <f t="shared" si="57"/>
        <v/>
      </c>
      <c r="EV25" s="57">
        <f t="shared" si="237"/>
        <v>0</v>
      </c>
      <c r="EW25" s="57">
        <f>IF(OR(AND(EK$6=1,$L25=0),AND(EK$6=2,$K25=2,$G25=1)),0,IF(AND(EM$9=2,(OR($F25&gt;1,$K25=1,AND($L25=80,OR($N25=1,AND($N25=2,'#BerechnungDBE'!$AL16&gt;0)))))),IF(EK$4&gt;=$AD$126,0,EU25),IF(EM$9=3,IF(OR(EK$4&gt;=$AD$127,AND($G25=1,$J25=2,EK$6=2),AND(EK$6=1,$N25&lt;&gt;1)),0,IF(EO25&lt;=120,EU25,IF(EK$4&lt;$AD$124,IF($F25=1,60/EM$4*EM$6,60/EM$4*EM$7),IF($F25=1,120/EM$4*EM$6,120/EM$4*EM$7)))),IF(OR($F25=3,$G25=2),IF(OR(AND(EK$4&gt;=$AD$119,$C25=2),AND(EK$4&gt;=$AF$119,$C25=1)),0,IF(EO25&lt;=60,EU25,60/EM$4*EM$7)),IF(AND($F25=2,$G25=1),EU25,0)))))</f>
        <v>0</v>
      </c>
      <c r="EX25" s="57" t="str">
        <f t="shared" si="58"/>
        <v/>
      </c>
      <c r="EY25" s="57" t="str">
        <f t="shared" si="59"/>
        <v/>
      </c>
      <c r="EZ25" s="713">
        <f>'org. Düngung 22'!AR24</f>
        <v>0</v>
      </c>
      <c r="FA25" s="57"/>
      <c r="FB25" s="57"/>
      <c r="FC25" s="57">
        <f t="shared" si="60"/>
        <v>0</v>
      </c>
      <c r="FD25" s="57">
        <f t="shared" si="238"/>
        <v>0</v>
      </c>
      <c r="FE25" s="57">
        <f t="shared" si="239"/>
        <v>0</v>
      </c>
      <c r="FF25" s="57">
        <f t="shared" si="240"/>
        <v>0</v>
      </c>
      <c r="FG25" s="57">
        <f t="shared" si="241"/>
        <v>0</v>
      </c>
      <c r="FH25" s="1029">
        <f t="shared" si="61"/>
        <v>0</v>
      </c>
      <c r="FI25" s="57">
        <f t="shared" si="62"/>
        <v>0</v>
      </c>
      <c r="FJ25" s="171" t="str">
        <f t="shared" si="63"/>
        <v/>
      </c>
      <c r="FK25" s="57">
        <f t="shared" si="242"/>
        <v>0</v>
      </c>
      <c r="FL25" s="57">
        <f>IF(OR(AND(EZ$6=1,$L25=0),AND(EZ$6=2,$K25=2,$G25=1)),0,IF(AND(FB$9=2,(OR($F25&gt;1,$K25=1,AND($L25=80,OR($N25=1,AND($N25=2,'#BerechnungDBE'!$AL16&gt;0)))))),IF(EZ$4&gt;=$AD$126,0,FJ25),IF(FB$9=3,IF(OR(EZ$4&gt;=$AD$127,AND($G25=1,$J25=2,EZ$6=2),AND(EZ$6=1,$N25&lt;&gt;1)),0,IF(FD25&lt;=120,FJ25,IF(EZ$4&lt;$AD$124,IF($F25=1,60/FB$4*FB$6,60/FB$4*FB$7),IF($F25=1,120/FB$4*FB$6,120/FB$4*FB$7)))),IF(OR($F25=3,$G25=2),IF(OR(AND(EZ$4&gt;=$AD$119,$C25=2),AND(EZ$4&gt;=$AF$119,$C25=1)),0,IF(FD25&lt;=60,FJ25,60/FB$4*FB$7)),IF(AND($F25=2,$G25=1),FJ25,0)))))</f>
        <v>0</v>
      </c>
      <c r="FM25" s="57" t="str">
        <f t="shared" si="64"/>
        <v/>
      </c>
      <c r="FN25" s="57" t="str">
        <f t="shared" si="65"/>
        <v/>
      </c>
      <c r="FO25" s="713">
        <f>'org. Düngung 22'!AV24</f>
        <v>0</v>
      </c>
      <c r="FP25" s="57"/>
      <c r="FQ25" s="57"/>
      <c r="FR25" s="57">
        <f t="shared" si="66"/>
        <v>0</v>
      </c>
      <c r="FS25" s="57">
        <f t="shared" si="243"/>
        <v>0</v>
      </c>
      <c r="FT25" s="57">
        <f t="shared" si="244"/>
        <v>0</v>
      </c>
      <c r="FU25" s="57">
        <f t="shared" si="245"/>
        <v>0</v>
      </c>
      <c r="FV25" s="57">
        <f t="shared" si="246"/>
        <v>0</v>
      </c>
      <c r="FW25" s="1029">
        <f t="shared" si="67"/>
        <v>0</v>
      </c>
      <c r="FX25" s="57">
        <f t="shared" si="68"/>
        <v>0</v>
      </c>
      <c r="FY25" s="171" t="str">
        <f t="shared" si="69"/>
        <v/>
      </c>
      <c r="FZ25" s="57">
        <f t="shared" si="247"/>
        <v>0</v>
      </c>
      <c r="GA25" s="57">
        <f>IF(OR(AND(FO$6=1,$L25=0),AND(FO$6=2,$K25=2,$G25=1)),0,IF(AND(FQ$9=2,(OR($F25&gt;1,$K25=1,AND($L25=80,OR($N25=1,AND($N25=2,'#BerechnungDBE'!$AL16&gt;0)))))),IF(FO$4&gt;=$AD$126,0,FY25),IF(FQ$9=3,IF(OR(FO$4&gt;=$AD$127,AND($G25=1,$J25=2,FO$6=2),AND(FO$6=1,$N25&lt;&gt;1)),0,IF(FS25&lt;=120,FY25,IF(FO$4&lt;$AD$124,IF($F25=1,60/FQ$4*FQ$6,60/FQ$4*FQ$7),IF($F25=1,120/FQ$4*FQ$6,120/FQ$4*FQ$7)))),IF(OR($F25=3,$G25=2),IF(OR(AND(FO$4&gt;=$AD$119,$C25=2),AND(FO$4&gt;=$AF$119,$C25=1)),0,IF(FS25&lt;=60,FY25,60/FQ$4*FQ$7)),IF(AND($F25=2,$G25=1),FY25,0)))))</f>
        <v>0</v>
      </c>
      <c r="GB25" s="57" t="str">
        <f t="shared" si="70"/>
        <v/>
      </c>
      <c r="GC25" s="57" t="str">
        <f t="shared" si="71"/>
        <v/>
      </c>
      <c r="GD25" s="713">
        <f>'org. Düngung 22'!AZ24</f>
        <v>0</v>
      </c>
      <c r="GE25" s="57"/>
      <c r="GF25" s="57"/>
      <c r="GG25" s="57">
        <f t="shared" si="72"/>
        <v>0</v>
      </c>
      <c r="GH25" s="57">
        <f t="shared" si="248"/>
        <v>0</v>
      </c>
      <c r="GI25" s="57">
        <f t="shared" si="249"/>
        <v>0</v>
      </c>
      <c r="GJ25" s="57">
        <f t="shared" si="250"/>
        <v>0</v>
      </c>
      <c r="GK25" s="57">
        <f t="shared" si="251"/>
        <v>0</v>
      </c>
      <c r="GL25" s="1029">
        <f t="shared" si="73"/>
        <v>0</v>
      </c>
      <c r="GM25" s="57">
        <f t="shared" si="74"/>
        <v>0</v>
      </c>
      <c r="GN25" s="171" t="str">
        <f t="shared" si="75"/>
        <v/>
      </c>
      <c r="GO25" s="57">
        <f t="shared" si="252"/>
        <v>0</v>
      </c>
      <c r="GP25" s="57">
        <f>IF(OR(AND(GD$6=1,$L25=0),AND(GD$6=2,$K25=2,$G25=1)),0,IF(AND(GF$9=2,(OR($F25&gt;1,$K25=1,AND($L25=80,OR($N25=1,AND($N25=2,'#BerechnungDBE'!$AL16&gt;0)))))),IF(GD$4&gt;=$AD$126,0,GN25),IF(GF$9=3,IF(OR(GD$4&gt;=$AD$127,AND($G25=1,$J25=2,GD$6=2),AND(GD$6=1,$N25&lt;&gt;1)),0,IF(GH25&lt;=120,GN25,IF(GD$4&lt;$AD$124,IF($F25=1,60/GF$4*GF$6,60/GF$4*GF$7),IF($F25=1,120/GF$4*GF$6,120/GF$4*GF$7)))),IF(OR($F25=3,$G25=2),IF(OR(AND(GD$4&gt;=$AD$119,$C25=2),AND(GD$4&gt;=$AF$119,$C25=1)),0,IF(GH25&lt;=60,GN25,60/GF$4*GF$7)),IF(AND($F25=2,$G25=1),GN25,0)))))</f>
        <v>0</v>
      </c>
      <c r="GQ25" s="57" t="str">
        <f t="shared" si="76"/>
        <v/>
      </c>
      <c r="GR25" s="57" t="str">
        <f t="shared" si="77"/>
        <v/>
      </c>
      <c r="GS25" s="713">
        <f>'org. Düngung 22'!BD24</f>
        <v>0</v>
      </c>
      <c r="GT25" s="57"/>
      <c r="GU25" s="57"/>
      <c r="GV25" s="57">
        <f t="shared" si="78"/>
        <v>0</v>
      </c>
      <c r="GW25" s="57">
        <f t="shared" si="253"/>
        <v>0</v>
      </c>
      <c r="GX25" s="57">
        <f t="shared" si="254"/>
        <v>0</v>
      </c>
      <c r="GY25" s="57">
        <f t="shared" si="255"/>
        <v>0</v>
      </c>
      <c r="GZ25" s="57">
        <f t="shared" si="256"/>
        <v>0</v>
      </c>
      <c r="HA25" s="1029">
        <f t="shared" si="79"/>
        <v>0</v>
      </c>
      <c r="HB25" s="57">
        <f t="shared" si="80"/>
        <v>0</v>
      </c>
      <c r="HC25" s="171" t="str">
        <f t="shared" si="81"/>
        <v/>
      </c>
      <c r="HD25" s="57">
        <f t="shared" si="257"/>
        <v>0</v>
      </c>
      <c r="HE25" s="57">
        <f>IF(OR(AND(GS$6=1,$L25=0),AND(GS$6=2,$K25=2,$G25=1)),0,IF(AND(GU$9=2,(OR($F25&gt;1,$K25=1,AND($L25=80,OR($N25=1,AND($N25=2,'#BerechnungDBE'!$AL16&gt;0)))))),IF(GS$4&gt;=$AD$126,0,HC25),IF(GU$9=3,IF(OR(GS$4&gt;=$AD$127,AND($G25=1,$J25=2,GS$6=2),AND(GS$6=1,$N25&lt;&gt;1)),0,IF(GW25&lt;=120,HC25,IF(GS$4&lt;$AD$124,IF($F25=1,60/GU$4*GU$6,60/GU$4*GU$7),IF($F25=1,120/GU$4*GU$6,120/GU$4*GU$7)))),IF(OR($F25=3,$G25=2),IF(OR(AND(GS$4&gt;=$AD$119,$C25=2),AND(GS$4&gt;=$AF$119,$C25=1)),0,IF(GW25&lt;=60,HC25,60/GU$4*GU$7)),IF(AND($F25=2,$G25=1),HC25,0)))))</f>
        <v>0</v>
      </c>
      <c r="HF25" s="57" t="str">
        <f t="shared" si="82"/>
        <v/>
      </c>
      <c r="HG25" s="57" t="str">
        <f t="shared" si="83"/>
        <v/>
      </c>
      <c r="HH25" s="713">
        <f>'org. Düngung 22'!BH24</f>
        <v>0</v>
      </c>
      <c r="HI25" s="57"/>
      <c r="HJ25" s="57"/>
      <c r="HK25" s="57">
        <f t="shared" si="84"/>
        <v>0</v>
      </c>
      <c r="HL25" s="57">
        <f t="shared" si="258"/>
        <v>0</v>
      </c>
      <c r="HM25" s="57">
        <f t="shared" si="259"/>
        <v>0</v>
      </c>
      <c r="HN25" s="57">
        <f t="shared" si="260"/>
        <v>0</v>
      </c>
      <c r="HO25" s="57">
        <f t="shared" si="261"/>
        <v>0</v>
      </c>
      <c r="HP25" s="1029">
        <f t="shared" si="85"/>
        <v>0</v>
      </c>
      <c r="HQ25" s="57">
        <f t="shared" si="86"/>
        <v>0</v>
      </c>
      <c r="HR25" s="171" t="str">
        <f t="shared" si="87"/>
        <v/>
      </c>
      <c r="HS25" s="57">
        <f t="shared" si="262"/>
        <v>0</v>
      </c>
      <c r="HT25" s="57">
        <f>IF(OR(AND(HH$6=1,$L25=0),AND(HH$6=2,$K25=2,$G25=1)),0,IF(AND(HJ$9=2,(OR($F25&gt;1,$K25=1,AND($L25=80,OR($N25=1,AND($N25=2,'#BerechnungDBE'!$AL16&gt;0)))))),IF(HH$4&gt;=$AD$126,0,HR25),IF(HJ$9=3,IF(OR(HH$4&gt;=$AD$127,AND($G25=1,$J25=2,HH$6=2),AND(HH$6=1,$N25&lt;&gt;1)),0,IF(HL25&lt;=120,HR25,IF(HH$4&lt;$AD$124,IF($F25=1,60/HJ$4*HJ$6,60/HJ$4*HJ$7),IF($F25=1,120/HJ$4*HJ$6,120/HJ$4*HJ$7)))),IF(OR($F25=3,$G25=2),IF(OR(AND(HH$4&gt;=$AD$119,$C25=2),AND(HH$4&gt;=$AF$119,$C25=1)),0,IF(HL25&lt;=60,HR25,60/HJ$4*HJ$7)),IF(AND($F25=2,$G25=1),HR25,0)))))</f>
        <v>0</v>
      </c>
      <c r="HU25" s="57" t="str">
        <f t="shared" si="88"/>
        <v/>
      </c>
      <c r="HV25" s="57" t="str">
        <f t="shared" si="89"/>
        <v/>
      </c>
      <c r="HW25" s="713">
        <f>'org. Düngung 22'!BL24</f>
        <v>0</v>
      </c>
      <c r="HX25" s="57"/>
      <c r="HY25" s="57"/>
      <c r="HZ25" s="57">
        <f t="shared" si="90"/>
        <v>0</v>
      </c>
      <c r="IA25" s="57">
        <f t="shared" si="263"/>
        <v>0</v>
      </c>
      <c r="IB25" s="57">
        <f t="shared" si="264"/>
        <v>0</v>
      </c>
      <c r="IC25" s="57">
        <f t="shared" si="265"/>
        <v>0</v>
      </c>
      <c r="ID25" s="57">
        <f t="shared" si="266"/>
        <v>0</v>
      </c>
      <c r="IE25" s="1029">
        <f t="shared" si="91"/>
        <v>0</v>
      </c>
      <c r="IF25" s="57">
        <f t="shared" si="92"/>
        <v>0</v>
      </c>
      <c r="IG25" s="171" t="str">
        <f t="shared" si="93"/>
        <v/>
      </c>
      <c r="IH25" s="57">
        <f t="shared" si="267"/>
        <v>0</v>
      </c>
      <c r="II25" s="57">
        <f>IF(OR(AND(HW$6=1,$L25=0),AND(HW$6=2,$K25=2,$G25=1)),0,IF(AND(HY$9=2,(OR($F25&gt;1,$K25=1,AND($L25=80,OR($N25=1,AND($N25=2,'#BerechnungDBE'!$AL16&gt;0)))))),IF(HW$4&gt;=$AD$126,0,IG25),IF(HY$9=3,IF(OR(HW$4&gt;=$AD$127,AND($G25=1,$J25=2,HW$6=2),AND(HW$6=1,$N25&lt;&gt;1)),0,IF(IA25&lt;=120,IG25,IF(HW$4&lt;$AD$124,IF($F25=1,60/HY$4*HY$6,60/HY$4*HY$7),IF($F25=1,120/HY$4*HY$6,120/HY$4*HY$7)))),IF(OR($F25=3,$G25=2),IF(OR(AND(HW$4&gt;=$AD$119,$C25=2),AND(HW$4&gt;=$AF$119,$C25=1)),0,IF(IA25&lt;=60,IG25,60/HY$4*HY$7)),IF(AND($F25=2,$G25=1),IG25,0)))))</f>
        <v>0</v>
      </c>
      <c r="IJ25" s="57" t="str">
        <f t="shared" si="94"/>
        <v/>
      </c>
      <c r="IK25" s="57" t="str">
        <f t="shared" si="95"/>
        <v/>
      </c>
      <c r="IL25" s="713">
        <f>'org. Düngung 22'!BP24</f>
        <v>0</v>
      </c>
      <c r="IM25" s="57"/>
      <c r="IN25" s="57"/>
      <c r="IO25" s="57">
        <f t="shared" si="96"/>
        <v>0</v>
      </c>
      <c r="IP25" s="57">
        <f t="shared" si="268"/>
        <v>0</v>
      </c>
      <c r="IQ25" s="57">
        <f t="shared" si="269"/>
        <v>0</v>
      </c>
      <c r="IR25" s="57">
        <f t="shared" si="270"/>
        <v>0</v>
      </c>
      <c r="IS25" s="57">
        <f t="shared" si="271"/>
        <v>0</v>
      </c>
      <c r="IT25" s="1029">
        <f t="shared" si="97"/>
        <v>0</v>
      </c>
      <c r="IU25" s="57">
        <f t="shared" si="98"/>
        <v>0</v>
      </c>
      <c r="IV25" s="171" t="str">
        <f t="shared" si="99"/>
        <v/>
      </c>
      <c r="IW25" s="57">
        <f t="shared" si="272"/>
        <v>0</v>
      </c>
      <c r="IX25" s="57">
        <f>IF(OR(AND(IL$6=1,$L25=0),AND(IL$6=2,$K25=2,$G25=1)),0,IF(AND(IN$9=2,(OR($F25&gt;1,$K25=1,AND($L25=80,OR($N25=1,AND($N25=2,'#BerechnungDBE'!$AL16&gt;0)))))),IF(IL$4&gt;=$AD$126,0,IV25),IF(IN$9=3,IF(OR(IL$4&gt;=$AD$127,AND($G25=1,$J25=2,IL$6=2),AND(IL$6=1,$N25&lt;&gt;1)),0,IF(IP25&lt;=120,IV25,IF(IL$4&lt;$AD$124,IF($F25=1,60/IN$4*IN$6,60/IN$4*IN$7),IF($F25=1,120/IN$4*IN$6,120/IN$4*IN$7)))),IF(OR($F25=3,$G25=2),IF(OR(AND(IL$4&gt;=$AD$119,$C25=2),AND(IL$4&gt;=$AF$119,$C25=1)),0,IF(IP25&lt;=60,IV25,60/IN$4*IN$7)),IF(AND($F25=2,$G25=1),IV25,0)))))</f>
        <v>0</v>
      </c>
      <c r="IY25" s="57" t="str">
        <f t="shared" si="100"/>
        <v/>
      </c>
      <c r="IZ25" s="57" t="str">
        <f t="shared" si="101"/>
        <v/>
      </c>
      <c r="JA25" s="713">
        <f>'org. Düngung 22'!BT24</f>
        <v>0</v>
      </c>
      <c r="JB25" s="57"/>
      <c r="JC25" s="57"/>
      <c r="JD25" s="57">
        <f t="shared" si="102"/>
        <v>0</v>
      </c>
      <c r="JE25" s="57">
        <f t="shared" si="273"/>
        <v>0</v>
      </c>
      <c r="JF25" s="57">
        <f t="shared" si="274"/>
        <v>0</v>
      </c>
      <c r="JG25" s="57">
        <f t="shared" si="275"/>
        <v>0</v>
      </c>
      <c r="JH25" s="57">
        <f t="shared" si="276"/>
        <v>0</v>
      </c>
      <c r="JI25" s="1029">
        <f t="shared" si="103"/>
        <v>0</v>
      </c>
      <c r="JJ25" s="57">
        <f t="shared" si="104"/>
        <v>0</v>
      </c>
      <c r="JK25" s="171" t="str">
        <f t="shared" si="105"/>
        <v/>
      </c>
      <c r="JL25" s="57">
        <f t="shared" si="277"/>
        <v>0</v>
      </c>
      <c r="JM25" s="57">
        <f>IF(OR(AND(JA$6=1,$L25=0),AND(JA$6=2,$K25=2,$G25=1)),0,IF(AND(JC$9=2,(OR($F25&gt;1,$K25=1,AND($L25=80,OR($N25=1,AND($N25=2,'#BerechnungDBE'!$AL16&gt;0)))))),IF(JA$4&gt;=$AD$126,0,JK25),IF(JC$9=3,IF(OR(JA$4&gt;=$AD$127,AND($G25=1,$J25=2,JA$6=2),AND(JA$6=1,$N25&lt;&gt;1)),0,IF(JE25&lt;=120,JK25,IF(JA$4&lt;$AD$124,IF($F25=1,60/JC$4*JC$6,60/JC$4*JC$7),IF($F25=1,120/JC$4*JC$6,120/JC$4*JC$7)))),IF(OR($F25=3,$G25=2),IF(OR(AND(JA$4&gt;=$AD$119,$C25=2),AND(JA$4&gt;=$AF$119,$C25=1)),0,IF(JE25&lt;=60,JK25,60/JC$4*JC$7)),IF(AND($F25=2,$G25=1),JK25,0)))))</f>
        <v>0</v>
      </c>
      <c r="JN25" s="57" t="str">
        <f t="shared" si="106"/>
        <v/>
      </c>
      <c r="JO25" s="57" t="str">
        <f t="shared" si="107"/>
        <v/>
      </c>
      <c r="JP25" s="713">
        <f>'org. Düngung 22'!BX24</f>
        <v>0</v>
      </c>
      <c r="JQ25" s="57"/>
      <c r="JR25" s="57"/>
      <c r="JS25" s="57">
        <f t="shared" si="108"/>
        <v>0</v>
      </c>
      <c r="JT25" s="57">
        <f t="shared" si="278"/>
        <v>0</v>
      </c>
      <c r="JU25" s="57">
        <f t="shared" si="279"/>
        <v>0</v>
      </c>
      <c r="JV25" s="57">
        <f t="shared" si="280"/>
        <v>0</v>
      </c>
      <c r="JW25" s="57">
        <f t="shared" si="281"/>
        <v>0</v>
      </c>
      <c r="JX25" s="1029">
        <f t="shared" si="109"/>
        <v>0</v>
      </c>
      <c r="JY25" s="57">
        <f t="shared" si="110"/>
        <v>0</v>
      </c>
      <c r="JZ25" s="171" t="str">
        <f t="shared" si="111"/>
        <v/>
      </c>
      <c r="KA25" s="57">
        <f t="shared" si="282"/>
        <v>0</v>
      </c>
      <c r="KB25" s="57">
        <f>IF(OR(AND(JP$6=1,$L25=0),AND(JP$6=2,$K25=2,$G25=1)),0,IF(AND(JR$9=2,(OR($F25&gt;1,$K25=1,AND($L25=80,OR($N25=1,AND($N25=2,'#BerechnungDBE'!$AL16&gt;0)))))),IF(JP$4&gt;=$AD$126,0,JZ25),IF(JR$9=3,IF(OR(JP$4&gt;=$AD$127,AND($G25=1,$J25=2,JP$6=2),AND(JP$6=1,$N25&lt;&gt;1)),0,IF(JT25&lt;=120,JZ25,IF(JP$4&lt;$AD$124,IF($F25=1,60/JR$4*JR$6,60/JR$4*JR$7),IF($F25=1,120/JR$4*JR$6,120/JR$4*JR$7)))),IF(OR($F25=3,$G25=2),IF(OR(AND(JP$4&gt;=$AD$119,$C25=2),AND(JP$4&gt;=$AF$119,$C25=1)),0,IF(JT25&lt;=60,JZ25,60/JR$4*JR$7)),IF(AND($F25=2,$G25=1),JZ25,0)))))</f>
        <v>0</v>
      </c>
      <c r="KC25" s="57" t="str">
        <f t="shared" si="112"/>
        <v/>
      </c>
      <c r="KD25" s="57" t="str">
        <f t="shared" si="113"/>
        <v/>
      </c>
      <c r="KE25" s="713">
        <f>'org. Düngung 22'!CB24</f>
        <v>0</v>
      </c>
      <c r="KF25" s="57"/>
      <c r="KG25" s="57"/>
      <c r="KH25" s="57">
        <f t="shared" si="114"/>
        <v>0</v>
      </c>
      <c r="KI25" s="57">
        <f t="shared" si="283"/>
        <v>0</v>
      </c>
      <c r="KJ25" s="57">
        <f t="shared" si="284"/>
        <v>0</v>
      </c>
      <c r="KK25" s="57">
        <f t="shared" si="285"/>
        <v>0</v>
      </c>
      <c r="KL25" s="57">
        <f t="shared" si="286"/>
        <v>0</v>
      </c>
      <c r="KM25" s="1029">
        <f t="shared" si="115"/>
        <v>0</v>
      </c>
      <c r="KN25" s="57">
        <f t="shared" si="116"/>
        <v>0</v>
      </c>
      <c r="KO25" s="171" t="str">
        <f t="shared" si="117"/>
        <v/>
      </c>
      <c r="KP25" s="57">
        <f t="shared" si="287"/>
        <v>0</v>
      </c>
      <c r="KQ25" s="57">
        <f>IF(OR(AND(KE$6=1,$L25=0),AND(KE$6=2,$K25=2,$G25=1)),0,IF(AND(KG$9=2,(OR($F25&gt;1,$K25=1,AND($L25=80,OR($N25=1,AND($N25=2,'#BerechnungDBE'!$AL16&gt;0)))))),IF(KE$4&gt;=$AD$126,0,KO25),IF(KG$9=3,IF(OR(KE$4&gt;=$AD$127,AND($G25=1,$J25=2,KE$6=2),AND(KE$6=1,$N25&lt;&gt;1)),0,IF(KI25&lt;=120,KO25,IF(KE$4&lt;$AD$124,IF($F25=1,60/KG$4*KG$6,60/KG$4*KG$7),IF($F25=1,120/KG$4*KG$6,120/KG$4*KG$7)))),IF(OR($F25=3,$G25=2),IF(OR(AND(KE$4&gt;=$AD$119,$C25=2),AND(KE$4&gt;=$AF$119,$C25=1)),0,IF(KI25&lt;=60,KO25,60/KG$4*KG$7)),IF(AND($F25=2,$G25=1),KO25,0)))))</f>
        <v>0</v>
      </c>
      <c r="KR25" s="57" t="str">
        <f t="shared" si="118"/>
        <v/>
      </c>
      <c r="KS25" s="57" t="str">
        <f t="shared" si="119"/>
        <v/>
      </c>
      <c r="KT25" s="713">
        <f>'org. Düngung 22'!CF24</f>
        <v>0</v>
      </c>
      <c r="KU25" s="57"/>
      <c r="KV25" s="57"/>
      <c r="KW25" s="57">
        <f t="shared" si="120"/>
        <v>0</v>
      </c>
      <c r="KX25" s="57">
        <f t="shared" si="288"/>
        <v>0</v>
      </c>
      <c r="KY25" s="57">
        <f t="shared" si="289"/>
        <v>0</v>
      </c>
      <c r="KZ25" s="57">
        <f t="shared" si="290"/>
        <v>0</v>
      </c>
      <c r="LA25" s="57">
        <f t="shared" si="291"/>
        <v>0</v>
      </c>
      <c r="LB25" s="1029">
        <f t="shared" si="121"/>
        <v>0</v>
      </c>
      <c r="LC25" s="57">
        <f t="shared" si="122"/>
        <v>0</v>
      </c>
      <c r="LD25" s="171" t="str">
        <f t="shared" si="123"/>
        <v/>
      </c>
      <c r="LE25" s="57">
        <f t="shared" si="292"/>
        <v>0</v>
      </c>
      <c r="LF25" s="57">
        <f>IF(OR(AND(KT$6=1,$L25=0),AND(KT$6=2,$K25=2,$G25=1)),0,IF(AND(KV$9=2,(OR($F25&gt;1,$K25=1,AND($L25=80,OR($N25=1,AND($N25=2,'#BerechnungDBE'!$AL16&gt;0)))))),IF(KT$4&gt;=$AD$126,0,LD25),IF(KV$9=3,IF(OR(KT$4&gt;=$AD$127,AND($G25=1,$J25=2,KT$6=2),AND(KT$6=1,$N25&lt;&gt;1)),0,IF(KX25&lt;=120,LD25,IF(KT$4&lt;$AD$124,IF($F25=1,60/KV$4*KV$6,60/KV$4*KV$7),IF($F25=1,120/KV$4*KV$6,120/KV$4*KV$7)))),IF(OR($F25=3,$G25=2),IF(OR(AND(KT$4&gt;=$AD$119,$C25=2),AND(KT$4&gt;=$AF$119,$C25=1)),0,IF(KX25&lt;=60,LD25,60/KV$4*KV$7)),IF(AND($F25=2,$G25=1),LD25,0)))))</f>
        <v>0</v>
      </c>
      <c r="LG25" s="57" t="str">
        <f t="shared" si="124"/>
        <v/>
      </c>
      <c r="LH25" s="57" t="str">
        <f t="shared" si="125"/>
        <v/>
      </c>
      <c r="LI25" s="713">
        <f>'org. Düngung 22'!CJ24</f>
        <v>0</v>
      </c>
      <c r="LJ25" s="57"/>
      <c r="LK25" s="57"/>
      <c r="LL25" s="57">
        <f t="shared" si="126"/>
        <v>0</v>
      </c>
      <c r="LM25" s="57">
        <f t="shared" si="293"/>
        <v>0</v>
      </c>
      <c r="LN25" s="57">
        <f t="shared" si="294"/>
        <v>0</v>
      </c>
      <c r="LO25" s="57">
        <f t="shared" si="295"/>
        <v>0</v>
      </c>
      <c r="LP25" s="57">
        <f t="shared" si="296"/>
        <v>0</v>
      </c>
      <c r="LQ25" s="1029">
        <f t="shared" si="127"/>
        <v>0</v>
      </c>
      <c r="LR25" s="57">
        <f t="shared" si="128"/>
        <v>0</v>
      </c>
      <c r="LS25" s="171" t="str">
        <f t="shared" si="129"/>
        <v/>
      </c>
      <c r="LT25" s="57">
        <f t="shared" si="297"/>
        <v>0</v>
      </c>
      <c r="LU25" s="57">
        <f>IF(OR(AND(LI$6=1,$L25=0),AND(LI$6=2,$K25=2,$G25=1)),0,IF(AND(LK$9=2,(OR($F25&gt;1,$K25=1,AND($L25=80,OR($N25=1,AND($N25=2,'#BerechnungDBE'!$AL16&gt;0)))))),IF(LI$4&gt;=$AD$126,0,LS25),IF(LK$9=3,IF(OR(LI$4&gt;=$AD$127,AND($G25=1,$J25=2,LI$6=2),AND(LI$6=1,$N25&lt;&gt;1)),0,IF(LM25&lt;=120,LS25,IF(LI$4&lt;$AD$124,IF($F25=1,60/LK$4*LK$6,60/LK$4*LK$7),IF($F25=1,120/LK$4*LK$6,120/LK$4*LK$7)))),IF(OR($F25=3,$G25=2),IF(OR(AND(LI$4&gt;=$AD$119,$C25=2),AND(LI$4&gt;=$AF$119,$C25=1)),0,IF(LM25&lt;=60,LS25,60/LK$4*LK$7)),IF(AND($F25=2,$G25=1),LS25,0)))))</f>
        <v>0</v>
      </c>
      <c r="LV25" s="57" t="str">
        <f t="shared" si="130"/>
        <v/>
      </c>
      <c r="LW25" s="57" t="str">
        <f t="shared" si="131"/>
        <v/>
      </c>
      <c r="LX25" s="713">
        <f>'org. Düngung 22'!CN24</f>
        <v>0</v>
      </c>
      <c r="LY25" s="57"/>
      <c r="LZ25" s="57"/>
      <c r="MA25" s="57">
        <f t="shared" si="132"/>
        <v>0</v>
      </c>
      <c r="MB25" s="57">
        <f t="shared" si="298"/>
        <v>0</v>
      </c>
      <c r="MC25" s="57">
        <f t="shared" si="299"/>
        <v>0</v>
      </c>
      <c r="MD25" s="57">
        <f t="shared" si="300"/>
        <v>0</v>
      </c>
      <c r="ME25" s="57">
        <f t="shared" si="301"/>
        <v>0</v>
      </c>
      <c r="MF25" s="1029">
        <f t="shared" si="133"/>
        <v>0</v>
      </c>
      <c r="MG25" s="57">
        <f t="shared" si="134"/>
        <v>0</v>
      </c>
      <c r="MH25" s="171" t="str">
        <f t="shared" si="135"/>
        <v/>
      </c>
      <c r="MI25" s="57">
        <f t="shared" si="302"/>
        <v>0</v>
      </c>
      <c r="MJ25" s="57">
        <f>IF(OR(AND(LX$6=1,$L25=0),AND(LX$6=2,$K25=2,$G25=1)),0,IF(AND(LZ$9=2,(OR($F25&gt;1,$K25=1,AND($L25=80,OR($N25=1,AND($N25=2,'#BerechnungDBE'!$AL16&gt;0)))))),IF(LX$4&gt;=$AD$126,0,MH25),IF(LZ$9=3,IF(OR(LX$4&gt;=$AD$127,AND($G25=1,$J25=2,LX$6=2),AND(LX$6=1,$N25&lt;&gt;1)),0,IF(MB25&lt;=120,MH25,IF(LX$4&lt;$AD$124,IF($F25=1,60/LZ$4*LZ$6,60/LZ$4*LZ$7),IF($F25=1,120/LZ$4*LZ$6,120/LZ$4*LZ$7)))),IF(OR($F25=3,$G25=2),IF(OR(AND(LX$4&gt;=$AD$119,$C25=2),AND(LX$4&gt;=$AF$119,$C25=1)),0,IF(MB25&lt;=60,MH25,60/LZ$4*LZ$7)),IF(AND($F25=2,$G25=1),MH25,0)))))</f>
        <v>0</v>
      </c>
      <c r="MK25" s="57" t="str">
        <f t="shared" si="136"/>
        <v/>
      </c>
      <c r="ML25" s="57" t="str">
        <f t="shared" si="137"/>
        <v/>
      </c>
      <c r="MM25" s="713">
        <f>'org. Düngung 22'!CR24</f>
        <v>0</v>
      </c>
      <c r="MN25" s="57"/>
      <c r="MO25" s="57"/>
      <c r="MP25" s="57">
        <f t="shared" si="138"/>
        <v>0</v>
      </c>
      <c r="MQ25" s="57">
        <f t="shared" si="303"/>
        <v>0</v>
      </c>
      <c r="MR25" s="57">
        <f t="shared" si="304"/>
        <v>0</v>
      </c>
      <c r="MS25" s="57">
        <f t="shared" si="305"/>
        <v>0</v>
      </c>
      <c r="MT25" s="57">
        <f t="shared" si="306"/>
        <v>0</v>
      </c>
      <c r="MU25" s="1029">
        <f t="shared" si="139"/>
        <v>0</v>
      </c>
      <c r="MV25" s="57">
        <f t="shared" si="140"/>
        <v>0</v>
      </c>
      <c r="MW25" s="171" t="str">
        <f t="shared" si="141"/>
        <v/>
      </c>
      <c r="MX25" s="57">
        <f t="shared" si="307"/>
        <v>0</v>
      </c>
      <c r="MY25" s="57">
        <f>IF(OR(AND(MM$6=1,$L25=0),AND(MM$6=2,$K25=2,$G25=1)),0,IF(AND(MO$9=2,(OR($F25&gt;1,$K25=1,AND($L25=80,OR($N25=1,AND($N25=2,'#BerechnungDBE'!$AL16&gt;0)))))),IF(MM$4&gt;=$AD$126,0,MW25),IF(MO$9=3,IF(OR(MM$4&gt;=$AD$127,AND($G25=1,$J25=2,MM$6=2),AND(MM$6=1,$N25&lt;&gt;1)),0,IF(MQ25&lt;=120,MW25,IF(MM$4&lt;$AD$124,IF($F25=1,60/MO$4*MO$6,60/MO$4*MO$7),IF($F25=1,120/MO$4*MO$6,120/MO$4*MO$7)))),IF(OR($F25=3,$G25=2),IF(OR(AND(MM$4&gt;=$AD$119,$C25=2),AND(MM$4&gt;=$AF$119,$C25=1)),0,IF(MQ25&lt;=60,MW25,60/MO$4*MO$7)),IF(AND($F25=2,$G25=1),MW25,0)))))</f>
        <v>0</v>
      </c>
      <c r="MZ25" s="57" t="str">
        <f t="shared" si="142"/>
        <v/>
      </c>
      <c r="NA25" s="57" t="str">
        <f t="shared" si="143"/>
        <v/>
      </c>
      <c r="NB25" s="713">
        <f>'org. Düngung 22'!CV24</f>
        <v>0</v>
      </c>
      <c r="NC25" s="57"/>
      <c r="ND25" s="57"/>
      <c r="NE25" s="57">
        <f t="shared" si="144"/>
        <v>0</v>
      </c>
      <c r="NF25" s="57">
        <f t="shared" si="308"/>
        <v>0</v>
      </c>
      <c r="NG25" s="57">
        <f t="shared" si="309"/>
        <v>0</v>
      </c>
      <c r="NH25" s="57">
        <f t="shared" si="310"/>
        <v>0</v>
      </c>
      <c r="NI25" s="57">
        <f t="shared" si="311"/>
        <v>0</v>
      </c>
      <c r="NJ25" s="1029">
        <f t="shared" si="145"/>
        <v>0</v>
      </c>
      <c r="NK25" s="57">
        <f t="shared" si="146"/>
        <v>0</v>
      </c>
      <c r="NL25" s="171" t="str">
        <f t="shared" si="147"/>
        <v/>
      </c>
      <c r="NM25" s="57">
        <f t="shared" si="312"/>
        <v>0</v>
      </c>
      <c r="NN25" s="57">
        <f>IF(OR(AND(NB$6=1,$L25=0),AND(NB$6=2,$K25=2,$G25=1)),0,IF(AND(ND$9=2,(OR($F25&gt;1,$K25=1,AND($L25=80,OR($N25=1,AND($N25=2,'#BerechnungDBE'!$AL16&gt;0)))))),IF(NB$4&gt;=$AD$126,0,NL25),IF(ND$9=3,IF(OR(NB$4&gt;=$AD$127,AND($G25=1,$J25=2,NB$6=2),AND(NB$6=1,$N25&lt;&gt;1)),0,IF(NF25&lt;=120,NL25,IF(NB$4&lt;$AD$124,IF($F25=1,60/ND$4*ND$6,60/ND$4*ND$7),IF($F25=1,120/ND$4*ND$6,120/ND$4*ND$7)))),IF(OR($F25=3,$G25=2),IF(OR(AND(NB$4&gt;=$AD$119,$C25=2),AND(NB$4&gt;=$AF$119,$C25=1)),0,IF(NF25&lt;=60,NL25,60/ND$4*ND$7)),IF(AND($F25=2,$G25=1),NL25,0)))))</f>
        <v>0</v>
      </c>
      <c r="NO25" s="57" t="str">
        <f t="shared" si="148"/>
        <v/>
      </c>
      <c r="NP25" s="57" t="str">
        <f t="shared" si="149"/>
        <v/>
      </c>
      <c r="NQ25" s="713">
        <f>'org. Düngung 22'!CZ24</f>
        <v>0</v>
      </c>
      <c r="NR25" s="57"/>
      <c r="NS25" s="57"/>
      <c r="NT25" s="57">
        <f t="shared" si="150"/>
        <v>0</v>
      </c>
      <c r="NU25" s="57">
        <f t="shared" si="313"/>
        <v>0</v>
      </c>
      <c r="NV25" s="57">
        <f t="shared" si="314"/>
        <v>0</v>
      </c>
      <c r="NW25" s="57">
        <f t="shared" si="315"/>
        <v>0</v>
      </c>
      <c r="NX25" s="57">
        <f t="shared" si="316"/>
        <v>0</v>
      </c>
      <c r="NY25" s="1029">
        <f t="shared" si="151"/>
        <v>0</v>
      </c>
      <c r="NZ25" s="57">
        <f t="shared" si="152"/>
        <v>0</v>
      </c>
      <c r="OA25" s="171" t="str">
        <f t="shared" si="153"/>
        <v/>
      </c>
      <c r="OB25" s="57">
        <f t="shared" si="317"/>
        <v>0</v>
      </c>
      <c r="OC25" s="57">
        <f>IF(OR(AND(NQ$6=1,$L25=0),AND(NQ$6=2,$K25=2,$G25=1)),0,IF(AND(NS$9=2,(OR($F25&gt;1,$K25=1,AND($L25=80,OR($N25=1,AND($N25=2,'#BerechnungDBE'!$AL16&gt;0)))))),IF(NQ$4&gt;=$AD$126,0,OA25),IF(NS$9=3,IF(OR(NQ$4&gt;=$AD$127,AND($G25=1,$J25=2,NQ$6=2),AND(NQ$6=1,$N25&lt;&gt;1)),0,IF(NU25&lt;=120,OA25,IF(NQ$4&lt;$AD$124,IF($F25=1,60/NS$4*NS$6,60/NS$4*NS$7),IF($F25=1,120/NS$4*NS$6,120/NS$4*NS$7)))),IF(OR($F25=3,$G25=2),IF(OR(AND(NQ$4&gt;=$AD$119,$C25=2),AND(NQ$4&gt;=$AF$119,$C25=1)),0,IF(NU25&lt;=60,OA25,60/NS$4*NS$7)),IF(AND($F25=2,$G25=1),OA25,0)))))</f>
        <v>0</v>
      </c>
      <c r="OD25" s="57" t="str">
        <f t="shared" si="154"/>
        <v/>
      </c>
      <c r="OE25" s="57" t="str">
        <f t="shared" si="155"/>
        <v/>
      </c>
      <c r="OF25" s="713">
        <f>'org. Düngung 22'!DD24</f>
        <v>0</v>
      </c>
      <c r="OG25" s="57"/>
      <c r="OH25" s="57"/>
      <c r="OI25" s="57">
        <f t="shared" si="156"/>
        <v>0</v>
      </c>
      <c r="OJ25" s="57">
        <f t="shared" si="318"/>
        <v>0</v>
      </c>
      <c r="OK25" s="57">
        <f t="shared" si="319"/>
        <v>0</v>
      </c>
      <c r="OL25" s="57">
        <f t="shared" si="320"/>
        <v>0</v>
      </c>
      <c r="OM25" s="57">
        <f t="shared" si="321"/>
        <v>0</v>
      </c>
      <c r="ON25" s="1029">
        <f t="shared" si="157"/>
        <v>0</v>
      </c>
      <c r="OO25" s="57">
        <f t="shared" si="158"/>
        <v>0</v>
      </c>
      <c r="OP25" s="171" t="str">
        <f t="shared" si="159"/>
        <v/>
      </c>
      <c r="OQ25" s="57">
        <f t="shared" si="322"/>
        <v>0</v>
      </c>
      <c r="OR25" s="57">
        <f>IF(OR(AND(OF$6=1,$L25=0),AND(OF$6=2,$K25=2,$G25=1)),0,IF(AND(OH$9=2,(OR($F25&gt;1,$K25=1,AND($L25=80,OR($N25=1,AND($N25=2,'#BerechnungDBE'!$AL16&gt;0)))))),IF(OF$4&gt;=$AD$126,0,OP25),IF(OH$9=3,IF(OR(OF$4&gt;=$AD$127,AND($G25=1,$J25=2,OF$6=2),AND(OF$6=1,$N25&lt;&gt;1)),0,IF(OJ25&lt;=120,OP25,IF(OF$4&lt;$AD$124,IF($F25=1,60/OH$4*OH$6,60/OH$4*OH$7),IF($F25=1,120/OH$4*OH$6,120/OH$4*OH$7)))),IF(OR($F25=3,$G25=2),IF(OR(AND(OF$4&gt;=$AD$119,$C25=2),AND(OF$4&gt;=$AF$119,$C25=1)),0,IF(OJ25&lt;=60,OP25,60/OH$4*OH$7)),IF(AND($F25=2,$G25=1),OP25,0)))))</f>
        <v>0</v>
      </c>
      <c r="OS25" s="57" t="str">
        <f t="shared" si="160"/>
        <v/>
      </c>
      <c r="OT25" s="57" t="str">
        <f t="shared" si="161"/>
        <v/>
      </c>
      <c r="OU25" s="713">
        <f>'org. Düngung 22'!DH24</f>
        <v>0</v>
      </c>
      <c r="OV25" s="57"/>
      <c r="OW25" s="57"/>
      <c r="OX25" s="57">
        <f t="shared" si="162"/>
        <v>0</v>
      </c>
      <c r="OY25" s="57">
        <f t="shared" si="323"/>
        <v>0</v>
      </c>
      <c r="OZ25" s="57">
        <f t="shared" si="324"/>
        <v>0</v>
      </c>
      <c r="PA25" s="57">
        <f t="shared" si="325"/>
        <v>0</v>
      </c>
      <c r="PB25" s="57">
        <f t="shared" si="326"/>
        <v>0</v>
      </c>
      <c r="PC25" s="1029">
        <f t="shared" si="163"/>
        <v>0</v>
      </c>
      <c r="PD25" s="57">
        <f t="shared" si="164"/>
        <v>0</v>
      </c>
      <c r="PE25" s="171" t="str">
        <f t="shared" si="165"/>
        <v/>
      </c>
      <c r="PF25" s="57">
        <f t="shared" si="327"/>
        <v>0</v>
      </c>
      <c r="PG25" s="57">
        <f>IF(OR(AND(OU$6=1,$L25=0),AND(OU$6=2,$K25=2,$G25=1)),0,IF(AND(OW$9=2,(OR($F25&gt;1,$K25=1,AND($L25=80,OR($N25=1,AND($N25=2,'#BerechnungDBE'!$AL16&gt;0)))))),IF(OU$4&gt;=$AD$126,0,PE25),IF(OW$9=3,IF(OR(OU$4&gt;=$AD$127,AND($G25=1,$J25=2,OU$6=2),AND(OU$6=1,$N25&lt;&gt;1)),0,IF(OY25&lt;=120,PE25,IF(OU$4&lt;$AD$124,IF($F25=1,60/OW$4*OW$6,60/OW$4*OW$7),IF($F25=1,120/OW$4*OW$6,120/OW$4*OW$7)))),IF(OR($F25=3,$G25=2),IF(OR(AND(OU$4&gt;=$AD$119,$C25=2),AND(OU$4&gt;=$AF$119,$C25=1)),0,IF(OY25&lt;=60,PE25,60/OW$4*OW$7)),IF(AND($F25=2,$G25=1),PE25,0)))))</f>
        <v>0</v>
      </c>
      <c r="PH25" s="57" t="str">
        <f t="shared" si="166"/>
        <v/>
      </c>
      <c r="PI25" s="57" t="str">
        <f t="shared" si="167"/>
        <v/>
      </c>
      <c r="PJ25" s="713">
        <f>'org. Düngung 22'!DL24</f>
        <v>0</v>
      </c>
      <c r="PK25" s="57"/>
      <c r="PL25" s="57"/>
      <c r="PM25" s="57">
        <f t="shared" si="168"/>
        <v>0</v>
      </c>
      <c r="PN25" s="57">
        <f t="shared" si="328"/>
        <v>0</v>
      </c>
      <c r="PO25" s="57">
        <f t="shared" si="329"/>
        <v>0</v>
      </c>
      <c r="PP25" s="57">
        <f t="shared" si="330"/>
        <v>0</v>
      </c>
      <c r="PQ25" s="57">
        <f t="shared" si="331"/>
        <v>0</v>
      </c>
      <c r="PR25" s="1029">
        <f t="shared" si="169"/>
        <v>0</v>
      </c>
      <c r="PS25" s="57">
        <f t="shared" si="170"/>
        <v>0</v>
      </c>
      <c r="PT25" s="171" t="str">
        <f t="shared" si="171"/>
        <v/>
      </c>
      <c r="PU25" s="57">
        <f t="shared" si="332"/>
        <v>0</v>
      </c>
      <c r="PV25" s="57">
        <f>IF(OR(AND(PJ$6=1,$L25=0),AND(PJ$6=2,$K25=2,$G25=1)),0,IF(AND(PL$9=2,(OR($F25&gt;1,$K25=1,AND($L25=80,OR($N25=1,AND($N25=2,'#BerechnungDBE'!$AL16&gt;0)))))),IF(PJ$4&gt;=$AD$126,0,PT25),IF(PL$9=3,IF(OR(PJ$4&gt;=$AD$127,AND($G25=1,$J25=2,PJ$6=2),AND(PJ$6=1,$N25&lt;&gt;1)),0,IF(PN25&lt;=120,PT25,IF(PJ$4&lt;$AD$124,IF($F25=1,60/PL$4*PL$6,60/PL$4*PL$7),IF($F25=1,120/PL$4*PL$6,120/PL$4*PL$7)))),IF(OR($F25=3,$G25=2),IF(OR(AND(PJ$4&gt;=$AD$119,$C25=2),AND(PJ$4&gt;=$AF$119,$C25=1)),0,IF(PN25&lt;=60,PT25,60/PL$4*PL$7)),IF(AND($F25=2,$G25=1),PT25,0)))))</f>
        <v>0</v>
      </c>
      <c r="PW25" s="57" t="str">
        <f t="shared" si="172"/>
        <v/>
      </c>
      <c r="PX25" s="57" t="str">
        <f t="shared" si="173"/>
        <v/>
      </c>
      <c r="PY25" s="713">
        <f>'org. Düngung 22'!DP24</f>
        <v>0</v>
      </c>
      <c r="PZ25" s="57"/>
      <c r="QA25" s="57"/>
      <c r="QB25" s="57">
        <f t="shared" si="174"/>
        <v>0</v>
      </c>
      <c r="QC25" s="57">
        <f t="shared" si="333"/>
        <v>0</v>
      </c>
      <c r="QD25" s="57">
        <f t="shared" si="334"/>
        <v>0</v>
      </c>
      <c r="QE25" s="57">
        <f t="shared" si="335"/>
        <v>0</v>
      </c>
      <c r="QF25" s="57">
        <f t="shared" si="336"/>
        <v>0</v>
      </c>
      <c r="QG25" s="1029">
        <f t="shared" si="175"/>
        <v>0</v>
      </c>
      <c r="QH25" s="57">
        <f t="shared" si="176"/>
        <v>0</v>
      </c>
      <c r="QI25" s="171" t="str">
        <f t="shared" si="177"/>
        <v/>
      </c>
      <c r="QJ25" s="57">
        <f t="shared" si="337"/>
        <v>0</v>
      </c>
      <c r="QK25" s="57">
        <f>IF(OR(AND(PY$6=1,$L25=0),AND(PY$6=2,$K25=2,$G25=1)),0,IF(AND(QA$9=2,(OR($F25&gt;1,$K25=1,AND($L25=80,OR($N25=1,AND($N25=2,'#BerechnungDBE'!$AL16&gt;0)))))),IF(PY$4&gt;=$AD$126,0,QI25),IF(QA$9=3,IF(OR(PY$4&gt;=$AD$127,AND($G25=1,$J25=2,PY$6=2),AND(PY$6=1,$N25&lt;&gt;1)),0,IF(QC25&lt;=120,QI25,IF(PY$4&lt;$AD$124,IF($F25=1,60/QA$4*QA$6,60/QA$4*QA$7),IF($F25=1,120/QA$4*QA$6,120/QA$4*QA$7)))),IF(OR($F25=3,$G25=2),IF(OR(AND(PY$4&gt;=$AD$119,$C25=2),AND(PY$4&gt;=$AF$119,$C25=1)),0,IF(QC25&lt;=60,QI25,60/QA$4*QA$7)),IF(AND($F25=2,$G25=1),QI25,0)))))</f>
        <v>0</v>
      </c>
      <c r="QL25" s="57" t="str">
        <f t="shared" si="178"/>
        <v/>
      </c>
      <c r="QM25" s="57" t="str">
        <f t="shared" si="179"/>
        <v/>
      </c>
      <c r="QN25" s="713">
        <f>'org. Düngung 22'!DT24</f>
        <v>0</v>
      </c>
      <c r="QO25" s="57"/>
      <c r="QP25" s="57"/>
      <c r="QQ25" s="57">
        <f t="shared" si="180"/>
        <v>0</v>
      </c>
      <c r="QR25" s="57">
        <f t="shared" si="338"/>
        <v>0</v>
      </c>
      <c r="QS25" s="57">
        <f t="shared" si="339"/>
        <v>0</v>
      </c>
      <c r="QT25" s="57">
        <f t="shared" si="340"/>
        <v>0</v>
      </c>
      <c r="QU25" s="57">
        <f t="shared" si="341"/>
        <v>0</v>
      </c>
      <c r="QV25" s="1029">
        <f t="shared" si="181"/>
        <v>0</v>
      </c>
      <c r="QW25" s="57">
        <f t="shared" si="182"/>
        <v>0</v>
      </c>
      <c r="QX25" s="171" t="str">
        <f t="shared" si="183"/>
        <v/>
      </c>
      <c r="QY25" s="57">
        <f t="shared" si="342"/>
        <v>0</v>
      </c>
      <c r="QZ25" s="57">
        <f>IF(OR(AND(QN$6=1,$L25=0),AND(QN$6=2,$K25=2,$G25=1)),0,IF(AND(QP$9=2,(OR($F25&gt;1,$K25=1,AND($L25=80,OR($N25=1,AND($N25=2,'#BerechnungDBE'!$AL16&gt;0)))))),IF(QN$4&gt;=$AD$126,0,QX25),IF(QP$9=3,IF(OR(QN$4&gt;=$AD$127,AND($G25=1,$J25=2,QN$6=2),AND(QN$6=1,$N25&lt;&gt;1)),0,IF(QR25&lt;=120,QX25,IF(QN$4&lt;$AD$124,IF($F25=1,60/QP$4*QP$6,60/QP$4*QP$7),IF($F25=1,120/QP$4*QP$6,120/QP$4*QP$7)))),IF(OR($F25=3,$G25=2),IF(OR(AND(QN$4&gt;=$AD$119,$C25=2),AND(QN$4&gt;=$AF$119,$C25=1)),0,IF(QR25&lt;=60,QX25,60/QP$4*QP$7)),IF(AND($F25=2,$G25=1),QX25,0)))))</f>
        <v>0</v>
      </c>
      <c r="RA25" s="57" t="str">
        <f t="shared" si="184"/>
        <v/>
      </c>
      <c r="RB25" s="57" t="str">
        <f t="shared" si="185"/>
        <v/>
      </c>
      <c r="RC25" s="713">
        <f>'org. Düngung 22'!DX24</f>
        <v>0</v>
      </c>
      <c r="RD25" s="57"/>
      <c r="RE25" s="57"/>
      <c r="RF25" s="57">
        <f t="shared" si="186"/>
        <v>0</v>
      </c>
      <c r="RG25" s="57">
        <f t="shared" si="343"/>
        <v>0</v>
      </c>
      <c r="RH25" s="57">
        <f t="shared" si="344"/>
        <v>0</v>
      </c>
      <c r="RI25" s="57">
        <f t="shared" si="345"/>
        <v>0</v>
      </c>
      <c r="RJ25" s="57">
        <f t="shared" si="346"/>
        <v>0</v>
      </c>
      <c r="RK25" s="1029">
        <f t="shared" si="187"/>
        <v>0</v>
      </c>
      <c r="RL25" s="57">
        <f t="shared" si="188"/>
        <v>0</v>
      </c>
      <c r="RM25" s="171" t="str">
        <f t="shared" si="189"/>
        <v/>
      </c>
      <c r="RN25" s="57">
        <f t="shared" si="347"/>
        <v>0</v>
      </c>
      <c r="RO25" s="57">
        <f>IF(OR(AND(RC$6=1,$L25=0),AND(RC$6=2,$K25=2,$G25=1)),0,IF(AND(RE$9=2,(OR($F25&gt;1,$K25=1,AND($L25=80,OR($N25=1,AND($N25=2,'#BerechnungDBE'!$AL16&gt;0)))))),IF(RC$4&gt;=$AD$126,0,RM25),IF(RE$9=3,IF(OR(RC$4&gt;=$AD$127,AND($G25=1,$J25=2,RC$6=2),AND(RC$6=1,$N25&lt;&gt;1)),0,IF(RG25&lt;=120,RM25,IF(RC$4&lt;$AD$124,IF($F25=1,60/RE$4*RE$6,60/RE$4*RE$7),IF($F25=1,120/RE$4*RE$6,120/RE$4*RE$7)))),IF(OR($F25=3,$G25=2),IF(OR(AND(RC$4&gt;=$AD$119,$C25=2),AND(RC$4&gt;=$AF$119,$C25=1)),0,IF(RG25&lt;=60,RM25,60/RE$4*RE$7)),IF(AND($F25=2,$G25=1),RM25,0)))))</f>
        <v>0</v>
      </c>
      <c r="RP25" s="57" t="str">
        <f t="shared" si="190"/>
        <v/>
      </c>
      <c r="RQ25" s="57" t="str">
        <f t="shared" si="191"/>
        <v/>
      </c>
      <c r="RS25" s="57" t="str">
        <f t="shared" si="348"/>
        <v/>
      </c>
      <c r="RT25" s="57" t="str">
        <f t="shared" si="192"/>
        <v/>
      </c>
      <c r="RU25" s="57" t="str">
        <f t="shared" si="193"/>
        <v/>
      </c>
      <c r="RV25" s="57" t="str">
        <f>IF(Z25&gt;'#BerechnungDBE'!BM16,$RV$9,"")</f>
        <v/>
      </c>
      <c r="RW25" s="57" t="str">
        <f>IF(AND(L25=70,AE25&gt;'#BerechnungDBE'!CQ16),$RW$9,"")</f>
        <v/>
      </c>
      <c r="RX25" s="57" t="str">
        <f>IF(OR('org. Düngung 22'!G24="--",'org. Düngung 22'!G24&lt;=170,'org. Düngung 22'!G24=""),"",$RX$9)</f>
        <v/>
      </c>
      <c r="RY25" s="57" t="str">
        <f>IF('org. Düngung 22'!K24&gt;120,'#orgDung'!$RY$9,"")</f>
        <v/>
      </c>
      <c r="RZ25" s="57" t="str">
        <f>IF('#BerechnungDBE'!P16&lt;4,"",IF(AND('#BerechnungDBE'!BZ16&gt;0,T25&gt;0),'#orgDung'!$RZ$9,""))</f>
        <v/>
      </c>
      <c r="SA25" s="57" t="str">
        <f t="shared" si="194"/>
        <v/>
      </c>
    </row>
    <row r="26" spans="1:495" s="875" customFormat="1" x14ac:dyDescent="0.2">
      <c r="A26" s="875">
        <f>'Flächen u. Kulturen'!A22</f>
        <v>13</v>
      </c>
      <c r="B26" s="367">
        <f>'#BerechnungDBE'!L17</f>
        <v>0</v>
      </c>
      <c r="C26" s="875">
        <f>'#BerechnungDBE'!R17</f>
        <v>1</v>
      </c>
      <c r="D26" s="875">
        <f>'#BerechnungDBE'!T17</f>
        <v>2</v>
      </c>
      <c r="E26" s="875" t="str">
        <f>'Flächen u. Kulturen'!E22</f>
        <v>x</v>
      </c>
      <c r="F26" s="52">
        <f>'#BerechnungDBE'!N17</f>
        <v>1</v>
      </c>
      <c r="G26" s="52">
        <f>'#BerechnungDBE'!O17</f>
        <v>1</v>
      </c>
      <c r="H26" s="875">
        <f>IF('Flächen u. Kulturen'!P22="",0,VLOOKUP('Flächen u. Kulturen'!P22,Kulturen[[HF]:[Berechnungsgruppe]],'#Frucht'!$H$1,FALSE))</f>
        <v>0</v>
      </c>
      <c r="I26" s="875">
        <f>IF('Flächen u. Kulturen'!J22="",0,VLOOKUP('Flächen u. Kulturen'!J22,Kulturen[[HF]:[Berechnungsgruppe]],'#Frucht'!$G$1,FALSE))</f>
        <v>90</v>
      </c>
      <c r="J26" s="505">
        <f t="shared" si="195"/>
        <v>2</v>
      </c>
      <c r="K26" s="505">
        <f>IF('Flächen u. Kulturen'!P22="",0,IF(VLOOKUP('Flächen u. Kulturen'!P22,Kulturen[[HF]:[Saat Winterungen]],'#Frucht'!$P$1,FALSE)&gt;0,1,2))</f>
        <v>2</v>
      </c>
      <c r="L26" s="875">
        <f>'#BerechnungDBE'!AF17</f>
        <v>0</v>
      </c>
      <c r="M26" s="875">
        <f>IF('Flächen u. Kulturen'!L22="",0,VLOOKUP('Flächen u. Kulturen'!L22,Nebenkultur[[Nebenkultur]:[Legum. Zwischenfr.]],'#Zweitfr'!$K$1,FALSE))</f>
        <v>0</v>
      </c>
      <c r="N26" s="875">
        <f>'#BerechnungDBE'!AG17</f>
        <v>0</v>
      </c>
      <c r="P26" s="57">
        <f t="shared" si="0"/>
        <v>0</v>
      </c>
      <c r="Q26" s="57">
        <f t="shared" si="1"/>
        <v>0</v>
      </c>
      <c r="R26" s="875">
        <f t="shared" si="2"/>
        <v>0</v>
      </c>
      <c r="S26" s="938" t="str">
        <f t="shared" si="3"/>
        <v/>
      </c>
      <c r="T26" s="875">
        <f t="shared" si="4"/>
        <v>0</v>
      </c>
      <c r="U26" s="875">
        <f t="shared" si="5"/>
        <v>0</v>
      </c>
      <c r="V26" s="875">
        <f t="shared" si="6"/>
        <v>0</v>
      </c>
      <c r="W26" s="875">
        <f t="shared" si="7"/>
        <v>0</v>
      </c>
      <c r="X26" s="875">
        <f t="shared" si="8"/>
        <v>0</v>
      </c>
      <c r="Y26" s="875">
        <f t="shared" si="349"/>
        <v>0</v>
      </c>
      <c r="Z26" s="875">
        <f t="shared" si="350"/>
        <v>0</v>
      </c>
      <c r="AA26" s="910">
        <f t="shared" si="9"/>
        <v>0</v>
      </c>
      <c r="AB26" s="57">
        <f t="shared" si="351"/>
        <v>0</v>
      </c>
      <c r="AC26" s="875">
        <f t="shared" si="10"/>
        <v>0</v>
      </c>
      <c r="AD26" s="875">
        <f t="shared" si="11"/>
        <v>0</v>
      </c>
      <c r="AE26" s="875">
        <f t="shared" si="12"/>
        <v>0</v>
      </c>
      <c r="AF26" s="875">
        <f t="shared" si="352"/>
        <v>0</v>
      </c>
      <c r="AG26" s="875">
        <f>'org. Düngung 22'!J25</f>
        <v>0</v>
      </c>
      <c r="AH26" s="875">
        <f>'org. Düngung 22'!K25</f>
        <v>0</v>
      </c>
      <c r="AJ26" s="713">
        <f>'org. Düngung 22'!L25</f>
        <v>0</v>
      </c>
      <c r="AK26" s="57"/>
      <c r="AL26" s="57"/>
      <c r="AM26" s="57">
        <f t="shared" si="196"/>
        <v>0</v>
      </c>
      <c r="AN26" s="57">
        <f t="shared" si="197"/>
        <v>0</v>
      </c>
      <c r="AO26" s="57">
        <f t="shared" si="198"/>
        <v>0</v>
      </c>
      <c r="AP26" s="57">
        <f t="shared" si="199"/>
        <v>0</v>
      </c>
      <c r="AQ26" s="57">
        <f t="shared" si="200"/>
        <v>0</v>
      </c>
      <c r="AR26" s="1029">
        <f t="shared" si="14"/>
        <v>0</v>
      </c>
      <c r="AS26" s="57">
        <f t="shared" si="15"/>
        <v>0</v>
      </c>
      <c r="AT26" s="171" t="str">
        <f t="shared" si="16"/>
        <v/>
      </c>
      <c r="AU26" s="57">
        <f t="shared" si="201"/>
        <v>0</v>
      </c>
      <c r="AV26" s="57">
        <f>IF(OR(AND(AJ$6=1,$L26=0),AND(AJ$6=2,$K26=2,$G26=1)),0,IF(AND(AL$9=2,(OR($F26&gt;1,$K26=1,AND($L26=80,OR($N26=1,AND($N26=2,'#BerechnungDBE'!$AL17&gt;0)))))),IF(AJ$4&gt;=$AD$126,0,AT26),IF(AL$9=3,IF(OR(AJ$4&gt;=$AD$127,AND($G26=1,$J26=2,AJ$6=2),AND(AJ$6=1,$N26&lt;&gt;1)),0,IF(AN26&lt;=120,AT26,IF(AJ$4&lt;$AD$124,IF($F26=1,60/AL$4*AL$6,60/AL$4*AL$7),IF($F26=1,120/AL$4*AL$6,120/AL$4*AL$7)))),IF(OR($F26=3,$G26=2),IF(OR(AND(AJ$4&gt;=$AD$119,$C26=2),AND(AJ$4&gt;=$AF$119,$C26=1)),0,IF(AN26&lt;=60,AT26,60/AL$4*AL$7)),IF(AND($F26=2,$G26=1),AT26,0)))))</f>
        <v>0</v>
      </c>
      <c r="AW26" s="57" t="str">
        <f t="shared" si="202"/>
        <v/>
      </c>
      <c r="AX26" s="57" t="str">
        <f t="shared" si="17"/>
        <v/>
      </c>
      <c r="AY26" s="713">
        <f>'org. Düngung 22'!P25</f>
        <v>0</v>
      </c>
      <c r="AZ26" s="57"/>
      <c r="BA26" s="57"/>
      <c r="BB26" s="57">
        <f t="shared" si="18"/>
        <v>0</v>
      </c>
      <c r="BC26" s="57">
        <f t="shared" si="203"/>
        <v>0</v>
      </c>
      <c r="BD26" s="57">
        <f t="shared" si="204"/>
        <v>0</v>
      </c>
      <c r="BE26" s="57">
        <f t="shared" si="205"/>
        <v>0</v>
      </c>
      <c r="BF26" s="57">
        <f t="shared" si="206"/>
        <v>0</v>
      </c>
      <c r="BG26" s="1029">
        <f t="shared" si="19"/>
        <v>0</v>
      </c>
      <c r="BH26" s="57">
        <f t="shared" si="20"/>
        <v>0</v>
      </c>
      <c r="BI26" s="171" t="str">
        <f t="shared" si="21"/>
        <v/>
      </c>
      <c r="BJ26" s="57">
        <f t="shared" si="207"/>
        <v>0</v>
      </c>
      <c r="BK26" s="57">
        <f>IF(OR(AND(AY$6=1,$L26=0),AND(AY$6=2,$K26=2,$G26=1)),0,IF(AND(BA$9=2,(OR($F26&gt;1,$K26=1,AND($L26=80,OR($N26=1,AND($N26=2,'#BerechnungDBE'!$AL17&gt;0)))))),IF(AY$4&gt;=$AD$126,0,BI26),IF(BA$9=3,IF(OR(AY$4&gt;=$AD$127,AND($G26=1,$J26=2,AY$6=2),AND(AY$6=1,$N26&lt;&gt;1)),0,IF(BC26&lt;=120,BI26,IF(AY$4&lt;$AD$124,IF($F26=1,60/BA$4*BA$6,60/BA$4*BA$7),IF($F26=1,120/BA$4*BA$6,120/BA$4*BA$7)))),IF(OR($F26=3,$G26=2),IF(OR(AND(AY$4&gt;=$AD$119,$C26=2),AND(AY$4&gt;=$AF$119,$C26=1)),0,IF(BC26&lt;=60,BI26,60/BA$4*BA$7)),IF(AND($F26=2,$G26=1),BI26,0)))))</f>
        <v>0</v>
      </c>
      <c r="BL26" s="57" t="str">
        <f t="shared" si="22"/>
        <v/>
      </c>
      <c r="BM26" s="57" t="str">
        <f t="shared" si="23"/>
        <v/>
      </c>
      <c r="BN26" s="713">
        <f>'org. Düngung 22'!T25</f>
        <v>0</v>
      </c>
      <c r="BO26" s="57"/>
      <c r="BP26" s="57"/>
      <c r="BQ26" s="57">
        <f t="shared" si="24"/>
        <v>0</v>
      </c>
      <c r="BR26" s="57">
        <f t="shared" si="208"/>
        <v>0</v>
      </c>
      <c r="BS26" s="57">
        <f t="shared" si="209"/>
        <v>0</v>
      </c>
      <c r="BT26" s="57">
        <f t="shared" si="210"/>
        <v>0</v>
      </c>
      <c r="BU26" s="57">
        <f t="shared" si="211"/>
        <v>0</v>
      </c>
      <c r="BV26" s="1029">
        <f t="shared" si="25"/>
        <v>0</v>
      </c>
      <c r="BW26" s="57">
        <f t="shared" si="26"/>
        <v>0</v>
      </c>
      <c r="BX26" s="171" t="str">
        <f t="shared" si="27"/>
        <v/>
      </c>
      <c r="BY26" s="57">
        <f t="shared" si="212"/>
        <v>0</v>
      </c>
      <c r="BZ26" s="57">
        <f>IF(OR(AND(BN$6=1,$L26=0),AND(BN$6=2,$K26=2,$G26=1)),0,IF(AND(BP$9=2,(OR($F26&gt;1,$K26=1,AND($L26=80,OR($N26=1,AND($N26=2,'#BerechnungDBE'!$AL17&gt;0)))))),IF(BN$4&gt;=$AD$126,0,BX26),IF(BP$9=3,IF(OR(BN$4&gt;=$AD$127,AND($G26=1,$J26=2,BN$6=2),AND(BN$6=1,$N26&lt;&gt;1)),0,IF(BR26&lt;=120,BX26,IF(BN$4&lt;$AD$124,IF($F26=1,60/BP$4*BP$6,60/BP$4*BP$7),IF($F26=1,120/BP$4*BP$6,120/BP$4*BP$7)))),IF(OR($F26=3,$G26=2),IF(OR(AND(BN$4&gt;=$AD$119,$C26=2),AND(BN$4&gt;=$AF$119,$C26=1)),0,IF(BR26&lt;=60,BX26,60/BP$4*BP$7)),IF(AND($F26=2,$G26=1),BX26,0)))))</f>
        <v>0</v>
      </c>
      <c r="CA26" s="57" t="str">
        <f t="shared" si="28"/>
        <v/>
      </c>
      <c r="CB26" s="57" t="str">
        <f t="shared" si="29"/>
        <v/>
      </c>
      <c r="CC26" s="713">
        <f>'org. Düngung 22'!X25</f>
        <v>0</v>
      </c>
      <c r="CD26" s="57"/>
      <c r="CE26" s="57"/>
      <c r="CF26" s="57">
        <f t="shared" si="30"/>
        <v>0</v>
      </c>
      <c r="CG26" s="57">
        <f t="shared" si="213"/>
        <v>0</v>
      </c>
      <c r="CH26" s="57">
        <f t="shared" si="214"/>
        <v>0</v>
      </c>
      <c r="CI26" s="57">
        <f t="shared" si="215"/>
        <v>0</v>
      </c>
      <c r="CJ26" s="57">
        <f t="shared" si="216"/>
        <v>0</v>
      </c>
      <c r="CK26" s="1029">
        <f t="shared" si="31"/>
        <v>0</v>
      </c>
      <c r="CL26" s="57">
        <f t="shared" si="32"/>
        <v>0</v>
      </c>
      <c r="CM26" s="171" t="str">
        <f t="shared" si="33"/>
        <v/>
      </c>
      <c r="CN26" s="57">
        <f t="shared" si="217"/>
        <v>0</v>
      </c>
      <c r="CO26" s="57">
        <f>IF(OR(AND(CC$6=1,$L26=0),AND(CC$6=2,$K26=2,$G26=1)),0,IF(AND(CE$9=2,(OR($F26&gt;1,$K26=1,AND($L26=80,OR($N26=1,AND($N26=2,'#BerechnungDBE'!$AL17&gt;0)))))),IF(CC$4&gt;=$AD$126,0,CM26),IF(CE$9=3,IF(OR(CC$4&gt;=$AD$127,AND($G26=1,$J26=2,CC$6=2),AND(CC$6=1,$N26&lt;&gt;1)),0,IF(CG26&lt;=120,CM26,IF(CC$4&lt;$AD$124,IF($F26=1,60/CE$4*CE$6,60/CE$4*CE$7),IF($F26=1,120/CE$4*CE$6,120/CE$4*CE$7)))),IF(OR($F26=3,$G26=2),IF(OR(AND(CC$4&gt;=$AD$119,$C26=2),AND(CC$4&gt;=$AF$119,$C26=1)),0,IF(CG26&lt;=60,CM26,60/CE$4*CE$7)),IF(AND($F26=2,$G26=1),CM26,0)))))</f>
        <v>0</v>
      </c>
      <c r="CP26" s="57" t="str">
        <f t="shared" si="34"/>
        <v/>
      </c>
      <c r="CQ26" s="57" t="str">
        <f t="shared" si="35"/>
        <v/>
      </c>
      <c r="CR26" s="713">
        <f>'org. Düngung 22'!AB25</f>
        <v>0</v>
      </c>
      <c r="CS26" s="57"/>
      <c r="CT26" s="57"/>
      <c r="CU26" s="57">
        <f t="shared" si="36"/>
        <v>0</v>
      </c>
      <c r="CV26" s="57">
        <f t="shared" si="218"/>
        <v>0</v>
      </c>
      <c r="CW26" s="57">
        <f t="shared" si="219"/>
        <v>0</v>
      </c>
      <c r="CX26" s="57">
        <f t="shared" si="220"/>
        <v>0</v>
      </c>
      <c r="CY26" s="57">
        <f t="shared" si="221"/>
        <v>0</v>
      </c>
      <c r="CZ26" s="1029">
        <f t="shared" si="37"/>
        <v>0</v>
      </c>
      <c r="DA26" s="57">
        <f t="shared" si="38"/>
        <v>0</v>
      </c>
      <c r="DB26" s="171" t="str">
        <f t="shared" si="39"/>
        <v/>
      </c>
      <c r="DC26" s="57">
        <f t="shared" si="222"/>
        <v>0</v>
      </c>
      <c r="DD26" s="57">
        <f>IF(OR(AND(CR$6=1,$L26=0),AND(CR$6=2,$K26=2,$G26=1)),0,IF(AND(CT$9=2,(OR($F26&gt;1,$K26=1,AND($L26=80,OR($N26=1,AND($N26=2,'#BerechnungDBE'!$AL17&gt;0)))))),IF(CR$4&gt;=$AD$126,0,DB26),IF(CT$9=3,IF(OR(CR$4&gt;=$AD$127,AND($G26=1,$J26=2,CR$6=2),AND(CR$6=1,$N26&lt;&gt;1)),0,IF(CV26&lt;=120,DB26,IF(CR$4&lt;$AD$124,IF($F26=1,60/CT$4*CT$6,60/CT$4*CT$7),IF($F26=1,120/CT$4*CT$6,120/CT$4*CT$7)))),IF(OR($F26=3,$G26=2),IF(OR(AND(CR$4&gt;=$AD$119,$C26=2),AND(CR$4&gt;=$AF$119,$C26=1)),0,IF(CV26&lt;=60,DB26,60/CT$4*CT$7)),IF(AND($F26=2,$G26=1),DB26,0)))))</f>
        <v>0</v>
      </c>
      <c r="DE26" s="57" t="str">
        <f t="shared" si="40"/>
        <v/>
      </c>
      <c r="DF26" s="57" t="str">
        <f t="shared" si="41"/>
        <v/>
      </c>
      <c r="DG26" s="713">
        <f>'org. Düngung 22'!AF25</f>
        <v>0</v>
      </c>
      <c r="DH26" s="57"/>
      <c r="DI26" s="57"/>
      <c r="DJ26" s="57">
        <f t="shared" si="42"/>
        <v>0</v>
      </c>
      <c r="DK26" s="57">
        <f t="shared" si="223"/>
        <v>0</v>
      </c>
      <c r="DL26" s="57">
        <f t="shared" si="224"/>
        <v>0</v>
      </c>
      <c r="DM26" s="57">
        <f t="shared" si="225"/>
        <v>0</v>
      </c>
      <c r="DN26" s="57">
        <f t="shared" si="226"/>
        <v>0</v>
      </c>
      <c r="DO26" s="1029">
        <f t="shared" si="43"/>
        <v>0</v>
      </c>
      <c r="DP26" s="57">
        <f t="shared" si="44"/>
        <v>0</v>
      </c>
      <c r="DQ26" s="171" t="str">
        <f t="shared" si="45"/>
        <v/>
      </c>
      <c r="DR26" s="57">
        <f t="shared" si="227"/>
        <v>0</v>
      </c>
      <c r="DS26" s="57">
        <f>IF(OR(AND(DG$6=1,$L26=0),AND(DG$6=2,$K26=2,$G26=1)),0,IF(AND(DI$9=2,(OR($F26&gt;1,$K26=1,AND($L26=80,OR($N26=1,AND($N26=2,'#BerechnungDBE'!$AL17&gt;0)))))),IF(DG$4&gt;=$AD$126,0,DQ26),IF(DI$9=3,IF(OR(DG$4&gt;=$AD$127,AND($G26=1,$J26=2,DG$6=2),AND(DG$6=1,$N26&lt;&gt;1)),0,IF(DK26&lt;=120,DQ26,IF(DG$4&lt;$AD$124,IF($F26=1,60/DI$4*DI$6,60/DI$4*DI$7),IF($F26=1,120/DI$4*DI$6,120/DI$4*DI$7)))),IF(OR($F26=3,$G26=2),IF(OR(AND(DG$4&gt;=$AD$119,$C26=2),AND(DG$4&gt;=$AF$119,$C26=1)),0,IF(DK26&lt;=60,DQ26,60/DI$4*DI$7)),IF(AND($F26=2,$G26=1),DQ26,0)))))</f>
        <v>0</v>
      </c>
      <c r="DT26" s="57" t="str">
        <f t="shared" si="46"/>
        <v/>
      </c>
      <c r="DU26" s="57" t="str">
        <f t="shared" si="47"/>
        <v/>
      </c>
      <c r="DV26" s="713">
        <f>'org. Düngung 22'!AJ25</f>
        <v>0</v>
      </c>
      <c r="DW26" s="57"/>
      <c r="DX26" s="57"/>
      <c r="DY26" s="57">
        <f t="shared" si="48"/>
        <v>0</v>
      </c>
      <c r="DZ26" s="57">
        <f t="shared" si="228"/>
        <v>0</v>
      </c>
      <c r="EA26" s="57">
        <f t="shared" si="229"/>
        <v>0</v>
      </c>
      <c r="EB26" s="57">
        <f t="shared" si="230"/>
        <v>0</v>
      </c>
      <c r="EC26" s="57">
        <f t="shared" si="231"/>
        <v>0</v>
      </c>
      <c r="ED26" s="1029">
        <f t="shared" si="49"/>
        <v>0</v>
      </c>
      <c r="EE26" s="57">
        <f t="shared" si="50"/>
        <v>0</v>
      </c>
      <c r="EF26" s="171" t="str">
        <f t="shared" si="51"/>
        <v/>
      </c>
      <c r="EG26" s="57">
        <f t="shared" si="232"/>
        <v>0</v>
      </c>
      <c r="EH26" s="57">
        <f>IF(OR(AND(DV$6=1,$L26=0),AND(DV$6=2,$K26=2,$G26=1)),0,IF(AND(DX$9=2,(OR($F26&gt;1,$K26=1,AND($L26=80,OR($N26=1,AND($N26=2,'#BerechnungDBE'!$AL17&gt;0)))))),IF(DV$4&gt;=$AD$126,0,EF26),IF(DX$9=3,IF(OR(DV$4&gt;=$AD$127,AND($G26=1,$J26=2,DV$6=2),AND(DV$6=1,$N26&lt;&gt;1)),0,IF(DZ26&lt;=120,EF26,IF(DV$4&lt;$AD$124,IF($F26=1,60/DX$4*DX$6,60/DX$4*DX$7),IF($F26=1,120/DX$4*DX$6,120/DX$4*DX$7)))),IF(OR($F26=3,$G26=2),IF(OR(AND(DV$4&gt;=$AD$119,$C26=2),AND(DV$4&gt;=$AF$119,$C26=1)),0,IF(DZ26&lt;=60,EF26,60/DX$4*DX$7)),IF(AND($F26=2,$G26=1),EF26,0)))))</f>
        <v>0</v>
      </c>
      <c r="EI26" s="57" t="str">
        <f t="shared" si="52"/>
        <v/>
      </c>
      <c r="EJ26" s="57" t="str">
        <f t="shared" si="53"/>
        <v/>
      </c>
      <c r="EK26" s="713">
        <f>'org. Düngung 22'!AN25</f>
        <v>0</v>
      </c>
      <c r="EL26" s="57"/>
      <c r="EM26" s="57"/>
      <c r="EN26" s="57">
        <f t="shared" si="54"/>
        <v>0</v>
      </c>
      <c r="EO26" s="57">
        <f t="shared" si="233"/>
        <v>0</v>
      </c>
      <c r="EP26" s="57">
        <f t="shared" si="234"/>
        <v>0</v>
      </c>
      <c r="EQ26" s="57">
        <f t="shared" si="235"/>
        <v>0</v>
      </c>
      <c r="ER26" s="57">
        <f t="shared" si="236"/>
        <v>0</v>
      </c>
      <c r="ES26" s="1029">
        <f t="shared" si="55"/>
        <v>0</v>
      </c>
      <c r="ET26" s="57">
        <f t="shared" si="56"/>
        <v>0</v>
      </c>
      <c r="EU26" s="171" t="str">
        <f t="shared" si="57"/>
        <v/>
      </c>
      <c r="EV26" s="57">
        <f t="shared" si="237"/>
        <v>0</v>
      </c>
      <c r="EW26" s="57">
        <f>IF(OR(AND(EK$6=1,$L26=0),AND(EK$6=2,$K26=2,$G26=1)),0,IF(AND(EM$9=2,(OR($F26&gt;1,$K26=1,AND($L26=80,OR($N26=1,AND($N26=2,'#BerechnungDBE'!$AL17&gt;0)))))),IF(EK$4&gt;=$AD$126,0,EU26),IF(EM$9=3,IF(OR(EK$4&gt;=$AD$127,AND($G26=1,$J26=2,EK$6=2),AND(EK$6=1,$N26&lt;&gt;1)),0,IF(EO26&lt;=120,EU26,IF(EK$4&lt;$AD$124,IF($F26=1,60/EM$4*EM$6,60/EM$4*EM$7),IF($F26=1,120/EM$4*EM$6,120/EM$4*EM$7)))),IF(OR($F26=3,$G26=2),IF(OR(AND(EK$4&gt;=$AD$119,$C26=2),AND(EK$4&gt;=$AF$119,$C26=1)),0,IF(EO26&lt;=60,EU26,60/EM$4*EM$7)),IF(AND($F26=2,$G26=1),EU26,0)))))</f>
        <v>0</v>
      </c>
      <c r="EX26" s="57" t="str">
        <f t="shared" si="58"/>
        <v/>
      </c>
      <c r="EY26" s="57" t="str">
        <f t="shared" si="59"/>
        <v/>
      </c>
      <c r="EZ26" s="713">
        <f>'org. Düngung 22'!AR25</f>
        <v>0</v>
      </c>
      <c r="FA26" s="57"/>
      <c r="FB26" s="57"/>
      <c r="FC26" s="57">
        <f t="shared" si="60"/>
        <v>0</v>
      </c>
      <c r="FD26" s="57">
        <f t="shared" si="238"/>
        <v>0</v>
      </c>
      <c r="FE26" s="57">
        <f t="shared" si="239"/>
        <v>0</v>
      </c>
      <c r="FF26" s="57">
        <f t="shared" si="240"/>
        <v>0</v>
      </c>
      <c r="FG26" s="57">
        <f t="shared" si="241"/>
        <v>0</v>
      </c>
      <c r="FH26" s="1029">
        <f t="shared" si="61"/>
        <v>0</v>
      </c>
      <c r="FI26" s="57">
        <f t="shared" si="62"/>
        <v>0</v>
      </c>
      <c r="FJ26" s="171" t="str">
        <f t="shared" si="63"/>
        <v/>
      </c>
      <c r="FK26" s="57">
        <f t="shared" si="242"/>
        <v>0</v>
      </c>
      <c r="FL26" s="57">
        <f>IF(OR(AND(EZ$6=1,$L26=0),AND(EZ$6=2,$K26=2,$G26=1)),0,IF(AND(FB$9=2,(OR($F26&gt;1,$K26=1,AND($L26=80,OR($N26=1,AND($N26=2,'#BerechnungDBE'!$AL17&gt;0)))))),IF(EZ$4&gt;=$AD$126,0,FJ26),IF(FB$9=3,IF(OR(EZ$4&gt;=$AD$127,AND($G26=1,$J26=2,EZ$6=2),AND(EZ$6=1,$N26&lt;&gt;1)),0,IF(FD26&lt;=120,FJ26,IF(EZ$4&lt;$AD$124,IF($F26=1,60/FB$4*FB$6,60/FB$4*FB$7),IF($F26=1,120/FB$4*FB$6,120/FB$4*FB$7)))),IF(OR($F26=3,$G26=2),IF(OR(AND(EZ$4&gt;=$AD$119,$C26=2),AND(EZ$4&gt;=$AF$119,$C26=1)),0,IF(FD26&lt;=60,FJ26,60/FB$4*FB$7)),IF(AND($F26=2,$G26=1),FJ26,0)))))</f>
        <v>0</v>
      </c>
      <c r="FM26" s="57" t="str">
        <f t="shared" si="64"/>
        <v/>
      </c>
      <c r="FN26" s="57" t="str">
        <f t="shared" si="65"/>
        <v/>
      </c>
      <c r="FO26" s="713">
        <f>'org. Düngung 22'!AV25</f>
        <v>0</v>
      </c>
      <c r="FP26" s="57"/>
      <c r="FQ26" s="57"/>
      <c r="FR26" s="57">
        <f t="shared" si="66"/>
        <v>0</v>
      </c>
      <c r="FS26" s="57">
        <f t="shared" si="243"/>
        <v>0</v>
      </c>
      <c r="FT26" s="57">
        <f t="shared" si="244"/>
        <v>0</v>
      </c>
      <c r="FU26" s="57">
        <f t="shared" si="245"/>
        <v>0</v>
      </c>
      <c r="FV26" s="57">
        <f t="shared" si="246"/>
        <v>0</v>
      </c>
      <c r="FW26" s="1029">
        <f t="shared" si="67"/>
        <v>0</v>
      </c>
      <c r="FX26" s="57">
        <f t="shared" si="68"/>
        <v>0</v>
      </c>
      <c r="FY26" s="171" t="str">
        <f t="shared" si="69"/>
        <v/>
      </c>
      <c r="FZ26" s="57">
        <f t="shared" si="247"/>
        <v>0</v>
      </c>
      <c r="GA26" s="57">
        <f>IF(OR(AND(FO$6=1,$L26=0),AND(FO$6=2,$K26=2,$G26=1)),0,IF(AND(FQ$9=2,(OR($F26&gt;1,$K26=1,AND($L26=80,OR($N26=1,AND($N26=2,'#BerechnungDBE'!$AL17&gt;0)))))),IF(FO$4&gt;=$AD$126,0,FY26),IF(FQ$9=3,IF(OR(FO$4&gt;=$AD$127,AND($G26=1,$J26=2,FO$6=2),AND(FO$6=1,$N26&lt;&gt;1)),0,IF(FS26&lt;=120,FY26,IF(FO$4&lt;$AD$124,IF($F26=1,60/FQ$4*FQ$6,60/FQ$4*FQ$7),IF($F26=1,120/FQ$4*FQ$6,120/FQ$4*FQ$7)))),IF(OR($F26=3,$G26=2),IF(OR(AND(FO$4&gt;=$AD$119,$C26=2),AND(FO$4&gt;=$AF$119,$C26=1)),0,IF(FS26&lt;=60,FY26,60/FQ$4*FQ$7)),IF(AND($F26=2,$G26=1),FY26,0)))))</f>
        <v>0</v>
      </c>
      <c r="GB26" s="57" t="str">
        <f t="shared" si="70"/>
        <v/>
      </c>
      <c r="GC26" s="57" t="str">
        <f t="shared" si="71"/>
        <v/>
      </c>
      <c r="GD26" s="713">
        <f>'org. Düngung 22'!AZ25</f>
        <v>0</v>
      </c>
      <c r="GE26" s="57"/>
      <c r="GF26" s="57"/>
      <c r="GG26" s="57">
        <f t="shared" si="72"/>
        <v>0</v>
      </c>
      <c r="GH26" s="57">
        <f t="shared" si="248"/>
        <v>0</v>
      </c>
      <c r="GI26" s="57">
        <f t="shared" si="249"/>
        <v>0</v>
      </c>
      <c r="GJ26" s="57">
        <f t="shared" si="250"/>
        <v>0</v>
      </c>
      <c r="GK26" s="57">
        <f t="shared" si="251"/>
        <v>0</v>
      </c>
      <c r="GL26" s="1029">
        <f t="shared" si="73"/>
        <v>0</v>
      </c>
      <c r="GM26" s="57">
        <f t="shared" si="74"/>
        <v>0</v>
      </c>
      <c r="GN26" s="171" t="str">
        <f t="shared" si="75"/>
        <v/>
      </c>
      <c r="GO26" s="57">
        <f t="shared" si="252"/>
        <v>0</v>
      </c>
      <c r="GP26" s="57">
        <f>IF(OR(AND(GD$6=1,$L26=0),AND(GD$6=2,$K26=2,$G26=1)),0,IF(AND(GF$9=2,(OR($F26&gt;1,$K26=1,AND($L26=80,OR($N26=1,AND($N26=2,'#BerechnungDBE'!$AL17&gt;0)))))),IF(GD$4&gt;=$AD$126,0,GN26),IF(GF$9=3,IF(OR(GD$4&gt;=$AD$127,AND($G26=1,$J26=2,GD$6=2),AND(GD$6=1,$N26&lt;&gt;1)),0,IF(GH26&lt;=120,GN26,IF(GD$4&lt;$AD$124,IF($F26=1,60/GF$4*GF$6,60/GF$4*GF$7),IF($F26=1,120/GF$4*GF$6,120/GF$4*GF$7)))),IF(OR($F26=3,$G26=2),IF(OR(AND(GD$4&gt;=$AD$119,$C26=2),AND(GD$4&gt;=$AF$119,$C26=1)),0,IF(GH26&lt;=60,GN26,60/GF$4*GF$7)),IF(AND($F26=2,$G26=1),GN26,0)))))</f>
        <v>0</v>
      </c>
      <c r="GQ26" s="57" t="str">
        <f t="shared" si="76"/>
        <v/>
      </c>
      <c r="GR26" s="57" t="str">
        <f t="shared" si="77"/>
        <v/>
      </c>
      <c r="GS26" s="713">
        <f>'org. Düngung 22'!BD25</f>
        <v>0</v>
      </c>
      <c r="GT26" s="57"/>
      <c r="GU26" s="57"/>
      <c r="GV26" s="57">
        <f t="shared" si="78"/>
        <v>0</v>
      </c>
      <c r="GW26" s="57">
        <f t="shared" si="253"/>
        <v>0</v>
      </c>
      <c r="GX26" s="57">
        <f t="shared" si="254"/>
        <v>0</v>
      </c>
      <c r="GY26" s="57">
        <f t="shared" si="255"/>
        <v>0</v>
      </c>
      <c r="GZ26" s="57">
        <f t="shared" si="256"/>
        <v>0</v>
      </c>
      <c r="HA26" s="1029">
        <f t="shared" si="79"/>
        <v>0</v>
      </c>
      <c r="HB26" s="57">
        <f t="shared" si="80"/>
        <v>0</v>
      </c>
      <c r="HC26" s="171" t="str">
        <f t="shared" si="81"/>
        <v/>
      </c>
      <c r="HD26" s="57">
        <f t="shared" si="257"/>
        <v>0</v>
      </c>
      <c r="HE26" s="57">
        <f>IF(OR(AND(GS$6=1,$L26=0),AND(GS$6=2,$K26=2,$G26=1)),0,IF(AND(GU$9=2,(OR($F26&gt;1,$K26=1,AND($L26=80,OR($N26=1,AND($N26=2,'#BerechnungDBE'!$AL17&gt;0)))))),IF(GS$4&gt;=$AD$126,0,HC26),IF(GU$9=3,IF(OR(GS$4&gt;=$AD$127,AND($G26=1,$J26=2,GS$6=2),AND(GS$6=1,$N26&lt;&gt;1)),0,IF(GW26&lt;=120,HC26,IF(GS$4&lt;$AD$124,IF($F26=1,60/GU$4*GU$6,60/GU$4*GU$7),IF($F26=1,120/GU$4*GU$6,120/GU$4*GU$7)))),IF(OR($F26=3,$G26=2),IF(OR(AND(GS$4&gt;=$AD$119,$C26=2),AND(GS$4&gt;=$AF$119,$C26=1)),0,IF(GW26&lt;=60,HC26,60/GU$4*GU$7)),IF(AND($F26=2,$G26=1),HC26,0)))))</f>
        <v>0</v>
      </c>
      <c r="HF26" s="57" t="str">
        <f t="shared" si="82"/>
        <v/>
      </c>
      <c r="HG26" s="57" t="str">
        <f t="shared" si="83"/>
        <v/>
      </c>
      <c r="HH26" s="713">
        <f>'org. Düngung 22'!BH25</f>
        <v>0</v>
      </c>
      <c r="HI26" s="57"/>
      <c r="HJ26" s="57"/>
      <c r="HK26" s="57">
        <f t="shared" si="84"/>
        <v>0</v>
      </c>
      <c r="HL26" s="57">
        <f t="shared" si="258"/>
        <v>0</v>
      </c>
      <c r="HM26" s="57">
        <f t="shared" si="259"/>
        <v>0</v>
      </c>
      <c r="HN26" s="57">
        <f t="shared" si="260"/>
        <v>0</v>
      </c>
      <c r="HO26" s="57">
        <f t="shared" si="261"/>
        <v>0</v>
      </c>
      <c r="HP26" s="1029">
        <f t="shared" si="85"/>
        <v>0</v>
      </c>
      <c r="HQ26" s="57">
        <f t="shared" si="86"/>
        <v>0</v>
      </c>
      <c r="HR26" s="171" t="str">
        <f t="shared" si="87"/>
        <v/>
      </c>
      <c r="HS26" s="57">
        <f t="shared" si="262"/>
        <v>0</v>
      </c>
      <c r="HT26" s="57">
        <f>IF(OR(AND(HH$6=1,$L26=0),AND(HH$6=2,$K26=2,$G26=1)),0,IF(AND(HJ$9=2,(OR($F26&gt;1,$K26=1,AND($L26=80,OR($N26=1,AND($N26=2,'#BerechnungDBE'!$AL17&gt;0)))))),IF(HH$4&gt;=$AD$126,0,HR26),IF(HJ$9=3,IF(OR(HH$4&gt;=$AD$127,AND($G26=1,$J26=2,HH$6=2),AND(HH$6=1,$N26&lt;&gt;1)),0,IF(HL26&lt;=120,HR26,IF(HH$4&lt;$AD$124,IF($F26=1,60/HJ$4*HJ$6,60/HJ$4*HJ$7),IF($F26=1,120/HJ$4*HJ$6,120/HJ$4*HJ$7)))),IF(OR($F26=3,$G26=2),IF(OR(AND(HH$4&gt;=$AD$119,$C26=2),AND(HH$4&gt;=$AF$119,$C26=1)),0,IF(HL26&lt;=60,HR26,60/HJ$4*HJ$7)),IF(AND($F26=2,$G26=1),HR26,0)))))</f>
        <v>0</v>
      </c>
      <c r="HU26" s="57" t="str">
        <f t="shared" si="88"/>
        <v/>
      </c>
      <c r="HV26" s="57" t="str">
        <f t="shared" si="89"/>
        <v/>
      </c>
      <c r="HW26" s="713">
        <f>'org. Düngung 22'!BL25</f>
        <v>0</v>
      </c>
      <c r="HX26" s="57"/>
      <c r="HY26" s="57"/>
      <c r="HZ26" s="57">
        <f t="shared" si="90"/>
        <v>0</v>
      </c>
      <c r="IA26" s="57">
        <f t="shared" si="263"/>
        <v>0</v>
      </c>
      <c r="IB26" s="57">
        <f t="shared" si="264"/>
        <v>0</v>
      </c>
      <c r="IC26" s="57">
        <f t="shared" si="265"/>
        <v>0</v>
      </c>
      <c r="ID26" s="57">
        <f t="shared" si="266"/>
        <v>0</v>
      </c>
      <c r="IE26" s="1029">
        <f t="shared" si="91"/>
        <v>0</v>
      </c>
      <c r="IF26" s="57">
        <f t="shared" si="92"/>
        <v>0</v>
      </c>
      <c r="IG26" s="171" t="str">
        <f t="shared" si="93"/>
        <v/>
      </c>
      <c r="IH26" s="57">
        <f t="shared" si="267"/>
        <v>0</v>
      </c>
      <c r="II26" s="57">
        <f>IF(OR(AND(HW$6=1,$L26=0),AND(HW$6=2,$K26=2,$G26=1)),0,IF(AND(HY$9=2,(OR($F26&gt;1,$K26=1,AND($L26=80,OR($N26=1,AND($N26=2,'#BerechnungDBE'!$AL17&gt;0)))))),IF(HW$4&gt;=$AD$126,0,IG26),IF(HY$9=3,IF(OR(HW$4&gt;=$AD$127,AND($G26=1,$J26=2,HW$6=2),AND(HW$6=1,$N26&lt;&gt;1)),0,IF(IA26&lt;=120,IG26,IF(HW$4&lt;$AD$124,IF($F26=1,60/HY$4*HY$6,60/HY$4*HY$7),IF($F26=1,120/HY$4*HY$6,120/HY$4*HY$7)))),IF(OR($F26=3,$G26=2),IF(OR(AND(HW$4&gt;=$AD$119,$C26=2),AND(HW$4&gt;=$AF$119,$C26=1)),0,IF(IA26&lt;=60,IG26,60/HY$4*HY$7)),IF(AND($F26=2,$G26=1),IG26,0)))))</f>
        <v>0</v>
      </c>
      <c r="IJ26" s="57" t="str">
        <f t="shared" si="94"/>
        <v/>
      </c>
      <c r="IK26" s="57" t="str">
        <f t="shared" si="95"/>
        <v/>
      </c>
      <c r="IL26" s="713">
        <f>'org. Düngung 22'!BP25</f>
        <v>0</v>
      </c>
      <c r="IM26" s="57"/>
      <c r="IN26" s="57"/>
      <c r="IO26" s="57">
        <f t="shared" si="96"/>
        <v>0</v>
      </c>
      <c r="IP26" s="57">
        <f t="shared" si="268"/>
        <v>0</v>
      </c>
      <c r="IQ26" s="57">
        <f t="shared" si="269"/>
        <v>0</v>
      </c>
      <c r="IR26" s="57">
        <f t="shared" si="270"/>
        <v>0</v>
      </c>
      <c r="IS26" s="57">
        <f t="shared" si="271"/>
        <v>0</v>
      </c>
      <c r="IT26" s="1029">
        <f t="shared" si="97"/>
        <v>0</v>
      </c>
      <c r="IU26" s="57">
        <f t="shared" si="98"/>
        <v>0</v>
      </c>
      <c r="IV26" s="171" t="str">
        <f t="shared" si="99"/>
        <v/>
      </c>
      <c r="IW26" s="57">
        <f t="shared" si="272"/>
        <v>0</v>
      </c>
      <c r="IX26" s="57">
        <f>IF(OR(AND(IL$6=1,$L26=0),AND(IL$6=2,$K26=2,$G26=1)),0,IF(AND(IN$9=2,(OR($F26&gt;1,$K26=1,AND($L26=80,OR($N26=1,AND($N26=2,'#BerechnungDBE'!$AL17&gt;0)))))),IF(IL$4&gt;=$AD$126,0,IV26),IF(IN$9=3,IF(OR(IL$4&gt;=$AD$127,AND($G26=1,$J26=2,IL$6=2),AND(IL$6=1,$N26&lt;&gt;1)),0,IF(IP26&lt;=120,IV26,IF(IL$4&lt;$AD$124,IF($F26=1,60/IN$4*IN$6,60/IN$4*IN$7),IF($F26=1,120/IN$4*IN$6,120/IN$4*IN$7)))),IF(OR($F26=3,$G26=2),IF(OR(AND(IL$4&gt;=$AD$119,$C26=2),AND(IL$4&gt;=$AF$119,$C26=1)),0,IF(IP26&lt;=60,IV26,60/IN$4*IN$7)),IF(AND($F26=2,$G26=1),IV26,0)))))</f>
        <v>0</v>
      </c>
      <c r="IY26" s="57" t="str">
        <f t="shared" si="100"/>
        <v/>
      </c>
      <c r="IZ26" s="57" t="str">
        <f t="shared" si="101"/>
        <v/>
      </c>
      <c r="JA26" s="713">
        <f>'org. Düngung 22'!BT25</f>
        <v>0</v>
      </c>
      <c r="JB26" s="57"/>
      <c r="JC26" s="57"/>
      <c r="JD26" s="57">
        <f t="shared" si="102"/>
        <v>0</v>
      </c>
      <c r="JE26" s="57">
        <f t="shared" si="273"/>
        <v>0</v>
      </c>
      <c r="JF26" s="57">
        <f t="shared" si="274"/>
        <v>0</v>
      </c>
      <c r="JG26" s="57">
        <f t="shared" si="275"/>
        <v>0</v>
      </c>
      <c r="JH26" s="57">
        <f t="shared" si="276"/>
        <v>0</v>
      </c>
      <c r="JI26" s="1029">
        <f t="shared" si="103"/>
        <v>0</v>
      </c>
      <c r="JJ26" s="57">
        <f t="shared" si="104"/>
        <v>0</v>
      </c>
      <c r="JK26" s="171" t="str">
        <f t="shared" si="105"/>
        <v/>
      </c>
      <c r="JL26" s="57">
        <f t="shared" si="277"/>
        <v>0</v>
      </c>
      <c r="JM26" s="57">
        <f>IF(OR(AND(JA$6=1,$L26=0),AND(JA$6=2,$K26=2,$G26=1)),0,IF(AND(JC$9=2,(OR($F26&gt;1,$K26=1,AND($L26=80,OR($N26=1,AND($N26=2,'#BerechnungDBE'!$AL17&gt;0)))))),IF(JA$4&gt;=$AD$126,0,JK26),IF(JC$9=3,IF(OR(JA$4&gt;=$AD$127,AND($G26=1,$J26=2,JA$6=2),AND(JA$6=1,$N26&lt;&gt;1)),0,IF(JE26&lt;=120,JK26,IF(JA$4&lt;$AD$124,IF($F26=1,60/JC$4*JC$6,60/JC$4*JC$7),IF($F26=1,120/JC$4*JC$6,120/JC$4*JC$7)))),IF(OR($F26=3,$G26=2),IF(OR(AND(JA$4&gt;=$AD$119,$C26=2),AND(JA$4&gt;=$AF$119,$C26=1)),0,IF(JE26&lt;=60,JK26,60/JC$4*JC$7)),IF(AND($F26=2,$G26=1),JK26,0)))))</f>
        <v>0</v>
      </c>
      <c r="JN26" s="57" t="str">
        <f t="shared" si="106"/>
        <v/>
      </c>
      <c r="JO26" s="57" t="str">
        <f t="shared" si="107"/>
        <v/>
      </c>
      <c r="JP26" s="713">
        <f>'org. Düngung 22'!BX25</f>
        <v>0</v>
      </c>
      <c r="JQ26" s="57"/>
      <c r="JR26" s="57"/>
      <c r="JS26" s="57">
        <f t="shared" si="108"/>
        <v>0</v>
      </c>
      <c r="JT26" s="57">
        <f t="shared" si="278"/>
        <v>0</v>
      </c>
      <c r="JU26" s="57">
        <f t="shared" si="279"/>
        <v>0</v>
      </c>
      <c r="JV26" s="57">
        <f t="shared" si="280"/>
        <v>0</v>
      </c>
      <c r="JW26" s="57">
        <f t="shared" si="281"/>
        <v>0</v>
      </c>
      <c r="JX26" s="1029">
        <f t="shared" si="109"/>
        <v>0</v>
      </c>
      <c r="JY26" s="57">
        <f t="shared" si="110"/>
        <v>0</v>
      </c>
      <c r="JZ26" s="171" t="str">
        <f t="shared" si="111"/>
        <v/>
      </c>
      <c r="KA26" s="57">
        <f t="shared" si="282"/>
        <v>0</v>
      </c>
      <c r="KB26" s="57">
        <f>IF(OR(AND(JP$6=1,$L26=0),AND(JP$6=2,$K26=2,$G26=1)),0,IF(AND(JR$9=2,(OR($F26&gt;1,$K26=1,AND($L26=80,OR($N26=1,AND($N26=2,'#BerechnungDBE'!$AL17&gt;0)))))),IF(JP$4&gt;=$AD$126,0,JZ26),IF(JR$9=3,IF(OR(JP$4&gt;=$AD$127,AND($G26=1,$J26=2,JP$6=2),AND(JP$6=1,$N26&lt;&gt;1)),0,IF(JT26&lt;=120,JZ26,IF(JP$4&lt;$AD$124,IF($F26=1,60/JR$4*JR$6,60/JR$4*JR$7),IF($F26=1,120/JR$4*JR$6,120/JR$4*JR$7)))),IF(OR($F26=3,$G26=2),IF(OR(AND(JP$4&gt;=$AD$119,$C26=2),AND(JP$4&gt;=$AF$119,$C26=1)),0,IF(JT26&lt;=60,JZ26,60/JR$4*JR$7)),IF(AND($F26=2,$G26=1),JZ26,0)))))</f>
        <v>0</v>
      </c>
      <c r="KC26" s="57" t="str">
        <f t="shared" si="112"/>
        <v/>
      </c>
      <c r="KD26" s="57" t="str">
        <f t="shared" si="113"/>
        <v/>
      </c>
      <c r="KE26" s="713">
        <f>'org. Düngung 22'!CB25</f>
        <v>0</v>
      </c>
      <c r="KF26" s="57"/>
      <c r="KG26" s="57"/>
      <c r="KH26" s="57">
        <f t="shared" si="114"/>
        <v>0</v>
      </c>
      <c r="KI26" s="57">
        <f t="shared" si="283"/>
        <v>0</v>
      </c>
      <c r="KJ26" s="57">
        <f t="shared" si="284"/>
        <v>0</v>
      </c>
      <c r="KK26" s="57">
        <f t="shared" si="285"/>
        <v>0</v>
      </c>
      <c r="KL26" s="57">
        <f t="shared" si="286"/>
        <v>0</v>
      </c>
      <c r="KM26" s="1029">
        <f t="shared" si="115"/>
        <v>0</v>
      </c>
      <c r="KN26" s="57">
        <f t="shared" si="116"/>
        <v>0</v>
      </c>
      <c r="KO26" s="171" t="str">
        <f t="shared" si="117"/>
        <v/>
      </c>
      <c r="KP26" s="57">
        <f t="shared" si="287"/>
        <v>0</v>
      </c>
      <c r="KQ26" s="57">
        <f>IF(OR(AND(KE$6=1,$L26=0),AND(KE$6=2,$K26=2,$G26=1)),0,IF(AND(KG$9=2,(OR($F26&gt;1,$K26=1,AND($L26=80,OR($N26=1,AND($N26=2,'#BerechnungDBE'!$AL17&gt;0)))))),IF(KE$4&gt;=$AD$126,0,KO26),IF(KG$9=3,IF(OR(KE$4&gt;=$AD$127,AND($G26=1,$J26=2,KE$6=2),AND(KE$6=1,$N26&lt;&gt;1)),0,IF(KI26&lt;=120,KO26,IF(KE$4&lt;$AD$124,IF($F26=1,60/KG$4*KG$6,60/KG$4*KG$7),IF($F26=1,120/KG$4*KG$6,120/KG$4*KG$7)))),IF(OR($F26=3,$G26=2),IF(OR(AND(KE$4&gt;=$AD$119,$C26=2),AND(KE$4&gt;=$AF$119,$C26=1)),0,IF(KI26&lt;=60,KO26,60/KG$4*KG$7)),IF(AND($F26=2,$G26=1),KO26,0)))))</f>
        <v>0</v>
      </c>
      <c r="KR26" s="57" t="str">
        <f t="shared" si="118"/>
        <v/>
      </c>
      <c r="KS26" s="57" t="str">
        <f t="shared" si="119"/>
        <v/>
      </c>
      <c r="KT26" s="713">
        <f>'org. Düngung 22'!CF25</f>
        <v>0</v>
      </c>
      <c r="KU26" s="57"/>
      <c r="KV26" s="57"/>
      <c r="KW26" s="57">
        <f t="shared" si="120"/>
        <v>0</v>
      </c>
      <c r="KX26" s="57">
        <f t="shared" si="288"/>
        <v>0</v>
      </c>
      <c r="KY26" s="57">
        <f t="shared" si="289"/>
        <v>0</v>
      </c>
      <c r="KZ26" s="57">
        <f t="shared" si="290"/>
        <v>0</v>
      </c>
      <c r="LA26" s="57">
        <f t="shared" si="291"/>
        <v>0</v>
      </c>
      <c r="LB26" s="1029">
        <f t="shared" si="121"/>
        <v>0</v>
      </c>
      <c r="LC26" s="57">
        <f t="shared" si="122"/>
        <v>0</v>
      </c>
      <c r="LD26" s="171" t="str">
        <f t="shared" si="123"/>
        <v/>
      </c>
      <c r="LE26" s="57">
        <f t="shared" si="292"/>
        <v>0</v>
      </c>
      <c r="LF26" s="57">
        <f>IF(OR(AND(KT$6=1,$L26=0),AND(KT$6=2,$K26=2,$G26=1)),0,IF(AND(KV$9=2,(OR($F26&gt;1,$K26=1,AND($L26=80,OR($N26=1,AND($N26=2,'#BerechnungDBE'!$AL17&gt;0)))))),IF(KT$4&gt;=$AD$126,0,LD26),IF(KV$9=3,IF(OR(KT$4&gt;=$AD$127,AND($G26=1,$J26=2,KT$6=2),AND(KT$6=1,$N26&lt;&gt;1)),0,IF(KX26&lt;=120,LD26,IF(KT$4&lt;$AD$124,IF($F26=1,60/KV$4*KV$6,60/KV$4*KV$7),IF($F26=1,120/KV$4*KV$6,120/KV$4*KV$7)))),IF(OR($F26=3,$G26=2),IF(OR(AND(KT$4&gt;=$AD$119,$C26=2),AND(KT$4&gt;=$AF$119,$C26=1)),0,IF(KX26&lt;=60,LD26,60/KV$4*KV$7)),IF(AND($F26=2,$G26=1),LD26,0)))))</f>
        <v>0</v>
      </c>
      <c r="LG26" s="57" t="str">
        <f t="shared" si="124"/>
        <v/>
      </c>
      <c r="LH26" s="57" t="str">
        <f t="shared" si="125"/>
        <v/>
      </c>
      <c r="LI26" s="713">
        <f>'org. Düngung 22'!CJ25</f>
        <v>0</v>
      </c>
      <c r="LJ26" s="57"/>
      <c r="LK26" s="57"/>
      <c r="LL26" s="57">
        <f t="shared" si="126"/>
        <v>0</v>
      </c>
      <c r="LM26" s="57">
        <f t="shared" si="293"/>
        <v>0</v>
      </c>
      <c r="LN26" s="57">
        <f t="shared" si="294"/>
        <v>0</v>
      </c>
      <c r="LO26" s="57">
        <f t="shared" si="295"/>
        <v>0</v>
      </c>
      <c r="LP26" s="57">
        <f t="shared" si="296"/>
        <v>0</v>
      </c>
      <c r="LQ26" s="1029">
        <f t="shared" si="127"/>
        <v>0</v>
      </c>
      <c r="LR26" s="57">
        <f t="shared" si="128"/>
        <v>0</v>
      </c>
      <c r="LS26" s="171" t="str">
        <f t="shared" si="129"/>
        <v/>
      </c>
      <c r="LT26" s="57">
        <f t="shared" si="297"/>
        <v>0</v>
      </c>
      <c r="LU26" s="57">
        <f>IF(OR(AND(LI$6=1,$L26=0),AND(LI$6=2,$K26=2,$G26=1)),0,IF(AND(LK$9=2,(OR($F26&gt;1,$K26=1,AND($L26=80,OR($N26=1,AND($N26=2,'#BerechnungDBE'!$AL17&gt;0)))))),IF(LI$4&gt;=$AD$126,0,LS26),IF(LK$9=3,IF(OR(LI$4&gt;=$AD$127,AND($G26=1,$J26=2,LI$6=2),AND(LI$6=1,$N26&lt;&gt;1)),0,IF(LM26&lt;=120,LS26,IF(LI$4&lt;$AD$124,IF($F26=1,60/LK$4*LK$6,60/LK$4*LK$7),IF($F26=1,120/LK$4*LK$6,120/LK$4*LK$7)))),IF(OR($F26=3,$G26=2),IF(OR(AND(LI$4&gt;=$AD$119,$C26=2),AND(LI$4&gt;=$AF$119,$C26=1)),0,IF(LM26&lt;=60,LS26,60/LK$4*LK$7)),IF(AND($F26=2,$G26=1),LS26,0)))))</f>
        <v>0</v>
      </c>
      <c r="LV26" s="57" t="str">
        <f t="shared" si="130"/>
        <v/>
      </c>
      <c r="LW26" s="57" t="str">
        <f t="shared" si="131"/>
        <v/>
      </c>
      <c r="LX26" s="713">
        <f>'org. Düngung 22'!CN25</f>
        <v>0</v>
      </c>
      <c r="LY26" s="57"/>
      <c r="LZ26" s="57"/>
      <c r="MA26" s="57">
        <f t="shared" si="132"/>
        <v>0</v>
      </c>
      <c r="MB26" s="57">
        <f t="shared" si="298"/>
        <v>0</v>
      </c>
      <c r="MC26" s="57">
        <f t="shared" si="299"/>
        <v>0</v>
      </c>
      <c r="MD26" s="57">
        <f t="shared" si="300"/>
        <v>0</v>
      </c>
      <c r="ME26" s="57">
        <f t="shared" si="301"/>
        <v>0</v>
      </c>
      <c r="MF26" s="1029">
        <f t="shared" si="133"/>
        <v>0</v>
      </c>
      <c r="MG26" s="57">
        <f t="shared" si="134"/>
        <v>0</v>
      </c>
      <c r="MH26" s="171" t="str">
        <f t="shared" si="135"/>
        <v/>
      </c>
      <c r="MI26" s="57">
        <f t="shared" si="302"/>
        <v>0</v>
      </c>
      <c r="MJ26" s="57">
        <f>IF(OR(AND(LX$6=1,$L26=0),AND(LX$6=2,$K26=2,$G26=1)),0,IF(AND(LZ$9=2,(OR($F26&gt;1,$K26=1,AND($L26=80,OR($N26=1,AND($N26=2,'#BerechnungDBE'!$AL17&gt;0)))))),IF(LX$4&gt;=$AD$126,0,MH26),IF(LZ$9=3,IF(OR(LX$4&gt;=$AD$127,AND($G26=1,$J26=2,LX$6=2),AND(LX$6=1,$N26&lt;&gt;1)),0,IF(MB26&lt;=120,MH26,IF(LX$4&lt;$AD$124,IF($F26=1,60/LZ$4*LZ$6,60/LZ$4*LZ$7),IF($F26=1,120/LZ$4*LZ$6,120/LZ$4*LZ$7)))),IF(OR($F26=3,$G26=2),IF(OR(AND(LX$4&gt;=$AD$119,$C26=2),AND(LX$4&gt;=$AF$119,$C26=1)),0,IF(MB26&lt;=60,MH26,60/LZ$4*LZ$7)),IF(AND($F26=2,$G26=1),MH26,0)))))</f>
        <v>0</v>
      </c>
      <c r="MK26" s="57" t="str">
        <f t="shared" si="136"/>
        <v/>
      </c>
      <c r="ML26" s="57" t="str">
        <f t="shared" si="137"/>
        <v/>
      </c>
      <c r="MM26" s="713">
        <f>'org. Düngung 22'!CR25</f>
        <v>0</v>
      </c>
      <c r="MN26" s="57"/>
      <c r="MO26" s="57"/>
      <c r="MP26" s="57">
        <f t="shared" si="138"/>
        <v>0</v>
      </c>
      <c r="MQ26" s="57">
        <f t="shared" si="303"/>
        <v>0</v>
      </c>
      <c r="MR26" s="57">
        <f t="shared" si="304"/>
        <v>0</v>
      </c>
      <c r="MS26" s="57">
        <f t="shared" si="305"/>
        <v>0</v>
      </c>
      <c r="MT26" s="57">
        <f t="shared" si="306"/>
        <v>0</v>
      </c>
      <c r="MU26" s="1029">
        <f t="shared" si="139"/>
        <v>0</v>
      </c>
      <c r="MV26" s="57">
        <f t="shared" si="140"/>
        <v>0</v>
      </c>
      <c r="MW26" s="171" t="str">
        <f t="shared" si="141"/>
        <v/>
      </c>
      <c r="MX26" s="57">
        <f t="shared" si="307"/>
        <v>0</v>
      </c>
      <c r="MY26" s="57">
        <f>IF(OR(AND(MM$6=1,$L26=0),AND(MM$6=2,$K26=2,$G26=1)),0,IF(AND(MO$9=2,(OR($F26&gt;1,$K26=1,AND($L26=80,OR($N26=1,AND($N26=2,'#BerechnungDBE'!$AL17&gt;0)))))),IF(MM$4&gt;=$AD$126,0,MW26),IF(MO$9=3,IF(OR(MM$4&gt;=$AD$127,AND($G26=1,$J26=2,MM$6=2),AND(MM$6=1,$N26&lt;&gt;1)),0,IF(MQ26&lt;=120,MW26,IF(MM$4&lt;$AD$124,IF($F26=1,60/MO$4*MO$6,60/MO$4*MO$7),IF($F26=1,120/MO$4*MO$6,120/MO$4*MO$7)))),IF(OR($F26=3,$G26=2),IF(OR(AND(MM$4&gt;=$AD$119,$C26=2),AND(MM$4&gt;=$AF$119,$C26=1)),0,IF(MQ26&lt;=60,MW26,60/MO$4*MO$7)),IF(AND($F26=2,$G26=1),MW26,0)))))</f>
        <v>0</v>
      </c>
      <c r="MZ26" s="57" t="str">
        <f t="shared" si="142"/>
        <v/>
      </c>
      <c r="NA26" s="57" t="str">
        <f t="shared" si="143"/>
        <v/>
      </c>
      <c r="NB26" s="713">
        <f>'org. Düngung 22'!CV25</f>
        <v>0</v>
      </c>
      <c r="NC26" s="57"/>
      <c r="ND26" s="57"/>
      <c r="NE26" s="57">
        <f t="shared" si="144"/>
        <v>0</v>
      </c>
      <c r="NF26" s="57">
        <f t="shared" si="308"/>
        <v>0</v>
      </c>
      <c r="NG26" s="57">
        <f t="shared" si="309"/>
        <v>0</v>
      </c>
      <c r="NH26" s="57">
        <f t="shared" si="310"/>
        <v>0</v>
      </c>
      <c r="NI26" s="57">
        <f t="shared" si="311"/>
        <v>0</v>
      </c>
      <c r="NJ26" s="1029">
        <f t="shared" si="145"/>
        <v>0</v>
      </c>
      <c r="NK26" s="57">
        <f t="shared" si="146"/>
        <v>0</v>
      </c>
      <c r="NL26" s="171" t="str">
        <f t="shared" si="147"/>
        <v/>
      </c>
      <c r="NM26" s="57">
        <f t="shared" si="312"/>
        <v>0</v>
      </c>
      <c r="NN26" s="57">
        <f>IF(OR(AND(NB$6=1,$L26=0),AND(NB$6=2,$K26=2,$G26=1)),0,IF(AND(ND$9=2,(OR($F26&gt;1,$K26=1,AND($L26=80,OR($N26=1,AND($N26=2,'#BerechnungDBE'!$AL17&gt;0)))))),IF(NB$4&gt;=$AD$126,0,NL26),IF(ND$9=3,IF(OR(NB$4&gt;=$AD$127,AND($G26=1,$J26=2,NB$6=2),AND(NB$6=1,$N26&lt;&gt;1)),0,IF(NF26&lt;=120,NL26,IF(NB$4&lt;$AD$124,IF($F26=1,60/ND$4*ND$6,60/ND$4*ND$7),IF($F26=1,120/ND$4*ND$6,120/ND$4*ND$7)))),IF(OR($F26=3,$G26=2),IF(OR(AND(NB$4&gt;=$AD$119,$C26=2),AND(NB$4&gt;=$AF$119,$C26=1)),0,IF(NF26&lt;=60,NL26,60/ND$4*ND$7)),IF(AND($F26=2,$G26=1),NL26,0)))))</f>
        <v>0</v>
      </c>
      <c r="NO26" s="57" t="str">
        <f t="shared" si="148"/>
        <v/>
      </c>
      <c r="NP26" s="57" t="str">
        <f t="shared" si="149"/>
        <v/>
      </c>
      <c r="NQ26" s="713">
        <f>'org. Düngung 22'!CZ25</f>
        <v>0</v>
      </c>
      <c r="NR26" s="57"/>
      <c r="NS26" s="57"/>
      <c r="NT26" s="57">
        <f t="shared" si="150"/>
        <v>0</v>
      </c>
      <c r="NU26" s="57">
        <f t="shared" si="313"/>
        <v>0</v>
      </c>
      <c r="NV26" s="57">
        <f t="shared" si="314"/>
        <v>0</v>
      </c>
      <c r="NW26" s="57">
        <f t="shared" si="315"/>
        <v>0</v>
      </c>
      <c r="NX26" s="57">
        <f t="shared" si="316"/>
        <v>0</v>
      </c>
      <c r="NY26" s="1029">
        <f t="shared" si="151"/>
        <v>0</v>
      </c>
      <c r="NZ26" s="57">
        <f t="shared" si="152"/>
        <v>0</v>
      </c>
      <c r="OA26" s="171" t="str">
        <f t="shared" si="153"/>
        <v/>
      </c>
      <c r="OB26" s="57">
        <f t="shared" si="317"/>
        <v>0</v>
      </c>
      <c r="OC26" s="57">
        <f>IF(OR(AND(NQ$6=1,$L26=0),AND(NQ$6=2,$K26=2,$G26=1)),0,IF(AND(NS$9=2,(OR($F26&gt;1,$K26=1,AND($L26=80,OR($N26=1,AND($N26=2,'#BerechnungDBE'!$AL17&gt;0)))))),IF(NQ$4&gt;=$AD$126,0,OA26),IF(NS$9=3,IF(OR(NQ$4&gt;=$AD$127,AND($G26=1,$J26=2,NQ$6=2),AND(NQ$6=1,$N26&lt;&gt;1)),0,IF(NU26&lt;=120,OA26,IF(NQ$4&lt;$AD$124,IF($F26=1,60/NS$4*NS$6,60/NS$4*NS$7),IF($F26=1,120/NS$4*NS$6,120/NS$4*NS$7)))),IF(OR($F26=3,$G26=2),IF(OR(AND(NQ$4&gt;=$AD$119,$C26=2),AND(NQ$4&gt;=$AF$119,$C26=1)),0,IF(NU26&lt;=60,OA26,60/NS$4*NS$7)),IF(AND($F26=2,$G26=1),OA26,0)))))</f>
        <v>0</v>
      </c>
      <c r="OD26" s="57" t="str">
        <f t="shared" si="154"/>
        <v/>
      </c>
      <c r="OE26" s="57" t="str">
        <f t="shared" si="155"/>
        <v/>
      </c>
      <c r="OF26" s="713">
        <f>'org. Düngung 22'!DD25</f>
        <v>0</v>
      </c>
      <c r="OG26" s="57"/>
      <c r="OH26" s="57"/>
      <c r="OI26" s="57">
        <f t="shared" si="156"/>
        <v>0</v>
      </c>
      <c r="OJ26" s="57">
        <f t="shared" si="318"/>
        <v>0</v>
      </c>
      <c r="OK26" s="57">
        <f t="shared" si="319"/>
        <v>0</v>
      </c>
      <c r="OL26" s="57">
        <f t="shared" si="320"/>
        <v>0</v>
      </c>
      <c r="OM26" s="57">
        <f t="shared" si="321"/>
        <v>0</v>
      </c>
      <c r="ON26" s="1029">
        <f t="shared" si="157"/>
        <v>0</v>
      </c>
      <c r="OO26" s="57">
        <f t="shared" si="158"/>
        <v>0</v>
      </c>
      <c r="OP26" s="171" t="str">
        <f t="shared" si="159"/>
        <v/>
      </c>
      <c r="OQ26" s="57">
        <f t="shared" si="322"/>
        <v>0</v>
      </c>
      <c r="OR26" s="57">
        <f>IF(OR(AND(OF$6=1,$L26=0),AND(OF$6=2,$K26=2,$G26=1)),0,IF(AND(OH$9=2,(OR($F26&gt;1,$K26=1,AND($L26=80,OR($N26=1,AND($N26=2,'#BerechnungDBE'!$AL17&gt;0)))))),IF(OF$4&gt;=$AD$126,0,OP26),IF(OH$9=3,IF(OR(OF$4&gt;=$AD$127,AND($G26=1,$J26=2,OF$6=2),AND(OF$6=1,$N26&lt;&gt;1)),0,IF(OJ26&lt;=120,OP26,IF(OF$4&lt;$AD$124,IF($F26=1,60/OH$4*OH$6,60/OH$4*OH$7),IF($F26=1,120/OH$4*OH$6,120/OH$4*OH$7)))),IF(OR($F26=3,$G26=2),IF(OR(AND(OF$4&gt;=$AD$119,$C26=2),AND(OF$4&gt;=$AF$119,$C26=1)),0,IF(OJ26&lt;=60,OP26,60/OH$4*OH$7)),IF(AND($F26=2,$G26=1),OP26,0)))))</f>
        <v>0</v>
      </c>
      <c r="OS26" s="57" t="str">
        <f t="shared" si="160"/>
        <v/>
      </c>
      <c r="OT26" s="57" t="str">
        <f t="shared" si="161"/>
        <v/>
      </c>
      <c r="OU26" s="713">
        <f>'org. Düngung 22'!DH25</f>
        <v>0</v>
      </c>
      <c r="OV26" s="57"/>
      <c r="OW26" s="57"/>
      <c r="OX26" s="57">
        <f t="shared" si="162"/>
        <v>0</v>
      </c>
      <c r="OY26" s="57">
        <f t="shared" si="323"/>
        <v>0</v>
      </c>
      <c r="OZ26" s="57">
        <f t="shared" si="324"/>
        <v>0</v>
      </c>
      <c r="PA26" s="57">
        <f t="shared" si="325"/>
        <v>0</v>
      </c>
      <c r="PB26" s="57">
        <f t="shared" si="326"/>
        <v>0</v>
      </c>
      <c r="PC26" s="1029">
        <f t="shared" si="163"/>
        <v>0</v>
      </c>
      <c r="PD26" s="57">
        <f t="shared" si="164"/>
        <v>0</v>
      </c>
      <c r="PE26" s="171" t="str">
        <f t="shared" si="165"/>
        <v/>
      </c>
      <c r="PF26" s="57">
        <f t="shared" si="327"/>
        <v>0</v>
      </c>
      <c r="PG26" s="57">
        <f>IF(OR(AND(OU$6=1,$L26=0),AND(OU$6=2,$K26=2,$G26=1)),0,IF(AND(OW$9=2,(OR($F26&gt;1,$K26=1,AND($L26=80,OR($N26=1,AND($N26=2,'#BerechnungDBE'!$AL17&gt;0)))))),IF(OU$4&gt;=$AD$126,0,PE26),IF(OW$9=3,IF(OR(OU$4&gt;=$AD$127,AND($G26=1,$J26=2,OU$6=2),AND(OU$6=1,$N26&lt;&gt;1)),0,IF(OY26&lt;=120,PE26,IF(OU$4&lt;$AD$124,IF($F26=1,60/OW$4*OW$6,60/OW$4*OW$7),IF($F26=1,120/OW$4*OW$6,120/OW$4*OW$7)))),IF(OR($F26=3,$G26=2),IF(OR(AND(OU$4&gt;=$AD$119,$C26=2),AND(OU$4&gt;=$AF$119,$C26=1)),0,IF(OY26&lt;=60,PE26,60/OW$4*OW$7)),IF(AND($F26=2,$G26=1),PE26,0)))))</f>
        <v>0</v>
      </c>
      <c r="PH26" s="57" t="str">
        <f t="shared" si="166"/>
        <v/>
      </c>
      <c r="PI26" s="57" t="str">
        <f t="shared" si="167"/>
        <v/>
      </c>
      <c r="PJ26" s="713">
        <f>'org. Düngung 22'!DL25</f>
        <v>0</v>
      </c>
      <c r="PK26" s="57"/>
      <c r="PL26" s="57"/>
      <c r="PM26" s="57">
        <f t="shared" si="168"/>
        <v>0</v>
      </c>
      <c r="PN26" s="57">
        <f t="shared" si="328"/>
        <v>0</v>
      </c>
      <c r="PO26" s="57">
        <f t="shared" si="329"/>
        <v>0</v>
      </c>
      <c r="PP26" s="57">
        <f t="shared" si="330"/>
        <v>0</v>
      </c>
      <c r="PQ26" s="57">
        <f t="shared" si="331"/>
        <v>0</v>
      </c>
      <c r="PR26" s="1029">
        <f t="shared" si="169"/>
        <v>0</v>
      </c>
      <c r="PS26" s="57">
        <f t="shared" si="170"/>
        <v>0</v>
      </c>
      <c r="PT26" s="171" t="str">
        <f t="shared" si="171"/>
        <v/>
      </c>
      <c r="PU26" s="57">
        <f t="shared" si="332"/>
        <v>0</v>
      </c>
      <c r="PV26" s="57">
        <f>IF(OR(AND(PJ$6=1,$L26=0),AND(PJ$6=2,$K26=2,$G26=1)),0,IF(AND(PL$9=2,(OR($F26&gt;1,$K26=1,AND($L26=80,OR($N26=1,AND($N26=2,'#BerechnungDBE'!$AL17&gt;0)))))),IF(PJ$4&gt;=$AD$126,0,PT26),IF(PL$9=3,IF(OR(PJ$4&gt;=$AD$127,AND($G26=1,$J26=2,PJ$6=2),AND(PJ$6=1,$N26&lt;&gt;1)),0,IF(PN26&lt;=120,PT26,IF(PJ$4&lt;$AD$124,IF($F26=1,60/PL$4*PL$6,60/PL$4*PL$7),IF($F26=1,120/PL$4*PL$6,120/PL$4*PL$7)))),IF(OR($F26=3,$G26=2),IF(OR(AND(PJ$4&gt;=$AD$119,$C26=2),AND(PJ$4&gt;=$AF$119,$C26=1)),0,IF(PN26&lt;=60,PT26,60/PL$4*PL$7)),IF(AND($F26=2,$G26=1),PT26,0)))))</f>
        <v>0</v>
      </c>
      <c r="PW26" s="57" t="str">
        <f t="shared" si="172"/>
        <v/>
      </c>
      <c r="PX26" s="57" t="str">
        <f t="shared" si="173"/>
        <v/>
      </c>
      <c r="PY26" s="713">
        <f>'org. Düngung 22'!DP25</f>
        <v>0</v>
      </c>
      <c r="PZ26" s="57"/>
      <c r="QA26" s="57"/>
      <c r="QB26" s="57">
        <f t="shared" si="174"/>
        <v>0</v>
      </c>
      <c r="QC26" s="57">
        <f t="shared" si="333"/>
        <v>0</v>
      </c>
      <c r="QD26" s="57">
        <f t="shared" si="334"/>
        <v>0</v>
      </c>
      <c r="QE26" s="57">
        <f t="shared" si="335"/>
        <v>0</v>
      </c>
      <c r="QF26" s="57">
        <f t="shared" si="336"/>
        <v>0</v>
      </c>
      <c r="QG26" s="1029">
        <f t="shared" si="175"/>
        <v>0</v>
      </c>
      <c r="QH26" s="57">
        <f t="shared" si="176"/>
        <v>0</v>
      </c>
      <c r="QI26" s="171" t="str">
        <f t="shared" si="177"/>
        <v/>
      </c>
      <c r="QJ26" s="57">
        <f t="shared" si="337"/>
        <v>0</v>
      </c>
      <c r="QK26" s="57">
        <f>IF(OR(AND(PY$6=1,$L26=0),AND(PY$6=2,$K26=2,$G26=1)),0,IF(AND(QA$9=2,(OR($F26&gt;1,$K26=1,AND($L26=80,OR($N26=1,AND($N26=2,'#BerechnungDBE'!$AL17&gt;0)))))),IF(PY$4&gt;=$AD$126,0,QI26),IF(QA$9=3,IF(OR(PY$4&gt;=$AD$127,AND($G26=1,$J26=2,PY$6=2),AND(PY$6=1,$N26&lt;&gt;1)),0,IF(QC26&lt;=120,QI26,IF(PY$4&lt;$AD$124,IF($F26=1,60/QA$4*QA$6,60/QA$4*QA$7),IF($F26=1,120/QA$4*QA$6,120/QA$4*QA$7)))),IF(OR($F26=3,$G26=2),IF(OR(AND(PY$4&gt;=$AD$119,$C26=2),AND(PY$4&gt;=$AF$119,$C26=1)),0,IF(QC26&lt;=60,QI26,60/QA$4*QA$7)),IF(AND($F26=2,$G26=1),QI26,0)))))</f>
        <v>0</v>
      </c>
      <c r="QL26" s="57" t="str">
        <f t="shared" si="178"/>
        <v/>
      </c>
      <c r="QM26" s="57" t="str">
        <f t="shared" si="179"/>
        <v/>
      </c>
      <c r="QN26" s="713">
        <f>'org. Düngung 22'!DT25</f>
        <v>0</v>
      </c>
      <c r="QO26" s="57"/>
      <c r="QP26" s="57"/>
      <c r="QQ26" s="57">
        <f t="shared" si="180"/>
        <v>0</v>
      </c>
      <c r="QR26" s="57">
        <f t="shared" si="338"/>
        <v>0</v>
      </c>
      <c r="QS26" s="57">
        <f t="shared" si="339"/>
        <v>0</v>
      </c>
      <c r="QT26" s="57">
        <f t="shared" si="340"/>
        <v>0</v>
      </c>
      <c r="QU26" s="57">
        <f t="shared" si="341"/>
        <v>0</v>
      </c>
      <c r="QV26" s="1029">
        <f t="shared" si="181"/>
        <v>0</v>
      </c>
      <c r="QW26" s="57">
        <f t="shared" si="182"/>
        <v>0</v>
      </c>
      <c r="QX26" s="171" t="str">
        <f t="shared" si="183"/>
        <v/>
      </c>
      <c r="QY26" s="57">
        <f t="shared" si="342"/>
        <v>0</v>
      </c>
      <c r="QZ26" s="57">
        <f>IF(OR(AND(QN$6=1,$L26=0),AND(QN$6=2,$K26=2,$G26=1)),0,IF(AND(QP$9=2,(OR($F26&gt;1,$K26=1,AND($L26=80,OR($N26=1,AND($N26=2,'#BerechnungDBE'!$AL17&gt;0)))))),IF(QN$4&gt;=$AD$126,0,QX26),IF(QP$9=3,IF(OR(QN$4&gt;=$AD$127,AND($G26=1,$J26=2,QN$6=2),AND(QN$6=1,$N26&lt;&gt;1)),0,IF(QR26&lt;=120,QX26,IF(QN$4&lt;$AD$124,IF($F26=1,60/QP$4*QP$6,60/QP$4*QP$7),IF($F26=1,120/QP$4*QP$6,120/QP$4*QP$7)))),IF(OR($F26=3,$G26=2),IF(OR(AND(QN$4&gt;=$AD$119,$C26=2),AND(QN$4&gt;=$AF$119,$C26=1)),0,IF(QR26&lt;=60,QX26,60/QP$4*QP$7)),IF(AND($F26=2,$G26=1),QX26,0)))))</f>
        <v>0</v>
      </c>
      <c r="RA26" s="57" t="str">
        <f t="shared" si="184"/>
        <v/>
      </c>
      <c r="RB26" s="57" t="str">
        <f t="shared" si="185"/>
        <v/>
      </c>
      <c r="RC26" s="713">
        <f>'org. Düngung 22'!DX25</f>
        <v>0</v>
      </c>
      <c r="RD26" s="57"/>
      <c r="RE26" s="57"/>
      <c r="RF26" s="57">
        <f t="shared" si="186"/>
        <v>0</v>
      </c>
      <c r="RG26" s="57">
        <f t="shared" si="343"/>
        <v>0</v>
      </c>
      <c r="RH26" s="57">
        <f t="shared" si="344"/>
        <v>0</v>
      </c>
      <c r="RI26" s="57">
        <f t="shared" si="345"/>
        <v>0</v>
      </c>
      <c r="RJ26" s="57">
        <f t="shared" si="346"/>
        <v>0</v>
      </c>
      <c r="RK26" s="1029">
        <f t="shared" si="187"/>
        <v>0</v>
      </c>
      <c r="RL26" s="57">
        <f t="shared" si="188"/>
        <v>0</v>
      </c>
      <c r="RM26" s="171" t="str">
        <f t="shared" si="189"/>
        <v/>
      </c>
      <c r="RN26" s="57">
        <f t="shared" si="347"/>
        <v>0</v>
      </c>
      <c r="RO26" s="57">
        <f>IF(OR(AND(RC$6=1,$L26=0),AND(RC$6=2,$K26=2,$G26=1)),0,IF(AND(RE$9=2,(OR($F26&gt;1,$K26=1,AND($L26=80,OR($N26=1,AND($N26=2,'#BerechnungDBE'!$AL17&gt;0)))))),IF(RC$4&gt;=$AD$126,0,RM26),IF(RE$9=3,IF(OR(RC$4&gt;=$AD$127,AND($G26=1,$J26=2,RC$6=2),AND(RC$6=1,$N26&lt;&gt;1)),0,IF(RG26&lt;=120,RM26,IF(RC$4&lt;$AD$124,IF($F26=1,60/RE$4*RE$6,60/RE$4*RE$7),IF($F26=1,120/RE$4*RE$6,120/RE$4*RE$7)))),IF(OR($F26=3,$G26=2),IF(OR(AND(RC$4&gt;=$AD$119,$C26=2),AND(RC$4&gt;=$AF$119,$C26=1)),0,IF(RG26&lt;=60,RM26,60/RE$4*RE$7)),IF(AND($F26=2,$G26=1),RM26,0)))))</f>
        <v>0</v>
      </c>
      <c r="RP26" s="57" t="str">
        <f t="shared" si="190"/>
        <v/>
      </c>
      <c r="RQ26" s="57" t="str">
        <f t="shared" si="191"/>
        <v/>
      </c>
      <c r="RS26" s="57" t="str">
        <f t="shared" si="348"/>
        <v/>
      </c>
      <c r="RT26" s="57" t="str">
        <f t="shared" si="192"/>
        <v/>
      </c>
      <c r="RU26" s="57" t="str">
        <f t="shared" si="193"/>
        <v/>
      </c>
      <c r="RV26" s="57" t="str">
        <f>IF(Z26&gt;'#BerechnungDBE'!BM17,$RV$9,"")</f>
        <v/>
      </c>
      <c r="RW26" s="57" t="str">
        <f>IF(AND(L26=70,AE26&gt;'#BerechnungDBE'!CQ17),$RW$9,"")</f>
        <v/>
      </c>
      <c r="RX26" s="57" t="str">
        <f>IF(OR('org. Düngung 22'!G25="--",'org. Düngung 22'!G25&lt;=170,'org. Düngung 22'!G25=""),"",$RX$9)</f>
        <v/>
      </c>
      <c r="RY26" s="57" t="str">
        <f>IF('org. Düngung 22'!K25&gt;120,'#orgDung'!$RY$9,"")</f>
        <v/>
      </c>
      <c r="RZ26" s="57" t="str">
        <f>IF('#BerechnungDBE'!P17&lt;4,"",IF(AND('#BerechnungDBE'!BZ17&gt;0,T26&gt;0),'#orgDung'!$RZ$9,""))</f>
        <v/>
      </c>
      <c r="SA26" s="57" t="str">
        <f t="shared" si="194"/>
        <v/>
      </c>
    </row>
    <row r="27" spans="1:495" s="875" customFormat="1" x14ac:dyDescent="0.2">
      <c r="A27" s="875">
        <f>'Flächen u. Kulturen'!A23</f>
        <v>14</v>
      </c>
      <c r="B27" s="367">
        <f>'#BerechnungDBE'!L18</f>
        <v>0</v>
      </c>
      <c r="C27" s="875">
        <f>'#BerechnungDBE'!R18</f>
        <v>1</v>
      </c>
      <c r="D27" s="875">
        <f>'#BerechnungDBE'!T18</f>
        <v>2</v>
      </c>
      <c r="E27" s="875" t="str">
        <f>'Flächen u. Kulturen'!E23</f>
        <v>x</v>
      </c>
      <c r="F27" s="52">
        <f>'#BerechnungDBE'!N18</f>
        <v>1</v>
      </c>
      <c r="G27" s="52">
        <f>'#BerechnungDBE'!O18</f>
        <v>1</v>
      </c>
      <c r="H27" s="875">
        <f>IF('Flächen u. Kulturen'!P23="",0,VLOOKUP('Flächen u. Kulturen'!P23,Kulturen[[HF]:[Berechnungsgruppe]],'#Frucht'!$H$1,FALSE))</f>
        <v>0</v>
      </c>
      <c r="I27" s="875">
        <f>IF('Flächen u. Kulturen'!J23="",0,VLOOKUP('Flächen u. Kulturen'!J23,Kulturen[[HF]:[Berechnungsgruppe]],'#Frucht'!$G$1,FALSE))</f>
        <v>90</v>
      </c>
      <c r="J27" s="505">
        <f t="shared" si="195"/>
        <v>2</v>
      </c>
      <c r="K27" s="505">
        <f>IF('Flächen u. Kulturen'!P23="",0,IF(VLOOKUP('Flächen u. Kulturen'!P23,Kulturen[[HF]:[Saat Winterungen]],'#Frucht'!$P$1,FALSE)&gt;0,1,2))</f>
        <v>2</v>
      </c>
      <c r="L27" s="875">
        <f>'#BerechnungDBE'!AF18</f>
        <v>0</v>
      </c>
      <c r="M27" s="875">
        <f>IF('Flächen u. Kulturen'!L23="",0,VLOOKUP('Flächen u. Kulturen'!L23,Nebenkultur[[Nebenkultur]:[Legum. Zwischenfr.]],'#Zweitfr'!$K$1,FALSE))</f>
        <v>0</v>
      </c>
      <c r="N27" s="875">
        <f>'#BerechnungDBE'!AG18</f>
        <v>0</v>
      </c>
      <c r="P27" s="57">
        <f t="shared" si="0"/>
        <v>0</v>
      </c>
      <c r="Q27" s="57">
        <f t="shared" si="1"/>
        <v>0</v>
      </c>
      <c r="R27" s="875">
        <f t="shared" si="2"/>
        <v>0</v>
      </c>
      <c r="S27" s="938" t="str">
        <f t="shared" si="3"/>
        <v/>
      </c>
      <c r="T27" s="875">
        <f t="shared" si="4"/>
        <v>0</v>
      </c>
      <c r="U27" s="875">
        <f t="shared" si="5"/>
        <v>0</v>
      </c>
      <c r="V27" s="875">
        <f t="shared" si="6"/>
        <v>0</v>
      </c>
      <c r="W27" s="875">
        <f t="shared" si="7"/>
        <v>0</v>
      </c>
      <c r="X27" s="875">
        <f t="shared" si="8"/>
        <v>0</v>
      </c>
      <c r="Y27" s="875">
        <f t="shared" si="349"/>
        <v>0</v>
      </c>
      <c r="Z27" s="875">
        <f t="shared" si="350"/>
        <v>0</v>
      </c>
      <c r="AA27" s="910">
        <f t="shared" si="9"/>
        <v>0</v>
      </c>
      <c r="AB27" s="57">
        <f t="shared" si="351"/>
        <v>0</v>
      </c>
      <c r="AC27" s="875">
        <f t="shared" si="10"/>
        <v>0</v>
      </c>
      <c r="AD27" s="875">
        <f t="shared" si="11"/>
        <v>0</v>
      </c>
      <c r="AE27" s="875">
        <f t="shared" si="12"/>
        <v>0</v>
      </c>
      <c r="AF27" s="875">
        <f t="shared" si="352"/>
        <v>0</v>
      </c>
      <c r="AG27" s="875">
        <f>'org. Düngung 22'!J26</f>
        <v>0</v>
      </c>
      <c r="AH27" s="875">
        <f>'org. Düngung 22'!K26</f>
        <v>0</v>
      </c>
      <c r="AJ27" s="713">
        <f>'org. Düngung 22'!L26</f>
        <v>0</v>
      </c>
      <c r="AK27" s="57"/>
      <c r="AL27" s="57"/>
      <c r="AM27" s="57">
        <f t="shared" si="196"/>
        <v>0</v>
      </c>
      <c r="AN27" s="57">
        <f t="shared" si="197"/>
        <v>0</v>
      </c>
      <c r="AO27" s="57">
        <f t="shared" si="198"/>
        <v>0</v>
      </c>
      <c r="AP27" s="57">
        <f t="shared" si="199"/>
        <v>0</v>
      </c>
      <c r="AQ27" s="57">
        <f t="shared" si="200"/>
        <v>0</v>
      </c>
      <c r="AR27" s="1029">
        <f t="shared" si="14"/>
        <v>0</v>
      </c>
      <c r="AS27" s="57">
        <f t="shared" si="15"/>
        <v>0</v>
      </c>
      <c r="AT27" s="171" t="str">
        <f t="shared" si="16"/>
        <v/>
      </c>
      <c r="AU27" s="57">
        <f t="shared" si="201"/>
        <v>0</v>
      </c>
      <c r="AV27" s="57">
        <f>IF(OR(AND(AJ$6=1,$L27=0),AND(AJ$6=2,$K27=2,$G27=1)),0,IF(AND(AL$9=2,(OR($F27&gt;1,$K27=1,AND($L27=80,OR($N27=1,AND($N27=2,'#BerechnungDBE'!$AL18&gt;0)))))),IF(AJ$4&gt;=$AD$126,0,AT27),IF(AL$9=3,IF(OR(AJ$4&gt;=$AD$127,AND($G27=1,$J27=2,AJ$6=2),AND(AJ$6=1,$N27&lt;&gt;1)),0,IF(AN27&lt;=120,AT27,IF(AJ$4&lt;$AD$124,IF($F27=1,60/AL$4*AL$6,60/AL$4*AL$7),IF($F27=1,120/AL$4*AL$6,120/AL$4*AL$7)))),IF(OR($F27=3,$G27=2),IF(OR(AND(AJ$4&gt;=$AD$119,$C27=2),AND(AJ$4&gt;=$AF$119,$C27=1)),0,IF(AN27&lt;=60,AT27,60/AL$4*AL$7)),IF(AND($F27=2,$G27=1),AT27,0)))))</f>
        <v>0</v>
      </c>
      <c r="AW27" s="57" t="str">
        <f t="shared" si="202"/>
        <v/>
      </c>
      <c r="AX27" s="57" t="str">
        <f t="shared" si="17"/>
        <v/>
      </c>
      <c r="AY27" s="713">
        <f>'org. Düngung 22'!P26</f>
        <v>0</v>
      </c>
      <c r="AZ27" s="57"/>
      <c r="BA27" s="57"/>
      <c r="BB27" s="57">
        <f t="shared" si="18"/>
        <v>0</v>
      </c>
      <c r="BC27" s="57">
        <f t="shared" si="203"/>
        <v>0</v>
      </c>
      <c r="BD27" s="57">
        <f t="shared" si="204"/>
        <v>0</v>
      </c>
      <c r="BE27" s="57">
        <f t="shared" si="205"/>
        <v>0</v>
      </c>
      <c r="BF27" s="57">
        <f t="shared" si="206"/>
        <v>0</v>
      </c>
      <c r="BG27" s="1029">
        <f t="shared" si="19"/>
        <v>0</v>
      </c>
      <c r="BH27" s="57">
        <f t="shared" si="20"/>
        <v>0</v>
      </c>
      <c r="BI27" s="171" t="str">
        <f t="shared" si="21"/>
        <v/>
      </c>
      <c r="BJ27" s="57">
        <f t="shared" si="207"/>
        <v>0</v>
      </c>
      <c r="BK27" s="57">
        <f>IF(OR(AND(AY$6=1,$L27=0),AND(AY$6=2,$K27=2,$G27=1)),0,IF(AND(BA$9=2,(OR($F27&gt;1,$K27=1,AND($L27=80,OR($N27=1,AND($N27=2,'#BerechnungDBE'!$AL18&gt;0)))))),IF(AY$4&gt;=$AD$126,0,BI27),IF(BA$9=3,IF(OR(AY$4&gt;=$AD$127,AND($G27=1,$J27=2,AY$6=2),AND(AY$6=1,$N27&lt;&gt;1)),0,IF(BC27&lt;=120,BI27,IF(AY$4&lt;$AD$124,IF($F27=1,60/BA$4*BA$6,60/BA$4*BA$7),IF($F27=1,120/BA$4*BA$6,120/BA$4*BA$7)))),IF(OR($F27=3,$G27=2),IF(OR(AND(AY$4&gt;=$AD$119,$C27=2),AND(AY$4&gt;=$AF$119,$C27=1)),0,IF(BC27&lt;=60,BI27,60/BA$4*BA$7)),IF(AND($F27=2,$G27=1),BI27,0)))))</f>
        <v>0</v>
      </c>
      <c r="BL27" s="57" t="str">
        <f t="shared" si="22"/>
        <v/>
      </c>
      <c r="BM27" s="57" t="str">
        <f t="shared" si="23"/>
        <v/>
      </c>
      <c r="BN27" s="713">
        <f>'org. Düngung 22'!T26</f>
        <v>0</v>
      </c>
      <c r="BO27" s="57"/>
      <c r="BP27" s="57"/>
      <c r="BQ27" s="57">
        <f t="shared" si="24"/>
        <v>0</v>
      </c>
      <c r="BR27" s="57">
        <f t="shared" si="208"/>
        <v>0</v>
      </c>
      <c r="BS27" s="57">
        <f t="shared" si="209"/>
        <v>0</v>
      </c>
      <c r="BT27" s="57">
        <f t="shared" si="210"/>
        <v>0</v>
      </c>
      <c r="BU27" s="57">
        <f t="shared" si="211"/>
        <v>0</v>
      </c>
      <c r="BV27" s="1029">
        <f t="shared" si="25"/>
        <v>0</v>
      </c>
      <c r="BW27" s="57">
        <f t="shared" si="26"/>
        <v>0</v>
      </c>
      <c r="BX27" s="171" t="str">
        <f t="shared" si="27"/>
        <v/>
      </c>
      <c r="BY27" s="57">
        <f t="shared" si="212"/>
        <v>0</v>
      </c>
      <c r="BZ27" s="57">
        <f>IF(OR(AND(BN$6=1,$L27=0),AND(BN$6=2,$K27=2,$G27=1)),0,IF(AND(BP$9=2,(OR($F27&gt;1,$K27=1,AND($L27=80,OR($N27=1,AND($N27=2,'#BerechnungDBE'!$AL18&gt;0)))))),IF(BN$4&gt;=$AD$126,0,BX27),IF(BP$9=3,IF(OR(BN$4&gt;=$AD$127,AND($G27=1,$J27=2,BN$6=2),AND(BN$6=1,$N27&lt;&gt;1)),0,IF(BR27&lt;=120,BX27,IF(BN$4&lt;$AD$124,IF($F27=1,60/BP$4*BP$6,60/BP$4*BP$7),IF($F27=1,120/BP$4*BP$6,120/BP$4*BP$7)))),IF(OR($F27=3,$G27=2),IF(OR(AND(BN$4&gt;=$AD$119,$C27=2),AND(BN$4&gt;=$AF$119,$C27=1)),0,IF(BR27&lt;=60,BX27,60/BP$4*BP$7)),IF(AND($F27=2,$G27=1),BX27,0)))))</f>
        <v>0</v>
      </c>
      <c r="CA27" s="57" t="str">
        <f t="shared" si="28"/>
        <v/>
      </c>
      <c r="CB27" s="57" t="str">
        <f t="shared" si="29"/>
        <v/>
      </c>
      <c r="CC27" s="713">
        <f>'org. Düngung 22'!X26</f>
        <v>0</v>
      </c>
      <c r="CD27" s="57"/>
      <c r="CE27" s="57"/>
      <c r="CF27" s="57">
        <f t="shared" si="30"/>
        <v>0</v>
      </c>
      <c r="CG27" s="57">
        <f t="shared" si="213"/>
        <v>0</v>
      </c>
      <c r="CH27" s="57">
        <f t="shared" si="214"/>
        <v>0</v>
      </c>
      <c r="CI27" s="57">
        <f t="shared" si="215"/>
        <v>0</v>
      </c>
      <c r="CJ27" s="57">
        <f t="shared" si="216"/>
        <v>0</v>
      </c>
      <c r="CK27" s="1029">
        <f t="shared" si="31"/>
        <v>0</v>
      </c>
      <c r="CL27" s="57">
        <f t="shared" si="32"/>
        <v>0</v>
      </c>
      <c r="CM27" s="171" t="str">
        <f t="shared" si="33"/>
        <v/>
      </c>
      <c r="CN27" s="57">
        <f t="shared" si="217"/>
        <v>0</v>
      </c>
      <c r="CO27" s="57">
        <f>IF(OR(AND(CC$6=1,$L27=0),AND(CC$6=2,$K27=2,$G27=1)),0,IF(AND(CE$9=2,(OR($F27&gt;1,$K27=1,AND($L27=80,OR($N27=1,AND($N27=2,'#BerechnungDBE'!$AL18&gt;0)))))),IF(CC$4&gt;=$AD$126,0,CM27),IF(CE$9=3,IF(OR(CC$4&gt;=$AD$127,AND($G27=1,$J27=2,CC$6=2),AND(CC$6=1,$N27&lt;&gt;1)),0,IF(CG27&lt;=120,CM27,IF(CC$4&lt;$AD$124,IF($F27=1,60/CE$4*CE$6,60/CE$4*CE$7),IF($F27=1,120/CE$4*CE$6,120/CE$4*CE$7)))),IF(OR($F27=3,$G27=2),IF(OR(AND(CC$4&gt;=$AD$119,$C27=2),AND(CC$4&gt;=$AF$119,$C27=1)),0,IF(CG27&lt;=60,CM27,60/CE$4*CE$7)),IF(AND($F27=2,$G27=1),CM27,0)))))</f>
        <v>0</v>
      </c>
      <c r="CP27" s="57" t="str">
        <f t="shared" si="34"/>
        <v/>
      </c>
      <c r="CQ27" s="57" t="str">
        <f t="shared" si="35"/>
        <v/>
      </c>
      <c r="CR27" s="713">
        <f>'org. Düngung 22'!AB26</f>
        <v>0</v>
      </c>
      <c r="CS27" s="57"/>
      <c r="CT27" s="57"/>
      <c r="CU27" s="57">
        <f t="shared" si="36"/>
        <v>0</v>
      </c>
      <c r="CV27" s="57">
        <f t="shared" si="218"/>
        <v>0</v>
      </c>
      <c r="CW27" s="57">
        <f t="shared" si="219"/>
        <v>0</v>
      </c>
      <c r="CX27" s="57">
        <f t="shared" si="220"/>
        <v>0</v>
      </c>
      <c r="CY27" s="57">
        <f t="shared" si="221"/>
        <v>0</v>
      </c>
      <c r="CZ27" s="1029">
        <f t="shared" si="37"/>
        <v>0</v>
      </c>
      <c r="DA27" s="57">
        <f t="shared" si="38"/>
        <v>0</v>
      </c>
      <c r="DB27" s="171" t="str">
        <f t="shared" si="39"/>
        <v/>
      </c>
      <c r="DC27" s="57">
        <f t="shared" si="222"/>
        <v>0</v>
      </c>
      <c r="DD27" s="57">
        <f>IF(OR(AND(CR$6=1,$L27=0),AND(CR$6=2,$K27=2,$G27=1)),0,IF(AND(CT$9=2,(OR($F27&gt;1,$K27=1,AND($L27=80,OR($N27=1,AND($N27=2,'#BerechnungDBE'!$AL18&gt;0)))))),IF(CR$4&gt;=$AD$126,0,DB27),IF(CT$9=3,IF(OR(CR$4&gt;=$AD$127,AND($G27=1,$J27=2,CR$6=2),AND(CR$6=1,$N27&lt;&gt;1)),0,IF(CV27&lt;=120,DB27,IF(CR$4&lt;$AD$124,IF($F27=1,60/CT$4*CT$6,60/CT$4*CT$7),IF($F27=1,120/CT$4*CT$6,120/CT$4*CT$7)))),IF(OR($F27=3,$G27=2),IF(OR(AND(CR$4&gt;=$AD$119,$C27=2),AND(CR$4&gt;=$AF$119,$C27=1)),0,IF(CV27&lt;=60,DB27,60/CT$4*CT$7)),IF(AND($F27=2,$G27=1),DB27,0)))))</f>
        <v>0</v>
      </c>
      <c r="DE27" s="57" t="str">
        <f t="shared" si="40"/>
        <v/>
      </c>
      <c r="DF27" s="57" t="str">
        <f t="shared" si="41"/>
        <v/>
      </c>
      <c r="DG27" s="713">
        <f>'org. Düngung 22'!AF26</f>
        <v>0</v>
      </c>
      <c r="DH27" s="57"/>
      <c r="DI27" s="57"/>
      <c r="DJ27" s="57">
        <f t="shared" si="42"/>
        <v>0</v>
      </c>
      <c r="DK27" s="57">
        <f t="shared" si="223"/>
        <v>0</v>
      </c>
      <c r="DL27" s="57">
        <f t="shared" si="224"/>
        <v>0</v>
      </c>
      <c r="DM27" s="57">
        <f t="shared" si="225"/>
        <v>0</v>
      </c>
      <c r="DN27" s="57">
        <f t="shared" si="226"/>
        <v>0</v>
      </c>
      <c r="DO27" s="1029">
        <f t="shared" si="43"/>
        <v>0</v>
      </c>
      <c r="DP27" s="57">
        <f t="shared" si="44"/>
        <v>0</v>
      </c>
      <c r="DQ27" s="171" t="str">
        <f t="shared" si="45"/>
        <v/>
      </c>
      <c r="DR27" s="57">
        <f t="shared" si="227"/>
        <v>0</v>
      </c>
      <c r="DS27" s="57">
        <f>IF(OR(AND(DG$6=1,$L27=0),AND(DG$6=2,$K27=2,$G27=1)),0,IF(AND(DI$9=2,(OR($F27&gt;1,$K27=1,AND($L27=80,OR($N27=1,AND($N27=2,'#BerechnungDBE'!$AL18&gt;0)))))),IF(DG$4&gt;=$AD$126,0,DQ27),IF(DI$9=3,IF(OR(DG$4&gt;=$AD$127,AND($G27=1,$J27=2,DG$6=2),AND(DG$6=1,$N27&lt;&gt;1)),0,IF(DK27&lt;=120,DQ27,IF(DG$4&lt;$AD$124,IF($F27=1,60/DI$4*DI$6,60/DI$4*DI$7),IF($F27=1,120/DI$4*DI$6,120/DI$4*DI$7)))),IF(OR($F27=3,$G27=2),IF(OR(AND(DG$4&gt;=$AD$119,$C27=2),AND(DG$4&gt;=$AF$119,$C27=1)),0,IF(DK27&lt;=60,DQ27,60/DI$4*DI$7)),IF(AND($F27=2,$G27=1),DQ27,0)))))</f>
        <v>0</v>
      </c>
      <c r="DT27" s="57" t="str">
        <f t="shared" si="46"/>
        <v/>
      </c>
      <c r="DU27" s="57" t="str">
        <f t="shared" si="47"/>
        <v/>
      </c>
      <c r="DV27" s="713">
        <f>'org. Düngung 22'!AJ26</f>
        <v>0</v>
      </c>
      <c r="DW27" s="57"/>
      <c r="DX27" s="57"/>
      <c r="DY27" s="57">
        <f t="shared" si="48"/>
        <v>0</v>
      </c>
      <c r="DZ27" s="57">
        <f t="shared" si="228"/>
        <v>0</v>
      </c>
      <c r="EA27" s="57">
        <f t="shared" si="229"/>
        <v>0</v>
      </c>
      <c r="EB27" s="57">
        <f t="shared" si="230"/>
        <v>0</v>
      </c>
      <c r="EC27" s="57">
        <f t="shared" si="231"/>
        <v>0</v>
      </c>
      <c r="ED27" s="1029">
        <f t="shared" si="49"/>
        <v>0</v>
      </c>
      <c r="EE27" s="57">
        <f t="shared" si="50"/>
        <v>0</v>
      </c>
      <c r="EF27" s="171" t="str">
        <f t="shared" si="51"/>
        <v/>
      </c>
      <c r="EG27" s="57">
        <f t="shared" si="232"/>
        <v>0</v>
      </c>
      <c r="EH27" s="57">
        <f>IF(OR(AND(DV$6=1,$L27=0),AND(DV$6=2,$K27=2,$G27=1)),0,IF(AND(DX$9=2,(OR($F27&gt;1,$K27=1,AND($L27=80,OR($N27=1,AND($N27=2,'#BerechnungDBE'!$AL18&gt;0)))))),IF(DV$4&gt;=$AD$126,0,EF27),IF(DX$9=3,IF(OR(DV$4&gt;=$AD$127,AND($G27=1,$J27=2,DV$6=2),AND(DV$6=1,$N27&lt;&gt;1)),0,IF(DZ27&lt;=120,EF27,IF(DV$4&lt;$AD$124,IF($F27=1,60/DX$4*DX$6,60/DX$4*DX$7),IF($F27=1,120/DX$4*DX$6,120/DX$4*DX$7)))),IF(OR($F27=3,$G27=2),IF(OR(AND(DV$4&gt;=$AD$119,$C27=2),AND(DV$4&gt;=$AF$119,$C27=1)),0,IF(DZ27&lt;=60,EF27,60/DX$4*DX$7)),IF(AND($F27=2,$G27=1),EF27,0)))))</f>
        <v>0</v>
      </c>
      <c r="EI27" s="57" t="str">
        <f t="shared" si="52"/>
        <v/>
      </c>
      <c r="EJ27" s="57" t="str">
        <f t="shared" si="53"/>
        <v/>
      </c>
      <c r="EK27" s="713">
        <f>'org. Düngung 22'!AN26</f>
        <v>0</v>
      </c>
      <c r="EL27" s="57"/>
      <c r="EM27" s="57"/>
      <c r="EN27" s="57">
        <f t="shared" si="54"/>
        <v>0</v>
      </c>
      <c r="EO27" s="57">
        <f t="shared" si="233"/>
        <v>0</v>
      </c>
      <c r="EP27" s="57">
        <f t="shared" si="234"/>
        <v>0</v>
      </c>
      <c r="EQ27" s="57">
        <f t="shared" si="235"/>
        <v>0</v>
      </c>
      <c r="ER27" s="57">
        <f t="shared" si="236"/>
        <v>0</v>
      </c>
      <c r="ES27" s="1029">
        <f t="shared" si="55"/>
        <v>0</v>
      </c>
      <c r="ET27" s="57">
        <f t="shared" si="56"/>
        <v>0</v>
      </c>
      <c r="EU27" s="171" t="str">
        <f t="shared" si="57"/>
        <v/>
      </c>
      <c r="EV27" s="57">
        <f t="shared" si="237"/>
        <v>0</v>
      </c>
      <c r="EW27" s="57">
        <f>IF(OR(AND(EK$6=1,$L27=0),AND(EK$6=2,$K27=2,$G27=1)),0,IF(AND(EM$9=2,(OR($F27&gt;1,$K27=1,AND($L27=80,OR($N27=1,AND($N27=2,'#BerechnungDBE'!$AL18&gt;0)))))),IF(EK$4&gt;=$AD$126,0,EU27),IF(EM$9=3,IF(OR(EK$4&gt;=$AD$127,AND($G27=1,$J27=2,EK$6=2),AND(EK$6=1,$N27&lt;&gt;1)),0,IF(EO27&lt;=120,EU27,IF(EK$4&lt;$AD$124,IF($F27=1,60/EM$4*EM$6,60/EM$4*EM$7),IF($F27=1,120/EM$4*EM$6,120/EM$4*EM$7)))),IF(OR($F27=3,$G27=2),IF(OR(AND(EK$4&gt;=$AD$119,$C27=2),AND(EK$4&gt;=$AF$119,$C27=1)),0,IF(EO27&lt;=60,EU27,60/EM$4*EM$7)),IF(AND($F27=2,$G27=1),EU27,0)))))</f>
        <v>0</v>
      </c>
      <c r="EX27" s="57" t="str">
        <f t="shared" si="58"/>
        <v/>
      </c>
      <c r="EY27" s="57" t="str">
        <f t="shared" si="59"/>
        <v/>
      </c>
      <c r="EZ27" s="713">
        <f>'org. Düngung 22'!AR26</f>
        <v>0</v>
      </c>
      <c r="FA27" s="57"/>
      <c r="FB27" s="57"/>
      <c r="FC27" s="57">
        <f t="shared" si="60"/>
        <v>0</v>
      </c>
      <c r="FD27" s="57">
        <f t="shared" si="238"/>
        <v>0</v>
      </c>
      <c r="FE27" s="57">
        <f t="shared" si="239"/>
        <v>0</v>
      </c>
      <c r="FF27" s="57">
        <f t="shared" si="240"/>
        <v>0</v>
      </c>
      <c r="FG27" s="57">
        <f t="shared" si="241"/>
        <v>0</v>
      </c>
      <c r="FH27" s="1029">
        <f t="shared" si="61"/>
        <v>0</v>
      </c>
      <c r="FI27" s="57">
        <f t="shared" si="62"/>
        <v>0</v>
      </c>
      <c r="FJ27" s="171" t="str">
        <f t="shared" si="63"/>
        <v/>
      </c>
      <c r="FK27" s="57">
        <f t="shared" si="242"/>
        <v>0</v>
      </c>
      <c r="FL27" s="57">
        <f>IF(OR(AND(EZ$6=1,$L27=0),AND(EZ$6=2,$K27=2,$G27=1)),0,IF(AND(FB$9=2,(OR($F27&gt;1,$K27=1,AND($L27=80,OR($N27=1,AND($N27=2,'#BerechnungDBE'!$AL18&gt;0)))))),IF(EZ$4&gt;=$AD$126,0,FJ27),IF(FB$9=3,IF(OR(EZ$4&gt;=$AD$127,AND($G27=1,$J27=2,EZ$6=2),AND(EZ$6=1,$N27&lt;&gt;1)),0,IF(FD27&lt;=120,FJ27,IF(EZ$4&lt;$AD$124,IF($F27=1,60/FB$4*FB$6,60/FB$4*FB$7),IF($F27=1,120/FB$4*FB$6,120/FB$4*FB$7)))),IF(OR($F27=3,$G27=2),IF(OR(AND(EZ$4&gt;=$AD$119,$C27=2),AND(EZ$4&gt;=$AF$119,$C27=1)),0,IF(FD27&lt;=60,FJ27,60/FB$4*FB$7)),IF(AND($F27=2,$G27=1),FJ27,0)))))</f>
        <v>0</v>
      </c>
      <c r="FM27" s="57" t="str">
        <f t="shared" si="64"/>
        <v/>
      </c>
      <c r="FN27" s="57" t="str">
        <f t="shared" si="65"/>
        <v/>
      </c>
      <c r="FO27" s="713">
        <f>'org. Düngung 22'!AV26</f>
        <v>0</v>
      </c>
      <c r="FP27" s="57"/>
      <c r="FQ27" s="57"/>
      <c r="FR27" s="57">
        <f t="shared" si="66"/>
        <v>0</v>
      </c>
      <c r="FS27" s="57">
        <f t="shared" si="243"/>
        <v>0</v>
      </c>
      <c r="FT27" s="57">
        <f t="shared" si="244"/>
        <v>0</v>
      </c>
      <c r="FU27" s="57">
        <f t="shared" si="245"/>
        <v>0</v>
      </c>
      <c r="FV27" s="57">
        <f t="shared" si="246"/>
        <v>0</v>
      </c>
      <c r="FW27" s="1029">
        <f t="shared" si="67"/>
        <v>0</v>
      </c>
      <c r="FX27" s="57">
        <f t="shared" si="68"/>
        <v>0</v>
      </c>
      <c r="FY27" s="171" t="str">
        <f t="shared" si="69"/>
        <v/>
      </c>
      <c r="FZ27" s="57">
        <f t="shared" si="247"/>
        <v>0</v>
      </c>
      <c r="GA27" s="57">
        <f>IF(OR(AND(FO$6=1,$L27=0),AND(FO$6=2,$K27=2,$G27=1)),0,IF(AND(FQ$9=2,(OR($F27&gt;1,$K27=1,AND($L27=80,OR($N27=1,AND($N27=2,'#BerechnungDBE'!$AL18&gt;0)))))),IF(FO$4&gt;=$AD$126,0,FY27),IF(FQ$9=3,IF(OR(FO$4&gt;=$AD$127,AND($G27=1,$J27=2,FO$6=2),AND(FO$6=1,$N27&lt;&gt;1)),0,IF(FS27&lt;=120,FY27,IF(FO$4&lt;$AD$124,IF($F27=1,60/FQ$4*FQ$6,60/FQ$4*FQ$7),IF($F27=1,120/FQ$4*FQ$6,120/FQ$4*FQ$7)))),IF(OR($F27=3,$G27=2),IF(OR(AND(FO$4&gt;=$AD$119,$C27=2),AND(FO$4&gt;=$AF$119,$C27=1)),0,IF(FS27&lt;=60,FY27,60/FQ$4*FQ$7)),IF(AND($F27=2,$G27=1),FY27,0)))))</f>
        <v>0</v>
      </c>
      <c r="GB27" s="57" t="str">
        <f t="shared" si="70"/>
        <v/>
      </c>
      <c r="GC27" s="57" t="str">
        <f t="shared" si="71"/>
        <v/>
      </c>
      <c r="GD27" s="713">
        <f>'org. Düngung 22'!AZ26</f>
        <v>0</v>
      </c>
      <c r="GE27" s="57"/>
      <c r="GF27" s="57"/>
      <c r="GG27" s="57">
        <f t="shared" si="72"/>
        <v>0</v>
      </c>
      <c r="GH27" s="57">
        <f t="shared" si="248"/>
        <v>0</v>
      </c>
      <c r="GI27" s="57">
        <f t="shared" si="249"/>
        <v>0</v>
      </c>
      <c r="GJ27" s="57">
        <f t="shared" si="250"/>
        <v>0</v>
      </c>
      <c r="GK27" s="57">
        <f t="shared" si="251"/>
        <v>0</v>
      </c>
      <c r="GL27" s="1029">
        <f t="shared" si="73"/>
        <v>0</v>
      </c>
      <c r="GM27" s="57">
        <f t="shared" si="74"/>
        <v>0</v>
      </c>
      <c r="GN27" s="171" t="str">
        <f t="shared" si="75"/>
        <v/>
      </c>
      <c r="GO27" s="57">
        <f t="shared" si="252"/>
        <v>0</v>
      </c>
      <c r="GP27" s="57">
        <f>IF(OR(AND(GD$6=1,$L27=0),AND(GD$6=2,$K27=2,$G27=1)),0,IF(AND(GF$9=2,(OR($F27&gt;1,$K27=1,AND($L27=80,OR($N27=1,AND($N27=2,'#BerechnungDBE'!$AL18&gt;0)))))),IF(GD$4&gt;=$AD$126,0,GN27),IF(GF$9=3,IF(OR(GD$4&gt;=$AD$127,AND($G27=1,$J27=2,GD$6=2),AND(GD$6=1,$N27&lt;&gt;1)),0,IF(GH27&lt;=120,GN27,IF(GD$4&lt;$AD$124,IF($F27=1,60/GF$4*GF$6,60/GF$4*GF$7),IF($F27=1,120/GF$4*GF$6,120/GF$4*GF$7)))),IF(OR($F27=3,$G27=2),IF(OR(AND(GD$4&gt;=$AD$119,$C27=2),AND(GD$4&gt;=$AF$119,$C27=1)),0,IF(GH27&lt;=60,GN27,60/GF$4*GF$7)),IF(AND($F27=2,$G27=1),GN27,0)))))</f>
        <v>0</v>
      </c>
      <c r="GQ27" s="57" t="str">
        <f t="shared" si="76"/>
        <v/>
      </c>
      <c r="GR27" s="57" t="str">
        <f t="shared" si="77"/>
        <v/>
      </c>
      <c r="GS27" s="713">
        <f>'org. Düngung 22'!BD26</f>
        <v>0</v>
      </c>
      <c r="GT27" s="57"/>
      <c r="GU27" s="57"/>
      <c r="GV27" s="57">
        <f t="shared" si="78"/>
        <v>0</v>
      </c>
      <c r="GW27" s="57">
        <f t="shared" si="253"/>
        <v>0</v>
      </c>
      <c r="GX27" s="57">
        <f t="shared" si="254"/>
        <v>0</v>
      </c>
      <c r="GY27" s="57">
        <f t="shared" si="255"/>
        <v>0</v>
      </c>
      <c r="GZ27" s="57">
        <f t="shared" si="256"/>
        <v>0</v>
      </c>
      <c r="HA27" s="1029">
        <f t="shared" si="79"/>
        <v>0</v>
      </c>
      <c r="HB27" s="57">
        <f t="shared" si="80"/>
        <v>0</v>
      </c>
      <c r="HC27" s="171" t="str">
        <f t="shared" si="81"/>
        <v/>
      </c>
      <c r="HD27" s="57">
        <f t="shared" si="257"/>
        <v>0</v>
      </c>
      <c r="HE27" s="57">
        <f>IF(OR(AND(GS$6=1,$L27=0),AND(GS$6=2,$K27=2,$G27=1)),0,IF(AND(GU$9=2,(OR($F27&gt;1,$K27=1,AND($L27=80,OR($N27=1,AND($N27=2,'#BerechnungDBE'!$AL18&gt;0)))))),IF(GS$4&gt;=$AD$126,0,HC27),IF(GU$9=3,IF(OR(GS$4&gt;=$AD$127,AND($G27=1,$J27=2,GS$6=2),AND(GS$6=1,$N27&lt;&gt;1)),0,IF(GW27&lt;=120,HC27,IF(GS$4&lt;$AD$124,IF($F27=1,60/GU$4*GU$6,60/GU$4*GU$7),IF($F27=1,120/GU$4*GU$6,120/GU$4*GU$7)))),IF(OR($F27=3,$G27=2),IF(OR(AND(GS$4&gt;=$AD$119,$C27=2),AND(GS$4&gt;=$AF$119,$C27=1)),0,IF(GW27&lt;=60,HC27,60/GU$4*GU$7)),IF(AND($F27=2,$G27=1),HC27,0)))))</f>
        <v>0</v>
      </c>
      <c r="HF27" s="57" t="str">
        <f t="shared" si="82"/>
        <v/>
      </c>
      <c r="HG27" s="57" t="str">
        <f t="shared" si="83"/>
        <v/>
      </c>
      <c r="HH27" s="713">
        <f>'org. Düngung 22'!BH26</f>
        <v>0</v>
      </c>
      <c r="HI27" s="57"/>
      <c r="HJ27" s="57"/>
      <c r="HK27" s="57">
        <f t="shared" si="84"/>
        <v>0</v>
      </c>
      <c r="HL27" s="57">
        <f t="shared" si="258"/>
        <v>0</v>
      </c>
      <c r="HM27" s="57">
        <f t="shared" si="259"/>
        <v>0</v>
      </c>
      <c r="HN27" s="57">
        <f t="shared" si="260"/>
        <v>0</v>
      </c>
      <c r="HO27" s="57">
        <f t="shared" si="261"/>
        <v>0</v>
      </c>
      <c r="HP27" s="1029">
        <f t="shared" si="85"/>
        <v>0</v>
      </c>
      <c r="HQ27" s="57">
        <f t="shared" si="86"/>
        <v>0</v>
      </c>
      <c r="HR27" s="171" t="str">
        <f t="shared" si="87"/>
        <v/>
      </c>
      <c r="HS27" s="57">
        <f t="shared" si="262"/>
        <v>0</v>
      </c>
      <c r="HT27" s="57">
        <f>IF(OR(AND(HH$6=1,$L27=0),AND(HH$6=2,$K27=2,$G27=1)),0,IF(AND(HJ$9=2,(OR($F27&gt;1,$K27=1,AND($L27=80,OR($N27=1,AND($N27=2,'#BerechnungDBE'!$AL18&gt;0)))))),IF(HH$4&gt;=$AD$126,0,HR27),IF(HJ$9=3,IF(OR(HH$4&gt;=$AD$127,AND($G27=1,$J27=2,HH$6=2),AND(HH$6=1,$N27&lt;&gt;1)),0,IF(HL27&lt;=120,HR27,IF(HH$4&lt;$AD$124,IF($F27=1,60/HJ$4*HJ$6,60/HJ$4*HJ$7),IF($F27=1,120/HJ$4*HJ$6,120/HJ$4*HJ$7)))),IF(OR($F27=3,$G27=2),IF(OR(AND(HH$4&gt;=$AD$119,$C27=2),AND(HH$4&gt;=$AF$119,$C27=1)),0,IF(HL27&lt;=60,HR27,60/HJ$4*HJ$7)),IF(AND($F27=2,$G27=1),HR27,0)))))</f>
        <v>0</v>
      </c>
      <c r="HU27" s="57" t="str">
        <f t="shared" si="88"/>
        <v/>
      </c>
      <c r="HV27" s="57" t="str">
        <f t="shared" si="89"/>
        <v/>
      </c>
      <c r="HW27" s="713">
        <f>'org. Düngung 22'!BL26</f>
        <v>0</v>
      </c>
      <c r="HX27" s="57"/>
      <c r="HY27" s="57"/>
      <c r="HZ27" s="57">
        <f t="shared" si="90"/>
        <v>0</v>
      </c>
      <c r="IA27" s="57">
        <f t="shared" si="263"/>
        <v>0</v>
      </c>
      <c r="IB27" s="57">
        <f t="shared" si="264"/>
        <v>0</v>
      </c>
      <c r="IC27" s="57">
        <f t="shared" si="265"/>
        <v>0</v>
      </c>
      <c r="ID27" s="57">
        <f t="shared" si="266"/>
        <v>0</v>
      </c>
      <c r="IE27" s="1029">
        <f t="shared" si="91"/>
        <v>0</v>
      </c>
      <c r="IF27" s="57">
        <f t="shared" si="92"/>
        <v>0</v>
      </c>
      <c r="IG27" s="171" t="str">
        <f t="shared" si="93"/>
        <v/>
      </c>
      <c r="IH27" s="57">
        <f t="shared" si="267"/>
        <v>0</v>
      </c>
      <c r="II27" s="57">
        <f>IF(OR(AND(HW$6=1,$L27=0),AND(HW$6=2,$K27=2,$G27=1)),0,IF(AND(HY$9=2,(OR($F27&gt;1,$K27=1,AND($L27=80,OR($N27=1,AND($N27=2,'#BerechnungDBE'!$AL18&gt;0)))))),IF(HW$4&gt;=$AD$126,0,IG27),IF(HY$9=3,IF(OR(HW$4&gt;=$AD$127,AND($G27=1,$J27=2,HW$6=2),AND(HW$6=1,$N27&lt;&gt;1)),0,IF(IA27&lt;=120,IG27,IF(HW$4&lt;$AD$124,IF($F27=1,60/HY$4*HY$6,60/HY$4*HY$7),IF($F27=1,120/HY$4*HY$6,120/HY$4*HY$7)))),IF(OR($F27=3,$G27=2),IF(OR(AND(HW$4&gt;=$AD$119,$C27=2),AND(HW$4&gt;=$AF$119,$C27=1)),0,IF(IA27&lt;=60,IG27,60/HY$4*HY$7)),IF(AND($F27=2,$G27=1),IG27,0)))))</f>
        <v>0</v>
      </c>
      <c r="IJ27" s="57" t="str">
        <f t="shared" si="94"/>
        <v/>
      </c>
      <c r="IK27" s="57" t="str">
        <f t="shared" si="95"/>
        <v/>
      </c>
      <c r="IL27" s="713">
        <f>'org. Düngung 22'!BP26</f>
        <v>0</v>
      </c>
      <c r="IM27" s="57"/>
      <c r="IN27" s="57"/>
      <c r="IO27" s="57">
        <f t="shared" si="96"/>
        <v>0</v>
      </c>
      <c r="IP27" s="57">
        <f t="shared" si="268"/>
        <v>0</v>
      </c>
      <c r="IQ27" s="57">
        <f t="shared" si="269"/>
        <v>0</v>
      </c>
      <c r="IR27" s="57">
        <f t="shared" si="270"/>
        <v>0</v>
      </c>
      <c r="IS27" s="57">
        <f t="shared" si="271"/>
        <v>0</v>
      </c>
      <c r="IT27" s="1029">
        <f t="shared" si="97"/>
        <v>0</v>
      </c>
      <c r="IU27" s="57">
        <f t="shared" si="98"/>
        <v>0</v>
      </c>
      <c r="IV27" s="171" t="str">
        <f t="shared" si="99"/>
        <v/>
      </c>
      <c r="IW27" s="57">
        <f t="shared" si="272"/>
        <v>0</v>
      </c>
      <c r="IX27" s="57">
        <f>IF(OR(AND(IL$6=1,$L27=0),AND(IL$6=2,$K27=2,$G27=1)),0,IF(AND(IN$9=2,(OR($F27&gt;1,$K27=1,AND($L27=80,OR($N27=1,AND($N27=2,'#BerechnungDBE'!$AL18&gt;0)))))),IF(IL$4&gt;=$AD$126,0,IV27),IF(IN$9=3,IF(OR(IL$4&gt;=$AD$127,AND($G27=1,$J27=2,IL$6=2),AND(IL$6=1,$N27&lt;&gt;1)),0,IF(IP27&lt;=120,IV27,IF(IL$4&lt;$AD$124,IF($F27=1,60/IN$4*IN$6,60/IN$4*IN$7),IF($F27=1,120/IN$4*IN$6,120/IN$4*IN$7)))),IF(OR($F27=3,$G27=2),IF(OR(AND(IL$4&gt;=$AD$119,$C27=2),AND(IL$4&gt;=$AF$119,$C27=1)),0,IF(IP27&lt;=60,IV27,60/IN$4*IN$7)),IF(AND($F27=2,$G27=1),IV27,0)))))</f>
        <v>0</v>
      </c>
      <c r="IY27" s="57" t="str">
        <f t="shared" si="100"/>
        <v/>
      </c>
      <c r="IZ27" s="57" t="str">
        <f t="shared" si="101"/>
        <v/>
      </c>
      <c r="JA27" s="713">
        <f>'org. Düngung 22'!BT26</f>
        <v>0</v>
      </c>
      <c r="JB27" s="57"/>
      <c r="JC27" s="57"/>
      <c r="JD27" s="57">
        <f t="shared" si="102"/>
        <v>0</v>
      </c>
      <c r="JE27" s="57">
        <f t="shared" si="273"/>
        <v>0</v>
      </c>
      <c r="JF27" s="57">
        <f t="shared" si="274"/>
        <v>0</v>
      </c>
      <c r="JG27" s="57">
        <f t="shared" si="275"/>
        <v>0</v>
      </c>
      <c r="JH27" s="57">
        <f t="shared" si="276"/>
        <v>0</v>
      </c>
      <c r="JI27" s="1029">
        <f t="shared" si="103"/>
        <v>0</v>
      </c>
      <c r="JJ27" s="57">
        <f t="shared" si="104"/>
        <v>0</v>
      </c>
      <c r="JK27" s="171" t="str">
        <f t="shared" si="105"/>
        <v/>
      </c>
      <c r="JL27" s="57">
        <f t="shared" si="277"/>
        <v>0</v>
      </c>
      <c r="JM27" s="57">
        <f>IF(OR(AND(JA$6=1,$L27=0),AND(JA$6=2,$K27=2,$G27=1)),0,IF(AND(JC$9=2,(OR($F27&gt;1,$K27=1,AND($L27=80,OR($N27=1,AND($N27=2,'#BerechnungDBE'!$AL18&gt;0)))))),IF(JA$4&gt;=$AD$126,0,JK27),IF(JC$9=3,IF(OR(JA$4&gt;=$AD$127,AND($G27=1,$J27=2,JA$6=2),AND(JA$6=1,$N27&lt;&gt;1)),0,IF(JE27&lt;=120,JK27,IF(JA$4&lt;$AD$124,IF($F27=1,60/JC$4*JC$6,60/JC$4*JC$7),IF($F27=1,120/JC$4*JC$6,120/JC$4*JC$7)))),IF(OR($F27=3,$G27=2),IF(OR(AND(JA$4&gt;=$AD$119,$C27=2),AND(JA$4&gt;=$AF$119,$C27=1)),0,IF(JE27&lt;=60,JK27,60/JC$4*JC$7)),IF(AND($F27=2,$G27=1),JK27,0)))))</f>
        <v>0</v>
      </c>
      <c r="JN27" s="57" t="str">
        <f t="shared" si="106"/>
        <v/>
      </c>
      <c r="JO27" s="57" t="str">
        <f t="shared" si="107"/>
        <v/>
      </c>
      <c r="JP27" s="713">
        <f>'org. Düngung 22'!BX26</f>
        <v>0</v>
      </c>
      <c r="JQ27" s="57"/>
      <c r="JR27" s="57"/>
      <c r="JS27" s="57">
        <f t="shared" si="108"/>
        <v>0</v>
      </c>
      <c r="JT27" s="57">
        <f t="shared" si="278"/>
        <v>0</v>
      </c>
      <c r="JU27" s="57">
        <f t="shared" si="279"/>
        <v>0</v>
      </c>
      <c r="JV27" s="57">
        <f t="shared" si="280"/>
        <v>0</v>
      </c>
      <c r="JW27" s="57">
        <f t="shared" si="281"/>
        <v>0</v>
      </c>
      <c r="JX27" s="1029">
        <f t="shared" si="109"/>
        <v>0</v>
      </c>
      <c r="JY27" s="57">
        <f t="shared" si="110"/>
        <v>0</v>
      </c>
      <c r="JZ27" s="171" t="str">
        <f t="shared" si="111"/>
        <v/>
      </c>
      <c r="KA27" s="57">
        <f t="shared" si="282"/>
        <v>0</v>
      </c>
      <c r="KB27" s="57">
        <f>IF(OR(AND(JP$6=1,$L27=0),AND(JP$6=2,$K27=2,$G27=1)),0,IF(AND(JR$9=2,(OR($F27&gt;1,$K27=1,AND($L27=80,OR($N27=1,AND($N27=2,'#BerechnungDBE'!$AL18&gt;0)))))),IF(JP$4&gt;=$AD$126,0,JZ27),IF(JR$9=3,IF(OR(JP$4&gt;=$AD$127,AND($G27=1,$J27=2,JP$6=2),AND(JP$6=1,$N27&lt;&gt;1)),0,IF(JT27&lt;=120,JZ27,IF(JP$4&lt;$AD$124,IF($F27=1,60/JR$4*JR$6,60/JR$4*JR$7),IF($F27=1,120/JR$4*JR$6,120/JR$4*JR$7)))),IF(OR($F27=3,$G27=2),IF(OR(AND(JP$4&gt;=$AD$119,$C27=2),AND(JP$4&gt;=$AF$119,$C27=1)),0,IF(JT27&lt;=60,JZ27,60/JR$4*JR$7)),IF(AND($F27=2,$G27=1),JZ27,0)))))</f>
        <v>0</v>
      </c>
      <c r="KC27" s="57" t="str">
        <f t="shared" si="112"/>
        <v/>
      </c>
      <c r="KD27" s="57" t="str">
        <f t="shared" si="113"/>
        <v/>
      </c>
      <c r="KE27" s="713">
        <f>'org. Düngung 22'!CB26</f>
        <v>0</v>
      </c>
      <c r="KF27" s="57"/>
      <c r="KG27" s="57"/>
      <c r="KH27" s="57">
        <f t="shared" si="114"/>
        <v>0</v>
      </c>
      <c r="KI27" s="57">
        <f t="shared" si="283"/>
        <v>0</v>
      </c>
      <c r="KJ27" s="57">
        <f t="shared" si="284"/>
        <v>0</v>
      </c>
      <c r="KK27" s="57">
        <f t="shared" si="285"/>
        <v>0</v>
      </c>
      <c r="KL27" s="57">
        <f t="shared" si="286"/>
        <v>0</v>
      </c>
      <c r="KM27" s="1029">
        <f t="shared" si="115"/>
        <v>0</v>
      </c>
      <c r="KN27" s="57">
        <f t="shared" si="116"/>
        <v>0</v>
      </c>
      <c r="KO27" s="171" t="str">
        <f t="shared" si="117"/>
        <v/>
      </c>
      <c r="KP27" s="57">
        <f t="shared" si="287"/>
        <v>0</v>
      </c>
      <c r="KQ27" s="57">
        <f>IF(OR(AND(KE$6=1,$L27=0),AND(KE$6=2,$K27=2,$G27=1)),0,IF(AND(KG$9=2,(OR($F27&gt;1,$K27=1,AND($L27=80,OR($N27=1,AND($N27=2,'#BerechnungDBE'!$AL18&gt;0)))))),IF(KE$4&gt;=$AD$126,0,KO27),IF(KG$9=3,IF(OR(KE$4&gt;=$AD$127,AND($G27=1,$J27=2,KE$6=2),AND(KE$6=1,$N27&lt;&gt;1)),0,IF(KI27&lt;=120,KO27,IF(KE$4&lt;$AD$124,IF($F27=1,60/KG$4*KG$6,60/KG$4*KG$7),IF($F27=1,120/KG$4*KG$6,120/KG$4*KG$7)))),IF(OR($F27=3,$G27=2),IF(OR(AND(KE$4&gt;=$AD$119,$C27=2),AND(KE$4&gt;=$AF$119,$C27=1)),0,IF(KI27&lt;=60,KO27,60/KG$4*KG$7)),IF(AND($F27=2,$G27=1),KO27,0)))))</f>
        <v>0</v>
      </c>
      <c r="KR27" s="57" t="str">
        <f t="shared" si="118"/>
        <v/>
      </c>
      <c r="KS27" s="57" t="str">
        <f t="shared" si="119"/>
        <v/>
      </c>
      <c r="KT27" s="713">
        <f>'org. Düngung 22'!CF26</f>
        <v>0</v>
      </c>
      <c r="KU27" s="57"/>
      <c r="KV27" s="57"/>
      <c r="KW27" s="57">
        <f t="shared" si="120"/>
        <v>0</v>
      </c>
      <c r="KX27" s="57">
        <f t="shared" si="288"/>
        <v>0</v>
      </c>
      <c r="KY27" s="57">
        <f t="shared" si="289"/>
        <v>0</v>
      </c>
      <c r="KZ27" s="57">
        <f t="shared" si="290"/>
        <v>0</v>
      </c>
      <c r="LA27" s="57">
        <f t="shared" si="291"/>
        <v>0</v>
      </c>
      <c r="LB27" s="1029">
        <f t="shared" si="121"/>
        <v>0</v>
      </c>
      <c r="LC27" s="57">
        <f t="shared" si="122"/>
        <v>0</v>
      </c>
      <c r="LD27" s="171" t="str">
        <f t="shared" si="123"/>
        <v/>
      </c>
      <c r="LE27" s="57">
        <f t="shared" si="292"/>
        <v>0</v>
      </c>
      <c r="LF27" s="57">
        <f>IF(OR(AND(KT$6=1,$L27=0),AND(KT$6=2,$K27=2,$G27=1)),0,IF(AND(KV$9=2,(OR($F27&gt;1,$K27=1,AND($L27=80,OR($N27=1,AND($N27=2,'#BerechnungDBE'!$AL18&gt;0)))))),IF(KT$4&gt;=$AD$126,0,LD27),IF(KV$9=3,IF(OR(KT$4&gt;=$AD$127,AND($G27=1,$J27=2,KT$6=2),AND(KT$6=1,$N27&lt;&gt;1)),0,IF(KX27&lt;=120,LD27,IF(KT$4&lt;$AD$124,IF($F27=1,60/KV$4*KV$6,60/KV$4*KV$7),IF($F27=1,120/KV$4*KV$6,120/KV$4*KV$7)))),IF(OR($F27=3,$G27=2),IF(OR(AND(KT$4&gt;=$AD$119,$C27=2),AND(KT$4&gt;=$AF$119,$C27=1)),0,IF(KX27&lt;=60,LD27,60/KV$4*KV$7)),IF(AND($F27=2,$G27=1),LD27,0)))))</f>
        <v>0</v>
      </c>
      <c r="LG27" s="57" t="str">
        <f t="shared" si="124"/>
        <v/>
      </c>
      <c r="LH27" s="57" t="str">
        <f t="shared" si="125"/>
        <v/>
      </c>
      <c r="LI27" s="713">
        <f>'org. Düngung 22'!CJ26</f>
        <v>0</v>
      </c>
      <c r="LJ27" s="57"/>
      <c r="LK27" s="57"/>
      <c r="LL27" s="57">
        <f t="shared" si="126"/>
        <v>0</v>
      </c>
      <c r="LM27" s="57">
        <f t="shared" si="293"/>
        <v>0</v>
      </c>
      <c r="LN27" s="57">
        <f t="shared" si="294"/>
        <v>0</v>
      </c>
      <c r="LO27" s="57">
        <f t="shared" si="295"/>
        <v>0</v>
      </c>
      <c r="LP27" s="57">
        <f t="shared" si="296"/>
        <v>0</v>
      </c>
      <c r="LQ27" s="1029">
        <f t="shared" si="127"/>
        <v>0</v>
      </c>
      <c r="LR27" s="57">
        <f t="shared" si="128"/>
        <v>0</v>
      </c>
      <c r="LS27" s="171" t="str">
        <f t="shared" si="129"/>
        <v/>
      </c>
      <c r="LT27" s="57">
        <f t="shared" si="297"/>
        <v>0</v>
      </c>
      <c r="LU27" s="57">
        <f>IF(OR(AND(LI$6=1,$L27=0),AND(LI$6=2,$K27=2,$G27=1)),0,IF(AND(LK$9=2,(OR($F27&gt;1,$K27=1,AND($L27=80,OR($N27=1,AND($N27=2,'#BerechnungDBE'!$AL18&gt;0)))))),IF(LI$4&gt;=$AD$126,0,LS27),IF(LK$9=3,IF(OR(LI$4&gt;=$AD$127,AND($G27=1,$J27=2,LI$6=2),AND(LI$6=1,$N27&lt;&gt;1)),0,IF(LM27&lt;=120,LS27,IF(LI$4&lt;$AD$124,IF($F27=1,60/LK$4*LK$6,60/LK$4*LK$7),IF($F27=1,120/LK$4*LK$6,120/LK$4*LK$7)))),IF(OR($F27=3,$G27=2),IF(OR(AND(LI$4&gt;=$AD$119,$C27=2),AND(LI$4&gt;=$AF$119,$C27=1)),0,IF(LM27&lt;=60,LS27,60/LK$4*LK$7)),IF(AND($F27=2,$G27=1),LS27,0)))))</f>
        <v>0</v>
      </c>
      <c r="LV27" s="57" t="str">
        <f t="shared" si="130"/>
        <v/>
      </c>
      <c r="LW27" s="57" t="str">
        <f t="shared" si="131"/>
        <v/>
      </c>
      <c r="LX27" s="713">
        <f>'org. Düngung 22'!CN26</f>
        <v>0</v>
      </c>
      <c r="LY27" s="57"/>
      <c r="LZ27" s="57"/>
      <c r="MA27" s="57">
        <f t="shared" si="132"/>
        <v>0</v>
      </c>
      <c r="MB27" s="57">
        <f t="shared" si="298"/>
        <v>0</v>
      </c>
      <c r="MC27" s="57">
        <f t="shared" si="299"/>
        <v>0</v>
      </c>
      <c r="MD27" s="57">
        <f t="shared" si="300"/>
        <v>0</v>
      </c>
      <c r="ME27" s="57">
        <f t="shared" si="301"/>
        <v>0</v>
      </c>
      <c r="MF27" s="1029">
        <f t="shared" si="133"/>
        <v>0</v>
      </c>
      <c r="MG27" s="57">
        <f t="shared" si="134"/>
        <v>0</v>
      </c>
      <c r="MH27" s="171" t="str">
        <f t="shared" si="135"/>
        <v/>
      </c>
      <c r="MI27" s="57">
        <f t="shared" si="302"/>
        <v>0</v>
      </c>
      <c r="MJ27" s="57">
        <f>IF(OR(AND(LX$6=1,$L27=0),AND(LX$6=2,$K27=2,$G27=1)),0,IF(AND(LZ$9=2,(OR($F27&gt;1,$K27=1,AND($L27=80,OR($N27=1,AND($N27=2,'#BerechnungDBE'!$AL18&gt;0)))))),IF(LX$4&gt;=$AD$126,0,MH27),IF(LZ$9=3,IF(OR(LX$4&gt;=$AD$127,AND($G27=1,$J27=2,LX$6=2),AND(LX$6=1,$N27&lt;&gt;1)),0,IF(MB27&lt;=120,MH27,IF(LX$4&lt;$AD$124,IF($F27=1,60/LZ$4*LZ$6,60/LZ$4*LZ$7),IF($F27=1,120/LZ$4*LZ$6,120/LZ$4*LZ$7)))),IF(OR($F27=3,$G27=2),IF(OR(AND(LX$4&gt;=$AD$119,$C27=2),AND(LX$4&gt;=$AF$119,$C27=1)),0,IF(MB27&lt;=60,MH27,60/LZ$4*LZ$7)),IF(AND($F27=2,$G27=1),MH27,0)))))</f>
        <v>0</v>
      </c>
      <c r="MK27" s="57" t="str">
        <f t="shared" si="136"/>
        <v/>
      </c>
      <c r="ML27" s="57" t="str">
        <f t="shared" si="137"/>
        <v/>
      </c>
      <c r="MM27" s="713">
        <f>'org. Düngung 22'!CR26</f>
        <v>0</v>
      </c>
      <c r="MN27" s="57"/>
      <c r="MO27" s="57"/>
      <c r="MP27" s="57">
        <f t="shared" si="138"/>
        <v>0</v>
      </c>
      <c r="MQ27" s="57">
        <f t="shared" si="303"/>
        <v>0</v>
      </c>
      <c r="MR27" s="57">
        <f t="shared" si="304"/>
        <v>0</v>
      </c>
      <c r="MS27" s="57">
        <f t="shared" si="305"/>
        <v>0</v>
      </c>
      <c r="MT27" s="57">
        <f t="shared" si="306"/>
        <v>0</v>
      </c>
      <c r="MU27" s="1029">
        <f t="shared" si="139"/>
        <v>0</v>
      </c>
      <c r="MV27" s="57">
        <f t="shared" si="140"/>
        <v>0</v>
      </c>
      <c r="MW27" s="171" t="str">
        <f t="shared" si="141"/>
        <v/>
      </c>
      <c r="MX27" s="57">
        <f t="shared" si="307"/>
        <v>0</v>
      </c>
      <c r="MY27" s="57">
        <f>IF(OR(AND(MM$6=1,$L27=0),AND(MM$6=2,$K27=2,$G27=1)),0,IF(AND(MO$9=2,(OR($F27&gt;1,$K27=1,AND($L27=80,OR($N27=1,AND($N27=2,'#BerechnungDBE'!$AL18&gt;0)))))),IF(MM$4&gt;=$AD$126,0,MW27),IF(MO$9=3,IF(OR(MM$4&gt;=$AD$127,AND($G27=1,$J27=2,MM$6=2),AND(MM$6=1,$N27&lt;&gt;1)),0,IF(MQ27&lt;=120,MW27,IF(MM$4&lt;$AD$124,IF($F27=1,60/MO$4*MO$6,60/MO$4*MO$7),IF($F27=1,120/MO$4*MO$6,120/MO$4*MO$7)))),IF(OR($F27=3,$G27=2),IF(OR(AND(MM$4&gt;=$AD$119,$C27=2),AND(MM$4&gt;=$AF$119,$C27=1)),0,IF(MQ27&lt;=60,MW27,60/MO$4*MO$7)),IF(AND($F27=2,$G27=1),MW27,0)))))</f>
        <v>0</v>
      </c>
      <c r="MZ27" s="57" t="str">
        <f t="shared" si="142"/>
        <v/>
      </c>
      <c r="NA27" s="57" t="str">
        <f t="shared" si="143"/>
        <v/>
      </c>
      <c r="NB27" s="713">
        <f>'org. Düngung 22'!CV26</f>
        <v>0</v>
      </c>
      <c r="NC27" s="57"/>
      <c r="ND27" s="57"/>
      <c r="NE27" s="57">
        <f t="shared" si="144"/>
        <v>0</v>
      </c>
      <c r="NF27" s="57">
        <f t="shared" si="308"/>
        <v>0</v>
      </c>
      <c r="NG27" s="57">
        <f t="shared" si="309"/>
        <v>0</v>
      </c>
      <c r="NH27" s="57">
        <f t="shared" si="310"/>
        <v>0</v>
      </c>
      <c r="NI27" s="57">
        <f t="shared" si="311"/>
        <v>0</v>
      </c>
      <c r="NJ27" s="1029">
        <f t="shared" si="145"/>
        <v>0</v>
      </c>
      <c r="NK27" s="57">
        <f t="shared" si="146"/>
        <v>0</v>
      </c>
      <c r="NL27" s="171" t="str">
        <f t="shared" si="147"/>
        <v/>
      </c>
      <c r="NM27" s="57">
        <f t="shared" si="312"/>
        <v>0</v>
      </c>
      <c r="NN27" s="57">
        <f>IF(OR(AND(NB$6=1,$L27=0),AND(NB$6=2,$K27=2,$G27=1)),0,IF(AND(ND$9=2,(OR($F27&gt;1,$K27=1,AND($L27=80,OR($N27=1,AND($N27=2,'#BerechnungDBE'!$AL18&gt;0)))))),IF(NB$4&gt;=$AD$126,0,NL27),IF(ND$9=3,IF(OR(NB$4&gt;=$AD$127,AND($G27=1,$J27=2,NB$6=2),AND(NB$6=1,$N27&lt;&gt;1)),0,IF(NF27&lt;=120,NL27,IF(NB$4&lt;$AD$124,IF($F27=1,60/ND$4*ND$6,60/ND$4*ND$7),IF($F27=1,120/ND$4*ND$6,120/ND$4*ND$7)))),IF(OR($F27=3,$G27=2),IF(OR(AND(NB$4&gt;=$AD$119,$C27=2),AND(NB$4&gt;=$AF$119,$C27=1)),0,IF(NF27&lt;=60,NL27,60/ND$4*ND$7)),IF(AND($F27=2,$G27=1),NL27,0)))))</f>
        <v>0</v>
      </c>
      <c r="NO27" s="57" t="str">
        <f t="shared" si="148"/>
        <v/>
      </c>
      <c r="NP27" s="57" t="str">
        <f t="shared" si="149"/>
        <v/>
      </c>
      <c r="NQ27" s="713">
        <f>'org. Düngung 22'!CZ26</f>
        <v>0</v>
      </c>
      <c r="NR27" s="57"/>
      <c r="NS27" s="57"/>
      <c r="NT27" s="57">
        <f t="shared" si="150"/>
        <v>0</v>
      </c>
      <c r="NU27" s="57">
        <f t="shared" si="313"/>
        <v>0</v>
      </c>
      <c r="NV27" s="57">
        <f t="shared" si="314"/>
        <v>0</v>
      </c>
      <c r="NW27" s="57">
        <f t="shared" si="315"/>
        <v>0</v>
      </c>
      <c r="NX27" s="57">
        <f t="shared" si="316"/>
        <v>0</v>
      </c>
      <c r="NY27" s="1029">
        <f t="shared" si="151"/>
        <v>0</v>
      </c>
      <c r="NZ27" s="57">
        <f t="shared" si="152"/>
        <v>0</v>
      </c>
      <c r="OA27" s="171" t="str">
        <f t="shared" si="153"/>
        <v/>
      </c>
      <c r="OB27" s="57">
        <f t="shared" si="317"/>
        <v>0</v>
      </c>
      <c r="OC27" s="57">
        <f>IF(OR(AND(NQ$6=1,$L27=0),AND(NQ$6=2,$K27=2,$G27=1)),0,IF(AND(NS$9=2,(OR($F27&gt;1,$K27=1,AND($L27=80,OR($N27=1,AND($N27=2,'#BerechnungDBE'!$AL18&gt;0)))))),IF(NQ$4&gt;=$AD$126,0,OA27),IF(NS$9=3,IF(OR(NQ$4&gt;=$AD$127,AND($G27=1,$J27=2,NQ$6=2),AND(NQ$6=1,$N27&lt;&gt;1)),0,IF(NU27&lt;=120,OA27,IF(NQ$4&lt;$AD$124,IF($F27=1,60/NS$4*NS$6,60/NS$4*NS$7),IF($F27=1,120/NS$4*NS$6,120/NS$4*NS$7)))),IF(OR($F27=3,$G27=2),IF(OR(AND(NQ$4&gt;=$AD$119,$C27=2),AND(NQ$4&gt;=$AF$119,$C27=1)),0,IF(NU27&lt;=60,OA27,60/NS$4*NS$7)),IF(AND($F27=2,$G27=1),OA27,0)))))</f>
        <v>0</v>
      </c>
      <c r="OD27" s="57" t="str">
        <f t="shared" si="154"/>
        <v/>
      </c>
      <c r="OE27" s="57" t="str">
        <f t="shared" si="155"/>
        <v/>
      </c>
      <c r="OF27" s="713">
        <f>'org. Düngung 22'!DD26</f>
        <v>0</v>
      </c>
      <c r="OG27" s="57"/>
      <c r="OH27" s="57"/>
      <c r="OI27" s="57">
        <f t="shared" si="156"/>
        <v>0</v>
      </c>
      <c r="OJ27" s="57">
        <f t="shared" si="318"/>
        <v>0</v>
      </c>
      <c r="OK27" s="57">
        <f t="shared" si="319"/>
        <v>0</v>
      </c>
      <c r="OL27" s="57">
        <f t="shared" si="320"/>
        <v>0</v>
      </c>
      <c r="OM27" s="57">
        <f t="shared" si="321"/>
        <v>0</v>
      </c>
      <c r="ON27" s="1029">
        <f t="shared" si="157"/>
        <v>0</v>
      </c>
      <c r="OO27" s="57">
        <f t="shared" si="158"/>
        <v>0</v>
      </c>
      <c r="OP27" s="171" t="str">
        <f t="shared" si="159"/>
        <v/>
      </c>
      <c r="OQ27" s="57">
        <f t="shared" si="322"/>
        <v>0</v>
      </c>
      <c r="OR27" s="57">
        <f>IF(OR(AND(OF$6=1,$L27=0),AND(OF$6=2,$K27=2,$G27=1)),0,IF(AND(OH$9=2,(OR($F27&gt;1,$K27=1,AND($L27=80,OR($N27=1,AND($N27=2,'#BerechnungDBE'!$AL18&gt;0)))))),IF(OF$4&gt;=$AD$126,0,OP27),IF(OH$9=3,IF(OR(OF$4&gt;=$AD$127,AND($G27=1,$J27=2,OF$6=2),AND(OF$6=1,$N27&lt;&gt;1)),0,IF(OJ27&lt;=120,OP27,IF(OF$4&lt;$AD$124,IF($F27=1,60/OH$4*OH$6,60/OH$4*OH$7),IF($F27=1,120/OH$4*OH$6,120/OH$4*OH$7)))),IF(OR($F27=3,$G27=2),IF(OR(AND(OF$4&gt;=$AD$119,$C27=2),AND(OF$4&gt;=$AF$119,$C27=1)),0,IF(OJ27&lt;=60,OP27,60/OH$4*OH$7)),IF(AND($F27=2,$G27=1),OP27,0)))))</f>
        <v>0</v>
      </c>
      <c r="OS27" s="57" t="str">
        <f t="shared" si="160"/>
        <v/>
      </c>
      <c r="OT27" s="57" t="str">
        <f t="shared" si="161"/>
        <v/>
      </c>
      <c r="OU27" s="713">
        <f>'org. Düngung 22'!DH26</f>
        <v>0</v>
      </c>
      <c r="OV27" s="57"/>
      <c r="OW27" s="57"/>
      <c r="OX27" s="57">
        <f t="shared" si="162"/>
        <v>0</v>
      </c>
      <c r="OY27" s="57">
        <f t="shared" si="323"/>
        <v>0</v>
      </c>
      <c r="OZ27" s="57">
        <f t="shared" si="324"/>
        <v>0</v>
      </c>
      <c r="PA27" s="57">
        <f t="shared" si="325"/>
        <v>0</v>
      </c>
      <c r="PB27" s="57">
        <f t="shared" si="326"/>
        <v>0</v>
      </c>
      <c r="PC27" s="1029">
        <f t="shared" si="163"/>
        <v>0</v>
      </c>
      <c r="PD27" s="57">
        <f t="shared" si="164"/>
        <v>0</v>
      </c>
      <c r="PE27" s="171" t="str">
        <f t="shared" si="165"/>
        <v/>
      </c>
      <c r="PF27" s="57">
        <f t="shared" si="327"/>
        <v>0</v>
      </c>
      <c r="PG27" s="57">
        <f>IF(OR(AND(OU$6=1,$L27=0),AND(OU$6=2,$K27=2,$G27=1)),0,IF(AND(OW$9=2,(OR($F27&gt;1,$K27=1,AND($L27=80,OR($N27=1,AND($N27=2,'#BerechnungDBE'!$AL18&gt;0)))))),IF(OU$4&gt;=$AD$126,0,PE27),IF(OW$9=3,IF(OR(OU$4&gt;=$AD$127,AND($G27=1,$J27=2,OU$6=2),AND(OU$6=1,$N27&lt;&gt;1)),0,IF(OY27&lt;=120,PE27,IF(OU$4&lt;$AD$124,IF($F27=1,60/OW$4*OW$6,60/OW$4*OW$7),IF($F27=1,120/OW$4*OW$6,120/OW$4*OW$7)))),IF(OR($F27=3,$G27=2),IF(OR(AND(OU$4&gt;=$AD$119,$C27=2),AND(OU$4&gt;=$AF$119,$C27=1)),0,IF(OY27&lt;=60,PE27,60/OW$4*OW$7)),IF(AND($F27=2,$G27=1),PE27,0)))))</f>
        <v>0</v>
      </c>
      <c r="PH27" s="57" t="str">
        <f t="shared" si="166"/>
        <v/>
      </c>
      <c r="PI27" s="57" t="str">
        <f t="shared" si="167"/>
        <v/>
      </c>
      <c r="PJ27" s="713">
        <f>'org. Düngung 22'!DL26</f>
        <v>0</v>
      </c>
      <c r="PK27" s="57"/>
      <c r="PL27" s="57"/>
      <c r="PM27" s="57">
        <f t="shared" si="168"/>
        <v>0</v>
      </c>
      <c r="PN27" s="57">
        <f t="shared" si="328"/>
        <v>0</v>
      </c>
      <c r="PO27" s="57">
        <f t="shared" si="329"/>
        <v>0</v>
      </c>
      <c r="PP27" s="57">
        <f t="shared" si="330"/>
        <v>0</v>
      </c>
      <c r="PQ27" s="57">
        <f t="shared" si="331"/>
        <v>0</v>
      </c>
      <c r="PR27" s="1029">
        <f t="shared" si="169"/>
        <v>0</v>
      </c>
      <c r="PS27" s="57">
        <f t="shared" si="170"/>
        <v>0</v>
      </c>
      <c r="PT27" s="171" t="str">
        <f t="shared" si="171"/>
        <v/>
      </c>
      <c r="PU27" s="57">
        <f t="shared" si="332"/>
        <v>0</v>
      </c>
      <c r="PV27" s="57">
        <f>IF(OR(AND(PJ$6=1,$L27=0),AND(PJ$6=2,$K27=2,$G27=1)),0,IF(AND(PL$9=2,(OR($F27&gt;1,$K27=1,AND($L27=80,OR($N27=1,AND($N27=2,'#BerechnungDBE'!$AL18&gt;0)))))),IF(PJ$4&gt;=$AD$126,0,PT27),IF(PL$9=3,IF(OR(PJ$4&gt;=$AD$127,AND($G27=1,$J27=2,PJ$6=2),AND(PJ$6=1,$N27&lt;&gt;1)),0,IF(PN27&lt;=120,PT27,IF(PJ$4&lt;$AD$124,IF($F27=1,60/PL$4*PL$6,60/PL$4*PL$7),IF($F27=1,120/PL$4*PL$6,120/PL$4*PL$7)))),IF(OR($F27=3,$G27=2),IF(OR(AND(PJ$4&gt;=$AD$119,$C27=2),AND(PJ$4&gt;=$AF$119,$C27=1)),0,IF(PN27&lt;=60,PT27,60/PL$4*PL$7)),IF(AND($F27=2,$G27=1),PT27,0)))))</f>
        <v>0</v>
      </c>
      <c r="PW27" s="57" t="str">
        <f t="shared" si="172"/>
        <v/>
      </c>
      <c r="PX27" s="57" t="str">
        <f t="shared" si="173"/>
        <v/>
      </c>
      <c r="PY27" s="713">
        <f>'org. Düngung 22'!DP26</f>
        <v>0</v>
      </c>
      <c r="PZ27" s="57"/>
      <c r="QA27" s="57"/>
      <c r="QB27" s="57">
        <f t="shared" si="174"/>
        <v>0</v>
      </c>
      <c r="QC27" s="57">
        <f t="shared" si="333"/>
        <v>0</v>
      </c>
      <c r="QD27" s="57">
        <f t="shared" si="334"/>
        <v>0</v>
      </c>
      <c r="QE27" s="57">
        <f t="shared" si="335"/>
        <v>0</v>
      </c>
      <c r="QF27" s="57">
        <f t="shared" si="336"/>
        <v>0</v>
      </c>
      <c r="QG27" s="1029">
        <f t="shared" si="175"/>
        <v>0</v>
      </c>
      <c r="QH27" s="57">
        <f t="shared" si="176"/>
        <v>0</v>
      </c>
      <c r="QI27" s="171" t="str">
        <f t="shared" si="177"/>
        <v/>
      </c>
      <c r="QJ27" s="57">
        <f t="shared" si="337"/>
        <v>0</v>
      </c>
      <c r="QK27" s="57">
        <f>IF(OR(AND(PY$6=1,$L27=0),AND(PY$6=2,$K27=2,$G27=1)),0,IF(AND(QA$9=2,(OR($F27&gt;1,$K27=1,AND($L27=80,OR($N27=1,AND($N27=2,'#BerechnungDBE'!$AL18&gt;0)))))),IF(PY$4&gt;=$AD$126,0,QI27),IF(QA$9=3,IF(OR(PY$4&gt;=$AD$127,AND($G27=1,$J27=2,PY$6=2),AND(PY$6=1,$N27&lt;&gt;1)),0,IF(QC27&lt;=120,QI27,IF(PY$4&lt;$AD$124,IF($F27=1,60/QA$4*QA$6,60/QA$4*QA$7),IF($F27=1,120/QA$4*QA$6,120/QA$4*QA$7)))),IF(OR($F27=3,$G27=2),IF(OR(AND(PY$4&gt;=$AD$119,$C27=2),AND(PY$4&gt;=$AF$119,$C27=1)),0,IF(QC27&lt;=60,QI27,60/QA$4*QA$7)),IF(AND($F27=2,$G27=1),QI27,0)))))</f>
        <v>0</v>
      </c>
      <c r="QL27" s="57" t="str">
        <f t="shared" si="178"/>
        <v/>
      </c>
      <c r="QM27" s="57" t="str">
        <f t="shared" si="179"/>
        <v/>
      </c>
      <c r="QN27" s="713">
        <f>'org. Düngung 22'!DT26</f>
        <v>0</v>
      </c>
      <c r="QO27" s="57"/>
      <c r="QP27" s="57"/>
      <c r="QQ27" s="57">
        <f t="shared" si="180"/>
        <v>0</v>
      </c>
      <c r="QR27" s="57">
        <f t="shared" si="338"/>
        <v>0</v>
      </c>
      <c r="QS27" s="57">
        <f t="shared" si="339"/>
        <v>0</v>
      </c>
      <c r="QT27" s="57">
        <f t="shared" si="340"/>
        <v>0</v>
      </c>
      <c r="QU27" s="57">
        <f t="shared" si="341"/>
        <v>0</v>
      </c>
      <c r="QV27" s="1029">
        <f t="shared" si="181"/>
        <v>0</v>
      </c>
      <c r="QW27" s="57">
        <f t="shared" si="182"/>
        <v>0</v>
      </c>
      <c r="QX27" s="171" t="str">
        <f t="shared" si="183"/>
        <v/>
      </c>
      <c r="QY27" s="57">
        <f t="shared" si="342"/>
        <v>0</v>
      </c>
      <c r="QZ27" s="57">
        <f>IF(OR(AND(QN$6=1,$L27=0),AND(QN$6=2,$K27=2,$G27=1)),0,IF(AND(QP$9=2,(OR($F27&gt;1,$K27=1,AND($L27=80,OR($N27=1,AND($N27=2,'#BerechnungDBE'!$AL18&gt;0)))))),IF(QN$4&gt;=$AD$126,0,QX27),IF(QP$9=3,IF(OR(QN$4&gt;=$AD$127,AND($G27=1,$J27=2,QN$6=2),AND(QN$6=1,$N27&lt;&gt;1)),0,IF(QR27&lt;=120,QX27,IF(QN$4&lt;$AD$124,IF($F27=1,60/QP$4*QP$6,60/QP$4*QP$7),IF($F27=1,120/QP$4*QP$6,120/QP$4*QP$7)))),IF(OR($F27=3,$G27=2),IF(OR(AND(QN$4&gt;=$AD$119,$C27=2),AND(QN$4&gt;=$AF$119,$C27=1)),0,IF(QR27&lt;=60,QX27,60/QP$4*QP$7)),IF(AND($F27=2,$G27=1),QX27,0)))))</f>
        <v>0</v>
      </c>
      <c r="RA27" s="57" t="str">
        <f t="shared" si="184"/>
        <v/>
      </c>
      <c r="RB27" s="57" t="str">
        <f t="shared" si="185"/>
        <v/>
      </c>
      <c r="RC27" s="713">
        <f>'org. Düngung 22'!DX26</f>
        <v>0</v>
      </c>
      <c r="RD27" s="57"/>
      <c r="RE27" s="57"/>
      <c r="RF27" s="57">
        <f t="shared" si="186"/>
        <v>0</v>
      </c>
      <c r="RG27" s="57">
        <f t="shared" si="343"/>
        <v>0</v>
      </c>
      <c r="RH27" s="57">
        <f t="shared" si="344"/>
        <v>0</v>
      </c>
      <c r="RI27" s="57">
        <f t="shared" si="345"/>
        <v>0</v>
      </c>
      <c r="RJ27" s="57">
        <f t="shared" si="346"/>
        <v>0</v>
      </c>
      <c r="RK27" s="1029">
        <f t="shared" si="187"/>
        <v>0</v>
      </c>
      <c r="RL27" s="57">
        <f t="shared" si="188"/>
        <v>0</v>
      </c>
      <c r="RM27" s="171" t="str">
        <f t="shared" si="189"/>
        <v/>
      </c>
      <c r="RN27" s="57">
        <f t="shared" si="347"/>
        <v>0</v>
      </c>
      <c r="RO27" s="57">
        <f>IF(OR(AND(RC$6=1,$L27=0),AND(RC$6=2,$K27=2,$G27=1)),0,IF(AND(RE$9=2,(OR($F27&gt;1,$K27=1,AND($L27=80,OR($N27=1,AND($N27=2,'#BerechnungDBE'!$AL18&gt;0)))))),IF(RC$4&gt;=$AD$126,0,RM27),IF(RE$9=3,IF(OR(RC$4&gt;=$AD$127,AND($G27=1,$J27=2,RC$6=2),AND(RC$6=1,$N27&lt;&gt;1)),0,IF(RG27&lt;=120,RM27,IF(RC$4&lt;$AD$124,IF($F27=1,60/RE$4*RE$6,60/RE$4*RE$7),IF($F27=1,120/RE$4*RE$6,120/RE$4*RE$7)))),IF(OR($F27=3,$G27=2),IF(OR(AND(RC$4&gt;=$AD$119,$C27=2),AND(RC$4&gt;=$AF$119,$C27=1)),0,IF(RG27&lt;=60,RM27,60/RE$4*RE$7)),IF(AND($F27=2,$G27=1),RM27,0)))))</f>
        <v>0</v>
      </c>
      <c r="RP27" s="57" t="str">
        <f t="shared" si="190"/>
        <v/>
      </c>
      <c r="RQ27" s="57" t="str">
        <f t="shared" si="191"/>
        <v/>
      </c>
      <c r="RS27" s="57" t="str">
        <f t="shared" si="348"/>
        <v/>
      </c>
      <c r="RT27" s="57" t="str">
        <f t="shared" si="192"/>
        <v/>
      </c>
      <c r="RU27" s="57" t="str">
        <f t="shared" si="193"/>
        <v/>
      </c>
      <c r="RV27" s="57" t="str">
        <f>IF(Z27&gt;'#BerechnungDBE'!BM18,$RV$9,"")</f>
        <v/>
      </c>
      <c r="RW27" s="57" t="str">
        <f>IF(AND(L27=70,AE27&gt;'#BerechnungDBE'!CQ18),$RW$9,"")</f>
        <v/>
      </c>
      <c r="RX27" s="57" t="str">
        <f>IF(OR('org. Düngung 22'!G26="--",'org. Düngung 22'!G26&lt;=170,'org. Düngung 22'!G26=""),"",$RX$9)</f>
        <v/>
      </c>
      <c r="RY27" s="57" t="str">
        <f>IF('org. Düngung 22'!K26&gt;120,'#orgDung'!$RY$9,"")</f>
        <v/>
      </c>
      <c r="RZ27" s="57" t="str">
        <f>IF('#BerechnungDBE'!P18&lt;4,"",IF(AND('#BerechnungDBE'!BZ18&gt;0,T27&gt;0),'#orgDung'!$RZ$9,""))</f>
        <v/>
      </c>
      <c r="SA27" s="57" t="str">
        <f t="shared" si="194"/>
        <v/>
      </c>
    </row>
    <row r="28" spans="1:495" s="875" customFormat="1" x14ac:dyDescent="0.2">
      <c r="A28" s="875">
        <f>'Flächen u. Kulturen'!A24</f>
        <v>15</v>
      </c>
      <c r="B28" s="367">
        <f>'#BerechnungDBE'!L19</f>
        <v>0</v>
      </c>
      <c r="C28" s="875">
        <f>'#BerechnungDBE'!R19</f>
        <v>1</v>
      </c>
      <c r="D28" s="875">
        <f>'#BerechnungDBE'!T19</f>
        <v>2</v>
      </c>
      <c r="E28" s="875" t="str">
        <f>'Flächen u. Kulturen'!E24</f>
        <v>x</v>
      </c>
      <c r="F28" s="52">
        <f>'#BerechnungDBE'!N19</f>
        <v>1</v>
      </c>
      <c r="G28" s="52">
        <f>'#BerechnungDBE'!O19</f>
        <v>1</v>
      </c>
      <c r="H28" s="875">
        <f>IF('Flächen u. Kulturen'!P24="",0,VLOOKUP('Flächen u. Kulturen'!P24,Kulturen[[HF]:[Berechnungsgruppe]],'#Frucht'!$H$1,FALSE))</f>
        <v>0</v>
      </c>
      <c r="I28" s="875">
        <f>IF('Flächen u. Kulturen'!J24="",0,VLOOKUP('Flächen u. Kulturen'!J24,Kulturen[[HF]:[Berechnungsgruppe]],'#Frucht'!$G$1,FALSE))</f>
        <v>90</v>
      </c>
      <c r="J28" s="505">
        <f t="shared" si="195"/>
        <v>2</v>
      </c>
      <c r="K28" s="505">
        <f>IF('Flächen u. Kulturen'!P24="",0,IF(VLOOKUP('Flächen u. Kulturen'!P24,Kulturen[[HF]:[Saat Winterungen]],'#Frucht'!$P$1,FALSE)&gt;0,1,2))</f>
        <v>2</v>
      </c>
      <c r="L28" s="875">
        <f>'#BerechnungDBE'!AF19</f>
        <v>0</v>
      </c>
      <c r="M28" s="875">
        <f>IF('Flächen u. Kulturen'!L24="",0,VLOOKUP('Flächen u. Kulturen'!L24,Nebenkultur[[Nebenkultur]:[Legum. Zwischenfr.]],'#Zweitfr'!$K$1,FALSE))</f>
        <v>0</v>
      </c>
      <c r="N28" s="875">
        <f>'#BerechnungDBE'!AG19</f>
        <v>0</v>
      </c>
      <c r="P28" s="57">
        <f t="shared" si="0"/>
        <v>0</v>
      </c>
      <c r="Q28" s="57">
        <f t="shared" si="1"/>
        <v>0</v>
      </c>
      <c r="R28" s="875">
        <f t="shared" si="2"/>
        <v>0</v>
      </c>
      <c r="S28" s="938" t="str">
        <f t="shared" si="3"/>
        <v/>
      </c>
      <c r="T28" s="875">
        <f t="shared" si="4"/>
        <v>0</v>
      </c>
      <c r="U28" s="875">
        <f t="shared" si="5"/>
        <v>0</v>
      </c>
      <c r="V28" s="875">
        <f t="shared" si="6"/>
        <v>0</v>
      </c>
      <c r="W28" s="875">
        <f t="shared" si="7"/>
        <v>0</v>
      </c>
      <c r="X28" s="875">
        <f t="shared" si="8"/>
        <v>0</v>
      </c>
      <c r="Y28" s="875">
        <f t="shared" si="349"/>
        <v>0</v>
      </c>
      <c r="Z28" s="875">
        <f t="shared" si="350"/>
        <v>0</v>
      </c>
      <c r="AA28" s="910">
        <f t="shared" si="9"/>
        <v>0</v>
      </c>
      <c r="AB28" s="57">
        <f t="shared" si="351"/>
        <v>0</v>
      </c>
      <c r="AC28" s="875">
        <f t="shared" si="10"/>
        <v>0</v>
      </c>
      <c r="AD28" s="875">
        <f t="shared" si="11"/>
        <v>0</v>
      </c>
      <c r="AE28" s="875">
        <f t="shared" si="12"/>
        <v>0</v>
      </c>
      <c r="AF28" s="875">
        <f t="shared" si="352"/>
        <v>0</v>
      </c>
      <c r="AG28" s="875">
        <f>'org. Düngung 22'!J27</f>
        <v>0</v>
      </c>
      <c r="AH28" s="875">
        <f>'org. Düngung 22'!K27</f>
        <v>0</v>
      </c>
      <c r="AJ28" s="713">
        <f>'org. Düngung 22'!L27</f>
        <v>0</v>
      </c>
      <c r="AK28" s="57"/>
      <c r="AL28" s="57"/>
      <c r="AM28" s="57">
        <f t="shared" si="196"/>
        <v>0</v>
      </c>
      <c r="AN28" s="57">
        <f t="shared" si="197"/>
        <v>0</v>
      </c>
      <c r="AO28" s="57">
        <f t="shared" si="198"/>
        <v>0</v>
      </c>
      <c r="AP28" s="57">
        <f t="shared" si="199"/>
        <v>0</v>
      </c>
      <c r="AQ28" s="57">
        <f t="shared" si="200"/>
        <v>0</v>
      </c>
      <c r="AR28" s="1029">
        <f t="shared" si="14"/>
        <v>0</v>
      </c>
      <c r="AS28" s="57">
        <f t="shared" si="15"/>
        <v>0</v>
      </c>
      <c r="AT28" s="171" t="str">
        <f t="shared" si="16"/>
        <v/>
      </c>
      <c r="AU28" s="57">
        <f t="shared" si="201"/>
        <v>0</v>
      </c>
      <c r="AV28" s="57">
        <f>IF(OR(AND(AJ$6=1,$L28=0),AND(AJ$6=2,$K28=2,$G28=1)),0,IF(AND(AL$9=2,(OR($F28&gt;1,$K28=1,AND($L28=80,OR($N28=1,AND($N28=2,'#BerechnungDBE'!$AL19&gt;0)))))),IF(AJ$4&gt;=$AD$126,0,AT28),IF(AL$9=3,IF(OR(AJ$4&gt;=$AD$127,AND($G28=1,$J28=2,AJ$6=2),AND(AJ$6=1,$N28&lt;&gt;1)),0,IF(AN28&lt;=120,AT28,IF(AJ$4&lt;$AD$124,IF($F28=1,60/AL$4*AL$6,60/AL$4*AL$7),IF($F28=1,120/AL$4*AL$6,120/AL$4*AL$7)))),IF(OR($F28=3,$G28=2),IF(OR(AND(AJ$4&gt;=$AD$119,$C28=2),AND(AJ$4&gt;=$AF$119,$C28=1)),0,IF(AN28&lt;=60,AT28,60/AL$4*AL$7)),IF(AND($F28=2,$G28=1),AT28,0)))))</f>
        <v>0</v>
      </c>
      <c r="AW28" s="57" t="str">
        <f t="shared" si="202"/>
        <v/>
      </c>
      <c r="AX28" s="57" t="str">
        <f t="shared" si="17"/>
        <v/>
      </c>
      <c r="AY28" s="713">
        <f>'org. Düngung 22'!P27</f>
        <v>0</v>
      </c>
      <c r="AZ28" s="57"/>
      <c r="BA28" s="57"/>
      <c r="BB28" s="57">
        <f t="shared" si="18"/>
        <v>0</v>
      </c>
      <c r="BC28" s="57">
        <f t="shared" si="203"/>
        <v>0</v>
      </c>
      <c r="BD28" s="57">
        <f t="shared" si="204"/>
        <v>0</v>
      </c>
      <c r="BE28" s="57">
        <f t="shared" si="205"/>
        <v>0</v>
      </c>
      <c r="BF28" s="57">
        <f t="shared" si="206"/>
        <v>0</v>
      </c>
      <c r="BG28" s="1029">
        <f t="shared" si="19"/>
        <v>0</v>
      </c>
      <c r="BH28" s="57">
        <f t="shared" si="20"/>
        <v>0</v>
      </c>
      <c r="BI28" s="171" t="str">
        <f t="shared" si="21"/>
        <v/>
      </c>
      <c r="BJ28" s="57">
        <f t="shared" si="207"/>
        <v>0</v>
      </c>
      <c r="BK28" s="57">
        <f>IF(OR(AND(AY$6=1,$L28=0),AND(AY$6=2,$K28=2,$G28=1)),0,IF(AND(BA$9=2,(OR($F28&gt;1,$K28=1,AND($L28=80,OR($N28=1,AND($N28=2,'#BerechnungDBE'!$AL19&gt;0)))))),IF(AY$4&gt;=$AD$126,0,BI28),IF(BA$9=3,IF(OR(AY$4&gt;=$AD$127,AND($G28=1,$J28=2,AY$6=2),AND(AY$6=1,$N28&lt;&gt;1)),0,IF(BC28&lt;=120,BI28,IF(AY$4&lt;$AD$124,IF($F28=1,60/BA$4*BA$6,60/BA$4*BA$7),IF($F28=1,120/BA$4*BA$6,120/BA$4*BA$7)))),IF(OR($F28=3,$G28=2),IF(OR(AND(AY$4&gt;=$AD$119,$C28=2),AND(AY$4&gt;=$AF$119,$C28=1)),0,IF(BC28&lt;=60,BI28,60/BA$4*BA$7)),IF(AND($F28=2,$G28=1),BI28,0)))))</f>
        <v>0</v>
      </c>
      <c r="BL28" s="57" t="str">
        <f t="shared" si="22"/>
        <v/>
      </c>
      <c r="BM28" s="57" t="str">
        <f t="shared" si="23"/>
        <v/>
      </c>
      <c r="BN28" s="713">
        <f>'org. Düngung 22'!T27</f>
        <v>0</v>
      </c>
      <c r="BO28" s="57"/>
      <c r="BP28" s="57"/>
      <c r="BQ28" s="57">
        <f t="shared" si="24"/>
        <v>0</v>
      </c>
      <c r="BR28" s="57">
        <f t="shared" si="208"/>
        <v>0</v>
      </c>
      <c r="BS28" s="57">
        <f t="shared" si="209"/>
        <v>0</v>
      </c>
      <c r="BT28" s="57">
        <f t="shared" si="210"/>
        <v>0</v>
      </c>
      <c r="BU28" s="57">
        <f t="shared" si="211"/>
        <v>0</v>
      </c>
      <c r="BV28" s="1029">
        <f t="shared" si="25"/>
        <v>0</v>
      </c>
      <c r="BW28" s="57">
        <f t="shared" si="26"/>
        <v>0</v>
      </c>
      <c r="BX28" s="171" t="str">
        <f t="shared" si="27"/>
        <v/>
      </c>
      <c r="BY28" s="57">
        <f t="shared" si="212"/>
        <v>0</v>
      </c>
      <c r="BZ28" s="57">
        <f>IF(OR(AND(BN$6=1,$L28=0),AND(BN$6=2,$K28=2,$G28=1)),0,IF(AND(BP$9=2,(OR($F28&gt;1,$K28=1,AND($L28=80,OR($N28=1,AND($N28=2,'#BerechnungDBE'!$AL19&gt;0)))))),IF(BN$4&gt;=$AD$126,0,BX28),IF(BP$9=3,IF(OR(BN$4&gt;=$AD$127,AND($G28=1,$J28=2,BN$6=2),AND(BN$6=1,$N28&lt;&gt;1)),0,IF(BR28&lt;=120,BX28,IF(BN$4&lt;$AD$124,IF($F28=1,60/BP$4*BP$6,60/BP$4*BP$7),IF($F28=1,120/BP$4*BP$6,120/BP$4*BP$7)))),IF(OR($F28=3,$G28=2),IF(OR(AND(BN$4&gt;=$AD$119,$C28=2),AND(BN$4&gt;=$AF$119,$C28=1)),0,IF(BR28&lt;=60,BX28,60/BP$4*BP$7)),IF(AND($F28=2,$G28=1),BX28,0)))))</f>
        <v>0</v>
      </c>
      <c r="CA28" s="57" t="str">
        <f t="shared" si="28"/>
        <v/>
      </c>
      <c r="CB28" s="57" t="str">
        <f t="shared" si="29"/>
        <v/>
      </c>
      <c r="CC28" s="713">
        <f>'org. Düngung 22'!X27</f>
        <v>0</v>
      </c>
      <c r="CD28" s="57"/>
      <c r="CE28" s="57"/>
      <c r="CF28" s="57">
        <f t="shared" si="30"/>
        <v>0</v>
      </c>
      <c r="CG28" s="57">
        <f t="shared" si="213"/>
        <v>0</v>
      </c>
      <c r="CH28" s="57">
        <f t="shared" si="214"/>
        <v>0</v>
      </c>
      <c r="CI28" s="57">
        <f t="shared" si="215"/>
        <v>0</v>
      </c>
      <c r="CJ28" s="57">
        <f t="shared" si="216"/>
        <v>0</v>
      </c>
      <c r="CK28" s="1029">
        <f t="shared" si="31"/>
        <v>0</v>
      </c>
      <c r="CL28" s="57">
        <f t="shared" si="32"/>
        <v>0</v>
      </c>
      <c r="CM28" s="171" t="str">
        <f t="shared" si="33"/>
        <v/>
      </c>
      <c r="CN28" s="57">
        <f t="shared" si="217"/>
        <v>0</v>
      </c>
      <c r="CO28" s="57">
        <f>IF(OR(AND(CC$6=1,$L28=0),AND(CC$6=2,$K28=2,$G28=1)),0,IF(AND(CE$9=2,(OR($F28&gt;1,$K28=1,AND($L28=80,OR($N28=1,AND($N28=2,'#BerechnungDBE'!$AL19&gt;0)))))),IF(CC$4&gt;=$AD$126,0,CM28),IF(CE$9=3,IF(OR(CC$4&gt;=$AD$127,AND($G28=1,$J28=2,CC$6=2),AND(CC$6=1,$N28&lt;&gt;1)),0,IF(CG28&lt;=120,CM28,IF(CC$4&lt;$AD$124,IF($F28=1,60/CE$4*CE$6,60/CE$4*CE$7),IF($F28=1,120/CE$4*CE$6,120/CE$4*CE$7)))),IF(OR($F28=3,$G28=2),IF(OR(AND(CC$4&gt;=$AD$119,$C28=2),AND(CC$4&gt;=$AF$119,$C28=1)),0,IF(CG28&lt;=60,CM28,60/CE$4*CE$7)),IF(AND($F28=2,$G28=1),CM28,0)))))</f>
        <v>0</v>
      </c>
      <c r="CP28" s="57" t="str">
        <f t="shared" si="34"/>
        <v/>
      </c>
      <c r="CQ28" s="57" t="str">
        <f t="shared" si="35"/>
        <v/>
      </c>
      <c r="CR28" s="713">
        <f>'org. Düngung 22'!AB27</f>
        <v>0</v>
      </c>
      <c r="CS28" s="57"/>
      <c r="CT28" s="57"/>
      <c r="CU28" s="57">
        <f t="shared" si="36"/>
        <v>0</v>
      </c>
      <c r="CV28" s="57">
        <f t="shared" si="218"/>
        <v>0</v>
      </c>
      <c r="CW28" s="57">
        <f t="shared" si="219"/>
        <v>0</v>
      </c>
      <c r="CX28" s="57">
        <f t="shared" si="220"/>
        <v>0</v>
      </c>
      <c r="CY28" s="57">
        <f t="shared" si="221"/>
        <v>0</v>
      </c>
      <c r="CZ28" s="1029">
        <f t="shared" si="37"/>
        <v>0</v>
      </c>
      <c r="DA28" s="57">
        <f t="shared" si="38"/>
        <v>0</v>
      </c>
      <c r="DB28" s="171" t="str">
        <f t="shared" si="39"/>
        <v/>
      </c>
      <c r="DC28" s="57">
        <f t="shared" si="222"/>
        <v>0</v>
      </c>
      <c r="DD28" s="57">
        <f>IF(OR(AND(CR$6=1,$L28=0),AND(CR$6=2,$K28=2,$G28=1)),0,IF(AND(CT$9=2,(OR($F28&gt;1,$K28=1,AND($L28=80,OR($N28=1,AND($N28=2,'#BerechnungDBE'!$AL19&gt;0)))))),IF(CR$4&gt;=$AD$126,0,DB28),IF(CT$9=3,IF(OR(CR$4&gt;=$AD$127,AND($G28=1,$J28=2,CR$6=2),AND(CR$6=1,$N28&lt;&gt;1)),0,IF(CV28&lt;=120,DB28,IF(CR$4&lt;$AD$124,IF($F28=1,60/CT$4*CT$6,60/CT$4*CT$7),IF($F28=1,120/CT$4*CT$6,120/CT$4*CT$7)))),IF(OR($F28=3,$G28=2),IF(OR(AND(CR$4&gt;=$AD$119,$C28=2),AND(CR$4&gt;=$AF$119,$C28=1)),0,IF(CV28&lt;=60,DB28,60/CT$4*CT$7)),IF(AND($F28=2,$G28=1),DB28,0)))))</f>
        <v>0</v>
      </c>
      <c r="DE28" s="57" t="str">
        <f t="shared" si="40"/>
        <v/>
      </c>
      <c r="DF28" s="57" t="str">
        <f t="shared" si="41"/>
        <v/>
      </c>
      <c r="DG28" s="713">
        <f>'org. Düngung 22'!AF27</f>
        <v>0</v>
      </c>
      <c r="DH28" s="57"/>
      <c r="DI28" s="57"/>
      <c r="DJ28" s="57">
        <f t="shared" si="42"/>
        <v>0</v>
      </c>
      <c r="DK28" s="57">
        <f t="shared" si="223"/>
        <v>0</v>
      </c>
      <c r="DL28" s="57">
        <f t="shared" si="224"/>
        <v>0</v>
      </c>
      <c r="DM28" s="57">
        <f t="shared" si="225"/>
        <v>0</v>
      </c>
      <c r="DN28" s="57">
        <f t="shared" si="226"/>
        <v>0</v>
      </c>
      <c r="DO28" s="1029">
        <f t="shared" si="43"/>
        <v>0</v>
      </c>
      <c r="DP28" s="57">
        <f t="shared" si="44"/>
        <v>0</v>
      </c>
      <c r="DQ28" s="171" t="str">
        <f t="shared" si="45"/>
        <v/>
      </c>
      <c r="DR28" s="57">
        <f t="shared" si="227"/>
        <v>0</v>
      </c>
      <c r="DS28" s="57">
        <f>IF(OR(AND(DG$6=1,$L28=0),AND(DG$6=2,$K28=2,$G28=1)),0,IF(AND(DI$9=2,(OR($F28&gt;1,$K28=1,AND($L28=80,OR($N28=1,AND($N28=2,'#BerechnungDBE'!$AL19&gt;0)))))),IF(DG$4&gt;=$AD$126,0,DQ28),IF(DI$9=3,IF(OR(DG$4&gt;=$AD$127,AND($G28=1,$J28=2,DG$6=2),AND(DG$6=1,$N28&lt;&gt;1)),0,IF(DK28&lt;=120,DQ28,IF(DG$4&lt;$AD$124,IF($F28=1,60/DI$4*DI$6,60/DI$4*DI$7),IF($F28=1,120/DI$4*DI$6,120/DI$4*DI$7)))),IF(OR($F28=3,$G28=2),IF(OR(AND(DG$4&gt;=$AD$119,$C28=2),AND(DG$4&gt;=$AF$119,$C28=1)),0,IF(DK28&lt;=60,DQ28,60/DI$4*DI$7)),IF(AND($F28=2,$G28=1),DQ28,0)))))</f>
        <v>0</v>
      </c>
      <c r="DT28" s="57" t="str">
        <f t="shared" si="46"/>
        <v/>
      </c>
      <c r="DU28" s="57" t="str">
        <f t="shared" si="47"/>
        <v/>
      </c>
      <c r="DV28" s="713">
        <f>'org. Düngung 22'!AJ27</f>
        <v>0</v>
      </c>
      <c r="DW28" s="57"/>
      <c r="DX28" s="57"/>
      <c r="DY28" s="57">
        <f t="shared" si="48"/>
        <v>0</v>
      </c>
      <c r="DZ28" s="57">
        <f t="shared" si="228"/>
        <v>0</v>
      </c>
      <c r="EA28" s="57">
        <f t="shared" si="229"/>
        <v>0</v>
      </c>
      <c r="EB28" s="57">
        <f t="shared" si="230"/>
        <v>0</v>
      </c>
      <c r="EC28" s="57">
        <f t="shared" si="231"/>
        <v>0</v>
      </c>
      <c r="ED28" s="1029">
        <f t="shared" si="49"/>
        <v>0</v>
      </c>
      <c r="EE28" s="57">
        <f t="shared" si="50"/>
        <v>0</v>
      </c>
      <c r="EF28" s="171" t="str">
        <f t="shared" si="51"/>
        <v/>
      </c>
      <c r="EG28" s="57">
        <f t="shared" si="232"/>
        <v>0</v>
      </c>
      <c r="EH28" s="57">
        <f>IF(OR(AND(DV$6=1,$L28=0),AND(DV$6=2,$K28=2,$G28=1)),0,IF(AND(DX$9=2,(OR($F28&gt;1,$K28=1,AND($L28=80,OR($N28=1,AND($N28=2,'#BerechnungDBE'!$AL19&gt;0)))))),IF(DV$4&gt;=$AD$126,0,EF28),IF(DX$9=3,IF(OR(DV$4&gt;=$AD$127,AND($G28=1,$J28=2,DV$6=2),AND(DV$6=1,$N28&lt;&gt;1)),0,IF(DZ28&lt;=120,EF28,IF(DV$4&lt;$AD$124,IF($F28=1,60/DX$4*DX$6,60/DX$4*DX$7),IF($F28=1,120/DX$4*DX$6,120/DX$4*DX$7)))),IF(OR($F28=3,$G28=2),IF(OR(AND(DV$4&gt;=$AD$119,$C28=2),AND(DV$4&gt;=$AF$119,$C28=1)),0,IF(DZ28&lt;=60,EF28,60/DX$4*DX$7)),IF(AND($F28=2,$G28=1),EF28,0)))))</f>
        <v>0</v>
      </c>
      <c r="EI28" s="57" t="str">
        <f t="shared" si="52"/>
        <v/>
      </c>
      <c r="EJ28" s="57" t="str">
        <f t="shared" si="53"/>
        <v/>
      </c>
      <c r="EK28" s="713">
        <f>'org. Düngung 22'!AN27</f>
        <v>0</v>
      </c>
      <c r="EL28" s="57"/>
      <c r="EM28" s="57"/>
      <c r="EN28" s="57">
        <f t="shared" si="54"/>
        <v>0</v>
      </c>
      <c r="EO28" s="57">
        <f t="shared" si="233"/>
        <v>0</v>
      </c>
      <c r="EP28" s="57">
        <f t="shared" si="234"/>
        <v>0</v>
      </c>
      <c r="EQ28" s="57">
        <f t="shared" si="235"/>
        <v>0</v>
      </c>
      <c r="ER28" s="57">
        <f t="shared" si="236"/>
        <v>0</v>
      </c>
      <c r="ES28" s="1029">
        <f t="shared" si="55"/>
        <v>0</v>
      </c>
      <c r="ET28" s="57">
        <f t="shared" si="56"/>
        <v>0</v>
      </c>
      <c r="EU28" s="171" t="str">
        <f t="shared" si="57"/>
        <v/>
      </c>
      <c r="EV28" s="57">
        <f t="shared" si="237"/>
        <v>0</v>
      </c>
      <c r="EW28" s="57">
        <f>IF(OR(AND(EK$6=1,$L28=0),AND(EK$6=2,$K28=2,$G28=1)),0,IF(AND(EM$9=2,(OR($F28&gt;1,$K28=1,AND($L28=80,OR($N28=1,AND($N28=2,'#BerechnungDBE'!$AL19&gt;0)))))),IF(EK$4&gt;=$AD$126,0,EU28),IF(EM$9=3,IF(OR(EK$4&gt;=$AD$127,AND($G28=1,$J28=2,EK$6=2),AND(EK$6=1,$N28&lt;&gt;1)),0,IF(EO28&lt;=120,EU28,IF(EK$4&lt;$AD$124,IF($F28=1,60/EM$4*EM$6,60/EM$4*EM$7),IF($F28=1,120/EM$4*EM$6,120/EM$4*EM$7)))),IF(OR($F28=3,$G28=2),IF(OR(AND(EK$4&gt;=$AD$119,$C28=2),AND(EK$4&gt;=$AF$119,$C28=1)),0,IF(EO28&lt;=60,EU28,60/EM$4*EM$7)),IF(AND($F28=2,$G28=1),EU28,0)))))</f>
        <v>0</v>
      </c>
      <c r="EX28" s="57" t="str">
        <f t="shared" si="58"/>
        <v/>
      </c>
      <c r="EY28" s="57" t="str">
        <f t="shared" si="59"/>
        <v/>
      </c>
      <c r="EZ28" s="713">
        <f>'org. Düngung 22'!AR27</f>
        <v>0</v>
      </c>
      <c r="FA28" s="57"/>
      <c r="FB28" s="57"/>
      <c r="FC28" s="57">
        <f t="shared" si="60"/>
        <v>0</v>
      </c>
      <c r="FD28" s="57">
        <f t="shared" si="238"/>
        <v>0</v>
      </c>
      <c r="FE28" s="57">
        <f t="shared" si="239"/>
        <v>0</v>
      </c>
      <c r="FF28" s="57">
        <f t="shared" si="240"/>
        <v>0</v>
      </c>
      <c r="FG28" s="57">
        <f t="shared" si="241"/>
        <v>0</v>
      </c>
      <c r="FH28" s="1029">
        <f t="shared" si="61"/>
        <v>0</v>
      </c>
      <c r="FI28" s="57">
        <f t="shared" si="62"/>
        <v>0</v>
      </c>
      <c r="FJ28" s="171" t="str">
        <f t="shared" si="63"/>
        <v/>
      </c>
      <c r="FK28" s="57">
        <f t="shared" si="242"/>
        <v>0</v>
      </c>
      <c r="FL28" s="57">
        <f>IF(OR(AND(EZ$6=1,$L28=0),AND(EZ$6=2,$K28=2,$G28=1)),0,IF(AND(FB$9=2,(OR($F28&gt;1,$K28=1,AND($L28=80,OR($N28=1,AND($N28=2,'#BerechnungDBE'!$AL19&gt;0)))))),IF(EZ$4&gt;=$AD$126,0,FJ28),IF(FB$9=3,IF(OR(EZ$4&gt;=$AD$127,AND($G28=1,$J28=2,EZ$6=2),AND(EZ$6=1,$N28&lt;&gt;1)),0,IF(FD28&lt;=120,FJ28,IF(EZ$4&lt;$AD$124,IF($F28=1,60/FB$4*FB$6,60/FB$4*FB$7),IF($F28=1,120/FB$4*FB$6,120/FB$4*FB$7)))),IF(OR($F28=3,$G28=2),IF(OR(AND(EZ$4&gt;=$AD$119,$C28=2),AND(EZ$4&gt;=$AF$119,$C28=1)),0,IF(FD28&lt;=60,FJ28,60/FB$4*FB$7)),IF(AND($F28=2,$G28=1),FJ28,0)))))</f>
        <v>0</v>
      </c>
      <c r="FM28" s="57" t="str">
        <f t="shared" si="64"/>
        <v/>
      </c>
      <c r="FN28" s="57" t="str">
        <f t="shared" si="65"/>
        <v/>
      </c>
      <c r="FO28" s="713">
        <f>'org. Düngung 22'!AV27</f>
        <v>0</v>
      </c>
      <c r="FP28" s="57"/>
      <c r="FQ28" s="57"/>
      <c r="FR28" s="57">
        <f t="shared" si="66"/>
        <v>0</v>
      </c>
      <c r="FS28" s="57">
        <f t="shared" si="243"/>
        <v>0</v>
      </c>
      <c r="FT28" s="57">
        <f t="shared" si="244"/>
        <v>0</v>
      </c>
      <c r="FU28" s="57">
        <f t="shared" si="245"/>
        <v>0</v>
      </c>
      <c r="FV28" s="57">
        <f t="shared" si="246"/>
        <v>0</v>
      </c>
      <c r="FW28" s="1029">
        <f t="shared" si="67"/>
        <v>0</v>
      </c>
      <c r="FX28" s="57">
        <f t="shared" si="68"/>
        <v>0</v>
      </c>
      <c r="FY28" s="171" t="str">
        <f t="shared" si="69"/>
        <v/>
      </c>
      <c r="FZ28" s="57">
        <f t="shared" si="247"/>
        <v>0</v>
      </c>
      <c r="GA28" s="57">
        <f>IF(OR(AND(FO$6=1,$L28=0),AND(FO$6=2,$K28=2,$G28=1)),0,IF(AND(FQ$9=2,(OR($F28&gt;1,$K28=1,AND($L28=80,OR($N28=1,AND($N28=2,'#BerechnungDBE'!$AL19&gt;0)))))),IF(FO$4&gt;=$AD$126,0,FY28),IF(FQ$9=3,IF(OR(FO$4&gt;=$AD$127,AND($G28=1,$J28=2,FO$6=2),AND(FO$6=1,$N28&lt;&gt;1)),0,IF(FS28&lt;=120,FY28,IF(FO$4&lt;$AD$124,IF($F28=1,60/FQ$4*FQ$6,60/FQ$4*FQ$7),IF($F28=1,120/FQ$4*FQ$6,120/FQ$4*FQ$7)))),IF(OR($F28=3,$G28=2),IF(OR(AND(FO$4&gt;=$AD$119,$C28=2),AND(FO$4&gt;=$AF$119,$C28=1)),0,IF(FS28&lt;=60,FY28,60/FQ$4*FQ$7)),IF(AND($F28=2,$G28=1),FY28,0)))))</f>
        <v>0</v>
      </c>
      <c r="GB28" s="57" t="str">
        <f t="shared" si="70"/>
        <v/>
      </c>
      <c r="GC28" s="57" t="str">
        <f t="shared" si="71"/>
        <v/>
      </c>
      <c r="GD28" s="713">
        <f>'org. Düngung 22'!AZ27</f>
        <v>0</v>
      </c>
      <c r="GE28" s="57"/>
      <c r="GF28" s="57"/>
      <c r="GG28" s="57">
        <f t="shared" si="72"/>
        <v>0</v>
      </c>
      <c r="GH28" s="57">
        <f t="shared" si="248"/>
        <v>0</v>
      </c>
      <c r="GI28" s="57">
        <f t="shared" si="249"/>
        <v>0</v>
      </c>
      <c r="GJ28" s="57">
        <f t="shared" si="250"/>
        <v>0</v>
      </c>
      <c r="GK28" s="57">
        <f t="shared" si="251"/>
        <v>0</v>
      </c>
      <c r="GL28" s="1029">
        <f t="shared" si="73"/>
        <v>0</v>
      </c>
      <c r="GM28" s="57">
        <f t="shared" si="74"/>
        <v>0</v>
      </c>
      <c r="GN28" s="171" t="str">
        <f t="shared" si="75"/>
        <v/>
      </c>
      <c r="GO28" s="57">
        <f t="shared" si="252"/>
        <v>0</v>
      </c>
      <c r="GP28" s="57">
        <f>IF(OR(AND(GD$6=1,$L28=0),AND(GD$6=2,$K28=2,$G28=1)),0,IF(AND(GF$9=2,(OR($F28&gt;1,$K28=1,AND($L28=80,OR($N28=1,AND($N28=2,'#BerechnungDBE'!$AL19&gt;0)))))),IF(GD$4&gt;=$AD$126,0,GN28),IF(GF$9=3,IF(OR(GD$4&gt;=$AD$127,AND($G28=1,$J28=2,GD$6=2),AND(GD$6=1,$N28&lt;&gt;1)),0,IF(GH28&lt;=120,GN28,IF(GD$4&lt;$AD$124,IF($F28=1,60/GF$4*GF$6,60/GF$4*GF$7),IF($F28=1,120/GF$4*GF$6,120/GF$4*GF$7)))),IF(OR($F28=3,$G28=2),IF(OR(AND(GD$4&gt;=$AD$119,$C28=2),AND(GD$4&gt;=$AF$119,$C28=1)),0,IF(GH28&lt;=60,GN28,60/GF$4*GF$7)),IF(AND($F28=2,$G28=1),GN28,0)))))</f>
        <v>0</v>
      </c>
      <c r="GQ28" s="57" t="str">
        <f t="shared" si="76"/>
        <v/>
      </c>
      <c r="GR28" s="57" t="str">
        <f t="shared" si="77"/>
        <v/>
      </c>
      <c r="GS28" s="713">
        <f>'org. Düngung 22'!BD27</f>
        <v>0</v>
      </c>
      <c r="GT28" s="57"/>
      <c r="GU28" s="57"/>
      <c r="GV28" s="57">
        <f t="shared" si="78"/>
        <v>0</v>
      </c>
      <c r="GW28" s="57">
        <f t="shared" si="253"/>
        <v>0</v>
      </c>
      <c r="GX28" s="57">
        <f t="shared" si="254"/>
        <v>0</v>
      </c>
      <c r="GY28" s="57">
        <f t="shared" si="255"/>
        <v>0</v>
      </c>
      <c r="GZ28" s="57">
        <f t="shared" si="256"/>
        <v>0</v>
      </c>
      <c r="HA28" s="1029">
        <f t="shared" si="79"/>
        <v>0</v>
      </c>
      <c r="HB28" s="57">
        <f t="shared" si="80"/>
        <v>0</v>
      </c>
      <c r="HC28" s="171" t="str">
        <f t="shared" si="81"/>
        <v/>
      </c>
      <c r="HD28" s="57">
        <f t="shared" si="257"/>
        <v>0</v>
      </c>
      <c r="HE28" s="57">
        <f>IF(OR(AND(GS$6=1,$L28=0),AND(GS$6=2,$K28=2,$G28=1)),0,IF(AND(GU$9=2,(OR($F28&gt;1,$K28=1,AND($L28=80,OR($N28=1,AND($N28=2,'#BerechnungDBE'!$AL19&gt;0)))))),IF(GS$4&gt;=$AD$126,0,HC28),IF(GU$9=3,IF(OR(GS$4&gt;=$AD$127,AND($G28=1,$J28=2,GS$6=2),AND(GS$6=1,$N28&lt;&gt;1)),0,IF(GW28&lt;=120,HC28,IF(GS$4&lt;$AD$124,IF($F28=1,60/GU$4*GU$6,60/GU$4*GU$7),IF($F28=1,120/GU$4*GU$6,120/GU$4*GU$7)))),IF(OR($F28=3,$G28=2),IF(OR(AND(GS$4&gt;=$AD$119,$C28=2),AND(GS$4&gt;=$AF$119,$C28=1)),0,IF(GW28&lt;=60,HC28,60/GU$4*GU$7)),IF(AND($F28=2,$G28=1),HC28,0)))))</f>
        <v>0</v>
      </c>
      <c r="HF28" s="57" t="str">
        <f t="shared" si="82"/>
        <v/>
      </c>
      <c r="HG28" s="57" t="str">
        <f t="shared" si="83"/>
        <v/>
      </c>
      <c r="HH28" s="713">
        <f>'org. Düngung 22'!BH27</f>
        <v>0</v>
      </c>
      <c r="HI28" s="57"/>
      <c r="HJ28" s="57"/>
      <c r="HK28" s="57">
        <f t="shared" si="84"/>
        <v>0</v>
      </c>
      <c r="HL28" s="57">
        <f t="shared" si="258"/>
        <v>0</v>
      </c>
      <c r="HM28" s="57">
        <f t="shared" si="259"/>
        <v>0</v>
      </c>
      <c r="HN28" s="57">
        <f t="shared" si="260"/>
        <v>0</v>
      </c>
      <c r="HO28" s="57">
        <f t="shared" si="261"/>
        <v>0</v>
      </c>
      <c r="HP28" s="1029">
        <f t="shared" si="85"/>
        <v>0</v>
      </c>
      <c r="HQ28" s="57">
        <f t="shared" si="86"/>
        <v>0</v>
      </c>
      <c r="HR28" s="171" t="str">
        <f t="shared" si="87"/>
        <v/>
      </c>
      <c r="HS28" s="57">
        <f t="shared" si="262"/>
        <v>0</v>
      </c>
      <c r="HT28" s="57">
        <f>IF(OR(AND(HH$6=1,$L28=0),AND(HH$6=2,$K28=2,$G28=1)),0,IF(AND(HJ$9=2,(OR($F28&gt;1,$K28=1,AND($L28=80,OR($N28=1,AND($N28=2,'#BerechnungDBE'!$AL19&gt;0)))))),IF(HH$4&gt;=$AD$126,0,HR28),IF(HJ$9=3,IF(OR(HH$4&gt;=$AD$127,AND($G28=1,$J28=2,HH$6=2),AND(HH$6=1,$N28&lt;&gt;1)),0,IF(HL28&lt;=120,HR28,IF(HH$4&lt;$AD$124,IF($F28=1,60/HJ$4*HJ$6,60/HJ$4*HJ$7),IF($F28=1,120/HJ$4*HJ$6,120/HJ$4*HJ$7)))),IF(OR($F28=3,$G28=2),IF(OR(AND(HH$4&gt;=$AD$119,$C28=2),AND(HH$4&gt;=$AF$119,$C28=1)),0,IF(HL28&lt;=60,HR28,60/HJ$4*HJ$7)),IF(AND($F28=2,$G28=1),HR28,0)))))</f>
        <v>0</v>
      </c>
      <c r="HU28" s="57" t="str">
        <f t="shared" si="88"/>
        <v/>
      </c>
      <c r="HV28" s="57" t="str">
        <f t="shared" si="89"/>
        <v/>
      </c>
      <c r="HW28" s="713">
        <f>'org. Düngung 22'!BL27</f>
        <v>0</v>
      </c>
      <c r="HX28" s="57"/>
      <c r="HY28" s="57"/>
      <c r="HZ28" s="57">
        <f t="shared" si="90"/>
        <v>0</v>
      </c>
      <c r="IA28" s="57">
        <f t="shared" si="263"/>
        <v>0</v>
      </c>
      <c r="IB28" s="57">
        <f t="shared" si="264"/>
        <v>0</v>
      </c>
      <c r="IC28" s="57">
        <f t="shared" si="265"/>
        <v>0</v>
      </c>
      <c r="ID28" s="57">
        <f t="shared" si="266"/>
        <v>0</v>
      </c>
      <c r="IE28" s="1029">
        <f t="shared" si="91"/>
        <v>0</v>
      </c>
      <c r="IF28" s="57">
        <f t="shared" si="92"/>
        <v>0</v>
      </c>
      <c r="IG28" s="171" t="str">
        <f t="shared" si="93"/>
        <v/>
      </c>
      <c r="IH28" s="57">
        <f t="shared" si="267"/>
        <v>0</v>
      </c>
      <c r="II28" s="57">
        <f>IF(OR(AND(HW$6=1,$L28=0),AND(HW$6=2,$K28=2,$G28=1)),0,IF(AND(HY$9=2,(OR($F28&gt;1,$K28=1,AND($L28=80,OR($N28=1,AND($N28=2,'#BerechnungDBE'!$AL19&gt;0)))))),IF(HW$4&gt;=$AD$126,0,IG28),IF(HY$9=3,IF(OR(HW$4&gt;=$AD$127,AND($G28=1,$J28=2,HW$6=2),AND(HW$6=1,$N28&lt;&gt;1)),0,IF(IA28&lt;=120,IG28,IF(HW$4&lt;$AD$124,IF($F28=1,60/HY$4*HY$6,60/HY$4*HY$7),IF($F28=1,120/HY$4*HY$6,120/HY$4*HY$7)))),IF(OR($F28=3,$G28=2),IF(OR(AND(HW$4&gt;=$AD$119,$C28=2),AND(HW$4&gt;=$AF$119,$C28=1)),0,IF(IA28&lt;=60,IG28,60/HY$4*HY$7)),IF(AND($F28=2,$G28=1),IG28,0)))))</f>
        <v>0</v>
      </c>
      <c r="IJ28" s="57" t="str">
        <f t="shared" si="94"/>
        <v/>
      </c>
      <c r="IK28" s="57" t="str">
        <f t="shared" si="95"/>
        <v/>
      </c>
      <c r="IL28" s="713">
        <f>'org. Düngung 22'!BP27</f>
        <v>0</v>
      </c>
      <c r="IM28" s="57"/>
      <c r="IN28" s="57"/>
      <c r="IO28" s="57">
        <f t="shared" si="96"/>
        <v>0</v>
      </c>
      <c r="IP28" s="57">
        <f t="shared" si="268"/>
        <v>0</v>
      </c>
      <c r="IQ28" s="57">
        <f t="shared" si="269"/>
        <v>0</v>
      </c>
      <c r="IR28" s="57">
        <f t="shared" si="270"/>
        <v>0</v>
      </c>
      <c r="IS28" s="57">
        <f t="shared" si="271"/>
        <v>0</v>
      </c>
      <c r="IT28" s="1029">
        <f t="shared" si="97"/>
        <v>0</v>
      </c>
      <c r="IU28" s="57">
        <f t="shared" si="98"/>
        <v>0</v>
      </c>
      <c r="IV28" s="171" t="str">
        <f t="shared" si="99"/>
        <v/>
      </c>
      <c r="IW28" s="57">
        <f t="shared" si="272"/>
        <v>0</v>
      </c>
      <c r="IX28" s="57">
        <f>IF(OR(AND(IL$6=1,$L28=0),AND(IL$6=2,$K28=2,$G28=1)),0,IF(AND(IN$9=2,(OR($F28&gt;1,$K28=1,AND($L28=80,OR($N28=1,AND($N28=2,'#BerechnungDBE'!$AL19&gt;0)))))),IF(IL$4&gt;=$AD$126,0,IV28),IF(IN$9=3,IF(OR(IL$4&gt;=$AD$127,AND($G28=1,$J28=2,IL$6=2),AND(IL$6=1,$N28&lt;&gt;1)),0,IF(IP28&lt;=120,IV28,IF(IL$4&lt;$AD$124,IF($F28=1,60/IN$4*IN$6,60/IN$4*IN$7),IF($F28=1,120/IN$4*IN$6,120/IN$4*IN$7)))),IF(OR($F28=3,$G28=2),IF(OR(AND(IL$4&gt;=$AD$119,$C28=2),AND(IL$4&gt;=$AF$119,$C28=1)),0,IF(IP28&lt;=60,IV28,60/IN$4*IN$7)),IF(AND($F28=2,$G28=1),IV28,0)))))</f>
        <v>0</v>
      </c>
      <c r="IY28" s="57" t="str">
        <f t="shared" si="100"/>
        <v/>
      </c>
      <c r="IZ28" s="57" t="str">
        <f t="shared" si="101"/>
        <v/>
      </c>
      <c r="JA28" s="713">
        <f>'org. Düngung 22'!BT27</f>
        <v>0</v>
      </c>
      <c r="JB28" s="57"/>
      <c r="JC28" s="57"/>
      <c r="JD28" s="57">
        <f t="shared" si="102"/>
        <v>0</v>
      </c>
      <c r="JE28" s="57">
        <f t="shared" si="273"/>
        <v>0</v>
      </c>
      <c r="JF28" s="57">
        <f t="shared" si="274"/>
        <v>0</v>
      </c>
      <c r="JG28" s="57">
        <f t="shared" si="275"/>
        <v>0</v>
      </c>
      <c r="JH28" s="57">
        <f t="shared" si="276"/>
        <v>0</v>
      </c>
      <c r="JI28" s="1029">
        <f t="shared" si="103"/>
        <v>0</v>
      </c>
      <c r="JJ28" s="57">
        <f t="shared" si="104"/>
        <v>0</v>
      </c>
      <c r="JK28" s="171" t="str">
        <f t="shared" si="105"/>
        <v/>
      </c>
      <c r="JL28" s="57">
        <f t="shared" si="277"/>
        <v>0</v>
      </c>
      <c r="JM28" s="57">
        <f>IF(OR(AND(JA$6=1,$L28=0),AND(JA$6=2,$K28=2,$G28=1)),0,IF(AND(JC$9=2,(OR($F28&gt;1,$K28=1,AND($L28=80,OR($N28=1,AND($N28=2,'#BerechnungDBE'!$AL19&gt;0)))))),IF(JA$4&gt;=$AD$126,0,JK28),IF(JC$9=3,IF(OR(JA$4&gt;=$AD$127,AND($G28=1,$J28=2,JA$6=2),AND(JA$6=1,$N28&lt;&gt;1)),0,IF(JE28&lt;=120,JK28,IF(JA$4&lt;$AD$124,IF($F28=1,60/JC$4*JC$6,60/JC$4*JC$7),IF($F28=1,120/JC$4*JC$6,120/JC$4*JC$7)))),IF(OR($F28=3,$G28=2),IF(OR(AND(JA$4&gt;=$AD$119,$C28=2),AND(JA$4&gt;=$AF$119,$C28=1)),0,IF(JE28&lt;=60,JK28,60/JC$4*JC$7)),IF(AND($F28=2,$G28=1),JK28,0)))))</f>
        <v>0</v>
      </c>
      <c r="JN28" s="57" t="str">
        <f t="shared" si="106"/>
        <v/>
      </c>
      <c r="JO28" s="57" t="str">
        <f t="shared" si="107"/>
        <v/>
      </c>
      <c r="JP28" s="713">
        <f>'org. Düngung 22'!BX27</f>
        <v>0</v>
      </c>
      <c r="JQ28" s="57"/>
      <c r="JR28" s="57"/>
      <c r="JS28" s="57">
        <f t="shared" si="108"/>
        <v>0</v>
      </c>
      <c r="JT28" s="57">
        <f t="shared" si="278"/>
        <v>0</v>
      </c>
      <c r="JU28" s="57">
        <f t="shared" si="279"/>
        <v>0</v>
      </c>
      <c r="JV28" s="57">
        <f t="shared" si="280"/>
        <v>0</v>
      </c>
      <c r="JW28" s="57">
        <f t="shared" si="281"/>
        <v>0</v>
      </c>
      <c r="JX28" s="1029">
        <f t="shared" si="109"/>
        <v>0</v>
      </c>
      <c r="JY28" s="57">
        <f t="shared" si="110"/>
        <v>0</v>
      </c>
      <c r="JZ28" s="171" t="str">
        <f t="shared" si="111"/>
        <v/>
      </c>
      <c r="KA28" s="57">
        <f t="shared" si="282"/>
        <v>0</v>
      </c>
      <c r="KB28" s="57">
        <f>IF(OR(AND(JP$6=1,$L28=0),AND(JP$6=2,$K28=2,$G28=1)),0,IF(AND(JR$9=2,(OR($F28&gt;1,$K28=1,AND($L28=80,OR($N28=1,AND($N28=2,'#BerechnungDBE'!$AL19&gt;0)))))),IF(JP$4&gt;=$AD$126,0,JZ28),IF(JR$9=3,IF(OR(JP$4&gt;=$AD$127,AND($G28=1,$J28=2,JP$6=2),AND(JP$6=1,$N28&lt;&gt;1)),0,IF(JT28&lt;=120,JZ28,IF(JP$4&lt;$AD$124,IF($F28=1,60/JR$4*JR$6,60/JR$4*JR$7),IF($F28=1,120/JR$4*JR$6,120/JR$4*JR$7)))),IF(OR($F28=3,$G28=2),IF(OR(AND(JP$4&gt;=$AD$119,$C28=2),AND(JP$4&gt;=$AF$119,$C28=1)),0,IF(JT28&lt;=60,JZ28,60/JR$4*JR$7)),IF(AND($F28=2,$G28=1),JZ28,0)))))</f>
        <v>0</v>
      </c>
      <c r="KC28" s="57" t="str">
        <f t="shared" si="112"/>
        <v/>
      </c>
      <c r="KD28" s="57" t="str">
        <f t="shared" si="113"/>
        <v/>
      </c>
      <c r="KE28" s="713">
        <f>'org. Düngung 22'!CB27</f>
        <v>0</v>
      </c>
      <c r="KF28" s="57"/>
      <c r="KG28" s="57"/>
      <c r="KH28" s="57">
        <f t="shared" si="114"/>
        <v>0</v>
      </c>
      <c r="KI28" s="57">
        <f t="shared" si="283"/>
        <v>0</v>
      </c>
      <c r="KJ28" s="57">
        <f t="shared" si="284"/>
        <v>0</v>
      </c>
      <c r="KK28" s="57">
        <f t="shared" si="285"/>
        <v>0</v>
      </c>
      <c r="KL28" s="57">
        <f t="shared" si="286"/>
        <v>0</v>
      </c>
      <c r="KM28" s="1029">
        <f t="shared" si="115"/>
        <v>0</v>
      </c>
      <c r="KN28" s="57">
        <f t="shared" si="116"/>
        <v>0</v>
      </c>
      <c r="KO28" s="171" t="str">
        <f t="shared" si="117"/>
        <v/>
      </c>
      <c r="KP28" s="57">
        <f t="shared" si="287"/>
        <v>0</v>
      </c>
      <c r="KQ28" s="57">
        <f>IF(OR(AND(KE$6=1,$L28=0),AND(KE$6=2,$K28=2,$G28=1)),0,IF(AND(KG$9=2,(OR($F28&gt;1,$K28=1,AND($L28=80,OR($N28=1,AND($N28=2,'#BerechnungDBE'!$AL19&gt;0)))))),IF(KE$4&gt;=$AD$126,0,KO28),IF(KG$9=3,IF(OR(KE$4&gt;=$AD$127,AND($G28=1,$J28=2,KE$6=2),AND(KE$6=1,$N28&lt;&gt;1)),0,IF(KI28&lt;=120,KO28,IF(KE$4&lt;$AD$124,IF($F28=1,60/KG$4*KG$6,60/KG$4*KG$7),IF($F28=1,120/KG$4*KG$6,120/KG$4*KG$7)))),IF(OR($F28=3,$G28=2),IF(OR(AND(KE$4&gt;=$AD$119,$C28=2),AND(KE$4&gt;=$AF$119,$C28=1)),0,IF(KI28&lt;=60,KO28,60/KG$4*KG$7)),IF(AND($F28=2,$G28=1),KO28,0)))))</f>
        <v>0</v>
      </c>
      <c r="KR28" s="57" t="str">
        <f t="shared" si="118"/>
        <v/>
      </c>
      <c r="KS28" s="57" t="str">
        <f t="shared" si="119"/>
        <v/>
      </c>
      <c r="KT28" s="713">
        <f>'org. Düngung 22'!CF27</f>
        <v>0</v>
      </c>
      <c r="KU28" s="57"/>
      <c r="KV28" s="57"/>
      <c r="KW28" s="57">
        <f t="shared" si="120"/>
        <v>0</v>
      </c>
      <c r="KX28" s="57">
        <f t="shared" si="288"/>
        <v>0</v>
      </c>
      <c r="KY28" s="57">
        <f t="shared" si="289"/>
        <v>0</v>
      </c>
      <c r="KZ28" s="57">
        <f t="shared" si="290"/>
        <v>0</v>
      </c>
      <c r="LA28" s="57">
        <f t="shared" si="291"/>
        <v>0</v>
      </c>
      <c r="LB28" s="1029">
        <f t="shared" si="121"/>
        <v>0</v>
      </c>
      <c r="LC28" s="57">
        <f t="shared" si="122"/>
        <v>0</v>
      </c>
      <c r="LD28" s="171" t="str">
        <f t="shared" si="123"/>
        <v/>
      </c>
      <c r="LE28" s="57">
        <f t="shared" si="292"/>
        <v>0</v>
      </c>
      <c r="LF28" s="57">
        <f>IF(OR(AND(KT$6=1,$L28=0),AND(KT$6=2,$K28=2,$G28=1)),0,IF(AND(KV$9=2,(OR($F28&gt;1,$K28=1,AND($L28=80,OR($N28=1,AND($N28=2,'#BerechnungDBE'!$AL19&gt;0)))))),IF(KT$4&gt;=$AD$126,0,LD28),IF(KV$9=3,IF(OR(KT$4&gt;=$AD$127,AND($G28=1,$J28=2,KT$6=2),AND(KT$6=1,$N28&lt;&gt;1)),0,IF(KX28&lt;=120,LD28,IF(KT$4&lt;$AD$124,IF($F28=1,60/KV$4*KV$6,60/KV$4*KV$7),IF($F28=1,120/KV$4*KV$6,120/KV$4*KV$7)))),IF(OR($F28=3,$G28=2),IF(OR(AND(KT$4&gt;=$AD$119,$C28=2),AND(KT$4&gt;=$AF$119,$C28=1)),0,IF(KX28&lt;=60,LD28,60/KV$4*KV$7)),IF(AND($F28=2,$G28=1),LD28,0)))))</f>
        <v>0</v>
      </c>
      <c r="LG28" s="57" t="str">
        <f t="shared" si="124"/>
        <v/>
      </c>
      <c r="LH28" s="57" t="str">
        <f t="shared" si="125"/>
        <v/>
      </c>
      <c r="LI28" s="713">
        <f>'org. Düngung 22'!CJ27</f>
        <v>0</v>
      </c>
      <c r="LJ28" s="57"/>
      <c r="LK28" s="57"/>
      <c r="LL28" s="57">
        <f t="shared" si="126"/>
        <v>0</v>
      </c>
      <c r="LM28" s="57">
        <f t="shared" si="293"/>
        <v>0</v>
      </c>
      <c r="LN28" s="57">
        <f t="shared" si="294"/>
        <v>0</v>
      </c>
      <c r="LO28" s="57">
        <f t="shared" si="295"/>
        <v>0</v>
      </c>
      <c r="LP28" s="57">
        <f t="shared" si="296"/>
        <v>0</v>
      </c>
      <c r="LQ28" s="1029">
        <f t="shared" si="127"/>
        <v>0</v>
      </c>
      <c r="LR28" s="57">
        <f t="shared" si="128"/>
        <v>0</v>
      </c>
      <c r="LS28" s="171" t="str">
        <f t="shared" si="129"/>
        <v/>
      </c>
      <c r="LT28" s="57">
        <f t="shared" si="297"/>
        <v>0</v>
      </c>
      <c r="LU28" s="57">
        <f>IF(OR(AND(LI$6=1,$L28=0),AND(LI$6=2,$K28=2,$G28=1)),0,IF(AND(LK$9=2,(OR($F28&gt;1,$K28=1,AND($L28=80,OR($N28=1,AND($N28=2,'#BerechnungDBE'!$AL19&gt;0)))))),IF(LI$4&gt;=$AD$126,0,LS28),IF(LK$9=3,IF(OR(LI$4&gt;=$AD$127,AND($G28=1,$J28=2,LI$6=2),AND(LI$6=1,$N28&lt;&gt;1)),0,IF(LM28&lt;=120,LS28,IF(LI$4&lt;$AD$124,IF($F28=1,60/LK$4*LK$6,60/LK$4*LK$7),IF($F28=1,120/LK$4*LK$6,120/LK$4*LK$7)))),IF(OR($F28=3,$G28=2),IF(OR(AND(LI$4&gt;=$AD$119,$C28=2),AND(LI$4&gt;=$AF$119,$C28=1)),0,IF(LM28&lt;=60,LS28,60/LK$4*LK$7)),IF(AND($F28=2,$G28=1),LS28,0)))))</f>
        <v>0</v>
      </c>
      <c r="LV28" s="57" t="str">
        <f t="shared" si="130"/>
        <v/>
      </c>
      <c r="LW28" s="57" t="str">
        <f t="shared" si="131"/>
        <v/>
      </c>
      <c r="LX28" s="713">
        <f>'org. Düngung 22'!CN27</f>
        <v>0</v>
      </c>
      <c r="LY28" s="57"/>
      <c r="LZ28" s="57"/>
      <c r="MA28" s="57">
        <f t="shared" si="132"/>
        <v>0</v>
      </c>
      <c r="MB28" s="57">
        <f t="shared" si="298"/>
        <v>0</v>
      </c>
      <c r="MC28" s="57">
        <f t="shared" si="299"/>
        <v>0</v>
      </c>
      <c r="MD28" s="57">
        <f t="shared" si="300"/>
        <v>0</v>
      </c>
      <c r="ME28" s="57">
        <f t="shared" si="301"/>
        <v>0</v>
      </c>
      <c r="MF28" s="1029">
        <f t="shared" si="133"/>
        <v>0</v>
      </c>
      <c r="MG28" s="57">
        <f t="shared" si="134"/>
        <v>0</v>
      </c>
      <c r="MH28" s="171" t="str">
        <f t="shared" si="135"/>
        <v/>
      </c>
      <c r="MI28" s="57">
        <f t="shared" si="302"/>
        <v>0</v>
      </c>
      <c r="MJ28" s="57">
        <f>IF(OR(AND(LX$6=1,$L28=0),AND(LX$6=2,$K28=2,$G28=1)),0,IF(AND(LZ$9=2,(OR($F28&gt;1,$K28=1,AND($L28=80,OR($N28=1,AND($N28=2,'#BerechnungDBE'!$AL19&gt;0)))))),IF(LX$4&gt;=$AD$126,0,MH28),IF(LZ$9=3,IF(OR(LX$4&gt;=$AD$127,AND($G28=1,$J28=2,LX$6=2),AND(LX$6=1,$N28&lt;&gt;1)),0,IF(MB28&lt;=120,MH28,IF(LX$4&lt;$AD$124,IF($F28=1,60/LZ$4*LZ$6,60/LZ$4*LZ$7),IF($F28=1,120/LZ$4*LZ$6,120/LZ$4*LZ$7)))),IF(OR($F28=3,$G28=2),IF(OR(AND(LX$4&gt;=$AD$119,$C28=2),AND(LX$4&gt;=$AF$119,$C28=1)),0,IF(MB28&lt;=60,MH28,60/LZ$4*LZ$7)),IF(AND($F28=2,$G28=1),MH28,0)))))</f>
        <v>0</v>
      </c>
      <c r="MK28" s="57" t="str">
        <f t="shared" si="136"/>
        <v/>
      </c>
      <c r="ML28" s="57" t="str">
        <f t="shared" si="137"/>
        <v/>
      </c>
      <c r="MM28" s="713">
        <f>'org. Düngung 22'!CR27</f>
        <v>0</v>
      </c>
      <c r="MN28" s="57"/>
      <c r="MO28" s="57"/>
      <c r="MP28" s="57">
        <f t="shared" si="138"/>
        <v>0</v>
      </c>
      <c r="MQ28" s="57">
        <f t="shared" si="303"/>
        <v>0</v>
      </c>
      <c r="MR28" s="57">
        <f t="shared" si="304"/>
        <v>0</v>
      </c>
      <c r="MS28" s="57">
        <f t="shared" si="305"/>
        <v>0</v>
      </c>
      <c r="MT28" s="57">
        <f t="shared" si="306"/>
        <v>0</v>
      </c>
      <c r="MU28" s="1029">
        <f t="shared" si="139"/>
        <v>0</v>
      </c>
      <c r="MV28" s="57">
        <f t="shared" si="140"/>
        <v>0</v>
      </c>
      <c r="MW28" s="171" t="str">
        <f t="shared" si="141"/>
        <v/>
      </c>
      <c r="MX28" s="57">
        <f t="shared" si="307"/>
        <v>0</v>
      </c>
      <c r="MY28" s="57">
        <f>IF(OR(AND(MM$6=1,$L28=0),AND(MM$6=2,$K28=2,$G28=1)),0,IF(AND(MO$9=2,(OR($F28&gt;1,$K28=1,AND($L28=80,OR($N28=1,AND($N28=2,'#BerechnungDBE'!$AL19&gt;0)))))),IF(MM$4&gt;=$AD$126,0,MW28),IF(MO$9=3,IF(OR(MM$4&gt;=$AD$127,AND($G28=1,$J28=2,MM$6=2),AND(MM$6=1,$N28&lt;&gt;1)),0,IF(MQ28&lt;=120,MW28,IF(MM$4&lt;$AD$124,IF($F28=1,60/MO$4*MO$6,60/MO$4*MO$7),IF($F28=1,120/MO$4*MO$6,120/MO$4*MO$7)))),IF(OR($F28=3,$G28=2),IF(OR(AND(MM$4&gt;=$AD$119,$C28=2),AND(MM$4&gt;=$AF$119,$C28=1)),0,IF(MQ28&lt;=60,MW28,60/MO$4*MO$7)),IF(AND($F28=2,$G28=1),MW28,0)))))</f>
        <v>0</v>
      </c>
      <c r="MZ28" s="57" t="str">
        <f t="shared" si="142"/>
        <v/>
      </c>
      <c r="NA28" s="57" t="str">
        <f t="shared" si="143"/>
        <v/>
      </c>
      <c r="NB28" s="713">
        <f>'org. Düngung 22'!CV27</f>
        <v>0</v>
      </c>
      <c r="NC28" s="57"/>
      <c r="ND28" s="57"/>
      <c r="NE28" s="57">
        <f t="shared" si="144"/>
        <v>0</v>
      </c>
      <c r="NF28" s="57">
        <f t="shared" si="308"/>
        <v>0</v>
      </c>
      <c r="NG28" s="57">
        <f t="shared" si="309"/>
        <v>0</v>
      </c>
      <c r="NH28" s="57">
        <f t="shared" si="310"/>
        <v>0</v>
      </c>
      <c r="NI28" s="57">
        <f t="shared" si="311"/>
        <v>0</v>
      </c>
      <c r="NJ28" s="1029">
        <f t="shared" si="145"/>
        <v>0</v>
      </c>
      <c r="NK28" s="57">
        <f t="shared" si="146"/>
        <v>0</v>
      </c>
      <c r="NL28" s="171" t="str">
        <f t="shared" si="147"/>
        <v/>
      </c>
      <c r="NM28" s="57">
        <f t="shared" si="312"/>
        <v>0</v>
      </c>
      <c r="NN28" s="57">
        <f>IF(OR(AND(NB$6=1,$L28=0),AND(NB$6=2,$K28=2,$G28=1)),0,IF(AND(ND$9=2,(OR($F28&gt;1,$K28=1,AND($L28=80,OR($N28=1,AND($N28=2,'#BerechnungDBE'!$AL19&gt;0)))))),IF(NB$4&gt;=$AD$126,0,NL28),IF(ND$9=3,IF(OR(NB$4&gt;=$AD$127,AND($G28=1,$J28=2,NB$6=2),AND(NB$6=1,$N28&lt;&gt;1)),0,IF(NF28&lt;=120,NL28,IF(NB$4&lt;$AD$124,IF($F28=1,60/ND$4*ND$6,60/ND$4*ND$7),IF($F28=1,120/ND$4*ND$6,120/ND$4*ND$7)))),IF(OR($F28=3,$G28=2),IF(OR(AND(NB$4&gt;=$AD$119,$C28=2),AND(NB$4&gt;=$AF$119,$C28=1)),0,IF(NF28&lt;=60,NL28,60/ND$4*ND$7)),IF(AND($F28=2,$G28=1),NL28,0)))))</f>
        <v>0</v>
      </c>
      <c r="NO28" s="57" t="str">
        <f t="shared" si="148"/>
        <v/>
      </c>
      <c r="NP28" s="57" t="str">
        <f t="shared" si="149"/>
        <v/>
      </c>
      <c r="NQ28" s="713">
        <f>'org. Düngung 22'!CZ27</f>
        <v>0</v>
      </c>
      <c r="NR28" s="57"/>
      <c r="NS28" s="57"/>
      <c r="NT28" s="57">
        <f t="shared" si="150"/>
        <v>0</v>
      </c>
      <c r="NU28" s="57">
        <f t="shared" si="313"/>
        <v>0</v>
      </c>
      <c r="NV28" s="57">
        <f t="shared" si="314"/>
        <v>0</v>
      </c>
      <c r="NW28" s="57">
        <f t="shared" si="315"/>
        <v>0</v>
      </c>
      <c r="NX28" s="57">
        <f t="shared" si="316"/>
        <v>0</v>
      </c>
      <c r="NY28" s="1029">
        <f t="shared" si="151"/>
        <v>0</v>
      </c>
      <c r="NZ28" s="57">
        <f t="shared" si="152"/>
        <v>0</v>
      </c>
      <c r="OA28" s="171" t="str">
        <f t="shared" si="153"/>
        <v/>
      </c>
      <c r="OB28" s="57">
        <f t="shared" si="317"/>
        <v>0</v>
      </c>
      <c r="OC28" s="57">
        <f>IF(OR(AND(NQ$6=1,$L28=0),AND(NQ$6=2,$K28=2,$G28=1)),0,IF(AND(NS$9=2,(OR($F28&gt;1,$K28=1,AND($L28=80,OR($N28=1,AND($N28=2,'#BerechnungDBE'!$AL19&gt;0)))))),IF(NQ$4&gt;=$AD$126,0,OA28),IF(NS$9=3,IF(OR(NQ$4&gt;=$AD$127,AND($G28=1,$J28=2,NQ$6=2),AND(NQ$6=1,$N28&lt;&gt;1)),0,IF(NU28&lt;=120,OA28,IF(NQ$4&lt;$AD$124,IF($F28=1,60/NS$4*NS$6,60/NS$4*NS$7),IF($F28=1,120/NS$4*NS$6,120/NS$4*NS$7)))),IF(OR($F28=3,$G28=2),IF(OR(AND(NQ$4&gt;=$AD$119,$C28=2),AND(NQ$4&gt;=$AF$119,$C28=1)),0,IF(NU28&lt;=60,OA28,60/NS$4*NS$7)),IF(AND($F28=2,$G28=1),OA28,0)))))</f>
        <v>0</v>
      </c>
      <c r="OD28" s="57" t="str">
        <f t="shared" si="154"/>
        <v/>
      </c>
      <c r="OE28" s="57" t="str">
        <f t="shared" si="155"/>
        <v/>
      </c>
      <c r="OF28" s="713">
        <f>'org. Düngung 22'!DD27</f>
        <v>0</v>
      </c>
      <c r="OG28" s="57"/>
      <c r="OH28" s="57"/>
      <c r="OI28" s="57">
        <f t="shared" si="156"/>
        <v>0</v>
      </c>
      <c r="OJ28" s="57">
        <f t="shared" si="318"/>
        <v>0</v>
      </c>
      <c r="OK28" s="57">
        <f t="shared" si="319"/>
        <v>0</v>
      </c>
      <c r="OL28" s="57">
        <f t="shared" si="320"/>
        <v>0</v>
      </c>
      <c r="OM28" s="57">
        <f t="shared" si="321"/>
        <v>0</v>
      </c>
      <c r="ON28" s="1029">
        <f t="shared" si="157"/>
        <v>0</v>
      </c>
      <c r="OO28" s="57">
        <f t="shared" si="158"/>
        <v>0</v>
      </c>
      <c r="OP28" s="171" t="str">
        <f t="shared" si="159"/>
        <v/>
      </c>
      <c r="OQ28" s="57">
        <f t="shared" si="322"/>
        <v>0</v>
      </c>
      <c r="OR28" s="57">
        <f>IF(OR(AND(OF$6=1,$L28=0),AND(OF$6=2,$K28=2,$G28=1)),0,IF(AND(OH$9=2,(OR($F28&gt;1,$K28=1,AND($L28=80,OR($N28=1,AND($N28=2,'#BerechnungDBE'!$AL19&gt;0)))))),IF(OF$4&gt;=$AD$126,0,OP28),IF(OH$9=3,IF(OR(OF$4&gt;=$AD$127,AND($G28=1,$J28=2,OF$6=2),AND(OF$6=1,$N28&lt;&gt;1)),0,IF(OJ28&lt;=120,OP28,IF(OF$4&lt;$AD$124,IF($F28=1,60/OH$4*OH$6,60/OH$4*OH$7),IF($F28=1,120/OH$4*OH$6,120/OH$4*OH$7)))),IF(OR($F28=3,$G28=2),IF(OR(AND(OF$4&gt;=$AD$119,$C28=2),AND(OF$4&gt;=$AF$119,$C28=1)),0,IF(OJ28&lt;=60,OP28,60/OH$4*OH$7)),IF(AND($F28=2,$G28=1),OP28,0)))))</f>
        <v>0</v>
      </c>
      <c r="OS28" s="57" t="str">
        <f t="shared" si="160"/>
        <v/>
      </c>
      <c r="OT28" s="57" t="str">
        <f t="shared" si="161"/>
        <v/>
      </c>
      <c r="OU28" s="713">
        <f>'org. Düngung 22'!DH27</f>
        <v>0</v>
      </c>
      <c r="OV28" s="57"/>
      <c r="OW28" s="57"/>
      <c r="OX28" s="57">
        <f t="shared" si="162"/>
        <v>0</v>
      </c>
      <c r="OY28" s="57">
        <f t="shared" si="323"/>
        <v>0</v>
      </c>
      <c r="OZ28" s="57">
        <f t="shared" si="324"/>
        <v>0</v>
      </c>
      <c r="PA28" s="57">
        <f t="shared" si="325"/>
        <v>0</v>
      </c>
      <c r="PB28" s="57">
        <f t="shared" si="326"/>
        <v>0</v>
      </c>
      <c r="PC28" s="1029">
        <f t="shared" si="163"/>
        <v>0</v>
      </c>
      <c r="PD28" s="57">
        <f t="shared" si="164"/>
        <v>0</v>
      </c>
      <c r="PE28" s="171" t="str">
        <f t="shared" si="165"/>
        <v/>
      </c>
      <c r="PF28" s="57">
        <f t="shared" si="327"/>
        <v>0</v>
      </c>
      <c r="PG28" s="57">
        <f>IF(OR(AND(OU$6=1,$L28=0),AND(OU$6=2,$K28=2,$G28=1)),0,IF(AND(OW$9=2,(OR($F28&gt;1,$K28=1,AND($L28=80,OR($N28=1,AND($N28=2,'#BerechnungDBE'!$AL19&gt;0)))))),IF(OU$4&gt;=$AD$126,0,PE28),IF(OW$9=3,IF(OR(OU$4&gt;=$AD$127,AND($G28=1,$J28=2,OU$6=2),AND(OU$6=1,$N28&lt;&gt;1)),0,IF(OY28&lt;=120,PE28,IF(OU$4&lt;$AD$124,IF($F28=1,60/OW$4*OW$6,60/OW$4*OW$7),IF($F28=1,120/OW$4*OW$6,120/OW$4*OW$7)))),IF(OR($F28=3,$G28=2),IF(OR(AND(OU$4&gt;=$AD$119,$C28=2),AND(OU$4&gt;=$AF$119,$C28=1)),0,IF(OY28&lt;=60,PE28,60/OW$4*OW$7)),IF(AND($F28=2,$G28=1),PE28,0)))))</f>
        <v>0</v>
      </c>
      <c r="PH28" s="57" t="str">
        <f t="shared" si="166"/>
        <v/>
      </c>
      <c r="PI28" s="57" t="str">
        <f t="shared" si="167"/>
        <v/>
      </c>
      <c r="PJ28" s="713">
        <f>'org. Düngung 22'!DL27</f>
        <v>0</v>
      </c>
      <c r="PK28" s="57"/>
      <c r="PL28" s="57"/>
      <c r="PM28" s="57">
        <f t="shared" si="168"/>
        <v>0</v>
      </c>
      <c r="PN28" s="57">
        <f t="shared" si="328"/>
        <v>0</v>
      </c>
      <c r="PO28" s="57">
        <f t="shared" si="329"/>
        <v>0</v>
      </c>
      <c r="PP28" s="57">
        <f t="shared" si="330"/>
        <v>0</v>
      </c>
      <c r="PQ28" s="57">
        <f t="shared" si="331"/>
        <v>0</v>
      </c>
      <c r="PR28" s="1029">
        <f t="shared" si="169"/>
        <v>0</v>
      </c>
      <c r="PS28" s="57">
        <f t="shared" si="170"/>
        <v>0</v>
      </c>
      <c r="PT28" s="171" t="str">
        <f t="shared" si="171"/>
        <v/>
      </c>
      <c r="PU28" s="57">
        <f t="shared" si="332"/>
        <v>0</v>
      </c>
      <c r="PV28" s="57">
        <f>IF(OR(AND(PJ$6=1,$L28=0),AND(PJ$6=2,$K28=2,$G28=1)),0,IF(AND(PL$9=2,(OR($F28&gt;1,$K28=1,AND($L28=80,OR($N28=1,AND($N28=2,'#BerechnungDBE'!$AL19&gt;0)))))),IF(PJ$4&gt;=$AD$126,0,PT28),IF(PL$9=3,IF(OR(PJ$4&gt;=$AD$127,AND($G28=1,$J28=2,PJ$6=2),AND(PJ$6=1,$N28&lt;&gt;1)),0,IF(PN28&lt;=120,PT28,IF(PJ$4&lt;$AD$124,IF($F28=1,60/PL$4*PL$6,60/PL$4*PL$7),IF($F28=1,120/PL$4*PL$6,120/PL$4*PL$7)))),IF(OR($F28=3,$G28=2),IF(OR(AND(PJ$4&gt;=$AD$119,$C28=2),AND(PJ$4&gt;=$AF$119,$C28=1)),0,IF(PN28&lt;=60,PT28,60/PL$4*PL$7)),IF(AND($F28=2,$G28=1),PT28,0)))))</f>
        <v>0</v>
      </c>
      <c r="PW28" s="57" t="str">
        <f t="shared" si="172"/>
        <v/>
      </c>
      <c r="PX28" s="57" t="str">
        <f t="shared" si="173"/>
        <v/>
      </c>
      <c r="PY28" s="713">
        <f>'org. Düngung 22'!DP27</f>
        <v>0</v>
      </c>
      <c r="PZ28" s="57"/>
      <c r="QA28" s="57"/>
      <c r="QB28" s="57">
        <f t="shared" si="174"/>
        <v>0</v>
      </c>
      <c r="QC28" s="57">
        <f t="shared" si="333"/>
        <v>0</v>
      </c>
      <c r="QD28" s="57">
        <f t="shared" si="334"/>
        <v>0</v>
      </c>
      <c r="QE28" s="57">
        <f t="shared" si="335"/>
        <v>0</v>
      </c>
      <c r="QF28" s="57">
        <f t="shared" si="336"/>
        <v>0</v>
      </c>
      <c r="QG28" s="1029">
        <f t="shared" si="175"/>
        <v>0</v>
      </c>
      <c r="QH28" s="57">
        <f t="shared" si="176"/>
        <v>0</v>
      </c>
      <c r="QI28" s="171" t="str">
        <f t="shared" si="177"/>
        <v/>
      </c>
      <c r="QJ28" s="57">
        <f t="shared" si="337"/>
        <v>0</v>
      </c>
      <c r="QK28" s="57">
        <f>IF(OR(AND(PY$6=1,$L28=0),AND(PY$6=2,$K28=2,$G28=1)),0,IF(AND(QA$9=2,(OR($F28&gt;1,$K28=1,AND($L28=80,OR($N28=1,AND($N28=2,'#BerechnungDBE'!$AL19&gt;0)))))),IF(PY$4&gt;=$AD$126,0,QI28),IF(QA$9=3,IF(OR(PY$4&gt;=$AD$127,AND($G28=1,$J28=2,PY$6=2),AND(PY$6=1,$N28&lt;&gt;1)),0,IF(QC28&lt;=120,QI28,IF(PY$4&lt;$AD$124,IF($F28=1,60/QA$4*QA$6,60/QA$4*QA$7),IF($F28=1,120/QA$4*QA$6,120/QA$4*QA$7)))),IF(OR($F28=3,$G28=2),IF(OR(AND(PY$4&gt;=$AD$119,$C28=2),AND(PY$4&gt;=$AF$119,$C28=1)),0,IF(QC28&lt;=60,QI28,60/QA$4*QA$7)),IF(AND($F28=2,$G28=1),QI28,0)))))</f>
        <v>0</v>
      </c>
      <c r="QL28" s="57" t="str">
        <f t="shared" si="178"/>
        <v/>
      </c>
      <c r="QM28" s="57" t="str">
        <f t="shared" si="179"/>
        <v/>
      </c>
      <c r="QN28" s="713">
        <f>'org. Düngung 22'!DT27</f>
        <v>0</v>
      </c>
      <c r="QO28" s="57"/>
      <c r="QP28" s="57"/>
      <c r="QQ28" s="57">
        <f t="shared" si="180"/>
        <v>0</v>
      </c>
      <c r="QR28" s="57">
        <f t="shared" si="338"/>
        <v>0</v>
      </c>
      <c r="QS28" s="57">
        <f t="shared" si="339"/>
        <v>0</v>
      </c>
      <c r="QT28" s="57">
        <f t="shared" si="340"/>
        <v>0</v>
      </c>
      <c r="QU28" s="57">
        <f t="shared" si="341"/>
        <v>0</v>
      </c>
      <c r="QV28" s="1029">
        <f t="shared" si="181"/>
        <v>0</v>
      </c>
      <c r="QW28" s="57">
        <f t="shared" si="182"/>
        <v>0</v>
      </c>
      <c r="QX28" s="171" t="str">
        <f t="shared" si="183"/>
        <v/>
      </c>
      <c r="QY28" s="57">
        <f t="shared" si="342"/>
        <v>0</v>
      </c>
      <c r="QZ28" s="57">
        <f>IF(OR(AND(QN$6=1,$L28=0),AND(QN$6=2,$K28=2,$G28=1)),0,IF(AND(QP$9=2,(OR($F28&gt;1,$K28=1,AND($L28=80,OR($N28=1,AND($N28=2,'#BerechnungDBE'!$AL19&gt;0)))))),IF(QN$4&gt;=$AD$126,0,QX28),IF(QP$9=3,IF(OR(QN$4&gt;=$AD$127,AND($G28=1,$J28=2,QN$6=2),AND(QN$6=1,$N28&lt;&gt;1)),0,IF(QR28&lt;=120,QX28,IF(QN$4&lt;$AD$124,IF($F28=1,60/QP$4*QP$6,60/QP$4*QP$7),IF($F28=1,120/QP$4*QP$6,120/QP$4*QP$7)))),IF(OR($F28=3,$G28=2),IF(OR(AND(QN$4&gt;=$AD$119,$C28=2),AND(QN$4&gt;=$AF$119,$C28=1)),0,IF(QR28&lt;=60,QX28,60/QP$4*QP$7)),IF(AND($F28=2,$G28=1),QX28,0)))))</f>
        <v>0</v>
      </c>
      <c r="RA28" s="57" t="str">
        <f t="shared" si="184"/>
        <v/>
      </c>
      <c r="RB28" s="57" t="str">
        <f t="shared" si="185"/>
        <v/>
      </c>
      <c r="RC28" s="713">
        <f>'org. Düngung 22'!DX27</f>
        <v>0</v>
      </c>
      <c r="RD28" s="57"/>
      <c r="RE28" s="57"/>
      <c r="RF28" s="57">
        <f t="shared" si="186"/>
        <v>0</v>
      </c>
      <c r="RG28" s="57">
        <f t="shared" si="343"/>
        <v>0</v>
      </c>
      <c r="RH28" s="57">
        <f t="shared" si="344"/>
        <v>0</v>
      </c>
      <c r="RI28" s="57">
        <f t="shared" si="345"/>
        <v>0</v>
      </c>
      <c r="RJ28" s="57">
        <f t="shared" si="346"/>
        <v>0</v>
      </c>
      <c r="RK28" s="1029">
        <f t="shared" si="187"/>
        <v>0</v>
      </c>
      <c r="RL28" s="57">
        <f t="shared" si="188"/>
        <v>0</v>
      </c>
      <c r="RM28" s="171" t="str">
        <f t="shared" si="189"/>
        <v/>
      </c>
      <c r="RN28" s="57">
        <f t="shared" si="347"/>
        <v>0</v>
      </c>
      <c r="RO28" s="57">
        <f>IF(OR(AND(RC$6=1,$L28=0),AND(RC$6=2,$K28=2,$G28=1)),0,IF(AND(RE$9=2,(OR($F28&gt;1,$K28=1,AND($L28=80,OR($N28=1,AND($N28=2,'#BerechnungDBE'!$AL19&gt;0)))))),IF(RC$4&gt;=$AD$126,0,RM28),IF(RE$9=3,IF(OR(RC$4&gt;=$AD$127,AND($G28=1,$J28=2,RC$6=2),AND(RC$6=1,$N28&lt;&gt;1)),0,IF(RG28&lt;=120,RM28,IF(RC$4&lt;$AD$124,IF($F28=1,60/RE$4*RE$6,60/RE$4*RE$7),IF($F28=1,120/RE$4*RE$6,120/RE$4*RE$7)))),IF(OR($F28=3,$G28=2),IF(OR(AND(RC$4&gt;=$AD$119,$C28=2),AND(RC$4&gt;=$AF$119,$C28=1)),0,IF(RG28&lt;=60,RM28,60/RE$4*RE$7)),IF(AND($F28=2,$G28=1),RM28,0)))))</f>
        <v>0</v>
      </c>
      <c r="RP28" s="57" t="str">
        <f t="shared" si="190"/>
        <v/>
      </c>
      <c r="RQ28" s="57" t="str">
        <f t="shared" si="191"/>
        <v/>
      </c>
      <c r="RS28" s="57" t="str">
        <f t="shared" si="348"/>
        <v/>
      </c>
      <c r="RT28" s="57" t="str">
        <f t="shared" si="192"/>
        <v/>
      </c>
      <c r="RU28" s="57" t="str">
        <f t="shared" si="193"/>
        <v/>
      </c>
      <c r="RV28" s="57" t="str">
        <f>IF(Z28&gt;'#BerechnungDBE'!BM19,$RV$9,"")</f>
        <v/>
      </c>
      <c r="RW28" s="57" t="str">
        <f>IF(AND(L28=70,AE28&gt;'#BerechnungDBE'!CQ19),$RW$9,"")</f>
        <v/>
      </c>
      <c r="RX28" s="57" t="str">
        <f>IF(OR('org. Düngung 22'!G27="--",'org. Düngung 22'!G27&lt;=170,'org. Düngung 22'!G27=""),"",$RX$9)</f>
        <v/>
      </c>
      <c r="RY28" s="57" t="str">
        <f>IF('org. Düngung 22'!K27&gt;120,'#orgDung'!$RY$9,"")</f>
        <v/>
      </c>
      <c r="RZ28" s="57" t="str">
        <f>IF('#BerechnungDBE'!P19&lt;4,"",IF(AND('#BerechnungDBE'!BZ19&gt;0,T28&gt;0),'#orgDung'!$RZ$9,""))</f>
        <v/>
      </c>
      <c r="SA28" s="57" t="str">
        <f t="shared" si="194"/>
        <v/>
      </c>
    </row>
    <row r="29" spans="1:495" s="875" customFormat="1" x14ac:dyDescent="0.2">
      <c r="A29" s="875">
        <f>'Flächen u. Kulturen'!A25</f>
        <v>16</v>
      </c>
      <c r="B29" s="367">
        <f>'#BerechnungDBE'!L20</f>
        <v>0</v>
      </c>
      <c r="C29" s="875">
        <f>'#BerechnungDBE'!R20</f>
        <v>1</v>
      </c>
      <c r="D29" s="875">
        <f>'#BerechnungDBE'!T20</f>
        <v>2</v>
      </c>
      <c r="E29" s="875" t="str">
        <f>'Flächen u. Kulturen'!E25</f>
        <v>x</v>
      </c>
      <c r="F29" s="52">
        <f>'#BerechnungDBE'!N20</f>
        <v>1</v>
      </c>
      <c r="G29" s="52">
        <f>'#BerechnungDBE'!O20</f>
        <v>1</v>
      </c>
      <c r="H29" s="875">
        <f>IF('Flächen u. Kulturen'!P25="",0,VLOOKUP('Flächen u. Kulturen'!P25,Kulturen[[HF]:[Berechnungsgruppe]],'#Frucht'!$H$1,FALSE))</f>
        <v>0</v>
      </c>
      <c r="I29" s="875">
        <f>IF('Flächen u. Kulturen'!J25="",0,VLOOKUP('Flächen u. Kulturen'!J25,Kulturen[[HF]:[Berechnungsgruppe]],'#Frucht'!$G$1,FALSE))</f>
        <v>90</v>
      </c>
      <c r="J29" s="505">
        <f t="shared" si="195"/>
        <v>2</v>
      </c>
      <c r="K29" s="505">
        <f>IF('Flächen u. Kulturen'!P25="",0,IF(VLOOKUP('Flächen u. Kulturen'!P25,Kulturen[[HF]:[Saat Winterungen]],'#Frucht'!$P$1,FALSE)&gt;0,1,2))</f>
        <v>2</v>
      </c>
      <c r="L29" s="875">
        <f>'#BerechnungDBE'!AF20</f>
        <v>0</v>
      </c>
      <c r="M29" s="875">
        <f>IF('Flächen u. Kulturen'!L25="",0,VLOOKUP('Flächen u. Kulturen'!L25,Nebenkultur[[Nebenkultur]:[Legum. Zwischenfr.]],'#Zweitfr'!$K$1,FALSE))</f>
        <v>0</v>
      </c>
      <c r="N29" s="875">
        <f>'#BerechnungDBE'!AG20</f>
        <v>0</v>
      </c>
      <c r="P29" s="57">
        <f t="shared" si="0"/>
        <v>0</v>
      </c>
      <c r="Q29" s="57">
        <f t="shared" si="1"/>
        <v>0</v>
      </c>
      <c r="R29" s="875">
        <f t="shared" si="2"/>
        <v>0</v>
      </c>
      <c r="S29" s="938" t="str">
        <f t="shared" si="3"/>
        <v/>
      </c>
      <c r="T29" s="875">
        <f t="shared" si="4"/>
        <v>0</v>
      </c>
      <c r="U29" s="875">
        <f t="shared" si="5"/>
        <v>0</v>
      </c>
      <c r="V29" s="875">
        <f t="shared" si="6"/>
        <v>0</v>
      </c>
      <c r="W29" s="875">
        <f t="shared" si="7"/>
        <v>0</v>
      </c>
      <c r="X29" s="875">
        <f t="shared" si="8"/>
        <v>0</v>
      </c>
      <c r="Y29" s="875">
        <f t="shared" si="349"/>
        <v>0</v>
      </c>
      <c r="Z29" s="875">
        <f t="shared" si="350"/>
        <v>0</v>
      </c>
      <c r="AA29" s="910">
        <f t="shared" si="9"/>
        <v>0</v>
      </c>
      <c r="AB29" s="57">
        <f t="shared" si="351"/>
        <v>0</v>
      </c>
      <c r="AC29" s="875">
        <f t="shared" si="10"/>
        <v>0</v>
      </c>
      <c r="AD29" s="875">
        <f t="shared" si="11"/>
        <v>0</v>
      </c>
      <c r="AE29" s="875">
        <f t="shared" si="12"/>
        <v>0</v>
      </c>
      <c r="AF29" s="875">
        <f t="shared" si="352"/>
        <v>0</v>
      </c>
      <c r="AG29" s="875">
        <f>'org. Düngung 22'!J28</f>
        <v>0</v>
      </c>
      <c r="AH29" s="875">
        <f>'org. Düngung 22'!K28</f>
        <v>0</v>
      </c>
      <c r="AJ29" s="713">
        <f>'org. Düngung 22'!L28</f>
        <v>0</v>
      </c>
      <c r="AK29" s="57"/>
      <c r="AL29" s="57"/>
      <c r="AM29" s="57">
        <f t="shared" si="196"/>
        <v>0</v>
      </c>
      <c r="AN29" s="57">
        <f t="shared" si="197"/>
        <v>0</v>
      </c>
      <c r="AO29" s="57">
        <f t="shared" si="198"/>
        <v>0</v>
      </c>
      <c r="AP29" s="57">
        <f t="shared" si="199"/>
        <v>0</v>
      </c>
      <c r="AQ29" s="57">
        <f t="shared" si="200"/>
        <v>0</v>
      </c>
      <c r="AR29" s="1029">
        <f t="shared" si="14"/>
        <v>0</v>
      </c>
      <c r="AS29" s="57">
        <f t="shared" si="15"/>
        <v>0</v>
      </c>
      <c r="AT29" s="171" t="str">
        <f t="shared" si="16"/>
        <v/>
      </c>
      <c r="AU29" s="57">
        <f t="shared" si="201"/>
        <v>0</v>
      </c>
      <c r="AV29" s="57">
        <f>IF(OR(AND(AJ$6=1,$L29=0),AND(AJ$6=2,$K29=2,$G29=1)),0,IF(AND(AL$9=2,(OR($F29&gt;1,$K29=1,AND($L29=80,OR($N29=1,AND($N29=2,'#BerechnungDBE'!$AL20&gt;0)))))),IF(AJ$4&gt;=$AD$126,0,AT29),IF(AL$9=3,IF(OR(AJ$4&gt;=$AD$127,AND($G29=1,$J29=2,AJ$6=2),AND(AJ$6=1,$N29&lt;&gt;1)),0,IF(AN29&lt;=120,AT29,IF(AJ$4&lt;$AD$124,IF($F29=1,60/AL$4*AL$6,60/AL$4*AL$7),IF($F29=1,120/AL$4*AL$6,120/AL$4*AL$7)))),IF(OR($F29=3,$G29=2),IF(OR(AND(AJ$4&gt;=$AD$119,$C29=2),AND(AJ$4&gt;=$AF$119,$C29=1)),0,IF(AN29&lt;=60,AT29,60/AL$4*AL$7)),IF(AND($F29=2,$G29=1),AT29,0)))))</f>
        <v>0</v>
      </c>
      <c r="AW29" s="57" t="str">
        <f t="shared" si="202"/>
        <v/>
      </c>
      <c r="AX29" s="57" t="str">
        <f t="shared" si="17"/>
        <v/>
      </c>
      <c r="AY29" s="713">
        <f>'org. Düngung 22'!P28</f>
        <v>0</v>
      </c>
      <c r="AZ29" s="57"/>
      <c r="BA29" s="57"/>
      <c r="BB29" s="57">
        <f t="shared" si="18"/>
        <v>0</v>
      </c>
      <c r="BC29" s="57">
        <f t="shared" si="203"/>
        <v>0</v>
      </c>
      <c r="BD29" s="57">
        <f t="shared" si="204"/>
        <v>0</v>
      </c>
      <c r="BE29" s="57">
        <f t="shared" si="205"/>
        <v>0</v>
      </c>
      <c r="BF29" s="57">
        <f t="shared" si="206"/>
        <v>0</v>
      </c>
      <c r="BG29" s="1029">
        <f t="shared" si="19"/>
        <v>0</v>
      </c>
      <c r="BH29" s="57">
        <f t="shared" si="20"/>
        <v>0</v>
      </c>
      <c r="BI29" s="171" t="str">
        <f t="shared" si="21"/>
        <v/>
      </c>
      <c r="BJ29" s="57">
        <f t="shared" si="207"/>
        <v>0</v>
      </c>
      <c r="BK29" s="57">
        <f>IF(OR(AND(AY$6=1,$L29=0),AND(AY$6=2,$K29=2,$G29=1)),0,IF(AND(BA$9=2,(OR($F29&gt;1,$K29=1,AND($L29=80,OR($N29=1,AND($N29=2,'#BerechnungDBE'!$AL20&gt;0)))))),IF(AY$4&gt;=$AD$126,0,BI29),IF(BA$9=3,IF(OR(AY$4&gt;=$AD$127,AND($G29=1,$J29=2,AY$6=2),AND(AY$6=1,$N29&lt;&gt;1)),0,IF(BC29&lt;=120,BI29,IF(AY$4&lt;$AD$124,IF($F29=1,60/BA$4*BA$6,60/BA$4*BA$7),IF($F29=1,120/BA$4*BA$6,120/BA$4*BA$7)))),IF(OR($F29=3,$G29=2),IF(OR(AND(AY$4&gt;=$AD$119,$C29=2),AND(AY$4&gt;=$AF$119,$C29=1)),0,IF(BC29&lt;=60,BI29,60/BA$4*BA$7)),IF(AND($F29=2,$G29=1),BI29,0)))))</f>
        <v>0</v>
      </c>
      <c r="BL29" s="57" t="str">
        <f t="shared" si="22"/>
        <v/>
      </c>
      <c r="BM29" s="57" t="str">
        <f t="shared" si="23"/>
        <v/>
      </c>
      <c r="BN29" s="713">
        <f>'org. Düngung 22'!T28</f>
        <v>0</v>
      </c>
      <c r="BO29" s="57"/>
      <c r="BP29" s="57"/>
      <c r="BQ29" s="57">
        <f t="shared" si="24"/>
        <v>0</v>
      </c>
      <c r="BR29" s="57">
        <f t="shared" si="208"/>
        <v>0</v>
      </c>
      <c r="BS29" s="57">
        <f t="shared" si="209"/>
        <v>0</v>
      </c>
      <c r="BT29" s="57">
        <f t="shared" si="210"/>
        <v>0</v>
      </c>
      <c r="BU29" s="57">
        <f t="shared" si="211"/>
        <v>0</v>
      </c>
      <c r="BV29" s="1029">
        <f t="shared" si="25"/>
        <v>0</v>
      </c>
      <c r="BW29" s="57">
        <f t="shared" si="26"/>
        <v>0</v>
      </c>
      <c r="BX29" s="171" t="str">
        <f t="shared" si="27"/>
        <v/>
      </c>
      <c r="BY29" s="57">
        <f t="shared" si="212"/>
        <v>0</v>
      </c>
      <c r="BZ29" s="57">
        <f>IF(OR(AND(BN$6=1,$L29=0),AND(BN$6=2,$K29=2,$G29=1)),0,IF(AND(BP$9=2,(OR($F29&gt;1,$K29=1,AND($L29=80,OR($N29=1,AND($N29=2,'#BerechnungDBE'!$AL20&gt;0)))))),IF(BN$4&gt;=$AD$126,0,BX29),IF(BP$9=3,IF(OR(BN$4&gt;=$AD$127,AND($G29=1,$J29=2,BN$6=2),AND(BN$6=1,$N29&lt;&gt;1)),0,IF(BR29&lt;=120,BX29,IF(BN$4&lt;$AD$124,IF($F29=1,60/BP$4*BP$6,60/BP$4*BP$7),IF($F29=1,120/BP$4*BP$6,120/BP$4*BP$7)))),IF(OR($F29=3,$G29=2),IF(OR(AND(BN$4&gt;=$AD$119,$C29=2),AND(BN$4&gt;=$AF$119,$C29=1)),0,IF(BR29&lt;=60,BX29,60/BP$4*BP$7)),IF(AND($F29=2,$G29=1),BX29,0)))))</f>
        <v>0</v>
      </c>
      <c r="CA29" s="57" t="str">
        <f t="shared" si="28"/>
        <v/>
      </c>
      <c r="CB29" s="57" t="str">
        <f t="shared" si="29"/>
        <v/>
      </c>
      <c r="CC29" s="713">
        <f>'org. Düngung 22'!X28</f>
        <v>0</v>
      </c>
      <c r="CD29" s="57"/>
      <c r="CE29" s="57"/>
      <c r="CF29" s="57">
        <f t="shared" si="30"/>
        <v>0</v>
      </c>
      <c r="CG29" s="57">
        <f t="shared" si="213"/>
        <v>0</v>
      </c>
      <c r="CH29" s="57">
        <f t="shared" si="214"/>
        <v>0</v>
      </c>
      <c r="CI29" s="57">
        <f t="shared" si="215"/>
        <v>0</v>
      </c>
      <c r="CJ29" s="57">
        <f t="shared" si="216"/>
        <v>0</v>
      </c>
      <c r="CK29" s="1029">
        <f t="shared" si="31"/>
        <v>0</v>
      </c>
      <c r="CL29" s="57">
        <f t="shared" si="32"/>
        <v>0</v>
      </c>
      <c r="CM29" s="171" t="str">
        <f t="shared" si="33"/>
        <v/>
      </c>
      <c r="CN29" s="57">
        <f t="shared" si="217"/>
        <v>0</v>
      </c>
      <c r="CO29" s="57">
        <f>IF(OR(AND(CC$6=1,$L29=0),AND(CC$6=2,$K29=2,$G29=1)),0,IF(AND(CE$9=2,(OR($F29&gt;1,$K29=1,AND($L29=80,OR($N29=1,AND($N29=2,'#BerechnungDBE'!$AL20&gt;0)))))),IF(CC$4&gt;=$AD$126,0,CM29),IF(CE$9=3,IF(OR(CC$4&gt;=$AD$127,AND($G29=1,$J29=2,CC$6=2),AND(CC$6=1,$N29&lt;&gt;1)),0,IF(CG29&lt;=120,CM29,IF(CC$4&lt;$AD$124,IF($F29=1,60/CE$4*CE$6,60/CE$4*CE$7),IF($F29=1,120/CE$4*CE$6,120/CE$4*CE$7)))),IF(OR($F29=3,$G29=2),IF(OR(AND(CC$4&gt;=$AD$119,$C29=2),AND(CC$4&gt;=$AF$119,$C29=1)),0,IF(CG29&lt;=60,CM29,60/CE$4*CE$7)),IF(AND($F29=2,$G29=1),CM29,0)))))</f>
        <v>0</v>
      </c>
      <c r="CP29" s="57" t="str">
        <f t="shared" si="34"/>
        <v/>
      </c>
      <c r="CQ29" s="57" t="str">
        <f t="shared" si="35"/>
        <v/>
      </c>
      <c r="CR29" s="713">
        <f>'org. Düngung 22'!AB28</f>
        <v>0</v>
      </c>
      <c r="CS29" s="57"/>
      <c r="CT29" s="57"/>
      <c r="CU29" s="57">
        <f t="shared" si="36"/>
        <v>0</v>
      </c>
      <c r="CV29" s="57">
        <f t="shared" si="218"/>
        <v>0</v>
      </c>
      <c r="CW29" s="57">
        <f t="shared" si="219"/>
        <v>0</v>
      </c>
      <c r="CX29" s="57">
        <f t="shared" si="220"/>
        <v>0</v>
      </c>
      <c r="CY29" s="57">
        <f t="shared" si="221"/>
        <v>0</v>
      </c>
      <c r="CZ29" s="1029">
        <f t="shared" si="37"/>
        <v>0</v>
      </c>
      <c r="DA29" s="57">
        <f t="shared" si="38"/>
        <v>0</v>
      </c>
      <c r="DB29" s="171" t="str">
        <f t="shared" si="39"/>
        <v/>
      </c>
      <c r="DC29" s="57">
        <f t="shared" si="222"/>
        <v>0</v>
      </c>
      <c r="DD29" s="57">
        <f>IF(OR(AND(CR$6=1,$L29=0),AND(CR$6=2,$K29=2,$G29=1)),0,IF(AND(CT$9=2,(OR($F29&gt;1,$K29=1,AND($L29=80,OR($N29=1,AND($N29=2,'#BerechnungDBE'!$AL20&gt;0)))))),IF(CR$4&gt;=$AD$126,0,DB29),IF(CT$9=3,IF(OR(CR$4&gt;=$AD$127,AND($G29=1,$J29=2,CR$6=2),AND(CR$6=1,$N29&lt;&gt;1)),0,IF(CV29&lt;=120,DB29,IF(CR$4&lt;$AD$124,IF($F29=1,60/CT$4*CT$6,60/CT$4*CT$7),IF($F29=1,120/CT$4*CT$6,120/CT$4*CT$7)))),IF(OR($F29=3,$G29=2),IF(OR(AND(CR$4&gt;=$AD$119,$C29=2),AND(CR$4&gt;=$AF$119,$C29=1)),0,IF(CV29&lt;=60,DB29,60/CT$4*CT$7)),IF(AND($F29=2,$G29=1),DB29,0)))))</f>
        <v>0</v>
      </c>
      <c r="DE29" s="57" t="str">
        <f t="shared" si="40"/>
        <v/>
      </c>
      <c r="DF29" s="57" t="str">
        <f t="shared" si="41"/>
        <v/>
      </c>
      <c r="DG29" s="713">
        <f>'org. Düngung 22'!AF28</f>
        <v>0</v>
      </c>
      <c r="DH29" s="57"/>
      <c r="DI29" s="57"/>
      <c r="DJ29" s="57">
        <f t="shared" si="42"/>
        <v>0</v>
      </c>
      <c r="DK29" s="57">
        <f t="shared" si="223"/>
        <v>0</v>
      </c>
      <c r="DL29" s="57">
        <f t="shared" si="224"/>
        <v>0</v>
      </c>
      <c r="DM29" s="57">
        <f t="shared" si="225"/>
        <v>0</v>
      </c>
      <c r="DN29" s="57">
        <f t="shared" si="226"/>
        <v>0</v>
      </c>
      <c r="DO29" s="1029">
        <f t="shared" si="43"/>
        <v>0</v>
      </c>
      <c r="DP29" s="57">
        <f t="shared" si="44"/>
        <v>0</v>
      </c>
      <c r="DQ29" s="171" t="str">
        <f t="shared" si="45"/>
        <v/>
      </c>
      <c r="DR29" s="57">
        <f t="shared" si="227"/>
        <v>0</v>
      </c>
      <c r="DS29" s="57">
        <f>IF(OR(AND(DG$6=1,$L29=0),AND(DG$6=2,$K29=2,$G29=1)),0,IF(AND(DI$9=2,(OR($F29&gt;1,$K29=1,AND($L29=80,OR($N29=1,AND($N29=2,'#BerechnungDBE'!$AL20&gt;0)))))),IF(DG$4&gt;=$AD$126,0,DQ29),IF(DI$9=3,IF(OR(DG$4&gt;=$AD$127,AND($G29=1,$J29=2,DG$6=2),AND(DG$6=1,$N29&lt;&gt;1)),0,IF(DK29&lt;=120,DQ29,IF(DG$4&lt;$AD$124,IF($F29=1,60/DI$4*DI$6,60/DI$4*DI$7),IF($F29=1,120/DI$4*DI$6,120/DI$4*DI$7)))),IF(OR($F29=3,$G29=2),IF(OR(AND(DG$4&gt;=$AD$119,$C29=2),AND(DG$4&gt;=$AF$119,$C29=1)),0,IF(DK29&lt;=60,DQ29,60/DI$4*DI$7)),IF(AND($F29=2,$G29=1),DQ29,0)))))</f>
        <v>0</v>
      </c>
      <c r="DT29" s="57" t="str">
        <f t="shared" si="46"/>
        <v/>
      </c>
      <c r="DU29" s="57" t="str">
        <f t="shared" si="47"/>
        <v/>
      </c>
      <c r="DV29" s="713">
        <f>'org. Düngung 22'!AJ28</f>
        <v>0</v>
      </c>
      <c r="DW29" s="57"/>
      <c r="DX29" s="57"/>
      <c r="DY29" s="57">
        <f t="shared" si="48"/>
        <v>0</v>
      </c>
      <c r="DZ29" s="57">
        <f t="shared" si="228"/>
        <v>0</v>
      </c>
      <c r="EA29" s="57">
        <f t="shared" si="229"/>
        <v>0</v>
      </c>
      <c r="EB29" s="57">
        <f t="shared" si="230"/>
        <v>0</v>
      </c>
      <c r="EC29" s="57">
        <f t="shared" si="231"/>
        <v>0</v>
      </c>
      <c r="ED29" s="1029">
        <f t="shared" si="49"/>
        <v>0</v>
      </c>
      <c r="EE29" s="57">
        <f t="shared" si="50"/>
        <v>0</v>
      </c>
      <c r="EF29" s="171" t="str">
        <f t="shared" si="51"/>
        <v/>
      </c>
      <c r="EG29" s="57">
        <f t="shared" si="232"/>
        <v>0</v>
      </c>
      <c r="EH29" s="57">
        <f>IF(OR(AND(DV$6=1,$L29=0),AND(DV$6=2,$K29=2,$G29=1)),0,IF(AND(DX$9=2,(OR($F29&gt;1,$K29=1,AND($L29=80,OR($N29=1,AND($N29=2,'#BerechnungDBE'!$AL20&gt;0)))))),IF(DV$4&gt;=$AD$126,0,EF29),IF(DX$9=3,IF(OR(DV$4&gt;=$AD$127,AND($G29=1,$J29=2,DV$6=2),AND(DV$6=1,$N29&lt;&gt;1)),0,IF(DZ29&lt;=120,EF29,IF(DV$4&lt;$AD$124,IF($F29=1,60/DX$4*DX$6,60/DX$4*DX$7),IF($F29=1,120/DX$4*DX$6,120/DX$4*DX$7)))),IF(OR($F29=3,$G29=2),IF(OR(AND(DV$4&gt;=$AD$119,$C29=2),AND(DV$4&gt;=$AF$119,$C29=1)),0,IF(DZ29&lt;=60,EF29,60/DX$4*DX$7)),IF(AND($F29=2,$G29=1),EF29,0)))))</f>
        <v>0</v>
      </c>
      <c r="EI29" s="57" t="str">
        <f t="shared" si="52"/>
        <v/>
      </c>
      <c r="EJ29" s="57" t="str">
        <f t="shared" si="53"/>
        <v/>
      </c>
      <c r="EK29" s="713">
        <f>'org. Düngung 22'!AN28</f>
        <v>0</v>
      </c>
      <c r="EL29" s="57"/>
      <c r="EM29" s="57"/>
      <c r="EN29" s="57">
        <f t="shared" si="54"/>
        <v>0</v>
      </c>
      <c r="EO29" s="57">
        <f t="shared" si="233"/>
        <v>0</v>
      </c>
      <c r="EP29" s="57">
        <f t="shared" si="234"/>
        <v>0</v>
      </c>
      <c r="EQ29" s="57">
        <f t="shared" si="235"/>
        <v>0</v>
      </c>
      <c r="ER29" s="57">
        <f t="shared" si="236"/>
        <v>0</v>
      </c>
      <c r="ES29" s="1029">
        <f t="shared" si="55"/>
        <v>0</v>
      </c>
      <c r="ET29" s="57">
        <f t="shared" si="56"/>
        <v>0</v>
      </c>
      <c r="EU29" s="171" t="str">
        <f t="shared" si="57"/>
        <v/>
      </c>
      <c r="EV29" s="57">
        <f t="shared" si="237"/>
        <v>0</v>
      </c>
      <c r="EW29" s="57">
        <f>IF(OR(AND(EK$6=1,$L29=0),AND(EK$6=2,$K29=2,$G29=1)),0,IF(AND(EM$9=2,(OR($F29&gt;1,$K29=1,AND($L29=80,OR($N29=1,AND($N29=2,'#BerechnungDBE'!$AL20&gt;0)))))),IF(EK$4&gt;=$AD$126,0,EU29),IF(EM$9=3,IF(OR(EK$4&gt;=$AD$127,AND($G29=1,$J29=2,EK$6=2),AND(EK$6=1,$N29&lt;&gt;1)),0,IF(EO29&lt;=120,EU29,IF(EK$4&lt;$AD$124,IF($F29=1,60/EM$4*EM$6,60/EM$4*EM$7),IF($F29=1,120/EM$4*EM$6,120/EM$4*EM$7)))),IF(OR($F29=3,$G29=2),IF(OR(AND(EK$4&gt;=$AD$119,$C29=2),AND(EK$4&gt;=$AF$119,$C29=1)),0,IF(EO29&lt;=60,EU29,60/EM$4*EM$7)),IF(AND($F29=2,$G29=1),EU29,0)))))</f>
        <v>0</v>
      </c>
      <c r="EX29" s="57" t="str">
        <f t="shared" si="58"/>
        <v/>
      </c>
      <c r="EY29" s="57" t="str">
        <f t="shared" si="59"/>
        <v/>
      </c>
      <c r="EZ29" s="713">
        <f>'org. Düngung 22'!AR28</f>
        <v>0</v>
      </c>
      <c r="FA29" s="57"/>
      <c r="FB29" s="57"/>
      <c r="FC29" s="57">
        <f t="shared" si="60"/>
        <v>0</v>
      </c>
      <c r="FD29" s="57">
        <f t="shared" si="238"/>
        <v>0</v>
      </c>
      <c r="FE29" s="57">
        <f t="shared" si="239"/>
        <v>0</v>
      </c>
      <c r="FF29" s="57">
        <f t="shared" si="240"/>
        <v>0</v>
      </c>
      <c r="FG29" s="57">
        <f t="shared" si="241"/>
        <v>0</v>
      </c>
      <c r="FH29" s="1029">
        <f t="shared" si="61"/>
        <v>0</v>
      </c>
      <c r="FI29" s="57">
        <f t="shared" si="62"/>
        <v>0</v>
      </c>
      <c r="FJ29" s="171" t="str">
        <f t="shared" si="63"/>
        <v/>
      </c>
      <c r="FK29" s="57">
        <f t="shared" si="242"/>
        <v>0</v>
      </c>
      <c r="FL29" s="57">
        <f>IF(OR(AND(EZ$6=1,$L29=0),AND(EZ$6=2,$K29=2,$G29=1)),0,IF(AND(FB$9=2,(OR($F29&gt;1,$K29=1,AND($L29=80,OR($N29=1,AND($N29=2,'#BerechnungDBE'!$AL20&gt;0)))))),IF(EZ$4&gt;=$AD$126,0,FJ29),IF(FB$9=3,IF(OR(EZ$4&gt;=$AD$127,AND($G29=1,$J29=2,EZ$6=2),AND(EZ$6=1,$N29&lt;&gt;1)),0,IF(FD29&lt;=120,FJ29,IF(EZ$4&lt;$AD$124,IF($F29=1,60/FB$4*FB$6,60/FB$4*FB$7),IF($F29=1,120/FB$4*FB$6,120/FB$4*FB$7)))),IF(OR($F29=3,$G29=2),IF(OR(AND(EZ$4&gt;=$AD$119,$C29=2),AND(EZ$4&gt;=$AF$119,$C29=1)),0,IF(FD29&lt;=60,FJ29,60/FB$4*FB$7)),IF(AND($F29=2,$G29=1),FJ29,0)))))</f>
        <v>0</v>
      </c>
      <c r="FM29" s="57" t="str">
        <f t="shared" si="64"/>
        <v/>
      </c>
      <c r="FN29" s="57" t="str">
        <f t="shared" si="65"/>
        <v/>
      </c>
      <c r="FO29" s="713">
        <f>'org. Düngung 22'!AV28</f>
        <v>0</v>
      </c>
      <c r="FP29" s="57"/>
      <c r="FQ29" s="57"/>
      <c r="FR29" s="57">
        <f t="shared" si="66"/>
        <v>0</v>
      </c>
      <c r="FS29" s="57">
        <f t="shared" si="243"/>
        <v>0</v>
      </c>
      <c r="FT29" s="57">
        <f t="shared" si="244"/>
        <v>0</v>
      </c>
      <c r="FU29" s="57">
        <f t="shared" si="245"/>
        <v>0</v>
      </c>
      <c r="FV29" s="57">
        <f t="shared" si="246"/>
        <v>0</v>
      </c>
      <c r="FW29" s="1029">
        <f t="shared" si="67"/>
        <v>0</v>
      </c>
      <c r="FX29" s="57">
        <f t="shared" si="68"/>
        <v>0</v>
      </c>
      <c r="FY29" s="171" t="str">
        <f t="shared" si="69"/>
        <v/>
      </c>
      <c r="FZ29" s="57">
        <f t="shared" si="247"/>
        <v>0</v>
      </c>
      <c r="GA29" s="57">
        <f>IF(OR(AND(FO$6=1,$L29=0),AND(FO$6=2,$K29=2,$G29=1)),0,IF(AND(FQ$9=2,(OR($F29&gt;1,$K29=1,AND($L29=80,OR($N29=1,AND($N29=2,'#BerechnungDBE'!$AL20&gt;0)))))),IF(FO$4&gt;=$AD$126,0,FY29),IF(FQ$9=3,IF(OR(FO$4&gt;=$AD$127,AND($G29=1,$J29=2,FO$6=2),AND(FO$6=1,$N29&lt;&gt;1)),0,IF(FS29&lt;=120,FY29,IF(FO$4&lt;$AD$124,IF($F29=1,60/FQ$4*FQ$6,60/FQ$4*FQ$7),IF($F29=1,120/FQ$4*FQ$6,120/FQ$4*FQ$7)))),IF(OR($F29=3,$G29=2),IF(OR(AND(FO$4&gt;=$AD$119,$C29=2),AND(FO$4&gt;=$AF$119,$C29=1)),0,IF(FS29&lt;=60,FY29,60/FQ$4*FQ$7)),IF(AND($F29=2,$G29=1),FY29,0)))))</f>
        <v>0</v>
      </c>
      <c r="GB29" s="57" t="str">
        <f t="shared" si="70"/>
        <v/>
      </c>
      <c r="GC29" s="57" t="str">
        <f t="shared" si="71"/>
        <v/>
      </c>
      <c r="GD29" s="713">
        <f>'org. Düngung 22'!AZ28</f>
        <v>0</v>
      </c>
      <c r="GE29" s="57"/>
      <c r="GF29" s="57"/>
      <c r="GG29" s="57">
        <f t="shared" si="72"/>
        <v>0</v>
      </c>
      <c r="GH29" s="57">
        <f t="shared" si="248"/>
        <v>0</v>
      </c>
      <c r="GI29" s="57">
        <f t="shared" si="249"/>
        <v>0</v>
      </c>
      <c r="GJ29" s="57">
        <f t="shared" si="250"/>
        <v>0</v>
      </c>
      <c r="GK29" s="57">
        <f t="shared" si="251"/>
        <v>0</v>
      </c>
      <c r="GL29" s="1029">
        <f t="shared" si="73"/>
        <v>0</v>
      </c>
      <c r="GM29" s="57">
        <f t="shared" si="74"/>
        <v>0</v>
      </c>
      <c r="GN29" s="171" t="str">
        <f t="shared" si="75"/>
        <v/>
      </c>
      <c r="GO29" s="57">
        <f t="shared" si="252"/>
        <v>0</v>
      </c>
      <c r="GP29" s="57">
        <f>IF(OR(AND(GD$6=1,$L29=0),AND(GD$6=2,$K29=2,$G29=1)),0,IF(AND(GF$9=2,(OR($F29&gt;1,$K29=1,AND($L29=80,OR($N29=1,AND($N29=2,'#BerechnungDBE'!$AL20&gt;0)))))),IF(GD$4&gt;=$AD$126,0,GN29),IF(GF$9=3,IF(OR(GD$4&gt;=$AD$127,AND($G29=1,$J29=2,GD$6=2),AND(GD$6=1,$N29&lt;&gt;1)),0,IF(GH29&lt;=120,GN29,IF(GD$4&lt;$AD$124,IF($F29=1,60/GF$4*GF$6,60/GF$4*GF$7),IF($F29=1,120/GF$4*GF$6,120/GF$4*GF$7)))),IF(OR($F29=3,$G29=2),IF(OR(AND(GD$4&gt;=$AD$119,$C29=2),AND(GD$4&gt;=$AF$119,$C29=1)),0,IF(GH29&lt;=60,GN29,60/GF$4*GF$7)),IF(AND($F29=2,$G29=1),GN29,0)))))</f>
        <v>0</v>
      </c>
      <c r="GQ29" s="57" t="str">
        <f t="shared" si="76"/>
        <v/>
      </c>
      <c r="GR29" s="57" t="str">
        <f t="shared" si="77"/>
        <v/>
      </c>
      <c r="GS29" s="713">
        <f>'org. Düngung 22'!BD28</f>
        <v>0</v>
      </c>
      <c r="GT29" s="57"/>
      <c r="GU29" s="57"/>
      <c r="GV29" s="57">
        <f t="shared" si="78"/>
        <v>0</v>
      </c>
      <c r="GW29" s="57">
        <f t="shared" si="253"/>
        <v>0</v>
      </c>
      <c r="GX29" s="57">
        <f t="shared" si="254"/>
        <v>0</v>
      </c>
      <c r="GY29" s="57">
        <f t="shared" si="255"/>
        <v>0</v>
      </c>
      <c r="GZ29" s="57">
        <f t="shared" si="256"/>
        <v>0</v>
      </c>
      <c r="HA29" s="1029">
        <f t="shared" si="79"/>
        <v>0</v>
      </c>
      <c r="HB29" s="57">
        <f t="shared" si="80"/>
        <v>0</v>
      </c>
      <c r="HC29" s="171" t="str">
        <f t="shared" si="81"/>
        <v/>
      </c>
      <c r="HD29" s="57">
        <f t="shared" si="257"/>
        <v>0</v>
      </c>
      <c r="HE29" s="57">
        <f>IF(OR(AND(GS$6=1,$L29=0),AND(GS$6=2,$K29=2,$G29=1)),0,IF(AND(GU$9=2,(OR($F29&gt;1,$K29=1,AND($L29=80,OR($N29=1,AND($N29=2,'#BerechnungDBE'!$AL20&gt;0)))))),IF(GS$4&gt;=$AD$126,0,HC29),IF(GU$9=3,IF(OR(GS$4&gt;=$AD$127,AND($G29=1,$J29=2,GS$6=2),AND(GS$6=1,$N29&lt;&gt;1)),0,IF(GW29&lt;=120,HC29,IF(GS$4&lt;$AD$124,IF($F29=1,60/GU$4*GU$6,60/GU$4*GU$7),IF($F29=1,120/GU$4*GU$6,120/GU$4*GU$7)))),IF(OR($F29=3,$G29=2),IF(OR(AND(GS$4&gt;=$AD$119,$C29=2),AND(GS$4&gt;=$AF$119,$C29=1)),0,IF(GW29&lt;=60,HC29,60/GU$4*GU$7)),IF(AND($F29=2,$G29=1),HC29,0)))))</f>
        <v>0</v>
      </c>
      <c r="HF29" s="57" t="str">
        <f t="shared" si="82"/>
        <v/>
      </c>
      <c r="HG29" s="57" t="str">
        <f t="shared" si="83"/>
        <v/>
      </c>
      <c r="HH29" s="713">
        <f>'org. Düngung 22'!BH28</f>
        <v>0</v>
      </c>
      <c r="HI29" s="57"/>
      <c r="HJ29" s="57"/>
      <c r="HK29" s="57">
        <f t="shared" si="84"/>
        <v>0</v>
      </c>
      <c r="HL29" s="57">
        <f t="shared" si="258"/>
        <v>0</v>
      </c>
      <c r="HM29" s="57">
        <f t="shared" si="259"/>
        <v>0</v>
      </c>
      <c r="HN29" s="57">
        <f t="shared" si="260"/>
        <v>0</v>
      </c>
      <c r="HO29" s="57">
        <f t="shared" si="261"/>
        <v>0</v>
      </c>
      <c r="HP29" s="1029">
        <f t="shared" si="85"/>
        <v>0</v>
      </c>
      <c r="HQ29" s="57">
        <f t="shared" si="86"/>
        <v>0</v>
      </c>
      <c r="HR29" s="171" t="str">
        <f t="shared" si="87"/>
        <v/>
      </c>
      <c r="HS29" s="57">
        <f t="shared" si="262"/>
        <v>0</v>
      </c>
      <c r="HT29" s="57">
        <f>IF(OR(AND(HH$6=1,$L29=0),AND(HH$6=2,$K29=2,$G29=1)),0,IF(AND(HJ$9=2,(OR($F29&gt;1,$K29=1,AND($L29=80,OR($N29=1,AND($N29=2,'#BerechnungDBE'!$AL20&gt;0)))))),IF(HH$4&gt;=$AD$126,0,HR29),IF(HJ$9=3,IF(OR(HH$4&gt;=$AD$127,AND($G29=1,$J29=2,HH$6=2),AND(HH$6=1,$N29&lt;&gt;1)),0,IF(HL29&lt;=120,HR29,IF(HH$4&lt;$AD$124,IF($F29=1,60/HJ$4*HJ$6,60/HJ$4*HJ$7),IF($F29=1,120/HJ$4*HJ$6,120/HJ$4*HJ$7)))),IF(OR($F29=3,$G29=2),IF(OR(AND(HH$4&gt;=$AD$119,$C29=2),AND(HH$4&gt;=$AF$119,$C29=1)),0,IF(HL29&lt;=60,HR29,60/HJ$4*HJ$7)),IF(AND($F29=2,$G29=1),HR29,0)))))</f>
        <v>0</v>
      </c>
      <c r="HU29" s="57" t="str">
        <f t="shared" si="88"/>
        <v/>
      </c>
      <c r="HV29" s="57" t="str">
        <f t="shared" si="89"/>
        <v/>
      </c>
      <c r="HW29" s="713">
        <f>'org. Düngung 22'!BL28</f>
        <v>0</v>
      </c>
      <c r="HX29" s="57"/>
      <c r="HY29" s="57"/>
      <c r="HZ29" s="57">
        <f t="shared" si="90"/>
        <v>0</v>
      </c>
      <c r="IA29" s="57">
        <f t="shared" si="263"/>
        <v>0</v>
      </c>
      <c r="IB29" s="57">
        <f t="shared" si="264"/>
        <v>0</v>
      </c>
      <c r="IC29" s="57">
        <f t="shared" si="265"/>
        <v>0</v>
      </c>
      <c r="ID29" s="57">
        <f t="shared" si="266"/>
        <v>0</v>
      </c>
      <c r="IE29" s="1029">
        <f t="shared" si="91"/>
        <v>0</v>
      </c>
      <c r="IF29" s="57">
        <f t="shared" si="92"/>
        <v>0</v>
      </c>
      <c r="IG29" s="171" t="str">
        <f t="shared" si="93"/>
        <v/>
      </c>
      <c r="IH29" s="57">
        <f t="shared" si="267"/>
        <v>0</v>
      </c>
      <c r="II29" s="57">
        <f>IF(OR(AND(HW$6=1,$L29=0),AND(HW$6=2,$K29=2,$G29=1)),0,IF(AND(HY$9=2,(OR($F29&gt;1,$K29=1,AND($L29=80,OR($N29=1,AND($N29=2,'#BerechnungDBE'!$AL20&gt;0)))))),IF(HW$4&gt;=$AD$126,0,IG29),IF(HY$9=3,IF(OR(HW$4&gt;=$AD$127,AND($G29=1,$J29=2,HW$6=2),AND(HW$6=1,$N29&lt;&gt;1)),0,IF(IA29&lt;=120,IG29,IF(HW$4&lt;$AD$124,IF($F29=1,60/HY$4*HY$6,60/HY$4*HY$7),IF($F29=1,120/HY$4*HY$6,120/HY$4*HY$7)))),IF(OR($F29=3,$G29=2),IF(OR(AND(HW$4&gt;=$AD$119,$C29=2),AND(HW$4&gt;=$AF$119,$C29=1)),0,IF(IA29&lt;=60,IG29,60/HY$4*HY$7)),IF(AND($F29=2,$G29=1),IG29,0)))))</f>
        <v>0</v>
      </c>
      <c r="IJ29" s="57" t="str">
        <f t="shared" si="94"/>
        <v/>
      </c>
      <c r="IK29" s="57" t="str">
        <f t="shared" si="95"/>
        <v/>
      </c>
      <c r="IL29" s="713">
        <f>'org. Düngung 22'!BP28</f>
        <v>0</v>
      </c>
      <c r="IM29" s="57"/>
      <c r="IN29" s="57"/>
      <c r="IO29" s="57">
        <f t="shared" si="96"/>
        <v>0</v>
      </c>
      <c r="IP29" s="57">
        <f t="shared" si="268"/>
        <v>0</v>
      </c>
      <c r="IQ29" s="57">
        <f t="shared" si="269"/>
        <v>0</v>
      </c>
      <c r="IR29" s="57">
        <f t="shared" si="270"/>
        <v>0</v>
      </c>
      <c r="IS29" s="57">
        <f t="shared" si="271"/>
        <v>0</v>
      </c>
      <c r="IT29" s="1029">
        <f t="shared" si="97"/>
        <v>0</v>
      </c>
      <c r="IU29" s="57">
        <f t="shared" si="98"/>
        <v>0</v>
      </c>
      <c r="IV29" s="171" t="str">
        <f t="shared" si="99"/>
        <v/>
      </c>
      <c r="IW29" s="57">
        <f t="shared" si="272"/>
        <v>0</v>
      </c>
      <c r="IX29" s="57">
        <f>IF(OR(AND(IL$6=1,$L29=0),AND(IL$6=2,$K29=2,$G29=1)),0,IF(AND(IN$9=2,(OR($F29&gt;1,$K29=1,AND($L29=80,OR($N29=1,AND($N29=2,'#BerechnungDBE'!$AL20&gt;0)))))),IF(IL$4&gt;=$AD$126,0,IV29),IF(IN$9=3,IF(OR(IL$4&gt;=$AD$127,AND($G29=1,$J29=2,IL$6=2),AND(IL$6=1,$N29&lt;&gt;1)),0,IF(IP29&lt;=120,IV29,IF(IL$4&lt;$AD$124,IF($F29=1,60/IN$4*IN$6,60/IN$4*IN$7),IF($F29=1,120/IN$4*IN$6,120/IN$4*IN$7)))),IF(OR($F29=3,$G29=2),IF(OR(AND(IL$4&gt;=$AD$119,$C29=2),AND(IL$4&gt;=$AF$119,$C29=1)),0,IF(IP29&lt;=60,IV29,60/IN$4*IN$7)),IF(AND($F29=2,$G29=1),IV29,0)))))</f>
        <v>0</v>
      </c>
      <c r="IY29" s="57" t="str">
        <f t="shared" si="100"/>
        <v/>
      </c>
      <c r="IZ29" s="57" t="str">
        <f t="shared" si="101"/>
        <v/>
      </c>
      <c r="JA29" s="713">
        <f>'org. Düngung 22'!BT28</f>
        <v>0</v>
      </c>
      <c r="JB29" s="57"/>
      <c r="JC29" s="57"/>
      <c r="JD29" s="57">
        <f t="shared" si="102"/>
        <v>0</v>
      </c>
      <c r="JE29" s="57">
        <f t="shared" si="273"/>
        <v>0</v>
      </c>
      <c r="JF29" s="57">
        <f t="shared" si="274"/>
        <v>0</v>
      </c>
      <c r="JG29" s="57">
        <f t="shared" si="275"/>
        <v>0</v>
      </c>
      <c r="JH29" s="57">
        <f t="shared" si="276"/>
        <v>0</v>
      </c>
      <c r="JI29" s="1029">
        <f t="shared" si="103"/>
        <v>0</v>
      </c>
      <c r="JJ29" s="57">
        <f t="shared" si="104"/>
        <v>0</v>
      </c>
      <c r="JK29" s="171" t="str">
        <f t="shared" si="105"/>
        <v/>
      </c>
      <c r="JL29" s="57">
        <f t="shared" si="277"/>
        <v>0</v>
      </c>
      <c r="JM29" s="57">
        <f>IF(OR(AND(JA$6=1,$L29=0),AND(JA$6=2,$K29=2,$G29=1)),0,IF(AND(JC$9=2,(OR($F29&gt;1,$K29=1,AND($L29=80,OR($N29=1,AND($N29=2,'#BerechnungDBE'!$AL20&gt;0)))))),IF(JA$4&gt;=$AD$126,0,JK29),IF(JC$9=3,IF(OR(JA$4&gt;=$AD$127,AND($G29=1,$J29=2,JA$6=2),AND(JA$6=1,$N29&lt;&gt;1)),0,IF(JE29&lt;=120,JK29,IF(JA$4&lt;$AD$124,IF($F29=1,60/JC$4*JC$6,60/JC$4*JC$7),IF($F29=1,120/JC$4*JC$6,120/JC$4*JC$7)))),IF(OR($F29=3,$G29=2),IF(OR(AND(JA$4&gt;=$AD$119,$C29=2),AND(JA$4&gt;=$AF$119,$C29=1)),0,IF(JE29&lt;=60,JK29,60/JC$4*JC$7)),IF(AND($F29=2,$G29=1),JK29,0)))))</f>
        <v>0</v>
      </c>
      <c r="JN29" s="57" t="str">
        <f t="shared" si="106"/>
        <v/>
      </c>
      <c r="JO29" s="57" t="str">
        <f t="shared" si="107"/>
        <v/>
      </c>
      <c r="JP29" s="713">
        <f>'org. Düngung 22'!BX28</f>
        <v>0</v>
      </c>
      <c r="JQ29" s="57"/>
      <c r="JR29" s="57"/>
      <c r="JS29" s="57">
        <f t="shared" si="108"/>
        <v>0</v>
      </c>
      <c r="JT29" s="57">
        <f t="shared" si="278"/>
        <v>0</v>
      </c>
      <c r="JU29" s="57">
        <f t="shared" si="279"/>
        <v>0</v>
      </c>
      <c r="JV29" s="57">
        <f t="shared" si="280"/>
        <v>0</v>
      </c>
      <c r="JW29" s="57">
        <f t="shared" si="281"/>
        <v>0</v>
      </c>
      <c r="JX29" s="1029">
        <f t="shared" si="109"/>
        <v>0</v>
      </c>
      <c r="JY29" s="57">
        <f t="shared" si="110"/>
        <v>0</v>
      </c>
      <c r="JZ29" s="171" t="str">
        <f t="shared" si="111"/>
        <v/>
      </c>
      <c r="KA29" s="57">
        <f t="shared" si="282"/>
        <v>0</v>
      </c>
      <c r="KB29" s="57">
        <f>IF(OR(AND(JP$6=1,$L29=0),AND(JP$6=2,$K29=2,$G29=1)),0,IF(AND(JR$9=2,(OR($F29&gt;1,$K29=1,AND($L29=80,OR($N29=1,AND($N29=2,'#BerechnungDBE'!$AL20&gt;0)))))),IF(JP$4&gt;=$AD$126,0,JZ29),IF(JR$9=3,IF(OR(JP$4&gt;=$AD$127,AND($G29=1,$J29=2,JP$6=2),AND(JP$6=1,$N29&lt;&gt;1)),0,IF(JT29&lt;=120,JZ29,IF(JP$4&lt;$AD$124,IF($F29=1,60/JR$4*JR$6,60/JR$4*JR$7),IF($F29=1,120/JR$4*JR$6,120/JR$4*JR$7)))),IF(OR($F29=3,$G29=2),IF(OR(AND(JP$4&gt;=$AD$119,$C29=2),AND(JP$4&gt;=$AF$119,$C29=1)),0,IF(JT29&lt;=60,JZ29,60/JR$4*JR$7)),IF(AND($F29=2,$G29=1),JZ29,0)))))</f>
        <v>0</v>
      </c>
      <c r="KC29" s="57" t="str">
        <f t="shared" si="112"/>
        <v/>
      </c>
      <c r="KD29" s="57" t="str">
        <f t="shared" si="113"/>
        <v/>
      </c>
      <c r="KE29" s="713">
        <f>'org. Düngung 22'!CB28</f>
        <v>0</v>
      </c>
      <c r="KF29" s="57"/>
      <c r="KG29" s="57"/>
      <c r="KH29" s="57">
        <f t="shared" si="114"/>
        <v>0</v>
      </c>
      <c r="KI29" s="57">
        <f t="shared" si="283"/>
        <v>0</v>
      </c>
      <c r="KJ29" s="57">
        <f t="shared" si="284"/>
        <v>0</v>
      </c>
      <c r="KK29" s="57">
        <f t="shared" si="285"/>
        <v>0</v>
      </c>
      <c r="KL29" s="57">
        <f t="shared" si="286"/>
        <v>0</v>
      </c>
      <c r="KM29" s="1029">
        <f t="shared" si="115"/>
        <v>0</v>
      </c>
      <c r="KN29" s="57">
        <f t="shared" si="116"/>
        <v>0</v>
      </c>
      <c r="KO29" s="171" t="str">
        <f t="shared" si="117"/>
        <v/>
      </c>
      <c r="KP29" s="57">
        <f t="shared" si="287"/>
        <v>0</v>
      </c>
      <c r="KQ29" s="57">
        <f>IF(OR(AND(KE$6=1,$L29=0),AND(KE$6=2,$K29=2,$G29=1)),0,IF(AND(KG$9=2,(OR($F29&gt;1,$K29=1,AND($L29=80,OR($N29=1,AND($N29=2,'#BerechnungDBE'!$AL20&gt;0)))))),IF(KE$4&gt;=$AD$126,0,KO29),IF(KG$9=3,IF(OR(KE$4&gt;=$AD$127,AND($G29=1,$J29=2,KE$6=2),AND(KE$6=1,$N29&lt;&gt;1)),0,IF(KI29&lt;=120,KO29,IF(KE$4&lt;$AD$124,IF($F29=1,60/KG$4*KG$6,60/KG$4*KG$7),IF($F29=1,120/KG$4*KG$6,120/KG$4*KG$7)))),IF(OR($F29=3,$G29=2),IF(OR(AND(KE$4&gt;=$AD$119,$C29=2),AND(KE$4&gt;=$AF$119,$C29=1)),0,IF(KI29&lt;=60,KO29,60/KG$4*KG$7)),IF(AND($F29=2,$G29=1),KO29,0)))))</f>
        <v>0</v>
      </c>
      <c r="KR29" s="57" t="str">
        <f t="shared" si="118"/>
        <v/>
      </c>
      <c r="KS29" s="57" t="str">
        <f t="shared" si="119"/>
        <v/>
      </c>
      <c r="KT29" s="713">
        <f>'org. Düngung 22'!CF28</f>
        <v>0</v>
      </c>
      <c r="KU29" s="57"/>
      <c r="KV29" s="57"/>
      <c r="KW29" s="57">
        <f t="shared" si="120"/>
        <v>0</v>
      </c>
      <c r="KX29" s="57">
        <f t="shared" si="288"/>
        <v>0</v>
      </c>
      <c r="KY29" s="57">
        <f t="shared" si="289"/>
        <v>0</v>
      </c>
      <c r="KZ29" s="57">
        <f t="shared" si="290"/>
        <v>0</v>
      </c>
      <c r="LA29" s="57">
        <f t="shared" si="291"/>
        <v>0</v>
      </c>
      <c r="LB29" s="1029">
        <f t="shared" si="121"/>
        <v>0</v>
      </c>
      <c r="LC29" s="57">
        <f t="shared" si="122"/>
        <v>0</v>
      </c>
      <c r="LD29" s="171" t="str">
        <f t="shared" si="123"/>
        <v/>
      </c>
      <c r="LE29" s="57">
        <f t="shared" si="292"/>
        <v>0</v>
      </c>
      <c r="LF29" s="57">
        <f>IF(OR(AND(KT$6=1,$L29=0),AND(KT$6=2,$K29=2,$G29=1)),0,IF(AND(KV$9=2,(OR($F29&gt;1,$K29=1,AND($L29=80,OR($N29=1,AND($N29=2,'#BerechnungDBE'!$AL20&gt;0)))))),IF(KT$4&gt;=$AD$126,0,LD29),IF(KV$9=3,IF(OR(KT$4&gt;=$AD$127,AND($G29=1,$J29=2,KT$6=2),AND(KT$6=1,$N29&lt;&gt;1)),0,IF(KX29&lt;=120,LD29,IF(KT$4&lt;$AD$124,IF($F29=1,60/KV$4*KV$6,60/KV$4*KV$7),IF($F29=1,120/KV$4*KV$6,120/KV$4*KV$7)))),IF(OR($F29=3,$G29=2),IF(OR(AND(KT$4&gt;=$AD$119,$C29=2),AND(KT$4&gt;=$AF$119,$C29=1)),0,IF(KX29&lt;=60,LD29,60/KV$4*KV$7)),IF(AND($F29=2,$G29=1),LD29,0)))))</f>
        <v>0</v>
      </c>
      <c r="LG29" s="57" t="str">
        <f t="shared" si="124"/>
        <v/>
      </c>
      <c r="LH29" s="57" t="str">
        <f t="shared" si="125"/>
        <v/>
      </c>
      <c r="LI29" s="713">
        <f>'org. Düngung 22'!CJ28</f>
        <v>0</v>
      </c>
      <c r="LJ29" s="57"/>
      <c r="LK29" s="57"/>
      <c r="LL29" s="57">
        <f t="shared" si="126"/>
        <v>0</v>
      </c>
      <c r="LM29" s="57">
        <f t="shared" si="293"/>
        <v>0</v>
      </c>
      <c r="LN29" s="57">
        <f t="shared" si="294"/>
        <v>0</v>
      </c>
      <c r="LO29" s="57">
        <f t="shared" si="295"/>
        <v>0</v>
      </c>
      <c r="LP29" s="57">
        <f t="shared" si="296"/>
        <v>0</v>
      </c>
      <c r="LQ29" s="1029">
        <f t="shared" si="127"/>
        <v>0</v>
      </c>
      <c r="LR29" s="57">
        <f t="shared" si="128"/>
        <v>0</v>
      </c>
      <c r="LS29" s="171" t="str">
        <f t="shared" si="129"/>
        <v/>
      </c>
      <c r="LT29" s="57">
        <f t="shared" si="297"/>
        <v>0</v>
      </c>
      <c r="LU29" s="57">
        <f>IF(OR(AND(LI$6=1,$L29=0),AND(LI$6=2,$K29=2,$G29=1)),0,IF(AND(LK$9=2,(OR($F29&gt;1,$K29=1,AND($L29=80,OR($N29=1,AND($N29=2,'#BerechnungDBE'!$AL20&gt;0)))))),IF(LI$4&gt;=$AD$126,0,LS29),IF(LK$9=3,IF(OR(LI$4&gt;=$AD$127,AND($G29=1,$J29=2,LI$6=2),AND(LI$6=1,$N29&lt;&gt;1)),0,IF(LM29&lt;=120,LS29,IF(LI$4&lt;$AD$124,IF($F29=1,60/LK$4*LK$6,60/LK$4*LK$7),IF($F29=1,120/LK$4*LK$6,120/LK$4*LK$7)))),IF(OR($F29=3,$G29=2),IF(OR(AND(LI$4&gt;=$AD$119,$C29=2),AND(LI$4&gt;=$AF$119,$C29=1)),0,IF(LM29&lt;=60,LS29,60/LK$4*LK$7)),IF(AND($F29=2,$G29=1),LS29,0)))))</f>
        <v>0</v>
      </c>
      <c r="LV29" s="57" t="str">
        <f t="shared" si="130"/>
        <v/>
      </c>
      <c r="LW29" s="57" t="str">
        <f t="shared" si="131"/>
        <v/>
      </c>
      <c r="LX29" s="713">
        <f>'org. Düngung 22'!CN28</f>
        <v>0</v>
      </c>
      <c r="LY29" s="57"/>
      <c r="LZ29" s="57"/>
      <c r="MA29" s="57">
        <f t="shared" si="132"/>
        <v>0</v>
      </c>
      <c r="MB29" s="57">
        <f t="shared" si="298"/>
        <v>0</v>
      </c>
      <c r="MC29" s="57">
        <f t="shared" si="299"/>
        <v>0</v>
      </c>
      <c r="MD29" s="57">
        <f t="shared" si="300"/>
        <v>0</v>
      </c>
      <c r="ME29" s="57">
        <f t="shared" si="301"/>
        <v>0</v>
      </c>
      <c r="MF29" s="1029">
        <f t="shared" si="133"/>
        <v>0</v>
      </c>
      <c r="MG29" s="57">
        <f t="shared" si="134"/>
        <v>0</v>
      </c>
      <c r="MH29" s="171" t="str">
        <f t="shared" si="135"/>
        <v/>
      </c>
      <c r="MI29" s="57">
        <f t="shared" si="302"/>
        <v>0</v>
      </c>
      <c r="MJ29" s="57">
        <f>IF(OR(AND(LX$6=1,$L29=0),AND(LX$6=2,$K29=2,$G29=1)),0,IF(AND(LZ$9=2,(OR($F29&gt;1,$K29=1,AND($L29=80,OR($N29=1,AND($N29=2,'#BerechnungDBE'!$AL20&gt;0)))))),IF(LX$4&gt;=$AD$126,0,MH29),IF(LZ$9=3,IF(OR(LX$4&gt;=$AD$127,AND($G29=1,$J29=2,LX$6=2),AND(LX$6=1,$N29&lt;&gt;1)),0,IF(MB29&lt;=120,MH29,IF(LX$4&lt;$AD$124,IF($F29=1,60/LZ$4*LZ$6,60/LZ$4*LZ$7),IF($F29=1,120/LZ$4*LZ$6,120/LZ$4*LZ$7)))),IF(OR($F29=3,$G29=2),IF(OR(AND(LX$4&gt;=$AD$119,$C29=2),AND(LX$4&gt;=$AF$119,$C29=1)),0,IF(MB29&lt;=60,MH29,60/LZ$4*LZ$7)),IF(AND($F29=2,$G29=1),MH29,0)))))</f>
        <v>0</v>
      </c>
      <c r="MK29" s="57" t="str">
        <f t="shared" si="136"/>
        <v/>
      </c>
      <c r="ML29" s="57" t="str">
        <f t="shared" si="137"/>
        <v/>
      </c>
      <c r="MM29" s="713">
        <f>'org. Düngung 22'!CR28</f>
        <v>0</v>
      </c>
      <c r="MN29" s="57"/>
      <c r="MO29" s="57"/>
      <c r="MP29" s="57">
        <f t="shared" si="138"/>
        <v>0</v>
      </c>
      <c r="MQ29" s="57">
        <f t="shared" si="303"/>
        <v>0</v>
      </c>
      <c r="MR29" s="57">
        <f t="shared" si="304"/>
        <v>0</v>
      </c>
      <c r="MS29" s="57">
        <f t="shared" si="305"/>
        <v>0</v>
      </c>
      <c r="MT29" s="57">
        <f t="shared" si="306"/>
        <v>0</v>
      </c>
      <c r="MU29" s="1029">
        <f t="shared" si="139"/>
        <v>0</v>
      </c>
      <c r="MV29" s="57">
        <f t="shared" si="140"/>
        <v>0</v>
      </c>
      <c r="MW29" s="171" t="str">
        <f t="shared" si="141"/>
        <v/>
      </c>
      <c r="MX29" s="57">
        <f t="shared" si="307"/>
        <v>0</v>
      </c>
      <c r="MY29" s="57">
        <f>IF(OR(AND(MM$6=1,$L29=0),AND(MM$6=2,$K29=2,$G29=1)),0,IF(AND(MO$9=2,(OR($F29&gt;1,$K29=1,AND($L29=80,OR($N29=1,AND($N29=2,'#BerechnungDBE'!$AL20&gt;0)))))),IF(MM$4&gt;=$AD$126,0,MW29),IF(MO$9=3,IF(OR(MM$4&gt;=$AD$127,AND($G29=1,$J29=2,MM$6=2),AND(MM$6=1,$N29&lt;&gt;1)),0,IF(MQ29&lt;=120,MW29,IF(MM$4&lt;$AD$124,IF($F29=1,60/MO$4*MO$6,60/MO$4*MO$7),IF($F29=1,120/MO$4*MO$6,120/MO$4*MO$7)))),IF(OR($F29=3,$G29=2),IF(OR(AND(MM$4&gt;=$AD$119,$C29=2),AND(MM$4&gt;=$AF$119,$C29=1)),0,IF(MQ29&lt;=60,MW29,60/MO$4*MO$7)),IF(AND($F29=2,$G29=1),MW29,0)))))</f>
        <v>0</v>
      </c>
      <c r="MZ29" s="57" t="str">
        <f t="shared" si="142"/>
        <v/>
      </c>
      <c r="NA29" s="57" t="str">
        <f t="shared" si="143"/>
        <v/>
      </c>
      <c r="NB29" s="713">
        <f>'org. Düngung 22'!CV28</f>
        <v>0</v>
      </c>
      <c r="NC29" s="57"/>
      <c r="ND29" s="57"/>
      <c r="NE29" s="57">
        <f t="shared" si="144"/>
        <v>0</v>
      </c>
      <c r="NF29" s="57">
        <f t="shared" si="308"/>
        <v>0</v>
      </c>
      <c r="NG29" s="57">
        <f t="shared" si="309"/>
        <v>0</v>
      </c>
      <c r="NH29" s="57">
        <f t="shared" si="310"/>
        <v>0</v>
      </c>
      <c r="NI29" s="57">
        <f t="shared" si="311"/>
        <v>0</v>
      </c>
      <c r="NJ29" s="1029">
        <f t="shared" si="145"/>
        <v>0</v>
      </c>
      <c r="NK29" s="57">
        <f t="shared" si="146"/>
        <v>0</v>
      </c>
      <c r="NL29" s="171" t="str">
        <f t="shared" si="147"/>
        <v/>
      </c>
      <c r="NM29" s="57">
        <f t="shared" si="312"/>
        <v>0</v>
      </c>
      <c r="NN29" s="57">
        <f>IF(OR(AND(NB$6=1,$L29=0),AND(NB$6=2,$K29=2,$G29=1)),0,IF(AND(ND$9=2,(OR($F29&gt;1,$K29=1,AND($L29=80,OR($N29=1,AND($N29=2,'#BerechnungDBE'!$AL20&gt;0)))))),IF(NB$4&gt;=$AD$126,0,NL29),IF(ND$9=3,IF(OR(NB$4&gt;=$AD$127,AND($G29=1,$J29=2,NB$6=2),AND(NB$6=1,$N29&lt;&gt;1)),0,IF(NF29&lt;=120,NL29,IF(NB$4&lt;$AD$124,IF($F29=1,60/ND$4*ND$6,60/ND$4*ND$7),IF($F29=1,120/ND$4*ND$6,120/ND$4*ND$7)))),IF(OR($F29=3,$G29=2),IF(OR(AND(NB$4&gt;=$AD$119,$C29=2),AND(NB$4&gt;=$AF$119,$C29=1)),0,IF(NF29&lt;=60,NL29,60/ND$4*ND$7)),IF(AND($F29=2,$G29=1),NL29,0)))))</f>
        <v>0</v>
      </c>
      <c r="NO29" s="57" t="str">
        <f t="shared" si="148"/>
        <v/>
      </c>
      <c r="NP29" s="57" t="str">
        <f t="shared" si="149"/>
        <v/>
      </c>
      <c r="NQ29" s="713">
        <f>'org. Düngung 22'!CZ28</f>
        <v>0</v>
      </c>
      <c r="NR29" s="57"/>
      <c r="NS29" s="57"/>
      <c r="NT29" s="57">
        <f t="shared" si="150"/>
        <v>0</v>
      </c>
      <c r="NU29" s="57">
        <f t="shared" si="313"/>
        <v>0</v>
      </c>
      <c r="NV29" s="57">
        <f t="shared" si="314"/>
        <v>0</v>
      </c>
      <c r="NW29" s="57">
        <f t="shared" si="315"/>
        <v>0</v>
      </c>
      <c r="NX29" s="57">
        <f t="shared" si="316"/>
        <v>0</v>
      </c>
      <c r="NY29" s="1029">
        <f t="shared" si="151"/>
        <v>0</v>
      </c>
      <c r="NZ29" s="57">
        <f t="shared" si="152"/>
        <v>0</v>
      </c>
      <c r="OA29" s="171" t="str">
        <f t="shared" si="153"/>
        <v/>
      </c>
      <c r="OB29" s="57">
        <f t="shared" si="317"/>
        <v>0</v>
      </c>
      <c r="OC29" s="57">
        <f>IF(OR(AND(NQ$6=1,$L29=0),AND(NQ$6=2,$K29=2,$G29=1)),0,IF(AND(NS$9=2,(OR($F29&gt;1,$K29=1,AND($L29=80,OR($N29=1,AND($N29=2,'#BerechnungDBE'!$AL20&gt;0)))))),IF(NQ$4&gt;=$AD$126,0,OA29),IF(NS$9=3,IF(OR(NQ$4&gt;=$AD$127,AND($G29=1,$J29=2,NQ$6=2),AND(NQ$6=1,$N29&lt;&gt;1)),0,IF(NU29&lt;=120,OA29,IF(NQ$4&lt;$AD$124,IF($F29=1,60/NS$4*NS$6,60/NS$4*NS$7),IF($F29=1,120/NS$4*NS$6,120/NS$4*NS$7)))),IF(OR($F29=3,$G29=2),IF(OR(AND(NQ$4&gt;=$AD$119,$C29=2),AND(NQ$4&gt;=$AF$119,$C29=1)),0,IF(NU29&lt;=60,OA29,60/NS$4*NS$7)),IF(AND($F29=2,$G29=1),OA29,0)))))</f>
        <v>0</v>
      </c>
      <c r="OD29" s="57" t="str">
        <f t="shared" si="154"/>
        <v/>
      </c>
      <c r="OE29" s="57" t="str">
        <f t="shared" si="155"/>
        <v/>
      </c>
      <c r="OF29" s="713">
        <f>'org. Düngung 22'!DD28</f>
        <v>0</v>
      </c>
      <c r="OG29" s="57"/>
      <c r="OH29" s="57"/>
      <c r="OI29" s="57">
        <f t="shared" si="156"/>
        <v>0</v>
      </c>
      <c r="OJ29" s="57">
        <f t="shared" si="318"/>
        <v>0</v>
      </c>
      <c r="OK29" s="57">
        <f t="shared" si="319"/>
        <v>0</v>
      </c>
      <c r="OL29" s="57">
        <f t="shared" si="320"/>
        <v>0</v>
      </c>
      <c r="OM29" s="57">
        <f t="shared" si="321"/>
        <v>0</v>
      </c>
      <c r="ON29" s="1029">
        <f t="shared" si="157"/>
        <v>0</v>
      </c>
      <c r="OO29" s="57">
        <f t="shared" si="158"/>
        <v>0</v>
      </c>
      <c r="OP29" s="171" t="str">
        <f t="shared" si="159"/>
        <v/>
      </c>
      <c r="OQ29" s="57">
        <f t="shared" si="322"/>
        <v>0</v>
      </c>
      <c r="OR29" s="57">
        <f>IF(OR(AND(OF$6=1,$L29=0),AND(OF$6=2,$K29=2,$G29=1)),0,IF(AND(OH$9=2,(OR($F29&gt;1,$K29=1,AND($L29=80,OR($N29=1,AND($N29=2,'#BerechnungDBE'!$AL20&gt;0)))))),IF(OF$4&gt;=$AD$126,0,OP29),IF(OH$9=3,IF(OR(OF$4&gt;=$AD$127,AND($G29=1,$J29=2,OF$6=2),AND(OF$6=1,$N29&lt;&gt;1)),0,IF(OJ29&lt;=120,OP29,IF(OF$4&lt;$AD$124,IF($F29=1,60/OH$4*OH$6,60/OH$4*OH$7),IF($F29=1,120/OH$4*OH$6,120/OH$4*OH$7)))),IF(OR($F29=3,$G29=2),IF(OR(AND(OF$4&gt;=$AD$119,$C29=2),AND(OF$4&gt;=$AF$119,$C29=1)),0,IF(OJ29&lt;=60,OP29,60/OH$4*OH$7)),IF(AND($F29=2,$G29=1),OP29,0)))))</f>
        <v>0</v>
      </c>
      <c r="OS29" s="57" t="str">
        <f t="shared" si="160"/>
        <v/>
      </c>
      <c r="OT29" s="57" t="str">
        <f t="shared" si="161"/>
        <v/>
      </c>
      <c r="OU29" s="713">
        <f>'org. Düngung 22'!DH28</f>
        <v>0</v>
      </c>
      <c r="OV29" s="57"/>
      <c r="OW29" s="57"/>
      <c r="OX29" s="57">
        <f t="shared" si="162"/>
        <v>0</v>
      </c>
      <c r="OY29" s="57">
        <f t="shared" si="323"/>
        <v>0</v>
      </c>
      <c r="OZ29" s="57">
        <f t="shared" si="324"/>
        <v>0</v>
      </c>
      <c r="PA29" s="57">
        <f t="shared" si="325"/>
        <v>0</v>
      </c>
      <c r="PB29" s="57">
        <f t="shared" si="326"/>
        <v>0</v>
      </c>
      <c r="PC29" s="1029">
        <f t="shared" si="163"/>
        <v>0</v>
      </c>
      <c r="PD29" s="57">
        <f t="shared" si="164"/>
        <v>0</v>
      </c>
      <c r="PE29" s="171" t="str">
        <f t="shared" si="165"/>
        <v/>
      </c>
      <c r="PF29" s="57">
        <f t="shared" si="327"/>
        <v>0</v>
      </c>
      <c r="PG29" s="57">
        <f>IF(OR(AND(OU$6=1,$L29=0),AND(OU$6=2,$K29=2,$G29=1)),0,IF(AND(OW$9=2,(OR($F29&gt;1,$K29=1,AND($L29=80,OR($N29=1,AND($N29=2,'#BerechnungDBE'!$AL20&gt;0)))))),IF(OU$4&gt;=$AD$126,0,PE29),IF(OW$9=3,IF(OR(OU$4&gt;=$AD$127,AND($G29=1,$J29=2,OU$6=2),AND(OU$6=1,$N29&lt;&gt;1)),0,IF(OY29&lt;=120,PE29,IF(OU$4&lt;$AD$124,IF($F29=1,60/OW$4*OW$6,60/OW$4*OW$7),IF($F29=1,120/OW$4*OW$6,120/OW$4*OW$7)))),IF(OR($F29=3,$G29=2),IF(OR(AND(OU$4&gt;=$AD$119,$C29=2),AND(OU$4&gt;=$AF$119,$C29=1)),0,IF(OY29&lt;=60,PE29,60/OW$4*OW$7)),IF(AND($F29=2,$G29=1),PE29,0)))))</f>
        <v>0</v>
      </c>
      <c r="PH29" s="57" t="str">
        <f t="shared" si="166"/>
        <v/>
      </c>
      <c r="PI29" s="57" t="str">
        <f t="shared" si="167"/>
        <v/>
      </c>
      <c r="PJ29" s="713">
        <f>'org. Düngung 22'!DL28</f>
        <v>0</v>
      </c>
      <c r="PK29" s="57"/>
      <c r="PL29" s="57"/>
      <c r="PM29" s="57">
        <f t="shared" si="168"/>
        <v>0</v>
      </c>
      <c r="PN29" s="57">
        <f t="shared" si="328"/>
        <v>0</v>
      </c>
      <c r="PO29" s="57">
        <f t="shared" si="329"/>
        <v>0</v>
      </c>
      <c r="PP29" s="57">
        <f t="shared" si="330"/>
        <v>0</v>
      </c>
      <c r="PQ29" s="57">
        <f t="shared" si="331"/>
        <v>0</v>
      </c>
      <c r="PR29" s="1029">
        <f t="shared" si="169"/>
        <v>0</v>
      </c>
      <c r="PS29" s="57">
        <f t="shared" si="170"/>
        <v>0</v>
      </c>
      <c r="PT29" s="171" t="str">
        <f t="shared" si="171"/>
        <v/>
      </c>
      <c r="PU29" s="57">
        <f t="shared" si="332"/>
        <v>0</v>
      </c>
      <c r="PV29" s="57">
        <f>IF(OR(AND(PJ$6=1,$L29=0),AND(PJ$6=2,$K29=2,$G29=1)),0,IF(AND(PL$9=2,(OR($F29&gt;1,$K29=1,AND($L29=80,OR($N29=1,AND($N29=2,'#BerechnungDBE'!$AL20&gt;0)))))),IF(PJ$4&gt;=$AD$126,0,PT29),IF(PL$9=3,IF(OR(PJ$4&gt;=$AD$127,AND($G29=1,$J29=2,PJ$6=2),AND(PJ$6=1,$N29&lt;&gt;1)),0,IF(PN29&lt;=120,PT29,IF(PJ$4&lt;$AD$124,IF($F29=1,60/PL$4*PL$6,60/PL$4*PL$7),IF($F29=1,120/PL$4*PL$6,120/PL$4*PL$7)))),IF(OR($F29=3,$G29=2),IF(OR(AND(PJ$4&gt;=$AD$119,$C29=2),AND(PJ$4&gt;=$AF$119,$C29=1)),0,IF(PN29&lt;=60,PT29,60/PL$4*PL$7)),IF(AND($F29=2,$G29=1),PT29,0)))))</f>
        <v>0</v>
      </c>
      <c r="PW29" s="57" t="str">
        <f t="shared" si="172"/>
        <v/>
      </c>
      <c r="PX29" s="57" t="str">
        <f t="shared" si="173"/>
        <v/>
      </c>
      <c r="PY29" s="713">
        <f>'org. Düngung 22'!DP28</f>
        <v>0</v>
      </c>
      <c r="PZ29" s="57"/>
      <c r="QA29" s="57"/>
      <c r="QB29" s="57">
        <f t="shared" si="174"/>
        <v>0</v>
      </c>
      <c r="QC29" s="57">
        <f t="shared" si="333"/>
        <v>0</v>
      </c>
      <c r="QD29" s="57">
        <f t="shared" si="334"/>
        <v>0</v>
      </c>
      <c r="QE29" s="57">
        <f t="shared" si="335"/>
        <v>0</v>
      </c>
      <c r="QF29" s="57">
        <f t="shared" si="336"/>
        <v>0</v>
      </c>
      <c r="QG29" s="1029">
        <f t="shared" si="175"/>
        <v>0</v>
      </c>
      <c r="QH29" s="57">
        <f t="shared" si="176"/>
        <v>0</v>
      </c>
      <c r="QI29" s="171" t="str">
        <f t="shared" si="177"/>
        <v/>
      </c>
      <c r="QJ29" s="57">
        <f t="shared" si="337"/>
        <v>0</v>
      </c>
      <c r="QK29" s="57">
        <f>IF(OR(AND(PY$6=1,$L29=0),AND(PY$6=2,$K29=2,$G29=1)),0,IF(AND(QA$9=2,(OR($F29&gt;1,$K29=1,AND($L29=80,OR($N29=1,AND($N29=2,'#BerechnungDBE'!$AL20&gt;0)))))),IF(PY$4&gt;=$AD$126,0,QI29),IF(QA$9=3,IF(OR(PY$4&gt;=$AD$127,AND($G29=1,$J29=2,PY$6=2),AND(PY$6=1,$N29&lt;&gt;1)),0,IF(QC29&lt;=120,QI29,IF(PY$4&lt;$AD$124,IF($F29=1,60/QA$4*QA$6,60/QA$4*QA$7),IF($F29=1,120/QA$4*QA$6,120/QA$4*QA$7)))),IF(OR($F29=3,$G29=2),IF(OR(AND(PY$4&gt;=$AD$119,$C29=2),AND(PY$4&gt;=$AF$119,$C29=1)),0,IF(QC29&lt;=60,QI29,60/QA$4*QA$7)),IF(AND($F29=2,$G29=1),QI29,0)))))</f>
        <v>0</v>
      </c>
      <c r="QL29" s="57" t="str">
        <f t="shared" si="178"/>
        <v/>
      </c>
      <c r="QM29" s="57" t="str">
        <f t="shared" si="179"/>
        <v/>
      </c>
      <c r="QN29" s="713">
        <f>'org. Düngung 22'!DT28</f>
        <v>0</v>
      </c>
      <c r="QO29" s="57"/>
      <c r="QP29" s="57"/>
      <c r="QQ29" s="57">
        <f t="shared" si="180"/>
        <v>0</v>
      </c>
      <c r="QR29" s="57">
        <f t="shared" si="338"/>
        <v>0</v>
      </c>
      <c r="QS29" s="57">
        <f t="shared" si="339"/>
        <v>0</v>
      </c>
      <c r="QT29" s="57">
        <f t="shared" si="340"/>
        <v>0</v>
      </c>
      <c r="QU29" s="57">
        <f t="shared" si="341"/>
        <v>0</v>
      </c>
      <c r="QV29" s="1029">
        <f t="shared" si="181"/>
        <v>0</v>
      </c>
      <c r="QW29" s="57">
        <f t="shared" si="182"/>
        <v>0</v>
      </c>
      <c r="QX29" s="171" t="str">
        <f t="shared" si="183"/>
        <v/>
      </c>
      <c r="QY29" s="57">
        <f t="shared" si="342"/>
        <v>0</v>
      </c>
      <c r="QZ29" s="57">
        <f>IF(OR(AND(QN$6=1,$L29=0),AND(QN$6=2,$K29=2,$G29=1)),0,IF(AND(QP$9=2,(OR($F29&gt;1,$K29=1,AND($L29=80,OR($N29=1,AND($N29=2,'#BerechnungDBE'!$AL20&gt;0)))))),IF(QN$4&gt;=$AD$126,0,QX29),IF(QP$9=3,IF(OR(QN$4&gt;=$AD$127,AND($G29=1,$J29=2,QN$6=2),AND(QN$6=1,$N29&lt;&gt;1)),0,IF(QR29&lt;=120,QX29,IF(QN$4&lt;$AD$124,IF($F29=1,60/QP$4*QP$6,60/QP$4*QP$7),IF($F29=1,120/QP$4*QP$6,120/QP$4*QP$7)))),IF(OR($F29=3,$G29=2),IF(OR(AND(QN$4&gt;=$AD$119,$C29=2),AND(QN$4&gt;=$AF$119,$C29=1)),0,IF(QR29&lt;=60,QX29,60/QP$4*QP$7)),IF(AND($F29=2,$G29=1),QX29,0)))))</f>
        <v>0</v>
      </c>
      <c r="RA29" s="57" t="str">
        <f t="shared" si="184"/>
        <v/>
      </c>
      <c r="RB29" s="57" t="str">
        <f t="shared" si="185"/>
        <v/>
      </c>
      <c r="RC29" s="713">
        <f>'org. Düngung 22'!DX28</f>
        <v>0</v>
      </c>
      <c r="RD29" s="57"/>
      <c r="RE29" s="57"/>
      <c r="RF29" s="57">
        <f t="shared" si="186"/>
        <v>0</v>
      </c>
      <c r="RG29" s="57">
        <f t="shared" si="343"/>
        <v>0</v>
      </c>
      <c r="RH29" s="57">
        <f t="shared" si="344"/>
        <v>0</v>
      </c>
      <c r="RI29" s="57">
        <f t="shared" si="345"/>
        <v>0</v>
      </c>
      <c r="RJ29" s="57">
        <f t="shared" si="346"/>
        <v>0</v>
      </c>
      <c r="RK29" s="1029">
        <f t="shared" si="187"/>
        <v>0</v>
      </c>
      <c r="RL29" s="57">
        <f t="shared" si="188"/>
        <v>0</v>
      </c>
      <c r="RM29" s="171" t="str">
        <f t="shared" si="189"/>
        <v/>
      </c>
      <c r="RN29" s="57">
        <f t="shared" si="347"/>
        <v>0</v>
      </c>
      <c r="RO29" s="57">
        <f>IF(OR(AND(RC$6=1,$L29=0),AND(RC$6=2,$K29=2,$G29=1)),0,IF(AND(RE$9=2,(OR($F29&gt;1,$K29=1,AND($L29=80,OR($N29=1,AND($N29=2,'#BerechnungDBE'!$AL20&gt;0)))))),IF(RC$4&gt;=$AD$126,0,RM29),IF(RE$9=3,IF(OR(RC$4&gt;=$AD$127,AND($G29=1,$J29=2,RC$6=2),AND(RC$6=1,$N29&lt;&gt;1)),0,IF(RG29&lt;=120,RM29,IF(RC$4&lt;$AD$124,IF($F29=1,60/RE$4*RE$6,60/RE$4*RE$7),IF($F29=1,120/RE$4*RE$6,120/RE$4*RE$7)))),IF(OR($F29=3,$G29=2),IF(OR(AND(RC$4&gt;=$AD$119,$C29=2),AND(RC$4&gt;=$AF$119,$C29=1)),0,IF(RG29&lt;=60,RM29,60/RE$4*RE$7)),IF(AND($F29=2,$G29=1),RM29,0)))))</f>
        <v>0</v>
      </c>
      <c r="RP29" s="57" t="str">
        <f t="shared" si="190"/>
        <v/>
      </c>
      <c r="RQ29" s="57" t="str">
        <f t="shared" si="191"/>
        <v/>
      </c>
      <c r="RS29" s="57" t="str">
        <f t="shared" si="348"/>
        <v/>
      </c>
      <c r="RT29" s="57" t="str">
        <f t="shared" si="192"/>
        <v/>
      </c>
      <c r="RU29" s="57" t="str">
        <f t="shared" si="193"/>
        <v/>
      </c>
      <c r="RV29" s="57" t="str">
        <f>IF(Z29&gt;'#BerechnungDBE'!BM20,$RV$9,"")</f>
        <v/>
      </c>
      <c r="RW29" s="57" t="str">
        <f>IF(AND(L29=70,AE29&gt;'#BerechnungDBE'!CQ20),$RW$9,"")</f>
        <v/>
      </c>
      <c r="RX29" s="57" t="str">
        <f>IF(OR('org. Düngung 22'!G28="--",'org. Düngung 22'!G28&lt;=170,'org. Düngung 22'!G28=""),"",$RX$9)</f>
        <v/>
      </c>
      <c r="RY29" s="57" t="str">
        <f>IF('org. Düngung 22'!K28&gt;120,'#orgDung'!$RY$9,"")</f>
        <v/>
      </c>
      <c r="RZ29" s="57" t="str">
        <f>IF('#BerechnungDBE'!P20&lt;4,"",IF(AND('#BerechnungDBE'!BZ20&gt;0,T29&gt;0),'#orgDung'!$RZ$9,""))</f>
        <v/>
      </c>
      <c r="SA29" s="57" t="str">
        <f t="shared" si="194"/>
        <v/>
      </c>
    </row>
    <row r="30" spans="1:495" s="875" customFormat="1" x14ac:dyDescent="0.2">
      <c r="A30" s="875">
        <f>'Flächen u. Kulturen'!A26</f>
        <v>17</v>
      </c>
      <c r="B30" s="367">
        <f>'#BerechnungDBE'!L21</f>
        <v>0</v>
      </c>
      <c r="C30" s="875">
        <f>'#BerechnungDBE'!R21</f>
        <v>1</v>
      </c>
      <c r="D30" s="875">
        <f>'#BerechnungDBE'!T21</f>
        <v>2</v>
      </c>
      <c r="E30" s="875" t="str">
        <f>'Flächen u. Kulturen'!E26</f>
        <v>x</v>
      </c>
      <c r="F30" s="52">
        <f>'#BerechnungDBE'!N21</f>
        <v>1</v>
      </c>
      <c r="G30" s="52">
        <f>'#BerechnungDBE'!O21</f>
        <v>1</v>
      </c>
      <c r="H30" s="875">
        <f>IF('Flächen u. Kulturen'!P26="",0,VLOOKUP('Flächen u. Kulturen'!P26,Kulturen[[HF]:[Berechnungsgruppe]],'#Frucht'!$H$1,FALSE))</f>
        <v>0</v>
      </c>
      <c r="I30" s="875">
        <f>IF('Flächen u. Kulturen'!J26="",0,VLOOKUP('Flächen u. Kulturen'!J26,Kulturen[[HF]:[Berechnungsgruppe]],'#Frucht'!$G$1,FALSE))</f>
        <v>90</v>
      </c>
      <c r="J30" s="505">
        <f t="shared" si="195"/>
        <v>2</v>
      </c>
      <c r="K30" s="505">
        <f>IF('Flächen u. Kulturen'!P26="",0,IF(VLOOKUP('Flächen u. Kulturen'!P26,Kulturen[[HF]:[Saat Winterungen]],'#Frucht'!$P$1,FALSE)&gt;0,1,2))</f>
        <v>2</v>
      </c>
      <c r="L30" s="875">
        <f>'#BerechnungDBE'!AF21</f>
        <v>0</v>
      </c>
      <c r="M30" s="875">
        <f>IF('Flächen u. Kulturen'!L26="",0,VLOOKUP('Flächen u. Kulturen'!L26,Nebenkultur[[Nebenkultur]:[Legum. Zwischenfr.]],'#Zweitfr'!$K$1,FALSE))</f>
        <v>0</v>
      </c>
      <c r="N30" s="875">
        <f>'#BerechnungDBE'!AG21</f>
        <v>0</v>
      </c>
      <c r="P30" s="57">
        <f t="shared" si="0"/>
        <v>0</v>
      </c>
      <c r="Q30" s="57">
        <f t="shared" si="1"/>
        <v>0</v>
      </c>
      <c r="R30" s="875">
        <f t="shared" si="2"/>
        <v>0</v>
      </c>
      <c r="S30" s="938" t="str">
        <f t="shared" si="3"/>
        <v/>
      </c>
      <c r="T30" s="875">
        <f t="shared" si="4"/>
        <v>0</v>
      </c>
      <c r="U30" s="875">
        <f t="shared" si="5"/>
        <v>0</v>
      </c>
      <c r="V30" s="875">
        <f t="shared" si="6"/>
        <v>0</v>
      </c>
      <c r="W30" s="875">
        <f t="shared" si="7"/>
        <v>0</v>
      </c>
      <c r="X30" s="875">
        <f t="shared" si="8"/>
        <v>0</v>
      </c>
      <c r="Y30" s="875">
        <f t="shared" si="349"/>
        <v>0</v>
      </c>
      <c r="Z30" s="875">
        <f t="shared" si="350"/>
        <v>0</v>
      </c>
      <c r="AA30" s="910">
        <f t="shared" si="9"/>
        <v>0</v>
      </c>
      <c r="AB30" s="57">
        <f t="shared" si="351"/>
        <v>0</v>
      </c>
      <c r="AC30" s="875">
        <f t="shared" si="10"/>
        <v>0</v>
      </c>
      <c r="AD30" s="875">
        <f t="shared" si="11"/>
        <v>0</v>
      </c>
      <c r="AE30" s="875">
        <f t="shared" si="12"/>
        <v>0</v>
      </c>
      <c r="AF30" s="875">
        <f t="shared" si="352"/>
        <v>0</v>
      </c>
      <c r="AG30" s="875">
        <f>'org. Düngung 22'!J29</f>
        <v>0</v>
      </c>
      <c r="AH30" s="875">
        <f>'org. Düngung 22'!K29</f>
        <v>0</v>
      </c>
      <c r="AJ30" s="713">
        <f>'org. Düngung 22'!L29</f>
        <v>0</v>
      </c>
      <c r="AK30" s="57"/>
      <c r="AL30" s="57"/>
      <c r="AM30" s="57">
        <f t="shared" si="196"/>
        <v>0</v>
      </c>
      <c r="AN30" s="57">
        <f t="shared" si="197"/>
        <v>0</v>
      </c>
      <c r="AO30" s="57">
        <f t="shared" si="198"/>
        <v>0</v>
      </c>
      <c r="AP30" s="57">
        <f t="shared" si="199"/>
        <v>0</v>
      </c>
      <c r="AQ30" s="57">
        <f t="shared" si="200"/>
        <v>0</v>
      </c>
      <c r="AR30" s="1029">
        <f t="shared" si="14"/>
        <v>0</v>
      </c>
      <c r="AS30" s="57">
        <f t="shared" si="15"/>
        <v>0</v>
      </c>
      <c r="AT30" s="171" t="str">
        <f t="shared" si="16"/>
        <v/>
      </c>
      <c r="AU30" s="57">
        <f t="shared" si="201"/>
        <v>0</v>
      </c>
      <c r="AV30" s="57">
        <f>IF(OR(AND(AJ$6=1,$L30=0),AND(AJ$6=2,$K30=2,$G30=1)),0,IF(AND(AL$9=2,(OR($F30&gt;1,$K30=1,AND($L30=80,OR($N30=1,AND($N30=2,'#BerechnungDBE'!$AL21&gt;0)))))),IF(AJ$4&gt;=$AD$126,0,AT30),IF(AL$9=3,IF(OR(AJ$4&gt;=$AD$127,AND($G30=1,$J30=2,AJ$6=2),AND(AJ$6=1,$N30&lt;&gt;1)),0,IF(AN30&lt;=120,AT30,IF(AJ$4&lt;$AD$124,IF($F30=1,60/AL$4*AL$6,60/AL$4*AL$7),IF($F30=1,120/AL$4*AL$6,120/AL$4*AL$7)))),IF(OR($F30=3,$G30=2),IF(OR(AND(AJ$4&gt;=$AD$119,$C30=2),AND(AJ$4&gt;=$AF$119,$C30=1)),0,IF(AN30&lt;=60,AT30,60/AL$4*AL$7)),IF(AND($F30=2,$G30=1),AT30,0)))))</f>
        <v>0</v>
      </c>
      <c r="AW30" s="57" t="str">
        <f t="shared" si="202"/>
        <v/>
      </c>
      <c r="AX30" s="57" t="str">
        <f t="shared" si="17"/>
        <v/>
      </c>
      <c r="AY30" s="713">
        <f>'org. Düngung 22'!P29</f>
        <v>0</v>
      </c>
      <c r="AZ30" s="57"/>
      <c r="BA30" s="57"/>
      <c r="BB30" s="57">
        <f t="shared" si="18"/>
        <v>0</v>
      </c>
      <c r="BC30" s="57">
        <f t="shared" si="203"/>
        <v>0</v>
      </c>
      <c r="BD30" s="57">
        <f t="shared" si="204"/>
        <v>0</v>
      </c>
      <c r="BE30" s="57">
        <f t="shared" si="205"/>
        <v>0</v>
      </c>
      <c r="BF30" s="57">
        <f t="shared" si="206"/>
        <v>0</v>
      </c>
      <c r="BG30" s="1029">
        <f t="shared" si="19"/>
        <v>0</v>
      </c>
      <c r="BH30" s="57">
        <f t="shared" si="20"/>
        <v>0</v>
      </c>
      <c r="BI30" s="171" t="str">
        <f t="shared" si="21"/>
        <v/>
      </c>
      <c r="BJ30" s="57">
        <f t="shared" si="207"/>
        <v>0</v>
      </c>
      <c r="BK30" s="57">
        <f>IF(OR(AND(AY$6=1,$L30=0),AND(AY$6=2,$K30=2,$G30=1)),0,IF(AND(BA$9=2,(OR($F30&gt;1,$K30=1,AND($L30=80,OR($N30=1,AND($N30=2,'#BerechnungDBE'!$AL21&gt;0)))))),IF(AY$4&gt;=$AD$126,0,BI30),IF(BA$9=3,IF(OR(AY$4&gt;=$AD$127,AND($G30=1,$J30=2,AY$6=2),AND(AY$6=1,$N30&lt;&gt;1)),0,IF(BC30&lt;=120,BI30,IF(AY$4&lt;$AD$124,IF($F30=1,60/BA$4*BA$6,60/BA$4*BA$7),IF($F30=1,120/BA$4*BA$6,120/BA$4*BA$7)))),IF(OR($F30=3,$G30=2),IF(OR(AND(AY$4&gt;=$AD$119,$C30=2),AND(AY$4&gt;=$AF$119,$C30=1)),0,IF(BC30&lt;=60,BI30,60/BA$4*BA$7)),IF(AND($F30=2,$G30=1),BI30,0)))))</f>
        <v>0</v>
      </c>
      <c r="BL30" s="57" t="str">
        <f t="shared" si="22"/>
        <v/>
      </c>
      <c r="BM30" s="57" t="str">
        <f t="shared" si="23"/>
        <v/>
      </c>
      <c r="BN30" s="713">
        <f>'org. Düngung 22'!T29</f>
        <v>0</v>
      </c>
      <c r="BO30" s="57"/>
      <c r="BP30" s="57"/>
      <c r="BQ30" s="57">
        <f t="shared" si="24"/>
        <v>0</v>
      </c>
      <c r="BR30" s="57">
        <f t="shared" si="208"/>
        <v>0</v>
      </c>
      <c r="BS30" s="57">
        <f t="shared" si="209"/>
        <v>0</v>
      </c>
      <c r="BT30" s="57">
        <f t="shared" si="210"/>
        <v>0</v>
      </c>
      <c r="BU30" s="57">
        <f t="shared" si="211"/>
        <v>0</v>
      </c>
      <c r="BV30" s="1029">
        <f t="shared" si="25"/>
        <v>0</v>
      </c>
      <c r="BW30" s="57">
        <f t="shared" si="26"/>
        <v>0</v>
      </c>
      <c r="BX30" s="171" t="str">
        <f t="shared" si="27"/>
        <v/>
      </c>
      <c r="BY30" s="57">
        <f t="shared" si="212"/>
        <v>0</v>
      </c>
      <c r="BZ30" s="57">
        <f>IF(OR(AND(BN$6=1,$L30=0),AND(BN$6=2,$K30=2,$G30=1)),0,IF(AND(BP$9=2,(OR($F30&gt;1,$K30=1,AND($L30=80,OR($N30=1,AND($N30=2,'#BerechnungDBE'!$AL21&gt;0)))))),IF(BN$4&gt;=$AD$126,0,BX30),IF(BP$9=3,IF(OR(BN$4&gt;=$AD$127,AND($G30=1,$J30=2,BN$6=2),AND(BN$6=1,$N30&lt;&gt;1)),0,IF(BR30&lt;=120,BX30,IF(BN$4&lt;$AD$124,IF($F30=1,60/BP$4*BP$6,60/BP$4*BP$7),IF($F30=1,120/BP$4*BP$6,120/BP$4*BP$7)))),IF(OR($F30=3,$G30=2),IF(OR(AND(BN$4&gt;=$AD$119,$C30=2),AND(BN$4&gt;=$AF$119,$C30=1)),0,IF(BR30&lt;=60,BX30,60/BP$4*BP$7)),IF(AND($F30=2,$G30=1),BX30,0)))))</f>
        <v>0</v>
      </c>
      <c r="CA30" s="57" t="str">
        <f t="shared" si="28"/>
        <v/>
      </c>
      <c r="CB30" s="57" t="str">
        <f t="shared" si="29"/>
        <v/>
      </c>
      <c r="CC30" s="713">
        <f>'org. Düngung 22'!X29</f>
        <v>0</v>
      </c>
      <c r="CD30" s="57"/>
      <c r="CE30" s="57"/>
      <c r="CF30" s="57">
        <f t="shared" si="30"/>
        <v>0</v>
      </c>
      <c r="CG30" s="57">
        <f t="shared" si="213"/>
        <v>0</v>
      </c>
      <c r="CH30" s="57">
        <f t="shared" si="214"/>
        <v>0</v>
      </c>
      <c r="CI30" s="57">
        <f t="shared" si="215"/>
        <v>0</v>
      </c>
      <c r="CJ30" s="57">
        <f t="shared" si="216"/>
        <v>0</v>
      </c>
      <c r="CK30" s="1029">
        <f t="shared" si="31"/>
        <v>0</v>
      </c>
      <c r="CL30" s="57">
        <f t="shared" si="32"/>
        <v>0</v>
      </c>
      <c r="CM30" s="171" t="str">
        <f t="shared" si="33"/>
        <v/>
      </c>
      <c r="CN30" s="57">
        <f t="shared" si="217"/>
        <v>0</v>
      </c>
      <c r="CO30" s="57">
        <f>IF(OR(AND(CC$6=1,$L30=0),AND(CC$6=2,$K30=2,$G30=1)),0,IF(AND(CE$9=2,(OR($F30&gt;1,$K30=1,AND($L30=80,OR($N30=1,AND($N30=2,'#BerechnungDBE'!$AL21&gt;0)))))),IF(CC$4&gt;=$AD$126,0,CM30),IF(CE$9=3,IF(OR(CC$4&gt;=$AD$127,AND($G30=1,$J30=2,CC$6=2),AND(CC$6=1,$N30&lt;&gt;1)),0,IF(CG30&lt;=120,CM30,IF(CC$4&lt;$AD$124,IF($F30=1,60/CE$4*CE$6,60/CE$4*CE$7),IF($F30=1,120/CE$4*CE$6,120/CE$4*CE$7)))),IF(OR($F30=3,$G30=2),IF(OR(AND(CC$4&gt;=$AD$119,$C30=2),AND(CC$4&gt;=$AF$119,$C30=1)),0,IF(CG30&lt;=60,CM30,60/CE$4*CE$7)),IF(AND($F30=2,$G30=1),CM30,0)))))</f>
        <v>0</v>
      </c>
      <c r="CP30" s="57" t="str">
        <f t="shared" si="34"/>
        <v/>
      </c>
      <c r="CQ30" s="57" t="str">
        <f t="shared" si="35"/>
        <v/>
      </c>
      <c r="CR30" s="713">
        <f>'org. Düngung 22'!AB29</f>
        <v>0</v>
      </c>
      <c r="CS30" s="57"/>
      <c r="CT30" s="57"/>
      <c r="CU30" s="57">
        <f t="shared" si="36"/>
        <v>0</v>
      </c>
      <c r="CV30" s="57">
        <f t="shared" si="218"/>
        <v>0</v>
      </c>
      <c r="CW30" s="57">
        <f t="shared" si="219"/>
        <v>0</v>
      </c>
      <c r="CX30" s="57">
        <f t="shared" si="220"/>
        <v>0</v>
      </c>
      <c r="CY30" s="57">
        <f t="shared" si="221"/>
        <v>0</v>
      </c>
      <c r="CZ30" s="1029">
        <f t="shared" si="37"/>
        <v>0</v>
      </c>
      <c r="DA30" s="57">
        <f t="shared" si="38"/>
        <v>0</v>
      </c>
      <c r="DB30" s="171" t="str">
        <f t="shared" si="39"/>
        <v/>
      </c>
      <c r="DC30" s="57">
        <f t="shared" si="222"/>
        <v>0</v>
      </c>
      <c r="DD30" s="57">
        <f>IF(OR(AND(CR$6=1,$L30=0),AND(CR$6=2,$K30=2,$G30=1)),0,IF(AND(CT$9=2,(OR($F30&gt;1,$K30=1,AND($L30=80,OR($N30=1,AND($N30=2,'#BerechnungDBE'!$AL21&gt;0)))))),IF(CR$4&gt;=$AD$126,0,DB30),IF(CT$9=3,IF(OR(CR$4&gt;=$AD$127,AND($G30=1,$J30=2,CR$6=2),AND(CR$6=1,$N30&lt;&gt;1)),0,IF(CV30&lt;=120,DB30,IF(CR$4&lt;$AD$124,IF($F30=1,60/CT$4*CT$6,60/CT$4*CT$7),IF($F30=1,120/CT$4*CT$6,120/CT$4*CT$7)))),IF(OR($F30=3,$G30=2),IF(OR(AND(CR$4&gt;=$AD$119,$C30=2),AND(CR$4&gt;=$AF$119,$C30=1)),0,IF(CV30&lt;=60,DB30,60/CT$4*CT$7)),IF(AND($F30=2,$G30=1),DB30,0)))))</f>
        <v>0</v>
      </c>
      <c r="DE30" s="57" t="str">
        <f t="shared" si="40"/>
        <v/>
      </c>
      <c r="DF30" s="57" t="str">
        <f t="shared" si="41"/>
        <v/>
      </c>
      <c r="DG30" s="713">
        <f>'org. Düngung 22'!AF29</f>
        <v>0</v>
      </c>
      <c r="DH30" s="57"/>
      <c r="DI30" s="57"/>
      <c r="DJ30" s="57">
        <f t="shared" si="42"/>
        <v>0</v>
      </c>
      <c r="DK30" s="57">
        <f t="shared" si="223"/>
        <v>0</v>
      </c>
      <c r="DL30" s="57">
        <f t="shared" si="224"/>
        <v>0</v>
      </c>
      <c r="DM30" s="57">
        <f t="shared" si="225"/>
        <v>0</v>
      </c>
      <c r="DN30" s="57">
        <f t="shared" si="226"/>
        <v>0</v>
      </c>
      <c r="DO30" s="1029">
        <f t="shared" si="43"/>
        <v>0</v>
      </c>
      <c r="DP30" s="57">
        <f t="shared" si="44"/>
        <v>0</v>
      </c>
      <c r="DQ30" s="171" t="str">
        <f t="shared" si="45"/>
        <v/>
      </c>
      <c r="DR30" s="57">
        <f t="shared" si="227"/>
        <v>0</v>
      </c>
      <c r="DS30" s="57">
        <f>IF(OR(AND(DG$6=1,$L30=0),AND(DG$6=2,$K30=2,$G30=1)),0,IF(AND(DI$9=2,(OR($F30&gt;1,$K30=1,AND($L30=80,OR($N30=1,AND($N30=2,'#BerechnungDBE'!$AL21&gt;0)))))),IF(DG$4&gt;=$AD$126,0,DQ30),IF(DI$9=3,IF(OR(DG$4&gt;=$AD$127,AND($G30=1,$J30=2,DG$6=2),AND(DG$6=1,$N30&lt;&gt;1)),0,IF(DK30&lt;=120,DQ30,IF(DG$4&lt;$AD$124,IF($F30=1,60/DI$4*DI$6,60/DI$4*DI$7),IF($F30=1,120/DI$4*DI$6,120/DI$4*DI$7)))),IF(OR($F30=3,$G30=2),IF(OR(AND(DG$4&gt;=$AD$119,$C30=2),AND(DG$4&gt;=$AF$119,$C30=1)),0,IF(DK30&lt;=60,DQ30,60/DI$4*DI$7)),IF(AND($F30=2,$G30=1),DQ30,0)))))</f>
        <v>0</v>
      </c>
      <c r="DT30" s="57" t="str">
        <f t="shared" si="46"/>
        <v/>
      </c>
      <c r="DU30" s="57" t="str">
        <f t="shared" si="47"/>
        <v/>
      </c>
      <c r="DV30" s="713">
        <f>'org. Düngung 22'!AJ29</f>
        <v>0</v>
      </c>
      <c r="DW30" s="57"/>
      <c r="DX30" s="57"/>
      <c r="DY30" s="57">
        <f t="shared" si="48"/>
        <v>0</v>
      </c>
      <c r="DZ30" s="57">
        <f t="shared" si="228"/>
        <v>0</v>
      </c>
      <c r="EA30" s="57">
        <f t="shared" si="229"/>
        <v>0</v>
      </c>
      <c r="EB30" s="57">
        <f t="shared" si="230"/>
        <v>0</v>
      </c>
      <c r="EC30" s="57">
        <f t="shared" si="231"/>
        <v>0</v>
      </c>
      <c r="ED30" s="1029">
        <f t="shared" si="49"/>
        <v>0</v>
      </c>
      <c r="EE30" s="57">
        <f t="shared" si="50"/>
        <v>0</v>
      </c>
      <c r="EF30" s="171" t="str">
        <f t="shared" si="51"/>
        <v/>
      </c>
      <c r="EG30" s="57">
        <f t="shared" si="232"/>
        <v>0</v>
      </c>
      <c r="EH30" s="57">
        <f>IF(OR(AND(DV$6=1,$L30=0),AND(DV$6=2,$K30=2,$G30=1)),0,IF(AND(DX$9=2,(OR($F30&gt;1,$K30=1,AND($L30=80,OR($N30=1,AND($N30=2,'#BerechnungDBE'!$AL21&gt;0)))))),IF(DV$4&gt;=$AD$126,0,EF30),IF(DX$9=3,IF(OR(DV$4&gt;=$AD$127,AND($G30=1,$J30=2,DV$6=2),AND(DV$6=1,$N30&lt;&gt;1)),0,IF(DZ30&lt;=120,EF30,IF(DV$4&lt;$AD$124,IF($F30=1,60/DX$4*DX$6,60/DX$4*DX$7),IF($F30=1,120/DX$4*DX$6,120/DX$4*DX$7)))),IF(OR($F30=3,$G30=2),IF(OR(AND(DV$4&gt;=$AD$119,$C30=2),AND(DV$4&gt;=$AF$119,$C30=1)),0,IF(DZ30&lt;=60,EF30,60/DX$4*DX$7)),IF(AND($F30=2,$G30=1),EF30,0)))))</f>
        <v>0</v>
      </c>
      <c r="EI30" s="57" t="str">
        <f t="shared" si="52"/>
        <v/>
      </c>
      <c r="EJ30" s="57" t="str">
        <f t="shared" si="53"/>
        <v/>
      </c>
      <c r="EK30" s="713">
        <f>'org. Düngung 22'!AN29</f>
        <v>0</v>
      </c>
      <c r="EL30" s="57"/>
      <c r="EM30" s="57"/>
      <c r="EN30" s="57">
        <f t="shared" si="54"/>
        <v>0</v>
      </c>
      <c r="EO30" s="57">
        <f t="shared" si="233"/>
        <v>0</v>
      </c>
      <c r="EP30" s="57">
        <f t="shared" si="234"/>
        <v>0</v>
      </c>
      <c r="EQ30" s="57">
        <f t="shared" si="235"/>
        <v>0</v>
      </c>
      <c r="ER30" s="57">
        <f t="shared" si="236"/>
        <v>0</v>
      </c>
      <c r="ES30" s="1029">
        <f t="shared" si="55"/>
        <v>0</v>
      </c>
      <c r="ET30" s="57">
        <f t="shared" si="56"/>
        <v>0</v>
      </c>
      <c r="EU30" s="171" t="str">
        <f t="shared" si="57"/>
        <v/>
      </c>
      <c r="EV30" s="57">
        <f t="shared" si="237"/>
        <v>0</v>
      </c>
      <c r="EW30" s="57">
        <f>IF(OR(AND(EK$6=1,$L30=0),AND(EK$6=2,$K30=2,$G30=1)),0,IF(AND(EM$9=2,(OR($F30&gt;1,$K30=1,AND($L30=80,OR($N30=1,AND($N30=2,'#BerechnungDBE'!$AL21&gt;0)))))),IF(EK$4&gt;=$AD$126,0,EU30),IF(EM$9=3,IF(OR(EK$4&gt;=$AD$127,AND($G30=1,$J30=2,EK$6=2),AND(EK$6=1,$N30&lt;&gt;1)),0,IF(EO30&lt;=120,EU30,IF(EK$4&lt;$AD$124,IF($F30=1,60/EM$4*EM$6,60/EM$4*EM$7),IF($F30=1,120/EM$4*EM$6,120/EM$4*EM$7)))),IF(OR($F30=3,$G30=2),IF(OR(AND(EK$4&gt;=$AD$119,$C30=2),AND(EK$4&gt;=$AF$119,$C30=1)),0,IF(EO30&lt;=60,EU30,60/EM$4*EM$7)),IF(AND($F30=2,$G30=1),EU30,0)))))</f>
        <v>0</v>
      </c>
      <c r="EX30" s="57" t="str">
        <f t="shared" si="58"/>
        <v/>
      </c>
      <c r="EY30" s="57" t="str">
        <f t="shared" si="59"/>
        <v/>
      </c>
      <c r="EZ30" s="713">
        <f>'org. Düngung 22'!AR29</f>
        <v>0</v>
      </c>
      <c r="FA30" s="57"/>
      <c r="FB30" s="57"/>
      <c r="FC30" s="57">
        <f t="shared" si="60"/>
        <v>0</v>
      </c>
      <c r="FD30" s="57">
        <f t="shared" si="238"/>
        <v>0</v>
      </c>
      <c r="FE30" s="57">
        <f t="shared" si="239"/>
        <v>0</v>
      </c>
      <c r="FF30" s="57">
        <f t="shared" si="240"/>
        <v>0</v>
      </c>
      <c r="FG30" s="57">
        <f t="shared" si="241"/>
        <v>0</v>
      </c>
      <c r="FH30" s="1029">
        <f t="shared" si="61"/>
        <v>0</v>
      </c>
      <c r="FI30" s="57">
        <f t="shared" si="62"/>
        <v>0</v>
      </c>
      <c r="FJ30" s="171" t="str">
        <f t="shared" si="63"/>
        <v/>
      </c>
      <c r="FK30" s="57">
        <f t="shared" si="242"/>
        <v>0</v>
      </c>
      <c r="FL30" s="57">
        <f>IF(OR(AND(EZ$6=1,$L30=0),AND(EZ$6=2,$K30=2,$G30=1)),0,IF(AND(FB$9=2,(OR($F30&gt;1,$K30=1,AND($L30=80,OR($N30=1,AND($N30=2,'#BerechnungDBE'!$AL21&gt;0)))))),IF(EZ$4&gt;=$AD$126,0,FJ30),IF(FB$9=3,IF(OR(EZ$4&gt;=$AD$127,AND($G30=1,$J30=2,EZ$6=2),AND(EZ$6=1,$N30&lt;&gt;1)),0,IF(FD30&lt;=120,FJ30,IF(EZ$4&lt;$AD$124,IF($F30=1,60/FB$4*FB$6,60/FB$4*FB$7),IF($F30=1,120/FB$4*FB$6,120/FB$4*FB$7)))),IF(OR($F30=3,$G30=2),IF(OR(AND(EZ$4&gt;=$AD$119,$C30=2),AND(EZ$4&gt;=$AF$119,$C30=1)),0,IF(FD30&lt;=60,FJ30,60/FB$4*FB$7)),IF(AND($F30=2,$G30=1),FJ30,0)))))</f>
        <v>0</v>
      </c>
      <c r="FM30" s="57" t="str">
        <f t="shared" si="64"/>
        <v/>
      </c>
      <c r="FN30" s="57" t="str">
        <f t="shared" si="65"/>
        <v/>
      </c>
      <c r="FO30" s="713">
        <f>'org. Düngung 22'!AV29</f>
        <v>0</v>
      </c>
      <c r="FP30" s="57"/>
      <c r="FQ30" s="57"/>
      <c r="FR30" s="57">
        <f t="shared" si="66"/>
        <v>0</v>
      </c>
      <c r="FS30" s="57">
        <f t="shared" si="243"/>
        <v>0</v>
      </c>
      <c r="FT30" s="57">
        <f t="shared" si="244"/>
        <v>0</v>
      </c>
      <c r="FU30" s="57">
        <f t="shared" si="245"/>
        <v>0</v>
      </c>
      <c r="FV30" s="57">
        <f t="shared" si="246"/>
        <v>0</v>
      </c>
      <c r="FW30" s="1029">
        <f t="shared" si="67"/>
        <v>0</v>
      </c>
      <c r="FX30" s="57">
        <f t="shared" si="68"/>
        <v>0</v>
      </c>
      <c r="FY30" s="171" t="str">
        <f t="shared" si="69"/>
        <v/>
      </c>
      <c r="FZ30" s="57">
        <f t="shared" si="247"/>
        <v>0</v>
      </c>
      <c r="GA30" s="57">
        <f>IF(OR(AND(FO$6=1,$L30=0),AND(FO$6=2,$K30=2,$G30=1)),0,IF(AND(FQ$9=2,(OR($F30&gt;1,$K30=1,AND($L30=80,OR($N30=1,AND($N30=2,'#BerechnungDBE'!$AL21&gt;0)))))),IF(FO$4&gt;=$AD$126,0,FY30),IF(FQ$9=3,IF(OR(FO$4&gt;=$AD$127,AND($G30=1,$J30=2,FO$6=2),AND(FO$6=1,$N30&lt;&gt;1)),0,IF(FS30&lt;=120,FY30,IF(FO$4&lt;$AD$124,IF($F30=1,60/FQ$4*FQ$6,60/FQ$4*FQ$7),IF($F30=1,120/FQ$4*FQ$6,120/FQ$4*FQ$7)))),IF(OR($F30=3,$G30=2),IF(OR(AND(FO$4&gt;=$AD$119,$C30=2),AND(FO$4&gt;=$AF$119,$C30=1)),0,IF(FS30&lt;=60,FY30,60/FQ$4*FQ$7)),IF(AND($F30=2,$G30=1),FY30,0)))))</f>
        <v>0</v>
      </c>
      <c r="GB30" s="57" t="str">
        <f t="shared" si="70"/>
        <v/>
      </c>
      <c r="GC30" s="57" t="str">
        <f t="shared" si="71"/>
        <v/>
      </c>
      <c r="GD30" s="713">
        <f>'org. Düngung 22'!AZ29</f>
        <v>0</v>
      </c>
      <c r="GE30" s="57"/>
      <c r="GF30" s="57"/>
      <c r="GG30" s="57">
        <f t="shared" si="72"/>
        <v>0</v>
      </c>
      <c r="GH30" s="57">
        <f t="shared" si="248"/>
        <v>0</v>
      </c>
      <c r="GI30" s="57">
        <f t="shared" si="249"/>
        <v>0</v>
      </c>
      <c r="GJ30" s="57">
        <f t="shared" si="250"/>
        <v>0</v>
      </c>
      <c r="GK30" s="57">
        <f t="shared" si="251"/>
        <v>0</v>
      </c>
      <c r="GL30" s="1029">
        <f t="shared" si="73"/>
        <v>0</v>
      </c>
      <c r="GM30" s="57">
        <f t="shared" si="74"/>
        <v>0</v>
      </c>
      <c r="GN30" s="171" t="str">
        <f t="shared" si="75"/>
        <v/>
      </c>
      <c r="GO30" s="57">
        <f t="shared" si="252"/>
        <v>0</v>
      </c>
      <c r="GP30" s="57">
        <f>IF(OR(AND(GD$6=1,$L30=0),AND(GD$6=2,$K30=2,$G30=1)),0,IF(AND(GF$9=2,(OR($F30&gt;1,$K30=1,AND($L30=80,OR($N30=1,AND($N30=2,'#BerechnungDBE'!$AL21&gt;0)))))),IF(GD$4&gt;=$AD$126,0,GN30),IF(GF$9=3,IF(OR(GD$4&gt;=$AD$127,AND($G30=1,$J30=2,GD$6=2),AND(GD$6=1,$N30&lt;&gt;1)),0,IF(GH30&lt;=120,GN30,IF(GD$4&lt;$AD$124,IF($F30=1,60/GF$4*GF$6,60/GF$4*GF$7),IF($F30=1,120/GF$4*GF$6,120/GF$4*GF$7)))),IF(OR($F30=3,$G30=2),IF(OR(AND(GD$4&gt;=$AD$119,$C30=2),AND(GD$4&gt;=$AF$119,$C30=1)),0,IF(GH30&lt;=60,GN30,60/GF$4*GF$7)),IF(AND($F30=2,$G30=1),GN30,0)))))</f>
        <v>0</v>
      </c>
      <c r="GQ30" s="57" t="str">
        <f t="shared" si="76"/>
        <v/>
      </c>
      <c r="GR30" s="57" t="str">
        <f t="shared" si="77"/>
        <v/>
      </c>
      <c r="GS30" s="713">
        <f>'org. Düngung 22'!BD29</f>
        <v>0</v>
      </c>
      <c r="GT30" s="57"/>
      <c r="GU30" s="57"/>
      <c r="GV30" s="57">
        <f t="shared" si="78"/>
        <v>0</v>
      </c>
      <c r="GW30" s="57">
        <f t="shared" si="253"/>
        <v>0</v>
      </c>
      <c r="GX30" s="57">
        <f t="shared" si="254"/>
        <v>0</v>
      </c>
      <c r="GY30" s="57">
        <f t="shared" si="255"/>
        <v>0</v>
      </c>
      <c r="GZ30" s="57">
        <f t="shared" si="256"/>
        <v>0</v>
      </c>
      <c r="HA30" s="1029">
        <f t="shared" si="79"/>
        <v>0</v>
      </c>
      <c r="HB30" s="57">
        <f t="shared" si="80"/>
        <v>0</v>
      </c>
      <c r="HC30" s="171" t="str">
        <f t="shared" si="81"/>
        <v/>
      </c>
      <c r="HD30" s="57">
        <f t="shared" si="257"/>
        <v>0</v>
      </c>
      <c r="HE30" s="57">
        <f>IF(OR(AND(GS$6=1,$L30=0),AND(GS$6=2,$K30=2,$G30=1)),0,IF(AND(GU$9=2,(OR($F30&gt;1,$K30=1,AND($L30=80,OR($N30=1,AND($N30=2,'#BerechnungDBE'!$AL21&gt;0)))))),IF(GS$4&gt;=$AD$126,0,HC30),IF(GU$9=3,IF(OR(GS$4&gt;=$AD$127,AND($G30=1,$J30=2,GS$6=2),AND(GS$6=1,$N30&lt;&gt;1)),0,IF(GW30&lt;=120,HC30,IF(GS$4&lt;$AD$124,IF($F30=1,60/GU$4*GU$6,60/GU$4*GU$7),IF($F30=1,120/GU$4*GU$6,120/GU$4*GU$7)))),IF(OR($F30=3,$G30=2),IF(OR(AND(GS$4&gt;=$AD$119,$C30=2),AND(GS$4&gt;=$AF$119,$C30=1)),0,IF(GW30&lt;=60,HC30,60/GU$4*GU$7)),IF(AND($F30=2,$G30=1),HC30,0)))))</f>
        <v>0</v>
      </c>
      <c r="HF30" s="57" t="str">
        <f t="shared" si="82"/>
        <v/>
      </c>
      <c r="HG30" s="57" t="str">
        <f t="shared" si="83"/>
        <v/>
      </c>
      <c r="HH30" s="713">
        <f>'org. Düngung 22'!BH29</f>
        <v>0</v>
      </c>
      <c r="HI30" s="57"/>
      <c r="HJ30" s="57"/>
      <c r="HK30" s="57">
        <f t="shared" si="84"/>
        <v>0</v>
      </c>
      <c r="HL30" s="57">
        <f t="shared" si="258"/>
        <v>0</v>
      </c>
      <c r="HM30" s="57">
        <f t="shared" si="259"/>
        <v>0</v>
      </c>
      <c r="HN30" s="57">
        <f t="shared" si="260"/>
        <v>0</v>
      </c>
      <c r="HO30" s="57">
        <f t="shared" si="261"/>
        <v>0</v>
      </c>
      <c r="HP30" s="1029">
        <f t="shared" si="85"/>
        <v>0</v>
      </c>
      <c r="HQ30" s="57">
        <f t="shared" si="86"/>
        <v>0</v>
      </c>
      <c r="HR30" s="171" t="str">
        <f t="shared" si="87"/>
        <v/>
      </c>
      <c r="HS30" s="57">
        <f t="shared" si="262"/>
        <v>0</v>
      </c>
      <c r="HT30" s="57">
        <f>IF(OR(AND(HH$6=1,$L30=0),AND(HH$6=2,$K30=2,$G30=1)),0,IF(AND(HJ$9=2,(OR($F30&gt;1,$K30=1,AND($L30=80,OR($N30=1,AND($N30=2,'#BerechnungDBE'!$AL21&gt;0)))))),IF(HH$4&gt;=$AD$126,0,HR30),IF(HJ$9=3,IF(OR(HH$4&gt;=$AD$127,AND($G30=1,$J30=2,HH$6=2),AND(HH$6=1,$N30&lt;&gt;1)),0,IF(HL30&lt;=120,HR30,IF(HH$4&lt;$AD$124,IF($F30=1,60/HJ$4*HJ$6,60/HJ$4*HJ$7),IF($F30=1,120/HJ$4*HJ$6,120/HJ$4*HJ$7)))),IF(OR($F30=3,$G30=2),IF(OR(AND(HH$4&gt;=$AD$119,$C30=2),AND(HH$4&gt;=$AF$119,$C30=1)),0,IF(HL30&lt;=60,HR30,60/HJ$4*HJ$7)),IF(AND($F30=2,$G30=1),HR30,0)))))</f>
        <v>0</v>
      </c>
      <c r="HU30" s="57" t="str">
        <f t="shared" si="88"/>
        <v/>
      </c>
      <c r="HV30" s="57" t="str">
        <f t="shared" si="89"/>
        <v/>
      </c>
      <c r="HW30" s="713">
        <f>'org. Düngung 22'!BL29</f>
        <v>0</v>
      </c>
      <c r="HX30" s="57"/>
      <c r="HY30" s="57"/>
      <c r="HZ30" s="57">
        <f t="shared" si="90"/>
        <v>0</v>
      </c>
      <c r="IA30" s="57">
        <f t="shared" si="263"/>
        <v>0</v>
      </c>
      <c r="IB30" s="57">
        <f t="shared" si="264"/>
        <v>0</v>
      </c>
      <c r="IC30" s="57">
        <f t="shared" si="265"/>
        <v>0</v>
      </c>
      <c r="ID30" s="57">
        <f t="shared" si="266"/>
        <v>0</v>
      </c>
      <c r="IE30" s="1029">
        <f t="shared" si="91"/>
        <v>0</v>
      </c>
      <c r="IF30" s="57">
        <f t="shared" si="92"/>
        <v>0</v>
      </c>
      <c r="IG30" s="171" t="str">
        <f t="shared" si="93"/>
        <v/>
      </c>
      <c r="IH30" s="57">
        <f t="shared" si="267"/>
        <v>0</v>
      </c>
      <c r="II30" s="57">
        <f>IF(OR(AND(HW$6=1,$L30=0),AND(HW$6=2,$K30=2,$G30=1)),0,IF(AND(HY$9=2,(OR($F30&gt;1,$K30=1,AND($L30=80,OR($N30=1,AND($N30=2,'#BerechnungDBE'!$AL21&gt;0)))))),IF(HW$4&gt;=$AD$126,0,IG30),IF(HY$9=3,IF(OR(HW$4&gt;=$AD$127,AND($G30=1,$J30=2,HW$6=2),AND(HW$6=1,$N30&lt;&gt;1)),0,IF(IA30&lt;=120,IG30,IF(HW$4&lt;$AD$124,IF($F30=1,60/HY$4*HY$6,60/HY$4*HY$7),IF($F30=1,120/HY$4*HY$6,120/HY$4*HY$7)))),IF(OR($F30=3,$G30=2),IF(OR(AND(HW$4&gt;=$AD$119,$C30=2),AND(HW$4&gt;=$AF$119,$C30=1)),0,IF(IA30&lt;=60,IG30,60/HY$4*HY$7)),IF(AND($F30=2,$G30=1),IG30,0)))))</f>
        <v>0</v>
      </c>
      <c r="IJ30" s="57" t="str">
        <f t="shared" si="94"/>
        <v/>
      </c>
      <c r="IK30" s="57" t="str">
        <f t="shared" si="95"/>
        <v/>
      </c>
      <c r="IL30" s="713">
        <f>'org. Düngung 22'!BP29</f>
        <v>0</v>
      </c>
      <c r="IM30" s="57"/>
      <c r="IN30" s="57"/>
      <c r="IO30" s="57">
        <f t="shared" si="96"/>
        <v>0</v>
      </c>
      <c r="IP30" s="57">
        <f t="shared" si="268"/>
        <v>0</v>
      </c>
      <c r="IQ30" s="57">
        <f t="shared" si="269"/>
        <v>0</v>
      </c>
      <c r="IR30" s="57">
        <f t="shared" si="270"/>
        <v>0</v>
      </c>
      <c r="IS30" s="57">
        <f t="shared" si="271"/>
        <v>0</v>
      </c>
      <c r="IT30" s="1029">
        <f t="shared" si="97"/>
        <v>0</v>
      </c>
      <c r="IU30" s="57">
        <f t="shared" si="98"/>
        <v>0</v>
      </c>
      <c r="IV30" s="171" t="str">
        <f t="shared" si="99"/>
        <v/>
      </c>
      <c r="IW30" s="57">
        <f t="shared" si="272"/>
        <v>0</v>
      </c>
      <c r="IX30" s="57">
        <f>IF(OR(AND(IL$6=1,$L30=0),AND(IL$6=2,$K30=2,$G30=1)),0,IF(AND(IN$9=2,(OR($F30&gt;1,$K30=1,AND($L30=80,OR($N30=1,AND($N30=2,'#BerechnungDBE'!$AL21&gt;0)))))),IF(IL$4&gt;=$AD$126,0,IV30),IF(IN$9=3,IF(OR(IL$4&gt;=$AD$127,AND($G30=1,$J30=2,IL$6=2),AND(IL$6=1,$N30&lt;&gt;1)),0,IF(IP30&lt;=120,IV30,IF(IL$4&lt;$AD$124,IF($F30=1,60/IN$4*IN$6,60/IN$4*IN$7),IF($F30=1,120/IN$4*IN$6,120/IN$4*IN$7)))),IF(OR($F30=3,$G30=2),IF(OR(AND(IL$4&gt;=$AD$119,$C30=2),AND(IL$4&gt;=$AF$119,$C30=1)),0,IF(IP30&lt;=60,IV30,60/IN$4*IN$7)),IF(AND($F30=2,$G30=1),IV30,0)))))</f>
        <v>0</v>
      </c>
      <c r="IY30" s="57" t="str">
        <f t="shared" si="100"/>
        <v/>
      </c>
      <c r="IZ30" s="57" t="str">
        <f t="shared" si="101"/>
        <v/>
      </c>
      <c r="JA30" s="713">
        <f>'org. Düngung 22'!BT29</f>
        <v>0</v>
      </c>
      <c r="JB30" s="57"/>
      <c r="JC30" s="57"/>
      <c r="JD30" s="57">
        <f t="shared" si="102"/>
        <v>0</v>
      </c>
      <c r="JE30" s="57">
        <f t="shared" si="273"/>
        <v>0</v>
      </c>
      <c r="JF30" s="57">
        <f t="shared" si="274"/>
        <v>0</v>
      </c>
      <c r="JG30" s="57">
        <f t="shared" si="275"/>
        <v>0</v>
      </c>
      <c r="JH30" s="57">
        <f t="shared" si="276"/>
        <v>0</v>
      </c>
      <c r="JI30" s="1029">
        <f t="shared" si="103"/>
        <v>0</v>
      </c>
      <c r="JJ30" s="57">
        <f t="shared" si="104"/>
        <v>0</v>
      </c>
      <c r="JK30" s="171" t="str">
        <f t="shared" si="105"/>
        <v/>
      </c>
      <c r="JL30" s="57">
        <f t="shared" si="277"/>
        <v>0</v>
      </c>
      <c r="JM30" s="57">
        <f>IF(OR(AND(JA$6=1,$L30=0),AND(JA$6=2,$K30=2,$G30=1)),0,IF(AND(JC$9=2,(OR($F30&gt;1,$K30=1,AND($L30=80,OR($N30=1,AND($N30=2,'#BerechnungDBE'!$AL21&gt;0)))))),IF(JA$4&gt;=$AD$126,0,JK30),IF(JC$9=3,IF(OR(JA$4&gt;=$AD$127,AND($G30=1,$J30=2,JA$6=2),AND(JA$6=1,$N30&lt;&gt;1)),0,IF(JE30&lt;=120,JK30,IF(JA$4&lt;$AD$124,IF($F30=1,60/JC$4*JC$6,60/JC$4*JC$7),IF($F30=1,120/JC$4*JC$6,120/JC$4*JC$7)))),IF(OR($F30=3,$G30=2),IF(OR(AND(JA$4&gt;=$AD$119,$C30=2),AND(JA$4&gt;=$AF$119,$C30=1)),0,IF(JE30&lt;=60,JK30,60/JC$4*JC$7)),IF(AND($F30=2,$G30=1),JK30,0)))))</f>
        <v>0</v>
      </c>
      <c r="JN30" s="57" t="str">
        <f t="shared" si="106"/>
        <v/>
      </c>
      <c r="JO30" s="57" t="str">
        <f t="shared" si="107"/>
        <v/>
      </c>
      <c r="JP30" s="713">
        <f>'org. Düngung 22'!BX29</f>
        <v>0</v>
      </c>
      <c r="JQ30" s="57"/>
      <c r="JR30" s="57"/>
      <c r="JS30" s="57">
        <f t="shared" si="108"/>
        <v>0</v>
      </c>
      <c r="JT30" s="57">
        <f t="shared" si="278"/>
        <v>0</v>
      </c>
      <c r="JU30" s="57">
        <f t="shared" si="279"/>
        <v>0</v>
      </c>
      <c r="JV30" s="57">
        <f t="shared" si="280"/>
        <v>0</v>
      </c>
      <c r="JW30" s="57">
        <f t="shared" si="281"/>
        <v>0</v>
      </c>
      <c r="JX30" s="1029">
        <f t="shared" si="109"/>
        <v>0</v>
      </c>
      <c r="JY30" s="57">
        <f t="shared" si="110"/>
        <v>0</v>
      </c>
      <c r="JZ30" s="171" t="str">
        <f t="shared" si="111"/>
        <v/>
      </c>
      <c r="KA30" s="57">
        <f t="shared" si="282"/>
        <v>0</v>
      </c>
      <c r="KB30" s="57">
        <f>IF(OR(AND(JP$6=1,$L30=0),AND(JP$6=2,$K30=2,$G30=1)),0,IF(AND(JR$9=2,(OR($F30&gt;1,$K30=1,AND($L30=80,OR($N30=1,AND($N30=2,'#BerechnungDBE'!$AL21&gt;0)))))),IF(JP$4&gt;=$AD$126,0,JZ30),IF(JR$9=3,IF(OR(JP$4&gt;=$AD$127,AND($G30=1,$J30=2,JP$6=2),AND(JP$6=1,$N30&lt;&gt;1)),0,IF(JT30&lt;=120,JZ30,IF(JP$4&lt;$AD$124,IF($F30=1,60/JR$4*JR$6,60/JR$4*JR$7),IF($F30=1,120/JR$4*JR$6,120/JR$4*JR$7)))),IF(OR($F30=3,$G30=2),IF(OR(AND(JP$4&gt;=$AD$119,$C30=2),AND(JP$4&gt;=$AF$119,$C30=1)),0,IF(JT30&lt;=60,JZ30,60/JR$4*JR$7)),IF(AND($F30=2,$G30=1),JZ30,0)))))</f>
        <v>0</v>
      </c>
      <c r="KC30" s="57" t="str">
        <f t="shared" si="112"/>
        <v/>
      </c>
      <c r="KD30" s="57" t="str">
        <f t="shared" si="113"/>
        <v/>
      </c>
      <c r="KE30" s="713">
        <f>'org. Düngung 22'!CB29</f>
        <v>0</v>
      </c>
      <c r="KF30" s="57"/>
      <c r="KG30" s="57"/>
      <c r="KH30" s="57">
        <f t="shared" si="114"/>
        <v>0</v>
      </c>
      <c r="KI30" s="57">
        <f t="shared" si="283"/>
        <v>0</v>
      </c>
      <c r="KJ30" s="57">
        <f t="shared" si="284"/>
        <v>0</v>
      </c>
      <c r="KK30" s="57">
        <f t="shared" si="285"/>
        <v>0</v>
      </c>
      <c r="KL30" s="57">
        <f t="shared" si="286"/>
        <v>0</v>
      </c>
      <c r="KM30" s="1029">
        <f t="shared" si="115"/>
        <v>0</v>
      </c>
      <c r="KN30" s="57">
        <f t="shared" si="116"/>
        <v>0</v>
      </c>
      <c r="KO30" s="171" t="str">
        <f t="shared" si="117"/>
        <v/>
      </c>
      <c r="KP30" s="57">
        <f t="shared" si="287"/>
        <v>0</v>
      </c>
      <c r="KQ30" s="57">
        <f>IF(OR(AND(KE$6=1,$L30=0),AND(KE$6=2,$K30=2,$G30=1)),0,IF(AND(KG$9=2,(OR($F30&gt;1,$K30=1,AND($L30=80,OR($N30=1,AND($N30=2,'#BerechnungDBE'!$AL21&gt;0)))))),IF(KE$4&gt;=$AD$126,0,KO30),IF(KG$9=3,IF(OR(KE$4&gt;=$AD$127,AND($G30=1,$J30=2,KE$6=2),AND(KE$6=1,$N30&lt;&gt;1)),0,IF(KI30&lt;=120,KO30,IF(KE$4&lt;$AD$124,IF($F30=1,60/KG$4*KG$6,60/KG$4*KG$7),IF($F30=1,120/KG$4*KG$6,120/KG$4*KG$7)))),IF(OR($F30=3,$G30=2),IF(OR(AND(KE$4&gt;=$AD$119,$C30=2),AND(KE$4&gt;=$AF$119,$C30=1)),0,IF(KI30&lt;=60,KO30,60/KG$4*KG$7)),IF(AND($F30=2,$G30=1),KO30,0)))))</f>
        <v>0</v>
      </c>
      <c r="KR30" s="57" t="str">
        <f t="shared" si="118"/>
        <v/>
      </c>
      <c r="KS30" s="57" t="str">
        <f t="shared" si="119"/>
        <v/>
      </c>
      <c r="KT30" s="713">
        <f>'org. Düngung 22'!CF29</f>
        <v>0</v>
      </c>
      <c r="KU30" s="57"/>
      <c r="KV30" s="57"/>
      <c r="KW30" s="57">
        <f t="shared" si="120"/>
        <v>0</v>
      </c>
      <c r="KX30" s="57">
        <f t="shared" si="288"/>
        <v>0</v>
      </c>
      <c r="KY30" s="57">
        <f t="shared" si="289"/>
        <v>0</v>
      </c>
      <c r="KZ30" s="57">
        <f t="shared" si="290"/>
        <v>0</v>
      </c>
      <c r="LA30" s="57">
        <f t="shared" si="291"/>
        <v>0</v>
      </c>
      <c r="LB30" s="1029">
        <f t="shared" si="121"/>
        <v>0</v>
      </c>
      <c r="LC30" s="57">
        <f t="shared" si="122"/>
        <v>0</v>
      </c>
      <c r="LD30" s="171" t="str">
        <f t="shared" si="123"/>
        <v/>
      </c>
      <c r="LE30" s="57">
        <f t="shared" si="292"/>
        <v>0</v>
      </c>
      <c r="LF30" s="57">
        <f>IF(OR(AND(KT$6=1,$L30=0),AND(KT$6=2,$K30=2,$G30=1)),0,IF(AND(KV$9=2,(OR($F30&gt;1,$K30=1,AND($L30=80,OR($N30=1,AND($N30=2,'#BerechnungDBE'!$AL21&gt;0)))))),IF(KT$4&gt;=$AD$126,0,LD30),IF(KV$9=3,IF(OR(KT$4&gt;=$AD$127,AND($G30=1,$J30=2,KT$6=2),AND(KT$6=1,$N30&lt;&gt;1)),0,IF(KX30&lt;=120,LD30,IF(KT$4&lt;$AD$124,IF($F30=1,60/KV$4*KV$6,60/KV$4*KV$7),IF($F30=1,120/KV$4*KV$6,120/KV$4*KV$7)))),IF(OR($F30=3,$G30=2),IF(OR(AND(KT$4&gt;=$AD$119,$C30=2),AND(KT$4&gt;=$AF$119,$C30=1)),0,IF(KX30&lt;=60,LD30,60/KV$4*KV$7)),IF(AND($F30=2,$G30=1),LD30,0)))))</f>
        <v>0</v>
      </c>
      <c r="LG30" s="57" t="str">
        <f t="shared" si="124"/>
        <v/>
      </c>
      <c r="LH30" s="57" t="str">
        <f t="shared" si="125"/>
        <v/>
      </c>
      <c r="LI30" s="713">
        <f>'org. Düngung 22'!CJ29</f>
        <v>0</v>
      </c>
      <c r="LJ30" s="57"/>
      <c r="LK30" s="57"/>
      <c r="LL30" s="57">
        <f t="shared" si="126"/>
        <v>0</v>
      </c>
      <c r="LM30" s="57">
        <f t="shared" si="293"/>
        <v>0</v>
      </c>
      <c r="LN30" s="57">
        <f t="shared" si="294"/>
        <v>0</v>
      </c>
      <c r="LO30" s="57">
        <f t="shared" si="295"/>
        <v>0</v>
      </c>
      <c r="LP30" s="57">
        <f t="shared" si="296"/>
        <v>0</v>
      </c>
      <c r="LQ30" s="1029">
        <f t="shared" si="127"/>
        <v>0</v>
      </c>
      <c r="LR30" s="57">
        <f t="shared" si="128"/>
        <v>0</v>
      </c>
      <c r="LS30" s="171" t="str">
        <f t="shared" si="129"/>
        <v/>
      </c>
      <c r="LT30" s="57">
        <f t="shared" si="297"/>
        <v>0</v>
      </c>
      <c r="LU30" s="57">
        <f>IF(OR(AND(LI$6=1,$L30=0),AND(LI$6=2,$K30=2,$G30=1)),0,IF(AND(LK$9=2,(OR($F30&gt;1,$K30=1,AND($L30=80,OR($N30=1,AND($N30=2,'#BerechnungDBE'!$AL21&gt;0)))))),IF(LI$4&gt;=$AD$126,0,LS30),IF(LK$9=3,IF(OR(LI$4&gt;=$AD$127,AND($G30=1,$J30=2,LI$6=2),AND(LI$6=1,$N30&lt;&gt;1)),0,IF(LM30&lt;=120,LS30,IF(LI$4&lt;$AD$124,IF($F30=1,60/LK$4*LK$6,60/LK$4*LK$7),IF($F30=1,120/LK$4*LK$6,120/LK$4*LK$7)))),IF(OR($F30=3,$G30=2),IF(OR(AND(LI$4&gt;=$AD$119,$C30=2),AND(LI$4&gt;=$AF$119,$C30=1)),0,IF(LM30&lt;=60,LS30,60/LK$4*LK$7)),IF(AND($F30=2,$G30=1),LS30,0)))))</f>
        <v>0</v>
      </c>
      <c r="LV30" s="57" t="str">
        <f t="shared" si="130"/>
        <v/>
      </c>
      <c r="LW30" s="57" t="str">
        <f t="shared" si="131"/>
        <v/>
      </c>
      <c r="LX30" s="713">
        <f>'org. Düngung 22'!CN29</f>
        <v>0</v>
      </c>
      <c r="LY30" s="57"/>
      <c r="LZ30" s="57"/>
      <c r="MA30" s="57">
        <f t="shared" si="132"/>
        <v>0</v>
      </c>
      <c r="MB30" s="57">
        <f t="shared" si="298"/>
        <v>0</v>
      </c>
      <c r="MC30" s="57">
        <f t="shared" si="299"/>
        <v>0</v>
      </c>
      <c r="MD30" s="57">
        <f t="shared" si="300"/>
        <v>0</v>
      </c>
      <c r="ME30" s="57">
        <f t="shared" si="301"/>
        <v>0</v>
      </c>
      <c r="MF30" s="1029">
        <f t="shared" si="133"/>
        <v>0</v>
      </c>
      <c r="MG30" s="57">
        <f t="shared" si="134"/>
        <v>0</v>
      </c>
      <c r="MH30" s="171" t="str">
        <f t="shared" si="135"/>
        <v/>
      </c>
      <c r="MI30" s="57">
        <f t="shared" si="302"/>
        <v>0</v>
      </c>
      <c r="MJ30" s="57">
        <f>IF(OR(AND(LX$6=1,$L30=0),AND(LX$6=2,$K30=2,$G30=1)),0,IF(AND(LZ$9=2,(OR($F30&gt;1,$K30=1,AND($L30=80,OR($N30=1,AND($N30=2,'#BerechnungDBE'!$AL21&gt;0)))))),IF(LX$4&gt;=$AD$126,0,MH30),IF(LZ$9=3,IF(OR(LX$4&gt;=$AD$127,AND($G30=1,$J30=2,LX$6=2),AND(LX$6=1,$N30&lt;&gt;1)),0,IF(MB30&lt;=120,MH30,IF(LX$4&lt;$AD$124,IF($F30=1,60/LZ$4*LZ$6,60/LZ$4*LZ$7),IF($F30=1,120/LZ$4*LZ$6,120/LZ$4*LZ$7)))),IF(OR($F30=3,$G30=2),IF(OR(AND(LX$4&gt;=$AD$119,$C30=2),AND(LX$4&gt;=$AF$119,$C30=1)),0,IF(MB30&lt;=60,MH30,60/LZ$4*LZ$7)),IF(AND($F30=2,$G30=1),MH30,0)))))</f>
        <v>0</v>
      </c>
      <c r="MK30" s="57" t="str">
        <f t="shared" si="136"/>
        <v/>
      </c>
      <c r="ML30" s="57" t="str">
        <f t="shared" si="137"/>
        <v/>
      </c>
      <c r="MM30" s="713">
        <f>'org. Düngung 22'!CR29</f>
        <v>0</v>
      </c>
      <c r="MN30" s="57"/>
      <c r="MO30" s="57"/>
      <c r="MP30" s="57">
        <f t="shared" si="138"/>
        <v>0</v>
      </c>
      <c r="MQ30" s="57">
        <f t="shared" si="303"/>
        <v>0</v>
      </c>
      <c r="MR30" s="57">
        <f t="shared" si="304"/>
        <v>0</v>
      </c>
      <c r="MS30" s="57">
        <f t="shared" si="305"/>
        <v>0</v>
      </c>
      <c r="MT30" s="57">
        <f t="shared" si="306"/>
        <v>0</v>
      </c>
      <c r="MU30" s="1029">
        <f t="shared" si="139"/>
        <v>0</v>
      </c>
      <c r="MV30" s="57">
        <f t="shared" si="140"/>
        <v>0</v>
      </c>
      <c r="MW30" s="171" t="str">
        <f t="shared" si="141"/>
        <v/>
      </c>
      <c r="MX30" s="57">
        <f t="shared" si="307"/>
        <v>0</v>
      </c>
      <c r="MY30" s="57">
        <f>IF(OR(AND(MM$6=1,$L30=0),AND(MM$6=2,$K30=2,$G30=1)),0,IF(AND(MO$9=2,(OR($F30&gt;1,$K30=1,AND($L30=80,OR($N30=1,AND($N30=2,'#BerechnungDBE'!$AL21&gt;0)))))),IF(MM$4&gt;=$AD$126,0,MW30),IF(MO$9=3,IF(OR(MM$4&gt;=$AD$127,AND($G30=1,$J30=2,MM$6=2),AND(MM$6=1,$N30&lt;&gt;1)),0,IF(MQ30&lt;=120,MW30,IF(MM$4&lt;$AD$124,IF($F30=1,60/MO$4*MO$6,60/MO$4*MO$7),IF($F30=1,120/MO$4*MO$6,120/MO$4*MO$7)))),IF(OR($F30=3,$G30=2),IF(OR(AND(MM$4&gt;=$AD$119,$C30=2),AND(MM$4&gt;=$AF$119,$C30=1)),0,IF(MQ30&lt;=60,MW30,60/MO$4*MO$7)),IF(AND($F30=2,$G30=1),MW30,0)))))</f>
        <v>0</v>
      </c>
      <c r="MZ30" s="57" t="str">
        <f t="shared" si="142"/>
        <v/>
      </c>
      <c r="NA30" s="57" t="str">
        <f t="shared" si="143"/>
        <v/>
      </c>
      <c r="NB30" s="713">
        <f>'org. Düngung 22'!CV29</f>
        <v>0</v>
      </c>
      <c r="NC30" s="57"/>
      <c r="ND30" s="57"/>
      <c r="NE30" s="57">
        <f t="shared" si="144"/>
        <v>0</v>
      </c>
      <c r="NF30" s="57">
        <f t="shared" si="308"/>
        <v>0</v>
      </c>
      <c r="NG30" s="57">
        <f t="shared" si="309"/>
        <v>0</v>
      </c>
      <c r="NH30" s="57">
        <f t="shared" si="310"/>
        <v>0</v>
      </c>
      <c r="NI30" s="57">
        <f t="shared" si="311"/>
        <v>0</v>
      </c>
      <c r="NJ30" s="1029">
        <f t="shared" si="145"/>
        <v>0</v>
      </c>
      <c r="NK30" s="57">
        <f t="shared" si="146"/>
        <v>0</v>
      </c>
      <c r="NL30" s="171" t="str">
        <f t="shared" si="147"/>
        <v/>
      </c>
      <c r="NM30" s="57">
        <f t="shared" si="312"/>
        <v>0</v>
      </c>
      <c r="NN30" s="57">
        <f>IF(OR(AND(NB$6=1,$L30=0),AND(NB$6=2,$K30=2,$G30=1)),0,IF(AND(ND$9=2,(OR($F30&gt;1,$K30=1,AND($L30=80,OR($N30=1,AND($N30=2,'#BerechnungDBE'!$AL21&gt;0)))))),IF(NB$4&gt;=$AD$126,0,NL30),IF(ND$9=3,IF(OR(NB$4&gt;=$AD$127,AND($G30=1,$J30=2,NB$6=2),AND(NB$6=1,$N30&lt;&gt;1)),0,IF(NF30&lt;=120,NL30,IF(NB$4&lt;$AD$124,IF($F30=1,60/ND$4*ND$6,60/ND$4*ND$7),IF($F30=1,120/ND$4*ND$6,120/ND$4*ND$7)))),IF(OR($F30=3,$G30=2),IF(OR(AND(NB$4&gt;=$AD$119,$C30=2),AND(NB$4&gt;=$AF$119,$C30=1)),0,IF(NF30&lt;=60,NL30,60/ND$4*ND$7)),IF(AND($F30=2,$G30=1),NL30,0)))))</f>
        <v>0</v>
      </c>
      <c r="NO30" s="57" t="str">
        <f t="shared" si="148"/>
        <v/>
      </c>
      <c r="NP30" s="57" t="str">
        <f t="shared" si="149"/>
        <v/>
      </c>
      <c r="NQ30" s="713">
        <f>'org. Düngung 22'!CZ29</f>
        <v>0</v>
      </c>
      <c r="NR30" s="57"/>
      <c r="NS30" s="57"/>
      <c r="NT30" s="57">
        <f t="shared" si="150"/>
        <v>0</v>
      </c>
      <c r="NU30" s="57">
        <f t="shared" si="313"/>
        <v>0</v>
      </c>
      <c r="NV30" s="57">
        <f t="shared" si="314"/>
        <v>0</v>
      </c>
      <c r="NW30" s="57">
        <f t="shared" si="315"/>
        <v>0</v>
      </c>
      <c r="NX30" s="57">
        <f t="shared" si="316"/>
        <v>0</v>
      </c>
      <c r="NY30" s="1029">
        <f t="shared" si="151"/>
        <v>0</v>
      </c>
      <c r="NZ30" s="57">
        <f t="shared" si="152"/>
        <v>0</v>
      </c>
      <c r="OA30" s="171" t="str">
        <f t="shared" si="153"/>
        <v/>
      </c>
      <c r="OB30" s="57">
        <f t="shared" si="317"/>
        <v>0</v>
      </c>
      <c r="OC30" s="57">
        <f>IF(OR(AND(NQ$6=1,$L30=0),AND(NQ$6=2,$K30=2,$G30=1)),0,IF(AND(NS$9=2,(OR($F30&gt;1,$K30=1,AND($L30=80,OR($N30=1,AND($N30=2,'#BerechnungDBE'!$AL21&gt;0)))))),IF(NQ$4&gt;=$AD$126,0,OA30),IF(NS$9=3,IF(OR(NQ$4&gt;=$AD$127,AND($G30=1,$J30=2,NQ$6=2),AND(NQ$6=1,$N30&lt;&gt;1)),0,IF(NU30&lt;=120,OA30,IF(NQ$4&lt;$AD$124,IF($F30=1,60/NS$4*NS$6,60/NS$4*NS$7),IF($F30=1,120/NS$4*NS$6,120/NS$4*NS$7)))),IF(OR($F30=3,$G30=2),IF(OR(AND(NQ$4&gt;=$AD$119,$C30=2),AND(NQ$4&gt;=$AF$119,$C30=1)),0,IF(NU30&lt;=60,OA30,60/NS$4*NS$7)),IF(AND($F30=2,$G30=1),OA30,0)))))</f>
        <v>0</v>
      </c>
      <c r="OD30" s="57" t="str">
        <f t="shared" si="154"/>
        <v/>
      </c>
      <c r="OE30" s="57" t="str">
        <f t="shared" si="155"/>
        <v/>
      </c>
      <c r="OF30" s="713">
        <f>'org. Düngung 22'!DD29</f>
        <v>0</v>
      </c>
      <c r="OG30" s="57"/>
      <c r="OH30" s="57"/>
      <c r="OI30" s="57">
        <f t="shared" si="156"/>
        <v>0</v>
      </c>
      <c r="OJ30" s="57">
        <f t="shared" si="318"/>
        <v>0</v>
      </c>
      <c r="OK30" s="57">
        <f t="shared" si="319"/>
        <v>0</v>
      </c>
      <c r="OL30" s="57">
        <f t="shared" si="320"/>
        <v>0</v>
      </c>
      <c r="OM30" s="57">
        <f t="shared" si="321"/>
        <v>0</v>
      </c>
      <c r="ON30" s="1029">
        <f t="shared" si="157"/>
        <v>0</v>
      </c>
      <c r="OO30" s="57">
        <f t="shared" si="158"/>
        <v>0</v>
      </c>
      <c r="OP30" s="171" t="str">
        <f t="shared" si="159"/>
        <v/>
      </c>
      <c r="OQ30" s="57">
        <f t="shared" si="322"/>
        <v>0</v>
      </c>
      <c r="OR30" s="57">
        <f>IF(OR(AND(OF$6=1,$L30=0),AND(OF$6=2,$K30=2,$G30=1)),0,IF(AND(OH$9=2,(OR($F30&gt;1,$K30=1,AND($L30=80,OR($N30=1,AND($N30=2,'#BerechnungDBE'!$AL21&gt;0)))))),IF(OF$4&gt;=$AD$126,0,OP30),IF(OH$9=3,IF(OR(OF$4&gt;=$AD$127,AND($G30=1,$J30=2,OF$6=2),AND(OF$6=1,$N30&lt;&gt;1)),0,IF(OJ30&lt;=120,OP30,IF(OF$4&lt;$AD$124,IF($F30=1,60/OH$4*OH$6,60/OH$4*OH$7),IF($F30=1,120/OH$4*OH$6,120/OH$4*OH$7)))),IF(OR($F30=3,$G30=2),IF(OR(AND(OF$4&gt;=$AD$119,$C30=2),AND(OF$4&gt;=$AF$119,$C30=1)),0,IF(OJ30&lt;=60,OP30,60/OH$4*OH$7)),IF(AND($F30=2,$G30=1),OP30,0)))))</f>
        <v>0</v>
      </c>
      <c r="OS30" s="57" t="str">
        <f t="shared" si="160"/>
        <v/>
      </c>
      <c r="OT30" s="57" t="str">
        <f t="shared" si="161"/>
        <v/>
      </c>
      <c r="OU30" s="713">
        <f>'org. Düngung 22'!DH29</f>
        <v>0</v>
      </c>
      <c r="OV30" s="57"/>
      <c r="OW30" s="57"/>
      <c r="OX30" s="57">
        <f t="shared" si="162"/>
        <v>0</v>
      </c>
      <c r="OY30" s="57">
        <f t="shared" si="323"/>
        <v>0</v>
      </c>
      <c r="OZ30" s="57">
        <f t="shared" si="324"/>
        <v>0</v>
      </c>
      <c r="PA30" s="57">
        <f t="shared" si="325"/>
        <v>0</v>
      </c>
      <c r="PB30" s="57">
        <f t="shared" si="326"/>
        <v>0</v>
      </c>
      <c r="PC30" s="1029">
        <f t="shared" si="163"/>
        <v>0</v>
      </c>
      <c r="PD30" s="57">
        <f t="shared" si="164"/>
        <v>0</v>
      </c>
      <c r="PE30" s="171" t="str">
        <f t="shared" si="165"/>
        <v/>
      </c>
      <c r="PF30" s="57">
        <f t="shared" si="327"/>
        <v>0</v>
      </c>
      <c r="PG30" s="57">
        <f>IF(OR(AND(OU$6=1,$L30=0),AND(OU$6=2,$K30=2,$G30=1)),0,IF(AND(OW$9=2,(OR($F30&gt;1,$K30=1,AND($L30=80,OR($N30=1,AND($N30=2,'#BerechnungDBE'!$AL21&gt;0)))))),IF(OU$4&gt;=$AD$126,0,PE30),IF(OW$9=3,IF(OR(OU$4&gt;=$AD$127,AND($G30=1,$J30=2,OU$6=2),AND(OU$6=1,$N30&lt;&gt;1)),0,IF(OY30&lt;=120,PE30,IF(OU$4&lt;$AD$124,IF($F30=1,60/OW$4*OW$6,60/OW$4*OW$7),IF($F30=1,120/OW$4*OW$6,120/OW$4*OW$7)))),IF(OR($F30=3,$G30=2),IF(OR(AND(OU$4&gt;=$AD$119,$C30=2),AND(OU$4&gt;=$AF$119,$C30=1)),0,IF(OY30&lt;=60,PE30,60/OW$4*OW$7)),IF(AND($F30=2,$G30=1),PE30,0)))))</f>
        <v>0</v>
      </c>
      <c r="PH30" s="57" t="str">
        <f t="shared" si="166"/>
        <v/>
      </c>
      <c r="PI30" s="57" t="str">
        <f t="shared" si="167"/>
        <v/>
      </c>
      <c r="PJ30" s="713">
        <f>'org. Düngung 22'!DL29</f>
        <v>0</v>
      </c>
      <c r="PK30" s="57"/>
      <c r="PL30" s="57"/>
      <c r="PM30" s="57">
        <f t="shared" si="168"/>
        <v>0</v>
      </c>
      <c r="PN30" s="57">
        <f t="shared" si="328"/>
        <v>0</v>
      </c>
      <c r="PO30" s="57">
        <f t="shared" si="329"/>
        <v>0</v>
      </c>
      <c r="PP30" s="57">
        <f t="shared" si="330"/>
        <v>0</v>
      </c>
      <c r="PQ30" s="57">
        <f t="shared" si="331"/>
        <v>0</v>
      </c>
      <c r="PR30" s="1029">
        <f t="shared" si="169"/>
        <v>0</v>
      </c>
      <c r="PS30" s="57">
        <f t="shared" si="170"/>
        <v>0</v>
      </c>
      <c r="PT30" s="171" t="str">
        <f t="shared" si="171"/>
        <v/>
      </c>
      <c r="PU30" s="57">
        <f t="shared" si="332"/>
        <v>0</v>
      </c>
      <c r="PV30" s="57">
        <f>IF(OR(AND(PJ$6=1,$L30=0),AND(PJ$6=2,$K30=2,$G30=1)),0,IF(AND(PL$9=2,(OR($F30&gt;1,$K30=1,AND($L30=80,OR($N30=1,AND($N30=2,'#BerechnungDBE'!$AL21&gt;0)))))),IF(PJ$4&gt;=$AD$126,0,PT30),IF(PL$9=3,IF(OR(PJ$4&gt;=$AD$127,AND($G30=1,$J30=2,PJ$6=2),AND(PJ$6=1,$N30&lt;&gt;1)),0,IF(PN30&lt;=120,PT30,IF(PJ$4&lt;$AD$124,IF($F30=1,60/PL$4*PL$6,60/PL$4*PL$7),IF($F30=1,120/PL$4*PL$6,120/PL$4*PL$7)))),IF(OR($F30=3,$G30=2),IF(OR(AND(PJ$4&gt;=$AD$119,$C30=2),AND(PJ$4&gt;=$AF$119,$C30=1)),0,IF(PN30&lt;=60,PT30,60/PL$4*PL$7)),IF(AND($F30=2,$G30=1),PT30,0)))))</f>
        <v>0</v>
      </c>
      <c r="PW30" s="57" t="str">
        <f t="shared" si="172"/>
        <v/>
      </c>
      <c r="PX30" s="57" t="str">
        <f t="shared" si="173"/>
        <v/>
      </c>
      <c r="PY30" s="713">
        <f>'org. Düngung 22'!DP29</f>
        <v>0</v>
      </c>
      <c r="PZ30" s="57"/>
      <c r="QA30" s="57"/>
      <c r="QB30" s="57">
        <f t="shared" si="174"/>
        <v>0</v>
      </c>
      <c r="QC30" s="57">
        <f t="shared" si="333"/>
        <v>0</v>
      </c>
      <c r="QD30" s="57">
        <f t="shared" si="334"/>
        <v>0</v>
      </c>
      <c r="QE30" s="57">
        <f t="shared" si="335"/>
        <v>0</v>
      </c>
      <c r="QF30" s="57">
        <f t="shared" si="336"/>
        <v>0</v>
      </c>
      <c r="QG30" s="1029">
        <f t="shared" si="175"/>
        <v>0</v>
      </c>
      <c r="QH30" s="57">
        <f t="shared" si="176"/>
        <v>0</v>
      </c>
      <c r="QI30" s="171" t="str">
        <f t="shared" si="177"/>
        <v/>
      </c>
      <c r="QJ30" s="57">
        <f t="shared" si="337"/>
        <v>0</v>
      </c>
      <c r="QK30" s="57">
        <f>IF(OR(AND(PY$6=1,$L30=0),AND(PY$6=2,$K30=2,$G30=1)),0,IF(AND(QA$9=2,(OR($F30&gt;1,$K30=1,AND($L30=80,OR($N30=1,AND($N30=2,'#BerechnungDBE'!$AL21&gt;0)))))),IF(PY$4&gt;=$AD$126,0,QI30),IF(QA$9=3,IF(OR(PY$4&gt;=$AD$127,AND($G30=1,$J30=2,PY$6=2),AND(PY$6=1,$N30&lt;&gt;1)),0,IF(QC30&lt;=120,QI30,IF(PY$4&lt;$AD$124,IF($F30=1,60/QA$4*QA$6,60/QA$4*QA$7),IF($F30=1,120/QA$4*QA$6,120/QA$4*QA$7)))),IF(OR($F30=3,$G30=2),IF(OR(AND(PY$4&gt;=$AD$119,$C30=2),AND(PY$4&gt;=$AF$119,$C30=1)),0,IF(QC30&lt;=60,QI30,60/QA$4*QA$7)),IF(AND($F30=2,$G30=1),QI30,0)))))</f>
        <v>0</v>
      </c>
      <c r="QL30" s="57" t="str">
        <f t="shared" si="178"/>
        <v/>
      </c>
      <c r="QM30" s="57" t="str">
        <f t="shared" si="179"/>
        <v/>
      </c>
      <c r="QN30" s="713">
        <f>'org. Düngung 22'!DT29</f>
        <v>0</v>
      </c>
      <c r="QO30" s="57"/>
      <c r="QP30" s="57"/>
      <c r="QQ30" s="57">
        <f t="shared" si="180"/>
        <v>0</v>
      </c>
      <c r="QR30" s="57">
        <f t="shared" si="338"/>
        <v>0</v>
      </c>
      <c r="QS30" s="57">
        <f t="shared" si="339"/>
        <v>0</v>
      </c>
      <c r="QT30" s="57">
        <f t="shared" si="340"/>
        <v>0</v>
      </c>
      <c r="QU30" s="57">
        <f t="shared" si="341"/>
        <v>0</v>
      </c>
      <c r="QV30" s="1029">
        <f t="shared" si="181"/>
        <v>0</v>
      </c>
      <c r="QW30" s="57">
        <f t="shared" si="182"/>
        <v>0</v>
      </c>
      <c r="QX30" s="171" t="str">
        <f t="shared" si="183"/>
        <v/>
      </c>
      <c r="QY30" s="57">
        <f t="shared" si="342"/>
        <v>0</v>
      </c>
      <c r="QZ30" s="57">
        <f>IF(OR(AND(QN$6=1,$L30=0),AND(QN$6=2,$K30=2,$G30=1)),0,IF(AND(QP$9=2,(OR($F30&gt;1,$K30=1,AND($L30=80,OR($N30=1,AND($N30=2,'#BerechnungDBE'!$AL21&gt;0)))))),IF(QN$4&gt;=$AD$126,0,QX30),IF(QP$9=3,IF(OR(QN$4&gt;=$AD$127,AND($G30=1,$J30=2,QN$6=2),AND(QN$6=1,$N30&lt;&gt;1)),0,IF(QR30&lt;=120,QX30,IF(QN$4&lt;$AD$124,IF($F30=1,60/QP$4*QP$6,60/QP$4*QP$7),IF($F30=1,120/QP$4*QP$6,120/QP$4*QP$7)))),IF(OR($F30=3,$G30=2),IF(OR(AND(QN$4&gt;=$AD$119,$C30=2),AND(QN$4&gt;=$AF$119,$C30=1)),0,IF(QR30&lt;=60,QX30,60/QP$4*QP$7)),IF(AND($F30=2,$G30=1),QX30,0)))))</f>
        <v>0</v>
      </c>
      <c r="RA30" s="57" t="str">
        <f t="shared" si="184"/>
        <v/>
      </c>
      <c r="RB30" s="57" t="str">
        <f t="shared" si="185"/>
        <v/>
      </c>
      <c r="RC30" s="713">
        <f>'org. Düngung 22'!DX29</f>
        <v>0</v>
      </c>
      <c r="RD30" s="57"/>
      <c r="RE30" s="57"/>
      <c r="RF30" s="57">
        <f t="shared" si="186"/>
        <v>0</v>
      </c>
      <c r="RG30" s="57">
        <f t="shared" si="343"/>
        <v>0</v>
      </c>
      <c r="RH30" s="57">
        <f t="shared" si="344"/>
        <v>0</v>
      </c>
      <c r="RI30" s="57">
        <f t="shared" si="345"/>
        <v>0</v>
      </c>
      <c r="RJ30" s="57">
        <f t="shared" si="346"/>
        <v>0</v>
      </c>
      <c r="RK30" s="1029">
        <f t="shared" si="187"/>
        <v>0</v>
      </c>
      <c r="RL30" s="57">
        <f t="shared" si="188"/>
        <v>0</v>
      </c>
      <c r="RM30" s="171" t="str">
        <f t="shared" si="189"/>
        <v/>
      </c>
      <c r="RN30" s="57">
        <f t="shared" si="347"/>
        <v>0</v>
      </c>
      <c r="RO30" s="57">
        <f>IF(OR(AND(RC$6=1,$L30=0),AND(RC$6=2,$K30=2,$G30=1)),0,IF(AND(RE$9=2,(OR($F30&gt;1,$K30=1,AND($L30=80,OR($N30=1,AND($N30=2,'#BerechnungDBE'!$AL21&gt;0)))))),IF(RC$4&gt;=$AD$126,0,RM30),IF(RE$9=3,IF(OR(RC$4&gt;=$AD$127,AND($G30=1,$J30=2,RC$6=2),AND(RC$6=1,$N30&lt;&gt;1)),0,IF(RG30&lt;=120,RM30,IF(RC$4&lt;$AD$124,IF($F30=1,60/RE$4*RE$6,60/RE$4*RE$7),IF($F30=1,120/RE$4*RE$6,120/RE$4*RE$7)))),IF(OR($F30=3,$G30=2),IF(OR(AND(RC$4&gt;=$AD$119,$C30=2),AND(RC$4&gt;=$AF$119,$C30=1)),0,IF(RG30&lt;=60,RM30,60/RE$4*RE$7)),IF(AND($F30=2,$G30=1),RM30,0)))))</f>
        <v>0</v>
      </c>
      <c r="RP30" s="57" t="str">
        <f t="shared" si="190"/>
        <v/>
      </c>
      <c r="RQ30" s="57" t="str">
        <f t="shared" si="191"/>
        <v/>
      </c>
      <c r="RS30" s="57" t="str">
        <f t="shared" si="348"/>
        <v/>
      </c>
      <c r="RT30" s="57" t="str">
        <f t="shared" si="192"/>
        <v/>
      </c>
      <c r="RU30" s="57" t="str">
        <f t="shared" si="193"/>
        <v/>
      </c>
      <c r="RV30" s="57" t="str">
        <f>IF(Z30&gt;'#BerechnungDBE'!BM21,$RV$9,"")</f>
        <v/>
      </c>
      <c r="RW30" s="57" t="str">
        <f>IF(AND(L30=70,AE30&gt;'#BerechnungDBE'!CQ21),$RW$9,"")</f>
        <v/>
      </c>
      <c r="RX30" s="57" t="str">
        <f>IF(OR('org. Düngung 22'!G29="--",'org. Düngung 22'!G29&lt;=170,'org. Düngung 22'!G29=""),"",$RX$9)</f>
        <v/>
      </c>
      <c r="RY30" s="57" t="str">
        <f>IF('org. Düngung 22'!K29&gt;120,'#orgDung'!$RY$9,"")</f>
        <v/>
      </c>
      <c r="RZ30" s="57" t="str">
        <f>IF('#BerechnungDBE'!P21&lt;4,"",IF(AND('#BerechnungDBE'!BZ21&gt;0,T30&gt;0),'#orgDung'!$RZ$9,""))</f>
        <v/>
      </c>
      <c r="SA30" s="57" t="str">
        <f t="shared" si="194"/>
        <v/>
      </c>
    </row>
    <row r="31" spans="1:495" s="875" customFormat="1" x14ac:dyDescent="0.2">
      <c r="A31" s="875">
        <f>'Flächen u. Kulturen'!A27</f>
        <v>18</v>
      </c>
      <c r="B31" s="367">
        <f>'#BerechnungDBE'!L22</f>
        <v>0</v>
      </c>
      <c r="C31" s="875">
        <f>'#BerechnungDBE'!R22</f>
        <v>1</v>
      </c>
      <c r="D31" s="875">
        <f>'#BerechnungDBE'!T22</f>
        <v>2</v>
      </c>
      <c r="E31" s="875" t="str">
        <f>'Flächen u. Kulturen'!E27</f>
        <v>x</v>
      </c>
      <c r="F31" s="52">
        <f>'#BerechnungDBE'!N22</f>
        <v>1</v>
      </c>
      <c r="G31" s="52">
        <f>'#BerechnungDBE'!O22</f>
        <v>1</v>
      </c>
      <c r="H31" s="875">
        <f>IF('Flächen u. Kulturen'!P27="",0,VLOOKUP('Flächen u. Kulturen'!P27,Kulturen[[HF]:[Berechnungsgruppe]],'#Frucht'!$H$1,FALSE))</f>
        <v>0</v>
      </c>
      <c r="I31" s="875">
        <f>IF('Flächen u. Kulturen'!J27="",0,VLOOKUP('Flächen u. Kulturen'!J27,Kulturen[[HF]:[Berechnungsgruppe]],'#Frucht'!$G$1,FALSE))</f>
        <v>90</v>
      </c>
      <c r="J31" s="505">
        <f t="shared" si="195"/>
        <v>2</v>
      </c>
      <c r="K31" s="505">
        <f>IF('Flächen u. Kulturen'!P27="",0,IF(VLOOKUP('Flächen u. Kulturen'!P27,Kulturen[[HF]:[Saat Winterungen]],'#Frucht'!$P$1,FALSE)&gt;0,1,2))</f>
        <v>2</v>
      </c>
      <c r="L31" s="875">
        <f>'#BerechnungDBE'!AF22</f>
        <v>0</v>
      </c>
      <c r="M31" s="875">
        <f>IF('Flächen u. Kulturen'!L27="",0,VLOOKUP('Flächen u. Kulturen'!L27,Nebenkultur[[Nebenkultur]:[Legum. Zwischenfr.]],'#Zweitfr'!$K$1,FALSE))</f>
        <v>0</v>
      </c>
      <c r="N31" s="875">
        <f>'#BerechnungDBE'!AG22</f>
        <v>0</v>
      </c>
      <c r="P31" s="57">
        <f t="shared" si="0"/>
        <v>0</v>
      </c>
      <c r="Q31" s="57">
        <f t="shared" si="1"/>
        <v>0</v>
      </c>
      <c r="R31" s="875">
        <f t="shared" si="2"/>
        <v>0</v>
      </c>
      <c r="S31" s="938" t="str">
        <f t="shared" si="3"/>
        <v/>
      </c>
      <c r="T31" s="875">
        <f t="shared" si="4"/>
        <v>0</v>
      </c>
      <c r="U31" s="875">
        <f t="shared" si="5"/>
        <v>0</v>
      </c>
      <c r="V31" s="875">
        <f t="shared" si="6"/>
        <v>0</v>
      </c>
      <c r="W31" s="875">
        <f t="shared" si="7"/>
        <v>0</v>
      </c>
      <c r="X31" s="875">
        <f t="shared" si="8"/>
        <v>0</v>
      </c>
      <c r="Y31" s="875">
        <f t="shared" si="349"/>
        <v>0</v>
      </c>
      <c r="Z31" s="875">
        <f t="shared" si="350"/>
        <v>0</v>
      </c>
      <c r="AA31" s="910">
        <f t="shared" si="9"/>
        <v>0</v>
      </c>
      <c r="AB31" s="57">
        <f t="shared" si="351"/>
        <v>0</v>
      </c>
      <c r="AC31" s="875">
        <f t="shared" si="10"/>
        <v>0</v>
      </c>
      <c r="AD31" s="875">
        <f t="shared" si="11"/>
        <v>0</v>
      </c>
      <c r="AE31" s="875">
        <f t="shared" si="12"/>
        <v>0</v>
      </c>
      <c r="AF31" s="875">
        <f t="shared" si="352"/>
        <v>0</v>
      </c>
      <c r="AG31" s="875">
        <f>'org. Düngung 22'!J30</f>
        <v>0</v>
      </c>
      <c r="AH31" s="875">
        <f>'org. Düngung 22'!K30</f>
        <v>0</v>
      </c>
      <c r="AJ31" s="713">
        <f>'org. Düngung 22'!L30</f>
        <v>0</v>
      </c>
      <c r="AK31" s="57"/>
      <c r="AL31" s="57"/>
      <c r="AM31" s="57">
        <f t="shared" si="196"/>
        <v>0</v>
      </c>
      <c r="AN31" s="57">
        <f t="shared" si="197"/>
        <v>0</v>
      </c>
      <c r="AO31" s="57">
        <f t="shared" si="198"/>
        <v>0</v>
      </c>
      <c r="AP31" s="57">
        <f t="shared" si="199"/>
        <v>0</v>
      </c>
      <c r="AQ31" s="57">
        <f t="shared" si="200"/>
        <v>0</v>
      </c>
      <c r="AR31" s="1029">
        <f t="shared" si="14"/>
        <v>0</v>
      </c>
      <c r="AS31" s="57">
        <f t="shared" si="15"/>
        <v>0</v>
      </c>
      <c r="AT31" s="171" t="str">
        <f t="shared" si="16"/>
        <v/>
      </c>
      <c r="AU31" s="57">
        <f t="shared" si="201"/>
        <v>0</v>
      </c>
      <c r="AV31" s="57">
        <f>IF(OR(AND(AJ$6=1,$L31=0),AND(AJ$6=2,$K31=2,$G31=1)),0,IF(AND(AL$9=2,(OR($F31&gt;1,$K31=1,AND($L31=80,OR($N31=1,AND($N31=2,'#BerechnungDBE'!$AL22&gt;0)))))),IF(AJ$4&gt;=$AD$126,0,AT31),IF(AL$9=3,IF(OR(AJ$4&gt;=$AD$127,AND($G31=1,$J31=2,AJ$6=2),AND(AJ$6=1,$N31&lt;&gt;1)),0,IF(AN31&lt;=120,AT31,IF(AJ$4&lt;$AD$124,IF($F31=1,60/AL$4*AL$6,60/AL$4*AL$7),IF($F31=1,120/AL$4*AL$6,120/AL$4*AL$7)))),IF(OR($F31=3,$G31=2),IF(OR(AND(AJ$4&gt;=$AD$119,$C31=2),AND(AJ$4&gt;=$AF$119,$C31=1)),0,IF(AN31&lt;=60,AT31,60/AL$4*AL$7)),IF(AND($F31=2,$G31=1),AT31,0)))))</f>
        <v>0</v>
      </c>
      <c r="AW31" s="57" t="str">
        <f t="shared" si="202"/>
        <v/>
      </c>
      <c r="AX31" s="57" t="str">
        <f t="shared" si="17"/>
        <v/>
      </c>
      <c r="AY31" s="713">
        <f>'org. Düngung 22'!P30</f>
        <v>0</v>
      </c>
      <c r="AZ31" s="57"/>
      <c r="BA31" s="57"/>
      <c r="BB31" s="57">
        <f t="shared" si="18"/>
        <v>0</v>
      </c>
      <c r="BC31" s="57">
        <f t="shared" si="203"/>
        <v>0</v>
      </c>
      <c r="BD31" s="57">
        <f t="shared" si="204"/>
        <v>0</v>
      </c>
      <c r="BE31" s="57">
        <f t="shared" si="205"/>
        <v>0</v>
      </c>
      <c r="BF31" s="57">
        <f t="shared" si="206"/>
        <v>0</v>
      </c>
      <c r="BG31" s="1029">
        <f t="shared" si="19"/>
        <v>0</v>
      </c>
      <c r="BH31" s="57">
        <f t="shared" si="20"/>
        <v>0</v>
      </c>
      <c r="BI31" s="171" t="str">
        <f t="shared" si="21"/>
        <v/>
      </c>
      <c r="BJ31" s="57">
        <f t="shared" si="207"/>
        <v>0</v>
      </c>
      <c r="BK31" s="57">
        <f>IF(OR(AND(AY$6=1,$L31=0),AND(AY$6=2,$K31=2,$G31=1)),0,IF(AND(BA$9=2,(OR($F31&gt;1,$K31=1,AND($L31=80,OR($N31=1,AND($N31=2,'#BerechnungDBE'!$AL22&gt;0)))))),IF(AY$4&gt;=$AD$126,0,BI31),IF(BA$9=3,IF(OR(AY$4&gt;=$AD$127,AND($G31=1,$J31=2,AY$6=2),AND(AY$6=1,$N31&lt;&gt;1)),0,IF(BC31&lt;=120,BI31,IF(AY$4&lt;$AD$124,IF($F31=1,60/BA$4*BA$6,60/BA$4*BA$7),IF($F31=1,120/BA$4*BA$6,120/BA$4*BA$7)))),IF(OR($F31=3,$G31=2),IF(OR(AND(AY$4&gt;=$AD$119,$C31=2),AND(AY$4&gt;=$AF$119,$C31=1)),0,IF(BC31&lt;=60,BI31,60/BA$4*BA$7)),IF(AND($F31=2,$G31=1),BI31,0)))))</f>
        <v>0</v>
      </c>
      <c r="BL31" s="57" t="str">
        <f t="shared" si="22"/>
        <v/>
      </c>
      <c r="BM31" s="57" t="str">
        <f t="shared" si="23"/>
        <v/>
      </c>
      <c r="BN31" s="713">
        <f>'org. Düngung 22'!T30</f>
        <v>0</v>
      </c>
      <c r="BO31" s="57"/>
      <c r="BP31" s="57"/>
      <c r="BQ31" s="57">
        <f t="shared" si="24"/>
        <v>0</v>
      </c>
      <c r="BR31" s="57">
        <f t="shared" si="208"/>
        <v>0</v>
      </c>
      <c r="BS31" s="57">
        <f t="shared" si="209"/>
        <v>0</v>
      </c>
      <c r="BT31" s="57">
        <f t="shared" si="210"/>
        <v>0</v>
      </c>
      <c r="BU31" s="57">
        <f t="shared" si="211"/>
        <v>0</v>
      </c>
      <c r="BV31" s="1029">
        <f t="shared" si="25"/>
        <v>0</v>
      </c>
      <c r="BW31" s="57">
        <f t="shared" si="26"/>
        <v>0</v>
      </c>
      <c r="BX31" s="171" t="str">
        <f t="shared" si="27"/>
        <v/>
      </c>
      <c r="BY31" s="57">
        <f t="shared" si="212"/>
        <v>0</v>
      </c>
      <c r="BZ31" s="57">
        <f>IF(OR(AND(BN$6=1,$L31=0),AND(BN$6=2,$K31=2,$G31=1)),0,IF(AND(BP$9=2,(OR($F31&gt;1,$K31=1,AND($L31=80,OR($N31=1,AND($N31=2,'#BerechnungDBE'!$AL22&gt;0)))))),IF(BN$4&gt;=$AD$126,0,BX31),IF(BP$9=3,IF(OR(BN$4&gt;=$AD$127,AND($G31=1,$J31=2,BN$6=2),AND(BN$6=1,$N31&lt;&gt;1)),0,IF(BR31&lt;=120,BX31,IF(BN$4&lt;$AD$124,IF($F31=1,60/BP$4*BP$6,60/BP$4*BP$7),IF($F31=1,120/BP$4*BP$6,120/BP$4*BP$7)))),IF(OR($F31=3,$G31=2),IF(OR(AND(BN$4&gt;=$AD$119,$C31=2),AND(BN$4&gt;=$AF$119,$C31=1)),0,IF(BR31&lt;=60,BX31,60/BP$4*BP$7)),IF(AND($F31=2,$G31=1),BX31,0)))))</f>
        <v>0</v>
      </c>
      <c r="CA31" s="57" t="str">
        <f t="shared" si="28"/>
        <v/>
      </c>
      <c r="CB31" s="57" t="str">
        <f t="shared" si="29"/>
        <v/>
      </c>
      <c r="CC31" s="713">
        <f>'org. Düngung 22'!X30</f>
        <v>0</v>
      </c>
      <c r="CD31" s="57"/>
      <c r="CE31" s="57"/>
      <c r="CF31" s="57">
        <f t="shared" si="30"/>
        <v>0</v>
      </c>
      <c r="CG31" s="57">
        <f t="shared" si="213"/>
        <v>0</v>
      </c>
      <c r="CH31" s="57">
        <f t="shared" si="214"/>
        <v>0</v>
      </c>
      <c r="CI31" s="57">
        <f t="shared" si="215"/>
        <v>0</v>
      </c>
      <c r="CJ31" s="57">
        <f t="shared" si="216"/>
        <v>0</v>
      </c>
      <c r="CK31" s="1029">
        <f t="shared" si="31"/>
        <v>0</v>
      </c>
      <c r="CL31" s="57">
        <f t="shared" si="32"/>
        <v>0</v>
      </c>
      <c r="CM31" s="171" t="str">
        <f t="shared" si="33"/>
        <v/>
      </c>
      <c r="CN31" s="57">
        <f t="shared" si="217"/>
        <v>0</v>
      </c>
      <c r="CO31" s="57">
        <f>IF(OR(AND(CC$6=1,$L31=0),AND(CC$6=2,$K31=2,$G31=1)),0,IF(AND(CE$9=2,(OR($F31&gt;1,$K31=1,AND($L31=80,OR($N31=1,AND($N31=2,'#BerechnungDBE'!$AL22&gt;0)))))),IF(CC$4&gt;=$AD$126,0,CM31),IF(CE$9=3,IF(OR(CC$4&gt;=$AD$127,AND($G31=1,$J31=2,CC$6=2),AND(CC$6=1,$N31&lt;&gt;1)),0,IF(CG31&lt;=120,CM31,IF(CC$4&lt;$AD$124,IF($F31=1,60/CE$4*CE$6,60/CE$4*CE$7),IF($F31=1,120/CE$4*CE$6,120/CE$4*CE$7)))),IF(OR($F31=3,$G31=2),IF(OR(AND(CC$4&gt;=$AD$119,$C31=2),AND(CC$4&gt;=$AF$119,$C31=1)),0,IF(CG31&lt;=60,CM31,60/CE$4*CE$7)),IF(AND($F31=2,$G31=1),CM31,0)))))</f>
        <v>0</v>
      </c>
      <c r="CP31" s="57" t="str">
        <f t="shared" si="34"/>
        <v/>
      </c>
      <c r="CQ31" s="57" t="str">
        <f t="shared" si="35"/>
        <v/>
      </c>
      <c r="CR31" s="713">
        <f>'org. Düngung 22'!AB30</f>
        <v>0</v>
      </c>
      <c r="CS31" s="57"/>
      <c r="CT31" s="57"/>
      <c r="CU31" s="57">
        <f t="shared" si="36"/>
        <v>0</v>
      </c>
      <c r="CV31" s="57">
        <f t="shared" si="218"/>
        <v>0</v>
      </c>
      <c r="CW31" s="57">
        <f t="shared" si="219"/>
        <v>0</v>
      </c>
      <c r="CX31" s="57">
        <f t="shared" si="220"/>
        <v>0</v>
      </c>
      <c r="CY31" s="57">
        <f t="shared" si="221"/>
        <v>0</v>
      </c>
      <c r="CZ31" s="1029">
        <f t="shared" si="37"/>
        <v>0</v>
      </c>
      <c r="DA31" s="57">
        <f t="shared" si="38"/>
        <v>0</v>
      </c>
      <c r="DB31" s="171" t="str">
        <f t="shared" si="39"/>
        <v/>
      </c>
      <c r="DC31" s="57">
        <f t="shared" si="222"/>
        <v>0</v>
      </c>
      <c r="DD31" s="57">
        <f>IF(OR(AND(CR$6=1,$L31=0),AND(CR$6=2,$K31=2,$G31=1)),0,IF(AND(CT$9=2,(OR($F31&gt;1,$K31=1,AND($L31=80,OR($N31=1,AND($N31=2,'#BerechnungDBE'!$AL22&gt;0)))))),IF(CR$4&gt;=$AD$126,0,DB31),IF(CT$9=3,IF(OR(CR$4&gt;=$AD$127,AND($G31=1,$J31=2,CR$6=2),AND(CR$6=1,$N31&lt;&gt;1)),0,IF(CV31&lt;=120,DB31,IF(CR$4&lt;$AD$124,IF($F31=1,60/CT$4*CT$6,60/CT$4*CT$7),IF($F31=1,120/CT$4*CT$6,120/CT$4*CT$7)))),IF(OR($F31=3,$G31=2),IF(OR(AND(CR$4&gt;=$AD$119,$C31=2),AND(CR$4&gt;=$AF$119,$C31=1)),0,IF(CV31&lt;=60,DB31,60/CT$4*CT$7)),IF(AND($F31=2,$G31=1),DB31,0)))))</f>
        <v>0</v>
      </c>
      <c r="DE31" s="57" t="str">
        <f t="shared" si="40"/>
        <v/>
      </c>
      <c r="DF31" s="57" t="str">
        <f t="shared" si="41"/>
        <v/>
      </c>
      <c r="DG31" s="713">
        <f>'org. Düngung 22'!AF30</f>
        <v>0</v>
      </c>
      <c r="DH31" s="57"/>
      <c r="DI31" s="57"/>
      <c r="DJ31" s="57">
        <f t="shared" si="42"/>
        <v>0</v>
      </c>
      <c r="DK31" s="57">
        <f t="shared" si="223"/>
        <v>0</v>
      </c>
      <c r="DL31" s="57">
        <f t="shared" si="224"/>
        <v>0</v>
      </c>
      <c r="DM31" s="57">
        <f t="shared" si="225"/>
        <v>0</v>
      </c>
      <c r="DN31" s="57">
        <f t="shared" si="226"/>
        <v>0</v>
      </c>
      <c r="DO31" s="1029">
        <f t="shared" si="43"/>
        <v>0</v>
      </c>
      <c r="DP31" s="57">
        <f t="shared" si="44"/>
        <v>0</v>
      </c>
      <c r="DQ31" s="171" t="str">
        <f t="shared" si="45"/>
        <v/>
      </c>
      <c r="DR31" s="57">
        <f t="shared" si="227"/>
        <v>0</v>
      </c>
      <c r="DS31" s="57">
        <f>IF(OR(AND(DG$6=1,$L31=0),AND(DG$6=2,$K31=2,$G31=1)),0,IF(AND(DI$9=2,(OR($F31&gt;1,$K31=1,AND($L31=80,OR($N31=1,AND($N31=2,'#BerechnungDBE'!$AL22&gt;0)))))),IF(DG$4&gt;=$AD$126,0,DQ31),IF(DI$9=3,IF(OR(DG$4&gt;=$AD$127,AND($G31=1,$J31=2,DG$6=2),AND(DG$6=1,$N31&lt;&gt;1)),0,IF(DK31&lt;=120,DQ31,IF(DG$4&lt;$AD$124,IF($F31=1,60/DI$4*DI$6,60/DI$4*DI$7),IF($F31=1,120/DI$4*DI$6,120/DI$4*DI$7)))),IF(OR($F31=3,$G31=2),IF(OR(AND(DG$4&gt;=$AD$119,$C31=2),AND(DG$4&gt;=$AF$119,$C31=1)),0,IF(DK31&lt;=60,DQ31,60/DI$4*DI$7)),IF(AND($F31=2,$G31=1),DQ31,0)))))</f>
        <v>0</v>
      </c>
      <c r="DT31" s="57" t="str">
        <f t="shared" si="46"/>
        <v/>
      </c>
      <c r="DU31" s="57" t="str">
        <f t="shared" si="47"/>
        <v/>
      </c>
      <c r="DV31" s="713">
        <f>'org. Düngung 22'!AJ30</f>
        <v>0</v>
      </c>
      <c r="DW31" s="57"/>
      <c r="DX31" s="57"/>
      <c r="DY31" s="57">
        <f t="shared" si="48"/>
        <v>0</v>
      </c>
      <c r="DZ31" s="57">
        <f t="shared" si="228"/>
        <v>0</v>
      </c>
      <c r="EA31" s="57">
        <f t="shared" si="229"/>
        <v>0</v>
      </c>
      <c r="EB31" s="57">
        <f t="shared" si="230"/>
        <v>0</v>
      </c>
      <c r="EC31" s="57">
        <f t="shared" si="231"/>
        <v>0</v>
      </c>
      <c r="ED31" s="1029">
        <f t="shared" si="49"/>
        <v>0</v>
      </c>
      <c r="EE31" s="57">
        <f t="shared" si="50"/>
        <v>0</v>
      </c>
      <c r="EF31" s="171" t="str">
        <f t="shared" si="51"/>
        <v/>
      </c>
      <c r="EG31" s="57">
        <f t="shared" si="232"/>
        <v>0</v>
      </c>
      <c r="EH31" s="57">
        <f>IF(OR(AND(DV$6=1,$L31=0),AND(DV$6=2,$K31=2,$G31=1)),0,IF(AND(DX$9=2,(OR($F31&gt;1,$K31=1,AND($L31=80,OR($N31=1,AND($N31=2,'#BerechnungDBE'!$AL22&gt;0)))))),IF(DV$4&gt;=$AD$126,0,EF31),IF(DX$9=3,IF(OR(DV$4&gt;=$AD$127,AND($G31=1,$J31=2,DV$6=2),AND(DV$6=1,$N31&lt;&gt;1)),0,IF(DZ31&lt;=120,EF31,IF(DV$4&lt;$AD$124,IF($F31=1,60/DX$4*DX$6,60/DX$4*DX$7),IF($F31=1,120/DX$4*DX$6,120/DX$4*DX$7)))),IF(OR($F31=3,$G31=2),IF(OR(AND(DV$4&gt;=$AD$119,$C31=2),AND(DV$4&gt;=$AF$119,$C31=1)),0,IF(DZ31&lt;=60,EF31,60/DX$4*DX$7)),IF(AND($F31=2,$G31=1),EF31,0)))))</f>
        <v>0</v>
      </c>
      <c r="EI31" s="57" t="str">
        <f t="shared" si="52"/>
        <v/>
      </c>
      <c r="EJ31" s="57" t="str">
        <f t="shared" si="53"/>
        <v/>
      </c>
      <c r="EK31" s="713">
        <f>'org. Düngung 22'!AN30</f>
        <v>0</v>
      </c>
      <c r="EL31" s="57"/>
      <c r="EM31" s="57"/>
      <c r="EN31" s="57">
        <f t="shared" si="54"/>
        <v>0</v>
      </c>
      <c r="EO31" s="57">
        <f t="shared" si="233"/>
        <v>0</v>
      </c>
      <c r="EP31" s="57">
        <f t="shared" si="234"/>
        <v>0</v>
      </c>
      <c r="EQ31" s="57">
        <f t="shared" si="235"/>
        <v>0</v>
      </c>
      <c r="ER31" s="57">
        <f t="shared" si="236"/>
        <v>0</v>
      </c>
      <c r="ES31" s="1029">
        <f t="shared" si="55"/>
        <v>0</v>
      </c>
      <c r="ET31" s="57">
        <f t="shared" si="56"/>
        <v>0</v>
      </c>
      <c r="EU31" s="171" t="str">
        <f t="shared" si="57"/>
        <v/>
      </c>
      <c r="EV31" s="57">
        <f t="shared" si="237"/>
        <v>0</v>
      </c>
      <c r="EW31" s="57">
        <f>IF(OR(AND(EK$6=1,$L31=0),AND(EK$6=2,$K31=2,$G31=1)),0,IF(AND(EM$9=2,(OR($F31&gt;1,$K31=1,AND($L31=80,OR($N31=1,AND($N31=2,'#BerechnungDBE'!$AL22&gt;0)))))),IF(EK$4&gt;=$AD$126,0,EU31),IF(EM$9=3,IF(OR(EK$4&gt;=$AD$127,AND($G31=1,$J31=2,EK$6=2),AND(EK$6=1,$N31&lt;&gt;1)),0,IF(EO31&lt;=120,EU31,IF(EK$4&lt;$AD$124,IF($F31=1,60/EM$4*EM$6,60/EM$4*EM$7),IF($F31=1,120/EM$4*EM$6,120/EM$4*EM$7)))),IF(OR($F31=3,$G31=2),IF(OR(AND(EK$4&gt;=$AD$119,$C31=2),AND(EK$4&gt;=$AF$119,$C31=1)),0,IF(EO31&lt;=60,EU31,60/EM$4*EM$7)),IF(AND($F31=2,$G31=1),EU31,0)))))</f>
        <v>0</v>
      </c>
      <c r="EX31" s="57" t="str">
        <f t="shared" si="58"/>
        <v/>
      </c>
      <c r="EY31" s="57" t="str">
        <f t="shared" si="59"/>
        <v/>
      </c>
      <c r="EZ31" s="713">
        <f>'org. Düngung 22'!AR30</f>
        <v>0</v>
      </c>
      <c r="FA31" s="57"/>
      <c r="FB31" s="57"/>
      <c r="FC31" s="57">
        <f t="shared" si="60"/>
        <v>0</v>
      </c>
      <c r="FD31" s="57">
        <f t="shared" si="238"/>
        <v>0</v>
      </c>
      <c r="FE31" s="57">
        <f t="shared" si="239"/>
        <v>0</v>
      </c>
      <c r="FF31" s="57">
        <f t="shared" si="240"/>
        <v>0</v>
      </c>
      <c r="FG31" s="57">
        <f t="shared" si="241"/>
        <v>0</v>
      </c>
      <c r="FH31" s="1029">
        <f t="shared" si="61"/>
        <v>0</v>
      </c>
      <c r="FI31" s="57">
        <f t="shared" si="62"/>
        <v>0</v>
      </c>
      <c r="FJ31" s="171" t="str">
        <f t="shared" si="63"/>
        <v/>
      </c>
      <c r="FK31" s="57">
        <f t="shared" si="242"/>
        <v>0</v>
      </c>
      <c r="FL31" s="57">
        <f>IF(OR(AND(EZ$6=1,$L31=0),AND(EZ$6=2,$K31=2,$G31=1)),0,IF(AND(FB$9=2,(OR($F31&gt;1,$K31=1,AND($L31=80,OR($N31=1,AND($N31=2,'#BerechnungDBE'!$AL22&gt;0)))))),IF(EZ$4&gt;=$AD$126,0,FJ31),IF(FB$9=3,IF(OR(EZ$4&gt;=$AD$127,AND($G31=1,$J31=2,EZ$6=2),AND(EZ$6=1,$N31&lt;&gt;1)),0,IF(FD31&lt;=120,FJ31,IF(EZ$4&lt;$AD$124,IF($F31=1,60/FB$4*FB$6,60/FB$4*FB$7),IF($F31=1,120/FB$4*FB$6,120/FB$4*FB$7)))),IF(OR($F31=3,$G31=2),IF(OR(AND(EZ$4&gt;=$AD$119,$C31=2),AND(EZ$4&gt;=$AF$119,$C31=1)),0,IF(FD31&lt;=60,FJ31,60/FB$4*FB$7)),IF(AND($F31=2,$G31=1),FJ31,0)))))</f>
        <v>0</v>
      </c>
      <c r="FM31" s="57" t="str">
        <f t="shared" si="64"/>
        <v/>
      </c>
      <c r="FN31" s="57" t="str">
        <f t="shared" si="65"/>
        <v/>
      </c>
      <c r="FO31" s="713">
        <f>'org. Düngung 22'!AV30</f>
        <v>0</v>
      </c>
      <c r="FP31" s="57"/>
      <c r="FQ31" s="57"/>
      <c r="FR31" s="57">
        <f t="shared" si="66"/>
        <v>0</v>
      </c>
      <c r="FS31" s="57">
        <f t="shared" si="243"/>
        <v>0</v>
      </c>
      <c r="FT31" s="57">
        <f t="shared" si="244"/>
        <v>0</v>
      </c>
      <c r="FU31" s="57">
        <f t="shared" si="245"/>
        <v>0</v>
      </c>
      <c r="FV31" s="57">
        <f t="shared" si="246"/>
        <v>0</v>
      </c>
      <c r="FW31" s="1029">
        <f t="shared" si="67"/>
        <v>0</v>
      </c>
      <c r="FX31" s="57">
        <f t="shared" si="68"/>
        <v>0</v>
      </c>
      <c r="FY31" s="171" t="str">
        <f t="shared" si="69"/>
        <v/>
      </c>
      <c r="FZ31" s="57">
        <f t="shared" si="247"/>
        <v>0</v>
      </c>
      <c r="GA31" s="57">
        <f>IF(OR(AND(FO$6=1,$L31=0),AND(FO$6=2,$K31=2,$G31=1)),0,IF(AND(FQ$9=2,(OR($F31&gt;1,$K31=1,AND($L31=80,OR($N31=1,AND($N31=2,'#BerechnungDBE'!$AL22&gt;0)))))),IF(FO$4&gt;=$AD$126,0,FY31),IF(FQ$9=3,IF(OR(FO$4&gt;=$AD$127,AND($G31=1,$J31=2,FO$6=2),AND(FO$6=1,$N31&lt;&gt;1)),0,IF(FS31&lt;=120,FY31,IF(FO$4&lt;$AD$124,IF($F31=1,60/FQ$4*FQ$6,60/FQ$4*FQ$7),IF($F31=1,120/FQ$4*FQ$6,120/FQ$4*FQ$7)))),IF(OR($F31=3,$G31=2),IF(OR(AND(FO$4&gt;=$AD$119,$C31=2),AND(FO$4&gt;=$AF$119,$C31=1)),0,IF(FS31&lt;=60,FY31,60/FQ$4*FQ$7)),IF(AND($F31=2,$G31=1),FY31,0)))))</f>
        <v>0</v>
      </c>
      <c r="GB31" s="57" t="str">
        <f t="shared" si="70"/>
        <v/>
      </c>
      <c r="GC31" s="57" t="str">
        <f t="shared" si="71"/>
        <v/>
      </c>
      <c r="GD31" s="713">
        <f>'org. Düngung 22'!AZ30</f>
        <v>0</v>
      </c>
      <c r="GE31" s="57"/>
      <c r="GF31" s="57"/>
      <c r="GG31" s="57">
        <f t="shared" si="72"/>
        <v>0</v>
      </c>
      <c r="GH31" s="57">
        <f t="shared" si="248"/>
        <v>0</v>
      </c>
      <c r="GI31" s="57">
        <f t="shared" si="249"/>
        <v>0</v>
      </c>
      <c r="GJ31" s="57">
        <f t="shared" si="250"/>
        <v>0</v>
      </c>
      <c r="GK31" s="57">
        <f t="shared" si="251"/>
        <v>0</v>
      </c>
      <c r="GL31" s="1029">
        <f t="shared" si="73"/>
        <v>0</v>
      </c>
      <c r="GM31" s="57">
        <f t="shared" si="74"/>
        <v>0</v>
      </c>
      <c r="GN31" s="171" t="str">
        <f t="shared" si="75"/>
        <v/>
      </c>
      <c r="GO31" s="57">
        <f t="shared" si="252"/>
        <v>0</v>
      </c>
      <c r="GP31" s="57">
        <f>IF(OR(AND(GD$6=1,$L31=0),AND(GD$6=2,$K31=2,$G31=1)),0,IF(AND(GF$9=2,(OR($F31&gt;1,$K31=1,AND($L31=80,OR($N31=1,AND($N31=2,'#BerechnungDBE'!$AL22&gt;0)))))),IF(GD$4&gt;=$AD$126,0,GN31),IF(GF$9=3,IF(OR(GD$4&gt;=$AD$127,AND($G31=1,$J31=2,GD$6=2),AND(GD$6=1,$N31&lt;&gt;1)),0,IF(GH31&lt;=120,GN31,IF(GD$4&lt;$AD$124,IF($F31=1,60/GF$4*GF$6,60/GF$4*GF$7),IF($F31=1,120/GF$4*GF$6,120/GF$4*GF$7)))),IF(OR($F31=3,$G31=2),IF(OR(AND(GD$4&gt;=$AD$119,$C31=2),AND(GD$4&gt;=$AF$119,$C31=1)),0,IF(GH31&lt;=60,GN31,60/GF$4*GF$7)),IF(AND($F31=2,$G31=1),GN31,0)))))</f>
        <v>0</v>
      </c>
      <c r="GQ31" s="57" t="str">
        <f t="shared" si="76"/>
        <v/>
      </c>
      <c r="GR31" s="57" t="str">
        <f t="shared" si="77"/>
        <v/>
      </c>
      <c r="GS31" s="713">
        <f>'org. Düngung 22'!BD30</f>
        <v>0</v>
      </c>
      <c r="GT31" s="57"/>
      <c r="GU31" s="57"/>
      <c r="GV31" s="57">
        <f t="shared" si="78"/>
        <v>0</v>
      </c>
      <c r="GW31" s="57">
        <f t="shared" si="253"/>
        <v>0</v>
      </c>
      <c r="GX31" s="57">
        <f t="shared" si="254"/>
        <v>0</v>
      </c>
      <c r="GY31" s="57">
        <f t="shared" si="255"/>
        <v>0</v>
      </c>
      <c r="GZ31" s="57">
        <f t="shared" si="256"/>
        <v>0</v>
      </c>
      <c r="HA31" s="1029">
        <f t="shared" si="79"/>
        <v>0</v>
      </c>
      <c r="HB31" s="57">
        <f t="shared" si="80"/>
        <v>0</v>
      </c>
      <c r="HC31" s="171" t="str">
        <f t="shared" si="81"/>
        <v/>
      </c>
      <c r="HD31" s="57">
        <f t="shared" si="257"/>
        <v>0</v>
      </c>
      <c r="HE31" s="57">
        <f>IF(OR(AND(GS$6=1,$L31=0),AND(GS$6=2,$K31=2,$G31=1)),0,IF(AND(GU$9=2,(OR($F31&gt;1,$K31=1,AND($L31=80,OR($N31=1,AND($N31=2,'#BerechnungDBE'!$AL22&gt;0)))))),IF(GS$4&gt;=$AD$126,0,HC31),IF(GU$9=3,IF(OR(GS$4&gt;=$AD$127,AND($G31=1,$J31=2,GS$6=2),AND(GS$6=1,$N31&lt;&gt;1)),0,IF(GW31&lt;=120,HC31,IF(GS$4&lt;$AD$124,IF($F31=1,60/GU$4*GU$6,60/GU$4*GU$7),IF($F31=1,120/GU$4*GU$6,120/GU$4*GU$7)))),IF(OR($F31=3,$G31=2),IF(OR(AND(GS$4&gt;=$AD$119,$C31=2),AND(GS$4&gt;=$AF$119,$C31=1)),0,IF(GW31&lt;=60,HC31,60/GU$4*GU$7)),IF(AND($F31=2,$G31=1),HC31,0)))))</f>
        <v>0</v>
      </c>
      <c r="HF31" s="57" t="str">
        <f t="shared" si="82"/>
        <v/>
      </c>
      <c r="HG31" s="57" t="str">
        <f t="shared" si="83"/>
        <v/>
      </c>
      <c r="HH31" s="713">
        <f>'org. Düngung 22'!BH30</f>
        <v>0</v>
      </c>
      <c r="HI31" s="57"/>
      <c r="HJ31" s="57"/>
      <c r="HK31" s="57">
        <f t="shared" si="84"/>
        <v>0</v>
      </c>
      <c r="HL31" s="57">
        <f t="shared" si="258"/>
        <v>0</v>
      </c>
      <c r="HM31" s="57">
        <f t="shared" si="259"/>
        <v>0</v>
      </c>
      <c r="HN31" s="57">
        <f t="shared" si="260"/>
        <v>0</v>
      </c>
      <c r="HO31" s="57">
        <f t="shared" si="261"/>
        <v>0</v>
      </c>
      <c r="HP31" s="1029">
        <f t="shared" si="85"/>
        <v>0</v>
      </c>
      <c r="HQ31" s="57">
        <f t="shared" si="86"/>
        <v>0</v>
      </c>
      <c r="HR31" s="171" t="str">
        <f t="shared" si="87"/>
        <v/>
      </c>
      <c r="HS31" s="57">
        <f t="shared" si="262"/>
        <v>0</v>
      </c>
      <c r="HT31" s="57">
        <f>IF(OR(AND(HH$6=1,$L31=0),AND(HH$6=2,$K31=2,$G31=1)),0,IF(AND(HJ$9=2,(OR($F31&gt;1,$K31=1,AND($L31=80,OR($N31=1,AND($N31=2,'#BerechnungDBE'!$AL22&gt;0)))))),IF(HH$4&gt;=$AD$126,0,HR31),IF(HJ$9=3,IF(OR(HH$4&gt;=$AD$127,AND($G31=1,$J31=2,HH$6=2),AND(HH$6=1,$N31&lt;&gt;1)),0,IF(HL31&lt;=120,HR31,IF(HH$4&lt;$AD$124,IF($F31=1,60/HJ$4*HJ$6,60/HJ$4*HJ$7),IF($F31=1,120/HJ$4*HJ$6,120/HJ$4*HJ$7)))),IF(OR($F31=3,$G31=2),IF(OR(AND(HH$4&gt;=$AD$119,$C31=2),AND(HH$4&gt;=$AF$119,$C31=1)),0,IF(HL31&lt;=60,HR31,60/HJ$4*HJ$7)),IF(AND($F31=2,$G31=1),HR31,0)))))</f>
        <v>0</v>
      </c>
      <c r="HU31" s="57" t="str">
        <f t="shared" si="88"/>
        <v/>
      </c>
      <c r="HV31" s="57" t="str">
        <f t="shared" si="89"/>
        <v/>
      </c>
      <c r="HW31" s="713">
        <f>'org. Düngung 22'!BL30</f>
        <v>0</v>
      </c>
      <c r="HX31" s="57"/>
      <c r="HY31" s="57"/>
      <c r="HZ31" s="57">
        <f t="shared" si="90"/>
        <v>0</v>
      </c>
      <c r="IA31" s="57">
        <f t="shared" si="263"/>
        <v>0</v>
      </c>
      <c r="IB31" s="57">
        <f t="shared" si="264"/>
        <v>0</v>
      </c>
      <c r="IC31" s="57">
        <f t="shared" si="265"/>
        <v>0</v>
      </c>
      <c r="ID31" s="57">
        <f t="shared" si="266"/>
        <v>0</v>
      </c>
      <c r="IE31" s="1029">
        <f t="shared" si="91"/>
        <v>0</v>
      </c>
      <c r="IF31" s="57">
        <f t="shared" si="92"/>
        <v>0</v>
      </c>
      <c r="IG31" s="171" t="str">
        <f t="shared" si="93"/>
        <v/>
      </c>
      <c r="IH31" s="57">
        <f t="shared" si="267"/>
        <v>0</v>
      </c>
      <c r="II31" s="57">
        <f>IF(OR(AND(HW$6=1,$L31=0),AND(HW$6=2,$K31=2,$G31=1)),0,IF(AND(HY$9=2,(OR($F31&gt;1,$K31=1,AND($L31=80,OR($N31=1,AND($N31=2,'#BerechnungDBE'!$AL22&gt;0)))))),IF(HW$4&gt;=$AD$126,0,IG31),IF(HY$9=3,IF(OR(HW$4&gt;=$AD$127,AND($G31=1,$J31=2,HW$6=2),AND(HW$6=1,$N31&lt;&gt;1)),0,IF(IA31&lt;=120,IG31,IF(HW$4&lt;$AD$124,IF($F31=1,60/HY$4*HY$6,60/HY$4*HY$7),IF($F31=1,120/HY$4*HY$6,120/HY$4*HY$7)))),IF(OR($F31=3,$G31=2),IF(OR(AND(HW$4&gt;=$AD$119,$C31=2),AND(HW$4&gt;=$AF$119,$C31=1)),0,IF(IA31&lt;=60,IG31,60/HY$4*HY$7)),IF(AND($F31=2,$G31=1),IG31,0)))))</f>
        <v>0</v>
      </c>
      <c r="IJ31" s="57" t="str">
        <f t="shared" si="94"/>
        <v/>
      </c>
      <c r="IK31" s="57" t="str">
        <f t="shared" si="95"/>
        <v/>
      </c>
      <c r="IL31" s="713">
        <f>'org. Düngung 22'!BP30</f>
        <v>0</v>
      </c>
      <c r="IM31" s="57"/>
      <c r="IN31" s="57"/>
      <c r="IO31" s="57">
        <f t="shared" si="96"/>
        <v>0</v>
      </c>
      <c r="IP31" s="57">
        <f t="shared" si="268"/>
        <v>0</v>
      </c>
      <c r="IQ31" s="57">
        <f t="shared" si="269"/>
        <v>0</v>
      </c>
      <c r="IR31" s="57">
        <f t="shared" si="270"/>
        <v>0</v>
      </c>
      <c r="IS31" s="57">
        <f t="shared" si="271"/>
        <v>0</v>
      </c>
      <c r="IT31" s="1029">
        <f t="shared" si="97"/>
        <v>0</v>
      </c>
      <c r="IU31" s="57">
        <f t="shared" si="98"/>
        <v>0</v>
      </c>
      <c r="IV31" s="171" t="str">
        <f t="shared" si="99"/>
        <v/>
      </c>
      <c r="IW31" s="57">
        <f t="shared" si="272"/>
        <v>0</v>
      </c>
      <c r="IX31" s="57">
        <f>IF(OR(AND(IL$6=1,$L31=0),AND(IL$6=2,$K31=2,$G31=1)),0,IF(AND(IN$9=2,(OR($F31&gt;1,$K31=1,AND($L31=80,OR($N31=1,AND($N31=2,'#BerechnungDBE'!$AL22&gt;0)))))),IF(IL$4&gt;=$AD$126,0,IV31),IF(IN$9=3,IF(OR(IL$4&gt;=$AD$127,AND($G31=1,$J31=2,IL$6=2),AND(IL$6=1,$N31&lt;&gt;1)),0,IF(IP31&lt;=120,IV31,IF(IL$4&lt;$AD$124,IF($F31=1,60/IN$4*IN$6,60/IN$4*IN$7),IF($F31=1,120/IN$4*IN$6,120/IN$4*IN$7)))),IF(OR($F31=3,$G31=2),IF(OR(AND(IL$4&gt;=$AD$119,$C31=2),AND(IL$4&gt;=$AF$119,$C31=1)),0,IF(IP31&lt;=60,IV31,60/IN$4*IN$7)),IF(AND($F31=2,$G31=1),IV31,0)))))</f>
        <v>0</v>
      </c>
      <c r="IY31" s="57" t="str">
        <f t="shared" si="100"/>
        <v/>
      </c>
      <c r="IZ31" s="57" t="str">
        <f t="shared" si="101"/>
        <v/>
      </c>
      <c r="JA31" s="713">
        <f>'org. Düngung 22'!BT30</f>
        <v>0</v>
      </c>
      <c r="JB31" s="57"/>
      <c r="JC31" s="57"/>
      <c r="JD31" s="57">
        <f t="shared" si="102"/>
        <v>0</v>
      </c>
      <c r="JE31" s="57">
        <f t="shared" si="273"/>
        <v>0</v>
      </c>
      <c r="JF31" s="57">
        <f t="shared" si="274"/>
        <v>0</v>
      </c>
      <c r="JG31" s="57">
        <f t="shared" si="275"/>
        <v>0</v>
      </c>
      <c r="JH31" s="57">
        <f t="shared" si="276"/>
        <v>0</v>
      </c>
      <c r="JI31" s="1029">
        <f t="shared" si="103"/>
        <v>0</v>
      </c>
      <c r="JJ31" s="57">
        <f t="shared" si="104"/>
        <v>0</v>
      </c>
      <c r="JK31" s="171" t="str">
        <f t="shared" si="105"/>
        <v/>
      </c>
      <c r="JL31" s="57">
        <f t="shared" si="277"/>
        <v>0</v>
      </c>
      <c r="JM31" s="57">
        <f>IF(OR(AND(JA$6=1,$L31=0),AND(JA$6=2,$K31=2,$G31=1)),0,IF(AND(JC$9=2,(OR($F31&gt;1,$K31=1,AND($L31=80,OR($N31=1,AND($N31=2,'#BerechnungDBE'!$AL22&gt;0)))))),IF(JA$4&gt;=$AD$126,0,JK31),IF(JC$9=3,IF(OR(JA$4&gt;=$AD$127,AND($G31=1,$J31=2,JA$6=2),AND(JA$6=1,$N31&lt;&gt;1)),0,IF(JE31&lt;=120,JK31,IF(JA$4&lt;$AD$124,IF($F31=1,60/JC$4*JC$6,60/JC$4*JC$7),IF($F31=1,120/JC$4*JC$6,120/JC$4*JC$7)))),IF(OR($F31=3,$G31=2),IF(OR(AND(JA$4&gt;=$AD$119,$C31=2),AND(JA$4&gt;=$AF$119,$C31=1)),0,IF(JE31&lt;=60,JK31,60/JC$4*JC$7)),IF(AND($F31=2,$G31=1),JK31,0)))))</f>
        <v>0</v>
      </c>
      <c r="JN31" s="57" t="str">
        <f t="shared" si="106"/>
        <v/>
      </c>
      <c r="JO31" s="57" t="str">
        <f t="shared" si="107"/>
        <v/>
      </c>
      <c r="JP31" s="713">
        <f>'org. Düngung 22'!BX30</f>
        <v>0</v>
      </c>
      <c r="JQ31" s="57"/>
      <c r="JR31" s="57"/>
      <c r="JS31" s="57">
        <f t="shared" si="108"/>
        <v>0</v>
      </c>
      <c r="JT31" s="57">
        <f t="shared" si="278"/>
        <v>0</v>
      </c>
      <c r="JU31" s="57">
        <f t="shared" si="279"/>
        <v>0</v>
      </c>
      <c r="JV31" s="57">
        <f t="shared" si="280"/>
        <v>0</v>
      </c>
      <c r="JW31" s="57">
        <f t="shared" si="281"/>
        <v>0</v>
      </c>
      <c r="JX31" s="1029">
        <f t="shared" si="109"/>
        <v>0</v>
      </c>
      <c r="JY31" s="57">
        <f t="shared" si="110"/>
        <v>0</v>
      </c>
      <c r="JZ31" s="171" t="str">
        <f t="shared" si="111"/>
        <v/>
      </c>
      <c r="KA31" s="57">
        <f t="shared" si="282"/>
        <v>0</v>
      </c>
      <c r="KB31" s="57">
        <f>IF(OR(AND(JP$6=1,$L31=0),AND(JP$6=2,$K31=2,$G31=1)),0,IF(AND(JR$9=2,(OR($F31&gt;1,$K31=1,AND($L31=80,OR($N31=1,AND($N31=2,'#BerechnungDBE'!$AL22&gt;0)))))),IF(JP$4&gt;=$AD$126,0,JZ31),IF(JR$9=3,IF(OR(JP$4&gt;=$AD$127,AND($G31=1,$J31=2,JP$6=2),AND(JP$6=1,$N31&lt;&gt;1)),0,IF(JT31&lt;=120,JZ31,IF(JP$4&lt;$AD$124,IF($F31=1,60/JR$4*JR$6,60/JR$4*JR$7),IF($F31=1,120/JR$4*JR$6,120/JR$4*JR$7)))),IF(OR($F31=3,$G31=2),IF(OR(AND(JP$4&gt;=$AD$119,$C31=2),AND(JP$4&gt;=$AF$119,$C31=1)),0,IF(JT31&lt;=60,JZ31,60/JR$4*JR$7)),IF(AND($F31=2,$G31=1),JZ31,0)))))</f>
        <v>0</v>
      </c>
      <c r="KC31" s="57" t="str">
        <f t="shared" si="112"/>
        <v/>
      </c>
      <c r="KD31" s="57" t="str">
        <f t="shared" si="113"/>
        <v/>
      </c>
      <c r="KE31" s="713">
        <f>'org. Düngung 22'!CB30</f>
        <v>0</v>
      </c>
      <c r="KF31" s="57"/>
      <c r="KG31" s="57"/>
      <c r="KH31" s="57">
        <f t="shared" si="114"/>
        <v>0</v>
      </c>
      <c r="KI31" s="57">
        <f t="shared" si="283"/>
        <v>0</v>
      </c>
      <c r="KJ31" s="57">
        <f t="shared" si="284"/>
        <v>0</v>
      </c>
      <c r="KK31" s="57">
        <f t="shared" si="285"/>
        <v>0</v>
      </c>
      <c r="KL31" s="57">
        <f t="shared" si="286"/>
        <v>0</v>
      </c>
      <c r="KM31" s="1029">
        <f t="shared" si="115"/>
        <v>0</v>
      </c>
      <c r="KN31" s="57">
        <f t="shared" si="116"/>
        <v>0</v>
      </c>
      <c r="KO31" s="171" t="str">
        <f t="shared" si="117"/>
        <v/>
      </c>
      <c r="KP31" s="57">
        <f t="shared" si="287"/>
        <v>0</v>
      </c>
      <c r="KQ31" s="57">
        <f>IF(OR(AND(KE$6=1,$L31=0),AND(KE$6=2,$K31=2,$G31=1)),0,IF(AND(KG$9=2,(OR($F31&gt;1,$K31=1,AND($L31=80,OR($N31=1,AND($N31=2,'#BerechnungDBE'!$AL22&gt;0)))))),IF(KE$4&gt;=$AD$126,0,KO31),IF(KG$9=3,IF(OR(KE$4&gt;=$AD$127,AND($G31=1,$J31=2,KE$6=2),AND(KE$6=1,$N31&lt;&gt;1)),0,IF(KI31&lt;=120,KO31,IF(KE$4&lt;$AD$124,IF($F31=1,60/KG$4*KG$6,60/KG$4*KG$7),IF($F31=1,120/KG$4*KG$6,120/KG$4*KG$7)))),IF(OR($F31=3,$G31=2),IF(OR(AND(KE$4&gt;=$AD$119,$C31=2),AND(KE$4&gt;=$AF$119,$C31=1)),0,IF(KI31&lt;=60,KO31,60/KG$4*KG$7)),IF(AND($F31=2,$G31=1),KO31,0)))))</f>
        <v>0</v>
      </c>
      <c r="KR31" s="57" t="str">
        <f t="shared" si="118"/>
        <v/>
      </c>
      <c r="KS31" s="57" t="str">
        <f t="shared" si="119"/>
        <v/>
      </c>
      <c r="KT31" s="713">
        <f>'org. Düngung 22'!CF30</f>
        <v>0</v>
      </c>
      <c r="KU31" s="57"/>
      <c r="KV31" s="57"/>
      <c r="KW31" s="57">
        <f t="shared" si="120"/>
        <v>0</v>
      </c>
      <c r="KX31" s="57">
        <f t="shared" si="288"/>
        <v>0</v>
      </c>
      <c r="KY31" s="57">
        <f t="shared" si="289"/>
        <v>0</v>
      </c>
      <c r="KZ31" s="57">
        <f t="shared" si="290"/>
        <v>0</v>
      </c>
      <c r="LA31" s="57">
        <f t="shared" si="291"/>
        <v>0</v>
      </c>
      <c r="LB31" s="1029">
        <f t="shared" si="121"/>
        <v>0</v>
      </c>
      <c r="LC31" s="57">
        <f t="shared" si="122"/>
        <v>0</v>
      </c>
      <c r="LD31" s="171" t="str">
        <f t="shared" si="123"/>
        <v/>
      </c>
      <c r="LE31" s="57">
        <f t="shared" si="292"/>
        <v>0</v>
      </c>
      <c r="LF31" s="57">
        <f>IF(OR(AND(KT$6=1,$L31=0),AND(KT$6=2,$K31=2,$G31=1)),0,IF(AND(KV$9=2,(OR($F31&gt;1,$K31=1,AND($L31=80,OR($N31=1,AND($N31=2,'#BerechnungDBE'!$AL22&gt;0)))))),IF(KT$4&gt;=$AD$126,0,LD31),IF(KV$9=3,IF(OR(KT$4&gt;=$AD$127,AND($G31=1,$J31=2,KT$6=2),AND(KT$6=1,$N31&lt;&gt;1)),0,IF(KX31&lt;=120,LD31,IF(KT$4&lt;$AD$124,IF($F31=1,60/KV$4*KV$6,60/KV$4*KV$7),IF($F31=1,120/KV$4*KV$6,120/KV$4*KV$7)))),IF(OR($F31=3,$G31=2),IF(OR(AND(KT$4&gt;=$AD$119,$C31=2),AND(KT$4&gt;=$AF$119,$C31=1)),0,IF(KX31&lt;=60,LD31,60/KV$4*KV$7)),IF(AND($F31=2,$G31=1),LD31,0)))))</f>
        <v>0</v>
      </c>
      <c r="LG31" s="57" t="str">
        <f t="shared" si="124"/>
        <v/>
      </c>
      <c r="LH31" s="57" t="str">
        <f t="shared" si="125"/>
        <v/>
      </c>
      <c r="LI31" s="713">
        <f>'org. Düngung 22'!CJ30</f>
        <v>0</v>
      </c>
      <c r="LJ31" s="57"/>
      <c r="LK31" s="57"/>
      <c r="LL31" s="57">
        <f t="shared" si="126"/>
        <v>0</v>
      </c>
      <c r="LM31" s="57">
        <f t="shared" si="293"/>
        <v>0</v>
      </c>
      <c r="LN31" s="57">
        <f t="shared" si="294"/>
        <v>0</v>
      </c>
      <c r="LO31" s="57">
        <f t="shared" si="295"/>
        <v>0</v>
      </c>
      <c r="LP31" s="57">
        <f t="shared" si="296"/>
        <v>0</v>
      </c>
      <c r="LQ31" s="1029">
        <f t="shared" si="127"/>
        <v>0</v>
      </c>
      <c r="LR31" s="57">
        <f t="shared" si="128"/>
        <v>0</v>
      </c>
      <c r="LS31" s="171" t="str">
        <f t="shared" si="129"/>
        <v/>
      </c>
      <c r="LT31" s="57">
        <f t="shared" si="297"/>
        <v>0</v>
      </c>
      <c r="LU31" s="57">
        <f>IF(OR(AND(LI$6=1,$L31=0),AND(LI$6=2,$K31=2,$G31=1)),0,IF(AND(LK$9=2,(OR($F31&gt;1,$K31=1,AND($L31=80,OR($N31=1,AND($N31=2,'#BerechnungDBE'!$AL22&gt;0)))))),IF(LI$4&gt;=$AD$126,0,LS31),IF(LK$9=3,IF(OR(LI$4&gt;=$AD$127,AND($G31=1,$J31=2,LI$6=2),AND(LI$6=1,$N31&lt;&gt;1)),0,IF(LM31&lt;=120,LS31,IF(LI$4&lt;$AD$124,IF($F31=1,60/LK$4*LK$6,60/LK$4*LK$7),IF($F31=1,120/LK$4*LK$6,120/LK$4*LK$7)))),IF(OR($F31=3,$G31=2),IF(OR(AND(LI$4&gt;=$AD$119,$C31=2),AND(LI$4&gt;=$AF$119,$C31=1)),0,IF(LM31&lt;=60,LS31,60/LK$4*LK$7)),IF(AND($F31=2,$G31=1),LS31,0)))))</f>
        <v>0</v>
      </c>
      <c r="LV31" s="57" t="str">
        <f t="shared" si="130"/>
        <v/>
      </c>
      <c r="LW31" s="57" t="str">
        <f t="shared" si="131"/>
        <v/>
      </c>
      <c r="LX31" s="713">
        <f>'org. Düngung 22'!CN30</f>
        <v>0</v>
      </c>
      <c r="LY31" s="57"/>
      <c r="LZ31" s="57"/>
      <c r="MA31" s="57">
        <f t="shared" si="132"/>
        <v>0</v>
      </c>
      <c r="MB31" s="57">
        <f t="shared" si="298"/>
        <v>0</v>
      </c>
      <c r="MC31" s="57">
        <f t="shared" si="299"/>
        <v>0</v>
      </c>
      <c r="MD31" s="57">
        <f t="shared" si="300"/>
        <v>0</v>
      </c>
      <c r="ME31" s="57">
        <f t="shared" si="301"/>
        <v>0</v>
      </c>
      <c r="MF31" s="1029">
        <f t="shared" si="133"/>
        <v>0</v>
      </c>
      <c r="MG31" s="57">
        <f t="shared" si="134"/>
        <v>0</v>
      </c>
      <c r="MH31" s="171" t="str">
        <f t="shared" si="135"/>
        <v/>
      </c>
      <c r="MI31" s="57">
        <f t="shared" si="302"/>
        <v>0</v>
      </c>
      <c r="MJ31" s="57">
        <f>IF(OR(AND(LX$6=1,$L31=0),AND(LX$6=2,$K31=2,$G31=1)),0,IF(AND(LZ$9=2,(OR($F31&gt;1,$K31=1,AND($L31=80,OR($N31=1,AND($N31=2,'#BerechnungDBE'!$AL22&gt;0)))))),IF(LX$4&gt;=$AD$126,0,MH31),IF(LZ$9=3,IF(OR(LX$4&gt;=$AD$127,AND($G31=1,$J31=2,LX$6=2),AND(LX$6=1,$N31&lt;&gt;1)),0,IF(MB31&lt;=120,MH31,IF(LX$4&lt;$AD$124,IF($F31=1,60/LZ$4*LZ$6,60/LZ$4*LZ$7),IF($F31=1,120/LZ$4*LZ$6,120/LZ$4*LZ$7)))),IF(OR($F31=3,$G31=2),IF(OR(AND(LX$4&gt;=$AD$119,$C31=2),AND(LX$4&gt;=$AF$119,$C31=1)),0,IF(MB31&lt;=60,MH31,60/LZ$4*LZ$7)),IF(AND($F31=2,$G31=1),MH31,0)))))</f>
        <v>0</v>
      </c>
      <c r="MK31" s="57" t="str">
        <f t="shared" si="136"/>
        <v/>
      </c>
      <c r="ML31" s="57" t="str">
        <f t="shared" si="137"/>
        <v/>
      </c>
      <c r="MM31" s="713">
        <f>'org. Düngung 22'!CR30</f>
        <v>0</v>
      </c>
      <c r="MN31" s="57"/>
      <c r="MO31" s="57"/>
      <c r="MP31" s="57">
        <f t="shared" si="138"/>
        <v>0</v>
      </c>
      <c r="MQ31" s="57">
        <f t="shared" si="303"/>
        <v>0</v>
      </c>
      <c r="MR31" s="57">
        <f t="shared" si="304"/>
        <v>0</v>
      </c>
      <c r="MS31" s="57">
        <f t="shared" si="305"/>
        <v>0</v>
      </c>
      <c r="MT31" s="57">
        <f t="shared" si="306"/>
        <v>0</v>
      </c>
      <c r="MU31" s="1029">
        <f t="shared" si="139"/>
        <v>0</v>
      </c>
      <c r="MV31" s="57">
        <f t="shared" si="140"/>
        <v>0</v>
      </c>
      <c r="MW31" s="171" t="str">
        <f t="shared" si="141"/>
        <v/>
      </c>
      <c r="MX31" s="57">
        <f t="shared" si="307"/>
        <v>0</v>
      </c>
      <c r="MY31" s="57">
        <f>IF(OR(AND(MM$6=1,$L31=0),AND(MM$6=2,$K31=2,$G31=1)),0,IF(AND(MO$9=2,(OR($F31&gt;1,$K31=1,AND($L31=80,OR($N31=1,AND($N31=2,'#BerechnungDBE'!$AL22&gt;0)))))),IF(MM$4&gt;=$AD$126,0,MW31),IF(MO$9=3,IF(OR(MM$4&gt;=$AD$127,AND($G31=1,$J31=2,MM$6=2),AND(MM$6=1,$N31&lt;&gt;1)),0,IF(MQ31&lt;=120,MW31,IF(MM$4&lt;$AD$124,IF($F31=1,60/MO$4*MO$6,60/MO$4*MO$7),IF($F31=1,120/MO$4*MO$6,120/MO$4*MO$7)))),IF(OR($F31=3,$G31=2),IF(OR(AND(MM$4&gt;=$AD$119,$C31=2),AND(MM$4&gt;=$AF$119,$C31=1)),0,IF(MQ31&lt;=60,MW31,60/MO$4*MO$7)),IF(AND($F31=2,$G31=1),MW31,0)))))</f>
        <v>0</v>
      </c>
      <c r="MZ31" s="57" t="str">
        <f t="shared" si="142"/>
        <v/>
      </c>
      <c r="NA31" s="57" t="str">
        <f t="shared" si="143"/>
        <v/>
      </c>
      <c r="NB31" s="713">
        <f>'org. Düngung 22'!CV30</f>
        <v>0</v>
      </c>
      <c r="NC31" s="57"/>
      <c r="ND31" s="57"/>
      <c r="NE31" s="57">
        <f t="shared" si="144"/>
        <v>0</v>
      </c>
      <c r="NF31" s="57">
        <f t="shared" si="308"/>
        <v>0</v>
      </c>
      <c r="NG31" s="57">
        <f t="shared" si="309"/>
        <v>0</v>
      </c>
      <c r="NH31" s="57">
        <f t="shared" si="310"/>
        <v>0</v>
      </c>
      <c r="NI31" s="57">
        <f t="shared" si="311"/>
        <v>0</v>
      </c>
      <c r="NJ31" s="1029">
        <f t="shared" si="145"/>
        <v>0</v>
      </c>
      <c r="NK31" s="57">
        <f t="shared" si="146"/>
        <v>0</v>
      </c>
      <c r="NL31" s="171" t="str">
        <f t="shared" si="147"/>
        <v/>
      </c>
      <c r="NM31" s="57">
        <f t="shared" si="312"/>
        <v>0</v>
      </c>
      <c r="NN31" s="57">
        <f>IF(OR(AND(NB$6=1,$L31=0),AND(NB$6=2,$K31=2,$G31=1)),0,IF(AND(ND$9=2,(OR($F31&gt;1,$K31=1,AND($L31=80,OR($N31=1,AND($N31=2,'#BerechnungDBE'!$AL22&gt;0)))))),IF(NB$4&gt;=$AD$126,0,NL31),IF(ND$9=3,IF(OR(NB$4&gt;=$AD$127,AND($G31=1,$J31=2,NB$6=2),AND(NB$6=1,$N31&lt;&gt;1)),0,IF(NF31&lt;=120,NL31,IF(NB$4&lt;$AD$124,IF($F31=1,60/ND$4*ND$6,60/ND$4*ND$7),IF($F31=1,120/ND$4*ND$6,120/ND$4*ND$7)))),IF(OR($F31=3,$G31=2),IF(OR(AND(NB$4&gt;=$AD$119,$C31=2),AND(NB$4&gt;=$AF$119,$C31=1)),0,IF(NF31&lt;=60,NL31,60/ND$4*ND$7)),IF(AND($F31=2,$G31=1),NL31,0)))))</f>
        <v>0</v>
      </c>
      <c r="NO31" s="57" t="str">
        <f t="shared" si="148"/>
        <v/>
      </c>
      <c r="NP31" s="57" t="str">
        <f t="shared" si="149"/>
        <v/>
      </c>
      <c r="NQ31" s="713">
        <f>'org. Düngung 22'!CZ30</f>
        <v>0</v>
      </c>
      <c r="NR31" s="57"/>
      <c r="NS31" s="57"/>
      <c r="NT31" s="57">
        <f t="shared" si="150"/>
        <v>0</v>
      </c>
      <c r="NU31" s="57">
        <f t="shared" si="313"/>
        <v>0</v>
      </c>
      <c r="NV31" s="57">
        <f t="shared" si="314"/>
        <v>0</v>
      </c>
      <c r="NW31" s="57">
        <f t="shared" si="315"/>
        <v>0</v>
      </c>
      <c r="NX31" s="57">
        <f t="shared" si="316"/>
        <v>0</v>
      </c>
      <c r="NY31" s="1029">
        <f t="shared" si="151"/>
        <v>0</v>
      </c>
      <c r="NZ31" s="57">
        <f t="shared" si="152"/>
        <v>0</v>
      </c>
      <c r="OA31" s="171" t="str">
        <f t="shared" si="153"/>
        <v/>
      </c>
      <c r="OB31" s="57">
        <f t="shared" si="317"/>
        <v>0</v>
      </c>
      <c r="OC31" s="57">
        <f>IF(OR(AND(NQ$6=1,$L31=0),AND(NQ$6=2,$K31=2,$G31=1)),0,IF(AND(NS$9=2,(OR($F31&gt;1,$K31=1,AND($L31=80,OR($N31=1,AND($N31=2,'#BerechnungDBE'!$AL22&gt;0)))))),IF(NQ$4&gt;=$AD$126,0,OA31),IF(NS$9=3,IF(OR(NQ$4&gt;=$AD$127,AND($G31=1,$J31=2,NQ$6=2),AND(NQ$6=1,$N31&lt;&gt;1)),0,IF(NU31&lt;=120,OA31,IF(NQ$4&lt;$AD$124,IF($F31=1,60/NS$4*NS$6,60/NS$4*NS$7),IF($F31=1,120/NS$4*NS$6,120/NS$4*NS$7)))),IF(OR($F31=3,$G31=2),IF(OR(AND(NQ$4&gt;=$AD$119,$C31=2),AND(NQ$4&gt;=$AF$119,$C31=1)),0,IF(NU31&lt;=60,OA31,60/NS$4*NS$7)),IF(AND($F31=2,$G31=1),OA31,0)))))</f>
        <v>0</v>
      </c>
      <c r="OD31" s="57" t="str">
        <f t="shared" si="154"/>
        <v/>
      </c>
      <c r="OE31" s="57" t="str">
        <f t="shared" si="155"/>
        <v/>
      </c>
      <c r="OF31" s="713">
        <f>'org. Düngung 22'!DD30</f>
        <v>0</v>
      </c>
      <c r="OG31" s="57"/>
      <c r="OH31" s="57"/>
      <c r="OI31" s="57">
        <f t="shared" si="156"/>
        <v>0</v>
      </c>
      <c r="OJ31" s="57">
        <f t="shared" si="318"/>
        <v>0</v>
      </c>
      <c r="OK31" s="57">
        <f t="shared" si="319"/>
        <v>0</v>
      </c>
      <c r="OL31" s="57">
        <f t="shared" si="320"/>
        <v>0</v>
      </c>
      <c r="OM31" s="57">
        <f t="shared" si="321"/>
        <v>0</v>
      </c>
      <c r="ON31" s="1029">
        <f t="shared" si="157"/>
        <v>0</v>
      </c>
      <c r="OO31" s="57">
        <f t="shared" si="158"/>
        <v>0</v>
      </c>
      <c r="OP31" s="171" t="str">
        <f t="shared" si="159"/>
        <v/>
      </c>
      <c r="OQ31" s="57">
        <f t="shared" si="322"/>
        <v>0</v>
      </c>
      <c r="OR31" s="57">
        <f>IF(OR(AND(OF$6=1,$L31=0),AND(OF$6=2,$K31=2,$G31=1)),0,IF(AND(OH$9=2,(OR($F31&gt;1,$K31=1,AND($L31=80,OR($N31=1,AND($N31=2,'#BerechnungDBE'!$AL22&gt;0)))))),IF(OF$4&gt;=$AD$126,0,OP31),IF(OH$9=3,IF(OR(OF$4&gt;=$AD$127,AND($G31=1,$J31=2,OF$6=2),AND(OF$6=1,$N31&lt;&gt;1)),0,IF(OJ31&lt;=120,OP31,IF(OF$4&lt;$AD$124,IF($F31=1,60/OH$4*OH$6,60/OH$4*OH$7),IF($F31=1,120/OH$4*OH$6,120/OH$4*OH$7)))),IF(OR($F31=3,$G31=2),IF(OR(AND(OF$4&gt;=$AD$119,$C31=2),AND(OF$4&gt;=$AF$119,$C31=1)),0,IF(OJ31&lt;=60,OP31,60/OH$4*OH$7)),IF(AND($F31=2,$G31=1),OP31,0)))))</f>
        <v>0</v>
      </c>
      <c r="OS31" s="57" t="str">
        <f t="shared" si="160"/>
        <v/>
      </c>
      <c r="OT31" s="57" t="str">
        <f t="shared" si="161"/>
        <v/>
      </c>
      <c r="OU31" s="713">
        <f>'org. Düngung 22'!DH30</f>
        <v>0</v>
      </c>
      <c r="OV31" s="57"/>
      <c r="OW31" s="57"/>
      <c r="OX31" s="57">
        <f t="shared" si="162"/>
        <v>0</v>
      </c>
      <c r="OY31" s="57">
        <f t="shared" si="323"/>
        <v>0</v>
      </c>
      <c r="OZ31" s="57">
        <f t="shared" si="324"/>
        <v>0</v>
      </c>
      <c r="PA31" s="57">
        <f t="shared" si="325"/>
        <v>0</v>
      </c>
      <c r="PB31" s="57">
        <f t="shared" si="326"/>
        <v>0</v>
      </c>
      <c r="PC31" s="1029">
        <f t="shared" si="163"/>
        <v>0</v>
      </c>
      <c r="PD31" s="57">
        <f t="shared" si="164"/>
        <v>0</v>
      </c>
      <c r="PE31" s="171" t="str">
        <f t="shared" si="165"/>
        <v/>
      </c>
      <c r="PF31" s="57">
        <f t="shared" si="327"/>
        <v>0</v>
      </c>
      <c r="PG31" s="57">
        <f>IF(OR(AND(OU$6=1,$L31=0),AND(OU$6=2,$K31=2,$G31=1)),0,IF(AND(OW$9=2,(OR($F31&gt;1,$K31=1,AND($L31=80,OR($N31=1,AND($N31=2,'#BerechnungDBE'!$AL22&gt;0)))))),IF(OU$4&gt;=$AD$126,0,PE31),IF(OW$9=3,IF(OR(OU$4&gt;=$AD$127,AND($G31=1,$J31=2,OU$6=2),AND(OU$6=1,$N31&lt;&gt;1)),0,IF(OY31&lt;=120,PE31,IF(OU$4&lt;$AD$124,IF($F31=1,60/OW$4*OW$6,60/OW$4*OW$7),IF($F31=1,120/OW$4*OW$6,120/OW$4*OW$7)))),IF(OR($F31=3,$G31=2),IF(OR(AND(OU$4&gt;=$AD$119,$C31=2),AND(OU$4&gt;=$AF$119,$C31=1)),0,IF(OY31&lt;=60,PE31,60/OW$4*OW$7)),IF(AND($F31=2,$G31=1),PE31,0)))))</f>
        <v>0</v>
      </c>
      <c r="PH31" s="57" t="str">
        <f t="shared" si="166"/>
        <v/>
      </c>
      <c r="PI31" s="57" t="str">
        <f t="shared" si="167"/>
        <v/>
      </c>
      <c r="PJ31" s="713">
        <f>'org. Düngung 22'!DL30</f>
        <v>0</v>
      </c>
      <c r="PK31" s="57"/>
      <c r="PL31" s="57"/>
      <c r="PM31" s="57">
        <f t="shared" si="168"/>
        <v>0</v>
      </c>
      <c r="PN31" s="57">
        <f t="shared" si="328"/>
        <v>0</v>
      </c>
      <c r="PO31" s="57">
        <f t="shared" si="329"/>
        <v>0</v>
      </c>
      <c r="PP31" s="57">
        <f t="shared" si="330"/>
        <v>0</v>
      </c>
      <c r="PQ31" s="57">
        <f t="shared" si="331"/>
        <v>0</v>
      </c>
      <c r="PR31" s="1029">
        <f t="shared" si="169"/>
        <v>0</v>
      </c>
      <c r="PS31" s="57">
        <f t="shared" si="170"/>
        <v>0</v>
      </c>
      <c r="PT31" s="171" t="str">
        <f t="shared" si="171"/>
        <v/>
      </c>
      <c r="PU31" s="57">
        <f t="shared" si="332"/>
        <v>0</v>
      </c>
      <c r="PV31" s="57">
        <f>IF(OR(AND(PJ$6=1,$L31=0),AND(PJ$6=2,$K31=2,$G31=1)),0,IF(AND(PL$9=2,(OR($F31&gt;1,$K31=1,AND($L31=80,OR($N31=1,AND($N31=2,'#BerechnungDBE'!$AL22&gt;0)))))),IF(PJ$4&gt;=$AD$126,0,PT31),IF(PL$9=3,IF(OR(PJ$4&gt;=$AD$127,AND($G31=1,$J31=2,PJ$6=2),AND(PJ$6=1,$N31&lt;&gt;1)),0,IF(PN31&lt;=120,PT31,IF(PJ$4&lt;$AD$124,IF($F31=1,60/PL$4*PL$6,60/PL$4*PL$7),IF($F31=1,120/PL$4*PL$6,120/PL$4*PL$7)))),IF(OR($F31=3,$G31=2),IF(OR(AND(PJ$4&gt;=$AD$119,$C31=2),AND(PJ$4&gt;=$AF$119,$C31=1)),0,IF(PN31&lt;=60,PT31,60/PL$4*PL$7)),IF(AND($F31=2,$G31=1),PT31,0)))))</f>
        <v>0</v>
      </c>
      <c r="PW31" s="57" t="str">
        <f t="shared" si="172"/>
        <v/>
      </c>
      <c r="PX31" s="57" t="str">
        <f t="shared" si="173"/>
        <v/>
      </c>
      <c r="PY31" s="713">
        <f>'org. Düngung 22'!DP30</f>
        <v>0</v>
      </c>
      <c r="PZ31" s="57"/>
      <c r="QA31" s="57"/>
      <c r="QB31" s="57">
        <f t="shared" si="174"/>
        <v>0</v>
      </c>
      <c r="QC31" s="57">
        <f t="shared" si="333"/>
        <v>0</v>
      </c>
      <c r="QD31" s="57">
        <f t="shared" si="334"/>
        <v>0</v>
      </c>
      <c r="QE31" s="57">
        <f t="shared" si="335"/>
        <v>0</v>
      </c>
      <c r="QF31" s="57">
        <f t="shared" si="336"/>
        <v>0</v>
      </c>
      <c r="QG31" s="1029">
        <f t="shared" si="175"/>
        <v>0</v>
      </c>
      <c r="QH31" s="57">
        <f t="shared" si="176"/>
        <v>0</v>
      </c>
      <c r="QI31" s="171" t="str">
        <f t="shared" si="177"/>
        <v/>
      </c>
      <c r="QJ31" s="57">
        <f t="shared" si="337"/>
        <v>0</v>
      </c>
      <c r="QK31" s="57">
        <f>IF(OR(AND(PY$6=1,$L31=0),AND(PY$6=2,$K31=2,$G31=1)),0,IF(AND(QA$9=2,(OR($F31&gt;1,$K31=1,AND($L31=80,OR($N31=1,AND($N31=2,'#BerechnungDBE'!$AL22&gt;0)))))),IF(PY$4&gt;=$AD$126,0,QI31),IF(QA$9=3,IF(OR(PY$4&gt;=$AD$127,AND($G31=1,$J31=2,PY$6=2),AND(PY$6=1,$N31&lt;&gt;1)),0,IF(QC31&lt;=120,QI31,IF(PY$4&lt;$AD$124,IF($F31=1,60/QA$4*QA$6,60/QA$4*QA$7),IF($F31=1,120/QA$4*QA$6,120/QA$4*QA$7)))),IF(OR($F31=3,$G31=2),IF(OR(AND(PY$4&gt;=$AD$119,$C31=2),AND(PY$4&gt;=$AF$119,$C31=1)),0,IF(QC31&lt;=60,QI31,60/QA$4*QA$7)),IF(AND($F31=2,$G31=1),QI31,0)))))</f>
        <v>0</v>
      </c>
      <c r="QL31" s="57" t="str">
        <f t="shared" si="178"/>
        <v/>
      </c>
      <c r="QM31" s="57" t="str">
        <f t="shared" si="179"/>
        <v/>
      </c>
      <c r="QN31" s="713">
        <f>'org. Düngung 22'!DT30</f>
        <v>0</v>
      </c>
      <c r="QO31" s="57"/>
      <c r="QP31" s="57"/>
      <c r="QQ31" s="57">
        <f t="shared" si="180"/>
        <v>0</v>
      </c>
      <c r="QR31" s="57">
        <f t="shared" si="338"/>
        <v>0</v>
      </c>
      <c r="QS31" s="57">
        <f t="shared" si="339"/>
        <v>0</v>
      </c>
      <c r="QT31" s="57">
        <f t="shared" si="340"/>
        <v>0</v>
      </c>
      <c r="QU31" s="57">
        <f t="shared" si="341"/>
        <v>0</v>
      </c>
      <c r="QV31" s="1029">
        <f t="shared" si="181"/>
        <v>0</v>
      </c>
      <c r="QW31" s="57">
        <f t="shared" si="182"/>
        <v>0</v>
      </c>
      <c r="QX31" s="171" t="str">
        <f t="shared" si="183"/>
        <v/>
      </c>
      <c r="QY31" s="57">
        <f t="shared" si="342"/>
        <v>0</v>
      </c>
      <c r="QZ31" s="57">
        <f>IF(OR(AND(QN$6=1,$L31=0),AND(QN$6=2,$K31=2,$G31=1)),0,IF(AND(QP$9=2,(OR($F31&gt;1,$K31=1,AND($L31=80,OR($N31=1,AND($N31=2,'#BerechnungDBE'!$AL22&gt;0)))))),IF(QN$4&gt;=$AD$126,0,QX31),IF(QP$9=3,IF(OR(QN$4&gt;=$AD$127,AND($G31=1,$J31=2,QN$6=2),AND(QN$6=1,$N31&lt;&gt;1)),0,IF(QR31&lt;=120,QX31,IF(QN$4&lt;$AD$124,IF($F31=1,60/QP$4*QP$6,60/QP$4*QP$7),IF($F31=1,120/QP$4*QP$6,120/QP$4*QP$7)))),IF(OR($F31=3,$G31=2),IF(OR(AND(QN$4&gt;=$AD$119,$C31=2),AND(QN$4&gt;=$AF$119,$C31=1)),0,IF(QR31&lt;=60,QX31,60/QP$4*QP$7)),IF(AND($F31=2,$G31=1),QX31,0)))))</f>
        <v>0</v>
      </c>
      <c r="RA31" s="57" t="str">
        <f t="shared" si="184"/>
        <v/>
      </c>
      <c r="RB31" s="57" t="str">
        <f t="shared" si="185"/>
        <v/>
      </c>
      <c r="RC31" s="713">
        <f>'org. Düngung 22'!DX30</f>
        <v>0</v>
      </c>
      <c r="RD31" s="57"/>
      <c r="RE31" s="57"/>
      <c r="RF31" s="57">
        <f t="shared" si="186"/>
        <v>0</v>
      </c>
      <c r="RG31" s="57">
        <f t="shared" si="343"/>
        <v>0</v>
      </c>
      <c r="RH31" s="57">
        <f t="shared" si="344"/>
        <v>0</v>
      </c>
      <c r="RI31" s="57">
        <f t="shared" si="345"/>
        <v>0</v>
      </c>
      <c r="RJ31" s="57">
        <f t="shared" si="346"/>
        <v>0</v>
      </c>
      <c r="RK31" s="1029">
        <f t="shared" si="187"/>
        <v>0</v>
      </c>
      <c r="RL31" s="57">
        <f t="shared" si="188"/>
        <v>0</v>
      </c>
      <c r="RM31" s="171" t="str">
        <f t="shared" si="189"/>
        <v/>
      </c>
      <c r="RN31" s="57">
        <f t="shared" si="347"/>
        <v>0</v>
      </c>
      <c r="RO31" s="57">
        <f>IF(OR(AND(RC$6=1,$L31=0),AND(RC$6=2,$K31=2,$G31=1)),0,IF(AND(RE$9=2,(OR($F31&gt;1,$K31=1,AND($L31=80,OR($N31=1,AND($N31=2,'#BerechnungDBE'!$AL22&gt;0)))))),IF(RC$4&gt;=$AD$126,0,RM31),IF(RE$9=3,IF(OR(RC$4&gt;=$AD$127,AND($G31=1,$J31=2,RC$6=2),AND(RC$6=1,$N31&lt;&gt;1)),0,IF(RG31&lt;=120,RM31,IF(RC$4&lt;$AD$124,IF($F31=1,60/RE$4*RE$6,60/RE$4*RE$7),IF($F31=1,120/RE$4*RE$6,120/RE$4*RE$7)))),IF(OR($F31=3,$G31=2),IF(OR(AND(RC$4&gt;=$AD$119,$C31=2),AND(RC$4&gt;=$AF$119,$C31=1)),0,IF(RG31&lt;=60,RM31,60/RE$4*RE$7)),IF(AND($F31=2,$G31=1),RM31,0)))))</f>
        <v>0</v>
      </c>
      <c r="RP31" s="57" t="str">
        <f t="shared" si="190"/>
        <v/>
      </c>
      <c r="RQ31" s="57" t="str">
        <f t="shared" si="191"/>
        <v/>
      </c>
      <c r="RS31" s="57" t="str">
        <f t="shared" si="348"/>
        <v/>
      </c>
      <c r="RT31" s="57" t="str">
        <f t="shared" si="192"/>
        <v/>
      </c>
      <c r="RU31" s="57" t="str">
        <f t="shared" si="193"/>
        <v/>
      </c>
      <c r="RV31" s="57" t="str">
        <f>IF(Z31&gt;'#BerechnungDBE'!BM22,$RV$9,"")</f>
        <v/>
      </c>
      <c r="RW31" s="57" t="str">
        <f>IF(AND(L31=70,AE31&gt;'#BerechnungDBE'!CQ22),$RW$9,"")</f>
        <v/>
      </c>
      <c r="RX31" s="57" t="str">
        <f>IF(OR('org. Düngung 22'!G30="--",'org. Düngung 22'!G30&lt;=170,'org. Düngung 22'!G30=""),"",$RX$9)</f>
        <v/>
      </c>
      <c r="RY31" s="57" t="str">
        <f>IF('org. Düngung 22'!K30&gt;120,'#orgDung'!$RY$9,"")</f>
        <v/>
      </c>
      <c r="RZ31" s="57" t="str">
        <f>IF('#BerechnungDBE'!P22&lt;4,"",IF(AND('#BerechnungDBE'!BZ22&gt;0,T31&gt;0),'#orgDung'!$RZ$9,""))</f>
        <v/>
      </c>
      <c r="SA31" s="57" t="str">
        <f t="shared" si="194"/>
        <v/>
      </c>
    </row>
    <row r="32" spans="1:495" s="875" customFormat="1" x14ac:dyDescent="0.2">
      <c r="A32" s="875">
        <f>'Flächen u. Kulturen'!A28</f>
        <v>19</v>
      </c>
      <c r="B32" s="367">
        <f>'#BerechnungDBE'!L23</f>
        <v>0</v>
      </c>
      <c r="C32" s="875">
        <f>'#BerechnungDBE'!R23</f>
        <v>1</v>
      </c>
      <c r="D32" s="875">
        <f>'#BerechnungDBE'!T23</f>
        <v>2</v>
      </c>
      <c r="E32" s="875" t="str">
        <f>'Flächen u. Kulturen'!E28</f>
        <v>x</v>
      </c>
      <c r="F32" s="52">
        <f>'#BerechnungDBE'!N23</f>
        <v>1</v>
      </c>
      <c r="G32" s="52">
        <f>'#BerechnungDBE'!O23</f>
        <v>1</v>
      </c>
      <c r="H32" s="875">
        <f>IF('Flächen u. Kulturen'!P28="",0,VLOOKUP('Flächen u. Kulturen'!P28,Kulturen[[HF]:[Berechnungsgruppe]],'#Frucht'!$H$1,FALSE))</f>
        <v>0</v>
      </c>
      <c r="I32" s="875">
        <f>IF('Flächen u. Kulturen'!J28="",0,VLOOKUP('Flächen u. Kulturen'!J28,Kulturen[[HF]:[Berechnungsgruppe]],'#Frucht'!$G$1,FALSE))</f>
        <v>90</v>
      </c>
      <c r="J32" s="505">
        <f t="shared" si="195"/>
        <v>2</v>
      </c>
      <c r="K32" s="505">
        <f>IF('Flächen u. Kulturen'!P28="",0,IF(VLOOKUP('Flächen u. Kulturen'!P28,Kulturen[[HF]:[Saat Winterungen]],'#Frucht'!$P$1,FALSE)&gt;0,1,2))</f>
        <v>2</v>
      </c>
      <c r="L32" s="875">
        <f>'#BerechnungDBE'!AF23</f>
        <v>0</v>
      </c>
      <c r="M32" s="875">
        <f>IF('Flächen u. Kulturen'!L28="",0,VLOOKUP('Flächen u. Kulturen'!L28,Nebenkultur[[Nebenkultur]:[Legum. Zwischenfr.]],'#Zweitfr'!$K$1,FALSE))</f>
        <v>0</v>
      </c>
      <c r="N32" s="875">
        <f>'#BerechnungDBE'!AG23</f>
        <v>0</v>
      </c>
      <c r="P32" s="57">
        <f t="shared" si="0"/>
        <v>0</v>
      </c>
      <c r="Q32" s="57">
        <f t="shared" si="1"/>
        <v>0</v>
      </c>
      <c r="R32" s="875">
        <f t="shared" si="2"/>
        <v>0</v>
      </c>
      <c r="S32" s="938" t="str">
        <f t="shared" si="3"/>
        <v/>
      </c>
      <c r="T32" s="875">
        <f t="shared" si="4"/>
        <v>0</v>
      </c>
      <c r="U32" s="875">
        <f t="shared" si="5"/>
        <v>0</v>
      </c>
      <c r="V32" s="875">
        <f t="shared" si="6"/>
        <v>0</v>
      </c>
      <c r="W32" s="875">
        <f t="shared" si="7"/>
        <v>0</v>
      </c>
      <c r="X32" s="875">
        <f t="shared" si="8"/>
        <v>0</v>
      </c>
      <c r="Y32" s="875">
        <f t="shared" si="349"/>
        <v>0</v>
      </c>
      <c r="Z32" s="875">
        <f t="shared" si="350"/>
        <v>0</v>
      </c>
      <c r="AA32" s="910">
        <f t="shared" si="9"/>
        <v>0</v>
      </c>
      <c r="AB32" s="57">
        <f t="shared" si="351"/>
        <v>0</v>
      </c>
      <c r="AC32" s="875">
        <f t="shared" si="10"/>
        <v>0</v>
      </c>
      <c r="AD32" s="875">
        <f t="shared" si="11"/>
        <v>0</v>
      </c>
      <c r="AE32" s="875">
        <f t="shared" si="12"/>
        <v>0</v>
      </c>
      <c r="AF32" s="875">
        <f t="shared" si="352"/>
        <v>0</v>
      </c>
      <c r="AG32" s="875">
        <f>'org. Düngung 22'!J31</f>
        <v>0</v>
      </c>
      <c r="AH32" s="875">
        <f>'org. Düngung 22'!K31</f>
        <v>0</v>
      </c>
      <c r="AJ32" s="713">
        <f>'org. Düngung 22'!L31</f>
        <v>0</v>
      </c>
      <c r="AK32" s="57"/>
      <c r="AL32" s="57"/>
      <c r="AM32" s="57">
        <f t="shared" si="196"/>
        <v>0</v>
      </c>
      <c r="AN32" s="57">
        <f t="shared" si="197"/>
        <v>0</v>
      </c>
      <c r="AO32" s="57">
        <f t="shared" si="198"/>
        <v>0</v>
      </c>
      <c r="AP32" s="57">
        <f t="shared" si="199"/>
        <v>0</v>
      </c>
      <c r="AQ32" s="57">
        <f t="shared" si="200"/>
        <v>0</v>
      </c>
      <c r="AR32" s="1029">
        <f t="shared" si="14"/>
        <v>0</v>
      </c>
      <c r="AS32" s="57">
        <f t="shared" si="15"/>
        <v>0</v>
      </c>
      <c r="AT32" s="171" t="str">
        <f t="shared" si="16"/>
        <v/>
      </c>
      <c r="AU32" s="57">
        <f t="shared" si="201"/>
        <v>0</v>
      </c>
      <c r="AV32" s="57">
        <f>IF(OR(AND(AJ$6=1,$L32=0),AND(AJ$6=2,$K32=2,$G32=1)),0,IF(AND(AL$9=2,(OR($F32&gt;1,$K32=1,AND($L32=80,OR($N32=1,AND($N32=2,'#BerechnungDBE'!$AL23&gt;0)))))),IF(AJ$4&gt;=$AD$126,0,AT32),IF(AL$9=3,IF(OR(AJ$4&gt;=$AD$127,AND($G32=1,$J32=2,AJ$6=2),AND(AJ$6=1,$N32&lt;&gt;1)),0,IF(AN32&lt;=120,AT32,IF(AJ$4&lt;$AD$124,IF($F32=1,60/AL$4*AL$6,60/AL$4*AL$7),IF($F32=1,120/AL$4*AL$6,120/AL$4*AL$7)))),IF(OR($F32=3,$G32=2),IF(OR(AND(AJ$4&gt;=$AD$119,$C32=2),AND(AJ$4&gt;=$AF$119,$C32=1)),0,IF(AN32&lt;=60,AT32,60/AL$4*AL$7)),IF(AND($F32=2,$G32=1),AT32,0)))))</f>
        <v>0</v>
      </c>
      <c r="AW32" s="57" t="str">
        <f t="shared" si="202"/>
        <v/>
      </c>
      <c r="AX32" s="57" t="str">
        <f t="shared" si="17"/>
        <v/>
      </c>
      <c r="AY32" s="713">
        <f>'org. Düngung 22'!P31</f>
        <v>0</v>
      </c>
      <c r="AZ32" s="57"/>
      <c r="BA32" s="57"/>
      <c r="BB32" s="57">
        <f t="shared" si="18"/>
        <v>0</v>
      </c>
      <c r="BC32" s="57">
        <f t="shared" si="203"/>
        <v>0</v>
      </c>
      <c r="BD32" s="57">
        <f t="shared" si="204"/>
        <v>0</v>
      </c>
      <c r="BE32" s="57">
        <f t="shared" si="205"/>
        <v>0</v>
      </c>
      <c r="BF32" s="57">
        <f t="shared" si="206"/>
        <v>0</v>
      </c>
      <c r="BG32" s="1029">
        <f t="shared" si="19"/>
        <v>0</v>
      </c>
      <c r="BH32" s="57">
        <f t="shared" si="20"/>
        <v>0</v>
      </c>
      <c r="BI32" s="171" t="str">
        <f t="shared" si="21"/>
        <v/>
      </c>
      <c r="BJ32" s="57">
        <f t="shared" si="207"/>
        <v>0</v>
      </c>
      <c r="BK32" s="57">
        <f>IF(OR(AND(AY$6=1,$L32=0),AND(AY$6=2,$K32=2,$G32=1)),0,IF(AND(BA$9=2,(OR($F32&gt;1,$K32=1,AND($L32=80,OR($N32=1,AND($N32=2,'#BerechnungDBE'!$AL23&gt;0)))))),IF(AY$4&gt;=$AD$126,0,BI32),IF(BA$9=3,IF(OR(AY$4&gt;=$AD$127,AND($G32=1,$J32=2,AY$6=2),AND(AY$6=1,$N32&lt;&gt;1)),0,IF(BC32&lt;=120,BI32,IF(AY$4&lt;$AD$124,IF($F32=1,60/BA$4*BA$6,60/BA$4*BA$7),IF($F32=1,120/BA$4*BA$6,120/BA$4*BA$7)))),IF(OR($F32=3,$G32=2),IF(OR(AND(AY$4&gt;=$AD$119,$C32=2),AND(AY$4&gt;=$AF$119,$C32=1)),0,IF(BC32&lt;=60,BI32,60/BA$4*BA$7)),IF(AND($F32=2,$G32=1),BI32,0)))))</f>
        <v>0</v>
      </c>
      <c r="BL32" s="57" t="str">
        <f t="shared" si="22"/>
        <v/>
      </c>
      <c r="BM32" s="57" t="str">
        <f t="shared" si="23"/>
        <v/>
      </c>
      <c r="BN32" s="713">
        <f>'org. Düngung 22'!T31</f>
        <v>0</v>
      </c>
      <c r="BO32" s="57"/>
      <c r="BP32" s="57"/>
      <c r="BQ32" s="57">
        <f t="shared" si="24"/>
        <v>0</v>
      </c>
      <c r="BR32" s="57">
        <f t="shared" si="208"/>
        <v>0</v>
      </c>
      <c r="BS32" s="57">
        <f t="shared" si="209"/>
        <v>0</v>
      </c>
      <c r="BT32" s="57">
        <f t="shared" si="210"/>
        <v>0</v>
      </c>
      <c r="BU32" s="57">
        <f t="shared" si="211"/>
        <v>0</v>
      </c>
      <c r="BV32" s="1029">
        <f t="shared" si="25"/>
        <v>0</v>
      </c>
      <c r="BW32" s="57">
        <f t="shared" si="26"/>
        <v>0</v>
      </c>
      <c r="BX32" s="171" t="str">
        <f t="shared" si="27"/>
        <v/>
      </c>
      <c r="BY32" s="57">
        <f t="shared" si="212"/>
        <v>0</v>
      </c>
      <c r="BZ32" s="57">
        <f>IF(OR(AND(BN$6=1,$L32=0),AND(BN$6=2,$K32=2,$G32=1)),0,IF(AND(BP$9=2,(OR($F32&gt;1,$K32=1,AND($L32=80,OR($N32=1,AND($N32=2,'#BerechnungDBE'!$AL23&gt;0)))))),IF(BN$4&gt;=$AD$126,0,BX32),IF(BP$9=3,IF(OR(BN$4&gt;=$AD$127,AND($G32=1,$J32=2,BN$6=2),AND(BN$6=1,$N32&lt;&gt;1)),0,IF(BR32&lt;=120,BX32,IF(BN$4&lt;$AD$124,IF($F32=1,60/BP$4*BP$6,60/BP$4*BP$7),IF($F32=1,120/BP$4*BP$6,120/BP$4*BP$7)))),IF(OR($F32=3,$G32=2),IF(OR(AND(BN$4&gt;=$AD$119,$C32=2),AND(BN$4&gt;=$AF$119,$C32=1)),0,IF(BR32&lt;=60,BX32,60/BP$4*BP$7)),IF(AND($F32=2,$G32=1),BX32,0)))))</f>
        <v>0</v>
      </c>
      <c r="CA32" s="57" t="str">
        <f t="shared" si="28"/>
        <v/>
      </c>
      <c r="CB32" s="57" t="str">
        <f t="shared" si="29"/>
        <v/>
      </c>
      <c r="CC32" s="713">
        <f>'org. Düngung 22'!X31</f>
        <v>0</v>
      </c>
      <c r="CD32" s="57"/>
      <c r="CE32" s="57"/>
      <c r="CF32" s="57">
        <f t="shared" si="30"/>
        <v>0</v>
      </c>
      <c r="CG32" s="57">
        <f t="shared" si="213"/>
        <v>0</v>
      </c>
      <c r="CH32" s="57">
        <f t="shared" si="214"/>
        <v>0</v>
      </c>
      <c r="CI32" s="57">
        <f t="shared" si="215"/>
        <v>0</v>
      </c>
      <c r="CJ32" s="57">
        <f t="shared" si="216"/>
        <v>0</v>
      </c>
      <c r="CK32" s="1029">
        <f t="shared" si="31"/>
        <v>0</v>
      </c>
      <c r="CL32" s="57">
        <f t="shared" si="32"/>
        <v>0</v>
      </c>
      <c r="CM32" s="171" t="str">
        <f t="shared" si="33"/>
        <v/>
      </c>
      <c r="CN32" s="57">
        <f t="shared" si="217"/>
        <v>0</v>
      </c>
      <c r="CO32" s="57">
        <f>IF(OR(AND(CC$6=1,$L32=0),AND(CC$6=2,$K32=2,$G32=1)),0,IF(AND(CE$9=2,(OR($F32&gt;1,$K32=1,AND($L32=80,OR($N32=1,AND($N32=2,'#BerechnungDBE'!$AL23&gt;0)))))),IF(CC$4&gt;=$AD$126,0,CM32),IF(CE$9=3,IF(OR(CC$4&gt;=$AD$127,AND($G32=1,$J32=2,CC$6=2),AND(CC$6=1,$N32&lt;&gt;1)),0,IF(CG32&lt;=120,CM32,IF(CC$4&lt;$AD$124,IF($F32=1,60/CE$4*CE$6,60/CE$4*CE$7),IF($F32=1,120/CE$4*CE$6,120/CE$4*CE$7)))),IF(OR($F32=3,$G32=2),IF(OR(AND(CC$4&gt;=$AD$119,$C32=2),AND(CC$4&gt;=$AF$119,$C32=1)),0,IF(CG32&lt;=60,CM32,60/CE$4*CE$7)),IF(AND($F32=2,$G32=1),CM32,0)))))</f>
        <v>0</v>
      </c>
      <c r="CP32" s="57" t="str">
        <f t="shared" si="34"/>
        <v/>
      </c>
      <c r="CQ32" s="57" t="str">
        <f t="shared" si="35"/>
        <v/>
      </c>
      <c r="CR32" s="713">
        <f>'org. Düngung 22'!AB31</f>
        <v>0</v>
      </c>
      <c r="CS32" s="57"/>
      <c r="CT32" s="57"/>
      <c r="CU32" s="57">
        <f t="shared" si="36"/>
        <v>0</v>
      </c>
      <c r="CV32" s="57">
        <f t="shared" si="218"/>
        <v>0</v>
      </c>
      <c r="CW32" s="57">
        <f t="shared" si="219"/>
        <v>0</v>
      </c>
      <c r="CX32" s="57">
        <f t="shared" si="220"/>
        <v>0</v>
      </c>
      <c r="CY32" s="57">
        <f t="shared" si="221"/>
        <v>0</v>
      </c>
      <c r="CZ32" s="1029">
        <f t="shared" si="37"/>
        <v>0</v>
      </c>
      <c r="DA32" s="57">
        <f t="shared" si="38"/>
        <v>0</v>
      </c>
      <c r="DB32" s="171" t="str">
        <f t="shared" si="39"/>
        <v/>
      </c>
      <c r="DC32" s="57">
        <f t="shared" si="222"/>
        <v>0</v>
      </c>
      <c r="DD32" s="57">
        <f>IF(OR(AND(CR$6=1,$L32=0),AND(CR$6=2,$K32=2,$G32=1)),0,IF(AND(CT$9=2,(OR($F32&gt;1,$K32=1,AND($L32=80,OR($N32=1,AND($N32=2,'#BerechnungDBE'!$AL23&gt;0)))))),IF(CR$4&gt;=$AD$126,0,DB32),IF(CT$9=3,IF(OR(CR$4&gt;=$AD$127,AND($G32=1,$J32=2,CR$6=2),AND(CR$6=1,$N32&lt;&gt;1)),0,IF(CV32&lt;=120,DB32,IF(CR$4&lt;$AD$124,IF($F32=1,60/CT$4*CT$6,60/CT$4*CT$7),IF($F32=1,120/CT$4*CT$6,120/CT$4*CT$7)))),IF(OR($F32=3,$G32=2),IF(OR(AND(CR$4&gt;=$AD$119,$C32=2),AND(CR$4&gt;=$AF$119,$C32=1)),0,IF(CV32&lt;=60,DB32,60/CT$4*CT$7)),IF(AND($F32=2,$G32=1),DB32,0)))))</f>
        <v>0</v>
      </c>
      <c r="DE32" s="57" t="str">
        <f t="shared" si="40"/>
        <v/>
      </c>
      <c r="DF32" s="57" t="str">
        <f t="shared" si="41"/>
        <v/>
      </c>
      <c r="DG32" s="713">
        <f>'org. Düngung 22'!AF31</f>
        <v>0</v>
      </c>
      <c r="DH32" s="57"/>
      <c r="DI32" s="57"/>
      <c r="DJ32" s="57">
        <f t="shared" si="42"/>
        <v>0</v>
      </c>
      <c r="DK32" s="57">
        <f t="shared" si="223"/>
        <v>0</v>
      </c>
      <c r="DL32" s="57">
        <f t="shared" si="224"/>
        <v>0</v>
      </c>
      <c r="DM32" s="57">
        <f t="shared" si="225"/>
        <v>0</v>
      </c>
      <c r="DN32" s="57">
        <f t="shared" si="226"/>
        <v>0</v>
      </c>
      <c r="DO32" s="1029">
        <f t="shared" si="43"/>
        <v>0</v>
      </c>
      <c r="DP32" s="57">
        <f t="shared" si="44"/>
        <v>0</v>
      </c>
      <c r="DQ32" s="171" t="str">
        <f t="shared" si="45"/>
        <v/>
      </c>
      <c r="DR32" s="57">
        <f t="shared" si="227"/>
        <v>0</v>
      </c>
      <c r="DS32" s="57">
        <f>IF(OR(AND(DG$6=1,$L32=0),AND(DG$6=2,$K32=2,$G32=1)),0,IF(AND(DI$9=2,(OR($F32&gt;1,$K32=1,AND($L32=80,OR($N32=1,AND($N32=2,'#BerechnungDBE'!$AL23&gt;0)))))),IF(DG$4&gt;=$AD$126,0,DQ32),IF(DI$9=3,IF(OR(DG$4&gt;=$AD$127,AND($G32=1,$J32=2,DG$6=2),AND(DG$6=1,$N32&lt;&gt;1)),0,IF(DK32&lt;=120,DQ32,IF(DG$4&lt;$AD$124,IF($F32=1,60/DI$4*DI$6,60/DI$4*DI$7),IF($F32=1,120/DI$4*DI$6,120/DI$4*DI$7)))),IF(OR($F32=3,$G32=2),IF(OR(AND(DG$4&gt;=$AD$119,$C32=2),AND(DG$4&gt;=$AF$119,$C32=1)),0,IF(DK32&lt;=60,DQ32,60/DI$4*DI$7)),IF(AND($F32=2,$G32=1),DQ32,0)))))</f>
        <v>0</v>
      </c>
      <c r="DT32" s="57" t="str">
        <f t="shared" si="46"/>
        <v/>
      </c>
      <c r="DU32" s="57" t="str">
        <f t="shared" si="47"/>
        <v/>
      </c>
      <c r="DV32" s="713">
        <f>'org. Düngung 22'!AJ31</f>
        <v>0</v>
      </c>
      <c r="DW32" s="57"/>
      <c r="DX32" s="57"/>
      <c r="DY32" s="57">
        <f t="shared" si="48"/>
        <v>0</v>
      </c>
      <c r="DZ32" s="57">
        <f t="shared" si="228"/>
        <v>0</v>
      </c>
      <c r="EA32" s="57">
        <f t="shared" si="229"/>
        <v>0</v>
      </c>
      <c r="EB32" s="57">
        <f t="shared" si="230"/>
        <v>0</v>
      </c>
      <c r="EC32" s="57">
        <f t="shared" si="231"/>
        <v>0</v>
      </c>
      <c r="ED32" s="1029">
        <f t="shared" si="49"/>
        <v>0</v>
      </c>
      <c r="EE32" s="57">
        <f t="shared" si="50"/>
        <v>0</v>
      </c>
      <c r="EF32" s="171" t="str">
        <f t="shared" si="51"/>
        <v/>
      </c>
      <c r="EG32" s="57">
        <f t="shared" si="232"/>
        <v>0</v>
      </c>
      <c r="EH32" s="57">
        <f>IF(OR(AND(DV$6=1,$L32=0),AND(DV$6=2,$K32=2,$G32=1)),0,IF(AND(DX$9=2,(OR($F32&gt;1,$K32=1,AND($L32=80,OR($N32=1,AND($N32=2,'#BerechnungDBE'!$AL23&gt;0)))))),IF(DV$4&gt;=$AD$126,0,EF32),IF(DX$9=3,IF(OR(DV$4&gt;=$AD$127,AND($G32=1,$J32=2,DV$6=2),AND(DV$6=1,$N32&lt;&gt;1)),0,IF(DZ32&lt;=120,EF32,IF(DV$4&lt;$AD$124,IF($F32=1,60/DX$4*DX$6,60/DX$4*DX$7),IF($F32=1,120/DX$4*DX$6,120/DX$4*DX$7)))),IF(OR($F32=3,$G32=2),IF(OR(AND(DV$4&gt;=$AD$119,$C32=2),AND(DV$4&gt;=$AF$119,$C32=1)),0,IF(DZ32&lt;=60,EF32,60/DX$4*DX$7)),IF(AND($F32=2,$G32=1),EF32,0)))))</f>
        <v>0</v>
      </c>
      <c r="EI32" s="57" t="str">
        <f t="shared" si="52"/>
        <v/>
      </c>
      <c r="EJ32" s="57" t="str">
        <f t="shared" si="53"/>
        <v/>
      </c>
      <c r="EK32" s="713">
        <f>'org. Düngung 22'!AN31</f>
        <v>0</v>
      </c>
      <c r="EL32" s="57"/>
      <c r="EM32" s="57"/>
      <c r="EN32" s="57">
        <f t="shared" si="54"/>
        <v>0</v>
      </c>
      <c r="EO32" s="57">
        <f t="shared" si="233"/>
        <v>0</v>
      </c>
      <c r="EP32" s="57">
        <f t="shared" si="234"/>
        <v>0</v>
      </c>
      <c r="EQ32" s="57">
        <f t="shared" si="235"/>
        <v>0</v>
      </c>
      <c r="ER32" s="57">
        <f t="shared" si="236"/>
        <v>0</v>
      </c>
      <c r="ES32" s="1029">
        <f t="shared" si="55"/>
        <v>0</v>
      </c>
      <c r="ET32" s="57">
        <f t="shared" si="56"/>
        <v>0</v>
      </c>
      <c r="EU32" s="171" t="str">
        <f t="shared" si="57"/>
        <v/>
      </c>
      <c r="EV32" s="57">
        <f t="shared" si="237"/>
        <v>0</v>
      </c>
      <c r="EW32" s="57">
        <f>IF(OR(AND(EK$6=1,$L32=0),AND(EK$6=2,$K32=2,$G32=1)),0,IF(AND(EM$9=2,(OR($F32&gt;1,$K32=1,AND($L32=80,OR($N32=1,AND($N32=2,'#BerechnungDBE'!$AL23&gt;0)))))),IF(EK$4&gt;=$AD$126,0,EU32),IF(EM$9=3,IF(OR(EK$4&gt;=$AD$127,AND($G32=1,$J32=2,EK$6=2),AND(EK$6=1,$N32&lt;&gt;1)),0,IF(EO32&lt;=120,EU32,IF(EK$4&lt;$AD$124,IF($F32=1,60/EM$4*EM$6,60/EM$4*EM$7),IF($F32=1,120/EM$4*EM$6,120/EM$4*EM$7)))),IF(OR($F32=3,$G32=2),IF(OR(AND(EK$4&gt;=$AD$119,$C32=2),AND(EK$4&gt;=$AF$119,$C32=1)),0,IF(EO32&lt;=60,EU32,60/EM$4*EM$7)),IF(AND($F32=2,$G32=1),EU32,0)))))</f>
        <v>0</v>
      </c>
      <c r="EX32" s="57" t="str">
        <f t="shared" si="58"/>
        <v/>
      </c>
      <c r="EY32" s="57" t="str">
        <f t="shared" si="59"/>
        <v/>
      </c>
      <c r="EZ32" s="713">
        <f>'org. Düngung 22'!AR31</f>
        <v>0</v>
      </c>
      <c r="FA32" s="57"/>
      <c r="FB32" s="57"/>
      <c r="FC32" s="57">
        <f t="shared" si="60"/>
        <v>0</v>
      </c>
      <c r="FD32" s="57">
        <f t="shared" si="238"/>
        <v>0</v>
      </c>
      <c r="FE32" s="57">
        <f t="shared" si="239"/>
        <v>0</v>
      </c>
      <c r="FF32" s="57">
        <f t="shared" si="240"/>
        <v>0</v>
      </c>
      <c r="FG32" s="57">
        <f t="shared" si="241"/>
        <v>0</v>
      </c>
      <c r="FH32" s="1029">
        <f t="shared" si="61"/>
        <v>0</v>
      </c>
      <c r="FI32" s="57">
        <f t="shared" si="62"/>
        <v>0</v>
      </c>
      <c r="FJ32" s="171" t="str">
        <f t="shared" si="63"/>
        <v/>
      </c>
      <c r="FK32" s="57">
        <f t="shared" si="242"/>
        <v>0</v>
      </c>
      <c r="FL32" s="57">
        <f>IF(OR(AND(EZ$6=1,$L32=0),AND(EZ$6=2,$K32=2,$G32=1)),0,IF(AND(FB$9=2,(OR($F32&gt;1,$K32=1,AND($L32=80,OR($N32=1,AND($N32=2,'#BerechnungDBE'!$AL23&gt;0)))))),IF(EZ$4&gt;=$AD$126,0,FJ32),IF(FB$9=3,IF(OR(EZ$4&gt;=$AD$127,AND($G32=1,$J32=2,EZ$6=2),AND(EZ$6=1,$N32&lt;&gt;1)),0,IF(FD32&lt;=120,FJ32,IF(EZ$4&lt;$AD$124,IF($F32=1,60/FB$4*FB$6,60/FB$4*FB$7),IF($F32=1,120/FB$4*FB$6,120/FB$4*FB$7)))),IF(OR($F32=3,$G32=2),IF(OR(AND(EZ$4&gt;=$AD$119,$C32=2),AND(EZ$4&gt;=$AF$119,$C32=1)),0,IF(FD32&lt;=60,FJ32,60/FB$4*FB$7)),IF(AND($F32=2,$G32=1),FJ32,0)))))</f>
        <v>0</v>
      </c>
      <c r="FM32" s="57" t="str">
        <f t="shared" si="64"/>
        <v/>
      </c>
      <c r="FN32" s="57" t="str">
        <f t="shared" si="65"/>
        <v/>
      </c>
      <c r="FO32" s="713">
        <f>'org. Düngung 22'!AV31</f>
        <v>0</v>
      </c>
      <c r="FP32" s="57"/>
      <c r="FQ32" s="57"/>
      <c r="FR32" s="57">
        <f t="shared" si="66"/>
        <v>0</v>
      </c>
      <c r="FS32" s="57">
        <f t="shared" si="243"/>
        <v>0</v>
      </c>
      <c r="FT32" s="57">
        <f t="shared" si="244"/>
        <v>0</v>
      </c>
      <c r="FU32" s="57">
        <f t="shared" si="245"/>
        <v>0</v>
      </c>
      <c r="FV32" s="57">
        <f t="shared" si="246"/>
        <v>0</v>
      </c>
      <c r="FW32" s="1029">
        <f t="shared" si="67"/>
        <v>0</v>
      </c>
      <c r="FX32" s="57">
        <f t="shared" si="68"/>
        <v>0</v>
      </c>
      <c r="FY32" s="171" t="str">
        <f t="shared" si="69"/>
        <v/>
      </c>
      <c r="FZ32" s="57">
        <f t="shared" si="247"/>
        <v>0</v>
      </c>
      <c r="GA32" s="57">
        <f>IF(OR(AND(FO$6=1,$L32=0),AND(FO$6=2,$K32=2,$G32=1)),0,IF(AND(FQ$9=2,(OR($F32&gt;1,$K32=1,AND($L32=80,OR($N32=1,AND($N32=2,'#BerechnungDBE'!$AL23&gt;0)))))),IF(FO$4&gt;=$AD$126,0,FY32),IF(FQ$9=3,IF(OR(FO$4&gt;=$AD$127,AND($G32=1,$J32=2,FO$6=2),AND(FO$6=1,$N32&lt;&gt;1)),0,IF(FS32&lt;=120,FY32,IF(FO$4&lt;$AD$124,IF($F32=1,60/FQ$4*FQ$6,60/FQ$4*FQ$7),IF($F32=1,120/FQ$4*FQ$6,120/FQ$4*FQ$7)))),IF(OR($F32=3,$G32=2),IF(OR(AND(FO$4&gt;=$AD$119,$C32=2),AND(FO$4&gt;=$AF$119,$C32=1)),0,IF(FS32&lt;=60,FY32,60/FQ$4*FQ$7)),IF(AND($F32=2,$G32=1),FY32,0)))))</f>
        <v>0</v>
      </c>
      <c r="GB32" s="57" t="str">
        <f t="shared" si="70"/>
        <v/>
      </c>
      <c r="GC32" s="57" t="str">
        <f t="shared" si="71"/>
        <v/>
      </c>
      <c r="GD32" s="713">
        <f>'org. Düngung 22'!AZ31</f>
        <v>0</v>
      </c>
      <c r="GE32" s="57"/>
      <c r="GF32" s="57"/>
      <c r="GG32" s="57">
        <f t="shared" si="72"/>
        <v>0</v>
      </c>
      <c r="GH32" s="57">
        <f t="shared" si="248"/>
        <v>0</v>
      </c>
      <c r="GI32" s="57">
        <f t="shared" si="249"/>
        <v>0</v>
      </c>
      <c r="GJ32" s="57">
        <f t="shared" si="250"/>
        <v>0</v>
      </c>
      <c r="GK32" s="57">
        <f t="shared" si="251"/>
        <v>0</v>
      </c>
      <c r="GL32" s="1029">
        <f t="shared" si="73"/>
        <v>0</v>
      </c>
      <c r="GM32" s="57">
        <f t="shared" si="74"/>
        <v>0</v>
      </c>
      <c r="GN32" s="171" t="str">
        <f t="shared" si="75"/>
        <v/>
      </c>
      <c r="GO32" s="57">
        <f t="shared" si="252"/>
        <v>0</v>
      </c>
      <c r="GP32" s="57">
        <f>IF(OR(AND(GD$6=1,$L32=0),AND(GD$6=2,$K32=2,$G32=1)),0,IF(AND(GF$9=2,(OR($F32&gt;1,$K32=1,AND($L32=80,OR($N32=1,AND($N32=2,'#BerechnungDBE'!$AL23&gt;0)))))),IF(GD$4&gt;=$AD$126,0,GN32),IF(GF$9=3,IF(OR(GD$4&gt;=$AD$127,AND($G32=1,$J32=2,GD$6=2),AND(GD$6=1,$N32&lt;&gt;1)),0,IF(GH32&lt;=120,GN32,IF(GD$4&lt;$AD$124,IF($F32=1,60/GF$4*GF$6,60/GF$4*GF$7),IF($F32=1,120/GF$4*GF$6,120/GF$4*GF$7)))),IF(OR($F32=3,$G32=2),IF(OR(AND(GD$4&gt;=$AD$119,$C32=2),AND(GD$4&gt;=$AF$119,$C32=1)),0,IF(GH32&lt;=60,GN32,60/GF$4*GF$7)),IF(AND($F32=2,$G32=1),GN32,0)))))</f>
        <v>0</v>
      </c>
      <c r="GQ32" s="57" t="str">
        <f t="shared" si="76"/>
        <v/>
      </c>
      <c r="GR32" s="57" t="str">
        <f t="shared" si="77"/>
        <v/>
      </c>
      <c r="GS32" s="713">
        <f>'org. Düngung 22'!BD31</f>
        <v>0</v>
      </c>
      <c r="GT32" s="57"/>
      <c r="GU32" s="57"/>
      <c r="GV32" s="57">
        <f t="shared" si="78"/>
        <v>0</v>
      </c>
      <c r="GW32" s="57">
        <f t="shared" si="253"/>
        <v>0</v>
      </c>
      <c r="GX32" s="57">
        <f t="shared" si="254"/>
        <v>0</v>
      </c>
      <c r="GY32" s="57">
        <f t="shared" si="255"/>
        <v>0</v>
      </c>
      <c r="GZ32" s="57">
        <f t="shared" si="256"/>
        <v>0</v>
      </c>
      <c r="HA32" s="1029">
        <f t="shared" si="79"/>
        <v>0</v>
      </c>
      <c r="HB32" s="57">
        <f t="shared" si="80"/>
        <v>0</v>
      </c>
      <c r="HC32" s="171" t="str">
        <f t="shared" si="81"/>
        <v/>
      </c>
      <c r="HD32" s="57">
        <f t="shared" si="257"/>
        <v>0</v>
      </c>
      <c r="HE32" s="57">
        <f>IF(OR(AND(GS$6=1,$L32=0),AND(GS$6=2,$K32=2,$G32=1)),0,IF(AND(GU$9=2,(OR($F32&gt;1,$K32=1,AND($L32=80,OR($N32=1,AND($N32=2,'#BerechnungDBE'!$AL23&gt;0)))))),IF(GS$4&gt;=$AD$126,0,HC32),IF(GU$9=3,IF(OR(GS$4&gt;=$AD$127,AND($G32=1,$J32=2,GS$6=2),AND(GS$6=1,$N32&lt;&gt;1)),0,IF(GW32&lt;=120,HC32,IF(GS$4&lt;$AD$124,IF($F32=1,60/GU$4*GU$6,60/GU$4*GU$7),IF($F32=1,120/GU$4*GU$6,120/GU$4*GU$7)))),IF(OR($F32=3,$G32=2),IF(OR(AND(GS$4&gt;=$AD$119,$C32=2),AND(GS$4&gt;=$AF$119,$C32=1)),0,IF(GW32&lt;=60,HC32,60/GU$4*GU$7)),IF(AND($F32=2,$G32=1),HC32,0)))))</f>
        <v>0</v>
      </c>
      <c r="HF32" s="57" t="str">
        <f t="shared" si="82"/>
        <v/>
      </c>
      <c r="HG32" s="57" t="str">
        <f t="shared" si="83"/>
        <v/>
      </c>
      <c r="HH32" s="713">
        <f>'org. Düngung 22'!BH31</f>
        <v>0</v>
      </c>
      <c r="HI32" s="57"/>
      <c r="HJ32" s="57"/>
      <c r="HK32" s="57">
        <f t="shared" si="84"/>
        <v>0</v>
      </c>
      <c r="HL32" s="57">
        <f t="shared" si="258"/>
        <v>0</v>
      </c>
      <c r="HM32" s="57">
        <f t="shared" si="259"/>
        <v>0</v>
      </c>
      <c r="HN32" s="57">
        <f t="shared" si="260"/>
        <v>0</v>
      </c>
      <c r="HO32" s="57">
        <f t="shared" si="261"/>
        <v>0</v>
      </c>
      <c r="HP32" s="1029">
        <f t="shared" si="85"/>
        <v>0</v>
      </c>
      <c r="HQ32" s="57">
        <f t="shared" si="86"/>
        <v>0</v>
      </c>
      <c r="HR32" s="171" t="str">
        <f t="shared" si="87"/>
        <v/>
      </c>
      <c r="HS32" s="57">
        <f t="shared" si="262"/>
        <v>0</v>
      </c>
      <c r="HT32" s="57">
        <f>IF(OR(AND(HH$6=1,$L32=0),AND(HH$6=2,$K32=2,$G32=1)),0,IF(AND(HJ$9=2,(OR($F32&gt;1,$K32=1,AND($L32=80,OR($N32=1,AND($N32=2,'#BerechnungDBE'!$AL23&gt;0)))))),IF(HH$4&gt;=$AD$126,0,HR32),IF(HJ$9=3,IF(OR(HH$4&gt;=$AD$127,AND($G32=1,$J32=2,HH$6=2),AND(HH$6=1,$N32&lt;&gt;1)),0,IF(HL32&lt;=120,HR32,IF(HH$4&lt;$AD$124,IF($F32=1,60/HJ$4*HJ$6,60/HJ$4*HJ$7),IF($F32=1,120/HJ$4*HJ$6,120/HJ$4*HJ$7)))),IF(OR($F32=3,$G32=2),IF(OR(AND(HH$4&gt;=$AD$119,$C32=2),AND(HH$4&gt;=$AF$119,$C32=1)),0,IF(HL32&lt;=60,HR32,60/HJ$4*HJ$7)),IF(AND($F32=2,$G32=1),HR32,0)))))</f>
        <v>0</v>
      </c>
      <c r="HU32" s="57" t="str">
        <f t="shared" si="88"/>
        <v/>
      </c>
      <c r="HV32" s="57" t="str">
        <f t="shared" si="89"/>
        <v/>
      </c>
      <c r="HW32" s="713">
        <f>'org. Düngung 22'!BL31</f>
        <v>0</v>
      </c>
      <c r="HX32" s="57"/>
      <c r="HY32" s="57"/>
      <c r="HZ32" s="57">
        <f t="shared" si="90"/>
        <v>0</v>
      </c>
      <c r="IA32" s="57">
        <f t="shared" si="263"/>
        <v>0</v>
      </c>
      <c r="IB32" s="57">
        <f t="shared" si="264"/>
        <v>0</v>
      </c>
      <c r="IC32" s="57">
        <f t="shared" si="265"/>
        <v>0</v>
      </c>
      <c r="ID32" s="57">
        <f t="shared" si="266"/>
        <v>0</v>
      </c>
      <c r="IE32" s="1029">
        <f t="shared" si="91"/>
        <v>0</v>
      </c>
      <c r="IF32" s="57">
        <f t="shared" si="92"/>
        <v>0</v>
      </c>
      <c r="IG32" s="171" t="str">
        <f t="shared" si="93"/>
        <v/>
      </c>
      <c r="IH32" s="57">
        <f t="shared" si="267"/>
        <v>0</v>
      </c>
      <c r="II32" s="57">
        <f>IF(OR(AND(HW$6=1,$L32=0),AND(HW$6=2,$K32=2,$G32=1)),0,IF(AND(HY$9=2,(OR($F32&gt;1,$K32=1,AND($L32=80,OR($N32=1,AND($N32=2,'#BerechnungDBE'!$AL23&gt;0)))))),IF(HW$4&gt;=$AD$126,0,IG32),IF(HY$9=3,IF(OR(HW$4&gt;=$AD$127,AND($G32=1,$J32=2,HW$6=2),AND(HW$6=1,$N32&lt;&gt;1)),0,IF(IA32&lt;=120,IG32,IF(HW$4&lt;$AD$124,IF($F32=1,60/HY$4*HY$6,60/HY$4*HY$7),IF($F32=1,120/HY$4*HY$6,120/HY$4*HY$7)))),IF(OR($F32=3,$G32=2),IF(OR(AND(HW$4&gt;=$AD$119,$C32=2),AND(HW$4&gt;=$AF$119,$C32=1)),0,IF(IA32&lt;=60,IG32,60/HY$4*HY$7)),IF(AND($F32=2,$G32=1),IG32,0)))))</f>
        <v>0</v>
      </c>
      <c r="IJ32" s="57" t="str">
        <f t="shared" si="94"/>
        <v/>
      </c>
      <c r="IK32" s="57" t="str">
        <f t="shared" si="95"/>
        <v/>
      </c>
      <c r="IL32" s="713">
        <f>'org. Düngung 22'!BP31</f>
        <v>0</v>
      </c>
      <c r="IM32" s="57"/>
      <c r="IN32" s="57"/>
      <c r="IO32" s="57">
        <f t="shared" si="96"/>
        <v>0</v>
      </c>
      <c r="IP32" s="57">
        <f t="shared" si="268"/>
        <v>0</v>
      </c>
      <c r="IQ32" s="57">
        <f t="shared" si="269"/>
        <v>0</v>
      </c>
      <c r="IR32" s="57">
        <f t="shared" si="270"/>
        <v>0</v>
      </c>
      <c r="IS32" s="57">
        <f t="shared" si="271"/>
        <v>0</v>
      </c>
      <c r="IT32" s="1029">
        <f t="shared" si="97"/>
        <v>0</v>
      </c>
      <c r="IU32" s="57">
        <f t="shared" si="98"/>
        <v>0</v>
      </c>
      <c r="IV32" s="171" t="str">
        <f t="shared" si="99"/>
        <v/>
      </c>
      <c r="IW32" s="57">
        <f t="shared" si="272"/>
        <v>0</v>
      </c>
      <c r="IX32" s="57">
        <f>IF(OR(AND(IL$6=1,$L32=0),AND(IL$6=2,$K32=2,$G32=1)),0,IF(AND(IN$9=2,(OR($F32&gt;1,$K32=1,AND($L32=80,OR($N32=1,AND($N32=2,'#BerechnungDBE'!$AL23&gt;0)))))),IF(IL$4&gt;=$AD$126,0,IV32),IF(IN$9=3,IF(OR(IL$4&gt;=$AD$127,AND($G32=1,$J32=2,IL$6=2),AND(IL$6=1,$N32&lt;&gt;1)),0,IF(IP32&lt;=120,IV32,IF(IL$4&lt;$AD$124,IF($F32=1,60/IN$4*IN$6,60/IN$4*IN$7),IF($F32=1,120/IN$4*IN$6,120/IN$4*IN$7)))),IF(OR($F32=3,$G32=2),IF(OR(AND(IL$4&gt;=$AD$119,$C32=2),AND(IL$4&gt;=$AF$119,$C32=1)),0,IF(IP32&lt;=60,IV32,60/IN$4*IN$7)),IF(AND($F32=2,$G32=1),IV32,0)))))</f>
        <v>0</v>
      </c>
      <c r="IY32" s="57" t="str">
        <f t="shared" si="100"/>
        <v/>
      </c>
      <c r="IZ32" s="57" t="str">
        <f t="shared" si="101"/>
        <v/>
      </c>
      <c r="JA32" s="713">
        <f>'org. Düngung 22'!BT31</f>
        <v>0</v>
      </c>
      <c r="JB32" s="57"/>
      <c r="JC32" s="57"/>
      <c r="JD32" s="57">
        <f t="shared" si="102"/>
        <v>0</v>
      </c>
      <c r="JE32" s="57">
        <f t="shared" si="273"/>
        <v>0</v>
      </c>
      <c r="JF32" s="57">
        <f t="shared" si="274"/>
        <v>0</v>
      </c>
      <c r="JG32" s="57">
        <f t="shared" si="275"/>
        <v>0</v>
      </c>
      <c r="JH32" s="57">
        <f t="shared" si="276"/>
        <v>0</v>
      </c>
      <c r="JI32" s="1029">
        <f t="shared" si="103"/>
        <v>0</v>
      </c>
      <c r="JJ32" s="57">
        <f t="shared" si="104"/>
        <v>0</v>
      </c>
      <c r="JK32" s="171" t="str">
        <f t="shared" si="105"/>
        <v/>
      </c>
      <c r="JL32" s="57">
        <f t="shared" si="277"/>
        <v>0</v>
      </c>
      <c r="JM32" s="57">
        <f>IF(OR(AND(JA$6=1,$L32=0),AND(JA$6=2,$K32=2,$G32=1)),0,IF(AND(JC$9=2,(OR($F32&gt;1,$K32=1,AND($L32=80,OR($N32=1,AND($N32=2,'#BerechnungDBE'!$AL23&gt;0)))))),IF(JA$4&gt;=$AD$126,0,JK32),IF(JC$9=3,IF(OR(JA$4&gt;=$AD$127,AND($G32=1,$J32=2,JA$6=2),AND(JA$6=1,$N32&lt;&gt;1)),0,IF(JE32&lt;=120,JK32,IF(JA$4&lt;$AD$124,IF($F32=1,60/JC$4*JC$6,60/JC$4*JC$7),IF($F32=1,120/JC$4*JC$6,120/JC$4*JC$7)))),IF(OR($F32=3,$G32=2),IF(OR(AND(JA$4&gt;=$AD$119,$C32=2),AND(JA$4&gt;=$AF$119,$C32=1)),0,IF(JE32&lt;=60,JK32,60/JC$4*JC$7)),IF(AND($F32=2,$G32=1),JK32,0)))))</f>
        <v>0</v>
      </c>
      <c r="JN32" s="57" t="str">
        <f t="shared" si="106"/>
        <v/>
      </c>
      <c r="JO32" s="57" t="str">
        <f t="shared" si="107"/>
        <v/>
      </c>
      <c r="JP32" s="713">
        <f>'org. Düngung 22'!BX31</f>
        <v>0</v>
      </c>
      <c r="JQ32" s="57"/>
      <c r="JR32" s="57"/>
      <c r="JS32" s="57">
        <f t="shared" si="108"/>
        <v>0</v>
      </c>
      <c r="JT32" s="57">
        <f t="shared" si="278"/>
        <v>0</v>
      </c>
      <c r="JU32" s="57">
        <f t="shared" si="279"/>
        <v>0</v>
      </c>
      <c r="JV32" s="57">
        <f t="shared" si="280"/>
        <v>0</v>
      </c>
      <c r="JW32" s="57">
        <f t="shared" si="281"/>
        <v>0</v>
      </c>
      <c r="JX32" s="1029">
        <f t="shared" si="109"/>
        <v>0</v>
      </c>
      <c r="JY32" s="57">
        <f t="shared" si="110"/>
        <v>0</v>
      </c>
      <c r="JZ32" s="171" t="str">
        <f t="shared" si="111"/>
        <v/>
      </c>
      <c r="KA32" s="57">
        <f t="shared" si="282"/>
        <v>0</v>
      </c>
      <c r="KB32" s="57">
        <f>IF(OR(AND(JP$6=1,$L32=0),AND(JP$6=2,$K32=2,$G32=1)),0,IF(AND(JR$9=2,(OR($F32&gt;1,$K32=1,AND($L32=80,OR($N32=1,AND($N32=2,'#BerechnungDBE'!$AL23&gt;0)))))),IF(JP$4&gt;=$AD$126,0,JZ32),IF(JR$9=3,IF(OR(JP$4&gt;=$AD$127,AND($G32=1,$J32=2,JP$6=2),AND(JP$6=1,$N32&lt;&gt;1)),0,IF(JT32&lt;=120,JZ32,IF(JP$4&lt;$AD$124,IF($F32=1,60/JR$4*JR$6,60/JR$4*JR$7),IF($F32=1,120/JR$4*JR$6,120/JR$4*JR$7)))),IF(OR($F32=3,$G32=2),IF(OR(AND(JP$4&gt;=$AD$119,$C32=2),AND(JP$4&gt;=$AF$119,$C32=1)),0,IF(JT32&lt;=60,JZ32,60/JR$4*JR$7)),IF(AND($F32=2,$G32=1),JZ32,0)))))</f>
        <v>0</v>
      </c>
      <c r="KC32" s="57" t="str">
        <f t="shared" si="112"/>
        <v/>
      </c>
      <c r="KD32" s="57" t="str">
        <f t="shared" si="113"/>
        <v/>
      </c>
      <c r="KE32" s="713">
        <f>'org. Düngung 22'!CB31</f>
        <v>0</v>
      </c>
      <c r="KF32" s="57"/>
      <c r="KG32" s="57"/>
      <c r="KH32" s="57">
        <f t="shared" si="114"/>
        <v>0</v>
      </c>
      <c r="KI32" s="57">
        <f t="shared" si="283"/>
        <v>0</v>
      </c>
      <c r="KJ32" s="57">
        <f t="shared" si="284"/>
        <v>0</v>
      </c>
      <c r="KK32" s="57">
        <f t="shared" si="285"/>
        <v>0</v>
      </c>
      <c r="KL32" s="57">
        <f t="shared" si="286"/>
        <v>0</v>
      </c>
      <c r="KM32" s="1029">
        <f t="shared" si="115"/>
        <v>0</v>
      </c>
      <c r="KN32" s="57">
        <f t="shared" si="116"/>
        <v>0</v>
      </c>
      <c r="KO32" s="171" t="str">
        <f t="shared" si="117"/>
        <v/>
      </c>
      <c r="KP32" s="57">
        <f t="shared" si="287"/>
        <v>0</v>
      </c>
      <c r="KQ32" s="57">
        <f>IF(OR(AND(KE$6=1,$L32=0),AND(KE$6=2,$K32=2,$G32=1)),0,IF(AND(KG$9=2,(OR($F32&gt;1,$K32=1,AND($L32=80,OR($N32=1,AND($N32=2,'#BerechnungDBE'!$AL23&gt;0)))))),IF(KE$4&gt;=$AD$126,0,KO32),IF(KG$9=3,IF(OR(KE$4&gt;=$AD$127,AND($G32=1,$J32=2,KE$6=2),AND(KE$6=1,$N32&lt;&gt;1)),0,IF(KI32&lt;=120,KO32,IF(KE$4&lt;$AD$124,IF($F32=1,60/KG$4*KG$6,60/KG$4*KG$7),IF($F32=1,120/KG$4*KG$6,120/KG$4*KG$7)))),IF(OR($F32=3,$G32=2),IF(OR(AND(KE$4&gt;=$AD$119,$C32=2),AND(KE$4&gt;=$AF$119,$C32=1)),0,IF(KI32&lt;=60,KO32,60/KG$4*KG$7)),IF(AND($F32=2,$G32=1),KO32,0)))))</f>
        <v>0</v>
      </c>
      <c r="KR32" s="57" t="str">
        <f t="shared" si="118"/>
        <v/>
      </c>
      <c r="KS32" s="57" t="str">
        <f t="shared" si="119"/>
        <v/>
      </c>
      <c r="KT32" s="713">
        <f>'org. Düngung 22'!CF31</f>
        <v>0</v>
      </c>
      <c r="KU32" s="57"/>
      <c r="KV32" s="57"/>
      <c r="KW32" s="57">
        <f t="shared" si="120"/>
        <v>0</v>
      </c>
      <c r="KX32" s="57">
        <f t="shared" si="288"/>
        <v>0</v>
      </c>
      <c r="KY32" s="57">
        <f t="shared" si="289"/>
        <v>0</v>
      </c>
      <c r="KZ32" s="57">
        <f t="shared" si="290"/>
        <v>0</v>
      </c>
      <c r="LA32" s="57">
        <f t="shared" si="291"/>
        <v>0</v>
      </c>
      <c r="LB32" s="1029">
        <f t="shared" si="121"/>
        <v>0</v>
      </c>
      <c r="LC32" s="57">
        <f t="shared" si="122"/>
        <v>0</v>
      </c>
      <c r="LD32" s="171" t="str">
        <f t="shared" si="123"/>
        <v/>
      </c>
      <c r="LE32" s="57">
        <f t="shared" si="292"/>
        <v>0</v>
      </c>
      <c r="LF32" s="57">
        <f>IF(OR(AND(KT$6=1,$L32=0),AND(KT$6=2,$K32=2,$G32=1)),0,IF(AND(KV$9=2,(OR($F32&gt;1,$K32=1,AND($L32=80,OR($N32=1,AND($N32=2,'#BerechnungDBE'!$AL23&gt;0)))))),IF(KT$4&gt;=$AD$126,0,LD32),IF(KV$9=3,IF(OR(KT$4&gt;=$AD$127,AND($G32=1,$J32=2,KT$6=2),AND(KT$6=1,$N32&lt;&gt;1)),0,IF(KX32&lt;=120,LD32,IF(KT$4&lt;$AD$124,IF($F32=1,60/KV$4*KV$6,60/KV$4*KV$7),IF($F32=1,120/KV$4*KV$6,120/KV$4*KV$7)))),IF(OR($F32=3,$G32=2),IF(OR(AND(KT$4&gt;=$AD$119,$C32=2),AND(KT$4&gt;=$AF$119,$C32=1)),0,IF(KX32&lt;=60,LD32,60/KV$4*KV$7)),IF(AND($F32=2,$G32=1),LD32,0)))))</f>
        <v>0</v>
      </c>
      <c r="LG32" s="57" t="str">
        <f t="shared" si="124"/>
        <v/>
      </c>
      <c r="LH32" s="57" t="str">
        <f t="shared" si="125"/>
        <v/>
      </c>
      <c r="LI32" s="713">
        <f>'org. Düngung 22'!CJ31</f>
        <v>0</v>
      </c>
      <c r="LJ32" s="57"/>
      <c r="LK32" s="57"/>
      <c r="LL32" s="57">
        <f t="shared" si="126"/>
        <v>0</v>
      </c>
      <c r="LM32" s="57">
        <f t="shared" si="293"/>
        <v>0</v>
      </c>
      <c r="LN32" s="57">
        <f t="shared" si="294"/>
        <v>0</v>
      </c>
      <c r="LO32" s="57">
        <f t="shared" si="295"/>
        <v>0</v>
      </c>
      <c r="LP32" s="57">
        <f t="shared" si="296"/>
        <v>0</v>
      </c>
      <c r="LQ32" s="1029">
        <f t="shared" si="127"/>
        <v>0</v>
      </c>
      <c r="LR32" s="57">
        <f t="shared" si="128"/>
        <v>0</v>
      </c>
      <c r="LS32" s="171" t="str">
        <f t="shared" si="129"/>
        <v/>
      </c>
      <c r="LT32" s="57">
        <f t="shared" si="297"/>
        <v>0</v>
      </c>
      <c r="LU32" s="57">
        <f>IF(OR(AND(LI$6=1,$L32=0),AND(LI$6=2,$K32=2,$G32=1)),0,IF(AND(LK$9=2,(OR($F32&gt;1,$K32=1,AND($L32=80,OR($N32=1,AND($N32=2,'#BerechnungDBE'!$AL23&gt;0)))))),IF(LI$4&gt;=$AD$126,0,LS32),IF(LK$9=3,IF(OR(LI$4&gt;=$AD$127,AND($G32=1,$J32=2,LI$6=2),AND(LI$6=1,$N32&lt;&gt;1)),0,IF(LM32&lt;=120,LS32,IF(LI$4&lt;$AD$124,IF($F32=1,60/LK$4*LK$6,60/LK$4*LK$7),IF($F32=1,120/LK$4*LK$6,120/LK$4*LK$7)))),IF(OR($F32=3,$G32=2),IF(OR(AND(LI$4&gt;=$AD$119,$C32=2),AND(LI$4&gt;=$AF$119,$C32=1)),0,IF(LM32&lt;=60,LS32,60/LK$4*LK$7)),IF(AND($F32=2,$G32=1),LS32,0)))))</f>
        <v>0</v>
      </c>
      <c r="LV32" s="57" t="str">
        <f t="shared" si="130"/>
        <v/>
      </c>
      <c r="LW32" s="57" t="str">
        <f t="shared" si="131"/>
        <v/>
      </c>
      <c r="LX32" s="713">
        <f>'org. Düngung 22'!CN31</f>
        <v>0</v>
      </c>
      <c r="LY32" s="57"/>
      <c r="LZ32" s="57"/>
      <c r="MA32" s="57">
        <f t="shared" si="132"/>
        <v>0</v>
      </c>
      <c r="MB32" s="57">
        <f t="shared" si="298"/>
        <v>0</v>
      </c>
      <c r="MC32" s="57">
        <f t="shared" si="299"/>
        <v>0</v>
      </c>
      <c r="MD32" s="57">
        <f t="shared" si="300"/>
        <v>0</v>
      </c>
      <c r="ME32" s="57">
        <f t="shared" si="301"/>
        <v>0</v>
      </c>
      <c r="MF32" s="1029">
        <f t="shared" si="133"/>
        <v>0</v>
      </c>
      <c r="MG32" s="57">
        <f t="shared" si="134"/>
        <v>0</v>
      </c>
      <c r="MH32" s="171" t="str">
        <f t="shared" si="135"/>
        <v/>
      </c>
      <c r="MI32" s="57">
        <f t="shared" si="302"/>
        <v>0</v>
      </c>
      <c r="MJ32" s="57">
        <f>IF(OR(AND(LX$6=1,$L32=0),AND(LX$6=2,$K32=2,$G32=1)),0,IF(AND(LZ$9=2,(OR($F32&gt;1,$K32=1,AND($L32=80,OR($N32=1,AND($N32=2,'#BerechnungDBE'!$AL23&gt;0)))))),IF(LX$4&gt;=$AD$126,0,MH32),IF(LZ$9=3,IF(OR(LX$4&gt;=$AD$127,AND($G32=1,$J32=2,LX$6=2),AND(LX$6=1,$N32&lt;&gt;1)),0,IF(MB32&lt;=120,MH32,IF(LX$4&lt;$AD$124,IF($F32=1,60/LZ$4*LZ$6,60/LZ$4*LZ$7),IF($F32=1,120/LZ$4*LZ$6,120/LZ$4*LZ$7)))),IF(OR($F32=3,$G32=2),IF(OR(AND(LX$4&gt;=$AD$119,$C32=2),AND(LX$4&gt;=$AF$119,$C32=1)),0,IF(MB32&lt;=60,MH32,60/LZ$4*LZ$7)),IF(AND($F32=2,$G32=1),MH32,0)))))</f>
        <v>0</v>
      </c>
      <c r="MK32" s="57" t="str">
        <f t="shared" si="136"/>
        <v/>
      </c>
      <c r="ML32" s="57" t="str">
        <f t="shared" si="137"/>
        <v/>
      </c>
      <c r="MM32" s="713">
        <f>'org. Düngung 22'!CR31</f>
        <v>0</v>
      </c>
      <c r="MN32" s="57"/>
      <c r="MO32" s="57"/>
      <c r="MP32" s="57">
        <f t="shared" si="138"/>
        <v>0</v>
      </c>
      <c r="MQ32" s="57">
        <f t="shared" si="303"/>
        <v>0</v>
      </c>
      <c r="MR32" s="57">
        <f t="shared" si="304"/>
        <v>0</v>
      </c>
      <c r="MS32" s="57">
        <f t="shared" si="305"/>
        <v>0</v>
      </c>
      <c r="MT32" s="57">
        <f t="shared" si="306"/>
        <v>0</v>
      </c>
      <c r="MU32" s="1029">
        <f t="shared" si="139"/>
        <v>0</v>
      </c>
      <c r="MV32" s="57">
        <f t="shared" si="140"/>
        <v>0</v>
      </c>
      <c r="MW32" s="171" t="str">
        <f t="shared" si="141"/>
        <v/>
      </c>
      <c r="MX32" s="57">
        <f t="shared" si="307"/>
        <v>0</v>
      </c>
      <c r="MY32" s="57">
        <f>IF(OR(AND(MM$6=1,$L32=0),AND(MM$6=2,$K32=2,$G32=1)),0,IF(AND(MO$9=2,(OR($F32&gt;1,$K32=1,AND($L32=80,OR($N32=1,AND($N32=2,'#BerechnungDBE'!$AL23&gt;0)))))),IF(MM$4&gt;=$AD$126,0,MW32),IF(MO$9=3,IF(OR(MM$4&gt;=$AD$127,AND($G32=1,$J32=2,MM$6=2),AND(MM$6=1,$N32&lt;&gt;1)),0,IF(MQ32&lt;=120,MW32,IF(MM$4&lt;$AD$124,IF($F32=1,60/MO$4*MO$6,60/MO$4*MO$7),IF($F32=1,120/MO$4*MO$6,120/MO$4*MO$7)))),IF(OR($F32=3,$G32=2),IF(OR(AND(MM$4&gt;=$AD$119,$C32=2),AND(MM$4&gt;=$AF$119,$C32=1)),0,IF(MQ32&lt;=60,MW32,60/MO$4*MO$7)),IF(AND($F32=2,$G32=1),MW32,0)))))</f>
        <v>0</v>
      </c>
      <c r="MZ32" s="57" t="str">
        <f t="shared" si="142"/>
        <v/>
      </c>
      <c r="NA32" s="57" t="str">
        <f t="shared" si="143"/>
        <v/>
      </c>
      <c r="NB32" s="713">
        <f>'org. Düngung 22'!CV31</f>
        <v>0</v>
      </c>
      <c r="NC32" s="57"/>
      <c r="ND32" s="57"/>
      <c r="NE32" s="57">
        <f t="shared" si="144"/>
        <v>0</v>
      </c>
      <c r="NF32" s="57">
        <f t="shared" si="308"/>
        <v>0</v>
      </c>
      <c r="NG32" s="57">
        <f t="shared" si="309"/>
        <v>0</v>
      </c>
      <c r="NH32" s="57">
        <f t="shared" si="310"/>
        <v>0</v>
      </c>
      <c r="NI32" s="57">
        <f t="shared" si="311"/>
        <v>0</v>
      </c>
      <c r="NJ32" s="1029">
        <f t="shared" si="145"/>
        <v>0</v>
      </c>
      <c r="NK32" s="57">
        <f t="shared" si="146"/>
        <v>0</v>
      </c>
      <c r="NL32" s="171" t="str">
        <f t="shared" si="147"/>
        <v/>
      </c>
      <c r="NM32" s="57">
        <f t="shared" si="312"/>
        <v>0</v>
      </c>
      <c r="NN32" s="57">
        <f>IF(OR(AND(NB$6=1,$L32=0),AND(NB$6=2,$K32=2,$G32=1)),0,IF(AND(ND$9=2,(OR($F32&gt;1,$K32=1,AND($L32=80,OR($N32=1,AND($N32=2,'#BerechnungDBE'!$AL23&gt;0)))))),IF(NB$4&gt;=$AD$126,0,NL32),IF(ND$9=3,IF(OR(NB$4&gt;=$AD$127,AND($G32=1,$J32=2,NB$6=2),AND(NB$6=1,$N32&lt;&gt;1)),0,IF(NF32&lt;=120,NL32,IF(NB$4&lt;$AD$124,IF($F32=1,60/ND$4*ND$6,60/ND$4*ND$7),IF($F32=1,120/ND$4*ND$6,120/ND$4*ND$7)))),IF(OR($F32=3,$G32=2),IF(OR(AND(NB$4&gt;=$AD$119,$C32=2),AND(NB$4&gt;=$AF$119,$C32=1)),0,IF(NF32&lt;=60,NL32,60/ND$4*ND$7)),IF(AND($F32=2,$G32=1),NL32,0)))))</f>
        <v>0</v>
      </c>
      <c r="NO32" s="57" t="str">
        <f t="shared" si="148"/>
        <v/>
      </c>
      <c r="NP32" s="57" t="str">
        <f t="shared" si="149"/>
        <v/>
      </c>
      <c r="NQ32" s="713">
        <f>'org. Düngung 22'!CZ31</f>
        <v>0</v>
      </c>
      <c r="NR32" s="57"/>
      <c r="NS32" s="57"/>
      <c r="NT32" s="57">
        <f t="shared" si="150"/>
        <v>0</v>
      </c>
      <c r="NU32" s="57">
        <f t="shared" si="313"/>
        <v>0</v>
      </c>
      <c r="NV32" s="57">
        <f t="shared" si="314"/>
        <v>0</v>
      </c>
      <c r="NW32" s="57">
        <f t="shared" si="315"/>
        <v>0</v>
      </c>
      <c r="NX32" s="57">
        <f t="shared" si="316"/>
        <v>0</v>
      </c>
      <c r="NY32" s="1029">
        <f t="shared" si="151"/>
        <v>0</v>
      </c>
      <c r="NZ32" s="57">
        <f t="shared" si="152"/>
        <v>0</v>
      </c>
      <c r="OA32" s="171" t="str">
        <f t="shared" si="153"/>
        <v/>
      </c>
      <c r="OB32" s="57">
        <f t="shared" si="317"/>
        <v>0</v>
      </c>
      <c r="OC32" s="57">
        <f>IF(OR(AND(NQ$6=1,$L32=0),AND(NQ$6=2,$K32=2,$G32=1)),0,IF(AND(NS$9=2,(OR($F32&gt;1,$K32=1,AND($L32=80,OR($N32=1,AND($N32=2,'#BerechnungDBE'!$AL23&gt;0)))))),IF(NQ$4&gt;=$AD$126,0,OA32),IF(NS$9=3,IF(OR(NQ$4&gt;=$AD$127,AND($G32=1,$J32=2,NQ$6=2),AND(NQ$6=1,$N32&lt;&gt;1)),0,IF(NU32&lt;=120,OA32,IF(NQ$4&lt;$AD$124,IF($F32=1,60/NS$4*NS$6,60/NS$4*NS$7),IF($F32=1,120/NS$4*NS$6,120/NS$4*NS$7)))),IF(OR($F32=3,$G32=2),IF(OR(AND(NQ$4&gt;=$AD$119,$C32=2),AND(NQ$4&gt;=$AF$119,$C32=1)),0,IF(NU32&lt;=60,OA32,60/NS$4*NS$7)),IF(AND($F32=2,$G32=1),OA32,0)))))</f>
        <v>0</v>
      </c>
      <c r="OD32" s="57" t="str">
        <f t="shared" si="154"/>
        <v/>
      </c>
      <c r="OE32" s="57" t="str">
        <f t="shared" si="155"/>
        <v/>
      </c>
      <c r="OF32" s="713">
        <f>'org. Düngung 22'!DD31</f>
        <v>0</v>
      </c>
      <c r="OG32" s="57"/>
      <c r="OH32" s="57"/>
      <c r="OI32" s="57">
        <f t="shared" si="156"/>
        <v>0</v>
      </c>
      <c r="OJ32" s="57">
        <f t="shared" si="318"/>
        <v>0</v>
      </c>
      <c r="OK32" s="57">
        <f t="shared" si="319"/>
        <v>0</v>
      </c>
      <c r="OL32" s="57">
        <f t="shared" si="320"/>
        <v>0</v>
      </c>
      <c r="OM32" s="57">
        <f t="shared" si="321"/>
        <v>0</v>
      </c>
      <c r="ON32" s="1029">
        <f t="shared" si="157"/>
        <v>0</v>
      </c>
      <c r="OO32" s="57">
        <f t="shared" si="158"/>
        <v>0</v>
      </c>
      <c r="OP32" s="171" t="str">
        <f t="shared" si="159"/>
        <v/>
      </c>
      <c r="OQ32" s="57">
        <f t="shared" si="322"/>
        <v>0</v>
      </c>
      <c r="OR32" s="57">
        <f>IF(OR(AND(OF$6=1,$L32=0),AND(OF$6=2,$K32=2,$G32=1)),0,IF(AND(OH$9=2,(OR($F32&gt;1,$K32=1,AND($L32=80,OR($N32=1,AND($N32=2,'#BerechnungDBE'!$AL23&gt;0)))))),IF(OF$4&gt;=$AD$126,0,OP32),IF(OH$9=3,IF(OR(OF$4&gt;=$AD$127,AND($G32=1,$J32=2,OF$6=2),AND(OF$6=1,$N32&lt;&gt;1)),0,IF(OJ32&lt;=120,OP32,IF(OF$4&lt;$AD$124,IF($F32=1,60/OH$4*OH$6,60/OH$4*OH$7),IF($F32=1,120/OH$4*OH$6,120/OH$4*OH$7)))),IF(OR($F32=3,$G32=2),IF(OR(AND(OF$4&gt;=$AD$119,$C32=2),AND(OF$4&gt;=$AF$119,$C32=1)),0,IF(OJ32&lt;=60,OP32,60/OH$4*OH$7)),IF(AND($F32=2,$G32=1),OP32,0)))))</f>
        <v>0</v>
      </c>
      <c r="OS32" s="57" t="str">
        <f t="shared" si="160"/>
        <v/>
      </c>
      <c r="OT32" s="57" t="str">
        <f t="shared" si="161"/>
        <v/>
      </c>
      <c r="OU32" s="713">
        <f>'org. Düngung 22'!DH31</f>
        <v>0</v>
      </c>
      <c r="OV32" s="57"/>
      <c r="OW32" s="57"/>
      <c r="OX32" s="57">
        <f t="shared" si="162"/>
        <v>0</v>
      </c>
      <c r="OY32" s="57">
        <f t="shared" si="323"/>
        <v>0</v>
      </c>
      <c r="OZ32" s="57">
        <f t="shared" si="324"/>
        <v>0</v>
      </c>
      <c r="PA32" s="57">
        <f t="shared" si="325"/>
        <v>0</v>
      </c>
      <c r="PB32" s="57">
        <f t="shared" si="326"/>
        <v>0</v>
      </c>
      <c r="PC32" s="1029">
        <f t="shared" si="163"/>
        <v>0</v>
      </c>
      <c r="PD32" s="57">
        <f t="shared" si="164"/>
        <v>0</v>
      </c>
      <c r="PE32" s="171" t="str">
        <f t="shared" si="165"/>
        <v/>
      </c>
      <c r="PF32" s="57">
        <f t="shared" si="327"/>
        <v>0</v>
      </c>
      <c r="PG32" s="57">
        <f>IF(OR(AND(OU$6=1,$L32=0),AND(OU$6=2,$K32=2,$G32=1)),0,IF(AND(OW$9=2,(OR($F32&gt;1,$K32=1,AND($L32=80,OR($N32=1,AND($N32=2,'#BerechnungDBE'!$AL23&gt;0)))))),IF(OU$4&gt;=$AD$126,0,PE32),IF(OW$9=3,IF(OR(OU$4&gt;=$AD$127,AND($G32=1,$J32=2,OU$6=2),AND(OU$6=1,$N32&lt;&gt;1)),0,IF(OY32&lt;=120,PE32,IF(OU$4&lt;$AD$124,IF($F32=1,60/OW$4*OW$6,60/OW$4*OW$7),IF($F32=1,120/OW$4*OW$6,120/OW$4*OW$7)))),IF(OR($F32=3,$G32=2),IF(OR(AND(OU$4&gt;=$AD$119,$C32=2),AND(OU$4&gt;=$AF$119,$C32=1)),0,IF(OY32&lt;=60,PE32,60/OW$4*OW$7)),IF(AND($F32=2,$G32=1),PE32,0)))))</f>
        <v>0</v>
      </c>
      <c r="PH32" s="57" t="str">
        <f t="shared" si="166"/>
        <v/>
      </c>
      <c r="PI32" s="57" t="str">
        <f t="shared" si="167"/>
        <v/>
      </c>
      <c r="PJ32" s="713">
        <f>'org. Düngung 22'!DL31</f>
        <v>0</v>
      </c>
      <c r="PK32" s="57"/>
      <c r="PL32" s="57"/>
      <c r="PM32" s="57">
        <f t="shared" si="168"/>
        <v>0</v>
      </c>
      <c r="PN32" s="57">
        <f t="shared" si="328"/>
        <v>0</v>
      </c>
      <c r="PO32" s="57">
        <f t="shared" si="329"/>
        <v>0</v>
      </c>
      <c r="PP32" s="57">
        <f t="shared" si="330"/>
        <v>0</v>
      </c>
      <c r="PQ32" s="57">
        <f t="shared" si="331"/>
        <v>0</v>
      </c>
      <c r="PR32" s="1029">
        <f t="shared" si="169"/>
        <v>0</v>
      </c>
      <c r="PS32" s="57">
        <f t="shared" si="170"/>
        <v>0</v>
      </c>
      <c r="PT32" s="171" t="str">
        <f t="shared" si="171"/>
        <v/>
      </c>
      <c r="PU32" s="57">
        <f t="shared" si="332"/>
        <v>0</v>
      </c>
      <c r="PV32" s="57">
        <f>IF(OR(AND(PJ$6=1,$L32=0),AND(PJ$6=2,$K32=2,$G32=1)),0,IF(AND(PL$9=2,(OR($F32&gt;1,$K32=1,AND($L32=80,OR($N32=1,AND($N32=2,'#BerechnungDBE'!$AL23&gt;0)))))),IF(PJ$4&gt;=$AD$126,0,PT32),IF(PL$9=3,IF(OR(PJ$4&gt;=$AD$127,AND($G32=1,$J32=2,PJ$6=2),AND(PJ$6=1,$N32&lt;&gt;1)),0,IF(PN32&lt;=120,PT32,IF(PJ$4&lt;$AD$124,IF($F32=1,60/PL$4*PL$6,60/PL$4*PL$7),IF($F32=1,120/PL$4*PL$6,120/PL$4*PL$7)))),IF(OR($F32=3,$G32=2),IF(OR(AND(PJ$4&gt;=$AD$119,$C32=2),AND(PJ$4&gt;=$AF$119,$C32=1)),0,IF(PN32&lt;=60,PT32,60/PL$4*PL$7)),IF(AND($F32=2,$G32=1),PT32,0)))))</f>
        <v>0</v>
      </c>
      <c r="PW32" s="57" t="str">
        <f t="shared" si="172"/>
        <v/>
      </c>
      <c r="PX32" s="57" t="str">
        <f t="shared" si="173"/>
        <v/>
      </c>
      <c r="PY32" s="713">
        <f>'org. Düngung 22'!DP31</f>
        <v>0</v>
      </c>
      <c r="PZ32" s="57"/>
      <c r="QA32" s="57"/>
      <c r="QB32" s="57">
        <f t="shared" si="174"/>
        <v>0</v>
      </c>
      <c r="QC32" s="57">
        <f t="shared" si="333"/>
        <v>0</v>
      </c>
      <c r="QD32" s="57">
        <f t="shared" si="334"/>
        <v>0</v>
      </c>
      <c r="QE32" s="57">
        <f t="shared" si="335"/>
        <v>0</v>
      </c>
      <c r="QF32" s="57">
        <f t="shared" si="336"/>
        <v>0</v>
      </c>
      <c r="QG32" s="1029">
        <f t="shared" si="175"/>
        <v>0</v>
      </c>
      <c r="QH32" s="57">
        <f t="shared" si="176"/>
        <v>0</v>
      </c>
      <c r="QI32" s="171" t="str">
        <f t="shared" si="177"/>
        <v/>
      </c>
      <c r="QJ32" s="57">
        <f t="shared" si="337"/>
        <v>0</v>
      </c>
      <c r="QK32" s="57">
        <f>IF(OR(AND(PY$6=1,$L32=0),AND(PY$6=2,$K32=2,$G32=1)),0,IF(AND(QA$9=2,(OR($F32&gt;1,$K32=1,AND($L32=80,OR($N32=1,AND($N32=2,'#BerechnungDBE'!$AL23&gt;0)))))),IF(PY$4&gt;=$AD$126,0,QI32),IF(QA$9=3,IF(OR(PY$4&gt;=$AD$127,AND($G32=1,$J32=2,PY$6=2),AND(PY$6=1,$N32&lt;&gt;1)),0,IF(QC32&lt;=120,QI32,IF(PY$4&lt;$AD$124,IF($F32=1,60/QA$4*QA$6,60/QA$4*QA$7),IF($F32=1,120/QA$4*QA$6,120/QA$4*QA$7)))),IF(OR($F32=3,$G32=2),IF(OR(AND(PY$4&gt;=$AD$119,$C32=2),AND(PY$4&gt;=$AF$119,$C32=1)),0,IF(QC32&lt;=60,QI32,60/QA$4*QA$7)),IF(AND($F32=2,$G32=1),QI32,0)))))</f>
        <v>0</v>
      </c>
      <c r="QL32" s="57" t="str">
        <f t="shared" si="178"/>
        <v/>
      </c>
      <c r="QM32" s="57" t="str">
        <f t="shared" si="179"/>
        <v/>
      </c>
      <c r="QN32" s="713">
        <f>'org. Düngung 22'!DT31</f>
        <v>0</v>
      </c>
      <c r="QO32" s="57"/>
      <c r="QP32" s="57"/>
      <c r="QQ32" s="57">
        <f t="shared" si="180"/>
        <v>0</v>
      </c>
      <c r="QR32" s="57">
        <f t="shared" si="338"/>
        <v>0</v>
      </c>
      <c r="QS32" s="57">
        <f t="shared" si="339"/>
        <v>0</v>
      </c>
      <c r="QT32" s="57">
        <f t="shared" si="340"/>
        <v>0</v>
      </c>
      <c r="QU32" s="57">
        <f t="shared" si="341"/>
        <v>0</v>
      </c>
      <c r="QV32" s="1029">
        <f t="shared" si="181"/>
        <v>0</v>
      </c>
      <c r="QW32" s="57">
        <f t="shared" si="182"/>
        <v>0</v>
      </c>
      <c r="QX32" s="171" t="str">
        <f t="shared" si="183"/>
        <v/>
      </c>
      <c r="QY32" s="57">
        <f t="shared" si="342"/>
        <v>0</v>
      </c>
      <c r="QZ32" s="57">
        <f>IF(OR(AND(QN$6=1,$L32=0),AND(QN$6=2,$K32=2,$G32=1)),0,IF(AND(QP$9=2,(OR($F32&gt;1,$K32=1,AND($L32=80,OR($N32=1,AND($N32=2,'#BerechnungDBE'!$AL23&gt;0)))))),IF(QN$4&gt;=$AD$126,0,QX32),IF(QP$9=3,IF(OR(QN$4&gt;=$AD$127,AND($G32=1,$J32=2,QN$6=2),AND(QN$6=1,$N32&lt;&gt;1)),0,IF(QR32&lt;=120,QX32,IF(QN$4&lt;$AD$124,IF($F32=1,60/QP$4*QP$6,60/QP$4*QP$7),IF($F32=1,120/QP$4*QP$6,120/QP$4*QP$7)))),IF(OR($F32=3,$G32=2),IF(OR(AND(QN$4&gt;=$AD$119,$C32=2),AND(QN$4&gt;=$AF$119,$C32=1)),0,IF(QR32&lt;=60,QX32,60/QP$4*QP$7)),IF(AND($F32=2,$G32=1),QX32,0)))))</f>
        <v>0</v>
      </c>
      <c r="RA32" s="57" t="str">
        <f t="shared" si="184"/>
        <v/>
      </c>
      <c r="RB32" s="57" t="str">
        <f t="shared" si="185"/>
        <v/>
      </c>
      <c r="RC32" s="713">
        <f>'org. Düngung 22'!DX31</f>
        <v>0</v>
      </c>
      <c r="RD32" s="57"/>
      <c r="RE32" s="57"/>
      <c r="RF32" s="57">
        <f t="shared" si="186"/>
        <v>0</v>
      </c>
      <c r="RG32" s="57">
        <f t="shared" si="343"/>
        <v>0</v>
      </c>
      <c r="RH32" s="57">
        <f t="shared" si="344"/>
        <v>0</v>
      </c>
      <c r="RI32" s="57">
        <f t="shared" si="345"/>
        <v>0</v>
      </c>
      <c r="RJ32" s="57">
        <f t="shared" si="346"/>
        <v>0</v>
      </c>
      <c r="RK32" s="1029">
        <f t="shared" si="187"/>
        <v>0</v>
      </c>
      <c r="RL32" s="57">
        <f t="shared" si="188"/>
        <v>0</v>
      </c>
      <c r="RM32" s="171" t="str">
        <f t="shared" si="189"/>
        <v/>
      </c>
      <c r="RN32" s="57">
        <f t="shared" si="347"/>
        <v>0</v>
      </c>
      <c r="RO32" s="57">
        <f>IF(OR(AND(RC$6=1,$L32=0),AND(RC$6=2,$K32=2,$G32=1)),0,IF(AND(RE$9=2,(OR($F32&gt;1,$K32=1,AND($L32=80,OR($N32=1,AND($N32=2,'#BerechnungDBE'!$AL23&gt;0)))))),IF(RC$4&gt;=$AD$126,0,RM32),IF(RE$9=3,IF(OR(RC$4&gt;=$AD$127,AND($G32=1,$J32=2,RC$6=2),AND(RC$6=1,$N32&lt;&gt;1)),0,IF(RG32&lt;=120,RM32,IF(RC$4&lt;$AD$124,IF($F32=1,60/RE$4*RE$6,60/RE$4*RE$7),IF($F32=1,120/RE$4*RE$6,120/RE$4*RE$7)))),IF(OR($F32=3,$G32=2),IF(OR(AND(RC$4&gt;=$AD$119,$C32=2),AND(RC$4&gt;=$AF$119,$C32=1)),0,IF(RG32&lt;=60,RM32,60/RE$4*RE$7)),IF(AND($F32=2,$G32=1),RM32,0)))))</f>
        <v>0</v>
      </c>
      <c r="RP32" s="57" t="str">
        <f t="shared" si="190"/>
        <v/>
      </c>
      <c r="RQ32" s="57" t="str">
        <f t="shared" si="191"/>
        <v/>
      </c>
      <c r="RS32" s="57" t="str">
        <f t="shared" si="348"/>
        <v/>
      </c>
      <c r="RT32" s="57" t="str">
        <f t="shared" si="192"/>
        <v/>
      </c>
      <c r="RU32" s="57" t="str">
        <f t="shared" si="193"/>
        <v/>
      </c>
      <c r="RV32" s="57" t="str">
        <f>IF(Z32&gt;'#BerechnungDBE'!BM23,$RV$9,"")</f>
        <v/>
      </c>
      <c r="RW32" s="57" t="str">
        <f>IF(AND(L32=70,AE32&gt;'#BerechnungDBE'!CQ23),$RW$9,"")</f>
        <v/>
      </c>
      <c r="RX32" s="57" t="str">
        <f>IF(OR('org. Düngung 22'!G31="--",'org. Düngung 22'!G31&lt;=170,'org. Düngung 22'!G31=""),"",$RX$9)</f>
        <v/>
      </c>
      <c r="RY32" s="57" t="str">
        <f>IF('org. Düngung 22'!K31&gt;120,'#orgDung'!$RY$9,"")</f>
        <v/>
      </c>
      <c r="RZ32" s="57" t="str">
        <f>IF('#BerechnungDBE'!P23&lt;4,"",IF(AND('#BerechnungDBE'!BZ23&gt;0,T32&gt;0),'#orgDung'!$RZ$9,""))</f>
        <v/>
      </c>
      <c r="SA32" s="57" t="str">
        <f t="shared" si="194"/>
        <v/>
      </c>
    </row>
    <row r="33" spans="1:495" s="875" customFormat="1" x14ac:dyDescent="0.2">
      <c r="A33" s="875">
        <f>'Flächen u. Kulturen'!A29</f>
        <v>20</v>
      </c>
      <c r="B33" s="367">
        <f>'#BerechnungDBE'!L24</f>
        <v>0</v>
      </c>
      <c r="C33" s="875">
        <f>'#BerechnungDBE'!R24</f>
        <v>1</v>
      </c>
      <c r="D33" s="875">
        <f>'#BerechnungDBE'!T24</f>
        <v>2</v>
      </c>
      <c r="E33" s="875" t="str">
        <f>'Flächen u. Kulturen'!E29</f>
        <v>x</v>
      </c>
      <c r="F33" s="52">
        <f>'#BerechnungDBE'!N24</f>
        <v>1</v>
      </c>
      <c r="G33" s="52">
        <f>'#BerechnungDBE'!O24</f>
        <v>1</v>
      </c>
      <c r="H33" s="875">
        <f>IF('Flächen u. Kulturen'!P29="",0,VLOOKUP('Flächen u. Kulturen'!P29,Kulturen[[HF]:[Berechnungsgruppe]],'#Frucht'!$H$1,FALSE))</f>
        <v>0</v>
      </c>
      <c r="I33" s="875">
        <f>IF('Flächen u. Kulturen'!J29="",0,VLOOKUP('Flächen u. Kulturen'!J29,Kulturen[[HF]:[Berechnungsgruppe]],'#Frucht'!$G$1,FALSE))</f>
        <v>90</v>
      </c>
      <c r="J33" s="505">
        <f t="shared" si="195"/>
        <v>2</v>
      </c>
      <c r="K33" s="505">
        <f>IF('Flächen u. Kulturen'!P29="",0,IF(VLOOKUP('Flächen u. Kulturen'!P29,Kulturen[[HF]:[Saat Winterungen]],'#Frucht'!$P$1,FALSE)&gt;0,1,2))</f>
        <v>2</v>
      </c>
      <c r="L33" s="875">
        <f>'#BerechnungDBE'!AF24</f>
        <v>0</v>
      </c>
      <c r="M33" s="875">
        <f>IF('Flächen u. Kulturen'!L29="",0,VLOOKUP('Flächen u. Kulturen'!L29,Nebenkultur[[Nebenkultur]:[Legum. Zwischenfr.]],'#Zweitfr'!$K$1,FALSE))</f>
        <v>0</v>
      </c>
      <c r="N33" s="875">
        <f>'#BerechnungDBE'!AG24</f>
        <v>0</v>
      </c>
      <c r="P33" s="57">
        <f t="shared" si="0"/>
        <v>0</v>
      </c>
      <c r="Q33" s="57">
        <f t="shared" si="1"/>
        <v>0</v>
      </c>
      <c r="R33" s="875">
        <f t="shared" si="2"/>
        <v>0</v>
      </c>
      <c r="S33" s="938" t="str">
        <f t="shared" si="3"/>
        <v/>
      </c>
      <c r="T33" s="875">
        <f t="shared" si="4"/>
        <v>0</v>
      </c>
      <c r="U33" s="875">
        <f t="shared" si="5"/>
        <v>0</v>
      </c>
      <c r="V33" s="875">
        <f t="shared" si="6"/>
        <v>0</v>
      </c>
      <c r="W33" s="875">
        <f t="shared" si="7"/>
        <v>0</v>
      </c>
      <c r="X33" s="875">
        <f t="shared" si="8"/>
        <v>0</v>
      </c>
      <c r="Y33" s="875">
        <f t="shared" si="349"/>
        <v>0</v>
      </c>
      <c r="Z33" s="875">
        <f t="shared" si="350"/>
        <v>0</v>
      </c>
      <c r="AA33" s="910">
        <f t="shared" si="9"/>
        <v>0</v>
      </c>
      <c r="AB33" s="57">
        <f t="shared" si="351"/>
        <v>0</v>
      </c>
      <c r="AC33" s="875">
        <f t="shared" si="10"/>
        <v>0</v>
      </c>
      <c r="AD33" s="875">
        <f t="shared" si="11"/>
        <v>0</v>
      </c>
      <c r="AE33" s="875">
        <f t="shared" si="12"/>
        <v>0</v>
      </c>
      <c r="AF33" s="875">
        <f t="shared" si="352"/>
        <v>0</v>
      </c>
      <c r="AG33" s="875">
        <f>'org. Düngung 22'!J32</f>
        <v>0</v>
      </c>
      <c r="AH33" s="875">
        <f>'org. Düngung 22'!K32</f>
        <v>0</v>
      </c>
      <c r="AJ33" s="713">
        <f>'org. Düngung 22'!L32</f>
        <v>0</v>
      </c>
      <c r="AK33" s="57"/>
      <c r="AL33" s="57"/>
      <c r="AM33" s="57">
        <f t="shared" si="196"/>
        <v>0</v>
      </c>
      <c r="AN33" s="57">
        <f t="shared" si="197"/>
        <v>0</v>
      </c>
      <c r="AO33" s="57">
        <f t="shared" si="198"/>
        <v>0</v>
      </c>
      <c r="AP33" s="57">
        <f t="shared" si="199"/>
        <v>0</v>
      </c>
      <c r="AQ33" s="57">
        <f t="shared" si="200"/>
        <v>0</v>
      </c>
      <c r="AR33" s="1029">
        <f t="shared" si="14"/>
        <v>0</v>
      </c>
      <c r="AS33" s="57">
        <f t="shared" si="15"/>
        <v>0</v>
      </c>
      <c r="AT33" s="171" t="str">
        <f t="shared" si="16"/>
        <v/>
      </c>
      <c r="AU33" s="57">
        <f t="shared" si="201"/>
        <v>0</v>
      </c>
      <c r="AV33" s="57">
        <f>IF(OR(AND(AJ$6=1,$L33=0),AND(AJ$6=2,$K33=2,$G33=1)),0,IF(AND(AL$9=2,(OR($F33&gt;1,$K33=1,AND($L33=80,OR($N33=1,AND($N33=2,'#BerechnungDBE'!$AL24&gt;0)))))),IF(AJ$4&gt;=$AD$126,0,AT33),IF(AL$9=3,IF(OR(AJ$4&gt;=$AD$127,AND($G33=1,$J33=2,AJ$6=2),AND(AJ$6=1,$N33&lt;&gt;1)),0,IF(AN33&lt;=120,AT33,IF(AJ$4&lt;$AD$124,IF($F33=1,60/AL$4*AL$6,60/AL$4*AL$7),IF($F33=1,120/AL$4*AL$6,120/AL$4*AL$7)))),IF(OR($F33=3,$G33=2),IF(OR(AND(AJ$4&gt;=$AD$119,$C33=2),AND(AJ$4&gt;=$AF$119,$C33=1)),0,IF(AN33&lt;=60,AT33,60/AL$4*AL$7)),IF(AND($F33=2,$G33=1),AT33,0)))))</f>
        <v>0</v>
      </c>
      <c r="AW33" s="57" t="str">
        <f t="shared" si="202"/>
        <v/>
      </c>
      <c r="AX33" s="57" t="str">
        <f t="shared" si="17"/>
        <v/>
      </c>
      <c r="AY33" s="713">
        <f>'org. Düngung 22'!P32</f>
        <v>0</v>
      </c>
      <c r="AZ33" s="57"/>
      <c r="BA33" s="57"/>
      <c r="BB33" s="57">
        <f t="shared" si="18"/>
        <v>0</v>
      </c>
      <c r="BC33" s="57">
        <f t="shared" si="203"/>
        <v>0</v>
      </c>
      <c r="BD33" s="57">
        <f t="shared" si="204"/>
        <v>0</v>
      </c>
      <c r="BE33" s="57">
        <f t="shared" si="205"/>
        <v>0</v>
      </c>
      <c r="BF33" s="57">
        <f t="shared" si="206"/>
        <v>0</v>
      </c>
      <c r="BG33" s="1029">
        <f t="shared" si="19"/>
        <v>0</v>
      </c>
      <c r="BH33" s="57">
        <f t="shared" si="20"/>
        <v>0</v>
      </c>
      <c r="BI33" s="171" t="str">
        <f t="shared" si="21"/>
        <v/>
      </c>
      <c r="BJ33" s="57">
        <f t="shared" si="207"/>
        <v>0</v>
      </c>
      <c r="BK33" s="57">
        <f>IF(OR(AND(AY$6=1,$L33=0),AND(AY$6=2,$K33=2,$G33=1)),0,IF(AND(BA$9=2,(OR($F33&gt;1,$K33=1,AND($L33=80,OR($N33=1,AND($N33=2,'#BerechnungDBE'!$AL24&gt;0)))))),IF(AY$4&gt;=$AD$126,0,BI33),IF(BA$9=3,IF(OR(AY$4&gt;=$AD$127,AND($G33=1,$J33=2,AY$6=2),AND(AY$6=1,$N33&lt;&gt;1)),0,IF(BC33&lt;=120,BI33,IF(AY$4&lt;$AD$124,IF($F33=1,60/BA$4*BA$6,60/BA$4*BA$7),IF($F33=1,120/BA$4*BA$6,120/BA$4*BA$7)))),IF(OR($F33=3,$G33=2),IF(OR(AND(AY$4&gt;=$AD$119,$C33=2),AND(AY$4&gt;=$AF$119,$C33=1)),0,IF(BC33&lt;=60,BI33,60/BA$4*BA$7)),IF(AND($F33=2,$G33=1),BI33,0)))))</f>
        <v>0</v>
      </c>
      <c r="BL33" s="57" t="str">
        <f t="shared" si="22"/>
        <v/>
      </c>
      <c r="BM33" s="57" t="str">
        <f t="shared" si="23"/>
        <v/>
      </c>
      <c r="BN33" s="713">
        <f>'org. Düngung 22'!T32</f>
        <v>0</v>
      </c>
      <c r="BO33" s="57"/>
      <c r="BP33" s="57"/>
      <c r="BQ33" s="57">
        <f t="shared" si="24"/>
        <v>0</v>
      </c>
      <c r="BR33" s="57">
        <f t="shared" si="208"/>
        <v>0</v>
      </c>
      <c r="BS33" s="57">
        <f t="shared" si="209"/>
        <v>0</v>
      </c>
      <c r="BT33" s="57">
        <f t="shared" si="210"/>
        <v>0</v>
      </c>
      <c r="BU33" s="57">
        <f t="shared" si="211"/>
        <v>0</v>
      </c>
      <c r="BV33" s="1029">
        <f t="shared" si="25"/>
        <v>0</v>
      </c>
      <c r="BW33" s="57">
        <f t="shared" si="26"/>
        <v>0</v>
      </c>
      <c r="BX33" s="171" t="str">
        <f t="shared" si="27"/>
        <v/>
      </c>
      <c r="BY33" s="57">
        <f t="shared" si="212"/>
        <v>0</v>
      </c>
      <c r="BZ33" s="57">
        <f>IF(OR(AND(BN$6=1,$L33=0),AND(BN$6=2,$K33=2,$G33=1)),0,IF(AND(BP$9=2,(OR($F33&gt;1,$K33=1,AND($L33=80,OR($N33=1,AND($N33=2,'#BerechnungDBE'!$AL24&gt;0)))))),IF(BN$4&gt;=$AD$126,0,BX33),IF(BP$9=3,IF(OR(BN$4&gt;=$AD$127,AND($G33=1,$J33=2,BN$6=2),AND(BN$6=1,$N33&lt;&gt;1)),0,IF(BR33&lt;=120,BX33,IF(BN$4&lt;$AD$124,IF($F33=1,60/BP$4*BP$6,60/BP$4*BP$7),IF($F33=1,120/BP$4*BP$6,120/BP$4*BP$7)))),IF(OR($F33=3,$G33=2),IF(OR(AND(BN$4&gt;=$AD$119,$C33=2),AND(BN$4&gt;=$AF$119,$C33=1)),0,IF(BR33&lt;=60,BX33,60/BP$4*BP$7)),IF(AND($F33=2,$G33=1),BX33,0)))))</f>
        <v>0</v>
      </c>
      <c r="CA33" s="57" t="str">
        <f t="shared" si="28"/>
        <v/>
      </c>
      <c r="CB33" s="57" t="str">
        <f t="shared" si="29"/>
        <v/>
      </c>
      <c r="CC33" s="713">
        <f>'org. Düngung 22'!X32</f>
        <v>0</v>
      </c>
      <c r="CD33" s="57"/>
      <c r="CE33" s="57"/>
      <c r="CF33" s="57">
        <f t="shared" si="30"/>
        <v>0</v>
      </c>
      <c r="CG33" s="57">
        <f t="shared" si="213"/>
        <v>0</v>
      </c>
      <c r="CH33" s="57">
        <f t="shared" si="214"/>
        <v>0</v>
      </c>
      <c r="CI33" s="57">
        <f t="shared" si="215"/>
        <v>0</v>
      </c>
      <c r="CJ33" s="57">
        <f t="shared" si="216"/>
        <v>0</v>
      </c>
      <c r="CK33" s="1029">
        <f t="shared" si="31"/>
        <v>0</v>
      </c>
      <c r="CL33" s="57">
        <f t="shared" si="32"/>
        <v>0</v>
      </c>
      <c r="CM33" s="171" t="str">
        <f t="shared" si="33"/>
        <v/>
      </c>
      <c r="CN33" s="57">
        <f t="shared" si="217"/>
        <v>0</v>
      </c>
      <c r="CO33" s="57">
        <f>IF(OR(AND(CC$6=1,$L33=0),AND(CC$6=2,$K33=2,$G33=1)),0,IF(AND(CE$9=2,(OR($F33&gt;1,$K33=1,AND($L33=80,OR($N33=1,AND($N33=2,'#BerechnungDBE'!$AL24&gt;0)))))),IF(CC$4&gt;=$AD$126,0,CM33),IF(CE$9=3,IF(OR(CC$4&gt;=$AD$127,AND($G33=1,$J33=2,CC$6=2),AND(CC$6=1,$N33&lt;&gt;1)),0,IF(CG33&lt;=120,CM33,IF(CC$4&lt;$AD$124,IF($F33=1,60/CE$4*CE$6,60/CE$4*CE$7),IF($F33=1,120/CE$4*CE$6,120/CE$4*CE$7)))),IF(OR($F33=3,$G33=2),IF(OR(AND(CC$4&gt;=$AD$119,$C33=2),AND(CC$4&gt;=$AF$119,$C33=1)),0,IF(CG33&lt;=60,CM33,60/CE$4*CE$7)),IF(AND($F33=2,$G33=1),CM33,0)))))</f>
        <v>0</v>
      </c>
      <c r="CP33" s="57" t="str">
        <f t="shared" si="34"/>
        <v/>
      </c>
      <c r="CQ33" s="57" t="str">
        <f t="shared" si="35"/>
        <v/>
      </c>
      <c r="CR33" s="713">
        <f>'org. Düngung 22'!AB32</f>
        <v>0</v>
      </c>
      <c r="CS33" s="57"/>
      <c r="CT33" s="57"/>
      <c r="CU33" s="57">
        <f t="shared" si="36"/>
        <v>0</v>
      </c>
      <c r="CV33" s="57">
        <f t="shared" si="218"/>
        <v>0</v>
      </c>
      <c r="CW33" s="57">
        <f t="shared" si="219"/>
        <v>0</v>
      </c>
      <c r="CX33" s="57">
        <f t="shared" si="220"/>
        <v>0</v>
      </c>
      <c r="CY33" s="57">
        <f t="shared" si="221"/>
        <v>0</v>
      </c>
      <c r="CZ33" s="1029">
        <f t="shared" si="37"/>
        <v>0</v>
      </c>
      <c r="DA33" s="57">
        <f t="shared" si="38"/>
        <v>0</v>
      </c>
      <c r="DB33" s="171" t="str">
        <f t="shared" si="39"/>
        <v/>
      </c>
      <c r="DC33" s="57">
        <f t="shared" si="222"/>
        <v>0</v>
      </c>
      <c r="DD33" s="57">
        <f>IF(OR(AND(CR$6=1,$L33=0),AND(CR$6=2,$K33=2,$G33=1)),0,IF(AND(CT$9=2,(OR($F33&gt;1,$K33=1,AND($L33=80,OR($N33=1,AND($N33=2,'#BerechnungDBE'!$AL24&gt;0)))))),IF(CR$4&gt;=$AD$126,0,DB33),IF(CT$9=3,IF(OR(CR$4&gt;=$AD$127,AND($G33=1,$J33=2,CR$6=2),AND(CR$6=1,$N33&lt;&gt;1)),0,IF(CV33&lt;=120,DB33,IF(CR$4&lt;$AD$124,IF($F33=1,60/CT$4*CT$6,60/CT$4*CT$7),IF($F33=1,120/CT$4*CT$6,120/CT$4*CT$7)))),IF(OR($F33=3,$G33=2),IF(OR(AND(CR$4&gt;=$AD$119,$C33=2),AND(CR$4&gt;=$AF$119,$C33=1)),0,IF(CV33&lt;=60,DB33,60/CT$4*CT$7)),IF(AND($F33=2,$G33=1),DB33,0)))))</f>
        <v>0</v>
      </c>
      <c r="DE33" s="57" t="str">
        <f t="shared" si="40"/>
        <v/>
      </c>
      <c r="DF33" s="57" t="str">
        <f t="shared" si="41"/>
        <v/>
      </c>
      <c r="DG33" s="713">
        <f>'org. Düngung 22'!AF32</f>
        <v>0</v>
      </c>
      <c r="DH33" s="57"/>
      <c r="DI33" s="57"/>
      <c r="DJ33" s="57">
        <f t="shared" si="42"/>
        <v>0</v>
      </c>
      <c r="DK33" s="57">
        <f t="shared" si="223"/>
        <v>0</v>
      </c>
      <c r="DL33" s="57">
        <f t="shared" si="224"/>
        <v>0</v>
      </c>
      <c r="DM33" s="57">
        <f t="shared" si="225"/>
        <v>0</v>
      </c>
      <c r="DN33" s="57">
        <f t="shared" si="226"/>
        <v>0</v>
      </c>
      <c r="DO33" s="1029">
        <f t="shared" si="43"/>
        <v>0</v>
      </c>
      <c r="DP33" s="57">
        <f t="shared" si="44"/>
        <v>0</v>
      </c>
      <c r="DQ33" s="171" t="str">
        <f t="shared" si="45"/>
        <v/>
      </c>
      <c r="DR33" s="57">
        <f t="shared" si="227"/>
        <v>0</v>
      </c>
      <c r="DS33" s="57">
        <f>IF(OR(AND(DG$6=1,$L33=0),AND(DG$6=2,$K33=2,$G33=1)),0,IF(AND(DI$9=2,(OR($F33&gt;1,$K33=1,AND($L33=80,OR($N33=1,AND($N33=2,'#BerechnungDBE'!$AL24&gt;0)))))),IF(DG$4&gt;=$AD$126,0,DQ33),IF(DI$9=3,IF(OR(DG$4&gt;=$AD$127,AND($G33=1,$J33=2,DG$6=2),AND(DG$6=1,$N33&lt;&gt;1)),0,IF(DK33&lt;=120,DQ33,IF(DG$4&lt;$AD$124,IF($F33=1,60/DI$4*DI$6,60/DI$4*DI$7),IF($F33=1,120/DI$4*DI$6,120/DI$4*DI$7)))),IF(OR($F33=3,$G33=2),IF(OR(AND(DG$4&gt;=$AD$119,$C33=2),AND(DG$4&gt;=$AF$119,$C33=1)),0,IF(DK33&lt;=60,DQ33,60/DI$4*DI$7)),IF(AND($F33=2,$G33=1),DQ33,0)))))</f>
        <v>0</v>
      </c>
      <c r="DT33" s="57" t="str">
        <f t="shared" si="46"/>
        <v/>
      </c>
      <c r="DU33" s="57" t="str">
        <f t="shared" si="47"/>
        <v/>
      </c>
      <c r="DV33" s="713">
        <f>'org. Düngung 22'!AJ32</f>
        <v>0</v>
      </c>
      <c r="DW33" s="57"/>
      <c r="DX33" s="57"/>
      <c r="DY33" s="57">
        <f t="shared" si="48"/>
        <v>0</v>
      </c>
      <c r="DZ33" s="57">
        <f t="shared" si="228"/>
        <v>0</v>
      </c>
      <c r="EA33" s="57">
        <f t="shared" si="229"/>
        <v>0</v>
      </c>
      <c r="EB33" s="57">
        <f t="shared" si="230"/>
        <v>0</v>
      </c>
      <c r="EC33" s="57">
        <f t="shared" si="231"/>
        <v>0</v>
      </c>
      <c r="ED33" s="1029">
        <f t="shared" si="49"/>
        <v>0</v>
      </c>
      <c r="EE33" s="57">
        <f t="shared" si="50"/>
        <v>0</v>
      </c>
      <c r="EF33" s="171" t="str">
        <f t="shared" si="51"/>
        <v/>
      </c>
      <c r="EG33" s="57">
        <f t="shared" si="232"/>
        <v>0</v>
      </c>
      <c r="EH33" s="57">
        <f>IF(OR(AND(DV$6=1,$L33=0),AND(DV$6=2,$K33=2,$G33=1)),0,IF(AND(DX$9=2,(OR($F33&gt;1,$K33=1,AND($L33=80,OR($N33=1,AND($N33=2,'#BerechnungDBE'!$AL24&gt;0)))))),IF(DV$4&gt;=$AD$126,0,EF33),IF(DX$9=3,IF(OR(DV$4&gt;=$AD$127,AND($G33=1,$J33=2,DV$6=2),AND(DV$6=1,$N33&lt;&gt;1)),0,IF(DZ33&lt;=120,EF33,IF(DV$4&lt;$AD$124,IF($F33=1,60/DX$4*DX$6,60/DX$4*DX$7),IF($F33=1,120/DX$4*DX$6,120/DX$4*DX$7)))),IF(OR($F33=3,$G33=2),IF(OR(AND(DV$4&gt;=$AD$119,$C33=2),AND(DV$4&gt;=$AF$119,$C33=1)),0,IF(DZ33&lt;=60,EF33,60/DX$4*DX$7)),IF(AND($F33=2,$G33=1),EF33,0)))))</f>
        <v>0</v>
      </c>
      <c r="EI33" s="57" t="str">
        <f t="shared" si="52"/>
        <v/>
      </c>
      <c r="EJ33" s="57" t="str">
        <f t="shared" si="53"/>
        <v/>
      </c>
      <c r="EK33" s="713">
        <f>'org. Düngung 22'!AN32</f>
        <v>0</v>
      </c>
      <c r="EL33" s="57"/>
      <c r="EM33" s="57"/>
      <c r="EN33" s="57">
        <f t="shared" si="54"/>
        <v>0</v>
      </c>
      <c r="EO33" s="57">
        <f t="shared" si="233"/>
        <v>0</v>
      </c>
      <c r="EP33" s="57">
        <f t="shared" si="234"/>
        <v>0</v>
      </c>
      <c r="EQ33" s="57">
        <f t="shared" si="235"/>
        <v>0</v>
      </c>
      <c r="ER33" s="57">
        <f t="shared" si="236"/>
        <v>0</v>
      </c>
      <c r="ES33" s="1029">
        <f t="shared" si="55"/>
        <v>0</v>
      </c>
      <c r="ET33" s="57">
        <f t="shared" si="56"/>
        <v>0</v>
      </c>
      <c r="EU33" s="171" t="str">
        <f t="shared" si="57"/>
        <v/>
      </c>
      <c r="EV33" s="57">
        <f t="shared" si="237"/>
        <v>0</v>
      </c>
      <c r="EW33" s="57">
        <f>IF(OR(AND(EK$6=1,$L33=0),AND(EK$6=2,$K33=2,$G33=1)),0,IF(AND(EM$9=2,(OR($F33&gt;1,$K33=1,AND($L33=80,OR($N33=1,AND($N33=2,'#BerechnungDBE'!$AL24&gt;0)))))),IF(EK$4&gt;=$AD$126,0,EU33),IF(EM$9=3,IF(OR(EK$4&gt;=$AD$127,AND($G33=1,$J33=2,EK$6=2),AND(EK$6=1,$N33&lt;&gt;1)),0,IF(EO33&lt;=120,EU33,IF(EK$4&lt;$AD$124,IF($F33=1,60/EM$4*EM$6,60/EM$4*EM$7),IF($F33=1,120/EM$4*EM$6,120/EM$4*EM$7)))),IF(OR($F33=3,$G33=2),IF(OR(AND(EK$4&gt;=$AD$119,$C33=2),AND(EK$4&gt;=$AF$119,$C33=1)),0,IF(EO33&lt;=60,EU33,60/EM$4*EM$7)),IF(AND($F33=2,$G33=1),EU33,0)))))</f>
        <v>0</v>
      </c>
      <c r="EX33" s="57" t="str">
        <f t="shared" si="58"/>
        <v/>
      </c>
      <c r="EY33" s="57" t="str">
        <f t="shared" si="59"/>
        <v/>
      </c>
      <c r="EZ33" s="713">
        <f>'org. Düngung 22'!AR32</f>
        <v>0</v>
      </c>
      <c r="FA33" s="57"/>
      <c r="FB33" s="57"/>
      <c r="FC33" s="57">
        <f t="shared" si="60"/>
        <v>0</v>
      </c>
      <c r="FD33" s="57">
        <f t="shared" si="238"/>
        <v>0</v>
      </c>
      <c r="FE33" s="57">
        <f t="shared" si="239"/>
        <v>0</v>
      </c>
      <c r="FF33" s="57">
        <f t="shared" si="240"/>
        <v>0</v>
      </c>
      <c r="FG33" s="57">
        <f t="shared" si="241"/>
        <v>0</v>
      </c>
      <c r="FH33" s="1029">
        <f t="shared" si="61"/>
        <v>0</v>
      </c>
      <c r="FI33" s="57">
        <f t="shared" si="62"/>
        <v>0</v>
      </c>
      <c r="FJ33" s="171" t="str">
        <f t="shared" si="63"/>
        <v/>
      </c>
      <c r="FK33" s="57">
        <f t="shared" si="242"/>
        <v>0</v>
      </c>
      <c r="FL33" s="57">
        <f>IF(OR(AND(EZ$6=1,$L33=0),AND(EZ$6=2,$K33=2,$G33=1)),0,IF(AND(FB$9=2,(OR($F33&gt;1,$K33=1,AND($L33=80,OR($N33=1,AND($N33=2,'#BerechnungDBE'!$AL24&gt;0)))))),IF(EZ$4&gt;=$AD$126,0,FJ33),IF(FB$9=3,IF(OR(EZ$4&gt;=$AD$127,AND($G33=1,$J33=2,EZ$6=2),AND(EZ$6=1,$N33&lt;&gt;1)),0,IF(FD33&lt;=120,FJ33,IF(EZ$4&lt;$AD$124,IF($F33=1,60/FB$4*FB$6,60/FB$4*FB$7),IF($F33=1,120/FB$4*FB$6,120/FB$4*FB$7)))),IF(OR($F33=3,$G33=2),IF(OR(AND(EZ$4&gt;=$AD$119,$C33=2),AND(EZ$4&gt;=$AF$119,$C33=1)),0,IF(FD33&lt;=60,FJ33,60/FB$4*FB$7)),IF(AND($F33=2,$G33=1),FJ33,0)))))</f>
        <v>0</v>
      </c>
      <c r="FM33" s="57" t="str">
        <f t="shared" si="64"/>
        <v/>
      </c>
      <c r="FN33" s="57" t="str">
        <f t="shared" si="65"/>
        <v/>
      </c>
      <c r="FO33" s="713">
        <f>'org. Düngung 22'!AV32</f>
        <v>0</v>
      </c>
      <c r="FP33" s="57"/>
      <c r="FQ33" s="57"/>
      <c r="FR33" s="57">
        <f t="shared" si="66"/>
        <v>0</v>
      </c>
      <c r="FS33" s="57">
        <f t="shared" si="243"/>
        <v>0</v>
      </c>
      <c r="FT33" s="57">
        <f t="shared" si="244"/>
        <v>0</v>
      </c>
      <c r="FU33" s="57">
        <f t="shared" si="245"/>
        <v>0</v>
      </c>
      <c r="FV33" s="57">
        <f t="shared" si="246"/>
        <v>0</v>
      </c>
      <c r="FW33" s="1029">
        <f t="shared" si="67"/>
        <v>0</v>
      </c>
      <c r="FX33" s="57">
        <f t="shared" si="68"/>
        <v>0</v>
      </c>
      <c r="FY33" s="171" t="str">
        <f t="shared" si="69"/>
        <v/>
      </c>
      <c r="FZ33" s="57">
        <f t="shared" si="247"/>
        <v>0</v>
      </c>
      <c r="GA33" s="57">
        <f>IF(OR(AND(FO$6=1,$L33=0),AND(FO$6=2,$K33=2,$G33=1)),0,IF(AND(FQ$9=2,(OR($F33&gt;1,$K33=1,AND($L33=80,OR($N33=1,AND($N33=2,'#BerechnungDBE'!$AL24&gt;0)))))),IF(FO$4&gt;=$AD$126,0,FY33),IF(FQ$9=3,IF(OR(FO$4&gt;=$AD$127,AND($G33=1,$J33=2,FO$6=2),AND(FO$6=1,$N33&lt;&gt;1)),0,IF(FS33&lt;=120,FY33,IF(FO$4&lt;$AD$124,IF($F33=1,60/FQ$4*FQ$6,60/FQ$4*FQ$7),IF($F33=1,120/FQ$4*FQ$6,120/FQ$4*FQ$7)))),IF(OR($F33=3,$G33=2),IF(OR(AND(FO$4&gt;=$AD$119,$C33=2),AND(FO$4&gt;=$AF$119,$C33=1)),0,IF(FS33&lt;=60,FY33,60/FQ$4*FQ$7)),IF(AND($F33=2,$G33=1),FY33,0)))))</f>
        <v>0</v>
      </c>
      <c r="GB33" s="57" t="str">
        <f t="shared" si="70"/>
        <v/>
      </c>
      <c r="GC33" s="57" t="str">
        <f t="shared" si="71"/>
        <v/>
      </c>
      <c r="GD33" s="713">
        <f>'org. Düngung 22'!AZ32</f>
        <v>0</v>
      </c>
      <c r="GE33" s="57"/>
      <c r="GF33" s="57"/>
      <c r="GG33" s="57">
        <f t="shared" si="72"/>
        <v>0</v>
      </c>
      <c r="GH33" s="57">
        <f t="shared" si="248"/>
        <v>0</v>
      </c>
      <c r="GI33" s="57">
        <f t="shared" si="249"/>
        <v>0</v>
      </c>
      <c r="GJ33" s="57">
        <f t="shared" si="250"/>
        <v>0</v>
      </c>
      <c r="GK33" s="57">
        <f t="shared" si="251"/>
        <v>0</v>
      </c>
      <c r="GL33" s="1029">
        <f t="shared" si="73"/>
        <v>0</v>
      </c>
      <c r="GM33" s="57">
        <f t="shared" si="74"/>
        <v>0</v>
      </c>
      <c r="GN33" s="171" t="str">
        <f t="shared" si="75"/>
        <v/>
      </c>
      <c r="GO33" s="57">
        <f t="shared" si="252"/>
        <v>0</v>
      </c>
      <c r="GP33" s="57">
        <f>IF(OR(AND(GD$6=1,$L33=0),AND(GD$6=2,$K33=2,$G33=1)),0,IF(AND(GF$9=2,(OR($F33&gt;1,$K33=1,AND($L33=80,OR($N33=1,AND($N33=2,'#BerechnungDBE'!$AL24&gt;0)))))),IF(GD$4&gt;=$AD$126,0,GN33),IF(GF$9=3,IF(OR(GD$4&gt;=$AD$127,AND($G33=1,$J33=2,GD$6=2),AND(GD$6=1,$N33&lt;&gt;1)),0,IF(GH33&lt;=120,GN33,IF(GD$4&lt;$AD$124,IF($F33=1,60/GF$4*GF$6,60/GF$4*GF$7),IF($F33=1,120/GF$4*GF$6,120/GF$4*GF$7)))),IF(OR($F33=3,$G33=2),IF(OR(AND(GD$4&gt;=$AD$119,$C33=2),AND(GD$4&gt;=$AF$119,$C33=1)),0,IF(GH33&lt;=60,GN33,60/GF$4*GF$7)),IF(AND($F33=2,$G33=1),GN33,0)))))</f>
        <v>0</v>
      </c>
      <c r="GQ33" s="57" t="str">
        <f t="shared" si="76"/>
        <v/>
      </c>
      <c r="GR33" s="57" t="str">
        <f t="shared" si="77"/>
        <v/>
      </c>
      <c r="GS33" s="713">
        <f>'org. Düngung 22'!BD32</f>
        <v>0</v>
      </c>
      <c r="GT33" s="57"/>
      <c r="GU33" s="57"/>
      <c r="GV33" s="57">
        <f t="shared" si="78"/>
        <v>0</v>
      </c>
      <c r="GW33" s="57">
        <f t="shared" si="253"/>
        <v>0</v>
      </c>
      <c r="GX33" s="57">
        <f t="shared" si="254"/>
        <v>0</v>
      </c>
      <c r="GY33" s="57">
        <f t="shared" si="255"/>
        <v>0</v>
      </c>
      <c r="GZ33" s="57">
        <f t="shared" si="256"/>
        <v>0</v>
      </c>
      <c r="HA33" s="1029">
        <f t="shared" si="79"/>
        <v>0</v>
      </c>
      <c r="HB33" s="57">
        <f t="shared" si="80"/>
        <v>0</v>
      </c>
      <c r="HC33" s="171" t="str">
        <f t="shared" si="81"/>
        <v/>
      </c>
      <c r="HD33" s="57">
        <f t="shared" si="257"/>
        <v>0</v>
      </c>
      <c r="HE33" s="57">
        <f>IF(OR(AND(GS$6=1,$L33=0),AND(GS$6=2,$K33=2,$G33=1)),0,IF(AND(GU$9=2,(OR($F33&gt;1,$K33=1,AND($L33=80,OR($N33=1,AND($N33=2,'#BerechnungDBE'!$AL24&gt;0)))))),IF(GS$4&gt;=$AD$126,0,HC33),IF(GU$9=3,IF(OR(GS$4&gt;=$AD$127,AND($G33=1,$J33=2,GS$6=2),AND(GS$6=1,$N33&lt;&gt;1)),0,IF(GW33&lt;=120,HC33,IF(GS$4&lt;$AD$124,IF($F33=1,60/GU$4*GU$6,60/GU$4*GU$7),IF($F33=1,120/GU$4*GU$6,120/GU$4*GU$7)))),IF(OR($F33=3,$G33=2),IF(OR(AND(GS$4&gt;=$AD$119,$C33=2),AND(GS$4&gt;=$AF$119,$C33=1)),0,IF(GW33&lt;=60,HC33,60/GU$4*GU$7)),IF(AND($F33=2,$G33=1),HC33,0)))))</f>
        <v>0</v>
      </c>
      <c r="HF33" s="57" t="str">
        <f t="shared" si="82"/>
        <v/>
      </c>
      <c r="HG33" s="57" t="str">
        <f t="shared" si="83"/>
        <v/>
      </c>
      <c r="HH33" s="713">
        <f>'org. Düngung 22'!BH32</f>
        <v>0</v>
      </c>
      <c r="HI33" s="57"/>
      <c r="HJ33" s="57"/>
      <c r="HK33" s="57">
        <f t="shared" si="84"/>
        <v>0</v>
      </c>
      <c r="HL33" s="57">
        <f t="shared" si="258"/>
        <v>0</v>
      </c>
      <c r="HM33" s="57">
        <f t="shared" si="259"/>
        <v>0</v>
      </c>
      <c r="HN33" s="57">
        <f t="shared" si="260"/>
        <v>0</v>
      </c>
      <c r="HO33" s="57">
        <f t="shared" si="261"/>
        <v>0</v>
      </c>
      <c r="HP33" s="1029">
        <f t="shared" si="85"/>
        <v>0</v>
      </c>
      <c r="HQ33" s="57">
        <f t="shared" si="86"/>
        <v>0</v>
      </c>
      <c r="HR33" s="171" t="str">
        <f t="shared" si="87"/>
        <v/>
      </c>
      <c r="HS33" s="57">
        <f t="shared" si="262"/>
        <v>0</v>
      </c>
      <c r="HT33" s="57">
        <f>IF(OR(AND(HH$6=1,$L33=0),AND(HH$6=2,$K33=2,$G33=1)),0,IF(AND(HJ$9=2,(OR($F33&gt;1,$K33=1,AND($L33=80,OR($N33=1,AND($N33=2,'#BerechnungDBE'!$AL24&gt;0)))))),IF(HH$4&gt;=$AD$126,0,HR33),IF(HJ$9=3,IF(OR(HH$4&gt;=$AD$127,AND($G33=1,$J33=2,HH$6=2),AND(HH$6=1,$N33&lt;&gt;1)),0,IF(HL33&lt;=120,HR33,IF(HH$4&lt;$AD$124,IF($F33=1,60/HJ$4*HJ$6,60/HJ$4*HJ$7),IF($F33=1,120/HJ$4*HJ$6,120/HJ$4*HJ$7)))),IF(OR($F33=3,$G33=2),IF(OR(AND(HH$4&gt;=$AD$119,$C33=2),AND(HH$4&gt;=$AF$119,$C33=1)),0,IF(HL33&lt;=60,HR33,60/HJ$4*HJ$7)),IF(AND($F33=2,$G33=1),HR33,0)))))</f>
        <v>0</v>
      </c>
      <c r="HU33" s="57" t="str">
        <f t="shared" si="88"/>
        <v/>
      </c>
      <c r="HV33" s="57" t="str">
        <f t="shared" si="89"/>
        <v/>
      </c>
      <c r="HW33" s="713">
        <f>'org. Düngung 22'!BL32</f>
        <v>0</v>
      </c>
      <c r="HX33" s="57"/>
      <c r="HY33" s="57"/>
      <c r="HZ33" s="57">
        <f t="shared" si="90"/>
        <v>0</v>
      </c>
      <c r="IA33" s="57">
        <f t="shared" si="263"/>
        <v>0</v>
      </c>
      <c r="IB33" s="57">
        <f t="shared" si="264"/>
        <v>0</v>
      </c>
      <c r="IC33" s="57">
        <f t="shared" si="265"/>
        <v>0</v>
      </c>
      <c r="ID33" s="57">
        <f t="shared" si="266"/>
        <v>0</v>
      </c>
      <c r="IE33" s="1029">
        <f t="shared" si="91"/>
        <v>0</v>
      </c>
      <c r="IF33" s="57">
        <f t="shared" si="92"/>
        <v>0</v>
      </c>
      <c r="IG33" s="171" t="str">
        <f t="shared" si="93"/>
        <v/>
      </c>
      <c r="IH33" s="57">
        <f t="shared" si="267"/>
        <v>0</v>
      </c>
      <c r="II33" s="57">
        <f>IF(OR(AND(HW$6=1,$L33=0),AND(HW$6=2,$K33=2,$G33=1)),0,IF(AND(HY$9=2,(OR($F33&gt;1,$K33=1,AND($L33=80,OR($N33=1,AND($N33=2,'#BerechnungDBE'!$AL24&gt;0)))))),IF(HW$4&gt;=$AD$126,0,IG33),IF(HY$9=3,IF(OR(HW$4&gt;=$AD$127,AND($G33=1,$J33=2,HW$6=2),AND(HW$6=1,$N33&lt;&gt;1)),0,IF(IA33&lt;=120,IG33,IF(HW$4&lt;$AD$124,IF($F33=1,60/HY$4*HY$6,60/HY$4*HY$7),IF($F33=1,120/HY$4*HY$6,120/HY$4*HY$7)))),IF(OR($F33=3,$G33=2),IF(OR(AND(HW$4&gt;=$AD$119,$C33=2),AND(HW$4&gt;=$AF$119,$C33=1)),0,IF(IA33&lt;=60,IG33,60/HY$4*HY$7)),IF(AND($F33=2,$G33=1),IG33,0)))))</f>
        <v>0</v>
      </c>
      <c r="IJ33" s="57" t="str">
        <f t="shared" si="94"/>
        <v/>
      </c>
      <c r="IK33" s="57" t="str">
        <f t="shared" si="95"/>
        <v/>
      </c>
      <c r="IL33" s="713">
        <f>'org. Düngung 22'!BP32</f>
        <v>0</v>
      </c>
      <c r="IM33" s="57"/>
      <c r="IN33" s="57"/>
      <c r="IO33" s="57">
        <f t="shared" si="96"/>
        <v>0</v>
      </c>
      <c r="IP33" s="57">
        <f t="shared" si="268"/>
        <v>0</v>
      </c>
      <c r="IQ33" s="57">
        <f t="shared" si="269"/>
        <v>0</v>
      </c>
      <c r="IR33" s="57">
        <f t="shared" si="270"/>
        <v>0</v>
      </c>
      <c r="IS33" s="57">
        <f t="shared" si="271"/>
        <v>0</v>
      </c>
      <c r="IT33" s="1029">
        <f t="shared" si="97"/>
        <v>0</v>
      </c>
      <c r="IU33" s="57">
        <f t="shared" si="98"/>
        <v>0</v>
      </c>
      <c r="IV33" s="171" t="str">
        <f t="shared" si="99"/>
        <v/>
      </c>
      <c r="IW33" s="57">
        <f t="shared" si="272"/>
        <v>0</v>
      </c>
      <c r="IX33" s="57">
        <f>IF(OR(AND(IL$6=1,$L33=0),AND(IL$6=2,$K33=2,$G33=1)),0,IF(AND(IN$9=2,(OR($F33&gt;1,$K33=1,AND($L33=80,OR($N33=1,AND($N33=2,'#BerechnungDBE'!$AL24&gt;0)))))),IF(IL$4&gt;=$AD$126,0,IV33),IF(IN$9=3,IF(OR(IL$4&gt;=$AD$127,AND($G33=1,$J33=2,IL$6=2),AND(IL$6=1,$N33&lt;&gt;1)),0,IF(IP33&lt;=120,IV33,IF(IL$4&lt;$AD$124,IF($F33=1,60/IN$4*IN$6,60/IN$4*IN$7),IF($F33=1,120/IN$4*IN$6,120/IN$4*IN$7)))),IF(OR($F33=3,$G33=2),IF(OR(AND(IL$4&gt;=$AD$119,$C33=2),AND(IL$4&gt;=$AF$119,$C33=1)),0,IF(IP33&lt;=60,IV33,60/IN$4*IN$7)),IF(AND($F33=2,$G33=1),IV33,0)))))</f>
        <v>0</v>
      </c>
      <c r="IY33" s="57" t="str">
        <f t="shared" si="100"/>
        <v/>
      </c>
      <c r="IZ33" s="57" t="str">
        <f t="shared" si="101"/>
        <v/>
      </c>
      <c r="JA33" s="713">
        <f>'org. Düngung 22'!BT32</f>
        <v>0</v>
      </c>
      <c r="JB33" s="57"/>
      <c r="JC33" s="57"/>
      <c r="JD33" s="57">
        <f t="shared" si="102"/>
        <v>0</v>
      </c>
      <c r="JE33" s="57">
        <f t="shared" si="273"/>
        <v>0</v>
      </c>
      <c r="JF33" s="57">
        <f t="shared" si="274"/>
        <v>0</v>
      </c>
      <c r="JG33" s="57">
        <f t="shared" si="275"/>
        <v>0</v>
      </c>
      <c r="JH33" s="57">
        <f t="shared" si="276"/>
        <v>0</v>
      </c>
      <c r="JI33" s="1029">
        <f t="shared" si="103"/>
        <v>0</v>
      </c>
      <c r="JJ33" s="57">
        <f t="shared" si="104"/>
        <v>0</v>
      </c>
      <c r="JK33" s="171" t="str">
        <f t="shared" si="105"/>
        <v/>
      </c>
      <c r="JL33" s="57">
        <f t="shared" si="277"/>
        <v>0</v>
      </c>
      <c r="JM33" s="57">
        <f>IF(OR(AND(JA$6=1,$L33=0),AND(JA$6=2,$K33=2,$G33=1)),0,IF(AND(JC$9=2,(OR($F33&gt;1,$K33=1,AND($L33=80,OR($N33=1,AND($N33=2,'#BerechnungDBE'!$AL24&gt;0)))))),IF(JA$4&gt;=$AD$126,0,JK33),IF(JC$9=3,IF(OR(JA$4&gt;=$AD$127,AND($G33=1,$J33=2,JA$6=2),AND(JA$6=1,$N33&lt;&gt;1)),0,IF(JE33&lt;=120,JK33,IF(JA$4&lt;$AD$124,IF($F33=1,60/JC$4*JC$6,60/JC$4*JC$7),IF($F33=1,120/JC$4*JC$6,120/JC$4*JC$7)))),IF(OR($F33=3,$G33=2),IF(OR(AND(JA$4&gt;=$AD$119,$C33=2),AND(JA$4&gt;=$AF$119,$C33=1)),0,IF(JE33&lt;=60,JK33,60/JC$4*JC$7)),IF(AND($F33=2,$G33=1),JK33,0)))))</f>
        <v>0</v>
      </c>
      <c r="JN33" s="57" t="str">
        <f t="shared" si="106"/>
        <v/>
      </c>
      <c r="JO33" s="57" t="str">
        <f t="shared" si="107"/>
        <v/>
      </c>
      <c r="JP33" s="713">
        <f>'org. Düngung 22'!BX32</f>
        <v>0</v>
      </c>
      <c r="JQ33" s="57"/>
      <c r="JR33" s="57"/>
      <c r="JS33" s="57">
        <f t="shared" si="108"/>
        <v>0</v>
      </c>
      <c r="JT33" s="57">
        <f t="shared" si="278"/>
        <v>0</v>
      </c>
      <c r="JU33" s="57">
        <f t="shared" si="279"/>
        <v>0</v>
      </c>
      <c r="JV33" s="57">
        <f t="shared" si="280"/>
        <v>0</v>
      </c>
      <c r="JW33" s="57">
        <f t="shared" si="281"/>
        <v>0</v>
      </c>
      <c r="JX33" s="1029">
        <f t="shared" si="109"/>
        <v>0</v>
      </c>
      <c r="JY33" s="57">
        <f t="shared" si="110"/>
        <v>0</v>
      </c>
      <c r="JZ33" s="171" t="str">
        <f t="shared" si="111"/>
        <v/>
      </c>
      <c r="KA33" s="57">
        <f t="shared" si="282"/>
        <v>0</v>
      </c>
      <c r="KB33" s="57">
        <f>IF(OR(AND(JP$6=1,$L33=0),AND(JP$6=2,$K33=2,$G33=1)),0,IF(AND(JR$9=2,(OR($F33&gt;1,$K33=1,AND($L33=80,OR($N33=1,AND($N33=2,'#BerechnungDBE'!$AL24&gt;0)))))),IF(JP$4&gt;=$AD$126,0,JZ33),IF(JR$9=3,IF(OR(JP$4&gt;=$AD$127,AND($G33=1,$J33=2,JP$6=2),AND(JP$6=1,$N33&lt;&gt;1)),0,IF(JT33&lt;=120,JZ33,IF(JP$4&lt;$AD$124,IF($F33=1,60/JR$4*JR$6,60/JR$4*JR$7),IF($F33=1,120/JR$4*JR$6,120/JR$4*JR$7)))),IF(OR($F33=3,$G33=2),IF(OR(AND(JP$4&gt;=$AD$119,$C33=2),AND(JP$4&gt;=$AF$119,$C33=1)),0,IF(JT33&lt;=60,JZ33,60/JR$4*JR$7)),IF(AND($F33=2,$G33=1),JZ33,0)))))</f>
        <v>0</v>
      </c>
      <c r="KC33" s="57" t="str">
        <f t="shared" si="112"/>
        <v/>
      </c>
      <c r="KD33" s="57" t="str">
        <f t="shared" si="113"/>
        <v/>
      </c>
      <c r="KE33" s="713">
        <f>'org. Düngung 22'!CB32</f>
        <v>0</v>
      </c>
      <c r="KF33" s="57"/>
      <c r="KG33" s="57"/>
      <c r="KH33" s="57">
        <f t="shared" si="114"/>
        <v>0</v>
      </c>
      <c r="KI33" s="57">
        <f t="shared" si="283"/>
        <v>0</v>
      </c>
      <c r="KJ33" s="57">
        <f t="shared" si="284"/>
        <v>0</v>
      </c>
      <c r="KK33" s="57">
        <f t="shared" si="285"/>
        <v>0</v>
      </c>
      <c r="KL33" s="57">
        <f t="shared" si="286"/>
        <v>0</v>
      </c>
      <c r="KM33" s="1029">
        <f t="shared" si="115"/>
        <v>0</v>
      </c>
      <c r="KN33" s="57">
        <f t="shared" si="116"/>
        <v>0</v>
      </c>
      <c r="KO33" s="171" t="str">
        <f t="shared" si="117"/>
        <v/>
      </c>
      <c r="KP33" s="57">
        <f t="shared" si="287"/>
        <v>0</v>
      </c>
      <c r="KQ33" s="57">
        <f>IF(OR(AND(KE$6=1,$L33=0),AND(KE$6=2,$K33=2,$G33=1)),0,IF(AND(KG$9=2,(OR($F33&gt;1,$K33=1,AND($L33=80,OR($N33=1,AND($N33=2,'#BerechnungDBE'!$AL24&gt;0)))))),IF(KE$4&gt;=$AD$126,0,KO33),IF(KG$9=3,IF(OR(KE$4&gt;=$AD$127,AND($G33=1,$J33=2,KE$6=2),AND(KE$6=1,$N33&lt;&gt;1)),0,IF(KI33&lt;=120,KO33,IF(KE$4&lt;$AD$124,IF($F33=1,60/KG$4*KG$6,60/KG$4*KG$7),IF($F33=1,120/KG$4*KG$6,120/KG$4*KG$7)))),IF(OR($F33=3,$G33=2),IF(OR(AND(KE$4&gt;=$AD$119,$C33=2),AND(KE$4&gt;=$AF$119,$C33=1)),0,IF(KI33&lt;=60,KO33,60/KG$4*KG$7)),IF(AND($F33=2,$G33=1),KO33,0)))))</f>
        <v>0</v>
      </c>
      <c r="KR33" s="57" t="str">
        <f t="shared" si="118"/>
        <v/>
      </c>
      <c r="KS33" s="57" t="str">
        <f t="shared" si="119"/>
        <v/>
      </c>
      <c r="KT33" s="713">
        <f>'org. Düngung 22'!CF32</f>
        <v>0</v>
      </c>
      <c r="KU33" s="57"/>
      <c r="KV33" s="57"/>
      <c r="KW33" s="57">
        <f t="shared" si="120"/>
        <v>0</v>
      </c>
      <c r="KX33" s="57">
        <f t="shared" si="288"/>
        <v>0</v>
      </c>
      <c r="KY33" s="57">
        <f t="shared" si="289"/>
        <v>0</v>
      </c>
      <c r="KZ33" s="57">
        <f t="shared" si="290"/>
        <v>0</v>
      </c>
      <c r="LA33" s="57">
        <f t="shared" si="291"/>
        <v>0</v>
      </c>
      <c r="LB33" s="1029">
        <f t="shared" si="121"/>
        <v>0</v>
      </c>
      <c r="LC33" s="57">
        <f t="shared" si="122"/>
        <v>0</v>
      </c>
      <c r="LD33" s="171" t="str">
        <f t="shared" si="123"/>
        <v/>
      </c>
      <c r="LE33" s="57">
        <f t="shared" si="292"/>
        <v>0</v>
      </c>
      <c r="LF33" s="57">
        <f>IF(OR(AND(KT$6=1,$L33=0),AND(KT$6=2,$K33=2,$G33=1)),0,IF(AND(KV$9=2,(OR($F33&gt;1,$K33=1,AND($L33=80,OR($N33=1,AND($N33=2,'#BerechnungDBE'!$AL24&gt;0)))))),IF(KT$4&gt;=$AD$126,0,LD33),IF(KV$9=3,IF(OR(KT$4&gt;=$AD$127,AND($G33=1,$J33=2,KT$6=2),AND(KT$6=1,$N33&lt;&gt;1)),0,IF(KX33&lt;=120,LD33,IF(KT$4&lt;$AD$124,IF($F33=1,60/KV$4*KV$6,60/KV$4*KV$7),IF($F33=1,120/KV$4*KV$6,120/KV$4*KV$7)))),IF(OR($F33=3,$G33=2),IF(OR(AND(KT$4&gt;=$AD$119,$C33=2),AND(KT$4&gt;=$AF$119,$C33=1)),0,IF(KX33&lt;=60,LD33,60/KV$4*KV$7)),IF(AND($F33=2,$G33=1),LD33,0)))))</f>
        <v>0</v>
      </c>
      <c r="LG33" s="57" t="str">
        <f t="shared" si="124"/>
        <v/>
      </c>
      <c r="LH33" s="57" t="str">
        <f t="shared" si="125"/>
        <v/>
      </c>
      <c r="LI33" s="713">
        <f>'org. Düngung 22'!CJ32</f>
        <v>0</v>
      </c>
      <c r="LJ33" s="57"/>
      <c r="LK33" s="57"/>
      <c r="LL33" s="57">
        <f t="shared" si="126"/>
        <v>0</v>
      </c>
      <c r="LM33" s="57">
        <f t="shared" si="293"/>
        <v>0</v>
      </c>
      <c r="LN33" s="57">
        <f t="shared" si="294"/>
        <v>0</v>
      </c>
      <c r="LO33" s="57">
        <f t="shared" si="295"/>
        <v>0</v>
      </c>
      <c r="LP33" s="57">
        <f t="shared" si="296"/>
        <v>0</v>
      </c>
      <c r="LQ33" s="1029">
        <f t="shared" si="127"/>
        <v>0</v>
      </c>
      <c r="LR33" s="57">
        <f t="shared" si="128"/>
        <v>0</v>
      </c>
      <c r="LS33" s="171" t="str">
        <f t="shared" si="129"/>
        <v/>
      </c>
      <c r="LT33" s="57">
        <f t="shared" si="297"/>
        <v>0</v>
      </c>
      <c r="LU33" s="57">
        <f>IF(OR(AND(LI$6=1,$L33=0),AND(LI$6=2,$K33=2,$G33=1)),0,IF(AND(LK$9=2,(OR($F33&gt;1,$K33=1,AND($L33=80,OR($N33=1,AND($N33=2,'#BerechnungDBE'!$AL24&gt;0)))))),IF(LI$4&gt;=$AD$126,0,LS33),IF(LK$9=3,IF(OR(LI$4&gt;=$AD$127,AND($G33=1,$J33=2,LI$6=2),AND(LI$6=1,$N33&lt;&gt;1)),0,IF(LM33&lt;=120,LS33,IF(LI$4&lt;$AD$124,IF($F33=1,60/LK$4*LK$6,60/LK$4*LK$7),IF($F33=1,120/LK$4*LK$6,120/LK$4*LK$7)))),IF(OR($F33=3,$G33=2),IF(OR(AND(LI$4&gt;=$AD$119,$C33=2),AND(LI$4&gt;=$AF$119,$C33=1)),0,IF(LM33&lt;=60,LS33,60/LK$4*LK$7)),IF(AND($F33=2,$G33=1),LS33,0)))))</f>
        <v>0</v>
      </c>
      <c r="LV33" s="57" t="str">
        <f t="shared" si="130"/>
        <v/>
      </c>
      <c r="LW33" s="57" t="str">
        <f t="shared" si="131"/>
        <v/>
      </c>
      <c r="LX33" s="713">
        <f>'org. Düngung 22'!CN32</f>
        <v>0</v>
      </c>
      <c r="LY33" s="57"/>
      <c r="LZ33" s="57"/>
      <c r="MA33" s="57">
        <f t="shared" si="132"/>
        <v>0</v>
      </c>
      <c r="MB33" s="57">
        <f t="shared" si="298"/>
        <v>0</v>
      </c>
      <c r="MC33" s="57">
        <f t="shared" si="299"/>
        <v>0</v>
      </c>
      <c r="MD33" s="57">
        <f t="shared" si="300"/>
        <v>0</v>
      </c>
      <c r="ME33" s="57">
        <f t="shared" si="301"/>
        <v>0</v>
      </c>
      <c r="MF33" s="1029">
        <f t="shared" si="133"/>
        <v>0</v>
      </c>
      <c r="MG33" s="57">
        <f t="shared" si="134"/>
        <v>0</v>
      </c>
      <c r="MH33" s="171" t="str">
        <f t="shared" si="135"/>
        <v/>
      </c>
      <c r="MI33" s="57">
        <f t="shared" si="302"/>
        <v>0</v>
      </c>
      <c r="MJ33" s="57">
        <f>IF(OR(AND(LX$6=1,$L33=0),AND(LX$6=2,$K33=2,$G33=1)),0,IF(AND(LZ$9=2,(OR($F33&gt;1,$K33=1,AND($L33=80,OR($N33=1,AND($N33=2,'#BerechnungDBE'!$AL24&gt;0)))))),IF(LX$4&gt;=$AD$126,0,MH33),IF(LZ$9=3,IF(OR(LX$4&gt;=$AD$127,AND($G33=1,$J33=2,LX$6=2),AND(LX$6=1,$N33&lt;&gt;1)),0,IF(MB33&lt;=120,MH33,IF(LX$4&lt;$AD$124,IF($F33=1,60/LZ$4*LZ$6,60/LZ$4*LZ$7),IF($F33=1,120/LZ$4*LZ$6,120/LZ$4*LZ$7)))),IF(OR($F33=3,$G33=2),IF(OR(AND(LX$4&gt;=$AD$119,$C33=2),AND(LX$4&gt;=$AF$119,$C33=1)),0,IF(MB33&lt;=60,MH33,60/LZ$4*LZ$7)),IF(AND($F33=2,$G33=1),MH33,0)))))</f>
        <v>0</v>
      </c>
      <c r="MK33" s="57" t="str">
        <f t="shared" si="136"/>
        <v/>
      </c>
      <c r="ML33" s="57" t="str">
        <f t="shared" si="137"/>
        <v/>
      </c>
      <c r="MM33" s="713">
        <f>'org. Düngung 22'!CR32</f>
        <v>0</v>
      </c>
      <c r="MN33" s="57"/>
      <c r="MO33" s="57"/>
      <c r="MP33" s="57">
        <f t="shared" si="138"/>
        <v>0</v>
      </c>
      <c r="MQ33" s="57">
        <f t="shared" si="303"/>
        <v>0</v>
      </c>
      <c r="MR33" s="57">
        <f t="shared" si="304"/>
        <v>0</v>
      </c>
      <c r="MS33" s="57">
        <f t="shared" si="305"/>
        <v>0</v>
      </c>
      <c r="MT33" s="57">
        <f t="shared" si="306"/>
        <v>0</v>
      </c>
      <c r="MU33" s="1029">
        <f t="shared" si="139"/>
        <v>0</v>
      </c>
      <c r="MV33" s="57">
        <f t="shared" si="140"/>
        <v>0</v>
      </c>
      <c r="MW33" s="171" t="str">
        <f t="shared" si="141"/>
        <v/>
      </c>
      <c r="MX33" s="57">
        <f t="shared" si="307"/>
        <v>0</v>
      </c>
      <c r="MY33" s="57">
        <f>IF(OR(AND(MM$6=1,$L33=0),AND(MM$6=2,$K33=2,$G33=1)),0,IF(AND(MO$9=2,(OR($F33&gt;1,$K33=1,AND($L33=80,OR($N33=1,AND($N33=2,'#BerechnungDBE'!$AL24&gt;0)))))),IF(MM$4&gt;=$AD$126,0,MW33),IF(MO$9=3,IF(OR(MM$4&gt;=$AD$127,AND($G33=1,$J33=2,MM$6=2),AND(MM$6=1,$N33&lt;&gt;1)),0,IF(MQ33&lt;=120,MW33,IF(MM$4&lt;$AD$124,IF($F33=1,60/MO$4*MO$6,60/MO$4*MO$7),IF($F33=1,120/MO$4*MO$6,120/MO$4*MO$7)))),IF(OR($F33=3,$G33=2),IF(OR(AND(MM$4&gt;=$AD$119,$C33=2),AND(MM$4&gt;=$AF$119,$C33=1)),0,IF(MQ33&lt;=60,MW33,60/MO$4*MO$7)),IF(AND($F33=2,$G33=1),MW33,0)))))</f>
        <v>0</v>
      </c>
      <c r="MZ33" s="57" t="str">
        <f t="shared" si="142"/>
        <v/>
      </c>
      <c r="NA33" s="57" t="str">
        <f t="shared" si="143"/>
        <v/>
      </c>
      <c r="NB33" s="713">
        <f>'org. Düngung 22'!CV32</f>
        <v>0</v>
      </c>
      <c r="NC33" s="57"/>
      <c r="ND33" s="57"/>
      <c r="NE33" s="57">
        <f t="shared" si="144"/>
        <v>0</v>
      </c>
      <c r="NF33" s="57">
        <f t="shared" si="308"/>
        <v>0</v>
      </c>
      <c r="NG33" s="57">
        <f t="shared" si="309"/>
        <v>0</v>
      </c>
      <c r="NH33" s="57">
        <f t="shared" si="310"/>
        <v>0</v>
      </c>
      <c r="NI33" s="57">
        <f t="shared" si="311"/>
        <v>0</v>
      </c>
      <c r="NJ33" s="1029">
        <f t="shared" si="145"/>
        <v>0</v>
      </c>
      <c r="NK33" s="57">
        <f t="shared" si="146"/>
        <v>0</v>
      </c>
      <c r="NL33" s="171" t="str">
        <f t="shared" si="147"/>
        <v/>
      </c>
      <c r="NM33" s="57">
        <f t="shared" si="312"/>
        <v>0</v>
      </c>
      <c r="NN33" s="57">
        <f>IF(OR(AND(NB$6=1,$L33=0),AND(NB$6=2,$K33=2,$G33=1)),0,IF(AND(ND$9=2,(OR($F33&gt;1,$K33=1,AND($L33=80,OR($N33=1,AND($N33=2,'#BerechnungDBE'!$AL24&gt;0)))))),IF(NB$4&gt;=$AD$126,0,NL33),IF(ND$9=3,IF(OR(NB$4&gt;=$AD$127,AND($G33=1,$J33=2,NB$6=2),AND(NB$6=1,$N33&lt;&gt;1)),0,IF(NF33&lt;=120,NL33,IF(NB$4&lt;$AD$124,IF($F33=1,60/ND$4*ND$6,60/ND$4*ND$7),IF($F33=1,120/ND$4*ND$6,120/ND$4*ND$7)))),IF(OR($F33=3,$G33=2),IF(OR(AND(NB$4&gt;=$AD$119,$C33=2),AND(NB$4&gt;=$AF$119,$C33=1)),0,IF(NF33&lt;=60,NL33,60/ND$4*ND$7)),IF(AND($F33=2,$G33=1),NL33,0)))))</f>
        <v>0</v>
      </c>
      <c r="NO33" s="57" t="str">
        <f t="shared" si="148"/>
        <v/>
      </c>
      <c r="NP33" s="57" t="str">
        <f t="shared" si="149"/>
        <v/>
      </c>
      <c r="NQ33" s="713">
        <f>'org. Düngung 22'!CZ32</f>
        <v>0</v>
      </c>
      <c r="NR33" s="57"/>
      <c r="NS33" s="57"/>
      <c r="NT33" s="57">
        <f t="shared" si="150"/>
        <v>0</v>
      </c>
      <c r="NU33" s="57">
        <f t="shared" si="313"/>
        <v>0</v>
      </c>
      <c r="NV33" s="57">
        <f t="shared" si="314"/>
        <v>0</v>
      </c>
      <c r="NW33" s="57">
        <f t="shared" si="315"/>
        <v>0</v>
      </c>
      <c r="NX33" s="57">
        <f t="shared" si="316"/>
        <v>0</v>
      </c>
      <c r="NY33" s="1029">
        <f t="shared" si="151"/>
        <v>0</v>
      </c>
      <c r="NZ33" s="57">
        <f t="shared" si="152"/>
        <v>0</v>
      </c>
      <c r="OA33" s="171" t="str">
        <f t="shared" si="153"/>
        <v/>
      </c>
      <c r="OB33" s="57">
        <f t="shared" si="317"/>
        <v>0</v>
      </c>
      <c r="OC33" s="57">
        <f>IF(OR(AND(NQ$6=1,$L33=0),AND(NQ$6=2,$K33=2,$G33=1)),0,IF(AND(NS$9=2,(OR($F33&gt;1,$K33=1,AND($L33=80,OR($N33=1,AND($N33=2,'#BerechnungDBE'!$AL24&gt;0)))))),IF(NQ$4&gt;=$AD$126,0,OA33),IF(NS$9=3,IF(OR(NQ$4&gt;=$AD$127,AND($G33=1,$J33=2,NQ$6=2),AND(NQ$6=1,$N33&lt;&gt;1)),0,IF(NU33&lt;=120,OA33,IF(NQ$4&lt;$AD$124,IF($F33=1,60/NS$4*NS$6,60/NS$4*NS$7),IF($F33=1,120/NS$4*NS$6,120/NS$4*NS$7)))),IF(OR($F33=3,$G33=2),IF(OR(AND(NQ$4&gt;=$AD$119,$C33=2),AND(NQ$4&gt;=$AF$119,$C33=1)),0,IF(NU33&lt;=60,OA33,60/NS$4*NS$7)),IF(AND($F33=2,$G33=1),OA33,0)))))</f>
        <v>0</v>
      </c>
      <c r="OD33" s="57" t="str">
        <f t="shared" si="154"/>
        <v/>
      </c>
      <c r="OE33" s="57" t="str">
        <f t="shared" si="155"/>
        <v/>
      </c>
      <c r="OF33" s="713">
        <f>'org. Düngung 22'!DD32</f>
        <v>0</v>
      </c>
      <c r="OG33" s="57"/>
      <c r="OH33" s="57"/>
      <c r="OI33" s="57">
        <f t="shared" si="156"/>
        <v>0</v>
      </c>
      <c r="OJ33" s="57">
        <f t="shared" si="318"/>
        <v>0</v>
      </c>
      <c r="OK33" s="57">
        <f t="shared" si="319"/>
        <v>0</v>
      </c>
      <c r="OL33" s="57">
        <f t="shared" si="320"/>
        <v>0</v>
      </c>
      <c r="OM33" s="57">
        <f t="shared" si="321"/>
        <v>0</v>
      </c>
      <c r="ON33" s="1029">
        <f t="shared" si="157"/>
        <v>0</v>
      </c>
      <c r="OO33" s="57">
        <f t="shared" si="158"/>
        <v>0</v>
      </c>
      <c r="OP33" s="171" t="str">
        <f t="shared" si="159"/>
        <v/>
      </c>
      <c r="OQ33" s="57">
        <f t="shared" si="322"/>
        <v>0</v>
      </c>
      <c r="OR33" s="57">
        <f>IF(OR(AND(OF$6=1,$L33=0),AND(OF$6=2,$K33=2,$G33=1)),0,IF(AND(OH$9=2,(OR($F33&gt;1,$K33=1,AND($L33=80,OR($N33=1,AND($N33=2,'#BerechnungDBE'!$AL24&gt;0)))))),IF(OF$4&gt;=$AD$126,0,OP33),IF(OH$9=3,IF(OR(OF$4&gt;=$AD$127,AND($G33=1,$J33=2,OF$6=2),AND(OF$6=1,$N33&lt;&gt;1)),0,IF(OJ33&lt;=120,OP33,IF(OF$4&lt;$AD$124,IF($F33=1,60/OH$4*OH$6,60/OH$4*OH$7),IF($F33=1,120/OH$4*OH$6,120/OH$4*OH$7)))),IF(OR($F33=3,$G33=2),IF(OR(AND(OF$4&gt;=$AD$119,$C33=2),AND(OF$4&gt;=$AF$119,$C33=1)),0,IF(OJ33&lt;=60,OP33,60/OH$4*OH$7)),IF(AND($F33=2,$G33=1),OP33,0)))))</f>
        <v>0</v>
      </c>
      <c r="OS33" s="57" t="str">
        <f t="shared" si="160"/>
        <v/>
      </c>
      <c r="OT33" s="57" t="str">
        <f t="shared" si="161"/>
        <v/>
      </c>
      <c r="OU33" s="713">
        <f>'org. Düngung 22'!DH32</f>
        <v>0</v>
      </c>
      <c r="OV33" s="57"/>
      <c r="OW33" s="57"/>
      <c r="OX33" s="57">
        <f t="shared" si="162"/>
        <v>0</v>
      </c>
      <c r="OY33" s="57">
        <f t="shared" si="323"/>
        <v>0</v>
      </c>
      <c r="OZ33" s="57">
        <f t="shared" si="324"/>
        <v>0</v>
      </c>
      <c r="PA33" s="57">
        <f t="shared" si="325"/>
        <v>0</v>
      </c>
      <c r="PB33" s="57">
        <f t="shared" si="326"/>
        <v>0</v>
      </c>
      <c r="PC33" s="1029">
        <f t="shared" si="163"/>
        <v>0</v>
      </c>
      <c r="PD33" s="57">
        <f t="shared" si="164"/>
        <v>0</v>
      </c>
      <c r="PE33" s="171" t="str">
        <f t="shared" si="165"/>
        <v/>
      </c>
      <c r="PF33" s="57">
        <f t="shared" si="327"/>
        <v>0</v>
      </c>
      <c r="PG33" s="57">
        <f>IF(OR(AND(OU$6=1,$L33=0),AND(OU$6=2,$K33=2,$G33=1)),0,IF(AND(OW$9=2,(OR($F33&gt;1,$K33=1,AND($L33=80,OR($N33=1,AND($N33=2,'#BerechnungDBE'!$AL24&gt;0)))))),IF(OU$4&gt;=$AD$126,0,PE33),IF(OW$9=3,IF(OR(OU$4&gt;=$AD$127,AND($G33=1,$J33=2,OU$6=2),AND(OU$6=1,$N33&lt;&gt;1)),0,IF(OY33&lt;=120,PE33,IF(OU$4&lt;$AD$124,IF($F33=1,60/OW$4*OW$6,60/OW$4*OW$7),IF($F33=1,120/OW$4*OW$6,120/OW$4*OW$7)))),IF(OR($F33=3,$G33=2),IF(OR(AND(OU$4&gt;=$AD$119,$C33=2),AND(OU$4&gt;=$AF$119,$C33=1)),0,IF(OY33&lt;=60,PE33,60/OW$4*OW$7)),IF(AND($F33=2,$G33=1),PE33,0)))))</f>
        <v>0</v>
      </c>
      <c r="PH33" s="57" t="str">
        <f t="shared" si="166"/>
        <v/>
      </c>
      <c r="PI33" s="57" t="str">
        <f t="shared" si="167"/>
        <v/>
      </c>
      <c r="PJ33" s="713">
        <f>'org. Düngung 22'!DL32</f>
        <v>0</v>
      </c>
      <c r="PK33" s="57"/>
      <c r="PL33" s="57"/>
      <c r="PM33" s="57">
        <f t="shared" si="168"/>
        <v>0</v>
      </c>
      <c r="PN33" s="57">
        <f t="shared" si="328"/>
        <v>0</v>
      </c>
      <c r="PO33" s="57">
        <f t="shared" si="329"/>
        <v>0</v>
      </c>
      <c r="PP33" s="57">
        <f t="shared" si="330"/>
        <v>0</v>
      </c>
      <c r="PQ33" s="57">
        <f t="shared" si="331"/>
        <v>0</v>
      </c>
      <c r="PR33" s="1029">
        <f t="shared" si="169"/>
        <v>0</v>
      </c>
      <c r="PS33" s="57">
        <f t="shared" si="170"/>
        <v>0</v>
      </c>
      <c r="PT33" s="171" t="str">
        <f t="shared" si="171"/>
        <v/>
      </c>
      <c r="PU33" s="57">
        <f t="shared" si="332"/>
        <v>0</v>
      </c>
      <c r="PV33" s="57">
        <f>IF(OR(AND(PJ$6=1,$L33=0),AND(PJ$6=2,$K33=2,$G33=1)),0,IF(AND(PL$9=2,(OR($F33&gt;1,$K33=1,AND($L33=80,OR($N33=1,AND($N33=2,'#BerechnungDBE'!$AL24&gt;0)))))),IF(PJ$4&gt;=$AD$126,0,PT33),IF(PL$9=3,IF(OR(PJ$4&gt;=$AD$127,AND($G33=1,$J33=2,PJ$6=2),AND(PJ$6=1,$N33&lt;&gt;1)),0,IF(PN33&lt;=120,PT33,IF(PJ$4&lt;$AD$124,IF($F33=1,60/PL$4*PL$6,60/PL$4*PL$7),IF($F33=1,120/PL$4*PL$6,120/PL$4*PL$7)))),IF(OR($F33=3,$G33=2),IF(OR(AND(PJ$4&gt;=$AD$119,$C33=2),AND(PJ$4&gt;=$AF$119,$C33=1)),0,IF(PN33&lt;=60,PT33,60/PL$4*PL$7)),IF(AND($F33=2,$G33=1),PT33,0)))))</f>
        <v>0</v>
      </c>
      <c r="PW33" s="57" t="str">
        <f t="shared" si="172"/>
        <v/>
      </c>
      <c r="PX33" s="57" t="str">
        <f t="shared" si="173"/>
        <v/>
      </c>
      <c r="PY33" s="713">
        <f>'org. Düngung 22'!DP32</f>
        <v>0</v>
      </c>
      <c r="PZ33" s="57"/>
      <c r="QA33" s="57"/>
      <c r="QB33" s="57">
        <f t="shared" si="174"/>
        <v>0</v>
      </c>
      <c r="QC33" s="57">
        <f t="shared" si="333"/>
        <v>0</v>
      </c>
      <c r="QD33" s="57">
        <f t="shared" si="334"/>
        <v>0</v>
      </c>
      <c r="QE33" s="57">
        <f t="shared" si="335"/>
        <v>0</v>
      </c>
      <c r="QF33" s="57">
        <f t="shared" si="336"/>
        <v>0</v>
      </c>
      <c r="QG33" s="1029">
        <f t="shared" si="175"/>
        <v>0</v>
      </c>
      <c r="QH33" s="57">
        <f t="shared" si="176"/>
        <v>0</v>
      </c>
      <c r="QI33" s="171" t="str">
        <f t="shared" si="177"/>
        <v/>
      </c>
      <c r="QJ33" s="57">
        <f t="shared" si="337"/>
        <v>0</v>
      </c>
      <c r="QK33" s="57">
        <f>IF(OR(AND(PY$6=1,$L33=0),AND(PY$6=2,$K33=2,$G33=1)),0,IF(AND(QA$9=2,(OR($F33&gt;1,$K33=1,AND($L33=80,OR($N33=1,AND($N33=2,'#BerechnungDBE'!$AL24&gt;0)))))),IF(PY$4&gt;=$AD$126,0,QI33),IF(QA$9=3,IF(OR(PY$4&gt;=$AD$127,AND($G33=1,$J33=2,PY$6=2),AND(PY$6=1,$N33&lt;&gt;1)),0,IF(QC33&lt;=120,QI33,IF(PY$4&lt;$AD$124,IF($F33=1,60/QA$4*QA$6,60/QA$4*QA$7),IF($F33=1,120/QA$4*QA$6,120/QA$4*QA$7)))),IF(OR($F33=3,$G33=2),IF(OR(AND(PY$4&gt;=$AD$119,$C33=2),AND(PY$4&gt;=$AF$119,$C33=1)),0,IF(QC33&lt;=60,QI33,60/QA$4*QA$7)),IF(AND($F33=2,$G33=1),QI33,0)))))</f>
        <v>0</v>
      </c>
      <c r="QL33" s="57" t="str">
        <f t="shared" si="178"/>
        <v/>
      </c>
      <c r="QM33" s="57" t="str">
        <f t="shared" si="179"/>
        <v/>
      </c>
      <c r="QN33" s="713">
        <f>'org. Düngung 22'!DT32</f>
        <v>0</v>
      </c>
      <c r="QO33" s="57"/>
      <c r="QP33" s="57"/>
      <c r="QQ33" s="57">
        <f t="shared" si="180"/>
        <v>0</v>
      </c>
      <c r="QR33" s="57">
        <f t="shared" si="338"/>
        <v>0</v>
      </c>
      <c r="QS33" s="57">
        <f t="shared" si="339"/>
        <v>0</v>
      </c>
      <c r="QT33" s="57">
        <f t="shared" si="340"/>
        <v>0</v>
      </c>
      <c r="QU33" s="57">
        <f t="shared" si="341"/>
        <v>0</v>
      </c>
      <c r="QV33" s="1029">
        <f t="shared" si="181"/>
        <v>0</v>
      </c>
      <c r="QW33" s="57">
        <f t="shared" si="182"/>
        <v>0</v>
      </c>
      <c r="QX33" s="171" t="str">
        <f t="shared" si="183"/>
        <v/>
      </c>
      <c r="QY33" s="57">
        <f t="shared" si="342"/>
        <v>0</v>
      </c>
      <c r="QZ33" s="57">
        <f>IF(OR(AND(QN$6=1,$L33=0),AND(QN$6=2,$K33=2,$G33=1)),0,IF(AND(QP$9=2,(OR($F33&gt;1,$K33=1,AND($L33=80,OR($N33=1,AND($N33=2,'#BerechnungDBE'!$AL24&gt;0)))))),IF(QN$4&gt;=$AD$126,0,QX33),IF(QP$9=3,IF(OR(QN$4&gt;=$AD$127,AND($G33=1,$J33=2,QN$6=2),AND(QN$6=1,$N33&lt;&gt;1)),0,IF(QR33&lt;=120,QX33,IF(QN$4&lt;$AD$124,IF($F33=1,60/QP$4*QP$6,60/QP$4*QP$7),IF($F33=1,120/QP$4*QP$6,120/QP$4*QP$7)))),IF(OR($F33=3,$G33=2),IF(OR(AND(QN$4&gt;=$AD$119,$C33=2),AND(QN$4&gt;=$AF$119,$C33=1)),0,IF(QR33&lt;=60,QX33,60/QP$4*QP$7)),IF(AND($F33=2,$G33=1),QX33,0)))))</f>
        <v>0</v>
      </c>
      <c r="RA33" s="57" t="str">
        <f t="shared" si="184"/>
        <v/>
      </c>
      <c r="RB33" s="57" t="str">
        <f t="shared" si="185"/>
        <v/>
      </c>
      <c r="RC33" s="713">
        <f>'org. Düngung 22'!DX32</f>
        <v>0</v>
      </c>
      <c r="RD33" s="57"/>
      <c r="RE33" s="57"/>
      <c r="RF33" s="57">
        <f t="shared" si="186"/>
        <v>0</v>
      </c>
      <c r="RG33" s="57">
        <f t="shared" si="343"/>
        <v>0</v>
      </c>
      <c r="RH33" s="57">
        <f t="shared" si="344"/>
        <v>0</v>
      </c>
      <c r="RI33" s="57">
        <f t="shared" si="345"/>
        <v>0</v>
      </c>
      <c r="RJ33" s="57">
        <f t="shared" si="346"/>
        <v>0</v>
      </c>
      <c r="RK33" s="1029">
        <f t="shared" si="187"/>
        <v>0</v>
      </c>
      <c r="RL33" s="57">
        <f t="shared" si="188"/>
        <v>0</v>
      </c>
      <c r="RM33" s="171" t="str">
        <f t="shared" si="189"/>
        <v/>
      </c>
      <c r="RN33" s="57">
        <f t="shared" si="347"/>
        <v>0</v>
      </c>
      <c r="RO33" s="57">
        <f>IF(OR(AND(RC$6=1,$L33=0),AND(RC$6=2,$K33=2,$G33=1)),0,IF(AND(RE$9=2,(OR($F33&gt;1,$K33=1,AND($L33=80,OR($N33=1,AND($N33=2,'#BerechnungDBE'!$AL24&gt;0)))))),IF(RC$4&gt;=$AD$126,0,RM33),IF(RE$9=3,IF(OR(RC$4&gt;=$AD$127,AND($G33=1,$J33=2,RC$6=2),AND(RC$6=1,$N33&lt;&gt;1)),0,IF(RG33&lt;=120,RM33,IF(RC$4&lt;$AD$124,IF($F33=1,60/RE$4*RE$6,60/RE$4*RE$7),IF($F33=1,120/RE$4*RE$6,120/RE$4*RE$7)))),IF(OR($F33=3,$G33=2),IF(OR(AND(RC$4&gt;=$AD$119,$C33=2),AND(RC$4&gt;=$AF$119,$C33=1)),0,IF(RG33&lt;=60,RM33,60/RE$4*RE$7)),IF(AND($F33=2,$G33=1),RM33,0)))))</f>
        <v>0</v>
      </c>
      <c r="RP33" s="57" t="str">
        <f t="shared" si="190"/>
        <v/>
      </c>
      <c r="RQ33" s="57" t="str">
        <f t="shared" si="191"/>
        <v/>
      </c>
      <c r="RS33" s="57" t="str">
        <f t="shared" si="348"/>
        <v/>
      </c>
      <c r="RT33" s="57" t="str">
        <f t="shared" si="192"/>
        <v/>
      </c>
      <c r="RU33" s="57" t="str">
        <f t="shared" si="193"/>
        <v/>
      </c>
      <c r="RV33" s="57" t="str">
        <f>IF(Z33&gt;'#BerechnungDBE'!BM24,$RV$9,"")</f>
        <v/>
      </c>
      <c r="RW33" s="57" t="str">
        <f>IF(AND(L33=70,AE33&gt;'#BerechnungDBE'!CQ24),$RW$9,"")</f>
        <v/>
      </c>
      <c r="RX33" s="57" t="str">
        <f>IF(OR('org. Düngung 22'!G32="--",'org. Düngung 22'!G32&lt;=170,'org. Düngung 22'!G32=""),"",$RX$9)</f>
        <v/>
      </c>
      <c r="RY33" s="57" t="str">
        <f>IF('org. Düngung 22'!K32&gt;120,'#orgDung'!$RY$9,"")</f>
        <v/>
      </c>
      <c r="RZ33" s="57" t="str">
        <f>IF('#BerechnungDBE'!P24&lt;4,"",IF(AND('#BerechnungDBE'!BZ24&gt;0,T33&gt;0),'#orgDung'!$RZ$9,""))</f>
        <v/>
      </c>
      <c r="SA33" s="57" t="str">
        <f t="shared" si="194"/>
        <v/>
      </c>
    </row>
    <row r="34" spans="1:495" s="875" customFormat="1" x14ac:dyDescent="0.2">
      <c r="A34" s="875">
        <f>'Flächen u. Kulturen'!A30</f>
        <v>21</v>
      </c>
      <c r="B34" s="367">
        <f>'#BerechnungDBE'!L25</f>
        <v>0</v>
      </c>
      <c r="C34" s="875">
        <f>'#BerechnungDBE'!R25</f>
        <v>1</v>
      </c>
      <c r="D34" s="875">
        <f>'#BerechnungDBE'!T25</f>
        <v>2</v>
      </c>
      <c r="E34" s="875" t="str">
        <f>'Flächen u. Kulturen'!E30</f>
        <v>x</v>
      </c>
      <c r="F34" s="52">
        <f>'#BerechnungDBE'!N25</f>
        <v>1</v>
      </c>
      <c r="G34" s="52">
        <f>'#BerechnungDBE'!O25</f>
        <v>1</v>
      </c>
      <c r="H34" s="875">
        <f>IF('Flächen u. Kulturen'!P30="",0,VLOOKUP('Flächen u. Kulturen'!P30,Kulturen[[HF]:[Berechnungsgruppe]],'#Frucht'!$H$1,FALSE))</f>
        <v>0</v>
      </c>
      <c r="I34" s="875">
        <f>IF('Flächen u. Kulturen'!J30="",0,VLOOKUP('Flächen u. Kulturen'!J30,Kulturen[[HF]:[Berechnungsgruppe]],'#Frucht'!$G$1,FALSE))</f>
        <v>90</v>
      </c>
      <c r="J34" s="505">
        <f t="shared" si="195"/>
        <v>2</v>
      </c>
      <c r="K34" s="505">
        <f>IF('Flächen u. Kulturen'!P30="",0,IF(VLOOKUP('Flächen u. Kulturen'!P30,Kulturen[[HF]:[Saat Winterungen]],'#Frucht'!$P$1,FALSE)&gt;0,1,2))</f>
        <v>2</v>
      </c>
      <c r="L34" s="875">
        <f>'#BerechnungDBE'!AF25</f>
        <v>0</v>
      </c>
      <c r="M34" s="875">
        <f>IF('Flächen u. Kulturen'!L30="",0,VLOOKUP('Flächen u. Kulturen'!L30,Nebenkultur[[Nebenkultur]:[Legum. Zwischenfr.]],'#Zweitfr'!$K$1,FALSE))</f>
        <v>0</v>
      </c>
      <c r="N34" s="875">
        <f>'#BerechnungDBE'!AG25</f>
        <v>0</v>
      </c>
      <c r="P34" s="57">
        <f t="shared" si="0"/>
        <v>0</v>
      </c>
      <c r="Q34" s="57">
        <f t="shared" si="1"/>
        <v>0</v>
      </c>
      <c r="R34" s="875">
        <f t="shared" si="2"/>
        <v>0</v>
      </c>
      <c r="S34" s="938" t="str">
        <f t="shared" si="3"/>
        <v/>
      </c>
      <c r="T34" s="875">
        <f t="shared" si="4"/>
        <v>0</v>
      </c>
      <c r="U34" s="875">
        <f t="shared" si="5"/>
        <v>0</v>
      </c>
      <c r="V34" s="875">
        <f t="shared" si="6"/>
        <v>0</v>
      </c>
      <c r="W34" s="875">
        <f t="shared" si="7"/>
        <v>0</v>
      </c>
      <c r="X34" s="875">
        <f t="shared" si="8"/>
        <v>0</v>
      </c>
      <c r="Y34" s="875">
        <f t="shared" si="349"/>
        <v>0</v>
      </c>
      <c r="Z34" s="875">
        <f t="shared" si="350"/>
        <v>0</v>
      </c>
      <c r="AA34" s="910">
        <f t="shared" si="9"/>
        <v>0</v>
      </c>
      <c r="AB34" s="57">
        <f t="shared" si="351"/>
        <v>0</v>
      </c>
      <c r="AC34" s="875">
        <f t="shared" si="10"/>
        <v>0</v>
      </c>
      <c r="AD34" s="875">
        <f t="shared" si="11"/>
        <v>0</v>
      </c>
      <c r="AE34" s="875">
        <f t="shared" si="12"/>
        <v>0</v>
      </c>
      <c r="AF34" s="875">
        <f t="shared" si="352"/>
        <v>0</v>
      </c>
      <c r="AG34" s="875">
        <f>'org. Düngung 22'!J33</f>
        <v>0</v>
      </c>
      <c r="AH34" s="875">
        <f>'org. Düngung 22'!K33</f>
        <v>0</v>
      </c>
      <c r="AJ34" s="713">
        <f>'org. Düngung 22'!L33</f>
        <v>0</v>
      </c>
      <c r="AK34" s="57"/>
      <c r="AL34" s="57"/>
      <c r="AM34" s="57">
        <f t="shared" si="196"/>
        <v>0</v>
      </c>
      <c r="AN34" s="57">
        <f t="shared" si="197"/>
        <v>0</v>
      </c>
      <c r="AO34" s="57">
        <f t="shared" si="198"/>
        <v>0</v>
      </c>
      <c r="AP34" s="57">
        <f t="shared" si="199"/>
        <v>0</v>
      </c>
      <c r="AQ34" s="57">
        <f t="shared" si="200"/>
        <v>0</v>
      </c>
      <c r="AR34" s="1029">
        <f t="shared" si="14"/>
        <v>0</v>
      </c>
      <c r="AS34" s="57">
        <f t="shared" si="15"/>
        <v>0</v>
      </c>
      <c r="AT34" s="171" t="str">
        <f t="shared" si="16"/>
        <v/>
      </c>
      <c r="AU34" s="57">
        <f t="shared" si="201"/>
        <v>0</v>
      </c>
      <c r="AV34" s="57">
        <f>IF(OR(AND(AJ$6=1,$L34=0),AND(AJ$6=2,$K34=2,$G34=1)),0,IF(AND(AL$9=2,(OR($F34&gt;1,$K34=1,AND($L34=80,OR($N34=1,AND($N34=2,'#BerechnungDBE'!$AL25&gt;0)))))),IF(AJ$4&gt;=$AD$126,0,AT34),IF(AL$9=3,IF(OR(AJ$4&gt;=$AD$127,AND($G34=1,$J34=2,AJ$6=2),AND(AJ$6=1,$N34&lt;&gt;1)),0,IF(AN34&lt;=120,AT34,IF(AJ$4&lt;$AD$124,IF($F34=1,60/AL$4*AL$6,60/AL$4*AL$7),IF($F34=1,120/AL$4*AL$6,120/AL$4*AL$7)))),IF(OR($F34=3,$G34=2),IF(OR(AND(AJ$4&gt;=$AD$119,$C34=2),AND(AJ$4&gt;=$AF$119,$C34=1)),0,IF(AN34&lt;=60,AT34,60/AL$4*AL$7)),IF(AND($F34=2,$G34=1),AT34,0)))))</f>
        <v>0</v>
      </c>
      <c r="AW34" s="57" t="str">
        <f t="shared" si="202"/>
        <v/>
      </c>
      <c r="AX34" s="57" t="str">
        <f t="shared" si="17"/>
        <v/>
      </c>
      <c r="AY34" s="713">
        <f>'org. Düngung 22'!P33</f>
        <v>0</v>
      </c>
      <c r="AZ34" s="57"/>
      <c r="BA34" s="57"/>
      <c r="BB34" s="57">
        <f t="shared" si="18"/>
        <v>0</v>
      </c>
      <c r="BC34" s="57">
        <f t="shared" si="203"/>
        <v>0</v>
      </c>
      <c r="BD34" s="57">
        <f t="shared" si="204"/>
        <v>0</v>
      </c>
      <c r="BE34" s="57">
        <f t="shared" si="205"/>
        <v>0</v>
      </c>
      <c r="BF34" s="57">
        <f t="shared" si="206"/>
        <v>0</v>
      </c>
      <c r="BG34" s="1029">
        <f t="shared" si="19"/>
        <v>0</v>
      </c>
      <c r="BH34" s="57">
        <f t="shared" si="20"/>
        <v>0</v>
      </c>
      <c r="BI34" s="171" t="str">
        <f t="shared" si="21"/>
        <v/>
      </c>
      <c r="BJ34" s="57">
        <f t="shared" si="207"/>
        <v>0</v>
      </c>
      <c r="BK34" s="57">
        <f>IF(OR(AND(AY$6=1,$L34=0),AND(AY$6=2,$K34=2,$G34=1)),0,IF(AND(BA$9=2,(OR($F34&gt;1,$K34=1,AND($L34=80,OR($N34=1,AND($N34=2,'#BerechnungDBE'!$AL25&gt;0)))))),IF(AY$4&gt;=$AD$126,0,BI34),IF(BA$9=3,IF(OR(AY$4&gt;=$AD$127,AND($G34=1,$J34=2,AY$6=2),AND(AY$6=1,$N34&lt;&gt;1)),0,IF(BC34&lt;=120,BI34,IF(AY$4&lt;$AD$124,IF($F34=1,60/BA$4*BA$6,60/BA$4*BA$7),IF($F34=1,120/BA$4*BA$6,120/BA$4*BA$7)))),IF(OR($F34=3,$G34=2),IF(OR(AND(AY$4&gt;=$AD$119,$C34=2),AND(AY$4&gt;=$AF$119,$C34=1)),0,IF(BC34&lt;=60,BI34,60/BA$4*BA$7)),IF(AND($F34=2,$G34=1),BI34,0)))))</f>
        <v>0</v>
      </c>
      <c r="BL34" s="57" t="str">
        <f t="shared" si="22"/>
        <v/>
      </c>
      <c r="BM34" s="57" t="str">
        <f t="shared" si="23"/>
        <v/>
      </c>
      <c r="BN34" s="713">
        <f>'org. Düngung 22'!T33</f>
        <v>0</v>
      </c>
      <c r="BO34" s="57"/>
      <c r="BP34" s="57"/>
      <c r="BQ34" s="57">
        <f t="shared" si="24"/>
        <v>0</v>
      </c>
      <c r="BR34" s="57">
        <f t="shared" si="208"/>
        <v>0</v>
      </c>
      <c r="BS34" s="57">
        <f t="shared" si="209"/>
        <v>0</v>
      </c>
      <c r="BT34" s="57">
        <f t="shared" si="210"/>
        <v>0</v>
      </c>
      <c r="BU34" s="57">
        <f t="shared" si="211"/>
        <v>0</v>
      </c>
      <c r="BV34" s="1029">
        <f t="shared" si="25"/>
        <v>0</v>
      </c>
      <c r="BW34" s="57">
        <f t="shared" si="26"/>
        <v>0</v>
      </c>
      <c r="BX34" s="171" t="str">
        <f t="shared" si="27"/>
        <v/>
      </c>
      <c r="BY34" s="57">
        <f t="shared" si="212"/>
        <v>0</v>
      </c>
      <c r="BZ34" s="57">
        <f>IF(OR(AND(BN$6=1,$L34=0),AND(BN$6=2,$K34=2,$G34=1)),0,IF(AND(BP$9=2,(OR($F34&gt;1,$K34=1,AND($L34=80,OR($N34=1,AND($N34=2,'#BerechnungDBE'!$AL25&gt;0)))))),IF(BN$4&gt;=$AD$126,0,BX34),IF(BP$9=3,IF(OR(BN$4&gt;=$AD$127,AND($G34=1,$J34=2,BN$6=2),AND(BN$6=1,$N34&lt;&gt;1)),0,IF(BR34&lt;=120,BX34,IF(BN$4&lt;$AD$124,IF($F34=1,60/BP$4*BP$6,60/BP$4*BP$7),IF($F34=1,120/BP$4*BP$6,120/BP$4*BP$7)))),IF(OR($F34=3,$G34=2),IF(OR(AND(BN$4&gt;=$AD$119,$C34=2),AND(BN$4&gt;=$AF$119,$C34=1)),0,IF(BR34&lt;=60,BX34,60/BP$4*BP$7)),IF(AND($F34=2,$G34=1),BX34,0)))))</f>
        <v>0</v>
      </c>
      <c r="CA34" s="57" t="str">
        <f t="shared" si="28"/>
        <v/>
      </c>
      <c r="CB34" s="57" t="str">
        <f t="shared" si="29"/>
        <v/>
      </c>
      <c r="CC34" s="713">
        <f>'org. Düngung 22'!X33</f>
        <v>0</v>
      </c>
      <c r="CD34" s="57"/>
      <c r="CE34" s="57"/>
      <c r="CF34" s="57">
        <f t="shared" si="30"/>
        <v>0</v>
      </c>
      <c r="CG34" s="57">
        <f t="shared" si="213"/>
        <v>0</v>
      </c>
      <c r="CH34" s="57">
        <f t="shared" si="214"/>
        <v>0</v>
      </c>
      <c r="CI34" s="57">
        <f t="shared" si="215"/>
        <v>0</v>
      </c>
      <c r="CJ34" s="57">
        <f t="shared" si="216"/>
        <v>0</v>
      </c>
      <c r="CK34" s="1029">
        <f t="shared" si="31"/>
        <v>0</v>
      </c>
      <c r="CL34" s="57">
        <f t="shared" si="32"/>
        <v>0</v>
      </c>
      <c r="CM34" s="171" t="str">
        <f t="shared" si="33"/>
        <v/>
      </c>
      <c r="CN34" s="57">
        <f t="shared" si="217"/>
        <v>0</v>
      </c>
      <c r="CO34" s="57">
        <f>IF(OR(AND(CC$6=1,$L34=0),AND(CC$6=2,$K34=2,$G34=1)),0,IF(AND(CE$9=2,(OR($F34&gt;1,$K34=1,AND($L34=80,OR($N34=1,AND($N34=2,'#BerechnungDBE'!$AL25&gt;0)))))),IF(CC$4&gt;=$AD$126,0,CM34),IF(CE$9=3,IF(OR(CC$4&gt;=$AD$127,AND($G34=1,$J34=2,CC$6=2),AND(CC$6=1,$N34&lt;&gt;1)),0,IF(CG34&lt;=120,CM34,IF(CC$4&lt;$AD$124,IF($F34=1,60/CE$4*CE$6,60/CE$4*CE$7),IF($F34=1,120/CE$4*CE$6,120/CE$4*CE$7)))),IF(OR($F34=3,$G34=2),IF(OR(AND(CC$4&gt;=$AD$119,$C34=2),AND(CC$4&gt;=$AF$119,$C34=1)),0,IF(CG34&lt;=60,CM34,60/CE$4*CE$7)),IF(AND($F34=2,$G34=1),CM34,0)))))</f>
        <v>0</v>
      </c>
      <c r="CP34" s="57" t="str">
        <f t="shared" si="34"/>
        <v/>
      </c>
      <c r="CQ34" s="57" t="str">
        <f t="shared" si="35"/>
        <v/>
      </c>
      <c r="CR34" s="713">
        <f>'org. Düngung 22'!AB33</f>
        <v>0</v>
      </c>
      <c r="CS34" s="57"/>
      <c r="CT34" s="57"/>
      <c r="CU34" s="57">
        <f t="shared" si="36"/>
        <v>0</v>
      </c>
      <c r="CV34" s="57">
        <f t="shared" si="218"/>
        <v>0</v>
      </c>
      <c r="CW34" s="57">
        <f t="shared" si="219"/>
        <v>0</v>
      </c>
      <c r="CX34" s="57">
        <f t="shared" si="220"/>
        <v>0</v>
      </c>
      <c r="CY34" s="57">
        <f t="shared" si="221"/>
        <v>0</v>
      </c>
      <c r="CZ34" s="1029">
        <f t="shared" si="37"/>
        <v>0</v>
      </c>
      <c r="DA34" s="57">
        <f t="shared" si="38"/>
        <v>0</v>
      </c>
      <c r="DB34" s="171" t="str">
        <f t="shared" si="39"/>
        <v/>
      </c>
      <c r="DC34" s="57">
        <f t="shared" si="222"/>
        <v>0</v>
      </c>
      <c r="DD34" s="57">
        <f>IF(OR(AND(CR$6=1,$L34=0),AND(CR$6=2,$K34=2,$G34=1)),0,IF(AND(CT$9=2,(OR($F34&gt;1,$K34=1,AND($L34=80,OR($N34=1,AND($N34=2,'#BerechnungDBE'!$AL25&gt;0)))))),IF(CR$4&gt;=$AD$126,0,DB34),IF(CT$9=3,IF(OR(CR$4&gt;=$AD$127,AND($G34=1,$J34=2,CR$6=2),AND(CR$6=1,$N34&lt;&gt;1)),0,IF(CV34&lt;=120,DB34,IF(CR$4&lt;$AD$124,IF($F34=1,60/CT$4*CT$6,60/CT$4*CT$7),IF($F34=1,120/CT$4*CT$6,120/CT$4*CT$7)))),IF(OR($F34=3,$G34=2),IF(OR(AND(CR$4&gt;=$AD$119,$C34=2),AND(CR$4&gt;=$AF$119,$C34=1)),0,IF(CV34&lt;=60,DB34,60/CT$4*CT$7)),IF(AND($F34=2,$G34=1),DB34,0)))))</f>
        <v>0</v>
      </c>
      <c r="DE34" s="57" t="str">
        <f t="shared" si="40"/>
        <v/>
      </c>
      <c r="DF34" s="57" t="str">
        <f t="shared" si="41"/>
        <v/>
      </c>
      <c r="DG34" s="713">
        <f>'org. Düngung 22'!AF33</f>
        <v>0</v>
      </c>
      <c r="DH34" s="57"/>
      <c r="DI34" s="57"/>
      <c r="DJ34" s="57">
        <f t="shared" si="42"/>
        <v>0</v>
      </c>
      <c r="DK34" s="57">
        <f t="shared" si="223"/>
        <v>0</v>
      </c>
      <c r="DL34" s="57">
        <f t="shared" si="224"/>
        <v>0</v>
      </c>
      <c r="DM34" s="57">
        <f t="shared" si="225"/>
        <v>0</v>
      </c>
      <c r="DN34" s="57">
        <f t="shared" si="226"/>
        <v>0</v>
      </c>
      <c r="DO34" s="1029">
        <f t="shared" si="43"/>
        <v>0</v>
      </c>
      <c r="DP34" s="57">
        <f t="shared" si="44"/>
        <v>0</v>
      </c>
      <c r="DQ34" s="171" t="str">
        <f t="shared" si="45"/>
        <v/>
      </c>
      <c r="DR34" s="57">
        <f t="shared" si="227"/>
        <v>0</v>
      </c>
      <c r="DS34" s="57">
        <f>IF(OR(AND(DG$6=1,$L34=0),AND(DG$6=2,$K34=2,$G34=1)),0,IF(AND(DI$9=2,(OR($F34&gt;1,$K34=1,AND($L34=80,OR($N34=1,AND($N34=2,'#BerechnungDBE'!$AL25&gt;0)))))),IF(DG$4&gt;=$AD$126,0,DQ34),IF(DI$9=3,IF(OR(DG$4&gt;=$AD$127,AND($G34=1,$J34=2,DG$6=2),AND(DG$6=1,$N34&lt;&gt;1)),0,IF(DK34&lt;=120,DQ34,IF(DG$4&lt;$AD$124,IF($F34=1,60/DI$4*DI$6,60/DI$4*DI$7),IF($F34=1,120/DI$4*DI$6,120/DI$4*DI$7)))),IF(OR($F34=3,$G34=2),IF(OR(AND(DG$4&gt;=$AD$119,$C34=2),AND(DG$4&gt;=$AF$119,$C34=1)),0,IF(DK34&lt;=60,DQ34,60/DI$4*DI$7)),IF(AND($F34=2,$G34=1),DQ34,0)))))</f>
        <v>0</v>
      </c>
      <c r="DT34" s="57" t="str">
        <f t="shared" si="46"/>
        <v/>
      </c>
      <c r="DU34" s="57" t="str">
        <f t="shared" si="47"/>
        <v/>
      </c>
      <c r="DV34" s="713">
        <f>'org. Düngung 22'!AJ33</f>
        <v>0</v>
      </c>
      <c r="DW34" s="57"/>
      <c r="DX34" s="57"/>
      <c r="DY34" s="57">
        <f t="shared" si="48"/>
        <v>0</v>
      </c>
      <c r="DZ34" s="57">
        <f t="shared" si="228"/>
        <v>0</v>
      </c>
      <c r="EA34" s="57">
        <f t="shared" si="229"/>
        <v>0</v>
      </c>
      <c r="EB34" s="57">
        <f t="shared" si="230"/>
        <v>0</v>
      </c>
      <c r="EC34" s="57">
        <f t="shared" si="231"/>
        <v>0</v>
      </c>
      <c r="ED34" s="1029">
        <f t="shared" si="49"/>
        <v>0</v>
      </c>
      <c r="EE34" s="57">
        <f t="shared" si="50"/>
        <v>0</v>
      </c>
      <c r="EF34" s="171" t="str">
        <f t="shared" si="51"/>
        <v/>
      </c>
      <c r="EG34" s="57">
        <f t="shared" si="232"/>
        <v>0</v>
      </c>
      <c r="EH34" s="57">
        <f>IF(OR(AND(DV$6=1,$L34=0),AND(DV$6=2,$K34=2,$G34=1)),0,IF(AND(DX$9=2,(OR($F34&gt;1,$K34=1,AND($L34=80,OR($N34=1,AND($N34=2,'#BerechnungDBE'!$AL25&gt;0)))))),IF(DV$4&gt;=$AD$126,0,EF34),IF(DX$9=3,IF(OR(DV$4&gt;=$AD$127,AND($G34=1,$J34=2,DV$6=2),AND(DV$6=1,$N34&lt;&gt;1)),0,IF(DZ34&lt;=120,EF34,IF(DV$4&lt;$AD$124,IF($F34=1,60/DX$4*DX$6,60/DX$4*DX$7),IF($F34=1,120/DX$4*DX$6,120/DX$4*DX$7)))),IF(OR($F34=3,$G34=2),IF(OR(AND(DV$4&gt;=$AD$119,$C34=2),AND(DV$4&gt;=$AF$119,$C34=1)),0,IF(DZ34&lt;=60,EF34,60/DX$4*DX$7)),IF(AND($F34=2,$G34=1),EF34,0)))))</f>
        <v>0</v>
      </c>
      <c r="EI34" s="57" t="str">
        <f t="shared" si="52"/>
        <v/>
      </c>
      <c r="EJ34" s="57" t="str">
        <f t="shared" si="53"/>
        <v/>
      </c>
      <c r="EK34" s="713">
        <f>'org. Düngung 22'!AN33</f>
        <v>0</v>
      </c>
      <c r="EL34" s="57"/>
      <c r="EM34" s="57"/>
      <c r="EN34" s="57">
        <f t="shared" si="54"/>
        <v>0</v>
      </c>
      <c r="EO34" s="57">
        <f t="shared" si="233"/>
        <v>0</v>
      </c>
      <c r="EP34" s="57">
        <f t="shared" si="234"/>
        <v>0</v>
      </c>
      <c r="EQ34" s="57">
        <f t="shared" si="235"/>
        <v>0</v>
      </c>
      <c r="ER34" s="57">
        <f t="shared" si="236"/>
        <v>0</v>
      </c>
      <c r="ES34" s="1029">
        <f t="shared" si="55"/>
        <v>0</v>
      </c>
      <c r="ET34" s="57">
        <f t="shared" si="56"/>
        <v>0</v>
      </c>
      <c r="EU34" s="171" t="str">
        <f t="shared" si="57"/>
        <v/>
      </c>
      <c r="EV34" s="57">
        <f t="shared" si="237"/>
        <v>0</v>
      </c>
      <c r="EW34" s="57">
        <f>IF(OR(AND(EK$6=1,$L34=0),AND(EK$6=2,$K34=2,$G34=1)),0,IF(AND(EM$9=2,(OR($F34&gt;1,$K34=1,AND($L34=80,OR($N34=1,AND($N34=2,'#BerechnungDBE'!$AL25&gt;0)))))),IF(EK$4&gt;=$AD$126,0,EU34),IF(EM$9=3,IF(OR(EK$4&gt;=$AD$127,AND($G34=1,$J34=2,EK$6=2),AND(EK$6=1,$N34&lt;&gt;1)),0,IF(EO34&lt;=120,EU34,IF(EK$4&lt;$AD$124,IF($F34=1,60/EM$4*EM$6,60/EM$4*EM$7),IF($F34=1,120/EM$4*EM$6,120/EM$4*EM$7)))),IF(OR($F34=3,$G34=2),IF(OR(AND(EK$4&gt;=$AD$119,$C34=2),AND(EK$4&gt;=$AF$119,$C34=1)),0,IF(EO34&lt;=60,EU34,60/EM$4*EM$7)),IF(AND($F34=2,$G34=1),EU34,0)))))</f>
        <v>0</v>
      </c>
      <c r="EX34" s="57" t="str">
        <f t="shared" si="58"/>
        <v/>
      </c>
      <c r="EY34" s="57" t="str">
        <f t="shared" si="59"/>
        <v/>
      </c>
      <c r="EZ34" s="713">
        <f>'org. Düngung 22'!AR33</f>
        <v>0</v>
      </c>
      <c r="FA34" s="57"/>
      <c r="FB34" s="57"/>
      <c r="FC34" s="57">
        <f t="shared" si="60"/>
        <v>0</v>
      </c>
      <c r="FD34" s="57">
        <f t="shared" si="238"/>
        <v>0</v>
      </c>
      <c r="FE34" s="57">
        <f t="shared" si="239"/>
        <v>0</v>
      </c>
      <c r="FF34" s="57">
        <f t="shared" si="240"/>
        <v>0</v>
      </c>
      <c r="FG34" s="57">
        <f t="shared" si="241"/>
        <v>0</v>
      </c>
      <c r="FH34" s="1029">
        <f t="shared" si="61"/>
        <v>0</v>
      </c>
      <c r="FI34" s="57">
        <f t="shared" si="62"/>
        <v>0</v>
      </c>
      <c r="FJ34" s="171" t="str">
        <f t="shared" si="63"/>
        <v/>
      </c>
      <c r="FK34" s="57">
        <f t="shared" si="242"/>
        <v>0</v>
      </c>
      <c r="FL34" s="57">
        <f>IF(OR(AND(EZ$6=1,$L34=0),AND(EZ$6=2,$K34=2,$G34=1)),0,IF(AND(FB$9=2,(OR($F34&gt;1,$K34=1,AND($L34=80,OR($N34=1,AND($N34=2,'#BerechnungDBE'!$AL25&gt;0)))))),IF(EZ$4&gt;=$AD$126,0,FJ34),IF(FB$9=3,IF(OR(EZ$4&gt;=$AD$127,AND($G34=1,$J34=2,EZ$6=2),AND(EZ$6=1,$N34&lt;&gt;1)),0,IF(FD34&lt;=120,FJ34,IF(EZ$4&lt;$AD$124,IF($F34=1,60/FB$4*FB$6,60/FB$4*FB$7),IF($F34=1,120/FB$4*FB$6,120/FB$4*FB$7)))),IF(OR($F34=3,$G34=2),IF(OR(AND(EZ$4&gt;=$AD$119,$C34=2),AND(EZ$4&gt;=$AF$119,$C34=1)),0,IF(FD34&lt;=60,FJ34,60/FB$4*FB$7)),IF(AND($F34=2,$G34=1),FJ34,0)))))</f>
        <v>0</v>
      </c>
      <c r="FM34" s="57" t="str">
        <f t="shared" si="64"/>
        <v/>
      </c>
      <c r="FN34" s="57" t="str">
        <f t="shared" si="65"/>
        <v/>
      </c>
      <c r="FO34" s="713">
        <f>'org. Düngung 22'!AV33</f>
        <v>0</v>
      </c>
      <c r="FP34" s="57"/>
      <c r="FQ34" s="57"/>
      <c r="FR34" s="57">
        <f t="shared" si="66"/>
        <v>0</v>
      </c>
      <c r="FS34" s="57">
        <f t="shared" si="243"/>
        <v>0</v>
      </c>
      <c r="FT34" s="57">
        <f t="shared" si="244"/>
        <v>0</v>
      </c>
      <c r="FU34" s="57">
        <f t="shared" si="245"/>
        <v>0</v>
      </c>
      <c r="FV34" s="57">
        <f t="shared" si="246"/>
        <v>0</v>
      </c>
      <c r="FW34" s="1029">
        <f t="shared" si="67"/>
        <v>0</v>
      </c>
      <c r="FX34" s="57">
        <f t="shared" si="68"/>
        <v>0</v>
      </c>
      <c r="FY34" s="171" t="str">
        <f t="shared" si="69"/>
        <v/>
      </c>
      <c r="FZ34" s="57">
        <f t="shared" si="247"/>
        <v>0</v>
      </c>
      <c r="GA34" s="57">
        <f>IF(OR(AND(FO$6=1,$L34=0),AND(FO$6=2,$K34=2,$G34=1)),0,IF(AND(FQ$9=2,(OR($F34&gt;1,$K34=1,AND($L34=80,OR($N34=1,AND($N34=2,'#BerechnungDBE'!$AL25&gt;0)))))),IF(FO$4&gt;=$AD$126,0,FY34),IF(FQ$9=3,IF(OR(FO$4&gt;=$AD$127,AND($G34=1,$J34=2,FO$6=2),AND(FO$6=1,$N34&lt;&gt;1)),0,IF(FS34&lt;=120,FY34,IF(FO$4&lt;$AD$124,IF($F34=1,60/FQ$4*FQ$6,60/FQ$4*FQ$7),IF($F34=1,120/FQ$4*FQ$6,120/FQ$4*FQ$7)))),IF(OR($F34=3,$G34=2),IF(OR(AND(FO$4&gt;=$AD$119,$C34=2),AND(FO$4&gt;=$AF$119,$C34=1)),0,IF(FS34&lt;=60,FY34,60/FQ$4*FQ$7)),IF(AND($F34=2,$G34=1),FY34,0)))))</f>
        <v>0</v>
      </c>
      <c r="GB34" s="57" t="str">
        <f t="shared" si="70"/>
        <v/>
      </c>
      <c r="GC34" s="57" t="str">
        <f t="shared" si="71"/>
        <v/>
      </c>
      <c r="GD34" s="713">
        <f>'org. Düngung 22'!AZ33</f>
        <v>0</v>
      </c>
      <c r="GE34" s="57"/>
      <c r="GF34" s="57"/>
      <c r="GG34" s="57">
        <f t="shared" si="72"/>
        <v>0</v>
      </c>
      <c r="GH34" s="57">
        <f t="shared" si="248"/>
        <v>0</v>
      </c>
      <c r="GI34" s="57">
        <f t="shared" si="249"/>
        <v>0</v>
      </c>
      <c r="GJ34" s="57">
        <f t="shared" si="250"/>
        <v>0</v>
      </c>
      <c r="GK34" s="57">
        <f t="shared" si="251"/>
        <v>0</v>
      </c>
      <c r="GL34" s="1029">
        <f t="shared" si="73"/>
        <v>0</v>
      </c>
      <c r="GM34" s="57">
        <f t="shared" si="74"/>
        <v>0</v>
      </c>
      <c r="GN34" s="171" t="str">
        <f t="shared" si="75"/>
        <v/>
      </c>
      <c r="GO34" s="57">
        <f t="shared" si="252"/>
        <v>0</v>
      </c>
      <c r="GP34" s="57">
        <f>IF(OR(AND(GD$6=1,$L34=0),AND(GD$6=2,$K34=2,$G34=1)),0,IF(AND(GF$9=2,(OR($F34&gt;1,$K34=1,AND($L34=80,OR($N34=1,AND($N34=2,'#BerechnungDBE'!$AL25&gt;0)))))),IF(GD$4&gt;=$AD$126,0,GN34),IF(GF$9=3,IF(OR(GD$4&gt;=$AD$127,AND($G34=1,$J34=2,GD$6=2),AND(GD$6=1,$N34&lt;&gt;1)),0,IF(GH34&lt;=120,GN34,IF(GD$4&lt;$AD$124,IF($F34=1,60/GF$4*GF$6,60/GF$4*GF$7),IF($F34=1,120/GF$4*GF$6,120/GF$4*GF$7)))),IF(OR($F34=3,$G34=2),IF(OR(AND(GD$4&gt;=$AD$119,$C34=2),AND(GD$4&gt;=$AF$119,$C34=1)),0,IF(GH34&lt;=60,GN34,60/GF$4*GF$7)),IF(AND($F34=2,$G34=1),GN34,0)))))</f>
        <v>0</v>
      </c>
      <c r="GQ34" s="57" t="str">
        <f t="shared" si="76"/>
        <v/>
      </c>
      <c r="GR34" s="57" t="str">
        <f t="shared" si="77"/>
        <v/>
      </c>
      <c r="GS34" s="713">
        <f>'org. Düngung 22'!BD33</f>
        <v>0</v>
      </c>
      <c r="GT34" s="57"/>
      <c r="GU34" s="57"/>
      <c r="GV34" s="57">
        <f t="shared" si="78"/>
        <v>0</v>
      </c>
      <c r="GW34" s="57">
        <f t="shared" si="253"/>
        <v>0</v>
      </c>
      <c r="GX34" s="57">
        <f t="shared" si="254"/>
        <v>0</v>
      </c>
      <c r="GY34" s="57">
        <f t="shared" si="255"/>
        <v>0</v>
      </c>
      <c r="GZ34" s="57">
        <f t="shared" si="256"/>
        <v>0</v>
      </c>
      <c r="HA34" s="1029">
        <f t="shared" si="79"/>
        <v>0</v>
      </c>
      <c r="HB34" s="57">
        <f t="shared" si="80"/>
        <v>0</v>
      </c>
      <c r="HC34" s="171" t="str">
        <f t="shared" si="81"/>
        <v/>
      </c>
      <c r="HD34" s="57">
        <f t="shared" si="257"/>
        <v>0</v>
      </c>
      <c r="HE34" s="57">
        <f>IF(OR(AND(GS$6=1,$L34=0),AND(GS$6=2,$K34=2,$G34=1)),0,IF(AND(GU$9=2,(OR($F34&gt;1,$K34=1,AND($L34=80,OR($N34=1,AND($N34=2,'#BerechnungDBE'!$AL25&gt;0)))))),IF(GS$4&gt;=$AD$126,0,HC34),IF(GU$9=3,IF(OR(GS$4&gt;=$AD$127,AND($G34=1,$J34=2,GS$6=2),AND(GS$6=1,$N34&lt;&gt;1)),0,IF(GW34&lt;=120,HC34,IF(GS$4&lt;$AD$124,IF($F34=1,60/GU$4*GU$6,60/GU$4*GU$7),IF($F34=1,120/GU$4*GU$6,120/GU$4*GU$7)))),IF(OR($F34=3,$G34=2),IF(OR(AND(GS$4&gt;=$AD$119,$C34=2),AND(GS$4&gt;=$AF$119,$C34=1)),0,IF(GW34&lt;=60,HC34,60/GU$4*GU$7)),IF(AND($F34=2,$G34=1),HC34,0)))))</f>
        <v>0</v>
      </c>
      <c r="HF34" s="57" t="str">
        <f t="shared" si="82"/>
        <v/>
      </c>
      <c r="HG34" s="57" t="str">
        <f t="shared" si="83"/>
        <v/>
      </c>
      <c r="HH34" s="713">
        <f>'org. Düngung 22'!BH33</f>
        <v>0</v>
      </c>
      <c r="HI34" s="57"/>
      <c r="HJ34" s="57"/>
      <c r="HK34" s="57">
        <f t="shared" si="84"/>
        <v>0</v>
      </c>
      <c r="HL34" s="57">
        <f t="shared" si="258"/>
        <v>0</v>
      </c>
      <c r="HM34" s="57">
        <f t="shared" si="259"/>
        <v>0</v>
      </c>
      <c r="HN34" s="57">
        <f t="shared" si="260"/>
        <v>0</v>
      </c>
      <c r="HO34" s="57">
        <f t="shared" si="261"/>
        <v>0</v>
      </c>
      <c r="HP34" s="1029">
        <f t="shared" si="85"/>
        <v>0</v>
      </c>
      <c r="HQ34" s="57">
        <f t="shared" si="86"/>
        <v>0</v>
      </c>
      <c r="HR34" s="171" t="str">
        <f t="shared" si="87"/>
        <v/>
      </c>
      <c r="HS34" s="57">
        <f t="shared" si="262"/>
        <v>0</v>
      </c>
      <c r="HT34" s="57">
        <f>IF(OR(AND(HH$6=1,$L34=0),AND(HH$6=2,$K34=2,$G34=1)),0,IF(AND(HJ$9=2,(OR($F34&gt;1,$K34=1,AND($L34=80,OR($N34=1,AND($N34=2,'#BerechnungDBE'!$AL25&gt;0)))))),IF(HH$4&gt;=$AD$126,0,HR34),IF(HJ$9=3,IF(OR(HH$4&gt;=$AD$127,AND($G34=1,$J34=2,HH$6=2),AND(HH$6=1,$N34&lt;&gt;1)),0,IF(HL34&lt;=120,HR34,IF(HH$4&lt;$AD$124,IF($F34=1,60/HJ$4*HJ$6,60/HJ$4*HJ$7),IF($F34=1,120/HJ$4*HJ$6,120/HJ$4*HJ$7)))),IF(OR($F34=3,$G34=2),IF(OR(AND(HH$4&gt;=$AD$119,$C34=2),AND(HH$4&gt;=$AF$119,$C34=1)),0,IF(HL34&lt;=60,HR34,60/HJ$4*HJ$7)),IF(AND($F34=2,$G34=1),HR34,0)))))</f>
        <v>0</v>
      </c>
      <c r="HU34" s="57" t="str">
        <f t="shared" si="88"/>
        <v/>
      </c>
      <c r="HV34" s="57" t="str">
        <f t="shared" si="89"/>
        <v/>
      </c>
      <c r="HW34" s="713">
        <f>'org. Düngung 22'!BL33</f>
        <v>0</v>
      </c>
      <c r="HX34" s="57"/>
      <c r="HY34" s="57"/>
      <c r="HZ34" s="57">
        <f t="shared" si="90"/>
        <v>0</v>
      </c>
      <c r="IA34" s="57">
        <f t="shared" si="263"/>
        <v>0</v>
      </c>
      <c r="IB34" s="57">
        <f t="shared" si="264"/>
        <v>0</v>
      </c>
      <c r="IC34" s="57">
        <f t="shared" si="265"/>
        <v>0</v>
      </c>
      <c r="ID34" s="57">
        <f t="shared" si="266"/>
        <v>0</v>
      </c>
      <c r="IE34" s="1029">
        <f t="shared" si="91"/>
        <v>0</v>
      </c>
      <c r="IF34" s="57">
        <f t="shared" si="92"/>
        <v>0</v>
      </c>
      <c r="IG34" s="171" t="str">
        <f t="shared" si="93"/>
        <v/>
      </c>
      <c r="IH34" s="57">
        <f t="shared" si="267"/>
        <v>0</v>
      </c>
      <c r="II34" s="57">
        <f>IF(OR(AND(HW$6=1,$L34=0),AND(HW$6=2,$K34=2,$G34=1)),0,IF(AND(HY$9=2,(OR($F34&gt;1,$K34=1,AND($L34=80,OR($N34=1,AND($N34=2,'#BerechnungDBE'!$AL25&gt;0)))))),IF(HW$4&gt;=$AD$126,0,IG34),IF(HY$9=3,IF(OR(HW$4&gt;=$AD$127,AND($G34=1,$J34=2,HW$6=2),AND(HW$6=1,$N34&lt;&gt;1)),0,IF(IA34&lt;=120,IG34,IF(HW$4&lt;$AD$124,IF($F34=1,60/HY$4*HY$6,60/HY$4*HY$7),IF($F34=1,120/HY$4*HY$6,120/HY$4*HY$7)))),IF(OR($F34=3,$G34=2),IF(OR(AND(HW$4&gt;=$AD$119,$C34=2),AND(HW$4&gt;=$AF$119,$C34=1)),0,IF(IA34&lt;=60,IG34,60/HY$4*HY$7)),IF(AND($F34=2,$G34=1),IG34,0)))))</f>
        <v>0</v>
      </c>
      <c r="IJ34" s="57" t="str">
        <f t="shared" si="94"/>
        <v/>
      </c>
      <c r="IK34" s="57" t="str">
        <f t="shared" si="95"/>
        <v/>
      </c>
      <c r="IL34" s="713">
        <f>'org. Düngung 22'!BP33</f>
        <v>0</v>
      </c>
      <c r="IM34" s="57"/>
      <c r="IN34" s="57"/>
      <c r="IO34" s="57">
        <f t="shared" si="96"/>
        <v>0</v>
      </c>
      <c r="IP34" s="57">
        <f t="shared" si="268"/>
        <v>0</v>
      </c>
      <c r="IQ34" s="57">
        <f t="shared" si="269"/>
        <v>0</v>
      </c>
      <c r="IR34" s="57">
        <f t="shared" si="270"/>
        <v>0</v>
      </c>
      <c r="IS34" s="57">
        <f t="shared" si="271"/>
        <v>0</v>
      </c>
      <c r="IT34" s="1029">
        <f t="shared" si="97"/>
        <v>0</v>
      </c>
      <c r="IU34" s="57">
        <f t="shared" si="98"/>
        <v>0</v>
      </c>
      <c r="IV34" s="171" t="str">
        <f t="shared" si="99"/>
        <v/>
      </c>
      <c r="IW34" s="57">
        <f t="shared" si="272"/>
        <v>0</v>
      </c>
      <c r="IX34" s="57">
        <f>IF(OR(AND(IL$6=1,$L34=0),AND(IL$6=2,$K34=2,$G34=1)),0,IF(AND(IN$9=2,(OR($F34&gt;1,$K34=1,AND($L34=80,OR($N34=1,AND($N34=2,'#BerechnungDBE'!$AL25&gt;0)))))),IF(IL$4&gt;=$AD$126,0,IV34),IF(IN$9=3,IF(OR(IL$4&gt;=$AD$127,AND($G34=1,$J34=2,IL$6=2),AND(IL$6=1,$N34&lt;&gt;1)),0,IF(IP34&lt;=120,IV34,IF(IL$4&lt;$AD$124,IF($F34=1,60/IN$4*IN$6,60/IN$4*IN$7),IF($F34=1,120/IN$4*IN$6,120/IN$4*IN$7)))),IF(OR($F34=3,$G34=2),IF(OR(AND(IL$4&gt;=$AD$119,$C34=2),AND(IL$4&gt;=$AF$119,$C34=1)),0,IF(IP34&lt;=60,IV34,60/IN$4*IN$7)),IF(AND($F34=2,$G34=1),IV34,0)))))</f>
        <v>0</v>
      </c>
      <c r="IY34" s="57" t="str">
        <f t="shared" si="100"/>
        <v/>
      </c>
      <c r="IZ34" s="57" t="str">
        <f t="shared" si="101"/>
        <v/>
      </c>
      <c r="JA34" s="713">
        <f>'org. Düngung 22'!BT33</f>
        <v>0</v>
      </c>
      <c r="JB34" s="57"/>
      <c r="JC34" s="57"/>
      <c r="JD34" s="57">
        <f t="shared" si="102"/>
        <v>0</v>
      </c>
      <c r="JE34" s="57">
        <f t="shared" si="273"/>
        <v>0</v>
      </c>
      <c r="JF34" s="57">
        <f t="shared" si="274"/>
        <v>0</v>
      </c>
      <c r="JG34" s="57">
        <f t="shared" si="275"/>
        <v>0</v>
      </c>
      <c r="JH34" s="57">
        <f t="shared" si="276"/>
        <v>0</v>
      </c>
      <c r="JI34" s="1029">
        <f t="shared" si="103"/>
        <v>0</v>
      </c>
      <c r="JJ34" s="57">
        <f t="shared" si="104"/>
        <v>0</v>
      </c>
      <c r="JK34" s="171" t="str">
        <f t="shared" si="105"/>
        <v/>
      </c>
      <c r="JL34" s="57">
        <f t="shared" si="277"/>
        <v>0</v>
      </c>
      <c r="JM34" s="57">
        <f>IF(OR(AND(JA$6=1,$L34=0),AND(JA$6=2,$K34=2,$G34=1)),0,IF(AND(JC$9=2,(OR($F34&gt;1,$K34=1,AND($L34=80,OR($N34=1,AND($N34=2,'#BerechnungDBE'!$AL25&gt;0)))))),IF(JA$4&gt;=$AD$126,0,JK34),IF(JC$9=3,IF(OR(JA$4&gt;=$AD$127,AND($G34=1,$J34=2,JA$6=2),AND(JA$6=1,$N34&lt;&gt;1)),0,IF(JE34&lt;=120,JK34,IF(JA$4&lt;$AD$124,IF($F34=1,60/JC$4*JC$6,60/JC$4*JC$7),IF($F34=1,120/JC$4*JC$6,120/JC$4*JC$7)))),IF(OR($F34=3,$G34=2),IF(OR(AND(JA$4&gt;=$AD$119,$C34=2),AND(JA$4&gt;=$AF$119,$C34=1)),0,IF(JE34&lt;=60,JK34,60/JC$4*JC$7)),IF(AND($F34=2,$G34=1),JK34,0)))))</f>
        <v>0</v>
      </c>
      <c r="JN34" s="57" t="str">
        <f t="shared" si="106"/>
        <v/>
      </c>
      <c r="JO34" s="57" t="str">
        <f t="shared" si="107"/>
        <v/>
      </c>
      <c r="JP34" s="713">
        <f>'org. Düngung 22'!BX33</f>
        <v>0</v>
      </c>
      <c r="JQ34" s="57"/>
      <c r="JR34" s="57"/>
      <c r="JS34" s="57">
        <f t="shared" si="108"/>
        <v>0</v>
      </c>
      <c r="JT34" s="57">
        <f t="shared" si="278"/>
        <v>0</v>
      </c>
      <c r="JU34" s="57">
        <f t="shared" si="279"/>
        <v>0</v>
      </c>
      <c r="JV34" s="57">
        <f t="shared" si="280"/>
        <v>0</v>
      </c>
      <c r="JW34" s="57">
        <f t="shared" si="281"/>
        <v>0</v>
      </c>
      <c r="JX34" s="1029">
        <f t="shared" si="109"/>
        <v>0</v>
      </c>
      <c r="JY34" s="57">
        <f t="shared" si="110"/>
        <v>0</v>
      </c>
      <c r="JZ34" s="171" t="str">
        <f t="shared" si="111"/>
        <v/>
      </c>
      <c r="KA34" s="57">
        <f t="shared" si="282"/>
        <v>0</v>
      </c>
      <c r="KB34" s="57">
        <f>IF(OR(AND(JP$6=1,$L34=0),AND(JP$6=2,$K34=2,$G34=1)),0,IF(AND(JR$9=2,(OR($F34&gt;1,$K34=1,AND($L34=80,OR($N34=1,AND($N34=2,'#BerechnungDBE'!$AL25&gt;0)))))),IF(JP$4&gt;=$AD$126,0,JZ34),IF(JR$9=3,IF(OR(JP$4&gt;=$AD$127,AND($G34=1,$J34=2,JP$6=2),AND(JP$6=1,$N34&lt;&gt;1)),0,IF(JT34&lt;=120,JZ34,IF(JP$4&lt;$AD$124,IF($F34=1,60/JR$4*JR$6,60/JR$4*JR$7),IF($F34=1,120/JR$4*JR$6,120/JR$4*JR$7)))),IF(OR($F34=3,$G34=2),IF(OR(AND(JP$4&gt;=$AD$119,$C34=2),AND(JP$4&gt;=$AF$119,$C34=1)),0,IF(JT34&lt;=60,JZ34,60/JR$4*JR$7)),IF(AND($F34=2,$G34=1),JZ34,0)))))</f>
        <v>0</v>
      </c>
      <c r="KC34" s="57" t="str">
        <f t="shared" si="112"/>
        <v/>
      </c>
      <c r="KD34" s="57" t="str">
        <f t="shared" si="113"/>
        <v/>
      </c>
      <c r="KE34" s="713">
        <f>'org. Düngung 22'!CB33</f>
        <v>0</v>
      </c>
      <c r="KF34" s="57"/>
      <c r="KG34" s="57"/>
      <c r="KH34" s="57">
        <f t="shared" si="114"/>
        <v>0</v>
      </c>
      <c r="KI34" s="57">
        <f t="shared" si="283"/>
        <v>0</v>
      </c>
      <c r="KJ34" s="57">
        <f t="shared" si="284"/>
        <v>0</v>
      </c>
      <c r="KK34" s="57">
        <f t="shared" si="285"/>
        <v>0</v>
      </c>
      <c r="KL34" s="57">
        <f t="shared" si="286"/>
        <v>0</v>
      </c>
      <c r="KM34" s="1029">
        <f t="shared" si="115"/>
        <v>0</v>
      </c>
      <c r="KN34" s="57">
        <f t="shared" si="116"/>
        <v>0</v>
      </c>
      <c r="KO34" s="171" t="str">
        <f t="shared" si="117"/>
        <v/>
      </c>
      <c r="KP34" s="57">
        <f t="shared" si="287"/>
        <v>0</v>
      </c>
      <c r="KQ34" s="57">
        <f>IF(OR(AND(KE$6=1,$L34=0),AND(KE$6=2,$K34=2,$G34=1)),0,IF(AND(KG$9=2,(OR($F34&gt;1,$K34=1,AND($L34=80,OR($N34=1,AND($N34=2,'#BerechnungDBE'!$AL25&gt;0)))))),IF(KE$4&gt;=$AD$126,0,KO34),IF(KG$9=3,IF(OR(KE$4&gt;=$AD$127,AND($G34=1,$J34=2,KE$6=2),AND(KE$6=1,$N34&lt;&gt;1)),0,IF(KI34&lt;=120,KO34,IF(KE$4&lt;$AD$124,IF($F34=1,60/KG$4*KG$6,60/KG$4*KG$7),IF($F34=1,120/KG$4*KG$6,120/KG$4*KG$7)))),IF(OR($F34=3,$G34=2),IF(OR(AND(KE$4&gt;=$AD$119,$C34=2),AND(KE$4&gt;=$AF$119,$C34=1)),0,IF(KI34&lt;=60,KO34,60/KG$4*KG$7)),IF(AND($F34=2,$G34=1),KO34,0)))))</f>
        <v>0</v>
      </c>
      <c r="KR34" s="57" t="str">
        <f t="shared" si="118"/>
        <v/>
      </c>
      <c r="KS34" s="57" t="str">
        <f t="shared" si="119"/>
        <v/>
      </c>
      <c r="KT34" s="713">
        <f>'org. Düngung 22'!CF33</f>
        <v>0</v>
      </c>
      <c r="KU34" s="57"/>
      <c r="KV34" s="57"/>
      <c r="KW34" s="57">
        <f t="shared" si="120"/>
        <v>0</v>
      </c>
      <c r="KX34" s="57">
        <f t="shared" si="288"/>
        <v>0</v>
      </c>
      <c r="KY34" s="57">
        <f t="shared" si="289"/>
        <v>0</v>
      </c>
      <c r="KZ34" s="57">
        <f t="shared" si="290"/>
        <v>0</v>
      </c>
      <c r="LA34" s="57">
        <f t="shared" si="291"/>
        <v>0</v>
      </c>
      <c r="LB34" s="1029">
        <f t="shared" si="121"/>
        <v>0</v>
      </c>
      <c r="LC34" s="57">
        <f t="shared" si="122"/>
        <v>0</v>
      </c>
      <c r="LD34" s="171" t="str">
        <f t="shared" si="123"/>
        <v/>
      </c>
      <c r="LE34" s="57">
        <f t="shared" si="292"/>
        <v>0</v>
      </c>
      <c r="LF34" s="57">
        <f>IF(OR(AND(KT$6=1,$L34=0),AND(KT$6=2,$K34=2,$G34=1)),0,IF(AND(KV$9=2,(OR($F34&gt;1,$K34=1,AND($L34=80,OR($N34=1,AND($N34=2,'#BerechnungDBE'!$AL25&gt;0)))))),IF(KT$4&gt;=$AD$126,0,LD34),IF(KV$9=3,IF(OR(KT$4&gt;=$AD$127,AND($G34=1,$J34=2,KT$6=2),AND(KT$6=1,$N34&lt;&gt;1)),0,IF(KX34&lt;=120,LD34,IF(KT$4&lt;$AD$124,IF($F34=1,60/KV$4*KV$6,60/KV$4*KV$7),IF($F34=1,120/KV$4*KV$6,120/KV$4*KV$7)))),IF(OR($F34=3,$G34=2),IF(OR(AND(KT$4&gt;=$AD$119,$C34=2),AND(KT$4&gt;=$AF$119,$C34=1)),0,IF(KX34&lt;=60,LD34,60/KV$4*KV$7)),IF(AND($F34=2,$G34=1),LD34,0)))))</f>
        <v>0</v>
      </c>
      <c r="LG34" s="57" t="str">
        <f t="shared" si="124"/>
        <v/>
      </c>
      <c r="LH34" s="57" t="str">
        <f t="shared" si="125"/>
        <v/>
      </c>
      <c r="LI34" s="713">
        <f>'org. Düngung 22'!CJ33</f>
        <v>0</v>
      </c>
      <c r="LJ34" s="57"/>
      <c r="LK34" s="57"/>
      <c r="LL34" s="57">
        <f t="shared" si="126"/>
        <v>0</v>
      </c>
      <c r="LM34" s="57">
        <f t="shared" si="293"/>
        <v>0</v>
      </c>
      <c r="LN34" s="57">
        <f t="shared" si="294"/>
        <v>0</v>
      </c>
      <c r="LO34" s="57">
        <f t="shared" si="295"/>
        <v>0</v>
      </c>
      <c r="LP34" s="57">
        <f t="shared" si="296"/>
        <v>0</v>
      </c>
      <c r="LQ34" s="1029">
        <f t="shared" si="127"/>
        <v>0</v>
      </c>
      <c r="LR34" s="57">
        <f t="shared" si="128"/>
        <v>0</v>
      </c>
      <c r="LS34" s="171" t="str">
        <f t="shared" si="129"/>
        <v/>
      </c>
      <c r="LT34" s="57">
        <f t="shared" si="297"/>
        <v>0</v>
      </c>
      <c r="LU34" s="57">
        <f>IF(OR(AND(LI$6=1,$L34=0),AND(LI$6=2,$K34=2,$G34=1)),0,IF(AND(LK$9=2,(OR($F34&gt;1,$K34=1,AND($L34=80,OR($N34=1,AND($N34=2,'#BerechnungDBE'!$AL25&gt;0)))))),IF(LI$4&gt;=$AD$126,0,LS34),IF(LK$9=3,IF(OR(LI$4&gt;=$AD$127,AND($G34=1,$J34=2,LI$6=2),AND(LI$6=1,$N34&lt;&gt;1)),0,IF(LM34&lt;=120,LS34,IF(LI$4&lt;$AD$124,IF($F34=1,60/LK$4*LK$6,60/LK$4*LK$7),IF($F34=1,120/LK$4*LK$6,120/LK$4*LK$7)))),IF(OR($F34=3,$G34=2),IF(OR(AND(LI$4&gt;=$AD$119,$C34=2),AND(LI$4&gt;=$AF$119,$C34=1)),0,IF(LM34&lt;=60,LS34,60/LK$4*LK$7)),IF(AND($F34=2,$G34=1),LS34,0)))))</f>
        <v>0</v>
      </c>
      <c r="LV34" s="57" t="str">
        <f t="shared" si="130"/>
        <v/>
      </c>
      <c r="LW34" s="57" t="str">
        <f t="shared" si="131"/>
        <v/>
      </c>
      <c r="LX34" s="713">
        <f>'org. Düngung 22'!CN33</f>
        <v>0</v>
      </c>
      <c r="LY34" s="57"/>
      <c r="LZ34" s="57"/>
      <c r="MA34" s="57">
        <f t="shared" si="132"/>
        <v>0</v>
      </c>
      <c r="MB34" s="57">
        <f t="shared" si="298"/>
        <v>0</v>
      </c>
      <c r="MC34" s="57">
        <f t="shared" si="299"/>
        <v>0</v>
      </c>
      <c r="MD34" s="57">
        <f t="shared" si="300"/>
        <v>0</v>
      </c>
      <c r="ME34" s="57">
        <f t="shared" si="301"/>
        <v>0</v>
      </c>
      <c r="MF34" s="1029">
        <f t="shared" si="133"/>
        <v>0</v>
      </c>
      <c r="MG34" s="57">
        <f t="shared" si="134"/>
        <v>0</v>
      </c>
      <c r="MH34" s="171" t="str">
        <f t="shared" si="135"/>
        <v/>
      </c>
      <c r="MI34" s="57">
        <f t="shared" si="302"/>
        <v>0</v>
      </c>
      <c r="MJ34" s="57">
        <f>IF(OR(AND(LX$6=1,$L34=0),AND(LX$6=2,$K34=2,$G34=1)),0,IF(AND(LZ$9=2,(OR($F34&gt;1,$K34=1,AND($L34=80,OR($N34=1,AND($N34=2,'#BerechnungDBE'!$AL25&gt;0)))))),IF(LX$4&gt;=$AD$126,0,MH34),IF(LZ$9=3,IF(OR(LX$4&gt;=$AD$127,AND($G34=1,$J34=2,LX$6=2),AND(LX$6=1,$N34&lt;&gt;1)),0,IF(MB34&lt;=120,MH34,IF(LX$4&lt;$AD$124,IF($F34=1,60/LZ$4*LZ$6,60/LZ$4*LZ$7),IF($F34=1,120/LZ$4*LZ$6,120/LZ$4*LZ$7)))),IF(OR($F34=3,$G34=2),IF(OR(AND(LX$4&gt;=$AD$119,$C34=2),AND(LX$4&gt;=$AF$119,$C34=1)),0,IF(MB34&lt;=60,MH34,60/LZ$4*LZ$7)),IF(AND($F34=2,$G34=1),MH34,0)))))</f>
        <v>0</v>
      </c>
      <c r="MK34" s="57" t="str">
        <f t="shared" si="136"/>
        <v/>
      </c>
      <c r="ML34" s="57" t="str">
        <f t="shared" si="137"/>
        <v/>
      </c>
      <c r="MM34" s="713">
        <f>'org. Düngung 22'!CR33</f>
        <v>0</v>
      </c>
      <c r="MN34" s="57"/>
      <c r="MO34" s="57"/>
      <c r="MP34" s="57">
        <f t="shared" si="138"/>
        <v>0</v>
      </c>
      <c r="MQ34" s="57">
        <f t="shared" si="303"/>
        <v>0</v>
      </c>
      <c r="MR34" s="57">
        <f t="shared" si="304"/>
        <v>0</v>
      </c>
      <c r="MS34" s="57">
        <f t="shared" si="305"/>
        <v>0</v>
      </c>
      <c r="MT34" s="57">
        <f t="shared" si="306"/>
        <v>0</v>
      </c>
      <c r="MU34" s="1029">
        <f t="shared" si="139"/>
        <v>0</v>
      </c>
      <c r="MV34" s="57">
        <f t="shared" si="140"/>
        <v>0</v>
      </c>
      <c r="MW34" s="171" t="str">
        <f t="shared" si="141"/>
        <v/>
      </c>
      <c r="MX34" s="57">
        <f t="shared" si="307"/>
        <v>0</v>
      </c>
      <c r="MY34" s="57">
        <f>IF(OR(AND(MM$6=1,$L34=0),AND(MM$6=2,$K34=2,$G34=1)),0,IF(AND(MO$9=2,(OR($F34&gt;1,$K34=1,AND($L34=80,OR($N34=1,AND($N34=2,'#BerechnungDBE'!$AL25&gt;0)))))),IF(MM$4&gt;=$AD$126,0,MW34),IF(MO$9=3,IF(OR(MM$4&gt;=$AD$127,AND($G34=1,$J34=2,MM$6=2),AND(MM$6=1,$N34&lt;&gt;1)),0,IF(MQ34&lt;=120,MW34,IF(MM$4&lt;$AD$124,IF($F34=1,60/MO$4*MO$6,60/MO$4*MO$7),IF($F34=1,120/MO$4*MO$6,120/MO$4*MO$7)))),IF(OR($F34=3,$G34=2),IF(OR(AND(MM$4&gt;=$AD$119,$C34=2),AND(MM$4&gt;=$AF$119,$C34=1)),0,IF(MQ34&lt;=60,MW34,60/MO$4*MO$7)),IF(AND($F34=2,$G34=1),MW34,0)))))</f>
        <v>0</v>
      </c>
      <c r="MZ34" s="57" t="str">
        <f t="shared" si="142"/>
        <v/>
      </c>
      <c r="NA34" s="57" t="str">
        <f t="shared" si="143"/>
        <v/>
      </c>
      <c r="NB34" s="713">
        <f>'org. Düngung 22'!CV33</f>
        <v>0</v>
      </c>
      <c r="NC34" s="57"/>
      <c r="ND34" s="57"/>
      <c r="NE34" s="57">
        <f t="shared" si="144"/>
        <v>0</v>
      </c>
      <c r="NF34" s="57">
        <f t="shared" si="308"/>
        <v>0</v>
      </c>
      <c r="NG34" s="57">
        <f t="shared" si="309"/>
        <v>0</v>
      </c>
      <c r="NH34" s="57">
        <f t="shared" si="310"/>
        <v>0</v>
      </c>
      <c r="NI34" s="57">
        <f t="shared" si="311"/>
        <v>0</v>
      </c>
      <c r="NJ34" s="1029">
        <f t="shared" si="145"/>
        <v>0</v>
      </c>
      <c r="NK34" s="57">
        <f t="shared" si="146"/>
        <v>0</v>
      </c>
      <c r="NL34" s="171" t="str">
        <f t="shared" si="147"/>
        <v/>
      </c>
      <c r="NM34" s="57">
        <f t="shared" si="312"/>
        <v>0</v>
      </c>
      <c r="NN34" s="57">
        <f>IF(OR(AND(NB$6=1,$L34=0),AND(NB$6=2,$K34=2,$G34=1)),0,IF(AND(ND$9=2,(OR($F34&gt;1,$K34=1,AND($L34=80,OR($N34=1,AND($N34=2,'#BerechnungDBE'!$AL25&gt;0)))))),IF(NB$4&gt;=$AD$126,0,NL34),IF(ND$9=3,IF(OR(NB$4&gt;=$AD$127,AND($G34=1,$J34=2,NB$6=2),AND(NB$6=1,$N34&lt;&gt;1)),0,IF(NF34&lt;=120,NL34,IF(NB$4&lt;$AD$124,IF($F34=1,60/ND$4*ND$6,60/ND$4*ND$7),IF($F34=1,120/ND$4*ND$6,120/ND$4*ND$7)))),IF(OR($F34=3,$G34=2),IF(OR(AND(NB$4&gt;=$AD$119,$C34=2),AND(NB$4&gt;=$AF$119,$C34=1)),0,IF(NF34&lt;=60,NL34,60/ND$4*ND$7)),IF(AND($F34=2,$G34=1),NL34,0)))))</f>
        <v>0</v>
      </c>
      <c r="NO34" s="57" t="str">
        <f t="shared" si="148"/>
        <v/>
      </c>
      <c r="NP34" s="57" t="str">
        <f t="shared" si="149"/>
        <v/>
      </c>
      <c r="NQ34" s="713">
        <f>'org. Düngung 22'!CZ33</f>
        <v>0</v>
      </c>
      <c r="NR34" s="57"/>
      <c r="NS34" s="57"/>
      <c r="NT34" s="57">
        <f t="shared" si="150"/>
        <v>0</v>
      </c>
      <c r="NU34" s="57">
        <f t="shared" si="313"/>
        <v>0</v>
      </c>
      <c r="NV34" s="57">
        <f t="shared" si="314"/>
        <v>0</v>
      </c>
      <c r="NW34" s="57">
        <f t="shared" si="315"/>
        <v>0</v>
      </c>
      <c r="NX34" s="57">
        <f t="shared" si="316"/>
        <v>0</v>
      </c>
      <c r="NY34" s="1029">
        <f t="shared" si="151"/>
        <v>0</v>
      </c>
      <c r="NZ34" s="57">
        <f t="shared" si="152"/>
        <v>0</v>
      </c>
      <c r="OA34" s="171" t="str">
        <f t="shared" si="153"/>
        <v/>
      </c>
      <c r="OB34" s="57">
        <f t="shared" si="317"/>
        <v>0</v>
      </c>
      <c r="OC34" s="57">
        <f>IF(OR(AND(NQ$6=1,$L34=0),AND(NQ$6=2,$K34=2,$G34=1)),0,IF(AND(NS$9=2,(OR($F34&gt;1,$K34=1,AND($L34=80,OR($N34=1,AND($N34=2,'#BerechnungDBE'!$AL25&gt;0)))))),IF(NQ$4&gt;=$AD$126,0,OA34),IF(NS$9=3,IF(OR(NQ$4&gt;=$AD$127,AND($G34=1,$J34=2,NQ$6=2),AND(NQ$6=1,$N34&lt;&gt;1)),0,IF(NU34&lt;=120,OA34,IF(NQ$4&lt;$AD$124,IF($F34=1,60/NS$4*NS$6,60/NS$4*NS$7),IF($F34=1,120/NS$4*NS$6,120/NS$4*NS$7)))),IF(OR($F34=3,$G34=2),IF(OR(AND(NQ$4&gt;=$AD$119,$C34=2),AND(NQ$4&gt;=$AF$119,$C34=1)),0,IF(NU34&lt;=60,OA34,60/NS$4*NS$7)),IF(AND($F34=2,$G34=1),OA34,0)))))</f>
        <v>0</v>
      </c>
      <c r="OD34" s="57" t="str">
        <f t="shared" si="154"/>
        <v/>
      </c>
      <c r="OE34" s="57" t="str">
        <f t="shared" si="155"/>
        <v/>
      </c>
      <c r="OF34" s="713">
        <f>'org. Düngung 22'!DD33</f>
        <v>0</v>
      </c>
      <c r="OG34" s="57"/>
      <c r="OH34" s="57"/>
      <c r="OI34" s="57">
        <f t="shared" si="156"/>
        <v>0</v>
      </c>
      <c r="OJ34" s="57">
        <f t="shared" si="318"/>
        <v>0</v>
      </c>
      <c r="OK34" s="57">
        <f t="shared" si="319"/>
        <v>0</v>
      </c>
      <c r="OL34" s="57">
        <f t="shared" si="320"/>
        <v>0</v>
      </c>
      <c r="OM34" s="57">
        <f t="shared" si="321"/>
        <v>0</v>
      </c>
      <c r="ON34" s="1029">
        <f t="shared" si="157"/>
        <v>0</v>
      </c>
      <c r="OO34" s="57">
        <f t="shared" si="158"/>
        <v>0</v>
      </c>
      <c r="OP34" s="171" t="str">
        <f t="shared" si="159"/>
        <v/>
      </c>
      <c r="OQ34" s="57">
        <f t="shared" si="322"/>
        <v>0</v>
      </c>
      <c r="OR34" s="57">
        <f>IF(OR(AND(OF$6=1,$L34=0),AND(OF$6=2,$K34=2,$G34=1)),0,IF(AND(OH$9=2,(OR($F34&gt;1,$K34=1,AND($L34=80,OR($N34=1,AND($N34=2,'#BerechnungDBE'!$AL25&gt;0)))))),IF(OF$4&gt;=$AD$126,0,OP34),IF(OH$9=3,IF(OR(OF$4&gt;=$AD$127,AND($G34=1,$J34=2,OF$6=2),AND(OF$6=1,$N34&lt;&gt;1)),0,IF(OJ34&lt;=120,OP34,IF(OF$4&lt;$AD$124,IF($F34=1,60/OH$4*OH$6,60/OH$4*OH$7),IF($F34=1,120/OH$4*OH$6,120/OH$4*OH$7)))),IF(OR($F34=3,$G34=2),IF(OR(AND(OF$4&gt;=$AD$119,$C34=2),AND(OF$4&gt;=$AF$119,$C34=1)),0,IF(OJ34&lt;=60,OP34,60/OH$4*OH$7)),IF(AND($F34=2,$G34=1),OP34,0)))))</f>
        <v>0</v>
      </c>
      <c r="OS34" s="57" t="str">
        <f t="shared" si="160"/>
        <v/>
      </c>
      <c r="OT34" s="57" t="str">
        <f t="shared" si="161"/>
        <v/>
      </c>
      <c r="OU34" s="713">
        <f>'org. Düngung 22'!DH33</f>
        <v>0</v>
      </c>
      <c r="OV34" s="57"/>
      <c r="OW34" s="57"/>
      <c r="OX34" s="57">
        <f t="shared" si="162"/>
        <v>0</v>
      </c>
      <c r="OY34" s="57">
        <f t="shared" si="323"/>
        <v>0</v>
      </c>
      <c r="OZ34" s="57">
        <f t="shared" si="324"/>
        <v>0</v>
      </c>
      <c r="PA34" s="57">
        <f t="shared" si="325"/>
        <v>0</v>
      </c>
      <c r="PB34" s="57">
        <f t="shared" si="326"/>
        <v>0</v>
      </c>
      <c r="PC34" s="1029">
        <f t="shared" si="163"/>
        <v>0</v>
      </c>
      <c r="PD34" s="57">
        <f t="shared" si="164"/>
        <v>0</v>
      </c>
      <c r="PE34" s="171" t="str">
        <f t="shared" si="165"/>
        <v/>
      </c>
      <c r="PF34" s="57">
        <f t="shared" si="327"/>
        <v>0</v>
      </c>
      <c r="PG34" s="57">
        <f>IF(OR(AND(OU$6=1,$L34=0),AND(OU$6=2,$K34=2,$G34=1)),0,IF(AND(OW$9=2,(OR($F34&gt;1,$K34=1,AND($L34=80,OR($N34=1,AND($N34=2,'#BerechnungDBE'!$AL25&gt;0)))))),IF(OU$4&gt;=$AD$126,0,PE34),IF(OW$9=3,IF(OR(OU$4&gt;=$AD$127,AND($G34=1,$J34=2,OU$6=2),AND(OU$6=1,$N34&lt;&gt;1)),0,IF(OY34&lt;=120,PE34,IF(OU$4&lt;$AD$124,IF($F34=1,60/OW$4*OW$6,60/OW$4*OW$7),IF($F34=1,120/OW$4*OW$6,120/OW$4*OW$7)))),IF(OR($F34=3,$G34=2),IF(OR(AND(OU$4&gt;=$AD$119,$C34=2),AND(OU$4&gt;=$AF$119,$C34=1)),0,IF(OY34&lt;=60,PE34,60/OW$4*OW$7)),IF(AND($F34=2,$G34=1),PE34,0)))))</f>
        <v>0</v>
      </c>
      <c r="PH34" s="57" t="str">
        <f t="shared" si="166"/>
        <v/>
      </c>
      <c r="PI34" s="57" t="str">
        <f t="shared" si="167"/>
        <v/>
      </c>
      <c r="PJ34" s="713">
        <f>'org. Düngung 22'!DL33</f>
        <v>0</v>
      </c>
      <c r="PK34" s="57"/>
      <c r="PL34" s="57"/>
      <c r="PM34" s="57">
        <f t="shared" si="168"/>
        <v>0</v>
      </c>
      <c r="PN34" s="57">
        <f t="shared" si="328"/>
        <v>0</v>
      </c>
      <c r="PO34" s="57">
        <f t="shared" si="329"/>
        <v>0</v>
      </c>
      <c r="PP34" s="57">
        <f t="shared" si="330"/>
        <v>0</v>
      </c>
      <c r="PQ34" s="57">
        <f t="shared" si="331"/>
        <v>0</v>
      </c>
      <c r="PR34" s="1029">
        <f t="shared" si="169"/>
        <v>0</v>
      </c>
      <c r="PS34" s="57">
        <f t="shared" si="170"/>
        <v>0</v>
      </c>
      <c r="PT34" s="171" t="str">
        <f t="shared" si="171"/>
        <v/>
      </c>
      <c r="PU34" s="57">
        <f t="shared" si="332"/>
        <v>0</v>
      </c>
      <c r="PV34" s="57">
        <f>IF(OR(AND(PJ$6=1,$L34=0),AND(PJ$6=2,$K34=2,$G34=1)),0,IF(AND(PL$9=2,(OR($F34&gt;1,$K34=1,AND($L34=80,OR($N34=1,AND($N34=2,'#BerechnungDBE'!$AL25&gt;0)))))),IF(PJ$4&gt;=$AD$126,0,PT34),IF(PL$9=3,IF(OR(PJ$4&gt;=$AD$127,AND($G34=1,$J34=2,PJ$6=2),AND(PJ$6=1,$N34&lt;&gt;1)),0,IF(PN34&lt;=120,PT34,IF(PJ$4&lt;$AD$124,IF($F34=1,60/PL$4*PL$6,60/PL$4*PL$7),IF($F34=1,120/PL$4*PL$6,120/PL$4*PL$7)))),IF(OR($F34=3,$G34=2),IF(OR(AND(PJ$4&gt;=$AD$119,$C34=2),AND(PJ$4&gt;=$AF$119,$C34=1)),0,IF(PN34&lt;=60,PT34,60/PL$4*PL$7)),IF(AND($F34=2,$G34=1),PT34,0)))))</f>
        <v>0</v>
      </c>
      <c r="PW34" s="57" t="str">
        <f t="shared" si="172"/>
        <v/>
      </c>
      <c r="PX34" s="57" t="str">
        <f t="shared" si="173"/>
        <v/>
      </c>
      <c r="PY34" s="713">
        <f>'org. Düngung 22'!DP33</f>
        <v>0</v>
      </c>
      <c r="PZ34" s="57"/>
      <c r="QA34" s="57"/>
      <c r="QB34" s="57">
        <f t="shared" si="174"/>
        <v>0</v>
      </c>
      <c r="QC34" s="57">
        <f t="shared" si="333"/>
        <v>0</v>
      </c>
      <c r="QD34" s="57">
        <f t="shared" si="334"/>
        <v>0</v>
      </c>
      <c r="QE34" s="57">
        <f t="shared" si="335"/>
        <v>0</v>
      </c>
      <c r="QF34" s="57">
        <f t="shared" si="336"/>
        <v>0</v>
      </c>
      <c r="QG34" s="1029">
        <f t="shared" si="175"/>
        <v>0</v>
      </c>
      <c r="QH34" s="57">
        <f t="shared" si="176"/>
        <v>0</v>
      </c>
      <c r="QI34" s="171" t="str">
        <f t="shared" si="177"/>
        <v/>
      </c>
      <c r="QJ34" s="57">
        <f t="shared" si="337"/>
        <v>0</v>
      </c>
      <c r="QK34" s="57">
        <f>IF(OR(AND(PY$6=1,$L34=0),AND(PY$6=2,$K34=2,$G34=1)),0,IF(AND(QA$9=2,(OR($F34&gt;1,$K34=1,AND($L34=80,OR($N34=1,AND($N34=2,'#BerechnungDBE'!$AL25&gt;0)))))),IF(PY$4&gt;=$AD$126,0,QI34),IF(QA$9=3,IF(OR(PY$4&gt;=$AD$127,AND($G34=1,$J34=2,PY$6=2),AND(PY$6=1,$N34&lt;&gt;1)),0,IF(QC34&lt;=120,QI34,IF(PY$4&lt;$AD$124,IF($F34=1,60/QA$4*QA$6,60/QA$4*QA$7),IF($F34=1,120/QA$4*QA$6,120/QA$4*QA$7)))),IF(OR($F34=3,$G34=2),IF(OR(AND(PY$4&gt;=$AD$119,$C34=2),AND(PY$4&gt;=$AF$119,$C34=1)),0,IF(QC34&lt;=60,QI34,60/QA$4*QA$7)),IF(AND($F34=2,$G34=1),QI34,0)))))</f>
        <v>0</v>
      </c>
      <c r="QL34" s="57" t="str">
        <f t="shared" si="178"/>
        <v/>
      </c>
      <c r="QM34" s="57" t="str">
        <f t="shared" si="179"/>
        <v/>
      </c>
      <c r="QN34" s="713">
        <f>'org. Düngung 22'!DT33</f>
        <v>0</v>
      </c>
      <c r="QO34" s="57"/>
      <c r="QP34" s="57"/>
      <c r="QQ34" s="57">
        <f t="shared" si="180"/>
        <v>0</v>
      </c>
      <c r="QR34" s="57">
        <f t="shared" si="338"/>
        <v>0</v>
      </c>
      <c r="QS34" s="57">
        <f t="shared" si="339"/>
        <v>0</v>
      </c>
      <c r="QT34" s="57">
        <f t="shared" si="340"/>
        <v>0</v>
      </c>
      <c r="QU34" s="57">
        <f t="shared" si="341"/>
        <v>0</v>
      </c>
      <c r="QV34" s="1029">
        <f t="shared" si="181"/>
        <v>0</v>
      </c>
      <c r="QW34" s="57">
        <f t="shared" si="182"/>
        <v>0</v>
      </c>
      <c r="QX34" s="171" t="str">
        <f t="shared" si="183"/>
        <v/>
      </c>
      <c r="QY34" s="57">
        <f t="shared" si="342"/>
        <v>0</v>
      </c>
      <c r="QZ34" s="57">
        <f>IF(OR(AND(QN$6=1,$L34=0),AND(QN$6=2,$K34=2,$G34=1)),0,IF(AND(QP$9=2,(OR($F34&gt;1,$K34=1,AND($L34=80,OR($N34=1,AND($N34=2,'#BerechnungDBE'!$AL25&gt;0)))))),IF(QN$4&gt;=$AD$126,0,QX34),IF(QP$9=3,IF(OR(QN$4&gt;=$AD$127,AND($G34=1,$J34=2,QN$6=2),AND(QN$6=1,$N34&lt;&gt;1)),0,IF(QR34&lt;=120,QX34,IF(QN$4&lt;$AD$124,IF($F34=1,60/QP$4*QP$6,60/QP$4*QP$7),IF($F34=1,120/QP$4*QP$6,120/QP$4*QP$7)))),IF(OR($F34=3,$G34=2),IF(OR(AND(QN$4&gt;=$AD$119,$C34=2),AND(QN$4&gt;=$AF$119,$C34=1)),0,IF(QR34&lt;=60,QX34,60/QP$4*QP$7)),IF(AND($F34=2,$G34=1),QX34,0)))))</f>
        <v>0</v>
      </c>
      <c r="RA34" s="57" t="str">
        <f t="shared" si="184"/>
        <v/>
      </c>
      <c r="RB34" s="57" t="str">
        <f t="shared" si="185"/>
        <v/>
      </c>
      <c r="RC34" s="713">
        <f>'org. Düngung 22'!DX33</f>
        <v>0</v>
      </c>
      <c r="RD34" s="57"/>
      <c r="RE34" s="57"/>
      <c r="RF34" s="57">
        <f t="shared" si="186"/>
        <v>0</v>
      </c>
      <c r="RG34" s="57">
        <f t="shared" si="343"/>
        <v>0</v>
      </c>
      <c r="RH34" s="57">
        <f t="shared" si="344"/>
        <v>0</v>
      </c>
      <c r="RI34" s="57">
        <f t="shared" si="345"/>
        <v>0</v>
      </c>
      <c r="RJ34" s="57">
        <f t="shared" si="346"/>
        <v>0</v>
      </c>
      <c r="RK34" s="1029">
        <f t="shared" si="187"/>
        <v>0</v>
      </c>
      <c r="RL34" s="57">
        <f t="shared" si="188"/>
        <v>0</v>
      </c>
      <c r="RM34" s="171" t="str">
        <f t="shared" si="189"/>
        <v/>
      </c>
      <c r="RN34" s="57">
        <f t="shared" si="347"/>
        <v>0</v>
      </c>
      <c r="RO34" s="57">
        <f>IF(OR(AND(RC$6=1,$L34=0),AND(RC$6=2,$K34=2,$G34=1)),0,IF(AND(RE$9=2,(OR($F34&gt;1,$K34=1,AND($L34=80,OR($N34=1,AND($N34=2,'#BerechnungDBE'!$AL25&gt;0)))))),IF(RC$4&gt;=$AD$126,0,RM34),IF(RE$9=3,IF(OR(RC$4&gt;=$AD$127,AND($G34=1,$J34=2,RC$6=2),AND(RC$6=1,$N34&lt;&gt;1)),0,IF(RG34&lt;=120,RM34,IF(RC$4&lt;$AD$124,IF($F34=1,60/RE$4*RE$6,60/RE$4*RE$7),IF($F34=1,120/RE$4*RE$6,120/RE$4*RE$7)))),IF(OR($F34=3,$G34=2),IF(OR(AND(RC$4&gt;=$AD$119,$C34=2),AND(RC$4&gt;=$AF$119,$C34=1)),0,IF(RG34&lt;=60,RM34,60/RE$4*RE$7)),IF(AND($F34=2,$G34=1),RM34,0)))))</f>
        <v>0</v>
      </c>
      <c r="RP34" s="57" t="str">
        <f t="shared" si="190"/>
        <v/>
      </c>
      <c r="RQ34" s="57" t="str">
        <f t="shared" si="191"/>
        <v/>
      </c>
      <c r="RS34" s="57" t="str">
        <f t="shared" si="348"/>
        <v/>
      </c>
      <c r="RT34" s="57" t="str">
        <f t="shared" si="192"/>
        <v/>
      </c>
      <c r="RU34" s="57" t="str">
        <f t="shared" si="193"/>
        <v/>
      </c>
      <c r="RV34" s="57" t="str">
        <f>IF(Z34&gt;'#BerechnungDBE'!BM25,$RV$9,"")</f>
        <v/>
      </c>
      <c r="RW34" s="57" t="str">
        <f>IF(AND(L34=70,AE34&gt;'#BerechnungDBE'!CQ25),$RW$9,"")</f>
        <v/>
      </c>
      <c r="RX34" s="57" t="str">
        <f>IF(OR('org. Düngung 22'!G33="--",'org. Düngung 22'!G33&lt;=170,'org. Düngung 22'!G33=""),"",$RX$9)</f>
        <v/>
      </c>
      <c r="RY34" s="57" t="str">
        <f>IF('org. Düngung 22'!K33&gt;120,'#orgDung'!$RY$9,"")</f>
        <v/>
      </c>
      <c r="RZ34" s="57" t="str">
        <f>IF('#BerechnungDBE'!P25&lt;4,"",IF(AND('#BerechnungDBE'!BZ25&gt;0,T34&gt;0),'#orgDung'!$RZ$9,""))</f>
        <v/>
      </c>
      <c r="SA34" s="57" t="str">
        <f t="shared" si="194"/>
        <v/>
      </c>
    </row>
    <row r="35" spans="1:495" s="875" customFormat="1" x14ac:dyDescent="0.2">
      <c r="A35" s="875">
        <f>'Flächen u. Kulturen'!A31</f>
        <v>22</v>
      </c>
      <c r="B35" s="367">
        <f>'#BerechnungDBE'!L26</f>
        <v>0</v>
      </c>
      <c r="C35" s="875">
        <f>'#BerechnungDBE'!R26</f>
        <v>1</v>
      </c>
      <c r="D35" s="875">
        <f>'#BerechnungDBE'!T26</f>
        <v>2</v>
      </c>
      <c r="E35" s="875" t="str">
        <f>'Flächen u. Kulturen'!E31</f>
        <v>x</v>
      </c>
      <c r="F35" s="52">
        <f>'#BerechnungDBE'!N26</f>
        <v>1</v>
      </c>
      <c r="G35" s="52">
        <f>'#BerechnungDBE'!O26</f>
        <v>1</v>
      </c>
      <c r="H35" s="875">
        <f>IF('Flächen u. Kulturen'!P31="",0,VLOOKUP('Flächen u. Kulturen'!P31,Kulturen[[HF]:[Berechnungsgruppe]],'#Frucht'!$H$1,FALSE))</f>
        <v>0</v>
      </c>
      <c r="I35" s="875">
        <f>IF('Flächen u. Kulturen'!J31="",0,VLOOKUP('Flächen u. Kulturen'!J31,Kulturen[[HF]:[Berechnungsgruppe]],'#Frucht'!$G$1,FALSE))</f>
        <v>90</v>
      </c>
      <c r="J35" s="505">
        <f t="shared" si="195"/>
        <v>2</v>
      </c>
      <c r="K35" s="505">
        <f>IF('Flächen u. Kulturen'!P31="",0,IF(VLOOKUP('Flächen u. Kulturen'!P31,Kulturen[[HF]:[Saat Winterungen]],'#Frucht'!$P$1,FALSE)&gt;0,1,2))</f>
        <v>2</v>
      </c>
      <c r="L35" s="875">
        <f>'#BerechnungDBE'!AF26</f>
        <v>0</v>
      </c>
      <c r="M35" s="875">
        <f>IF('Flächen u. Kulturen'!L31="",0,VLOOKUP('Flächen u. Kulturen'!L31,Nebenkultur[[Nebenkultur]:[Legum. Zwischenfr.]],'#Zweitfr'!$K$1,FALSE))</f>
        <v>0</v>
      </c>
      <c r="N35" s="875">
        <f>'#BerechnungDBE'!AG26</f>
        <v>0</v>
      </c>
      <c r="P35" s="57">
        <f t="shared" si="0"/>
        <v>0</v>
      </c>
      <c r="Q35" s="57">
        <f t="shared" si="1"/>
        <v>0</v>
      </c>
      <c r="R35" s="875">
        <f t="shared" si="2"/>
        <v>0</v>
      </c>
      <c r="S35" s="938" t="str">
        <f t="shared" si="3"/>
        <v/>
      </c>
      <c r="T35" s="875">
        <f t="shared" si="4"/>
        <v>0</v>
      </c>
      <c r="U35" s="875">
        <f t="shared" si="5"/>
        <v>0</v>
      </c>
      <c r="V35" s="875">
        <f t="shared" si="6"/>
        <v>0</v>
      </c>
      <c r="W35" s="875">
        <f t="shared" si="7"/>
        <v>0</v>
      </c>
      <c r="X35" s="875">
        <f t="shared" si="8"/>
        <v>0</v>
      </c>
      <c r="Y35" s="875">
        <f t="shared" si="349"/>
        <v>0</v>
      </c>
      <c r="Z35" s="875">
        <f t="shared" si="350"/>
        <v>0</v>
      </c>
      <c r="AA35" s="910">
        <f t="shared" si="9"/>
        <v>0</v>
      </c>
      <c r="AB35" s="57">
        <f t="shared" si="351"/>
        <v>0</v>
      </c>
      <c r="AC35" s="875">
        <f t="shared" si="10"/>
        <v>0</v>
      </c>
      <c r="AD35" s="875">
        <f t="shared" si="11"/>
        <v>0</v>
      </c>
      <c r="AE35" s="875">
        <f t="shared" si="12"/>
        <v>0</v>
      </c>
      <c r="AF35" s="875">
        <f t="shared" si="352"/>
        <v>0</v>
      </c>
      <c r="AG35" s="875">
        <f>'org. Düngung 22'!J34</f>
        <v>0</v>
      </c>
      <c r="AH35" s="875">
        <f>'org. Düngung 22'!K34</f>
        <v>0</v>
      </c>
      <c r="AJ35" s="713">
        <f>'org. Düngung 22'!L34</f>
        <v>0</v>
      </c>
      <c r="AK35" s="57"/>
      <c r="AL35" s="57"/>
      <c r="AM35" s="57">
        <f t="shared" si="196"/>
        <v>0</v>
      </c>
      <c r="AN35" s="57">
        <f t="shared" si="197"/>
        <v>0</v>
      </c>
      <c r="AO35" s="57">
        <f t="shared" si="198"/>
        <v>0</v>
      </c>
      <c r="AP35" s="57">
        <f t="shared" si="199"/>
        <v>0</v>
      </c>
      <c r="AQ35" s="57">
        <f t="shared" si="200"/>
        <v>0</v>
      </c>
      <c r="AR35" s="1029">
        <f t="shared" si="14"/>
        <v>0</v>
      </c>
      <c r="AS35" s="57">
        <f t="shared" si="15"/>
        <v>0</v>
      </c>
      <c r="AT35" s="171" t="str">
        <f t="shared" si="16"/>
        <v/>
      </c>
      <c r="AU35" s="57">
        <f t="shared" si="201"/>
        <v>0</v>
      </c>
      <c r="AV35" s="57">
        <f>IF(OR(AND(AJ$6=1,$L35=0),AND(AJ$6=2,$K35=2,$G35=1)),0,IF(AND(AL$9=2,(OR($F35&gt;1,$K35=1,AND($L35=80,OR($N35=1,AND($N35=2,'#BerechnungDBE'!$AL26&gt;0)))))),IF(AJ$4&gt;=$AD$126,0,AT35),IF(AL$9=3,IF(OR(AJ$4&gt;=$AD$127,AND($G35=1,$J35=2,AJ$6=2),AND(AJ$6=1,$N35&lt;&gt;1)),0,IF(AN35&lt;=120,AT35,IF(AJ$4&lt;$AD$124,IF($F35=1,60/AL$4*AL$6,60/AL$4*AL$7),IF($F35=1,120/AL$4*AL$6,120/AL$4*AL$7)))),IF(OR($F35=3,$G35=2),IF(OR(AND(AJ$4&gt;=$AD$119,$C35=2),AND(AJ$4&gt;=$AF$119,$C35=1)),0,IF(AN35&lt;=60,AT35,60/AL$4*AL$7)),IF(AND($F35=2,$G35=1),AT35,0)))))</f>
        <v>0</v>
      </c>
      <c r="AW35" s="57" t="str">
        <f t="shared" si="202"/>
        <v/>
      </c>
      <c r="AX35" s="57" t="str">
        <f t="shared" si="17"/>
        <v/>
      </c>
      <c r="AY35" s="713">
        <f>'org. Düngung 22'!P34</f>
        <v>0</v>
      </c>
      <c r="AZ35" s="57"/>
      <c r="BA35" s="57"/>
      <c r="BB35" s="57">
        <f t="shared" si="18"/>
        <v>0</v>
      </c>
      <c r="BC35" s="57">
        <f t="shared" si="203"/>
        <v>0</v>
      </c>
      <c r="BD35" s="57">
        <f t="shared" si="204"/>
        <v>0</v>
      </c>
      <c r="BE35" s="57">
        <f t="shared" si="205"/>
        <v>0</v>
      </c>
      <c r="BF35" s="57">
        <f t="shared" si="206"/>
        <v>0</v>
      </c>
      <c r="BG35" s="1029">
        <f t="shared" si="19"/>
        <v>0</v>
      </c>
      <c r="BH35" s="57">
        <f t="shared" si="20"/>
        <v>0</v>
      </c>
      <c r="BI35" s="171" t="str">
        <f t="shared" si="21"/>
        <v/>
      </c>
      <c r="BJ35" s="57">
        <f t="shared" si="207"/>
        <v>0</v>
      </c>
      <c r="BK35" s="57">
        <f>IF(OR(AND(AY$6=1,$L35=0),AND(AY$6=2,$K35=2,$G35=1)),0,IF(AND(BA$9=2,(OR($F35&gt;1,$K35=1,AND($L35=80,OR($N35=1,AND($N35=2,'#BerechnungDBE'!$AL26&gt;0)))))),IF(AY$4&gt;=$AD$126,0,BI35),IF(BA$9=3,IF(OR(AY$4&gt;=$AD$127,AND($G35=1,$J35=2,AY$6=2),AND(AY$6=1,$N35&lt;&gt;1)),0,IF(BC35&lt;=120,BI35,IF(AY$4&lt;$AD$124,IF($F35=1,60/BA$4*BA$6,60/BA$4*BA$7),IF($F35=1,120/BA$4*BA$6,120/BA$4*BA$7)))),IF(OR($F35=3,$G35=2),IF(OR(AND(AY$4&gt;=$AD$119,$C35=2),AND(AY$4&gt;=$AF$119,$C35=1)),0,IF(BC35&lt;=60,BI35,60/BA$4*BA$7)),IF(AND($F35=2,$G35=1),BI35,0)))))</f>
        <v>0</v>
      </c>
      <c r="BL35" s="57" t="str">
        <f t="shared" si="22"/>
        <v/>
      </c>
      <c r="BM35" s="57" t="str">
        <f t="shared" si="23"/>
        <v/>
      </c>
      <c r="BN35" s="713">
        <f>'org. Düngung 22'!T34</f>
        <v>0</v>
      </c>
      <c r="BO35" s="57"/>
      <c r="BP35" s="57"/>
      <c r="BQ35" s="57">
        <f t="shared" si="24"/>
        <v>0</v>
      </c>
      <c r="BR35" s="57">
        <f t="shared" si="208"/>
        <v>0</v>
      </c>
      <c r="BS35" s="57">
        <f t="shared" si="209"/>
        <v>0</v>
      </c>
      <c r="BT35" s="57">
        <f t="shared" si="210"/>
        <v>0</v>
      </c>
      <c r="BU35" s="57">
        <f t="shared" si="211"/>
        <v>0</v>
      </c>
      <c r="BV35" s="1029">
        <f t="shared" si="25"/>
        <v>0</v>
      </c>
      <c r="BW35" s="57">
        <f t="shared" si="26"/>
        <v>0</v>
      </c>
      <c r="BX35" s="171" t="str">
        <f t="shared" si="27"/>
        <v/>
      </c>
      <c r="BY35" s="57">
        <f t="shared" si="212"/>
        <v>0</v>
      </c>
      <c r="BZ35" s="57">
        <f>IF(OR(AND(BN$6=1,$L35=0),AND(BN$6=2,$K35=2,$G35=1)),0,IF(AND(BP$9=2,(OR($F35&gt;1,$K35=1,AND($L35=80,OR($N35=1,AND($N35=2,'#BerechnungDBE'!$AL26&gt;0)))))),IF(BN$4&gt;=$AD$126,0,BX35),IF(BP$9=3,IF(OR(BN$4&gt;=$AD$127,AND($G35=1,$J35=2,BN$6=2),AND(BN$6=1,$N35&lt;&gt;1)),0,IF(BR35&lt;=120,BX35,IF(BN$4&lt;$AD$124,IF($F35=1,60/BP$4*BP$6,60/BP$4*BP$7),IF($F35=1,120/BP$4*BP$6,120/BP$4*BP$7)))),IF(OR($F35=3,$G35=2),IF(OR(AND(BN$4&gt;=$AD$119,$C35=2),AND(BN$4&gt;=$AF$119,$C35=1)),0,IF(BR35&lt;=60,BX35,60/BP$4*BP$7)),IF(AND($F35=2,$G35=1),BX35,0)))))</f>
        <v>0</v>
      </c>
      <c r="CA35" s="57" t="str">
        <f t="shared" si="28"/>
        <v/>
      </c>
      <c r="CB35" s="57" t="str">
        <f t="shared" si="29"/>
        <v/>
      </c>
      <c r="CC35" s="713">
        <f>'org. Düngung 22'!X34</f>
        <v>0</v>
      </c>
      <c r="CD35" s="57"/>
      <c r="CE35" s="57"/>
      <c r="CF35" s="57">
        <f t="shared" si="30"/>
        <v>0</v>
      </c>
      <c r="CG35" s="57">
        <f t="shared" si="213"/>
        <v>0</v>
      </c>
      <c r="CH35" s="57">
        <f t="shared" si="214"/>
        <v>0</v>
      </c>
      <c r="CI35" s="57">
        <f t="shared" si="215"/>
        <v>0</v>
      </c>
      <c r="CJ35" s="57">
        <f t="shared" si="216"/>
        <v>0</v>
      </c>
      <c r="CK35" s="1029">
        <f t="shared" si="31"/>
        <v>0</v>
      </c>
      <c r="CL35" s="57">
        <f t="shared" si="32"/>
        <v>0</v>
      </c>
      <c r="CM35" s="171" t="str">
        <f t="shared" si="33"/>
        <v/>
      </c>
      <c r="CN35" s="57">
        <f t="shared" si="217"/>
        <v>0</v>
      </c>
      <c r="CO35" s="57">
        <f>IF(OR(AND(CC$6=1,$L35=0),AND(CC$6=2,$K35=2,$G35=1)),0,IF(AND(CE$9=2,(OR($F35&gt;1,$K35=1,AND($L35=80,OR($N35=1,AND($N35=2,'#BerechnungDBE'!$AL26&gt;0)))))),IF(CC$4&gt;=$AD$126,0,CM35),IF(CE$9=3,IF(OR(CC$4&gt;=$AD$127,AND($G35=1,$J35=2,CC$6=2),AND(CC$6=1,$N35&lt;&gt;1)),0,IF(CG35&lt;=120,CM35,IF(CC$4&lt;$AD$124,IF($F35=1,60/CE$4*CE$6,60/CE$4*CE$7),IF($F35=1,120/CE$4*CE$6,120/CE$4*CE$7)))),IF(OR($F35=3,$G35=2),IF(OR(AND(CC$4&gt;=$AD$119,$C35=2),AND(CC$4&gt;=$AF$119,$C35=1)),0,IF(CG35&lt;=60,CM35,60/CE$4*CE$7)),IF(AND($F35=2,$G35=1),CM35,0)))))</f>
        <v>0</v>
      </c>
      <c r="CP35" s="57" t="str">
        <f t="shared" si="34"/>
        <v/>
      </c>
      <c r="CQ35" s="57" t="str">
        <f t="shared" si="35"/>
        <v/>
      </c>
      <c r="CR35" s="713">
        <f>'org. Düngung 22'!AB34</f>
        <v>0</v>
      </c>
      <c r="CS35" s="57"/>
      <c r="CT35" s="57"/>
      <c r="CU35" s="57">
        <f t="shared" si="36"/>
        <v>0</v>
      </c>
      <c r="CV35" s="57">
        <f t="shared" si="218"/>
        <v>0</v>
      </c>
      <c r="CW35" s="57">
        <f t="shared" si="219"/>
        <v>0</v>
      </c>
      <c r="CX35" s="57">
        <f t="shared" si="220"/>
        <v>0</v>
      </c>
      <c r="CY35" s="57">
        <f t="shared" si="221"/>
        <v>0</v>
      </c>
      <c r="CZ35" s="1029">
        <f t="shared" si="37"/>
        <v>0</v>
      </c>
      <c r="DA35" s="57">
        <f t="shared" si="38"/>
        <v>0</v>
      </c>
      <c r="DB35" s="171" t="str">
        <f t="shared" si="39"/>
        <v/>
      </c>
      <c r="DC35" s="57">
        <f t="shared" si="222"/>
        <v>0</v>
      </c>
      <c r="DD35" s="57">
        <f>IF(OR(AND(CR$6=1,$L35=0),AND(CR$6=2,$K35=2,$G35=1)),0,IF(AND(CT$9=2,(OR($F35&gt;1,$K35=1,AND($L35=80,OR($N35=1,AND($N35=2,'#BerechnungDBE'!$AL26&gt;0)))))),IF(CR$4&gt;=$AD$126,0,DB35),IF(CT$9=3,IF(OR(CR$4&gt;=$AD$127,AND($G35=1,$J35=2,CR$6=2),AND(CR$6=1,$N35&lt;&gt;1)),0,IF(CV35&lt;=120,DB35,IF(CR$4&lt;$AD$124,IF($F35=1,60/CT$4*CT$6,60/CT$4*CT$7),IF($F35=1,120/CT$4*CT$6,120/CT$4*CT$7)))),IF(OR($F35=3,$G35=2),IF(OR(AND(CR$4&gt;=$AD$119,$C35=2),AND(CR$4&gt;=$AF$119,$C35=1)),0,IF(CV35&lt;=60,DB35,60/CT$4*CT$7)),IF(AND($F35=2,$G35=1),DB35,0)))))</f>
        <v>0</v>
      </c>
      <c r="DE35" s="57" t="str">
        <f t="shared" si="40"/>
        <v/>
      </c>
      <c r="DF35" s="57" t="str">
        <f t="shared" si="41"/>
        <v/>
      </c>
      <c r="DG35" s="713">
        <f>'org. Düngung 22'!AF34</f>
        <v>0</v>
      </c>
      <c r="DH35" s="57"/>
      <c r="DI35" s="57"/>
      <c r="DJ35" s="57">
        <f t="shared" si="42"/>
        <v>0</v>
      </c>
      <c r="DK35" s="57">
        <f t="shared" si="223"/>
        <v>0</v>
      </c>
      <c r="DL35" s="57">
        <f t="shared" si="224"/>
        <v>0</v>
      </c>
      <c r="DM35" s="57">
        <f t="shared" si="225"/>
        <v>0</v>
      </c>
      <c r="DN35" s="57">
        <f t="shared" si="226"/>
        <v>0</v>
      </c>
      <c r="DO35" s="1029">
        <f t="shared" si="43"/>
        <v>0</v>
      </c>
      <c r="DP35" s="57">
        <f t="shared" si="44"/>
        <v>0</v>
      </c>
      <c r="DQ35" s="171" t="str">
        <f t="shared" si="45"/>
        <v/>
      </c>
      <c r="DR35" s="57">
        <f t="shared" si="227"/>
        <v>0</v>
      </c>
      <c r="DS35" s="57">
        <f>IF(OR(AND(DG$6=1,$L35=0),AND(DG$6=2,$K35=2,$G35=1)),0,IF(AND(DI$9=2,(OR($F35&gt;1,$K35=1,AND($L35=80,OR($N35=1,AND($N35=2,'#BerechnungDBE'!$AL26&gt;0)))))),IF(DG$4&gt;=$AD$126,0,DQ35),IF(DI$9=3,IF(OR(DG$4&gt;=$AD$127,AND($G35=1,$J35=2,DG$6=2),AND(DG$6=1,$N35&lt;&gt;1)),0,IF(DK35&lt;=120,DQ35,IF(DG$4&lt;$AD$124,IF($F35=1,60/DI$4*DI$6,60/DI$4*DI$7),IF($F35=1,120/DI$4*DI$6,120/DI$4*DI$7)))),IF(OR($F35=3,$G35=2),IF(OR(AND(DG$4&gt;=$AD$119,$C35=2),AND(DG$4&gt;=$AF$119,$C35=1)),0,IF(DK35&lt;=60,DQ35,60/DI$4*DI$7)),IF(AND($F35=2,$G35=1),DQ35,0)))))</f>
        <v>0</v>
      </c>
      <c r="DT35" s="57" t="str">
        <f t="shared" si="46"/>
        <v/>
      </c>
      <c r="DU35" s="57" t="str">
        <f t="shared" si="47"/>
        <v/>
      </c>
      <c r="DV35" s="713">
        <f>'org. Düngung 22'!AJ34</f>
        <v>0</v>
      </c>
      <c r="DW35" s="57"/>
      <c r="DX35" s="57"/>
      <c r="DY35" s="57">
        <f t="shared" si="48"/>
        <v>0</v>
      </c>
      <c r="DZ35" s="57">
        <f t="shared" si="228"/>
        <v>0</v>
      </c>
      <c r="EA35" s="57">
        <f t="shared" si="229"/>
        <v>0</v>
      </c>
      <c r="EB35" s="57">
        <f t="shared" si="230"/>
        <v>0</v>
      </c>
      <c r="EC35" s="57">
        <f t="shared" si="231"/>
        <v>0</v>
      </c>
      <c r="ED35" s="1029">
        <f t="shared" si="49"/>
        <v>0</v>
      </c>
      <c r="EE35" s="57">
        <f t="shared" si="50"/>
        <v>0</v>
      </c>
      <c r="EF35" s="171" t="str">
        <f t="shared" si="51"/>
        <v/>
      </c>
      <c r="EG35" s="57">
        <f t="shared" si="232"/>
        <v>0</v>
      </c>
      <c r="EH35" s="57">
        <f>IF(OR(AND(DV$6=1,$L35=0),AND(DV$6=2,$K35=2,$G35=1)),0,IF(AND(DX$9=2,(OR($F35&gt;1,$K35=1,AND($L35=80,OR($N35=1,AND($N35=2,'#BerechnungDBE'!$AL26&gt;0)))))),IF(DV$4&gt;=$AD$126,0,EF35),IF(DX$9=3,IF(OR(DV$4&gt;=$AD$127,AND($G35=1,$J35=2,DV$6=2),AND(DV$6=1,$N35&lt;&gt;1)),0,IF(DZ35&lt;=120,EF35,IF(DV$4&lt;$AD$124,IF($F35=1,60/DX$4*DX$6,60/DX$4*DX$7),IF($F35=1,120/DX$4*DX$6,120/DX$4*DX$7)))),IF(OR($F35=3,$G35=2),IF(OR(AND(DV$4&gt;=$AD$119,$C35=2),AND(DV$4&gt;=$AF$119,$C35=1)),0,IF(DZ35&lt;=60,EF35,60/DX$4*DX$7)),IF(AND($F35=2,$G35=1),EF35,0)))))</f>
        <v>0</v>
      </c>
      <c r="EI35" s="57" t="str">
        <f t="shared" si="52"/>
        <v/>
      </c>
      <c r="EJ35" s="57" t="str">
        <f t="shared" si="53"/>
        <v/>
      </c>
      <c r="EK35" s="713">
        <f>'org. Düngung 22'!AN34</f>
        <v>0</v>
      </c>
      <c r="EL35" s="57"/>
      <c r="EM35" s="57"/>
      <c r="EN35" s="57">
        <f t="shared" si="54"/>
        <v>0</v>
      </c>
      <c r="EO35" s="57">
        <f t="shared" si="233"/>
        <v>0</v>
      </c>
      <c r="EP35" s="57">
        <f t="shared" si="234"/>
        <v>0</v>
      </c>
      <c r="EQ35" s="57">
        <f t="shared" si="235"/>
        <v>0</v>
      </c>
      <c r="ER35" s="57">
        <f t="shared" si="236"/>
        <v>0</v>
      </c>
      <c r="ES35" s="1029">
        <f t="shared" si="55"/>
        <v>0</v>
      </c>
      <c r="ET35" s="57">
        <f t="shared" si="56"/>
        <v>0</v>
      </c>
      <c r="EU35" s="171" t="str">
        <f t="shared" si="57"/>
        <v/>
      </c>
      <c r="EV35" s="57">
        <f t="shared" si="237"/>
        <v>0</v>
      </c>
      <c r="EW35" s="57">
        <f>IF(OR(AND(EK$6=1,$L35=0),AND(EK$6=2,$K35=2,$G35=1)),0,IF(AND(EM$9=2,(OR($F35&gt;1,$K35=1,AND($L35=80,OR($N35=1,AND($N35=2,'#BerechnungDBE'!$AL26&gt;0)))))),IF(EK$4&gt;=$AD$126,0,EU35),IF(EM$9=3,IF(OR(EK$4&gt;=$AD$127,AND($G35=1,$J35=2,EK$6=2),AND(EK$6=1,$N35&lt;&gt;1)),0,IF(EO35&lt;=120,EU35,IF(EK$4&lt;$AD$124,IF($F35=1,60/EM$4*EM$6,60/EM$4*EM$7),IF($F35=1,120/EM$4*EM$6,120/EM$4*EM$7)))),IF(OR($F35=3,$G35=2),IF(OR(AND(EK$4&gt;=$AD$119,$C35=2),AND(EK$4&gt;=$AF$119,$C35=1)),0,IF(EO35&lt;=60,EU35,60/EM$4*EM$7)),IF(AND($F35=2,$G35=1),EU35,0)))))</f>
        <v>0</v>
      </c>
      <c r="EX35" s="57" t="str">
        <f t="shared" si="58"/>
        <v/>
      </c>
      <c r="EY35" s="57" t="str">
        <f t="shared" si="59"/>
        <v/>
      </c>
      <c r="EZ35" s="713">
        <f>'org. Düngung 22'!AR34</f>
        <v>0</v>
      </c>
      <c r="FA35" s="57"/>
      <c r="FB35" s="57"/>
      <c r="FC35" s="57">
        <f t="shared" si="60"/>
        <v>0</v>
      </c>
      <c r="FD35" s="57">
        <f t="shared" si="238"/>
        <v>0</v>
      </c>
      <c r="FE35" s="57">
        <f t="shared" si="239"/>
        <v>0</v>
      </c>
      <c r="FF35" s="57">
        <f t="shared" si="240"/>
        <v>0</v>
      </c>
      <c r="FG35" s="57">
        <f t="shared" si="241"/>
        <v>0</v>
      </c>
      <c r="FH35" s="1029">
        <f t="shared" si="61"/>
        <v>0</v>
      </c>
      <c r="FI35" s="57">
        <f t="shared" si="62"/>
        <v>0</v>
      </c>
      <c r="FJ35" s="171" t="str">
        <f t="shared" si="63"/>
        <v/>
      </c>
      <c r="FK35" s="57">
        <f t="shared" si="242"/>
        <v>0</v>
      </c>
      <c r="FL35" s="57">
        <f>IF(OR(AND(EZ$6=1,$L35=0),AND(EZ$6=2,$K35=2,$G35=1)),0,IF(AND(FB$9=2,(OR($F35&gt;1,$K35=1,AND($L35=80,OR($N35=1,AND($N35=2,'#BerechnungDBE'!$AL26&gt;0)))))),IF(EZ$4&gt;=$AD$126,0,FJ35),IF(FB$9=3,IF(OR(EZ$4&gt;=$AD$127,AND($G35=1,$J35=2,EZ$6=2),AND(EZ$6=1,$N35&lt;&gt;1)),0,IF(FD35&lt;=120,FJ35,IF(EZ$4&lt;$AD$124,IF($F35=1,60/FB$4*FB$6,60/FB$4*FB$7),IF($F35=1,120/FB$4*FB$6,120/FB$4*FB$7)))),IF(OR($F35=3,$G35=2),IF(OR(AND(EZ$4&gt;=$AD$119,$C35=2),AND(EZ$4&gt;=$AF$119,$C35=1)),0,IF(FD35&lt;=60,FJ35,60/FB$4*FB$7)),IF(AND($F35=2,$G35=1),FJ35,0)))))</f>
        <v>0</v>
      </c>
      <c r="FM35" s="57" t="str">
        <f t="shared" si="64"/>
        <v/>
      </c>
      <c r="FN35" s="57" t="str">
        <f t="shared" si="65"/>
        <v/>
      </c>
      <c r="FO35" s="713">
        <f>'org. Düngung 22'!AV34</f>
        <v>0</v>
      </c>
      <c r="FP35" s="57"/>
      <c r="FQ35" s="57"/>
      <c r="FR35" s="57">
        <f t="shared" si="66"/>
        <v>0</v>
      </c>
      <c r="FS35" s="57">
        <f t="shared" si="243"/>
        <v>0</v>
      </c>
      <c r="FT35" s="57">
        <f t="shared" si="244"/>
        <v>0</v>
      </c>
      <c r="FU35" s="57">
        <f t="shared" si="245"/>
        <v>0</v>
      </c>
      <c r="FV35" s="57">
        <f t="shared" si="246"/>
        <v>0</v>
      </c>
      <c r="FW35" s="1029">
        <f t="shared" si="67"/>
        <v>0</v>
      </c>
      <c r="FX35" s="57">
        <f t="shared" si="68"/>
        <v>0</v>
      </c>
      <c r="FY35" s="171" t="str">
        <f t="shared" si="69"/>
        <v/>
      </c>
      <c r="FZ35" s="57">
        <f t="shared" si="247"/>
        <v>0</v>
      </c>
      <c r="GA35" s="57">
        <f>IF(OR(AND(FO$6=1,$L35=0),AND(FO$6=2,$K35=2,$G35=1)),0,IF(AND(FQ$9=2,(OR($F35&gt;1,$K35=1,AND($L35=80,OR($N35=1,AND($N35=2,'#BerechnungDBE'!$AL26&gt;0)))))),IF(FO$4&gt;=$AD$126,0,FY35),IF(FQ$9=3,IF(OR(FO$4&gt;=$AD$127,AND($G35=1,$J35=2,FO$6=2),AND(FO$6=1,$N35&lt;&gt;1)),0,IF(FS35&lt;=120,FY35,IF(FO$4&lt;$AD$124,IF($F35=1,60/FQ$4*FQ$6,60/FQ$4*FQ$7),IF($F35=1,120/FQ$4*FQ$6,120/FQ$4*FQ$7)))),IF(OR($F35=3,$G35=2),IF(OR(AND(FO$4&gt;=$AD$119,$C35=2),AND(FO$4&gt;=$AF$119,$C35=1)),0,IF(FS35&lt;=60,FY35,60/FQ$4*FQ$7)),IF(AND($F35=2,$G35=1),FY35,0)))))</f>
        <v>0</v>
      </c>
      <c r="GB35" s="57" t="str">
        <f t="shared" si="70"/>
        <v/>
      </c>
      <c r="GC35" s="57" t="str">
        <f t="shared" si="71"/>
        <v/>
      </c>
      <c r="GD35" s="713">
        <f>'org. Düngung 22'!AZ34</f>
        <v>0</v>
      </c>
      <c r="GE35" s="57"/>
      <c r="GF35" s="57"/>
      <c r="GG35" s="57">
        <f t="shared" si="72"/>
        <v>0</v>
      </c>
      <c r="GH35" s="57">
        <f t="shared" si="248"/>
        <v>0</v>
      </c>
      <c r="GI35" s="57">
        <f t="shared" si="249"/>
        <v>0</v>
      </c>
      <c r="GJ35" s="57">
        <f t="shared" si="250"/>
        <v>0</v>
      </c>
      <c r="GK35" s="57">
        <f t="shared" si="251"/>
        <v>0</v>
      </c>
      <c r="GL35" s="1029">
        <f t="shared" si="73"/>
        <v>0</v>
      </c>
      <c r="GM35" s="57">
        <f t="shared" si="74"/>
        <v>0</v>
      </c>
      <c r="GN35" s="171" t="str">
        <f t="shared" si="75"/>
        <v/>
      </c>
      <c r="GO35" s="57">
        <f t="shared" si="252"/>
        <v>0</v>
      </c>
      <c r="GP35" s="57">
        <f>IF(OR(AND(GD$6=1,$L35=0),AND(GD$6=2,$K35=2,$G35=1)),0,IF(AND(GF$9=2,(OR($F35&gt;1,$K35=1,AND($L35=80,OR($N35=1,AND($N35=2,'#BerechnungDBE'!$AL26&gt;0)))))),IF(GD$4&gt;=$AD$126,0,GN35),IF(GF$9=3,IF(OR(GD$4&gt;=$AD$127,AND($G35=1,$J35=2,GD$6=2),AND(GD$6=1,$N35&lt;&gt;1)),0,IF(GH35&lt;=120,GN35,IF(GD$4&lt;$AD$124,IF($F35=1,60/GF$4*GF$6,60/GF$4*GF$7),IF($F35=1,120/GF$4*GF$6,120/GF$4*GF$7)))),IF(OR($F35=3,$G35=2),IF(OR(AND(GD$4&gt;=$AD$119,$C35=2),AND(GD$4&gt;=$AF$119,$C35=1)),0,IF(GH35&lt;=60,GN35,60/GF$4*GF$7)),IF(AND($F35=2,$G35=1),GN35,0)))))</f>
        <v>0</v>
      </c>
      <c r="GQ35" s="57" t="str">
        <f t="shared" si="76"/>
        <v/>
      </c>
      <c r="GR35" s="57" t="str">
        <f t="shared" si="77"/>
        <v/>
      </c>
      <c r="GS35" s="713">
        <f>'org. Düngung 22'!BD34</f>
        <v>0</v>
      </c>
      <c r="GT35" s="57"/>
      <c r="GU35" s="57"/>
      <c r="GV35" s="57">
        <f t="shared" si="78"/>
        <v>0</v>
      </c>
      <c r="GW35" s="57">
        <f t="shared" si="253"/>
        <v>0</v>
      </c>
      <c r="GX35" s="57">
        <f t="shared" si="254"/>
        <v>0</v>
      </c>
      <c r="GY35" s="57">
        <f t="shared" si="255"/>
        <v>0</v>
      </c>
      <c r="GZ35" s="57">
        <f t="shared" si="256"/>
        <v>0</v>
      </c>
      <c r="HA35" s="1029">
        <f t="shared" si="79"/>
        <v>0</v>
      </c>
      <c r="HB35" s="57">
        <f t="shared" si="80"/>
        <v>0</v>
      </c>
      <c r="HC35" s="171" t="str">
        <f t="shared" si="81"/>
        <v/>
      </c>
      <c r="HD35" s="57">
        <f t="shared" si="257"/>
        <v>0</v>
      </c>
      <c r="HE35" s="57">
        <f>IF(OR(AND(GS$6=1,$L35=0),AND(GS$6=2,$K35=2,$G35=1)),0,IF(AND(GU$9=2,(OR($F35&gt;1,$K35=1,AND($L35=80,OR($N35=1,AND($N35=2,'#BerechnungDBE'!$AL26&gt;0)))))),IF(GS$4&gt;=$AD$126,0,HC35),IF(GU$9=3,IF(OR(GS$4&gt;=$AD$127,AND($G35=1,$J35=2,GS$6=2),AND(GS$6=1,$N35&lt;&gt;1)),0,IF(GW35&lt;=120,HC35,IF(GS$4&lt;$AD$124,IF($F35=1,60/GU$4*GU$6,60/GU$4*GU$7),IF($F35=1,120/GU$4*GU$6,120/GU$4*GU$7)))),IF(OR($F35=3,$G35=2),IF(OR(AND(GS$4&gt;=$AD$119,$C35=2),AND(GS$4&gt;=$AF$119,$C35=1)),0,IF(GW35&lt;=60,HC35,60/GU$4*GU$7)),IF(AND($F35=2,$G35=1),HC35,0)))))</f>
        <v>0</v>
      </c>
      <c r="HF35" s="57" t="str">
        <f t="shared" si="82"/>
        <v/>
      </c>
      <c r="HG35" s="57" t="str">
        <f t="shared" si="83"/>
        <v/>
      </c>
      <c r="HH35" s="713">
        <f>'org. Düngung 22'!BH34</f>
        <v>0</v>
      </c>
      <c r="HI35" s="57"/>
      <c r="HJ35" s="57"/>
      <c r="HK35" s="57">
        <f t="shared" si="84"/>
        <v>0</v>
      </c>
      <c r="HL35" s="57">
        <f t="shared" si="258"/>
        <v>0</v>
      </c>
      <c r="HM35" s="57">
        <f t="shared" si="259"/>
        <v>0</v>
      </c>
      <c r="HN35" s="57">
        <f t="shared" si="260"/>
        <v>0</v>
      </c>
      <c r="HO35" s="57">
        <f t="shared" si="261"/>
        <v>0</v>
      </c>
      <c r="HP35" s="1029">
        <f t="shared" si="85"/>
        <v>0</v>
      </c>
      <c r="HQ35" s="57">
        <f t="shared" si="86"/>
        <v>0</v>
      </c>
      <c r="HR35" s="171" t="str">
        <f t="shared" si="87"/>
        <v/>
      </c>
      <c r="HS35" s="57">
        <f t="shared" si="262"/>
        <v>0</v>
      </c>
      <c r="HT35" s="57">
        <f>IF(OR(AND(HH$6=1,$L35=0),AND(HH$6=2,$K35=2,$G35=1)),0,IF(AND(HJ$9=2,(OR($F35&gt;1,$K35=1,AND($L35=80,OR($N35=1,AND($N35=2,'#BerechnungDBE'!$AL26&gt;0)))))),IF(HH$4&gt;=$AD$126,0,HR35),IF(HJ$9=3,IF(OR(HH$4&gt;=$AD$127,AND($G35=1,$J35=2,HH$6=2),AND(HH$6=1,$N35&lt;&gt;1)),0,IF(HL35&lt;=120,HR35,IF(HH$4&lt;$AD$124,IF($F35=1,60/HJ$4*HJ$6,60/HJ$4*HJ$7),IF($F35=1,120/HJ$4*HJ$6,120/HJ$4*HJ$7)))),IF(OR($F35=3,$G35=2),IF(OR(AND(HH$4&gt;=$AD$119,$C35=2),AND(HH$4&gt;=$AF$119,$C35=1)),0,IF(HL35&lt;=60,HR35,60/HJ$4*HJ$7)),IF(AND($F35=2,$G35=1),HR35,0)))))</f>
        <v>0</v>
      </c>
      <c r="HU35" s="57" t="str">
        <f t="shared" si="88"/>
        <v/>
      </c>
      <c r="HV35" s="57" t="str">
        <f t="shared" si="89"/>
        <v/>
      </c>
      <c r="HW35" s="713">
        <f>'org. Düngung 22'!BL34</f>
        <v>0</v>
      </c>
      <c r="HX35" s="57"/>
      <c r="HY35" s="57"/>
      <c r="HZ35" s="57">
        <f t="shared" si="90"/>
        <v>0</v>
      </c>
      <c r="IA35" s="57">
        <f t="shared" si="263"/>
        <v>0</v>
      </c>
      <c r="IB35" s="57">
        <f t="shared" si="264"/>
        <v>0</v>
      </c>
      <c r="IC35" s="57">
        <f t="shared" si="265"/>
        <v>0</v>
      </c>
      <c r="ID35" s="57">
        <f t="shared" si="266"/>
        <v>0</v>
      </c>
      <c r="IE35" s="1029">
        <f t="shared" si="91"/>
        <v>0</v>
      </c>
      <c r="IF35" s="57">
        <f t="shared" si="92"/>
        <v>0</v>
      </c>
      <c r="IG35" s="171" t="str">
        <f t="shared" si="93"/>
        <v/>
      </c>
      <c r="IH35" s="57">
        <f t="shared" si="267"/>
        <v>0</v>
      </c>
      <c r="II35" s="57">
        <f>IF(OR(AND(HW$6=1,$L35=0),AND(HW$6=2,$K35=2,$G35=1)),0,IF(AND(HY$9=2,(OR($F35&gt;1,$K35=1,AND($L35=80,OR($N35=1,AND($N35=2,'#BerechnungDBE'!$AL26&gt;0)))))),IF(HW$4&gt;=$AD$126,0,IG35),IF(HY$9=3,IF(OR(HW$4&gt;=$AD$127,AND($G35=1,$J35=2,HW$6=2),AND(HW$6=1,$N35&lt;&gt;1)),0,IF(IA35&lt;=120,IG35,IF(HW$4&lt;$AD$124,IF($F35=1,60/HY$4*HY$6,60/HY$4*HY$7),IF($F35=1,120/HY$4*HY$6,120/HY$4*HY$7)))),IF(OR($F35=3,$G35=2),IF(OR(AND(HW$4&gt;=$AD$119,$C35=2),AND(HW$4&gt;=$AF$119,$C35=1)),0,IF(IA35&lt;=60,IG35,60/HY$4*HY$7)),IF(AND($F35=2,$G35=1),IG35,0)))))</f>
        <v>0</v>
      </c>
      <c r="IJ35" s="57" t="str">
        <f t="shared" si="94"/>
        <v/>
      </c>
      <c r="IK35" s="57" t="str">
        <f t="shared" si="95"/>
        <v/>
      </c>
      <c r="IL35" s="713">
        <f>'org. Düngung 22'!BP34</f>
        <v>0</v>
      </c>
      <c r="IM35" s="57"/>
      <c r="IN35" s="57"/>
      <c r="IO35" s="57">
        <f t="shared" si="96"/>
        <v>0</v>
      </c>
      <c r="IP35" s="57">
        <f t="shared" si="268"/>
        <v>0</v>
      </c>
      <c r="IQ35" s="57">
        <f t="shared" si="269"/>
        <v>0</v>
      </c>
      <c r="IR35" s="57">
        <f t="shared" si="270"/>
        <v>0</v>
      </c>
      <c r="IS35" s="57">
        <f t="shared" si="271"/>
        <v>0</v>
      </c>
      <c r="IT35" s="1029">
        <f t="shared" si="97"/>
        <v>0</v>
      </c>
      <c r="IU35" s="57">
        <f t="shared" si="98"/>
        <v>0</v>
      </c>
      <c r="IV35" s="171" t="str">
        <f t="shared" si="99"/>
        <v/>
      </c>
      <c r="IW35" s="57">
        <f t="shared" si="272"/>
        <v>0</v>
      </c>
      <c r="IX35" s="57">
        <f>IF(OR(AND(IL$6=1,$L35=0),AND(IL$6=2,$K35=2,$G35=1)),0,IF(AND(IN$9=2,(OR($F35&gt;1,$K35=1,AND($L35=80,OR($N35=1,AND($N35=2,'#BerechnungDBE'!$AL26&gt;0)))))),IF(IL$4&gt;=$AD$126,0,IV35),IF(IN$9=3,IF(OR(IL$4&gt;=$AD$127,AND($G35=1,$J35=2,IL$6=2),AND(IL$6=1,$N35&lt;&gt;1)),0,IF(IP35&lt;=120,IV35,IF(IL$4&lt;$AD$124,IF($F35=1,60/IN$4*IN$6,60/IN$4*IN$7),IF($F35=1,120/IN$4*IN$6,120/IN$4*IN$7)))),IF(OR($F35=3,$G35=2),IF(OR(AND(IL$4&gt;=$AD$119,$C35=2),AND(IL$4&gt;=$AF$119,$C35=1)),0,IF(IP35&lt;=60,IV35,60/IN$4*IN$7)),IF(AND($F35=2,$G35=1),IV35,0)))))</f>
        <v>0</v>
      </c>
      <c r="IY35" s="57" t="str">
        <f t="shared" si="100"/>
        <v/>
      </c>
      <c r="IZ35" s="57" t="str">
        <f t="shared" si="101"/>
        <v/>
      </c>
      <c r="JA35" s="713">
        <f>'org. Düngung 22'!BT34</f>
        <v>0</v>
      </c>
      <c r="JB35" s="57"/>
      <c r="JC35" s="57"/>
      <c r="JD35" s="57">
        <f t="shared" si="102"/>
        <v>0</v>
      </c>
      <c r="JE35" s="57">
        <f t="shared" si="273"/>
        <v>0</v>
      </c>
      <c r="JF35" s="57">
        <f t="shared" si="274"/>
        <v>0</v>
      </c>
      <c r="JG35" s="57">
        <f t="shared" si="275"/>
        <v>0</v>
      </c>
      <c r="JH35" s="57">
        <f t="shared" si="276"/>
        <v>0</v>
      </c>
      <c r="JI35" s="1029">
        <f t="shared" si="103"/>
        <v>0</v>
      </c>
      <c r="JJ35" s="57">
        <f t="shared" si="104"/>
        <v>0</v>
      </c>
      <c r="JK35" s="171" t="str">
        <f t="shared" si="105"/>
        <v/>
      </c>
      <c r="JL35" s="57">
        <f t="shared" si="277"/>
        <v>0</v>
      </c>
      <c r="JM35" s="57">
        <f>IF(OR(AND(JA$6=1,$L35=0),AND(JA$6=2,$K35=2,$G35=1)),0,IF(AND(JC$9=2,(OR($F35&gt;1,$K35=1,AND($L35=80,OR($N35=1,AND($N35=2,'#BerechnungDBE'!$AL26&gt;0)))))),IF(JA$4&gt;=$AD$126,0,JK35),IF(JC$9=3,IF(OR(JA$4&gt;=$AD$127,AND($G35=1,$J35=2,JA$6=2),AND(JA$6=1,$N35&lt;&gt;1)),0,IF(JE35&lt;=120,JK35,IF(JA$4&lt;$AD$124,IF($F35=1,60/JC$4*JC$6,60/JC$4*JC$7),IF($F35=1,120/JC$4*JC$6,120/JC$4*JC$7)))),IF(OR($F35=3,$G35=2),IF(OR(AND(JA$4&gt;=$AD$119,$C35=2),AND(JA$4&gt;=$AF$119,$C35=1)),0,IF(JE35&lt;=60,JK35,60/JC$4*JC$7)),IF(AND($F35=2,$G35=1),JK35,0)))))</f>
        <v>0</v>
      </c>
      <c r="JN35" s="57" t="str">
        <f t="shared" si="106"/>
        <v/>
      </c>
      <c r="JO35" s="57" t="str">
        <f t="shared" si="107"/>
        <v/>
      </c>
      <c r="JP35" s="713">
        <f>'org. Düngung 22'!BX34</f>
        <v>0</v>
      </c>
      <c r="JQ35" s="57"/>
      <c r="JR35" s="57"/>
      <c r="JS35" s="57">
        <f t="shared" si="108"/>
        <v>0</v>
      </c>
      <c r="JT35" s="57">
        <f t="shared" si="278"/>
        <v>0</v>
      </c>
      <c r="JU35" s="57">
        <f t="shared" si="279"/>
        <v>0</v>
      </c>
      <c r="JV35" s="57">
        <f t="shared" si="280"/>
        <v>0</v>
      </c>
      <c r="JW35" s="57">
        <f t="shared" si="281"/>
        <v>0</v>
      </c>
      <c r="JX35" s="1029">
        <f t="shared" si="109"/>
        <v>0</v>
      </c>
      <c r="JY35" s="57">
        <f t="shared" si="110"/>
        <v>0</v>
      </c>
      <c r="JZ35" s="171" t="str">
        <f t="shared" si="111"/>
        <v/>
      </c>
      <c r="KA35" s="57">
        <f t="shared" si="282"/>
        <v>0</v>
      </c>
      <c r="KB35" s="57">
        <f>IF(OR(AND(JP$6=1,$L35=0),AND(JP$6=2,$K35=2,$G35=1)),0,IF(AND(JR$9=2,(OR($F35&gt;1,$K35=1,AND($L35=80,OR($N35=1,AND($N35=2,'#BerechnungDBE'!$AL26&gt;0)))))),IF(JP$4&gt;=$AD$126,0,JZ35),IF(JR$9=3,IF(OR(JP$4&gt;=$AD$127,AND($G35=1,$J35=2,JP$6=2),AND(JP$6=1,$N35&lt;&gt;1)),0,IF(JT35&lt;=120,JZ35,IF(JP$4&lt;$AD$124,IF($F35=1,60/JR$4*JR$6,60/JR$4*JR$7),IF($F35=1,120/JR$4*JR$6,120/JR$4*JR$7)))),IF(OR($F35=3,$G35=2),IF(OR(AND(JP$4&gt;=$AD$119,$C35=2),AND(JP$4&gt;=$AF$119,$C35=1)),0,IF(JT35&lt;=60,JZ35,60/JR$4*JR$7)),IF(AND($F35=2,$G35=1),JZ35,0)))))</f>
        <v>0</v>
      </c>
      <c r="KC35" s="57" t="str">
        <f t="shared" si="112"/>
        <v/>
      </c>
      <c r="KD35" s="57" t="str">
        <f t="shared" si="113"/>
        <v/>
      </c>
      <c r="KE35" s="713">
        <f>'org. Düngung 22'!CB34</f>
        <v>0</v>
      </c>
      <c r="KF35" s="57"/>
      <c r="KG35" s="57"/>
      <c r="KH35" s="57">
        <f t="shared" si="114"/>
        <v>0</v>
      </c>
      <c r="KI35" s="57">
        <f t="shared" si="283"/>
        <v>0</v>
      </c>
      <c r="KJ35" s="57">
        <f t="shared" si="284"/>
        <v>0</v>
      </c>
      <c r="KK35" s="57">
        <f t="shared" si="285"/>
        <v>0</v>
      </c>
      <c r="KL35" s="57">
        <f t="shared" si="286"/>
        <v>0</v>
      </c>
      <c r="KM35" s="1029">
        <f t="shared" si="115"/>
        <v>0</v>
      </c>
      <c r="KN35" s="57">
        <f t="shared" si="116"/>
        <v>0</v>
      </c>
      <c r="KO35" s="171" t="str">
        <f t="shared" si="117"/>
        <v/>
      </c>
      <c r="KP35" s="57">
        <f t="shared" si="287"/>
        <v>0</v>
      </c>
      <c r="KQ35" s="57">
        <f>IF(OR(AND(KE$6=1,$L35=0),AND(KE$6=2,$K35=2,$G35=1)),0,IF(AND(KG$9=2,(OR($F35&gt;1,$K35=1,AND($L35=80,OR($N35=1,AND($N35=2,'#BerechnungDBE'!$AL26&gt;0)))))),IF(KE$4&gt;=$AD$126,0,KO35),IF(KG$9=3,IF(OR(KE$4&gt;=$AD$127,AND($G35=1,$J35=2,KE$6=2),AND(KE$6=1,$N35&lt;&gt;1)),0,IF(KI35&lt;=120,KO35,IF(KE$4&lt;$AD$124,IF($F35=1,60/KG$4*KG$6,60/KG$4*KG$7),IF($F35=1,120/KG$4*KG$6,120/KG$4*KG$7)))),IF(OR($F35=3,$G35=2),IF(OR(AND(KE$4&gt;=$AD$119,$C35=2),AND(KE$4&gt;=$AF$119,$C35=1)),0,IF(KI35&lt;=60,KO35,60/KG$4*KG$7)),IF(AND($F35=2,$G35=1),KO35,0)))))</f>
        <v>0</v>
      </c>
      <c r="KR35" s="57" t="str">
        <f t="shared" si="118"/>
        <v/>
      </c>
      <c r="KS35" s="57" t="str">
        <f t="shared" si="119"/>
        <v/>
      </c>
      <c r="KT35" s="713">
        <f>'org. Düngung 22'!CF34</f>
        <v>0</v>
      </c>
      <c r="KU35" s="57"/>
      <c r="KV35" s="57"/>
      <c r="KW35" s="57">
        <f t="shared" si="120"/>
        <v>0</v>
      </c>
      <c r="KX35" s="57">
        <f t="shared" si="288"/>
        <v>0</v>
      </c>
      <c r="KY35" s="57">
        <f t="shared" si="289"/>
        <v>0</v>
      </c>
      <c r="KZ35" s="57">
        <f t="shared" si="290"/>
        <v>0</v>
      </c>
      <c r="LA35" s="57">
        <f t="shared" si="291"/>
        <v>0</v>
      </c>
      <c r="LB35" s="1029">
        <f t="shared" si="121"/>
        <v>0</v>
      </c>
      <c r="LC35" s="57">
        <f t="shared" si="122"/>
        <v>0</v>
      </c>
      <c r="LD35" s="171" t="str">
        <f t="shared" si="123"/>
        <v/>
      </c>
      <c r="LE35" s="57">
        <f t="shared" si="292"/>
        <v>0</v>
      </c>
      <c r="LF35" s="57">
        <f>IF(OR(AND(KT$6=1,$L35=0),AND(KT$6=2,$K35=2,$G35=1)),0,IF(AND(KV$9=2,(OR($F35&gt;1,$K35=1,AND($L35=80,OR($N35=1,AND($N35=2,'#BerechnungDBE'!$AL26&gt;0)))))),IF(KT$4&gt;=$AD$126,0,LD35),IF(KV$9=3,IF(OR(KT$4&gt;=$AD$127,AND($G35=1,$J35=2,KT$6=2),AND(KT$6=1,$N35&lt;&gt;1)),0,IF(KX35&lt;=120,LD35,IF(KT$4&lt;$AD$124,IF($F35=1,60/KV$4*KV$6,60/KV$4*KV$7),IF($F35=1,120/KV$4*KV$6,120/KV$4*KV$7)))),IF(OR($F35=3,$G35=2),IF(OR(AND(KT$4&gt;=$AD$119,$C35=2),AND(KT$4&gt;=$AF$119,$C35=1)),0,IF(KX35&lt;=60,LD35,60/KV$4*KV$7)),IF(AND($F35=2,$G35=1),LD35,0)))))</f>
        <v>0</v>
      </c>
      <c r="LG35" s="57" t="str">
        <f t="shared" si="124"/>
        <v/>
      </c>
      <c r="LH35" s="57" t="str">
        <f t="shared" si="125"/>
        <v/>
      </c>
      <c r="LI35" s="713">
        <f>'org. Düngung 22'!CJ34</f>
        <v>0</v>
      </c>
      <c r="LJ35" s="57"/>
      <c r="LK35" s="57"/>
      <c r="LL35" s="57">
        <f t="shared" si="126"/>
        <v>0</v>
      </c>
      <c r="LM35" s="57">
        <f t="shared" si="293"/>
        <v>0</v>
      </c>
      <c r="LN35" s="57">
        <f t="shared" si="294"/>
        <v>0</v>
      </c>
      <c r="LO35" s="57">
        <f t="shared" si="295"/>
        <v>0</v>
      </c>
      <c r="LP35" s="57">
        <f t="shared" si="296"/>
        <v>0</v>
      </c>
      <c r="LQ35" s="1029">
        <f t="shared" si="127"/>
        <v>0</v>
      </c>
      <c r="LR35" s="57">
        <f t="shared" si="128"/>
        <v>0</v>
      </c>
      <c r="LS35" s="171" t="str">
        <f t="shared" si="129"/>
        <v/>
      </c>
      <c r="LT35" s="57">
        <f t="shared" si="297"/>
        <v>0</v>
      </c>
      <c r="LU35" s="57">
        <f>IF(OR(AND(LI$6=1,$L35=0),AND(LI$6=2,$K35=2,$G35=1)),0,IF(AND(LK$9=2,(OR($F35&gt;1,$K35=1,AND($L35=80,OR($N35=1,AND($N35=2,'#BerechnungDBE'!$AL26&gt;0)))))),IF(LI$4&gt;=$AD$126,0,LS35),IF(LK$9=3,IF(OR(LI$4&gt;=$AD$127,AND($G35=1,$J35=2,LI$6=2),AND(LI$6=1,$N35&lt;&gt;1)),0,IF(LM35&lt;=120,LS35,IF(LI$4&lt;$AD$124,IF($F35=1,60/LK$4*LK$6,60/LK$4*LK$7),IF($F35=1,120/LK$4*LK$6,120/LK$4*LK$7)))),IF(OR($F35=3,$G35=2),IF(OR(AND(LI$4&gt;=$AD$119,$C35=2),AND(LI$4&gt;=$AF$119,$C35=1)),0,IF(LM35&lt;=60,LS35,60/LK$4*LK$7)),IF(AND($F35=2,$G35=1),LS35,0)))))</f>
        <v>0</v>
      </c>
      <c r="LV35" s="57" t="str">
        <f t="shared" si="130"/>
        <v/>
      </c>
      <c r="LW35" s="57" t="str">
        <f t="shared" si="131"/>
        <v/>
      </c>
      <c r="LX35" s="713">
        <f>'org. Düngung 22'!CN34</f>
        <v>0</v>
      </c>
      <c r="LY35" s="57"/>
      <c r="LZ35" s="57"/>
      <c r="MA35" s="57">
        <f t="shared" si="132"/>
        <v>0</v>
      </c>
      <c r="MB35" s="57">
        <f t="shared" si="298"/>
        <v>0</v>
      </c>
      <c r="MC35" s="57">
        <f t="shared" si="299"/>
        <v>0</v>
      </c>
      <c r="MD35" s="57">
        <f t="shared" si="300"/>
        <v>0</v>
      </c>
      <c r="ME35" s="57">
        <f t="shared" si="301"/>
        <v>0</v>
      </c>
      <c r="MF35" s="1029">
        <f t="shared" si="133"/>
        <v>0</v>
      </c>
      <c r="MG35" s="57">
        <f t="shared" si="134"/>
        <v>0</v>
      </c>
      <c r="MH35" s="171" t="str">
        <f t="shared" si="135"/>
        <v/>
      </c>
      <c r="MI35" s="57">
        <f t="shared" si="302"/>
        <v>0</v>
      </c>
      <c r="MJ35" s="57">
        <f>IF(OR(AND(LX$6=1,$L35=0),AND(LX$6=2,$K35=2,$G35=1)),0,IF(AND(LZ$9=2,(OR($F35&gt;1,$K35=1,AND($L35=80,OR($N35=1,AND($N35=2,'#BerechnungDBE'!$AL26&gt;0)))))),IF(LX$4&gt;=$AD$126,0,MH35),IF(LZ$9=3,IF(OR(LX$4&gt;=$AD$127,AND($G35=1,$J35=2,LX$6=2),AND(LX$6=1,$N35&lt;&gt;1)),0,IF(MB35&lt;=120,MH35,IF(LX$4&lt;$AD$124,IF($F35=1,60/LZ$4*LZ$6,60/LZ$4*LZ$7),IF($F35=1,120/LZ$4*LZ$6,120/LZ$4*LZ$7)))),IF(OR($F35=3,$G35=2),IF(OR(AND(LX$4&gt;=$AD$119,$C35=2),AND(LX$4&gt;=$AF$119,$C35=1)),0,IF(MB35&lt;=60,MH35,60/LZ$4*LZ$7)),IF(AND($F35=2,$G35=1),MH35,0)))))</f>
        <v>0</v>
      </c>
      <c r="MK35" s="57" t="str">
        <f t="shared" si="136"/>
        <v/>
      </c>
      <c r="ML35" s="57" t="str">
        <f t="shared" si="137"/>
        <v/>
      </c>
      <c r="MM35" s="713">
        <f>'org. Düngung 22'!CR34</f>
        <v>0</v>
      </c>
      <c r="MN35" s="57"/>
      <c r="MO35" s="57"/>
      <c r="MP35" s="57">
        <f t="shared" si="138"/>
        <v>0</v>
      </c>
      <c r="MQ35" s="57">
        <f t="shared" si="303"/>
        <v>0</v>
      </c>
      <c r="MR35" s="57">
        <f t="shared" si="304"/>
        <v>0</v>
      </c>
      <c r="MS35" s="57">
        <f t="shared" si="305"/>
        <v>0</v>
      </c>
      <c r="MT35" s="57">
        <f t="shared" si="306"/>
        <v>0</v>
      </c>
      <c r="MU35" s="1029">
        <f t="shared" si="139"/>
        <v>0</v>
      </c>
      <c r="MV35" s="57">
        <f t="shared" si="140"/>
        <v>0</v>
      </c>
      <c r="MW35" s="171" t="str">
        <f t="shared" si="141"/>
        <v/>
      </c>
      <c r="MX35" s="57">
        <f t="shared" si="307"/>
        <v>0</v>
      </c>
      <c r="MY35" s="57">
        <f>IF(OR(AND(MM$6=1,$L35=0),AND(MM$6=2,$K35=2,$G35=1)),0,IF(AND(MO$9=2,(OR($F35&gt;1,$K35=1,AND($L35=80,OR($N35=1,AND($N35=2,'#BerechnungDBE'!$AL26&gt;0)))))),IF(MM$4&gt;=$AD$126,0,MW35),IF(MO$9=3,IF(OR(MM$4&gt;=$AD$127,AND($G35=1,$J35=2,MM$6=2),AND(MM$6=1,$N35&lt;&gt;1)),0,IF(MQ35&lt;=120,MW35,IF(MM$4&lt;$AD$124,IF($F35=1,60/MO$4*MO$6,60/MO$4*MO$7),IF($F35=1,120/MO$4*MO$6,120/MO$4*MO$7)))),IF(OR($F35=3,$G35=2),IF(OR(AND(MM$4&gt;=$AD$119,$C35=2),AND(MM$4&gt;=$AF$119,$C35=1)),0,IF(MQ35&lt;=60,MW35,60/MO$4*MO$7)),IF(AND($F35=2,$G35=1),MW35,0)))))</f>
        <v>0</v>
      </c>
      <c r="MZ35" s="57" t="str">
        <f t="shared" si="142"/>
        <v/>
      </c>
      <c r="NA35" s="57" t="str">
        <f t="shared" si="143"/>
        <v/>
      </c>
      <c r="NB35" s="713">
        <f>'org. Düngung 22'!CV34</f>
        <v>0</v>
      </c>
      <c r="NC35" s="57"/>
      <c r="ND35" s="57"/>
      <c r="NE35" s="57">
        <f t="shared" si="144"/>
        <v>0</v>
      </c>
      <c r="NF35" s="57">
        <f t="shared" si="308"/>
        <v>0</v>
      </c>
      <c r="NG35" s="57">
        <f t="shared" si="309"/>
        <v>0</v>
      </c>
      <c r="NH35" s="57">
        <f t="shared" si="310"/>
        <v>0</v>
      </c>
      <c r="NI35" s="57">
        <f t="shared" si="311"/>
        <v>0</v>
      </c>
      <c r="NJ35" s="1029">
        <f t="shared" si="145"/>
        <v>0</v>
      </c>
      <c r="NK35" s="57">
        <f t="shared" si="146"/>
        <v>0</v>
      </c>
      <c r="NL35" s="171" t="str">
        <f t="shared" si="147"/>
        <v/>
      </c>
      <c r="NM35" s="57">
        <f t="shared" si="312"/>
        <v>0</v>
      </c>
      <c r="NN35" s="57">
        <f>IF(OR(AND(NB$6=1,$L35=0),AND(NB$6=2,$K35=2,$G35=1)),0,IF(AND(ND$9=2,(OR($F35&gt;1,$K35=1,AND($L35=80,OR($N35=1,AND($N35=2,'#BerechnungDBE'!$AL26&gt;0)))))),IF(NB$4&gt;=$AD$126,0,NL35),IF(ND$9=3,IF(OR(NB$4&gt;=$AD$127,AND($G35=1,$J35=2,NB$6=2),AND(NB$6=1,$N35&lt;&gt;1)),0,IF(NF35&lt;=120,NL35,IF(NB$4&lt;$AD$124,IF($F35=1,60/ND$4*ND$6,60/ND$4*ND$7),IF($F35=1,120/ND$4*ND$6,120/ND$4*ND$7)))),IF(OR($F35=3,$G35=2),IF(OR(AND(NB$4&gt;=$AD$119,$C35=2),AND(NB$4&gt;=$AF$119,$C35=1)),0,IF(NF35&lt;=60,NL35,60/ND$4*ND$7)),IF(AND($F35=2,$G35=1),NL35,0)))))</f>
        <v>0</v>
      </c>
      <c r="NO35" s="57" t="str">
        <f t="shared" si="148"/>
        <v/>
      </c>
      <c r="NP35" s="57" t="str">
        <f t="shared" si="149"/>
        <v/>
      </c>
      <c r="NQ35" s="713">
        <f>'org. Düngung 22'!CZ34</f>
        <v>0</v>
      </c>
      <c r="NR35" s="57"/>
      <c r="NS35" s="57"/>
      <c r="NT35" s="57">
        <f t="shared" si="150"/>
        <v>0</v>
      </c>
      <c r="NU35" s="57">
        <f t="shared" si="313"/>
        <v>0</v>
      </c>
      <c r="NV35" s="57">
        <f t="shared" si="314"/>
        <v>0</v>
      </c>
      <c r="NW35" s="57">
        <f t="shared" si="315"/>
        <v>0</v>
      </c>
      <c r="NX35" s="57">
        <f t="shared" si="316"/>
        <v>0</v>
      </c>
      <c r="NY35" s="1029">
        <f t="shared" si="151"/>
        <v>0</v>
      </c>
      <c r="NZ35" s="57">
        <f t="shared" si="152"/>
        <v>0</v>
      </c>
      <c r="OA35" s="171" t="str">
        <f t="shared" si="153"/>
        <v/>
      </c>
      <c r="OB35" s="57">
        <f t="shared" si="317"/>
        <v>0</v>
      </c>
      <c r="OC35" s="57">
        <f>IF(OR(AND(NQ$6=1,$L35=0),AND(NQ$6=2,$K35=2,$G35=1)),0,IF(AND(NS$9=2,(OR($F35&gt;1,$K35=1,AND($L35=80,OR($N35=1,AND($N35=2,'#BerechnungDBE'!$AL26&gt;0)))))),IF(NQ$4&gt;=$AD$126,0,OA35),IF(NS$9=3,IF(OR(NQ$4&gt;=$AD$127,AND($G35=1,$J35=2,NQ$6=2),AND(NQ$6=1,$N35&lt;&gt;1)),0,IF(NU35&lt;=120,OA35,IF(NQ$4&lt;$AD$124,IF($F35=1,60/NS$4*NS$6,60/NS$4*NS$7),IF($F35=1,120/NS$4*NS$6,120/NS$4*NS$7)))),IF(OR($F35=3,$G35=2),IF(OR(AND(NQ$4&gt;=$AD$119,$C35=2),AND(NQ$4&gt;=$AF$119,$C35=1)),0,IF(NU35&lt;=60,OA35,60/NS$4*NS$7)),IF(AND($F35=2,$G35=1),OA35,0)))))</f>
        <v>0</v>
      </c>
      <c r="OD35" s="57" t="str">
        <f t="shared" si="154"/>
        <v/>
      </c>
      <c r="OE35" s="57" t="str">
        <f t="shared" si="155"/>
        <v/>
      </c>
      <c r="OF35" s="713">
        <f>'org. Düngung 22'!DD34</f>
        <v>0</v>
      </c>
      <c r="OG35" s="57"/>
      <c r="OH35" s="57"/>
      <c r="OI35" s="57">
        <f t="shared" si="156"/>
        <v>0</v>
      </c>
      <c r="OJ35" s="57">
        <f t="shared" si="318"/>
        <v>0</v>
      </c>
      <c r="OK35" s="57">
        <f t="shared" si="319"/>
        <v>0</v>
      </c>
      <c r="OL35" s="57">
        <f t="shared" si="320"/>
        <v>0</v>
      </c>
      <c r="OM35" s="57">
        <f t="shared" si="321"/>
        <v>0</v>
      </c>
      <c r="ON35" s="1029">
        <f t="shared" si="157"/>
        <v>0</v>
      </c>
      <c r="OO35" s="57">
        <f t="shared" si="158"/>
        <v>0</v>
      </c>
      <c r="OP35" s="171" t="str">
        <f t="shared" si="159"/>
        <v/>
      </c>
      <c r="OQ35" s="57">
        <f t="shared" si="322"/>
        <v>0</v>
      </c>
      <c r="OR35" s="57">
        <f>IF(OR(AND(OF$6=1,$L35=0),AND(OF$6=2,$K35=2,$G35=1)),0,IF(AND(OH$9=2,(OR($F35&gt;1,$K35=1,AND($L35=80,OR($N35=1,AND($N35=2,'#BerechnungDBE'!$AL26&gt;0)))))),IF(OF$4&gt;=$AD$126,0,OP35),IF(OH$9=3,IF(OR(OF$4&gt;=$AD$127,AND($G35=1,$J35=2,OF$6=2),AND(OF$6=1,$N35&lt;&gt;1)),0,IF(OJ35&lt;=120,OP35,IF(OF$4&lt;$AD$124,IF($F35=1,60/OH$4*OH$6,60/OH$4*OH$7),IF($F35=1,120/OH$4*OH$6,120/OH$4*OH$7)))),IF(OR($F35=3,$G35=2),IF(OR(AND(OF$4&gt;=$AD$119,$C35=2),AND(OF$4&gt;=$AF$119,$C35=1)),0,IF(OJ35&lt;=60,OP35,60/OH$4*OH$7)),IF(AND($F35=2,$G35=1),OP35,0)))))</f>
        <v>0</v>
      </c>
      <c r="OS35" s="57" t="str">
        <f t="shared" si="160"/>
        <v/>
      </c>
      <c r="OT35" s="57" t="str">
        <f t="shared" si="161"/>
        <v/>
      </c>
      <c r="OU35" s="713">
        <f>'org. Düngung 22'!DH34</f>
        <v>0</v>
      </c>
      <c r="OV35" s="57"/>
      <c r="OW35" s="57"/>
      <c r="OX35" s="57">
        <f t="shared" si="162"/>
        <v>0</v>
      </c>
      <c r="OY35" s="57">
        <f t="shared" si="323"/>
        <v>0</v>
      </c>
      <c r="OZ35" s="57">
        <f t="shared" si="324"/>
        <v>0</v>
      </c>
      <c r="PA35" s="57">
        <f t="shared" si="325"/>
        <v>0</v>
      </c>
      <c r="PB35" s="57">
        <f t="shared" si="326"/>
        <v>0</v>
      </c>
      <c r="PC35" s="1029">
        <f t="shared" si="163"/>
        <v>0</v>
      </c>
      <c r="PD35" s="57">
        <f t="shared" si="164"/>
        <v>0</v>
      </c>
      <c r="PE35" s="171" t="str">
        <f t="shared" si="165"/>
        <v/>
      </c>
      <c r="PF35" s="57">
        <f t="shared" si="327"/>
        <v>0</v>
      </c>
      <c r="PG35" s="57">
        <f>IF(OR(AND(OU$6=1,$L35=0),AND(OU$6=2,$K35=2,$G35=1)),0,IF(AND(OW$9=2,(OR($F35&gt;1,$K35=1,AND($L35=80,OR($N35=1,AND($N35=2,'#BerechnungDBE'!$AL26&gt;0)))))),IF(OU$4&gt;=$AD$126,0,PE35),IF(OW$9=3,IF(OR(OU$4&gt;=$AD$127,AND($G35=1,$J35=2,OU$6=2),AND(OU$6=1,$N35&lt;&gt;1)),0,IF(OY35&lt;=120,PE35,IF(OU$4&lt;$AD$124,IF($F35=1,60/OW$4*OW$6,60/OW$4*OW$7),IF($F35=1,120/OW$4*OW$6,120/OW$4*OW$7)))),IF(OR($F35=3,$G35=2),IF(OR(AND(OU$4&gt;=$AD$119,$C35=2),AND(OU$4&gt;=$AF$119,$C35=1)),0,IF(OY35&lt;=60,PE35,60/OW$4*OW$7)),IF(AND($F35=2,$G35=1),PE35,0)))))</f>
        <v>0</v>
      </c>
      <c r="PH35" s="57" t="str">
        <f t="shared" si="166"/>
        <v/>
      </c>
      <c r="PI35" s="57" t="str">
        <f t="shared" si="167"/>
        <v/>
      </c>
      <c r="PJ35" s="713">
        <f>'org. Düngung 22'!DL34</f>
        <v>0</v>
      </c>
      <c r="PK35" s="57"/>
      <c r="PL35" s="57"/>
      <c r="PM35" s="57">
        <f t="shared" si="168"/>
        <v>0</v>
      </c>
      <c r="PN35" s="57">
        <f t="shared" si="328"/>
        <v>0</v>
      </c>
      <c r="PO35" s="57">
        <f t="shared" si="329"/>
        <v>0</v>
      </c>
      <c r="PP35" s="57">
        <f t="shared" si="330"/>
        <v>0</v>
      </c>
      <c r="PQ35" s="57">
        <f t="shared" si="331"/>
        <v>0</v>
      </c>
      <c r="PR35" s="1029">
        <f t="shared" si="169"/>
        <v>0</v>
      </c>
      <c r="PS35" s="57">
        <f t="shared" si="170"/>
        <v>0</v>
      </c>
      <c r="PT35" s="171" t="str">
        <f t="shared" si="171"/>
        <v/>
      </c>
      <c r="PU35" s="57">
        <f t="shared" si="332"/>
        <v>0</v>
      </c>
      <c r="PV35" s="57">
        <f>IF(OR(AND(PJ$6=1,$L35=0),AND(PJ$6=2,$K35=2,$G35=1)),0,IF(AND(PL$9=2,(OR($F35&gt;1,$K35=1,AND($L35=80,OR($N35=1,AND($N35=2,'#BerechnungDBE'!$AL26&gt;0)))))),IF(PJ$4&gt;=$AD$126,0,PT35),IF(PL$9=3,IF(OR(PJ$4&gt;=$AD$127,AND($G35=1,$J35=2,PJ$6=2),AND(PJ$6=1,$N35&lt;&gt;1)),0,IF(PN35&lt;=120,PT35,IF(PJ$4&lt;$AD$124,IF($F35=1,60/PL$4*PL$6,60/PL$4*PL$7),IF($F35=1,120/PL$4*PL$6,120/PL$4*PL$7)))),IF(OR($F35=3,$G35=2),IF(OR(AND(PJ$4&gt;=$AD$119,$C35=2),AND(PJ$4&gt;=$AF$119,$C35=1)),0,IF(PN35&lt;=60,PT35,60/PL$4*PL$7)),IF(AND($F35=2,$G35=1),PT35,0)))))</f>
        <v>0</v>
      </c>
      <c r="PW35" s="57" t="str">
        <f t="shared" si="172"/>
        <v/>
      </c>
      <c r="PX35" s="57" t="str">
        <f t="shared" si="173"/>
        <v/>
      </c>
      <c r="PY35" s="713">
        <f>'org. Düngung 22'!DP34</f>
        <v>0</v>
      </c>
      <c r="PZ35" s="57"/>
      <c r="QA35" s="57"/>
      <c r="QB35" s="57">
        <f t="shared" si="174"/>
        <v>0</v>
      </c>
      <c r="QC35" s="57">
        <f t="shared" si="333"/>
        <v>0</v>
      </c>
      <c r="QD35" s="57">
        <f t="shared" si="334"/>
        <v>0</v>
      </c>
      <c r="QE35" s="57">
        <f t="shared" si="335"/>
        <v>0</v>
      </c>
      <c r="QF35" s="57">
        <f t="shared" si="336"/>
        <v>0</v>
      </c>
      <c r="QG35" s="1029">
        <f t="shared" si="175"/>
        <v>0</v>
      </c>
      <c r="QH35" s="57">
        <f t="shared" si="176"/>
        <v>0</v>
      </c>
      <c r="QI35" s="171" t="str">
        <f t="shared" si="177"/>
        <v/>
      </c>
      <c r="QJ35" s="57">
        <f t="shared" si="337"/>
        <v>0</v>
      </c>
      <c r="QK35" s="57">
        <f>IF(OR(AND(PY$6=1,$L35=0),AND(PY$6=2,$K35=2,$G35=1)),0,IF(AND(QA$9=2,(OR($F35&gt;1,$K35=1,AND($L35=80,OR($N35=1,AND($N35=2,'#BerechnungDBE'!$AL26&gt;0)))))),IF(PY$4&gt;=$AD$126,0,QI35),IF(QA$9=3,IF(OR(PY$4&gt;=$AD$127,AND($G35=1,$J35=2,PY$6=2),AND(PY$6=1,$N35&lt;&gt;1)),0,IF(QC35&lt;=120,QI35,IF(PY$4&lt;$AD$124,IF($F35=1,60/QA$4*QA$6,60/QA$4*QA$7),IF($F35=1,120/QA$4*QA$6,120/QA$4*QA$7)))),IF(OR($F35=3,$G35=2),IF(OR(AND(PY$4&gt;=$AD$119,$C35=2),AND(PY$4&gt;=$AF$119,$C35=1)),0,IF(QC35&lt;=60,QI35,60/QA$4*QA$7)),IF(AND($F35=2,$G35=1),QI35,0)))))</f>
        <v>0</v>
      </c>
      <c r="QL35" s="57" t="str">
        <f t="shared" si="178"/>
        <v/>
      </c>
      <c r="QM35" s="57" t="str">
        <f t="shared" si="179"/>
        <v/>
      </c>
      <c r="QN35" s="713">
        <f>'org. Düngung 22'!DT34</f>
        <v>0</v>
      </c>
      <c r="QO35" s="57"/>
      <c r="QP35" s="57"/>
      <c r="QQ35" s="57">
        <f t="shared" si="180"/>
        <v>0</v>
      </c>
      <c r="QR35" s="57">
        <f t="shared" si="338"/>
        <v>0</v>
      </c>
      <c r="QS35" s="57">
        <f t="shared" si="339"/>
        <v>0</v>
      </c>
      <c r="QT35" s="57">
        <f t="shared" si="340"/>
        <v>0</v>
      </c>
      <c r="QU35" s="57">
        <f t="shared" si="341"/>
        <v>0</v>
      </c>
      <c r="QV35" s="1029">
        <f t="shared" si="181"/>
        <v>0</v>
      </c>
      <c r="QW35" s="57">
        <f t="shared" si="182"/>
        <v>0</v>
      </c>
      <c r="QX35" s="171" t="str">
        <f t="shared" si="183"/>
        <v/>
      </c>
      <c r="QY35" s="57">
        <f t="shared" si="342"/>
        <v>0</v>
      </c>
      <c r="QZ35" s="57">
        <f>IF(OR(AND(QN$6=1,$L35=0),AND(QN$6=2,$K35=2,$G35=1)),0,IF(AND(QP$9=2,(OR($F35&gt;1,$K35=1,AND($L35=80,OR($N35=1,AND($N35=2,'#BerechnungDBE'!$AL26&gt;0)))))),IF(QN$4&gt;=$AD$126,0,QX35),IF(QP$9=3,IF(OR(QN$4&gt;=$AD$127,AND($G35=1,$J35=2,QN$6=2),AND(QN$6=1,$N35&lt;&gt;1)),0,IF(QR35&lt;=120,QX35,IF(QN$4&lt;$AD$124,IF($F35=1,60/QP$4*QP$6,60/QP$4*QP$7),IF($F35=1,120/QP$4*QP$6,120/QP$4*QP$7)))),IF(OR($F35=3,$G35=2),IF(OR(AND(QN$4&gt;=$AD$119,$C35=2),AND(QN$4&gt;=$AF$119,$C35=1)),0,IF(QR35&lt;=60,QX35,60/QP$4*QP$7)),IF(AND($F35=2,$G35=1),QX35,0)))))</f>
        <v>0</v>
      </c>
      <c r="RA35" s="57" t="str">
        <f t="shared" si="184"/>
        <v/>
      </c>
      <c r="RB35" s="57" t="str">
        <f t="shared" si="185"/>
        <v/>
      </c>
      <c r="RC35" s="713">
        <f>'org. Düngung 22'!DX34</f>
        <v>0</v>
      </c>
      <c r="RD35" s="57"/>
      <c r="RE35" s="57"/>
      <c r="RF35" s="57">
        <f t="shared" si="186"/>
        <v>0</v>
      </c>
      <c r="RG35" s="57">
        <f t="shared" si="343"/>
        <v>0</v>
      </c>
      <c r="RH35" s="57">
        <f t="shared" si="344"/>
        <v>0</v>
      </c>
      <c r="RI35" s="57">
        <f t="shared" si="345"/>
        <v>0</v>
      </c>
      <c r="RJ35" s="57">
        <f t="shared" si="346"/>
        <v>0</v>
      </c>
      <c r="RK35" s="1029">
        <f t="shared" si="187"/>
        <v>0</v>
      </c>
      <c r="RL35" s="57">
        <f t="shared" si="188"/>
        <v>0</v>
      </c>
      <c r="RM35" s="171" t="str">
        <f t="shared" si="189"/>
        <v/>
      </c>
      <c r="RN35" s="57">
        <f t="shared" si="347"/>
        <v>0</v>
      </c>
      <c r="RO35" s="57">
        <f>IF(OR(AND(RC$6=1,$L35=0),AND(RC$6=2,$K35=2,$G35=1)),0,IF(AND(RE$9=2,(OR($F35&gt;1,$K35=1,AND($L35=80,OR($N35=1,AND($N35=2,'#BerechnungDBE'!$AL26&gt;0)))))),IF(RC$4&gt;=$AD$126,0,RM35),IF(RE$9=3,IF(OR(RC$4&gt;=$AD$127,AND($G35=1,$J35=2,RC$6=2),AND(RC$6=1,$N35&lt;&gt;1)),0,IF(RG35&lt;=120,RM35,IF(RC$4&lt;$AD$124,IF($F35=1,60/RE$4*RE$6,60/RE$4*RE$7),IF($F35=1,120/RE$4*RE$6,120/RE$4*RE$7)))),IF(OR($F35=3,$G35=2),IF(OR(AND(RC$4&gt;=$AD$119,$C35=2),AND(RC$4&gt;=$AF$119,$C35=1)),0,IF(RG35&lt;=60,RM35,60/RE$4*RE$7)),IF(AND($F35=2,$G35=1),RM35,0)))))</f>
        <v>0</v>
      </c>
      <c r="RP35" s="57" t="str">
        <f t="shared" si="190"/>
        <v/>
      </c>
      <c r="RQ35" s="57" t="str">
        <f t="shared" si="191"/>
        <v/>
      </c>
      <c r="RS35" s="57" t="str">
        <f t="shared" si="348"/>
        <v/>
      </c>
      <c r="RT35" s="57" t="str">
        <f t="shared" si="192"/>
        <v/>
      </c>
      <c r="RU35" s="57" t="str">
        <f t="shared" si="193"/>
        <v/>
      </c>
      <c r="RV35" s="57" t="str">
        <f>IF(Z35&gt;'#BerechnungDBE'!BM26,$RV$9,"")</f>
        <v/>
      </c>
      <c r="RW35" s="57" t="str">
        <f>IF(AND(L35=70,AE35&gt;'#BerechnungDBE'!CQ26),$RW$9,"")</f>
        <v/>
      </c>
      <c r="RX35" s="57" t="str">
        <f>IF(OR('org. Düngung 22'!G34="--",'org. Düngung 22'!G34&lt;=170,'org. Düngung 22'!G34=""),"",$RX$9)</f>
        <v/>
      </c>
      <c r="RY35" s="57" t="str">
        <f>IF('org. Düngung 22'!K34&gt;120,'#orgDung'!$RY$9,"")</f>
        <v/>
      </c>
      <c r="RZ35" s="57" t="str">
        <f>IF('#BerechnungDBE'!P26&lt;4,"",IF(AND('#BerechnungDBE'!BZ26&gt;0,T35&gt;0),'#orgDung'!$RZ$9,""))</f>
        <v/>
      </c>
      <c r="SA35" s="57" t="str">
        <f t="shared" si="194"/>
        <v/>
      </c>
    </row>
    <row r="36" spans="1:495" s="875" customFormat="1" x14ac:dyDescent="0.2">
      <c r="A36" s="875">
        <f>'Flächen u. Kulturen'!A32</f>
        <v>23</v>
      </c>
      <c r="B36" s="367">
        <f>'#BerechnungDBE'!L27</f>
        <v>0</v>
      </c>
      <c r="C36" s="875">
        <f>'#BerechnungDBE'!R27</f>
        <v>1</v>
      </c>
      <c r="D36" s="875">
        <f>'#BerechnungDBE'!T27</f>
        <v>2</v>
      </c>
      <c r="E36" s="875" t="str">
        <f>'Flächen u. Kulturen'!E32</f>
        <v>x</v>
      </c>
      <c r="F36" s="52">
        <f>'#BerechnungDBE'!N27</f>
        <v>1</v>
      </c>
      <c r="G36" s="52">
        <f>'#BerechnungDBE'!O27</f>
        <v>1</v>
      </c>
      <c r="H36" s="875">
        <f>IF('Flächen u. Kulturen'!P32="",0,VLOOKUP('Flächen u. Kulturen'!P32,Kulturen[[HF]:[Berechnungsgruppe]],'#Frucht'!$H$1,FALSE))</f>
        <v>0</v>
      </c>
      <c r="I36" s="875">
        <f>IF('Flächen u. Kulturen'!J32="",0,VLOOKUP('Flächen u. Kulturen'!J32,Kulturen[[HF]:[Berechnungsgruppe]],'#Frucht'!$G$1,FALSE))</f>
        <v>90</v>
      </c>
      <c r="J36" s="505">
        <f t="shared" si="195"/>
        <v>2</v>
      </c>
      <c r="K36" s="505">
        <f>IF('Flächen u. Kulturen'!P32="",0,IF(VLOOKUP('Flächen u. Kulturen'!P32,Kulturen[[HF]:[Saat Winterungen]],'#Frucht'!$P$1,FALSE)&gt;0,1,2))</f>
        <v>2</v>
      </c>
      <c r="L36" s="875">
        <f>'#BerechnungDBE'!AF27</f>
        <v>0</v>
      </c>
      <c r="M36" s="875">
        <f>IF('Flächen u. Kulturen'!L32="",0,VLOOKUP('Flächen u. Kulturen'!L32,Nebenkultur[[Nebenkultur]:[Legum. Zwischenfr.]],'#Zweitfr'!$K$1,FALSE))</f>
        <v>0</v>
      </c>
      <c r="N36" s="875">
        <f>'#BerechnungDBE'!AG27</f>
        <v>0</v>
      </c>
      <c r="P36" s="57">
        <f t="shared" si="0"/>
        <v>0</v>
      </c>
      <c r="Q36" s="57">
        <f t="shared" si="1"/>
        <v>0</v>
      </c>
      <c r="R36" s="875">
        <f t="shared" si="2"/>
        <v>0</v>
      </c>
      <c r="S36" s="938" t="str">
        <f t="shared" si="3"/>
        <v/>
      </c>
      <c r="T36" s="875">
        <f t="shared" si="4"/>
        <v>0</v>
      </c>
      <c r="U36" s="875">
        <f t="shared" si="5"/>
        <v>0</v>
      </c>
      <c r="V36" s="875">
        <f t="shared" si="6"/>
        <v>0</v>
      </c>
      <c r="W36" s="875">
        <f t="shared" si="7"/>
        <v>0</v>
      </c>
      <c r="X36" s="875">
        <f t="shared" si="8"/>
        <v>0</v>
      </c>
      <c r="Y36" s="875">
        <f t="shared" si="349"/>
        <v>0</v>
      </c>
      <c r="Z36" s="875">
        <f t="shared" si="350"/>
        <v>0</v>
      </c>
      <c r="AA36" s="910">
        <f t="shared" si="9"/>
        <v>0</v>
      </c>
      <c r="AB36" s="57">
        <f t="shared" si="351"/>
        <v>0</v>
      </c>
      <c r="AC36" s="875">
        <f t="shared" si="10"/>
        <v>0</v>
      </c>
      <c r="AD36" s="875">
        <f t="shared" si="11"/>
        <v>0</v>
      </c>
      <c r="AE36" s="875">
        <f t="shared" si="12"/>
        <v>0</v>
      </c>
      <c r="AF36" s="875">
        <f t="shared" si="352"/>
        <v>0</v>
      </c>
      <c r="AG36" s="875">
        <f>'org. Düngung 22'!J35</f>
        <v>0</v>
      </c>
      <c r="AH36" s="875">
        <f>'org. Düngung 22'!K35</f>
        <v>0</v>
      </c>
      <c r="AJ36" s="713">
        <f>'org. Düngung 22'!L35</f>
        <v>0</v>
      </c>
      <c r="AK36" s="57"/>
      <c r="AL36" s="57"/>
      <c r="AM36" s="57">
        <f t="shared" si="196"/>
        <v>0</v>
      </c>
      <c r="AN36" s="57">
        <f t="shared" si="197"/>
        <v>0</v>
      </c>
      <c r="AO36" s="57">
        <f t="shared" si="198"/>
        <v>0</v>
      </c>
      <c r="AP36" s="57">
        <f t="shared" si="199"/>
        <v>0</v>
      </c>
      <c r="AQ36" s="57">
        <f t="shared" si="200"/>
        <v>0</v>
      </c>
      <c r="AR36" s="1029">
        <f t="shared" si="14"/>
        <v>0</v>
      </c>
      <c r="AS36" s="57">
        <f t="shared" si="15"/>
        <v>0</v>
      </c>
      <c r="AT36" s="171" t="str">
        <f t="shared" si="16"/>
        <v/>
      </c>
      <c r="AU36" s="57">
        <f t="shared" si="201"/>
        <v>0</v>
      </c>
      <c r="AV36" s="57">
        <f>IF(OR(AND(AJ$6=1,$L36=0),AND(AJ$6=2,$K36=2,$G36=1)),0,IF(AND(AL$9=2,(OR($F36&gt;1,$K36=1,AND($L36=80,OR($N36=1,AND($N36=2,'#BerechnungDBE'!$AL27&gt;0)))))),IF(AJ$4&gt;=$AD$126,0,AT36),IF(AL$9=3,IF(OR(AJ$4&gt;=$AD$127,AND($G36=1,$J36=2,AJ$6=2),AND(AJ$6=1,$N36&lt;&gt;1)),0,IF(AN36&lt;=120,AT36,IF(AJ$4&lt;$AD$124,IF($F36=1,60/AL$4*AL$6,60/AL$4*AL$7),IF($F36=1,120/AL$4*AL$6,120/AL$4*AL$7)))),IF(OR($F36=3,$G36=2),IF(OR(AND(AJ$4&gt;=$AD$119,$C36=2),AND(AJ$4&gt;=$AF$119,$C36=1)),0,IF(AN36&lt;=60,AT36,60/AL$4*AL$7)),IF(AND($F36=2,$G36=1),AT36,0)))))</f>
        <v>0</v>
      </c>
      <c r="AW36" s="57" t="str">
        <f t="shared" si="202"/>
        <v/>
      </c>
      <c r="AX36" s="57" t="str">
        <f t="shared" si="17"/>
        <v/>
      </c>
      <c r="AY36" s="713">
        <f>'org. Düngung 22'!P35</f>
        <v>0</v>
      </c>
      <c r="AZ36" s="57"/>
      <c r="BA36" s="57"/>
      <c r="BB36" s="57">
        <f t="shared" si="18"/>
        <v>0</v>
      </c>
      <c r="BC36" s="57">
        <f t="shared" si="203"/>
        <v>0</v>
      </c>
      <c r="BD36" s="57">
        <f t="shared" si="204"/>
        <v>0</v>
      </c>
      <c r="BE36" s="57">
        <f t="shared" si="205"/>
        <v>0</v>
      </c>
      <c r="BF36" s="57">
        <f t="shared" si="206"/>
        <v>0</v>
      </c>
      <c r="BG36" s="1029">
        <f t="shared" si="19"/>
        <v>0</v>
      </c>
      <c r="BH36" s="57">
        <f t="shared" si="20"/>
        <v>0</v>
      </c>
      <c r="BI36" s="171" t="str">
        <f t="shared" si="21"/>
        <v/>
      </c>
      <c r="BJ36" s="57">
        <f t="shared" si="207"/>
        <v>0</v>
      </c>
      <c r="BK36" s="57">
        <f>IF(OR(AND(AY$6=1,$L36=0),AND(AY$6=2,$K36=2,$G36=1)),0,IF(AND(BA$9=2,(OR($F36&gt;1,$K36=1,AND($L36=80,OR($N36=1,AND($N36=2,'#BerechnungDBE'!$AL27&gt;0)))))),IF(AY$4&gt;=$AD$126,0,BI36),IF(BA$9=3,IF(OR(AY$4&gt;=$AD$127,AND($G36=1,$J36=2,AY$6=2),AND(AY$6=1,$N36&lt;&gt;1)),0,IF(BC36&lt;=120,BI36,IF(AY$4&lt;$AD$124,IF($F36=1,60/BA$4*BA$6,60/BA$4*BA$7),IF($F36=1,120/BA$4*BA$6,120/BA$4*BA$7)))),IF(OR($F36=3,$G36=2),IF(OR(AND(AY$4&gt;=$AD$119,$C36=2),AND(AY$4&gt;=$AF$119,$C36=1)),0,IF(BC36&lt;=60,BI36,60/BA$4*BA$7)),IF(AND($F36=2,$G36=1),BI36,0)))))</f>
        <v>0</v>
      </c>
      <c r="BL36" s="57" t="str">
        <f t="shared" si="22"/>
        <v/>
      </c>
      <c r="BM36" s="57" t="str">
        <f t="shared" si="23"/>
        <v/>
      </c>
      <c r="BN36" s="713">
        <f>'org. Düngung 22'!T35</f>
        <v>0</v>
      </c>
      <c r="BO36" s="57"/>
      <c r="BP36" s="57"/>
      <c r="BQ36" s="57">
        <f t="shared" si="24"/>
        <v>0</v>
      </c>
      <c r="BR36" s="57">
        <f t="shared" si="208"/>
        <v>0</v>
      </c>
      <c r="BS36" s="57">
        <f t="shared" si="209"/>
        <v>0</v>
      </c>
      <c r="BT36" s="57">
        <f t="shared" si="210"/>
        <v>0</v>
      </c>
      <c r="BU36" s="57">
        <f t="shared" si="211"/>
        <v>0</v>
      </c>
      <c r="BV36" s="1029">
        <f t="shared" si="25"/>
        <v>0</v>
      </c>
      <c r="BW36" s="57">
        <f t="shared" si="26"/>
        <v>0</v>
      </c>
      <c r="BX36" s="171" t="str">
        <f t="shared" si="27"/>
        <v/>
      </c>
      <c r="BY36" s="57">
        <f t="shared" si="212"/>
        <v>0</v>
      </c>
      <c r="BZ36" s="57">
        <f>IF(OR(AND(BN$6=1,$L36=0),AND(BN$6=2,$K36=2,$G36=1)),0,IF(AND(BP$9=2,(OR($F36&gt;1,$K36=1,AND($L36=80,OR($N36=1,AND($N36=2,'#BerechnungDBE'!$AL27&gt;0)))))),IF(BN$4&gt;=$AD$126,0,BX36),IF(BP$9=3,IF(OR(BN$4&gt;=$AD$127,AND($G36=1,$J36=2,BN$6=2),AND(BN$6=1,$N36&lt;&gt;1)),0,IF(BR36&lt;=120,BX36,IF(BN$4&lt;$AD$124,IF($F36=1,60/BP$4*BP$6,60/BP$4*BP$7),IF($F36=1,120/BP$4*BP$6,120/BP$4*BP$7)))),IF(OR($F36=3,$G36=2),IF(OR(AND(BN$4&gt;=$AD$119,$C36=2),AND(BN$4&gt;=$AF$119,$C36=1)),0,IF(BR36&lt;=60,BX36,60/BP$4*BP$7)),IF(AND($F36=2,$G36=1),BX36,0)))))</f>
        <v>0</v>
      </c>
      <c r="CA36" s="57" t="str">
        <f t="shared" si="28"/>
        <v/>
      </c>
      <c r="CB36" s="57" t="str">
        <f t="shared" si="29"/>
        <v/>
      </c>
      <c r="CC36" s="713">
        <f>'org. Düngung 22'!X35</f>
        <v>0</v>
      </c>
      <c r="CD36" s="57"/>
      <c r="CE36" s="57"/>
      <c r="CF36" s="57">
        <f t="shared" si="30"/>
        <v>0</v>
      </c>
      <c r="CG36" s="57">
        <f t="shared" si="213"/>
        <v>0</v>
      </c>
      <c r="CH36" s="57">
        <f t="shared" si="214"/>
        <v>0</v>
      </c>
      <c r="CI36" s="57">
        <f t="shared" si="215"/>
        <v>0</v>
      </c>
      <c r="CJ36" s="57">
        <f t="shared" si="216"/>
        <v>0</v>
      </c>
      <c r="CK36" s="1029">
        <f t="shared" si="31"/>
        <v>0</v>
      </c>
      <c r="CL36" s="57">
        <f t="shared" si="32"/>
        <v>0</v>
      </c>
      <c r="CM36" s="171" t="str">
        <f t="shared" si="33"/>
        <v/>
      </c>
      <c r="CN36" s="57">
        <f t="shared" si="217"/>
        <v>0</v>
      </c>
      <c r="CO36" s="57">
        <f>IF(OR(AND(CC$6=1,$L36=0),AND(CC$6=2,$K36=2,$G36=1)),0,IF(AND(CE$9=2,(OR($F36&gt;1,$K36=1,AND($L36=80,OR($N36=1,AND($N36=2,'#BerechnungDBE'!$AL27&gt;0)))))),IF(CC$4&gt;=$AD$126,0,CM36),IF(CE$9=3,IF(OR(CC$4&gt;=$AD$127,AND($G36=1,$J36=2,CC$6=2),AND(CC$6=1,$N36&lt;&gt;1)),0,IF(CG36&lt;=120,CM36,IF(CC$4&lt;$AD$124,IF($F36=1,60/CE$4*CE$6,60/CE$4*CE$7),IF($F36=1,120/CE$4*CE$6,120/CE$4*CE$7)))),IF(OR($F36=3,$G36=2),IF(OR(AND(CC$4&gt;=$AD$119,$C36=2),AND(CC$4&gt;=$AF$119,$C36=1)),0,IF(CG36&lt;=60,CM36,60/CE$4*CE$7)),IF(AND($F36=2,$G36=1),CM36,0)))))</f>
        <v>0</v>
      </c>
      <c r="CP36" s="57" t="str">
        <f t="shared" si="34"/>
        <v/>
      </c>
      <c r="CQ36" s="57" t="str">
        <f t="shared" si="35"/>
        <v/>
      </c>
      <c r="CR36" s="713">
        <f>'org. Düngung 22'!AB35</f>
        <v>0</v>
      </c>
      <c r="CS36" s="57"/>
      <c r="CT36" s="57"/>
      <c r="CU36" s="57">
        <f t="shared" si="36"/>
        <v>0</v>
      </c>
      <c r="CV36" s="57">
        <f t="shared" si="218"/>
        <v>0</v>
      </c>
      <c r="CW36" s="57">
        <f t="shared" si="219"/>
        <v>0</v>
      </c>
      <c r="CX36" s="57">
        <f t="shared" si="220"/>
        <v>0</v>
      </c>
      <c r="CY36" s="57">
        <f t="shared" si="221"/>
        <v>0</v>
      </c>
      <c r="CZ36" s="1029">
        <f t="shared" si="37"/>
        <v>0</v>
      </c>
      <c r="DA36" s="57">
        <f t="shared" si="38"/>
        <v>0</v>
      </c>
      <c r="DB36" s="171" t="str">
        <f t="shared" si="39"/>
        <v/>
      </c>
      <c r="DC36" s="57">
        <f t="shared" si="222"/>
        <v>0</v>
      </c>
      <c r="DD36" s="57">
        <f>IF(OR(AND(CR$6=1,$L36=0),AND(CR$6=2,$K36=2,$G36=1)),0,IF(AND(CT$9=2,(OR($F36&gt;1,$K36=1,AND($L36=80,OR($N36=1,AND($N36=2,'#BerechnungDBE'!$AL27&gt;0)))))),IF(CR$4&gt;=$AD$126,0,DB36),IF(CT$9=3,IF(OR(CR$4&gt;=$AD$127,AND($G36=1,$J36=2,CR$6=2),AND(CR$6=1,$N36&lt;&gt;1)),0,IF(CV36&lt;=120,DB36,IF(CR$4&lt;$AD$124,IF($F36=1,60/CT$4*CT$6,60/CT$4*CT$7),IF($F36=1,120/CT$4*CT$6,120/CT$4*CT$7)))),IF(OR($F36=3,$G36=2),IF(OR(AND(CR$4&gt;=$AD$119,$C36=2),AND(CR$4&gt;=$AF$119,$C36=1)),0,IF(CV36&lt;=60,DB36,60/CT$4*CT$7)),IF(AND($F36=2,$G36=1),DB36,0)))))</f>
        <v>0</v>
      </c>
      <c r="DE36" s="57" t="str">
        <f t="shared" si="40"/>
        <v/>
      </c>
      <c r="DF36" s="57" t="str">
        <f t="shared" si="41"/>
        <v/>
      </c>
      <c r="DG36" s="713">
        <f>'org. Düngung 22'!AF35</f>
        <v>0</v>
      </c>
      <c r="DH36" s="57"/>
      <c r="DI36" s="57"/>
      <c r="DJ36" s="57">
        <f t="shared" si="42"/>
        <v>0</v>
      </c>
      <c r="DK36" s="57">
        <f t="shared" si="223"/>
        <v>0</v>
      </c>
      <c r="DL36" s="57">
        <f t="shared" si="224"/>
        <v>0</v>
      </c>
      <c r="DM36" s="57">
        <f t="shared" si="225"/>
        <v>0</v>
      </c>
      <c r="DN36" s="57">
        <f t="shared" si="226"/>
        <v>0</v>
      </c>
      <c r="DO36" s="1029">
        <f t="shared" si="43"/>
        <v>0</v>
      </c>
      <c r="DP36" s="57">
        <f t="shared" si="44"/>
        <v>0</v>
      </c>
      <c r="DQ36" s="171" t="str">
        <f t="shared" si="45"/>
        <v/>
      </c>
      <c r="DR36" s="57">
        <f t="shared" si="227"/>
        <v>0</v>
      </c>
      <c r="DS36" s="57">
        <f>IF(OR(AND(DG$6=1,$L36=0),AND(DG$6=2,$K36=2,$G36=1)),0,IF(AND(DI$9=2,(OR($F36&gt;1,$K36=1,AND($L36=80,OR($N36=1,AND($N36=2,'#BerechnungDBE'!$AL27&gt;0)))))),IF(DG$4&gt;=$AD$126,0,DQ36),IF(DI$9=3,IF(OR(DG$4&gt;=$AD$127,AND($G36=1,$J36=2,DG$6=2),AND(DG$6=1,$N36&lt;&gt;1)),0,IF(DK36&lt;=120,DQ36,IF(DG$4&lt;$AD$124,IF($F36=1,60/DI$4*DI$6,60/DI$4*DI$7),IF($F36=1,120/DI$4*DI$6,120/DI$4*DI$7)))),IF(OR($F36=3,$G36=2),IF(OR(AND(DG$4&gt;=$AD$119,$C36=2),AND(DG$4&gt;=$AF$119,$C36=1)),0,IF(DK36&lt;=60,DQ36,60/DI$4*DI$7)),IF(AND($F36=2,$G36=1),DQ36,0)))))</f>
        <v>0</v>
      </c>
      <c r="DT36" s="57" t="str">
        <f t="shared" si="46"/>
        <v/>
      </c>
      <c r="DU36" s="57" t="str">
        <f t="shared" si="47"/>
        <v/>
      </c>
      <c r="DV36" s="713">
        <f>'org. Düngung 22'!AJ35</f>
        <v>0</v>
      </c>
      <c r="DW36" s="57"/>
      <c r="DX36" s="57"/>
      <c r="DY36" s="57">
        <f t="shared" si="48"/>
        <v>0</v>
      </c>
      <c r="DZ36" s="57">
        <f t="shared" si="228"/>
        <v>0</v>
      </c>
      <c r="EA36" s="57">
        <f t="shared" si="229"/>
        <v>0</v>
      </c>
      <c r="EB36" s="57">
        <f t="shared" si="230"/>
        <v>0</v>
      </c>
      <c r="EC36" s="57">
        <f t="shared" si="231"/>
        <v>0</v>
      </c>
      <c r="ED36" s="1029">
        <f t="shared" si="49"/>
        <v>0</v>
      </c>
      <c r="EE36" s="57">
        <f t="shared" si="50"/>
        <v>0</v>
      </c>
      <c r="EF36" s="171" t="str">
        <f t="shared" si="51"/>
        <v/>
      </c>
      <c r="EG36" s="57">
        <f t="shared" si="232"/>
        <v>0</v>
      </c>
      <c r="EH36" s="57">
        <f>IF(OR(AND(DV$6=1,$L36=0),AND(DV$6=2,$K36=2,$G36=1)),0,IF(AND(DX$9=2,(OR($F36&gt;1,$K36=1,AND($L36=80,OR($N36=1,AND($N36=2,'#BerechnungDBE'!$AL27&gt;0)))))),IF(DV$4&gt;=$AD$126,0,EF36),IF(DX$9=3,IF(OR(DV$4&gt;=$AD$127,AND($G36=1,$J36=2,DV$6=2),AND(DV$6=1,$N36&lt;&gt;1)),0,IF(DZ36&lt;=120,EF36,IF(DV$4&lt;$AD$124,IF($F36=1,60/DX$4*DX$6,60/DX$4*DX$7),IF($F36=1,120/DX$4*DX$6,120/DX$4*DX$7)))),IF(OR($F36=3,$G36=2),IF(OR(AND(DV$4&gt;=$AD$119,$C36=2),AND(DV$4&gt;=$AF$119,$C36=1)),0,IF(DZ36&lt;=60,EF36,60/DX$4*DX$7)),IF(AND($F36=2,$G36=1),EF36,0)))))</f>
        <v>0</v>
      </c>
      <c r="EI36" s="57" t="str">
        <f t="shared" si="52"/>
        <v/>
      </c>
      <c r="EJ36" s="57" t="str">
        <f t="shared" si="53"/>
        <v/>
      </c>
      <c r="EK36" s="713">
        <f>'org. Düngung 22'!AN35</f>
        <v>0</v>
      </c>
      <c r="EL36" s="57"/>
      <c r="EM36" s="57"/>
      <c r="EN36" s="57">
        <f t="shared" si="54"/>
        <v>0</v>
      </c>
      <c r="EO36" s="57">
        <f t="shared" si="233"/>
        <v>0</v>
      </c>
      <c r="EP36" s="57">
        <f t="shared" si="234"/>
        <v>0</v>
      </c>
      <c r="EQ36" s="57">
        <f t="shared" si="235"/>
        <v>0</v>
      </c>
      <c r="ER36" s="57">
        <f t="shared" si="236"/>
        <v>0</v>
      </c>
      <c r="ES36" s="1029">
        <f t="shared" si="55"/>
        <v>0</v>
      </c>
      <c r="ET36" s="57">
        <f t="shared" si="56"/>
        <v>0</v>
      </c>
      <c r="EU36" s="171" t="str">
        <f t="shared" si="57"/>
        <v/>
      </c>
      <c r="EV36" s="57">
        <f t="shared" si="237"/>
        <v>0</v>
      </c>
      <c r="EW36" s="57">
        <f>IF(OR(AND(EK$6=1,$L36=0),AND(EK$6=2,$K36=2,$G36=1)),0,IF(AND(EM$9=2,(OR($F36&gt;1,$K36=1,AND($L36=80,OR($N36=1,AND($N36=2,'#BerechnungDBE'!$AL27&gt;0)))))),IF(EK$4&gt;=$AD$126,0,EU36),IF(EM$9=3,IF(OR(EK$4&gt;=$AD$127,AND($G36=1,$J36=2,EK$6=2),AND(EK$6=1,$N36&lt;&gt;1)),0,IF(EO36&lt;=120,EU36,IF(EK$4&lt;$AD$124,IF($F36=1,60/EM$4*EM$6,60/EM$4*EM$7),IF($F36=1,120/EM$4*EM$6,120/EM$4*EM$7)))),IF(OR($F36=3,$G36=2),IF(OR(AND(EK$4&gt;=$AD$119,$C36=2),AND(EK$4&gt;=$AF$119,$C36=1)),0,IF(EO36&lt;=60,EU36,60/EM$4*EM$7)),IF(AND($F36=2,$G36=1),EU36,0)))))</f>
        <v>0</v>
      </c>
      <c r="EX36" s="57" t="str">
        <f t="shared" si="58"/>
        <v/>
      </c>
      <c r="EY36" s="57" t="str">
        <f t="shared" si="59"/>
        <v/>
      </c>
      <c r="EZ36" s="713">
        <f>'org. Düngung 22'!AR35</f>
        <v>0</v>
      </c>
      <c r="FA36" s="57"/>
      <c r="FB36" s="57"/>
      <c r="FC36" s="57">
        <f t="shared" si="60"/>
        <v>0</v>
      </c>
      <c r="FD36" s="57">
        <f t="shared" si="238"/>
        <v>0</v>
      </c>
      <c r="FE36" s="57">
        <f t="shared" si="239"/>
        <v>0</v>
      </c>
      <c r="FF36" s="57">
        <f t="shared" si="240"/>
        <v>0</v>
      </c>
      <c r="FG36" s="57">
        <f t="shared" si="241"/>
        <v>0</v>
      </c>
      <c r="FH36" s="1029">
        <f t="shared" si="61"/>
        <v>0</v>
      </c>
      <c r="FI36" s="57">
        <f t="shared" si="62"/>
        <v>0</v>
      </c>
      <c r="FJ36" s="171" t="str">
        <f t="shared" si="63"/>
        <v/>
      </c>
      <c r="FK36" s="57">
        <f t="shared" si="242"/>
        <v>0</v>
      </c>
      <c r="FL36" s="57">
        <f>IF(OR(AND(EZ$6=1,$L36=0),AND(EZ$6=2,$K36=2,$G36=1)),0,IF(AND(FB$9=2,(OR($F36&gt;1,$K36=1,AND($L36=80,OR($N36=1,AND($N36=2,'#BerechnungDBE'!$AL27&gt;0)))))),IF(EZ$4&gt;=$AD$126,0,FJ36),IF(FB$9=3,IF(OR(EZ$4&gt;=$AD$127,AND($G36=1,$J36=2,EZ$6=2),AND(EZ$6=1,$N36&lt;&gt;1)),0,IF(FD36&lt;=120,FJ36,IF(EZ$4&lt;$AD$124,IF($F36=1,60/FB$4*FB$6,60/FB$4*FB$7),IF($F36=1,120/FB$4*FB$6,120/FB$4*FB$7)))),IF(OR($F36=3,$G36=2),IF(OR(AND(EZ$4&gt;=$AD$119,$C36=2),AND(EZ$4&gt;=$AF$119,$C36=1)),0,IF(FD36&lt;=60,FJ36,60/FB$4*FB$7)),IF(AND($F36=2,$G36=1),FJ36,0)))))</f>
        <v>0</v>
      </c>
      <c r="FM36" s="57" t="str">
        <f t="shared" si="64"/>
        <v/>
      </c>
      <c r="FN36" s="57" t="str">
        <f t="shared" si="65"/>
        <v/>
      </c>
      <c r="FO36" s="713">
        <f>'org. Düngung 22'!AV35</f>
        <v>0</v>
      </c>
      <c r="FP36" s="57"/>
      <c r="FQ36" s="57"/>
      <c r="FR36" s="57">
        <f t="shared" si="66"/>
        <v>0</v>
      </c>
      <c r="FS36" s="57">
        <f t="shared" si="243"/>
        <v>0</v>
      </c>
      <c r="FT36" s="57">
        <f t="shared" si="244"/>
        <v>0</v>
      </c>
      <c r="FU36" s="57">
        <f t="shared" si="245"/>
        <v>0</v>
      </c>
      <c r="FV36" s="57">
        <f t="shared" si="246"/>
        <v>0</v>
      </c>
      <c r="FW36" s="1029">
        <f t="shared" si="67"/>
        <v>0</v>
      </c>
      <c r="FX36" s="57">
        <f t="shared" si="68"/>
        <v>0</v>
      </c>
      <c r="FY36" s="171" t="str">
        <f t="shared" si="69"/>
        <v/>
      </c>
      <c r="FZ36" s="57">
        <f t="shared" si="247"/>
        <v>0</v>
      </c>
      <c r="GA36" s="57">
        <f>IF(OR(AND(FO$6=1,$L36=0),AND(FO$6=2,$K36=2,$G36=1)),0,IF(AND(FQ$9=2,(OR($F36&gt;1,$K36=1,AND($L36=80,OR($N36=1,AND($N36=2,'#BerechnungDBE'!$AL27&gt;0)))))),IF(FO$4&gt;=$AD$126,0,FY36),IF(FQ$9=3,IF(OR(FO$4&gt;=$AD$127,AND($G36=1,$J36=2,FO$6=2),AND(FO$6=1,$N36&lt;&gt;1)),0,IF(FS36&lt;=120,FY36,IF(FO$4&lt;$AD$124,IF($F36=1,60/FQ$4*FQ$6,60/FQ$4*FQ$7),IF($F36=1,120/FQ$4*FQ$6,120/FQ$4*FQ$7)))),IF(OR($F36=3,$G36=2),IF(OR(AND(FO$4&gt;=$AD$119,$C36=2),AND(FO$4&gt;=$AF$119,$C36=1)),0,IF(FS36&lt;=60,FY36,60/FQ$4*FQ$7)),IF(AND($F36=2,$G36=1),FY36,0)))))</f>
        <v>0</v>
      </c>
      <c r="GB36" s="57" t="str">
        <f t="shared" si="70"/>
        <v/>
      </c>
      <c r="GC36" s="57" t="str">
        <f t="shared" si="71"/>
        <v/>
      </c>
      <c r="GD36" s="713">
        <f>'org. Düngung 22'!AZ35</f>
        <v>0</v>
      </c>
      <c r="GE36" s="57"/>
      <c r="GF36" s="57"/>
      <c r="GG36" s="57">
        <f t="shared" si="72"/>
        <v>0</v>
      </c>
      <c r="GH36" s="57">
        <f t="shared" si="248"/>
        <v>0</v>
      </c>
      <c r="GI36" s="57">
        <f t="shared" si="249"/>
        <v>0</v>
      </c>
      <c r="GJ36" s="57">
        <f t="shared" si="250"/>
        <v>0</v>
      </c>
      <c r="GK36" s="57">
        <f t="shared" si="251"/>
        <v>0</v>
      </c>
      <c r="GL36" s="1029">
        <f t="shared" si="73"/>
        <v>0</v>
      </c>
      <c r="GM36" s="57">
        <f t="shared" si="74"/>
        <v>0</v>
      </c>
      <c r="GN36" s="171" t="str">
        <f t="shared" si="75"/>
        <v/>
      </c>
      <c r="GO36" s="57">
        <f t="shared" si="252"/>
        <v>0</v>
      </c>
      <c r="GP36" s="57">
        <f>IF(OR(AND(GD$6=1,$L36=0),AND(GD$6=2,$K36=2,$G36=1)),0,IF(AND(GF$9=2,(OR($F36&gt;1,$K36=1,AND($L36=80,OR($N36=1,AND($N36=2,'#BerechnungDBE'!$AL27&gt;0)))))),IF(GD$4&gt;=$AD$126,0,GN36),IF(GF$9=3,IF(OR(GD$4&gt;=$AD$127,AND($G36=1,$J36=2,GD$6=2),AND(GD$6=1,$N36&lt;&gt;1)),0,IF(GH36&lt;=120,GN36,IF(GD$4&lt;$AD$124,IF($F36=1,60/GF$4*GF$6,60/GF$4*GF$7),IF($F36=1,120/GF$4*GF$6,120/GF$4*GF$7)))),IF(OR($F36=3,$G36=2),IF(OR(AND(GD$4&gt;=$AD$119,$C36=2),AND(GD$4&gt;=$AF$119,$C36=1)),0,IF(GH36&lt;=60,GN36,60/GF$4*GF$7)),IF(AND($F36=2,$G36=1),GN36,0)))))</f>
        <v>0</v>
      </c>
      <c r="GQ36" s="57" t="str">
        <f t="shared" si="76"/>
        <v/>
      </c>
      <c r="GR36" s="57" t="str">
        <f t="shared" si="77"/>
        <v/>
      </c>
      <c r="GS36" s="713">
        <f>'org. Düngung 22'!BD35</f>
        <v>0</v>
      </c>
      <c r="GT36" s="57"/>
      <c r="GU36" s="57"/>
      <c r="GV36" s="57">
        <f t="shared" si="78"/>
        <v>0</v>
      </c>
      <c r="GW36" s="57">
        <f t="shared" si="253"/>
        <v>0</v>
      </c>
      <c r="GX36" s="57">
        <f t="shared" si="254"/>
        <v>0</v>
      </c>
      <c r="GY36" s="57">
        <f t="shared" si="255"/>
        <v>0</v>
      </c>
      <c r="GZ36" s="57">
        <f t="shared" si="256"/>
        <v>0</v>
      </c>
      <c r="HA36" s="1029">
        <f t="shared" si="79"/>
        <v>0</v>
      </c>
      <c r="HB36" s="57">
        <f t="shared" si="80"/>
        <v>0</v>
      </c>
      <c r="HC36" s="171" t="str">
        <f t="shared" si="81"/>
        <v/>
      </c>
      <c r="HD36" s="57">
        <f t="shared" si="257"/>
        <v>0</v>
      </c>
      <c r="HE36" s="57">
        <f>IF(OR(AND(GS$6=1,$L36=0),AND(GS$6=2,$K36=2,$G36=1)),0,IF(AND(GU$9=2,(OR($F36&gt;1,$K36=1,AND($L36=80,OR($N36=1,AND($N36=2,'#BerechnungDBE'!$AL27&gt;0)))))),IF(GS$4&gt;=$AD$126,0,HC36),IF(GU$9=3,IF(OR(GS$4&gt;=$AD$127,AND($G36=1,$J36=2,GS$6=2),AND(GS$6=1,$N36&lt;&gt;1)),0,IF(GW36&lt;=120,HC36,IF(GS$4&lt;$AD$124,IF($F36=1,60/GU$4*GU$6,60/GU$4*GU$7),IF($F36=1,120/GU$4*GU$6,120/GU$4*GU$7)))),IF(OR($F36=3,$G36=2),IF(OR(AND(GS$4&gt;=$AD$119,$C36=2),AND(GS$4&gt;=$AF$119,$C36=1)),0,IF(GW36&lt;=60,HC36,60/GU$4*GU$7)),IF(AND($F36=2,$G36=1),HC36,0)))))</f>
        <v>0</v>
      </c>
      <c r="HF36" s="57" t="str">
        <f t="shared" si="82"/>
        <v/>
      </c>
      <c r="HG36" s="57" t="str">
        <f t="shared" si="83"/>
        <v/>
      </c>
      <c r="HH36" s="713">
        <f>'org. Düngung 22'!BH35</f>
        <v>0</v>
      </c>
      <c r="HI36" s="57"/>
      <c r="HJ36" s="57"/>
      <c r="HK36" s="57">
        <f t="shared" si="84"/>
        <v>0</v>
      </c>
      <c r="HL36" s="57">
        <f t="shared" si="258"/>
        <v>0</v>
      </c>
      <c r="HM36" s="57">
        <f t="shared" si="259"/>
        <v>0</v>
      </c>
      <c r="HN36" s="57">
        <f t="shared" si="260"/>
        <v>0</v>
      </c>
      <c r="HO36" s="57">
        <f t="shared" si="261"/>
        <v>0</v>
      </c>
      <c r="HP36" s="1029">
        <f t="shared" si="85"/>
        <v>0</v>
      </c>
      <c r="HQ36" s="57">
        <f t="shared" si="86"/>
        <v>0</v>
      </c>
      <c r="HR36" s="171" t="str">
        <f t="shared" si="87"/>
        <v/>
      </c>
      <c r="HS36" s="57">
        <f t="shared" si="262"/>
        <v>0</v>
      </c>
      <c r="HT36" s="57">
        <f>IF(OR(AND(HH$6=1,$L36=0),AND(HH$6=2,$K36=2,$G36=1)),0,IF(AND(HJ$9=2,(OR($F36&gt;1,$K36=1,AND($L36=80,OR($N36=1,AND($N36=2,'#BerechnungDBE'!$AL27&gt;0)))))),IF(HH$4&gt;=$AD$126,0,HR36),IF(HJ$9=3,IF(OR(HH$4&gt;=$AD$127,AND($G36=1,$J36=2,HH$6=2),AND(HH$6=1,$N36&lt;&gt;1)),0,IF(HL36&lt;=120,HR36,IF(HH$4&lt;$AD$124,IF($F36=1,60/HJ$4*HJ$6,60/HJ$4*HJ$7),IF($F36=1,120/HJ$4*HJ$6,120/HJ$4*HJ$7)))),IF(OR($F36=3,$G36=2),IF(OR(AND(HH$4&gt;=$AD$119,$C36=2),AND(HH$4&gt;=$AF$119,$C36=1)),0,IF(HL36&lt;=60,HR36,60/HJ$4*HJ$7)),IF(AND($F36=2,$G36=1),HR36,0)))))</f>
        <v>0</v>
      </c>
      <c r="HU36" s="57" t="str">
        <f t="shared" si="88"/>
        <v/>
      </c>
      <c r="HV36" s="57" t="str">
        <f t="shared" si="89"/>
        <v/>
      </c>
      <c r="HW36" s="713">
        <f>'org. Düngung 22'!BL35</f>
        <v>0</v>
      </c>
      <c r="HX36" s="57"/>
      <c r="HY36" s="57"/>
      <c r="HZ36" s="57">
        <f t="shared" si="90"/>
        <v>0</v>
      </c>
      <c r="IA36" s="57">
        <f t="shared" si="263"/>
        <v>0</v>
      </c>
      <c r="IB36" s="57">
        <f t="shared" si="264"/>
        <v>0</v>
      </c>
      <c r="IC36" s="57">
        <f t="shared" si="265"/>
        <v>0</v>
      </c>
      <c r="ID36" s="57">
        <f t="shared" si="266"/>
        <v>0</v>
      </c>
      <c r="IE36" s="1029">
        <f t="shared" si="91"/>
        <v>0</v>
      </c>
      <c r="IF36" s="57">
        <f t="shared" si="92"/>
        <v>0</v>
      </c>
      <c r="IG36" s="171" t="str">
        <f t="shared" si="93"/>
        <v/>
      </c>
      <c r="IH36" s="57">
        <f t="shared" si="267"/>
        <v>0</v>
      </c>
      <c r="II36" s="57">
        <f>IF(OR(AND(HW$6=1,$L36=0),AND(HW$6=2,$K36=2,$G36=1)),0,IF(AND(HY$9=2,(OR($F36&gt;1,$K36=1,AND($L36=80,OR($N36=1,AND($N36=2,'#BerechnungDBE'!$AL27&gt;0)))))),IF(HW$4&gt;=$AD$126,0,IG36),IF(HY$9=3,IF(OR(HW$4&gt;=$AD$127,AND($G36=1,$J36=2,HW$6=2),AND(HW$6=1,$N36&lt;&gt;1)),0,IF(IA36&lt;=120,IG36,IF(HW$4&lt;$AD$124,IF($F36=1,60/HY$4*HY$6,60/HY$4*HY$7),IF($F36=1,120/HY$4*HY$6,120/HY$4*HY$7)))),IF(OR($F36=3,$G36=2),IF(OR(AND(HW$4&gt;=$AD$119,$C36=2),AND(HW$4&gt;=$AF$119,$C36=1)),0,IF(IA36&lt;=60,IG36,60/HY$4*HY$7)),IF(AND($F36=2,$G36=1),IG36,0)))))</f>
        <v>0</v>
      </c>
      <c r="IJ36" s="57" t="str">
        <f t="shared" si="94"/>
        <v/>
      </c>
      <c r="IK36" s="57" t="str">
        <f t="shared" si="95"/>
        <v/>
      </c>
      <c r="IL36" s="713">
        <f>'org. Düngung 22'!BP35</f>
        <v>0</v>
      </c>
      <c r="IM36" s="57"/>
      <c r="IN36" s="57"/>
      <c r="IO36" s="57">
        <f t="shared" si="96"/>
        <v>0</v>
      </c>
      <c r="IP36" s="57">
        <f t="shared" si="268"/>
        <v>0</v>
      </c>
      <c r="IQ36" s="57">
        <f t="shared" si="269"/>
        <v>0</v>
      </c>
      <c r="IR36" s="57">
        <f t="shared" si="270"/>
        <v>0</v>
      </c>
      <c r="IS36" s="57">
        <f t="shared" si="271"/>
        <v>0</v>
      </c>
      <c r="IT36" s="1029">
        <f t="shared" si="97"/>
        <v>0</v>
      </c>
      <c r="IU36" s="57">
        <f t="shared" si="98"/>
        <v>0</v>
      </c>
      <c r="IV36" s="171" t="str">
        <f t="shared" si="99"/>
        <v/>
      </c>
      <c r="IW36" s="57">
        <f t="shared" si="272"/>
        <v>0</v>
      </c>
      <c r="IX36" s="57">
        <f>IF(OR(AND(IL$6=1,$L36=0),AND(IL$6=2,$K36=2,$G36=1)),0,IF(AND(IN$9=2,(OR($F36&gt;1,$K36=1,AND($L36=80,OR($N36=1,AND($N36=2,'#BerechnungDBE'!$AL27&gt;0)))))),IF(IL$4&gt;=$AD$126,0,IV36),IF(IN$9=3,IF(OR(IL$4&gt;=$AD$127,AND($G36=1,$J36=2,IL$6=2),AND(IL$6=1,$N36&lt;&gt;1)),0,IF(IP36&lt;=120,IV36,IF(IL$4&lt;$AD$124,IF($F36=1,60/IN$4*IN$6,60/IN$4*IN$7),IF($F36=1,120/IN$4*IN$6,120/IN$4*IN$7)))),IF(OR($F36=3,$G36=2),IF(OR(AND(IL$4&gt;=$AD$119,$C36=2),AND(IL$4&gt;=$AF$119,$C36=1)),0,IF(IP36&lt;=60,IV36,60/IN$4*IN$7)),IF(AND($F36=2,$G36=1),IV36,0)))))</f>
        <v>0</v>
      </c>
      <c r="IY36" s="57" t="str">
        <f t="shared" si="100"/>
        <v/>
      </c>
      <c r="IZ36" s="57" t="str">
        <f t="shared" si="101"/>
        <v/>
      </c>
      <c r="JA36" s="713">
        <f>'org. Düngung 22'!BT35</f>
        <v>0</v>
      </c>
      <c r="JB36" s="57"/>
      <c r="JC36" s="57"/>
      <c r="JD36" s="57">
        <f t="shared" si="102"/>
        <v>0</v>
      </c>
      <c r="JE36" s="57">
        <f t="shared" si="273"/>
        <v>0</v>
      </c>
      <c r="JF36" s="57">
        <f t="shared" si="274"/>
        <v>0</v>
      </c>
      <c r="JG36" s="57">
        <f t="shared" si="275"/>
        <v>0</v>
      </c>
      <c r="JH36" s="57">
        <f t="shared" si="276"/>
        <v>0</v>
      </c>
      <c r="JI36" s="1029">
        <f t="shared" si="103"/>
        <v>0</v>
      </c>
      <c r="JJ36" s="57">
        <f t="shared" si="104"/>
        <v>0</v>
      </c>
      <c r="JK36" s="171" t="str">
        <f t="shared" si="105"/>
        <v/>
      </c>
      <c r="JL36" s="57">
        <f t="shared" si="277"/>
        <v>0</v>
      </c>
      <c r="JM36" s="57">
        <f>IF(OR(AND(JA$6=1,$L36=0),AND(JA$6=2,$K36=2,$G36=1)),0,IF(AND(JC$9=2,(OR($F36&gt;1,$K36=1,AND($L36=80,OR($N36=1,AND($N36=2,'#BerechnungDBE'!$AL27&gt;0)))))),IF(JA$4&gt;=$AD$126,0,JK36),IF(JC$9=3,IF(OR(JA$4&gt;=$AD$127,AND($G36=1,$J36=2,JA$6=2),AND(JA$6=1,$N36&lt;&gt;1)),0,IF(JE36&lt;=120,JK36,IF(JA$4&lt;$AD$124,IF($F36=1,60/JC$4*JC$6,60/JC$4*JC$7),IF($F36=1,120/JC$4*JC$6,120/JC$4*JC$7)))),IF(OR($F36=3,$G36=2),IF(OR(AND(JA$4&gt;=$AD$119,$C36=2),AND(JA$4&gt;=$AF$119,$C36=1)),0,IF(JE36&lt;=60,JK36,60/JC$4*JC$7)),IF(AND($F36=2,$G36=1),JK36,0)))))</f>
        <v>0</v>
      </c>
      <c r="JN36" s="57" t="str">
        <f t="shared" si="106"/>
        <v/>
      </c>
      <c r="JO36" s="57" t="str">
        <f t="shared" si="107"/>
        <v/>
      </c>
      <c r="JP36" s="713">
        <f>'org. Düngung 22'!BX35</f>
        <v>0</v>
      </c>
      <c r="JQ36" s="57"/>
      <c r="JR36" s="57"/>
      <c r="JS36" s="57">
        <f t="shared" si="108"/>
        <v>0</v>
      </c>
      <c r="JT36" s="57">
        <f t="shared" si="278"/>
        <v>0</v>
      </c>
      <c r="JU36" s="57">
        <f t="shared" si="279"/>
        <v>0</v>
      </c>
      <c r="JV36" s="57">
        <f t="shared" si="280"/>
        <v>0</v>
      </c>
      <c r="JW36" s="57">
        <f t="shared" si="281"/>
        <v>0</v>
      </c>
      <c r="JX36" s="1029">
        <f t="shared" si="109"/>
        <v>0</v>
      </c>
      <c r="JY36" s="57">
        <f t="shared" si="110"/>
        <v>0</v>
      </c>
      <c r="JZ36" s="171" t="str">
        <f t="shared" si="111"/>
        <v/>
      </c>
      <c r="KA36" s="57">
        <f t="shared" si="282"/>
        <v>0</v>
      </c>
      <c r="KB36" s="57">
        <f>IF(OR(AND(JP$6=1,$L36=0),AND(JP$6=2,$K36=2,$G36=1)),0,IF(AND(JR$9=2,(OR($F36&gt;1,$K36=1,AND($L36=80,OR($N36=1,AND($N36=2,'#BerechnungDBE'!$AL27&gt;0)))))),IF(JP$4&gt;=$AD$126,0,JZ36),IF(JR$9=3,IF(OR(JP$4&gt;=$AD$127,AND($G36=1,$J36=2,JP$6=2),AND(JP$6=1,$N36&lt;&gt;1)),0,IF(JT36&lt;=120,JZ36,IF(JP$4&lt;$AD$124,IF($F36=1,60/JR$4*JR$6,60/JR$4*JR$7),IF($F36=1,120/JR$4*JR$6,120/JR$4*JR$7)))),IF(OR($F36=3,$G36=2),IF(OR(AND(JP$4&gt;=$AD$119,$C36=2),AND(JP$4&gt;=$AF$119,$C36=1)),0,IF(JT36&lt;=60,JZ36,60/JR$4*JR$7)),IF(AND($F36=2,$G36=1),JZ36,0)))))</f>
        <v>0</v>
      </c>
      <c r="KC36" s="57" t="str">
        <f t="shared" si="112"/>
        <v/>
      </c>
      <c r="KD36" s="57" t="str">
        <f t="shared" si="113"/>
        <v/>
      </c>
      <c r="KE36" s="713">
        <f>'org. Düngung 22'!CB35</f>
        <v>0</v>
      </c>
      <c r="KF36" s="57"/>
      <c r="KG36" s="57"/>
      <c r="KH36" s="57">
        <f t="shared" si="114"/>
        <v>0</v>
      </c>
      <c r="KI36" s="57">
        <f t="shared" si="283"/>
        <v>0</v>
      </c>
      <c r="KJ36" s="57">
        <f t="shared" si="284"/>
        <v>0</v>
      </c>
      <c r="KK36" s="57">
        <f t="shared" si="285"/>
        <v>0</v>
      </c>
      <c r="KL36" s="57">
        <f t="shared" si="286"/>
        <v>0</v>
      </c>
      <c r="KM36" s="1029">
        <f t="shared" si="115"/>
        <v>0</v>
      </c>
      <c r="KN36" s="57">
        <f t="shared" si="116"/>
        <v>0</v>
      </c>
      <c r="KO36" s="171" t="str">
        <f t="shared" si="117"/>
        <v/>
      </c>
      <c r="KP36" s="57">
        <f t="shared" si="287"/>
        <v>0</v>
      </c>
      <c r="KQ36" s="57">
        <f>IF(OR(AND(KE$6=1,$L36=0),AND(KE$6=2,$K36=2,$G36=1)),0,IF(AND(KG$9=2,(OR($F36&gt;1,$K36=1,AND($L36=80,OR($N36=1,AND($N36=2,'#BerechnungDBE'!$AL27&gt;0)))))),IF(KE$4&gt;=$AD$126,0,KO36),IF(KG$9=3,IF(OR(KE$4&gt;=$AD$127,AND($G36=1,$J36=2,KE$6=2),AND(KE$6=1,$N36&lt;&gt;1)),0,IF(KI36&lt;=120,KO36,IF(KE$4&lt;$AD$124,IF($F36=1,60/KG$4*KG$6,60/KG$4*KG$7),IF($F36=1,120/KG$4*KG$6,120/KG$4*KG$7)))),IF(OR($F36=3,$G36=2),IF(OR(AND(KE$4&gt;=$AD$119,$C36=2),AND(KE$4&gt;=$AF$119,$C36=1)),0,IF(KI36&lt;=60,KO36,60/KG$4*KG$7)),IF(AND($F36=2,$G36=1),KO36,0)))))</f>
        <v>0</v>
      </c>
      <c r="KR36" s="57" t="str">
        <f t="shared" si="118"/>
        <v/>
      </c>
      <c r="KS36" s="57" t="str">
        <f t="shared" si="119"/>
        <v/>
      </c>
      <c r="KT36" s="713">
        <f>'org. Düngung 22'!CF35</f>
        <v>0</v>
      </c>
      <c r="KU36" s="57"/>
      <c r="KV36" s="57"/>
      <c r="KW36" s="57">
        <f t="shared" si="120"/>
        <v>0</v>
      </c>
      <c r="KX36" s="57">
        <f t="shared" si="288"/>
        <v>0</v>
      </c>
      <c r="KY36" s="57">
        <f t="shared" si="289"/>
        <v>0</v>
      </c>
      <c r="KZ36" s="57">
        <f t="shared" si="290"/>
        <v>0</v>
      </c>
      <c r="LA36" s="57">
        <f t="shared" si="291"/>
        <v>0</v>
      </c>
      <c r="LB36" s="1029">
        <f t="shared" si="121"/>
        <v>0</v>
      </c>
      <c r="LC36" s="57">
        <f t="shared" si="122"/>
        <v>0</v>
      </c>
      <c r="LD36" s="171" t="str">
        <f t="shared" si="123"/>
        <v/>
      </c>
      <c r="LE36" s="57">
        <f t="shared" si="292"/>
        <v>0</v>
      </c>
      <c r="LF36" s="57">
        <f>IF(OR(AND(KT$6=1,$L36=0),AND(KT$6=2,$K36=2,$G36=1)),0,IF(AND(KV$9=2,(OR($F36&gt;1,$K36=1,AND($L36=80,OR($N36=1,AND($N36=2,'#BerechnungDBE'!$AL27&gt;0)))))),IF(KT$4&gt;=$AD$126,0,LD36),IF(KV$9=3,IF(OR(KT$4&gt;=$AD$127,AND($G36=1,$J36=2,KT$6=2),AND(KT$6=1,$N36&lt;&gt;1)),0,IF(KX36&lt;=120,LD36,IF(KT$4&lt;$AD$124,IF($F36=1,60/KV$4*KV$6,60/KV$4*KV$7),IF($F36=1,120/KV$4*KV$6,120/KV$4*KV$7)))),IF(OR($F36=3,$G36=2),IF(OR(AND(KT$4&gt;=$AD$119,$C36=2),AND(KT$4&gt;=$AF$119,$C36=1)),0,IF(KX36&lt;=60,LD36,60/KV$4*KV$7)),IF(AND($F36=2,$G36=1),LD36,0)))))</f>
        <v>0</v>
      </c>
      <c r="LG36" s="57" t="str">
        <f t="shared" si="124"/>
        <v/>
      </c>
      <c r="LH36" s="57" t="str">
        <f t="shared" si="125"/>
        <v/>
      </c>
      <c r="LI36" s="713">
        <f>'org. Düngung 22'!CJ35</f>
        <v>0</v>
      </c>
      <c r="LJ36" s="57"/>
      <c r="LK36" s="57"/>
      <c r="LL36" s="57">
        <f t="shared" si="126"/>
        <v>0</v>
      </c>
      <c r="LM36" s="57">
        <f t="shared" si="293"/>
        <v>0</v>
      </c>
      <c r="LN36" s="57">
        <f t="shared" si="294"/>
        <v>0</v>
      </c>
      <c r="LO36" s="57">
        <f t="shared" si="295"/>
        <v>0</v>
      </c>
      <c r="LP36" s="57">
        <f t="shared" si="296"/>
        <v>0</v>
      </c>
      <c r="LQ36" s="1029">
        <f t="shared" si="127"/>
        <v>0</v>
      </c>
      <c r="LR36" s="57">
        <f t="shared" si="128"/>
        <v>0</v>
      </c>
      <c r="LS36" s="171" t="str">
        <f t="shared" si="129"/>
        <v/>
      </c>
      <c r="LT36" s="57">
        <f t="shared" si="297"/>
        <v>0</v>
      </c>
      <c r="LU36" s="57">
        <f>IF(OR(AND(LI$6=1,$L36=0),AND(LI$6=2,$K36=2,$G36=1)),0,IF(AND(LK$9=2,(OR($F36&gt;1,$K36=1,AND($L36=80,OR($N36=1,AND($N36=2,'#BerechnungDBE'!$AL27&gt;0)))))),IF(LI$4&gt;=$AD$126,0,LS36),IF(LK$9=3,IF(OR(LI$4&gt;=$AD$127,AND($G36=1,$J36=2,LI$6=2),AND(LI$6=1,$N36&lt;&gt;1)),0,IF(LM36&lt;=120,LS36,IF(LI$4&lt;$AD$124,IF($F36=1,60/LK$4*LK$6,60/LK$4*LK$7),IF($F36=1,120/LK$4*LK$6,120/LK$4*LK$7)))),IF(OR($F36=3,$G36=2),IF(OR(AND(LI$4&gt;=$AD$119,$C36=2),AND(LI$4&gt;=$AF$119,$C36=1)),0,IF(LM36&lt;=60,LS36,60/LK$4*LK$7)),IF(AND($F36=2,$G36=1),LS36,0)))))</f>
        <v>0</v>
      </c>
      <c r="LV36" s="57" t="str">
        <f t="shared" si="130"/>
        <v/>
      </c>
      <c r="LW36" s="57" t="str">
        <f t="shared" si="131"/>
        <v/>
      </c>
      <c r="LX36" s="713">
        <f>'org. Düngung 22'!CN35</f>
        <v>0</v>
      </c>
      <c r="LY36" s="57"/>
      <c r="LZ36" s="57"/>
      <c r="MA36" s="57">
        <f t="shared" si="132"/>
        <v>0</v>
      </c>
      <c r="MB36" s="57">
        <f t="shared" si="298"/>
        <v>0</v>
      </c>
      <c r="MC36" s="57">
        <f t="shared" si="299"/>
        <v>0</v>
      </c>
      <c r="MD36" s="57">
        <f t="shared" si="300"/>
        <v>0</v>
      </c>
      <c r="ME36" s="57">
        <f t="shared" si="301"/>
        <v>0</v>
      </c>
      <c r="MF36" s="1029">
        <f t="shared" si="133"/>
        <v>0</v>
      </c>
      <c r="MG36" s="57">
        <f t="shared" si="134"/>
        <v>0</v>
      </c>
      <c r="MH36" s="171" t="str">
        <f t="shared" si="135"/>
        <v/>
      </c>
      <c r="MI36" s="57">
        <f t="shared" si="302"/>
        <v>0</v>
      </c>
      <c r="MJ36" s="57">
        <f>IF(OR(AND(LX$6=1,$L36=0),AND(LX$6=2,$K36=2,$G36=1)),0,IF(AND(LZ$9=2,(OR($F36&gt;1,$K36=1,AND($L36=80,OR($N36=1,AND($N36=2,'#BerechnungDBE'!$AL27&gt;0)))))),IF(LX$4&gt;=$AD$126,0,MH36),IF(LZ$9=3,IF(OR(LX$4&gt;=$AD$127,AND($G36=1,$J36=2,LX$6=2),AND(LX$6=1,$N36&lt;&gt;1)),0,IF(MB36&lt;=120,MH36,IF(LX$4&lt;$AD$124,IF($F36=1,60/LZ$4*LZ$6,60/LZ$4*LZ$7),IF($F36=1,120/LZ$4*LZ$6,120/LZ$4*LZ$7)))),IF(OR($F36=3,$G36=2),IF(OR(AND(LX$4&gt;=$AD$119,$C36=2),AND(LX$4&gt;=$AF$119,$C36=1)),0,IF(MB36&lt;=60,MH36,60/LZ$4*LZ$7)),IF(AND($F36=2,$G36=1),MH36,0)))))</f>
        <v>0</v>
      </c>
      <c r="MK36" s="57" t="str">
        <f t="shared" si="136"/>
        <v/>
      </c>
      <c r="ML36" s="57" t="str">
        <f t="shared" si="137"/>
        <v/>
      </c>
      <c r="MM36" s="713">
        <f>'org. Düngung 22'!CR35</f>
        <v>0</v>
      </c>
      <c r="MN36" s="57"/>
      <c r="MO36" s="57"/>
      <c r="MP36" s="57">
        <f t="shared" si="138"/>
        <v>0</v>
      </c>
      <c r="MQ36" s="57">
        <f t="shared" si="303"/>
        <v>0</v>
      </c>
      <c r="MR36" s="57">
        <f t="shared" si="304"/>
        <v>0</v>
      </c>
      <c r="MS36" s="57">
        <f t="shared" si="305"/>
        <v>0</v>
      </c>
      <c r="MT36" s="57">
        <f t="shared" si="306"/>
        <v>0</v>
      </c>
      <c r="MU36" s="1029">
        <f t="shared" si="139"/>
        <v>0</v>
      </c>
      <c r="MV36" s="57">
        <f t="shared" si="140"/>
        <v>0</v>
      </c>
      <c r="MW36" s="171" t="str">
        <f t="shared" si="141"/>
        <v/>
      </c>
      <c r="MX36" s="57">
        <f t="shared" si="307"/>
        <v>0</v>
      </c>
      <c r="MY36" s="57">
        <f>IF(OR(AND(MM$6=1,$L36=0),AND(MM$6=2,$K36=2,$G36=1)),0,IF(AND(MO$9=2,(OR($F36&gt;1,$K36=1,AND($L36=80,OR($N36=1,AND($N36=2,'#BerechnungDBE'!$AL27&gt;0)))))),IF(MM$4&gt;=$AD$126,0,MW36),IF(MO$9=3,IF(OR(MM$4&gt;=$AD$127,AND($G36=1,$J36=2,MM$6=2),AND(MM$6=1,$N36&lt;&gt;1)),0,IF(MQ36&lt;=120,MW36,IF(MM$4&lt;$AD$124,IF($F36=1,60/MO$4*MO$6,60/MO$4*MO$7),IF($F36=1,120/MO$4*MO$6,120/MO$4*MO$7)))),IF(OR($F36=3,$G36=2),IF(OR(AND(MM$4&gt;=$AD$119,$C36=2),AND(MM$4&gt;=$AF$119,$C36=1)),0,IF(MQ36&lt;=60,MW36,60/MO$4*MO$7)),IF(AND($F36=2,$G36=1),MW36,0)))))</f>
        <v>0</v>
      </c>
      <c r="MZ36" s="57" t="str">
        <f t="shared" si="142"/>
        <v/>
      </c>
      <c r="NA36" s="57" t="str">
        <f t="shared" si="143"/>
        <v/>
      </c>
      <c r="NB36" s="713">
        <f>'org. Düngung 22'!CV35</f>
        <v>0</v>
      </c>
      <c r="NC36" s="57"/>
      <c r="ND36" s="57"/>
      <c r="NE36" s="57">
        <f t="shared" si="144"/>
        <v>0</v>
      </c>
      <c r="NF36" s="57">
        <f t="shared" si="308"/>
        <v>0</v>
      </c>
      <c r="NG36" s="57">
        <f t="shared" si="309"/>
        <v>0</v>
      </c>
      <c r="NH36" s="57">
        <f t="shared" si="310"/>
        <v>0</v>
      </c>
      <c r="NI36" s="57">
        <f t="shared" si="311"/>
        <v>0</v>
      </c>
      <c r="NJ36" s="1029">
        <f t="shared" si="145"/>
        <v>0</v>
      </c>
      <c r="NK36" s="57">
        <f t="shared" si="146"/>
        <v>0</v>
      </c>
      <c r="NL36" s="171" t="str">
        <f t="shared" si="147"/>
        <v/>
      </c>
      <c r="NM36" s="57">
        <f t="shared" si="312"/>
        <v>0</v>
      </c>
      <c r="NN36" s="57">
        <f>IF(OR(AND(NB$6=1,$L36=0),AND(NB$6=2,$K36=2,$G36=1)),0,IF(AND(ND$9=2,(OR($F36&gt;1,$K36=1,AND($L36=80,OR($N36=1,AND($N36=2,'#BerechnungDBE'!$AL27&gt;0)))))),IF(NB$4&gt;=$AD$126,0,NL36),IF(ND$9=3,IF(OR(NB$4&gt;=$AD$127,AND($G36=1,$J36=2,NB$6=2),AND(NB$6=1,$N36&lt;&gt;1)),0,IF(NF36&lt;=120,NL36,IF(NB$4&lt;$AD$124,IF($F36=1,60/ND$4*ND$6,60/ND$4*ND$7),IF($F36=1,120/ND$4*ND$6,120/ND$4*ND$7)))),IF(OR($F36=3,$G36=2),IF(OR(AND(NB$4&gt;=$AD$119,$C36=2),AND(NB$4&gt;=$AF$119,$C36=1)),0,IF(NF36&lt;=60,NL36,60/ND$4*ND$7)),IF(AND($F36=2,$G36=1),NL36,0)))))</f>
        <v>0</v>
      </c>
      <c r="NO36" s="57" t="str">
        <f t="shared" si="148"/>
        <v/>
      </c>
      <c r="NP36" s="57" t="str">
        <f t="shared" si="149"/>
        <v/>
      </c>
      <c r="NQ36" s="713">
        <f>'org. Düngung 22'!CZ35</f>
        <v>0</v>
      </c>
      <c r="NR36" s="57"/>
      <c r="NS36" s="57"/>
      <c r="NT36" s="57">
        <f t="shared" si="150"/>
        <v>0</v>
      </c>
      <c r="NU36" s="57">
        <f t="shared" si="313"/>
        <v>0</v>
      </c>
      <c r="NV36" s="57">
        <f t="shared" si="314"/>
        <v>0</v>
      </c>
      <c r="NW36" s="57">
        <f t="shared" si="315"/>
        <v>0</v>
      </c>
      <c r="NX36" s="57">
        <f t="shared" si="316"/>
        <v>0</v>
      </c>
      <c r="NY36" s="1029">
        <f t="shared" si="151"/>
        <v>0</v>
      </c>
      <c r="NZ36" s="57">
        <f t="shared" si="152"/>
        <v>0</v>
      </c>
      <c r="OA36" s="171" t="str">
        <f t="shared" si="153"/>
        <v/>
      </c>
      <c r="OB36" s="57">
        <f t="shared" si="317"/>
        <v>0</v>
      </c>
      <c r="OC36" s="57">
        <f>IF(OR(AND(NQ$6=1,$L36=0),AND(NQ$6=2,$K36=2,$G36=1)),0,IF(AND(NS$9=2,(OR($F36&gt;1,$K36=1,AND($L36=80,OR($N36=1,AND($N36=2,'#BerechnungDBE'!$AL27&gt;0)))))),IF(NQ$4&gt;=$AD$126,0,OA36),IF(NS$9=3,IF(OR(NQ$4&gt;=$AD$127,AND($G36=1,$J36=2,NQ$6=2),AND(NQ$6=1,$N36&lt;&gt;1)),0,IF(NU36&lt;=120,OA36,IF(NQ$4&lt;$AD$124,IF($F36=1,60/NS$4*NS$6,60/NS$4*NS$7),IF($F36=1,120/NS$4*NS$6,120/NS$4*NS$7)))),IF(OR($F36=3,$G36=2),IF(OR(AND(NQ$4&gt;=$AD$119,$C36=2),AND(NQ$4&gt;=$AF$119,$C36=1)),0,IF(NU36&lt;=60,OA36,60/NS$4*NS$7)),IF(AND($F36=2,$G36=1),OA36,0)))))</f>
        <v>0</v>
      </c>
      <c r="OD36" s="57" t="str">
        <f t="shared" si="154"/>
        <v/>
      </c>
      <c r="OE36" s="57" t="str">
        <f t="shared" si="155"/>
        <v/>
      </c>
      <c r="OF36" s="713">
        <f>'org. Düngung 22'!DD35</f>
        <v>0</v>
      </c>
      <c r="OG36" s="57"/>
      <c r="OH36" s="57"/>
      <c r="OI36" s="57">
        <f t="shared" si="156"/>
        <v>0</v>
      </c>
      <c r="OJ36" s="57">
        <f t="shared" si="318"/>
        <v>0</v>
      </c>
      <c r="OK36" s="57">
        <f t="shared" si="319"/>
        <v>0</v>
      </c>
      <c r="OL36" s="57">
        <f t="shared" si="320"/>
        <v>0</v>
      </c>
      <c r="OM36" s="57">
        <f t="shared" si="321"/>
        <v>0</v>
      </c>
      <c r="ON36" s="1029">
        <f t="shared" si="157"/>
        <v>0</v>
      </c>
      <c r="OO36" s="57">
        <f t="shared" si="158"/>
        <v>0</v>
      </c>
      <c r="OP36" s="171" t="str">
        <f t="shared" si="159"/>
        <v/>
      </c>
      <c r="OQ36" s="57">
        <f t="shared" si="322"/>
        <v>0</v>
      </c>
      <c r="OR36" s="57">
        <f>IF(OR(AND(OF$6=1,$L36=0),AND(OF$6=2,$K36=2,$G36=1)),0,IF(AND(OH$9=2,(OR($F36&gt;1,$K36=1,AND($L36=80,OR($N36=1,AND($N36=2,'#BerechnungDBE'!$AL27&gt;0)))))),IF(OF$4&gt;=$AD$126,0,OP36),IF(OH$9=3,IF(OR(OF$4&gt;=$AD$127,AND($G36=1,$J36=2,OF$6=2),AND(OF$6=1,$N36&lt;&gt;1)),0,IF(OJ36&lt;=120,OP36,IF(OF$4&lt;$AD$124,IF($F36=1,60/OH$4*OH$6,60/OH$4*OH$7),IF($F36=1,120/OH$4*OH$6,120/OH$4*OH$7)))),IF(OR($F36=3,$G36=2),IF(OR(AND(OF$4&gt;=$AD$119,$C36=2),AND(OF$4&gt;=$AF$119,$C36=1)),0,IF(OJ36&lt;=60,OP36,60/OH$4*OH$7)),IF(AND($F36=2,$G36=1),OP36,0)))))</f>
        <v>0</v>
      </c>
      <c r="OS36" s="57" t="str">
        <f t="shared" si="160"/>
        <v/>
      </c>
      <c r="OT36" s="57" t="str">
        <f t="shared" si="161"/>
        <v/>
      </c>
      <c r="OU36" s="713">
        <f>'org. Düngung 22'!DH35</f>
        <v>0</v>
      </c>
      <c r="OV36" s="57"/>
      <c r="OW36" s="57"/>
      <c r="OX36" s="57">
        <f t="shared" si="162"/>
        <v>0</v>
      </c>
      <c r="OY36" s="57">
        <f t="shared" si="323"/>
        <v>0</v>
      </c>
      <c r="OZ36" s="57">
        <f t="shared" si="324"/>
        <v>0</v>
      </c>
      <c r="PA36" s="57">
        <f t="shared" si="325"/>
        <v>0</v>
      </c>
      <c r="PB36" s="57">
        <f t="shared" si="326"/>
        <v>0</v>
      </c>
      <c r="PC36" s="1029">
        <f t="shared" si="163"/>
        <v>0</v>
      </c>
      <c r="PD36" s="57">
        <f t="shared" si="164"/>
        <v>0</v>
      </c>
      <c r="PE36" s="171" t="str">
        <f t="shared" si="165"/>
        <v/>
      </c>
      <c r="PF36" s="57">
        <f t="shared" si="327"/>
        <v>0</v>
      </c>
      <c r="PG36" s="57">
        <f>IF(OR(AND(OU$6=1,$L36=0),AND(OU$6=2,$K36=2,$G36=1)),0,IF(AND(OW$9=2,(OR($F36&gt;1,$K36=1,AND($L36=80,OR($N36=1,AND($N36=2,'#BerechnungDBE'!$AL27&gt;0)))))),IF(OU$4&gt;=$AD$126,0,PE36),IF(OW$9=3,IF(OR(OU$4&gt;=$AD$127,AND($G36=1,$J36=2,OU$6=2),AND(OU$6=1,$N36&lt;&gt;1)),0,IF(OY36&lt;=120,PE36,IF(OU$4&lt;$AD$124,IF($F36=1,60/OW$4*OW$6,60/OW$4*OW$7),IF($F36=1,120/OW$4*OW$6,120/OW$4*OW$7)))),IF(OR($F36=3,$G36=2),IF(OR(AND(OU$4&gt;=$AD$119,$C36=2),AND(OU$4&gt;=$AF$119,$C36=1)),0,IF(OY36&lt;=60,PE36,60/OW$4*OW$7)),IF(AND($F36=2,$G36=1),PE36,0)))))</f>
        <v>0</v>
      </c>
      <c r="PH36" s="57" t="str">
        <f t="shared" si="166"/>
        <v/>
      </c>
      <c r="PI36" s="57" t="str">
        <f t="shared" si="167"/>
        <v/>
      </c>
      <c r="PJ36" s="713">
        <f>'org. Düngung 22'!DL35</f>
        <v>0</v>
      </c>
      <c r="PK36" s="57"/>
      <c r="PL36" s="57"/>
      <c r="PM36" s="57">
        <f t="shared" si="168"/>
        <v>0</v>
      </c>
      <c r="PN36" s="57">
        <f t="shared" si="328"/>
        <v>0</v>
      </c>
      <c r="PO36" s="57">
        <f t="shared" si="329"/>
        <v>0</v>
      </c>
      <c r="PP36" s="57">
        <f t="shared" si="330"/>
        <v>0</v>
      </c>
      <c r="PQ36" s="57">
        <f t="shared" si="331"/>
        <v>0</v>
      </c>
      <c r="PR36" s="1029">
        <f t="shared" si="169"/>
        <v>0</v>
      </c>
      <c r="PS36" s="57">
        <f t="shared" si="170"/>
        <v>0</v>
      </c>
      <c r="PT36" s="171" t="str">
        <f t="shared" si="171"/>
        <v/>
      </c>
      <c r="PU36" s="57">
        <f t="shared" si="332"/>
        <v>0</v>
      </c>
      <c r="PV36" s="57">
        <f>IF(OR(AND(PJ$6=1,$L36=0),AND(PJ$6=2,$K36=2,$G36=1)),0,IF(AND(PL$9=2,(OR($F36&gt;1,$K36=1,AND($L36=80,OR($N36=1,AND($N36=2,'#BerechnungDBE'!$AL27&gt;0)))))),IF(PJ$4&gt;=$AD$126,0,PT36),IF(PL$9=3,IF(OR(PJ$4&gt;=$AD$127,AND($G36=1,$J36=2,PJ$6=2),AND(PJ$6=1,$N36&lt;&gt;1)),0,IF(PN36&lt;=120,PT36,IF(PJ$4&lt;$AD$124,IF($F36=1,60/PL$4*PL$6,60/PL$4*PL$7),IF($F36=1,120/PL$4*PL$6,120/PL$4*PL$7)))),IF(OR($F36=3,$G36=2),IF(OR(AND(PJ$4&gt;=$AD$119,$C36=2),AND(PJ$4&gt;=$AF$119,$C36=1)),0,IF(PN36&lt;=60,PT36,60/PL$4*PL$7)),IF(AND($F36=2,$G36=1),PT36,0)))))</f>
        <v>0</v>
      </c>
      <c r="PW36" s="57" t="str">
        <f t="shared" si="172"/>
        <v/>
      </c>
      <c r="PX36" s="57" t="str">
        <f t="shared" si="173"/>
        <v/>
      </c>
      <c r="PY36" s="713">
        <f>'org. Düngung 22'!DP35</f>
        <v>0</v>
      </c>
      <c r="PZ36" s="57"/>
      <c r="QA36" s="57"/>
      <c r="QB36" s="57">
        <f t="shared" si="174"/>
        <v>0</v>
      </c>
      <c r="QC36" s="57">
        <f t="shared" si="333"/>
        <v>0</v>
      </c>
      <c r="QD36" s="57">
        <f t="shared" si="334"/>
        <v>0</v>
      </c>
      <c r="QE36" s="57">
        <f t="shared" si="335"/>
        <v>0</v>
      </c>
      <c r="QF36" s="57">
        <f t="shared" si="336"/>
        <v>0</v>
      </c>
      <c r="QG36" s="1029">
        <f t="shared" si="175"/>
        <v>0</v>
      </c>
      <c r="QH36" s="57">
        <f t="shared" si="176"/>
        <v>0</v>
      </c>
      <c r="QI36" s="171" t="str">
        <f t="shared" si="177"/>
        <v/>
      </c>
      <c r="QJ36" s="57">
        <f t="shared" si="337"/>
        <v>0</v>
      </c>
      <c r="QK36" s="57">
        <f>IF(OR(AND(PY$6=1,$L36=0),AND(PY$6=2,$K36=2,$G36=1)),0,IF(AND(QA$9=2,(OR($F36&gt;1,$K36=1,AND($L36=80,OR($N36=1,AND($N36=2,'#BerechnungDBE'!$AL27&gt;0)))))),IF(PY$4&gt;=$AD$126,0,QI36),IF(QA$9=3,IF(OR(PY$4&gt;=$AD$127,AND($G36=1,$J36=2,PY$6=2),AND(PY$6=1,$N36&lt;&gt;1)),0,IF(QC36&lt;=120,QI36,IF(PY$4&lt;$AD$124,IF($F36=1,60/QA$4*QA$6,60/QA$4*QA$7),IF($F36=1,120/QA$4*QA$6,120/QA$4*QA$7)))),IF(OR($F36=3,$G36=2),IF(OR(AND(PY$4&gt;=$AD$119,$C36=2),AND(PY$4&gt;=$AF$119,$C36=1)),0,IF(QC36&lt;=60,QI36,60/QA$4*QA$7)),IF(AND($F36=2,$G36=1),QI36,0)))))</f>
        <v>0</v>
      </c>
      <c r="QL36" s="57" t="str">
        <f t="shared" si="178"/>
        <v/>
      </c>
      <c r="QM36" s="57" t="str">
        <f t="shared" si="179"/>
        <v/>
      </c>
      <c r="QN36" s="713">
        <f>'org. Düngung 22'!DT35</f>
        <v>0</v>
      </c>
      <c r="QO36" s="57"/>
      <c r="QP36" s="57"/>
      <c r="QQ36" s="57">
        <f t="shared" si="180"/>
        <v>0</v>
      </c>
      <c r="QR36" s="57">
        <f t="shared" si="338"/>
        <v>0</v>
      </c>
      <c r="QS36" s="57">
        <f t="shared" si="339"/>
        <v>0</v>
      </c>
      <c r="QT36" s="57">
        <f t="shared" si="340"/>
        <v>0</v>
      </c>
      <c r="QU36" s="57">
        <f t="shared" si="341"/>
        <v>0</v>
      </c>
      <c r="QV36" s="1029">
        <f t="shared" si="181"/>
        <v>0</v>
      </c>
      <c r="QW36" s="57">
        <f t="shared" si="182"/>
        <v>0</v>
      </c>
      <c r="QX36" s="171" t="str">
        <f t="shared" si="183"/>
        <v/>
      </c>
      <c r="QY36" s="57">
        <f t="shared" si="342"/>
        <v>0</v>
      </c>
      <c r="QZ36" s="57">
        <f>IF(OR(AND(QN$6=1,$L36=0),AND(QN$6=2,$K36=2,$G36=1)),0,IF(AND(QP$9=2,(OR($F36&gt;1,$K36=1,AND($L36=80,OR($N36=1,AND($N36=2,'#BerechnungDBE'!$AL27&gt;0)))))),IF(QN$4&gt;=$AD$126,0,QX36),IF(QP$9=3,IF(OR(QN$4&gt;=$AD$127,AND($G36=1,$J36=2,QN$6=2),AND(QN$6=1,$N36&lt;&gt;1)),0,IF(QR36&lt;=120,QX36,IF(QN$4&lt;$AD$124,IF($F36=1,60/QP$4*QP$6,60/QP$4*QP$7),IF($F36=1,120/QP$4*QP$6,120/QP$4*QP$7)))),IF(OR($F36=3,$G36=2),IF(OR(AND(QN$4&gt;=$AD$119,$C36=2),AND(QN$4&gt;=$AF$119,$C36=1)),0,IF(QR36&lt;=60,QX36,60/QP$4*QP$7)),IF(AND($F36=2,$G36=1),QX36,0)))))</f>
        <v>0</v>
      </c>
      <c r="RA36" s="57" t="str">
        <f t="shared" si="184"/>
        <v/>
      </c>
      <c r="RB36" s="57" t="str">
        <f t="shared" si="185"/>
        <v/>
      </c>
      <c r="RC36" s="713">
        <f>'org. Düngung 22'!DX35</f>
        <v>0</v>
      </c>
      <c r="RD36" s="57"/>
      <c r="RE36" s="57"/>
      <c r="RF36" s="57">
        <f t="shared" si="186"/>
        <v>0</v>
      </c>
      <c r="RG36" s="57">
        <f t="shared" si="343"/>
        <v>0</v>
      </c>
      <c r="RH36" s="57">
        <f t="shared" si="344"/>
        <v>0</v>
      </c>
      <c r="RI36" s="57">
        <f t="shared" si="345"/>
        <v>0</v>
      </c>
      <c r="RJ36" s="57">
        <f t="shared" si="346"/>
        <v>0</v>
      </c>
      <c r="RK36" s="1029">
        <f t="shared" si="187"/>
        <v>0</v>
      </c>
      <c r="RL36" s="57">
        <f t="shared" si="188"/>
        <v>0</v>
      </c>
      <c r="RM36" s="171" t="str">
        <f t="shared" si="189"/>
        <v/>
      </c>
      <c r="RN36" s="57">
        <f t="shared" si="347"/>
        <v>0</v>
      </c>
      <c r="RO36" s="57">
        <f>IF(OR(AND(RC$6=1,$L36=0),AND(RC$6=2,$K36=2,$G36=1)),0,IF(AND(RE$9=2,(OR($F36&gt;1,$K36=1,AND($L36=80,OR($N36=1,AND($N36=2,'#BerechnungDBE'!$AL27&gt;0)))))),IF(RC$4&gt;=$AD$126,0,RM36),IF(RE$9=3,IF(OR(RC$4&gt;=$AD$127,AND($G36=1,$J36=2,RC$6=2),AND(RC$6=1,$N36&lt;&gt;1)),0,IF(RG36&lt;=120,RM36,IF(RC$4&lt;$AD$124,IF($F36=1,60/RE$4*RE$6,60/RE$4*RE$7),IF($F36=1,120/RE$4*RE$6,120/RE$4*RE$7)))),IF(OR($F36=3,$G36=2),IF(OR(AND(RC$4&gt;=$AD$119,$C36=2),AND(RC$4&gt;=$AF$119,$C36=1)),0,IF(RG36&lt;=60,RM36,60/RE$4*RE$7)),IF(AND($F36=2,$G36=1),RM36,0)))))</f>
        <v>0</v>
      </c>
      <c r="RP36" s="57" t="str">
        <f t="shared" si="190"/>
        <v/>
      </c>
      <c r="RQ36" s="57" t="str">
        <f t="shared" si="191"/>
        <v/>
      </c>
      <c r="RS36" s="57" t="str">
        <f t="shared" si="348"/>
        <v/>
      </c>
      <c r="RT36" s="57" t="str">
        <f t="shared" si="192"/>
        <v/>
      </c>
      <c r="RU36" s="57" t="str">
        <f t="shared" si="193"/>
        <v/>
      </c>
      <c r="RV36" s="57" t="str">
        <f>IF(Z36&gt;'#BerechnungDBE'!BM27,$RV$9,"")</f>
        <v/>
      </c>
      <c r="RW36" s="57" t="str">
        <f>IF(AND(L36=70,AE36&gt;'#BerechnungDBE'!CQ27),$RW$9,"")</f>
        <v/>
      </c>
      <c r="RX36" s="57" t="str">
        <f>IF(OR('org. Düngung 22'!G35="--",'org. Düngung 22'!G35&lt;=170,'org. Düngung 22'!G35=""),"",$RX$9)</f>
        <v/>
      </c>
      <c r="RY36" s="57" t="str">
        <f>IF('org. Düngung 22'!K35&gt;120,'#orgDung'!$RY$9,"")</f>
        <v/>
      </c>
      <c r="RZ36" s="57" t="str">
        <f>IF('#BerechnungDBE'!P27&lt;4,"",IF(AND('#BerechnungDBE'!BZ27&gt;0,T36&gt;0),'#orgDung'!$RZ$9,""))</f>
        <v/>
      </c>
      <c r="SA36" s="57" t="str">
        <f t="shared" si="194"/>
        <v/>
      </c>
    </row>
    <row r="37" spans="1:495" s="875" customFormat="1" x14ac:dyDescent="0.2">
      <c r="A37" s="875">
        <f>'Flächen u. Kulturen'!A33</f>
        <v>24</v>
      </c>
      <c r="B37" s="367">
        <f>'#BerechnungDBE'!L28</f>
        <v>0</v>
      </c>
      <c r="C37" s="875">
        <f>'#BerechnungDBE'!R28</f>
        <v>1</v>
      </c>
      <c r="D37" s="875">
        <f>'#BerechnungDBE'!T28</f>
        <v>2</v>
      </c>
      <c r="E37" s="875" t="str">
        <f>'Flächen u. Kulturen'!E33</f>
        <v>x</v>
      </c>
      <c r="F37" s="52">
        <f>'#BerechnungDBE'!N28</f>
        <v>1</v>
      </c>
      <c r="G37" s="52">
        <f>'#BerechnungDBE'!O28</f>
        <v>1</v>
      </c>
      <c r="H37" s="875">
        <f>IF('Flächen u. Kulturen'!P33="",0,VLOOKUP('Flächen u. Kulturen'!P33,Kulturen[[HF]:[Berechnungsgruppe]],'#Frucht'!$H$1,FALSE))</f>
        <v>0</v>
      </c>
      <c r="I37" s="875">
        <f>IF('Flächen u. Kulturen'!J33="",0,VLOOKUP('Flächen u. Kulturen'!J33,Kulturen[[HF]:[Berechnungsgruppe]],'#Frucht'!$G$1,FALSE))</f>
        <v>90</v>
      </c>
      <c r="J37" s="505">
        <f t="shared" si="195"/>
        <v>2</v>
      </c>
      <c r="K37" s="505">
        <f>IF('Flächen u. Kulturen'!P33="",0,IF(VLOOKUP('Flächen u. Kulturen'!P33,Kulturen[[HF]:[Saat Winterungen]],'#Frucht'!$P$1,FALSE)&gt;0,1,2))</f>
        <v>2</v>
      </c>
      <c r="L37" s="875">
        <f>'#BerechnungDBE'!AF28</f>
        <v>0</v>
      </c>
      <c r="M37" s="875">
        <f>IF('Flächen u. Kulturen'!L33="",0,VLOOKUP('Flächen u. Kulturen'!L33,Nebenkultur[[Nebenkultur]:[Legum. Zwischenfr.]],'#Zweitfr'!$K$1,FALSE))</f>
        <v>0</v>
      </c>
      <c r="N37" s="875">
        <f>'#BerechnungDBE'!AG28</f>
        <v>0</v>
      </c>
      <c r="P37" s="57">
        <f t="shared" si="0"/>
        <v>0</v>
      </c>
      <c r="Q37" s="57">
        <f t="shared" si="1"/>
        <v>0</v>
      </c>
      <c r="R37" s="875">
        <f t="shared" si="2"/>
        <v>0</v>
      </c>
      <c r="S37" s="938" t="str">
        <f t="shared" si="3"/>
        <v/>
      </c>
      <c r="T37" s="875">
        <f t="shared" si="4"/>
        <v>0</v>
      </c>
      <c r="U37" s="875">
        <f t="shared" si="5"/>
        <v>0</v>
      </c>
      <c r="V37" s="875">
        <f t="shared" si="6"/>
        <v>0</v>
      </c>
      <c r="W37" s="875">
        <f t="shared" si="7"/>
        <v>0</v>
      </c>
      <c r="X37" s="875">
        <f t="shared" si="8"/>
        <v>0</v>
      </c>
      <c r="Y37" s="875">
        <f t="shared" si="349"/>
        <v>0</v>
      </c>
      <c r="Z37" s="875">
        <f t="shared" si="350"/>
        <v>0</v>
      </c>
      <c r="AA37" s="910">
        <f t="shared" si="9"/>
        <v>0</v>
      </c>
      <c r="AB37" s="57">
        <f t="shared" si="351"/>
        <v>0</v>
      </c>
      <c r="AC37" s="875">
        <f t="shared" si="10"/>
        <v>0</v>
      </c>
      <c r="AD37" s="875">
        <f t="shared" si="11"/>
        <v>0</v>
      </c>
      <c r="AE37" s="875">
        <f t="shared" si="12"/>
        <v>0</v>
      </c>
      <c r="AF37" s="875">
        <f t="shared" si="352"/>
        <v>0</v>
      </c>
      <c r="AG37" s="875">
        <f>'org. Düngung 22'!J36</f>
        <v>0</v>
      </c>
      <c r="AH37" s="875">
        <f>'org. Düngung 22'!K36</f>
        <v>0</v>
      </c>
      <c r="AJ37" s="713">
        <f>'org. Düngung 22'!L36</f>
        <v>0</v>
      </c>
      <c r="AK37" s="57"/>
      <c r="AL37" s="57"/>
      <c r="AM37" s="57">
        <f t="shared" si="196"/>
        <v>0</v>
      </c>
      <c r="AN37" s="57">
        <f t="shared" si="197"/>
        <v>0</v>
      </c>
      <c r="AO37" s="57">
        <f t="shared" si="198"/>
        <v>0</v>
      </c>
      <c r="AP37" s="57">
        <f t="shared" si="199"/>
        <v>0</v>
      </c>
      <c r="AQ37" s="57">
        <f t="shared" si="200"/>
        <v>0</v>
      </c>
      <c r="AR37" s="1029">
        <f t="shared" si="14"/>
        <v>0</v>
      </c>
      <c r="AS37" s="57">
        <f t="shared" si="15"/>
        <v>0</v>
      </c>
      <c r="AT37" s="171" t="str">
        <f t="shared" si="16"/>
        <v/>
      </c>
      <c r="AU37" s="57">
        <f t="shared" si="201"/>
        <v>0</v>
      </c>
      <c r="AV37" s="57">
        <f>IF(OR(AND(AJ$6=1,$L37=0),AND(AJ$6=2,$K37=2,$G37=1)),0,IF(AND(AL$9=2,(OR($F37&gt;1,$K37=1,AND($L37=80,OR($N37=1,AND($N37=2,'#BerechnungDBE'!$AL28&gt;0)))))),IF(AJ$4&gt;=$AD$126,0,AT37),IF(AL$9=3,IF(OR(AJ$4&gt;=$AD$127,AND($G37=1,$J37=2,AJ$6=2),AND(AJ$6=1,$N37&lt;&gt;1)),0,IF(AN37&lt;=120,AT37,IF(AJ$4&lt;$AD$124,IF($F37=1,60/AL$4*AL$6,60/AL$4*AL$7),IF($F37=1,120/AL$4*AL$6,120/AL$4*AL$7)))),IF(OR($F37=3,$G37=2),IF(OR(AND(AJ$4&gt;=$AD$119,$C37=2),AND(AJ$4&gt;=$AF$119,$C37=1)),0,IF(AN37&lt;=60,AT37,60/AL$4*AL$7)),IF(AND($F37=2,$G37=1),AT37,0)))))</f>
        <v>0</v>
      </c>
      <c r="AW37" s="57" t="str">
        <f t="shared" si="202"/>
        <v/>
      </c>
      <c r="AX37" s="57" t="str">
        <f t="shared" si="17"/>
        <v/>
      </c>
      <c r="AY37" s="713">
        <f>'org. Düngung 22'!P36</f>
        <v>0</v>
      </c>
      <c r="AZ37" s="57"/>
      <c r="BA37" s="57"/>
      <c r="BB37" s="57">
        <f t="shared" si="18"/>
        <v>0</v>
      </c>
      <c r="BC37" s="57">
        <f t="shared" si="203"/>
        <v>0</v>
      </c>
      <c r="BD37" s="57">
        <f t="shared" si="204"/>
        <v>0</v>
      </c>
      <c r="BE37" s="57">
        <f t="shared" si="205"/>
        <v>0</v>
      </c>
      <c r="BF37" s="57">
        <f t="shared" si="206"/>
        <v>0</v>
      </c>
      <c r="BG37" s="1029">
        <f t="shared" si="19"/>
        <v>0</v>
      </c>
      <c r="BH37" s="57">
        <f t="shared" si="20"/>
        <v>0</v>
      </c>
      <c r="BI37" s="171" t="str">
        <f t="shared" si="21"/>
        <v/>
      </c>
      <c r="BJ37" s="57">
        <f t="shared" si="207"/>
        <v>0</v>
      </c>
      <c r="BK37" s="57">
        <f>IF(OR(AND(AY$6=1,$L37=0),AND(AY$6=2,$K37=2,$G37=1)),0,IF(AND(BA$9=2,(OR($F37&gt;1,$K37=1,AND($L37=80,OR($N37=1,AND($N37=2,'#BerechnungDBE'!$AL28&gt;0)))))),IF(AY$4&gt;=$AD$126,0,BI37),IF(BA$9=3,IF(OR(AY$4&gt;=$AD$127,AND($G37=1,$J37=2,AY$6=2),AND(AY$6=1,$N37&lt;&gt;1)),0,IF(BC37&lt;=120,BI37,IF(AY$4&lt;$AD$124,IF($F37=1,60/BA$4*BA$6,60/BA$4*BA$7),IF($F37=1,120/BA$4*BA$6,120/BA$4*BA$7)))),IF(OR($F37=3,$G37=2),IF(OR(AND(AY$4&gt;=$AD$119,$C37=2),AND(AY$4&gt;=$AF$119,$C37=1)),0,IF(BC37&lt;=60,BI37,60/BA$4*BA$7)),IF(AND($F37=2,$G37=1),BI37,0)))))</f>
        <v>0</v>
      </c>
      <c r="BL37" s="57" t="str">
        <f t="shared" si="22"/>
        <v/>
      </c>
      <c r="BM37" s="57" t="str">
        <f t="shared" si="23"/>
        <v/>
      </c>
      <c r="BN37" s="713">
        <f>'org. Düngung 22'!T36</f>
        <v>0</v>
      </c>
      <c r="BO37" s="57"/>
      <c r="BP37" s="57"/>
      <c r="BQ37" s="57">
        <f t="shared" si="24"/>
        <v>0</v>
      </c>
      <c r="BR37" s="57">
        <f t="shared" si="208"/>
        <v>0</v>
      </c>
      <c r="BS37" s="57">
        <f t="shared" si="209"/>
        <v>0</v>
      </c>
      <c r="BT37" s="57">
        <f t="shared" si="210"/>
        <v>0</v>
      </c>
      <c r="BU37" s="57">
        <f t="shared" si="211"/>
        <v>0</v>
      </c>
      <c r="BV37" s="1029">
        <f t="shared" si="25"/>
        <v>0</v>
      </c>
      <c r="BW37" s="57">
        <f t="shared" si="26"/>
        <v>0</v>
      </c>
      <c r="BX37" s="171" t="str">
        <f t="shared" si="27"/>
        <v/>
      </c>
      <c r="BY37" s="57">
        <f t="shared" si="212"/>
        <v>0</v>
      </c>
      <c r="BZ37" s="57">
        <f>IF(OR(AND(BN$6=1,$L37=0),AND(BN$6=2,$K37=2,$G37=1)),0,IF(AND(BP$9=2,(OR($F37&gt;1,$K37=1,AND($L37=80,OR($N37=1,AND($N37=2,'#BerechnungDBE'!$AL28&gt;0)))))),IF(BN$4&gt;=$AD$126,0,BX37),IF(BP$9=3,IF(OR(BN$4&gt;=$AD$127,AND($G37=1,$J37=2,BN$6=2),AND(BN$6=1,$N37&lt;&gt;1)),0,IF(BR37&lt;=120,BX37,IF(BN$4&lt;$AD$124,IF($F37=1,60/BP$4*BP$6,60/BP$4*BP$7),IF($F37=1,120/BP$4*BP$6,120/BP$4*BP$7)))),IF(OR($F37=3,$G37=2),IF(OR(AND(BN$4&gt;=$AD$119,$C37=2),AND(BN$4&gt;=$AF$119,$C37=1)),0,IF(BR37&lt;=60,BX37,60/BP$4*BP$7)),IF(AND($F37=2,$G37=1),BX37,0)))))</f>
        <v>0</v>
      </c>
      <c r="CA37" s="57" t="str">
        <f t="shared" si="28"/>
        <v/>
      </c>
      <c r="CB37" s="57" t="str">
        <f t="shared" si="29"/>
        <v/>
      </c>
      <c r="CC37" s="713">
        <f>'org. Düngung 22'!X36</f>
        <v>0</v>
      </c>
      <c r="CD37" s="57"/>
      <c r="CE37" s="57"/>
      <c r="CF37" s="57">
        <f t="shared" si="30"/>
        <v>0</v>
      </c>
      <c r="CG37" s="57">
        <f t="shared" si="213"/>
        <v>0</v>
      </c>
      <c r="CH37" s="57">
        <f t="shared" si="214"/>
        <v>0</v>
      </c>
      <c r="CI37" s="57">
        <f t="shared" si="215"/>
        <v>0</v>
      </c>
      <c r="CJ37" s="57">
        <f t="shared" si="216"/>
        <v>0</v>
      </c>
      <c r="CK37" s="1029">
        <f t="shared" si="31"/>
        <v>0</v>
      </c>
      <c r="CL37" s="57">
        <f t="shared" si="32"/>
        <v>0</v>
      </c>
      <c r="CM37" s="171" t="str">
        <f t="shared" si="33"/>
        <v/>
      </c>
      <c r="CN37" s="57">
        <f t="shared" si="217"/>
        <v>0</v>
      </c>
      <c r="CO37" s="57">
        <f>IF(OR(AND(CC$6=1,$L37=0),AND(CC$6=2,$K37=2,$G37=1)),0,IF(AND(CE$9=2,(OR($F37&gt;1,$K37=1,AND($L37=80,OR($N37=1,AND($N37=2,'#BerechnungDBE'!$AL28&gt;0)))))),IF(CC$4&gt;=$AD$126,0,CM37),IF(CE$9=3,IF(OR(CC$4&gt;=$AD$127,AND($G37=1,$J37=2,CC$6=2),AND(CC$6=1,$N37&lt;&gt;1)),0,IF(CG37&lt;=120,CM37,IF(CC$4&lt;$AD$124,IF($F37=1,60/CE$4*CE$6,60/CE$4*CE$7),IF($F37=1,120/CE$4*CE$6,120/CE$4*CE$7)))),IF(OR($F37=3,$G37=2),IF(OR(AND(CC$4&gt;=$AD$119,$C37=2),AND(CC$4&gt;=$AF$119,$C37=1)),0,IF(CG37&lt;=60,CM37,60/CE$4*CE$7)),IF(AND($F37=2,$G37=1),CM37,0)))))</f>
        <v>0</v>
      </c>
      <c r="CP37" s="57" t="str">
        <f t="shared" si="34"/>
        <v/>
      </c>
      <c r="CQ37" s="57" t="str">
        <f t="shared" si="35"/>
        <v/>
      </c>
      <c r="CR37" s="713">
        <f>'org. Düngung 22'!AB36</f>
        <v>0</v>
      </c>
      <c r="CS37" s="57"/>
      <c r="CT37" s="57"/>
      <c r="CU37" s="57">
        <f t="shared" si="36"/>
        <v>0</v>
      </c>
      <c r="CV37" s="57">
        <f t="shared" si="218"/>
        <v>0</v>
      </c>
      <c r="CW37" s="57">
        <f t="shared" si="219"/>
        <v>0</v>
      </c>
      <c r="CX37" s="57">
        <f t="shared" si="220"/>
        <v>0</v>
      </c>
      <c r="CY37" s="57">
        <f t="shared" si="221"/>
        <v>0</v>
      </c>
      <c r="CZ37" s="1029">
        <f t="shared" si="37"/>
        <v>0</v>
      </c>
      <c r="DA37" s="57">
        <f t="shared" si="38"/>
        <v>0</v>
      </c>
      <c r="DB37" s="171" t="str">
        <f t="shared" si="39"/>
        <v/>
      </c>
      <c r="DC37" s="57">
        <f t="shared" si="222"/>
        <v>0</v>
      </c>
      <c r="DD37" s="57">
        <f>IF(OR(AND(CR$6=1,$L37=0),AND(CR$6=2,$K37=2,$G37=1)),0,IF(AND(CT$9=2,(OR($F37&gt;1,$K37=1,AND($L37=80,OR($N37=1,AND($N37=2,'#BerechnungDBE'!$AL28&gt;0)))))),IF(CR$4&gt;=$AD$126,0,DB37),IF(CT$9=3,IF(OR(CR$4&gt;=$AD$127,AND($G37=1,$J37=2,CR$6=2),AND(CR$6=1,$N37&lt;&gt;1)),0,IF(CV37&lt;=120,DB37,IF(CR$4&lt;$AD$124,IF($F37=1,60/CT$4*CT$6,60/CT$4*CT$7),IF($F37=1,120/CT$4*CT$6,120/CT$4*CT$7)))),IF(OR($F37=3,$G37=2),IF(OR(AND(CR$4&gt;=$AD$119,$C37=2),AND(CR$4&gt;=$AF$119,$C37=1)),0,IF(CV37&lt;=60,DB37,60/CT$4*CT$7)),IF(AND($F37=2,$G37=1),DB37,0)))))</f>
        <v>0</v>
      </c>
      <c r="DE37" s="57" t="str">
        <f t="shared" si="40"/>
        <v/>
      </c>
      <c r="DF37" s="57" t="str">
        <f t="shared" si="41"/>
        <v/>
      </c>
      <c r="DG37" s="713">
        <f>'org. Düngung 22'!AF36</f>
        <v>0</v>
      </c>
      <c r="DH37" s="57"/>
      <c r="DI37" s="57"/>
      <c r="DJ37" s="57">
        <f t="shared" si="42"/>
        <v>0</v>
      </c>
      <c r="DK37" s="57">
        <f t="shared" si="223"/>
        <v>0</v>
      </c>
      <c r="DL37" s="57">
        <f t="shared" si="224"/>
        <v>0</v>
      </c>
      <c r="DM37" s="57">
        <f t="shared" si="225"/>
        <v>0</v>
      </c>
      <c r="DN37" s="57">
        <f t="shared" si="226"/>
        <v>0</v>
      </c>
      <c r="DO37" s="1029">
        <f t="shared" si="43"/>
        <v>0</v>
      </c>
      <c r="DP37" s="57">
        <f t="shared" si="44"/>
        <v>0</v>
      </c>
      <c r="DQ37" s="171" t="str">
        <f t="shared" si="45"/>
        <v/>
      </c>
      <c r="DR37" s="57">
        <f t="shared" si="227"/>
        <v>0</v>
      </c>
      <c r="DS37" s="57">
        <f>IF(OR(AND(DG$6=1,$L37=0),AND(DG$6=2,$K37=2,$G37=1)),0,IF(AND(DI$9=2,(OR($F37&gt;1,$K37=1,AND($L37=80,OR($N37=1,AND($N37=2,'#BerechnungDBE'!$AL28&gt;0)))))),IF(DG$4&gt;=$AD$126,0,DQ37),IF(DI$9=3,IF(OR(DG$4&gt;=$AD$127,AND($G37=1,$J37=2,DG$6=2),AND(DG$6=1,$N37&lt;&gt;1)),0,IF(DK37&lt;=120,DQ37,IF(DG$4&lt;$AD$124,IF($F37=1,60/DI$4*DI$6,60/DI$4*DI$7),IF($F37=1,120/DI$4*DI$6,120/DI$4*DI$7)))),IF(OR($F37=3,$G37=2),IF(OR(AND(DG$4&gt;=$AD$119,$C37=2),AND(DG$4&gt;=$AF$119,$C37=1)),0,IF(DK37&lt;=60,DQ37,60/DI$4*DI$7)),IF(AND($F37=2,$G37=1),DQ37,0)))))</f>
        <v>0</v>
      </c>
      <c r="DT37" s="57" t="str">
        <f t="shared" si="46"/>
        <v/>
      </c>
      <c r="DU37" s="57" t="str">
        <f t="shared" si="47"/>
        <v/>
      </c>
      <c r="DV37" s="713">
        <f>'org. Düngung 22'!AJ36</f>
        <v>0</v>
      </c>
      <c r="DW37" s="57"/>
      <c r="DX37" s="57"/>
      <c r="DY37" s="57">
        <f t="shared" si="48"/>
        <v>0</v>
      </c>
      <c r="DZ37" s="57">
        <f t="shared" si="228"/>
        <v>0</v>
      </c>
      <c r="EA37" s="57">
        <f t="shared" si="229"/>
        <v>0</v>
      </c>
      <c r="EB37" s="57">
        <f t="shared" si="230"/>
        <v>0</v>
      </c>
      <c r="EC37" s="57">
        <f t="shared" si="231"/>
        <v>0</v>
      </c>
      <c r="ED37" s="1029">
        <f t="shared" si="49"/>
        <v>0</v>
      </c>
      <c r="EE37" s="57">
        <f t="shared" si="50"/>
        <v>0</v>
      </c>
      <c r="EF37" s="171" t="str">
        <f t="shared" si="51"/>
        <v/>
      </c>
      <c r="EG37" s="57">
        <f t="shared" si="232"/>
        <v>0</v>
      </c>
      <c r="EH37" s="57">
        <f>IF(OR(AND(DV$6=1,$L37=0),AND(DV$6=2,$K37=2,$G37=1)),0,IF(AND(DX$9=2,(OR($F37&gt;1,$K37=1,AND($L37=80,OR($N37=1,AND($N37=2,'#BerechnungDBE'!$AL28&gt;0)))))),IF(DV$4&gt;=$AD$126,0,EF37),IF(DX$9=3,IF(OR(DV$4&gt;=$AD$127,AND($G37=1,$J37=2,DV$6=2),AND(DV$6=1,$N37&lt;&gt;1)),0,IF(DZ37&lt;=120,EF37,IF(DV$4&lt;$AD$124,IF($F37=1,60/DX$4*DX$6,60/DX$4*DX$7),IF($F37=1,120/DX$4*DX$6,120/DX$4*DX$7)))),IF(OR($F37=3,$G37=2),IF(OR(AND(DV$4&gt;=$AD$119,$C37=2),AND(DV$4&gt;=$AF$119,$C37=1)),0,IF(DZ37&lt;=60,EF37,60/DX$4*DX$7)),IF(AND($F37=2,$G37=1),EF37,0)))))</f>
        <v>0</v>
      </c>
      <c r="EI37" s="57" t="str">
        <f t="shared" si="52"/>
        <v/>
      </c>
      <c r="EJ37" s="57" t="str">
        <f t="shared" si="53"/>
        <v/>
      </c>
      <c r="EK37" s="713">
        <f>'org. Düngung 22'!AN36</f>
        <v>0</v>
      </c>
      <c r="EL37" s="57"/>
      <c r="EM37" s="57"/>
      <c r="EN37" s="57">
        <f t="shared" si="54"/>
        <v>0</v>
      </c>
      <c r="EO37" s="57">
        <f t="shared" si="233"/>
        <v>0</v>
      </c>
      <c r="EP37" s="57">
        <f t="shared" si="234"/>
        <v>0</v>
      </c>
      <c r="EQ37" s="57">
        <f t="shared" si="235"/>
        <v>0</v>
      </c>
      <c r="ER37" s="57">
        <f t="shared" si="236"/>
        <v>0</v>
      </c>
      <c r="ES37" s="1029">
        <f t="shared" si="55"/>
        <v>0</v>
      </c>
      <c r="ET37" s="57">
        <f t="shared" si="56"/>
        <v>0</v>
      </c>
      <c r="EU37" s="171" t="str">
        <f t="shared" si="57"/>
        <v/>
      </c>
      <c r="EV37" s="57">
        <f t="shared" si="237"/>
        <v>0</v>
      </c>
      <c r="EW37" s="57">
        <f>IF(OR(AND(EK$6=1,$L37=0),AND(EK$6=2,$K37=2,$G37=1)),0,IF(AND(EM$9=2,(OR($F37&gt;1,$K37=1,AND($L37=80,OR($N37=1,AND($N37=2,'#BerechnungDBE'!$AL28&gt;0)))))),IF(EK$4&gt;=$AD$126,0,EU37),IF(EM$9=3,IF(OR(EK$4&gt;=$AD$127,AND($G37=1,$J37=2,EK$6=2),AND(EK$6=1,$N37&lt;&gt;1)),0,IF(EO37&lt;=120,EU37,IF(EK$4&lt;$AD$124,IF($F37=1,60/EM$4*EM$6,60/EM$4*EM$7),IF($F37=1,120/EM$4*EM$6,120/EM$4*EM$7)))),IF(OR($F37=3,$G37=2),IF(OR(AND(EK$4&gt;=$AD$119,$C37=2),AND(EK$4&gt;=$AF$119,$C37=1)),0,IF(EO37&lt;=60,EU37,60/EM$4*EM$7)),IF(AND($F37=2,$G37=1),EU37,0)))))</f>
        <v>0</v>
      </c>
      <c r="EX37" s="57" t="str">
        <f t="shared" si="58"/>
        <v/>
      </c>
      <c r="EY37" s="57" t="str">
        <f t="shared" si="59"/>
        <v/>
      </c>
      <c r="EZ37" s="713">
        <f>'org. Düngung 22'!AR36</f>
        <v>0</v>
      </c>
      <c r="FA37" s="57"/>
      <c r="FB37" s="57"/>
      <c r="FC37" s="57">
        <f t="shared" si="60"/>
        <v>0</v>
      </c>
      <c r="FD37" s="57">
        <f t="shared" si="238"/>
        <v>0</v>
      </c>
      <c r="FE37" s="57">
        <f t="shared" si="239"/>
        <v>0</v>
      </c>
      <c r="FF37" s="57">
        <f t="shared" si="240"/>
        <v>0</v>
      </c>
      <c r="FG37" s="57">
        <f t="shared" si="241"/>
        <v>0</v>
      </c>
      <c r="FH37" s="1029">
        <f t="shared" si="61"/>
        <v>0</v>
      </c>
      <c r="FI37" s="57">
        <f t="shared" si="62"/>
        <v>0</v>
      </c>
      <c r="FJ37" s="171" t="str">
        <f t="shared" si="63"/>
        <v/>
      </c>
      <c r="FK37" s="57">
        <f t="shared" si="242"/>
        <v>0</v>
      </c>
      <c r="FL37" s="57">
        <f>IF(OR(AND(EZ$6=1,$L37=0),AND(EZ$6=2,$K37=2,$G37=1)),0,IF(AND(FB$9=2,(OR($F37&gt;1,$K37=1,AND($L37=80,OR($N37=1,AND($N37=2,'#BerechnungDBE'!$AL28&gt;0)))))),IF(EZ$4&gt;=$AD$126,0,FJ37),IF(FB$9=3,IF(OR(EZ$4&gt;=$AD$127,AND($G37=1,$J37=2,EZ$6=2),AND(EZ$6=1,$N37&lt;&gt;1)),0,IF(FD37&lt;=120,FJ37,IF(EZ$4&lt;$AD$124,IF($F37=1,60/FB$4*FB$6,60/FB$4*FB$7),IF($F37=1,120/FB$4*FB$6,120/FB$4*FB$7)))),IF(OR($F37=3,$G37=2),IF(OR(AND(EZ$4&gt;=$AD$119,$C37=2),AND(EZ$4&gt;=$AF$119,$C37=1)),0,IF(FD37&lt;=60,FJ37,60/FB$4*FB$7)),IF(AND($F37=2,$G37=1),FJ37,0)))))</f>
        <v>0</v>
      </c>
      <c r="FM37" s="57" t="str">
        <f t="shared" si="64"/>
        <v/>
      </c>
      <c r="FN37" s="57" t="str">
        <f t="shared" si="65"/>
        <v/>
      </c>
      <c r="FO37" s="713">
        <f>'org. Düngung 22'!AV36</f>
        <v>0</v>
      </c>
      <c r="FP37" s="57"/>
      <c r="FQ37" s="57"/>
      <c r="FR37" s="57">
        <f t="shared" si="66"/>
        <v>0</v>
      </c>
      <c r="FS37" s="57">
        <f t="shared" si="243"/>
        <v>0</v>
      </c>
      <c r="FT37" s="57">
        <f t="shared" si="244"/>
        <v>0</v>
      </c>
      <c r="FU37" s="57">
        <f t="shared" si="245"/>
        <v>0</v>
      </c>
      <c r="FV37" s="57">
        <f t="shared" si="246"/>
        <v>0</v>
      </c>
      <c r="FW37" s="1029">
        <f t="shared" si="67"/>
        <v>0</v>
      </c>
      <c r="FX37" s="57">
        <f t="shared" si="68"/>
        <v>0</v>
      </c>
      <c r="FY37" s="171" t="str">
        <f t="shared" si="69"/>
        <v/>
      </c>
      <c r="FZ37" s="57">
        <f t="shared" si="247"/>
        <v>0</v>
      </c>
      <c r="GA37" s="57">
        <f>IF(OR(AND(FO$6=1,$L37=0),AND(FO$6=2,$K37=2,$G37=1)),0,IF(AND(FQ$9=2,(OR($F37&gt;1,$K37=1,AND($L37=80,OR($N37=1,AND($N37=2,'#BerechnungDBE'!$AL28&gt;0)))))),IF(FO$4&gt;=$AD$126,0,FY37),IF(FQ$9=3,IF(OR(FO$4&gt;=$AD$127,AND($G37=1,$J37=2,FO$6=2),AND(FO$6=1,$N37&lt;&gt;1)),0,IF(FS37&lt;=120,FY37,IF(FO$4&lt;$AD$124,IF($F37=1,60/FQ$4*FQ$6,60/FQ$4*FQ$7),IF($F37=1,120/FQ$4*FQ$6,120/FQ$4*FQ$7)))),IF(OR($F37=3,$G37=2),IF(OR(AND(FO$4&gt;=$AD$119,$C37=2),AND(FO$4&gt;=$AF$119,$C37=1)),0,IF(FS37&lt;=60,FY37,60/FQ$4*FQ$7)),IF(AND($F37=2,$G37=1),FY37,0)))))</f>
        <v>0</v>
      </c>
      <c r="GB37" s="57" t="str">
        <f t="shared" si="70"/>
        <v/>
      </c>
      <c r="GC37" s="57" t="str">
        <f t="shared" si="71"/>
        <v/>
      </c>
      <c r="GD37" s="713">
        <f>'org. Düngung 22'!AZ36</f>
        <v>0</v>
      </c>
      <c r="GE37" s="57"/>
      <c r="GF37" s="57"/>
      <c r="GG37" s="57">
        <f t="shared" si="72"/>
        <v>0</v>
      </c>
      <c r="GH37" s="57">
        <f t="shared" si="248"/>
        <v>0</v>
      </c>
      <c r="GI37" s="57">
        <f t="shared" si="249"/>
        <v>0</v>
      </c>
      <c r="GJ37" s="57">
        <f t="shared" si="250"/>
        <v>0</v>
      </c>
      <c r="GK37" s="57">
        <f t="shared" si="251"/>
        <v>0</v>
      </c>
      <c r="GL37" s="1029">
        <f t="shared" si="73"/>
        <v>0</v>
      </c>
      <c r="GM37" s="57">
        <f t="shared" si="74"/>
        <v>0</v>
      </c>
      <c r="GN37" s="171" t="str">
        <f t="shared" si="75"/>
        <v/>
      </c>
      <c r="GO37" s="57">
        <f t="shared" si="252"/>
        <v>0</v>
      </c>
      <c r="GP37" s="57">
        <f>IF(OR(AND(GD$6=1,$L37=0),AND(GD$6=2,$K37=2,$G37=1)),0,IF(AND(GF$9=2,(OR($F37&gt;1,$K37=1,AND($L37=80,OR($N37=1,AND($N37=2,'#BerechnungDBE'!$AL28&gt;0)))))),IF(GD$4&gt;=$AD$126,0,GN37),IF(GF$9=3,IF(OR(GD$4&gt;=$AD$127,AND($G37=1,$J37=2,GD$6=2),AND(GD$6=1,$N37&lt;&gt;1)),0,IF(GH37&lt;=120,GN37,IF(GD$4&lt;$AD$124,IF($F37=1,60/GF$4*GF$6,60/GF$4*GF$7),IF($F37=1,120/GF$4*GF$6,120/GF$4*GF$7)))),IF(OR($F37=3,$G37=2),IF(OR(AND(GD$4&gt;=$AD$119,$C37=2),AND(GD$4&gt;=$AF$119,$C37=1)),0,IF(GH37&lt;=60,GN37,60/GF$4*GF$7)),IF(AND($F37=2,$G37=1),GN37,0)))))</f>
        <v>0</v>
      </c>
      <c r="GQ37" s="57" t="str">
        <f t="shared" si="76"/>
        <v/>
      </c>
      <c r="GR37" s="57" t="str">
        <f t="shared" si="77"/>
        <v/>
      </c>
      <c r="GS37" s="713">
        <f>'org. Düngung 22'!BD36</f>
        <v>0</v>
      </c>
      <c r="GT37" s="57"/>
      <c r="GU37" s="57"/>
      <c r="GV37" s="57">
        <f t="shared" si="78"/>
        <v>0</v>
      </c>
      <c r="GW37" s="57">
        <f t="shared" si="253"/>
        <v>0</v>
      </c>
      <c r="GX37" s="57">
        <f t="shared" si="254"/>
        <v>0</v>
      </c>
      <c r="GY37" s="57">
        <f t="shared" si="255"/>
        <v>0</v>
      </c>
      <c r="GZ37" s="57">
        <f t="shared" si="256"/>
        <v>0</v>
      </c>
      <c r="HA37" s="1029">
        <f t="shared" si="79"/>
        <v>0</v>
      </c>
      <c r="HB37" s="57">
        <f t="shared" si="80"/>
        <v>0</v>
      </c>
      <c r="HC37" s="171" t="str">
        <f t="shared" si="81"/>
        <v/>
      </c>
      <c r="HD37" s="57">
        <f t="shared" si="257"/>
        <v>0</v>
      </c>
      <c r="HE37" s="57">
        <f>IF(OR(AND(GS$6=1,$L37=0),AND(GS$6=2,$K37=2,$G37=1)),0,IF(AND(GU$9=2,(OR($F37&gt;1,$K37=1,AND($L37=80,OR($N37=1,AND($N37=2,'#BerechnungDBE'!$AL28&gt;0)))))),IF(GS$4&gt;=$AD$126,0,HC37),IF(GU$9=3,IF(OR(GS$4&gt;=$AD$127,AND($G37=1,$J37=2,GS$6=2),AND(GS$6=1,$N37&lt;&gt;1)),0,IF(GW37&lt;=120,HC37,IF(GS$4&lt;$AD$124,IF($F37=1,60/GU$4*GU$6,60/GU$4*GU$7),IF($F37=1,120/GU$4*GU$6,120/GU$4*GU$7)))),IF(OR($F37=3,$G37=2),IF(OR(AND(GS$4&gt;=$AD$119,$C37=2),AND(GS$4&gt;=$AF$119,$C37=1)),0,IF(GW37&lt;=60,HC37,60/GU$4*GU$7)),IF(AND($F37=2,$G37=1),HC37,0)))))</f>
        <v>0</v>
      </c>
      <c r="HF37" s="57" t="str">
        <f t="shared" si="82"/>
        <v/>
      </c>
      <c r="HG37" s="57" t="str">
        <f t="shared" si="83"/>
        <v/>
      </c>
      <c r="HH37" s="713">
        <f>'org. Düngung 22'!BH36</f>
        <v>0</v>
      </c>
      <c r="HI37" s="57"/>
      <c r="HJ37" s="57"/>
      <c r="HK37" s="57">
        <f t="shared" si="84"/>
        <v>0</v>
      </c>
      <c r="HL37" s="57">
        <f t="shared" si="258"/>
        <v>0</v>
      </c>
      <c r="HM37" s="57">
        <f t="shared" si="259"/>
        <v>0</v>
      </c>
      <c r="HN37" s="57">
        <f t="shared" si="260"/>
        <v>0</v>
      </c>
      <c r="HO37" s="57">
        <f t="shared" si="261"/>
        <v>0</v>
      </c>
      <c r="HP37" s="1029">
        <f t="shared" si="85"/>
        <v>0</v>
      </c>
      <c r="HQ37" s="57">
        <f t="shared" si="86"/>
        <v>0</v>
      </c>
      <c r="HR37" s="171" t="str">
        <f t="shared" si="87"/>
        <v/>
      </c>
      <c r="HS37" s="57">
        <f t="shared" si="262"/>
        <v>0</v>
      </c>
      <c r="HT37" s="57">
        <f>IF(OR(AND(HH$6=1,$L37=0),AND(HH$6=2,$K37=2,$G37=1)),0,IF(AND(HJ$9=2,(OR($F37&gt;1,$K37=1,AND($L37=80,OR($N37=1,AND($N37=2,'#BerechnungDBE'!$AL28&gt;0)))))),IF(HH$4&gt;=$AD$126,0,HR37),IF(HJ$9=3,IF(OR(HH$4&gt;=$AD$127,AND($G37=1,$J37=2,HH$6=2),AND(HH$6=1,$N37&lt;&gt;1)),0,IF(HL37&lt;=120,HR37,IF(HH$4&lt;$AD$124,IF($F37=1,60/HJ$4*HJ$6,60/HJ$4*HJ$7),IF($F37=1,120/HJ$4*HJ$6,120/HJ$4*HJ$7)))),IF(OR($F37=3,$G37=2),IF(OR(AND(HH$4&gt;=$AD$119,$C37=2),AND(HH$4&gt;=$AF$119,$C37=1)),0,IF(HL37&lt;=60,HR37,60/HJ$4*HJ$7)),IF(AND($F37=2,$G37=1),HR37,0)))))</f>
        <v>0</v>
      </c>
      <c r="HU37" s="57" t="str">
        <f t="shared" si="88"/>
        <v/>
      </c>
      <c r="HV37" s="57" t="str">
        <f t="shared" si="89"/>
        <v/>
      </c>
      <c r="HW37" s="713">
        <f>'org. Düngung 22'!BL36</f>
        <v>0</v>
      </c>
      <c r="HX37" s="57"/>
      <c r="HY37" s="57"/>
      <c r="HZ37" s="57">
        <f t="shared" si="90"/>
        <v>0</v>
      </c>
      <c r="IA37" s="57">
        <f t="shared" si="263"/>
        <v>0</v>
      </c>
      <c r="IB37" s="57">
        <f t="shared" si="264"/>
        <v>0</v>
      </c>
      <c r="IC37" s="57">
        <f t="shared" si="265"/>
        <v>0</v>
      </c>
      <c r="ID37" s="57">
        <f t="shared" si="266"/>
        <v>0</v>
      </c>
      <c r="IE37" s="1029">
        <f t="shared" si="91"/>
        <v>0</v>
      </c>
      <c r="IF37" s="57">
        <f t="shared" si="92"/>
        <v>0</v>
      </c>
      <c r="IG37" s="171" t="str">
        <f t="shared" si="93"/>
        <v/>
      </c>
      <c r="IH37" s="57">
        <f t="shared" si="267"/>
        <v>0</v>
      </c>
      <c r="II37" s="57">
        <f>IF(OR(AND(HW$6=1,$L37=0),AND(HW$6=2,$K37=2,$G37=1)),0,IF(AND(HY$9=2,(OR($F37&gt;1,$K37=1,AND($L37=80,OR($N37=1,AND($N37=2,'#BerechnungDBE'!$AL28&gt;0)))))),IF(HW$4&gt;=$AD$126,0,IG37),IF(HY$9=3,IF(OR(HW$4&gt;=$AD$127,AND($G37=1,$J37=2,HW$6=2),AND(HW$6=1,$N37&lt;&gt;1)),0,IF(IA37&lt;=120,IG37,IF(HW$4&lt;$AD$124,IF($F37=1,60/HY$4*HY$6,60/HY$4*HY$7),IF($F37=1,120/HY$4*HY$6,120/HY$4*HY$7)))),IF(OR($F37=3,$G37=2),IF(OR(AND(HW$4&gt;=$AD$119,$C37=2),AND(HW$4&gt;=$AF$119,$C37=1)),0,IF(IA37&lt;=60,IG37,60/HY$4*HY$7)),IF(AND($F37=2,$G37=1),IG37,0)))))</f>
        <v>0</v>
      </c>
      <c r="IJ37" s="57" t="str">
        <f t="shared" si="94"/>
        <v/>
      </c>
      <c r="IK37" s="57" t="str">
        <f t="shared" si="95"/>
        <v/>
      </c>
      <c r="IL37" s="713">
        <f>'org. Düngung 22'!BP36</f>
        <v>0</v>
      </c>
      <c r="IM37" s="57"/>
      <c r="IN37" s="57"/>
      <c r="IO37" s="57">
        <f t="shared" si="96"/>
        <v>0</v>
      </c>
      <c r="IP37" s="57">
        <f t="shared" si="268"/>
        <v>0</v>
      </c>
      <c r="IQ37" s="57">
        <f t="shared" si="269"/>
        <v>0</v>
      </c>
      <c r="IR37" s="57">
        <f t="shared" si="270"/>
        <v>0</v>
      </c>
      <c r="IS37" s="57">
        <f t="shared" si="271"/>
        <v>0</v>
      </c>
      <c r="IT37" s="1029">
        <f t="shared" si="97"/>
        <v>0</v>
      </c>
      <c r="IU37" s="57">
        <f t="shared" si="98"/>
        <v>0</v>
      </c>
      <c r="IV37" s="171" t="str">
        <f t="shared" si="99"/>
        <v/>
      </c>
      <c r="IW37" s="57">
        <f t="shared" si="272"/>
        <v>0</v>
      </c>
      <c r="IX37" s="57">
        <f>IF(OR(AND(IL$6=1,$L37=0),AND(IL$6=2,$K37=2,$G37=1)),0,IF(AND(IN$9=2,(OR($F37&gt;1,$K37=1,AND($L37=80,OR($N37=1,AND($N37=2,'#BerechnungDBE'!$AL28&gt;0)))))),IF(IL$4&gt;=$AD$126,0,IV37),IF(IN$9=3,IF(OR(IL$4&gt;=$AD$127,AND($G37=1,$J37=2,IL$6=2),AND(IL$6=1,$N37&lt;&gt;1)),0,IF(IP37&lt;=120,IV37,IF(IL$4&lt;$AD$124,IF($F37=1,60/IN$4*IN$6,60/IN$4*IN$7),IF($F37=1,120/IN$4*IN$6,120/IN$4*IN$7)))),IF(OR($F37=3,$G37=2),IF(OR(AND(IL$4&gt;=$AD$119,$C37=2),AND(IL$4&gt;=$AF$119,$C37=1)),0,IF(IP37&lt;=60,IV37,60/IN$4*IN$7)),IF(AND($F37=2,$G37=1),IV37,0)))))</f>
        <v>0</v>
      </c>
      <c r="IY37" s="57" t="str">
        <f t="shared" si="100"/>
        <v/>
      </c>
      <c r="IZ37" s="57" t="str">
        <f t="shared" si="101"/>
        <v/>
      </c>
      <c r="JA37" s="713">
        <f>'org. Düngung 22'!BT36</f>
        <v>0</v>
      </c>
      <c r="JB37" s="57"/>
      <c r="JC37" s="57"/>
      <c r="JD37" s="57">
        <f t="shared" si="102"/>
        <v>0</v>
      </c>
      <c r="JE37" s="57">
        <f t="shared" si="273"/>
        <v>0</v>
      </c>
      <c r="JF37" s="57">
        <f t="shared" si="274"/>
        <v>0</v>
      </c>
      <c r="JG37" s="57">
        <f t="shared" si="275"/>
        <v>0</v>
      </c>
      <c r="JH37" s="57">
        <f t="shared" si="276"/>
        <v>0</v>
      </c>
      <c r="JI37" s="1029">
        <f t="shared" si="103"/>
        <v>0</v>
      </c>
      <c r="JJ37" s="57">
        <f t="shared" si="104"/>
        <v>0</v>
      </c>
      <c r="JK37" s="171" t="str">
        <f t="shared" si="105"/>
        <v/>
      </c>
      <c r="JL37" s="57">
        <f t="shared" si="277"/>
        <v>0</v>
      </c>
      <c r="JM37" s="57">
        <f>IF(OR(AND(JA$6=1,$L37=0),AND(JA$6=2,$K37=2,$G37=1)),0,IF(AND(JC$9=2,(OR($F37&gt;1,$K37=1,AND($L37=80,OR($N37=1,AND($N37=2,'#BerechnungDBE'!$AL28&gt;0)))))),IF(JA$4&gt;=$AD$126,0,JK37),IF(JC$9=3,IF(OR(JA$4&gt;=$AD$127,AND($G37=1,$J37=2,JA$6=2),AND(JA$6=1,$N37&lt;&gt;1)),0,IF(JE37&lt;=120,JK37,IF(JA$4&lt;$AD$124,IF($F37=1,60/JC$4*JC$6,60/JC$4*JC$7),IF($F37=1,120/JC$4*JC$6,120/JC$4*JC$7)))),IF(OR($F37=3,$G37=2),IF(OR(AND(JA$4&gt;=$AD$119,$C37=2),AND(JA$4&gt;=$AF$119,$C37=1)),0,IF(JE37&lt;=60,JK37,60/JC$4*JC$7)),IF(AND($F37=2,$G37=1),JK37,0)))))</f>
        <v>0</v>
      </c>
      <c r="JN37" s="57" t="str">
        <f t="shared" si="106"/>
        <v/>
      </c>
      <c r="JO37" s="57" t="str">
        <f t="shared" si="107"/>
        <v/>
      </c>
      <c r="JP37" s="713">
        <f>'org. Düngung 22'!BX36</f>
        <v>0</v>
      </c>
      <c r="JQ37" s="57"/>
      <c r="JR37" s="57"/>
      <c r="JS37" s="57">
        <f t="shared" si="108"/>
        <v>0</v>
      </c>
      <c r="JT37" s="57">
        <f t="shared" si="278"/>
        <v>0</v>
      </c>
      <c r="JU37" s="57">
        <f t="shared" si="279"/>
        <v>0</v>
      </c>
      <c r="JV37" s="57">
        <f t="shared" si="280"/>
        <v>0</v>
      </c>
      <c r="JW37" s="57">
        <f t="shared" si="281"/>
        <v>0</v>
      </c>
      <c r="JX37" s="1029">
        <f t="shared" si="109"/>
        <v>0</v>
      </c>
      <c r="JY37" s="57">
        <f t="shared" si="110"/>
        <v>0</v>
      </c>
      <c r="JZ37" s="171" t="str">
        <f t="shared" si="111"/>
        <v/>
      </c>
      <c r="KA37" s="57">
        <f t="shared" si="282"/>
        <v>0</v>
      </c>
      <c r="KB37" s="57">
        <f>IF(OR(AND(JP$6=1,$L37=0),AND(JP$6=2,$K37=2,$G37=1)),0,IF(AND(JR$9=2,(OR($F37&gt;1,$K37=1,AND($L37=80,OR($N37=1,AND($N37=2,'#BerechnungDBE'!$AL28&gt;0)))))),IF(JP$4&gt;=$AD$126,0,JZ37),IF(JR$9=3,IF(OR(JP$4&gt;=$AD$127,AND($G37=1,$J37=2,JP$6=2),AND(JP$6=1,$N37&lt;&gt;1)),0,IF(JT37&lt;=120,JZ37,IF(JP$4&lt;$AD$124,IF($F37=1,60/JR$4*JR$6,60/JR$4*JR$7),IF($F37=1,120/JR$4*JR$6,120/JR$4*JR$7)))),IF(OR($F37=3,$G37=2),IF(OR(AND(JP$4&gt;=$AD$119,$C37=2),AND(JP$4&gt;=$AF$119,$C37=1)),0,IF(JT37&lt;=60,JZ37,60/JR$4*JR$7)),IF(AND($F37=2,$G37=1),JZ37,0)))))</f>
        <v>0</v>
      </c>
      <c r="KC37" s="57" t="str">
        <f t="shared" si="112"/>
        <v/>
      </c>
      <c r="KD37" s="57" t="str">
        <f t="shared" si="113"/>
        <v/>
      </c>
      <c r="KE37" s="713">
        <f>'org. Düngung 22'!CB36</f>
        <v>0</v>
      </c>
      <c r="KF37" s="57"/>
      <c r="KG37" s="57"/>
      <c r="KH37" s="57">
        <f t="shared" si="114"/>
        <v>0</v>
      </c>
      <c r="KI37" s="57">
        <f t="shared" si="283"/>
        <v>0</v>
      </c>
      <c r="KJ37" s="57">
        <f t="shared" si="284"/>
        <v>0</v>
      </c>
      <c r="KK37" s="57">
        <f t="shared" si="285"/>
        <v>0</v>
      </c>
      <c r="KL37" s="57">
        <f t="shared" si="286"/>
        <v>0</v>
      </c>
      <c r="KM37" s="1029">
        <f t="shared" si="115"/>
        <v>0</v>
      </c>
      <c r="KN37" s="57">
        <f t="shared" si="116"/>
        <v>0</v>
      </c>
      <c r="KO37" s="171" t="str">
        <f t="shared" si="117"/>
        <v/>
      </c>
      <c r="KP37" s="57">
        <f t="shared" si="287"/>
        <v>0</v>
      </c>
      <c r="KQ37" s="57">
        <f>IF(OR(AND(KE$6=1,$L37=0),AND(KE$6=2,$K37=2,$G37=1)),0,IF(AND(KG$9=2,(OR($F37&gt;1,$K37=1,AND($L37=80,OR($N37=1,AND($N37=2,'#BerechnungDBE'!$AL28&gt;0)))))),IF(KE$4&gt;=$AD$126,0,KO37),IF(KG$9=3,IF(OR(KE$4&gt;=$AD$127,AND($G37=1,$J37=2,KE$6=2),AND(KE$6=1,$N37&lt;&gt;1)),0,IF(KI37&lt;=120,KO37,IF(KE$4&lt;$AD$124,IF($F37=1,60/KG$4*KG$6,60/KG$4*KG$7),IF($F37=1,120/KG$4*KG$6,120/KG$4*KG$7)))),IF(OR($F37=3,$G37=2),IF(OR(AND(KE$4&gt;=$AD$119,$C37=2),AND(KE$4&gt;=$AF$119,$C37=1)),0,IF(KI37&lt;=60,KO37,60/KG$4*KG$7)),IF(AND($F37=2,$G37=1),KO37,0)))))</f>
        <v>0</v>
      </c>
      <c r="KR37" s="57" t="str">
        <f t="shared" si="118"/>
        <v/>
      </c>
      <c r="KS37" s="57" t="str">
        <f t="shared" si="119"/>
        <v/>
      </c>
      <c r="KT37" s="713">
        <f>'org. Düngung 22'!CF36</f>
        <v>0</v>
      </c>
      <c r="KU37" s="57"/>
      <c r="KV37" s="57"/>
      <c r="KW37" s="57">
        <f t="shared" si="120"/>
        <v>0</v>
      </c>
      <c r="KX37" s="57">
        <f t="shared" si="288"/>
        <v>0</v>
      </c>
      <c r="KY37" s="57">
        <f t="shared" si="289"/>
        <v>0</v>
      </c>
      <c r="KZ37" s="57">
        <f t="shared" si="290"/>
        <v>0</v>
      </c>
      <c r="LA37" s="57">
        <f t="shared" si="291"/>
        <v>0</v>
      </c>
      <c r="LB37" s="1029">
        <f t="shared" si="121"/>
        <v>0</v>
      </c>
      <c r="LC37" s="57">
        <f t="shared" si="122"/>
        <v>0</v>
      </c>
      <c r="LD37" s="171" t="str">
        <f t="shared" si="123"/>
        <v/>
      </c>
      <c r="LE37" s="57">
        <f t="shared" si="292"/>
        <v>0</v>
      </c>
      <c r="LF37" s="57">
        <f>IF(OR(AND(KT$6=1,$L37=0),AND(KT$6=2,$K37=2,$G37=1)),0,IF(AND(KV$9=2,(OR($F37&gt;1,$K37=1,AND($L37=80,OR($N37=1,AND($N37=2,'#BerechnungDBE'!$AL28&gt;0)))))),IF(KT$4&gt;=$AD$126,0,LD37),IF(KV$9=3,IF(OR(KT$4&gt;=$AD$127,AND($G37=1,$J37=2,KT$6=2),AND(KT$6=1,$N37&lt;&gt;1)),0,IF(KX37&lt;=120,LD37,IF(KT$4&lt;$AD$124,IF($F37=1,60/KV$4*KV$6,60/KV$4*KV$7),IF($F37=1,120/KV$4*KV$6,120/KV$4*KV$7)))),IF(OR($F37=3,$G37=2),IF(OR(AND(KT$4&gt;=$AD$119,$C37=2),AND(KT$4&gt;=$AF$119,$C37=1)),0,IF(KX37&lt;=60,LD37,60/KV$4*KV$7)),IF(AND($F37=2,$G37=1),LD37,0)))))</f>
        <v>0</v>
      </c>
      <c r="LG37" s="57" t="str">
        <f t="shared" si="124"/>
        <v/>
      </c>
      <c r="LH37" s="57" t="str">
        <f t="shared" si="125"/>
        <v/>
      </c>
      <c r="LI37" s="713">
        <f>'org. Düngung 22'!CJ36</f>
        <v>0</v>
      </c>
      <c r="LJ37" s="57"/>
      <c r="LK37" s="57"/>
      <c r="LL37" s="57">
        <f t="shared" si="126"/>
        <v>0</v>
      </c>
      <c r="LM37" s="57">
        <f t="shared" si="293"/>
        <v>0</v>
      </c>
      <c r="LN37" s="57">
        <f t="shared" si="294"/>
        <v>0</v>
      </c>
      <c r="LO37" s="57">
        <f t="shared" si="295"/>
        <v>0</v>
      </c>
      <c r="LP37" s="57">
        <f t="shared" si="296"/>
        <v>0</v>
      </c>
      <c r="LQ37" s="1029">
        <f t="shared" si="127"/>
        <v>0</v>
      </c>
      <c r="LR37" s="57">
        <f t="shared" si="128"/>
        <v>0</v>
      </c>
      <c r="LS37" s="171" t="str">
        <f t="shared" si="129"/>
        <v/>
      </c>
      <c r="LT37" s="57">
        <f t="shared" si="297"/>
        <v>0</v>
      </c>
      <c r="LU37" s="57">
        <f>IF(OR(AND(LI$6=1,$L37=0),AND(LI$6=2,$K37=2,$G37=1)),0,IF(AND(LK$9=2,(OR($F37&gt;1,$K37=1,AND($L37=80,OR($N37=1,AND($N37=2,'#BerechnungDBE'!$AL28&gt;0)))))),IF(LI$4&gt;=$AD$126,0,LS37),IF(LK$9=3,IF(OR(LI$4&gt;=$AD$127,AND($G37=1,$J37=2,LI$6=2),AND(LI$6=1,$N37&lt;&gt;1)),0,IF(LM37&lt;=120,LS37,IF(LI$4&lt;$AD$124,IF($F37=1,60/LK$4*LK$6,60/LK$4*LK$7),IF($F37=1,120/LK$4*LK$6,120/LK$4*LK$7)))),IF(OR($F37=3,$G37=2),IF(OR(AND(LI$4&gt;=$AD$119,$C37=2),AND(LI$4&gt;=$AF$119,$C37=1)),0,IF(LM37&lt;=60,LS37,60/LK$4*LK$7)),IF(AND($F37=2,$G37=1),LS37,0)))))</f>
        <v>0</v>
      </c>
      <c r="LV37" s="57" t="str">
        <f t="shared" si="130"/>
        <v/>
      </c>
      <c r="LW37" s="57" t="str">
        <f t="shared" si="131"/>
        <v/>
      </c>
      <c r="LX37" s="713">
        <f>'org. Düngung 22'!CN36</f>
        <v>0</v>
      </c>
      <c r="LY37" s="57"/>
      <c r="LZ37" s="57"/>
      <c r="MA37" s="57">
        <f t="shared" si="132"/>
        <v>0</v>
      </c>
      <c r="MB37" s="57">
        <f t="shared" si="298"/>
        <v>0</v>
      </c>
      <c r="MC37" s="57">
        <f t="shared" si="299"/>
        <v>0</v>
      </c>
      <c r="MD37" s="57">
        <f t="shared" si="300"/>
        <v>0</v>
      </c>
      <c r="ME37" s="57">
        <f t="shared" si="301"/>
        <v>0</v>
      </c>
      <c r="MF37" s="1029">
        <f t="shared" si="133"/>
        <v>0</v>
      </c>
      <c r="MG37" s="57">
        <f t="shared" si="134"/>
        <v>0</v>
      </c>
      <c r="MH37" s="171" t="str">
        <f t="shared" si="135"/>
        <v/>
      </c>
      <c r="MI37" s="57">
        <f t="shared" si="302"/>
        <v>0</v>
      </c>
      <c r="MJ37" s="57">
        <f>IF(OR(AND(LX$6=1,$L37=0),AND(LX$6=2,$K37=2,$G37=1)),0,IF(AND(LZ$9=2,(OR($F37&gt;1,$K37=1,AND($L37=80,OR($N37=1,AND($N37=2,'#BerechnungDBE'!$AL28&gt;0)))))),IF(LX$4&gt;=$AD$126,0,MH37),IF(LZ$9=3,IF(OR(LX$4&gt;=$AD$127,AND($G37=1,$J37=2,LX$6=2),AND(LX$6=1,$N37&lt;&gt;1)),0,IF(MB37&lt;=120,MH37,IF(LX$4&lt;$AD$124,IF($F37=1,60/LZ$4*LZ$6,60/LZ$4*LZ$7),IF($F37=1,120/LZ$4*LZ$6,120/LZ$4*LZ$7)))),IF(OR($F37=3,$G37=2),IF(OR(AND(LX$4&gt;=$AD$119,$C37=2),AND(LX$4&gt;=$AF$119,$C37=1)),0,IF(MB37&lt;=60,MH37,60/LZ$4*LZ$7)),IF(AND($F37=2,$G37=1),MH37,0)))))</f>
        <v>0</v>
      </c>
      <c r="MK37" s="57" t="str">
        <f t="shared" si="136"/>
        <v/>
      </c>
      <c r="ML37" s="57" t="str">
        <f t="shared" si="137"/>
        <v/>
      </c>
      <c r="MM37" s="713">
        <f>'org. Düngung 22'!CR36</f>
        <v>0</v>
      </c>
      <c r="MN37" s="57"/>
      <c r="MO37" s="57"/>
      <c r="MP37" s="57">
        <f t="shared" si="138"/>
        <v>0</v>
      </c>
      <c r="MQ37" s="57">
        <f t="shared" si="303"/>
        <v>0</v>
      </c>
      <c r="MR37" s="57">
        <f t="shared" si="304"/>
        <v>0</v>
      </c>
      <c r="MS37" s="57">
        <f t="shared" si="305"/>
        <v>0</v>
      </c>
      <c r="MT37" s="57">
        <f t="shared" si="306"/>
        <v>0</v>
      </c>
      <c r="MU37" s="1029">
        <f t="shared" si="139"/>
        <v>0</v>
      </c>
      <c r="MV37" s="57">
        <f t="shared" si="140"/>
        <v>0</v>
      </c>
      <c r="MW37" s="171" t="str">
        <f t="shared" si="141"/>
        <v/>
      </c>
      <c r="MX37" s="57">
        <f t="shared" si="307"/>
        <v>0</v>
      </c>
      <c r="MY37" s="57">
        <f>IF(OR(AND(MM$6=1,$L37=0),AND(MM$6=2,$K37=2,$G37=1)),0,IF(AND(MO$9=2,(OR($F37&gt;1,$K37=1,AND($L37=80,OR($N37=1,AND($N37=2,'#BerechnungDBE'!$AL28&gt;0)))))),IF(MM$4&gt;=$AD$126,0,MW37),IF(MO$9=3,IF(OR(MM$4&gt;=$AD$127,AND($G37=1,$J37=2,MM$6=2),AND(MM$6=1,$N37&lt;&gt;1)),0,IF(MQ37&lt;=120,MW37,IF(MM$4&lt;$AD$124,IF($F37=1,60/MO$4*MO$6,60/MO$4*MO$7),IF($F37=1,120/MO$4*MO$6,120/MO$4*MO$7)))),IF(OR($F37=3,$G37=2),IF(OR(AND(MM$4&gt;=$AD$119,$C37=2),AND(MM$4&gt;=$AF$119,$C37=1)),0,IF(MQ37&lt;=60,MW37,60/MO$4*MO$7)),IF(AND($F37=2,$G37=1),MW37,0)))))</f>
        <v>0</v>
      </c>
      <c r="MZ37" s="57" t="str">
        <f t="shared" si="142"/>
        <v/>
      </c>
      <c r="NA37" s="57" t="str">
        <f t="shared" si="143"/>
        <v/>
      </c>
      <c r="NB37" s="713">
        <f>'org. Düngung 22'!CV36</f>
        <v>0</v>
      </c>
      <c r="NC37" s="57"/>
      <c r="ND37" s="57"/>
      <c r="NE37" s="57">
        <f t="shared" si="144"/>
        <v>0</v>
      </c>
      <c r="NF37" s="57">
        <f t="shared" si="308"/>
        <v>0</v>
      </c>
      <c r="NG37" s="57">
        <f t="shared" si="309"/>
        <v>0</v>
      </c>
      <c r="NH37" s="57">
        <f t="shared" si="310"/>
        <v>0</v>
      </c>
      <c r="NI37" s="57">
        <f t="shared" si="311"/>
        <v>0</v>
      </c>
      <c r="NJ37" s="1029">
        <f t="shared" si="145"/>
        <v>0</v>
      </c>
      <c r="NK37" s="57">
        <f t="shared" si="146"/>
        <v>0</v>
      </c>
      <c r="NL37" s="171" t="str">
        <f t="shared" si="147"/>
        <v/>
      </c>
      <c r="NM37" s="57">
        <f t="shared" si="312"/>
        <v>0</v>
      </c>
      <c r="NN37" s="57">
        <f>IF(OR(AND(NB$6=1,$L37=0),AND(NB$6=2,$K37=2,$G37=1)),0,IF(AND(ND$9=2,(OR($F37&gt;1,$K37=1,AND($L37=80,OR($N37=1,AND($N37=2,'#BerechnungDBE'!$AL28&gt;0)))))),IF(NB$4&gt;=$AD$126,0,NL37),IF(ND$9=3,IF(OR(NB$4&gt;=$AD$127,AND($G37=1,$J37=2,NB$6=2),AND(NB$6=1,$N37&lt;&gt;1)),0,IF(NF37&lt;=120,NL37,IF(NB$4&lt;$AD$124,IF($F37=1,60/ND$4*ND$6,60/ND$4*ND$7),IF($F37=1,120/ND$4*ND$6,120/ND$4*ND$7)))),IF(OR($F37=3,$G37=2),IF(OR(AND(NB$4&gt;=$AD$119,$C37=2),AND(NB$4&gt;=$AF$119,$C37=1)),0,IF(NF37&lt;=60,NL37,60/ND$4*ND$7)),IF(AND($F37=2,$G37=1),NL37,0)))))</f>
        <v>0</v>
      </c>
      <c r="NO37" s="57" t="str">
        <f t="shared" si="148"/>
        <v/>
      </c>
      <c r="NP37" s="57" t="str">
        <f t="shared" si="149"/>
        <v/>
      </c>
      <c r="NQ37" s="713">
        <f>'org. Düngung 22'!CZ36</f>
        <v>0</v>
      </c>
      <c r="NR37" s="57"/>
      <c r="NS37" s="57"/>
      <c r="NT37" s="57">
        <f t="shared" si="150"/>
        <v>0</v>
      </c>
      <c r="NU37" s="57">
        <f t="shared" si="313"/>
        <v>0</v>
      </c>
      <c r="NV37" s="57">
        <f t="shared" si="314"/>
        <v>0</v>
      </c>
      <c r="NW37" s="57">
        <f t="shared" si="315"/>
        <v>0</v>
      </c>
      <c r="NX37" s="57">
        <f t="shared" si="316"/>
        <v>0</v>
      </c>
      <c r="NY37" s="1029">
        <f t="shared" si="151"/>
        <v>0</v>
      </c>
      <c r="NZ37" s="57">
        <f t="shared" si="152"/>
        <v>0</v>
      </c>
      <c r="OA37" s="171" t="str">
        <f t="shared" si="153"/>
        <v/>
      </c>
      <c r="OB37" s="57">
        <f t="shared" si="317"/>
        <v>0</v>
      </c>
      <c r="OC37" s="57">
        <f>IF(OR(AND(NQ$6=1,$L37=0),AND(NQ$6=2,$K37=2,$G37=1)),0,IF(AND(NS$9=2,(OR($F37&gt;1,$K37=1,AND($L37=80,OR($N37=1,AND($N37=2,'#BerechnungDBE'!$AL28&gt;0)))))),IF(NQ$4&gt;=$AD$126,0,OA37),IF(NS$9=3,IF(OR(NQ$4&gt;=$AD$127,AND($G37=1,$J37=2,NQ$6=2),AND(NQ$6=1,$N37&lt;&gt;1)),0,IF(NU37&lt;=120,OA37,IF(NQ$4&lt;$AD$124,IF($F37=1,60/NS$4*NS$6,60/NS$4*NS$7),IF($F37=1,120/NS$4*NS$6,120/NS$4*NS$7)))),IF(OR($F37=3,$G37=2),IF(OR(AND(NQ$4&gt;=$AD$119,$C37=2),AND(NQ$4&gt;=$AF$119,$C37=1)),0,IF(NU37&lt;=60,OA37,60/NS$4*NS$7)),IF(AND($F37=2,$G37=1),OA37,0)))))</f>
        <v>0</v>
      </c>
      <c r="OD37" s="57" t="str">
        <f t="shared" si="154"/>
        <v/>
      </c>
      <c r="OE37" s="57" t="str">
        <f t="shared" si="155"/>
        <v/>
      </c>
      <c r="OF37" s="713">
        <f>'org. Düngung 22'!DD36</f>
        <v>0</v>
      </c>
      <c r="OG37" s="57"/>
      <c r="OH37" s="57"/>
      <c r="OI37" s="57">
        <f t="shared" si="156"/>
        <v>0</v>
      </c>
      <c r="OJ37" s="57">
        <f t="shared" si="318"/>
        <v>0</v>
      </c>
      <c r="OK37" s="57">
        <f t="shared" si="319"/>
        <v>0</v>
      </c>
      <c r="OL37" s="57">
        <f t="shared" si="320"/>
        <v>0</v>
      </c>
      <c r="OM37" s="57">
        <f t="shared" si="321"/>
        <v>0</v>
      </c>
      <c r="ON37" s="1029">
        <f t="shared" si="157"/>
        <v>0</v>
      </c>
      <c r="OO37" s="57">
        <f t="shared" si="158"/>
        <v>0</v>
      </c>
      <c r="OP37" s="171" t="str">
        <f t="shared" si="159"/>
        <v/>
      </c>
      <c r="OQ37" s="57">
        <f t="shared" si="322"/>
        <v>0</v>
      </c>
      <c r="OR37" s="57">
        <f>IF(OR(AND(OF$6=1,$L37=0),AND(OF$6=2,$K37=2,$G37=1)),0,IF(AND(OH$9=2,(OR($F37&gt;1,$K37=1,AND($L37=80,OR($N37=1,AND($N37=2,'#BerechnungDBE'!$AL28&gt;0)))))),IF(OF$4&gt;=$AD$126,0,OP37),IF(OH$9=3,IF(OR(OF$4&gt;=$AD$127,AND($G37=1,$J37=2,OF$6=2),AND(OF$6=1,$N37&lt;&gt;1)),0,IF(OJ37&lt;=120,OP37,IF(OF$4&lt;$AD$124,IF($F37=1,60/OH$4*OH$6,60/OH$4*OH$7),IF($F37=1,120/OH$4*OH$6,120/OH$4*OH$7)))),IF(OR($F37=3,$G37=2),IF(OR(AND(OF$4&gt;=$AD$119,$C37=2),AND(OF$4&gt;=$AF$119,$C37=1)),0,IF(OJ37&lt;=60,OP37,60/OH$4*OH$7)),IF(AND($F37=2,$G37=1),OP37,0)))))</f>
        <v>0</v>
      </c>
      <c r="OS37" s="57" t="str">
        <f t="shared" si="160"/>
        <v/>
      </c>
      <c r="OT37" s="57" t="str">
        <f t="shared" si="161"/>
        <v/>
      </c>
      <c r="OU37" s="713">
        <f>'org. Düngung 22'!DH36</f>
        <v>0</v>
      </c>
      <c r="OV37" s="57"/>
      <c r="OW37" s="57"/>
      <c r="OX37" s="57">
        <f t="shared" si="162"/>
        <v>0</v>
      </c>
      <c r="OY37" s="57">
        <f t="shared" si="323"/>
        <v>0</v>
      </c>
      <c r="OZ37" s="57">
        <f t="shared" si="324"/>
        <v>0</v>
      </c>
      <c r="PA37" s="57">
        <f t="shared" si="325"/>
        <v>0</v>
      </c>
      <c r="PB37" s="57">
        <f t="shared" si="326"/>
        <v>0</v>
      </c>
      <c r="PC37" s="1029">
        <f t="shared" si="163"/>
        <v>0</v>
      </c>
      <c r="PD37" s="57">
        <f t="shared" si="164"/>
        <v>0</v>
      </c>
      <c r="PE37" s="171" t="str">
        <f t="shared" si="165"/>
        <v/>
      </c>
      <c r="PF37" s="57">
        <f t="shared" si="327"/>
        <v>0</v>
      </c>
      <c r="PG37" s="57">
        <f>IF(OR(AND(OU$6=1,$L37=0),AND(OU$6=2,$K37=2,$G37=1)),0,IF(AND(OW$9=2,(OR($F37&gt;1,$K37=1,AND($L37=80,OR($N37=1,AND($N37=2,'#BerechnungDBE'!$AL28&gt;0)))))),IF(OU$4&gt;=$AD$126,0,PE37),IF(OW$9=3,IF(OR(OU$4&gt;=$AD$127,AND($G37=1,$J37=2,OU$6=2),AND(OU$6=1,$N37&lt;&gt;1)),0,IF(OY37&lt;=120,PE37,IF(OU$4&lt;$AD$124,IF($F37=1,60/OW$4*OW$6,60/OW$4*OW$7),IF($F37=1,120/OW$4*OW$6,120/OW$4*OW$7)))),IF(OR($F37=3,$G37=2),IF(OR(AND(OU$4&gt;=$AD$119,$C37=2),AND(OU$4&gt;=$AF$119,$C37=1)),0,IF(OY37&lt;=60,PE37,60/OW$4*OW$7)),IF(AND($F37=2,$G37=1),PE37,0)))))</f>
        <v>0</v>
      </c>
      <c r="PH37" s="57" t="str">
        <f t="shared" si="166"/>
        <v/>
      </c>
      <c r="PI37" s="57" t="str">
        <f t="shared" si="167"/>
        <v/>
      </c>
      <c r="PJ37" s="713">
        <f>'org. Düngung 22'!DL36</f>
        <v>0</v>
      </c>
      <c r="PK37" s="57"/>
      <c r="PL37" s="57"/>
      <c r="PM37" s="57">
        <f t="shared" si="168"/>
        <v>0</v>
      </c>
      <c r="PN37" s="57">
        <f t="shared" si="328"/>
        <v>0</v>
      </c>
      <c r="PO37" s="57">
        <f t="shared" si="329"/>
        <v>0</v>
      </c>
      <c r="PP37" s="57">
        <f t="shared" si="330"/>
        <v>0</v>
      </c>
      <c r="PQ37" s="57">
        <f t="shared" si="331"/>
        <v>0</v>
      </c>
      <c r="PR37" s="1029">
        <f t="shared" si="169"/>
        <v>0</v>
      </c>
      <c r="PS37" s="57">
        <f t="shared" si="170"/>
        <v>0</v>
      </c>
      <c r="PT37" s="171" t="str">
        <f t="shared" si="171"/>
        <v/>
      </c>
      <c r="PU37" s="57">
        <f t="shared" si="332"/>
        <v>0</v>
      </c>
      <c r="PV37" s="57">
        <f>IF(OR(AND(PJ$6=1,$L37=0),AND(PJ$6=2,$K37=2,$G37=1)),0,IF(AND(PL$9=2,(OR($F37&gt;1,$K37=1,AND($L37=80,OR($N37=1,AND($N37=2,'#BerechnungDBE'!$AL28&gt;0)))))),IF(PJ$4&gt;=$AD$126,0,PT37),IF(PL$9=3,IF(OR(PJ$4&gt;=$AD$127,AND($G37=1,$J37=2,PJ$6=2),AND(PJ$6=1,$N37&lt;&gt;1)),0,IF(PN37&lt;=120,PT37,IF(PJ$4&lt;$AD$124,IF($F37=1,60/PL$4*PL$6,60/PL$4*PL$7),IF($F37=1,120/PL$4*PL$6,120/PL$4*PL$7)))),IF(OR($F37=3,$G37=2),IF(OR(AND(PJ$4&gt;=$AD$119,$C37=2),AND(PJ$4&gt;=$AF$119,$C37=1)),0,IF(PN37&lt;=60,PT37,60/PL$4*PL$7)),IF(AND($F37=2,$G37=1),PT37,0)))))</f>
        <v>0</v>
      </c>
      <c r="PW37" s="57" t="str">
        <f t="shared" si="172"/>
        <v/>
      </c>
      <c r="PX37" s="57" t="str">
        <f t="shared" si="173"/>
        <v/>
      </c>
      <c r="PY37" s="713">
        <f>'org. Düngung 22'!DP36</f>
        <v>0</v>
      </c>
      <c r="PZ37" s="57"/>
      <c r="QA37" s="57"/>
      <c r="QB37" s="57">
        <f t="shared" si="174"/>
        <v>0</v>
      </c>
      <c r="QC37" s="57">
        <f t="shared" si="333"/>
        <v>0</v>
      </c>
      <c r="QD37" s="57">
        <f t="shared" si="334"/>
        <v>0</v>
      </c>
      <c r="QE37" s="57">
        <f t="shared" si="335"/>
        <v>0</v>
      </c>
      <c r="QF37" s="57">
        <f t="shared" si="336"/>
        <v>0</v>
      </c>
      <c r="QG37" s="1029">
        <f t="shared" si="175"/>
        <v>0</v>
      </c>
      <c r="QH37" s="57">
        <f t="shared" si="176"/>
        <v>0</v>
      </c>
      <c r="QI37" s="171" t="str">
        <f t="shared" si="177"/>
        <v/>
      </c>
      <c r="QJ37" s="57">
        <f t="shared" si="337"/>
        <v>0</v>
      </c>
      <c r="QK37" s="57">
        <f>IF(OR(AND(PY$6=1,$L37=0),AND(PY$6=2,$K37=2,$G37=1)),0,IF(AND(QA$9=2,(OR($F37&gt;1,$K37=1,AND($L37=80,OR($N37=1,AND($N37=2,'#BerechnungDBE'!$AL28&gt;0)))))),IF(PY$4&gt;=$AD$126,0,QI37),IF(QA$9=3,IF(OR(PY$4&gt;=$AD$127,AND($G37=1,$J37=2,PY$6=2),AND(PY$6=1,$N37&lt;&gt;1)),0,IF(QC37&lt;=120,QI37,IF(PY$4&lt;$AD$124,IF($F37=1,60/QA$4*QA$6,60/QA$4*QA$7),IF($F37=1,120/QA$4*QA$6,120/QA$4*QA$7)))),IF(OR($F37=3,$G37=2),IF(OR(AND(PY$4&gt;=$AD$119,$C37=2),AND(PY$4&gt;=$AF$119,$C37=1)),0,IF(QC37&lt;=60,QI37,60/QA$4*QA$7)),IF(AND($F37=2,$G37=1),QI37,0)))))</f>
        <v>0</v>
      </c>
      <c r="QL37" s="57" t="str">
        <f t="shared" si="178"/>
        <v/>
      </c>
      <c r="QM37" s="57" t="str">
        <f t="shared" si="179"/>
        <v/>
      </c>
      <c r="QN37" s="713">
        <f>'org. Düngung 22'!DT36</f>
        <v>0</v>
      </c>
      <c r="QO37" s="57"/>
      <c r="QP37" s="57"/>
      <c r="QQ37" s="57">
        <f t="shared" si="180"/>
        <v>0</v>
      </c>
      <c r="QR37" s="57">
        <f t="shared" si="338"/>
        <v>0</v>
      </c>
      <c r="QS37" s="57">
        <f t="shared" si="339"/>
        <v>0</v>
      </c>
      <c r="QT37" s="57">
        <f t="shared" si="340"/>
        <v>0</v>
      </c>
      <c r="QU37" s="57">
        <f t="shared" si="341"/>
        <v>0</v>
      </c>
      <c r="QV37" s="1029">
        <f t="shared" si="181"/>
        <v>0</v>
      </c>
      <c r="QW37" s="57">
        <f t="shared" si="182"/>
        <v>0</v>
      </c>
      <c r="QX37" s="171" t="str">
        <f t="shared" si="183"/>
        <v/>
      </c>
      <c r="QY37" s="57">
        <f t="shared" si="342"/>
        <v>0</v>
      </c>
      <c r="QZ37" s="57">
        <f>IF(OR(AND(QN$6=1,$L37=0),AND(QN$6=2,$K37=2,$G37=1)),0,IF(AND(QP$9=2,(OR($F37&gt;1,$K37=1,AND($L37=80,OR($N37=1,AND($N37=2,'#BerechnungDBE'!$AL28&gt;0)))))),IF(QN$4&gt;=$AD$126,0,QX37),IF(QP$9=3,IF(OR(QN$4&gt;=$AD$127,AND($G37=1,$J37=2,QN$6=2),AND(QN$6=1,$N37&lt;&gt;1)),0,IF(QR37&lt;=120,QX37,IF(QN$4&lt;$AD$124,IF($F37=1,60/QP$4*QP$6,60/QP$4*QP$7),IF($F37=1,120/QP$4*QP$6,120/QP$4*QP$7)))),IF(OR($F37=3,$G37=2),IF(OR(AND(QN$4&gt;=$AD$119,$C37=2),AND(QN$4&gt;=$AF$119,$C37=1)),0,IF(QR37&lt;=60,QX37,60/QP$4*QP$7)),IF(AND($F37=2,$G37=1),QX37,0)))))</f>
        <v>0</v>
      </c>
      <c r="RA37" s="57" t="str">
        <f t="shared" si="184"/>
        <v/>
      </c>
      <c r="RB37" s="57" t="str">
        <f t="shared" si="185"/>
        <v/>
      </c>
      <c r="RC37" s="713">
        <f>'org. Düngung 22'!DX36</f>
        <v>0</v>
      </c>
      <c r="RD37" s="57"/>
      <c r="RE37" s="57"/>
      <c r="RF37" s="57">
        <f t="shared" si="186"/>
        <v>0</v>
      </c>
      <c r="RG37" s="57">
        <f t="shared" si="343"/>
        <v>0</v>
      </c>
      <c r="RH37" s="57">
        <f t="shared" si="344"/>
        <v>0</v>
      </c>
      <c r="RI37" s="57">
        <f t="shared" si="345"/>
        <v>0</v>
      </c>
      <c r="RJ37" s="57">
        <f t="shared" si="346"/>
        <v>0</v>
      </c>
      <c r="RK37" s="1029">
        <f t="shared" si="187"/>
        <v>0</v>
      </c>
      <c r="RL37" s="57">
        <f t="shared" si="188"/>
        <v>0</v>
      </c>
      <c r="RM37" s="171" t="str">
        <f t="shared" si="189"/>
        <v/>
      </c>
      <c r="RN37" s="57">
        <f t="shared" si="347"/>
        <v>0</v>
      </c>
      <c r="RO37" s="57">
        <f>IF(OR(AND(RC$6=1,$L37=0),AND(RC$6=2,$K37=2,$G37=1)),0,IF(AND(RE$9=2,(OR($F37&gt;1,$K37=1,AND($L37=80,OR($N37=1,AND($N37=2,'#BerechnungDBE'!$AL28&gt;0)))))),IF(RC$4&gt;=$AD$126,0,RM37),IF(RE$9=3,IF(OR(RC$4&gt;=$AD$127,AND($G37=1,$J37=2,RC$6=2),AND(RC$6=1,$N37&lt;&gt;1)),0,IF(RG37&lt;=120,RM37,IF(RC$4&lt;$AD$124,IF($F37=1,60/RE$4*RE$6,60/RE$4*RE$7),IF($F37=1,120/RE$4*RE$6,120/RE$4*RE$7)))),IF(OR($F37=3,$G37=2),IF(OR(AND(RC$4&gt;=$AD$119,$C37=2),AND(RC$4&gt;=$AF$119,$C37=1)),0,IF(RG37&lt;=60,RM37,60/RE$4*RE$7)),IF(AND($F37=2,$G37=1),RM37,0)))))</f>
        <v>0</v>
      </c>
      <c r="RP37" s="57" t="str">
        <f t="shared" si="190"/>
        <v/>
      </c>
      <c r="RQ37" s="57" t="str">
        <f t="shared" si="191"/>
        <v/>
      </c>
      <c r="RS37" s="57" t="str">
        <f t="shared" si="348"/>
        <v/>
      </c>
      <c r="RT37" s="57" t="str">
        <f t="shared" si="192"/>
        <v/>
      </c>
      <c r="RU37" s="57" t="str">
        <f t="shared" si="193"/>
        <v/>
      </c>
      <c r="RV37" s="57" t="str">
        <f>IF(Z37&gt;'#BerechnungDBE'!BM28,$RV$9,"")</f>
        <v/>
      </c>
      <c r="RW37" s="57" t="str">
        <f>IF(AND(L37=70,AE37&gt;'#BerechnungDBE'!CQ28),$RW$9,"")</f>
        <v/>
      </c>
      <c r="RX37" s="57" t="str">
        <f>IF(OR('org. Düngung 22'!G36="--",'org. Düngung 22'!G36&lt;=170,'org. Düngung 22'!G36=""),"",$RX$9)</f>
        <v/>
      </c>
      <c r="RY37" s="57" t="str">
        <f>IF('org. Düngung 22'!K36&gt;120,'#orgDung'!$RY$9,"")</f>
        <v/>
      </c>
      <c r="RZ37" s="57" t="str">
        <f>IF('#BerechnungDBE'!P28&lt;4,"",IF(AND('#BerechnungDBE'!BZ28&gt;0,T37&gt;0),'#orgDung'!$RZ$9,""))</f>
        <v/>
      </c>
      <c r="SA37" s="57" t="str">
        <f t="shared" si="194"/>
        <v/>
      </c>
    </row>
    <row r="38" spans="1:495" s="875" customFormat="1" x14ac:dyDescent="0.2">
      <c r="A38" s="875">
        <f>'Flächen u. Kulturen'!A34</f>
        <v>25</v>
      </c>
      <c r="B38" s="367">
        <f>'#BerechnungDBE'!L29</f>
        <v>0</v>
      </c>
      <c r="C38" s="875">
        <f>'#BerechnungDBE'!R29</f>
        <v>1</v>
      </c>
      <c r="D38" s="875">
        <f>'#BerechnungDBE'!T29</f>
        <v>2</v>
      </c>
      <c r="E38" s="875" t="str">
        <f>'Flächen u. Kulturen'!E34</f>
        <v>x</v>
      </c>
      <c r="F38" s="52">
        <f>'#BerechnungDBE'!N29</f>
        <v>1</v>
      </c>
      <c r="G38" s="52">
        <f>'#BerechnungDBE'!O29</f>
        <v>1</v>
      </c>
      <c r="H38" s="875">
        <f>IF('Flächen u. Kulturen'!P34="",0,VLOOKUP('Flächen u. Kulturen'!P34,Kulturen[[HF]:[Berechnungsgruppe]],'#Frucht'!$H$1,FALSE))</f>
        <v>0</v>
      </c>
      <c r="I38" s="875">
        <f>IF('Flächen u. Kulturen'!J34="",0,VLOOKUP('Flächen u. Kulturen'!J34,Kulturen[[HF]:[Berechnungsgruppe]],'#Frucht'!$G$1,FALSE))</f>
        <v>90</v>
      </c>
      <c r="J38" s="505">
        <f t="shared" si="195"/>
        <v>2</v>
      </c>
      <c r="K38" s="505">
        <f>IF('Flächen u. Kulturen'!P34="",0,IF(VLOOKUP('Flächen u. Kulturen'!P34,Kulturen[[HF]:[Saat Winterungen]],'#Frucht'!$P$1,FALSE)&gt;0,1,2))</f>
        <v>2</v>
      </c>
      <c r="L38" s="875">
        <f>'#BerechnungDBE'!AF29</f>
        <v>0</v>
      </c>
      <c r="M38" s="875">
        <f>IF('Flächen u. Kulturen'!L34="",0,VLOOKUP('Flächen u. Kulturen'!L34,Nebenkultur[[Nebenkultur]:[Legum. Zwischenfr.]],'#Zweitfr'!$K$1,FALSE))</f>
        <v>0</v>
      </c>
      <c r="N38" s="875">
        <f>'#BerechnungDBE'!AG29</f>
        <v>0</v>
      </c>
      <c r="P38" s="57">
        <f t="shared" si="0"/>
        <v>0</v>
      </c>
      <c r="Q38" s="57">
        <f t="shared" si="1"/>
        <v>0</v>
      </c>
      <c r="R38" s="875">
        <f t="shared" si="2"/>
        <v>0</v>
      </c>
      <c r="S38" s="938" t="str">
        <f t="shared" si="3"/>
        <v/>
      </c>
      <c r="T38" s="875">
        <f t="shared" si="4"/>
        <v>0</v>
      </c>
      <c r="U38" s="875">
        <f t="shared" si="5"/>
        <v>0</v>
      </c>
      <c r="V38" s="875">
        <f t="shared" si="6"/>
        <v>0</v>
      </c>
      <c r="W38" s="875">
        <f t="shared" si="7"/>
        <v>0</v>
      </c>
      <c r="X38" s="875">
        <f t="shared" si="8"/>
        <v>0</v>
      </c>
      <c r="Y38" s="875">
        <f t="shared" si="349"/>
        <v>0</v>
      </c>
      <c r="Z38" s="875">
        <f t="shared" si="350"/>
        <v>0</v>
      </c>
      <c r="AA38" s="910">
        <f t="shared" si="9"/>
        <v>0</v>
      </c>
      <c r="AB38" s="57">
        <f t="shared" si="351"/>
        <v>0</v>
      </c>
      <c r="AC38" s="875">
        <f t="shared" si="10"/>
        <v>0</v>
      </c>
      <c r="AD38" s="875">
        <f t="shared" si="11"/>
        <v>0</v>
      </c>
      <c r="AE38" s="875">
        <f t="shared" si="12"/>
        <v>0</v>
      </c>
      <c r="AF38" s="875">
        <f t="shared" si="352"/>
        <v>0</v>
      </c>
      <c r="AG38" s="875">
        <f>'org. Düngung 22'!J37</f>
        <v>0</v>
      </c>
      <c r="AH38" s="875">
        <f>'org. Düngung 22'!K37</f>
        <v>0</v>
      </c>
      <c r="AJ38" s="713">
        <f>'org. Düngung 22'!L37</f>
        <v>0</v>
      </c>
      <c r="AK38" s="57"/>
      <c r="AL38" s="57"/>
      <c r="AM38" s="57">
        <f t="shared" si="196"/>
        <v>0</v>
      </c>
      <c r="AN38" s="57">
        <f t="shared" si="197"/>
        <v>0</v>
      </c>
      <c r="AO38" s="57">
        <f t="shared" si="198"/>
        <v>0</v>
      </c>
      <c r="AP38" s="57">
        <f t="shared" si="199"/>
        <v>0</v>
      </c>
      <c r="AQ38" s="57">
        <f t="shared" si="200"/>
        <v>0</v>
      </c>
      <c r="AR38" s="1029">
        <f t="shared" si="14"/>
        <v>0</v>
      </c>
      <c r="AS38" s="57">
        <f t="shared" si="15"/>
        <v>0</v>
      </c>
      <c r="AT38" s="171" t="str">
        <f t="shared" si="16"/>
        <v/>
      </c>
      <c r="AU38" s="57">
        <f t="shared" si="201"/>
        <v>0</v>
      </c>
      <c r="AV38" s="57">
        <f>IF(OR(AND(AJ$6=1,$L38=0),AND(AJ$6=2,$K38=2,$G38=1)),0,IF(AND(AL$9=2,(OR($F38&gt;1,$K38=1,AND($L38=80,OR($N38=1,AND($N38=2,'#BerechnungDBE'!$AL29&gt;0)))))),IF(AJ$4&gt;=$AD$126,0,AT38),IF(AL$9=3,IF(OR(AJ$4&gt;=$AD$127,AND($G38=1,$J38=2,AJ$6=2),AND(AJ$6=1,$N38&lt;&gt;1)),0,IF(AN38&lt;=120,AT38,IF(AJ$4&lt;$AD$124,IF($F38=1,60/AL$4*AL$6,60/AL$4*AL$7),IF($F38=1,120/AL$4*AL$6,120/AL$4*AL$7)))),IF(OR($F38=3,$G38=2),IF(OR(AND(AJ$4&gt;=$AD$119,$C38=2),AND(AJ$4&gt;=$AF$119,$C38=1)),0,IF(AN38&lt;=60,AT38,60/AL$4*AL$7)),IF(AND($F38=2,$G38=1),AT38,0)))))</f>
        <v>0</v>
      </c>
      <c r="AW38" s="57" t="str">
        <f t="shared" si="202"/>
        <v/>
      </c>
      <c r="AX38" s="57" t="str">
        <f t="shared" si="17"/>
        <v/>
      </c>
      <c r="AY38" s="713">
        <f>'org. Düngung 22'!P37</f>
        <v>0</v>
      </c>
      <c r="AZ38" s="57"/>
      <c r="BA38" s="57"/>
      <c r="BB38" s="57">
        <f t="shared" si="18"/>
        <v>0</v>
      </c>
      <c r="BC38" s="57">
        <f t="shared" si="203"/>
        <v>0</v>
      </c>
      <c r="BD38" s="57">
        <f t="shared" si="204"/>
        <v>0</v>
      </c>
      <c r="BE38" s="57">
        <f t="shared" si="205"/>
        <v>0</v>
      </c>
      <c r="BF38" s="57">
        <f t="shared" si="206"/>
        <v>0</v>
      </c>
      <c r="BG38" s="1029">
        <f t="shared" si="19"/>
        <v>0</v>
      </c>
      <c r="BH38" s="57">
        <f t="shared" si="20"/>
        <v>0</v>
      </c>
      <c r="BI38" s="171" t="str">
        <f t="shared" si="21"/>
        <v/>
      </c>
      <c r="BJ38" s="57">
        <f t="shared" si="207"/>
        <v>0</v>
      </c>
      <c r="BK38" s="57">
        <f>IF(OR(AND(AY$6=1,$L38=0),AND(AY$6=2,$K38=2,$G38=1)),0,IF(AND(BA$9=2,(OR($F38&gt;1,$K38=1,AND($L38=80,OR($N38=1,AND($N38=2,'#BerechnungDBE'!$AL29&gt;0)))))),IF(AY$4&gt;=$AD$126,0,BI38),IF(BA$9=3,IF(OR(AY$4&gt;=$AD$127,AND($G38=1,$J38=2,AY$6=2),AND(AY$6=1,$N38&lt;&gt;1)),0,IF(BC38&lt;=120,BI38,IF(AY$4&lt;$AD$124,IF($F38=1,60/BA$4*BA$6,60/BA$4*BA$7),IF($F38=1,120/BA$4*BA$6,120/BA$4*BA$7)))),IF(OR($F38=3,$G38=2),IF(OR(AND(AY$4&gt;=$AD$119,$C38=2),AND(AY$4&gt;=$AF$119,$C38=1)),0,IF(BC38&lt;=60,BI38,60/BA$4*BA$7)),IF(AND($F38=2,$G38=1),BI38,0)))))</f>
        <v>0</v>
      </c>
      <c r="BL38" s="57" t="str">
        <f t="shared" si="22"/>
        <v/>
      </c>
      <c r="BM38" s="57" t="str">
        <f t="shared" si="23"/>
        <v/>
      </c>
      <c r="BN38" s="713">
        <f>'org. Düngung 22'!T37</f>
        <v>0</v>
      </c>
      <c r="BO38" s="57"/>
      <c r="BP38" s="57"/>
      <c r="BQ38" s="57">
        <f t="shared" si="24"/>
        <v>0</v>
      </c>
      <c r="BR38" s="57">
        <f t="shared" si="208"/>
        <v>0</v>
      </c>
      <c r="BS38" s="57">
        <f t="shared" si="209"/>
        <v>0</v>
      </c>
      <c r="BT38" s="57">
        <f t="shared" si="210"/>
        <v>0</v>
      </c>
      <c r="BU38" s="57">
        <f t="shared" si="211"/>
        <v>0</v>
      </c>
      <c r="BV38" s="1029">
        <f t="shared" si="25"/>
        <v>0</v>
      </c>
      <c r="BW38" s="57">
        <f t="shared" si="26"/>
        <v>0</v>
      </c>
      <c r="BX38" s="171" t="str">
        <f t="shared" si="27"/>
        <v/>
      </c>
      <c r="BY38" s="57">
        <f t="shared" si="212"/>
        <v>0</v>
      </c>
      <c r="BZ38" s="57">
        <f>IF(OR(AND(BN$6=1,$L38=0),AND(BN$6=2,$K38=2,$G38=1)),0,IF(AND(BP$9=2,(OR($F38&gt;1,$K38=1,AND($L38=80,OR($N38=1,AND($N38=2,'#BerechnungDBE'!$AL29&gt;0)))))),IF(BN$4&gt;=$AD$126,0,BX38),IF(BP$9=3,IF(OR(BN$4&gt;=$AD$127,AND($G38=1,$J38=2,BN$6=2),AND(BN$6=1,$N38&lt;&gt;1)),0,IF(BR38&lt;=120,BX38,IF(BN$4&lt;$AD$124,IF($F38=1,60/BP$4*BP$6,60/BP$4*BP$7),IF($F38=1,120/BP$4*BP$6,120/BP$4*BP$7)))),IF(OR($F38=3,$G38=2),IF(OR(AND(BN$4&gt;=$AD$119,$C38=2),AND(BN$4&gt;=$AF$119,$C38=1)),0,IF(BR38&lt;=60,BX38,60/BP$4*BP$7)),IF(AND($F38=2,$G38=1),BX38,0)))))</f>
        <v>0</v>
      </c>
      <c r="CA38" s="57" t="str">
        <f t="shared" si="28"/>
        <v/>
      </c>
      <c r="CB38" s="57" t="str">
        <f t="shared" si="29"/>
        <v/>
      </c>
      <c r="CC38" s="713">
        <f>'org. Düngung 22'!X37</f>
        <v>0</v>
      </c>
      <c r="CD38" s="57"/>
      <c r="CE38" s="57"/>
      <c r="CF38" s="57">
        <f t="shared" si="30"/>
        <v>0</v>
      </c>
      <c r="CG38" s="57">
        <f t="shared" si="213"/>
        <v>0</v>
      </c>
      <c r="CH38" s="57">
        <f t="shared" si="214"/>
        <v>0</v>
      </c>
      <c r="CI38" s="57">
        <f t="shared" si="215"/>
        <v>0</v>
      </c>
      <c r="CJ38" s="57">
        <f t="shared" si="216"/>
        <v>0</v>
      </c>
      <c r="CK38" s="1029">
        <f t="shared" si="31"/>
        <v>0</v>
      </c>
      <c r="CL38" s="57">
        <f t="shared" si="32"/>
        <v>0</v>
      </c>
      <c r="CM38" s="171" t="str">
        <f t="shared" si="33"/>
        <v/>
      </c>
      <c r="CN38" s="57">
        <f t="shared" si="217"/>
        <v>0</v>
      </c>
      <c r="CO38" s="57">
        <f>IF(OR(AND(CC$6=1,$L38=0),AND(CC$6=2,$K38=2,$G38=1)),0,IF(AND(CE$9=2,(OR($F38&gt;1,$K38=1,AND($L38=80,OR($N38=1,AND($N38=2,'#BerechnungDBE'!$AL29&gt;0)))))),IF(CC$4&gt;=$AD$126,0,CM38),IF(CE$9=3,IF(OR(CC$4&gt;=$AD$127,AND($G38=1,$J38=2,CC$6=2),AND(CC$6=1,$N38&lt;&gt;1)),0,IF(CG38&lt;=120,CM38,IF(CC$4&lt;$AD$124,IF($F38=1,60/CE$4*CE$6,60/CE$4*CE$7),IF($F38=1,120/CE$4*CE$6,120/CE$4*CE$7)))),IF(OR($F38=3,$G38=2),IF(OR(AND(CC$4&gt;=$AD$119,$C38=2),AND(CC$4&gt;=$AF$119,$C38=1)),0,IF(CG38&lt;=60,CM38,60/CE$4*CE$7)),IF(AND($F38=2,$G38=1),CM38,0)))))</f>
        <v>0</v>
      </c>
      <c r="CP38" s="57" t="str">
        <f t="shared" si="34"/>
        <v/>
      </c>
      <c r="CQ38" s="57" t="str">
        <f t="shared" si="35"/>
        <v/>
      </c>
      <c r="CR38" s="713">
        <f>'org. Düngung 22'!AB37</f>
        <v>0</v>
      </c>
      <c r="CS38" s="57"/>
      <c r="CT38" s="57"/>
      <c r="CU38" s="57">
        <f t="shared" si="36"/>
        <v>0</v>
      </c>
      <c r="CV38" s="57">
        <f t="shared" si="218"/>
        <v>0</v>
      </c>
      <c r="CW38" s="57">
        <f t="shared" si="219"/>
        <v>0</v>
      </c>
      <c r="CX38" s="57">
        <f t="shared" si="220"/>
        <v>0</v>
      </c>
      <c r="CY38" s="57">
        <f t="shared" si="221"/>
        <v>0</v>
      </c>
      <c r="CZ38" s="1029">
        <f t="shared" si="37"/>
        <v>0</v>
      </c>
      <c r="DA38" s="57">
        <f t="shared" si="38"/>
        <v>0</v>
      </c>
      <c r="DB38" s="171" t="str">
        <f t="shared" si="39"/>
        <v/>
      </c>
      <c r="DC38" s="57">
        <f t="shared" si="222"/>
        <v>0</v>
      </c>
      <c r="DD38" s="57">
        <f>IF(OR(AND(CR$6=1,$L38=0),AND(CR$6=2,$K38=2,$G38=1)),0,IF(AND(CT$9=2,(OR($F38&gt;1,$K38=1,AND($L38=80,OR($N38=1,AND($N38=2,'#BerechnungDBE'!$AL29&gt;0)))))),IF(CR$4&gt;=$AD$126,0,DB38),IF(CT$9=3,IF(OR(CR$4&gt;=$AD$127,AND($G38=1,$J38=2,CR$6=2),AND(CR$6=1,$N38&lt;&gt;1)),0,IF(CV38&lt;=120,DB38,IF(CR$4&lt;$AD$124,IF($F38=1,60/CT$4*CT$6,60/CT$4*CT$7),IF($F38=1,120/CT$4*CT$6,120/CT$4*CT$7)))),IF(OR($F38=3,$G38=2),IF(OR(AND(CR$4&gt;=$AD$119,$C38=2),AND(CR$4&gt;=$AF$119,$C38=1)),0,IF(CV38&lt;=60,DB38,60/CT$4*CT$7)),IF(AND($F38=2,$G38=1),DB38,0)))))</f>
        <v>0</v>
      </c>
      <c r="DE38" s="57" t="str">
        <f t="shared" si="40"/>
        <v/>
      </c>
      <c r="DF38" s="57" t="str">
        <f t="shared" si="41"/>
        <v/>
      </c>
      <c r="DG38" s="713">
        <f>'org. Düngung 22'!AF37</f>
        <v>0</v>
      </c>
      <c r="DH38" s="57"/>
      <c r="DI38" s="57"/>
      <c r="DJ38" s="57">
        <f t="shared" si="42"/>
        <v>0</v>
      </c>
      <c r="DK38" s="57">
        <f t="shared" si="223"/>
        <v>0</v>
      </c>
      <c r="DL38" s="57">
        <f t="shared" si="224"/>
        <v>0</v>
      </c>
      <c r="DM38" s="57">
        <f t="shared" si="225"/>
        <v>0</v>
      </c>
      <c r="DN38" s="57">
        <f t="shared" si="226"/>
        <v>0</v>
      </c>
      <c r="DO38" s="1029">
        <f t="shared" si="43"/>
        <v>0</v>
      </c>
      <c r="DP38" s="57">
        <f t="shared" si="44"/>
        <v>0</v>
      </c>
      <c r="DQ38" s="171" t="str">
        <f t="shared" si="45"/>
        <v/>
      </c>
      <c r="DR38" s="57">
        <f t="shared" si="227"/>
        <v>0</v>
      </c>
      <c r="DS38" s="57">
        <f>IF(OR(AND(DG$6=1,$L38=0),AND(DG$6=2,$K38=2,$G38=1)),0,IF(AND(DI$9=2,(OR($F38&gt;1,$K38=1,AND($L38=80,OR($N38=1,AND($N38=2,'#BerechnungDBE'!$AL29&gt;0)))))),IF(DG$4&gt;=$AD$126,0,DQ38),IF(DI$9=3,IF(OR(DG$4&gt;=$AD$127,AND($G38=1,$J38=2,DG$6=2),AND(DG$6=1,$N38&lt;&gt;1)),0,IF(DK38&lt;=120,DQ38,IF(DG$4&lt;$AD$124,IF($F38=1,60/DI$4*DI$6,60/DI$4*DI$7),IF($F38=1,120/DI$4*DI$6,120/DI$4*DI$7)))),IF(OR($F38=3,$G38=2),IF(OR(AND(DG$4&gt;=$AD$119,$C38=2),AND(DG$4&gt;=$AF$119,$C38=1)),0,IF(DK38&lt;=60,DQ38,60/DI$4*DI$7)),IF(AND($F38=2,$G38=1),DQ38,0)))))</f>
        <v>0</v>
      </c>
      <c r="DT38" s="57" t="str">
        <f t="shared" si="46"/>
        <v/>
      </c>
      <c r="DU38" s="57" t="str">
        <f t="shared" si="47"/>
        <v/>
      </c>
      <c r="DV38" s="713">
        <f>'org. Düngung 22'!AJ37</f>
        <v>0</v>
      </c>
      <c r="DW38" s="57"/>
      <c r="DX38" s="57"/>
      <c r="DY38" s="57">
        <f t="shared" si="48"/>
        <v>0</v>
      </c>
      <c r="DZ38" s="57">
        <f t="shared" si="228"/>
        <v>0</v>
      </c>
      <c r="EA38" s="57">
        <f t="shared" si="229"/>
        <v>0</v>
      </c>
      <c r="EB38" s="57">
        <f t="shared" si="230"/>
        <v>0</v>
      </c>
      <c r="EC38" s="57">
        <f t="shared" si="231"/>
        <v>0</v>
      </c>
      <c r="ED38" s="1029">
        <f t="shared" si="49"/>
        <v>0</v>
      </c>
      <c r="EE38" s="57">
        <f t="shared" si="50"/>
        <v>0</v>
      </c>
      <c r="EF38" s="171" t="str">
        <f t="shared" si="51"/>
        <v/>
      </c>
      <c r="EG38" s="57">
        <f t="shared" si="232"/>
        <v>0</v>
      </c>
      <c r="EH38" s="57">
        <f>IF(OR(AND(DV$6=1,$L38=0),AND(DV$6=2,$K38=2,$G38=1)),0,IF(AND(DX$9=2,(OR($F38&gt;1,$K38=1,AND($L38=80,OR($N38=1,AND($N38=2,'#BerechnungDBE'!$AL29&gt;0)))))),IF(DV$4&gt;=$AD$126,0,EF38),IF(DX$9=3,IF(OR(DV$4&gt;=$AD$127,AND($G38=1,$J38=2,DV$6=2),AND(DV$6=1,$N38&lt;&gt;1)),0,IF(DZ38&lt;=120,EF38,IF(DV$4&lt;$AD$124,IF($F38=1,60/DX$4*DX$6,60/DX$4*DX$7),IF($F38=1,120/DX$4*DX$6,120/DX$4*DX$7)))),IF(OR($F38=3,$G38=2),IF(OR(AND(DV$4&gt;=$AD$119,$C38=2),AND(DV$4&gt;=$AF$119,$C38=1)),0,IF(DZ38&lt;=60,EF38,60/DX$4*DX$7)),IF(AND($F38=2,$G38=1),EF38,0)))))</f>
        <v>0</v>
      </c>
      <c r="EI38" s="57" t="str">
        <f t="shared" si="52"/>
        <v/>
      </c>
      <c r="EJ38" s="57" t="str">
        <f t="shared" si="53"/>
        <v/>
      </c>
      <c r="EK38" s="713">
        <f>'org. Düngung 22'!AN37</f>
        <v>0</v>
      </c>
      <c r="EL38" s="57"/>
      <c r="EM38" s="57"/>
      <c r="EN38" s="57">
        <f t="shared" si="54"/>
        <v>0</v>
      </c>
      <c r="EO38" s="57">
        <f t="shared" si="233"/>
        <v>0</v>
      </c>
      <c r="EP38" s="57">
        <f t="shared" si="234"/>
        <v>0</v>
      </c>
      <c r="EQ38" s="57">
        <f t="shared" si="235"/>
        <v>0</v>
      </c>
      <c r="ER38" s="57">
        <f t="shared" si="236"/>
        <v>0</v>
      </c>
      <c r="ES38" s="1029">
        <f t="shared" si="55"/>
        <v>0</v>
      </c>
      <c r="ET38" s="57">
        <f t="shared" si="56"/>
        <v>0</v>
      </c>
      <c r="EU38" s="171" t="str">
        <f t="shared" si="57"/>
        <v/>
      </c>
      <c r="EV38" s="57">
        <f t="shared" si="237"/>
        <v>0</v>
      </c>
      <c r="EW38" s="57">
        <f>IF(OR(AND(EK$6=1,$L38=0),AND(EK$6=2,$K38=2,$G38=1)),0,IF(AND(EM$9=2,(OR($F38&gt;1,$K38=1,AND($L38=80,OR($N38=1,AND($N38=2,'#BerechnungDBE'!$AL29&gt;0)))))),IF(EK$4&gt;=$AD$126,0,EU38),IF(EM$9=3,IF(OR(EK$4&gt;=$AD$127,AND($G38=1,$J38=2,EK$6=2),AND(EK$6=1,$N38&lt;&gt;1)),0,IF(EO38&lt;=120,EU38,IF(EK$4&lt;$AD$124,IF($F38=1,60/EM$4*EM$6,60/EM$4*EM$7),IF($F38=1,120/EM$4*EM$6,120/EM$4*EM$7)))),IF(OR($F38=3,$G38=2),IF(OR(AND(EK$4&gt;=$AD$119,$C38=2),AND(EK$4&gt;=$AF$119,$C38=1)),0,IF(EO38&lt;=60,EU38,60/EM$4*EM$7)),IF(AND($F38=2,$G38=1),EU38,0)))))</f>
        <v>0</v>
      </c>
      <c r="EX38" s="57" t="str">
        <f t="shared" si="58"/>
        <v/>
      </c>
      <c r="EY38" s="57" t="str">
        <f t="shared" si="59"/>
        <v/>
      </c>
      <c r="EZ38" s="713">
        <f>'org. Düngung 22'!AR37</f>
        <v>0</v>
      </c>
      <c r="FA38" s="57"/>
      <c r="FB38" s="57"/>
      <c r="FC38" s="57">
        <f t="shared" si="60"/>
        <v>0</v>
      </c>
      <c r="FD38" s="57">
        <f t="shared" si="238"/>
        <v>0</v>
      </c>
      <c r="FE38" s="57">
        <f t="shared" si="239"/>
        <v>0</v>
      </c>
      <c r="FF38" s="57">
        <f t="shared" si="240"/>
        <v>0</v>
      </c>
      <c r="FG38" s="57">
        <f t="shared" si="241"/>
        <v>0</v>
      </c>
      <c r="FH38" s="1029">
        <f t="shared" si="61"/>
        <v>0</v>
      </c>
      <c r="FI38" s="57">
        <f t="shared" si="62"/>
        <v>0</v>
      </c>
      <c r="FJ38" s="171" t="str">
        <f t="shared" si="63"/>
        <v/>
      </c>
      <c r="FK38" s="57">
        <f t="shared" si="242"/>
        <v>0</v>
      </c>
      <c r="FL38" s="57">
        <f>IF(OR(AND(EZ$6=1,$L38=0),AND(EZ$6=2,$K38=2,$G38=1)),0,IF(AND(FB$9=2,(OR($F38&gt;1,$K38=1,AND($L38=80,OR($N38=1,AND($N38=2,'#BerechnungDBE'!$AL29&gt;0)))))),IF(EZ$4&gt;=$AD$126,0,FJ38),IF(FB$9=3,IF(OR(EZ$4&gt;=$AD$127,AND($G38=1,$J38=2,EZ$6=2),AND(EZ$6=1,$N38&lt;&gt;1)),0,IF(FD38&lt;=120,FJ38,IF(EZ$4&lt;$AD$124,IF($F38=1,60/FB$4*FB$6,60/FB$4*FB$7),IF($F38=1,120/FB$4*FB$6,120/FB$4*FB$7)))),IF(OR($F38=3,$G38=2),IF(OR(AND(EZ$4&gt;=$AD$119,$C38=2),AND(EZ$4&gt;=$AF$119,$C38=1)),0,IF(FD38&lt;=60,FJ38,60/FB$4*FB$7)),IF(AND($F38=2,$G38=1),FJ38,0)))))</f>
        <v>0</v>
      </c>
      <c r="FM38" s="57" t="str">
        <f t="shared" si="64"/>
        <v/>
      </c>
      <c r="FN38" s="57" t="str">
        <f t="shared" si="65"/>
        <v/>
      </c>
      <c r="FO38" s="713">
        <f>'org. Düngung 22'!AV37</f>
        <v>0</v>
      </c>
      <c r="FP38" s="57"/>
      <c r="FQ38" s="57"/>
      <c r="FR38" s="57">
        <f t="shared" si="66"/>
        <v>0</v>
      </c>
      <c r="FS38" s="57">
        <f t="shared" si="243"/>
        <v>0</v>
      </c>
      <c r="FT38" s="57">
        <f t="shared" si="244"/>
        <v>0</v>
      </c>
      <c r="FU38" s="57">
        <f t="shared" si="245"/>
        <v>0</v>
      </c>
      <c r="FV38" s="57">
        <f t="shared" si="246"/>
        <v>0</v>
      </c>
      <c r="FW38" s="1029">
        <f t="shared" si="67"/>
        <v>0</v>
      </c>
      <c r="FX38" s="57">
        <f t="shared" si="68"/>
        <v>0</v>
      </c>
      <c r="FY38" s="171" t="str">
        <f t="shared" si="69"/>
        <v/>
      </c>
      <c r="FZ38" s="57">
        <f t="shared" si="247"/>
        <v>0</v>
      </c>
      <c r="GA38" s="57">
        <f>IF(OR(AND(FO$6=1,$L38=0),AND(FO$6=2,$K38=2,$G38=1)),0,IF(AND(FQ$9=2,(OR($F38&gt;1,$K38=1,AND($L38=80,OR($N38=1,AND($N38=2,'#BerechnungDBE'!$AL29&gt;0)))))),IF(FO$4&gt;=$AD$126,0,FY38),IF(FQ$9=3,IF(OR(FO$4&gt;=$AD$127,AND($G38=1,$J38=2,FO$6=2),AND(FO$6=1,$N38&lt;&gt;1)),0,IF(FS38&lt;=120,FY38,IF(FO$4&lt;$AD$124,IF($F38=1,60/FQ$4*FQ$6,60/FQ$4*FQ$7),IF($F38=1,120/FQ$4*FQ$6,120/FQ$4*FQ$7)))),IF(OR($F38=3,$G38=2),IF(OR(AND(FO$4&gt;=$AD$119,$C38=2),AND(FO$4&gt;=$AF$119,$C38=1)),0,IF(FS38&lt;=60,FY38,60/FQ$4*FQ$7)),IF(AND($F38=2,$G38=1),FY38,0)))))</f>
        <v>0</v>
      </c>
      <c r="GB38" s="57" t="str">
        <f t="shared" si="70"/>
        <v/>
      </c>
      <c r="GC38" s="57" t="str">
        <f t="shared" si="71"/>
        <v/>
      </c>
      <c r="GD38" s="713">
        <f>'org. Düngung 22'!AZ37</f>
        <v>0</v>
      </c>
      <c r="GE38" s="57"/>
      <c r="GF38" s="57"/>
      <c r="GG38" s="57">
        <f t="shared" si="72"/>
        <v>0</v>
      </c>
      <c r="GH38" s="57">
        <f t="shared" si="248"/>
        <v>0</v>
      </c>
      <c r="GI38" s="57">
        <f t="shared" si="249"/>
        <v>0</v>
      </c>
      <c r="GJ38" s="57">
        <f t="shared" si="250"/>
        <v>0</v>
      </c>
      <c r="GK38" s="57">
        <f t="shared" si="251"/>
        <v>0</v>
      </c>
      <c r="GL38" s="1029">
        <f t="shared" si="73"/>
        <v>0</v>
      </c>
      <c r="GM38" s="57">
        <f t="shared" si="74"/>
        <v>0</v>
      </c>
      <c r="GN38" s="171" t="str">
        <f t="shared" si="75"/>
        <v/>
      </c>
      <c r="GO38" s="57">
        <f t="shared" si="252"/>
        <v>0</v>
      </c>
      <c r="GP38" s="57">
        <f>IF(OR(AND(GD$6=1,$L38=0),AND(GD$6=2,$K38=2,$G38=1)),0,IF(AND(GF$9=2,(OR($F38&gt;1,$K38=1,AND($L38=80,OR($N38=1,AND($N38=2,'#BerechnungDBE'!$AL29&gt;0)))))),IF(GD$4&gt;=$AD$126,0,GN38),IF(GF$9=3,IF(OR(GD$4&gt;=$AD$127,AND($G38=1,$J38=2,GD$6=2),AND(GD$6=1,$N38&lt;&gt;1)),0,IF(GH38&lt;=120,GN38,IF(GD$4&lt;$AD$124,IF($F38=1,60/GF$4*GF$6,60/GF$4*GF$7),IF($F38=1,120/GF$4*GF$6,120/GF$4*GF$7)))),IF(OR($F38=3,$G38=2),IF(OR(AND(GD$4&gt;=$AD$119,$C38=2),AND(GD$4&gt;=$AF$119,$C38=1)),0,IF(GH38&lt;=60,GN38,60/GF$4*GF$7)),IF(AND($F38=2,$G38=1),GN38,0)))))</f>
        <v>0</v>
      </c>
      <c r="GQ38" s="57" t="str">
        <f t="shared" si="76"/>
        <v/>
      </c>
      <c r="GR38" s="57" t="str">
        <f t="shared" si="77"/>
        <v/>
      </c>
      <c r="GS38" s="713">
        <f>'org. Düngung 22'!BD37</f>
        <v>0</v>
      </c>
      <c r="GT38" s="57"/>
      <c r="GU38" s="57"/>
      <c r="GV38" s="57">
        <f t="shared" si="78"/>
        <v>0</v>
      </c>
      <c r="GW38" s="57">
        <f t="shared" si="253"/>
        <v>0</v>
      </c>
      <c r="GX38" s="57">
        <f t="shared" si="254"/>
        <v>0</v>
      </c>
      <c r="GY38" s="57">
        <f t="shared" si="255"/>
        <v>0</v>
      </c>
      <c r="GZ38" s="57">
        <f t="shared" si="256"/>
        <v>0</v>
      </c>
      <c r="HA38" s="1029">
        <f t="shared" si="79"/>
        <v>0</v>
      </c>
      <c r="HB38" s="57">
        <f t="shared" si="80"/>
        <v>0</v>
      </c>
      <c r="HC38" s="171" t="str">
        <f t="shared" si="81"/>
        <v/>
      </c>
      <c r="HD38" s="57">
        <f t="shared" si="257"/>
        <v>0</v>
      </c>
      <c r="HE38" s="57">
        <f>IF(OR(AND(GS$6=1,$L38=0),AND(GS$6=2,$K38=2,$G38=1)),0,IF(AND(GU$9=2,(OR($F38&gt;1,$K38=1,AND($L38=80,OR($N38=1,AND($N38=2,'#BerechnungDBE'!$AL29&gt;0)))))),IF(GS$4&gt;=$AD$126,0,HC38),IF(GU$9=3,IF(OR(GS$4&gt;=$AD$127,AND($G38=1,$J38=2,GS$6=2),AND(GS$6=1,$N38&lt;&gt;1)),0,IF(GW38&lt;=120,HC38,IF(GS$4&lt;$AD$124,IF($F38=1,60/GU$4*GU$6,60/GU$4*GU$7),IF($F38=1,120/GU$4*GU$6,120/GU$4*GU$7)))),IF(OR($F38=3,$G38=2),IF(OR(AND(GS$4&gt;=$AD$119,$C38=2),AND(GS$4&gt;=$AF$119,$C38=1)),0,IF(GW38&lt;=60,HC38,60/GU$4*GU$7)),IF(AND($F38=2,$G38=1),HC38,0)))))</f>
        <v>0</v>
      </c>
      <c r="HF38" s="57" t="str">
        <f t="shared" si="82"/>
        <v/>
      </c>
      <c r="HG38" s="57" t="str">
        <f t="shared" si="83"/>
        <v/>
      </c>
      <c r="HH38" s="713">
        <f>'org. Düngung 22'!BH37</f>
        <v>0</v>
      </c>
      <c r="HI38" s="57"/>
      <c r="HJ38" s="57"/>
      <c r="HK38" s="57">
        <f t="shared" si="84"/>
        <v>0</v>
      </c>
      <c r="HL38" s="57">
        <f t="shared" si="258"/>
        <v>0</v>
      </c>
      <c r="HM38" s="57">
        <f t="shared" si="259"/>
        <v>0</v>
      </c>
      <c r="HN38" s="57">
        <f t="shared" si="260"/>
        <v>0</v>
      </c>
      <c r="HO38" s="57">
        <f t="shared" si="261"/>
        <v>0</v>
      </c>
      <c r="HP38" s="1029">
        <f t="shared" si="85"/>
        <v>0</v>
      </c>
      <c r="HQ38" s="57">
        <f t="shared" si="86"/>
        <v>0</v>
      </c>
      <c r="HR38" s="171" t="str">
        <f t="shared" si="87"/>
        <v/>
      </c>
      <c r="HS38" s="57">
        <f t="shared" si="262"/>
        <v>0</v>
      </c>
      <c r="HT38" s="57">
        <f>IF(OR(AND(HH$6=1,$L38=0),AND(HH$6=2,$K38=2,$G38=1)),0,IF(AND(HJ$9=2,(OR($F38&gt;1,$K38=1,AND($L38=80,OR($N38=1,AND($N38=2,'#BerechnungDBE'!$AL29&gt;0)))))),IF(HH$4&gt;=$AD$126,0,HR38),IF(HJ$9=3,IF(OR(HH$4&gt;=$AD$127,AND($G38=1,$J38=2,HH$6=2),AND(HH$6=1,$N38&lt;&gt;1)),0,IF(HL38&lt;=120,HR38,IF(HH$4&lt;$AD$124,IF($F38=1,60/HJ$4*HJ$6,60/HJ$4*HJ$7),IF($F38=1,120/HJ$4*HJ$6,120/HJ$4*HJ$7)))),IF(OR($F38=3,$G38=2),IF(OR(AND(HH$4&gt;=$AD$119,$C38=2),AND(HH$4&gt;=$AF$119,$C38=1)),0,IF(HL38&lt;=60,HR38,60/HJ$4*HJ$7)),IF(AND($F38=2,$G38=1),HR38,0)))))</f>
        <v>0</v>
      </c>
      <c r="HU38" s="57" t="str">
        <f t="shared" si="88"/>
        <v/>
      </c>
      <c r="HV38" s="57" t="str">
        <f t="shared" si="89"/>
        <v/>
      </c>
      <c r="HW38" s="713">
        <f>'org. Düngung 22'!BL37</f>
        <v>0</v>
      </c>
      <c r="HX38" s="57"/>
      <c r="HY38" s="57"/>
      <c r="HZ38" s="57">
        <f t="shared" si="90"/>
        <v>0</v>
      </c>
      <c r="IA38" s="57">
        <f t="shared" si="263"/>
        <v>0</v>
      </c>
      <c r="IB38" s="57">
        <f t="shared" si="264"/>
        <v>0</v>
      </c>
      <c r="IC38" s="57">
        <f t="shared" si="265"/>
        <v>0</v>
      </c>
      <c r="ID38" s="57">
        <f t="shared" si="266"/>
        <v>0</v>
      </c>
      <c r="IE38" s="1029">
        <f t="shared" si="91"/>
        <v>0</v>
      </c>
      <c r="IF38" s="57">
        <f t="shared" si="92"/>
        <v>0</v>
      </c>
      <c r="IG38" s="171" t="str">
        <f t="shared" si="93"/>
        <v/>
      </c>
      <c r="IH38" s="57">
        <f t="shared" si="267"/>
        <v>0</v>
      </c>
      <c r="II38" s="57">
        <f>IF(OR(AND(HW$6=1,$L38=0),AND(HW$6=2,$K38=2,$G38=1)),0,IF(AND(HY$9=2,(OR($F38&gt;1,$K38=1,AND($L38=80,OR($N38=1,AND($N38=2,'#BerechnungDBE'!$AL29&gt;0)))))),IF(HW$4&gt;=$AD$126,0,IG38),IF(HY$9=3,IF(OR(HW$4&gt;=$AD$127,AND($G38=1,$J38=2,HW$6=2),AND(HW$6=1,$N38&lt;&gt;1)),0,IF(IA38&lt;=120,IG38,IF(HW$4&lt;$AD$124,IF($F38=1,60/HY$4*HY$6,60/HY$4*HY$7),IF($F38=1,120/HY$4*HY$6,120/HY$4*HY$7)))),IF(OR($F38=3,$G38=2),IF(OR(AND(HW$4&gt;=$AD$119,$C38=2),AND(HW$4&gt;=$AF$119,$C38=1)),0,IF(IA38&lt;=60,IG38,60/HY$4*HY$7)),IF(AND($F38=2,$G38=1),IG38,0)))))</f>
        <v>0</v>
      </c>
      <c r="IJ38" s="57" t="str">
        <f t="shared" si="94"/>
        <v/>
      </c>
      <c r="IK38" s="57" t="str">
        <f t="shared" si="95"/>
        <v/>
      </c>
      <c r="IL38" s="713">
        <f>'org. Düngung 22'!BP37</f>
        <v>0</v>
      </c>
      <c r="IM38" s="57"/>
      <c r="IN38" s="57"/>
      <c r="IO38" s="57">
        <f t="shared" si="96"/>
        <v>0</v>
      </c>
      <c r="IP38" s="57">
        <f t="shared" si="268"/>
        <v>0</v>
      </c>
      <c r="IQ38" s="57">
        <f t="shared" si="269"/>
        <v>0</v>
      </c>
      <c r="IR38" s="57">
        <f t="shared" si="270"/>
        <v>0</v>
      </c>
      <c r="IS38" s="57">
        <f t="shared" si="271"/>
        <v>0</v>
      </c>
      <c r="IT38" s="1029">
        <f t="shared" si="97"/>
        <v>0</v>
      </c>
      <c r="IU38" s="57">
        <f t="shared" si="98"/>
        <v>0</v>
      </c>
      <c r="IV38" s="171" t="str">
        <f t="shared" si="99"/>
        <v/>
      </c>
      <c r="IW38" s="57">
        <f t="shared" si="272"/>
        <v>0</v>
      </c>
      <c r="IX38" s="57">
        <f>IF(OR(AND(IL$6=1,$L38=0),AND(IL$6=2,$K38=2,$G38=1)),0,IF(AND(IN$9=2,(OR($F38&gt;1,$K38=1,AND($L38=80,OR($N38=1,AND($N38=2,'#BerechnungDBE'!$AL29&gt;0)))))),IF(IL$4&gt;=$AD$126,0,IV38),IF(IN$9=3,IF(OR(IL$4&gt;=$AD$127,AND($G38=1,$J38=2,IL$6=2),AND(IL$6=1,$N38&lt;&gt;1)),0,IF(IP38&lt;=120,IV38,IF(IL$4&lt;$AD$124,IF($F38=1,60/IN$4*IN$6,60/IN$4*IN$7),IF($F38=1,120/IN$4*IN$6,120/IN$4*IN$7)))),IF(OR($F38=3,$G38=2),IF(OR(AND(IL$4&gt;=$AD$119,$C38=2),AND(IL$4&gt;=$AF$119,$C38=1)),0,IF(IP38&lt;=60,IV38,60/IN$4*IN$7)),IF(AND($F38=2,$G38=1),IV38,0)))))</f>
        <v>0</v>
      </c>
      <c r="IY38" s="57" t="str">
        <f t="shared" si="100"/>
        <v/>
      </c>
      <c r="IZ38" s="57" t="str">
        <f t="shared" si="101"/>
        <v/>
      </c>
      <c r="JA38" s="713">
        <f>'org. Düngung 22'!BT37</f>
        <v>0</v>
      </c>
      <c r="JB38" s="57"/>
      <c r="JC38" s="57"/>
      <c r="JD38" s="57">
        <f t="shared" si="102"/>
        <v>0</v>
      </c>
      <c r="JE38" s="57">
        <f t="shared" si="273"/>
        <v>0</v>
      </c>
      <c r="JF38" s="57">
        <f t="shared" si="274"/>
        <v>0</v>
      </c>
      <c r="JG38" s="57">
        <f t="shared" si="275"/>
        <v>0</v>
      </c>
      <c r="JH38" s="57">
        <f t="shared" si="276"/>
        <v>0</v>
      </c>
      <c r="JI38" s="1029">
        <f t="shared" si="103"/>
        <v>0</v>
      </c>
      <c r="JJ38" s="57">
        <f t="shared" si="104"/>
        <v>0</v>
      </c>
      <c r="JK38" s="171" t="str">
        <f t="shared" si="105"/>
        <v/>
      </c>
      <c r="JL38" s="57">
        <f t="shared" si="277"/>
        <v>0</v>
      </c>
      <c r="JM38" s="57">
        <f>IF(OR(AND(JA$6=1,$L38=0),AND(JA$6=2,$K38=2,$G38=1)),0,IF(AND(JC$9=2,(OR($F38&gt;1,$K38=1,AND($L38=80,OR($N38=1,AND($N38=2,'#BerechnungDBE'!$AL29&gt;0)))))),IF(JA$4&gt;=$AD$126,0,JK38),IF(JC$9=3,IF(OR(JA$4&gt;=$AD$127,AND($G38=1,$J38=2,JA$6=2),AND(JA$6=1,$N38&lt;&gt;1)),0,IF(JE38&lt;=120,JK38,IF(JA$4&lt;$AD$124,IF($F38=1,60/JC$4*JC$6,60/JC$4*JC$7),IF($F38=1,120/JC$4*JC$6,120/JC$4*JC$7)))),IF(OR($F38=3,$G38=2),IF(OR(AND(JA$4&gt;=$AD$119,$C38=2),AND(JA$4&gt;=$AF$119,$C38=1)),0,IF(JE38&lt;=60,JK38,60/JC$4*JC$7)),IF(AND($F38=2,$G38=1),JK38,0)))))</f>
        <v>0</v>
      </c>
      <c r="JN38" s="57" t="str">
        <f t="shared" si="106"/>
        <v/>
      </c>
      <c r="JO38" s="57" t="str">
        <f t="shared" si="107"/>
        <v/>
      </c>
      <c r="JP38" s="713">
        <f>'org. Düngung 22'!BX37</f>
        <v>0</v>
      </c>
      <c r="JQ38" s="57"/>
      <c r="JR38" s="57"/>
      <c r="JS38" s="57">
        <f t="shared" si="108"/>
        <v>0</v>
      </c>
      <c r="JT38" s="57">
        <f t="shared" si="278"/>
        <v>0</v>
      </c>
      <c r="JU38" s="57">
        <f t="shared" si="279"/>
        <v>0</v>
      </c>
      <c r="JV38" s="57">
        <f t="shared" si="280"/>
        <v>0</v>
      </c>
      <c r="JW38" s="57">
        <f t="shared" si="281"/>
        <v>0</v>
      </c>
      <c r="JX38" s="1029">
        <f t="shared" si="109"/>
        <v>0</v>
      </c>
      <c r="JY38" s="57">
        <f t="shared" si="110"/>
        <v>0</v>
      </c>
      <c r="JZ38" s="171" t="str">
        <f t="shared" si="111"/>
        <v/>
      </c>
      <c r="KA38" s="57">
        <f t="shared" si="282"/>
        <v>0</v>
      </c>
      <c r="KB38" s="57">
        <f>IF(OR(AND(JP$6=1,$L38=0),AND(JP$6=2,$K38=2,$G38=1)),0,IF(AND(JR$9=2,(OR($F38&gt;1,$K38=1,AND($L38=80,OR($N38=1,AND($N38=2,'#BerechnungDBE'!$AL29&gt;0)))))),IF(JP$4&gt;=$AD$126,0,JZ38),IF(JR$9=3,IF(OR(JP$4&gt;=$AD$127,AND($G38=1,$J38=2,JP$6=2),AND(JP$6=1,$N38&lt;&gt;1)),0,IF(JT38&lt;=120,JZ38,IF(JP$4&lt;$AD$124,IF($F38=1,60/JR$4*JR$6,60/JR$4*JR$7),IF($F38=1,120/JR$4*JR$6,120/JR$4*JR$7)))),IF(OR($F38=3,$G38=2),IF(OR(AND(JP$4&gt;=$AD$119,$C38=2),AND(JP$4&gt;=$AF$119,$C38=1)),0,IF(JT38&lt;=60,JZ38,60/JR$4*JR$7)),IF(AND($F38=2,$G38=1),JZ38,0)))))</f>
        <v>0</v>
      </c>
      <c r="KC38" s="57" t="str">
        <f t="shared" si="112"/>
        <v/>
      </c>
      <c r="KD38" s="57" t="str">
        <f t="shared" si="113"/>
        <v/>
      </c>
      <c r="KE38" s="713">
        <f>'org. Düngung 22'!CB37</f>
        <v>0</v>
      </c>
      <c r="KF38" s="57"/>
      <c r="KG38" s="57"/>
      <c r="KH38" s="57">
        <f t="shared" si="114"/>
        <v>0</v>
      </c>
      <c r="KI38" s="57">
        <f t="shared" si="283"/>
        <v>0</v>
      </c>
      <c r="KJ38" s="57">
        <f t="shared" si="284"/>
        <v>0</v>
      </c>
      <c r="KK38" s="57">
        <f t="shared" si="285"/>
        <v>0</v>
      </c>
      <c r="KL38" s="57">
        <f t="shared" si="286"/>
        <v>0</v>
      </c>
      <c r="KM38" s="1029">
        <f t="shared" si="115"/>
        <v>0</v>
      </c>
      <c r="KN38" s="57">
        <f t="shared" si="116"/>
        <v>0</v>
      </c>
      <c r="KO38" s="171" t="str">
        <f t="shared" si="117"/>
        <v/>
      </c>
      <c r="KP38" s="57">
        <f t="shared" si="287"/>
        <v>0</v>
      </c>
      <c r="KQ38" s="57">
        <f>IF(OR(AND(KE$6=1,$L38=0),AND(KE$6=2,$K38=2,$G38=1)),0,IF(AND(KG$9=2,(OR($F38&gt;1,$K38=1,AND($L38=80,OR($N38=1,AND($N38=2,'#BerechnungDBE'!$AL29&gt;0)))))),IF(KE$4&gt;=$AD$126,0,KO38),IF(KG$9=3,IF(OR(KE$4&gt;=$AD$127,AND($G38=1,$J38=2,KE$6=2),AND(KE$6=1,$N38&lt;&gt;1)),0,IF(KI38&lt;=120,KO38,IF(KE$4&lt;$AD$124,IF($F38=1,60/KG$4*KG$6,60/KG$4*KG$7),IF($F38=1,120/KG$4*KG$6,120/KG$4*KG$7)))),IF(OR($F38=3,$G38=2),IF(OR(AND(KE$4&gt;=$AD$119,$C38=2),AND(KE$4&gt;=$AF$119,$C38=1)),0,IF(KI38&lt;=60,KO38,60/KG$4*KG$7)),IF(AND($F38=2,$G38=1),KO38,0)))))</f>
        <v>0</v>
      </c>
      <c r="KR38" s="57" t="str">
        <f t="shared" si="118"/>
        <v/>
      </c>
      <c r="KS38" s="57" t="str">
        <f t="shared" si="119"/>
        <v/>
      </c>
      <c r="KT38" s="713">
        <f>'org. Düngung 22'!CF37</f>
        <v>0</v>
      </c>
      <c r="KU38" s="57"/>
      <c r="KV38" s="57"/>
      <c r="KW38" s="57">
        <f t="shared" si="120"/>
        <v>0</v>
      </c>
      <c r="KX38" s="57">
        <f t="shared" si="288"/>
        <v>0</v>
      </c>
      <c r="KY38" s="57">
        <f t="shared" si="289"/>
        <v>0</v>
      </c>
      <c r="KZ38" s="57">
        <f t="shared" si="290"/>
        <v>0</v>
      </c>
      <c r="LA38" s="57">
        <f t="shared" si="291"/>
        <v>0</v>
      </c>
      <c r="LB38" s="1029">
        <f t="shared" si="121"/>
        <v>0</v>
      </c>
      <c r="LC38" s="57">
        <f t="shared" si="122"/>
        <v>0</v>
      </c>
      <c r="LD38" s="171" t="str">
        <f t="shared" si="123"/>
        <v/>
      </c>
      <c r="LE38" s="57">
        <f t="shared" si="292"/>
        <v>0</v>
      </c>
      <c r="LF38" s="57">
        <f>IF(OR(AND(KT$6=1,$L38=0),AND(KT$6=2,$K38=2,$G38=1)),0,IF(AND(KV$9=2,(OR($F38&gt;1,$K38=1,AND($L38=80,OR($N38=1,AND($N38=2,'#BerechnungDBE'!$AL29&gt;0)))))),IF(KT$4&gt;=$AD$126,0,LD38),IF(KV$9=3,IF(OR(KT$4&gt;=$AD$127,AND($G38=1,$J38=2,KT$6=2),AND(KT$6=1,$N38&lt;&gt;1)),0,IF(KX38&lt;=120,LD38,IF(KT$4&lt;$AD$124,IF($F38=1,60/KV$4*KV$6,60/KV$4*KV$7),IF($F38=1,120/KV$4*KV$6,120/KV$4*KV$7)))),IF(OR($F38=3,$G38=2),IF(OR(AND(KT$4&gt;=$AD$119,$C38=2),AND(KT$4&gt;=$AF$119,$C38=1)),0,IF(KX38&lt;=60,LD38,60/KV$4*KV$7)),IF(AND($F38=2,$G38=1),LD38,0)))))</f>
        <v>0</v>
      </c>
      <c r="LG38" s="57" t="str">
        <f t="shared" si="124"/>
        <v/>
      </c>
      <c r="LH38" s="57" t="str">
        <f t="shared" si="125"/>
        <v/>
      </c>
      <c r="LI38" s="713">
        <f>'org. Düngung 22'!CJ37</f>
        <v>0</v>
      </c>
      <c r="LJ38" s="57"/>
      <c r="LK38" s="57"/>
      <c r="LL38" s="57">
        <f t="shared" si="126"/>
        <v>0</v>
      </c>
      <c r="LM38" s="57">
        <f t="shared" si="293"/>
        <v>0</v>
      </c>
      <c r="LN38" s="57">
        <f t="shared" si="294"/>
        <v>0</v>
      </c>
      <c r="LO38" s="57">
        <f t="shared" si="295"/>
        <v>0</v>
      </c>
      <c r="LP38" s="57">
        <f t="shared" si="296"/>
        <v>0</v>
      </c>
      <c r="LQ38" s="1029">
        <f t="shared" si="127"/>
        <v>0</v>
      </c>
      <c r="LR38" s="57">
        <f t="shared" si="128"/>
        <v>0</v>
      </c>
      <c r="LS38" s="171" t="str">
        <f t="shared" si="129"/>
        <v/>
      </c>
      <c r="LT38" s="57">
        <f t="shared" si="297"/>
        <v>0</v>
      </c>
      <c r="LU38" s="57">
        <f>IF(OR(AND(LI$6=1,$L38=0),AND(LI$6=2,$K38=2,$G38=1)),0,IF(AND(LK$9=2,(OR($F38&gt;1,$K38=1,AND($L38=80,OR($N38=1,AND($N38=2,'#BerechnungDBE'!$AL29&gt;0)))))),IF(LI$4&gt;=$AD$126,0,LS38),IF(LK$9=3,IF(OR(LI$4&gt;=$AD$127,AND($G38=1,$J38=2,LI$6=2),AND(LI$6=1,$N38&lt;&gt;1)),0,IF(LM38&lt;=120,LS38,IF(LI$4&lt;$AD$124,IF($F38=1,60/LK$4*LK$6,60/LK$4*LK$7),IF($F38=1,120/LK$4*LK$6,120/LK$4*LK$7)))),IF(OR($F38=3,$G38=2),IF(OR(AND(LI$4&gt;=$AD$119,$C38=2),AND(LI$4&gt;=$AF$119,$C38=1)),0,IF(LM38&lt;=60,LS38,60/LK$4*LK$7)),IF(AND($F38=2,$G38=1),LS38,0)))))</f>
        <v>0</v>
      </c>
      <c r="LV38" s="57" t="str">
        <f t="shared" si="130"/>
        <v/>
      </c>
      <c r="LW38" s="57" t="str">
        <f t="shared" si="131"/>
        <v/>
      </c>
      <c r="LX38" s="713">
        <f>'org. Düngung 22'!CN37</f>
        <v>0</v>
      </c>
      <c r="LY38" s="57"/>
      <c r="LZ38" s="57"/>
      <c r="MA38" s="57">
        <f t="shared" si="132"/>
        <v>0</v>
      </c>
      <c r="MB38" s="57">
        <f t="shared" si="298"/>
        <v>0</v>
      </c>
      <c r="MC38" s="57">
        <f t="shared" si="299"/>
        <v>0</v>
      </c>
      <c r="MD38" s="57">
        <f t="shared" si="300"/>
        <v>0</v>
      </c>
      <c r="ME38" s="57">
        <f t="shared" si="301"/>
        <v>0</v>
      </c>
      <c r="MF38" s="1029">
        <f t="shared" si="133"/>
        <v>0</v>
      </c>
      <c r="MG38" s="57">
        <f t="shared" si="134"/>
        <v>0</v>
      </c>
      <c r="MH38" s="171" t="str">
        <f t="shared" si="135"/>
        <v/>
      </c>
      <c r="MI38" s="57">
        <f t="shared" si="302"/>
        <v>0</v>
      </c>
      <c r="MJ38" s="57">
        <f>IF(OR(AND(LX$6=1,$L38=0),AND(LX$6=2,$K38=2,$G38=1)),0,IF(AND(LZ$9=2,(OR($F38&gt;1,$K38=1,AND($L38=80,OR($N38=1,AND($N38=2,'#BerechnungDBE'!$AL29&gt;0)))))),IF(LX$4&gt;=$AD$126,0,MH38),IF(LZ$9=3,IF(OR(LX$4&gt;=$AD$127,AND($G38=1,$J38=2,LX$6=2),AND(LX$6=1,$N38&lt;&gt;1)),0,IF(MB38&lt;=120,MH38,IF(LX$4&lt;$AD$124,IF($F38=1,60/LZ$4*LZ$6,60/LZ$4*LZ$7),IF($F38=1,120/LZ$4*LZ$6,120/LZ$4*LZ$7)))),IF(OR($F38=3,$G38=2),IF(OR(AND(LX$4&gt;=$AD$119,$C38=2),AND(LX$4&gt;=$AF$119,$C38=1)),0,IF(MB38&lt;=60,MH38,60/LZ$4*LZ$7)),IF(AND($F38=2,$G38=1),MH38,0)))))</f>
        <v>0</v>
      </c>
      <c r="MK38" s="57" t="str">
        <f t="shared" si="136"/>
        <v/>
      </c>
      <c r="ML38" s="57" t="str">
        <f t="shared" si="137"/>
        <v/>
      </c>
      <c r="MM38" s="713">
        <f>'org. Düngung 22'!CR37</f>
        <v>0</v>
      </c>
      <c r="MN38" s="57"/>
      <c r="MO38" s="57"/>
      <c r="MP38" s="57">
        <f t="shared" si="138"/>
        <v>0</v>
      </c>
      <c r="MQ38" s="57">
        <f t="shared" si="303"/>
        <v>0</v>
      </c>
      <c r="MR38" s="57">
        <f t="shared" si="304"/>
        <v>0</v>
      </c>
      <c r="MS38" s="57">
        <f t="shared" si="305"/>
        <v>0</v>
      </c>
      <c r="MT38" s="57">
        <f t="shared" si="306"/>
        <v>0</v>
      </c>
      <c r="MU38" s="1029">
        <f t="shared" si="139"/>
        <v>0</v>
      </c>
      <c r="MV38" s="57">
        <f t="shared" si="140"/>
        <v>0</v>
      </c>
      <c r="MW38" s="171" t="str">
        <f t="shared" si="141"/>
        <v/>
      </c>
      <c r="MX38" s="57">
        <f t="shared" si="307"/>
        <v>0</v>
      </c>
      <c r="MY38" s="57">
        <f>IF(OR(AND(MM$6=1,$L38=0),AND(MM$6=2,$K38=2,$G38=1)),0,IF(AND(MO$9=2,(OR($F38&gt;1,$K38=1,AND($L38=80,OR($N38=1,AND($N38=2,'#BerechnungDBE'!$AL29&gt;0)))))),IF(MM$4&gt;=$AD$126,0,MW38),IF(MO$9=3,IF(OR(MM$4&gt;=$AD$127,AND($G38=1,$J38=2,MM$6=2),AND(MM$6=1,$N38&lt;&gt;1)),0,IF(MQ38&lt;=120,MW38,IF(MM$4&lt;$AD$124,IF($F38=1,60/MO$4*MO$6,60/MO$4*MO$7),IF($F38=1,120/MO$4*MO$6,120/MO$4*MO$7)))),IF(OR($F38=3,$G38=2),IF(OR(AND(MM$4&gt;=$AD$119,$C38=2),AND(MM$4&gt;=$AF$119,$C38=1)),0,IF(MQ38&lt;=60,MW38,60/MO$4*MO$7)),IF(AND($F38=2,$G38=1),MW38,0)))))</f>
        <v>0</v>
      </c>
      <c r="MZ38" s="57" t="str">
        <f t="shared" si="142"/>
        <v/>
      </c>
      <c r="NA38" s="57" t="str">
        <f t="shared" si="143"/>
        <v/>
      </c>
      <c r="NB38" s="713">
        <f>'org. Düngung 22'!CV37</f>
        <v>0</v>
      </c>
      <c r="NC38" s="57"/>
      <c r="ND38" s="57"/>
      <c r="NE38" s="57">
        <f t="shared" si="144"/>
        <v>0</v>
      </c>
      <c r="NF38" s="57">
        <f t="shared" si="308"/>
        <v>0</v>
      </c>
      <c r="NG38" s="57">
        <f t="shared" si="309"/>
        <v>0</v>
      </c>
      <c r="NH38" s="57">
        <f t="shared" si="310"/>
        <v>0</v>
      </c>
      <c r="NI38" s="57">
        <f t="shared" si="311"/>
        <v>0</v>
      </c>
      <c r="NJ38" s="1029">
        <f t="shared" si="145"/>
        <v>0</v>
      </c>
      <c r="NK38" s="57">
        <f t="shared" si="146"/>
        <v>0</v>
      </c>
      <c r="NL38" s="171" t="str">
        <f t="shared" si="147"/>
        <v/>
      </c>
      <c r="NM38" s="57">
        <f t="shared" si="312"/>
        <v>0</v>
      </c>
      <c r="NN38" s="57">
        <f>IF(OR(AND(NB$6=1,$L38=0),AND(NB$6=2,$K38=2,$G38=1)),0,IF(AND(ND$9=2,(OR($F38&gt;1,$K38=1,AND($L38=80,OR($N38=1,AND($N38=2,'#BerechnungDBE'!$AL29&gt;0)))))),IF(NB$4&gt;=$AD$126,0,NL38),IF(ND$9=3,IF(OR(NB$4&gt;=$AD$127,AND($G38=1,$J38=2,NB$6=2),AND(NB$6=1,$N38&lt;&gt;1)),0,IF(NF38&lt;=120,NL38,IF(NB$4&lt;$AD$124,IF($F38=1,60/ND$4*ND$6,60/ND$4*ND$7),IF($F38=1,120/ND$4*ND$6,120/ND$4*ND$7)))),IF(OR($F38=3,$G38=2),IF(OR(AND(NB$4&gt;=$AD$119,$C38=2),AND(NB$4&gt;=$AF$119,$C38=1)),0,IF(NF38&lt;=60,NL38,60/ND$4*ND$7)),IF(AND($F38=2,$G38=1),NL38,0)))))</f>
        <v>0</v>
      </c>
      <c r="NO38" s="57" t="str">
        <f t="shared" si="148"/>
        <v/>
      </c>
      <c r="NP38" s="57" t="str">
        <f t="shared" si="149"/>
        <v/>
      </c>
      <c r="NQ38" s="713">
        <f>'org. Düngung 22'!CZ37</f>
        <v>0</v>
      </c>
      <c r="NR38" s="57"/>
      <c r="NS38" s="57"/>
      <c r="NT38" s="57">
        <f t="shared" si="150"/>
        <v>0</v>
      </c>
      <c r="NU38" s="57">
        <f t="shared" si="313"/>
        <v>0</v>
      </c>
      <c r="NV38" s="57">
        <f t="shared" si="314"/>
        <v>0</v>
      </c>
      <c r="NW38" s="57">
        <f t="shared" si="315"/>
        <v>0</v>
      </c>
      <c r="NX38" s="57">
        <f t="shared" si="316"/>
        <v>0</v>
      </c>
      <c r="NY38" s="1029">
        <f t="shared" si="151"/>
        <v>0</v>
      </c>
      <c r="NZ38" s="57">
        <f t="shared" si="152"/>
        <v>0</v>
      </c>
      <c r="OA38" s="171" t="str">
        <f t="shared" si="153"/>
        <v/>
      </c>
      <c r="OB38" s="57">
        <f t="shared" si="317"/>
        <v>0</v>
      </c>
      <c r="OC38" s="57">
        <f>IF(OR(AND(NQ$6=1,$L38=0),AND(NQ$6=2,$K38=2,$G38=1)),0,IF(AND(NS$9=2,(OR($F38&gt;1,$K38=1,AND($L38=80,OR($N38=1,AND($N38=2,'#BerechnungDBE'!$AL29&gt;0)))))),IF(NQ$4&gt;=$AD$126,0,OA38),IF(NS$9=3,IF(OR(NQ$4&gt;=$AD$127,AND($G38=1,$J38=2,NQ$6=2),AND(NQ$6=1,$N38&lt;&gt;1)),0,IF(NU38&lt;=120,OA38,IF(NQ$4&lt;$AD$124,IF($F38=1,60/NS$4*NS$6,60/NS$4*NS$7),IF($F38=1,120/NS$4*NS$6,120/NS$4*NS$7)))),IF(OR($F38=3,$G38=2),IF(OR(AND(NQ$4&gt;=$AD$119,$C38=2),AND(NQ$4&gt;=$AF$119,$C38=1)),0,IF(NU38&lt;=60,OA38,60/NS$4*NS$7)),IF(AND($F38=2,$G38=1),OA38,0)))))</f>
        <v>0</v>
      </c>
      <c r="OD38" s="57" t="str">
        <f t="shared" si="154"/>
        <v/>
      </c>
      <c r="OE38" s="57" t="str">
        <f t="shared" si="155"/>
        <v/>
      </c>
      <c r="OF38" s="713">
        <f>'org. Düngung 22'!DD37</f>
        <v>0</v>
      </c>
      <c r="OG38" s="57"/>
      <c r="OH38" s="57"/>
      <c r="OI38" s="57">
        <f t="shared" si="156"/>
        <v>0</v>
      </c>
      <c r="OJ38" s="57">
        <f t="shared" si="318"/>
        <v>0</v>
      </c>
      <c r="OK38" s="57">
        <f t="shared" si="319"/>
        <v>0</v>
      </c>
      <c r="OL38" s="57">
        <f t="shared" si="320"/>
        <v>0</v>
      </c>
      <c r="OM38" s="57">
        <f t="shared" si="321"/>
        <v>0</v>
      </c>
      <c r="ON38" s="1029">
        <f t="shared" si="157"/>
        <v>0</v>
      </c>
      <c r="OO38" s="57">
        <f t="shared" si="158"/>
        <v>0</v>
      </c>
      <c r="OP38" s="171" t="str">
        <f t="shared" si="159"/>
        <v/>
      </c>
      <c r="OQ38" s="57">
        <f t="shared" si="322"/>
        <v>0</v>
      </c>
      <c r="OR38" s="57">
        <f>IF(OR(AND(OF$6=1,$L38=0),AND(OF$6=2,$K38=2,$G38=1)),0,IF(AND(OH$9=2,(OR($F38&gt;1,$K38=1,AND($L38=80,OR($N38=1,AND($N38=2,'#BerechnungDBE'!$AL29&gt;0)))))),IF(OF$4&gt;=$AD$126,0,OP38),IF(OH$9=3,IF(OR(OF$4&gt;=$AD$127,AND($G38=1,$J38=2,OF$6=2),AND(OF$6=1,$N38&lt;&gt;1)),0,IF(OJ38&lt;=120,OP38,IF(OF$4&lt;$AD$124,IF($F38=1,60/OH$4*OH$6,60/OH$4*OH$7),IF($F38=1,120/OH$4*OH$6,120/OH$4*OH$7)))),IF(OR($F38=3,$G38=2),IF(OR(AND(OF$4&gt;=$AD$119,$C38=2),AND(OF$4&gt;=$AF$119,$C38=1)),0,IF(OJ38&lt;=60,OP38,60/OH$4*OH$7)),IF(AND($F38=2,$G38=1),OP38,0)))))</f>
        <v>0</v>
      </c>
      <c r="OS38" s="57" t="str">
        <f t="shared" si="160"/>
        <v/>
      </c>
      <c r="OT38" s="57" t="str">
        <f t="shared" si="161"/>
        <v/>
      </c>
      <c r="OU38" s="713">
        <f>'org. Düngung 22'!DH37</f>
        <v>0</v>
      </c>
      <c r="OV38" s="57"/>
      <c r="OW38" s="57"/>
      <c r="OX38" s="57">
        <f t="shared" si="162"/>
        <v>0</v>
      </c>
      <c r="OY38" s="57">
        <f t="shared" si="323"/>
        <v>0</v>
      </c>
      <c r="OZ38" s="57">
        <f t="shared" si="324"/>
        <v>0</v>
      </c>
      <c r="PA38" s="57">
        <f t="shared" si="325"/>
        <v>0</v>
      </c>
      <c r="PB38" s="57">
        <f t="shared" si="326"/>
        <v>0</v>
      </c>
      <c r="PC38" s="1029">
        <f t="shared" si="163"/>
        <v>0</v>
      </c>
      <c r="PD38" s="57">
        <f t="shared" si="164"/>
        <v>0</v>
      </c>
      <c r="PE38" s="171" t="str">
        <f t="shared" si="165"/>
        <v/>
      </c>
      <c r="PF38" s="57">
        <f t="shared" si="327"/>
        <v>0</v>
      </c>
      <c r="PG38" s="57">
        <f>IF(OR(AND(OU$6=1,$L38=0),AND(OU$6=2,$K38=2,$G38=1)),0,IF(AND(OW$9=2,(OR($F38&gt;1,$K38=1,AND($L38=80,OR($N38=1,AND($N38=2,'#BerechnungDBE'!$AL29&gt;0)))))),IF(OU$4&gt;=$AD$126,0,PE38),IF(OW$9=3,IF(OR(OU$4&gt;=$AD$127,AND($G38=1,$J38=2,OU$6=2),AND(OU$6=1,$N38&lt;&gt;1)),0,IF(OY38&lt;=120,PE38,IF(OU$4&lt;$AD$124,IF($F38=1,60/OW$4*OW$6,60/OW$4*OW$7),IF($F38=1,120/OW$4*OW$6,120/OW$4*OW$7)))),IF(OR($F38=3,$G38=2),IF(OR(AND(OU$4&gt;=$AD$119,$C38=2),AND(OU$4&gt;=$AF$119,$C38=1)),0,IF(OY38&lt;=60,PE38,60/OW$4*OW$7)),IF(AND($F38=2,$G38=1),PE38,0)))))</f>
        <v>0</v>
      </c>
      <c r="PH38" s="57" t="str">
        <f t="shared" si="166"/>
        <v/>
      </c>
      <c r="PI38" s="57" t="str">
        <f t="shared" si="167"/>
        <v/>
      </c>
      <c r="PJ38" s="713">
        <f>'org. Düngung 22'!DL37</f>
        <v>0</v>
      </c>
      <c r="PK38" s="57"/>
      <c r="PL38" s="57"/>
      <c r="PM38" s="57">
        <f t="shared" si="168"/>
        <v>0</v>
      </c>
      <c r="PN38" s="57">
        <f t="shared" si="328"/>
        <v>0</v>
      </c>
      <c r="PO38" s="57">
        <f t="shared" si="329"/>
        <v>0</v>
      </c>
      <c r="PP38" s="57">
        <f t="shared" si="330"/>
        <v>0</v>
      </c>
      <c r="PQ38" s="57">
        <f t="shared" si="331"/>
        <v>0</v>
      </c>
      <c r="PR38" s="1029">
        <f t="shared" si="169"/>
        <v>0</v>
      </c>
      <c r="PS38" s="57">
        <f t="shared" si="170"/>
        <v>0</v>
      </c>
      <c r="PT38" s="171" t="str">
        <f t="shared" si="171"/>
        <v/>
      </c>
      <c r="PU38" s="57">
        <f t="shared" si="332"/>
        <v>0</v>
      </c>
      <c r="PV38" s="57">
        <f>IF(OR(AND(PJ$6=1,$L38=0),AND(PJ$6=2,$K38=2,$G38=1)),0,IF(AND(PL$9=2,(OR($F38&gt;1,$K38=1,AND($L38=80,OR($N38=1,AND($N38=2,'#BerechnungDBE'!$AL29&gt;0)))))),IF(PJ$4&gt;=$AD$126,0,PT38),IF(PL$9=3,IF(OR(PJ$4&gt;=$AD$127,AND($G38=1,$J38=2,PJ$6=2),AND(PJ$6=1,$N38&lt;&gt;1)),0,IF(PN38&lt;=120,PT38,IF(PJ$4&lt;$AD$124,IF($F38=1,60/PL$4*PL$6,60/PL$4*PL$7),IF($F38=1,120/PL$4*PL$6,120/PL$4*PL$7)))),IF(OR($F38=3,$G38=2),IF(OR(AND(PJ$4&gt;=$AD$119,$C38=2),AND(PJ$4&gt;=$AF$119,$C38=1)),0,IF(PN38&lt;=60,PT38,60/PL$4*PL$7)),IF(AND($F38=2,$G38=1),PT38,0)))))</f>
        <v>0</v>
      </c>
      <c r="PW38" s="57" t="str">
        <f t="shared" si="172"/>
        <v/>
      </c>
      <c r="PX38" s="57" t="str">
        <f t="shared" si="173"/>
        <v/>
      </c>
      <c r="PY38" s="713">
        <f>'org. Düngung 22'!DP37</f>
        <v>0</v>
      </c>
      <c r="PZ38" s="57"/>
      <c r="QA38" s="57"/>
      <c r="QB38" s="57">
        <f t="shared" si="174"/>
        <v>0</v>
      </c>
      <c r="QC38" s="57">
        <f t="shared" si="333"/>
        <v>0</v>
      </c>
      <c r="QD38" s="57">
        <f t="shared" si="334"/>
        <v>0</v>
      </c>
      <c r="QE38" s="57">
        <f t="shared" si="335"/>
        <v>0</v>
      </c>
      <c r="QF38" s="57">
        <f t="shared" si="336"/>
        <v>0</v>
      </c>
      <c r="QG38" s="1029">
        <f t="shared" si="175"/>
        <v>0</v>
      </c>
      <c r="QH38" s="57">
        <f t="shared" si="176"/>
        <v>0</v>
      </c>
      <c r="QI38" s="171" t="str">
        <f t="shared" si="177"/>
        <v/>
      </c>
      <c r="QJ38" s="57">
        <f t="shared" si="337"/>
        <v>0</v>
      </c>
      <c r="QK38" s="57">
        <f>IF(OR(AND(PY$6=1,$L38=0),AND(PY$6=2,$K38=2,$G38=1)),0,IF(AND(QA$9=2,(OR($F38&gt;1,$K38=1,AND($L38=80,OR($N38=1,AND($N38=2,'#BerechnungDBE'!$AL29&gt;0)))))),IF(PY$4&gt;=$AD$126,0,QI38),IF(QA$9=3,IF(OR(PY$4&gt;=$AD$127,AND($G38=1,$J38=2,PY$6=2),AND(PY$6=1,$N38&lt;&gt;1)),0,IF(QC38&lt;=120,QI38,IF(PY$4&lt;$AD$124,IF($F38=1,60/QA$4*QA$6,60/QA$4*QA$7),IF($F38=1,120/QA$4*QA$6,120/QA$4*QA$7)))),IF(OR($F38=3,$G38=2),IF(OR(AND(PY$4&gt;=$AD$119,$C38=2),AND(PY$4&gt;=$AF$119,$C38=1)),0,IF(QC38&lt;=60,QI38,60/QA$4*QA$7)),IF(AND($F38=2,$G38=1),QI38,0)))))</f>
        <v>0</v>
      </c>
      <c r="QL38" s="57" t="str">
        <f t="shared" si="178"/>
        <v/>
      </c>
      <c r="QM38" s="57" t="str">
        <f t="shared" si="179"/>
        <v/>
      </c>
      <c r="QN38" s="713">
        <f>'org. Düngung 22'!DT37</f>
        <v>0</v>
      </c>
      <c r="QO38" s="57"/>
      <c r="QP38" s="57"/>
      <c r="QQ38" s="57">
        <f t="shared" si="180"/>
        <v>0</v>
      </c>
      <c r="QR38" s="57">
        <f t="shared" si="338"/>
        <v>0</v>
      </c>
      <c r="QS38" s="57">
        <f t="shared" si="339"/>
        <v>0</v>
      </c>
      <c r="QT38" s="57">
        <f t="shared" si="340"/>
        <v>0</v>
      </c>
      <c r="QU38" s="57">
        <f t="shared" si="341"/>
        <v>0</v>
      </c>
      <c r="QV38" s="1029">
        <f t="shared" si="181"/>
        <v>0</v>
      </c>
      <c r="QW38" s="57">
        <f t="shared" si="182"/>
        <v>0</v>
      </c>
      <c r="QX38" s="171" t="str">
        <f t="shared" si="183"/>
        <v/>
      </c>
      <c r="QY38" s="57">
        <f t="shared" si="342"/>
        <v>0</v>
      </c>
      <c r="QZ38" s="57">
        <f>IF(OR(AND(QN$6=1,$L38=0),AND(QN$6=2,$K38=2,$G38=1)),0,IF(AND(QP$9=2,(OR($F38&gt;1,$K38=1,AND($L38=80,OR($N38=1,AND($N38=2,'#BerechnungDBE'!$AL29&gt;0)))))),IF(QN$4&gt;=$AD$126,0,QX38),IF(QP$9=3,IF(OR(QN$4&gt;=$AD$127,AND($G38=1,$J38=2,QN$6=2),AND(QN$6=1,$N38&lt;&gt;1)),0,IF(QR38&lt;=120,QX38,IF(QN$4&lt;$AD$124,IF($F38=1,60/QP$4*QP$6,60/QP$4*QP$7),IF($F38=1,120/QP$4*QP$6,120/QP$4*QP$7)))),IF(OR($F38=3,$G38=2),IF(OR(AND(QN$4&gt;=$AD$119,$C38=2),AND(QN$4&gt;=$AF$119,$C38=1)),0,IF(QR38&lt;=60,QX38,60/QP$4*QP$7)),IF(AND($F38=2,$G38=1),QX38,0)))))</f>
        <v>0</v>
      </c>
      <c r="RA38" s="57" t="str">
        <f t="shared" si="184"/>
        <v/>
      </c>
      <c r="RB38" s="57" t="str">
        <f t="shared" si="185"/>
        <v/>
      </c>
      <c r="RC38" s="713">
        <f>'org. Düngung 22'!DX37</f>
        <v>0</v>
      </c>
      <c r="RD38" s="57"/>
      <c r="RE38" s="57"/>
      <c r="RF38" s="57">
        <f t="shared" si="186"/>
        <v>0</v>
      </c>
      <c r="RG38" s="57">
        <f t="shared" si="343"/>
        <v>0</v>
      </c>
      <c r="RH38" s="57">
        <f t="shared" si="344"/>
        <v>0</v>
      </c>
      <c r="RI38" s="57">
        <f t="shared" si="345"/>
        <v>0</v>
      </c>
      <c r="RJ38" s="57">
        <f t="shared" si="346"/>
        <v>0</v>
      </c>
      <c r="RK38" s="1029">
        <f t="shared" si="187"/>
        <v>0</v>
      </c>
      <c r="RL38" s="57">
        <f t="shared" si="188"/>
        <v>0</v>
      </c>
      <c r="RM38" s="171" t="str">
        <f t="shared" si="189"/>
        <v/>
      </c>
      <c r="RN38" s="57">
        <f t="shared" si="347"/>
        <v>0</v>
      </c>
      <c r="RO38" s="57">
        <f>IF(OR(AND(RC$6=1,$L38=0),AND(RC$6=2,$K38=2,$G38=1)),0,IF(AND(RE$9=2,(OR($F38&gt;1,$K38=1,AND($L38=80,OR($N38=1,AND($N38=2,'#BerechnungDBE'!$AL29&gt;0)))))),IF(RC$4&gt;=$AD$126,0,RM38),IF(RE$9=3,IF(OR(RC$4&gt;=$AD$127,AND($G38=1,$J38=2,RC$6=2),AND(RC$6=1,$N38&lt;&gt;1)),0,IF(RG38&lt;=120,RM38,IF(RC$4&lt;$AD$124,IF($F38=1,60/RE$4*RE$6,60/RE$4*RE$7),IF($F38=1,120/RE$4*RE$6,120/RE$4*RE$7)))),IF(OR($F38=3,$G38=2),IF(OR(AND(RC$4&gt;=$AD$119,$C38=2),AND(RC$4&gt;=$AF$119,$C38=1)),0,IF(RG38&lt;=60,RM38,60/RE$4*RE$7)),IF(AND($F38=2,$G38=1),RM38,0)))))</f>
        <v>0</v>
      </c>
      <c r="RP38" s="57" t="str">
        <f t="shared" si="190"/>
        <v/>
      </c>
      <c r="RQ38" s="57" t="str">
        <f t="shared" si="191"/>
        <v/>
      </c>
      <c r="RS38" s="57" t="str">
        <f t="shared" si="348"/>
        <v/>
      </c>
      <c r="RT38" s="57" t="str">
        <f t="shared" si="192"/>
        <v/>
      </c>
      <c r="RU38" s="57" t="str">
        <f t="shared" si="193"/>
        <v/>
      </c>
      <c r="RV38" s="57" t="str">
        <f>IF(Z38&gt;'#BerechnungDBE'!BM29,$RV$9,"")</f>
        <v/>
      </c>
      <c r="RW38" s="57" t="str">
        <f>IF(AND(L38=70,AE38&gt;'#BerechnungDBE'!CQ29),$RW$9,"")</f>
        <v/>
      </c>
      <c r="RX38" s="57" t="str">
        <f>IF(OR('org. Düngung 22'!G37="--",'org. Düngung 22'!G37&lt;=170,'org. Düngung 22'!G37=""),"",$RX$9)</f>
        <v/>
      </c>
      <c r="RY38" s="57" t="str">
        <f>IF('org. Düngung 22'!K37&gt;120,'#orgDung'!$RY$9,"")</f>
        <v/>
      </c>
      <c r="RZ38" s="57" t="str">
        <f>IF('#BerechnungDBE'!P29&lt;4,"",IF(AND('#BerechnungDBE'!BZ29&gt;0,T38&gt;0),'#orgDung'!$RZ$9,""))</f>
        <v/>
      </c>
      <c r="SA38" s="57" t="str">
        <f t="shared" si="194"/>
        <v/>
      </c>
    </row>
    <row r="39" spans="1:495" s="875" customFormat="1" x14ac:dyDescent="0.2">
      <c r="A39" s="875">
        <f>'Flächen u. Kulturen'!A35</f>
        <v>26</v>
      </c>
      <c r="B39" s="367">
        <f>'#BerechnungDBE'!L30</f>
        <v>0</v>
      </c>
      <c r="C39" s="875">
        <f>'#BerechnungDBE'!R30</f>
        <v>1</v>
      </c>
      <c r="D39" s="875">
        <f>'#BerechnungDBE'!T30</f>
        <v>2</v>
      </c>
      <c r="E39" s="875" t="str">
        <f>'Flächen u. Kulturen'!E35</f>
        <v>x</v>
      </c>
      <c r="F39" s="52">
        <f>'#BerechnungDBE'!N30</f>
        <v>1</v>
      </c>
      <c r="G39" s="52">
        <f>'#BerechnungDBE'!O30</f>
        <v>1</v>
      </c>
      <c r="H39" s="875">
        <f>IF('Flächen u. Kulturen'!P35="",0,VLOOKUP('Flächen u. Kulturen'!P35,Kulturen[[HF]:[Berechnungsgruppe]],'#Frucht'!$H$1,FALSE))</f>
        <v>0</v>
      </c>
      <c r="I39" s="875">
        <f>IF('Flächen u. Kulturen'!J35="",0,VLOOKUP('Flächen u. Kulturen'!J35,Kulturen[[HF]:[Berechnungsgruppe]],'#Frucht'!$G$1,FALSE))</f>
        <v>90</v>
      </c>
      <c r="J39" s="505">
        <f t="shared" si="195"/>
        <v>2</v>
      </c>
      <c r="K39" s="505">
        <f>IF('Flächen u. Kulturen'!P35="",0,IF(VLOOKUP('Flächen u. Kulturen'!P35,Kulturen[[HF]:[Saat Winterungen]],'#Frucht'!$P$1,FALSE)&gt;0,1,2))</f>
        <v>2</v>
      </c>
      <c r="L39" s="875">
        <f>'#BerechnungDBE'!AF30</f>
        <v>0</v>
      </c>
      <c r="M39" s="875">
        <f>IF('Flächen u. Kulturen'!L35="",0,VLOOKUP('Flächen u. Kulturen'!L35,Nebenkultur[[Nebenkultur]:[Legum. Zwischenfr.]],'#Zweitfr'!$K$1,FALSE))</f>
        <v>0</v>
      </c>
      <c r="N39" s="875">
        <f>'#BerechnungDBE'!AG30</f>
        <v>0</v>
      </c>
      <c r="P39" s="57">
        <f t="shared" si="0"/>
        <v>0</v>
      </c>
      <c r="Q39" s="57">
        <f t="shared" si="1"/>
        <v>0</v>
      </c>
      <c r="R39" s="875">
        <f t="shared" si="2"/>
        <v>0</v>
      </c>
      <c r="S39" s="938" t="str">
        <f t="shared" si="3"/>
        <v/>
      </c>
      <c r="T39" s="875">
        <f t="shared" si="4"/>
        <v>0</v>
      </c>
      <c r="U39" s="875">
        <f t="shared" si="5"/>
        <v>0</v>
      </c>
      <c r="V39" s="875">
        <f t="shared" si="6"/>
        <v>0</v>
      </c>
      <c r="W39" s="875">
        <f t="shared" si="7"/>
        <v>0</v>
      </c>
      <c r="X39" s="875">
        <f t="shared" si="8"/>
        <v>0</v>
      </c>
      <c r="Y39" s="875">
        <f t="shared" si="349"/>
        <v>0</v>
      </c>
      <c r="Z39" s="875">
        <f t="shared" si="350"/>
        <v>0</v>
      </c>
      <c r="AA39" s="910">
        <f t="shared" si="9"/>
        <v>0</v>
      </c>
      <c r="AB39" s="57">
        <f t="shared" si="351"/>
        <v>0</v>
      </c>
      <c r="AC39" s="875">
        <f t="shared" si="10"/>
        <v>0</v>
      </c>
      <c r="AD39" s="875">
        <f t="shared" si="11"/>
        <v>0</v>
      </c>
      <c r="AE39" s="875">
        <f t="shared" si="12"/>
        <v>0</v>
      </c>
      <c r="AF39" s="875">
        <f t="shared" si="352"/>
        <v>0</v>
      </c>
      <c r="AG39" s="875">
        <f>'org. Düngung 22'!J38</f>
        <v>0</v>
      </c>
      <c r="AH39" s="875">
        <f>'org. Düngung 22'!K38</f>
        <v>0</v>
      </c>
      <c r="AJ39" s="713">
        <f>'org. Düngung 22'!L38</f>
        <v>0</v>
      </c>
      <c r="AK39" s="57"/>
      <c r="AL39" s="57"/>
      <c r="AM39" s="57">
        <f t="shared" si="196"/>
        <v>0</v>
      </c>
      <c r="AN39" s="57">
        <f t="shared" si="197"/>
        <v>0</v>
      </c>
      <c r="AO39" s="57">
        <f t="shared" si="198"/>
        <v>0</v>
      </c>
      <c r="AP39" s="57">
        <f t="shared" si="199"/>
        <v>0</v>
      </c>
      <c r="AQ39" s="57">
        <f t="shared" si="200"/>
        <v>0</v>
      </c>
      <c r="AR39" s="1029">
        <f t="shared" si="14"/>
        <v>0</v>
      </c>
      <c r="AS39" s="57">
        <f t="shared" si="15"/>
        <v>0</v>
      </c>
      <c r="AT39" s="171" t="str">
        <f t="shared" si="16"/>
        <v/>
      </c>
      <c r="AU39" s="57">
        <f t="shared" si="201"/>
        <v>0</v>
      </c>
      <c r="AV39" s="57">
        <f>IF(OR(AND(AJ$6=1,$L39=0),AND(AJ$6=2,$K39=2,$G39=1)),0,IF(AND(AL$9=2,(OR($F39&gt;1,$K39=1,AND($L39=80,OR($N39=1,AND($N39=2,'#BerechnungDBE'!$AL30&gt;0)))))),IF(AJ$4&gt;=$AD$126,0,AT39),IF(AL$9=3,IF(OR(AJ$4&gt;=$AD$127,AND($G39=1,$J39=2,AJ$6=2),AND(AJ$6=1,$N39&lt;&gt;1)),0,IF(AN39&lt;=120,AT39,IF(AJ$4&lt;$AD$124,IF($F39=1,60/AL$4*AL$6,60/AL$4*AL$7),IF($F39=1,120/AL$4*AL$6,120/AL$4*AL$7)))),IF(OR($F39=3,$G39=2),IF(OR(AND(AJ$4&gt;=$AD$119,$C39=2),AND(AJ$4&gt;=$AF$119,$C39=1)),0,IF(AN39&lt;=60,AT39,60/AL$4*AL$7)),IF(AND($F39=2,$G39=1),AT39,0)))))</f>
        <v>0</v>
      </c>
      <c r="AW39" s="57" t="str">
        <f t="shared" si="202"/>
        <v/>
      </c>
      <c r="AX39" s="57" t="str">
        <f t="shared" si="17"/>
        <v/>
      </c>
      <c r="AY39" s="713">
        <f>'org. Düngung 22'!P38</f>
        <v>0</v>
      </c>
      <c r="AZ39" s="57"/>
      <c r="BA39" s="57"/>
      <c r="BB39" s="57">
        <f t="shared" si="18"/>
        <v>0</v>
      </c>
      <c r="BC39" s="57">
        <f t="shared" si="203"/>
        <v>0</v>
      </c>
      <c r="BD39" s="57">
        <f t="shared" si="204"/>
        <v>0</v>
      </c>
      <c r="BE39" s="57">
        <f t="shared" si="205"/>
        <v>0</v>
      </c>
      <c r="BF39" s="57">
        <f t="shared" si="206"/>
        <v>0</v>
      </c>
      <c r="BG39" s="1029">
        <f t="shared" si="19"/>
        <v>0</v>
      </c>
      <c r="BH39" s="57">
        <f t="shared" si="20"/>
        <v>0</v>
      </c>
      <c r="BI39" s="171" t="str">
        <f t="shared" si="21"/>
        <v/>
      </c>
      <c r="BJ39" s="57">
        <f t="shared" si="207"/>
        <v>0</v>
      </c>
      <c r="BK39" s="57">
        <f>IF(OR(AND(AY$6=1,$L39=0),AND(AY$6=2,$K39=2,$G39=1)),0,IF(AND(BA$9=2,(OR($F39&gt;1,$K39=1,AND($L39=80,OR($N39=1,AND($N39=2,'#BerechnungDBE'!$AL30&gt;0)))))),IF(AY$4&gt;=$AD$126,0,BI39),IF(BA$9=3,IF(OR(AY$4&gt;=$AD$127,AND($G39=1,$J39=2,AY$6=2),AND(AY$6=1,$N39&lt;&gt;1)),0,IF(BC39&lt;=120,BI39,IF(AY$4&lt;$AD$124,IF($F39=1,60/BA$4*BA$6,60/BA$4*BA$7),IF($F39=1,120/BA$4*BA$6,120/BA$4*BA$7)))),IF(OR($F39=3,$G39=2),IF(OR(AND(AY$4&gt;=$AD$119,$C39=2),AND(AY$4&gt;=$AF$119,$C39=1)),0,IF(BC39&lt;=60,BI39,60/BA$4*BA$7)),IF(AND($F39=2,$G39=1),BI39,0)))))</f>
        <v>0</v>
      </c>
      <c r="BL39" s="57" t="str">
        <f t="shared" si="22"/>
        <v/>
      </c>
      <c r="BM39" s="57" t="str">
        <f t="shared" si="23"/>
        <v/>
      </c>
      <c r="BN39" s="713">
        <f>'org. Düngung 22'!T38</f>
        <v>0</v>
      </c>
      <c r="BO39" s="57"/>
      <c r="BP39" s="57"/>
      <c r="BQ39" s="57">
        <f t="shared" si="24"/>
        <v>0</v>
      </c>
      <c r="BR39" s="57">
        <f t="shared" si="208"/>
        <v>0</v>
      </c>
      <c r="BS39" s="57">
        <f t="shared" si="209"/>
        <v>0</v>
      </c>
      <c r="BT39" s="57">
        <f t="shared" si="210"/>
        <v>0</v>
      </c>
      <c r="BU39" s="57">
        <f t="shared" si="211"/>
        <v>0</v>
      </c>
      <c r="BV39" s="1029">
        <f t="shared" si="25"/>
        <v>0</v>
      </c>
      <c r="BW39" s="57">
        <f t="shared" si="26"/>
        <v>0</v>
      </c>
      <c r="BX39" s="171" t="str">
        <f t="shared" si="27"/>
        <v/>
      </c>
      <c r="BY39" s="57">
        <f t="shared" si="212"/>
        <v>0</v>
      </c>
      <c r="BZ39" s="57">
        <f>IF(OR(AND(BN$6=1,$L39=0),AND(BN$6=2,$K39=2,$G39=1)),0,IF(AND(BP$9=2,(OR($F39&gt;1,$K39=1,AND($L39=80,OR($N39=1,AND($N39=2,'#BerechnungDBE'!$AL30&gt;0)))))),IF(BN$4&gt;=$AD$126,0,BX39),IF(BP$9=3,IF(OR(BN$4&gt;=$AD$127,AND($G39=1,$J39=2,BN$6=2),AND(BN$6=1,$N39&lt;&gt;1)),0,IF(BR39&lt;=120,BX39,IF(BN$4&lt;$AD$124,IF($F39=1,60/BP$4*BP$6,60/BP$4*BP$7),IF($F39=1,120/BP$4*BP$6,120/BP$4*BP$7)))),IF(OR($F39=3,$G39=2),IF(OR(AND(BN$4&gt;=$AD$119,$C39=2),AND(BN$4&gt;=$AF$119,$C39=1)),0,IF(BR39&lt;=60,BX39,60/BP$4*BP$7)),IF(AND($F39=2,$G39=1),BX39,0)))))</f>
        <v>0</v>
      </c>
      <c r="CA39" s="57" t="str">
        <f t="shared" si="28"/>
        <v/>
      </c>
      <c r="CB39" s="57" t="str">
        <f t="shared" si="29"/>
        <v/>
      </c>
      <c r="CC39" s="713">
        <f>'org. Düngung 22'!X38</f>
        <v>0</v>
      </c>
      <c r="CD39" s="57"/>
      <c r="CE39" s="57"/>
      <c r="CF39" s="57">
        <f t="shared" si="30"/>
        <v>0</v>
      </c>
      <c r="CG39" s="57">
        <f t="shared" si="213"/>
        <v>0</v>
      </c>
      <c r="CH39" s="57">
        <f t="shared" si="214"/>
        <v>0</v>
      </c>
      <c r="CI39" s="57">
        <f t="shared" si="215"/>
        <v>0</v>
      </c>
      <c r="CJ39" s="57">
        <f t="shared" si="216"/>
        <v>0</v>
      </c>
      <c r="CK39" s="1029">
        <f t="shared" si="31"/>
        <v>0</v>
      </c>
      <c r="CL39" s="57">
        <f t="shared" si="32"/>
        <v>0</v>
      </c>
      <c r="CM39" s="171" t="str">
        <f t="shared" si="33"/>
        <v/>
      </c>
      <c r="CN39" s="57">
        <f t="shared" si="217"/>
        <v>0</v>
      </c>
      <c r="CO39" s="57">
        <f>IF(OR(AND(CC$6=1,$L39=0),AND(CC$6=2,$K39=2,$G39=1)),0,IF(AND(CE$9=2,(OR($F39&gt;1,$K39=1,AND($L39=80,OR($N39=1,AND($N39=2,'#BerechnungDBE'!$AL30&gt;0)))))),IF(CC$4&gt;=$AD$126,0,CM39),IF(CE$9=3,IF(OR(CC$4&gt;=$AD$127,AND($G39=1,$J39=2,CC$6=2),AND(CC$6=1,$N39&lt;&gt;1)),0,IF(CG39&lt;=120,CM39,IF(CC$4&lt;$AD$124,IF($F39=1,60/CE$4*CE$6,60/CE$4*CE$7),IF($F39=1,120/CE$4*CE$6,120/CE$4*CE$7)))),IF(OR($F39=3,$G39=2),IF(OR(AND(CC$4&gt;=$AD$119,$C39=2),AND(CC$4&gt;=$AF$119,$C39=1)),0,IF(CG39&lt;=60,CM39,60/CE$4*CE$7)),IF(AND($F39=2,$G39=1),CM39,0)))))</f>
        <v>0</v>
      </c>
      <c r="CP39" s="57" t="str">
        <f t="shared" si="34"/>
        <v/>
      </c>
      <c r="CQ39" s="57" t="str">
        <f t="shared" si="35"/>
        <v/>
      </c>
      <c r="CR39" s="713">
        <f>'org. Düngung 22'!AB38</f>
        <v>0</v>
      </c>
      <c r="CS39" s="57"/>
      <c r="CT39" s="57"/>
      <c r="CU39" s="57">
        <f t="shared" si="36"/>
        <v>0</v>
      </c>
      <c r="CV39" s="57">
        <f t="shared" si="218"/>
        <v>0</v>
      </c>
      <c r="CW39" s="57">
        <f t="shared" si="219"/>
        <v>0</v>
      </c>
      <c r="CX39" s="57">
        <f t="shared" si="220"/>
        <v>0</v>
      </c>
      <c r="CY39" s="57">
        <f t="shared" si="221"/>
        <v>0</v>
      </c>
      <c r="CZ39" s="1029">
        <f t="shared" si="37"/>
        <v>0</v>
      </c>
      <c r="DA39" s="57">
        <f t="shared" si="38"/>
        <v>0</v>
      </c>
      <c r="DB39" s="171" t="str">
        <f t="shared" si="39"/>
        <v/>
      </c>
      <c r="DC39" s="57">
        <f t="shared" si="222"/>
        <v>0</v>
      </c>
      <c r="DD39" s="57">
        <f>IF(OR(AND(CR$6=1,$L39=0),AND(CR$6=2,$K39=2,$G39=1)),0,IF(AND(CT$9=2,(OR($F39&gt;1,$K39=1,AND($L39=80,OR($N39=1,AND($N39=2,'#BerechnungDBE'!$AL30&gt;0)))))),IF(CR$4&gt;=$AD$126,0,DB39),IF(CT$9=3,IF(OR(CR$4&gt;=$AD$127,AND($G39=1,$J39=2,CR$6=2),AND(CR$6=1,$N39&lt;&gt;1)),0,IF(CV39&lt;=120,DB39,IF(CR$4&lt;$AD$124,IF($F39=1,60/CT$4*CT$6,60/CT$4*CT$7),IF($F39=1,120/CT$4*CT$6,120/CT$4*CT$7)))),IF(OR($F39=3,$G39=2),IF(OR(AND(CR$4&gt;=$AD$119,$C39=2),AND(CR$4&gt;=$AF$119,$C39=1)),0,IF(CV39&lt;=60,DB39,60/CT$4*CT$7)),IF(AND($F39=2,$G39=1),DB39,0)))))</f>
        <v>0</v>
      </c>
      <c r="DE39" s="57" t="str">
        <f t="shared" si="40"/>
        <v/>
      </c>
      <c r="DF39" s="57" t="str">
        <f t="shared" si="41"/>
        <v/>
      </c>
      <c r="DG39" s="713">
        <f>'org. Düngung 22'!AF38</f>
        <v>0</v>
      </c>
      <c r="DH39" s="57"/>
      <c r="DI39" s="57"/>
      <c r="DJ39" s="57">
        <f t="shared" si="42"/>
        <v>0</v>
      </c>
      <c r="DK39" s="57">
        <f t="shared" si="223"/>
        <v>0</v>
      </c>
      <c r="DL39" s="57">
        <f t="shared" si="224"/>
        <v>0</v>
      </c>
      <c r="DM39" s="57">
        <f t="shared" si="225"/>
        <v>0</v>
      </c>
      <c r="DN39" s="57">
        <f t="shared" si="226"/>
        <v>0</v>
      </c>
      <c r="DO39" s="1029">
        <f t="shared" si="43"/>
        <v>0</v>
      </c>
      <c r="DP39" s="57">
        <f t="shared" si="44"/>
        <v>0</v>
      </c>
      <c r="DQ39" s="171" t="str">
        <f t="shared" si="45"/>
        <v/>
      </c>
      <c r="DR39" s="57">
        <f t="shared" si="227"/>
        <v>0</v>
      </c>
      <c r="DS39" s="57">
        <f>IF(OR(AND(DG$6=1,$L39=0),AND(DG$6=2,$K39=2,$G39=1)),0,IF(AND(DI$9=2,(OR($F39&gt;1,$K39=1,AND($L39=80,OR($N39=1,AND($N39=2,'#BerechnungDBE'!$AL30&gt;0)))))),IF(DG$4&gt;=$AD$126,0,DQ39),IF(DI$9=3,IF(OR(DG$4&gt;=$AD$127,AND($G39=1,$J39=2,DG$6=2),AND(DG$6=1,$N39&lt;&gt;1)),0,IF(DK39&lt;=120,DQ39,IF(DG$4&lt;$AD$124,IF($F39=1,60/DI$4*DI$6,60/DI$4*DI$7),IF($F39=1,120/DI$4*DI$6,120/DI$4*DI$7)))),IF(OR($F39=3,$G39=2),IF(OR(AND(DG$4&gt;=$AD$119,$C39=2),AND(DG$4&gt;=$AF$119,$C39=1)),0,IF(DK39&lt;=60,DQ39,60/DI$4*DI$7)),IF(AND($F39=2,$G39=1),DQ39,0)))))</f>
        <v>0</v>
      </c>
      <c r="DT39" s="57" t="str">
        <f t="shared" si="46"/>
        <v/>
      </c>
      <c r="DU39" s="57" t="str">
        <f t="shared" si="47"/>
        <v/>
      </c>
      <c r="DV39" s="713">
        <f>'org. Düngung 22'!AJ38</f>
        <v>0</v>
      </c>
      <c r="DW39" s="57"/>
      <c r="DX39" s="57"/>
      <c r="DY39" s="57">
        <f t="shared" si="48"/>
        <v>0</v>
      </c>
      <c r="DZ39" s="57">
        <f t="shared" si="228"/>
        <v>0</v>
      </c>
      <c r="EA39" s="57">
        <f t="shared" si="229"/>
        <v>0</v>
      </c>
      <c r="EB39" s="57">
        <f t="shared" si="230"/>
        <v>0</v>
      </c>
      <c r="EC39" s="57">
        <f t="shared" si="231"/>
        <v>0</v>
      </c>
      <c r="ED39" s="1029">
        <f t="shared" si="49"/>
        <v>0</v>
      </c>
      <c r="EE39" s="57">
        <f t="shared" si="50"/>
        <v>0</v>
      </c>
      <c r="EF39" s="171" t="str">
        <f t="shared" si="51"/>
        <v/>
      </c>
      <c r="EG39" s="57">
        <f t="shared" si="232"/>
        <v>0</v>
      </c>
      <c r="EH39" s="57">
        <f>IF(OR(AND(DV$6=1,$L39=0),AND(DV$6=2,$K39=2,$G39=1)),0,IF(AND(DX$9=2,(OR($F39&gt;1,$K39=1,AND($L39=80,OR($N39=1,AND($N39=2,'#BerechnungDBE'!$AL30&gt;0)))))),IF(DV$4&gt;=$AD$126,0,EF39),IF(DX$9=3,IF(OR(DV$4&gt;=$AD$127,AND($G39=1,$J39=2,DV$6=2),AND(DV$6=1,$N39&lt;&gt;1)),0,IF(DZ39&lt;=120,EF39,IF(DV$4&lt;$AD$124,IF($F39=1,60/DX$4*DX$6,60/DX$4*DX$7),IF($F39=1,120/DX$4*DX$6,120/DX$4*DX$7)))),IF(OR($F39=3,$G39=2),IF(OR(AND(DV$4&gt;=$AD$119,$C39=2),AND(DV$4&gt;=$AF$119,$C39=1)),0,IF(DZ39&lt;=60,EF39,60/DX$4*DX$7)),IF(AND($F39=2,$G39=1),EF39,0)))))</f>
        <v>0</v>
      </c>
      <c r="EI39" s="57" t="str">
        <f t="shared" si="52"/>
        <v/>
      </c>
      <c r="EJ39" s="57" t="str">
        <f t="shared" si="53"/>
        <v/>
      </c>
      <c r="EK39" s="713">
        <f>'org. Düngung 22'!AN38</f>
        <v>0</v>
      </c>
      <c r="EL39" s="57"/>
      <c r="EM39" s="57"/>
      <c r="EN39" s="57">
        <f t="shared" si="54"/>
        <v>0</v>
      </c>
      <c r="EO39" s="57">
        <f t="shared" si="233"/>
        <v>0</v>
      </c>
      <c r="EP39" s="57">
        <f t="shared" si="234"/>
        <v>0</v>
      </c>
      <c r="EQ39" s="57">
        <f t="shared" si="235"/>
        <v>0</v>
      </c>
      <c r="ER39" s="57">
        <f t="shared" si="236"/>
        <v>0</v>
      </c>
      <c r="ES39" s="1029">
        <f t="shared" si="55"/>
        <v>0</v>
      </c>
      <c r="ET39" s="57">
        <f t="shared" si="56"/>
        <v>0</v>
      </c>
      <c r="EU39" s="171" t="str">
        <f t="shared" si="57"/>
        <v/>
      </c>
      <c r="EV39" s="57">
        <f t="shared" si="237"/>
        <v>0</v>
      </c>
      <c r="EW39" s="57">
        <f>IF(OR(AND(EK$6=1,$L39=0),AND(EK$6=2,$K39=2,$G39=1)),0,IF(AND(EM$9=2,(OR($F39&gt;1,$K39=1,AND($L39=80,OR($N39=1,AND($N39=2,'#BerechnungDBE'!$AL30&gt;0)))))),IF(EK$4&gt;=$AD$126,0,EU39),IF(EM$9=3,IF(OR(EK$4&gt;=$AD$127,AND($G39=1,$J39=2,EK$6=2),AND(EK$6=1,$N39&lt;&gt;1)),0,IF(EO39&lt;=120,EU39,IF(EK$4&lt;$AD$124,IF($F39=1,60/EM$4*EM$6,60/EM$4*EM$7),IF($F39=1,120/EM$4*EM$6,120/EM$4*EM$7)))),IF(OR($F39=3,$G39=2),IF(OR(AND(EK$4&gt;=$AD$119,$C39=2),AND(EK$4&gt;=$AF$119,$C39=1)),0,IF(EO39&lt;=60,EU39,60/EM$4*EM$7)),IF(AND($F39=2,$G39=1),EU39,0)))))</f>
        <v>0</v>
      </c>
      <c r="EX39" s="57" t="str">
        <f t="shared" si="58"/>
        <v/>
      </c>
      <c r="EY39" s="57" t="str">
        <f t="shared" si="59"/>
        <v/>
      </c>
      <c r="EZ39" s="713">
        <f>'org. Düngung 22'!AR38</f>
        <v>0</v>
      </c>
      <c r="FA39" s="57"/>
      <c r="FB39" s="57"/>
      <c r="FC39" s="57">
        <f t="shared" si="60"/>
        <v>0</v>
      </c>
      <c r="FD39" s="57">
        <f t="shared" si="238"/>
        <v>0</v>
      </c>
      <c r="FE39" s="57">
        <f t="shared" si="239"/>
        <v>0</v>
      </c>
      <c r="FF39" s="57">
        <f t="shared" si="240"/>
        <v>0</v>
      </c>
      <c r="FG39" s="57">
        <f t="shared" si="241"/>
        <v>0</v>
      </c>
      <c r="FH39" s="1029">
        <f t="shared" si="61"/>
        <v>0</v>
      </c>
      <c r="FI39" s="57">
        <f t="shared" si="62"/>
        <v>0</v>
      </c>
      <c r="FJ39" s="171" t="str">
        <f t="shared" si="63"/>
        <v/>
      </c>
      <c r="FK39" s="57">
        <f t="shared" si="242"/>
        <v>0</v>
      </c>
      <c r="FL39" s="57">
        <f>IF(OR(AND(EZ$6=1,$L39=0),AND(EZ$6=2,$K39=2,$G39=1)),0,IF(AND(FB$9=2,(OR($F39&gt;1,$K39=1,AND($L39=80,OR($N39=1,AND($N39=2,'#BerechnungDBE'!$AL30&gt;0)))))),IF(EZ$4&gt;=$AD$126,0,FJ39),IF(FB$9=3,IF(OR(EZ$4&gt;=$AD$127,AND($G39=1,$J39=2,EZ$6=2),AND(EZ$6=1,$N39&lt;&gt;1)),0,IF(FD39&lt;=120,FJ39,IF(EZ$4&lt;$AD$124,IF($F39=1,60/FB$4*FB$6,60/FB$4*FB$7),IF($F39=1,120/FB$4*FB$6,120/FB$4*FB$7)))),IF(OR($F39=3,$G39=2),IF(OR(AND(EZ$4&gt;=$AD$119,$C39=2),AND(EZ$4&gt;=$AF$119,$C39=1)),0,IF(FD39&lt;=60,FJ39,60/FB$4*FB$7)),IF(AND($F39=2,$G39=1),FJ39,0)))))</f>
        <v>0</v>
      </c>
      <c r="FM39" s="57" t="str">
        <f t="shared" si="64"/>
        <v/>
      </c>
      <c r="FN39" s="57" t="str">
        <f t="shared" si="65"/>
        <v/>
      </c>
      <c r="FO39" s="713">
        <f>'org. Düngung 22'!AV38</f>
        <v>0</v>
      </c>
      <c r="FP39" s="57"/>
      <c r="FQ39" s="57"/>
      <c r="FR39" s="57">
        <f t="shared" si="66"/>
        <v>0</v>
      </c>
      <c r="FS39" s="57">
        <f t="shared" si="243"/>
        <v>0</v>
      </c>
      <c r="FT39" s="57">
        <f t="shared" si="244"/>
        <v>0</v>
      </c>
      <c r="FU39" s="57">
        <f t="shared" si="245"/>
        <v>0</v>
      </c>
      <c r="FV39" s="57">
        <f t="shared" si="246"/>
        <v>0</v>
      </c>
      <c r="FW39" s="1029">
        <f t="shared" si="67"/>
        <v>0</v>
      </c>
      <c r="FX39" s="57">
        <f t="shared" si="68"/>
        <v>0</v>
      </c>
      <c r="FY39" s="171" t="str">
        <f t="shared" si="69"/>
        <v/>
      </c>
      <c r="FZ39" s="57">
        <f t="shared" si="247"/>
        <v>0</v>
      </c>
      <c r="GA39" s="57">
        <f>IF(OR(AND(FO$6=1,$L39=0),AND(FO$6=2,$K39=2,$G39=1)),0,IF(AND(FQ$9=2,(OR($F39&gt;1,$K39=1,AND($L39=80,OR($N39=1,AND($N39=2,'#BerechnungDBE'!$AL30&gt;0)))))),IF(FO$4&gt;=$AD$126,0,FY39),IF(FQ$9=3,IF(OR(FO$4&gt;=$AD$127,AND($G39=1,$J39=2,FO$6=2),AND(FO$6=1,$N39&lt;&gt;1)),0,IF(FS39&lt;=120,FY39,IF(FO$4&lt;$AD$124,IF($F39=1,60/FQ$4*FQ$6,60/FQ$4*FQ$7),IF($F39=1,120/FQ$4*FQ$6,120/FQ$4*FQ$7)))),IF(OR($F39=3,$G39=2),IF(OR(AND(FO$4&gt;=$AD$119,$C39=2),AND(FO$4&gt;=$AF$119,$C39=1)),0,IF(FS39&lt;=60,FY39,60/FQ$4*FQ$7)),IF(AND($F39=2,$G39=1),FY39,0)))))</f>
        <v>0</v>
      </c>
      <c r="GB39" s="57" t="str">
        <f t="shared" si="70"/>
        <v/>
      </c>
      <c r="GC39" s="57" t="str">
        <f t="shared" si="71"/>
        <v/>
      </c>
      <c r="GD39" s="713">
        <f>'org. Düngung 22'!AZ38</f>
        <v>0</v>
      </c>
      <c r="GE39" s="57"/>
      <c r="GF39" s="57"/>
      <c r="GG39" s="57">
        <f t="shared" si="72"/>
        <v>0</v>
      </c>
      <c r="GH39" s="57">
        <f t="shared" si="248"/>
        <v>0</v>
      </c>
      <c r="GI39" s="57">
        <f t="shared" si="249"/>
        <v>0</v>
      </c>
      <c r="GJ39" s="57">
        <f t="shared" si="250"/>
        <v>0</v>
      </c>
      <c r="GK39" s="57">
        <f t="shared" si="251"/>
        <v>0</v>
      </c>
      <c r="GL39" s="1029">
        <f t="shared" si="73"/>
        <v>0</v>
      </c>
      <c r="GM39" s="57">
        <f t="shared" si="74"/>
        <v>0</v>
      </c>
      <c r="GN39" s="171" t="str">
        <f t="shared" si="75"/>
        <v/>
      </c>
      <c r="GO39" s="57">
        <f t="shared" si="252"/>
        <v>0</v>
      </c>
      <c r="GP39" s="57">
        <f>IF(OR(AND(GD$6=1,$L39=0),AND(GD$6=2,$K39=2,$G39=1)),0,IF(AND(GF$9=2,(OR($F39&gt;1,$K39=1,AND($L39=80,OR($N39=1,AND($N39=2,'#BerechnungDBE'!$AL30&gt;0)))))),IF(GD$4&gt;=$AD$126,0,GN39),IF(GF$9=3,IF(OR(GD$4&gt;=$AD$127,AND($G39=1,$J39=2,GD$6=2),AND(GD$6=1,$N39&lt;&gt;1)),0,IF(GH39&lt;=120,GN39,IF(GD$4&lt;$AD$124,IF($F39=1,60/GF$4*GF$6,60/GF$4*GF$7),IF($F39=1,120/GF$4*GF$6,120/GF$4*GF$7)))),IF(OR($F39=3,$G39=2),IF(OR(AND(GD$4&gt;=$AD$119,$C39=2),AND(GD$4&gt;=$AF$119,$C39=1)),0,IF(GH39&lt;=60,GN39,60/GF$4*GF$7)),IF(AND($F39=2,$G39=1),GN39,0)))))</f>
        <v>0</v>
      </c>
      <c r="GQ39" s="57" t="str">
        <f t="shared" si="76"/>
        <v/>
      </c>
      <c r="GR39" s="57" t="str">
        <f t="shared" si="77"/>
        <v/>
      </c>
      <c r="GS39" s="713">
        <f>'org. Düngung 22'!BD38</f>
        <v>0</v>
      </c>
      <c r="GT39" s="57"/>
      <c r="GU39" s="57"/>
      <c r="GV39" s="57">
        <f t="shared" si="78"/>
        <v>0</v>
      </c>
      <c r="GW39" s="57">
        <f t="shared" si="253"/>
        <v>0</v>
      </c>
      <c r="GX39" s="57">
        <f t="shared" si="254"/>
        <v>0</v>
      </c>
      <c r="GY39" s="57">
        <f t="shared" si="255"/>
        <v>0</v>
      </c>
      <c r="GZ39" s="57">
        <f t="shared" si="256"/>
        <v>0</v>
      </c>
      <c r="HA39" s="1029">
        <f t="shared" si="79"/>
        <v>0</v>
      </c>
      <c r="HB39" s="57">
        <f t="shared" si="80"/>
        <v>0</v>
      </c>
      <c r="HC39" s="171" t="str">
        <f t="shared" si="81"/>
        <v/>
      </c>
      <c r="HD39" s="57">
        <f t="shared" si="257"/>
        <v>0</v>
      </c>
      <c r="HE39" s="57">
        <f>IF(OR(AND(GS$6=1,$L39=0),AND(GS$6=2,$K39=2,$G39=1)),0,IF(AND(GU$9=2,(OR($F39&gt;1,$K39=1,AND($L39=80,OR($N39=1,AND($N39=2,'#BerechnungDBE'!$AL30&gt;0)))))),IF(GS$4&gt;=$AD$126,0,HC39),IF(GU$9=3,IF(OR(GS$4&gt;=$AD$127,AND($G39=1,$J39=2,GS$6=2),AND(GS$6=1,$N39&lt;&gt;1)),0,IF(GW39&lt;=120,HC39,IF(GS$4&lt;$AD$124,IF($F39=1,60/GU$4*GU$6,60/GU$4*GU$7),IF($F39=1,120/GU$4*GU$6,120/GU$4*GU$7)))),IF(OR($F39=3,$G39=2),IF(OR(AND(GS$4&gt;=$AD$119,$C39=2),AND(GS$4&gt;=$AF$119,$C39=1)),0,IF(GW39&lt;=60,HC39,60/GU$4*GU$7)),IF(AND($F39=2,$G39=1),HC39,0)))))</f>
        <v>0</v>
      </c>
      <c r="HF39" s="57" t="str">
        <f t="shared" si="82"/>
        <v/>
      </c>
      <c r="HG39" s="57" t="str">
        <f t="shared" si="83"/>
        <v/>
      </c>
      <c r="HH39" s="713">
        <f>'org. Düngung 22'!BH38</f>
        <v>0</v>
      </c>
      <c r="HI39" s="57"/>
      <c r="HJ39" s="57"/>
      <c r="HK39" s="57">
        <f t="shared" si="84"/>
        <v>0</v>
      </c>
      <c r="HL39" s="57">
        <f t="shared" si="258"/>
        <v>0</v>
      </c>
      <c r="HM39" s="57">
        <f t="shared" si="259"/>
        <v>0</v>
      </c>
      <c r="HN39" s="57">
        <f t="shared" si="260"/>
        <v>0</v>
      </c>
      <c r="HO39" s="57">
        <f t="shared" si="261"/>
        <v>0</v>
      </c>
      <c r="HP39" s="1029">
        <f t="shared" si="85"/>
        <v>0</v>
      </c>
      <c r="HQ39" s="57">
        <f t="shared" si="86"/>
        <v>0</v>
      </c>
      <c r="HR39" s="171" t="str">
        <f t="shared" si="87"/>
        <v/>
      </c>
      <c r="HS39" s="57">
        <f t="shared" si="262"/>
        <v>0</v>
      </c>
      <c r="HT39" s="57">
        <f>IF(OR(AND(HH$6=1,$L39=0),AND(HH$6=2,$K39=2,$G39=1)),0,IF(AND(HJ$9=2,(OR($F39&gt;1,$K39=1,AND($L39=80,OR($N39=1,AND($N39=2,'#BerechnungDBE'!$AL30&gt;0)))))),IF(HH$4&gt;=$AD$126,0,HR39),IF(HJ$9=3,IF(OR(HH$4&gt;=$AD$127,AND($G39=1,$J39=2,HH$6=2),AND(HH$6=1,$N39&lt;&gt;1)),0,IF(HL39&lt;=120,HR39,IF(HH$4&lt;$AD$124,IF($F39=1,60/HJ$4*HJ$6,60/HJ$4*HJ$7),IF($F39=1,120/HJ$4*HJ$6,120/HJ$4*HJ$7)))),IF(OR($F39=3,$G39=2),IF(OR(AND(HH$4&gt;=$AD$119,$C39=2),AND(HH$4&gt;=$AF$119,$C39=1)),0,IF(HL39&lt;=60,HR39,60/HJ$4*HJ$7)),IF(AND($F39=2,$G39=1),HR39,0)))))</f>
        <v>0</v>
      </c>
      <c r="HU39" s="57" t="str">
        <f t="shared" si="88"/>
        <v/>
      </c>
      <c r="HV39" s="57" t="str">
        <f t="shared" si="89"/>
        <v/>
      </c>
      <c r="HW39" s="713">
        <f>'org. Düngung 22'!BL38</f>
        <v>0</v>
      </c>
      <c r="HX39" s="57"/>
      <c r="HY39" s="57"/>
      <c r="HZ39" s="57">
        <f t="shared" si="90"/>
        <v>0</v>
      </c>
      <c r="IA39" s="57">
        <f t="shared" si="263"/>
        <v>0</v>
      </c>
      <c r="IB39" s="57">
        <f t="shared" si="264"/>
        <v>0</v>
      </c>
      <c r="IC39" s="57">
        <f t="shared" si="265"/>
        <v>0</v>
      </c>
      <c r="ID39" s="57">
        <f t="shared" si="266"/>
        <v>0</v>
      </c>
      <c r="IE39" s="1029">
        <f t="shared" si="91"/>
        <v>0</v>
      </c>
      <c r="IF39" s="57">
        <f t="shared" si="92"/>
        <v>0</v>
      </c>
      <c r="IG39" s="171" t="str">
        <f t="shared" si="93"/>
        <v/>
      </c>
      <c r="IH39" s="57">
        <f t="shared" si="267"/>
        <v>0</v>
      </c>
      <c r="II39" s="57">
        <f>IF(OR(AND(HW$6=1,$L39=0),AND(HW$6=2,$K39=2,$G39=1)),0,IF(AND(HY$9=2,(OR($F39&gt;1,$K39=1,AND($L39=80,OR($N39=1,AND($N39=2,'#BerechnungDBE'!$AL30&gt;0)))))),IF(HW$4&gt;=$AD$126,0,IG39),IF(HY$9=3,IF(OR(HW$4&gt;=$AD$127,AND($G39=1,$J39=2,HW$6=2),AND(HW$6=1,$N39&lt;&gt;1)),0,IF(IA39&lt;=120,IG39,IF(HW$4&lt;$AD$124,IF($F39=1,60/HY$4*HY$6,60/HY$4*HY$7),IF($F39=1,120/HY$4*HY$6,120/HY$4*HY$7)))),IF(OR($F39=3,$G39=2),IF(OR(AND(HW$4&gt;=$AD$119,$C39=2),AND(HW$4&gt;=$AF$119,$C39=1)),0,IF(IA39&lt;=60,IG39,60/HY$4*HY$7)),IF(AND($F39=2,$G39=1),IG39,0)))))</f>
        <v>0</v>
      </c>
      <c r="IJ39" s="57" t="str">
        <f t="shared" si="94"/>
        <v/>
      </c>
      <c r="IK39" s="57" t="str">
        <f t="shared" si="95"/>
        <v/>
      </c>
      <c r="IL39" s="713">
        <f>'org. Düngung 22'!BP38</f>
        <v>0</v>
      </c>
      <c r="IM39" s="57"/>
      <c r="IN39" s="57"/>
      <c r="IO39" s="57">
        <f t="shared" si="96"/>
        <v>0</v>
      </c>
      <c r="IP39" s="57">
        <f t="shared" si="268"/>
        <v>0</v>
      </c>
      <c r="IQ39" s="57">
        <f t="shared" si="269"/>
        <v>0</v>
      </c>
      <c r="IR39" s="57">
        <f t="shared" si="270"/>
        <v>0</v>
      </c>
      <c r="IS39" s="57">
        <f t="shared" si="271"/>
        <v>0</v>
      </c>
      <c r="IT39" s="1029">
        <f t="shared" si="97"/>
        <v>0</v>
      </c>
      <c r="IU39" s="57">
        <f t="shared" si="98"/>
        <v>0</v>
      </c>
      <c r="IV39" s="171" t="str">
        <f t="shared" si="99"/>
        <v/>
      </c>
      <c r="IW39" s="57">
        <f t="shared" si="272"/>
        <v>0</v>
      </c>
      <c r="IX39" s="57">
        <f>IF(OR(AND(IL$6=1,$L39=0),AND(IL$6=2,$K39=2,$G39=1)),0,IF(AND(IN$9=2,(OR($F39&gt;1,$K39=1,AND($L39=80,OR($N39=1,AND($N39=2,'#BerechnungDBE'!$AL30&gt;0)))))),IF(IL$4&gt;=$AD$126,0,IV39),IF(IN$9=3,IF(OR(IL$4&gt;=$AD$127,AND($G39=1,$J39=2,IL$6=2),AND(IL$6=1,$N39&lt;&gt;1)),0,IF(IP39&lt;=120,IV39,IF(IL$4&lt;$AD$124,IF($F39=1,60/IN$4*IN$6,60/IN$4*IN$7),IF($F39=1,120/IN$4*IN$6,120/IN$4*IN$7)))),IF(OR($F39=3,$G39=2),IF(OR(AND(IL$4&gt;=$AD$119,$C39=2),AND(IL$4&gt;=$AF$119,$C39=1)),0,IF(IP39&lt;=60,IV39,60/IN$4*IN$7)),IF(AND($F39=2,$G39=1),IV39,0)))))</f>
        <v>0</v>
      </c>
      <c r="IY39" s="57" t="str">
        <f t="shared" si="100"/>
        <v/>
      </c>
      <c r="IZ39" s="57" t="str">
        <f t="shared" si="101"/>
        <v/>
      </c>
      <c r="JA39" s="713">
        <f>'org. Düngung 22'!BT38</f>
        <v>0</v>
      </c>
      <c r="JB39" s="57"/>
      <c r="JC39" s="57"/>
      <c r="JD39" s="57">
        <f t="shared" si="102"/>
        <v>0</v>
      </c>
      <c r="JE39" s="57">
        <f t="shared" si="273"/>
        <v>0</v>
      </c>
      <c r="JF39" s="57">
        <f t="shared" si="274"/>
        <v>0</v>
      </c>
      <c r="JG39" s="57">
        <f t="shared" si="275"/>
        <v>0</v>
      </c>
      <c r="JH39" s="57">
        <f t="shared" si="276"/>
        <v>0</v>
      </c>
      <c r="JI39" s="1029">
        <f t="shared" si="103"/>
        <v>0</v>
      </c>
      <c r="JJ39" s="57">
        <f t="shared" si="104"/>
        <v>0</v>
      </c>
      <c r="JK39" s="171" t="str">
        <f t="shared" si="105"/>
        <v/>
      </c>
      <c r="JL39" s="57">
        <f t="shared" si="277"/>
        <v>0</v>
      </c>
      <c r="JM39" s="57">
        <f>IF(OR(AND(JA$6=1,$L39=0),AND(JA$6=2,$K39=2,$G39=1)),0,IF(AND(JC$9=2,(OR($F39&gt;1,$K39=1,AND($L39=80,OR($N39=1,AND($N39=2,'#BerechnungDBE'!$AL30&gt;0)))))),IF(JA$4&gt;=$AD$126,0,JK39),IF(JC$9=3,IF(OR(JA$4&gt;=$AD$127,AND($G39=1,$J39=2,JA$6=2),AND(JA$6=1,$N39&lt;&gt;1)),0,IF(JE39&lt;=120,JK39,IF(JA$4&lt;$AD$124,IF($F39=1,60/JC$4*JC$6,60/JC$4*JC$7),IF($F39=1,120/JC$4*JC$6,120/JC$4*JC$7)))),IF(OR($F39=3,$G39=2),IF(OR(AND(JA$4&gt;=$AD$119,$C39=2),AND(JA$4&gt;=$AF$119,$C39=1)),0,IF(JE39&lt;=60,JK39,60/JC$4*JC$7)),IF(AND($F39=2,$G39=1),JK39,0)))))</f>
        <v>0</v>
      </c>
      <c r="JN39" s="57" t="str">
        <f t="shared" si="106"/>
        <v/>
      </c>
      <c r="JO39" s="57" t="str">
        <f t="shared" si="107"/>
        <v/>
      </c>
      <c r="JP39" s="713">
        <f>'org. Düngung 22'!BX38</f>
        <v>0</v>
      </c>
      <c r="JQ39" s="57"/>
      <c r="JR39" s="57"/>
      <c r="JS39" s="57">
        <f t="shared" si="108"/>
        <v>0</v>
      </c>
      <c r="JT39" s="57">
        <f t="shared" si="278"/>
        <v>0</v>
      </c>
      <c r="JU39" s="57">
        <f t="shared" si="279"/>
        <v>0</v>
      </c>
      <c r="JV39" s="57">
        <f t="shared" si="280"/>
        <v>0</v>
      </c>
      <c r="JW39" s="57">
        <f t="shared" si="281"/>
        <v>0</v>
      </c>
      <c r="JX39" s="1029">
        <f t="shared" si="109"/>
        <v>0</v>
      </c>
      <c r="JY39" s="57">
        <f t="shared" si="110"/>
        <v>0</v>
      </c>
      <c r="JZ39" s="171" t="str">
        <f t="shared" si="111"/>
        <v/>
      </c>
      <c r="KA39" s="57">
        <f t="shared" si="282"/>
        <v>0</v>
      </c>
      <c r="KB39" s="57">
        <f>IF(OR(AND(JP$6=1,$L39=0),AND(JP$6=2,$K39=2,$G39=1)),0,IF(AND(JR$9=2,(OR($F39&gt;1,$K39=1,AND($L39=80,OR($N39=1,AND($N39=2,'#BerechnungDBE'!$AL30&gt;0)))))),IF(JP$4&gt;=$AD$126,0,JZ39),IF(JR$9=3,IF(OR(JP$4&gt;=$AD$127,AND($G39=1,$J39=2,JP$6=2),AND(JP$6=1,$N39&lt;&gt;1)),0,IF(JT39&lt;=120,JZ39,IF(JP$4&lt;$AD$124,IF($F39=1,60/JR$4*JR$6,60/JR$4*JR$7),IF($F39=1,120/JR$4*JR$6,120/JR$4*JR$7)))),IF(OR($F39=3,$G39=2),IF(OR(AND(JP$4&gt;=$AD$119,$C39=2),AND(JP$4&gt;=$AF$119,$C39=1)),0,IF(JT39&lt;=60,JZ39,60/JR$4*JR$7)),IF(AND($F39=2,$G39=1),JZ39,0)))))</f>
        <v>0</v>
      </c>
      <c r="KC39" s="57" t="str">
        <f t="shared" si="112"/>
        <v/>
      </c>
      <c r="KD39" s="57" t="str">
        <f t="shared" si="113"/>
        <v/>
      </c>
      <c r="KE39" s="713">
        <f>'org. Düngung 22'!CB38</f>
        <v>0</v>
      </c>
      <c r="KF39" s="57"/>
      <c r="KG39" s="57"/>
      <c r="KH39" s="57">
        <f t="shared" si="114"/>
        <v>0</v>
      </c>
      <c r="KI39" s="57">
        <f t="shared" si="283"/>
        <v>0</v>
      </c>
      <c r="KJ39" s="57">
        <f t="shared" si="284"/>
        <v>0</v>
      </c>
      <c r="KK39" s="57">
        <f t="shared" si="285"/>
        <v>0</v>
      </c>
      <c r="KL39" s="57">
        <f t="shared" si="286"/>
        <v>0</v>
      </c>
      <c r="KM39" s="1029">
        <f t="shared" si="115"/>
        <v>0</v>
      </c>
      <c r="KN39" s="57">
        <f t="shared" si="116"/>
        <v>0</v>
      </c>
      <c r="KO39" s="171" t="str">
        <f t="shared" si="117"/>
        <v/>
      </c>
      <c r="KP39" s="57">
        <f t="shared" si="287"/>
        <v>0</v>
      </c>
      <c r="KQ39" s="57">
        <f>IF(OR(AND(KE$6=1,$L39=0),AND(KE$6=2,$K39=2,$G39=1)),0,IF(AND(KG$9=2,(OR($F39&gt;1,$K39=1,AND($L39=80,OR($N39=1,AND($N39=2,'#BerechnungDBE'!$AL30&gt;0)))))),IF(KE$4&gt;=$AD$126,0,KO39),IF(KG$9=3,IF(OR(KE$4&gt;=$AD$127,AND($G39=1,$J39=2,KE$6=2),AND(KE$6=1,$N39&lt;&gt;1)),0,IF(KI39&lt;=120,KO39,IF(KE$4&lt;$AD$124,IF($F39=1,60/KG$4*KG$6,60/KG$4*KG$7),IF($F39=1,120/KG$4*KG$6,120/KG$4*KG$7)))),IF(OR($F39=3,$G39=2),IF(OR(AND(KE$4&gt;=$AD$119,$C39=2),AND(KE$4&gt;=$AF$119,$C39=1)),0,IF(KI39&lt;=60,KO39,60/KG$4*KG$7)),IF(AND($F39=2,$G39=1),KO39,0)))))</f>
        <v>0</v>
      </c>
      <c r="KR39" s="57" t="str">
        <f t="shared" si="118"/>
        <v/>
      </c>
      <c r="KS39" s="57" t="str">
        <f t="shared" si="119"/>
        <v/>
      </c>
      <c r="KT39" s="713">
        <f>'org. Düngung 22'!CF38</f>
        <v>0</v>
      </c>
      <c r="KU39" s="57"/>
      <c r="KV39" s="57"/>
      <c r="KW39" s="57">
        <f t="shared" si="120"/>
        <v>0</v>
      </c>
      <c r="KX39" s="57">
        <f t="shared" si="288"/>
        <v>0</v>
      </c>
      <c r="KY39" s="57">
        <f t="shared" si="289"/>
        <v>0</v>
      </c>
      <c r="KZ39" s="57">
        <f t="shared" si="290"/>
        <v>0</v>
      </c>
      <c r="LA39" s="57">
        <f t="shared" si="291"/>
        <v>0</v>
      </c>
      <c r="LB39" s="1029">
        <f t="shared" si="121"/>
        <v>0</v>
      </c>
      <c r="LC39" s="57">
        <f t="shared" si="122"/>
        <v>0</v>
      </c>
      <c r="LD39" s="171" t="str">
        <f t="shared" si="123"/>
        <v/>
      </c>
      <c r="LE39" s="57">
        <f t="shared" si="292"/>
        <v>0</v>
      </c>
      <c r="LF39" s="57">
        <f>IF(OR(AND(KT$6=1,$L39=0),AND(KT$6=2,$K39=2,$G39=1)),0,IF(AND(KV$9=2,(OR($F39&gt;1,$K39=1,AND($L39=80,OR($N39=1,AND($N39=2,'#BerechnungDBE'!$AL30&gt;0)))))),IF(KT$4&gt;=$AD$126,0,LD39),IF(KV$9=3,IF(OR(KT$4&gt;=$AD$127,AND($G39=1,$J39=2,KT$6=2),AND(KT$6=1,$N39&lt;&gt;1)),0,IF(KX39&lt;=120,LD39,IF(KT$4&lt;$AD$124,IF($F39=1,60/KV$4*KV$6,60/KV$4*KV$7),IF($F39=1,120/KV$4*KV$6,120/KV$4*KV$7)))),IF(OR($F39=3,$G39=2),IF(OR(AND(KT$4&gt;=$AD$119,$C39=2),AND(KT$4&gt;=$AF$119,$C39=1)),0,IF(KX39&lt;=60,LD39,60/KV$4*KV$7)),IF(AND($F39=2,$G39=1),LD39,0)))))</f>
        <v>0</v>
      </c>
      <c r="LG39" s="57" t="str">
        <f t="shared" si="124"/>
        <v/>
      </c>
      <c r="LH39" s="57" t="str">
        <f t="shared" si="125"/>
        <v/>
      </c>
      <c r="LI39" s="713">
        <f>'org. Düngung 22'!CJ38</f>
        <v>0</v>
      </c>
      <c r="LJ39" s="57"/>
      <c r="LK39" s="57"/>
      <c r="LL39" s="57">
        <f t="shared" si="126"/>
        <v>0</v>
      </c>
      <c r="LM39" s="57">
        <f t="shared" si="293"/>
        <v>0</v>
      </c>
      <c r="LN39" s="57">
        <f t="shared" si="294"/>
        <v>0</v>
      </c>
      <c r="LO39" s="57">
        <f t="shared" si="295"/>
        <v>0</v>
      </c>
      <c r="LP39" s="57">
        <f t="shared" si="296"/>
        <v>0</v>
      </c>
      <c r="LQ39" s="1029">
        <f t="shared" si="127"/>
        <v>0</v>
      </c>
      <c r="LR39" s="57">
        <f t="shared" si="128"/>
        <v>0</v>
      </c>
      <c r="LS39" s="171" t="str">
        <f t="shared" si="129"/>
        <v/>
      </c>
      <c r="LT39" s="57">
        <f t="shared" si="297"/>
        <v>0</v>
      </c>
      <c r="LU39" s="57">
        <f>IF(OR(AND(LI$6=1,$L39=0),AND(LI$6=2,$K39=2,$G39=1)),0,IF(AND(LK$9=2,(OR($F39&gt;1,$K39=1,AND($L39=80,OR($N39=1,AND($N39=2,'#BerechnungDBE'!$AL30&gt;0)))))),IF(LI$4&gt;=$AD$126,0,LS39),IF(LK$9=3,IF(OR(LI$4&gt;=$AD$127,AND($G39=1,$J39=2,LI$6=2),AND(LI$6=1,$N39&lt;&gt;1)),0,IF(LM39&lt;=120,LS39,IF(LI$4&lt;$AD$124,IF($F39=1,60/LK$4*LK$6,60/LK$4*LK$7),IF($F39=1,120/LK$4*LK$6,120/LK$4*LK$7)))),IF(OR($F39=3,$G39=2),IF(OR(AND(LI$4&gt;=$AD$119,$C39=2),AND(LI$4&gt;=$AF$119,$C39=1)),0,IF(LM39&lt;=60,LS39,60/LK$4*LK$7)),IF(AND($F39=2,$G39=1),LS39,0)))))</f>
        <v>0</v>
      </c>
      <c r="LV39" s="57" t="str">
        <f t="shared" si="130"/>
        <v/>
      </c>
      <c r="LW39" s="57" t="str">
        <f t="shared" si="131"/>
        <v/>
      </c>
      <c r="LX39" s="713">
        <f>'org. Düngung 22'!CN38</f>
        <v>0</v>
      </c>
      <c r="LY39" s="57"/>
      <c r="LZ39" s="57"/>
      <c r="MA39" s="57">
        <f t="shared" si="132"/>
        <v>0</v>
      </c>
      <c r="MB39" s="57">
        <f t="shared" si="298"/>
        <v>0</v>
      </c>
      <c r="MC39" s="57">
        <f t="shared" si="299"/>
        <v>0</v>
      </c>
      <c r="MD39" s="57">
        <f t="shared" si="300"/>
        <v>0</v>
      </c>
      <c r="ME39" s="57">
        <f t="shared" si="301"/>
        <v>0</v>
      </c>
      <c r="MF39" s="1029">
        <f t="shared" si="133"/>
        <v>0</v>
      </c>
      <c r="MG39" s="57">
        <f t="shared" si="134"/>
        <v>0</v>
      </c>
      <c r="MH39" s="171" t="str">
        <f t="shared" si="135"/>
        <v/>
      </c>
      <c r="MI39" s="57">
        <f t="shared" si="302"/>
        <v>0</v>
      </c>
      <c r="MJ39" s="57">
        <f>IF(OR(AND(LX$6=1,$L39=0),AND(LX$6=2,$K39=2,$G39=1)),0,IF(AND(LZ$9=2,(OR($F39&gt;1,$K39=1,AND($L39=80,OR($N39=1,AND($N39=2,'#BerechnungDBE'!$AL30&gt;0)))))),IF(LX$4&gt;=$AD$126,0,MH39),IF(LZ$9=3,IF(OR(LX$4&gt;=$AD$127,AND($G39=1,$J39=2,LX$6=2),AND(LX$6=1,$N39&lt;&gt;1)),0,IF(MB39&lt;=120,MH39,IF(LX$4&lt;$AD$124,IF($F39=1,60/LZ$4*LZ$6,60/LZ$4*LZ$7),IF($F39=1,120/LZ$4*LZ$6,120/LZ$4*LZ$7)))),IF(OR($F39=3,$G39=2),IF(OR(AND(LX$4&gt;=$AD$119,$C39=2),AND(LX$4&gt;=$AF$119,$C39=1)),0,IF(MB39&lt;=60,MH39,60/LZ$4*LZ$7)),IF(AND($F39=2,$G39=1),MH39,0)))))</f>
        <v>0</v>
      </c>
      <c r="MK39" s="57" t="str">
        <f t="shared" si="136"/>
        <v/>
      </c>
      <c r="ML39" s="57" t="str">
        <f t="shared" si="137"/>
        <v/>
      </c>
      <c r="MM39" s="713">
        <f>'org. Düngung 22'!CR38</f>
        <v>0</v>
      </c>
      <c r="MN39" s="57"/>
      <c r="MO39" s="57"/>
      <c r="MP39" s="57">
        <f t="shared" si="138"/>
        <v>0</v>
      </c>
      <c r="MQ39" s="57">
        <f t="shared" si="303"/>
        <v>0</v>
      </c>
      <c r="MR39" s="57">
        <f t="shared" si="304"/>
        <v>0</v>
      </c>
      <c r="MS39" s="57">
        <f t="shared" si="305"/>
        <v>0</v>
      </c>
      <c r="MT39" s="57">
        <f t="shared" si="306"/>
        <v>0</v>
      </c>
      <c r="MU39" s="1029">
        <f t="shared" si="139"/>
        <v>0</v>
      </c>
      <c r="MV39" s="57">
        <f t="shared" si="140"/>
        <v>0</v>
      </c>
      <c r="MW39" s="171" t="str">
        <f t="shared" si="141"/>
        <v/>
      </c>
      <c r="MX39" s="57">
        <f t="shared" si="307"/>
        <v>0</v>
      </c>
      <c r="MY39" s="57">
        <f>IF(OR(AND(MM$6=1,$L39=0),AND(MM$6=2,$K39=2,$G39=1)),0,IF(AND(MO$9=2,(OR($F39&gt;1,$K39=1,AND($L39=80,OR($N39=1,AND($N39=2,'#BerechnungDBE'!$AL30&gt;0)))))),IF(MM$4&gt;=$AD$126,0,MW39),IF(MO$9=3,IF(OR(MM$4&gt;=$AD$127,AND($G39=1,$J39=2,MM$6=2),AND(MM$6=1,$N39&lt;&gt;1)),0,IF(MQ39&lt;=120,MW39,IF(MM$4&lt;$AD$124,IF($F39=1,60/MO$4*MO$6,60/MO$4*MO$7),IF($F39=1,120/MO$4*MO$6,120/MO$4*MO$7)))),IF(OR($F39=3,$G39=2),IF(OR(AND(MM$4&gt;=$AD$119,$C39=2),AND(MM$4&gt;=$AF$119,$C39=1)),0,IF(MQ39&lt;=60,MW39,60/MO$4*MO$7)),IF(AND($F39=2,$G39=1),MW39,0)))))</f>
        <v>0</v>
      </c>
      <c r="MZ39" s="57" t="str">
        <f t="shared" si="142"/>
        <v/>
      </c>
      <c r="NA39" s="57" t="str">
        <f t="shared" si="143"/>
        <v/>
      </c>
      <c r="NB39" s="713">
        <f>'org. Düngung 22'!CV38</f>
        <v>0</v>
      </c>
      <c r="NC39" s="57"/>
      <c r="ND39" s="57"/>
      <c r="NE39" s="57">
        <f t="shared" si="144"/>
        <v>0</v>
      </c>
      <c r="NF39" s="57">
        <f t="shared" si="308"/>
        <v>0</v>
      </c>
      <c r="NG39" s="57">
        <f t="shared" si="309"/>
        <v>0</v>
      </c>
      <c r="NH39" s="57">
        <f t="shared" si="310"/>
        <v>0</v>
      </c>
      <c r="NI39" s="57">
        <f t="shared" si="311"/>
        <v>0</v>
      </c>
      <c r="NJ39" s="1029">
        <f t="shared" si="145"/>
        <v>0</v>
      </c>
      <c r="NK39" s="57">
        <f t="shared" si="146"/>
        <v>0</v>
      </c>
      <c r="NL39" s="171" t="str">
        <f t="shared" si="147"/>
        <v/>
      </c>
      <c r="NM39" s="57">
        <f t="shared" si="312"/>
        <v>0</v>
      </c>
      <c r="NN39" s="57">
        <f>IF(OR(AND(NB$6=1,$L39=0),AND(NB$6=2,$K39=2,$G39=1)),0,IF(AND(ND$9=2,(OR($F39&gt;1,$K39=1,AND($L39=80,OR($N39=1,AND($N39=2,'#BerechnungDBE'!$AL30&gt;0)))))),IF(NB$4&gt;=$AD$126,0,NL39),IF(ND$9=3,IF(OR(NB$4&gt;=$AD$127,AND($G39=1,$J39=2,NB$6=2),AND(NB$6=1,$N39&lt;&gt;1)),0,IF(NF39&lt;=120,NL39,IF(NB$4&lt;$AD$124,IF($F39=1,60/ND$4*ND$6,60/ND$4*ND$7),IF($F39=1,120/ND$4*ND$6,120/ND$4*ND$7)))),IF(OR($F39=3,$G39=2),IF(OR(AND(NB$4&gt;=$AD$119,$C39=2),AND(NB$4&gt;=$AF$119,$C39=1)),0,IF(NF39&lt;=60,NL39,60/ND$4*ND$7)),IF(AND($F39=2,$G39=1),NL39,0)))))</f>
        <v>0</v>
      </c>
      <c r="NO39" s="57" t="str">
        <f t="shared" si="148"/>
        <v/>
      </c>
      <c r="NP39" s="57" t="str">
        <f t="shared" si="149"/>
        <v/>
      </c>
      <c r="NQ39" s="713">
        <f>'org. Düngung 22'!CZ38</f>
        <v>0</v>
      </c>
      <c r="NR39" s="57"/>
      <c r="NS39" s="57"/>
      <c r="NT39" s="57">
        <f t="shared" si="150"/>
        <v>0</v>
      </c>
      <c r="NU39" s="57">
        <f t="shared" si="313"/>
        <v>0</v>
      </c>
      <c r="NV39" s="57">
        <f t="shared" si="314"/>
        <v>0</v>
      </c>
      <c r="NW39" s="57">
        <f t="shared" si="315"/>
        <v>0</v>
      </c>
      <c r="NX39" s="57">
        <f t="shared" si="316"/>
        <v>0</v>
      </c>
      <c r="NY39" s="1029">
        <f t="shared" si="151"/>
        <v>0</v>
      </c>
      <c r="NZ39" s="57">
        <f t="shared" si="152"/>
        <v>0</v>
      </c>
      <c r="OA39" s="171" t="str">
        <f t="shared" si="153"/>
        <v/>
      </c>
      <c r="OB39" s="57">
        <f t="shared" si="317"/>
        <v>0</v>
      </c>
      <c r="OC39" s="57">
        <f>IF(OR(AND(NQ$6=1,$L39=0),AND(NQ$6=2,$K39=2,$G39=1)),0,IF(AND(NS$9=2,(OR($F39&gt;1,$K39=1,AND($L39=80,OR($N39=1,AND($N39=2,'#BerechnungDBE'!$AL30&gt;0)))))),IF(NQ$4&gt;=$AD$126,0,OA39),IF(NS$9=3,IF(OR(NQ$4&gt;=$AD$127,AND($G39=1,$J39=2,NQ$6=2),AND(NQ$6=1,$N39&lt;&gt;1)),0,IF(NU39&lt;=120,OA39,IF(NQ$4&lt;$AD$124,IF($F39=1,60/NS$4*NS$6,60/NS$4*NS$7),IF($F39=1,120/NS$4*NS$6,120/NS$4*NS$7)))),IF(OR($F39=3,$G39=2),IF(OR(AND(NQ$4&gt;=$AD$119,$C39=2),AND(NQ$4&gt;=$AF$119,$C39=1)),0,IF(NU39&lt;=60,OA39,60/NS$4*NS$7)),IF(AND($F39=2,$G39=1),OA39,0)))))</f>
        <v>0</v>
      </c>
      <c r="OD39" s="57" t="str">
        <f t="shared" si="154"/>
        <v/>
      </c>
      <c r="OE39" s="57" t="str">
        <f t="shared" si="155"/>
        <v/>
      </c>
      <c r="OF39" s="713">
        <f>'org. Düngung 22'!DD38</f>
        <v>0</v>
      </c>
      <c r="OG39" s="57"/>
      <c r="OH39" s="57"/>
      <c r="OI39" s="57">
        <f t="shared" si="156"/>
        <v>0</v>
      </c>
      <c r="OJ39" s="57">
        <f t="shared" si="318"/>
        <v>0</v>
      </c>
      <c r="OK39" s="57">
        <f t="shared" si="319"/>
        <v>0</v>
      </c>
      <c r="OL39" s="57">
        <f t="shared" si="320"/>
        <v>0</v>
      </c>
      <c r="OM39" s="57">
        <f t="shared" si="321"/>
        <v>0</v>
      </c>
      <c r="ON39" s="1029">
        <f t="shared" si="157"/>
        <v>0</v>
      </c>
      <c r="OO39" s="57">
        <f t="shared" si="158"/>
        <v>0</v>
      </c>
      <c r="OP39" s="171" t="str">
        <f t="shared" si="159"/>
        <v/>
      </c>
      <c r="OQ39" s="57">
        <f t="shared" si="322"/>
        <v>0</v>
      </c>
      <c r="OR39" s="57">
        <f>IF(OR(AND(OF$6=1,$L39=0),AND(OF$6=2,$K39=2,$G39=1)),0,IF(AND(OH$9=2,(OR($F39&gt;1,$K39=1,AND($L39=80,OR($N39=1,AND($N39=2,'#BerechnungDBE'!$AL30&gt;0)))))),IF(OF$4&gt;=$AD$126,0,OP39),IF(OH$9=3,IF(OR(OF$4&gt;=$AD$127,AND($G39=1,$J39=2,OF$6=2),AND(OF$6=1,$N39&lt;&gt;1)),0,IF(OJ39&lt;=120,OP39,IF(OF$4&lt;$AD$124,IF($F39=1,60/OH$4*OH$6,60/OH$4*OH$7),IF($F39=1,120/OH$4*OH$6,120/OH$4*OH$7)))),IF(OR($F39=3,$G39=2),IF(OR(AND(OF$4&gt;=$AD$119,$C39=2),AND(OF$4&gt;=$AF$119,$C39=1)),0,IF(OJ39&lt;=60,OP39,60/OH$4*OH$7)),IF(AND($F39=2,$G39=1),OP39,0)))))</f>
        <v>0</v>
      </c>
      <c r="OS39" s="57" t="str">
        <f t="shared" si="160"/>
        <v/>
      </c>
      <c r="OT39" s="57" t="str">
        <f t="shared" si="161"/>
        <v/>
      </c>
      <c r="OU39" s="713">
        <f>'org. Düngung 22'!DH38</f>
        <v>0</v>
      </c>
      <c r="OV39" s="57"/>
      <c r="OW39" s="57"/>
      <c r="OX39" s="57">
        <f t="shared" si="162"/>
        <v>0</v>
      </c>
      <c r="OY39" s="57">
        <f t="shared" si="323"/>
        <v>0</v>
      </c>
      <c r="OZ39" s="57">
        <f t="shared" si="324"/>
        <v>0</v>
      </c>
      <c r="PA39" s="57">
        <f t="shared" si="325"/>
        <v>0</v>
      </c>
      <c r="PB39" s="57">
        <f t="shared" si="326"/>
        <v>0</v>
      </c>
      <c r="PC39" s="1029">
        <f t="shared" si="163"/>
        <v>0</v>
      </c>
      <c r="PD39" s="57">
        <f t="shared" si="164"/>
        <v>0</v>
      </c>
      <c r="PE39" s="171" t="str">
        <f t="shared" si="165"/>
        <v/>
      </c>
      <c r="PF39" s="57">
        <f t="shared" si="327"/>
        <v>0</v>
      </c>
      <c r="PG39" s="57">
        <f>IF(OR(AND(OU$6=1,$L39=0),AND(OU$6=2,$K39=2,$G39=1)),0,IF(AND(OW$9=2,(OR($F39&gt;1,$K39=1,AND($L39=80,OR($N39=1,AND($N39=2,'#BerechnungDBE'!$AL30&gt;0)))))),IF(OU$4&gt;=$AD$126,0,PE39),IF(OW$9=3,IF(OR(OU$4&gt;=$AD$127,AND($G39=1,$J39=2,OU$6=2),AND(OU$6=1,$N39&lt;&gt;1)),0,IF(OY39&lt;=120,PE39,IF(OU$4&lt;$AD$124,IF($F39=1,60/OW$4*OW$6,60/OW$4*OW$7),IF($F39=1,120/OW$4*OW$6,120/OW$4*OW$7)))),IF(OR($F39=3,$G39=2),IF(OR(AND(OU$4&gt;=$AD$119,$C39=2),AND(OU$4&gt;=$AF$119,$C39=1)),0,IF(OY39&lt;=60,PE39,60/OW$4*OW$7)),IF(AND($F39=2,$G39=1),PE39,0)))))</f>
        <v>0</v>
      </c>
      <c r="PH39" s="57" t="str">
        <f t="shared" si="166"/>
        <v/>
      </c>
      <c r="PI39" s="57" t="str">
        <f t="shared" si="167"/>
        <v/>
      </c>
      <c r="PJ39" s="713">
        <f>'org. Düngung 22'!DL38</f>
        <v>0</v>
      </c>
      <c r="PK39" s="57"/>
      <c r="PL39" s="57"/>
      <c r="PM39" s="57">
        <f t="shared" si="168"/>
        <v>0</v>
      </c>
      <c r="PN39" s="57">
        <f t="shared" si="328"/>
        <v>0</v>
      </c>
      <c r="PO39" s="57">
        <f t="shared" si="329"/>
        <v>0</v>
      </c>
      <c r="PP39" s="57">
        <f t="shared" si="330"/>
        <v>0</v>
      </c>
      <c r="PQ39" s="57">
        <f t="shared" si="331"/>
        <v>0</v>
      </c>
      <c r="PR39" s="1029">
        <f t="shared" si="169"/>
        <v>0</v>
      </c>
      <c r="PS39" s="57">
        <f t="shared" si="170"/>
        <v>0</v>
      </c>
      <c r="PT39" s="171" t="str">
        <f t="shared" si="171"/>
        <v/>
      </c>
      <c r="PU39" s="57">
        <f t="shared" si="332"/>
        <v>0</v>
      </c>
      <c r="PV39" s="57">
        <f>IF(OR(AND(PJ$6=1,$L39=0),AND(PJ$6=2,$K39=2,$G39=1)),0,IF(AND(PL$9=2,(OR($F39&gt;1,$K39=1,AND($L39=80,OR($N39=1,AND($N39=2,'#BerechnungDBE'!$AL30&gt;0)))))),IF(PJ$4&gt;=$AD$126,0,PT39),IF(PL$9=3,IF(OR(PJ$4&gt;=$AD$127,AND($G39=1,$J39=2,PJ$6=2),AND(PJ$6=1,$N39&lt;&gt;1)),0,IF(PN39&lt;=120,PT39,IF(PJ$4&lt;$AD$124,IF($F39=1,60/PL$4*PL$6,60/PL$4*PL$7),IF($F39=1,120/PL$4*PL$6,120/PL$4*PL$7)))),IF(OR($F39=3,$G39=2),IF(OR(AND(PJ$4&gt;=$AD$119,$C39=2),AND(PJ$4&gt;=$AF$119,$C39=1)),0,IF(PN39&lt;=60,PT39,60/PL$4*PL$7)),IF(AND($F39=2,$G39=1),PT39,0)))))</f>
        <v>0</v>
      </c>
      <c r="PW39" s="57" t="str">
        <f t="shared" si="172"/>
        <v/>
      </c>
      <c r="PX39" s="57" t="str">
        <f t="shared" si="173"/>
        <v/>
      </c>
      <c r="PY39" s="713">
        <f>'org. Düngung 22'!DP38</f>
        <v>0</v>
      </c>
      <c r="PZ39" s="57"/>
      <c r="QA39" s="57"/>
      <c r="QB39" s="57">
        <f t="shared" si="174"/>
        <v>0</v>
      </c>
      <c r="QC39" s="57">
        <f t="shared" si="333"/>
        <v>0</v>
      </c>
      <c r="QD39" s="57">
        <f t="shared" si="334"/>
        <v>0</v>
      </c>
      <c r="QE39" s="57">
        <f t="shared" si="335"/>
        <v>0</v>
      </c>
      <c r="QF39" s="57">
        <f t="shared" si="336"/>
        <v>0</v>
      </c>
      <c r="QG39" s="1029">
        <f t="shared" si="175"/>
        <v>0</v>
      </c>
      <c r="QH39" s="57">
        <f t="shared" si="176"/>
        <v>0</v>
      </c>
      <c r="QI39" s="171" t="str">
        <f t="shared" si="177"/>
        <v/>
      </c>
      <c r="QJ39" s="57">
        <f t="shared" si="337"/>
        <v>0</v>
      </c>
      <c r="QK39" s="57">
        <f>IF(OR(AND(PY$6=1,$L39=0),AND(PY$6=2,$K39=2,$G39=1)),0,IF(AND(QA$9=2,(OR($F39&gt;1,$K39=1,AND($L39=80,OR($N39=1,AND($N39=2,'#BerechnungDBE'!$AL30&gt;0)))))),IF(PY$4&gt;=$AD$126,0,QI39),IF(QA$9=3,IF(OR(PY$4&gt;=$AD$127,AND($G39=1,$J39=2,PY$6=2),AND(PY$6=1,$N39&lt;&gt;1)),0,IF(QC39&lt;=120,QI39,IF(PY$4&lt;$AD$124,IF($F39=1,60/QA$4*QA$6,60/QA$4*QA$7),IF($F39=1,120/QA$4*QA$6,120/QA$4*QA$7)))),IF(OR($F39=3,$G39=2),IF(OR(AND(PY$4&gt;=$AD$119,$C39=2),AND(PY$4&gt;=$AF$119,$C39=1)),0,IF(QC39&lt;=60,QI39,60/QA$4*QA$7)),IF(AND($F39=2,$G39=1),QI39,0)))))</f>
        <v>0</v>
      </c>
      <c r="QL39" s="57" t="str">
        <f t="shared" si="178"/>
        <v/>
      </c>
      <c r="QM39" s="57" t="str">
        <f t="shared" si="179"/>
        <v/>
      </c>
      <c r="QN39" s="713">
        <f>'org. Düngung 22'!DT38</f>
        <v>0</v>
      </c>
      <c r="QO39" s="57"/>
      <c r="QP39" s="57"/>
      <c r="QQ39" s="57">
        <f t="shared" si="180"/>
        <v>0</v>
      </c>
      <c r="QR39" s="57">
        <f t="shared" si="338"/>
        <v>0</v>
      </c>
      <c r="QS39" s="57">
        <f t="shared" si="339"/>
        <v>0</v>
      </c>
      <c r="QT39" s="57">
        <f t="shared" si="340"/>
        <v>0</v>
      </c>
      <c r="QU39" s="57">
        <f t="shared" si="341"/>
        <v>0</v>
      </c>
      <c r="QV39" s="1029">
        <f t="shared" si="181"/>
        <v>0</v>
      </c>
      <c r="QW39" s="57">
        <f t="shared" si="182"/>
        <v>0</v>
      </c>
      <c r="QX39" s="171" t="str">
        <f t="shared" si="183"/>
        <v/>
      </c>
      <c r="QY39" s="57">
        <f t="shared" si="342"/>
        <v>0</v>
      </c>
      <c r="QZ39" s="57">
        <f>IF(OR(AND(QN$6=1,$L39=0),AND(QN$6=2,$K39=2,$G39=1)),0,IF(AND(QP$9=2,(OR($F39&gt;1,$K39=1,AND($L39=80,OR($N39=1,AND($N39=2,'#BerechnungDBE'!$AL30&gt;0)))))),IF(QN$4&gt;=$AD$126,0,QX39),IF(QP$9=3,IF(OR(QN$4&gt;=$AD$127,AND($G39=1,$J39=2,QN$6=2),AND(QN$6=1,$N39&lt;&gt;1)),0,IF(QR39&lt;=120,QX39,IF(QN$4&lt;$AD$124,IF($F39=1,60/QP$4*QP$6,60/QP$4*QP$7),IF($F39=1,120/QP$4*QP$6,120/QP$4*QP$7)))),IF(OR($F39=3,$G39=2),IF(OR(AND(QN$4&gt;=$AD$119,$C39=2),AND(QN$4&gt;=$AF$119,$C39=1)),0,IF(QR39&lt;=60,QX39,60/QP$4*QP$7)),IF(AND($F39=2,$G39=1),QX39,0)))))</f>
        <v>0</v>
      </c>
      <c r="RA39" s="57" t="str">
        <f t="shared" si="184"/>
        <v/>
      </c>
      <c r="RB39" s="57" t="str">
        <f t="shared" si="185"/>
        <v/>
      </c>
      <c r="RC39" s="713">
        <f>'org. Düngung 22'!DX38</f>
        <v>0</v>
      </c>
      <c r="RD39" s="57"/>
      <c r="RE39" s="57"/>
      <c r="RF39" s="57">
        <f t="shared" si="186"/>
        <v>0</v>
      </c>
      <c r="RG39" s="57">
        <f t="shared" si="343"/>
        <v>0</v>
      </c>
      <c r="RH39" s="57">
        <f t="shared" si="344"/>
        <v>0</v>
      </c>
      <c r="RI39" s="57">
        <f t="shared" si="345"/>
        <v>0</v>
      </c>
      <c r="RJ39" s="57">
        <f t="shared" si="346"/>
        <v>0</v>
      </c>
      <c r="RK39" s="1029">
        <f t="shared" si="187"/>
        <v>0</v>
      </c>
      <c r="RL39" s="57">
        <f t="shared" si="188"/>
        <v>0</v>
      </c>
      <c r="RM39" s="171" t="str">
        <f t="shared" si="189"/>
        <v/>
      </c>
      <c r="RN39" s="57">
        <f t="shared" si="347"/>
        <v>0</v>
      </c>
      <c r="RO39" s="57">
        <f>IF(OR(AND(RC$6=1,$L39=0),AND(RC$6=2,$K39=2,$G39=1)),0,IF(AND(RE$9=2,(OR($F39&gt;1,$K39=1,AND($L39=80,OR($N39=1,AND($N39=2,'#BerechnungDBE'!$AL30&gt;0)))))),IF(RC$4&gt;=$AD$126,0,RM39),IF(RE$9=3,IF(OR(RC$4&gt;=$AD$127,AND($G39=1,$J39=2,RC$6=2),AND(RC$6=1,$N39&lt;&gt;1)),0,IF(RG39&lt;=120,RM39,IF(RC$4&lt;$AD$124,IF($F39=1,60/RE$4*RE$6,60/RE$4*RE$7),IF($F39=1,120/RE$4*RE$6,120/RE$4*RE$7)))),IF(OR($F39=3,$G39=2),IF(OR(AND(RC$4&gt;=$AD$119,$C39=2),AND(RC$4&gt;=$AF$119,$C39=1)),0,IF(RG39&lt;=60,RM39,60/RE$4*RE$7)),IF(AND($F39=2,$G39=1),RM39,0)))))</f>
        <v>0</v>
      </c>
      <c r="RP39" s="57" t="str">
        <f t="shared" si="190"/>
        <v/>
      </c>
      <c r="RQ39" s="57" t="str">
        <f t="shared" si="191"/>
        <v/>
      </c>
      <c r="RS39" s="57" t="str">
        <f t="shared" si="348"/>
        <v/>
      </c>
      <c r="RT39" s="57" t="str">
        <f t="shared" si="192"/>
        <v/>
      </c>
      <c r="RU39" s="57" t="str">
        <f t="shared" si="193"/>
        <v/>
      </c>
      <c r="RV39" s="57" t="str">
        <f>IF(Z39&gt;'#BerechnungDBE'!BM30,$RV$9,"")</f>
        <v/>
      </c>
      <c r="RW39" s="57" t="str">
        <f>IF(AND(L39=70,AE39&gt;'#BerechnungDBE'!CQ30),$RW$9,"")</f>
        <v/>
      </c>
      <c r="RX39" s="57" t="str">
        <f>IF(OR('org. Düngung 22'!G38="--",'org. Düngung 22'!G38&lt;=170,'org. Düngung 22'!G38=""),"",$RX$9)</f>
        <v/>
      </c>
      <c r="RY39" s="57" t="str">
        <f>IF('org. Düngung 22'!K38&gt;120,'#orgDung'!$RY$9,"")</f>
        <v/>
      </c>
      <c r="RZ39" s="57" t="str">
        <f>IF('#BerechnungDBE'!P30&lt;4,"",IF(AND('#BerechnungDBE'!BZ30&gt;0,T39&gt;0),'#orgDung'!$RZ$9,""))</f>
        <v/>
      </c>
      <c r="SA39" s="57" t="str">
        <f t="shared" si="194"/>
        <v/>
      </c>
    </row>
    <row r="40" spans="1:495" s="875" customFormat="1" x14ac:dyDescent="0.2">
      <c r="A40" s="875">
        <f>'Flächen u. Kulturen'!A36</f>
        <v>27</v>
      </c>
      <c r="B40" s="367">
        <f>'#BerechnungDBE'!L31</f>
        <v>0</v>
      </c>
      <c r="C40" s="875">
        <f>'#BerechnungDBE'!R31</f>
        <v>1</v>
      </c>
      <c r="D40" s="875">
        <f>'#BerechnungDBE'!T31</f>
        <v>2</v>
      </c>
      <c r="E40" s="875" t="str">
        <f>'Flächen u. Kulturen'!E36</f>
        <v>x</v>
      </c>
      <c r="F40" s="52">
        <f>'#BerechnungDBE'!N31</f>
        <v>1</v>
      </c>
      <c r="G40" s="52">
        <f>'#BerechnungDBE'!O31</f>
        <v>1</v>
      </c>
      <c r="H40" s="875">
        <f>IF('Flächen u. Kulturen'!P36="",0,VLOOKUP('Flächen u. Kulturen'!P36,Kulturen[[HF]:[Berechnungsgruppe]],'#Frucht'!$H$1,FALSE))</f>
        <v>0</v>
      </c>
      <c r="I40" s="875">
        <f>IF('Flächen u. Kulturen'!J36="",0,VLOOKUP('Flächen u. Kulturen'!J36,Kulturen[[HF]:[Berechnungsgruppe]],'#Frucht'!$G$1,FALSE))</f>
        <v>90</v>
      </c>
      <c r="J40" s="505">
        <f t="shared" si="195"/>
        <v>2</v>
      </c>
      <c r="K40" s="505">
        <f>IF('Flächen u. Kulturen'!P36="",0,IF(VLOOKUP('Flächen u. Kulturen'!P36,Kulturen[[HF]:[Saat Winterungen]],'#Frucht'!$P$1,FALSE)&gt;0,1,2))</f>
        <v>2</v>
      </c>
      <c r="L40" s="875">
        <f>'#BerechnungDBE'!AF31</f>
        <v>0</v>
      </c>
      <c r="M40" s="875">
        <f>IF('Flächen u. Kulturen'!L36="",0,VLOOKUP('Flächen u. Kulturen'!L36,Nebenkultur[[Nebenkultur]:[Legum. Zwischenfr.]],'#Zweitfr'!$K$1,FALSE))</f>
        <v>0</v>
      </c>
      <c r="N40" s="875">
        <f>'#BerechnungDBE'!AG31</f>
        <v>0</v>
      </c>
      <c r="P40" s="57">
        <f t="shared" si="0"/>
        <v>0</v>
      </c>
      <c r="Q40" s="57">
        <f t="shared" si="1"/>
        <v>0</v>
      </c>
      <c r="R40" s="875">
        <f t="shared" si="2"/>
        <v>0</v>
      </c>
      <c r="S40" s="938" t="str">
        <f t="shared" si="3"/>
        <v/>
      </c>
      <c r="T40" s="875">
        <f t="shared" si="4"/>
        <v>0</v>
      </c>
      <c r="U40" s="875">
        <f t="shared" si="5"/>
        <v>0</v>
      </c>
      <c r="V40" s="875">
        <f t="shared" si="6"/>
        <v>0</v>
      </c>
      <c r="W40" s="875">
        <f t="shared" si="7"/>
        <v>0</v>
      </c>
      <c r="X40" s="875">
        <f t="shared" si="8"/>
        <v>0</v>
      </c>
      <c r="Y40" s="875">
        <f t="shared" si="349"/>
        <v>0</v>
      </c>
      <c r="Z40" s="875">
        <f t="shared" si="350"/>
        <v>0</v>
      </c>
      <c r="AA40" s="910">
        <f t="shared" si="9"/>
        <v>0</v>
      </c>
      <c r="AB40" s="57">
        <f t="shared" si="351"/>
        <v>0</v>
      </c>
      <c r="AC40" s="875">
        <f t="shared" si="10"/>
        <v>0</v>
      </c>
      <c r="AD40" s="875">
        <f t="shared" si="11"/>
        <v>0</v>
      </c>
      <c r="AE40" s="875">
        <f t="shared" si="12"/>
        <v>0</v>
      </c>
      <c r="AF40" s="875">
        <f t="shared" si="352"/>
        <v>0</v>
      </c>
      <c r="AG40" s="875">
        <f>'org. Düngung 22'!J39</f>
        <v>0</v>
      </c>
      <c r="AH40" s="875">
        <f>'org. Düngung 22'!K39</f>
        <v>0</v>
      </c>
      <c r="AJ40" s="713">
        <f>'org. Düngung 22'!L39</f>
        <v>0</v>
      </c>
      <c r="AK40" s="57"/>
      <c r="AL40" s="57"/>
      <c r="AM40" s="57">
        <f t="shared" si="196"/>
        <v>0</v>
      </c>
      <c r="AN40" s="57">
        <f t="shared" si="197"/>
        <v>0</v>
      </c>
      <c r="AO40" s="57">
        <f t="shared" si="198"/>
        <v>0</v>
      </c>
      <c r="AP40" s="57">
        <f t="shared" si="199"/>
        <v>0</v>
      </c>
      <c r="AQ40" s="57">
        <f t="shared" si="200"/>
        <v>0</v>
      </c>
      <c r="AR40" s="1029">
        <f t="shared" si="14"/>
        <v>0</v>
      </c>
      <c r="AS40" s="57">
        <f t="shared" si="15"/>
        <v>0</v>
      </c>
      <c r="AT40" s="171" t="str">
        <f t="shared" si="16"/>
        <v/>
      </c>
      <c r="AU40" s="57">
        <f t="shared" si="201"/>
        <v>0</v>
      </c>
      <c r="AV40" s="57">
        <f>IF(OR(AND(AJ$6=1,$L40=0),AND(AJ$6=2,$K40=2,$G40=1)),0,IF(AND(AL$9=2,(OR($F40&gt;1,$K40=1,AND($L40=80,OR($N40=1,AND($N40=2,'#BerechnungDBE'!$AL31&gt;0)))))),IF(AJ$4&gt;=$AD$126,0,AT40),IF(AL$9=3,IF(OR(AJ$4&gt;=$AD$127,AND($G40=1,$J40=2,AJ$6=2),AND(AJ$6=1,$N40&lt;&gt;1)),0,IF(AN40&lt;=120,AT40,IF(AJ$4&lt;$AD$124,IF($F40=1,60/AL$4*AL$6,60/AL$4*AL$7),IF($F40=1,120/AL$4*AL$6,120/AL$4*AL$7)))),IF(OR($F40=3,$G40=2),IF(OR(AND(AJ$4&gt;=$AD$119,$C40=2),AND(AJ$4&gt;=$AF$119,$C40=1)),0,IF(AN40&lt;=60,AT40,60/AL$4*AL$7)),IF(AND($F40=2,$G40=1),AT40,0)))))</f>
        <v>0</v>
      </c>
      <c r="AW40" s="57" t="str">
        <f t="shared" si="202"/>
        <v/>
      </c>
      <c r="AX40" s="57" t="str">
        <f t="shared" si="17"/>
        <v/>
      </c>
      <c r="AY40" s="713">
        <f>'org. Düngung 22'!P39</f>
        <v>0</v>
      </c>
      <c r="AZ40" s="57"/>
      <c r="BA40" s="57"/>
      <c r="BB40" s="57">
        <f t="shared" si="18"/>
        <v>0</v>
      </c>
      <c r="BC40" s="57">
        <f t="shared" si="203"/>
        <v>0</v>
      </c>
      <c r="BD40" s="57">
        <f t="shared" si="204"/>
        <v>0</v>
      </c>
      <c r="BE40" s="57">
        <f t="shared" si="205"/>
        <v>0</v>
      </c>
      <c r="BF40" s="57">
        <f t="shared" si="206"/>
        <v>0</v>
      </c>
      <c r="BG40" s="1029">
        <f t="shared" si="19"/>
        <v>0</v>
      </c>
      <c r="BH40" s="57">
        <f t="shared" si="20"/>
        <v>0</v>
      </c>
      <c r="BI40" s="171" t="str">
        <f t="shared" si="21"/>
        <v/>
      </c>
      <c r="BJ40" s="57">
        <f t="shared" si="207"/>
        <v>0</v>
      </c>
      <c r="BK40" s="57">
        <f>IF(OR(AND(AY$6=1,$L40=0),AND(AY$6=2,$K40=2,$G40=1)),0,IF(AND(BA$9=2,(OR($F40&gt;1,$K40=1,AND($L40=80,OR($N40=1,AND($N40=2,'#BerechnungDBE'!$AL31&gt;0)))))),IF(AY$4&gt;=$AD$126,0,BI40),IF(BA$9=3,IF(OR(AY$4&gt;=$AD$127,AND($G40=1,$J40=2,AY$6=2),AND(AY$6=1,$N40&lt;&gt;1)),0,IF(BC40&lt;=120,BI40,IF(AY$4&lt;$AD$124,IF($F40=1,60/BA$4*BA$6,60/BA$4*BA$7),IF($F40=1,120/BA$4*BA$6,120/BA$4*BA$7)))),IF(OR($F40=3,$G40=2),IF(OR(AND(AY$4&gt;=$AD$119,$C40=2),AND(AY$4&gt;=$AF$119,$C40=1)),0,IF(BC40&lt;=60,BI40,60/BA$4*BA$7)),IF(AND($F40=2,$G40=1),BI40,0)))))</f>
        <v>0</v>
      </c>
      <c r="BL40" s="57" t="str">
        <f t="shared" si="22"/>
        <v/>
      </c>
      <c r="BM40" s="57" t="str">
        <f t="shared" si="23"/>
        <v/>
      </c>
      <c r="BN40" s="713">
        <f>'org. Düngung 22'!T39</f>
        <v>0</v>
      </c>
      <c r="BO40" s="57"/>
      <c r="BP40" s="57"/>
      <c r="BQ40" s="57">
        <f t="shared" si="24"/>
        <v>0</v>
      </c>
      <c r="BR40" s="57">
        <f t="shared" si="208"/>
        <v>0</v>
      </c>
      <c r="BS40" s="57">
        <f t="shared" si="209"/>
        <v>0</v>
      </c>
      <c r="BT40" s="57">
        <f t="shared" si="210"/>
        <v>0</v>
      </c>
      <c r="BU40" s="57">
        <f t="shared" si="211"/>
        <v>0</v>
      </c>
      <c r="BV40" s="1029">
        <f t="shared" si="25"/>
        <v>0</v>
      </c>
      <c r="BW40" s="57">
        <f t="shared" si="26"/>
        <v>0</v>
      </c>
      <c r="BX40" s="171" t="str">
        <f t="shared" si="27"/>
        <v/>
      </c>
      <c r="BY40" s="57">
        <f t="shared" si="212"/>
        <v>0</v>
      </c>
      <c r="BZ40" s="57">
        <f>IF(OR(AND(BN$6=1,$L40=0),AND(BN$6=2,$K40=2,$G40=1)),0,IF(AND(BP$9=2,(OR($F40&gt;1,$K40=1,AND($L40=80,OR($N40=1,AND($N40=2,'#BerechnungDBE'!$AL31&gt;0)))))),IF(BN$4&gt;=$AD$126,0,BX40),IF(BP$9=3,IF(OR(BN$4&gt;=$AD$127,AND($G40=1,$J40=2,BN$6=2),AND(BN$6=1,$N40&lt;&gt;1)),0,IF(BR40&lt;=120,BX40,IF(BN$4&lt;$AD$124,IF($F40=1,60/BP$4*BP$6,60/BP$4*BP$7),IF($F40=1,120/BP$4*BP$6,120/BP$4*BP$7)))),IF(OR($F40=3,$G40=2),IF(OR(AND(BN$4&gt;=$AD$119,$C40=2),AND(BN$4&gt;=$AF$119,$C40=1)),0,IF(BR40&lt;=60,BX40,60/BP$4*BP$7)),IF(AND($F40=2,$G40=1),BX40,0)))))</f>
        <v>0</v>
      </c>
      <c r="CA40" s="57" t="str">
        <f t="shared" si="28"/>
        <v/>
      </c>
      <c r="CB40" s="57" t="str">
        <f t="shared" si="29"/>
        <v/>
      </c>
      <c r="CC40" s="713">
        <f>'org. Düngung 22'!X39</f>
        <v>0</v>
      </c>
      <c r="CD40" s="57"/>
      <c r="CE40" s="57"/>
      <c r="CF40" s="57">
        <f t="shared" si="30"/>
        <v>0</v>
      </c>
      <c r="CG40" s="57">
        <f t="shared" si="213"/>
        <v>0</v>
      </c>
      <c r="CH40" s="57">
        <f t="shared" si="214"/>
        <v>0</v>
      </c>
      <c r="CI40" s="57">
        <f t="shared" si="215"/>
        <v>0</v>
      </c>
      <c r="CJ40" s="57">
        <f t="shared" si="216"/>
        <v>0</v>
      </c>
      <c r="CK40" s="1029">
        <f t="shared" si="31"/>
        <v>0</v>
      </c>
      <c r="CL40" s="57">
        <f t="shared" si="32"/>
        <v>0</v>
      </c>
      <c r="CM40" s="171" t="str">
        <f t="shared" si="33"/>
        <v/>
      </c>
      <c r="CN40" s="57">
        <f t="shared" si="217"/>
        <v>0</v>
      </c>
      <c r="CO40" s="57">
        <f>IF(OR(AND(CC$6=1,$L40=0),AND(CC$6=2,$K40=2,$G40=1)),0,IF(AND(CE$9=2,(OR($F40&gt;1,$K40=1,AND($L40=80,OR($N40=1,AND($N40=2,'#BerechnungDBE'!$AL31&gt;0)))))),IF(CC$4&gt;=$AD$126,0,CM40),IF(CE$9=3,IF(OR(CC$4&gt;=$AD$127,AND($G40=1,$J40=2,CC$6=2),AND(CC$6=1,$N40&lt;&gt;1)),0,IF(CG40&lt;=120,CM40,IF(CC$4&lt;$AD$124,IF($F40=1,60/CE$4*CE$6,60/CE$4*CE$7),IF($F40=1,120/CE$4*CE$6,120/CE$4*CE$7)))),IF(OR($F40=3,$G40=2),IF(OR(AND(CC$4&gt;=$AD$119,$C40=2),AND(CC$4&gt;=$AF$119,$C40=1)),0,IF(CG40&lt;=60,CM40,60/CE$4*CE$7)),IF(AND($F40=2,$G40=1),CM40,0)))))</f>
        <v>0</v>
      </c>
      <c r="CP40" s="57" t="str">
        <f t="shared" si="34"/>
        <v/>
      </c>
      <c r="CQ40" s="57" t="str">
        <f t="shared" si="35"/>
        <v/>
      </c>
      <c r="CR40" s="713">
        <f>'org. Düngung 22'!AB39</f>
        <v>0</v>
      </c>
      <c r="CS40" s="57"/>
      <c r="CT40" s="57"/>
      <c r="CU40" s="57">
        <f t="shared" si="36"/>
        <v>0</v>
      </c>
      <c r="CV40" s="57">
        <f t="shared" si="218"/>
        <v>0</v>
      </c>
      <c r="CW40" s="57">
        <f t="shared" si="219"/>
        <v>0</v>
      </c>
      <c r="CX40" s="57">
        <f t="shared" si="220"/>
        <v>0</v>
      </c>
      <c r="CY40" s="57">
        <f t="shared" si="221"/>
        <v>0</v>
      </c>
      <c r="CZ40" s="1029">
        <f t="shared" si="37"/>
        <v>0</v>
      </c>
      <c r="DA40" s="57">
        <f t="shared" si="38"/>
        <v>0</v>
      </c>
      <c r="DB40" s="171" t="str">
        <f t="shared" si="39"/>
        <v/>
      </c>
      <c r="DC40" s="57">
        <f t="shared" si="222"/>
        <v>0</v>
      </c>
      <c r="DD40" s="57">
        <f>IF(OR(AND(CR$6=1,$L40=0),AND(CR$6=2,$K40=2,$G40=1)),0,IF(AND(CT$9=2,(OR($F40&gt;1,$K40=1,AND($L40=80,OR($N40=1,AND($N40=2,'#BerechnungDBE'!$AL31&gt;0)))))),IF(CR$4&gt;=$AD$126,0,DB40),IF(CT$9=3,IF(OR(CR$4&gt;=$AD$127,AND($G40=1,$J40=2,CR$6=2),AND(CR$6=1,$N40&lt;&gt;1)),0,IF(CV40&lt;=120,DB40,IF(CR$4&lt;$AD$124,IF($F40=1,60/CT$4*CT$6,60/CT$4*CT$7),IF($F40=1,120/CT$4*CT$6,120/CT$4*CT$7)))),IF(OR($F40=3,$G40=2),IF(OR(AND(CR$4&gt;=$AD$119,$C40=2),AND(CR$4&gt;=$AF$119,$C40=1)),0,IF(CV40&lt;=60,DB40,60/CT$4*CT$7)),IF(AND($F40=2,$G40=1),DB40,0)))))</f>
        <v>0</v>
      </c>
      <c r="DE40" s="57" t="str">
        <f t="shared" si="40"/>
        <v/>
      </c>
      <c r="DF40" s="57" t="str">
        <f t="shared" si="41"/>
        <v/>
      </c>
      <c r="DG40" s="713">
        <f>'org. Düngung 22'!AF39</f>
        <v>0</v>
      </c>
      <c r="DH40" s="57"/>
      <c r="DI40" s="57"/>
      <c r="DJ40" s="57">
        <f t="shared" si="42"/>
        <v>0</v>
      </c>
      <c r="DK40" s="57">
        <f t="shared" si="223"/>
        <v>0</v>
      </c>
      <c r="DL40" s="57">
        <f t="shared" si="224"/>
        <v>0</v>
      </c>
      <c r="DM40" s="57">
        <f t="shared" si="225"/>
        <v>0</v>
      </c>
      <c r="DN40" s="57">
        <f t="shared" si="226"/>
        <v>0</v>
      </c>
      <c r="DO40" s="1029">
        <f t="shared" si="43"/>
        <v>0</v>
      </c>
      <c r="DP40" s="57">
        <f t="shared" si="44"/>
        <v>0</v>
      </c>
      <c r="DQ40" s="171" t="str">
        <f t="shared" si="45"/>
        <v/>
      </c>
      <c r="DR40" s="57">
        <f t="shared" si="227"/>
        <v>0</v>
      </c>
      <c r="DS40" s="57">
        <f>IF(OR(AND(DG$6=1,$L40=0),AND(DG$6=2,$K40=2,$G40=1)),0,IF(AND(DI$9=2,(OR($F40&gt;1,$K40=1,AND($L40=80,OR($N40=1,AND($N40=2,'#BerechnungDBE'!$AL31&gt;0)))))),IF(DG$4&gt;=$AD$126,0,DQ40),IF(DI$9=3,IF(OR(DG$4&gt;=$AD$127,AND($G40=1,$J40=2,DG$6=2),AND(DG$6=1,$N40&lt;&gt;1)),0,IF(DK40&lt;=120,DQ40,IF(DG$4&lt;$AD$124,IF($F40=1,60/DI$4*DI$6,60/DI$4*DI$7),IF($F40=1,120/DI$4*DI$6,120/DI$4*DI$7)))),IF(OR($F40=3,$G40=2),IF(OR(AND(DG$4&gt;=$AD$119,$C40=2),AND(DG$4&gt;=$AF$119,$C40=1)),0,IF(DK40&lt;=60,DQ40,60/DI$4*DI$7)),IF(AND($F40=2,$G40=1),DQ40,0)))))</f>
        <v>0</v>
      </c>
      <c r="DT40" s="57" t="str">
        <f t="shared" si="46"/>
        <v/>
      </c>
      <c r="DU40" s="57" t="str">
        <f t="shared" si="47"/>
        <v/>
      </c>
      <c r="DV40" s="713">
        <f>'org. Düngung 22'!AJ39</f>
        <v>0</v>
      </c>
      <c r="DW40" s="57"/>
      <c r="DX40" s="57"/>
      <c r="DY40" s="57">
        <f t="shared" si="48"/>
        <v>0</v>
      </c>
      <c r="DZ40" s="57">
        <f t="shared" si="228"/>
        <v>0</v>
      </c>
      <c r="EA40" s="57">
        <f t="shared" si="229"/>
        <v>0</v>
      </c>
      <c r="EB40" s="57">
        <f t="shared" si="230"/>
        <v>0</v>
      </c>
      <c r="EC40" s="57">
        <f t="shared" si="231"/>
        <v>0</v>
      </c>
      <c r="ED40" s="1029">
        <f t="shared" si="49"/>
        <v>0</v>
      </c>
      <c r="EE40" s="57">
        <f t="shared" si="50"/>
        <v>0</v>
      </c>
      <c r="EF40" s="171" t="str">
        <f t="shared" si="51"/>
        <v/>
      </c>
      <c r="EG40" s="57">
        <f t="shared" si="232"/>
        <v>0</v>
      </c>
      <c r="EH40" s="57">
        <f>IF(OR(AND(DV$6=1,$L40=0),AND(DV$6=2,$K40=2,$G40=1)),0,IF(AND(DX$9=2,(OR($F40&gt;1,$K40=1,AND($L40=80,OR($N40=1,AND($N40=2,'#BerechnungDBE'!$AL31&gt;0)))))),IF(DV$4&gt;=$AD$126,0,EF40),IF(DX$9=3,IF(OR(DV$4&gt;=$AD$127,AND($G40=1,$J40=2,DV$6=2),AND(DV$6=1,$N40&lt;&gt;1)),0,IF(DZ40&lt;=120,EF40,IF(DV$4&lt;$AD$124,IF($F40=1,60/DX$4*DX$6,60/DX$4*DX$7),IF($F40=1,120/DX$4*DX$6,120/DX$4*DX$7)))),IF(OR($F40=3,$G40=2),IF(OR(AND(DV$4&gt;=$AD$119,$C40=2),AND(DV$4&gt;=$AF$119,$C40=1)),0,IF(DZ40&lt;=60,EF40,60/DX$4*DX$7)),IF(AND($F40=2,$G40=1),EF40,0)))))</f>
        <v>0</v>
      </c>
      <c r="EI40" s="57" t="str">
        <f t="shared" si="52"/>
        <v/>
      </c>
      <c r="EJ40" s="57" t="str">
        <f t="shared" si="53"/>
        <v/>
      </c>
      <c r="EK40" s="713">
        <f>'org. Düngung 22'!AN39</f>
        <v>0</v>
      </c>
      <c r="EL40" s="57"/>
      <c r="EM40" s="57"/>
      <c r="EN40" s="57">
        <f t="shared" si="54"/>
        <v>0</v>
      </c>
      <c r="EO40" s="57">
        <f t="shared" si="233"/>
        <v>0</v>
      </c>
      <c r="EP40" s="57">
        <f t="shared" si="234"/>
        <v>0</v>
      </c>
      <c r="EQ40" s="57">
        <f t="shared" si="235"/>
        <v>0</v>
      </c>
      <c r="ER40" s="57">
        <f t="shared" si="236"/>
        <v>0</v>
      </c>
      <c r="ES40" s="1029">
        <f t="shared" si="55"/>
        <v>0</v>
      </c>
      <c r="ET40" s="57">
        <f t="shared" si="56"/>
        <v>0</v>
      </c>
      <c r="EU40" s="171" t="str">
        <f t="shared" si="57"/>
        <v/>
      </c>
      <c r="EV40" s="57">
        <f t="shared" si="237"/>
        <v>0</v>
      </c>
      <c r="EW40" s="57">
        <f>IF(OR(AND(EK$6=1,$L40=0),AND(EK$6=2,$K40=2,$G40=1)),0,IF(AND(EM$9=2,(OR($F40&gt;1,$K40=1,AND($L40=80,OR($N40=1,AND($N40=2,'#BerechnungDBE'!$AL31&gt;0)))))),IF(EK$4&gt;=$AD$126,0,EU40),IF(EM$9=3,IF(OR(EK$4&gt;=$AD$127,AND($G40=1,$J40=2,EK$6=2),AND(EK$6=1,$N40&lt;&gt;1)),0,IF(EO40&lt;=120,EU40,IF(EK$4&lt;$AD$124,IF($F40=1,60/EM$4*EM$6,60/EM$4*EM$7),IF($F40=1,120/EM$4*EM$6,120/EM$4*EM$7)))),IF(OR($F40=3,$G40=2),IF(OR(AND(EK$4&gt;=$AD$119,$C40=2),AND(EK$4&gt;=$AF$119,$C40=1)),0,IF(EO40&lt;=60,EU40,60/EM$4*EM$7)),IF(AND($F40=2,$G40=1),EU40,0)))))</f>
        <v>0</v>
      </c>
      <c r="EX40" s="57" t="str">
        <f t="shared" si="58"/>
        <v/>
      </c>
      <c r="EY40" s="57" t="str">
        <f t="shared" si="59"/>
        <v/>
      </c>
      <c r="EZ40" s="713">
        <f>'org. Düngung 22'!AR39</f>
        <v>0</v>
      </c>
      <c r="FA40" s="57"/>
      <c r="FB40" s="57"/>
      <c r="FC40" s="57">
        <f t="shared" si="60"/>
        <v>0</v>
      </c>
      <c r="FD40" s="57">
        <f t="shared" si="238"/>
        <v>0</v>
      </c>
      <c r="FE40" s="57">
        <f t="shared" si="239"/>
        <v>0</v>
      </c>
      <c r="FF40" s="57">
        <f t="shared" si="240"/>
        <v>0</v>
      </c>
      <c r="FG40" s="57">
        <f t="shared" si="241"/>
        <v>0</v>
      </c>
      <c r="FH40" s="1029">
        <f t="shared" si="61"/>
        <v>0</v>
      </c>
      <c r="FI40" s="57">
        <f t="shared" si="62"/>
        <v>0</v>
      </c>
      <c r="FJ40" s="171" t="str">
        <f t="shared" si="63"/>
        <v/>
      </c>
      <c r="FK40" s="57">
        <f t="shared" si="242"/>
        <v>0</v>
      </c>
      <c r="FL40" s="57">
        <f>IF(OR(AND(EZ$6=1,$L40=0),AND(EZ$6=2,$K40=2,$G40=1)),0,IF(AND(FB$9=2,(OR($F40&gt;1,$K40=1,AND($L40=80,OR($N40=1,AND($N40=2,'#BerechnungDBE'!$AL31&gt;0)))))),IF(EZ$4&gt;=$AD$126,0,FJ40),IF(FB$9=3,IF(OR(EZ$4&gt;=$AD$127,AND($G40=1,$J40=2,EZ$6=2),AND(EZ$6=1,$N40&lt;&gt;1)),0,IF(FD40&lt;=120,FJ40,IF(EZ$4&lt;$AD$124,IF($F40=1,60/FB$4*FB$6,60/FB$4*FB$7),IF($F40=1,120/FB$4*FB$6,120/FB$4*FB$7)))),IF(OR($F40=3,$G40=2),IF(OR(AND(EZ$4&gt;=$AD$119,$C40=2),AND(EZ$4&gt;=$AF$119,$C40=1)),0,IF(FD40&lt;=60,FJ40,60/FB$4*FB$7)),IF(AND($F40=2,$G40=1),FJ40,0)))))</f>
        <v>0</v>
      </c>
      <c r="FM40" s="57" t="str">
        <f t="shared" si="64"/>
        <v/>
      </c>
      <c r="FN40" s="57" t="str">
        <f t="shared" si="65"/>
        <v/>
      </c>
      <c r="FO40" s="713">
        <f>'org. Düngung 22'!AV39</f>
        <v>0</v>
      </c>
      <c r="FP40" s="57"/>
      <c r="FQ40" s="57"/>
      <c r="FR40" s="57">
        <f t="shared" si="66"/>
        <v>0</v>
      </c>
      <c r="FS40" s="57">
        <f t="shared" si="243"/>
        <v>0</v>
      </c>
      <c r="FT40" s="57">
        <f t="shared" si="244"/>
        <v>0</v>
      </c>
      <c r="FU40" s="57">
        <f t="shared" si="245"/>
        <v>0</v>
      </c>
      <c r="FV40" s="57">
        <f t="shared" si="246"/>
        <v>0</v>
      </c>
      <c r="FW40" s="1029">
        <f t="shared" si="67"/>
        <v>0</v>
      </c>
      <c r="FX40" s="57">
        <f t="shared" si="68"/>
        <v>0</v>
      </c>
      <c r="FY40" s="171" t="str">
        <f t="shared" si="69"/>
        <v/>
      </c>
      <c r="FZ40" s="57">
        <f t="shared" si="247"/>
        <v>0</v>
      </c>
      <c r="GA40" s="57">
        <f>IF(OR(AND(FO$6=1,$L40=0),AND(FO$6=2,$K40=2,$G40=1)),0,IF(AND(FQ$9=2,(OR($F40&gt;1,$K40=1,AND($L40=80,OR($N40=1,AND($N40=2,'#BerechnungDBE'!$AL31&gt;0)))))),IF(FO$4&gt;=$AD$126,0,FY40),IF(FQ$9=3,IF(OR(FO$4&gt;=$AD$127,AND($G40=1,$J40=2,FO$6=2),AND(FO$6=1,$N40&lt;&gt;1)),0,IF(FS40&lt;=120,FY40,IF(FO$4&lt;$AD$124,IF($F40=1,60/FQ$4*FQ$6,60/FQ$4*FQ$7),IF($F40=1,120/FQ$4*FQ$6,120/FQ$4*FQ$7)))),IF(OR($F40=3,$G40=2),IF(OR(AND(FO$4&gt;=$AD$119,$C40=2),AND(FO$4&gt;=$AF$119,$C40=1)),0,IF(FS40&lt;=60,FY40,60/FQ$4*FQ$7)),IF(AND($F40=2,$G40=1),FY40,0)))))</f>
        <v>0</v>
      </c>
      <c r="GB40" s="57" t="str">
        <f t="shared" si="70"/>
        <v/>
      </c>
      <c r="GC40" s="57" t="str">
        <f t="shared" si="71"/>
        <v/>
      </c>
      <c r="GD40" s="713">
        <f>'org. Düngung 22'!AZ39</f>
        <v>0</v>
      </c>
      <c r="GE40" s="57"/>
      <c r="GF40" s="57"/>
      <c r="GG40" s="57">
        <f t="shared" si="72"/>
        <v>0</v>
      </c>
      <c r="GH40" s="57">
        <f t="shared" si="248"/>
        <v>0</v>
      </c>
      <c r="GI40" s="57">
        <f t="shared" si="249"/>
        <v>0</v>
      </c>
      <c r="GJ40" s="57">
        <f t="shared" si="250"/>
        <v>0</v>
      </c>
      <c r="GK40" s="57">
        <f t="shared" si="251"/>
        <v>0</v>
      </c>
      <c r="GL40" s="1029">
        <f t="shared" si="73"/>
        <v>0</v>
      </c>
      <c r="GM40" s="57">
        <f t="shared" si="74"/>
        <v>0</v>
      </c>
      <c r="GN40" s="171" t="str">
        <f t="shared" si="75"/>
        <v/>
      </c>
      <c r="GO40" s="57">
        <f t="shared" si="252"/>
        <v>0</v>
      </c>
      <c r="GP40" s="57">
        <f>IF(OR(AND(GD$6=1,$L40=0),AND(GD$6=2,$K40=2,$G40=1)),0,IF(AND(GF$9=2,(OR($F40&gt;1,$K40=1,AND($L40=80,OR($N40=1,AND($N40=2,'#BerechnungDBE'!$AL31&gt;0)))))),IF(GD$4&gt;=$AD$126,0,GN40),IF(GF$9=3,IF(OR(GD$4&gt;=$AD$127,AND($G40=1,$J40=2,GD$6=2),AND(GD$6=1,$N40&lt;&gt;1)),0,IF(GH40&lt;=120,GN40,IF(GD$4&lt;$AD$124,IF($F40=1,60/GF$4*GF$6,60/GF$4*GF$7),IF($F40=1,120/GF$4*GF$6,120/GF$4*GF$7)))),IF(OR($F40=3,$G40=2),IF(OR(AND(GD$4&gt;=$AD$119,$C40=2),AND(GD$4&gt;=$AF$119,$C40=1)),0,IF(GH40&lt;=60,GN40,60/GF$4*GF$7)),IF(AND($F40=2,$G40=1),GN40,0)))))</f>
        <v>0</v>
      </c>
      <c r="GQ40" s="57" t="str">
        <f t="shared" si="76"/>
        <v/>
      </c>
      <c r="GR40" s="57" t="str">
        <f t="shared" si="77"/>
        <v/>
      </c>
      <c r="GS40" s="713">
        <f>'org. Düngung 22'!BD39</f>
        <v>0</v>
      </c>
      <c r="GT40" s="57"/>
      <c r="GU40" s="57"/>
      <c r="GV40" s="57">
        <f t="shared" si="78"/>
        <v>0</v>
      </c>
      <c r="GW40" s="57">
        <f t="shared" si="253"/>
        <v>0</v>
      </c>
      <c r="GX40" s="57">
        <f t="shared" si="254"/>
        <v>0</v>
      </c>
      <c r="GY40" s="57">
        <f t="shared" si="255"/>
        <v>0</v>
      </c>
      <c r="GZ40" s="57">
        <f t="shared" si="256"/>
        <v>0</v>
      </c>
      <c r="HA40" s="1029">
        <f t="shared" si="79"/>
        <v>0</v>
      </c>
      <c r="HB40" s="57">
        <f t="shared" si="80"/>
        <v>0</v>
      </c>
      <c r="HC40" s="171" t="str">
        <f t="shared" si="81"/>
        <v/>
      </c>
      <c r="HD40" s="57">
        <f t="shared" si="257"/>
        <v>0</v>
      </c>
      <c r="HE40" s="57">
        <f>IF(OR(AND(GS$6=1,$L40=0),AND(GS$6=2,$K40=2,$G40=1)),0,IF(AND(GU$9=2,(OR($F40&gt;1,$K40=1,AND($L40=80,OR($N40=1,AND($N40=2,'#BerechnungDBE'!$AL31&gt;0)))))),IF(GS$4&gt;=$AD$126,0,HC40),IF(GU$9=3,IF(OR(GS$4&gt;=$AD$127,AND($G40=1,$J40=2,GS$6=2),AND(GS$6=1,$N40&lt;&gt;1)),0,IF(GW40&lt;=120,HC40,IF(GS$4&lt;$AD$124,IF($F40=1,60/GU$4*GU$6,60/GU$4*GU$7),IF($F40=1,120/GU$4*GU$6,120/GU$4*GU$7)))),IF(OR($F40=3,$G40=2),IF(OR(AND(GS$4&gt;=$AD$119,$C40=2),AND(GS$4&gt;=$AF$119,$C40=1)),0,IF(GW40&lt;=60,HC40,60/GU$4*GU$7)),IF(AND($F40=2,$G40=1),HC40,0)))))</f>
        <v>0</v>
      </c>
      <c r="HF40" s="57" t="str">
        <f t="shared" si="82"/>
        <v/>
      </c>
      <c r="HG40" s="57" t="str">
        <f t="shared" si="83"/>
        <v/>
      </c>
      <c r="HH40" s="713">
        <f>'org. Düngung 22'!BH39</f>
        <v>0</v>
      </c>
      <c r="HI40" s="57"/>
      <c r="HJ40" s="57"/>
      <c r="HK40" s="57">
        <f t="shared" si="84"/>
        <v>0</v>
      </c>
      <c r="HL40" s="57">
        <f t="shared" si="258"/>
        <v>0</v>
      </c>
      <c r="HM40" s="57">
        <f t="shared" si="259"/>
        <v>0</v>
      </c>
      <c r="HN40" s="57">
        <f t="shared" si="260"/>
        <v>0</v>
      </c>
      <c r="HO40" s="57">
        <f t="shared" si="261"/>
        <v>0</v>
      </c>
      <c r="HP40" s="1029">
        <f t="shared" si="85"/>
        <v>0</v>
      </c>
      <c r="HQ40" s="57">
        <f t="shared" si="86"/>
        <v>0</v>
      </c>
      <c r="HR40" s="171" t="str">
        <f t="shared" si="87"/>
        <v/>
      </c>
      <c r="HS40" s="57">
        <f t="shared" si="262"/>
        <v>0</v>
      </c>
      <c r="HT40" s="57">
        <f>IF(OR(AND(HH$6=1,$L40=0),AND(HH$6=2,$K40=2,$G40=1)),0,IF(AND(HJ$9=2,(OR($F40&gt;1,$K40=1,AND($L40=80,OR($N40=1,AND($N40=2,'#BerechnungDBE'!$AL31&gt;0)))))),IF(HH$4&gt;=$AD$126,0,HR40),IF(HJ$9=3,IF(OR(HH$4&gt;=$AD$127,AND($G40=1,$J40=2,HH$6=2),AND(HH$6=1,$N40&lt;&gt;1)),0,IF(HL40&lt;=120,HR40,IF(HH$4&lt;$AD$124,IF($F40=1,60/HJ$4*HJ$6,60/HJ$4*HJ$7),IF($F40=1,120/HJ$4*HJ$6,120/HJ$4*HJ$7)))),IF(OR($F40=3,$G40=2),IF(OR(AND(HH$4&gt;=$AD$119,$C40=2),AND(HH$4&gt;=$AF$119,$C40=1)),0,IF(HL40&lt;=60,HR40,60/HJ$4*HJ$7)),IF(AND($F40=2,$G40=1),HR40,0)))))</f>
        <v>0</v>
      </c>
      <c r="HU40" s="57" t="str">
        <f t="shared" si="88"/>
        <v/>
      </c>
      <c r="HV40" s="57" t="str">
        <f t="shared" si="89"/>
        <v/>
      </c>
      <c r="HW40" s="713">
        <f>'org. Düngung 22'!BL39</f>
        <v>0</v>
      </c>
      <c r="HX40" s="57"/>
      <c r="HY40" s="57"/>
      <c r="HZ40" s="57">
        <f t="shared" si="90"/>
        <v>0</v>
      </c>
      <c r="IA40" s="57">
        <f t="shared" si="263"/>
        <v>0</v>
      </c>
      <c r="IB40" s="57">
        <f t="shared" si="264"/>
        <v>0</v>
      </c>
      <c r="IC40" s="57">
        <f t="shared" si="265"/>
        <v>0</v>
      </c>
      <c r="ID40" s="57">
        <f t="shared" si="266"/>
        <v>0</v>
      </c>
      <c r="IE40" s="1029">
        <f t="shared" si="91"/>
        <v>0</v>
      </c>
      <c r="IF40" s="57">
        <f t="shared" si="92"/>
        <v>0</v>
      </c>
      <c r="IG40" s="171" t="str">
        <f t="shared" si="93"/>
        <v/>
      </c>
      <c r="IH40" s="57">
        <f t="shared" si="267"/>
        <v>0</v>
      </c>
      <c r="II40" s="57">
        <f>IF(OR(AND(HW$6=1,$L40=0),AND(HW$6=2,$K40=2,$G40=1)),0,IF(AND(HY$9=2,(OR($F40&gt;1,$K40=1,AND($L40=80,OR($N40=1,AND($N40=2,'#BerechnungDBE'!$AL31&gt;0)))))),IF(HW$4&gt;=$AD$126,0,IG40),IF(HY$9=3,IF(OR(HW$4&gt;=$AD$127,AND($G40=1,$J40=2,HW$6=2),AND(HW$6=1,$N40&lt;&gt;1)),0,IF(IA40&lt;=120,IG40,IF(HW$4&lt;$AD$124,IF($F40=1,60/HY$4*HY$6,60/HY$4*HY$7),IF($F40=1,120/HY$4*HY$6,120/HY$4*HY$7)))),IF(OR($F40=3,$G40=2),IF(OR(AND(HW$4&gt;=$AD$119,$C40=2),AND(HW$4&gt;=$AF$119,$C40=1)),0,IF(IA40&lt;=60,IG40,60/HY$4*HY$7)),IF(AND($F40=2,$G40=1),IG40,0)))))</f>
        <v>0</v>
      </c>
      <c r="IJ40" s="57" t="str">
        <f t="shared" si="94"/>
        <v/>
      </c>
      <c r="IK40" s="57" t="str">
        <f t="shared" si="95"/>
        <v/>
      </c>
      <c r="IL40" s="713">
        <f>'org. Düngung 22'!BP39</f>
        <v>0</v>
      </c>
      <c r="IM40" s="57"/>
      <c r="IN40" s="57"/>
      <c r="IO40" s="57">
        <f t="shared" si="96"/>
        <v>0</v>
      </c>
      <c r="IP40" s="57">
        <f t="shared" si="268"/>
        <v>0</v>
      </c>
      <c r="IQ40" s="57">
        <f t="shared" si="269"/>
        <v>0</v>
      </c>
      <c r="IR40" s="57">
        <f t="shared" si="270"/>
        <v>0</v>
      </c>
      <c r="IS40" s="57">
        <f t="shared" si="271"/>
        <v>0</v>
      </c>
      <c r="IT40" s="1029">
        <f t="shared" si="97"/>
        <v>0</v>
      </c>
      <c r="IU40" s="57">
        <f t="shared" si="98"/>
        <v>0</v>
      </c>
      <c r="IV40" s="171" t="str">
        <f t="shared" si="99"/>
        <v/>
      </c>
      <c r="IW40" s="57">
        <f t="shared" si="272"/>
        <v>0</v>
      </c>
      <c r="IX40" s="57">
        <f>IF(OR(AND(IL$6=1,$L40=0),AND(IL$6=2,$K40=2,$G40=1)),0,IF(AND(IN$9=2,(OR($F40&gt;1,$K40=1,AND($L40=80,OR($N40=1,AND($N40=2,'#BerechnungDBE'!$AL31&gt;0)))))),IF(IL$4&gt;=$AD$126,0,IV40),IF(IN$9=3,IF(OR(IL$4&gt;=$AD$127,AND($G40=1,$J40=2,IL$6=2),AND(IL$6=1,$N40&lt;&gt;1)),0,IF(IP40&lt;=120,IV40,IF(IL$4&lt;$AD$124,IF($F40=1,60/IN$4*IN$6,60/IN$4*IN$7),IF($F40=1,120/IN$4*IN$6,120/IN$4*IN$7)))),IF(OR($F40=3,$G40=2),IF(OR(AND(IL$4&gt;=$AD$119,$C40=2),AND(IL$4&gt;=$AF$119,$C40=1)),0,IF(IP40&lt;=60,IV40,60/IN$4*IN$7)),IF(AND($F40=2,$G40=1),IV40,0)))))</f>
        <v>0</v>
      </c>
      <c r="IY40" s="57" t="str">
        <f t="shared" si="100"/>
        <v/>
      </c>
      <c r="IZ40" s="57" t="str">
        <f t="shared" si="101"/>
        <v/>
      </c>
      <c r="JA40" s="713">
        <f>'org. Düngung 22'!BT39</f>
        <v>0</v>
      </c>
      <c r="JB40" s="57"/>
      <c r="JC40" s="57"/>
      <c r="JD40" s="57">
        <f t="shared" si="102"/>
        <v>0</v>
      </c>
      <c r="JE40" s="57">
        <f t="shared" si="273"/>
        <v>0</v>
      </c>
      <c r="JF40" s="57">
        <f t="shared" si="274"/>
        <v>0</v>
      </c>
      <c r="JG40" s="57">
        <f t="shared" si="275"/>
        <v>0</v>
      </c>
      <c r="JH40" s="57">
        <f t="shared" si="276"/>
        <v>0</v>
      </c>
      <c r="JI40" s="1029">
        <f t="shared" si="103"/>
        <v>0</v>
      </c>
      <c r="JJ40" s="57">
        <f t="shared" si="104"/>
        <v>0</v>
      </c>
      <c r="JK40" s="171" t="str">
        <f t="shared" si="105"/>
        <v/>
      </c>
      <c r="JL40" s="57">
        <f t="shared" si="277"/>
        <v>0</v>
      </c>
      <c r="JM40" s="57">
        <f>IF(OR(AND(JA$6=1,$L40=0),AND(JA$6=2,$K40=2,$G40=1)),0,IF(AND(JC$9=2,(OR($F40&gt;1,$K40=1,AND($L40=80,OR($N40=1,AND($N40=2,'#BerechnungDBE'!$AL31&gt;0)))))),IF(JA$4&gt;=$AD$126,0,JK40),IF(JC$9=3,IF(OR(JA$4&gt;=$AD$127,AND($G40=1,$J40=2,JA$6=2),AND(JA$6=1,$N40&lt;&gt;1)),0,IF(JE40&lt;=120,JK40,IF(JA$4&lt;$AD$124,IF($F40=1,60/JC$4*JC$6,60/JC$4*JC$7),IF($F40=1,120/JC$4*JC$6,120/JC$4*JC$7)))),IF(OR($F40=3,$G40=2),IF(OR(AND(JA$4&gt;=$AD$119,$C40=2),AND(JA$4&gt;=$AF$119,$C40=1)),0,IF(JE40&lt;=60,JK40,60/JC$4*JC$7)),IF(AND($F40=2,$G40=1),JK40,0)))))</f>
        <v>0</v>
      </c>
      <c r="JN40" s="57" t="str">
        <f t="shared" si="106"/>
        <v/>
      </c>
      <c r="JO40" s="57" t="str">
        <f t="shared" si="107"/>
        <v/>
      </c>
      <c r="JP40" s="713">
        <f>'org. Düngung 22'!BX39</f>
        <v>0</v>
      </c>
      <c r="JQ40" s="57"/>
      <c r="JR40" s="57"/>
      <c r="JS40" s="57">
        <f t="shared" si="108"/>
        <v>0</v>
      </c>
      <c r="JT40" s="57">
        <f t="shared" si="278"/>
        <v>0</v>
      </c>
      <c r="JU40" s="57">
        <f t="shared" si="279"/>
        <v>0</v>
      </c>
      <c r="JV40" s="57">
        <f t="shared" si="280"/>
        <v>0</v>
      </c>
      <c r="JW40" s="57">
        <f t="shared" si="281"/>
        <v>0</v>
      </c>
      <c r="JX40" s="1029">
        <f t="shared" si="109"/>
        <v>0</v>
      </c>
      <c r="JY40" s="57">
        <f t="shared" si="110"/>
        <v>0</v>
      </c>
      <c r="JZ40" s="171" t="str">
        <f t="shared" si="111"/>
        <v/>
      </c>
      <c r="KA40" s="57">
        <f t="shared" si="282"/>
        <v>0</v>
      </c>
      <c r="KB40" s="57">
        <f>IF(OR(AND(JP$6=1,$L40=0),AND(JP$6=2,$K40=2,$G40=1)),0,IF(AND(JR$9=2,(OR($F40&gt;1,$K40=1,AND($L40=80,OR($N40=1,AND($N40=2,'#BerechnungDBE'!$AL31&gt;0)))))),IF(JP$4&gt;=$AD$126,0,JZ40),IF(JR$9=3,IF(OR(JP$4&gt;=$AD$127,AND($G40=1,$J40=2,JP$6=2),AND(JP$6=1,$N40&lt;&gt;1)),0,IF(JT40&lt;=120,JZ40,IF(JP$4&lt;$AD$124,IF($F40=1,60/JR$4*JR$6,60/JR$4*JR$7),IF($F40=1,120/JR$4*JR$6,120/JR$4*JR$7)))),IF(OR($F40=3,$G40=2),IF(OR(AND(JP$4&gt;=$AD$119,$C40=2),AND(JP$4&gt;=$AF$119,$C40=1)),0,IF(JT40&lt;=60,JZ40,60/JR$4*JR$7)),IF(AND($F40=2,$G40=1),JZ40,0)))))</f>
        <v>0</v>
      </c>
      <c r="KC40" s="57" t="str">
        <f t="shared" si="112"/>
        <v/>
      </c>
      <c r="KD40" s="57" t="str">
        <f t="shared" si="113"/>
        <v/>
      </c>
      <c r="KE40" s="713">
        <f>'org. Düngung 22'!CB39</f>
        <v>0</v>
      </c>
      <c r="KF40" s="57"/>
      <c r="KG40" s="57"/>
      <c r="KH40" s="57">
        <f t="shared" si="114"/>
        <v>0</v>
      </c>
      <c r="KI40" s="57">
        <f t="shared" si="283"/>
        <v>0</v>
      </c>
      <c r="KJ40" s="57">
        <f t="shared" si="284"/>
        <v>0</v>
      </c>
      <c r="KK40" s="57">
        <f t="shared" si="285"/>
        <v>0</v>
      </c>
      <c r="KL40" s="57">
        <f t="shared" si="286"/>
        <v>0</v>
      </c>
      <c r="KM40" s="1029">
        <f t="shared" si="115"/>
        <v>0</v>
      </c>
      <c r="KN40" s="57">
        <f t="shared" si="116"/>
        <v>0</v>
      </c>
      <c r="KO40" s="171" t="str">
        <f t="shared" si="117"/>
        <v/>
      </c>
      <c r="KP40" s="57">
        <f t="shared" si="287"/>
        <v>0</v>
      </c>
      <c r="KQ40" s="57">
        <f>IF(OR(AND(KE$6=1,$L40=0),AND(KE$6=2,$K40=2,$G40=1)),0,IF(AND(KG$9=2,(OR($F40&gt;1,$K40=1,AND($L40=80,OR($N40=1,AND($N40=2,'#BerechnungDBE'!$AL31&gt;0)))))),IF(KE$4&gt;=$AD$126,0,KO40),IF(KG$9=3,IF(OR(KE$4&gt;=$AD$127,AND($G40=1,$J40=2,KE$6=2),AND(KE$6=1,$N40&lt;&gt;1)),0,IF(KI40&lt;=120,KO40,IF(KE$4&lt;$AD$124,IF($F40=1,60/KG$4*KG$6,60/KG$4*KG$7),IF($F40=1,120/KG$4*KG$6,120/KG$4*KG$7)))),IF(OR($F40=3,$G40=2),IF(OR(AND(KE$4&gt;=$AD$119,$C40=2),AND(KE$4&gt;=$AF$119,$C40=1)),0,IF(KI40&lt;=60,KO40,60/KG$4*KG$7)),IF(AND($F40=2,$G40=1),KO40,0)))))</f>
        <v>0</v>
      </c>
      <c r="KR40" s="57" t="str">
        <f t="shared" si="118"/>
        <v/>
      </c>
      <c r="KS40" s="57" t="str">
        <f t="shared" si="119"/>
        <v/>
      </c>
      <c r="KT40" s="713">
        <f>'org. Düngung 22'!CF39</f>
        <v>0</v>
      </c>
      <c r="KU40" s="57"/>
      <c r="KV40" s="57"/>
      <c r="KW40" s="57">
        <f t="shared" si="120"/>
        <v>0</v>
      </c>
      <c r="KX40" s="57">
        <f t="shared" si="288"/>
        <v>0</v>
      </c>
      <c r="KY40" s="57">
        <f t="shared" si="289"/>
        <v>0</v>
      </c>
      <c r="KZ40" s="57">
        <f t="shared" si="290"/>
        <v>0</v>
      </c>
      <c r="LA40" s="57">
        <f t="shared" si="291"/>
        <v>0</v>
      </c>
      <c r="LB40" s="1029">
        <f t="shared" si="121"/>
        <v>0</v>
      </c>
      <c r="LC40" s="57">
        <f t="shared" si="122"/>
        <v>0</v>
      </c>
      <c r="LD40" s="171" t="str">
        <f t="shared" si="123"/>
        <v/>
      </c>
      <c r="LE40" s="57">
        <f t="shared" si="292"/>
        <v>0</v>
      </c>
      <c r="LF40" s="57">
        <f>IF(OR(AND(KT$6=1,$L40=0),AND(KT$6=2,$K40=2,$G40=1)),0,IF(AND(KV$9=2,(OR($F40&gt;1,$K40=1,AND($L40=80,OR($N40=1,AND($N40=2,'#BerechnungDBE'!$AL31&gt;0)))))),IF(KT$4&gt;=$AD$126,0,LD40),IF(KV$9=3,IF(OR(KT$4&gt;=$AD$127,AND($G40=1,$J40=2,KT$6=2),AND(KT$6=1,$N40&lt;&gt;1)),0,IF(KX40&lt;=120,LD40,IF(KT$4&lt;$AD$124,IF($F40=1,60/KV$4*KV$6,60/KV$4*KV$7),IF($F40=1,120/KV$4*KV$6,120/KV$4*KV$7)))),IF(OR($F40=3,$G40=2),IF(OR(AND(KT$4&gt;=$AD$119,$C40=2),AND(KT$4&gt;=$AF$119,$C40=1)),0,IF(KX40&lt;=60,LD40,60/KV$4*KV$7)),IF(AND($F40=2,$G40=1),LD40,0)))))</f>
        <v>0</v>
      </c>
      <c r="LG40" s="57" t="str">
        <f t="shared" si="124"/>
        <v/>
      </c>
      <c r="LH40" s="57" t="str">
        <f t="shared" si="125"/>
        <v/>
      </c>
      <c r="LI40" s="713">
        <f>'org. Düngung 22'!CJ39</f>
        <v>0</v>
      </c>
      <c r="LJ40" s="57"/>
      <c r="LK40" s="57"/>
      <c r="LL40" s="57">
        <f t="shared" si="126"/>
        <v>0</v>
      </c>
      <c r="LM40" s="57">
        <f t="shared" si="293"/>
        <v>0</v>
      </c>
      <c r="LN40" s="57">
        <f t="shared" si="294"/>
        <v>0</v>
      </c>
      <c r="LO40" s="57">
        <f t="shared" si="295"/>
        <v>0</v>
      </c>
      <c r="LP40" s="57">
        <f t="shared" si="296"/>
        <v>0</v>
      </c>
      <c r="LQ40" s="1029">
        <f t="shared" si="127"/>
        <v>0</v>
      </c>
      <c r="LR40" s="57">
        <f t="shared" si="128"/>
        <v>0</v>
      </c>
      <c r="LS40" s="171" t="str">
        <f t="shared" si="129"/>
        <v/>
      </c>
      <c r="LT40" s="57">
        <f t="shared" si="297"/>
        <v>0</v>
      </c>
      <c r="LU40" s="57">
        <f>IF(OR(AND(LI$6=1,$L40=0),AND(LI$6=2,$K40=2,$G40=1)),0,IF(AND(LK$9=2,(OR($F40&gt;1,$K40=1,AND($L40=80,OR($N40=1,AND($N40=2,'#BerechnungDBE'!$AL31&gt;0)))))),IF(LI$4&gt;=$AD$126,0,LS40),IF(LK$9=3,IF(OR(LI$4&gt;=$AD$127,AND($G40=1,$J40=2,LI$6=2),AND(LI$6=1,$N40&lt;&gt;1)),0,IF(LM40&lt;=120,LS40,IF(LI$4&lt;$AD$124,IF($F40=1,60/LK$4*LK$6,60/LK$4*LK$7),IF($F40=1,120/LK$4*LK$6,120/LK$4*LK$7)))),IF(OR($F40=3,$G40=2),IF(OR(AND(LI$4&gt;=$AD$119,$C40=2),AND(LI$4&gt;=$AF$119,$C40=1)),0,IF(LM40&lt;=60,LS40,60/LK$4*LK$7)),IF(AND($F40=2,$G40=1),LS40,0)))))</f>
        <v>0</v>
      </c>
      <c r="LV40" s="57" t="str">
        <f t="shared" si="130"/>
        <v/>
      </c>
      <c r="LW40" s="57" t="str">
        <f t="shared" si="131"/>
        <v/>
      </c>
      <c r="LX40" s="713">
        <f>'org. Düngung 22'!CN39</f>
        <v>0</v>
      </c>
      <c r="LY40" s="57"/>
      <c r="LZ40" s="57"/>
      <c r="MA40" s="57">
        <f t="shared" si="132"/>
        <v>0</v>
      </c>
      <c r="MB40" s="57">
        <f t="shared" si="298"/>
        <v>0</v>
      </c>
      <c r="MC40" s="57">
        <f t="shared" si="299"/>
        <v>0</v>
      </c>
      <c r="MD40" s="57">
        <f t="shared" si="300"/>
        <v>0</v>
      </c>
      <c r="ME40" s="57">
        <f t="shared" si="301"/>
        <v>0</v>
      </c>
      <c r="MF40" s="1029">
        <f t="shared" si="133"/>
        <v>0</v>
      </c>
      <c r="MG40" s="57">
        <f t="shared" si="134"/>
        <v>0</v>
      </c>
      <c r="MH40" s="171" t="str">
        <f t="shared" si="135"/>
        <v/>
      </c>
      <c r="MI40" s="57">
        <f t="shared" si="302"/>
        <v>0</v>
      </c>
      <c r="MJ40" s="57">
        <f>IF(OR(AND(LX$6=1,$L40=0),AND(LX$6=2,$K40=2,$G40=1)),0,IF(AND(LZ$9=2,(OR($F40&gt;1,$K40=1,AND($L40=80,OR($N40=1,AND($N40=2,'#BerechnungDBE'!$AL31&gt;0)))))),IF(LX$4&gt;=$AD$126,0,MH40),IF(LZ$9=3,IF(OR(LX$4&gt;=$AD$127,AND($G40=1,$J40=2,LX$6=2),AND(LX$6=1,$N40&lt;&gt;1)),0,IF(MB40&lt;=120,MH40,IF(LX$4&lt;$AD$124,IF($F40=1,60/LZ$4*LZ$6,60/LZ$4*LZ$7),IF($F40=1,120/LZ$4*LZ$6,120/LZ$4*LZ$7)))),IF(OR($F40=3,$G40=2),IF(OR(AND(LX$4&gt;=$AD$119,$C40=2),AND(LX$4&gt;=$AF$119,$C40=1)),0,IF(MB40&lt;=60,MH40,60/LZ$4*LZ$7)),IF(AND($F40=2,$G40=1),MH40,0)))))</f>
        <v>0</v>
      </c>
      <c r="MK40" s="57" t="str">
        <f t="shared" si="136"/>
        <v/>
      </c>
      <c r="ML40" s="57" t="str">
        <f t="shared" si="137"/>
        <v/>
      </c>
      <c r="MM40" s="713">
        <f>'org. Düngung 22'!CR39</f>
        <v>0</v>
      </c>
      <c r="MN40" s="57"/>
      <c r="MO40" s="57"/>
      <c r="MP40" s="57">
        <f t="shared" si="138"/>
        <v>0</v>
      </c>
      <c r="MQ40" s="57">
        <f t="shared" si="303"/>
        <v>0</v>
      </c>
      <c r="MR40" s="57">
        <f t="shared" si="304"/>
        <v>0</v>
      </c>
      <c r="MS40" s="57">
        <f t="shared" si="305"/>
        <v>0</v>
      </c>
      <c r="MT40" s="57">
        <f t="shared" si="306"/>
        <v>0</v>
      </c>
      <c r="MU40" s="1029">
        <f t="shared" si="139"/>
        <v>0</v>
      </c>
      <c r="MV40" s="57">
        <f t="shared" si="140"/>
        <v>0</v>
      </c>
      <c r="MW40" s="171" t="str">
        <f t="shared" si="141"/>
        <v/>
      </c>
      <c r="MX40" s="57">
        <f t="shared" si="307"/>
        <v>0</v>
      </c>
      <c r="MY40" s="57">
        <f>IF(OR(AND(MM$6=1,$L40=0),AND(MM$6=2,$K40=2,$G40=1)),0,IF(AND(MO$9=2,(OR($F40&gt;1,$K40=1,AND($L40=80,OR($N40=1,AND($N40=2,'#BerechnungDBE'!$AL31&gt;0)))))),IF(MM$4&gt;=$AD$126,0,MW40),IF(MO$9=3,IF(OR(MM$4&gt;=$AD$127,AND($G40=1,$J40=2,MM$6=2),AND(MM$6=1,$N40&lt;&gt;1)),0,IF(MQ40&lt;=120,MW40,IF(MM$4&lt;$AD$124,IF($F40=1,60/MO$4*MO$6,60/MO$4*MO$7),IF($F40=1,120/MO$4*MO$6,120/MO$4*MO$7)))),IF(OR($F40=3,$G40=2),IF(OR(AND(MM$4&gt;=$AD$119,$C40=2),AND(MM$4&gt;=$AF$119,$C40=1)),0,IF(MQ40&lt;=60,MW40,60/MO$4*MO$7)),IF(AND($F40=2,$G40=1),MW40,0)))))</f>
        <v>0</v>
      </c>
      <c r="MZ40" s="57" t="str">
        <f t="shared" si="142"/>
        <v/>
      </c>
      <c r="NA40" s="57" t="str">
        <f t="shared" si="143"/>
        <v/>
      </c>
      <c r="NB40" s="713">
        <f>'org. Düngung 22'!CV39</f>
        <v>0</v>
      </c>
      <c r="NC40" s="57"/>
      <c r="ND40" s="57"/>
      <c r="NE40" s="57">
        <f t="shared" si="144"/>
        <v>0</v>
      </c>
      <c r="NF40" s="57">
        <f t="shared" si="308"/>
        <v>0</v>
      </c>
      <c r="NG40" s="57">
        <f t="shared" si="309"/>
        <v>0</v>
      </c>
      <c r="NH40" s="57">
        <f t="shared" si="310"/>
        <v>0</v>
      </c>
      <c r="NI40" s="57">
        <f t="shared" si="311"/>
        <v>0</v>
      </c>
      <c r="NJ40" s="1029">
        <f t="shared" si="145"/>
        <v>0</v>
      </c>
      <c r="NK40" s="57">
        <f t="shared" si="146"/>
        <v>0</v>
      </c>
      <c r="NL40" s="171" t="str">
        <f t="shared" si="147"/>
        <v/>
      </c>
      <c r="NM40" s="57">
        <f t="shared" si="312"/>
        <v>0</v>
      </c>
      <c r="NN40" s="57">
        <f>IF(OR(AND(NB$6=1,$L40=0),AND(NB$6=2,$K40=2,$G40=1)),0,IF(AND(ND$9=2,(OR($F40&gt;1,$K40=1,AND($L40=80,OR($N40=1,AND($N40=2,'#BerechnungDBE'!$AL31&gt;0)))))),IF(NB$4&gt;=$AD$126,0,NL40),IF(ND$9=3,IF(OR(NB$4&gt;=$AD$127,AND($G40=1,$J40=2,NB$6=2),AND(NB$6=1,$N40&lt;&gt;1)),0,IF(NF40&lt;=120,NL40,IF(NB$4&lt;$AD$124,IF($F40=1,60/ND$4*ND$6,60/ND$4*ND$7),IF($F40=1,120/ND$4*ND$6,120/ND$4*ND$7)))),IF(OR($F40=3,$G40=2),IF(OR(AND(NB$4&gt;=$AD$119,$C40=2),AND(NB$4&gt;=$AF$119,$C40=1)),0,IF(NF40&lt;=60,NL40,60/ND$4*ND$7)),IF(AND($F40=2,$G40=1),NL40,0)))))</f>
        <v>0</v>
      </c>
      <c r="NO40" s="57" t="str">
        <f t="shared" si="148"/>
        <v/>
      </c>
      <c r="NP40" s="57" t="str">
        <f t="shared" si="149"/>
        <v/>
      </c>
      <c r="NQ40" s="713">
        <f>'org. Düngung 22'!CZ39</f>
        <v>0</v>
      </c>
      <c r="NR40" s="57"/>
      <c r="NS40" s="57"/>
      <c r="NT40" s="57">
        <f t="shared" si="150"/>
        <v>0</v>
      </c>
      <c r="NU40" s="57">
        <f t="shared" si="313"/>
        <v>0</v>
      </c>
      <c r="NV40" s="57">
        <f t="shared" si="314"/>
        <v>0</v>
      </c>
      <c r="NW40" s="57">
        <f t="shared" si="315"/>
        <v>0</v>
      </c>
      <c r="NX40" s="57">
        <f t="shared" si="316"/>
        <v>0</v>
      </c>
      <c r="NY40" s="1029">
        <f t="shared" si="151"/>
        <v>0</v>
      </c>
      <c r="NZ40" s="57">
        <f t="shared" si="152"/>
        <v>0</v>
      </c>
      <c r="OA40" s="171" t="str">
        <f t="shared" si="153"/>
        <v/>
      </c>
      <c r="OB40" s="57">
        <f t="shared" si="317"/>
        <v>0</v>
      </c>
      <c r="OC40" s="57">
        <f>IF(OR(AND(NQ$6=1,$L40=0),AND(NQ$6=2,$K40=2,$G40=1)),0,IF(AND(NS$9=2,(OR($F40&gt;1,$K40=1,AND($L40=80,OR($N40=1,AND($N40=2,'#BerechnungDBE'!$AL31&gt;0)))))),IF(NQ$4&gt;=$AD$126,0,OA40),IF(NS$9=3,IF(OR(NQ$4&gt;=$AD$127,AND($G40=1,$J40=2,NQ$6=2),AND(NQ$6=1,$N40&lt;&gt;1)),0,IF(NU40&lt;=120,OA40,IF(NQ$4&lt;$AD$124,IF($F40=1,60/NS$4*NS$6,60/NS$4*NS$7),IF($F40=1,120/NS$4*NS$6,120/NS$4*NS$7)))),IF(OR($F40=3,$G40=2),IF(OR(AND(NQ$4&gt;=$AD$119,$C40=2),AND(NQ$4&gt;=$AF$119,$C40=1)),0,IF(NU40&lt;=60,OA40,60/NS$4*NS$7)),IF(AND($F40=2,$G40=1),OA40,0)))))</f>
        <v>0</v>
      </c>
      <c r="OD40" s="57" t="str">
        <f t="shared" si="154"/>
        <v/>
      </c>
      <c r="OE40" s="57" t="str">
        <f t="shared" si="155"/>
        <v/>
      </c>
      <c r="OF40" s="713">
        <f>'org. Düngung 22'!DD39</f>
        <v>0</v>
      </c>
      <c r="OG40" s="57"/>
      <c r="OH40" s="57"/>
      <c r="OI40" s="57">
        <f t="shared" si="156"/>
        <v>0</v>
      </c>
      <c r="OJ40" s="57">
        <f t="shared" si="318"/>
        <v>0</v>
      </c>
      <c r="OK40" s="57">
        <f t="shared" si="319"/>
        <v>0</v>
      </c>
      <c r="OL40" s="57">
        <f t="shared" si="320"/>
        <v>0</v>
      </c>
      <c r="OM40" s="57">
        <f t="shared" si="321"/>
        <v>0</v>
      </c>
      <c r="ON40" s="1029">
        <f t="shared" si="157"/>
        <v>0</v>
      </c>
      <c r="OO40" s="57">
        <f t="shared" si="158"/>
        <v>0</v>
      </c>
      <c r="OP40" s="171" t="str">
        <f t="shared" si="159"/>
        <v/>
      </c>
      <c r="OQ40" s="57">
        <f t="shared" si="322"/>
        <v>0</v>
      </c>
      <c r="OR40" s="57">
        <f>IF(OR(AND(OF$6=1,$L40=0),AND(OF$6=2,$K40=2,$G40=1)),0,IF(AND(OH$9=2,(OR($F40&gt;1,$K40=1,AND($L40=80,OR($N40=1,AND($N40=2,'#BerechnungDBE'!$AL31&gt;0)))))),IF(OF$4&gt;=$AD$126,0,OP40),IF(OH$9=3,IF(OR(OF$4&gt;=$AD$127,AND($G40=1,$J40=2,OF$6=2),AND(OF$6=1,$N40&lt;&gt;1)),0,IF(OJ40&lt;=120,OP40,IF(OF$4&lt;$AD$124,IF($F40=1,60/OH$4*OH$6,60/OH$4*OH$7),IF($F40=1,120/OH$4*OH$6,120/OH$4*OH$7)))),IF(OR($F40=3,$G40=2),IF(OR(AND(OF$4&gt;=$AD$119,$C40=2),AND(OF$4&gt;=$AF$119,$C40=1)),0,IF(OJ40&lt;=60,OP40,60/OH$4*OH$7)),IF(AND($F40=2,$G40=1),OP40,0)))))</f>
        <v>0</v>
      </c>
      <c r="OS40" s="57" t="str">
        <f t="shared" si="160"/>
        <v/>
      </c>
      <c r="OT40" s="57" t="str">
        <f t="shared" si="161"/>
        <v/>
      </c>
      <c r="OU40" s="713">
        <f>'org. Düngung 22'!DH39</f>
        <v>0</v>
      </c>
      <c r="OV40" s="57"/>
      <c r="OW40" s="57"/>
      <c r="OX40" s="57">
        <f t="shared" si="162"/>
        <v>0</v>
      </c>
      <c r="OY40" s="57">
        <f t="shared" si="323"/>
        <v>0</v>
      </c>
      <c r="OZ40" s="57">
        <f t="shared" si="324"/>
        <v>0</v>
      </c>
      <c r="PA40" s="57">
        <f t="shared" si="325"/>
        <v>0</v>
      </c>
      <c r="PB40" s="57">
        <f t="shared" si="326"/>
        <v>0</v>
      </c>
      <c r="PC40" s="1029">
        <f t="shared" si="163"/>
        <v>0</v>
      </c>
      <c r="PD40" s="57">
        <f t="shared" si="164"/>
        <v>0</v>
      </c>
      <c r="PE40" s="171" t="str">
        <f t="shared" si="165"/>
        <v/>
      </c>
      <c r="PF40" s="57">
        <f t="shared" si="327"/>
        <v>0</v>
      </c>
      <c r="PG40" s="57">
        <f>IF(OR(AND(OU$6=1,$L40=0),AND(OU$6=2,$K40=2,$G40=1)),0,IF(AND(OW$9=2,(OR($F40&gt;1,$K40=1,AND($L40=80,OR($N40=1,AND($N40=2,'#BerechnungDBE'!$AL31&gt;0)))))),IF(OU$4&gt;=$AD$126,0,PE40),IF(OW$9=3,IF(OR(OU$4&gt;=$AD$127,AND($G40=1,$J40=2,OU$6=2),AND(OU$6=1,$N40&lt;&gt;1)),0,IF(OY40&lt;=120,PE40,IF(OU$4&lt;$AD$124,IF($F40=1,60/OW$4*OW$6,60/OW$4*OW$7),IF($F40=1,120/OW$4*OW$6,120/OW$4*OW$7)))),IF(OR($F40=3,$G40=2),IF(OR(AND(OU$4&gt;=$AD$119,$C40=2),AND(OU$4&gt;=$AF$119,$C40=1)),0,IF(OY40&lt;=60,PE40,60/OW$4*OW$7)),IF(AND($F40=2,$G40=1),PE40,0)))))</f>
        <v>0</v>
      </c>
      <c r="PH40" s="57" t="str">
        <f t="shared" si="166"/>
        <v/>
      </c>
      <c r="PI40" s="57" t="str">
        <f t="shared" si="167"/>
        <v/>
      </c>
      <c r="PJ40" s="713">
        <f>'org. Düngung 22'!DL39</f>
        <v>0</v>
      </c>
      <c r="PK40" s="57"/>
      <c r="PL40" s="57"/>
      <c r="PM40" s="57">
        <f t="shared" si="168"/>
        <v>0</v>
      </c>
      <c r="PN40" s="57">
        <f t="shared" si="328"/>
        <v>0</v>
      </c>
      <c r="PO40" s="57">
        <f t="shared" si="329"/>
        <v>0</v>
      </c>
      <c r="PP40" s="57">
        <f t="shared" si="330"/>
        <v>0</v>
      </c>
      <c r="PQ40" s="57">
        <f t="shared" si="331"/>
        <v>0</v>
      </c>
      <c r="PR40" s="1029">
        <f t="shared" si="169"/>
        <v>0</v>
      </c>
      <c r="PS40" s="57">
        <f t="shared" si="170"/>
        <v>0</v>
      </c>
      <c r="PT40" s="171" t="str">
        <f t="shared" si="171"/>
        <v/>
      </c>
      <c r="PU40" s="57">
        <f t="shared" si="332"/>
        <v>0</v>
      </c>
      <c r="PV40" s="57">
        <f>IF(OR(AND(PJ$6=1,$L40=0),AND(PJ$6=2,$K40=2,$G40=1)),0,IF(AND(PL$9=2,(OR($F40&gt;1,$K40=1,AND($L40=80,OR($N40=1,AND($N40=2,'#BerechnungDBE'!$AL31&gt;0)))))),IF(PJ$4&gt;=$AD$126,0,PT40),IF(PL$9=3,IF(OR(PJ$4&gt;=$AD$127,AND($G40=1,$J40=2,PJ$6=2),AND(PJ$6=1,$N40&lt;&gt;1)),0,IF(PN40&lt;=120,PT40,IF(PJ$4&lt;$AD$124,IF($F40=1,60/PL$4*PL$6,60/PL$4*PL$7),IF($F40=1,120/PL$4*PL$6,120/PL$4*PL$7)))),IF(OR($F40=3,$G40=2),IF(OR(AND(PJ$4&gt;=$AD$119,$C40=2),AND(PJ$4&gt;=$AF$119,$C40=1)),0,IF(PN40&lt;=60,PT40,60/PL$4*PL$7)),IF(AND($F40=2,$G40=1),PT40,0)))))</f>
        <v>0</v>
      </c>
      <c r="PW40" s="57" t="str">
        <f t="shared" si="172"/>
        <v/>
      </c>
      <c r="PX40" s="57" t="str">
        <f t="shared" si="173"/>
        <v/>
      </c>
      <c r="PY40" s="713">
        <f>'org. Düngung 22'!DP39</f>
        <v>0</v>
      </c>
      <c r="PZ40" s="57"/>
      <c r="QA40" s="57"/>
      <c r="QB40" s="57">
        <f t="shared" si="174"/>
        <v>0</v>
      </c>
      <c r="QC40" s="57">
        <f t="shared" si="333"/>
        <v>0</v>
      </c>
      <c r="QD40" s="57">
        <f t="shared" si="334"/>
        <v>0</v>
      </c>
      <c r="QE40" s="57">
        <f t="shared" si="335"/>
        <v>0</v>
      </c>
      <c r="QF40" s="57">
        <f t="shared" si="336"/>
        <v>0</v>
      </c>
      <c r="QG40" s="1029">
        <f t="shared" si="175"/>
        <v>0</v>
      </c>
      <c r="QH40" s="57">
        <f t="shared" si="176"/>
        <v>0</v>
      </c>
      <c r="QI40" s="171" t="str">
        <f t="shared" si="177"/>
        <v/>
      </c>
      <c r="QJ40" s="57">
        <f t="shared" si="337"/>
        <v>0</v>
      </c>
      <c r="QK40" s="57">
        <f>IF(OR(AND(PY$6=1,$L40=0),AND(PY$6=2,$K40=2,$G40=1)),0,IF(AND(QA$9=2,(OR($F40&gt;1,$K40=1,AND($L40=80,OR($N40=1,AND($N40=2,'#BerechnungDBE'!$AL31&gt;0)))))),IF(PY$4&gt;=$AD$126,0,QI40),IF(QA$9=3,IF(OR(PY$4&gt;=$AD$127,AND($G40=1,$J40=2,PY$6=2),AND(PY$6=1,$N40&lt;&gt;1)),0,IF(QC40&lt;=120,QI40,IF(PY$4&lt;$AD$124,IF($F40=1,60/QA$4*QA$6,60/QA$4*QA$7),IF($F40=1,120/QA$4*QA$6,120/QA$4*QA$7)))),IF(OR($F40=3,$G40=2),IF(OR(AND(PY$4&gt;=$AD$119,$C40=2),AND(PY$4&gt;=$AF$119,$C40=1)),0,IF(QC40&lt;=60,QI40,60/QA$4*QA$7)),IF(AND($F40=2,$G40=1),QI40,0)))))</f>
        <v>0</v>
      </c>
      <c r="QL40" s="57" t="str">
        <f t="shared" si="178"/>
        <v/>
      </c>
      <c r="QM40" s="57" t="str">
        <f t="shared" si="179"/>
        <v/>
      </c>
      <c r="QN40" s="713">
        <f>'org. Düngung 22'!DT39</f>
        <v>0</v>
      </c>
      <c r="QO40" s="57"/>
      <c r="QP40" s="57"/>
      <c r="QQ40" s="57">
        <f t="shared" si="180"/>
        <v>0</v>
      </c>
      <c r="QR40" s="57">
        <f t="shared" si="338"/>
        <v>0</v>
      </c>
      <c r="QS40" s="57">
        <f t="shared" si="339"/>
        <v>0</v>
      </c>
      <c r="QT40" s="57">
        <f t="shared" si="340"/>
        <v>0</v>
      </c>
      <c r="QU40" s="57">
        <f t="shared" si="341"/>
        <v>0</v>
      </c>
      <c r="QV40" s="1029">
        <f t="shared" si="181"/>
        <v>0</v>
      </c>
      <c r="QW40" s="57">
        <f t="shared" si="182"/>
        <v>0</v>
      </c>
      <c r="QX40" s="171" t="str">
        <f t="shared" si="183"/>
        <v/>
      </c>
      <c r="QY40" s="57">
        <f t="shared" si="342"/>
        <v>0</v>
      </c>
      <c r="QZ40" s="57">
        <f>IF(OR(AND(QN$6=1,$L40=0),AND(QN$6=2,$K40=2,$G40=1)),0,IF(AND(QP$9=2,(OR($F40&gt;1,$K40=1,AND($L40=80,OR($N40=1,AND($N40=2,'#BerechnungDBE'!$AL31&gt;0)))))),IF(QN$4&gt;=$AD$126,0,QX40),IF(QP$9=3,IF(OR(QN$4&gt;=$AD$127,AND($G40=1,$J40=2,QN$6=2),AND(QN$6=1,$N40&lt;&gt;1)),0,IF(QR40&lt;=120,QX40,IF(QN$4&lt;$AD$124,IF($F40=1,60/QP$4*QP$6,60/QP$4*QP$7),IF($F40=1,120/QP$4*QP$6,120/QP$4*QP$7)))),IF(OR($F40=3,$G40=2),IF(OR(AND(QN$4&gt;=$AD$119,$C40=2),AND(QN$4&gt;=$AF$119,$C40=1)),0,IF(QR40&lt;=60,QX40,60/QP$4*QP$7)),IF(AND($F40=2,$G40=1),QX40,0)))))</f>
        <v>0</v>
      </c>
      <c r="RA40" s="57" t="str">
        <f t="shared" si="184"/>
        <v/>
      </c>
      <c r="RB40" s="57" t="str">
        <f t="shared" si="185"/>
        <v/>
      </c>
      <c r="RC40" s="713">
        <f>'org. Düngung 22'!DX39</f>
        <v>0</v>
      </c>
      <c r="RD40" s="57"/>
      <c r="RE40" s="57"/>
      <c r="RF40" s="57">
        <f t="shared" si="186"/>
        <v>0</v>
      </c>
      <c r="RG40" s="57">
        <f t="shared" si="343"/>
        <v>0</v>
      </c>
      <c r="RH40" s="57">
        <f t="shared" si="344"/>
        <v>0</v>
      </c>
      <c r="RI40" s="57">
        <f t="shared" si="345"/>
        <v>0</v>
      </c>
      <c r="RJ40" s="57">
        <f t="shared" si="346"/>
        <v>0</v>
      </c>
      <c r="RK40" s="1029">
        <f t="shared" si="187"/>
        <v>0</v>
      </c>
      <c r="RL40" s="57">
        <f t="shared" si="188"/>
        <v>0</v>
      </c>
      <c r="RM40" s="171" t="str">
        <f t="shared" si="189"/>
        <v/>
      </c>
      <c r="RN40" s="57">
        <f t="shared" si="347"/>
        <v>0</v>
      </c>
      <c r="RO40" s="57">
        <f>IF(OR(AND(RC$6=1,$L40=0),AND(RC$6=2,$K40=2,$G40=1)),0,IF(AND(RE$9=2,(OR($F40&gt;1,$K40=1,AND($L40=80,OR($N40=1,AND($N40=2,'#BerechnungDBE'!$AL31&gt;0)))))),IF(RC$4&gt;=$AD$126,0,RM40),IF(RE$9=3,IF(OR(RC$4&gt;=$AD$127,AND($G40=1,$J40=2,RC$6=2),AND(RC$6=1,$N40&lt;&gt;1)),0,IF(RG40&lt;=120,RM40,IF(RC$4&lt;$AD$124,IF($F40=1,60/RE$4*RE$6,60/RE$4*RE$7),IF($F40=1,120/RE$4*RE$6,120/RE$4*RE$7)))),IF(OR($F40=3,$G40=2),IF(OR(AND(RC$4&gt;=$AD$119,$C40=2),AND(RC$4&gt;=$AF$119,$C40=1)),0,IF(RG40&lt;=60,RM40,60/RE$4*RE$7)),IF(AND($F40=2,$G40=1),RM40,0)))))</f>
        <v>0</v>
      </c>
      <c r="RP40" s="57" t="str">
        <f t="shared" si="190"/>
        <v/>
      </c>
      <c r="RQ40" s="57" t="str">
        <f t="shared" si="191"/>
        <v/>
      </c>
      <c r="RS40" s="57" t="str">
        <f t="shared" si="348"/>
        <v/>
      </c>
      <c r="RT40" s="57" t="str">
        <f t="shared" si="192"/>
        <v/>
      </c>
      <c r="RU40" s="57" t="str">
        <f t="shared" si="193"/>
        <v/>
      </c>
      <c r="RV40" s="57" t="str">
        <f>IF(Z40&gt;'#BerechnungDBE'!BM31,$RV$9,"")</f>
        <v/>
      </c>
      <c r="RW40" s="57" t="str">
        <f>IF(AND(L40=70,AE40&gt;'#BerechnungDBE'!CQ31),$RW$9,"")</f>
        <v/>
      </c>
      <c r="RX40" s="57" t="str">
        <f>IF(OR('org. Düngung 22'!G39="--",'org. Düngung 22'!G39&lt;=170,'org. Düngung 22'!G39=""),"",$RX$9)</f>
        <v/>
      </c>
      <c r="RY40" s="57" t="str">
        <f>IF('org. Düngung 22'!K39&gt;120,'#orgDung'!$RY$9,"")</f>
        <v/>
      </c>
      <c r="RZ40" s="57" t="str">
        <f>IF('#BerechnungDBE'!P31&lt;4,"",IF(AND('#BerechnungDBE'!BZ31&gt;0,T40&gt;0),'#orgDung'!$RZ$9,""))</f>
        <v/>
      </c>
      <c r="SA40" s="57" t="str">
        <f t="shared" si="194"/>
        <v/>
      </c>
    </row>
    <row r="41" spans="1:495" s="875" customFormat="1" x14ac:dyDescent="0.2">
      <c r="A41" s="875">
        <f>'Flächen u. Kulturen'!A37</f>
        <v>28</v>
      </c>
      <c r="B41" s="367">
        <f>'#BerechnungDBE'!L32</f>
        <v>0</v>
      </c>
      <c r="C41" s="875">
        <f>'#BerechnungDBE'!R32</f>
        <v>1</v>
      </c>
      <c r="D41" s="875">
        <f>'#BerechnungDBE'!T32</f>
        <v>2</v>
      </c>
      <c r="E41" s="875" t="str">
        <f>'Flächen u. Kulturen'!E37</f>
        <v>x</v>
      </c>
      <c r="F41" s="52">
        <f>'#BerechnungDBE'!N32</f>
        <v>1</v>
      </c>
      <c r="G41" s="52">
        <f>'#BerechnungDBE'!O32</f>
        <v>1</v>
      </c>
      <c r="H41" s="875">
        <f>IF('Flächen u. Kulturen'!P37="",0,VLOOKUP('Flächen u. Kulturen'!P37,Kulturen[[HF]:[Berechnungsgruppe]],'#Frucht'!$H$1,FALSE))</f>
        <v>0</v>
      </c>
      <c r="I41" s="875">
        <f>IF('Flächen u. Kulturen'!J37="",0,VLOOKUP('Flächen u. Kulturen'!J37,Kulturen[[HF]:[Berechnungsgruppe]],'#Frucht'!$G$1,FALSE))</f>
        <v>90</v>
      </c>
      <c r="J41" s="505">
        <f t="shared" si="195"/>
        <v>2</v>
      </c>
      <c r="K41" s="505">
        <f>IF('Flächen u. Kulturen'!P37="",0,IF(VLOOKUP('Flächen u. Kulturen'!P37,Kulturen[[HF]:[Saat Winterungen]],'#Frucht'!$P$1,FALSE)&gt;0,1,2))</f>
        <v>2</v>
      </c>
      <c r="L41" s="875">
        <f>'#BerechnungDBE'!AF32</f>
        <v>0</v>
      </c>
      <c r="M41" s="875">
        <f>IF('Flächen u. Kulturen'!L37="",0,VLOOKUP('Flächen u. Kulturen'!L37,Nebenkultur[[Nebenkultur]:[Legum. Zwischenfr.]],'#Zweitfr'!$K$1,FALSE))</f>
        <v>0</v>
      </c>
      <c r="N41" s="875">
        <f>'#BerechnungDBE'!AG32</f>
        <v>0</v>
      </c>
      <c r="P41" s="57">
        <f t="shared" si="0"/>
        <v>0</v>
      </c>
      <c r="Q41" s="57">
        <f t="shared" si="1"/>
        <v>0</v>
      </c>
      <c r="R41" s="875">
        <f t="shared" si="2"/>
        <v>0</v>
      </c>
      <c r="S41" s="938" t="str">
        <f t="shared" si="3"/>
        <v/>
      </c>
      <c r="T41" s="875">
        <f t="shared" si="4"/>
        <v>0</v>
      </c>
      <c r="U41" s="875">
        <f t="shared" si="5"/>
        <v>0</v>
      </c>
      <c r="V41" s="875">
        <f t="shared" si="6"/>
        <v>0</v>
      </c>
      <c r="W41" s="875">
        <f t="shared" si="7"/>
        <v>0</v>
      </c>
      <c r="X41" s="875">
        <f t="shared" si="8"/>
        <v>0</v>
      </c>
      <c r="Y41" s="875">
        <f t="shared" si="349"/>
        <v>0</v>
      </c>
      <c r="Z41" s="875">
        <f t="shared" si="350"/>
        <v>0</v>
      </c>
      <c r="AA41" s="910">
        <f t="shared" si="9"/>
        <v>0</v>
      </c>
      <c r="AB41" s="57">
        <f t="shared" si="351"/>
        <v>0</v>
      </c>
      <c r="AC41" s="875">
        <f t="shared" si="10"/>
        <v>0</v>
      </c>
      <c r="AD41" s="875">
        <f t="shared" si="11"/>
        <v>0</v>
      </c>
      <c r="AE41" s="875">
        <f t="shared" si="12"/>
        <v>0</v>
      </c>
      <c r="AF41" s="875">
        <f t="shared" si="352"/>
        <v>0</v>
      </c>
      <c r="AG41" s="875">
        <f>'org. Düngung 22'!J40</f>
        <v>0</v>
      </c>
      <c r="AH41" s="875">
        <f>'org. Düngung 22'!K40</f>
        <v>0</v>
      </c>
      <c r="AJ41" s="713">
        <f>'org. Düngung 22'!L40</f>
        <v>0</v>
      </c>
      <c r="AK41" s="57"/>
      <c r="AL41" s="57"/>
      <c r="AM41" s="57">
        <f t="shared" si="196"/>
        <v>0</v>
      </c>
      <c r="AN41" s="57">
        <f t="shared" si="197"/>
        <v>0</v>
      </c>
      <c r="AO41" s="57">
        <f t="shared" si="198"/>
        <v>0</v>
      </c>
      <c r="AP41" s="57">
        <f t="shared" si="199"/>
        <v>0</v>
      </c>
      <c r="AQ41" s="57">
        <f t="shared" si="200"/>
        <v>0</v>
      </c>
      <c r="AR41" s="1029">
        <f t="shared" si="14"/>
        <v>0</v>
      </c>
      <c r="AS41" s="57">
        <f t="shared" si="15"/>
        <v>0</v>
      </c>
      <c r="AT41" s="171" t="str">
        <f t="shared" si="16"/>
        <v/>
      </c>
      <c r="AU41" s="57">
        <f t="shared" si="201"/>
        <v>0</v>
      </c>
      <c r="AV41" s="57">
        <f>IF(OR(AND(AJ$6=1,$L41=0),AND(AJ$6=2,$K41=2,$G41=1)),0,IF(AND(AL$9=2,(OR($F41&gt;1,$K41=1,AND($L41=80,OR($N41=1,AND($N41=2,'#BerechnungDBE'!$AL32&gt;0)))))),IF(AJ$4&gt;=$AD$126,0,AT41),IF(AL$9=3,IF(OR(AJ$4&gt;=$AD$127,AND($G41=1,$J41=2,AJ$6=2),AND(AJ$6=1,$N41&lt;&gt;1)),0,IF(AN41&lt;=120,AT41,IF(AJ$4&lt;$AD$124,IF($F41=1,60/AL$4*AL$6,60/AL$4*AL$7),IF($F41=1,120/AL$4*AL$6,120/AL$4*AL$7)))),IF(OR($F41=3,$G41=2),IF(OR(AND(AJ$4&gt;=$AD$119,$C41=2),AND(AJ$4&gt;=$AF$119,$C41=1)),0,IF(AN41&lt;=60,AT41,60/AL$4*AL$7)),IF(AND($F41=2,$G41=1),AT41,0)))))</f>
        <v>0</v>
      </c>
      <c r="AW41" s="57" t="str">
        <f t="shared" si="202"/>
        <v/>
      </c>
      <c r="AX41" s="57" t="str">
        <f t="shared" si="17"/>
        <v/>
      </c>
      <c r="AY41" s="713">
        <f>'org. Düngung 22'!P40</f>
        <v>0</v>
      </c>
      <c r="AZ41" s="57"/>
      <c r="BA41" s="57"/>
      <c r="BB41" s="57">
        <f t="shared" si="18"/>
        <v>0</v>
      </c>
      <c r="BC41" s="57">
        <f t="shared" si="203"/>
        <v>0</v>
      </c>
      <c r="BD41" s="57">
        <f t="shared" si="204"/>
        <v>0</v>
      </c>
      <c r="BE41" s="57">
        <f t="shared" si="205"/>
        <v>0</v>
      </c>
      <c r="BF41" s="57">
        <f t="shared" si="206"/>
        <v>0</v>
      </c>
      <c r="BG41" s="1029">
        <f t="shared" si="19"/>
        <v>0</v>
      </c>
      <c r="BH41" s="57">
        <f t="shared" si="20"/>
        <v>0</v>
      </c>
      <c r="BI41" s="171" t="str">
        <f t="shared" si="21"/>
        <v/>
      </c>
      <c r="BJ41" s="57">
        <f t="shared" si="207"/>
        <v>0</v>
      </c>
      <c r="BK41" s="57">
        <f>IF(OR(AND(AY$6=1,$L41=0),AND(AY$6=2,$K41=2,$G41=1)),0,IF(AND(BA$9=2,(OR($F41&gt;1,$K41=1,AND($L41=80,OR($N41=1,AND($N41=2,'#BerechnungDBE'!$AL32&gt;0)))))),IF(AY$4&gt;=$AD$126,0,BI41),IF(BA$9=3,IF(OR(AY$4&gt;=$AD$127,AND($G41=1,$J41=2,AY$6=2),AND(AY$6=1,$N41&lt;&gt;1)),0,IF(BC41&lt;=120,BI41,IF(AY$4&lt;$AD$124,IF($F41=1,60/BA$4*BA$6,60/BA$4*BA$7),IF($F41=1,120/BA$4*BA$6,120/BA$4*BA$7)))),IF(OR($F41=3,$G41=2),IF(OR(AND(AY$4&gt;=$AD$119,$C41=2),AND(AY$4&gt;=$AF$119,$C41=1)),0,IF(BC41&lt;=60,BI41,60/BA$4*BA$7)),IF(AND($F41=2,$G41=1),BI41,0)))))</f>
        <v>0</v>
      </c>
      <c r="BL41" s="57" t="str">
        <f t="shared" si="22"/>
        <v/>
      </c>
      <c r="BM41" s="57" t="str">
        <f t="shared" si="23"/>
        <v/>
      </c>
      <c r="BN41" s="713">
        <f>'org. Düngung 22'!T40</f>
        <v>0</v>
      </c>
      <c r="BO41" s="57"/>
      <c r="BP41" s="57"/>
      <c r="BQ41" s="57">
        <f t="shared" si="24"/>
        <v>0</v>
      </c>
      <c r="BR41" s="57">
        <f t="shared" si="208"/>
        <v>0</v>
      </c>
      <c r="BS41" s="57">
        <f t="shared" si="209"/>
        <v>0</v>
      </c>
      <c r="BT41" s="57">
        <f t="shared" si="210"/>
        <v>0</v>
      </c>
      <c r="BU41" s="57">
        <f t="shared" si="211"/>
        <v>0</v>
      </c>
      <c r="BV41" s="1029">
        <f t="shared" si="25"/>
        <v>0</v>
      </c>
      <c r="BW41" s="57">
        <f t="shared" si="26"/>
        <v>0</v>
      </c>
      <c r="BX41" s="171" t="str">
        <f t="shared" si="27"/>
        <v/>
      </c>
      <c r="BY41" s="57">
        <f t="shared" si="212"/>
        <v>0</v>
      </c>
      <c r="BZ41" s="57">
        <f>IF(OR(AND(BN$6=1,$L41=0),AND(BN$6=2,$K41=2,$G41=1)),0,IF(AND(BP$9=2,(OR($F41&gt;1,$K41=1,AND($L41=80,OR($N41=1,AND($N41=2,'#BerechnungDBE'!$AL32&gt;0)))))),IF(BN$4&gt;=$AD$126,0,BX41),IF(BP$9=3,IF(OR(BN$4&gt;=$AD$127,AND($G41=1,$J41=2,BN$6=2),AND(BN$6=1,$N41&lt;&gt;1)),0,IF(BR41&lt;=120,BX41,IF(BN$4&lt;$AD$124,IF($F41=1,60/BP$4*BP$6,60/BP$4*BP$7),IF($F41=1,120/BP$4*BP$6,120/BP$4*BP$7)))),IF(OR($F41=3,$G41=2),IF(OR(AND(BN$4&gt;=$AD$119,$C41=2),AND(BN$4&gt;=$AF$119,$C41=1)),0,IF(BR41&lt;=60,BX41,60/BP$4*BP$7)),IF(AND($F41=2,$G41=1),BX41,0)))))</f>
        <v>0</v>
      </c>
      <c r="CA41" s="57" t="str">
        <f t="shared" si="28"/>
        <v/>
      </c>
      <c r="CB41" s="57" t="str">
        <f t="shared" si="29"/>
        <v/>
      </c>
      <c r="CC41" s="713">
        <f>'org. Düngung 22'!X40</f>
        <v>0</v>
      </c>
      <c r="CD41" s="57"/>
      <c r="CE41" s="57"/>
      <c r="CF41" s="57">
        <f t="shared" si="30"/>
        <v>0</v>
      </c>
      <c r="CG41" s="57">
        <f t="shared" si="213"/>
        <v>0</v>
      </c>
      <c r="CH41" s="57">
        <f t="shared" si="214"/>
        <v>0</v>
      </c>
      <c r="CI41" s="57">
        <f t="shared" si="215"/>
        <v>0</v>
      </c>
      <c r="CJ41" s="57">
        <f t="shared" si="216"/>
        <v>0</v>
      </c>
      <c r="CK41" s="1029">
        <f t="shared" si="31"/>
        <v>0</v>
      </c>
      <c r="CL41" s="57">
        <f t="shared" si="32"/>
        <v>0</v>
      </c>
      <c r="CM41" s="171" t="str">
        <f t="shared" si="33"/>
        <v/>
      </c>
      <c r="CN41" s="57">
        <f t="shared" si="217"/>
        <v>0</v>
      </c>
      <c r="CO41" s="57">
        <f>IF(OR(AND(CC$6=1,$L41=0),AND(CC$6=2,$K41=2,$G41=1)),0,IF(AND(CE$9=2,(OR($F41&gt;1,$K41=1,AND($L41=80,OR($N41=1,AND($N41=2,'#BerechnungDBE'!$AL32&gt;0)))))),IF(CC$4&gt;=$AD$126,0,CM41),IF(CE$9=3,IF(OR(CC$4&gt;=$AD$127,AND($G41=1,$J41=2,CC$6=2),AND(CC$6=1,$N41&lt;&gt;1)),0,IF(CG41&lt;=120,CM41,IF(CC$4&lt;$AD$124,IF($F41=1,60/CE$4*CE$6,60/CE$4*CE$7),IF($F41=1,120/CE$4*CE$6,120/CE$4*CE$7)))),IF(OR($F41=3,$G41=2),IF(OR(AND(CC$4&gt;=$AD$119,$C41=2),AND(CC$4&gt;=$AF$119,$C41=1)),0,IF(CG41&lt;=60,CM41,60/CE$4*CE$7)),IF(AND($F41=2,$G41=1),CM41,0)))))</f>
        <v>0</v>
      </c>
      <c r="CP41" s="57" t="str">
        <f t="shared" si="34"/>
        <v/>
      </c>
      <c r="CQ41" s="57" t="str">
        <f t="shared" si="35"/>
        <v/>
      </c>
      <c r="CR41" s="713">
        <f>'org. Düngung 22'!AB40</f>
        <v>0</v>
      </c>
      <c r="CS41" s="57"/>
      <c r="CT41" s="57"/>
      <c r="CU41" s="57">
        <f t="shared" si="36"/>
        <v>0</v>
      </c>
      <c r="CV41" s="57">
        <f t="shared" si="218"/>
        <v>0</v>
      </c>
      <c r="CW41" s="57">
        <f t="shared" si="219"/>
        <v>0</v>
      </c>
      <c r="CX41" s="57">
        <f t="shared" si="220"/>
        <v>0</v>
      </c>
      <c r="CY41" s="57">
        <f t="shared" si="221"/>
        <v>0</v>
      </c>
      <c r="CZ41" s="1029">
        <f t="shared" si="37"/>
        <v>0</v>
      </c>
      <c r="DA41" s="57">
        <f t="shared" si="38"/>
        <v>0</v>
      </c>
      <c r="DB41" s="171" t="str">
        <f t="shared" si="39"/>
        <v/>
      </c>
      <c r="DC41" s="57">
        <f t="shared" si="222"/>
        <v>0</v>
      </c>
      <c r="DD41" s="57">
        <f>IF(OR(AND(CR$6=1,$L41=0),AND(CR$6=2,$K41=2,$G41=1)),0,IF(AND(CT$9=2,(OR($F41&gt;1,$K41=1,AND($L41=80,OR($N41=1,AND($N41=2,'#BerechnungDBE'!$AL32&gt;0)))))),IF(CR$4&gt;=$AD$126,0,DB41),IF(CT$9=3,IF(OR(CR$4&gt;=$AD$127,AND($G41=1,$J41=2,CR$6=2),AND(CR$6=1,$N41&lt;&gt;1)),0,IF(CV41&lt;=120,DB41,IF(CR$4&lt;$AD$124,IF($F41=1,60/CT$4*CT$6,60/CT$4*CT$7),IF($F41=1,120/CT$4*CT$6,120/CT$4*CT$7)))),IF(OR($F41=3,$G41=2),IF(OR(AND(CR$4&gt;=$AD$119,$C41=2),AND(CR$4&gt;=$AF$119,$C41=1)),0,IF(CV41&lt;=60,DB41,60/CT$4*CT$7)),IF(AND($F41=2,$G41=1),DB41,0)))))</f>
        <v>0</v>
      </c>
      <c r="DE41" s="57" t="str">
        <f t="shared" si="40"/>
        <v/>
      </c>
      <c r="DF41" s="57" t="str">
        <f t="shared" si="41"/>
        <v/>
      </c>
      <c r="DG41" s="713">
        <f>'org. Düngung 22'!AF40</f>
        <v>0</v>
      </c>
      <c r="DH41" s="57"/>
      <c r="DI41" s="57"/>
      <c r="DJ41" s="57">
        <f t="shared" si="42"/>
        <v>0</v>
      </c>
      <c r="DK41" s="57">
        <f t="shared" si="223"/>
        <v>0</v>
      </c>
      <c r="DL41" s="57">
        <f t="shared" si="224"/>
        <v>0</v>
      </c>
      <c r="DM41" s="57">
        <f t="shared" si="225"/>
        <v>0</v>
      </c>
      <c r="DN41" s="57">
        <f t="shared" si="226"/>
        <v>0</v>
      </c>
      <c r="DO41" s="1029">
        <f t="shared" si="43"/>
        <v>0</v>
      </c>
      <c r="DP41" s="57">
        <f t="shared" si="44"/>
        <v>0</v>
      </c>
      <c r="DQ41" s="171" t="str">
        <f t="shared" si="45"/>
        <v/>
      </c>
      <c r="DR41" s="57">
        <f t="shared" si="227"/>
        <v>0</v>
      </c>
      <c r="DS41" s="57">
        <f>IF(OR(AND(DG$6=1,$L41=0),AND(DG$6=2,$K41=2,$G41=1)),0,IF(AND(DI$9=2,(OR($F41&gt;1,$K41=1,AND($L41=80,OR($N41=1,AND($N41=2,'#BerechnungDBE'!$AL32&gt;0)))))),IF(DG$4&gt;=$AD$126,0,DQ41),IF(DI$9=3,IF(OR(DG$4&gt;=$AD$127,AND($G41=1,$J41=2,DG$6=2),AND(DG$6=1,$N41&lt;&gt;1)),0,IF(DK41&lt;=120,DQ41,IF(DG$4&lt;$AD$124,IF($F41=1,60/DI$4*DI$6,60/DI$4*DI$7),IF($F41=1,120/DI$4*DI$6,120/DI$4*DI$7)))),IF(OR($F41=3,$G41=2),IF(OR(AND(DG$4&gt;=$AD$119,$C41=2),AND(DG$4&gt;=$AF$119,$C41=1)),0,IF(DK41&lt;=60,DQ41,60/DI$4*DI$7)),IF(AND($F41=2,$G41=1),DQ41,0)))))</f>
        <v>0</v>
      </c>
      <c r="DT41" s="57" t="str">
        <f t="shared" si="46"/>
        <v/>
      </c>
      <c r="DU41" s="57" t="str">
        <f t="shared" si="47"/>
        <v/>
      </c>
      <c r="DV41" s="713">
        <f>'org. Düngung 22'!AJ40</f>
        <v>0</v>
      </c>
      <c r="DW41" s="57"/>
      <c r="DX41" s="57"/>
      <c r="DY41" s="57">
        <f t="shared" si="48"/>
        <v>0</v>
      </c>
      <c r="DZ41" s="57">
        <f t="shared" si="228"/>
        <v>0</v>
      </c>
      <c r="EA41" s="57">
        <f t="shared" si="229"/>
        <v>0</v>
      </c>
      <c r="EB41" s="57">
        <f t="shared" si="230"/>
        <v>0</v>
      </c>
      <c r="EC41" s="57">
        <f t="shared" si="231"/>
        <v>0</v>
      </c>
      <c r="ED41" s="1029">
        <f t="shared" si="49"/>
        <v>0</v>
      </c>
      <c r="EE41" s="57">
        <f t="shared" si="50"/>
        <v>0</v>
      </c>
      <c r="EF41" s="171" t="str">
        <f t="shared" si="51"/>
        <v/>
      </c>
      <c r="EG41" s="57">
        <f t="shared" si="232"/>
        <v>0</v>
      </c>
      <c r="EH41" s="57">
        <f>IF(OR(AND(DV$6=1,$L41=0),AND(DV$6=2,$K41=2,$G41=1)),0,IF(AND(DX$9=2,(OR($F41&gt;1,$K41=1,AND($L41=80,OR($N41=1,AND($N41=2,'#BerechnungDBE'!$AL32&gt;0)))))),IF(DV$4&gt;=$AD$126,0,EF41),IF(DX$9=3,IF(OR(DV$4&gt;=$AD$127,AND($G41=1,$J41=2,DV$6=2),AND(DV$6=1,$N41&lt;&gt;1)),0,IF(DZ41&lt;=120,EF41,IF(DV$4&lt;$AD$124,IF($F41=1,60/DX$4*DX$6,60/DX$4*DX$7),IF($F41=1,120/DX$4*DX$6,120/DX$4*DX$7)))),IF(OR($F41=3,$G41=2),IF(OR(AND(DV$4&gt;=$AD$119,$C41=2),AND(DV$4&gt;=$AF$119,$C41=1)),0,IF(DZ41&lt;=60,EF41,60/DX$4*DX$7)),IF(AND($F41=2,$G41=1),EF41,0)))))</f>
        <v>0</v>
      </c>
      <c r="EI41" s="57" t="str">
        <f t="shared" si="52"/>
        <v/>
      </c>
      <c r="EJ41" s="57" t="str">
        <f t="shared" si="53"/>
        <v/>
      </c>
      <c r="EK41" s="713">
        <f>'org. Düngung 22'!AN40</f>
        <v>0</v>
      </c>
      <c r="EL41" s="57"/>
      <c r="EM41" s="57"/>
      <c r="EN41" s="57">
        <f t="shared" si="54"/>
        <v>0</v>
      </c>
      <c r="EO41" s="57">
        <f t="shared" si="233"/>
        <v>0</v>
      </c>
      <c r="EP41" s="57">
        <f t="shared" si="234"/>
        <v>0</v>
      </c>
      <c r="EQ41" s="57">
        <f t="shared" si="235"/>
        <v>0</v>
      </c>
      <c r="ER41" s="57">
        <f t="shared" si="236"/>
        <v>0</v>
      </c>
      <c r="ES41" s="1029">
        <f t="shared" si="55"/>
        <v>0</v>
      </c>
      <c r="ET41" s="57">
        <f t="shared" si="56"/>
        <v>0</v>
      </c>
      <c r="EU41" s="171" t="str">
        <f t="shared" si="57"/>
        <v/>
      </c>
      <c r="EV41" s="57">
        <f t="shared" si="237"/>
        <v>0</v>
      </c>
      <c r="EW41" s="57">
        <f>IF(OR(AND(EK$6=1,$L41=0),AND(EK$6=2,$K41=2,$G41=1)),0,IF(AND(EM$9=2,(OR($F41&gt;1,$K41=1,AND($L41=80,OR($N41=1,AND($N41=2,'#BerechnungDBE'!$AL32&gt;0)))))),IF(EK$4&gt;=$AD$126,0,EU41),IF(EM$9=3,IF(OR(EK$4&gt;=$AD$127,AND($G41=1,$J41=2,EK$6=2),AND(EK$6=1,$N41&lt;&gt;1)),0,IF(EO41&lt;=120,EU41,IF(EK$4&lt;$AD$124,IF($F41=1,60/EM$4*EM$6,60/EM$4*EM$7),IF($F41=1,120/EM$4*EM$6,120/EM$4*EM$7)))),IF(OR($F41=3,$G41=2),IF(OR(AND(EK$4&gt;=$AD$119,$C41=2),AND(EK$4&gt;=$AF$119,$C41=1)),0,IF(EO41&lt;=60,EU41,60/EM$4*EM$7)),IF(AND($F41=2,$G41=1),EU41,0)))))</f>
        <v>0</v>
      </c>
      <c r="EX41" s="57" t="str">
        <f t="shared" si="58"/>
        <v/>
      </c>
      <c r="EY41" s="57" t="str">
        <f t="shared" si="59"/>
        <v/>
      </c>
      <c r="EZ41" s="713">
        <f>'org. Düngung 22'!AR40</f>
        <v>0</v>
      </c>
      <c r="FA41" s="57"/>
      <c r="FB41" s="57"/>
      <c r="FC41" s="57">
        <f t="shared" si="60"/>
        <v>0</v>
      </c>
      <c r="FD41" s="57">
        <f t="shared" si="238"/>
        <v>0</v>
      </c>
      <c r="FE41" s="57">
        <f t="shared" si="239"/>
        <v>0</v>
      </c>
      <c r="FF41" s="57">
        <f t="shared" si="240"/>
        <v>0</v>
      </c>
      <c r="FG41" s="57">
        <f t="shared" si="241"/>
        <v>0</v>
      </c>
      <c r="FH41" s="1029">
        <f t="shared" si="61"/>
        <v>0</v>
      </c>
      <c r="FI41" s="57">
        <f t="shared" si="62"/>
        <v>0</v>
      </c>
      <c r="FJ41" s="171" t="str">
        <f t="shared" si="63"/>
        <v/>
      </c>
      <c r="FK41" s="57">
        <f t="shared" si="242"/>
        <v>0</v>
      </c>
      <c r="FL41" s="57">
        <f>IF(OR(AND(EZ$6=1,$L41=0),AND(EZ$6=2,$K41=2,$G41=1)),0,IF(AND(FB$9=2,(OR($F41&gt;1,$K41=1,AND($L41=80,OR($N41=1,AND($N41=2,'#BerechnungDBE'!$AL32&gt;0)))))),IF(EZ$4&gt;=$AD$126,0,FJ41),IF(FB$9=3,IF(OR(EZ$4&gt;=$AD$127,AND($G41=1,$J41=2,EZ$6=2),AND(EZ$6=1,$N41&lt;&gt;1)),0,IF(FD41&lt;=120,FJ41,IF(EZ$4&lt;$AD$124,IF($F41=1,60/FB$4*FB$6,60/FB$4*FB$7),IF($F41=1,120/FB$4*FB$6,120/FB$4*FB$7)))),IF(OR($F41=3,$G41=2),IF(OR(AND(EZ$4&gt;=$AD$119,$C41=2),AND(EZ$4&gt;=$AF$119,$C41=1)),0,IF(FD41&lt;=60,FJ41,60/FB$4*FB$7)),IF(AND($F41=2,$G41=1),FJ41,0)))))</f>
        <v>0</v>
      </c>
      <c r="FM41" s="57" t="str">
        <f t="shared" si="64"/>
        <v/>
      </c>
      <c r="FN41" s="57" t="str">
        <f t="shared" si="65"/>
        <v/>
      </c>
      <c r="FO41" s="713">
        <f>'org. Düngung 22'!AV40</f>
        <v>0</v>
      </c>
      <c r="FP41" s="57"/>
      <c r="FQ41" s="57"/>
      <c r="FR41" s="57">
        <f t="shared" si="66"/>
        <v>0</v>
      </c>
      <c r="FS41" s="57">
        <f t="shared" si="243"/>
        <v>0</v>
      </c>
      <c r="FT41" s="57">
        <f t="shared" si="244"/>
        <v>0</v>
      </c>
      <c r="FU41" s="57">
        <f t="shared" si="245"/>
        <v>0</v>
      </c>
      <c r="FV41" s="57">
        <f t="shared" si="246"/>
        <v>0</v>
      </c>
      <c r="FW41" s="1029">
        <f t="shared" si="67"/>
        <v>0</v>
      </c>
      <c r="FX41" s="57">
        <f t="shared" si="68"/>
        <v>0</v>
      </c>
      <c r="FY41" s="171" t="str">
        <f t="shared" si="69"/>
        <v/>
      </c>
      <c r="FZ41" s="57">
        <f t="shared" si="247"/>
        <v>0</v>
      </c>
      <c r="GA41" s="57">
        <f>IF(OR(AND(FO$6=1,$L41=0),AND(FO$6=2,$K41=2,$G41=1)),0,IF(AND(FQ$9=2,(OR($F41&gt;1,$K41=1,AND($L41=80,OR($N41=1,AND($N41=2,'#BerechnungDBE'!$AL32&gt;0)))))),IF(FO$4&gt;=$AD$126,0,FY41),IF(FQ$9=3,IF(OR(FO$4&gt;=$AD$127,AND($G41=1,$J41=2,FO$6=2),AND(FO$6=1,$N41&lt;&gt;1)),0,IF(FS41&lt;=120,FY41,IF(FO$4&lt;$AD$124,IF($F41=1,60/FQ$4*FQ$6,60/FQ$4*FQ$7),IF($F41=1,120/FQ$4*FQ$6,120/FQ$4*FQ$7)))),IF(OR($F41=3,$G41=2),IF(OR(AND(FO$4&gt;=$AD$119,$C41=2),AND(FO$4&gt;=$AF$119,$C41=1)),0,IF(FS41&lt;=60,FY41,60/FQ$4*FQ$7)),IF(AND($F41=2,$G41=1),FY41,0)))))</f>
        <v>0</v>
      </c>
      <c r="GB41" s="57" t="str">
        <f t="shared" si="70"/>
        <v/>
      </c>
      <c r="GC41" s="57" t="str">
        <f t="shared" si="71"/>
        <v/>
      </c>
      <c r="GD41" s="713">
        <f>'org. Düngung 22'!AZ40</f>
        <v>0</v>
      </c>
      <c r="GE41" s="57"/>
      <c r="GF41" s="57"/>
      <c r="GG41" s="57">
        <f t="shared" si="72"/>
        <v>0</v>
      </c>
      <c r="GH41" s="57">
        <f t="shared" si="248"/>
        <v>0</v>
      </c>
      <c r="GI41" s="57">
        <f t="shared" si="249"/>
        <v>0</v>
      </c>
      <c r="GJ41" s="57">
        <f t="shared" si="250"/>
        <v>0</v>
      </c>
      <c r="GK41" s="57">
        <f t="shared" si="251"/>
        <v>0</v>
      </c>
      <c r="GL41" s="1029">
        <f t="shared" si="73"/>
        <v>0</v>
      </c>
      <c r="GM41" s="57">
        <f t="shared" si="74"/>
        <v>0</v>
      </c>
      <c r="GN41" s="171" t="str">
        <f t="shared" si="75"/>
        <v/>
      </c>
      <c r="GO41" s="57">
        <f t="shared" si="252"/>
        <v>0</v>
      </c>
      <c r="GP41" s="57">
        <f>IF(OR(AND(GD$6=1,$L41=0),AND(GD$6=2,$K41=2,$G41=1)),0,IF(AND(GF$9=2,(OR($F41&gt;1,$K41=1,AND($L41=80,OR($N41=1,AND($N41=2,'#BerechnungDBE'!$AL32&gt;0)))))),IF(GD$4&gt;=$AD$126,0,GN41),IF(GF$9=3,IF(OR(GD$4&gt;=$AD$127,AND($G41=1,$J41=2,GD$6=2),AND(GD$6=1,$N41&lt;&gt;1)),0,IF(GH41&lt;=120,GN41,IF(GD$4&lt;$AD$124,IF($F41=1,60/GF$4*GF$6,60/GF$4*GF$7),IF($F41=1,120/GF$4*GF$6,120/GF$4*GF$7)))),IF(OR($F41=3,$G41=2),IF(OR(AND(GD$4&gt;=$AD$119,$C41=2),AND(GD$4&gt;=$AF$119,$C41=1)),0,IF(GH41&lt;=60,GN41,60/GF$4*GF$7)),IF(AND($F41=2,$G41=1),GN41,0)))))</f>
        <v>0</v>
      </c>
      <c r="GQ41" s="57" t="str">
        <f t="shared" si="76"/>
        <v/>
      </c>
      <c r="GR41" s="57" t="str">
        <f t="shared" si="77"/>
        <v/>
      </c>
      <c r="GS41" s="713">
        <f>'org. Düngung 22'!BD40</f>
        <v>0</v>
      </c>
      <c r="GT41" s="57"/>
      <c r="GU41" s="57"/>
      <c r="GV41" s="57">
        <f t="shared" si="78"/>
        <v>0</v>
      </c>
      <c r="GW41" s="57">
        <f t="shared" si="253"/>
        <v>0</v>
      </c>
      <c r="GX41" s="57">
        <f t="shared" si="254"/>
        <v>0</v>
      </c>
      <c r="GY41" s="57">
        <f t="shared" si="255"/>
        <v>0</v>
      </c>
      <c r="GZ41" s="57">
        <f t="shared" si="256"/>
        <v>0</v>
      </c>
      <c r="HA41" s="1029">
        <f t="shared" si="79"/>
        <v>0</v>
      </c>
      <c r="HB41" s="57">
        <f t="shared" si="80"/>
        <v>0</v>
      </c>
      <c r="HC41" s="171" t="str">
        <f t="shared" si="81"/>
        <v/>
      </c>
      <c r="HD41" s="57">
        <f t="shared" si="257"/>
        <v>0</v>
      </c>
      <c r="HE41" s="57">
        <f>IF(OR(AND(GS$6=1,$L41=0),AND(GS$6=2,$K41=2,$G41=1)),0,IF(AND(GU$9=2,(OR($F41&gt;1,$K41=1,AND($L41=80,OR($N41=1,AND($N41=2,'#BerechnungDBE'!$AL32&gt;0)))))),IF(GS$4&gt;=$AD$126,0,HC41),IF(GU$9=3,IF(OR(GS$4&gt;=$AD$127,AND($G41=1,$J41=2,GS$6=2),AND(GS$6=1,$N41&lt;&gt;1)),0,IF(GW41&lt;=120,HC41,IF(GS$4&lt;$AD$124,IF($F41=1,60/GU$4*GU$6,60/GU$4*GU$7),IF($F41=1,120/GU$4*GU$6,120/GU$4*GU$7)))),IF(OR($F41=3,$G41=2),IF(OR(AND(GS$4&gt;=$AD$119,$C41=2),AND(GS$4&gt;=$AF$119,$C41=1)),0,IF(GW41&lt;=60,HC41,60/GU$4*GU$7)),IF(AND($F41=2,$G41=1),HC41,0)))))</f>
        <v>0</v>
      </c>
      <c r="HF41" s="57" t="str">
        <f t="shared" si="82"/>
        <v/>
      </c>
      <c r="HG41" s="57" t="str">
        <f t="shared" si="83"/>
        <v/>
      </c>
      <c r="HH41" s="713">
        <f>'org. Düngung 22'!BH40</f>
        <v>0</v>
      </c>
      <c r="HI41" s="57"/>
      <c r="HJ41" s="57"/>
      <c r="HK41" s="57">
        <f t="shared" si="84"/>
        <v>0</v>
      </c>
      <c r="HL41" s="57">
        <f t="shared" si="258"/>
        <v>0</v>
      </c>
      <c r="HM41" s="57">
        <f t="shared" si="259"/>
        <v>0</v>
      </c>
      <c r="HN41" s="57">
        <f t="shared" si="260"/>
        <v>0</v>
      </c>
      <c r="HO41" s="57">
        <f t="shared" si="261"/>
        <v>0</v>
      </c>
      <c r="HP41" s="1029">
        <f t="shared" si="85"/>
        <v>0</v>
      </c>
      <c r="HQ41" s="57">
        <f t="shared" si="86"/>
        <v>0</v>
      </c>
      <c r="HR41" s="171" t="str">
        <f t="shared" si="87"/>
        <v/>
      </c>
      <c r="HS41" s="57">
        <f t="shared" si="262"/>
        <v>0</v>
      </c>
      <c r="HT41" s="57">
        <f>IF(OR(AND(HH$6=1,$L41=0),AND(HH$6=2,$K41=2,$G41=1)),0,IF(AND(HJ$9=2,(OR($F41&gt;1,$K41=1,AND($L41=80,OR($N41=1,AND($N41=2,'#BerechnungDBE'!$AL32&gt;0)))))),IF(HH$4&gt;=$AD$126,0,HR41),IF(HJ$9=3,IF(OR(HH$4&gt;=$AD$127,AND($G41=1,$J41=2,HH$6=2),AND(HH$6=1,$N41&lt;&gt;1)),0,IF(HL41&lt;=120,HR41,IF(HH$4&lt;$AD$124,IF($F41=1,60/HJ$4*HJ$6,60/HJ$4*HJ$7),IF($F41=1,120/HJ$4*HJ$6,120/HJ$4*HJ$7)))),IF(OR($F41=3,$G41=2),IF(OR(AND(HH$4&gt;=$AD$119,$C41=2),AND(HH$4&gt;=$AF$119,$C41=1)),0,IF(HL41&lt;=60,HR41,60/HJ$4*HJ$7)),IF(AND($F41=2,$G41=1),HR41,0)))))</f>
        <v>0</v>
      </c>
      <c r="HU41" s="57" t="str">
        <f t="shared" si="88"/>
        <v/>
      </c>
      <c r="HV41" s="57" t="str">
        <f t="shared" si="89"/>
        <v/>
      </c>
      <c r="HW41" s="713">
        <f>'org. Düngung 22'!BL40</f>
        <v>0</v>
      </c>
      <c r="HX41" s="57"/>
      <c r="HY41" s="57"/>
      <c r="HZ41" s="57">
        <f t="shared" si="90"/>
        <v>0</v>
      </c>
      <c r="IA41" s="57">
        <f t="shared" si="263"/>
        <v>0</v>
      </c>
      <c r="IB41" s="57">
        <f t="shared" si="264"/>
        <v>0</v>
      </c>
      <c r="IC41" s="57">
        <f t="shared" si="265"/>
        <v>0</v>
      </c>
      <c r="ID41" s="57">
        <f t="shared" si="266"/>
        <v>0</v>
      </c>
      <c r="IE41" s="1029">
        <f t="shared" si="91"/>
        <v>0</v>
      </c>
      <c r="IF41" s="57">
        <f t="shared" si="92"/>
        <v>0</v>
      </c>
      <c r="IG41" s="171" t="str">
        <f t="shared" si="93"/>
        <v/>
      </c>
      <c r="IH41" s="57">
        <f t="shared" si="267"/>
        <v>0</v>
      </c>
      <c r="II41" s="57">
        <f>IF(OR(AND(HW$6=1,$L41=0),AND(HW$6=2,$K41=2,$G41=1)),0,IF(AND(HY$9=2,(OR($F41&gt;1,$K41=1,AND($L41=80,OR($N41=1,AND($N41=2,'#BerechnungDBE'!$AL32&gt;0)))))),IF(HW$4&gt;=$AD$126,0,IG41),IF(HY$9=3,IF(OR(HW$4&gt;=$AD$127,AND($G41=1,$J41=2,HW$6=2),AND(HW$6=1,$N41&lt;&gt;1)),0,IF(IA41&lt;=120,IG41,IF(HW$4&lt;$AD$124,IF($F41=1,60/HY$4*HY$6,60/HY$4*HY$7),IF($F41=1,120/HY$4*HY$6,120/HY$4*HY$7)))),IF(OR($F41=3,$G41=2),IF(OR(AND(HW$4&gt;=$AD$119,$C41=2),AND(HW$4&gt;=$AF$119,$C41=1)),0,IF(IA41&lt;=60,IG41,60/HY$4*HY$7)),IF(AND($F41=2,$G41=1),IG41,0)))))</f>
        <v>0</v>
      </c>
      <c r="IJ41" s="57" t="str">
        <f t="shared" si="94"/>
        <v/>
      </c>
      <c r="IK41" s="57" t="str">
        <f t="shared" si="95"/>
        <v/>
      </c>
      <c r="IL41" s="713">
        <f>'org. Düngung 22'!BP40</f>
        <v>0</v>
      </c>
      <c r="IM41" s="57"/>
      <c r="IN41" s="57"/>
      <c r="IO41" s="57">
        <f t="shared" si="96"/>
        <v>0</v>
      </c>
      <c r="IP41" s="57">
        <f t="shared" si="268"/>
        <v>0</v>
      </c>
      <c r="IQ41" s="57">
        <f t="shared" si="269"/>
        <v>0</v>
      </c>
      <c r="IR41" s="57">
        <f t="shared" si="270"/>
        <v>0</v>
      </c>
      <c r="IS41" s="57">
        <f t="shared" si="271"/>
        <v>0</v>
      </c>
      <c r="IT41" s="1029">
        <f t="shared" si="97"/>
        <v>0</v>
      </c>
      <c r="IU41" s="57">
        <f t="shared" si="98"/>
        <v>0</v>
      </c>
      <c r="IV41" s="171" t="str">
        <f t="shared" si="99"/>
        <v/>
      </c>
      <c r="IW41" s="57">
        <f t="shared" si="272"/>
        <v>0</v>
      </c>
      <c r="IX41" s="57">
        <f>IF(OR(AND(IL$6=1,$L41=0),AND(IL$6=2,$K41=2,$G41=1)),0,IF(AND(IN$9=2,(OR($F41&gt;1,$K41=1,AND($L41=80,OR($N41=1,AND($N41=2,'#BerechnungDBE'!$AL32&gt;0)))))),IF(IL$4&gt;=$AD$126,0,IV41),IF(IN$9=3,IF(OR(IL$4&gt;=$AD$127,AND($G41=1,$J41=2,IL$6=2),AND(IL$6=1,$N41&lt;&gt;1)),0,IF(IP41&lt;=120,IV41,IF(IL$4&lt;$AD$124,IF($F41=1,60/IN$4*IN$6,60/IN$4*IN$7),IF($F41=1,120/IN$4*IN$6,120/IN$4*IN$7)))),IF(OR($F41=3,$G41=2),IF(OR(AND(IL$4&gt;=$AD$119,$C41=2),AND(IL$4&gt;=$AF$119,$C41=1)),0,IF(IP41&lt;=60,IV41,60/IN$4*IN$7)),IF(AND($F41=2,$G41=1),IV41,0)))))</f>
        <v>0</v>
      </c>
      <c r="IY41" s="57" t="str">
        <f t="shared" si="100"/>
        <v/>
      </c>
      <c r="IZ41" s="57" t="str">
        <f t="shared" si="101"/>
        <v/>
      </c>
      <c r="JA41" s="713">
        <f>'org. Düngung 22'!BT40</f>
        <v>0</v>
      </c>
      <c r="JB41" s="57"/>
      <c r="JC41" s="57"/>
      <c r="JD41" s="57">
        <f t="shared" si="102"/>
        <v>0</v>
      </c>
      <c r="JE41" s="57">
        <f t="shared" si="273"/>
        <v>0</v>
      </c>
      <c r="JF41" s="57">
        <f t="shared" si="274"/>
        <v>0</v>
      </c>
      <c r="JG41" s="57">
        <f t="shared" si="275"/>
        <v>0</v>
      </c>
      <c r="JH41" s="57">
        <f t="shared" si="276"/>
        <v>0</v>
      </c>
      <c r="JI41" s="1029">
        <f t="shared" si="103"/>
        <v>0</v>
      </c>
      <c r="JJ41" s="57">
        <f t="shared" si="104"/>
        <v>0</v>
      </c>
      <c r="JK41" s="171" t="str">
        <f t="shared" si="105"/>
        <v/>
      </c>
      <c r="JL41" s="57">
        <f t="shared" si="277"/>
        <v>0</v>
      </c>
      <c r="JM41" s="57">
        <f>IF(OR(AND(JA$6=1,$L41=0),AND(JA$6=2,$K41=2,$G41=1)),0,IF(AND(JC$9=2,(OR($F41&gt;1,$K41=1,AND($L41=80,OR($N41=1,AND($N41=2,'#BerechnungDBE'!$AL32&gt;0)))))),IF(JA$4&gt;=$AD$126,0,JK41),IF(JC$9=3,IF(OR(JA$4&gt;=$AD$127,AND($G41=1,$J41=2,JA$6=2),AND(JA$6=1,$N41&lt;&gt;1)),0,IF(JE41&lt;=120,JK41,IF(JA$4&lt;$AD$124,IF($F41=1,60/JC$4*JC$6,60/JC$4*JC$7),IF($F41=1,120/JC$4*JC$6,120/JC$4*JC$7)))),IF(OR($F41=3,$G41=2),IF(OR(AND(JA$4&gt;=$AD$119,$C41=2),AND(JA$4&gt;=$AF$119,$C41=1)),0,IF(JE41&lt;=60,JK41,60/JC$4*JC$7)),IF(AND($F41=2,$G41=1),JK41,0)))))</f>
        <v>0</v>
      </c>
      <c r="JN41" s="57" t="str">
        <f t="shared" si="106"/>
        <v/>
      </c>
      <c r="JO41" s="57" t="str">
        <f t="shared" si="107"/>
        <v/>
      </c>
      <c r="JP41" s="713">
        <f>'org. Düngung 22'!BX40</f>
        <v>0</v>
      </c>
      <c r="JQ41" s="57"/>
      <c r="JR41" s="57"/>
      <c r="JS41" s="57">
        <f t="shared" si="108"/>
        <v>0</v>
      </c>
      <c r="JT41" s="57">
        <f t="shared" si="278"/>
        <v>0</v>
      </c>
      <c r="JU41" s="57">
        <f t="shared" si="279"/>
        <v>0</v>
      </c>
      <c r="JV41" s="57">
        <f t="shared" si="280"/>
        <v>0</v>
      </c>
      <c r="JW41" s="57">
        <f t="shared" si="281"/>
        <v>0</v>
      </c>
      <c r="JX41" s="1029">
        <f t="shared" si="109"/>
        <v>0</v>
      </c>
      <c r="JY41" s="57">
        <f t="shared" si="110"/>
        <v>0</v>
      </c>
      <c r="JZ41" s="171" t="str">
        <f t="shared" si="111"/>
        <v/>
      </c>
      <c r="KA41" s="57">
        <f t="shared" si="282"/>
        <v>0</v>
      </c>
      <c r="KB41" s="57">
        <f>IF(OR(AND(JP$6=1,$L41=0),AND(JP$6=2,$K41=2,$G41=1)),0,IF(AND(JR$9=2,(OR($F41&gt;1,$K41=1,AND($L41=80,OR($N41=1,AND($N41=2,'#BerechnungDBE'!$AL32&gt;0)))))),IF(JP$4&gt;=$AD$126,0,JZ41),IF(JR$9=3,IF(OR(JP$4&gt;=$AD$127,AND($G41=1,$J41=2,JP$6=2),AND(JP$6=1,$N41&lt;&gt;1)),0,IF(JT41&lt;=120,JZ41,IF(JP$4&lt;$AD$124,IF($F41=1,60/JR$4*JR$6,60/JR$4*JR$7),IF($F41=1,120/JR$4*JR$6,120/JR$4*JR$7)))),IF(OR($F41=3,$G41=2),IF(OR(AND(JP$4&gt;=$AD$119,$C41=2),AND(JP$4&gt;=$AF$119,$C41=1)),0,IF(JT41&lt;=60,JZ41,60/JR$4*JR$7)),IF(AND($F41=2,$G41=1),JZ41,0)))))</f>
        <v>0</v>
      </c>
      <c r="KC41" s="57" t="str">
        <f t="shared" si="112"/>
        <v/>
      </c>
      <c r="KD41" s="57" t="str">
        <f t="shared" si="113"/>
        <v/>
      </c>
      <c r="KE41" s="713">
        <f>'org. Düngung 22'!CB40</f>
        <v>0</v>
      </c>
      <c r="KF41" s="57"/>
      <c r="KG41" s="57"/>
      <c r="KH41" s="57">
        <f t="shared" si="114"/>
        <v>0</v>
      </c>
      <c r="KI41" s="57">
        <f t="shared" si="283"/>
        <v>0</v>
      </c>
      <c r="KJ41" s="57">
        <f t="shared" si="284"/>
        <v>0</v>
      </c>
      <c r="KK41" s="57">
        <f t="shared" si="285"/>
        <v>0</v>
      </c>
      <c r="KL41" s="57">
        <f t="shared" si="286"/>
        <v>0</v>
      </c>
      <c r="KM41" s="1029">
        <f t="shared" si="115"/>
        <v>0</v>
      </c>
      <c r="KN41" s="57">
        <f t="shared" si="116"/>
        <v>0</v>
      </c>
      <c r="KO41" s="171" t="str">
        <f t="shared" si="117"/>
        <v/>
      </c>
      <c r="KP41" s="57">
        <f t="shared" si="287"/>
        <v>0</v>
      </c>
      <c r="KQ41" s="57">
        <f>IF(OR(AND(KE$6=1,$L41=0),AND(KE$6=2,$K41=2,$G41=1)),0,IF(AND(KG$9=2,(OR($F41&gt;1,$K41=1,AND($L41=80,OR($N41=1,AND($N41=2,'#BerechnungDBE'!$AL32&gt;0)))))),IF(KE$4&gt;=$AD$126,0,KO41),IF(KG$9=3,IF(OR(KE$4&gt;=$AD$127,AND($G41=1,$J41=2,KE$6=2),AND(KE$6=1,$N41&lt;&gt;1)),0,IF(KI41&lt;=120,KO41,IF(KE$4&lt;$AD$124,IF($F41=1,60/KG$4*KG$6,60/KG$4*KG$7),IF($F41=1,120/KG$4*KG$6,120/KG$4*KG$7)))),IF(OR($F41=3,$G41=2),IF(OR(AND(KE$4&gt;=$AD$119,$C41=2),AND(KE$4&gt;=$AF$119,$C41=1)),0,IF(KI41&lt;=60,KO41,60/KG$4*KG$7)),IF(AND($F41=2,$G41=1),KO41,0)))))</f>
        <v>0</v>
      </c>
      <c r="KR41" s="57" t="str">
        <f t="shared" si="118"/>
        <v/>
      </c>
      <c r="KS41" s="57" t="str">
        <f t="shared" si="119"/>
        <v/>
      </c>
      <c r="KT41" s="713">
        <f>'org. Düngung 22'!CF40</f>
        <v>0</v>
      </c>
      <c r="KU41" s="57"/>
      <c r="KV41" s="57"/>
      <c r="KW41" s="57">
        <f t="shared" si="120"/>
        <v>0</v>
      </c>
      <c r="KX41" s="57">
        <f t="shared" si="288"/>
        <v>0</v>
      </c>
      <c r="KY41" s="57">
        <f t="shared" si="289"/>
        <v>0</v>
      </c>
      <c r="KZ41" s="57">
        <f t="shared" si="290"/>
        <v>0</v>
      </c>
      <c r="LA41" s="57">
        <f t="shared" si="291"/>
        <v>0</v>
      </c>
      <c r="LB41" s="1029">
        <f t="shared" si="121"/>
        <v>0</v>
      </c>
      <c r="LC41" s="57">
        <f t="shared" si="122"/>
        <v>0</v>
      </c>
      <c r="LD41" s="171" t="str">
        <f t="shared" si="123"/>
        <v/>
      </c>
      <c r="LE41" s="57">
        <f t="shared" si="292"/>
        <v>0</v>
      </c>
      <c r="LF41" s="57">
        <f>IF(OR(AND(KT$6=1,$L41=0),AND(KT$6=2,$K41=2,$G41=1)),0,IF(AND(KV$9=2,(OR($F41&gt;1,$K41=1,AND($L41=80,OR($N41=1,AND($N41=2,'#BerechnungDBE'!$AL32&gt;0)))))),IF(KT$4&gt;=$AD$126,0,LD41),IF(KV$9=3,IF(OR(KT$4&gt;=$AD$127,AND($G41=1,$J41=2,KT$6=2),AND(KT$6=1,$N41&lt;&gt;1)),0,IF(KX41&lt;=120,LD41,IF(KT$4&lt;$AD$124,IF($F41=1,60/KV$4*KV$6,60/KV$4*KV$7),IF($F41=1,120/KV$4*KV$6,120/KV$4*KV$7)))),IF(OR($F41=3,$G41=2),IF(OR(AND(KT$4&gt;=$AD$119,$C41=2),AND(KT$4&gt;=$AF$119,$C41=1)),0,IF(KX41&lt;=60,LD41,60/KV$4*KV$7)),IF(AND($F41=2,$G41=1),LD41,0)))))</f>
        <v>0</v>
      </c>
      <c r="LG41" s="57" t="str">
        <f t="shared" si="124"/>
        <v/>
      </c>
      <c r="LH41" s="57" t="str">
        <f t="shared" si="125"/>
        <v/>
      </c>
      <c r="LI41" s="713">
        <f>'org. Düngung 22'!CJ40</f>
        <v>0</v>
      </c>
      <c r="LJ41" s="57"/>
      <c r="LK41" s="57"/>
      <c r="LL41" s="57">
        <f t="shared" si="126"/>
        <v>0</v>
      </c>
      <c r="LM41" s="57">
        <f t="shared" si="293"/>
        <v>0</v>
      </c>
      <c r="LN41" s="57">
        <f t="shared" si="294"/>
        <v>0</v>
      </c>
      <c r="LO41" s="57">
        <f t="shared" si="295"/>
        <v>0</v>
      </c>
      <c r="LP41" s="57">
        <f t="shared" si="296"/>
        <v>0</v>
      </c>
      <c r="LQ41" s="1029">
        <f t="shared" si="127"/>
        <v>0</v>
      </c>
      <c r="LR41" s="57">
        <f t="shared" si="128"/>
        <v>0</v>
      </c>
      <c r="LS41" s="171" t="str">
        <f t="shared" si="129"/>
        <v/>
      </c>
      <c r="LT41" s="57">
        <f t="shared" si="297"/>
        <v>0</v>
      </c>
      <c r="LU41" s="57">
        <f>IF(OR(AND(LI$6=1,$L41=0),AND(LI$6=2,$K41=2,$G41=1)),0,IF(AND(LK$9=2,(OR($F41&gt;1,$K41=1,AND($L41=80,OR($N41=1,AND($N41=2,'#BerechnungDBE'!$AL32&gt;0)))))),IF(LI$4&gt;=$AD$126,0,LS41),IF(LK$9=3,IF(OR(LI$4&gt;=$AD$127,AND($G41=1,$J41=2,LI$6=2),AND(LI$6=1,$N41&lt;&gt;1)),0,IF(LM41&lt;=120,LS41,IF(LI$4&lt;$AD$124,IF($F41=1,60/LK$4*LK$6,60/LK$4*LK$7),IF($F41=1,120/LK$4*LK$6,120/LK$4*LK$7)))),IF(OR($F41=3,$G41=2),IF(OR(AND(LI$4&gt;=$AD$119,$C41=2),AND(LI$4&gt;=$AF$119,$C41=1)),0,IF(LM41&lt;=60,LS41,60/LK$4*LK$7)),IF(AND($F41=2,$G41=1),LS41,0)))))</f>
        <v>0</v>
      </c>
      <c r="LV41" s="57" t="str">
        <f t="shared" si="130"/>
        <v/>
      </c>
      <c r="LW41" s="57" t="str">
        <f t="shared" si="131"/>
        <v/>
      </c>
      <c r="LX41" s="713">
        <f>'org. Düngung 22'!CN40</f>
        <v>0</v>
      </c>
      <c r="LY41" s="57"/>
      <c r="LZ41" s="57"/>
      <c r="MA41" s="57">
        <f t="shared" si="132"/>
        <v>0</v>
      </c>
      <c r="MB41" s="57">
        <f t="shared" si="298"/>
        <v>0</v>
      </c>
      <c r="MC41" s="57">
        <f t="shared" si="299"/>
        <v>0</v>
      </c>
      <c r="MD41" s="57">
        <f t="shared" si="300"/>
        <v>0</v>
      </c>
      <c r="ME41" s="57">
        <f t="shared" si="301"/>
        <v>0</v>
      </c>
      <c r="MF41" s="1029">
        <f t="shared" si="133"/>
        <v>0</v>
      </c>
      <c r="MG41" s="57">
        <f t="shared" si="134"/>
        <v>0</v>
      </c>
      <c r="MH41" s="171" t="str">
        <f t="shared" si="135"/>
        <v/>
      </c>
      <c r="MI41" s="57">
        <f t="shared" si="302"/>
        <v>0</v>
      </c>
      <c r="MJ41" s="57">
        <f>IF(OR(AND(LX$6=1,$L41=0),AND(LX$6=2,$K41=2,$G41=1)),0,IF(AND(LZ$9=2,(OR($F41&gt;1,$K41=1,AND($L41=80,OR($N41=1,AND($N41=2,'#BerechnungDBE'!$AL32&gt;0)))))),IF(LX$4&gt;=$AD$126,0,MH41),IF(LZ$9=3,IF(OR(LX$4&gt;=$AD$127,AND($G41=1,$J41=2,LX$6=2),AND(LX$6=1,$N41&lt;&gt;1)),0,IF(MB41&lt;=120,MH41,IF(LX$4&lt;$AD$124,IF($F41=1,60/LZ$4*LZ$6,60/LZ$4*LZ$7),IF($F41=1,120/LZ$4*LZ$6,120/LZ$4*LZ$7)))),IF(OR($F41=3,$G41=2),IF(OR(AND(LX$4&gt;=$AD$119,$C41=2),AND(LX$4&gt;=$AF$119,$C41=1)),0,IF(MB41&lt;=60,MH41,60/LZ$4*LZ$7)),IF(AND($F41=2,$G41=1),MH41,0)))))</f>
        <v>0</v>
      </c>
      <c r="MK41" s="57" t="str">
        <f t="shared" si="136"/>
        <v/>
      </c>
      <c r="ML41" s="57" t="str">
        <f t="shared" si="137"/>
        <v/>
      </c>
      <c r="MM41" s="713">
        <f>'org. Düngung 22'!CR40</f>
        <v>0</v>
      </c>
      <c r="MN41" s="57"/>
      <c r="MO41" s="57"/>
      <c r="MP41" s="57">
        <f t="shared" si="138"/>
        <v>0</v>
      </c>
      <c r="MQ41" s="57">
        <f t="shared" si="303"/>
        <v>0</v>
      </c>
      <c r="MR41" s="57">
        <f t="shared" si="304"/>
        <v>0</v>
      </c>
      <c r="MS41" s="57">
        <f t="shared" si="305"/>
        <v>0</v>
      </c>
      <c r="MT41" s="57">
        <f t="shared" si="306"/>
        <v>0</v>
      </c>
      <c r="MU41" s="1029">
        <f t="shared" si="139"/>
        <v>0</v>
      </c>
      <c r="MV41" s="57">
        <f t="shared" si="140"/>
        <v>0</v>
      </c>
      <c r="MW41" s="171" t="str">
        <f t="shared" si="141"/>
        <v/>
      </c>
      <c r="MX41" s="57">
        <f t="shared" si="307"/>
        <v>0</v>
      </c>
      <c r="MY41" s="57">
        <f>IF(OR(AND(MM$6=1,$L41=0),AND(MM$6=2,$K41=2,$G41=1)),0,IF(AND(MO$9=2,(OR($F41&gt;1,$K41=1,AND($L41=80,OR($N41=1,AND($N41=2,'#BerechnungDBE'!$AL32&gt;0)))))),IF(MM$4&gt;=$AD$126,0,MW41),IF(MO$9=3,IF(OR(MM$4&gt;=$AD$127,AND($G41=1,$J41=2,MM$6=2),AND(MM$6=1,$N41&lt;&gt;1)),0,IF(MQ41&lt;=120,MW41,IF(MM$4&lt;$AD$124,IF($F41=1,60/MO$4*MO$6,60/MO$4*MO$7),IF($F41=1,120/MO$4*MO$6,120/MO$4*MO$7)))),IF(OR($F41=3,$G41=2),IF(OR(AND(MM$4&gt;=$AD$119,$C41=2),AND(MM$4&gt;=$AF$119,$C41=1)),0,IF(MQ41&lt;=60,MW41,60/MO$4*MO$7)),IF(AND($F41=2,$G41=1),MW41,0)))))</f>
        <v>0</v>
      </c>
      <c r="MZ41" s="57" t="str">
        <f t="shared" si="142"/>
        <v/>
      </c>
      <c r="NA41" s="57" t="str">
        <f t="shared" si="143"/>
        <v/>
      </c>
      <c r="NB41" s="713">
        <f>'org. Düngung 22'!CV40</f>
        <v>0</v>
      </c>
      <c r="NC41" s="57"/>
      <c r="ND41" s="57"/>
      <c r="NE41" s="57">
        <f t="shared" si="144"/>
        <v>0</v>
      </c>
      <c r="NF41" s="57">
        <f t="shared" si="308"/>
        <v>0</v>
      </c>
      <c r="NG41" s="57">
        <f t="shared" si="309"/>
        <v>0</v>
      </c>
      <c r="NH41" s="57">
        <f t="shared" si="310"/>
        <v>0</v>
      </c>
      <c r="NI41" s="57">
        <f t="shared" si="311"/>
        <v>0</v>
      </c>
      <c r="NJ41" s="1029">
        <f t="shared" si="145"/>
        <v>0</v>
      </c>
      <c r="NK41" s="57">
        <f t="shared" si="146"/>
        <v>0</v>
      </c>
      <c r="NL41" s="171" t="str">
        <f t="shared" si="147"/>
        <v/>
      </c>
      <c r="NM41" s="57">
        <f t="shared" si="312"/>
        <v>0</v>
      </c>
      <c r="NN41" s="57">
        <f>IF(OR(AND(NB$6=1,$L41=0),AND(NB$6=2,$K41=2,$G41=1)),0,IF(AND(ND$9=2,(OR($F41&gt;1,$K41=1,AND($L41=80,OR($N41=1,AND($N41=2,'#BerechnungDBE'!$AL32&gt;0)))))),IF(NB$4&gt;=$AD$126,0,NL41),IF(ND$9=3,IF(OR(NB$4&gt;=$AD$127,AND($G41=1,$J41=2,NB$6=2),AND(NB$6=1,$N41&lt;&gt;1)),0,IF(NF41&lt;=120,NL41,IF(NB$4&lt;$AD$124,IF($F41=1,60/ND$4*ND$6,60/ND$4*ND$7),IF($F41=1,120/ND$4*ND$6,120/ND$4*ND$7)))),IF(OR($F41=3,$G41=2),IF(OR(AND(NB$4&gt;=$AD$119,$C41=2),AND(NB$4&gt;=$AF$119,$C41=1)),0,IF(NF41&lt;=60,NL41,60/ND$4*ND$7)),IF(AND($F41=2,$G41=1),NL41,0)))))</f>
        <v>0</v>
      </c>
      <c r="NO41" s="57" t="str">
        <f t="shared" si="148"/>
        <v/>
      </c>
      <c r="NP41" s="57" t="str">
        <f t="shared" si="149"/>
        <v/>
      </c>
      <c r="NQ41" s="713">
        <f>'org. Düngung 22'!CZ40</f>
        <v>0</v>
      </c>
      <c r="NR41" s="57"/>
      <c r="NS41" s="57"/>
      <c r="NT41" s="57">
        <f t="shared" si="150"/>
        <v>0</v>
      </c>
      <c r="NU41" s="57">
        <f t="shared" si="313"/>
        <v>0</v>
      </c>
      <c r="NV41" s="57">
        <f t="shared" si="314"/>
        <v>0</v>
      </c>
      <c r="NW41" s="57">
        <f t="shared" si="315"/>
        <v>0</v>
      </c>
      <c r="NX41" s="57">
        <f t="shared" si="316"/>
        <v>0</v>
      </c>
      <c r="NY41" s="1029">
        <f t="shared" si="151"/>
        <v>0</v>
      </c>
      <c r="NZ41" s="57">
        <f t="shared" si="152"/>
        <v>0</v>
      </c>
      <c r="OA41" s="171" t="str">
        <f t="shared" si="153"/>
        <v/>
      </c>
      <c r="OB41" s="57">
        <f t="shared" si="317"/>
        <v>0</v>
      </c>
      <c r="OC41" s="57">
        <f>IF(OR(AND(NQ$6=1,$L41=0),AND(NQ$6=2,$K41=2,$G41=1)),0,IF(AND(NS$9=2,(OR($F41&gt;1,$K41=1,AND($L41=80,OR($N41=1,AND($N41=2,'#BerechnungDBE'!$AL32&gt;0)))))),IF(NQ$4&gt;=$AD$126,0,OA41),IF(NS$9=3,IF(OR(NQ$4&gt;=$AD$127,AND($G41=1,$J41=2,NQ$6=2),AND(NQ$6=1,$N41&lt;&gt;1)),0,IF(NU41&lt;=120,OA41,IF(NQ$4&lt;$AD$124,IF($F41=1,60/NS$4*NS$6,60/NS$4*NS$7),IF($F41=1,120/NS$4*NS$6,120/NS$4*NS$7)))),IF(OR($F41=3,$G41=2),IF(OR(AND(NQ$4&gt;=$AD$119,$C41=2),AND(NQ$4&gt;=$AF$119,$C41=1)),0,IF(NU41&lt;=60,OA41,60/NS$4*NS$7)),IF(AND($F41=2,$G41=1),OA41,0)))))</f>
        <v>0</v>
      </c>
      <c r="OD41" s="57" t="str">
        <f t="shared" si="154"/>
        <v/>
      </c>
      <c r="OE41" s="57" t="str">
        <f t="shared" si="155"/>
        <v/>
      </c>
      <c r="OF41" s="713">
        <f>'org. Düngung 22'!DD40</f>
        <v>0</v>
      </c>
      <c r="OG41" s="57"/>
      <c r="OH41" s="57"/>
      <c r="OI41" s="57">
        <f t="shared" si="156"/>
        <v>0</v>
      </c>
      <c r="OJ41" s="57">
        <f t="shared" si="318"/>
        <v>0</v>
      </c>
      <c r="OK41" s="57">
        <f t="shared" si="319"/>
        <v>0</v>
      </c>
      <c r="OL41" s="57">
        <f t="shared" si="320"/>
        <v>0</v>
      </c>
      <c r="OM41" s="57">
        <f t="shared" si="321"/>
        <v>0</v>
      </c>
      <c r="ON41" s="1029">
        <f t="shared" si="157"/>
        <v>0</v>
      </c>
      <c r="OO41" s="57">
        <f t="shared" si="158"/>
        <v>0</v>
      </c>
      <c r="OP41" s="171" t="str">
        <f t="shared" si="159"/>
        <v/>
      </c>
      <c r="OQ41" s="57">
        <f t="shared" si="322"/>
        <v>0</v>
      </c>
      <c r="OR41" s="57">
        <f>IF(OR(AND(OF$6=1,$L41=0),AND(OF$6=2,$K41=2,$G41=1)),0,IF(AND(OH$9=2,(OR($F41&gt;1,$K41=1,AND($L41=80,OR($N41=1,AND($N41=2,'#BerechnungDBE'!$AL32&gt;0)))))),IF(OF$4&gt;=$AD$126,0,OP41),IF(OH$9=3,IF(OR(OF$4&gt;=$AD$127,AND($G41=1,$J41=2,OF$6=2),AND(OF$6=1,$N41&lt;&gt;1)),0,IF(OJ41&lt;=120,OP41,IF(OF$4&lt;$AD$124,IF($F41=1,60/OH$4*OH$6,60/OH$4*OH$7),IF($F41=1,120/OH$4*OH$6,120/OH$4*OH$7)))),IF(OR($F41=3,$G41=2),IF(OR(AND(OF$4&gt;=$AD$119,$C41=2),AND(OF$4&gt;=$AF$119,$C41=1)),0,IF(OJ41&lt;=60,OP41,60/OH$4*OH$7)),IF(AND($F41=2,$G41=1),OP41,0)))))</f>
        <v>0</v>
      </c>
      <c r="OS41" s="57" t="str">
        <f t="shared" si="160"/>
        <v/>
      </c>
      <c r="OT41" s="57" t="str">
        <f t="shared" si="161"/>
        <v/>
      </c>
      <c r="OU41" s="713">
        <f>'org. Düngung 22'!DH40</f>
        <v>0</v>
      </c>
      <c r="OV41" s="57"/>
      <c r="OW41" s="57"/>
      <c r="OX41" s="57">
        <f t="shared" si="162"/>
        <v>0</v>
      </c>
      <c r="OY41" s="57">
        <f t="shared" si="323"/>
        <v>0</v>
      </c>
      <c r="OZ41" s="57">
        <f t="shared" si="324"/>
        <v>0</v>
      </c>
      <c r="PA41" s="57">
        <f t="shared" si="325"/>
        <v>0</v>
      </c>
      <c r="PB41" s="57">
        <f t="shared" si="326"/>
        <v>0</v>
      </c>
      <c r="PC41" s="1029">
        <f t="shared" si="163"/>
        <v>0</v>
      </c>
      <c r="PD41" s="57">
        <f t="shared" si="164"/>
        <v>0</v>
      </c>
      <c r="PE41" s="171" t="str">
        <f t="shared" si="165"/>
        <v/>
      </c>
      <c r="PF41" s="57">
        <f t="shared" si="327"/>
        <v>0</v>
      </c>
      <c r="PG41" s="57">
        <f>IF(OR(AND(OU$6=1,$L41=0),AND(OU$6=2,$K41=2,$G41=1)),0,IF(AND(OW$9=2,(OR($F41&gt;1,$K41=1,AND($L41=80,OR($N41=1,AND($N41=2,'#BerechnungDBE'!$AL32&gt;0)))))),IF(OU$4&gt;=$AD$126,0,PE41),IF(OW$9=3,IF(OR(OU$4&gt;=$AD$127,AND($G41=1,$J41=2,OU$6=2),AND(OU$6=1,$N41&lt;&gt;1)),0,IF(OY41&lt;=120,PE41,IF(OU$4&lt;$AD$124,IF($F41=1,60/OW$4*OW$6,60/OW$4*OW$7),IF($F41=1,120/OW$4*OW$6,120/OW$4*OW$7)))),IF(OR($F41=3,$G41=2),IF(OR(AND(OU$4&gt;=$AD$119,$C41=2),AND(OU$4&gt;=$AF$119,$C41=1)),0,IF(OY41&lt;=60,PE41,60/OW$4*OW$7)),IF(AND($F41=2,$G41=1),PE41,0)))))</f>
        <v>0</v>
      </c>
      <c r="PH41" s="57" t="str">
        <f t="shared" si="166"/>
        <v/>
      </c>
      <c r="PI41" s="57" t="str">
        <f t="shared" si="167"/>
        <v/>
      </c>
      <c r="PJ41" s="713">
        <f>'org. Düngung 22'!DL40</f>
        <v>0</v>
      </c>
      <c r="PK41" s="57"/>
      <c r="PL41" s="57"/>
      <c r="PM41" s="57">
        <f t="shared" si="168"/>
        <v>0</v>
      </c>
      <c r="PN41" s="57">
        <f t="shared" si="328"/>
        <v>0</v>
      </c>
      <c r="PO41" s="57">
        <f t="shared" si="329"/>
        <v>0</v>
      </c>
      <c r="PP41" s="57">
        <f t="shared" si="330"/>
        <v>0</v>
      </c>
      <c r="PQ41" s="57">
        <f t="shared" si="331"/>
        <v>0</v>
      </c>
      <c r="PR41" s="1029">
        <f t="shared" si="169"/>
        <v>0</v>
      </c>
      <c r="PS41" s="57">
        <f t="shared" si="170"/>
        <v>0</v>
      </c>
      <c r="PT41" s="171" t="str">
        <f t="shared" si="171"/>
        <v/>
      </c>
      <c r="PU41" s="57">
        <f t="shared" si="332"/>
        <v>0</v>
      </c>
      <c r="PV41" s="57">
        <f>IF(OR(AND(PJ$6=1,$L41=0),AND(PJ$6=2,$K41=2,$G41=1)),0,IF(AND(PL$9=2,(OR($F41&gt;1,$K41=1,AND($L41=80,OR($N41=1,AND($N41=2,'#BerechnungDBE'!$AL32&gt;0)))))),IF(PJ$4&gt;=$AD$126,0,PT41),IF(PL$9=3,IF(OR(PJ$4&gt;=$AD$127,AND($G41=1,$J41=2,PJ$6=2),AND(PJ$6=1,$N41&lt;&gt;1)),0,IF(PN41&lt;=120,PT41,IF(PJ$4&lt;$AD$124,IF($F41=1,60/PL$4*PL$6,60/PL$4*PL$7),IF($F41=1,120/PL$4*PL$6,120/PL$4*PL$7)))),IF(OR($F41=3,$G41=2),IF(OR(AND(PJ$4&gt;=$AD$119,$C41=2),AND(PJ$4&gt;=$AF$119,$C41=1)),0,IF(PN41&lt;=60,PT41,60/PL$4*PL$7)),IF(AND($F41=2,$G41=1),PT41,0)))))</f>
        <v>0</v>
      </c>
      <c r="PW41" s="57" t="str">
        <f t="shared" si="172"/>
        <v/>
      </c>
      <c r="PX41" s="57" t="str">
        <f t="shared" si="173"/>
        <v/>
      </c>
      <c r="PY41" s="713">
        <f>'org. Düngung 22'!DP40</f>
        <v>0</v>
      </c>
      <c r="PZ41" s="57"/>
      <c r="QA41" s="57"/>
      <c r="QB41" s="57">
        <f t="shared" si="174"/>
        <v>0</v>
      </c>
      <c r="QC41" s="57">
        <f t="shared" si="333"/>
        <v>0</v>
      </c>
      <c r="QD41" s="57">
        <f t="shared" si="334"/>
        <v>0</v>
      </c>
      <c r="QE41" s="57">
        <f t="shared" si="335"/>
        <v>0</v>
      </c>
      <c r="QF41" s="57">
        <f t="shared" si="336"/>
        <v>0</v>
      </c>
      <c r="QG41" s="1029">
        <f t="shared" si="175"/>
        <v>0</v>
      </c>
      <c r="QH41" s="57">
        <f t="shared" si="176"/>
        <v>0</v>
      </c>
      <c r="QI41" s="171" t="str">
        <f t="shared" si="177"/>
        <v/>
      </c>
      <c r="QJ41" s="57">
        <f t="shared" si="337"/>
        <v>0</v>
      </c>
      <c r="QK41" s="57">
        <f>IF(OR(AND(PY$6=1,$L41=0),AND(PY$6=2,$K41=2,$G41=1)),0,IF(AND(QA$9=2,(OR($F41&gt;1,$K41=1,AND($L41=80,OR($N41=1,AND($N41=2,'#BerechnungDBE'!$AL32&gt;0)))))),IF(PY$4&gt;=$AD$126,0,QI41),IF(QA$9=3,IF(OR(PY$4&gt;=$AD$127,AND($G41=1,$J41=2,PY$6=2),AND(PY$6=1,$N41&lt;&gt;1)),0,IF(QC41&lt;=120,QI41,IF(PY$4&lt;$AD$124,IF($F41=1,60/QA$4*QA$6,60/QA$4*QA$7),IF($F41=1,120/QA$4*QA$6,120/QA$4*QA$7)))),IF(OR($F41=3,$G41=2),IF(OR(AND(PY$4&gt;=$AD$119,$C41=2),AND(PY$4&gt;=$AF$119,$C41=1)),0,IF(QC41&lt;=60,QI41,60/QA$4*QA$7)),IF(AND($F41=2,$G41=1),QI41,0)))))</f>
        <v>0</v>
      </c>
      <c r="QL41" s="57" t="str">
        <f t="shared" si="178"/>
        <v/>
      </c>
      <c r="QM41" s="57" t="str">
        <f t="shared" si="179"/>
        <v/>
      </c>
      <c r="QN41" s="713">
        <f>'org. Düngung 22'!DT40</f>
        <v>0</v>
      </c>
      <c r="QO41" s="57"/>
      <c r="QP41" s="57"/>
      <c r="QQ41" s="57">
        <f t="shared" si="180"/>
        <v>0</v>
      </c>
      <c r="QR41" s="57">
        <f t="shared" si="338"/>
        <v>0</v>
      </c>
      <c r="QS41" s="57">
        <f t="shared" si="339"/>
        <v>0</v>
      </c>
      <c r="QT41" s="57">
        <f t="shared" si="340"/>
        <v>0</v>
      </c>
      <c r="QU41" s="57">
        <f t="shared" si="341"/>
        <v>0</v>
      </c>
      <c r="QV41" s="1029">
        <f t="shared" si="181"/>
        <v>0</v>
      </c>
      <c r="QW41" s="57">
        <f t="shared" si="182"/>
        <v>0</v>
      </c>
      <c r="QX41" s="171" t="str">
        <f t="shared" si="183"/>
        <v/>
      </c>
      <c r="QY41" s="57">
        <f t="shared" si="342"/>
        <v>0</v>
      </c>
      <c r="QZ41" s="57">
        <f>IF(OR(AND(QN$6=1,$L41=0),AND(QN$6=2,$K41=2,$G41=1)),0,IF(AND(QP$9=2,(OR($F41&gt;1,$K41=1,AND($L41=80,OR($N41=1,AND($N41=2,'#BerechnungDBE'!$AL32&gt;0)))))),IF(QN$4&gt;=$AD$126,0,QX41),IF(QP$9=3,IF(OR(QN$4&gt;=$AD$127,AND($G41=1,$J41=2,QN$6=2),AND(QN$6=1,$N41&lt;&gt;1)),0,IF(QR41&lt;=120,QX41,IF(QN$4&lt;$AD$124,IF($F41=1,60/QP$4*QP$6,60/QP$4*QP$7),IF($F41=1,120/QP$4*QP$6,120/QP$4*QP$7)))),IF(OR($F41=3,$G41=2),IF(OR(AND(QN$4&gt;=$AD$119,$C41=2),AND(QN$4&gt;=$AF$119,$C41=1)),0,IF(QR41&lt;=60,QX41,60/QP$4*QP$7)),IF(AND($F41=2,$G41=1),QX41,0)))))</f>
        <v>0</v>
      </c>
      <c r="RA41" s="57" t="str">
        <f t="shared" si="184"/>
        <v/>
      </c>
      <c r="RB41" s="57" t="str">
        <f t="shared" si="185"/>
        <v/>
      </c>
      <c r="RC41" s="713">
        <f>'org. Düngung 22'!DX40</f>
        <v>0</v>
      </c>
      <c r="RD41" s="57"/>
      <c r="RE41" s="57"/>
      <c r="RF41" s="57">
        <f t="shared" si="186"/>
        <v>0</v>
      </c>
      <c r="RG41" s="57">
        <f t="shared" si="343"/>
        <v>0</v>
      </c>
      <c r="RH41" s="57">
        <f t="shared" si="344"/>
        <v>0</v>
      </c>
      <c r="RI41" s="57">
        <f t="shared" si="345"/>
        <v>0</v>
      </c>
      <c r="RJ41" s="57">
        <f t="shared" si="346"/>
        <v>0</v>
      </c>
      <c r="RK41" s="1029">
        <f t="shared" si="187"/>
        <v>0</v>
      </c>
      <c r="RL41" s="57">
        <f t="shared" si="188"/>
        <v>0</v>
      </c>
      <c r="RM41" s="171" t="str">
        <f t="shared" si="189"/>
        <v/>
      </c>
      <c r="RN41" s="57">
        <f t="shared" si="347"/>
        <v>0</v>
      </c>
      <c r="RO41" s="57">
        <f>IF(OR(AND(RC$6=1,$L41=0),AND(RC$6=2,$K41=2,$G41=1)),0,IF(AND(RE$9=2,(OR($F41&gt;1,$K41=1,AND($L41=80,OR($N41=1,AND($N41=2,'#BerechnungDBE'!$AL32&gt;0)))))),IF(RC$4&gt;=$AD$126,0,RM41),IF(RE$9=3,IF(OR(RC$4&gt;=$AD$127,AND($G41=1,$J41=2,RC$6=2),AND(RC$6=1,$N41&lt;&gt;1)),0,IF(RG41&lt;=120,RM41,IF(RC$4&lt;$AD$124,IF($F41=1,60/RE$4*RE$6,60/RE$4*RE$7),IF($F41=1,120/RE$4*RE$6,120/RE$4*RE$7)))),IF(OR($F41=3,$G41=2),IF(OR(AND(RC$4&gt;=$AD$119,$C41=2),AND(RC$4&gt;=$AF$119,$C41=1)),0,IF(RG41&lt;=60,RM41,60/RE$4*RE$7)),IF(AND($F41=2,$G41=1),RM41,0)))))</f>
        <v>0</v>
      </c>
      <c r="RP41" s="57" t="str">
        <f t="shared" si="190"/>
        <v/>
      </c>
      <c r="RQ41" s="57" t="str">
        <f t="shared" si="191"/>
        <v/>
      </c>
      <c r="RS41" s="57" t="str">
        <f t="shared" si="348"/>
        <v/>
      </c>
      <c r="RT41" s="57" t="str">
        <f t="shared" si="192"/>
        <v/>
      </c>
      <c r="RU41" s="57" t="str">
        <f t="shared" si="193"/>
        <v/>
      </c>
      <c r="RV41" s="57" t="str">
        <f>IF(Z41&gt;'#BerechnungDBE'!BM32,$RV$9,"")</f>
        <v/>
      </c>
      <c r="RW41" s="57" t="str">
        <f>IF(AND(L41=70,AE41&gt;'#BerechnungDBE'!CQ32),$RW$9,"")</f>
        <v/>
      </c>
      <c r="RX41" s="57" t="str">
        <f>IF(OR('org. Düngung 22'!G40="--",'org. Düngung 22'!G40&lt;=170,'org. Düngung 22'!G40=""),"",$RX$9)</f>
        <v/>
      </c>
      <c r="RY41" s="57" t="str">
        <f>IF('org. Düngung 22'!K40&gt;120,'#orgDung'!$RY$9,"")</f>
        <v/>
      </c>
      <c r="RZ41" s="57" t="str">
        <f>IF('#BerechnungDBE'!P32&lt;4,"",IF(AND('#BerechnungDBE'!BZ32&gt;0,T41&gt;0),'#orgDung'!$RZ$9,""))</f>
        <v/>
      </c>
      <c r="SA41" s="57" t="str">
        <f t="shared" si="194"/>
        <v/>
      </c>
    </row>
    <row r="42" spans="1:495" s="875" customFormat="1" x14ac:dyDescent="0.2">
      <c r="A42" s="875">
        <f>'Flächen u. Kulturen'!A38</f>
        <v>29</v>
      </c>
      <c r="B42" s="367">
        <f>'#BerechnungDBE'!L33</f>
        <v>0</v>
      </c>
      <c r="C42" s="875">
        <f>'#BerechnungDBE'!R33</f>
        <v>1</v>
      </c>
      <c r="D42" s="875">
        <f>'#BerechnungDBE'!T33</f>
        <v>2</v>
      </c>
      <c r="E42" s="875" t="str">
        <f>'Flächen u. Kulturen'!E38</f>
        <v>x</v>
      </c>
      <c r="F42" s="52">
        <f>'#BerechnungDBE'!N33</f>
        <v>1</v>
      </c>
      <c r="G42" s="52">
        <f>'#BerechnungDBE'!O33</f>
        <v>1</v>
      </c>
      <c r="H42" s="875">
        <f>IF('Flächen u. Kulturen'!P38="",0,VLOOKUP('Flächen u. Kulturen'!P38,Kulturen[[HF]:[Berechnungsgruppe]],'#Frucht'!$H$1,FALSE))</f>
        <v>0</v>
      </c>
      <c r="I42" s="875">
        <f>IF('Flächen u. Kulturen'!J38="",0,VLOOKUP('Flächen u. Kulturen'!J38,Kulturen[[HF]:[Berechnungsgruppe]],'#Frucht'!$G$1,FALSE))</f>
        <v>90</v>
      </c>
      <c r="J42" s="505">
        <f t="shared" si="195"/>
        <v>2</v>
      </c>
      <c r="K42" s="505">
        <f>IF('Flächen u. Kulturen'!P38="",0,IF(VLOOKUP('Flächen u. Kulturen'!P38,Kulturen[[HF]:[Saat Winterungen]],'#Frucht'!$P$1,FALSE)&gt;0,1,2))</f>
        <v>2</v>
      </c>
      <c r="L42" s="875">
        <f>'#BerechnungDBE'!AF33</f>
        <v>0</v>
      </c>
      <c r="M42" s="875">
        <f>IF('Flächen u. Kulturen'!L38="",0,VLOOKUP('Flächen u. Kulturen'!L38,Nebenkultur[[Nebenkultur]:[Legum. Zwischenfr.]],'#Zweitfr'!$K$1,FALSE))</f>
        <v>0</v>
      </c>
      <c r="N42" s="875">
        <f>'#BerechnungDBE'!AG33</f>
        <v>0</v>
      </c>
      <c r="P42" s="57">
        <f t="shared" si="0"/>
        <v>0</v>
      </c>
      <c r="Q42" s="57">
        <f t="shared" si="1"/>
        <v>0</v>
      </c>
      <c r="R42" s="875">
        <f t="shared" si="2"/>
        <v>0</v>
      </c>
      <c r="S42" s="938" t="str">
        <f t="shared" si="3"/>
        <v/>
      </c>
      <c r="T42" s="875">
        <f t="shared" si="4"/>
        <v>0</v>
      </c>
      <c r="U42" s="875">
        <f t="shared" si="5"/>
        <v>0</v>
      </c>
      <c r="V42" s="875">
        <f t="shared" si="6"/>
        <v>0</v>
      </c>
      <c r="W42" s="875">
        <f t="shared" si="7"/>
        <v>0</v>
      </c>
      <c r="X42" s="875">
        <f t="shared" si="8"/>
        <v>0</v>
      </c>
      <c r="Y42" s="875">
        <f t="shared" si="349"/>
        <v>0</v>
      </c>
      <c r="Z42" s="875">
        <f t="shared" si="350"/>
        <v>0</v>
      </c>
      <c r="AA42" s="910">
        <f t="shared" si="9"/>
        <v>0</v>
      </c>
      <c r="AB42" s="57">
        <f t="shared" si="351"/>
        <v>0</v>
      </c>
      <c r="AC42" s="875">
        <f t="shared" si="10"/>
        <v>0</v>
      </c>
      <c r="AD42" s="875">
        <f t="shared" si="11"/>
        <v>0</v>
      </c>
      <c r="AE42" s="875">
        <f t="shared" si="12"/>
        <v>0</v>
      </c>
      <c r="AF42" s="875">
        <f t="shared" si="352"/>
        <v>0</v>
      </c>
      <c r="AG42" s="875">
        <f>'org. Düngung 22'!J41</f>
        <v>0</v>
      </c>
      <c r="AH42" s="875">
        <f>'org. Düngung 22'!K41</f>
        <v>0</v>
      </c>
      <c r="AJ42" s="713">
        <f>'org. Düngung 22'!L41</f>
        <v>0</v>
      </c>
      <c r="AK42" s="57"/>
      <c r="AL42" s="57"/>
      <c r="AM42" s="57">
        <f t="shared" si="196"/>
        <v>0</v>
      </c>
      <c r="AN42" s="57">
        <f t="shared" si="197"/>
        <v>0</v>
      </c>
      <c r="AO42" s="57">
        <f t="shared" si="198"/>
        <v>0</v>
      </c>
      <c r="AP42" s="57">
        <f t="shared" si="199"/>
        <v>0</v>
      </c>
      <c r="AQ42" s="57">
        <f t="shared" si="200"/>
        <v>0</v>
      </c>
      <c r="AR42" s="1029">
        <f t="shared" si="14"/>
        <v>0</v>
      </c>
      <c r="AS42" s="57">
        <f t="shared" si="15"/>
        <v>0</v>
      </c>
      <c r="AT42" s="171" t="str">
        <f t="shared" si="16"/>
        <v/>
      </c>
      <c r="AU42" s="57">
        <f t="shared" si="201"/>
        <v>0</v>
      </c>
      <c r="AV42" s="57">
        <f>IF(OR(AND(AJ$6=1,$L42=0),AND(AJ$6=2,$K42=2,$G42=1)),0,IF(AND(AL$9=2,(OR($F42&gt;1,$K42=1,AND($L42=80,OR($N42=1,AND($N42=2,'#BerechnungDBE'!$AL33&gt;0)))))),IF(AJ$4&gt;=$AD$126,0,AT42),IF(AL$9=3,IF(OR(AJ$4&gt;=$AD$127,AND($G42=1,$J42=2,AJ$6=2),AND(AJ$6=1,$N42&lt;&gt;1)),0,IF(AN42&lt;=120,AT42,IF(AJ$4&lt;$AD$124,IF($F42=1,60/AL$4*AL$6,60/AL$4*AL$7),IF($F42=1,120/AL$4*AL$6,120/AL$4*AL$7)))),IF(OR($F42=3,$G42=2),IF(OR(AND(AJ$4&gt;=$AD$119,$C42=2),AND(AJ$4&gt;=$AF$119,$C42=1)),0,IF(AN42&lt;=60,AT42,60/AL$4*AL$7)),IF(AND($F42=2,$G42=1),AT42,0)))))</f>
        <v>0</v>
      </c>
      <c r="AW42" s="57" t="str">
        <f t="shared" si="202"/>
        <v/>
      </c>
      <c r="AX42" s="57" t="str">
        <f t="shared" si="17"/>
        <v/>
      </c>
      <c r="AY42" s="713">
        <f>'org. Düngung 22'!P41</f>
        <v>0</v>
      </c>
      <c r="AZ42" s="57"/>
      <c r="BA42" s="57"/>
      <c r="BB42" s="57">
        <f t="shared" si="18"/>
        <v>0</v>
      </c>
      <c r="BC42" s="57">
        <f t="shared" si="203"/>
        <v>0</v>
      </c>
      <c r="BD42" s="57">
        <f t="shared" si="204"/>
        <v>0</v>
      </c>
      <c r="BE42" s="57">
        <f t="shared" si="205"/>
        <v>0</v>
      </c>
      <c r="BF42" s="57">
        <f t="shared" si="206"/>
        <v>0</v>
      </c>
      <c r="BG42" s="1029">
        <f t="shared" si="19"/>
        <v>0</v>
      </c>
      <c r="BH42" s="57">
        <f t="shared" si="20"/>
        <v>0</v>
      </c>
      <c r="BI42" s="171" t="str">
        <f t="shared" si="21"/>
        <v/>
      </c>
      <c r="BJ42" s="57">
        <f t="shared" si="207"/>
        <v>0</v>
      </c>
      <c r="BK42" s="57">
        <f>IF(OR(AND(AY$6=1,$L42=0),AND(AY$6=2,$K42=2,$G42=1)),0,IF(AND(BA$9=2,(OR($F42&gt;1,$K42=1,AND($L42=80,OR($N42=1,AND($N42=2,'#BerechnungDBE'!$AL33&gt;0)))))),IF(AY$4&gt;=$AD$126,0,BI42),IF(BA$9=3,IF(OR(AY$4&gt;=$AD$127,AND($G42=1,$J42=2,AY$6=2),AND(AY$6=1,$N42&lt;&gt;1)),0,IF(BC42&lt;=120,BI42,IF(AY$4&lt;$AD$124,IF($F42=1,60/BA$4*BA$6,60/BA$4*BA$7),IF($F42=1,120/BA$4*BA$6,120/BA$4*BA$7)))),IF(OR($F42=3,$G42=2),IF(OR(AND(AY$4&gt;=$AD$119,$C42=2),AND(AY$4&gt;=$AF$119,$C42=1)),0,IF(BC42&lt;=60,BI42,60/BA$4*BA$7)),IF(AND($F42=2,$G42=1),BI42,0)))))</f>
        <v>0</v>
      </c>
      <c r="BL42" s="57" t="str">
        <f t="shared" si="22"/>
        <v/>
      </c>
      <c r="BM42" s="57" t="str">
        <f t="shared" si="23"/>
        <v/>
      </c>
      <c r="BN42" s="713">
        <f>'org. Düngung 22'!T41</f>
        <v>0</v>
      </c>
      <c r="BO42" s="57"/>
      <c r="BP42" s="57"/>
      <c r="BQ42" s="57">
        <f t="shared" si="24"/>
        <v>0</v>
      </c>
      <c r="BR42" s="57">
        <f t="shared" si="208"/>
        <v>0</v>
      </c>
      <c r="BS42" s="57">
        <f t="shared" si="209"/>
        <v>0</v>
      </c>
      <c r="BT42" s="57">
        <f t="shared" si="210"/>
        <v>0</v>
      </c>
      <c r="BU42" s="57">
        <f t="shared" si="211"/>
        <v>0</v>
      </c>
      <c r="BV42" s="1029">
        <f t="shared" si="25"/>
        <v>0</v>
      </c>
      <c r="BW42" s="57">
        <f t="shared" si="26"/>
        <v>0</v>
      </c>
      <c r="BX42" s="171" t="str">
        <f t="shared" si="27"/>
        <v/>
      </c>
      <c r="BY42" s="57">
        <f t="shared" si="212"/>
        <v>0</v>
      </c>
      <c r="BZ42" s="57">
        <f>IF(OR(AND(BN$6=1,$L42=0),AND(BN$6=2,$K42=2,$G42=1)),0,IF(AND(BP$9=2,(OR($F42&gt;1,$K42=1,AND($L42=80,OR($N42=1,AND($N42=2,'#BerechnungDBE'!$AL33&gt;0)))))),IF(BN$4&gt;=$AD$126,0,BX42),IF(BP$9=3,IF(OR(BN$4&gt;=$AD$127,AND($G42=1,$J42=2,BN$6=2),AND(BN$6=1,$N42&lt;&gt;1)),0,IF(BR42&lt;=120,BX42,IF(BN$4&lt;$AD$124,IF($F42=1,60/BP$4*BP$6,60/BP$4*BP$7),IF($F42=1,120/BP$4*BP$6,120/BP$4*BP$7)))),IF(OR($F42=3,$G42=2),IF(OR(AND(BN$4&gt;=$AD$119,$C42=2),AND(BN$4&gt;=$AF$119,$C42=1)),0,IF(BR42&lt;=60,BX42,60/BP$4*BP$7)),IF(AND($F42=2,$G42=1),BX42,0)))))</f>
        <v>0</v>
      </c>
      <c r="CA42" s="57" t="str">
        <f t="shared" si="28"/>
        <v/>
      </c>
      <c r="CB42" s="57" t="str">
        <f t="shared" si="29"/>
        <v/>
      </c>
      <c r="CC42" s="713">
        <f>'org. Düngung 22'!X41</f>
        <v>0</v>
      </c>
      <c r="CD42" s="57"/>
      <c r="CE42" s="57"/>
      <c r="CF42" s="57">
        <f t="shared" si="30"/>
        <v>0</v>
      </c>
      <c r="CG42" s="57">
        <f t="shared" si="213"/>
        <v>0</v>
      </c>
      <c r="CH42" s="57">
        <f t="shared" si="214"/>
        <v>0</v>
      </c>
      <c r="CI42" s="57">
        <f t="shared" si="215"/>
        <v>0</v>
      </c>
      <c r="CJ42" s="57">
        <f t="shared" si="216"/>
        <v>0</v>
      </c>
      <c r="CK42" s="1029">
        <f t="shared" si="31"/>
        <v>0</v>
      </c>
      <c r="CL42" s="57">
        <f t="shared" si="32"/>
        <v>0</v>
      </c>
      <c r="CM42" s="171" t="str">
        <f t="shared" si="33"/>
        <v/>
      </c>
      <c r="CN42" s="57">
        <f t="shared" si="217"/>
        <v>0</v>
      </c>
      <c r="CO42" s="57">
        <f>IF(OR(AND(CC$6=1,$L42=0),AND(CC$6=2,$K42=2,$G42=1)),0,IF(AND(CE$9=2,(OR($F42&gt;1,$K42=1,AND($L42=80,OR($N42=1,AND($N42=2,'#BerechnungDBE'!$AL33&gt;0)))))),IF(CC$4&gt;=$AD$126,0,CM42),IF(CE$9=3,IF(OR(CC$4&gt;=$AD$127,AND($G42=1,$J42=2,CC$6=2),AND(CC$6=1,$N42&lt;&gt;1)),0,IF(CG42&lt;=120,CM42,IF(CC$4&lt;$AD$124,IF($F42=1,60/CE$4*CE$6,60/CE$4*CE$7),IF($F42=1,120/CE$4*CE$6,120/CE$4*CE$7)))),IF(OR($F42=3,$G42=2),IF(OR(AND(CC$4&gt;=$AD$119,$C42=2),AND(CC$4&gt;=$AF$119,$C42=1)),0,IF(CG42&lt;=60,CM42,60/CE$4*CE$7)),IF(AND($F42=2,$G42=1),CM42,0)))))</f>
        <v>0</v>
      </c>
      <c r="CP42" s="57" t="str">
        <f t="shared" si="34"/>
        <v/>
      </c>
      <c r="CQ42" s="57" t="str">
        <f t="shared" si="35"/>
        <v/>
      </c>
      <c r="CR42" s="713">
        <f>'org. Düngung 22'!AB41</f>
        <v>0</v>
      </c>
      <c r="CS42" s="57"/>
      <c r="CT42" s="57"/>
      <c r="CU42" s="57">
        <f t="shared" si="36"/>
        <v>0</v>
      </c>
      <c r="CV42" s="57">
        <f t="shared" si="218"/>
        <v>0</v>
      </c>
      <c r="CW42" s="57">
        <f t="shared" si="219"/>
        <v>0</v>
      </c>
      <c r="CX42" s="57">
        <f t="shared" si="220"/>
        <v>0</v>
      </c>
      <c r="CY42" s="57">
        <f t="shared" si="221"/>
        <v>0</v>
      </c>
      <c r="CZ42" s="1029">
        <f t="shared" si="37"/>
        <v>0</v>
      </c>
      <c r="DA42" s="57">
        <f t="shared" si="38"/>
        <v>0</v>
      </c>
      <c r="DB42" s="171" t="str">
        <f t="shared" si="39"/>
        <v/>
      </c>
      <c r="DC42" s="57">
        <f t="shared" si="222"/>
        <v>0</v>
      </c>
      <c r="DD42" s="57">
        <f>IF(OR(AND(CR$6=1,$L42=0),AND(CR$6=2,$K42=2,$G42=1)),0,IF(AND(CT$9=2,(OR($F42&gt;1,$K42=1,AND($L42=80,OR($N42=1,AND($N42=2,'#BerechnungDBE'!$AL33&gt;0)))))),IF(CR$4&gt;=$AD$126,0,DB42),IF(CT$9=3,IF(OR(CR$4&gt;=$AD$127,AND($G42=1,$J42=2,CR$6=2),AND(CR$6=1,$N42&lt;&gt;1)),0,IF(CV42&lt;=120,DB42,IF(CR$4&lt;$AD$124,IF($F42=1,60/CT$4*CT$6,60/CT$4*CT$7),IF($F42=1,120/CT$4*CT$6,120/CT$4*CT$7)))),IF(OR($F42=3,$G42=2),IF(OR(AND(CR$4&gt;=$AD$119,$C42=2),AND(CR$4&gt;=$AF$119,$C42=1)),0,IF(CV42&lt;=60,DB42,60/CT$4*CT$7)),IF(AND($F42=2,$G42=1),DB42,0)))))</f>
        <v>0</v>
      </c>
      <c r="DE42" s="57" t="str">
        <f t="shared" si="40"/>
        <v/>
      </c>
      <c r="DF42" s="57" t="str">
        <f t="shared" si="41"/>
        <v/>
      </c>
      <c r="DG42" s="713">
        <f>'org. Düngung 22'!AF41</f>
        <v>0</v>
      </c>
      <c r="DH42" s="57"/>
      <c r="DI42" s="57"/>
      <c r="DJ42" s="57">
        <f t="shared" si="42"/>
        <v>0</v>
      </c>
      <c r="DK42" s="57">
        <f t="shared" si="223"/>
        <v>0</v>
      </c>
      <c r="DL42" s="57">
        <f t="shared" si="224"/>
        <v>0</v>
      </c>
      <c r="DM42" s="57">
        <f t="shared" si="225"/>
        <v>0</v>
      </c>
      <c r="DN42" s="57">
        <f t="shared" si="226"/>
        <v>0</v>
      </c>
      <c r="DO42" s="1029">
        <f t="shared" si="43"/>
        <v>0</v>
      </c>
      <c r="DP42" s="57">
        <f t="shared" si="44"/>
        <v>0</v>
      </c>
      <c r="DQ42" s="171" t="str">
        <f t="shared" si="45"/>
        <v/>
      </c>
      <c r="DR42" s="57">
        <f t="shared" si="227"/>
        <v>0</v>
      </c>
      <c r="DS42" s="57">
        <f>IF(OR(AND(DG$6=1,$L42=0),AND(DG$6=2,$K42=2,$G42=1)),0,IF(AND(DI$9=2,(OR($F42&gt;1,$K42=1,AND($L42=80,OR($N42=1,AND($N42=2,'#BerechnungDBE'!$AL33&gt;0)))))),IF(DG$4&gt;=$AD$126,0,DQ42),IF(DI$9=3,IF(OR(DG$4&gt;=$AD$127,AND($G42=1,$J42=2,DG$6=2),AND(DG$6=1,$N42&lt;&gt;1)),0,IF(DK42&lt;=120,DQ42,IF(DG$4&lt;$AD$124,IF($F42=1,60/DI$4*DI$6,60/DI$4*DI$7),IF($F42=1,120/DI$4*DI$6,120/DI$4*DI$7)))),IF(OR($F42=3,$G42=2),IF(OR(AND(DG$4&gt;=$AD$119,$C42=2),AND(DG$4&gt;=$AF$119,$C42=1)),0,IF(DK42&lt;=60,DQ42,60/DI$4*DI$7)),IF(AND($F42=2,$G42=1),DQ42,0)))))</f>
        <v>0</v>
      </c>
      <c r="DT42" s="57" t="str">
        <f t="shared" si="46"/>
        <v/>
      </c>
      <c r="DU42" s="57" t="str">
        <f t="shared" si="47"/>
        <v/>
      </c>
      <c r="DV42" s="713">
        <f>'org. Düngung 22'!AJ41</f>
        <v>0</v>
      </c>
      <c r="DW42" s="57"/>
      <c r="DX42" s="57"/>
      <c r="DY42" s="57">
        <f t="shared" si="48"/>
        <v>0</v>
      </c>
      <c r="DZ42" s="57">
        <f t="shared" si="228"/>
        <v>0</v>
      </c>
      <c r="EA42" s="57">
        <f t="shared" si="229"/>
        <v>0</v>
      </c>
      <c r="EB42" s="57">
        <f t="shared" si="230"/>
        <v>0</v>
      </c>
      <c r="EC42" s="57">
        <f t="shared" si="231"/>
        <v>0</v>
      </c>
      <c r="ED42" s="1029">
        <f t="shared" si="49"/>
        <v>0</v>
      </c>
      <c r="EE42" s="57">
        <f t="shared" si="50"/>
        <v>0</v>
      </c>
      <c r="EF42" s="171" t="str">
        <f t="shared" si="51"/>
        <v/>
      </c>
      <c r="EG42" s="57">
        <f t="shared" si="232"/>
        <v>0</v>
      </c>
      <c r="EH42" s="57">
        <f>IF(OR(AND(DV$6=1,$L42=0),AND(DV$6=2,$K42=2,$G42=1)),0,IF(AND(DX$9=2,(OR($F42&gt;1,$K42=1,AND($L42=80,OR($N42=1,AND($N42=2,'#BerechnungDBE'!$AL33&gt;0)))))),IF(DV$4&gt;=$AD$126,0,EF42),IF(DX$9=3,IF(OR(DV$4&gt;=$AD$127,AND($G42=1,$J42=2,DV$6=2),AND(DV$6=1,$N42&lt;&gt;1)),0,IF(DZ42&lt;=120,EF42,IF(DV$4&lt;$AD$124,IF($F42=1,60/DX$4*DX$6,60/DX$4*DX$7),IF($F42=1,120/DX$4*DX$6,120/DX$4*DX$7)))),IF(OR($F42=3,$G42=2),IF(OR(AND(DV$4&gt;=$AD$119,$C42=2),AND(DV$4&gt;=$AF$119,$C42=1)),0,IF(DZ42&lt;=60,EF42,60/DX$4*DX$7)),IF(AND($F42=2,$G42=1),EF42,0)))))</f>
        <v>0</v>
      </c>
      <c r="EI42" s="57" t="str">
        <f t="shared" si="52"/>
        <v/>
      </c>
      <c r="EJ42" s="57" t="str">
        <f t="shared" si="53"/>
        <v/>
      </c>
      <c r="EK42" s="713">
        <f>'org. Düngung 22'!AN41</f>
        <v>0</v>
      </c>
      <c r="EL42" s="57"/>
      <c r="EM42" s="57"/>
      <c r="EN42" s="57">
        <f t="shared" si="54"/>
        <v>0</v>
      </c>
      <c r="EO42" s="57">
        <f t="shared" si="233"/>
        <v>0</v>
      </c>
      <c r="EP42" s="57">
        <f t="shared" si="234"/>
        <v>0</v>
      </c>
      <c r="EQ42" s="57">
        <f t="shared" si="235"/>
        <v>0</v>
      </c>
      <c r="ER42" s="57">
        <f t="shared" si="236"/>
        <v>0</v>
      </c>
      <c r="ES42" s="1029">
        <f t="shared" si="55"/>
        <v>0</v>
      </c>
      <c r="ET42" s="57">
        <f t="shared" si="56"/>
        <v>0</v>
      </c>
      <c r="EU42" s="171" t="str">
        <f t="shared" si="57"/>
        <v/>
      </c>
      <c r="EV42" s="57">
        <f t="shared" si="237"/>
        <v>0</v>
      </c>
      <c r="EW42" s="57">
        <f>IF(OR(AND(EK$6=1,$L42=0),AND(EK$6=2,$K42=2,$G42=1)),0,IF(AND(EM$9=2,(OR($F42&gt;1,$K42=1,AND($L42=80,OR($N42=1,AND($N42=2,'#BerechnungDBE'!$AL33&gt;0)))))),IF(EK$4&gt;=$AD$126,0,EU42),IF(EM$9=3,IF(OR(EK$4&gt;=$AD$127,AND($G42=1,$J42=2,EK$6=2),AND(EK$6=1,$N42&lt;&gt;1)),0,IF(EO42&lt;=120,EU42,IF(EK$4&lt;$AD$124,IF($F42=1,60/EM$4*EM$6,60/EM$4*EM$7),IF($F42=1,120/EM$4*EM$6,120/EM$4*EM$7)))),IF(OR($F42=3,$G42=2),IF(OR(AND(EK$4&gt;=$AD$119,$C42=2),AND(EK$4&gt;=$AF$119,$C42=1)),0,IF(EO42&lt;=60,EU42,60/EM$4*EM$7)),IF(AND($F42=2,$G42=1),EU42,0)))))</f>
        <v>0</v>
      </c>
      <c r="EX42" s="57" t="str">
        <f t="shared" si="58"/>
        <v/>
      </c>
      <c r="EY42" s="57" t="str">
        <f t="shared" si="59"/>
        <v/>
      </c>
      <c r="EZ42" s="713">
        <f>'org. Düngung 22'!AR41</f>
        <v>0</v>
      </c>
      <c r="FA42" s="57"/>
      <c r="FB42" s="57"/>
      <c r="FC42" s="57">
        <f t="shared" si="60"/>
        <v>0</v>
      </c>
      <c r="FD42" s="57">
        <f t="shared" si="238"/>
        <v>0</v>
      </c>
      <c r="FE42" s="57">
        <f t="shared" si="239"/>
        <v>0</v>
      </c>
      <c r="FF42" s="57">
        <f t="shared" si="240"/>
        <v>0</v>
      </c>
      <c r="FG42" s="57">
        <f t="shared" si="241"/>
        <v>0</v>
      </c>
      <c r="FH42" s="1029">
        <f t="shared" si="61"/>
        <v>0</v>
      </c>
      <c r="FI42" s="57">
        <f t="shared" si="62"/>
        <v>0</v>
      </c>
      <c r="FJ42" s="171" t="str">
        <f t="shared" si="63"/>
        <v/>
      </c>
      <c r="FK42" s="57">
        <f t="shared" si="242"/>
        <v>0</v>
      </c>
      <c r="FL42" s="57">
        <f>IF(OR(AND(EZ$6=1,$L42=0),AND(EZ$6=2,$K42=2,$G42=1)),0,IF(AND(FB$9=2,(OR($F42&gt;1,$K42=1,AND($L42=80,OR($N42=1,AND($N42=2,'#BerechnungDBE'!$AL33&gt;0)))))),IF(EZ$4&gt;=$AD$126,0,FJ42),IF(FB$9=3,IF(OR(EZ$4&gt;=$AD$127,AND($G42=1,$J42=2,EZ$6=2),AND(EZ$6=1,$N42&lt;&gt;1)),0,IF(FD42&lt;=120,FJ42,IF(EZ$4&lt;$AD$124,IF($F42=1,60/FB$4*FB$6,60/FB$4*FB$7),IF($F42=1,120/FB$4*FB$6,120/FB$4*FB$7)))),IF(OR($F42=3,$G42=2),IF(OR(AND(EZ$4&gt;=$AD$119,$C42=2),AND(EZ$4&gt;=$AF$119,$C42=1)),0,IF(FD42&lt;=60,FJ42,60/FB$4*FB$7)),IF(AND($F42=2,$G42=1),FJ42,0)))))</f>
        <v>0</v>
      </c>
      <c r="FM42" s="57" t="str">
        <f t="shared" si="64"/>
        <v/>
      </c>
      <c r="FN42" s="57" t="str">
        <f t="shared" si="65"/>
        <v/>
      </c>
      <c r="FO42" s="713">
        <f>'org. Düngung 22'!AV41</f>
        <v>0</v>
      </c>
      <c r="FP42" s="57"/>
      <c r="FQ42" s="57"/>
      <c r="FR42" s="57">
        <f t="shared" si="66"/>
        <v>0</v>
      </c>
      <c r="FS42" s="57">
        <f t="shared" si="243"/>
        <v>0</v>
      </c>
      <c r="FT42" s="57">
        <f t="shared" si="244"/>
        <v>0</v>
      </c>
      <c r="FU42" s="57">
        <f t="shared" si="245"/>
        <v>0</v>
      </c>
      <c r="FV42" s="57">
        <f t="shared" si="246"/>
        <v>0</v>
      </c>
      <c r="FW42" s="1029">
        <f t="shared" si="67"/>
        <v>0</v>
      </c>
      <c r="FX42" s="57">
        <f t="shared" si="68"/>
        <v>0</v>
      </c>
      <c r="FY42" s="171" t="str">
        <f t="shared" si="69"/>
        <v/>
      </c>
      <c r="FZ42" s="57">
        <f t="shared" si="247"/>
        <v>0</v>
      </c>
      <c r="GA42" s="57">
        <f>IF(OR(AND(FO$6=1,$L42=0),AND(FO$6=2,$K42=2,$G42=1)),0,IF(AND(FQ$9=2,(OR($F42&gt;1,$K42=1,AND($L42=80,OR($N42=1,AND($N42=2,'#BerechnungDBE'!$AL33&gt;0)))))),IF(FO$4&gt;=$AD$126,0,FY42),IF(FQ$9=3,IF(OR(FO$4&gt;=$AD$127,AND($G42=1,$J42=2,FO$6=2),AND(FO$6=1,$N42&lt;&gt;1)),0,IF(FS42&lt;=120,FY42,IF(FO$4&lt;$AD$124,IF($F42=1,60/FQ$4*FQ$6,60/FQ$4*FQ$7),IF($F42=1,120/FQ$4*FQ$6,120/FQ$4*FQ$7)))),IF(OR($F42=3,$G42=2),IF(OR(AND(FO$4&gt;=$AD$119,$C42=2),AND(FO$4&gt;=$AF$119,$C42=1)),0,IF(FS42&lt;=60,FY42,60/FQ$4*FQ$7)),IF(AND($F42=2,$G42=1),FY42,0)))))</f>
        <v>0</v>
      </c>
      <c r="GB42" s="57" t="str">
        <f t="shared" si="70"/>
        <v/>
      </c>
      <c r="GC42" s="57" t="str">
        <f t="shared" si="71"/>
        <v/>
      </c>
      <c r="GD42" s="713">
        <f>'org. Düngung 22'!AZ41</f>
        <v>0</v>
      </c>
      <c r="GE42" s="57"/>
      <c r="GF42" s="57"/>
      <c r="GG42" s="57">
        <f t="shared" si="72"/>
        <v>0</v>
      </c>
      <c r="GH42" s="57">
        <f t="shared" si="248"/>
        <v>0</v>
      </c>
      <c r="GI42" s="57">
        <f t="shared" si="249"/>
        <v>0</v>
      </c>
      <c r="GJ42" s="57">
        <f t="shared" si="250"/>
        <v>0</v>
      </c>
      <c r="GK42" s="57">
        <f t="shared" si="251"/>
        <v>0</v>
      </c>
      <c r="GL42" s="1029">
        <f t="shared" si="73"/>
        <v>0</v>
      </c>
      <c r="GM42" s="57">
        <f t="shared" si="74"/>
        <v>0</v>
      </c>
      <c r="GN42" s="171" t="str">
        <f t="shared" si="75"/>
        <v/>
      </c>
      <c r="GO42" s="57">
        <f t="shared" si="252"/>
        <v>0</v>
      </c>
      <c r="GP42" s="57">
        <f>IF(OR(AND(GD$6=1,$L42=0),AND(GD$6=2,$K42=2,$G42=1)),0,IF(AND(GF$9=2,(OR($F42&gt;1,$K42=1,AND($L42=80,OR($N42=1,AND($N42=2,'#BerechnungDBE'!$AL33&gt;0)))))),IF(GD$4&gt;=$AD$126,0,GN42),IF(GF$9=3,IF(OR(GD$4&gt;=$AD$127,AND($G42=1,$J42=2,GD$6=2),AND(GD$6=1,$N42&lt;&gt;1)),0,IF(GH42&lt;=120,GN42,IF(GD$4&lt;$AD$124,IF($F42=1,60/GF$4*GF$6,60/GF$4*GF$7),IF($F42=1,120/GF$4*GF$6,120/GF$4*GF$7)))),IF(OR($F42=3,$G42=2),IF(OR(AND(GD$4&gt;=$AD$119,$C42=2),AND(GD$4&gt;=$AF$119,$C42=1)),0,IF(GH42&lt;=60,GN42,60/GF$4*GF$7)),IF(AND($F42=2,$G42=1),GN42,0)))))</f>
        <v>0</v>
      </c>
      <c r="GQ42" s="57" t="str">
        <f t="shared" si="76"/>
        <v/>
      </c>
      <c r="GR42" s="57" t="str">
        <f t="shared" si="77"/>
        <v/>
      </c>
      <c r="GS42" s="713">
        <f>'org. Düngung 22'!BD41</f>
        <v>0</v>
      </c>
      <c r="GT42" s="57"/>
      <c r="GU42" s="57"/>
      <c r="GV42" s="57">
        <f t="shared" si="78"/>
        <v>0</v>
      </c>
      <c r="GW42" s="57">
        <f t="shared" si="253"/>
        <v>0</v>
      </c>
      <c r="GX42" s="57">
        <f t="shared" si="254"/>
        <v>0</v>
      </c>
      <c r="GY42" s="57">
        <f t="shared" si="255"/>
        <v>0</v>
      </c>
      <c r="GZ42" s="57">
        <f t="shared" si="256"/>
        <v>0</v>
      </c>
      <c r="HA42" s="1029">
        <f t="shared" si="79"/>
        <v>0</v>
      </c>
      <c r="HB42" s="57">
        <f t="shared" si="80"/>
        <v>0</v>
      </c>
      <c r="HC42" s="171" t="str">
        <f t="shared" si="81"/>
        <v/>
      </c>
      <c r="HD42" s="57">
        <f t="shared" si="257"/>
        <v>0</v>
      </c>
      <c r="HE42" s="57">
        <f>IF(OR(AND(GS$6=1,$L42=0),AND(GS$6=2,$K42=2,$G42=1)),0,IF(AND(GU$9=2,(OR($F42&gt;1,$K42=1,AND($L42=80,OR($N42=1,AND($N42=2,'#BerechnungDBE'!$AL33&gt;0)))))),IF(GS$4&gt;=$AD$126,0,HC42),IF(GU$9=3,IF(OR(GS$4&gt;=$AD$127,AND($G42=1,$J42=2,GS$6=2),AND(GS$6=1,$N42&lt;&gt;1)),0,IF(GW42&lt;=120,HC42,IF(GS$4&lt;$AD$124,IF($F42=1,60/GU$4*GU$6,60/GU$4*GU$7),IF($F42=1,120/GU$4*GU$6,120/GU$4*GU$7)))),IF(OR($F42=3,$G42=2),IF(OR(AND(GS$4&gt;=$AD$119,$C42=2),AND(GS$4&gt;=$AF$119,$C42=1)),0,IF(GW42&lt;=60,HC42,60/GU$4*GU$7)),IF(AND($F42=2,$G42=1),HC42,0)))))</f>
        <v>0</v>
      </c>
      <c r="HF42" s="57" t="str">
        <f t="shared" si="82"/>
        <v/>
      </c>
      <c r="HG42" s="57" t="str">
        <f t="shared" si="83"/>
        <v/>
      </c>
      <c r="HH42" s="713">
        <f>'org. Düngung 22'!BH41</f>
        <v>0</v>
      </c>
      <c r="HI42" s="57"/>
      <c r="HJ42" s="57"/>
      <c r="HK42" s="57">
        <f t="shared" si="84"/>
        <v>0</v>
      </c>
      <c r="HL42" s="57">
        <f t="shared" si="258"/>
        <v>0</v>
      </c>
      <c r="HM42" s="57">
        <f t="shared" si="259"/>
        <v>0</v>
      </c>
      <c r="HN42" s="57">
        <f t="shared" si="260"/>
        <v>0</v>
      </c>
      <c r="HO42" s="57">
        <f t="shared" si="261"/>
        <v>0</v>
      </c>
      <c r="HP42" s="1029">
        <f t="shared" si="85"/>
        <v>0</v>
      </c>
      <c r="HQ42" s="57">
        <f t="shared" si="86"/>
        <v>0</v>
      </c>
      <c r="HR42" s="171" t="str">
        <f t="shared" si="87"/>
        <v/>
      </c>
      <c r="HS42" s="57">
        <f t="shared" si="262"/>
        <v>0</v>
      </c>
      <c r="HT42" s="57">
        <f>IF(OR(AND(HH$6=1,$L42=0),AND(HH$6=2,$K42=2,$G42=1)),0,IF(AND(HJ$9=2,(OR($F42&gt;1,$K42=1,AND($L42=80,OR($N42=1,AND($N42=2,'#BerechnungDBE'!$AL33&gt;0)))))),IF(HH$4&gt;=$AD$126,0,HR42),IF(HJ$9=3,IF(OR(HH$4&gt;=$AD$127,AND($G42=1,$J42=2,HH$6=2),AND(HH$6=1,$N42&lt;&gt;1)),0,IF(HL42&lt;=120,HR42,IF(HH$4&lt;$AD$124,IF($F42=1,60/HJ$4*HJ$6,60/HJ$4*HJ$7),IF($F42=1,120/HJ$4*HJ$6,120/HJ$4*HJ$7)))),IF(OR($F42=3,$G42=2),IF(OR(AND(HH$4&gt;=$AD$119,$C42=2),AND(HH$4&gt;=$AF$119,$C42=1)),0,IF(HL42&lt;=60,HR42,60/HJ$4*HJ$7)),IF(AND($F42=2,$G42=1),HR42,0)))))</f>
        <v>0</v>
      </c>
      <c r="HU42" s="57" t="str">
        <f t="shared" si="88"/>
        <v/>
      </c>
      <c r="HV42" s="57" t="str">
        <f t="shared" si="89"/>
        <v/>
      </c>
      <c r="HW42" s="713">
        <f>'org. Düngung 22'!BL41</f>
        <v>0</v>
      </c>
      <c r="HX42" s="57"/>
      <c r="HY42" s="57"/>
      <c r="HZ42" s="57">
        <f t="shared" si="90"/>
        <v>0</v>
      </c>
      <c r="IA42" s="57">
        <f t="shared" si="263"/>
        <v>0</v>
      </c>
      <c r="IB42" s="57">
        <f t="shared" si="264"/>
        <v>0</v>
      </c>
      <c r="IC42" s="57">
        <f t="shared" si="265"/>
        <v>0</v>
      </c>
      <c r="ID42" s="57">
        <f t="shared" si="266"/>
        <v>0</v>
      </c>
      <c r="IE42" s="1029">
        <f t="shared" si="91"/>
        <v>0</v>
      </c>
      <c r="IF42" s="57">
        <f t="shared" si="92"/>
        <v>0</v>
      </c>
      <c r="IG42" s="171" t="str">
        <f t="shared" si="93"/>
        <v/>
      </c>
      <c r="IH42" s="57">
        <f t="shared" si="267"/>
        <v>0</v>
      </c>
      <c r="II42" s="57">
        <f>IF(OR(AND(HW$6=1,$L42=0),AND(HW$6=2,$K42=2,$G42=1)),0,IF(AND(HY$9=2,(OR($F42&gt;1,$K42=1,AND($L42=80,OR($N42=1,AND($N42=2,'#BerechnungDBE'!$AL33&gt;0)))))),IF(HW$4&gt;=$AD$126,0,IG42),IF(HY$9=3,IF(OR(HW$4&gt;=$AD$127,AND($G42=1,$J42=2,HW$6=2),AND(HW$6=1,$N42&lt;&gt;1)),0,IF(IA42&lt;=120,IG42,IF(HW$4&lt;$AD$124,IF($F42=1,60/HY$4*HY$6,60/HY$4*HY$7),IF($F42=1,120/HY$4*HY$6,120/HY$4*HY$7)))),IF(OR($F42=3,$G42=2),IF(OR(AND(HW$4&gt;=$AD$119,$C42=2),AND(HW$4&gt;=$AF$119,$C42=1)),0,IF(IA42&lt;=60,IG42,60/HY$4*HY$7)),IF(AND($F42=2,$G42=1),IG42,0)))))</f>
        <v>0</v>
      </c>
      <c r="IJ42" s="57" t="str">
        <f t="shared" si="94"/>
        <v/>
      </c>
      <c r="IK42" s="57" t="str">
        <f t="shared" si="95"/>
        <v/>
      </c>
      <c r="IL42" s="713">
        <f>'org. Düngung 22'!BP41</f>
        <v>0</v>
      </c>
      <c r="IM42" s="57"/>
      <c r="IN42" s="57"/>
      <c r="IO42" s="57">
        <f t="shared" si="96"/>
        <v>0</v>
      </c>
      <c r="IP42" s="57">
        <f t="shared" si="268"/>
        <v>0</v>
      </c>
      <c r="IQ42" s="57">
        <f t="shared" si="269"/>
        <v>0</v>
      </c>
      <c r="IR42" s="57">
        <f t="shared" si="270"/>
        <v>0</v>
      </c>
      <c r="IS42" s="57">
        <f t="shared" si="271"/>
        <v>0</v>
      </c>
      <c r="IT42" s="1029">
        <f t="shared" si="97"/>
        <v>0</v>
      </c>
      <c r="IU42" s="57">
        <f t="shared" si="98"/>
        <v>0</v>
      </c>
      <c r="IV42" s="171" t="str">
        <f t="shared" si="99"/>
        <v/>
      </c>
      <c r="IW42" s="57">
        <f t="shared" si="272"/>
        <v>0</v>
      </c>
      <c r="IX42" s="57">
        <f>IF(OR(AND(IL$6=1,$L42=0),AND(IL$6=2,$K42=2,$G42=1)),0,IF(AND(IN$9=2,(OR($F42&gt;1,$K42=1,AND($L42=80,OR($N42=1,AND($N42=2,'#BerechnungDBE'!$AL33&gt;0)))))),IF(IL$4&gt;=$AD$126,0,IV42),IF(IN$9=3,IF(OR(IL$4&gt;=$AD$127,AND($G42=1,$J42=2,IL$6=2),AND(IL$6=1,$N42&lt;&gt;1)),0,IF(IP42&lt;=120,IV42,IF(IL$4&lt;$AD$124,IF($F42=1,60/IN$4*IN$6,60/IN$4*IN$7),IF($F42=1,120/IN$4*IN$6,120/IN$4*IN$7)))),IF(OR($F42=3,$G42=2),IF(OR(AND(IL$4&gt;=$AD$119,$C42=2),AND(IL$4&gt;=$AF$119,$C42=1)),0,IF(IP42&lt;=60,IV42,60/IN$4*IN$7)),IF(AND($F42=2,$G42=1),IV42,0)))))</f>
        <v>0</v>
      </c>
      <c r="IY42" s="57" t="str">
        <f t="shared" si="100"/>
        <v/>
      </c>
      <c r="IZ42" s="57" t="str">
        <f t="shared" si="101"/>
        <v/>
      </c>
      <c r="JA42" s="713">
        <f>'org. Düngung 22'!BT41</f>
        <v>0</v>
      </c>
      <c r="JB42" s="57"/>
      <c r="JC42" s="57"/>
      <c r="JD42" s="57">
        <f t="shared" si="102"/>
        <v>0</v>
      </c>
      <c r="JE42" s="57">
        <f t="shared" si="273"/>
        <v>0</v>
      </c>
      <c r="JF42" s="57">
        <f t="shared" si="274"/>
        <v>0</v>
      </c>
      <c r="JG42" s="57">
        <f t="shared" si="275"/>
        <v>0</v>
      </c>
      <c r="JH42" s="57">
        <f t="shared" si="276"/>
        <v>0</v>
      </c>
      <c r="JI42" s="1029">
        <f t="shared" si="103"/>
        <v>0</v>
      </c>
      <c r="JJ42" s="57">
        <f t="shared" si="104"/>
        <v>0</v>
      </c>
      <c r="JK42" s="171" t="str">
        <f t="shared" si="105"/>
        <v/>
      </c>
      <c r="JL42" s="57">
        <f t="shared" si="277"/>
        <v>0</v>
      </c>
      <c r="JM42" s="57">
        <f>IF(OR(AND(JA$6=1,$L42=0),AND(JA$6=2,$K42=2,$G42=1)),0,IF(AND(JC$9=2,(OR($F42&gt;1,$K42=1,AND($L42=80,OR($N42=1,AND($N42=2,'#BerechnungDBE'!$AL33&gt;0)))))),IF(JA$4&gt;=$AD$126,0,JK42),IF(JC$9=3,IF(OR(JA$4&gt;=$AD$127,AND($G42=1,$J42=2,JA$6=2),AND(JA$6=1,$N42&lt;&gt;1)),0,IF(JE42&lt;=120,JK42,IF(JA$4&lt;$AD$124,IF($F42=1,60/JC$4*JC$6,60/JC$4*JC$7),IF($F42=1,120/JC$4*JC$6,120/JC$4*JC$7)))),IF(OR($F42=3,$G42=2),IF(OR(AND(JA$4&gt;=$AD$119,$C42=2),AND(JA$4&gt;=$AF$119,$C42=1)),0,IF(JE42&lt;=60,JK42,60/JC$4*JC$7)),IF(AND($F42=2,$G42=1),JK42,0)))))</f>
        <v>0</v>
      </c>
      <c r="JN42" s="57" t="str">
        <f t="shared" si="106"/>
        <v/>
      </c>
      <c r="JO42" s="57" t="str">
        <f t="shared" si="107"/>
        <v/>
      </c>
      <c r="JP42" s="713">
        <f>'org. Düngung 22'!BX41</f>
        <v>0</v>
      </c>
      <c r="JQ42" s="57"/>
      <c r="JR42" s="57"/>
      <c r="JS42" s="57">
        <f t="shared" si="108"/>
        <v>0</v>
      </c>
      <c r="JT42" s="57">
        <f t="shared" si="278"/>
        <v>0</v>
      </c>
      <c r="JU42" s="57">
        <f t="shared" si="279"/>
        <v>0</v>
      </c>
      <c r="JV42" s="57">
        <f t="shared" si="280"/>
        <v>0</v>
      </c>
      <c r="JW42" s="57">
        <f t="shared" si="281"/>
        <v>0</v>
      </c>
      <c r="JX42" s="1029">
        <f t="shared" si="109"/>
        <v>0</v>
      </c>
      <c r="JY42" s="57">
        <f t="shared" si="110"/>
        <v>0</v>
      </c>
      <c r="JZ42" s="171" t="str">
        <f t="shared" si="111"/>
        <v/>
      </c>
      <c r="KA42" s="57">
        <f t="shared" si="282"/>
        <v>0</v>
      </c>
      <c r="KB42" s="57">
        <f>IF(OR(AND(JP$6=1,$L42=0),AND(JP$6=2,$K42=2,$G42=1)),0,IF(AND(JR$9=2,(OR($F42&gt;1,$K42=1,AND($L42=80,OR($N42=1,AND($N42=2,'#BerechnungDBE'!$AL33&gt;0)))))),IF(JP$4&gt;=$AD$126,0,JZ42),IF(JR$9=3,IF(OR(JP$4&gt;=$AD$127,AND($G42=1,$J42=2,JP$6=2),AND(JP$6=1,$N42&lt;&gt;1)),0,IF(JT42&lt;=120,JZ42,IF(JP$4&lt;$AD$124,IF($F42=1,60/JR$4*JR$6,60/JR$4*JR$7),IF($F42=1,120/JR$4*JR$6,120/JR$4*JR$7)))),IF(OR($F42=3,$G42=2),IF(OR(AND(JP$4&gt;=$AD$119,$C42=2),AND(JP$4&gt;=$AF$119,$C42=1)),0,IF(JT42&lt;=60,JZ42,60/JR$4*JR$7)),IF(AND($F42=2,$G42=1),JZ42,0)))))</f>
        <v>0</v>
      </c>
      <c r="KC42" s="57" t="str">
        <f t="shared" si="112"/>
        <v/>
      </c>
      <c r="KD42" s="57" t="str">
        <f t="shared" si="113"/>
        <v/>
      </c>
      <c r="KE42" s="713">
        <f>'org. Düngung 22'!CB41</f>
        <v>0</v>
      </c>
      <c r="KF42" s="57"/>
      <c r="KG42" s="57"/>
      <c r="KH42" s="57">
        <f t="shared" si="114"/>
        <v>0</v>
      </c>
      <c r="KI42" s="57">
        <f t="shared" si="283"/>
        <v>0</v>
      </c>
      <c r="KJ42" s="57">
        <f t="shared" si="284"/>
        <v>0</v>
      </c>
      <c r="KK42" s="57">
        <f t="shared" si="285"/>
        <v>0</v>
      </c>
      <c r="KL42" s="57">
        <f t="shared" si="286"/>
        <v>0</v>
      </c>
      <c r="KM42" s="1029">
        <f t="shared" si="115"/>
        <v>0</v>
      </c>
      <c r="KN42" s="57">
        <f t="shared" si="116"/>
        <v>0</v>
      </c>
      <c r="KO42" s="171" t="str">
        <f t="shared" si="117"/>
        <v/>
      </c>
      <c r="KP42" s="57">
        <f t="shared" si="287"/>
        <v>0</v>
      </c>
      <c r="KQ42" s="57">
        <f>IF(OR(AND(KE$6=1,$L42=0),AND(KE$6=2,$K42=2,$G42=1)),0,IF(AND(KG$9=2,(OR($F42&gt;1,$K42=1,AND($L42=80,OR($N42=1,AND($N42=2,'#BerechnungDBE'!$AL33&gt;0)))))),IF(KE$4&gt;=$AD$126,0,KO42),IF(KG$9=3,IF(OR(KE$4&gt;=$AD$127,AND($G42=1,$J42=2,KE$6=2),AND(KE$6=1,$N42&lt;&gt;1)),0,IF(KI42&lt;=120,KO42,IF(KE$4&lt;$AD$124,IF($F42=1,60/KG$4*KG$6,60/KG$4*KG$7),IF($F42=1,120/KG$4*KG$6,120/KG$4*KG$7)))),IF(OR($F42=3,$G42=2),IF(OR(AND(KE$4&gt;=$AD$119,$C42=2),AND(KE$4&gt;=$AF$119,$C42=1)),0,IF(KI42&lt;=60,KO42,60/KG$4*KG$7)),IF(AND($F42=2,$G42=1),KO42,0)))))</f>
        <v>0</v>
      </c>
      <c r="KR42" s="57" t="str">
        <f t="shared" si="118"/>
        <v/>
      </c>
      <c r="KS42" s="57" t="str">
        <f t="shared" si="119"/>
        <v/>
      </c>
      <c r="KT42" s="713">
        <f>'org. Düngung 22'!CF41</f>
        <v>0</v>
      </c>
      <c r="KU42" s="57"/>
      <c r="KV42" s="57"/>
      <c r="KW42" s="57">
        <f t="shared" si="120"/>
        <v>0</v>
      </c>
      <c r="KX42" s="57">
        <f t="shared" si="288"/>
        <v>0</v>
      </c>
      <c r="KY42" s="57">
        <f t="shared" si="289"/>
        <v>0</v>
      </c>
      <c r="KZ42" s="57">
        <f t="shared" si="290"/>
        <v>0</v>
      </c>
      <c r="LA42" s="57">
        <f t="shared" si="291"/>
        <v>0</v>
      </c>
      <c r="LB42" s="1029">
        <f t="shared" si="121"/>
        <v>0</v>
      </c>
      <c r="LC42" s="57">
        <f t="shared" si="122"/>
        <v>0</v>
      </c>
      <c r="LD42" s="171" t="str">
        <f t="shared" si="123"/>
        <v/>
      </c>
      <c r="LE42" s="57">
        <f t="shared" si="292"/>
        <v>0</v>
      </c>
      <c r="LF42" s="57">
        <f>IF(OR(AND(KT$6=1,$L42=0),AND(KT$6=2,$K42=2,$G42=1)),0,IF(AND(KV$9=2,(OR($F42&gt;1,$K42=1,AND($L42=80,OR($N42=1,AND($N42=2,'#BerechnungDBE'!$AL33&gt;0)))))),IF(KT$4&gt;=$AD$126,0,LD42),IF(KV$9=3,IF(OR(KT$4&gt;=$AD$127,AND($G42=1,$J42=2,KT$6=2),AND(KT$6=1,$N42&lt;&gt;1)),0,IF(KX42&lt;=120,LD42,IF(KT$4&lt;$AD$124,IF($F42=1,60/KV$4*KV$6,60/KV$4*KV$7),IF($F42=1,120/KV$4*KV$6,120/KV$4*KV$7)))),IF(OR($F42=3,$G42=2),IF(OR(AND(KT$4&gt;=$AD$119,$C42=2),AND(KT$4&gt;=$AF$119,$C42=1)),0,IF(KX42&lt;=60,LD42,60/KV$4*KV$7)),IF(AND($F42=2,$G42=1),LD42,0)))))</f>
        <v>0</v>
      </c>
      <c r="LG42" s="57" t="str">
        <f t="shared" si="124"/>
        <v/>
      </c>
      <c r="LH42" s="57" t="str">
        <f t="shared" si="125"/>
        <v/>
      </c>
      <c r="LI42" s="713">
        <f>'org. Düngung 22'!CJ41</f>
        <v>0</v>
      </c>
      <c r="LJ42" s="57"/>
      <c r="LK42" s="57"/>
      <c r="LL42" s="57">
        <f t="shared" si="126"/>
        <v>0</v>
      </c>
      <c r="LM42" s="57">
        <f t="shared" si="293"/>
        <v>0</v>
      </c>
      <c r="LN42" s="57">
        <f t="shared" si="294"/>
        <v>0</v>
      </c>
      <c r="LO42" s="57">
        <f t="shared" si="295"/>
        <v>0</v>
      </c>
      <c r="LP42" s="57">
        <f t="shared" si="296"/>
        <v>0</v>
      </c>
      <c r="LQ42" s="1029">
        <f t="shared" si="127"/>
        <v>0</v>
      </c>
      <c r="LR42" s="57">
        <f t="shared" si="128"/>
        <v>0</v>
      </c>
      <c r="LS42" s="171" t="str">
        <f t="shared" si="129"/>
        <v/>
      </c>
      <c r="LT42" s="57">
        <f t="shared" si="297"/>
        <v>0</v>
      </c>
      <c r="LU42" s="57">
        <f>IF(OR(AND(LI$6=1,$L42=0),AND(LI$6=2,$K42=2,$G42=1)),0,IF(AND(LK$9=2,(OR($F42&gt;1,$K42=1,AND($L42=80,OR($N42=1,AND($N42=2,'#BerechnungDBE'!$AL33&gt;0)))))),IF(LI$4&gt;=$AD$126,0,LS42),IF(LK$9=3,IF(OR(LI$4&gt;=$AD$127,AND($G42=1,$J42=2,LI$6=2),AND(LI$6=1,$N42&lt;&gt;1)),0,IF(LM42&lt;=120,LS42,IF(LI$4&lt;$AD$124,IF($F42=1,60/LK$4*LK$6,60/LK$4*LK$7),IF($F42=1,120/LK$4*LK$6,120/LK$4*LK$7)))),IF(OR($F42=3,$G42=2),IF(OR(AND(LI$4&gt;=$AD$119,$C42=2),AND(LI$4&gt;=$AF$119,$C42=1)),0,IF(LM42&lt;=60,LS42,60/LK$4*LK$7)),IF(AND($F42=2,$G42=1),LS42,0)))))</f>
        <v>0</v>
      </c>
      <c r="LV42" s="57" t="str">
        <f t="shared" si="130"/>
        <v/>
      </c>
      <c r="LW42" s="57" t="str">
        <f t="shared" si="131"/>
        <v/>
      </c>
      <c r="LX42" s="713">
        <f>'org. Düngung 22'!CN41</f>
        <v>0</v>
      </c>
      <c r="LY42" s="57"/>
      <c r="LZ42" s="57"/>
      <c r="MA42" s="57">
        <f t="shared" si="132"/>
        <v>0</v>
      </c>
      <c r="MB42" s="57">
        <f t="shared" si="298"/>
        <v>0</v>
      </c>
      <c r="MC42" s="57">
        <f t="shared" si="299"/>
        <v>0</v>
      </c>
      <c r="MD42" s="57">
        <f t="shared" si="300"/>
        <v>0</v>
      </c>
      <c r="ME42" s="57">
        <f t="shared" si="301"/>
        <v>0</v>
      </c>
      <c r="MF42" s="1029">
        <f t="shared" si="133"/>
        <v>0</v>
      </c>
      <c r="MG42" s="57">
        <f t="shared" si="134"/>
        <v>0</v>
      </c>
      <c r="MH42" s="171" t="str">
        <f t="shared" si="135"/>
        <v/>
      </c>
      <c r="MI42" s="57">
        <f t="shared" si="302"/>
        <v>0</v>
      </c>
      <c r="MJ42" s="57">
        <f>IF(OR(AND(LX$6=1,$L42=0),AND(LX$6=2,$K42=2,$G42=1)),0,IF(AND(LZ$9=2,(OR($F42&gt;1,$K42=1,AND($L42=80,OR($N42=1,AND($N42=2,'#BerechnungDBE'!$AL33&gt;0)))))),IF(LX$4&gt;=$AD$126,0,MH42),IF(LZ$9=3,IF(OR(LX$4&gt;=$AD$127,AND($G42=1,$J42=2,LX$6=2),AND(LX$6=1,$N42&lt;&gt;1)),0,IF(MB42&lt;=120,MH42,IF(LX$4&lt;$AD$124,IF($F42=1,60/LZ$4*LZ$6,60/LZ$4*LZ$7),IF($F42=1,120/LZ$4*LZ$6,120/LZ$4*LZ$7)))),IF(OR($F42=3,$G42=2),IF(OR(AND(LX$4&gt;=$AD$119,$C42=2),AND(LX$4&gt;=$AF$119,$C42=1)),0,IF(MB42&lt;=60,MH42,60/LZ$4*LZ$7)),IF(AND($F42=2,$G42=1),MH42,0)))))</f>
        <v>0</v>
      </c>
      <c r="MK42" s="57" t="str">
        <f t="shared" si="136"/>
        <v/>
      </c>
      <c r="ML42" s="57" t="str">
        <f t="shared" si="137"/>
        <v/>
      </c>
      <c r="MM42" s="713">
        <f>'org. Düngung 22'!CR41</f>
        <v>0</v>
      </c>
      <c r="MN42" s="57"/>
      <c r="MO42" s="57"/>
      <c r="MP42" s="57">
        <f t="shared" si="138"/>
        <v>0</v>
      </c>
      <c r="MQ42" s="57">
        <f t="shared" si="303"/>
        <v>0</v>
      </c>
      <c r="MR42" s="57">
        <f t="shared" si="304"/>
        <v>0</v>
      </c>
      <c r="MS42" s="57">
        <f t="shared" si="305"/>
        <v>0</v>
      </c>
      <c r="MT42" s="57">
        <f t="shared" si="306"/>
        <v>0</v>
      </c>
      <c r="MU42" s="1029">
        <f t="shared" si="139"/>
        <v>0</v>
      </c>
      <c r="MV42" s="57">
        <f t="shared" si="140"/>
        <v>0</v>
      </c>
      <c r="MW42" s="171" t="str">
        <f t="shared" si="141"/>
        <v/>
      </c>
      <c r="MX42" s="57">
        <f t="shared" si="307"/>
        <v>0</v>
      </c>
      <c r="MY42" s="57">
        <f>IF(OR(AND(MM$6=1,$L42=0),AND(MM$6=2,$K42=2,$G42=1)),0,IF(AND(MO$9=2,(OR($F42&gt;1,$K42=1,AND($L42=80,OR($N42=1,AND($N42=2,'#BerechnungDBE'!$AL33&gt;0)))))),IF(MM$4&gt;=$AD$126,0,MW42),IF(MO$9=3,IF(OR(MM$4&gt;=$AD$127,AND($G42=1,$J42=2,MM$6=2),AND(MM$6=1,$N42&lt;&gt;1)),0,IF(MQ42&lt;=120,MW42,IF(MM$4&lt;$AD$124,IF($F42=1,60/MO$4*MO$6,60/MO$4*MO$7),IF($F42=1,120/MO$4*MO$6,120/MO$4*MO$7)))),IF(OR($F42=3,$G42=2),IF(OR(AND(MM$4&gt;=$AD$119,$C42=2),AND(MM$4&gt;=$AF$119,$C42=1)),0,IF(MQ42&lt;=60,MW42,60/MO$4*MO$7)),IF(AND($F42=2,$G42=1),MW42,0)))))</f>
        <v>0</v>
      </c>
      <c r="MZ42" s="57" t="str">
        <f t="shared" si="142"/>
        <v/>
      </c>
      <c r="NA42" s="57" t="str">
        <f t="shared" si="143"/>
        <v/>
      </c>
      <c r="NB42" s="713">
        <f>'org. Düngung 22'!CV41</f>
        <v>0</v>
      </c>
      <c r="NC42" s="57"/>
      <c r="ND42" s="57"/>
      <c r="NE42" s="57">
        <f t="shared" si="144"/>
        <v>0</v>
      </c>
      <c r="NF42" s="57">
        <f t="shared" si="308"/>
        <v>0</v>
      </c>
      <c r="NG42" s="57">
        <f t="shared" si="309"/>
        <v>0</v>
      </c>
      <c r="NH42" s="57">
        <f t="shared" si="310"/>
        <v>0</v>
      </c>
      <c r="NI42" s="57">
        <f t="shared" si="311"/>
        <v>0</v>
      </c>
      <c r="NJ42" s="1029">
        <f t="shared" si="145"/>
        <v>0</v>
      </c>
      <c r="NK42" s="57">
        <f t="shared" si="146"/>
        <v>0</v>
      </c>
      <c r="NL42" s="171" t="str">
        <f t="shared" si="147"/>
        <v/>
      </c>
      <c r="NM42" s="57">
        <f t="shared" si="312"/>
        <v>0</v>
      </c>
      <c r="NN42" s="57">
        <f>IF(OR(AND(NB$6=1,$L42=0),AND(NB$6=2,$K42=2,$G42=1)),0,IF(AND(ND$9=2,(OR($F42&gt;1,$K42=1,AND($L42=80,OR($N42=1,AND($N42=2,'#BerechnungDBE'!$AL33&gt;0)))))),IF(NB$4&gt;=$AD$126,0,NL42),IF(ND$9=3,IF(OR(NB$4&gt;=$AD$127,AND($G42=1,$J42=2,NB$6=2),AND(NB$6=1,$N42&lt;&gt;1)),0,IF(NF42&lt;=120,NL42,IF(NB$4&lt;$AD$124,IF($F42=1,60/ND$4*ND$6,60/ND$4*ND$7),IF($F42=1,120/ND$4*ND$6,120/ND$4*ND$7)))),IF(OR($F42=3,$G42=2),IF(OR(AND(NB$4&gt;=$AD$119,$C42=2),AND(NB$4&gt;=$AF$119,$C42=1)),0,IF(NF42&lt;=60,NL42,60/ND$4*ND$7)),IF(AND($F42=2,$G42=1),NL42,0)))))</f>
        <v>0</v>
      </c>
      <c r="NO42" s="57" t="str">
        <f t="shared" si="148"/>
        <v/>
      </c>
      <c r="NP42" s="57" t="str">
        <f t="shared" si="149"/>
        <v/>
      </c>
      <c r="NQ42" s="713">
        <f>'org. Düngung 22'!CZ41</f>
        <v>0</v>
      </c>
      <c r="NR42" s="57"/>
      <c r="NS42" s="57"/>
      <c r="NT42" s="57">
        <f t="shared" si="150"/>
        <v>0</v>
      </c>
      <c r="NU42" s="57">
        <f t="shared" si="313"/>
        <v>0</v>
      </c>
      <c r="NV42" s="57">
        <f t="shared" si="314"/>
        <v>0</v>
      </c>
      <c r="NW42" s="57">
        <f t="shared" si="315"/>
        <v>0</v>
      </c>
      <c r="NX42" s="57">
        <f t="shared" si="316"/>
        <v>0</v>
      </c>
      <c r="NY42" s="1029">
        <f t="shared" si="151"/>
        <v>0</v>
      </c>
      <c r="NZ42" s="57">
        <f t="shared" si="152"/>
        <v>0</v>
      </c>
      <c r="OA42" s="171" t="str">
        <f t="shared" si="153"/>
        <v/>
      </c>
      <c r="OB42" s="57">
        <f t="shared" si="317"/>
        <v>0</v>
      </c>
      <c r="OC42" s="57">
        <f>IF(OR(AND(NQ$6=1,$L42=0),AND(NQ$6=2,$K42=2,$G42=1)),0,IF(AND(NS$9=2,(OR($F42&gt;1,$K42=1,AND($L42=80,OR($N42=1,AND($N42=2,'#BerechnungDBE'!$AL33&gt;0)))))),IF(NQ$4&gt;=$AD$126,0,OA42),IF(NS$9=3,IF(OR(NQ$4&gt;=$AD$127,AND($G42=1,$J42=2,NQ$6=2),AND(NQ$6=1,$N42&lt;&gt;1)),0,IF(NU42&lt;=120,OA42,IF(NQ$4&lt;$AD$124,IF($F42=1,60/NS$4*NS$6,60/NS$4*NS$7),IF($F42=1,120/NS$4*NS$6,120/NS$4*NS$7)))),IF(OR($F42=3,$G42=2),IF(OR(AND(NQ$4&gt;=$AD$119,$C42=2),AND(NQ$4&gt;=$AF$119,$C42=1)),0,IF(NU42&lt;=60,OA42,60/NS$4*NS$7)),IF(AND($F42=2,$G42=1),OA42,0)))))</f>
        <v>0</v>
      </c>
      <c r="OD42" s="57" t="str">
        <f t="shared" si="154"/>
        <v/>
      </c>
      <c r="OE42" s="57" t="str">
        <f t="shared" si="155"/>
        <v/>
      </c>
      <c r="OF42" s="713">
        <f>'org. Düngung 22'!DD41</f>
        <v>0</v>
      </c>
      <c r="OG42" s="57"/>
      <c r="OH42" s="57"/>
      <c r="OI42" s="57">
        <f t="shared" si="156"/>
        <v>0</v>
      </c>
      <c r="OJ42" s="57">
        <f t="shared" si="318"/>
        <v>0</v>
      </c>
      <c r="OK42" s="57">
        <f t="shared" si="319"/>
        <v>0</v>
      </c>
      <c r="OL42" s="57">
        <f t="shared" si="320"/>
        <v>0</v>
      </c>
      <c r="OM42" s="57">
        <f t="shared" si="321"/>
        <v>0</v>
      </c>
      <c r="ON42" s="1029">
        <f t="shared" si="157"/>
        <v>0</v>
      </c>
      <c r="OO42" s="57">
        <f t="shared" si="158"/>
        <v>0</v>
      </c>
      <c r="OP42" s="171" t="str">
        <f t="shared" si="159"/>
        <v/>
      </c>
      <c r="OQ42" s="57">
        <f t="shared" si="322"/>
        <v>0</v>
      </c>
      <c r="OR42" s="57">
        <f>IF(OR(AND(OF$6=1,$L42=0),AND(OF$6=2,$K42=2,$G42=1)),0,IF(AND(OH$9=2,(OR($F42&gt;1,$K42=1,AND($L42=80,OR($N42=1,AND($N42=2,'#BerechnungDBE'!$AL33&gt;0)))))),IF(OF$4&gt;=$AD$126,0,OP42),IF(OH$9=3,IF(OR(OF$4&gt;=$AD$127,AND($G42=1,$J42=2,OF$6=2),AND(OF$6=1,$N42&lt;&gt;1)),0,IF(OJ42&lt;=120,OP42,IF(OF$4&lt;$AD$124,IF($F42=1,60/OH$4*OH$6,60/OH$4*OH$7),IF($F42=1,120/OH$4*OH$6,120/OH$4*OH$7)))),IF(OR($F42=3,$G42=2),IF(OR(AND(OF$4&gt;=$AD$119,$C42=2),AND(OF$4&gt;=$AF$119,$C42=1)),0,IF(OJ42&lt;=60,OP42,60/OH$4*OH$7)),IF(AND($F42=2,$G42=1),OP42,0)))))</f>
        <v>0</v>
      </c>
      <c r="OS42" s="57" t="str">
        <f t="shared" si="160"/>
        <v/>
      </c>
      <c r="OT42" s="57" t="str">
        <f t="shared" si="161"/>
        <v/>
      </c>
      <c r="OU42" s="713">
        <f>'org. Düngung 22'!DH41</f>
        <v>0</v>
      </c>
      <c r="OV42" s="57"/>
      <c r="OW42" s="57"/>
      <c r="OX42" s="57">
        <f t="shared" si="162"/>
        <v>0</v>
      </c>
      <c r="OY42" s="57">
        <f t="shared" si="323"/>
        <v>0</v>
      </c>
      <c r="OZ42" s="57">
        <f t="shared" si="324"/>
        <v>0</v>
      </c>
      <c r="PA42" s="57">
        <f t="shared" si="325"/>
        <v>0</v>
      </c>
      <c r="PB42" s="57">
        <f t="shared" si="326"/>
        <v>0</v>
      </c>
      <c r="PC42" s="1029">
        <f t="shared" si="163"/>
        <v>0</v>
      </c>
      <c r="PD42" s="57">
        <f t="shared" si="164"/>
        <v>0</v>
      </c>
      <c r="PE42" s="171" t="str">
        <f t="shared" si="165"/>
        <v/>
      </c>
      <c r="PF42" s="57">
        <f t="shared" si="327"/>
        <v>0</v>
      </c>
      <c r="PG42" s="57">
        <f>IF(OR(AND(OU$6=1,$L42=0),AND(OU$6=2,$K42=2,$G42=1)),0,IF(AND(OW$9=2,(OR($F42&gt;1,$K42=1,AND($L42=80,OR($N42=1,AND($N42=2,'#BerechnungDBE'!$AL33&gt;0)))))),IF(OU$4&gt;=$AD$126,0,PE42),IF(OW$9=3,IF(OR(OU$4&gt;=$AD$127,AND($G42=1,$J42=2,OU$6=2),AND(OU$6=1,$N42&lt;&gt;1)),0,IF(OY42&lt;=120,PE42,IF(OU$4&lt;$AD$124,IF($F42=1,60/OW$4*OW$6,60/OW$4*OW$7),IF($F42=1,120/OW$4*OW$6,120/OW$4*OW$7)))),IF(OR($F42=3,$G42=2),IF(OR(AND(OU$4&gt;=$AD$119,$C42=2),AND(OU$4&gt;=$AF$119,$C42=1)),0,IF(OY42&lt;=60,PE42,60/OW$4*OW$7)),IF(AND($F42=2,$G42=1),PE42,0)))))</f>
        <v>0</v>
      </c>
      <c r="PH42" s="57" t="str">
        <f t="shared" si="166"/>
        <v/>
      </c>
      <c r="PI42" s="57" t="str">
        <f t="shared" si="167"/>
        <v/>
      </c>
      <c r="PJ42" s="713">
        <f>'org. Düngung 22'!DL41</f>
        <v>0</v>
      </c>
      <c r="PK42" s="57"/>
      <c r="PL42" s="57"/>
      <c r="PM42" s="57">
        <f t="shared" si="168"/>
        <v>0</v>
      </c>
      <c r="PN42" s="57">
        <f t="shared" si="328"/>
        <v>0</v>
      </c>
      <c r="PO42" s="57">
        <f t="shared" si="329"/>
        <v>0</v>
      </c>
      <c r="PP42" s="57">
        <f t="shared" si="330"/>
        <v>0</v>
      </c>
      <c r="PQ42" s="57">
        <f t="shared" si="331"/>
        <v>0</v>
      </c>
      <c r="PR42" s="1029">
        <f t="shared" si="169"/>
        <v>0</v>
      </c>
      <c r="PS42" s="57">
        <f t="shared" si="170"/>
        <v>0</v>
      </c>
      <c r="PT42" s="171" t="str">
        <f t="shared" si="171"/>
        <v/>
      </c>
      <c r="PU42" s="57">
        <f t="shared" si="332"/>
        <v>0</v>
      </c>
      <c r="PV42" s="57">
        <f>IF(OR(AND(PJ$6=1,$L42=0),AND(PJ$6=2,$K42=2,$G42=1)),0,IF(AND(PL$9=2,(OR($F42&gt;1,$K42=1,AND($L42=80,OR($N42=1,AND($N42=2,'#BerechnungDBE'!$AL33&gt;0)))))),IF(PJ$4&gt;=$AD$126,0,PT42),IF(PL$9=3,IF(OR(PJ$4&gt;=$AD$127,AND($G42=1,$J42=2,PJ$6=2),AND(PJ$6=1,$N42&lt;&gt;1)),0,IF(PN42&lt;=120,PT42,IF(PJ$4&lt;$AD$124,IF($F42=1,60/PL$4*PL$6,60/PL$4*PL$7),IF($F42=1,120/PL$4*PL$6,120/PL$4*PL$7)))),IF(OR($F42=3,$G42=2),IF(OR(AND(PJ$4&gt;=$AD$119,$C42=2),AND(PJ$4&gt;=$AF$119,$C42=1)),0,IF(PN42&lt;=60,PT42,60/PL$4*PL$7)),IF(AND($F42=2,$G42=1),PT42,0)))))</f>
        <v>0</v>
      </c>
      <c r="PW42" s="57" t="str">
        <f t="shared" si="172"/>
        <v/>
      </c>
      <c r="PX42" s="57" t="str">
        <f t="shared" si="173"/>
        <v/>
      </c>
      <c r="PY42" s="713">
        <f>'org. Düngung 22'!DP41</f>
        <v>0</v>
      </c>
      <c r="PZ42" s="57"/>
      <c r="QA42" s="57"/>
      <c r="QB42" s="57">
        <f t="shared" si="174"/>
        <v>0</v>
      </c>
      <c r="QC42" s="57">
        <f t="shared" si="333"/>
        <v>0</v>
      </c>
      <c r="QD42" s="57">
        <f t="shared" si="334"/>
        <v>0</v>
      </c>
      <c r="QE42" s="57">
        <f t="shared" si="335"/>
        <v>0</v>
      </c>
      <c r="QF42" s="57">
        <f t="shared" si="336"/>
        <v>0</v>
      </c>
      <c r="QG42" s="1029">
        <f t="shared" si="175"/>
        <v>0</v>
      </c>
      <c r="QH42" s="57">
        <f t="shared" si="176"/>
        <v>0</v>
      </c>
      <c r="QI42" s="171" t="str">
        <f t="shared" si="177"/>
        <v/>
      </c>
      <c r="QJ42" s="57">
        <f t="shared" si="337"/>
        <v>0</v>
      </c>
      <c r="QK42" s="57">
        <f>IF(OR(AND(PY$6=1,$L42=0),AND(PY$6=2,$K42=2,$G42=1)),0,IF(AND(QA$9=2,(OR($F42&gt;1,$K42=1,AND($L42=80,OR($N42=1,AND($N42=2,'#BerechnungDBE'!$AL33&gt;0)))))),IF(PY$4&gt;=$AD$126,0,QI42),IF(QA$9=3,IF(OR(PY$4&gt;=$AD$127,AND($G42=1,$J42=2,PY$6=2),AND(PY$6=1,$N42&lt;&gt;1)),0,IF(QC42&lt;=120,QI42,IF(PY$4&lt;$AD$124,IF($F42=1,60/QA$4*QA$6,60/QA$4*QA$7),IF($F42=1,120/QA$4*QA$6,120/QA$4*QA$7)))),IF(OR($F42=3,$G42=2),IF(OR(AND(PY$4&gt;=$AD$119,$C42=2),AND(PY$4&gt;=$AF$119,$C42=1)),0,IF(QC42&lt;=60,QI42,60/QA$4*QA$7)),IF(AND($F42=2,$G42=1),QI42,0)))))</f>
        <v>0</v>
      </c>
      <c r="QL42" s="57" t="str">
        <f t="shared" si="178"/>
        <v/>
      </c>
      <c r="QM42" s="57" t="str">
        <f t="shared" si="179"/>
        <v/>
      </c>
      <c r="QN42" s="713">
        <f>'org. Düngung 22'!DT41</f>
        <v>0</v>
      </c>
      <c r="QO42" s="57"/>
      <c r="QP42" s="57"/>
      <c r="QQ42" s="57">
        <f t="shared" si="180"/>
        <v>0</v>
      </c>
      <c r="QR42" s="57">
        <f t="shared" si="338"/>
        <v>0</v>
      </c>
      <c r="QS42" s="57">
        <f t="shared" si="339"/>
        <v>0</v>
      </c>
      <c r="QT42" s="57">
        <f t="shared" si="340"/>
        <v>0</v>
      </c>
      <c r="QU42" s="57">
        <f t="shared" si="341"/>
        <v>0</v>
      </c>
      <c r="QV42" s="1029">
        <f t="shared" si="181"/>
        <v>0</v>
      </c>
      <c r="QW42" s="57">
        <f t="shared" si="182"/>
        <v>0</v>
      </c>
      <c r="QX42" s="171" t="str">
        <f t="shared" si="183"/>
        <v/>
      </c>
      <c r="QY42" s="57">
        <f t="shared" si="342"/>
        <v>0</v>
      </c>
      <c r="QZ42" s="57">
        <f>IF(OR(AND(QN$6=1,$L42=0),AND(QN$6=2,$K42=2,$G42=1)),0,IF(AND(QP$9=2,(OR($F42&gt;1,$K42=1,AND($L42=80,OR($N42=1,AND($N42=2,'#BerechnungDBE'!$AL33&gt;0)))))),IF(QN$4&gt;=$AD$126,0,QX42),IF(QP$9=3,IF(OR(QN$4&gt;=$AD$127,AND($G42=1,$J42=2,QN$6=2),AND(QN$6=1,$N42&lt;&gt;1)),0,IF(QR42&lt;=120,QX42,IF(QN$4&lt;$AD$124,IF($F42=1,60/QP$4*QP$6,60/QP$4*QP$7),IF($F42=1,120/QP$4*QP$6,120/QP$4*QP$7)))),IF(OR($F42=3,$G42=2),IF(OR(AND(QN$4&gt;=$AD$119,$C42=2),AND(QN$4&gt;=$AF$119,$C42=1)),0,IF(QR42&lt;=60,QX42,60/QP$4*QP$7)),IF(AND($F42=2,$G42=1),QX42,0)))))</f>
        <v>0</v>
      </c>
      <c r="RA42" s="57" t="str">
        <f t="shared" si="184"/>
        <v/>
      </c>
      <c r="RB42" s="57" t="str">
        <f t="shared" si="185"/>
        <v/>
      </c>
      <c r="RC42" s="713">
        <f>'org. Düngung 22'!DX41</f>
        <v>0</v>
      </c>
      <c r="RD42" s="57"/>
      <c r="RE42" s="57"/>
      <c r="RF42" s="57">
        <f t="shared" si="186"/>
        <v>0</v>
      </c>
      <c r="RG42" s="57">
        <f t="shared" si="343"/>
        <v>0</v>
      </c>
      <c r="RH42" s="57">
        <f t="shared" si="344"/>
        <v>0</v>
      </c>
      <c r="RI42" s="57">
        <f t="shared" si="345"/>
        <v>0</v>
      </c>
      <c r="RJ42" s="57">
        <f t="shared" si="346"/>
        <v>0</v>
      </c>
      <c r="RK42" s="1029">
        <f t="shared" si="187"/>
        <v>0</v>
      </c>
      <c r="RL42" s="57">
        <f t="shared" si="188"/>
        <v>0</v>
      </c>
      <c r="RM42" s="171" t="str">
        <f t="shared" si="189"/>
        <v/>
      </c>
      <c r="RN42" s="57">
        <f t="shared" si="347"/>
        <v>0</v>
      </c>
      <c r="RO42" s="57">
        <f>IF(OR(AND(RC$6=1,$L42=0),AND(RC$6=2,$K42=2,$G42=1)),0,IF(AND(RE$9=2,(OR($F42&gt;1,$K42=1,AND($L42=80,OR($N42=1,AND($N42=2,'#BerechnungDBE'!$AL33&gt;0)))))),IF(RC$4&gt;=$AD$126,0,RM42),IF(RE$9=3,IF(OR(RC$4&gt;=$AD$127,AND($G42=1,$J42=2,RC$6=2),AND(RC$6=1,$N42&lt;&gt;1)),0,IF(RG42&lt;=120,RM42,IF(RC$4&lt;$AD$124,IF($F42=1,60/RE$4*RE$6,60/RE$4*RE$7),IF($F42=1,120/RE$4*RE$6,120/RE$4*RE$7)))),IF(OR($F42=3,$G42=2),IF(OR(AND(RC$4&gt;=$AD$119,$C42=2),AND(RC$4&gt;=$AF$119,$C42=1)),0,IF(RG42&lt;=60,RM42,60/RE$4*RE$7)),IF(AND($F42=2,$G42=1),RM42,0)))))</f>
        <v>0</v>
      </c>
      <c r="RP42" s="57" t="str">
        <f t="shared" si="190"/>
        <v/>
      </c>
      <c r="RQ42" s="57" t="str">
        <f t="shared" si="191"/>
        <v/>
      </c>
      <c r="RS42" s="57" t="str">
        <f t="shared" si="348"/>
        <v/>
      </c>
      <c r="RT42" s="57" t="str">
        <f t="shared" si="192"/>
        <v/>
      </c>
      <c r="RU42" s="57" t="str">
        <f t="shared" si="193"/>
        <v/>
      </c>
      <c r="RV42" s="57" t="str">
        <f>IF(Z42&gt;'#BerechnungDBE'!BM33,$RV$9,"")</f>
        <v/>
      </c>
      <c r="RW42" s="57" t="str">
        <f>IF(AND(L42=70,AE42&gt;'#BerechnungDBE'!CQ33),$RW$9,"")</f>
        <v/>
      </c>
      <c r="RX42" s="57" t="str">
        <f>IF(OR('org. Düngung 22'!G41="--",'org. Düngung 22'!G41&lt;=170,'org. Düngung 22'!G41=""),"",$RX$9)</f>
        <v/>
      </c>
      <c r="RY42" s="57" t="str">
        <f>IF('org. Düngung 22'!K41&gt;120,'#orgDung'!$RY$9,"")</f>
        <v/>
      </c>
      <c r="RZ42" s="57" t="str">
        <f>IF('#BerechnungDBE'!P33&lt;4,"",IF(AND('#BerechnungDBE'!BZ33&gt;0,T42&gt;0),'#orgDung'!$RZ$9,""))</f>
        <v/>
      </c>
      <c r="SA42" s="57" t="str">
        <f t="shared" si="194"/>
        <v/>
      </c>
    </row>
    <row r="43" spans="1:495" s="875" customFormat="1" x14ac:dyDescent="0.2">
      <c r="A43" s="875">
        <f>'Flächen u. Kulturen'!A39</f>
        <v>30</v>
      </c>
      <c r="B43" s="367">
        <f>'#BerechnungDBE'!L34</f>
        <v>0</v>
      </c>
      <c r="C43" s="875">
        <f>'#BerechnungDBE'!R34</f>
        <v>1</v>
      </c>
      <c r="D43" s="875">
        <f>'#BerechnungDBE'!T34</f>
        <v>2</v>
      </c>
      <c r="E43" s="875" t="str">
        <f>'Flächen u. Kulturen'!E39</f>
        <v>x</v>
      </c>
      <c r="F43" s="52">
        <f>'#BerechnungDBE'!N34</f>
        <v>1</v>
      </c>
      <c r="G43" s="52">
        <f>'#BerechnungDBE'!O34</f>
        <v>1</v>
      </c>
      <c r="H43" s="875">
        <f>IF('Flächen u. Kulturen'!P39="",0,VLOOKUP('Flächen u. Kulturen'!P39,Kulturen[[HF]:[Berechnungsgruppe]],'#Frucht'!$H$1,FALSE))</f>
        <v>0</v>
      </c>
      <c r="I43" s="875">
        <f>IF('Flächen u. Kulturen'!J39="",0,VLOOKUP('Flächen u. Kulturen'!J39,Kulturen[[HF]:[Berechnungsgruppe]],'#Frucht'!$G$1,FALSE))</f>
        <v>90</v>
      </c>
      <c r="J43" s="505">
        <f t="shared" si="195"/>
        <v>2</v>
      </c>
      <c r="K43" s="505">
        <f>IF('Flächen u. Kulturen'!P39="",0,IF(VLOOKUP('Flächen u. Kulturen'!P39,Kulturen[[HF]:[Saat Winterungen]],'#Frucht'!$P$1,FALSE)&gt;0,1,2))</f>
        <v>2</v>
      </c>
      <c r="L43" s="875">
        <f>'#BerechnungDBE'!AF34</f>
        <v>0</v>
      </c>
      <c r="M43" s="875">
        <f>IF('Flächen u. Kulturen'!L39="",0,VLOOKUP('Flächen u. Kulturen'!L39,Nebenkultur[[Nebenkultur]:[Legum. Zwischenfr.]],'#Zweitfr'!$K$1,FALSE))</f>
        <v>0</v>
      </c>
      <c r="N43" s="875">
        <f>'#BerechnungDBE'!AG34</f>
        <v>0</v>
      </c>
      <c r="P43" s="57">
        <f t="shared" si="0"/>
        <v>0</v>
      </c>
      <c r="Q43" s="57">
        <f t="shared" si="1"/>
        <v>0</v>
      </c>
      <c r="R43" s="875">
        <f t="shared" si="2"/>
        <v>0</v>
      </c>
      <c r="S43" s="938" t="str">
        <f t="shared" si="3"/>
        <v/>
      </c>
      <c r="T43" s="875">
        <f t="shared" si="4"/>
        <v>0</v>
      </c>
      <c r="U43" s="875">
        <f t="shared" si="5"/>
        <v>0</v>
      </c>
      <c r="V43" s="875">
        <f t="shared" si="6"/>
        <v>0</v>
      </c>
      <c r="W43" s="875">
        <f t="shared" si="7"/>
        <v>0</v>
      </c>
      <c r="X43" s="875">
        <f t="shared" si="8"/>
        <v>0</v>
      </c>
      <c r="Y43" s="875">
        <f t="shared" si="349"/>
        <v>0</v>
      </c>
      <c r="Z43" s="875">
        <f t="shared" si="350"/>
        <v>0</v>
      </c>
      <c r="AA43" s="910">
        <f t="shared" si="9"/>
        <v>0</v>
      </c>
      <c r="AB43" s="57">
        <f t="shared" si="351"/>
        <v>0</v>
      </c>
      <c r="AC43" s="875">
        <f t="shared" si="10"/>
        <v>0</v>
      </c>
      <c r="AD43" s="875">
        <f t="shared" si="11"/>
        <v>0</v>
      </c>
      <c r="AE43" s="875">
        <f t="shared" si="12"/>
        <v>0</v>
      </c>
      <c r="AF43" s="875">
        <f t="shared" si="352"/>
        <v>0</v>
      </c>
      <c r="AG43" s="875">
        <f>'org. Düngung 22'!J42</f>
        <v>0</v>
      </c>
      <c r="AH43" s="875">
        <f>'org. Düngung 22'!K42</f>
        <v>0</v>
      </c>
      <c r="AJ43" s="713">
        <f>'org. Düngung 22'!L42</f>
        <v>0</v>
      </c>
      <c r="AK43" s="57"/>
      <c r="AL43" s="57"/>
      <c r="AM43" s="57">
        <f t="shared" si="196"/>
        <v>0</v>
      </c>
      <c r="AN43" s="57">
        <f t="shared" si="197"/>
        <v>0</v>
      </c>
      <c r="AO43" s="57">
        <f t="shared" si="198"/>
        <v>0</v>
      </c>
      <c r="AP43" s="57">
        <f t="shared" si="199"/>
        <v>0</v>
      </c>
      <c r="AQ43" s="57">
        <f t="shared" si="200"/>
        <v>0</v>
      </c>
      <c r="AR43" s="1029">
        <f t="shared" si="14"/>
        <v>0</v>
      </c>
      <c r="AS43" s="57">
        <f t="shared" si="15"/>
        <v>0</v>
      </c>
      <c r="AT43" s="171" t="str">
        <f t="shared" si="16"/>
        <v/>
      </c>
      <c r="AU43" s="57">
        <f t="shared" si="201"/>
        <v>0</v>
      </c>
      <c r="AV43" s="57">
        <f>IF(OR(AND(AJ$6=1,$L43=0),AND(AJ$6=2,$K43=2,$G43=1)),0,IF(AND(AL$9=2,(OR($F43&gt;1,$K43=1,AND($L43=80,OR($N43=1,AND($N43=2,'#BerechnungDBE'!$AL34&gt;0)))))),IF(AJ$4&gt;=$AD$126,0,AT43),IF(AL$9=3,IF(OR(AJ$4&gt;=$AD$127,AND($G43=1,$J43=2,AJ$6=2),AND(AJ$6=1,$N43&lt;&gt;1)),0,IF(AN43&lt;=120,AT43,IF(AJ$4&lt;$AD$124,IF($F43=1,60/AL$4*AL$6,60/AL$4*AL$7),IF($F43=1,120/AL$4*AL$6,120/AL$4*AL$7)))),IF(OR($F43=3,$G43=2),IF(OR(AND(AJ$4&gt;=$AD$119,$C43=2),AND(AJ$4&gt;=$AF$119,$C43=1)),0,IF(AN43&lt;=60,AT43,60/AL$4*AL$7)),IF(AND($F43=2,$G43=1),AT43,0)))))</f>
        <v>0</v>
      </c>
      <c r="AW43" s="57" t="str">
        <f t="shared" si="202"/>
        <v/>
      </c>
      <c r="AX43" s="57" t="str">
        <f t="shared" si="17"/>
        <v/>
      </c>
      <c r="AY43" s="713">
        <f>'org. Düngung 22'!P42</f>
        <v>0</v>
      </c>
      <c r="AZ43" s="57"/>
      <c r="BA43" s="57"/>
      <c r="BB43" s="57">
        <f t="shared" si="18"/>
        <v>0</v>
      </c>
      <c r="BC43" s="57">
        <f t="shared" si="203"/>
        <v>0</v>
      </c>
      <c r="BD43" s="57">
        <f t="shared" si="204"/>
        <v>0</v>
      </c>
      <c r="BE43" s="57">
        <f t="shared" si="205"/>
        <v>0</v>
      </c>
      <c r="BF43" s="57">
        <f t="shared" si="206"/>
        <v>0</v>
      </c>
      <c r="BG43" s="1029">
        <f t="shared" si="19"/>
        <v>0</v>
      </c>
      <c r="BH43" s="57">
        <f t="shared" si="20"/>
        <v>0</v>
      </c>
      <c r="BI43" s="171" t="str">
        <f t="shared" si="21"/>
        <v/>
      </c>
      <c r="BJ43" s="57">
        <f t="shared" si="207"/>
        <v>0</v>
      </c>
      <c r="BK43" s="57">
        <f>IF(OR(AND(AY$6=1,$L43=0),AND(AY$6=2,$K43=2,$G43=1)),0,IF(AND(BA$9=2,(OR($F43&gt;1,$K43=1,AND($L43=80,OR($N43=1,AND($N43=2,'#BerechnungDBE'!$AL34&gt;0)))))),IF(AY$4&gt;=$AD$126,0,BI43),IF(BA$9=3,IF(OR(AY$4&gt;=$AD$127,AND($G43=1,$J43=2,AY$6=2),AND(AY$6=1,$N43&lt;&gt;1)),0,IF(BC43&lt;=120,BI43,IF(AY$4&lt;$AD$124,IF($F43=1,60/BA$4*BA$6,60/BA$4*BA$7),IF($F43=1,120/BA$4*BA$6,120/BA$4*BA$7)))),IF(OR($F43=3,$G43=2),IF(OR(AND(AY$4&gt;=$AD$119,$C43=2),AND(AY$4&gt;=$AF$119,$C43=1)),0,IF(BC43&lt;=60,BI43,60/BA$4*BA$7)),IF(AND($F43=2,$G43=1),BI43,0)))))</f>
        <v>0</v>
      </c>
      <c r="BL43" s="57" t="str">
        <f t="shared" si="22"/>
        <v/>
      </c>
      <c r="BM43" s="57" t="str">
        <f t="shared" si="23"/>
        <v/>
      </c>
      <c r="BN43" s="713">
        <f>'org. Düngung 22'!T42</f>
        <v>0</v>
      </c>
      <c r="BO43" s="57"/>
      <c r="BP43" s="57"/>
      <c r="BQ43" s="57">
        <f t="shared" si="24"/>
        <v>0</v>
      </c>
      <c r="BR43" s="57">
        <f t="shared" si="208"/>
        <v>0</v>
      </c>
      <c r="BS43" s="57">
        <f t="shared" si="209"/>
        <v>0</v>
      </c>
      <c r="BT43" s="57">
        <f t="shared" si="210"/>
        <v>0</v>
      </c>
      <c r="BU43" s="57">
        <f t="shared" si="211"/>
        <v>0</v>
      </c>
      <c r="BV43" s="1029">
        <f t="shared" si="25"/>
        <v>0</v>
      </c>
      <c r="BW43" s="57">
        <f t="shared" si="26"/>
        <v>0</v>
      </c>
      <c r="BX43" s="171" t="str">
        <f t="shared" si="27"/>
        <v/>
      </c>
      <c r="BY43" s="57">
        <f t="shared" si="212"/>
        <v>0</v>
      </c>
      <c r="BZ43" s="57">
        <f>IF(OR(AND(BN$6=1,$L43=0),AND(BN$6=2,$K43=2,$G43=1)),0,IF(AND(BP$9=2,(OR($F43&gt;1,$K43=1,AND($L43=80,OR($N43=1,AND($N43=2,'#BerechnungDBE'!$AL34&gt;0)))))),IF(BN$4&gt;=$AD$126,0,BX43),IF(BP$9=3,IF(OR(BN$4&gt;=$AD$127,AND($G43=1,$J43=2,BN$6=2),AND(BN$6=1,$N43&lt;&gt;1)),0,IF(BR43&lt;=120,BX43,IF(BN$4&lt;$AD$124,IF($F43=1,60/BP$4*BP$6,60/BP$4*BP$7),IF($F43=1,120/BP$4*BP$6,120/BP$4*BP$7)))),IF(OR($F43=3,$G43=2),IF(OR(AND(BN$4&gt;=$AD$119,$C43=2),AND(BN$4&gt;=$AF$119,$C43=1)),0,IF(BR43&lt;=60,BX43,60/BP$4*BP$7)),IF(AND($F43=2,$G43=1),BX43,0)))))</f>
        <v>0</v>
      </c>
      <c r="CA43" s="57" t="str">
        <f t="shared" si="28"/>
        <v/>
      </c>
      <c r="CB43" s="57" t="str">
        <f t="shared" si="29"/>
        <v/>
      </c>
      <c r="CC43" s="713">
        <f>'org. Düngung 22'!X42</f>
        <v>0</v>
      </c>
      <c r="CD43" s="57"/>
      <c r="CE43" s="57"/>
      <c r="CF43" s="57">
        <f t="shared" si="30"/>
        <v>0</v>
      </c>
      <c r="CG43" s="57">
        <f t="shared" si="213"/>
        <v>0</v>
      </c>
      <c r="CH43" s="57">
        <f t="shared" si="214"/>
        <v>0</v>
      </c>
      <c r="CI43" s="57">
        <f t="shared" si="215"/>
        <v>0</v>
      </c>
      <c r="CJ43" s="57">
        <f t="shared" si="216"/>
        <v>0</v>
      </c>
      <c r="CK43" s="1029">
        <f t="shared" si="31"/>
        <v>0</v>
      </c>
      <c r="CL43" s="57">
        <f t="shared" si="32"/>
        <v>0</v>
      </c>
      <c r="CM43" s="171" t="str">
        <f t="shared" si="33"/>
        <v/>
      </c>
      <c r="CN43" s="57">
        <f t="shared" si="217"/>
        <v>0</v>
      </c>
      <c r="CO43" s="57">
        <f>IF(OR(AND(CC$6=1,$L43=0),AND(CC$6=2,$K43=2,$G43=1)),0,IF(AND(CE$9=2,(OR($F43&gt;1,$K43=1,AND($L43=80,OR($N43=1,AND($N43=2,'#BerechnungDBE'!$AL34&gt;0)))))),IF(CC$4&gt;=$AD$126,0,CM43),IF(CE$9=3,IF(OR(CC$4&gt;=$AD$127,AND($G43=1,$J43=2,CC$6=2),AND(CC$6=1,$N43&lt;&gt;1)),0,IF(CG43&lt;=120,CM43,IF(CC$4&lt;$AD$124,IF($F43=1,60/CE$4*CE$6,60/CE$4*CE$7),IF($F43=1,120/CE$4*CE$6,120/CE$4*CE$7)))),IF(OR($F43=3,$G43=2),IF(OR(AND(CC$4&gt;=$AD$119,$C43=2),AND(CC$4&gt;=$AF$119,$C43=1)),0,IF(CG43&lt;=60,CM43,60/CE$4*CE$7)),IF(AND($F43=2,$G43=1),CM43,0)))))</f>
        <v>0</v>
      </c>
      <c r="CP43" s="57" t="str">
        <f t="shared" si="34"/>
        <v/>
      </c>
      <c r="CQ43" s="57" t="str">
        <f t="shared" si="35"/>
        <v/>
      </c>
      <c r="CR43" s="713">
        <f>'org. Düngung 22'!AB42</f>
        <v>0</v>
      </c>
      <c r="CS43" s="57"/>
      <c r="CT43" s="57"/>
      <c r="CU43" s="57">
        <f t="shared" si="36"/>
        <v>0</v>
      </c>
      <c r="CV43" s="57">
        <f t="shared" si="218"/>
        <v>0</v>
      </c>
      <c r="CW43" s="57">
        <f t="shared" si="219"/>
        <v>0</v>
      </c>
      <c r="CX43" s="57">
        <f t="shared" si="220"/>
        <v>0</v>
      </c>
      <c r="CY43" s="57">
        <f t="shared" si="221"/>
        <v>0</v>
      </c>
      <c r="CZ43" s="1029">
        <f t="shared" si="37"/>
        <v>0</v>
      </c>
      <c r="DA43" s="57">
        <f t="shared" si="38"/>
        <v>0</v>
      </c>
      <c r="DB43" s="171" t="str">
        <f t="shared" si="39"/>
        <v/>
      </c>
      <c r="DC43" s="57">
        <f t="shared" si="222"/>
        <v>0</v>
      </c>
      <c r="DD43" s="57">
        <f>IF(OR(AND(CR$6=1,$L43=0),AND(CR$6=2,$K43=2,$G43=1)),0,IF(AND(CT$9=2,(OR($F43&gt;1,$K43=1,AND($L43=80,OR($N43=1,AND($N43=2,'#BerechnungDBE'!$AL34&gt;0)))))),IF(CR$4&gt;=$AD$126,0,DB43),IF(CT$9=3,IF(OR(CR$4&gt;=$AD$127,AND($G43=1,$J43=2,CR$6=2),AND(CR$6=1,$N43&lt;&gt;1)),0,IF(CV43&lt;=120,DB43,IF(CR$4&lt;$AD$124,IF($F43=1,60/CT$4*CT$6,60/CT$4*CT$7),IF($F43=1,120/CT$4*CT$6,120/CT$4*CT$7)))),IF(OR($F43=3,$G43=2),IF(OR(AND(CR$4&gt;=$AD$119,$C43=2),AND(CR$4&gt;=$AF$119,$C43=1)),0,IF(CV43&lt;=60,DB43,60/CT$4*CT$7)),IF(AND($F43=2,$G43=1),DB43,0)))))</f>
        <v>0</v>
      </c>
      <c r="DE43" s="57" t="str">
        <f t="shared" si="40"/>
        <v/>
      </c>
      <c r="DF43" s="57" t="str">
        <f t="shared" si="41"/>
        <v/>
      </c>
      <c r="DG43" s="713">
        <f>'org. Düngung 22'!AF42</f>
        <v>0</v>
      </c>
      <c r="DH43" s="57"/>
      <c r="DI43" s="57"/>
      <c r="DJ43" s="57">
        <f t="shared" si="42"/>
        <v>0</v>
      </c>
      <c r="DK43" s="57">
        <f t="shared" si="223"/>
        <v>0</v>
      </c>
      <c r="DL43" s="57">
        <f t="shared" si="224"/>
        <v>0</v>
      </c>
      <c r="DM43" s="57">
        <f t="shared" si="225"/>
        <v>0</v>
      </c>
      <c r="DN43" s="57">
        <f t="shared" si="226"/>
        <v>0</v>
      </c>
      <c r="DO43" s="1029">
        <f t="shared" si="43"/>
        <v>0</v>
      </c>
      <c r="DP43" s="57">
        <f t="shared" si="44"/>
        <v>0</v>
      </c>
      <c r="DQ43" s="171" t="str">
        <f t="shared" si="45"/>
        <v/>
      </c>
      <c r="DR43" s="57">
        <f t="shared" si="227"/>
        <v>0</v>
      </c>
      <c r="DS43" s="57">
        <f>IF(OR(AND(DG$6=1,$L43=0),AND(DG$6=2,$K43=2,$G43=1)),0,IF(AND(DI$9=2,(OR($F43&gt;1,$K43=1,AND($L43=80,OR($N43=1,AND($N43=2,'#BerechnungDBE'!$AL34&gt;0)))))),IF(DG$4&gt;=$AD$126,0,DQ43),IF(DI$9=3,IF(OR(DG$4&gt;=$AD$127,AND($G43=1,$J43=2,DG$6=2),AND(DG$6=1,$N43&lt;&gt;1)),0,IF(DK43&lt;=120,DQ43,IF(DG$4&lt;$AD$124,IF($F43=1,60/DI$4*DI$6,60/DI$4*DI$7),IF($F43=1,120/DI$4*DI$6,120/DI$4*DI$7)))),IF(OR($F43=3,$G43=2),IF(OR(AND(DG$4&gt;=$AD$119,$C43=2),AND(DG$4&gt;=$AF$119,$C43=1)),0,IF(DK43&lt;=60,DQ43,60/DI$4*DI$7)),IF(AND($F43=2,$G43=1),DQ43,0)))))</f>
        <v>0</v>
      </c>
      <c r="DT43" s="57" t="str">
        <f t="shared" si="46"/>
        <v/>
      </c>
      <c r="DU43" s="57" t="str">
        <f t="shared" si="47"/>
        <v/>
      </c>
      <c r="DV43" s="713">
        <f>'org. Düngung 22'!AJ42</f>
        <v>0</v>
      </c>
      <c r="DW43" s="57"/>
      <c r="DX43" s="57"/>
      <c r="DY43" s="57">
        <f t="shared" si="48"/>
        <v>0</v>
      </c>
      <c r="DZ43" s="57">
        <f t="shared" si="228"/>
        <v>0</v>
      </c>
      <c r="EA43" s="57">
        <f t="shared" si="229"/>
        <v>0</v>
      </c>
      <c r="EB43" s="57">
        <f t="shared" si="230"/>
        <v>0</v>
      </c>
      <c r="EC43" s="57">
        <f t="shared" si="231"/>
        <v>0</v>
      </c>
      <c r="ED43" s="1029">
        <f t="shared" si="49"/>
        <v>0</v>
      </c>
      <c r="EE43" s="57">
        <f t="shared" si="50"/>
        <v>0</v>
      </c>
      <c r="EF43" s="171" t="str">
        <f t="shared" si="51"/>
        <v/>
      </c>
      <c r="EG43" s="57">
        <f t="shared" si="232"/>
        <v>0</v>
      </c>
      <c r="EH43" s="57">
        <f>IF(OR(AND(DV$6=1,$L43=0),AND(DV$6=2,$K43=2,$G43=1)),0,IF(AND(DX$9=2,(OR($F43&gt;1,$K43=1,AND($L43=80,OR($N43=1,AND($N43=2,'#BerechnungDBE'!$AL34&gt;0)))))),IF(DV$4&gt;=$AD$126,0,EF43),IF(DX$9=3,IF(OR(DV$4&gt;=$AD$127,AND($G43=1,$J43=2,DV$6=2),AND(DV$6=1,$N43&lt;&gt;1)),0,IF(DZ43&lt;=120,EF43,IF(DV$4&lt;$AD$124,IF($F43=1,60/DX$4*DX$6,60/DX$4*DX$7),IF($F43=1,120/DX$4*DX$6,120/DX$4*DX$7)))),IF(OR($F43=3,$G43=2),IF(OR(AND(DV$4&gt;=$AD$119,$C43=2),AND(DV$4&gt;=$AF$119,$C43=1)),0,IF(DZ43&lt;=60,EF43,60/DX$4*DX$7)),IF(AND($F43=2,$G43=1),EF43,0)))))</f>
        <v>0</v>
      </c>
      <c r="EI43" s="57" t="str">
        <f t="shared" si="52"/>
        <v/>
      </c>
      <c r="EJ43" s="57" t="str">
        <f t="shared" si="53"/>
        <v/>
      </c>
      <c r="EK43" s="713">
        <f>'org. Düngung 22'!AN42</f>
        <v>0</v>
      </c>
      <c r="EL43" s="57"/>
      <c r="EM43" s="57"/>
      <c r="EN43" s="57">
        <f t="shared" si="54"/>
        <v>0</v>
      </c>
      <c r="EO43" s="57">
        <f t="shared" si="233"/>
        <v>0</v>
      </c>
      <c r="EP43" s="57">
        <f t="shared" si="234"/>
        <v>0</v>
      </c>
      <c r="EQ43" s="57">
        <f t="shared" si="235"/>
        <v>0</v>
      </c>
      <c r="ER43" s="57">
        <f t="shared" si="236"/>
        <v>0</v>
      </c>
      <c r="ES43" s="1029">
        <f t="shared" si="55"/>
        <v>0</v>
      </c>
      <c r="ET43" s="57">
        <f t="shared" si="56"/>
        <v>0</v>
      </c>
      <c r="EU43" s="171" t="str">
        <f t="shared" si="57"/>
        <v/>
      </c>
      <c r="EV43" s="57">
        <f t="shared" si="237"/>
        <v>0</v>
      </c>
      <c r="EW43" s="57">
        <f>IF(OR(AND(EK$6=1,$L43=0),AND(EK$6=2,$K43=2,$G43=1)),0,IF(AND(EM$9=2,(OR($F43&gt;1,$K43=1,AND($L43=80,OR($N43=1,AND($N43=2,'#BerechnungDBE'!$AL34&gt;0)))))),IF(EK$4&gt;=$AD$126,0,EU43),IF(EM$9=3,IF(OR(EK$4&gt;=$AD$127,AND($G43=1,$J43=2,EK$6=2),AND(EK$6=1,$N43&lt;&gt;1)),0,IF(EO43&lt;=120,EU43,IF(EK$4&lt;$AD$124,IF($F43=1,60/EM$4*EM$6,60/EM$4*EM$7),IF($F43=1,120/EM$4*EM$6,120/EM$4*EM$7)))),IF(OR($F43=3,$G43=2),IF(OR(AND(EK$4&gt;=$AD$119,$C43=2),AND(EK$4&gt;=$AF$119,$C43=1)),0,IF(EO43&lt;=60,EU43,60/EM$4*EM$7)),IF(AND($F43=2,$G43=1),EU43,0)))))</f>
        <v>0</v>
      </c>
      <c r="EX43" s="57" t="str">
        <f t="shared" si="58"/>
        <v/>
      </c>
      <c r="EY43" s="57" t="str">
        <f t="shared" si="59"/>
        <v/>
      </c>
      <c r="EZ43" s="713">
        <f>'org. Düngung 22'!AR42</f>
        <v>0</v>
      </c>
      <c r="FA43" s="57"/>
      <c r="FB43" s="57"/>
      <c r="FC43" s="57">
        <f t="shared" si="60"/>
        <v>0</v>
      </c>
      <c r="FD43" s="57">
        <f t="shared" si="238"/>
        <v>0</v>
      </c>
      <c r="FE43" s="57">
        <f t="shared" si="239"/>
        <v>0</v>
      </c>
      <c r="FF43" s="57">
        <f t="shared" si="240"/>
        <v>0</v>
      </c>
      <c r="FG43" s="57">
        <f t="shared" si="241"/>
        <v>0</v>
      </c>
      <c r="FH43" s="1029">
        <f t="shared" si="61"/>
        <v>0</v>
      </c>
      <c r="FI43" s="57">
        <f t="shared" si="62"/>
        <v>0</v>
      </c>
      <c r="FJ43" s="171" t="str">
        <f t="shared" si="63"/>
        <v/>
      </c>
      <c r="FK43" s="57">
        <f t="shared" si="242"/>
        <v>0</v>
      </c>
      <c r="FL43" s="57">
        <f>IF(OR(AND(EZ$6=1,$L43=0),AND(EZ$6=2,$K43=2,$G43=1)),0,IF(AND(FB$9=2,(OR($F43&gt;1,$K43=1,AND($L43=80,OR($N43=1,AND($N43=2,'#BerechnungDBE'!$AL34&gt;0)))))),IF(EZ$4&gt;=$AD$126,0,FJ43),IF(FB$9=3,IF(OR(EZ$4&gt;=$AD$127,AND($G43=1,$J43=2,EZ$6=2),AND(EZ$6=1,$N43&lt;&gt;1)),0,IF(FD43&lt;=120,FJ43,IF(EZ$4&lt;$AD$124,IF($F43=1,60/FB$4*FB$6,60/FB$4*FB$7),IF($F43=1,120/FB$4*FB$6,120/FB$4*FB$7)))),IF(OR($F43=3,$G43=2),IF(OR(AND(EZ$4&gt;=$AD$119,$C43=2),AND(EZ$4&gt;=$AF$119,$C43=1)),0,IF(FD43&lt;=60,FJ43,60/FB$4*FB$7)),IF(AND($F43=2,$G43=1),FJ43,0)))))</f>
        <v>0</v>
      </c>
      <c r="FM43" s="57" t="str">
        <f t="shared" si="64"/>
        <v/>
      </c>
      <c r="FN43" s="57" t="str">
        <f t="shared" si="65"/>
        <v/>
      </c>
      <c r="FO43" s="713">
        <f>'org. Düngung 22'!AV42</f>
        <v>0</v>
      </c>
      <c r="FP43" s="57"/>
      <c r="FQ43" s="57"/>
      <c r="FR43" s="57">
        <f t="shared" si="66"/>
        <v>0</v>
      </c>
      <c r="FS43" s="57">
        <f t="shared" si="243"/>
        <v>0</v>
      </c>
      <c r="FT43" s="57">
        <f t="shared" si="244"/>
        <v>0</v>
      </c>
      <c r="FU43" s="57">
        <f t="shared" si="245"/>
        <v>0</v>
      </c>
      <c r="FV43" s="57">
        <f t="shared" si="246"/>
        <v>0</v>
      </c>
      <c r="FW43" s="1029">
        <f t="shared" si="67"/>
        <v>0</v>
      </c>
      <c r="FX43" s="57">
        <f t="shared" si="68"/>
        <v>0</v>
      </c>
      <c r="FY43" s="171" t="str">
        <f t="shared" si="69"/>
        <v/>
      </c>
      <c r="FZ43" s="57">
        <f t="shared" si="247"/>
        <v>0</v>
      </c>
      <c r="GA43" s="57">
        <f>IF(OR(AND(FO$6=1,$L43=0),AND(FO$6=2,$K43=2,$G43=1)),0,IF(AND(FQ$9=2,(OR($F43&gt;1,$K43=1,AND($L43=80,OR($N43=1,AND($N43=2,'#BerechnungDBE'!$AL34&gt;0)))))),IF(FO$4&gt;=$AD$126,0,FY43),IF(FQ$9=3,IF(OR(FO$4&gt;=$AD$127,AND($G43=1,$J43=2,FO$6=2),AND(FO$6=1,$N43&lt;&gt;1)),0,IF(FS43&lt;=120,FY43,IF(FO$4&lt;$AD$124,IF($F43=1,60/FQ$4*FQ$6,60/FQ$4*FQ$7),IF($F43=1,120/FQ$4*FQ$6,120/FQ$4*FQ$7)))),IF(OR($F43=3,$G43=2),IF(OR(AND(FO$4&gt;=$AD$119,$C43=2),AND(FO$4&gt;=$AF$119,$C43=1)),0,IF(FS43&lt;=60,FY43,60/FQ$4*FQ$7)),IF(AND($F43=2,$G43=1),FY43,0)))))</f>
        <v>0</v>
      </c>
      <c r="GB43" s="57" t="str">
        <f t="shared" si="70"/>
        <v/>
      </c>
      <c r="GC43" s="57" t="str">
        <f t="shared" si="71"/>
        <v/>
      </c>
      <c r="GD43" s="713">
        <f>'org. Düngung 22'!AZ42</f>
        <v>0</v>
      </c>
      <c r="GE43" s="57"/>
      <c r="GF43" s="57"/>
      <c r="GG43" s="57">
        <f t="shared" si="72"/>
        <v>0</v>
      </c>
      <c r="GH43" s="57">
        <f t="shared" si="248"/>
        <v>0</v>
      </c>
      <c r="GI43" s="57">
        <f t="shared" si="249"/>
        <v>0</v>
      </c>
      <c r="GJ43" s="57">
        <f t="shared" si="250"/>
        <v>0</v>
      </c>
      <c r="GK43" s="57">
        <f t="shared" si="251"/>
        <v>0</v>
      </c>
      <c r="GL43" s="1029">
        <f t="shared" si="73"/>
        <v>0</v>
      </c>
      <c r="GM43" s="57">
        <f t="shared" si="74"/>
        <v>0</v>
      </c>
      <c r="GN43" s="171" t="str">
        <f t="shared" si="75"/>
        <v/>
      </c>
      <c r="GO43" s="57">
        <f t="shared" si="252"/>
        <v>0</v>
      </c>
      <c r="GP43" s="57">
        <f>IF(OR(AND(GD$6=1,$L43=0),AND(GD$6=2,$K43=2,$G43=1)),0,IF(AND(GF$9=2,(OR($F43&gt;1,$K43=1,AND($L43=80,OR($N43=1,AND($N43=2,'#BerechnungDBE'!$AL34&gt;0)))))),IF(GD$4&gt;=$AD$126,0,GN43),IF(GF$9=3,IF(OR(GD$4&gt;=$AD$127,AND($G43=1,$J43=2,GD$6=2),AND(GD$6=1,$N43&lt;&gt;1)),0,IF(GH43&lt;=120,GN43,IF(GD$4&lt;$AD$124,IF($F43=1,60/GF$4*GF$6,60/GF$4*GF$7),IF($F43=1,120/GF$4*GF$6,120/GF$4*GF$7)))),IF(OR($F43=3,$G43=2),IF(OR(AND(GD$4&gt;=$AD$119,$C43=2),AND(GD$4&gt;=$AF$119,$C43=1)),0,IF(GH43&lt;=60,GN43,60/GF$4*GF$7)),IF(AND($F43=2,$G43=1),GN43,0)))))</f>
        <v>0</v>
      </c>
      <c r="GQ43" s="57" t="str">
        <f t="shared" si="76"/>
        <v/>
      </c>
      <c r="GR43" s="57" t="str">
        <f t="shared" si="77"/>
        <v/>
      </c>
      <c r="GS43" s="713">
        <f>'org. Düngung 22'!BD42</f>
        <v>0</v>
      </c>
      <c r="GT43" s="57"/>
      <c r="GU43" s="57"/>
      <c r="GV43" s="57">
        <f t="shared" si="78"/>
        <v>0</v>
      </c>
      <c r="GW43" s="57">
        <f t="shared" si="253"/>
        <v>0</v>
      </c>
      <c r="GX43" s="57">
        <f t="shared" si="254"/>
        <v>0</v>
      </c>
      <c r="GY43" s="57">
        <f t="shared" si="255"/>
        <v>0</v>
      </c>
      <c r="GZ43" s="57">
        <f t="shared" si="256"/>
        <v>0</v>
      </c>
      <c r="HA43" s="1029">
        <f t="shared" si="79"/>
        <v>0</v>
      </c>
      <c r="HB43" s="57">
        <f t="shared" si="80"/>
        <v>0</v>
      </c>
      <c r="HC43" s="171" t="str">
        <f t="shared" si="81"/>
        <v/>
      </c>
      <c r="HD43" s="57">
        <f t="shared" si="257"/>
        <v>0</v>
      </c>
      <c r="HE43" s="57">
        <f>IF(OR(AND(GS$6=1,$L43=0),AND(GS$6=2,$K43=2,$G43=1)),0,IF(AND(GU$9=2,(OR($F43&gt;1,$K43=1,AND($L43=80,OR($N43=1,AND($N43=2,'#BerechnungDBE'!$AL34&gt;0)))))),IF(GS$4&gt;=$AD$126,0,HC43),IF(GU$9=3,IF(OR(GS$4&gt;=$AD$127,AND($G43=1,$J43=2,GS$6=2),AND(GS$6=1,$N43&lt;&gt;1)),0,IF(GW43&lt;=120,HC43,IF(GS$4&lt;$AD$124,IF($F43=1,60/GU$4*GU$6,60/GU$4*GU$7),IF($F43=1,120/GU$4*GU$6,120/GU$4*GU$7)))),IF(OR($F43=3,$G43=2),IF(OR(AND(GS$4&gt;=$AD$119,$C43=2),AND(GS$4&gt;=$AF$119,$C43=1)),0,IF(GW43&lt;=60,HC43,60/GU$4*GU$7)),IF(AND($F43=2,$G43=1),HC43,0)))))</f>
        <v>0</v>
      </c>
      <c r="HF43" s="57" t="str">
        <f t="shared" si="82"/>
        <v/>
      </c>
      <c r="HG43" s="57" t="str">
        <f t="shared" si="83"/>
        <v/>
      </c>
      <c r="HH43" s="713">
        <f>'org. Düngung 22'!BH42</f>
        <v>0</v>
      </c>
      <c r="HI43" s="57"/>
      <c r="HJ43" s="57"/>
      <c r="HK43" s="57">
        <f t="shared" si="84"/>
        <v>0</v>
      </c>
      <c r="HL43" s="57">
        <f t="shared" si="258"/>
        <v>0</v>
      </c>
      <c r="HM43" s="57">
        <f t="shared" si="259"/>
        <v>0</v>
      </c>
      <c r="HN43" s="57">
        <f t="shared" si="260"/>
        <v>0</v>
      </c>
      <c r="HO43" s="57">
        <f t="shared" si="261"/>
        <v>0</v>
      </c>
      <c r="HP43" s="1029">
        <f t="shared" si="85"/>
        <v>0</v>
      </c>
      <c r="HQ43" s="57">
        <f t="shared" si="86"/>
        <v>0</v>
      </c>
      <c r="HR43" s="171" t="str">
        <f t="shared" si="87"/>
        <v/>
      </c>
      <c r="HS43" s="57">
        <f t="shared" si="262"/>
        <v>0</v>
      </c>
      <c r="HT43" s="57">
        <f>IF(OR(AND(HH$6=1,$L43=0),AND(HH$6=2,$K43=2,$G43=1)),0,IF(AND(HJ$9=2,(OR($F43&gt;1,$K43=1,AND($L43=80,OR($N43=1,AND($N43=2,'#BerechnungDBE'!$AL34&gt;0)))))),IF(HH$4&gt;=$AD$126,0,HR43),IF(HJ$9=3,IF(OR(HH$4&gt;=$AD$127,AND($G43=1,$J43=2,HH$6=2),AND(HH$6=1,$N43&lt;&gt;1)),0,IF(HL43&lt;=120,HR43,IF(HH$4&lt;$AD$124,IF($F43=1,60/HJ$4*HJ$6,60/HJ$4*HJ$7),IF($F43=1,120/HJ$4*HJ$6,120/HJ$4*HJ$7)))),IF(OR($F43=3,$G43=2),IF(OR(AND(HH$4&gt;=$AD$119,$C43=2),AND(HH$4&gt;=$AF$119,$C43=1)),0,IF(HL43&lt;=60,HR43,60/HJ$4*HJ$7)),IF(AND($F43=2,$G43=1),HR43,0)))))</f>
        <v>0</v>
      </c>
      <c r="HU43" s="57" t="str">
        <f t="shared" si="88"/>
        <v/>
      </c>
      <c r="HV43" s="57" t="str">
        <f t="shared" si="89"/>
        <v/>
      </c>
      <c r="HW43" s="713">
        <f>'org. Düngung 22'!BL42</f>
        <v>0</v>
      </c>
      <c r="HX43" s="57"/>
      <c r="HY43" s="57"/>
      <c r="HZ43" s="57">
        <f t="shared" si="90"/>
        <v>0</v>
      </c>
      <c r="IA43" s="57">
        <f t="shared" si="263"/>
        <v>0</v>
      </c>
      <c r="IB43" s="57">
        <f t="shared" si="264"/>
        <v>0</v>
      </c>
      <c r="IC43" s="57">
        <f t="shared" si="265"/>
        <v>0</v>
      </c>
      <c r="ID43" s="57">
        <f t="shared" si="266"/>
        <v>0</v>
      </c>
      <c r="IE43" s="1029">
        <f t="shared" si="91"/>
        <v>0</v>
      </c>
      <c r="IF43" s="57">
        <f t="shared" si="92"/>
        <v>0</v>
      </c>
      <c r="IG43" s="171" t="str">
        <f t="shared" si="93"/>
        <v/>
      </c>
      <c r="IH43" s="57">
        <f t="shared" si="267"/>
        <v>0</v>
      </c>
      <c r="II43" s="57">
        <f>IF(OR(AND(HW$6=1,$L43=0),AND(HW$6=2,$K43=2,$G43=1)),0,IF(AND(HY$9=2,(OR($F43&gt;1,$K43=1,AND($L43=80,OR($N43=1,AND($N43=2,'#BerechnungDBE'!$AL34&gt;0)))))),IF(HW$4&gt;=$AD$126,0,IG43),IF(HY$9=3,IF(OR(HW$4&gt;=$AD$127,AND($G43=1,$J43=2,HW$6=2),AND(HW$6=1,$N43&lt;&gt;1)),0,IF(IA43&lt;=120,IG43,IF(HW$4&lt;$AD$124,IF($F43=1,60/HY$4*HY$6,60/HY$4*HY$7),IF($F43=1,120/HY$4*HY$6,120/HY$4*HY$7)))),IF(OR($F43=3,$G43=2),IF(OR(AND(HW$4&gt;=$AD$119,$C43=2),AND(HW$4&gt;=$AF$119,$C43=1)),0,IF(IA43&lt;=60,IG43,60/HY$4*HY$7)),IF(AND($F43=2,$G43=1),IG43,0)))))</f>
        <v>0</v>
      </c>
      <c r="IJ43" s="57" t="str">
        <f t="shared" si="94"/>
        <v/>
      </c>
      <c r="IK43" s="57" t="str">
        <f t="shared" si="95"/>
        <v/>
      </c>
      <c r="IL43" s="713">
        <f>'org. Düngung 22'!BP42</f>
        <v>0</v>
      </c>
      <c r="IM43" s="57"/>
      <c r="IN43" s="57"/>
      <c r="IO43" s="57">
        <f t="shared" si="96"/>
        <v>0</v>
      </c>
      <c r="IP43" s="57">
        <f t="shared" si="268"/>
        <v>0</v>
      </c>
      <c r="IQ43" s="57">
        <f t="shared" si="269"/>
        <v>0</v>
      </c>
      <c r="IR43" s="57">
        <f t="shared" si="270"/>
        <v>0</v>
      </c>
      <c r="IS43" s="57">
        <f t="shared" si="271"/>
        <v>0</v>
      </c>
      <c r="IT43" s="1029">
        <f t="shared" si="97"/>
        <v>0</v>
      </c>
      <c r="IU43" s="57">
        <f t="shared" si="98"/>
        <v>0</v>
      </c>
      <c r="IV43" s="171" t="str">
        <f t="shared" si="99"/>
        <v/>
      </c>
      <c r="IW43" s="57">
        <f t="shared" si="272"/>
        <v>0</v>
      </c>
      <c r="IX43" s="57">
        <f>IF(OR(AND(IL$6=1,$L43=0),AND(IL$6=2,$K43=2,$G43=1)),0,IF(AND(IN$9=2,(OR($F43&gt;1,$K43=1,AND($L43=80,OR($N43=1,AND($N43=2,'#BerechnungDBE'!$AL34&gt;0)))))),IF(IL$4&gt;=$AD$126,0,IV43),IF(IN$9=3,IF(OR(IL$4&gt;=$AD$127,AND($G43=1,$J43=2,IL$6=2),AND(IL$6=1,$N43&lt;&gt;1)),0,IF(IP43&lt;=120,IV43,IF(IL$4&lt;$AD$124,IF($F43=1,60/IN$4*IN$6,60/IN$4*IN$7),IF($F43=1,120/IN$4*IN$6,120/IN$4*IN$7)))),IF(OR($F43=3,$G43=2),IF(OR(AND(IL$4&gt;=$AD$119,$C43=2),AND(IL$4&gt;=$AF$119,$C43=1)),0,IF(IP43&lt;=60,IV43,60/IN$4*IN$7)),IF(AND($F43=2,$G43=1),IV43,0)))))</f>
        <v>0</v>
      </c>
      <c r="IY43" s="57" t="str">
        <f t="shared" si="100"/>
        <v/>
      </c>
      <c r="IZ43" s="57" t="str">
        <f t="shared" si="101"/>
        <v/>
      </c>
      <c r="JA43" s="713">
        <f>'org. Düngung 22'!BT42</f>
        <v>0</v>
      </c>
      <c r="JB43" s="57"/>
      <c r="JC43" s="57"/>
      <c r="JD43" s="57">
        <f t="shared" si="102"/>
        <v>0</v>
      </c>
      <c r="JE43" s="57">
        <f t="shared" si="273"/>
        <v>0</v>
      </c>
      <c r="JF43" s="57">
        <f t="shared" si="274"/>
        <v>0</v>
      </c>
      <c r="JG43" s="57">
        <f t="shared" si="275"/>
        <v>0</v>
      </c>
      <c r="JH43" s="57">
        <f t="shared" si="276"/>
        <v>0</v>
      </c>
      <c r="JI43" s="1029">
        <f t="shared" si="103"/>
        <v>0</v>
      </c>
      <c r="JJ43" s="57">
        <f t="shared" si="104"/>
        <v>0</v>
      </c>
      <c r="JK43" s="171" t="str">
        <f t="shared" si="105"/>
        <v/>
      </c>
      <c r="JL43" s="57">
        <f t="shared" si="277"/>
        <v>0</v>
      </c>
      <c r="JM43" s="57">
        <f>IF(OR(AND(JA$6=1,$L43=0),AND(JA$6=2,$K43=2,$G43=1)),0,IF(AND(JC$9=2,(OR($F43&gt;1,$K43=1,AND($L43=80,OR($N43=1,AND($N43=2,'#BerechnungDBE'!$AL34&gt;0)))))),IF(JA$4&gt;=$AD$126,0,JK43),IF(JC$9=3,IF(OR(JA$4&gt;=$AD$127,AND($G43=1,$J43=2,JA$6=2),AND(JA$6=1,$N43&lt;&gt;1)),0,IF(JE43&lt;=120,JK43,IF(JA$4&lt;$AD$124,IF($F43=1,60/JC$4*JC$6,60/JC$4*JC$7),IF($F43=1,120/JC$4*JC$6,120/JC$4*JC$7)))),IF(OR($F43=3,$G43=2),IF(OR(AND(JA$4&gt;=$AD$119,$C43=2),AND(JA$4&gt;=$AF$119,$C43=1)),0,IF(JE43&lt;=60,JK43,60/JC$4*JC$7)),IF(AND($F43=2,$G43=1),JK43,0)))))</f>
        <v>0</v>
      </c>
      <c r="JN43" s="57" t="str">
        <f t="shared" si="106"/>
        <v/>
      </c>
      <c r="JO43" s="57" t="str">
        <f t="shared" si="107"/>
        <v/>
      </c>
      <c r="JP43" s="713">
        <f>'org. Düngung 22'!BX42</f>
        <v>0</v>
      </c>
      <c r="JQ43" s="57"/>
      <c r="JR43" s="57"/>
      <c r="JS43" s="57">
        <f t="shared" si="108"/>
        <v>0</v>
      </c>
      <c r="JT43" s="57">
        <f t="shared" si="278"/>
        <v>0</v>
      </c>
      <c r="JU43" s="57">
        <f t="shared" si="279"/>
        <v>0</v>
      </c>
      <c r="JV43" s="57">
        <f t="shared" si="280"/>
        <v>0</v>
      </c>
      <c r="JW43" s="57">
        <f t="shared" si="281"/>
        <v>0</v>
      </c>
      <c r="JX43" s="1029">
        <f t="shared" si="109"/>
        <v>0</v>
      </c>
      <c r="JY43" s="57">
        <f t="shared" si="110"/>
        <v>0</v>
      </c>
      <c r="JZ43" s="171" t="str">
        <f t="shared" si="111"/>
        <v/>
      </c>
      <c r="KA43" s="57">
        <f t="shared" si="282"/>
        <v>0</v>
      </c>
      <c r="KB43" s="57">
        <f>IF(OR(AND(JP$6=1,$L43=0),AND(JP$6=2,$K43=2,$G43=1)),0,IF(AND(JR$9=2,(OR($F43&gt;1,$K43=1,AND($L43=80,OR($N43=1,AND($N43=2,'#BerechnungDBE'!$AL34&gt;0)))))),IF(JP$4&gt;=$AD$126,0,JZ43),IF(JR$9=3,IF(OR(JP$4&gt;=$AD$127,AND($G43=1,$J43=2,JP$6=2),AND(JP$6=1,$N43&lt;&gt;1)),0,IF(JT43&lt;=120,JZ43,IF(JP$4&lt;$AD$124,IF($F43=1,60/JR$4*JR$6,60/JR$4*JR$7),IF($F43=1,120/JR$4*JR$6,120/JR$4*JR$7)))),IF(OR($F43=3,$G43=2),IF(OR(AND(JP$4&gt;=$AD$119,$C43=2),AND(JP$4&gt;=$AF$119,$C43=1)),0,IF(JT43&lt;=60,JZ43,60/JR$4*JR$7)),IF(AND($F43=2,$G43=1),JZ43,0)))))</f>
        <v>0</v>
      </c>
      <c r="KC43" s="57" t="str">
        <f t="shared" si="112"/>
        <v/>
      </c>
      <c r="KD43" s="57" t="str">
        <f t="shared" si="113"/>
        <v/>
      </c>
      <c r="KE43" s="713">
        <f>'org. Düngung 22'!CB42</f>
        <v>0</v>
      </c>
      <c r="KF43" s="57"/>
      <c r="KG43" s="57"/>
      <c r="KH43" s="57">
        <f t="shared" si="114"/>
        <v>0</v>
      </c>
      <c r="KI43" s="57">
        <f t="shared" si="283"/>
        <v>0</v>
      </c>
      <c r="KJ43" s="57">
        <f t="shared" si="284"/>
        <v>0</v>
      </c>
      <c r="KK43" s="57">
        <f t="shared" si="285"/>
        <v>0</v>
      </c>
      <c r="KL43" s="57">
        <f t="shared" si="286"/>
        <v>0</v>
      </c>
      <c r="KM43" s="1029">
        <f t="shared" si="115"/>
        <v>0</v>
      </c>
      <c r="KN43" s="57">
        <f t="shared" si="116"/>
        <v>0</v>
      </c>
      <c r="KO43" s="171" t="str">
        <f t="shared" si="117"/>
        <v/>
      </c>
      <c r="KP43" s="57">
        <f t="shared" si="287"/>
        <v>0</v>
      </c>
      <c r="KQ43" s="57">
        <f>IF(OR(AND(KE$6=1,$L43=0),AND(KE$6=2,$K43=2,$G43=1)),0,IF(AND(KG$9=2,(OR($F43&gt;1,$K43=1,AND($L43=80,OR($N43=1,AND($N43=2,'#BerechnungDBE'!$AL34&gt;0)))))),IF(KE$4&gt;=$AD$126,0,KO43),IF(KG$9=3,IF(OR(KE$4&gt;=$AD$127,AND($G43=1,$J43=2,KE$6=2),AND(KE$6=1,$N43&lt;&gt;1)),0,IF(KI43&lt;=120,KO43,IF(KE$4&lt;$AD$124,IF($F43=1,60/KG$4*KG$6,60/KG$4*KG$7),IF($F43=1,120/KG$4*KG$6,120/KG$4*KG$7)))),IF(OR($F43=3,$G43=2),IF(OR(AND(KE$4&gt;=$AD$119,$C43=2),AND(KE$4&gt;=$AF$119,$C43=1)),0,IF(KI43&lt;=60,KO43,60/KG$4*KG$7)),IF(AND($F43=2,$G43=1),KO43,0)))))</f>
        <v>0</v>
      </c>
      <c r="KR43" s="57" t="str">
        <f t="shared" si="118"/>
        <v/>
      </c>
      <c r="KS43" s="57" t="str">
        <f t="shared" si="119"/>
        <v/>
      </c>
      <c r="KT43" s="713">
        <f>'org. Düngung 22'!CF42</f>
        <v>0</v>
      </c>
      <c r="KU43" s="57"/>
      <c r="KV43" s="57"/>
      <c r="KW43" s="57">
        <f t="shared" si="120"/>
        <v>0</v>
      </c>
      <c r="KX43" s="57">
        <f t="shared" si="288"/>
        <v>0</v>
      </c>
      <c r="KY43" s="57">
        <f t="shared" si="289"/>
        <v>0</v>
      </c>
      <c r="KZ43" s="57">
        <f t="shared" si="290"/>
        <v>0</v>
      </c>
      <c r="LA43" s="57">
        <f t="shared" si="291"/>
        <v>0</v>
      </c>
      <c r="LB43" s="1029">
        <f t="shared" si="121"/>
        <v>0</v>
      </c>
      <c r="LC43" s="57">
        <f t="shared" si="122"/>
        <v>0</v>
      </c>
      <c r="LD43" s="171" t="str">
        <f t="shared" si="123"/>
        <v/>
      </c>
      <c r="LE43" s="57">
        <f t="shared" si="292"/>
        <v>0</v>
      </c>
      <c r="LF43" s="57">
        <f>IF(OR(AND(KT$6=1,$L43=0),AND(KT$6=2,$K43=2,$G43=1)),0,IF(AND(KV$9=2,(OR($F43&gt;1,$K43=1,AND($L43=80,OR($N43=1,AND($N43=2,'#BerechnungDBE'!$AL34&gt;0)))))),IF(KT$4&gt;=$AD$126,0,LD43),IF(KV$9=3,IF(OR(KT$4&gt;=$AD$127,AND($G43=1,$J43=2,KT$6=2),AND(KT$6=1,$N43&lt;&gt;1)),0,IF(KX43&lt;=120,LD43,IF(KT$4&lt;$AD$124,IF($F43=1,60/KV$4*KV$6,60/KV$4*KV$7),IF($F43=1,120/KV$4*KV$6,120/KV$4*KV$7)))),IF(OR($F43=3,$G43=2),IF(OR(AND(KT$4&gt;=$AD$119,$C43=2),AND(KT$4&gt;=$AF$119,$C43=1)),0,IF(KX43&lt;=60,LD43,60/KV$4*KV$7)),IF(AND($F43=2,$G43=1),LD43,0)))))</f>
        <v>0</v>
      </c>
      <c r="LG43" s="57" t="str">
        <f t="shared" si="124"/>
        <v/>
      </c>
      <c r="LH43" s="57" t="str">
        <f t="shared" si="125"/>
        <v/>
      </c>
      <c r="LI43" s="713">
        <f>'org. Düngung 22'!CJ42</f>
        <v>0</v>
      </c>
      <c r="LJ43" s="57"/>
      <c r="LK43" s="57"/>
      <c r="LL43" s="57">
        <f t="shared" si="126"/>
        <v>0</v>
      </c>
      <c r="LM43" s="57">
        <f t="shared" si="293"/>
        <v>0</v>
      </c>
      <c r="LN43" s="57">
        <f t="shared" si="294"/>
        <v>0</v>
      </c>
      <c r="LO43" s="57">
        <f t="shared" si="295"/>
        <v>0</v>
      </c>
      <c r="LP43" s="57">
        <f t="shared" si="296"/>
        <v>0</v>
      </c>
      <c r="LQ43" s="1029">
        <f t="shared" si="127"/>
        <v>0</v>
      </c>
      <c r="LR43" s="57">
        <f t="shared" si="128"/>
        <v>0</v>
      </c>
      <c r="LS43" s="171" t="str">
        <f t="shared" si="129"/>
        <v/>
      </c>
      <c r="LT43" s="57">
        <f t="shared" si="297"/>
        <v>0</v>
      </c>
      <c r="LU43" s="57">
        <f>IF(OR(AND(LI$6=1,$L43=0),AND(LI$6=2,$K43=2,$G43=1)),0,IF(AND(LK$9=2,(OR($F43&gt;1,$K43=1,AND($L43=80,OR($N43=1,AND($N43=2,'#BerechnungDBE'!$AL34&gt;0)))))),IF(LI$4&gt;=$AD$126,0,LS43),IF(LK$9=3,IF(OR(LI$4&gt;=$AD$127,AND($G43=1,$J43=2,LI$6=2),AND(LI$6=1,$N43&lt;&gt;1)),0,IF(LM43&lt;=120,LS43,IF(LI$4&lt;$AD$124,IF($F43=1,60/LK$4*LK$6,60/LK$4*LK$7),IF($F43=1,120/LK$4*LK$6,120/LK$4*LK$7)))),IF(OR($F43=3,$G43=2),IF(OR(AND(LI$4&gt;=$AD$119,$C43=2),AND(LI$4&gt;=$AF$119,$C43=1)),0,IF(LM43&lt;=60,LS43,60/LK$4*LK$7)),IF(AND($F43=2,$G43=1),LS43,0)))))</f>
        <v>0</v>
      </c>
      <c r="LV43" s="57" t="str">
        <f t="shared" si="130"/>
        <v/>
      </c>
      <c r="LW43" s="57" t="str">
        <f t="shared" si="131"/>
        <v/>
      </c>
      <c r="LX43" s="713">
        <f>'org. Düngung 22'!CN42</f>
        <v>0</v>
      </c>
      <c r="LY43" s="57"/>
      <c r="LZ43" s="57"/>
      <c r="MA43" s="57">
        <f t="shared" si="132"/>
        <v>0</v>
      </c>
      <c r="MB43" s="57">
        <f t="shared" si="298"/>
        <v>0</v>
      </c>
      <c r="MC43" s="57">
        <f t="shared" si="299"/>
        <v>0</v>
      </c>
      <c r="MD43" s="57">
        <f t="shared" si="300"/>
        <v>0</v>
      </c>
      <c r="ME43" s="57">
        <f t="shared" si="301"/>
        <v>0</v>
      </c>
      <c r="MF43" s="1029">
        <f t="shared" si="133"/>
        <v>0</v>
      </c>
      <c r="MG43" s="57">
        <f t="shared" si="134"/>
        <v>0</v>
      </c>
      <c r="MH43" s="171" t="str">
        <f t="shared" si="135"/>
        <v/>
      </c>
      <c r="MI43" s="57">
        <f t="shared" si="302"/>
        <v>0</v>
      </c>
      <c r="MJ43" s="57">
        <f>IF(OR(AND(LX$6=1,$L43=0),AND(LX$6=2,$K43=2,$G43=1)),0,IF(AND(LZ$9=2,(OR($F43&gt;1,$K43=1,AND($L43=80,OR($N43=1,AND($N43=2,'#BerechnungDBE'!$AL34&gt;0)))))),IF(LX$4&gt;=$AD$126,0,MH43),IF(LZ$9=3,IF(OR(LX$4&gt;=$AD$127,AND($G43=1,$J43=2,LX$6=2),AND(LX$6=1,$N43&lt;&gt;1)),0,IF(MB43&lt;=120,MH43,IF(LX$4&lt;$AD$124,IF($F43=1,60/LZ$4*LZ$6,60/LZ$4*LZ$7),IF($F43=1,120/LZ$4*LZ$6,120/LZ$4*LZ$7)))),IF(OR($F43=3,$G43=2),IF(OR(AND(LX$4&gt;=$AD$119,$C43=2),AND(LX$4&gt;=$AF$119,$C43=1)),0,IF(MB43&lt;=60,MH43,60/LZ$4*LZ$7)),IF(AND($F43=2,$G43=1),MH43,0)))))</f>
        <v>0</v>
      </c>
      <c r="MK43" s="57" t="str">
        <f t="shared" si="136"/>
        <v/>
      </c>
      <c r="ML43" s="57" t="str">
        <f t="shared" si="137"/>
        <v/>
      </c>
      <c r="MM43" s="713">
        <f>'org. Düngung 22'!CR42</f>
        <v>0</v>
      </c>
      <c r="MN43" s="57"/>
      <c r="MO43" s="57"/>
      <c r="MP43" s="57">
        <f t="shared" si="138"/>
        <v>0</v>
      </c>
      <c r="MQ43" s="57">
        <f t="shared" si="303"/>
        <v>0</v>
      </c>
      <c r="MR43" s="57">
        <f t="shared" si="304"/>
        <v>0</v>
      </c>
      <c r="MS43" s="57">
        <f t="shared" si="305"/>
        <v>0</v>
      </c>
      <c r="MT43" s="57">
        <f t="shared" si="306"/>
        <v>0</v>
      </c>
      <c r="MU43" s="1029">
        <f t="shared" si="139"/>
        <v>0</v>
      </c>
      <c r="MV43" s="57">
        <f t="shared" si="140"/>
        <v>0</v>
      </c>
      <c r="MW43" s="171" t="str">
        <f t="shared" si="141"/>
        <v/>
      </c>
      <c r="MX43" s="57">
        <f t="shared" si="307"/>
        <v>0</v>
      </c>
      <c r="MY43" s="57">
        <f>IF(OR(AND(MM$6=1,$L43=0),AND(MM$6=2,$K43=2,$G43=1)),0,IF(AND(MO$9=2,(OR($F43&gt;1,$K43=1,AND($L43=80,OR($N43=1,AND($N43=2,'#BerechnungDBE'!$AL34&gt;0)))))),IF(MM$4&gt;=$AD$126,0,MW43),IF(MO$9=3,IF(OR(MM$4&gt;=$AD$127,AND($G43=1,$J43=2,MM$6=2),AND(MM$6=1,$N43&lt;&gt;1)),0,IF(MQ43&lt;=120,MW43,IF(MM$4&lt;$AD$124,IF($F43=1,60/MO$4*MO$6,60/MO$4*MO$7),IF($F43=1,120/MO$4*MO$6,120/MO$4*MO$7)))),IF(OR($F43=3,$G43=2),IF(OR(AND(MM$4&gt;=$AD$119,$C43=2),AND(MM$4&gt;=$AF$119,$C43=1)),0,IF(MQ43&lt;=60,MW43,60/MO$4*MO$7)),IF(AND($F43=2,$G43=1),MW43,0)))))</f>
        <v>0</v>
      </c>
      <c r="MZ43" s="57" t="str">
        <f t="shared" si="142"/>
        <v/>
      </c>
      <c r="NA43" s="57" t="str">
        <f t="shared" si="143"/>
        <v/>
      </c>
      <c r="NB43" s="713">
        <f>'org. Düngung 22'!CV42</f>
        <v>0</v>
      </c>
      <c r="NC43" s="57"/>
      <c r="ND43" s="57"/>
      <c r="NE43" s="57">
        <f t="shared" si="144"/>
        <v>0</v>
      </c>
      <c r="NF43" s="57">
        <f t="shared" si="308"/>
        <v>0</v>
      </c>
      <c r="NG43" s="57">
        <f t="shared" si="309"/>
        <v>0</v>
      </c>
      <c r="NH43" s="57">
        <f t="shared" si="310"/>
        <v>0</v>
      </c>
      <c r="NI43" s="57">
        <f t="shared" si="311"/>
        <v>0</v>
      </c>
      <c r="NJ43" s="1029">
        <f t="shared" si="145"/>
        <v>0</v>
      </c>
      <c r="NK43" s="57">
        <f t="shared" si="146"/>
        <v>0</v>
      </c>
      <c r="NL43" s="171" t="str">
        <f t="shared" si="147"/>
        <v/>
      </c>
      <c r="NM43" s="57">
        <f t="shared" si="312"/>
        <v>0</v>
      </c>
      <c r="NN43" s="57">
        <f>IF(OR(AND(NB$6=1,$L43=0),AND(NB$6=2,$K43=2,$G43=1)),0,IF(AND(ND$9=2,(OR($F43&gt;1,$K43=1,AND($L43=80,OR($N43=1,AND($N43=2,'#BerechnungDBE'!$AL34&gt;0)))))),IF(NB$4&gt;=$AD$126,0,NL43),IF(ND$9=3,IF(OR(NB$4&gt;=$AD$127,AND($G43=1,$J43=2,NB$6=2),AND(NB$6=1,$N43&lt;&gt;1)),0,IF(NF43&lt;=120,NL43,IF(NB$4&lt;$AD$124,IF($F43=1,60/ND$4*ND$6,60/ND$4*ND$7),IF($F43=1,120/ND$4*ND$6,120/ND$4*ND$7)))),IF(OR($F43=3,$G43=2),IF(OR(AND(NB$4&gt;=$AD$119,$C43=2),AND(NB$4&gt;=$AF$119,$C43=1)),0,IF(NF43&lt;=60,NL43,60/ND$4*ND$7)),IF(AND($F43=2,$G43=1),NL43,0)))))</f>
        <v>0</v>
      </c>
      <c r="NO43" s="57" t="str">
        <f t="shared" si="148"/>
        <v/>
      </c>
      <c r="NP43" s="57" t="str">
        <f t="shared" si="149"/>
        <v/>
      </c>
      <c r="NQ43" s="713">
        <f>'org. Düngung 22'!CZ42</f>
        <v>0</v>
      </c>
      <c r="NR43" s="57"/>
      <c r="NS43" s="57"/>
      <c r="NT43" s="57">
        <f t="shared" si="150"/>
        <v>0</v>
      </c>
      <c r="NU43" s="57">
        <f t="shared" si="313"/>
        <v>0</v>
      </c>
      <c r="NV43" s="57">
        <f t="shared" si="314"/>
        <v>0</v>
      </c>
      <c r="NW43" s="57">
        <f t="shared" si="315"/>
        <v>0</v>
      </c>
      <c r="NX43" s="57">
        <f t="shared" si="316"/>
        <v>0</v>
      </c>
      <c r="NY43" s="1029">
        <f t="shared" si="151"/>
        <v>0</v>
      </c>
      <c r="NZ43" s="57">
        <f t="shared" si="152"/>
        <v>0</v>
      </c>
      <c r="OA43" s="171" t="str">
        <f t="shared" si="153"/>
        <v/>
      </c>
      <c r="OB43" s="57">
        <f t="shared" si="317"/>
        <v>0</v>
      </c>
      <c r="OC43" s="57">
        <f>IF(OR(AND(NQ$6=1,$L43=0),AND(NQ$6=2,$K43=2,$G43=1)),0,IF(AND(NS$9=2,(OR($F43&gt;1,$K43=1,AND($L43=80,OR($N43=1,AND($N43=2,'#BerechnungDBE'!$AL34&gt;0)))))),IF(NQ$4&gt;=$AD$126,0,OA43),IF(NS$9=3,IF(OR(NQ$4&gt;=$AD$127,AND($G43=1,$J43=2,NQ$6=2),AND(NQ$6=1,$N43&lt;&gt;1)),0,IF(NU43&lt;=120,OA43,IF(NQ$4&lt;$AD$124,IF($F43=1,60/NS$4*NS$6,60/NS$4*NS$7),IF($F43=1,120/NS$4*NS$6,120/NS$4*NS$7)))),IF(OR($F43=3,$G43=2),IF(OR(AND(NQ$4&gt;=$AD$119,$C43=2),AND(NQ$4&gt;=$AF$119,$C43=1)),0,IF(NU43&lt;=60,OA43,60/NS$4*NS$7)),IF(AND($F43=2,$G43=1),OA43,0)))))</f>
        <v>0</v>
      </c>
      <c r="OD43" s="57" t="str">
        <f t="shared" si="154"/>
        <v/>
      </c>
      <c r="OE43" s="57" t="str">
        <f t="shared" si="155"/>
        <v/>
      </c>
      <c r="OF43" s="713">
        <f>'org. Düngung 22'!DD42</f>
        <v>0</v>
      </c>
      <c r="OG43" s="57"/>
      <c r="OH43" s="57"/>
      <c r="OI43" s="57">
        <f t="shared" si="156"/>
        <v>0</v>
      </c>
      <c r="OJ43" s="57">
        <f t="shared" si="318"/>
        <v>0</v>
      </c>
      <c r="OK43" s="57">
        <f t="shared" si="319"/>
        <v>0</v>
      </c>
      <c r="OL43" s="57">
        <f t="shared" si="320"/>
        <v>0</v>
      </c>
      <c r="OM43" s="57">
        <f t="shared" si="321"/>
        <v>0</v>
      </c>
      <c r="ON43" s="1029">
        <f t="shared" si="157"/>
        <v>0</v>
      </c>
      <c r="OO43" s="57">
        <f t="shared" si="158"/>
        <v>0</v>
      </c>
      <c r="OP43" s="171" t="str">
        <f t="shared" si="159"/>
        <v/>
      </c>
      <c r="OQ43" s="57">
        <f t="shared" si="322"/>
        <v>0</v>
      </c>
      <c r="OR43" s="57">
        <f>IF(OR(AND(OF$6=1,$L43=0),AND(OF$6=2,$K43=2,$G43=1)),0,IF(AND(OH$9=2,(OR($F43&gt;1,$K43=1,AND($L43=80,OR($N43=1,AND($N43=2,'#BerechnungDBE'!$AL34&gt;0)))))),IF(OF$4&gt;=$AD$126,0,OP43),IF(OH$9=3,IF(OR(OF$4&gt;=$AD$127,AND($G43=1,$J43=2,OF$6=2),AND(OF$6=1,$N43&lt;&gt;1)),0,IF(OJ43&lt;=120,OP43,IF(OF$4&lt;$AD$124,IF($F43=1,60/OH$4*OH$6,60/OH$4*OH$7),IF($F43=1,120/OH$4*OH$6,120/OH$4*OH$7)))),IF(OR($F43=3,$G43=2),IF(OR(AND(OF$4&gt;=$AD$119,$C43=2),AND(OF$4&gt;=$AF$119,$C43=1)),0,IF(OJ43&lt;=60,OP43,60/OH$4*OH$7)),IF(AND($F43=2,$G43=1),OP43,0)))))</f>
        <v>0</v>
      </c>
      <c r="OS43" s="57" t="str">
        <f t="shared" si="160"/>
        <v/>
      </c>
      <c r="OT43" s="57" t="str">
        <f t="shared" si="161"/>
        <v/>
      </c>
      <c r="OU43" s="713">
        <f>'org. Düngung 22'!DH42</f>
        <v>0</v>
      </c>
      <c r="OV43" s="57"/>
      <c r="OW43" s="57"/>
      <c r="OX43" s="57">
        <f t="shared" si="162"/>
        <v>0</v>
      </c>
      <c r="OY43" s="57">
        <f t="shared" si="323"/>
        <v>0</v>
      </c>
      <c r="OZ43" s="57">
        <f t="shared" si="324"/>
        <v>0</v>
      </c>
      <c r="PA43" s="57">
        <f t="shared" si="325"/>
        <v>0</v>
      </c>
      <c r="PB43" s="57">
        <f t="shared" si="326"/>
        <v>0</v>
      </c>
      <c r="PC43" s="1029">
        <f t="shared" si="163"/>
        <v>0</v>
      </c>
      <c r="PD43" s="57">
        <f t="shared" si="164"/>
        <v>0</v>
      </c>
      <c r="PE43" s="171" t="str">
        <f t="shared" si="165"/>
        <v/>
      </c>
      <c r="PF43" s="57">
        <f t="shared" si="327"/>
        <v>0</v>
      </c>
      <c r="PG43" s="57">
        <f>IF(OR(AND(OU$6=1,$L43=0),AND(OU$6=2,$K43=2,$G43=1)),0,IF(AND(OW$9=2,(OR($F43&gt;1,$K43=1,AND($L43=80,OR($N43=1,AND($N43=2,'#BerechnungDBE'!$AL34&gt;0)))))),IF(OU$4&gt;=$AD$126,0,PE43),IF(OW$9=3,IF(OR(OU$4&gt;=$AD$127,AND($G43=1,$J43=2,OU$6=2),AND(OU$6=1,$N43&lt;&gt;1)),0,IF(OY43&lt;=120,PE43,IF(OU$4&lt;$AD$124,IF($F43=1,60/OW$4*OW$6,60/OW$4*OW$7),IF($F43=1,120/OW$4*OW$6,120/OW$4*OW$7)))),IF(OR($F43=3,$G43=2),IF(OR(AND(OU$4&gt;=$AD$119,$C43=2),AND(OU$4&gt;=$AF$119,$C43=1)),0,IF(OY43&lt;=60,PE43,60/OW$4*OW$7)),IF(AND($F43=2,$G43=1),PE43,0)))))</f>
        <v>0</v>
      </c>
      <c r="PH43" s="57" t="str">
        <f t="shared" si="166"/>
        <v/>
      </c>
      <c r="PI43" s="57" t="str">
        <f t="shared" si="167"/>
        <v/>
      </c>
      <c r="PJ43" s="713">
        <f>'org. Düngung 22'!DL42</f>
        <v>0</v>
      </c>
      <c r="PK43" s="57"/>
      <c r="PL43" s="57"/>
      <c r="PM43" s="57">
        <f t="shared" si="168"/>
        <v>0</v>
      </c>
      <c r="PN43" s="57">
        <f t="shared" si="328"/>
        <v>0</v>
      </c>
      <c r="PO43" s="57">
        <f t="shared" si="329"/>
        <v>0</v>
      </c>
      <c r="PP43" s="57">
        <f t="shared" si="330"/>
        <v>0</v>
      </c>
      <c r="PQ43" s="57">
        <f t="shared" si="331"/>
        <v>0</v>
      </c>
      <c r="PR43" s="1029">
        <f t="shared" si="169"/>
        <v>0</v>
      </c>
      <c r="PS43" s="57">
        <f t="shared" si="170"/>
        <v>0</v>
      </c>
      <c r="PT43" s="171" t="str">
        <f t="shared" si="171"/>
        <v/>
      </c>
      <c r="PU43" s="57">
        <f t="shared" si="332"/>
        <v>0</v>
      </c>
      <c r="PV43" s="57">
        <f>IF(OR(AND(PJ$6=1,$L43=0),AND(PJ$6=2,$K43=2,$G43=1)),0,IF(AND(PL$9=2,(OR($F43&gt;1,$K43=1,AND($L43=80,OR($N43=1,AND($N43=2,'#BerechnungDBE'!$AL34&gt;0)))))),IF(PJ$4&gt;=$AD$126,0,PT43),IF(PL$9=3,IF(OR(PJ$4&gt;=$AD$127,AND($G43=1,$J43=2,PJ$6=2),AND(PJ$6=1,$N43&lt;&gt;1)),0,IF(PN43&lt;=120,PT43,IF(PJ$4&lt;$AD$124,IF($F43=1,60/PL$4*PL$6,60/PL$4*PL$7),IF($F43=1,120/PL$4*PL$6,120/PL$4*PL$7)))),IF(OR($F43=3,$G43=2),IF(OR(AND(PJ$4&gt;=$AD$119,$C43=2),AND(PJ$4&gt;=$AF$119,$C43=1)),0,IF(PN43&lt;=60,PT43,60/PL$4*PL$7)),IF(AND($F43=2,$G43=1),PT43,0)))))</f>
        <v>0</v>
      </c>
      <c r="PW43" s="57" t="str">
        <f t="shared" si="172"/>
        <v/>
      </c>
      <c r="PX43" s="57" t="str">
        <f t="shared" si="173"/>
        <v/>
      </c>
      <c r="PY43" s="713">
        <f>'org. Düngung 22'!DP42</f>
        <v>0</v>
      </c>
      <c r="PZ43" s="57"/>
      <c r="QA43" s="57"/>
      <c r="QB43" s="57">
        <f t="shared" si="174"/>
        <v>0</v>
      </c>
      <c r="QC43" s="57">
        <f t="shared" si="333"/>
        <v>0</v>
      </c>
      <c r="QD43" s="57">
        <f t="shared" si="334"/>
        <v>0</v>
      </c>
      <c r="QE43" s="57">
        <f t="shared" si="335"/>
        <v>0</v>
      </c>
      <c r="QF43" s="57">
        <f t="shared" si="336"/>
        <v>0</v>
      </c>
      <c r="QG43" s="1029">
        <f t="shared" si="175"/>
        <v>0</v>
      </c>
      <c r="QH43" s="57">
        <f t="shared" si="176"/>
        <v>0</v>
      </c>
      <c r="QI43" s="171" t="str">
        <f t="shared" si="177"/>
        <v/>
      </c>
      <c r="QJ43" s="57">
        <f t="shared" si="337"/>
        <v>0</v>
      </c>
      <c r="QK43" s="57">
        <f>IF(OR(AND(PY$6=1,$L43=0),AND(PY$6=2,$K43=2,$G43=1)),0,IF(AND(QA$9=2,(OR($F43&gt;1,$K43=1,AND($L43=80,OR($N43=1,AND($N43=2,'#BerechnungDBE'!$AL34&gt;0)))))),IF(PY$4&gt;=$AD$126,0,QI43),IF(QA$9=3,IF(OR(PY$4&gt;=$AD$127,AND($G43=1,$J43=2,PY$6=2),AND(PY$6=1,$N43&lt;&gt;1)),0,IF(QC43&lt;=120,QI43,IF(PY$4&lt;$AD$124,IF($F43=1,60/QA$4*QA$6,60/QA$4*QA$7),IF($F43=1,120/QA$4*QA$6,120/QA$4*QA$7)))),IF(OR($F43=3,$G43=2),IF(OR(AND(PY$4&gt;=$AD$119,$C43=2),AND(PY$4&gt;=$AF$119,$C43=1)),0,IF(QC43&lt;=60,QI43,60/QA$4*QA$7)),IF(AND($F43=2,$G43=1),QI43,0)))))</f>
        <v>0</v>
      </c>
      <c r="QL43" s="57" t="str">
        <f t="shared" si="178"/>
        <v/>
      </c>
      <c r="QM43" s="57" t="str">
        <f t="shared" si="179"/>
        <v/>
      </c>
      <c r="QN43" s="713">
        <f>'org. Düngung 22'!DT42</f>
        <v>0</v>
      </c>
      <c r="QO43" s="57"/>
      <c r="QP43" s="57"/>
      <c r="QQ43" s="57">
        <f t="shared" si="180"/>
        <v>0</v>
      </c>
      <c r="QR43" s="57">
        <f t="shared" si="338"/>
        <v>0</v>
      </c>
      <c r="QS43" s="57">
        <f t="shared" si="339"/>
        <v>0</v>
      </c>
      <c r="QT43" s="57">
        <f t="shared" si="340"/>
        <v>0</v>
      </c>
      <c r="QU43" s="57">
        <f t="shared" si="341"/>
        <v>0</v>
      </c>
      <c r="QV43" s="1029">
        <f t="shared" si="181"/>
        <v>0</v>
      </c>
      <c r="QW43" s="57">
        <f t="shared" si="182"/>
        <v>0</v>
      </c>
      <c r="QX43" s="171" t="str">
        <f t="shared" si="183"/>
        <v/>
      </c>
      <c r="QY43" s="57">
        <f t="shared" si="342"/>
        <v>0</v>
      </c>
      <c r="QZ43" s="57">
        <f>IF(OR(AND(QN$6=1,$L43=0),AND(QN$6=2,$K43=2,$G43=1)),0,IF(AND(QP$9=2,(OR($F43&gt;1,$K43=1,AND($L43=80,OR($N43=1,AND($N43=2,'#BerechnungDBE'!$AL34&gt;0)))))),IF(QN$4&gt;=$AD$126,0,QX43),IF(QP$9=3,IF(OR(QN$4&gt;=$AD$127,AND($G43=1,$J43=2,QN$6=2),AND(QN$6=1,$N43&lt;&gt;1)),0,IF(QR43&lt;=120,QX43,IF(QN$4&lt;$AD$124,IF($F43=1,60/QP$4*QP$6,60/QP$4*QP$7),IF($F43=1,120/QP$4*QP$6,120/QP$4*QP$7)))),IF(OR($F43=3,$G43=2),IF(OR(AND(QN$4&gt;=$AD$119,$C43=2),AND(QN$4&gt;=$AF$119,$C43=1)),0,IF(QR43&lt;=60,QX43,60/QP$4*QP$7)),IF(AND($F43=2,$G43=1),QX43,0)))))</f>
        <v>0</v>
      </c>
      <c r="RA43" s="57" t="str">
        <f t="shared" si="184"/>
        <v/>
      </c>
      <c r="RB43" s="57" t="str">
        <f t="shared" si="185"/>
        <v/>
      </c>
      <c r="RC43" s="713">
        <f>'org. Düngung 22'!DX42</f>
        <v>0</v>
      </c>
      <c r="RD43" s="57"/>
      <c r="RE43" s="57"/>
      <c r="RF43" s="57">
        <f t="shared" si="186"/>
        <v>0</v>
      </c>
      <c r="RG43" s="57">
        <f t="shared" si="343"/>
        <v>0</v>
      </c>
      <c r="RH43" s="57">
        <f t="shared" si="344"/>
        <v>0</v>
      </c>
      <c r="RI43" s="57">
        <f t="shared" si="345"/>
        <v>0</v>
      </c>
      <c r="RJ43" s="57">
        <f t="shared" si="346"/>
        <v>0</v>
      </c>
      <c r="RK43" s="1029">
        <f t="shared" si="187"/>
        <v>0</v>
      </c>
      <c r="RL43" s="57">
        <f t="shared" si="188"/>
        <v>0</v>
      </c>
      <c r="RM43" s="171" t="str">
        <f t="shared" si="189"/>
        <v/>
      </c>
      <c r="RN43" s="57">
        <f t="shared" si="347"/>
        <v>0</v>
      </c>
      <c r="RO43" s="57">
        <f>IF(OR(AND(RC$6=1,$L43=0),AND(RC$6=2,$K43=2,$G43=1)),0,IF(AND(RE$9=2,(OR($F43&gt;1,$K43=1,AND($L43=80,OR($N43=1,AND($N43=2,'#BerechnungDBE'!$AL34&gt;0)))))),IF(RC$4&gt;=$AD$126,0,RM43),IF(RE$9=3,IF(OR(RC$4&gt;=$AD$127,AND($G43=1,$J43=2,RC$6=2),AND(RC$6=1,$N43&lt;&gt;1)),0,IF(RG43&lt;=120,RM43,IF(RC$4&lt;$AD$124,IF($F43=1,60/RE$4*RE$6,60/RE$4*RE$7),IF($F43=1,120/RE$4*RE$6,120/RE$4*RE$7)))),IF(OR($F43=3,$G43=2),IF(OR(AND(RC$4&gt;=$AD$119,$C43=2),AND(RC$4&gt;=$AF$119,$C43=1)),0,IF(RG43&lt;=60,RM43,60/RE$4*RE$7)),IF(AND($F43=2,$G43=1),RM43,0)))))</f>
        <v>0</v>
      </c>
      <c r="RP43" s="57" t="str">
        <f t="shared" si="190"/>
        <v/>
      </c>
      <c r="RQ43" s="57" t="str">
        <f t="shared" si="191"/>
        <v/>
      </c>
      <c r="RS43" s="57" t="str">
        <f t="shared" si="348"/>
        <v/>
      </c>
      <c r="RT43" s="57" t="str">
        <f t="shared" si="192"/>
        <v/>
      </c>
      <c r="RU43" s="57" t="str">
        <f t="shared" si="193"/>
        <v/>
      </c>
      <c r="RV43" s="57" t="str">
        <f>IF(Z43&gt;'#BerechnungDBE'!BM34,$RV$9,"")</f>
        <v/>
      </c>
      <c r="RW43" s="57" t="str">
        <f>IF(AND(L43=70,AE43&gt;'#BerechnungDBE'!CQ34),$RW$9,"")</f>
        <v/>
      </c>
      <c r="RX43" s="57" t="str">
        <f>IF(OR('org. Düngung 22'!G42="--",'org. Düngung 22'!G42&lt;=170,'org. Düngung 22'!G42=""),"",$RX$9)</f>
        <v/>
      </c>
      <c r="RY43" s="57" t="str">
        <f>IF('org. Düngung 22'!K42&gt;120,'#orgDung'!$RY$9,"")</f>
        <v/>
      </c>
      <c r="RZ43" s="57" t="str">
        <f>IF('#BerechnungDBE'!P34&lt;4,"",IF(AND('#BerechnungDBE'!BZ34&gt;0,T43&gt;0),'#orgDung'!$RZ$9,""))</f>
        <v/>
      </c>
      <c r="SA43" s="57" t="str">
        <f t="shared" si="194"/>
        <v/>
      </c>
    </row>
    <row r="44" spans="1:495" s="875" customFormat="1" x14ac:dyDescent="0.2">
      <c r="A44" s="875">
        <f>'Flächen u. Kulturen'!A40</f>
        <v>31</v>
      </c>
      <c r="B44" s="367">
        <f>'#BerechnungDBE'!L35</f>
        <v>0</v>
      </c>
      <c r="C44" s="875">
        <f>'#BerechnungDBE'!R35</f>
        <v>1</v>
      </c>
      <c r="D44" s="875">
        <f>'#BerechnungDBE'!T35</f>
        <v>2</v>
      </c>
      <c r="E44" s="875" t="str">
        <f>'Flächen u. Kulturen'!E40</f>
        <v>x</v>
      </c>
      <c r="F44" s="52">
        <f>'#BerechnungDBE'!N35</f>
        <v>1</v>
      </c>
      <c r="G44" s="52">
        <f>'#BerechnungDBE'!O35</f>
        <v>1</v>
      </c>
      <c r="H44" s="875">
        <f>IF('Flächen u. Kulturen'!P40="",0,VLOOKUP('Flächen u. Kulturen'!P40,Kulturen[[HF]:[Berechnungsgruppe]],'#Frucht'!$H$1,FALSE))</f>
        <v>0</v>
      </c>
      <c r="I44" s="875">
        <f>IF('Flächen u. Kulturen'!J40="",0,VLOOKUP('Flächen u. Kulturen'!J40,Kulturen[[HF]:[Berechnungsgruppe]],'#Frucht'!$G$1,FALSE))</f>
        <v>90</v>
      </c>
      <c r="J44" s="505">
        <f t="shared" si="195"/>
        <v>2</v>
      </c>
      <c r="K44" s="505">
        <f>IF('Flächen u. Kulturen'!P40="",0,IF(VLOOKUP('Flächen u. Kulturen'!P40,Kulturen[[HF]:[Saat Winterungen]],'#Frucht'!$P$1,FALSE)&gt;0,1,2))</f>
        <v>2</v>
      </c>
      <c r="L44" s="875">
        <f>'#BerechnungDBE'!AF35</f>
        <v>0</v>
      </c>
      <c r="M44" s="875">
        <f>IF('Flächen u. Kulturen'!L40="",0,VLOOKUP('Flächen u. Kulturen'!L40,Nebenkultur[[Nebenkultur]:[Legum. Zwischenfr.]],'#Zweitfr'!$K$1,FALSE))</f>
        <v>0</v>
      </c>
      <c r="N44" s="875">
        <f>'#BerechnungDBE'!AG35</f>
        <v>0</v>
      </c>
      <c r="P44" s="57">
        <f t="shared" si="0"/>
        <v>0</v>
      </c>
      <c r="Q44" s="57">
        <f t="shared" si="1"/>
        <v>0</v>
      </c>
      <c r="R44" s="875">
        <f t="shared" si="2"/>
        <v>0</v>
      </c>
      <c r="S44" s="938" t="str">
        <f t="shared" si="3"/>
        <v/>
      </c>
      <c r="T44" s="875">
        <f t="shared" si="4"/>
        <v>0</v>
      </c>
      <c r="U44" s="875">
        <f t="shared" si="5"/>
        <v>0</v>
      </c>
      <c r="V44" s="875">
        <f t="shared" si="6"/>
        <v>0</v>
      </c>
      <c r="W44" s="875">
        <f t="shared" si="7"/>
        <v>0</v>
      </c>
      <c r="X44" s="875">
        <f t="shared" si="8"/>
        <v>0</v>
      </c>
      <c r="Y44" s="875">
        <f t="shared" si="349"/>
        <v>0</v>
      </c>
      <c r="Z44" s="875">
        <f t="shared" si="350"/>
        <v>0</v>
      </c>
      <c r="AA44" s="910">
        <f t="shared" si="9"/>
        <v>0</v>
      </c>
      <c r="AB44" s="57">
        <f t="shared" si="351"/>
        <v>0</v>
      </c>
      <c r="AC44" s="875">
        <f t="shared" si="10"/>
        <v>0</v>
      </c>
      <c r="AD44" s="875">
        <f t="shared" si="11"/>
        <v>0</v>
      </c>
      <c r="AE44" s="875">
        <f t="shared" si="12"/>
        <v>0</v>
      </c>
      <c r="AF44" s="875">
        <f t="shared" si="352"/>
        <v>0</v>
      </c>
      <c r="AG44" s="875">
        <f>'org. Düngung 22'!J43</f>
        <v>0</v>
      </c>
      <c r="AH44" s="875">
        <f>'org. Düngung 22'!K43</f>
        <v>0</v>
      </c>
      <c r="AJ44" s="713">
        <f>'org. Düngung 22'!L43</f>
        <v>0</v>
      </c>
      <c r="AK44" s="57"/>
      <c r="AL44" s="57"/>
      <c r="AM44" s="57">
        <f t="shared" si="196"/>
        <v>0</v>
      </c>
      <c r="AN44" s="57">
        <f t="shared" si="197"/>
        <v>0</v>
      </c>
      <c r="AO44" s="57">
        <f t="shared" si="198"/>
        <v>0</v>
      </c>
      <c r="AP44" s="57">
        <f t="shared" si="199"/>
        <v>0</v>
      </c>
      <c r="AQ44" s="57">
        <f t="shared" si="200"/>
        <v>0</v>
      </c>
      <c r="AR44" s="1029">
        <f t="shared" si="14"/>
        <v>0</v>
      </c>
      <c r="AS44" s="57">
        <f t="shared" si="15"/>
        <v>0</v>
      </c>
      <c r="AT44" s="171" t="str">
        <f t="shared" si="16"/>
        <v/>
      </c>
      <c r="AU44" s="57">
        <f t="shared" si="201"/>
        <v>0</v>
      </c>
      <c r="AV44" s="57">
        <f>IF(OR(AND(AJ$6=1,$L44=0),AND(AJ$6=2,$K44=2,$G44=1)),0,IF(AND(AL$9=2,(OR($F44&gt;1,$K44=1,AND($L44=80,OR($N44=1,AND($N44=2,'#BerechnungDBE'!$AL35&gt;0)))))),IF(AJ$4&gt;=$AD$126,0,AT44),IF(AL$9=3,IF(OR(AJ$4&gt;=$AD$127,AND($G44=1,$J44=2,AJ$6=2),AND(AJ$6=1,$N44&lt;&gt;1)),0,IF(AN44&lt;=120,AT44,IF(AJ$4&lt;$AD$124,IF($F44=1,60/AL$4*AL$6,60/AL$4*AL$7),IF($F44=1,120/AL$4*AL$6,120/AL$4*AL$7)))),IF(OR($F44=3,$G44=2),IF(OR(AND(AJ$4&gt;=$AD$119,$C44=2),AND(AJ$4&gt;=$AF$119,$C44=1)),0,IF(AN44&lt;=60,AT44,60/AL$4*AL$7)),IF(AND($F44=2,$G44=1),AT44,0)))))</f>
        <v>0</v>
      </c>
      <c r="AW44" s="57" t="str">
        <f t="shared" si="202"/>
        <v/>
      </c>
      <c r="AX44" s="57" t="str">
        <f t="shared" si="17"/>
        <v/>
      </c>
      <c r="AY44" s="713">
        <f>'org. Düngung 22'!P43</f>
        <v>0</v>
      </c>
      <c r="AZ44" s="57"/>
      <c r="BA44" s="57"/>
      <c r="BB44" s="57">
        <f t="shared" si="18"/>
        <v>0</v>
      </c>
      <c r="BC44" s="57">
        <f t="shared" si="203"/>
        <v>0</v>
      </c>
      <c r="BD44" s="57">
        <f t="shared" si="204"/>
        <v>0</v>
      </c>
      <c r="BE44" s="57">
        <f t="shared" si="205"/>
        <v>0</v>
      </c>
      <c r="BF44" s="57">
        <f t="shared" si="206"/>
        <v>0</v>
      </c>
      <c r="BG44" s="1029">
        <f t="shared" si="19"/>
        <v>0</v>
      </c>
      <c r="BH44" s="57">
        <f t="shared" si="20"/>
        <v>0</v>
      </c>
      <c r="BI44" s="171" t="str">
        <f t="shared" si="21"/>
        <v/>
      </c>
      <c r="BJ44" s="57">
        <f t="shared" si="207"/>
        <v>0</v>
      </c>
      <c r="BK44" s="57">
        <f>IF(OR(AND(AY$6=1,$L44=0),AND(AY$6=2,$K44=2,$G44=1)),0,IF(AND(BA$9=2,(OR($F44&gt;1,$K44=1,AND($L44=80,OR($N44=1,AND($N44=2,'#BerechnungDBE'!$AL35&gt;0)))))),IF(AY$4&gt;=$AD$126,0,BI44),IF(BA$9=3,IF(OR(AY$4&gt;=$AD$127,AND($G44=1,$J44=2,AY$6=2),AND(AY$6=1,$N44&lt;&gt;1)),0,IF(BC44&lt;=120,BI44,IF(AY$4&lt;$AD$124,IF($F44=1,60/BA$4*BA$6,60/BA$4*BA$7),IF($F44=1,120/BA$4*BA$6,120/BA$4*BA$7)))),IF(OR($F44=3,$G44=2),IF(OR(AND(AY$4&gt;=$AD$119,$C44=2),AND(AY$4&gt;=$AF$119,$C44=1)),0,IF(BC44&lt;=60,BI44,60/BA$4*BA$7)),IF(AND($F44=2,$G44=1),BI44,0)))))</f>
        <v>0</v>
      </c>
      <c r="BL44" s="57" t="str">
        <f t="shared" si="22"/>
        <v/>
      </c>
      <c r="BM44" s="57" t="str">
        <f t="shared" si="23"/>
        <v/>
      </c>
      <c r="BN44" s="713">
        <f>'org. Düngung 22'!T43</f>
        <v>0</v>
      </c>
      <c r="BO44" s="57"/>
      <c r="BP44" s="57"/>
      <c r="BQ44" s="57">
        <f t="shared" si="24"/>
        <v>0</v>
      </c>
      <c r="BR44" s="57">
        <f t="shared" si="208"/>
        <v>0</v>
      </c>
      <c r="BS44" s="57">
        <f t="shared" si="209"/>
        <v>0</v>
      </c>
      <c r="BT44" s="57">
        <f t="shared" si="210"/>
        <v>0</v>
      </c>
      <c r="BU44" s="57">
        <f t="shared" si="211"/>
        <v>0</v>
      </c>
      <c r="BV44" s="1029">
        <f t="shared" si="25"/>
        <v>0</v>
      </c>
      <c r="BW44" s="57">
        <f t="shared" si="26"/>
        <v>0</v>
      </c>
      <c r="BX44" s="171" t="str">
        <f t="shared" si="27"/>
        <v/>
      </c>
      <c r="BY44" s="57">
        <f t="shared" si="212"/>
        <v>0</v>
      </c>
      <c r="BZ44" s="57">
        <f>IF(OR(AND(BN$6=1,$L44=0),AND(BN$6=2,$K44=2,$G44=1)),0,IF(AND(BP$9=2,(OR($F44&gt;1,$K44=1,AND($L44=80,OR($N44=1,AND($N44=2,'#BerechnungDBE'!$AL35&gt;0)))))),IF(BN$4&gt;=$AD$126,0,BX44),IF(BP$9=3,IF(OR(BN$4&gt;=$AD$127,AND($G44=1,$J44=2,BN$6=2),AND(BN$6=1,$N44&lt;&gt;1)),0,IF(BR44&lt;=120,BX44,IF(BN$4&lt;$AD$124,IF($F44=1,60/BP$4*BP$6,60/BP$4*BP$7),IF($F44=1,120/BP$4*BP$6,120/BP$4*BP$7)))),IF(OR($F44=3,$G44=2),IF(OR(AND(BN$4&gt;=$AD$119,$C44=2),AND(BN$4&gt;=$AF$119,$C44=1)),0,IF(BR44&lt;=60,BX44,60/BP$4*BP$7)),IF(AND($F44=2,$G44=1),BX44,0)))))</f>
        <v>0</v>
      </c>
      <c r="CA44" s="57" t="str">
        <f t="shared" si="28"/>
        <v/>
      </c>
      <c r="CB44" s="57" t="str">
        <f t="shared" si="29"/>
        <v/>
      </c>
      <c r="CC44" s="713">
        <f>'org. Düngung 22'!X43</f>
        <v>0</v>
      </c>
      <c r="CD44" s="57"/>
      <c r="CE44" s="57"/>
      <c r="CF44" s="57">
        <f t="shared" si="30"/>
        <v>0</v>
      </c>
      <c r="CG44" s="57">
        <f t="shared" si="213"/>
        <v>0</v>
      </c>
      <c r="CH44" s="57">
        <f t="shared" si="214"/>
        <v>0</v>
      </c>
      <c r="CI44" s="57">
        <f t="shared" si="215"/>
        <v>0</v>
      </c>
      <c r="CJ44" s="57">
        <f t="shared" si="216"/>
        <v>0</v>
      </c>
      <c r="CK44" s="1029">
        <f t="shared" si="31"/>
        <v>0</v>
      </c>
      <c r="CL44" s="57">
        <f t="shared" si="32"/>
        <v>0</v>
      </c>
      <c r="CM44" s="171" t="str">
        <f t="shared" si="33"/>
        <v/>
      </c>
      <c r="CN44" s="57">
        <f t="shared" si="217"/>
        <v>0</v>
      </c>
      <c r="CO44" s="57">
        <f>IF(OR(AND(CC$6=1,$L44=0),AND(CC$6=2,$K44=2,$G44=1)),0,IF(AND(CE$9=2,(OR($F44&gt;1,$K44=1,AND($L44=80,OR($N44=1,AND($N44=2,'#BerechnungDBE'!$AL35&gt;0)))))),IF(CC$4&gt;=$AD$126,0,CM44),IF(CE$9=3,IF(OR(CC$4&gt;=$AD$127,AND($G44=1,$J44=2,CC$6=2),AND(CC$6=1,$N44&lt;&gt;1)),0,IF(CG44&lt;=120,CM44,IF(CC$4&lt;$AD$124,IF($F44=1,60/CE$4*CE$6,60/CE$4*CE$7),IF($F44=1,120/CE$4*CE$6,120/CE$4*CE$7)))),IF(OR($F44=3,$G44=2),IF(OR(AND(CC$4&gt;=$AD$119,$C44=2),AND(CC$4&gt;=$AF$119,$C44=1)),0,IF(CG44&lt;=60,CM44,60/CE$4*CE$7)),IF(AND($F44=2,$G44=1),CM44,0)))))</f>
        <v>0</v>
      </c>
      <c r="CP44" s="57" t="str">
        <f t="shared" si="34"/>
        <v/>
      </c>
      <c r="CQ44" s="57" t="str">
        <f t="shared" si="35"/>
        <v/>
      </c>
      <c r="CR44" s="713">
        <f>'org. Düngung 22'!AB43</f>
        <v>0</v>
      </c>
      <c r="CS44" s="57"/>
      <c r="CT44" s="57"/>
      <c r="CU44" s="57">
        <f t="shared" si="36"/>
        <v>0</v>
      </c>
      <c r="CV44" s="57">
        <f t="shared" si="218"/>
        <v>0</v>
      </c>
      <c r="CW44" s="57">
        <f t="shared" si="219"/>
        <v>0</v>
      </c>
      <c r="CX44" s="57">
        <f t="shared" si="220"/>
        <v>0</v>
      </c>
      <c r="CY44" s="57">
        <f t="shared" si="221"/>
        <v>0</v>
      </c>
      <c r="CZ44" s="1029">
        <f t="shared" si="37"/>
        <v>0</v>
      </c>
      <c r="DA44" s="57">
        <f t="shared" si="38"/>
        <v>0</v>
      </c>
      <c r="DB44" s="171" t="str">
        <f t="shared" si="39"/>
        <v/>
      </c>
      <c r="DC44" s="57">
        <f t="shared" si="222"/>
        <v>0</v>
      </c>
      <c r="DD44" s="57">
        <f>IF(OR(AND(CR$6=1,$L44=0),AND(CR$6=2,$K44=2,$G44=1)),0,IF(AND(CT$9=2,(OR($F44&gt;1,$K44=1,AND($L44=80,OR($N44=1,AND($N44=2,'#BerechnungDBE'!$AL35&gt;0)))))),IF(CR$4&gt;=$AD$126,0,DB44),IF(CT$9=3,IF(OR(CR$4&gt;=$AD$127,AND($G44=1,$J44=2,CR$6=2),AND(CR$6=1,$N44&lt;&gt;1)),0,IF(CV44&lt;=120,DB44,IF(CR$4&lt;$AD$124,IF($F44=1,60/CT$4*CT$6,60/CT$4*CT$7),IF($F44=1,120/CT$4*CT$6,120/CT$4*CT$7)))),IF(OR($F44=3,$G44=2),IF(OR(AND(CR$4&gt;=$AD$119,$C44=2),AND(CR$4&gt;=$AF$119,$C44=1)),0,IF(CV44&lt;=60,DB44,60/CT$4*CT$7)),IF(AND($F44=2,$G44=1),DB44,0)))))</f>
        <v>0</v>
      </c>
      <c r="DE44" s="57" t="str">
        <f t="shared" si="40"/>
        <v/>
      </c>
      <c r="DF44" s="57" t="str">
        <f t="shared" si="41"/>
        <v/>
      </c>
      <c r="DG44" s="713">
        <f>'org. Düngung 22'!AF43</f>
        <v>0</v>
      </c>
      <c r="DH44" s="57"/>
      <c r="DI44" s="57"/>
      <c r="DJ44" s="57">
        <f t="shared" si="42"/>
        <v>0</v>
      </c>
      <c r="DK44" s="57">
        <f t="shared" si="223"/>
        <v>0</v>
      </c>
      <c r="DL44" s="57">
        <f t="shared" si="224"/>
        <v>0</v>
      </c>
      <c r="DM44" s="57">
        <f t="shared" si="225"/>
        <v>0</v>
      </c>
      <c r="DN44" s="57">
        <f t="shared" si="226"/>
        <v>0</v>
      </c>
      <c r="DO44" s="1029">
        <f t="shared" si="43"/>
        <v>0</v>
      </c>
      <c r="DP44" s="57">
        <f t="shared" si="44"/>
        <v>0</v>
      </c>
      <c r="DQ44" s="171" t="str">
        <f t="shared" si="45"/>
        <v/>
      </c>
      <c r="DR44" s="57">
        <f t="shared" si="227"/>
        <v>0</v>
      </c>
      <c r="DS44" s="57">
        <f>IF(OR(AND(DG$6=1,$L44=0),AND(DG$6=2,$K44=2,$G44=1)),0,IF(AND(DI$9=2,(OR($F44&gt;1,$K44=1,AND($L44=80,OR($N44=1,AND($N44=2,'#BerechnungDBE'!$AL35&gt;0)))))),IF(DG$4&gt;=$AD$126,0,DQ44),IF(DI$9=3,IF(OR(DG$4&gt;=$AD$127,AND($G44=1,$J44=2,DG$6=2),AND(DG$6=1,$N44&lt;&gt;1)),0,IF(DK44&lt;=120,DQ44,IF(DG$4&lt;$AD$124,IF($F44=1,60/DI$4*DI$6,60/DI$4*DI$7),IF($F44=1,120/DI$4*DI$6,120/DI$4*DI$7)))),IF(OR($F44=3,$G44=2),IF(OR(AND(DG$4&gt;=$AD$119,$C44=2),AND(DG$4&gt;=$AF$119,$C44=1)),0,IF(DK44&lt;=60,DQ44,60/DI$4*DI$7)),IF(AND($F44=2,$G44=1),DQ44,0)))))</f>
        <v>0</v>
      </c>
      <c r="DT44" s="57" t="str">
        <f t="shared" si="46"/>
        <v/>
      </c>
      <c r="DU44" s="57" t="str">
        <f t="shared" si="47"/>
        <v/>
      </c>
      <c r="DV44" s="713">
        <f>'org. Düngung 22'!AJ43</f>
        <v>0</v>
      </c>
      <c r="DW44" s="57"/>
      <c r="DX44" s="57"/>
      <c r="DY44" s="57">
        <f t="shared" si="48"/>
        <v>0</v>
      </c>
      <c r="DZ44" s="57">
        <f t="shared" si="228"/>
        <v>0</v>
      </c>
      <c r="EA44" s="57">
        <f t="shared" si="229"/>
        <v>0</v>
      </c>
      <c r="EB44" s="57">
        <f t="shared" si="230"/>
        <v>0</v>
      </c>
      <c r="EC44" s="57">
        <f t="shared" si="231"/>
        <v>0</v>
      </c>
      <c r="ED44" s="1029">
        <f t="shared" si="49"/>
        <v>0</v>
      </c>
      <c r="EE44" s="57">
        <f t="shared" si="50"/>
        <v>0</v>
      </c>
      <c r="EF44" s="171" t="str">
        <f t="shared" si="51"/>
        <v/>
      </c>
      <c r="EG44" s="57">
        <f t="shared" si="232"/>
        <v>0</v>
      </c>
      <c r="EH44" s="57">
        <f>IF(OR(AND(DV$6=1,$L44=0),AND(DV$6=2,$K44=2,$G44=1)),0,IF(AND(DX$9=2,(OR($F44&gt;1,$K44=1,AND($L44=80,OR($N44=1,AND($N44=2,'#BerechnungDBE'!$AL35&gt;0)))))),IF(DV$4&gt;=$AD$126,0,EF44),IF(DX$9=3,IF(OR(DV$4&gt;=$AD$127,AND($G44=1,$J44=2,DV$6=2),AND(DV$6=1,$N44&lt;&gt;1)),0,IF(DZ44&lt;=120,EF44,IF(DV$4&lt;$AD$124,IF($F44=1,60/DX$4*DX$6,60/DX$4*DX$7),IF($F44=1,120/DX$4*DX$6,120/DX$4*DX$7)))),IF(OR($F44=3,$G44=2),IF(OR(AND(DV$4&gt;=$AD$119,$C44=2),AND(DV$4&gt;=$AF$119,$C44=1)),0,IF(DZ44&lt;=60,EF44,60/DX$4*DX$7)),IF(AND($F44=2,$G44=1),EF44,0)))))</f>
        <v>0</v>
      </c>
      <c r="EI44" s="57" t="str">
        <f t="shared" si="52"/>
        <v/>
      </c>
      <c r="EJ44" s="57" t="str">
        <f t="shared" si="53"/>
        <v/>
      </c>
      <c r="EK44" s="713">
        <f>'org. Düngung 22'!AN43</f>
        <v>0</v>
      </c>
      <c r="EL44" s="57"/>
      <c r="EM44" s="57"/>
      <c r="EN44" s="57">
        <f t="shared" si="54"/>
        <v>0</v>
      </c>
      <c r="EO44" s="57">
        <f t="shared" si="233"/>
        <v>0</v>
      </c>
      <c r="EP44" s="57">
        <f t="shared" si="234"/>
        <v>0</v>
      </c>
      <c r="EQ44" s="57">
        <f t="shared" si="235"/>
        <v>0</v>
      </c>
      <c r="ER44" s="57">
        <f t="shared" si="236"/>
        <v>0</v>
      </c>
      <c r="ES44" s="1029">
        <f t="shared" si="55"/>
        <v>0</v>
      </c>
      <c r="ET44" s="57">
        <f t="shared" si="56"/>
        <v>0</v>
      </c>
      <c r="EU44" s="171" t="str">
        <f t="shared" si="57"/>
        <v/>
      </c>
      <c r="EV44" s="57">
        <f t="shared" si="237"/>
        <v>0</v>
      </c>
      <c r="EW44" s="57">
        <f>IF(OR(AND(EK$6=1,$L44=0),AND(EK$6=2,$K44=2,$G44=1)),0,IF(AND(EM$9=2,(OR($F44&gt;1,$K44=1,AND($L44=80,OR($N44=1,AND($N44=2,'#BerechnungDBE'!$AL35&gt;0)))))),IF(EK$4&gt;=$AD$126,0,EU44),IF(EM$9=3,IF(OR(EK$4&gt;=$AD$127,AND($G44=1,$J44=2,EK$6=2),AND(EK$6=1,$N44&lt;&gt;1)),0,IF(EO44&lt;=120,EU44,IF(EK$4&lt;$AD$124,IF($F44=1,60/EM$4*EM$6,60/EM$4*EM$7),IF($F44=1,120/EM$4*EM$6,120/EM$4*EM$7)))),IF(OR($F44=3,$G44=2),IF(OR(AND(EK$4&gt;=$AD$119,$C44=2),AND(EK$4&gt;=$AF$119,$C44=1)),0,IF(EO44&lt;=60,EU44,60/EM$4*EM$7)),IF(AND($F44=2,$G44=1),EU44,0)))))</f>
        <v>0</v>
      </c>
      <c r="EX44" s="57" t="str">
        <f t="shared" si="58"/>
        <v/>
      </c>
      <c r="EY44" s="57" t="str">
        <f t="shared" si="59"/>
        <v/>
      </c>
      <c r="EZ44" s="713">
        <f>'org. Düngung 22'!AR43</f>
        <v>0</v>
      </c>
      <c r="FA44" s="57"/>
      <c r="FB44" s="57"/>
      <c r="FC44" s="57">
        <f t="shared" si="60"/>
        <v>0</v>
      </c>
      <c r="FD44" s="57">
        <f t="shared" si="238"/>
        <v>0</v>
      </c>
      <c r="FE44" s="57">
        <f t="shared" si="239"/>
        <v>0</v>
      </c>
      <c r="FF44" s="57">
        <f t="shared" si="240"/>
        <v>0</v>
      </c>
      <c r="FG44" s="57">
        <f t="shared" si="241"/>
        <v>0</v>
      </c>
      <c r="FH44" s="1029">
        <f t="shared" si="61"/>
        <v>0</v>
      </c>
      <c r="FI44" s="57">
        <f t="shared" si="62"/>
        <v>0</v>
      </c>
      <c r="FJ44" s="171" t="str">
        <f t="shared" si="63"/>
        <v/>
      </c>
      <c r="FK44" s="57">
        <f t="shared" si="242"/>
        <v>0</v>
      </c>
      <c r="FL44" s="57">
        <f>IF(OR(AND(EZ$6=1,$L44=0),AND(EZ$6=2,$K44=2,$G44=1)),0,IF(AND(FB$9=2,(OR($F44&gt;1,$K44=1,AND($L44=80,OR($N44=1,AND($N44=2,'#BerechnungDBE'!$AL35&gt;0)))))),IF(EZ$4&gt;=$AD$126,0,FJ44),IF(FB$9=3,IF(OR(EZ$4&gt;=$AD$127,AND($G44=1,$J44=2,EZ$6=2),AND(EZ$6=1,$N44&lt;&gt;1)),0,IF(FD44&lt;=120,FJ44,IF(EZ$4&lt;$AD$124,IF($F44=1,60/FB$4*FB$6,60/FB$4*FB$7),IF($F44=1,120/FB$4*FB$6,120/FB$4*FB$7)))),IF(OR($F44=3,$G44=2),IF(OR(AND(EZ$4&gt;=$AD$119,$C44=2),AND(EZ$4&gt;=$AF$119,$C44=1)),0,IF(FD44&lt;=60,FJ44,60/FB$4*FB$7)),IF(AND($F44=2,$G44=1),FJ44,0)))))</f>
        <v>0</v>
      </c>
      <c r="FM44" s="57" t="str">
        <f t="shared" si="64"/>
        <v/>
      </c>
      <c r="FN44" s="57" t="str">
        <f t="shared" si="65"/>
        <v/>
      </c>
      <c r="FO44" s="713">
        <f>'org. Düngung 22'!AV43</f>
        <v>0</v>
      </c>
      <c r="FP44" s="57"/>
      <c r="FQ44" s="57"/>
      <c r="FR44" s="57">
        <f t="shared" si="66"/>
        <v>0</v>
      </c>
      <c r="FS44" s="57">
        <f t="shared" si="243"/>
        <v>0</v>
      </c>
      <c r="FT44" s="57">
        <f t="shared" si="244"/>
        <v>0</v>
      </c>
      <c r="FU44" s="57">
        <f t="shared" si="245"/>
        <v>0</v>
      </c>
      <c r="FV44" s="57">
        <f t="shared" si="246"/>
        <v>0</v>
      </c>
      <c r="FW44" s="1029">
        <f t="shared" si="67"/>
        <v>0</v>
      </c>
      <c r="FX44" s="57">
        <f t="shared" si="68"/>
        <v>0</v>
      </c>
      <c r="FY44" s="171" t="str">
        <f t="shared" si="69"/>
        <v/>
      </c>
      <c r="FZ44" s="57">
        <f t="shared" si="247"/>
        <v>0</v>
      </c>
      <c r="GA44" s="57">
        <f>IF(OR(AND(FO$6=1,$L44=0),AND(FO$6=2,$K44=2,$G44=1)),0,IF(AND(FQ$9=2,(OR($F44&gt;1,$K44=1,AND($L44=80,OR($N44=1,AND($N44=2,'#BerechnungDBE'!$AL35&gt;0)))))),IF(FO$4&gt;=$AD$126,0,FY44),IF(FQ$9=3,IF(OR(FO$4&gt;=$AD$127,AND($G44=1,$J44=2,FO$6=2),AND(FO$6=1,$N44&lt;&gt;1)),0,IF(FS44&lt;=120,FY44,IF(FO$4&lt;$AD$124,IF($F44=1,60/FQ$4*FQ$6,60/FQ$4*FQ$7),IF($F44=1,120/FQ$4*FQ$6,120/FQ$4*FQ$7)))),IF(OR($F44=3,$G44=2),IF(OR(AND(FO$4&gt;=$AD$119,$C44=2),AND(FO$4&gt;=$AF$119,$C44=1)),0,IF(FS44&lt;=60,FY44,60/FQ$4*FQ$7)),IF(AND($F44=2,$G44=1),FY44,0)))))</f>
        <v>0</v>
      </c>
      <c r="GB44" s="57" t="str">
        <f t="shared" si="70"/>
        <v/>
      </c>
      <c r="GC44" s="57" t="str">
        <f t="shared" si="71"/>
        <v/>
      </c>
      <c r="GD44" s="713">
        <f>'org. Düngung 22'!AZ43</f>
        <v>0</v>
      </c>
      <c r="GE44" s="57"/>
      <c r="GF44" s="57"/>
      <c r="GG44" s="57">
        <f t="shared" si="72"/>
        <v>0</v>
      </c>
      <c r="GH44" s="57">
        <f t="shared" si="248"/>
        <v>0</v>
      </c>
      <c r="GI44" s="57">
        <f t="shared" si="249"/>
        <v>0</v>
      </c>
      <c r="GJ44" s="57">
        <f t="shared" si="250"/>
        <v>0</v>
      </c>
      <c r="GK44" s="57">
        <f t="shared" si="251"/>
        <v>0</v>
      </c>
      <c r="GL44" s="1029">
        <f t="shared" si="73"/>
        <v>0</v>
      </c>
      <c r="GM44" s="57">
        <f t="shared" si="74"/>
        <v>0</v>
      </c>
      <c r="GN44" s="171" t="str">
        <f t="shared" si="75"/>
        <v/>
      </c>
      <c r="GO44" s="57">
        <f t="shared" si="252"/>
        <v>0</v>
      </c>
      <c r="GP44" s="57">
        <f>IF(OR(AND(GD$6=1,$L44=0),AND(GD$6=2,$K44=2,$G44=1)),0,IF(AND(GF$9=2,(OR($F44&gt;1,$K44=1,AND($L44=80,OR($N44=1,AND($N44=2,'#BerechnungDBE'!$AL35&gt;0)))))),IF(GD$4&gt;=$AD$126,0,GN44),IF(GF$9=3,IF(OR(GD$4&gt;=$AD$127,AND($G44=1,$J44=2,GD$6=2),AND(GD$6=1,$N44&lt;&gt;1)),0,IF(GH44&lt;=120,GN44,IF(GD$4&lt;$AD$124,IF($F44=1,60/GF$4*GF$6,60/GF$4*GF$7),IF($F44=1,120/GF$4*GF$6,120/GF$4*GF$7)))),IF(OR($F44=3,$G44=2),IF(OR(AND(GD$4&gt;=$AD$119,$C44=2),AND(GD$4&gt;=$AF$119,$C44=1)),0,IF(GH44&lt;=60,GN44,60/GF$4*GF$7)),IF(AND($F44=2,$G44=1),GN44,0)))))</f>
        <v>0</v>
      </c>
      <c r="GQ44" s="57" t="str">
        <f t="shared" si="76"/>
        <v/>
      </c>
      <c r="GR44" s="57" t="str">
        <f t="shared" si="77"/>
        <v/>
      </c>
      <c r="GS44" s="713">
        <f>'org. Düngung 22'!BD43</f>
        <v>0</v>
      </c>
      <c r="GT44" s="57"/>
      <c r="GU44" s="57"/>
      <c r="GV44" s="57">
        <f t="shared" si="78"/>
        <v>0</v>
      </c>
      <c r="GW44" s="57">
        <f t="shared" si="253"/>
        <v>0</v>
      </c>
      <c r="GX44" s="57">
        <f t="shared" si="254"/>
        <v>0</v>
      </c>
      <c r="GY44" s="57">
        <f t="shared" si="255"/>
        <v>0</v>
      </c>
      <c r="GZ44" s="57">
        <f t="shared" si="256"/>
        <v>0</v>
      </c>
      <c r="HA44" s="1029">
        <f t="shared" si="79"/>
        <v>0</v>
      </c>
      <c r="HB44" s="57">
        <f t="shared" si="80"/>
        <v>0</v>
      </c>
      <c r="HC44" s="171" t="str">
        <f t="shared" si="81"/>
        <v/>
      </c>
      <c r="HD44" s="57">
        <f t="shared" si="257"/>
        <v>0</v>
      </c>
      <c r="HE44" s="57">
        <f>IF(OR(AND(GS$6=1,$L44=0),AND(GS$6=2,$K44=2,$G44=1)),0,IF(AND(GU$9=2,(OR($F44&gt;1,$K44=1,AND($L44=80,OR($N44=1,AND($N44=2,'#BerechnungDBE'!$AL35&gt;0)))))),IF(GS$4&gt;=$AD$126,0,HC44),IF(GU$9=3,IF(OR(GS$4&gt;=$AD$127,AND($G44=1,$J44=2,GS$6=2),AND(GS$6=1,$N44&lt;&gt;1)),0,IF(GW44&lt;=120,HC44,IF(GS$4&lt;$AD$124,IF($F44=1,60/GU$4*GU$6,60/GU$4*GU$7),IF($F44=1,120/GU$4*GU$6,120/GU$4*GU$7)))),IF(OR($F44=3,$G44=2),IF(OR(AND(GS$4&gt;=$AD$119,$C44=2),AND(GS$4&gt;=$AF$119,$C44=1)),0,IF(GW44&lt;=60,HC44,60/GU$4*GU$7)),IF(AND($F44=2,$G44=1),HC44,0)))))</f>
        <v>0</v>
      </c>
      <c r="HF44" s="57" t="str">
        <f t="shared" si="82"/>
        <v/>
      </c>
      <c r="HG44" s="57" t="str">
        <f t="shared" si="83"/>
        <v/>
      </c>
      <c r="HH44" s="713">
        <f>'org. Düngung 22'!BH43</f>
        <v>0</v>
      </c>
      <c r="HI44" s="57"/>
      <c r="HJ44" s="57"/>
      <c r="HK44" s="57">
        <f t="shared" si="84"/>
        <v>0</v>
      </c>
      <c r="HL44" s="57">
        <f t="shared" si="258"/>
        <v>0</v>
      </c>
      <c r="HM44" s="57">
        <f t="shared" si="259"/>
        <v>0</v>
      </c>
      <c r="HN44" s="57">
        <f t="shared" si="260"/>
        <v>0</v>
      </c>
      <c r="HO44" s="57">
        <f t="shared" si="261"/>
        <v>0</v>
      </c>
      <c r="HP44" s="1029">
        <f t="shared" si="85"/>
        <v>0</v>
      </c>
      <c r="HQ44" s="57">
        <f t="shared" si="86"/>
        <v>0</v>
      </c>
      <c r="HR44" s="171" t="str">
        <f t="shared" si="87"/>
        <v/>
      </c>
      <c r="HS44" s="57">
        <f t="shared" si="262"/>
        <v>0</v>
      </c>
      <c r="HT44" s="57">
        <f>IF(OR(AND(HH$6=1,$L44=0),AND(HH$6=2,$K44=2,$G44=1)),0,IF(AND(HJ$9=2,(OR($F44&gt;1,$K44=1,AND($L44=80,OR($N44=1,AND($N44=2,'#BerechnungDBE'!$AL35&gt;0)))))),IF(HH$4&gt;=$AD$126,0,HR44),IF(HJ$9=3,IF(OR(HH$4&gt;=$AD$127,AND($G44=1,$J44=2,HH$6=2),AND(HH$6=1,$N44&lt;&gt;1)),0,IF(HL44&lt;=120,HR44,IF(HH$4&lt;$AD$124,IF($F44=1,60/HJ$4*HJ$6,60/HJ$4*HJ$7),IF($F44=1,120/HJ$4*HJ$6,120/HJ$4*HJ$7)))),IF(OR($F44=3,$G44=2),IF(OR(AND(HH$4&gt;=$AD$119,$C44=2),AND(HH$4&gt;=$AF$119,$C44=1)),0,IF(HL44&lt;=60,HR44,60/HJ$4*HJ$7)),IF(AND($F44=2,$G44=1),HR44,0)))))</f>
        <v>0</v>
      </c>
      <c r="HU44" s="57" t="str">
        <f t="shared" si="88"/>
        <v/>
      </c>
      <c r="HV44" s="57" t="str">
        <f t="shared" si="89"/>
        <v/>
      </c>
      <c r="HW44" s="713">
        <f>'org. Düngung 22'!BL43</f>
        <v>0</v>
      </c>
      <c r="HX44" s="57"/>
      <c r="HY44" s="57"/>
      <c r="HZ44" s="57">
        <f t="shared" si="90"/>
        <v>0</v>
      </c>
      <c r="IA44" s="57">
        <f t="shared" si="263"/>
        <v>0</v>
      </c>
      <c r="IB44" s="57">
        <f t="shared" si="264"/>
        <v>0</v>
      </c>
      <c r="IC44" s="57">
        <f t="shared" si="265"/>
        <v>0</v>
      </c>
      <c r="ID44" s="57">
        <f t="shared" si="266"/>
        <v>0</v>
      </c>
      <c r="IE44" s="1029">
        <f t="shared" si="91"/>
        <v>0</v>
      </c>
      <c r="IF44" s="57">
        <f t="shared" si="92"/>
        <v>0</v>
      </c>
      <c r="IG44" s="171" t="str">
        <f t="shared" si="93"/>
        <v/>
      </c>
      <c r="IH44" s="57">
        <f t="shared" si="267"/>
        <v>0</v>
      </c>
      <c r="II44" s="57">
        <f>IF(OR(AND(HW$6=1,$L44=0),AND(HW$6=2,$K44=2,$G44=1)),0,IF(AND(HY$9=2,(OR($F44&gt;1,$K44=1,AND($L44=80,OR($N44=1,AND($N44=2,'#BerechnungDBE'!$AL35&gt;0)))))),IF(HW$4&gt;=$AD$126,0,IG44),IF(HY$9=3,IF(OR(HW$4&gt;=$AD$127,AND($G44=1,$J44=2,HW$6=2),AND(HW$6=1,$N44&lt;&gt;1)),0,IF(IA44&lt;=120,IG44,IF(HW$4&lt;$AD$124,IF($F44=1,60/HY$4*HY$6,60/HY$4*HY$7),IF($F44=1,120/HY$4*HY$6,120/HY$4*HY$7)))),IF(OR($F44=3,$G44=2),IF(OR(AND(HW$4&gt;=$AD$119,$C44=2),AND(HW$4&gt;=$AF$119,$C44=1)),0,IF(IA44&lt;=60,IG44,60/HY$4*HY$7)),IF(AND($F44=2,$G44=1),IG44,0)))))</f>
        <v>0</v>
      </c>
      <c r="IJ44" s="57" t="str">
        <f t="shared" si="94"/>
        <v/>
      </c>
      <c r="IK44" s="57" t="str">
        <f t="shared" si="95"/>
        <v/>
      </c>
      <c r="IL44" s="713">
        <f>'org. Düngung 22'!BP43</f>
        <v>0</v>
      </c>
      <c r="IM44" s="57"/>
      <c r="IN44" s="57"/>
      <c r="IO44" s="57">
        <f t="shared" si="96"/>
        <v>0</v>
      </c>
      <c r="IP44" s="57">
        <f t="shared" si="268"/>
        <v>0</v>
      </c>
      <c r="IQ44" s="57">
        <f t="shared" si="269"/>
        <v>0</v>
      </c>
      <c r="IR44" s="57">
        <f t="shared" si="270"/>
        <v>0</v>
      </c>
      <c r="IS44" s="57">
        <f t="shared" si="271"/>
        <v>0</v>
      </c>
      <c r="IT44" s="1029">
        <f t="shared" si="97"/>
        <v>0</v>
      </c>
      <c r="IU44" s="57">
        <f t="shared" si="98"/>
        <v>0</v>
      </c>
      <c r="IV44" s="171" t="str">
        <f t="shared" si="99"/>
        <v/>
      </c>
      <c r="IW44" s="57">
        <f t="shared" si="272"/>
        <v>0</v>
      </c>
      <c r="IX44" s="57">
        <f>IF(OR(AND(IL$6=1,$L44=0),AND(IL$6=2,$K44=2,$G44=1)),0,IF(AND(IN$9=2,(OR($F44&gt;1,$K44=1,AND($L44=80,OR($N44=1,AND($N44=2,'#BerechnungDBE'!$AL35&gt;0)))))),IF(IL$4&gt;=$AD$126,0,IV44),IF(IN$9=3,IF(OR(IL$4&gt;=$AD$127,AND($G44=1,$J44=2,IL$6=2),AND(IL$6=1,$N44&lt;&gt;1)),0,IF(IP44&lt;=120,IV44,IF(IL$4&lt;$AD$124,IF($F44=1,60/IN$4*IN$6,60/IN$4*IN$7),IF($F44=1,120/IN$4*IN$6,120/IN$4*IN$7)))),IF(OR($F44=3,$G44=2),IF(OR(AND(IL$4&gt;=$AD$119,$C44=2),AND(IL$4&gt;=$AF$119,$C44=1)),0,IF(IP44&lt;=60,IV44,60/IN$4*IN$7)),IF(AND($F44=2,$G44=1),IV44,0)))))</f>
        <v>0</v>
      </c>
      <c r="IY44" s="57" t="str">
        <f t="shared" si="100"/>
        <v/>
      </c>
      <c r="IZ44" s="57" t="str">
        <f t="shared" si="101"/>
        <v/>
      </c>
      <c r="JA44" s="713">
        <f>'org. Düngung 22'!BT43</f>
        <v>0</v>
      </c>
      <c r="JB44" s="57"/>
      <c r="JC44" s="57"/>
      <c r="JD44" s="57">
        <f t="shared" si="102"/>
        <v>0</v>
      </c>
      <c r="JE44" s="57">
        <f t="shared" si="273"/>
        <v>0</v>
      </c>
      <c r="JF44" s="57">
        <f t="shared" si="274"/>
        <v>0</v>
      </c>
      <c r="JG44" s="57">
        <f t="shared" si="275"/>
        <v>0</v>
      </c>
      <c r="JH44" s="57">
        <f t="shared" si="276"/>
        <v>0</v>
      </c>
      <c r="JI44" s="1029">
        <f t="shared" si="103"/>
        <v>0</v>
      </c>
      <c r="JJ44" s="57">
        <f t="shared" si="104"/>
        <v>0</v>
      </c>
      <c r="JK44" s="171" t="str">
        <f t="shared" si="105"/>
        <v/>
      </c>
      <c r="JL44" s="57">
        <f t="shared" si="277"/>
        <v>0</v>
      </c>
      <c r="JM44" s="57">
        <f>IF(OR(AND(JA$6=1,$L44=0),AND(JA$6=2,$K44=2,$G44=1)),0,IF(AND(JC$9=2,(OR($F44&gt;1,$K44=1,AND($L44=80,OR($N44=1,AND($N44=2,'#BerechnungDBE'!$AL35&gt;0)))))),IF(JA$4&gt;=$AD$126,0,JK44),IF(JC$9=3,IF(OR(JA$4&gt;=$AD$127,AND($G44=1,$J44=2,JA$6=2),AND(JA$6=1,$N44&lt;&gt;1)),0,IF(JE44&lt;=120,JK44,IF(JA$4&lt;$AD$124,IF($F44=1,60/JC$4*JC$6,60/JC$4*JC$7),IF($F44=1,120/JC$4*JC$6,120/JC$4*JC$7)))),IF(OR($F44=3,$G44=2),IF(OR(AND(JA$4&gt;=$AD$119,$C44=2),AND(JA$4&gt;=$AF$119,$C44=1)),0,IF(JE44&lt;=60,JK44,60/JC$4*JC$7)),IF(AND($F44=2,$G44=1),JK44,0)))))</f>
        <v>0</v>
      </c>
      <c r="JN44" s="57" t="str">
        <f t="shared" si="106"/>
        <v/>
      </c>
      <c r="JO44" s="57" t="str">
        <f t="shared" si="107"/>
        <v/>
      </c>
      <c r="JP44" s="713">
        <f>'org. Düngung 22'!BX43</f>
        <v>0</v>
      </c>
      <c r="JQ44" s="57"/>
      <c r="JR44" s="57"/>
      <c r="JS44" s="57">
        <f t="shared" si="108"/>
        <v>0</v>
      </c>
      <c r="JT44" s="57">
        <f t="shared" si="278"/>
        <v>0</v>
      </c>
      <c r="JU44" s="57">
        <f t="shared" si="279"/>
        <v>0</v>
      </c>
      <c r="JV44" s="57">
        <f t="shared" si="280"/>
        <v>0</v>
      </c>
      <c r="JW44" s="57">
        <f t="shared" si="281"/>
        <v>0</v>
      </c>
      <c r="JX44" s="1029">
        <f t="shared" si="109"/>
        <v>0</v>
      </c>
      <c r="JY44" s="57">
        <f t="shared" si="110"/>
        <v>0</v>
      </c>
      <c r="JZ44" s="171" t="str">
        <f t="shared" si="111"/>
        <v/>
      </c>
      <c r="KA44" s="57">
        <f t="shared" si="282"/>
        <v>0</v>
      </c>
      <c r="KB44" s="57">
        <f>IF(OR(AND(JP$6=1,$L44=0),AND(JP$6=2,$K44=2,$G44=1)),0,IF(AND(JR$9=2,(OR($F44&gt;1,$K44=1,AND($L44=80,OR($N44=1,AND($N44=2,'#BerechnungDBE'!$AL35&gt;0)))))),IF(JP$4&gt;=$AD$126,0,JZ44),IF(JR$9=3,IF(OR(JP$4&gt;=$AD$127,AND($G44=1,$J44=2,JP$6=2),AND(JP$6=1,$N44&lt;&gt;1)),0,IF(JT44&lt;=120,JZ44,IF(JP$4&lt;$AD$124,IF($F44=1,60/JR$4*JR$6,60/JR$4*JR$7),IF($F44=1,120/JR$4*JR$6,120/JR$4*JR$7)))),IF(OR($F44=3,$G44=2),IF(OR(AND(JP$4&gt;=$AD$119,$C44=2),AND(JP$4&gt;=$AF$119,$C44=1)),0,IF(JT44&lt;=60,JZ44,60/JR$4*JR$7)),IF(AND($F44=2,$G44=1),JZ44,0)))))</f>
        <v>0</v>
      </c>
      <c r="KC44" s="57" t="str">
        <f t="shared" si="112"/>
        <v/>
      </c>
      <c r="KD44" s="57" t="str">
        <f t="shared" si="113"/>
        <v/>
      </c>
      <c r="KE44" s="713">
        <f>'org. Düngung 22'!CB43</f>
        <v>0</v>
      </c>
      <c r="KF44" s="57"/>
      <c r="KG44" s="57"/>
      <c r="KH44" s="57">
        <f t="shared" si="114"/>
        <v>0</v>
      </c>
      <c r="KI44" s="57">
        <f t="shared" si="283"/>
        <v>0</v>
      </c>
      <c r="KJ44" s="57">
        <f t="shared" si="284"/>
        <v>0</v>
      </c>
      <c r="KK44" s="57">
        <f t="shared" si="285"/>
        <v>0</v>
      </c>
      <c r="KL44" s="57">
        <f t="shared" si="286"/>
        <v>0</v>
      </c>
      <c r="KM44" s="1029">
        <f t="shared" si="115"/>
        <v>0</v>
      </c>
      <c r="KN44" s="57">
        <f t="shared" si="116"/>
        <v>0</v>
      </c>
      <c r="KO44" s="171" t="str">
        <f t="shared" si="117"/>
        <v/>
      </c>
      <c r="KP44" s="57">
        <f t="shared" si="287"/>
        <v>0</v>
      </c>
      <c r="KQ44" s="57">
        <f>IF(OR(AND(KE$6=1,$L44=0),AND(KE$6=2,$K44=2,$G44=1)),0,IF(AND(KG$9=2,(OR($F44&gt;1,$K44=1,AND($L44=80,OR($N44=1,AND($N44=2,'#BerechnungDBE'!$AL35&gt;0)))))),IF(KE$4&gt;=$AD$126,0,KO44),IF(KG$9=3,IF(OR(KE$4&gt;=$AD$127,AND($G44=1,$J44=2,KE$6=2),AND(KE$6=1,$N44&lt;&gt;1)),0,IF(KI44&lt;=120,KO44,IF(KE$4&lt;$AD$124,IF($F44=1,60/KG$4*KG$6,60/KG$4*KG$7),IF($F44=1,120/KG$4*KG$6,120/KG$4*KG$7)))),IF(OR($F44=3,$G44=2),IF(OR(AND(KE$4&gt;=$AD$119,$C44=2),AND(KE$4&gt;=$AF$119,$C44=1)),0,IF(KI44&lt;=60,KO44,60/KG$4*KG$7)),IF(AND($F44=2,$G44=1),KO44,0)))))</f>
        <v>0</v>
      </c>
      <c r="KR44" s="57" t="str">
        <f t="shared" si="118"/>
        <v/>
      </c>
      <c r="KS44" s="57" t="str">
        <f t="shared" si="119"/>
        <v/>
      </c>
      <c r="KT44" s="713">
        <f>'org. Düngung 22'!CF43</f>
        <v>0</v>
      </c>
      <c r="KU44" s="57"/>
      <c r="KV44" s="57"/>
      <c r="KW44" s="57">
        <f t="shared" si="120"/>
        <v>0</v>
      </c>
      <c r="KX44" s="57">
        <f t="shared" si="288"/>
        <v>0</v>
      </c>
      <c r="KY44" s="57">
        <f t="shared" si="289"/>
        <v>0</v>
      </c>
      <c r="KZ44" s="57">
        <f t="shared" si="290"/>
        <v>0</v>
      </c>
      <c r="LA44" s="57">
        <f t="shared" si="291"/>
        <v>0</v>
      </c>
      <c r="LB44" s="1029">
        <f t="shared" si="121"/>
        <v>0</v>
      </c>
      <c r="LC44" s="57">
        <f t="shared" si="122"/>
        <v>0</v>
      </c>
      <c r="LD44" s="171" t="str">
        <f t="shared" si="123"/>
        <v/>
      </c>
      <c r="LE44" s="57">
        <f t="shared" si="292"/>
        <v>0</v>
      </c>
      <c r="LF44" s="57">
        <f>IF(OR(AND(KT$6=1,$L44=0),AND(KT$6=2,$K44=2,$G44=1)),0,IF(AND(KV$9=2,(OR($F44&gt;1,$K44=1,AND($L44=80,OR($N44=1,AND($N44=2,'#BerechnungDBE'!$AL35&gt;0)))))),IF(KT$4&gt;=$AD$126,0,LD44),IF(KV$9=3,IF(OR(KT$4&gt;=$AD$127,AND($G44=1,$J44=2,KT$6=2),AND(KT$6=1,$N44&lt;&gt;1)),0,IF(KX44&lt;=120,LD44,IF(KT$4&lt;$AD$124,IF($F44=1,60/KV$4*KV$6,60/KV$4*KV$7),IF($F44=1,120/KV$4*KV$6,120/KV$4*KV$7)))),IF(OR($F44=3,$G44=2),IF(OR(AND(KT$4&gt;=$AD$119,$C44=2),AND(KT$4&gt;=$AF$119,$C44=1)),0,IF(KX44&lt;=60,LD44,60/KV$4*KV$7)),IF(AND($F44=2,$G44=1),LD44,0)))))</f>
        <v>0</v>
      </c>
      <c r="LG44" s="57" t="str">
        <f t="shared" si="124"/>
        <v/>
      </c>
      <c r="LH44" s="57" t="str">
        <f t="shared" si="125"/>
        <v/>
      </c>
      <c r="LI44" s="713">
        <f>'org. Düngung 22'!CJ43</f>
        <v>0</v>
      </c>
      <c r="LJ44" s="57"/>
      <c r="LK44" s="57"/>
      <c r="LL44" s="57">
        <f t="shared" si="126"/>
        <v>0</v>
      </c>
      <c r="LM44" s="57">
        <f t="shared" si="293"/>
        <v>0</v>
      </c>
      <c r="LN44" s="57">
        <f t="shared" si="294"/>
        <v>0</v>
      </c>
      <c r="LO44" s="57">
        <f t="shared" si="295"/>
        <v>0</v>
      </c>
      <c r="LP44" s="57">
        <f t="shared" si="296"/>
        <v>0</v>
      </c>
      <c r="LQ44" s="1029">
        <f t="shared" si="127"/>
        <v>0</v>
      </c>
      <c r="LR44" s="57">
        <f t="shared" si="128"/>
        <v>0</v>
      </c>
      <c r="LS44" s="171" t="str">
        <f t="shared" si="129"/>
        <v/>
      </c>
      <c r="LT44" s="57">
        <f t="shared" si="297"/>
        <v>0</v>
      </c>
      <c r="LU44" s="57">
        <f>IF(OR(AND(LI$6=1,$L44=0),AND(LI$6=2,$K44=2,$G44=1)),0,IF(AND(LK$9=2,(OR($F44&gt;1,$K44=1,AND($L44=80,OR($N44=1,AND($N44=2,'#BerechnungDBE'!$AL35&gt;0)))))),IF(LI$4&gt;=$AD$126,0,LS44),IF(LK$9=3,IF(OR(LI$4&gt;=$AD$127,AND($G44=1,$J44=2,LI$6=2),AND(LI$6=1,$N44&lt;&gt;1)),0,IF(LM44&lt;=120,LS44,IF(LI$4&lt;$AD$124,IF($F44=1,60/LK$4*LK$6,60/LK$4*LK$7),IF($F44=1,120/LK$4*LK$6,120/LK$4*LK$7)))),IF(OR($F44=3,$G44=2),IF(OR(AND(LI$4&gt;=$AD$119,$C44=2),AND(LI$4&gt;=$AF$119,$C44=1)),0,IF(LM44&lt;=60,LS44,60/LK$4*LK$7)),IF(AND($F44=2,$G44=1),LS44,0)))))</f>
        <v>0</v>
      </c>
      <c r="LV44" s="57" t="str">
        <f t="shared" si="130"/>
        <v/>
      </c>
      <c r="LW44" s="57" t="str">
        <f t="shared" si="131"/>
        <v/>
      </c>
      <c r="LX44" s="713">
        <f>'org. Düngung 22'!CN43</f>
        <v>0</v>
      </c>
      <c r="LY44" s="57"/>
      <c r="LZ44" s="57"/>
      <c r="MA44" s="57">
        <f t="shared" si="132"/>
        <v>0</v>
      </c>
      <c r="MB44" s="57">
        <f t="shared" si="298"/>
        <v>0</v>
      </c>
      <c r="MC44" s="57">
        <f t="shared" si="299"/>
        <v>0</v>
      </c>
      <c r="MD44" s="57">
        <f t="shared" si="300"/>
        <v>0</v>
      </c>
      <c r="ME44" s="57">
        <f t="shared" si="301"/>
        <v>0</v>
      </c>
      <c r="MF44" s="1029">
        <f t="shared" si="133"/>
        <v>0</v>
      </c>
      <c r="MG44" s="57">
        <f t="shared" si="134"/>
        <v>0</v>
      </c>
      <c r="MH44" s="171" t="str">
        <f t="shared" si="135"/>
        <v/>
      </c>
      <c r="MI44" s="57">
        <f t="shared" si="302"/>
        <v>0</v>
      </c>
      <c r="MJ44" s="57">
        <f>IF(OR(AND(LX$6=1,$L44=0),AND(LX$6=2,$K44=2,$G44=1)),0,IF(AND(LZ$9=2,(OR($F44&gt;1,$K44=1,AND($L44=80,OR($N44=1,AND($N44=2,'#BerechnungDBE'!$AL35&gt;0)))))),IF(LX$4&gt;=$AD$126,0,MH44),IF(LZ$9=3,IF(OR(LX$4&gt;=$AD$127,AND($G44=1,$J44=2,LX$6=2),AND(LX$6=1,$N44&lt;&gt;1)),0,IF(MB44&lt;=120,MH44,IF(LX$4&lt;$AD$124,IF($F44=1,60/LZ$4*LZ$6,60/LZ$4*LZ$7),IF($F44=1,120/LZ$4*LZ$6,120/LZ$4*LZ$7)))),IF(OR($F44=3,$G44=2),IF(OR(AND(LX$4&gt;=$AD$119,$C44=2),AND(LX$4&gt;=$AF$119,$C44=1)),0,IF(MB44&lt;=60,MH44,60/LZ$4*LZ$7)),IF(AND($F44=2,$G44=1),MH44,0)))))</f>
        <v>0</v>
      </c>
      <c r="MK44" s="57" t="str">
        <f t="shared" si="136"/>
        <v/>
      </c>
      <c r="ML44" s="57" t="str">
        <f t="shared" si="137"/>
        <v/>
      </c>
      <c r="MM44" s="713">
        <f>'org. Düngung 22'!CR43</f>
        <v>0</v>
      </c>
      <c r="MN44" s="57"/>
      <c r="MO44" s="57"/>
      <c r="MP44" s="57">
        <f t="shared" si="138"/>
        <v>0</v>
      </c>
      <c r="MQ44" s="57">
        <f t="shared" si="303"/>
        <v>0</v>
      </c>
      <c r="MR44" s="57">
        <f t="shared" si="304"/>
        <v>0</v>
      </c>
      <c r="MS44" s="57">
        <f t="shared" si="305"/>
        <v>0</v>
      </c>
      <c r="MT44" s="57">
        <f t="shared" si="306"/>
        <v>0</v>
      </c>
      <c r="MU44" s="1029">
        <f t="shared" si="139"/>
        <v>0</v>
      </c>
      <c r="MV44" s="57">
        <f t="shared" si="140"/>
        <v>0</v>
      </c>
      <c r="MW44" s="171" t="str">
        <f t="shared" si="141"/>
        <v/>
      </c>
      <c r="MX44" s="57">
        <f t="shared" si="307"/>
        <v>0</v>
      </c>
      <c r="MY44" s="57">
        <f>IF(OR(AND(MM$6=1,$L44=0),AND(MM$6=2,$K44=2,$G44=1)),0,IF(AND(MO$9=2,(OR($F44&gt;1,$K44=1,AND($L44=80,OR($N44=1,AND($N44=2,'#BerechnungDBE'!$AL35&gt;0)))))),IF(MM$4&gt;=$AD$126,0,MW44),IF(MO$9=3,IF(OR(MM$4&gt;=$AD$127,AND($G44=1,$J44=2,MM$6=2),AND(MM$6=1,$N44&lt;&gt;1)),0,IF(MQ44&lt;=120,MW44,IF(MM$4&lt;$AD$124,IF($F44=1,60/MO$4*MO$6,60/MO$4*MO$7),IF($F44=1,120/MO$4*MO$6,120/MO$4*MO$7)))),IF(OR($F44=3,$G44=2),IF(OR(AND(MM$4&gt;=$AD$119,$C44=2),AND(MM$4&gt;=$AF$119,$C44=1)),0,IF(MQ44&lt;=60,MW44,60/MO$4*MO$7)),IF(AND($F44=2,$G44=1),MW44,0)))))</f>
        <v>0</v>
      </c>
      <c r="MZ44" s="57" t="str">
        <f t="shared" si="142"/>
        <v/>
      </c>
      <c r="NA44" s="57" t="str">
        <f t="shared" si="143"/>
        <v/>
      </c>
      <c r="NB44" s="713">
        <f>'org. Düngung 22'!CV43</f>
        <v>0</v>
      </c>
      <c r="NC44" s="57"/>
      <c r="ND44" s="57"/>
      <c r="NE44" s="57">
        <f t="shared" si="144"/>
        <v>0</v>
      </c>
      <c r="NF44" s="57">
        <f t="shared" si="308"/>
        <v>0</v>
      </c>
      <c r="NG44" s="57">
        <f t="shared" si="309"/>
        <v>0</v>
      </c>
      <c r="NH44" s="57">
        <f t="shared" si="310"/>
        <v>0</v>
      </c>
      <c r="NI44" s="57">
        <f t="shared" si="311"/>
        <v>0</v>
      </c>
      <c r="NJ44" s="1029">
        <f t="shared" si="145"/>
        <v>0</v>
      </c>
      <c r="NK44" s="57">
        <f t="shared" si="146"/>
        <v>0</v>
      </c>
      <c r="NL44" s="171" t="str">
        <f t="shared" si="147"/>
        <v/>
      </c>
      <c r="NM44" s="57">
        <f t="shared" si="312"/>
        <v>0</v>
      </c>
      <c r="NN44" s="57">
        <f>IF(OR(AND(NB$6=1,$L44=0),AND(NB$6=2,$K44=2,$G44=1)),0,IF(AND(ND$9=2,(OR($F44&gt;1,$K44=1,AND($L44=80,OR($N44=1,AND($N44=2,'#BerechnungDBE'!$AL35&gt;0)))))),IF(NB$4&gt;=$AD$126,0,NL44),IF(ND$9=3,IF(OR(NB$4&gt;=$AD$127,AND($G44=1,$J44=2,NB$6=2),AND(NB$6=1,$N44&lt;&gt;1)),0,IF(NF44&lt;=120,NL44,IF(NB$4&lt;$AD$124,IF($F44=1,60/ND$4*ND$6,60/ND$4*ND$7),IF($F44=1,120/ND$4*ND$6,120/ND$4*ND$7)))),IF(OR($F44=3,$G44=2),IF(OR(AND(NB$4&gt;=$AD$119,$C44=2),AND(NB$4&gt;=$AF$119,$C44=1)),0,IF(NF44&lt;=60,NL44,60/ND$4*ND$7)),IF(AND($F44=2,$G44=1),NL44,0)))))</f>
        <v>0</v>
      </c>
      <c r="NO44" s="57" t="str">
        <f t="shared" si="148"/>
        <v/>
      </c>
      <c r="NP44" s="57" t="str">
        <f t="shared" si="149"/>
        <v/>
      </c>
      <c r="NQ44" s="713">
        <f>'org. Düngung 22'!CZ43</f>
        <v>0</v>
      </c>
      <c r="NR44" s="57"/>
      <c r="NS44" s="57"/>
      <c r="NT44" s="57">
        <f t="shared" si="150"/>
        <v>0</v>
      </c>
      <c r="NU44" s="57">
        <f t="shared" si="313"/>
        <v>0</v>
      </c>
      <c r="NV44" s="57">
        <f t="shared" si="314"/>
        <v>0</v>
      </c>
      <c r="NW44" s="57">
        <f t="shared" si="315"/>
        <v>0</v>
      </c>
      <c r="NX44" s="57">
        <f t="shared" si="316"/>
        <v>0</v>
      </c>
      <c r="NY44" s="1029">
        <f t="shared" si="151"/>
        <v>0</v>
      </c>
      <c r="NZ44" s="57">
        <f t="shared" si="152"/>
        <v>0</v>
      </c>
      <c r="OA44" s="171" t="str">
        <f t="shared" si="153"/>
        <v/>
      </c>
      <c r="OB44" s="57">
        <f t="shared" si="317"/>
        <v>0</v>
      </c>
      <c r="OC44" s="57">
        <f>IF(OR(AND(NQ$6=1,$L44=0),AND(NQ$6=2,$K44=2,$G44=1)),0,IF(AND(NS$9=2,(OR($F44&gt;1,$K44=1,AND($L44=80,OR($N44=1,AND($N44=2,'#BerechnungDBE'!$AL35&gt;0)))))),IF(NQ$4&gt;=$AD$126,0,OA44),IF(NS$9=3,IF(OR(NQ$4&gt;=$AD$127,AND($G44=1,$J44=2,NQ$6=2),AND(NQ$6=1,$N44&lt;&gt;1)),0,IF(NU44&lt;=120,OA44,IF(NQ$4&lt;$AD$124,IF($F44=1,60/NS$4*NS$6,60/NS$4*NS$7),IF($F44=1,120/NS$4*NS$6,120/NS$4*NS$7)))),IF(OR($F44=3,$G44=2),IF(OR(AND(NQ$4&gt;=$AD$119,$C44=2),AND(NQ$4&gt;=$AF$119,$C44=1)),0,IF(NU44&lt;=60,OA44,60/NS$4*NS$7)),IF(AND($F44=2,$G44=1),OA44,0)))))</f>
        <v>0</v>
      </c>
      <c r="OD44" s="57" t="str">
        <f t="shared" si="154"/>
        <v/>
      </c>
      <c r="OE44" s="57" t="str">
        <f t="shared" si="155"/>
        <v/>
      </c>
      <c r="OF44" s="713">
        <f>'org. Düngung 22'!DD43</f>
        <v>0</v>
      </c>
      <c r="OG44" s="57"/>
      <c r="OH44" s="57"/>
      <c r="OI44" s="57">
        <f t="shared" si="156"/>
        <v>0</v>
      </c>
      <c r="OJ44" s="57">
        <f t="shared" si="318"/>
        <v>0</v>
      </c>
      <c r="OK44" s="57">
        <f t="shared" si="319"/>
        <v>0</v>
      </c>
      <c r="OL44" s="57">
        <f t="shared" si="320"/>
        <v>0</v>
      </c>
      <c r="OM44" s="57">
        <f t="shared" si="321"/>
        <v>0</v>
      </c>
      <c r="ON44" s="1029">
        <f t="shared" si="157"/>
        <v>0</v>
      </c>
      <c r="OO44" s="57">
        <f t="shared" si="158"/>
        <v>0</v>
      </c>
      <c r="OP44" s="171" t="str">
        <f t="shared" si="159"/>
        <v/>
      </c>
      <c r="OQ44" s="57">
        <f t="shared" si="322"/>
        <v>0</v>
      </c>
      <c r="OR44" s="57">
        <f>IF(OR(AND(OF$6=1,$L44=0),AND(OF$6=2,$K44=2,$G44=1)),0,IF(AND(OH$9=2,(OR($F44&gt;1,$K44=1,AND($L44=80,OR($N44=1,AND($N44=2,'#BerechnungDBE'!$AL35&gt;0)))))),IF(OF$4&gt;=$AD$126,0,OP44),IF(OH$9=3,IF(OR(OF$4&gt;=$AD$127,AND($G44=1,$J44=2,OF$6=2),AND(OF$6=1,$N44&lt;&gt;1)),0,IF(OJ44&lt;=120,OP44,IF(OF$4&lt;$AD$124,IF($F44=1,60/OH$4*OH$6,60/OH$4*OH$7),IF($F44=1,120/OH$4*OH$6,120/OH$4*OH$7)))),IF(OR($F44=3,$G44=2),IF(OR(AND(OF$4&gt;=$AD$119,$C44=2),AND(OF$4&gt;=$AF$119,$C44=1)),0,IF(OJ44&lt;=60,OP44,60/OH$4*OH$7)),IF(AND($F44=2,$G44=1),OP44,0)))))</f>
        <v>0</v>
      </c>
      <c r="OS44" s="57" t="str">
        <f t="shared" si="160"/>
        <v/>
      </c>
      <c r="OT44" s="57" t="str">
        <f t="shared" si="161"/>
        <v/>
      </c>
      <c r="OU44" s="713">
        <f>'org. Düngung 22'!DH43</f>
        <v>0</v>
      </c>
      <c r="OV44" s="57"/>
      <c r="OW44" s="57"/>
      <c r="OX44" s="57">
        <f t="shared" si="162"/>
        <v>0</v>
      </c>
      <c r="OY44" s="57">
        <f t="shared" si="323"/>
        <v>0</v>
      </c>
      <c r="OZ44" s="57">
        <f t="shared" si="324"/>
        <v>0</v>
      </c>
      <c r="PA44" s="57">
        <f t="shared" si="325"/>
        <v>0</v>
      </c>
      <c r="PB44" s="57">
        <f t="shared" si="326"/>
        <v>0</v>
      </c>
      <c r="PC44" s="1029">
        <f t="shared" si="163"/>
        <v>0</v>
      </c>
      <c r="PD44" s="57">
        <f t="shared" si="164"/>
        <v>0</v>
      </c>
      <c r="PE44" s="171" t="str">
        <f t="shared" si="165"/>
        <v/>
      </c>
      <c r="PF44" s="57">
        <f t="shared" si="327"/>
        <v>0</v>
      </c>
      <c r="PG44" s="57">
        <f>IF(OR(AND(OU$6=1,$L44=0),AND(OU$6=2,$K44=2,$G44=1)),0,IF(AND(OW$9=2,(OR($F44&gt;1,$K44=1,AND($L44=80,OR($N44=1,AND($N44=2,'#BerechnungDBE'!$AL35&gt;0)))))),IF(OU$4&gt;=$AD$126,0,PE44),IF(OW$9=3,IF(OR(OU$4&gt;=$AD$127,AND($G44=1,$J44=2,OU$6=2),AND(OU$6=1,$N44&lt;&gt;1)),0,IF(OY44&lt;=120,PE44,IF(OU$4&lt;$AD$124,IF($F44=1,60/OW$4*OW$6,60/OW$4*OW$7),IF($F44=1,120/OW$4*OW$6,120/OW$4*OW$7)))),IF(OR($F44=3,$G44=2),IF(OR(AND(OU$4&gt;=$AD$119,$C44=2),AND(OU$4&gt;=$AF$119,$C44=1)),0,IF(OY44&lt;=60,PE44,60/OW$4*OW$7)),IF(AND($F44=2,$G44=1),PE44,0)))))</f>
        <v>0</v>
      </c>
      <c r="PH44" s="57" t="str">
        <f t="shared" si="166"/>
        <v/>
      </c>
      <c r="PI44" s="57" t="str">
        <f t="shared" si="167"/>
        <v/>
      </c>
      <c r="PJ44" s="713">
        <f>'org. Düngung 22'!DL43</f>
        <v>0</v>
      </c>
      <c r="PK44" s="57"/>
      <c r="PL44" s="57"/>
      <c r="PM44" s="57">
        <f t="shared" si="168"/>
        <v>0</v>
      </c>
      <c r="PN44" s="57">
        <f t="shared" si="328"/>
        <v>0</v>
      </c>
      <c r="PO44" s="57">
        <f t="shared" si="329"/>
        <v>0</v>
      </c>
      <c r="PP44" s="57">
        <f t="shared" si="330"/>
        <v>0</v>
      </c>
      <c r="PQ44" s="57">
        <f t="shared" si="331"/>
        <v>0</v>
      </c>
      <c r="PR44" s="1029">
        <f t="shared" si="169"/>
        <v>0</v>
      </c>
      <c r="PS44" s="57">
        <f t="shared" si="170"/>
        <v>0</v>
      </c>
      <c r="PT44" s="171" t="str">
        <f t="shared" si="171"/>
        <v/>
      </c>
      <c r="PU44" s="57">
        <f t="shared" si="332"/>
        <v>0</v>
      </c>
      <c r="PV44" s="57">
        <f>IF(OR(AND(PJ$6=1,$L44=0),AND(PJ$6=2,$K44=2,$G44=1)),0,IF(AND(PL$9=2,(OR($F44&gt;1,$K44=1,AND($L44=80,OR($N44=1,AND($N44=2,'#BerechnungDBE'!$AL35&gt;0)))))),IF(PJ$4&gt;=$AD$126,0,PT44),IF(PL$9=3,IF(OR(PJ$4&gt;=$AD$127,AND($G44=1,$J44=2,PJ$6=2),AND(PJ$6=1,$N44&lt;&gt;1)),0,IF(PN44&lt;=120,PT44,IF(PJ$4&lt;$AD$124,IF($F44=1,60/PL$4*PL$6,60/PL$4*PL$7),IF($F44=1,120/PL$4*PL$6,120/PL$4*PL$7)))),IF(OR($F44=3,$G44=2),IF(OR(AND(PJ$4&gt;=$AD$119,$C44=2),AND(PJ$4&gt;=$AF$119,$C44=1)),0,IF(PN44&lt;=60,PT44,60/PL$4*PL$7)),IF(AND($F44=2,$G44=1),PT44,0)))))</f>
        <v>0</v>
      </c>
      <c r="PW44" s="57" t="str">
        <f t="shared" si="172"/>
        <v/>
      </c>
      <c r="PX44" s="57" t="str">
        <f t="shared" si="173"/>
        <v/>
      </c>
      <c r="PY44" s="713">
        <f>'org. Düngung 22'!DP43</f>
        <v>0</v>
      </c>
      <c r="PZ44" s="57"/>
      <c r="QA44" s="57"/>
      <c r="QB44" s="57">
        <f t="shared" si="174"/>
        <v>0</v>
      </c>
      <c r="QC44" s="57">
        <f t="shared" si="333"/>
        <v>0</v>
      </c>
      <c r="QD44" s="57">
        <f t="shared" si="334"/>
        <v>0</v>
      </c>
      <c r="QE44" s="57">
        <f t="shared" si="335"/>
        <v>0</v>
      </c>
      <c r="QF44" s="57">
        <f t="shared" si="336"/>
        <v>0</v>
      </c>
      <c r="QG44" s="1029">
        <f t="shared" si="175"/>
        <v>0</v>
      </c>
      <c r="QH44" s="57">
        <f t="shared" si="176"/>
        <v>0</v>
      </c>
      <c r="QI44" s="171" t="str">
        <f t="shared" si="177"/>
        <v/>
      </c>
      <c r="QJ44" s="57">
        <f t="shared" si="337"/>
        <v>0</v>
      </c>
      <c r="QK44" s="57">
        <f>IF(OR(AND(PY$6=1,$L44=0),AND(PY$6=2,$K44=2,$G44=1)),0,IF(AND(QA$9=2,(OR($F44&gt;1,$K44=1,AND($L44=80,OR($N44=1,AND($N44=2,'#BerechnungDBE'!$AL35&gt;0)))))),IF(PY$4&gt;=$AD$126,0,QI44),IF(QA$9=3,IF(OR(PY$4&gt;=$AD$127,AND($G44=1,$J44=2,PY$6=2),AND(PY$6=1,$N44&lt;&gt;1)),0,IF(QC44&lt;=120,QI44,IF(PY$4&lt;$AD$124,IF($F44=1,60/QA$4*QA$6,60/QA$4*QA$7),IF($F44=1,120/QA$4*QA$6,120/QA$4*QA$7)))),IF(OR($F44=3,$G44=2),IF(OR(AND(PY$4&gt;=$AD$119,$C44=2),AND(PY$4&gt;=$AF$119,$C44=1)),0,IF(QC44&lt;=60,QI44,60/QA$4*QA$7)),IF(AND($F44=2,$G44=1),QI44,0)))))</f>
        <v>0</v>
      </c>
      <c r="QL44" s="57" t="str">
        <f t="shared" si="178"/>
        <v/>
      </c>
      <c r="QM44" s="57" t="str">
        <f t="shared" si="179"/>
        <v/>
      </c>
      <c r="QN44" s="713">
        <f>'org. Düngung 22'!DT43</f>
        <v>0</v>
      </c>
      <c r="QO44" s="57"/>
      <c r="QP44" s="57"/>
      <c r="QQ44" s="57">
        <f t="shared" si="180"/>
        <v>0</v>
      </c>
      <c r="QR44" s="57">
        <f t="shared" si="338"/>
        <v>0</v>
      </c>
      <c r="QS44" s="57">
        <f t="shared" si="339"/>
        <v>0</v>
      </c>
      <c r="QT44" s="57">
        <f t="shared" si="340"/>
        <v>0</v>
      </c>
      <c r="QU44" s="57">
        <f t="shared" si="341"/>
        <v>0</v>
      </c>
      <c r="QV44" s="1029">
        <f t="shared" si="181"/>
        <v>0</v>
      </c>
      <c r="QW44" s="57">
        <f t="shared" si="182"/>
        <v>0</v>
      </c>
      <c r="QX44" s="171" t="str">
        <f t="shared" si="183"/>
        <v/>
      </c>
      <c r="QY44" s="57">
        <f t="shared" si="342"/>
        <v>0</v>
      </c>
      <c r="QZ44" s="57">
        <f>IF(OR(AND(QN$6=1,$L44=0),AND(QN$6=2,$K44=2,$G44=1)),0,IF(AND(QP$9=2,(OR($F44&gt;1,$K44=1,AND($L44=80,OR($N44=1,AND($N44=2,'#BerechnungDBE'!$AL35&gt;0)))))),IF(QN$4&gt;=$AD$126,0,QX44),IF(QP$9=3,IF(OR(QN$4&gt;=$AD$127,AND($G44=1,$J44=2,QN$6=2),AND(QN$6=1,$N44&lt;&gt;1)),0,IF(QR44&lt;=120,QX44,IF(QN$4&lt;$AD$124,IF($F44=1,60/QP$4*QP$6,60/QP$4*QP$7),IF($F44=1,120/QP$4*QP$6,120/QP$4*QP$7)))),IF(OR($F44=3,$G44=2),IF(OR(AND(QN$4&gt;=$AD$119,$C44=2),AND(QN$4&gt;=$AF$119,$C44=1)),0,IF(QR44&lt;=60,QX44,60/QP$4*QP$7)),IF(AND($F44=2,$G44=1),QX44,0)))))</f>
        <v>0</v>
      </c>
      <c r="RA44" s="57" t="str">
        <f t="shared" si="184"/>
        <v/>
      </c>
      <c r="RB44" s="57" t="str">
        <f t="shared" si="185"/>
        <v/>
      </c>
      <c r="RC44" s="713">
        <f>'org. Düngung 22'!DX43</f>
        <v>0</v>
      </c>
      <c r="RD44" s="57"/>
      <c r="RE44" s="57"/>
      <c r="RF44" s="57">
        <f t="shared" si="186"/>
        <v>0</v>
      </c>
      <c r="RG44" s="57">
        <f t="shared" si="343"/>
        <v>0</v>
      </c>
      <c r="RH44" s="57">
        <f t="shared" si="344"/>
        <v>0</v>
      </c>
      <c r="RI44" s="57">
        <f t="shared" si="345"/>
        <v>0</v>
      </c>
      <c r="RJ44" s="57">
        <f t="shared" si="346"/>
        <v>0</v>
      </c>
      <c r="RK44" s="1029">
        <f t="shared" si="187"/>
        <v>0</v>
      </c>
      <c r="RL44" s="57">
        <f t="shared" si="188"/>
        <v>0</v>
      </c>
      <c r="RM44" s="171" t="str">
        <f t="shared" si="189"/>
        <v/>
      </c>
      <c r="RN44" s="57">
        <f t="shared" si="347"/>
        <v>0</v>
      </c>
      <c r="RO44" s="57">
        <f>IF(OR(AND(RC$6=1,$L44=0),AND(RC$6=2,$K44=2,$G44=1)),0,IF(AND(RE$9=2,(OR($F44&gt;1,$K44=1,AND($L44=80,OR($N44=1,AND($N44=2,'#BerechnungDBE'!$AL35&gt;0)))))),IF(RC$4&gt;=$AD$126,0,RM44),IF(RE$9=3,IF(OR(RC$4&gt;=$AD$127,AND($G44=1,$J44=2,RC$6=2),AND(RC$6=1,$N44&lt;&gt;1)),0,IF(RG44&lt;=120,RM44,IF(RC$4&lt;$AD$124,IF($F44=1,60/RE$4*RE$6,60/RE$4*RE$7),IF($F44=1,120/RE$4*RE$6,120/RE$4*RE$7)))),IF(OR($F44=3,$G44=2),IF(OR(AND(RC$4&gt;=$AD$119,$C44=2),AND(RC$4&gt;=$AF$119,$C44=1)),0,IF(RG44&lt;=60,RM44,60/RE$4*RE$7)),IF(AND($F44=2,$G44=1),RM44,0)))))</f>
        <v>0</v>
      </c>
      <c r="RP44" s="57" t="str">
        <f t="shared" si="190"/>
        <v/>
      </c>
      <c r="RQ44" s="57" t="str">
        <f t="shared" si="191"/>
        <v/>
      </c>
      <c r="RS44" s="57" t="str">
        <f t="shared" si="348"/>
        <v/>
      </c>
      <c r="RT44" s="57" t="str">
        <f t="shared" si="192"/>
        <v/>
      </c>
      <c r="RU44" s="57" t="str">
        <f t="shared" si="193"/>
        <v/>
      </c>
      <c r="RV44" s="57" t="str">
        <f>IF(Z44&gt;'#BerechnungDBE'!BM35,$RV$9,"")</f>
        <v/>
      </c>
      <c r="RW44" s="57" t="str">
        <f>IF(AND(L44=70,AE44&gt;'#BerechnungDBE'!CQ35),$RW$9,"")</f>
        <v/>
      </c>
      <c r="RX44" s="57" t="str">
        <f>IF(OR('org. Düngung 22'!G43="--",'org. Düngung 22'!G43&lt;=170,'org. Düngung 22'!G43=""),"",$RX$9)</f>
        <v/>
      </c>
      <c r="RY44" s="57" t="str">
        <f>IF('org. Düngung 22'!K43&gt;120,'#orgDung'!$RY$9,"")</f>
        <v/>
      </c>
      <c r="RZ44" s="57" t="str">
        <f>IF('#BerechnungDBE'!P35&lt;4,"",IF(AND('#BerechnungDBE'!BZ35&gt;0,T44&gt;0),'#orgDung'!$RZ$9,""))</f>
        <v/>
      </c>
      <c r="SA44" s="57" t="str">
        <f t="shared" si="194"/>
        <v/>
      </c>
    </row>
    <row r="45" spans="1:495" s="875" customFormat="1" x14ac:dyDescent="0.2">
      <c r="A45" s="875">
        <f>'Flächen u. Kulturen'!A41</f>
        <v>32</v>
      </c>
      <c r="B45" s="367">
        <f>'#BerechnungDBE'!L36</f>
        <v>0</v>
      </c>
      <c r="C45" s="875">
        <f>'#BerechnungDBE'!R36</f>
        <v>1</v>
      </c>
      <c r="D45" s="875">
        <f>'#BerechnungDBE'!T36</f>
        <v>2</v>
      </c>
      <c r="E45" s="875" t="str">
        <f>'Flächen u. Kulturen'!E41</f>
        <v>x</v>
      </c>
      <c r="F45" s="52">
        <f>'#BerechnungDBE'!N36</f>
        <v>1</v>
      </c>
      <c r="G45" s="52">
        <f>'#BerechnungDBE'!O36</f>
        <v>1</v>
      </c>
      <c r="H45" s="875">
        <f>IF('Flächen u. Kulturen'!P41="",0,VLOOKUP('Flächen u. Kulturen'!P41,Kulturen[[HF]:[Berechnungsgruppe]],'#Frucht'!$H$1,FALSE))</f>
        <v>0</v>
      </c>
      <c r="I45" s="875">
        <f>IF('Flächen u. Kulturen'!J41="",0,VLOOKUP('Flächen u. Kulturen'!J41,Kulturen[[HF]:[Berechnungsgruppe]],'#Frucht'!$G$1,FALSE))</f>
        <v>90</v>
      </c>
      <c r="J45" s="505">
        <f t="shared" si="195"/>
        <v>2</v>
      </c>
      <c r="K45" s="505">
        <f>IF('Flächen u. Kulturen'!P41="",0,IF(VLOOKUP('Flächen u. Kulturen'!P41,Kulturen[[HF]:[Saat Winterungen]],'#Frucht'!$P$1,FALSE)&gt;0,1,2))</f>
        <v>2</v>
      </c>
      <c r="L45" s="875">
        <f>'#BerechnungDBE'!AF36</f>
        <v>0</v>
      </c>
      <c r="M45" s="875">
        <f>IF('Flächen u. Kulturen'!L41="",0,VLOOKUP('Flächen u. Kulturen'!L41,Nebenkultur[[Nebenkultur]:[Legum. Zwischenfr.]],'#Zweitfr'!$K$1,FALSE))</f>
        <v>0</v>
      </c>
      <c r="N45" s="875">
        <f>'#BerechnungDBE'!AG36</f>
        <v>0</v>
      </c>
      <c r="P45" s="57">
        <f t="shared" si="0"/>
        <v>0</v>
      </c>
      <c r="Q45" s="57">
        <f t="shared" si="1"/>
        <v>0</v>
      </c>
      <c r="R45" s="875">
        <f t="shared" si="2"/>
        <v>0</v>
      </c>
      <c r="S45" s="938" t="str">
        <f t="shared" si="3"/>
        <v/>
      </c>
      <c r="T45" s="875">
        <f t="shared" si="4"/>
        <v>0</v>
      </c>
      <c r="U45" s="875">
        <f t="shared" si="5"/>
        <v>0</v>
      </c>
      <c r="V45" s="875">
        <f t="shared" si="6"/>
        <v>0</v>
      </c>
      <c r="W45" s="875">
        <f t="shared" si="7"/>
        <v>0</v>
      </c>
      <c r="X45" s="875">
        <f t="shared" si="8"/>
        <v>0</v>
      </c>
      <c r="Y45" s="875">
        <f t="shared" si="349"/>
        <v>0</v>
      </c>
      <c r="Z45" s="875">
        <f t="shared" si="350"/>
        <v>0</v>
      </c>
      <c r="AA45" s="910">
        <f t="shared" si="9"/>
        <v>0</v>
      </c>
      <c r="AB45" s="57">
        <f t="shared" si="351"/>
        <v>0</v>
      </c>
      <c r="AC45" s="875">
        <f t="shared" si="10"/>
        <v>0</v>
      </c>
      <c r="AD45" s="875">
        <f t="shared" si="11"/>
        <v>0</v>
      </c>
      <c r="AE45" s="875">
        <f t="shared" si="12"/>
        <v>0</v>
      </c>
      <c r="AF45" s="875">
        <f t="shared" si="352"/>
        <v>0</v>
      </c>
      <c r="AG45" s="875">
        <f>'org. Düngung 22'!J44</f>
        <v>0</v>
      </c>
      <c r="AH45" s="875">
        <f>'org. Düngung 22'!K44</f>
        <v>0</v>
      </c>
      <c r="AJ45" s="713">
        <f>'org. Düngung 22'!L44</f>
        <v>0</v>
      </c>
      <c r="AK45" s="57"/>
      <c r="AL45" s="57"/>
      <c r="AM45" s="57">
        <f t="shared" si="196"/>
        <v>0</v>
      </c>
      <c r="AN45" s="57">
        <f t="shared" si="197"/>
        <v>0</v>
      </c>
      <c r="AO45" s="57">
        <f t="shared" si="198"/>
        <v>0</v>
      </c>
      <c r="AP45" s="57">
        <f t="shared" si="199"/>
        <v>0</v>
      </c>
      <c r="AQ45" s="57">
        <f t="shared" si="200"/>
        <v>0</v>
      </c>
      <c r="AR45" s="1029">
        <f t="shared" si="14"/>
        <v>0</v>
      </c>
      <c r="AS45" s="57">
        <f t="shared" si="15"/>
        <v>0</v>
      </c>
      <c r="AT45" s="171" t="str">
        <f t="shared" si="16"/>
        <v/>
      </c>
      <c r="AU45" s="57">
        <f t="shared" si="201"/>
        <v>0</v>
      </c>
      <c r="AV45" s="57">
        <f>IF(OR(AND(AJ$6=1,$L45=0),AND(AJ$6=2,$K45=2,$G45=1)),0,IF(AND(AL$9=2,(OR($F45&gt;1,$K45=1,AND($L45=80,OR($N45=1,AND($N45=2,'#BerechnungDBE'!$AL36&gt;0)))))),IF(AJ$4&gt;=$AD$126,0,AT45),IF(AL$9=3,IF(OR(AJ$4&gt;=$AD$127,AND($G45=1,$J45=2,AJ$6=2),AND(AJ$6=1,$N45&lt;&gt;1)),0,IF(AN45&lt;=120,AT45,IF(AJ$4&lt;$AD$124,IF($F45=1,60/AL$4*AL$6,60/AL$4*AL$7),IF($F45=1,120/AL$4*AL$6,120/AL$4*AL$7)))),IF(OR($F45=3,$G45=2),IF(OR(AND(AJ$4&gt;=$AD$119,$C45=2),AND(AJ$4&gt;=$AF$119,$C45=1)),0,IF(AN45&lt;=60,AT45,60/AL$4*AL$7)),IF(AND($F45=2,$G45=1),AT45,0)))))</f>
        <v>0</v>
      </c>
      <c r="AW45" s="57" t="str">
        <f t="shared" si="202"/>
        <v/>
      </c>
      <c r="AX45" s="57" t="str">
        <f t="shared" si="17"/>
        <v/>
      </c>
      <c r="AY45" s="713">
        <f>'org. Düngung 22'!P44</f>
        <v>0</v>
      </c>
      <c r="AZ45" s="57"/>
      <c r="BA45" s="57"/>
      <c r="BB45" s="57">
        <f t="shared" si="18"/>
        <v>0</v>
      </c>
      <c r="BC45" s="57">
        <f t="shared" si="203"/>
        <v>0</v>
      </c>
      <c r="BD45" s="57">
        <f t="shared" si="204"/>
        <v>0</v>
      </c>
      <c r="BE45" s="57">
        <f t="shared" si="205"/>
        <v>0</v>
      </c>
      <c r="BF45" s="57">
        <f t="shared" si="206"/>
        <v>0</v>
      </c>
      <c r="BG45" s="1029">
        <f t="shared" si="19"/>
        <v>0</v>
      </c>
      <c r="BH45" s="57">
        <f t="shared" si="20"/>
        <v>0</v>
      </c>
      <c r="BI45" s="171" t="str">
        <f t="shared" si="21"/>
        <v/>
      </c>
      <c r="BJ45" s="57">
        <f t="shared" si="207"/>
        <v>0</v>
      </c>
      <c r="BK45" s="57">
        <f>IF(OR(AND(AY$6=1,$L45=0),AND(AY$6=2,$K45=2,$G45=1)),0,IF(AND(BA$9=2,(OR($F45&gt;1,$K45=1,AND($L45=80,OR($N45=1,AND($N45=2,'#BerechnungDBE'!$AL36&gt;0)))))),IF(AY$4&gt;=$AD$126,0,BI45),IF(BA$9=3,IF(OR(AY$4&gt;=$AD$127,AND($G45=1,$J45=2,AY$6=2),AND(AY$6=1,$N45&lt;&gt;1)),0,IF(BC45&lt;=120,BI45,IF(AY$4&lt;$AD$124,IF($F45=1,60/BA$4*BA$6,60/BA$4*BA$7),IF($F45=1,120/BA$4*BA$6,120/BA$4*BA$7)))),IF(OR($F45=3,$G45=2),IF(OR(AND(AY$4&gt;=$AD$119,$C45=2),AND(AY$4&gt;=$AF$119,$C45=1)),0,IF(BC45&lt;=60,BI45,60/BA$4*BA$7)),IF(AND($F45=2,$G45=1),BI45,0)))))</f>
        <v>0</v>
      </c>
      <c r="BL45" s="57" t="str">
        <f t="shared" si="22"/>
        <v/>
      </c>
      <c r="BM45" s="57" t="str">
        <f t="shared" si="23"/>
        <v/>
      </c>
      <c r="BN45" s="713">
        <f>'org. Düngung 22'!T44</f>
        <v>0</v>
      </c>
      <c r="BO45" s="57"/>
      <c r="BP45" s="57"/>
      <c r="BQ45" s="57">
        <f t="shared" si="24"/>
        <v>0</v>
      </c>
      <c r="BR45" s="57">
        <f t="shared" si="208"/>
        <v>0</v>
      </c>
      <c r="BS45" s="57">
        <f t="shared" si="209"/>
        <v>0</v>
      </c>
      <c r="BT45" s="57">
        <f t="shared" si="210"/>
        <v>0</v>
      </c>
      <c r="BU45" s="57">
        <f t="shared" si="211"/>
        <v>0</v>
      </c>
      <c r="BV45" s="1029">
        <f t="shared" si="25"/>
        <v>0</v>
      </c>
      <c r="BW45" s="57">
        <f t="shared" si="26"/>
        <v>0</v>
      </c>
      <c r="BX45" s="171" t="str">
        <f t="shared" si="27"/>
        <v/>
      </c>
      <c r="BY45" s="57">
        <f t="shared" si="212"/>
        <v>0</v>
      </c>
      <c r="BZ45" s="57">
        <f>IF(OR(AND(BN$6=1,$L45=0),AND(BN$6=2,$K45=2,$G45=1)),0,IF(AND(BP$9=2,(OR($F45&gt;1,$K45=1,AND($L45=80,OR($N45=1,AND($N45=2,'#BerechnungDBE'!$AL36&gt;0)))))),IF(BN$4&gt;=$AD$126,0,BX45),IF(BP$9=3,IF(OR(BN$4&gt;=$AD$127,AND($G45=1,$J45=2,BN$6=2),AND(BN$6=1,$N45&lt;&gt;1)),0,IF(BR45&lt;=120,BX45,IF(BN$4&lt;$AD$124,IF($F45=1,60/BP$4*BP$6,60/BP$4*BP$7),IF($F45=1,120/BP$4*BP$6,120/BP$4*BP$7)))),IF(OR($F45=3,$G45=2),IF(OR(AND(BN$4&gt;=$AD$119,$C45=2),AND(BN$4&gt;=$AF$119,$C45=1)),0,IF(BR45&lt;=60,BX45,60/BP$4*BP$7)),IF(AND($F45=2,$G45=1),BX45,0)))))</f>
        <v>0</v>
      </c>
      <c r="CA45" s="57" t="str">
        <f t="shared" si="28"/>
        <v/>
      </c>
      <c r="CB45" s="57" t="str">
        <f t="shared" si="29"/>
        <v/>
      </c>
      <c r="CC45" s="713">
        <f>'org. Düngung 22'!X44</f>
        <v>0</v>
      </c>
      <c r="CD45" s="57"/>
      <c r="CE45" s="57"/>
      <c r="CF45" s="57">
        <f t="shared" si="30"/>
        <v>0</v>
      </c>
      <c r="CG45" s="57">
        <f t="shared" si="213"/>
        <v>0</v>
      </c>
      <c r="CH45" s="57">
        <f t="shared" si="214"/>
        <v>0</v>
      </c>
      <c r="CI45" s="57">
        <f t="shared" si="215"/>
        <v>0</v>
      </c>
      <c r="CJ45" s="57">
        <f t="shared" si="216"/>
        <v>0</v>
      </c>
      <c r="CK45" s="1029">
        <f t="shared" si="31"/>
        <v>0</v>
      </c>
      <c r="CL45" s="57">
        <f t="shared" si="32"/>
        <v>0</v>
      </c>
      <c r="CM45" s="171" t="str">
        <f t="shared" si="33"/>
        <v/>
      </c>
      <c r="CN45" s="57">
        <f t="shared" si="217"/>
        <v>0</v>
      </c>
      <c r="CO45" s="57">
        <f>IF(OR(AND(CC$6=1,$L45=0),AND(CC$6=2,$K45=2,$G45=1)),0,IF(AND(CE$9=2,(OR($F45&gt;1,$K45=1,AND($L45=80,OR($N45=1,AND($N45=2,'#BerechnungDBE'!$AL36&gt;0)))))),IF(CC$4&gt;=$AD$126,0,CM45),IF(CE$9=3,IF(OR(CC$4&gt;=$AD$127,AND($G45=1,$J45=2,CC$6=2),AND(CC$6=1,$N45&lt;&gt;1)),0,IF(CG45&lt;=120,CM45,IF(CC$4&lt;$AD$124,IF($F45=1,60/CE$4*CE$6,60/CE$4*CE$7),IF($F45=1,120/CE$4*CE$6,120/CE$4*CE$7)))),IF(OR($F45=3,$G45=2),IF(OR(AND(CC$4&gt;=$AD$119,$C45=2),AND(CC$4&gt;=$AF$119,$C45=1)),0,IF(CG45&lt;=60,CM45,60/CE$4*CE$7)),IF(AND($F45=2,$G45=1),CM45,0)))))</f>
        <v>0</v>
      </c>
      <c r="CP45" s="57" t="str">
        <f t="shared" si="34"/>
        <v/>
      </c>
      <c r="CQ45" s="57" t="str">
        <f t="shared" si="35"/>
        <v/>
      </c>
      <c r="CR45" s="713">
        <f>'org. Düngung 22'!AB44</f>
        <v>0</v>
      </c>
      <c r="CS45" s="57"/>
      <c r="CT45" s="57"/>
      <c r="CU45" s="57">
        <f t="shared" si="36"/>
        <v>0</v>
      </c>
      <c r="CV45" s="57">
        <f t="shared" si="218"/>
        <v>0</v>
      </c>
      <c r="CW45" s="57">
        <f t="shared" si="219"/>
        <v>0</v>
      </c>
      <c r="CX45" s="57">
        <f t="shared" si="220"/>
        <v>0</v>
      </c>
      <c r="CY45" s="57">
        <f t="shared" si="221"/>
        <v>0</v>
      </c>
      <c r="CZ45" s="1029">
        <f t="shared" si="37"/>
        <v>0</v>
      </c>
      <c r="DA45" s="57">
        <f t="shared" si="38"/>
        <v>0</v>
      </c>
      <c r="DB45" s="171" t="str">
        <f t="shared" si="39"/>
        <v/>
      </c>
      <c r="DC45" s="57">
        <f t="shared" si="222"/>
        <v>0</v>
      </c>
      <c r="DD45" s="57">
        <f>IF(OR(AND(CR$6=1,$L45=0),AND(CR$6=2,$K45=2,$G45=1)),0,IF(AND(CT$9=2,(OR($F45&gt;1,$K45=1,AND($L45=80,OR($N45=1,AND($N45=2,'#BerechnungDBE'!$AL36&gt;0)))))),IF(CR$4&gt;=$AD$126,0,DB45),IF(CT$9=3,IF(OR(CR$4&gt;=$AD$127,AND($G45=1,$J45=2,CR$6=2),AND(CR$6=1,$N45&lt;&gt;1)),0,IF(CV45&lt;=120,DB45,IF(CR$4&lt;$AD$124,IF($F45=1,60/CT$4*CT$6,60/CT$4*CT$7),IF($F45=1,120/CT$4*CT$6,120/CT$4*CT$7)))),IF(OR($F45=3,$G45=2),IF(OR(AND(CR$4&gt;=$AD$119,$C45=2),AND(CR$4&gt;=$AF$119,$C45=1)),0,IF(CV45&lt;=60,DB45,60/CT$4*CT$7)),IF(AND($F45=2,$G45=1),DB45,0)))))</f>
        <v>0</v>
      </c>
      <c r="DE45" s="57" t="str">
        <f t="shared" si="40"/>
        <v/>
      </c>
      <c r="DF45" s="57" t="str">
        <f t="shared" si="41"/>
        <v/>
      </c>
      <c r="DG45" s="713">
        <f>'org. Düngung 22'!AF44</f>
        <v>0</v>
      </c>
      <c r="DH45" s="57"/>
      <c r="DI45" s="57"/>
      <c r="DJ45" s="57">
        <f t="shared" si="42"/>
        <v>0</v>
      </c>
      <c r="DK45" s="57">
        <f t="shared" si="223"/>
        <v>0</v>
      </c>
      <c r="DL45" s="57">
        <f t="shared" si="224"/>
        <v>0</v>
      </c>
      <c r="DM45" s="57">
        <f t="shared" si="225"/>
        <v>0</v>
      </c>
      <c r="DN45" s="57">
        <f t="shared" si="226"/>
        <v>0</v>
      </c>
      <c r="DO45" s="1029">
        <f t="shared" si="43"/>
        <v>0</v>
      </c>
      <c r="DP45" s="57">
        <f t="shared" si="44"/>
        <v>0</v>
      </c>
      <c r="DQ45" s="171" t="str">
        <f t="shared" si="45"/>
        <v/>
      </c>
      <c r="DR45" s="57">
        <f t="shared" si="227"/>
        <v>0</v>
      </c>
      <c r="DS45" s="57">
        <f>IF(OR(AND(DG$6=1,$L45=0),AND(DG$6=2,$K45=2,$G45=1)),0,IF(AND(DI$9=2,(OR($F45&gt;1,$K45=1,AND($L45=80,OR($N45=1,AND($N45=2,'#BerechnungDBE'!$AL36&gt;0)))))),IF(DG$4&gt;=$AD$126,0,DQ45),IF(DI$9=3,IF(OR(DG$4&gt;=$AD$127,AND($G45=1,$J45=2,DG$6=2),AND(DG$6=1,$N45&lt;&gt;1)),0,IF(DK45&lt;=120,DQ45,IF(DG$4&lt;$AD$124,IF($F45=1,60/DI$4*DI$6,60/DI$4*DI$7),IF($F45=1,120/DI$4*DI$6,120/DI$4*DI$7)))),IF(OR($F45=3,$G45=2),IF(OR(AND(DG$4&gt;=$AD$119,$C45=2),AND(DG$4&gt;=$AF$119,$C45=1)),0,IF(DK45&lt;=60,DQ45,60/DI$4*DI$7)),IF(AND($F45=2,$G45=1),DQ45,0)))))</f>
        <v>0</v>
      </c>
      <c r="DT45" s="57" t="str">
        <f t="shared" si="46"/>
        <v/>
      </c>
      <c r="DU45" s="57" t="str">
        <f t="shared" si="47"/>
        <v/>
      </c>
      <c r="DV45" s="713">
        <f>'org. Düngung 22'!AJ44</f>
        <v>0</v>
      </c>
      <c r="DW45" s="57"/>
      <c r="DX45" s="57"/>
      <c r="DY45" s="57">
        <f t="shared" si="48"/>
        <v>0</v>
      </c>
      <c r="DZ45" s="57">
        <f t="shared" si="228"/>
        <v>0</v>
      </c>
      <c r="EA45" s="57">
        <f t="shared" si="229"/>
        <v>0</v>
      </c>
      <c r="EB45" s="57">
        <f t="shared" si="230"/>
        <v>0</v>
      </c>
      <c r="EC45" s="57">
        <f t="shared" si="231"/>
        <v>0</v>
      </c>
      <c r="ED45" s="1029">
        <f t="shared" si="49"/>
        <v>0</v>
      </c>
      <c r="EE45" s="57">
        <f t="shared" si="50"/>
        <v>0</v>
      </c>
      <c r="EF45" s="171" t="str">
        <f t="shared" si="51"/>
        <v/>
      </c>
      <c r="EG45" s="57">
        <f t="shared" si="232"/>
        <v>0</v>
      </c>
      <c r="EH45" s="57">
        <f>IF(OR(AND(DV$6=1,$L45=0),AND(DV$6=2,$K45=2,$G45=1)),0,IF(AND(DX$9=2,(OR($F45&gt;1,$K45=1,AND($L45=80,OR($N45=1,AND($N45=2,'#BerechnungDBE'!$AL36&gt;0)))))),IF(DV$4&gt;=$AD$126,0,EF45),IF(DX$9=3,IF(OR(DV$4&gt;=$AD$127,AND($G45=1,$J45=2,DV$6=2),AND(DV$6=1,$N45&lt;&gt;1)),0,IF(DZ45&lt;=120,EF45,IF(DV$4&lt;$AD$124,IF($F45=1,60/DX$4*DX$6,60/DX$4*DX$7),IF($F45=1,120/DX$4*DX$6,120/DX$4*DX$7)))),IF(OR($F45=3,$G45=2),IF(OR(AND(DV$4&gt;=$AD$119,$C45=2),AND(DV$4&gt;=$AF$119,$C45=1)),0,IF(DZ45&lt;=60,EF45,60/DX$4*DX$7)),IF(AND($F45=2,$G45=1),EF45,0)))))</f>
        <v>0</v>
      </c>
      <c r="EI45" s="57" t="str">
        <f t="shared" si="52"/>
        <v/>
      </c>
      <c r="EJ45" s="57" t="str">
        <f t="shared" si="53"/>
        <v/>
      </c>
      <c r="EK45" s="713">
        <f>'org. Düngung 22'!AN44</f>
        <v>0</v>
      </c>
      <c r="EL45" s="57"/>
      <c r="EM45" s="57"/>
      <c r="EN45" s="57">
        <f t="shared" si="54"/>
        <v>0</v>
      </c>
      <c r="EO45" s="57">
        <f t="shared" si="233"/>
        <v>0</v>
      </c>
      <c r="EP45" s="57">
        <f t="shared" si="234"/>
        <v>0</v>
      </c>
      <c r="EQ45" s="57">
        <f t="shared" si="235"/>
        <v>0</v>
      </c>
      <c r="ER45" s="57">
        <f t="shared" si="236"/>
        <v>0</v>
      </c>
      <c r="ES45" s="1029">
        <f t="shared" si="55"/>
        <v>0</v>
      </c>
      <c r="ET45" s="57">
        <f t="shared" si="56"/>
        <v>0</v>
      </c>
      <c r="EU45" s="171" t="str">
        <f t="shared" si="57"/>
        <v/>
      </c>
      <c r="EV45" s="57">
        <f t="shared" si="237"/>
        <v>0</v>
      </c>
      <c r="EW45" s="57">
        <f>IF(OR(AND(EK$6=1,$L45=0),AND(EK$6=2,$K45=2,$G45=1)),0,IF(AND(EM$9=2,(OR($F45&gt;1,$K45=1,AND($L45=80,OR($N45=1,AND($N45=2,'#BerechnungDBE'!$AL36&gt;0)))))),IF(EK$4&gt;=$AD$126,0,EU45),IF(EM$9=3,IF(OR(EK$4&gt;=$AD$127,AND($G45=1,$J45=2,EK$6=2),AND(EK$6=1,$N45&lt;&gt;1)),0,IF(EO45&lt;=120,EU45,IF(EK$4&lt;$AD$124,IF($F45=1,60/EM$4*EM$6,60/EM$4*EM$7),IF($F45=1,120/EM$4*EM$6,120/EM$4*EM$7)))),IF(OR($F45=3,$G45=2),IF(OR(AND(EK$4&gt;=$AD$119,$C45=2),AND(EK$4&gt;=$AF$119,$C45=1)),0,IF(EO45&lt;=60,EU45,60/EM$4*EM$7)),IF(AND($F45=2,$G45=1),EU45,0)))))</f>
        <v>0</v>
      </c>
      <c r="EX45" s="57" t="str">
        <f t="shared" si="58"/>
        <v/>
      </c>
      <c r="EY45" s="57" t="str">
        <f t="shared" si="59"/>
        <v/>
      </c>
      <c r="EZ45" s="713">
        <f>'org. Düngung 22'!AR44</f>
        <v>0</v>
      </c>
      <c r="FA45" s="57"/>
      <c r="FB45" s="57"/>
      <c r="FC45" s="57">
        <f t="shared" si="60"/>
        <v>0</v>
      </c>
      <c r="FD45" s="57">
        <f t="shared" si="238"/>
        <v>0</v>
      </c>
      <c r="FE45" s="57">
        <f t="shared" si="239"/>
        <v>0</v>
      </c>
      <c r="FF45" s="57">
        <f t="shared" si="240"/>
        <v>0</v>
      </c>
      <c r="FG45" s="57">
        <f t="shared" si="241"/>
        <v>0</v>
      </c>
      <c r="FH45" s="1029">
        <f t="shared" si="61"/>
        <v>0</v>
      </c>
      <c r="FI45" s="57">
        <f t="shared" si="62"/>
        <v>0</v>
      </c>
      <c r="FJ45" s="171" t="str">
        <f t="shared" si="63"/>
        <v/>
      </c>
      <c r="FK45" s="57">
        <f t="shared" si="242"/>
        <v>0</v>
      </c>
      <c r="FL45" s="57">
        <f>IF(OR(AND(EZ$6=1,$L45=0),AND(EZ$6=2,$K45=2,$G45=1)),0,IF(AND(FB$9=2,(OR($F45&gt;1,$K45=1,AND($L45=80,OR($N45=1,AND($N45=2,'#BerechnungDBE'!$AL36&gt;0)))))),IF(EZ$4&gt;=$AD$126,0,FJ45),IF(FB$9=3,IF(OR(EZ$4&gt;=$AD$127,AND($G45=1,$J45=2,EZ$6=2),AND(EZ$6=1,$N45&lt;&gt;1)),0,IF(FD45&lt;=120,FJ45,IF(EZ$4&lt;$AD$124,IF($F45=1,60/FB$4*FB$6,60/FB$4*FB$7),IF($F45=1,120/FB$4*FB$6,120/FB$4*FB$7)))),IF(OR($F45=3,$G45=2),IF(OR(AND(EZ$4&gt;=$AD$119,$C45=2),AND(EZ$4&gt;=$AF$119,$C45=1)),0,IF(FD45&lt;=60,FJ45,60/FB$4*FB$7)),IF(AND($F45=2,$G45=1),FJ45,0)))))</f>
        <v>0</v>
      </c>
      <c r="FM45" s="57" t="str">
        <f t="shared" si="64"/>
        <v/>
      </c>
      <c r="FN45" s="57" t="str">
        <f t="shared" si="65"/>
        <v/>
      </c>
      <c r="FO45" s="713">
        <f>'org. Düngung 22'!AV44</f>
        <v>0</v>
      </c>
      <c r="FP45" s="57"/>
      <c r="FQ45" s="57"/>
      <c r="FR45" s="57">
        <f t="shared" si="66"/>
        <v>0</v>
      </c>
      <c r="FS45" s="57">
        <f t="shared" si="243"/>
        <v>0</v>
      </c>
      <c r="FT45" s="57">
        <f t="shared" si="244"/>
        <v>0</v>
      </c>
      <c r="FU45" s="57">
        <f t="shared" si="245"/>
        <v>0</v>
      </c>
      <c r="FV45" s="57">
        <f t="shared" si="246"/>
        <v>0</v>
      </c>
      <c r="FW45" s="1029">
        <f t="shared" si="67"/>
        <v>0</v>
      </c>
      <c r="FX45" s="57">
        <f t="shared" si="68"/>
        <v>0</v>
      </c>
      <c r="FY45" s="171" t="str">
        <f t="shared" si="69"/>
        <v/>
      </c>
      <c r="FZ45" s="57">
        <f t="shared" si="247"/>
        <v>0</v>
      </c>
      <c r="GA45" s="57">
        <f>IF(OR(AND(FO$6=1,$L45=0),AND(FO$6=2,$K45=2,$G45=1)),0,IF(AND(FQ$9=2,(OR($F45&gt;1,$K45=1,AND($L45=80,OR($N45=1,AND($N45=2,'#BerechnungDBE'!$AL36&gt;0)))))),IF(FO$4&gt;=$AD$126,0,FY45),IF(FQ$9=3,IF(OR(FO$4&gt;=$AD$127,AND($G45=1,$J45=2,FO$6=2),AND(FO$6=1,$N45&lt;&gt;1)),0,IF(FS45&lt;=120,FY45,IF(FO$4&lt;$AD$124,IF($F45=1,60/FQ$4*FQ$6,60/FQ$4*FQ$7),IF($F45=1,120/FQ$4*FQ$6,120/FQ$4*FQ$7)))),IF(OR($F45=3,$G45=2),IF(OR(AND(FO$4&gt;=$AD$119,$C45=2),AND(FO$4&gt;=$AF$119,$C45=1)),0,IF(FS45&lt;=60,FY45,60/FQ$4*FQ$7)),IF(AND($F45=2,$G45=1),FY45,0)))))</f>
        <v>0</v>
      </c>
      <c r="GB45" s="57" t="str">
        <f t="shared" si="70"/>
        <v/>
      </c>
      <c r="GC45" s="57" t="str">
        <f t="shared" si="71"/>
        <v/>
      </c>
      <c r="GD45" s="713">
        <f>'org. Düngung 22'!AZ44</f>
        <v>0</v>
      </c>
      <c r="GE45" s="57"/>
      <c r="GF45" s="57"/>
      <c r="GG45" s="57">
        <f t="shared" si="72"/>
        <v>0</v>
      </c>
      <c r="GH45" s="57">
        <f t="shared" si="248"/>
        <v>0</v>
      </c>
      <c r="GI45" s="57">
        <f t="shared" si="249"/>
        <v>0</v>
      </c>
      <c r="GJ45" s="57">
        <f t="shared" si="250"/>
        <v>0</v>
      </c>
      <c r="GK45" s="57">
        <f t="shared" si="251"/>
        <v>0</v>
      </c>
      <c r="GL45" s="1029">
        <f t="shared" si="73"/>
        <v>0</v>
      </c>
      <c r="GM45" s="57">
        <f t="shared" si="74"/>
        <v>0</v>
      </c>
      <c r="GN45" s="171" t="str">
        <f t="shared" si="75"/>
        <v/>
      </c>
      <c r="GO45" s="57">
        <f t="shared" si="252"/>
        <v>0</v>
      </c>
      <c r="GP45" s="57">
        <f>IF(OR(AND(GD$6=1,$L45=0),AND(GD$6=2,$K45=2,$G45=1)),0,IF(AND(GF$9=2,(OR($F45&gt;1,$K45=1,AND($L45=80,OR($N45=1,AND($N45=2,'#BerechnungDBE'!$AL36&gt;0)))))),IF(GD$4&gt;=$AD$126,0,GN45),IF(GF$9=3,IF(OR(GD$4&gt;=$AD$127,AND($G45=1,$J45=2,GD$6=2),AND(GD$6=1,$N45&lt;&gt;1)),0,IF(GH45&lt;=120,GN45,IF(GD$4&lt;$AD$124,IF($F45=1,60/GF$4*GF$6,60/GF$4*GF$7),IF($F45=1,120/GF$4*GF$6,120/GF$4*GF$7)))),IF(OR($F45=3,$G45=2),IF(OR(AND(GD$4&gt;=$AD$119,$C45=2),AND(GD$4&gt;=$AF$119,$C45=1)),0,IF(GH45&lt;=60,GN45,60/GF$4*GF$7)),IF(AND($F45=2,$G45=1),GN45,0)))))</f>
        <v>0</v>
      </c>
      <c r="GQ45" s="57" t="str">
        <f t="shared" si="76"/>
        <v/>
      </c>
      <c r="GR45" s="57" t="str">
        <f t="shared" si="77"/>
        <v/>
      </c>
      <c r="GS45" s="713">
        <f>'org. Düngung 22'!BD44</f>
        <v>0</v>
      </c>
      <c r="GT45" s="57"/>
      <c r="GU45" s="57"/>
      <c r="GV45" s="57">
        <f t="shared" si="78"/>
        <v>0</v>
      </c>
      <c r="GW45" s="57">
        <f t="shared" si="253"/>
        <v>0</v>
      </c>
      <c r="GX45" s="57">
        <f t="shared" si="254"/>
        <v>0</v>
      </c>
      <c r="GY45" s="57">
        <f t="shared" si="255"/>
        <v>0</v>
      </c>
      <c r="GZ45" s="57">
        <f t="shared" si="256"/>
        <v>0</v>
      </c>
      <c r="HA45" s="1029">
        <f t="shared" si="79"/>
        <v>0</v>
      </c>
      <c r="HB45" s="57">
        <f t="shared" si="80"/>
        <v>0</v>
      </c>
      <c r="HC45" s="171" t="str">
        <f t="shared" si="81"/>
        <v/>
      </c>
      <c r="HD45" s="57">
        <f t="shared" si="257"/>
        <v>0</v>
      </c>
      <c r="HE45" s="57">
        <f>IF(OR(AND(GS$6=1,$L45=0),AND(GS$6=2,$K45=2,$G45=1)),0,IF(AND(GU$9=2,(OR($F45&gt;1,$K45=1,AND($L45=80,OR($N45=1,AND($N45=2,'#BerechnungDBE'!$AL36&gt;0)))))),IF(GS$4&gt;=$AD$126,0,HC45),IF(GU$9=3,IF(OR(GS$4&gt;=$AD$127,AND($G45=1,$J45=2,GS$6=2),AND(GS$6=1,$N45&lt;&gt;1)),0,IF(GW45&lt;=120,HC45,IF(GS$4&lt;$AD$124,IF($F45=1,60/GU$4*GU$6,60/GU$4*GU$7),IF($F45=1,120/GU$4*GU$6,120/GU$4*GU$7)))),IF(OR($F45=3,$G45=2),IF(OR(AND(GS$4&gt;=$AD$119,$C45=2),AND(GS$4&gt;=$AF$119,$C45=1)),0,IF(GW45&lt;=60,HC45,60/GU$4*GU$7)),IF(AND($F45=2,$G45=1),HC45,0)))))</f>
        <v>0</v>
      </c>
      <c r="HF45" s="57" t="str">
        <f t="shared" si="82"/>
        <v/>
      </c>
      <c r="HG45" s="57" t="str">
        <f t="shared" si="83"/>
        <v/>
      </c>
      <c r="HH45" s="713">
        <f>'org. Düngung 22'!BH44</f>
        <v>0</v>
      </c>
      <c r="HI45" s="57"/>
      <c r="HJ45" s="57"/>
      <c r="HK45" s="57">
        <f t="shared" si="84"/>
        <v>0</v>
      </c>
      <c r="HL45" s="57">
        <f t="shared" si="258"/>
        <v>0</v>
      </c>
      <c r="HM45" s="57">
        <f t="shared" si="259"/>
        <v>0</v>
      </c>
      <c r="HN45" s="57">
        <f t="shared" si="260"/>
        <v>0</v>
      </c>
      <c r="HO45" s="57">
        <f t="shared" si="261"/>
        <v>0</v>
      </c>
      <c r="HP45" s="1029">
        <f t="shared" si="85"/>
        <v>0</v>
      </c>
      <c r="HQ45" s="57">
        <f t="shared" si="86"/>
        <v>0</v>
      </c>
      <c r="HR45" s="171" t="str">
        <f t="shared" si="87"/>
        <v/>
      </c>
      <c r="HS45" s="57">
        <f t="shared" si="262"/>
        <v>0</v>
      </c>
      <c r="HT45" s="57">
        <f>IF(OR(AND(HH$6=1,$L45=0),AND(HH$6=2,$K45=2,$G45=1)),0,IF(AND(HJ$9=2,(OR($F45&gt;1,$K45=1,AND($L45=80,OR($N45=1,AND($N45=2,'#BerechnungDBE'!$AL36&gt;0)))))),IF(HH$4&gt;=$AD$126,0,HR45),IF(HJ$9=3,IF(OR(HH$4&gt;=$AD$127,AND($G45=1,$J45=2,HH$6=2),AND(HH$6=1,$N45&lt;&gt;1)),0,IF(HL45&lt;=120,HR45,IF(HH$4&lt;$AD$124,IF($F45=1,60/HJ$4*HJ$6,60/HJ$4*HJ$7),IF($F45=1,120/HJ$4*HJ$6,120/HJ$4*HJ$7)))),IF(OR($F45=3,$G45=2),IF(OR(AND(HH$4&gt;=$AD$119,$C45=2),AND(HH$4&gt;=$AF$119,$C45=1)),0,IF(HL45&lt;=60,HR45,60/HJ$4*HJ$7)),IF(AND($F45=2,$G45=1),HR45,0)))))</f>
        <v>0</v>
      </c>
      <c r="HU45" s="57" t="str">
        <f t="shared" si="88"/>
        <v/>
      </c>
      <c r="HV45" s="57" t="str">
        <f t="shared" si="89"/>
        <v/>
      </c>
      <c r="HW45" s="713">
        <f>'org. Düngung 22'!BL44</f>
        <v>0</v>
      </c>
      <c r="HX45" s="57"/>
      <c r="HY45" s="57"/>
      <c r="HZ45" s="57">
        <f t="shared" si="90"/>
        <v>0</v>
      </c>
      <c r="IA45" s="57">
        <f t="shared" si="263"/>
        <v>0</v>
      </c>
      <c r="IB45" s="57">
        <f t="shared" si="264"/>
        <v>0</v>
      </c>
      <c r="IC45" s="57">
        <f t="shared" si="265"/>
        <v>0</v>
      </c>
      <c r="ID45" s="57">
        <f t="shared" si="266"/>
        <v>0</v>
      </c>
      <c r="IE45" s="1029">
        <f t="shared" si="91"/>
        <v>0</v>
      </c>
      <c r="IF45" s="57">
        <f t="shared" si="92"/>
        <v>0</v>
      </c>
      <c r="IG45" s="171" t="str">
        <f t="shared" si="93"/>
        <v/>
      </c>
      <c r="IH45" s="57">
        <f t="shared" si="267"/>
        <v>0</v>
      </c>
      <c r="II45" s="57">
        <f>IF(OR(AND(HW$6=1,$L45=0),AND(HW$6=2,$K45=2,$G45=1)),0,IF(AND(HY$9=2,(OR($F45&gt;1,$K45=1,AND($L45=80,OR($N45=1,AND($N45=2,'#BerechnungDBE'!$AL36&gt;0)))))),IF(HW$4&gt;=$AD$126,0,IG45),IF(HY$9=3,IF(OR(HW$4&gt;=$AD$127,AND($G45=1,$J45=2,HW$6=2),AND(HW$6=1,$N45&lt;&gt;1)),0,IF(IA45&lt;=120,IG45,IF(HW$4&lt;$AD$124,IF($F45=1,60/HY$4*HY$6,60/HY$4*HY$7),IF($F45=1,120/HY$4*HY$6,120/HY$4*HY$7)))),IF(OR($F45=3,$G45=2),IF(OR(AND(HW$4&gt;=$AD$119,$C45=2),AND(HW$4&gt;=$AF$119,$C45=1)),0,IF(IA45&lt;=60,IG45,60/HY$4*HY$7)),IF(AND($F45=2,$G45=1),IG45,0)))))</f>
        <v>0</v>
      </c>
      <c r="IJ45" s="57" t="str">
        <f t="shared" si="94"/>
        <v/>
      </c>
      <c r="IK45" s="57" t="str">
        <f t="shared" si="95"/>
        <v/>
      </c>
      <c r="IL45" s="713">
        <f>'org. Düngung 22'!BP44</f>
        <v>0</v>
      </c>
      <c r="IM45" s="57"/>
      <c r="IN45" s="57"/>
      <c r="IO45" s="57">
        <f t="shared" si="96"/>
        <v>0</v>
      </c>
      <c r="IP45" s="57">
        <f t="shared" si="268"/>
        <v>0</v>
      </c>
      <c r="IQ45" s="57">
        <f t="shared" si="269"/>
        <v>0</v>
      </c>
      <c r="IR45" s="57">
        <f t="shared" si="270"/>
        <v>0</v>
      </c>
      <c r="IS45" s="57">
        <f t="shared" si="271"/>
        <v>0</v>
      </c>
      <c r="IT45" s="1029">
        <f t="shared" si="97"/>
        <v>0</v>
      </c>
      <c r="IU45" s="57">
        <f t="shared" si="98"/>
        <v>0</v>
      </c>
      <c r="IV45" s="171" t="str">
        <f t="shared" si="99"/>
        <v/>
      </c>
      <c r="IW45" s="57">
        <f t="shared" si="272"/>
        <v>0</v>
      </c>
      <c r="IX45" s="57">
        <f>IF(OR(AND(IL$6=1,$L45=0),AND(IL$6=2,$K45=2,$G45=1)),0,IF(AND(IN$9=2,(OR($F45&gt;1,$K45=1,AND($L45=80,OR($N45=1,AND($N45=2,'#BerechnungDBE'!$AL36&gt;0)))))),IF(IL$4&gt;=$AD$126,0,IV45),IF(IN$9=3,IF(OR(IL$4&gt;=$AD$127,AND($G45=1,$J45=2,IL$6=2),AND(IL$6=1,$N45&lt;&gt;1)),0,IF(IP45&lt;=120,IV45,IF(IL$4&lt;$AD$124,IF($F45=1,60/IN$4*IN$6,60/IN$4*IN$7),IF($F45=1,120/IN$4*IN$6,120/IN$4*IN$7)))),IF(OR($F45=3,$G45=2),IF(OR(AND(IL$4&gt;=$AD$119,$C45=2),AND(IL$4&gt;=$AF$119,$C45=1)),0,IF(IP45&lt;=60,IV45,60/IN$4*IN$7)),IF(AND($F45=2,$G45=1),IV45,0)))))</f>
        <v>0</v>
      </c>
      <c r="IY45" s="57" t="str">
        <f t="shared" si="100"/>
        <v/>
      </c>
      <c r="IZ45" s="57" t="str">
        <f t="shared" si="101"/>
        <v/>
      </c>
      <c r="JA45" s="713">
        <f>'org. Düngung 22'!BT44</f>
        <v>0</v>
      </c>
      <c r="JB45" s="57"/>
      <c r="JC45" s="57"/>
      <c r="JD45" s="57">
        <f t="shared" si="102"/>
        <v>0</v>
      </c>
      <c r="JE45" s="57">
        <f t="shared" si="273"/>
        <v>0</v>
      </c>
      <c r="JF45" s="57">
        <f t="shared" si="274"/>
        <v>0</v>
      </c>
      <c r="JG45" s="57">
        <f t="shared" si="275"/>
        <v>0</v>
      </c>
      <c r="JH45" s="57">
        <f t="shared" si="276"/>
        <v>0</v>
      </c>
      <c r="JI45" s="1029">
        <f t="shared" si="103"/>
        <v>0</v>
      </c>
      <c r="JJ45" s="57">
        <f t="shared" si="104"/>
        <v>0</v>
      </c>
      <c r="JK45" s="171" t="str">
        <f t="shared" si="105"/>
        <v/>
      </c>
      <c r="JL45" s="57">
        <f t="shared" si="277"/>
        <v>0</v>
      </c>
      <c r="JM45" s="57">
        <f>IF(OR(AND(JA$6=1,$L45=0),AND(JA$6=2,$K45=2,$G45=1)),0,IF(AND(JC$9=2,(OR($F45&gt;1,$K45=1,AND($L45=80,OR($N45=1,AND($N45=2,'#BerechnungDBE'!$AL36&gt;0)))))),IF(JA$4&gt;=$AD$126,0,JK45),IF(JC$9=3,IF(OR(JA$4&gt;=$AD$127,AND($G45=1,$J45=2,JA$6=2),AND(JA$6=1,$N45&lt;&gt;1)),0,IF(JE45&lt;=120,JK45,IF(JA$4&lt;$AD$124,IF($F45=1,60/JC$4*JC$6,60/JC$4*JC$7),IF($F45=1,120/JC$4*JC$6,120/JC$4*JC$7)))),IF(OR($F45=3,$G45=2),IF(OR(AND(JA$4&gt;=$AD$119,$C45=2),AND(JA$4&gt;=$AF$119,$C45=1)),0,IF(JE45&lt;=60,JK45,60/JC$4*JC$7)),IF(AND($F45=2,$G45=1),JK45,0)))))</f>
        <v>0</v>
      </c>
      <c r="JN45" s="57" t="str">
        <f t="shared" si="106"/>
        <v/>
      </c>
      <c r="JO45" s="57" t="str">
        <f t="shared" si="107"/>
        <v/>
      </c>
      <c r="JP45" s="713">
        <f>'org. Düngung 22'!BX44</f>
        <v>0</v>
      </c>
      <c r="JQ45" s="57"/>
      <c r="JR45" s="57"/>
      <c r="JS45" s="57">
        <f t="shared" si="108"/>
        <v>0</v>
      </c>
      <c r="JT45" s="57">
        <f t="shared" si="278"/>
        <v>0</v>
      </c>
      <c r="JU45" s="57">
        <f t="shared" si="279"/>
        <v>0</v>
      </c>
      <c r="JV45" s="57">
        <f t="shared" si="280"/>
        <v>0</v>
      </c>
      <c r="JW45" s="57">
        <f t="shared" si="281"/>
        <v>0</v>
      </c>
      <c r="JX45" s="1029">
        <f t="shared" si="109"/>
        <v>0</v>
      </c>
      <c r="JY45" s="57">
        <f t="shared" si="110"/>
        <v>0</v>
      </c>
      <c r="JZ45" s="171" t="str">
        <f t="shared" si="111"/>
        <v/>
      </c>
      <c r="KA45" s="57">
        <f t="shared" si="282"/>
        <v>0</v>
      </c>
      <c r="KB45" s="57">
        <f>IF(OR(AND(JP$6=1,$L45=0),AND(JP$6=2,$K45=2,$G45=1)),0,IF(AND(JR$9=2,(OR($F45&gt;1,$K45=1,AND($L45=80,OR($N45=1,AND($N45=2,'#BerechnungDBE'!$AL36&gt;0)))))),IF(JP$4&gt;=$AD$126,0,JZ45),IF(JR$9=3,IF(OR(JP$4&gt;=$AD$127,AND($G45=1,$J45=2,JP$6=2),AND(JP$6=1,$N45&lt;&gt;1)),0,IF(JT45&lt;=120,JZ45,IF(JP$4&lt;$AD$124,IF($F45=1,60/JR$4*JR$6,60/JR$4*JR$7),IF($F45=1,120/JR$4*JR$6,120/JR$4*JR$7)))),IF(OR($F45=3,$G45=2),IF(OR(AND(JP$4&gt;=$AD$119,$C45=2),AND(JP$4&gt;=$AF$119,$C45=1)),0,IF(JT45&lt;=60,JZ45,60/JR$4*JR$7)),IF(AND($F45=2,$G45=1),JZ45,0)))))</f>
        <v>0</v>
      </c>
      <c r="KC45" s="57" t="str">
        <f t="shared" si="112"/>
        <v/>
      </c>
      <c r="KD45" s="57" t="str">
        <f t="shared" si="113"/>
        <v/>
      </c>
      <c r="KE45" s="713">
        <f>'org. Düngung 22'!CB44</f>
        <v>0</v>
      </c>
      <c r="KF45" s="57"/>
      <c r="KG45" s="57"/>
      <c r="KH45" s="57">
        <f t="shared" si="114"/>
        <v>0</v>
      </c>
      <c r="KI45" s="57">
        <f t="shared" si="283"/>
        <v>0</v>
      </c>
      <c r="KJ45" s="57">
        <f t="shared" si="284"/>
        <v>0</v>
      </c>
      <c r="KK45" s="57">
        <f t="shared" si="285"/>
        <v>0</v>
      </c>
      <c r="KL45" s="57">
        <f t="shared" si="286"/>
        <v>0</v>
      </c>
      <c r="KM45" s="1029">
        <f t="shared" si="115"/>
        <v>0</v>
      </c>
      <c r="KN45" s="57">
        <f t="shared" si="116"/>
        <v>0</v>
      </c>
      <c r="KO45" s="171" t="str">
        <f t="shared" si="117"/>
        <v/>
      </c>
      <c r="KP45" s="57">
        <f t="shared" si="287"/>
        <v>0</v>
      </c>
      <c r="KQ45" s="57">
        <f>IF(OR(AND(KE$6=1,$L45=0),AND(KE$6=2,$K45=2,$G45=1)),0,IF(AND(KG$9=2,(OR($F45&gt;1,$K45=1,AND($L45=80,OR($N45=1,AND($N45=2,'#BerechnungDBE'!$AL36&gt;0)))))),IF(KE$4&gt;=$AD$126,0,KO45),IF(KG$9=3,IF(OR(KE$4&gt;=$AD$127,AND($G45=1,$J45=2,KE$6=2),AND(KE$6=1,$N45&lt;&gt;1)),0,IF(KI45&lt;=120,KO45,IF(KE$4&lt;$AD$124,IF($F45=1,60/KG$4*KG$6,60/KG$4*KG$7),IF($F45=1,120/KG$4*KG$6,120/KG$4*KG$7)))),IF(OR($F45=3,$G45=2),IF(OR(AND(KE$4&gt;=$AD$119,$C45=2),AND(KE$4&gt;=$AF$119,$C45=1)),0,IF(KI45&lt;=60,KO45,60/KG$4*KG$7)),IF(AND($F45=2,$G45=1),KO45,0)))))</f>
        <v>0</v>
      </c>
      <c r="KR45" s="57" t="str">
        <f t="shared" si="118"/>
        <v/>
      </c>
      <c r="KS45" s="57" t="str">
        <f t="shared" si="119"/>
        <v/>
      </c>
      <c r="KT45" s="713">
        <f>'org. Düngung 22'!CF44</f>
        <v>0</v>
      </c>
      <c r="KU45" s="57"/>
      <c r="KV45" s="57"/>
      <c r="KW45" s="57">
        <f t="shared" si="120"/>
        <v>0</v>
      </c>
      <c r="KX45" s="57">
        <f t="shared" si="288"/>
        <v>0</v>
      </c>
      <c r="KY45" s="57">
        <f t="shared" si="289"/>
        <v>0</v>
      </c>
      <c r="KZ45" s="57">
        <f t="shared" si="290"/>
        <v>0</v>
      </c>
      <c r="LA45" s="57">
        <f t="shared" si="291"/>
        <v>0</v>
      </c>
      <c r="LB45" s="1029">
        <f t="shared" si="121"/>
        <v>0</v>
      </c>
      <c r="LC45" s="57">
        <f t="shared" si="122"/>
        <v>0</v>
      </c>
      <c r="LD45" s="171" t="str">
        <f t="shared" si="123"/>
        <v/>
      </c>
      <c r="LE45" s="57">
        <f t="shared" si="292"/>
        <v>0</v>
      </c>
      <c r="LF45" s="57">
        <f>IF(OR(AND(KT$6=1,$L45=0),AND(KT$6=2,$K45=2,$G45=1)),0,IF(AND(KV$9=2,(OR($F45&gt;1,$K45=1,AND($L45=80,OR($N45=1,AND($N45=2,'#BerechnungDBE'!$AL36&gt;0)))))),IF(KT$4&gt;=$AD$126,0,LD45),IF(KV$9=3,IF(OR(KT$4&gt;=$AD$127,AND($G45=1,$J45=2,KT$6=2),AND(KT$6=1,$N45&lt;&gt;1)),0,IF(KX45&lt;=120,LD45,IF(KT$4&lt;$AD$124,IF($F45=1,60/KV$4*KV$6,60/KV$4*KV$7),IF($F45=1,120/KV$4*KV$6,120/KV$4*KV$7)))),IF(OR($F45=3,$G45=2),IF(OR(AND(KT$4&gt;=$AD$119,$C45=2),AND(KT$4&gt;=$AF$119,$C45=1)),0,IF(KX45&lt;=60,LD45,60/KV$4*KV$7)),IF(AND($F45=2,$G45=1),LD45,0)))))</f>
        <v>0</v>
      </c>
      <c r="LG45" s="57" t="str">
        <f t="shared" si="124"/>
        <v/>
      </c>
      <c r="LH45" s="57" t="str">
        <f t="shared" si="125"/>
        <v/>
      </c>
      <c r="LI45" s="713">
        <f>'org. Düngung 22'!CJ44</f>
        <v>0</v>
      </c>
      <c r="LJ45" s="57"/>
      <c r="LK45" s="57"/>
      <c r="LL45" s="57">
        <f t="shared" si="126"/>
        <v>0</v>
      </c>
      <c r="LM45" s="57">
        <f t="shared" si="293"/>
        <v>0</v>
      </c>
      <c r="LN45" s="57">
        <f t="shared" si="294"/>
        <v>0</v>
      </c>
      <c r="LO45" s="57">
        <f t="shared" si="295"/>
        <v>0</v>
      </c>
      <c r="LP45" s="57">
        <f t="shared" si="296"/>
        <v>0</v>
      </c>
      <c r="LQ45" s="1029">
        <f t="shared" si="127"/>
        <v>0</v>
      </c>
      <c r="LR45" s="57">
        <f t="shared" si="128"/>
        <v>0</v>
      </c>
      <c r="LS45" s="171" t="str">
        <f t="shared" si="129"/>
        <v/>
      </c>
      <c r="LT45" s="57">
        <f t="shared" si="297"/>
        <v>0</v>
      </c>
      <c r="LU45" s="57">
        <f>IF(OR(AND(LI$6=1,$L45=0),AND(LI$6=2,$K45=2,$G45=1)),0,IF(AND(LK$9=2,(OR($F45&gt;1,$K45=1,AND($L45=80,OR($N45=1,AND($N45=2,'#BerechnungDBE'!$AL36&gt;0)))))),IF(LI$4&gt;=$AD$126,0,LS45),IF(LK$9=3,IF(OR(LI$4&gt;=$AD$127,AND($G45=1,$J45=2,LI$6=2),AND(LI$6=1,$N45&lt;&gt;1)),0,IF(LM45&lt;=120,LS45,IF(LI$4&lt;$AD$124,IF($F45=1,60/LK$4*LK$6,60/LK$4*LK$7),IF($F45=1,120/LK$4*LK$6,120/LK$4*LK$7)))),IF(OR($F45=3,$G45=2),IF(OR(AND(LI$4&gt;=$AD$119,$C45=2),AND(LI$4&gt;=$AF$119,$C45=1)),0,IF(LM45&lt;=60,LS45,60/LK$4*LK$7)),IF(AND($F45=2,$G45=1),LS45,0)))))</f>
        <v>0</v>
      </c>
      <c r="LV45" s="57" t="str">
        <f t="shared" si="130"/>
        <v/>
      </c>
      <c r="LW45" s="57" t="str">
        <f t="shared" si="131"/>
        <v/>
      </c>
      <c r="LX45" s="713">
        <f>'org. Düngung 22'!CN44</f>
        <v>0</v>
      </c>
      <c r="LY45" s="57"/>
      <c r="LZ45" s="57"/>
      <c r="MA45" s="57">
        <f t="shared" si="132"/>
        <v>0</v>
      </c>
      <c r="MB45" s="57">
        <f t="shared" si="298"/>
        <v>0</v>
      </c>
      <c r="MC45" s="57">
        <f t="shared" si="299"/>
        <v>0</v>
      </c>
      <c r="MD45" s="57">
        <f t="shared" si="300"/>
        <v>0</v>
      </c>
      <c r="ME45" s="57">
        <f t="shared" si="301"/>
        <v>0</v>
      </c>
      <c r="MF45" s="1029">
        <f t="shared" si="133"/>
        <v>0</v>
      </c>
      <c r="MG45" s="57">
        <f t="shared" si="134"/>
        <v>0</v>
      </c>
      <c r="MH45" s="171" t="str">
        <f t="shared" si="135"/>
        <v/>
      </c>
      <c r="MI45" s="57">
        <f t="shared" si="302"/>
        <v>0</v>
      </c>
      <c r="MJ45" s="57">
        <f>IF(OR(AND(LX$6=1,$L45=0),AND(LX$6=2,$K45=2,$G45=1)),0,IF(AND(LZ$9=2,(OR($F45&gt;1,$K45=1,AND($L45=80,OR($N45=1,AND($N45=2,'#BerechnungDBE'!$AL36&gt;0)))))),IF(LX$4&gt;=$AD$126,0,MH45),IF(LZ$9=3,IF(OR(LX$4&gt;=$AD$127,AND($G45=1,$J45=2,LX$6=2),AND(LX$6=1,$N45&lt;&gt;1)),0,IF(MB45&lt;=120,MH45,IF(LX$4&lt;$AD$124,IF($F45=1,60/LZ$4*LZ$6,60/LZ$4*LZ$7),IF($F45=1,120/LZ$4*LZ$6,120/LZ$4*LZ$7)))),IF(OR($F45=3,$G45=2),IF(OR(AND(LX$4&gt;=$AD$119,$C45=2),AND(LX$4&gt;=$AF$119,$C45=1)),0,IF(MB45&lt;=60,MH45,60/LZ$4*LZ$7)),IF(AND($F45=2,$G45=1),MH45,0)))))</f>
        <v>0</v>
      </c>
      <c r="MK45" s="57" t="str">
        <f t="shared" si="136"/>
        <v/>
      </c>
      <c r="ML45" s="57" t="str">
        <f t="shared" si="137"/>
        <v/>
      </c>
      <c r="MM45" s="713">
        <f>'org. Düngung 22'!CR44</f>
        <v>0</v>
      </c>
      <c r="MN45" s="57"/>
      <c r="MO45" s="57"/>
      <c r="MP45" s="57">
        <f t="shared" si="138"/>
        <v>0</v>
      </c>
      <c r="MQ45" s="57">
        <f t="shared" si="303"/>
        <v>0</v>
      </c>
      <c r="MR45" s="57">
        <f t="shared" si="304"/>
        <v>0</v>
      </c>
      <c r="MS45" s="57">
        <f t="shared" si="305"/>
        <v>0</v>
      </c>
      <c r="MT45" s="57">
        <f t="shared" si="306"/>
        <v>0</v>
      </c>
      <c r="MU45" s="1029">
        <f t="shared" si="139"/>
        <v>0</v>
      </c>
      <c r="MV45" s="57">
        <f t="shared" si="140"/>
        <v>0</v>
      </c>
      <c r="MW45" s="171" t="str">
        <f t="shared" si="141"/>
        <v/>
      </c>
      <c r="MX45" s="57">
        <f t="shared" si="307"/>
        <v>0</v>
      </c>
      <c r="MY45" s="57">
        <f>IF(OR(AND(MM$6=1,$L45=0),AND(MM$6=2,$K45=2,$G45=1)),0,IF(AND(MO$9=2,(OR($F45&gt;1,$K45=1,AND($L45=80,OR($N45=1,AND($N45=2,'#BerechnungDBE'!$AL36&gt;0)))))),IF(MM$4&gt;=$AD$126,0,MW45),IF(MO$9=3,IF(OR(MM$4&gt;=$AD$127,AND($G45=1,$J45=2,MM$6=2),AND(MM$6=1,$N45&lt;&gt;1)),0,IF(MQ45&lt;=120,MW45,IF(MM$4&lt;$AD$124,IF($F45=1,60/MO$4*MO$6,60/MO$4*MO$7),IF($F45=1,120/MO$4*MO$6,120/MO$4*MO$7)))),IF(OR($F45=3,$G45=2),IF(OR(AND(MM$4&gt;=$AD$119,$C45=2),AND(MM$4&gt;=$AF$119,$C45=1)),0,IF(MQ45&lt;=60,MW45,60/MO$4*MO$7)),IF(AND($F45=2,$G45=1),MW45,0)))))</f>
        <v>0</v>
      </c>
      <c r="MZ45" s="57" t="str">
        <f t="shared" si="142"/>
        <v/>
      </c>
      <c r="NA45" s="57" t="str">
        <f t="shared" si="143"/>
        <v/>
      </c>
      <c r="NB45" s="713">
        <f>'org. Düngung 22'!CV44</f>
        <v>0</v>
      </c>
      <c r="NC45" s="57"/>
      <c r="ND45" s="57"/>
      <c r="NE45" s="57">
        <f t="shared" si="144"/>
        <v>0</v>
      </c>
      <c r="NF45" s="57">
        <f t="shared" si="308"/>
        <v>0</v>
      </c>
      <c r="NG45" s="57">
        <f t="shared" si="309"/>
        <v>0</v>
      </c>
      <c r="NH45" s="57">
        <f t="shared" si="310"/>
        <v>0</v>
      </c>
      <c r="NI45" s="57">
        <f t="shared" si="311"/>
        <v>0</v>
      </c>
      <c r="NJ45" s="1029">
        <f t="shared" si="145"/>
        <v>0</v>
      </c>
      <c r="NK45" s="57">
        <f t="shared" si="146"/>
        <v>0</v>
      </c>
      <c r="NL45" s="171" t="str">
        <f t="shared" si="147"/>
        <v/>
      </c>
      <c r="NM45" s="57">
        <f t="shared" si="312"/>
        <v>0</v>
      </c>
      <c r="NN45" s="57">
        <f>IF(OR(AND(NB$6=1,$L45=0),AND(NB$6=2,$K45=2,$G45=1)),0,IF(AND(ND$9=2,(OR($F45&gt;1,$K45=1,AND($L45=80,OR($N45=1,AND($N45=2,'#BerechnungDBE'!$AL36&gt;0)))))),IF(NB$4&gt;=$AD$126,0,NL45),IF(ND$9=3,IF(OR(NB$4&gt;=$AD$127,AND($G45=1,$J45=2,NB$6=2),AND(NB$6=1,$N45&lt;&gt;1)),0,IF(NF45&lt;=120,NL45,IF(NB$4&lt;$AD$124,IF($F45=1,60/ND$4*ND$6,60/ND$4*ND$7),IF($F45=1,120/ND$4*ND$6,120/ND$4*ND$7)))),IF(OR($F45=3,$G45=2),IF(OR(AND(NB$4&gt;=$AD$119,$C45=2),AND(NB$4&gt;=$AF$119,$C45=1)),0,IF(NF45&lt;=60,NL45,60/ND$4*ND$7)),IF(AND($F45=2,$G45=1),NL45,0)))))</f>
        <v>0</v>
      </c>
      <c r="NO45" s="57" t="str">
        <f t="shared" si="148"/>
        <v/>
      </c>
      <c r="NP45" s="57" t="str">
        <f t="shared" si="149"/>
        <v/>
      </c>
      <c r="NQ45" s="713">
        <f>'org. Düngung 22'!CZ44</f>
        <v>0</v>
      </c>
      <c r="NR45" s="57"/>
      <c r="NS45" s="57"/>
      <c r="NT45" s="57">
        <f t="shared" si="150"/>
        <v>0</v>
      </c>
      <c r="NU45" s="57">
        <f t="shared" si="313"/>
        <v>0</v>
      </c>
      <c r="NV45" s="57">
        <f t="shared" si="314"/>
        <v>0</v>
      </c>
      <c r="NW45" s="57">
        <f t="shared" si="315"/>
        <v>0</v>
      </c>
      <c r="NX45" s="57">
        <f t="shared" si="316"/>
        <v>0</v>
      </c>
      <c r="NY45" s="1029">
        <f t="shared" si="151"/>
        <v>0</v>
      </c>
      <c r="NZ45" s="57">
        <f t="shared" si="152"/>
        <v>0</v>
      </c>
      <c r="OA45" s="171" t="str">
        <f t="shared" si="153"/>
        <v/>
      </c>
      <c r="OB45" s="57">
        <f t="shared" si="317"/>
        <v>0</v>
      </c>
      <c r="OC45" s="57">
        <f>IF(OR(AND(NQ$6=1,$L45=0),AND(NQ$6=2,$K45=2,$G45=1)),0,IF(AND(NS$9=2,(OR($F45&gt;1,$K45=1,AND($L45=80,OR($N45=1,AND($N45=2,'#BerechnungDBE'!$AL36&gt;0)))))),IF(NQ$4&gt;=$AD$126,0,OA45),IF(NS$9=3,IF(OR(NQ$4&gt;=$AD$127,AND($G45=1,$J45=2,NQ$6=2),AND(NQ$6=1,$N45&lt;&gt;1)),0,IF(NU45&lt;=120,OA45,IF(NQ$4&lt;$AD$124,IF($F45=1,60/NS$4*NS$6,60/NS$4*NS$7),IF($F45=1,120/NS$4*NS$6,120/NS$4*NS$7)))),IF(OR($F45=3,$G45=2),IF(OR(AND(NQ$4&gt;=$AD$119,$C45=2),AND(NQ$4&gt;=$AF$119,$C45=1)),0,IF(NU45&lt;=60,OA45,60/NS$4*NS$7)),IF(AND($F45=2,$G45=1),OA45,0)))))</f>
        <v>0</v>
      </c>
      <c r="OD45" s="57" t="str">
        <f t="shared" si="154"/>
        <v/>
      </c>
      <c r="OE45" s="57" t="str">
        <f t="shared" si="155"/>
        <v/>
      </c>
      <c r="OF45" s="713">
        <f>'org. Düngung 22'!DD44</f>
        <v>0</v>
      </c>
      <c r="OG45" s="57"/>
      <c r="OH45" s="57"/>
      <c r="OI45" s="57">
        <f t="shared" si="156"/>
        <v>0</v>
      </c>
      <c r="OJ45" s="57">
        <f t="shared" si="318"/>
        <v>0</v>
      </c>
      <c r="OK45" s="57">
        <f t="shared" si="319"/>
        <v>0</v>
      </c>
      <c r="OL45" s="57">
        <f t="shared" si="320"/>
        <v>0</v>
      </c>
      <c r="OM45" s="57">
        <f t="shared" si="321"/>
        <v>0</v>
      </c>
      <c r="ON45" s="1029">
        <f t="shared" si="157"/>
        <v>0</v>
      </c>
      <c r="OO45" s="57">
        <f t="shared" si="158"/>
        <v>0</v>
      </c>
      <c r="OP45" s="171" t="str">
        <f t="shared" si="159"/>
        <v/>
      </c>
      <c r="OQ45" s="57">
        <f t="shared" si="322"/>
        <v>0</v>
      </c>
      <c r="OR45" s="57">
        <f>IF(OR(AND(OF$6=1,$L45=0),AND(OF$6=2,$K45=2,$G45=1)),0,IF(AND(OH$9=2,(OR($F45&gt;1,$K45=1,AND($L45=80,OR($N45=1,AND($N45=2,'#BerechnungDBE'!$AL36&gt;0)))))),IF(OF$4&gt;=$AD$126,0,OP45),IF(OH$9=3,IF(OR(OF$4&gt;=$AD$127,AND($G45=1,$J45=2,OF$6=2),AND(OF$6=1,$N45&lt;&gt;1)),0,IF(OJ45&lt;=120,OP45,IF(OF$4&lt;$AD$124,IF($F45=1,60/OH$4*OH$6,60/OH$4*OH$7),IF($F45=1,120/OH$4*OH$6,120/OH$4*OH$7)))),IF(OR($F45=3,$G45=2),IF(OR(AND(OF$4&gt;=$AD$119,$C45=2),AND(OF$4&gt;=$AF$119,$C45=1)),0,IF(OJ45&lt;=60,OP45,60/OH$4*OH$7)),IF(AND($F45=2,$G45=1),OP45,0)))))</f>
        <v>0</v>
      </c>
      <c r="OS45" s="57" t="str">
        <f t="shared" si="160"/>
        <v/>
      </c>
      <c r="OT45" s="57" t="str">
        <f t="shared" si="161"/>
        <v/>
      </c>
      <c r="OU45" s="713">
        <f>'org. Düngung 22'!DH44</f>
        <v>0</v>
      </c>
      <c r="OV45" s="57"/>
      <c r="OW45" s="57"/>
      <c r="OX45" s="57">
        <f t="shared" si="162"/>
        <v>0</v>
      </c>
      <c r="OY45" s="57">
        <f t="shared" si="323"/>
        <v>0</v>
      </c>
      <c r="OZ45" s="57">
        <f t="shared" si="324"/>
        <v>0</v>
      </c>
      <c r="PA45" s="57">
        <f t="shared" si="325"/>
        <v>0</v>
      </c>
      <c r="PB45" s="57">
        <f t="shared" si="326"/>
        <v>0</v>
      </c>
      <c r="PC45" s="1029">
        <f t="shared" si="163"/>
        <v>0</v>
      </c>
      <c r="PD45" s="57">
        <f t="shared" si="164"/>
        <v>0</v>
      </c>
      <c r="PE45" s="171" t="str">
        <f t="shared" si="165"/>
        <v/>
      </c>
      <c r="PF45" s="57">
        <f t="shared" si="327"/>
        <v>0</v>
      </c>
      <c r="PG45" s="57">
        <f>IF(OR(AND(OU$6=1,$L45=0),AND(OU$6=2,$K45=2,$G45=1)),0,IF(AND(OW$9=2,(OR($F45&gt;1,$K45=1,AND($L45=80,OR($N45=1,AND($N45=2,'#BerechnungDBE'!$AL36&gt;0)))))),IF(OU$4&gt;=$AD$126,0,PE45),IF(OW$9=3,IF(OR(OU$4&gt;=$AD$127,AND($G45=1,$J45=2,OU$6=2),AND(OU$6=1,$N45&lt;&gt;1)),0,IF(OY45&lt;=120,PE45,IF(OU$4&lt;$AD$124,IF($F45=1,60/OW$4*OW$6,60/OW$4*OW$7),IF($F45=1,120/OW$4*OW$6,120/OW$4*OW$7)))),IF(OR($F45=3,$G45=2),IF(OR(AND(OU$4&gt;=$AD$119,$C45=2),AND(OU$4&gt;=$AF$119,$C45=1)),0,IF(OY45&lt;=60,PE45,60/OW$4*OW$7)),IF(AND($F45=2,$G45=1),PE45,0)))))</f>
        <v>0</v>
      </c>
      <c r="PH45" s="57" t="str">
        <f t="shared" si="166"/>
        <v/>
      </c>
      <c r="PI45" s="57" t="str">
        <f t="shared" si="167"/>
        <v/>
      </c>
      <c r="PJ45" s="713">
        <f>'org. Düngung 22'!DL44</f>
        <v>0</v>
      </c>
      <c r="PK45" s="57"/>
      <c r="PL45" s="57"/>
      <c r="PM45" s="57">
        <f t="shared" si="168"/>
        <v>0</v>
      </c>
      <c r="PN45" s="57">
        <f t="shared" si="328"/>
        <v>0</v>
      </c>
      <c r="PO45" s="57">
        <f t="shared" si="329"/>
        <v>0</v>
      </c>
      <c r="PP45" s="57">
        <f t="shared" si="330"/>
        <v>0</v>
      </c>
      <c r="PQ45" s="57">
        <f t="shared" si="331"/>
        <v>0</v>
      </c>
      <c r="PR45" s="1029">
        <f t="shared" si="169"/>
        <v>0</v>
      </c>
      <c r="PS45" s="57">
        <f t="shared" si="170"/>
        <v>0</v>
      </c>
      <c r="PT45" s="171" t="str">
        <f t="shared" si="171"/>
        <v/>
      </c>
      <c r="PU45" s="57">
        <f t="shared" si="332"/>
        <v>0</v>
      </c>
      <c r="PV45" s="57">
        <f>IF(OR(AND(PJ$6=1,$L45=0),AND(PJ$6=2,$K45=2,$G45=1)),0,IF(AND(PL$9=2,(OR($F45&gt;1,$K45=1,AND($L45=80,OR($N45=1,AND($N45=2,'#BerechnungDBE'!$AL36&gt;0)))))),IF(PJ$4&gt;=$AD$126,0,PT45),IF(PL$9=3,IF(OR(PJ$4&gt;=$AD$127,AND($G45=1,$J45=2,PJ$6=2),AND(PJ$6=1,$N45&lt;&gt;1)),0,IF(PN45&lt;=120,PT45,IF(PJ$4&lt;$AD$124,IF($F45=1,60/PL$4*PL$6,60/PL$4*PL$7),IF($F45=1,120/PL$4*PL$6,120/PL$4*PL$7)))),IF(OR($F45=3,$G45=2),IF(OR(AND(PJ$4&gt;=$AD$119,$C45=2),AND(PJ$4&gt;=$AF$119,$C45=1)),0,IF(PN45&lt;=60,PT45,60/PL$4*PL$7)),IF(AND($F45=2,$G45=1),PT45,0)))))</f>
        <v>0</v>
      </c>
      <c r="PW45" s="57" t="str">
        <f t="shared" si="172"/>
        <v/>
      </c>
      <c r="PX45" s="57" t="str">
        <f t="shared" si="173"/>
        <v/>
      </c>
      <c r="PY45" s="713">
        <f>'org. Düngung 22'!DP44</f>
        <v>0</v>
      </c>
      <c r="PZ45" s="57"/>
      <c r="QA45" s="57"/>
      <c r="QB45" s="57">
        <f t="shared" si="174"/>
        <v>0</v>
      </c>
      <c r="QC45" s="57">
        <f t="shared" si="333"/>
        <v>0</v>
      </c>
      <c r="QD45" s="57">
        <f t="shared" si="334"/>
        <v>0</v>
      </c>
      <c r="QE45" s="57">
        <f t="shared" si="335"/>
        <v>0</v>
      </c>
      <c r="QF45" s="57">
        <f t="shared" si="336"/>
        <v>0</v>
      </c>
      <c r="QG45" s="1029">
        <f t="shared" si="175"/>
        <v>0</v>
      </c>
      <c r="QH45" s="57">
        <f t="shared" si="176"/>
        <v>0</v>
      </c>
      <c r="QI45" s="171" t="str">
        <f t="shared" si="177"/>
        <v/>
      </c>
      <c r="QJ45" s="57">
        <f t="shared" si="337"/>
        <v>0</v>
      </c>
      <c r="QK45" s="57">
        <f>IF(OR(AND(PY$6=1,$L45=0),AND(PY$6=2,$K45=2,$G45=1)),0,IF(AND(QA$9=2,(OR($F45&gt;1,$K45=1,AND($L45=80,OR($N45=1,AND($N45=2,'#BerechnungDBE'!$AL36&gt;0)))))),IF(PY$4&gt;=$AD$126,0,QI45),IF(QA$9=3,IF(OR(PY$4&gt;=$AD$127,AND($G45=1,$J45=2,PY$6=2),AND(PY$6=1,$N45&lt;&gt;1)),0,IF(QC45&lt;=120,QI45,IF(PY$4&lt;$AD$124,IF($F45=1,60/QA$4*QA$6,60/QA$4*QA$7),IF($F45=1,120/QA$4*QA$6,120/QA$4*QA$7)))),IF(OR($F45=3,$G45=2),IF(OR(AND(PY$4&gt;=$AD$119,$C45=2),AND(PY$4&gt;=$AF$119,$C45=1)),0,IF(QC45&lt;=60,QI45,60/QA$4*QA$7)),IF(AND($F45=2,$G45=1),QI45,0)))))</f>
        <v>0</v>
      </c>
      <c r="QL45" s="57" t="str">
        <f t="shared" si="178"/>
        <v/>
      </c>
      <c r="QM45" s="57" t="str">
        <f t="shared" si="179"/>
        <v/>
      </c>
      <c r="QN45" s="713">
        <f>'org. Düngung 22'!DT44</f>
        <v>0</v>
      </c>
      <c r="QO45" s="57"/>
      <c r="QP45" s="57"/>
      <c r="QQ45" s="57">
        <f t="shared" si="180"/>
        <v>0</v>
      </c>
      <c r="QR45" s="57">
        <f t="shared" si="338"/>
        <v>0</v>
      </c>
      <c r="QS45" s="57">
        <f t="shared" si="339"/>
        <v>0</v>
      </c>
      <c r="QT45" s="57">
        <f t="shared" si="340"/>
        <v>0</v>
      </c>
      <c r="QU45" s="57">
        <f t="shared" si="341"/>
        <v>0</v>
      </c>
      <c r="QV45" s="1029">
        <f t="shared" si="181"/>
        <v>0</v>
      </c>
      <c r="QW45" s="57">
        <f t="shared" si="182"/>
        <v>0</v>
      </c>
      <c r="QX45" s="171" t="str">
        <f t="shared" si="183"/>
        <v/>
      </c>
      <c r="QY45" s="57">
        <f t="shared" si="342"/>
        <v>0</v>
      </c>
      <c r="QZ45" s="57">
        <f>IF(OR(AND(QN$6=1,$L45=0),AND(QN$6=2,$K45=2,$G45=1)),0,IF(AND(QP$9=2,(OR($F45&gt;1,$K45=1,AND($L45=80,OR($N45=1,AND($N45=2,'#BerechnungDBE'!$AL36&gt;0)))))),IF(QN$4&gt;=$AD$126,0,QX45),IF(QP$9=3,IF(OR(QN$4&gt;=$AD$127,AND($G45=1,$J45=2,QN$6=2),AND(QN$6=1,$N45&lt;&gt;1)),0,IF(QR45&lt;=120,QX45,IF(QN$4&lt;$AD$124,IF($F45=1,60/QP$4*QP$6,60/QP$4*QP$7),IF($F45=1,120/QP$4*QP$6,120/QP$4*QP$7)))),IF(OR($F45=3,$G45=2),IF(OR(AND(QN$4&gt;=$AD$119,$C45=2),AND(QN$4&gt;=$AF$119,$C45=1)),0,IF(QR45&lt;=60,QX45,60/QP$4*QP$7)),IF(AND($F45=2,$G45=1),QX45,0)))))</f>
        <v>0</v>
      </c>
      <c r="RA45" s="57" t="str">
        <f t="shared" si="184"/>
        <v/>
      </c>
      <c r="RB45" s="57" t="str">
        <f t="shared" si="185"/>
        <v/>
      </c>
      <c r="RC45" s="713">
        <f>'org. Düngung 22'!DX44</f>
        <v>0</v>
      </c>
      <c r="RD45" s="57"/>
      <c r="RE45" s="57"/>
      <c r="RF45" s="57">
        <f t="shared" si="186"/>
        <v>0</v>
      </c>
      <c r="RG45" s="57">
        <f t="shared" si="343"/>
        <v>0</v>
      </c>
      <c r="RH45" s="57">
        <f t="shared" si="344"/>
        <v>0</v>
      </c>
      <c r="RI45" s="57">
        <f t="shared" si="345"/>
        <v>0</v>
      </c>
      <c r="RJ45" s="57">
        <f t="shared" si="346"/>
        <v>0</v>
      </c>
      <c r="RK45" s="1029">
        <f t="shared" si="187"/>
        <v>0</v>
      </c>
      <c r="RL45" s="57">
        <f t="shared" si="188"/>
        <v>0</v>
      </c>
      <c r="RM45" s="171" t="str">
        <f t="shared" si="189"/>
        <v/>
      </c>
      <c r="RN45" s="57">
        <f t="shared" si="347"/>
        <v>0</v>
      </c>
      <c r="RO45" s="57">
        <f>IF(OR(AND(RC$6=1,$L45=0),AND(RC$6=2,$K45=2,$G45=1)),0,IF(AND(RE$9=2,(OR($F45&gt;1,$K45=1,AND($L45=80,OR($N45=1,AND($N45=2,'#BerechnungDBE'!$AL36&gt;0)))))),IF(RC$4&gt;=$AD$126,0,RM45),IF(RE$9=3,IF(OR(RC$4&gt;=$AD$127,AND($G45=1,$J45=2,RC$6=2),AND(RC$6=1,$N45&lt;&gt;1)),0,IF(RG45&lt;=120,RM45,IF(RC$4&lt;$AD$124,IF($F45=1,60/RE$4*RE$6,60/RE$4*RE$7),IF($F45=1,120/RE$4*RE$6,120/RE$4*RE$7)))),IF(OR($F45=3,$G45=2),IF(OR(AND(RC$4&gt;=$AD$119,$C45=2),AND(RC$4&gt;=$AF$119,$C45=1)),0,IF(RG45&lt;=60,RM45,60/RE$4*RE$7)),IF(AND($F45=2,$G45=1),RM45,0)))))</f>
        <v>0</v>
      </c>
      <c r="RP45" s="57" t="str">
        <f t="shared" si="190"/>
        <v/>
      </c>
      <c r="RQ45" s="57" t="str">
        <f t="shared" si="191"/>
        <v/>
      </c>
      <c r="RS45" s="57" t="str">
        <f t="shared" si="348"/>
        <v/>
      </c>
      <c r="RT45" s="57" t="str">
        <f t="shared" si="192"/>
        <v/>
      </c>
      <c r="RU45" s="57" t="str">
        <f t="shared" si="193"/>
        <v/>
      </c>
      <c r="RV45" s="57" t="str">
        <f>IF(Z45&gt;'#BerechnungDBE'!BM36,$RV$9,"")</f>
        <v/>
      </c>
      <c r="RW45" s="57" t="str">
        <f>IF(AND(L45=70,AE45&gt;'#BerechnungDBE'!CQ36),$RW$9,"")</f>
        <v/>
      </c>
      <c r="RX45" s="57" t="str">
        <f>IF(OR('org. Düngung 22'!G44="--",'org. Düngung 22'!G44&lt;=170,'org. Düngung 22'!G44=""),"",$RX$9)</f>
        <v/>
      </c>
      <c r="RY45" s="57" t="str">
        <f>IF('org. Düngung 22'!K44&gt;120,'#orgDung'!$RY$9,"")</f>
        <v/>
      </c>
      <c r="RZ45" s="57" t="str">
        <f>IF('#BerechnungDBE'!P36&lt;4,"",IF(AND('#BerechnungDBE'!BZ36&gt;0,T45&gt;0),'#orgDung'!$RZ$9,""))</f>
        <v/>
      </c>
      <c r="SA45" s="57" t="str">
        <f t="shared" si="194"/>
        <v/>
      </c>
    </row>
    <row r="46" spans="1:495" s="875" customFormat="1" x14ac:dyDescent="0.2">
      <c r="A46" s="875">
        <f>'Flächen u. Kulturen'!A42</f>
        <v>33</v>
      </c>
      <c r="B46" s="367">
        <f>'#BerechnungDBE'!L37</f>
        <v>0</v>
      </c>
      <c r="C46" s="875">
        <f>'#BerechnungDBE'!R37</f>
        <v>1</v>
      </c>
      <c r="D46" s="875">
        <f>'#BerechnungDBE'!T37</f>
        <v>2</v>
      </c>
      <c r="E46" s="875" t="str">
        <f>'Flächen u. Kulturen'!E42</f>
        <v>x</v>
      </c>
      <c r="F46" s="52">
        <f>'#BerechnungDBE'!N37</f>
        <v>1</v>
      </c>
      <c r="G46" s="52">
        <f>'#BerechnungDBE'!O37</f>
        <v>1</v>
      </c>
      <c r="H46" s="875">
        <f>IF('Flächen u. Kulturen'!P42="",0,VLOOKUP('Flächen u. Kulturen'!P42,Kulturen[[HF]:[Berechnungsgruppe]],'#Frucht'!$H$1,FALSE))</f>
        <v>0</v>
      </c>
      <c r="I46" s="875">
        <f>IF('Flächen u. Kulturen'!J42="",0,VLOOKUP('Flächen u. Kulturen'!J42,Kulturen[[HF]:[Berechnungsgruppe]],'#Frucht'!$G$1,FALSE))</f>
        <v>90</v>
      </c>
      <c r="J46" s="505">
        <f t="shared" si="195"/>
        <v>2</v>
      </c>
      <c r="K46" s="505">
        <f>IF('Flächen u. Kulturen'!P42="",0,IF(VLOOKUP('Flächen u. Kulturen'!P42,Kulturen[[HF]:[Saat Winterungen]],'#Frucht'!$P$1,FALSE)&gt;0,1,2))</f>
        <v>2</v>
      </c>
      <c r="L46" s="875">
        <f>'#BerechnungDBE'!AF37</f>
        <v>0</v>
      </c>
      <c r="M46" s="875">
        <f>IF('Flächen u. Kulturen'!L42="",0,VLOOKUP('Flächen u. Kulturen'!L42,Nebenkultur[[Nebenkultur]:[Legum. Zwischenfr.]],'#Zweitfr'!$K$1,FALSE))</f>
        <v>0</v>
      </c>
      <c r="N46" s="875">
        <f>'#BerechnungDBE'!AG37</f>
        <v>0</v>
      </c>
      <c r="P46" s="57">
        <f t="shared" ref="P46:P77" si="353">SUMIF($AJ$13:$XFD$13,$AN$13,AJ46:XFD46)+AG46</f>
        <v>0</v>
      </c>
      <c r="Q46" s="57">
        <f t="shared" ref="Q46:Q77" si="354">IF(E46="x",SUMIF($AJ$12:$XFD$12,$AN$13,AJ46:XFD46),0)</f>
        <v>0</v>
      </c>
      <c r="R46" s="875">
        <f t="shared" ref="R46:R77" si="355">SUMIF($AJ$13:$XFD$13,$AP$13,AJ46:XFD46)+AG46</f>
        <v>0</v>
      </c>
      <c r="S46" s="938" t="str">
        <f t="shared" si="3"/>
        <v/>
      </c>
      <c r="T46" s="875">
        <f t="shared" ref="T46:T77" si="356">SUMIF($AJ$13:$XFD$13,$AQ$13,AJ46:XFD46)+AH46</f>
        <v>0</v>
      </c>
      <c r="U46" s="875">
        <f t="shared" ref="U46:U77" si="357">SUMIF($AJ$13:$XFD$13,$AR$13,AJ46:XFD46)</f>
        <v>0</v>
      </c>
      <c r="V46" s="875">
        <f t="shared" ref="V46:V77" si="358">SUMIF($AJ$13:$XFD$13,$AS$13,AJ46:XFD46)</f>
        <v>0</v>
      </c>
      <c r="W46" s="875">
        <f t="shared" ref="W46:W77" si="359">SUMIF($AJ$13:$XFD$13,$AT$13,AJ46:XFD46)</f>
        <v>0</v>
      </c>
      <c r="X46" s="875">
        <f t="shared" ref="X46:X77" si="360">SUMIF($AJ$13:$XFD$13,$AU$13,AJ46:XFD46)</f>
        <v>0</v>
      </c>
      <c r="Y46" s="875">
        <f t="shared" si="349"/>
        <v>0</v>
      </c>
      <c r="Z46" s="875">
        <f t="shared" si="350"/>
        <v>0</v>
      </c>
      <c r="AA46" s="910">
        <f t="shared" ref="AA46:AA77" si="361">SUMIF($AJ$13:$XFD$13,$AV$13,AJ46:XFD46)</f>
        <v>0</v>
      </c>
      <c r="AB46" s="57">
        <f t="shared" si="351"/>
        <v>0</v>
      </c>
      <c r="AC46" s="875">
        <f t="shared" ref="AC46:AC77" si="362">P46-U46-AG46</f>
        <v>0</v>
      </c>
      <c r="AD46" s="875">
        <f t="shared" ref="AD46:AD77" si="363">SUMIF($AJ$13:$XFD$13,$AX$13,AJ46:XFD46)</f>
        <v>0</v>
      </c>
      <c r="AE46" s="875">
        <f t="shared" ref="AE46:AE77" si="364">SUMIF($AJ$13:$XFD$13,$AW$13,AJ46:XFD46)</f>
        <v>0</v>
      </c>
      <c r="AF46" s="875">
        <f t="shared" si="352"/>
        <v>0</v>
      </c>
      <c r="AG46" s="875">
        <f>'org. Düngung 22'!J45</f>
        <v>0</v>
      </c>
      <c r="AH46" s="875">
        <f>'org. Düngung 22'!K45</f>
        <v>0</v>
      </c>
      <c r="AJ46" s="713">
        <f>'org. Düngung 22'!L45</f>
        <v>0</v>
      </c>
      <c r="AK46" s="57"/>
      <c r="AL46" s="57"/>
      <c r="AM46" s="57">
        <f t="shared" si="196"/>
        <v>0</v>
      </c>
      <c r="AN46" s="57">
        <f t="shared" si="197"/>
        <v>0</v>
      </c>
      <c r="AO46" s="57">
        <f t="shared" si="198"/>
        <v>0</v>
      </c>
      <c r="AP46" s="57">
        <f t="shared" si="199"/>
        <v>0</v>
      </c>
      <c r="AQ46" s="57">
        <f t="shared" si="200"/>
        <v>0</v>
      </c>
      <c r="AR46" s="1029">
        <f t="shared" ref="AR46:AR77" si="365">IF(AJ$6&gt;1,AN46,        IF($L46=70,"",         IF(OR($L46=0,$N46=2),AN46, IF(AJ$4&gt;=$C$133,AN46,IF(AN46&lt;60,0,AN46-60)))))</f>
        <v>0</v>
      </c>
      <c r="AS46" s="57">
        <f t="shared" ref="AS46:AS77" si="366">IF(OR(AJ$6&lt;&gt;2,$J46=2,$F46&gt;1),0,IF(AL$9=2,0,IF(AND(OR(AL$9=3,AL$9=1),AJ$4&lt;$C$133),IF(AN46&lt;=60,AJ46*AL$5,60/AL$4*AL$5),0)))</f>
        <v>0</v>
      </c>
      <c r="AT46" s="171" t="str">
        <f t="shared" ref="AT46:AT77" si="367">IF(OR(AL$4=0,AJ$6=3),"",         IF(AJ$6=1,      IF($L46=70,"",IF($F46=1,AR46/AL$4*AL$6,AR46/AL$4*AL$7)),      IF($F46&gt;1,AJ46*AL$7,   IF(OR($J46=2,AJ$4&gt;=$C$133,AL$9=2),AJ46*AL$6,IF(AN46&lt;=60,0,(AN46-60)/AL$4*AL$6)))))</f>
        <v/>
      </c>
      <c r="AU46" s="57">
        <f t="shared" si="201"/>
        <v>0</v>
      </c>
      <c r="AV46" s="57">
        <f>IF(OR(AND(AJ$6=1,$L46=0),AND(AJ$6=2,$K46=2,$G46=1)),0,IF(AND(AL$9=2,(OR($F46&gt;1,$K46=1,AND($L46=80,OR($N46=1,AND($N46=2,'#BerechnungDBE'!$AL37&gt;0)))))),IF(AJ$4&gt;=$AD$126,0,AT46),IF(AL$9=3,IF(OR(AJ$4&gt;=$AD$127,AND($G46=1,$J46=2,AJ$6=2),AND(AJ$6=1,$N46&lt;&gt;1)),0,IF(AN46&lt;=120,AT46,IF(AJ$4&lt;$AD$124,IF($F46=1,60/AL$4*AL$6,60/AL$4*AL$7),IF($F46=1,120/AL$4*AL$6,120/AL$4*AL$7)))),IF(OR($F46=3,$G46=2),IF(OR(AND(AJ$4&gt;=$AD$119,$C46=2),AND(AJ$4&gt;=$AF$119,$C46=1)),0,IF(AN46&lt;=60,AT46,60/AL$4*AL$7)),IF(AND($F46=2,$G46=1),AT46,0)))))</f>
        <v>0</v>
      </c>
      <c r="AW46" s="57" t="str">
        <f t="shared" si="202"/>
        <v/>
      </c>
      <c r="AX46" s="57" t="str">
        <f t="shared" ref="AX46:AX77" si="368">IF(AND(AJ$6=1,$L46=80),IF(OR($N46=2,AJ$4&gt;=$C$133),0,IF(AN46&lt;=60,AJ46*AL$5,60/AL$4*AL$5)),"")</f>
        <v/>
      </c>
      <c r="AY46" s="713">
        <f>'org. Düngung 22'!P45</f>
        <v>0</v>
      </c>
      <c r="AZ46" s="57"/>
      <c r="BA46" s="57"/>
      <c r="BB46" s="57">
        <f t="shared" si="18"/>
        <v>0</v>
      </c>
      <c r="BC46" s="57">
        <f t="shared" si="203"/>
        <v>0</v>
      </c>
      <c r="BD46" s="57">
        <f t="shared" si="204"/>
        <v>0</v>
      </c>
      <c r="BE46" s="57">
        <f t="shared" si="205"/>
        <v>0</v>
      </c>
      <c r="BF46" s="57">
        <f t="shared" si="206"/>
        <v>0</v>
      </c>
      <c r="BG46" s="1029">
        <f t="shared" ref="BG46:BG77" si="369">IF(AY$6&gt;1,BC46,        IF($L46=70,"",         IF(OR($L46=0,$N46=2),BC46, IF(AY$4&gt;=$C$133,BC46,IF(BC46&lt;60,0,BC46-60)))))</f>
        <v>0</v>
      </c>
      <c r="BH46" s="57">
        <f t="shared" ref="BH46:BH77" si="370">IF(OR(AY$6&lt;&gt;2,$J46=2,$F46&gt;1),0,IF(BA$9=2,0,IF(AND(OR(BA$9=3,BA$9=1),AY$4&lt;$C$133),IF(BC46&lt;=60,AY46*BA$5,60/BA$4*BA$5),0)))</f>
        <v>0</v>
      </c>
      <c r="BI46" s="171" t="str">
        <f t="shared" ref="BI46:BI77" si="371">IF(OR(BA$4=0,AY$6=3),"",         IF(AY$6=1,      IF($L46=70,"",IF($F46=1,BG46/BA$4*BA$6,BG46/BA$4*BA$7)),      IF($F46&gt;1,AY46*BA$7,   IF(OR($J46=2,AY$4&gt;=$C$133,BA$9=2),AY46*BA$6,IF(BC46&lt;=60,0,(BC46-60)/BA$4*BA$6)))))</f>
        <v/>
      </c>
      <c r="BJ46" s="57">
        <f t="shared" si="207"/>
        <v>0</v>
      </c>
      <c r="BK46" s="57">
        <f>IF(OR(AND(AY$6=1,$L46=0),AND(AY$6=2,$K46=2,$G46=1)),0,IF(AND(BA$9=2,(OR($F46&gt;1,$K46=1,AND($L46=80,OR($N46=1,AND($N46=2,'#BerechnungDBE'!$AL37&gt;0)))))),IF(AY$4&gt;=$AD$126,0,BI46),IF(BA$9=3,IF(OR(AY$4&gt;=$AD$127,AND($G46=1,$J46=2,AY$6=2),AND(AY$6=1,$N46&lt;&gt;1)),0,IF(BC46&lt;=120,BI46,IF(AY$4&lt;$AD$124,IF($F46=1,60/BA$4*BA$6,60/BA$4*BA$7),IF($F46=1,120/BA$4*BA$6,120/BA$4*BA$7)))),IF(OR($F46=3,$G46=2),IF(OR(AND(AY$4&gt;=$AD$119,$C46=2),AND(AY$4&gt;=$AF$119,$C46=1)),0,IF(BC46&lt;=60,BI46,60/BA$4*BA$7)),IF(AND($F46=2,$G46=1),BI46,0)))))</f>
        <v>0</v>
      </c>
      <c r="BL46" s="57" t="str">
        <f t="shared" si="22"/>
        <v/>
      </c>
      <c r="BM46" s="57" t="str">
        <f t="shared" ref="BM46:BM77" si="372">IF(AND(AY$6=1,$L46=80),IF(OR($N46=2,AY$4&gt;=$C$133),0,IF(BC46&lt;=60,AY46*BA$5,60/BA$4*BA$5)),"")</f>
        <v/>
      </c>
      <c r="BN46" s="713">
        <f>'org. Düngung 22'!T45</f>
        <v>0</v>
      </c>
      <c r="BO46" s="57"/>
      <c r="BP46" s="57"/>
      <c r="BQ46" s="57">
        <f t="shared" si="24"/>
        <v>0</v>
      </c>
      <c r="BR46" s="57">
        <f t="shared" si="208"/>
        <v>0</v>
      </c>
      <c r="BS46" s="57">
        <f t="shared" si="209"/>
        <v>0</v>
      </c>
      <c r="BT46" s="57">
        <f t="shared" si="210"/>
        <v>0</v>
      </c>
      <c r="BU46" s="57">
        <f t="shared" si="211"/>
        <v>0</v>
      </c>
      <c r="BV46" s="1029">
        <f t="shared" ref="BV46:BV77" si="373">IF(BN$6&gt;1,BR46,        IF($L46=70,"",         IF(OR($L46=0,$N46=2),BR46, IF(BN$4&gt;=$C$133,BR46,IF(BR46&lt;60,0,BR46-60)))))</f>
        <v>0</v>
      </c>
      <c r="BW46" s="57">
        <f t="shared" ref="BW46:BW77" si="374">IF(OR(BN$6&lt;&gt;2,$J46=2,$F46&gt;1),0,IF(BP$9=2,0,IF(AND(OR(BP$9=3,BP$9=1),BN$4&lt;$C$133),IF(BR46&lt;=60,BN46*BP$5,60/BP$4*BP$5),0)))</f>
        <v>0</v>
      </c>
      <c r="BX46" s="171" t="str">
        <f t="shared" ref="BX46:BX77" si="375">IF(OR(BP$4=0,BN$6=3),"",         IF(BN$6=1,      IF($L46=70,"",IF($F46=1,BV46/BP$4*BP$6,BV46/BP$4*BP$7)),      IF($F46&gt;1,BN46*BP$7,   IF(OR($J46=2,BN$4&gt;=$C$133,BP$9=2),BN46*BP$6,IF(BR46&lt;=60,0,(BR46-60)/BP$4*BP$6)))))</f>
        <v/>
      </c>
      <c r="BY46" s="57">
        <f t="shared" si="212"/>
        <v>0</v>
      </c>
      <c r="BZ46" s="57">
        <f>IF(OR(AND(BN$6=1,$L46=0),AND(BN$6=2,$K46=2,$G46=1)),0,IF(AND(BP$9=2,(OR($F46&gt;1,$K46=1,AND($L46=80,OR($N46=1,AND($N46=2,'#BerechnungDBE'!$AL37&gt;0)))))),IF(BN$4&gt;=$AD$126,0,BX46),IF(BP$9=3,IF(OR(BN$4&gt;=$AD$127,AND($G46=1,$J46=2,BN$6=2),AND(BN$6=1,$N46&lt;&gt;1)),0,IF(BR46&lt;=120,BX46,IF(BN$4&lt;$AD$124,IF($F46=1,60/BP$4*BP$6,60/BP$4*BP$7),IF($F46=1,120/BP$4*BP$6,120/BP$4*BP$7)))),IF(OR($F46=3,$G46=2),IF(OR(AND(BN$4&gt;=$AD$119,$C46=2),AND(BN$4&gt;=$AF$119,$C46=1)),0,IF(BR46&lt;=60,BX46,60/BP$4*BP$7)),IF(AND($F46=2,$G46=1),BX46,0)))))</f>
        <v>0</v>
      </c>
      <c r="CA46" s="57" t="str">
        <f t="shared" si="28"/>
        <v/>
      </c>
      <c r="CB46" s="57" t="str">
        <f t="shared" ref="CB46:CB77" si="376">IF(AND(BN$6=1,$L46=80),IF(OR($N46=2,BN$4&gt;=$C$133),0,IF(BR46&lt;=60,BN46*BP$5,60/BP$4*BP$5)),"")</f>
        <v/>
      </c>
      <c r="CC46" s="713">
        <f>'org. Düngung 22'!X45</f>
        <v>0</v>
      </c>
      <c r="CD46" s="57"/>
      <c r="CE46" s="57"/>
      <c r="CF46" s="57">
        <f t="shared" si="30"/>
        <v>0</v>
      </c>
      <c r="CG46" s="57">
        <f t="shared" si="213"/>
        <v>0</v>
      </c>
      <c r="CH46" s="57">
        <f t="shared" si="214"/>
        <v>0</v>
      </c>
      <c r="CI46" s="57">
        <f t="shared" si="215"/>
        <v>0</v>
      </c>
      <c r="CJ46" s="57">
        <f t="shared" si="216"/>
        <v>0</v>
      </c>
      <c r="CK46" s="1029">
        <f t="shared" ref="CK46:CK77" si="377">IF(CC$6&gt;1,CG46,        IF($L46=70,"",         IF(OR($L46=0,$N46=2),CG46, IF(CC$4&gt;=$C$133,CG46,IF(CG46&lt;60,0,CG46-60)))))</f>
        <v>0</v>
      </c>
      <c r="CL46" s="57">
        <f t="shared" ref="CL46:CL77" si="378">IF(OR(CC$6&lt;&gt;2,$J46=2,$F46&gt;1),0,IF(CE$9=2,0,IF(AND(OR(CE$9=3,CE$9=1),CC$4&lt;$C$133),IF(CG46&lt;=60,CC46*CE$5,60/CE$4*CE$5),0)))</f>
        <v>0</v>
      </c>
      <c r="CM46" s="171" t="str">
        <f t="shared" ref="CM46:CM77" si="379">IF(OR(CE$4=0,CC$6=3),"",         IF(CC$6=1,      IF($L46=70,"",IF($F46=1,CK46/CE$4*CE$6,CK46/CE$4*CE$7)),      IF($F46&gt;1,CC46*CE$7,   IF(OR($J46=2,CC$4&gt;=$C$133,CE$9=2),CC46*CE$6,IF(CG46&lt;=60,0,(CG46-60)/CE$4*CE$6)))))</f>
        <v/>
      </c>
      <c r="CN46" s="57">
        <f t="shared" si="217"/>
        <v>0</v>
      </c>
      <c r="CO46" s="57">
        <f>IF(OR(AND(CC$6=1,$L46=0),AND(CC$6=2,$K46=2,$G46=1)),0,IF(AND(CE$9=2,(OR($F46&gt;1,$K46=1,AND($L46=80,OR($N46=1,AND($N46=2,'#BerechnungDBE'!$AL37&gt;0)))))),IF(CC$4&gt;=$AD$126,0,CM46),IF(CE$9=3,IF(OR(CC$4&gt;=$AD$127,AND($G46=1,$J46=2,CC$6=2),AND(CC$6=1,$N46&lt;&gt;1)),0,IF(CG46&lt;=120,CM46,IF(CC$4&lt;$AD$124,IF($F46=1,60/CE$4*CE$6,60/CE$4*CE$7),IF($F46=1,120/CE$4*CE$6,120/CE$4*CE$7)))),IF(OR($F46=3,$G46=2),IF(OR(AND(CC$4&gt;=$AD$119,$C46=2),AND(CC$4&gt;=$AF$119,$C46=1)),0,IF(CG46&lt;=60,CM46,60/CE$4*CE$7)),IF(AND($F46=2,$G46=1),CM46,0)))))</f>
        <v>0</v>
      </c>
      <c r="CP46" s="57" t="str">
        <f t="shared" si="34"/>
        <v/>
      </c>
      <c r="CQ46" s="57" t="str">
        <f t="shared" ref="CQ46:CQ77" si="380">IF(AND(CC$6=1,$L46=80),IF(OR($N46=2,CC$4&gt;=$C$133),0,IF(CG46&lt;=60,CC46*CE$5,60/CE$4*CE$5)),"")</f>
        <v/>
      </c>
      <c r="CR46" s="713">
        <f>'org. Düngung 22'!AB45</f>
        <v>0</v>
      </c>
      <c r="CS46" s="57"/>
      <c r="CT46" s="57"/>
      <c r="CU46" s="57">
        <f t="shared" si="36"/>
        <v>0</v>
      </c>
      <c r="CV46" s="57">
        <f t="shared" si="218"/>
        <v>0</v>
      </c>
      <c r="CW46" s="57">
        <f t="shared" si="219"/>
        <v>0</v>
      </c>
      <c r="CX46" s="57">
        <f t="shared" si="220"/>
        <v>0</v>
      </c>
      <c r="CY46" s="57">
        <f t="shared" si="221"/>
        <v>0</v>
      </c>
      <c r="CZ46" s="1029">
        <f t="shared" ref="CZ46:CZ77" si="381">IF(CR$6&gt;1,CV46,        IF($L46=70,"",         IF(OR($L46=0,$N46=2),CV46, IF(CR$4&gt;=$C$133,CV46,IF(CV46&lt;60,0,CV46-60)))))</f>
        <v>0</v>
      </c>
      <c r="DA46" s="57">
        <f t="shared" ref="DA46:DA77" si="382">IF(OR(CR$6&lt;&gt;2,$J46=2,$F46&gt;1),0,IF(CT$9=2,0,IF(AND(OR(CT$9=3,CT$9=1),CR$4&lt;$C$133),IF(CV46&lt;=60,CR46*CT$5,60/CT$4*CT$5),0)))</f>
        <v>0</v>
      </c>
      <c r="DB46" s="171" t="str">
        <f t="shared" ref="DB46:DB77" si="383">IF(OR(CT$4=0,CR$6=3),"",         IF(CR$6=1,      IF($L46=70,"",IF($F46=1,CZ46/CT$4*CT$6,CZ46/CT$4*CT$7)),      IF($F46&gt;1,CR46*CT$7,   IF(OR($J46=2,CR$4&gt;=$C$133,CT$9=2),CR46*CT$6,IF(CV46&lt;=60,0,(CV46-60)/CT$4*CT$6)))))</f>
        <v/>
      </c>
      <c r="DC46" s="57">
        <f t="shared" si="222"/>
        <v>0</v>
      </c>
      <c r="DD46" s="57">
        <f>IF(OR(AND(CR$6=1,$L46=0),AND(CR$6=2,$K46=2,$G46=1)),0,IF(AND(CT$9=2,(OR($F46&gt;1,$K46=1,AND($L46=80,OR($N46=1,AND($N46=2,'#BerechnungDBE'!$AL37&gt;0)))))),IF(CR$4&gt;=$AD$126,0,DB46),IF(CT$9=3,IF(OR(CR$4&gt;=$AD$127,AND($G46=1,$J46=2,CR$6=2),AND(CR$6=1,$N46&lt;&gt;1)),0,IF(CV46&lt;=120,DB46,IF(CR$4&lt;$AD$124,IF($F46=1,60/CT$4*CT$6,60/CT$4*CT$7),IF($F46=1,120/CT$4*CT$6,120/CT$4*CT$7)))),IF(OR($F46=3,$G46=2),IF(OR(AND(CR$4&gt;=$AD$119,$C46=2),AND(CR$4&gt;=$AF$119,$C46=1)),0,IF(CV46&lt;=60,DB46,60/CT$4*CT$7)),IF(AND($F46=2,$G46=1),DB46,0)))))</f>
        <v>0</v>
      </c>
      <c r="DE46" s="57" t="str">
        <f t="shared" si="40"/>
        <v/>
      </c>
      <c r="DF46" s="57" t="str">
        <f t="shared" ref="DF46:DF77" si="384">IF(AND(CR$6=1,$L46=80),IF(OR($N46=2,CR$4&gt;=$C$133),0,IF(CV46&lt;=60,CR46*CT$5,60/CT$4*CT$5)),"")</f>
        <v/>
      </c>
      <c r="DG46" s="713">
        <f>'org. Düngung 22'!AF45</f>
        <v>0</v>
      </c>
      <c r="DH46" s="57"/>
      <c r="DI46" s="57"/>
      <c r="DJ46" s="57">
        <f t="shared" si="42"/>
        <v>0</v>
      </c>
      <c r="DK46" s="57">
        <f t="shared" si="223"/>
        <v>0</v>
      </c>
      <c r="DL46" s="57">
        <f t="shared" si="224"/>
        <v>0</v>
      </c>
      <c r="DM46" s="57">
        <f t="shared" si="225"/>
        <v>0</v>
      </c>
      <c r="DN46" s="57">
        <f t="shared" si="226"/>
        <v>0</v>
      </c>
      <c r="DO46" s="1029">
        <f t="shared" ref="DO46:DO77" si="385">IF(DG$6&gt;1,DK46,        IF($L46=70,"",         IF(OR($L46=0,$N46=2),DK46, IF(DG$4&gt;=$C$133,DK46,IF(DK46&lt;60,0,DK46-60)))))</f>
        <v>0</v>
      </c>
      <c r="DP46" s="57">
        <f t="shared" ref="DP46:DP77" si="386">IF(OR(DG$6&lt;&gt;2,$J46=2,$F46&gt;1),0,IF(DI$9=2,0,IF(AND(OR(DI$9=3,DI$9=1),DG$4&lt;$C$133),IF(DK46&lt;=60,DG46*DI$5,60/DI$4*DI$5),0)))</f>
        <v>0</v>
      </c>
      <c r="DQ46" s="171" t="str">
        <f t="shared" ref="DQ46:DQ77" si="387">IF(OR(DI$4=0,DG$6=3),"",         IF(DG$6=1,      IF($L46=70,"",IF($F46=1,DO46/DI$4*DI$6,DO46/DI$4*DI$7)),      IF($F46&gt;1,DG46*DI$7,   IF(OR($J46=2,DG$4&gt;=$C$133,DI$9=2),DG46*DI$6,IF(DK46&lt;=60,0,(DK46-60)/DI$4*DI$6)))))</f>
        <v/>
      </c>
      <c r="DR46" s="57">
        <f t="shared" si="227"/>
        <v>0</v>
      </c>
      <c r="DS46" s="57">
        <f>IF(OR(AND(DG$6=1,$L46=0),AND(DG$6=2,$K46=2,$G46=1)),0,IF(AND(DI$9=2,(OR($F46&gt;1,$K46=1,AND($L46=80,OR($N46=1,AND($N46=2,'#BerechnungDBE'!$AL37&gt;0)))))),IF(DG$4&gt;=$AD$126,0,DQ46),IF(DI$9=3,IF(OR(DG$4&gt;=$AD$127,AND($G46=1,$J46=2,DG$6=2),AND(DG$6=1,$N46&lt;&gt;1)),0,IF(DK46&lt;=120,DQ46,IF(DG$4&lt;$AD$124,IF($F46=1,60/DI$4*DI$6,60/DI$4*DI$7),IF($F46=1,120/DI$4*DI$6,120/DI$4*DI$7)))),IF(OR($F46=3,$G46=2),IF(OR(AND(DG$4&gt;=$AD$119,$C46=2),AND(DG$4&gt;=$AF$119,$C46=1)),0,IF(DK46&lt;=60,DQ46,60/DI$4*DI$7)),IF(AND($F46=2,$G46=1),DQ46,0)))))</f>
        <v>0</v>
      </c>
      <c r="DT46" s="57" t="str">
        <f t="shared" si="46"/>
        <v/>
      </c>
      <c r="DU46" s="57" t="str">
        <f t="shared" ref="DU46:DU77" si="388">IF(AND(DG$6=1,$L46=80),IF(OR($N46=2,DG$4&gt;=$C$133),0,IF(DK46&lt;=60,DG46*DI$5,60/DI$4*DI$5)),"")</f>
        <v/>
      </c>
      <c r="DV46" s="713">
        <f>'org. Düngung 22'!AJ45</f>
        <v>0</v>
      </c>
      <c r="DW46" s="57"/>
      <c r="DX46" s="57"/>
      <c r="DY46" s="57">
        <f t="shared" si="48"/>
        <v>0</v>
      </c>
      <c r="DZ46" s="57">
        <f t="shared" si="228"/>
        <v>0</v>
      </c>
      <c r="EA46" s="57">
        <f t="shared" si="229"/>
        <v>0</v>
      </c>
      <c r="EB46" s="57">
        <f t="shared" si="230"/>
        <v>0</v>
      </c>
      <c r="EC46" s="57">
        <f t="shared" si="231"/>
        <v>0</v>
      </c>
      <c r="ED46" s="1029">
        <f t="shared" ref="ED46:ED77" si="389">IF(DV$6&gt;1,DZ46,        IF($L46=70,"",         IF(OR($L46=0,$N46=2),DZ46, IF(DV$4&gt;=$C$133,DZ46,IF(DZ46&lt;60,0,DZ46-60)))))</f>
        <v>0</v>
      </c>
      <c r="EE46" s="57">
        <f t="shared" ref="EE46:EE77" si="390">IF(OR(DV$6&lt;&gt;2,$J46=2,$F46&gt;1),0,IF(DX$9=2,0,IF(AND(OR(DX$9=3,DX$9=1),DV$4&lt;$C$133),IF(DZ46&lt;=60,DV46*DX$5,60/DX$4*DX$5),0)))</f>
        <v>0</v>
      </c>
      <c r="EF46" s="171" t="str">
        <f t="shared" ref="EF46:EF77" si="391">IF(OR(DX$4=0,DV$6=3),"",         IF(DV$6=1,      IF($L46=70,"",IF($F46=1,ED46/DX$4*DX$6,ED46/DX$4*DX$7)),      IF($F46&gt;1,DV46*DX$7,   IF(OR($J46=2,DV$4&gt;=$C$133,DX$9=2),DV46*DX$6,IF(DZ46&lt;=60,0,(DZ46-60)/DX$4*DX$6)))))</f>
        <v/>
      </c>
      <c r="EG46" s="57">
        <f t="shared" si="232"/>
        <v>0</v>
      </c>
      <c r="EH46" s="57">
        <f>IF(OR(AND(DV$6=1,$L46=0),AND(DV$6=2,$K46=2,$G46=1)),0,IF(AND(DX$9=2,(OR($F46&gt;1,$K46=1,AND($L46=80,OR($N46=1,AND($N46=2,'#BerechnungDBE'!$AL37&gt;0)))))),IF(DV$4&gt;=$AD$126,0,EF46),IF(DX$9=3,IF(OR(DV$4&gt;=$AD$127,AND($G46=1,$J46=2,DV$6=2),AND(DV$6=1,$N46&lt;&gt;1)),0,IF(DZ46&lt;=120,EF46,IF(DV$4&lt;$AD$124,IF($F46=1,60/DX$4*DX$6,60/DX$4*DX$7),IF($F46=1,120/DX$4*DX$6,120/DX$4*DX$7)))),IF(OR($F46=3,$G46=2),IF(OR(AND(DV$4&gt;=$AD$119,$C46=2),AND(DV$4&gt;=$AF$119,$C46=1)),0,IF(DZ46&lt;=60,EF46,60/DX$4*DX$7)),IF(AND($F46=2,$G46=1),EF46,0)))))</f>
        <v>0</v>
      </c>
      <c r="EI46" s="57" t="str">
        <f t="shared" si="52"/>
        <v/>
      </c>
      <c r="EJ46" s="57" t="str">
        <f t="shared" ref="EJ46:EJ77" si="392">IF(AND(DV$6=1,$L46=80),IF(OR($N46=2,DV$4&gt;=$C$133),0,IF(DZ46&lt;=60,DV46*DX$5,60/DX$4*DX$5)),"")</f>
        <v/>
      </c>
      <c r="EK46" s="713">
        <f>'org. Düngung 22'!AN45</f>
        <v>0</v>
      </c>
      <c r="EL46" s="57"/>
      <c r="EM46" s="57"/>
      <c r="EN46" s="57">
        <f t="shared" si="54"/>
        <v>0</v>
      </c>
      <c r="EO46" s="57">
        <f t="shared" si="233"/>
        <v>0</v>
      </c>
      <c r="EP46" s="57">
        <f t="shared" si="234"/>
        <v>0</v>
      </c>
      <c r="EQ46" s="57">
        <f t="shared" si="235"/>
        <v>0</v>
      </c>
      <c r="ER46" s="57">
        <f t="shared" si="236"/>
        <v>0</v>
      </c>
      <c r="ES46" s="1029">
        <f t="shared" ref="ES46:ES77" si="393">IF(EK$6&gt;1,EO46,        IF($L46=70,"",         IF(OR($L46=0,$N46=2),EO46, IF(EK$4&gt;=$C$133,EO46,IF(EO46&lt;60,0,EO46-60)))))</f>
        <v>0</v>
      </c>
      <c r="ET46" s="57">
        <f t="shared" ref="ET46:ET77" si="394">IF(OR(EK$6&lt;&gt;2,$J46=2,$F46&gt;1),0,IF(EM$9=2,0,IF(AND(OR(EM$9=3,EM$9=1),EK$4&lt;$C$133),IF(EO46&lt;=60,EK46*EM$5,60/EM$4*EM$5),0)))</f>
        <v>0</v>
      </c>
      <c r="EU46" s="171" t="str">
        <f t="shared" ref="EU46:EU77" si="395">IF(OR(EM$4=0,EK$6=3),"",         IF(EK$6=1,      IF($L46=70,"",IF($F46=1,ES46/EM$4*EM$6,ES46/EM$4*EM$7)),      IF($F46&gt;1,EK46*EM$7,   IF(OR($J46=2,EK$4&gt;=$C$133,EM$9=2),EK46*EM$6,IF(EO46&lt;=60,0,(EO46-60)/EM$4*EM$6)))))</f>
        <v/>
      </c>
      <c r="EV46" s="57">
        <f t="shared" si="237"/>
        <v>0</v>
      </c>
      <c r="EW46" s="57">
        <f>IF(OR(AND(EK$6=1,$L46=0),AND(EK$6=2,$K46=2,$G46=1)),0,IF(AND(EM$9=2,(OR($F46&gt;1,$K46=1,AND($L46=80,OR($N46=1,AND($N46=2,'#BerechnungDBE'!$AL37&gt;0)))))),IF(EK$4&gt;=$AD$126,0,EU46),IF(EM$9=3,IF(OR(EK$4&gt;=$AD$127,AND($G46=1,$J46=2,EK$6=2),AND(EK$6=1,$N46&lt;&gt;1)),0,IF(EO46&lt;=120,EU46,IF(EK$4&lt;$AD$124,IF($F46=1,60/EM$4*EM$6,60/EM$4*EM$7),IF($F46=1,120/EM$4*EM$6,120/EM$4*EM$7)))),IF(OR($F46=3,$G46=2),IF(OR(AND(EK$4&gt;=$AD$119,$C46=2),AND(EK$4&gt;=$AF$119,$C46=1)),0,IF(EO46&lt;=60,EU46,60/EM$4*EM$7)),IF(AND($F46=2,$G46=1),EU46,0)))))</f>
        <v>0</v>
      </c>
      <c r="EX46" s="57" t="str">
        <f t="shared" si="58"/>
        <v/>
      </c>
      <c r="EY46" s="57" t="str">
        <f t="shared" ref="EY46:EY77" si="396">IF(AND(EK$6=1,$L46=80),IF(OR($N46=2,EK$4&gt;=$C$133),0,IF(EO46&lt;=60,EK46*EM$5,60/EM$4*EM$5)),"")</f>
        <v/>
      </c>
      <c r="EZ46" s="713">
        <f>'org. Düngung 22'!AR45</f>
        <v>0</v>
      </c>
      <c r="FA46" s="57"/>
      <c r="FB46" s="57"/>
      <c r="FC46" s="57">
        <f t="shared" si="60"/>
        <v>0</v>
      </c>
      <c r="FD46" s="57">
        <f t="shared" si="238"/>
        <v>0</v>
      </c>
      <c r="FE46" s="57">
        <f t="shared" si="239"/>
        <v>0</v>
      </c>
      <c r="FF46" s="57">
        <f t="shared" si="240"/>
        <v>0</v>
      </c>
      <c r="FG46" s="57">
        <f t="shared" si="241"/>
        <v>0</v>
      </c>
      <c r="FH46" s="1029">
        <f t="shared" ref="FH46:FH77" si="397">IF(EZ$6&gt;1,FD46,        IF($L46=70,"",         IF(OR($L46=0,$N46=2),FD46, IF(EZ$4&gt;=$C$133,FD46,IF(FD46&lt;60,0,FD46-60)))))</f>
        <v>0</v>
      </c>
      <c r="FI46" s="57">
        <f t="shared" ref="FI46:FI77" si="398">IF(OR(EZ$6&lt;&gt;2,$J46=2,$F46&gt;1),0,IF(FB$9=2,0,IF(AND(OR(FB$9=3,FB$9=1),EZ$4&lt;$C$133),IF(FD46&lt;=60,EZ46*FB$5,60/FB$4*FB$5),0)))</f>
        <v>0</v>
      </c>
      <c r="FJ46" s="171" t="str">
        <f t="shared" ref="FJ46:FJ77" si="399">IF(OR(FB$4=0,EZ$6=3),"",         IF(EZ$6=1,      IF($L46=70,"",IF($F46=1,FH46/FB$4*FB$6,FH46/FB$4*FB$7)),      IF($F46&gt;1,EZ46*FB$7,   IF(OR($J46=2,EZ$4&gt;=$C$133,FB$9=2),EZ46*FB$6,IF(FD46&lt;=60,0,(FD46-60)/FB$4*FB$6)))))</f>
        <v/>
      </c>
      <c r="FK46" s="57">
        <f t="shared" si="242"/>
        <v>0</v>
      </c>
      <c r="FL46" s="57">
        <f>IF(OR(AND(EZ$6=1,$L46=0),AND(EZ$6=2,$K46=2,$G46=1)),0,IF(AND(FB$9=2,(OR($F46&gt;1,$K46=1,AND($L46=80,OR($N46=1,AND($N46=2,'#BerechnungDBE'!$AL37&gt;0)))))),IF(EZ$4&gt;=$AD$126,0,FJ46),IF(FB$9=3,IF(OR(EZ$4&gt;=$AD$127,AND($G46=1,$J46=2,EZ$6=2),AND(EZ$6=1,$N46&lt;&gt;1)),0,IF(FD46&lt;=120,FJ46,IF(EZ$4&lt;$AD$124,IF($F46=1,60/FB$4*FB$6,60/FB$4*FB$7),IF($F46=1,120/FB$4*FB$6,120/FB$4*FB$7)))),IF(OR($F46=3,$G46=2),IF(OR(AND(EZ$4&gt;=$AD$119,$C46=2),AND(EZ$4&gt;=$AF$119,$C46=1)),0,IF(FD46&lt;=60,FJ46,60/FB$4*FB$7)),IF(AND($F46=2,$G46=1),FJ46,0)))))</f>
        <v>0</v>
      </c>
      <c r="FM46" s="57" t="str">
        <f t="shared" si="64"/>
        <v/>
      </c>
      <c r="FN46" s="57" t="str">
        <f t="shared" ref="FN46:FN77" si="400">IF(AND(EZ$6=1,$L46=80),IF(OR($N46=2,EZ$4&gt;=$C$133),0,IF(FD46&lt;=60,EZ46*FB$5,60/FB$4*FB$5)),"")</f>
        <v/>
      </c>
      <c r="FO46" s="713">
        <f>'org. Düngung 22'!AV45</f>
        <v>0</v>
      </c>
      <c r="FP46" s="57"/>
      <c r="FQ46" s="57"/>
      <c r="FR46" s="57">
        <f t="shared" si="66"/>
        <v>0</v>
      </c>
      <c r="FS46" s="57">
        <f t="shared" si="243"/>
        <v>0</v>
      </c>
      <c r="FT46" s="57">
        <f t="shared" si="244"/>
        <v>0</v>
      </c>
      <c r="FU46" s="57">
        <f t="shared" si="245"/>
        <v>0</v>
      </c>
      <c r="FV46" s="57">
        <f t="shared" si="246"/>
        <v>0</v>
      </c>
      <c r="FW46" s="1029">
        <f t="shared" ref="FW46:FW77" si="401">IF(FO$6&gt;1,FS46,        IF($L46=70,"",         IF(OR($L46=0,$N46=2),FS46, IF(FO$4&gt;=$C$133,FS46,IF(FS46&lt;60,0,FS46-60)))))</f>
        <v>0</v>
      </c>
      <c r="FX46" s="57">
        <f t="shared" ref="FX46:FX77" si="402">IF(OR(FO$6&lt;&gt;2,$J46=2,$F46&gt;1),0,IF(FQ$9=2,0,IF(AND(OR(FQ$9=3,FQ$9=1),FO$4&lt;$C$133),IF(FS46&lt;=60,FO46*FQ$5,60/FQ$4*FQ$5),0)))</f>
        <v>0</v>
      </c>
      <c r="FY46" s="171" t="str">
        <f t="shared" ref="FY46:FY77" si="403">IF(OR(FQ$4=0,FO$6=3),"",         IF(FO$6=1,      IF($L46=70,"",IF($F46=1,FW46/FQ$4*FQ$6,FW46/FQ$4*FQ$7)),      IF($F46&gt;1,FO46*FQ$7,   IF(OR($J46=2,FO$4&gt;=$C$133,FQ$9=2),FO46*FQ$6,IF(FS46&lt;=60,0,(FS46-60)/FQ$4*FQ$6)))))</f>
        <v/>
      </c>
      <c r="FZ46" s="57">
        <f t="shared" si="247"/>
        <v>0</v>
      </c>
      <c r="GA46" s="57">
        <f>IF(OR(AND(FO$6=1,$L46=0),AND(FO$6=2,$K46=2,$G46=1)),0,IF(AND(FQ$9=2,(OR($F46&gt;1,$K46=1,AND($L46=80,OR($N46=1,AND($N46=2,'#BerechnungDBE'!$AL37&gt;0)))))),IF(FO$4&gt;=$AD$126,0,FY46),IF(FQ$9=3,IF(OR(FO$4&gt;=$AD$127,AND($G46=1,$J46=2,FO$6=2),AND(FO$6=1,$N46&lt;&gt;1)),0,IF(FS46&lt;=120,FY46,IF(FO$4&lt;$AD$124,IF($F46=1,60/FQ$4*FQ$6,60/FQ$4*FQ$7),IF($F46=1,120/FQ$4*FQ$6,120/FQ$4*FQ$7)))),IF(OR($F46=3,$G46=2),IF(OR(AND(FO$4&gt;=$AD$119,$C46=2),AND(FO$4&gt;=$AF$119,$C46=1)),0,IF(FS46&lt;=60,FY46,60/FQ$4*FQ$7)),IF(AND($F46=2,$G46=1),FY46,0)))))</f>
        <v>0</v>
      </c>
      <c r="GB46" s="57" t="str">
        <f t="shared" si="70"/>
        <v/>
      </c>
      <c r="GC46" s="57" t="str">
        <f t="shared" ref="GC46:GC77" si="404">IF(AND(FO$6=1,$L46=80),IF(OR($N46=2,FO$4&gt;=$C$133),0,IF(FS46&lt;=60,FO46*FQ$5,60/FQ$4*FQ$5)),"")</f>
        <v/>
      </c>
      <c r="GD46" s="713">
        <f>'org. Düngung 22'!AZ45</f>
        <v>0</v>
      </c>
      <c r="GE46" s="57"/>
      <c r="GF46" s="57"/>
      <c r="GG46" s="57">
        <f t="shared" si="72"/>
        <v>0</v>
      </c>
      <c r="GH46" s="57">
        <f t="shared" si="248"/>
        <v>0</v>
      </c>
      <c r="GI46" s="57">
        <f t="shared" si="249"/>
        <v>0</v>
      </c>
      <c r="GJ46" s="57">
        <f t="shared" si="250"/>
        <v>0</v>
      </c>
      <c r="GK46" s="57">
        <f t="shared" si="251"/>
        <v>0</v>
      </c>
      <c r="GL46" s="1029">
        <f t="shared" ref="GL46:GL77" si="405">IF(GD$6&gt;1,GH46,        IF($L46=70,"",         IF(OR($L46=0,$N46=2),GH46, IF(GD$4&gt;=$C$133,GH46,IF(GH46&lt;60,0,GH46-60)))))</f>
        <v>0</v>
      </c>
      <c r="GM46" s="57">
        <f t="shared" ref="GM46:GM77" si="406">IF(OR(GD$6&lt;&gt;2,$J46=2,$F46&gt;1),0,IF(GF$9=2,0,IF(AND(OR(GF$9=3,GF$9=1),GD$4&lt;$C$133),IF(GH46&lt;=60,GD46*GF$5,60/GF$4*GF$5),0)))</f>
        <v>0</v>
      </c>
      <c r="GN46" s="171" t="str">
        <f t="shared" ref="GN46:GN77" si="407">IF(OR(GF$4=0,GD$6=3),"",         IF(GD$6=1,      IF($L46=70,"",IF($F46=1,GL46/GF$4*GF$6,GL46/GF$4*GF$7)),      IF($F46&gt;1,GD46*GF$7,   IF(OR($J46=2,GD$4&gt;=$C$133,GF$9=2),GD46*GF$6,IF(GH46&lt;=60,0,(GH46-60)/GF$4*GF$6)))))</f>
        <v/>
      </c>
      <c r="GO46" s="57">
        <f t="shared" si="252"/>
        <v>0</v>
      </c>
      <c r="GP46" s="57">
        <f>IF(OR(AND(GD$6=1,$L46=0),AND(GD$6=2,$K46=2,$G46=1)),0,IF(AND(GF$9=2,(OR($F46&gt;1,$K46=1,AND($L46=80,OR($N46=1,AND($N46=2,'#BerechnungDBE'!$AL37&gt;0)))))),IF(GD$4&gt;=$AD$126,0,GN46),IF(GF$9=3,IF(OR(GD$4&gt;=$AD$127,AND($G46=1,$J46=2,GD$6=2),AND(GD$6=1,$N46&lt;&gt;1)),0,IF(GH46&lt;=120,GN46,IF(GD$4&lt;$AD$124,IF($F46=1,60/GF$4*GF$6,60/GF$4*GF$7),IF($F46=1,120/GF$4*GF$6,120/GF$4*GF$7)))),IF(OR($F46=3,$G46=2),IF(OR(AND(GD$4&gt;=$AD$119,$C46=2),AND(GD$4&gt;=$AF$119,$C46=1)),0,IF(GH46&lt;=60,GN46,60/GF$4*GF$7)),IF(AND($F46=2,$G46=1),GN46,0)))))</f>
        <v>0</v>
      </c>
      <c r="GQ46" s="57" t="str">
        <f t="shared" si="76"/>
        <v/>
      </c>
      <c r="GR46" s="57" t="str">
        <f t="shared" ref="GR46:GR77" si="408">IF(AND(GD$6=1,$L46=80),IF(OR($N46=2,GD$4&gt;=$C$133),0,IF(GH46&lt;=60,GD46*GF$5,60/GF$4*GF$5)),"")</f>
        <v/>
      </c>
      <c r="GS46" s="713">
        <f>'org. Düngung 22'!BD45</f>
        <v>0</v>
      </c>
      <c r="GT46" s="57"/>
      <c r="GU46" s="57"/>
      <c r="GV46" s="57">
        <f t="shared" si="78"/>
        <v>0</v>
      </c>
      <c r="GW46" s="57">
        <f t="shared" si="253"/>
        <v>0</v>
      </c>
      <c r="GX46" s="57">
        <f t="shared" si="254"/>
        <v>0</v>
      </c>
      <c r="GY46" s="57">
        <f t="shared" si="255"/>
        <v>0</v>
      </c>
      <c r="GZ46" s="57">
        <f t="shared" si="256"/>
        <v>0</v>
      </c>
      <c r="HA46" s="1029">
        <f t="shared" ref="HA46:HA77" si="409">IF(GS$6&gt;1,GW46,        IF($L46=70,"",         IF(OR($L46=0,$N46=2),GW46, IF(GS$4&gt;=$C$133,GW46,IF(GW46&lt;60,0,GW46-60)))))</f>
        <v>0</v>
      </c>
      <c r="HB46" s="57">
        <f t="shared" ref="HB46:HB77" si="410">IF(OR(GS$6&lt;&gt;2,$J46=2,$F46&gt;1),0,IF(GU$9=2,0,IF(AND(OR(GU$9=3,GU$9=1),GS$4&lt;$C$133),IF(GW46&lt;=60,GS46*GU$5,60/GU$4*GU$5),0)))</f>
        <v>0</v>
      </c>
      <c r="HC46" s="171" t="str">
        <f t="shared" ref="HC46:HC77" si="411">IF(OR(GU$4=0,GS$6=3),"",         IF(GS$6=1,      IF($L46=70,"",IF($F46=1,HA46/GU$4*GU$6,HA46/GU$4*GU$7)),      IF($F46&gt;1,GS46*GU$7,   IF(OR($J46=2,GS$4&gt;=$C$133,GU$9=2),GS46*GU$6,IF(GW46&lt;=60,0,(GW46-60)/GU$4*GU$6)))))</f>
        <v/>
      </c>
      <c r="HD46" s="57">
        <f t="shared" si="257"/>
        <v>0</v>
      </c>
      <c r="HE46" s="57">
        <f>IF(OR(AND(GS$6=1,$L46=0),AND(GS$6=2,$K46=2,$G46=1)),0,IF(AND(GU$9=2,(OR($F46&gt;1,$K46=1,AND($L46=80,OR($N46=1,AND($N46=2,'#BerechnungDBE'!$AL37&gt;0)))))),IF(GS$4&gt;=$AD$126,0,HC46),IF(GU$9=3,IF(OR(GS$4&gt;=$AD$127,AND($G46=1,$J46=2,GS$6=2),AND(GS$6=1,$N46&lt;&gt;1)),0,IF(GW46&lt;=120,HC46,IF(GS$4&lt;$AD$124,IF($F46=1,60/GU$4*GU$6,60/GU$4*GU$7),IF($F46=1,120/GU$4*GU$6,120/GU$4*GU$7)))),IF(OR($F46=3,$G46=2),IF(OR(AND(GS$4&gt;=$AD$119,$C46=2),AND(GS$4&gt;=$AF$119,$C46=1)),0,IF(GW46&lt;=60,HC46,60/GU$4*GU$7)),IF(AND($F46=2,$G46=1),HC46,0)))))</f>
        <v>0</v>
      </c>
      <c r="HF46" s="57" t="str">
        <f t="shared" si="82"/>
        <v/>
      </c>
      <c r="HG46" s="57" t="str">
        <f t="shared" ref="HG46:HG77" si="412">IF(AND(GS$6=1,$L46=80),IF(OR($N46=2,GS$4&gt;=$C$133),0,IF(GW46&lt;=60,GS46*GU$5,60/GU$4*GU$5)),"")</f>
        <v/>
      </c>
      <c r="HH46" s="713">
        <f>'org. Düngung 22'!BH45</f>
        <v>0</v>
      </c>
      <c r="HI46" s="57"/>
      <c r="HJ46" s="57"/>
      <c r="HK46" s="57">
        <f t="shared" si="84"/>
        <v>0</v>
      </c>
      <c r="HL46" s="57">
        <f t="shared" si="258"/>
        <v>0</v>
      </c>
      <c r="HM46" s="57">
        <f t="shared" si="259"/>
        <v>0</v>
      </c>
      <c r="HN46" s="57">
        <f t="shared" si="260"/>
        <v>0</v>
      </c>
      <c r="HO46" s="57">
        <f t="shared" si="261"/>
        <v>0</v>
      </c>
      <c r="HP46" s="1029">
        <f t="shared" ref="HP46:HP77" si="413">IF(HH$6&gt;1,HL46,        IF($L46=70,"",         IF(OR($L46=0,$N46=2),HL46, IF(HH$4&gt;=$C$133,HL46,IF(HL46&lt;60,0,HL46-60)))))</f>
        <v>0</v>
      </c>
      <c r="HQ46" s="57">
        <f t="shared" ref="HQ46:HQ77" si="414">IF(OR(HH$6&lt;&gt;2,$J46=2,$F46&gt;1),0,IF(HJ$9=2,0,IF(AND(OR(HJ$9=3,HJ$9=1),HH$4&lt;$C$133),IF(HL46&lt;=60,HH46*HJ$5,60/HJ$4*HJ$5),0)))</f>
        <v>0</v>
      </c>
      <c r="HR46" s="171" t="str">
        <f t="shared" ref="HR46:HR77" si="415">IF(OR(HJ$4=0,HH$6=3),"",         IF(HH$6=1,      IF($L46=70,"",IF($F46=1,HP46/HJ$4*HJ$6,HP46/HJ$4*HJ$7)),      IF($F46&gt;1,HH46*HJ$7,   IF(OR($J46=2,HH$4&gt;=$C$133,HJ$9=2),HH46*HJ$6,IF(HL46&lt;=60,0,(HL46-60)/HJ$4*HJ$6)))))</f>
        <v/>
      </c>
      <c r="HS46" s="57">
        <f t="shared" si="262"/>
        <v>0</v>
      </c>
      <c r="HT46" s="57">
        <f>IF(OR(AND(HH$6=1,$L46=0),AND(HH$6=2,$K46=2,$G46=1)),0,IF(AND(HJ$9=2,(OR($F46&gt;1,$K46=1,AND($L46=80,OR($N46=1,AND($N46=2,'#BerechnungDBE'!$AL37&gt;0)))))),IF(HH$4&gt;=$AD$126,0,HR46),IF(HJ$9=3,IF(OR(HH$4&gt;=$AD$127,AND($G46=1,$J46=2,HH$6=2),AND(HH$6=1,$N46&lt;&gt;1)),0,IF(HL46&lt;=120,HR46,IF(HH$4&lt;$AD$124,IF($F46=1,60/HJ$4*HJ$6,60/HJ$4*HJ$7),IF($F46=1,120/HJ$4*HJ$6,120/HJ$4*HJ$7)))),IF(OR($F46=3,$G46=2),IF(OR(AND(HH$4&gt;=$AD$119,$C46=2),AND(HH$4&gt;=$AF$119,$C46=1)),0,IF(HL46&lt;=60,HR46,60/HJ$4*HJ$7)),IF(AND($F46=2,$G46=1),HR46,0)))))</f>
        <v>0</v>
      </c>
      <c r="HU46" s="57" t="str">
        <f t="shared" si="88"/>
        <v/>
      </c>
      <c r="HV46" s="57" t="str">
        <f t="shared" ref="HV46:HV77" si="416">IF(AND(HH$6=1,$L46=80),IF(OR($N46=2,HH$4&gt;=$C$133),0,IF(HL46&lt;=60,HH46*HJ$5,60/HJ$4*HJ$5)),"")</f>
        <v/>
      </c>
      <c r="HW46" s="713">
        <f>'org. Düngung 22'!BL45</f>
        <v>0</v>
      </c>
      <c r="HX46" s="57"/>
      <c r="HY46" s="57"/>
      <c r="HZ46" s="57">
        <f t="shared" si="90"/>
        <v>0</v>
      </c>
      <c r="IA46" s="57">
        <f t="shared" si="263"/>
        <v>0</v>
      </c>
      <c r="IB46" s="57">
        <f t="shared" si="264"/>
        <v>0</v>
      </c>
      <c r="IC46" s="57">
        <f t="shared" si="265"/>
        <v>0</v>
      </c>
      <c r="ID46" s="57">
        <f t="shared" si="266"/>
        <v>0</v>
      </c>
      <c r="IE46" s="1029">
        <f t="shared" ref="IE46:IE77" si="417">IF(HW$6&gt;1,IA46,        IF($L46=70,"",         IF(OR($L46=0,$N46=2),IA46, IF(HW$4&gt;=$C$133,IA46,IF(IA46&lt;60,0,IA46-60)))))</f>
        <v>0</v>
      </c>
      <c r="IF46" s="57">
        <f t="shared" ref="IF46:IF77" si="418">IF(OR(HW$6&lt;&gt;2,$J46=2,$F46&gt;1),0,IF(HY$9=2,0,IF(AND(OR(HY$9=3,HY$9=1),HW$4&lt;$C$133),IF(IA46&lt;=60,HW46*HY$5,60/HY$4*HY$5),0)))</f>
        <v>0</v>
      </c>
      <c r="IG46" s="171" t="str">
        <f t="shared" ref="IG46:IG77" si="419">IF(OR(HY$4=0,HW$6=3),"",         IF(HW$6=1,      IF($L46=70,"",IF($F46=1,IE46/HY$4*HY$6,IE46/HY$4*HY$7)),      IF($F46&gt;1,HW46*HY$7,   IF(OR($J46=2,HW$4&gt;=$C$133,HY$9=2),HW46*HY$6,IF(IA46&lt;=60,0,(IA46-60)/HY$4*HY$6)))))</f>
        <v/>
      </c>
      <c r="IH46" s="57">
        <f t="shared" si="267"/>
        <v>0</v>
      </c>
      <c r="II46" s="57">
        <f>IF(OR(AND(HW$6=1,$L46=0),AND(HW$6=2,$K46=2,$G46=1)),0,IF(AND(HY$9=2,(OR($F46&gt;1,$K46=1,AND($L46=80,OR($N46=1,AND($N46=2,'#BerechnungDBE'!$AL37&gt;0)))))),IF(HW$4&gt;=$AD$126,0,IG46),IF(HY$9=3,IF(OR(HW$4&gt;=$AD$127,AND($G46=1,$J46=2,HW$6=2),AND(HW$6=1,$N46&lt;&gt;1)),0,IF(IA46&lt;=120,IG46,IF(HW$4&lt;$AD$124,IF($F46=1,60/HY$4*HY$6,60/HY$4*HY$7),IF($F46=1,120/HY$4*HY$6,120/HY$4*HY$7)))),IF(OR($F46=3,$G46=2),IF(OR(AND(HW$4&gt;=$AD$119,$C46=2),AND(HW$4&gt;=$AF$119,$C46=1)),0,IF(IA46&lt;=60,IG46,60/HY$4*HY$7)),IF(AND($F46=2,$G46=1),IG46,0)))))</f>
        <v>0</v>
      </c>
      <c r="IJ46" s="57" t="str">
        <f t="shared" si="94"/>
        <v/>
      </c>
      <c r="IK46" s="57" t="str">
        <f t="shared" ref="IK46:IK77" si="420">IF(AND(HW$6=1,$L46=80),IF(OR($N46=2,HW$4&gt;=$C$133),0,IF(IA46&lt;=60,HW46*HY$5,60/HY$4*HY$5)),"")</f>
        <v/>
      </c>
      <c r="IL46" s="713">
        <f>'org. Düngung 22'!BP45</f>
        <v>0</v>
      </c>
      <c r="IM46" s="57"/>
      <c r="IN46" s="57"/>
      <c r="IO46" s="57">
        <f t="shared" si="96"/>
        <v>0</v>
      </c>
      <c r="IP46" s="57">
        <f t="shared" si="268"/>
        <v>0</v>
      </c>
      <c r="IQ46" s="57">
        <f t="shared" si="269"/>
        <v>0</v>
      </c>
      <c r="IR46" s="57">
        <f t="shared" si="270"/>
        <v>0</v>
      </c>
      <c r="IS46" s="57">
        <f t="shared" si="271"/>
        <v>0</v>
      </c>
      <c r="IT46" s="1029">
        <f t="shared" ref="IT46:IT77" si="421">IF(IL$6&gt;1,IP46,        IF($L46=70,"",         IF(OR($L46=0,$N46=2),IP46, IF(IL$4&gt;=$C$133,IP46,IF(IP46&lt;60,0,IP46-60)))))</f>
        <v>0</v>
      </c>
      <c r="IU46" s="57">
        <f t="shared" ref="IU46:IU77" si="422">IF(OR(IL$6&lt;&gt;2,$J46=2,$F46&gt;1),0,IF(IN$9=2,0,IF(AND(OR(IN$9=3,IN$9=1),IL$4&lt;$C$133),IF(IP46&lt;=60,IL46*IN$5,60/IN$4*IN$5),0)))</f>
        <v>0</v>
      </c>
      <c r="IV46" s="171" t="str">
        <f t="shared" ref="IV46:IV77" si="423">IF(OR(IN$4=0,IL$6=3),"",         IF(IL$6=1,      IF($L46=70,"",IF($F46=1,IT46/IN$4*IN$6,IT46/IN$4*IN$7)),      IF($F46&gt;1,IL46*IN$7,   IF(OR($J46=2,IL$4&gt;=$C$133,IN$9=2),IL46*IN$6,IF(IP46&lt;=60,0,(IP46-60)/IN$4*IN$6)))))</f>
        <v/>
      </c>
      <c r="IW46" s="57">
        <f t="shared" si="272"/>
        <v>0</v>
      </c>
      <c r="IX46" s="57">
        <f>IF(OR(AND(IL$6=1,$L46=0),AND(IL$6=2,$K46=2,$G46=1)),0,IF(AND(IN$9=2,(OR($F46&gt;1,$K46=1,AND($L46=80,OR($N46=1,AND($N46=2,'#BerechnungDBE'!$AL37&gt;0)))))),IF(IL$4&gt;=$AD$126,0,IV46),IF(IN$9=3,IF(OR(IL$4&gt;=$AD$127,AND($G46=1,$J46=2,IL$6=2),AND(IL$6=1,$N46&lt;&gt;1)),0,IF(IP46&lt;=120,IV46,IF(IL$4&lt;$AD$124,IF($F46=1,60/IN$4*IN$6,60/IN$4*IN$7),IF($F46=1,120/IN$4*IN$6,120/IN$4*IN$7)))),IF(OR($F46=3,$G46=2),IF(OR(AND(IL$4&gt;=$AD$119,$C46=2),AND(IL$4&gt;=$AF$119,$C46=1)),0,IF(IP46&lt;=60,IV46,60/IN$4*IN$7)),IF(AND($F46=2,$G46=1),IV46,0)))))</f>
        <v>0</v>
      </c>
      <c r="IY46" s="57" t="str">
        <f t="shared" si="100"/>
        <v/>
      </c>
      <c r="IZ46" s="57" t="str">
        <f t="shared" ref="IZ46:IZ77" si="424">IF(AND(IL$6=1,$L46=80),IF(OR($N46=2,IL$4&gt;=$C$133),0,IF(IP46&lt;=60,IL46*IN$5,60/IN$4*IN$5)),"")</f>
        <v/>
      </c>
      <c r="JA46" s="713">
        <f>'org. Düngung 22'!BT45</f>
        <v>0</v>
      </c>
      <c r="JB46" s="57"/>
      <c r="JC46" s="57"/>
      <c r="JD46" s="57">
        <f t="shared" si="102"/>
        <v>0</v>
      </c>
      <c r="JE46" s="57">
        <f t="shared" si="273"/>
        <v>0</v>
      </c>
      <c r="JF46" s="57">
        <f t="shared" si="274"/>
        <v>0</v>
      </c>
      <c r="JG46" s="57">
        <f t="shared" si="275"/>
        <v>0</v>
      </c>
      <c r="JH46" s="57">
        <f t="shared" si="276"/>
        <v>0</v>
      </c>
      <c r="JI46" s="1029">
        <f t="shared" ref="JI46:JI77" si="425">IF(JA$6&gt;1,JE46,        IF($L46=70,"",         IF(OR($L46=0,$N46=2),JE46, IF(JA$4&gt;=$C$133,JE46,IF(JE46&lt;60,0,JE46-60)))))</f>
        <v>0</v>
      </c>
      <c r="JJ46" s="57">
        <f t="shared" ref="JJ46:JJ77" si="426">IF(OR(JA$6&lt;&gt;2,$J46=2,$F46&gt;1),0,IF(JC$9=2,0,IF(AND(OR(JC$9=3,JC$9=1),JA$4&lt;$C$133),IF(JE46&lt;=60,JA46*JC$5,60/JC$4*JC$5),0)))</f>
        <v>0</v>
      </c>
      <c r="JK46" s="171" t="str">
        <f t="shared" ref="JK46:JK77" si="427">IF(OR(JC$4=0,JA$6=3),"",         IF(JA$6=1,      IF($L46=70,"",IF($F46=1,JI46/JC$4*JC$6,JI46/JC$4*JC$7)),      IF($F46&gt;1,JA46*JC$7,   IF(OR($J46=2,JA$4&gt;=$C$133,JC$9=2),JA46*JC$6,IF(JE46&lt;=60,0,(JE46-60)/JC$4*JC$6)))))</f>
        <v/>
      </c>
      <c r="JL46" s="57">
        <f t="shared" si="277"/>
        <v>0</v>
      </c>
      <c r="JM46" s="57">
        <f>IF(OR(AND(JA$6=1,$L46=0),AND(JA$6=2,$K46=2,$G46=1)),0,IF(AND(JC$9=2,(OR($F46&gt;1,$K46=1,AND($L46=80,OR($N46=1,AND($N46=2,'#BerechnungDBE'!$AL37&gt;0)))))),IF(JA$4&gt;=$AD$126,0,JK46),IF(JC$9=3,IF(OR(JA$4&gt;=$AD$127,AND($G46=1,$J46=2,JA$6=2),AND(JA$6=1,$N46&lt;&gt;1)),0,IF(JE46&lt;=120,JK46,IF(JA$4&lt;$AD$124,IF($F46=1,60/JC$4*JC$6,60/JC$4*JC$7),IF($F46=1,120/JC$4*JC$6,120/JC$4*JC$7)))),IF(OR($F46=3,$G46=2),IF(OR(AND(JA$4&gt;=$AD$119,$C46=2),AND(JA$4&gt;=$AF$119,$C46=1)),0,IF(JE46&lt;=60,JK46,60/JC$4*JC$7)),IF(AND($F46=2,$G46=1),JK46,0)))))</f>
        <v>0</v>
      </c>
      <c r="JN46" s="57" t="str">
        <f t="shared" si="106"/>
        <v/>
      </c>
      <c r="JO46" s="57" t="str">
        <f t="shared" ref="JO46:JO77" si="428">IF(AND(JA$6=1,$L46=80),IF(OR($N46=2,JA$4&gt;=$C$133),0,IF(JE46&lt;=60,JA46*JC$5,60/JC$4*JC$5)),"")</f>
        <v/>
      </c>
      <c r="JP46" s="713">
        <f>'org. Düngung 22'!BX45</f>
        <v>0</v>
      </c>
      <c r="JQ46" s="57"/>
      <c r="JR46" s="57"/>
      <c r="JS46" s="57">
        <f t="shared" si="108"/>
        <v>0</v>
      </c>
      <c r="JT46" s="57">
        <f t="shared" si="278"/>
        <v>0</v>
      </c>
      <c r="JU46" s="57">
        <f t="shared" si="279"/>
        <v>0</v>
      </c>
      <c r="JV46" s="57">
        <f t="shared" si="280"/>
        <v>0</v>
      </c>
      <c r="JW46" s="57">
        <f t="shared" si="281"/>
        <v>0</v>
      </c>
      <c r="JX46" s="1029">
        <f t="shared" ref="JX46:JX77" si="429">IF(JP$6&gt;1,JT46,        IF($L46=70,"",         IF(OR($L46=0,$N46=2),JT46, IF(JP$4&gt;=$C$133,JT46,IF(JT46&lt;60,0,JT46-60)))))</f>
        <v>0</v>
      </c>
      <c r="JY46" s="57">
        <f t="shared" ref="JY46:JY77" si="430">IF(OR(JP$6&lt;&gt;2,$J46=2,$F46&gt;1),0,IF(JR$9=2,0,IF(AND(OR(JR$9=3,JR$9=1),JP$4&lt;$C$133),IF(JT46&lt;=60,JP46*JR$5,60/JR$4*JR$5),0)))</f>
        <v>0</v>
      </c>
      <c r="JZ46" s="171" t="str">
        <f t="shared" ref="JZ46:JZ77" si="431">IF(OR(JR$4=0,JP$6=3),"",         IF(JP$6=1,      IF($L46=70,"",IF($F46=1,JX46/JR$4*JR$6,JX46/JR$4*JR$7)),      IF($F46&gt;1,JP46*JR$7,   IF(OR($J46=2,JP$4&gt;=$C$133,JR$9=2),JP46*JR$6,IF(JT46&lt;=60,0,(JT46-60)/JR$4*JR$6)))))</f>
        <v/>
      </c>
      <c r="KA46" s="57">
        <f t="shared" si="282"/>
        <v>0</v>
      </c>
      <c r="KB46" s="57">
        <f>IF(OR(AND(JP$6=1,$L46=0),AND(JP$6=2,$K46=2,$G46=1)),0,IF(AND(JR$9=2,(OR($F46&gt;1,$K46=1,AND($L46=80,OR($N46=1,AND($N46=2,'#BerechnungDBE'!$AL37&gt;0)))))),IF(JP$4&gt;=$AD$126,0,JZ46),IF(JR$9=3,IF(OR(JP$4&gt;=$AD$127,AND($G46=1,$J46=2,JP$6=2),AND(JP$6=1,$N46&lt;&gt;1)),0,IF(JT46&lt;=120,JZ46,IF(JP$4&lt;$AD$124,IF($F46=1,60/JR$4*JR$6,60/JR$4*JR$7),IF($F46=1,120/JR$4*JR$6,120/JR$4*JR$7)))),IF(OR($F46=3,$G46=2),IF(OR(AND(JP$4&gt;=$AD$119,$C46=2),AND(JP$4&gt;=$AF$119,$C46=1)),0,IF(JT46&lt;=60,JZ46,60/JR$4*JR$7)),IF(AND($F46=2,$G46=1),JZ46,0)))))</f>
        <v>0</v>
      </c>
      <c r="KC46" s="57" t="str">
        <f t="shared" si="112"/>
        <v/>
      </c>
      <c r="KD46" s="57" t="str">
        <f t="shared" ref="KD46:KD77" si="432">IF(AND(JP$6=1,$L46=80),IF(OR($N46=2,JP$4&gt;=$C$133),0,IF(JT46&lt;=60,JP46*JR$5,60/JR$4*JR$5)),"")</f>
        <v/>
      </c>
      <c r="KE46" s="713">
        <f>'org. Düngung 22'!CB45</f>
        <v>0</v>
      </c>
      <c r="KF46" s="57"/>
      <c r="KG46" s="57"/>
      <c r="KH46" s="57">
        <f t="shared" si="114"/>
        <v>0</v>
      </c>
      <c r="KI46" s="57">
        <f t="shared" si="283"/>
        <v>0</v>
      </c>
      <c r="KJ46" s="57">
        <f t="shared" si="284"/>
        <v>0</v>
      </c>
      <c r="KK46" s="57">
        <f t="shared" si="285"/>
        <v>0</v>
      </c>
      <c r="KL46" s="57">
        <f t="shared" si="286"/>
        <v>0</v>
      </c>
      <c r="KM46" s="1029">
        <f t="shared" ref="KM46:KM77" si="433">IF(KE$6&gt;1,KI46,        IF($L46=70,"",         IF(OR($L46=0,$N46=2),KI46, IF(KE$4&gt;=$C$133,KI46,IF(KI46&lt;60,0,KI46-60)))))</f>
        <v>0</v>
      </c>
      <c r="KN46" s="57">
        <f t="shared" ref="KN46:KN77" si="434">IF(OR(KE$6&lt;&gt;2,$J46=2,$F46&gt;1),0,IF(KG$9=2,0,IF(AND(OR(KG$9=3,KG$9=1),KE$4&lt;$C$133),IF(KI46&lt;=60,KE46*KG$5,60/KG$4*KG$5),0)))</f>
        <v>0</v>
      </c>
      <c r="KO46" s="171" t="str">
        <f t="shared" ref="KO46:KO77" si="435">IF(OR(KG$4=0,KE$6=3),"",         IF(KE$6=1,      IF($L46=70,"",IF($F46=1,KM46/KG$4*KG$6,KM46/KG$4*KG$7)),      IF($F46&gt;1,KE46*KG$7,   IF(OR($J46=2,KE$4&gt;=$C$133,KG$9=2),KE46*KG$6,IF(KI46&lt;=60,0,(KI46-60)/KG$4*KG$6)))))</f>
        <v/>
      </c>
      <c r="KP46" s="57">
        <f t="shared" si="287"/>
        <v>0</v>
      </c>
      <c r="KQ46" s="57">
        <f>IF(OR(AND(KE$6=1,$L46=0),AND(KE$6=2,$K46=2,$G46=1)),0,IF(AND(KG$9=2,(OR($F46&gt;1,$K46=1,AND($L46=80,OR($N46=1,AND($N46=2,'#BerechnungDBE'!$AL37&gt;0)))))),IF(KE$4&gt;=$AD$126,0,KO46),IF(KG$9=3,IF(OR(KE$4&gt;=$AD$127,AND($G46=1,$J46=2,KE$6=2),AND(KE$6=1,$N46&lt;&gt;1)),0,IF(KI46&lt;=120,KO46,IF(KE$4&lt;$AD$124,IF($F46=1,60/KG$4*KG$6,60/KG$4*KG$7),IF($F46=1,120/KG$4*KG$6,120/KG$4*KG$7)))),IF(OR($F46=3,$G46=2),IF(OR(AND(KE$4&gt;=$AD$119,$C46=2),AND(KE$4&gt;=$AF$119,$C46=1)),0,IF(KI46&lt;=60,KO46,60/KG$4*KG$7)),IF(AND($F46=2,$G46=1),KO46,0)))))</f>
        <v>0</v>
      </c>
      <c r="KR46" s="57" t="str">
        <f t="shared" si="118"/>
        <v/>
      </c>
      <c r="KS46" s="57" t="str">
        <f t="shared" ref="KS46:KS77" si="436">IF(AND(KE$6=1,$L46=80),IF(OR($N46=2,KE$4&gt;=$C$133),0,IF(KI46&lt;=60,KE46*KG$5,60/KG$4*KG$5)),"")</f>
        <v/>
      </c>
      <c r="KT46" s="713">
        <f>'org. Düngung 22'!CF45</f>
        <v>0</v>
      </c>
      <c r="KU46" s="57"/>
      <c r="KV46" s="57"/>
      <c r="KW46" s="57">
        <f t="shared" si="120"/>
        <v>0</v>
      </c>
      <c r="KX46" s="57">
        <f t="shared" si="288"/>
        <v>0</v>
      </c>
      <c r="KY46" s="57">
        <f t="shared" si="289"/>
        <v>0</v>
      </c>
      <c r="KZ46" s="57">
        <f t="shared" si="290"/>
        <v>0</v>
      </c>
      <c r="LA46" s="57">
        <f t="shared" si="291"/>
        <v>0</v>
      </c>
      <c r="LB46" s="1029">
        <f t="shared" ref="LB46:LB77" si="437">IF(KT$6&gt;1,KX46,        IF($L46=70,"",         IF(OR($L46=0,$N46=2),KX46, IF(KT$4&gt;=$C$133,KX46,IF(KX46&lt;60,0,KX46-60)))))</f>
        <v>0</v>
      </c>
      <c r="LC46" s="57">
        <f t="shared" ref="LC46:LC77" si="438">IF(OR(KT$6&lt;&gt;2,$J46=2,$F46&gt;1),0,IF(KV$9=2,0,IF(AND(OR(KV$9=3,KV$9=1),KT$4&lt;$C$133),IF(KX46&lt;=60,KT46*KV$5,60/KV$4*KV$5),0)))</f>
        <v>0</v>
      </c>
      <c r="LD46" s="171" t="str">
        <f t="shared" ref="LD46:LD77" si="439">IF(OR(KV$4=0,KT$6=3),"",         IF(KT$6=1,      IF($L46=70,"",IF($F46=1,LB46/KV$4*KV$6,LB46/KV$4*KV$7)),      IF($F46&gt;1,KT46*KV$7,   IF(OR($J46=2,KT$4&gt;=$C$133,KV$9=2),KT46*KV$6,IF(KX46&lt;=60,0,(KX46-60)/KV$4*KV$6)))))</f>
        <v/>
      </c>
      <c r="LE46" s="57">
        <f t="shared" si="292"/>
        <v>0</v>
      </c>
      <c r="LF46" s="57">
        <f>IF(OR(AND(KT$6=1,$L46=0),AND(KT$6=2,$K46=2,$G46=1)),0,IF(AND(KV$9=2,(OR($F46&gt;1,$K46=1,AND($L46=80,OR($N46=1,AND($N46=2,'#BerechnungDBE'!$AL37&gt;0)))))),IF(KT$4&gt;=$AD$126,0,LD46),IF(KV$9=3,IF(OR(KT$4&gt;=$AD$127,AND($G46=1,$J46=2,KT$6=2),AND(KT$6=1,$N46&lt;&gt;1)),0,IF(KX46&lt;=120,LD46,IF(KT$4&lt;$AD$124,IF($F46=1,60/KV$4*KV$6,60/KV$4*KV$7),IF($F46=1,120/KV$4*KV$6,120/KV$4*KV$7)))),IF(OR($F46=3,$G46=2),IF(OR(AND(KT$4&gt;=$AD$119,$C46=2),AND(KT$4&gt;=$AF$119,$C46=1)),0,IF(KX46&lt;=60,LD46,60/KV$4*KV$7)),IF(AND($F46=2,$G46=1),LD46,0)))))</f>
        <v>0</v>
      </c>
      <c r="LG46" s="57" t="str">
        <f t="shared" si="124"/>
        <v/>
      </c>
      <c r="LH46" s="57" t="str">
        <f t="shared" ref="LH46:LH77" si="440">IF(AND(KT$6=1,$L46=80),IF(OR($N46=2,KT$4&gt;=$C$133),0,IF(KX46&lt;=60,KT46*KV$5,60/KV$4*KV$5)),"")</f>
        <v/>
      </c>
      <c r="LI46" s="713">
        <f>'org. Düngung 22'!CJ45</f>
        <v>0</v>
      </c>
      <c r="LJ46" s="57"/>
      <c r="LK46" s="57"/>
      <c r="LL46" s="57">
        <f t="shared" si="126"/>
        <v>0</v>
      </c>
      <c r="LM46" s="57">
        <f t="shared" si="293"/>
        <v>0</v>
      </c>
      <c r="LN46" s="57">
        <f t="shared" si="294"/>
        <v>0</v>
      </c>
      <c r="LO46" s="57">
        <f t="shared" si="295"/>
        <v>0</v>
      </c>
      <c r="LP46" s="57">
        <f t="shared" si="296"/>
        <v>0</v>
      </c>
      <c r="LQ46" s="1029">
        <f t="shared" ref="LQ46:LQ77" si="441">IF(LI$6&gt;1,LM46,        IF($L46=70,"",         IF(OR($L46=0,$N46=2),LM46, IF(LI$4&gt;=$C$133,LM46,IF(LM46&lt;60,0,LM46-60)))))</f>
        <v>0</v>
      </c>
      <c r="LR46" s="57">
        <f t="shared" ref="LR46:LR77" si="442">IF(OR(LI$6&lt;&gt;2,$J46=2,$F46&gt;1),0,IF(LK$9=2,0,IF(AND(OR(LK$9=3,LK$9=1),LI$4&lt;$C$133),IF(LM46&lt;=60,LI46*LK$5,60/LK$4*LK$5),0)))</f>
        <v>0</v>
      </c>
      <c r="LS46" s="171" t="str">
        <f t="shared" ref="LS46:LS77" si="443">IF(OR(LK$4=0,LI$6=3),"",         IF(LI$6=1,      IF($L46=70,"",IF($F46=1,LQ46/LK$4*LK$6,LQ46/LK$4*LK$7)),      IF($F46&gt;1,LI46*LK$7,   IF(OR($J46=2,LI$4&gt;=$C$133,LK$9=2),LI46*LK$6,IF(LM46&lt;=60,0,(LM46-60)/LK$4*LK$6)))))</f>
        <v/>
      </c>
      <c r="LT46" s="57">
        <f t="shared" si="297"/>
        <v>0</v>
      </c>
      <c r="LU46" s="57">
        <f>IF(OR(AND(LI$6=1,$L46=0),AND(LI$6=2,$K46=2,$G46=1)),0,IF(AND(LK$9=2,(OR($F46&gt;1,$K46=1,AND($L46=80,OR($N46=1,AND($N46=2,'#BerechnungDBE'!$AL37&gt;0)))))),IF(LI$4&gt;=$AD$126,0,LS46),IF(LK$9=3,IF(OR(LI$4&gt;=$AD$127,AND($G46=1,$J46=2,LI$6=2),AND(LI$6=1,$N46&lt;&gt;1)),0,IF(LM46&lt;=120,LS46,IF(LI$4&lt;$AD$124,IF($F46=1,60/LK$4*LK$6,60/LK$4*LK$7),IF($F46=1,120/LK$4*LK$6,120/LK$4*LK$7)))),IF(OR($F46=3,$G46=2),IF(OR(AND(LI$4&gt;=$AD$119,$C46=2),AND(LI$4&gt;=$AF$119,$C46=1)),0,IF(LM46&lt;=60,LS46,60/LK$4*LK$7)),IF(AND($F46=2,$G46=1),LS46,0)))))</f>
        <v>0</v>
      </c>
      <c r="LV46" s="57" t="str">
        <f t="shared" si="130"/>
        <v/>
      </c>
      <c r="LW46" s="57" t="str">
        <f t="shared" ref="LW46:LW77" si="444">IF(AND(LI$6=1,$L46=80),IF(OR($N46=2,LI$4&gt;=$C$133),0,IF(LM46&lt;=60,LI46*LK$5,60/LK$4*LK$5)),"")</f>
        <v/>
      </c>
      <c r="LX46" s="713">
        <f>'org. Düngung 22'!CN45</f>
        <v>0</v>
      </c>
      <c r="LY46" s="57"/>
      <c r="LZ46" s="57"/>
      <c r="MA46" s="57">
        <f t="shared" si="132"/>
        <v>0</v>
      </c>
      <c r="MB46" s="57">
        <f t="shared" si="298"/>
        <v>0</v>
      </c>
      <c r="MC46" s="57">
        <f t="shared" si="299"/>
        <v>0</v>
      </c>
      <c r="MD46" s="57">
        <f t="shared" si="300"/>
        <v>0</v>
      </c>
      <c r="ME46" s="57">
        <f t="shared" si="301"/>
        <v>0</v>
      </c>
      <c r="MF46" s="1029">
        <f t="shared" ref="MF46:MF77" si="445">IF(LX$6&gt;1,MB46,        IF($L46=70,"",         IF(OR($L46=0,$N46=2),MB46, IF(LX$4&gt;=$C$133,MB46,IF(MB46&lt;60,0,MB46-60)))))</f>
        <v>0</v>
      </c>
      <c r="MG46" s="57">
        <f t="shared" ref="MG46:MG77" si="446">IF(OR(LX$6&lt;&gt;2,$J46=2,$F46&gt;1),0,IF(LZ$9=2,0,IF(AND(OR(LZ$9=3,LZ$9=1),LX$4&lt;$C$133),IF(MB46&lt;=60,LX46*LZ$5,60/LZ$4*LZ$5),0)))</f>
        <v>0</v>
      </c>
      <c r="MH46" s="171" t="str">
        <f t="shared" ref="MH46:MH77" si="447">IF(OR(LZ$4=0,LX$6=3),"",         IF(LX$6=1,      IF($L46=70,"",IF($F46=1,MF46/LZ$4*LZ$6,MF46/LZ$4*LZ$7)),      IF($F46&gt;1,LX46*LZ$7,   IF(OR($J46=2,LX$4&gt;=$C$133,LZ$9=2),LX46*LZ$6,IF(MB46&lt;=60,0,(MB46-60)/LZ$4*LZ$6)))))</f>
        <v/>
      </c>
      <c r="MI46" s="57">
        <f t="shared" si="302"/>
        <v>0</v>
      </c>
      <c r="MJ46" s="57">
        <f>IF(OR(AND(LX$6=1,$L46=0),AND(LX$6=2,$K46=2,$G46=1)),0,IF(AND(LZ$9=2,(OR($F46&gt;1,$K46=1,AND($L46=80,OR($N46=1,AND($N46=2,'#BerechnungDBE'!$AL37&gt;0)))))),IF(LX$4&gt;=$AD$126,0,MH46),IF(LZ$9=3,IF(OR(LX$4&gt;=$AD$127,AND($G46=1,$J46=2,LX$6=2),AND(LX$6=1,$N46&lt;&gt;1)),0,IF(MB46&lt;=120,MH46,IF(LX$4&lt;$AD$124,IF($F46=1,60/LZ$4*LZ$6,60/LZ$4*LZ$7),IF($F46=1,120/LZ$4*LZ$6,120/LZ$4*LZ$7)))),IF(OR($F46=3,$G46=2),IF(OR(AND(LX$4&gt;=$AD$119,$C46=2),AND(LX$4&gt;=$AF$119,$C46=1)),0,IF(MB46&lt;=60,MH46,60/LZ$4*LZ$7)),IF(AND($F46=2,$G46=1),MH46,0)))))</f>
        <v>0</v>
      </c>
      <c r="MK46" s="57" t="str">
        <f t="shared" si="136"/>
        <v/>
      </c>
      <c r="ML46" s="57" t="str">
        <f t="shared" ref="ML46:ML77" si="448">IF(AND(LX$6=1,$L46=80),IF(OR($N46=2,LX$4&gt;=$C$133),0,IF(MB46&lt;=60,LX46*LZ$5,60/LZ$4*LZ$5)),"")</f>
        <v/>
      </c>
      <c r="MM46" s="713">
        <f>'org. Düngung 22'!CR45</f>
        <v>0</v>
      </c>
      <c r="MN46" s="57"/>
      <c r="MO46" s="57"/>
      <c r="MP46" s="57">
        <f t="shared" si="138"/>
        <v>0</v>
      </c>
      <c r="MQ46" s="57">
        <f t="shared" si="303"/>
        <v>0</v>
      </c>
      <c r="MR46" s="57">
        <f t="shared" si="304"/>
        <v>0</v>
      </c>
      <c r="MS46" s="57">
        <f t="shared" si="305"/>
        <v>0</v>
      </c>
      <c r="MT46" s="57">
        <f t="shared" si="306"/>
        <v>0</v>
      </c>
      <c r="MU46" s="1029">
        <f t="shared" ref="MU46:MU77" si="449">IF(MM$6&gt;1,MQ46,        IF($L46=70,"",         IF(OR($L46=0,$N46=2),MQ46, IF(MM$4&gt;=$C$133,MQ46,IF(MQ46&lt;60,0,MQ46-60)))))</f>
        <v>0</v>
      </c>
      <c r="MV46" s="57">
        <f t="shared" ref="MV46:MV77" si="450">IF(OR(MM$6&lt;&gt;2,$J46=2,$F46&gt;1),0,IF(MO$9=2,0,IF(AND(OR(MO$9=3,MO$9=1),MM$4&lt;$C$133),IF(MQ46&lt;=60,MM46*MO$5,60/MO$4*MO$5),0)))</f>
        <v>0</v>
      </c>
      <c r="MW46" s="171" t="str">
        <f t="shared" ref="MW46:MW77" si="451">IF(OR(MO$4=0,MM$6=3),"",         IF(MM$6=1,      IF($L46=70,"",IF($F46=1,MU46/MO$4*MO$6,MU46/MO$4*MO$7)),      IF($F46&gt;1,MM46*MO$7,   IF(OR($J46=2,MM$4&gt;=$C$133,MO$9=2),MM46*MO$6,IF(MQ46&lt;=60,0,(MQ46-60)/MO$4*MO$6)))))</f>
        <v/>
      </c>
      <c r="MX46" s="57">
        <f t="shared" si="307"/>
        <v>0</v>
      </c>
      <c r="MY46" s="57">
        <f>IF(OR(AND(MM$6=1,$L46=0),AND(MM$6=2,$K46=2,$G46=1)),0,IF(AND(MO$9=2,(OR($F46&gt;1,$K46=1,AND($L46=80,OR($N46=1,AND($N46=2,'#BerechnungDBE'!$AL37&gt;0)))))),IF(MM$4&gt;=$AD$126,0,MW46),IF(MO$9=3,IF(OR(MM$4&gt;=$AD$127,AND($G46=1,$J46=2,MM$6=2),AND(MM$6=1,$N46&lt;&gt;1)),0,IF(MQ46&lt;=120,MW46,IF(MM$4&lt;$AD$124,IF($F46=1,60/MO$4*MO$6,60/MO$4*MO$7),IF($F46=1,120/MO$4*MO$6,120/MO$4*MO$7)))),IF(OR($F46=3,$G46=2),IF(OR(AND(MM$4&gt;=$AD$119,$C46=2),AND(MM$4&gt;=$AF$119,$C46=1)),0,IF(MQ46&lt;=60,MW46,60/MO$4*MO$7)),IF(AND($F46=2,$G46=1),MW46,0)))))</f>
        <v>0</v>
      </c>
      <c r="MZ46" s="57" t="str">
        <f t="shared" si="142"/>
        <v/>
      </c>
      <c r="NA46" s="57" t="str">
        <f t="shared" ref="NA46:NA77" si="452">IF(AND(MM$6=1,$L46=80),IF(OR($N46=2,MM$4&gt;=$C$133),0,IF(MQ46&lt;=60,MM46*MO$5,60/MO$4*MO$5)),"")</f>
        <v/>
      </c>
      <c r="NB46" s="713">
        <f>'org. Düngung 22'!CV45</f>
        <v>0</v>
      </c>
      <c r="NC46" s="57"/>
      <c r="ND46" s="57"/>
      <c r="NE46" s="57">
        <f t="shared" si="144"/>
        <v>0</v>
      </c>
      <c r="NF46" s="57">
        <f t="shared" si="308"/>
        <v>0</v>
      </c>
      <c r="NG46" s="57">
        <f t="shared" si="309"/>
        <v>0</v>
      </c>
      <c r="NH46" s="57">
        <f t="shared" si="310"/>
        <v>0</v>
      </c>
      <c r="NI46" s="57">
        <f t="shared" si="311"/>
        <v>0</v>
      </c>
      <c r="NJ46" s="1029">
        <f t="shared" ref="NJ46:NJ77" si="453">IF(NB$6&gt;1,NF46,        IF($L46=70,"",         IF(OR($L46=0,$N46=2),NF46, IF(NB$4&gt;=$C$133,NF46,IF(NF46&lt;60,0,NF46-60)))))</f>
        <v>0</v>
      </c>
      <c r="NK46" s="57">
        <f t="shared" ref="NK46:NK77" si="454">IF(OR(NB$6&lt;&gt;2,$J46=2,$F46&gt;1),0,IF(ND$9=2,0,IF(AND(OR(ND$9=3,ND$9=1),NB$4&lt;$C$133),IF(NF46&lt;=60,NB46*ND$5,60/ND$4*ND$5),0)))</f>
        <v>0</v>
      </c>
      <c r="NL46" s="171" t="str">
        <f t="shared" ref="NL46:NL77" si="455">IF(OR(ND$4=0,NB$6=3),"",         IF(NB$6=1,      IF($L46=70,"",IF($F46=1,NJ46/ND$4*ND$6,NJ46/ND$4*ND$7)),      IF($F46&gt;1,NB46*ND$7,   IF(OR($J46=2,NB$4&gt;=$C$133,ND$9=2),NB46*ND$6,IF(NF46&lt;=60,0,(NF46-60)/ND$4*ND$6)))))</f>
        <v/>
      </c>
      <c r="NM46" s="57">
        <f t="shared" si="312"/>
        <v>0</v>
      </c>
      <c r="NN46" s="57">
        <f>IF(OR(AND(NB$6=1,$L46=0),AND(NB$6=2,$K46=2,$G46=1)),0,IF(AND(ND$9=2,(OR($F46&gt;1,$K46=1,AND($L46=80,OR($N46=1,AND($N46=2,'#BerechnungDBE'!$AL37&gt;0)))))),IF(NB$4&gt;=$AD$126,0,NL46),IF(ND$9=3,IF(OR(NB$4&gt;=$AD$127,AND($G46=1,$J46=2,NB$6=2),AND(NB$6=1,$N46&lt;&gt;1)),0,IF(NF46&lt;=120,NL46,IF(NB$4&lt;$AD$124,IF($F46=1,60/ND$4*ND$6,60/ND$4*ND$7),IF($F46=1,120/ND$4*ND$6,120/ND$4*ND$7)))),IF(OR($F46=3,$G46=2),IF(OR(AND(NB$4&gt;=$AD$119,$C46=2),AND(NB$4&gt;=$AF$119,$C46=1)),0,IF(NF46&lt;=60,NL46,60/ND$4*ND$7)),IF(AND($F46=2,$G46=1),NL46,0)))))</f>
        <v>0</v>
      </c>
      <c r="NO46" s="57" t="str">
        <f t="shared" si="148"/>
        <v/>
      </c>
      <c r="NP46" s="57" t="str">
        <f t="shared" ref="NP46:NP77" si="456">IF(AND(NB$6=1,$L46=80),IF(OR($N46=2,NB$4&gt;=$C$133),0,IF(NF46&lt;=60,NB46*ND$5,60/ND$4*ND$5)),"")</f>
        <v/>
      </c>
      <c r="NQ46" s="713">
        <f>'org. Düngung 22'!CZ45</f>
        <v>0</v>
      </c>
      <c r="NR46" s="57"/>
      <c r="NS46" s="57"/>
      <c r="NT46" s="57">
        <f t="shared" si="150"/>
        <v>0</v>
      </c>
      <c r="NU46" s="57">
        <f t="shared" si="313"/>
        <v>0</v>
      </c>
      <c r="NV46" s="57">
        <f t="shared" si="314"/>
        <v>0</v>
      </c>
      <c r="NW46" s="57">
        <f t="shared" si="315"/>
        <v>0</v>
      </c>
      <c r="NX46" s="57">
        <f t="shared" si="316"/>
        <v>0</v>
      </c>
      <c r="NY46" s="1029">
        <f t="shared" ref="NY46:NY77" si="457">IF(NQ$6&gt;1,NU46,        IF($L46=70,"",         IF(OR($L46=0,$N46=2),NU46, IF(NQ$4&gt;=$C$133,NU46,IF(NU46&lt;60,0,NU46-60)))))</f>
        <v>0</v>
      </c>
      <c r="NZ46" s="57">
        <f t="shared" ref="NZ46:NZ77" si="458">IF(OR(NQ$6&lt;&gt;2,$J46=2,$F46&gt;1),0,IF(NS$9=2,0,IF(AND(OR(NS$9=3,NS$9=1),NQ$4&lt;$C$133),IF(NU46&lt;=60,NQ46*NS$5,60/NS$4*NS$5),0)))</f>
        <v>0</v>
      </c>
      <c r="OA46" s="171" t="str">
        <f t="shared" ref="OA46:OA77" si="459">IF(OR(NS$4=0,NQ$6=3),"",         IF(NQ$6=1,      IF($L46=70,"",IF($F46=1,NY46/NS$4*NS$6,NY46/NS$4*NS$7)),      IF($F46&gt;1,NQ46*NS$7,   IF(OR($J46=2,NQ$4&gt;=$C$133,NS$9=2),NQ46*NS$6,IF(NU46&lt;=60,0,(NU46-60)/NS$4*NS$6)))))</f>
        <v/>
      </c>
      <c r="OB46" s="57">
        <f t="shared" si="317"/>
        <v>0</v>
      </c>
      <c r="OC46" s="57">
        <f>IF(OR(AND(NQ$6=1,$L46=0),AND(NQ$6=2,$K46=2,$G46=1)),0,IF(AND(NS$9=2,(OR($F46&gt;1,$K46=1,AND($L46=80,OR($N46=1,AND($N46=2,'#BerechnungDBE'!$AL37&gt;0)))))),IF(NQ$4&gt;=$AD$126,0,OA46),IF(NS$9=3,IF(OR(NQ$4&gt;=$AD$127,AND($G46=1,$J46=2,NQ$6=2),AND(NQ$6=1,$N46&lt;&gt;1)),0,IF(NU46&lt;=120,OA46,IF(NQ$4&lt;$AD$124,IF($F46=1,60/NS$4*NS$6,60/NS$4*NS$7),IF($F46=1,120/NS$4*NS$6,120/NS$4*NS$7)))),IF(OR($F46=3,$G46=2),IF(OR(AND(NQ$4&gt;=$AD$119,$C46=2),AND(NQ$4&gt;=$AF$119,$C46=1)),0,IF(NU46&lt;=60,OA46,60/NS$4*NS$7)),IF(AND($F46=2,$G46=1),OA46,0)))))</f>
        <v>0</v>
      </c>
      <c r="OD46" s="57" t="str">
        <f t="shared" si="154"/>
        <v/>
      </c>
      <c r="OE46" s="57" t="str">
        <f t="shared" ref="OE46:OE77" si="460">IF(AND(NQ$6=1,$L46=80),IF(OR($N46=2,NQ$4&gt;=$C$133),0,IF(NU46&lt;=60,NQ46*NS$5,60/NS$4*NS$5)),"")</f>
        <v/>
      </c>
      <c r="OF46" s="713">
        <f>'org. Düngung 22'!DD45</f>
        <v>0</v>
      </c>
      <c r="OG46" s="57"/>
      <c r="OH46" s="57"/>
      <c r="OI46" s="57">
        <f t="shared" si="156"/>
        <v>0</v>
      </c>
      <c r="OJ46" s="57">
        <f t="shared" si="318"/>
        <v>0</v>
      </c>
      <c r="OK46" s="57">
        <f t="shared" si="319"/>
        <v>0</v>
      </c>
      <c r="OL46" s="57">
        <f t="shared" si="320"/>
        <v>0</v>
      </c>
      <c r="OM46" s="57">
        <f t="shared" si="321"/>
        <v>0</v>
      </c>
      <c r="ON46" s="1029">
        <f t="shared" ref="ON46:ON77" si="461">IF(OF$6&gt;1,OJ46,        IF($L46=70,"",         IF(OR($L46=0,$N46=2),OJ46, IF(OF$4&gt;=$C$133,OJ46,IF(OJ46&lt;60,0,OJ46-60)))))</f>
        <v>0</v>
      </c>
      <c r="OO46" s="57">
        <f t="shared" ref="OO46:OO77" si="462">IF(OR(OF$6&lt;&gt;2,$J46=2,$F46&gt;1),0,IF(OH$9=2,0,IF(AND(OR(OH$9=3,OH$9=1),OF$4&lt;$C$133),IF(OJ46&lt;=60,OF46*OH$5,60/OH$4*OH$5),0)))</f>
        <v>0</v>
      </c>
      <c r="OP46" s="171" t="str">
        <f t="shared" ref="OP46:OP77" si="463">IF(OR(OH$4=0,OF$6=3),"",         IF(OF$6=1,      IF($L46=70,"",IF($F46=1,ON46/OH$4*OH$6,ON46/OH$4*OH$7)),      IF($F46&gt;1,OF46*OH$7,   IF(OR($J46=2,OF$4&gt;=$C$133,OH$9=2),OF46*OH$6,IF(OJ46&lt;=60,0,(OJ46-60)/OH$4*OH$6)))))</f>
        <v/>
      </c>
      <c r="OQ46" s="57">
        <f t="shared" si="322"/>
        <v>0</v>
      </c>
      <c r="OR46" s="57">
        <f>IF(OR(AND(OF$6=1,$L46=0),AND(OF$6=2,$K46=2,$G46=1)),0,IF(AND(OH$9=2,(OR($F46&gt;1,$K46=1,AND($L46=80,OR($N46=1,AND($N46=2,'#BerechnungDBE'!$AL37&gt;0)))))),IF(OF$4&gt;=$AD$126,0,OP46),IF(OH$9=3,IF(OR(OF$4&gt;=$AD$127,AND($G46=1,$J46=2,OF$6=2),AND(OF$6=1,$N46&lt;&gt;1)),0,IF(OJ46&lt;=120,OP46,IF(OF$4&lt;$AD$124,IF($F46=1,60/OH$4*OH$6,60/OH$4*OH$7),IF($F46=1,120/OH$4*OH$6,120/OH$4*OH$7)))),IF(OR($F46=3,$G46=2),IF(OR(AND(OF$4&gt;=$AD$119,$C46=2),AND(OF$4&gt;=$AF$119,$C46=1)),0,IF(OJ46&lt;=60,OP46,60/OH$4*OH$7)),IF(AND($F46=2,$G46=1),OP46,0)))))</f>
        <v>0</v>
      </c>
      <c r="OS46" s="57" t="str">
        <f t="shared" si="160"/>
        <v/>
      </c>
      <c r="OT46" s="57" t="str">
        <f t="shared" ref="OT46:OT77" si="464">IF(AND(OF$6=1,$L46=80),IF(OR($N46=2,OF$4&gt;=$C$133),0,IF(OJ46&lt;=60,OF46*OH$5,60/OH$4*OH$5)),"")</f>
        <v/>
      </c>
      <c r="OU46" s="713">
        <f>'org. Düngung 22'!DH45</f>
        <v>0</v>
      </c>
      <c r="OV46" s="57"/>
      <c r="OW46" s="57"/>
      <c r="OX46" s="57">
        <f t="shared" si="162"/>
        <v>0</v>
      </c>
      <c r="OY46" s="57">
        <f t="shared" si="323"/>
        <v>0</v>
      </c>
      <c r="OZ46" s="57">
        <f t="shared" si="324"/>
        <v>0</v>
      </c>
      <c r="PA46" s="57">
        <f t="shared" si="325"/>
        <v>0</v>
      </c>
      <c r="PB46" s="57">
        <f t="shared" si="326"/>
        <v>0</v>
      </c>
      <c r="PC46" s="1029">
        <f t="shared" ref="PC46:PC77" si="465">IF(OU$6&gt;1,OY46,        IF($L46=70,"",         IF(OR($L46=0,$N46=2),OY46, IF(OU$4&gt;=$C$133,OY46,IF(OY46&lt;60,0,OY46-60)))))</f>
        <v>0</v>
      </c>
      <c r="PD46" s="57">
        <f t="shared" ref="PD46:PD77" si="466">IF(OR(OU$6&lt;&gt;2,$J46=2,$F46&gt;1),0,IF(OW$9=2,0,IF(AND(OR(OW$9=3,OW$9=1),OU$4&lt;$C$133),IF(OY46&lt;=60,OU46*OW$5,60/OW$4*OW$5),0)))</f>
        <v>0</v>
      </c>
      <c r="PE46" s="171" t="str">
        <f t="shared" ref="PE46:PE77" si="467">IF(OR(OW$4=0,OU$6=3),"",         IF(OU$6=1,      IF($L46=70,"",IF($F46=1,PC46/OW$4*OW$6,PC46/OW$4*OW$7)),      IF($F46&gt;1,OU46*OW$7,   IF(OR($J46=2,OU$4&gt;=$C$133,OW$9=2),OU46*OW$6,IF(OY46&lt;=60,0,(OY46-60)/OW$4*OW$6)))))</f>
        <v/>
      </c>
      <c r="PF46" s="57">
        <f t="shared" si="327"/>
        <v>0</v>
      </c>
      <c r="PG46" s="57">
        <f>IF(OR(AND(OU$6=1,$L46=0),AND(OU$6=2,$K46=2,$G46=1)),0,IF(AND(OW$9=2,(OR($F46&gt;1,$K46=1,AND($L46=80,OR($N46=1,AND($N46=2,'#BerechnungDBE'!$AL37&gt;0)))))),IF(OU$4&gt;=$AD$126,0,PE46),IF(OW$9=3,IF(OR(OU$4&gt;=$AD$127,AND($G46=1,$J46=2,OU$6=2),AND(OU$6=1,$N46&lt;&gt;1)),0,IF(OY46&lt;=120,PE46,IF(OU$4&lt;$AD$124,IF($F46=1,60/OW$4*OW$6,60/OW$4*OW$7),IF($F46=1,120/OW$4*OW$6,120/OW$4*OW$7)))),IF(OR($F46=3,$G46=2),IF(OR(AND(OU$4&gt;=$AD$119,$C46=2),AND(OU$4&gt;=$AF$119,$C46=1)),0,IF(OY46&lt;=60,PE46,60/OW$4*OW$7)),IF(AND($F46=2,$G46=1),PE46,0)))))</f>
        <v>0</v>
      </c>
      <c r="PH46" s="57" t="str">
        <f t="shared" si="166"/>
        <v/>
      </c>
      <c r="PI46" s="57" t="str">
        <f t="shared" ref="PI46:PI77" si="468">IF(AND(OU$6=1,$L46=80),IF(OR($N46=2,OU$4&gt;=$C$133),0,IF(OY46&lt;=60,OU46*OW$5,60/OW$4*OW$5)),"")</f>
        <v/>
      </c>
      <c r="PJ46" s="713">
        <f>'org. Düngung 22'!DL45</f>
        <v>0</v>
      </c>
      <c r="PK46" s="57"/>
      <c r="PL46" s="57"/>
      <c r="PM46" s="57">
        <f t="shared" si="168"/>
        <v>0</v>
      </c>
      <c r="PN46" s="57">
        <f t="shared" si="328"/>
        <v>0</v>
      </c>
      <c r="PO46" s="57">
        <f t="shared" si="329"/>
        <v>0</v>
      </c>
      <c r="PP46" s="57">
        <f t="shared" si="330"/>
        <v>0</v>
      </c>
      <c r="PQ46" s="57">
        <f t="shared" si="331"/>
        <v>0</v>
      </c>
      <c r="PR46" s="1029">
        <f t="shared" ref="PR46:PR77" si="469">IF(PJ$6&gt;1,PN46,        IF($L46=70,"",         IF(OR($L46=0,$N46=2),PN46, IF(PJ$4&gt;=$C$133,PN46,IF(PN46&lt;60,0,PN46-60)))))</f>
        <v>0</v>
      </c>
      <c r="PS46" s="57">
        <f t="shared" ref="PS46:PS77" si="470">IF(OR(PJ$6&lt;&gt;2,$J46=2,$F46&gt;1),0,IF(PL$9=2,0,IF(AND(OR(PL$9=3,PL$9=1),PJ$4&lt;$C$133),IF(PN46&lt;=60,PJ46*PL$5,60/PL$4*PL$5),0)))</f>
        <v>0</v>
      </c>
      <c r="PT46" s="171" t="str">
        <f t="shared" ref="PT46:PT77" si="471">IF(OR(PL$4=0,PJ$6=3),"",         IF(PJ$6=1,      IF($L46=70,"",IF($F46=1,PR46/PL$4*PL$6,PR46/PL$4*PL$7)),      IF($F46&gt;1,PJ46*PL$7,   IF(OR($J46=2,PJ$4&gt;=$C$133,PL$9=2),PJ46*PL$6,IF(PN46&lt;=60,0,(PN46-60)/PL$4*PL$6)))))</f>
        <v/>
      </c>
      <c r="PU46" s="57">
        <f t="shared" si="332"/>
        <v>0</v>
      </c>
      <c r="PV46" s="57">
        <f>IF(OR(AND(PJ$6=1,$L46=0),AND(PJ$6=2,$K46=2,$G46=1)),0,IF(AND(PL$9=2,(OR($F46&gt;1,$K46=1,AND($L46=80,OR($N46=1,AND($N46=2,'#BerechnungDBE'!$AL37&gt;0)))))),IF(PJ$4&gt;=$AD$126,0,PT46),IF(PL$9=3,IF(OR(PJ$4&gt;=$AD$127,AND($G46=1,$J46=2,PJ$6=2),AND(PJ$6=1,$N46&lt;&gt;1)),0,IF(PN46&lt;=120,PT46,IF(PJ$4&lt;$AD$124,IF($F46=1,60/PL$4*PL$6,60/PL$4*PL$7),IF($F46=1,120/PL$4*PL$6,120/PL$4*PL$7)))),IF(OR($F46=3,$G46=2),IF(OR(AND(PJ$4&gt;=$AD$119,$C46=2),AND(PJ$4&gt;=$AF$119,$C46=1)),0,IF(PN46&lt;=60,PT46,60/PL$4*PL$7)),IF(AND($F46=2,$G46=1),PT46,0)))))</f>
        <v>0</v>
      </c>
      <c r="PW46" s="57" t="str">
        <f t="shared" si="172"/>
        <v/>
      </c>
      <c r="PX46" s="57" t="str">
        <f t="shared" ref="PX46:PX77" si="472">IF(AND(PJ$6=1,$L46=80),IF(OR($N46=2,PJ$4&gt;=$C$133),0,IF(PN46&lt;=60,PJ46*PL$5,60/PL$4*PL$5)),"")</f>
        <v/>
      </c>
      <c r="PY46" s="713">
        <f>'org. Düngung 22'!DP45</f>
        <v>0</v>
      </c>
      <c r="PZ46" s="57"/>
      <c r="QA46" s="57"/>
      <c r="QB46" s="57">
        <f t="shared" si="174"/>
        <v>0</v>
      </c>
      <c r="QC46" s="57">
        <f t="shared" si="333"/>
        <v>0</v>
      </c>
      <c r="QD46" s="57">
        <f t="shared" si="334"/>
        <v>0</v>
      </c>
      <c r="QE46" s="57">
        <f t="shared" si="335"/>
        <v>0</v>
      </c>
      <c r="QF46" s="57">
        <f t="shared" si="336"/>
        <v>0</v>
      </c>
      <c r="QG46" s="1029">
        <f t="shared" ref="QG46:QG77" si="473">IF(PY$6&gt;1,QC46,        IF($L46=70,"",         IF(OR($L46=0,$N46=2),QC46, IF(PY$4&gt;=$C$133,QC46,IF(QC46&lt;60,0,QC46-60)))))</f>
        <v>0</v>
      </c>
      <c r="QH46" s="57">
        <f t="shared" ref="QH46:QH77" si="474">IF(OR(PY$6&lt;&gt;2,$J46=2,$F46&gt;1),0,IF(QA$9=2,0,IF(AND(OR(QA$9=3,QA$9=1),PY$4&lt;$C$133),IF(QC46&lt;=60,PY46*QA$5,60/QA$4*QA$5),0)))</f>
        <v>0</v>
      </c>
      <c r="QI46" s="171" t="str">
        <f t="shared" ref="QI46:QI77" si="475">IF(OR(QA$4=0,PY$6=3),"",         IF(PY$6=1,      IF($L46=70,"",IF($F46=1,QG46/QA$4*QA$6,QG46/QA$4*QA$7)),      IF($F46&gt;1,PY46*QA$7,   IF(OR($J46=2,PY$4&gt;=$C$133,QA$9=2),PY46*QA$6,IF(QC46&lt;=60,0,(QC46-60)/QA$4*QA$6)))))</f>
        <v/>
      </c>
      <c r="QJ46" s="57">
        <f t="shared" si="337"/>
        <v>0</v>
      </c>
      <c r="QK46" s="57">
        <f>IF(OR(AND(PY$6=1,$L46=0),AND(PY$6=2,$K46=2,$G46=1)),0,IF(AND(QA$9=2,(OR($F46&gt;1,$K46=1,AND($L46=80,OR($N46=1,AND($N46=2,'#BerechnungDBE'!$AL37&gt;0)))))),IF(PY$4&gt;=$AD$126,0,QI46),IF(QA$9=3,IF(OR(PY$4&gt;=$AD$127,AND($G46=1,$J46=2,PY$6=2),AND(PY$6=1,$N46&lt;&gt;1)),0,IF(QC46&lt;=120,QI46,IF(PY$4&lt;$AD$124,IF($F46=1,60/QA$4*QA$6,60/QA$4*QA$7),IF($F46=1,120/QA$4*QA$6,120/QA$4*QA$7)))),IF(OR($F46=3,$G46=2),IF(OR(AND(PY$4&gt;=$AD$119,$C46=2),AND(PY$4&gt;=$AF$119,$C46=1)),0,IF(QC46&lt;=60,QI46,60/QA$4*QA$7)),IF(AND($F46=2,$G46=1),QI46,0)))))</f>
        <v>0</v>
      </c>
      <c r="QL46" s="57" t="str">
        <f t="shared" si="178"/>
        <v/>
      </c>
      <c r="QM46" s="57" t="str">
        <f t="shared" ref="QM46:QM77" si="476">IF(AND(PY$6=1,$L46=80),IF(OR($N46=2,PY$4&gt;=$C$133),0,IF(QC46&lt;=60,PY46*QA$5,60/QA$4*QA$5)),"")</f>
        <v/>
      </c>
      <c r="QN46" s="713">
        <f>'org. Düngung 22'!DT45</f>
        <v>0</v>
      </c>
      <c r="QO46" s="57"/>
      <c r="QP46" s="57"/>
      <c r="QQ46" s="57">
        <f t="shared" si="180"/>
        <v>0</v>
      </c>
      <c r="QR46" s="57">
        <f t="shared" si="338"/>
        <v>0</v>
      </c>
      <c r="QS46" s="57">
        <f t="shared" si="339"/>
        <v>0</v>
      </c>
      <c r="QT46" s="57">
        <f t="shared" si="340"/>
        <v>0</v>
      </c>
      <c r="QU46" s="57">
        <f t="shared" si="341"/>
        <v>0</v>
      </c>
      <c r="QV46" s="1029">
        <f t="shared" ref="QV46:QV77" si="477">IF(QN$6&gt;1,QR46,        IF($L46=70,"",         IF(OR($L46=0,$N46=2),QR46, IF(QN$4&gt;=$C$133,QR46,IF(QR46&lt;60,0,QR46-60)))))</f>
        <v>0</v>
      </c>
      <c r="QW46" s="57">
        <f t="shared" ref="QW46:QW77" si="478">IF(OR(QN$6&lt;&gt;2,$J46=2,$F46&gt;1),0,IF(QP$9=2,0,IF(AND(OR(QP$9=3,QP$9=1),QN$4&lt;$C$133),IF(QR46&lt;=60,QN46*QP$5,60/QP$4*QP$5),0)))</f>
        <v>0</v>
      </c>
      <c r="QX46" s="171" t="str">
        <f t="shared" ref="QX46:QX77" si="479">IF(OR(QP$4=0,QN$6=3),"",         IF(QN$6=1,      IF($L46=70,"",IF($F46=1,QV46/QP$4*QP$6,QV46/QP$4*QP$7)),      IF($F46&gt;1,QN46*QP$7,   IF(OR($J46=2,QN$4&gt;=$C$133,QP$9=2),QN46*QP$6,IF(QR46&lt;=60,0,(QR46-60)/QP$4*QP$6)))))</f>
        <v/>
      </c>
      <c r="QY46" s="57">
        <f t="shared" si="342"/>
        <v>0</v>
      </c>
      <c r="QZ46" s="57">
        <f>IF(OR(AND(QN$6=1,$L46=0),AND(QN$6=2,$K46=2,$G46=1)),0,IF(AND(QP$9=2,(OR($F46&gt;1,$K46=1,AND($L46=80,OR($N46=1,AND($N46=2,'#BerechnungDBE'!$AL37&gt;0)))))),IF(QN$4&gt;=$AD$126,0,QX46),IF(QP$9=3,IF(OR(QN$4&gt;=$AD$127,AND($G46=1,$J46=2,QN$6=2),AND(QN$6=1,$N46&lt;&gt;1)),0,IF(QR46&lt;=120,QX46,IF(QN$4&lt;$AD$124,IF($F46=1,60/QP$4*QP$6,60/QP$4*QP$7),IF($F46=1,120/QP$4*QP$6,120/QP$4*QP$7)))),IF(OR($F46=3,$G46=2),IF(OR(AND(QN$4&gt;=$AD$119,$C46=2),AND(QN$4&gt;=$AF$119,$C46=1)),0,IF(QR46&lt;=60,QX46,60/QP$4*QP$7)),IF(AND($F46=2,$G46=1),QX46,0)))))</f>
        <v>0</v>
      </c>
      <c r="RA46" s="57" t="str">
        <f t="shared" si="184"/>
        <v/>
      </c>
      <c r="RB46" s="57" t="str">
        <f t="shared" ref="RB46:RB77" si="480">IF(AND(QN$6=1,$L46=80),IF(OR($N46=2,QN$4&gt;=$C$133),0,IF(QR46&lt;=60,QN46*QP$5,60/QP$4*QP$5)),"")</f>
        <v/>
      </c>
      <c r="RC46" s="713">
        <f>'org. Düngung 22'!DX45</f>
        <v>0</v>
      </c>
      <c r="RD46" s="57"/>
      <c r="RE46" s="57"/>
      <c r="RF46" s="57">
        <f t="shared" si="186"/>
        <v>0</v>
      </c>
      <c r="RG46" s="57">
        <f t="shared" si="343"/>
        <v>0</v>
      </c>
      <c r="RH46" s="57">
        <f t="shared" si="344"/>
        <v>0</v>
      </c>
      <c r="RI46" s="57">
        <f t="shared" si="345"/>
        <v>0</v>
      </c>
      <c r="RJ46" s="57">
        <f t="shared" si="346"/>
        <v>0</v>
      </c>
      <c r="RK46" s="1029">
        <f t="shared" ref="RK46:RK77" si="481">IF(RC$6&gt;1,RG46,        IF($L46=70,"",         IF(OR($L46=0,$N46=2),RG46, IF(RC$4&gt;=$C$133,RG46,IF(RG46&lt;60,0,RG46-60)))))</f>
        <v>0</v>
      </c>
      <c r="RL46" s="57">
        <f t="shared" ref="RL46:RL77" si="482">IF(OR(RC$6&lt;&gt;2,$J46=2,$F46&gt;1),0,IF(RE$9=2,0,IF(AND(OR(RE$9=3,RE$9=1),RC$4&lt;$C$133),IF(RG46&lt;=60,RC46*RE$5,60/RE$4*RE$5),0)))</f>
        <v>0</v>
      </c>
      <c r="RM46" s="171" t="str">
        <f t="shared" ref="RM46:RM77" si="483">IF(OR(RE$4=0,RC$6=3),"",         IF(RC$6=1,      IF($L46=70,"",IF($F46=1,RK46/RE$4*RE$6,RK46/RE$4*RE$7)),      IF($F46&gt;1,RC46*RE$7,   IF(OR($J46=2,RC$4&gt;=$C$133,RE$9=2),RC46*RE$6,IF(RG46&lt;=60,0,(RG46-60)/RE$4*RE$6)))))</f>
        <v/>
      </c>
      <c r="RN46" s="57">
        <f t="shared" si="347"/>
        <v>0</v>
      </c>
      <c r="RO46" s="57">
        <f>IF(OR(AND(RC$6=1,$L46=0),AND(RC$6=2,$K46=2,$G46=1)),0,IF(AND(RE$9=2,(OR($F46&gt;1,$K46=1,AND($L46=80,OR($N46=1,AND($N46=2,'#BerechnungDBE'!$AL37&gt;0)))))),IF(RC$4&gt;=$AD$126,0,RM46),IF(RE$9=3,IF(OR(RC$4&gt;=$AD$127,AND($G46=1,$J46=2,RC$6=2),AND(RC$6=1,$N46&lt;&gt;1)),0,IF(RG46&lt;=120,RM46,IF(RC$4&lt;$AD$124,IF($F46=1,60/RE$4*RE$6,60/RE$4*RE$7),IF($F46=1,120/RE$4*RE$6,120/RE$4*RE$7)))),IF(OR($F46=3,$G46=2),IF(OR(AND(RC$4&gt;=$AD$119,$C46=2),AND(RC$4&gt;=$AF$119,$C46=1)),0,IF(RG46&lt;=60,RM46,60/RE$4*RE$7)),IF(AND($F46=2,$G46=1),RM46,0)))))</f>
        <v>0</v>
      </c>
      <c r="RP46" s="57" t="str">
        <f t="shared" si="190"/>
        <v/>
      </c>
      <c r="RQ46" s="57" t="str">
        <f t="shared" ref="RQ46:RQ77" si="484">IF(AND(RC$6=1,$L46=80),IF(OR($N46=2,RC$4&gt;=$C$133),0,IF(RG46&lt;=60,RC46*RE$5,60/RE$4*RE$5)),"")</f>
        <v/>
      </c>
      <c r="RS46" s="57" t="str">
        <f t="shared" si="348"/>
        <v/>
      </c>
      <c r="RT46" s="57" t="str">
        <f t="shared" ref="RT46:RT77" si="485">IF(AND(C46=1,H46=2,V46&gt;0),$RT$9,"")</f>
        <v/>
      </c>
      <c r="RU46" s="57" t="str">
        <f t="shared" ref="RU46:RU77" si="486">IF(AND(D46&lt;&gt;2,P46-AG46&gt;0),$RU$9,"")</f>
        <v/>
      </c>
      <c r="RV46" s="57" t="str">
        <f>IF(Z46&gt;'#BerechnungDBE'!BM37,$RV$9,"")</f>
        <v/>
      </c>
      <c r="RW46" s="57" t="str">
        <f>IF(AND(L46=70,AE46&gt;'#BerechnungDBE'!CQ37),$RW$9,"")</f>
        <v/>
      </c>
      <c r="RX46" s="57" t="str">
        <f>IF(OR('org. Düngung 22'!G45="--",'org. Düngung 22'!G45&lt;=170,'org. Düngung 22'!G45=""),"",$RX$9)</f>
        <v/>
      </c>
      <c r="RY46" s="57" t="str">
        <f>IF('org. Düngung 22'!K45&gt;120,'#orgDung'!$RY$9,"")</f>
        <v/>
      </c>
      <c r="RZ46" s="57" t="str">
        <f>IF('#BerechnungDBE'!P37&lt;4,"",IF(AND('#BerechnungDBE'!BZ37&gt;0,T46&gt;0),'#orgDung'!$RZ$9,""))</f>
        <v/>
      </c>
      <c r="SA46" s="57" t="str">
        <f t="shared" ref="SA46:SA77" si="487">IF(AND(F46=2,G46=1,W46&gt;0),$SA$9,"")</f>
        <v/>
      </c>
    </row>
    <row r="47" spans="1:495" s="875" customFormat="1" x14ac:dyDescent="0.2">
      <c r="A47" s="875">
        <f>'Flächen u. Kulturen'!A43</f>
        <v>34</v>
      </c>
      <c r="B47" s="367">
        <f>'#BerechnungDBE'!L38</f>
        <v>0</v>
      </c>
      <c r="C47" s="875">
        <f>'#BerechnungDBE'!R38</f>
        <v>1</v>
      </c>
      <c r="D47" s="875">
        <f>'#BerechnungDBE'!T38</f>
        <v>2</v>
      </c>
      <c r="E47" s="875" t="str">
        <f>'Flächen u. Kulturen'!E43</f>
        <v>x</v>
      </c>
      <c r="F47" s="52">
        <f>'#BerechnungDBE'!N38</f>
        <v>1</v>
      </c>
      <c r="G47" s="52">
        <f>'#BerechnungDBE'!O38</f>
        <v>1</v>
      </c>
      <c r="H47" s="875">
        <f>IF('Flächen u. Kulturen'!P43="",0,VLOOKUP('Flächen u. Kulturen'!P43,Kulturen[[HF]:[Berechnungsgruppe]],'#Frucht'!$H$1,FALSE))</f>
        <v>0</v>
      </c>
      <c r="I47" s="875">
        <f>IF('Flächen u. Kulturen'!J43="",0,VLOOKUP('Flächen u. Kulturen'!J43,Kulturen[[HF]:[Berechnungsgruppe]],'#Frucht'!$G$1,FALSE))</f>
        <v>90</v>
      </c>
      <c r="J47" s="505">
        <f t="shared" si="195"/>
        <v>2</v>
      </c>
      <c r="K47" s="505">
        <f>IF('Flächen u. Kulturen'!P43="",0,IF(VLOOKUP('Flächen u. Kulturen'!P43,Kulturen[[HF]:[Saat Winterungen]],'#Frucht'!$P$1,FALSE)&gt;0,1,2))</f>
        <v>2</v>
      </c>
      <c r="L47" s="875">
        <f>'#BerechnungDBE'!AF38</f>
        <v>0</v>
      </c>
      <c r="M47" s="875">
        <f>IF('Flächen u. Kulturen'!L43="",0,VLOOKUP('Flächen u. Kulturen'!L43,Nebenkultur[[Nebenkultur]:[Legum. Zwischenfr.]],'#Zweitfr'!$K$1,FALSE))</f>
        <v>0</v>
      </c>
      <c r="N47" s="875">
        <f>'#BerechnungDBE'!AG38</f>
        <v>0</v>
      </c>
      <c r="P47" s="57">
        <f t="shared" si="353"/>
        <v>0</v>
      </c>
      <c r="Q47" s="57">
        <f t="shared" si="354"/>
        <v>0</v>
      </c>
      <c r="R47" s="875">
        <f t="shared" si="355"/>
        <v>0</v>
      </c>
      <c r="S47" s="938" t="str">
        <f t="shared" si="3"/>
        <v/>
      </c>
      <c r="T47" s="875">
        <f t="shared" si="356"/>
        <v>0</v>
      </c>
      <c r="U47" s="875">
        <f t="shared" si="357"/>
        <v>0</v>
      </c>
      <c r="V47" s="875">
        <f t="shared" si="358"/>
        <v>0</v>
      </c>
      <c r="W47" s="875">
        <f t="shared" si="359"/>
        <v>0</v>
      </c>
      <c r="X47" s="875">
        <f t="shared" si="360"/>
        <v>0</v>
      </c>
      <c r="Y47" s="875">
        <f t="shared" si="349"/>
        <v>0</v>
      </c>
      <c r="Z47" s="875">
        <f t="shared" si="350"/>
        <v>0</v>
      </c>
      <c r="AA47" s="910">
        <f t="shared" si="361"/>
        <v>0</v>
      </c>
      <c r="AB47" s="57">
        <f t="shared" si="351"/>
        <v>0</v>
      </c>
      <c r="AC47" s="875">
        <f t="shared" si="362"/>
        <v>0</v>
      </c>
      <c r="AD47" s="875">
        <f t="shared" si="363"/>
        <v>0</v>
      </c>
      <c r="AE47" s="875">
        <f t="shared" si="364"/>
        <v>0</v>
      </c>
      <c r="AF47" s="875">
        <f t="shared" si="352"/>
        <v>0</v>
      </c>
      <c r="AG47" s="875">
        <f>'org. Düngung 22'!J46</f>
        <v>0</v>
      </c>
      <c r="AH47" s="875">
        <f>'org. Düngung 22'!K46</f>
        <v>0</v>
      </c>
      <c r="AJ47" s="713">
        <f>'org. Düngung 22'!L46</f>
        <v>0</v>
      </c>
      <c r="AK47" s="57"/>
      <c r="AL47" s="57"/>
      <c r="AM47" s="57">
        <f t="shared" si="196"/>
        <v>0</v>
      </c>
      <c r="AN47" s="57">
        <f t="shared" si="197"/>
        <v>0</v>
      </c>
      <c r="AO47" s="57">
        <f t="shared" si="198"/>
        <v>0</v>
      </c>
      <c r="AP47" s="57">
        <f t="shared" si="199"/>
        <v>0</v>
      </c>
      <c r="AQ47" s="57">
        <f t="shared" si="200"/>
        <v>0</v>
      </c>
      <c r="AR47" s="1029">
        <f t="shared" si="365"/>
        <v>0</v>
      </c>
      <c r="AS47" s="57">
        <f t="shared" si="366"/>
        <v>0</v>
      </c>
      <c r="AT47" s="171" t="str">
        <f t="shared" si="367"/>
        <v/>
      </c>
      <c r="AU47" s="57">
        <f t="shared" si="201"/>
        <v>0</v>
      </c>
      <c r="AV47" s="57">
        <f>IF(OR(AND(AJ$6=1,$L47=0),AND(AJ$6=2,$K47=2,$G47=1)),0,IF(AND(AL$9=2,(OR($F47&gt;1,$K47=1,AND($L47=80,OR($N47=1,AND($N47=2,'#BerechnungDBE'!$AL38&gt;0)))))),IF(AJ$4&gt;=$AD$126,0,AT47),IF(AL$9=3,IF(OR(AJ$4&gt;=$AD$127,AND($G47=1,$J47=2,AJ$6=2),AND(AJ$6=1,$N47&lt;&gt;1)),0,IF(AN47&lt;=120,AT47,IF(AJ$4&lt;$AD$124,IF($F47=1,60/AL$4*AL$6,60/AL$4*AL$7),IF($F47=1,120/AL$4*AL$6,120/AL$4*AL$7)))),IF(OR($F47=3,$G47=2),IF(OR(AND(AJ$4&gt;=$AD$119,$C47=2),AND(AJ$4&gt;=$AF$119,$C47=1)),0,IF(AN47&lt;=60,AT47,60/AL$4*AL$7)),IF(AND($F47=2,$G47=1),AT47,0)))))</f>
        <v>0</v>
      </c>
      <c r="AW47" s="57" t="str">
        <f t="shared" si="202"/>
        <v/>
      </c>
      <c r="AX47" s="57" t="str">
        <f t="shared" si="368"/>
        <v/>
      </c>
      <c r="AY47" s="713">
        <f>'org. Düngung 22'!P46</f>
        <v>0</v>
      </c>
      <c r="AZ47" s="57"/>
      <c r="BA47" s="57"/>
      <c r="BB47" s="57">
        <f t="shared" si="18"/>
        <v>0</v>
      </c>
      <c r="BC47" s="57">
        <f t="shared" si="203"/>
        <v>0</v>
      </c>
      <c r="BD47" s="57">
        <f t="shared" si="204"/>
        <v>0</v>
      </c>
      <c r="BE47" s="57">
        <f t="shared" si="205"/>
        <v>0</v>
      </c>
      <c r="BF47" s="57">
        <f t="shared" si="206"/>
        <v>0</v>
      </c>
      <c r="BG47" s="1029">
        <f t="shared" si="369"/>
        <v>0</v>
      </c>
      <c r="BH47" s="57">
        <f t="shared" si="370"/>
        <v>0</v>
      </c>
      <c r="BI47" s="171" t="str">
        <f t="shared" si="371"/>
        <v/>
      </c>
      <c r="BJ47" s="57">
        <f t="shared" si="207"/>
        <v>0</v>
      </c>
      <c r="BK47" s="57">
        <f>IF(OR(AND(AY$6=1,$L47=0),AND(AY$6=2,$K47=2,$G47=1)),0,IF(AND(BA$9=2,(OR($F47&gt;1,$K47=1,AND($L47=80,OR($N47=1,AND($N47=2,'#BerechnungDBE'!$AL38&gt;0)))))),IF(AY$4&gt;=$AD$126,0,BI47),IF(BA$9=3,IF(OR(AY$4&gt;=$AD$127,AND($G47=1,$J47=2,AY$6=2),AND(AY$6=1,$N47&lt;&gt;1)),0,IF(BC47&lt;=120,BI47,IF(AY$4&lt;$AD$124,IF($F47=1,60/BA$4*BA$6,60/BA$4*BA$7),IF($F47=1,120/BA$4*BA$6,120/BA$4*BA$7)))),IF(OR($F47=3,$G47=2),IF(OR(AND(AY$4&gt;=$AD$119,$C47=2),AND(AY$4&gt;=$AF$119,$C47=1)),0,IF(BC47&lt;=60,BI47,60/BA$4*BA$7)),IF(AND($F47=2,$G47=1),BI47,0)))))</f>
        <v>0</v>
      </c>
      <c r="BL47" s="57" t="str">
        <f t="shared" si="22"/>
        <v/>
      </c>
      <c r="BM47" s="57" t="str">
        <f t="shared" si="372"/>
        <v/>
      </c>
      <c r="BN47" s="713">
        <f>'org. Düngung 22'!T46</f>
        <v>0</v>
      </c>
      <c r="BO47" s="57"/>
      <c r="BP47" s="57"/>
      <c r="BQ47" s="57">
        <f t="shared" si="24"/>
        <v>0</v>
      </c>
      <c r="BR47" s="57">
        <f t="shared" si="208"/>
        <v>0</v>
      </c>
      <c r="BS47" s="57">
        <f t="shared" si="209"/>
        <v>0</v>
      </c>
      <c r="BT47" s="57">
        <f t="shared" si="210"/>
        <v>0</v>
      </c>
      <c r="BU47" s="57">
        <f t="shared" si="211"/>
        <v>0</v>
      </c>
      <c r="BV47" s="1029">
        <f t="shared" si="373"/>
        <v>0</v>
      </c>
      <c r="BW47" s="57">
        <f t="shared" si="374"/>
        <v>0</v>
      </c>
      <c r="BX47" s="171" t="str">
        <f t="shared" si="375"/>
        <v/>
      </c>
      <c r="BY47" s="57">
        <f t="shared" si="212"/>
        <v>0</v>
      </c>
      <c r="BZ47" s="57">
        <f>IF(OR(AND(BN$6=1,$L47=0),AND(BN$6=2,$K47=2,$G47=1)),0,IF(AND(BP$9=2,(OR($F47&gt;1,$K47=1,AND($L47=80,OR($N47=1,AND($N47=2,'#BerechnungDBE'!$AL38&gt;0)))))),IF(BN$4&gt;=$AD$126,0,BX47),IF(BP$9=3,IF(OR(BN$4&gt;=$AD$127,AND($G47=1,$J47=2,BN$6=2),AND(BN$6=1,$N47&lt;&gt;1)),0,IF(BR47&lt;=120,BX47,IF(BN$4&lt;$AD$124,IF($F47=1,60/BP$4*BP$6,60/BP$4*BP$7),IF($F47=1,120/BP$4*BP$6,120/BP$4*BP$7)))),IF(OR($F47=3,$G47=2),IF(OR(AND(BN$4&gt;=$AD$119,$C47=2),AND(BN$4&gt;=$AF$119,$C47=1)),0,IF(BR47&lt;=60,BX47,60/BP$4*BP$7)),IF(AND($F47=2,$G47=1),BX47,0)))))</f>
        <v>0</v>
      </c>
      <c r="CA47" s="57" t="str">
        <f t="shared" si="28"/>
        <v/>
      </c>
      <c r="CB47" s="57" t="str">
        <f t="shared" si="376"/>
        <v/>
      </c>
      <c r="CC47" s="713">
        <f>'org. Düngung 22'!X46</f>
        <v>0</v>
      </c>
      <c r="CD47" s="57"/>
      <c r="CE47" s="57"/>
      <c r="CF47" s="57">
        <f t="shared" si="30"/>
        <v>0</v>
      </c>
      <c r="CG47" s="57">
        <f t="shared" si="213"/>
        <v>0</v>
      </c>
      <c r="CH47" s="57">
        <f t="shared" si="214"/>
        <v>0</v>
      </c>
      <c r="CI47" s="57">
        <f t="shared" si="215"/>
        <v>0</v>
      </c>
      <c r="CJ47" s="57">
        <f t="shared" si="216"/>
        <v>0</v>
      </c>
      <c r="CK47" s="1029">
        <f t="shared" si="377"/>
        <v>0</v>
      </c>
      <c r="CL47" s="57">
        <f t="shared" si="378"/>
        <v>0</v>
      </c>
      <c r="CM47" s="171" t="str">
        <f t="shared" si="379"/>
        <v/>
      </c>
      <c r="CN47" s="57">
        <f t="shared" si="217"/>
        <v>0</v>
      </c>
      <c r="CO47" s="57">
        <f>IF(OR(AND(CC$6=1,$L47=0),AND(CC$6=2,$K47=2,$G47=1)),0,IF(AND(CE$9=2,(OR($F47&gt;1,$K47=1,AND($L47=80,OR($N47=1,AND($N47=2,'#BerechnungDBE'!$AL38&gt;0)))))),IF(CC$4&gt;=$AD$126,0,CM47),IF(CE$9=3,IF(OR(CC$4&gt;=$AD$127,AND($G47=1,$J47=2,CC$6=2),AND(CC$6=1,$N47&lt;&gt;1)),0,IF(CG47&lt;=120,CM47,IF(CC$4&lt;$AD$124,IF($F47=1,60/CE$4*CE$6,60/CE$4*CE$7),IF($F47=1,120/CE$4*CE$6,120/CE$4*CE$7)))),IF(OR($F47=3,$G47=2),IF(OR(AND(CC$4&gt;=$AD$119,$C47=2),AND(CC$4&gt;=$AF$119,$C47=1)),0,IF(CG47&lt;=60,CM47,60/CE$4*CE$7)),IF(AND($F47=2,$G47=1),CM47,0)))))</f>
        <v>0</v>
      </c>
      <c r="CP47" s="57" t="str">
        <f t="shared" si="34"/>
        <v/>
      </c>
      <c r="CQ47" s="57" t="str">
        <f t="shared" si="380"/>
        <v/>
      </c>
      <c r="CR47" s="713">
        <f>'org. Düngung 22'!AB46</f>
        <v>0</v>
      </c>
      <c r="CS47" s="57"/>
      <c r="CT47" s="57"/>
      <c r="CU47" s="57">
        <f t="shared" si="36"/>
        <v>0</v>
      </c>
      <c r="CV47" s="57">
        <f t="shared" si="218"/>
        <v>0</v>
      </c>
      <c r="CW47" s="57">
        <f t="shared" si="219"/>
        <v>0</v>
      </c>
      <c r="CX47" s="57">
        <f t="shared" si="220"/>
        <v>0</v>
      </c>
      <c r="CY47" s="57">
        <f t="shared" si="221"/>
        <v>0</v>
      </c>
      <c r="CZ47" s="1029">
        <f t="shared" si="381"/>
        <v>0</v>
      </c>
      <c r="DA47" s="57">
        <f t="shared" si="382"/>
        <v>0</v>
      </c>
      <c r="DB47" s="171" t="str">
        <f t="shared" si="383"/>
        <v/>
      </c>
      <c r="DC47" s="57">
        <f t="shared" si="222"/>
        <v>0</v>
      </c>
      <c r="DD47" s="57">
        <f>IF(OR(AND(CR$6=1,$L47=0),AND(CR$6=2,$K47=2,$G47=1)),0,IF(AND(CT$9=2,(OR($F47&gt;1,$K47=1,AND($L47=80,OR($N47=1,AND($N47=2,'#BerechnungDBE'!$AL38&gt;0)))))),IF(CR$4&gt;=$AD$126,0,DB47),IF(CT$9=3,IF(OR(CR$4&gt;=$AD$127,AND($G47=1,$J47=2,CR$6=2),AND(CR$6=1,$N47&lt;&gt;1)),0,IF(CV47&lt;=120,DB47,IF(CR$4&lt;$AD$124,IF($F47=1,60/CT$4*CT$6,60/CT$4*CT$7),IF($F47=1,120/CT$4*CT$6,120/CT$4*CT$7)))),IF(OR($F47=3,$G47=2),IF(OR(AND(CR$4&gt;=$AD$119,$C47=2),AND(CR$4&gt;=$AF$119,$C47=1)),0,IF(CV47&lt;=60,DB47,60/CT$4*CT$7)),IF(AND($F47=2,$G47=1),DB47,0)))))</f>
        <v>0</v>
      </c>
      <c r="DE47" s="57" t="str">
        <f t="shared" si="40"/>
        <v/>
      </c>
      <c r="DF47" s="57" t="str">
        <f t="shared" si="384"/>
        <v/>
      </c>
      <c r="DG47" s="713">
        <f>'org. Düngung 22'!AF46</f>
        <v>0</v>
      </c>
      <c r="DH47" s="57"/>
      <c r="DI47" s="57"/>
      <c r="DJ47" s="57">
        <f t="shared" si="42"/>
        <v>0</v>
      </c>
      <c r="DK47" s="57">
        <f t="shared" si="223"/>
        <v>0</v>
      </c>
      <c r="DL47" s="57">
        <f t="shared" si="224"/>
        <v>0</v>
      </c>
      <c r="DM47" s="57">
        <f t="shared" si="225"/>
        <v>0</v>
      </c>
      <c r="DN47" s="57">
        <f t="shared" si="226"/>
        <v>0</v>
      </c>
      <c r="DO47" s="1029">
        <f t="shared" si="385"/>
        <v>0</v>
      </c>
      <c r="DP47" s="57">
        <f t="shared" si="386"/>
        <v>0</v>
      </c>
      <c r="DQ47" s="171" t="str">
        <f t="shared" si="387"/>
        <v/>
      </c>
      <c r="DR47" s="57">
        <f t="shared" si="227"/>
        <v>0</v>
      </c>
      <c r="DS47" s="57">
        <f>IF(OR(AND(DG$6=1,$L47=0),AND(DG$6=2,$K47=2,$G47=1)),0,IF(AND(DI$9=2,(OR($F47&gt;1,$K47=1,AND($L47=80,OR($N47=1,AND($N47=2,'#BerechnungDBE'!$AL38&gt;0)))))),IF(DG$4&gt;=$AD$126,0,DQ47),IF(DI$9=3,IF(OR(DG$4&gt;=$AD$127,AND($G47=1,$J47=2,DG$6=2),AND(DG$6=1,$N47&lt;&gt;1)),0,IF(DK47&lt;=120,DQ47,IF(DG$4&lt;$AD$124,IF($F47=1,60/DI$4*DI$6,60/DI$4*DI$7),IF($F47=1,120/DI$4*DI$6,120/DI$4*DI$7)))),IF(OR($F47=3,$G47=2),IF(OR(AND(DG$4&gt;=$AD$119,$C47=2),AND(DG$4&gt;=$AF$119,$C47=1)),0,IF(DK47&lt;=60,DQ47,60/DI$4*DI$7)),IF(AND($F47=2,$G47=1),DQ47,0)))))</f>
        <v>0</v>
      </c>
      <c r="DT47" s="57" t="str">
        <f t="shared" si="46"/>
        <v/>
      </c>
      <c r="DU47" s="57" t="str">
        <f t="shared" si="388"/>
        <v/>
      </c>
      <c r="DV47" s="713">
        <f>'org. Düngung 22'!AJ46</f>
        <v>0</v>
      </c>
      <c r="DW47" s="57"/>
      <c r="DX47" s="57"/>
      <c r="DY47" s="57">
        <f t="shared" si="48"/>
        <v>0</v>
      </c>
      <c r="DZ47" s="57">
        <f t="shared" si="228"/>
        <v>0</v>
      </c>
      <c r="EA47" s="57">
        <f t="shared" si="229"/>
        <v>0</v>
      </c>
      <c r="EB47" s="57">
        <f t="shared" si="230"/>
        <v>0</v>
      </c>
      <c r="EC47" s="57">
        <f t="shared" si="231"/>
        <v>0</v>
      </c>
      <c r="ED47" s="1029">
        <f t="shared" si="389"/>
        <v>0</v>
      </c>
      <c r="EE47" s="57">
        <f t="shared" si="390"/>
        <v>0</v>
      </c>
      <c r="EF47" s="171" t="str">
        <f t="shared" si="391"/>
        <v/>
      </c>
      <c r="EG47" s="57">
        <f t="shared" si="232"/>
        <v>0</v>
      </c>
      <c r="EH47" s="57">
        <f>IF(OR(AND(DV$6=1,$L47=0),AND(DV$6=2,$K47=2,$G47=1)),0,IF(AND(DX$9=2,(OR($F47&gt;1,$K47=1,AND($L47=80,OR($N47=1,AND($N47=2,'#BerechnungDBE'!$AL38&gt;0)))))),IF(DV$4&gt;=$AD$126,0,EF47),IF(DX$9=3,IF(OR(DV$4&gt;=$AD$127,AND($G47=1,$J47=2,DV$6=2),AND(DV$6=1,$N47&lt;&gt;1)),0,IF(DZ47&lt;=120,EF47,IF(DV$4&lt;$AD$124,IF($F47=1,60/DX$4*DX$6,60/DX$4*DX$7),IF($F47=1,120/DX$4*DX$6,120/DX$4*DX$7)))),IF(OR($F47=3,$G47=2),IF(OR(AND(DV$4&gt;=$AD$119,$C47=2),AND(DV$4&gt;=$AF$119,$C47=1)),0,IF(DZ47&lt;=60,EF47,60/DX$4*DX$7)),IF(AND($F47=2,$G47=1),EF47,0)))))</f>
        <v>0</v>
      </c>
      <c r="EI47" s="57" t="str">
        <f t="shared" si="52"/>
        <v/>
      </c>
      <c r="EJ47" s="57" t="str">
        <f t="shared" si="392"/>
        <v/>
      </c>
      <c r="EK47" s="713">
        <f>'org. Düngung 22'!AN46</f>
        <v>0</v>
      </c>
      <c r="EL47" s="57"/>
      <c r="EM47" s="57"/>
      <c r="EN47" s="57">
        <f t="shared" si="54"/>
        <v>0</v>
      </c>
      <c r="EO47" s="57">
        <f t="shared" si="233"/>
        <v>0</v>
      </c>
      <c r="EP47" s="57">
        <f t="shared" si="234"/>
        <v>0</v>
      </c>
      <c r="EQ47" s="57">
        <f t="shared" si="235"/>
        <v>0</v>
      </c>
      <c r="ER47" s="57">
        <f t="shared" si="236"/>
        <v>0</v>
      </c>
      <c r="ES47" s="1029">
        <f t="shared" si="393"/>
        <v>0</v>
      </c>
      <c r="ET47" s="57">
        <f t="shared" si="394"/>
        <v>0</v>
      </c>
      <c r="EU47" s="171" t="str">
        <f t="shared" si="395"/>
        <v/>
      </c>
      <c r="EV47" s="57">
        <f t="shared" si="237"/>
        <v>0</v>
      </c>
      <c r="EW47" s="57">
        <f>IF(OR(AND(EK$6=1,$L47=0),AND(EK$6=2,$K47=2,$G47=1)),0,IF(AND(EM$9=2,(OR($F47&gt;1,$K47=1,AND($L47=80,OR($N47=1,AND($N47=2,'#BerechnungDBE'!$AL38&gt;0)))))),IF(EK$4&gt;=$AD$126,0,EU47),IF(EM$9=3,IF(OR(EK$4&gt;=$AD$127,AND($G47=1,$J47=2,EK$6=2),AND(EK$6=1,$N47&lt;&gt;1)),0,IF(EO47&lt;=120,EU47,IF(EK$4&lt;$AD$124,IF($F47=1,60/EM$4*EM$6,60/EM$4*EM$7),IF($F47=1,120/EM$4*EM$6,120/EM$4*EM$7)))),IF(OR($F47=3,$G47=2),IF(OR(AND(EK$4&gt;=$AD$119,$C47=2),AND(EK$4&gt;=$AF$119,$C47=1)),0,IF(EO47&lt;=60,EU47,60/EM$4*EM$7)),IF(AND($F47=2,$G47=1),EU47,0)))))</f>
        <v>0</v>
      </c>
      <c r="EX47" s="57" t="str">
        <f t="shared" si="58"/>
        <v/>
      </c>
      <c r="EY47" s="57" t="str">
        <f t="shared" si="396"/>
        <v/>
      </c>
      <c r="EZ47" s="713">
        <f>'org. Düngung 22'!AR46</f>
        <v>0</v>
      </c>
      <c r="FA47" s="57"/>
      <c r="FB47" s="57"/>
      <c r="FC47" s="57">
        <f t="shared" si="60"/>
        <v>0</v>
      </c>
      <c r="FD47" s="57">
        <f t="shared" si="238"/>
        <v>0</v>
      </c>
      <c r="FE47" s="57">
        <f t="shared" si="239"/>
        <v>0</v>
      </c>
      <c r="FF47" s="57">
        <f t="shared" si="240"/>
        <v>0</v>
      </c>
      <c r="FG47" s="57">
        <f t="shared" si="241"/>
        <v>0</v>
      </c>
      <c r="FH47" s="1029">
        <f t="shared" si="397"/>
        <v>0</v>
      </c>
      <c r="FI47" s="57">
        <f t="shared" si="398"/>
        <v>0</v>
      </c>
      <c r="FJ47" s="171" t="str">
        <f t="shared" si="399"/>
        <v/>
      </c>
      <c r="FK47" s="57">
        <f t="shared" si="242"/>
        <v>0</v>
      </c>
      <c r="FL47" s="57">
        <f>IF(OR(AND(EZ$6=1,$L47=0),AND(EZ$6=2,$K47=2,$G47=1)),0,IF(AND(FB$9=2,(OR($F47&gt;1,$K47=1,AND($L47=80,OR($N47=1,AND($N47=2,'#BerechnungDBE'!$AL38&gt;0)))))),IF(EZ$4&gt;=$AD$126,0,FJ47),IF(FB$9=3,IF(OR(EZ$4&gt;=$AD$127,AND($G47=1,$J47=2,EZ$6=2),AND(EZ$6=1,$N47&lt;&gt;1)),0,IF(FD47&lt;=120,FJ47,IF(EZ$4&lt;$AD$124,IF($F47=1,60/FB$4*FB$6,60/FB$4*FB$7),IF($F47=1,120/FB$4*FB$6,120/FB$4*FB$7)))),IF(OR($F47=3,$G47=2),IF(OR(AND(EZ$4&gt;=$AD$119,$C47=2),AND(EZ$4&gt;=$AF$119,$C47=1)),0,IF(FD47&lt;=60,FJ47,60/FB$4*FB$7)),IF(AND($F47=2,$G47=1),FJ47,0)))))</f>
        <v>0</v>
      </c>
      <c r="FM47" s="57" t="str">
        <f t="shared" si="64"/>
        <v/>
      </c>
      <c r="FN47" s="57" t="str">
        <f t="shared" si="400"/>
        <v/>
      </c>
      <c r="FO47" s="713">
        <f>'org. Düngung 22'!AV46</f>
        <v>0</v>
      </c>
      <c r="FP47" s="57"/>
      <c r="FQ47" s="57"/>
      <c r="FR47" s="57">
        <f t="shared" si="66"/>
        <v>0</v>
      </c>
      <c r="FS47" s="57">
        <f t="shared" si="243"/>
        <v>0</v>
      </c>
      <c r="FT47" s="57">
        <f t="shared" si="244"/>
        <v>0</v>
      </c>
      <c r="FU47" s="57">
        <f t="shared" si="245"/>
        <v>0</v>
      </c>
      <c r="FV47" s="57">
        <f t="shared" si="246"/>
        <v>0</v>
      </c>
      <c r="FW47" s="1029">
        <f t="shared" si="401"/>
        <v>0</v>
      </c>
      <c r="FX47" s="57">
        <f t="shared" si="402"/>
        <v>0</v>
      </c>
      <c r="FY47" s="171" t="str">
        <f t="shared" si="403"/>
        <v/>
      </c>
      <c r="FZ47" s="57">
        <f t="shared" si="247"/>
        <v>0</v>
      </c>
      <c r="GA47" s="57">
        <f>IF(OR(AND(FO$6=1,$L47=0),AND(FO$6=2,$K47=2,$G47=1)),0,IF(AND(FQ$9=2,(OR($F47&gt;1,$K47=1,AND($L47=80,OR($N47=1,AND($N47=2,'#BerechnungDBE'!$AL38&gt;0)))))),IF(FO$4&gt;=$AD$126,0,FY47),IF(FQ$9=3,IF(OR(FO$4&gt;=$AD$127,AND($G47=1,$J47=2,FO$6=2),AND(FO$6=1,$N47&lt;&gt;1)),0,IF(FS47&lt;=120,FY47,IF(FO$4&lt;$AD$124,IF($F47=1,60/FQ$4*FQ$6,60/FQ$4*FQ$7),IF($F47=1,120/FQ$4*FQ$6,120/FQ$4*FQ$7)))),IF(OR($F47=3,$G47=2),IF(OR(AND(FO$4&gt;=$AD$119,$C47=2),AND(FO$4&gt;=$AF$119,$C47=1)),0,IF(FS47&lt;=60,FY47,60/FQ$4*FQ$7)),IF(AND($F47=2,$G47=1),FY47,0)))))</f>
        <v>0</v>
      </c>
      <c r="GB47" s="57" t="str">
        <f t="shared" si="70"/>
        <v/>
      </c>
      <c r="GC47" s="57" t="str">
        <f t="shared" si="404"/>
        <v/>
      </c>
      <c r="GD47" s="713">
        <f>'org. Düngung 22'!AZ46</f>
        <v>0</v>
      </c>
      <c r="GE47" s="57"/>
      <c r="GF47" s="57"/>
      <c r="GG47" s="57">
        <f t="shared" si="72"/>
        <v>0</v>
      </c>
      <c r="GH47" s="57">
        <f t="shared" si="248"/>
        <v>0</v>
      </c>
      <c r="GI47" s="57">
        <f t="shared" si="249"/>
        <v>0</v>
      </c>
      <c r="GJ47" s="57">
        <f t="shared" si="250"/>
        <v>0</v>
      </c>
      <c r="GK47" s="57">
        <f t="shared" si="251"/>
        <v>0</v>
      </c>
      <c r="GL47" s="1029">
        <f t="shared" si="405"/>
        <v>0</v>
      </c>
      <c r="GM47" s="57">
        <f t="shared" si="406"/>
        <v>0</v>
      </c>
      <c r="GN47" s="171" t="str">
        <f t="shared" si="407"/>
        <v/>
      </c>
      <c r="GO47" s="57">
        <f t="shared" si="252"/>
        <v>0</v>
      </c>
      <c r="GP47" s="57">
        <f>IF(OR(AND(GD$6=1,$L47=0),AND(GD$6=2,$K47=2,$G47=1)),0,IF(AND(GF$9=2,(OR($F47&gt;1,$K47=1,AND($L47=80,OR($N47=1,AND($N47=2,'#BerechnungDBE'!$AL38&gt;0)))))),IF(GD$4&gt;=$AD$126,0,GN47),IF(GF$9=3,IF(OR(GD$4&gt;=$AD$127,AND($G47=1,$J47=2,GD$6=2),AND(GD$6=1,$N47&lt;&gt;1)),0,IF(GH47&lt;=120,GN47,IF(GD$4&lt;$AD$124,IF($F47=1,60/GF$4*GF$6,60/GF$4*GF$7),IF($F47=1,120/GF$4*GF$6,120/GF$4*GF$7)))),IF(OR($F47=3,$G47=2),IF(OR(AND(GD$4&gt;=$AD$119,$C47=2),AND(GD$4&gt;=$AF$119,$C47=1)),0,IF(GH47&lt;=60,GN47,60/GF$4*GF$7)),IF(AND($F47=2,$G47=1),GN47,0)))))</f>
        <v>0</v>
      </c>
      <c r="GQ47" s="57" t="str">
        <f t="shared" si="76"/>
        <v/>
      </c>
      <c r="GR47" s="57" t="str">
        <f t="shared" si="408"/>
        <v/>
      </c>
      <c r="GS47" s="713">
        <f>'org. Düngung 22'!BD46</f>
        <v>0</v>
      </c>
      <c r="GT47" s="57"/>
      <c r="GU47" s="57"/>
      <c r="GV47" s="57">
        <f t="shared" si="78"/>
        <v>0</v>
      </c>
      <c r="GW47" s="57">
        <f t="shared" si="253"/>
        <v>0</v>
      </c>
      <c r="GX47" s="57">
        <f t="shared" si="254"/>
        <v>0</v>
      </c>
      <c r="GY47" s="57">
        <f t="shared" si="255"/>
        <v>0</v>
      </c>
      <c r="GZ47" s="57">
        <f t="shared" si="256"/>
        <v>0</v>
      </c>
      <c r="HA47" s="1029">
        <f t="shared" si="409"/>
        <v>0</v>
      </c>
      <c r="HB47" s="57">
        <f t="shared" si="410"/>
        <v>0</v>
      </c>
      <c r="HC47" s="171" t="str">
        <f t="shared" si="411"/>
        <v/>
      </c>
      <c r="HD47" s="57">
        <f t="shared" si="257"/>
        <v>0</v>
      </c>
      <c r="HE47" s="57">
        <f>IF(OR(AND(GS$6=1,$L47=0),AND(GS$6=2,$K47=2,$G47=1)),0,IF(AND(GU$9=2,(OR($F47&gt;1,$K47=1,AND($L47=80,OR($N47=1,AND($N47=2,'#BerechnungDBE'!$AL38&gt;0)))))),IF(GS$4&gt;=$AD$126,0,HC47),IF(GU$9=3,IF(OR(GS$4&gt;=$AD$127,AND($G47=1,$J47=2,GS$6=2),AND(GS$6=1,$N47&lt;&gt;1)),0,IF(GW47&lt;=120,HC47,IF(GS$4&lt;$AD$124,IF($F47=1,60/GU$4*GU$6,60/GU$4*GU$7),IF($F47=1,120/GU$4*GU$6,120/GU$4*GU$7)))),IF(OR($F47=3,$G47=2),IF(OR(AND(GS$4&gt;=$AD$119,$C47=2),AND(GS$4&gt;=$AF$119,$C47=1)),0,IF(GW47&lt;=60,HC47,60/GU$4*GU$7)),IF(AND($F47=2,$G47=1),HC47,0)))))</f>
        <v>0</v>
      </c>
      <c r="HF47" s="57" t="str">
        <f t="shared" si="82"/>
        <v/>
      </c>
      <c r="HG47" s="57" t="str">
        <f t="shared" si="412"/>
        <v/>
      </c>
      <c r="HH47" s="713">
        <f>'org. Düngung 22'!BH46</f>
        <v>0</v>
      </c>
      <c r="HI47" s="57"/>
      <c r="HJ47" s="57"/>
      <c r="HK47" s="57">
        <f t="shared" si="84"/>
        <v>0</v>
      </c>
      <c r="HL47" s="57">
        <f t="shared" si="258"/>
        <v>0</v>
      </c>
      <c r="HM47" s="57">
        <f t="shared" si="259"/>
        <v>0</v>
      </c>
      <c r="HN47" s="57">
        <f t="shared" si="260"/>
        <v>0</v>
      </c>
      <c r="HO47" s="57">
        <f t="shared" si="261"/>
        <v>0</v>
      </c>
      <c r="HP47" s="1029">
        <f t="shared" si="413"/>
        <v>0</v>
      </c>
      <c r="HQ47" s="57">
        <f t="shared" si="414"/>
        <v>0</v>
      </c>
      <c r="HR47" s="171" t="str">
        <f t="shared" si="415"/>
        <v/>
      </c>
      <c r="HS47" s="57">
        <f t="shared" si="262"/>
        <v>0</v>
      </c>
      <c r="HT47" s="57">
        <f>IF(OR(AND(HH$6=1,$L47=0),AND(HH$6=2,$K47=2,$G47=1)),0,IF(AND(HJ$9=2,(OR($F47&gt;1,$K47=1,AND($L47=80,OR($N47=1,AND($N47=2,'#BerechnungDBE'!$AL38&gt;0)))))),IF(HH$4&gt;=$AD$126,0,HR47),IF(HJ$9=3,IF(OR(HH$4&gt;=$AD$127,AND($G47=1,$J47=2,HH$6=2),AND(HH$6=1,$N47&lt;&gt;1)),0,IF(HL47&lt;=120,HR47,IF(HH$4&lt;$AD$124,IF($F47=1,60/HJ$4*HJ$6,60/HJ$4*HJ$7),IF($F47=1,120/HJ$4*HJ$6,120/HJ$4*HJ$7)))),IF(OR($F47=3,$G47=2),IF(OR(AND(HH$4&gt;=$AD$119,$C47=2),AND(HH$4&gt;=$AF$119,$C47=1)),0,IF(HL47&lt;=60,HR47,60/HJ$4*HJ$7)),IF(AND($F47=2,$G47=1),HR47,0)))))</f>
        <v>0</v>
      </c>
      <c r="HU47" s="57" t="str">
        <f t="shared" si="88"/>
        <v/>
      </c>
      <c r="HV47" s="57" t="str">
        <f t="shared" si="416"/>
        <v/>
      </c>
      <c r="HW47" s="713">
        <f>'org. Düngung 22'!BL46</f>
        <v>0</v>
      </c>
      <c r="HX47" s="57"/>
      <c r="HY47" s="57"/>
      <c r="HZ47" s="57">
        <f t="shared" si="90"/>
        <v>0</v>
      </c>
      <c r="IA47" s="57">
        <f t="shared" si="263"/>
        <v>0</v>
      </c>
      <c r="IB47" s="57">
        <f t="shared" si="264"/>
        <v>0</v>
      </c>
      <c r="IC47" s="57">
        <f t="shared" si="265"/>
        <v>0</v>
      </c>
      <c r="ID47" s="57">
        <f t="shared" si="266"/>
        <v>0</v>
      </c>
      <c r="IE47" s="1029">
        <f t="shared" si="417"/>
        <v>0</v>
      </c>
      <c r="IF47" s="57">
        <f t="shared" si="418"/>
        <v>0</v>
      </c>
      <c r="IG47" s="171" t="str">
        <f t="shared" si="419"/>
        <v/>
      </c>
      <c r="IH47" s="57">
        <f t="shared" si="267"/>
        <v>0</v>
      </c>
      <c r="II47" s="57">
        <f>IF(OR(AND(HW$6=1,$L47=0),AND(HW$6=2,$K47=2,$G47=1)),0,IF(AND(HY$9=2,(OR($F47&gt;1,$K47=1,AND($L47=80,OR($N47=1,AND($N47=2,'#BerechnungDBE'!$AL38&gt;0)))))),IF(HW$4&gt;=$AD$126,0,IG47),IF(HY$9=3,IF(OR(HW$4&gt;=$AD$127,AND($G47=1,$J47=2,HW$6=2),AND(HW$6=1,$N47&lt;&gt;1)),0,IF(IA47&lt;=120,IG47,IF(HW$4&lt;$AD$124,IF($F47=1,60/HY$4*HY$6,60/HY$4*HY$7),IF($F47=1,120/HY$4*HY$6,120/HY$4*HY$7)))),IF(OR($F47=3,$G47=2),IF(OR(AND(HW$4&gt;=$AD$119,$C47=2),AND(HW$4&gt;=$AF$119,$C47=1)),0,IF(IA47&lt;=60,IG47,60/HY$4*HY$7)),IF(AND($F47=2,$G47=1),IG47,0)))))</f>
        <v>0</v>
      </c>
      <c r="IJ47" s="57" t="str">
        <f t="shared" si="94"/>
        <v/>
      </c>
      <c r="IK47" s="57" t="str">
        <f t="shared" si="420"/>
        <v/>
      </c>
      <c r="IL47" s="713">
        <f>'org. Düngung 22'!BP46</f>
        <v>0</v>
      </c>
      <c r="IM47" s="57"/>
      <c r="IN47" s="57"/>
      <c r="IO47" s="57">
        <f t="shared" si="96"/>
        <v>0</v>
      </c>
      <c r="IP47" s="57">
        <f t="shared" si="268"/>
        <v>0</v>
      </c>
      <c r="IQ47" s="57">
        <f t="shared" si="269"/>
        <v>0</v>
      </c>
      <c r="IR47" s="57">
        <f t="shared" si="270"/>
        <v>0</v>
      </c>
      <c r="IS47" s="57">
        <f t="shared" si="271"/>
        <v>0</v>
      </c>
      <c r="IT47" s="1029">
        <f t="shared" si="421"/>
        <v>0</v>
      </c>
      <c r="IU47" s="57">
        <f t="shared" si="422"/>
        <v>0</v>
      </c>
      <c r="IV47" s="171" t="str">
        <f t="shared" si="423"/>
        <v/>
      </c>
      <c r="IW47" s="57">
        <f t="shared" si="272"/>
        <v>0</v>
      </c>
      <c r="IX47" s="57">
        <f>IF(OR(AND(IL$6=1,$L47=0),AND(IL$6=2,$K47=2,$G47=1)),0,IF(AND(IN$9=2,(OR($F47&gt;1,$K47=1,AND($L47=80,OR($N47=1,AND($N47=2,'#BerechnungDBE'!$AL38&gt;0)))))),IF(IL$4&gt;=$AD$126,0,IV47),IF(IN$9=3,IF(OR(IL$4&gt;=$AD$127,AND($G47=1,$J47=2,IL$6=2),AND(IL$6=1,$N47&lt;&gt;1)),0,IF(IP47&lt;=120,IV47,IF(IL$4&lt;$AD$124,IF($F47=1,60/IN$4*IN$6,60/IN$4*IN$7),IF($F47=1,120/IN$4*IN$6,120/IN$4*IN$7)))),IF(OR($F47=3,$G47=2),IF(OR(AND(IL$4&gt;=$AD$119,$C47=2),AND(IL$4&gt;=$AF$119,$C47=1)),0,IF(IP47&lt;=60,IV47,60/IN$4*IN$7)),IF(AND($F47=2,$G47=1),IV47,0)))))</f>
        <v>0</v>
      </c>
      <c r="IY47" s="57" t="str">
        <f t="shared" si="100"/>
        <v/>
      </c>
      <c r="IZ47" s="57" t="str">
        <f t="shared" si="424"/>
        <v/>
      </c>
      <c r="JA47" s="713">
        <f>'org. Düngung 22'!BT46</f>
        <v>0</v>
      </c>
      <c r="JB47" s="57"/>
      <c r="JC47" s="57"/>
      <c r="JD47" s="57">
        <f t="shared" si="102"/>
        <v>0</v>
      </c>
      <c r="JE47" s="57">
        <f t="shared" si="273"/>
        <v>0</v>
      </c>
      <c r="JF47" s="57">
        <f t="shared" si="274"/>
        <v>0</v>
      </c>
      <c r="JG47" s="57">
        <f t="shared" si="275"/>
        <v>0</v>
      </c>
      <c r="JH47" s="57">
        <f t="shared" si="276"/>
        <v>0</v>
      </c>
      <c r="JI47" s="1029">
        <f t="shared" si="425"/>
        <v>0</v>
      </c>
      <c r="JJ47" s="57">
        <f t="shared" si="426"/>
        <v>0</v>
      </c>
      <c r="JK47" s="171" t="str">
        <f t="shared" si="427"/>
        <v/>
      </c>
      <c r="JL47" s="57">
        <f t="shared" si="277"/>
        <v>0</v>
      </c>
      <c r="JM47" s="57">
        <f>IF(OR(AND(JA$6=1,$L47=0),AND(JA$6=2,$K47=2,$G47=1)),0,IF(AND(JC$9=2,(OR($F47&gt;1,$K47=1,AND($L47=80,OR($N47=1,AND($N47=2,'#BerechnungDBE'!$AL38&gt;0)))))),IF(JA$4&gt;=$AD$126,0,JK47),IF(JC$9=3,IF(OR(JA$4&gt;=$AD$127,AND($G47=1,$J47=2,JA$6=2),AND(JA$6=1,$N47&lt;&gt;1)),0,IF(JE47&lt;=120,JK47,IF(JA$4&lt;$AD$124,IF($F47=1,60/JC$4*JC$6,60/JC$4*JC$7),IF($F47=1,120/JC$4*JC$6,120/JC$4*JC$7)))),IF(OR($F47=3,$G47=2),IF(OR(AND(JA$4&gt;=$AD$119,$C47=2),AND(JA$4&gt;=$AF$119,$C47=1)),0,IF(JE47&lt;=60,JK47,60/JC$4*JC$7)),IF(AND($F47=2,$G47=1),JK47,0)))))</f>
        <v>0</v>
      </c>
      <c r="JN47" s="57" t="str">
        <f t="shared" si="106"/>
        <v/>
      </c>
      <c r="JO47" s="57" t="str">
        <f t="shared" si="428"/>
        <v/>
      </c>
      <c r="JP47" s="713">
        <f>'org. Düngung 22'!BX46</f>
        <v>0</v>
      </c>
      <c r="JQ47" s="57"/>
      <c r="JR47" s="57"/>
      <c r="JS47" s="57">
        <f t="shared" si="108"/>
        <v>0</v>
      </c>
      <c r="JT47" s="57">
        <f t="shared" si="278"/>
        <v>0</v>
      </c>
      <c r="JU47" s="57">
        <f t="shared" si="279"/>
        <v>0</v>
      </c>
      <c r="JV47" s="57">
        <f t="shared" si="280"/>
        <v>0</v>
      </c>
      <c r="JW47" s="57">
        <f t="shared" si="281"/>
        <v>0</v>
      </c>
      <c r="JX47" s="1029">
        <f t="shared" si="429"/>
        <v>0</v>
      </c>
      <c r="JY47" s="57">
        <f t="shared" si="430"/>
        <v>0</v>
      </c>
      <c r="JZ47" s="171" t="str">
        <f t="shared" si="431"/>
        <v/>
      </c>
      <c r="KA47" s="57">
        <f t="shared" si="282"/>
        <v>0</v>
      </c>
      <c r="KB47" s="57">
        <f>IF(OR(AND(JP$6=1,$L47=0),AND(JP$6=2,$K47=2,$G47=1)),0,IF(AND(JR$9=2,(OR($F47&gt;1,$K47=1,AND($L47=80,OR($N47=1,AND($N47=2,'#BerechnungDBE'!$AL38&gt;0)))))),IF(JP$4&gt;=$AD$126,0,JZ47),IF(JR$9=3,IF(OR(JP$4&gt;=$AD$127,AND($G47=1,$J47=2,JP$6=2),AND(JP$6=1,$N47&lt;&gt;1)),0,IF(JT47&lt;=120,JZ47,IF(JP$4&lt;$AD$124,IF($F47=1,60/JR$4*JR$6,60/JR$4*JR$7),IF($F47=1,120/JR$4*JR$6,120/JR$4*JR$7)))),IF(OR($F47=3,$G47=2),IF(OR(AND(JP$4&gt;=$AD$119,$C47=2),AND(JP$4&gt;=$AF$119,$C47=1)),0,IF(JT47&lt;=60,JZ47,60/JR$4*JR$7)),IF(AND($F47=2,$G47=1),JZ47,0)))))</f>
        <v>0</v>
      </c>
      <c r="KC47" s="57" t="str">
        <f t="shared" si="112"/>
        <v/>
      </c>
      <c r="KD47" s="57" t="str">
        <f t="shared" si="432"/>
        <v/>
      </c>
      <c r="KE47" s="713">
        <f>'org. Düngung 22'!CB46</f>
        <v>0</v>
      </c>
      <c r="KF47" s="57"/>
      <c r="KG47" s="57"/>
      <c r="KH47" s="57">
        <f t="shared" si="114"/>
        <v>0</v>
      </c>
      <c r="KI47" s="57">
        <f t="shared" si="283"/>
        <v>0</v>
      </c>
      <c r="KJ47" s="57">
        <f t="shared" si="284"/>
        <v>0</v>
      </c>
      <c r="KK47" s="57">
        <f t="shared" si="285"/>
        <v>0</v>
      </c>
      <c r="KL47" s="57">
        <f t="shared" si="286"/>
        <v>0</v>
      </c>
      <c r="KM47" s="1029">
        <f t="shared" si="433"/>
        <v>0</v>
      </c>
      <c r="KN47" s="57">
        <f t="shared" si="434"/>
        <v>0</v>
      </c>
      <c r="KO47" s="171" t="str">
        <f t="shared" si="435"/>
        <v/>
      </c>
      <c r="KP47" s="57">
        <f t="shared" si="287"/>
        <v>0</v>
      </c>
      <c r="KQ47" s="57">
        <f>IF(OR(AND(KE$6=1,$L47=0),AND(KE$6=2,$K47=2,$G47=1)),0,IF(AND(KG$9=2,(OR($F47&gt;1,$K47=1,AND($L47=80,OR($N47=1,AND($N47=2,'#BerechnungDBE'!$AL38&gt;0)))))),IF(KE$4&gt;=$AD$126,0,KO47),IF(KG$9=3,IF(OR(KE$4&gt;=$AD$127,AND($G47=1,$J47=2,KE$6=2),AND(KE$6=1,$N47&lt;&gt;1)),0,IF(KI47&lt;=120,KO47,IF(KE$4&lt;$AD$124,IF($F47=1,60/KG$4*KG$6,60/KG$4*KG$7),IF($F47=1,120/KG$4*KG$6,120/KG$4*KG$7)))),IF(OR($F47=3,$G47=2),IF(OR(AND(KE$4&gt;=$AD$119,$C47=2),AND(KE$4&gt;=$AF$119,$C47=1)),0,IF(KI47&lt;=60,KO47,60/KG$4*KG$7)),IF(AND($F47=2,$G47=1),KO47,0)))))</f>
        <v>0</v>
      </c>
      <c r="KR47" s="57" t="str">
        <f t="shared" si="118"/>
        <v/>
      </c>
      <c r="KS47" s="57" t="str">
        <f t="shared" si="436"/>
        <v/>
      </c>
      <c r="KT47" s="713">
        <f>'org. Düngung 22'!CF46</f>
        <v>0</v>
      </c>
      <c r="KU47" s="57"/>
      <c r="KV47" s="57"/>
      <c r="KW47" s="57">
        <f t="shared" si="120"/>
        <v>0</v>
      </c>
      <c r="KX47" s="57">
        <f t="shared" si="288"/>
        <v>0</v>
      </c>
      <c r="KY47" s="57">
        <f t="shared" si="289"/>
        <v>0</v>
      </c>
      <c r="KZ47" s="57">
        <f t="shared" si="290"/>
        <v>0</v>
      </c>
      <c r="LA47" s="57">
        <f t="shared" si="291"/>
        <v>0</v>
      </c>
      <c r="LB47" s="1029">
        <f t="shared" si="437"/>
        <v>0</v>
      </c>
      <c r="LC47" s="57">
        <f t="shared" si="438"/>
        <v>0</v>
      </c>
      <c r="LD47" s="171" t="str">
        <f t="shared" si="439"/>
        <v/>
      </c>
      <c r="LE47" s="57">
        <f t="shared" si="292"/>
        <v>0</v>
      </c>
      <c r="LF47" s="57">
        <f>IF(OR(AND(KT$6=1,$L47=0),AND(KT$6=2,$K47=2,$G47=1)),0,IF(AND(KV$9=2,(OR($F47&gt;1,$K47=1,AND($L47=80,OR($N47=1,AND($N47=2,'#BerechnungDBE'!$AL38&gt;0)))))),IF(KT$4&gt;=$AD$126,0,LD47),IF(KV$9=3,IF(OR(KT$4&gt;=$AD$127,AND($G47=1,$J47=2,KT$6=2),AND(KT$6=1,$N47&lt;&gt;1)),0,IF(KX47&lt;=120,LD47,IF(KT$4&lt;$AD$124,IF($F47=1,60/KV$4*KV$6,60/KV$4*KV$7),IF($F47=1,120/KV$4*KV$6,120/KV$4*KV$7)))),IF(OR($F47=3,$G47=2),IF(OR(AND(KT$4&gt;=$AD$119,$C47=2),AND(KT$4&gt;=$AF$119,$C47=1)),0,IF(KX47&lt;=60,LD47,60/KV$4*KV$7)),IF(AND($F47=2,$G47=1),LD47,0)))))</f>
        <v>0</v>
      </c>
      <c r="LG47" s="57" t="str">
        <f t="shared" si="124"/>
        <v/>
      </c>
      <c r="LH47" s="57" t="str">
        <f t="shared" si="440"/>
        <v/>
      </c>
      <c r="LI47" s="713">
        <f>'org. Düngung 22'!CJ46</f>
        <v>0</v>
      </c>
      <c r="LJ47" s="57"/>
      <c r="LK47" s="57"/>
      <c r="LL47" s="57">
        <f t="shared" si="126"/>
        <v>0</v>
      </c>
      <c r="LM47" s="57">
        <f t="shared" si="293"/>
        <v>0</v>
      </c>
      <c r="LN47" s="57">
        <f t="shared" si="294"/>
        <v>0</v>
      </c>
      <c r="LO47" s="57">
        <f t="shared" si="295"/>
        <v>0</v>
      </c>
      <c r="LP47" s="57">
        <f t="shared" si="296"/>
        <v>0</v>
      </c>
      <c r="LQ47" s="1029">
        <f t="shared" si="441"/>
        <v>0</v>
      </c>
      <c r="LR47" s="57">
        <f t="shared" si="442"/>
        <v>0</v>
      </c>
      <c r="LS47" s="171" t="str">
        <f t="shared" si="443"/>
        <v/>
      </c>
      <c r="LT47" s="57">
        <f t="shared" si="297"/>
        <v>0</v>
      </c>
      <c r="LU47" s="57">
        <f>IF(OR(AND(LI$6=1,$L47=0),AND(LI$6=2,$K47=2,$G47=1)),0,IF(AND(LK$9=2,(OR($F47&gt;1,$K47=1,AND($L47=80,OR($N47=1,AND($N47=2,'#BerechnungDBE'!$AL38&gt;0)))))),IF(LI$4&gt;=$AD$126,0,LS47),IF(LK$9=3,IF(OR(LI$4&gt;=$AD$127,AND($G47=1,$J47=2,LI$6=2),AND(LI$6=1,$N47&lt;&gt;1)),0,IF(LM47&lt;=120,LS47,IF(LI$4&lt;$AD$124,IF($F47=1,60/LK$4*LK$6,60/LK$4*LK$7),IF($F47=1,120/LK$4*LK$6,120/LK$4*LK$7)))),IF(OR($F47=3,$G47=2),IF(OR(AND(LI$4&gt;=$AD$119,$C47=2),AND(LI$4&gt;=$AF$119,$C47=1)),0,IF(LM47&lt;=60,LS47,60/LK$4*LK$7)),IF(AND($F47=2,$G47=1),LS47,0)))))</f>
        <v>0</v>
      </c>
      <c r="LV47" s="57" t="str">
        <f t="shared" si="130"/>
        <v/>
      </c>
      <c r="LW47" s="57" t="str">
        <f t="shared" si="444"/>
        <v/>
      </c>
      <c r="LX47" s="713">
        <f>'org. Düngung 22'!CN46</f>
        <v>0</v>
      </c>
      <c r="LY47" s="57"/>
      <c r="LZ47" s="57"/>
      <c r="MA47" s="57">
        <f t="shared" si="132"/>
        <v>0</v>
      </c>
      <c r="MB47" s="57">
        <f t="shared" si="298"/>
        <v>0</v>
      </c>
      <c r="MC47" s="57">
        <f t="shared" si="299"/>
        <v>0</v>
      </c>
      <c r="MD47" s="57">
        <f t="shared" si="300"/>
        <v>0</v>
      </c>
      <c r="ME47" s="57">
        <f t="shared" si="301"/>
        <v>0</v>
      </c>
      <c r="MF47" s="1029">
        <f t="shared" si="445"/>
        <v>0</v>
      </c>
      <c r="MG47" s="57">
        <f t="shared" si="446"/>
        <v>0</v>
      </c>
      <c r="MH47" s="171" t="str">
        <f t="shared" si="447"/>
        <v/>
      </c>
      <c r="MI47" s="57">
        <f t="shared" si="302"/>
        <v>0</v>
      </c>
      <c r="MJ47" s="57">
        <f>IF(OR(AND(LX$6=1,$L47=0),AND(LX$6=2,$K47=2,$G47=1)),0,IF(AND(LZ$9=2,(OR($F47&gt;1,$K47=1,AND($L47=80,OR($N47=1,AND($N47=2,'#BerechnungDBE'!$AL38&gt;0)))))),IF(LX$4&gt;=$AD$126,0,MH47),IF(LZ$9=3,IF(OR(LX$4&gt;=$AD$127,AND($G47=1,$J47=2,LX$6=2),AND(LX$6=1,$N47&lt;&gt;1)),0,IF(MB47&lt;=120,MH47,IF(LX$4&lt;$AD$124,IF($F47=1,60/LZ$4*LZ$6,60/LZ$4*LZ$7),IF($F47=1,120/LZ$4*LZ$6,120/LZ$4*LZ$7)))),IF(OR($F47=3,$G47=2),IF(OR(AND(LX$4&gt;=$AD$119,$C47=2),AND(LX$4&gt;=$AF$119,$C47=1)),0,IF(MB47&lt;=60,MH47,60/LZ$4*LZ$7)),IF(AND($F47=2,$G47=1),MH47,0)))))</f>
        <v>0</v>
      </c>
      <c r="MK47" s="57" t="str">
        <f t="shared" si="136"/>
        <v/>
      </c>
      <c r="ML47" s="57" t="str">
        <f t="shared" si="448"/>
        <v/>
      </c>
      <c r="MM47" s="713">
        <f>'org. Düngung 22'!CR46</f>
        <v>0</v>
      </c>
      <c r="MN47" s="57"/>
      <c r="MO47" s="57"/>
      <c r="MP47" s="57">
        <f t="shared" si="138"/>
        <v>0</v>
      </c>
      <c r="MQ47" s="57">
        <f t="shared" si="303"/>
        <v>0</v>
      </c>
      <c r="MR47" s="57">
        <f t="shared" si="304"/>
        <v>0</v>
      </c>
      <c r="MS47" s="57">
        <f t="shared" si="305"/>
        <v>0</v>
      </c>
      <c r="MT47" s="57">
        <f t="shared" si="306"/>
        <v>0</v>
      </c>
      <c r="MU47" s="1029">
        <f t="shared" si="449"/>
        <v>0</v>
      </c>
      <c r="MV47" s="57">
        <f t="shared" si="450"/>
        <v>0</v>
      </c>
      <c r="MW47" s="171" t="str">
        <f t="shared" si="451"/>
        <v/>
      </c>
      <c r="MX47" s="57">
        <f t="shared" si="307"/>
        <v>0</v>
      </c>
      <c r="MY47" s="57">
        <f>IF(OR(AND(MM$6=1,$L47=0),AND(MM$6=2,$K47=2,$G47=1)),0,IF(AND(MO$9=2,(OR($F47&gt;1,$K47=1,AND($L47=80,OR($N47=1,AND($N47=2,'#BerechnungDBE'!$AL38&gt;0)))))),IF(MM$4&gt;=$AD$126,0,MW47),IF(MO$9=3,IF(OR(MM$4&gt;=$AD$127,AND($G47=1,$J47=2,MM$6=2),AND(MM$6=1,$N47&lt;&gt;1)),0,IF(MQ47&lt;=120,MW47,IF(MM$4&lt;$AD$124,IF($F47=1,60/MO$4*MO$6,60/MO$4*MO$7),IF($F47=1,120/MO$4*MO$6,120/MO$4*MO$7)))),IF(OR($F47=3,$G47=2),IF(OR(AND(MM$4&gt;=$AD$119,$C47=2),AND(MM$4&gt;=$AF$119,$C47=1)),0,IF(MQ47&lt;=60,MW47,60/MO$4*MO$7)),IF(AND($F47=2,$G47=1),MW47,0)))))</f>
        <v>0</v>
      </c>
      <c r="MZ47" s="57" t="str">
        <f t="shared" si="142"/>
        <v/>
      </c>
      <c r="NA47" s="57" t="str">
        <f t="shared" si="452"/>
        <v/>
      </c>
      <c r="NB47" s="713">
        <f>'org. Düngung 22'!CV46</f>
        <v>0</v>
      </c>
      <c r="NC47" s="57"/>
      <c r="ND47" s="57"/>
      <c r="NE47" s="57">
        <f t="shared" si="144"/>
        <v>0</v>
      </c>
      <c r="NF47" s="57">
        <f t="shared" si="308"/>
        <v>0</v>
      </c>
      <c r="NG47" s="57">
        <f t="shared" si="309"/>
        <v>0</v>
      </c>
      <c r="NH47" s="57">
        <f t="shared" si="310"/>
        <v>0</v>
      </c>
      <c r="NI47" s="57">
        <f t="shared" si="311"/>
        <v>0</v>
      </c>
      <c r="NJ47" s="1029">
        <f t="shared" si="453"/>
        <v>0</v>
      </c>
      <c r="NK47" s="57">
        <f t="shared" si="454"/>
        <v>0</v>
      </c>
      <c r="NL47" s="171" t="str">
        <f t="shared" si="455"/>
        <v/>
      </c>
      <c r="NM47" s="57">
        <f t="shared" si="312"/>
        <v>0</v>
      </c>
      <c r="NN47" s="57">
        <f>IF(OR(AND(NB$6=1,$L47=0),AND(NB$6=2,$K47=2,$G47=1)),0,IF(AND(ND$9=2,(OR($F47&gt;1,$K47=1,AND($L47=80,OR($N47=1,AND($N47=2,'#BerechnungDBE'!$AL38&gt;0)))))),IF(NB$4&gt;=$AD$126,0,NL47),IF(ND$9=3,IF(OR(NB$4&gt;=$AD$127,AND($G47=1,$J47=2,NB$6=2),AND(NB$6=1,$N47&lt;&gt;1)),0,IF(NF47&lt;=120,NL47,IF(NB$4&lt;$AD$124,IF($F47=1,60/ND$4*ND$6,60/ND$4*ND$7),IF($F47=1,120/ND$4*ND$6,120/ND$4*ND$7)))),IF(OR($F47=3,$G47=2),IF(OR(AND(NB$4&gt;=$AD$119,$C47=2),AND(NB$4&gt;=$AF$119,$C47=1)),0,IF(NF47&lt;=60,NL47,60/ND$4*ND$7)),IF(AND($F47=2,$G47=1),NL47,0)))))</f>
        <v>0</v>
      </c>
      <c r="NO47" s="57" t="str">
        <f t="shared" si="148"/>
        <v/>
      </c>
      <c r="NP47" s="57" t="str">
        <f t="shared" si="456"/>
        <v/>
      </c>
      <c r="NQ47" s="713">
        <f>'org. Düngung 22'!CZ46</f>
        <v>0</v>
      </c>
      <c r="NR47" s="57"/>
      <c r="NS47" s="57"/>
      <c r="NT47" s="57">
        <f t="shared" si="150"/>
        <v>0</v>
      </c>
      <c r="NU47" s="57">
        <f t="shared" si="313"/>
        <v>0</v>
      </c>
      <c r="NV47" s="57">
        <f t="shared" si="314"/>
        <v>0</v>
      </c>
      <c r="NW47" s="57">
        <f t="shared" si="315"/>
        <v>0</v>
      </c>
      <c r="NX47" s="57">
        <f t="shared" si="316"/>
        <v>0</v>
      </c>
      <c r="NY47" s="1029">
        <f t="shared" si="457"/>
        <v>0</v>
      </c>
      <c r="NZ47" s="57">
        <f t="shared" si="458"/>
        <v>0</v>
      </c>
      <c r="OA47" s="171" t="str">
        <f t="shared" si="459"/>
        <v/>
      </c>
      <c r="OB47" s="57">
        <f t="shared" si="317"/>
        <v>0</v>
      </c>
      <c r="OC47" s="57">
        <f>IF(OR(AND(NQ$6=1,$L47=0),AND(NQ$6=2,$K47=2,$G47=1)),0,IF(AND(NS$9=2,(OR($F47&gt;1,$K47=1,AND($L47=80,OR($N47=1,AND($N47=2,'#BerechnungDBE'!$AL38&gt;0)))))),IF(NQ$4&gt;=$AD$126,0,OA47),IF(NS$9=3,IF(OR(NQ$4&gt;=$AD$127,AND($G47=1,$J47=2,NQ$6=2),AND(NQ$6=1,$N47&lt;&gt;1)),0,IF(NU47&lt;=120,OA47,IF(NQ$4&lt;$AD$124,IF($F47=1,60/NS$4*NS$6,60/NS$4*NS$7),IF($F47=1,120/NS$4*NS$6,120/NS$4*NS$7)))),IF(OR($F47=3,$G47=2),IF(OR(AND(NQ$4&gt;=$AD$119,$C47=2),AND(NQ$4&gt;=$AF$119,$C47=1)),0,IF(NU47&lt;=60,OA47,60/NS$4*NS$7)),IF(AND($F47=2,$G47=1),OA47,0)))))</f>
        <v>0</v>
      </c>
      <c r="OD47" s="57" t="str">
        <f t="shared" si="154"/>
        <v/>
      </c>
      <c r="OE47" s="57" t="str">
        <f t="shared" si="460"/>
        <v/>
      </c>
      <c r="OF47" s="713">
        <f>'org. Düngung 22'!DD46</f>
        <v>0</v>
      </c>
      <c r="OG47" s="57"/>
      <c r="OH47" s="57"/>
      <c r="OI47" s="57">
        <f t="shared" si="156"/>
        <v>0</v>
      </c>
      <c r="OJ47" s="57">
        <f t="shared" si="318"/>
        <v>0</v>
      </c>
      <c r="OK47" s="57">
        <f t="shared" si="319"/>
        <v>0</v>
      </c>
      <c r="OL47" s="57">
        <f t="shared" si="320"/>
        <v>0</v>
      </c>
      <c r="OM47" s="57">
        <f t="shared" si="321"/>
        <v>0</v>
      </c>
      <c r="ON47" s="1029">
        <f t="shared" si="461"/>
        <v>0</v>
      </c>
      <c r="OO47" s="57">
        <f t="shared" si="462"/>
        <v>0</v>
      </c>
      <c r="OP47" s="171" t="str">
        <f t="shared" si="463"/>
        <v/>
      </c>
      <c r="OQ47" s="57">
        <f t="shared" si="322"/>
        <v>0</v>
      </c>
      <c r="OR47" s="57">
        <f>IF(OR(AND(OF$6=1,$L47=0),AND(OF$6=2,$K47=2,$G47=1)),0,IF(AND(OH$9=2,(OR($F47&gt;1,$K47=1,AND($L47=80,OR($N47=1,AND($N47=2,'#BerechnungDBE'!$AL38&gt;0)))))),IF(OF$4&gt;=$AD$126,0,OP47),IF(OH$9=3,IF(OR(OF$4&gt;=$AD$127,AND($G47=1,$J47=2,OF$6=2),AND(OF$6=1,$N47&lt;&gt;1)),0,IF(OJ47&lt;=120,OP47,IF(OF$4&lt;$AD$124,IF($F47=1,60/OH$4*OH$6,60/OH$4*OH$7),IF($F47=1,120/OH$4*OH$6,120/OH$4*OH$7)))),IF(OR($F47=3,$G47=2),IF(OR(AND(OF$4&gt;=$AD$119,$C47=2),AND(OF$4&gt;=$AF$119,$C47=1)),0,IF(OJ47&lt;=60,OP47,60/OH$4*OH$7)),IF(AND($F47=2,$G47=1),OP47,0)))))</f>
        <v>0</v>
      </c>
      <c r="OS47" s="57" t="str">
        <f t="shared" si="160"/>
        <v/>
      </c>
      <c r="OT47" s="57" t="str">
        <f t="shared" si="464"/>
        <v/>
      </c>
      <c r="OU47" s="713">
        <f>'org. Düngung 22'!DH46</f>
        <v>0</v>
      </c>
      <c r="OV47" s="57"/>
      <c r="OW47" s="57"/>
      <c r="OX47" s="57">
        <f t="shared" si="162"/>
        <v>0</v>
      </c>
      <c r="OY47" s="57">
        <f t="shared" si="323"/>
        <v>0</v>
      </c>
      <c r="OZ47" s="57">
        <f t="shared" si="324"/>
        <v>0</v>
      </c>
      <c r="PA47" s="57">
        <f t="shared" si="325"/>
        <v>0</v>
      </c>
      <c r="PB47" s="57">
        <f t="shared" si="326"/>
        <v>0</v>
      </c>
      <c r="PC47" s="1029">
        <f t="shared" si="465"/>
        <v>0</v>
      </c>
      <c r="PD47" s="57">
        <f t="shared" si="466"/>
        <v>0</v>
      </c>
      <c r="PE47" s="171" t="str">
        <f t="shared" si="467"/>
        <v/>
      </c>
      <c r="PF47" s="57">
        <f t="shared" si="327"/>
        <v>0</v>
      </c>
      <c r="PG47" s="57">
        <f>IF(OR(AND(OU$6=1,$L47=0),AND(OU$6=2,$K47=2,$G47=1)),0,IF(AND(OW$9=2,(OR($F47&gt;1,$K47=1,AND($L47=80,OR($N47=1,AND($N47=2,'#BerechnungDBE'!$AL38&gt;0)))))),IF(OU$4&gt;=$AD$126,0,PE47),IF(OW$9=3,IF(OR(OU$4&gt;=$AD$127,AND($G47=1,$J47=2,OU$6=2),AND(OU$6=1,$N47&lt;&gt;1)),0,IF(OY47&lt;=120,PE47,IF(OU$4&lt;$AD$124,IF($F47=1,60/OW$4*OW$6,60/OW$4*OW$7),IF($F47=1,120/OW$4*OW$6,120/OW$4*OW$7)))),IF(OR($F47=3,$G47=2),IF(OR(AND(OU$4&gt;=$AD$119,$C47=2),AND(OU$4&gt;=$AF$119,$C47=1)),0,IF(OY47&lt;=60,PE47,60/OW$4*OW$7)),IF(AND($F47=2,$G47=1),PE47,0)))))</f>
        <v>0</v>
      </c>
      <c r="PH47" s="57" t="str">
        <f t="shared" si="166"/>
        <v/>
      </c>
      <c r="PI47" s="57" t="str">
        <f t="shared" si="468"/>
        <v/>
      </c>
      <c r="PJ47" s="713">
        <f>'org. Düngung 22'!DL46</f>
        <v>0</v>
      </c>
      <c r="PK47" s="57"/>
      <c r="PL47" s="57"/>
      <c r="PM47" s="57">
        <f t="shared" si="168"/>
        <v>0</v>
      </c>
      <c r="PN47" s="57">
        <f t="shared" si="328"/>
        <v>0</v>
      </c>
      <c r="PO47" s="57">
        <f t="shared" si="329"/>
        <v>0</v>
      </c>
      <c r="PP47" s="57">
        <f t="shared" si="330"/>
        <v>0</v>
      </c>
      <c r="PQ47" s="57">
        <f t="shared" si="331"/>
        <v>0</v>
      </c>
      <c r="PR47" s="1029">
        <f t="shared" si="469"/>
        <v>0</v>
      </c>
      <c r="PS47" s="57">
        <f t="shared" si="470"/>
        <v>0</v>
      </c>
      <c r="PT47" s="171" t="str">
        <f t="shared" si="471"/>
        <v/>
      </c>
      <c r="PU47" s="57">
        <f t="shared" si="332"/>
        <v>0</v>
      </c>
      <c r="PV47" s="57">
        <f>IF(OR(AND(PJ$6=1,$L47=0),AND(PJ$6=2,$K47=2,$G47=1)),0,IF(AND(PL$9=2,(OR($F47&gt;1,$K47=1,AND($L47=80,OR($N47=1,AND($N47=2,'#BerechnungDBE'!$AL38&gt;0)))))),IF(PJ$4&gt;=$AD$126,0,PT47),IF(PL$9=3,IF(OR(PJ$4&gt;=$AD$127,AND($G47=1,$J47=2,PJ$6=2),AND(PJ$6=1,$N47&lt;&gt;1)),0,IF(PN47&lt;=120,PT47,IF(PJ$4&lt;$AD$124,IF($F47=1,60/PL$4*PL$6,60/PL$4*PL$7),IF($F47=1,120/PL$4*PL$6,120/PL$4*PL$7)))),IF(OR($F47=3,$G47=2),IF(OR(AND(PJ$4&gt;=$AD$119,$C47=2),AND(PJ$4&gt;=$AF$119,$C47=1)),0,IF(PN47&lt;=60,PT47,60/PL$4*PL$7)),IF(AND($F47=2,$G47=1),PT47,0)))))</f>
        <v>0</v>
      </c>
      <c r="PW47" s="57" t="str">
        <f t="shared" si="172"/>
        <v/>
      </c>
      <c r="PX47" s="57" t="str">
        <f t="shared" si="472"/>
        <v/>
      </c>
      <c r="PY47" s="713">
        <f>'org. Düngung 22'!DP46</f>
        <v>0</v>
      </c>
      <c r="PZ47" s="57"/>
      <c r="QA47" s="57"/>
      <c r="QB47" s="57">
        <f t="shared" si="174"/>
        <v>0</v>
      </c>
      <c r="QC47" s="57">
        <f t="shared" si="333"/>
        <v>0</v>
      </c>
      <c r="QD47" s="57">
        <f t="shared" si="334"/>
        <v>0</v>
      </c>
      <c r="QE47" s="57">
        <f t="shared" si="335"/>
        <v>0</v>
      </c>
      <c r="QF47" s="57">
        <f t="shared" si="336"/>
        <v>0</v>
      </c>
      <c r="QG47" s="1029">
        <f t="shared" si="473"/>
        <v>0</v>
      </c>
      <c r="QH47" s="57">
        <f t="shared" si="474"/>
        <v>0</v>
      </c>
      <c r="QI47" s="171" t="str">
        <f t="shared" si="475"/>
        <v/>
      </c>
      <c r="QJ47" s="57">
        <f t="shared" si="337"/>
        <v>0</v>
      </c>
      <c r="QK47" s="57">
        <f>IF(OR(AND(PY$6=1,$L47=0),AND(PY$6=2,$K47=2,$G47=1)),0,IF(AND(QA$9=2,(OR($F47&gt;1,$K47=1,AND($L47=80,OR($N47=1,AND($N47=2,'#BerechnungDBE'!$AL38&gt;0)))))),IF(PY$4&gt;=$AD$126,0,QI47),IF(QA$9=3,IF(OR(PY$4&gt;=$AD$127,AND($G47=1,$J47=2,PY$6=2),AND(PY$6=1,$N47&lt;&gt;1)),0,IF(QC47&lt;=120,QI47,IF(PY$4&lt;$AD$124,IF($F47=1,60/QA$4*QA$6,60/QA$4*QA$7),IF($F47=1,120/QA$4*QA$6,120/QA$4*QA$7)))),IF(OR($F47=3,$G47=2),IF(OR(AND(PY$4&gt;=$AD$119,$C47=2),AND(PY$4&gt;=$AF$119,$C47=1)),0,IF(QC47&lt;=60,QI47,60/QA$4*QA$7)),IF(AND($F47=2,$G47=1),QI47,0)))))</f>
        <v>0</v>
      </c>
      <c r="QL47" s="57" t="str">
        <f t="shared" si="178"/>
        <v/>
      </c>
      <c r="QM47" s="57" t="str">
        <f t="shared" si="476"/>
        <v/>
      </c>
      <c r="QN47" s="713">
        <f>'org. Düngung 22'!DT46</f>
        <v>0</v>
      </c>
      <c r="QO47" s="57"/>
      <c r="QP47" s="57"/>
      <c r="QQ47" s="57">
        <f t="shared" si="180"/>
        <v>0</v>
      </c>
      <c r="QR47" s="57">
        <f t="shared" si="338"/>
        <v>0</v>
      </c>
      <c r="QS47" s="57">
        <f t="shared" si="339"/>
        <v>0</v>
      </c>
      <c r="QT47" s="57">
        <f t="shared" si="340"/>
        <v>0</v>
      </c>
      <c r="QU47" s="57">
        <f t="shared" si="341"/>
        <v>0</v>
      </c>
      <c r="QV47" s="1029">
        <f t="shared" si="477"/>
        <v>0</v>
      </c>
      <c r="QW47" s="57">
        <f t="shared" si="478"/>
        <v>0</v>
      </c>
      <c r="QX47" s="171" t="str">
        <f t="shared" si="479"/>
        <v/>
      </c>
      <c r="QY47" s="57">
        <f t="shared" si="342"/>
        <v>0</v>
      </c>
      <c r="QZ47" s="57">
        <f>IF(OR(AND(QN$6=1,$L47=0),AND(QN$6=2,$K47=2,$G47=1)),0,IF(AND(QP$9=2,(OR($F47&gt;1,$K47=1,AND($L47=80,OR($N47=1,AND($N47=2,'#BerechnungDBE'!$AL38&gt;0)))))),IF(QN$4&gt;=$AD$126,0,QX47),IF(QP$9=3,IF(OR(QN$4&gt;=$AD$127,AND($G47=1,$J47=2,QN$6=2),AND(QN$6=1,$N47&lt;&gt;1)),0,IF(QR47&lt;=120,QX47,IF(QN$4&lt;$AD$124,IF($F47=1,60/QP$4*QP$6,60/QP$4*QP$7),IF($F47=1,120/QP$4*QP$6,120/QP$4*QP$7)))),IF(OR($F47=3,$G47=2),IF(OR(AND(QN$4&gt;=$AD$119,$C47=2),AND(QN$4&gt;=$AF$119,$C47=1)),0,IF(QR47&lt;=60,QX47,60/QP$4*QP$7)),IF(AND($F47=2,$G47=1),QX47,0)))))</f>
        <v>0</v>
      </c>
      <c r="RA47" s="57" t="str">
        <f t="shared" si="184"/>
        <v/>
      </c>
      <c r="RB47" s="57" t="str">
        <f t="shared" si="480"/>
        <v/>
      </c>
      <c r="RC47" s="713">
        <f>'org. Düngung 22'!DX46</f>
        <v>0</v>
      </c>
      <c r="RD47" s="57"/>
      <c r="RE47" s="57"/>
      <c r="RF47" s="57">
        <f t="shared" si="186"/>
        <v>0</v>
      </c>
      <c r="RG47" s="57">
        <f t="shared" si="343"/>
        <v>0</v>
      </c>
      <c r="RH47" s="57">
        <f t="shared" si="344"/>
        <v>0</v>
      </c>
      <c r="RI47" s="57">
        <f t="shared" si="345"/>
        <v>0</v>
      </c>
      <c r="RJ47" s="57">
        <f t="shared" si="346"/>
        <v>0</v>
      </c>
      <c r="RK47" s="1029">
        <f t="shared" si="481"/>
        <v>0</v>
      </c>
      <c r="RL47" s="57">
        <f t="shared" si="482"/>
        <v>0</v>
      </c>
      <c r="RM47" s="171" t="str">
        <f t="shared" si="483"/>
        <v/>
      </c>
      <c r="RN47" s="57">
        <f t="shared" si="347"/>
        <v>0</v>
      </c>
      <c r="RO47" s="57">
        <f>IF(OR(AND(RC$6=1,$L47=0),AND(RC$6=2,$K47=2,$G47=1)),0,IF(AND(RE$9=2,(OR($F47&gt;1,$K47=1,AND($L47=80,OR($N47=1,AND($N47=2,'#BerechnungDBE'!$AL38&gt;0)))))),IF(RC$4&gt;=$AD$126,0,RM47),IF(RE$9=3,IF(OR(RC$4&gt;=$AD$127,AND($G47=1,$J47=2,RC$6=2),AND(RC$6=1,$N47&lt;&gt;1)),0,IF(RG47&lt;=120,RM47,IF(RC$4&lt;$AD$124,IF($F47=1,60/RE$4*RE$6,60/RE$4*RE$7),IF($F47=1,120/RE$4*RE$6,120/RE$4*RE$7)))),IF(OR($F47=3,$G47=2),IF(OR(AND(RC$4&gt;=$AD$119,$C47=2),AND(RC$4&gt;=$AF$119,$C47=1)),0,IF(RG47&lt;=60,RM47,60/RE$4*RE$7)),IF(AND($F47=2,$G47=1),RM47,0)))))</f>
        <v>0</v>
      </c>
      <c r="RP47" s="57" t="str">
        <f t="shared" si="190"/>
        <v/>
      </c>
      <c r="RQ47" s="57" t="str">
        <f t="shared" si="484"/>
        <v/>
      </c>
      <c r="RS47" s="57" t="str">
        <f t="shared" ref="RS47:RS78" si="488">IF(AND(F47=2,G47=1),"",IF(OR(W47&gt;AA47,V47&gt;30,AD47&gt;30,AND(AC47&gt;60,L47=80)),$RS$9,""))</f>
        <v/>
      </c>
      <c r="RT47" s="57" t="str">
        <f t="shared" si="485"/>
        <v/>
      </c>
      <c r="RU47" s="57" t="str">
        <f t="shared" si="486"/>
        <v/>
      </c>
      <c r="RV47" s="57" t="str">
        <f>IF(Z47&gt;'#BerechnungDBE'!BM38,$RV$9,"")</f>
        <v/>
      </c>
      <c r="RW47" s="57" t="str">
        <f>IF(AND(L47=70,AE47&gt;'#BerechnungDBE'!CQ38),$RW$9,"")</f>
        <v/>
      </c>
      <c r="RX47" s="57" t="str">
        <f>IF(OR('org. Düngung 22'!G46="--",'org. Düngung 22'!G46&lt;=170,'org. Düngung 22'!G46=""),"",$RX$9)</f>
        <v/>
      </c>
      <c r="RY47" s="57" t="str">
        <f>IF('org. Düngung 22'!K46&gt;120,'#orgDung'!$RY$9,"")</f>
        <v/>
      </c>
      <c r="RZ47" s="57" t="str">
        <f>IF('#BerechnungDBE'!P38&lt;4,"",IF(AND('#BerechnungDBE'!BZ38&gt;0,T47&gt;0),'#orgDung'!$RZ$9,""))</f>
        <v/>
      </c>
      <c r="SA47" s="57" t="str">
        <f t="shared" si="487"/>
        <v/>
      </c>
    </row>
    <row r="48" spans="1:495" s="875" customFormat="1" x14ac:dyDescent="0.2">
      <c r="A48" s="875">
        <f>'Flächen u. Kulturen'!A44</f>
        <v>35</v>
      </c>
      <c r="B48" s="367">
        <f>'#BerechnungDBE'!L39</f>
        <v>0</v>
      </c>
      <c r="C48" s="875">
        <f>'#BerechnungDBE'!R39</f>
        <v>1</v>
      </c>
      <c r="D48" s="875">
        <f>'#BerechnungDBE'!T39</f>
        <v>2</v>
      </c>
      <c r="E48" s="875" t="str">
        <f>'Flächen u. Kulturen'!E44</f>
        <v>x</v>
      </c>
      <c r="F48" s="52">
        <f>'#BerechnungDBE'!N39</f>
        <v>1</v>
      </c>
      <c r="G48" s="52">
        <f>'#BerechnungDBE'!O39</f>
        <v>1</v>
      </c>
      <c r="H48" s="875">
        <f>IF('Flächen u. Kulturen'!P44="",0,VLOOKUP('Flächen u. Kulturen'!P44,Kulturen[[HF]:[Berechnungsgruppe]],'#Frucht'!$H$1,FALSE))</f>
        <v>0</v>
      </c>
      <c r="I48" s="875">
        <f>IF('Flächen u. Kulturen'!J44="",0,VLOOKUP('Flächen u. Kulturen'!J44,Kulturen[[HF]:[Berechnungsgruppe]],'#Frucht'!$G$1,FALSE))</f>
        <v>90</v>
      </c>
      <c r="J48" s="505">
        <f t="shared" si="195"/>
        <v>2</v>
      </c>
      <c r="K48" s="505">
        <f>IF('Flächen u. Kulturen'!P44="",0,IF(VLOOKUP('Flächen u. Kulturen'!P44,Kulturen[[HF]:[Saat Winterungen]],'#Frucht'!$P$1,FALSE)&gt;0,1,2))</f>
        <v>2</v>
      </c>
      <c r="L48" s="875">
        <f>'#BerechnungDBE'!AF39</f>
        <v>0</v>
      </c>
      <c r="M48" s="875">
        <f>IF('Flächen u. Kulturen'!L44="",0,VLOOKUP('Flächen u. Kulturen'!L44,Nebenkultur[[Nebenkultur]:[Legum. Zwischenfr.]],'#Zweitfr'!$K$1,FALSE))</f>
        <v>0</v>
      </c>
      <c r="N48" s="875">
        <f>'#BerechnungDBE'!AG39</f>
        <v>0</v>
      </c>
      <c r="P48" s="57">
        <f t="shared" si="353"/>
        <v>0</v>
      </c>
      <c r="Q48" s="57">
        <f t="shared" si="354"/>
        <v>0</v>
      </c>
      <c r="R48" s="875">
        <f t="shared" si="355"/>
        <v>0</v>
      </c>
      <c r="S48" s="938" t="str">
        <f t="shared" si="3"/>
        <v/>
      </c>
      <c r="T48" s="875">
        <f t="shared" si="356"/>
        <v>0</v>
      </c>
      <c r="U48" s="875">
        <f t="shared" si="357"/>
        <v>0</v>
      </c>
      <c r="V48" s="875">
        <f t="shared" si="358"/>
        <v>0</v>
      </c>
      <c r="W48" s="875">
        <f t="shared" si="359"/>
        <v>0</v>
      </c>
      <c r="X48" s="875">
        <f t="shared" si="360"/>
        <v>0</v>
      </c>
      <c r="Y48" s="875">
        <f t="shared" si="349"/>
        <v>0</v>
      </c>
      <c r="Z48" s="875">
        <f t="shared" si="350"/>
        <v>0</v>
      </c>
      <c r="AA48" s="910">
        <f t="shared" si="361"/>
        <v>0</v>
      </c>
      <c r="AB48" s="57">
        <f t="shared" si="351"/>
        <v>0</v>
      </c>
      <c r="AC48" s="875">
        <f t="shared" si="362"/>
        <v>0</v>
      </c>
      <c r="AD48" s="875">
        <f t="shared" si="363"/>
        <v>0</v>
      </c>
      <c r="AE48" s="875">
        <f t="shared" si="364"/>
        <v>0</v>
      </c>
      <c r="AF48" s="875">
        <f t="shared" si="352"/>
        <v>0</v>
      </c>
      <c r="AG48" s="875">
        <f>'org. Düngung 22'!J47</f>
        <v>0</v>
      </c>
      <c r="AH48" s="875">
        <f>'org. Düngung 22'!K47</f>
        <v>0</v>
      </c>
      <c r="AJ48" s="713">
        <f>'org. Düngung 22'!L47</f>
        <v>0</v>
      </c>
      <c r="AK48" s="57"/>
      <c r="AL48" s="57"/>
      <c r="AM48" s="57">
        <f t="shared" si="196"/>
        <v>0</v>
      </c>
      <c r="AN48" s="57">
        <f t="shared" si="197"/>
        <v>0</v>
      </c>
      <c r="AO48" s="57">
        <f t="shared" si="198"/>
        <v>0</v>
      </c>
      <c r="AP48" s="57">
        <f t="shared" si="199"/>
        <v>0</v>
      </c>
      <c r="AQ48" s="57">
        <f t="shared" si="200"/>
        <v>0</v>
      </c>
      <c r="AR48" s="1029">
        <f t="shared" si="365"/>
        <v>0</v>
      </c>
      <c r="AS48" s="57">
        <f t="shared" si="366"/>
        <v>0</v>
      </c>
      <c r="AT48" s="171" t="str">
        <f t="shared" si="367"/>
        <v/>
      </c>
      <c r="AU48" s="57">
        <f t="shared" si="201"/>
        <v>0</v>
      </c>
      <c r="AV48" s="57">
        <f>IF(OR(AND(AJ$6=1,$L48=0),AND(AJ$6=2,$K48=2,$G48=1)),0,IF(AND(AL$9=2,(OR($F48&gt;1,$K48=1,AND($L48=80,OR($N48=1,AND($N48=2,'#BerechnungDBE'!$AL39&gt;0)))))),IF(AJ$4&gt;=$AD$126,0,AT48),IF(AL$9=3,IF(OR(AJ$4&gt;=$AD$127,AND($G48=1,$J48=2,AJ$6=2),AND(AJ$6=1,$N48&lt;&gt;1)),0,IF(AN48&lt;=120,AT48,IF(AJ$4&lt;$AD$124,IF($F48=1,60/AL$4*AL$6,60/AL$4*AL$7),IF($F48=1,120/AL$4*AL$6,120/AL$4*AL$7)))),IF(OR($F48=3,$G48=2),IF(OR(AND(AJ$4&gt;=$AD$119,$C48=2),AND(AJ$4&gt;=$AF$119,$C48=1)),0,IF(AN48&lt;=60,AT48,60/AL$4*AL$7)),IF(AND($F48=2,$G48=1),AT48,0)))))</f>
        <v>0</v>
      </c>
      <c r="AW48" s="57" t="str">
        <f t="shared" si="202"/>
        <v/>
      </c>
      <c r="AX48" s="57" t="str">
        <f t="shared" si="368"/>
        <v/>
      </c>
      <c r="AY48" s="713">
        <f>'org. Düngung 22'!P47</f>
        <v>0</v>
      </c>
      <c r="AZ48" s="57"/>
      <c r="BA48" s="57"/>
      <c r="BB48" s="57">
        <f t="shared" si="18"/>
        <v>0</v>
      </c>
      <c r="BC48" s="57">
        <f t="shared" si="203"/>
        <v>0</v>
      </c>
      <c r="BD48" s="57">
        <f t="shared" si="204"/>
        <v>0</v>
      </c>
      <c r="BE48" s="57">
        <f t="shared" si="205"/>
        <v>0</v>
      </c>
      <c r="BF48" s="57">
        <f t="shared" si="206"/>
        <v>0</v>
      </c>
      <c r="BG48" s="1029">
        <f t="shared" si="369"/>
        <v>0</v>
      </c>
      <c r="BH48" s="57">
        <f t="shared" si="370"/>
        <v>0</v>
      </c>
      <c r="BI48" s="171" t="str">
        <f t="shared" si="371"/>
        <v/>
      </c>
      <c r="BJ48" s="57">
        <f t="shared" si="207"/>
        <v>0</v>
      </c>
      <c r="BK48" s="57">
        <f>IF(OR(AND(AY$6=1,$L48=0),AND(AY$6=2,$K48=2,$G48=1)),0,IF(AND(BA$9=2,(OR($F48&gt;1,$K48=1,AND($L48=80,OR($N48=1,AND($N48=2,'#BerechnungDBE'!$AL39&gt;0)))))),IF(AY$4&gt;=$AD$126,0,BI48),IF(BA$9=3,IF(OR(AY$4&gt;=$AD$127,AND($G48=1,$J48=2,AY$6=2),AND(AY$6=1,$N48&lt;&gt;1)),0,IF(BC48&lt;=120,BI48,IF(AY$4&lt;$AD$124,IF($F48=1,60/BA$4*BA$6,60/BA$4*BA$7),IF($F48=1,120/BA$4*BA$6,120/BA$4*BA$7)))),IF(OR($F48=3,$G48=2),IF(OR(AND(AY$4&gt;=$AD$119,$C48=2),AND(AY$4&gt;=$AF$119,$C48=1)),0,IF(BC48&lt;=60,BI48,60/BA$4*BA$7)),IF(AND($F48=2,$G48=1),BI48,0)))))</f>
        <v>0</v>
      </c>
      <c r="BL48" s="57" t="str">
        <f t="shared" si="22"/>
        <v/>
      </c>
      <c r="BM48" s="57" t="str">
        <f t="shared" si="372"/>
        <v/>
      </c>
      <c r="BN48" s="713">
        <f>'org. Düngung 22'!T47</f>
        <v>0</v>
      </c>
      <c r="BO48" s="57"/>
      <c r="BP48" s="57"/>
      <c r="BQ48" s="57">
        <f t="shared" si="24"/>
        <v>0</v>
      </c>
      <c r="BR48" s="57">
        <f t="shared" si="208"/>
        <v>0</v>
      </c>
      <c r="BS48" s="57">
        <f t="shared" si="209"/>
        <v>0</v>
      </c>
      <c r="BT48" s="57">
        <f t="shared" si="210"/>
        <v>0</v>
      </c>
      <c r="BU48" s="57">
        <f t="shared" si="211"/>
        <v>0</v>
      </c>
      <c r="BV48" s="1029">
        <f t="shared" si="373"/>
        <v>0</v>
      </c>
      <c r="BW48" s="57">
        <f t="shared" si="374"/>
        <v>0</v>
      </c>
      <c r="BX48" s="171" t="str">
        <f t="shared" si="375"/>
        <v/>
      </c>
      <c r="BY48" s="57">
        <f t="shared" si="212"/>
        <v>0</v>
      </c>
      <c r="BZ48" s="57">
        <f>IF(OR(AND(BN$6=1,$L48=0),AND(BN$6=2,$K48=2,$G48=1)),0,IF(AND(BP$9=2,(OR($F48&gt;1,$K48=1,AND($L48=80,OR($N48=1,AND($N48=2,'#BerechnungDBE'!$AL39&gt;0)))))),IF(BN$4&gt;=$AD$126,0,BX48),IF(BP$9=3,IF(OR(BN$4&gt;=$AD$127,AND($G48=1,$J48=2,BN$6=2),AND(BN$6=1,$N48&lt;&gt;1)),0,IF(BR48&lt;=120,BX48,IF(BN$4&lt;$AD$124,IF($F48=1,60/BP$4*BP$6,60/BP$4*BP$7),IF($F48=1,120/BP$4*BP$6,120/BP$4*BP$7)))),IF(OR($F48=3,$G48=2),IF(OR(AND(BN$4&gt;=$AD$119,$C48=2),AND(BN$4&gt;=$AF$119,$C48=1)),0,IF(BR48&lt;=60,BX48,60/BP$4*BP$7)),IF(AND($F48=2,$G48=1),BX48,0)))))</f>
        <v>0</v>
      </c>
      <c r="CA48" s="57" t="str">
        <f t="shared" si="28"/>
        <v/>
      </c>
      <c r="CB48" s="57" t="str">
        <f t="shared" si="376"/>
        <v/>
      </c>
      <c r="CC48" s="713">
        <f>'org. Düngung 22'!X47</f>
        <v>0</v>
      </c>
      <c r="CD48" s="57"/>
      <c r="CE48" s="57"/>
      <c r="CF48" s="57">
        <f t="shared" si="30"/>
        <v>0</v>
      </c>
      <c r="CG48" s="57">
        <f t="shared" si="213"/>
        <v>0</v>
      </c>
      <c r="CH48" s="57">
        <f t="shared" si="214"/>
        <v>0</v>
      </c>
      <c r="CI48" s="57">
        <f t="shared" si="215"/>
        <v>0</v>
      </c>
      <c r="CJ48" s="57">
        <f t="shared" si="216"/>
        <v>0</v>
      </c>
      <c r="CK48" s="1029">
        <f t="shared" si="377"/>
        <v>0</v>
      </c>
      <c r="CL48" s="57">
        <f t="shared" si="378"/>
        <v>0</v>
      </c>
      <c r="CM48" s="171" t="str">
        <f t="shared" si="379"/>
        <v/>
      </c>
      <c r="CN48" s="57">
        <f t="shared" si="217"/>
        <v>0</v>
      </c>
      <c r="CO48" s="57">
        <f>IF(OR(AND(CC$6=1,$L48=0),AND(CC$6=2,$K48=2,$G48=1)),0,IF(AND(CE$9=2,(OR($F48&gt;1,$K48=1,AND($L48=80,OR($N48=1,AND($N48=2,'#BerechnungDBE'!$AL39&gt;0)))))),IF(CC$4&gt;=$AD$126,0,CM48),IF(CE$9=3,IF(OR(CC$4&gt;=$AD$127,AND($G48=1,$J48=2,CC$6=2),AND(CC$6=1,$N48&lt;&gt;1)),0,IF(CG48&lt;=120,CM48,IF(CC$4&lt;$AD$124,IF($F48=1,60/CE$4*CE$6,60/CE$4*CE$7),IF($F48=1,120/CE$4*CE$6,120/CE$4*CE$7)))),IF(OR($F48=3,$G48=2),IF(OR(AND(CC$4&gt;=$AD$119,$C48=2),AND(CC$4&gt;=$AF$119,$C48=1)),0,IF(CG48&lt;=60,CM48,60/CE$4*CE$7)),IF(AND($F48=2,$G48=1),CM48,0)))))</f>
        <v>0</v>
      </c>
      <c r="CP48" s="57" t="str">
        <f t="shared" si="34"/>
        <v/>
      </c>
      <c r="CQ48" s="57" t="str">
        <f t="shared" si="380"/>
        <v/>
      </c>
      <c r="CR48" s="713">
        <f>'org. Düngung 22'!AB47</f>
        <v>0</v>
      </c>
      <c r="CS48" s="57"/>
      <c r="CT48" s="57"/>
      <c r="CU48" s="57">
        <f t="shared" si="36"/>
        <v>0</v>
      </c>
      <c r="CV48" s="57">
        <f t="shared" si="218"/>
        <v>0</v>
      </c>
      <c r="CW48" s="57">
        <f t="shared" si="219"/>
        <v>0</v>
      </c>
      <c r="CX48" s="57">
        <f t="shared" si="220"/>
        <v>0</v>
      </c>
      <c r="CY48" s="57">
        <f t="shared" si="221"/>
        <v>0</v>
      </c>
      <c r="CZ48" s="1029">
        <f t="shared" si="381"/>
        <v>0</v>
      </c>
      <c r="DA48" s="57">
        <f t="shared" si="382"/>
        <v>0</v>
      </c>
      <c r="DB48" s="171" t="str">
        <f t="shared" si="383"/>
        <v/>
      </c>
      <c r="DC48" s="57">
        <f t="shared" si="222"/>
        <v>0</v>
      </c>
      <c r="DD48" s="57">
        <f>IF(OR(AND(CR$6=1,$L48=0),AND(CR$6=2,$K48=2,$G48=1)),0,IF(AND(CT$9=2,(OR($F48&gt;1,$K48=1,AND($L48=80,OR($N48=1,AND($N48=2,'#BerechnungDBE'!$AL39&gt;0)))))),IF(CR$4&gt;=$AD$126,0,DB48),IF(CT$9=3,IF(OR(CR$4&gt;=$AD$127,AND($G48=1,$J48=2,CR$6=2),AND(CR$6=1,$N48&lt;&gt;1)),0,IF(CV48&lt;=120,DB48,IF(CR$4&lt;$AD$124,IF($F48=1,60/CT$4*CT$6,60/CT$4*CT$7),IF($F48=1,120/CT$4*CT$6,120/CT$4*CT$7)))),IF(OR($F48=3,$G48=2),IF(OR(AND(CR$4&gt;=$AD$119,$C48=2),AND(CR$4&gt;=$AF$119,$C48=1)),0,IF(CV48&lt;=60,DB48,60/CT$4*CT$7)),IF(AND($F48=2,$G48=1),DB48,0)))))</f>
        <v>0</v>
      </c>
      <c r="DE48" s="57" t="str">
        <f t="shared" si="40"/>
        <v/>
      </c>
      <c r="DF48" s="57" t="str">
        <f t="shared" si="384"/>
        <v/>
      </c>
      <c r="DG48" s="713">
        <f>'org. Düngung 22'!AF47</f>
        <v>0</v>
      </c>
      <c r="DH48" s="57"/>
      <c r="DI48" s="57"/>
      <c r="DJ48" s="57">
        <f t="shared" si="42"/>
        <v>0</v>
      </c>
      <c r="DK48" s="57">
        <f t="shared" si="223"/>
        <v>0</v>
      </c>
      <c r="DL48" s="57">
        <f t="shared" si="224"/>
        <v>0</v>
      </c>
      <c r="DM48" s="57">
        <f t="shared" si="225"/>
        <v>0</v>
      </c>
      <c r="DN48" s="57">
        <f t="shared" si="226"/>
        <v>0</v>
      </c>
      <c r="DO48" s="1029">
        <f t="shared" si="385"/>
        <v>0</v>
      </c>
      <c r="DP48" s="57">
        <f t="shared" si="386"/>
        <v>0</v>
      </c>
      <c r="DQ48" s="171" t="str">
        <f t="shared" si="387"/>
        <v/>
      </c>
      <c r="DR48" s="57">
        <f t="shared" si="227"/>
        <v>0</v>
      </c>
      <c r="DS48" s="57">
        <f>IF(OR(AND(DG$6=1,$L48=0),AND(DG$6=2,$K48=2,$G48=1)),0,IF(AND(DI$9=2,(OR($F48&gt;1,$K48=1,AND($L48=80,OR($N48=1,AND($N48=2,'#BerechnungDBE'!$AL39&gt;0)))))),IF(DG$4&gt;=$AD$126,0,DQ48),IF(DI$9=3,IF(OR(DG$4&gt;=$AD$127,AND($G48=1,$J48=2,DG$6=2),AND(DG$6=1,$N48&lt;&gt;1)),0,IF(DK48&lt;=120,DQ48,IF(DG$4&lt;$AD$124,IF($F48=1,60/DI$4*DI$6,60/DI$4*DI$7),IF($F48=1,120/DI$4*DI$6,120/DI$4*DI$7)))),IF(OR($F48=3,$G48=2),IF(OR(AND(DG$4&gt;=$AD$119,$C48=2),AND(DG$4&gt;=$AF$119,$C48=1)),0,IF(DK48&lt;=60,DQ48,60/DI$4*DI$7)),IF(AND($F48=2,$G48=1),DQ48,0)))))</f>
        <v>0</v>
      </c>
      <c r="DT48" s="57" t="str">
        <f t="shared" si="46"/>
        <v/>
      </c>
      <c r="DU48" s="57" t="str">
        <f t="shared" si="388"/>
        <v/>
      </c>
      <c r="DV48" s="713">
        <f>'org. Düngung 22'!AJ47</f>
        <v>0</v>
      </c>
      <c r="DW48" s="57"/>
      <c r="DX48" s="57"/>
      <c r="DY48" s="57">
        <f t="shared" si="48"/>
        <v>0</v>
      </c>
      <c r="DZ48" s="57">
        <f t="shared" si="228"/>
        <v>0</v>
      </c>
      <c r="EA48" s="57">
        <f t="shared" si="229"/>
        <v>0</v>
      </c>
      <c r="EB48" s="57">
        <f t="shared" si="230"/>
        <v>0</v>
      </c>
      <c r="EC48" s="57">
        <f t="shared" si="231"/>
        <v>0</v>
      </c>
      <c r="ED48" s="1029">
        <f t="shared" si="389"/>
        <v>0</v>
      </c>
      <c r="EE48" s="57">
        <f t="shared" si="390"/>
        <v>0</v>
      </c>
      <c r="EF48" s="171" t="str">
        <f t="shared" si="391"/>
        <v/>
      </c>
      <c r="EG48" s="57">
        <f t="shared" si="232"/>
        <v>0</v>
      </c>
      <c r="EH48" s="57">
        <f>IF(OR(AND(DV$6=1,$L48=0),AND(DV$6=2,$K48=2,$G48=1)),0,IF(AND(DX$9=2,(OR($F48&gt;1,$K48=1,AND($L48=80,OR($N48=1,AND($N48=2,'#BerechnungDBE'!$AL39&gt;0)))))),IF(DV$4&gt;=$AD$126,0,EF48),IF(DX$9=3,IF(OR(DV$4&gt;=$AD$127,AND($G48=1,$J48=2,DV$6=2),AND(DV$6=1,$N48&lt;&gt;1)),0,IF(DZ48&lt;=120,EF48,IF(DV$4&lt;$AD$124,IF($F48=1,60/DX$4*DX$6,60/DX$4*DX$7),IF($F48=1,120/DX$4*DX$6,120/DX$4*DX$7)))),IF(OR($F48=3,$G48=2),IF(OR(AND(DV$4&gt;=$AD$119,$C48=2),AND(DV$4&gt;=$AF$119,$C48=1)),0,IF(DZ48&lt;=60,EF48,60/DX$4*DX$7)),IF(AND($F48=2,$G48=1),EF48,0)))))</f>
        <v>0</v>
      </c>
      <c r="EI48" s="57" t="str">
        <f t="shared" si="52"/>
        <v/>
      </c>
      <c r="EJ48" s="57" t="str">
        <f t="shared" si="392"/>
        <v/>
      </c>
      <c r="EK48" s="713">
        <f>'org. Düngung 22'!AN47</f>
        <v>0</v>
      </c>
      <c r="EL48" s="57"/>
      <c r="EM48" s="57"/>
      <c r="EN48" s="57">
        <f t="shared" si="54"/>
        <v>0</v>
      </c>
      <c r="EO48" s="57">
        <f t="shared" si="233"/>
        <v>0</v>
      </c>
      <c r="EP48" s="57">
        <f t="shared" si="234"/>
        <v>0</v>
      </c>
      <c r="EQ48" s="57">
        <f t="shared" si="235"/>
        <v>0</v>
      </c>
      <c r="ER48" s="57">
        <f t="shared" si="236"/>
        <v>0</v>
      </c>
      <c r="ES48" s="1029">
        <f t="shared" si="393"/>
        <v>0</v>
      </c>
      <c r="ET48" s="57">
        <f t="shared" si="394"/>
        <v>0</v>
      </c>
      <c r="EU48" s="171" t="str">
        <f t="shared" si="395"/>
        <v/>
      </c>
      <c r="EV48" s="57">
        <f t="shared" si="237"/>
        <v>0</v>
      </c>
      <c r="EW48" s="57">
        <f>IF(OR(AND(EK$6=1,$L48=0),AND(EK$6=2,$K48=2,$G48=1)),0,IF(AND(EM$9=2,(OR($F48&gt;1,$K48=1,AND($L48=80,OR($N48=1,AND($N48=2,'#BerechnungDBE'!$AL39&gt;0)))))),IF(EK$4&gt;=$AD$126,0,EU48),IF(EM$9=3,IF(OR(EK$4&gt;=$AD$127,AND($G48=1,$J48=2,EK$6=2),AND(EK$6=1,$N48&lt;&gt;1)),0,IF(EO48&lt;=120,EU48,IF(EK$4&lt;$AD$124,IF($F48=1,60/EM$4*EM$6,60/EM$4*EM$7),IF($F48=1,120/EM$4*EM$6,120/EM$4*EM$7)))),IF(OR($F48=3,$G48=2),IF(OR(AND(EK$4&gt;=$AD$119,$C48=2),AND(EK$4&gt;=$AF$119,$C48=1)),0,IF(EO48&lt;=60,EU48,60/EM$4*EM$7)),IF(AND($F48=2,$G48=1),EU48,0)))))</f>
        <v>0</v>
      </c>
      <c r="EX48" s="57" t="str">
        <f t="shared" si="58"/>
        <v/>
      </c>
      <c r="EY48" s="57" t="str">
        <f t="shared" si="396"/>
        <v/>
      </c>
      <c r="EZ48" s="713">
        <f>'org. Düngung 22'!AR47</f>
        <v>0</v>
      </c>
      <c r="FA48" s="57"/>
      <c r="FB48" s="57"/>
      <c r="FC48" s="57">
        <f t="shared" si="60"/>
        <v>0</v>
      </c>
      <c r="FD48" s="57">
        <f t="shared" si="238"/>
        <v>0</v>
      </c>
      <c r="FE48" s="57">
        <f t="shared" si="239"/>
        <v>0</v>
      </c>
      <c r="FF48" s="57">
        <f t="shared" si="240"/>
        <v>0</v>
      </c>
      <c r="FG48" s="57">
        <f t="shared" si="241"/>
        <v>0</v>
      </c>
      <c r="FH48" s="1029">
        <f t="shared" si="397"/>
        <v>0</v>
      </c>
      <c r="FI48" s="57">
        <f t="shared" si="398"/>
        <v>0</v>
      </c>
      <c r="FJ48" s="171" t="str">
        <f t="shared" si="399"/>
        <v/>
      </c>
      <c r="FK48" s="57">
        <f t="shared" si="242"/>
        <v>0</v>
      </c>
      <c r="FL48" s="57">
        <f>IF(OR(AND(EZ$6=1,$L48=0),AND(EZ$6=2,$K48=2,$G48=1)),0,IF(AND(FB$9=2,(OR($F48&gt;1,$K48=1,AND($L48=80,OR($N48=1,AND($N48=2,'#BerechnungDBE'!$AL39&gt;0)))))),IF(EZ$4&gt;=$AD$126,0,FJ48),IF(FB$9=3,IF(OR(EZ$4&gt;=$AD$127,AND($G48=1,$J48=2,EZ$6=2),AND(EZ$6=1,$N48&lt;&gt;1)),0,IF(FD48&lt;=120,FJ48,IF(EZ$4&lt;$AD$124,IF($F48=1,60/FB$4*FB$6,60/FB$4*FB$7),IF($F48=1,120/FB$4*FB$6,120/FB$4*FB$7)))),IF(OR($F48=3,$G48=2),IF(OR(AND(EZ$4&gt;=$AD$119,$C48=2),AND(EZ$4&gt;=$AF$119,$C48=1)),0,IF(FD48&lt;=60,FJ48,60/FB$4*FB$7)),IF(AND($F48=2,$G48=1),FJ48,0)))))</f>
        <v>0</v>
      </c>
      <c r="FM48" s="57" t="str">
        <f t="shared" si="64"/>
        <v/>
      </c>
      <c r="FN48" s="57" t="str">
        <f t="shared" si="400"/>
        <v/>
      </c>
      <c r="FO48" s="713">
        <f>'org. Düngung 22'!AV47</f>
        <v>0</v>
      </c>
      <c r="FP48" s="57"/>
      <c r="FQ48" s="57"/>
      <c r="FR48" s="57">
        <f t="shared" si="66"/>
        <v>0</v>
      </c>
      <c r="FS48" s="57">
        <f t="shared" si="243"/>
        <v>0</v>
      </c>
      <c r="FT48" s="57">
        <f t="shared" si="244"/>
        <v>0</v>
      </c>
      <c r="FU48" s="57">
        <f t="shared" si="245"/>
        <v>0</v>
      </c>
      <c r="FV48" s="57">
        <f t="shared" si="246"/>
        <v>0</v>
      </c>
      <c r="FW48" s="1029">
        <f t="shared" si="401"/>
        <v>0</v>
      </c>
      <c r="FX48" s="57">
        <f t="shared" si="402"/>
        <v>0</v>
      </c>
      <c r="FY48" s="171" t="str">
        <f t="shared" si="403"/>
        <v/>
      </c>
      <c r="FZ48" s="57">
        <f t="shared" si="247"/>
        <v>0</v>
      </c>
      <c r="GA48" s="57">
        <f>IF(OR(AND(FO$6=1,$L48=0),AND(FO$6=2,$K48=2,$G48=1)),0,IF(AND(FQ$9=2,(OR($F48&gt;1,$K48=1,AND($L48=80,OR($N48=1,AND($N48=2,'#BerechnungDBE'!$AL39&gt;0)))))),IF(FO$4&gt;=$AD$126,0,FY48),IF(FQ$9=3,IF(OR(FO$4&gt;=$AD$127,AND($G48=1,$J48=2,FO$6=2),AND(FO$6=1,$N48&lt;&gt;1)),0,IF(FS48&lt;=120,FY48,IF(FO$4&lt;$AD$124,IF($F48=1,60/FQ$4*FQ$6,60/FQ$4*FQ$7),IF($F48=1,120/FQ$4*FQ$6,120/FQ$4*FQ$7)))),IF(OR($F48=3,$G48=2),IF(OR(AND(FO$4&gt;=$AD$119,$C48=2),AND(FO$4&gt;=$AF$119,$C48=1)),0,IF(FS48&lt;=60,FY48,60/FQ$4*FQ$7)),IF(AND($F48=2,$G48=1),FY48,0)))))</f>
        <v>0</v>
      </c>
      <c r="GB48" s="57" t="str">
        <f t="shared" si="70"/>
        <v/>
      </c>
      <c r="GC48" s="57" t="str">
        <f t="shared" si="404"/>
        <v/>
      </c>
      <c r="GD48" s="713">
        <f>'org. Düngung 22'!AZ47</f>
        <v>0</v>
      </c>
      <c r="GE48" s="57"/>
      <c r="GF48" s="57"/>
      <c r="GG48" s="57">
        <f t="shared" si="72"/>
        <v>0</v>
      </c>
      <c r="GH48" s="57">
        <f t="shared" si="248"/>
        <v>0</v>
      </c>
      <c r="GI48" s="57">
        <f t="shared" si="249"/>
        <v>0</v>
      </c>
      <c r="GJ48" s="57">
        <f t="shared" si="250"/>
        <v>0</v>
      </c>
      <c r="GK48" s="57">
        <f t="shared" si="251"/>
        <v>0</v>
      </c>
      <c r="GL48" s="1029">
        <f t="shared" si="405"/>
        <v>0</v>
      </c>
      <c r="GM48" s="57">
        <f t="shared" si="406"/>
        <v>0</v>
      </c>
      <c r="GN48" s="171" t="str">
        <f t="shared" si="407"/>
        <v/>
      </c>
      <c r="GO48" s="57">
        <f t="shared" si="252"/>
        <v>0</v>
      </c>
      <c r="GP48" s="57">
        <f>IF(OR(AND(GD$6=1,$L48=0),AND(GD$6=2,$K48=2,$G48=1)),0,IF(AND(GF$9=2,(OR($F48&gt;1,$K48=1,AND($L48=80,OR($N48=1,AND($N48=2,'#BerechnungDBE'!$AL39&gt;0)))))),IF(GD$4&gt;=$AD$126,0,GN48),IF(GF$9=3,IF(OR(GD$4&gt;=$AD$127,AND($G48=1,$J48=2,GD$6=2),AND(GD$6=1,$N48&lt;&gt;1)),0,IF(GH48&lt;=120,GN48,IF(GD$4&lt;$AD$124,IF($F48=1,60/GF$4*GF$6,60/GF$4*GF$7),IF($F48=1,120/GF$4*GF$6,120/GF$4*GF$7)))),IF(OR($F48=3,$G48=2),IF(OR(AND(GD$4&gt;=$AD$119,$C48=2),AND(GD$4&gt;=$AF$119,$C48=1)),0,IF(GH48&lt;=60,GN48,60/GF$4*GF$7)),IF(AND($F48=2,$G48=1),GN48,0)))))</f>
        <v>0</v>
      </c>
      <c r="GQ48" s="57" t="str">
        <f t="shared" si="76"/>
        <v/>
      </c>
      <c r="GR48" s="57" t="str">
        <f t="shared" si="408"/>
        <v/>
      </c>
      <c r="GS48" s="713">
        <f>'org. Düngung 22'!BD47</f>
        <v>0</v>
      </c>
      <c r="GT48" s="57"/>
      <c r="GU48" s="57"/>
      <c r="GV48" s="57">
        <f t="shared" si="78"/>
        <v>0</v>
      </c>
      <c r="GW48" s="57">
        <f t="shared" si="253"/>
        <v>0</v>
      </c>
      <c r="GX48" s="57">
        <f t="shared" si="254"/>
        <v>0</v>
      </c>
      <c r="GY48" s="57">
        <f t="shared" si="255"/>
        <v>0</v>
      </c>
      <c r="GZ48" s="57">
        <f t="shared" si="256"/>
        <v>0</v>
      </c>
      <c r="HA48" s="1029">
        <f t="shared" si="409"/>
        <v>0</v>
      </c>
      <c r="HB48" s="57">
        <f t="shared" si="410"/>
        <v>0</v>
      </c>
      <c r="HC48" s="171" t="str">
        <f t="shared" si="411"/>
        <v/>
      </c>
      <c r="HD48" s="57">
        <f t="shared" si="257"/>
        <v>0</v>
      </c>
      <c r="HE48" s="57">
        <f>IF(OR(AND(GS$6=1,$L48=0),AND(GS$6=2,$K48=2,$G48=1)),0,IF(AND(GU$9=2,(OR($F48&gt;1,$K48=1,AND($L48=80,OR($N48=1,AND($N48=2,'#BerechnungDBE'!$AL39&gt;0)))))),IF(GS$4&gt;=$AD$126,0,HC48),IF(GU$9=3,IF(OR(GS$4&gt;=$AD$127,AND($G48=1,$J48=2,GS$6=2),AND(GS$6=1,$N48&lt;&gt;1)),0,IF(GW48&lt;=120,HC48,IF(GS$4&lt;$AD$124,IF($F48=1,60/GU$4*GU$6,60/GU$4*GU$7),IF($F48=1,120/GU$4*GU$6,120/GU$4*GU$7)))),IF(OR($F48=3,$G48=2),IF(OR(AND(GS$4&gt;=$AD$119,$C48=2),AND(GS$4&gt;=$AF$119,$C48=1)),0,IF(GW48&lt;=60,HC48,60/GU$4*GU$7)),IF(AND($F48=2,$G48=1),HC48,0)))))</f>
        <v>0</v>
      </c>
      <c r="HF48" s="57" t="str">
        <f t="shared" si="82"/>
        <v/>
      </c>
      <c r="HG48" s="57" t="str">
        <f t="shared" si="412"/>
        <v/>
      </c>
      <c r="HH48" s="713">
        <f>'org. Düngung 22'!BH47</f>
        <v>0</v>
      </c>
      <c r="HI48" s="57"/>
      <c r="HJ48" s="57"/>
      <c r="HK48" s="57">
        <f t="shared" si="84"/>
        <v>0</v>
      </c>
      <c r="HL48" s="57">
        <f t="shared" si="258"/>
        <v>0</v>
      </c>
      <c r="HM48" s="57">
        <f t="shared" si="259"/>
        <v>0</v>
      </c>
      <c r="HN48" s="57">
        <f t="shared" si="260"/>
        <v>0</v>
      </c>
      <c r="HO48" s="57">
        <f t="shared" si="261"/>
        <v>0</v>
      </c>
      <c r="HP48" s="1029">
        <f t="shared" si="413"/>
        <v>0</v>
      </c>
      <c r="HQ48" s="57">
        <f t="shared" si="414"/>
        <v>0</v>
      </c>
      <c r="HR48" s="171" t="str">
        <f t="shared" si="415"/>
        <v/>
      </c>
      <c r="HS48" s="57">
        <f t="shared" si="262"/>
        <v>0</v>
      </c>
      <c r="HT48" s="57">
        <f>IF(OR(AND(HH$6=1,$L48=0),AND(HH$6=2,$K48=2,$G48=1)),0,IF(AND(HJ$9=2,(OR($F48&gt;1,$K48=1,AND($L48=80,OR($N48=1,AND($N48=2,'#BerechnungDBE'!$AL39&gt;0)))))),IF(HH$4&gt;=$AD$126,0,HR48),IF(HJ$9=3,IF(OR(HH$4&gt;=$AD$127,AND($G48=1,$J48=2,HH$6=2),AND(HH$6=1,$N48&lt;&gt;1)),0,IF(HL48&lt;=120,HR48,IF(HH$4&lt;$AD$124,IF($F48=1,60/HJ$4*HJ$6,60/HJ$4*HJ$7),IF($F48=1,120/HJ$4*HJ$6,120/HJ$4*HJ$7)))),IF(OR($F48=3,$G48=2),IF(OR(AND(HH$4&gt;=$AD$119,$C48=2),AND(HH$4&gt;=$AF$119,$C48=1)),0,IF(HL48&lt;=60,HR48,60/HJ$4*HJ$7)),IF(AND($F48=2,$G48=1),HR48,0)))))</f>
        <v>0</v>
      </c>
      <c r="HU48" s="57" t="str">
        <f t="shared" si="88"/>
        <v/>
      </c>
      <c r="HV48" s="57" t="str">
        <f t="shared" si="416"/>
        <v/>
      </c>
      <c r="HW48" s="713">
        <f>'org. Düngung 22'!BL47</f>
        <v>0</v>
      </c>
      <c r="HX48" s="57"/>
      <c r="HY48" s="57"/>
      <c r="HZ48" s="57">
        <f t="shared" si="90"/>
        <v>0</v>
      </c>
      <c r="IA48" s="57">
        <f t="shared" si="263"/>
        <v>0</v>
      </c>
      <c r="IB48" s="57">
        <f t="shared" si="264"/>
        <v>0</v>
      </c>
      <c r="IC48" s="57">
        <f t="shared" si="265"/>
        <v>0</v>
      </c>
      <c r="ID48" s="57">
        <f t="shared" si="266"/>
        <v>0</v>
      </c>
      <c r="IE48" s="1029">
        <f t="shared" si="417"/>
        <v>0</v>
      </c>
      <c r="IF48" s="57">
        <f t="shared" si="418"/>
        <v>0</v>
      </c>
      <c r="IG48" s="171" t="str">
        <f t="shared" si="419"/>
        <v/>
      </c>
      <c r="IH48" s="57">
        <f t="shared" si="267"/>
        <v>0</v>
      </c>
      <c r="II48" s="57">
        <f>IF(OR(AND(HW$6=1,$L48=0),AND(HW$6=2,$K48=2,$G48=1)),0,IF(AND(HY$9=2,(OR($F48&gt;1,$K48=1,AND($L48=80,OR($N48=1,AND($N48=2,'#BerechnungDBE'!$AL39&gt;0)))))),IF(HW$4&gt;=$AD$126,0,IG48),IF(HY$9=3,IF(OR(HW$4&gt;=$AD$127,AND($G48=1,$J48=2,HW$6=2),AND(HW$6=1,$N48&lt;&gt;1)),0,IF(IA48&lt;=120,IG48,IF(HW$4&lt;$AD$124,IF($F48=1,60/HY$4*HY$6,60/HY$4*HY$7),IF($F48=1,120/HY$4*HY$6,120/HY$4*HY$7)))),IF(OR($F48=3,$G48=2),IF(OR(AND(HW$4&gt;=$AD$119,$C48=2),AND(HW$4&gt;=$AF$119,$C48=1)),0,IF(IA48&lt;=60,IG48,60/HY$4*HY$7)),IF(AND($F48=2,$G48=1),IG48,0)))))</f>
        <v>0</v>
      </c>
      <c r="IJ48" s="57" t="str">
        <f t="shared" si="94"/>
        <v/>
      </c>
      <c r="IK48" s="57" t="str">
        <f t="shared" si="420"/>
        <v/>
      </c>
      <c r="IL48" s="713">
        <f>'org. Düngung 22'!BP47</f>
        <v>0</v>
      </c>
      <c r="IM48" s="57"/>
      <c r="IN48" s="57"/>
      <c r="IO48" s="57">
        <f t="shared" si="96"/>
        <v>0</v>
      </c>
      <c r="IP48" s="57">
        <f t="shared" si="268"/>
        <v>0</v>
      </c>
      <c r="IQ48" s="57">
        <f t="shared" si="269"/>
        <v>0</v>
      </c>
      <c r="IR48" s="57">
        <f t="shared" si="270"/>
        <v>0</v>
      </c>
      <c r="IS48" s="57">
        <f t="shared" si="271"/>
        <v>0</v>
      </c>
      <c r="IT48" s="1029">
        <f t="shared" si="421"/>
        <v>0</v>
      </c>
      <c r="IU48" s="57">
        <f t="shared" si="422"/>
        <v>0</v>
      </c>
      <c r="IV48" s="171" t="str">
        <f t="shared" si="423"/>
        <v/>
      </c>
      <c r="IW48" s="57">
        <f t="shared" si="272"/>
        <v>0</v>
      </c>
      <c r="IX48" s="57">
        <f>IF(OR(AND(IL$6=1,$L48=0),AND(IL$6=2,$K48=2,$G48=1)),0,IF(AND(IN$9=2,(OR($F48&gt;1,$K48=1,AND($L48=80,OR($N48=1,AND($N48=2,'#BerechnungDBE'!$AL39&gt;0)))))),IF(IL$4&gt;=$AD$126,0,IV48),IF(IN$9=3,IF(OR(IL$4&gt;=$AD$127,AND($G48=1,$J48=2,IL$6=2),AND(IL$6=1,$N48&lt;&gt;1)),0,IF(IP48&lt;=120,IV48,IF(IL$4&lt;$AD$124,IF($F48=1,60/IN$4*IN$6,60/IN$4*IN$7),IF($F48=1,120/IN$4*IN$6,120/IN$4*IN$7)))),IF(OR($F48=3,$G48=2),IF(OR(AND(IL$4&gt;=$AD$119,$C48=2),AND(IL$4&gt;=$AF$119,$C48=1)),0,IF(IP48&lt;=60,IV48,60/IN$4*IN$7)),IF(AND($F48=2,$G48=1),IV48,0)))))</f>
        <v>0</v>
      </c>
      <c r="IY48" s="57" t="str">
        <f t="shared" si="100"/>
        <v/>
      </c>
      <c r="IZ48" s="57" t="str">
        <f t="shared" si="424"/>
        <v/>
      </c>
      <c r="JA48" s="713">
        <f>'org. Düngung 22'!BT47</f>
        <v>0</v>
      </c>
      <c r="JB48" s="57"/>
      <c r="JC48" s="57"/>
      <c r="JD48" s="57">
        <f t="shared" si="102"/>
        <v>0</v>
      </c>
      <c r="JE48" s="57">
        <f t="shared" si="273"/>
        <v>0</v>
      </c>
      <c r="JF48" s="57">
        <f t="shared" si="274"/>
        <v>0</v>
      </c>
      <c r="JG48" s="57">
        <f t="shared" si="275"/>
        <v>0</v>
      </c>
      <c r="JH48" s="57">
        <f t="shared" si="276"/>
        <v>0</v>
      </c>
      <c r="JI48" s="1029">
        <f t="shared" si="425"/>
        <v>0</v>
      </c>
      <c r="JJ48" s="57">
        <f t="shared" si="426"/>
        <v>0</v>
      </c>
      <c r="JK48" s="171" t="str">
        <f t="shared" si="427"/>
        <v/>
      </c>
      <c r="JL48" s="57">
        <f t="shared" si="277"/>
        <v>0</v>
      </c>
      <c r="JM48" s="57">
        <f>IF(OR(AND(JA$6=1,$L48=0),AND(JA$6=2,$K48=2,$G48=1)),0,IF(AND(JC$9=2,(OR($F48&gt;1,$K48=1,AND($L48=80,OR($N48=1,AND($N48=2,'#BerechnungDBE'!$AL39&gt;0)))))),IF(JA$4&gt;=$AD$126,0,JK48),IF(JC$9=3,IF(OR(JA$4&gt;=$AD$127,AND($G48=1,$J48=2,JA$6=2),AND(JA$6=1,$N48&lt;&gt;1)),0,IF(JE48&lt;=120,JK48,IF(JA$4&lt;$AD$124,IF($F48=1,60/JC$4*JC$6,60/JC$4*JC$7),IF($F48=1,120/JC$4*JC$6,120/JC$4*JC$7)))),IF(OR($F48=3,$G48=2),IF(OR(AND(JA$4&gt;=$AD$119,$C48=2),AND(JA$4&gt;=$AF$119,$C48=1)),0,IF(JE48&lt;=60,JK48,60/JC$4*JC$7)),IF(AND($F48=2,$G48=1),JK48,0)))))</f>
        <v>0</v>
      </c>
      <c r="JN48" s="57" t="str">
        <f t="shared" si="106"/>
        <v/>
      </c>
      <c r="JO48" s="57" t="str">
        <f t="shared" si="428"/>
        <v/>
      </c>
      <c r="JP48" s="713">
        <f>'org. Düngung 22'!BX47</f>
        <v>0</v>
      </c>
      <c r="JQ48" s="57"/>
      <c r="JR48" s="57"/>
      <c r="JS48" s="57">
        <f t="shared" si="108"/>
        <v>0</v>
      </c>
      <c r="JT48" s="57">
        <f t="shared" si="278"/>
        <v>0</v>
      </c>
      <c r="JU48" s="57">
        <f t="shared" si="279"/>
        <v>0</v>
      </c>
      <c r="JV48" s="57">
        <f t="shared" si="280"/>
        <v>0</v>
      </c>
      <c r="JW48" s="57">
        <f t="shared" si="281"/>
        <v>0</v>
      </c>
      <c r="JX48" s="1029">
        <f t="shared" si="429"/>
        <v>0</v>
      </c>
      <c r="JY48" s="57">
        <f t="shared" si="430"/>
        <v>0</v>
      </c>
      <c r="JZ48" s="171" t="str">
        <f t="shared" si="431"/>
        <v/>
      </c>
      <c r="KA48" s="57">
        <f t="shared" si="282"/>
        <v>0</v>
      </c>
      <c r="KB48" s="57">
        <f>IF(OR(AND(JP$6=1,$L48=0),AND(JP$6=2,$K48=2,$G48=1)),0,IF(AND(JR$9=2,(OR($F48&gt;1,$K48=1,AND($L48=80,OR($N48=1,AND($N48=2,'#BerechnungDBE'!$AL39&gt;0)))))),IF(JP$4&gt;=$AD$126,0,JZ48),IF(JR$9=3,IF(OR(JP$4&gt;=$AD$127,AND($G48=1,$J48=2,JP$6=2),AND(JP$6=1,$N48&lt;&gt;1)),0,IF(JT48&lt;=120,JZ48,IF(JP$4&lt;$AD$124,IF($F48=1,60/JR$4*JR$6,60/JR$4*JR$7),IF($F48=1,120/JR$4*JR$6,120/JR$4*JR$7)))),IF(OR($F48=3,$G48=2),IF(OR(AND(JP$4&gt;=$AD$119,$C48=2),AND(JP$4&gt;=$AF$119,$C48=1)),0,IF(JT48&lt;=60,JZ48,60/JR$4*JR$7)),IF(AND($F48=2,$G48=1),JZ48,0)))))</f>
        <v>0</v>
      </c>
      <c r="KC48" s="57" t="str">
        <f t="shared" si="112"/>
        <v/>
      </c>
      <c r="KD48" s="57" t="str">
        <f t="shared" si="432"/>
        <v/>
      </c>
      <c r="KE48" s="713">
        <f>'org. Düngung 22'!CB47</f>
        <v>0</v>
      </c>
      <c r="KF48" s="57"/>
      <c r="KG48" s="57"/>
      <c r="KH48" s="57">
        <f t="shared" si="114"/>
        <v>0</v>
      </c>
      <c r="KI48" s="57">
        <f t="shared" si="283"/>
        <v>0</v>
      </c>
      <c r="KJ48" s="57">
        <f t="shared" si="284"/>
        <v>0</v>
      </c>
      <c r="KK48" s="57">
        <f t="shared" si="285"/>
        <v>0</v>
      </c>
      <c r="KL48" s="57">
        <f t="shared" si="286"/>
        <v>0</v>
      </c>
      <c r="KM48" s="1029">
        <f t="shared" si="433"/>
        <v>0</v>
      </c>
      <c r="KN48" s="57">
        <f t="shared" si="434"/>
        <v>0</v>
      </c>
      <c r="KO48" s="171" t="str">
        <f t="shared" si="435"/>
        <v/>
      </c>
      <c r="KP48" s="57">
        <f t="shared" si="287"/>
        <v>0</v>
      </c>
      <c r="KQ48" s="57">
        <f>IF(OR(AND(KE$6=1,$L48=0),AND(KE$6=2,$K48=2,$G48=1)),0,IF(AND(KG$9=2,(OR($F48&gt;1,$K48=1,AND($L48=80,OR($N48=1,AND($N48=2,'#BerechnungDBE'!$AL39&gt;0)))))),IF(KE$4&gt;=$AD$126,0,KO48),IF(KG$9=3,IF(OR(KE$4&gt;=$AD$127,AND($G48=1,$J48=2,KE$6=2),AND(KE$6=1,$N48&lt;&gt;1)),0,IF(KI48&lt;=120,KO48,IF(KE$4&lt;$AD$124,IF($F48=1,60/KG$4*KG$6,60/KG$4*KG$7),IF($F48=1,120/KG$4*KG$6,120/KG$4*KG$7)))),IF(OR($F48=3,$G48=2),IF(OR(AND(KE$4&gt;=$AD$119,$C48=2),AND(KE$4&gt;=$AF$119,$C48=1)),0,IF(KI48&lt;=60,KO48,60/KG$4*KG$7)),IF(AND($F48=2,$G48=1),KO48,0)))))</f>
        <v>0</v>
      </c>
      <c r="KR48" s="57" t="str">
        <f t="shared" si="118"/>
        <v/>
      </c>
      <c r="KS48" s="57" t="str">
        <f t="shared" si="436"/>
        <v/>
      </c>
      <c r="KT48" s="713">
        <f>'org. Düngung 22'!CF47</f>
        <v>0</v>
      </c>
      <c r="KU48" s="57"/>
      <c r="KV48" s="57"/>
      <c r="KW48" s="57">
        <f t="shared" si="120"/>
        <v>0</v>
      </c>
      <c r="KX48" s="57">
        <f t="shared" si="288"/>
        <v>0</v>
      </c>
      <c r="KY48" s="57">
        <f t="shared" si="289"/>
        <v>0</v>
      </c>
      <c r="KZ48" s="57">
        <f t="shared" si="290"/>
        <v>0</v>
      </c>
      <c r="LA48" s="57">
        <f t="shared" si="291"/>
        <v>0</v>
      </c>
      <c r="LB48" s="1029">
        <f t="shared" si="437"/>
        <v>0</v>
      </c>
      <c r="LC48" s="57">
        <f t="shared" si="438"/>
        <v>0</v>
      </c>
      <c r="LD48" s="171" t="str">
        <f t="shared" si="439"/>
        <v/>
      </c>
      <c r="LE48" s="57">
        <f t="shared" si="292"/>
        <v>0</v>
      </c>
      <c r="LF48" s="57">
        <f>IF(OR(AND(KT$6=1,$L48=0),AND(KT$6=2,$K48=2,$G48=1)),0,IF(AND(KV$9=2,(OR($F48&gt;1,$K48=1,AND($L48=80,OR($N48=1,AND($N48=2,'#BerechnungDBE'!$AL39&gt;0)))))),IF(KT$4&gt;=$AD$126,0,LD48),IF(KV$9=3,IF(OR(KT$4&gt;=$AD$127,AND($G48=1,$J48=2,KT$6=2),AND(KT$6=1,$N48&lt;&gt;1)),0,IF(KX48&lt;=120,LD48,IF(KT$4&lt;$AD$124,IF($F48=1,60/KV$4*KV$6,60/KV$4*KV$7),IF($F48=1,120/KV$4*KV$6,120/KV$4*KV$7)))),IF(OR($F48=3,$G48=2),IF(OR(AND(KT$4&gt;=$AD$119,$C48=2),AND(KT$4&gt;=$AF$119,$C48=1)),0,IF(KX48&lt;=60,LD48,60/KV$4*KV$7)),IF(AND($F48=2,$G48=1),LD48,0)))))</f>
        <v>0</v>
      </c>
      <c r="LG48" s="57" t="str">
        <f t="shared" si="124"/>
        <v/>
      </c>
      <c r="LH48" s="57" t="str">
        <f t="shared" si="440"/>
        <v/>
      </c>
      <c r="LI48" s="713">
        <f>'org. Düngung 22'!CJ47</f>
        <v>0</v>
      </c>
      <c r="LJ48" s="57"/>
      <c r="LK48" s="57"/>
      <c r="LL48" s="57">
        <f t="shared" si="126"/>
        <v>0</v>
      </c>
      <c r="LM48" s="57">
        <f t="shared" si="293"/>
        <v>0</v>
      </c>
      <c r="LN48" s="57">
        <f t="shared" si="294"/>
        <v>0</v>
      </c>
      <c r="LO48" s="57">
        <f t="shared" si="295"/>
        <v>0</v>
      </c>
      <c r="LP48" s="57">
        <f t="shared" si="296"/>
        <v>0</v>
      </c>
      <c r="LQ48" s="1029">
        <f t="shared" si="441"/>
        <v>0</v>
      </c>
      <c r="LR48" s="57">
        <f t="shared" si="442"/>
        <v>0</v>
      </c>
      <c r="LS48" s="171" t="str">
        <f t="shared" si="443"/>
        <v/>
      </c>
      <c r="LT48" s="57">
        <f t="shared" si="297"/>
        <v>0</v>
      </c>
      <c r="LU48" s="57">
        <f>IF(OR(AND(LI$6=1,$L48=0),AND(LI$6=2,$K48=2,$G48=1)),0,IF(AND(LK$9=2,(OR($F48&gt;1,$K48=1,AND($L48=80,OR($N48=1,AND($N48=2,'#BerechnungDBE'!$AL39&gt;0)))))),IF(LI$4&gt;=$AD$126,0,LS48),IF(LK$9=3,IF(OR(LI$4&gt;=$AD$127,AND($G48=1,$J48=2,LI$6=2),AND(LI$6=1,$N48&lt;&gt;1)),0,IF(LM48&lt;=120,LS48,IF(LI$4&lt;$AD$124,IF($F48=1,60/LK$4*LK$6,60/LK$4*LK$7),IF($F48=1,120/LK$4*LK$6,120/LK$4*LK$7)))),IF(OR($F48=3,$G48=2),IF(OR(AND(LI$4&gt;=$AD$119,$C48=2),AND(LI$4&gt;=$AF$119,$C48=1)),0,IF(LM48&lt;=60,LS48,60/LK$4*LK$7)),IF(AND($F48=2,$G48=1),LS48,0)))))</f>
        <v>0</v>
      </c>
      <c r="LV48" s="57" t="str">
        <f t="shared" si="130"/>
        <v/>
      </c>
      <c r="LW48" s="57" t="str">
        <f t="shared" si="444"/>
        <v/>
      </c>
      <c r="LX48" s="713">
        <f>'org. Düngung 22'!CN47</f>
        <v>0</v>
      </c>
      <c r="LY48" s="57"/>
      <c r="LZ48" s="57"/>
      <c r="MA48" s="57">
        <f t="shared" si="132"/>
        <v>0</v>
      </c>
      <c r="MB48" s="57">
        <f t="shared" si="298"/>
        <v>0</v>
      </c>
      <c r="MC48" s="57">
        <f t="shared" si="299"/>
        <v>0</v>
      </c>
      <c r="MD48" s="57">
        <f t="shared" si="300"/>
        <v>0</v>
      </c>
      <c r="ME48" s="57">
        <f t="shared" si="301"/>
        <v>0</v>
      </c>
      <c r="MF48" s="1029">
        <f t="shared" si="445"/>
        <v>0</v>
      </c>
      <c r="MG48" s="57">
        <f t="shared" si="446"/>
        <v>0</v>
      </c>
      <c r="MH48" s="171" t="str">
        <f t="shared" si="447"/>
        <v/>
      </c>
      <c r="MI48" s="57">
        <f t="shared" si="302"/>
        <v>0</v>
      </c>
      <c r="MJ48" s="57">
        <f>IF(OR(AND(LX$6=1,$L48=0),AND(LX$6=2,$K48=2,$G48=1)),0,IF(AND(LZ$9=2,(OR($F48&gt;1,$K48=1,AND($L48=80,OR($N48=1,AND($N48=2,'#BerechnungDBE'!$AL39&gt;0)))))),IF(LX$4&gt;=$AD$126,0,MH48),IF(LZ$9=3,IF(OR(LX$4&gt;=$AD$127,AND($G48=1,$J48=2,LX$6=2),AND(LX$6=1,$N48&lt;&gt;1)),0,IF(MB48&lt;=120,MH48,IF(LX$4&lt;$AD$124,IF($F48=1,60/LZ$4*LZ$6,60/LZ$4*LZ$7),IF($F48=1,120/LZ$4*LZ$6,120/LZ$4*LZ$7)))),IF(OR($F48=3,$G48=2),IF(OR(AND(LX$4&gt;=$AD$119,$C48=2),AND(LX$4&gt;=$AF$119,$C48=1)),0,IF(MB48&lt;=60,MH48,60/LZ$4*LZ$7)),IF(AND($F48=2,$G48=1),MH48,0)))))</f>
        <v>0</v>
      </c>
      <c r="MK48" s="57" t="str">
        <f t="shared" si="136"/>
        <v/>
      </c>
      <c r="ML48" s="57" t="str">
        <f t="shared" si="448"/>
        <v/>
      </c>
      <c r="MM48" s="713">
        <f>'org. Düngung 22'!CR47</f>
        <v>0</v>
      </c>
      <c r="MN48" s="57"/>
      <c r="MO48" s="57"/>
      <c r="MP48" s="57">
        <f t="shared" si="138"/>
        <v>0</v>
      </c>
      <c r="MQ48" s="57">
        <f t="shared" si="303"/>
        <v>0</v>
      </c>
      <c r="MR48" s="57">
        <f t="shared" si="304"/>
        <v>0</v>
      </c>
      <c r="MS48" s="57">
        <f t="shared" si="305"/>
        <v>0</v>
      </c>
      <c r="MT48" s="57">
        <f t="shared" si="306"/>
        <v>0</v>
      </c>
      <c r="MU48" s="1029">
        <f t="shared" si="449"/>
        <v>0</v>
      </c>
      <c r="MV48" s="57">
        <f t="shared" si="450"/>
        <v>0</v>
      </c>
      <c r="MW48" s="171" t="str">
        <f t="shared" si="451"/>
        <v/>
      </c>
      <c r="MX48" s="57">
        <f t="shared" si="307"/>
        <v>0</v>
      </c>
      <c r="MY48" s="57">
        <f>IF(OR(AND(MM$6=1,$L48=0),AND(MM$6=2,$K48=2,$G48=1)),0,IF(AND(MO$9=2,(OR($F48&gt;1,$K48=1,AND($L48=80,OR($N48=1,AND($N48=2,'#BerechnungDBE'!$AL39&gt;0)))))),IF(MM$4&gt;=$AD$126,0,MW48),IF(MO$9=3,IF(OR(MM$4&gt;=$AD$127,AND($G48=1,$J48=2,MM$6=2),AND(MM$6=1,$N48&lt;&gt;1)),0,IF(MQ48&lt;=120,MW48,IF(MM$4&lt;$AD$124,IF($F48=1,60/MO$4*MO$6,60/MO$4*MO$7),IF($F48=1,120/MO$4*MO$6,120/MO$4*MO$7)))),IF(OR($F48=3,$G48=2),IF(OR(AND(MM$4&gt;=$AD$119,$C48=2),AND(MM$4&gt;=$AF$119,$C48=1)),0,IF(MQ48&lt;=60,MW48,60/MO$4*MO$7)),IF(AND($F48=2,$G48=1),MW48,0)))))</f>
        <v>0</v>
      </c>
      <c r="MZ48" s="57" t="str">
        <f t="shared" si="142"/>
        <v/>
      </c>
      <c r="NA48" s="57" t="str">
        <f t="shared" si="452"/>
        <v/>
      </c>
      <c r="NB48" s="713">
        <f>'org. Düngung 22'!CV47</f>
        <v>0</v>
      </c>
      <c r="NC48" s="57"/>
      <c r="ND48" s="57"/>
      <c r="NE48" s="57">
        <f t="shared" si="144"/>
        <v>0</v>
      </c>
      <c r="NF48" s="57">
        <f t="shared" si="308"/>
        <v>0</v>
      </c>
      <c r="NG48" s="57">
        <f t="shared" si="309"/>
        <v>0</v>
      </c>
      <c r="NH48" s="57">
        <f t="shared" si="310"/>
        <v>0</v>
      </c>
      <c r="NI48" s="57">
        <f t="shared" si="311"/>
        <v>0</v>
      </c>
      <c r="NJ48" s="1029">
        <f t="shared" si="453"/>
        <v>0</v>
      </c>
      <c r="NK48" s="57">
        <f t="shared" si="454"/>
        <v>0</v>
      </c>
      <c r="NL48" s="171" t="str">
        <f t="shared" si="455"/>
        <v/>
      </c>
      <c r="NM48" s="57">
        <f t="shared" si="312"/>
        <v>0</v>
      </c>
      <c r="NN48" s="57">
        <f>IF(OR(AND(NB$6=1,$L48=0),AND(NB$6=2,$K48=2,$G48=1)),0,IF(AND(ND$9=2,(OR($F48&gt;1,$K48=1,AND($L48=80,OR($N48=1,AND($N48=2,'#BerechnungDBE'!$AL39&gt;0)))))),IF(NB$4&gt;=$AD$126,0,NL48),IF(ND$9=3,IF(OR(NB$4&gt;=$AD$127,AND($G48=1,$J48=2,NB$6=2),AND(NB$6=1,$N48&lt;&gt;1)),0,IF(NF48&lt;=120,NL48,IF(NB$4&lt;$AD$124,IF($F48=1,60/ND$4*ND$6,60/ND$4*ND$7),IF($F48=1,120/ND$4*ND$6,120/ND$4*ND$7)))),IF(OR($F48=3,$G48=2),IF(OR(AND(NB$4&gt;=$AD$119,$C48=2),AND(NB$4&gt;=$AF$119,$C48=1)),0,IF(NF48&lt;=60,NL48,60/ND$4*ND$7)),IF(AND($F48=2,$G48=1),NL48,0)))))</f>
        <v>0</v>
      </c>
      <c r="NO48" s="57" t="str">
        <f t="shared" si="148"/>
        <v/>
      </c>
      <c r="NP48" s="57" t="str">
        <f t="shared" si="456"/>
        <v/>
      </c>
      <c r="NQ48" s="713">
        <f>'org. Düngung 22'!CZ47</f>
        <v>0</v>
      </c>
      <c r="NR48" s="57"/>
      <c r="NS48" s="57"/>
      <c r="NT48" s="57">
        <f t="shared" si="150"/>
        <v>0</v>
      </c>
      <c r="NU48" s="57">
        <f t="shared" si="313"/>
        <v>0</v>
      </c>
      <c r="NV48" s="57">
        <f t="shared" si="314"/>
        <v>0</v>
      </c>
      <c r="NW48" s="57">
        <f t="shared" si="315"/>
        <v>0</v>
      </c>
      <c r="NX48" s="57">
        <f t="shared" si="316"/>
        <v>0</v>
      </c>
      <c r="NY48" s="1029">
        <f t="shared" si="457"/>
        <v>0</v>
      </c>
      <c r="NZ48" s="57">
        <f t="shared" si="458"/>
        <v>0</v>
      </c>
      <c r="OA48" s="171" t="str">
        <f t="shared" si="459"/>
        <v/>
      </c>
      <c r="OB48" s="57">
        <f t="shared" si="317"/>
        <v>0</v>
      </c>
      <c r="OC48" s="57">
        <f>IF(OR(AND(NQ$6=1,$L48=0),AND(NQ$6=2,$K48=2,$G48=1)),0,IF(AND(NS$9=2,(OR($F48&gt;1,$K48=1,AND($L48=80,OR($N48=1,AND($N48=2,'#BerechnungDBE'!$AL39&gt;0)))))),IF(NQ$4&gt;=$AD$126,0,OA48),IF(NS$9=3,IF(OR(NQ$4&gt;=$AD$127,AND($G48=1,$J48=2,NQ$6=2),AND(NQ$6=1,$N48&lt;&gt;1)),0,IF(NU48&lt;=120,OA48,IF(NQ$4&lt;$AD$124,IF($F48=1,60/NS$4*NS$6,60/NS$4*NS$7),IF($F48=1,120/NS$4*NS$6,120/NS$4*NS$7)))),IF(OR($F48=3,$G48=2),IF(OR(AND(NQ$4&gt;=$AD$119,$C48=2),AND(NQ$4&gt;=$AF$119,$C48=1)),0,IF(NU48&lt;=60,OA48,60/NS$4*NS$7)),IF(AND($F48=2,$G48=1),OA48,0)))))</f>
        <v>0</v>
      </c>
      <c r="OD48" s="57" t="str">
        <f t="shared" si="154"/>
        <v/>
      </c>
      <c r="OE48" s="57" t="str">
        <f t="shared" si="460"/>
        <v/>
      </c>
      <c r="OF48" s="713">
        <f>'org. Düngung 22'!DD47</f>
        <v>0</v>
      </c>
      <c r="OG48" s="57"/>
      <c r="OH48" s="57"/>
      <c r="OI48" s="57">
        <f t="shared" si="156"/>
        <v>0</v>
      </c>
      <c r="OJ48" s="57">
        <f t="shared" si="318"/>
        <v>0</v>
      </c>
      <c r="OK48" s="57">
        <f t="shared" si="319"/>
        <v>0</v>
      </c>
      <c r="OL48" s="57">
        <f t="shared" si="320"/>
        <v>0</v>
      </c>
      <c r="OM48" s="57">
        <f t="shared" si="321"/>
        <v>0</v>
      </c>
      <c r="ON48" s="1029">
        <f t="shared" si="461"/>
        <v>0</v>
      </c>
      <c r="OO48" s="57">
        <f t="shared" si="462"/>
        <v>0</v>
      </c>
      <c r="OP48" s="171" t="str">
        <f t="shared" si="463"/>
        <v/>
      </c>
      <c r="OQ48" s="57">
        <f t="shared" si="322"/>
        <v>0</v>
      </c>
      <c r="OR48" s="57">
        <f>IF(OR(AND(OF$6=1,$L48=0),AND(OF$6=2,$K48=2,$G48=1)),0,IF(AND(OH$9=2,(OR($F48&gt;1,$K48=1,AND($L48=80,OR($N48=1,AND($N48=2,'#BerechnungDBE'!$AL39&gt;0)))))),IF(OF$4&gt;=$AD$126,0,OP48),IF(OH$9=3,IF(OR(OF$4&gt;=$AD$127,AND($G48=1,$J48=2,OF$6=2),AND(OF$6=1,$N48&lt;&gt;1)),0,IF(OJ48&lt;=120,OP48,IF(OF$4&lt;$AD$124,IF($F48=1,60/OH$4*OH$6,60/OH$4*OH$7),IF($F48=1,120/OH$4*OH$6,120/OH$4*OH$7)))),IF(OR($F48=3,$G48=2),IF(OR(AND(OF$4&gt;=$AD$119,$C48=2),AND(OF$4&gt;=$AF$119,$C48=1)),0,IF(OJ48&lt;=60,OP48,60/OH$4*OH$7)),IF(AND($F48=2,$G48=1),OP48,0)))))</f>
        <v>0</v>
      </c>
      <c r="OS48" s="57" t="str">
        <f t="shared" si="160"/>
        <v/>
      </c>
      <c r="OT48" s="57" t="str">
        <f t="shared" si="464"/>
        <v/>
      </c>
      <c r="OU48" s="713">
        <f>'org. Düngung 22'!DH47</f>
        <v>0</v>
      </c>
      <c r="OV48" s="57"/>
      <c r="OW48" s="57"/>
      <c r="OX48" s="57">
        <f t="shared" si="162"/>
        <v>0</v>
      </c>
      <c r="OY48" s="57">
        <f t="shared" si="323"/>
        <v>0</v>
      </c>
      <c r="OZ48" s="57">
        <f t="shared" si="324"/>
        <v>0</v>
      </c>
      <c r="PA48" s="57">
        <f t="shared" si="325"/>
        <v>0</v>
      </c>
      <c r="PB48" s="57">
        <f t="shared" si="326"/>
        <v>0</v>
      </c>
      <c r="PC48" s="1029">
        <f t="shared" si="465"/>
        <v>0</v>
      </c>
      <c r="PD48" s="57">
        <f t="shared" si="466"/>
        <v>0</v>
      </c>
      <c r="PE48" s="171" t="str">
        <f t="shared" si="467"/>
        <v/>
      </c>
      <c r="PF48" s="57">
        <f t="shared" si="327"/>
        <v>0</v>
      </c>
      <c r="PG48" s="57">
        <f>IF(OR(AND(OU$6=1,$L48=0),AND(OU$6=2,$K48=2,$G48=1)),0,IF(AND(OW$9=2,(OR($F48&gt;1,$K48=1,AND($L48=80,OR($N48=1,AND($N48=2,'#BerechnungDBE'!$AL39&gt;0)))))),IF(OU$4&gt;=$AD$126,0,PE48),IF(OW$9=3,IF(OR(OU$4&gt;=$AD$127,AND($G48=1,$J48=2,OU$6=2),AND(OU$6=1,$N48&lt;&gt;1)),0,IF(OY48&lt;=120,PE48,IF(OU$4&lt;$AD$124,IF($F48=1,60/OW$4*OW$6,60/OW$4*OW$7),IF($F48=1,120/OW$4*OW$6,120/OW$4*OW$7)))),IF(OR($F48=3,$G48=2),IF(OR(AND(OU$4&gt;=$AD$119,$C48=2),AND(OU$4&gt;=$AF$119,$C48=1)),0,IF(OY48&lt;=60,PE48,60/OW$4*OW$7)),IF(AND($F48=2,$G48=1),PE48,0)))))</f>
        <v>0</v>
      </c>
      <c r="PH48" s="57" t="str">
        <f t="shared" si="166"/>
        <v/>
      </c>
      <c r="PI48" s="57" t="str">
        <f t="shared" si="468"/>
        <v/>
      </c>
      <c r="PJ48" s="713">
        <f>'org. Düngung 22'!DL47</f>
        <v>0</v>
      </c>
      <c r="PK48" s="57"/>
      <c r="PL48" s="57"/>
      <c r="PM48" s="57">
        <f t="shared" si="168"/>
        <v>0</v>
      </c>
      <c r="PN48" s="57">
        <f t="shared" si="328"/>
        <v>0</v>
      </c>
      <c r="PO48" s="57">
        <f t="shared" si="329"/>
        <v>0</v>
      </c>
      <c r="PP48" s="57">
        <f t="shared" si="330"/>
        <v>0</v>
      </c>
      <c r="PQ48" s="57">
        <f t="shared" si="331"/>
        <v>0</v>
      </c>
      <c r="PR48" s="1029">
        <f t="shared" si="469"/>
        <v>0</v>
      </c>
      <c r="PS48" s="57">
        <f t="shared" si="470"/>
        <v>0</v>
      </c>
      <c r="PT48" s="171" t="str">
        <f t="shared" si="471"/>
        <v/>
      </c>
      <c r="PU48" s="57">
        <f t="shared" si="332"/>
        <v>0</v>
      </c>
      <c r="PV48" s="57">
        <f>IF(OR(AND(PJ$6=1,$L48=0),AND(PJ$6=2,$K48=2,$G48=1)),0,IF(AND(PL$9=2,(OR($F48&gt;1,$K48=1,AND($L48=80,OR($N48=1,AND($N48=2,'#BerechnungDBE'!$AL39&gt;0)))))),IF(PJ$4&gt;=$AD$126,0,PT48),IF(PL$9=3,IF(OR(PJ$4&gt;=$AD$127,AND($G48=1,$J48=2,PJ$6=2),AND(PJ$6=1,$N48&lt;&gt;1)),0,IF(PN48&lt;=120,PT48,IF(PJ$4&lt;$AD$124,IF($F48=1,60/PL$4*PL$6,60/PL$4*PL$7),IF($F48=1,120/PL$4*PL$6,120/PL$4*PL$7)))),IF(OR($F48=3,$G48=2),IF(OR(AND(PJ$4&gt;=$AD$119,$C48=2),AND(PJ$4&gt;=$AF$119,$C48=1)),0,IF(PN48&lt;=60,PT48,60/PL$4*PL$7)),IF(AND($F48=2,$G48=1),PT48,0)))))</f>
        <v>0</v>
      </c>
      <c r="PW48" s="57" t="str">
        <f t="shared" si="172"/>
        <v/>
      </c>
      <c r="PX48" s="57" t="str">
        <f t="shared" si="472"/>
        <v/>
      </c>
      <c r="PY48" s="713">
        <f>'org. Düngung 22'!DP47</f>
        <v>0</v>
      </c>
      <c r="PZ48" s="57"/>
      <c r="QA48" s="57"/>
      <c r="QB48" s="57">
        <f t="shared" si="174"/>
        <v>0</v>
      </c>
      <c r="QC48" s="57">
        <f t="shared" si="333"/>
        <v>0</v>
      </c>
      <c r="QD48" s="57">
        <f t="shared" si="334"/>
        <v>0</v>
      </c>
      <c r="QE48" s="57">
        <f t="shared" si="335"/>
        <v>0</v>
      </c>
      <c r="QF48" s="57">
        <f t="shared" si="336"/>
        <v>0</v>
      </c>
      <c r="QG48" s="1029">
        <f t="shared" si="473"/>
        <v>0</v>
      </c>
      <c r="QH48" s="57">
        <f t="shared" si="474"/>
        <v>0</v>
      </c>
      <c r="QI48" s="171" t="str">
        <f t="shared" si="475"/>
        <v/>
      </c>
      <c r="QJ48" s="57">
        <f t="shared" si="337"/>
        <v>0</v>
      </c>
      <c r="QK48" s="57">
        <f>IF(OR(AND(PY$6=1,$L48=0),AND(PY$6=2,$K48=2,$G48=1)),0,IF(AND(QA$9=2,(OR($F48&gt;1,$K48=1,AND($L48=80,OR($N48=1,AND($N48=2,'#BerechnungDBE'!$AL39&gt;0)))))),IF(PY$4&gt;=$AD$126,0,QI48),IF(QA$9=3,IF(OR(PY$4&gt;=$AD$127,AND($G48=1,$J48=2,PY$6=2),AND(PY$6=1,$N48&lt;&gt;1)),0,IF(QC48&lt;=120,QI48,IF(PY$4&lt;$AD$124,IF($F48=1,60/QA$4*QA$6,60/QA$4*QA$7),IF($F48=1,120/QA$4*QA$6,120/QA$4*QA$7)))),IF(OR($F48=3,$G48=2),IF(OR(AND(PY$4&gt;=$AD$119,$C48=2),AND(PY$4&gt;=$AF$119,$C48=1)),0,IF(QC48&lt;=60,QI48,60/QA$4*QA$7)),IF(AND($F48=2,$G48=1),QI48,0)))))</f>
        <v>0</v>
      </c>
      <c r="QL48" s="57" t="str">
        <f t="shared" si="178"/>
        <v/>
      </c>
      <c r="QM48" s="57" t="str">
        <f t="shared" si="476"/>
        <v/>
      </c>
      <c r="QN48" s="713">
        <f>'org. Düngung 22'!DT47</f>
        <v>0</v>
      </c>
      <c r="QO48" s="57"/>
      <c r="QP48" s="57"/>
      <c r="QQ48" s="57">
        <f t="shared" si="180"/>
        <v>0</v>
      </c>
      <c r="QR48" s="57">
        <f t="shared" si="338"/>
        <v>0</v>
      </c>
      <c r="QS48" s="57">
        <f t="shared" si="339"/>
        <v>0</v>
      </c>
      <c r="QT48" s="57">
        <f t="shared" si="340"/>
        <v>0</v>
      </c>
      <c r="QU48" s="57">
        <f t="shared" si="341"/>
        <v>0</v>
      </c>
      <c r="QV48" s="1029">
        <f t="shared" si="477"/>
        <v>0</v>
      </c>
      <c r="QW48" s="57">
        <f t="shared" si="478"/>
        <v>0</v>
      </c>
      <c r="QX48" s="171" t="str">
        <f t="shared" si="479"/>
        <v/>
      </c>
      <c r="QY48" s="57">
        <f t="shared" si="342"/>
        <v>0</v>
      </c>
      <c r="QZ48" s="57">
        <f>IF(OR(AND(QN$6=1,$L48=0),AND(QN$6=2,$K48=2,$G48=1)),0,IF(AND(QP$9=2,(OR($F48&gt;1,$K48=1,AND($L48=80,OR($N48=1,AND($N48=2,'#BerechnungDBE'!$AL39&gt;0)))))),IF(QN$4&gt;=$AD$126,0,QX48),IF(QP$9=3,IF(OR(QN$4&gt;=$AD$127,AND($G48=1,$J48=2,QN$6=2),AND(QN$6=1,$N48&lt;&gt;1)),0,IF(QR48&lt;=120,QX48,IF(QN$4&lt;$AD$124,IF($F48=1,60/QP$4*QP$6,60/QP$4*QP$7),IF($F48=1,120/QP$4*QP$6,120/QP$4*QP$7)))),IF(OR($F48=3,$G48=2),IF(OR(AND(QN$4&gt;=$AD$119,$C48=2),AND(QN$4&gt;=$AF$119,$C48=1)),0,IF(QR48&lt;=60,QX48,60/QP$4*QP$7)),IF(AND($F48=2,$G48=1),QX48,0)))))</f>
        <v>0</v>
      </c>
      <c r="RA48" s="57" t="str">
        <f t="shared" si="184"/>
        <v/>
      </c>
      <c r="RB48" s="57" t="str">
        <f t="shared" si="480"/>
        <v/>
      </c>
      <c r="RC48" s="713">
        <f>'org. Düngung 22'!DX47</f>
        <v>0</v>
      </c>
      <c r="RD48" s="57"/>
      <c r="RE48" s="57"/>
      <c r="RF48" s="57">
        <f t="shared" si="186"/>
        <v>0</v>
      </c>
      <c r="RG48" s="57">
        <f t="shared" si="343"/>
        <v>0</v>
      </c>
      <c r="RH48" s="57">
        <f t="shared" si="344"/>
        <v>0</v>
      </c>
      <c r="RI48" s="57">
        <f t="shared" si="345"/>
        <v>0</v>
      </c>
      <c r="RJ48" s="57">
        <f t="shared" si="346"/>
        <v>0</v>
      </c>
      <c r="RK48" s="1029">
        <f t="shared" si="481"/>
        <v>0</v>
      </c>
      <c r="RL48" s="57">
        <f t="shared" si="482"/>
        <v>0</v>
      </c>
      <c r="RM48" s="171" t="str">
        <f t="shared" si="483"/>
        <v/>
      </c>
      <c r="RN48" s="57">
        <f t="shared" si="347"/>
        <v>0</v>
      </c>
      <c r="RO48" s="57">
        <f>IF(OR(AND(RC$6=1,$L48=0),AND(RC$6=2,$K48=2,$G48=1)),0,IF(AND(RE$9=2,(OR($F48&gt;1,$K48=1,AND($L48=80,OR($N48=1,AND($N48=2,'#BerechnungDBE'!$AL39&gt;0)))))),IF(RC$4&gt;=$AD$126,0,RM48),IF(RE$9=3,IF(OR(RC$4&gt;=$AD$127,AND($G48=1,$J48=2,RC$6=2),AND(RC$6=1,$N48&lt;&gt;1)),0,IF(RG48&lt;=120,RM48,IF(RC$4&lt;$AD$124,IF($F48=1,60/RE$4*RE$6,60/RE$4*RE$7),IF($F48=1,120/RE$4*RE$6,120/RE$4*RE$7)))),IF(OR($F48=3,$G48=2),IF(OR(AND(RC$4&gt;=$AD$119,$C48=2),AND(RC$4&gt;=$AF$119,$C48=1)),0,IF(RG48&lt;=60,RM48,60/RE$4*RE$7)),IF(AND($F48=2,$G48=1),RM48,0)))))</f>
        <v>0</v>
      </c>
      <c r="RP48" s="57" t="str">
        <f t="shared" si="190"/>
        <v/>
      </c>
      <c r="RQ48" s="57" t="str">
        <f t="shared" si="484"/>
        <v/>
      </c>
      <c r="RS48" s="57" t="str">
        <f t="shared" si="488"/>
        <v/>
      </c>
      <c r="RT48" s="57" t="str">
        <f t="shared" si="485"/>
        <v/>
      </c>
      <c r="RU48" s="57" t="str">
        <f t="shared" si="486"/>
        <v/>
      </c>
      <c r="RV48" s="57" t="str">
        <f>IF(Z48&gt;'#BerechnungDBE'!BM39,$RV$9,"")</f>
        <v/>
      </c>
      <c r="RW48" s="57" t="str">
        <f>IF(AND(L48=70,AE48&gt;'#BerechnungDBE'!CQ39),$RW$9,"")</f>
        <v/>
      </c>
      <c r="RX48" s="57" t="str">
        <f>IF(OR('org. Düngung 22'!G47="--",'org. Düngung 22'!G47&lt;=170,'org. Düngung 22'!G47=""),"",$RX$9)</f>
        <v/>
      </c>
      <c r="RY48" s="57" t="str">
        <f>IF('org. Düngung 22'!K47&gt;120,'#orgDung'!$RY$9,"")</f>
        <v/>
      </c>
      <c r="RZ48" s="57" t="str">
        <f>IF('#BerechnungDBE'!P39&lt;4,"",IF(AND('#BerechnungDBE'!BZ39&gt;0,T48&gt;0),'#orgDung'!$RZ$9,""))</f>
        <v/>
      </c>
      <c r="SA48" s="57" t="str">
        <f t="shared" si="487"/>
        <v/>
      </c>
    </row>
    <row r="49" spans="1:495" s="875" customFormat="1" x14ac:dyDescent="0.2">
      <c r="A49" s="875">
        <f>'Flächen u. Kulturen'!A45</f>
        <v>36</v>
      </c>
      <c r="B49" s="367">
        <f>'#BerechnungDBE'!L40</f>
        <v>0</v>
      </c>
      <c r="C49" s="875">
        <f>'#BerechnungDBE'!R40</f>
        <v>1</v>
      </c>
      <c r="D49" s="875">
        <f>'#BerechnungDBE'!T40</f>
        <v>2</v>
      </c>
      <c r="E49" s="875" t="str">
        <f>'Flächen u. Kulturen'!E45</f>
        <v>x</v>
      </c>
      <c r="F49" s="52">
        <f>'#BerechnungDBE'!N40</f>
        <v>1</v>
      </c>
      <c r="G49" s="52">
        <f>'#BerechnungDBE'!O40</f>
        <v>1</v>
      </c>
      <c r="H49" s="875">
        <f>IF('Flächen u. Kulturen'!P45="",0,VLOOKUP('Flächen u. Kulturen'!P45,Kulturen[[HF]:[Berechnungsgruppe]],'#Frucht'!$H$1,FALSE))</f>
        <v>0</v>
      </c>
      <c r="I49" s="875">
        <f>IF('Flächen u. Kulturen'!J45="",0,VLOOKUP('Flächen u. Kulturen'!J45,Kulturen[[HF]:[Berechnungsgruppe]],'#Frucht'!$G$1,FALSE))</f>
        <v>90</v>
      </c>
      <c r="J49" s="505">
        <f t="shared" si="195"/>
        <v>2</v>
      </c>
      <c r="K49" s="505">
        <f>IF('Flächen u. Kulturen'!P45="",0,IF(VLOOKUP('Flächen u. Kulturen'!P45,Kulturen[[HF]:[Saat Winterungen]],'#Frucht'!$P$1,FALSE)&gt;0,1,2))</f>
        <v>2</v>
      </c>
      <c r="L49" s="875">
        <f>'#BerechnungDBE'!AF40</f>
        <v>0</v>
      </c>
      <c r="M49" s="875">
        <f>IF('Flächen u. Kulturen'!L45="",0,VLOOKUP('Flächen u. Kulturen'!L45,Nebenkultur[[Nebenkultur]:[Legum. Zwischenfr.]],'#Zweitfr'!$K$1,FALSE))</f>
        <v>0</v>
      </c>
      <c r="N49" s="875">
        <f>'#BerechnungDBE'!AG40</f>
        <v>0</v>
      </c>
      <c r="P49" s="57">
        <f t="shared" si="353"/>
        <v>0</v>
      </c>
      <c r="Q49" s="57">
        <f t="shared" si="354"/>
        <v>0</v>
      </c>
      <c r="R49" s="875">
        <f t="shared" si="355"/>
        <v>0</v>
      </c>
      <c r="S49" s="938" t="str">
        <f t="shared" si="3"/>
        <v/>
      </c>
      <c r="T49" s="875">
        <f t="shared" si="356"/>
        <v>0</v>
      </c>
      <c r="U49" s="875">
        <f t="shared" si="357"/>
        <v>0</v>
      </c>
      <c r="V49" s="875">
        <f t="shared" si="358"/>
        <v>0</v>
      </c>
      <c r="W49" s="875">
        <f t="shared" si="359"/>
        <v>0</v>
      </c>
      <c r="X49" s="875">
        <f t="shared" si="360"/>
        <v>0</v>
      </c>
      <c r="Y49" s="875">
        <f t="shared" si="349"/>
        <v>0</v>
      </c>
      <c r="Z49" s="875">
        <f t="shared" si="350"/>
        <v>0</v>
      </c>
      <c r="AA49" s="910">
        <f t="shared" si="361"/>
        <v>0</v>
      </c>
      <c r="AB49" s="57">
        <f t="shared" si="351"/>
        <v>0</v>
      </c>
      <c r="AC49" s="875">
        <f t="shared" si="362"/>
        <v>0</v>
      </c>
      <c r="AD49" s="875">
        <f t="shared" si="363"/>
        <v>0</v>
      </c>
      <c r="AE49" s="875">
        <f t="shared" si="364"/>
        <v>0</v>
      </c>
      <c r="AF49" s="875">
        <f t="shared" si="352"/>
        <v>0</v>
      </c>
      <c r="AG49" s="875">
        <f>'org. Düngung 22'!J48</f>
        <v>0</v>
      </c>
      <c r="AH49" s="875">
        <f>'org. Düngung 22'!K48</f>
        <v>0</v>
      </c>
      <c r="AJ49" s="713">
        <f>'org. Düngung 22'!L48</f>
        <v>0</v>
      </c>
      <c r="AK49" s="57"/>
      <c r="AL49" s="57"/>
      <c r="AM49" s="57">
        <f t="shared" si="196"/>
        <v>0</v>
      </c>
      <c r="AN49" s="57">
        <f t="shared" si="197"/>
        <v>0</v>
      </c>
      <c r="AO49" s="57">
        <f t="shared" si="198"/>
        <v>0</v>
      </c>
      <c r="AP49" s="57">
        <f t="shared" si="199"/>
        <v>0</v>
      </c>
      <c r="AQ49" s="57">
        <f t="shared" si="200"/>
        <v>0</v>
      </c>
      <c r="AR49" s="1029">
        <f t="shared" si="365"/>
        <v>0</v>
      </c>
      <c r="AS49" s="57">
        <f t="shared" si="366"/>
        <v>0</v>
      </c>
      <c r="AT49" s="171" t="str">
        <f t="shared" si="367"/>
        <v/>
      </c>
      <c r="AU49" s="57">
        <f t="shared" si="201"/>
        <v>0</v>
      </c>
      <c r="AV49" s="57">
        <f>IF(OR(AND(AJ$6=1,$L49=0),AND(AJ$6=2,$K49=2,$G49=1)),0,IF(AND(AL$9=2,(OR($F49&gt;1,$K49=1,AND($L49=80,OR($N49=1,AND($N49=2,'#BerechnungDBE'!$AL40&gt;0)))))),IF(AJ$4&gt;=$AD$126,0,AT49),IF(AL$9=3,IF(OR(AJ$4&gt;=$AD$127,AND($G49=1,$J49=2,AJ$6=2),AND(AJ$6=1,$N49&lt;&gt;1)),0,IF(AN49&lt;=120,AT49,IF(AJ$4&lt;$AD$124,IF($F49=1,60/AL$4*AL$6,60/AL$4*AL$7),IF($F49=1,120/AL$4*AL$6,120/AL$4*AL$7)))),IF(OR($F49=3,$G49=2),IF(OR(AND(AJ$4&gt;=$AD$119,$C49=2),AND(AJ$4&gt;=$AF$119,$C49=1)),0,IF(AN49&lt;=60,AT49,60/AL$4*AL$7)),IF(AND($F49=2,$G49=1),AT49,0)))))</f>
        <v>0</v>
      </c>
      <c r="AW49" s="57" t="str">
        <f t="shared" si="202"/>
        <v/>
      </c>
      <c r="AX49" s="57" t="str">
        <f t="shared" si="368"/>
        <v/>
      </c>
      <c r="AY49" s="713">
        <f>'org. Düngung 22'!P48</f>
        <v>0</v>
      </c>
      <c r="AZ49" s="57"/>
      <c r="BA49" s="57"/>
      <c r="BB49" s="57">
        <f t="shared" si="18"/>
        <v>0</v>
      </c>
      <c r="BC49" s="57">
        <f t="shared" si="203"/>
        <v>0</v>
      </c>
      <c r="BD49" s="57">
        <f t="shared" si="204"/>
        <v>0</v>
      </c>
      <c r="BE49" s="57">
        <f t="shared" si="205"/>
        <v>0</v>
      </c>
      <c r="BF49" s="57">
        <f t="shared" si="206"/>
        <v>0</v>
      </c>
      <c r="BG49" s="1029">
        <f t="shared" si="369"/>
        <v>0</v>
      </c>
      <c r="BH49" s="57">
        <f t="shared" si="370"/>
        <v>0</v>
      </c>
      <c r="BI49" s="171" t="str">
        <f t="shared" si="371"/>
        <v/>
      </c>
      <c r="BJ49" s="57">
        <f t="shared" si="207"/>
        <v>0</v>
      </c>
      <c r="BK49" s="57">
        <f>IF(OR(AND(AY$6=1,$L49=0),AND(AY$6=2,$K49=2,$G49=1)),0,IF(AND(BA$9=2,(OR($F49&gt;1,$K49=1,AND($L49=80,OR($N49=1,AND($N49=2,'#BerechnungDBE'!$AL40&gt;0)))))),IF(AY$4&gt;=$AD$126,0,BI49),IF(BA$9=3,IF(OR(AY$4&gt;=$AD$127,AND($G49=1,$J49=2,AY$6=2),AND(AY$6=1,$N49&lt;&gt;1)),0,IF(BC49&lt;=120,BI49,IF(AY$4&lt;$AD$124,IF($F49=1,60/BA$4*BA$6,60/BA$4*BA$7),IF($F49=1,120/BA$4*BA$6,120/BA$4*BA$7)))),IF(OR($F49=3,$G49=2),IF(OR(AND(AY$4&gt;=$AD$119,$C49=2),AND(AY$4&gt;=$AF$119,$C49=1)),0,IF(BC49&lt;=60,BI49,60/BA$4*BA$7)),IF(AND($F49=2,$G49=1),BI49,0)))))</f>
        <v>0</v>
      </c>
      <c r="BL49" s="57" t="str">
        <f t="shared" si="22"/>
        <v/>
      </c>
      <c r="BM49" s="57" t="str">
        <f t="shared" si="372"/>
        <v/>
      </c>
      <c r="BN49" s="713">
        <f>'org. Düngung 22'!T48</f>
        <v>0</v>
      </c>
      <c r="BO49" s="57"/>
      <c r="BP49" s="57"/>
      <c r="BQ49" s="57">
        <f t="shared" si="24"/>
        <v>0</v>
      </c>
      <c r="BR49" s="57">
        <f t="shared" si="208"/>
        <v>0</v>
      </c>
      <c r="BS49" s="57">
        <f t="shared" si="209"/>
        <v>0</v>
      </c>
      <c r="BT49" s="57">
        <f t="shared" si="210"/>
        <v>0</v>
      </c>
      <c r="BU49" s="57">
        <f t="shared" si="211"/>
        <v>0</v>
      </c>
      <c r="BV49" s="1029">
        <f t="shared" si="373"/>
        <v>0</v>
      </c>
      <c r="BW49" s="57">
        <f t="shared" si="374"/>
        <v>0</v>
      </c>
      <c r="BX49" s="171" t="str">
        <f t="shared" si="375"/>
        <v/>
      </c>
      <c r="BY49" s="57">
        <f t="shared" si="212"/>
        <v>0</v>
      </c>
      <c r="BZ49" s="57">
        <f>IF(OR(AND(BN$6=1,$L49=0),AND(BN$6=2,$K49=2,$G49=1)),0,IF(AND(BP$9=2,(OR($F49&gt;1,$K49=1,AND($L49=80,OR($N49=1,AND($N49=2,'#BerechnungDBE'!$AL40&gt;0)))))),IF(BN$4&gt;=$AD$126,0,BX49),IF(BP$9=3,IF(OR(BN$4&gt;=$AD$127,AND($G49=1,$J49=2,BN$6=2),AND(BN$6=1,$N49&lt;&gt;1)),0,IF(BR49&lt;=120,BX49,IF(BN$4&lt;$AD$124,IF($F49=1,60/BP$4*BP$6,60/BP$4*BP$7),IF($F49=1,120/BP$4*BP$6,120/BP$4*BP$7)))),IF(OR($F49=3,$G49=2),IF(OR(AND(BN$4&gt;=$AD$119,$C49=2),AND(BN$4&gt;=$AF$119,$C49=1)),0,IF(BR49&lt;=60,BX49,60/BP$4*BP$7)),IF(AND($F49=2,$G49=1),BX49,0)))))</f>
        <v>0</v>
      </c>
      <c r="CA49" s="57" t="str">
        <f t="shared" si="28"/>
        <v/>
      </c>
      <c r="CB49" s="57" t="str">
        <f t="shared" si="376"/>
        <v/>
      </c>
      <c r="CC49" s="713">
        <f>'org. Düngung 22'!X48</f>
        <v>0</v>
      </c>
      <c r="CD49" s="57"/>
      <c r="CE49" s="57"/>
      <c r="CF49" s="57">
        <f t="shared" si="30"/>
        <v>0</v>
      </c>
      <c r="CG49" s="57">
        <f t="shared" si="213"/>
        <v>0</v>
      </c>
      <c r="CH49" s="57">
        <f t="shared" si="214"/>
        <v>0</v>
      </c>
      <c r="CI49" s="57">
        <f t="shared" si="215"/>
        <v>0</v>
      </c>
      <c r="CJ49" s="57">
        <f t="shared" si="216"/>
        <v>0</v>
      </c>
      <c r="CK49" s="1029">
        <f t="shared" si="377"/>
        <v>0</v>
      </c>
      <c r="CL49" s="57">
        <f t="shared" si="378"/>
        <v>0</v>
      </c>
      <c r="CM49" s="171" t="str">
        <f t="shared" si="379"/>
        <v/>
      </c>
      <c r="CN49" s="57">
        <f t="shared" si="217"/>
        <v>0</v>
      </c>
      <c r="CO49" s="57">
        <f>IF(OR(AND(CC$6=1,$L49=0),AND(CC$6=2,$K49=2,$G49=1)),0,IF(AND(CE$9=2,(OR($F49&gt;1,$K49=1,AND($L49=80,OR($N49=1,AND($N49=2,'#BerechnungDBE'!$AL40&gt;0)))))),IF(CC$4&gt;=$AD$126,0,CM49),IF(CE$9=3,IF(OR(CC$4&gt;=$AD$127,AND($G49=1,$J49=2,CC$6=2),AND(CC$6=1,$N49&lt;&gt;1)),0,IF(CG49&lt;=120,CM49,IF(CC$4&lt;$AD$124,IF($F49=1,60/CE$4*CE$6,60/CE$4*CE$7),IF($F49=1,120/CE$4*CE$6,120/CE$4*CE$7)))),IF(OR($F49=3,$G49=2),IF(OR(AND(CC$4&gt;=$AD$119,$C49=2),AND(CC$4&gt;=$AF$119,$C49=1)),0,IF(CG49&lt;=60,CM49,60/CE$4*CE$7)),IF(AND($F49=2,$G49=1),CM49,0)))))</f>
        <v>0</v>
      </c>
      <c r="CP49" s="57" t="str">
        <f t="shared" si="34"/>
        <v/>
      </c>
      <c r="CQ49" s="57" t="str">
        <f t="shared" si="380"/>
        <v/>
      </c>
      <c r="CR49" s="713">
        <f>'org. Düngung 22'!AB48</f>
        <v>0</v>
      </c>
      <c r="CS49" s="57"/>
      <c r="CT49" s="57"/>
      <c r="CU49" s="57">
        <f t="shared" si="36"/>
        <v>0</v>
      </c>
      <c r="CV49" s="57">
        <f t="shared" si="218"/>
        <v>0</v>
      </c>
      <c r="CW49" s="57">
        <f t="shared" si="219"/>
        <v>0</v>
      </c>
      <c r="CX49" s="57">
        <f t="shared" si="220"/>
        <v>0</v>
      </c>
      <c r="CY49" s="57">
        <f t="shared" si="221"/>
        <v>0</v>
      </c>
      <c r="CZ49" s="1029">
        <f t="shared" si="381"/>
        <v>0</v>
      </c>
      <c r="DA49" s="57">
        <f t="shared" si="382"/>
        <v>0</v>
      </c>
      <c r="DB49" s="171" t="str">
        <f t="shared" si="383"/>
        <v/>
      </c>
      <c r="DC49" s="57">
        <f t="shared" si="222"/>
        <v>0</v>
      </c>
      <c r="DD49" s="57">
        <f>IF(OR(AND(CR$6=1,$L49=0),AND(CR$6=2,$K49=2,$G49=1)),0,IF(AND(CT$9=2,(OR($F49&gt;1,$K49=1,AND($L49=80,OR($N49=1,AND($N49=2,'#BerechnungDBE'!$AL40&gt;0)))))),IF(CR$4&gt;=$AD$126,0,DB49),IF(CT$9=3,IF(OR(CR$4&gt;=$AD$127,AND($G49=1,$J49=2,CR$6=2),AND(CR$6=1,$N49&lt;&gt;1)),0,IF(CV49&lt;=120,DB49,IF(CR$4&lt;$AD$124,IF($F49=1,60/CT$4*CT$6,60/CT$4*CT$7),IF($F49=1,120/CT$4*CT$6,120/CT$4*CT$7)))),IF(OR($F49=3,$G49=2),IF(OR(AND(CR$4&gt;=$AD$119,$C49=2),AND(CR$4&gt;=$AF$119,$C49=1)),0,IF(CV49&lt;=60,DB49,60/CT$4*CT$7)),IF(AND($F49=2,$G49=1),DB49,0)))))</f>
        <v>0</v>
      </c>
      <c r="DE49" s="57" t="str">
        <f t="shared" si="40"/>
        <v/>
      </c>
      <c r="DF49" s="57" t="str">
        <f t="shared" si="384"/>
        <v/>
      </c>
      <c r="DG49" s="713">
        <f>'org. Düngung 22'!AF48</f>
        <v>0</v>
      </c>
      <c r="DH49" s="57"/>
      <c r="DI49" s="57"/>
      <c r="DJ49" s="57">
        <f t="shared" si="42"/>
        <v>0</v>
      </c>
      <c r="DK49" s="57">
        <f t="shared" si="223"/>
        <v>0</v>
      </c>
      <c r="DL49" s="57">
        <f t="shared" si="224"/>
        <v>0</v>
      </c>
      <c r="DM49" s="57">
        <f t="shared" si="225"/>
        <v>0</v>
      </c>
      <c r="DN49" s="57">
        <f t="shared" si="226"/>
        <v>0</v>
      </c>
      <c r="DO49" s="1029">
        <f t="shared" si="385"/>
        <v>0</v>
      </c>
      <c r="DP49" s="57">
        <f t="shared" si="386"/>
        <v>0</v>
      </c>
      <c r="DQ49" s="171" t="str">
        <f t="shared" si="387"/>
        <v/>
      </c>
      <c r="DR49" s="57">
        <f t="shared" si="227"/>
        <v>0</v>
      </c>
      <c r="DS49" s="57">
        <f>IF(OR(AND(DG$6=1,$L49=0),AND(DG$6=2,$K49=2,$G49=1)),0,IF(AND(DI$9=2,(OR($F49&gt;1,$K49=1,AND($L49=80,OR($N49=1,AND($N49=2,'#BerechnungDBE'!$AL40&gt;0)))))),IF(DG$4&gt;=$AD$126,0,DQ49),IF(DI$9=3,IF(OR(DG$4&gt;=$AD$127,AND($G49=1,$J49=2,DG$6=2),AND(DG$6=1,$N49&lt;&gt;1)),0,IF(DK49&lt;=120,DQ49,IF(DG$4&lt;$AD$124,IF($F49=1,60/DI$4*DI$6,60/DI$4*DI$7),IF($F49=1,120/DI$4*DI$6,120/DI$4*DI$7)))),IF(OR($F49=3,$G49=2),IF(OR(AND(DG$4&gt;=$AD$119,$C49=2),AND(DG$4&gt;=$AF$119,$C49=1)),0,IF(DK49&lt;=60,DQ49,60/DI$4*DI$7)),IF(AND($F49=2,$G49=1),DQ49,0)))))</f>
        <v>0</v>
      </c>
      <c r="DT49" s="57" t="str">
        <f t="shared" si="46"/>
        <v/>
      </c>
      <c r="DU49" s="57" t="str">
        <f t="shared" si="388"/>
        <v/>
      </c>
      <c r="DV49" s="713">
        <f>'org. Düngung 22'!AJ48</f>
        <v>0</v>
      </c>
      <c r="DW49" s="57"/>
      <c r="DX49" s="57"/>
      <c r="DY49" s="57">
        <f t="shared" si="48"/>
        <v>0</v>
      </c>
      <c r="DZ49" s="57">
        <f t="shared" si="228"/>
        <v>0</v>
      </c>
      <c r="EA49" s="57">
        <f t="shared" si="229"/>
        <v>0</v>
      </c>
      <c r="EB49" s="57">
        <f t="shared" si="230"/>
        <v>0</v>
      </c>
      <c r="EC49" s="57">
        <f t="shared" si="231"/>
        <v>0</v>
      </c>
      <c r="ED49" s="1029">
        <f t="shared" si="389"/>
        <v>0</v>
      </c>
      <c r="EE49" s="57">
        <f t="shared" si="390"/>
        <v>0</v>
      </c>
      <c r="EF49" s="171" t="str">
        <f t="shared" si="391"/>
        <v/>
      </c>
      <c r="EG49" s="57">
        <f t="shared" si="232"/>
        <v>0</v>
      </c>
      <c r="EH49" s="57">
        <f>IF(OR(AND(DV$6=1,$L49=0),AND(DV$6=2,$K49=2,$G49=1)),0,IF(AND(DX$9=2,(OR($F49&gt;1,$K49=1,AND($L49=80,OR($N49=1,AND($N49=2,'#BerechnungDBE'!$AL40&gt;0)))))),IF(DV$4&gt;=$AD$126,0,EF49),IF(DX$9=3,IF(OR(DV$4&gt;=$AD$127,AND($G49=1,$J49=2,DV$6=2),AND(DV$6=1,$N49&lt;&gt;1)),0,IF(DZ49&lt;=120,EF49,IF(DV$4&lt;$AD$124,IF($F49=1,60/DX$4*DX$6,60/DX$4*DX$7),IF($F49=1,120/DX$4*DX$6,120/DX$4*DX$7)))),IF(OR($F49=3,$G49=2),IF(OR(AND(DV$4&gt;=$AD$119,$C49=2),AND(DV$4&gt;=$AF$119,$C49=1)),0,IF(DZ49&lt;=60,EF49,60/DX$4*DX$7)),IF(AND($F49=2,$G49=1),EF49,0)))))</f>
        <v>0</v>
      </c>
      <c r="EI49" s="57" t="str">
        <f t="shared" si="52"/>
        <v/>
      </c>
      <c r="EJ49" s="57" t="str">
        <f t="shared" si="392"/>
        <v/>
      </c>
      <c r="EK49" s="713">
        <f>'org. Düngung 22'!AN48</f>
        <v>0</v>
      </c>
      <c r="EL49" s="57"/>
      <c r="EM49" s="57"/>
      <c r="EN49" s="57">
        <f t="shared" si="54"/>
        <v>0</v>
      </c>
      <c r="EO49" s="57">
        <f t="shared" si="233"/>
        <v>0</v>
      </c>
      <c r="EP49" s="57">
        <f t="shared" si="234"/>
        <v>0</v>
      </c>
      <c r="EQ49" s="57">
        <f t="shared" si="235"/>
        <v>0</v>
      </c>
      <c r="ER49" s="57">
        <f t="shared" si="236"/>
        <v>0</v>
      </c>
      <c r="ES49" s="1029">
        <f t="shared" si="393"/>
        <v>0</v>
      </c>
      <c r="ET49" s="57">
        <f t="shared" si="394"/>
        <v>0</v>
      </c>
      <c r="EU49" s="171" t="str">
        <f t="shared" si="395"/>
        <v/>
      </c>
      <c r="EV49" s="57">
        <f t="shared" si="237"/>
        <v>0</v>
      </c>
      <c r="EW49" s="57">
        <f>IF(OR(AND(EK$6=1,$L49=0),AND(EK$6=2,$K49=2,$G49=1)),0,IF(AND(EM$9=2,(OR($F49&gt;1,$K49=1,AND($L49=80,OR($N49=1,AND($N49=2,'#BerechnungDBE'!$AL40&gt;0)))))),IF(EK$4&gt;=$AD$126,0,EU49),IF(EM$9=3,IF(OR(EK$4&gt;=$AD$127,AND($G49=1,$J49=2,EK$6=2),AND(EK$6=1,$N49&lt;&gt;1)),0,IF(EO49&lt;=120,EU49,IF(EK$4&lt;$AD$124,IF($F49=1,60/EM$4*EM$6,60/EM$4*EM$7),IF($F49=1,120/EM$4*EM$6,120/EM$4*EM$7)))),IF(OR($F49=3,$G49=2),IF(OR(AND(EK$4&gt;=$AD$119,$C49=2),AND(EK$4&gt;=$AF$119,$C49=1)),0,IF(EO49&lt;=60,EU49,60/EM$4*EM$7)),IF(AND($F49=2,$G49=1),EU49,0)))))</f>
        <v>0</v>
      </c>
      <c r="EX49" s="57" t="str">
        <f t="shared" si="58"/>
        <v/>
      </c>
      <c r="EY49" s="57" t="str">
        <f t="shared" si="396"/>
        <v/>
      </c>
      <c r="EZ49" s="713">
        <f>'org. Düngung 22'!AR48</f>
        <v>0</v>
      </c>
      <c r="FA49" s="57"/>
      <c r="FB49" s="57"/>
      <c r="FC49" s="57">
        <f t="shared" si="60"/>
        <v>0</v>
      </c>
      <c r="FD49" s="57">
        <f t="shared" si="238"/>
        <v>0</v>
      </c>
      <c r="FE49" s="57">
        <f t="shared" si="239"/>
        <v>0</v>
      </c>
      <c r="FF49" s="57">
        <f t="shared" si="240"/>
        <v>0</v>
      </c>
      <c r="FG49" s="57">
        <f t="shared" si="241"/>
        <v>0</v>
      </c>
      <c r="FH49" s="1029">
        <f t="shared" si="397"/>
        <v>0</v>
      </c>
      <c r="FI49" s="57">
        <f t="shared" si="398"/>
        <v>0</v>
      </c>
      <c r="FJ49" s="171" t="str">
        <f t="shared" si="399"/>
        <v/>
      </c>
      <c r="FK49" s="57">
        <f t="shared" si="242"/>
        <v>0</v>
      </c>
      <c r="FL49" s="57">
        <f>IF(OR(AND(EZ$6=1,$L49=0),AND(EZ$6=2,$K49=2,$G49=1)),0,IF(AND(FB$9=2,(OR($F49&gt;1,$K49=1,AND($L49=80,OR($N49=1,AND($N49=2,'#BerechnungDBE'!$AL40&gt;0)))))),IF(EZ$4&gt;=$AD$126,0,FJ49),IF(FB$9=3,IF(OR(EZ$4&gt;=$AD$127,AND($G49=1,$J49=2,EZ$6=2),AND(EZ$6=1,$N49&lt;&gt;1)),0,IF(FD49&lt;=120,FJ49,IF(EZ$4&lt;$AD$124,IF($F49=1,60/FB$4*FB$6,60/FB$4*FB$7),IF($F49=1,120/FB$4*FB$6,120/FB$4*FB$7)))),IF(OR($F49=3,$G49=2),IF(OR(AND(EZ$4&gt;=$AD$119,$C49=2),AND(EZ$4&gt;=$AF$119,$C49=1)),0,IF(FD49&lt;=60,FJ49,60/FB$4*FB$7)),IF(AND($F49=2,$G49=1),FJ49,0)))))</f>
        <v>0</v>
      </c>
      <c r="FM49" s="57" t="str">
        <f t="shared" si="64"/>
        <v/>
      </c>
      <c r="FN49" s="57" t="str">
        <f t="shared" si="400"/>
        <v/>
      </c>
      <c r="FO49" s="713">
        <f>'org. Düngung 22'!AV48</f>
        <v>0</v>
      </c>
      <c r="FP49" s="57"/>
      <c r="FQ49" s="57"/>
      <c r="FR49" s="57">
        <f t="shared" si="66"/>
        <v>0</v>
      </c>
      <c r="FS49" s="57">
        <f t="shared" si="243"/>
        <v>0</v>
      </c>
      <c r="FT49" s="57">
        <f t="shared" si="244"/>
        <v>0</v>
      </c>
      <c r="FU49" s="57">
        <f t="shared" si="245"/>
        <v>0</v>
      </c>
      <c r="FV49" s="57">
        <f t="shared" si="246"/>
        <v>0</v>
      </c>
      <c r="FW49" s="1029">
        <f t="shared" si="401"/>
        <v>0</v>
      </c>
      <c r="FX49" s="57">
        <f t="shared" si="402"/>
        <v>0</v>
      </c>
      <c r="FY49" s="171" t="str">
        <f t="shared" si="403"/>
        <v/>
      </c>
      <c r="FZ49" s="57">
        <f t="shared" si="247"/>
        <v>0</v>
      </c>
      <c r="GA49" s="57">
        <f>IF(OR(AND(FO$6=1,$L49=0),AND(FO$6=2,$K49=2,$G49=1)),0,IF(AND(FQ$9=2,(OR($F49&gt;1,$K49=1,AND($L49=80,OR($N49=1,AND($N49=2,'#BerechnungDBE'!$AL40&gt;0)))))),IF(FO$4&gt;=$AD$126,0,FY49),IF(FQ$9=3,IF(OR(FO$4&gt;=$AD$127,AND($G49=1,$J49=2,FO$6=2),AND(FO$6=1,$N49&lt;&gt;1)),0,IF(FS49&lt;=120,FY49,IF(FO$4&lt;$AD$124,IF($F49=1,60/FQ$4*FQ$6,60/FQ$4*FQ$7),IF($F49=1,120/FQ$4*FQ$6,120/FQ$4*FQ$7)))),IF(OR($F49=3,$G49=2),IF(OR(AND(FO$4&gt;=$AD$119,$C49=2),AND(FO$4&gt;=$AF$119,$C49=1)),0,IF(FS49&lt;=60,FY49,60/FQ$4*FQ$7)),IF(AND($F49=2,$G49=1),FY49,0)))))</f>
        <v>0</v>
      </c>
      <c r="GB49" s="57" t="str">
        <f t="shared" si="70"/>
        <v/>
      </c>
      <c r="GC49" s="57" t="str">
        <f t="shared" si="404"/>
        <v/>
      </c>
      <c r="GD49" s="713">
        <f>'org. Düngung 22'!AZ48</f>
        <v>0</v>
      </c>
      <c r="GE49" s="57"/>
      <c r="GF49" s="57"/>
      <c r="GG49" s="57">
        <f t="shared" si="72"/>
        <v>0</v>
      </c>
      <c r="GH49" s="57">
        <f t="shared" si="248"/>
        <v>0</v>
      </c>
      <c r="GI49" s="57">
        <f t="shared" si="249"/>
        <v>0</v>
      </c>
      <c r="GJ49" s="57">
        <f t="shared" si="250"/>
        <v>0</v>
      </c>
      <c r="GK49" s="57">
        <f t="shared" si="251"/>
        <v>0</v>
      </c>
      <c r="GL49" s="1029">
        <f t="shared" si="405"/>
        <v>0</v>
      </c>
      <c r="GM49" s="57">
        <f t="shared" si="406"/>
        <v>0</v>
      </c>
      <c r="GN49" s="171" t="str">
        <f t="shared" si="407"/>
        <v/>
      </c>
      <c r="GO49" s="57">
        <f t="shared" si="252"/>
        <v>0</v>
      </c>
      <c r="GP49" s="57">
        <f>IF(OR(AND(GD$6=1,$L49=0),AND(GD$6=2,$K49=2,$G49=1)),0,IF(AND(GF$9=2,(OR($F49&gt;1,$K49=1,AND($L49=80,OR($N49=1,AND($N49=2,'#BerechnungDBE'!$AL40&gt;0)))))),IF(GD$4&gt;=$AD$126,0,GN49),IF(GF$9=3,IF(OR(GD$4&gt;=$AD$127,AND($G49=1,$J49=2,GD$6=2),AND(GD$6=1,$N49&lt;&gt;1)),0,IF(GH49&lt;=120,GN49,IF(GD$4&lt;$AD$124,IF($F49=1,60/GF$4*GF$6,60/GF$4*GF$7),IF($F49=1,120/GF$4*GF$6,120/GF$4*GF$7)))),IF(OR($F49=3,$G49=2),IF(OR(AND(GD$4&gt;=$AD$119,$C49=2),AND(GD$4&gt;=$AF$119,$C49=1)),0,IF(GH49&lt;=60,GN49,60/GF$4*GF$7)),IF(AND($F49=2,$G49=1),GN49,0)))))</f>
        <v>0</v>
      </c>
      <c r="GQ49" s="57" t="str">
        <f t="shared" si="76"/>
        <v/>
      </c>
      <c r="GR49" s="57" t="str">
        <f t="shared" si="408"/>
        <v/>
      </c>
      <c r="GS49" s="713">
        <f>'org. Düngung 22'!BD48</f>
        <v>0</v>
      </c>
      <c r="GT49" s="57"/>
      <c r="GU49" s="57"/>
      <c r="GV49" s="57">
        <f t="shared" si="78"/>
        <v>0</v>
      </c>
      <c r="GW49" s="57">
        <f t="shared" si="253"/>
        <v>0</v>
      </c>
      <c r="GX49" s="57">
        <f t="shared" si="254"/>
        <v>0</v>
      </c>
      <c r="GY49" s="57">
        <f t="shared" si="255"/>
        <v>0</v>
      </c>
      <c r="GZ49" s="57">
        <f t="shared" si="256"/>
        <v>0</v>
      </c>
      <c r="HA49" s="1029">
        <f t="shared" si="409"/>
        <v>0</v>
      </c>
      <c r="HB49" s="57">
        <f t="shared" si="410"/>
        <v>0</v>
      </c>
      <c r="HC49" s="171" t="str">
        <f t="shared" si="411"/>
        <v/>
      </c>
      <c r="HD49" s="57">
        <f t="shared" si="257"/>
        <v>0</v>
      </c>
      <c r="HE49" s="57">
        <f>IF(OR(AND(GS$6=1,$L49=0),AND(GS$6=2,$K49=2,$G49=1)),0,IF(AND(GU$9=2,(OR($F49&gt;1,$K49=1,AND($L49=80,OR($N49=1,AND($N49=2,'#BerechnungDBE'!$AL40&gt;0)))))),IF(GS$4&gt;=$AD$126,0,HC49),IF(GU$9=3,IF(OR(GS$4&gt;=$AD$127,AND($G49=1,$J49=2,GS$6=2),AND(GS$6=1,$N49&lt;&gt;1)),0,IF(GW49&lt;=120,HC49,IF(GS$4&lt;$AD$124,IF($F49=1,60/GU$4*GU$6,60/GU$4*GU$7),IF($F49=1,120/GU$4*GU$6,120/GU$4*GU$7)))),IF(OR($F49=3,$G49=2),IF(OR(AND(GS$4&gt;=$AD$119,$C49=2),AND(GS$4&gt;=$AF$119,$C49=1)),0,IF(GW49&lt;=60,HC49,60/GU$4*GU$7)),IF(AND($F49=2,$G49=1),HC49,0)))))</f>
        <v>0</v>
      </c>
      <c r="HF49" s="57" t="str">
        <f t="shared" si="82"/>
        <v/>
      </c>
      <c r="HG49" s="57" t="str">
        <f t="shared" si="412"/>
        <v/>
      </c>
      <c r="HH49" s="713">
        <f>'org. Düngung 22'!BH48</f>
        <v>0</v>
      </c>
      <c r="HI49" s="57"/>
      <c r="HJ49" s="57"/>
      <c r="HK49" s="57">
        <f t="shared" si="84"/>
        <v>0</v>
      </c>
      <c r="HL49" s="57">
        <f t="shared" si="258"/>
        <v>0</v>
      </c>
      <c r="HM49" s="57">
        <f t="shared" si="259"/>
        <v>0</v>
      </c>
      <c r="HN49" s="57">
        <f t="shared" si="260"/>
        <v>0</v>
      </c>
      <c r="HO49" s="57">
        <f t="shared" si="261"/>
        <v>0</v>
      </c>
      <c r="HP49" s="1029">
        <f t="shared" si="413"/>
        <v>0</v>
      </c>
      <c r="HQ49" s="57">
        <f t="shared" si="414"/>
        <v>0</v>
      </c>
      <c r="HR49" s="171" t="str">
        <f t="shared" si="415"/>
        <v/>
      </c>
      <c r="HS49" s="57">
        <f t="shared" si="262"/>
        <v>0</v>
      </c>
      <c r="HT49" s="57">
        <f>IF(OR(AND(HH$6=1,$L49=0),AND(HH$6=2,$K49=2,$G49=1)),0,IF(AND(HJ$9=2,(OR($F49&gt;1,$K49=1,AND($L49=80,OR($N49=1,AND($N49=2,'#BerechnungDBE'!$AL40&gt;0)))))),IF(HH$4&gt;=$AD$126,0,HR49),IF(HJ$9=3,IF(OR(HH$4&gt;=$AD$127,AND($G49=1,$J49=2,HH$6=2),AND(HH$6=1,$N49&lt;&gt;1)),0,IF(HL49&lt;=120,HR49,IF(HH$4&lt;$AD$124,IF($F49=1,60/HJ$4*HJ$6,60/HJ$4*HJ$7),IF($F49=1,120/HJ$4*HJ$6,120/HJ$4*HJ$7)))),IF(OR($F49=3,$G49=2),IF(OR(AND(HH$4&gt;=$AD$119,$C49=2),AND(HH$4&gt;=$AF$119,$C49=1)),0,IF(HL49&lt;=60,HR49,60/HJ$4*HJ$7)),IF(AND($F49=2,$G49=1),HR49,0)))))</f>
        <v>0</v>
      </c>
      <c r="HU49" s="57" t="str">
        <f t="shared" si="88"/>
        <v/>
      </c>
      <c r="HV49" s="57" t="str">
        <f t="shared" si="416"/>
        <v/>
      </c>
      <c r="HW49" s="713">
        <f>'org. Düngung 22'!BL48</f>
        <v>0</v>
      </c>
      <c r="HX49" s="57"/>
      <c r="HY49" s="57"/>
      <c r="HZ49" s="57">
        <f t="shared" si="90"/>
        <v>0</v>
      </c>
      <c r="IA49" s="57">
        <f t="shared" si="263"/>
        <v>0</v>
      </c>
      <c r="IB49" s="57">
        <f t="shared" si="264"/>
        <v>0</v>
      </c>
      <c r="IC49" s="57">
        <f t="shared" si="265"/>
        <v>0</v>
      </c>
      <c r="ID49" s="57">
        <f t="shared" si="266"/>
        <v>0</v>
      </c>
      <c r="IE49" s="1029">
        <f t="shared" si="417"/>
        <v>0</v>
      </c>
      <c r="IF49" s="57">
        <f t="shared" si="418"/>
        <v>0</v>
      </c>
      <c r="IG49" s="171" t="str">
        <f t="shared" si="419"/>
        <v/>
      </c>
      <c r="IH49" s="57">
        <f t="shared" si="267"/>
        <v>0</v>
      </c>
      <c r="II49" s="57">
        <f>IF(OR(AND(HW$6=1,$L49=0),AND(HW$6=2,$K49=2,$G49=1)),0,IF(AND(HY$9=2,(OR($F49&gt;1,$K49=1,AND($L49=80,OR($N49=1,AND($N49=2,'#BerechnungDBE'!$AL40&gt;0)))))),IF(HW$4&gt;=$AD$126,0,IG49),IF(HY$9=3,IF(OR(HW$4&gt;=$AD$127,AND($G49=1,$J49=2,HW$6=2),AND(HW$6=1,$N49&lt;&gt;1)),0,IF(IA49&lt;=120,IG49,IF(HW$4&lt;$AD$124,IF($F49=1,60/HY$4*HY$6,60/HY$4*HY$7),IF($F49=1,120/HY$4*HY$6,120/HY$4*HY$7)))),IF(OR($F49=3,$G49=2),IF(OR(AND(HW$4&gt;=$AD$119,$C49=2),AND(HW$4&gt;=$AF$119,$C49=1)),0,IF(IA49&lt;=60,IG49,60/HY$4*HY$7)),IF(AND($F49=2,$G49=1),IG49,0)))))</f>
        <v>0</v>
      </c>
      <c r="IJ49" s="57" t="str">
        <f t="shared" si="94"/>
        <v/>
      </c>
      <c r="IK49" s="57" t="str">
        <f t="shared" si="420"/>
        <v/>
      </c>
      <c r="IL49" s="713">
        <f>'org. Düngung 22'!BP48</f>
        <v>0</v>
      </c>
      <c r="IM49" s="57"/>
      <c r="IN49" s="57"/>
      <c r="IO49" s="57">
        <f t="shared" si="96"/>
        <v>0</v>
      </c>
      <c r="IP49" s="57">
        <f t="shared" si="268"/>
        <v>0</v>
      </c>
      <c r="IQ49" s="57">
        <f t="shared" si="269"/>
        <v>0</v>
      </c>
      <c r="IR49" s="57">
        <f t="shared" si="270"/>
        <v>0</v>
      </c>
      <c r="IS49" s="57">
        <f t="shared" si="271"/>
        <v>0</v>
      </c>
      <c r="IT49" s="1029">
        <f t="shared" si="421"/>
        <v>0</v>
      </c>
      <c r="IU49" s="57">
        <f t="shared" si="422"/>
        <v>0</v>
      </c>
      <c r="IV49" s="171" t="str">
        <f t="shared" si="423"/>
        <v/>
      </c>
      <c r="IW49" s="57">
        <f t="shared" si="272"/>
        <v>0</v>
      </c>
      <c r="IX49" s="57">
        <f>IF(OR(AND(IL$6=1,$L49=0),AND(IL$6=2,$K49=2,$G49=1)),0,IF(AND(IN$9=2,(OR($F49&gt;1,$K49=1,AND($L49=80,OR($N49=1,AND($N49=2,'#BerechnungDBE'!$AL40&gt;0)))))),IF(IL$4&gt;=$AD$126,0,IV49),IF(IN$9=3,IF(OR(IL$4&gt;=$AD$127,AND($G49=1,$J49=2,IL$6=2),AND(IL$6=1,$N49&lt;&gt;1)),0,IF(IP49&lt;=120,IV49,IF(IL$4&lt;$AD$124,IF($F49=1,60/IN$4*IN$6,60/IN$4*IN$7),IF($F49=1,120/IN$4*IN$6,120/IN$4*IN$7)))),IF(OR($F49=3,$G49=2),IF(OR(AND(IL$4&gt;=$AD$119,$C49=2),AND(IL$4&gt;=$AF$119,$C49=1)),0,IF(IP49&lt;=60,IV49,60/IN$4*IN$7)),IF(AND($F49=2,$G49=1),IV49,0)))))</f>
        <v>0</v>
      </c>
      <c r="IY49" s="57" t="str">
        <f t="shared" si="100"/>
        <v/>
      </c>
      <c r="IZ49" s="57" t="str">
        <f t="shared" si="424"/>
        <v/>
      </c>
      <c r="JA49" s="713">
        <f>'org. Düngung 22'!BT48</f>
        <v>0</v>
      </c>
      <c r="JB49" s="57"/>
      <c r="JC49" s="57"/>
      <c r="JD49" s="57">
        <f t="shared" si="102"/>
        <v>0</v>
      </c>
      <c r="JE49" s="57">
        <f t="shared" si="273"/>
        <v>0</v>
      </c>
      <c r="JF49" s="57">
        <f t="shared" si="274"/>
        <v>0</v>
      </c>
      <c r="JG49" s="57">
        <f t="shared" si="275"/>
        <v>0</v>
      </c>
      <c r="JH49" s="57">
        <f t="shared" si="276"/>
        <v>0</v>
      </c>
      <c r="JI49" s="1029">
        <f t="shared" si="425"/>
        <v>0</v>
      </c>
      <c r="JJ49" s="57">
        <f t="shared" si="426"/>
        <v>0</v>
      </c>
      <c r="JK49" s="171" t="str">
        <f t="shared" si="427"/>
        <v/>
      </c>
      <c r="JL49" s="57">
        <f t="shared" si="277"/>
        <v>0</v>
      </c>
      <c r="JM49" s="57">
        <f>IF(OR(AND(JA$6=1,$L49=0),AND(JA$6=2,$K49=2,$G49=1)),0,IF(AND(JC$9=2,(OR($F49&gt;1,$K49=1,AND($L49=80,OR($N49=1,AND($N49=2,'#BerechnungDBE'!$AL40&gt;0)))))),IF(JA$4&gt;=$AD$126,0,JK49),IF(JC$9=3,IF(OR(JA$4&gt;=$AD$127,AND($G49=1,$J49=2,JA$6=2),AND(JA$6=1,$N49&lt;&gt;1)),0,IF(JE49&lt;=120,JK49,IF(JA$4&lt;$AD$124,IF($F49=1,60/JC$4*JC$6,60/JC$4*JC$7),IF($F49=1,120/JC$4*JC$6,120/JC$4*JC$7)))),IF(OR($F49=3,$G49=2),IF(OR(AND(JA$4&gt;=$AD$119,$C49=2),AND(JA$4&gt;=$AF$119,$C49=1)),0,IF(JE49&lt;=60,JK49,60/JC$4*JC$7)),IF(AND($F49=2,$G49=1),JK49,0)))))</f>
        <v>0</v>
      </c>
      <c r="JN49" s="57" t="str">
        <f t="shared" si="106"/>
        <v/>
      </c>
      <c r="JO49" s="57" t="str">
        <f t="shared" si="428"/>
        <v/>
      </c>
      <c r="JP49" s="713">
        <f>'org. Düngung 22'!BX48</f>
        <v>0</v>
      </c>
      <c r="JQ49" s="57"/>
      <c r="JR49" s="57"/>
      <c r="JS49" s="57">
        <f t="shared" si="108"/>
        <v>0</v>
      </c>
      <c r="JT49" s="57">
        <f t="shared" si="278"/>
        <v>0</v>
      </c>
      <c r="JU49" s="57">
        <f t="shared" si="279"/>
        <v>0</v>
      </c>
      <c r="JV49" s="57">
        <f t="shared" si="280"/>
        <v>0</v>
      </c>
      <c r="JW49" s="57">
        <f t="shared" si="281"/>
        <v>0</v>
      </c>
      <c r="JX49" s="1029">
        <f t="shared" si="429"/>
        <v>0</v>
      </c>
      <c r="JY49" s="57">
        <f t="shared" si="430"/>
        <v>0</v>
      </c>
      <c r="JZ49" s="171" t="str">
        <f t="shared" si="431"/>
        <v/>
      </c>
      <c r="KA49" s="57">
        <f t="shared" si="282"/>
        <v>0</v>
      </c>
      <c r="KB49" s="57">
        <f>IF(OR(AND(JP$6=1,$L49=0),AND(JP$6=2,$K49=2,$G49=1)),0,IF(AND(JR$9=2,(OR($F49&gt;1,$K49=1,AND($L49=80,OR($N49=1,AND($N49=2,'#BerechnungDBE'!$AL40&gt;0)))))),IF(JP$4&gt;=$AD$126,0,JZ49),IF(JR$9=3,IF(OR(JP$4&gt;=$AD$127,AND($G49=1,$J49=2,JP$6=2),AND(JP$6=1,$N49&lt;&gt;1)),0,IF(JT49&lt;=120,JZ49,IF(JP$4&lt;$AD$124,IF($F49=1,60/JR$4*JR$6,60/JR$4*JR$7),IF($F49=1,120/JR$4*JR$6,120/JR$4*JR$7)))),IF(OR($F49=3,$G49=2),IF(OR(AND(JP$4&gt;=$AD$119,$C49=2),AND(JP$4&gt;=$AF$119,$C49=1)),0,IF(JT49&lt;=60,JZ49,60/JR$4*JR$7)),IF(AND($F49=2,$G49=1),JZ49,0)))))</f>
        <v>0</v>
      </c>
      <c r="KC49" s="57" t="str">
        <f t="shared" si="112"/>
        <v/>
      </c>
      <c r="KD49" s="57" t="str">
        <f t="shared" si="432"/>
        <v/>
      </c>
      <c r="KE49" s="713">
        <f>'org. Düngung 22'!CB48</f>
        <v>0</v>
      </c>
      <c r="KF49" s="57"/>
      <c r="KG49" s="57"/>
      <c r="KH49" s="57">
        <f t="shared" si="114"/>
        <v>0</v>
      </c>
      <c r="KI49" s="57">
        <f t="shared" si="283"/>
        <v>0</v>
      </c>
      <c r="KJ49" s="57">
        <f t="shared" si="284"/>
        <v>0</v>
      </c>
      <c r="KK49" s="57">
        <f t="shared" si="285"/>
        <v>0</v>
      </c>
      <c r="KL49" s="57">
        <f t="shared" si="286"/>
        <v>0</v>
      </c>
      <c r="KM49" s="1029">
        <f t="shared" si="433"/>
        <v>0</v>
      </c>
      <c r="KN49" s="57">
        <f t="shared" si="434"/>
        <v>0</v>
      </c>
      <c r="KO49" s="171" t="str">
        <f t="shared" si="435"/>
        <v/>
      </c>
      <c r="KP49" s="57">
        <f t="shared" si="287"/>
        <v>0</v>
      </c>
      <c r="KQ49" s="57">
        <f>IF(OR(AND(KE$6=1,$L49=0),AND(KE$6=2,$K49=2,$G49=1)),0,IF(AND(KG$9=2,(OR($F49&gt;1,$K49=1,AND($L49=80,OR($N49=1,AND($N49=2,'#BerechnungDBE'!$AL40&gt;0)))))),IF(KE$4&gt;=$AD$126,0,KO49),IF(KG$9=3,IF(OR(KE$4&gt;=$AD$127,AND($G49=1,$J49=2,KE$6=2),AND(KE$6=1,$N49&lt;&gt;1)),0,IF(KI49&lt;=120,KO49,IF(KE$4&lt;$AD$124,IF($F49=1,60/KG$4*KG$6,60/KG$4*KG$7),IF($F49=1,120/KG$4*KG$6,120/KG$4*KG$7)))),IF(OR($F49=3,$G49=2),IF(OR(AND(KE$4&gt;=$AD$119,$C49=2),AND(KE$4&gt;=$AF$119,$C49=1)),0,IF(KI49&lt;=60,KO49,60/KG$4*KG$7)),IF(AND($F49=2,$G49=1),KO49,0)))))</f>
        <v>0</v>
      </c>
      <c r="KR49" s="57" t="str">
        <f t="shared" si="118"/>
        <v/>
      </c>
      <c r="KS49" s="57" t="str">
        <f t="shared" si="436"/>
        <v/>
      </c>
      <c r="KT49" s="713">
        <f>'org. Düngung 22'!CF48</f>
        <v>0</v>
      </c>
      <c r="KU49" s="57"/>
      <c r="KV49" s="57"/>
      <c r="KW49" s="57">
        <f t="shared" si="120"/>
        <v>0</v>
      </c>
      <c r="KX49" s="57">
        <f t="shared" si="288"/>
        <v>0</v>
      </c>
      <c r="KY49" s="57">
        <f t="shared" si="289"/>
        <v>0</v>
      </c>
      <c r="KZ49" s="57">
        <f t="shared" si="290"/>
        <v>0</v>
      </c>
      <c r="LA49" s="57">
        <f t="shared" si="291"/>
        <v>0</v>
      </c>
      <c r="LB49" s="1029">
        <f t="shared" si="437"/>
        <v>0</v>
      </c>
      <c r="LC49" s="57">
        <f t="shared" si="438"/>
        <v>0</v>
      </c>
      <c r="LD49" s="171" t="str">
        <f t="shared" si="439"/>
        <v/>
      </c>
      <c r="LE49" s="57">
        <f t="shared" si="292"/>
        <v>0</v>
      </c>
      <c r="LF49" s="57">
        <f>IF(OR(AND(KT$6=1,$L49=0),AND(KT$6=2,$K49=2,$G49=1)),0,IF(AND(KV$9=2,(OR($F49&gt;1,$K49=1,AND($L49=80,OR($N49=1,AND($N49=2,'#BerechnungDBE'!$AL40&gt;0)))))),IF(KT$4&gt;=$AD$126,0,LD49),IF(KV$9=3,IF(OR(KT$4&gt;=$AD$127,AND($G49=1,$J49=2,KT$6=2),AND(KT$6=1,$N49&lt;&gt;1)),0,IF(KX49&lt;=120,LD49,IF(KT$4&lt;$AD$124,IF($F49=1,60/KV$4*KV$6,60/KV$4*KV$7),IF($F49=1,120/KV$4*KV$6,120/KV$4*KV$7)))),IF(OR($F49=3,$G49=2),IF(OR(AND(KT$4&gt;=$AD$119,$C49=2),AND(KT$4&gt;=$AF$119,$C49=1)),0,IF(KX49&lt;=60,LD49,60/KV$4*KV$7)),IF(AND($F49=2,$G49=1),LD49,0)))))</f>
        <v>0</v>
      </c>
      <c r="LG49" s="57" t="str">
        <f t="shared" si="124"/>
        <v/>
      </c>
      <c r="LH49" s="57" t="str">
        <f t="shared" si="440"/>
        <v/>
      </c>
      <c r="LI49" s="713">
        <f>'org. Düngung 22'!CJ48</f>
        <v>0</v>
      </c>
      <c r="LJ49" s="57"/>
      <c r="LK49" s="57"/>
      <c r="LL49" s="57">
        <f t="shared" si="126"/>
        <v>0</v>
      </c>
      <c r="LM49" s="57">
        <f t="shared" si="293"/>
        <v>0</v>
      </c>
      <c r="LN49" s="57">
        <f t="shared" si="294"/>
        <v>0</v>
      </c>
      <c r="LO49" s="57">
        <f t="shared" si="295"/>
        <v>0</v>
      </c>
      <c r="LP49" s="57">
        <f t="shared" si="296"/>
        <v>0</v>
      </c>
      <c r="LQ49" s="1029">
        <f t="shared" si="441"/>
        <v>0</v>
      </c>
      <c r="LR49" s="57">
        <f t="shared" si="442"/>
        <v>0</v>
      </c>
      <c r="LS49" s="171" t="str">
        <f t="shared" si="443"/>
        <v/>
      </c>
      <c r="LT49" s="57">
        <f t="shared" si="297"/>
        <v>0</v>
      </c>
      <c r="LU49" s="57">
        <f>IF(OR(AND(LI$6=1,$L49=0),AND(LI$6=2,$K49=2,$G49=1)),0,IF(AND(LK$9=2,(OR($F49&gt;1,$K49=1,AND($L49=80,OR($N49=1,AND($N49=2,'#BerechnungDBE'!$AL40&gt;0)))))),IF(LI$4&gt;=$AD$126,0,LS49),IF(LK$9=3,IF(OR(LI$4&gt;=$AD$127,AND($G49=1,$J49=2,LI$6=2),AND(LI$6=1,$N49&lt;&gt;1)),0,IF(LM49&lt;=120,LS49,IF(LI$4&lt;$AD$124,IF($F49=1,60/LK$4*LK$6,60/LK$4*LK$7),IF($F49=1,120/LK$4*LK$6,120/LK$4*LK$7)))),IF(OR($F49=3,$G49=2),IF(OR(AND(LI$4&gt;=$AD$119,$C49=2),AND(LI$4&gt;=$AF$119,$C49=1)),0,IF(LM49&lt;=60,LS49,60/LK$4*LK$7)),IF(AND($F49=2,$G49=1),LS49,0)))))</f>
        <v>0</v>
      </c>
      <c r="LV49" s="57" t="str">
        <f t="shared" si="130"/>
        <v/>
      </c>
      <c r="LW49" s="57" t="str">
        <f t="shared" si="444"/>
        <v/>
      </c>
      <c r="LX49" s="713">
        <f>'org. Düngung 22'!CN48</f>
        <v>0</v>
      </c>
      <c r="LY49" s="57"/>
      <c r="LZ49" s="57"/>
      <c r="MA49" s="57">
        <f t="shared" si="132"/>
        <v>0</v>
      </c>
      <c r="MB49" s="57">
        <f t="shared" si="298"/>
        <v>0</v>
      </c>
      <c r="MC49" s="57">
        <f t="shared" si="299"/>
        <v>0</v>
      </c>
      <c r="MD49" s="57">
        <f t="shared" si="300"/>
        <v>0</v>
      </c>
      <c r="ME49" s="57">
        <f t="shared" si="301"/>
        <v>0</v>
      </c>
      <c r="MF49" s="1029">
        <f t="shared" si="445"/>
        <v>0</v>
      </c>
      <c r="MG49" s="57">
        <f t="shared" si="446"/>
        <v>0</v>
      </c>
      <c r="MH49" s="171" t="str">
        <f t="shared" si="447"/>
        <v/>
      </c>
      <c r="MI49" s="57">
        <f t="shared" si="302"/>
        <v>0</v>
      </c>
      <c r="MJ49" s="57">
        <f>IF(OR(AND(LX$6=1,$L49=0),AND(LX$6=2,$K49=2,$G49=1)),0,IF(AND(LZ$9=2,(OR($F49&gt;1,$K49=1,AND($L49=80,OR($N49=1,AND($N49=2,'#BerechnungDBE'!$AL40&gt;0)))))),IF(LX$4&gt;=$AD$126,0,MH49),IF(LZ$9=3,IF(OR(LX$4&gt;=$AD$127,AND($G49=1,$J49=2,LX$6=2),AND(LX$6=1,$N49&lt;&gt;1)),0,IF(MB49&lt;=120,MH49,IF(LX$4&lt;$AD$124,IF($F49=1,60/LZ$4*LZ$6,60/LZ$4*LZ$7),IF($F49=1,120/LZ$4*LZ$6,120/LZ$4*LZ$7)))),IF(OR($F49=3,$G49=2),IF(OR(AND(LX$4&gt;=$AD$119,$C49=2),AND(LX$4&gt;=$AF$119,$C49=1)),0,IF(MB49&lt;=60,MH49,60/LZ$4*LZ$7)),IF(AND($F49=2,$G49=1),MH49,0)))))</f>
        <v>0</v>
      </c>
      <c r="MK49" s="57" t="str">
        <f t="shared" si="136"/>
        <v/>
      </c>
      <c r="ML49" s="57" t="str">
        <f t="shared" si="448"/>
        <v/>
      </c>
      <c r="MM49" s="713">
        <f>'org. Düngung 22'!CR48</f>
        <v>0</v>
      </c>
      <c r="MN49" s="57"/>
      <c r="MO49" s="57"/>
      <c r="MP49" s="57">
        <f t="shared" si="138"/>
        <v>0</v>
      </c>
      <c r="MQ49" s="57">
        <f t="shared" si="303"/>
        <v>0</v>
      </c>
      <c r="MR49" s="57">
        <f t="shared" si="304"/>
        <v>0</v>
      </c>
      <c r="MS49" s="57">
        <f t="shared" si="305"/>
        <v>0</v>
      </c>
      <c r="MT49" s="57">
        <f t="shared" si="306"/>
        <v>0</v>
      </c>
      <c r="MU49" s="1029">
        <f t="shared" si="449"/>
        <v>0</v>
      </c>
      <c r="MV49" s="57">
        <f t="shared" si="450"/>
        <v>0</v>
      </c>
      <c r="MW49" s="171" t="str">
        <f t="shared" si="451"/>
        <v/>
      </c>
      <c r="MX49" s="57">
        <f t="shared" si="307"/>
        <v>0</v>
      </c>
      <c r="MY49" s="57">
        <f>IF(OR(AND(MM$6=1,$L49=0),AND(MM$6=2,$K49=2,$G49=1)),0,IF(AND(MO$9=2,(OR($F49&gt;1,$K49=1,AND($L49=80,OR($N49=1,AND($N49=2,'#BerechnungDBE'!$AL40&gt;0)))))),IF(MM$4&gt;=$AD$126,0,MW49),IF(MO$9=3,IF(OR(MM$4&gt;=$AD$127,AND($G49=1,$J49=2,MM$6=2),AND(MM$6=1,$N49&lt;&gt;1)),0,IF(MQ49&lt;=120,MW49,IF(MM$4&lt;$AD$124,IF($F49=1,60/MO$4*MO$6,60/MO$4*MO$7),IF($F49=1,120/MO$4*MO$6,120/MO$4*MO$7)))),IF(OR($F49=3,$G49=2),IF(OR(AND(MM$4&gt;=$AD$119,$C49=2),AND(MM$4&gt;=$AF$119,$C49=1)),0,IF(MQ49&lt;=60,MW49,60/MO$4*MO$7)),IF(AND($F49=2,$G49=1),MW49,0)))))</f>
        <v>0</v>
      </c>
      <c r="MZ49" s="57" t="str">
        <f t="shared" si="142"/>
        <v/>
      </c>
      <c r="NA49" s="57" t="str">
        <f t="shared" si="452"/>
        <v/>
      </c>
      <c r="NB49" s="713">
        <f>'org. Düngung 22'!CV48</f>
        <v>0</v>
      </c>
      <c r="NC49" s="57"/>
      <c r="ND49" s="57"/>
      <c r="NE49" s="57">
        <f t="shared" si="144"/>
        <v>0</v>
      </c>
      <c r="NF49" s="57">
        <f t="shared" si="308"/>
        <v>0</v>
      </c>
      <c r="NG49" s="57">
        <f t="shared" si="309"/>
        <v>0</v>
      </c>
      <c r="NH49" s="57">
        <f t="shared" si="310"/>
        <v>0</v>
      </c>
      <c r="NI49" s="57">
        <f t="shared" si="311"/>
        <v>0</v>
      </c>
      <c r="NJ49" s="1029">
        <f t="shared" si="453"/>
        <v>0</v>
      </c>
      <c r="NK49" s="57">
        <f t="shared" si="454"/>
        <v>0</v>
      </c>
      <c r="NL49" s="171" t="str">
        <f t="shared" si="455"/>
        <v/>
      </c>
      <c r="NM49" s="57">
        <f t="shared" si="312"/>
        <v>0</v>
      </c>
      <c r="NN49" s="57">
        <f>IF(OR(AND(NB$6=1,$L49=0),AND(NB$6=2,$K49=2,$G49=1)),0,IF(AND(ND$9=2,(OR($F49&gt;1,$K49=1,AND($L49=80,OR($N49=1,AND($N49=2,'#BerechnungDBE'!$AL40&gt;0)))))),IF(NB$4&gt;=$AD$126,0,NL49),IF(ND$9=3,IF(OR(NB$4&gt;=$AD$127,AND($G49=1,$J49=2,NB$6=2),AND(NB$6=1,$N49&lt;&gt;1)),0,IF(NF49&lt;=120,NL49,IF(NB$4&lt;$AD$124,IF($F49=1,60/ND$4*ND$6,60/ND$4*ND$7),IF($F49=1,120/ND$4*ND$6,120/ND$4*ND$7)))),IF(OR($F49=3,$G49=2),IF(OR(AND(NB$4&gt;=$AD$119,$C49=2),AND(NB$4&gt;=$AF$119,$C49=1)),0,IF(NF49&lt;=60,NL49,60/ND$4*ND$7)),IF(AND($F49=2,$G49=1),NL49,0)))))</f>
        <v>0</v>
      </c>
      <c r="NO49" s="57" t="str">
        <f t="shared" si="148"/>
        <v/>
      </c>
      <c r="NP49" s="57" t="str">
        <f t="shared" si="456"/>
        <v/>
      </c>
      <c r="NQ49" s="713">
        <f>'org. Düngung 22'!CZ48</f>
        <v>0</v>
      </c>
      <c r="NR49" s="57"/>
      <c r="NS49" s="57"/>
      <c r="NT49" s="57">
        <f t="shared" si="150"/>
        <v>0</v>
      </c>
      <c r="NU49" s="57">
        <f t="shared" si="313"/>
        <v>0</v>
      </c>
      <c r="NV49" s="57">
        <f t="shared" si="314"/>
        <v>0</v>
      </c>
      <c r="NW49" s="57">
        <f t="shared" si="315"/>
        <v>0</v>
      </c>
      <c r="NX49" s="57">
        <f t="shared" si="316"/>
        <v>0</v>
      </c>
      <c r="NY49" s="1029">
        <f t="shared" si="457"/>
        <v>0</v>
      </c>
      <c r="NZ49" s="57">
        <f t="shared" si="458"/>
        <v>0</v>
      </c>
      <c r="OA49" s="171" t="str">
        <f t="shared" si="459"/>
        <v/>
      </c>
      <c r="OB49" s="57">
        <f t="shared" si="317"/>
        <v>0</v>
      </c>
      <c r="OC49" s="57">
        <f>IF(OR(AND(NQ$6=1,$L49=0),AND(NQ$6=2,$K49=2,$G49=1)),0,IF(AND(NS$9=2,(OR($F49&gt;1,$K49=1,AND($L49=80,OR($N49=1,AND($N49=2,'#BerechnungDBE'!$AL40&gt;0)))))),IF(NQ$4&gt;=$AD$126,0,OA49),IF(NS$9=3,IF(OR(NQ$4&gt;=$AD$127,AND($G49=1,$J49=2,NQ$6=2),AND(NQ$6=1,$N49&lt;&gt;1)),0,IF(NU49&lt;=120,OA49,IF(NQ$4&lt;$AD$124,IF($F49=1,60/NS$4*NS$6,60/NS$4*NS$7),IF($F49=1,120/NS$4*NS$6,120/NS$4*NS$7)))),IF(OR($F49=3,$G49=2),IF(OR(AND(NQ$4&gt;=$AD$119,$C49=2),AND(NQ$4&gt;=$AF$119,$C49=1)),0,IF(NU49&lt;=60,OA49,60/NS$4*NS$7)),IF(AND($F49=2,$G49=1),OA49,0)))))</f>
        <v>0</v>
      </c>
      <c r="OD49" s="57" t="str">
        <f t="shared" si="154"/>
        <v/>
      </c>
      <c r="OE49" s="57" t="str">
        <f t="shared" si="460"/>
        <v/>
      </c>
      <c r="OF49" s="713">
        <f>'org. Düngung 22'!DD48</f>
        <v>0</v>
      </c>
      <c r="OG49" s="57"/>
      <c r="OH49" s="57"/>
      <c r="OI49" s="57">
        <f t="shared" si="156"/>
        <v>0</v>
      </c>
      <c r="OJ49" s="57">
        <f t="shared" si="318"/>
        <v>0</v>
      </c>
      <c r="OK49" s="57">
        <f t="shared" si="319"/>
        <v>0</v>
      </c>
      <c r="OL49" s="57">
        <f t="shared" si="320"/>
        <v>0</v>
      </c>
      <c r="OM49" s="57">
        <f t="shared" si="321"/>
        <v>0</v>
      </c>
      <c r="ON49" s="1029">
        <f t="shared" si="461"/>
        <v>0</v>
      </c>
      <c r="OO49" s="57">
        <f t="shared" si="462"/>
        <v>0</v>
      </c>
      <c r="OP49" s="171" t="str">
        <f t="shared" si="463"/>
        <v/>
      </c>
      <c r="OQ49" s="57">
        <f t="shared" si="322"/>
        <v>0</v>
      </c>
      <c r="OR49" s="57">
        <f>IF(OR(AND(OF$6=1,$L49=0),AND(OF$6=2,$K49=2,$G49=1)),0,IF(AND(OH$9=2,(OR($F49&gt;1,$K49=1,AND($L49=80,OR($N49=1,AND($N49=2,'#BerechnungDBE'!$AL40&gt;0)))))),IF(OF$4&gt;=$AD$126,0,OP49),IF(OH$9=3,IF(OR(OF$4&gt;=$AD$127,AND($G49=1,$J49=2,OF$6=2),AND(OF$6=1,$N49&lt;&gt;1)),0,IF(OJ49&lt;=120,OP49,IF(OF$4&lt;$AD$124,IF($F49=1,60/OH$4*OH$6,60/OH$4*OH$7),IF($F49=1,120/OH$4*OH$6,120/OH$4*OH$7)))),IF(OR($F49=3,$G49=2),IF(OR(AND(OF$4&gt;=$AD$119,$C49=2),AND(OF$4&gt;=$AF$119,$C49=1)),0,IF(OJ49&lt;=60,OP49,60/OH$4*OH$7)),IF(AND($F49=2,$G49=1),OP49,0)))))</f>
        <v>0</v>
      </c>
      <c r="OS49" s="57" t="str">
        <f t="shared" si="160"/>
        <v/>
      </c>
      <c r="OT49" s="57" t="str">
        <f t="shared" si="464"/>
        <v/>
      </c>
      <c r="OU49" s="713">
        <f>'org. Düngung 22'!DH48</f>
        <v>0</v>
      </c>
      <c r="OV49" s="57"/>
      <c r="OW49" s="57"/>
      <c r="OX49" s="57">
        <f t="shared" si="162"/>
        <v>0</v>
      </c>
      <c r="OY49" s="57">
        <f t="shared" si="323"/>
        <v>0</v>
      </c>
      <c r="OZ49" s="57">
        <f t="shared" si="324"/>
        <v>0</v>
      </c>
      <c r="PA49" s="57">
        <f t="shared" si="325"/>
        <v>0</v>
      </c>
      <c r="PB49" s="57">
        <f t="shared" si="326"/>
        <v>0</v>
      </c>
      <c r="PC49" s="1029">
        <f t="shared" si="465"/>
        <v>0</v>
      </c>
      <c r="PD49" s="57">
        <f t="shared" si="466"/>
        <v>0</v>
      </c>
      <c r="PE49" s="171" t="str">
        <f t="shared" si="467"/>
        <v/>
      </c>
      <c r="PF49" s="57">
        <f t="shared" si="327"/>
        <v>0</v>
      </c>
      <c r="PG49" s="57">
        <f>IF(OR(AND(OU$6=1,$L49=0),AND(OU$6=2,$K49=2,$G49=1)),0,IF(AND(OW$9=2,(OR($F49&gt;1,$K49=1,AND($L49=80,OR($N49=1,AND($N49=2,'#BerechnungDBE'!$AL40&gt;0)))))),IF(OU$4&gt;=$AD$126,0,PE49),IF(OW$9=3,IF(OR(OU$4&gt;=$AD$127,AND($G49=1,$J49=2,OU$6=2),AND(OU$6=1,$N49&lt;&gt;1)),0,IF(OY49&lt;=120,PE49,IF(OU$4&lt;$AD$124,IF($F49=1,60/OW$4*OW$6,60/OW$4*OW$7),IF($F49=1,120/OW$4*OW$6,120/OW$4*OW$7)))),IF(OR($F49=3,$G49=2),IF(OR(AND(OU$4&gt;=$AD$119,$C49=2),AND(OU$4&gt;=$AF$119,$C49=1)),0,IF(OY49&lt;=60,PE49,60/OW$4*OW$7)),IF(AND($F49=2,$G49=1),PE49,0)))))</f>
        <v>0</v>
      </c>
      <c r="PH49" s="57" t="str">
        <f t="shared" si="166"/>
        <v/>
      </c>
      <c r="PI49" s="57" t="str">
        <f t="shared" si="468"/>
        <v/>
      </c>
      <c r="PJ49" s="713">
        <f>'org. Düngung 22'!DL48</f>
        <v>0</v>
      </c>
      <c r="PK49" s="57"/>
      <c r="PL49" s="57"/>
      <c r="PM49" s="57">
        <f t="shared" si="168"/>
        <v>0</v>
      </c>
      <c r="PN49" s="57">
        <f t="shared" si="328"/>
        <v>0</v>
      </c>
      <c r="PO49" s="57">
        <f t="shared" si="329"/>
        <v>0</v>
      </c>
      <c r="PP49" s="57">
        <f t="shared" si="330"/>
        <v>0</v>
      </c>
      <c r="PQ49" s="57">
        <f t="shared" si="331"/>
        <v>0</v>
      </c>
      <c r="PR49" s="1029">
        <f t="shared" si="469"/>
        <v>0</v>
      </c>
      <c r="PS49" s="57">
        <f t="shared" si="470"/>
        <v>0</v>
      </c>
      <c r="PT49" s="171" t="str">
        <f t="shared" si="471"/>
        <v/>
      </c>
      <c r="PU49" s="57">
        <f t="shared" si="332"/>
        <v>0</v>
      </c>
      <c r="PV49" s="57">
        <f>IF(OR(AND(PJ$6=1,$L49=0),AND(PJ$6=2,$K49=2,$G49=1)),0,IF(AND(PL$9=2,(OR($F49&gt;1,$K49=1,AND($L49=80,OR($N49=1,AND($N49=2,'#BerechnungDBE'!$AL40&gt;0)))))),IF(PJ$4&gt;=$AD$126,0,PT49),IF(PL$9=3,IF(OR(PJ$4&gt;=$AD$127,AND($G49=1,$J49=2,PJ$6=2),AND(PJ$6=1,$N49&lt;&gt;1)),0,IF(PN49&lt;=120,PT49,IF(PJ$4&lt;$AD$124,IF($F49=1,60/PL$4*PL$6,60/PL$4*PL$7),IF($F49=1,120/PL$4*PL$6,120/PL$4*PL$7)))),IF(OR($F49=3,$G49=2),IF(OR(AND(PJ$4&gt;=$AD$119,$C49=2),AND(PJ$4&gt;=$AF$119,$C49=1)),0,IF(PN49&lt;=60,PT49,60/PL$4*PL$7)),IF(AND($F49=2,$G49=1),PT49,0)))))</f>
        <v>0</v>
      </c>
      <c r="PW49" s="57" t="str">
        <f t="shared" si="172"/>
        <v/>
      </c>
      <c r="PX49" s="57" t="str">
        <f t="shared" si="472"/>
        <v/>
      </c>
      <c r="PY49" s="713">
        <f>'org. Düngung 22'!DP48</f>
        <v>0</v>
      </c>
      <c r="PZ49" s="57"/>
      <c r="QA49" s="57"/>
      <c r="QB49" s="57">
        <f t="shared" si="174"/>
        <v>0</v>
      </c>
      <c r="QC49" s="57">
        <f t="shared" si="333"/>
        <v>0</v>
      </c>
      <c r="QD49" s="57">
        <f t="shared" si="334"/>
        <v>0</v>
      </c>
      <c r="QE49" s="57">
        <f t="shared" si="335"/>
        <v>0</v>
      </c>
      <c r="QF49" s="57">
        <f t="shared" si="336"/>
        <v>0</v>
      </c>
      <c r="QG49" s="1029">
        <f t="shared" si="473"/>
        <v>0</v>
      </c>
      <c r="QH49" s="57">
        <f t="shared" si="474"/>
        <v>0</v>
      </c>
      <c r="QI49" s="171" t="str">
        <f t="shared" si="475"/>
        <v/>
      </c>
      <c r="QJ49" s="57">
        <f t="shared" si="337"/>
        <v>0</v>
      </c>
      <c r="QK49" s="57">
        <f>IF(OR(AND(PY$6=1,$L49=0),AND(PY$6=2,$K49=2,$G49=1)),0,IF(AND(QA$9=2,(OR($F49&gt;1,$K49=1,AND($L49=80,OR($N49=1,AND($N49=2,'#BerechnungDBE'!$AL40&gt;0)))))),IF(PY$4&gt;=$AD$126,0,QI49),IF(QA$9=3,IF(OR(PY$4&gt;=$AD$127,AND($G49=1,$J49=2,PY$6=2),AND(PY$6=1,$N49&lt;&gt;1)),0,IF(QC49&lt;=120,QI49,IF(PY$4&lt;$AD$124,IF($F49=1,60/QA$4*QA$6,60/QA$4*QA$7),IF($F49=1,120/QA$4*QA$6,120/QA$4*QA$7)))),IF(OR($F49=3,$G49=2),IF(OR(AND(PY$4&gt;=$AD$119,$C49=2),AND(PY$4&gt;=$AF$119,$C49=1)),0,IF(QC49&lt;=60,QI49,60/QA$4*QA$7)),IF(AND($F49=2,$G49=1),QI49,0)))))</f>
        <v>0</v>
      </c>
      <c r="QL49" s="57" t="str">
        <f t="shared" si="178"/>
        <v/>
      </c>
      <c r="QM49" s="57" t="str">
        <f t="shared" si="476"/>
        <v/>
      </c>
      <c r="QN49" s="713">
        <f>'org. Düngung 22'!DT48</f>
        <v>0</v>
      </c>
      <c r="QO49" s="57"/>
      <c r="QP49" s="57"/>
      <c r="QQ49" s="57">
        <f t="shared" si="180"/>
        <v>0</v>
      </c>
      <c r="QR49" s="57">
        <f t="shared" si="338"/>
        <v>0</v>
      </c>
      <c r="QS49" s="57">
        <f t="shared" si="339"/>
        <v>0</v>
      </c>
      <c r="QT49" s="57">
        <f t="shared" si="340"/>
        <v>0</v>
      </c>
      <c r="QU49" s="57">
        <f t="shared" si="341"/>
        <v>0</v>
      </c>
      <c r="QV49" s="1029">
        <f t="shared" si="477"/>
        <v>0</v>
      </c>
      <c r="QW49" s="57">
        <f t="shared" si="478"/>
        <v>0</v>
      </c>
      <c r="QX49" s="171" t="str">
        <f t="shared" si="479"/>
        <v/>
      </c>
      <c r="QY49" s="57">
        <f t="shared" si="342"/>
        <v>0</v>
      </c>
      <c r="QZ49" s="57">
        <f>IF(OR(AND(QN$6=1,$L49=0),AND(QN$6=2,$K49=2,$G49=1)),0,IF(AND(QP$9=2,(OR($F49&gt;1,$K49=1,AND($L49=80,OR($N49=1,AND($N49=2,'#BerechnungDBE'!$AL40&gt;0)))))),IF(QN$4&gt;=$AD$126,0,QX49),IF(QP$9=3,IF(OR(QN$4&gt;=$AD$127,AND($G49=1,$J49=2,QN$6=2),AND(QN$6=1,$N49&lt;&gt;1)),0,IF(QR49&lt;=120,QX49,IF(QN$4&lt;$AD$124,IF($F49=1,60/QP$4*QP$6,60/QP$4*QP$7),IF($F49=1,120/QP$4*QP$6,120/QP$4*QP$7)))),IF(OR($F49=3,$G49=2),IF(OR(AND(QN$4&gt;=$AD$119,$C49=2),AND(QN$4&gt;=$AF$119,$C49=1)),0,IF(QR49&lt;=60,QX49,60/QP$4*QP$7)),IF(AND($F49=2,$G49=1),QX49,0)))))</f>
        <v>0</v>
      </c>
      <c r="RA49" s="57" t="str">
        <f t="shared" si="184"/>
        <v/>
      </c>
      <c r="RB49" s="57" t="str">
        <f t="shared" si="480"/>
        <v/>
      </c>
      <c r="RC49" s="713">
        <f>'org. Düngung 22'!DX48</f>
        <v>0</v>
      </c>
      <c r="RD49" s="57"/>
      <c r="RE49" s="57"/>
      <c r="RF49" s="57">
        <f t="shared" si="186"/>
        <v>0</v>
      </c>
      <c r="RG49" s="57">
        <f t="shared" si="343"/>
        <v>0</v>
      </c>
      <c r="RH49" s="57">
        <f t="shared" si="344"/>
        <v>0</v>
      </c>
      <c r="RI49" s="57">
        <f t="shared" si="345"/>
        <v>0</v>
      </c>
      <c r="RJ49" s="57">
        <f t="shared" si="346"/>
        <v>0</v>
      </c>
      <c r="RK49" s="1029">
        <f t="shared" si="481"/>
        <v>0</v>
      </c>
      <c r="RL49" s="57">
        <f t="shared" si="482"/>
        <v>0</v>
      </c>
      <c r="RM49" s="171" t="str">
        <f t="shared" si="483"/>
        <v/>
      </c>
      <c r="RN49" s="57">
        <f t="shared" si="347"/>
        <v>0</v>
      </c>
      <c r="RO49" s="57">
        <f>IF(OR(AND(RC$6=1,$L49=0),AND(RC$6=2,$K49=2,$G49=1)),0,IF(AND(RE$9=2,(OR($F49&gt;1,$K49=1,AND($L49=80,OR($N49=1,AND($N49=2,'#BerechnungDBE'!$AL40&gt;0)))))),IF(RC$4&gt;=$AD$126,0,RM49),IF(RE$9=3,IF(OR(RC$4&gt;=$AD$127,AND($G49=1,$J49=2,RC$6=2),AND(RC$6=1,$N49&lt;&gt;1)),0,IF(RG49&lt;=120,RM49,IF(RC$4&lt;$AD$124,IF($F49=1,60/RE$4*RE$6,60/RE$4*RE$7),IF($F49=1,120/RE$4*RE$6,120/RE$4*RE$7)))),IF(OR($F49=3,$G49=2),IF(OR(AND(RC$4&gt;=$AD$119,$C49=2),AND(RC$4&gt;=$AF$119,$C49=1)),0,IF(RG49&lt;=60,RM49,60/RE$4*RE$7)),IF(AND($F49=2,$G49=1),RM49,0)))))</f>
        <v>0</v>
      </c>
      <c r="RP49" s="57" t="str">
        <f t="shared" si="190"/>
        <v/>
      </c>
      <c r="RQ49" s="57" t="str">
        <f t="shared" si="484"/>
        <v/>
      </c>
      <c r="RS49" s="57" t="str">
        <f t="shared" si="488"/>
        <v/>
      </c>
      <c r="RT49" s="57" t="str">
        <f t="shared" si="485"/>
        <v/>
      </c>
      <c r="RU49" s="57" t="str">
        <f t="shared" si="486"/>
        <v/>
      </c>
      <c r="RV49" s="57" t="str">
        <f>IF(Z49&gt;'#BerechnungDBE'!BM40,$RV$9,"")</f>
        <v/>
      </c>
      <c r="RW49" s="57" t="str">
        <f>IF(AND(L49=70,AE49&gt;'#BerechnungDBE'!CQ40),$RW$9,"")</f>
        <v/>
      </c>
      <c r="RX49" s="57" t="str">
        <f>IF(OR('org. Düngung 22'!G48="--",'org. Düngung 22'!G48&lt;=170,'org. Düngung 22'!G48=""),"",$RX$9)</f>
        <v/>
      </c>
      <c r="RY49" s="57" t="str">
        <f>IF('org. Düngung 22'!K48&gt;120,'#orgDung'!$RY$9,"")</f>
        <v/>
      </c>
      <c r="RZ49" s="57" t="str">
        <f>IF('#BerechnungDBE'!P40&lt;4,"",IF(AND('#BerechnungDBE'!BZ40&gt;0,T49&gt;0),'#orgDung'!$RZ$9,""))</f>
        <v/>
      </c>
      <c r="SA49" s="57" t="str">
        <f t="shared" si="487"/>
        <v/>
      </c>
    </row>
    <row r="50" spans="1:495" s="875" customFormat="1" x14ac:dyDescent="0.2">
      <c r="A50" s="875">
        <f>'Flächen u. Kulturen'!A46</f>
        <v>37</v>
      </c>
      <c r="B50" s="367">
        <f>'#BerechnungDBE'!L41</f>
        <v>0</v>
      </c>
      <c r="C50" s="875">
        <f>'#BerechnungDBE'!R41</f>
        <v>1</v>
      </c>
      <c r="D50" s="875">
        <f>'#BerechnungDBE'!T41</f>
        <v>2</v>
      </c>
      <c r="E50" s="875" t="str">
        <f>'Flächen u. Kulturen'!E46</f>
        <v>x</v>
      </c>
      <c r="F50" s="52">
        <f>'#BerechnungDBE'!N41</f>
        <v>1</v>
      </c>
      <c r="G50" s="52">
        <f>'#BerechnungDBE'!O41</f>
        <v>1</v>
      </c>
      <c r="H50" s="875">
        <f>IF('Flächen u. Kulturen'!P46="",0,VLOOKUP('Flächen u. Kulturen'!P46,Kulturen[[HF]:[Berechnungsgruppe]],'#Frucht'!$H$1,FALSE))</f>
        <v>0</v>
      </c>
      <c r="I50" s="875">
        <f>IF('Flächen u. Kulturen'!J46="",0,VLOOKUP('Flächen u. Kulturen'!J46,Kulturen[[HF]:[Berechnungsgruppe]],'#Frucht'!$G$1,FALSE))</f>
        <v>90</v>
      </c>
      <c r="J50" s="505">
        <f t="shared" si="195"/>
        <v>2</v>
      </c>
      <c r="K50" s="505">
        <f>IF('Flächen u. Kulturen'!P46="",0,IF(VLOOKUP('Flächen u. Kulturen'!P46,Kulturen[[HF]:[Saat Winterungen]],'#Frucht'!$P$1,FALSE)&gt;0,1,2))</f>
        <v>2</v>
      </c>
      <c r="L50" s="875">
        <f>'#BerechnungDBE'!AF41</f>
        <v>0</v>
      </c>
      <c r="M50" s="875">
        <f>IF('Flächen u. Kulturen'!L46="",0,VLOOKUP('Flächen u. Kulturen'!L46,Nebenkultur[[Nebenkultur]:[Legum. Zwischenfr.]],'#Zweitfr'!$K$1,FALSE))</f>
        <v>0</v>
      </c>
      <c r="N50" s="875">
        <f>'#BerechnungDBE'!AG41</f>
        <v>0</v>
      </c>
      <c r="P50" s="57">
        <f t="shared" si="353"/>
        <v>0</v>
      </c>
      <c r="Q50" s="57">
        <f t="shared" si="354"/>
        <v>0</v>
      </c>
      <c r="R50" s="875">
        <f t="shared" si="355"/>
        <v>0</v>
      </c>
      <c r="S50" s="938" t="str">
        <f t="shared" si="3"/>
        <v/>
      </c>
      <c r="T50" s="875">
        <f t="shared" si="356"/>
        <v>0</v>
      </c>
      <c r="U50" s="875">
        <f t="shared" si="357"/>
        <v>0</v>
      </c>
      <c r="V50" s="875">
        <f t="shared" si="358"/>
        <v>0</v>
      </c>
      <c r="W50" s="875">
        <f t="shared" si="359"/>
        <v>0</v>
      </c>
      <c r="X50" s="875">
        <f t="shared" si="360"/>
        <v>0</v>
      </c>
      <c r="Y50" s="875">
        <f t="shared" si="349"/>
        <v>0</v>
      </c>
      <c r="Z50" s="875">
        <f t="shared" si="350"/>
        <v>0</v>
      </c>
      <c r="AA50" s="910">
        <f t="shared" si="361"/>
        <v>0</v>
      </c>
      <c r="AB50" s="57">
        <f t="shared" si="351"/>
        <v>0</v>
      </c>
      <c r="AC50" s="875">
        <f t="shared" si="362"/>
        <v>0</v>
      </c>
      <c r="AD50" s="875">
        <f t="shared" si="363"/>
        <v>0</v>
      </c>
      <c r="AE50" s="875">
        <f t="shared" si="364"/>
        <v>0</v>
      </c>
      <c r="AF50" s="875">
        <f t="shared" si="352"/>
        <v>0</v>
      </c>
      <c r="AG50" s="875">
        <f>'org. Düngung 22'!J49</f>
        <v>0</v>
      </c>
      <c r="AH50" s="875">
        <f>'org. Düngung 22'!K49</f>
        <v>0</v>
      </c>
      <c r="AJ50" s="713">
        <f>'org. Düngung 22'!L49</f>
        <v>0</v>
      </c>
      <c r="AK50" s="57"/>
      <c r="AL50" s="57"/>
      <c r="AM50" s="57">
        <f t="shared" si="196"/>
        <v>0</v>
      </c>
      <c r="AN50" s="57">
        <f t="shared" si="197"/>
        <v>0</v>
      </c>
      <c r="AO50" s="57">
        <f t="shared" si="198"/>
        <v>0</v>
      </c>
      <c r="AP50" s="57">
        <f t="shared" si="199"/>
        <v>0</v>
      </c>
      <c r="AQ50" s="57">
        <f t="shared" si="200"/>
        <v>0</v>
      </c>
      <c r="AR50" s="1029">
        <f t="shared" si="365"/>
        <v>0</v>
      </c>
      <c r="AS50" s="57">
        <f t="shared" si="366"/>
        <v>0</v>
      </c>
      <c r="AT50" s="171" t="str">
        <f t="shared" si="367"/>
        <v/>
      </c>
      <c r="AU50" s="57">
        <f t="shared" si="201"/>
        <v>0</v>
      </c>
      <c r="AV50" s="57">
        <f>IF(OR(AND(AJ$6=1,$L50=0),AND(AJ$6=2,$K50=2,$G50=1)),0,IF(AND(AL$9=2,(OR($F50&gt;1,$K50=1,AND($L50=80,OR($N50=1,AND($N50=2,'#BerechnungDBE'!$AL41&gt;0)))))),IF(AJ$4&gt;=$AD$126,0,AT50),IF(AL$9=3,IF(OR(AJ$4&gt;=$AD$127,AND($G50=1,$J50=2,AJ$6=2),AND(AJ$6=1,$N50&lt;&gt;1)),0,IF(AN50&lt;=120,AT50,IF(AJ$4&lt;$AD$124,IF($F50=1,60/AL$4*AL$6,60/AL$4*AL$7),IF($F50=1,120/AL$4*AL$6,120/AL$4*AL$7)))),IF(OR($F50=3,$G50=2),IF(OR(AND(AJ$4&gt;=$AD$119,$C50=2),AND(AJ$4&gt;=$AF$119,$C50=1)),0,IF(AN50&lt;=60,AT50,60/AL$4*AL$7)),IF(AND($F50=2,$G50=1),AT50,0)))))</f>
        <v>0</v>
      </c>
      <c r="AW50" s="57" t="str">
        <f t="shared" si="202"/>
        <v/>
      </c>
      <c r="AX50" s="57" t="str">
        <f t="shared" si="368"/>
        <v/>
      </c>
      <c r="AY50" s="713">
        <f>'org. Düngung 22'!P49</f>
        <v>0</v>
      </c>
      <c r="AZ50" s="57"/>
      <c r="BA50" s="57"/>
      <c r="BB50" s="57">
        <f t="shared" si="18"/>
        <v>0</v>
      </c>
      <c r="BC50" s="57">
        <f t="shared" si="203"/>
        <v>0</v>
      </c>
      <c r="BD50" s="57">
        <f t="shared" si="204"/>
        <v>0</v>
      </c>
      <c r="BE50" s="57">
        <f t="shared" si="205"/>
        <v>0</v>
      </c>
      <c r="BF50" s="57">
        <f t="shared" si="206"/>
        <v>0</v>
      </c>
      <c r="BG50" s="1029">
        <f t="shared" si="369"/>
        <v>0</v>
      </c>
      <c r="BH50" s="57">
        <f t="shared" si="370"/>
        <v>0</v>
      </c>
      <c r="BI50" s="171" t="str">
        <f t="shared" si="371"/>
        <v/>
      </c>
      <c r="BJ50" s="57">
        <f t="shared" si="207"/>
        <v>0</v>
      </c>
      <c r="BK50" s="57">
        <f>IF(OR(AND(AY$6=1,$L50=0),AND(AY$6=2,$K50=2,$G50=1)),0,IF(AND(BA$9=2,(OR($F50&gt;1,$K50=1,AND($L50=80,OR($N50=1,AND($N50=2,'#BerechnungDBE'!$AL41&gt;0)))))),IF(AY$4&gt;=$AD$126,0,BI50),IF(BA$9=3,IF(OR(AY$4&gt;=$AD$127,AND($G50=1,$J50=2,AY$6=2),AND(AY$6=1,$N50&lt;&gt;1)),0,IF(BC50&lt;=120,BI50,IF(AY$4&lt;$AD$124,IF($F50=1,60/BA$4*BA$6,60/BA$4*BA$7),IF($F50=1,120/BA$4*BA$6,120/BA$4*BA$7)))),IF(OR($F50=3,$G50=2),IF(OR(AND(AY$4&gt;=$AD$119,$C50=2),AND(AY$4&gt;=$AF$119,$C50=1)),0,IF(BC50&lt;=60,BI50,60/BA$4*BA$7)),IF(AND($F50=2,$G50=1),BI50,0)))))</f>
        <v>0</v>
      </c>
      <c r="BL50" s="57" t="str">
        <f t="shared" si="22"/>
        <v/>
      </c>
      <c r="BM50" s="57" t="str">
        <f t="shared" si="372"/>
        <v/>
      </c>
      <c r="BN50" s="713">
        <f>'org. Düngung 22'!T49</f>
        <v>0</v>
      </c>
      <c r="BO50" s="57"/>
      <c r="BP50" s="57"/>
      <c r="BQ50" s="57">
        <f t="shared" si="24"/>
        <v>0</v>
      </c>
      <c r="BR50" s="57">
        <f t="shared" si="208"/>
        <v>0</v>
      </c>
      <c r="BS50" s="57">
        <f t="shared" si="209"/>
        <v>0</v>
      </c>
      <c r="BT50" s="57">
        <f t="shared" si="210"/>
        <v>0</v>
      </c>
      <c r="BU50" s="57">
        <f t="shared" si="211"/>
        <v>0</v>
      </c>
      <c r="BV50" s="1029">
        <f t="shared" si="373"/>
        <v>0</v>
      </c>
      <c r="BW50" s="57">
        <f t="shared" si="374"/>
        <v>0</v>
      </c>
      <c r="BX50" s="171" t="str">
        <f t="shared" si="375"/>
        <v/>
      </c>
      <c r="BY50" s="57">
        <f t="shared" si="212"/>
        <v>0</v>
      </c>
      <c r="BZ50" s="57">
        <f>IF(OR(AND(BN$6=1,$L50=0),AND(BN$6=2,$K50=2,$G50=1)),0,IF(AND(BP$9=2,(OR($F50&gt;1,$K50=1,AND($L50=80,OR($N50=1,AND($N50=2,'#BerechnungDBE'!$AL41&gt;0)))))),IF(BN$4&gt;=$AD$126,0,BX50),IF(BP$9=3,IF(OR(BN$4&gt;=$AD$127,AND($G50=1,$J50=2,BN$6=2),AND(BN$6=1,$N50&lt;&gt;1)),0,IF(BR50&lt;=120,BX50,IF(BN$4&lt;$AD$124,IF($F50=1,60/BP$4*BP$6,60/BP$4*BP$7),IF($F50=1,120/BP$4*BP$6,120/BP$4*BP$7)))),IF(OR($F50=3,$G50=2),IF(OR(AND(BN$4&gt;=$AD$119,$C50=2),AND(BN$4&gt;=$AF$119,$C50=1)),0,IF(BR50&lt;=60,BX50,60/BP$4*BP$7)),IF(AND($F50=2,$G50=1),BX50,0)))))</f>
        <v>0</v>
      </c>
      <c r="CA50" s="57" t="str">
        <f t="shared" si="28"/>
        <v/>
      </c>
      <c r="CB50" s="57" t="str">
        <f t="shared" si="376"/>
        <v/>
      </c>
      <c r="CC50" s="713">
        <f>'org. Düngung 22'!X49</f>
        <v>0</v>
      </c>
      <c r="CD50" s="57"/>
      <c r="CE50" s="57"/>
      <c r="CF50" s="57">
        <f t="shared" si="30"/>
        <v>0</v>
      </c>
      <c r="CG50" s="57">
        <f t="shared" si="213"/>
        <v>0</v>
      </c>
      <c r="CH50" s="57">
        <f t="shared" si="214"/>
        <v>0</v>
      </c>
      <c r="CI50" s="57">
        <f t="shared" si="215"/>
        <v>0</v>
      </c>
      <c r="CJ50" s="57">
        <f t="shared" si="216"/>
        <v>0</v>
      </c>
      <c r="CK50" s="1029">
        <f t="shared" si="377"/>
        <v>0</v>
      </c>
      <c r="CL50" s="57">
        <f t="shared" si="378"/>
        <v>0</v>
      </c>
      <c r="CM50" s="171" t="str">
        <f t="shared" si="379"/>
        <v/>
      </c>
      <c r="CN50" s="57">
        <f t="shared" si="217"/>
        <v>0</v>
      </c>
      <c r="CO50" s="57">
        <f>IF(OR(AND(CC$6=1,$L50=0),AND(CC$6=2,$K50=2,$G50=1)),0,IF(AND(CE$9=2,(OR($F50&gt;1,$K50=1,AND($L50=80,OR($N50=1,AND($N50=2,'#BerechnungDBE'!$AL41&gt;0)))))),IF(CC$4&gt;=$AD$126,0,CM50),IF(CE$9=3,IF(OR(CC$4&gt;=$AD$127,AND($G50=1,$J50=2,CC$6=2),AND(CC$6=1,$N50&lt;&gt;1)),0,IF(CG50&lt;=120,CM50,IF(CC$4&lt;$AD$124,IF($F50=1,60/CE$4*CE$6,60/CE$4*CE$7),IF($F50=1,120/CE$4*CE$6,120/CE$4*CE$7)))),IF(OR($F50=3,$G50=2),IF(OR(AND(CC$4&gt;=$AD$119,$C50=2),AND(CC$4&gt;=$AF$119,$C50=1)),0,IF(CG50&lt;=60,CM50,60/CE$4*CE$7)),IF(AND($F50=2,$G50=1),CM50,0)))))</f>
        <v>0</v>
      </c>
      <c r="CP50" s="57" t="str">
        <f t="shared" si="34"/>
        <v/>
      </c>
      <c r="CQ50" s="57" t="str">
        <f t="shared" si="380"/>
        <v/>
      </c>
      <c r="CR50" s="713">
        <f>'org. Düngung 22'!AB49</f>
        <v>0</v>
      </c>
      <c r="CS50" s="57"/>
      <c r="CT50" s="57"/>
      <c r="CU50" s="57">
        <f t="shared" si="36"/>
        <v>0</v>
      </c>
      <c r="CV50" s="57">
        <f t="shared" si="218"/>
        <v>0</v>
      </c>
      <c r="CW50" s="57">
        <f t="shared" si="219"/>
        <v>0</v>
      </c>
      <c r="CX50" s="57">
        <f t="shared" si="220"/>
        <v>0</v>
      </c>
      <c r="CY50" s="57">
        <f t="shared" si="221"/>
        <v>0</v>
      </c>
      <c r="CZ50" s="1029">
        <f t="shared" si="381"/>
        <v>0</v>
      </c>
      <c r="DA50" s="57">
        <f t="shared" si="382"/>
        <v>0</v>
      </c>
      <c r="DB50" s="171" t="str">
        <f t="shared" si="383"/>
        <v/>
      </c>
      <c r="DC50" s="57">
        <f t="shared" si="222"/>
        <v>0</v>
      </c>
      <c r="DD50" s="57">
        <f>IF(OR(AND(CR$6=1,$L50=0),AND(CR$6=2,$K50=2,$G50=1)),0,IF(AND(CT$9=2,(OR($F50&gt;1,$K50=1,AND($L50=80,OR($N50=1,AND($N50=2,'#BerechnungDBE'!$AL41&gt;0)))))),IF(CR$4&gt;=$AD$126,0,DB50),IF(CT$9=3,IF(OR(CR$4&gt;=$AD$127,AND($G50=1,$J50=2,CR$6=2),AND(CR$6=1,$N50&lt;&gt;1)),0,IF(CV50&lt;=120,DB50,IF(CR$4&lt;$AD$124,IF($F50=1,60/CT$4*CT$6,60/CT$4*CT$7),IF($F50=1,120/CT$4*CT$6,120/CT$4*CT$7)))),IF(OR($F50=3,$G50=2),IF(OR(AND(CR$4&gt;=$AD$119,$C50=2),AND(CR$4&gt;=$AF$119,$C50=1)),0,IF(CV50&lt;=60,DB50,60/CT$4*CT$7)),IF(AND($F50=2,$G50=1),DB50,0)))))</f>
        <v>0</v>
      </c>
      <c r="DE50" s="57" t="str">
        <f t="shared" si="40"/>
        <v/>
      </c>
      <c r="DF50" s="57" t="str">
        <f t="shared" si="384"/>
        <v/>
      </c>
      <c r="DG50" s="713">
        <f>'org. Düngung 22'!AF49</f>
        <v>0</v>
      </c>
      <c r="DH50" s="57"/>
      <c r="DI50" s="57"/>
      <c r="DJ50" s="57">
        <f t="shared" si="42"/>
        <v>0</v>
      </c>
      <c r="DK50" s="57">
        <f t="shared" si="223"/>
        <v>0</v>
      </c>
      <c r="DL50" s="57">
        <f t="shared" si="224"/>
        <v>0</v>
      </c>
      <c r="DM50" s="57">
        <f t="shared" si="225"/>
        <v>0</v>
      </c>
      <c r="DN50" s="57">
        <f t="shared" si="226"/>
        <v>0</v>
      </c>
      <c r="DO50" s="1029">
        <f t="shared" si="385"/>
        <v>0</v>
      </c>
      <c r="DP50" s="57">
        <f t="shared" si="386"/>
        <v>0</v>
      </c>
      <c r="DQ50" s="171" t="str">
        <f t="shared" si="387"/>
        <v/>
      </c>
      <c r="DR50" s="57">
        <f t="shared" si="227"/>
        <v>0</v>
      </c>
      <c r="DS50" s="57">
        <f>IF(OR(AND(DG$6=1,$L50=0),AND(DG$6=2,$K50=2,$G50=1)),0,IF(AND(DI$9=2,(OR($F50&gt;1,$K50=1,AND($L50=80,OR($N50=1,AND($N50=2,'#BerechnungDBE'!$AL41&gt;0)))))),IF(DG$4&gt;=$AD$126,0,DQ50),IF(DI$9=3,IF(OR(DG$4&gt;=$AD$127,AND($G50=1,$J50=2,DG$6=2),AND(DG$6=1,$N50&lt;&gt;1)),0,IF(DK50&lt;=120,DQ50,IF(DG$4&lt;$AD$124,IF($F50=1,60/DI$4*DI$6,60/DI$4*DI$7),IF($F50=1,120/DI$4*DI$6,120/DI$4*DI$7)))),IF(OR($F50=3,$G50=2),IF(OR(AND(DG$4&gt;=$AD$119,$C50=2),AND(DG$4&gt;=$AF$119,$C50=1)),0,IF(DK50&lt;=60,DQ50,60/DI$4*DI$7)),IF(AND($F50=2,$G50=1),DQ50,0)))))</f>
        <v>0</v>
      </c>
      <c r="DT50" s="57" t="str">
        <f t="shared" si="46"/>
        <v/>
      </c>
      <c r="DU50" s="57" t="str">
        <f t="shared" si="388"/>
        <v/>
      </c>
      <c r="DV50" s="713">
        <f>'org. Düngung 22'!AJ49</f>
        <v>0</v>
      </c>
      <c r="DW50" s="57"/>
      <c r="DX50" s="57"/>
      <c r="DY50" s="57">
        <f t="shared" si="48"/>
        <v>0</v>
      </c>
      <c r="DZ50" s="57">
        <f t="shared" si="228"/>
        <v>0</v>
      </c>
      <c r="EA50" s="57">
        <f t="shared" si="229"/>
        <v>0</v>
      </c>
      <c r="EB50" s="57">
        <f t="shared" si="230"/>
        <v>0</v>
      </c>
      <c r="EC50" s="57">
        <f t="shared" si="231"/>
        <v>0</v>
      </c>
      <c r="ED50" s="1029">
        <f t="shared" si="389"/>
        <v>0</v>
      </c>
      <c r="EE50" s="57">
        <f t="shared" si="390"/>
        <v>0</v>
      </c>
      <c r="EF50" s="171" t="str">
        <f t="shared" si="391"/>
        <v/>
      </c>
      <c r="EG50" s="57">
        <f t="shared" si="232"/>
        <v>0</v>
      </c>
      <c r="EH50" s="57">
        <f>IF(OR(AND(DV$6=1,$L50=0),AND(DV$6=2,$K50=2,$G50=1)),0,IF(AND(DX$9=2,(OR($F50&gt;1,$K50=1,AND($L50=80,OR($N50=1,AND($N50=2,'#BerechnungDBE'!$AL41&gt;0)))))),IF(DV$4&gt;=$AD$126,0,EF50),IF(DX$9=3,IF(OR(DV$4&gt;=$AD$127,AND($G50=1,$J50=2,DV$6=2),AND(DV$6=1,$N50&lt;&gt;1)),0,IF(DZ50&lt;=120,EF50,IF(DV$4&lt;$AD$124,IF($F50=1,60/DX$4*DX$6,60/DX$4*DX$7),IF($F50=1,120/DX$4*DX$6,120/DX$4*DX$7)))),IF(OR($F50=3,$G50=2),IF(OR(AND(DV$4&gt;=$AD$119,$C50=2),AND(DV$4&gt;=$AF$119,$C50=1)),0,IF(DZ50&lt;=60,EF50,60/DX$4*DX$7)),IF(AND($F50=2,$G50=1),EF50,0)))))</f>
        <v>0</v>
      </c>
      <c r="EI50" s="57" t="str">
        <f t="shared" si="52"/>
        <v/>
      </c>
      <c r="EJ50" s="57" t="str">
        <f t="shared" si="392"/>
        <v/>
      </c>
      <c r="EK50" s="713">
        <f>'org. Düngung 22'!AN49</f>
        <v>0</v>
      </c>
      <c r="EL50" s="57"/>
      <c r="EM50" s="57"/>
      <c r="EN50" s="57">
        <f t="shared" si="54"/>
        <v>0</v>
      </c>
      <c r="EO50" s="57">
        <f t="shared" si="233"/>
        <v>0</v>
      </c>
      <c r="EP50" s="57">
        <f t="shared" si="234"/>
        <v>0</v>
      </c>
      <c r="EQ50" s="57">
        <f t="shared" si="235"/>
        <v>0</v>
      </c>
      <c r="ER50" s="57">
        <f t="shared" si="236"/>
        <v>0</v>
      </c>
      <c r="ES50" s="1029">
        <f t="shared" si="393"/>
        <v>0</v>
      </c>
      <c r="ET50" s="57">
        <f t="shared" si="394"/>
        <v>0</v>
      </c>
      <c r="EU50" s="171" t="str">
        <f t="shared" si="395"/>
        <v/>
      </c>
      <c r="EV50" s="57">
        <f t="shared" si="237"/>
        <v>0</v>
      </c>
      <c r="EW50" s="57">
        <f>IF(OR(AND(EK$6=1,$L50=0),AND(EK$6=2,$K50=2,$G50=1)),0,IF(AND(EM$9=2,(OR($F50&gt;1,$K50=1,AND($L50=80,OR($N50=1,AND($N50=2,'#BerechnungDBE'!$AL41&gt;0)))))),IF(EK$4&gt;=$AD$126,0,EU50),IF(EM$9=3,IF(OR(EK$4&gt;=$AD$127,AND($G50=1,$J50=2,EK$6=2),AND(EK$6=1,$N50&lt;&gt;1)),0,IF(EO50&lt;=120,EU50,IF(EK$4&lt;$AD$124,IF($F50=1,60/EM$4*EM$6,60/EM$4*EM$7),IF($F50=1,120/EM$4*EM$6,120/EM$4*EM$7)))),IF(OR($F50=3,$G50=2),IF(OR(AND(EK$4&gt;=$AD$119,$C50=2),AND(EK$4&gt;=$AF$119,$C50=1)),0,IF(EO50&lt;=60,EU50,60/EM$4*EM$7)),IF(AND($F50=2,$G50=1),EU50,0)))))</f>
        <v>0</v>
      </c>
      <c r="EX50" s="57" t="str">
        <f t="shared" si="58"/>
        <v/>
      </c>
      <c r="EY50" s="57" t="str">
        <f t="shared" si="396"/>
        <v/>
      </c>
      <c r="EZ50" s="713">
        <f>'org. Düngung 22'!AR49</f>
        <v>0</v>
      </c>
      <c r="FA50" s="57"/>
      <c r="FB50" s="57"/>
      <c r="FC50" s="57">
        <f t="shared" si="60"/>
        <v>0</v>
      </c>
      <c r="FD50" s="57">
        <f t="shared" si="238"/>
        <v>0</v>
      </c>
      <c r="FE50" s="57">
        <f t="shared" si="239"/>
        <v>0</v>
      </c>
      <c r="FF50" s="57">
        <f t="shared" si="240"/>
        <v>0</v>
      </c>
      <c r="FG50" s="57">
        <f t="shared" si="241"/>
        <v>0</v>
      </c>
      <c r="FH50" s="1029">
        <f t="shared" si="397"/>
        <v>0</v>
      </c>
      <c r="FI50" s="57">
        <f t="shared" si="398"/>
        <v>0</v>
      </c>
      <c r="FJ50" s="171" t="str">
        <f t="shared" si="399"/>
        <v/>
      </c>
      <c r="FK50" s="57">
        <f t="shared" si="242"/>
        <v>0</v>
      </c>
      <c r="FL50" s="57">
        <f>IF(OR(AND(EZ$6=1,$L50=0),AND(EZ$6=2,$K50=2,$G50=1)),0,IF(AND(FB$9=2,(OR($F50&gt;1,$K50=1,AND($L50=80,OR($N50=1,AND($N50=2,'#BerechnungDBE'!$AL41&gt;0)))))),IF(EZ$4&gt;=$AD$126,0,FJ50),IF(FB$9=3,IF(OR(EZ$4&gt;=$AD$127,AND($G50=1,$J50=2,EZ$6=2),AND(EZ$6=1,$N50&lt;&gt;1)),0,IF(FD50&lt;=120,FJ50,IF(EZ$4&lt;$AD$124,IF($F50=1,60/FB$4*FB$6,60/FB$4*FB$7),IF($F50=1,120/FB$4*FB$6,120/FB$4*FB$7)))),IF(OR($F50=3,$G50=2),IF(OR(AND(EZ$4&gt;=$AD$119,$C50=2),AND(EZ$4&gt;=$AF$119,$C50=1)),0,IF(FD50&lt;=60,FJ50,60/FB$4*FB$7)),IF(AND($F50=2,$G50=1),FJ50,0)))))</f>
        <v>0</v>
      </c>
      <c r="FM50" s="57" t="str">
        <f t="shared" si="64"/>
        <v/>
      </c>
      <c r="FN50" s="57" t="str">
        <f t="shared" si="400"/>
        <v/>
      </c>
      <c r="FO50" s="713">
        <f>'org. Düngung 22'!AV49</f>
        <v>0</v>
      </c>
      <c r="FP50" s="57"/>
      <c r="FQ50" s="57"/>
      <c r="FR50" s="57">
        <f t="shared" si="66"/>
        <v>0</v>
      </c>
      <c r="FS50" s="57">
        <f t="shared" si="243"/>
        <v>0</v>
      </c>
      <c r="FT50" s="57">
        <f t="shared" si="244"/>
        <v>0</v>
      </c>
      <c r="FU50" s="57">
        <f t="shared" si="245"/>
        <v>0</v>
      </c>
      <c r="FV50" s="57">
        <f t="shared" si="246"/>
        <v>0</v>
      </c>
      <c r="FW50" s="1029">
        <f t="shared" si="401"/>
        <v>0</v>
      </c>
      <c r="FX50" s="57">
        <f t="shared" si="402"/>
        <v>0</v>
      </c>
      <c r="FY50" s="171" t="str">
        <f t="shared" si="403"/>
        <v/>
      </c>
      <c r="FZ50" s="57">
        <f t="shared" si="247"/>
        <v>0</v>
      </c>
      <c r="GA50" s="57">
        <f>IF(OR(AND(FO$6=1,$L50=0),AND(FO$6=2,$K50=2,$G50=1)),0,IF(AND(FQ$9=2,(OR($F50&gt;1,$K50=1,AND($L50=80,OR($N50=1,AND($N50=2,'#BerechnungDBE'!$AL41&gt;0)))))),IF(FO$4&gt;=$AD$126,0,FY50),IF(FQ$9=3,IF(OR(FO$4&gt;=$AD$127,AND($G50=1,$J50=2,FO$6=2),AND(FO$6=1,$N50&lt;&gt;1)),0,IF(FS50&lt;=120,FY50,IF(FO$4&lt;$AD$124,IF($F50=1,60/FQ$4*FQ$6,60/FQ$4*FQ$7),IF($F50=1,120/FQ$4*FQ$6,120/FQ$4*FQ$7)))),IF(OR($F50=3,$G50=2),IF(OR(AND(FO$4&gt;=$AD$119,$C50=2),AND(FO$4&gt;=$AF$119,$C50=1)),0,IF(FS50&lt;=60,FY50,60/FQ$4*FQ$7)),IF(AND($F50=2,$G50=1),FY50,0)))))</f>
        <v>0</v>
      </c>
      <c r="GB50" s="57" t="str">
        <f t="shared" si="70"/>
        <v/>
      </c>
      <c r="GC50" s="57" t="str">
        <f t="shared" si="404"/>
        <v/>
      </c>
      <c r="GD50" s="713">
        <f>'org. Düngung 22'!AZ49</f>
        <v>0</v>
      </c>
      <c r="GE50" s="57"/>
      <c r="GF50" s="57"/>
      <c r="GG50" s="57">
        <f t="shared" si="72"/>
        <v>0</v>
      </c>
      <c r="GH50" s="57">
        <f t="shared" si="248"/>
        <v>0</v>
      </c>
      <c r="GI50" s="57">
        <f t="shared" si="249"/>
        <v>0</v>
      </c>
      <c r="GJ50" s="57">
        <f t="shared" si="250"/>
        <v>0</v>
      </c>
      <c r="GK50" s="57">
        <f t="shared" si="251"/>
        <v>0</v>
      </c>
      <c r="GL50" s="1029">
        <f t="shared" si="405"/>
        <v>0</v>
      </c>
      <c r="GM50" s="57">
        <f t="shared" si="406"/>
        <v>0</v>
      </c>
      <c r="GN50" s="171" t="str">
        <f t="shared" si="407"/>
        <v/>
      </c>
      <c r="GO50" s="57">
        <f t="shared" si="252"/>
        <v>0</v>
      </c>
      <c r="GP50" s="57">
        <f>IF(OR(AND(GD$6=1,$L50=0),AND(GD$6=2,$K50=2,$G50=1)),0,IF(AND(GF$9=2,(OR($F50&gt;1,$K50=1,AND($L50=80,OR($N50=1,AND($N50=2,'#BerechnungDBE'!$AL41&gt;0)))))),IF(GD$4&gt;=$AD$126,0,GN50),IF(GF$9=3,IF(OR(GD$4&gt;=$AD$127,AND($G50=1,$J50=2,GD$6=2),AND(GD$6=1,$N50&lt;&gt;1)),0,IF(GH50&lt;=120,GN50,IF(GD$4&lt;$AD$124,IF($F50=1,60/GF$4*GF$6,60/GF$4*GF$7),IF($F50=1,120/GF$4*GF$6,120/GF$4*GF$7)))),IF(OR($F50=3,$G50=2),IF(OR(AND(GD$4&gt;=$AD$119,$C50=2),AND(GD$4&gt;=$AF$119,$C50=1)),0,IF(GH50&lt;=60,GN50,60/GF$4*GF$7)),IF(AND($F50=2,$G50=1),GN50,0)))))</f>
        <v>0</v>
      </c>
      <c r="GQ50" s="57" t="str">
        <f t="shared" si="76"/>
        <v/>
      </c>
      <c r="GR50" s="57" t="str">
        <f t="shared" si="408"/>
        <v/>
      </c>
      <c r="GS50" s="713">
        <f>'org. Düngung 22'!BD49</f>
        <v>0</v>
      </c>
      <c r="GT50" s="57"/>
      <c r="GU50" s="57"/>
      <c r="GV50" s="57">
        <f t="shared" si="78"/>
        <v>0</v>
      </c>
      <c r="GW50" s="57">
        <f t="shared" si="253"/>
        <v>0</v>
      </c>
      <c r="GX50" s="57">
        <f t="shared" si="254"/>
        <v>0</v>
      </c>
      <c r="GY50" s="57">
        <f t="shared" si="255"/>
        <v>0</v>
      </c>
      <c r="GZ50" s="57">
        <f t="shared" si="256"/>
        <v>0</v>
      </c>
      <c r="HA50" s="1029">
        <f t="shared" si="409"/>
        <v>0</v>
      </c>
      <c r="HB50" s="57">
        <f t="shared" si="410"/>
        <v>0</v>
      </c>
      <c r="HC50" s="171" t="str">
        <f t="shared" si="411"/>
        <v/>
      </c>
      <c r="HD50" s="57">
        <f t="shared" si="257"/>
        <v>0</v>
      </c>
      <c r="HE50" s="57">
        <f>IF(OR(AND(GS$6=1,$L50=0),AND(GS$6=2,$K50=2,$G50=1)),0,IF(AND(GU$9=2,(OR($F50&gt;1,$K50=1,AND($L50=80,OR($N50=1,AND($N50=2,'#BerechnungDBE'!$AL41&gt;0)))))),IF(GS$4&gt;=$AD$126,0,HC50),IF(GU$9=3,IF(OR(GS$4&gt;=$AD$127,AND($G50=1,$J50=2,GS$6=2),AND(GS$6=1,$N50&lt;&gt;1)),0,IF(GW50&lt;=120,HC50,IF(GS$4&lt;$AD$124,IF($F50=1,60/GU$4*GU$6,60/GU$4*GU$7),IF($F50=1,120/GU$4*GU$6,120/GU$4*GU$7)))),IF(OR($F50=3,$G50=2),IF(OR(AND(GS$4&gt;=$AD$119,$C50=2),AND(GS$4&gt;=$AF$119,$C50=1)),0,IF(GW50&lt;=60,HC50,60/GU$4*GU$7)),IF(AND($F50=2,$G50=1),HC50,0)))))</f>
        <v>0</v>
      </c>
      <c r="HF50" s="57" t="str">
        <f t="shared" si="82"/>
        <v/>
      </c>
      <c r="HG50" s="57" t="str">
        <f t="shared" si="412"/>
        <v/>
      </c>
      <c r="HH50" s="713">
        <f>'org. Düngung 22'!BH49</f>
        <v>0</v>
      </c>
      <c r="HI50" s="57"/>
      <c r="HJ50" s="57"/>
      <c r="HK50" s="57">
        <f t="shared" si="84"/>
        <v>0</v>
      </c>
      <c r="HL50" s="57">
        <f t="shared" si="258"/>
        <v>0</v>
      </c>
      <c r="HM50" s="57">
        <f t="shared" si="259"/>
        <v>0</v>
      </c>
      <c r="HN50" s="57">
        <f t="shared" si="260"/>
        <v>0</v>
      </c>
      <c r="HO50" s="57">
        <f t="shared" si="261"/>
        <v>0</v>
      </c>
      <c r="HP50" s="1029">
        <f t="shared" si="413"/>
        <v>0</v>
      </c>
      <c r="HQ50" s="57">
        <f t="shared" si="414"/>
        <v>0</v>
      </c>
      <c r="HR50" s="171" t="str">
        <f t="shared" si="415"/>
        <v/>
      </c>
      <c r="HS50" s="57">
        <f t="shared" si="262"/>
        <v>0</v>
      </c>
      <c r="HT50" s="57">
        <f>IF(OR(AND(HH$6=1,$L50=0),AND(HH$6=2,$K50=2,$G50=1)),0,IF(AND(HJ$9=2,(OR($F50&gt;1,$K50=1,AND($L50=80,OR($N50=1,AND($N50=2,'#BerechnungDBE'!$AL41&gt;0)))))),IF(HH$4&gt;=$AD$126,0,HR50),IF(HJ$9=3,IF(OR(HH$4&gt;=$AD$127,AND($G50=1,$J50=2,HH$6=2),AND(HH$6=1,$N50&lt;&gt;1)),0,IF(HL50&lt;=120,HR50,IF(HH$4&lt;$AD$124,IF($F50=1,60/HJ$4*HJ$6,60/HJ$4*HJ$7),IF($F50=1,120/HJ$4*HJ$6,120/HJ$4*HJ$7)))),IF(OR($F50=3,$G50=2),IF(OR(AND(HH$4&gt;=$AD$119,$C50=2),AND(HH$4&gt;=$AF$119,$C50=1)),0,IF(HL50&lt;=60,HR50,60/HJ$4*HJ$7)),IF(AND($F50=2,$G50=1),HR50,0)))))</f>
        <v>0</v>
      </c>
      <c r="HU50" s="57" t="str">
        <f t="shared" si="88"/>
        <v/>
      </c>
      <c r="HV50" s="57" t="str">
        <f t="shared" si="416"/>
        <v/>
      </c>
      <c r="HW50" s="713">
        <f>'org. Düngung 22'!BL49</f>
        <v>0</v>
      </c>
      <c r="HX50" s="57"/>
      <c r="HY50" s="57"/>
      <c r="HZ50" s="57">
        <f t="shared" si="90"/>
        <v>0</v>
      </c>
      <c r="IA50" s="57">
        <f t="shared" si="263"/>
        <v>0</v>
      </c>
      <c r="IB50" s="57">
        <f t="shared" si="264"/>
        <v>0</v>
      </c>
      <c r="IC50" s="57">
        <f t="shared" si="265"/>
        <v>0</v>
      </c>
      <c r="ID50" s="57">
        <f t="shared" si="266"/>
        <v>0</v>
      </c>
      <c r="IE50" s="1029">
        <f t="shared" si="417"/>
        <v>0</v>
      </c>
      <c r="IF50" s="57">
        <f t="shared" si="418"/>
        <v>0</v>
      </c>
      <c r="IG50" s="171" t="str">
        <f t="shared" si="419"/>
        <v/>
      </c>
      <c r="IH50" s="57">
        <f t="shared" si="267"/>
        <v>0</v>
      </c>
      <c r="II50" s="57">
        <f>IF(OR(AND(HW$6=1,$L50=0),AND(HW$6=2,$K50=2,$G50=1)),0,IF(AND(HY$9=2,(OR($F50&gt;1,$K50=1,AND($L50=80,OR($N50=1,AND($N50=2,'#BerechnungDBE'!$AL41&gt;0)))))),IF(HW$4&gt;=$AD$126,0,IG50),IF(HY$9=3,IF(OR(HW$4&gt;=$AD$127,AND($G50=1,$J50=2,HW$6=2),AND(HW$6=1,$N50&lt;&gt;1)),0,IF(IA50&lt;=120,IG50,IF(HW$4&lt;$AD$124,IF($F50=1,60/HY$4*HY$6,60/HY$4*HY$7),IF($F50=1,120/HY$4*HY$6,120/HY$4*HY$7)))),IF(OR($F50=3,$G50=2),IF(OR(AND(HW$4&gt;=$AD$119,$C50=2),AND(HW$4&gt;=$AF$119,$C50=1)),0,IF(IA50&lt;=60,IG50,60/HY$4*HY$7)),IF(AND($F50=2,$G50=1),IG50,0)))))</f>
        <v>0</v>
      </c>
      <c r="IJ50" s="57" t="str">
        <f t="shared" si="94"/>
        <v/>
      </c>
      <c r="IK50" s="57" t="str">
        <f t="shared" si="420"/>
        <v/>
      </c>
      <c r="IL50" s="713">
        <f>'org. Düngung 22'!BP49</f>
        <v>0</v>
      </c>
      <c r="IM50" s="57"/>
      <c r="IN50" s="57"/>
      <c r="IO50" s="57">
        <f t="shared" si="96"/>
        <v>0</v>
      </c>
      <c r="IP50" s="57">
        <f t="shared" si="268"/>
        <v>0</v>
      </c>
      <c r="IQ50" s="57">
        <f t="shared" si="269"/>
        <v>0</v>
      </c>
      <c r="IR50" s="57">
        <f t="shared" si="270"/>
        <v>0</v>
      </c>
      <c r="IS50" s="57">
        <f t="shared" si="271"/>
        <v>0</v>
      </c>
      <c r="IT50" s="1029">
        <f t="shared" si="421"/>
        <v>0</v>
      </c>
      <c r="IU50" s="57">
        <f t="shared" si="422"/>
        <v>0</v>
      </c>
      <c r="IV50" s="171" t="str">
        <f t="shared" si="423"/>
        <v/>
      </c>
      <c r="IW50" s="57">
        <f t="shared" si="272"/>
        <v>0</v>
      </c>
      <c r="IX50" s="57">
        <f>IF(OR(AND(IL$6=1,$L50=0),AND(IL$6=2,$K50=2,$G50=1)),0,IF(AND(IN$9=2,(OR($F50&gt;1,$K50=1,AND($L50=80,OR($N50=1,AND($N50=2,'#BerechnungDBE'!$AL41&gt;0)))))),IF(IL$4&gt;=$AD$126,0,IV50),IF(IN$9=3,IF(OR(IL$4&gt;=$AD$127,AND($G50=1,$J50=2,IL$6=2),AND(IL$6=1,$N50&lt;&gt;1)),0,IF(IP50&lt;=120,IV50,IF(IL$4&lt;$AD$124,IF($F50=1,60/IN$4*IN$6,60/IN$4*IN$7),IF($F50=1,120/IN$4*IN$6,120/IN$4*IN$7)))),IF(OR($F50=3,$G50=2),IF(OR(AND(IL$4&gt;=$AD$119,$C50=2),AND(IL$4&gt;=$AF$119,$C50=1)),0,IF(IP50&lt;=60,IV50,60/IN$4*IN$7)),IF(AND($F50=2,$G50=1),IV50,0)))))</f>
        <v>0</v>
      </c>
      <c r="IY50" s="57" t="str">
        <f t="shared" si="100"/>
        <v/>
      </c>
      <c r="IZ50" s="57" t="str">
        <f t="shared" si="424"/>
        <v/>
      </c>
      <c r="JA50" s="713">
        <f>'org. Düngung 22'!BT49</f>
        <v>0</v>
      </c>
      <c r="JB50" s="57"/>
      <c r="JC50" s="57"/>
      <c r="JD50" s="57">
        <f t="shared" si="102"/>
        <v>0</v>
      </c>
      <c r="JE50" s="57">
        <f t="shared" si="273"/>
        <v>0</v>
      </c>
      <c r="JF50" s="57">
        <f t="shared" si="274"/>
        <v>0</v>
      </c>
      <c r="JG50" s="57">
        <f t="shared" si="275"/>
        <v>0</v>
      </c>
      <c r="JH50" s="57">
        <f t="shared" si="276"/>
        <v>0</v>
      </c>
      <c r="JI50" s="1029">
        <f t="shared" si="425"/>
        <v>0</v>
      </c>
      <c r="JJ50" s="57">
        <f t="shared" si="426"/>
        <v>0</v>
      </c>
      <c r="JK50" s="171" t="str">
        <f t="shared" si="427"/>
        <v/>
      </c>
      <c r="JL50" s="57">
        <f t="shared" si="277"/>
        <v>0</v>
      </c>
      <c r="JM50" s="57">
        <f>IF(OR(AND(JA$6=1,$L50=0),AND(JA$6=2,$K50=2,$G50=1)),0,IF(AND(JC$9=2,(OR($F50&gt;1,$K50=1,AND($L50=80,OR($N50=1,AND($N50=2,'#BerechnungDBE'!$AL41&gt;0)))))),IF(JA$4&gt;=$AD$126,0,JK50),IF(JC$9=3,IF(OR(JA$4&gt;=$AD$127,AND($G50=1,$J50=2,JA$6=2),AND(JA$6=1,$N50&lt;&gt;1)),0,IF(JE50&lt;=120,JK50,IF(JA$4&lt;$AD$124,IF($F50=1,60/JC$4*JC$6,60/JC$4*JC$7),IF($F50=1,120/JC$4*JC$6,120/JC$4*JC$7)))),IF(OR($F50=3,$G50=2),IF(OR(AND(JA$4&gt;=$AD$119,$C50=2),AND(JA$4&gt;=$AF$119,$C50=1)),0,IF(JE50&lt;=60,JK50,60/JC$4*JC$7)),IF(AND($F50=2,$G50=1),JK50,0)))))</f>
        <v>0</v>
      </c>
      <c r="JN50" s="57" t="str">
        <f t="shared" si="106"/>
        <v/>
      </c>
      <c r="JO50" s="57" t="str">
        <f t="shared" si="428"/>
        <v/>
      </c>
      <c r="JP50" s="713">
        <f>'org. Düngung 22'!BX49</f>
        <v>0</v>
      </c>
      <c r="JQ50" s="57"/>
      <c r="JR50" s="57"/>
      <c r="JS50" s="57">
        <f t="shared" si="108"/>
        <v>0</v>
      </c>
      <c r="JT50" s="57">
        <f t="shared" si="278"/>
        <v>0</v>
      </c>
      <c r="JU50" s="57">
        <f t="shared" si="279"/>
        <v>0</v>
      </c>
      <c r="JV50" s="57">
        <f t="shared" si="280"/>
        <v>0</v>
      </c>
      <c r="JW50" s="57">
        <f t="shared" si="281"/>
        <v>0</v>
      </c>
      <c r="JX50" s="1029">
        <f t="shared" si="429"/>
        <v>0</v>
      </c>
      <c r="JY50" s="57">
        <f t="shared" si="430"/>
        <v>0</v>
      </c>
      <c r="JZ50" s="171" t="str">
        <f t="shared" si="431"/>
        <v/>
      </c>
      <c r="KA50" s="57">
        <f t="shared" si="282"/>
        <v>0</v>
      </c>
      <c r="KB50" s="57">
        <f>IF(OR(AND(JP$6=1,$L50=0),AND(JP$6=2,$K50=2,$G50=1)),0,IF(AND(JR$9=2,(OR($F50&gt;1,$K50=1,AND($L50=80,OR($N50=1,AND($N50=2,'#BerechnungDBE'!$AL41&gt;0)))))),IF(JP$4&gt;=$AD$126,0,JZ50),IF(JR$9=3,IF(OR(JP$4&gt;=$AD$127,AND($G50=1,$J50=2,JP$6=2),AND(JP$6=1,$N50&lt;&gt;1)),0,IF(JT50&lt;=120,JZ50,IF(JP$4&lt;$AD$124,IF($F50=1,60/JR$4*JR$6,60/JR$4*JR$7),IF($F50=1,120/JR$4*JR$6,120/JR$4*JR$7)))),IF(OR($F50=3,$G50=2),IF(OR(AND(JP$4&gt;=$AD$119,$C50=2),AND(JP$4&gt;=$AF$119,$C50=1)),0,IF(JT50&lt;=60,JZ50,60/JR$4*JR$7)),IF(AND($F50=2,$G50=1),JZ50,0)))))</f>
        <v>0</v>
      </c>
      <c r="KC50" s="57" t="str">
        <f t="shared" si="112"/>
        <v/>
      </c>
      <c r="KD50" s="57" t="str">
        <f t="shared" si="432"/>
        <v/>
      </c>
      <c r="KE50" s="713">
        <f>'org. Düngung 22'!CB49</f>
        <v>0</v>
      </c>
      <c r="KF50" s="57"/>
      <c r="KG50" s="57"/>
      <c r="KH50" s="57">
        <f t="shared" si="114"/>
        <v>0</v>
      </c>
      <c r="KI50" s="57">
        <f t="shared" si="283"/>
        <v>0</v>
      </c>
      <c r="KJ50" s="57">
        <f t="shared" si="284"/>
        <v>0</v>
      </c>
      <c r="KK50" s="57">
        <f t="shared" si="285"/>
        <v>0</v>
      </c>
      <c r="KL50" s="57">
        <f t="shared" si="286"/>
        <v>0</v>
      </c>
      <c r="KM50" s="1029">
        <f t="shared" si="433"/>
        <v>0</v>
      </c>
      <c r="KN50" s="57">
        <f t="shared" si="434"/>
        <v>0</v>
      </c>
      <c r="KO50" s="171" t="str">
        <f t="shared" si="435"/>
        <v/>
      </c>
      <c r="KP50" s="57">
        <f t="shared" si="287"/>
        <v>0</v>
      </c>
      <c r="KQ50" s="57">
        <f>IF(OR(AND(KE$6=1,$L50=0),AND(KE$6=2,$K50=2,$G50=1)),0,IF(AND(KG$9=2,(OR($F50&gt;1,$K50=1,AND($L50=80,OR($N50=1,AND($N50=2,'#BerechnungDBE'!$AL41&gt;0)))))),IF(KE$4&gt;=$AD$126,0,KO50),IF(KG$9=3,IF(OR(KE$4&gt;=$AD$127,AND($G50=1,$J50=2,KE$6=2),AND(KE$6=1,$N50&lt;&gt;1)),0,IF(KI50&lt;=120,KO50,IF(KE$4&lt;$AD$124,IF($F50=1,60/KG$4*KG$6,60/KG$4*KG$7),IF($F50=1,120/KG$4*KG$6,120/KG$4*KG$7)))),IF(OR($F50=3,$G50=2),IF(OR(AND(KE$4&gt;=$AD$119,$C50=2),AND(KE$4&gt;=$AF$119,$C50=1)),0,IF(KI50&lt;=60,KO50,60/KG$4*KG$7)),IF(AND($F50=2,$G50=1),KO50,0)))))</f>
        <v>0</v>
      </c>
      <c r="KR50" s="57" t="str">
        <f t="shared" si="118"/>
        <v/>
      </c>
      <c r="KS50" s="57" t="str">
        <f t="shared" si="436"/>
        <v/>
      </c>
      <c r="KT50" s="713">
        <f>'org. Düngung 22'!CF49</f>
        <v>0</v>
      </c>
      <c r="KU50" s="57"/>
      <c r="KV50" s="57"/>
      <c r="KW50" s="57">
        <f t="shared" si="120"/>
        <v>0</v>
      </c>
      <c r="KX50" s="57">
        <f t="shared" si="288"/>
        <v>0</v>
      </c>
      <c r="KY50" s="57">
        <f t="shared" si="289"/>
        <v>0</v>
      </c>
      <c r="KZ50" s="57">
        <f t="shared" si="290"/>
        <v>0</v>
      </c>
      <c r="LA50" s="57">
        <f t="shared" si="291"/>
        <v>0</v>
      </c>
      <c r="LB50" s="1029">
        <f t="shared" si="437"/>
        <v>0</v>
      </c>
      <c r="LC50" s="57">
        <f t="shared" si="438"/>
        <v>0</v>
      </c>
      <c r="LD50" s="171" t="str">
        <f t="shared" si="439"/>
        <v/>
      </c>
      <c r="LE50" s="57">
        <f t="shared" si="292"/>
        <v>0</v>
      </c>
      <c r="LF50" s="57">
        <f>IF(OR(AND(KT$6=1,$L50=0),AND(KT$6=2,$K50=2,$G50=1)),0,IF(AND(KV$9=2,(OR($F50&gt;1,$K50=1,AND($L50=80,OR($N50=1,AND($N50=2,'#BerechnungDBE'!$AL41&gt;0)))))),IF(KT$4&gt;=$AD$126,0,LD50),IF(KV$9=3,IF(OR(KT$4&gt;=$AD$127,AND($G50=1,$J50=2,KT$6=2),AND(KT$6=1,$N50&lt;&gt;1)),0,IF(KX50&lt;=120,LD50,IF(KT$4&lt;$AD$124,IF($F50=1,60/KV$4*KV$6,60/KV$4*KV$7),IF($F50=1,120/KV$4*KV$6,120/KV$4*KV$7)))),IF(OR($F50=3,$G50=2),IF(OR(AND(KT$4&gt;=$AD$119,$C50=2),AND(KT$4&gt;=$AF$119,$C50=1)),0,IF(KX50&lt;=60,LD50,60/KV$4*KV$7)),IF(AND($F50=2,$G50=1),LD50,0)))))</f>
        <v>0</v>
      </c>
      <c r="LG50" s="57" t="str">
        <f t="shared" si="124"/>
        <v/>
      </c>
      <c r="LH50" s="57" t="str">
        <f t="shared" si="440"/>
        <v/>
      </c>
      <c r="LI50" s="713">
        <f>'org. Düngung 22'!CJ49</f>
        <v>0</v>
      </c>
      <c r="LJ50" s="57"/>
      <c r="LK50" s="57"/>
      <c r="LL50" s="57">
        <f t="shared" si="126"/>
        <v>0</v>
      </c>
      <c r="LM50" s="57">
        <f t="shared" si="293"/>
        <v>0</v>
      </c>
      <c r="LN50" s="57">
        <f t="shared" si="294"/>
        <v>0</v>
      </c>
      <c r="LO50" s="57">
        <f t="shared" si="295"/>
        <v>0</v>
      </c>
      <c r="LP50" s="57">
        <f t="shared" si="296"/>
        <v>0</v>
      </c>
      <c r="LQ50" s="1029">
        <f t="shared" si="441"/>
        <v>0</v>
      </c>
      <c r="LR50" s="57">
        <f t="shared" si="442"/>
        <v>0</v>
      </c>
      <c r="LS50" s="171" t="str">
        <f t="shared" si="443"/>
        <v/>
      </c>
      <c r="LT50" s="57">
        <f t="shared" si="297"/>
        <v>0</v>
      </c>
      <c r="LU50" s="57">
        <f>IF(OR(AND(LI$6=1,$L50=0),AND(LI$6=2,$K50=2,$G50=1)),0,IF(AND(LK$9=2,(OR($F50&gt;1,$K50=1,AND($L50=80,OR($N50=1,AND($N50=2,'#BerechnungDBE'!$AL41&gt;0)))))),IF(LI$4&gt;=$AD$126,0,LS50),IF(LK$9=3,IF(OR(LI$4&gt;=$AD$127,AND($G50=1,$J50=2,LI$6=2),AND(LI$6=1,$N50&lt;&gt;1)),0,IF(LM50&lt;=120,LS50,IF(LI$4&lt;$AD$124,IF($F50=1,60/LK$4*LK$6,60/LK$4*LK$7),IF($F50=1,120/LK$4*LK$6,120/LK$4*LK$7)))),IF(OR($F50=3,$G50=2),IF(OR(AND(LI$4&gt;=$AD$119,$C50=2),AND(LI$4&gt;=$AF$119,$C50=1)),0,IF(LM50&lt;=60,LS50,60/LK$4*LK$7)),IF(AND($F50=2,$G50=1),LS50,0)))))</f>
        <v>0</v>
      </c>
      <c r="LV50" s="57" t="str">
        <f t="shared" si="130"/>
        <v/>
      </c>
      <c r="LW50" s="57" t="str">
        <f t="shared" si="444"/>
        <v/>
      </c>
      <c r="LX50" s="713">
        <f>'org. Düngung 22'!CN49</f>
        <v>0</v>
      </c>
      <c r="LY50" s="57"/>
      <c r="LZ50" s="57"/>
      <c r="MA50" s="57">
        <f t="shared" si="132"/>
        <v>0</v>
      </c>
      <c r="MB50" s="57">
        <f t="shared" si="298"/>
        <v>0</v>
      </c>
      <c r="MC50" s="57">
        <f t="shared" si="299"/>
        <v>0</v>
      </c>
      <c r="MD50" s="57">
        <f t="shared" si="300"/>
        <v>0</v>
      </c>
      <c r="ME50" s="57">
        <f t="shared" si="301"/>
        <v>0</v>
      </c>
      <c r="MF50" s="1029">
        <f t="shared" si="445"/>
        <v>0</v>
      </c>
      <c r="MG50" s="57">
        <f t="shared" si="446"/>
        <v>0</v>
      </c>
      <c r="MH50" s="171" t="str">
        <f t="shared" si="447"/>
        <v/>
      </c>
      <c r="MI50" s="57">
        <f t="shared" si="302"/>
        <v>0</v>
      </c>
      <c r="MJ50" s="57">
        <f>IF(OR(AND(LX$6=1,$L50=0),AND(LX$6=2,$K50=2,$G50=1)),0,IF(AND(LZ$9=2,(OR($F50&gt;1,$K50=1,AND($L50=80,OR($N50=1,AND($N50=2,'#BerechnungDBE'!$AL41&gt;0)))))),IF(LX$4&gt;=$AD$126,0,MH50),IF(LZ$9=3,IF(OR(LX$4&gt;=$AD$127,AND($G50=1,$J50=2,LX$6=2),AND(LX$6=1,$N50&lt;&gt;1)),0,IF(MB50&lt;=120,MH50,IF(LX$4&lt;$AD$124,IF($F50=1,60/LZ$4*LZ$6,60/LZ$4*LZ$7),IF($F50=1,120/LZ$4*LZ$6,120/LZ$4*LZ$7)))),IF(OR($F50=3,$G50=2),IF(OR(AND(LX$4&gt;=$AD$119,$C50=2),AND(LX$4&gt;=$AF$119,$C50=1)),0,IF(MB50&lt;=60,MH50,60/LZ$4*LZ$7)),IF(AND($F50=2,$G50=1),MH50,0)))))</f>
        <v>0</v>
      </c>
      <c r="MK50" s="57" t="str">
        <f t="shared" si="136"/>
        <v/>
      </c>
      <c r="ML50" s="57" t="str">
        <f t="shared" si="448"/>
        <v/>
      </c>
      <c r="MM50" s="713">
        <f>'org. Düngung 22'!CR49</f>
        <v>0</v>
      </c>
      <c r="MN50" s="57"/>
      <c r="MO50" s="57"/>
      <c r="MP50" s="57">
        <f t="shared" si="138"/>
        <v>0</v>
      </c>
      <c r="MQ50" s="57">
        <f t="shared" si="303"/>
        <v>0</v>
      </c>
      <c r="MR50" s="57">
        <f t="shared" si="304"/>
        <v>0</v>
      </c>
      <c r="MS50" s="57">
        <f t="shared" si="305"/>
        <v>0</v>
      </c>
      <c r="MT50" s="57">
        <f t="shared" si="306"/>
        <v>0</v>
      </c>
      <c r="MU50" s="1029">
        <f t="shared" si="449"/>
        <v>0</v>
      </c>
      <c r="MV50" s="57">
        <f t="shared" si="450"/>
        <v>0</v>
      </c>
      <c r="MW50" s="171" t="str">
        <f t="shared" si="451"/>
        <v/>
      </c>
      <c r="MX50" s="57">
        <f t="shared" si="307"/>
        <v>0</v>
      </c>
      <c r="MY50" s="57">
        <f>IF(OR(AND(MM$6=1,$L50=0),AND(MM$6=2,$K50=2,$G50=1)),0,IF(AND(MO$9=2,(OR($F50&gt;1,$K50=1,AND($L50=80,OR($N50=1,AND($N50=2,'#BerechnungDBE'!$AL41&gt;0)))))),IF(MM$4&gt;=$AD$126,0,MW50),IF(MO$9=3,IF(OR(MM$4&gt;=$AD$127,AND($G50=1,$J50=2,MM$6=2),AND(MM$6=1,$N50&lt;&gt;1)),0,IF(MQ50&lt;=120,MW50,IF(MM$4&lt;$AD$124,IF($F50=1,60/MO$4*MO$6,60/MO$4*MO$7),IF($F50=1,120/MO$4*MO$6,120/MO$4*MO$7)))),IF(OR($F50=3,$G50=2),IF(OR(AND(MM$4&gt;=$AD$119,$C50=2),AND(MM$4&gt;=$AF$119,$C50=1)),0,IF(MQ50&lt;=60,MW50,60/MO$4*MO$7)),IF(AND($F50=2,$G50=1),MW50,0)))))</f>
        <v>0</v>
      </c>
      <c r="MZ50" s="57" t="str">
        <f t="shared" si="142"/>
        <v/>
      </c>
      <c r="NA50" s="57" t="str">
        <f t="shared" si="452"/>
        <v/>
      </c>
      <c r="NB50" s="713">
        <f>'org. Düngung 22'!CV49</f>
        <v>0</v>
      </c>
      <c r="NC50" s="57"/>
      <c r="ND50" s="57"/>
      <c r="NE50" s="57">
        <f t="shared" si="144"/>
        <v>0</v>
      </c>
      <c r="NF50" s="57">
        <f t="shared" si="308"/>
        <v>0</v>
      </c>
      <c r="NG50" s="57">
        <f t="shared" si="309"/>
        <v>0</v>
      </c>
      <c r="NH50" s="57">
        <f t="shared" si="310"/>
        <v>0</v>
      </c>
      <c r="NI50" s="57">
        <f t="shared" si="311"/>
        <v>0</v>
      </c>
      <c r="NJ50" s="1029">
        <f t="shared" si="453"/>
        <v>0</v>
      </c>
      <c r="NK50" s="57">
        <f t="shared" si="454"/>
        <v>0</v>
      </c>
      <c r="NL50" s="171" t="str">
        <f t="shared" si="455"/>
        <v/>
      </c>
      <c r="NM50" s="57">
        <f t="shared" si="312"/>
        <v>0</v>
      </c>
      <c r="NN50" s="57">
        <f>IF(OR(AND(NB$6=1,$L50=0),AND(NB$6=2,$K50=2,$G50=1)),0,IF(AND(ND$9=2,(OR($F50&gt;1,$K50=1,AND($L50=80,OR($N50=1,AND($N50=2,'#BerechnungDBE'!$AL41&gt;0)))))),IF(NB$4&gt;=$AD$126,0,NL50),IF(ND$9=3,IF(OR(NB$4&gt;=$AD$127,AND($G50=1,$J50=2,NB$6=2),AND(NB$6=1,$N50&lt;&gt;1)),0,IF(NF50&lt;=120,NL50,IF(NB$4&lt;$AD$124,IF($F50=1,60/ND$4*ND$6,60/ND$4*ND$7),IF($F50=1,120/ND$4*ND$6,120/ND$4*ND$7)))),IF(OR($F50=3,$G50=2),IF(OR(AND(NB$4&gt;=$AD$119,$C50=2),AND(NB$4&gt;=$AF$119,$C50=1)),0,IF(NF50&lt;=60,NL50,60/ND$4*ND$7)),IF(AND($F50=2,$G50=1),NL50,0)))))</f>
        <v>0</v>
      </c>
      <c r="NO50" s="57" t="str">
        <f t="shared" si="148"/>
        <v/>
      </c>
      <c r="NP50" s="57" t="str">
        <f t="shared" si="456"/>
        <v/>
      </c>
      <c r="NQ50" s="713">
        <f>'org. Düngung 22'!CZ49</f>
        <v>0</v>
      </c>
      <c r="NR50" s="57"/>
      <c r="NS50" s="57"/>
      <c r="NT50" s="57">
        <f t="shared" si="150"/>
        <v>0</v>
      </c>
      <c r="NU50" s="57">
        <f t="shared" si="313"/>
        <v>0</v>
      </c>
      <c r="NV50" s="57">
        <f t="shared" si="314"/>
        <v>0</v>
      </c>
      <c r="NW50" s="57">
        <f t="shared" si="315"/>
        <v>0</v>
      </c>
      <c r="NX50" s="57">
        <f t="shared" si="316"/>
        <v>0</v>
      </c>
      <c r="NY50" s="1029">
        <f t="shared" si="457"/>
        <v>0</v>
      </c>
      <c r="NZ50" s="57">
        <f t="shared" si="458"/>
        <v>0</v>
      </c>
      <c r="OA50" s="171" t="str">
        <f t="shared" si="459"/>
        <v/>
      </c>
      <c r="OB50" s="57">
        <f t="shared" si="317"/>
        <v>0</v>
      </c>
      <c r="OC50" s="57">
        <f>IF(OR(AND(NQ$6=1,$L50=0),AND(NQ$6=2,$K50=2,$G50=1)),0,IF(AND(NS$9=2,(OR($F50&gt;1,$K50=1,AND($L50=80,OR($N50=1,AND($N50=2,'#BerechnungDBE'!$AL41&gt;0)))))),IF(NQ$4&gt;=$AD$126,0,OA50),IF(NS$9=3,IF(OR(NQ$4&gt;=$AD$127,AND($G50=1,$J50=2,NQ$6=2),AND(NQ$6=1,$N50&lt;&gt;1)),0,IF(NU50&lt;=120,OA50,IF(NQ$4&lt;$AD$124,IF($F50=1,60/NS$4*NS$6,60/NS$4*NS$7),IF($F50=1,120/NS$4*NS$6,120/NS$4*NS$7)))),IF(OR($F50=3,$G50=2),IF(OR(AND(NQ$4&gt;=$AD$119,$C50=2),AND(NQ$4&gt;=$AF$119,$C50=1)),0,IF(NU50&lt;=60,OA50,60/NS$4*NS$7)),IF(AND($F50=2,$G50=1),OA50,0)))))</f>
        <v>0</v>
      </c>
      <c r="OD50" s="57" t="str">
        <f t="shared" si="154"/>
        <v/>
      </c>
      <c r="OE50" s="57" t="str">
        <f t="shared" si="460"/>
        <v/>
      </c>
      <c r="OF50" s="713">
        <f>'org. Düngung 22'!DD49</f>
        <v>0</v>
      </c>
      <c r="OG50" s="57"/>
      <c r="OH50" s="57"/>
      <c r="OI50" s="57">
        <f t="shared" si="156"/>
        <v>0</v>
      </c>
      <c r="OJ50" s="57">
        <f t="shared" si="318"/>
        <v>0</v>
      </c>
      <c r="OK50" s="57">
        <f t="shared" si="319"/>
        <v>0</v>
      </c>
      <c r="OL50" s="57">
        <f t="shared" si="320"/>
        <v>0</v>
      </c>
      <c r="OM50" s="57">
        <f t="shared" si="321"/>
        <v>0</v>
      </c>
      <c r="ON50" s="1029">
        <f t="shared" si="461"/>
        <v>0</v>
      </c>
      <c r="OO50" s="57">
        <f t="shared" si="462"/>
        <v>0</v>
      </c>
      <c r="OP50" s="171" t="str">
        <f t="shared" si="463"/>
        <v/>
      </c>
      <c r="OQ50" s="57">
        <f t="shared" si="322"/>
        <v>0</v>
      </c>
      <c r="OR50" s="57">
        <f>IF(OR(AND(OF$6=1,$L50=0),AND(OF$6=2,$K50=2,$G50=1)),0,IF(AND(OH$9=2,(OR($F50&gt;1,$K50=1,AND($L50=80,OR($N50=1,AND($N50=2,'#BerechnungDBE'!$AL41&gt;0)))))),IF(OF$4&gt;=$AD$126,0,OP50),IF(OH$9=3,IF(OR(OF$4&gt;=$AD$127,AND($G50=1,$J50=2,OF$6=2),AND(OF$6=1,$N50&lt;&gt;1)),0,IF(OJ50&lt;=120,OP50,IF(OF$4&lt;$AD$124,IF($F50=1,60/OH$4*OH$6,60/OH$4*OH$7),IF($F50=1,120/OH$4*OH$6,120/OH$4*OH$7)))),IF(OR($F50=3,$G50=2),IF(OR(AND(OF$4&gt;=$AD$119,$C50=2),AND(OF$4&gt;=$AF$119,$C50=1)),0,IF(OJ50&lt;=60,OP50,60/OH$4*OH$7)),IF(AND($F50=2,$G50=1),OP50,0)))))</f>
        <v>0</v>
      </c>
      <c r="OS50" s="57" t="str">
        <f t="shared" si="160"/>
        <v/>
      </c>
      <c r="OT50" s="57" t="str">
        <f t="shared" si="464"/>
        <v/>
      </c>
      <c r="OU50" s="713">
        <f>'org. Düngung 22'!DH49</f>
        <v>0</v>
      </c>
      <c r="OV50" s="57"/>
      <c r="OW50" s="57"/>
      <c r="OX50" s="57">
        <f t="shared" si="162"/>
        <v>0</v>
      </c>
      <c r="OY50" s="57">
        <f t="shared" si="323"/>
        <v>0</v>
      </c>
      <c r="OZ50" s="57">
        <f t="shared" si="324"/>
        <v>0</v>
      </c>
      <c r="PA50" s="57">
        <f t="shared" si="325"/>
        <v>0</v>
      </c>
      <c r="PB50" s="57">
        <f t="shared" si="326"/>
        <v>0</v>
      </c>
      <c r="PC50" s="1029">
        <f t="shared" si="465"/>
        <v>0</v>
      </c>
      <c r="PD50" s="57">
        <f t="shared" si="466"/>
        <v>0</v>
      </c>
      <c r="PE50" s="171" t="str">
        <f t="shared" si="467"/>
        <v/>
      </c>
      <c r="PF50" s="57">
        <f t="shared" si="327"/>
        <v>0</v>
      </c>
      <c r="PG50" s="57">
        <f>IF(OR(AND(OU$6=1,$L50=0),AND(OU$6=2,$K50=2,$G50=1)),0,IF(AND(OW$9=2,(OR($F50&gt;1,$K50=1,AND($L50=80,OR($N50=1,AND($N50=2,'#BerechnungDBE'!$AL41&gt;0)))))),IF(OU$4&gt;=$AD$126,0,PE50),IF(OW$9=3,IF(OR(OU$4&gt;=$AD$127,AND($G50=1,$J50=2,OU$6=2),AND(OU$6=1,$N50&lt;&gt;1)),0,IF(OY50&lt;=120,PE50,IF(OU$4&lt;$AD$124,IF($F50=1,60/OW$4*OW$6,60/OW$4*OW$7),IF($F50=1,120/OW$4*OW$6,120/OW$4*OW$7)))),IF(OR($F50=3,$G50=2),IF(OR(AND(OU$4&gt;=$AD$119,$C50=2),AND(OU$4&gt;=$AF$119,$C50=1)),0,IF(OY50&lt;=60,PE50,60/OW$4*OW$7)),IF(AND($F50=2,$G50=1),PE50,0)))))</f>
        <v>0</v>
      </c>
      <c r="PH50" s="57" t="str">
        <f t="shared" si="166"/>
        <v/>
      </c>
      <c r="PI50" s="57" t="str">
        <f t="shared" si="468"/>
        <v/>
      </c>
      <c r="PJ50" s="713">
        <f>'org. Düngung 22'!DL49</f>
        <v>0</v>
      </c>
      <c r="PK50" s="57"/>
      <c r="PL50" s="57"/>
      <c r="PM50" s="57">
        <f t="shared" si="168"/>
        <v>0</v>
      </c>
      <c r="PN50" s="57">
        <f t="shared" si="328"/>
        <v>0</v>
      </c>
      <c r="PO50" s="57">
        <f t="shared" si="329"/>
        <v>0</v>
      </c>
      <c r="PP50" s="57">
        <f t="shared" si="330"/>
        <v>0</v>
      </c>
      <c r="PQ50" s="57">
        <f t="shared" si="331"/>
        <v>0</v>
      </c>
      <c r="PR50" s="1029">
        <f t="shared" si="469"/>
        <v>0</v>
      </c>
      <c r="PS50" s="57">
        <f t="shared" si="470"/>
        <v>0</v>
      </c>
      <c r="PT50" s="171" t="str">
        <f t="shared" si="471"/>
        <v/>
      </c>
      <c r="PU50" s="57">
        <f t="shared" si="332"/>
        <v>0</v>
      </c>
      <c r="PV50" s="57">
        <f>IF(OR(AND(PJ$6=1,$L50=0),AND(PJ$6=2,$K50=2,$G50=1)),0,IF(AND(PL$9=2,(OR($F50&gt;1,$K50=1,AND($L50=80,OR($N50=1,AND($N50=2,'#BerechnungDBE'!$AL41&gt;0)))))),IF(PJ$4&gt;=$AD$126,0,PT50),IF(PL$9=3,IF(OR(PJ$4&gt;=$AD$127,AND($G50=1,$J50=2,PJ$6=2),AND(PJ$6=1,$N50&lt;&gt;1)),0,IF(PN50&lt;=120,PT50,IF(PJ$4&lt;$AD$124,IF($F50=1,60/PL$4*PL$6,60/PL$4*PL$7),IF($F50=1,120/PL$4*PL$6,120/PL$4*PL$7)))),IF(OR($F50=3,$G50=2),IF(OR(AND(PJ$4&gt;=$AD$119,$C50=2),AND(PJ$4&gt;=$AF$119,$C50=1)),0,IF(PN50&lt;=60,PT50,60/PL$4*PL$7)),IF(AND($F50=2,$G50=1),PT50,0)))))</f>
        <v>0</v>
      </c>
      <c r="PW50" s="57" t="str">
        <f t="shared" si="172"/>
        <v/>
      </c>
      <c r="PX50" s="57" t="str">
        <f t="shared" si="472"/>
        <v/>
      </c>
      <c r="PY50" s="713">
        <f>'org. Düngung 22'!DP49</f>
        <v>0</v>
      </c>
      <c r="PZ50" s="57"/>
      <c r="QA50" s="57"/>
      <c r="QB50" s="57">
        <f t="shared" si="174"/>
        <v>0</v>
      </c>
      <c r="QC50" s="57">
        <f t="shared" si="333"/>
        <v>0</v>
      </c>
      <c r="QD50" s="57">
        <f t="shared" si="334"/>
        <v>0</v>
      </c>
      <c r="QE50" s="57">
        <f t="shared" si="335"/>
        <v>0</v>
      </c>
      <c r="QF50" s="57">
        <f t="shared" si="336"/>
        <v>0</v>
      </c>
      <c r="QG50" s="1029">
        <f t="shared" si="473"/>
        <v>0</v>
      </c>
      <c r="QH50" s="57">
        <f t="shared" si="474"/>
        <v>0</v>
      </c>
      <c r="QI50" s="171" t="str">
        <f t="shared" si="475"/>
        <v/>
      </c>
      <c r="QJ50" s="57">
        <f t="shared" si="337"/>
        <v>0</v>
      </c>
      <c r="QK50" s="57">
        <f>IF(OR(AND(PY$6=1,$L50=0),AND(PY$6=2,$K50=2,$G50=1)),0,IF(AND(QA$9=2,(OR($F50&gt;1,$K50=1,AND($L50=80,OR($N50=1,AND($N50=2,'#BerechnungDBE'!$AL41&gt;0)))))),IF(PY$4&gt;=$AD$126,0,QI50),IF(QA$9=3,IF(OR(PY$4&gt;=$AD$127,AND($G50=1,$J50=2,PY$6=2),AND(PY$6=1,$N50&lt;&gt;1)),0,IF(QC50&lt;=120,QI50,IF(PY$4&lt;$AD$124,IF($F50=1,60/QA$4*QA$6,60/QA$4*QA$7),IF($F50=1,120/QA$4*QA$6,120/QA$4*QA$7)))),IF(OR($F50=3,$G50=2),IF(OR(AND(PY$4&gt;=$AD$119,$C50=2),AND(PY$4&gt;=$AF$119,$C50=1)),0,IF(QC50&lt;=60,QI50,60/QA$4*QA$7)),IF(AND($F50=2,$G50=1),QI50,0)))))</f>
        <v>0</v>
      </c>
      <c r="QL50" s="57" t="str">
        <f t="shared" si="178"/>
        <v/>
      </c>
      <c r="QM50" s="57" t="str">
        <f t="shared" si="476"/>
        <v/>
      </c>
      <c r="QN50" s="713">
        <f>'org. Düngung 22'!DT49</f>
        <v>0</v>
      </c>
      <c r="QO50" s="57"/>
      <c r="QP50" s="57"/>
      <c r="QQ50" s="57">
        <f t="shared" si="180"/>
        <v>0</v>
      </c>
      <c r="QR50" s="57">
        <f t="shared" si="338"/>
        <v>0</v>
      </c>
      <c r="QS50" s="57">
        <f t="shared" si="339"/>
        <v>0</v>
      </c>
      <c r="QT50" s="57">
        <f t="shared" si="340"/>
        <v>0</v>
      </c>
      <c r="QU50" s="57">
        <f t="shared" si="341"/>
        <v>0</v>
      </c>
      <c r="QV50" s="1029">
        <f t="shared" si="477"/>
        <v>0</v>
      </c>
      <c r="QW50" s="57">
        <f t="shared" si="478"/>
        <v>0</v>
      </c>
      <c r="QX50" s="171" t="str">
        <f t="shared" si="479"/>
        <v/>
      </c>
      <c r="QY50" s="57">
        <f t="shared" si="342"/>
        <v>0</v>
      </c>
      <c r="QZ50" s="57">
        <f>IF(OR(AND(QN$6=1,$L50=0),AND(QN$6=2,$K50=2,$G50=1)),0,IF(AND(QP$9=2,(OR($F50&gt;1,$K50=1,AND($L50=80,OR($N50=1,AND($N50=2,'#BerechnungDBE'!$AL41&gt;0)))))),IF(QN$4&gt;=$AD$126,0,QX50),IF(QP$9=3,IF(OR(QN$4&gt;=$AD$127,AND($G50=1,$J50=2,QN$6=2),AND(QN$6=1,$N50&lt;&gt;1)),0,IF(QR50&lt;=120,QX50,IF(QN$4&lt;$AD$124,IF($F50=1,60/QP$4*QP$6,60/QP$4*QP$7),IF($F50=1,120/QP$4*QP$6,120/QP$4*QP$7)))),IF(OR($F50=3,$G50=2),IF(OR(AND(QN$4&gt;=$AD$119,$C50=2),AND(QN$4&gt;=$AF$119,$C50=1)),0,IF(QR50&lt;=60,QX50,60/QP$4*QP$7)),IF(AND($F50=2,$G50=1),QX50,0)))))</f>
        <v>0</v>
      </c>
      <c r="RA50" s="57" t="str">
        <f t="shared" si="184"/>
        <v/>
      </c>
      <c r="RB50" s="57" t="str">
        <f t="shared" si="480"/>
        <v/>
      </c>
      <c r="RC50" s="713">
        <f>'org. Düngung 22'!DX49</f>
        <v>0</v>
      </c>
      <c r="RD50" s="57"/>
      <c r="RE50" s="57"/>
      <c r="RF50" s="57">
        <f t="shared" si="186"/>
        <v>0</v>
      </c>
      <c r="RG50" s="57">
        <f t="shared" si="343"/>
        <v>0</v>
      </c>
      <c r="RH50" s="57">
        <f t="shared" si="344"/>
        <v>0</v>
      </c>
      <c r="RI50" s="57">
        <f t="shared" si="345"/>
        <v>0</v>
      </c>
      <c r="RJ50" s="57">
        <f t="shared" si="346"/>
        <v>0</v>
      </c>
      <c r="RK50" s="1029">
        <f t="shared" si="481"/>
        <v>0</v>
      </c>
      <c r="RL50" s="57">
        <f t="shared" si="482"/>
        <v>0</v>
      </c>
      <c r="RM50" s="171" t="str">
        <f t="shared" si="483"/>
        <v/>
      </c>
      <c r="RN50" s="57">
        <f t="shared" si="347"/>
        <v>0</v>
      </c>
      <c r="RO50" s="57">
        <f>IF(OR(AND(RC$6=1,$L50=0),AND(RC$6=2,$K50=2,$G50=1)),0,IF(AND(RE$9=2,(OR($F50&gt;1,$K50=1,AND($L50=80,OR($N50=1,AND($N50=2,'#BerechnungDBE'!$AL41&gt;0)))))),IF(RC$4&gt;=$AD$126,0,RM50),IF(RE$9=3,IF(OR(RC$4&gt;=$AD$127,AND($G50=1,$J50=2,RC$6=2),AND(RC$6=1,$N50&lt;&gt;1)),0,IF(RG50&lt;=120,RM50,IF(RC$4&lt;$AD$124,IF($F50=1,60/RE$4*RE$6,60/RE$4*RE$7),IF($F50=1,120/RE$4*RE$6,120/RE$4*RE$7)))),IF(OR($F50=3,$G50=2),IF(OR(AND(RC$4&gt;=$AD$119,$C50=2),AND(RC$4&gt;=$AF$119,$C50=1)),0,IF(RG50&lt;=60,RM50,60/RE$4*RE$7)),IF(AND($F50=2,$G50=1),RM50,0)))))</f>
        <v>0</v>
      </c>
      <c r="RP50" s="57" t="str">
        <f t="shared" si="190"/>
        <v/>
      </c>
      <c r="RQ50" s="57" t="str">
        <f t="shared" si="484"/>
        <v/>
      </c>
      <c r="RS50" s="57" t="str">
        <f t="shared" si="488"/>
        <v/>
      </c>
      <c r="RT50" s="57" t="str">
        <f t="shared" si="485"/>
        <v/>
      </c>
      <c r="RU50" s="57" t="str">
        <f t="shared" si="486"/>
        <v/>
      </c>
      <c r="RV50" s="57" t="str">
        <f>IF(Z50&gt;'#BerechnungDBE'!BM41,$RV$9,"")</f>
        <v/>
      </c>
      <c r="RW50" s="57" t="str">
        <f>IF(AND(L50=70,AE50&gt;'#BerechnungDBE'!CQ41),$RW$9,"")</f>
        <v/>
      </c>
      <c r="RX50" s="57" t="str">
        <f>IF(OR('org. Düngung 22'!G49="--",'org. Düngung 22'!G49&lt;=170,'org. Düngung 22'!G49=""),"",$RX$9)</f>
        <v/>
      </c>
      <c r="RY50" s="57" t="str">
        <f>IF('org. Düngung 22'!K49&gt;120,'#orgDung'!$RY$9,"")</f>
        <v/>
      </c>
      <c r="RZ50" s="57" t="str">
        <f>IF('#BerechnungDBE'!P41&lt;4,"",IF(AND('#BerechnungDBE'!BZ41&gt;0,T50&gt;0),'#orgDung'!$RZ$9,""))</f>
        <v/>
      </c>
      <c r="SA50" s="57" t="str">
        <f t="shared" si="487"/>
        <v/>
      </c>
    </row>
    <row r="51" spans="1:495" s="875" customFormat="1" x14ac:dyDescent="0.2">
      <c r="A51" s="875">
        <f>'Flächen u. Kulturen'!A47</f>
        <v>38</v>
      </c>
      <c r="B51" s="367">
        <f>'#BerechnungDBE'!L42</f>
        <v>0</v>
      </c>
      <c r="C51" s="875">
        <f>'#BerechnungDBE'!R42</f>
        <v>1</v>
      </c>
      <c r="D51" s="875">
        <f>'#BerechnungDBE'!T42</f>
        <v>2</v>
      </c>
      <c r="E51" s="875" t="str">
        <f>'Flächen u. Kulturen'!E47</f>
        <v>x</v>
      </c>
      <c r="F51" s="52">
        <f>'#BerechnungDBE'!N42</f>
        <v>1</v>
      </c>
      <c r="G51" s="52">
        <f>'#BerechnungDBE'!O42</f>
        <v>1</v>
      </c>
      <c r="H51" s="875">
        <f>IF('Flächen u. Kulturen'!P47="",0,VLOOKUP('Flächen u. Kulturen'!P47,Kulturen[[HF]:[Berechnungsgruppe]],'#Frucht'!$H$1,FALSE))</f>
        <v>0</v>
      </c>
      <c r="I51" s="875">
        <f>IF('Flächen u. Kulturen'!J47="",0,VLOOKUP('Flächen u. Kulturen'!J47,Kulturen[[HF]:[Berechnungsgruppe]],'#Frucht'!$G$1,FALSE))</f>
        <v>90</v>
      </c>
      <c r="J51" s="505">
        <f t="shared" si="195"/>
        <v>2</v>
      </c>
      <c r="K51" s="505">
        <f>IF('Flächen u. Kulturen'!P47="",0,IF(VLOOKUP('Flächen u. Kulturen'!P47,Kulturen[[HF]:[Saat Winterungen]],'#Frucht'!$P$1,FALSE)&gt;0,1,2))</f>
        <v>2</v>
      </c>
      <c r="L51" s="875">
        <f>'#BerechnungDBE'!AF42</f>
        <v>0</v>
      </c>
      <c r="M51" s="875">
        <f>IF('Flächen u. Kulturen'!L47="",0,VLOOKUP('Flächen u. Kulturen'!L47,Nebenkultur[[Nebenkultur]:[Legum. Zwischenfr.]],'#Zweitfr'!$K$1,FALSE))</f>
        <v>0</v>
      </c>
      <c r="N51" s="875">
        <f>'#BerechnungDBE'!AG42</f>
        <v>0</v>
      </c>
      <c r="P51" s="57">
        <f t="shared" si="353"/>
        <v>0</v>
      </c>
      <c r="Q51" s="57">
        <f t="shared" si="354"/>
        <v>0</v>
      </c>
      <c r="R51" s="875">
        <f t="shared" si="355"/>
        <v>0</v>
      </c>
      <c r="S51" s="938" t="str">
        <f t="shared" si="3"/>
        <v/>
      </c>
      <c r="T51" s="875">
        <f t="shared" si="356"/>
        <v>0</v>
      </c>
      <c r="U51" s="875">
        <f t="shared" si="357"/>
        <v>0</v>
      </c>
      <c r="V51" s="875">
        <f t="shared" si="358"/>
        <v>0</v>
      </c>
      <c r="W51" s="875">
        <f t="shared" si="359"/>
        <v>0</v>
      </c>
      <c r="X51" s="875">
        <f t="shared" si="360"/>
        <v>0</v>
      </c>
      <c r="Y51" s="875">
        <f t="shared" si="349"/>
        <v>0</v>
      </c>
      <c r="Z51" s="875">
        <f t="shared" si="350"/>
        <v>0</v>
      </c>
      <c r="AA51" s="910">
        <f t="shared" si="361"/>
        <v>0</v>
      </c>
      <c r="AB51" s="57">
        <f t="shared" si="351"/>
        <v>0</v>
      </c>
      <c r="AC51" s="875">
        <f t="shared" si="362"/>
        <v>0</v>
      </c>
      <c r="AD51" s="875">
        <f t="shared" si="363"/>
        <v>0</v>
      </c>
      <c r="AE51" s="875">
        <f t="shared" si="364"/>
        <v>0</v>
      </c>
      <c r="AF51" s="875">
        <f t="shared" si="352"/>
        <v>0</v>
      </c>
      <c r="AG51" s="875">
        <f>'org. Düngung 22'!J50</f>
        <v>0</v>
      </c>
      <c r="AH51" s="875">
        <f>'org. Düngung 22'!K50</f>
        <v>0</v>
      </c>
      <c r="AJ51" s="713">
        <f>'org. Düngung 22'!L50</f>
        <v>0</v>
      </c>
      <c r="AK51" s="57"/>
      <c r="AL51" s="57"/>
      <c r="AM51" s="57">
        <f t="shared" si="196"/>
        <v>0</v>
      </c>
      <c r="AN51" s="57">
        <f t="shared" si="197"/>
        <v>0</v>
      </c>
      <c r="AO51" s="57">
        <f t="shared" si="198"/>
        <v>0</v>
      </c>
      <c r="AP51" s="57">
        <f t="shared" si="199"/>
        <v>0</v>
      </c>
      <c r="AQ51" s="57">
        <f t="shared" si="200"/>
        <v>0</v>
      </c>
      <c r="AR51" s="1029">
        <f t="shared" si="365"/>
        <v>0</v>
      </c>
      <c r="AS51" s="57">
        <f t="shared" si="366"/>
        <v>0</v>
      </c>
      <c r="AT51" s="171" t="str">
        <f t="shared" si="367"/>
        <v/>
      </c>
      <c r="AU51" s="57">
        <f t="shared" si="201"/>
        <v>0</v>
      </c>
      <c r="AV51" s="57">
        <f>IF(OR(AND(AJ$6=1,$L51=0),AND(AJ$6=2,$K51=2,$G51=1)),0,IF(AND(AL$9=2,(OR($F51&gt;1,$K51=1,AND($L51=80,OR($N51=1,AND($N51=2,'#BerechnungDBE'!$AL42&gt;0)))))),IF(AJ$4&gt;=$AD$126,0,AT51),IF(AL$9=3,IF(OR(AJ$4&gt;=$AD$127,AND($G51=1,$J51=2,AJ$6=2),AND(AJ$6=1,$N51&lt;&gt;1)),0,IF(AN51&lt;=120,AT51,IF(AJ$4&lt;$AD$124,IF($F51=1,60/AL$4*AL$6,60/AL$4*AL$7),IF($F51=1,120/AL$4*AL$6,120/AL$4*AL$7)))),IF(OR($F51=3,$G51=2),IF(OR(AND(AJ$4&gt;=$AD$119,$C51=2),AND(AJ$4&gt;=$AF$119,$C51=1)),0,IF(AN51&lt;=60,AT51,60/AL$4*AL$7)),IF(AND($F51=2,$G51=1),AT51,0)))))</f>
        <v>0</v>
      </c>
      <c r="AW51" s="57" t="str">
        <f t="shared" si="202"/>
        <v/>
      </c>
      <c r="AX51" s="57" t="str">
        <f t="shared" si="368"/>
        <v/>
      </c>
      <c r="AY51" s="713">
        <f>'org. Düngung 22'!P50</f>
        <v>0</v>
      </c>
      <c r="AZ51" s="57"/>
      <c r="BA51" s="57"/>
      <c r="BB51" s="57">
        <f t="shared" si="18"/>
        <v>0</v>
      </c>
      <c r="BC51" s="57">
        <f t="shared" si="203"/>
        <v>0</v>
      </c>
      <c r="BD51" s="57">
        <f t="shared" si="204"/>
        <v>0</v>
      </c>
      <c r="BE51" s="57">
        <f t="shared" si="205"/>
        <v>0</v>
      </c>
      <c r="BF51" s="57">
        <f t="shared" si="206"/>
        <v>0</v>
      </c>
      <c r="BG51" s="1029">
        <f t="shared" si="369"/>
        <v>0</v>
      </c>
      <c r="BH51" s="57">
        <f t="shared" si="370"/>
        <v>0</v>
      </c>
      <c r="BI51" s="171" t="str">
        <f t="shared" si="371"/>
        <v/>
      </c>
      <c r="BJ51" s="57">
        <f t="shared" si="207"/>
        <v>0</v>
      </c>
      <c r="BK51" s="57">
        <f>IF(OR(AND(AY$6=1,$L51=0),AND(AY$6=2,$K51=2,$G51=1)),0,IF(AND(BA$9=2,(OR($F51&gt;1,$K51=1,AND($L51=80,OR($N51=1,AND($N51=2,'#BerechnungDBE'!$AL42&gt;0)))))),IF(AY$4&gt;=$AD$126,0,BI51),IF(BA$9=3,IF(OR(AY$4&gt;=$AD$127,AND($G51=1,$J51=2,AY$6=2),AND(AY$6=1,$N51&lt;&gt;1)),0,IF(BC51&lt;=120,BI51,IF(AY$4&lt;$AD$124,IF($F51=1,60/BA$4*BA$6,60/BA$4*BA$7),IF($F51=1,120/BA$4*BA$6,120/BA$4*BA$7)))),IF(OR($F51=3,$G51=2),IF(OR(AND(AY$4&gt;=$AD$119,$C51=2),AND(AY$4&gt;=$AF$119,$C51=1)),0,IF(BC51&lt;=60,BI51,60/BA$4*BA$7)),IF(AND($F51=2,$G51=1),BI51,0)))))</f>
        <v>0</v>
      </c>
      <c r="BL51" s="57" t="str">
        <f t="shared" si="22"/>
        <v/>
      </c>
      <c r="BM51" s="57" t="str">
        <f t="shared" si="372"/>
        <v/>
      </c>
      <c r="BN51" s="713">
        <f>'org. Düngung 22'!T50</f>
        <v>0</v>
      </c>
      <c r="BO51" s="57"/>
      <c r="BP51" s="57"/>
      <c r="BQ51" s="57">
        <f t="shared" si="24"/>
        <v>0</v>
      </c>
      <c r="BR51" s="57">
        <f t="shared" si="208"/>
        <v>0</v>
      </c>
      <c r="BS51" s="57">
        <f t="shared" si="209"/>
        <v>0</v>
      </c>
      <c r="BT51" s="57">
        <f t="shared" si="210"/>
        <v>0</v>
      </c>
      <c r="BU51" s="57">
        <f t="shared" si="211"/>
        <v>0</v>
      </c>
      <c r="BV51" s="1029">
        <f t="shared" si="373"/>
        <v>0</v>
      </c>
      <c r="BW51" s="57">
        <f t="shared" si="374"/>
        <v>0</v>
      </c>
      <c r="BX51" s="171" t="str">
        <f t="shared" si="375"/>
        <v/>
      </c>
      <c r="BY51" s="57">
        <f t="shared" si="212"/>
        <v>0</v>
      </c>
      <c r="BZ51" s="57">
        <f>IF(OR(AND(BN$6=1,$L51=0),AND(BN$6=2,$K51=2,$G51=1)),0,IF(AND(BP$9=2,(OR($F51&gt;1,$K51=1,AND($L51=80,OR($N51=1,AND($N51=2,'#BerechnungDBE'!$AL42&gt;0)))))),IF(BN$4&gt;=$AD$126,0,BX51),IF(BP$9=3,IF(OR(BN$4&gt;=$AD$127,AND($G51=1,$J51=2,BN$6=2),AND(BN$6=1,$N51&lt;&gt;1)),0,IF(BR51&lt;=120,BX51,IF(BN$4&lt;$AD$124,IF($F51=1,60/BP$4*BP$6,60/BP$4*BP$7),IF($F51=1,120/BP$4*BP$6,120/BP$4*BP$7)))),IF(OR($F51=3,$G51=2),IF(OR(AND(BN$4&gt;=$AD$119,$C51=2),AND(BN$4&gt;=$AF$119,$C51=1)),0,IF(BR51&lt;=60,BX51,60/BP$4*BP$7)),IF(AND($F51=2,$G51=1),BX51,0)))))</f>
        <v>0</v>
      </c>
      <c r="CA51" s="57" t="str">
        <f t="shared" si="28"/>
        <v/>
      </c>
      <c r="CB51" s="57" t="str">
        <f t="shared" si="376"/>
        <v/>
      </c>
      <c r="CC51" s="713">
        <f>'org. Düngung 22'!X50</f>
        <v>0</v>
      </c>
      <c r="CD51" s="57"/>
      <c r="CE51" s="57"/>
      <c r="CF51" s="57">
        <f t="shared" si="30"/>
        <v>0</v>
      </c>
      <c r="CG51" s="57">
        <f t="shared" si="213"/>
        <v>0</v>
      </c>
      <c r="CH51" s="57">
        <f t="shared" si="214"/>
        <v>0</v>
      </c>
      <c r="CI51" s="57">
        <f t="shared" si="215"/>
        <v>0</v>
      </c>
      <c r="CJ51" s="57">
        <f t="shared" si="216"/>
        <v>0</v>
      </c>
      <c r="CK51" s="1029">
        <f t="shared" si="377"/>
        <v>0</v>
      </c>
      <c r="CL51" s="57">
        <f t="shared" si="378"/>
        <v>0</v>
      </c>
      <c r="CM51" s="171" t="str">
        <f t="shared" si="379"/>
        <v/>
      </c>
      <c r="CN51" s="57">
        <f t="shared" si="217"/>
        <v>0</v>
      </c>
      <c r="CO51" s="57">
        <f>IF(OR(AND(CC$6=1,$L51=0),AND(CC$6=2,$K51=2,$G51=1)),0,IF(AND(CE$9=2,(OR($F51&gt;1,$K51=1,AND($L51=80,OR($N51=1,AND($N51=2,'#BerechnungDBE'!$AL42&gt;0)))))),IF(CC$4&gt;=$AD$126,0,CM51),IF(CE$9=3,IF(OR(CC$4&gt;=$AD$127,AND($G51=1,$J51=2,CC$6=2),AND(CC$6=1,$N51&lt;&gt;1)),0,IF(CG51&lt;=120,CM51,IF(CC$4&lt;$AD$124,IF($F51=1,60/CE$4*CE$6,60/CE$4*CE$7),IF($F51=1,120/CE$4*CE$6,120/CE$4*CE$7)))),IF(OR($F51=3,$G51=2),IF(OR(AND(CC$4&gt;=$AD$119,$C51=2),AND(CC$4&gt;=$AF$119,$C51=1)),0,IF(CG51&lt;=60,CM51,60/CE$4*CE$7)),IF(AND($F51=2,$G51=1),CM51,0)))))</f>
        <v>0</v>
      </c>
      <c r="CP51" s="57" t="str">
        <f t="shared" si="34"/>
        <v/>
      </c>
      <c r="CQ51" s="57" t="str">
        <f t="shared" si="380"/>
        <v/>
      </c>
      <c r="CR51" s="713">
        <f>'org. Düngung 22'!AB50</f>
        <v>0</v>
      </c>
      <c r="CS51" s="57"/>
      <c r="CT51" s="57"/>
      <c r="CU51" s="57">
        <f t="shared" si="36"/>
        <v>0</v>
      </c>
      <c r="CV51" s="57">
        <f t="shared" si="218"/>
        <v>0</v>
      </c>
      <c r="CW51" s="57">
        <f t="shared" si="219"/>
        <v>0</v>
      </c>
      <c r="CX51" s="57">
        <f t="shared" si="220"/>
        <v>0</v>
      </c>
      <c r="CY51" s="57">
        <f t="shared" si="221"/>
        <v>0</v>
      </c>
      <c r="CZ51" s="1029">
        <f t="shared" si="381"/>
        <v>0</v>
      </c>
      <c r="DA51" s="57">
        <f t="shared" si="382"/>
        <v>0</v>
      </c>
      <c r="DB51" s="171" t="str">
        <f t="shared" si="383"/>
        <v/>
      </c>
      <c r="DC51" s="57">
        <f t="shared" si="222"/>
        <v>0</v>
      </c>
      <c r="DD51" s="57">
        <f>IF(OR(AND(CR$6=1,$L51=0),AND(CR$6=2,$K51=2,$G51=1)),0,IF(AND(CT$9=2,(OR($F51&gt;1,$K51=1,AND($L51=80,OR($N51=1,AND($N51=2,'#BerechnungDBE'!$AL42&gt;0)))))),IF(CR$4&gt;=$AD$126,0,DB51),IF(CT$9=3,IF(OR(CR$4&gt;=$AD$127,AND($G51=1,$J51=2,CR$6=2),AND(CR$6=1,$N51&lt;&gt;1)),0,IF(CV51&lt;=120,DB51,IF(CR$4&lt;$AD$124,IF($F51=1,60/CT$4*CT$6,60/CT$4*CT$7),IF($F51=1,120/CT$4*CT$6,120/CT$4*CT$7)))),IF(OR($F51=3,$G51=2),IF(OR(AND(CR$4&gt;=$AD$119,$C51=2),AND(CR$4&gt;=$AF$119,$C51=1)),0,IF(CV51&lt;=60,DB51,60/CT$4*CT$7)),IF(AND($F51=2,$G51=1),DB51,0)))))</f>
        <v>0</v>
      </c>
      <c r="DE51" s="57" t="str">
        <f t="shared" si="40"/>
        <v/>
      </c>
      <c r="DF51" s="57" t="str">
        <f t="shared" si="384"/>
        <v/>
      </c>
      <c r="DG51" s="713">
        <f>'org. Düngung 22'!AF50</f>
        <v>0</v>
      </c>
      <c r="DH51" s="57"/>
      <c r="DI51" s="57"/>
      <c r="DJ51" s="57">
        <f t="shared" si="42"/>
        <v>0</v>
      </c>
      <c r="DK51" s="57">
        <f t="shared" si="223"/>
        <v>0</v>
      </c>
      <c r="DL51" s="57">
        <f t="shared" si="224"/>
        <v>0</v>
      </c>
      <c r="DM51" s="57">
        <f t="shared" si="225"/>
        <v>0</v>
      </c>
      <c r="DN51" s="57">
        <f t="shared" si="226"/>
        <v>0</v>
      </c>
      <c r="DO51" s="1029">
        <f t="shared" si="385"/>
        <v>0</v>
      </c>
      <c r="DP51" s="57">
        <f t="shared" si="386"/>
        <v>0</v>
      </c>
      <c r="DQ51" s="171" t="str">
        <f t="shared" si="387"/>
        <v/>
      </c>
      <c r="DR51" s="57">
        <f t="shared" si="227"/>
        <v>0</v>
      </c>
      <c r="DS51" s="57">
        <f>IF(OR(AND(DG$6=1,$L51=0),AND(DG$6=2,$K51=2,$G51=1)),0,IF(AND(DI$9=2,(OR($F51&gt;1,$K51=1,AND($L51=80,OR($N51=1,AND($N51=2,'#BerechnungDBE'!$AL42&gt;0)))))),IF(DG$4&gt;=$AD$126,0,DQ51),IF(DI$9=3,IF(OR(DG$4&gt;=$AD$127,AND($G51=1,$J51=2,DG$6=2),AND(DG$6=1,$N51&lt;&gt;1)),0,IF(DK51&lt;=120,DQ51,IF(DG$4&lt;$AD$124,IF($F51=1,60/DI$4*DI$6,60/DI$4*DI$7),IF($F51=1,120/DI$4*DI$6,120/DI$4*DI$7)))),IF(OR($F51=3,$G51=2),IF(OR(AND(DG$4&gt;=$AD$119,$C51=2),AND(DG$4&gt;=$AF$119,$C51=1)),0,IF(DK51&lt;=60,DQ51,60/DI$4*DI$7)),IF(AND($F51=2,$G51=1),DQ51,0)))))</f>
        <v>0</v>
      </c>
      <c r="DT51" s="57" t="str">
        <f t="shared" si="46"/>
        <v/>
      </c>
      <c r="DU51" s="57" t="str">
        <f t="shared" si="388"/>
        <v/>
      </c>
      <c r="DV51" s="713">
        <f>'org. Düngung 22'!AJ50</f>
        <v>0</v>
      </c>
      <c r="DW51" s="57"/>
      <c r="DX51" s="57"/>
      <c r="DY51" s="57">
        <f t="shared" si="48"/>
        <v>0</v>
      </c>
      <c r="DZ51" s="57">
        <f t="shared" si="228"/>
        <v>0</v>
      </c>
      <c r="EA51" s="57">
        <f t="shared" si="229"/>
        <v>0</v>
      </c>
      <c r="EB51" s="57">
        <f t="shared" si="230"/>
        <v>0</v>
      </c>
      <c r="EC51" s="57">
        <f t="shared" si="231"/>
        <v>0</v>
      </c>
      <c r="ED51" s="1029">
        <f t="shared" si="389"/>
        <v>0</v>
      </c>
      <c r="EE51" s="57">
        <f t="shared" si="390"/>
        <v>0</v>
      </c>
      <c r="EF51" s="171" t="str">
        <f t="shared" si="391"/>
        <v/>
      </c>
      <c r="EG51" s="57">
        <f t="shared" si="232"/>
        <v>0</v>
      </c>
      <c r="EH51" s="57">
        <f>IF(OR(AND(DV$6=1,$L51=0),AND(DV$6=2,$K51=2,$G51=1)),0,IF(AND(DX$9=2,(OR($F51&gt;1,$K51=1,AND($L51=80,OR($N51=1,AND($N51=2,'#BerechnungDBE'!$AL42&gt;0)))))),IF(DV$4&gt;=$AD$126,0,EF51),IF(DX$9=3,IF(OR(DV$4&gt;=$AD$127,AND($G51=1,$J51=2,DV$6=2),AND(DV$6=1,$N51&lt;&gt;1)),0,IF(DZ51&lt;=120,EF51,IF(DV$4&lt;$AD$124,IF($F51=1,60/DX$4*DX$6,60/DX$4*DX$7),IF($F51=1,120/DX$4*DX$6,120/DX$4*DX$7)))),IF(OR($F51=3,$G51=2),IF(OR(AND(DV$4&gt;=$AD$119,$C51=2),AND(DV$4&gt;=$AF$119,$C51=1)),0,IF(DZ51&lt;=60,EF51,60/DX$4*DX$7)),IF(AND($F51=2,$G51=1),EF51,0)))))</f>
        <v>0</v>
      </c>
      <c r="EI51" s="57" t="str">
        <f t="shared" si="52"/>
        <v/>
      </c>
      <c r="EJ51" s="57" t="str">
        <f t="shared" si="392"/>
        <v/>
      </c>
      <c r="EK51" s="713">
        <f>'org. Düngung 22'!AN50</f>
        <v>0</v>
      </c>
      <c r="EL51" s="57"/>
      <c r="EM51" s="57"/>
      <c r="EN51" s="57">
        <f t="shared" si="54"/>
        <v>0</v>
      </c>
      <c r="EO51" s="57">
        <f t="shared" si="233"/>
        <v>0</v>
      </c>
      <c r="EP51" s="57">
        <f t="shared" si="234"/>
        <v>0</v>
      </c>
      <c r="EQ51" s="57">
        <f t="shared" si="235"/>
        <v>0</v>
      </c>
      <c r="ER51" s="57">
        <f t="shared" si="236"/>
        <v>0</v>
      </c>
      <c r="ES51" s="1029">
        <f t="shared" si="393"/>
        <v>0</v>
      </c>
      <c r="ET51" s="57">
        <f t="shared" si="394"/>
        <v>0</v>
      </c>
      <c r="EU51" s="171" t="str">
        <f t="shared" si="395"/>
        <v/>
      </c>
      <c r="EV51" s="57">
        <f t="shared" si="237"/>
        <v>0</v>
      </c>
      <c r="EW51" s="57">
        <f>IF(OR(AND(EK$6=1,$L51=0),AND(EK$6=2,$K51=2,$G51=1)),0,IF(AND(EM$9=2,(OR($F51&gt;1,$K51=1,AND($L51=80,OR($N51=1,AND($N51=2,'#BerechnungDBE'!$AL42&gt;0)))))),IF(EK$4&gt;=$AD$126,0,EU51),IF(EM$9=3,IF(OR(EK$4&gt;=$AD$127,AND($G51=1,$J51=2,EK$6=2),AND(EK$6=1,$N51&lt;&gt;1)),0,IF(EO51&lt;=120,EU51,IF(EK$4&lt;$AD$124,IF($F51=1,60/EM$4*EM$6,60/EM$4*EM$7),IF($F51=1,120/EM$4*EM$6,120/EM$4*EM$7)))),IF(OR($F51=3,$G51=2),IF(OR(AND(EK$4&gt;=$AD$119,$C51=2),AND(EK$4&gt;=$AF$119,$C51=1)),0,IF(EO51&lt;=60,EU51,60/EM$4*EM$7)),IF(AND($F51=2,$G51=1),EU51,0)))))</f>
        <v>0</v>
      </c>
      <c r="EX51" s="57" t="str">
        <f t="shared" si="58"/>
        <v/>
      </c>
      <c r="EY51" s="57" t="str">
        <f t="shared" si="396"/>
        <v/>
      </c>
      <c r="EZ51" s="713">
        <f>'org. Düngung 22'!AR50</f>
        <v>0</v>
      </c>
      <c r="FA51" s="57"/>
      <c r="FB51" s="57"/>
      <c r="FC51" s="57">
        <f t="shared" si="60"/>
        <v>0</v>
      </c>
      <c r="FD51" s="57">
        <f t="shared" si="238"/>
        <v>0</v>
      </c>
      <c r="FE51" s="57">
        <f t="shared" si="239"/>
        <v>0</v>
      </c>
      <c r="FF51" s="57">
        <f t="shared" si="240"/>
        <v>0</v>
      </c>
      <c r="FG51" s="57">
        <f t="shared" si="241"/>
        <v>0</v>
      </c>
      <c r="FH51" s="1029">
        <f t="shared" si="397"/>
        <v>0</v>
      </c>
      <c r="FI51" s="57">
        <f t="shared" si="398"/>
        <v>0</v>
      </c>
      <c r="FJ51" s="171" t="str">
        <f t="shared" si="399"/>
        <v/>
      </c>
      <c r="FK51" s="57">
        <f t="shared" si="242"/>
        <v>0</v>
      </c>
      <c r="FL51" s="57">
        <f>IF(OR(AND(EZ$6=1,$L51=0),AND(EZ$6=2,$K51=2,$G51=1)),0,IF(AND(FB$9=2,(OR($F51&gt;1,$K51=1,AND($L51=80,OR($N51=1,AND($N51=2,'#BerechnungDBE'!$AL42&gt;0)))))),IF(EZ$4&gt;=$AD$126,0,FJ51),IF(FB$9=3,IF(OR(EZ$4&gt;=$AD$127,AND($G51=1,$J51=2,EZ$6=2),AND(EZ$6=1,$N51&lt;&gt;1)),0,IF(FD51&lt;=120,FJ51,IF(EZ$4&lt;$AD$124,IF($F51=1,60/FB$4*FB$6,60/FB$4*FB$7),IF($F51=1,120/FB$4*FB$6,120/FB$4*FB$7)))),IF(OR($F51=3,$G51=2),IF(OR(AND(EZ$4&gt;=$AD$119,$C51=2),AND(EZ$4&gt;=$AF$119,$C51=1)),0,IF(FD51&lt;=60,FJ51,60/FB$4*FB$7)),IF(AND($F51=2,$G51=1),FJ51,0)))))</f>
        <v>0</v>
      </c>
      <c r="FM51" s="57" t="str">
        <f t="shared" si="64"/>
        <v/>
      </c>
      <c r="FN51" s="57" t="str">
        <f t="shared" si="400"/>
        <v/>
      </c>
      <c r="FO51" s="713">
        <f>'org. Düngung 22'!AV50</f>
        <v>0</v>
      </c>
      <c r="FP51" s="57"/>
      <c r="FQ51" s="57"/>
      <c r="FR51" s="57">
        <f t="shared" si="66"/>
        <v>0</v>
      </c>
      <c r="FS51" s="57">
        <f t="shared" si="243"/>
        <v>0</v>
      </c>
      <c r="FT51" s="57">
        <f t="shared" si="244"/>
        <v>0</v>
      </c>
      <c r="FU51" s="57">
        <f t="shared" si="245"/>
        <v>0</v>
      </c>
      <c r="FV51" s="57">
        <f t="shared" si="246"/>
        <v>0</v>
      </c>
      <c r="FW51" s="1029">
        <f t="shared" si="401"/>
        <v>0</v>
      </c>
      <c r="FX51" s="57">
        <f t="shared" si="402"/>
        <v>0</v>
      </c>
      <c r="FY51" s="171" t="str">
        <f t="shared" si="403"/>
        <v/>
      </c>
      <c r="FZ51" s="57">
        <f t="shared" si="247"/>
        <v>0</v>
      </c>
      <c r="GA51" s="57">
        <f>IF(OR(AND(FO$6=1,$L51=0),AND(FO$6=2,$K51=2,$G51=1)),0,IF(AND(FQ$9=2,(OR($F51&gt;1,$K51=1,AND($L51=80,OR($N51=1,AND($N51=2,'#BerechnungDBE'!$AL42&gt;0)))))),IF(FO$4&gt;=$AD$126,0,FY51),IF(FQ$9=3,IF(OR(FO$4&gt;=$AD$127,AND($G51=1,$J51=2,FO$6=2),AND(FO$6=1,$N51&lt;&gt;1)),0,IF(FS51&lt;=120,FY51,IF(FO$4&lt;$AD$124,IF($F51=1,60/FQ$4*FQ$6,60/FQ$4*FQ$7),IF($F51=1,120/FQ$4*FQ$6,120/FQ$4*FQ$7)))),IF(OR($F51=3,$G51=2),IF(OR(AND(FO$4&gt;=$AD$119,$C51=2),AND(FO$4&gt;=$AF$119,$C51=1)),0,IF(FS51&lt;=60,FY51,60/FQ$4*FQ$7)),IF(AND($F51=2,$G51=1),FY51,0)))))</f>
        <v>0</v>
      </c>
      <c r="GB51" s="57" t="str">
        <f t="shared" si="70"/>
        <v/>
      </c>
      <c r="GC51" s="57" t="str">
        <f t="shared" si="404"/>
        <v/>
      </c>
      <c r="GD51" s="713">
        <f>'org. Düngung 22'!AZ50</f>
        <v>0</v>
      </c>
      <c r="GE51" s="57"/>
      <c r="GF51" s="57"/>
      <c r="GG51" s="57">
        <f t="shared" si="72"/>
        <v>0</v>
      </c>
      <c r="GH51" s="57">
        <f t="shared" si="248"/>
        <v>0</v>
      </c>
      <c r="GI51" s="57">
        <f t="shared" si="249"/>
        <v>0</v>
      </c>
      <c r="GJ51" s="57">
        <f t="shared" si="250"/>
        <v>0</v>
      </c>
      <c r="GK51" s="57">
        <f t="shared" si="251"/>
        <v>0</v>
      </c>
      <c r="GL51" s="1029">
        <f t="shared" si="405"/>
        <v>0</v>
      </c>
      <c r="GM51" s="57">
        <f t="shared" si="406"/>
        <v>0</v>
      </c>
      <c r="GN51" s="171" t="str">
        <f t="shared" si="407"/>
        <v/>
      </c>
      <c r="GO51" s="57">
        <f t="shared" si="252"/>
        <v>0</v>
      </c>
      <c r="GP51" s="57">
        <f>IF(OR(AND(GD$6=1,$L51=0),AND(GD$6=2,$K51=2,$G51=1)),0,IF(AND(GF$9=2,(OR($F51&gt;1,$K51=1,AND($L51=80,OR($N51=1,AND($N51=2,'#BerechnungDBE'!$AL42&gt;0)))))),IF(GD$4&gt;=$AD$126,0,GN51),IF(GF$9=3,IF(OR(GD$4&gt;=$AD$127,AND($G51=1,$J51=2,GD$6=2),AND(GD$6=1,$N51&lt;&gt;1)),0,IF(GH51&lt;=120,GN51,IF(GD$4&lt;$AD$124,IF($F51=1,60/GF$4*GF$6,60/GF$4*GF$7),IF($F51=1,120/GF$4*GF$6,120/GF$4*GF$7)))),IF(OR($F51=3,$G51=2),IF(OR(AND(GD$4&gt;=$AD$119,$C51=2),AND(GD$4&gt;=$AF$119,$C51=1)),0,IF(GH51&lt;=60,GN51,60/GF$4*GF$7)),IF(AND($F51=2,$G51=1),GN51,0)))))</f>
        <v>0</v>
      </c>
      <c r="GQ51" s="57" t="str">
        <f t="shared" si="76"/>
        <v/>
      </c>
      <c r="GR51" s="57" t="str">
        <f t="shared" si="408"/>
        <v/>
      </c>
      <c r="GS51" s="713">
        <f>'org. Düngung 22'!BD50</f>
        <v>0</v>
      </c>
      <c r="GT51" s="57"/>
      <c r="GU51" s="57"/>
      <c r="GV51" s="57">
        <f t="shared" si="78"/>
        <v>0</v>
      </c>
      <c r="GW51" s="57">
        <f t="shared" si="253"/>
        <v>0</v>
      </c>
      <c r="GX51" s="57">
        <f t="shared" si="254"/>
        <v>0</v>
      </c>
      <c r="GY51" s="57">
        <f t="shared" si="255"/>
        <v>0</v>
      </c>
      <c r="GZ51" s="57">
        <f t="shared" si="256"/>
        <v>0</v>
      </c>
      <c r="HA51" s="1029">
        <f t="shared" si="409"/>
        <v>0</v>
      </c>
      <c r="HB51" s="57">
        <f t="shared" si="410"/>
        <v>0</v>
      </c>
      <c r="HC51" s="171" t="str">
        <f t="shared" si="411"/>
        <v/>
      </c>
      <c r="HD51" s="57">
        <f t="shared" si="257"/>
        <v>0</v>
      </c>
      <c r="HE51" s="57">
        <f>IF(OR(AND(GS$6=1,$L51=0),AND(GS$6=2,$K51=2,$G51=1)),0,IF(AND(GU$9=2,(OR($F51&gt;1,$K51=1,AND($L51=80,OR($N51=1,AND($N51=2,'#BerechnungDBE'!$AL42&gt;0)))))),IF(GS$4&gt;=$AD$126,0,HC51),IF(GU$9=3,IF(OR(GS$4&gt;=$AD$127,AND($G51=1,$J51=2,GS$6=2),AND(GS$6=1,$N51&lt;&gt;1)),0,IF(GW51&lt;=120,HC51,IF(GS$4&lt;$AD$124,IF($F51=1,60/GU$4*GU$6,60/GU$4*GU$7),IF($F51=1,120/GU$4*GU$6,120/GU$4*GU$7)))),IF(OR($F51=3,$G51=2),IF(OR(AND(GS$4&gt;=$AD$119,$C51=2),AND(GS$4&gt;=$AF$119,$C51=1)),0,IF(GW51&lt;=60,HC51,60/GU$4*GU$7)),IF(AND($F51=2,$G51=1),HC51,0)))))</f>
        <v>0</v>
      </c>
      <c r="HF51" s="57" t="str">
        <f t="shared" si="82"/>
        <v/>
      </c>
      <c r="HG51" s="57" t="str">
        <f t="shared" si="412"/>
        <v/>
      </c>
      <c r="HH51" s="713">
        <f>'org. Düngung 22'!BH50</f>
        <v>0</v>
      </c>
      <c r="HI51" s="57"/>
      <c r="HJ51" s="57"/>
      <c r="HK51" s="57">
        <f t="shared" si="84"/>
        <v>0</v>
      </c>
      <c r="HL51" s="57">
        <f t="shared" si="258"/>
        <v>0</v>
      </c>
      <c r="HM51" s="57">
        <f t="shared" si="259"/>
        <v>0</v>
      </c>
      <c r="HN51" s="57">
        <f t="shared" si="260"/>
        <v>0</v>
      </c>
      <c r="HO51" s="57">
        <f t="shared" si="261"/>
        <v>0</v>
      </c>
      <c r="HP51" s="1029">
        <f t="shared" si="413"/>
        <v>0</v>
      </c>
      <c r="HQ51" s="57">
        <f t="shared" si="414"/>
        <v>0</v>
      </c>
      <c r="HR51" s="171" t="str">
        <f t="shared" si="415"/>
        <v/>
      </c>
      <c r="HS51" s="57">
        <f t="shared" si="262"/>
        <v>0</v>
      </c>
      <c r="HT51" s="57">
        <f>IF(OR(AND(HH$6=1,$L51=0),AND(HH$6=2,$K51=2,$G51=1)),0,IF(AND(HJ$9=2,(OR($F51&gt;1,$K51=1,AND($L51=80,OR($N51=1,AND($N51=2,'#BerechnungDBE'!$AL42&gt;0)))))),IF(HH$4&gt;=$AD$126,0,HR51),IF(HJ$9=3,IF(OR(HH$4&gt;=$AD$127,AND($G51=1,$J51=2,HH$6=2),AND(HH$6=1,$N51&lt;&gt;1)),0,IF(HL51&lt;=120,HR51,IF(HH$4&lt;$AD$124,IF($F51=1,60/HJ$4*HJ$6,60/HJ$4*HJ$7),IF($F51=1,120/HJ$4*HJ$6,120/HJ$4*HJ$7)))),IF(OR($F51=3,$G51=2),IF(OR(AND(HH$4&gt;=$AD$119,$C51=2),AND(HH$4&gt;=$AF$119,$C51=1)),0,IF(HL51&lt;=60,HR51,60/HJ$4*HJ$7)),IF(AND($F51=2,$G51=1),HR51,0)))))</f>
        <v>0</v>
      </c>
      <c r="HU51" s="57" t="str">
        <f t="shared" si="88"/>
        <v/>
      </c>
      <c r="HV51" s="57" t="str">
        <f t="shared" si="416"/>
        <v/>
      </c>
      <c r="HW51" s="713">
        <f>'org. Düngung 22'!BL50</f>
        <v>0</v>
      </c>
      <c r="HX51" s="57"/>
      <c r="HY51" s="57"/>
      <c r="HZ51" s="57">
        <f t="shared" si="90"/>
        <v>0</v>
      </c>
      <c r="IA51" s="57">
        <f t="shared" si="263"/>
        <v>0</v>
      </c>
      <c r="IB51" s="57">
        <f t="shared" si="264"/>
        <v>0</v>
      </c>
      <c r="IC51" s="57">
        <f t="shared" si="265"/>
        <v>0</v>
      </c>
      <c r="ID51" s="57">
        <f t="shared" si="266"/>
        <v>0</v>
      </c>
      <c r="IE51" s="1029">
        <f t="shared" si="417"/>
        <v>0</v>
      </c>
      <c r="IF51" s="57">
        <f t="shared" si="418"/>
        <v>0</v>
      </c>
      <c r="IG51" s="171" t="str">
        <f t="shared" si="419"/>
        <v/>
      </c>
      <c r="IH51" s="57">
        <f t="shared" si="267"/>
        <v>0</v>
      </c>
      <c r="II51" s="57">
        <f>IF(OR(AND(HW$6=1,$L51=0),AND(HW$6=2,$K51=2,$G51=1)),0,IF(AND(HY$9=2,(OR($F51&gt;1,$K51=1,AND($L51=80,OR($N51=1,AND($N51=2,'#BerechnungDBE'!$AL42&gt;0)))))),IF(HW$4&gt;=$AD$126,0,IG51),IF(HY$9=3,IF(OR(HW$4&gt;=$AD$127,AND($G51=1,$J51=2,HW$6=2),AND(HW$6=1,$N51&lt;&gt;1)),0,IF(IA51&lt;=120,IG51,IF(HW$4&lt;$AD$124,IF($F51=1,60/HY$4*HY$6,60/HY$4*HY$7),IF($F51=1,120/HY$4*HY$6,120/HY$4*HY$7)))),IF(OR($F51=3,$G51=2),IF(OR(AND(HW$4&gt;=$AD$119,$C51=2),AND(HW$4&gt;=$AF$119,$C51=1)),0,IF(IA51&lt;=60,IG51,60/HY$4*HY$7)),IF(AND($F51=2,$G51=1),IG51,0)))))</f>
        <v>0</v>
      </c>
      <c r="IJ51" s="57" t="str">
        <f t="shared" si="94"/>
        <v/>
      </c>
      <c r="IK51" s="57" t="str">
        <f t="shared" si="420"/>
        <v/>
      </c>
      <c r="IL51" s="713">
        <f>'org. Düngung 22'!BP50</f>
        <v>0</v>
      </c>
      <c r="IM51" s="57"/>
      <c r="IN51" s="57"/>
      <c r="IO51" s="57">
        <f t="shared" si="96"/>
        <v>0</v>
      </c>
      <c r="IP51" s="57">
        <f t="shared" si="268"/>
        <v>0</v>
      </c>
      <c r="IQ51" s="57">
        <f t="shared" si="269"/>
        <v>0</v>
      </c>
      <c r="IR51" s="57">
        <f t="shared" si="270"/>
        <v>0</v>
      </c>
      <c r="IS51" s="57">
        <f t="shared" si="271"/>
        <v>0</v>
      </c>
      <c r="IT51" s="1029">
        <f t="shared" si="421"/>
        <v>0</v>
      </c>
      <c r="IU51" s="57">
        <f t="shared" si="422"/>
        <v>0</v>
      </c>
      <c r="IV51" s="171" t="str">
        <f t="shared" si="423"/>
        <v/>
      </c>
      <c r="IW51" s="57">
        <f t="shared" si="272"/>
        <v>0</v>
      </c>
      <c r="IX51" s="57">
        <f>IF(OR(AND(IL$6=1,$L51=0),AND(IL$6=2,$K51=2,$G51=1)),0,IF(AND(IN$9=2,(OR($F51&gt;1,$K51=1,AND($L51=80,OR($N51=1,AND($N51=2,'#BerechnungDBE'!$AL42&gt;0)))))),IF(IL$4&gt;=$AD$126,0,IV51),IF(IN$9=3,IF(OR(IL$4&gt;=$AD$127,AND($G51=1,$J51=2,IL$6=2),AND(IL$6=1,$N51&lt;&gt;1)),0,IF(IP51&lt;=120,IV51,IF(IL$4&lt;$AD$124,IF($F51=1,60/IN$4*IN$6,60/IN$4*IN$7),IF($F51=1,120/IN$4*IN$6,120/IN$4*IN$7)))),IF(OR($F51=3,$G51=2),IF(OR(AND(IL$4&gt;=$AD$119,$C51=2),AND(IL$4&gt;=$AF$119,$C51=1)),0,IF(IP51&lt;=60,IV51,60/IN$4*IN$7)),IF(AND($F51=2,$G51=1),IV51,0)))))</f>
        <v>0</v>
      </c>
      <c r="IY51" s="57" t="str">
        <f t="shared" si="100"/>
        <v/>
      </c>
      <c r="IZ51" s="57" t="str">
        <f t="shared" si="424"/>
        <v/>
      </c>
      <c r="JA51" s="713">
        <f>'org. Düngung 22'!BT50</f>
        <v>0</v>
      </c>
      <c r="JB51" s="57"/>
      <c r="JC51" s="57"/>
      <c r="JD51" s="57">
        <f t="shared" si="102"/>
        <v>0</v>
      </c>
      <c r="JE51" s="57">
        <f t="shared" si="273"/>
        <v>0</v>
      </c>
      <c r="JF51" s="57">
        <f t="shared" si="274"/>
        <v>0</v>
      </c>
      <c r="JG51" s="57">
        <f t="shared" si="275"/>
        <v>0</v>
      </c>
      <c r="JH51" s="57">
        <f t="shared" si="276"/>
        <v>0</v>
      </c>
      <c r="JI51" s="1029">
        <f t="shared" si="425"/>
        <v>0</v>
      </c>
      <c r="JJ51" s="57">
        <f t="shared" si="426"/>
        <v>0</v>
      </c>
      <c r="JK51" s="171" t="str">
        <f t="shared" si="427"/>
        <v/>
      </c>
      <c r="JL51" s="57">
        <f t="shared" si="277"/>
        <v>0</v>
      </c>
      <c r="JM51" s="57">
        <f>IF(OR(AND(JA$6=1,$L51=0),AND(JA$6=2,$K51=2,$G51=1)),0,IF(AND(JC$9=2,(OR($F51&gt;1,$K51=1,AND($L51=80,OR($N51=1,AND($N51=2,'#BerechnungDBE'!$AL42&gt;0)))))),IF(JA$4&gt;=$AD$126,0,JK51),IF(JC$9=3,IF(OR(JA$4&gt;=$AD$127,AND($G51=1,$J51=2,JA$6=2),AND(JA$6=1,$N51&lt;&gt;1)),0,IF(JE51&lt;=120,JK51,IF(JA$4&lt;$AD$124,IF($F51=1,60/JC$4*JC$6,60/JC$4*JC$7),IF($F51=1,120/JC$4*JC$6,120/JC$4*JC$7)))),IF(OR($F51=3,$G51=2),IF(OR(AND(JA$4&gt;=$AD$119,$C51=2),AND(JA$4&gt;=$AF$119,$C51=1)),0,IF(JE51&lt;=60,JK51,60/JC$4*JC$7)),IF(AND($F51=2,$G51=1),JK51,0)))))</f>
        <v>0</v>
      </c>
      <c r="JN51" s="57" t="str">
        <f t="shared" si="106"/>
        <v/>
      </c>
      <c r="JO51" s="57" t="str">
        <f t="shared" si="428"/>
        <v/>
      </c>
      <c r="JP51" s="713">
        <f>'org. Düngung 22'!BX50</f>
        <v>0</v>
      </c>
      <c r="JQ51" s="57"/>
      <c r="JR51" s="57"/>
      <c r="JS51" s="57">
        <f t="shared" si="108"/>
        <v>0</v>
      </c>
      <c r="JT51" s="57">
        <f t="shared" si="278"/>
        <v>0</v>
      </c>
      <c r="JU51" s="57">
        <f t="shared" si="279"/>
        <v>0</v>
      </c>
      <c r="JV51" s="57">
        <f t="shared" si="280"/>
        <v>0</v>
      </c>
      <c r="JW51" s="57">
        <f t="shared" si="281"/>
        <v>0</v>
      </c>
      <c r="JX51" s="1029">
        <f t="shared" si="429"/>
        <v>0</v>
      </c>
      <c r="JY51" s="57">
        <f t="shared" si="430"/>
        <v>0</v>
      </c>
      <c r="JZ51" s="171" t="str">
        <f t="shared" si="431"/>
        <v/>
      </c>
      <c r="KA51" s="57">
        <f t="shared" si="282"/>
        <v>0</v>
      </c>
      <c r="KB51" s="57">
        <f>IF(OR(AND(JP$6=1,$L51=0),AND(JP$6=2,$K51=2,$G51=1)),0,IF(AND(JR$9=2,(OR($F51&gt;1,$K51=1,AND($L51=80,OR($N51=1,AND($N51=2,'#BerechnungDBE'!$AL42&gt;0)))))),IF(JP$4&gt;=$AD$126,0,JZ51),IF(JR$9=3,IF(OR(JP$4&gt;=$AD$127,AND($G51=1,$J51=2,JP$6=2),AND(JP$6=1,$N51&lt;&gt;1)),0,IF(JT51&lt;=120,JZ51,IF(JP$4&lt;$AD$124,IF($F51=1,60/JR$4*JR$6,60/JR$4*JR$7),IF($F51=1,120/JR$4*JR$6,120/JR$4*JR$7)))),IF(OR($F51=3,$G51=2),IF(OR(AND(JP$4&gt;=$AD$119,$C51=2),AND(JP$4&gt;=$AF$119,$C51=1)),0,IF(JT51&lt;=60,JZ51,60/JR$4*JR$7)),IF(AND($F51=2,$G51=1),JZ51,0)))))</f>
        <v>0</v>
      </c>
      <c r="KC51" s="57" t="str">
        <f t="shared" si="112"/>
        <v/>
      </c>
      <c r="KD51" s="57" t="str">
        <f t="shared" si="432"/>
        <v/>
      </c>
      <c r="KE51" s="713">
        <f>'org. Düngung 22'!CB50</f>
        <v>0</v>
      </c>
      <c r="KF51" s="57"/>
      <c r="KG51" s="57"/>
      <c r="KH51" s="57">
        <f t="shared" si="114"/>
        <v>0</v>
      </c>
      <c r="KI51" s="57">
        <f t="shared" si="283"/>
        <v>0</v>
      </c>
      <c r="KJ51" s="57">
        <f t="shared" si="284"/>
        <v>0</v>
      </c>
      <c r="KK51" s="57">
        <f t="shared" si="285"/>
        <v>0</v>
      </c>
      <c r="KL51" s="57">
        <f t="shared" si="286"/>
        <v>0</v>
      </c>
      <c r="KM51" s="1029">
        <f t="shared" si="433"/>
        <v>0</v>
      </c>
      <c r="KN51" s="57">
        <f t="shared" si="434"/>
        <v>0</v>
      </c>
      <c r="KO51" s="171" t="str">
        <f t="shared" si="435"/>
        <v/>
      </c>
      <c r="KP51" s="57">
        <f t="shared" si="287"/>
        <v>0</v>
      </c>
      <c r="KQ51" s="57">
        <f>IF(OR(AND(KE$6=1,$L51=0),AND(KE$6=2,$K51=2,$G51=1)),0,IF(AND(KG$9=2,(OR($F51&gt;1,$K51=1,AND($L51=80,OR($N51=1,AND($N51=2,'#BerechnungDBE'!$AL42&gt;0)))))),IF(KE$4&gt;=$AD$126,0,KO51),IF(KG$9=3,IF(OR(KE$4&gt;=$AD$127,AND($G51=1,$J51=2,KE$6=2),AND(KE$6=1,$N51&lt;&gt;1)),0,IF(KI51&lt;=120,KO51,IF(KE$4&lt;$AD$124,IF($F51=1,60/KG$4*KG$6,60/KG$4*KG$7),IF($F51=1,120/KG$4*KG$6,120/KG$4*KG$7)))),IF(OR($F51=3,$G51=2),IF(OR(AND(KE$4&gt;=$AD$119,$C51=2),AND(KE$4&gt;=$AF$119,$C51=1)),0,IF(KI51&lt;=60,KO51,60/KG$4*KG$7)),IF(AND($F51=2,$G51=1),KO51,0)))))</f>
        <v>0</v>
      </c>
      <c r="KR51" s="57" t="str">
        <f t="shared" si="118"/>
        <v/>
      </c>
      <c r="KS51" s="57" t="str">
        <f t="shared" si="436"/>
        <v/>
      </c>
      <c r="KT51" s="713">
        <f>'org. Düngung 22'!CF50</f>
        <v>0</v>
      </c>
      <c r="KU51" s="57"/>
      <c r="KV51" s="57"/>
      <c r="KW51" s="57">
        <f t="shared" si="120"/>
        <v>0</v>
      </c>
      <c r="KX51" s="57">
        <f t="shared" si="288"/>
        <v>0</v>
      </c>
      <c r="KY51" s="57">
        <f t="shared" si="289"/>
        <v>0</v>
      </c>
      <c r="KZ51" s="57">
        <f t="shared" si="290"/>
        <v>0</v>
      </c>
      <c r="LA51" s="57">
        <f t="shared" si="291"/>
        <v>0</v>
      </c>
      <c r="LB51" s="1029">
        <f t="shared" si="437"/>
        <v>0</v>
      </c>
      <c r="LC51" s="57">
        <f t="shared" si="438"/>
        <v>0</v>
      </c>
      <c r="LD51" s="171" t="str">
        <f t="shared" si="439"/>
        <v/>
      </c>
      <c r="LE51" s="57">
        <f t="shared" si="292"/>
        <v>0</v>
      </c>
      <c r="LF51" s="57">
        <f>IF(OR(AND(KT$6=1,$L51=0),AND(KT$6=2,$K51=2,$G51=1)),0,IF(AND(KV$9=2,(OR($F51&gt;1,$K51=1,AND($L51=80,OR($N51=1,AND($N51=2,'#BerechnungDBE'!$AL42&gt;0)))))),IF(KT$4&gt;=$AD$126,0,LD51),IF(KV$9=3,IF(OR(KT$4&gt;=$AD$127,AND($G51=1,$J51=2,KT$6=2),AND(KT$6=1,$N51&lt;&gt;1)),0,IF(KX51&lt;=120,LD51,IF(KT$4&lt;$AD$124,IF($F51=1,60/KV$4*KV$6,60/KV$4*KV$7),IF($F51=1,120/KV$4*KV$6,120/KV$4*KV$7)))),IF(OR($F51=3,$G51=2),IF(OR(AND(KT$4&gt;=$AD$119,$C51=2),AND(KT$4&gt;=$AF$119,$C51=1)),0,IF(KX51&lt;=60,LD51,60/KV$4*KV$7)),IF(AND($F51=2,$G51=1),LD51,0)))))</f>
        <v>0</v>
      </c>
      <c r="LG51" s="57" t="str">
        <f t="shared" si="124"/>
        <v/>
      </c>
      <c r="LH51" s="57" t="str">
        <f t="shared" si="440"/>
        <v/>
      </c>
      <c r="LI51" s="713">
        <f>'org. Düngung 22'!CJ50</f>
        <v>0</v>
      </c>
      <c r="LJ51" s="57"/>
      <c r="LK51" s="57"/>
      <c r="LL51" s="57">
        <f t="shared" si="126"/>
        <v>0</v>
      </c>
      <c r="LM51" s="57">
        <f t="shared" si="293"/>
        <v>0</v>
      </c>
      <c r="LN51" s="57">
        <f t="shared" si="294"/>
        <v>0</v>
      </c>
      <c r="LO51" s="57">
        <f t="shared" si="295"/>
        <v>0</v>
      </c>
      <c r="LP51" s="57">
        <f t="shared" si="296"/>
        <v>0</v>
      </c>
      <c r="LQ51" s="1029">
        <f t="shared" si="441"/>
        <v>0</v>
      </c>
      <c r="LR51" s="57">
        <f t="shared" si="442"/>
        <v>0</v>
      </c>
      <c r="LS51" s="171" t="str">
        <f t="shared" si="443"/>
        <v/>
      </c>
      <c r="LT51" s="57">
        <f t="shared" si="297"/>
        <v>0</v>
      </c>
      <c r="LU51" s="57">
        <f>IF(OR(AND(LI$6=1,$L51=0),AND(LI$6=2,$K51=2,$G51=1)),0,IF(AND(LK$9=2,(OR($F51&gt;1,$K51=1,AND($L51=80,OR($N51=1,AND($N51=2,'#BerechnungDBE'!$AL42&gt;0)))))),IF(LI$4&gt;=$AD$126,0,LS51),IF(LK$9=3,IF(OR(LI$4&gt;=$AD$127,AND($G51=1,$J51=2,LI$6=2),AND(LI$6=1,$N51&lt;&gt;1)),0,IF(LM51&lt;=120,LS51,IF(LI$4&lt;$AD$124,IF($F51=1,60/LK$4*LK$6,60/LK$4*LK$7),IF($F51=1,120/LK$4*LK$6,120/LK$4*LK$7)))),IF(OR($F51=3,$G51=2),IF(OR(AND(LI$4&gt;=$AD$119,$C51=2),AND(LI$4&gt;=$AF$119,$C51=1)),0,IF(LM51&lt;=60,LS51,60/LK$4*LK$7)),IF(AND($F51=2,$G51=1),LS51,0)))))</f>
        <v>0</v>
      </c>
      <c r="LV51" s="57" t="str">
        <f t="shared" si="130"/>
        <v/>
      </c>
      <c r="LW51" s="57" t="str">
        <f t="shared" si="444"/>
        <v/>
      </c>
      <c r="LX51" s="713">
        <f>'org. Düngung 22'!CN50</f>
        <v>0</v>
      </c>
      <c r="LY51" s="57"/>
      <c r="LZ51" s="57"/>
      <c r="MA51" s="57">
        <f t="shared" si="132"/>
        <v>0</v>
      </c>
      <c r="MB51" s="57">
        <f t="shared" si="298"/>
        <v>0</v>
      </c>
      <c r="MC51" s="57">
        <f t="shared" si="299"/>
        <v>0</v>
      </c>
      <c r="MD51" s="57">
        <f t="shared" si="300"/>
        <v>0</v>
      </c>
      <c r="ME51" s="57">
        <f t="shared" si="301"/>
        <v>0</v>
      </c>
      <c r="MF51" s="1029">
        <f t="shared" si="445"/>
        <v>0</v>
      </c>
      <c r="MG51" s="57">
        <f t="shared" si="446"/>
        <v>0</v>
      </c>
      <c r="MH51" s="171" t="str">
        <f t="shared" si="447"/>
        <v/>
      </c>
      <c r="MI51" s="57">
        <f t="shared" si="302"/>
        <v>0</v>
      </c>
      <c r="MJ51" s="57">
        <f>IF(OR(AND(LX$6=1,$L51=0),AND(LX$6=2,$K51=2,$G51=1)),0,IF(AND(LZ$9=2,(OR($F51&gt;1,$K51=1,AND($L51=80,OR($N51=1,AND($N51=2,'#BerechnungDBE'!$AL42&gt;0)))))),IF(LX$4&gt;=$AD$126,0,MH51),IF(LZ$9=3,IF(OR(LX$4&gt;=$AD$127,AND($G51=1,$J51=2,LX$6=2),AND(LX$6=1,$N51&lt;&gt;1)),0,IF(MB51&lt;=120,MH51,IF(LX$4&lt;$AD$124,IF($F51=1,60/LZ$4*LZ$6,60/LZ$4*LZ$7),IF($F51=1,120/LZ$4*LZ$6,120/LZ$4*LZ$7)))),IF(OR($F51=3,$G51=2),IF(OR(AND(LX$4&gt;=$AD$119,$C51=2),AND(LX$4&gt;=$AF$119,$C51=1)),0,IF(MB51&lt;=60,MH51,60/LZ$4*LZ$7)),IF(AND($F51=2,$G51=1),MH51,0)))))</f>
        <v>0</v>
      </c>
      <c r="MK51" s="57" t="str">
        <f t="shared" si="136"/>
        <v/>
      </c>
      <c r="ML51" s="57" t="str">
        <f t="shared" si="448"/>
        <v/>
      </c>
      <c r="MM51" s="713">
        <f>'org. Düngung 22'!CR50</f>
        <v>0</v>
      </c>
      <c r="MN51" s="57"/>
      <c r="MO51" s="57"/>
      <c r="MP51" s="57">
        <f t="shared" si="138"/>
        <v>0</v>
      </c>
      <c r="MQ51" s="57">
        <f t="shared" si="303"/>
        <v>0</v>
      </c>
      <c r="MR51" s="57">
        <f t="shared" si="304"/>
        <v>0</v>
      </c>
      <c r="MS51" s="57">
        <f t="shared" si="305"/>
        <v>0</v>
      </c>
      <c r="MT51" s="57">
        <f t="shared" si="306"/>
        <v>0</v>
      </c>
      <c r="MU51" s="1029">
        <f t="shared" si="449"/>
        <v>0</v>
      </c>
      <c r="MV51" s="57">
        <f t="shared" si="450"/>
        <v>0</v>
      </c>
      <c r="MW51" s="171" t="str">
        <f t="shared" si="451"/>
        <v/>
      </c>
      <c r="MX51" s="57">
        <f t="shared" si="307"/>
        <v>0</v>
      </c>
      <c r="MY51" s="57">
        <f>IF(OR(AND(MM$6=1,$L51=0),AND(MM$6=2,$K51=2,$G51=1)),0,IF(AND(MO$9=2,(OR($F51&gt;1,$K51=1,AND($L51=80,OR($N51=1,AND($N51=2,'#BerechnungDBE'!$AL42&gt;0)))))),IF(MM$4&gt;=$AD$126,0,MW51),IF(MO$9=3,IF(OR(MM$4&gt;=$AD$127,AND($G51=1,$J51=2,MM$6=2),AND(MM$6=1,$N51&lt;&gt;1)),0,IF(MQ51&lt;=120,MW51,IF(MM$4&lt;$AD$124,IF($F51=1,60/MO$4*MO$6,60/MO$4*MO$7),IF($F51=1,120/MO$4*MO$6,120/MO$4*MO$7)))),IF(OR($F51=3,$G51=2),IF(OR(AND(MM$4&gt;=$AD$119,$C51=2),AND(MM$4&gt;=$AF$119,$C51=1)),0,IF(MQ51&lt;=60,MW51,60/MO$4*MO$7)),IF(AND($F51=2,$G51=1),MW51,0)))))</f>
        <v>0</v>
      </c>
      <c r="MZ51" s="57" t="str">
        <f t="shared" si="142"/>
        <v/>
      </c>
      <c r="NA51" s="57" t="str">
        <f t="shared" si="452"/>
        <v/>
      </c>
      <c r="NB51" s="713">
        <f>'org. Düngung 22'!CV50</f>
        <v>0</v>
      </c>
      <c r="NC51" s="57"/>
      <c r="ND51" s="57"/>
      <c r="NE51" s="57">
        <f t="shared" si="144"/>
        <v>0</v>
      </c>
      <c r="NF51" s="57">
        <f t="shared" si="308"/>
        <v>0</v>
      </c>
      <c r="NG51" s="57">
        <f t="shared" si="309"/>
        <v>0</v>
      </c>
      <c r="NH51" s="57">
        <f t="shared" si="310"/>
        <v>0</v>
      </c>
      <c r="NI51" s="57">
        <f t="shared" si="311"/>
        <v>0</v>
      </c>
      <c r="NJ51" s="1029">
        <f t="shared" si="453"/>
        <v>0</v>
      </c>
      <c r="NK51" s="57">
        <f t="shared" si="454"/>
        <v>0</v>
      </c>
      <c r="NL51" s="171" t="str">
        <f t="shared" si="455"/>
        <v/>
      </c>
      <c r="NM51" s="57">
        <f t="shared" si="312"/>
        <v>0</v>
      </c>
      <c r="NN51" s="57">
        <f>IF(OR(AND(NB$6=1,$L51=0),AND(NB$6=2,$K51=2,$G51=1)),0,IF(AND(ND$9=2,(OR($F51&gt;1,$K51=1,AND($L51=80,OR($N51=1,AND($N51=2,'#BerechnungDBE'!$AL42&gt;0)))))),IF(NB$4&gt;=$AD$126,0,NL51),IF(ND$9=3,IF(OR(NB$4&gt;=$AD$127,AND($G51=1,$J51=2,NB$6=2),AND(NB$6=1,$N51&lt;&gt;1)),0,IF(NF51&lt;=120,NL51,IF(NB$4&lt;$AD$124,IF($F51=1,60/ND$4*ND$6,60/ND$4*ND$7),IF($F51=1,120/ND$4*ND$6,120/ND$4*ND$7)))),IF(OR($F51=3,$G51=2),IF(OR(AND(NB$4&gt;=$AD$119,$C51=2),AND(NB$4&gt;=$AF$119,$C51=1)),0,IF(NF51&lt;=60,NL51,60/ND$4*ND$7)),IF(AND($F51=2,$G51=1),NL51,0)))))</f>
        <v>0</v>
      </c>
      <c r="NO51" s="57" t="str">
        <f t="shared" si="148"/>
        <v/>
      </c>
      <c r="NP51" s="57" t="str">
        <f t="shared" si="456"/>
        <v/>
      </c>
      <c r="NQ51" s="713">
        <f>'org. Düngung 22'!CZ50</f>
        <v>0</v>
      </c>
      <c r="NR51" s="57"/>
      <c r="NS51" s="57"/>
      <c r="NT51" s="57">
        <f t="shared" si="150"/>
        <v>0</v>
      </c>
      <c r="NU51" s="57">
        <f t="shared" si="313"/>
        <v>0</v>
      </c>
      <c r="NV51" s="57">
        <f t="shared" si="314"/>
        <v>0</v>
      </c>
      <c r="NW51" s="57">
        <f t="shared" si="315"/>
        <v>0</v>
      </c>
      <c r="NX51" s="57">
        <f t="shared" si="316"/>
        <v>0</v>
      </c>
      <c r="NY51" s="1029">
        <f t="shared" si="457"/>
        <v>0</v>
      </c>
      <c r="NZ51" s="57">
        <f t="shared" si="458"/>
        <v>0</v>
      </c>
      <c r="OA51" s="171" t="str">
        <f t="shared" si="459"/>
        <v/>
      </c>
      <c r="OB51" s="57">
        <f t="shared" si="317"/>
        <v>0</v>
      </c>
      <c r="OC51" s="57">
        <f>IF(OR(AND(NQ$6=1,$L51=0),AND(NQ$6=2,$K51=2,$G51=1)),0,IF(AND(NS$9=2,(OR($F51&gt;1,$K51=1,AND($L51=80,OR($N51=1,AND($N51=2,'#BerechnungDBE'!$AL42&gt;0)))))),IF(NQ$4&gt;=$AD$126,0,OA51),IF(NS$9=3,IF(OR(NQ$4&gt;=$AD$127,AND($G51=1,$J51=2,NQ$6=2),AND(NQ$6=1,$N51&lt;&gt;1)),0,IF(NU51&lt;=120,OA51,IF(NQ$4&lt;$AD$124,IF($F51=1,60/NS$4*NS$6,60/NS$4*NS$7),IF($F51=1,120/NS$4*NS$6,120/NS$4*NS$7)))),IF(OR($F51=3,$G51=2),IF(OR(AND(NQ$4&gt;=$AD$119,$C51=2),AND(NQ$4&gt;=$AF$119,$C51=1)),0,IF(NU51&lt;=60,OA51,60/NS$4*NS$7)),IF(AND($F51=2,$G51=1),OA51,0)))))</f>
        <v>0</v>
      </c>
      <c r="OD51" s="57" t="str">
        <f t="shared" si="154"/>
        <v/>
      </c>
      <c r="OE51" s="57" t="str">
        <f t="shared" si="460"/>
        <v/>
      </c>
      <c r="OF51" s="713">
        <f>'org. Düngung 22'!DD50</f>
        <v>0</v>
      </c>
      <c r="OG51" s="57"/>
      <c r="OH51" s="57"/>
      <c r="OI51" s="57">
        <f t="shared" si="156"/>
        <v>0</v>
      </c>
      <c r="OJ51" s="57">
        <f t="shared" si="318"/>
        <v>0</v>
      </c>
      <c r="OK51" s="57">
        <f t="shared" si="319"/>
        <v>0</v>
      </c>
      <c r="OL51" s="57">
        <f t="shared" si="320"/>
        <v>0</v>
      </c>
      <c r="OM51" s="57">
        <f t="shared" si="321"/>
        <v>0</v>
      </c>
      <c r="ON51" s="1029">
        <f t="shared" si="461"/>
        <v>0</v>
      </c>
      <c r="OO51" s="57">
        <f t="shared" si="462"/>
        <v>0</v>
      </c>
      <c r="OP51" s="171" t="str">
        <f t="shared" si="463"/>
        <v/>
      </c>
      <c r="OQ51" s="57">
        <f t="shared" si="322"/>
        <v>0</v>
      </c>
      <c r="OR51" s="57">
        <f>IF(OR(AND(OF$6=1,$L51=0),AND(OF$6=2,$K51=2,$G51=1)),0,IF(AND(OH$9=2,(OR($F51&gt;1,$K51=1,AND($L51=80,OR($N51=1,AND($N51=2,'#BerechnungDBE'!$AL42&gt;0)))))),IF(OF$4&gt;=$AD$126,0,OP51),IF(OH$9=3,IF(OR(OF$4&gt;=$AD$127,AND($G51=1,$J51=2,OF$6=2),AND(OF$6=1,$N51&lt;&gt;1)),0,IF(OJ51&lt;=120,OP51,IF(OF$4&lt;$AD$124,IF($F51=1,60/OH$4*OH$6,60/OH$4*OH$7),IF($F51=1,120/OH$4*OH$6,120/OH$4*OH$7)))),IF(OR($F51=3,$G51=2),IF(OR(AND(OF$4&gt;=$AD$119,$C51=2),AND(OF$4&gt;=$AF$119,$C51=1)),0,IF(OJ51&lt;=60,OP51,60/OH$4*OH$7)),IF(AND($F51=2,$G51=1),OP51,0)))))</f>
        <v>0</v>
      </c>
      <c r="OS51" s="57" t="str">
        <f t="shared" si="160"/>
        <v/>
      </c>
      <c r="OT51" s="57" t="str">
        <f t="shared" si="464"/>
        <v/>
      </c>
      <c r="OU51" s="713">
        <f>'org. Düngung 22'!DH50</f>
        <v>0</v>
      </c>
      <c r="OV51" s="57"/>
      <c r="OW51" s="57"/>
      <c r="OX51" s="57">
        <f t="shared" si="162"/>
        <v>0</v>
      </c>
      <c r="OY51" s="57">
        <f t="shared" si="323"/>
        <v>0</v>
      </c>
      <c r="OZ51" s="57">
        <f t="shared" si="324"/>
        <v>0</v>
      </c>
      <c r="PA51" s="57">
        <f t="shared" si="325"/>
        <v>0</v>
      </c>
      <c r="PB51" s="57">
        <f t="shared" si="326"/>
        <v>0</v>
      </c>
      <c r="PC51" s="1029">
        <f t="shared" si="465"/>
        <v>0</v>
      </c>
      <c r="PD51" s="57">
        <f t="shared" si="466"/>
        <v>0</v>
      </c>
      <c r="PE51" s="171" t="str">
        <f t="shared" si="467"/>
        <v/>
      </c>
      <c r="PF51" s="57">
        <f t="shared" si="327"/>
        <v>0</v>
      </c>
      <c r="PG51" s="57">
        <f>IF(OR(AND(OU$6=1,$L51=0),AND(OU$6=2,$K51=2,$G51=1)),0,IF(AND(OW$9=2,(OR($F51&gt;1,$K51=1,AND($L51=80,OR($N51=1,AND($N51=2,'#BerechnungDBE'!$AL42&gt;0)))))),IF(OU$4&gt;=$AD$126,0,PE51),IF(OW$9=3,IF(OR(OU$4&gt;=$AD$127,AND($G51=1,$J51=2,OU$6=2),AND(OU$6=1,$N51&lt;&gt;1)),0,IF(OY51&lt;=120,PE51,IF(OU$4&lt;$AD$124,IF($F51=1,60/OW$4*OW$6,60/OW$4*OW$7),IF($F51=1,120/OW$4*OW$6,120/OW$4*OW$7)))),IF(OR($F51=3,$G51=2),IF(OR(AND(OU$4&gt;=$AD$119,$C51=2),AND(OU$4&gt;=$AF$119,$C51=1)),0,IF(OY51&lt;=60,PE51,60/OW$4*OW$7)),IF(AND($F51=2,$G51=1),PE51,0)))))</f>
        <v>0</v>
      </c>
      <c r="PH51" s="57" t="str">
        <f t="shared" si="166"/>
        <v/>
      </c>
      <c r="PI51" s="57" t="str">
        <f t="shared" si="468"/>
        <v/>
      </c>
      <c r="PJ51" s="713">
        <f>'org. Düngung 22'!DL50</f>
        <v>0</v>
      </c>
      <c r="PK51" s="57"/>
      <c r="PL51" s="57"/>
      <c r="PM51" s="57">
        <f t="shared" si="168"/>
        <v>0</v>
      </c>
      <c r="PN51" s="57">
        <f t="shared" si="328"/>
        <v>0</v>
      </c>
      <c r="PO51" s="57">
        <f t="shared" si="329"/>
        <v>0</v>
      </c>
      <c r="PP51" s="57">
        <f t="shared" si="330"/>
        <v>0</v>
      </c>
      <c r="PQ51" s="57">
        <f t="shared" si="331"/>
        <v>0</v>
      </c>
      <c r="PR51" s="1029">
        <f t="shared" si="469"/>
        <v>0</v>
      </c>
      <c r="PS51" s="57">
        <f t="shared" si="470"/>
        <v>0</v>
      </c>
      <c r="PT51" s="171" t="str">
        <f t="shared" si="471"/>
        <v/>
      </c>
      <c r="PU51" s="57">
        <f t="shared" si="332"/>
        <v>0</v>
      </c>
      <c r="PV51" s="57">
        <f>IF(OR(AND(PJ$6=1,$L51=0),AND(PJ$6=2,$K51=2,$G51=1)),0,IF(AND(PL$9=2,(OR($F51&gt;1,$K51=1,AND($L51=80,OR($N51=1,AND($N51=2,'#BerechnungDBE'!$AL42&gt;0)))))),IF(PJ$4&gt;=$AD$126,0,PT51),IF(PL$9=3,IF(OR(PJ$4&gt;=$AD$127,AND($G51=1,$J51=2,PJ$6=2),AND(PJ$6=1,$N51&lt;&gt;1)),0,IF(PN51&lt;=120,PT51,IF(PJ$4&lt;$AD$124,IF($F51=1,60/PL$4*PL$6,60/PL$4*PL$7),IF($F51=1,120/PL$4*PL$6,120/PL$4*PL$7)))),IF(OR($F51=3,$G51=2),IF(OR(AND(PJ$4&gt;=$AD$119,$C51=2),AND(PJ$4&gt;=$AF$119,$C51=1)),0,IF(PN51&lt;=60,PT51,60/PL$4*PL$7)),IF(AND($F51=2,$G51=1),PT51,0)))))</f>
        <v>0</v>
      </c>
      <c r="PW51" s="57" t="str">
        <f t="shared" si="172"/>
        <v/>
      </c>
      <c r="PX51" s="57" t="str">
        <f t="shared" si="472"/>
        <v/>
      </c>
      <c r="PY51" s="713">
        <f>'org. Düngung 22'!DP50</f>
        <v>0</v>
      </c>
      <c r="PZ51" s="57"/>
      <c r="QA51" s="57"/>
      <c r="QB51" s="57">
        <f t="shared" si="174"/>
        <v>0</v>
      </c>
      <c r="QC51" s="57">
        <f t="shared" si="333"/>
        <v>0</v>
      </c>
      <c r="QD51" s="57">
        <f t="shared" si="334"/>
        <v>0</v>
      </c>
      <c r="QE51" s="57">
        <f t="shared" si="335"/>
        <v>0</v>
      </c>
      <c r="QF51" s="57">
        <f t="shared" si="336"/>
        <v>0</v>
      </c>
      <c r="QG51" s="1029">
        <f t="shared" si="473"/>
        <v>0</v>
      </c>
      <c r="QH51" s="57">
        <f t="shared" si="474"/>
        <v>0</v>
      </c>
      <c r="QI51" s="171" t="str">
        <f t="shared" si="475"/>
        <v/>
      </c>
      <c r="QJ51" s="57">
        <f t="shared" si="337"/>
        <v>0</v>
      </c>
      <c r="QK51" s="57">
        <f>IF(OR(AND(PY$6=1,$L51=0),AND(PY$6=2,$K51=2,$G51=1)),0,IF(AND(QA$9=2,(OR($F51&gt;1,$K51=1,AND($L51=80,OR($N51=1,AND($N51=2,'#BerechnungDBE'!$AL42&gt;0)))))),IF(PY$4&gt;=$AD$126,0,QI51),IF(QA$9=3,IF(OR(PY$4&gt;=$AD$127,AND($G51=1,$J51=2,PY$6=2),AND(PY$6=1,$N51&lt;&gt;1)),0,IF(QC51&lt;=120,QI51,IF(PY$4&lt;$AD$124,IF($F51=1,60/QA$4*QA$6,60/QA$4*QA$7),IF($F51=1,120/QA$4*QA$6,120/QA$4*QA$7)))),IF(OR($F51=3,$G51=2),IF(OR(AND(PY$4&gt;=$AD$119,$C51=2),AND(PY$4&gt;=$AF$119,$C51=1)),0,IF(QC51&lt;=60,QI51,60/QA$4*QA$7)),IF(AND($F51=2,$G51=1),QI51,0)))))</f>
        <v>0</v>
      </c>
      <c r="QL51" s="57" t="str">
        <f t="shared" si="178"/>
        <v/>
      </c>
      <c r="QM51" s="57" t="str">
        <f t="shared" si="476"/>
        <v/>
      </c>
      <c r="QN51" s="713">
        <f>'org. Düngung 22'!DT50</f>
        <v>0</v>
      </c>
      <c r="QO51" s="57"/>
      <c r="QP51" s="57"/>
      <c r="QQ51" s="57">
        <f t="shared" si="180"/>
        <v>0</v>
      </c>
      <c r="QR51" s="57">
        <f t="shared" si="338"/>
        <v>0</v>
      </c>
      <c r="QS51" s="57">
        <f t="shared" si="339"/>
        <v>0</v>
      </c>
      <c r="QT51" s="57">
        <f t="shared" si="340"/>
        <v>0</v>
      </c>
      <c r="QU51" s="57">
        <f t="shared" si="341"/>
        <v>0</v>
      </c>
      <c r="QV51" s="1029">
        <f t="shared" si="477"/>
        <v>0</v>
      </c>
      <c r="QW51" s="57">
        <f t="shared" si="478"/>
        <v>0</v>
      </c>
      <c r="QX51" s="171" t="str">
        <f t="shared" si="479"/>
        <v/>
      </c>
      <c r="QY51" s="57">
        <f t="shared" si="342"/>
        <v>0</v>
      </c>
      <c r="QZ51" s="57">
        <f>IF(OR(AND(QN$6=1,$L51=0),AND(QN$6=2,$K51=2,$G51=1)),0,IF(AND(QP$9=2,(OR($F51&gt;1,$K51=1,AND($L51=80,OR($N51=1,AND($N51=2,'#BerechnungDBE'!$AL42&gt;0)))))),IF(QN$4&gt;=$AD$126,0,QX51),IF(QP$9=3,IF(OR(QN$4&gt;=$AD$127,AND($G51=1,$J51=2,QN$6=2),AND(QN$6=1,$N51&lt;&gt;1)),0,IF(QR51&lt;=120,QX51,IF(QN$4&lt;$AD$124,IF($F51=1,60/QP$4*QP$6,60/QP$4*QP$7),IF($F51=1,120/QP$4*QP$6,120/QP$4*QP$7)))),IF(OR($F51=3,$G51=2),IF(OR(AND(QN$4&gt;=$AD$119,$C51=2),AND(QN$4&gt;=$AF$119,$C51=1)),0,IF(QR51&lt;=60,QX51,60/QP$4*QP$7)),IF(AND($F51=2,$G51=1),QX51,0)))))</f>
        <v>0</v>
      </c>
      <c r="RA51" s="57" t="str">
        <f t="shared" si="184"/>
        <v/>
      </c>
      <c r="RB51" s="57" t="str">
        <f t="shared" si="480"/>
        <v/>
      </c>
      <c r="RC51" s="713">
        <f>'org. Düngung 22'!DX50</f>
        <v>0</v>
      </c>
      <c r="RD51" s="57"/>
      <c r="RE51" s="57"/>
      <c r="RF51" s="57">
        <f t="shared" si="186"/>
        <v>0</v>
      </c>
      <c r="RG51" s="57">
        <f t="shared" si="343"/>
        <v>0</v>
      </c>
      <c r="RH51" s="57">
        <f t="shared" si="344"/>
        <v>0</v>
      </c>
      <c r="RI51" s="57">
        <f t="shared" si="345"/>
        <v>0</v>
      </c>
      <c r="RJ51" s="57">
        <f t="shared" si="346"/>
        <v>0</v>
      </c>
      <c r="RK51" s="1029">
        <f t="shared" si="481"/>
        <v>0</v>
      </c>
      <c r="RL51" s="57">
        <f t="shared" si="482"/>
        <v>0</v>
      </c>
      <c r="RM51" s="171" t="str">
        <f t="shared" si="483"/>
        <v/>
      </c>
      <c r="RN51" s="57">
        <f t="shared" si="347"/>
        <v>0</v>
      </c>
      <c r="RO51" s="57">
        <f>IF(OR(AND(RC$6=1,$L51=0),AND(RC$6=2,$K51=2,$G51=1)),0,IF(AND(RE$9=2,(OR($F51&gt;1,$K51=1,AND($L51=80,OR($N51=1,AND($N51=2,'#BerechnungDBE'!$AL42&gt;0)))))),IF(RC$4&gt;=$AD$126,0,RM51),IF(RE$9=3,IF(OR(RC$4&gt;=$AD$127,AND($G51=1,$J51=2,RC$6=2),AND(RC$6=1,$N51&lt;&gt;1)),0,IF(RG51&lt;=120,RM51,IF(RC$4&lt;$AD$124,IF($F51=1,60/RE$4*RE$6,60/RE$4*RE$7),IF($F51=1,120/RE$4*RE$6,120/RE$4*RE$7)))),IF(OR($F51=3,$G51=2),IF(OR(AND(RC$4&gt;=$AD$119,$C51=2),AND(RC$4&gt;=$AF$119,$C51=1)),0,IF(RG51&lt;=60,RM51,60/RE$4*RE$7)),IF(AND($F51=2,$G51=1),RM51,0)))))</f>
        <v>0</v>
      </c>
      <c r="RP51" s="57" t="str">
        <f t="shared" si="190"/>
        <v/>
      </c>
      <c r="RQ51" s="57" t="str">
        <f t="shared" si="484"/>
        <v/>
      </c>
      <c r="RS51" s="57" t="str">
        <f t="shared" si="488"/>
        <v/>
      </c>
      <c r="RT51" s="57" t="str">
        <f t="shared" si="485"/>
        <v/>
      </c>
      <c r="RU51" s="57" t="str">
        <f t="shared" si="486"/>
        <v/>
      </c>
      <c r="RV51" s="57" t="str">
        <f>IF(Z51&gt;'#BerechnungDBE'!BM42,$RV$9,"")</f>
        <v/>
      </c>
      <c r="RW51" s="57" t="str">
        <f>IF(AND(L51=70,AE51&gt;'#BerechnungDBE'!CQ42),$RW$9,"")</f>
        <v/>
      </c>
      <c r="RX51" s="57" t="str">
        <f>IF(OR('org. Düngung 22'!G50="--",'org. Düngung 22'!G50&lt;=170,'org. Düngung 22'!G50=""),"",$RX$9)</f>
        <v/>
      </c>
      <c r="RY51" s="57" t="str">
        <f>IF('org. Düngung 22'!K50&gt;120,'#orgDung'!$RY$9,"")</f>
        <v/>
      </c>
      <c r="RZ51" s="57" t="str">
        <f>IF('#BerechnungDBE'!P42&lt;4,"",IF(AND('#BerechnungDBE'!BZ42&gt;0,T51&gt;0),'#orgDung'!$RZ$9,""))</f>
        <v/>
      </c>
      <c r="SA51" s="57" t="str">
        <f t="shared" si="487"/>
        <v/>
      </c>
    </row>
    <row r="52" spans="1:495" s="875" customFormat="1" x14ac:dyDescent="0.2">
      <c r="A52" s="875">
        <f>'Flächen u. Kulturen'!A48</f>
        <v>39</v>
      </c>
      <c r="B52" s="367">
        <f>'#BerechnungDBE'!L43</f>
        <v>0</v>
      </c>
      <c r="C52" s="875">
        <f>'#BerechnungDBE'!R43</f>
        <v>1</v>
      </c>
      <c r="D52" s="875">
        <f>'#BerechnungDBE'!T43</f>
        <v>2</v>
      </c>
      <c r="E52" s="875" t="str">
        <f>'Flächen u. Kulturen'!E48</f>
        <v>x</v>
      </c>
      <c r="F52" s="52">
        <f>'#BerechnungDBE'!N43</f>
        <v>1</v>
      </c>
      <c r="G52" s="52">
        <f>'#BerechnungDBE'!O43</f>
        <v>1</v>
      </c>
      <c r="H52" s="875">
        <f>IF('Flächen u. Kulturen'!P48="",0,VLOOKUP('Flächen u. Kulturen'!P48,Kulturen[[HF]:[Berechnungsgruppe]],'#Frucht'!$H$1,FALSE))</f>
        <v>0</v>
      </c>
      <c r="I52" s="875">
        <f>IF('Flächen u. Kulturen'!J48="",0,VLOOKUP('Flächen u. Kulturen'!J48,Kulturen[[HF]:[Berechnungsgruppe]],'#Frucht'!$G$1,FALSE))</f>
        <v>90</v>
      </c>
      <c r="J52" s="505">
        <f t="shared" si="195"/>
        <v>2</v>
      </c>
      <c r="K52" s="505">
        <f>IF('Flächen u. Kulturen'!P48="",0,IF(VLOOKUP('Flächen u. Kulturen'!P48,Kulturen[[HF]:[Saat Winterungen]],'#Frucht'!$P$1,FALSE)&gt;0,1,2))</f>
        <v>2</v>
      </c>
      <c r="L52" s="875">
        <f>'#BerechnungDBE'!AF43</f>
        <v>0</v>
      </c>
      <c r="M52" s="875">
        <f>IF('Flächen u. Kulturen'!L48="",0,VLOOKUP('Flächen u. Kulturen'!L48,Nebenkultur[[Nebenkultur]:[Legum. Zwischenfr.]],'#Zweitfr'!$K$1,FALSE))</f>
        <v>0</v>
      </c>
      <c r="N52" s="875">
        <f>'#BerechnungDBE'!AG43</f>
        <v>0</v>
      </c>
      <c r="P52" s="57">
        <f t="shared" si="353"/>
        <v>0</v>
      </c>
      <c r="Q52" s="57">
        <f t="shared" si="354"/>
        <v>0</v>
      </c>
      <c r="R52" s="875">
        <f t="shared" si="355"/>
        <v>0</v>
      </c>
      <c r="S52" s="938" t="str">
        <f t="shared" si="3"/>
        <v/>
      </c>
      <c r="T52" s="875">
        <f t="shared" si="356"/>
        <v>0</v>
      </c>
      <c r="U52" s="875">
        <f t="shared" si="357"/>
        <v>0</v>
      </c>
      <c r="V52" s="875">
        <f t="shared" si="358"/>
        <v>0</v>
      </c>
      <c r="W52" s="875">
        <f t="shared" si="359"/>
        <v>0</v>
      </c>
      <c r="X52" s="875">
        <f t="shared" si="360"/>
        <v>0</v>
      </c>
      <c r="Y52" s="875">
        <f t="shared" si="349"/>
        <v>0</v>
      </c>
      <c r="Z52" s="875">
        <f t="shared" si="350"/>
        <v>0</v>
      </c>
      <c r="AA52" s="910">
        <f t="shared" si="361"/>
        <v>0</v>
      </c>
      <c r="AB52" s="57">
        <f t="shared" si="351"/>
        <v>0</v>
      </c>
      <c r="AC52" s="875">
        <f t="shared" si="362"/>
        <v>0</v>
      </c>
      <c r="AD52" s="875">
        <f t="shared" si="363"/>
        <v>0</v>
      </c>
      <c r="AE52" s="875">
        <f t="shared" si="364"/>
        <v>0</v>
      </c>
      <c r="AF52" s="875">
        <f t="shared" si="352"/>
        <v>0</v>
      </c>
      <c r="AG52" s="875">
        <f>'org. Düngung 22'!J51</f>
        <v>0</v>
      </c>
      <c r="AH52" s="875">
        <f>'org. Düngung 22'!K51</f>
        <v>0</v>
      </c>
      <c r="AJ52" s="713">
        <f>'org. Düngung 22'!L51</f>
        <v>0</v>
      </c>
      <c r="AK52" s="57"/>
      <c r="AL52" s="57"/>
      <c r="AM52" s="57">
        <f t="shared" si="196"/>
        <v>0</v>
      </c>
      <c r="AN52" s="57">
        <f t="shared" si="197"/>
        <v>0</v>
      </c>
      <c r="AO52" s="57">
        <f t="shared" si="198"/>
        <v>0</v>
      </c>
      <c r="AP52" s="57">
        <f t="shared" si="199"/>
        <v>0</v>
      </c>
      <c r="AQ52" s="57">
        <f t="shared" si="200"/>
        <v>0</v>
      </c>
      <c r="AR52" s="1029">
        <f t="shared" si="365"/>
        <v>0</v>
      </c>
      <c r="AS52" s="57">
        <f t="shared" si="366"/>
        <v>0</v>
      </c>
      <c r="AT52" s="171" t="str">
        <f t="shared" si="367"/>
        <v/>
      </c>
      <c r="AU52" s="57">
        <f t="shared" si="201"/>
        <v>0</v>
      </c>
      <c r="AV52" s="57">
        <f>IF(OR(AND(AJ$6=1,$L52=0),AND(AJ$6=2,$K52=2,$G52=1)),0,IF(AND(AL$9=2,(OR($F52&gt;1,$K52=1,AND($L52=80,OR($N52=1,AND($N52=2,'#BerechnungDBE'!$AL43&gt;0)))))),IF(AJ$4&gt;=$AD$126,0,AT52),IF(AL$9=3,IF(OR(AJ$4&gt;=$AD$127,AND($G52=1,$J52=2,AJ$6=2),AND(AJ$6=1,$N52&lt;&gt;1)),0,IF(AN52&lt;=120,AT52,IF(AJ$4&lt;$AD$124,IF($F52=1,60/AL$4*AL$6,60/AL$4*AL$7),IF($F52=1,120/AL$4*AL$6,120/AL$4*AL$7)))),IF(OR($F52=3,$G52=2),IF(OR(AND(AJ$4&gt;=$AD$119,$C52=2),AND(AJ$4&gt;=$AF$119,$C52=1)),0,IF(AN52&lt;=60,AT52,60/AL$4*AL$7)),IF(AND($F52=2,$G52=1),AT52,0)))))</f>
        <v>0</v>
      </c>
      <c r="AW52" s="57" t="str">
        <f t="shared" si="202"/>
        <v/>
      </c>
      <c r="AX52" s="57" t="str">
        <f t="shared" si="368"/>
        <v/>
      </c>
      <c r="AY52" s="713">
        <f>'org. Düngung 22'!P51</f>
        <v>0</v>
      </c>
      <c r="AZ52" s="57"/>
      <c r="BA52" s="57"/>
      <c r="BB52" s="57">
        <f t="shared" si="18"/>
        <v>0</v>
      </c>
      <c r="BC52" s="57">
        <f t="shared" si="203"/>
        <v>0</v>
      </c>
      <c r="BD52" s="57">
        <f t="shared" si="204"/>
        <v>0</v>
      </c>
      <c r="BE52" s="57">
        <f t="shared" si="205"/>
        <v>0</v>
      </c>
      <c r="BF52" s="57">
        <f t="shared" si="206"/>
        <v>0</v>
      </c>
      <c r="BG52" s="1029">
        <f t="shared" si="369"/>
        <v>0</v>
      </c>
      <c r="BH52" s="57">
        <f t="shared" si="370"/>
        <v>0</v>
      </c>
      <c r="BI52" s="171" t="str">
        <f t="shared" si="371"/>
        <v/>
      </c>
      <c r="BJ52" s="57">
        <f t="shared" si="207"/>
        <v>0</v>
      </c>
      <c r="BK52" s="57">
        <f>IF(OR(AND(AY$6=1,$L52=0),AND(AY$6=2,$K52=2,$G52=1)),0,IF(AND(BA$9=2,(OR($F52&gt;1,$K52=1,AND($L52=80,OR($N52=1,AND($N52=2,'#BerechnungDBE'!$AL43&gt;0)))))),IF(AY$4&gt;=$AD$126,0,BI52),IF(BA$9=3,IF(OR(AY$4&gt;=$AD$127,AND($G52=1,$J52=2,AY$6=2),AND(AY$6=1,$N52&lt;&gt;1)),0,IF(BC52&lt;=120,BI52,IF(AY$4&lt;$AD$124,IF($F52=1,60/BA$4*BA$6,60/BA$4*BA$7),IF($F52=1,120/BA$4*BA$6,120/BA$4*BA$7)))),IF(OR($F52=3,$G52=2),IF(OR(AND(AY$4&gt;=$AD$119,$C52=2),AND(AY$4&gt;=$AF$119,$C52=1)),0,IF(BC52&lt;=60,BI52,60/BA$4*BA$7)),IF(AND($F52=2,$G52=1),BI52,0)))))</f>
        <v>0</v>
      </c>
      <c r="BL52" s="57" t="str">
        <f t="shared" si="22"/>
        <v/>
      </c>
      <c r="BM52" s="57" t="str">
        <f t="shared" si="372"/>
        <v/>
      </c>
      <c r="BN52" s="713">
        <f>'org. Düngung 22'!T51</f>
        <v>0</v>
      </c>
      <c r="BO52" s="57"/>
      <c r="BP52" s="57"/>
      <c r="BQ52" s="57">
        <f t="shared" si="24"/>
        <v>0</v>
      </c>
      <c r="BR52" s="57">
        <f t="shared" si="208"/>
        <v>0</v>
      </c>
      <c r="BS52" s="57">
        <f t="shared" si="209"/>
        <v>0</v>
      </c>
      <c r="BT52" s="57">
        <f t="shared" si="210"/>
        <v>0</v>
      </c>
      <c r="BU52" s="57">
        <f t="shared" si="211"/>
        <v>0</v>
      </c>
      <c r="BV52" s="1029">
        <f t="shared" si="373"/>
        <v>0</v>
      </c>
      <c r="BW52" s="57">
        <f t="shared" si="374"/>
        <v>0</v>
      </c>
      <c r="BX52" s="171" t="str">
        <f t="shared" si="375"/>
        <v/>
      </c>
      <c r="BY52" s="57">
        <f t="shared" si="212"/>
        <v>0</v>
      </c>
      <c r="BZ52" s="57">
        <f>IF(OR(AND(BN$6=1,$L52=0),AND(BN$6=2,$K52=2,$G52=1)),0,IF(AND(BP$9=2,(OR($F52&gt;1,$K52=1,AND($L52=80,OR($N52=1,AND($N52=2,'#BerechnungDBE'!$AL43&gt;0)))))),IF(BN$4&gt;=$AD$126,0,BX52),IF(BP$9=3,IF(OR(BN$4&gt;=$AD$127,AND($G52=1,$J52=2,BN$6=2),AND(BN$6=1,$N52&lt;&gt;1)),0,IF(BR52&lt;=120,BX52,IF(BN$4&lt;$AD$124,IF($F52=1,60/BP$4*BP$6,60/BP$4*BP$7),IF($F52=1,120/BP$4*BP$6,120/BP$4*BP$7)))),IF(OR($F52=3,$G52=2),IF(OR(AND(BN$4&gt;=$AD$119,$C52=2),AND(BN$4&gt;=$AF$119,$C52=1)),0,IF(BR52&lt;=60,BX52,60/BP$4*BP$7)),IF(AND($F52=2,$G52=1),BX52,0)))))</f>
        <v>0</v>
      </c>
      <c r="CA52" s="57" t="str">
        <f t="shared" si="28"/>
        <v/>
      </c>
      <c r="CB52" s="57" t="str">
        <f t="shared" si="376"/>
        <v/>
      </c>
      <c r="CC52" s="713">
        <f>'org. Düngung 22'!X51</f>
        <v>0</v>
      </c>
      <c r="CD52" s="57"/>
      <c r="CE52" s="57"/>
      <c r="CF52" s="57">
        <f t="shared" si="30"/>
        <v>0</v>
      </c>
      <c r="CG52" s="57">
        <f t="shared" si="213"/>
        <v>0</v>
      </c>
      <c r="CH52" s="57">
        <f t="shared" si="214"/>
        <v>0</v>
      </c>
      <c r="CI52" s="57">
        <f t="shared" si="215"/>
        <v>0</v>
      </c>
      <c r="CJ52" s="57">
        <f t="shared" si="216"/>
        <v>0</v>
      </c>
      <c r="CK52" s="1029">
        <f t="shared" si="377"/>
        <v>0</v>
      </c>
      <c r="CL52" s="57">
        <f t="shared" si="378"/>
        <v>0</v>
      </c>
      <c r="CM52" s="171" t="str">
        <f t="shared" si="379"/>
        <v/>
      </c>
      <c r="CN52" s="57">
        <f t="shared" si="217"/>
        <v>0</v>
      </c>
      <c r="CO52" s="57">
        <f>IF(OR(AND(CC$6=1,$L52=0),AND(CC$6=2,$K52=2,$G52=1)),0,IF(AND(CE$9=2,(OR($F52&gt;1,$K52=1,AND($L52=80,OR($N52=1,AND($N52=2,'#BerechnungDBE'!$AL43&gt;0)))))),IF(CC$4&gt;=$AD$126,0,CM52),IF(CE$9=3,IF(OR(CC$4&gt;=$AD$127,AND($G52=1,$J52=2,CC$6=2),AND(CC$6=1,$N52&lt;&gt;1)),0,IF(CG52&lt;=120,CM52,IF(CC$4&lt;$AD$124,IF($F52=1,60/CE$4*CE$6,60/CE$4*CE$7),IF($F52=1,120/CE$4*CE$6,120/CE$4*CE$7)))),IF(OR($F52=3,$G52=2),IF(OR(AND(CC$4&gt;=$AD$119,$C52=2),AND(CC$4&gt;=$AF$119,$C52=1)),0,IF(CG52&lt;=60,CM52,60/CE$4*CE$7)),IF(AND($F52=2,$G52=1),CM52,0)))))</f>
        <v>0</v>
      </c>
      <c r="CP52" s="57" t="str">
        <f t="shared" si="34"/>
        <v/>
      </c>
      <c r="CQ52" s="57" t="str">
        <f t="shared" si="380"/>
        <v/>
      </c>
      <c r="CR52" s="713">
        <f>'org. Düngung 22'!AB51</f>
        <v>0</v>
      </c>
      <c r="CS52" s="57"/>
      <c r="CT52" s="57"/>
      <c r="CU52" s="57">
        <f t="shared" si="36"/>
        <v>0</v>
      </c>
      <c r="CV52" s="57">
        <f t="shared" si="218"/>
        <v>0</v>
      </c>
      <c r="CW52" s="57">
        <f t="shared" si="219"/>
        <v>0</v>
      </c>
      <c r="CX52" s="57">
        <f t="shared" si="220"/>
        <v>0</v>
      </c>
      <c r="CY52" s="57">
        <f t="shared" si="221"/>
        <v>0</v>
      </c>
      <c r="CZ52" s="1029">
        <f t="shared" si="381"/>
        <v>0</v>
      </c>
      <c r="DA52" s="57">
        <f t="shared" si="382"/>
        <v>0</v>
      </c>
      <c r="DB52" s="171" t="str">
        <f t="shared" si="383"/>
        <v/>
      </c>
      <c r="DC52" s="57">
        <f t="shared" si="222"/>
        <v>0</v>
      </c>
      <c r="DD52" s="57">
        <f>IF(OR(AND(CR$6=1,$L52=0),AND(CR$6=2,$K52=2,$G52=1)),0,IF(AND(CT$9=2,(OR($F52&gt;1,$K52=1,AND($L52=80,OR($N52=1,AND($N52=2,'#BerechnungDBE'!$AL43&gt;0)))))),IF(CR$4&gt;=$AD$126,0,DB52),IF(CT$9=3,IF(OR(CR$4&gt;=$AD$127,AND($G52=1,$J52=2,CR$6=2),AND(CR$6=1,$N52&lt;&gt;1)),0,IF(CV52&lt;=120,DB52,IF(CR$4&lt;$AD$124,IF($F52=1,60/CT$4*CT$6,60/CT$4*CT$7),IF($F52=1,120/CT$4*CT$6,120/CT$4*CT$7)))),IF(OR($F52=3,$G52=2),IF(OR(AND(CR$4&gt;=$AD$119,$C52=2),AND(CR$4&gt;=$AF$119,$C52=1)),0,IF(CV52&lt;=60,DB52,60/CT$4*CT$7)),IF(AND($F52=2,$G52=1),DB52,0)))))</f>
        <v>0</v>
      </c>
      <c r="DE52" s="57" t="str">
        <f t="shared" si="40"/>
        <v/>
      </c>
      <c r="DF52" s="57" t="str">
        <f t="shared" si="384"/>
        <v/>
      </c>
      <c r="DG52" s="713">
        <f>'org. Düngung 22'!AF51</f>
        <v>0</v>
      </c>
      <c r="DH52" s="57"/>
      <c r="DI52" s="57"/>
      <c r="DJ52" s="57">
        <f t="shared" si="42"/>
        <v>0</v>
      </c>
      <c r="DK52" s="57">
        <f t="shared" si="223"/>
        <v>0</v>
      </c>
      <c r="DL52" s="57">
        <f t="shared" si="224"/>
        <v>0</v>
      </c>
      <c r="DM52" s="57">
        <f t="shared" si="225"/>
        <v>0</v>
      </c>
      <c r="DN52" s="57">
        <f t="shared" si="226"/>
        <v>0</v>
      </c>
      <c r="DO52" s="1029">
        <f t="shared" si="385"/>
        <v>0</v>
      </c>
      <c r="DP52" s="57">
        <f t="shared" si="386"/>
        <v>0</v>
      </c>
      <c r="DQ52" s="171" t="str">
        <f t="shared" si="387"/>
        <v/>
      </c>
      <c r="DR52" s="57">
        <f t="shared" si="227"/>
        <v>0</v>
      </c>
      <c r="DS52" s="57">
        <f>IF(OR(AND(DG$6=1,$L52=0),AND(DG$6=2,$K52=2,$G52=1)),0,IF(AND(DI$9=2,(OR($F52&gt;1,$K52=1,AND($L52=80,OR($N52=1,AND($N52=2,'#BerechnungDBE'!$AL43&gt;0)))))),IF(DG$4&gt;=$AD$126,0,DQ52),IF(DI$9=3,IF(OR(DG$4&gt;=$AD$127,AND($G52=1,$J52=2,DG$6=2),AND(DG$6=1,$N52&lt;&gt;1)),0,IF(DK52&lt;=120,DQ52,IF(DG$4&lt;$AD$124,IF($F52=1,60/DI$4*DI$6,60/DI$4*DI$7),IF($F52=1,120/DI$4*DI$6,120/DI$4*DI$7)))),IF(OR($F52=3,$G52=2),IF(OR(AND(DG$4&gt;=$AD$119,$C52=2),AND(DG$4&gt;=$AF$119,$C52=1)),0,IF(DK52&lt;=60,DQ52,60/DI$4*DI$7)),IF(AND($F52=2,$G52=1),DQ52,0)))))</f>
        <v>0</v>
      </c>
      <c r="DT52" s="57" t="str">
        <f t="shared" si="46"/>
        <v/>
      </c>
      <c r="DU52" s="57" t="str">
        <f t="shared" si="388"/>
        <v/>
      </c>
      <c r="DV52" s="713">
        <f>'org. Düngung 22'!AJ51</f>
        <v>0</v>
      </c>
      <c r="DW52" s="57"/>
      <c r="DX52" s="57"/>
      <c r="DY52" s="57">
        <f t="shared" si="48"/>
        <v>0</v>
      </c>
      <c r="DZ52" s="57">
        <f t="shared" si="228"/>
        <v>0</v>
      </c>
      <c r="EA52" s="57">
        <f t="shared" si="229"/>
        <v>0</v>
      </c>
      <c r="EB52" s="57">
        <f t="shared" si="230"/>
        <v>0</v>
      </c>
      <c r="EC52" s="57">
        <f t="shared" si="231"/>
        <v>0</v>
      </c>
      <c r="ED52" s="1029">
        <f t="shared" si="389"/>
        <v>0</v>
      </c>
      <c r="EE52" s="57">
        <f t="shared" si="390"/>
        <v>0</v>
      </c>
      <c r="EF52" s="171" t="str">
        <f t="shared" si="391"/>
        <v/>
      </c>
      <c r="EG52" s="57">
        <f t="shared" si="232"/>
        <v>0</v>
      </c>
      <c r="EH52" s="57">
        <f>IF(OR(AND(DV$6=1,$L52=0),AND(DV$6=2,$K52=2,$G52=1)),0,IF(AND(DX$9=2,(OR($F52&gt;1,$K52=1,AND($L52=80,OR($N52=1,AND($N52=2,'#BerechnungDBE'!$AL43&gt;0)))))),IF(DV$4&gt;=$AD$126,0,EF52),IF(DX$9=3,IF(OR(DV$4&gt;=$AD$127,AND($G52=1,$J52=2,DV$6=2),AND(DV$6=1,$N52&lt;&gt;1)),0,IF(DZ52&lt;=120,EF52,IF(DV$4&lt;$AD$124,IF($F52=1,60/DX$4*DX$6,60/DX$4*DX$7),IF($F52=1,120/DX$4*DX$6,120/DX$4*DX$7)))),IF(OR($F52=3,$G52=2),IF(OR(AND(DV$4&gt;=$AD$119,$C52=2),AND(DV$4&gt;=$AF$119,$C52=1)),0,IF(DZ52&lt;=60,EF52,60/DX$4*DX$7)),IF(AND($F52=2,$G52=1),EF52,0)))))</f>
        <v>0</v>
      </c>
      <c r="EI52" s="57" t="str">
        <f t="shared" si="52"/>
        <v/>
      </c>
      <c r="EJ52" s="57" t="str">
        <f t="shared" si="392"/>
        <v/>
      </c>
      <c r="EK52" s="713">
        <f>'org. Düngung 22'!AN51</f>
        <v>0</v>
      </c>
      <c r="EL52" s="57"/>
      <c r="EM52" s="57"/>
      <c r="EN52" s="57">
        <f t="shared" si="54"/>
        <v>0</v>
      </c>
      <c r="EO52" s="57">
        <f t="shared" si="233"/>
        <v>0</v>
      </c>
      <c r="EP52" s="57">
        <f t="shared" si="234"/>
        <v>0</v>
      </c>
      <c r="EQ52" s="57">
        <f t="shared" si="235"/>
        <v>0</v>
      </c>
      <c r="ER52" s="57">
        <f t="shared" si="236"/>
        <v>0</v>
      </c>
      <c r="ES52" s="1029">
        <f t="shared" si="393"/>
        <v>0</v>
      </c>
      <c r="ET52" s="57">
        <f t="shared" si="394"/>
        <v>0</v>
      </c>
      <c r="EU52" s="171" t="str">
        <f t="shared" si="395"/>
        <v/>
      </c>
      <c r="EV52" s="57">
        <f t="shared" si="237"/>
        <v>0</v>
      </c>
      <c r="EW52" s="57">
        <f>IF(OR(AND(EK$6=1,$L52=0),AND(EK$6=2,$K52=2,$G52=1)),0,IF(AND(EM$9=2,(OR($F52&gt;1,$K52=1,AND($L52=80,OR($N52=1,AND($N52=2,'#BerechnungDBE'!$AL43&gt;0)))))),IF(EK$4&gt;=$AD$126,0,EU52),IF(EM$9=3,IF(OR(EK$4&gt;=$AD$127,AND($G52=1,$J52=2,EK$6=2),AND(EK$6=1,$N52&lt;&gt;1)),0,IF(EO52&lt;=120,EU52,IF(EK$4&lt;$AD$124,IF($F52=1,60/EM$4*EM$6,60/EM$4*EM$7),IF($F52=1,120/EM$4*EM$6,120/EM$4*EM$7)))),IF(OR($F52=3,$G52=2),IF(OR(AND(EK$4&gt;=$AD$119,$C52=2),AND(EK$4&gt;=$AF$119,$C52=1)),0,IF(EO52&lt;=60,EU52,60/EM$4*EM$7)),IF(AND($F52=2,$G52=1),EU52,0)))))</f>
        <v>0</v>
      </c>
      <c r="EX52" s="57" t="str">
        <f t="shared" si="58"/>
        <v/>
      </c>
      <c r="EY52" s="57" t="str">
        <f t="shared" si="396"/>
        <v/>
      </c>
      <c r="EZ52" s="713">
        <f>'org. Düngung 22'!AR51</f>
        <v>0</v>
      </c>
      <c r="FA52" s="57"/>
      <c r="FB52" s="57"/>
      <c r="FC52" s="57">
        <f t="shared" si="60"/>
        <v>0</v>
      </c>
      <c r="FD52" s="57">
        <f t="shared" si="238"/>
        <v>0</v>
      </c>
      <c r="FE52" s="57">
        <f t="shared" si="239"/>
        <v>0</v>
      </c>
      <c r="FF52" s="57">
        <f t="shared" si="240"/>
        <v>0</v>
      </c>
      <c r="FG52" s="57">
        <f t="shared" si="241"/>
        <v>0</v>
      </c>
      <c r="FH52" s="1029">
        <f t="shared" si="397"/>
        <v>0</v>
      </c>
      <c r="FI52" s="57">
        <f t="shared" si="398"/>
        <v>0</v>
      </c>
      <c r="FJ52" s="171" t="str">
        <f t="shared" si="399"/>
        <v/>
      </c>
      <c r="FK52" s="57">
        <f t="shared" si="242"/>
        <v>0</v>
      </c>
      <c r="FL52" s="57">
        <f>IF(OR(AND(EZ$6=1,$L52=0),AND(EZ$6=2,$K52=2,$G52=1)),0,IF(AND(FB$9=2,(OR($F52&gt;1,$K52=1,AND($L52=80,OR($N52=1,AND($N52=2,'#BerechnungDBE'!$AL43&gt;0)))))),IF(EZ$4&gt;=$AD$126,0,FJ52),IF(FB$9=3,IF(OR(EZ$4&gt;=$AD$127,AND($G52=1,$J52=2,EZ$6=2),AND(EZ$6=1,$N52&lt;&gt;1)),0,IF(FD52&lt;=120,FJ52,IF(EZ$4&lt;$AD$124,IF($F52=1,60/FB$4*FB$6,60/FB$4*FB$7),IF($F52=1,120/FB$4*FB$6,120/FB$4*FB$7)))),IF(OR($F52=3,$G52=2),IF(OR(AND(EZ$4&gt;=$AD$119,$C52=2),AND(EZ$4&gt;=$AF$119,$C52=1)),0,IF(FD52&lt;=60,FJ52,60/FB$4*FB$7)),IF(AND($F52=2,$G52=1),FJ52,0)))))</f>
        <v>0</v>
      </c>
      <c r="FM52" s="57" t="str">
        <f t="shared" si="64"/>
        <v/>
      </c>
      <c r="FN52" s="57" t="str">
        <f t="shared" si="400"/>
        <v/>
      </c>
      <c r="FO52" s="713">
        <f>'org. Düngung 22'!AV51</f>
        <v>0</v>
      </c>
      <c r="FP52" s="57"/>
      <c r="FQ52" s="57"/>
      <c r="FR52" s="57">
        <f t="shared" si="66"/>
        <v>0</v>
      </c>
      <c r="FS52" s="57">
        <f t="shared" si="243"/>
        <v>0</v>
      </c>
      <c r="FT52" s="57">
        <f t="shared" si="244"/>
        <v>0</v>
      </c>
      <c r="FU52" s="57">
        <f t="shared" si="245"/>
        <v>0</v>
      </c>
      <c r="FV52" s="57">
        <f t="shared" si="246"/>
        <v>0</v>
      </c>
      <c r="FW52" s="1029">
        <f t="shared" si="401"/>
        <v>0</v>
      </c>
      <c r="FX52" s="57">
        <f t="shared" si="402"/>
        <v>0</v>
      </c>
      <c r="FY52" s="171" t="str">
        <f t="shared" si="403"/>
        <v/>
      </c>
      <c r="FZ52" s="57">
        <f t="shared" si="247"/>
        <v>0</v>
      </c>
      <c r="GA52" s="57">
        <f>IF(OR(AND(FO$6=1,$L52=0),AND(FO$6=2,$K52=2,$G52=1)),0,IF(AND(FQ$9=2,(OR($F52&gt;1,$K52=1,AND($L52=80,OR($N52=1,AND($N52=2,'#BerechnungDBE'!$AL43&gt;0)))))),IF(FO$4&gt;=$AD$126,0,FY52),IF(FQ$9=3,IF(OR(FO$4&gt;=$AD$127,AND($G52=1,$J52=2,FO$6=2),AND(FO$6=1,$N52&lt;&gt;1)),0,IF(FS52&lt;=120,FY52,IF(FO$4&lt;$AD$124,IF($F52=1,60/FQ$4*FQ$6,60/FQ$4*FQ$7),IF($F52=1,120/FQ$4*FQ$6,120/FQ$4*FQ$7)))),IF(OR($F52=3,$G52=2),IF(OR(AND(FO$4&gt;=$AD$119,$C52=2),AND(FO$4&gt;=$AF$119,$C52=1)),0,IF(FS52&lt;=60,FY52,60/FQ$4*FQ$7)),IF(AND($F52=2,$G52=1),FY52,0)))))</f>
        <v>0</v>
      </c>
      <c r="GB52" s="57" t="str">
        <f t="shared" si="70"/>
        <v/>
      </c>
      <c r="GC52" s="57" t="str">
        <f t="shared" si="404"/>
        <v/>
      </c>
      <c r="GD52" s="713">
        <f>'org. Düngung 22'!AZ51</f>
        <v>0</v>
      </c>
      <c r="GE52" s="57"/>
      <c r="GF52" s="57"/>
      <c r="GG52" s="57">
        <f t="shared" si="72"/>
        <v>0</v>
      </c>
      <c r="GH52" s="57">
        <f t="shared" si="248"/>
        <v>0</v>
      </c>
      <c r="GI52" s="57">
        <f t="shared" si="249"/>
        <v>0</v>
      </c>
      <c r="GJ52" s="57">
        <f t="shared" si="250"/>
        <v>0</v>
      </c>
      <c r="GK52" s="57">
        <f t="shared" si="251"/>
        <v>0</v>
      </c>
      <c r="GL52" s="1029">
        <f t="shared" si="405"/>
        <v>0</v>
      </c>
      <c r="GM52" s="57">
        <f t="shared" si="406"/>
        <v>0</v>
      </c>
      <c r="GN52" s="171" t="str">
        <f t="shared" si="407"/>
        <v/>
      </c>
      <c r="GO52" s="57">
        <f t="shared" si="252"/>
        <v>0</v>
      </c>
      <c r="GP52" s="57">
        <f>IF(OR(AND(GD$6=1,$L52=0),AND(GD$6=2,$K52=2,$G52=1)),0,IF(AND(GF$9=2,(OR($F52&gt;1,$K52=1,AND($L52=80,OR($N52=1,AND($N52=2,'#BerechnungDBE'!$AL43&gt;0)))))),IF(GD$4&gt;=$AD$126,0,GN52),IF(GF$9=3,IF(OR(GD$4&gt;=$AD$127,AND($G52=1,$J52=2,GD$6=2),AND(GD$6=1,$N52&lt;&gt;1)),0,IF(GH52&lt;=120,GN52,IF(GD$4&lt;$AD$124,IF($F52=1,60/GF$4*GF$6,60/GF$4*GF$7),IF($F52=1,120/GF$4*GF$6,120/GF$4*GF$7)))),IF(OR($F52=3,$G52=2),IF(OR(AND(GD$4&gt;=$AD$119,$C52=2),AND(GD$4&gt;=$AF$119,$C52=1)),0,IF(GH52&lt;=60,GN52,60/GF$4*GF$7)),IF(AND($F52=2,$G52=1),GN52,0)))))</f>
        <v>0</v>
      </c>
      <c r="GQ52" s="57" t="str">
        <f t="shared" si="76"/>
        <v/>
      </c>
      <c r="GR52" s="57" t="str">
        <f t="shared" si="408"/>
        <v/>
      </c>
      <c r="GS52" s="713">
        <f>'org. Düngung 22'!BD51</f>
        <v>0</v>
      </c>
      <c r="GT52" s="57"/>
      <c r="GU52" s="57"/>
      <c r="GV52" s="57">
        <f t="shared" si="78"/>
        <v>0</v>
      </c>
      <c r="GW52" s="57">
        <f t="shared" si="253"/>
        <v>0</v>
      </c>
      <c r="GX52" s="57">
        <f t="shared" si="254"/>
        <v>0</v>
      </c>
      <c r="GY52" s="57">
        <f t="shared" si="255"/>
        <v>0</v>
      </c>
      <c r="GZ52" s="57">
        <f t="shared" si="256"/>
        <v>0</v>
      </c>
      <c r="HA52" s="1029">
        <f t="shared" si="409"/>
        <v>0</v>
      </c>
      <c r="HB52" s="57">
        <f t="shared" si="410"/>
        <v>0</v>
      </c>
      <c r="HC52" s="171" t="str">
        <f t="shared" si="411"/>
        <v/>
      </c>
      <c r="HD52" s="57">
        <f t="shared" si="257"/>
        <v>0</v>
      </c>
      <c r="HE52" s="57">
        <f>IF(OR(AND(GS$6=1,$L52=0),AND(GS$6=2,$K52=2,$G52=1)),0,IF(AND(GU$9=2,(OR($F52&gt;1,$K52=1,AND($L52=80,OR($N52=1,AND($N52=2,'#BerechnungDBE'!$AL43&gt;0)))))),IF(GS$4&gt;=$AD$126,0,HC52),IF(GU$9=3,IF(OR(GS$4&gt;=$AD$127,AND($G52=1,$J52=2,GS$6=2),AND(GS$6=1,$N52&lt;&gt;1)),0,IF(GW52&lt;=120,HC52,IF(GS$4&lt;$AD$124,IF($F52=1,60/GU$4*GU$6,60/GU$4*GU$7),IF($F52=1,120/GU$4*GU$6,120/GU$4*GU$7)))),IF(OR($F52=3,$G52=2),IF(OR(AND(GS$4&gt;=$AD$119,$C52=2),AND(GS$4&gt;=$AF$119,$C52=1)),0,IF(GW52&lt;=60,HC52,60/GU$4*GU$7)),IF(AND($F52=2,$G52=1),HC52,0)))))</f>
        <v>0</v>
      </c>
      <c r="HF52" s="57" t="str">
        <f t="shared" si="82"/>
        <v/>
      </c>
      <c r="HG52" s="57" t="str">
        <f t="shared" si="412"/>
        <v/>
      </c>
      <c r="HH52" s="713">
        <f>'org. Düngung 22'!BH51</f>
        <v>0</v>
      </c>
      <c r="HI52" s="57"/>
      <c r="HJ52" s="57"/>
      <c r="HK52" s="57">
        <f t="shared" si="84"/>
        <v>0</v>
      </c>
      <c r="HL52" s="57">
        <f t="shared" si="258"/>
        <v>0</v>
      </c>
      <c r="HM52" s="57">
        <f t="shared" si="259"/>
        <v>0</v>
      </c>
      <c r="HN52" s="57">
        <f t="shared" si="260"/>
        <v>0</v>
      </c>
      <c r="HO52" s="57">
        <f t="shared" si="261"/>
        <v>0</v>
      </c>
      <c r="HP52" s="1029">
        <f t="shared" si="413"/>
        <v>0</v>
      </c>
      <c r="HQ52" s="57">
        <f t="shared" si="414"/>
        <v>0</v>
      </c>
      <c r="HR52" s="171" t="str">
        <f t="shared" si="415"/>
        <v/>
      </c>
      <c r="HS52" s="57">
        <f t="shared" si="262"/>
        <v>0</v>
      </c>
      <c r="HT52" s="57">
        <f>IF(OR(AND(HH$6=1,$L52=0),AND(HH$6=2,$K52=2,$G52=1)),0,IF(AND(HJ$9=2,(OR($F52&gt;1,$K52=1,AND($L52=80,OR($N52=1,AND($N52=2,'#BerechnungDBE'!$AL43&gt;0)))))),IF(HH$4&gt;=$AD$126,0,HR52),IF(HJ$9=3,IF(OR(HH$4&gt;=$AD$127,AND($G52=1,$J52=2,HH$6=2),AND(HH$6=1,$N52&lt;&gt;1)),0,IF(HL52&lt;=120,HR52,IF(HH$4&lt;$AD$124,IF($F52=1,60/HJ$4*HJ$6,60/HJ$4*HJ$7),IF($F52=1,120/HJ$4*HJ$6,120/HJ$4*HJ$7)))),IF(OR($F52=3,$G52=2),IF(OR(AND(HH$4&gt;=$AD$119,$C52=2),AND(HH$4&gt;=$AF$119,$C52=1)),0,IF(HL52&lt;=60,HR52,60/HJ$4*HJ$7)),IF(AND($F52=2,$G52=1),HR52,0)))))</f>
        <v>0</v>
      </c>
      <c r="HU52" s="57" t="str">
        <f t="shared" si="88"/>
        <v/>
      </c>
      <c r="HV52" s="57" t="str">
        <f t="shared" si="416"/>
        <v/>
      </c>
      <c r="HW52" s="713">
        <f>'org. Düngung 22'!BL51</f>
        <v>0</v>
      </c>
      <c r="HX52" s="57"/>
      <c r="HY52" s="57"/>
      <c r="HZ52" s="57">
        <f t="shared" si="90"/>
        <v>0</v>
      </c>
      <c r="IA52" s="57">
        <f t="shared" si="263"/>
        <v>0</v>
      </c>
      <c r="IB52" s="57">
        <f t="shared" si="264"/>
        <v>0</v>
      </c>
      <c r="IC52" s="57">
        <f t="shared" si="265"/>
        <v>0</v>
      </c>
      <c r="ID52" s="57">
        <f t="shared" si="266"/>
        <v>0</v>
      </c>
      <c r="IE52" s="1029">
        <f t="shared" si="417"/>
        <v>0</v>
      </c>
      <c r="IF52" s="57">
        <f t="shared" si="418"/>
        <v>0</v>
      </c>
      <c r="IG52" s="171" t="str">
        <f t="shared" si="419"/>
        <v/>
      </c>
      <c r="IH52" s="57">
        <f t="shared" si="267"/>
        <v>0</v>
      </c>
      <c r="II52" s="57">
        <f>IF(OR(AND(HW$6=1,$L52=0),AND(HW$6=2,$K52=2,$G52=1)),0,IF(AND(HY$9=2,(OR($F52&gt;1,$K52=1,AND($L52=80,OR($N52=1,AND($N52=2,'#BerechnungDBE'!$AL43&gt;0)))))),IF(HW$4&gt;=$AD$126,0,IG52),IF(HY$9=3,IF(OR(HW$4&gt;=$AD$127,AND($G52=1,$J52=2,HW$6=2),AND(HW$6=1,$N52&lt;&gt;1)),0,IF(IA52&lt;=120,IG52,IF(HW$4&lt;$AD$124,IF($F52=1,60/HY$4*HY$6,60/HY$4*HY$7),IF($F52=1,120/HY$4*HY$6,120/HY$4*HY$7)))),IF(OR($F52=3,$G52=2),IF(OR(AND(HW$4&gt;=$AD$119,$C52=2),AND(HW$4&gt;=$AF$119,$C52=1)),0,IF(IA52&lt;=60,IG52,60/HY$4*HY$7)),IF(AND($F52=2,$G52=1),IG52,0)))))</f>
        <v>0</v>
      </c>
      <c r="IJ52" s="57" t="str">
        <f t="shared" si="94"/>
        <v/>
      </c>
      <c r="IK52" s="57" t="str">
        <f t="shared" si="420"/>
        <v/>
      </c>
      <c r="IL52" s="713">
        <f>'org. Düngung 22'!BP51</f>
        <v>0</v>
      </c>
      <c r="IM52" s="57"/>
      <c r="IN52" s="57"/>
      <c r="IO52" s="57">
        <f t="shared" si="96"/>
        <v>0</v>
      </c>
      <c r="IP52" s="57">
        <f t="shared" si="268"/>
        <v>0</v>
      </c>
      <c r="IQ52" s="57">
        <f t="shared" si="269"/>
        <v>0</v>
      </c>
      <c r="IR52" s="57">
        <f t="shared" si="270"/>
        <v>0</v>
      </c>
      <c r="IS52" s="57">
        <f t="shared" si="271"/>
        <v>0</v>
      </c>
      <c r="IT52" s="1029">
        <f t="shared" si="421"/>
        <v>0</v>
      </c>
      <c r="IU52" s="57">
        <f t="shared" si="422"/>
        <v>0</v>
      </c>
      <c r="IV52" s="171" t="str">
        <f t="shared" si="423"/>
        <v/>
      </c>
      <c r="IW52" s="57">
        <f t="shared" si="272"/>
        <v>0</v>
      </c>
      <c r="IX52" s="57">
        <f>IF(OR(AND(IL$6=1,$L52=0),AND(IL$6=2,$K52=2,$G52=1)),0,IF(AND(IN$9=2,(OR($F52&gt;1,$K52=1,AND($L52=80,OR($N52=1,AND($N52=2,'#BerechnungDBE'!$AL43&gt;0)))))),IF(IL$4&gt;=$AD$126,0,IV52),IF(IN$9=3,IF(OR(IL$4&gt;=$AD$127,AND($G52=1,$J52=2,IL$6=2),AND(IL$6=1,$N52&lt;&gt;1)),0,IF(IP52&lt;=120,IV52,IF(IL$4&lt;$AD$124,IF($F52=1,60/IN$4*IN$6,60/IN$4*IN$7),IF($F52=1,120/IN$4*IN$6,120/IN$4*IN$7)))),IF(OR($F52=3,$G52=2),IF(OR(AND(IL$4&gt;=$AD$119,$C52=2),AND(IL$4&gt;=$AF$119,$C52=1)),0,IF(IP52&lt;=60,IV52,60/IN$4*IN$7)),IF(AND($F52=2,$G52=1),IV52,0)))))</f>
        <v>0</v>
      </c>
      <c r="IY52" s="57" t="str">
        <f t="shared" si="100"/>
        <v/>
      </c>
      <c r="IZ52" s="57" t="str">
        <f t="shared" si="424"/>
        <v/>
      </c>
      <c r="JA52" s="713">
        <f>'org. Düngung 22'!BT51</f>
        <v>0</v>
      </c>
      <c r="JB52" s="57"/>
      <c r="JC52" s="57"/>
      <c r="JD52" s="57">
        <f t="shared" si="102"/>
        <v>0</v>
      </c>
      <c r="JE52" s="57">
        <f t="shared" si="273"/>
        <v>0</v>
      </c>
      <c r="JF52" s="57">
        <f t="shared" si="274"/>
        <v>0</v>
      </c>
      <c r="JG52" s="57">
        <f t="shared" si="275"/>
        <v>0</v>
      </c>
      <c r="JH52" s="57">
        <f t="shared" si="276"/>
        <v>0</v>
      </c>
      <c r="JI52" s="1029">
        <f t="shared" si="425"/>
        <v>0</v>
      </c>
      <c r="JJ52" s="57">
        <f t="shared" si="426"/>
        <v>0</v>
      </c>
      <c r="JK52" s="171" t="str">
        <f t="shared" si="427"/>
        <v/>
      </c>
      <c r="JL52" s="57">
        <f t="shared" si="277"/>
        <v>0</v>
      </c>
      <c r="JM52" s="57">
        <f>IF(OR(AND(JA$6=1,$L52=0),AND(JA$6=2,$K52=2,$G52=1)),0,IF(AND(JC$9=2,(OR($F52&gt;1,$K52=1,AND($L52=80,OR($N52=1,AND($N52=2,'#BerechnungDBE'!$AL43&gt;0)))))),IF(JA$4&gt;=$AD$126,0,JK52),IF(JC$9=3,IF(OR(JA$4&gt;=$AD$127,AND($G52=1,$J52=2,JA$6=2),AND(JA$6=1,$N52&lt;&gt;1)),0,IF(JE52&lt;=120,JK52,IF(JA$4&lt;$AD$124,IF($F52=1,60/JC$4*JC$6,60/JC$4*JC$7),IF($F52=1,120/JC$4*JC$6,120/JC$4*JC$7)))),IF(OR($F52=3,$G52=2),IF(OR(AND(JA$4&gt;=$AD$119,$C52=2),AND(JA$4&gt;=$AF$119,$C52=1)),0,IF(JE52&lt;=60,JK52,60/JC$4*JC$7)),IF(AND($F52=2,$G52=1),JK52,0)))))</f>
        <v>0</v>
      </c>
      <c r="JN52" s="57" t="str">
        <f t="shared" si="106"/>
        <v/>
      </c>
      <c r="JO52" s="57" t="str">
        <f t="shared" si="428"/>
        <v/>
      </c>
      <c r="JP52" s="713">
        <f>'org. Düngung 22'!BX51</f>
        <v>0</v>
      </c>
      <c r="JQ52" s="57"/>
      <c r="JR52" s="57"/>
      <c r="JS52" s="57">
        <f t="shared" si="108"/>
        <v>0</v>
      </c>
      <c r="JT52" s="57">
        <f t="shared" si="278"/>
        <v>0</v>
      </c>
      <c r="JU52" s="57">
        <f t="shared" si="279"/>
        <v>0</v>
      </c>
      <c r="JV52" s="57">
        <f t="shared" si="280"/>
        <v>0</v>
      </c>
      <c r="JW52" s="57">
        <f t="shared" si="281"/>
        <v>0</v>
      </c>
      <c r="JX52" s="1029">
        <f t="shared" si="429"/>
        <v>0</v>
      </c>
      <c r="JY52" s="57">
        <f t="shared" si="430"/>
        <v>0</v>
      </c>
      <c r="JZ52" s="171" t="str">
        <f t="shared" si="431"/>
        <v/>
      </c>
      <c r="KA52" s="57">
        <f t="shared" si="282"/>
        <v>0</v>
      </c>
      <c r="KB52" s="57">
        <f>IF(OR(AND(JP$6=1,$L52=0),AND(JP$6=2,$K52=2,$G52=1)),0,IF(AND(JR$9=2,(OR($F52&gt;1,$K52=1,AND($L52=80,OR($N52=1,AND($N52=2,'#BerechnungDBE'!$AL43&gt;0)))))),IF(JP$4&gt;=$AD$126,0,JZ52),IF(JR$9=3,IF(OR(JP$4&gt;=$AD$127,AND($G52=1,$J52=2,JP$6=2),AND(JP$6=1,$N52&lt;&gt;1)),0,IF(JT52&lt;=120,JZ52,IF(JP$4&lt;$AD$124,IF($F52=1,60/JR$4*JR$6,60/JR$4*JR$7),IF($F52=1,120/JR$4*JR$6,120/JR$4*JR$7)))),IF(OR($F52=3,$G52=2),IF(OR(AND(JP$4&gt;=$AD$119,$C52=2),AND(JP$4&gt;=$AF$119,$C52=1)),0,IF(JT52&lt;=60,JZ52,60/JR$4*JR$7)),IF(AND($F52=2,$G52=1),JZ52,0)))))</f>
        <v>0</v>
      </c>
      <c r="KC52" s="57" t="str">
        <f t="shared" si="112"/>
        <v/>
      </c>
      <c r="KD52" s="57" t="str">
        <f t="shared" si="432"/>
        <v/>
      </c>
      <c r="KE52" s="713">
        <f>'org. Düngung 22'!CB51</f>
        <v>0</v>
      </c>
      <c r="KF52" s="57"/>
      <c r="KG52" s="57"/>
      <c r="KH52" s="57">
        <f t="shared" si="114"/>
        <v>0</v>
      </c>
      <c r="KI52" s="57">
        <f t="shared" si="283"/>
        <v>0</v>
      </c>
      <c r="KJ52" s="57">
        <f t="shared" si="284"/>
        <v>0</v>
      </c>
      <c r="KK52" s="57">
        <f t="shared" si="285"/>
        <v>0</v>
      </c>
      <c r="KL52" s="57">
        <f t="shared" si="286"/>
        <v>0</v>
      </c>
      <c r="KM52" s="1029">
        <f t="shared" si="433"/>
        <v>0</v>
      </c>
      <c r="KN52" s="57">
        <f t="shared" si="434"/>
        <v>0</v>
      </c>
      <c r="KO52" s="171" t="str">
        <f t="shared" si="435"/>
        <v/>
      </c>
      <c r="KP52" s="57">
        <f t="shared" si="287"/>
        <v>0</v>
      </c>
      <c r="KQ52" s="57">
        <f>IF(OR(AND(KE$6=1,$L52=0),AND(KE$6=2,$K52=2,$G52=1)),0,IF(AND(KG$9=2,(OR($F52&gt;1,$K52=1,AND($L52=80,OR($N52=1,AND($N52=2,'#BerechnungDBE'!$AL43&gt;0)))))),IF(KE$4&gt;=$AD$126,0,KO52),IF(KG$9=3,IF(OR(KE$4&gt;=$AD$127,AND($G52=1,$J52=2,KE$6=2),AND(KE$6=1,$N52&lt;&gt;1)),0,IF(KI52&lt;=120,KO52,IF(KE$4&lt;$AD$124,IF($F52=1,60/KG$4*KG$6,60/KG$4*KG$7),IF($F52=1,120/KG$4*KG$6,120/KG$4*KG$7)))),IF(OR($F52=3,$G52=2),IF(OR(AND(KE$4&gt;=$AD$119,$C52=2),AND(KE$4&gt;=$AF$119,$C52=1)),0,IF(KI52&lt;=60,KO52,60/KG$4*KG$7)),IF(AND($F52=2,$G52=1),KO52,0)))))</f>
        <v>0</v>
      </c>
      <c r="KR52" s="57" t="str">
        <f t="shared" si="118"/>
        <v/>
      </c>
      <c r="KS52" s="57" t="str">
        <f t="shared" si="436"/>
        <v/>
      </c>
      <c r="KT52" s="713">
        <f>'org. Düngung 22'!CF51</f>
        <v>0</v>
      </c>
      <c r="KU52" s="57"/>
      <c r="KV52" s="57"/>
      <c r="KW52" s="57">
        <f t="shared" si="120"/>
        <v>0</v>
      </c>
      <c r="KX52" s="57">
        <f t="shared" si="288"/>
        <v>0</v>
      </c>
      <c r="KY52" s="57">
        <f t="shared" si="289"/>
        <v>0</v>
      </c>
      <c r="KZ52" s="57">
        <f t="shared" si="290"/>
        <v>0</v>
      </c>
      <c r="LA52" s="57">
        <f t="shared" si="291"/>
        <v>0</v>
      </c>
      <c r="LB52" s="1029">
        <f t="shared" si="437"/>
        <v>0</v>
      </c>
      <c r="LC52" s="57">
        <f t="shared" si="438"/>
        <v>0</v>
      </c>
      <c r="LD52" s="171" t="str">
        <f t="shared" si="439"/>
        <v/>
      </c>
      <c r="LE52" s="57">
        <f t="shared" si="292"/>
        <v>0</v>
      </c>
      <c r="LF52" s="57">
        <f>IF(OR(AND(KT$6=1,$L52=0),AND(KT$6=2,$K52=2,$G52=1)),0,IF(AND(KV$9=2,(OR($F52&gt;1,$K52=1,AND($L52=80,OR($N52=1,AND($N52=2,'#BerechnungDBE'!$AL43&gt;0)))))),IF(KT$4&gt;=$AD$126,0,LD52),IF(KV$9=3,IF(OR(KT$4&gt;=$AD$127,AND($G52=1,$J52=2,KT$6=2),AND(KT$6=1,$N52&lt;&gt;1)),0,IF(KX52&lt;=120,LD52,IF(KT$4&lt;$AD$124,IF($F52=1,60/KV$4*KV$6,60/KV$4*KV$7),IF($F52=1,120/KV$4*KV$6,120/KV$4*KV$7)))),IF(OR($F52=3,$G52=2),IF(OR(AND(KT$4&gt;=$AD$119,$C52=2),AND(KT$4&gt;=$AF$119,$C52=1)),0,IF(KX52&lt;=60,LD52,60/KV$4*KV$7)),IF(AND($F52=2,$G52=1),LD52,0)))))</f>
        <v>0</v>
      </c>
      <c r="LG52" s="57" t="str">
        <f t="shared" si="124"/>
        <v/>
      </c>
      <c r="LH52" s="57" t="str">
        <f t="shared" si="440"/>
        <v/>
      </c>
      <c r="LI52" s="713">
        <f>'org. Düngung 22'!CJ51</f>
        <v>0</v>
      </c>
      <c r="LJ52" s="57"/>
      <c r="LK52" s="57"/>
      <c r="LL52" s="57">
        <f t="shared" si="126"/>
        <v>0</v>
      </c>
      <c r="LM52" s="57">
        <f t="shared" si="293"/>
        <v>0</v>
      </c>
      <c r="LN52" s="57">
        <f t="shared" si="294"/>
        <v>0</v>
      </c>
      <c r="LO52" s="57">
        <f t="shared" si="295"/>
        <v>0</v>
      </c>
      <c r="LP52" s="57">
        <f t="shared" si="296"/>
        <v>0</v>
      </c>
      <c r="LQ52" s="1029">
        <f t="shared" si="441"/>
        <v>0</v>
      </c>
      <c r="LR52" s="57">
        <f t="shared" si="442"/>
        <v>0</v>
      </c>
      <c r="LS52" s="171" t="str">
        <f t="shared" si="443"/>
        <v/>
      </c>
      <c r="LT52" s="57">
        <f t="shared" si="297"/>
        <v>0</v>
      </c>
      <c r="LU52" s="57">
        <f>IF(OR(AND(LI$6=1,$L52=0),AND(LI$6=2,$K52=2,$G52=1)),0,IF(AND(LK$9=2,(OR($F52&gt;1,$K52=1,AND($L52=80,OR($N52=1,AND($N52=2,'#BerechnungDBE'!$AL43&gt;0)))))),IF(LI$4&gt;=$AD$126,0,LS52),IF(LK$9=3,IF(OR(LI$4&gt;=$AD$127,AND($G52=1,$J52=2,LI$6=2),AND(LI$6=1,$N52&lt;&gt;1)),0,IF(LM52&lt;=120,LS52,IF(LI$4&lt;$AD$124,IF($F52=1,60/LK$4*LK$6,60/LK$4*LK$7),IF($F52=1,120/LK$4*LK$6,120/LK$4*LK$7)))),IF(OR($F52=3,$G52=2),IF(OR(AND(LI$4&gt;=$AD$119,$C52=2),AND(LI$4&gt;=$AF$119,$C52=1)),0,IF(LM52&lt;=60,LS52,60/LK$4*LK$7)),IF(AND($F52=2,$G52=1),LS52,0)))))</f>
        <v>0</v>
      </c>
      <c r="LV52" s="57" t="str">
        <f t="shared" si="130"/>
        <v/>
      </c>
      <c r="LW52" s="57" t="str">
        <f t="shared" si="444"/>
        <v/>
      </c>
      <c r="LX52" s="713">
        <f>'org. Düngung 22'!CN51</f>
        <v>0</v>
      </c>
      <c r="LY52" s="57"/>
      <c r="LZ52" s="57"/>
      <c r="MA52" s="57">
        <f t="shared" si="132"/>
        <v>0</v>
      </c>
      <c r="MB52" s="57">
        <f t="shared" si="298"/>
        <v>0</v>
      </c>
      <c r="MC52" s="57">
        <f t="shared" si="299"/>
        <v>0</v>
      </c>
      <c r="MD52" s="57">
        <f t="shared" si="300"/>
        <v>0</v>
      </c>
      <c r="ME52" s="57">
        <f t="shared" si="301"/>
        <v>0</v>
      </c>
      <c r="MF52" s="1029">
        <f t="shared" si="445"/>
        <v>0</v>
      </c>
      <c r="MG52" s="57">
        <f t="shared" si="446"/>
        <v>0</v>
      </c>
      <c r="MH52" s="171" t="str">
        <f t="shared" si="447"/>
        <v/>
      </c>
      <c r="MI52" s="57">
        <f t="shared" si="302"/>
        <v>0</v>
      </c>
      <c r="MJ52" s="57">
        <f>IF(OR(AND(LX$6=1,$L52=0),AND(LX$6=2,$K52=2,$G52=1)),0,IF(AND(LZ$9=2,(OR($F52&gt;1,$K52=1,AND($L52=80,OR($N52=1,AND($N52=2,'#BerechnungDBE'!$AL43&gt;0)))))),IF(LX$4&gt;=$AD$126,0,MH52),IF(LZ$9=3,IF(OR(LX$4&gt;=$AD$127,AND($G52=1,$J52=2,LX$6=2),AND(LX$6=1,$N52&lt;&gt;1)),0,IF(MB52&lt;=120,MH52,IF(LX$4&lt;$AD$124,IF($F52=1,60/LZ$4*LZ$6,60/LZ$4*LZ$7),IF($F52=1,120/LZ$4*LZ$6,120/LZ$4*LZ$7)))),IF(OR($F52=3,$G52=2),IF(OR(AND(LX$4&gt;=$AD$119,$C52=2),AND(LX$4&gt;=$AF$119,$C52=1)),0,IF(MB52&lt;=60,MH52,60/LZ$4*LZ$7)),IF(AND($F52=2,$G52=1),MH52,0)))))</f>
        <v>0</v>
      </c>
      <c r="MK52" s="57" t="str">
        <f t="shared" si="136"/>
        <v/>
      </c>
      <c r="ML52" s="57" t="str">
        <f t="shared" si="448"/>
        <v/>
      </c>
      <c r="MM52" s="713">
        <f>'org. Düngung 22'!CR51</f>
        <v>0</v>
      </c>
      <c r="MN52" s="57"/>
      <c r="MO52" s="57"/>
      <c r="MP52" s="57">
        <f t="shared" si="138"/>
        <v>0</v>
      </c>
      <c r="MQ52" s="57">
        <f t="shared" si="303"/>
        <v>0</v>
      </c>
      <c r="MR52" s="57">
        <f t="shared" si="304"/>
        <v>0</v>
      </c>
      <c r="MS52" s="57">
        <f t="shared" si="305"/>
        <v>0</v>
      </c>
      <c r="MT52" s="57">
        <f t="shared" si="306"/>
        <v>0</v>
      </c>
      <c r="MU52" s="1029">
        <f t="shared" si="449"/>
        <v>0</v>
      </c>
      <c r="MV52" s="57">
        <f t="shared" si="450"/>
        <v>0</v>
      </c>
      <c r="MW52" s="171" t="str">
        <f t="shared" si="451"/>
        <v/>
      </c>
      <c r="MX52" s="57">
        <f t="shared" si="307"/>
        <v>0</v>
      </c>
      <c r="MY52" s="57">
        <f>IF(OR(AND(MM$6=1,$L52=0),AND(MM$6=2,$K52=2,$G52=1)),0,IF(AND(MO$9=2,(OR($F52&gt;1,$K52=1,AND($L52=80,OR($N52=1,AND($N52=2,'#BerechnungDBE'!$AL43&gt;0)))))),IF(MM$4&gt;=$AD$126,0,MW52),IF(MO$9=3,IF(OR(MM$4&gt;=$AD$127,AND($G52=1,$J52=2,MM$6=2),AND(MM$6=1,$N52&lt;&gt;1)),0,IF(MQ52&lt;=120,MW52,IF(MM$4&lt;$AD$124,IF($F52=1,60/MO$4*MO$6,60/MO$4*MO$7),IF($F52=1,120/MO$4*MO$6,120/MO$4*MO$7)))),IF(OR($F52=3,$G52=2),IF(OR(AND(MM$4&gt;=$AD$119,$C52=2),AND(MM$4&gt;=$AF$119,$C52=1)),0,IF(MQ52&lt;=60,MW52,60/MO$4*MO$7)),IF(AND($F52=2,$G52=1),MW52,0)))))</f>
        <v>0</v>
      </c>
      <c r="MZ52" s="57" t="str">
        <f t="shared" si="142"/>
        <v/>
      </c>
      <c r="NA52" s="57" t="str">
        <f t="shared" si="452"/>
        <v/>
      </c>
      <c r="NB52" s="713">
        <f>'org. Düngung 22'!CV51</f>
        <v>0</v>
      </c>
      <c r="NC52" s="57"/>
      <c r="ND52" s="57"/>
      <c r="NE52" s="57">
        <f t="shared" si="144"/>
        <v>0</v>
      </c>
      <c r="NF52" s="57">
        <f t="shared" si="308"/>
        <v>0</v>
      </c>
      <c r="NG52" s="57">
        <f t="shared" si="309"/>
        <v>0</v>
      </c>
      <c r="NH52" s="57">
        <f t="shared" si="310"/>
        <v>0</v>
      </c>
      <c r="NI52" s="57">
        <f t="shared" si="311"/>
        <v>0</v>
      </c>
      <c r="NJ52" s="1029">
        <f t="shared" si="453"/>
        <v>0</v>
      </c>
      <c r="NK52" s="57">
        <f t="shared" si="454"/>
        <v>0</v>
      </c>
      <c r="NL52" s="171" t="str">
        <f t="shared" si="455"/>
        <v/>
      </c>
      <c r="NM52" s="57">
        <f t="shared" si="312"/>
        <v>0</v>
      </c>
      <c r="NN52" s="57">
        <f>IF(OR(AND(NB$6=1,$L52=0),AND(NB$6=2,$K52=2,$G52=1)),0,IF(AND(ND$9=2,(OR($F52&gt;1,$K52=1,AND($L52=80,OR($N52=1,AND($N52=2,'#BerechnungDBE'!$AL43&gt;0)))))),IF(NB$4&gt;=$AD$126,0,NL52),IF(ND$9=3,IF(OR(NB$4&gt;=$AD$127,AND($G52=1,$J52=2,NB$6=2),AND(NB$6=1,$N52&lt;&gt;1)),0,IF(NF52&lt;=120,NL52,IF(NB$4&lt;$AD$124,IF($F52=1,60/ND$4*ND$6,60/ND$4*ND$7),IF($F52=1,120/ND$4*ND$6,120/ND$4*ND$7)))),IF(OR($F52=3,$G52=2),IF(OR(AND(NB$4&gt;=$AD$119,$C52=2),AND(NB$4&gt;=$AF$119,$C52=1)),0,IF(NF52&lt;=60,NL52,60/ND$4*ND$7)),IF(AND($F52=2,$G52=1),NL52,0)))))</f>
        <v>0</v>
      </c>
      <c r="NO52" s="57" t="str">
        <f t="shared" si="148"/>
        <v/>
      </c>
      <c r="NP52" s="57" t="str">
        <f t="shared" si="456"/>
        <v/>
      </c>
      <c r="NQ52" s="713">
        <f>'org. Düngung 22'!CZ51</f>
        <v>0</v>
      </c>
      <c r="NR52" s="57"/>
      <c r="NS52" s="57"/>
      <c r="NT52" s="57">
        <f t="shared" si="150"/>
        <v>0</v>
      </c>
      <c r="NU52" s="57">
        <f t="shared" si="313"/>
        <v>0</v>
      </c>
      <c r="NV52" s="57">
        <f t="shared" si="314"/>
        <v>0</v>
      </c>
      <c r="NW52" s="57">
        <f t="shared" si="315"/>
        <v>0</v>
      </c>
      <c r="NX52" s="57">
        <f t="shared" si="316"/>
        <v>0</v>
      </c>
      <c r="NY52" s="1029">
        <f t="shared" si="457"/>
        <v>0</v>
      </c>
      <c r="NZ52" s="57">
        <f t="shared" si="458"/>
        <v>0</v>
      </c>
      <c r="OA52" s="171" t="str">
        <f t="shared" si="459"/>
        <v/>
      </c>
      <c r="OB52" s="57">
        <f t="shared" si="317"/>
        <v>0</v>
      </c>
      <c r="OC52" s="57">
        <f>IF(OR(AND(NQ$6=1,$L52=0),AND(NQ$6=2,$K52=2,$G52=1)),0,IF(AND(NS$9=2,(OR($F52&gt;1,$K52=1,AND($L52=80,OR($N52=1,AND($N52=2,'#BerechnungDBE'!$AL43&gt;0)))))),IF(NQ$4&gt;=$AD$126,0,OA52),IF(NS$9=3,IF(OR(NQ$4&gt;=$AD$127,AND($G52=1,$J52=2,NQ$6=2),AND(NQ$6=1,$N52&lt;&gt;1)),0,IF(NU52&lt;=120,OA52,IF(NQ$4&lt;$AD$124,IF($F52=1,60/NS$4*NS$6,60/NS$4*NS$7),IF($F52=1,120/NS$4*NS$6,120/NS$4*NS$7)))),IF(OR($F52=3,$G52=2),IF(OR(AND(NQ$4&gt;=$AD$119,$C52=2),AND(NQ$4&gt;=$AF$119,$C52=1)),0,IF(NU52&lt;=60,OA52,60/NS$4*NS$7)),IF(AND($F52=2,$G52=1),OA52,0)))))</f>
        <v>0</v>
      </c>
      <c r="OD52" s="57" t="str">
        <f t="shared" si="154"/>
        <v/>
      </c>
      <c r="OE52" s="57" t="str">
        <f t="shared" si="460"/>
        <v/>
      </c>
      <c r="OF52" s="713">
        <f>'org. Düngung 22'!DD51</f>
        <v>0</v>
      </c>
      <c r="OG52" s="57"/>
      <c r="OH52" s="57"/>
      <c r="OI52" s="57">
        <f t="shared" si="156"/>
        <v>0</v>
      </c>
      <c r="OJ52" s="57">
        <f t="shared" si="318"/>
        <v>0</v>
      </c>
      <c r="OK52" s="57">
        <f t="shared" si="319"/>
        <v>0</v>
      </c>
      <c r="OL52" s="57">
        <f t="shared" si="320"/>
        <v>0</v>
      </c>
      <c r="OM52" s="57">
        <f t="shared" si="321"/>
        <v>0</v>
      </c>
      <c r="ON52" s="1029">
        <f t="shared" si="461"/>
        <v>0</v>
      </c>
      <c r="OO52" s="57">
        <f t="shared" si="462"/>
        <v>0</v>
      </c>
      <c r="OP52" s="171" t="str">
        <f t="shared" si="463"/>
        <v/>
      </c>
      <c r="OQ52" s="57">
        <f t="shared" si="322"/>
        <v>0</v>
      </c>
      <c r="OR52" s="57">
        <f>IF(OR(AND(OF$6=1,$L52=0),AND(OF$6=2,$K52=2,$G52=1)),0,IF(AND(OH$9=2,(OR($F52&gt;1,$K52=1,AND($L52=80,OR($N52=1,AND($N52=2,'#BerechnungDBE'!$AL43&gt;0)))))),IF(OF$4&gt;=$AD$126,0,OP52),IF(OH$9=3,IF(OR(OF$4&gt;=$AD$127,AND($G52=1,$J52=2,OF$6=2),AND(OF$6=1,$N52&lt;&gt;1)),0,IF(OJ52&lt;=120,OP52,IF(OF$4&lt;$AD$124,IF($F52=1,60/OH$4*OH$6,60/OH$4*OH$7),IF($F52=1,120/OH$4*OH$6,120/OH$4*OH$7)))),IF(OR($F52=3,$G52=2),IF(OR(AND(OF$4&gt;=$AD$119,$C52=2),AND(OF$4&gt;=$AF$119,$C52=1)),0,IF(OJ52&lt;=60,OP52,60/OH$4*OH$7)),IF(AND($F52=2,$G52=1),OP52,0)))))</f>
        <v>0</v>
      </c>
      <c r="OS52" s="57" t="str">
        <f t="shared" si="160"/>
        <v/>
      </c>
      <c r="OT52" s="57" t="str">
        <f t="shared" si="464"/>
        <v/>
      </c>
      <c r="OU52" s="713">
        <f>'org. Düngung 22'!DH51</f>
        <v>0</v>
      </c>
      <c r="OV52" s="57"/>
      <c r="OW52" s="57"/>
      <c r="OX52" s="57">
        <f t="shared" si="162"/>
        <v>0</v>
      </c>
      <c r="OY52" s="57">
        <f t="shared" si="323"/>
        <v>0</v>
      </c>
      <c r="OZ52" s="57">
        <f t="shared" si="324"/>
        <v>0</v>
      </c>
      <c r="PA52" s="57">
        <f t="shared" si="325"/>
        <v>0</v>
      </c>
      <c r="PB52" s="57">
        <f t="shared" si="326"/>
        <v>0</v>
      </c>
      <c r="PC52" s="1029">
        <f t="shared" si="465"/>
        <v>0</v>
      </c>
      <c r="PD52" s="57">
        <f t="shared" si="466"/>
        <v>0</v>
      </c>
      <c r="PE52" s="171" t="str">
        <f t="shared" si="467"/>
        <v/>
      </c>
      <c r="PF52" s="57">
        <f t="shared" si="327"/>
        <v>0</v>
      </c>
      <c r="PG52" s="57">
        <f>IF(OR(AND(OU$6=1,$L52=0),AND(OU$6=2,$K52=2,$G52=1)),0,IF(AND(OW$9=2,(OR($F52&gt;1,$K52=1,AND($L52=80,OR($N52=1,AND($N52=2,'#BerechnungDBE'!$AL43&gt;0)))))),IF(OU$4&gt;=$AD$126,0,PE52),IF(OW$9=3,IF(OR(OU$4&gt;=$AD$127,AND($G52=1,$J52=2,OU$6=2),AND(OU$6=1,$N52&lt;&gt;1)),0,IF(OY52&lt;=120,PE52,IF(OU$4&lt;$AD$124,IF($F52=1,60/OW$4*OW$6,60/OW$4*OW$7),IF($F52=1,120/OW$4*OW$6,120/OW$4*OW$7)))),IF(OR($F52=3,$G52=2),IF(OR(AND(OU$4&gt;=$AD$119,$C52=2),AND(OU$4&gt;=$AF$119,$C52=1)),0,IF(OY52&lt;=60,PE52,60/OW$4*OW$7)),IF(AND($F52=2,$G52=1),PE52,0)))))</f>
        <v>0</v>
      </c>
      <c r="PH52" s="57" t="str">
        <f t="shared" si="166"/>
        <v/>
      </c>
      <c r="PI52" s="57" t="str">
        <f t="shared" si="468"/>
        <v/>
      </c>
      <c r="PJ52" s="713">
        <f>'org. Düngung 22'!DL51</f>
        <v>0</v>
      </c>
      <c r="PK52" s="57"/>
      <c r="PL52" s="57"/>
      <c r="PM52" s="57">
        <f t="shared" si="168"/>
        <v>0</v>
      </c>
      <c r="PN52" s="57">
        <f t="shared" si="328"/>
        <v>0</v>
      </c>
      <c r="PO52" s="57">
        <f t="shared" si="329"/>
        <v>0</v>
      </c>
      <c r="PP52" s="57">
        <f t="shared" si="330"/>
        <v>0</v>
      </c>
      <c r="PQ52" s="57">
        <f t="shared" si="331"/>
        <v>0</v>
      </c>
      <c r="PR52" s="1029">
        <f t="shared" si="469"/>
        <v>0</v>
      </c>
      <c r="PS52" s="57">
        <f t="shared" si="470"/>
        <v>0</v>
      </c>
      <c r="PT52" s="171" t="str">
        <f t="shared" si="471"/>
        <v/>
      </c>
      <c r="PU52" s="57">
        <f t="shared" si="332"/>
        <v>0</v>
      </c>
      <c r="PV52" s="57">
        <f>IF(OR(AND(PJ$6=1,$L52=0),AND(PJ$6=2,$K52=2,$G52=1)),0,IF(AND(PL$9=2,(OR($F52&gt;1,$K52=1,AND($L52=80,OR($N52=1,AND($N52=2,'#BerechnungDBE'!$AL43&gt;0)))))),IF(PJ$4&gt;=$AD$126,0,PT52),IF(PL$9=3,IF(OR(PJ$4&gt;=$AD$127,AND($G52=1,$J52=2,PJ$6=2),AND(PJ$6=1,$N52&lt;&gt;1)),0,IF(PN52&lt;=120,PT52,IF(PJ$4&lt;$AD$124,IF($F52=1,60/PL$4*PL$6,60/PL$4*PL$7),IF($F52=1,120/PL$4*PL$6,120/PL$4*PL$7)))),IF(OR($F52=3,$G52=2),IF(OR(AND(PJ$4&gt;=$AD$119,$C52=2),AND(PJ$4&gt;=$AF$119,$C52=1)),0,IF(PN52&lt;=60,PT52,60/PL$4*PL$7)),IF(AND($F52=2,$G52=1),PT52,0)))))</f>
        <v>0</v>
      </c>
      <c r="PW52" s="57" t="str">
        <f t="shared" si="172"/>
        <v/>
      </c>
      <c r="PX52" s="57" t="str">
        <f t="shared" si="472"/>
        <v/>
      </c>
      <c r="PY52" s="713">
        <f>'org. Düngung 22'!DP51</f>
        <v>0</v>
      </c>
      <c r="PZ52" s="57"/>
      <c r="QA52" s="57"/>
      <c r="QB52" s="57">
        <f t="shared" si="174"/>
        <v>0</v>
      </c>
      <c r="QC52" s="57">
        <f t="shared" si="333"/>
        <v>0</v>
      </c>
      <c r="QD52" s="57">
        <f t="shared" si="334"/>
        <v>0</v>
      </c>
      <c r="QE52" s="57">
        <f t="shared" si="335"/>
        <v>0</v>
      </c>
      <c r="QF52" s="57">
        <f t="shared" si="336"/>
        <v>0</v>
      </c>
      <c r="QG52" s="1029">
        <f t="shared" si="473"/>
        <v>0</v>
      </c>
      <c r="QH52" s="57">
        <f t="shared" si="474"/>
        <v>0</v>
      </c>
      <c r="QI52" s="171" t="str">
        <f t="shared" si="475"/>
        <v/>
      </c>
      <c r="QJ52" s="57">
        <f t="shared" si="337"/>
        <v>0</v>
      </c>
      <c r="QK52" s="57">
        <f>IF(OR(AND(PY$6=1,$L52=0),AND(PY$6=2,$K52=2,$G52=1)),0,IF(AND(QA$9=2,(OR($F52&gt;1,$K52=1,AND($L52=80,OR($N52=1,AND($N52=2,'#BerechnungDBE'!$AL43&gt;0)))))),IF(PY$4&gt;=$AD$126,0,QI52),IF(QA$9=3,IF(OR(PY$4&gt;=$AD$127,AND($G52=1,$J52=2,PY$6=2),AND(PY$6=1,$N52&lt;&gt;1)),0,IF(QC52&lt;=120,QI52,IF(PY$4&lt;$AD$124,IF($F52=1,60/QA$4*QA$6,60/QA$4*QA$7),IF($F52=1,120/QA$4*QA$6,120/QA$4*QA$7)))),IF(OR($F52=3,$G52=2),IF(OR(AND(PY$4&gt;=$AD$119,$C52=2),AND(PY$4&gt;=$AF$119,$C52=1)),0,IF(QC52&lt;=60,QI52,60/QA$4*QA$7)),IF(AND($F52=2,$G52=1),QI52,0)))))</f>
        <v>0</v>
      </c>
      <c r="QL52" s="57" t="str">
        <f t="shared" si="178"/>
        <v/>
      </c>
      <c r="QM52" s="57" t="str">
        <f t="shared" si="476"/>
        <v/>
      </c>
      <c r="QN52" s="713">
        <f>'org. Düngung 22'!DT51</f>
        <v>0</v>
      </c>
      <c r="QO52" s="57"/>
      <c r="QP52" s="57"/>
      <c r="QQ52" s="57">
        <f t="shared" si="180"/>
        <v>0</v>
      </c>
      <c r="QR52" s="57">
        <f t="shared" si="338"/>
        <v>0</v>
      </c>
      <c r="QS52" s="57">
        <f t="shared" si="339"/>
        <v>0</v>
      </c>
      <c r="QT52" s="57">
        <f t="shared" si="340"/>
        <v>0</v>
      </c>
      <c r="QU52" s="57">
        <f t="shared" si="341"/>
        <v>0</v>
      </c>
      <c r="QV52" s="1029">
        <f t="shared" si="477"/>
        <v>0</v>
      </c>
      <c r="QW52" s="57">
        <f t="shared" si="478"/>
        <v>0</v>
      </c>
      <c r="QX52" s="171" t="str">
        <f t="shared" si="479"/>
        <v/>
      </c>
      <c r="QY52" s="57">
        <f t="shared" si="342"/>
        <v>0</v>
      </c>
      <c r="QZ52" s="57">
        <f>IF(OR(AND(QN$6=1,$L52=0),AND(QN$6=2,$K52=2,$G52=1)),0,IF(AND(QP$9=2,(OR($F52&gt;1,$K52=1,AND($L52=80,OR($N52=1,AND($N52=2,'#BerechnungDBE'!$AL43&gt;0)))))),IF(QN$4&gt;=$AD$126,0,QX52),IF(QP$9=3,IF(OR(QN$4&gt;=$AD$127,AND($G52=1,$J52=2,QN$6=2),AND(QN$6=1,$N52&lt;&gt;1)),0,IF(QR52&lt;=120,QX52,IF(QN$4&lt;$AD$124,IF($F52=1,60/QP$4*QP$6,60/QP$4*QP$7),IF($F52=1,120/QP$4*QP$6,120/QP$4*QP$7)))),IF(OR($F52=3,$G52=2),IF(OR(AND(QN$4&gt;=$AD$119,$C52=2),AND(QN$4&gt;=$AF$119,$C52=1)),0,IF(QR52&lt;=60,QX52,60/QP$4*QP$7)),IF(AND($F52=2,$G52=1),QX52,0)))))</f>
        <v>0</v>
      </c>
      <c r="RA52" s="57" t="str">
        <f t="shared" si="184"/>
        <v/>
      </c>
      <c r="RB52" s="57" t="str">
        <f t="shared" si="480"/>
        <v/>
      </c>
      <c r="RC52" s="713">
        <f>'org. Düngung 22'!DX51</f>
        <v>0</v>
      </c>
      <c r="RD52" s="57"/>
      <c r="RE52" s="57"/>
      <c r="RF52" s="57">
        <f t="shared" si="186"/>
        <v>0</v>
      </c>
      <c r="RG52" s="57">
        <f t="shared" si="343"/>
        <v>0</v>
      </c>
      <c r="RH52" s="57">
        <f t="shared" si="344"/>
        <v>0</v>
      </c>
      <c r="RI52" s="57">
        <f t="shared" si="345"/>
        <v>0</v>
      </c>
      <c r="RJ52" s="57">
        <f t="shared" si="346"/>
        <v>0</v>
      </c>
      <c r="RK52" s="1029">
        <f t="shared" si="481"/>
        <v>0</v>
      </c>
      <c r="RL52" s="57">
        <f t="shared" si="482"/>
        <v>0</v>
      </c>
      <c r="RM52" s="171" t="str">
        <f t="shared" si="483"/>
        <v/>
      </c>
      <c r="RN52" s="57">
        <f t="shared" si="347"/>
        <v>0</v>
      </c>
      <c r="RO52" s="57">
        <f>IF(OR(AND(RC$6=1,$L52=0),AND(RC$6=2,$K52=2,$G52=1)),0,IF(AND(RE$9=2,(OR($F52&gt;1,$K52=1,AND($L52=80,OR($N52=1,AND($N52=2,'#BerechnungDBE'!$AL43&gt;0)))))),IF(RC$4&gt;=$AD$126,0,RM52),IF(RE$9=3,IF(OR(RC$4&gt;=$AD$127,AND($G52=1,$J52=2,RC$6=2),AND(RC$6=1,$N52&lt;&gt;1)),0,IF(RG52&lt;=120,RM52,IF(RC$4&lt;$AD$124,IF($F52=1,60/RE$4*RE$6,60/RE$4*RE$7),IF($F52=1,120/RE$4*RE$6,120/RE$4*RE$7)))),IF(OR($F52=3,$G52=2),IF(OR(AND(RC$4&gt;=$AD$119,$C52=2),AND(RC$4&gt;=$AF$119,$C52=1)),0,IF(RG52&lt;=60,RM52,60/RE$4*RE$7)),IF(AND($F52=2,$G52=1),RM52,0)))))</f>
        <v>0</v>
      </c>
      <c r="RP52" s="57" t="str">
        <f t="shared" si="190"/>
        <v/>
      </c>
      <c r="RQ52" s="57" t="str">
        <f t="shared" si="484"/>
        <v/>
      </c>
      <c r="RS52" s="57" t="str">
        <f t="shared" si="488"/>
        <v/>
      </c>
      <c r="RT52" s="57" t="str">
        <f t="shared" si="485"/>
        <v/>
      </c>
      <c r="RU52" s="57" t="str">
        <f t="shared" si="486"/>
        <v/>
      </c>
      <c r="RV52" s="57" t="str">
        <f>IF(Z52&gt;'#BerechnungDBE'!BM43,$RV$9,"")</f>
        <v/>
      </c>
      <c r="RW52" s="57" t="str">
        <f>IF(AND(L52=70,AE52&gt;'#BerechnungDBE'!CQ43),$RW$9,"")</f>
        <v/>
      </c>
      <c r="RX52" s="57" t="str">
        <f>IF(OR('org. Düngung 22'!G51="--",'org. Düngung 22'!G51&lt;=170,'org. Düngung 22'!G51=""),"",$RX$9)</f>
        <v/>
      </c>
      <c r="RY52" s="57" t="str">
        <f>IF('org. Düngung 22'!K51&gt;120,'#orgDung'!$RY$9,"")</f>
        <v/>
      </c>
      <c r="RZ52" s="57" t="str">
        <f>IF('#BerechnungDBE'!P43&lt;4,"",IF(AND('#BerechnungDBE'!BZ43&gt;0,T52&gt;0),'#orgDung'!$RZ$9,""))</f>
        <v/>
      </c>
      <c r="SA52" s="57" t="str">
        <f t="shared" si="487"/>
        <v/>
      </c>
    </row>
    <row r="53" spans="1:495" s="875" customFormat="1" x14ac:dyDescent="0.2">
      <c r="A53" s="875">
        <f>'Flächen u. Kulturen'!A49</f>
        <v>40</v>
      </c>
      <c r="B53" s="367">
        <f>'#BerechnungDBE'!L44</f>
        <v>0</v>
      </c>
      <c r="C53" s="875">
        <f>'#BerechnungDBE'!R44</f>
        <v>1</v>
      </c>
      <c r="D53" s="875">
        <f>'#BerechnungDBE'!T44</f>
        <v>2</v>
      </c>
      <c r="E53" s="875" t="str">
        <f>'Flächen u. Kulturen'!E49</f>
        <v>x</v>
      </c>
      <c r="F53" s="52">
        <f>'#BerechnungDBE'!N44</f>
        <v>1</v>
      </c>
      <c r="G53" s="52">
        <f>'#BerechnungDBE'!O44</f>
        <v>1</v>
      </c>
      <c r="H53" s="875">
        <f>IF('Flächen u. Kulturen'!P49="",0,VLOOKUP('Flächen u. Kulturen'!P49,Kulturen[[HF]:[Berechnungsgruppe]],'#Frucht'!$H$1,FALSE))</f>
        <v>0</v>
      </c>
      <c r="I53" s="875">
        <f>IF('Flächen u. Kulturen'!J49="",0,VLOOKUP('Flächen u. Kulturen'!J49,Kulturen[[HF]:[Berechnungsgruppe]],'#Frucht'!$G$1,FALSE))</f>
        <v>90</v>
      </c>
      <c r="J53" s="505">
        <f t="shared" si="195"/>
        <v>2</v>
      </c>
      <c r="K53" s="505">
        <f>IF('Flächen u. Kulturen'!P49="",0,IF(VLOOKUP('Flächen u. Kulturen'!P49,Kulturen[[HF]:[Saat Winterungen]],'#Frucht'!$P$1,FALSE)&gt;0,1,2))</f>
        <v>2</v>
      </c>
      <c r="L53" s="875">
        <f>'#BerechnungDBE'!AF44</f>
        <v>0</v>
      </c>
      <c r="M53" s="875">
        <f>IF('Flächen u. Kulturen'!L49="",0,VLOOKUP('Flächen u. Kulturen'!L49,Nebenkultur[[Nebenkultur]:[Legum. Zwischenfr.]],'#Zweitfr'!$K$1,FALSE))</f>
        <v>0</v>
      </c>
      <c r="N53" s="875">
        <f>'#BerechnungDBE'!AG44</f>
        <v>0</v>
      </c>
      <c r="P53" s="57">
        <f t="shared" si="353"/>
        <v>0</v>
      </c>
      <c r="Q53" s="57">
        <f t="shared" si="354"/>
        <v>0</v>
      </c>
      <c r="R53" s="875">
        <f t="shared" si="355"/>
        <v>0</v>
      </c>
      <c r="S53" s="938" t="str">
        <f t="shared" si="3"/>
        <v/>
      </c>
      <c r="T53" s="875">
        <f t="shared" si="356"/>
        <v>0</v>
      </c>
      <c r="U53" s="875">
        <f t="shared" si="357"/>
        <v>0</v>
      </c>
      <c r="V53" s="875">
        <f t="shared" si="358"/>
        <v>0</v>
      </c>
      <c r="W53" s="875">
        <f t="shared" si="359"/>
        <v>0</v>
      </c>
      <c r="X53" s="875">
        <f t="shared" si="360"/>
        <v>0</v>
      </c>
      <c r="Y53" s="875">
        <f t="shared" si="349"/>
        <v>0</v>
      </c>
      <c r="Z53" s="875">
        <f t="shared" si="350"/>
        <v>0</v>
      </c>
      <c r="AA53" s="910">
        <f t="shared" si="361"/>
        <v>0</v>
      </c>
      <c r="AB53" s="57">
        <f t="shared" si="351"/>
        <v>0</v>
      </c>
      <c r="AC53" s="875">
        <f t="shared" si="362"/>
        <v>0</v>
      </c>
      <c r="AD53" s="875">
        <f t="shared" si="363"/>
        <v>0</v>
      </c>
      <c r="AE53" s="875">
        <f t="shared" si="364"/>
        <v>0</v>
      </c>
      <c r="AF53" s="875">
        <f t="shared" si="352"/>
        <v>0</v>
      </c>
      <c r="AG53" s="875">
        <f>'org. Düngung 22'!J52</f>
        <v>0</v>
      </c>
      <c r="AH53" s="875">
        <f>'org. Düngung 22'!K52</f>
        <v>0</v>
      </c>
      <c r="AJ53" s="713">
        <f>'org. Düngung 22'!L52</f>
        <v>0</v>
      </c>
      <c r="AK53" s="57"/>
      <c r="AL53" s="57"/>
      <c r="AM53" s="57">
        <f t="shared" si="196"/>
        <v>0</v>
      </c>
      <c r="AN53" s="57">
        <f t="shared" si="197"/>
        <v>0</v>
      </c>
      <c r="AO53" s="57">
        <f t="shared" si="198"/>
        <v>0</v>
      </c>
      <c r="AP53" s="57">
        <f t="shared" si="199"/>
        <v>0</v>
      </c>
      <c r="AQ53" s="57">
        <f t="shared" si="200"/>
        <v>0</v>
      </c>
      <c r="AR53" s="1029">
        <f t="shared" si="365"/>
        <v>0</v>
      </c>
      <c r="AS53" s="57">
        <f t="shared" si="366"/>
        <v>0</v>
      </c>
      <c r="AT53" s="171" t="str">
        <f t="shared" si="367"/>
        <v/>
      </c>
      <c r="AU53" s="57">
        <f t="shared" si="201"/>
        <v>0</v>
      </c>
      <c r="AV53" s="57">
        <f>IF(OR(AND(AJ$6=1,$L53=0),AND(AJ$6=2,$K53=2,$G53=1)),0,IF(AND(AL$9=2,(OR($F53&gt;1,$K53=1,AND($L53=80,OR($N53=1,AND($N53=2,'#BerechnungDBE'!$AL44&gt;0)))))),IF(AJ$4&gt;=$AD$126,0,AT53),IF(AL$9=3,IF(OR(AJ$4&gt;=$AD$127,AND($G53=1,$J53=2,AJ$6=2),AND(AJ$6=1,$N53&lt;&gt;1)),0,IF(AN53&lt;=120,AT53,IF(AJ$4&lt;$AD$124,IF($F53=1,60/AL$4*AL$6,60/AL$4*AL$7),IF($F53=1,120/AL$4*AL$6,120/AL$4*AL$7)))),IF(OR($F53=3,$G53=2),IF(OR(AND(AJ$4&gt;=$AD$119,$C53=2),AND(AJ$4&gt;=$AF$119,$C53=1)),0,IF(AN53&lt;=60,AT53,60/AL$4*AL$7)),IF(AND($F53=2,$G53=1),AT53,0)))))</f>
        <v>0</v>
      </c>
      <c r="AW53" s="57" t="str">
        <f t="shared" si="202"/>
        <v/>
      </c>
      <c r="AX53" s="57" t="str">
        <f t="shared" si="368"/>
        <v/>
      </c>
      <c r="AY53" s="713">
        <f>'org. Düngung 22'!P52</f>
        <v>0</v>
      </c>
      <c r="AZ53" s="57"/>
      <c r="BA53" s="57"/>
      <c r="BB53" s="57">
        <f t="shared" si="18"/>
        <v>0</v>
      </c>
      <c r="BC53" s="57">
        <f t="shared" si="203"/>
        <v>0</v>
      </c>
      <c r="BD53" s="57">
        <f t="shared" si="204"/>
        <v>0</v>
      </c>
      <c r="BE53" s="57">
        <f t="shared" si="205"/>
        <v>0</v>
      </c>
      <c r="BF53" s="57">
        <f t="shared" si="206"/>
        <v>0</v>
      </c>
      <c r="BG53" s="1029">
        <f t="shared" si="369"/>
        <v>0</v>
      </c>
      <c r="BH53" s="57">
        <f t="shared" si="370"/>
        <v>0</v>
      </c>
      <c r="BI53" s="171" t="str">
        <f t="shared" si="371"/>
        <v/>
      </c>
      <c r="BJ53" s="57">
        <f t="shared" si="207"/>
        <v>0</v>
      </c>
      <c r="BK53" s="57">
        <f>IF(OR(AND(AY$6=1,$L53=0),AND(AY$6=2,$K53=2,$G53=1)),0,IF(AND(BA$9=2,(OR($F53&gt;1,$K53=1,AND($L53=80,OR($N53=1,AND($N53=2,'#BerechnungDBE'!$AL44&gt;0)))))),IF(AY$4&gt;=$AD$126,0,BI53),IF(BA$9=3,IF(OR(AY$4&gt;=$AD$127,AND($G53=1,$J53=2,AY$6=2),AND(AY$6=1,$N53&lt;&gt;1)),0,IF(BC53&lt;=120,BI53,IF(AY$4&lt;$AD$124,IF($F53=1,60/BA$4*BA$6,60/BA$4*BA$7),IF($F53=1,120/BA$4*BA$6,120/BA$4*BA$7)))),IF(OR($F53=3,$G53=2),IF(OR(AND(AY$4&gt;=$AD$119,$C53=2),AND(AY$4&gt;=$AF$119,$C53=1)),0,IF(BC53&lt;=60,BI53,60/BA$4*BA$7)),IF(AND($F53=2,$G53=1),BI53,0)))))</f>
        <v>0</v>
      </c>
      <c r="BL53" s="57" t="str">
        <f t="shared" si="22"/>
        <v/>
      </c>
      <c r="BM53" s="57" t="str">
        <f t="shared" si="372"/>
        <v/>
      </c>
      <c r="BN53" s="713">
        <f>'org. Düngung 22'!T52</f>
        <v>0</v>
      </c>
      <c r="BO53" s="57"/>
      <c r="BP53" s="57"/>
      <c r="BQ53" s="57">
        <f t="shared" si="24"/>
        <v>0</v>
      </c>
      <c r="BR53" s="57">
        <f t="shared" si="208"/>
        <v>0</v>
      </c>
      <c r="BS53" s="57">
        <f t="shared" si="209"/>
        <v>0</v>
      </c>
      <c r="BT53" s="57">
        <f t="shared" si="210"/>
        <v>0</v>
      </c>
      <c r="BU53" s="57">
        <f t="shared" si="211"/>
        <v>0</v>
      </c>
      <c r="BV53" s="1029">
        <f t="shared" si="373"/>
        <v>0</v>
      </c>
      <c r="BW53" s="57">
        <f t="shared" si="374"/>
        <v>0</v>
      </c>
      <c r="BX53" s="171" t="str">
        <f t="shared" si="375"/>
        <v/>
      </c>
      <c r="BY53" s="57">
        <f t="shared" si="212"/>
        <v>0</v>
      </c>
      <c r="BZ53" s="57">
        <f>IF(OR(AND(BN$6=1,$L53=0),AND(BN$6=2,$K53=2,$G53=1)),0,IF(AND(BP$9=2,(OR($F53&gt;1,$K53=1,AND($L53=80,OR($N53=1,AND($N53=2,'#BerechnungDBE'!$AL44&gt;0)))))),IF(BN$4&gt;=$AD$126,0,BX53),IF(BP$9=3,IF(OR(BN$4&gt;=$AD$127,AND($G53=1,$J53=2,BN$6=2),AND(BN$6=1,$N53&lt;&gt;1)),0,IF(BR53&lt;=120,BX53,IF(BN$4&lt;$AD$124,IF($F53=1,60/BP$4*BP$6,60/BP$4*BP$7),IF($F53=1,120/BP$4*BP$6,120/BP$4*BP$7)))),IF(OR($F53=3,$G53=2),IF(OR(AND(BN$4&gt;=$AD$119,$C53=2),AND(BN$4&gt;=$AF$119,$C53=1)),0,IF(BR53&lt;=60,BX53,60/BP$4*BP$7)),IF(AND($F53=2,$G53=1),BX53,0)))))</f>
        <v>0</v>
      </c>
      <c r="CA53" s="57" t="str">
        <f t="shared" si="28"/>
        <v/>
      </c>
      <c r="CB53" s="57" t="str">
        <f t="shared" si="376"/>
        <v/>
      </c>
      <c r="CC53" s="713">
        <f>'org. Düngung 22'!X52</f>
        <v>0</v>
      </c>
      <c r="CD53" s="57"/>
      <c r="CE53" s="57"/>
      <c r="CF53" s="57">
        <f t="shared" si="30"/>
        <v>0</v>
      </c>
      <c r="CG53" s="57">
        <f t="shared" si="213"/>
        <v>0</v>
      </c>
      <c r="CH53" s="57">
        <f t="shared" si="214"/>
        <v>0</v>
      </c>
      <c r="CI53" s="57">
        <f t="shared" si="215"/>
        <v>0</v>
      </c>
      <c r="CJ53" s="57">
        <f t="shared" si="216"/>
        <v>0</v>
      </c>
      <c r="CK53" s="1029">
        <f t="shared" si="377"/>
        <v>0</v>
      </c>
      <c r="CL53" s="57">
        <f t="shared" si="378"/>
        <v>0</v>
      </c>
      <c r="CM53" s="171" t="str">
        <f t="shared" si="379"/>
        <v/>
      </c>
      <c r="CN53" s="57">
        <f t="shared" si="217"/>
        <v>0</v>
      </c>
      <c r="CO53" s="57">
        <f>IF(OR(AND(CC$6=1,$L53=0),AND(CC$6=2,$K53=2,$G53=1)),0,IF(AND(CE$9=2,(OR($F53&gt;1,$K53=1,AND($L53=80,OR($N53=1,AND($N53=2,'#BerechnungDBE'!$AL44&gt;0)))))),IF(CC$4&gt;=$AD$126,0,CM53),IF(CE$9=3,IF(OR(CC$4&gt;=$AD$127,AND($G53=1,$J53=2,CC$6=2),AND(CC$6=1,$N53&lt;&gt;1)),0,IF(CG53&lt;=120,CM53,IF(CC$4&lt;$AD$124,IF($F53=1,60/CE$4*CE$6,60/CE$4*CE$7),IF($F53=1,120/CE$4*CE$6,120/CE$4*CE$7)))),IF(OR($F53=3,$G53=2),IF(OR(AND(CC$4&gt;=$AD$119,$C53=2),AND(CC$4&gt;=$AF$119,$C53=1)),0,IF(CG53&lt;=60,CM53,60/CE$4*CE$7)),IF(AND($F53=2,$G53=1),CM53,0)))))</f>
        <v>0</v>
      </c>
      <c r="CP53" s="57" t="str">
        <f t="shared" si="34"/>
        <v/>
      </c>
      <c r="CQ53" s="57" t="str">
        <f t="shared" si="380"/>
        <v/>
      </c>
      <c r="CR53" s="713">
        <f>'org. Düngung 22'!AB52</f>
        <v>0</v>
      </c>
      <c r="CS53" s="57"/>
      <c r="CT53" s="57"/>
      <c r="CU53" s="57">
        <f t="shared" si="36"/>
        <v>0</v>
      </c>
      <c r="CV53" s="57">
        <f t="shared" si="218"/>
        <v>0</v>
      </c>
      <c r="CW53" s="57">
        <f t="shared" si="219"/>
        <v>0</v>
      </c>
      <c r="CX53" s="57">
        <f t="shared" si="220"/>
        <v>0</v>
      </c>
      <c r="CY53" s="57">
        <f t="shared" si="221"/>
        <v>0</v>
      </c>
      <c r="CZ53" s="1029">
        <f t="shared" si="381"/>
        <v>0</v>
      </c>
      <c r="DA53" s="57">
        <f t="shared" si="382"/>
        <v>0</v>
      </c>
      <c r="DB53" s="171" t="str">
        <f t="shared" si="383"/>
        <v/>
      </c>
      <c r="DC53" s="57">
        <f t="shared" si="222"/>
        <v>0</v>
      </c>
      <c r="DD53" s="57">
        <f>IF(OR(AND(CR$6=1,$L53=0),AND(CR$6=2,$K53=2,$G53=1)),0,IF(AND(CT$9=2,(OR($F53&gt;1,$K53=1,AND($L53=80,OR($N53=1,AND($N53=2,'#BerechnungDBE'!$AL44&gt;0)))))),IF(CR$4&gt;=$AD$126,0,DB53),IF(CT$9=3,IF(OR(CR$4&gt;=$AD$127,AND($G53=1,$J53=2,CR$6=2),AND(CR$6=1,$N53&lt;&gt;1)),0,IF(CV53&lt;=120,DB53,IF(CR$4&lt;$AD$124,IF($F53=1,60/CT$4*CT$6,60/CT$4*CT$7),IF($F53=1,120/CT$4*CT$6,120/CT$4*CT$7)))),IF(OR($F53=3,$G53=2),IF(OR(AND(CR$4&gt;=$AD$119,$C53=2),AND(CR$4&gt;=$AF$119,$C53=1)),0,IF(CV53&lt;=60,DB53,60/CT$4*CT$7)),IF(AND($F53=2,$G53=1),DB53,0)))))</f>
        <v>0</v>
      </c>
      <c r="DE53" s="57" t="str">
        <f t="shared" si="40"/>
        <v/>
      </c>
      <c r="DF53" s="57" t="str">
        <f t="shared" si="384"/>
        <v/>
      </c>
      <c r="DG53" s="713">
        <f>'org. Düngung 22'!AF52</f>
        <v>0</v>
      </c>
      <c r="DH53" s="57"/>
      <c r="DI53" s="57"/>
      <c r="DJ53" s="57">
        <f t="shared" si="42"/>
        <v>0</v>
      </c>
      <c r="DK53" s="57">
        <f t="shared" si="223"/>
        <v>0</v>
      </c>
      <c r="DL53" s="57">
        <f t="shared" si="224"/>
        <v>0</v>
      </c>
      <c r="DM53" s="57">
        <f t="shared" si="225"/>
        <v>0</v>
      </c>
      <c r="DN53" s="57">
        <f t="shared" si="226"/>
        <v>0</v>
      </c>
      <c r="DO53" s="1029">
        <f t="shared" si="385"/>
        <v>0</v>
      </c>
      <c r="DP53" s="57">
        <f t="shared" si="386"/>
        <v>0</v>
      </c>
      <c r="DQ53" s="171" t="str">
        <f t="shared" si="387"/>
        <v/>
      </c>
      <c r="DR53" s="57">
        <f t="shared" si="227"/>
        <v>0</v>
      </c>
      <c r="DS53" s="57">
        <f>IF(OR(AND(DG$6=1,$L53=0),AND(DG$6=2,$K53=2,$G53=1)),0,IF(AND(DI$9=2,(OR($F53&gt;1,$K53=1,AND($L53=80,OR($N53=1,AND($N53=2,'#BerechnungDBE'!$AL44&gt;0)))))),IF(DG$4&gt;=$AD$126,0,DQ53),IF(DI$9=3,IF(OR(DG$4&gt;=$AD$127,AND($G53=1,$J53=2,DG$6=2),AND(DG$6=1,$N53&lt;&gt;1)),0,IF(DK53&lt;=120,DQ53,IF(DG$4&lt;$AD$124,IF($F53=1,60/DI$4*DI$6,60/DI$4*DI$7),IF($F53=1,120/DI$4*DI$6,120/DI$4*DI$7)))),IF(OR($F53=3,$G53=2),IF(OR(AND(DG$4&gt;=$AD$119,$C53=2),AND(DG$4&gt;=$AF$119,$C53=1)),0,IF(DK53&lt;=60,DQ53,60/DI$4*DI$7)),IF(AND($F53=2,$G53=1),DQ53,0)))))</f>
        <v>0</v>
      </c>
      <c r="DT53" s="57" t="str">
        <f t="shared" si="46"/>
        <v/>
      </c>
      <c r="DU53" s="57" t="str">
        <f t="shared" si="388"/>
        <v/>
      </c>
      <c r="DV53" s="713">
        <f>'org. Düngung 22'!AJ52</f>
        <v>0</v>
      </c>
      <c r="DW53" s="57"/>
      <c r="DX53" s="57"/>
      <c r="DY53" s="57">
        <f t="shared" si="48"/>
        <v>0</v>
      </c>
      <c r="DZ53" s="57">
        <f t="shared" si="228"/>
        <v>0</v>
      </c>
      <c r="EA53" s="57">
        <f t="shared" si="229"/>
        <v>0</v>
      </c>
      <c r="EB53" s="57">
        <f t="shared" si="230"/>
        <v>0</v>
      </c>
      <c r="EC53" s="57">
        <f t="shared" si="231"/>
        <v>0</v>
      </c>
      <c r="ED53" s="1029">
        <f t="shared" si="389"/>
        <v>0</v>
      </c>
      <c r="EE53" s="57">
        <f t="shared" si="390"/>
        <v>0</v>
      </c>
      <c r="EF53" s="171" t="str">
        <f t="shared" si="391"/>
        <v/>
      </c>
      <c r="EG53" s="57">
        <f t="shared" si="232"/>
        <v>0</v>
      </c>
      <c r="EH53" s="57">
        <f>IF(OR(AND(DV$6=1,$L53=0),AND(DV$6=2,$K53=2,$G53=1)),0,IF(AND(DX$9=2,(OR($F53&gt;1,$K53=1,AND($L53=80,OR($N53=1,AND($N53=2,'#BerechnungDBE'!$AL44&gt;0)))))),IF(DV$4&gt;=$AD$126,0,EF53),IF(DX$9=3,IF(OR(DV$4&gt;=$AD$127,AND($G53=1,$J53=2,DV$6=2),AND(DV$6=1,$N53&lt;&gt;1)),0,IF(DZ53&lt;=120,EF53,IF(DV$4&lt;$AD$124,IF($F53=1,60/DX$4*DX$6,60/DX$4*DX$7),IF($F53=1,120/DX$4*DX$6,120/DX$4*DX$7)))),IF(OR($F53=3,$G53=2),IF(OR(AND(DV$4&gt;=$AD$119,$C53=2),AND(DV$4&gt;=$AF$119,$C53=1)),0,IF(DZ53&lt;=60,EF53,60/DX$4*DX$7)),IF(AND($F53=2,$G53=1),EF53,0)))))</f>
        <v>0</v>
      </c>
      <c r="EI53" s="57" t="str">
        <f t="shared" si="52"/>
        <v/>
      </c>
      <c r="EJ53" s="57" t="str">
        <f t="shared" si="392"/>
        <v/>
      </c>
      <c r="EK53" s="713">
        <f>'org. Düngung 22'!AN52</f>
        <v>0</v>
      </c>
      <c r="EL53" s="57"/>
      <c r="EM53" s="57"/>
      <c r="EN53" s="57">
        <f t="shared" si="54"/>
        <v>0</v>
      </c>
      <c r="EO53" s="57">
        <f t="shared" si="233"/>
        <v>0</v>
      </c>
      <c r="EP53" s="57">
        <f t="shared" si="234"/>
        <v>0</v>
      </c>
      <c r="EQ53" s="57">
        <f t="shared" si="235"/>
        <v>0</v>
      </c>
      <c r="ER53" s="57">
        <f t="shared" si="236"/>
        <v>0</v>
      </c>
      <c r="ES53" s="1029">
        <f t="shared" si="393"/>
        <v>0</v>
      </c>
      <c r="ET53" s="57">
        <f t="shared" si="394"/>
        <v>0</v>
      </c>
      <c r="EU53" s="171" t="str">
        <f t="shared" si="395"/>
        <v/>
      </c>
      <c r="EV53" s="57">
        <f t="shared" si="237"/>
        <v>0</v>
      </c>
      <c r="EW53" s="57">
        <f>IF(OR(AND(EK$6=1,$L53=0),AND(EK$6=2,$K53=2,$G53=1)),0,IF(AND(EM$9=2,(OR($F53&gt;1,$K53=1,AND($L53=80,OR($N53=1,AND($N53=2,'#BerechnungDBE'!$AL44&gt;0)))))),IF(EK$4&gt;=$AD$126,0,EU53),IF(EM$9=3,IF(OR(EK$4&gt;=$AD$127,AND($G53=1,$J53=2,EK$6=2),AND(EK$6=1,$N53&lt;&gt;1)),0,IF(EO53&lt;=120,EU53,IF(EK$4&lt;$AD$124,IF($F53=1,60/EM$4*EM$6,60/EM$4*EM$7),IF($F53=1,120/EM$4*EM$6,120/EM$4*EM$7)))),IF(OR($F53=3,$G53=2),IF(OR(AND(EK$4&gt;=$AD$119,$C53=2),AND(EK$4&gt;=$AF$119,$C53=1)),0,IF(EO53&lt;=60,EU53,60/EM$4*EM$7)),IF(AND($F53=2,$G53=1),EU53,0)))))</f>
        <v>0</v>
      </c>
      <c r="EX53" s="57" t="str">
        <f t="shared" si="58"/>
        <v/>
      </c>
      <c r="EY53" s="57" t="str">
        <f t="shared" si="396"/>
        <v/>
      </c>
      <c r="EZ53" s="713">
        <f>'org. Düngung 22'!AR52</f>
        <v>0</v>
      </c>
      <c r="FA53" s="57"/>
      <c r="FB53" s="57"/>
      <c r="FC53" s="57">
        <f t="shared" si="60"/>
        <v>0</v>
      </c>
      <c r="FD53" s="57">
        <f t="shared" si="238"/>
        <v>0</v>
      </c>
      <c r="FE53" s="57">
        <f t="shared" si="239"/>
        <v>0</v>
      </c>
      <c r="FF53" s="57">
        <f t="shared" si="240"/>
        <v>0</v>
      </c>
      <c r="FG53" s="57">
        <f t="shared" si="241"/>
        <v>0</v>
      </c>
      <c r="FH53" s="1029">
        <f t="shared" si="397"/>
        <v>0</v>
      </c>
      <c r="FI53" s="57">
        <f t="shared" si="398"/>
        <v>0</v>
      </c>
      <c r="FJ53" s="171" t="str">
        <f t="shared" si="399"/>
        <v/>
      </c>
      <c r="FK53" s="57">
        <f t="shared" si="242"/>
        <v>0</v>
      </c>
      <c r="FL53" s="57">
        <f>IF(OR(AND(EZ$6=1,$L53=0),AND(EZ$6=2,$K53=2,$G53=1)),0,IF(AND(FB$9=2,(OR($F53&gt;1,$K53=1,AND($L53=80,OR($N53=1,AND($N53=2,'#BerechnungDBE'!$AL44&gt;0)))))),IF(EZ$4&gt;=$AD$126,0,FJ53),IF(FB$9=3,IF(OR(EZ$4&gt;=$AD$127,AND($G53=1,$J53=2,EZ$6=2),AND(EZ$6=1,$N53&lt;&gt;1)),0,IF(FD53&lt;=120,FJ53,IF(EZ$4&lt;$AD$124,IF($F53=1,60/FB$4*FB$6,60/FB$4*FB$7),IF($F53=1,120/FB$4*FB$6,120/FB$4*FB$7)))),IF(OR($F53=3,$G53=2),IF(OR(AND(EZ$4&gt;=$AD$119,$C53=2),AND(EZ$4&gt;=$AF$119,$C53=1)),0,IF(FD53&lt;=60,FJ53,60/FB$4*FB$7)),IF(AND($F53=2,$G53=1),FJ53,0)))))</f>
        <v>0</v>
      </c>
      <c r="FM53" s="57" t="str">
        <f t="shared" si="64"/>
        <v/>
      </c>
      <c r="FN53" s="57" t="str">
        <f t="shared" si="400"/>
        <v/>
      </c>
      <c r="FO53" s="713">
        <f>'org. Düngung 22'!AV52</f>
        <v>0</v>
      </c>
      <c r="FP53" s="57"/>
      <c r="FQ53" s="57"/>
      <c r="FR53" s="57">
        <f t="shared" si="66"/>
        <v>0</v>
      </c>
      <c r="FS53" s="57">
        <f t="shared" si="243"/>
        <v>0</v>
      </c>
      <c r="FT53" s="57">
        <f t="shared" si="244"/>
        <v>0</v>
      </c>
      <c r="FU53" s="57">
        <f t="shared" si="245"/>
        <v>0</v>
      </c>
      <c r="FV53" s="57">
        <f t="shared" si="246"/>
        <v>0</v>
      </c>
      <c r="FW53" s="1029">
        <f t="shared" si="401"/>
        <v>0</v>
      </c>
      <c r="FX53" s="57">
        <f t="shared" si="402"/>
        <v>0</v>
      </c>
      <c r="FY53" s="171" t="str">
        <f t="shared" si="403"/>
        <v/>
      </c>
      <c r="FZ53" s="57">
        <f t="shared" si="247"/>
        <v>0</v>
      </c>
      <c r="GA53" s="57">
        <f>IF(OR(AND(FO$6=1,$L53=0),AND(FO$6=2,$K53=2,$G53=1)),0,IF(AND(FQ$9=2,(OR($F53&gt;1,$K53=1,AND($L53=80,OR($N53=1,AND($N53=2,'#BerechnungDBE'!$AL44&gt;0)))))),IF(FO$4&gt;=$AD$126,0,FY53),IF(FQ$9=3,IF(OR(FO$4&gt;=$AD$127,AND($G53=1,$J53=2,FO$6=2),AND(FO$6=1,$N53&lt;&gt;1)),0,IF(FS53&lt;=120,FY53,IF(FO$4&lt;$AD$124,IF($F53=1,60/FQ$4*FQ$6,60/FQ$4*FQ$7),IF($F53=1,120/FQ$4*FQ$6,120/FQ$4*FQ$7)))),IF(OR($F53=3,$G53=2),IF(OR(AND(FO$4&gt;=$AD$119,$C53=2),AND(FO$4&gt;=$AF$119,$C53=1)),0,IF(FS53&lt;=60,FY53,60/FQ$4*FQ$7)),IF(AND($F53=2,$G53=1),FY53,0)))))</f>
        <v>0</v>
      </c>
      <c r="GB53" s="57" t="str">
        <f t="shared" si="70"/>
        <v/>
      </c>
      <c r="GC53" s="57" t="str">
        <f t="shared" si="404"/>
        <v/>
      </c>
      <c r="GD53" s="713">
        <f>'org. Düngung 22'!AZ52</f>
        <v>0</v>
      </c>
      <c r="GE53" s="57"/>
      <c r="GF53" s="57"/>
      <c r="GG53" s="57">
        <f t="shared" si="72"/>
        <v>0</v>
      </c>
      <c r="GH53" s="57">
        <f t="shared" si="248"/>
        <v>0</v>
      </c>
      <c r="GI53" s="57">
        <f t="shared" si="249"/>
        <v>0</v>
      </c>
      <c r="GJ53" s="57">
        <f t="shared" si="250"/>
        <v>0</v>
      </c>
      <c r="GK53" s="57">
        <f t="shared" si="251"/>
        <v>0</v>
      </c>
      <c r="GL53" s="1029">
        <f t="shared" si="405"/>
        <v>0</v>
      </c>
      <c r="GM53" s="57">
        <f t="shared" si="406"/>
        <v>0</v>
      </c>
      <c r="GN53" s="171" t="str">
        <f t="shared" si="407"/>
        <v/>
      </c>
      <c r="GO53" s="57">
        <f t="shared" si="252"/>
        <v>0</v>
      </c>
      <c r="GP53" s="57">
        <f>IF(OR(AND(GD$6=1,$L53=0),AND(GD$6=2,$K53=2,$G53=1)),0,IF(AND(GF$9=2,(OR($F53&gt;1,$K53=1,AND($L53=80,OR($N53=1,AND($N53=2,'#BerechnungDBE'!$AL44&gt;0)))))),IF(GD$4&gt;=$AD$126,0,GN53),IF(GF$9=3,IF(OR(GD$4&gt;=$AD$127,AND($G53=1,$J53=2,GD$6=2),AND(GD$6=1,$N53&lt;&gt;1)),0,IF(GH53&lt;=120,GN53,IF(GD$4&lt;$AD$124,IF($F53=1,60/GF$4*GF$6,60/GF$4*GF$7),IF($F53=1,120/GF$4*GF$6,120/GF$4*GF$7)))),IF(OR($F53=3,$G53=2),IF(OR(AND(GD$4&gt;=$AD$119,$C53=2),AND(GD$4&gt;=$AF$119,$C53=1)),0,IF(GH53&lt;=60,GN53,60/GF$4*GF$7)),IF(AND($F53=2,$G53=1),GN53,0)))))</f>
        <v>0</v>
      </c>
      <c r="GQ53" s="57" t="str">
        <f t="shared" si="76"/>
        <v/>
      </c>
      <c r="GR53" s="57" t="str">
        <f t="shared" si="408"/>
        <v/>
      </c>
      <c r="GS53" s="713">
        <f>'org. Düngung 22'!BD52</f>
        <v>0</v>
      </c>
      <c r="GT53" s="57"/>
      <c r="GU53" s="57"/>
      <c r="GV53" s="57">
        <f t="shared" si="78"/>
        <v>0</v>
      </c>
      <c r="GW53" s="57">
        <f t="shared" si="253"/>
        <v>0</v>
      </c>
      <c r="GX53" s="57">
        <f t="shared" si="254"/>
        <v>0</v>
      </c>
      <c r="GY53" s="57">
        <f t="shared" si="255"/>
        <v>0</v>
      </c>
      <c r="GZ53" s="57">
        <f t="shared" si="256"/>
        <v>0</v>
      </c>
      <c r="HA53" s="1029">
        <f t="shared" si="409"/>
        <v>0</v>
      </c>
      <c r="HB53" s="57">
        <f t="shared" si="410"/>
        <v>0</v>
      </c>
      <c r="HC53" s="171" t="str">
        <f t="shared" si="411"/>
        <v/>
      </c>
      <c r="HD53" s="57">
        <f t="shared" si="257"/>
        <v>0</v>
      </c>
      <c r="HE53" s="57">
        <f>IF(OR(AND(GS$6=1,$L53=0),AND(GS$6=2,$K53=2,$G53=1)),0,IF(AND(GU$9=2,(OR($F53&gt;1,$K53=1,AND($L53=80,OR($N53=1,AND($N53=2,'#BerechnungDBE'!$AL44&gt;0)))))),IF(GS$4&gt;=$AD$126,0,HC53),IF(GU$9=3,IF(OR(GS$4&gt;=$AD$127,AND($G53=1,$J53=2,GS$6=2),AND(GS$6=1,$N53&lt;&gt;1)),0,IF(GW53&lt;=120,HC53,IF(GS$4&lt;$AD$124,IF($F53=1,60/GU$4*GU$6,60/GU$4*GU$7),IF($F53=1,120/GU$4*GU$6,120/GU$4*GU$7)))),IF(OR($F53=3,$G53=2),IF(OR(AND(GS$4&gt;=$AD$119,$C53=2),AND(GS$4&gt;=$AF$119,$C53=1)),0,IF(GW53&lt;=60,HC53,60/GU$4*GU$7)),IF(AND($F53=2,$G53=1),HC53,0)))))</f>
        <v>0</v>
      </c>
      <c r="HF53" s="57" t="str">
        <f t="shared" si="82"/>
        <v/>
      </c>
      <c r="HG53" s="57" t="str">
        <f t="shared" si="412"/>
        <v/>
      </c>
      <c r="HH53" s="713">
        <f>'org. Düngung 22'!BH52</f>
        <v>0</v>
      </c>
      <c r="HI53" s="57"/>
      <c r="HJ53" s="57"/>
      <c r="HK53" s="57">
        <f t="shared" si="84"/>
        <v>0</v>
      </c>
      <c r="HL53" s="57">
        <f t="shared" si="258"/>
        <v>0</v>
      </c>
      <c r="HM53" s="57">
        <f t="shared" si="259"/>
        <v>0</v>
      </c>
      <c r="HN53" s="57">
        <f t="shared" si="260"/>
        <v>0</v>
      </c>
      <c r="HO53" s="57">
        <f t="shared" si="261"/>
        <v>0</v>
      </c>
      <c r="HP53" s="1029">
        <f t="shared" si="413"/>
        <v>0</v>
      </c>
      <c r="HQ53" s="57">
        <f t="shared" si="414"/>
        <v>0</v>
      </c>
      <c r="HR53" s="171" t="str">
        <f t="shared" si="415"/>
        <v/>
      </c>
      <c r="HS53" s="57">
        <f t="shared" si="262"/>
        <v>0</v>
      </c>
      <c r="HT53" s="57">
        <f>IF(OR(AND(HH$6=1,$L53=0),AND(HH$6=2,$K53=2,$G53=1)),0,IF(AND(HJ$9=2,(OR($F53&gt;1,$K53=1,AND($L53=80,OR($N53=1,AND($N53=2,'#BerechnungDBE'!$AL44&gt;0)))))),IF(HH$4&gt;=$AD$126,0,HR53),IF(HJ$9=3,IF(OR(HH$4&gt;=$AD$127,AND($G53=1,$J53=2,HH$6=2),AND(HH$6=1,$N53&lt;&gt;1)),0,IF(HL53&lt;=120,HR53,IF(HH$4&lt;$AD$124,IF($F53=1,60/HJ$4*HJ$6,60/HJ$4*HJ$7),IF($F53=1,120/HJ$4*HJ$6,120/HJ$4*HJ$7)))),IF(OR($F53=3,$G53=2),IF(OR(AND(HH$4&gt;=$AD$119,$C53=2),AND(HH$4&gt;=$AF$119,$C53=1)),0,IF(HL53&lt;=60,HR53,60/HJ$4*HJ$7)),IF(AND($F53=2,$G53=1),HR53,0)))))</f>
        <v>0</v>
      </c>
      <c r="HU53" s="57" t="str">
        <f t="shared" si="88"/>
        <v/>
      </c>
      <c r="HV53" s="57" t="str">
        <f t="shared" si="416"/>
        <v/>
      </c>
      <c r="HW53" s="713">
        <f>'org. Düngung 22'!BL52</f>
        <v>0</v>
      </c>
      <c r="HX53" s="57"/>
      <c r="HY53" s="57"/>
      <c r="HZ53" s="57">
        <f t="shared" si="90"/>
        <v>0</v>
      </c>
      <c r="IA53" s="57">
        <f t="shared" si="263"/>
        <v>0</v>
      </c>
      <c r="IB53" s="57">
        <f t="shared" si="264"/>
        <v>0</v>
      </c>
      <c r="IC53" s="57">
        <f t="shared" si="265"/>
        <v>0</v>
      </c>
      <c r="ID53" s="57">
        <f t="shared" si="266"/>
        <v>0</v>
      </c>
      <c r="IE53" s="1029">
        <f t="shared" si="417"/>
        <v>0</v>
      </c>
      <c r="IF53" s="57">
        <f t="shared" si="418"/>
        <v>0</v>
      </c>
      <c r="IG53" s="171" t="str">
        <f t="shared" si="419"/>
        <v/>
      </c>
      <c r="IH53" s="57">
        <f t="shared" si="267"/>
        <v>0</v>
      </c>
      <c r="II53" s="57">
        <f>IF(OR(AND(HW$6=1,$L53=0),AND(HW$6=2,$K53=2,$G53=1)),0,IF(AND(HY$9=2,(OR($F53&gt;1,$K53=1,AND($L53=80,OR($N53=1,AND($N53=2,'#BerechnungDBE'!$AL44&gt;0)))))),IF(HW$4&gt;=$AD$126,0,IG53),IF(HY$9=3,IF(OR(HW$4&gt;=$AD$127,AND($G53=1,$J53=2,HW$6=2),AND(HW$6=1,$N53&lt;&gt;1)),0,IF(IA53&lt;=120,IG53,IF(HW$4&lt;$AD$124,IF($F53=1,60/HY$4*HY$6,60/HY$4*HY$7),IF($F53=1,120/HY$4*HY$6,120/HY$4*HY$7)))),IF(OR($F53=3,$G53=2),IF(OR(AND(HW$4&gt;=$AD$119,$C53=2),AND(HW$4&gt;=$AF$119,$C53=1)),0,IF(IA53&lt;=60,IG53,60/HY$4*HY$7)),IF(AND($F53=2,$G53=1),IG53,0)))))</f>
        <v>0</v>
      </c>
      <c r="IJ53" s="57" t="str">
        <f t="shared" si="94"/>
        <v/>
      </c>
      <c r="IK53" s="57" t="str">
        <f t="shared" si="420"/>
        <v/>
      </c>
      <c r="IL53" s="713">
        <f>'org. Düngung 22'!BP52</f>
        <v>0</v>
      </c>
      <c r="IM53" s="57"/>
      <c r="IN53" s="57"/>
      <c r="IO53" s="57">
        <f t="shared" si="96"/>
        <v>0</v>
      </c>
      <c r="IP53" s="57">
        <f t="shared" si="268"/>
        <v>0</v>
      </c>
      <c r="IQ53" s="57">
        <f t="shared" si="269"/>
        <v>0</v>
      </c>
      <c r="IR53" s="57">
        <f t="shared" si="270"/>
        <v>0</v>
      </c>
      <c r="IS53" s="57">
        <f t="shared" si="271"/>
        <v>0</v>
      </c>
      <c r="IT53" s="1029">
        <f t="shared" si="421"/>
        <v>0</v>
      </c>
      <c r="IU53" s="57">
        <f t="shared" si="422"/>
        <v>0</v>
      </c>
      <c r="IV53" s="171" t="str">
        <f t="shared" si="423"/>
        <v/>
      </c>
      <c r="IW53" s="57">
        <f t="shared" si="272"/>
        <v>0</v>
      </c>
      <c r="IX53" s="57">
        <f>IF(OR(AND(IL$6=1,$L53=0),AND(IL$6=2,$K53=2,$G53=1)),0,IF(AND(IN$9=2,(OR($F53&gt;1,$K53=1,AND($L53=80,OR($N53=1,AND($N53=2,'#BerechnungDBE'!$AL44&gt;0)))))),IF(IL$4&gt;=$AD$126,0,IV53),IF(IN$9=3,IF(OR(IL$4&gt;=$AD$127,AND($G53=1,$J53=2,IL$6=2),AND(IL$6=1,$N53&lt;&gt;1)),0,IF(IP53&lt;=120,IV53,IF(IL$4&lt;$AD$124,IF($F53=1,60/IN$4*IN$6,60/IN$4*IN$7),IF($F53=1,120/IN$4*IN$6,120/IN$4*IN$7)))),IF(OR($F53=3,$G53=2),IF(OR(AND(IL$4&gt;=$AD$119,$C53=2),AND(IL$4&gt;=$AF$119,$C53=1)),0,IF(IP53&lt;=60,IV53,60/IN$4*IN$7)),IF(AND($F53=2,$G53=1),IV53,0)))))</f>
        <v>0</v>
      </c>
      <c r="IY53" s="57" t="str">
        <f t="shared" si="100"/>
        <v/>
      </c>
      <c r="IZ53" s="57" t="str">
        <f t="shared" si="424"/>
        <v/>
      </c>
      <c r="JA53" s="713">
        <f>'org. Düngung 22'!BT52</f>
        <v>0</v>
      </c>
      <c r="JB53" s="57"/>
      <c r="JC53" s="57"/>
      <c r="JD53" s="57">
        <f t="shared" si="102"/>
        <v>0</v>
      </c>
      <c r="JE53" s="57">
        <f t="shared" si="273"/>
        <v>0</v>
      </c>
      <c r="JF53" s="57">
        <f t="shared" si="274"/>
        <v>0</v>
      </c>
      <c r="JG53" s="57">
        <f t="shared" si="275"/>
        <v>0</v>
      </c>
      <c r="JH53" s="57">
        <f t="shared" si="276"/>
        <v>0</v>
      </c>
      <c r="JI53" s="1029">
        <f t="shared" si="425"/>
        <v>0</v>
      </c>
      <c r="JJ53" s="57">
        <f t="shared" si="426"/>
        <v>0</v>
      </c>
      <c r="JK53" s="171" t="str">
        <f t="shared" si="427"/>
        <v/>
      </c>
      <c r="JL53" s="57">
        <f t="shared" si="277"/>
        <v>0</v>
      </c>
      <c r="JM53" s="57">
        <f>IF(OR(AND(JA$6=1,$L53=0),AND(JA$6=2,$K53=2,$G53=1)),0,IF(AND(JC$9=2,(OR($F53&gt;1,$K53=1,AND($L53=80,OR($N53=1,AND($N53=2,'#BerechnungDBE'!$AL44&gt;0)))))),IF(JA$4&gt;=$AD$126,0,JK53),IF(JC$9=3,IF(OR(JA$4&gt;=$AD$127,AND($G53=1,$J53=2,JA$6=2),AND(JA$6=1,$N53&lt;&gt;1)),0,IF(JE53&lt;=120,JK53,IF(JA$4&lt;$AD$124,IF($F53=1,60/JC$4*JC$6,60/JC$4*JC$7),IF($F53=1,120/JC$4*JC$6,120/JC$4*JC$7)))),IF(OR($F53=3,$G53=2),IF(OR(AND(JA$4&gt;=$AD$119,$C53=2),AND(JA$4&gt;=$AF$119,$C53=1)),0,IF(JE53&lt;=60,JK53,60/JC$4*JC$7)),IF(AND($F53=2,$G53=1),JK53,0)))))</f>
        <v>0</v>
      </c>
      <c r="JN53" s="57" t="str">
        <f t="shared" si="106"/>
        <v/>
      </c>
      <c r="JO53" s="57" t="str">
        <f t="shared" si="428"/>
        <v/>
      </c>
      <c r="JP53" s="713">
        <f>'org. Düngung 22'!BX52</f>
        <v>0</v>
      </c>
      <c r="JQ53" s="57"/>
      <c r="JR53" s="57"/>
      <c r="JS53" s="57">
        <f t="shared" si="108"/>
        <v>0</v>
      </c>
      <c r="JT53" s="57">
        <f t="shared" si="278"/>
        <v>0</v>
      </c>
      <c r="JU53" s="57">
        <f t="shared" si="279"/>
        <v>0</v>
      </c>
      <c r="JV53" s="57">
        <f t="shared" si="280"/>
        <v>0</v>
      </c>
      <c r="JW53" s="57">
        <f t="shared" si="281"/>
        <v>0</v>
      </c>
      <c r="JX53" s="1029">
        <f t="shared" si="429"/>
        <v>0</v>
      </c>
      <c r="JY53" s="57">
        <f t="shared" si="430"/>
        <v>0</v>
      </c>
      <c r="JZ53" s="171" t="str">
        <f t="shared" si="431"/>
        <v/>
      </c>
      <c r="KA53" s="57">
        <f t="shared" si="282"/>
        <v>0</v>
      </c>
      <c r="KB53" s="57">
        <f>IF(OR(AND(JP$6=1,$L53=0),AND(JP$6=2,$K53=2,$G53=1)),0,IF(AND(JR$9=2,(OR($F53&gt;1,$K53=1,AND($L53=80,OR($N53=1,AND($N53=2,'#BerechnungDBE'!$AL44&gt;0)))))),IF(JP$4&gt;=$AD$126,0,JZ53),IF(JR$9=3,IF(OR(JP$4&gt;=$AD$127,AND($G53=1,$J53=2,JP$6=2),AND(JP$6=1,$N53&lt;&gt;1)),0,IF(JT53&lt;=120,JZ53,IF(JP$4&lt;$AD$124,IF($F53=1,60/JR$4*JR$6,60/JR$4*JR$7),IF($F53=1,120/JR$4*JR$6,120/JR$4*JR$7)))),IF(OR($F53=3,$G53=2),IF(OR(AND(JP$4&gt;=$AD$119,$C53=2),AND(JP$4&gt;=$AF$119,$C53=1)),0,IF(JT53&lt;=60,JZ53,60/JR$4*JR$7)),IF(AND($F53=2,$G53=1),JZ53,0)))))</f>
        <v>0</v>
      </c>
      <c r="KC53" s="57" t="str">
        <f t="shared" si="112"/>
        <v/>
      </c>
      <c r="KD53" s="57" t="str">
        <f t="shared" si="432"/>
        <v/>
      </c>
      <c r="KE53" s="713">
        <f>'org. Düngung 22'!CB52</f>
        <v>0</v>
      </c>
      <c r="KF53" s="57"/>
      <c r="KG53" s="57"/>
      <c r="KH53" s="57">
        <f t="shared" si="114"/>
        <v>0</v>
      </c>
      <c r="KI53" s="57">
        <f t="shared" si="283"/>
        <v>0</v>
      </c>
      <c r="KJ53" s="57">
        <f t="shared" si="284"/>
        <v>0</v>
      </c>
      <c r="KK53" s="57">
        <f t="shared" si="285"/>
        <v>0</v>
      </c>
      <c r="KL53" s="57">
        <f t="shared" si="286"/>
        <v>0</v>
      </c>
      <c r="KM53" s="1029">
        <f t="shared" si="433"/>
        <v>0</v>
      </c>
      <c r="KN53" s="57">
        <f t="shared" si="434"/>
        <v>0</v>
      </c>
      <c r="KO53" s="171" t="str">
        <f t="shared" si="435"/>
        <v/>
      </c>
      <c r="KP53" s="57">
        <f t="shared" si="287"/>
        <v>0</v>
      </c>
      <c r="KQ53" s="57">
        <f>IF(OR(AND(KE$6=1,$L53=0),AND(KE$6=2,$K53=2,$G53=1)),0,IF(AND(KG$9=2,(OR($F53&gt;1,$K53=1,AND($L53=80,OR($N53=1,AND($N53=2,'#BerechnungDBE'!$AL44&gt;0)))))),IF(KE$4&gt;=$AD$126,0,KO53),IF(KG$9=3,IF(OR(KE$4&gt;=$AD$127,AND($G53=1,$J53=2,KE$6=2),AND(KE$6=1,$N53&lt;&gt;1)),0,IF(KI53&lt;=120,KO53,IF(KE$4&lt;$AD$124,IF($F53=1,60/KG$4*KG$6,60/KG$4*KG$7),IF($F53=1,120/KG$4*KG$6,120/KG$4*KG$7)))),IF(OR($F53=3,$G53=2),IF(OR(AND(KE$4&gt;=$AD$119,$C53=2),AND(KE$4&gt;=$AF$119,$C53=1)),0,IF(KI53&lt;=60,KO53,60/KG$4*KG$7)),IF(AND($F53=2,$G53=1),KO53,0)))))</f>
        <v>0</v>
      </c>
      <c r="KR53" s="57" t="str">
        <f t="shared" si="118"/>
        <v/>
      </c>
      <c r="KS53" s="57" t="str">
        <f t="shared" si="436"/>
        <v/>
      </c>
      <c r="KT53" s="713">
        <f>'org. Düngung 22'!CF52</f>
        <v>0</v>
      </c>
      <c r="KU53" s="57"/>
      <c r="KV53" s="57"/>
      <c r="KW53" s="57">
        <f t="shared" si="120"/>
        <v>0</v>
      </c>
      <c r="KX53" s="57">
        <f t="shared" si="288"/>
        <v>0</v>
      </c>
      <c r="KY53" s="57">
        <f t="shared" si="289"/>
        <v>0</v>
      </c>
      <c r="KZ53" s="57">
        <f t="shared" si="290"/>
        <v>0</v>
      </c>
      <c r="LA53" s="57">
        <f t="shared" si="291"/>
        <v>0</v>
      </c>
      <c r="LB53" s="1029">
        <f t="shared" si="437"/>
        <v>0</v>
      </c>
      <c r="LC53" s="57">
        <f t="shared" si="438"/>
        <v>0</v>
      </c>
      <c r="LD53" s="171" t="str">
        <f t="shared" si="439"/>
        <v/>
      </c>
      <c r="LE53" s="57">
        <f t="shared" si="292"/>
        <v>0</v>
      </c>
      <c r="LF53" s="57">
        <f>IF(OR(AND(KT$6=1,$L53=0),AND(KT$6=2,$K53=2,$G53=1)),0,IF(AND(KV$9=2,(OR($F53&gt;1,$K53=1,AND($L53=80,OR($N53=1,AND($N53=2,'#BerechnungDBE'!$AL44&gt;0)))))),IF(KT$4&gt;=$AD$126,0,LD53),IF(KV$9=3,IF(OR(KT$4&gt;=$AD$127,AND($G53=1,$J53=2,KT$6=2),AND(KT$6=1,$N53&lt;&gt;1)),0,IF(KX53&lt;=120,LD53,IF(KT$4&lt;$AD$124,IF($F53=1,60/KV$4*KV$6,60/KV$4*KV$7),IF($F53=1,120/KV$4*KV$6,120/KV$4*KV$7)))),IF(OR($F53=3,$G53=2),IF(OR(AND(KT$4&gt;=$AD$119,$C53=2),AND(KT$4&gt;=$AF$119,$C53=1)),0,IF(KX53&lt;=60,LD53,60/KV$4*KV$7)),IF(AND($F53=2,$G53=1),LD53,0)))))</f>
        <v>0</v>
      </c>
      <c r="LG53" s="57" t="str">
        <f t="shared" si="124"/>
        <v/>
      </c>
      <c r="LH53" s="57" t="str">
        <f t="shared" si="440"/>
        <v/>
      </c>
      <c r="LI53" s="713">
        <f>'org. Düngung 22'!CJ52</f>
        <v>0</v>
      </c>
      <c r="LJ53" s="57"/>
      <c r="LK53" s="57"/>
      <c r="LL53" s="57">
        <f t="shared" si="126"/>
        <v>0</v>
      </c>
      <c r="LM53" s="57">
        <f t="shared" si="293"/>
        <v>0</v>
      </c>
      <c r="LN53" s="57">
        <f t="shared" si="294"/>
        <v>0</v>
      </c>
      <c r="LO53" s="57">
        <f t="shared" si="295"/>
        <v>0</v>
      </c>
      <c r="LP53" s="57">
        <f t="shared" si="296"/>
        <v>0</v>
      </c>
      <c r="LQ53" s="1029">
        <f t="shared" si="441"/>
        <v>0</v>
      </c>
      <c r="LR53" s="57">
        <f t="shared" si="442"/>
        <v>0</v>
      </c>
      <c r="LS53" s="171" t="str">
        <f t="shared" si="443"/>
        <v/>
      </c>
      <c r="LT53" s="57">
        <f t="shared" si="297"/>
        <v>0</v>
      </c>
      <c r="LU53" s="57">
        <f>IF(OR(AND(LI$6=1,$L53=0),AND(LI$6=2,$K53=2,$G53=1)),0,IF(AND(LK$9=2,(OR($F53&gt;1,$K53=1,AND($L53=80,OR($N53=1,AND($N53=2,'#BerechnungDBE'!$AL44&gt;0)))))),IF(LI$4&gt;=$AD$126,0,LS53),IF(LK$9=3,IF(OR(LI$4&gt;=$AD$127,AND($G53=1,$J53=2,LI$6=2),AND(LI$6=1,$N53&lt;&gt;1)),0,IF(LM53&lt;=120,LS53,IF(LI$4&lt;$AD$124,IF($F53=1,60/LK$4*LK$6,60/LK$4*LK$7),IF($F53=1,120/LK$4*LK$6,120/LK$4*LK$7)))),IF(OR($F53=3,$G53=2),IF(OR(AND(LI$4&gt;=$AD$119,$C53=2),AND(LI$4&gt;=$AF$119,$C53=1)),0,IF(LM53&lt;=60,LS53,60/LK$4*LK$7)),IF(AND($F53=2,$G53=1),LS53,0)))))</f>
        <v>0</v>
      </c>
      <c r="LV53" s="57" t="str">
        <f t="shared" si="130"/>
        <v/>
      </c>
      <c r="LW53" s="57" t="str">
        <f t="shared" si="444"/>
        <v/>
      </c>
      <c r="LX53" s="713">
        <f>'org. Düngung 22'!CN52</f>
        <v>0</v>
      </c>
      <c r="LY53" s="57"/>
      <c r="LZ53" s="57"/>
      <c r="MA53" s="57">
        <f t="shared" si="132"/>
        <v>0</v>
      </c>
      <c r="MB53" s="57">
        <f t="shared" si="298"/>
        <v>0</v>
      </c>
      <c r="MC53" s="57">
        <f t="shared" si="299"/>
        <v>0</v>
      </c>
      <c r="MD53" s="57">
        <f t="shared" si="300"/>
        <v>0</v>
      </c>
      <c r="ME53" s="57">
        <f t="shared" si="301"/>
        <v>0</v>
      </c>
      <c r="MF53" s="1029">
        <f t="shared" si="445"/>
        <v>0</v>
      </c>
      <c r="MG53" s="57">
        <f t="shared" si="446"/>
        <v>0</v>
      </c>
      <c r="MH53" s="171" t="str">
        <f t="shared" si="447"/>
        <v/>
      </c>
      <c r="MI53" s="57">
        <f t="shared" si="302"/>
        <v>0</v>
      </c>
      <c r="MJ53" s="57">
        <f>IF(OR(AND(LX$6=1,$L53=0),AND(LX$6=2,$K53=2,$G53=1)),0,IF(AND(LZ$9=2,(OR($F53&gt;1,$K53=1,AND($L53=80,OR($N53=1,AND($N53=2,'#BerechnungDBE'!$AL44&gt;0)))))),IF(LX$4&gt;=$AD$126,0,MH53),IF(LZ$9=3,IF(OR(LX$4&gt;=$AD$127,AND($G53=1,$J53=2,LX$6=2),AND(LX$6=1,$N53&lt;&gt;1)),0,IF(MB53&lt;=120,MH53,IF(LX$4&lt;$AD$124,IF($F53=1,60/LZ$4*LZ$6,60/LZ$4*LZ$7),IF($F53=1,120/LZ$4*LZ$6,120/LZ$4*LZ$7)))),IF(OR($F53=3,$G53=2),IF(OR(AND(LX$4&gt;=$AD$119,$C53=2),AND(LX$4&gt;=$AF$119,$C53=1)),0,IF(MB53&lt;=60,MH53,60/LZ$4*LZ$7)),IF(AND($F53=2,$G53=1),MH53,0)))))</f>
        <v>0</v>
      </c>
      <c r="MK53" s="57" t="str">
        <f t="shared" si="136"/>
        <v/>
      </c>
      <c r="ML53" s="57" t="str">
        <f t="shared" si="448"/>
        <v/>
      </c>
      <c r="MM53" s="713">
        <f>'org. Düngung 22'!CR52</f>
        <v>0</v>
      </c>
      <c r="MN53" s="57"/>
      <c r="MO53" s="57"/>
      <c r="MP53" s="57">
        <f t="shared" si="138"/>
        <v>0</v>
      </c>
      <c r="MQ53" s="57">
        <f t="shared" si="303"/>
        <v>0</v>
      </c>
      <c r="MR53" s="57">
        <f t="shared" si="304"/>
        <v>0</v>
      </c>
      <c r="MS53" s="57">
        <f t="shared" si="305"/>
        <v>0</v>
      </c>
      <c r="MT53" s="57">
        <f t="shared" si="306"/>
        <v>0</v>
      </c>
      <c r="MU53" s="1029">
        <f t="shared" si="449"/>
        <v>0</v>
      </c>
      <c r="MV53" s="57">
        <f t="shared" si="450"/>
        <v>0</v>
      </c>
      <c r="MW53" s="171" t="str">
        <f t="shared" si="451"/>
        <v/>
      </c>
      <c r="MX53" s="57">
        <f t="shared" si="307"/>
        <v>0</v>
      </c>
      <c r="MY53" s="57">
        <f>IF(OR(AND(MM$6=1,$L53=0),AND(MM$6=2,$K53=2,$G53=1)),0,IF(AND(MO$9=2,(OR($F53&gt;1,$K53=1,AND($L53=80,OR($N53=1,AND($N53=2,'#BerechnungDBE'!$AL44&gt;0)))))),IF(MM$4&gt;=$AD$126,0,MW53),IF(MO$9=3,IF(OR(MM$4&gt;=$AD$127,AND($G53=1,$J53=2,MM$6=2),AND(MM$6=1,$N53&lt;&gt;1)),0,IF(MQ53&lt;=120,MW53,IF(MM$4&lt;$AD$124,IF($F53=1,60/MO$4*MO$6,60/MO$4*MO$7),IF($F53=1,120/MO$4*MO$6,120/MO$4*MO$7)))),IF(OR($F53=3,$G53=2),IF(OR(AND(MM$4&gt;=$AD$119,$C53=2),AND(MM$4&gt;=$AF$119,$C53=1)),0,IF(MQ53&lt;=60,MW53,60/MO$4*MO$7)),IF(AND($F53=2,$G53=1),MW53,0)))))</f>
        <v>0</v>
      </c>
      <c r="MZ53" s="57" t="str">
        <f t="shared" si="142"/>
        <v/>
      </c>
      <c r="NA53" s="57" t="str">
        <f t="shared" si="452"/>
        <v/>
      </c>
      <c r="NB53" s="713">
        <f>'org. Düngung 22'!CV52</f>
        <v>0</v>
      </c>
      <c r="NC53" s="57"/>
      <c r="ND53" s="57"/>
      <c r="NE53" s="57">
        <f t="shared" si="144"/>
        <v>0</v>
      </c>
      <c r="NF53" s="57">
        <f t="shared" si="308"/>
        <v>0</v>
      </c>
      <c r="NG53" s="57">
        <f t="shared" si="309"/>
        <v>0</v>
      </c>
      <c r="NH53" s="57">
        <f t="shared" si="310"/>
        <v>0</v>
      </c>
      <c r="NI53" s="57">
        <f t="shared" si="311"/>
        <v>0</v>
      </c>
      <c r="NJ53" s="1029">
        <f t="shared" si="453"/>
        <v>0</v>
      </c>
      <c r="NK53" s="57">
        <f t="shared" si="454"/>
        <v>0</v>
      </c>
      <c r="NL53" s="171" t="str">
        <f t="shared" si="455"/>
        <v/>
      </c>
      <c r="NM53" s="57">
        <f t="shared" si="312"/>
        <v>0</v>
      </c>
      <c r="NN53" s="57">
        <f>IF(OR(AND(NB$6=1,$L53=0),AND(NB$6=2,$K53=2,$G53=1)),0,IF(AND(ND$9=2,(OR($F53&gt;1,$K53=1,AND($L53=80,OR($N53=1,AND($N53=2,'#BerechnungDBE'!$AL44&gt;0)))))),IF(NB$4&gt;=$AD$126,0,NL53),IF(ND$9=3,IF(OR(NB$4&gt;=$AD$127,AND($G53=1,$J53=2,NB$6=2),AND(NB$6=1,$N53&lt;&gt;1)),0,IF(NF53&lt;=120,NL53,IF(NB$4&lt;$AD$124,IF($F53=1,60/ND$4*ND$6,60/ND$4*ND$7),IF($F53=1,120/ND$4*ND$6,120/ND$4*ND$7)))),IF(OR($F53=3,$G53=2),IF(OR(AND(NB$4&gt;=$AD$119,$C53=2),AND(NB$4&gt;=$AF$119,$C53=1)),0,IF(NF53&lt;=60,NL53,60/ND$4*ND$7)),IF(AND($F53=2,$G53=1),NL53,0)))))</f>
        <v>0</v>
      </c>
      <c r="NO53" s="57" t="str">
        <f t="shared" si="148"/>
        <v/>
      </c>
      <c r="NP53" s="57" t="str">
        <f t="shared" si="456"/>
        <v/>
      </c>
      <c r="NQ53" s="713">
        <f>'org. Düngung 22'!CZ52</f>
        <v>0</v>
      </c>
      <c r="NR53" s="57"/>
      <c r="NS53" s="57"/>
      <c r="NT53" s="57">
        <f t="shared" si="150"/>
        <v>0</v>
      </c>
      <c r="NU53" s="57">
        <f t="shared" si="313"/>
        <v>0</v>
      </c>
      <c r="NV53" s="57">
        <f t="shared" si="314"/>
        <v>0</v>
      </c>
      <c r="NW53" s="57">
        <f t="shared" si="315"/>
        <v>0</v>
      </c>
      <c r="NX53" s="57">
        <f t="shared" si="316"/>
        <v>0</v>
      </c>
      <c r="NY53" s="1029">
        <f t="shared" si="457"/>
        <v>0</v>
      </c>
      <c r="NZ53" s="57">
        <f t="shared" si="458"/>
        <v>0</v>
      </c>
      <c r="OA53" s="171" t="str">
        <f t="shared" si="459"/>
        <v/>
      </c>
      <c r="OB53" s="57">
        <f t="shared" si="317"/>
        <v>0</v>
      </c>
      <c r="OC53" s="57">
        <f>IF(OR(AND(NQ$6=1,$L53=0),AND(NQ$6=2,$K53=2,$G53=1)),0,IF(AND(NS$9=2,(OR($F53&gt;1,$K53=1,AND($L53=80,OR($N53=1,AND($N53=2,'#BerechnungDBE'!$AL44&gt;0)))))),IF(NQ$4&gt;=$AD$126,0,OA53),IF(NS$9=3,IF(OR(NQ$4&gt;=$AD$127,AND($G53=1,$J53=2,NQ$6=2),AND(NQ$6=1,$N53&lt;&gt;1)),0,IF(NU53&lt;=120,OA53,IF(NQ$4&lt;$AD$124,IF($F53=1,60/NS$4*NS$6,60/NS$4*NS$7),IF($F53=1,120/NS$4*NS$6,120/NS$4*NS$7)))),IF(OR($F53=3,$G53=2),IF(OR(AND(NQ$4&gt;=$AD$119,$C53=2),AND(NQ$4&gt;=$AF$119,$C53=1)),0,IF(NU53&lt;=60,OA53,60/NS$4*NS$7)),IF(AND($F53=2,$G53=1),OA53,0)))))</f>
        <v>0</v>
      </c>
      <c r="OD53" s="57" t="str">
        <f t="shared" si="154"/>
        <v/>
      </c>
      <c r="OE53" s="57" t="str">
        <f t="shared" si="460"/>
        <v/>
      </c>
      <c r="OF53" s="713">
        <f>'org. Düngung 22'!DD52</f>
        <v>0</v>
      </c>
      <c r="OG53" s="57"/>
      <c r="OH53" s="57"/>
      <c r="OI53" s="57">
        <f t="shared" si="156"/>
        <v>0</v>
      </c>
      <c r="OJ53" s="57">
        <f t="shared" si="318"/>
        <v>0</v>
      </c>
      <c r="OK53" s="57">
        <f t="shared" si="319"/>
        <v>0</v>
      </c>
      <c r="OL53" s="57">
        <f t="shared" si="320"/>
        <v>0</v>
      </c>
      <c r="OM53" s="57">
        <f t="shared" si="321"/>
        <v>0</v>
      </c>
      <c r="ON53" s="1029">
        <f t="shared" si="461"/>
        <v>0</v>
      </c>
      <c r="OO53" s="57">
        <f t="shared" si="462"/>
        <v>0</v>
      </c>
      <c r="OP53" s="171" t="str">
        <f t="shared" si="463"/>
        <v/>
      </c>
      <c r="OQ53" s="57">
        <f t="shared" si="322"/>
        <v>0</v>
      </c>
      <c r="OR53" s="57">
        <f>IF(OR(AND(OF$6=1,$L53=0),AND(OF$6=2,$K53=2,$G53=1)),0,IF(AND(OH$9=2,(OR($F53&gt;1,$K53=1,AND($L53=80,OR($N53=1,AND($N53=2,'#BerechnungDBE'!$AL44&gt;0)))))),IF(OF$4&gt;=$AD$126,0,OP53),IF(OH$9=3,IF(OR(OF$4&gt;=$AD$127,AND($G53=1,$J53=2,OF$6=2),AND(OF$6=1,$N53&lt;&gt;1)),0,IF(OJ53&lt;=120,OP53,IF(OF$4&lt;$AD$124,IF($F53=1,60/OH$4*OH$6,60/OH$4*OH$7),IF($F53=1,120/OH$4*OH$6,120/OH$4*OH$7)))),IF(OR($F53=3,$G53=2),IF(OR(AND(OF$4&gt;=$AD$119,$C53=2),AND(OF$4&gt;=$AF$119,$C53=1)),0,IF(OJ53&lt;=60,OP53,60/OH$4*OH$7)),IF(AND($F53=2,$G53=1),OP53,0)))))</f>
        <v>0</v>
      </c>
      <c r="OS53" s="57" t="str">
        <f t="shared" si="160"/>
        <v/>
      </c>
      <c r="OT53" s="57" t="str">
        <f t="shared" si="464"/>
        <v/>
      </c>
      <c r="OU53" s="713">
        <f>'org. Düngung 22'!DH52</f>
        <v>0</v>
      </c>
      <c r="OV53" s="57"/>
      <c r="OW53" s="57"/>
      <c r="OX53" s="57">
        <f t="shared" si="162"/>
        <v>0</v>
      </c>
      <c r="OY53" s="57">
        <f t="shared" si="323"/>
        <v>0</v>
      </c>
      <c r="OZ53" s="57">
        <f t="shared" si="324"/>
        <v>0</v>
      </c>
      <c r="PA53" s="57">
        <f t="shared" si="325"/>
        <v>0</v>
      </c>
      <c r="PB53" s="57">
        <f t="shared" si="326"/>
        <v>0</v>
      </c>
      <c r="PC53" s="1029">
        <f t="shared" si="465"/>
        <v>0</v>
      </c>
      <c r="PD53" s="57">
        <f t="shared" si="466"/>
        <v>0</v>
      </c>
      <c r="PE53" s="171" t="str">
        <f t="shared" si="467"/>
        <v/>
      </c>
      <c r="PF53" s="57">
        <f t="shared" si="327"/>
        <v>0</v>
      </c>
      <c r="PG53" s="57">
        <f>IF(OR(AND(OU$6=1,$L53=0),AND(OU$6=2,$K53=2,$G53=1)),0,IF(AND(OW$9=2,(OR($F53&gt;1,$K53=1,AND($L53=80,OR($N53=1,AND($N53=2,'#BerechnungDBE'!$AL44&gt;0)))))),IF(OU$4&gt;=$AD$126,0,PE53),IF(OW$9=3,IF(OR(OU$4&gt;=$AD$127,AND($G53=1,$J53=2,OU$6=2),AND(OU$6=1,$N53&lt;&gt;1)),0,IF(OY53&lt;=120,PE53,IF(OU$4&lt;$AD$124,IF($F53=1,60/OW$4*OW$6,60/OW$4*OW$7),IF($F53=1,120/OW$4*OW$6,120/OW$4*OW$7)))),IF(OR($F53=3,$G53=2),IF(OR(AND(OU$4&gt;=$AD$119,$C53=2),AND(OU$4&gt;=$AF$119,$C53=1)),0,IF(OY53&lt;=60,PE53,60/OW$4*OW$7)),IF(AND($F53=2,$G53=1),PE53,0)))))</f>
        <v>0</v>
      </c>
      <c r="PH53" s="57" t="str">
        <f t="shared" si="166"/>
        <v/>
      </c>
      <c r="PI53" s="57" t="str">
        <f t="shared" si="468"/>
        <v/>
      </c>
      <c r="PJ53" s="713">
        <f>'org. Düngung 22'!DL52</f>
        <v>0</v>
      </c>
      <c r="PK53" s="57"/>
      <c r="PL53" s="57"/>
      <c r="PM53" s="57">
        <f t="shared" si="168"/>
        <v>0</v>
      </c>
      <c r="PN53" s="57">
        <f t="shared" si="328"/>
        <v>0</v>
      </c>
      <c r="PO53" s="57">
        <f t="shared" si="329"/>
        <v>0</v>
      </c>
      <c r="PP53" s="57">
        <f t="shared" si="330"/>
        <v>0</v>
      </c>
      <c r="PQ53" s="57">
        <f t="shared" si="331"/>
        <v>0</v>
      </c>
      <c r="PR53" s="1029">
        <f t="shared" si="469"/>
        <v>0</v>
      </c>
      <c r="PS53" s="57">
        <f t="shared" si="470"/>
        <v>0</v>
      </c>
      <c r="PT53" s="171" t="str">
        <f t="shared" si="471"/>
        <v/>
      </c>
      <c r="PU53" s="57">
        <f t="shared" si="332"/>
        <v>0</v>
      </c>
      <c r="PV53" s="57">
        <f>IF(OR(AND(PJ$6=1,$L53=0),AND(PJ$6=2,$K53=2,$G53=1)),0,IF(AND(PL$9=2,(OR($F53&gt;1,$K53=1,AND($L53=80,OR($N53=1,AND($N53=2,'#BerechnungDBE'!$AL44&gt;0)))))),IF(PJ$4&gt;=$AD$126,0,PT53),IF(PL$9=3,IF(OR(PJ$4&gt;=$AD$127,AND($G53=1,$J53=2,PJ$6=2),AND(PJ$6=1,$N53&lt;&gt;1)),0,IF(PN53&lt;=120,PT53,IF(PJ$4&lt;$AD$124,IF($F53=1,60/PL$4*PL$6,60/PL$4*PL$7),IF($F53=1,120/PL$4*PL$6,120/PL$4*PL$7)))),IF(OR($F53=3,$G53=2),IF(OR(AND(PJ$4&gt;=$AD$119,$C53=2),AND(PJ$4&gt;=$AF$119,$C53=1)),0,IF(PN53&lt;=60,PT53,60/PL$4*PL$7)),IF(AND($F53=2,$G53=1),PT53,0)))))</f>
        <v>0</v>
      </c>
      <c r="PW53" s="57" t="str">
        <f t="shared" si="172"/>
        <v/>
      </c>
      <c r="PX53" s="57" t="str">
        <f t="shared" si="472"/>
        <v/>
      </c>
      <c r="PY53" s="713">
        <f>'org. Düngung 22'!DP52</f>
        <v>0</v>
      </c>
      <c r="PZ53" s="57"/>
      <c r="QA53" s="57"/>
      <c r="QB53" s="57">
        <f t="shared" si="174"/>
        <v>0</v>
      </c>
      <c r="QC53" s="57">
        <f t="shared" si="333"/>
        <v>0</v>
      </c>
      <c r="QD53" s="57">
        <f t="shared" si="334"/>
        <v>0</v>
      </c>
      <c r="QE53" s="57">
        <f t="shared" si="335"/>
        <v>0</v>
      </c>
      <c r="QF53" s="57">
        <f t="shared" si="336"/>
        <v>0</v>
      </c>
      <c r="QG53" s="1029">
        <f t="shared" si="473"/>
        <v>0</v>
      </c>
      <c r="QH53" s="57">
        <f t="shared" si="474"/>
        <v>0</v>
      </c>
      <c r="QI53" s="171" t="str">
        <f t="shared" si="475"/>
        <v/>
      </c>
      <c r="QJ53" s="57">
        <f t="shared" si="337"/>
        <v>0</v>
      </c>
      <c r="QK53" s="57">
        <f>IF(OR(AND(PY$6=1,$L53=0),AND(PY$6=2,$K53=2,$G53=1)),0,IF(AND(QA$9=2,(OR($F53&gt;1,$K53=1,AND($L53=80,OR($N53=1,AND($N53=2,'#BerechnungDBE'!$AL44&gt;0)))))),IF(PY$4&gt;=$AD$126,0,QI53),IF(QA$9=3,IF(OR(PY$4&gt;=$AD$127,AND($G53=1,$J53=2,PY$6=2),AND(PY$6=1,$N53&lt;&gt;1)),0,IF(QC53&lt;=120,QI53,IF(PY$4&lt;$AD$124,IF($F53=1,60/QA$4*QA$6,60/QA$4*QA$7),IF($F53=1,120/QA$4*QA$6,120/QA$4*QA$7)))),IF(OR($F53=3,$G53=2),IF(OR(AND(PY$4&gt;=$AD$119,$C53=2),AND(PY$4&gt;=$AF$119,$C53=1)),0,IF(QC53&lt;=60,QI53,60/QA$4*QA$7)),IF(AND($F53=2,$G53=1),QI53,0)))))</f>
        <v>0</v>
      </c>
      <c r="QL53" s="57" t="str">
        <f t="shared" si="178"/>
        <v/>
      </c>
      <c r="QM53" s="57" t="str">
        <f t="shared" si="476"/>
        <v/>
      </c>
      <c r="QN53" s="713">
        <f>'org. Düngung 22'!DT52</f>
        <v>0</v>
      </c>
      <c r="QO53" s="57"/>
      <c r="QP53" s="57"/>
      <c r="QQ53" s="57">
        <f t="shared" si="180"/>
        <v>0</v>
      </c>
      <c r="QR53" s="57">
        <f t="shared" si="338"/>
        <v>0</v>
      </c>
      <c r="QS53" s="57">
        <f t="shared" si="339"/>
        <v>0</v>
      </c>
      <c r="QT53" s="57">
        <f t="shared" si="340"/>
        <v>0</v>
      </c>
      <c r="QU53" s="57">
        <f t="shared" si="341"/>
        <v>0</v>
      </c>
      <c r="QV53" s="1029">
        <f t="shared" si="477"/>
        <v>0</v>
      </c>
      <c r="QW53" s="57">
        <f t="shared" si="478"/>
        <v>0</v>
      </c>
      <c r="QX53" s="171" t="str">
        <f t="shared" si="479"/>
        <v/>
      </c>
      <c r="QY53" s="57">
        <f t="shared" si="342"/>
        <v>0</v>
      </c>
      <c r="QZ53" s="57">
        <f>IF(OR(AND(QN$6=1,$L53=0),AND(QN$6=2,$K53=2,$G53=1)),0,IF(AND(QP$9=2,(OR($F53&gt;1,$K53=1,AND($L53=80,OR($N53=1,AND($N53=2,'#BerechnungDBE'!$AL44&gt;0)))))),IF(QN$4&gt;=$AD$126,0,QX53),IF(QP$9=3,IF(OR(QN$4&gt;=$AD$127,AND($G53=1,$J53=2,QN$6=2),AND(QN$6=1,$N53&lt;&gt;1)),0,IF(QR53&lt;=120,QX53,IF(QN$4&lt;$AD$124,IF($F53=1,60/QP$4*QP$6,60/QP$4*QP$7),IF($F53=1,120/QP$4*QP$6,120/QP$4*QP$7)))),IF(OR($F53=3,$G53=2),IF(OR(AND(QN$4&gt;=$AD$119,$C53=2),AND(QN$4&gt;=$AF$119,$C53=1)),0,IF(QR53&lt;=60,QX53,60/QP$4*QP$7)),IF(AND($F53=2,$G53=1),QX53,0)))))</f>
        <v>0</v>
      </c>
      <c r="RA53" s="57" t="str">
        <f t="shared" si="184"/>
        <v/>
      </c>
      <c r="RB53" s="57" t="str">
        <f t="shared" si="480"/>
        <v/>
      </c>
      <c r="RC53" s="713">
        <f>'org. Düngung 22'!DX52</f>
        <v>0</v>
      </c>
      <c r="RD53" s="57"/>
      <c r="RE53" s="57"/>
      <c r="RF53" s="57">
        <f t="shared" si="186"/>
        <v>0</v>
      </c>
      <c r="RG53" s="57">
        <f t="shared" si="343"/>
        <v>0</v>
      </c>
      <c r="RH53" s="57">
        <f t="shared" si="344"/>
        <v>0</v>
      </c>
      <c r="RI53" s="57">
        <f t="shared" si="345"/>
        <v>0</v>
      </c>
      <c r="RJ53" s="57">
        <f t="shared" si="346"/>
        <v>0</v>
      </c>
      <c r="RK53" s="1029">
        <f t="shared" si="481"/>
        <v>0</v>
      </c>
      <c r="RL53" s="57">
        <f t="shared" si="482"/>
        <v>0</v>
      </c>
      <c r="RM53" s="171" t="str">
        <f t="shared" si="483"/>
        <v/>
      </c>
      <c r="RN53" s="57">
        <f t="shared" si="347"/>
        <v>0</v>
      </c>
      <c r="RO53" s="57">
        <f>IF(OR(AND(RC$6=1,$L53=0),AND(RC$6=2,$K53=2,$G53=1)),0,IF(AND(RE$9=2,(OR($F53&gt;1,$K53=1,AND($L53=80,OR($N53=1,AND($N53=2,'#BerechnungDBE'!$AL44&gt;0)))))),IF(RC$4&gt;=$AD$126,0,RM53),IF(RE$9=3,IF(OR(RC$4&gt;=$AD$127,AND($G53=1,$J53=2,RC$6=2),AND(RC$6=1,$N53&lt;&gt;1)),0,IF(RG53&lt;=120,RM53,IF(RC$4&lt;$AD$124,IF($F53=1,60/RE$4*RE$6,60/RE$4*RE$7),IF($F53=1,120/RE$4*RE$6,120/RE$4*RE$7)))),IF(OR($F53=3,$G53=2),IF(OR(AND(RC$4&gt;=$AD$119,$C53=2),AND(RC$4&gt;=$AF$119,$C53=1)),0,IF(RG53&lt;=60,RM53,60/RE$4*RE$7)),IF(AND($F53=2,$G53=1),RM53,0)))))</f>
        <v>0</v>
      </c>
      <c r="RP53" s="57" t="str">
        <f t="shared" si="190"/>
        <v/>
      </c>
      <c r="RQ53" s="57" t="str">
        <f t="shared" si="484"/>
        <v/>
      </c>
      <c r="RS53" s="57" t="str">
        <f t="shared" si="488"/>
        <v/>
      </c>
      <c r="RT53" s="57" t="str">
        <f t="shared" si="485"/>
        <v/>
      </c>
      <c r="RU53" s="57" t="str">
        <f t="shared" si="486"/>
        <v/>
      </c>
      <c r="RV53" s="57" t="str">
        <f>IF(Z53&gt;'#BerechnungDBE'!BM44,$RV$9,"")</f>
        <v/>
      </c>
      <c r="RW53" s="57" t="str">
        <f>IF(AND(L53=70,AE53&gt;'#BerechnungDBE'!CQ44),$RW$9,"")</f>
        <v/>
      </c>
      <c r="RX53" s="57" t="str">
        <f>IF(OR('org. Düngung 22'!G52="--",'org. Düngung 22'!G52&lt;=170,'org. Düngung 22'!G52=""),"",$RX$9)</f>
        <v/>
      </c>
      <c r="RY53" s="57" t="str">
        <f>IF('org. Düngung 22'!K52&gt;120,'#orgDung'!$RY$9,"")</f>
        <v/>
      </c>
      <c r="RZ53" s="57" t="str">
        <f>IF('#BerechnungDBE'!P44&lt;4,"",IF(AND('#BerechnungDBE'!BZ44&gt;0,T53&gt;0),'#orgDung'!$RZ$9,""))</f>
        <v/>
      </c>
      <c r="SA53" s="57" t="str">
        <f t="shared" si="487"/>
        <v/>
      </c>
    </row>
    <row r="54" spans="1:495" s="875" customFormat="1" x14ac:dyDescent="0.2">
      <c r="A54" s="875">
        <f>'Flächen u. Kulturen'!A50</f>
        <v>41</v>
      </c>
      <c r="B54" s="367">
        <f>'#BerechnungDBE'!L45</f>
        <v>0</v>
      </c>
      <c r="C54" s="875">
        <f>'#BerechnungDBE'!R45</f>
        <v>1</v>
      </c>
      <c r="D54" s="875">
        <f>'#BerechnungDBE'!T45</f>
        <v>2</v>
      </c>
      <c r="E54" s="875" t="str">
        <f>'Flächen u. Kulturen'!E50</f>
        <v>x</v>
      </c>
      <c r="F54" s="52">
        <f>'#BerechnungDBE'!N45</f>
        <v>1</v>
      </c>
      <c r="G54" s="52">
        <f>'#BerechnungDBE'!O45</f>
        <v>1</v>
      </c>
      <c r="H54" s="875">
        <f>IF('Flächen u. Kulturen'!P50="",0,VLOOKUP('Flächen u. Kulturen'!P50,Kulturen[[HF]:[Berechnungsgruppe]],'#Frucht'!$H$1,FALSE))</f>
        <v>0</v>
      </c>
      <c r="I54" s="875">
        <f>IF('Flächen u. Kulturen'!J50="",0,VLOOKUP('Flächen u. Kulturen'!J50,Kulturen[[HF]:[Berechnungsgruppe]],'#Frucht'!$G$1,FALSE))</f>
        <v>90</v>
      </c>
      <c r="J54" s="505">
        <f t="shared" si="195"/>
        <v>2</v>
      </c>
      <c r="K54" s="505">
        <f>IF('Flächen u. Kulturen'!P50="",0,IF(VLOOKUP('Flächen u. Kulturen'!P50,Kulturen[[HF]:[Saat Winterungen]],'#Frucht'!$P$1,FALSE)&gt;0,1,2))</f>
        <v>2</v>
      </c>
      <c r="L54" s="875">
        <f>'#BerechnungDBE'!AF45</f>
        <v>0</v>
      </c>
      <c r="M54" s="875">
        <f>IF('Flächen u. Kulturen'!L50="",0,VLOOKUP('Flächen u. Kulturen'!L50,Nebenkultur[[Nebenkultur]:[Legum. Zwischenfr.]],'#Zweitfr'!$K$1,FALSE))</f>
        <v>0</v>
      </c>
      <c r="N54" s="875">
        <f>'#BerechnungDBE'!AG45</f>
        <v>0</v>
      </c>
      <c r="P54" s="57">
        <f t="shared" si="353"/>
        <v>0</v>
      </c>
      <c r="Q54" s="57">
        <f t="shared" si="354"/>
        <v>0</v>
      </c>
      <c r="R54" s="875">
        <f t="shared" si="355"/>
        <v>0</v>
      </c>
      <c r="S54" s="938" t="str">
        <f t="shared" si="3"/>
        <v/>
      </c>
      <c r="T54" s="875">
        <f t="shared" si="356"/>
        <v>0</v>
      </c>
      <c r="U54" s="875">
        <f t="shared" si="357"/>
        <v>0</v>
      </c>
      <c r="V54" s="875">
        <f t="shared" si="358"/>
        <v>0</v>
      </c>
      <c r="W54" s="875">
        <f t="shared" si="359"/>
        <v>0</v>
      </c>
      <c r="X54" s="875">
        <f t="shared" si="360"/>
        <v>0</v>
      </c>
      <c r="Y54" s="875">
        <f t="shared" si="349"/>
        <v>0</v>
      </c>
      <c r="Z54" s="875">
        <f t="shared" si="350"/>
        <v>0</v>
      </c>
      <c r="AA54" s="910">
        <f t="shared" si="361"/>
        <v>0</v>
      </c>
      <c r="AB54" s="57">
        <f t="shared" si="351"/>
        <v>0</v>
      </c>
      <c r="AC54" s="875">
        <f t="shared" si="362"/>
        <v>0</v>
      </c>
      <c r="AD54" s="875">
        <f t="shared" si="363"/>
        <v>0</v>
      </c>
      <c r="AE54" s="875">
        <f t="shared" si="364"/>
        <v>0</v>
      </c>
      <c r="AF54" s="875">
        <f t="shared" si="352"/>
        <v>0</v>
      </c>
      <c r="AG54" s="875">
        <f>'org. Düngung 22'!J53</f>
        <v>0</v>
      </c>
      <c r="AH54" s="875">
        <f>'org. Düngung 22'!K53</f>
        <v>0</v>
      </c>
      <c r="AJ54" s="713">
        <f>'org. Düngung 22'!L53</f>
        <v>0</v>
      </c>
      <c r="AK54" s="57"/>
      <c r="AL54" s="57"/>
      <c r="AM54" s="57">
        <f t="shared" si="196"/>
        <v>0</v>
      </c>
      <c r="AN54" s="57">
        <f t="shared" si="197"/>
        <v>0</v>
      </c>
      <c r="AO54" s="57">
        <f t="shared" si="198"/>
        <v>0</v>
      </c>
      <c r="AP54" s="57">
        <f t="shared" si="199"/>
        <v>0</v>
      </c>
      <c r="AQ54" s="57">
        <f t="shared" si="200"/>
        <v>0</v>
      </c>
      <c r="AR54" s="1029">
        <f t="shared" si="365"/>
        <v>0</v>
      </c>
      <c r="AS54" s="57">
        <f t="shared" si="366"/>
        <v>0</v>
      </c>
      <c r="AT54" s="171" t="str">
        <f t="shared" si="367"/>
        <v/>
      </c>
      <c r="AU54" s="57">
        <f t="shared" si="201"/>
        <v>0</v>
      </c>
      <c r="AV54" s="57">
        <f>IF(OR(AND(AJ$6=1,$L54=0),AND(AJ$6=2,$K54=2,$G54=1)),0,IF(AND(AL$9=2,(OR($F54&gt;1,$K54=1,AND($L54=80,OR($N54=1,AND($N54=2,'#BerechnungDBE'!$AL45&gt;0)))))),IF(AJ$4&gt;=$AD$126,0,AT54),IF(AL$9=3,IF(OR(AJ$4&gt;=$AD$127,AND($G54=1,$J54=2,AJ$6=2),AND(AJ$6=1,$N54&lt;&gt;1)),0,IF(AN54&lt;=120,AT54,IF(AJ$4&lt;$AD$124,IF($F54=1,60/AL$4*AL$6,60/AL$4*AL$7),IF($F54=1,120/AL$4*AL$6,120/AL$4*AL$7)))),IF(OR($F54=3,$G54=2),IF(OR(AND(AJ$4&gt;=$AD$119,$C54=2),AND(AJ$4&gt;=$AF$119,$C54=1)),0,IF(AN54&lt;=60,AT54,60/AL$4*AL$7)),IF(AND($F54=2,$G54=1),AT54,0)))))</f>
        <v>0</v>
      </c>
      <c r="AW54" s="57" t="str">
        <f t="shared" si="202"/>
        <v/>
      </c>
      <c r="AX54" s="57" t="str">
        <f t="shared" si="368"/>
        <v/>
      </c>
      <c r="AY54" s="713">
        <f>'org. Düngung 22'!P53</f>
        <v>0</v>
      </c>
      <c r="AZ54" s="57"/>
      <c r="BA54" s="57"/>
      <c r="BB54" s="57">
        <f t="shared" si="18"/>
        <v>0</v>
      </c>
      <c r="BC54" s="57">
        <f t="shared" si="203"/>
        <v>0</v>
      </c>
      <c r="BD54" s="57">
        <f t="shared" si="204"/>
        <v>0</v>
      </c>
      <c r="BE54" s="57">
        <f t="shared" si="205"/>
        <v>0</v>
      </c>
      <c r="BF54" s="57">
        <f t="shared" si="206"/>
        <v>0</v>
      </c>
      <c r="BG54" s="1029">
        <f t="shared" si="369"/>
        <v>0</v>
      </c>
      <c r="BH54" s="57">
        <f t="shared" si="370"/>
        <v>0</v>
      </c>
      <c r="BI54" s="171" t="str">
        <f t="shared" si="371"/>
        <v/>
      </c>
      <c r="BJ54" s="57">
        <f t="shared" si="207"/>
        <v>0</v>
      </c>
      <c r="BK54" s="57">
        <f>IF(OR(AND(AY$6=1,$L54=0),AND(AY$6=2,$K54=2,$G54=1)),0,IF(AND(BA$9=2,(OR($F54&gt;1,$K54=1,AND($L54=80,OR($N54=1,AND($N54=2,'#BerechnungDBE'!$AL45&gt;0)))))),IF(AY$4&gt;=$AD$126,0,BI54),IF(BA$9=3,IF(OR(AY$4&gt;=$AD$127,AND($G54=1,$J54=2,AY$6=2),AND(AY$6=1,$N54&lt;&gt;1)),0,IF(BC54&lt;=120,BI54,IF(AY$4&lt;$AD$124,IF($F54=1,60/BA$4*BA$6,60/BA$4*BA$7),IF($F54=1,120/BA$4*BA$6,120/BA$4*BA$7)))),IF(OR($F54=3,$G54=2),IF(OR(AND(AY$4&gt;=$AD$119,$C54=2),AND(AY$4&gt;=$AF$119,$C54=1)),0,IF(BC54&lt;=60,BI54,60/BA$4*BA$7)),IF(AND($F54=2,$G54=1),BI54,0)))))</f>
        <v>0</v>
      </c>
      <c r="BL54" s="57" t="str">
        <f t="shared" si="22"/>
        <v/>
      </c>
      <c r="BM54" s="57" t="str">
        <f t="shared" si="372"/>
        <v/>
      </c>
      <c r="BN54" s="713">
        <f>'org. Düngung 22'!T53</f>
        <v>0</v>
      </c>
      <c r="BO54" s="57"/>
      <c r="BP54" s="57"/>
      <c r="BQ54" s="57">
        <f t="shared" si="24"/>
        <v>0</v>
      </c>
      <c r="BR54" s="57">
        <f t="shared" si="208"/>
        <v>0</v>
      </c>
      <c r="BS54" s="57">
        <f t="shared" si="209"/>
        <v>0</v>
      </c>
      <c r="BT54" s="57">
        <f t="shared" si="210"/>
        <v>0</v>
      </c>
      <c r="BU54" s="57">
        <f t="shared" si="211"/>
        <v>0</v>
      </c>
      <c r="BV54" s="1029">
        <f t="shared" si="373"/>
        <v>0</v>
      </c>
      <c r="BW54" s="57">
        <f t="shared" si="374"/>
        <v>0</v>
      </c>
      <c r="BX54" s="171" t="str">
        <f t="shared" si="375"/>
        <v/>
      </c>
      <c r="BY54" s="57">
        <f t="shared" si="212"/>
        <v>0</v>
      </c>
      <c r="BZ54" s="57">
        <f>IF(OR(AND(BN$6=1,$L54=0),AND(BN$6=2,$K54=2,$G54=1)),0,IF(AND(BP$9=2,(OR($F54&gt;1,$K54=1,AND($L54=80,OR($N54=1,AND($N54=2,'#BerechnungDBE'!$AL45&gt;0)))))),IF(BN$4&gt;=$AD$126,0,BX54),IF(BP$9=3,IF(OR(BN$4&gt;=$AD$127,AND($G54=1,$J54=2,BN$6=2),AND(BN$6=1,$N54&lt;&gt;1)),0,IF(BR54&lt;=120,BX54,IF(BN$4&lt;$AD$124,IF($F54=1,60/BP$4*BP$6,60/BP$4*BP$7),IF($F54=1,120/BP$4*BP$6,120/BP$4*BP$7)))),IF(OR($F54=3,$G54=2),IF(OR(AND(BN$4&gt;=$AD$119,$C54=2),AND(BN$4&gt;=$AF$119,$C54=1)),0,IF(BR54&lt;=60,BX54,60/BP$4*BP$7)),IF(AND($F54=2,$G54=1),BX54,0)))))</f>
        <v>0</v>
      </c>
      <c r="CA54" s="57" t="str">
        <f t="shared" si="28"/>
        <v/>
      </c>
      <c r="CB54" s="57" t="str">
        <f t="shared" si="376"/>
        <v/>
      </c>
      <c r="CC54" s="713">
        <f>'org. Düngung 22'!X53</f>
        <v>0</v>
      </c>
      <c r="CD54" s="57"/>
      <c r="CE54" s="57"/>
      <c r="CF54" s="57">
        <f t="shared" si="30"/>
        <v>0</v>
      </c>
      <c r="CG54" s="57">
        <f t="shared" si="213"/>
        <v>0</v>
      </c>
      <c r="CH54" s="57">
        <f t="shared" si="214"/>
        <v>0</v>
      </c>
      <c r="CI54" s="57">
        <f t="shared" si="215"/>
        <v>0</v>
      </c>
      <c r="CJ54" s="57">
        <f t="shared" si="216"/>
        <v>0</v>
      </c>
      <c r="CK54" s="1029">
        <f t="shared" si="377"/>
        <v>0</v>
      </c>
      <c r="CL54" s="57">
        <f t="shared" si="378"/>
        <v>0</v>
      </c>
      <c r="CM54" s="171" t="str">
        <f t="shared" si="379"/>
        <v/>
      </c>
      <c r="CN54" s="57">
        <f t="shared" si="217"/>
        <v>0</v>
      </c>
      <c r="CO54" s="57">
        <f>IF(OR(AND(CC$6=1,$L54=0),AND(CC$6=2,$K54=2,$G54=1)),0,IF(AND(CE$9=2,(OR($F54&gt;1,$K54=1,AND($L54=80,OR($N54=1,AND($N54=2,'#BerechnungDBE'!$AL45&gt;0)))))),IF(CC$4&gt;=$AD$126,0,CM54),IF(CE$9=3,IF(OR(CC$4&gt;=$AD$127,AND($G54=1,$J54=2,CC$6=2),AND(CC$6=1,$N54&lt;&gt;1)),0,IF(CG54&lt;=120,CM54,IF(CC$4&lt;$AD$124,IF($F54=1,60/CE$4*CE$6,60/CE$4*CE$7),IF($F54=1,120/CE$4*CE$6,120/CE$4*CE$7)))),IF(OR($F54=3,$G54=2),IF(OR(AND(CC$4&gt;=$AD$119,$C54=2),AND(CC$4&gt;=$AF$119,$C54=1)),0,IF(CG54&lt;=60,CM54,60/CE$4*CE$7)),IF(AND($F54=2,$G54=1),CM54,0)))))</f>
        <v>0</v>
      </c>
      <c r="CP54" s="57" t="str">
        <f t="shared" si="34"/>
        <v/>
      </c>
      <c r="CQ54" s="57" t="str">
        <f t="shared" si="380"/>
        <v/>
      </c>
      <c r="CR54" s="713">
        <f>'org. Düngung 22'!AB53</f>
        <v>0</v>
      </c>
      <c r="CS54" s="57"/>
      <c r="CT54" s="57"/>
      <c r="CU54" s="57">
        <f t="shared" si="36"/>
        <v>0</v>
      </c>
      <c r="CV54" s="57">
        <f t="shared" si="218"/>
        <v>0</v>
      </c>
      <c r="CW54" s="57">
        <f t="shared" si="219"/>
        <v>0</v>
      </c>
      <c r="CX54" s="57">
        <f t="shared" si="220"/>
        <v>0</v>
      </c>
      <c r="CY54" s="57">
        <f t="shared" si="221"/>
        <v>0</v>
      </c>
      <c r="CZ54" s="1029">
        <f t="shared" si="381"/>
        <v>0</v>
      </c>
      <c r="DA54" s="57">
        <f t="shared" si="382"/>
        <v>0</v>
      </c>
      <c r="DB54" s="171" t="str">
        <f t="shared" si="383"/>
        <v/>
      </c>
      <c r="DC54" s="57">
        <f t="shared" si="222"/>
        <v>0</v>
      </c>
      <c r="DD54" s="57">
        <f>IF(OR(AND(CR$6=1,$L54=0),AND(CR$6=2,$K54=2,$G54=1)),0,IF(AND(CT$9=2,(OR($F54&gt;1,$K54=1,AND($L54=80,OR($N54=1,AND($N54=2,'#BerechnungDBE'!$AL45&gt;0)))))),IF(CR$4&gt;=$AD$126,0,DB54),IF(CT$9=3,IF(OR(CR$4&gt;=$AD$127,AND($G54=1,$J54=2,CR$6=2),AND(CR$6=1,$N54&lt;&gt;1)),0,IF(CV54&lt;=120,DB54,IF(CR$4&lt;$AD$124,IF($F54=1,60/CT$4*CT$6,60/CT$4*CT$7),IF($F54=1,120/CT$4*CT$6,120/CT$4*CT$7)))),IF(OR($F54=3,$G54=2),IF(OR(AND(CR$4&gt;=$AD$119,$C54=2),AND(CR$4&gt;=$AF$119,$C54=1)),0,IF(CV54&lt;=60,DB54,60/CT$4*CT$7)),IF(AND($F54=2,$G54=1),DB54,0)))))</f>
        <v>0</v>
      </c>
      <c r="DE54" s="57" t="str">
        <f t="shared" si="40"/>
        <v/>
      </c>
      <c r="DF54" s="57" t="str">
        <f t="shared" si="384"/>
        <v/>
      </c>
      <c r="DG54" s="713">
        <f>'org. Düngung 22'!AF53</f>
        <v>0</v>
      </c>
      <c r="DH54" s="57"/>
      <c r="DI54" s="57"/>
      <c r="DJ54" s="57">
        <f t="shared" si="42"/>
        <v>0</v>
      </c>
      <c r="DK54" s="57">
        <f t="shared" si="223"/>
        <v>0</v>
      </c>
      <c r="DL54" s="57">
        <f t="shared" si="224"/>
        <v>0</v>
      </c>
      <c r="DM54" s="57">
        <f t="shared" si="225"/>
        <v>0</v>
      </c>
      <c r="DN54" s="57">
        <f t="shared" si="226"/>
        <v>0</v>
      </c>
      <c r="DO54" s="1029">
        <f t="shared" si="385"/>
        <v>0</v>
      </c>
      <c r="DP54" s="57">
        <f t="shared" si="386"/>
        <v>0</v>
      </c>
      <c r="DQ54" s="171" t="str">
        <f t="shared" si="387"/>
        <v/>
      </c>
      <c r="DR54" s="57">
        <f t="shared" si="227"/>
        <v>0</v>
      </c>
      <c r="DS54" s="57">
        <f>IF(OR(AND(DG$6=1,$L54=0),AND(DG$6=2,$K54=2,$G54=1)),0,IF(AND(DI$9=2,(OR($F54&gt;1,$K54=1,AND($L54=80,OR($N54=1,AND($N54=2,'#BerechnungDBE'!$AL45&gt;0)))))),IF(DG$4&gt;=$AD$126,0,DQ54),IF(DI$9=3,IF(OR(DG$4&gt;=$AD$127,AND($G54=1,$J54=2,DG$6=2),AND(DG$6=1,$N54&lt;&gt;1)),0,IF(DK54&lt;=120,DQ54,IF(DG$4&lt;$AD$124,IF($F54=1,60/DI$4*DI$6,60/DI$4*DI$7),IF($F54=1,120/DI$4*DI$6,120/DI$4*DI$7)))),IF(OR($F54=3,$G54=2),IF(OR(AND(DG$4&gt;=$AD$119,$C54=2),AND(DG$4&gt;=$AF$119,$C54=1)),0,IF(DK54&lt;=60,DQ54,60/DI$4*DI$7)),IF(AND($F54=2,$G54=1),DQ54,0)))))</f>
        <v>0</v>
      </c>
      <c r="DT54" s="57" t="str">
        <f t="shared" si="46"/>
        <v/>
      </c>
      <c r="DU54" s="57" t="str">
        <f t="shared" si="388"/>
        <v/>
      </c>
      <c r="DV54" s="713">
        <f>'org. Düngung 22'!AJ53</f>
        <v>0</v>
      </c>
      <c r="DW54" s="57"/>
      <c r="DX54" s="57"/>
      <c r="DY54" s="57">
        <f t="shared" si="48"/>
        <v>0</v>
      </c>
      <c r="DZ54" s="57">
        <f t="shared" si="228"/>
        <v>0</v>
      </c>
      <c r="EA54" s="57">
        <f t="shared" si="229"/>
        <v>0</v>
      </c>
      <c r="EB54" s="57">
        <f t="shared" si="230"/>
        <v>0</v>
      </c>
      <c r="EC54" s="57">
        <f t="shared" si="231"/>
        <v>0</v>
      </c>
      <c r="ED54" s="1029">
        <f t="shared" si="389"/>
        <v>0</v>
      </c>
      <c r="EE54" s="57">
        <f t="shared" si="390"/>
        <v>0</v>
      </c>
      <c r="EF54" s="171" t="str">
        <f t="shared" si="391"/>
        <v/>
      </c>
      <c r="EG54" s="57">
        <f t="shared" si="232"/>
        <v>0</v>
      </c>
      <c r="EH54" s="57">
        <f>IF(OR(AND(DV$6=1,$L54=0),AND(DV$6=2,$K54=2,$G54=1)),0,IF(AND(DX$9=2,(OR($F54&gt;1,$K54=1,AND($L54=80,OR($N54=1,AND($N54=2,'#BerechnungDBE'!$AL45&gt;0)))))),IF(DV$4&gt;=$AD$126,0,EF54),IF(DX$9=3,IF(OR(DV$4&gt;=$AD$127,AND($G54=1,$J54=2,DV$6=2),AND(DV$6=1,$N54&lt;&gt;1)),0,IF(DZ54&lt;=120,EF54,IF(DV$4&lt;$AD$124,IF($F54=1,60/DX$4*DX$6,60/DX$4*DX$7),IF($F54=1,120/DX$4*DX$6,120/DX$4*DX$7)))),IF(OR($F54=3,$G54=2),IF(OR(AND(DV$4&gt;=$AD$119,$C54=2),AND(DV$4&gt;=$AF$119,$C54=1)),0,IF(DZ54&lt;=60,EF54,60/DX$4*DX$7)),IF(AND($F54=2,$G54=1),EF54,0)))))</f>
        <v>0</v>
      </c>
      <c r="EI54" s="57" t="str">
        <f t="shared" si="52"/>
        <v/>
      </c>
      <c r="EJ54" s="57" t="str">
        <f t="shared" si="392"/>
        <v/>
      </c>
      <c r="EK54" s="713">
        <f>'org. Düngung 22'!AN53</f>
        <v>0</v>
      </c>
      <c r="EL54" s="57"/>
      <c r="EM54" s="57"/>
      <c r="EN54" s="57">
        <f t="shared" si="54"/>
        <v>0</v>
      </c>
      <c r="EO54" s="57">
        <f t="shared" si="233"/>
        <v>0</v>
      </c>
      <c r="EP54" s="57">
        <f t="shared" si="234"/>
        <v>0</v>
      </c>
      <c r="EQ54" s="57">
        <f t="shared" si="235"/>
        <v>0</v>
      </c>
      <c r="ER54" s="57">
        <f t="shared" si="236"/>
        <v>0</v>
      </c>
      <c r="ES54" s="1029">
        <f t="shared" si="393"/>
        <v>0</v>
      </c>
      <c r="ET54" s="57">
        <f t="shared" si="394"/>
        <v>0</v>
      </c>
      <c r="EU54" s="171" t="str">
        <f t="shared" si="395"/>
        <v/>
      </c>
      <c r="EV54" s="57">
        <f t="shared" si="237"/>
        <v>0</v>
      </c>
      <c r="EW54" s="57">
        <f>IF(OR(AND(EK$6=1,$L54=0),AND(EK$6=2,$K54=2,$G54=1)),0,IF(AND(EM$9=2,(OR($F54&gt;1,$K54=1,AND($L54=80,OR($N54=1,AND($N54=2,'#BerechnungDBE'!$AL45&gt;0)))))),IF(EK$4&gt;=$AD$126,0,EU54),IF(EM$9=3,IF(OR(EK$4&gt;=$AD$127,AND($G54=1,$J54=2,EK$6=2),AND(EK$6=1,$N54&lt;&gt;1)),0,IF(EO54&lt;=120,EU54,IF(EK$4&lt;$AD$124,IF($F54=1,60/EM$4*EM$6,60/EM$4*EM$7),IF($F54=1,120/EM$4*EM$6,120/EM$4*EM$7)))),IF(OR($F54=3,$G54=2),IF(OR(AND(EK$4&gt;=$AD$119,$C54=2),AND(EK$4&gt;=$AF$119,$C54=1)),0,IF(EO54&lt;=60,EU54,60/EM$4*EM$7)),IF(AND($F54=2,$G54=1),EU54,0)))))</f>
        <v>0</v>
      </c>
      <c r="EX54" s="57" t="str">
        <f t="shared" si="58"/>
        <v/>
      </c>
      <c r="EY54" s="57" t="str">
        <f t="shared" si="396"/>
        <v/>
      </c>
      <c r="EZ54" s="713">
        <f>'org. Düngung 22'!AR53</f>
        <v>0</v>
      </c>
      <c r="FA54" s="57"/>
      <c r="FB54" s="57"/>
      <c r="FC54" s="57">
        <f t="shared" si="60"/>
        <v>0</v>
      </c>
      <c r="FD54" s="57">
        <f t="shared" si="238"/>
        <v>0</v>
      </c>
      <c r="FE54" s="57">
        <f t="shared" si="239"/>
        <v>0</v>
      </c>
      <c r="FF54" s="57">
        <f t="shared" si="240"/>
        <v>0</v>
      </c>
      <c r="FG54" s="57">
        <f t="shared" si="241"/>
        <v>0</v>
      </c>
      <c r="FH54" s="1029">
        <f t="shared" si="397"/>
        <v>0</v>
      </c>
      <c r="FI54" s="57">
        <f t="shared" si="398"/>
        <v>0</v>
      </c>
      <c r="FJ54" s="171" t="str">
        <f t="shared" si="399"/>
        <v/>
      </c>
      <c r="FK54" s="57">
        <f t="shared" si="242"/>
        <v>0</v>
      </c>
      <c r="FL54" s="57">
        <f>IF(OR(AND(EZ$6=1,$L54=0),AND(EZ$6=2,$K54=2,$G54=1)),0,IF(AND(FB$9=2,(OR($F54&gt;1,$K54=1,AND($L54=80,OR($N54=1,AND($N54=2,'#BerechnungDBE'!$AL45&gt;0)))))),IF(EZ$4&gt;=$AD$126,0,FJ54),IF(FB$9=3,IF(OR(EZ$4&gt;=$AD$127,AND($G54=1,$J54=2,EZ$6=2),AND(EZ$6=1,$N54&lt;&gt;1)),0,IF(FD54&lt;=120,FJ54,IF(EZ$4&lt;$AD$124,IF($F54=1,60/FB$4*FB$6,60/FB$4*FB$7),IF($F54=1,120/FB$4*FB$6,120/FB$4*FB$7)))),IF(OR($F54=3,$G54=2),IF(OR(AND(EZ$4&gt;=$AD$119,$C54=2),AND(EZ$4&gt;=$AF$119,$C54=1)),0,IF(FD54&lt;=60,FJ54,60/FB$4*FB$7)),IF(AND($F54=2,$G54=1),FJ54,0)))))</f>
        <v>0</v>
      </c>
      <c r="FM54" s="57" t="str">
        <f t="shared" si="64"/>
        <v/>
      </c>
      <c r="FN54" s="57" t="str">
        <f t="shared" si="400"/>
        <v/>
      </c>
      <c r="FO54" s="713">
        <f>'org. Düngung 22'!AV53</f>
        <v>0</v>
      </c>
      <c r="FP54" s="57"/>
      <c r="FQ54" s="57"/>
      <c r="FR54" s="57">
        <f t="shared" si="66"/>
        <v>0</v>
      </c>
      <c r="FS54" s="57">
        <f t="shared" si="243"/>
        <v>0</v>
      </c>
      <c r="FT54" s="57">
        <f t="shared" si="244"/>
        <v>0</v>
      </c>
      <c r="FU54" s="57">
        <f t="shared" si="245"/>
        <v>0</v>
      </c>
      <c r="FV54" s="57">
        <f t="shared" si="246"/>
        <v>0</v>
      </c>
      <c r="FW54" s="1029">
        <f t="shared" si="401"/>
        <v>0</v>
      </c>
      <c r="FX54" s="57">
        <f t="shared" si="402"/>
        <v>0</v>
      </c>
      <c r="FY54" s="171" t="str">
        <f t="shared" si="403"/>
        <v/>
      </c>
      <c r="FZ54" s="57">
        <f t="shared" si="247"/>
        <v>0</v>
      </c>
      <c r="GA54" s="57">
        <f>IF(OR(AND(FO$6=1,$L54=0),AND(FO$6=2,$K54=2,$G54=1)),0,IF(AND(FQ$9=2,(OR($F54&gt;1,$K54=1,AND($L54=80,OR($N54=1,AND($N54=2,'#BerechnungDBE'!$AL45&gt;0)))))),IF(FO$4&gt;=$AD$126,0,FY54),IF(FQ$9=3,IF(OR(FO$4&gt;=$AD$127,AND($G54=1,$J54=2,FO$6=2),AND(FO$6=1,$N54&lt;&gt;1)),0,IF(FS54&lt;=120,FY54,IF(FO$4&lt;$AD$124,IF($F54=1,60/FQ$4*FQ$6,60/FQ$4*FQ$7),IF($F54=1,120/FQ$4*FQ$6,120/FQ$4*FQ$7)))),IF(OR($F54=3,$G54=2),IF(OR(AND(FO$4&gt;=$AD$119,$C54=2),AND(FO$4&gt;=$AF$119,$C54=1)),0,IF(FS54&lt;=60,FY54,60/FQ$4*FQ$7)),IF(AND($F54=2,$G54=1),FY54,0)))))</f>
        <v>0</v>
      </c>
      <c r="GB54" s="57" t="str">
        <f t="shared" si="70"/>
        <v/>
      </c>
      <c r="GC54" s="57" t="str">
        <f t="shared" si="404"/>
        <v/>
      </c>
      <c r="GD54" s="713">
        <f>'org. Düngung 22'!AZ53</f>
        <v>0</v>
      </c>
      <c r="GE54" s="57"/>
      <c r="GF54" s="57"/>
      <c r="GG54" s="57">
        <f t="shared" si="72"/>
        <v>0</v>
      </c>
      <c r="GH54" s="57">
        <f t="shared" si="248"/>
        <v>0</v>
      </c>
      <c r="GI54" s="57">
        <f t="shared" si="249"/>
        <v>0</v>
      </c>
      <c r="GJ54" s="57">
        <f t="shared" si="250"/>
        <v>0</v>
      </c>
      <c r="GK54" s="57">
        <f t="shared" si="251"/>
        <v>0</v>
      </c>
      <c r="GL54" s="1029">
        <f t="shared" si="405"/>
        <v>0</v>
      </c>
      <c r="GM54" s="57">
        <f t="shared" si="406"/>
        <v>0</v>
      </c>
      <c r="GN54" s="171" t="str">
        <f t="shared" si="407"/>
        <v/>
      </c>
      <c r="GO54" s="57">
        <f t="shared" si="252"/>
        <v>0</v>
      </c>
      <c r="GP54" s="57">
        <f>IF(OR(AND(GD$6=1,$L54=0),AND(GD$6=2,$K54=2,$G54=1)),0,IF(AND(GF$9=2,(OR($F54&gt;1,$K54=1,AND($L54=80,OR($N54=1,AND($N54=2,'#BerechnungDBE'!$AL45&gt;0)))))),IF(GD$4&gt;=$AD$126,0,GN54),IF(GF$9=3,IF(OR(GD$4&gt;=$AD$127,AND($G54=1,$J54=2,GD$6=2),AND(GD$6=1,$N54&lt;&gt;1)),0,IF(GH54&lt;=120,GN54,IF(GD$4&lt;$AD$124,IF($F54=1,60/GF$4*GF$6,60/GF$4*GF$7),IF($F54=1,120/GF$4*GF$6,120/GF$4*GF$7)))),IF(OR($F54=3,$G54=2),IF(OR(AND(GD$4&gt;=$AD$119,$C54=2),AND(GD$4&gt;=$AF$119,$C54=1)),0,IF(GH54&lt;=60,GN54,60/GF$4*GF$7)),IF(AND($F54=2,$G54=1),GN54,0)))))</f>
        <v>0</v>
      </c>
      <c r="GQ54" s="57" t="str">
        <f t="shared" si="76"/>
        <v/>
      </c>
      <c r="GR54" s="57" t="str">
        <f t="shared" si="408"/>
        <v/>
      </c>
      <c r="GS54" s="713">
        <f>'org. Düngung 22'!BD53</f>
        <v>0</v>
      </c>
      <c r="GT54" s="57"/>
      <c r="GU54" s="57"/>
      <c r="GV54" s="57">
        <f t="shared" si="78"/>
        <v>0</v>
      </c>
      <c r="GW54" s="57">
        <f t="shared" si="253"/>
        <v>0</v>
      </c>
      <c r="GX54" s="57">
        <f t="shared" si="254"/>
        <v>0</v>
      </c>
      <c r="GY54" s="57">
        <f t="shared" si="255"/>
        <v>0</v>
      </c>
      <c r="GZ54" s="57">
        <f t="shared" si="256"/>
        <v>0</v>
      </c>
      <c r="HA54" s="1029">
        <f t="shared" si="409"/>
        <v>0</v>
      </c>
      <c r="HB54" s="57">
        <f t="shared" si="410"/>
        <v>0</v>
      </c>
      <c r="HC54" s="171" t="str">
        <f t="shared" si="411"/>
        <v/>
      </c>
      <c r="HD54" s="57">
        <f t="shared" si="257"/>
        <v>0</v>
      </c>
      <c r="HE54" s="57">
        <f>IF(OR(AND(GS$6=1,$L54=0),AND(GS$6=2,$K54=2,$G54=1)),0,IF(AND(GU$9=2,(OR($F54&gt;1,$K54=1,AND($L54=80,OR($N54=1,AND($N54=2,'#BerechnungDBE'!$AL45&gt;0)))))),IF(GS$4&gt;=$AD$126,0,HC54),IF(GU$9=3,IF(OR(GS$4&gt;=$AD$127,AND($G54=1,$J54=2,GS$6=2),AND(GS$6=1,$N54&lt;&gt;1)),0,IF(GW54&lt;=120,HC54,IF(GS$4&lt;$AD$124,IF($F54=1,60/GU$4*GU$6,60/GU$4*GU$7),IF($F54=1,120/GU$4*GU$6,120/GU$4*GU$7)))),IF(OR($F54=3,$G54=2),IF(OR(AND(GS$4&gt;=$AD$119,$C54=2),AND(GS$4&gt;=$AF$119,$C54=1)),0,IF(GW54&lt;=60,HC54,60/GU$4*GU$7)),IF(AND($F54=2,$G54=1),HC54,0)))))</f>
        <v>0</v>
      </c>
      <c r="HF54" s="57" t="str">
        <f t="shared" si="82"/>
        <v/>
      </c>
      <c r="HG54" s="57" t="str">
        <f t="shared" si="412"/>
        <v/>
      </c>
      <c r="HH54" s="713">
        <f>'org. Düngung 22'!BH53</f>
        <v>0</v>
      </c>
      <c r="HI54" s="57"/>
      <c r="HJ54" s="57"/>
      <c r="HK54" s="57">
        <f t="shared" si="84"/>
        <v>0</v>
      </c>
      <c r="HL54" s="57">
        <f t="shared" si="258"/>
        <v>0</v>
      </c>
      <c r="HM54" s="57">
        <f t="shared" si="259"/>
        <v>0</v>
      </c>
      <c r="HN54" s="57">
        <f t="shared" si="260"/>
        <v>0</v>
      </c>
      <c r="HO54" s="57">
        <f t="shared" si="261"/>
        <v>0</v>
      </c>
      <c r="HP54" s="1029">
        <f t="shared" si="413"/>
        <v>0</v>
      </c>
      <c r="HQ54" s="57">
        <f t="shared" si="414"/>
        <v>0</v>
      </c>
      <c r="HR54" s="171" t="str">
        <f t="shared" si="415"/>
        <v/>
      </c>
      <c r="HS54" s="57">
        <f t="shared" si="262"/>
        <v>0</v>
      </c>
      <c r="HT54" s="57">
        <f>IF(OR(AND(HH$6=1,$L54=0),AND(HH$6=2,$K54=2,$G54=1)),0,IF(AND(HJ$9=2,(OR($F54&gt;1,$K54=1,AND($L54=80,OR($N54=1,AND($N54=2,'#BerechnungDBE'!$AL45&gt;0)))))),IF(HH$4&gt;=$AD$126,0,HR54),IF(HJ$9=3,IF(OR(HH$4&gt;=$AD$127,AND($G54=1,$J54=2,HH$6=2),AND(HH$6=1,$N54&lt;&gt;1)),0,IF(HL54&lt;=120,HR54,IF(HH$4&lt;$AD$124,IF($F54=1,60/HJ$4*HJ$6,60/HJ$4*HJ$7),IF($F54=1,120/HJ$4*HJ$6,120/HJ$4*HJ$7)))),IF(OR($F54=3,$G54=2),IF(OR(AND(HH$4&gt;=$AD$119,$C54=2),AND(HH$4&gt;=$AF$119,$C54=1)),0,IF(HL54&lt;=60,HR54,60/HJ$4*HJ$7)),IF(AND($F54=2,$G54=1),HR54,0)))))</f>
        <v>0</v>
      </c>
      <c r="HU54" s="57" t="str">
        <f t="shared" si="88"/>
        <v/>
      </c>
      <c r="HV54" s="57" t="str">
        <f t="shared" si="416"/>
        <v/>
      </c>
      <c r="HW54" s="713">
        <f>'org. Düngung 22'!BL53</f>
        <v>0</v>
      </c>
      <c r="HX54" s="57"/>
      <c r="HY54" s="57"/>
      <c r="HZ54" s="57">
        <f t="shared" si="90"/>
        <v>0</v>
      </c>
      <c r="IA54" s="57">
        <f t="shared" si="263"/>
        <v>0</v>
      </c>
      <c r="IB54" s="57">
        <f t="shared" si="264"/>
        <v>0</v>
      </c>
      <c r="IC54" s="57">
        <f t="shared" si="265"/>
        <v>0</v>
      </c>
      <c r="ID54" s="57">
        <f t="shared" si="266"/>
        <v>0</v>
      </c>
      <c r="IE54" s="1029">
        <f t="shared" si="417"/>
        <v>0</v>
      </c>
      <c r="IF54" s="57">
        <f t="shared" si="418"/>
        <v>0</v>
      </c>
      <c r="IG54" s="171" t="str">
        <f t="shared" si="419"/>
        <v/>
      </c>
      <c r="IH54" s="57">
        <f t="shared" si="267"/>
        <v>0</v>
      </c>
      <c r="II54" s="57">
        <f>IF(OR(AND(HW$6=1,$L54=0),AND(HW$6=2,$K54=2,$G54=1)),0,IF(AND(HY$9=2,(OR($F54&gt;1,$K54=1,AND($L54=80,OR($N54=1,AND($N54=2,'#BerechnungDBE'!$AL45&gt;0)))))),IF(HW$4&gt;=$AD$126,0,IG54),IF(HY$9=3,IF(OR(HW$4&gt;=$AD$127,AND($G54=1,$J54=2,HW$6=2),AND(HW$6=1,$N54&lt;&gt;1)),0,IF(IA54&lt;=120,IG54,IF(HW$4&lt;$AD$124,IF($F54=1,60/HY$4*HY$6,60/HY$4*HY$7),IF($F54=1,120/HY$4*HY$6,120/HY$4*HY$7)))),IF(OR($F54=3,$G54=2),IF(OR(AND(HW$4&gt;=$AD$119,$C54=2),AND(HW$4&gt;=$AF$119,$C54=1)),0,IF(IA54&lt;=60,IG54,60/HY$4*HY$7)),IF(AND($F54=2,$G54=1),IG54,0)))))</f>
        <v>0</v>
      </c>
      <c r="IJ54" s="57" t="str">
        <f t="shared" si="94"/>
        <v/>
      </c>
      <c r="IK54" s="57" t="str">
        <f t="shared" si="420"/>
        <v/>
      </c>
      <c r="IL54" s="713">
        <f>'org. Düngung 22'!BP53</f>
        <v>0</v>
      </c>
      <c r="IM54" s="57"/>
      <c r="IN54" s="57"/>
      <c r="IO54" s="57">
        <f t="shared" si="96"/>
        <v>0</v>
      </c>
      <c r="IP54" s="57">
        <f t="shared" si="268"/>
        <v>0</v>
      </c>
      <c r="IQ54" s="57">
        <f t="shared" si="269"/>
        <v>0</v>
      </c>
      <c r="IR54" s="57">
        <f t="shared" si="270"/>
        <v>0</v>
      </c>
      <c r="IS54" s="57">
        <f t="shared" si="271"/>
        <v>0</v>
      </c>
      <c r="IT54" s="1029">
        <f t="shared" si="421"/>
        <v>0</v>
      </c>
      <c r="IU54" s="57">
        <f t="shared" si="422"/>
        <v>0</v>
      </c>
      <c r="IV54" s="171" t="str">
        <f t="shared" si="423"/>
        <v/>
      </c>
      <c r="IW54" s="57">
        <f t="shared" si="272"/>
        <v>0</v>
      </c>
      <c r="IX54" s="57">
        <f>IF(OR(AND(IL$6=1,$L54=0),AND(IL$6=2,$K54=2,$G54=1)),0,IF(AND(IN$9=2,(OR($F54&gt;1,$K54=1,AND($L54=80,OR($N54=1,AND($N54=2,'#BerechnungDBE'!$AL45&gt;0)))))),IF(IL$4&gt;=$AD$126,0,IV54),IF(IN$9=3,IF(OR(IL$4&gt;=$AD$127,AND($G54=1,$J54=2,IL$6=2),AND(IL$6=1,$N54&lt;&gt;1)),0,IF(IP54&lt;=120,IV54,IF(IL$4&lt;$AD$124,IF($F54=1,60/IN$4*IN$6,60/IN$4*IN$7),IF($F54=1,120/IN$4*IN$6,120/IN$4*IN$7)))),IF(OR($F54=3,$G54=2),IF(OR(AND(IL$4&gt;=$AD$119,$C54=2),AND(IL$4&gt;=$AF$119,$C54=1)),0,IF(IP54&lt;=60,IV54,60/IN$4*IN$7)),IF(AND($F54=2,$G54=1),IV54,0)))))</f>
        <v>0</v>
      </c>
      <c r="IY54" s="57" t="str">
        <f t="shared" si="100"/>
        <v/>
      </c>
      <c r="IZ54" s="57" t="str">
        <f t="shared" si="424"/>
        <v/>
      </c>
      <c r="JA54" s="713">
        <f>'org. Düngung 22'!BT53</f>
        <v>0</v>
      </c>
      <c r="JB54" s="57"/>
      <c r="JC54" s="57"/>
      <c r="JD54" s="57">
        <f t="shared" si="102"/>
        <v>0</v>
      </c>
      <c r="JE54" s="57">
        <f t="shared" si="273"/>
        <v>0</v>
      </c>
      <c r="JF54" s="57">
        <f t="shared" si="274"/>
        <v>0</v>
      </c>
      <c r="JG54" s="57">
        <f t="shared" si="275"/>
        <v>0</v>
      </c>
      <c r="JH54" s="57">
        <f t="shared" si="276"/>
        <v>0</v>
      </c>
      <c r="JI54" s="1029">
        <f t="shared" si="425"/>
        <v>0</v>
      </c>
      <c r="JJ54" s="57">
        <f t="shared" si="426"/>
        <v>0</v>
      </c>
      <c r="JK54" s="171" t="str">
        <f t="shared" si="427"/>
        <v/>
      </c>
      <c r="JL54" s="57">
        <f t="shared" si="277"/>
        <v>0</v>
      </c>
      <c r="JM54" s="57">
        <f>IF(OR(AND(JA$6=1,$L54=0),AND(JA$6=2,$K54=2,$G54=1)),0,IF(AND(JC$9=2,(OR($F54&gt;1,$K54=1,AND($L54=80,OR($N54=1,AND($N54=2,'#BerechnungDBE'!$AL45&gt;0)))))),IF(JA$4&gt;=$AD$126,0,JK54),IF(JC$9=3,IF(OR(JA$4&gt;=$AD$127,AND($G54=1,$J54=2,JA$6=2),AND(JA$6=1,$N54&lt;&gt;1)),0,IF(JE54&lt;=120,JK54,IF(JA$4&lt;$AD$124,IF($F54=1,60/JC$4*JC$6,60/JC$4*JC$7),IF($F54=1,120/JC$4*JC$6,120/JC$4*JC$7)))),IF(OR($F54=3,$G54=2),IF(OR(AND(JA$4&gt;=$AD$119,$C54=2),AND(JA$4&gt;=$AF$119,$C54=1)),0,IF(JE54&lt;=60,JK54,60/JC$4*JC$7)),IF(AND($F54=2,$G54=1),JK54,0)))))</f>
        <v>0</v>
      </c>
      <c r="JN54" s="57" t="str">
        <f t="shared" si="106"/>
        <v/>
      </c>
      <c r="JO54" s="57" t="str">
        <f t="shared" si="428"/>
        <v/>
      </c>
      <c r="JP54" s="713">
        <f>'org. Düngung 22'!BX53</f>
        <v>0</v>
      </c>
      <c r="JQ54" s="57"/>
      <c r="JR54" s="57"/>
      <c r="JS54" s="57">
        <f t="shared" si="108"/>
        <v>0</v>
      </c>
      <c r="JT54" s="57">
        <f t="shared" si="278"/>
        <v>0</v>
      </c>
      <c r="JU54" s="57">
        <f t="shared" si="279"/>
        <v>0</v>
      </c>
      <c r="JV54" s="57">
        <f t="shared" si="280"/>
        <v>0</v>
      </c>
      <c r="JW54" s="57">
        <f t="shared" si="281"/>
        <v>0</v>
      </c>
      <c r="JX54" s="1029">
        <f t="shared" si="429"/>
        <v>0</v>
      </c>
      <c r="JY54" s="57">
        <f t="shared" si="430"/>
        <v>0</v>
      </c>
      <c r="JZ54" s="171" t="str">
        <f t="shared" si="431"/>
        <v/>
      </c>
      <c r="KA54" s="57">
        <f t="shared" si="282"/>
        <v>0</v>
      </c>
      <c r="KB54" s="57">
        <f>IF(OR(AND(JP$6=1,$L54=0),AND(JP$6=2,$K54=2,$G54=1)),0,IF(AND(JR$9=2,(OR($F54&gt;1,$K54=1,AND($L54=80,OR($N54=1,AND($N54=2,'#BerechnungDBE'!$AL45&gt;0)))))),IF(JP$4&gt;=$AD$126,0,JZ54),IF(JR$9=3,IF(OR(JP$4&gt;=$AD$127,AND($G54=1,$J54=2,JP$6=2),AND(JP$6=1,$N54&lt;&gt;1)),0,IF(JT54&lt;=120,JZ54,IF(JP$4&lt;$AD$124,IF($F54=1,60/JR$4*JR$6,60/JR$4*JR$7),IF($F54=1,120/JR$4*JR$6,120/JR$4*JR$7)))),IF(OR($F54=3,$G54=2),IF(OR(AND(JP$4&gt;=$AD$119,$C54=2),AND(JP$4&gt;=$AF$119,$C54=1)),0,IF(JT54&lt;=60,JZ54,60/JR$4*JR$7)),IF(AND($F54=2,$G54=1),JZ54,0)))))</f>
        <v>0</v>
      </c>
      <c r="KC54" s="57" t="str">
        <f t="shared" si="112"/>
        <v/>
      </c>
      <c r="KD54" s="57" t="str">
        <f t="shared" si="432"/>
        <v/>
      </c>
      <c r="KE54" s="713">
        <f>'org. Düngung 22'!CB53</f>
        <v>0</v>
      </c>
      <c r="KF54" s="57"/>
      <c r="KG54" s="57"/>
      <c r="KH54" s="57">
        <f t="shared" si="114"/>
        <v>0</v>
      </c>
      <c r="KI54" s="57">
        <f t="shared" si="283"/>
        <v>0</v>
      </c>
      <c r="KJ54" s="57">
        <f t="shared" si="284"/>
        <v>0</v>
      </c>
      <c r="KK54" s="57">
        <f t="shared" si="285"/>
        <v>0</v>
      </c>
      <c r="KL54" s="57">
        <f t="shared" si="286"/>
        <v>0</v>
      </c>
      <c r="KM54" s="1029">
        <f t="shared" si="433"/>
        <v>0</v>
      </c>
      <c r="KN54" s="57">
        <f t="shared" si="434"/>
        <v>0</v>
      </c>
      <c r="KO54" s="171" t="str">
        <f t="shared" si="435"/>
        <v/>
      </c>
      <c r="KP54" s="57">
        <f t="shared" si="287"/>
        <v>0</v>
      </c>
      <c r="KQ54" s="57">
        <f>IF(OR(AND(KE$6=1,$L54=0),AND(KE$6=2,$K54=2,$G54=1)),0,IF(AND(KG$9=2,(OR($F54&gt;1,$K54=1,AND($L54=80,OR($N54=1,AND($N54=2,'#BerechnungDBE'!$AL45&gt;0)))))),IF(KE$4&gt;=$AD$126,0,KO54),IF(KG$9=3,IF(OR(KE$4&gt;=$AD$127,AND($G54=1,$J54=2,KE$6=2),AND(KE$6=1,$N54&lt;&gt;1)),0,IF(KI54&lt;=120,KO54,IF(KE$4&lt;$AD$124,IF($F54=1,60/KG$4*KG$6,60/KG$4*KG$7),IF($F54=1,120/KG$4*KG$6,120/KG$4*KG$7)))),IF(OR($F54=3,$G54=2),IF(OR(AND(KE$4&gt;=$AD$119,$C54=2),AND(KE$4&gt;=$AF$119,$C54=1)),0,IF(KI54&lt;=60,KO54,60/KG$4*KG$7)),IF(AND($F54=2,$G54=1),KO54,0)))))</f>
        <v>0</v>
      </c>
      <c r="KR54" s="57" t="str">
        <f t="shared" si="118"/>
        <v/>
      </c>
      <c r="KS54" s="57" t="str">
        <f t="shared" si="436"/>
        <v/>
      </c>
      <c r="KT54" s="713">
        <f>'org. Düngung 22'!CF53</f>
        <v>0</v>
      </c>
      <c r="KU54" s="57"/>
      <c r="KV54" s="57"/>
      <c r="KW54" s="57">
        <f t="shared" si="120"/>
        <v>0</v>
      </c>
      <c r="KX54" s="57">
        <f t="shared" si="288"/>
        <v>0</v>
      </c>
      <c r="KY54" s="57">
        <f t="shared" si="289"/>
        <v>0</v>
      </c>
      <c r="KZ54" s="57">
        <f t="shared" si="290"/>
        <v>0</v>
      </c>
      <c r="LA54" s="57">
        <f t="shared" si="291"/>
        <v>0</v>
      </c>
      <c r="LB54" s="1029">
        <f t="shared" si="437"/>
        <v>0</v>
      </c>
      <c r="LC54" s="57">
        <f t="shared" si="438"/>
        <v>0</v>
      </c>
      <c r="LD54" s="171" t="str">
        <f t="shared" si="439"/>
        <v/>
      </c>
      <c r="LE54" s="57">
        <f t="shared" si="292"/>
        <v>0</v>
      </c>
      <c r="LF54" s="57">
        <f>IF(OR(AND(KT$6=1,$L54=0),AND(KT$6=2,$K54=2,$G54=1)),0,IF(AND(KV$9=2,(OR($F54&gt;1,$K54=1,AND($L54=80,OR($N54=1,AND($N54=2,'#BerechnungDBE'!$AL45&gt;0)))))),IF(KT$4&gt;=$AD$126,0,LD54),IF(KV$9=3,IF(OR(KT$4&gt;=$AD$127,AND($G54=1,$J54=2,KT$6=2),AND(KT$6=1,$N54&lt;&gt;1)),0,IF(KX54&lt;=120,LD54,IF(KT$4&lt;$AD$124,IF($F54=1,60/KV$4*KV$6,60/KV$4*KV$7),IF($F54=1,120/KV$4*KV$6,120/KV$4*KV$7)))),IF(OR($F54=3,$G54=2),IF(OR(AND(KT$4&gt;=$AD$119,$C54=2),AND(KT$4&gt;=$AF$119,$C54=1)),0,IF(KX54&lt;=60,LD54,60/KV$4*KV$7)),IF(AND($F54=2,$G54=1),LD54,0)))))</f>
        <v>0</v>
      </c>
      <c r="LG54" s="57" t="str">
        <f t="shared" si="124"/>
        <v/>
      </c>
      <c r="LH54" s="57" t="str">
        <f t="shared" si="440"/>
        <v/>
      </c>
      <c r="LI54" s="713">
        <f>'org. Düngung 22'!CJ53</f>
        <v>0</v>
      </c>
      <c r="LJ54" s="57"/>
      <c r="LK54" s="57"/>
      <c r="LL54" s="57">
        <f t="shared" si="126"/>
        <v>0</v>
      </c>
      <c r="LM54" s="57">
        <f t="shared" si="293"/>
        <v>0</v>
      </c>
      <c r="LN54" s="57">
        <f t="shared" si="294"/>
        <v>0</v>
      </c>
      <c r="LO54" s="57">
        <f t="shared" si="295"/>
        <v>0</v>
      </c>
      <c r="LP54" s="57">
        <f t="shared" si="296"/>
        <v>0</v>
      </c>
      <c r="LQ54" s="1029">
        <f t="shared" si="441"/>
        <v>0</v>
      </c>
      <c r="LR54" s="57">
        <f t="shared" si="442"/>
        <v>0</v>
      </c>
      <c r="LS54" s="171" t="str">
        <f t="shared" si="443"/>
        <v/>
      </c>
      <c r="LT54" s="57">
        <f t="shared" si="297"/>
        <v>0</v>
      </c>
      <c r="LU54" s="57">
        <f>IF(OR(AND(LI$6=1,$L54=0),AND(LI$6=2,$K54=2,$G54=1)),0,IF(AND(LK$9=2,(OR($F54&gt;1,$K54=1,AND($L54=80,OR($N54=1,AND($N54=2,'#BerechnungDBE'!$AL45&gt;0)))))),IF(LI$4&gt;=$AD$126,0,LS54),IF(LK$9=3,IF(OR(LI$4&gt;=$AD$127,AND($G54=1,$J54=2,LI$6=2),AND(LI$6=1,$N54&lt;&gt;1)),0,IF(LM54&lt;=120,LS54,IF(LI$4&lt;$AD$124,IF($F54=1,60/LK$4*LK$6,60/LK$4*LK$7),IF($F54=1,120/LK$4*LK$6,120/LK$4*LK$7)))),IF(OR($F54=3,$G54=2),IF(OR(AND(LI$4&gt;=$AD$119,$C54=2),AND(LI$4&gt;=$AF$119,$C54=1)),0,IF(LM54&lt;=60,LS54,60/LK$4*LK$7)),IF(AND($F54=2,$G54=1),LS54,0)))))</f>
        <v>0</v>
      </c>
      <c r="LV54" s="57" t="str">
        <f t="shared" si="130"/>
        <v/>
      </c>
      <c r="LW54" s="57" t="str">
        <f t="shared" si="444"/>
        <v/>
      </c>
      <c r="LX54" s="713">
        <f>'org. Düngung 22'!CN53</f>
        <v>0</v>
      </c>
      <c r="LY54" s="57"/>
      <c r="LZ54" s="57"/>
      <c r="MA54" s="57">
        <f t="shared" si="132"/>
        <v>0</v>
      </c>
      <c r="MB54" s="57">
        <f t="shared" si="298"/>
        <v>0</v>
      </c>
      <c r="MC54" s="57">
        <f t="shared" si="299"/>
        <v>0</v>
      </c>
      <c r="MD54" s="57">
        <f t="shared" si="300"/>
        <v>0</v>
      </c>
      <c r="ME54" s="57">
        <f t="shared" si="301"/>
        <v>0</v>
      </c>
      <c r="MF54" s="1029">
        <f t="shared" si="445"/>
        <v>0</v>
      </c>
      <c r="MG54" s="57">
        <f t="shared" si="446"/>
        <v>0</v>
      </c>
      <c r="MH54" s="171" t="str">
        <f t="shared" si="447"/>
        <v/>
      </c>
      <c r="MI54" s="57">
        <f t="shared" si="302"/>
        <v>0</v>
      </c>
      <c r="MJ54" s="57">
        <f>IF(OR(AND(LX$6=1,$L54=0),AND(LX$6=2,$K54=2,$G54=1)),0,IF(AND(LZ$9=2,(OR($F54&gt;1,$K54=1,AND($L54=80,OR($N54=1,AND($N54=2,'#BerechnungDBE'!$AL45&gt;0)))))),IF(LX$4&gt;=$AD$126,0,MH54),IF(LZ$9=3,IF(OR(LX$4&gt;=$AD$127,AND($G54=1,$J54=2,LX$6=2),AND(LX$6=1,$N54&lt;&gt;1)),0,IF(MB54&lt;=120,MH54,IF(LX$4&lt;$AD$124,IF($F54=1,60/LZ$4*LZ$6,60/LZ$4*LZ$7),IF($F54=1,120/LZ$4*LZ$6,120/LZ$4*LZ$7)))),IF(OR($F54=3,$G54=2),IF(OR(AND(LX$4&gt;=$AD$119,$C54=2),AND(LX$4&gt;=$AF$119,$C54=1)),0,IF(MB54&lt;=60,MH54,60/LZ$4*LZ$7)),IF(AND($F54=2,$G54=1),MH54,0)))))</f>
        <v>0</v>
      </c>
      <c r="MK54" s="57" t="str">
        <f t="shared" si="136"/>
        <v/>
      </c>
      <c r="ML54" s="57" t="str">
        <f t="shared" si="448"/>
        <v/>
      </c>
      <c r="MM54" s="713">
        <f>'org. Düngung 22'!CR53</f>
        <v>0</v>
      </c>
      <c r="MN54" s="57"/>
      <c r="MO54" s="57"/>
      <c r="MP54" s="57">
        <f t="shared" si="138"/>
        <v>0</v>
      </c>
      <c r="MQ54" s="57">
        <f t="shared" si="303"/>
        <v>0</v>
      </c>
      <c r="MR54" s="57">
        <f t="shared" si="304"/>
        <v>0</v>
      </c>
      <c r="MS54" s="57">
        <f t="shared" si="305"/>
        <v>0</v>
      </c>
      <c r="MT54" s="57">
        <f t="shared" si="306"/>
        <v>0</v>
      </c>
      <c r="MU54" s="1029">
        <f t="shared" si="449"/>
        <v>0</v>
      </c>
      <c r="MV54" s="57">
        <f t="shared" si="450"/>
        <v>0</v>
      </c>
      <c r="MW54" s="171" t="str">
        <f t="shared" si="451"/>
        <v/>
      </c>
      <c r="MX54" s="57">
        <f t="shared" si="307"/>
        <v>0</v>
      </c>
      <c r="MY54" s="57">
        <f>IF(OR(AND(MM$6=1,$L54=0),AND(MM$6=2,$K54=2,$G54=1)),0,IF(AND(MO$9=2,(OR($F54&gt;1,$K54=1,AND($L54=80,OR($N54=1,AND($N54=2,'#BerechnungDBE'!$AL45&gt;0)))))),IF(MM$4&gt;=$AD$126,0,MW54),IF(MO$9=3,IF(OR(MM$4&gt;=$AD$127,AND($G54=1,$J54=2,MM$6=2),AND(MM$6=1,$N54&lt;&gt;1)),0,IF(MQ54&lt;=120,MW54,IF(MM$4&lt;$AD$124,IF($F54=1,60/MO$4*MO$6,60/MO$4*MO$7),IF($F54=1,120/MO$4*MO$6,120/MO$4*MO$7)))),IF(OR($F54=3,$G54=2),IF(OR(AND(MM$4&gt;=$AD$119,$C54=2),AND(MM$4&gt;=$AF$119,$C54=1)),0,IF(MQ54&lt;=60,MW54,60/MO$4*MO$7)),IF(AND($F54=2,$G54=1),MW54,0)))))</f>
        <v>0</v>
      </c>
      <c r="MZ54" s="57" t="str">
        <f t="shared" si="142"/>
        <v/>
      </c>
      <c r="NA54" s="57" t="str">
        <f t="shared" si="452"/>
        <v/>
      </c>
      <c r="NB54" s="713">
        <f>'org. Düngung 22'!CV53</f>
        <v>0</v>
      </c>
      <c r="NC54" s="57"/>
      <c r="ND54" s="57"/>
      <c r="NE54" s="57">
        <f t="shared" si="144"/>
        <v>0</v>
      </c>
      <c r="NF54" s="57">
        <f t="shared" si="308"/>
        <v>0</v>
      </c>
      <c r="NG54" s="57">
        <f t="shared" si="309"/>
        <v>0</v>
      </c>
      <c r="NH54" s="57">
        <f t="shared" si="310"/>
        <v>0</v>
      </c>
      <c r="NI54" s="57">
        <f t="shared" si="311"/>
        <v>0</v>
      </c>
      <c r="NJ54" s="1029">
        <f t="shared" si="453"/>
        <v>0</v>
      </c>
      <c r="NK54" s="57">
        <f t="shared" si="454"/>
        <v>0</v>
      </c>
      <c r="NL54" s="171" t="str">
        <f t="shared" si="455"/>
        <v/>
      </c>
      <c r="NM54" s="57">
        <f t="shared" si="312"/>
        <v>0</v>
      </c>
      <c r="NN54" s="57">
        <f>IF(OR(AND(NB$6=1,$L54=0),AND(NB$6=2,$K54=2,$G54=1)),0,IF(AND(ND$9=2,(OR($F54&gt;1,$K54=1,AND($L54=80,OR($N54=1,AND($N54=2,'#BerechnungDBE'!$AL45&gt;0)))))),IF(NB$4&gt;=$AD$126,0,NL54),IF(ND$9=3,IF(OR(NB$4&gt;=$AD$127,AND($G54=1,$J54=2,NB$6=2),AND(NB$6=1,$N54&lt;&gt;1)),0,IF(NF54&lt;=120,NL54,IF(NB$4&lt;$AD$124,IF($F54=1,60/ND$4*ND$6,60/ND$4*ND$7),IF($F54=1,120/ND$4*ND$6,120/ND$4*ND$7)))),IF(OR($F54=3,$G54=2),IF(OR(AND(NB$4&gt;=$AD$119,$C54=2),AND(NB$4&gt;=$AF$119,$C54=1)),0,IF(NF54&lt;=60,NL54,60/ND$4*ND$7)),IF(AND($F54=2,$G54=1),NL54,0)))))</f>
        <v>0</v>
      </c>
      <c r="NO54" s="57" t="str">
        <f t="shared" si="148"/>
        <v/>
      </c>
      <c r="NP54" s="57" t="str">
        <f t="shared" si="456"/>
        <v/>
      </c>
      <c r="NQ54" s="713">
        <f>'org. Düngung 22'!CZ53</f>
        <v>0</v>
      </c>
      <c r="NR54" s="57"/>
      <c r="NS54" s="57"/>
      <c r="NT54" s="57">
        <f t="shared" si="150"/>
        <v>0</v>
      </c>
      <c r="NU54" s="57">
        <f t="shared" si="313"/>
        <v>0</v>
      </c>
      <c r="NV54" s="57">
        <f t="shared" si="314"/>
        <v>0</v>
      </c>
      <c r="NW54" s="57">
        <f t="shared" si="315"/>
        <v>0</v>
      </c>
      <c r="NX54" s="57">
        <f t="shared" si="316"/>
        <v>0</v>
      </c>
      <c r="NY54" s="1029">
        <f t="shared" si="457"/>
        <v>0</v>
      </c>
      <c r="NZ54" s="57">
        <f t="shared" si="458"/>
        <v>0</v>
      </c>
      <c r="OA54" s="171" t="str">
        <f t="shared" si="459"/>
        <v/>
      </c>
      <c r="OB54" s="57">
        <f t="shared" si="317"/>
        <v>0</v>
      </c>
      <c r="OC54" s="57">
        <f>IF(OR(AND(NQ$6=1,$L54=0),AND(NQ$6=2,$K54=2,$G54=1)),0,IF(AND(NS$9=2,(OR($F54&gt;1,$K54=1,AND($L54=80,OR($N54=1,AND($N54=2,'#BerechnungDBE'!$AL45&gt;0)))))),IF(NQ$4&gt;=$AD$126,0,OA54),IF(NS$9=3,IF(OR(NQ$4&gt;=$AD$127,AND($G54=1,$J54=2,NQ$6=2),AND(NQ$6=1,$N54&lt;&gt;1)),0,IF(NU54&lt;=120,OA54,IF(NQ$4&lt;$AD$124,IF($F54=1,60/NS$4*NS$6,60/NS$4*NS$7),IF($F54=1,120/NS$4*NS$6,120/NS$4*NS$7)))),IF(OR($F54=3,$G54=2),IF(OR(AND(NQ$4&gt;=$AD$119,$C54=2),AND(NQ$4&gt;=$AF$119,$C54=1)),0,IF(NU54&lt;=60,OA54,60/NS$4*NS$7)),IF(AND($F54=2,$G54=1),OA54,0)))))</f>
        <v>0</v>
      </c>
      <c r="OD54" s="57" t="str">
        <f t="shared" si="154"/>
        <v/>
      </c>
      <c r="OE54" s="57" t="str">
        <f t="shared" si="460"/>
        <v/>
      </c>
      <c r="OF54" s="713">
        <f>'org. Düngung 22'!DD53</f>
        <v>0</v>
      </c>
      <c r="OG54" s="57"/>
      <c r="OH54" s="57"/>
      <c r="OI54" s="57">
        <f t="shared" si="156"/>
        <v>0</v>
      </c>
      <c r="OJ54" s="57">
        <f t="shared" si="318"/>
        <v>0</v>
      </c>
      <c r="OK54" s="57">
        <f t="shared" si="319"/>
        <v>0</v>
      </c>
      <c r="OL54" s="57">
        <f t="shared" si="320"/>
        <v>0</v>
      </c>
      <c r="OM54" s="57">
        <f t="shared" si="321"/>
        <v>0</v>
      </c>
      <c r="ON54" s="1029">
        <f t="shared" si="461"/>
        <v>0</v>
      </c>
      <c r="OO54" s="57">
        <f t="shared" si="462"/>
        <v>0</v>
      </c>
      <c r="OP54" s="171" t="str">
        <f t="shared" si="463"/>
        <v/>
      </c>
      <c r="OQ54" s="57">
        <f t="shared" si="322"/>
        <v>0</v>
      </c>
      <c r="OR54" s="57">
        <f>IF(OR(AND(OF$6=1,$L54=0),AND(OF$6=2,$K54=2,$G54=1)),0,IF(AND(OH$9=2,(OR($F54&gt;1,$K54=1,AND($L54=80,OR($N54=1,AND($N54=2,'#BerechnungDBE'!$AL45&gt;0)))))),IF(OF$4&gt;=$AD$126,0,OP54),IF(OH$9=3,IF(OR(OF$4&gt;=$AD$127,AND($G54=1,$J54=2,OF$6=2),AND(OF$6=1,$N54&lt;&gt;1)),0,IF(OJ54&lt;=120,OP54,IF(OF$4&lt;$AD$124,IF($F54=1,60/OH$4*OH$6,60/OH$4*OH$7),IF($F54=1,120/OH$4*OH$6,120/OH$4*OH$7)))),IF(OR($F54=3,$G54=2),IF(OR(AND(OF$4&gt;=$AD$119,$C54=2),AND(OF$4&gt;=$AF$119,$C54=1)),0,IF(OJ54&lt;=60,OP54,60/OH$4*OH$7)),IF(AND($F54=2,$G54=1),OP54,0)))))</f>
        <v>0</v>
      </c>
      <c r="OS54" s="57" t="str">
        <f t="shared" si="160"/>
        <v/>
      </c>
      <c r="OT54" s="57" t="str">
        <f t="shared" si="464"/>
        <v/>
      </c>
      <c r="OU54" s="713">
        <f>'org. Düngung 22'!DH53</f>
        <v>0</v>
      </c>
      <c r="OV54" s="57"/>
      <c r="OW54" s="57"/>
      <c r="OX54" s="57">
        <f t="shared" si="162"/>
        <v>0</v>
      </c>
      <c r="OY54" s="57">
        <f t="shared" si="323"/>
        <v>0</v>
      </c>
      <c r="OZ54" s="57">
        <f t="shared" si="324"/>
        <v>0</v>
      </c>
      <c r="PA54" s="57">
        <f t="shared" si="325"/>
        <v>0</v>
      </c>
      <c r="PB54" s="57">
        <f t="shared" si="326"/>
        <v>0</v>
      </c>
      <c r="PC54" s="1029">
        <f t="shared" si="465"/>
        <v>0</v>
      </c>
      <c r="PD54" s="57">
        <f t="shared" si="466"/>
        <v>0</v>
      </c>
      <c r="PE54" s="171" t="str">
        <f t="shared" si="467"/>
        <v/>
      </c>
      <c r="PF54" s="57">
        <f t="shared" si="327"/>
        <v>0</v>
      </c>
      <c r="PG54" s="57">
        <f>IF(OR(AND(OU$6=1,$L54=0),AND(OU$6=2,$K54=2,$G54=1)),0,IF(AND(OW$9=2,(OR($F54&gt;1,$K54=1,AND($L54=80,OR($N54=1,AND($N54=2,'#BerechnungDBE'!$AL45&gt;0)))))),IF(OU$4&gt;=$AD$126,0,PE54),IF(OW$9=3,IF(OR(OU$4&gt;=$AD$127,AND($G54=1,$J54=2,OU$6=2),AND(OU$6=1,$N54&lt;&gt;1)),0,IF(OY54&lt;=120,PE54,IF(OU$4&lt;$AD$124,IF($F54=1,60/OW$4*OW$6,60/OW$4*OW$7),IF($F54=1,120/OW$4*OW$6,120/OW$4*OW$7)))),IF(OR($F54=3,$G54=2),IF(OR(AND(OU$4&gt;=$AD$119,$C54=2),AND(OU$4&gt;=$AF$119,$C54=1)),0,IF(OY54&lt;=60,PE54,60/OW$4*OW$7)),IF(AND($F54=2,$G54=1),PE54,0)))))</f>
        <v>0</v>
      </c>
      <c r="PH54" s="57" t="str">
        <f t="shared" si="166"/>
        <v/>
      </c>
      <c r="PI54" s="57" t="str">
        <f t="shared" si="468"/>
        <v/>
      </c>
      <c r="PJ54" s="713">
        <f>'org. Düngung 22'!DL53</f>
        <v>0</v>
      </c>
      <c r="PK54" s="57"/>
      <c r="PL54" s="57"/>
      <c r="PM54" s="57">
        <f t="shared" si="168"/>
        <v>0</v>
      </c>
      <c r="PN54" s="57">
        <f t="shared" si="328"/>
        <v>0</v>
      </c>
      <c r="PO54" s="57">
        <f t="shared" si="329"/>
        <v>0</v>
      </c>
      <c r="PP54" s="57">
        <f t="shared" si="330"/>
        <v>0</v>
      </c>
      <c r="PQ54" s="57">
        <f t="shared" si="331"/>
        <v>0</v>
      </c>
      <c r="PR54" s="1029">
        <f t="shared" si="469"/>
        <v>0</v>
      </c>
      <c r="PS54" s="57">
        <f t="shared" si="470"/>
        <v>0</v>
      </c>
      <c r="PT54" s="171" t="str">
        <f t="shared" si="471"/>
        <v/>
      </c>
      <c r="PU54" s="57">
        <f t="shared" si="332"/>
        <v>0</v>
      </c>
      <c r="PV54" s="57">
        <f>IF(OR(AND(PJ$6=1,$L54=0),AND(PJ$6=2,$K54=2,$G54=1)),0,IF(AND(PL$9=2,(OR($F54&gt;1,$K54=1,AND($L54=80,OR($N54=1,AND($N54=2,'#BerechnungDBE'!$AL45&gt;0)))))),IF(PJ$4&gt;=$AD$126,0,PT54),IF(PL$9=3,IF(OR(PJ$4&gt;=$AD$127,AND($G54=1,$J54=2,PJ$6=2),AND(PJ$6=1,$N54&lt;&gt;1)),0,IF(PN54&lt;=120,PT54,IF(PJ$4&lt;$AD$124,IF($F54=1,60/PL$4*PL$6,60/PL$4*PL$7),IF($F54=1,120/PL$4*PL$6,120/PL$4*PL$7)))),IF(OR($F54=3,$G54=2),IF(OR(AND(PJ$4&gt;=$AD$119,$C54=2),AND(PJ$4&gt;=$AF$119,$C54=1)),0,IF(PN54&lt;=60,PT54,60/PL$4*PL$7)),IF(AND($F54=2,$G54=1),PT54,0)))))</f>
        <v>0</v>
      </c>
      <c r="PW54" s="57" t="str">
        <f t="shared" si="172"/>
        <v/>
      </c>
      <c r="PX54" s="57" t="str">
        <f t="shared" si="472"/>
        <v/>
      </c>
      <c r="PY54" s="713">
        <f>'org. Düngung 22'!DP53</f>
        <v>0</v>
      </c>
      <c r="PZ54" s="57"/>
      <c r="QA54" s="57"/>
      <c r="QB54" s="57">
        <f t="shared" si="174"/>
        <v>0</v>
      </c>
      <c r="QC54" s="57">
        <f t="shared" si="333"/>
        <v>0</v>
      </c>
      <c r="QD54" s="57">
        <f t="shared" si="334"/>
        <v>0</v>
      </c>
      <c r="QE54" s="57">
        <f t="shared" si="335"/>
        <v>0</v>
      </c>
      <c r="QF54" s="57">
        <f t="shared" si="336"/>
        <v>0</v>
      </c>
      <c r="QG54" s="1029">
        <f t="shared" si="473"/>
        <v>0</v>
      </c>
      <c r="QH54" s="57">
        <f t="shared" si="474"/>
        <v>0</v>
      </c>
      <c r="QI54" s="171" t="str">
        <f t="shared" si="475"/>
        <v/>
      </c>
      <c r="QJ54" s="57">
        <f t="shared" si="337"/>
        <v>0</v>
      </c>
      <c r="QK54" s="57">
        <f>IF(OR(AND(PY$6=1,$L54=0),AND(PY$6=2,$K54=2,$G54=1)),0,IF(AND(QA$9=2,(OR($F54&gt;1,$K54=1,AND($L54=80,OR($N54=1,AND($N54=2,'#BerechnungDBE'!$AL45&gt;0)))))),IF(PY$4&gt;=$AD$126,0,QI54),IF(QA$9=3,IF(OR(PY$4&gt;=$AD$127,AND($G54=1,$J54=2,PY$6=2),AND(PY$6=1,$N54&lt;&gt;1)),0,IF(QC54&lt;=120,QI54,IF(PY$4&lt;$AD$124,IF($F54=1,60/QA$4*QA$6,60/QA$4*QA$7),IF($F54=1,120/QA$4*QA$6,120/QA$4*QA$7)))),IF(OR($F54=3,$G54=2),IF(OR(AND(PY$4&gt;=$AD$119,$C54=2),AND(PY$4&gt;=$AF$119,$C54=1)),0,IF(QC54&lt;=60,QI54,60/QA$4*QA$7)),IF(AND($F54=2,$G54=1),QI54,0)))))</f>
        <v>0</v>
      </c>
      <c r="QL54" s="57" t="str">
        <f t="shared" si="178"/>
        <v/>
      </c>
      <c r="QM54" s="57" t="str">
        <f t="shared" si="476"/>
        <v/>
      </c>
      <c r="QN54" s="713">
        <f>'org. Düngung 22'!DT53</f>
        <v>0</v>
      </c>
      <c r="QO54" s="57"/>
      <c r="QP54" s="57"/>
      <c r="QQ54" s="57">
        <f t="shared" si="180"/>
        <v>0</v>
      </c>
      <c r="QR54" s="57">
        <f t="shared" si="338"/>
        <v>0</v>
      </c>
      <c r="QS54" s="57">
        <f t="shared" si="339"/>
        <v>0</v>
      </c>
      <c r="QT54" s="57">
        <f t="shared" si="340"/>
        <v>0</v>
      </c>
      <c r="QU54" s="57">
        <f t="shared" si="341"/>
        <v>0</v>
      </c>
      <c r="QV54" s="1029">
        <f t="shared" si="477"/>
        <v>0</v>
      </c>
      <c r="QW54" s="57">
        <f t="shared" si="478"/>
        <v>0</v>
      </c>
      <c r="QX54" s="171" t="str">
        <f t="shared" si="479"/>
        <v/>
      </c>
      <c r="QY54" s="57">
        <f t="shared" si="342"/>
        <v>0</v>
      </c>
      <c r="QZ54" s="57">
        <f>IF(OR(AND(QN$6=1,$L54=0),AND(QN$6=2,$K54=2,$G54=1)),0,IF(AND(QP$9=2,(OR($F54&gt;1,$K54=1,AND($L54=80,OR($N54=1,AND($N54=2,'#BerechnungDBE'!$AL45&gt;0)))))),IF(QN$4&gt;=$AD$126,0,QX54),IF(QP$9=3,IF(OR(QN$4&gt;=$AD$127,AND($G54=1,$J54=2,QN$6=2),AND(QN$6=1,$N54&lt;&gt;1)),0,IF(QR54&lt;=120,QX54,IF(QN$4&lt;$AD$124,IF($F54=1,60/QP$4*QP$6,60/QP$4*QP$7),IF($F54=1,120/QP$4*QP$6,120/QP$4*QP$7)))),IF(OR($F54=3,$G54=2),IF(OR(AND(QN$4&gt;=$AD$119,$C54=2),AND(QN$4&gt;=$AF$119,$C54=1)),0,IF(QR54&lt;=60,QX54,60/QP$4*QP$7)),IF(AND($F54=2,$G54=1),QX54,0)))))</f>
        <v>0</v>
      </c>
      <c r="RA54" s="57" t="str">
        <f t="shared" si="184"/>
        <v/>
      </c>
      <c r="RB54" s="57" t="str">
        <f t="shared" si="480"/>
        <v/>
      </c>
      <c r="RC54" s="713">
        <f>'org. Düngung 22'!DX53</f>
        <v>0</v>
      </c>
      <c r="RD54" s="57"/>
      <c r="RE54" s="57"/>
      <c r="RF54" s="57">
        <f t="shared" si="186"/>
        <v>0</v>
      </c>
      <c r="RG54" s="57">
        <f t="shared" si="343"/>
        <v>0</v>
      </c>
      <c r="RH54" s="57">
        <f t="shared" si="344"/>
        <v>0</v>
      </c>
      <c r="RI54" s="57">
        <f t="shared" si="345"/>
        <v>0</v>
      </c>
      <c r="RJ54" s="57">
        <f t="shared" si="346"/>
        <v>0</v>
      </c>
      <c r="RK54" s="1029">
        <f t="shared" si="481"/>
        <v>0</v>
      </c>
      <c r="RL54" s="57">
        <f t="shared" si="482"/>
        <v>0</v>
      </c>
      <c r="RM54" s="171" t="str">
        <f t="shared" si="483"/>
        <v/>
      </c>
      <c r="RN54" s="57">
        <f t="shared" si="347"/>
        <v>0</v>
      </c>
      <c r="RO54" s="57">
        <f>IF(OR(AND(RC$6=1,$L54=0),AND(RC$6=2,$K54=2,$G54=1)),0,IF(AND(RE$9=2,(OR($F54&gt;1,$K54=1,AND($L54=80,OR($N54=1,AND($N54=2,'#BerechnungDBE'!$AL45&gt;0)))))),IF(RC$4&gt;=$AD$126,0,RM54),IF(RE$9=3,IF(OR(RC$4&gt;=$AD$127,AND($G54=1,$J54=2,RC$6=2),AND(RC$6=1,$N54&lt;&gt;1)),0,IF(RG54&lt;=120,RM54,IF(RC$4&lt;$AD$124,IF($F54=1,60/RE$4*RE$6,60/RE$4*RE$7),IF($F54=1,120/RE$4*RE$6,120/RE$4*RE$7)))),IF(OR($F54=3,$G54=2),IF(OR(AND(RC$4&gt;=$AD$119,$C54=2),AND(RC$4&gt;=$AF$119,$C54=1)),0,IF(RG54&lt;=60,RM54,60/RE$4*RE$7)),IF(AND($F54=2,$G54=1),RM54,0)))))</f>
        <v>0</v>
      </c>
      <c r="RP54" s="57" t="str">
        <f t="shared" si="190"/>
        <v/>
      </c>
      <c r="RQ54" s="57" t="str">
        <f t="shared" si="484"/>
        <v/>
      </c>
      <c r="RS54" s="57" t="str">
        <f t="shared" si="488"/>
        <v/>
      </c>
      <c r="RT54" s="57" t="str">
        <f t="shared" si="485"/>
        <v/>
      </c>
      <c r="RU54" s="57" t="str">
        <f t="shared" si="486"/>
        <v/>
      </c>
      <c r="RV54" s="57" t="str">
        <f>IF(Z54&gt;'#BerechnungDBE'!BM45,$RV$9,"")</f>
        <v/>
      </c>
      <c r="RW54" s="57" t="str">
        <f>IF(AND(L54=70,AE54&gt;'#BerechnungDBE'!CQ45),$RW$9,"")</f>
        <v/>
      </c>
      <c r="RX54" s="57" t="str">
        <f>IF(OR('org. Düngung 22'!G53="--",'org. Düngung 22'!G53&lt;=170,'org. Düngung 22'!G53=""),"",$RX$9)</f>
        <v/>
      </c>
      <c r="RY54" s="57" t="str">
        <f>IF('org. Düngung 22'!K53&gt;120,'#orgDung'!$RY$9,"")</f>
        <v/>
      </c>
      <c r="RZ54" s="57" t="str">
        <f>IF('#BerechnungDBE'!P45&lt;4,"",IF(AND('#BerechnungDBE'!BZ45&gt;0,T54&gt;0),'#orgDung'!$RZ$9,""))</f>
        <v/>
      </c>
      <c r="SA54" s="57" t="str">
        <f t="shared" si="487"/>
        <v/>
      </c>
    </row>
    <row r="55" spans="1:495" s="875" customFormat="1" x14ac:dyDescent="0.2">
      <c r="A55" s="875">
        <f>'Flächen u. Kulturen'!A51</f>
        <v>42</v>
      </c>
      <c r="B55" s="367">
        <f>'#BerechnungDBE'!L46</f>
        <v>0</v>
      </c>
      <c r="C55" s="875">
        <f>'#BerechnungDBE'!R46</f>
        <v>1</v>
      </c>
      <c r="D55" s="875">
        <f>'#BerechnungDBE'!T46</f>
        <v>2</v>
      </c>
      <c r="E55" s="875" t="str">
        <f>'Flächen u. Kulturen'!E51</f>
        <v>x</v>
      </c>
      <c r="F55" s="52">
        <f>'#BerechnungDBE'!N46</f>
        <v>1</v>
      </c>
      <c r="G55" s="52">
        <f>'#BerechnungDBE'!O46</f>
        <v>1</v>
      </c>
      <c r="H55" s="875">
        <f>IF('Flächen u. Kulturen'!P51="",0,VLOOKUP('Flächen u. Kulturen'!P51,Kulturen[[HF]:[Berechnungsgruppe]],'#Frucht'!$H$1,FALSE))</f>
        <v>0</v>
      </c>
      <c r="I55" s="875">
        <f>IF('Flächen u. Kulturen'!J51="",0,VLOOKUP('Flächen u. Kulturen'!J51,Kulturen[[HF]:[Berechnungsgruppe]],'#Frucht'!$G$1,FALSE))</f>
        <v>90</v>
      </c>
      <c r="J55" s="505">
        <f t="shared" si="195"/>
        <v>2</v>
      </c>
      <c r="K55" s="505">
        <f>IF('Flächen u. Kulturen'!P51="",0,IF(VLOOKUP('Flächen u. Kulturen'!P51,Kulturen[[HF]:[Saat Winterungen]],'#Frucht'!$P$1,FALSE)&gt;0,1,2))</f>
        <v>2</v>
      </c>
      <c r="L55" s="875">
        <f>'#BerechnungDBE'!AF46</f>
        <v>0</v>
      </c>
      <c r="M55" s="875">
        <f>IF('Flächen u. Kulturen'!L51="",0,VLOOKUP('Flächen u. Kulturen'!L51,Nebenkultur[[Nebenkultur]:[Legum. Zwischenfr.]],'#Zweitfr'!$K$1,FALSE))</f>
        <v>0</v>
      </c>
      <c r="N55" s="875">
        <f>'#BerechnungDBE'!AG46</f>
        <v>0</v>
      </c>
      <c r="P55" s="57">
        <f t="shared" si="353"/>
        <v>0</v>
      </c>
      <c r="Q55" s="57">
        <f t="shared" si="354"/>
        <v>0</v>
      </c>
      <c r="R55" s="875">
        <f t="shared" si="355"/>
        <v>0</v>
      </c>
      <c r="S55" s="938" t="str">
        <f t="shared" si="3"/>
        <v/>
      </c>
      <c r="T55" s="875">
        <f t="shared" si="356"/>
        <v>0</v>
      </c>
      <c r="U55" s="875">
        <f t="shared" si="357"/>
        <v>0</v>
      </c>
      <c r="V55" s="875">
        <f t="shared" si="358"/>
        <v>0</v>
      </c>
      <c r="W55" s="875">
        <f t="shared" si="359"/>
        <v>0</v>
      </c>
      <c r="X55" s="875">
        <f t="shared" si="360"/>
        <v>0</v>
      </c>
      <c r="Y55" s="875">
        <f t="shared" si="349"/>
        <v>0</v>
      </c>
      <c r="Z55" s="875">
        <f t="shared" si="350"/>
        <v>0</v>
      </c>
      <c r="AA55" s="910">
        <f t="shared" si="361"/>
        <v>0</v>
      </c>
      <c r="AB55" s="57">
        <f t="shared" si="351"/>
        <v>0</v>
      </c>
      <c r="AC55" s="875">
        <f t="shared" si="362"/>
        <v>0</v>
      </c>
      <c r="AD55" s="875">
        <f t="shared" si="363"/>
        <v>0</v>
      </c>
      <c r="AE55" s="875">
        <f t="shared" si="364"/>
        <v>0</v>
      </c>
      <c r="AF55" s="875">
        <f t="shared" si="352"/>
        <v>0</v>
      </c>
      <c r="AG55" s="875">
        <f>'org. Düngung 22'!J54</f>
        <v>0</v>
      </c>
      <c r="AH55" s="875">
        <f>'org. Düngung 22'!K54</f>
        <v>0</v>
      </c>
      <c r="AJ55" s="713">
        <f>'org. Düngung 22'!L54</f>
        <v>0</v>
      </c>
      <c r="AK55" s="57"/>
      <c r="AL55" s="57"/>
      <c r="AM55" s="57">
        <f t="shared" si="196"/>
        <v>0</v>
      </c>
      <c r="AN55" s="57">
        <f t="shared" si="197"/>
        <v>0</v>
      </c>
      <c r="AO55" s="57">
        <f t="shared" si="198"/>
        <v>0</v>
      </c>
      <c r="AP55" s="57">
        <f t="shared" si="199"/>
        <v>0</v>
      </c>
      <c r="AQ55" s="57">
        <f t="shared" si="200"/>
        <v>0</v>
      </c>
      <c r="AR55" s="1029">
        <f t="shared" si="365"/>
        <v>0</v>
      </c>
      <c r="AS55" s="57">
        <f t="shared" si="366"/>
        <v>0</v>
      </c>
      <c r="AT55" s="171" t="str">
        <f t="shared" si="367"/>
        <v/>
      </c>
      <c r="AU55" s="57">
        <f t="shared" si="201"/>
        <v>0</v>
      </c>
      <c r="AV55" s="57">
        <f>IF(OR(AND(AJ$6=1,$L55=0),AND(AJ$6=2,$K55=2,$G55=1)),0,IF(AND(AL$9=2,(OR($F55&gt;1,$K55=1,AND($L55=80,OR($N55=1,AND($N55=2,'#BerechnungDBE'!$AL46&gt;0)))))),IF(AJ$4&gt;=$AD$126,0,AT55),IF(AL$9=3,IF(OR(AJ$4&gt;=$AD$127,AND($G55=1,$J55=2,AJ$6=2),AND(AJ$6=1,$N55&lt;&gt;1)),0,IF(AN55&lt;=120,AT55,IF(AJ$4&lt;$AD$124,IF($F55=1,60/AL$4*AL$6,60/AL$4*AL$7),IF($F55=1,120/AL$4*AL$6,120/AL$4*AL$7)))),IF(OR($F55=3,$G55=2),IF(OR(AND(AJ$4&gt;=$AD$119,$C55=2),AND(AJ$4&gt;=$AF$119,$C55=1)),0,IF(AN55&lt;=60,AT55,60/AL$4*AL$7)),IF(AND($F55=2,$G55=1),AT55,0)))))</f>
        <v>0</v>
      </c>
      <c r="AW55" s="57" t="str">
        <f t="shared" si="202"/>
        <v/>
      </c>
      <c r="AX55" s="57" t="str">
        <f t="shared" si="368"/>
        <v/>
      </c>
      <c r="AY55" s="713">
        <f>'org. Düngung 22'!P54</f>
        <v>0</v>
      </c>
      <c r="AZ55" s="57"/>
      <c r="BA55" s="57"/>
      <c r="BB55" s="57">
        <f t="shared" si="18"/>
        <v>0</v>
      </c>
      <c r="BC55" s="57">
        <f t="shared" si="203"/>
        <v>0</v>
      </c>
      <c r="BD55" s="57">
        <f t="shared" si="204"/>
        <v>0</v>
      </c>
      <c r="BE55" s="57">
        <f t="shared" si="205"/>
        <v>0</v>
      </c>
      <c r="BF55" s="57">
        <f t="shared" si="206"/>
        <v>0</v>
      </c>
      <c r="BG55" s="1029">
        <f t="shared" si="369"/>
        <v>0</v>
      </c>
      <c r="BH55" s="57">
        <f t="shared" si="370"/>
        <v>0</v>
      </c>
      <c r="BI55" s="171" t="str">
        <f t="shared" si="371"/>
        <v/>
      </c>
      <c r="BJ55" s="57">
        <f t="shared" si="207"/>
        <v>0</v>
      </c>
      <c r="BK55" s="57">
        <f>IF(OR(AND(AY$6=1,$L55=0),AND(AY$6=2,$K55=2,$G55=1)),0,IF(AND(BA$9=2,(OR($F55&gt;1,$K55=1,AND($L55=80,OR($N55=1,AND($N55=2,'#BerechnungDBE'!$AL46&gt;0)))))),IF(AY$4&gt;=$AD$126,0,BI55),IF(BA$9=3,IF(OR(AY$4&gt;=$AD$127,AND($G55=1,$J55=2,AY$6=2),AND(AY$6=1,$N55&lt;&gt;1)),0,IF(BC55&lt;=120,BI55,IF(AY$4&lt;$AD$124,IF($F55=1,60/BA$4*BA$6,60/BA$4*BA$7),IF($F55=1,120/BA$4*BA$6,120/BA$4*BA$7)))),IF(OR($F55=3,$G55=2),IF(OR(AND(AY$4&gt;=$AD$119,$C55=2),AND(AY$4&gt;=$AF$119,$C55=1)),0,IF(BC55&lt;=60,BI55,60/BA$4*BA$7)),IF(AND($F55=2,$G55=1),BI55,0)))))</f>
        <v>0</v>
      </c>
      <c r="BL55" s="57" t="str">
        <f t="shared" si="22"/>
        <v/>
      </c>
      <c r="BM55" s="57" t="str">
        <f t="shared" si="372"/>
        <v/>
      </c>
      <c r="BN55" s="713">
        <f>'org. Düngung 22'!T54</f>
        <v>0</v>
      </c>
      <c r="BO55" s="57"/>
      <c r="BP55" s="57"/>
      <c r="BQ55" s="57">
        <f t="shared" si="24"/>
        <v>0</v>
      </c>
      <c r="BR55" s="57">
        <f t="shared" si="208"/>
        <v>0</v>
      </c>
      <c r="BS55" s="57">
        <f t="shared" si="209"/>
        <v>0</v>
      </c>
      <c r="BT55" s="57">
        <f t="shared" si="210"/>
        <v>0</v>
      </c>
      <c r="BU55" s="57">
        <f t="shared" si="211"/>
        <v>0</v>
      </c>
      <c r="BV55" s="1029">
        <f t="shared" si="373"/>
        <v>0</v>
      </c>
      <c r="BW55" s="57">
        <f t="shared" si="374"/>
        <v>0</v>
      </c>
      <c r="BX55" s="171" t="str">
        <f t="shared" si="375"/>
        <v/>
      </c>
      <c r="BY55" s="57">
        <f t="shared" si="212"/>
        <v>0</v>
      </c>
      <c r="BZ55" s="57">
        <f>IF(OR(AND(BN$6=1,$L55=0),AND(BN$6=2,$K55=2,$G55=1)),0,IF(AND(BP$9=2,(OR($F55&gt;1,$K55=1,AND($L55=80,OR($N55=1,AND($N55=2,'#BerechnungDBE'!$AL46&gt;0)))))),IF(BN$4&gt;=$AD$126,0,BX55),IF(BP$9=3,IF(OR(BN$4&gt;=$AD$127,AND($G55=1,$J55=2,BN$6=2),AND(BN$6=1,$N55&lt;&gt;1)),0,IF(BR55&lt;=120,BX55,IF(BN$4&lt;$AD$124,IF($F55=1,60/BP$4*BP$6,60/BP$4*BP$7),IF($F55=1,120/BP$4*BP$6,120/BP$4*BP$7)))),IF(OR($F55=3,$G55=2),IF(OR(AND(BN$4&gt;=$AD$119,$C55=2),AND(BN$4&gt;=$AF$119,$C55=1)),0,IF(BR55&lt;=60,BX55,60/BP$4*BP$7)),IF(AND($F55=2,$G55=1),BX55,0)))))</f>
        <v>0</v>
      </c>
      <c r="CA55" s="57" t="str">
        <f t="shared" si="28"/>
        <v/>
      </c>
      <c r="CB55" s="57" t="str">
        <f t="shared" si="376"/>
        <v/>
      </c>
      <c r="CC55" s="713">
        <f>'org. Düngung 22'!X54</f>
        <v>0</v>
      </c>
      <c r="CD55" s="57"/>
      <c r="CE55" s="57"/>
      <c r="CF55" s="57">
        <f t="shared" si="30"/>
        <v>0</v>
      </c>
      <c r="CG55" s="57">
        <f t="shared" si="213"/>
        <v>0</v>
      </c>
      <c r="CH55" s="57">
        <f t="shared" si="214"/>
        <v>0</v>
      </c>
      <c r="CI55" s="57">
        <f t="shared" si="215"/>
        <v>0</v>
      </c>
      <c r="CJ55" s="57">
        <f t="shared" si="216"/>
        <v>0</v>
      </c>
      <c r="CK55" s="1029">
        <f t="shared" si="377"/>
        <v>0</v>
      </c>
      <c r="CL55" s="57">
        <f t="shared" si="378"/>
        <v>0</v>
      </c>
      <c r="CM55" s="171" t="str">
        <f t="shared" si="379"/>
        <v/>
      </c>
      <c r="CN55" s="57">
        <f t="shared" si="217"/>
        <v>0</v>
      </c>
      <c r="CO55" s="57">
        <f>IF(OR(AND(CC$6=1,$L55=0),AND(CC$6=2,$K55=2,$G55=1)),0,IF(AND(CE$9=2,(OR($F55&gt;1,$K55=1,AND($L55=80,OR($N55=1,AND($N55=2,'#BerechnungDBE'!$AL46&gt;0)))))),IF(CC$4&gt;=$AD$126,0,CM55),IF(CE$9=3,IF(OR(CC$4&gt;=$AD$127,AND($G55=1,$J55=2,CC$6=2),AND(CC$6=1,$N55&lt;&gt;1)),0,IF(CG55&lt;=120,CM55,IF(CC$4&lt;$AD$124,IF($F55=1,60/CE$4*CE$6,60/CE$4*CE$7),IF($F55=1,120/CE$4*CE$6,120/CE$4*CE$7)))),IF(OR($F55=3,$G55=2),IF(OR(AND(CC$4&gt;=$AD$119,$C55=2),AND(CC$4&gt;=$AF$119,$C55=1)),0,IF(CG55&lt;=60,CM55,60/CE$4*CE$7)),IF(AND($F55=2,$G55=1),CM55,0)))))</f>
        <v>0</v>
      </c>
      <c r="CP55" s="57" t="str">
        <f t="shared" si="34"/>
        <v/>
      </c>
      <c r="CQ55" s="57" t="str">
        <f t="shared" si="380"/>
        <v/>
      </c>
      <c r="CR55" s="713">
        <f>'org. Düngung 22'!AB54</f>
        <v>0</v>
      </c>
      <c r="CS55" s="57"/>
      <c r="CT55" s="57"/>
      <c r="CU55" s="57">
        <f t="shared" si="36"/>
        <v>0</v>
      </c>
      <c r="CV55" s="57">
        <f t="shared" si="218"/>
        <v>0</v>
      </c>
      <c r="CW55" s="57">
        <f t="shared" si="219"/>
        <v>0</v>
      </c>
      <c r="CX55" s="57">
        <f t="shared" si="220"/>
        <v>0</v>
      </c>
      <c r="CY55" s="57">
        <f t="shared" si="221"/>
        <v>0</v>
      </c>
      <c r="CZ55" s="1029">
        <f t="shared" si="381"/>
        <v>0</v>
      </c>
      <c r="DA55" s="57">
        <f t="shared" si="382"/>
        <v>0</v>
      </c>
      <c r="DB55" s="171" t="str">
        <f t="shared" si="383"/>
        <v/>
      </c>
      <c r="DC55" s="57">
        <f t="shared" si="222"/>
        <v>0</v>
      </c>
      <c r="DD55" s="57">
        <f>IF(OR(AND(CR$6=1,$L55=0),AND(CR$6=2,$K55=2,$G55=1)),0,IF(AND(CT$9=2,(OR($F55&gt;1,$K55=1,AND($L55=80,OR($N55=1,AND($N55=2,'#BerechnungDBE'!$AL46&gt;0)))))),IF(CR$4&gt;=$AD$126,0,DB55),IF(CT$9=3,IF(OR(CR$4&gt;=$AD$127,AND($G55=1,$J55=2,CR$6=2),AND(CR$6=1,$N55&lt;&gt;1)),0,IF(CV55&lt;=120,DB55,IF(CR$4&lt;$AD$124,IF($F55=1,60/CT$4*CT$6,60/CT$4*CT$7),IF($F55=1,120/CT$4*CT$6,120/CT$4*CT$7)))),IF(OR($F55=3,$G55=2),IF(OR(AND(CR$4&gt;=$AD$119,$C55=2),AND(CR$4&gt;=$AF$119,$C55=1)),0,IF(CV55&lt;=60,DB55,60/CT$4*CT$7)),IF(AND($F55=2,$G55=1),DB55,0)))))</f>
        <v>0</v>
      </c>
      <c r="DE55" s="57" t="str">
        <f t="shared" si="40"/>
        <v/>
      </c>
      <c r="DF55" s="57" t="str">
        <f t="shared" si="384"/>
        <v/>
      </c>
      <c r="DG55" s="713">
        <f>'org. Düngung 22'!AF54</f>
        <v>0</v>
      </c>
      <c r="DH55" s="57"/>
      <c r="DI55" s="57"/>
      <c r="DJ55" s="57">
        <f t="shared" si="42"/>
        <v>0</v>
      </c>
      <c r="DK55" s="57">
        <f t="shared" si="223"/>
        <v>0</v>
      </c>
      <c r="DL55" s="57">
        <f t="shared" si="224"/>
        <v>0</v>
      </c>
      <c r="DM55" s="57">
        <f t="shared" si="225"/>
        <v>0</v>
      </c>
      <c r="DN55" s="57">
        <f t="shared" si="226"/>
        <v>0</v>
      </c>
      <c r="DO55" s="1029">
        <f t="shared" si="385"/>
        <v>0</v>
      </c>
      <c r="DP55" s="57">
        <f t="shared" si="386"/>
        <v>0</v>
      </c>
      <c r="DQ55" s="171" t="str">
        <f t="shared" si="387"/>
        <v/>
      </c>
      <c r="DR55" s="57">
        <f t="shared" si="227"/>
        <v>0</v>
      </c>
      <c r="DS55" s="57">
        <f>IF(OR(AND(DG$6=1,$L55=0),AND(DG$6=2,$K55=2,$G55=1)),0,IF(AND(DI$9=2,(OR($F55&gt;1,$K55=1,AND($L55=80,OR($N55=1,AND($N55=2,'#BerechnungDBE'!$AL46&gt;0)))))),IF(DG$4&gt;=$AD$126,0,DQ55),IF(DI$9=3,IF(OR(DG$4&gt;=$AD$127,AND($G55=1,$J55=2,DG$6=2),AND(DG$6=1,$N55&lt;&gt;1)),0,IF(DK55&lt;=120,DQ55,IF(DG$4&lt;$AD$124,IF($F55=1,60/DI$4*DI$6,60/DI$4*DI$7),IF($F55=1,120/DI$4*DI$6,120/DI$4*DI$7)))),IF(OR($F55=3,$G55=2),IF(OR(AND(DG$4&gt;=$AD$119,$C55=2),AND(DG$4&gt;=$AF$119,$C55=1)),0,IF(DK55&lt;=60,DQ55,60/DI$4*DI$7)),IF(AND($F55=2,$G55=1),DQ55,0)))))</f>
        <v>0</v>
      </c>
      <c r="DT55" s="57" t="str">
        <f t="shared" si="46"/>
        <v/>
      </c>
      <c r="DU55" s="57" t="str">
        <f t="shared" si="388"/>
        <v/>
      </c>
      <c r="DV55" s="713">
        <f>'org. Düngung 22'!AJ54</f>
        <v>0</v>
      </c>
      <c r="DW55" s="57"/>
      <c r="DX55" s="57"/>
      <c r="DY55" s="57">
        <f t="shared" si="48"/>
        <v>0</v>
      </c>
      <c r="DZ55" s="57">
        <f t="shared" si="228"/>
        <v>0</v>
      </c>
      <c r="EA55" s="57">
        <f t="shared" si="229"/>
        <v>0</v>
      </c>
      <c r="EB55" s="57">
        <f t="shared" si="230"/>
        <v>0</v>
      </c>
      <c r="EC55" s="57">
        <f t="shared" si="231"/>
        <v>0</v>
      </c>
      <c r="ED55" s="1029">
        <f t="shared" si="389"/>
        <v>0</v>
      </c>
      <c r="EE55" s="57">
        <f t="shared" si="390"/>
        <v>0</v>
      </c>
      <c r="EF55" s="171" t="str">
        <f t="shared" si="391"/>
        <v/>
      </c>
      <c r="EG55" s="57">
        <f t="shared" si="232"/>
        <v>0</v>
      </c>
      <c r="EH55" s="57">
        <f>IF(OR(AND(DV$6=1,$L55=0),AND(DV$6=2,$K55=2,$G55=1)),0,IF(AND(DX$9=2,(OR($F55&gt;1,$K55=1,AND($L55=80,OR($N55=1,AND($N55=2,'#BerechnungDBE'!$AL46&gt;0)))))),IF(DV$4&gt;=$AD$126,0,EF55),IF(DX$9=3,IF(OR(DV$4&gt;=$AD$127,AND($G55=1,$J55=2,DV$6=2),AND(DV$6=1,$N55&lt;&gt;1)),0,IF(DZ55&lt;=120,EF55,IF(DV$4&lt;$AD$124,IF($F55=1,60/DX$4*DX$6,60/DX$4*DX$7),IF($F55=1,120/DX$4*DX$6,120/DX$4*DX$7)))),IF(OR($F55=3,$G55=2),IF(OR(AND(DV$4&gt;=$AD$119,$C55=2),AND(DV$4&gt;=$AF$119,$C55=1)),0,IF(DZ55&lt;=60,EF55,60/DX$4*DX$7)),IF(AND($F55=2,$G55=1),EF55,0)))))</f>
        <v>0</v>
      </c>
      <c r="EI55" s="57" t="str">
        <f t="shared" si="52"/>
        <v/>
      </c>
      <c r="EJ55" s="57" t="str">
        <f t="shared" si="392"/>
        <v/>
      </c>
      <c r="EK55" s="713">
        <f>'org. Düngung 22'!AN54</f>
        <v>0</v>
      </c>
      <c r="EL55" s="57"/>
      <c r="EM55" s="57"/>
      <c r="EN55" s="57">
        <f t="shared" si="54"/>
        <v>0</v>
      </c>
      <c r="EO55" s="57">
        <f t="shared" si="233"/>
        <v>0</v>
      </c>
      <c r="EP55" s="57">
        <f t="shared" si="234"/>
        <v>0</v>
      </c>
      <c r="EQ55" s="57">
        <f t="shared" si="235"/>
        <v>0</v>
      </c>
      <c r="ER55" s="57">
        <f t="shared" si="236"/>
        <v>0</v>
      </c>
      <c r="ES55" s="1029">
        <f t="shared" si="393"/>
        <v>0</v>
      </c>
      <c r="ET55" s="57">
        <f t="shared" si="394"/>
        <v>0</v>
      </c>
      <c r="EU55" s="171" t="str">
        <f t="shared" si="395"/>
        <v/>
      </c>
      <c r="EV55" s="57">
        <f t="shared" si="237"/>
        <v>0</v>
      </c>
      <c r="EW55" s="57">
        <f>IF(OR(AND(EK$6=1,$L55=0),AND(EK$6=2,$K55=2,$G55=1)),0,IF(AND(EM$9=2,(OR($F55&gt;1,$K55=1,AND($L55=80,OR($N55=1,AND($N55=2,'#BerechnungDBE'!$AL46&gt;0)))))),IF(EK$4&gt;=$AD$126,0,EU55),IF(EM$9=3,IF(OR(EK$4&gt;=$AD$127,AND($G55=1,$J55=2,EK$6=2),AND(EK$6=1,$N55&lt;&gt;1)),0,IF(EO55&lt;=120,EU55,IF(EK$4&lt;$AD$124,IF($F55=1,60/EM$4*EM$6,60/EM$4*EM$7),IF($F55=1,120/EM$4*EM$6,120/EM$4*EM$7)))),IF(OR($F55=3,$G55=2),IF(OR(AND(EK$4&gt;=$AD$119,$C55=2),AND(EK$4&gt;=$AF$119,$C55=1)),0,IF(EO55&lt;=60,EU55,60/EM$4*EM$7)),IF(AND($F55=2,$G55=1),EU55,0)))))</f>
        <v>0</v>
      </c>
      <c r="EX55" s="57" t="str">
        <f t="shared" si="58"/>
        <v/>
      </c>
      <c r="EY55" s="57" t="str">
        <f t="shared" si="396"/>
        <v/>
      </c>
      <c r="EZ55" s="713">
        <f>'org. Düngung 22'!AR54</f>
        <v>0</v>
      </c>
      <c r="FA55" s="57"/>
      <c r="FB55" s="57"/>
      <c r="FC55" s="57">
        <f t="shared" si="60"/>
        <v>0</v>
      </c>
      <c r="FD55" s="57">
        <f t="shared" si="238"/>
        <v>0</v>
      </c>
      <c r="FE55" s="57">
        <f t="shared" si="239"/>
        <v>0</v>
      </c>
      <c r="FF55" s="57">
        <f t="shared" si="240"/>
        <v>0</v>
      </c>
      <c r="FG55" s="57">
        <f t="shared" si="241"/>
        <v>0</v>
      </c>
      <c r="FH55" s="1029">
        <f t="shared" si="397"/>
        <v>0</v>
      </c>
      <c r="FI55" s="57">
        <f t="shared" si="398"/>
        <v>0</v>
      </c>
      <c r="FJ55" s="171" t="str">
        <f t="shared" si="399"/>
        <v/>
      </c>
      <c r="FK55" s="57">
        <f t="shared" si="242"/>
        <v>0</v>
      </c>
      <c r="FL55" s="57">
        <f>IF(OR(AND(EZ$6=1,$L55=0),AND(EZ$6=2,$K55=2,$G55=1)),0,IF(AND(FB$9=2,(OR($F55&gt;1,$K55=1,AND($L55=80,OR($N55=1,AND($N55=2,'#BerechnungDBE'!$AL46&gt;0)))))),IF(EZ$4&gt;=$AD$126,0,FJ55),IF(FB$9=3,IF(OR(EZ$4&gt;=$AD$127,AND($G55=1,$J55=2,EZ$6=2),AND(EZ$6=1,$N55&lt;&gt;1)),0,IF(FD55&lt;=120,FJ55,IF(EZ$4&lt;$AD$124,IF($F55=1,60/FB$4*FB$6,60/FB$4*FB$7),IF($F55=1,120/FB$4*FB$6,120/FB$4*FB$7)))),IF(OR($F55=3,$G55=2),IF(OR(AND(EZ$4&gt;=$AD$119,$C55=2),AND(EZ$4&gt;=$AF$119,$C55=1)),0,IF(FD55&lt;=60,FJ55,60/FB$4*FB$7)),IF(AND($F55=2,$G55=1),FJ55,0)))))</f>
        <v>0</v>
      </c>
      <c r="FM55" s="57" t="str">
        <f t="shared" si="64"/>
        <v/>
      </c>
      <c r="FN55" s="57" t="str">
        <f t="shared" si="400"/>
        <v/>
      </c>
      <c r="FO55" s="713">
        <f>'org. Düngung 22'!AV54</f>
        <v>0</v>
      </c>
      <c r="FP55" s="57"/>
      <c r="FQ55" s="57"/>
      <c r="FR55" s="57">
        <f t="shared" si="66"/>
        <v>0</v>
      </c>
      <c r="FS55" s="57">
        <f t="shared" si="243"/>
        <v>0</v>
      </c>
      <c r="FT55" s="57">
        <f t="shared" si="244"/>
        <v>0</v>
      </c>
      <c r="FU55" s="57">
        <f t="shared" si="245"/>
        <v>0</v>
      </c>
      <c r="FV55" s="57">
        <f t="shared" si="246"/>
        <v>0</v>
      </c>
      <c r="FW55" s="1029">
        <f t="shared" si="401"/>
        <v>0</v>
      </c>
      <c r="FX55" s="57">
        <f t="shared" si="402"/>
        <v>0</v>
      </c>
      <c r="FY55" s="171" t="str">
        <f t="shared" si="403"/>
        <v/>
      </c>
      <c r="FZ55" s="57">
        <f t="shared" si="247"/>
        <v>0</v>
      </c>
      <c r="GA55" s="57">
        <f>IF(OR(AND(FO$6=1,$L55=0),AND(FO$6=2,$K55=2,$G55=1)),0,IF(AND(FQ$9=2,(OR($F55&gt;1,$K55=1,AND($L55=80,OR($N55=1,AND($N55=2,'#BerechnungDBE'!$AL46&gt;0)))))),IF(FO$4&gt;=$AD$126,0,FY55),IF(FQ$9=3,IF(OR(FO$4&gt;=$AD$127,AND($G55=1,$J55=2,FO$6=2),AND(FO$6=1,$N55&lt;&gt;1)),0,IF(FS55&lt;=120,FY55,IF(FO$4&lt;$AD$124,IF($F55=1,60/FQ$4*FQ$6,60/FQ$4*FQ$7),IF($F55=1,120/FQ$4*FQ$6,120/FQ$4*FQ$7)))),IF(OR($F55=3,$G55=2),IF(OR(AND(FO$4&gt;=$AD$119,$C55=2),AND(FO$4&gt;=$AF$119,$C55=1)),0,IF(FS55&lt;=60,FY55,60/FQ$4*FQ$7)),IF(AND($F55=2,$G55=1),FY55,0)))))</f>
        <v>0</v>
      </c>
      <c r="GB55" s="57" t="str">
        <f t="shared" si="70"/>
        <v/>
      </c>
      <c r="GC55" s="57" t="str">
        <f t="shared" si="404"/>
        <v/>
      </c>
      <c r="GD55" s="713">
        <f>'org. Düngung 22'!AZ54</f>
        <v>0</v>
      </c>
      <c r="GE55" s="57"/>
      <c r="GF55" s="57"/>
      <c r="GG55" s="57">
        <f t="shared" si="72"/>
        <v>0</v>
      </c>
      <c r="GH55" s="57">
        <f t="shared" si="248"/>
        <v>0</v>
      </c>
      <c r="GI55" s="57">
        <f t="shared" si="249"/>
        <v>0</v>
      </c>
      <c r="GJ55" s="57">
        <f t="shared" si="250"/>
        <v>0</v>
      </c>
      <c r="GK55" s="57">
        <f t="shared" si="251"/>
        <v>0</v>
      </c>
      <c r="GL55" s="1029">
        <f t="shared" si="405"/>
        <v>0</v>
      </c>
      <c r="GM55" s="57">
        <f t="shared" si="406"/>
        <v>0</v>
      </c>
      <c r="GN55" s="171" t="str">
        <f t="shared" si="407"/>
        <v/>
      </c>
      <c r="GO55" s="57">
        <f t="shared" si="252"/>
        <v>0</v>
      </c>
      <c r="GP55" s="57">
        <f>IF(OR(AND(GD$6=1,$L55=0),AND(GD$6=2,$K55=2,$G55=1)),0,IF(AND(GF$9=2,(OR($F55&gt;1,$K55=1,AND($L55=80,OR($N55=1,AND($N55=2,'#BerechnungDBE'!$AL46&gt;0)))))),IF(GD$4&gt;=$AD$126,0,GN55),IF(GF$9=3,IF(OR(GD$4&gt;=$AD$127,AND($G55=1,$J55=2,GD$6=2),AND(GD$6=1,$N55&lt;&gt;1)),0,IF(GH55&lt;=120,GN55,IF(GD$4&lt;$AD$124,IF($F55=1,60/GF$4*GF$6,60/GF$4*GF$7),IF($F55=1,120/GF$4*GF$6,120/GF$4*GF$7)))),IF(OR($F55=3,$G55=2),IF(OR(AND(GD$4&gt;=$AD$119,$C55=2),AND(GD$4&gt;=$AF$119,$C55=1)),0,IF(GH55&lt;=60,GN55,60/GF$4*GF$7)),IF(AND($F55=2,$G55=1),GN55,0)))))</f>
        <v>0</v>
      </c>
      <c r="GQ55" s="57" t="str">
        <f t="shared" si="76"/>
        <v/>
      </c>
      <c r="GR55" s="57" t="str">
        <f t="shared" si="408"/>
        <v/>
      </c>
      <c r="GS55" s="713">
        <f>'org. Düngung 22'!BD54</f>
        <v>0</v>
      </c>
      <c r="GT55" s="57"/>
      <c r="GU55" s="57"/>
      <c r="GV55" s="57">
        <f t="shared" si="78"/>
        <v>0</v>
      </c>
      <c r="GW55" s="57">
        <f t="shared" si="253"/>
        <v>0</v>
      </c>
      <c r="GX55" s="57">
        <f t="shared" si="254"/>
        <v>0</v>
      </c>
      <c r="GY55" s="57">
        <f t="shared" si="255"/>
        <v>0</v>
      </c>
      <c r="GZ55" s="57">
        <f t="shared" si="256"/>
        <v>0</v>
      </c>
      <c r="HA55" s="1029">
        <f t="shared" si="409"/>
        <v>0</v>
      </c>
      <c r="HB55" s="57">
        <f t="shared" si="410"/>
        <v>0</v>
      </c>
      <c r="HC55" s="171" t="str">
        <f t="shared" si="411"/>
        <v/>
      </c>
      <c r="HD55" s="57">
        <f t="shared" si="257"/>
        <v>0</v>
      </c>
      <c r="HE55" s="57">
        <f>IF(OR(AND(GS$6=1,$L55=0),AND(GS$6=2,$K55=2,$G55=1)),0,IF(AND(GU$9=2,(OR($F55&gt;1,$K55=1,AND($L55=80,OR($N55=1,AND($N55=2,'#BerechnungDBE'!$AL46&gt;0)))))),IF(GS$4&gt;=$AD$126,0,HC55),IF(GU$9=3,IF(OR(GS$4&gt;=$AD$127,AND($G55=1,$J55=2,GS$6=2),AND(GS$6=1,$N55&lt;&gt;1)),0,IF(GW55&lt;=120,HC55,IF(GS$4&lt;$AD$124,IF($F55=1,60/GU$4*GU$6,60/GU$4*GU$7),IF($F55=1,120/GU$4*GU$6,120/GU$4*GU$7)))),IF(OR($F55=3,$G55=2),IF(OR(AND(GS$4&gt;=$AD$119,$C55=2),AND(GS$4&gt;=$AF$119,$C55=1)),0,IF(GW55&lt;=60,HC55,60/GU$4*GU$7)),IF(AND($F55=2,$G55=1),HC55,0)))))</f>
        <v>0</v>
      </c>
      <c r="HF55" s="57" t="str">
        <f t="shared" si="82"/>
        <v/>
      </c>
      <c r="HG55" s="57" t="str">
        <f t="shared" si="412"/>
        <v/>
      </c>
      <c r="HH55" s="713">
        <f>'org. Düngung 22'!BH54</f>
        <v>0</v>
      </c>
      <c r="HI55" s="57"/>
      <c r="HJ55" s="57"/>
      <c r="HK55" s="57">
        <f t="shared" si="84"/>
        <v>0</v>
      </c>
      <c r="HL55" s="57">
        <f t="shared" si="258"/>
        <v>0</v>
      </c>
      <c r="HM55" s="57">
        <f t="shared" si="259"/>
        <v>0</v>
      </c>
      <c r="HN55" s="57">
        <f t="shared" si="260"/>
        <v>0</v>
      </c>
      <c r="HO55" s="57">
        <f t="shared" si="261"/>
        <v>0</v>
      </c>
      <c r="HP55" s="1029">
        <f t="shared" si="413"/>
        <v>0</v>
      </c>
      <c r="HQ55" s="57">
        <f t="shared" si="414"/>
        <v>0</v>
      </c>
      <c r="HR55" s="171" t="str">
        <f t="shared" si="415"/>
        <v/>
      </c>
      <c r="HS55" s="57">
        <f t="shared" si="262"/>
        <v>0</v>
      </c>
      <c r="HT55" s="57">
        <f>IF(OR(AND(HH$6=1,$L55=0),AND(HH$6=2,$K55=2,$G55=1)),0,IF(AND(HJ$9=2,(OR($F55&gt;1,$K55=1,AND($L55=80,OR($N55=1,AND($N55=2,'#BerechnungDBE'!$AL46&gt;0)))))),IF(HH$4&gt;=$AD$126,0,HR55),IF(HJ$9=3,IF(OR(HH$4&gt;=$AD$127,AND($G55=1,$J55=2,HH$6=2),AND(HH$6=1,$N55&lt;&gt;1)),0,IF(HL55&lt;=120,HR55,IF(HH$4&lt;$AD$124,IF($F55=1,60/HJ$4*HJ$6,60/HJ$4*HJ$7),IF($F55=1,120/HJ$4*HJ$6,120/HJ$4*HJ$7)))),IF(OR($F55=3,$G55=2),IF(OR(AND(HH$4&gt;=$AD$119,$C55=2),AND(HH$4&gt;=$AF$119,$C55=1)),0,IF(HL55&lt;=60,HR55,60/HJ$4*HJ$7)),IF(AND($F55=2,$G55=1),HR55,0)))))</f>
        <v>0</v>
      </c>
      <c r="HU55" s="57" t="str">
        <f t="shared" si="88"/>
        <v/>
      </c>
      <c r="HV55" s="57" t="str">
        <f t="shared" si="416"/>
        <v/>
      </c>
      <c r="HW55" s="713">
        <f>'org. Düngung 22'!BL54</f>
        <v>0</v>
      </c>
      <c r="HX55" s="57"/>
      <c r="HY55" s="57"/>
      <c r="HZ55" s="57">
        <f t="shared" si="90"/>
        <v>0</v>
      </c>
      <c r="IA55" s="57">
        <f t="shared" si="263"/>
        <v>0</v>
      </c>
      <c r="IB55" s="57">
        <f t="shared" si="264"/>
        <v>0</v>
      </c>
      <c r="IC55" s="57">
        <f t="shared" si="265"/>
        <v>0</v>
      </c>
      <c r="ID55" s="57">
        <f t="shared" si="266"/>
        <v>0</v>
      </c>
      <c r="IE55" s="1029">
        <f t="shared" si="417"/>
        <v>0</v>
      </c>
      <c r="IF55" s="57">
        <f t="shared" si="418"/>
        <v>0</v>
      </c>
      <c r="IG55" s="171" t="str">
        <f t="shared" si="419"/>
        <v/>
      </c>
      <c r="IH55" s="57">
        <f t="shared" si="267"/>
        <v>0</v>
      </c>
      <c r="II55" s="57">
        <f>IF(OR(AND(HW$6=1,$L55=0),AND(HW$6=2,$K55=2,$G55=1)),0,IF(AND(HY$9=2,(OR($F55&gt;1,$K55=1,AND($L55=80,OR($N55=1,AND($N55=2,'#BerechnungDBE'!$AL46&gt;0)))))),IF(HW$4&gt;=$AD$126,0,IG55),IF(HY$9=3,IF(OR(HW$4&gt;=$AD$127,AND($G55=1,$J55=2,HW$6=2),AND(HW$6=1,$N55&lt;&gt;1)),0,IF(IA55&lt;=120,IG55,IF(HW$4&lt;$AD$124,IF($F55=1,60/HY$4*HY$6,60/HY$4*HY$7),IF($F55=1,120/HY$4*HY$6,120/HY$4*HY$7)))),IF(OR($F55=3,$G55=2),IF(OR(AND(HW$4&gt;=$AD$119,$C55=2),AND(HW$4&gt;=$AF$119,$C55=1)),0,IF(IA55&lt;=60,IG55,60/HY$4*HY$7)),IF(AND($F55=2,$G55=1),IG55,0)))))</f>
        <v>0</v>
      </c>
      <c r="IJ55" s="57" t="str">
        <f t="shared" si="94"/>
        <v/>
      </c>
      <c r="IK55" s="57" t="str">
        <f t="shared" si="420"/>
        <v/>
      </c>
      <c r="IL55" s="713">
        <f>'org. Düngung 22'!BP54</f>
        <v>0</v>
      </c>
      <c r="IM55" s="57"/>
      <c r="IN55" s="57"/>
      <c r="IO55" s="57">
        <f t="shared" si="96"/>
        <v>0</v>
      </c>
      <c r="IP55" s="57">
        <f t="shared" si="268"/>
        <v>0</v>
      </c>
      <c r="IQ55" s="57">
        <f t="shared" si="269"/>
        <v>0</v>
      </c>
      <c r="IR55" s="57">
        <f t="shared" si="270"/>
        <v>0</v>
      </c>
      <c r="IS55" s="57">
        <f t="shared" si="271"/>
        <v>0</v>
      </c>
      <c r="IT55" s="1029">
        <f t="shared" si="421"/>
        <v>0</v>
      </c>
      <c r="IU55" s="57">
        <f t="shared" si="422"/>
        <v>0</v>
      </c>
      <c r="IV55" s="171" t="str">
        <f t="shared" si="423"/>
        <v/>
      </c>
      <c r="IW55" s="57">
        <f t="shared" si="272"/>
        <v>0</v>
      </c>
      <c r="IX55" s="57">
        <f>IF(OR(AND(IL$6=1,$L55=0),AND(IL$6=2,$K55=2,$G55=1)),0,IF(AND(IN$9=2,(OR($F55&gt;1,$K55=1,AND($L55=80,OR($N55=1,AND($N55=2,'#BerechnungDBE'!$AL46&gt;0)))))),IF(IL$4&gt;=$AD$126,0,IV55),IF(IN$9=3,IF(OR(IL$4&gt;=$AD$127,AND($G55=1,$J55=2,IL$6=2),AND(IL$6=1,$N55&lt;&gt;1)),0,IF(IP55&lt;=120,IV55,IF(IL$4&lt;$AD$124,IF($F55=1,60/IN$4*IN$6,60/IN$4*IN$7),IF($F55=1,120/IN$4*IN$6,120/IN$4*IN$7)))),IF(OR($F55=3,$G55=2),IF(OR(AND(IL$4&gt;=$AD$119,$C55=2),AND(IL$4&gt;=$AF$119,$C55=1)),0,IF(IP55&lt;=60,IV55,60/IN$4*IN$7)),IF(AND($F55=2,$G55=1),IV55,0)))))</f>
        <v>0</v>
      </c>
      <c r="IY55" s="57" t="str">
        <f t="shared" si="100"/>
        <v/>
      </c>
      <c r="IZ55" s="57" t="str">
        <f t="shared" si="424"/>
        <v/>
      </c>
      <c r="JA55" s="713">
        <f>'org. Düngung 22'!BT54</f>
        <v>0</v>
      </c>
      <c r="JB55" s="57"/>
      <c r="JC55" s="57"/>
      <c r="JD55" s="57">
        <f t="shared" si="102"/>
        <v>0</v>
      </c>
      <c r="JE55" s="57">
        <f t="shared" si="273"/>
        <v>0</v>
      </c>
      <c r="JF55" s="57">
        <f t="shared" si="274"/>
        <v>0</v>
      </c>
      <c r="JG55" s="57">
        <f t="shared" si="275"/>
        <v>0</v>
      </c>
      <c r="JH55" s="57">
        <f t="shared" si="276"/>
        <v>0</v>
      </c>
      <c r="JI55" s="1029">
        <f t="shared" si="425"/>
        <v>0</v>
      </c>
      <c r="JJ55" s="57">
        <f t="shared" si="426"/>
        <v>0</v>
      </c>
      <c r="JK55" s="171" t="str">
        <f t="shared" si="427"/>
        <v/>
      </c>
      <c r="JL55" s="57">
        <f t="shared" si="277"/>
        <v>0</v>
      </c>
      <c r="JM55" s="57">
        <f>IF(OR(AND(JA$6=1,$L55=0),AND(JA$6=2,$K55=2,$G55=1)),0,IF(AND(JC$9=2,(OR($F55&gt;1,$K55=1,AND($L55=80,OR($N55=1,AND($N55=2,'#BerechnungDBE'!$AL46&gt;0)))))),IF(JA$4&gt;=$AD$126,0,JK55),IF(JC$9=3,IF(OR(JA$4&gt;=$AD$127,AND($G55=1,$J55=2,JA$6=2),AND(JA$6=1,$N55&lt;&gt;1)),0,IF(JE55&lt;=120,JK55,IF(JA$4&lt;$AD$124,IF($F55=1,60/JC$4*JC$6,60/JC$4*JC$7),IF($F55=1,120/JC$4*JC$6,120/JC$4*JC$7)))),IF(OR($F55=3,$G55=2),IF(OR(AND(JA$4&gt;=$AD$119,$C55=2),AND(JA$4&gt;=$AF$119,$C55=1)),0,IF(JE55&lt;=60,JK55,60/JC$4*JC$7)),IF(AND($F55=2,$G55=1),JK55,0)))))</f>
        <v>0</v>
      </c>
      <c r="JN55" s="57" t="str">
        <f t="shared" si="106"/>
        <v/>
      </c>
      <c r="JO55" s="57" t="str">
        <f t="shared" si="428"/>
        <v/>
      </c>
      <c r="JP55" s="713">
        <f>'org. Düngung 22'!BX54</f>
        <v>0</v>
      </c>
      <c r="JQ55" s="57"/>
      <c r="JR55" s="57"/>
      <c r="JS55" s="57">
        <f t="shared" si="108"/>
        <v>0</v>
      </c>
      <c r="JT55" s="57">
        <f t="shared" si="278"/>
        <v>0</v>
      </c>
      <c r="JU55" s="57">
        <f t="shared" si="279"/>
        <v>0</v>
      </c>
      <c r="JV55" s="57">
        <f t="shared" si="280"/>
        <v>0</v>
      </c>
      <c r="JW55" s="57">
        <f t="shared" si="281"/>
        <v>0</v>
      </c>
      <c r="JX55" s="1029">
        <f t="shared" si="429"/>
        <v>0</v>
      </c>
      <c r="JY55" s="57">
        <f t="shared" si="430"/>
        <v>0</v>
      </c>
      <c r="JZ55" s="171" t="str">
        <f t="shared" si="431"/>
        <v/>
      </c>
      <c r="KA55" s="57">
        <f t="shared" si="282"/>
        <v>0</v>
      </c>
      <c r="KB55" s="57">
        <f>IF(OR(AND(JP$6=1,$L55=0),AND(JP$6=2,$K55=2,$G55=1)),0,IF(AND(JR$9=2,(OR($F55&gt;1,$K55=1,AND($L55=80,OR($N55=1,AND($N55=2,'#BerechnungDBE'!$AL46&gt;0)))))),IF(JP$4&gt;=$AD$126,0,JZ55),IF(JR$9=3,IF(OR(JP$4&gt;=$AD$127,AND($G55=1,$J55=2,JP$6=2),AND(JP$6=1,$N55&lt;&gt;1)),0,IF(JT55&lt;=120,JZ55,IF(JP$4&lt;$AD$124,IF($F55=1,60/JR$4*JR$6,60/JR$4*JR$7),IF($F55=1,120/JR$4*JR$6,120/JR$4*JR$7)))),IF(OR($F55=3,$G55=2),IF(OR(AND(JP$4&gt;=$AD$119,$C55=2),AND(JP$4&gt;=$AF$119,$C55=1)),0,IF(JT55&lt;=60,JZ55,60/JR$4*JR$7)),IF(AND($F55=2,$G55=1),JZ55,0)))))</f>
        <v>0</v>
      </c>
      <c r="KC55" s="57" t="str">
        <f t="shared" si="112"/>
        <v/>
      </c>
      <c r="KD55" s="57" t="str">
        <f t="shared" si="432"/>
        <v/>
      </c>
      <c r="KE55" s="713">
        <f>'org. Düngung 22'!CB54</f>
        <v>0</v>
      </c>
      <c r="KF55" s="57"/>
      <c r="KG55" s="57"/>
      <c r="KH55" s="57">
        <f t="shared" si="114"/>
        <v>0</v>
      </c>
      <c r="KI55" s="57">
        <f t="shared" si="283"/>
        <v>0</v>
      </c>
      <c r="KJ55" s="57">
        <f t="shared" si="284"/>
        <v>0</v>
      </c>
      <c r="KK55" s="57">
        <f t="shared" si="285"/>
        <v>0</v>
      </c>
      <c r="KL55" s="57">
        <f t="shared" si="286"/>
        <v>0</v>
      </c>
      <c r="KM55" s="1029">
        <f t="shared" si="433"/>
        <v>0</v>
      </c>
      <c r="KN55" s="57">
        <f t="shared" si="434"/>
        <v>0</v>
      </c>
      <c r="KO55" s="171" t="str">
        <f t="shared" si="435"/>
        <v/>
      </c>
      <c r="KP55" s="57">
        <f t="shared" si="287"/>
        <v>0</v>
      </c>
      <c r="KQ55" s="57">
        <f>IF(OR(AND(KE$6=1,$L55=0),AND(KE$6=2,$K55=2,$G55=1)),0,IF(AND(KG$9=2,(OR($F55&gt;1,$K55=1,AND($L55=80,OR($N55=1,AND($N55=2,'#BerechnungDBE'!$AL46&gt;0)))))),IF(KE$4&gt;=$AD$126,0,KO55),IF(KG$9=3,IF(OR(KE$4&gt;=$AD$127,AND($G55=1,$J55=2,KE$6=2),AND(KE$6=1,$N55&lt;&gt;1)),0,IF(KI55&lt;=120,KO55,IF(KE$4&lt;$AD$124,IF($F55=1,60/KG$4*KG$6,60/KG$4*KG$7),IF($F55=1,120/KG$4*KG$6,120/KG$4*KG$7)))),IF(OR($F55=3,$G55=2),IF(OR(AND(KE$4&gt;=$AD$119,$C55=2),AND(KE$4&gt;=$AF$119,$C55=1)),0,IF(KI55&lt;=60,KO55,60/KG$4*KG$7)),IF(AND($F55=2,$G55=1),KO55,0)))))</f>
        <v>0</v>
      </c>
      <c r="KR55" s="57" t="str">
        <f t="shared" si="118"/>
        <v/>
      </c>
      <c r="KS55" s="57" t="str">
        <f t="shared" si="436"/>
        <v/>
      </c>
      <c r="KT55" s="713">
        <f>'org. Düngung 22'!CF54</f>
        <v>0</v>
      </c>
      <c r="KU55" s="57"/>
      <c r="KV55" s="57"/>
      <c r="KW55" s="57">
        <f t="shared" si="120"/>
        <v>0</v>
      </c>
      <c r="KX55" s="57">
        <f t="shared" si="288"/>
        <v>0</v>
      </c>
      <c r="KY55" s="57">
        <f t="shared" si="289"/>
        <v>0</v>
      </c>
      <c r="KZ55" s="57">
        <f t="shared" si="290"/>
        <v>0</v>
      </c>
      <c r="LA55" s="57">
        <f t="shared" si="291"/>
        <v>0</v>
      </c>
      <c r="LB55" s="1029">
        <f t="shared" si="437"/>
        <v>0</v>
      </c>
      <c r="LC55" s="57">
        <f t="shared" si="438"/>
        <v>0</v>
      </c>
      <c r="LD55" s="171" t="str">
        <f t="shared" si="439"/>
        <v/>
      </c>
      <c r="LE55" s="57">
        <f t="shared" si="292"/>
        <v>0</v>
      </c>
      <c r="LF55" s="57">
        <f>IF(OR(AND(KT$6=1,$L55=0),AND(KT$6=2,$K55=2,$G55=1)),0,IF(AND(KV$9=2,(OR($F55&gt;1,$K55=1,AND($L55=80,OR($N55=1,AND($N55=2,'#BerechnungDBE'!$AL46&gt;0)))))),IF(KT$4&gt;=$AD$126,0,LD55),IF(KV$9=3,IF(OR(KT$4&gt;=$AD$127,AND($G55=1,$J55=2,KT$6=2),AND(KT$6=1,$N55&lt;&gt;1)),0,IF(KX55&lt;=120,LD55,IF(KT$4&lt;$AD$124,IF($F55=1,60/KV$4*KV$6,60/KV$4*KV$7),IF($F55=1,120/KV$4*KV$6,120/KV$4*KV$7)))),IF(OR($F55=3,$G55=2),IF(OR(AND(KT$4&gt;=$AD$119,$C55=2),AND(KT$4&gt;=$AF$119,$C55=1)),0,IF(KX55&lt;=60,LD55,60/KV$4*KV$7)),IF(AND($F55=2,$G55=1),LD55,0)))))</f>
        <v>0</v>
      </c>
      <c r="LG55" s="57" t="str">
        <f t="shared" si="124"/>
        <v/>
      </c>
      <c r="LH55" s="57" t="str">
        <f t="shared" si="440"/>
        <v/>
      </c>
      <c r="LI55" s="713">
        <f>'org. Düngung 22'!CJ54</f>
        <v>0</v>
      </c>
      <c r="LJ55" s="57"/>
      <c r="LK55" s="57"/>
      <c r="LL55" s="57">
        <f t="shared" si="126"/>
        <v>0</v>
      </c>
      <c r="LM55" s="57">
        <f t="shared" si="293"/>
        <v>0</v>
      </c>
      <c r="LN55" s="57">
        <f t="shared" si="294"/>
        <v>0</v>
      </c>
      <c r="LO55" s="57">
        <f t="shared" si="295"/>
        <v>0</v>
      </c>
      <c r="LP55" s="57">
        <f t="shared" si="296"/>
        <v>0</v>
      </c>
      <c r="LQ55" s="1029">
        <f t="shared" si="441"/>
        <v>0</v>
      </c>
      <c r="LR55" s="57">
        <f t="shared" si="442"/>
        <v>0</v>
      </c>
      <c r="LS55" s="171" t="str">
        <f t="shared" si="443"/>
        <v/>
      </c>
      <c r="LT55" s="57">
        <f t="shared" si="297"/>
        <v>0</v>
      </c>
      <c r="LU55" s="57">
        <f>IF(OR(AND(LI$6=1,$L55=0),AND(LI$6=2,$K55=2,$G55=1)),0,IF(AND(LK$9=2,(OR($F55&gt;1,$K55=1,AND($L55=80,OR($N55=1,AND($N55=2,'#BerechnungDBE'!$AL46&gt;0)))))),IF(LI$4&gt;=$AD$126,0,LS55),IF(LK$9=3,IF(OR(LI$4&gt;=$AD$127,AND($G55=1,$J55=2,LI$6=2),AND(LI$6=1,$N55&lt;&gt;1)),0,IF(LM55&lt;=120,LS55,IF(LI$4&lt;$AD$124,IF($F55=1,60/LK$4*LK$6,60/LK$4*LK$7),IF($F55=1,120/LK$4*LK$6,120/LK$4*LK$7)))),IF(OR($F55=3,$G55=2),IF(OR(AND(LI$4&gt;=$AD$119,$C55=2),AND(LI$4&gt;=$AF$119,$C55=1)),0,IF(LM55&lt;=60,LS55,60/LK$4*LK$7)),IF(AND($F55=2,$G55=1),LS55,0)))))</f>
        <v>0</v>
      </c>
      <c r="LV55" s="57" t="str">
        <f t="shared" si="130"/>
        <v/>
      </c>
      <c r="LW55" s="57" t="str">
        <f t="shared" si="444"/>
        <v/>
      </c>
      <c r="LX55" s="713">
        <f>'org. Düngung 22'!CN54</f>
        <v>0</v>
      </c>
      <c r="LY55" s="57"/>
      <c r="LZ55" s="57"/>
      <c r="MA55" s="57">
        <f t="shared" si="132"/>
        <v>0</v>
      </c>
      <c r="MB55" s="57">
        <f t="shared" si="298"/>
        <v>0</v>
      </c>
      <c r="MC55" s="57">
        <f t="shared" si="299"/>
        <v>0</v>
      </c>
      <c r="MD55" s="57">
        <f t="shared" si="300"/>
        <v>0</v>
      </c>
      <c r="ME55" s="57">
        <f t="shared" si="301"/>
        <v>0</v>
      </c>
      <c r="MF55" s="1029">
        <f t="shared" si="445"/>
        <v>0</v>
      </c>
      <c r="MG55" s="57">
        <f t="shared" si="446"/>
        <v>0</v>
      </c>
      <c r="MH55" s="171" t="str">
        <f t="shared" si="447"/>
        <v/>
      </c>
      <c r="MI55" s="57">
        <f t="shared" si="302"/>
        <v>0</v>
      </c>
      <c r="MJ55" s="57">
        <f>IF(OR(AND(LX$6=1,$L55=0),AND(LX$6=2,$K55=2,$G55=1)),0,IF(AND(LZ$9=2,(OR($F55&gt;1,$K55=1,AND($L55=80,OR($N55=1,AND($N55=2,'#BerechnungDBE'!$AL46&gt;0)))))),IF(LX$4&gt;=$AD$126,0,MH55),IF(LZ$9=3,IF(OR(LX$4&gt;=$AD$127,AND($G55=1,$J55=2,LX$6=2),AND(LX$6=1,$N55&lt;&gt;1)),0,IF(MB55&lt;=120,MH55,IF(LX$4&lt;$AD$124,IF($F55=1,60/LZ$4*LZ$6,60/LZ$4*LZ$7),IF($F55=1,120/LZ$4*LZ$6,120/LZ$4*LZ$7)))),IF(OR($F55=3,$G55=2),IF(OR(AND(LX$4&gt;=$AD$119,$C55=2),AND(LX$4&gt;=$AF$119,$C55=1)),0,IF(MB55&lt;=60,MH55,60/LZ$4*LZ$7)),IF(AND($F55=2,$G55=1),MH55,0)))))</f>
        <v>0</v>
      </c>
      <c r="MK55" s="57" t="str">
        <f t="shared" si="136"/>
        <v/>
      </c>
      <c r="ML55" s="57" t="str">
        <f t="shared" si="448"/>
        <v/>
      </c>
      <c r="MM55" s="713">
        <f>'org. Düngung 22'!CR54</f>
        <v>0</v>
      </c>
      <c r="MN55" s="57"/>
      <c r="MO55" s="57"/>
      <c r="MP55" s="57">
        <f t="shared" si="138"/>
        <v>0</v>
      </c>
      <c r="MQ55" s="57">
        <f t="shared" si="303"/>
        <v>0</v>
      </c>
      <c r="MR55" s="57">
        <f t="shared" si="304"/>
        <v>0</v>
      </c>
      <c r="MS55" s="57">
        <f t="shared" si="305"/>
        <v>0</v>
      </c>
      <c r="MT55" s="57">
        <f t="shared" si="306"/>
        <v>0</v>
      </c>
      <c r="MU55" s="1029">
        <f t="shared" si="449"/>
        <v>0</v>
      </c>
      <c r="MV55" s="57">
        <f t="shared" si="450"/>
        <v>0</v>
      </c>
      <c r="MW55" s="171" t="str">
        <f t="shared" si="451"/>
        <v/>
      </c>
      <c r="MX55" s="57">
        <f t="shared" si="307"/>
        <v>0</v>
      </c>
      <c r="MY55" s="57">
        <f>IF(OR(AND(MM$6=1,$L55=0),AND(MM$6=2,$K55=2,$G55=1)),0,IF(AND(MO$9=2,(OR($F55&gt;1,$K55=1,AND($L55=80,OR($N55=1,AND($N55=2,'#BerechnungDBE'!$AL46&gt;0)))))),IF(MM$4&gt;=$AD$126,0,MW55),IF(MO$9=3,IF(OR(MM$4&gt;=$AD$127,AND($G55=1,$J55=2,MM$6=2),AND(MM$6=1,$N55&lt;&gt;1)),0,IF(MQ55&lt;=120,MW55,IF(MM$4&lt;$AD$124,IF($F55=1,60/MO$4*MO$6,60/MO$4*MO$7),IF($F55=1,120/MO$4*MO$6,120/MO$4*MO$7)))),IF(OR($F55=3,$G55=2),IF(OR(AND(MM$4&gt;=$AD$119,$C55=2),AND(MM$4&gt;=$AF$119,$C55=1)),0,IF(MQ55&lt;=60,MW55,60/MO$4*MO$7)),IF(AND($F55=2,$G55=1),MW55,0)))))</f>
        <v>0</v>
      </c>
      <c r="MZ55" s="57" t="str">
        <f t="shared" si="142"/>
        <v/>
      </c>
      <c r="NA55" s="57" t="str">
        <f t="shared" si="452"/>
        <v/>
      </c>
      <c r="NB55" s="713">
        <f>'org. Düngung 22'!CV54</f>
        <v>0</v>
      </c>
      <c r="NC55" s="57"/>
      <c r="ND55" s="57"/>
      <c r="NE55" s="57">
        <f t="shared" si="144"/>
        <v>0</v>
      </c>
      <c r="NF55" s="57">
        <f t="shared" si="308"/>
        <v>0</v>
      </c>
      <c r="NG55" s="57">
        <f t="shared" si="309"/>
        <v>0</v>
      </c>
      <c r="NH55" s="57">
        <f t="shared" si="310"/>
        <v>0</v>
      </c>
      <c r="NI55" s="57">
        <f t="shared" si="311"/>
        <v>0</v>
      </c>
      <c r="NJ55" s="1029">
        <f t="shared" si="453"/>
        <v>0</v>
      </c>
      <c r="NK55" s="57">
        <f t="shared" si="454"/>
        <v>0</v>
      </c>
      <c r="NL55" s="171" t="str">
        <f t="shared" si="455"/>
        <v/>
      </c>
      <c r="NM55" s="57">
        <f t="shared" si="312"/>
        <v>0</v>
      </c>
      <c r="NN55" s="57">
        <f>IF(OR(AND(NB$6=1,$L55=0),AND(NB$6=2,$K55=2,$G55=1)),0,IF(AND(ND$9=2,(OR($F55&gt;1,$K55=1,AND($L55=80,OR($N55=1,AND($N55=2,'#BerechnungDBE'!$AL46&gt;0)))))),IF(NB$4&gt;=$AD$126,0,NL55),IF(ND$9=3,IF(OR(NB$4&gt;=$AD$127,AND($G55=1,$J55=2,NB$6=2),AND(NB$6=1,$N55&lt;&gt;1)),0,IF(NF55&lt;=120,NL55,IF(NB$4&lt;$AD$124,IF($F55=1,60/ND$4*ND$6,60/ND$4*ND$7),IF($F55=1,120/ND$4*ND$6,120/ND$4*ND$7)))),IF(OR($F55=3,$G55=2),IF(OR(AND(NB$4&gt;=$AD$119,$C55=2),AND(NB$4&gt;=$AF$119,$C55=1)),0,IF(NF55&lt;=60,NL55,60/ND$4*ND$7)),IF(AND($F55=2,$G55=1),NL55,0)))))</f>
        <v>0</v>
      </c>
      <c r="NO55" s="57" t="str">
        <f t="shared" si="148"/>
        <v/>
      </c>
      <c r="NP55" s="57" t="str">
        <f t="shared" si="456"/>
        <v/>
      </c>
      <c r="NQ55" s="713">
        <f>'org. Düngung 22'!CZ54</f>
        <v>0</v>
      </c>
      <c r="NR55" s="57"/>
      <c r="NS55" s="57"/>
      <c r="NT55" s="57">
        <f t="shared" si="150"/>
        <v>0</v>
      </c>
      <c r="NU55" s="57">
        <f t="shared" si="313"/>
        <v>0</v>
      </c>
      <c r="NV55" s="57">
        <f t="shared" si="314"/>
        <v>0</v>
      </c>
      <c r="NW55" s="57">
        <f t="shared" si="315"/>
        <v>0</v>
      </c>
      <c r="NX55" s="57">
        <f t="shared" si="316"/>
        <v>0</v>
      </c>
      <c r="NY55" s="1029">
        <f t="shared" si="457"/>
        <v>0</v>
      </c>
      <c r="NZ55" s="57">
        <f t="shared" si="458"/>
        <v>0</v>
      </c>
      <c r="OA55" s="171" t="str">
        <f t="shared" si="459"/>
        <v/>
      </c>
      <c r="OB55" s="57">
        <f t="shared" si="317"/>
        <v>0</v>
      </c>
      <c r="OC55" s="57">
        <f>IF(OR(AND(NQ$6=1,$L55=0),AND(NQ$6=2,$K55=2,$G55=1)),0,IF(AND(NS$9=2,(OR($F55&gt;1,$K55=1,AND($L55=80,OR($N55=1,AND($N55=2,'#BerechnungDBE'!$AL46&gt;0)))))),IF(NQ$4&gt;=$AD$126,0,OA55),IF(NS$9=3,IF(OR(NQ$4&gt;=$AD$127,AND($G55=1,$J55=2,NQ$6=2),AND(NQ$6=1,$N55&lt;&gt;1)),0,IF(NU55&lt;=120,OA55,IF(NQ$4&lt;$AD$124,IF($F55=1,60/NS$4*NS$6,60/NS$4*NS$7),IF($F55=1,120/NS$4*NS$6,120/NS$4*NS$7)))),IF(OR($F55=3,$G55=2),IF(OR(AND(NQ$4&gt;=$AD$119,$C55=2),AND(NQ$4&gt;=$AF$119,$C55=1)),0,IF(NU55&lt;=60,OA55,60/NS$4*NS$7)),IF(AND($F55=2,$G55=1),OA55,0)))))</f>
        <v>0</v>
      </c>
      <c r="OD55" s="57" t="str">
        <f t="shared" si="154"/>
        <v/>
      </c>
      <c r="OE55" s="57" t="str">
        <f t="shared" si="460"/>
        <v/>
      </c>
      <c r="OF55" s="713">
        <f>'org. Düngung 22'!DD54</f>
        <v>0</v>
      </c>
      <c r="OG55" s="57"/>
      <c r="OH55" s="57"/>
      <c r="OI55" s="57">
        <f t="shared" si="156"/>
        <v>0</v>
      </c>
      <c r="OJ55" s="57">
        <f t="shared" si="318"/>
        <v>0</v>
      </c>
      <c r="OK55" s="57">
        <f t="shared" si="319"/>
        <v>0</v>
      </c>
      <c r="OL55" s="57">
        <f t="shared" si="320"/>
        <v>0</v>
      </c>
      <c r="OM55" s="57">
        <f t="shared" si="321"/>
        <v>0</v>
      </c>
      <c r="ON55" s="1029">
        <f t="shared" si="461"/>
        <v>0</v>
      </c>
      <c r="OO55" s="57">
        <f t="shared" si="462"/>
        <v>0</v>
      </c>
      <c r="OP55" s="171" t="str">
        <f t="shared" si="463"/>
        <v/>
      </c>
      <c r="OQ55" s="57">
        <f t="shared" si="322"/>
        <v>0</v>
      </c>
      <c r="OR55" s="57">
        <f>IF(OR(AND(OF$6=1,$L55=0),AND(OF$6=2,$K55=2,$G55=1)),0,IF(AND(OH$9=2,(OR($F55&gt;1,$K55=1,AND($L55=80,OR($N55=1,AND($N55=2,'#BerechnungDBE'!$AL46&gt;0)))))),IF(OF$4&gt;=$AD$126,0,OP55),IF(OH$9=3,IF(OR(OF$4&gt;=$AD$127,AND($G55=1,$J55=2,OF$6=2),AND(OF$6=1,$N55&lt;&gt;1)),0,IF(OJ55&lt;=120,OP55,IF(OF$4&lt;$AD$124,IF($F55=1,60/OH$4*OH$6,60/OH$4*OH$7),IF($F55=1,120/OH$4*OH$6,120/OH$4*OH$7)))),IF(OR($F55=3,$G55=2),IF(OR(AND(OF$4&gt;=$AD$119,$C55=2),AND(OF$4&gt;=$AF$119,$C55=1)),0,IF(OJ55&lt;=60,OP55,60/OH$4*OH$7)),IF(AND($F55=2,$G55=1),OP55,0)))))</f>
        <v>0</v>
      </c>
      <c r="OS55" s="57" t="str">
        <f t="shared" si="160"/>
        <v/>
      </c>
      <c r="OT55" s="57" t="str">
        <f t="shared" si="464"/>
        <v/>
      </c>
      <c r="OU55" s="713">
        <f>'org. Düngung 22'!DH54</f>
        <v>0</v>
      </c>
      <c r="OV55" s="57"/>
      <c r="OW55" s="57"/>
      <c r="OX55" s="57">
        <f t="shared" si="162"/>
        <v>0</v>
      </c>
      <c r="OY55" s="57">
        <f t="shared" si="323"/>
        <v>0</v>
      </c>
      <c r="OZ55" s="57">
        <f t="shared" si="324"/>
        <v>0</v>
      </c>
      <c r="PA55" s="57">
        <f t="shared" si="325"/>
        <v>0</v>
      </c>
      <c r="PB55" s="57">
        <f t="shared" si="326"/>
        <v>0</v>
      </c>
      <c r="PC55" s="1029">
        <f t="shared" si="465"/>
        <v>0</v>
      </c>
      <c r="PD55" s="57">
        <f t="shared" si="466"/>
        <v>0</v>
      </c>
      <c r="PE55" s="171" t="str">
        <f t="shared" si="467"/>
        <v/>
      </c>
      <c r="PF55" s="57">
        <f t="shared" si="327"/>
        <v>0</v>
      </c>
      <c r="PG55" s="57">
        <f>IF(OR(AND(OU$6=1,$L55=0),AND(OU$6=2,$K55=2,$G55=1)),0,IF(AND(OW$9=2,(OR($F55&gt;1,$K55=1,AND($L55=80,OR($N55=1,AND($N55=2,'#BerechnungDBE'!$AL46&gt;0)))))),IF(OU$4&gt;=$AD$126,0,PE55),IF(OW$9=3,IF(OR(OU$4&gt;=$AD$127,AND($G55=1,$J55=2,OU$6=2),AND(OU$6=1,$N55&lt;&gt;1)),0,IF(OY55&lt;=120,PE55,IF(OU$4&lt;$AD$124,IF($F55=1,60/OW$4*OW$6,60/OW$4*OW$7),IF($F55=1,120/OW$4*OW$6,120/OW$4*OW$7)))),IF(OR($F55=3,$G55=2),IF(OR(AND(OU$4&gt;=$AD$119,$C55=2),AND(OU$4&gt;=$AF$119,$C55=1)),0,IF(OY55&lt;=60,PE55,60/OW$4*OW$7)),IF(AND($F55=2,$G55=1),PE55,0)))))</f>
        <v>0</v>
      </c>
      <c r="PH55" s="57" t="str">
        <f t="shared" si="166"/>
        <v/>
      </c>
      <c r="PI55" s="57" t="str">
        <f t="shared" si="468"/>
        <v/>
      </c>
      <c r="PJ55" s="713">
        <f>'org. Düngung 22'!DL54</f>
        <v>0</v>
      </c>
      <c r="PK55" s="57"/>
      <c r="PL55" s="57"/>
      <c r="PM55" s="57">
        <f t="shared" si="168"/>
        <v>0</v>
      </c>
      <c r="PN55" s="57">
        <f t="shared" si="328"/>
        <v>0</v>
      </c>
      <c r="PO55" s="57">
        <f t="shared" si="329"/>
        <v>0</v>
      </c>
      <c r="PP55" s="57">
        <f t="shared" si="330"/>
        <v>0</v>
      </c>
      <c r="PQ55" s="57">
        <f t="shared" si="331"/>
        <v>0</v>
      </c>
      <c r="PR55" s="1029">
        <f t="shared" si="469"/>
        <v>0</v>
      </c>
      <c r="PS55" s="57">
        <f t="shared" si="470"/>
        <v>0</v>
      </c>
      <c r="PT55" s="171" t="str">
        <f t="shared" si="471"/>
        <v/>
      </c>
      <c r="PU55" s="57">
        <f t="shared" si="332"/>
        <v>0</v>
      </c>
      <c r="PV55" s="57">
        <f>IF(OR(AND(PJ$6=1,$L55=0),AND(PJ$6=2,$K55=2,$G55=1)),0,IF(AND(PL$9=2,(OR($F55&gt;1,$K55=1,AND($L55=80,OR($N55=1,AND($N55=2,'#BerechnungDBE'!$AL46&gt;0)))))),IF(PJ$4&gt;=$AD$126,0,PT55),IF(PL$9=3,IF(OR(PJ$4&gt;=$AD$127,AND($G55=1,$J55=2,PJ$6=2),AND(PJ$6=1,$N55&lt;&gt;1)),0,IF(PN55&lt;=120,PT55,IF(PJ$4&lt;$AD$124,IF($F55=1,60/PL$4*PL$6,60/PL$4*PL$7),IF($F55=1,120/PL$4*PL$6,120/PL$4*PL$7)))),IF(OR($F55=3,$G55=2),IF(OR(AND(PJ$4&gt;=$AD$119,$C55=2),AND(PJ$4&gt;=$AF$119,$C55=1)),0,IF(PN55&lt;=60,PT55,60/PL$4*PL$7)),IF(AND($F55=2,$G55=1),PT55,0)))))</f>
        <v>0</v>
      </c>
      <c r="PW55" s="57" t="str">
        <f t="shared" si="172"/>
        <v/>
      </c>
      <c r="PX55" s="57" t="str">
        <f t="shared" si="472"/>
        <v/>
      </c>
      <c r="PY55" s="713">
        <f>'org. Düngung 22'!DP54</f>
        <v>0</v>
      </c>
      <c r="PZ55" s="57"/>
      <c r="QA55" s="57"/>
      <c r="QB55" s="57">
        <f t="shared" si="174"/>
        <v>0</v>
      </c>
      <c r="QC55" s="57">
        <f t="shared" si="333"/>
        <v>0</v>
      </c>
      <c r="QD55" s="57">
        <f t="shared" si="334"/>
        <v>0</v>
      </c>
      <c r="QE55" s="57">
        <f t="shared" si="335"/>
        <v>0</v>
      </c>
      <c r="QF55" s="57">
        <f t="shared" si="336"/>
        <v>0</v>
      </c>
      <c r="QG55" s="1029">
        <f t="shared" si="473"/>
        <v>0</v>
      </c>
      <c r="QH55" s="57">
        <f t="shared" si="474"/>
        <v>0</v>
      </c>
      <c r="QI55" s="171" t="str">
        <f t="shared" si="475"/>
        <v/>
      </c>
      <c r="QJ55" s="57">
        <f t="shared" si="337"/>
        <v>0</v>
      </c>
      <c r="QK55" s="57">
        <f>IF(OR(AND(PY$6=1,$L55=0),AND(PY$6=2,$K55=2,$G55=1)),0,IF(AND(QA$9=2,(OR($F55&gt;1,$K55=1,AND($L55=80,OR($N55=1,AND($N55=2,'#BerechnungDBE'!$AL46&gt;0)))))),IF(PY$4&gt;=$AD$126,0,QI55),IF(QA$9=3,IF(OR(PY$4&gt;=$AD$127,AND($G55=1,$J55=2,PY$6=2),AND(PY$6=1,$N55&lt;&gt;1)),0,IF(QC55&lt;=120,QI55,IF(PY$4&lt;$AD$124,IF($F55=1,60/QA$4*QA$6,60/QA$4*QA$7),IF($F55=1,120/QA$4*QA$6,120/QA$4*QA$7)))),IF(OR($F55=3,$G55=2),IF(OR(AND(PY$4&gt;=$AD$119,$C55=2),AND(PY$4&gt;=$AF$119,$C55=1)),0,IF(QC55&lt;=60,QI55,60/QA$4*QA$7)),IF(AND($F55=2,$G55=1),QI55,0)))))</f>
        <v>0</v>
      </c>
      <c r="QL55" s="57" t="str">
        <f t="shared" si="178"/>
        <v/>
      </c>
      <c r="QM55" s="57" t="str">
        <f t="shared" si="476"/>
        <v/>
      </c>
      <c r="QN55" s="713">
        <f>'org. Düngung 22'!DT54</f>
        <v>0</v>
      </c>
      <c r="QO55" s="57"/>
      <c r="QP55" s="57"/>
      <c r="QQ55" s="57">
        <f t="shared" si="180"/>
        <v>0</v>
      </c>
      <c r="QR55" s="57">
        <f t="shared" si="338"/>
        <v>0</v>
      </c>
      <c r="QS55" s="57">
        <f t="shared" si="339"/>
        <v>0</v>
      </c>
      <c r="QT55" s="57">
        <f t="shared" si="340"/>
        <v>0</v>
      </c>
      <c r="QU55" s="57">
        <f t="shared" si="341"/>
        <v>0</v>
      </c>
      <c r="QV55" s="1029">
        <f t="shared" si="477"/>
        <v>0</v>
      </c>
      <c r="QW55" s="57">
        <f t="shared" si="478"/>
        <v>0</v>
      </c>
      <c r="QX55" s="171" t="str">
        <f t="shared" si="479"/>
        <v/>
      </c>
      <c r="QY55" s="57">
        <f t="shared" si="342"/>
        <v>0</v>
      </c>
      <c r="QZ55" s="57">
        <f>IF(OR(AND(QN$6=1,$L55=0),AND(QN$6=2,$K55=2,$G55=1)),0,IF(AND(QP$9=2,(OR($F55&gt;1,$K55=1,AND($L55=80,OR($N55=1,AND($N55=2,'#BerechnungDBE'!$AL46&gt;0)))))),IF(QN$4&gt;=$AD$126,0,QX55),IF(QP$9=3,IF(OR(QN$4&gt;=$AD$127,AND($G55=1,$J55=2,QN$6=2),AND(QN$6=1,$N55&lt;&gt;1)),0,IF(QR55&lt;=120,QX55,IF(QN$4&lt;$AD$124,IF($F55=1,60/QP$4*QP$6,60/QP$4*QP$7),IF($F55=1,120/QP$4*QP$6,120/QP$4*QP$7)))),IF(OR($F55=3,$G55=2),IF(OR(AND(QN$4&gt;=$AD$119,$C55=2),AND(QN$4&gt;=$AF$119,$C55=1)),0,IF(QR55&lt;=60,QX55,60/QP$4*QP$7)),IF(AND($F55=2,$G55=1),QX55,0)))))</f>
        <v>0</v>
      </c>
      <c r="RA55" s="57" t="str">
        <f t="shared" si="184"/>
        <v/>
      </c>
      <c r="RB55" s="57" t="str">
        <f t="shared" si="480"/>
        <v/>
      </c>
      <c r="RC55" s="713">
        <f>'org. Düngung 22'!DX54</f>
        <v>0</v>
      </c>
      <c r="RD55" s="57"/>
      <c r="RE55" s="57"/>
      <c r="RF55" s="57">
        <f t="shared" si="186"/>
        <v>0</v>
      </c>
      <c r="RG55" s="57">
        <f t="shared" si="343"/>
        <v>0</v>
      </c>
      <c r="RH55" s="57">
        <f t="shared" si="344"/>
        <v>0</v>
      </c>
      <c r="RI55" s="57">
        <f t="shared" si="345"/>
        <v>0</v>
      </c>
      <c r="RJ55" s="57">
        <f t="shared" si="346"/>
        <v>0</v>
      </c>
      <c r="RK55" s="1029">
        <f t="shared" si="481"/>
        <v>0</v>
      </c>
      <c r="RL55" s="57">
        <f t="shared" si="482"/>
        <v>0</v>
      </c>
      <c r="RM55" s="171" t="str">
        <f t="shared" si="483"/>
        <v/>
      </c>
      <c r="RN55" s="57">
        <f t="shared" si="347"/>
        <v>0</v>
      </c>
      <c r="RO55" s="57">
        <f>IF(OR(AND(RC$6=1,$L55=0),AND(RC$6=2,$K55=2,$G55=1)),0,IF(AND(RE$9=2,(OR($F55&gt;1,$K55=1,AND($L55=80,OR($N55=1,AND($N55=2,'#BerechnungDBE'!$AL46&gt;0)))))),IF(RC$4&gt;=$AD$126,0,RM55),IF(RE$9=3,IF(OR(RC$4&gt;=$AD$127,AND($G55=1,$J55=2,RC$6=2),AND(RC$6=1,$N55&lt;&gt;1)),0,IF(RG55&lt;=120,RM55,IF(RC$4&lt;$AD$124,IF($F55=1,60/RE$4*RE$6,60/RE$4*RE$7),IF($F55=1,120/RE$4*RE$6,120/RE$4*RE$7)))),IF(OR($F55=3,$G55=2),IF(OR(AND(RC$4&gt;=$AD$119,$C55=2),AND(RC$4&gt;=$AF$119,$C55=1)),0,IF(RG55&lt;=60,RM55,60/RE$4*RE$7)),IF(AND($F55=2,$G55=1),RM55,0)))))</f>
        <v>0</v>
      </c>
      <c r="RP55" s="57" t="str">
        <f t="shared" si="190"/>
        <v/>
      </c>
      <c r="RQ55" s="57" t="str">
        <f t="shared" si="484"/>
        <v/>
      </c>
      <c r="RS55" s="57" t="str">
        <f t="shared" si="488"/>
        <v/>
      </c>
      <c r="RT55" s="57" t="str">
        <f t="shared" si="485"/>
        <v/>
      </c>
      <c r="RU55" s="57" t="str">
        <f t="shared" si="486"/>
        <v/>
      </c>
      <c r="RV55" s="57" t="str">
        <f>IF(Z55&gt;'#BerechnungDBE'!BM46,$RV$9,"")</f>
        <v/>
      </c>
      <c r="RW55" s="57" t="str">
        <f>IF(AND(L55=70,AE55&gt;'#BerechnungDBE'!CQ46),$RW$9,"")</f>
        <v/>
      </c>
      <c r="RX55" s="57" t="str">
        <f>IF(OR('org. Düngung 22'!G54="--",'org. Düngung 22'!G54&lt;=170,'org. Düngung 22'!G54=""),"",$RX$9)</f>
        <v/>
      </c>
      <c r="RY55" s="57" t="str">
        <f>IF('org. Düngung 22'!K54&gt;120,'#orgDung'!$RY$9,"")</f>
        <v/>
      </c>
      <c r="RZ55" s="57" t="str">
        <f>IF('#BerechnungDBE'!P46&lt;4,"",IF(AND('#BerechnungDBE'!BZ46&gt;0,T55&gt;0),'#orgDung'!$RZ$9,""))</f>
        <v/>
      </c>
      <c r="SA55" s="57" t="str">
        <f t="shared" si="487"/>
        <v/>
      </c>
    </row>
    <row r="56" spans="1:495" s="875" customFormat="1" x14ac:dyDescent="0.2">
      <c r="A56" s="875">
        <f>'Flächen u. Kulturen'!A52</f>
        <v>43</v>
      </c>
      <c r="B56" s="367">
        <f>'#BerechnungDBE'!L47</f>
        <v>0</v>
      </c>
      <c r="C56" s="875">
        <f>'#BerechnungDBE'!R47</f>
        <v>1</v>
      </c>
      <c r="D56" s="875">
        <f>'#BerechnungDBE'!T47</f>
        <v>2</v>
      </c>
      <c r="E56" s="875" t="str">
        <f>'Flächen u. Kulturen'!E52</f>
        <v>x</v>
      </c>
      <c r="F56" s="52">
        <f>'#BerechnungDBE'!N47</f>
        <v>1</v>
      </c>
      <c r="G56" s="52">
        <f>'#BerechnungDBE'!O47</f>
        <v>1</v>
      </c>
      <c r="H56" s="875">
        <f>IF('Flächen u. Kulturen'!P52="",0,VLOOKUP('Flächen u. Kulturen'!P52,Kulturen[[HF]:[Berechnungsgruppe]],'#Frucht'!$H$1,FALSE))</f>
        <v>0</v>
      </c>
      <c r="I56" s="875">
        <f>IF('Flächen u. Kulturen'!J52="",0,VLOOKUP('Flächen u. Kulturen'!J52,Kulturen[[HF]:[Berechnungsgruppe]],'#Frucht'!$G$1,FALSE))</f>
        <v>90</v>
      </c>
      <c r="J56" s="505">
        <f t="shared" si="195"/>
        <v>2</v>
      </c>
      <c r="K56" s="505">
        <f>IF('Flächen u. Kulturen'!P52="",0,IF(VLOOKUP('Flächen u. Kulturen'!P52,Kulturen[[HF]:[Saat Winterungen]],'#Frucht'!$P$1,FALSE)&gt;0,1,2))</f>
        <v>2</v>
      </c>
      <c r="L56" s="875">
        <f>'#BerechnungDBE'!AF47</f>
        <v>0</v>
      </c>
      <c r="M56" s="875">
        <f>IF('Flächen u. Kulturen'!L52="",0,VLOOKUP('Flächen u. Kulturen'!L52,Nebenkultur[[Nebenkultur]:[Legum. Zwischenfr.]],'#Zweitfr'!$K$1,FALSE))</f>
        <v>0</v>
      </c>
      <c r="N56" s="875">
        <f>'#BerechnungDBE'!AG47</f>
        <v>0</v>
      </c>
      <c r="P56" s="57">
        <f t="shared" si="353"/>
        <v>0</v>
      </c>
      <c r="Q56" s="57">
        <f t="shared" si="354"/>
        <v>0</v>
      </c>
      <c r="R56" s="875">
        <f t="shared" si="355"/>
        <v>0</v>
      </c>
      <c r="S56" s="938" t="str">
        <f t="shared" si="3"/>
        <v/>
      </c>
      <c r="T56" s="875">
        <f t="shared" si="356"/>
        <v>0</v>
      </c>
      <c r="U56" s="875">
        <f t="shared" si="357"/>
        <v>0</v>
      </c>
      <c r="V56" s="875">
        <f t="shared" si="358"/>
        <v>0</v>
      </c>
      <c r="W56" s="875">
        <f t="shared" si="359"/>
        <v>0</v>
      </c>
      <c r="X56" s="875">
        <f t="shared" si="360"/>
        <v>0</v>
      </c>
      <c r="Y56" s="875">
        <f t="shared" si="349"/>
        <v>0</v>
      </c>
      <c r="Z56" s="875">
        <f t="shared" si="350"/>
        <v>0</v>
      </c>
      <c r="AA56" s="910">
        <f t="shared" si="361"/>
        <v>0</v>
      </c>
      <c r="AB56" s="57">
        <f t="shared" si="351"/>
        <v>0</v>
      </c>
      <c r="AC56" s="875">
        <f t="shared" si="362"/>
        <v>0</v>
      </c>
      <c r="AD56" s="875">
        <f t="shared" si="363"/>
        <v>0</v>
      </c>
      <c r="AE56" s="875">
        <f t="shared" si="364"/>
        <v>0</v>
      </c>
      <c r="AF56" s="875">
        <f t="shared" si="352"/>
        <v>0</v>
      </c>
      <c r="AG56" s="875">
        <f>'org. Düngung 22'!J55</f>
        <v>0</v>
      </c>
      <c r="AH56" s="875">
        <f>'org. Düngung 22'!K55</f>
        <v>0</v>
      </c>
      <c r="AJ56" s="713">
        <f>'org. Düngung 22'!L55</f>
        <v>0</v>
      </c>
      <c r="AK56" s="57"/>
      <c r="AL56" s="57"/>
      <c r="AM56" s="57">
        <f t="shared" si="196"/>
        <v>0</v>
      </c>
      <c r="AN56" s="57">
        <f t="shared" si="197"/>
        <v>0</v>
      </c>
      <c r="AO56" s="57">
        <f t="shared" si="198"/>
        <v>0</v>
      </c>
      <c r="AP56" s="57">
        <f t="shared" si="199"/>
        <v>0</v>
      </c>
      <c r="AQ56" s="57">
        <f t="shared" si="200"/>
        <v>0</v>
      </c>
      <c r="AR56" s="1029">
        <f t="shared" si="365"/>
        <v>0</v>
      </c>
      <c r="AS56" s="57">
        <f t="shared" si="366"/>
        <v>0</v>
      </c>
      <c r="AT56" s="171" t="str">
        <f t="shared" si="367"/>
        <v/>
      </c>
      <c r="AU56" s="57">
        <f t="shared" si="201"/>
        <v>0</v>
      </c>
      <c r="AV56" s="57">
        <f>IF(OR(AND(AJ$6=1,$L56=0),AND(AJ$6=2,$K56=2,$G56=1)),0,IF(AND(AL$9=2,(OR($F56&gt;1,$K56=1,AND($L56=80,OR($N56=1,AND($N56=2,'#BerechnungDBE'!$AL47&gt;0)))))),IF(AJ$4&gt;=$AD$126,0,AT56),IF(AL$9=3,IF(OR(AJ$4&gt;=$AD$127,AND($G56=1,$J56=2,AJ$6=2),AND(AJ$6=1,$N56&lt;&gt;1)),0,IF(AN56&lt;=120,AT56,IF(AJ$4&lt;$AD$124,IF($F56=1,60/AL$4*AL$6,60/AL$4*AL$7),IF($F56=1,120/AL$4*AL$6,120/AL$4*AL$7)))),IF(OR($F56=3,$G56=2),IF(OR(AND(AJ$4&gt;=$AD$119,$C56=2),AND(AJ$4&gt;=$AF$119,$C56=1)),0,IF(AN56&lt;=60,AT56,60/AL$4*AL$7)),IF(AND($F56=2,$G56=1),AT56,0)))))</f>
        <v>0</v>
      </c>
      <c r="AW56" s="57" t="str">
        <f t="shared" si="202"/>
        <v/>
      </c>
      <c r="AX56" s="57" t="str">
        <f t="shared" si="368"/>
        <v/>
      </c>
      <c r="AY56" s="713">
        <f>'org. Düngung 22'!P55</f>
        <v>0</v>
      </c>
      <c r="AZ56" s="57"/>
      <c r="BA56" s="57"/>
      <c r="BB56" s="57">
        <f t="shared" si="18"/>
        <v>0</v>
      </c>
      <c r="BC56" s="57">
        <f t="shared" si="203"/>
        <v>0</v>
      </c>
      <c r="BD56" s="57">
        <f t="shared" si="204"/>
        <v>0</v>
      </c>
      <c r="BE56" s="57">
        <f t="shared" si="205"/>
        <v>0</v>
      </c>
      <c r="BF56" s="57">
        <f t="shared" si="206"/>
        <v>0</v>
      </c>
      <c r="BG56" s="1029">
        <f t="shared" si="369"/>
        <v>0</v>
      </c>
      <c r="BH56" s="57">
        <f t="shared" si="370"/>
        <v>0</v>
      </c>
      <c r="BI56" s="171" t="str">
        <f t="shared" si="371"/>
        <v/>
      </c>
      <c r="BJ56" s="57">
        <f t="shared" si="207"/>
        <v>0</v>
      </c>
      <c r="BK56" s="57">
        <f>IF(OR(AND(AY$6=1,$L56=0),AND(AY$6=2,$K56=2,$G56=1)),0,IF(AND(BA$9=2,(OR($F56&gt;1,$K56=1,AND($L56=80,OR($N56=1,AND($N56=2,'#BerechnungDBE'!$AL47&gt;0)))))),IF(AY$4&gt;=$AD$126,0,BI56),IF(BA$9=3,IF(OR(AY$4&gt;=$AD$127,AND($G56=1,$J56=2,AY$6=2),AND(AY$6=1,$N56&lt;&gt;1)),0,IF(BC56&lt;=120,BI56,IF(AY$4&lt;$AD$124,IF($F56=1,60/BA$4*BA$6,60/BA$4*BA$7),IF($F56=1,120/BA$4*BA$6,120/BA$4*BA$7)))),IF(OR($F56=3,$G56=2),IF(OR(AND(AY$4&gt;=$AD$119,$C56=2),AND(AY$4&gt;=$AF$119,$C56=1)),0,IF(BC56&lt;=60,BI56,60/BA$4*BA$7)),IF(AND($F56=2,$G56=1),BI56,0)))))</f>
        <v>0</v>
      </c>
      <c r="BL56" s="57" t="str">
        <f t="shared" si="22"/>
        <v/>
      </c>
      <c r="BM56" s="57" t="str">
        <f t="shared" si="372"/>
        <v/>
      </c>
      <c r="BN56" s="713">
        <f>'org. Düngung 22'!T55</f>
        <v>0</v>
      </c>
      <c r="BO56" s="57"/>
      <c r="BP56" s="57"/>
      <c r="BQ56" s="57">
        <f t="shared" si="24"/>
        <v>0</v>
      </c>
      <c r="BR56" s="57">
        <f t="shared" si="208"/>
        <v>0</v>
      </c>
      <c r="BS56" s="57">
        <f t="shared" si="209"/>
        <v>0</v>
      </c>
      <c r="BT56" s="57">
        <f t="shared" si="210"/>
        <v>0</v>
      </c>
      <c r="BU56" s="57">
        <f t="shared" si="211"/>
        <v>0</v>
      </c>
      <c r="BV56" s="1029">
        <f t="shared" si="373"/>
        <v>0</v>
      </c>
      <c r="BW56" s="57">
        <f t="shared" si="374"/>
        <v>0</v>
      </c>
      <c r="BX56" s="171" t="str">
        <f t="shared" si="375"/>
        <v/>
      </c>
      <c r="BY56" s="57">
        <f t="shared" si="212"/>
        <v>0</v>
      </c>
      <c r="BZ56" s="57">
        <f>IF(OR(AND(BN$6=1,$L56=0),AND(BN$6=2,$K56=2,$G56=1)),0,IF(AND(BP$9=2,(OR($F56&gt;1,$K56=1,AND($L56=80,OR($N56=1,AND($N56=2,'#BerechnungDBE'!$AL47&gt;0)))))),IF(BN$4&gt;=$AD$126,0,BX56),IF(BP$9=3,IF(OR(BN$4&gt;=$AD$127,AND($G56=1,$J56=2,BN$6=2),AND(BN$6=1,$N56&lt;&gt;1)),0,IF(BR56&lt;=120,BX56,IF(BN$4&lt;$AD$124,IF($F56=1,60/BP$4*BP$6,60/BP$4*BP$7),IF($F56=1,120/BP$4*BP$6,120/BP$4*BP$7)))),IF(OR($F56=3,$G56=2),IF(OR(AND(BN$4&gt;=$AD$119,$C56=2),AND(BN$4&gt;=$AF$119,$C56=1)),0,IF(BR56&lt;=60,BX56,60/BP$4*BP$7)),IF(AND($F56=2,$G56=1),BX56,0)))))</f>
        <v>0</v>
      </c>
      <c r="CA56" s="57" t="str">
        <f t="shared" si="28"/>
        <v/>
      </c>
      <c r="CB56" s="57" t="str">
        <f t="shared" si="376"/>
        <v/>
      </c>
      <c r="CC56" s="713">
        <f>'org. Düngung 22'!X55</f>
        <v>0</v>
      </c>
      <c r="CD56" s="57"/>
      <c r="CE56" s="57"/>
      <c r="CF56" s="57">
        <f t="shared" si="30"/>
        <v>0</v>
      </c>
      <c r="CG56" s="57">
        <f t="shared" si="213"/>
        <v>0</v>
      </c>
      <c r="CH56" s="57">
        <f t="shared" si="214"/>
        <v>0</v>
      </c>
      <c r="CI56" s="57">
        <f t="shared" si="215"/>
        <v>0</v>
      </c>
      <c r="CJ56" s="57">
        <f t="shared" si="216"/>
        <v>0</v>
      </c>
      <c r="CK56" s="1029">
        <f t="shared" si="377"/>
        <v>0</v>
      </c>
      <c r="CL56" s="57">
        <f t="shared" si="378"/>
        <v>0</v>
      </c>
      <c r="CM56" s="171" t="str">
        <f t="shared" si="379"/>
        <v/>
      </c>
      <c r="CN56" s="57">
        <f t="shared" si="217"/>
        <v>0</v>
      </c>
      <c r="CO56" s="57">
        <f>IF(OR(AND(CC$6=1,$L56=0),AND(CC$6=2,$K56=2,$G56=1)),0,IF(AND(CE$9=2,(OR($F56&gt;1,$K56=1,AND($L56=80,OR($N56=1,AND($N56=2,'#BerechnungDBE'!$AL47&gt;0)))))),IF(CC$4&gt;=$AD$126,0,CM56),IF(CE$9=3,IF(OR(CC$4&gt;=$AD$127,AND($G56=1,$J56=2,CC$6=2),AND(CC$6=1,$N56&lt;&gt;1)),0,IF(CG56&lt;=120,CM56,IF(CC$4&lt;$AD$124,IF($F56=1,60/CE$4*CE$6,60/CE$4*CE$7),IF($F56=1,120/CE$4*CE$6,120/CE$4*CE$7)))),IF(OR($F56=3,$G56=2),IF(OR(AND(CC$4&gt;=$AD$119,$C56=2),AND(CC$4&gt;=$AF$119,$C56=1)),0,IF(CG56&lt;=60,CM56,60/CE$4*CE$7)),IF(AND($F56=2,$G56=1),CM56,0)))))</f>
        <v>0</v>
      </c>
      <c r="CP56" s="57" t="str">
        <f t="shared" si="34"/>
        <v/>
      </c>
      <c r="CQ56" s="57" t="str">
        <f t="shared" si="380"/>
        <v/>
      </c>
      <c r="CR56" s="713">
        <f>'org. Düngung 22'!AB55</f>
        <v>0</v>
      </c>
      <c r="CS56" s="57"/>
      <c r="CT56" s="57"/>
      <c r="CU56" s="57">
        <f t="shared" si="36"/>
        <v>0</v>
      </c>
      <c r="CV56" s="57">
        <f t="shared" si="218"/>
        <v>0</v>
      </c>
      <c r="CW56" s="57">
        <f t="shared" si="219"/>
        <v>0</v>
      </c>
      <c r="CX56" s="57">
        <f t="shared" si="220"/>
        <v>0</v>
      </c>
      <c r="CY56" s="57">
        <f t="shared" si="221"/>
        <v>0</v>
      </c>
      <c r="CZ56" s="1029">
        <f t="shared" si="381"/>
        <v>0</v>
      </c>
      <c r="DA56" s="57">
        <f t="shared" si="382"/>
        <v>0</v>
      </c>
      <c r="DB56" s="171" t="str">
        <f t="shared" si="383"/>
        <v/>
      </c>
      <c r="DC56" s="57">
        <f t="shared" si="222"/>
        <v>0</v>
      </c>
      <c r="DD56" s="57">
        <f>IF(OR(AND(CR$6=1,$L56=0),AND(CR$6=2,$K56=2,$G56=1)),0,IF(AND(CT$9=2,(OR($F56&gt;1,$K56=1,AND($L56=80,OR($N56=1,AND($N56=2,'#BerechnungDBE'!$AL47&gt;0)))))),IF(CR$4&gt;=$AD$126,0,DB56),IF(CT$9=3,IF(OR(CR$4&gt;=$AD$127,AND($G56=1,$J56=2,CR$6=2),AND(CR$6=1,$N56&lt;&gt;1)),0,IF(CV56&lt;=120,DB56,IF(CR$4&lt;$AD$124,IF($F56=1,60/CT$4*CT$6,60/CT$4*CT$7),IF($F56=1,120/CT$4*CT$6,120/CT$4*CT$7)))),IF(OR($F56=3,$G56=2),IF(OR(AND(CR$4&gt;=$AD$119,$C56=2),AND(CR$4&gt;=$AF$119,$C56=1)),0,IF(CV56&lt;=60,DB56,60/CT$4*CT$7)),IF(AND($F56=2,$G56=1),DB56,0)))))</f>
        <v>0</v>
      </c>
      <c r="DE56" s="57" t="str">
        <f t="shared" si="40"/>
        <v/>
      </c>
      <c r="DF56" s="57" t="str">
        <f t="shared" si="384"/>
        <v/>
      </c>
      <c r="DG56" s="713">
        <f>'org. Düngung 22'!AF55</f>
        <v>0</v>
      </c>
      <c r="DH56" s="57"/>
      <c r="DI56" s="57"/>
      <c r="DJ56" s="57">
        <f t="shared" si="42"/>
        <v>0</v>
      </c>
      <c r="DK56" s="57">
        <f t="shared" si="223"/>
        <v>0</v>
      </c>
      <c r="DL56" s="57">
        <f t="shared" si="224"/>
        <v>0</v>
      </c>
      <c r="DM56" s="57">
        <f t="shared" si="225"/>
        <v>0</v>
      </c>
      <c r="DN56" s="57">
        <f t="shared" si="226"/>
        <v>0</v>
      </c>
      <c r="DO56" s="1029">
        <f t="shared" si="385"/>
        <v>0</v>
      </c>
      <c r="DP56" s="57">
        <f t="shared" si="386"/>
        <v>0</v>
      </c>
      <c r="DQ56" s="171" t="str">
        <f t="shared" si="387"/>
        <v/>
      </c>
      <c r="DR56" s="57">
        <f t="shared" si="227"/>
        <v>0</v>
      </c>
      <c r="DS56" s="57">
        <f>IF(OR(AND(DG$6=1,$L56=0),AND(DG$6=2,$K56=2,$G56=1)),0,IF(AND(DI$9=2,(OR($F56&gt;1,$K56=1,AND($L56=80,OR($N56=1,AND($N56=2,'#BerechnungDBE'!$AL47&gt;0)))))),IF(DG$4&gt;=$AD$126,0,DQ56),IF(DI$9=3,IF(OR(DG$4&gt;=$AD$127,AND($G56=1,$J56=2,DG$6=2),AND(DG$6=1,$N56&lt;&gt;1)),0,IF(DK56&lt;=120,DQ56,IF(DG$4&lt;$AD$124,IF($F56=1,60/DI$4*DI$6,60/DI$4*DI$7),IF($F56=1,120/DI$4*DI$6,120/DI$4*DI$7)))),IF(OR($F56=3,$G56=2),IF(OR(AND(DG$4&gt;=$AD$119,$C56=2),AND(DG$4&gt;=$AF$119,$C56=1)),0,IF(DK56&lt;=60,DQ56,60/DI$4*DI$7)),IF(AND($F56=2,$G56=1),DQ56,0)))))</f>
        <v>0</v>
      </c>
      <c r="DT56" s="57" t="str">
        <f t="shared" si="46"/>
        <v/>
      </c>
      <c r="DU56" s="57" t="str">
        <f t="shared" si="388"/>
        <v/>
      </c>
      <c r="DV56" s="713">
        <f>'org. Düngung 22'!AJ55</f>
        <v>0</v>
      </c>
      <c r="DW56" s="57"/>
      <c r="DX56" s="57"/>
      <c r="DY56" s="57">
        <f t="shared" si="48"/>
        <v>0</v>
      </c>
      <c r="DZ56" s="57">
        <f t="shared" si="228"/>
        <v>0</v>
      </c>
      <c r="EA56" s="57">
        <f t="shared" si="229"/>
        <v>0</v>
      </c>
      <c r="EB56" s="57">
        <f t="shared" si="230"/>
        <v>0</v>
      </c>
      <c r="EC56" s="57">
        <f t="shared" si="231"/>
        <v>0</v>
      </c>
      <c r="ED56" s="1029">
        <f t="shared" si="389"/>
        <v>0</v>
      </c>
      <c r="EE56" s="57">
        <f t="shared" si="390"/>
        <v>0</v>
      </c>
      <c r="EF56" s="171" t="str">
        <f t="shared" si="391"/>
        <v/>
      </c>
      <c r="EG56" s="57">
        <f t="shared" si="232"/>
        <v>0</v>
      </c>
      <c r="EH56" s="57">
        <f>IF(OR(AND(DV$6=1,$L56=0),AND(DV$6=2,$K56=2,$G56=1)),0,IF(AND(DX$9=2,(OR($F56&gt;1,$K56=1,AND($L56=80,OR($N56=1,AND($N56=2,'#BerechnungDBE'!$AL47&gt;0)))))),IF(DV$4&gt;=$AD$126,0,EF56),IF(DX$9=3,IF(OR(DV$4&gt;=$AD$127,AND($G56=1,$J56=2,DV$6=2),AND(DV$6=1,$N56&lt;&gt;1)),0,IF(DZ56&lt;=120,EF56,IF(DV$4&lt;$AD$124,IF($F56=1,60/DX$4*DX$6,60/DX$4*DX$7),IF($F56=1,120/DX$4*DX$6,120/DX$4*DX$7)))),IF(OR($F56=3,$G56=2),IF(OR(AND(DV$4&gt;=$AD$119,$C56=2),AND(DV$4&gt;=$AF$119,$C56=1)),0,IF(DZ56&lt;=60,EF56,60/DX$4*DX$7)),IF(AND($F56=2,$G56=1),EF56,0)))))</f>
        <v>0</v>
      </c>
      <c r="EI56" s="57" t="str">
        <f t="shared" si="52"/>
        <v/>
      </c>
      <c r="EJ56" s="57" t="str">
        <f t="shared" si="392"/>
        <v/>
      </c>
      <c r="EK56" s="713">
        <f>'org. Düngung 22'!AN55</f>
        <v>0</v>
      </c>
      <c r="EL56" s="57"/>
      <c r="EM56" s="57"/>
      <c r="EN56" s="57">
        <f t="shared" si="54"/>
        <v>0</v>
      </c>
      <c r="EO56" s="57">
        <f t="shared" si="233"/>
        <v>0</v>
      </c>
      <c r="EP56" s="57">
        <f t="shared" si="234"/>
        <v>0</v>
      </c>
      <c r="EQ56" s="57">
        <f t="shared" si="235"/>
        <v>0</v>
      </c>
      <c r="ER56" s="57">
        <f t="shared" si="236"/>
        <v>0</v>
      </c>
      <c r="ES56" s="1029">
        <f t="shared" si="393"/>
        <v>0</v>
      </c>
      <c r="ET56" s="57">
        <f t="shared" si="394"/>
        <v>0</v>
      </c>
      <c r="EU56" s="171" t="str">
        <f t="shared" si="395"/>
        <v/>
      </c>
      <c r="EV56" s="57">
        <f t="shared" si="237"/>
        <v>0</v>
      </c>
      <c r="EW56" s="57">
        <f>IF(OR(AND(EK$6=1,$L56=0),AND(EK$6=2,$K56=2,$G56=1)),0,IF(AND(EM$9=2,(OR($F56&gt;1,$K56=1,AND($L56=80,OR($N56=1,AND($N56=2,'#BerechnungDBE'!$AL47&gt;0)))))),IF(EK$4&gt;=$AD$126,0,EU56),IF(EM$9=3,IF(OR(EK$4&gt;=$AD$127,AND($G56=1,$J56=2,EK$6=2),AND(EK$6=1,$N56&lt;&gt;1)),0,IF(EO56&lt;=120,EU56,IF(EK$4&lt;$AD$124,IF($F56=1,60/EM$4*EM$6,60/EM$4*EM$7),IF($F56=1,120/EM$4*EM$6,120/EM$4*EM$7)))),IF(OR($F56=3,$G56=2),IF(OR(AND(EK$4&gt;=$AD$119,$C56=2),AND(EK$4&gt;=$AF$119,$C56=1)),0,IF(EO56&lt;=60,EU56,60/EM$4*EM$7)),IF(AND($F56=2,$G56=1),EU56,0)))))</f>
        <v>0</v>
      </c>
      <c r="EX56" s="57" t="str">
        <f t="shared" si="58"/>
        <v/>
      </c>
      <c r="EY56" s="57" t="str">
        <f t="shared" si="396"/>
        <v/>
      </c>
      <c r="EZ56" s="713">
        <f>'org. Düngung 22'!AR55</f>
        <v>0</v>
      </c>
      <c r="FA56" s="57"/>
      <c r="FB56" s="57"/>
      <c r="FC56" s="57">
        <f t="shared" si="60"/>
        <v>0</v>
      </c>
      <c r="FD56" s="57">
        <f t="shared" si="238"/>
        <v>0</v>
      </c>
      <c r="FE56" s="57">
        <f t="shared" si="239"/>
        <v>0</v>
      </c>
      <c r="FF56" s="57">
        <f t="shared" si="240"/>
        <v>0</v>
      </c>
      <c r="FG56" s="57">
        <f t="shared" si="241"/>
        <v>0</v>
      </c>
      <c r="FH56" s="1029">
        <f t="shared" si="397"/>
        <v>0</v>
      </c>
      <c r="FI56" s="57">
        <f t="shared" si="398"/>
        <v>0</v>
      </c>
      <c r="FJ56" s="171" t="str">
        <f t="shared" si="399"/>
        <v/>
      </c>
      <c r="FK56" s="57">
        <f t="shared" si="242"/>
        <v>0</v>
      </c>
      <c r="FL56" s="57">
        <f>IF(OR(AND(EZ$6=1,$L56=0),AND(EZ$6=2,$K56=2,$G56=1)),0,IF(AND(FB$9=2,(OR($F56&gt;1,$K56=1,AND($L56=80,OR($N56=1,AND($N56=2,'#BerechnungDBE'!$AL47&gt;0)))))),IF(EZ$4&gt;=$AD$126,0,FJ56),IF(FB$9=3,IF(OR(EZ$4&gt;=$AD$127,AND($G56=1,$J56=2,EZ$6=2),AND(EZ$6=1,$N56&lt;&gt;1)),0,IF(FD56&lt;=120,FJ56,IF(EZ$4&lt;$AD$124,IF($F56=1,60/FB$4*FB$6,60/FB$4*FB$7),IF($F56=1,120/FB$4*FB$6,120/FB$4*FB$7)))),IF(OR($F56=3,$G56=2),IF(OR(AND(EZ$4&gt;=$AD$119,$C56=2),AND(EZ$4&gt;=$AF$119,$C56=1)),0,IF(FD56&lt;=60,FJ56,60/FB$4*FB$7)),IF(AND($F56=2,$G56=1),FJ56,0)))))</f>
        <v>0</v>
      </c>
      <c r="FM56" s="57" t="str">
        <f t="shared" si="64"/>
        <v/>
      </c>
      <c r="FN56" s="57" t="str">
        <f t="shared" si="400"/>
        <v/>
      </c>
      <c r="FO56" s="713">
        <f>'org. Düngung 22'!AV55</f>
        <v>0</v>
      </c>
      <c r="FP56" s="57"/>
      <c r="FQ56" s="57"/>
      <c r="FR56" s="57">
        <f t="shared" si="66"/>
        <v>0</v>
      </c>
      <c r="FS56" s="57">
        <f t="shared" si="243"/>
        <v>0</v>
      </c>
      <c r="FT56" s="57">
        <f t="shared" si="244"/>
        <v>0</v>
      </c>
      <c r="FU56" s="57">
        <f t="shared" si="245"/>
        <v>0</v>
      </c>
      <c r="FV56" s="57">
        <f t="shared" si="246"/>
        <v>0</v>
      </c>
      <c r="FW56" s="1029">
        <f t="shared" si="401"/>
        <v>0</v>
      </c>
      <c r="FX56" s="57">
        <f t="shared" si="402"/>
        <v>0</v>
      </c>
      <c r="FY56" s="171" t="str">
        <f t="shared" si="403"/>
        <v/>
      </c>
      <c r="FZ56" s="57">
        <f t="shared" si="247"/>
        <v>0</v>
      </c>
      <c r="GA56" s="57">
        <f>IF(OR(AND(FO$6=1,$L56=0),AND(FO$6=2,$K56=2,$G56=1)),0,IF(AND(FQ$9=2,(OR($F56&gt;1,$K56=1,AND($L56=80,OR($N56=1,AND($N56=2,'#BerechnungDBE'!$AL47&gt;0)))))),IF(FO$4&gt;=$AD$126,0,FY56),IF(FQ$9=3,IF(OR(FO$4&gt;=$AD$127,AND($G56=1,$J56=2,FO$6=2),AND(FO$6=1,$N56&lt;&gt;1)),0,IF(FS56&lt;=120,FY56,IF(FO$4&lt;$AD$124,IF($F56=1,60/FQ$4*FQ$6,60/FQ$4*FQ$7),IF($F56=1,120/FQ$4*FQ$6,120/FQ$4*FQ$7)))),IF(OR($F56=3,$G56=2),IF(OR(AND(FO$4&gt;=$AD$119,$C56=2),AND(FO$4&gt;=$AF$119,$C56=1)),0,IF(FS56&lt;=60,FY56,60/FQ$4*FQ$7)),IF(AND($F56=2,$G56=1),FY56,0)))))</f>
        <v>0</v>
      </c>
      <c r="GB56" s="57" t="str">
        <f t="shared" si="70"/>
        <v/>
      </c>
      <c r="GC56" s="57" t="str">
        <f t="shared" si="404"/>
        <v/>
      </c>
      <c r="GD56" s="713">
        <f>'org. Düngung 22'!AZ55</f>
        <v>0</v>
      </c>
      <c r="GE56" s="57"/>
      <c r="GF56" s="57"/>
      <c r="GG56" s="57">
        <f t="shared" si="72"/>
        <v>0</v>
      </c>
      <c r="GH56" s="57">
        <f t="shared" si="248"/>
        <v>0</v>
      </c>
      <c r="GI56" s="57">
        <f t="shared" si="249"/>
        <v>0</v>
      </c>
      <c r="GJ56" s="57">
        <f t="shared" si="250"/>
        <v>0</v>
      </c>
      <c r="GK56" s="57">
        <f t="shared" si="251"/>
        <v>0</v>
      </c>
      <c r="GL56" s="1029">
        <f t="shared" si="405"/>
        <v>0</v>
      </c>
      <c r="GM56" s="57">
        <f t="shared" si="406"/>
        <v>0</v>
      </c>
      <c r="GN56" s="171" t="str">
        <f t="shared" si="407"/>
        <v/>
      </c>
      <c r="GO56" s="57">
        <f t="shared" si="252"/>
        <v>0</v>
      </c>
      <c r="GP56" s="57">
        <f>IF(OR(AND(GD$6=1,$L56=0),AND(GD$6=2,$K56=2,$G56=1)),0,IF(AND(GF$9=2,(OR($F56&gt;1,$K56=1,AND($L56=80,OR($N56=1,AND($N56=2,'#BerechnungDBE'!$AL47&gt;0)))))),IF(GD$4&gt;=$AD$126,0,GN56),IF(GF$9=3,IF(OR(GD$4&gt;=$AD$127,AND($G56=1,$J56=2,GD$6=2),AND(GD$6=1,$N56&lt;&gt;1)),0,IF(GH56&lt;=120,GN56,IF(GD$4&lt;$AD$124,IF($F56=1,60/GF$4*GF$6,60/GF$4*GF$7),IF($F56=1,120/GF$4*GF$6,120/GF$4*GF$7)))),IF(OR($F56=3,$G56=2),IF(OR(AND(GD$4&gt;=$AD$119,$C56=2),AND(GD$4&gt;=$AF$119,$C56=1)),0,IF(GH56&lt;=60,GN56,60/GF$4*GF$7)),IF(AND($F56=2,$G56=1),GN56,0)))))</f>
        <v>0</v>
      </c>
      <c r="GQ56" s="57" t="str">
        <f t="shared" si="76"/>
        <v/>
      </c>
      <c r="GR56" s="57" t="str">
        <f t="shared" si="408"/>
        <v/>
      </c>
      <c r="GS56" s="713">
        <f>'org. Düngung 22'!BD55</f>
        <v>0</v>
      </c>
      <c r="GT56" s="57"/>
      <c r="GU56" s="57"/>
      <c r="GV56" s="57">
        <f t="shared" si="78"/>
        <v>0</v>
      </c>
      <c r="GW56" s="57">
        <f t="shared" si="253"/>
        <v>0</v>
      </c>
      <c r="GX56" s="57">
        <f t="shared" si="254"/>
        <v>0</v>
      </c>
      <c r="GY56" s="57">
        <f t="shared" si="255"/>
        <v>0</v>
      </c>
      <c r="GZ56" s="57">
        <f t="shared" si="256"/>
        <v>0</v>
      </c>
      <c r="HA56" s="1029">
        <f t="shared" si="409"/>
        <v>0</v>
      </c>
      <c r="HB56" s="57">
        <f t="shared" si="410"/>
        <v>0</v>
      </c>
      <c r="HC56" s="171" t="str">
        <f t="shared" si="411"/>
        <v/>
      </c>
      <c r="HD56" s="57">
        <f t="shared" si="257"/>
        <v>0</v>
      </c>
      <c r="HE56" s="57">
        <f>IF(OR(AND(GS$6=1,$L56=0),AND(GS$6=2,$K56=2,$G56=1)),0,IF(AND(GU$9=2,(OR($F56&gt;1,$K56=1,AND($L56=80,OR($N56=1,AND($N56=2,'#BerechnungDBE'!$AL47&gt;0)))))),IF(GS$4&gt;=$AD$126,0,HC56),IF(GU$9=3,IF(OR(GS$4&gt;=$AD$127,AND($G56=1,$J56=2,GS$6=2),AND(GS$6=1,$N56&lt;&gt;1)),0,IF(GW56&lt;=120,HC56,IF(GS$4&lt;$AD$124,IF($F56=1,60/GU$4*GU$6,60/GU$4*GU$7),IF($F56=1,120/GU$4*GU$6,120/GU$4*GU$7)))),IF(OR($F56=3,$G56=2),IF(OR(AND(GS$4&gt;=$AD$119,$C56=2),AND(GS$4&gt;=$AF$119,$C56=1)),0,IF(GW56&lt;=60,HC56,60/GU$4*GU$7)),IF(AND($F56=2,$G56=1),HC56,0)))))</f>
        <v>0</v>
      </c>
      <c r="HF56" s="57" t="str">
        <f t="shared" si="82"/>
        <v/>
      </c>
      <c r="HG56" s="57" t="str">
        <f t="shared" si="412"/>
        <v/>
      </c>
      <c r="HH56" s="713">
        <f>'org. Düngung 22'!BH55</f>
        <v>0</v>
      </c>
      <c r="HI56" s="57"/>
      <c r="HJ56" s="57"/>
      <c r="HK56" s="57">
        <f t="shared" si="84"/>
        <v>0</v>
      </c>
      <c r="HL56" s="57">
        <f t="shared" si="258"/>
        <v>0</v>
      </c>
      <c r="HM56" s="57">
        <f t="shared" si="259"/>
        <v>0</v>
      </c>
      <c r="HN56" s="57">
        <f t="shared" si="260"/>
        <v>0</v>
      </c>
      <c r="HO56" s="57">
        <f t="shared" si="261"/>
        <v>0</v>
      </c>
      <c r="HP56" s="1029">
        <f t="shared" si="413"/>
        <v>0</v>
      </c>
      <c r="HQ56" s="57">
        <f t="shared" si="414"/>
        <v>0</v>
      </c>
      <c r="HR56" s="171" t="str">
        <f t="shared" si="415"/>
        <v/>
      </c>
      <c r="HS56" s="57">
        <f t="shared" si="262"/>
        <v>0</v>
      </c>
      <c r="HT56" s="57">
        <f>IF(OR(AND(HH$6=1,$L56=0),AND(HH$6=2,$K56=2,$G56=1)),0,IF(AND(HJ$9=2,(OR($F56&gt;1,$K56=1,AND($L56=80,OR($N56=1,AND($N56=2,'#BerechnungDBE'!$AL47&gt;0)))))),IF(HH$4&gt;=$AD$126,0,HR56),IF(HJ$9=3,IF(OR(HH$4&gt;=$AD$127,AND($G56=1,$J56=2,HH$6=2),AND(HH$6=1,$N56&lt;&gt;1)),0,IF(HL56&lt;=120,HR56,IF(HH$4&lt;$AD$124,IF($F56=1,60/HJ$4*HJ$6,60/HJ$4*HJ$7),IF($F56=1,120/HJ$4*HJ$6,120/HJ$4*HJ$7)))),IF(OR($F56=3,$G56=2),IF(OR(AND(HH$4&gt;=$AD$119,$C56=2),AND(HH$4&gt;=$AF$119,$C56=1)),0,IF(HL56&lt;=60,HR56,60/HJ$4*HJ$7)),IF(AND($F56=2,$G56=1),HR56,0)))))</f>
        <v>0</v>
      </c>
      <c r="HU56" s="57" t="str">
        <f t="shared" si="88"/>
        <v/>
      </c>
      <c r="HV56" s="57" t="str">
        <f t="shared" si="416"/>
        <v/>
      </c>
      <c r="HW56" s="713">
        <f>'org. Düngung 22'!BL55</f>
        <v>0</v>
      </c>
      <c r="HX56" s="57"/>
      <c r="HY56" s="57"/>
      <c r="HZ56" s="57">
        <f t="shared" si="90"/>
        <v>0</v>
      </c>
      <c r="IA56" s="57">
        <f t="shared" si="263"/>
        <v>0</v>
      </c>
      <c r="IB56" s="57">
        <f t="shared" si="264"/>
        <v>0</v>
      </c>
      <c r="IC56" s="57">
        <f t="shared" si="265"/>
        <v>0</v>
      </c>
      <c r="ID56" s="57">
        <f t="shared" si="266"/>
        <v>0</v>
      </c>
      <c r="IE56" s="1029">
        <f t="shared" si="417"/>
        <v>0</v>
      </c>
      <c r="IF56" s="57">
        <f t="shared" si="418"/>
        <v>0</v>
      </c>
      <c r="IG56" s="171" t="str">
        <f t="shared" si="419"/>
        <v/>
      </c>
      <c r="IH56" s="57">
        <f t="shared" si="267"/>
        <v>0</v>
      </c>
      <c r="II56" s="57">
        <f>IF(OR(AND(HW$6=1,$L56=0),AND(HW$6=2,$K56=2,$G56=1)),0,IF(AND(HY$9=2,(OR($F56&gt;1,$K56=1,AND($L56=80,OR($N56=1,AND($N56=2,'#BerechnungDBE'!$AL47&gt;0)))))),IF(HW$4&gt;=$AD$126,0,IG56),IF(HY$9=3,IF(OR(HW$4&gt;=$AD$127,AND($G56=1,$J56=2,HW$6=2),AND(HW$6=1,$N56&lt;&gt;1)),0,IF(IA56&lt;=120,IG56,IF(HW$4&lt;$AD$124,IF($F56=1,60/HY$4*HY$6,60/HY$4*HY$7),IF($F56=1,120/HY$4*HY$6,120/HY$4*HY$7)))),IF(OR($F56=3,$G56=2),IF(OR(AND(HW$4&gt;=$AD$119,$C56=2),AND(HW$4&gt;=$AF$119,$C56=1)),0,IF(IA56&lt;=60,IG56,60/HY$4*HY$7)),IF(AND($F56=2,$G56=1),IG56,0)))))</f>
        <v>0</v>
      </c>
      <c r="IJ56" s="57" t="str">
        <f t="shared" si="94"/>
        <v/>
      </c>
      <c r="IK56" s="57" t="str">
        <f t="shared" si="420"/>
        <v/>
      </c>
      <c r="IL56" s="713">
        <f>'org. Düngung 22'!BP55</f>
        <v>0</v>
      </c>
      <c r="IM56" s="57"/>
      <c r="IN56" s="57"/>
      <c r="IO56" s="57">
        <f t="shared" si="96"/>
        <v>0</v>
      </c>
      <c r="IP56" s="57">
        <f t="shared" si="268"/>
        <v>0</v>
      </c>
      <c r="IQ56" s="57">
        <f t="shared" si="269"/>
        <v>0</v>
      </c>
      <c r="IR56" s="57">
        <f t="shared" si="270"/>
        <v>0</v>
      </c>
      <c r="IS56" s="57">
        <f t="shared" si="271"/>
        <v>0</v>
      </c>
      <c r="IT56" s="1029">
        <f t="shared" si="421"/>
        <v>0</v>
      </c>
      <c r="IU56" s="57">
        <f t="shared" si="422"/>
        <v>0</v>
      </c>
      <c r="IV56" s="171" t="str">
        <f t="shared" si="423"/>
        <v/>
      </c>
      <c r="IW56" s="57">
        <f t="shared" si="272"/>
        <v>0</v>
      </c>
      <c r="IX56" s="57">
        <f>IF(OR(AND(IL$6=1,$L56=0),AND(IL$6=2,$K56=2,$G56=1)),0,IF(AND(IN$9=2,(OR($F56&gt;1,$K56=1,AND($L56=80,OR($N56=1,AND($N56=2,'#BerechnungDBE'!$AL47&gt;0)))))),IF(IL$4&gt;=$AD$126,0,IV56),IF(IN$9=3,IF(OR(IL$4&gt;=$AD$127,AND($G56=1,$J56=2,IL$6=2),AND(IL$6=1,$N56&lt;&gt;1)),0,IF(IP56&lt;=120,IV56,IF(IL$4&lt;$AD$124,IF($F56=1,60/IN$4*IN$6,60/IN$4*IN$7),IF($F56=1,120/IN$4*IN$6,120/IN$4*IN$7)))),IF(OR($F56=3,$G56=2),IF(OR(AND(IL$4&gt;=$AD$119,$C56=2),AND(IL$4&gt;=$AF$119,$C56=1)),0,IF(IP56&lt;=60,IV56,60/IN$4*IN$7)),IF(AND($F56=2,$G56=1),IV56,0)))))</f>
        <v>0</v>
      </c>
      <c r="IY56" s="57" t="str">
        <f t="shared" si="100"/>
        <v/>
      </c>
      <c r="IZ56" s="57" t="str">
        <f t="shared" si="424"/>
        <v/>
      </c>
      <c r="JA56" s="713">
        <f>'org. Düngung 22'!BT55</f>
        <v>0</v>
      </c>
      <c r="JB56" s="57"/>
      <c r="JC56" s="57"/>
      <c r="JD56" s="57">
        <f t="shared" si="102"/>
        <v>0</v>
      </c>
      <c r="JE56" s="57">
        <f t="shared" si="273"/>
        <v>0</v>
      </c>
      <c r="JF56" s="57">
        <f t="shared" si="274"/>
        <v>0</v>
      </c>
      <c r="JG56" s="57">
        <f t="shared" si="275"/>
        <v>0</v>
      </c>
      <c r="JH56" s="57">
        <f t="shared" si="276"/>
        <v>0</v>
      </c>
      <c r="JI56" s="1029">
        <f t="shared" si="425"/>
        <v>0</v>
      </c>
      <c r="JJ56" s="57">
        <f t="shared" si="426"/>
        <v>0</v>
      </c>
      <c r="JK56" s="171" t="str">
        <f t="shared" si="427"/>
        <v/>
      </c>
      <c r="JL56" s="57">
        <f t="shared" si="277"/>
        <v>0</v>
      </c>
      <c r="JM56" s="57">
        <f>IF(OR(AND(JA$6=1,$L56=0),AND(JA$6=2,$K56=2,$G56=1)),0,IF(AND(JC$9=2,(OR($F56&gt;1,$K56=1,AND($L56=80,OR($N56=1,AND($N56=2,'#BerechnungDBE'!$AL47&gt;0)))))),IF(JA$4&gt;=$AD$126,0,JK56),IF(JC$9=3,IF(OR(JA$4&gt;=$AD$127,AND($G56=1,$J56=2,JA$6=2),AND(JA$6=1,$N56&lt;&gt;1)),0,IF(JE56&lt;=120,JK56,IF(JA$4&lt;$AD$124,IF($F56=1,60/JC$4*JC$6,60/JC$4*JC$7),IF($F56=1,120/JC$4*JC$6,120/JC$4*JC$7)))),IF(OR($F56=3,$G56=2),IF(OR(AND(JA$4&gt;=$AD$119,$C56=2),AND(JA$4&gt;=$AF$119,$C56=1)),0,IF(JE56&lt;=60,JK56,60/JC$4*JC$7)),IF(AND($F56=2,$G56=1),JK56,0)))))</f>
        <v>0</v>
      </c>
      <c r="JN56" s="57" t="str">
        <f t="shared" si="106"/>
        <v/>
      </c>
      <c r="JO56" s="57" t="str">
        <f t="shared" si="428"/>
        <v/>
      </c>
      <c r="JP56" s="713">
        <f>'org. Düngung 22'!BX55</f>
        <v>0</v>
      </c>
      <c r="JQ56" s="57"/>
      <c r="JR56" s="57"/>
      <c r="JS56" s="57">
        <f t="shared" si="108"/>
        <v>0</v>
      </c>
      <c r="JT56" s="57">
        <f t="shared" si="278"/>
        <v>0</v>
      </c>
      <c r="JU56" s="57">
        <f t="shared" si="279"/>
        <v>0</v>
      </c>
      <c r="JV56" s="57">
        <f t="shared" si="280"/>
        <v>0</v>
      </c>
      <c r="JW56" s="57">
        <f t="shared" si="281"/>
        <v>0</v>
      </c>
      <c r="JX56" s="1029">
        <f t="shared" si="429"/>
        <v>0</v>
      </c>
      <c r="JY56" s="57">
        <f t="shared" si="430"/>
        <v>0</v>
      </c>
      <c r="JZ56" s="171" t="str">
        <f t="shared" si="431"/>
        <v/>
      </c>
      <c r="KA56" s="57">
        <f t="shared" si="282"/>
        <v>0</v>
      </c>
      <c r="KB56" s="57">
        <f>IF(OR(AND(JP$6=1,$L56=0),AND(JP$6=2,$K56=2,$G56=1)),0,IF(AND(JR$9=2,(OR($F56&gt;1,$K56=1,AND($L56=80,OR($N56=1,AND($N56=2,'#BerechnungDBE'!$AL47&gt;0)))))),IF(JP$4&gt;=$AD$126,0,JZ56),IF(JR$9=3,IF(OR(JP$4&gt;=$AD$127,AND($G56=1,$J56=2,JP$6=2),AND(JP$6=1,$N56&lt;&gt;1)),0,IF(JT56&lt;=120,JZ56,IF(JP$4&lt;$AD$124,IF($F56=1,60/JR$4*JR$6,60/JR$4*JR$7),IF($F56=1,120/JR$4*JR$6,120/JR$4*JR$7)))),IF(OR($F56=3,$G56=2),IF(OR(AND(JP$4&gt;=$AD$119,$C56=2),AND(JP$4&gt;=$AF$119,$C56=1)),0,IF(JT56&lt;=60,JZ56,60/JR$4*JR$7)),IF(AND($F56=2,$G56=1),JZ56,0)))))</f>
        <v>0</v>
      </c>
      <c r="KC56" s="57" t="str">
        <f t="shared" si="112"/>
        <v/>
      </c>
      <c r="KD56" s="57" t="str">
        <f t="shared" si="432"/>
        <v/>
      </c>
      <c r="KE56" s="713">
        <f>'org. Düngung 22'!CB55</f>
        <v>0</v>
      </c>
      <c r="KF56" s="57"/>
      <c r="KG56" s="57"/>
      <c r="KH56" s="57">
        <f t="shared" si="114"/>
        <v>0</v>
      </c>
      <c r="KI56" s="57">
        <f t="shared" si="283"/>
        <v>0</v>
      </c>
      <c r="KJ56" s="57">
        <f t="shared" si="284"/>
        <v>0</v>
      </c>
      <c r="KK56" s="57">
        <f t="shared" si="285"/>
        <v>0</v>
      </c>
      <c r="KL56" s="57">
        <f t="shared" si="286"/>
        <v>0</v>
      </c>
      <c r="KM56" s="1029">
        <f t="shared" si="433"/>
        <v>0</v>
      </c>
      <c r="KN56" s="57">
        <f t="shared" si="434"/>
        <v>0</v>
      </c>
      <c r="KO56" s="171" t="str">
        <f t="shared" si="435"/>
        <v/>
      </c>
      <c r="KP56" s="57">
        <f t="shared" si="287"/>
        <v>0</v>
      </c>
      <c r="KQ56" s="57">
        <f>IF(OR(AND(KE$6=1,$L56=0),AND(KE$6=2,$K56=2,$G56=1)),0,IF(AND(KG$9=2,(OR($F56&gt;1,$K56=1,AND($L56=80,OR($N56=1,AND($N56=2,'#BerechnungDBE'!$AL47&gt;0)))))),IF(KE$4&gt;=$AD$126,0,KO56),IF(KG$9=3,IF(OR(KE$4&gt;=$AD$127,AND($G56=1,$J56=2,KE$6=2),AND(KE$6=1,$N56&lt;&gt;1)),0,IF(KI56&lt;=120,KO56,IF(KE$4&lt;$AD$124,IF($F56=1,60/KG$4*KG$6,60/KG$4*KG$7),IF($F56=1,120/KG$4*KG$6,120/KG$4*KG$7)))),IF(OR($F56=3,$G56=2),IF(OR(AND(KE$4&gt;=$AD$119,$C56=2),AND(KE$4&gt;=$AF$119,$C56=1)),0,IF(KI56&lt;=60,KO56,60/KG$4*KG$7)),IF(AND($F56=2,$G56=1),KO56,0)))))</f>
        <v>0</v>
      </c>
      <c r="KR56" s="57" t="str">
        <f t="shared" si="118"/>
        <v/>
      </c>
      <c r="KS56" s="57" t="str">
        <f t="shared" si="436"/>
        <v/>
      </c>
      <c r="KT56" s="713">
        <f>'org. Düngung 22'!CF55</f>
        <v>0</v>
      </c>
      <c r="KU56" s="57"/>
      <c r="KV56" s="57"/>
      <c r="KW56" s="57">
        <f t="shared" si="120"/>
        <v>0</v>
      </c>
      <c r="KX56" s="57">
        <f t="shared" si="288"/>
        <v>0</v>
      </c>
      <c r="KY56" s="57">
        <f t="shared" si="289"/>
        <v>0</v>
      </c>
      <c r="KZ56" s="57">
        <f t="shared" si="290"/>
        <v>0</v>
      </c>
      <c r="LA56" s="57">
        <f t="shared" si="291"/>
        <v>0</v>
      </c>
      <c r="LB56" s="1029">
        <f t="shared" si="437"/>
        <v>0</v>
      </c>
      <c r="LC56" s="57">
        <f t="shared" si="438"/>
        <v>0</v>
      </c>
      <c r="LD56" s="171" t="str">
        <f t="shared" si="439"/>
        <v/>
      </c>
      <c r="LE56" s="57">
        <f t="shared" si="292"/>
        <v>0</v>
      </c>
      <c r="LF56" s="57">
        <f>IF(OR(AND(KT$6=1,$L56=0),AND(KT$6=2,$K56=2,$G56=1)),0,IF(AND(KV$9=2,(OR($F56&gt;1,$K56=1,AND($L56=80,OR($N56=1,AND($N56=2,'#BerechnungDBE'!$AL47&gt;0)))))),IF(KT$4&gt;=$AD$126,0,LD56),IF(KV$9=3,IF(OR(KT$4&gt;=$AD$127,AND($G56=1,$J56=2,KT$6=2),AND(KT$6=1,$N56&lt;&gt;1)),0,IF(KX56&lt;=120,LD56,IF(KT$4&lt;$AD$124,IF($F56=1,60/KV$4*KV$6,60/KV$4*KV$7),IF($F56=1,120/KV$4*KV$6,120/KV$4*KV$7)))),IF(OR($F56=3,$G56=2),IF(OR(AND(KT$4&gt;=$AD$119,$C56=2),AND(KT$4&gt;=$AF$119,$C56=1)),0,IF(KX56&lt;=60,LD56,60/KV$4*KV$7)),IF(AND($F56=2,$G56=1),LD56,0)))))</f>
        <v>0</v>
      </c>
      <c r="LG56" s="57" t="str">
        <f t="shared" si="124"/>
        <v/>
      </c>
      <c r="LH56" s="57" t="str">
        <f t="shared" si="440"/>
        <v/>
      </c>
      <c r="LI56" s="713">
        <f>'org. Düngung 22'!CJ55</f>
        <v>0</v>
      </c>
      <c r="LJ56" s="57"/>
      <c r="LK56" s="57"/>
      <c r="LL56" s="57">
        <f t="shared" si="126"/>
        <v>0</v>
      </c>
      <c r="LM56" s="57">
        <f t="shared" si="293"/>
        <v>0</v>
      </c>
      <c r="LN56" s="57">
        <f t="shared" si="294"/>
        <v>0</v>
      </c>
      <c r="LO56" s="57">
        <f t="shared" si="295"/>
        <v>0</v>
      </c>
      <c r="LP56" s="57">
        <f t="shared" si="296"/>
        <v>0</v>
      </c>
      <c r="LQ56" s="1029">
        <f t="shared" si="441"/>
        <v>0</v>
      </c>
      <c r="LR56" s="57">
        <f t="shared" si="442"/>
        <v>0</v>
      </c>
      <c r="LS56" s="171" t="str">
        <f t="shared" si="443"/>
        <v/>
      </c>
      <c r="LT56" s="57">
        <f t="shared" si="297"/>
        <v>0</v>
      </c>
      <c r="LU56" s="57">
        <f>IF(OR(AND(LI$6=1,$L56=0),AND(LI$6=2,$K56=2,$G56=1)),0,IF(AND(LK$9=2,(OR($F56&gt;1,$K56=1,AND($L56=80,OR($N56=1,AND($N56=2,'#BerechnungDBE'!$AL47&gt;0)))))),IF(LI$4&gt;=$AD$126,0,LS56),IF(LK$9=3,IF(OR(LI$4&gt;=$AD$127,AND($G56=1,$J56=2,LI$6=2),AND(LI$6=1,$N56&lt;&gt;1)),0,IF(LM56&lt;=120,LS56,IF(LI$4&lt;$AD$124,IF($F56=1,60/LK$4*LK$6,60/LK$4*LK$7),IF($F56=1,120/LK$4*LK$6,120/LK$4*LK$7)))),IF(OR($F56=3,$G56=2),IF(OR(AND(LI$4&gt;=$AD$119,$C56=2),AND(LI$4&gt;=$AF$119,$C56=1)),0,IF(LM56&lt;=60,LS56,60/LK$4*LK$7)),IF(AND($F56=2,$G56=1),LS56,0)))))</f>
        <v>0</v>
      </c>
      <c r="LV56" s="57" t="str">
        <f t="shared" si="130"/>
        <v/>
      </c>
      <c r="LW56" s="57" t="str">
        <f t="shared" si="444"/>
        <v/>
      </c>
      <c r="LX56" s="713">
        <f>'org. Düngung 22'!CN55</f>
        <v>0</v>
      </c>
      <c r="LY56" s="57"/>
      <c r="LZ56" s="57"/>
      <c r="MA56" s="57">
        <f t="shared" si="132"/>
        <v>0</v>
      </c>
      <c r="MB56" s="57">
        <f t="shared" si="298"/>
        <v>0</v>
      </c>
      <c r="MC56" s="57">
        <f t="shared" si="299"/>
        <v>0</v>
      </c>
      <c r="MD56" s="57">
        <f t="shared" si="300"/>
        <v>0</v>
      </c>
      <c r="ME56" s="57">
        <f t="shared" si="301"/>
        <v>0</v>
      </c>
      <c r="MF56" s="1029">
        <f t="shared" si="445"/>
        <v>0</v>
      </c>
      <c r="MG56" s="57">
        <f t="shared" si="446"/>
        <v>0</v>
      </c>
      <c r="MH56" s="171" t="str">
        <f t="shared" si="447"/>
        <v/>
      </c>
      <c r="MI56" s="57">
        <f t="shared" si="302"/>
        <v>0</v>
      </c>
      <c r="MJ56" s="57">
        <f>IF(OR(AND(LX$6=1,$L56=0),AND(LX$6=2,$K56=2,$G56=1)),0,IF(AND(LZ$9=2,(OR($F56&gt;1,$K56=1,AND($L56=80,OR($N56=1,AND($N56=2,'#BerechnungDBE'!$AL47&gt;0)))))),IF(LX$4&gt;=$AD$126,0,MH56),IF(LZ$9=3,IF(OR(LX$4&gt;=$AD$127,AND($G56=1,$J56=2,LX$6=2),AND(LX$6=1,$N56&lt;&gt;1)),0,IF(MB56&lt;=120,MH56,IF(LX$4&lt;$AD$124,IF($F56=1,60/LZ$4*LZ$6,60/LZ$4*LZ$7),IF($F56=1,120/LZ$4*LZ$6,120/LZ$4*LZ$7)))),IF(OR($F56=3,$G56=2),IF(OR(AND(LX$4&gt;=$AD$119,$C56=2),AND(LX$4&gt;=$AF$119,$C56=1)),0,IF(MB56&lt;=60,MH56,60/LZ$4*LZ$7)),IF(AND($F56=2,$G56=1),MH56,0)))))</f>
        <v>0</v>
      </c>
      <c r="MK56" s="57" t="str">
        <f t="shared" si="136"/>
        <v/>
      </c>
      <c r="ML56" s="57" t="str">
        <f t="shared" si="448"/>
        <v/>
      </c>
      <c r="MM56" s="713">
        <f>'org. Düngung 22'!CR55</f>
        <v>0</v>
      </c>
      <c r="MN56" s="57"/>
      <c r="MO56" s="57"/>
      <c r="MP56" s="57">
        <f t="shared" si="138"/>
        <v>0</v>
      </c>
      <c r="MQ56" s="57">
        <f t="shared" si="303"/>
        <v>0</v>
      </c>
      <c r="MR56" s="57">
        <f t="shared" si="304"/>
        <v>0</v>
      </c>
      <c r="MS56" s="57">
        <f t="shared" si="305"/>
        <v>0</v>
      </c>
      <c r="MT56" s="57">
        <f t="shared" si="306"/>
        <v>0</v>
      </c>
      <c r="MU56" s="1029">
        <f t="shared" si="449"/>
        <v>0</v>
      </c>
      <c r="MV56" s="57">
        <f t="shared" si="450"/>
        <v>0</v>
      </c>
      <c r="MW56" s="171" t="str">
        <f t="shared" si="451"/>
        <v/>
      </c>
      <c r="MX56" s="57">
        <f t="shared" si="307"/>
        <v>0</v>
      </c>
      <c r="MY56" s="57">
        <f>IF(OR(AND(MM$6=1,$L56=0),AND(MM$6=2,$K56=2,$G56=1)),0,IF(AND(MO$9=2,(OR($F56&gt;1,$K56=1,AND($L56=80,OR($N56=1,AND($N56=2,'#BerechnungDBE'!$AL47&gt;0)))))),IF(MM$4&gt;=$AD$126,0,MW56),IF(MO$9=3,IF(OR(MM$4&gt;=$AD$127,AND($G56=1,$J56=2,MM$6=2),AND(MM$6=1,$N56&lt;&gt;1)),0,IF(MQ56&lt;=120,MW56,IF(MM$4&lt;$AD$124,IF($F56=1,60/MO$4*MO$6,60/MO$4*MO$7),IF($F56=1,120/MO$4*MO$6,120/MO$4*MO$7)))),IF(OR($F56=3,$G56=2),IF(OR(AND(MM$4&gt;=$AD$119,$C56=2),AND(MM$4&gt;=$AF$119,$C56=1)),0,IF(MQ56&lt;=60,MW56,60/MO$4*MO$7)),IF(AND($F56=2,$G56=1),MW56,0)))))</f>
        <v>0</v>
      </c>
      <c r="MZ56" s="57" t="str">
        <f t="shared" si="142"/>
        <v/>
      </c>
      <c r="NA56" s="57" t="str">
        <f t="shared" si="452"/>
        <v/>
      </c>
      <c r="NB56" s="713">
        <f>'org. Düngung 22'!CV55</f>
        <v>0</v>
      </c>
      <c r="NC56" s="57"/>
      <c r="ND56" s="57"/>
      <c r="NE56" s="57">
        <f t="shared" si="144"/>
        <v>0</v>
      </c>
      <c r="NF56" s="57">
        <f t="shared" si="308"/>
        <v>0</v>
      </c>
      <c r="NG56" s="57">
        <f t="shared" si="309"/>
        <v>0</v>
      </c>
      <c r="NH56" s="57">
        <f t="shared" si="310"/>
        <v>0</v>
      </c>
      <c r="NI56" s="57">
        <f t="shared" si="311"/>
        <v>0</v>
      </c>
      <c r="NJ56" s="1029">
        <f t="shared" si="453"/>
        <v>0</v>
      </c>
      <c r="NK56" s="57">
        <f t="shared" si="454"/>
        <v>0</v>
      </c>
      <c r="NL56" s="171" t="str">
        <f t="shared" si="455"/>
        <v/>
      </c>
      <c r="NM56" s="57">
        <f t="shared" si="312"/>
        <v>0</v>
      </c>
      <c r="NN56" s="57">
        <f>IF(OR(AND(NB$6=1,$L56=0),AND(NB$6=2,$K56=2,$G56=1)),0,IF(AND(ND$9=2,(OR($F56&gt;1,$K56=1,AND($L56=80,OR($N56=1,AND($N56=2,'#BerechnungDBE'!$AL47&gt;0)))))),IF(NB$4&gt;=$AD$126,0,NL56),IF(ND$9=3,IF(OR(NB$4&gt;=$AD$127,AND($G56=1,$J56=2,NB$6=2),AND(NB$6=1,$N56&lt;&gt;1)),0,IF(NF56&lt;=120,NL56,IF(NB$4&lt;$AD$124,IF($F56=1,60/ND$4*ND$6,60/ND$4*ND$7),IF($F56=1,120/ND$4*ND$6,120/ND$4*ND$7)))),IF(OR($F56=3,$G56=2),IF(OR(AND(NB$4&gt;=$AD$119,$C56=2),AND(NB$4&gt;=$AF$119,$C56=1)),0,IF(NF56&lt;=60,NL56,60/ND$4*ND$7)),IF(AND($F56=2,$G56=1),NL56,0)))))</f>
        <v>0</v>
      </c>
      <c r="NO56" s="57" t="str">
        <f t="shared" si="148"/>
        <v/>
      </c>
      <c r="NP56" s="57" t="str">
        <f t="shared" si="456"/>
        <v/>
      </c>
      <c r="NQ56" s="713">
        <f>'org. Düngung 22'!CZ55</f>
        <v>0</v>
      </c>
      <c r="NR56" s="57"/>
      <c r="NS56" s="57"/>
      <c r="NT56" s="57">
        <f t="shared" si="150"/>
        <v>0</v>
      </c>
      <c r="NU56" s="57">
        <f t="shared" si="313"/>
        <v>0</v>
      </c>
      <c r="NV56" s="57">
        <f t="shared" si="314"/>
        <v>0</v>
      </c>
      <c r="NW56" s="57">
        <f t="shared" si="315"/>
        <v>0</v>
      </c>
      <c r="NX56" s="57">
        <f t="shared" si="316"/>
        <v>0</v>
      </c>
      <c r="NY56" s="1029">
        <f t="shared" si="457"/>
        <v>0</v>
      </c>
      <c r="NZ56" s="57">
        <f t="shared" si="458"/>
        <v>0</v>
      </c>
      <c r="OA56" s="171" t="str">
        <f t="shared" si="459"/>
        <v/>
      </c>
      <c r="OB56" s="57">
        <f t="shared" si="317"/>
        <v>0</v>
      </c>
      <c r="OC56" s="57">
        <f>IF(OR(AND(NQ$6=1,$L56=0),AND(NQ$6=2,$K56=2,$G56=1)),0,IF(AND(NS$9=2,(OR($F56&gt;1,$K56=1,AND($L56=80,OR($N56=1,AND($N56=2,'#BerechnungDBE'!$AL47&gt;0)))))),IF(NQ$4&gt;=$AD$126,0,OA56),IF(NS$9=3,IF(OR(NQ$4&gt;=$AD$127,AND($G56=1,$J56=2,NQ$6=2),AND(NQ$6=1,$N56&lt;&gt;1)),0,IF(NU56&lt;=120,OA56,IF(NQ$4&lt;$AD$124,IF($F56=1,60/NS$4*NS$6,60/NS$4*NS$7),IF($F56=1,120/NS$4*NS$6,120/NS$4*NS$7)))),IF(OR($F56=3,$G56=2),IF(OR(AND(NQ$4&gt;=$AD$119,$C56=2),AND(NQ$4&gt;=$AF$119,$C56=1)),0,IF(NU56&lt;=60,OA56,60/NS$4*NS$7)),IF(AND($F56=2,$G56=1),OA56,0)))))</f>
        <v>0</v>
      </c>
      <c r="OD56" s="57" t="str">
        <f t="shared" si="154"/>
        <v/>
      </c>
      <c r="OE56" s="57" t="str">
        <f t="shared" si="460"/>
        <v/>
      </c>
      <c r="OF56" s="713">
        <f>'org. Düngung 22'!DD55</f>
        <v>0</v>
      </c>
      <c r="OG56" s="57"/>
      <c r="OH56" s="57"/>
      <c r="OI56" s="57">
        <f t="shared" si="156"/>
        <v>0</v>
      </c>
      <c r="OJ56" s="57">
        <f t="shared" si="318"/>
        <v>0</v>
      </c>
      <c r="OK56" s="57">
        <f t="shared" si="319"/>
        <v>0</v>
      </c>
      <c r="OL56" s="57">
        <f t="shared" si="320"/>
        <v>0</v>
      </c>
      <c r="OM56" s="57">
        <f t="shared" si="321"/>
        <v>0</v>
      </c>
      <c r="ON56" s="1029">
        <f t="shared" si="461"/>
        <v>0</v>
      </c>
      <c r="OO56" s="57">
        <f t="shared" si="462"/>
        <v>0</v>
      </c>
      <c r="OP56" s="171" t="str">
        <f t="shared" si="463"/>
        <v/>
      </c>
      <c r="OQ56" s="57">
        <f t="shared" si="322"/>
        <v>0</v>
      </c>
      <c r="OR56" s="57">
        <f>IF(OR(AND(OF$6=1,$L56=0),AND(OF$6=2,$K56=2,$G56=1)),0,IF(AND(OH$9=2,(OR($F56&gt;1,$K56=1,AND($L56=80,OR($N56=1,AND($N56=2,'#BerechnungDBE'!$AL47&gt;0)))))),IF(OF$4&gt;=$AD$126,0,OP56),IF(OH$9=3,IF(OR(OF$4&gt;=$AD$127,AND($G56=1,$J56=2,OF$6=2),AND(OF$6=1,$N56&lt;&gt;1)),0,IF(OJ56&lt;=120,OP56,IF(OF$4&lt;$AD$124,IF($F56=1,60/OH$4*OH$6,60/OH$4*OH$7),IF($F56=1,120/OH$4*OH$6,120/OH$4*OH$7)))),IF(OR($F56=3,$G56=2),IF(OR(AND(OF$4&gt;=$AD$119,$C56=2),AND(OF$4&gt;=$AF$119,$C56=1)),0,IF(OJ56&lt;=60,OP56,60/OH$4*OH$7)),IF(AND($F56=2,$G56=1),OP56,0)))))</f>
        <v>0</v>
      </c>
      <c r="OS56" s="57" t="str">
        <f t="shared" si="160"/>
        <v/>
      </c>
      <c r="OT56" s="57" t="str">
        <f t="shared" si="464"/>
        <v/>
      </c>
      <c r="OU56" s="713">
        <f>'org. Düngung 22'!DH55</f>
        <v>0</v>
      </c>
      <c r="OV56" s="57"/>
      <c r="OW56" s="57"/>
      <c r="OX56" s="57">
        <f t="shared" si="162"/>
        <v>0</v>
      </c>
      <c r="OY56" s="57">
        <f t="shared" si="323"/>
        <v>0</v>
      </c>
      <c r="OZ56" s="57">
        <f t="shared" si="324"/>
        <v>0</v>
      </c>
      <c r="PA56" s="57">
        <f t="shared" si="325"/>
        <v>0</v>
      </c>
      <c r="PB56" s="57">
        <f t="shared" si="326"/>
        <v>0</v>
      </c>
      <c r="PC56" s="1029">
        <f t="shared" si="465"/>
        <v>0</v>
      </c>
      <c r="PD56" s="57">
        <f t="shared" si="466"/>
        <v>0</v>
      </c>
      <c r="PE56" s="171" t="str">
        <f t="shared" si="467"/>
        <v/>
      </c>
      <c r="PF56" s="57">
        <f t="shared" si="327"/>
        <v>0</v>
      </c>
      <c r="PG56" s="57">
        <f>IF(OR(AND(OU$6=1,$L56=0),AND(OU$6=2,$K56=2,$G56=1)),0,IF(AND(OW$9=2,(OR($F56&gt;1,$K56=1,AND($L56=80,OR($N56=1,AND($N56=2,'#BerechnungDBE'!$AL47&gt;0)))))),IF(OU$4&gt;=$AD$126,0,PE56),IF(OW$9=3,IF(OR(OU$4&gt;=$AD$127,AND($G56=1,$J56=2,OU$6=2),AND(OU$6=1,$N56&lt;&gt;1)),0,IF(OY56&lt;=120,PE56,IF(OU$4&lt;$AD$124,IF($F56=1,60/OW$4*OW$6,60/OW$4*OW$7),IF($F56=1,120/OW$4*OW$6,120/OW$4*OW$7)))),IF(OR($F56=3,$G56=2),IF(OR(AND(OU$4&gt;=$AD$119,$C56=2),AND(OU$4&gt;=$AF$119,$C56=1)),0,IF(OY56&lt;=60,PE56,60/OW$4*OW$7)),IF(AND($F56=2,$G56=1),PE56,0)))))</f>
        <v>0</v>
      </c>
      <c r="PH56" s="57" t="str">
        <f t="shared" si="166"/>
        <v/>
      </c>
      <c r="PI56" s="57" t="str">
        <f t="shared" si="468"/>
        <v/>
      </c>
      <c r="PJ56" s="713">
        <f>'org. Düngung 22'!DL55</f>
        <v>0</v>
      </c>
      <c r="PK56" s="57"/>
      <c r="PL56" s="57"/>
      <c r="PM56" s="57">
        <f t="shared" si="168"/>
        <v>0</v>
      </c>
      <c r="PN56" s="57">
        <f t="shared" si="328"/>
        <v>0</v>
      </c>
      <c r="PO56" s="57">
        <f t="shared" si="329"/>
        <v>0</v>
      </c>
      <c r="PP56" s="57">
        <f t="shared" si="330"/>
        <v>0</v>
      </c>
      <c r="PQ56" s="57">
        <f t="shared" si="331"/>
        <v>0</v>
      </c>
      <c r="PR56" s="1029">
        <f t="shared" si="469"/>
        <v>0</v>
      </c>
      <c r="PS56" s="57">
        <f t="shared" si="470"/>
        <v>0</v>
      </c>
      <c r="PT56" s="171" t="str">
        <f t="shared" si="471"/>
        <v/>
      </c>
      <c r="PU56" s="57">
        <f t="shared" si="332"/>
        <v>0</v>
      </c>
      <c r="PV56" s="57">
        <f>IF(OR(AND(PJ$6=1,$L56=0),AND(PJ$6=2,$K56=2,$G56=1)),0,IF(AND(PL$9=2,(OR($F56&gt;1,$K56=1,AND($L56=80,OR($N56=1,AND($N56=2,'#BerechnungDBE'!$AL47&gt;0)))))),IF(PJ$4&gt;=$AD$126,0,PT56),IF(PL$9=3,IF(OR(PJ$4&gt;=$AD$127,AND($G56=1,$J56=2,PJ$6=2),AND(PJ$6=1,$N56&lt;&gt;1)),0,IF(PN56&lt;=120,PT56,IF(PJ$4&lt;$AD$124,IF($F56=1,60/PL$4*PL$6,60/PL$4*PL$7),IF($F56=1,120/PL$4*PL$6,120/PL$4*PL$7)))),IF(OR($F56=3,$G56=2),IF(OR(AND(PJ$4&gt;=$AD$119,$C56=2),AND(PJ$4&gt;=$AF$119,$C56=1)),0,IF(PN56&lt;=60,PT56,60/PL$4*PL$7)),IF(AND($F56=2,$G56=1),PT56,0)))))</f>
        <v>0</v>
      </c>
      <c r="PW56" s="57" t="str">
        <f t="shared" si="172"/>
        <v/>
      </c>
      <c r="PX56" s="57" t="str">
        <f t="shared" si="472"/>
        <v/>
      </c>
      <c r="PY56" s="713">
        <f>'org. Düngung 22'!DP55</f>
        <v>0</v>
      </c>
      <c r="PZ56" s="57"/>
      <c r="QA56" s="57"/>
      <c r="QB56" s="57">
        <f t="shared" si="174"/>
        <v>0</v>
      </c>
      <c r="QC56" s="57">
        <f t="shared" si="333"/>
        <v>0</v>
      </c>
      <c r="QD56" s="57">
        <f t="shared" si="334"/>
        <v>0</v>
      </c>
      <c r="QE56" s="57">
        <f t="shared" si="335"/>
        <v>0</v>
      </c>
      <c r="QF56" s="57">
        <f t="shared" si="336"/>
        <v>0</v>
      </c>
      <c r="QG56" s="1029">
        <f t="shared" si="473"/>
        <v>0</v>
      </c>
      <c r="QH56" s="57">
        <f t="shared" si="474"/>
        <v>0</v>
      </c>
      <c r="QI56" s="171" t="str">
        <f t="shared" si="475"/>
        <v/>
      </c>
      <c r="QJ56" s="57">
        <f t="shared" si="337"/>
        <v>0</v>
      </c>
      <c r="QK56" s="57">
        <f>IF(OR(AND(PY$6=1,$L56=0),AND(PY$6=2,$K56=2,$G56=1)),0,IF(AND(QA$9=2,(OR($F56&gt;1,$K56=1,AND($L56=80,OR($N56=1,AND($N56=2,'#BerechnungDBE'!$AL47&gt;0)))))),IF(PY$4&gt;=$AD$126,0,QI56),IF(QA$9=3,IF(OR(PY$4&gt;=$AD$127,AND($G56=1,$J56=2,PY$6=2),AND(PY$6=1,$N56&lt;&gt;1)),0,IF(QC56&lt;=120,QI56,IF(PY$4&lt;$AD$124,IF($F56=1,60/QA$4*QA$6,60/QA$4*QA$7),IF($F56=1,120/QA$4*QA$6,120/QA$4*QA$7)))),IF(OR($F56=3,$G56=2),IF(OR(AND(PY$4&gt;=$AD$119,$C56=2),AND(PY$4&gt;=$AF$119,$C56=1)),0,IF(QC56&lt;=60,QI56,60/QA$4*QA$7)),IF(AND($F56=2,$G56=1),QI56,0)))))</f>
        <v>0</v>
      </c>
      <c r="QL56" s="57" t="str">
        <f t="shared" si="178"/>
        <v/>
      </c>
      <c r="QM56" s="57" t="str">
        <f t="shared" si="476"/>
        <v/>
      </c>
      <c r="QN56" s="713">
        <f>'org. Düngung 22'!DT55</f>
        <v>0</v>
      </c>
      <c r="QO56" s="57"/>
      <c r="QP56" s="57"/>
      <c r="QQ56" s="57">
        <f t="shared" si="180"/>
        <v>0</v>
      </c>
      <c r="QR56" s="57">
        <f t="shared" si="338"/>
        <v>0</v>
      </c>
      <c r="QS56" s="57">
        <f t="shared" si="339"/>
        <v>0</v>
      </c>
      <c r="QT56" s="57">
        <f t="shared" si="340"/>
        <v>0</v>
      </c>
      <c r="QU56" s="57">
        <f t="shared" si="341"/>
        <v>0</v>
      </c>
      <c r="QV56" s="1029">
        <f t="shared" si="477"/>
        <v>0</v>
      </c>
      <c r="QW56" s="57">
        <f t="shared" si="478"/>
        <v>0</v>
      </c>
      <c r="QX56" s="171" t="str">
        <f t="shared" si="479"/>
        <v/>
      </c>
      <c r="QY56" s="57">
        <f t="shared" si="342"/>
        <v>0</v>
      </c>
      <c r="QZ56" s="57">
        <f>IF(OR(AND(QN$6=1,$L56=0),AND(QN$6=2,$K56=2,$G56=1)),0,IF(AND(QP$9=2,(OR($F56&gt;1,$K56=1,AND($L56=80,OR($N56=1,AND($N56=2,'#BerechnungDBE'!$AL47&gt;0)))))),IF(QN$4&gt;=$AD$126,0,QX56),IF(QP$9=3,IF(OR(QN$4&gt;=$AD$127,AND($G56=1,$J56=2,QN$6=2),AND(QN$6=1,$N56&lt;&gt;1)),0,IF(QR56&lt;=120,QX56,IF(QN$4&lt;$AD$124,IF($F56=1,60/QP$4*QP$6,60/QP$4*QP$7),IF($F56=1,120/QP$4*QP$6,120/QP$4*QP$7)))),IF(OR($F56=3,$G56=2),IF(OR(AND(QN$4&gt;=$AD$119,$C56=2),AND(QN$4&gt;=$AF$119,$C56=1)),0,IF(QR56&lt;=60,QX56,60/QP$4*QP$7)),IF(AND($F56=2,$G56=1),QX56,0)))))</f>
        <v>0</v>
      </c>
      <c r="RA56" s="57" t="str">
        <f t="shared" si="184"/>
        <v/>
      </c>
      <c r="RB56" s="57" t="str">
        <f t="shared" si="480"/>
        <v/>
      </c>
      <c r="RC56" s="713">
        <f>'org. Düngung 22'!DX55</f>
        <v>0</v>
      </c>
      <c r="RD56" s="57"/>
      <c r="RE56" s="57"/>
      <c r="RF56" s="57">
        <f t="shared" si="186"/>
        <v>0</v>
      </c>
      <c r="RG56" s="57">
        <f t="shared" si="343"/>
        <v>0</v>
      </c>
      <c r="RH56" s="57">
        <f t="shared" si="344"/>
        <v>0</v>
      </c>
      <c r="RI56" s="57">
        <f t="shared" si="345"/>
        <v>0</v>
      </c>
      <c r="RJ56" s="57">
        <f t="shared" si="346"/>
        <v>0</v>
      </c>
      <c r="RK56" s="1029">
        <f t="shared" si="481"/>
        <v>0</v>
      </c>
      <c r="RL56" s="57">
        <f t="shared" si="482"/>
        <v>0</v>
      </c>
      <c r="RM56" s="171" t="str">
        <f t="shared" si="483"/>
        <v/>
      </c>
      <c r="RN56" s="57">
        <f t="shared" si="347"/>
        <v>0</v>
      </c>
      <c r="RO56" s="57">
        <f>IF(OR(AND(RC$6=1,$L56=0),AND(RC$6=2,$K56=2,$G56=1)),0,IF(AND(RE$9=2,(OR($F56&gt;1,$K56=1,AND($L56=80,OR($N56=1,AND($N56=2,'#BerechnungDBE'!$AL47&gt;0)))))),IF(RC$4&gt;=$AD$126,0,RM56),IF(RE$9=3,IF(OR(RC$4&gt;=$AD$127,AND($G56=1,$J56=2,RC$6=2),AND(RC$6=1,$N56&lt;&gt;1)),0,IF(RG56&lt;=120,RM56,IF(RC$4&lt;$AD$124,IF($F56=1,60/RE$4*RE$6,60/RE$4*RE$7),IF($F56=1,120/RE$4*RE$6,120/RE$4*RE$7)))),IF(OR($F56=3,$G56=2),IF(OR(AND(RC$4&gt;=$AD$119,$C56=2),AND(RC$4&gt;=$AF$119,$C56=1)),0,IF(RG56&lt;=60,RM56,60/RE$4*RE$7)),IF(AND($F56=2,$G56=1),RM56,0)))))</f>
        <v>0</v>
      </c>
      <c r="RP56" s="57" t="str">
        <f t="shared" si="190"/>
        <v/>
      </c>
      <c r="RQ56" s="57" t="str">
        <f t="shared" si="484"/>
        <v/>
      </c>
      <c r="RS56" s="57" t="str">
        <f t="shared" si="488"/>
        <v/>
      </c>
      <c r="RT56" s="57" t="str">
        <f t="shared" si="485"/>
        <v/>
      </c>
      <c r="RU56" s="57" t="str">
        <f t="shared" si="486"/>
        <v/>
      </c>
      <c r="RV56" s="57" t="str">
        <f>IF(Z56&gt;'#BerechnungDBE'!BM47,$RV$9,"")</f>
        <v/>
      </c>
      <c r="RW56" s="57" t="str">
        <f>IF(AND(L56=70,AE56&gt;'#BerechnungDBE'!CQ47),$RW$9,"")</f>
        <v/>
      </c>
      <c r="RX56" s="57" t="str">
        <f>IF(OR('org. Düngung 22'!G55="--",'org. Düngung 22'!G55&lt;=170,'org. Düngung 22'!G55=""),"",$RX$9)</f>
        <v/>
      </c>
      <c r="RY56" s="57" t="str">
        <f>IF('org. Düngung 22'!K55&gt;120,'#orgDung'!$RY$9,"")</f>
        <v/>
      </c>
      <c r="RZ56" s="57" t="str">
        <f>IF('#BerechnungDBE'!P47&lt;4,"",IF(AND('#BerechnungDBE'!BZ47&gt;0,T56&gt;0),'#orgDung'!$RZ$9,""))</f>
        <v/>
      </c>
      <c r="SA56" s="57" t="str">
        <f t="shared" si="487"/>
        <v/>
      </c>
    </row>
    <row r="57" spans="1:495" s="875" customFormat="1" x14ac:dyDescent="0.2">
      <c r="A57" s="875">
        <f>'Flächen u. Kulturen'!A53</f>
        <v>44</v>
      </c>
      <c r="B57" s="367">
        <f>'#BerechnungDBE'!L48</f>
        <v>0</v>
      </c>
      <c r="C57" s="875">
        <f>'#BerechnungDBE'!R48</f>
        <v>1</v>
      </c>
      <c r="D57" s="875">
        <f>'#BerechnungDBE'!T48</f>
        <v>2</v>
      </c>
      <c r="E57" s="875" t="str">
        <f>'Flächen u. Kulturen'!E53</f>
        <v>x</v>
      </c>
      <c r="F57" s="52">
        <f>'#BerechnungDBE'!N48</f>
        <v>1</v>
      </c>
      <c r="G57" s="52">
        <f>'#BerechnungDBE'!O48</f>
        <v>1</v>
      </c>
      <c r="H57" s="875">
        <f>IF('Flächen u. Kulturen'!P53="",0,VLOOKUP('Flächen u. Kulturen'!P53,Kulturen[[HF]:[Berechnungsgruppe]],'#Frucht'!$H$1,FALSE))</f>
        <v>0</v>
      </c>
      <c r="I57" s="875">
        <f>IF('Flächen u. Kulturen'!J53="",0,VLOOKUP('Flächen u. Kulturen'!J53,Kulturen[[HF]:[Berechnungsgruppe]],'#Frucht'!$G$1,FALSE))</f>
        <v>90</v>
      </c>
      <c r="J57" s="505">
        <f t="shared" si="195"/>
        <v>2</v>
      </c>
      <c r="K57" s="505">
        <f>IF('Flächen u. Kulturen'!P53="",0,IF(VLOOKUP('Flächen u. Kulturen'!P53,Kulturen[[HF]:[Saat Winterungen]],'#Frucht'!$P$1,FALSE)&gt;0,1,2))</f>
        <v>2</v>
      </c>
      <c r="L57" s="875">
        <f>'#BerechnungDBE'!AF48</f>
        <v>0</v>
      </c>
      <c r="M57" s="875">
        <f>IF('Flächen u. Kulturen'!L53="",0,VLOOKUP('Flächen u. Kulturen'!L53,Nebenkultur[[Nebenkultur]:[Legum. Zwischenfr.]],'#Zweitfr'!$K$1,FALSE))</f>
        <v>0</v>
      </c>
      <c r="N57" s="875">
        <f>'#BerechnungDBE'!AG48</f>
        <v>0</v>
      </c>
      <c r="P57" s="57">
        <f t="shared" si="353"/>
        <v>0</v>
      </c>
      <c r="Q57" s="57">
        <f t="shared" si="354"/>
        <v>0</v>
      </c>
      <c r="R57" s="875">
        <f t="shared" si="355"/>
        <v>0</v>
      </c>
      <c r="S57" s="938" t="str">
        <f t="shared" si="3"/>
        <v/>
      </c>
      <c r="T57" s="875">
        <f t="shared" si="356"/>
        <v>0</v>
      </c>
      <c r="U57" s="875">
        <f t="shared" si="357"/>
        <v>0</v>
      </c>
      <c r="V57" s="875">
        <f t="shared" si="358"/>
        <v>0</v>
      </c>
      <c r="W57" s="875">
        <f t="shared" si="359"/>
        <v>0</v>
      </c>
      <c r="X57" s="875">
        <f t="shared" si="360"/>
        <v>0</v>
      </c>
      <c r="Y57" s="875">
        <f t="shared" si="349"/>
        <v>0</v>
      </c>
      <c r="Z57" s="875">
        <f t="shared" si="350"/>
        <v>0</v>
      </c>
      <c r="AA57" s="910">
        <f t="shared" si="361"/>
        <v>0</v>
      </c>
      <c r="AB57" s="57">
        <f t="shared" si="351"/>
        <v>0</v>
      </c>
      <c r="AC57" s="875">
        <f t="shared" si="362"/>
        <v>0</v>
      </c>
      <c r="AD57" s="875">
        <f t="shared" si="363"/>
        <v>0</v>
      </c>
      <c r="AE57" s="875">
        <f t="shared" si="364"/>
        <v>0</v>
      </c>
      <c r="AF57" s="875">
        <f t="shared" si="352"/>
        <v>0</v>
      </c>
      <c r="AG57" s="875">
        <f>'org. Düngung 22'!J56</f>
        <v>0</v>
      </c>
      <c r="AH57" s="875">
        <f>'org. Düngung 22'!K56</f>
        <v>0</v>
      </c>
      <c r="AJ57" s="713">
        <f>'org. Düngung 22'!L56</f>
        <v>0</v>
      </c>
      <c r="AK57" s="57"/>
      <c r="AL57" s="57"/>
      <c r="AM57" s="57">
        <f t="shared" si="196"/>
        <v>0</v>
      </c>
      <c r="AN57" s="57">
        <f t="shared" si="197"/>
        <v>0</v>
      </c>
      <c r="AO57" s="57">
        <f t="shared" si="198"/>
        <v>0</v>
      </c>
      <c r="AP57" s="57">
        <f t="shared" si="199"/>
        <v>0</v>
      </c>
      <c r="AQ57" s="57">
        <f t="shared" si="200"/>
        <v>0</v>
      </c>
      <c r="AR57" s="1029">
        <f t="shared" si="365"/>
        <v>0</v>
      </c>
      <c r="AS57" s="57">
        <f t="shared" si="366"/>
        <v>0</v>
      </c>
      <c r="AT57" s="171" t="str">
        <f t="shared" si="367"/>
        <v/>
      </c>
      <c r="AU57" s="57">
        <f t="shared" si="201"/>
        <v>0</v>
      </c>
      <c r="AV57" s="57">
        <f>IF(OR(AND(AJ$6=1,$L57=0),AND(AJ$6=2,$K57=2,$G57=1)),0,IF(AND(AL$9=2,(OR($F57&gt;1,$K57=1,AND($L57=80,OR($N57=1,AND($N57=2,'#BerechnungDBE'!$AL48&gt;0)))))),IF(AJ$4&gt;=$AD$126,0,AT57),IF(AL$9=3,IF(OR(AJ$4&gt;=$AD$127,AND($G57=1,$J57=2,AJ$6=2),AND(AJ$6=1,$N57&lt;&gt;1)),0,IF(AN57&lt;=120,AT57,IF(AJ$4&lt;$AD$124,IF($F57=1,60/AL$4*AL$6,60/AL$4*AL$7),IF($F57=1,120/AL$4*AL$6,120/AL$4*AL$7)))),IF(OR($F57=3,$G57=2),IF(OR(AND(AJ$4&gt;=$AD$119,$C57=2),AND(AJ$4&gt;=$AF$119,$C57=1)),0,IF(AN57&lt;=60,AT57,60/AL$4*AL$7)),IF(AND($F57=2,$G57=1),AT57,0)))))</f>
        <v>0</v>
      </c>
      <c r="AW57" s="57" t="str">
        <f t="shared" si="202"/>
        <v/>
      </c>
      <c r="AX57" s="57" t="str">
        <f t="shared" si="368"/>
        <v/>
      </c>
      <c r="AY57" s="713">
        <f>'org. Düngung 22'!P56</f>
        <v>0</v>
      </c>
      <c r="AZ57" s="57"/>
      <c r="BA57" s="57"/>
      <c r="BB57" s="57">
        <f t="shared" si="18"/>
        <v>0</v>
      </c>
      <c r="BC57" s="57">
        <f t="shared" si="203"/>
        <v>0</v>
      </c>
      <c r="BD57" s="57">
        <f t="shared" si="204"/>
        <v>0</v>
      </c>
      <c r="BE57" s="57">
        <f t="shared" si="205"/>
        <v>0</v>
      </c>
      <c r="BF57" s="57">
        <f t="shared" si="206"/>
        <v>0</v>
      </c>
      <c r="BG57" s="1029">
        <f t="shared" si="369"/>
        <v>0</v>
      </c>
      <c r="BH57" s="57">
        <f t="shared" si="370"/>
        <v>0</v>
      </c>
      <c r="BI57" s="171" t="str">
        <f t="shared" si="371"/>
        <v/>
      </c>
      <c r="BJ57" s="57">
        <f t="shared" si="207"/>
        <v>0</v>
      </c>
      <c r="BK57" s="57">
        <f>IF(OR(AND(AY$6=1,$L57=0),AND(AY$6=2,$K57=2,$G57=1)),0,IF(AND(BA$9=2,(OR($F57&gt;1,$K57=1,AND($L57=80,OR($N57=1,AND($N57=2,'#BerechnungDBE'!$AL48&gt;0)))))),IF(AY$4&gt;=$AD$126,0,BI57),IF(BA$9=3,IF(OR(AY$4&gt;=$AD$127,AND($G57=1,$J57=2,AY$6=2),AND(AY$6=1,$N57&lt;&gt;1)),0,IF(BC57&lt;=120,BI57,IF(AY$4&lt;$AD$124,IF($F57=1,60/BA$4*BA$6,60/BA$4*BA$7),IF($F57=1,120/BA$4*BA$6,120/BA$4*BA$7)))),IF(OR($F57=3,$G57=2),IF(OR(AND(AY$4&gt;=$AD$119,$C57=2),AND(AY$4&gt;=$AF$119,$C57=1)),0,IF(BC57&lt;=60,BI57,60/BA$4*BA$7)),IF(AND($F57=2,$G57=1),BI57,0)))))</f>
        <v>0</v>
      </c>
      <c r="BL57" s="57" t="str">
        <f t="shared" si="22"/>
        <v/>
      </c>
      <c r="BM57" s="57" t="str">
        <f t="shared" si="372"/>
        <v/>
      </c>
      <c r="BN57" s="713">
        <f>'org. Düngung 22'!T56</f>
        <v>0</v>
      </c>
      <c r="BO57" s="57"/>
      <c r="BP57" s="57"/>
      <c r="BQ57" s="57">
        <f t="shared" si="24"/>
        <v>0</v>
      </c>
      <c r="BR57" s="57">
        <f t="shared" si="208"/>
        <v>0</v>
      </c>
      <c r="BS57" s="57">
        <f t="shared" si="209"/>
        <v>0</v>
      </c>
      <c r="BT57" s="57">
        <f t="shared" si="210"/>
        <v>0</v>
      </c>
      <c r="BU57" s="57">
        <f t="shared" si="211"/>
        <v>0</v>
      </c>
      <c r="BV57" s="1029">
        <f t="shared" si="373"/>
        <v>0</v>
      </c>
      <c r="BW57" s="57">
        <f t="shared" si="374"/>
        <v>0</v>
      </c>
      <c r="BX57" s="171" t="str">
        <f t="shared" si="375"/>
        <v/>
      </c>
      <c r="BY57" s="57">
        <f t="shared" si="212"/>
        <v>0</v>
      </c>
      <c r="BZ57" s="57">
        <f>IF(OR(AND(BN$6=1,$L57=0),AND(BN$6=2,$K57=2,$G57=1)),0,IF(AND(BP$9=2,(OR($F57&gt;1,$K57=1,AND($L57=80,OR($N57=1,AND($N57=2,'#BerechnungDBE'!$AL48&gt;0)))))),IF(BN$4&gt;=$AD$126,0,BX57),IF(BP$9=3,IF(OR(BN$4&gt;=$AD$127,AND($G57=1,$J57=2,BN$6=2),AND(BN$6=1,$N57&lt;&gt;1)),0,IF(BR57&lt;=120,BX57,IF(BN$4&lt;$AD$124,IF($F57=1,60/BP$4*BP$6,60/BP$4*BP$7),IF($F57=1,120/BP$4*BP$6,120/BP$4*BP$7)))),IF(OR($F57=3,$G57=2),IF(OR(AND(BN$4&gt;=$AD$119,$C57=2),AND(BN$4&gt;=$AF$119,$C57=1)),0,IF(BR57&lt;=60,BX57,60/BP$4*BP$7)),IF(AND($F57=2,$G57=1),BX57,0)))))</f>
        <v>0</v>
      </c>
      <c r="CA57" s="57" t="str">
        <f t="shared" si="28"/>
        <v/>
      </c>
      <c r="CB57" s="57" t="str">
        <f t="shared" si="376"/>
        <v/>
      </c>
      <c r="CC57" s="713">
        <f>'org. Düngung 22'!X56</f>
        <v>0</v>
      </c>
      <c r="CD57" s="57"/>
      <c r="CE57" s="57"/>
      <c r="CF57" s="57">
        <f t="shared" si="30"/>
        <v>0</v>
      </c>
      <c r="CG57" s="57">
        <f t="shared" si="213"/>
        <v>0</v>
      </c>
      <c r="CH57" s="57">
        <f t="shared" si="214"/>
        <v>0</v>
      </c>
      <c r="CI57" s="57">
        <f t="shared" si="215"/>
        <v>0</v>
      </c>
      <c r="CJ57" s="57">
        <f t="shared" si="216"/>
        <v>0</v>
      </c>
      <c r="CK57" s="1029">
        <f t="shared" si="377"/>
        <v>0</v>
      </c>
      <c r="CL57" s="57">
        <f t="shared" si="378"/>
        <v>0</v>
      </c>
      <c r="CM57" s="171" t="str">
        <f t="shared" si="379"/>
        <v/>
      </c>
      <c r="CN57" s="57">
        <f t="shared" si="217"/>
        <v>0</v>
      </c>
      <c r="CO57" s="57">
        <f>IF(OR(AND(CC$6=1,$L57=0),AND(CC$6=2,$K57=2,$G57=1)),0,IF(AND(CE$9=2,(OR($F57&gt;1,$K57=1,AND($L57=80,OR($N57=1,AND($N57=2,'#BerechnungDBE'!$AL48&gt;0)))))),IF(CC$4&gt;=$AD$126,0,CM57),IF(CE$9=3,IF(OR(CC$4&gt;=$AD$127,AND($G57=1,$J57=2,CC$6=2),AND(CC$6=1,$N57&lt;&gt;1)),0,IF(CG57&lt;=120,CM57,IF(CC$4&lt;$AD$124,IF($F57=1,60/CE$4*CE$6,60/CE$4*CE$7),IF($F57=1,120/CE$4*CE$6,120/CE$4*CE$7)))),IF(OR($F57=3,$G57=2),IF(OR(AND(CC$4&gt;=$AD$119,$C57=2),AND(CC$4&gt;=$AF$119,$C57=1)),0,IF(CG57&lt;=60,CM57,60/CE$4*CE$7)),IF(AND($F57=2,$G57=1),CM57,0)))))</f>
        <v>0</v>
      </c>
      <c r="CP57" s="57" t="str">
        <f t="shared" si="34"/>
        <v/>
      </c>
      <c r="CQ57" s="57" t="str">
        <f t="shared" si="380"/>
        <v/>
      </c>
      <c r="CR57" s="713">
        <f>'org. Düngung 22'!AB56</f>
        <v>0</v>
      </c>
      <c r="CS57" s="57"/>
      <c r="CT57" s="57"/>
      <c r="CU57" s="57">
        <f t="shared" si="36"/>
        <v>0</v>
      </c>
      <c r="CV57" s="57">
        <f t="shared" si="218"/>
        <v>0</v>
      </c>
      <c r="CW57" s="57">
        <f t="shared" si="219"/>
        <v>0</v>
      </c>
      <c r="CX57" s="57">
        <f t="shared" si="220"/>
        <v>0</v>
      </c>
      <c r="CY57" s="57">
        <f t="shared" si="221"/>
        <v>0</v>
      </c>
      <c r="CZ57" s="1029">
        <f t="shared" si="381"/>
        <v>0</v>
      </c>
      <c r="DA57" s="57">
        <f t="shared" si="382"/>
        <v>0</v>
      </c>
      <c r="DB57" s="171" t="str">
        <f t="shared" si="383"/>
        <v/>
      </c>
      <c r="DC57" s="57">
        <f t="shared" si="222"/>
        <v>0</v>
      </c>
      <c r="DD57" s="57">
        <f>IF(OR(AND(CR$6=1,$L57=0),AND(CR$6=2,$K57=2,$G57=1)),0,IF(AND(CT$9=2,(OR($F57&gt;1,$K57=1,AND($L57=80,OR($N57=1,AND($N57=2,'#BerechnungDBE'!$AL48&gt;0)))))),IF(CR$4&gt;=$AD$126,0,DB57),IF(CT$9=3,IF(OR(CR$4&gt;=$AD$127,AND($G57=1,$J57=2,CR$6=2),AND(CR$6=1,$N57&lt;&gt;1)),0,IF(CV57&lt;=120,DB57,IF(CR$4&lt;$AD$124,IF($F57=1,60/CT$4*CT$6,60/CT$4*CT$7),IF($F57=1,120/CT$4*CT$6,120/CT$4*CT$7)))),IF(OR($F57=3,$G57=2),IF(OR(AND(CR$4&gt;=$AD$119,$C57=2),AND(CR$4&gt;=$AF$119,$C57=1)),0,IF(CV57&lt;=60,DB57,60/CT$4*CT$7)),IF(AND($F57=2,$G57=1),DB57,0)))))</f>
        <v>0</v>
      </c>
      <c r="DE57" s="57" t="str">
        <f t="shared" si="40"/>
        <v/>
      </c>
      <c r="DF57" s="57" t="str">
        <f t="shared" si="384"/>
        <v/>
      </c>
      <c r="DG57" s="713">
        <f>'org. Düngung 22'!AF56</f>
        <v>0</v>
      </c>
      <c r="DH57" s="57"/>
      <c r="DI57" s="57"/>
      <c r="DJ57" s="57">
        <f t="shared" si="42"/>
        <v>0</v>
      </c>
      <c r="DK57" s="57">
        <f t="shared" si="223"/>
        <v>0</v>
      </c>
      <c r="DL57" s="57">
        <f t="shared" si="224"/>
        <v>0</v>
      </c>
      <c r="DM57" s="57">
        <f t="shared" si="225"/>
        <v>0</v>
      </c>
      <c r="DN57" s="57">
        <f t="shared" si="226"/>
        <v>0</v>
      </c>
      <c r="DO57" s="1029">
        <f t="shared" si="385"/>
        <v>0</v>
      </c>
      <c r="DP57" s="57">
        <f t="shared" si="386"/>
        <v>0</v>
      </c>
      <c r="DQ57" s="171" t="str">
        <f t="shared" si="387"/>
        <v/>
      </c>
      <c r="DR57" s="57">
        <f t="shared" si="227"/>
        <v>0</v>
      </c>
      <c r="DS57" s="57">
        <f>IF(OR(AND(DG$6=1,$L57=0),AND(DG$6=2,$K57=2,$G57=1)),0,IF(AND(DI$9=2,(OR($F57&gt;1,$K57=1,AND($L57=80,OR($N57=1,AND($N57=2,'#BerechnungDBE'!$AL48&gt;0)))))),IF(DG$4&gt;=$AD$126,0,DQ57),IF(DI$9=3,IF(OR(DG$4&gt;=$AD$127,AND($G57=1,$J57=2,DG$6=2),AND(DG$6=1,$N57&lt;&gt;1)),0,IF(DK57&lt;=120,DQ57,IF(DG$4&lt;$AD$124,IF($F57=1,60/DI$4*DI$6,60/DI$4*DI$7),IF($F57=1,120/DI$4*DI$6,120/DI$4*DI$7)))),IF(OR($F57=3,$G57=2),IF(OR(AND(DG$4&gt;=$AD$119,$C57=2),AND(DG$4&gt;=$AF$119,$C57=1)),0,IF(DK57&lt;=60,DQ57,60/DI$4*DI$7)),IF(AND($F57=2,$G57=1),DQ57,0)))))</f>
        <v>0</v>
      </c>
      <c r="DT57" s="57" t="str">
        <f t="shared" si="46"/>
        <v/>
      </c>
      <c r="DU57" s="57" t="str">
        <f t="shared" si="388"/>
        <v/>
      </c>
      <c r="DV57" s="713">
        <f>'org. Düngung 22'!AJ56</f>
        <v>0</v>
      </c>
      <c r="DW57" s="57"/>
      <c r="DX57" s="57"/>
      <c r="DY57" s="57">
        <f t="shared" si="48"/>
        <v>0</v>
      </c>
      <c r="DZ57" s="57">
        <f t="shared" si="228"/>
        <v>0</v>
      </c>
      <c r="EA57" s="57">
        <f t="shared" si="229"/>
        <v>0</v>
      </c>
      <c r="EB57" s="57">
        <f t="shared" si="230"/>
        <v>0</v>
      </c>
      <c r="EC57" s="57">
        <f t="shared" si="231"/>
        <v>0</v>
      </c>
      <c r="ED57" s="1029">
        <f t="shared" si="389"/>
        <v>0</v>
      </c>
      <c r="EE57" s="57">
        <f t="shared" si="390"/>
        <v>0</v>
      </c>
      <c r="EF57" s="171" t="str">
        <f t="shared" si="391"/>
        <v/>
      </c>
      <c r="EG57" s="57">
        <f t="shared" si="232"/>
        <v>0</v>
      </c>
      <c r="EH57" s="57">
        <f>IF(OR(AND(DV$6=1,$L57=0),AND(DV$6=2,$K57=2,$G57=1)),0,IF(AND(DX$9=2,(OR($F57&gt;1,$K57=1,AND($L57=80,OR($N57=1,AND($N57=2,'#BerechnungDBE'!$AL48&gt;0)))))),IF(DV$4&gt;=$AD$126,0,EF57),IF(DX$9=3,IF(OR(DV$4&gt;=$AD$127,AND($G57=1,$J57=2,DV$6=2),AND(DV$6=1,$N57&lt;&gt;1)),0,IF(DZ57&lt;=120,EF57,IF(DV$4&lt;$AD$124,IF($F57=1,60/DX$4*DX$6,60/DX$4*DX$7),IF($F57=1,120/DX$4*DX$6,120/DX$4*DX$7)))),IF(OR($F57=3,$G57=2),IF(OR(AND(DV$4&gt;=$AD$119,$C57=2),AND(DV$4&gt;=$AF$119,$C57=1)),0,IF(DZ57&lt;=60,EF57,60/DX$4*DX$7)),IF(AND($F57=2,$G57=1),EF57,0)))))</f>
        <v>0</v>
      </c>
      <c r="EI57" s="57" t="str">
        <f t="shared" si="52"/>
        <v/>
      </c>
      <c r="EJ57" s="57" t="str">
        <f t="shared" si="392"/>
        <v/>
      </c>
      <c r="EK57" s="713">
        <f>'org. Düngung 22'!AN56</f>
        <v>0</v>
      </c>
      <c r="EL57" s="57"/>
      <c r="EM57" s="57"/>
      <c r="EN57" s="57">
        <f t="shared" si="54"/>
        <v>0</v>
      </c>
      <c r="EO57" s="57">
        <f t="shared" si="233"/>
        <v>0</v>
      </c>
      <c r="EP57" s="57">
        <f t="shared" si="234"/>
        <v>0</v>
      </c>
      <c r="EQ57" s="57">
        <f t="shared" si="235"/>
        <v>0</v>
      </c>
      <c r="ER57" s="57">
        <f t="shared" si="236"/>
        <v>0</v>
      </c>
      <c r="ES57" s="1029">
        <f t="shared" si="393"/>
        <v>0</v>
      </c>
      <c r="ET57" s="57">
        <f t="shared" si="394"/>
        <v>0</v>
      </c>
      <c r="EU57" s="171" t="str">
        <f t="shared" si="395"/>
        <v/>
      </c>
      <c r="EV57" s="57">
        <f t="shared" si="237"/>
        <v>0</v>
      </c>
      <c r="EW57" s="57">
        <f>IF(OR(AND(EK$6=1,$L57=0),AND(EK$6=2,$K57=2,$G57=1)),0,IF(AND(EM$9=2,(OR($F57&gt;1,$K57=1,AND($L57=80,OR($N57=1,AND($N57=2,'#BerechnungDBE'!$AL48&gt;0)))))),IF(EK$4&gt;=$AD$126,0,EU57),IF(EM$9=3,IF(OR(EK$4&gt;=$AD$127,AND($G57=1,$J57=2,EK$6=2),AND(EK$6=1,$N57&lt;&gt;1)),0,IF(EO57&lt;=120,EU57,IF(EK$4&lt;$AD$124,IF($F57=1,60/EM$4*EM$6,60/EM$4*EM$7),IF($F57=1,120/EM$4*EM$6,120/EM$4*EM$7)))),IF(OR($F57=3,$G57=2),IF(OR(AND(EK$4&gt;=$AD$119,$C57=2),AND(EK$4&gt;=$AF$119,$C57=1)),0,IF(EO57&lt;=60,EU57,60/EM$4*EM$7)),IF(AND($F57=2,$G57=1),EU57,0)))))</f>
        <v>0</v>
      </c>
      <c r="EX57" s="57" t="str">
        <f t="shared" si="58"/>
        <v/>
      </c>
      <c r="EY57" s="57" t="str">
        <f t="shared" si="396"/>
        <v/>
      </c>
      <c r="EZ57" s="713">
        <f>'org. Düngung 22'!AR56</f>
        <v>0</v>
      </c>
      <c r="FA57" s="57"/>
      <c r="FB57" s="57"/>
      <c r="FC57" s="57">
        <f t="shared" si="60"/>
        <v>0</v>
      </c>
      <c r="FD57" s="57">
        <f t="shared" si="238"/>
        <v>0</v>
      </c>
      <c r="FE57" s="57">
        <f t="shared" si="239"/>
        <v>0</v>
      </c>
      <c r="FF57" s="57">
        <f t="shared" si="240"/>
        <v>0</v>
      </c>
      <c r="FG57" s="57">
        <f t="shared" si="241"/>
        <v>0</v>
      </c>
      <c r="FH57" s="1029">
        <f t="shared" si="397"/>
        <v>0</v>
      </c>
      <c r="FI57" s="57">
        <f t="shared" si="398"/>
        <v>0</v>
      </c>
      <c r="FJ57" s="171" t="str">
        <f t="shared" si="399"/>
        <v/>
      </c>
      <c r="FK57" s="57">
        <f t="shared" si="242"/>
        <v>0</v>
      </c>
      <c r="FL57" s="57">
        <f>IF(OR(AND(EZ$6=1,$L57=0),AND(EZ$6=2,$K57=2,$G57=1)),0,IF(AND(FB$9=2,(OR($F57&gt;1,$K57=1,AND($L57=80,OR($N57=1,AND($N57=2,'#BerechnungDBE'!$AL48&gt;0)))))),IF(EZ$4&gt;=$AD$126,0,FJ57),IF(FB$9=3,IF(OR(EZ$4&gt;=$AD$127,AND($G57=1,$J57=2,EZ$6=2),AND(EZ$6=1,$N57&lt;&gt;1)),0,IF(FD57&lt;=120,FJ57,IF(EZ$4&lt;$AD$124,IF($F57=1,60/FB$4*FB$6,60/FB$4*FB$7),IF($F57=1,120/FB$4*FB$6,120/FB$4*FB$7)))),IF(OR($F57=3,$G57=2),IF(OR(AND(EZ$4&gt;=$AD$119,$C57=2),AND(EZ$4&gt;=$AF$119,$C57=1)),0,IF(FD57&lt;=60,FJ57,60/FB$4*FB$7)),IF(AND($F57=2,$G57=1),FJ57,0)))))</f>
        <v>0</v>
      </c>
      <c r="FM57" s="57" t="str">
        <f t="shared" si="64"/>
        <v/>
      </c>
      <c r="FN57" s="57" t="str">
        <f t="shared" si="400"/>
        <v/>
      </c>
      <c r="FO57" s="713">
        <f>'org. Düngung 22'!AV56</f>
        <v>0</v>
      </c>
      <c r="FP57" s="57"/>
      <c r="FQ57" s="57"/>
      <c r="FR57" s="57">
        <f t="shared" si="66"/>
        <v>0</v>
      </c>
      <c r="FS57" s="57">
        <f t="shared" si="243"/>
        <v>0</v>
      </c>
      <c r="FT57" s="57">
        <f t="shared" si="244"/>
        <v>0</v>
      </c>
      <c r="FU57" s="57">
        <f t="shared" si="245"/>
        <v>0</v>
      </c>
      <c r="FV57" s="57">
        <f t="shared" si="246"/>
        <v>0</v>
      </c>
      <c r="FW57" s="1029">
        <f t="shared" si="401"/>
        <v>0</v>
      </c>
      <c r="FX57" s="57">
        <f t="shared" si="402"/>
        <v>0</v>
      </c>
      <c r="FY57" s="171" t="str">
        <f t="shared" si="403"/>
        <v/>
      </c>
      <c r="FZ57" s="57">
        <f t="shared" si="247"/>
        <v>0</v>
      </c>
      <c r="GA57" s="57">
        <f>IF(OR(AND(FO$6=1,$L57=0),AND(FO$6=2,$K57=2,$G57=1)),0,IF(AND(FQ$9=2,(OR($F57&gt;1,$K57=1,AND($L57=80,OR($N57=1,AND($N57=2,'#BerechnungDBE'!$AL48&gt;0)))))),IF(FO$4&gt;=$AD$126,0,FY57),IF(FQ$9=3,IF(OR(FO$4&gt;=$AD$127,AND($G57=1,$J57=2,FO$6=2),AND(FO$6=1,$N57&lt;&gt;1)),0,IF(FS57&lt;=120,FY57,IF(FO$4&lt;$AD$124,IF($F57=1,60/FQ$4*FQ$6,60/FQ$4*FQ$7),IF($F57=1,120/FQ$4*FQ$6,120/FQ$4*FQ$7)))),IF(OR($F57=3,$G57=2),IF(OR(AND(FO$4&gt;=$AD$119,$C57=2),AND(FO$4&gt;=$AF$119,$C57=1)),0,IF(FS57&lt;=60,FY57,60/FQ$4*FQ$7)),IF(AND($F57=2,$G57=1),FY57,0)))))</f>
        <v>0</v>
      </c>
      <c r="GB57" s="57" t="str">
        <f t="shared" si="70"/>
        <v/>
      </c>
      <c r="GC57" s="57" t="str">
        <f t="shared" si="404"/>
        <v/>
      </c>
      <c r="GD57" s="713">
        <f>'org. Düngung 22'!AZ56</f>
        <v>0</v>
      </c>
      <c r="GE57" s="57"/>
      <c r="GF57" s="57"/>
      <c r="GG57" s="57">
        <f t="shared" si="72"/>
        <v>0</v>
      </c>
      <c r="GH57" s="57">
        <f t="shared" si="248"/>
        <v>0</v>
      </c>
      <c r="GI57" s="57">
        <f t="shared" si="249"/>
        <v>0</v>
      </c>
      <c r="GJ57" s="57">
        <f t="shared" si="250"/>
        <v>0</v>
      </c>
      <c r="GK57" s="57">
        <f t="shared" si="251"/>
        <v>0</v>
      </c>
      <c r="GL57" s="1029">
        <f t="shared" si="405"/>
        <v>0</v>
      </c>
      <c r="GM57" s="57">
        <f t="shared" si="406"/>
        <v>0</v>
      </c>
      <c r="GN57" s="171" t="str">
        <f t="shared" si="407"/>
        <v/>
      </c>
      <c r="GO57" s="57">
        <f t="shared" si="252"/>
        <v>0</v>
      </c>
      <c r="GP57" s="57">
        <f>IF(OR(AND(GD$6=1,$L57=0),AND(GD$6=2,$K57=2,$G57=1)),0,IF(AND(GF$9=2,(OR($F57&gt;1,$K57=1,AND($L57=80,OR($N57=1,AND($N57=2,'#BerechnungDBE'!$AL48&gt;0)))))),IF(GD$4&gt;=$AD$126,0,GN57),IF(GF$9=3,IF(OR(GD$4&gt;=$AD$127,AND($G57=1,$J57=2,GD$6=2),AND(GD$6=1,$N57&lt;&gt;1)),0,IF(GH57&lt;=120,GN57,IF(GD$4&lt;$AD$124,IF($F57=1,60/GF$4*GF$6,60/GF$4*GF$7),IF($F57=1,120/GF$4*GF$6,120/GF$4*GF$7)))),IF(OR($F57=3,$G57=2),IF(OR(AND(GD$4&gt;=$AD$119,$C57=2),AND(GD$4&gt;=$AF$119,$C57=1)),0,IF(GH57&lt;=60,GN57,60/GF$4*GF$7)),IF(AND($F57=2,$G57=1),GN57,0)))))</f>
        <v>0</v>
      </c>
      <c r="GQ57" s="57" t="str">
        <f t="shared" si="76"/>
        <v/>
      </c>
      <c r="GR57" s="57" t="str">
        <f t="shared" si="408"/>
        <v/>
      </c>
      <c r="GS57" s="713">
        <f>'org. Düngung 22'!BD56</f>
        <v>0</v>
      </c>
      <c r="GT57" s="57"/>
      <c r="GU57" s="57"/>
      <c r="GV57" s="57">
        <f t="shared" si="78"/>
        <v>0</v>
      </c>
      <c r="GW57" s="57">
        <f t="shared" si="253"/>
        <v>0</v>
      </c>
      <c r="GX57" s="57">
        <f t="shared" si="254"/>
        <v>0</v>
      </c>
      <c r="GY57" s="57">
        <f t="shared" si="255"/>
        <v>0</v>
      </c>
      <c r="GZ57" s="57">
        <f t="shared" si="256"/>
        <v>0</v>
      </c>
      <c r="HA57" s="1029">
        <f t="shared" si="409"/>
        <v>0</v>
      </c>
      <c r="HB57" s="57">
        <f t="shared" si="410"/>
        <v>0</v>
      </c>
      <c r="HC57" s="171" t="str">
        <f t="shared" si="411"/>
        <v/>
      </c>
      <c r="HD57" s="57">
        <f t="shared" si="257"/>
        <v>0</v>
      </c>
      <c r="HE57" s="57">
        <f>IF(OR(AND(GS$6=1,$L57=0),AND(GS$6=2,$K57=2,$G57=1)),0,IF(AND(GU$9=2,(OR($F57&gt;1,$K57=1,AND($L57=80,OR($N57=1,AND($N57=2,'#BerechnungDBE'!$AL48&gt;0)))))),IF(GS$4&gt;=$AD$126,0,HC57),IF(GU$9=3,IF(OR(GS$4&gt;=$AD$127,AND($G57=1,$J57=2,GS$6=2),AND(GS$6=1,$N57&lt;&gt;1)),0,IF(GW57&lt;=120,HC57,IF(GS$4&lt;$AD$124,IF($F57=1,60/GU$4*GU$6,60/GU$4*GU$7),IF($F57=1,120/GU$4*GU$6,120/GU$4*GU$7)))),IF(OR($F57=3,$G57=2),IF(OR(AND(GS$4&gt;=$AD$119,$C57=2),AND(GS$4&gt;=$AF$119,$C57=1)),0,IF(GW57&lt;=60,HC57,60/GU$4*GU$7)),IF(AND($F57=2,$G57=1),HC57,0)))))</f>
        <v>0</v>
      </c>
      <c r="HF57" s="57" t="str">
        <f t="shared" si="82"/>
        <v/>
      </c>
      <c r="HG57" s="57" t="str">
        <f t="shared" si="412"/>
        <v/>
      </c>
      <c r="HH57" s="713">
        <f>'org. Düngung 22'!BH56</f>
        <v>0</v>
      </c>
      <c r="HI57" s="57"/>
      <c r="HJ57" s="57"/>
      <c r="HK57" s="57">
        <f t="shared" si="84"/>
        <v>0</v>
      </c>
      <c r="HL57" s="57">
        <f t="shared" si="258"/>
        <v>0</v>
      </c>
      <c r="HM57" s="57">
        <f t="shared" si="259"/>
        <v>0</v>
      </c>
      <c r="HN57" s="57">
        <f t="shared" si="260"/>
        <v>0</v>
      </c>
      <c r="HO57" s="57">
        <f t="shared" si="261"/>
        <v>0</v>
      </c>
      <c r="HP57" s="1029">
        <f t="shared" si="413"/>
        <v>0</v>
      </c>
      <c r="HQ57" s="57">
        <f t="shared" si="414"/>
        <v>0</v>
      </c>
      <c r="HR57" s="171" t="str">
        <f t="shared" si="415"/>
        <v/>
      </c>
      <c r="HS57" s="57">
        <f t="shared" si="262"/>
        <v>0</v>
      </c>
      <c r="HT57" s="57">
        <f>IF(OR(AND(HH$6=1,$L57=0),AND(HH$6=2,$K57=2,$G57=1)),0,IF(AND(HJ$9=2,(OR($F57&gt;1,$K57=1,AND($L57=80,OR($N57=1,AND($N57=2,'#BerechnungDBE'!$AL48&gt;0)))))),IF(HH$4&gt;=$AD$126,0,HR57),IF(HJ$9=3,IF(OR(HH$4&gt;=$AD$127,AND($G57=1,$J57=2,HH$6=2),AND(HH$6=1,$N57&lt;&gt;1)),0,IF(HL57&lt;=120,HR57,IF(HH$4&lt;$AD$124,IF($F57=1,60/HJ$4*HJ$6,60/HJ$4*HJ$7),IF($F57=1,120/HJ$4*HJ$6,120/HJ$4*HJ$7)))),IF(OR($F57=3,$G57=2),IF(OR(AND(HH$4&gt;=$AD$119,$C57=2),AND(HH$4&gt;=$AF$119,$C57=1)),0,IF(HL57&lt;=60,HR57,60/HJ$4*HJ$7)),IF(AND($F57=2,$G57=1),HR57,0)))))</f>
        <v>0</v>
      </c>
      <c r="HU57" s="57" t="str">
        <f t="shared" si="88"/>
        <v/>
      </c>
      <c r="HV57" s="57" t="str">
        <f t="shared" si="416"/>
        <v/>
      </c>
      <c r="HW57" s="713">
        <f>'org. Düngung 22'!BL56</f>
        <v>0</v>
      </c>
      <c r="HX57" s="57"/>
      <c r="HY57" s="57"/>
      <c r="HZ57" s="57">
        <f t="shared" si="90"/>
        <v>0</v>
      </c>
      <c r="IA57" s="57">
        <f t="shared" si="263"/>
        <v>0</v>
      </c>
      <c r="IB57" s="57">
        <f t="shared" si="264"/>
        <v>0</v>
      </c>
      <c r="IC57" s="57">
        <f t="shared" si="265"/>
        <v>0</v>
      </c>
      <c r="ID57" s="57">
        <f t="shared" si="266"/>
        <v>0</v>
      </c>
      <c r="IE57" s="1029">
        <f t="shared" si="417"/>
        <v>0</v>
      </c>
      <c r="IF57" s="57">
        <f t="shared" si="418"/>
        <v>0</v>
      </c>
      <c r="IG57" s="171" t="str">
        <f t="shared" si="419"/>
        <v/>
      </c>
      <c r="IH57" s="57">
        <f t="shared" si="267"/>
        <v>0</v>
      </c>
      <c r="II57" s="57">
        <f>IF(OR(AND(HW$6=1,$L57=0),AND(HW$6=2,$K57=2,$G57=1)),0,IF(AND(HY$9=2,(OR($F57&gt;1,$K57=1,AND($L57=80,OR($N57=1,AND($N57=2,'#BerechnungDBE'!$AL48&gt;0)))))),IF(HW$4&gt;=$AD$126,0,IG57),IF(HY$9=3,IF(OR(HW$4&gt;=$AD$127,AND($G57=1,$J57=2,HW$6=2),AND(HW$6=1,$N57&lt;&gt;1)),0,IF(IA57&lt;=120,IG57,IF(HW$4&lt;$AD$124,IF($F57=1,60/HY$4*HY$6,60/HY$4*HY$7),IF($F57=1,120/HY$4*HY$6,120/HY$4*HY$7)))),IF(OR($F57=3,$G57=2),IF(OR(AND(HW$4&gt;=$AD$119,$C57=2),AND(HW$4&gt;=$AF$119,$C57=1)),0,IF(IA57&lt;=60,IG57,60/HY$4*HY$7)),IF(AND($F57=2,$G57=1),IG57,0)))))</f>
        <v>0</v>
      </c>
      <c r="IJ57" s="57" t="str">
        <f t="shared" si="94"/>
        <v/>
      </c>
      <c r="IK57" s="57" t="str">
        <f t="shared" si="420"/>
        <v/>
      </c>
      <c r="IL57" s="713">
        <f>'org. Düngung 22'!BP56</f>
        <v>0</v>
      </c>
      <c r="IM57" s="57"/>
      <c r="IN57" s="57"/>
      <c r="IO57" s="57">
        <f t="shared" si="96"/>
        <v>0</v>
      </c>
      <c r="IP57" s="57">
        <f t="shared" si="268"/>
        <v>0</v>
      </c>
      <c r="IQ57" s="57">
        <f t="shared" si="269"/>
        <v>0</v>
      </c>
      <c r="IR57" s="57">
        <f t="shared" si="270"/>
        <v>0</v>
      </c>
      <c r="IS57" s="57">
        <f t="shared" si="271"/>
        <v>0</v>
      </c>
      <c r="IT57" s="1029">
        <f t="shared" si="421"/>
        <v>0</v>
      </c>
      <c r="IU57" s="57">
        <f t="shared" si="422"/>
        <v>0</v>
      </c>
      <c r="IV57" s="171" t="str">
        <f t="shared" si="423"/>
        <v/>
      </c>
      <c r="IW57" s="57">
        <f t="shared" si="272"/>
        <v>0</v>
      </c>
      <c r="IX57" s="57">
        <f>IF(OR(AND(IL$6=1,$L57=0),AND(IL$6=2,$K57=2,$G57=1)),0,IF(AND(IN$9=2,(OR($F57&gt;1,$K57=1,AND($L57=80,OR($N57=1,AND($N57=2,'#BerechnungDBE'!$AL48&gt;0)))))),IF(IL$4&gt;=$AD$126,0,IV57),IF(IN$9=3,IF(OR(IL$4&gt;=$AD$127,AND($G57=1,$J57=2,IL$6=2),AND(IL$6=1,$N57&lt;&gt;1)),0,IF(IP57&lt;=120,IV57,IF(IL$4&lt;$AD$124,IF($F57=1,60/IN$4*IN$6,60/IN$4*IN$7),IF($F57=1,120/IN$4*IN$6,120/IN$4*IN$7)))),IF(OR($F57=3,$G57=2),IF(OR(AND(IL$4&gt;=$AD$119,$C57=2),AND(IL$4&gt;=$AF$119,$C57=1)),0,IF(IP57&lt;=60,IV57,60/IN$4*IN$7)),IF(AND($F57=2,$G57=1),IV57,0)))))</f>
        <v>0</v>
      </c>
      <c r="IY57" s="57" t="str">
        <f t="shared" si="100"/>
        <v/>
      </c>
      <c r="IZ57" s="57" t="str">
        <f t="shared" si="424"/>
        <v/>
      </c>
      <c r="JA57" s="713">
        <f>'org. Düngung 22'!BT56</f>
        <v>0</v>
      </c>
      <c r="JB57" s="57"/>
      <c r="JC57" s="57"/>
      <c r="JD57" s="57">
        <f t="shared" si="102"/>
        <v>0</v>
      </c>
      <c r="JE57" s="57">
        <f t="shared" si="273"/>
        <v>0</v>
      </c>
      <c r="JF57" s="57">
        <f t="shared" si="274"/>
        <v>0</v>
      </c>
      <c r="JG57" s="57">
        <f t="shared" si="275"/>
        <v>0</v>
      </c>
      <c r="JH57" s="57">
        <f t="shared" si="276"/>
        <v>0</v>
      </c>
      <c r="JI57" s="1029">
        <f t="shared" si="425"/>
        <v>0</v>
      </c>
      <c r="JJ57" s="57">
        <f t="shared" si="426"/>
        <v>0</v>
      </c>
      <c r="JK57" s="171" t="str">
        <f t="shared" si="427"/>
        <v/>
      </c>
      <c r="JL57" s="57">
        <f t="shared" si="277"/>
        <v>0</v>
      </c>
      <c r="JM57" s="57">
        <f>IF(OR(AND(JA$6=1,$L57=0),AND(JA$6=2,$K57=2,$G57=1)),0,IF(AND(JC$9=2,(OR($F57&gt;1,$K57=1,AND($L57=80,OR($N57=1,AND($N57=2,'#BerechnungDBE'!$AL48&gt;0)))))),IF(JA$4&gt;=$AD$126,0,JK57),IF(JC$9=3,IF(OR(JA$4&gt;=$AD$127,AND($G57=1,$J57=2,JA$6=2),AND(JA$6=1,$N57&lt;&gt;1)),0,IF(JE57&lt;=120,JK57,IF(JA$4&lt;$AD$124,IF($F57=1,60/JC$4*JC$6,60/JC$4*JC$7),IF($F57=1,120/JC$4*JC$6,120/JC$4*JC$7)))),IF(OR($F57=3,$G57=2),IF(OR(AND(JA$4&gt;=$AD$119,$C57=2),AND(JA$4&gt;=$AF$119,$C57=1)),0,IF(JE57&lt;=60,JK57,60/JC$4*JC$7)),IF(AND($F57=2,$G57=1),JK57,0)))))</f>
        <v>0</v>
      </c>
      <c r="JN57" s="57" t="str">
        <f t="shared" si="106"/>
        <v/>
      </c>
      <c r="JO57" s="57" t="str">
        <f t="shared" si="428"/>
        <v/>
      </c>
      <c r="JP57" s="713">
        <f>'org. Düngung 22'!BX56</f>
        <v>0</v>
      </c>
      <c r="JQ57" s="57"/>
      <c r="JR57" s="57"/>
      <c r="JS57" s="57">
        <f t="shared" si="108"/>
        <v>0</v>
      </c>
      <c r="JT57" s="57">
        <f t="shared" si="278"/>
        <v>0</v>
      </c>
      <c r="JU57" s="57">
        <f t="shared" si="279"/>
        <v>0</v>
      </c>
      <c r="JV57" s="57">
        <f t="shared" si="280"/>
        <v>0</v>
      </c>
      <c r="JW57" s="57">
        <f t="shared" si="281"/>
        <v>0</v>
      </c>
      <c r="JX57" s="1029">
        <f t="shared" si="429"/>
        <v>0</v>
      </c>
      <c r="JY57" s="57">
        <f t="shared" si="430"/>
        <v>0</v>
      </c>
      <c r="JZ57" s="171" t="str">
        <f t="shared" si="431"/>
        <v/>
      </c>
      <c r="KA57" s="57">
        <f t="shared" si="282"/>
        <v>0</v>
      </c>
      <c r="KB57" s="57">
        <f>IF(OR(AND(JP$6=1,$L57=0),AND(JP$6=2,$K57=2,$G57=1)),0,IF(AND(JR$9=2,(OR($F57&gt;1,$K57=1,AND($L57=80,OR($N57=1,AND($N57=2,'#BerechnungDBE'!$AL48&gt;0)))))),IF(JP$4&gt;=$AD$126,0,JZ57),IF(JR$9=3,IF(OR(JP$4&gt;=$AD$127,AND($G57=1,$J57=2,JP$6=2),AND(JP$6=1,$N57&lt;&gt;1)),0,IF(JT57&lt;=120,JZ57,IF(JP$4&lt;$AD$124,IF($F57=1,60/JR$4*JR$6,60/JR$4*JR$7),IF($F57=1,120/JR$4*JR$6,120/JR$4*JR$7)))),IF(OR($F57=3,$G57=2),IF(OR(AND(JP$4&gt;=$AD$119,$C57=2),AND(JP$4&gt;=$AF$119,$C57=1)),0,IF(JT57&lt;=60,JZ57,60/JR$4*JR$7)),IF(AND($F57=2,$G57=1),JZ57,0)))))</f>
        <v>0</v>
      </c>
      <c r="KC57" s="57" t="str">
        <f t="shared" si="112"/>
        <v/>
      </c>
      <c r="KD57" s="57" t="str">
        <f t="shared" si="432"/>
        <v/>
      </c>
      <c r="KE57" s="713">
        <f>'org. Düngung 22'!CB56</f>
        <v>0</v>
      </c>
      <c r="KF57" s="57"/>
      <c r="KG57" s="57"/>
      <c r="KH57" s="57">
        <f t="shared" si="114"/>
        <v>0</v>
      </c>
      <c r="KI57" s="57">
        <f t="shared" si="283"/>
        <v>0</v>
      </c>
      <c r="KJ57" s="57">
        <f t="shared" si="284"/>
        <v>0</v>
      </c>
      <c r="KK57" s="57">
        <f t="shared" si="285"/>
        <v>0</v>
      </c>
      <c r="KL57" s="57">
        <f t="shared" si="286"/>
        <v>0</v>
      </c>
      <c r="KM57" s="1029">
        <f t="shared" si="433"/>
        <v>0</v>
      </c>
      <c r="KN57" s="57">
        <f t="shared" si="434"/>
        <v>0</v>
      </c>
      <c r="KO57" s="171" t="str">
        <f t="shared" si="435"/>
        <v/>
      </c>
      <c r="KP57" s="57">
        <f t="shared" si="287"/>
        <v>0</v>
      </c>
      <c r="KQ57" s="57">
        <f>IF(OR(AND(KE$6=1,$L57=0),AND(KE$6=2,$K57=2,$G57=1)),0,IF(AND(KG$9=2,(OR($F57&gt;1,$K57=1,AND($L57=80,OR($N57=1,AND($N57=2,'#BerechnungDBE'!$AL48&gt;0)))))),IF(KE$4&gt;=$AD$126,0,KO57),IF(KG$9=3,IF(OR(KE$4&gt;=$AD$127,AND($G57=1,$J57=2,KE$6=2),AND(KE$6=1,$N57&lt;&gt;1)),0,IF(KI57&lt;=120,KO57,IF(KE$4&lt;$AD$124,IF($F57=1,60/KG$4*KG$6,60/KG$4*KG$7),IF($F57=1,120/KG$4*KG$6,120/KG$4*KG$7)))),IF(OR($F57=3,$G57=2),IF(OR(AND(KE$4&gt;=$AD$119,$C57=2),AND(KE$4&gt;=$AF$119,$C57=1)),0,IF(KI57&lt;=60,KO57,60/KG$4*KG$7)),IF(AND($F57=2,$G57=1),KO57,0)))))</f>
        <v>0</v>
      </c>
      <c r="KR57" s="57" t="str">
        <f t="shared" si="118"/>
        <v/>
      </c>
      <c r="KS57" s="57" t="str">
        <f t="shared" si="436"/>
        <v/>
      </c>
      <c r="KT57" s="713">
        <f>'org. Düngung 22'!CF56</f>
        <v>0</v>
      </c>
      <c r="KU57" s="57"/>
      <c r="KV57" s="57"/>
      <c r="KW57" s="57">
        <f t="shared" si="120"/>
        <v>0</v>
      </c>
      <c r="KX57" s="57">
        <f t="shared" si="288"/>
        <v>0</v>
      </c>
      <c r="KY57" s="57">
        <f t="shared" si="289"/>
        <v>0</v>
      </c>
      <c r="KZ57" s="57">
        <f t="shared" si="290"/>
        <v>0</v>
      </c>
      <c r="LA57" s="57">
        <f t="shared" si="291"/>
        <v>0</v>
      </c>
      <c r="LB57" s="1029">
        <f t="shared" si="437"/>
        <v>0</v>
      </c>
      <c r="LC57" s="57">
        <f t="shared" si="438"/>
        <v>0</v>
      </c>
      <c r="LD57" s="171" t="str">
        <f t="shared" si="439"/>
        <v/>
      </c>
      <c r="LE57" s="57">
        <f t="shared" si="292"/>
        <v>0</v>
      </c>
      <c r="LF57" s="57">
        <f>IF(OR(AND(KT$6=1,$L57=0),AND(KT$6=2,$K57=2,$G57=1)),0,IF(AND(KV$9=2,(OR($F57&gt;1,$K57=1,AND($L57=80,OR($N57=1,AND($N57=2,'#BerechnungDBE'!$AL48&gt;0)))))),IF(KT$4&gt;=$AD$126,0,LD57),IF(KV$9=3,IF(OR(KT$4&gt;=$AD$127,AND($G57=1,$J57=2,KT$6=2),AND(KT$6=1,$N57&lt;&gt;1)),0,IF(KX57&lt;=120,LD57,IF(KT$4&lt;$AD$124,IF($F57=1,60/KV$4*KV$6,60/KV$4*KV$7),IF($F57=1,120/KV$4*KV$6,120/KV$4*KV$7)))),IF(OR($F57=3,$G57=2),IF(OR(AND(KT$4&gt;=$AD$119,$C57=2),AND(KT$4&gt;=$AF$119,$C57=1)),0,IF(KX57&lt;=60,LD57,60/KV$4*KV$7)),IF(AND($F57=2,$G57=1),LD57,0)))))</f>
        <v>0</v>
      </c>
      <c r="LG57" s="57" t="str">
        <f t="shared" si="124"/>
        <v/>
      </c>
      <c r="LH57" s="57" t="str">
        <f t="shared" si="440"/>
        <v/>
      </c>
      <c r="LI57" s="713">
        <f>'org. Düngung 22'!CJ56</f>
        <v>0</v>
      </c>
      <c r="LJ57" s="57"/>
      <c r="LK57" s="57"/>
      <c r="LL57" s="57">
        <f t="shared" si="126"/>
        <v>0</v>
      </c>
      <c r="LM57" s="57">
        <f t="shared" si="293"/>
        <v>0</v>
      </c>
      <c r="LN57" s="57">
        <f t="shared" si="294"/>
        <v>0</v>
      </c>
      <c r="LO57" s="57">
        <f t="shared" si="295"/>
        <v>0</v>
      </c>
      <c r="LP57" s="57">
        <f t="shared" si="296"/>
        <v>0</v>
      </c>
      <c r="LQ57" s="1029">
        <f t="shared" si="441"/>
        <v>0</v>
      </c>
      <c r="LR57" s="57">
        <f t="shared" si="442"/>
        <v>0</v>
      </c>
      <c r="LS57" s="171" t="str">
        <f t="shared" si="443"/>
        <v/>
      </c>
      <c r="LT57" s="57">
        <f t="shared" si="297"/>
        <v>0</v>
      </c>
      <c r="LU57" s="57">
        <f>IF(OR(AND(LI$6=1,$L57=0),AND(LI$6=2,$K57=2,$G57=1)),0,IF(AND(LK$9=2,(OR($F57&gt;1,$K57=1,AND($L57=80,OR($N57=1,AND($N57=2,'#BerechnungDBE'!$AL48&gt;0)))))),IF(LI$4&gt;=$AD$126,0,LS57),IF(LK$9=3,IF(OR(LI$4&gt;=$AD$127,AND($G57=1,$J57=2,LI$6=2),AND(LI$6=1,$N57&lt;&gt;1)),0,IF(LM57&lt;=120,LS57,IF(LI$4&lt;$AD$124,IF($F57=1,60/LK$4*LK$6,60/LK$4*LK$7),IF($F57=1,120/LK$4*LK$6,120/LK$4*LK$7)))),IF(OR($F57=3,$G57=2),IF(OR(AND(LI$4&gt;=$AD$119,$C57=2),AND(LI$4&gt;=$AF$119,$C57=1)),0,IF(LM57&lt;=60,LS57,60/LK$4*LK$7)),IF(AND($F57=2,$G57=1),LS57,0)))))</f>
        <v>0</v>
      </c>
      <c r="LV57" s="57" t="str">
        <f t="shared" si="130"/>
        <v/>
      </c>
      <c r="LW57" s="57" t="str">
        <f t="shared" si="444"/>
        <v/>
      </c>
      <c r="LX57" s="713">
        <f>'org. Düngung 22'!CN56</f>
        <v>0</v>
      </c>
      <c r="LY57" s="57"/>
      <c r="LZ57" s="57"/>
      <c r="MA57" s="57">
        <f t="shared" si="132"/>
        <v>0</v>
      </c>
      <c r="MB57" s="57">
        <f t="shared" si="298"/>
        <v>0</v>
      </c>
      <c r="MC57" s="57">
        <f t="shared" si="299"/>
        <v>0</v>
      </c>
      <c r="MD57" s="57">
        <f t="shared" si="300"/>
        <v>0</v>
      </c>
      <c r="ME57" s="57">
        <f t="shared" si="301"/>
        <v>0</v>
      </c>
      <c r="MF57" s="1029">
        <f t="shared" si="445"/>
        <v>0</v>
      </c>
      <c r="MG57" s="57">
        <f t="shared" si="446"/>
        <v>0</v>
      </c>
      <c r="MH57" s="171" t="str">
        <f t="shared" si="447"/>
        <v/>
      </c>
      <c r="MI57" s="57">
        <f t="shared" si="302"/>
        <v>0</v>
      </c>
      <c r="MJ57" s="57">
        <f>IF(OR(AND(LX$6=1,$L57=0),AND(LX$6=2,$K57=2,$G57=1)),0,IF(AND(LZ$9=2,(OR($F57&gt;1,$K57=1,AND($L57=80,OR($N57=1,AND($N57=2,'#BerechnungDBE'!$AL48&gt;0)))))),IF(LX$4&gt;=$AD$126,0,MH57),IF(LZ$9=3,IF(OR(LX$4&gt;=$AD$127,AND($G57=1,$J57=2,LX$6=2),AND(LX$6=1,$N57&lt;&gt;1)),0,IF(MB57&lt;=120,MH57,IF(LX$4&lt;$AD$124,IF($F57=1,60/LZ$4*LZ$6,60/LZ$4*LZ$7),IF($F57=1,120/LZ$4*LZ$6,120/LZ$4*LZ$7)))),IF(OR($F57=3,$G57=2),IF(OR(AND(LX$4&gt;=$AD$119,$C57=2),AND(LX$4&gt;=$AF$119,$C57=1)),0,IF(MB57&lt;=60,MH57,60/LZ$4*LZ$7)),IF(AND($F57=2,$G57=1),MH57,0)))))</f>
        <v>0</v>
      </c>
      <c r="MK57" s="57" t="str">
        <f t="shared" si="136"/>
        <v/>
      </c>
      <c r="ML57" s="57" t="str">
        <f t="shared" si="448"/>
        <v/>
      </c>
      <c r="MM57" s="713">
        <f>'org. Düngung 22'!CR56</f>
        <v>0</v>
      </c>
      <c r="MN57" s="57"/>
      <c r="MO57" s="57"/>
      <c r="MP57" s="57">
        <f t="shared" si="138"/>
        <v>0</v>
      </c>
      <c r="MQ57" s="57">
        <f t="shared" si="303"/>
        <v>0</v>
      </c>
      <c r="MR57" s="57">
        <f t="shared" si="304"/>
        <v>0</v>
      </c>
      <c r="MS57" s="57">
        <f t="shared" si="305"/>
        <v>0</v>
      </c>
      <c r="MT57" s="57">
        <f t="shared" si="306"/>
        <v>0</v>
      </c>
      <c r="MU57" s="1029">
        <f t="shared" si="449"/>
        <v>0</v>
      </c>
      <c r="MV57" s="57">
        <f t="shared" si="450"/>
        <v>0</v>
      </c>
      <c r="MW57" s="171" t="str">
        <f t="shared" si="451"/>
        <v/>
      </c>
      <c r="MX57" s="57">
        <f t="shared" si="307"/>
        <v>0</v>
      </c>
      <c r="MY57" s="57">
        <f>IF(OR(AND(MM$6=1,$L57=0),AND(MM$6=2,$K57=2,$G57=1)),0,IF(AND(MO$9=2,(OR($F57&gt;1,$K57=1,AND($L57=80,OR($N57=1,AND($N57=2,'#BerechnungDBE'!$AL48&gt;0)))))),IF(MM$4&gt;=$AD$126,0,MW57),IF(MO$9=3,IF(OR(MM$4&gt;=$AD$127,AND($G57=1,$J57=2,MM$6=2),AND(MM$6=1,$N57&lt;&gt;1)),0,IF(MQ57&lt;=120,MW57,IF(MM$4&lt;$AD$124,IF($F57=1,60/MO$4*MO$6,60/MO$4*MO$7),IF($F57=1,120/MO$4*MO$6,120/MO$4*MO$7)))),IF(OR($F57=3,$G57=2),IF(OR(AND(MM$4&gt;=$AD$119,$C57=2),AND(MM$4&gt;=$AF$119,$C57=1)),0,IF(MQ57&lt;=60,MW57,60/MO$4*MO$7)),IF(AND($F57=2,$G57=1),MW57,0)))))</f>
        <v>0</v>
      </c>
      <c r="MZ57" s="57" t="str">
        <f t="shared" si="142"/>
        <v/>
      </c>
      <c r="NA57" s="57" t="str">
        <f t="shared" si="452"/>
        <v/>
      </c>
      <c r="NB57" s="713">
        <f>'org. Düngung 22'!CV56</f>
        <v>0</v>
      </c>
      <c r="NC57" s="57"/>
      <c r="ND57" s="57"/>
      <c r="NE57" s="57">
        <f t="shared" si="144"/>
        <v>0</v>
      </c>
      <c r="NF57" s="57">
        <f t="shared" si="308"/>
        <v>0</v>
      </c>
      <c r="NG57" s="57">
        <f t="shared" si="309"/>
        <v>0</v>
      </c>
      <c r="NH57" s="57">
        <f t="shared" si="310"/>
        <v>0</v>
      </c>
      <c r="NI57" s="57">
        <f t="shared" si="311"/>
        <v>0</v>
      </c>
      <c r="NJ57" s="1029">
        <f t="shared" si="453"/>
        <v>0</v>
      </c>
      <c r="NK57" s="57">
        <f t="shared" si="454"/>
        <v>0</v>
      </c>
      <c r="NL57" s="171" t="str">
        <f t="shared" si="455"/>
        <v/>
      </c>
      <c r="NM57" s="57">
        <f t="shared" si="312"/>
        <v>0</v>
      </c>
      <c r="NN57" s="57">
        <f>IF(OR(AND(NB$6=1,$L57=0),AND(NB$6=2,$K57=2,$G57=1)),0,IF(AND(ND$9=2,(OR($F57&gt;1,$K57=1,AND($L57=80,OR($N57=1,AND($N57=2,'#BerechnungDBE'!$AL48&gt;0)))))),IF(NB$4&gt;=$AD$126,0,NL57),IF(ND$9=3,IF(OR(NB$4&gt;=$AD$127,AND($G57=1,$J57=2,NB$6=2),AND(NB$6=1,$N57&lt;&gt;1)),0,IF(NF57&lt;=120,NL57,IF(NB$4&lt;$AD$124,IF($F57=1,60/ND$4*ND$6,60/ND$4*ND$7),IF($F57=1,120/ND$4*ND$6,120/ND$4*ND$7)))),IF(OR($F57=3,$G57=2),IF(OR(AND(NB$4&gt;=$AD$119,$C57=2),AND(NB$4&gt;=$AF$119,$C57=1)),0,IF(NF57&lt;=60,NL57,60/ND$4*ND$7)),IF(AND($F57=2,$G57=1),NL57,0)))))</f>
        <v>0</v>
      </c>
      <c r="NO57" s="57" t="str">
        <f t="shared" si="148"/>
        <v/>
      </c>
      <c r="NP57" s="57" t="str">
        <f t="shared" si="456"/>
        <v/>
      </c>
      <c r="NQ57" s="713">
        <f>'org. Düngung 22'!CZ56</f>
        <v>0</v>
      </c>
      <c r="NR57" s="57"/>
      <c r="NS57" s="57"/>
      <c r="NT57" s="57">
        <f t="shared" si="150"/>
        <v>0</v>
      </c>
      <c r="NU57" s="57">
        <f t="shared" si="313"/>
        <v>0</v>
      </c>
      <c r="NV57" s="57">
        <f t="shared" si="314"/>
        <v>0</v>
      </c>
      <c r="NW57" s="57">
        <f t="shared" si="315"/>
        <v>0</v>
      </c>
      <c r="NX57" s="57">
        <f t="shared" si="316"/>
        <v>0</v>
      </c>
      <c r="NY57" s="1029">
        <f t="shared" si="457"/>
        <v>0</v>
      </c>
      <c r="NZ57" s="57">
        <f t="shared" si="458"/>
        <v>0</v>
      </c>
      <c r="OA57" s="171" t="str">
        <f t="shared" si="459"/>
        <v/>
      </c>
      <c r="OB57" s="57">
        <f t="shared" si="317"/>
        <v>0</v>
      </c>
      <c r="OC57" s="57">
        <f>IF(OR(AND(NQ$6=1,$L57=0),AND(NQ$6=2,$K57=2,$G57=1)),0,IF(AND(NS$9=2,(OR($F57&gt;1,$K57=1,AND($L57=80,OR($N57=1,AND($N57=2,'#BerechnungDBE'!$AL48&gt;0)))))),IF(NQ$4&gt;=$AD$126,0,OA57),IF(NS$9=3,IF(OR(NQ$4&gt;=$AD$127,AND($G57=1,$J57=2,NQ$6=2),AND(NQ$6=1,$N57&lt;&gt;1)),0,IF(NU57&lt;=120,OA57,IF(NQ$4&lt;$AD$124,IF($F57=1,60/NS$4*NS$6,60/NS$4*NS$7),IF($F57=1,120/NS$4*NS$6,120/NS$4*NS$7)))),IF(OR($F57=3,$G57=2),IF(OR(AND(NQ$4&gt;=$AD$119,$C57=2),AND(NQ$4&gt;=$AF$119,$C57=1)),0,IF(NU57&lt;=60,OA57,60/NS$4*NS$7)),IF(AND($F57=2,$G57=1),OA57,0)))))</f>
        <v>0</v>
      </c>
      <c r="OD57" s="57" t="str">
        <f t="shared" si="154"/>
        <v/>
      </c>
      <c r="OE57" s="57" t="str">
        <f t="shared" si="460"/>
        <v/>
      </c>
      <c r="OF57" s="713">
        <f>'org. Düngung 22'!DD56</f>
        <v>0</v>
      </c>
      <c r="OG57" s="57"/>
      <c r="OH57" s="57"/>
      <c r="OI57" s="57">
        <f t="shared" si="156"/>
        <v>0</v>
      </c>
      <c r="OJ57" s="57">
        <f t="shared" si="318"/>
        <v>0</v>
      </c>
      <c r="OK57" s="57">
        <f t="shared" si="319"/>
        <v>0</v>
      </c>
      <c r="OL57" s="57">
        <f t="shared" si="320"/>
        <v>0</v>
      </c>
      <c r="OM57" s="57">
        <f t="shared" si="321"/>
        <v>0</v>
      </c>
      <c r="ON57" s="1029">
        <f t="shared" si="461"/>
        <v>0</v>
      </c>
      <c r="OO57" s="57">
        <f t="shared" si="462"/>
        <v>0</v>
      </c>
      <c r="OP57" s="171" t="str">
        <f t="shared" si="463"/>
        <v/>
      </c>
      <c r="OQ57" s="57">
        <f t="shared" si="322"/>
        <v>0</v>
      </c>
      <c r="OR57" s="57">
        <f>IF(OR(AND(OF$6=1,$L57=0),AND(OF$6=2,$K57=2,$G57=1)),0,IF(AND(OH$9=2,(OR($F57&gt;1,$K57=1,AND($L57=80,OR($N57=1,AND($N57=2,'#BerechnungDBE'!$AL48&gt;0)))))),IF(OF$4&gt;=$AD$126,0,OP57),IF(OH$9=3,IF(OR(OF$4&gt;=$AD$127,AND($G57=1,$J57=2,OF$6=2),AND(OF$6=1,$N57&lt;&gt;1)),0,IF(OJ57&lt;=120,OP57,IF(OF$4&lt;$AD$124,IF($F57=1,60/OH$4*OH$6,60/OH$4*OH$7),IF($F57=1,120/OH$4*OH$6,120/OH$4*OH$7)))),IF(OR($F57=3,$G57=2),IF(OR(AND(OF$4&gt;=$AD$119,$C57=2),AND(OF$4&gt;=$AF$119,$C57=1)),0,IF(OJ57&lt;=60,OP57,60/OH$4*OH$7)),IF(AND($F57=2,$G57=1),OP57,0)))))</f>
        <v>0</v>
      </c>
      <c r="OS57" s="57" t="str">
        <f t="shared" si="160"/>
        <v/>
      </c>
      <c r="OT57" s="57" t="str">
        <f t="shared" si="464"/>
        <v/>
      </c>
      <c r="OU57" s="713">
        <f>'org. Düngung 22'!DH56</f>
        <v>0</v>
      </c>
      <c r="OV57" s="57"/>
      <c r="OW57" s="57"/>
      <c r="OX57" s="57">
        <f t="shared" si="162"/>
        <v>0</v>
      </c>
      <c r="OY57" s="57">
        <f t="shared" si="323"/>
        <v>0</v>
      </c>
      <c r="OZ57" s="57">
        <f t="shared" si="324"/>
        <v>0</v>
      </c>
      <c r="PA57" s="57">
        <f t="shared" si="325"/>
        <v>0</v>
      </c>
      <c r="PB57" s="57">
        <f t="shared" si="326"/>
        <v>0</v>
      </c>
      <c r="PC57" s="1029">
        <f t="shared" si="465"/>
        <v>0</v>
      </c>
      <c r="PD57" s="57">
        <f t="shared" si="466"/>
        <v>0</v>
      </c>
      <c r="PE57" s="171" t="str">
        <f t="shared" si="467"/>
        <v/>
      </c>
      <c r="PF57" s="57">
        <f t="shared" si="327"/>
        <v>0</v>
      </c>
      <c r="PG57" s="57">
        <f>IF(OR(AND(OU$6=1,$L57=0),AND(OU$6=2,$K57=2,$G57=1)),0,IF(AND(OW$9=2,(OR($F57&gt;1,$K57=1,AND($L57=80,OR($N57=1,AND($N57=2,'#BerechnungDBE'!$AL48&gt;0)))))),IF(OU$4&gt;=$AD$126,0,PE57),IF(OW$9=3,IF(OR(OU$4&gt;=$AD$127,AND($G57=1,$J57=2,OU$6=2),AND(OU$6=1,$N57&lt;&gt;1)),0,IF(OY57&lt;=120,PE57,IF(OU$4&lt;$AD$124,IF($F57=1,60/OW$4*OW$6,60/OW$4*OW$7),IF($F57=1,120/OW$4*OW$6,120/OW$4*OW$7)))),IF(OR($F57=3,$G57=2),IF(OR(AND(OU$4&gt;=$AD$119,$C57=2),AND(OU$4&gt;=$AF$119,$C57=1)),0,IF(OY57&lt;=60,PE57,60/OW$4*OW$7)),IF(AND($F57=2,$G57=1),PE57,0)))))</f>
        <v>0</v>
      </c>
      <c r="PH57" s="57" t="str">
        <f t="shared" si="166"/>
        <v/>
      </c>
      <c r="PI57" s="57" t="str">
        <f t="shared" si="468"/>
        <v/>
      </c>
      <c r="PJ57" s="713">
        <f>'org. Düngung 22'!DL56</f>
        <v>0</v>
      </c>
      <c r="PK57" s="57"/>
      <c r="PL57" s="57"/>
      <c r="PM57" s="57">
        <f t="shared" si="168"/>
        <v>0</v>
      </c>
      <c r="PN57" s="57">
        <f t="shared" si="328"/>
        <v>0</v>
      </c>
      <c r="PO57" s="57">
        <f t="shared" si="329"/>
        <v>0</v>
      </c>
      <c r="PP57" s="57">
        <f t="shared" si="330"/>
        <v>0</v>
      </c>
      <c r="PQ57" s="57">
        <f t="shared" si="331"/>
        <v>0</v>
      </c>
      <c r="PR57" s="1029">
        <f t="shared" si="469"/>
        <v>0</v>
      </c>
      <c r="PS57" s="57">
        <f t="shared" si="470"/>
        <v>0</v>
      </c>
      <c r="PT57" s="171" t="str">
        <f t="shared" si="471"/>
        <v/>
      </c>
      <c r="PU57" s="57">
        <f t="shared" si="332"/>
        <v>0</v>
      </c>
      <c r="PV57" s="57">
        <f>IF(OR(AND(PJ$6=1,$L57=0),AND(PJ$6=2,$K57=2,$G57=1)),0,IF(AND(PL$9=2,(OR($F57&gt;1,$K57=1,AND($L57=80,OR($N57=1,AND($N57=2,'#BerechnungDBE'!$AL48&gt;0)))))),IF(PJ$4&gt;=$AD$126,0,PT57),IF(PL$9=3,IF(OR(PJ$4&gt;=$AD$127,AND($G57=1,$J57=2,PJ$6=2),AND(PJ$6=1,$N57&lt;&gt;1)),0,IF(PN57&lt;=120,PT57,IF(PJ$4&lt;$AD$124,IF($F57=1,60/PL$4*PL$6,60/PL$4*PL$7),IF($F57=1,120/PL$4*PL$6,120/PL$4*PL$7)))),IF(OR($F57=3,$G57=2),IF(OR(AND(PJ$4&gt;=$AD$119,$C57=2),AND(PJ$4&gt;=$AF$119,$C57=1)),0,IF(PN57&lt;=60,PT57,60/PL$4*PL$7)),IF(AND($F57=2,$G57=1),PT57,0)))))</f>
        <v>0</v>
      </c>
      <c r="PW57" s="57" t="str">
        <f t="shared" si="172"/>
        <v/>
      </c>
      <c r="PX57" s="57" t="str">
        <f t="shared" si="472"/>
        <v/>
      </c>
      <c r="PY57" s="713">
        <f>'org. Düngung 22'!DP56</f>
        <v>0</v>
      </c>
      <c r="PZ57" s="57"/>
      <c r="QA57" s="57"/>
      <c r="QB57" s="57">
        <f t="shared" si="174"/>
        <v>0</v>
      </c>
      <c r="QC57" s="57">
        <f t="shared" si="333"/>
        <v>0</v>
      </c>
      <c r="QD57" s="57">
        <f t="shared" si="334"/>
        <v>0</v>
      </c>
      <c r="QE57" s="57">
        <f t="shared" si="335"/>
        <v>0</v>
      </c>
      <c r="QF57" s="57">
        <f t="shared" si="336"/>
        <v>0</v>
      </c>
      <c r="QG57" s="1029">
        <f t="shared" si="473"/>
        <v>0</v>
      </c>
      <c r="QH57" s="57">
        <f t="shared" si="474"/>
        <v>0</v>
      </c>
      <c r="QI57" s="171" t="str">
        <f t="shared" si="475"/>
        <v/>
      </c>
      <c r="QJ57" s="57">
        <f t="shared" si="337"/>
        <v>0</v>
      </c>
      <c r="QK57" s="57">
        <f>IF(OR(AND(PY$6=1,$L57=0),AND(PY$6=2,$K57=2,$G57=1)),0,IF(AND(QA$9=2,(OR($F57&gt;1,$K57=1,AND($L57=80,OR($N57=1,AND($N57=2,'#BerechnungDBE'!$AL48&gt;0)))))),IF(PY$4&gt;=$AD$126,0,QI57),IF(QA$9=3,IF(OR(PY$4&gt;=$AD$127,AND($G57=1,$J57=2,PY$6=2),AND(PY$6=1,$N57&lt;&gt;1)),0,IF(QC57&lt;=120,QI57,IF(PY$4&lt;$AD$124,IF($F57=1,60/QA$4*QA$6,60/QA$4*QA$7),IF($F57=1,120/QA$4*QA$6,120/QA$4*QA$7)))),IF(OR($F57=3,$G57=2),IF(OR(AND(PY$4&gt;=$AD$119,$C57=2),AND(PY$4&gt;=$AF$119,$C57=1)),0,IF(QC57&lt;=60,QI57,60/QA$4*QA$7)),IF(AND($F57=2,$G57=1),QI57,0)))))</f>
        <v>0</v>
      </c>
      <c r="QL57" s="57" t="str">
        <f t="shared" si="178"/>
        <v/>
      </c>
      <c r="QM57" s="57" t="str">
        <f t="shared" si="476"/>
        <v/>
      </c>
      <c r="QN57" s="713">
        <f>'org. Düngung 22'!DT56</f>
        <v>0</v>
      </c>
      <c r="QO57" s="57"/>
      <c r="QP57" s="57"/>
      <c r="QQ57" s="57">
        <f t="shared" si="180"/>
        <v>0</v>
      </c>
      <c r="QR57" s="57">
        <f t="shared" si="338"/>
        <v>0</v>
      </c>
      <c r="QS57" s="57">
        <f t="shared" si="339"/>
        <v>0</v>
      </c>
      <c r="QT57" s="57">
        <f t="shared" si="340"/>
        <v>0</v>
      </c>
      <c r="QU57" s="57">
        <f t="shared" si="341"/>
        <v>0</v>
      </c>
      <c r="QV57" s="1029">
        <f t="shared" si="477"/>
        <v>0</v>
      </c>
      <c r="QW57" s="57">
        <f t="shared" si="478"/>
        <v>0</v>
      </c>
      <c r="QX57" s="171" t="str">
        <f t="shared" si="479"/>
        <v/>
      </c>
      <c r="QY57" s="57">
        <f t="shared" si="342"/>
        <v>0</v>
      </c>
      <c r="QZ57" s="57">
        <f>IF(OR(AND(QN$6=1,$L57=0),AND(QN$6=2,$K57=2,$G57=1)),0,IF(AND(QP$9=2,(OR($F57&gt;1,$K57=1,AND($L57=80,OR($N57=1,AND($N57=2,'#BerechnungDBE'!$AL48&gt;0)))))),IF(QN$4&gt;=$AD$126,0,QX57),IF(QP$9=3,IF(OR(QN$4&gt;=$AD$127,AND($G57=1,$J57=2,QN$6=2),AND(QN$6=1,$N57&lt;&gt;1)),0,IF(QR57&lt;=120,QX57,IF(QN$4&lt;$AD$124,IF($F57=1,60/QP$4*QP$6,60/QP$4*QP$7),IF($F57=1,120/QP$4*QP$6,120/QP$4*QP$7)))),IF(OR($F57=3,$G57=2),IF(OR(AND(QN$4&gt;=$AD$119,$C57=2),AND(QN$4&gt;=$AF$119,$C57=1)),0,IF(QR57&lt;=60,QX57,60/QP$4*QP$7)),IF(AND($F57=2,$G57=1),QX57,0)))))</f>
        <v>0</v>
      </c>
      <c r="RA57" s="57" t="str">
        <f t="shared" si="184"/>
        <v/>
      </c>
      <c r="RB57" s="57" t="str">
        <f t="shared" si="480"/>
        <v/>
      </c>
      <c r="RC57" s="713">
        <f>'org. Düngung 22'!DX56</f>
        <v>0</v>
      </c>
      <c r="RD57" s="57"/>
      <c r="RE57" s="57"/>
      <c r="RF57" s="57">
        <f t="shared" si="186"/>
        <v>0</v>
      </c>
      <c r="RG57" s="57">
        <f t="shared" si="343"/>
        <v>0</v>
      </c>
      <c r="RH57" s="57">
        <f t="shared" si="344"/>
        <v>0</v>
      </c>
      <c r="RI57" s="57">
        <f t="shared" si="345"/>
        <v>0</v>
      </c>
      <c r="RJ57" s="57">
        <f t="shared" si="346"/>
        <v>0</v>
      </c>
      <c r="RK57" s="1029">
        <f t="shared" si="481"/>
        <v>0</v>
      </c>
      <c r="RL57" s="57">
        <f t="shared" si="482"/>
        <v>0</v>
      </c>
      <c r="RM57" s="171" t="str">
        <f t="shared" si="483"/>
        <v/>
      </c>
      <c r="RN57" s="57">
        <f t="shared" si="347"/>
        <v>0</v>
      </c>
      <c r="RO57" s="57">
        <f>IF(OR(AND(RC$6=1,$L57=0),AND(RC$6=2,$K57=2,$G57=1)),0,IF(AND(RE$9=2,(OR($F57&gt;1,$K57=1,AND($L57=80,OR($N57=1,AND($N57=2,'#BerechnungDBE'!$AL48&gt;0)))))),IF(RC$4&gt;=$AD$126,0,RM57),IF(RE$9=3,IF(OR(RC$4&gt;=$AD$127,AND($G57=1,$J57=2,RC$6=2),AND(RC$6=1,$N57&lt;&gt;1)),0,IF(RG57&lt;=120,RM57,IF(RC$4&lt;$AD$124,IF($F57=1,60/RE$4*RE$6,60/RE$4*RE$7),IF($F57=1,120/RE$4*RE$6,120/RE$4*RE$7)))),IF(OR($F57=3,$G57=2),IF(OR(AND(RC$4&gt;=$AD$119,$C57=2),AND(RC$4&gt;=$AF$119,$C57=1)),0,IF(RG57&lt;=60,RM57,60/RE$4*RE$7)),IF(AND($F57=2,$G57=1),RM57,0)))))</f>
        <v>0</v>
      </c>
      <c r="RP57" s="57" t="str">
        <f t="shared" si="190"/>
        <v/>
      </c>
      <c r="RQ57" s="57" t="str">
        <f t="shared" si="484"/>
        <v/>
      </c>
      <c r="RS57" s="57" t="str">
        <f t="shared" si="488"/>
        <v/>
      </c>
      <c r="RT57" s="57" t="str">
        <f t="shared" si="485"/>
        <v/>
      </c>
      <c r="RU57" s="57" t="str">
        <f t="shared" si="486"/>
        <v/>
      </c>
      <c r="RV57" s="57" t="str">
        <f>IF(Z57&gt;'#BerechnungDBE'!BM48,$RV$9,"")</f>
        <v/>
      </c>
      <c r="RW57" s="57" t="str">
        <f>IF(AND(L57=70,AE57&gt;'#BerechnungDBE'!CQ48),$RW$9,"")</f>
        <v/>
      </c>
      <c r="RX57" s="57" t="str">
        <f>IF(OR('org. Düngung 22'!G56="--",'org. Düngung 22'!G56&lt;=170,'org. Düngung 22'!G56=""),"",$RX$9)</f>
        <v/>
      </c>
      <c r="RY57" s="57" t="str">
        <f>IF('org. Düngung 22'!K56&gt;120,'#orgDung'!$RY$9,"")</f>
        <v/>
      </c>
      <c r="RZ57" s="57" t="str">
        <f>IF('#BerechnungDBE'!P48&lt;4,"",IF(AND('#BerechnungDBE'!BZ48&gt;0,T57&gt;0),'#orgDung'!$RZ$9,""))</f>
        <v/>
      </c>
      <c r="SA57" s="57" t="str">
        <f t="shared" si="487"/>
        <v/>
      </c>
    </row>
    <row r="58" spans="1:495" s="875" customFormat="1" x14ac:dyDescent="0.2">
      <c r="A58" s="875">
        <f>'Flächen u. Kulturen'!A54</f>
        <v>45</v>
      </c>
      <c r="B58" s="367">
        <f>'#BerechnungDBE'!L49</f>
        <v>0</v>
      </c>
      <c r="C58" s="875">
        <f>'#BerechnungDBE'!R49</f>
        <v>1</v>
      </c>
      <c r="D58" s="875">
        <f>'#BerechnungDBE'!T49</f>
        <v>2</v>
      </c>
      <c r="E58" s="875" t="str">
        <f>'Flächen u. Kulturen'!E54</f>
        <v>x</v>
      </c>
      <c r="F58" s="52">
        <f>'#BerechnungDBE'!N49</f>
        <v>1</v>
      </c>
      <c r="G58" s="52">
        <f>'#BerechnungDBE'!O49</f>
        <v>1</v>
      </c>
      <c r="H58" s="875">
        <f>IF('Flächen u. Kulturen'!P54="",0,VLOOKUP('Flächen u. Kulturen'!P54,Kulturen[[HF]:[Berechnungsgruppe]],'#Frucht'!$H$1,FALSE))</f>
        <v>0</v>
      </c>
      <c r="I58" s="875">
        <f>IF('Flächen u. Kulturen'!J54="",0,VLOOKUP('Flächen u. Kulturen'!J54,Kulturen[[HF]:[Berechnungsgruppe]],'#Frucht'!$G$1,FALSE))</f>
        <v>90</v>
      </c>
      <c r="J58" s="505">
        <f t="shared" si="195"/>
        <v>2</v>
      </c>
      <c r="K58" s="505">
        <f>IF('Flächen u. Kulturen'!P54="",0,IF(VLOOKUP('Flächen u. Kulturen'!P54,Kulturen[[HF]:[Saat Winterungen]],'#Frucht'!$P$1,FALSE)&gt;0,1,2))</f>
        <v>2</v>
      </c>
      <c r="L58" s="875">
        <f>'#BerechnungDBE'!AF49</f>
        <v>0</v>
      </c>
      <c r="M58" s="875">
        <f>IF('Flächen u. Kulturen'!L54="",0,VLOOKUP('Flächen u. Kulturen'!L54,Nebenkultur[[Nebenkultur]:[Legum. Zwischenfr.]],'#Zweitfr'!$K$1,FALSE))</f>
        <v>0</v>
      </c>
      <c r="N58" s="875">
        <f>'#BerechnungDBE'!AG49</f>
        <v>0</v>
      </c>
      <c r="P58" s="57">
        <f t="shared" si="353"/>
        <v>0</v>
      </c>
      <c r="Q58" s="57">
        <f t="shared" si="354"/>
        <v>0</v>
      </c>
      <c r="R58" s="875">
        <f t="shared" si="355"/>
        <v>0</v>
      </c>
      <c r="S58" s="938" t="str">
        <f t="shared" si="3"/>
        <v/>
      </c>
      <c r="T58" s="875">
        <f t="shared" si="356"/>
        <v>0</v>
      </c>
      <c r="U58" s="875">
        <f t="shared" si="357"/>
        <v>0</v>
      </c>
      <c r="V58" s="875">
        <f t="shared" si="358"/>
        <v>0</v>
      </c>
      <c r="W58" s="875">
        <f t="shared" si="359"/>
        <v>0</v>
      </c>
      <c r="X58" s="875">
        <f t="shared" si="360"/>
        <v>0</v>
      </c>
      <c r="Y58" s="875">
        <f t="shared" si="349"/>
        <v>0</v>
      </c>
      <c r="Z58" s="875">
        <f t="shared" si="350"/>
        <v>0</v>
      </c>
      <c r="AA58" s="910">
        <f t="shared" si="361"/>
        <v>0</v>
      </c>
      <c r="AB58" s="57">
        <f t="shared" si="351"/>
        <v>0</v>
      </c>
      <c r="AC58" s="875">
        <f t="shared" si="362"/>
        <v>0</v>
      </c>
      <c r="AD58" s="875">
        <f t="shared" si="363"/>
        <v>0</v>
      </c>
      <c r="AE58" s="875">
        <f t="shared" si="364"/>
        <v>0</v>
      </c>
      <c r="AF58" s="875">
        <f t="shared" si="352"/>
        <v>0</v>
      </c>
      <c r="AG58" s="875">
        <f>'org. Düngung 22'!J57</f>
        <v>0</v>
      </c>
      <c r="AH58" s="875">
        <f>'org. Düngung 22'!K57</f>
        <v>0</v>
      </c>
      <c r="AJ58" s="713">
        <f>'org. Düngung 22'!L57</f>
        <v>0</v>
      </c>
      <c r="AK58" s="57"/>
      <c r="AL58" s="57"/>
      <c r="AM58" s="57">
        <f t="shared" si="196"/>
        <v>0</v>
      </c>
      <c r="AN58" s="57">
        <f t="shared" si="197"/>
        <v>0</v>
      </c>
      <c r="AO58" s="57">
        <f t="shared" si="198"/>
        <v>0</v>
      </c>
      <c r="AP58" s="57">
        <f t="shared" si="199"/>
        <v>0</v>
      </c>
      <c r="AQ58" s="57">
        <f t="shared" si="200"/>
        <v>0</v>
      </c>
      <c r="AR58" s="1029">
        <f t="shared" si="365"/>
        <v>0</v>
      </c>
      <c r="AS58" s="57">
        <f t="shared" si="366"/>
        <v>0</v>
      </c>
      <c r="AT58" s="171" t="str">
        <f t="shared" si="367"/>
        <v/>
      </c>
      <c r="AU58" s="57">
        <f t="shared" si="201"/>
        <v>0</v>
      </c>
      <c r="AV58" s="57">
        <f>IF(OR(AND(AJ$6=1,$L58=0),AND(AJ$6=2,$K58=2,$G58=1)),0,IF(AND(AL$9=2,(OR($F58&gt;1,$K58=1,AND($L58=80,OR($N58=1,AND($N58=2,'#BerechnungDBE'!$AL49&gt;0)))))),IF(AJ$4&gt;=$AD$126,0,AT58),IF(AL$9=3,IF(OR(AJ$4&gt;=$AD$127,AND($G58=1,$J58=2,AJ$6=2),AND(AJ$6=1,$N58&lt;&gt;1)),0,IF(AN58&lt;=120,AT58,IF(AJ$4&lt;$AD$124,IF($F58=1,60/AL$4*AL$6,60/AL$4*AL$7),IF($F58=1,120/AL$4*AL$6,120/AL$4*AL$7)))),IF(OR($F58=3,$G58=2),IF(OR(AND(AJ$4&gt;=$AD$119,$C58=2),AND(AJ$4&gt;=$AF$119,$C58=1)),0,IF(AN58&lt;=60,AT58,60/AL$4*AL$7)),IF(AND($F58=2,$G58=1),AT58,0)))))</f>
        <v>0</v>
      </c>
      <c r="AW58" s="57" t="str">
        <f t="shared" si="202"/>
        <v/>
      </c>
      <c r="AX58" s="57" t="str">
        <f t="shared" si="368"/>
        <v/>
      </c>
      <c r="AY58" s="713">
        <f>'org. Düngung 22'!P57</f>
        <v>0</v>
      </c>
      <c r="AZ58" s="57"/>
      <c r="BA58" s="57"/>
      <c r="BB58" s="57">
        <f t="shared" si="18"/>
        <v>0</v>
      </c>
      <c r="BC58" s="57">
        <f t="shared" si="203"/>
        <v>0</v>
      </c>
      <c r="BD58" s="57">
        <f t="shared" si="204"/>
        <v>0</v>
      </c>
      <c r="BE58" s="57">
        <f t="shared" si="205"/>
        <v>0</v>
      </c>
      <c r="BF58" s="57">
        <f t="shared" si="206"/>
        <v>0</v>
      </c>
      <c r="BG58" s="1029">
        <f t="shared" si="369"/>
        <v>0</v>
      </c>
      <c r="BH58" s="57">
        <f t="shared" si="370"/>
        <v>0</v>
      </c>
      <c r="BI58" s="171" t="str">
        <f t="shared" si="371"/>
        <v/>
      </c>
      <c r="BJ58" s="57">
        <f t="shared" si="207"/>
        <v>0</v>
      </c>
      <c r="BK58" s="57">
        <f>IF(OR(AND(AY$6=1,$L58=0),AND(AY$6=2,$K58=2,$G58=1)),0,IF(AND(BA$9=2,(OR($F58&gt;1,$K58=1,AND($L58=80,OR($N58=1,AND($N58=2,'#BerechnungDBE'!$AL49&gt;0)))))),IF(AY$4&gt;=$AD$126,0,BI58),IF(BA$9=3,IF(OR(AY$4&gt;=$AD$127,AND($G58=1,$J58=2,AY$6=2),AND(AY$6=1,$N58&lt;&gt;1)),0,IF(BC58&lt;=120,BI58,IF(AY$4&lt;$AD$124,IF($F58=1,60/BA$4*BA$6,60/BA$4*BA$7),IF($F58=1,120/BA$4*BA$6,120/BA$4*BA$7)))),IF(OR($F58=3,$G58=2),IF(OR(AND(AY$4&gt;=$AD$119,$C58=2),AND(AY$4&gt;=$AF$119,$C58=1)),0,IF(BC58&lt;=60,BI58,60/BA$4*BA$7)),IF(AND($F58=2,$G58=1),BI58,0)))))</f>
        <v>0</v>
      </c>
      <c r="BL58" s="57" t="str">
        <f t="shared" si="22"/>
        <v/>
      </c>
      <c r="BM58" s="57" t="str">
        <f t="shared" si="372"/>
        <v/>
      </c>
      <c r="BN58" s="713">
        <f>'org. Düngung 22'!T57</f>
        <v>0</v>
      </c>
      <c r="BO58" s="57"/>
      <c r="BP58" s="57"/>
      <c r="BQ58" s="57">
        <f t="shared" si="24"/>
        <v>0</v>
      </c>
      <c r="BR58" s="57">
        <f t="shared" si="208"/>
        <v>0</v>
      </c>
      <c r="BS58" s="57">
        <f t="shared" si="209"/>
        <v>0</v>
      </c>
      <c r="BT58" s="57">
        <f t="shared" si="210"/>
        <v>0</v>
      </c>
      <c r="BU58" s="57">
        <f t="shared" si="211"/>
        <v>0</v>
      </c>
      <c r="BV58" s="1029">
        <f t="shared" si="373"/>
        <v>0</v>
      </c>
      <c r="BW58" s="57">
        <f t="shared" si="374"/>
        <v>0</v>
      </c>
      <c r="BX58" s="171" t="str">
        <f t="shared" si="375"/>
        <v/>
      </c>
      <c r="BY58" s="57">
        <f t="shared" si="212"/>
        <v>0</v>
      </c>
      <c r="BZ58" s="57">
        <f>IF(OR(AND(BN$6=1,$L58=0),AND(BN$6=2,$K58=2,$G58=1)),0,IF(AND(BP$9=2,(OR($F58&gt;1,$K58=1,AND($L58=80,OR($N58=1,AND($N58=2,'#BerechnungDBE'!$AL49&gt;0)))))),IF(BN$4&gt;=$AD$126,0,BX58),IF(BP$9=3,IF(OR(BN$4&gt;=$AD$127,AND($G58=1,$J58=2,BN$6=2),AND(BN$6=1,$N58&lt;&gt;1)),0,IF(BR58&lt;=120,BX58,IF(BN$4&lt;$AD$124,IF($F58=1,60/BP$4*BP$6,60/BP$4*BP$7),IF($F58=1,120/BP$4*BP$6,120/BP$4*BP$7)))),IF(OR($F58=3,$G58=2),IF(OR(AND(BN$4&gt;=$AD$119,$C58=2),AND(BN$4&gt;=$AF$119,$C58=1)),0,IF(BR58&lt;=60,BX58,60/BP$4*BP$7)),IF(AND($F58=2,$G58=1),BX58,0)))))</f>
        <v>0</v>
      </c>
      <c r="CA58" s="57" t="str">
        <f t="shared" si="28"/>
        <v/>
      </c>
      <c r="CB58" s="57" t="str">
        <f t="shared" si="376"/>
        <v/>
      </c>
      <c r="CC58" s="713">
        <f>'org. Düngung 22'!X57</f>
        <v>0</v>
      </c>
      <c r="CD58" s="57"/>
      <c r="CE58" s="57"/>
      <c r="CF58" s="57">
        <f t="shared" si="30"/>
        <v>0</v>
      </c>
      <c r="CG58" s="57">
        <f t="shared" si="213"/>
        <v>0</v>
      </c>
      <c r="CH58" s="57">
        <f t="shared" si="214"/>
        <v>0</v>
      </c>
      <c r="CI58" s="57">
        <f t="shared" si="215"/>
        <v>0</v>
      </c>
      <c r="CJ58" s="57">
        <f t="shared" si="216"/>
        <v>0</v>
      </c>
      <c r="CK58" s="1029">
        <f t="shared" si="377"/>
        <v>0</v>
      </c>
      <c r="CL58" s="57">
        <f t="shared" si="378"/>
        <v>0</v>
      </c>
      <c r="CM58" s="171" t="str">
        <f t="shared" si="379"/>
        <v/>
      </c>
      <c r="CN58" s="57">
        <f t="shared" si="217"/>
        <v>0</v>
      </c>
      <c r="CO58" s="57">
        <f>IF(OR(AND(CC$6=1,$L58=0),AND(CC$6=2,$K58=2,$G58=1)),0,IF(AND(CE$9=2,(OR($F58&gt;1,$K58=1,AND($L58=80,OR($N58=1,AND($N58=2,'#BerechnungDBE'!$AL49&gt;0)))))),IF(CC$4&gt;=$AD$126,0,CM58),IF(CE$9=3,IF(OR(CC$4&gt;=$AD$127,AND($G58=1,$J58=2,CC$6=2),AND(CC$6=1,$N58&lt;&gt;1)),0,IF(CG58&lt;=120,CM58,IF(CC$4&lt;$AD$124,IF($F58=1,60/CE$4*CE$6,60/CE$4*CE$7),IF($F58=1,120/CE$4*CE$6,120/CE$4*CE$7)))),IF(OR($F58=3,$G58=2),IF(OR(AND(CC$4&gt;=$AD$119,$C58=2),AND(CC$4&gt;=$AF$119,$C58=1)),0,IF(CG58&lt;=60,CM58,60/CE$4*CE$7)),IF(AND($F58=2,$G58=1),CM58,0)))))</f>
        <v>0</v>
      </c>
      <c r="CP58" s="57" t="str">
        <f t="shared" si="34"/>
        <v/>
      </c>
      <c r="CQ58" s="57" t="str">
        <f t="shared" si="380"/>
        <v/>
      </c>
      <c r="CR58" s="713">
        <f>'org. Düngung 22'!AB57</f>
        <v>0</v>
      </c>
      <c r="CS58" s="57"/>
      <c r="CT58" s="57"/>
      <c r="CU58" s="57">
        <f t="shared" si="36"/>
        <v>0</v>
      </c>
      <c r="CV58" s="57">
        <f t="shared" si="218"/>
        <v>0</v>
      </c>
      <c r="CW58" s="57">
        <f t="shared" si="219"/>
        <v>0</v>
      </c>
      <c r="CX58" s="57">
        <f t="shared" si="220"/>
        <v>0</v>
      </c>
      <c r="CY58" s="57">
        <f t="shared" si="221"/>
        <v>0</v>
      </c>
      <c r="CZ58" s="1029">
        <f t="shared" si="381"/>
        <v>0</v>
      </c>
      <c r="DA58" s="57">
        <f t="shared" si="382"/>
        <v>0</v>
      </c>
      <c r="DB58" s="171" t="str">
        <f t="shared" si="383"/>
        <v/>
      </c>
      <c r="DC58" s="57">
        <f t="shared" si="222"/>
        <v>0</v>
      </c>
      <c r="DD58" s="57">
        <f>IF(OR(AND(CR$6=1,$L58=0),AND(CR$6=2,$K58=2,$G58=1)),0,IF(AND(CT$9=2,(OR($F58&gt;1,$K58=1,AND($L58=80,OR($N58=1,AND($N58=2,'#BerechnungDBE'!$AL49&gt;0)))))),IF(CR$4&gt;=$AD$126,0,DB58),IF(CT$9=3,IF(OR(CR$4&gt;=$AD$127,AND($G58=1,$J58=2,CR$6=2),AND(CR$6=1,$N58&lt;&gt;1)),0,IF(CV58&lt;=120,DB58,IF(CR$4&lt;$AD$124,IF($F58=1,60/CT$4*CT$6,60/CT$4*CT$7),IF($F58=1,120/CT$4*CT$6,120/CT$4*CT$7)))),IF(OR($F58=3,$G58=2),IF(OR(AND(CR$4&gt;=$AD$119,$C58=2),AND(CR$4&gt;=$AF$119,$C58=1)),0,IF(CV58&lt;=60,DB58,60/CT$4*CT$7)),IF(AND($F58=2,$G58=1),DB58,0)))))</f>
        <v>0</v>
      </c>
      <c r="DE58" s="57" t="str">
        <f t="shared" si="40"/>
        <v/>
      </c>
      <c r="DF58" s="57" t="str">
        <f t="shared" si="384"/>
        <v/>
      </c>
      <c r="DG58" s="713">
        <f>'org. Düngung 22'!AF57</f>
        <v>0</v>
      </c>
      <c r="DH58" s="57"/>
      <c r="DI58" s="57"/>
      <c r="DJ58" s="57">
        <f t="shared" si="42"/>
        <v>0</v>
      </c>
      <c r="DK58" s="57">
        <f t="shared" si="223"/>
        <v>0</v>
      </c>
      <c r="DL58" s="57">
        <f t="shared" si="224"/>
        <v>0</v>
      </c>
      <c r="DM58" s="57">
        <f t="shared" si="225"/>
        <v>0</v>
      </c>
      <c r="DN58" s="57">
        <f t="shared" si="226"/>
        <v>0</v>
      </c>
      <c r="DO58" s="1029">
        <f t="shared" si="385"/>
        <v>0</v>
      </c>
      <c r="DP58" s="57">
        <f t="shared" si="386"/>
        <v>0</v>
      </c>
      <c r="DQ58" s="171" t="str">
        <f t="shared" si="387"/>
        <v/>
      </c>
      <c r="DR58" s="57">
        <f t="shared" si="227"/>
        <v>0</v>
      </c>
      <c r="DS58" s="57">
        <f>IF(OR(AND(DG$6=1,$L58=0),AND(DG$6=2,$K58=2,$G58=1)),0,IF(AND(DI$9=2,(OR($F58&gt;1,$K58=1,AND($L58=80,OR($N58=1,AND($N58=2,'#BerechnungDBE'!$AL49&gt;0)))))),IF(DG$4&gt;=$AD$126,0,DQ58),IF(DI$9=3,IF(OR(DG$4&gt;=$AD$127,AND($G58=1,$J58=2,DG$6=2),AND(DG$6=1,$N58&lt;&gt;1)),0,IF(DK58&lt;=120,DQ58,IF(DG$4&lt;$AD$124,IF($F58=1,60/DI$4*DI$6,60/DI$4*DI$7),IF($F58=1,120/DI$4*DI$6,120/DI$4*DI$7)))),IF(OR($F58=3,$G58=2),IF(OR(AND(DG$4&gt;=$AD$119,$C58=2),AND(DG$4&gt;=$AF$119,$C58=1)),0,IF(DK58&lt;=60,DQ58,60/DI$4*DI$7)),IF(AND($F58=2,$G58=1),DQ58,0)))))</f>
        <v>0</v>
      </c>
      <c r="DT58" s="57" t="str">
        <f t="shared" si="46"/>
        <v/>
      </c>
      <c r="DU58" s="57" t="str">
        <f t="shared" si="388"/>
        <v/>
      </c>
      <c r="DV58" s="713">
        <f>'org. Düngung 22'!AJ57</f>
        <v>0</v>
      </c>
      <c r="DW58" s="57"/>
      <c r="DX58" s="57"/>
      <c r="DY58" s="57">
        <f t="shared" si="48"/>
        <v>0</v>
      </c>
      <c r="DZ58" s="57">
        <f t="shared" si="228"/>
        <v>0</v>
      </c>
      <c r="EA58" s="57">
        <f t="shared" si="229"/>
        <v>0</v>
      </c>
      <c r="EB58" s="57">
        <f t="shared" si="230"/>
        <v>0</v>
      </c>
      <c r="EC58" s="57">
        <f t="shared" si="231"/>
        <v>0</v>
      </c>
      <c r="ED58" s="1029">
        <f t="shared" si="389"/>
        <v>0</v>
      </c>
      <c r="EE58" s="57">
        <f t="shared" si="390"/>
        <v>0</v>
      </c>
      <c r="EF58" s="171" t="str">
        <f t="shared" si="391"/>
        <v/>
      </c>
      <c r="EG58" s="57">
        <f t="shared" si="232"/>
        <v>0</v>
      </c>
      <c r="EH58" s="57">
        <f>IF(OR(AND(DV$6=1,$L58=0),AND(DV$6=2,$K58=2,$G58=1)),0,IF(AND(DX$9=2,(OR($F58&gt;1,$K58=1,AND($L58=80,OR($N58=1,AND($N58=2,'#BerechnungDBE'!$AL49&gt;0)))))),IF(DV$4&gt;=$AD$126,0,EF58),IF(DX$9=3,IF(OR(DV$4&gt;=$AD$127,AND($G58=1,$J58=2,DV$6=2),AND(DV$6=1,$N58&lt;&gt;1)),0,IF(DZ58&lt;=120,EF58,IF(DV$4&lt;$AD$124,IF($F58=1,60/DX$4*DX$6,60/DX$4*DX$7),IF($F58=1,120/DX$4*DX$6,120/DX$4*DX$7)))),IF(OR($F58=3,$G58=2),IF(OR(AND(DV$4&gt;=$AD$119,$C58=2),AND(DV$4&gt;=$AF$119,$C58=1)),0,IF(DZ58&lt;=60,EF58,60/DX$4*DX$7)),IF(AND($F58=2,$G58=1),EF58,0)))))</f>
        <v>0</v>
      </c>
      <c r="EI58" s="57" t="str">
        <f t="shared" si="52"/>
        <v/>
      </c>
      <c r="EJ58" s="57" t="str">
        <f t="shared" si="392"/>
        <v/>
      </c>
      <c r="EK58" s="713">
        <f>'org. Düngung 22'!AN57</f>
        <v>0</v>
      </c>
      <c r="EL58" s="57"/>
      <c r="EM58" s="57"/>
      <c r="EN58" s="57">
        <f t="shared" si="54"/>
        <v>0</v>
      </c>
      <c r="EO58" s="57">
        <f t="shared" si="233"/>
        <v>0</v>
      </c>
      <c r="EP58" s="57">
        <f t="shared" si="234"/>
        <v>0</v>
      </c>
      <c r="EQ58" s="57">
        <f t="shared" si="235"/>
        <v>0</v>
      </c>
      <c r="ER58" s="57">
        <f t="shared" si="236"/>
        <v>0</v>
      </c>
      <c r="ES58" s="1029">
        <f t="shared" si="393"/>
        <v>0</v>
      </c>
      <c r="ET58" s="57">
        <f t="shared" si="394"/>
        <v>0</v>
      </c>
      <c r="EU58" s="171" t="str">
        <f t="shared" si="395"/>
        <v/>
      </c>
      <c r="EV58" s="57">
        <f t="shared" si="237"/>
        <v>0</v>
      </c>
      <c r="EW58" s="57">
        <f>IF(OR(AND(EK$6=1,$L58=0),AND(EK$6=2,$K58=2,$G58=1)),0,IF(AND(EM$9=2,(OR($F58&gt;1,$K58=1,AND($L58=80,OR($N58=1,AND($N58=2,'#BerechnungDBE'!$AL49&gt;0)))))),IF(EK$4&gt;=$AD$126,0,EU58),IF(EM$9=3,IF(OR(EK$4&gt;=$AD$127,AND($G58=1,$J58=2,EK$6=2),AND(EK$6=1,$N58&lt;&gt;1)),0,IF(EO58&lt;=120,EU58,IF(EK$4&lt;$AD$124,IF($F58=1,60/EM$4*EM$6,60/EM$4*EM$7),IF($F58=1,120/EM$4*EM$6,120/EM$4*EM$7)))),IF(OR($F58=3,$G58=2),IF(OR(AND(EK$4&gt;=$AD$119,$C58=2),AND(EK$4&gt;=$AF$119,$C58=1)),0,IF(EO58&lt;=60,EU58,60/EM$4*EM$7)),IF(AND($F58=2,$G58=1),EU58,0)))))</f>
        <v>0</v>
      </c>
      <c r="EX58" s="57" t="str">
        <f t="shared" si="58"/>
        <v/>
      </c>
      <c r="EY58" s="57" t="str">
        <f t="shared" si="396"/>
        <v/>
      </c>
      <c r="EZ58" s="713">
        <f>'org. Düngung 22'!AR57</f>
        <v>0</v>
      </c>
      <c r="FA58" s="57"/>
      <c r="FB58" s="57"/>
      <c r="FC58" s="57">
        <f t="shared" si="60"/>
        <v>0</v>
      </c>
      <c r="FD58" s="57">
        <f t="shared" si="238"/>
        <v>0</v>
      </c>
      <c r="FE58" s="57">
        <f t="shared" si="239"/>
        <v>0</v>
      </c>
      <c r="FF58" s="57">
        <f t="shared" si="240"/>
        <v>0</v>
      </c>
      <c r="FG58" s="57">
        <f t="shared" si="241"/>
        <v>0</v>
      </c>
      <c r="FH58" s="1029">
        <f t="shared" si="397"/>
        <v>0</v>
      </c>
      <c r="FI58" s="57">
        <f t="shared" si="398"/>
        <v>0</v>
      </c>
      <c r="FJ58" s="171" t="str">
        <f t="shared" si="399"/>
        <v/>
      </c>
      <c r="FK58" s="57">
        <f t="shared" si="242"/>
        <v>0</v>
      </c>
      <c r="FL58" s="57">
        <f>IF(OR(AND(EZ$6=1,$L58=0),AND(EZ$6=2,$K58=2,$G58=1)),0,IF(AND(FB$9=2,(OR($F58&gt;1,$K58=1,AND($L58=80,OR($N58=1,AND($N58=2,'#BerechnungDBE'!$AL49&gt;0)))))),IF(EZ$4&gt;=$AD$126,0,FJ58),IF(FB$9=3,IF(OR(EZ$4&gt;=$AD$127,AND($G58=1,$J58=2,EZ$6=2),AND(EZ$6=1,$N58&lt;&gt;1)),0,IF(FD58&lt;=120,FJ58,IF(EZ$4&lt;$AD$124,IF($F58=1,60/FB$4*FB$6,60/FB$4*FB$7),IF($F58=1,120/FB$4*FB$6,120/FB$4*FB$7)))),IF(OR($F58=3,$G58=2),IF(OR(AND(EZ$4&gt;=$AD$119,$C58=2),AND(EZ$4&gt;=$AF$119,$C58=1)),0,IF(FD58&lt;=60,FJ58,60/FB$4*FB$7)),IF(AND($F58=2,$G58=1),FJ58,0)))))</f>
        <v>0</v>
      </c>
      <c r="FM58" s="57" t="str">
        <f t="shared" si="64"/>
        <v/>
      </c>
      <c r="FN58" s="57" t="str">
        <f t="shared" si="400"/>
        <v/>
      </c>
      <c r="FO58" s="713">
        <f>'org. Düngung 22'!AV57</f>
        <v>0</v>
      </c>
      <c r="FP58" s="57"/>
      <c r="FQ58" s="57"/>
      <c r="FR58" s="57">
        <f t="shared" si="66"/>
        <v>0</v>
      </c>
      <c r="FS58" s="57">
        <f t="shared" si="243"/>
        <v>0</v>
      </c>
      <c r="FT58" s="57">
        <f t="shared" si="244"/>
        <v>0</v>
      </c>
      <c r="FU58" s="57">
        <f t="shared" si="245"/>
        <v>0</v>
      </c>
      <c r="FV58" s="57">
        <f t="shared" si="246"/>
        <v>0</v>
      </c>
      <c r="FW58" s="1029">
        <f t="shared" si="401"/>
        <v>0</v>
      </c>
      <c r="FX58" s="57">
        <f t="shared" si="402"/>
        <v>0</v>
      </c>
      <c r="FY58" s="171" t="str">
        <f t="shared" si="403"/>
        <v/>
      </c>
      <c r="FZ58" s="57">
        <f t="shared" si="247"/>
        <v>0</v>
      </c>
      <c r="GA58" s="57">
        <f>IF(OR(AND(FO$6=1,$L58=0),AND(FO$6=2,$K58=2,$G58=1)),0,IF(AND(FQ$9=2,(OR($F58&gt;1,$K58=1,AND($L58=80,OR($N58=1,AND($N58=2,'#BerechnungDBE'!$AL49&gt;0)))))),IF(FO$4&gt;=$AD$126,0,FY58),IF(FQ$9=3,IF(OR(FO$4&gt;=$AD$127,AND($G58=1,$J58=2,FO$6=2),AND(FO$6=1,$N58&lt;&gt;1)),0,IF(FS58&lt;=120,FY58,IF(FO$4&lt;$AD$124,IF($F58=1,60/FQ$4*FQ$6,60/FQ$4*FQ$7),IF($F58=1,120/FQ$4*FQ$6,120/FQ$4*FQ$7)))),IF(OR($F58=3,$G58=2),IF(OR(AND(FO$4&gt;=$AD$119,$C58=2),AND(FO$4&gt;=$AF$119,$C58=1)),0,IF(FS58&lt;=60,FY58,60/FQ$4*FQ$7)),IF(AND($F58=2,$G58=1),FY58,0)))))</f>
        <v>0</v>
      </c>
      <c r="GB58" s="57" t="str">
        <f t="shared" si="70"/>
        <v/>
      </c>
      <c r="GC58" s="57" t="str">
        <f t="shared" si="404"/>
        <v/>
      </c>
      <c r="GD58" s="713">
        <f>'org. Düngung 22'!AZ57</f>
        <v>0</v>
      </c>
      <c r="GE58" s="57"/>
      <c r="GF58" s="57"/>
      <c r="GG58" s="57">
        <f t="shared" si="72"/>
        <v>0</v>
      </c>
      <c r="GH58" s="57">
        <f t="shared" si="248"/>
        <v>0</v>
      </c>
      <c r="GI58" s="57">
        <f t="shared" si="249"/>
        <v>0</v>
      </c>
      <c r="GJ58" s="57">
        <f t="shared" si="250"/>
        <v>0</v>
      </c>
      <c r="GK58" s="57">
        <f t="shared" si="251"/>
        <v>0</v>
      </c>
      <c r="GL58" s="1029">
        <f t="shared" si="405"/>
        <v>0</v>
      </c>
      <c r="GM58" s="57">
        <f t="shared" si="406"/>
        <v>0</v>
      </c>
      <c r="GN58" s="171" t="str">
        <f t="shared" si="407"/>
        <v/>
      </c>
      <c r="GO58" s="57">
        <f t="shared" si="252"/>
        <v>0</v>
      </c>
      <c r="GP58" s="57">
        <f>IF(OR(AND(GD$6=1,$L58=0),AND(GD$6=2,$K58=2,$G58=1)),0,IF(AND(GF$9=2,(OR($F58&gt;1,$K58=1,AND($L58=80,OR($N58=1,AND($N58=2,'#BerechnungDBE'!$AL49&gt;0)))))),IF(GD$4&gt;=$AD$126,0,GN58),IF(GF$9=3,IF(OR(GD$4&gt;=$AD$127,AND($G58=1,$J58=2,GD$6=2),AND(GD$6=1,$N58&lt;&gt;1)),0,IF(GH58&lt;=120,GN58,IF(GD$4&lt;$AD$124,IF($F58=1,60/GF$4*GF$6,60/GF$4*GF$7),IF($F58=1,120/GF$4*GF$6,120/GF$4*GF$7)))),IF(OR($F58=3,$G58=2),IF(OR(AND(GD$4&gt;=$AD$119,$C58=2),AND(GD$4&gt;=$AF$119,$C58=1)),0,IF(GH58&lt;=60,GN58,60/GF$4*GF$7)),IF(AND($F58=2,$G58=1),GN58,0)))))</f>
        <v>0</v>
      </c>
      <c r="GQ58" s="57" t="str">
        <f t="shared" si="76"/>
        <v/>
      </c>
      <c r="GR58" s="57" t="str">
        <f t="shared" si="408"/>
        <v/>
      </c>
      <c r="GS58" s="713">
        <f>'org. Düngung 22'!BD57</f>
        <v>0</v>
      </c>
      <c r="GT58" s="57"/>
      <c r="GU58" s="57"/>
      <c r="GV58" s="57">
        <f t="shared" si="78"/>
        <v>0</v>
      </c>
      <c r="GW58" s="57">
        <f t="shared" si="253"/>
        <v>0</v>
      </c>
      <c r="GX58" s="57">
        <f t="shared" si="254"/>
        <v>0</v>
      </c>
      <c r="GY58" s="57">
        <f t="shared" si="255"/>
        <v>0</v>
      </c>
      <c r="GZ58" s="57">
        <f t="shared" si="256"/>
        <v>0</v>
      </c>
      <c r="HA58" s="1029">
        <f t="shared" si="409"/>
        <v>0</v>
      </c>
      <c r="HB58" s="57">
        <f t="shared" si="410"/>
        <v>0</v>
      </c>
      <c r="HC58" s="171" t="str">
        <f t="shared" si="411"/>
        <v/>
      </c>
      <c r="HD58" s="57">
        <f t="shared" si="257"/>
        <v>0</v>
      </c>
      <c r="HE58" s="57">
        <f>IF(OR(AND(GS$6=1,$L58=0),AND(GS$6=2,$K58=2,$G58=1)),0,IF(AND(GU$9=2,(OR($F58&gt;1,$K58=1,AND($L58=80,OR($N58=1,AND($N58=2,'#BerechnungDBE'!$AL49&gt;0)))))),IF(GS$4&gt;=$AD$126,0,HC58),IF(GU$9=3,IF(OR(GS$4&gt;=$AD$127,AND($G58=1,$J58=2,GS$6=2),AND(GS$6=1,$N58&lt;&gt;1)),0,IF(GW58&lt;=120,HC58,IF(GS$4&lt;$AD$124,IF($F58=1,60/GU$4*GU$6,60/GU$4*GU$7),IF($F58=1,120/GU$4*GU$6,120/GU$4*GU$7)))),IF(OR($F58=3,$G58=2),IF(OR(AND(GS$4&gt;=$AD$119,$C58=2),AND(GS$4&gt;=$AF$119,$C58=1)),0,IF(GW58&lt;=60,HC58,60/GU$4*GU$7)),IF(AND($F58=2,$G58=1),HC58,0)))))</f>
        <v>0</v>
      </c>
      <c r="HF58" s="57" t="str">
        <f t="shared" si="82"/>
        <v/>
      </c>
      <c r="HG58" s="57" t="str">
        <f t="shared" si="412"/>
        <v/>
      </c>
      <c r="HH58" s="713">
        <f>'org. Düngung 22'!BH57</f>
        <v>0</v>
      </c>
      <c r="HI58" s="57"/>
      <c r="HJ58" s="57"/>
      <c r="HK58" s="57">
        <f t="shared" si="84"/>
        <v>0</v>
      </c>
      <c r="HL58" s="57">
        <f t="shared" si="258"/>
        <v>0</v>
      </c>
      <c r="HM58" s="57">
        <f t="shared" si="259"/>
        <v>0</v>
      </c>
      <c r="HN58" s="57">
        <f t="shared" si="260"/>
        <v>0</v>
      </c>
      <c r="HO58" s="57">
        <f t="shared" si="261"/>
        <v>0</v>
      </c>
      <c r="HP58" s="1029">
        <f t="shared" si="413"/>
        <v>0</v>
      </c>
      <c r="HQ58" s="57">
        <f t="shared" si="414"/>
        <v>0</v>
      </c>
      <c r="HR58" s="171" t="str">
        <f t="shared" si="415"/>
        <v/>
      </c>
      <c r="HS58" s="57">
        <f t="shared" si="262"/>
        <v>0</v>
      </c>
      <c r="HT58" s="57">
        <f>IF(OR(AND(HH$6=1,$L58=0),AND(HH$6=2,$K58=2,$G58=1)),0,IF(AND(HJ$9=2,(OR($F58&gt;1,$K58=1,AND($L58=80,OR($N58=1,AND($N58=2,'#BerechnungDBE'!$AL49&gt;0)))))),IF(HH$4&gt;=$AD$126,0,HR58),IF(HJ$9=3,IF(OR(HH$4&gt;=$AD$127,AND($G58=1,$J58=2,HH$6=2),AND(HH$6=1,$N58&lt;&gt;1)),0,IF(HL58&lt;=120,HR58,IF(HH$4&lt;$AD$124,IF($F58=1,60/HJ$4*HJ$6,60/HJ$4*HJ$7),IF($F58=1,120/HJ$4*HJ$6,120/HJ$4*HJ$7)))),IF(OR($F58=3,$G58=2),IF(OR(AND(HH$4&gt;=$AD$119,$C58=2),AND(HH$4&gt;=$AF$119,$C58=1)),0,IF(HL58&lt;=60,HR58,60/HJ$4*HJ$7)),IF(AND($F58=2,$G58=1),HR58,0)))))</f>
        <v>0</v>
      </c>
      <c r="HU58" s="57" t="str">
        <f t="shared" si="88"/>
        <v/>
      </c>
      <c r="HV58" s="57" t="str">
        <f t="shared" si="416"/>
        <v/>
      </c>
      <c r="HW58" s="713">
        <f>'org. Düngung 22'!BL57</f>
        <v>0</v>
      </c>
      <c r="HX58" s="57"/>
      <c r="HY58" s="57"/>
      <c r="HZ58" s="57">
        <f t="shared" si="90"/>
        <v>0</v>
      </c>
      <c r="IA58" s="57">
        <f t="shared" si="263"/>
        <v>0</v>
      </c>
      <c r="IB58" s="57">
        <f t="shared" si="264"/>
        <v>0</v>
      </c>
      <c r="IC58" s="57">
        <f t="shared" si="265"/>
        <v>0</v>
      </c>
      <c r="ID58" s="57">
        <f t="shared" si="266"/>
        <v>0</v>
      </c>
      <c r="IE58" s="1029">
        <f t="shared" si="417"/>
        <v>0</v>
      </c>
      <c r="IF58" s="57">
        <f t="shared" si="418"/>
        <v>0</v>
      </c>
      <c r="IG58" s="171" t="str">
        <f t="shared" si="419"/>
        <v/>
      </c>
      <c r="IH58" s="57">
        <f t="shared" si="267"/>
        <v>0</v>
      </c>
      <c r="II58" s="57">
        <f>IF(OR(AND(HW$6=1,$L58=0),AND(HW$6=2,$K58=2,$G58=1)),0,IF(AND(HY$9=2,(OR($F58&gt;1,$K58=1,AND($L58=80,OR($N58=1,AND($N58=2,'#BerechnungDBE'!$AL49&gt;0)))))),IF(HW$4&gt;=$AD$126,0,IG58),IF(HY$9=3,IF(OR(HW$4&gt;=$AD$127,AND($G58=1,$J58=2,HW$6=2),AND(HW$6=1,$N58&lt;&gt;1)),0,IF(IA58&lt;=120,IG58,IF(HW$4&lt;$AD$124,IF($F58=1,60/HY$4*HY$6,60/HY$4*HY$7),IF($F58=1,120/HY$4*HY$6,120/HY$4*HY$7)))),IF(OR($F58=3,$G58=2),IF(OR(AND(HW$4&gt;=$AD$119,$C58=2),AND(HW$4&gt;=$AF$119,$C58=1)),0,IF(IA58&lt;=60,IG58,60/HY$4*HY$7)),IF(AND($F58=2,$G58=1),IG58,0)))))</f>
        <v>0</v>
      </c>
      <c r="IJ58" s="57" t="str">
        <f t="shared" si="94"/>
        <v/>
      </c>
      <c r="IK58" s="57" t="str">
        <f t="shared" si="420"/>
        <v/>
      </c>
      <c r="IL58" s="713">
        <f>'org. Düngung 22'!BP57</f>
        <v>0</v>
      </c>
      <c r="IM58" s="57"/>
      <c r="IN58" s="57"/>
      <c r="IO58" s="57">
        <f t="shared" si="96"/>
        <v>0</v>
      </c>
      <c r="IP58" s="57">
        <f t="shared" si="268"/>
        <v>0</v>
      </c>
      <c r="IQ58" s="57">
        <f t="shared" si="269"/>
        <v>0</v>
      </c>
      <c r="IR58" s="57">
        <f t="shared" si="270"/>
        <v>0</v>
      </c>
      <c r="IS58" s="57">
        <f t="shared" si="271"/>
        <v>0</v>
      </c>
      <c r="IT58" s="1029">
        <f t="shared" si="421"/>
        <v>0</v>
      </c>
      <c r="IU58" s="57">
        <f t="shared" si="422"/>
        <v>0</v>
      </c>
      <c r="IV58" s="171" t="str">
        <f t="shared" si="423"/>
        <v/>
      </c>
      <c r="IW58" s="57">
        <f t="shared" si="272"/>
        <v>0</v>
      </c>
      <c r="IX58" s="57">
        <f>IF(OR(AND(IL$6=1,$L58=0),AND(IL$6=2,$K58=2,$G58=1)),0,IF(AND(IN$9=2,(OR($F58&gt;1,$K58=1,AND($L58=80,OR($N58=1,AND($N58=2,'#BerechnungDBE'!$AL49&gt;0)))))),IF(IL$4&gt;=$AD$126,0,IV58),IF(IN$9=3,IF(OR(IL$4&gt;=$AD$127,AND($G58=1,$J58=2,IL$6=2),AND(IL$6=1,$N58&lt;&gt;1)),0,IF(IP58&lt;=120,IV58,IF(IL$4&lt;$AD$124,IF($F58=1,60/IN$4*IN$6,60/IN$4*IN$7),IF($F58=1,120/IN$4*IN$6,120/IN$4*IN$7)))),IF(OR($F58=3,$G58=2),IF(OR(AND(IL$4&gt;=$AD$119,$C58=2),AND(IL$4&gt;=$AF$119,$C58=1)),0,IF(IP58&lt;=60,IV58,60/IN$4*IN$7)),IF(AND($F58=2,$G58=1),IV58,0)))))</f>
        <v>0</v>
      </c>
      <c r="IY58" s="57" t="str">
        <f t="shared" si="100"/>
        <v/>
      </c>
      <c r="IZ58" s="57" t="str">
        <f t="shared" si="424"/>
        <v/>
      </c>
      <c r="JA58" s="713">
        <f>'org. Düngung 22'!BT57</f>
        <v>0</v>
      </c>
      <c r="JB58" s="57"/>
      <c r="JC58" s="57"/>
      <c r="JD58" s="57">
        <f t="shared" si="102"/>
        <v>0</v>
      </c>
      <c r="JE58" s="57">
        <f t="shared" si="273"/>
        <v>0</v>
      </c>
      <c r="JF58" s="57">
        <f t="shared" si="274"/>
        <v>0</v>
      </c>
      <c r="JG58" s="57">
        <f t="shared" si="275"/>
        <v>0</v>
      </c>
      <c r="JH58" s="57">
        <f t="shared" si="276"/>
        <v>0</v>
      </c>
      <c r="JI58" s="1029">
        <f t="shared" si="425"/>
        <v>0</v>
      </c>
      <c r="JJ58" s="57">
        <f t="shared" si="426"/>
        <v>0</v>
      </c>
      <c r="JK58" s="171" t="str">
        <f t="shared" si="427"/>
        <v/>
      </c>
      <c r="JL58" s="57">
        <f t="shared" si="277"/>
        <v>0</v>
      </c>
      <c r="JM58" s="57">
        <f>IF(OR(AND(JA$6=1,$L58=0),AND(JA$6=2,$K58=2,$G58=1)),0,IF(AND(JC$9=2,(OR($F58&gt;1,$K58=1,AND($L58=80,OR($N58=1,AND($N58=2,'#BerechnungDBE'!$AL49&gt;0)))))),IF(JA$4&gt;=$AD$126,0,JK58),IF(JC$9=3,IF(OR(JA$4&gt;=$AD$127,AND($G58=1,$J58=2,JA$6=2),AND(JA$6=1,$N58&lt;&gt;1)),0,IF(JE58&lt;=120,JK58,IF(JA$4&lt;$AD$124,IF($F58=1,60/JC$4*JC$6,60/JC$4*JC$7),IF($F58=1,120/JC$4*JC$6,120/JC$4*JC$7)))),IF(OR($F58=3,$G58=2),IF(OR(AND(JA$4&gt;=$AD$119,$C58=2),AND(JA$4&gt;=$AF$119,$C58=1)),0,IF(JE58&lt;=60,JK58,60/JC$4*JC$7)),IF(AND($F58=2,$G58=1),JK58,0)))))</f>
        <v>0</v>
      </c>
      <c r="JN58" s="57" t="str">
        <f t="shared" si="106"/>
        <v/>
      </c>
      <c r="JO58" s="57" t="str">
        <f t="shared" si="428"/>
        <v/>
      </c>
      <c r="JP58" s="713">
        <f>'org. Düngung 22'!BX57</f>
        <v>0</v>
      </c>
      <c r="JQ58" s="57"/>
      <c r="JR58" s="57"/>
      <c r="JS58" s="57">
        <f t="shared" si="108"/>
        <v>0</v>
      </c>
      <c r="JT58" s="57">
        <f t="shared" si="278"/>
        <v>0</v>
      </c>
      <c r="JU58" s="57">
        <f t="shared" si="279"/>
        <v>0</v>
      </c>
      <c r="JV58" s="57">
        <f t="shared" si="280"/>
        <v>0</v>
      </c>
      <c r="JW58" s="57">
        <f t="shared" si="281"/>
        <v>0</v>
      </c>
      <c r="JX58" s="1029">
        <f t="shared" si="429"/>
        <v>0</v>
      </c>
      <c r="JY58" s="57">
        <f t="shared" si="430"/>
        <v>0</v>
      </c>
      <c r="JZ58" s="171" t="str">
        <f t="shared" si="431"/>
        <v/>
      </c>
      <c r="KA58" s="57">
        <f t="shared" si="282"/>
        <v>0</v>
      </c>
      <c r="KB58" s="57">
        <f>IF(OR(AND(JP$6=1,$L58=0),AND(JP$6=2,$K58=2,$G58=1)),0,IF(AND(JR$9=2,(OR($F58&gt;1,$K58=1,AND($L58=80,OR($N58=1,AND($N58=2,'#BerechnungDBE'!$AL49&gt;0)))))),IF(JP$4&gt;=$AD$126,0,JZ58),IF(JR$9=3,IF(OR(JP$4&gt;=$AD$127,AND($G58=1,$J58=2,JP$6=2),AND(JP$6=1,$N58&lt;&gt;1)),0,IF(JT58&lt;=120,JZ58,IF(JP$4&lt;$AD$124,IF($F58=1,60/JR$4*JR$6,60/JR$4*JR$7),IF($F58=1,120/JR$4*JR$6,120/JR$4*JR$7)))),IF(OR($F58=3,$G58=2),IF(OR(AND(JP$4&gt;=$AD$119,$C58=2),AND(JP$4&gt;=$AF$119,$C58=1)),0,IF(JT58&lt;=60,JZ58,60/JR$4*JR$7)),IF(AND($F58=2,$G58=1),JZ58,0)))))</f>
        <v>0</v>
      </c>
      <c r="KC58" s="57" t="str">
        <f t="shared" si="112"/>
        <v/>
      </c>
      <c r="KD58" s="57" t="str">
        <f t="shared" si="432"/>
        <v/>
      </c>
      <c r="KE58" s="713">
        <f>'org. Düngung 22'!CB57</f>
        <v>0</v>
      </c>
      <c r="KF58" s="57"/>
      <c r="KG58" s="57"/>
      <c r="KH58" s="57">
        <f t="shared" si="114"/>
        <v>0</v>
      </c>
      <c r="KI58" s="57">
        <f t="shared" si="283"/>
        <v>0</v>
      </c>
      <c r="KJ58" s="57">
        <f t="shared" si="284"/>
        <v>0</v>
      </c>
      <c r="KK58" s="57">
        <f t="shared" si="285"/>
        <v>0</v>
      </c>
      <c r="KL58" s="57">
        <f t="shared" si="286"/>
        <v>0</v>
      </c>
      <c r="KM58" s="1029">
        <f t="shared" si="433"/>
        <v>0</v>
      </c>
      <c r="KN58" s="57">
        <f t="shared" si="434"/>
        <v>0</v>
      </c>
      <c r="KO58" s="171" t="str">
        <f t="shared" si="435"/>
        <v/>
      </c>
      <c r="KP58" s="57">
        <f t="shared" si="287"/>
        <v>0</v>
      </c>
      <c r="KQ58" s="57">
        <f>IF(OR(AND(KE$6=1,$L58=0),AND(KE$6=2,$K58=2,$G58=1)),0,IF(AND(KG$9=2,(OR($F58&gt;1,$K58=1,AND($L58=80,OR($N58=1,AND($N58=2,'#BerechnungDBE'!$AL49&gt;0)))))),IF(KE$4&gt;=$AD$126,0,KO58),IF(KG$9=3,IF(OR(KE$4&gt;=$AD$127,AND($G58=1,$J58=2,KE$6=2),AND(KE$6=1,$N58&lt;&gt;1)),0,IF(KI58&lt;=120,KO58,IF(KE$4&lt;$AD$124,IF($F58=1,60/KG$4*KG$6,60/KG$4*KG$7),IF($F58=1,120/KG$4*KG$6,120/KG$4*KG$7)))),IF(OR($F58=3,$G58=2),IF(OR(AND(KE$4&gt;=$AD$119,$C58=2),AND(KE$4&gt;=$AF$119,$C58=1)),0,IF(KI58&lt;=60,KO58,60/KG$4*KG$7)),IF(AND($F58=2,$G58=1),KO58,0)))))</f>
        <v>0</v>
      </c>
      <c r="KR58" s="57" t="str">
        <f t="shared" si="118"/>
        <v/>
      </c>
      <c r="KS58" s="57" t="str">
        <f t="shared" si="436"/>
        <v/>
      </c>
      <c r="KT58" s="713">
        <f>'org. Düngung 22'!CF57</f>
        <v>0</v>
      </c>
      <c r="KU58" s="57"/>
      <c r="KV58" s="57"/>
      <c r="KW58" s="57">
        <f t="shared" si="120"/>
        <v>0</v>
      </c>
      <c r="KX58" s="57">
        <f t="shared" si="288"/>
        <v>0</v>
      </c>
      <c r="KY58" s="57">
        <f t="shared" si="289"/>
        <v>0</v>
      </c>
      <c r="KZ58" s="57">
        <f t="shared" si="290"/>
        <v>0</v>
      </c>
      <c r="LA58" s="57">
        <f t="shared" si="291"/>
        <v>0</v>
      </c>
      <c r="LB58" s="1029">
        <f t="shared" si="437"/>
        <v>0</v>
      </c>
      <c r="LC58" s="57">
        <f t="shared" si="438"/>
        <v>0</v>
      </c>
      <c r="LD58" s="171" t="str">
        <f t="shared" si="439"/>
        <v/>
      </c>
      <c r="LE58" s="57">
        <f t="shared" si="292"/>
        <v>0</v>
      </c>
      <c r="LF58" s="57">
        <f>IF(OR(AND(KT$6=1,$L58=0),AND(KT$6=2,$K58=2,$G58=1)),0,IF(AND(KV$9=2,(OR($F58&gt;1,$K58=1,AND($L58=80,OR($N58=1,AND($N58=2,'#BerechnungDBE'!$AL49&gt;0)))))),IF(KT$4&gt;=$AD$126,0,LD58),IF(KV$9=3,IF(OR(KT$4&gt;=$AD$127,AND($G58=1,$J58=2,KT$6=2),AND(KT$6=1,$N58&lt;&gt;1)),0,IF(KX58&lt;=120,LD58,IF(KT$4&lt;$AD$124,IF($F58=1,60/KV$4*KV$6,60/KV$4*KV$7),IF($F58=1,120/KV$4*KV$6,120/KV$4*KV$7)))),IF(OR($F58=3,$G58=2),IF(OR(AND(KT$4&gt;=$AD$119,$C58=2),AND(KT$4&gt;=$AF$119,$C58=1)),0,IF(KX58&lt;=60,LD58,60/KV$4*KV$7)),IF(AND($F58=2,$G58=1),LD58,0)))))</f>
        <v>0</v>
      </c>
      <c r="LG58" s="57" t="str">
        <f t="shared" si="124"/>
        <v/>
      </c>
      <c r="LH58" s="57" t="str">
        <f t="shared" si="440"/>
        <v/>
      </c>
      <c r="LI58" s="713">
        <f>'org. Düngung 22'!CJ57</f>
        <v>0</v>
      </c>
      <c r="LJ58" s="57"/>
      <c r="LK58" s="57"/>
      <c r="LL58" s="57">
        <f t="shared" si="126"/>
        <v>0</v>
      </c>
      <c r="LM58" s="57">
        <f t="shared" si="293"/>
        <v>0</v>
      </c>
      <c r="LN58" s="57">
        <f t="shared" si="294"/>
        <v>0</v>
      </c>
      <c r="LO58" s="57">
        <f t="shared" si="295"/>
        <v>0</v>
      </c>
      <c r="LP58" s="57">
        <f t="shared" si="296"/>
        <v>0</v>
      </c>
      <c r="LQ58" s="1029">
        <f t="shared" si="441"/>
        <v>0</v>
      </c>
      <c r="LR58" s="57">
        <f t="shared" si="442"/>
        <v>0</v>
      </c>
      <c r="LS58" s="171" t="str">
        <f t="shared" si="443"/>
        <v/>
      </c>
      <c r="LT58" s="57">
        <f t="shared" si="297"/>
        <v>0</v>
      </c>
      <c r="LU58" s="57">
        <f>IF(OR(AND(LI$6=1,$L58=0),AND(LI$6=2,$K58=2,$G58=1)),0,IF(AND(LK$9=2,(OR($F58&gt;1,$K58=1,AND($L58=80,OR($N58=1,AND($N58=2,'#BerechnungDBE'!$AL49&gt;0)))))),IF(LI$4&gt;=$AD$126,0,LS58),IF(LK$9=3,IF(OR(LI$4&gt;=$AD$127,AND($G58=1,$J58=2,LI$6=2),AND(LI$6=1,$N58&lt;&gt;1)),0,IF(LM58&lt;=120,LS58,IF(LI$4&lt;$AD$124,IF($F58=1,60/LK$4*LK$6,60/LK$4*LK$7),IF($F58=1,120/LK$4*LK$6,120/LK$4*LK$7)))),IF(OR($F58=3,$G58=2),IF(OR(AND(LI$4&gt;=$AD$119,$C58=2),AND(LI$4&gt;=$AF$119,$C58=1)),0,IF(LM58&lt;=60,LS58,60/LK$4*LK$7)),IF(AND($F58=2,$G58=1),LS58,0)))))</f>
        <v>0</v>
      </c>
      <c r="LV58" s="57" t="str">
        <f t="shared" si="130"/>
        <v/>
      </c>
      <c r="LW58" s="57" t="str">
        <f t="shared" si="444"/>
        <v/>
      </c>
      <c r="LX58" s="713">
        <f>'org. Düngung 22'!CN57</f>
        <v>0</v>
      </c>
      <c r="LY58" s="57"/>
      <c r="LZ58" s="57"/>
      <c r="MA58" s="57">
        <f t="shared" si="132"/>
        <v>0</v>
      </c>
      <c r="MB58" s="57">
        <f t="shared" si="298"/>
        <v>0</v>
      </c>
      <c r="MC58" s="57">
        <f t="shared" si="299"/>
        <v>0</v>
      </c>
      <c r="MD58" s="57">
        <f t="shared" si="300"/>
        <v>0</v>
      </c>
      <c r="ME58" s="57">
        <f t="shared" si="301"/>
        <v>0</v>
      </c>
      <c r="MF58" s="1029">
        <f t="shared" si="445"/>
        <v>0</v>
      </c>
      <c r="MG58" s="57">
        <f t="shared" si="446"/>
        <v>0</v>
      </c>
      <c r="MH58" s="171" t="str">
        <f t="shared" si="447"/>
        <v/>
      </c>
      <c r="MI58" s="57">
        <f t="shared" si="302"/>
        <v>0</v>
      </c>
      <c r="MJ58" s="57">
        <f>IF(OR(AND(LX$6=1,$L58=0),AND(LX$6=2,$K58=2,$G58=1)),0,IF(AND(LZ$9=2,(OR($F58&gt;1,$K58=1,AND($L58=80,OR($N58=1,AND($N58=2,'#BerechnungDBE'!$AL49&gt;0)))))),IF(LX$4&gt;=$AD$126,0,MH58),IF(LZ$9=3,IF(OR(LX$4&gt;=$AD$127,AND($G58=1,$J58=2,LX$6=2),AND(LX$6=1,$N58&lt;&gt;1)),0,IF(MB58&lt;=120,MH58,IF(LX$4&lt;$AD$124,IF($F58=1,60/LZ$4*LZ$6,60/LZ$4*LZ$7),IF($F58=1,120/LZ$4*LZ$6,120/LZ$4*LZ$7)))),IF(OR($F58=3,$G58=2),IF(OR(AND(LX$4&gt;=$AD$119,$C58=2),AND(LX$4&gt;=$AF$119,$C58=1)),0,IF(MB58&lt;=60,MH58,60/LZ$4*LZ$7)),IF(AND($F58=2,$G58=1),MH58,0)))))</f>
        <v>0</v>
      </c>
      <c r="MK58" s="57" t="str">
        <f t="shared" si="136"/>
        <v/>
      </c>
      <c r="ML58" s="57" t="str">
        <f t="shared" si="448"/>
        <v/>
      </c>
      <c r="MM58" s="713">
        <f>'org. Düngung 22'!CR57</f>
        <v>0</v>
      </c>
      <c r="MN58" s="57"/>
      <c r="MO58" s="57"/>
      <c r="MP58" s="57">
        <f t="shared" si="138"/>
        <v>0</v>
      </c>
      <c r="MQ58" s="57">
        <f t="shared" si="303"/>
        <v>0</v>
      </c>
      <c r="MR58" s="57">
        <f t="shared" si="304"/>
        <v>0</v>
      </c>
      <c r="MS58" s="57">
        <f t="shared" si="305"/>
        <v>0</v>
      </c>
      <c r="MT58" s="57">
        <f t="shared" si="306"/>
        <v>0</v>
      </c>
      <c r="MU58" s="1029">
        <f t="shared" si="449"/>
        <v>0</v>
      </c>
      <c r="MV58" s="57">
        <f t="shared" si="450"/>
        <v>0</v>
      </c>
      <c r="MW58" s="171" t="str">
        <f t="shared" si="451"/>
        <v/>
      </c>
      <c r="MX58" s="57">
        <f t="shared" si="307"/>
        <v>0</v>
      </c>
      <c r="MY58" s="57">
        <f>IF(OR(AND(MM$6=1,$L58=0),AND(MM$6=2,$K58=2,$G58=1)),0,IF(AND(MO$9=2,(OR($F58&gt;1,$K58=1,AND($L58=80,OR($N58=1,AND($N58=2,'#BerechnungDBE'!$AL49&gt;0)))))),IF(MM$4&gt;=$AD$126,0,MW58),IF(MO$9=3,IF(OR(MM$4&gt;=$AD$127,AND($G58=1,$J58=2,MM$6=2),AND(MM$6=1,$N58&lt;&gt;1)),0,IF(MQ58&lt;=120,MW58,IF(MM$4&lt;$AD$124,IF($F58=1,60/MO$4*MO$6,60/MO$4*MO$7),IF($F58=1,120/MO$4*MO$6,120/MO$4*MO$7)))),IF(OR($F58=3,$G58=2),IF(OR(AND(MM$4&gt;=$AD$119,$C58=2),AND(MM$4&gt;=$AF$119,$C58=1)),0,IF(MQ58&lt;=60,MW58,60/MO$4*MO$7)),IF(AND($F58=2,$G58=1),MW58,0)))))</f>
        <v>0</v>
      </c>
      <c r="MZ58" s="57" t="str">
        <f t="shared" si="142"/>
        <v/>
      </c>
      <c r="NA58" s="57" t="str">
        <f t="shared" si="452"/>
        <v/>
      </c>
      <c r="NB58" s="713">
        <f>'org. Düngung 22'!CV57</f>
        <v>0</v>
      </c>
      <c r="NC58" s="57"/>
      <c r="ND58" s="57"/>
      <c r="NE58" s="57">
        <f t="shared" si="144"/>
        <v>0</v>
      </c>
      <c r="NF58" s="57">
        <f t="shared" si="308"/>
        <v>0</v>
      </c>
      <c r="NG58" s="57">
        <f t="shared" si="309"/>
        <v>0</v>
      </c>
      <c r="NH58" s="57">
        <f t="shared" si="310"/>
        <v>0</v>
      </c>
      <c r="NI58" s="57">
        <f t="shared" si="311"/>
        <v>0</v>
      </c>
      <c r="NJ58" s="1029">
        <f t="shared" si="453"/>
        <v>0</v>
      </c>
      <c r="NK58" s="57">
        <f t="shared" si="454"/>
        <v>0</v>
      </c>
      <c r="NL58" s="171" t="str">
        <f t="shared" si="455"/>
        <v/>
      </c>
      <c r="NM58" s="57">
        <f t="shared" si="312"/>
        <v>0</v>
      </c>
      <c r="NN58" s="57">
        <f>IF(OR(AND(NB$6=1,$L58=0),AND(NB$6=2,$K58=2,$G58=1)),0,IF(AND(ND$9=2,(OR($F58&gt;1,$K58=1,AND($L58=80,OR($N58=1,AND($N58=2,'#BerechnungDBE'!$AL49&gt;0)))))),IF(NB$4&gt;=$AD$126,0,NL58),IF(ND$9=3,IF(OR(NB$4&gt;=$AD$127,AND($G58=1,$J58=2,NB$6=2),AND(NB$6=1,$N58&lt;&gt;1)),0,IF(NF58&lt;=120,NL58,IF(NB$4&lt;$AD$124,IF($F58=1,60/ND$4*ND$6,60/ND$4*ND$7),IF($F58=1,120/ND$4*ND$6,120/ND$4*ND$7)))),IF(OR($F58=3,$G58=2),IF(OR(AND(NB$4&gt;=$AD$119,$C58=2),AND(NB$4&gt;=$AF$119,$C58=1)),0,IF(NF58&lt;=60,NL58,60/ND$4*ND$7)),IF(AND($F58=2,$G58=1),NL58,0)))))</f>
        <v>0</v>
      </c>
      <c r="NO58" s="57" t="str">
        <f t="shared" si="148"/>
        <v/>
      </c>
      <c r="NP58" s="57" t="str">
        <f t="shared" si="456"/>
        <v/>
      </c>
      <c r="NQ58" s="713">
        <f>'org. Düngung 22'!CZ57</f>
        <v>0</v>
      </c>
      <c r="NR58" s="57"/>
      <c r="NS58" s="57"/>
      <c r="NT58" s="57">
        <f t="shared" si="150"/>
        <v>0</v>
      </c>
      <c r="NU58" s="57">
        <f t="shared" si="313"/>
        <v>0</v>
      </c>
      <c r="NV58" s="57">
        <f t="shared" si="314"/>
        <v>0</v>
      </c>
      <c r="NW58" s="57">
        <f t="shared" si="315"/>
        <v>0</v>
      </c>
      <c r="NX58" s="57">
        <f t="shared" si="316"/>
        <v>0</v>
      </c>
      <c r="NY58" s="1029">
        <f t="shared" si="457"/>
        <v>0</v>
      </c>
      <c r="NZ58" s="57">
        <f t="shared" si="458"/>
        <v>0</v>
      </c>
      <c r="OA58" s="171" t="str">
        <f t="shared" si="459"/>
        <v/>
      </c>
      <c r="OB58" s="57">
        <f t="shared" si="317"/>
        <v>0</v>
      </c>
      <c r="OC58" s="57">
        <f>IF(OR(AND(NQ$6=1,$L58=0),AND(NQ$6=2,$K58=2,$G58=1)),0,IF(AND(NS$9=2,(OR($F58&gt;1,$K58=1,AND($L58=80,OR($N58=1,AND($N58=2,'#BerechnungDBE'!$AL49&gt;0)))))),IF(NQ$4&gt;=$AD$126,0,OA58),IF(NS$9=3,IF(OR(NQ$4&gt;=$AD$127,AND($G58=1,$J58=2,NQ$6=2),AND(NQ$6=1,$N58&lt;&gt;1)),0,IF(NU58&lt;=120,OA58,IF(NQ$4&lt;$AD$124,IF($F58=1,60/NS$4*NS$6,60/NS$4*NS$7),IF($F58=1,120/NS$4*NS$6,120/NS$4*NS$7)))),IF(OR($F58=3,$G58=2),IF(OR(AND(NQ$4&gt;=$AD$119,$C58=2),AND(NQ$4&gt;=$AF$119,$C58=1)),0,IF(NU58&lt;=60,OA58,60/NS$4*NS$7)),IF(AND($F58=2,$G58=1),OA58,0)))))</f>
        <v>0</v>
      </c>
      <c r="OD58" s="57" t="str">
        <f t="shared" si="154"/>
        <v/>
      </c>
      <c r="OE58" s="57" t="str">
        <f t="shared" si="460"/>
        <v/>
      </c>
      <c r="OF58" s="713">
        <f>'org. Düngung 22'!DD57</f>
        <v>0</v>
      </c>
      <c r="OG58" s="57"/>
      <c r="OH58" s="57"/>
      <c r="OI58" s="57">
        <f t="shared" si="156"/>
        <v>0</v>
      </c>
      <c r="OJ58" s="57">
        <f t="shared" si="318"/>
        <v>0</v>
      </c>
      <c r="OK58" s="57">
        <f t="shared" si="319"/>
        <v>0</v>
      </c>
      <c r="OL58" s="57">
        <f t="shared" si="320"/>
        <v>0</v>
      </c>
      <c r="OM58" s="57">
        <f t="shared" si="321"/>
        <v>0</v>
      </c>
      <c r="ON58" s="1029">
        <f t="shared" si="461"/>
        <v>0</v>
      </c>
      <c r="OO58" s="57">
        <f t="shared" si="462"/>
        <v>0</v>
      </c>
      <c r="OP58" s="171" t="str">
        <f t="shared" si="463"/>
        <v/>
      </c>
      <c r="OQ58" s="57">
        <f t="shared" si="322"/>
        <v>0</v>
      </c>
      <c r="OR58" s="57">
        <f>IF(OR(AND(OF$6=1,$L58=0),AND(OF$6=2,$K58=2,$G58=1)),0,IF(AND(OH$9=2,(OR($F58&gt;1,$K58=1,AND($L58=80,OR($N58=1,AND($N58=2,'#BerechnungDBE'!$AL49&gt;0)))))),IF(OF$4&gt;=$AD$126,0,OP58),IF(OH$9=3,IF(OR(OF$4&gt;=$AD$127,AND($G58=1,$J58=2,OF$6=2),AND(OF$6=1,$N58&lt;&gt;1)),0,IF(OJ58&lt;=120,OP58,IF(OF$4&lt;$AD$124,IF($F58=1,60/OH$4*OH$6,60/OH$4*OH$7),IF($F58=1,120/OH$4*OH$6,120/OH$4*OH$7)))),IF(OR($F58=3,$G58=2),IF(OR(AND(OF$4&gt;=$AD$119,$C58=2),AND(OF$4&gt;=$AF$119,$C58=1)),0,IF(OJ58&lt;=60,OP58,60/OH$4*OH$7)),IF(AND($F58=2,$G58=1),OP58,0)))))</f>
        <v>0</v>
      </c>
      <c r="OS58" s="57" t="str">
        <f t="shared" si="160"/>
        <v/>
      </c>
      <c r="OT58" s="57" t="str">
        <f t="shared" si="464"/>
        <v/>
      </c>
      <c r="OU58" s="713">
        <f>'org. Düngung 22'!DH57</f>
        <v>0</v>
      </c>
      <c r="OV58" s="57"/>
      <c r="OW58" s="57"/>
      <c r="OX58" s="57">
        <f t="shared" si="162"/>
        <v>0</v>
      </c>
      <c r="OY58" s="57">
        <f t="shared" si="323"/>
        <v>0</v>
      </c>
      <c r="OZ58" s="57">
        <f t="shared" si="324"/>
        <v>0</v>
      </c>
      <c r="PA58" s="57">
        <f t="shared" si="325"/>
        <v>0</v>
      </c>
      <c r="PB58" s="57">
        <f t="shared" si="326"/>
        <v>0</v>
      </c>
      <c r="PC58" s="1029">
        <f t="shared" si="465"/>
        <v>0</v>
      </c>
      <c r="PD58" s="57">
        <f t="shared" si="466"/>
        <v>0</v>
      </c>
      <c r="PE58" s="171" t="str">
        <f t="shared" si="467"/>
        <v/>
      </c>
      <c r="PF58" s="57">
        <f t="shared" si="327"/>
        <v>0</v>
      </c>
      <c r="PG58" s="57">
        <f>IF(OR(AND(OU$6=1,$L58=0),AND(OU$6=2,$K58=2,$G58=1)),0,IF(AND(OW$9=2,(OR($F58&gt;1,$K58=1,AND($L58=80,OR($N58=1,AND($N58=2,'#BerechnungDBE'!$AL49&gt;0)))))),IF(OU$4&gt;=$AD$126,0,PE58),IF(OW$9=3,IF(OR(OU$4&gt;=$AD$127,AND($G58=1,$J58=2,OU$6=2),AND(OU$6=1,$N58&lt;&gt;1)),0,IF(OY58&lt;=120,PE58,IF(OU$4&lt;$AD$124,IF($F58=1,60/OW$4*OW$6,60/OW$4*OW$7),IF($F58=1,120/OW$4*OW$6,120/OW$4*OW$7)))),IF(OR($F58=3,$G58=2),IF(OR(AND(OU$4&gt;=$AD$119,$C58=2),AND(OU$4&gt;=$AF$119,$C58=1)),0,IF(OY58&lt;=60,PE58,60/OW$4*OW$7)),IF(AND($F58=2,$G58=1),PE58,0)))))</f>
        <v>0</v>
      </c>
      <c r="PH58" s="57" t="str">
        <f t="shared" si="166"/>
        <v/>
      </c>
      <c r="PI58" s="57" t="str">
        <f t="shared" si="468"/>
        <v/>
      </c>
      <c r="PJ58" s="713">
        <f>'org. Düngung 22'!DL57</f>
        <v>0</v>
      </c>
      <c r="PK58" s="57"/>
      <c r="PL58" s="57"/>
      <c r="PM58" s="57">
        <f t="shared" si="168"/>
        <v>0</v>
      </c>
      <c r="PN58" s="57">
        <f t="shared" si="328"/>
        <v>0</v>
      </c>
      <c r="PO58" s="57">
        <f t="shared" si="329"/>
        <v>0</v>
      </c>
      <c r="PP58" s="57">
        <f t="shared" si="330"/>
        <v>0</v>
      </c>
      <c r="PQ58" s="57">
        <f t="shared" si="331"/>
        <v>0</v>
      </c>
      <c r="PR58" s="1029">
        <f t="shared" si="469"/>
        <v>0</v>
      </c>
      <c r="PS58" s="57">
        <f t="shared" si="470"/>
        <v>0</v>
      </c>
      <c r="PT58" s="171" t="str">
        <f t="shared" si="471"/>
        <v/>
      </c>
      <c r="PU58" s="57">
        <f t="shared" si="332"/>
        <v>0</v>
      </c>
      <c r="PV58" s="57">
        <f>IF(OR(AND(PJ$6=1,$L58=0),AND(PJ$6=2,$K58=2,$G58=1)),0,IF(AND(PL$9=2,(OR($F58&gt;1,$K58=1,AND($L58=80,OR($N58=1,AND($N58=2,'#BerechnungDBE'!$AL49&gt;0)))))),IF(PJ$4&gt;=$AD$126,0,PT58),IF(PL$9=3,IF(OR(PJ$4&gt;=$AD$127,AND($G58=1,$J58=2,PJ$6=2),AND(PJ$6=1,$N58&lt;&gt;1)),0,IF(PN58&lt;=120,PT58,IF(PJ$4&lt;$AD$124,IF($F58=1,60/PL$4*PL$6,60/PL$4*PL$7),IF($F58=1,120/PL$4*PL$6,120/PL$4*PL$7)))),IF(OR($F58=3,$G58=2),IF(OR(AND(PJ$4&gt;=$AD$119,$C58=2),AND(PJ$4&gt;=$AF$119,$C58=1)),0,IF(PN58&lt;=60,PT58,60/PL$4*PL$7)),IF(AND($F58=2,$G58=1),PT58,0)))))</f>
        <v>0</v>
      </c>
      <c r="PW58" s="57" t="str">
        <f t="shared" si="172"/>
        <v/>
      </c>
      <c r="PX58" s="57" t="str">
        <f t="shared" si="472"/>
        <v/>
      </c>
      <c r="PY58" s="713">
        <f>'org. Düngung 22'!DP57</f>
        <v>0</v>
      </c>
      <c r="PZ58" s="57"/>
      <c r="QA58" s="57"/>
      <c r="QB58" s="57">
        <f t="shared" si="174"/>
        <v>0</v>
      </c>
      <c r="QC58" s="57">
        <f t="shared" si="333"/>
        <v>0</v>
      </c>
      <c r="QD58" s="57">
        <f t="shared" si="334"/>
        <v>0</v>
      </c>
      <c r="QE58" s="57">
        <f t="shared" si="335"/>
        <v>0</v>
      </c>
      <c r="QF58" s="57">
        <f t="shared" si="336"/>
        <v>0</v>
      </c>
      <c r="QG58" s="1029">
        <f t="shared" si="473"/>
        <v>0</v>
      </c>
      <c r="QH58" s="57">
        <f t="shared" si="474"/>
        <v>0</v>
      </c>
      <c r="QI58" s="171" t="str">
        <f t="shared" si="475"/>
        <v/>
      </c>
      <c r="QJ58" s="57">
        <f t="shared" si="337"/>
        <v>0</v>
      </c>
      <c r="QK58" s="57">
        <f>IF(OR(AND(PY$6=1,$L58=0),AND(PY$6=2,$K58=2,$G58=1)),0,IF(AND(QA$9=2,(OR($F58&gt;1,$K58=1,AND($L58=80,OR($N58=1,AND($N58=2,'#BerechnungDBE'!$AL49&gt;0)))))),IF(PY$4&gt;=$AD$126,0,QI58),IF(QA$9=3,IF(OR(PY$4&gt;=$AD$127,AND($G58=1,$J58=2,PY$6=2),AND(PY$6=1,$N58&lt;&gt;1)),0,IF(QC58&lt;=120,QI58,IF(PY$4&lt;$AD$124,IF($F58=1,60/QA$4*QA$6,60/QA$4*QA$7),IF($F58=1,120/QA$4*QA$6,120/QA$4*QA$7)))),IF(OR($F58=3,$G58=2),IF(OR(AND(PY$4&gt;=$AD$119,$C58=2),AND(PY$4&gt;=$AF$119,$C58=1)),0,IF(QC58&lt;=60,QI58,60/QA$4*QA$7)),IF(AND($F58=2,$G58=1),QI58,0)))))</f>
        <v>0</v>
      </c>
      <c r="QL58" s="57" t="str">
        <f t="shared" si="178"/>
        <v/>
      </c>
      <c r="QM58" s="57" t="str">
        <f t="shared" si="476"/>
        <v/>
      </c>
      <c r="QN58" s="713">
        <f>'org. Düngung 22'!DT57</f>
        <v>0</v>
      </c>
      <c r="QO58" s="57"/>
      <c r="QP58" s="57"/>
      <c r="QQ58" s="57">
        <f t="shared" si="180"/>
        <v>0</v>
      </c>
      <c r="QR58" s="57">
        <f t="shared" si="338"/>
        <v>0</v>
      </c>
      <c r="QS58" s="57">
        <f t="shared" si="339"/>
        <v>0</v>
      </c>
      <c r="QT58" s="57">
        <f t="shared" si="340"/>
        <v>0</v>
      </c>
      <c r="QU58" s="57">
        <f t="shared" si="341"/>
        <v>0</v>
      </c>
      <c r="QV58" s="1029">
        <f t="shared" si="477"/>
        <v>0</v>
      </c>
      <c r="QW58" s="57">
        <f t="shared" si="478"/>
        <v>0</v>
      </c>
      <c r="QX58" s="171" t="str">
        <f t="shared" si="479"/>
        <v/>
      </c>
      <c r="QY58" s="57">
        <f t="shared" si="342"/>
        <v>0</v>
      </c>
      <c r="QZ58" s="57">
        <f>IF(OR(AND(QN$6=1,$L58=0),AND(QN$6=2,$K58=2,$G58=1)),0,IF(AND(QP$9=2,(OR($F58&gt;1,$K58=1,AND($L58=80,OR($N58=1,AND($N58=2,'#BerechnungDBE'!$AL49&gt;0)))))),IF(QN$4&gt;=$AD$126,0,QX58),IF(QP$9=3,IF(OR(QN$4&gt;=$AD$127,AND($G58=1,$J58=2,QN$6=2),AND(QN$6=1,$N58&lt;&gt;1)),0,IF(QR58&lt;=120,QX58,IF(QN$4&lt;$AD$124,IF($F58=1,60/QP$4*QP$6,60/QP$4*QP$7),IF($F58=1,120/QP$4*QP$6,120/QP$4*QP$7)))),IF(OR($F58=3,$G58=2),IF(OR(AND(QN$4&gt;=$AD$119,$C58=2),AND(QN$4&gt;=$AF$119,$C58=1)),0,IF(QR58&lt;=60,QX58,60/QP$4*QP$7)),IF(AND($F58=2,$G58=1),QX58,0)))))</f>
        <v>0</v>
      </c>
      <c r="RA58" s="57" t="str">
        <f t="shared" si="184"/>
        <v/>
      </c>
      <c r="RB58" s="57" t="str">
        <f t="shared" si="480"/>
        <v/>
      </c>
      <c r="RC58" s="713">
        <f>'org. Düngung 22'!DX57</f>
        <v>0</v>
      </c>
      <c r="RD58" s="57"/>
      <c r="RE58" s="57"/>
      <c r="RF58" s="57">
        <f t="shared" si="186"/>
        <v>0</v>
      </c>
      <c r="RG58" s="57">
        <f t="shared" si="343"/>
        <v>0</v>
      </c>
      <c r="RH58" s="57">
        <f t="shared" si="344"/>
        <v>0</v>
      </c>
      <c r="RI58" s="57">
        <f t="shared" si="345"/>
        <v>0</v>
      </c>
      <c r="RJ58" s="57">
        <f t="shared" si="346"/>
        <v>0</v>
      </c>
      <c r="RK58" s="1029">
        <f t="shared" si="481"/>
        <v>0</v>
      </c>
      <c r="RL58" s="57">
        <f t="shared" si="482"/>
        <v>0</v>
      </c>
      <c r="RM58" s="171" t="str">
        <f t="shared" si="483"/>
        <v/>
      </c>
      <c r="RN58" s="57">
        <f t="shared" si="347"/>
        <v>0</v>
      </c>
      <c r="RO58" s="57">
        <f>IF(OR(AND(RC$6=1,$L58=0),AND(RC$6=2,$K58=2,$G58=1)),0,IF(AND(RE$9=2,(OR($F58&gt;1,$K58=1,AND($L58=80,OR($N58=1,AND($N58=2,'#BerechnungDBE'!$AL49&gt;0)))))),IF(RC$4&gt;=$AD$126,0,RM58),IF(RE$9=3,IF(OR(RC$4&gt;=$AD$127,AND($G58=1,$J58=2,RC$6=2),AND(RC$6=1,$N58&lt;&gt;1)),0,IF(RG58&lt;=120,RM58,IF(RC$4&lt;$AD$124,IF($F58=1,60/RE$4*RE$6,60/RE$4*RE$7),IF($F58=1,120/RE$4*RE$6,120/RE$4*RE$7)))),IF(OR($F58=3,$G58=2),IF(OR(AND(RC$4&gt;=$AD$119,$C58=2),AND(RC$4&gt;=$AF$119,$C58=1)),0,IF(RG58&lt;=60,RM58,60/RE$4*RE$7)),IF(AND($F58=2,$G58=1),RM58,0)))))</f>
        <v>0</v>
      </c>
      <c r="RP58" s="57" t="str">
        <f t="shared" si="190"/>
        <v/>
      </c>
      <c r="RQ58" s="57" t="str">
        <f t="shared" si="484"/>
        <v/>
      </c>
      <c r="RS58" s="57" t="str">
        <f t="shared" si="488"/>
        <v/>
      </c>
      <c r="RT58" s="57" t="str">
        <f t="shared" si="485"/>
        <v/>
      </c>
      <c r="RU58" s="57" t="str">
        <f t="shared" si="486"/>
        <v/>
      </c>
      <c r="RV58" s="57" t="str">
        <f>IF(Z58&gt;'#BerechnungDBE'!BM49,$RV$9,"")</f>
        <v/>
      </c>
      <c r="RW58" s="57" t="str">
        <f>IF(AND(L58=70,AE58&gt;'#BerechnungDBE'!CQ49),$RW$9,"")</f>
        <v/>
      </c>
      <c r="RX58" s="57" t="str">
        <f>IF(OR('org. Düngung 22'!G57="--",'org. Düngung 22'!G57&lt;=170,'org. Düngung 22'!G57=""),"",$RX$9)</f>
        <v/>
      </c>
      <c r="RY58" s="57" t="str">
        <f>IF('org. Düngung 22'!K57&gt;120,'#orgDung'!$RY$9,"")</f>
        <v/>
      </c>
      <c r="RZ58" s="57" t="str">
        <f>IF('#BerechnungDBE'!P49&lt;4,"",IF(AND('#BerechnungDBE'!BZ49&gt;0,T58&gt;0),'#orgDung'!$RZ$9,""))</f>
        <v/>
      </c>
      <c r="SA58" s="57" t="str">
        <f t="shared" si="487"/>
        <v/>
      </c>
    </row>
    <row r="59" spans="1:495" s="875" customFormat="1" x14ac:dyDescent="0.2">
      <c r="A59" s="875">
        <f>'Flächen u. Kulturen'!A55</f>
        <v>46</v>
      </c>
      <c r="B59" s="367">
        <f>'#BerechnungDBE'!L50</f>
        <v>0</v>
      </c>
      <c r="C59" s="875">
        <f>'#BerechnungDBE'!R50</f>
        <v>1</v>
      </c>
      <c r="D59" s="875">
        <f>'#BerechnungDBE'!T50</f>
        <v>2</v>
      </c>
      <c r="E59" s="875" t="str">
        <f>'Flächen u. Kulturen'!E55</f>
        <v>x</v>
      </c>
      <c r="F59" s="52">
        <f>'#BerechnungDBE'!N50</f>
        <v>1</v>
      </c>
      <c r="G59" s="52">
        <f>'#BerechnungDBE'!O50</f>
        <v>1</v>
      </c>
      <c r="H59" s="875">
        <f>IF('Flächen u. Kulturen'!P55="",0,VLOOKUP('Flächen u. Kulturen'!P55,Kulturen[[HF]:[Berechnungsgruppe]],'#Frucht'!$H$1,FALSE))</f>
        <v>0</v>
      </c>
      <c r="I59" s="875">
        <f>IF('Flächen u. Kulturen'!J55="",0,VLOOKUP('Flächen u. Kulturen'!J55,Kulturen[[HF]:[Berechnungsgruppe]],'#Frucht'!$G$1,FALSE))</f>
        <v>90</v>
      </c>
      <c r="J59" s="505">
        <f t="shared" si="195"/>
        <v>2</v>
      </c>
      <c r="K59" s="505">
        <f>IF('Flächen u. Kulturen'!P55="",0,IF(VLOOKUP('Flächen u. Kulturen'!P55,Kulturen[[HF]:[Saat Winterungen]],'#Frucht'!$P$1,FALSE)&gt;0,1,2))</f>
        <v>2</v>
      </c>
      <c r="L59" s="875">
        <f>'#BerechnungDBE'!AF50</f>
        <v>0</v>
      </c>
      <c r="M59" s="875">
        <f>IF('Flächen u. Kulturen'!L55="",0,VLOOKUP('Flächen u. Kulturen'!L55,Nebenkultur[[Nebenkultur]:[Legum. Zwischenfr.]],'#Zweitfr'!$K$1,FALSE))</f>
        <v>0</v>
      </c>
      <c r="N59" s="875">
        <f>'#BerechnungDBE'!AG50</f>
        <v>0</v>
      </c>
      <c r="P59" s="57">
        <f t="shared" si="353"/>
        <v>0</v>
      </c>
      <c r="Q59" s="57">
        <f t="shared" si="354"/>
        <v>0</v>
      </c>
      <c r="R59" s="875">
        <f t="shared" si="355"/>
        <v>0</v>
      </c>
      <c r="S59" s="938" t="str">
        <f t="shared" si="3"/>
        <v/>
      </c>
      <c r="T59" s="875">
        <f t="shared" si="356"/>
        <v>0</v>
      </c>
      <c r="U59" s="875">
        <f t="shared" si="357"/>
        <v>0</v>
      </c>
      <c r="V59" s="875">
        <f t="shared" si="358"/>
        <v>0</v>
      </c>
      <c r="W59" s="875">
        <f t="shared" si="359"/>
        <v>0</v>
      </c>
      <c r="X59" s="875">
        <f t="shared" si="360"/>
        <v>0</v>
      </c>
      <c r="Y59" s="875">
        <f t="shared" si="349"/>
        <v>0</v>
      </c>
      <c r="Z59" s="875">
        <f t="shared" si="350"/>
        <v>0</v>
      </c>
      <c r="AA59" s="910">
        <f t="shared" si="361"/>
        <v>0</v>
      </c>
      <c r="AB59" s="57">
        <f t="shared" si="351"/>
        <v>0</v>
      </c>
      <c r="AC59" s="875">
        <f t="shared" si="362"/>
        <v>0</v>
      </c>
      <c r="AD59" s="875">
        <f t="shared" si="363"/>
        <v>0</v>
      </c>
      <c r="AE59" s="875">
        <f t="shared" si="364"/>
        <v>0</v>
      </c>
      <c r="AF59" s="875">
        <f t="shared" si="352"/>
        <v>0</v>
      </c>
      <c r="AG59" s="875">
        <f>'org. Düngung 22'!J58</f>
        <v>0</v>
      </c>
      <c r="AH59" s="875">
        <f>'org. Düngung 22'!K58</f>
        <v>0</v>
      </c>
      <c r="AJ59" s="713">
        <f>'org. Düngung 22'!L58</f>
        <v>0</v>
      </c>
      <c r="AK59" s="57"/>
      <c r="AL59" s="57"/>
      <c r="AM59" s="57">
        <f t="shared" si="196"/>
        <v>0</v>
      </c>
      <c r="AN59" s="57">
        <f t="shared" si="197"/>
        <v>0</v>
      </c>
      <c r="AO59" s="57">
        <f t="shared" si="198"/>
        <v>0</v>
      </c>
      <c r="AP59" s="57">
        <f t="shared" si="199"/>
        <v>0</v>
      </c>
      <c r="AQ59" s="57">
        <f t="shared" si="200"/>
        <v>0</v>
      </c>
      <c r="AR59" s="1029">
        <f t="shared" si="365"/>
        <v>0</v>
      </c>
      <c r="AS59" s="57">
        <f t="shared" si="366"/>
        <v>0</v>
      </c>
      <c r="AT59" s="171" t="str">
        <f t="shared" si="367"/>
        <v/>
      </c>
      <c r="AU59" s="57">
        <f t="shared" si="201"/>
        <v>0</v>
      </c>
      <c r="AV59" s="57">
        <f>IF(OR(AND(AJ$6=1,$L59=0),AND(AJ$6=2,$K59=2,$G59=1)),0,IF(AND(AL$9=2,(OR($F59&gt;1,$K59=1,AND($L59=80,OR($N59=1,AND($N59=2,'#BerechnungDBE'!$AL50&gt;0)))))),IF(AJ$4&gt;=$AD$126,0,AT59),IF(AL$9=3,IF(OR(AJ$4&gt;=$AD$127,AND($G59=1,$J59=2,AJ$6=2),AND(AJ$6=1,$N59&lt;&gt;1)),0,IF(AN59&lt;=120,AT59,IF(AJ$4&lt;$AD$124,IF($F59=1,60/AL$4*AL$6,60/AL$4*AL$7),IF($F59=1,120/AL$4*AL$6,120/AL$4*AL$7)))),IF(OR($F59=3,$G59=2),IF(OR(AND(AJ$4&gt;=$AD$119,$C59=2),AND(AJ$4&gt;=$AF$119,$C59=1)),0,IF(AN59&lt;=60,AT59,60/AL$4*AL$7)),IF(AND($F59=2,$G59=1),AT59,0)))))</f>
        <v>0</v>
      </c>
      <c r="AW59" s="57" t="str">
        <f t="shared" si="202"/>
        <v/>
      </c>
      <c r="AX59" s="57" t="str">
        <f t="shared" si="368"/>
        <v/>
      </c>
      <c r="AY59" s="713">
        <f>'org. Düngung 22'!P58</f>
        <v>0</v>
      </c>
      <c r="AZ59" s="57"/>
      <c r="BA59" s="57"/>
      <c r="BB59" s="57">
        <f t="shared" si="18"/>
        <v>0</v>
      </c>
      <c r="BC59" s="57">
        <f t="shared" si="203"/>
        <v>0</v>
      </c>
      <c r="BD59" s="57">
        <f t="shared" si="204"/>
        <v>0</v>
      </c>
      <c r="BE59" s="57">
        <f t="shared" si="205"/>
        <v>0</v>
      </c>
      <c r="BF59" s="57">
        <f t="shared" si="206"/>
        <v>0</v>
      </c>
      <c r="BG59" s="1029">
        <f t="shared" si="369"/>
        <v>0</v>
      </c>
      <c r="BH59" s="57">
        <f t="shared" si="370"/>
        <v>0</v>
      </c>
      <c r="BI59" s="171" t="str">
        <f t="shared" si="371"/>
        <v/>
      </c>
      <c r="BJ59" s="57">
        <f t="shared" si="207"/>
        <v>0</v>
      </c>
      <c r="BK59" s="57">
        <f>IF(OR(AND(AY$6=1,$L59=0),AND(AY$6=2,$K59=2,$G59=1)),0,IF(AND(BA$9=2,(OR($F59&gt;1,$K59=1,AND($L59=80,OR($N59=1,AND($N59=2,'#BerechnungDBE'!$AL50&gt;0)))))),IF(AY$4&gt;=$AD$126,0,BI59),IF(BA$9=3,IF(OR(AY$4&gt;=$AD$127,AND($G59=1,$J59=2,AY$6=2),AND(AY$6=1,$N59&lt;&gt;1)),0,IF(BC59&lt;=120,BI59,IF(AY$4&lt;$AD$124,IF($F59=1,60/BA$4*BA$6,60/BA$4*BA$7),IF($F59=1,120/BA$4*BA$6,120/BA$4*BA$7)))),IF(OR($F59=3,$G59=2),IF(OR(AND(AY$4&gt;=$AD$119,$C59=2),AND(AY$4&gt;=$AF$119,$C59=1)),0,IF(BC59&lt;=60,BI59,60/BA$4*BA$7)),IF(AND($F59=2,$G59=1),BI59,0)))))</f>
        <v>0</v>
      </c>
      <c r="BL59" s="57" t="str">
        <f t="shared" si="22"/>
        <v/>
      </c>
      <c r="BM59" s="57" t="str">
        <f t="shared" si="372"/>
        <v/>
      </c>
      <c r="BN59" s="713">
        <f>'org. Düngung 22'!T58</f>
        <v>0</v>
      </c>
      <c r="BO59" s="57"/>
      <c r="BP59" s="57"/>
      <c r="BQ59" s="57">
        <f t="shared" si="24"/>
        <v>0</v>
      </c>
      <c r="BR59" s="57">
        <f t="shared" si="208"/>
        <v>0</v>
      </c>
      <c r="BS59" s="57">
        <f t="shared" si="209"/>
        <v>0</v>
      </c>
      <c r="BT59" s="57">
        <f t="shared" si="210"/>
        <v>0</v>
      </c>
      <c r="BU59" s="57">
        <f t="shared" si="211"/>
        <v>0</v>
      </c>
      <c r="BV59" s="1029">
        <f t="shared" si="373"/>
        <v>0</v>
      </c>
      <c r="BW59" s="57">
        <f t="shared" si="374"/>
        <v>0</v>
      </c>
      <c r="BX59" s="171" t="str">
        <f t="shared" si="375"/>
        <v/>
      </c>
      <c r="BY59" s="57">
        <f t="shared" si="212"/>
        <v>0</v>
      </c>
      <c r="BZ59" s="57">
        <f>IF(OR(AND(BN$6=1,$L59=0),AND(BN$6=2,$K59=2,$G59=1)),0,IF(AND(BP$9=2,(OR($F59&gt;1,$K59=1,AND($L59=80,OR($N59=1,AND($N59=2,'#BerechnungDBE'!$AL50&gt;0)))))),IF(BN$4&gt;=$AD$126,0,BX59),IF(BP$9=3,IF(OR(BN$4&gt;=$AD$127,AND($G59=1,$J59=2,BN$6=2),AND(BN$6=1,$N59&lt;&gt;1)),0,IF(BR59&lt;=120,BX59,IF(BN$4&lt;$AD$124,IF($F59=1,60/BP$4*BP$6,60/BP$4*BP$7),IF($F59=1,120/BP$4*BP$6,120/BP$4*BP$7)))),IF(OR($F59=3,$G59=2),IF(OR(AND(BN$4&gt;=$AD$119,$C59=2),AND(BN$4&gt;=$AF$119,$C59=1)),0,IF(BR59&lt;=60,BX59,60/BP$4*BP$7)),IF(AND($F59=2,$G59=1),BX59,0)))))</f>
        <v>0</v>
      </c>
      <c r="CA59" s="57" t="str">
        <f t="shared" si="28"/>
        <v/>
      </c>
      <c r="CB59" s="57" t="str">
        <f t="shared" si="376"/>
        <v/>
      </c>
      <c r="CC59" s="713">
        <f>'org. Düngung 22'!X58</f>
        <v>0</v>
      </c>
      <c r="CD59" s="57"/>
      <c r="CE59" s="57"/>
      <c r="CF59" s="57">
        <f t="shared" si="30"/>
        <v>0</v>
      </c>
      <c r="CG59" s="57">
        <f t="shared" si="213"/>
        <v>0</v>
      </c>
      <c r="CH59" s="57">
        <f t="shared" si="214"/>
        <v>0</v>
      </c>
      <c r="CI59" s="57">
        <f t="shared" si="215"/>
        <v>0</v>
      </c>
      <c r="CJ59" s="57">
        <f t="shared" si="216"/>
        <v>0</v>
      </c>
      <c r="CK59" s="1029">
        <f t="shared" si="377"/>
        <v>0</v>
      </c>
      <c r="CL59" s="57">
        <f t="shared" si="378"/>
        <v>0</v>
      </c>
      <c r="CM59" s="171" t="str">
        <f t="shared" si="379"/>
        <v/>
      </c>
      <c r="CN59" s="57">
        <f t="shared" si="217"/>
        <v>0</v>
      </c>
      <c r="CO59" s="57">
        <f>IF(OR(AND(CC$6=1,$L59=0),AND(CC$6=2,$K59=2,$G59=1)),0,IF(AND(CE$9=2,(OR($F59&gt;1,$K59=1,AND($L59=80,OR($N59=1,AND($N59=2,'#BerechnungDBE'!$AL50&gt;0)))))),IF(CC$4&gt;=$AD$126,0,CM59),IF(CE$9=3,IF(OR(CC$4&gt;=$AD$127,AND($G59=1,$J59=2,CC$6=2),AND(CC$6=1,$N59&lt;&gt;1)),0,IF(CG59&lt;=120,CM59,IF(CC$4&lt;$AD$124,IF($F59=1,60/CE$4*CE$6,60/CE$4*CE$7),IF($F59=1,120/CE$4*CE$6,120/CE$4*CE$7)))),IF(OR($F59=3,$G59=2),IF(OR(AND(CC$4&gt;=$AD$119,$C59=2),AND(CC$4&gt;=$AF$119,$C59=1)),0,IF(CG59&lt;=60,CM59,60/CE$4*CE$7)),IF(AND($F59=2,$G59=1),CM59,0)))))</f>
        <v>0</v>
      </c>
      <c r="CP59" s="57" t="str">
        <f t="shared" si="34"/>
        <v/>
      </c>
      <c r="CQ59" s="57" t="str">
        <f t="shared" si="380"/>
        <v/>
      </c>
      <c r="CR59" s="713">
        <f>'org. Düngung 22'!AB58</f>
        <v>0</v>
      </c>
      <c r="CS59" s="57"/>
      <c r="CT59" s="57"/>
      <c r="CU59" s="57">
        <f t="shared" si="36"/>
        <v>0</v>
      </c>
      <c r="CV59" s="57">
        <f t="shared" si="218"/>
        <v>0</v>
      </c>
      <c r="CW59" s="57">
        <f t="shared" si="219"/>
        <v>0</v>
      </c>
      <c r="CX59" s="57">
        <f t="shared" si="220"/>
        <v>0</v>
      </c>
      <c r="CY59" s="57">
        <f t="shared" si="221"/>
        <v>0</v>
      </c>
      <c r="CZ59" s="1029">
        <f t="shared" si="381"/>
        <v>0</v>
      </c>
      <c r="DA59" s="57">
        <f t="shared" si="382"/>
        <v>0</v>
      </c>
      <c r="DB59" s="171" t="str">
        <f t="shared" si="383"/>
        <v/>
      </c>
      <c r="DC59" s="57">
        <f t="shared" si="222"/>
        <v>0</v>
      </c>
      <c r="DD59" s="57">
        <f>IF(OR(AND(CR$6=1,$L59=0),AND(CR$6=2,$K59=2,$G59=1)),0,IF(AND(CT$9=2,(OR($F59&gt;1,$K59=1,AND($L59=80,OR($N59=1,AND($N59=2,'#BerechnungDBE'!$AL50&gt;0)))))),IF(CR$4&gt;=$AD$126,0,DB59),IF(CT$9=3,IF(OR(CR$4&gt;=$AD$127,AND($G59=1,$J59=2,CR$6=2),AND(CR$6=1,$N59&lt;&gt;1)),0,IF(CV59&lt;=120,DB59,IF(CR$4&lt;$AD$124,IF($F59=1,60/CT$4*CT$6,60/CT$4*CT$7),IF($F59=1,120/CT$4*CT$6,120/CT$4*CT$7)))),IF(OR($F59=3,$G59=2),IF(OR(AND(CR$4&gt;=$AD$119,$C59=2),AND(CR$4&gt;=$AF$119,$C59=1)),0,IF(CV59&lt;=60,DB59,60/CT$4*CT$7)),IF(AND($F59=2,$G59=1),DB59,0)))))</f>
        <v>0</v>
      </c>
      <c r="DE59" s="57" t="str">
        <f t="shared" si="40"/>
        <v/>
      </c>
      <c r="DF59" s="57" t="str">
        <f t="shared" si="384"/>
        <v/>
      </c>
      <c r="DG59" s="713">
        <f>'org. Düngung 22'!AF58</f>
        <v>0</v>
      </c>
      <c r="DH59" s="57"/>
      <c r="DI59" s="57"/>
      <c r="DJ59" s="57">
        <f t="shared" si="42"/>
        <v>0</v>
      </c>
      <c r="DK59" s="57">
        <f t="shared" si="223"/>
        <v>0</v>
      </c>
      <c r="DL59" s="57">
        <f t="shared" si="224"/>
        <v>0</v>
      </c>
      <c r="DM59" s="57">
        <f t="shared" si="225"/>
        <v>0</v>
      </c>
      <c r="DN59" s="57">
        <f t="shared" si="226"/>
        <v>0</v>
      </c>
      <c r="DO59" s="1029">
        <f t="shared" si="385"/>
        <v>0</v>
      </c>
      <c r="DP59" s="57">
        <f t="shared" si="386"/>
        <v>0</v>
      </c>
      <c r="DQ59" s="171" t="str">
        <f t="shared" si="387"/>
        <v/>
      </c>
      <c r="DR59" s="57">
        <f t="shared" si="227"/>
        <v>0</v>
      </c>
      <c r="DS59" s="57">
        <f>IF(OR(AND(DG$6=1,$L59=0),AND(DG$6=2,$K59=2,$G59=1)),0,IF(AND(DI$9=2,(OR($F59&gt;1,$K59=1,AND($L59=80,OR($N59=1,AND($N59=2,'#BerechnungDBE'!$AL50&gt;0)))))),IF(DG$4&gt;=$AD$126,0,DQ59),IF(DI$9=3,IF(OR(DG$4&gt;=$AD$127,AND($G59=1,$J59=2,DG$6=2),AND(DG$6=1,$N59&lt;&gt;1)),0,IF(DK59&lt;=120,DQ59,IF(DG$4&lt;$AD$124,IF($F59=1,60/DI$4*DI$6,60/DI$4*DI$7),IF($F59=1,120/DI$4*DI$6,120/DI$4*DI$7)))),IF(OR($F59=3,$G59=2),IF(OR(AND(DG$4&gt;=$AD$119,$C59=2),AND(DG$4&gt;=$AF$119,$C59=1)),0,IF(DK59&lt;=60,DQ59,60/DI$4*DI$7)),IF(AND($F59=2,$G59=1),DQ59,0)))))</f>
        <v>0</v>
      </c>
      <c r="DT59" s="57" t="str">
        <f t="shared" si="46"/>
        <v/>
      </c>
      <c r="DU59" s="57" t="str">
        <f t="shared" si="388"/>
        <v/>
      </c>
      <c r="DV59" s="713">
        <f>'org. Düngung 22'!AJ58</f>
        <v>0</v>
      </c>
      <c r="DW59" s="57"/>
      <c r="DX59" s="57"/>
      <c r="DY59" s="57">
        <f t="shared" si="48"/>
        <v>0</v>
      </c>
      <c r="DZ59" s="57">
        <f t="shared" si="228"/>
        <v>0</v>
      </c>
      <c r="EA59" s="57">
        <f t="shared" si="229"/>
        <v>0</v>
      </c>
      <c r="EB59" s="57">
        <f t="shared" si="230"/>
        <v>0</v>
      </c>
      <c r="EC59" s="57">
        <f t="shared" si="231"/>
        <v>0</v>
      </c>
      <c r="ED59" s="1029">
        <f t="shared" si="389"/>
        <v>0</v>
      </c>
      <c r="EE59" s="57">
        <f t="shared" si="390"/>
        <v>0</v>
      </c>
      <c r="EF59" s="171" t="str">
        <f t="shared" si="391"/>
        <v/>
      </c>
      <c r="EG59" s="57">
        <f t="shared" si="232"/>
        <v>0</v>
      </c>
      <c r="EH59" s="57">
        <f>IF(OR(AND(DV$6=1,$L59=0),AND(DV$6=2,$K59=2,$G59=1)),0,IF(AND(DX$9=2,(OR($F59&gt;1,$K59=1,AND($L59=80,OR($N59=1,AND($N59=2,'#BerechnungDBE'!$AL50&gt;0)))))),IF(DV$4&gt;=$AD$126,0,EF59),IF(DX$9=3,IF(OR(DV$4&gt;=$AD$127,AND($G59=1,$J59=2,DV$6=2),AND(DV$6=1,$N59&lt;&gt;1)),0,IF(DZ59&lt;=120,EF59,IF(DV$4&lt;$AD$124,IF($F59=1,60/DX$4*DX$6,60/DX$4*DX$7),IF($F59=1,120/DX$4*DX$6,120/DX$4*DX$7)))),IF(OR($F59=3,$G59=2),IF(OR(AND(DV$4&gt;=$AD$119,$C59=2),AND(DV$4&gt;=$AF$119,$C59=1)),0,IF(DZ59&lt;=60,EF59,60/DX$4*DX$7)),IF(AND($F59=2,$G59=1),EF59,0)))))</f>
        <v>0</v>
      </c>
      <c r="EI59" s="57" t="str">
        <f t="shared" si="52"/>
        <v/>
      </c>
      <c r="EJ59" s="57" t="str">
        <f t="shared" si="392"/>
        <v/>
      </c>
      <c r="EK59" s="713">
        <f>'org. Düngung 22'!AN58</f>
        <v>0</v>
      </c>
      <c r="EL59" s="57"/>
      <c r="EM59" s="57"/>
      <c r="EN59" s="57">
        <f t="shared" si="54"/>
        <v>0</v>
      </c>
      <c r="EO59" s="57">
        <f t="shared" si="233"/>
        <v>0</v>
      </c>
      <c r="EP59" s="57">
        <f t="shared" si="234"/>
        <v>0</v>
      </c>
      <c r="EQ59" s="57">
        <f t="shared" si="235"/>
        <v>0</v>
      </c>
      <c r="ER59" s="57">
        <f t="shared" si="236"/>
        <v>0</v>
      </c>
      <c r="ES59" s="1029">
        <f t="shared" si="393"/>
        <v>0</v>
      </c>
      <c r="ET59" s="57">
        <f t="shared" si="394"/>
        <v>0</v>
      </c>
      <c r="EU59" s="171" t="str">
        <f t="shared" si="395"/>
        <v/>
      </c>
      <c r="EV59" s="57">
        <f t="shared" si="237"/>
        <v>0</v>
      </c>
      <c r="EW59" s="57">
        <f>IF(OR(AND(EK$6=1,$L59=0),AND(EK$6=2,$K59=2,$G59=1)),0,IF(AND(EM$9=2,(OR($F59&gt;1,$K59=1,AND($L59=80,OR($N59=1,AND($N59=2,'#BerechnungDBE'!$AL50&gt;0)))))),IF(EK$4&gt;=$AD$126,0,EU59),IF(EM$9=3,IF(OR(EK$4&gt;=$AD$127,AND($G59=1,$J59=2,EK$6=2),AND(EK$6=1,$N59&lt;&gt;1)),0,IF(EO59&lt;=120,EU59,IF(EK$4&lt;$AD$124,IF($F59=1,60/EM$4*EM$6,60/EM$4*EM$7),IF($F59=1,120/EM$4*EM$6,120/EM$4*EM$7)))),IF(OR($F59=3,$G59=2),IF(OR(AND(EK$4&gt;=$AD$119,$C59=2),AND(EK$4&gt;=$AF$119,$C59=1)),0,IF(EO59&lt;=60,EU59,60/EM$4*EM$7)),IF(AND($F59=2,$G59=1),EU59,0)))))</f>
        <v>0</v>
      </c>
      <c r="EX59" s="57" t="str">
        <f t="shared" si="58"/>
        <v/>
      </c>
      <c r="EY59" s="57" t="str">
        <f t="shared" si="396"/>
        <v/>
      </c>
      <c r="EZ59" s="713">
        <f>'org. Düngung 22'!AR58</f>
        <v>0</v>
      </c>
      <c r="FA59" s="57"/>
      <c r="FB59" s="57"/>
      <c r="FC59" s="57">
        <f t="shared" si="60"/>
        <v>0</v>
      </c>
      <c r="FD59" s="57">
        <f t="shared" si="238"/>
        <v>0</v>
      </c>
      <c r="FE59" s="57">
        <f t="shared" si="239"/>
        <v>0</v>
      </c>
      <c r="FF59" s="57">
        <f t="shared" si="240"/>
        <v>0</v>
      </c>
      <c r="FG59" s="57">
        <f t="shared" si="241"/>
        <v>0</v>
      </c>
      <c r="FH59" s="1029">
        <f t="shared" si="397"/>
        <v>0</v>
      </c>
      <c r="FI59" s="57">
        <f t="shared" si="398"/>
        <v>0</v>
      </c>
      <c r="FJ59" s="171" t="str">
        <f t="shared" si="399"/>
        <v/>
      </c>
      <c r="FK59" s="57">
        <f t="shared" si="242"/>
        <v>0</v>
      </c>
      <c r="FL59" s="57">
        <f>IF(OR(AND(EZ$6=1,$L59=0),AND(EZ$6=2,$K59=2,$G59=1)),0,IF(AND(FB$9=2,(OR($F59&gt;1,$K59=1,AND($L59=80,OR($N59=1,AND($N59=2,'#BerechnungDBE'!$AL50&gt;0)))))),IF(EZ$4&gt;=$AD$126,0,FJ59),IF(FB$9=3,IF(OR(EZ$4&gt;=$AD$127,AND($G59=1,$J59=2,EZ$6=2),AND(EZ$6=1,$N59&lt;&gt;1)),0,IF(FD59&lt;=120,FJ59,IF(EZ$4&lt;$AD$124,IF($F59=1,60/FB$4*FB$6,60/FB$4*FB$7),IF($F59=1,120/FB$4*FB$6,120/FB$4*FB$7)))),IF(OR($F59=3,$G59=2),IF(OR(AND(EZ$4&gt;=$AD$119,$C59=2),AND(EZ$4&gt;=$AF$119,$C59=1)),0,IF(FD59&lt;=60,FJ59,60/FB$4*FB$7)),IF(AND($F59=2,$G59=1),FJ59,0)))))</f>
        <v>0</v>
      </c>
      <c r="FM59" s="57" t="str">
        <f t="shared" si="64"/>
        <v/>
      </c>
      <c r="FN59" s="57" t="str">
        <f t="shared" si="400"/>
        <v/>
      </c>
      <c r="FO59" s="713">
        <f>'org. Düngung 22'!AV58</f>
        <v>0</v>
      </c>
      <c r="FP59" s="57"/>
      <c r="FQ59" s="57"/>
      <c r="FR59" s="57">
        <f t="shared" si="66"/>
        <v>0</v>
      </c>
      <c r="FS59" s="57">
        <f t="shared" si="243"/>
        <v>0</v>
      </c>
      <c r="FT59" s="57">
        <f t="shared" si="244"/>
        <v>0</v>
      </c>
      <c r="FU59" s="57">
        <f t="shared" si="245"/>
        <v>0</v>
      </c>
      <c r="FV59" s="57">
        <f t="shared" si="246"/>
        <v>0</v>
      </c>
      <c r="FW59" s="1029">
        <f t="shared" si="401"/>
        <v>0</v>
      </c>
      <c r="FX59" s="57">
        <f t="shared" si="402"/>
        <v>0</v>
      </c>
      <c r="FY59" s="171" t="str">
        <f t="shared" si="403"/>
        <v/>
      </c>
      <c r="FZ59" s="57">
        <f t="shared" si="247"/>
        <v>0</v>
      </c>
      <c r="GA59" s="57">
        <f>IF(OR(AND(FO$6=1,$L59=0),AND(FO$6=2,$K59=2,$G59=1)),0,IF(AND(FQ$9=2,(OR($F59&gt;1,$K59=1,AND($L59=80,OR($N59=1,AND($N59=2,'#BerechnungDBE'!$AL50&gt;0)))))),IF(FO$4&gt;=$AD$126,0,FY59),IF(FQ$9=3,IF(OR(FO$4&gt;=$AD$127,AND($G59=1,$J59=2,FO$6=2),AND(FO$6=1,$N59&lt;&gt;1)),0,IF(FS59&lt;=120,FY59,IF(FO$4&lt;$AD$124,IF($F59=1,60/FQ$4*FQ$6,60/FQ$4*FQ$7),IF($F59=1,120/FQ$4*FQ$6,120/FQ$4*FQ$7)))),IF(OR($F59=3,$G59=2),IF(OR(AND(FO$4&gt;=$AD$119,$C59=2),AND(FO$4&gt;=$AF$119,$C59=1)),0,IF(FS59&lt;=60,FY59,60/FQ$4*FQ$7)),IF(AND($F59=2,$G59=1),FY59,0)))))</f>
        <v>0</v>
      </c>
      <c r="GB59" s="57" t="str">
        <f t="shared" si="70"/>
        <v/>
      </c>
      <c r="GC59" s="57" t="str">
        <f t="shared" si="404"/>
        <v/>
      </c>
      <c r="GD59" s="713">
        <f>'org. Düngung 22'!AZ58</f>
        <v>0</v>
      </c>
      <c r="GE59" s="57"/>
      <c r="GF59" s="57"/>
      <c r="GG59" s="57">
        <f t="shared" si="72"/>
        <v>0</v>
      </c>
      <c r="GH59" s="57">
        <f t="shared" si="248"/>
        <v>0</v>
      </c>
      <c r="GI59" s="57">
        <f t="shared" si="249"/>
        <v>0</v>
      </c>
      <c r="GJ59" s="57">
        <f t="shared" si="250"/>
        <v>0</v>
      </c>
      <c r="GK59" s="57">
        <f t="shared" si="251"/>
        <v>0</v>
      </c>
      <c r="GL59" s="1029">
        <f t="shared" si="405"/>
        <v>0</v>
      </c>
      <c r="GM59" s="57">
        <f t="shared" si="406"/>
        <v>0</v>
      </c>
      <c r="GN59" s="171" t="str">
        <f t="shared" si="407"/>
        <v/>
      </c>
      <c r="GO59" s="57">
        <f t="shared" si="252"/>
        <v>0</v>
      </c>
      <c r="GP59" s="57">
        <f>IF(OR(AND(GD$6=1,$L59=0),AND(GD$6=2,$K59=2,$G59=1)),0,IF(AND(GF$9=2,(OR($F59&gt;1,$K59=1,AND($L59=80,OR($N59=1,AND($N59=2,'#BerechnungDBE'!$AL50&gt;0)))))),IF(GD$4&gt;=$AD$126,0,GN59),IF(GF$9=3,IF(OR(GD$4&gt;=$AD$127,AND($G59=1,$J59=2,GD$6=2),AND(GD$6=1,$N59&lt;&gt;1)),0,IF(GH59&lt;=120,GN59,IF(GD$4&lt;$AD$124,IF($F59=1,60/GF$4*GF$6,60/GF$4*GF$7),IF($F59=1,120/GF$4*GF$6,120/GF$4*GF$7)))),IF(OR($F59=3,$G59=2),IF(OR(AND(GD$4&gt;=$AD$119,$C59=2),AND(GD$4&gt;=$AF$119,$C59=1)),0,IF(GH59&lt;=60,GN59,60/GF$4*GF$7)),IF(AND($F59=2,$G59=1),GN59,0)))))</f>
        <v>0</v>
      </c>
      <c r="GQ59" s="57" t="str">
        <f t="shared" si="76"/>
        <v/>
      </c>
      <c r="GR59" s="57" t="str">
        <f t="shared" si="408"/>
        <v/>
      </c>
      <c r="GS59" s="713">
        <f>'org. Düngung 22'!BD58</f>
        <v>0</v>
      </c>
      <c r="GT59" s="57"/>
      <c r="GU59" s="57"/>
      <c r="GV59" s="57">
        <f t="shared" si="78"/>
        <v>0</v>
      </c>
      <c r="GW59" s="57">
        <f t="shared" si="253"/>
        <v>0</v>
      </c>
      <c r="GX59" s="57">
        <f t="shared" si="254"/>
        <v>0</v>
      </c>
      <c r="GY59" s="57">
        <f t="shared" si="255"/>
        <v>0</v>
      </c>
      <c r="GZ59" s="57">
        <f t="shared" si="256"/>
        <v>0</v>
      </c>
      <c r="HA59" s="1029">
        <f t="shared" si="409"/>
        <v>0</v>
      </c>
      <c r="HB59" s="57">
        <f t="shared" si="410"/>
        <v>0</v>
      </c>
      <c r="HC59" s="171" t="str">
        <f t="shared" si="411"/>
        <v/>
      </c>
      <c r="HD59" s="57">
        <f t="shared" si="257"/>
        <v>0</v>
      </c>
      <c r="HE59" s="57">
        <f>IF(OR(AND(GS$6=1,$L59=0),AND(GS$6=2,$K59=2,$G59=1)),0,IF(AND(GU$9=2,(OR($F59&gt;1,$K59=1,AND($L59=80,OR($N59=1,AND($N59=2,'#BerechnungDBE'!$AL50&gt;0)))))),IF(GS$4&gt;=$AD$126,0,HC59),IF(GU$9=3,IF(OR(GS$4&gt;=$AD$127,AND($G59=1,$J59=2,GS$6=2),AND(GS$6=1,$N59&lt;&gt;1)),0,IF(GW59&lt;=120,HC59,IF(GS$4&lt;$AD$124,IF($F59=1,60/GU$4*GU$6,60/GU$4*GU$7),IF($F59=1,120/GU$4*GU$6,120/GU$4*GU$7)))),IF(OR($F59=3,$G59=2),IF(OR(AND(GS$4&gt;=$AD$119,$C59=2),AND(GS$4&gt;=$AF$119,$C59=1)),0,IF(GW59&lt;=60,HC59,60/GU$4*GU$7)),IF(AND($F59=2,$G59=1),HC59,0)))))</f>
        <v>0</v>
      </c>
      <c r="HF59" s="57" t="str">
        <f t="shared" si="82"/>
        <v/>
      </c>
      <c r="HG59" s="57" t="str">
        <f t="shared" si="412"/>
        <v/>
      </c>
      <c r="HH59" s="713">
        <f>'org. Düngung 22'!BH58</f>
        <v>0</v>
      </c>
      <c r="HI59" s="57"/>
      <c r="HJ59" s="57"/>
      <c r="HK59" s="57">
        <f t="shared" si="84"/>
        <v>0</v>
      </c>
      <c r="HL59" s="57">
        <f t="shared" si="258"/>
        <v>0</v>
      </c>
      <c r="HM59" s="57">
        <f t="shared" si="259"/>
        <v>0</v>
      </c>
      <c r="HN59" s="57">
        <f t="shared" si="260"/>
        <v>0</v>
      </c>
      <c r="HO59" s="57">
        <f t="shared" si="261"/>
        <v>0</v>
      </c>
      <c r="HP59" s="1029">
        <f t="shared" si="413"/>
        <v>0</v>
      </c>
      <c r="HQ59" s="57">
        <f t="shared" si="414"/>
        <v>0</v>
      </c>
      <c r="HR59" s="171" t="str">
        <f t="shared" si="415"/>
        <v/>
      </c>
      <c r="HS59" s="57">
        <f t="shared" si="262"/>
        <v>0</v>
      </c>
      <c r="HT59" s="57">
        <f>IF(OR(AND(HH$6=1,$L59=0),AND(HH$6=2,$K59=2,$G59=1)),0,IF(AND(HJ$9=2,(OR($F59&gt;1,$K59=1,AND($L59=80,OR($N59=1,AND($N59=2,'#BerechnungDBE'!$AL50&gt;0)))))),IF(HH$4&gt;=$AD$126,0,HR59),IF(HJ$9=3,IF(OR(HH$4&gt;=$AD$127,AND($G59=1,$J59=2,HH$6=2),AND(HH$6=1,$N59&lt;&gt;1)),0,IF(HL59&lt;=120,HR59,IF(HH$4&lt;$AD$124,IF($F59=1,60/HJ$4*HJ$6,60/HJ$4*HJ$7),IF($F59=1,120/HJ$4*HJ$6,120/HJ$4*HJ$7)))),IF(OR($F59=3,$G59=2),IF(OR(AND(HH$4&gt;=$AD$119,$C59=2),AND(HH$4&gt;=$AF$119,$C59=1)),0,IF(HL59&lt;=60,HR59,60/HJ$4*HJ$7)),IF(AND($F59=2,$G59=1),HR59,0)))))</f>
        <v>0</v>
      </c>
      <c r="HU59" s="57" t="str">
        <f t="shared" si="88"/>
        <v/>
      </c>
      <c r="HV59" s="57" t="str">
        <f t="shared" si="416"/>
        <v/>
      </c>
      <c r="HW59" s="713">
        <f>'org. Düngung 22'!BL58</f>
        <v>0</v>
      </c>
      <c r="HX59" s="57"/>
      <c r="HY59" s="57"/>
      <c r="HZ59" s="57">
        <f t="shared" si="90"/>
        <v>0</v>
      </c>
      <c r="IA59" s="57">
        <f t="shared" si="263"/>
        <v>0</v>
      </c>
      <c r="IB59" s="57">
        <f t="shared" si="264"/>
        <v>0</v>
      </c>
      <c r="IC59" s="57">
        <f t="shared" si="265"/>
        <v>0</v>
      </c>
      <c r="ID59" s="57">
        <f t="shared" si="266"/>
        <v>0</v>
      </c>
      <c r="IE59" s="1029">
        <f t="shared" si="417"/>
        <v>0</v>
      </c>
      <c r="IF59" s="57">
        <f t="shared" si="418"/>
        <v>0</v>
      </c>
      <c r="IG59" s="171" t="str">
        <f t="shared" si="419"/>
        <v/>
      </c>
      <c r="IH59" s="57">
        <f t="shared" si="267"/>
        <v>0</v>
      </c>
      <c r="II59" s="57">
        <f>IF(OR(AND(HW$6=1,$L59=0),AND(HW$6=2,$K59=2,$G59=1)),0,IF(AND(HY$9=2,(OR($F59&gt;1,$K59=1,AND($L59=80,OR($N59=1,AND($N59=2,'#BerechnungDBE'!$AL50&gt;0)))))),IF(HW$4&gt;=$AD$126,0,IG59),IF(HY$9=3,IF(OR(HW$4&gt;=$AD$127,AND($G59=1,$J59=2,HW$6=2),AND(HW$6=1,$N59&lt;&gt;1)),0,IF(IA59&lt;=120,IG59,IF(HW$4&lt;$AD$124,IF($F59=1,60/HY$4*HY$6,60/HY$4*HY$7),IF($F59=1,120/HY$4*HY$6,120/HY$4*HY$7)))),IF(OR($F59=3,$G59=2),IF(OR(AND(HW$4&gt;=$AD$119,$C59=2),AND(HW$4&gt;=$AF$119,$C59=1)),0,IF(IA59&lt;=60,IG59,60/HY$4*HY$7)),IF(AND($F59=2,$G59=1),IG59,0)))))</f>
        <v>0</v>
      </c>
      <c r="IJ59" s="57" t="str">
        <f t="shared" si="94"/>
        <v/>
      </c>
      <c r="IK59" s="57" t="str">
        <f t="shared" si="420"/>
        <v/>
      </c>
      <c r="IL59" s="713">
        <f>'org. Düngung 22'!BP58</f>
        <v>0</v>
      </c>
      <c r="IM59" s="57"/>
      <c r="IN59" s="57"/>
      <c r="IO59" s="57">
        <f t="shared" si="96"/>
        <v>0</v>
      </c>
      <c r="IP59" s="57">
        <f t="shared" si="268"/>
        <v>0</v>
      </c>
      <c r="IQ59" s="57">
        <f t="shared" si="269"/>
        <v>0</v>
      </c>
      <c r="IR59" s="57">
        <f t="shared" si="270"/>
        <v>0</v>
      </c>
      <c r="IS59" s="57">
        <f t="shared" si="271"/>
        <v>0</v>
      </c>
      <c r="IT59" s="1029">
        <f t="shared" si="421"/>
        <v>0</v>
      </c>
      <c r="IU59" s="57">
        <f t="shared" si="422"/>
        <v>0</v>
      </c>
      <c r="IV59" s="171" t="str">
        <f t="shared" si="423"/>
        <v/>
      </c>
      <c r="IW59" s="57">
        <f t="shared" si="272"/>
        <v>0</v>
      </c>
      <c r="IX59" s="57">
        <f>IF(OR(AND(IL$6=1,$L59=0),AND(IL$6=2,$K59=2,$G59=1)),0,IF(AND(IN$9=2,(OR($F59&gt;1,$K59=1,AND($L59=80,OR($N59=1,AND($N59=2,'#BerechnungDBE'!$AL50&gt;0)))))),IF(IL$4&gt;=$AD$126,0,IV59),IF(IN$9=3,IF(OR(IL$4&gt;=$AD$127,AND($G59=1,$J59=2,IL$6=2),AND(IL$6=1,$N59&lt;&gt;1)),0,IF(IP59&lt;=120,IV59,IF(IL$4&lt;$AD$124,IF($F59=1,60/IN$4*IN$6,60/IN$4*IN$7),IF($F59=1,120/IN$4*IN$6,120/IN$4*IN$7)))),IF(OR($F59=3,$G59=2),IF(OR(AND(IL$4&gt;=$AD$119,$C59=2),AND(IL$4&gt;=$AF$119,$C59=1)),0,IF(IP59&lt;=60,IV59,60/IN$4*IN$7)),IF(AND($F59=2,$G59=1),IV59,0)))))</f>
        <v>0</v>
      </c>
      <c r="IY59" s="57" t="str">
        <f t="shared" si="100"/>
        <v/>
      </c>
      <c r="IZ59" s="57" t="str">
        <f t="shared" si="424"/>
        <v/>
      </c>
      <c r="JA59" s="713">
        <f>'org. Düngung 22'!BT58</f>
        <v>0</v>
      </c>
      <c r="JB59" s="57"/>
      <c r="JC59" s="57"/>
      <c r="JD59" s="57">
        <f t="shared" si="102"/>
        <v>0</v>
      </c>
      <c r="JE59" s="57">
        <f t="shared" si="273"/>
        <v>0</v>
      </c>
      <c r="JF59" s="57">
        <f t="shared" si="274"/>
        <v>0</v>
      </c>
      <c r="JG59" s="57">
        <f t="shared" si="275"/>
        <v>0</v>
      </c>
      <c r="JH59" s="57">
        <f t="shared" si="276"/>
        <v>0</v>
      </c>
      <c r="JI59" s="1029">
        <f t="shared" si="425"/>
        <v>0</v>
      </c>
      <c r="JJ59" s="57">
        <f t="shared" si="426"/>
        <v>0</v>
      </c>
      <c r="JK59" s="171" t="str">
        <f t="shared" si="427"/>
        <v/>
      </c>
      <c r="JL59" s="57">
        <f t="shared" si="277"/>
        <v>0</v>
      </c>
      <c r="JM59" s="57">
        <f>IF(OR(AND(JA$6=1,$L59=0),AND(JA$6=2,$K59=2,$G59=1)),0,IF(AND(JC$9=2,(OR($F59&gt;1,$K59=1,AND($L59=80,OR($N59=1,AND($N59=2,'#BerechnungDBE'!$AL50&gt;0)))))),IF(JA$4&gt;=$AD$126,0,JK59),IF(JC$9=3,IF(OR(JA$4&gt;=$AD$127,AND($G59=1,$J59=2,JA$6=2),AND(JA$6=1,$N59&lt;&gt;1)),0,IF(JE59&lt;=120,JK59,IF(JA$4&lt;$AD$124,IF($F59=1,60/JC$4*JC$6,60/JC$4*JC$7),IF($F59=1,120/JC$4*JC$6,120/JC$4*JC$7)))),IF(OR($F59=3,$G59=2),IF(OR(AND(JA$4&gt;=$AD$119,$C59=2),AND(JA$4&gt;=$AF$119,$C59=1)),0,IF(JE59&lt;=60,JK59,60/JC$4*JC$7)),IF(AND($F59=2,$G59=1),JK59,0)))))</f>
        <v>0</v>
      </c>
      <c r="JN59" s="57" t="str">
        <f t="shared" si="106"/>
        <v/>
      </c>
      <c r="JO59" s="57" t="str">
        <f t="shared" si="428"/>
        <v/>
      </c>
      <c r="JP59" s="713">
        <f>'org. Düngung 22'!BX58</f>
        <v>0</v>
      </c>
      <c r="JQ59" s="57"/>
      <c r="JR59" s="57"/>
      <c r="JS59" s="57">
        <f t="shared" si="108"/>
        <v>0</v>
      </c>
      <c r="JT59" s="57">
        <f t="shared" si="278"/>
        <v>0</v>
      </c>
      <c r="JU59" s="57">
        <f t="shared" si="279"/>
        <v>0</v>
      </c>
      <c r="JV59" s="57">
        <f t="shared" si="280"/>
        <v>0</v>
      </c>
      <c r="JW59" s="57">
        <f t="shared" si="281"/>
        <v>0</v>
      </c>
      <c r="JX59" s="1029">
        <f t="shared" si="429"/>
        <v>0</v>
      </c>
      <c r="JY59" s="57">
        <f t="shared" si="430"/>
        <v>0</v>
      </c>
      <c r="JZ59" s="171" t="str">
        <f t="shared" si="431"/>
        <v/>
      </c>
      <c r="KA59" s="57">
        <f t="shared" si="282"/>
        <v>0</v>
      </c>
      <c r="KB59" s="57">
        <f>IF(OR(AND(JP$6=1,$L59=0),AND(JP$6=2,$K59=2,$G59=1)),0,IF(AND(JR$9=2,(OR($F59&gt;1,$K59=1,AND($L59=80,OR($N59=1,AND($N59=2,'#BerechnungDBE'!$AL50&gt;0)))))),IF(JP$4&gt;=$AD$126,0,JZ59),IF(JR$9=3,IF(OR(JP$4&gt;=$AD$127,AND($G59=1,$J59=2,JP$6=2),AND(JP$6=1,$N59&lt;&gt;1)),0,IF(JT59&lt;=120,JZ59,IF(JP$4&lt;$AD$124,IF($F59=1,60/JR$4*JR$6,60/JR$4*JR$7),IF($F59=1,120/JR$4*JR$6,120/JR$4*JR$7)))),IF(OR($F59=3,$G59=2),IF(OR(AND(JP$4&gt;=$AD$119,$C59=2),AND(JP$4&gt;=$AF$119,$C59=1)),0,IF(JT59&lt;=60,JZ59,60/JR$4*JR$7)),IF(AND($F59=2,$G59=1),JZ59,0)))))</f>
        <v>0</v>
      </c>
      <c r="KC59" s="57" t="str">
        <f t="shared" si="112"/>
        <v/>
      </c>
      <c r="KD59" s="57" t="str">
        <f t="shared" si="432"/>
        <v/>
      </c>
      <c r="KE59" s="713">
        <f>'org. Düngung 22'!CB58</f>
        <v>0</v>
      </c>
      <c r="KF59" s="57"/>
      <c r="KG59" s="57"/>
      <c r="KH59" s="57">
        <f t="shared" si="114"/>
        <v>0</v>
      </c>
      <c r="KI59" s="57">
        <f t="shared" si="283"/>
        <v>0</v>
      </c>
      <c r="KJ59" s="57">
        <f t="shared" si="284"/>
        <v>0</v>
      </c>
      <c r="KK59" s="57">
        <f t="shared" si="285"/>
        <v>0</v>
      </c>
      <c r="KL59" s="57">
        <f t="shared" si="286"/>
        <v>0</v>
      </c>
      <c r="KM59" s="1029">
        <f t="shared" si="433"/>
        <v>0</v>
      </c>
      <c r="KN59" s="57">
        <f t="shared" si="434"/>
        <v>0</v>
      </c>
      <c r="KO59" s="171" t="str">
        <f t="shared" si="435"/>
        <v/>
      </c>
      <c r="KP59" s="57">
        <f t="shared" si="287"/>
        <v>0</v>
      </c>
      <c r="KQ59" s="57">
        <f>IF(OR(AND(KE$6=1,$L59=0),AND(KE$6=2,$K59=2,$G59=1)),0,IF(AND(KG$9=2,(OR($F59&gt;1,$K59=1,AND($L59=80,OR($N59=1,AND($N59=2,'#BerechnungDBE'!$AL50&gt;0)))))),IF(KE$4&gt;=$AD$126,0,KO59),IF(KG$9=3,IF(OR(KE$4&gt;=$AD$127,AND($G59=1,$J59=2,KE$6=2),AND(KE$6=1,$N59&lt;&gt;1)),0,IF(KI59&lt;=120,KO59,IF(KE$4&lt;$AD$124,IF($F59=1,60/KG$4*KG$6,60/KG$4*KG$7),IF($F59=1,120/KG$4*KG$6,120/KG$4*KG$7)))),IF(OR($F59=3,$G59=2),IF(OR(AND(KE$4&gt;=$AD$119,$C59=2),AND(KE$4&gt;=$AF$119,$C59=1)),0,IF(KI59&lt;=60,KO59,60/KG$4*KG$7)),IF(AND($F59=2,$G59=1),KO59,0)))))</f>
        <v>0</v>
      </c>
      <c r="KR59" s="57" t="str">
        <f t="shared" si="118"/>
        <v/>
      </c>
      <c r="KS59" s="57" t="str">
        <f t="shared" si="436"/>
        <v/>
      </c>
      <c r="KT59" s="713">
        <f>'org. Düngung 22'!CF58</f>
        <v>0</v>
      </c>
      <c r="KU59" s="57"/>
      <c r="KV59" s="57"/>
      <c r="KW59" s="57">
        <f t="shared" si="120"/>
        <v>0</v>
      </c>
      <c r="KX59" s="57">
        <f t="shared" si="288"/>
        <v>0</v>
      </c>
      <c r="KY59" s="57">
        <f t="shared" si="289"/>
        <v>0</v>
      </c>
      <c r="KZ59" s="57">
        <f t="shared" si="290"/>
        <v>0</v>
      </c>
      <c r="LA59" s="57">
        <f t="shared" si="291"/>
        <v>0</v>
      </c>
      <c r="LB59" s="1029">
        <f t="shared" si="437"/>
        <v>0</v>
      </c>
      <c r="LC59" s="57">
        <f t="shared" si="438"/>
        <v>0</v>
      </c>
      <c r="LD59" s="171" t="str">
        <f t="shared" si="439"/>
        <v/>
      </c>
      <c r="LE59" s="57">
        <f t="shared" si="292"/>
        <v>0</v>
      </c>
      <c r="LF59" s="57">
        <f>IF(OR(AND(KT$6=1,$L59=0),AND(KT$6=2,$K59=2,$G59=1)),0,IF(AND(KV$9=2,(OR($F59&gt;1,$K59=1,AND($L59=80,OR($N59=1,AND($N59=2,'#BerechnungDBE'!$AL50&gt;0)))))),IF(KT$4&gt;=$AD$126,0,LD59),IF(KV$9=3,IF(OR(KT$4&gt;=$AD$127,AND($G59=1,$J59=2,KT$6=2),AND(KT$6=1,$N59&lt;&gt;1)),0,IF(KX59&lt;=120,LD59,IF(KT$4&lt;$AD$124,IF($F59=1,60/KV$4*KV$6,60/KV$4*KV$7),IF($F59=1,120/KV$4*KV$6,120/KV$4*KV$7)))),IF(OR($F59=3,$G59=2),IF(OR(AND(KT$4&gt;=$AD$119,$C59=2),AND(KT$4&gt;=$AF$119,$C59=1)),0,IF(KX59&lt;=60,LD59,60/KV$4*KV$7)),IF(AND($F59=2,$G59=1),LD59,0)))))</f>
        <v>0</v>
      </c>
      <c r="LG59" s="57" t="str">
        <f t="shared" si="124"/>
        <v/>
      </c>
      <c r="LH59" s="57" t="str">
        <f t="shared" si="440"/>
        <v/>
      </c>
      <c r="LI59" s="713">
        <f>'org. Düngung 22'!CJ58</f>
        <v>0</v>
      </c>
      <c r="LJ59" s="57"/>
      <c r="LK59" s="57"/>
      <c r="LL59" s="57">
        <f t="shared" si="126"/>
        <v>0</v>
      </c>
      <c r="LM59" s="57">
        <f t="shared" si="293"/>
        <v>0</v>
      </c>
      <c r="LN59" s="57">
        <f t="shared" si="294"/>
        <v>0</v>
      </c>
      <c r="LO59" s="57">
        <f t="shared" si="295"/>
        <v>0</v>
      </c>
      <c r="LP59" s="57">
        <f t="shared" si="296"/>
        <v>0</v>
      </c>
      <c r="LQ59" s="1029">
        <f t="shared" si="441"/>
        <v>0</v>
      </c>
      <c r="LR59" s="57">
        <f t="shared" si="442"/>
        <v>0</v>
      </c>
      <c r="LS59" s="171" t="str">
        <f t="shared" si="443"/>
        <v/>
      </c>
      <c r="LT59" s="57">
        <f t="shared" si="297"/>
        <v>0</v>
      </c>
      <c r="LU59" s="57">
        <f>IF(OR(AND(LI$6=1,$L59=0),AND(LI$6=2,$K59=2,$G59=1)),0,IF(AND(LK$9=2,(OR($F59&gt;1,$K59=1,AND($L59=80,OR($N59=1,AND($N59=2,'#BerechnungDBE'!$AL50&gt;0)))))),IF(LI$4&gt;=$AD$126,0,LS59),IF(LK$9=3,IF(OR(LI$4&gt;=$AD$127,AND($G59=1,$J59=2,LI$6=2),AND(LI$6=1,$N59&lt;&gt;1)),0,IF(LM59&lt;=120,LS59,IF(LI$4&lt;$AD$124,IF($F59=1,60/LK$4*LK$6,60/LK$4*LK$7),IF($F59=1,120/LK$4*LK$6,120/LK$4*LK$7)))),IF(OR($F59=3,$G59=2),IF(OR(AND(LI$4&gt;=$AD$119,$C59=2),AND(LI$4&gt;=$AF$119,$C59=1)),0,IF(LM59&lt;=60,LS59,60/LK$4*LK$7)),IF(AND($F59=2,$G59=1),LS59,0)))))</f>
        <v>0</v>
      </c>
      <c r="LV59" s="57" t="str">
        <f t="shared" si="130"/>
        <v/>
      </c>
      <c r="LW59" s="57" t="str">
        <f t="shared" si="444"/>
        <v/>
      </c>
      <c r="LX59" s="713">
        <f>'org. Düngung 22'!CN58</f>
        <v>0</v>
      </c>
      <c r="LY59" s="57"/>
      <c r="LZ59" s="57"/>
      <c r="MA59" s="57">
        <f t="shared" si="132"/>
        <v>0</v>
      </c>
      <c r="MB59" s="57">
        <f t="shared" si="298"/>
        <v>0</v>
      </c>
      <c r="MC59" s="57">
        <f t="shared" si="299"/>
        <v>0</v>
      </c>
      <c r="MD59" s="57">
        <f t="shared" si="300"/>
        <v>0</v>
      </c>
      <c r="ME59" s="57">
        <f t="shared" si="301"/>
        <v>0</v>
      </c>
      <c r="MF59" s="1029">
        <f t="shared" si="445"/>
        <v>0</v>
      </c>
      <c r="MG59" s="57">
        <f t="shared" si="446"/>
        <v>0</v>
      </c>
      <c r="MH59" s="171" t="str">
        <f t="shared" si="447"/>
        <v/>
      </c>
      <c r="MI59" s="57">
        <f t="shared" si="302"/>
        <v>0</v>
      </c>
      <c r="MJ59" s="57">
        <f>IF(OR(AND(LX$6=1,$L59=0),AND(LX$6=2,$K59=2,$G59=1)),0,IF(AND(LZ$9=2,(OR($F59&gt;1,$K59=1,AND($L59=80,OR($N59=1,AND($N59=2,'#BerechnungDBE'!$AL50&gt;0)))))),IF(LX$4&gt;=$AD$126,0,MH59),IF(LZ$9=3,IF(OR(LX$4&gt;=$AD$127,AND($G59=1,$J59=2,LX$6=2),AND(LX$6=1,$N59&lt;&gt;1)),0,IF(MB59&lt;=120,MH59,IF(LX$4&lt;$AD$124,IF($F59=1,60/LZ$4*LZ$6,60/LZ$4*LZ$7),IF($F59=1,120/LZ$4*LZ$6,120/LZ$4*LZ$7)))),IF(OR($F59=3,$G59=2),IF(OR(AND(LX$4&gt;=$AD$119,$C59=2),AND(LX$4&gt;=$AF$119,$C59=1)),0,IF(MB59&lt;=60,MH59,60/LZ$4*LZ$7)),IF(AND($F59=2,$G59=1),MH59,0)))))</f>
        <v>0</v>
      </c>
      <c r="MK59" s="57" t="str">
        <f t="shared" si="136"/>
        <v/>
      </c>
      <c r="ML59" s="57" t="str">
        <f t="shared" si="448"/>
        <v/>
      </c>
      <c r="MM59" s="713">
        <f>'org. Düngung 22'!CR58</f>
        <v>0</v>
      </c>
      <c r="MN59" s="57"/>
      <c r="MO59" s="57"/>
      <c r="MP59" s="57">
        <f t="shared" si="138"/>
        <v>0</v>
      </c>
      <c r="MQ59" s="57">
        <f t="shared" si="303"/>
        <v>0</v>
      </c>
      <c r="MR59" s="57">
        <f t="shared" si="304"/>
        <v>0</v>
      </c>
      <c r="MS59" s="57">
        <f t="shared" si="305"/>
        <v>0</v>
      </c>
      <c r="MT59" s="57">
        <f t="shared" si="306"/>
        <v>0</v>
      </c>
      <c r="MU59" s="1029">
        <f t="shared" si="449"/>
        <v>0</v>
      </c>
      <c r="MV59" s="57">
        <f t="shared" si="450"/>
        <v>0</v>
      </c>
      <c r="MW59" s="171" t="str">
        <f t="shared" si="451"/>
        <v/>
      </c>
      <c r="MX59" s="57">
        <f t="shared" si="307"/>
        <v>0</v>
      </c>
      <c r="MY59" s="57">
        <f>IF(OR(AND(MM$6=1,$L59=0),AND(MM$6=2,$K59=2,$G59=1)),0,IF(AND(MO$9=2,(OR($F59&gt;1,$K59=1,AND($L59=80,OR($N59=1,AND($N59=2,'#BerechnungDBE'!$AL50&gt;0)))))),IF(MM$4&gt;=$AD$126,0,MW59),IF(MO$9=3,IF(OR(MM$4&gt;=$AD$127,AND($G59=1,$J59=2,MM$6=2),AND(MM$6=1,$N59&lt;&gt;1)),0,IF(MQ59&lt;=120,MW59,IF(MM$4&lt;$AD$124,IF($F59=1,60/MO$4*MO$6,60/MO$4*MO$7),IF($F59=1,120/MO$4*MO$6,120/MO$4*MO$7)))),IF(OR($F59=3,$G59=2),IF(OR(AND(MM$4&gt;=$AD$119,$C59=2),AND(MM$4&gt;=$AF$119,$C59=1)),0,IF(MQ59&lt;=60,MW59,60/MO$4*MO$7)),IF(AND($F59=2,$G59=1),MW59,0)))))</f>
        <v>0</v>
      </c>
      <c r="MZ59" s="57" t="str">
        <f t="shared" si="142"/>
        <v/>
      </c>
      <c r="NA59" s="57" t="str">
        <f t="shared" si="452"/>
        <v/>
      </c>
      <c r="NB59" s="713">
        <f>'org. Düngung 22'!CV58</f>
        <v>0</v>
      </c>
      <c r="NC59" s="57"/>
      <c r="ND59" s="57"/>
      <c r="NE59" s="57">
        <f t="shared" si="144"/>
        <v>0</v>
      </c>
      <c r="NF59" s="57">
        <f t="shared" si="308"/>
        <v>0</v>
      </c>
      <c r="NG59" s="57">
        <f t="shared" si="309"/>
        <v>0</v>
      </c>
      <c r="NH59" s="57">
        <f t="shared" si="310"/>
        <v>0</v>
      </c>
      <c r="NI59" s="57">
        <f t="shared" si="311"/>
        <v>0</v>
      </c>
      <c r="NJ59" s="1029">
        <f t="shared" si="453"/>
        <v>0</v>
      </c>
      <c r="NK59" s="57">
        <f t="shared" si="454"/>
        <v>0</v>
      </c>
      <c r="NL59" s="171" t="str">
        <f t="shared" si="455"/>
        <v/>
      </c>
      <c r="NM59" s="57">
        <f t="shared" si="312"/>
        <v>0</v>
      </c>
      <c r="NN59" s="57">
        <f>IF(OR(AND(NB$6=1,$L59=0),AND(NB$6=2,$K59=2,$G59=1)),0,IF(AND(ND$9=2,(OR($F59&gt;1,$K59=1,AND($L59=80,OR($N59=1,AND($N59=2,'#BerechnungDBE'!$AL50&gt;0)))))),IF(NB$4&gt;=$AD$126,0,NL59),IF(ND$9=3,IF(OR(NB$4&gt;=$AD$127,AND($G59=1,$J59=2,NB$6=2),AND(NB$6=1,$N59&lt;&gt;1)),0,IF(NF59&lt;=120,NL59,IF(NB$4&lt;$AD$124,IF($F59=1,60/ND$4*ND$6,60/ND$4*ND$7),IF($F59=1,120/ND$4*ND$6,120/ND$4*ND$7)))),IF(OR($F59=3,$G59=2),IF(OR(AND(NB$4&gt;=$AD$119,$C59=2),AND(NB$4&gt;=$AF$119,$C59=1)),0,IF(NF59&lt;=60,NL59,60/ND$4*ND$7)),IF(AND($F59=2,$G59=1),NL59,0)))))</f>
        <v>0</v>
      </c>
      <c r="NO59" s="57" t="str">
        <f t="shared" si="148"/>
        <v/>
      </c>
      <c r="NP59" s="57" t="str">
        <f t="shared" si="456"/>
        <v/>
      </c>
      <c r="NQ59" s="713">
        <f>'org. Düngung 22'!CZ58</f>
        <v>0</v>
      </c>
      <c r="NR59" s="57"/>
      <c r="NS59" s="57"/>
      <c r="NT59" s="57">
        <f t="shared" si="150"/>
        <v>0</v>
      </c>
      <c r="NU59" s="57">
        <f t="shared" si="313"/>
        <v>0</v>
      </c>
      <c r="NV59" s="57">
        <f t="shared" si="314"/>
        <v>0</v>
      </c>
      <c r="NW59" s="57">
        <f t="shared" si="315"/>
        <v>0</v>
      </c>
      <c r="NX59" s="57">
        <f t="shared" si="316"/>
        <v>0</v>
      </c>
      <c r="NY59" s="1029">
        <f t="shared" si="457"/>
        <v>0</v>
      </c>
      <c r="NZ59" s="57">
        <f t="shared" si="458"/>
        <v>0</v>
      </c>
      <c r="OA59" s="171" t="str">
        <f t="shared" si="459"/>
        <v/>
      </c>
      <c r="OB59" s="57">
        <f t="shared" si="317"/>
        <v>0</v>
      </c>
      <c r="OC59" s="57">
        <f>IF(OR(AND(NQ$6=1,$L59=0),AND(NQ$6=2,$K59=2,$G59=1)),0,IF(AND(NS$9=2,(OR($F59&gt;1,$K59=1,AND($L59=80,OR($N59=1,AND($N59=2,'#BerechnungDBE'!$AL50&gt;0)))))),IF(NQ$4&gt;=$AD$126,0,OA59),IF(NS$9=3,IF(OR(NQ$4&gt;=$AD$127,AND($G59=1,$J59=2,NQ$6=2),AND(NQ$6=1,$N59&lt;&gt;1)),0,IF(NU59&lt;=120,OA59,IF(NQ$4&lt;$AD$124,IF($F59=1,60/NS$4*NS$6,60/NS$4*NS$7),IF($F59=1,120/NS$4*NS$6,120/NS$4*NS$7)))),IF(OR($F59=3,$G59=2),IF(OR(AND(NQ$4&gt;=$AD$119,$C59=2),AND(NQ$4&gt;=$AF$119,$C59=1)),0,IF(NU59&lt;=60,OA59,60/NS$4*NS$7)),IF(AND($F59=2,$G59=1),OA59,0)))))</f>
        <v>0</v>
      </c>
      <c r="OD59" s="57" t="str">
        <f t="shared" si="154"/>
        <v/>
      </c>
      <c r="OE59" s="57" t="str">
        <f t="shared" si="460"/>
        <v/>
      </c>
      <c r="OF59" s="713">
        <f>'org. Düngung 22'!DD58</f>
        <v>0</v>
      </c>
      <c r="OG59" s="57"/>
      <c r="OH59" s="57"/>
      <c r="OI59" s="57">
        <f t="shared" si="156"/>
        <v>0</v>
      </c>
      <c r="OJ59" s="57">
        <f t="shared" si="318"/>
        <v>0</v>
      </c>
      <c r="OK59" s="57">
        <f t="shared" si="319"/>
        <v>0</v>
      </c>
      <c r="OL59" s="57">
        <f t="shared" si="320"/>
        <v>0</v>
      </c>
      <c r="OM59" s="57">
        <f t="shared" si="321"/>
        <v>0</v>
      </c>
      <c r="ON59" s="1029">
        <f t="shared" si="461"/>
        <v>0</v>
      </c>
      <c r="OO59" s="57">
        <f t="shared" si="462"/>
        <v>0</v>
      </c>
      <c r="OP59" s="171" t="str">
        <f t="shared" si="463"/>
        <v/>
      </c>
      <c r="OQ59" s="57">
        <f t="shared" si="322"/>
        <v>0</v>
      </c>
      <c r="OR59" s="57">
        <f>IF(OR(AND(OF$6=1,$L59=0),AND(OF$6=2,$K59=2,$G59=1)),0,IF(AND(OH$9=2,(OR($F59&gt;1,$K59=1,AND($L59=80,OR($N59=1,AND($N59=2,'#BerechnungDBE'!$AL50&gt;0)))))),IF(OF$4&gt;=$AD$126,0,OP59),IF(OH$9=3,IF(OR(OF$4&gt;=$AD$127,AND($G59=1,$J59=2,OF$6=2),AND(OF$6=1,$N59&lt;&gt;1)),0,IF(OJ59&lt;=120,OP59,IF(OF$4&lt;$AD$124,IF($F59=1,60/OH$4*OH$6,60/OH$4*OH$7),IF($F59=1,120/OH$4*OH$6,120/OH$4*OH$7)))),IF(OR($F59=3,$G59=2),IF(OR(AND(OF$4&gt;=$AD$119,$C59=2),AND(OF$4&gt;=$AF$119,$C59=1)),0,IF(OJ59&lt;=60,OP59,60/OH$4*OH$7)),IF(AND($F59=2,$G59=1),OP59,0)))))</f>
        <v>0</v>
      </c>
      <c r="OS59" s="57" t="str">
        <f t="shared" si="160"/>
        <v/>
      </c>
      <c r="OT59" s="57" t="str">
        <f t="shared" si="464"/>
        <v/>
      </c>
      <c r="OU59" s="713">
        <f>'org. Düngung 22'!DH58</f>
        <v>0</v>
      </c>
      <c r="OV59" s="57"/>
      <c r="OW59" s="57"/>
      <c r="OX59" s="57">
        <f t="shared" si="162"/>
        <v>0</v>
      </c>
      <c r="OY59" s="57">
        <f t="shared" si="323"/>
        <v>0</v>
      </c>
      <c r="OZ59" s="57">
        <f t="shared" si="324"/>
        <v>0</v>
      </c>
      <c r="PA59" s="57">
        <f t="shared" si="325"/>
        <v>0</v>
      </c>
      <c r="PB59" s="57">
        <f t="shared" si="326"/>
        <v>0</v>
      </c>
      <c r="PC59" s="1029">
        <f t="shared" si="465"/>
        <v>0</v>
      </c>
      <c r="PD59" s="57">
        <f t="shared" si="466"/>
        <v>0</v>
      </c>
      <c r="PE59" s="171" t="str">
        <f t="shared" si="467"/>
        <v/>
      </c>
      <c r="PF59" s="57">
        <f t="shared" si="327"/>
        <v>0</v>
      </c>
      <c r="PG59" s="57">
        <f>IF(OR(AND(OU$6=1,$L59=0),AND(OU$6=2,$K59=2,$G59=1)),0,IF(AND(OW$9=2,(OR($F59&gt;1,$K59=1,AND($L59=80,OR($N59=1,AND($N59=2,'#BerechnungDBE'!$AL50&gt;0)))))),IF(OU$4&gt;=$AD$126,0,PE59),IF(OW$9=3,IF(OR(OU$4&gt;=$AD$127,AND($G59=1,$J59=2,OU$6=2),AND(OU$6=1,$N59&lt;&gt;1)),0,IF(OY59&lt;=120,PE59,IF(OU$4&lt;$AD$124,IF($F59=1,60/OW$4*OW$6,60/OW$4*OW$7),IF($F59=1,120/OW$4*OW$6,120/OW$4*OW$7)))),IF(OR($F59=3,$G59=2),IF(OR(AND(OU$4&gt;=$AD$119,$C59=2),AND(OU$4&gt;=$AF$119,$C59=1)),0,IF(OY59&lt;=60,PE59,60/OW$4*OW$7)),IF(AND($F59=2,$G59=1),PE59,0)))))</f>
        <v>0</v>
      </c>
      <c r="PH59" s="57" t="str">
        <f t="shared" si="166"/>
        <v/>
      </c>
      <c r="PI59" s="57" t="str">
        <f t="shared" si="468"/>
        <v/>
      </c>
      <c r="PJ59" s="713">
        <f>'org. Düngung 22'!DL58</f>
        <v>0</v>
      </c>
      <c r="PK59" s="57"/>
      <c r="PL59" s="57"/>
      <c r="PM59" s="57">
        <f t="shared" si="168"/>
        <v>0</v>
      </c>
      <c r="PN59" s="57">
        <f t="shared" si="328"/>
        <v>0</v>
      </c>
      <c r="PO59" s="57">
        <f t="shared" si="329"/>
        <v>0</v>
      </c>
      <c r="PP59" s="57">
        <f t="shared" si="330"/>
        <v>0</v>
      </c>
      <c r="PQ59" s="57">
        <f t="shared" si="331"/>
        <v>0</v>
      </c>
      <c r="PR59" s="1029">
        <f t="shared" si="469"/>
        <v>0</v>
      </c>
      <c r="PS59" s="57">
        <f t="shared" si="470"/>
        <v>0</v>
      </c>
      <c r="PT59" s="171" t="str">
        <f t="shared" si="471"/>
        <v/>
      </c>
      <c r="PU59" s="57">
        <f t="shared" si="332"/>
        <v>0</v>
      </c>
      <c r="PV59" s="57">
        <f>IF(OR(AND(PJ$6=1,$L59=0),AND(PJ$6=2,$K59=2,$G59=1)),0,IF(AND(PL$9=2,(OR($F59&gt;1,$K59=1,AND($L59=80,OR($N59=1,AND($N59=2,'#BerechnungDBE'!$AL50&gt;0)))))),IF(PJ$4&gt;=$AD$126,0,PT59),IF(PL$9=3,IF(OR(PJ$4&gt;=$AD$127,AND($G59=1,$J59=2,PJ$6=2),AND(PJ$6=1,$N59&lt;&gt;1)),0,IF(PN59&lt;=120,PT59,IF(PJ$4&lt;$AD$124,IF($F59=1,60/PL$4*PL$6,60/PL$4*PL$7),IF($F59=1,120/PL$4*PL$6,120/PL$4*PL$7)))),IF(OR($F59=3,$G59=2),IF(OR(AND(PJ$4&gt;=$AD$119,$C59=2),AND(PJ$4&gt;=$AF$119,$C59=1)),0,IF(PN59&lt;=60,PT59,60/PL$4*PL$7)),IF(AND($F59=2,$G59=1),PT59,0)))))</f>
        <v>0</v>
      </c>
      <c r="PW59" s="57" t="str">
        <f t="shared" si="172"/>
        <v/>
      </c>
      <c r="PX59" s="57" t="str">
        <f t="shared" si="472"/>
        <v/>
      </c>
      <c r="PY59" s="713">
        <f>'org. Düngung 22'!DP58</f>
        <v>0</v>
      </c>
      <c r="PZ59" s="57"/>
      <c r="QA59" s="57"/>
      <c r="QB59" s="57">
        <f t="shared" si="174"/>
        <v>0</v>
      </c>
      <c r="QC59" s="57">
        <f t="shared" si="333"/>
        <v>0</v>
      </c>
      <c r="QD59" s="57">
        <f t="shared" si="334"/>
        <v>0</v>
      </c>
      <c r="QE59" s="57">
        <f t="shared" si="335"/>
        <v>0</v>
      </c>
      <c r="QF59" s="57">
        <f t="shared" si="336"/>
        <v>0</v>
      </c>
      <c r="QG59" s="1029">
        <f t="shared" si="473"/>
        <v>0</v>
      </c>
      <c r="QH59" s="57">
        <f t="shared" si="474"/>
        <v>0</v>
      </c>
      <c r="QI59" s="171" t="str">
        <f t="shared" si="475"/>
        <v/>
      </c>
      <c r="QJ59" s="57">
        <f t="shared" si="337"/>
        <v>0</v>
      </c>
      <c r="QK59" s="57">
        <f>IF(OR(AND(PY$6=1,$L59=0),AND(PY$6=2,$K59=2,$G59=1)),0,IF(AND(QA$9=2,(OR($F59&gt;1,$K59=1,AND($L59=80,OR($N59=1,AND($N59=2,'#BerechnungDBE'!$AL50&gt;0)))))),IF(PY$4&gt;=$AD$126,0,QI59),IF(QA$9=3,IF(OR(PY$4&gt;=$AD$127,AND($G59=1,$J59=2,PY$6=2),AND(PY$6=1,$N59&lt;&gt;1)),0,IF(QC59&lt;=120,QI59,IF(PY$4&lt;$AD$124,IF($F59=1,60/QA$4*QA$6,60/QA$4*QA$7),IF($F59=1,120/QA$4*QA$6,120/QA$4*QA$7)))),IF(OR($F59=3,$G59=2),IF(OR(AND(PY$4&gt;=$AD$119,$C59=2),AND(PY$4&gt;=$AF$119,$C59=1)),0,IF(QC59&lt;=60,QI59,60/QA$4*QA$7)),IF(AND($F59=2,$G59=1),QI59,0)))))</f>
        <v>0</v>
      </c>
      <c r="QL59" s="57" t="str">
        <f t="shared" si="178"/>
        <v/>
      </c>
      <c r="QM59" s="57" t="str">
        <f t="shared" si="476"/>
        <v/>
      </c>
      <c r="QN59" s="713">
        <f>'org. Düngung 22'!DT58</f>
        <v>0</v>
      </c>
      <c r="QO59" s="57"/>
      <c r="QP59" s="57"/>
      <c r="QQ59" s="57">
        <f t="shared" si="180"/>
        <v>0</v>
      </c>
      <c r="QR59" s="57">
        <f t="shared" si="338"/>
        <v>0</v>
      </c>
      <c r="QS59" s="57">
        <f t="shared" si="339"/>
        <v>0</v>
      </c>
      <c r="QT59" s="57">
        <f t="shared" si="340"/>
        <v>0</v>
      </c>
      <c r="QU59" s="57">
        <f t="shared" si="341"/>
        <v>0</v>
      </c>
      <c r="QV59" s="1029">
        <f t="shared" si="477"/>
        <v>0</v>
      </c>
      <c r="QW59" s="57">
        <f t="shared" si="478"/>
        <v>0</v>
      </c>
      <c r="QX59" s="171" t="str">
        <f t="shared" si="479"/>
        <v/>
      </c>
      <c r="QY59" s="57">
        <f t="shared" si="342"/>
        <v>0</v>
      </c>
      <c r="QZ59" s="57">
        <f>IF(OR(AND(QN$6=1,$L59=0),AND(QN$6=2,$K59=2,$G59=1)),0,IF(AND(QP$9=2,(OR($F59&gt;1,$K59=1,AND($L59=80,OR($N59=1,AND($N59=2,'#BerechnungDBE'!$AL50&gt;0)))))),IF(QN$4&gt;=$AD$126,0,QX59),IF(QP$9=3,IF(OR(QN$4&gt;=$AD$127,AND($G59=1,$J59=2,QN$6=2),AND(QN$6=1,$N59&lt;&gt;1)),0,IF(QR59&lt;=120,QX59,IF(QN$4&lt;$AD$124,IF($F59=1,60/QP$4*QP$6,60/QP$4*QP$7),IF($F59=1,120/QP$4*QP$6,120/QP$4*QP$7)))),IF(OR($F59=3,$G59=2),IF(OR(AND(QN$4&gt;=$AD$119,$C59=2),AND(QN$4&gt;=$AF$119,$C59=1)),0,IF(QR59&lt;=60,QX59,60/QP$4*QP$7)),IF(AND($F59=2,$G59=1),QX59,0)))))</f>
        <v>0</v>
      </c>
      <c r="RA59" s="57" t="str">
        <f t="shared" si="184"/>
        <v/>
      </c>
      <c r="RB59" s="57" t="str">
        <f t="shared" si="480"/>
        <v/>
      </c>
      <c r="RC59" s="713">
        <f>'org. Düngung 22'!DX58</f>
        <v>0</v>
      </c>
      <c r="RD59" s="57"/>
      <c r="RE59" s="57"/>
      <c r="RF59" s="57">
        <f t="shared" si="186"/>
        <v>0</v>
      </c>
      <c r="RG59" s="57">
        <f t="shared" si="343"/>
        <v>0</v>
      </c>
      <c r="RH59" s="57">
        <f t="shared" si="344"/>
        <v>0</v>
      </c>
      <c r="RI59" s="57">
        <f t="shared" si="345"/>
        <v>0</v>
      </c>
      <c r="RJ59" s="57">
        <f t="shared" si="346"/>
        <v>0</v>
      </c>
      <c r="RK59" s="1029">
        <f t="shared" si="481"/>
        <v>0</v>
      </c>
      <c r="RL59" s="57">
        <f t="shared" si="482"/>
        <v>0</v>
      </c>
      <c r="RM59" s="171" t="str">
        <f t="shared" si="483"/>
        <v/>
      </c>
      <c r="RN59" s="57">
        <f t="shared" si="347"/>
        <v>0</v>
      </c>
      <c r="RO59" s="57">
        <f>IF(OR(AND(RC$6=1,$L59=0),AND(RC$6=2,$K59=2,$G59=1)),0,IF(AND(RE$9=2,(OR($F59&gt;1,$K59=1,AND($L59=80,OR($N59=1,AND($N59=2,'#BerechnungDBE'!$AL50&gt;0)))))),IF(RC$4&gt;=$AD$126,0,RM59),IF(RE$9=3,IF(OR(RC$4&gt;=$AD$127,AND($G59=1,$J59=2,RC$6=2),AND(RC$6=1,$N59&lt;&gt;1)),0,IF(RG59&lt;=120,RM59,IF(RC$4&lt;$AD$124,IF($F59=1,60/RE$4*RE$6,60/RE$4*RE$7),IF($F59=1,120/RE$4*RE$6,120/RE$4*RE$7)))),IF(OR($F59=3,$G59=2),IF(OR(AND(RC$4&gt;=$AD$119,$C59=2),AND(RC$4&gt;=$AF$119,$C59=1)),0,IF(RG59&lt;=60,RM59,60/RE$4*RE$7)),IF(AND($F59=2,$G59=1),RM59,0)))))</f>
        <v>0</v>
      </c>
      <c r="RP59" s="57" t="str">
        <f t="shared" si="190"/>
        <v/>
      </c>
      <c r="RQ59" s="57" t="str">
        <f t="shared" si="484"/>
        <v/>
      </c>
      <c r="RS59" s="57" t="str">
        <f t="shared" si="488"/>
        <v/>
      </c>
      <c r="RT59" s="57" t="str">
        <f t="shared" si="485"/>
        <v/>
      </c>
      <c r="RU59" s="57" t="str">
        <f t="shared" si="486"/>
        <v/>
      </c>
      <c r="RV59" s="57" t="str">
        <f>IF(Z59&gt;'#BerechnungDBE'!BM50,$RV$9,"")</f>
        <v/>
      </c>
      <c r="RW59" s="57" t="str">
        <f>IF(AND(L59=70,AE59&gt;'#BerechnungDBE'!CQ50),$RW$9,"")</f>
        <v/>
      </c>
      <c r="RX59" s="57" t="str">
        <f>IF(OR('org. Düngung 22'!G58="--",'org. Düngung 22'!G58&lt;=170,'org. Düngung 22'!G58=""),"",$RX$9)</f>
        <v/>
      </c>
      <c r="RY59" s="57" t="str">
        <f>IF('org. Düngung 22'!K58&gt;120,'#orgDung'!$RY$9,"")</f>
        <v/>
      </c>
      <c r="RZ59" s="57" t="str">
        <f>IF('#BerechnungDBE'!P50&lt;4,"",IF(AND('#BerechnungDBE'!BZ50&gt;0,T59&gt;0),'#orgDung'!$RZ$9,""))</f>
        <v/>
      </c>
      <c r="SA59" s="57" t="str">
        <f t="shared" si="487"/>
        <v/>
      </c>
    </row>
    <row r="60" spans="1:495" s="875" customFormat="1" x14ac:dyDescent="0.2">
      <c r="A60" s="875">
        <f>'Flächen u. Kulturen'!A56</f>
        <v>47</v>
      </c>
      <c r="B60" s="367">
        <f>'#BerechnungDBE'!L51</f>
        <v>0</v>
      </c>
      <c r="C60" s="875">
        <f>'#BerechnungDBE'!R51</f>
        <v>1</v>
      </c>
      <c r="D60" s="875">
        <f>'#BerechnungDBE'!T51</f>
        <v>2</v>
      </c>
      <c r="E60" s="875" t="str">
        <f>'Flächen u. Kulturen'!E56</f>
        <v>x</v>
      </c>
      <c r="F60" s="52">
        <f>'#BerechnungDBE'!N51</f>
        <v>1</v>
      </c>
      <c r="G60" s="52">
        <f>'#BerechnungDBE'!O51</f>
        <v>1</v>
      </c>
      <c r="H60" s="875">
        <f>IF('Flächen u. Kulturen'!P56="",0,VLOOKUP('Flächen u. Kulturen'!P56,Kulturen[[HF]:[Berechnungsgruppe]],'#Frucht'!$H$1,FALSE))</f>
        <v>0</v>
      </c>
      <c r="I60" s="875">
        <f>IF('Flächen u. Kulturen'!J56="",0,VLOOKUP('Flächen u. Kulturen'!J56,Kulturen[[HF]:[Berechnungsgruppe]],'#Frucht'!$G$1,FALSE))</f>
        <v>90</v>
      </c>
      <c r="J60" s="505">
        <f t="shared" si="195"/>
        <v>2</v>
      </c>
      <c r="K60" s="505">
        <f>IF('Flächen u. Kulturen'!P56="",0,IF(VLOOKUP('Flächen u. Kulturen'!P56,Kulturen[[HF]:[Saat Winterungen]],'#Frucht'!$P$1,FALSE)&gt;0,1,2))</f>
        <v>2</v>
      </c>
      <c r="L60" s="875">
        <f>'#BerechnungDBE'!AF51</f>
        <v>0</v>
      </c>
      <c r="M60" s="875">
        <f>IF('Flächen u. Kulturen'!L56="",0,VLOOKUP('Flächen u. Kulturen'!L56,Nebenkultur[[Nebenkultur]:[Legum. Zwischenfr.]],'#Zweitfr'!$K$1,FALSE))</f>
        <v>0</v>
      </c>
      <c r="N60" s="875">
        <f>'#BerechnungDBE'!AG51</f>
        <v>0</v>
      </c>
      <c r="P60" s="57">
        <f t="shared" si="353"/>
        <v>0</v>
      </c>
      <c r="Q60" s="57">
        <f t="shared" si="354"/>
        <v>0</v>
      </c>
      <c r="R60" s="875">
        <f t="shared" si="355"/>
        <v>0</v>
      </c>
      <c r="S60" s="938" t="str">
        <f t="shared" si="3"/>
        <v/>
      </c>
      <c r="T60" s="875">
        <f t="shared" si="356"/>
        <v>0</v>
      </c>
      <c r="U60" s="875">
        <f t="shared" si="357"/>
        <v>0</v>
      </c>
      <c r="V60" s="875">
        <f t="shared" si="358"/>
        <v>0</v>
      </c>
      <c r="W60" s="875">
        <f t="shared" si="359"/>
        <v>0</v>
      </c>
      <c r="X60" s="875">
        <f t="shared" si="360"/>
        <v>0</v>
      </c>
      <c r="Y60" s="875">
        <f t="shared" si="349"/>
        <v>0</v>
      </c>
      <c r="Z60" s="875">
        <f t="shared" si="350"/>
        <v>0</v>
      </c>
      <c r="AA60" s="910">
        <f t="shared" si="361"/>
        <v>0</v>
      </c>
      <c r="AB60" s="57">
        <f t="shared" si="351"/>
        <v>0</v>
      </c>
      <c r="AC60" s="875">
        <f t="shared" si="362"/>
        <v>0</v>
      </c>
      <c r="AD60" s="875">
        <f t="shared" si="363"/>
        <v>0</v>
      </c>
      <c r="AE60" s="875">
        <f t="shared" si="364"/>
        <v>0</v>
      </c>
      <c r="AF60" s="875">
        <f t="shared" si="352"/>
        <v>0</v>
      </c>
      <c r="AG60" s="875">
        <f>'org. Düngung 22'!J59</f>
        <v>0</v>
      </c>
      <c r="AH60" s="875">
        <f>'org. Düngung 22'!K59</f>
        <v>0</v>
      </c>
      <c r="AJ60" s="713">
        <f>'org. Düngung 22'!L59</f>
        <v>0</v>
      </c>
      <c r="AK60" s="57"/>
      <c r="AL60" s="57"/>
      <c r="AM60" s="57">
        <f t="shared" si="196"/>
        <v>0</v>
      </c>
      <c r="AN60" s="57">
        <f t="shared" si="197"/>
        <v>0</v>
      </c>
      <c r="AO60" s="57">
        <f t="shared" si="198"/>
        <v>0</v>
      </c>
      <c r="AP60" s="57">
        <f t="shared" si="199"/>
        <v>0</v>
      </c>
      <c r="AQ60" s="57">
        <f t="shared" si="200"/>
        <v>0</v>
      </c>
      <c r="AR60" s="1029">
        <f t="shared" si="365"/>
        <v>0</v>
      </c>
      <c r="AS60" s="57">
        <f t="shared" si="366"/>
        <v>0</v>
      </c>
      <c r="AT60" s="171" t="str">
        <f t="shared" si="367"/>
        <v/>
      </c>
      <c r="AU60" s="57">
        <f t="shared" si="201"/>
        <v>0</v>
      </c>
      <c r="AV60" s="57">
        <f>IF(OR(AND(AJ$6=1,$L60=0),AND(AJ$6=2,$K60=2,$G60=1)),0,IF(AND(AL$9=2,(OR($F60&gt;1,$K60=1,AND($L60=80,OR($N60=1,AND($N60=2,'#BerechnungDBE'!$AL51&gt;0)))))),IF(AJ$4&gt;=$AD$126,0,AT60),IF(AL$9=3,IF(OR(AJ$4&gt;=$AD$127,AND($G60=1,$J60=2,AJ$6=2),AND(AJ$6=1,$N60&lt;&gt;1)),0,IF(AN60&lt;=120,AT60,IF(AJ$4&lt;$AD$124,IF($F60=1,60/AL$4*AL$6,60/AL$4*AL$7),IF($F60=1,120/AL$4*AL$6,120/AL$4*AL$7)))),IF(OR($F60=3,$G60=2),IF(OR(AND(AJ$4&gt;=$AD$119,$C60=2),AND(AJ$4&gt;=$AF$119,$C60=1)),0,IF(AN60&lt;=60,AT60,60/AL$4*AL$7)),IF(AND($F60=2,$G60=1),AT60,0)))))</f>
        <v>0</v>
      </c>
      <c r="AW60" s="57" t="str">
        <f t="shared" si="202"/>
        <v/>
      </c>
      <c r="AX60" s="57" t="str">
        <f t="shared" si="368"/>
        <v/>
      </c>
      <c r="AY60" s="713">
        <f>'org. Düngung 22'!P59</f>
        <v>0</v>
      </c>
      <c r="AZ60" s="57"/>
      <c r="BA60" s="57"/>
      <c r="BB60" s="57">
        <f t="shared" si="18"/>
        <v>0</v>
      </c>
      <c r="BC60" s="57">
        <f t="shared" si="203"/>
        <v>0</v>
      </c>
      <c r="BD60" s="57">
        <f t="shared" si="204"/>
        <v>0</v>
      </c>
      <c r="BE60" s="57">
        <f t="shared" si="205"/>
        <v>0</v>
      </c>
      <c r="BF60" s="57">
        <f t="shared" si="206"/>
        <v>0</v>
      </c>
      <c r="BG60" s="1029">
        <f t="shared" si="369"/>
        <v>0</v>
      </c>
      <c r="BH60" s="57">
        <f t="shared" si="370"/>
        <v>0</v>
      </c>
      <c r="BI60" s="171" t="str">
        <f t="shared" si="371"/>
        <v/>
      </c>
      <c r="BJ60" s="57">
        <f t="shared" si="207"/>
        <v>0</v>
      </c>
      <c r="BK60" s="57">
        <f>IF(OR(AND(AY$6=1,$L60=0),AND(AY$6=2,$K60=2,$G60=1)),0,IF(AND(BA$9=2,(OR($F60&gt;1,$K60=1,AND($L60=80,OR($N60=1,AND($N60=2,'#BerechnungDBE'!$AL51&gt;0)))))),IF(AY$4&gt;=$AD$126,0,BI60),IF(BA$9=3,IF(OR(AY$4&gt;=$AD$127,AND($G60=1,$J60=2,AY$6=2),AND(AY$6=1,$N60&lt;&gt;1)),0,IF(BC60&lt;=120,BI60,IF(AY$4&lt;$AD$124,IF($F60=1,60/BA$4*BA$6,60/BA$4*BA$7),IF($F60=1,120/BA$4*BA$6,120/BA$4*BA$7)))),IF(OR($F60=3,$G60=2),IF(OR(AND(AY$4&gt;=$AD$119,$C60=2),AND(AY$4&gt;=$AF$119,$C60=1)),0,IF(BC60&lt;=60,BI60,60/BA$4*BA$7)),IF(AND($F60=2,$G60=1),BI60,0)))))</f>
        <v>0</v>
      </c>
      <c r="BL60" s="57" t="str">
        <f t="shared" si="22"/>
        <v/>
      </c>
      <c r="BM60" s="57" t="str">
        <f t="shared" si="372"/>
        <v/>
      </c>
      <c r="BN60" s="713">
        <f>'org. Düngung 22'!T59</f>
        <v>0</v>
      </c>
      <c r="BO60" s="57"/>
      <c r="BP60" s="57"/>
      <c r="BQ60" s="57">
        <f t="shared" si="24"/>
        <v>0</v>
      </c>
      <c r="BR60" s="57">
        <f t="shared" si="208"/>
        <v>0</v>
      </c>
      <c r="BS60" s="57">
        <f t="shared" si="209"/>
        <v>0</v>
      </c>
      <c r="BT60" s="57">
        <f t="shared" si="210"/>
        <v>0</v>
      </c>
      <c r="BU60" s="57">
        <f t="shared" si="211"/>
        <v>0</v>
      </c>
      <c r="BV60" s="1029">
        <f t="shared" si="373"/>
        <v>0</v>
      </c>
      <c r="BW60" s="57">
        <f t="shared" si="374"/>
        <v>0</v>
      </c>
      <c r="BX60" s="171" t="str">
        <f t="shared" si="375"/>
        <v/>
      </c>
      <c r="BY60" s="57">
        <f t="shared" si="212"/>
        <v>0</v>
      </c>
      <c r="BZ60" s="57">
        <f>IF(OR(AND(BN$6=1,$L60=0),AND(BN$6=2,$K60=2,$G60=1)),0,IF(AND(BP$9=2,(OR($F60&gt;1,$K60=1,AND($L60=80,OR($N60=1,AND($N60=2,'#BerechnungDBE'!$AL51&gt;0)))))),IF(BN$4&gt;=$AD$126,0,BX60),IF(BP$9=3,IF(OR(BN$4&gt;=$AD$127,AND($G60=1,$J60=2,BN$6=2),AND(BN$6=1,$N60&lt;&gt;1)),0,IF(BR60&lt;=120,BX60,IF(BN$4&lt;$AD$124,IF($F60=1,60/BP$4*BP$6,60/BP$4*BP$7),IF($F60=1,120/BP$4*BP$6,120/BP$4*BP$7)))),IF(OR($F60=3,$G60=2),IF(OR(AND(BN$4&gt;=$AD$119,$C60=2),AND(BN$4&gt;=$AF$119,$C60=1)),0,IF(BR60&lt;=60,BX60,60/BP$4*BP$7)),IF(AND($F60=2,$G60=1),BX60,0)))))</f>
        <v>0</v>
      </c>
      <c r="CA60" s="57" t="str">
        <f t="shared" si="28"/>
        <v/>
      </c>
      <c r="CB60" s="57" t="str">
        <f t="shared" si="376"/>
        <v/>
      </c>
      <c r="CC60" s="713">
        <f>'org. Düngung 22'!X59</f>
        <v>0</v>
      </c>
      <c r="CD60" s="57"/>
      <c r="CE60" s="57"/>
      <c r="CF60" s="57">
        <f t="shared" si="30"/>
        <v>0</v>
      </c>
      <c r="CG60" s="57">
        <f t="shared" si="213"/>
        <v>0</v>
      </c>
      <c r="CH60" s="57">
        <f t="shared" si="214"/>
        <v>0</v>
      </c>
      <c r="CI60" s="57">
        <f t="shared" si="215"/>
        <v>0</v>
      </c>
      <c r="CJ60" s="57">
        <f t="shared" si="216"/>
        <v>0</v>
      </c>
      <c r="CK60" s="1029">
        <f t="shared" si="377"/>
        <v>0</v>
      </c>
      <c r="CL60" s="57">
        <f t="shared" si="378"/>
        <v>0</v>
      </c>
      <c r="CM60" s="171" t="str">
        <f t="shared" si="379"/>
        <v/>
      </c>
      <c r="CN60" s="57">
        <f t="shared" si="217"/>
        <v>0</v>
      </c>
      <c r="CO60" s="57">
        <f>IF(OR(AND(CC$6=1,$L60=0),AND(CC$6=2,$K60=2,$G60=1)),0,IF(AND(CE$9=2,(OR($F60&gt;1,$K60=1,AND($L60=80,OR($N60=1,AND($N60=2,'#BerechnungDBE'!$AL51&gt;0)))))),IF(CC$4&gt;=$AD$126,0,CM60),IF(CE$9=3,IF(OR(CC$4&gt;=$AD$127,AND($G60=1,$J60=2,CC$6=2),AND(CC$6=1,$N60&lt;&gt;1)),0,IF(CG60&lt;=120,CM60,IF(CC$4&lt;$AD$124,IF($F60=1,60/CE$4*CE$6,60/CE$4*CE$7),IF($F60=1,120/CE$4*CE$6,120/CE$4*CE$7)))),IF(OR($F60=3,$G60=2),IF(OR(AND(CC$4&gt;=$AD$119,$C60=2),AND(CC$4&gt;=$AF$119,$C60=1)),0,IF(CG60&lt;=60,CM60,60/CE$4*CE$7)),IF(AND($F60=2,$G60=1),CM60,0)))))</f>
        <v>0</v>
      </c>
      <c r="CP60" s="57" t="str">
        <f t="shared" si="34"/>
        <v/>
      </c>
      <c r="CQ60" s="57" t="str">
        <f t="shared" si="380"/>
        <v/>
      </c>
      <c r="CR60" s="713">
        <f>'org. Düngung 22'!AB59</f>
        <v>0</v>
      </c>
      <c r="CS60" s="57"/>
      <c r="CT60" s="57"/>
      <c r="CU60" s="57">
        <f t="shared" si="36"/>
        <v>0</v>
      </c>
      <c r="CV60" s="57">
        <f t="shared" si="218"/>
        <v>0</v>
      </c>
      <c r="CW60" s="57">
        <f t="shared" si="219"/>
        <v>0</v>
      </c>
      <c r="CX60" s="57">
        <f t="shared" si="220"/>
        <v>0</v>
      </c>
      <c r="CY60" s="57">
        <f t="shared" si="221"/>
        <v>0</v>
      </c>
      <c r="CZ60" s="1029">
        <f t="shared" si="381"/>
        <v>0</v>
      </c>
      <c r="DA60" s="57">
        <f t="shared" si="382"/>
        <v>0</v>
      </c>
      <c r="DB60" s="171" t="str">
        <f t="shared" si="383"/>
        <v/>
      </c>
      <c r="DC60" s="57">
        <f t="shared" si="222"/>
        <v>0</v>
      </c>
      <c r="DD60" s="57">
        <f>IF(OR(AND(CR$6=1,$L60=0),AND(CR$6=2,$K60=2,$G60=1)),0,IF(AND(CT$9=2,(OR($F60&gt;1,$K60=1,AND($L60=80,OR($N60=1,AND($N60=2,'#BerechnungDBE'!$AL51&gt;0)))))),IF(CR$4&gt;=$AD$126,0,DB60),IF(CT$9=3,IF(OR(CR$4&gt;=$AD$127,AND($G60=1,$J60=2,CR$6=2),AND(CR$6=1,$N60&lt;&gt;1)),0,IF(CV60&lt;=120,DB60,IF(CR$4&lt;$AD$124,IF($F60=1,60/CT$4*CT$6,60/CT$4*CT$7),IF($F60=1,120/CT$4*CT$6,120/CT$4*CT$7)))),IF(OR($F60=3,$G60=2),IF(OR(AND(CR$4&gt;=$AD$119,$C60=2),AND(CR$4&gt;=$AF$119,$C60=1)),0,IF(CV60&lt;=60,DB60,60/CT$4*CT$7)),IF(AND($F60=2,$G60=1),DB60,0)))))</f>
        <v>0</v>
      </c>
      <c r="DE60" s="57" t="str">
        <f t="shared" si="40"/>
        <v/>
      </c>
      <c r="DF60" s="57" t="str">
        <f t="shared" si="384"/>
        <v/>
      </c>
      <c r="DG60" s="713">
        <f>'org. Düngung 22'!AF59</f>
        <v>0</v>
      </c>
      <c r="DH60" s="57"/>
      <c r="DI60" s="57"/>
      <c r="DJ60" s="57">
        <f t="shared" si="42"/>
        <v>0</v>
      </c>
      <c r="DK60" s="57">
        <f t="shared" si="223"/>
        <v>0</v>
      </c>
      <c r="DL60" s="57">
        <f t="shared" si="224"/>
        <v>0</v>
      </c>
      <c r="DM60" s="57">
        <f t="shared" si="225"/>
        <v>0</v>
      </c>
      <c r="DN60" s="57">
        <f t="shared" si="226"/>
        <v>0</v>
      </c>
      <c r="DO60" s="1029">
        <f t="shared" si="385"/>
        <v>0</v>
      </c>
      <c r="DP60" s="57">
        <f t="shared" si="386"/>
        <v>0</v>
      </c>
      <c r="DQ60" s="171" t="str">
        <f t="shared" si="387"/>
        <v/>
      </c>
      <c r="DR60" s="57">
        <f t="shared" si="227"/>
        <v>0</v>
      </c>
      <c r="DS60" s="57">
        <f>IF(OR(AND(DG$6=1,$L60=0),AND(DG$6=2,$K60=2,$G60=1)),0,IF(AND(DI$9=2,(OR($F60&gt;1,$K60=1,AND($L60=80,OR($N60=1,AND($N60=2,'#BerechnungDBE'!$AL51&gt;0)))))),IF(DG$4&gt;=$AD$126,0,DQ60),IF(DI$9=3,IF(OR(DG$4&gt;=$AD$127,AND($G60=1,$J60=2,DG$6=2),AND(DG$6=1,$N60&lt;&gt;1)),0,IF(DK60&lt;=120,DQ60,IF(DG$4&lt;$AD$124,IF($F60=1,60/DI$4*DI$6,60/DI$4*DI$7),IF($F60=1,120/DI$4*DI$6,120/DI$4*DI$7)))),IF(OR($F60=3,$G60=2),IF(OR(AND(DG$4&gt;=$AD$119,$C60=2),AND(DG$4&gt;=$AF$119,$C60=1)),0,IF(DK60&lt;=60,DQ60,60/DI$4*DI$7)),IF(AND($F60=2,$G60=1),DQ60,0)))))</f>
        <v>0</v>
      </c>
      <c r="DT60" s="57" t="str">
        <f t="shared" si="46"/>
        <v/>
      </c>
      <c r="DU60" s="57" t="str">
        <f t="shared" si="388"/>
        <v/>
      </c>
      <c r="DV60" s="713">
        <f>'org. Düngung 22'!AJ59</f>
        <v>0</v>
      </c>
      <c r="DW60" s="57"/>
      <c r="DX60" s="57"/>
      <c r="DY60" s="57">
        <f t="shared" si="48"/>
        <v>0</v>
      </c>
      <c r="DZ60" s="57">
        <f t="shared" si="228"/>
        <v>0</v>
      </c>
      <c r="EA60" s="57">
        <f t="shared" si="229"/>
        <v>0</v>
      </c>
      <c r="EB60" s="57">
        <f t="shared" si="230"/>
        <v>0</v>
      </c>
      <c r="EC60" s="57">
        <f t="shared" si="231"/>
        <v>0</v>
      </c>
      <c r="ED60" s="1029">
        <f t="shared" si="389"/>
        <v>0</v>
      </c>
      <c r="EE60" s="57">
        <f t="shared" si="390"/>
        <v>0</v>
      </c>
      <c r="EF60" s="171" t="str">
        <f t="shared" si="391"/>
        <v/>
      </c>
      <c r="EG60" s="57">
        <f t="shared" si="232"/>
        <v>0</v>
      </c>
      <c r="EH60" s="57">
        <f>IF(OR(AND(DV$6=1,$L60=0),AND(DV$6=2,$K60=2,$G60=1)),0,IF(AND(DX$9=2,(OR($F60&gt;1,$K60=1,AND($L60=80,OR($N60=1,AND($N60=2,'#BerechnungDBE'!$AL51&gt;0)))))),IF(DV$4&gt;=$AD$126,0,EF60),IF(DX$9=3,IF(OR(DV$4&gt;=$AD$127,AND($G60=1,$J60=2,DV$6=2),AND(DV$6=1,$N60&lt;&gt;1)),0,IF(DZ60&lt;=120,EF60,IF(DV$4&lt;$AD$124,IF($F60=1,60/DX$4*DX$6,60/DX$4*DX$7),IF($F60=1,120/DX$4*DX$6,120/DX$4*DX$7)))),IF(OR($F60=3,$G60=2),IF(OR(AND(DV$4&gt;=$AD$119,$C60=2),AND(DV$4&gt;=$AF$119,$C60=1)),0,IF(DZ60&lt;=60,EF60,60/DX$4*DX$7)),IF(AND($F60=2,$G60=1),EF60,0)))))</f>
        <v>0</v>
      </c>
      <c r="EI60" s="57" t="str">
        <f t="shared" si="52"/>
        <v/>
      </c>
      <c r="EJ60" s="57" t="str">
        <f t="shared" si="392"/>
        <v/>
      </c>
      <c r="EK60" s="713">
        <f>'org. Düngung 22'!AN59</f>
        <v>0</v>
      </c>
      <c r="EL60" s="57"/>
      <c r="EM60" s="57"/>
      <c r="EN60" s="57">
        <f t="shared" si="54"/>
        <v>0</v>
      </c>
      <c r="EO60" s="57">
        <f t="shared" si="233"/>
        <v>0</v>
      </c>
      <c r="EP60" s="57">
        <f t="shared" si="234"/>
        <v>0</v>
      </c>
      <c r="EQ60" s="57">
        <f t="shared" si="235"/>
        <v>0</v>
      </c>
      <c r="ER60" s="57">
        <f t="shared" si="236"/>
        <v>0</v>
      </c>
      <c r="ES60" s="1029">
        <f t="shared" si="393"/>
        <v>0</v>
      </c>
      <c r="ET60" s="57">
        <f t="shared" si="394"/>
        <v>0</v>
      </c>
      <c r="EU60" s="171" t="str">
        <f t="shared" si="395"/>
        <v/>
      </c>
      <c r="EV60" s="57">
        <f t="shared" si="237"/>
        <v>0</v>
      </c>
      <c r="EW60" s="57">
        <f>IF(OR(AND(EK$6=1,$L60=0),AND(EK$6=2,$K60=2,$G60=1)),0,IF(AND(EM$9=2,(OR($F60&gt;1,$K60=1,AND($L60=80,OR($N60=1,AND($N60=2,'#BerechnungDBE'!$AL51&gt;0)))))),IF(EK$4&gt;=$AD$126,0,EU60),IF(EM$9=3,IF(OR(EK$4&gt;=$AD$127,AND($G60=1,$J60=2,EK$6=2),AND(EK$6=1,$N60&lt;&gt;1)),0,IF(EO60&lt;=120,EU60,IF(EK$4&lt;$AD$124,IF($F60=1,60/EM$4*EM$6,60/EM$4*EM$7),IF($F60=1,120/EM$4*EM$6,120/EM$4*EM$7)))),IF(OR($F60=3,$G60=2),IF(OR(AND(EK$4&gt;=$AD$119,$C60=2),AND(EK$4&gt;=$AF$119,$C60=1)),0,IF(EO60&lt;=60,EU60,60/EM$4*EM$7)),IF(AND($F60=2,$G60=1),EU60,0)))))</f>
        <v>0</v>
      </c>
      <c r="EX60" s="57" t="str">
        <f t="shared" si="58"/>
        <v/>
      </c>
      <c r="EY60" s="57" t="str">
        <f t="shared" si="396"/>
        <v/>
      </c>
      <c r="EZ60" s="713">
        <f>'org. Düngung 22'!AR59</f>
        <v>0</v>
      </c>
      <c r="FA60" s="57"/>
      <c r="FB60" s="57"/>
      <c r="FC60" s="57">
        <f t="shared" si="60"/>
        <v>0</v>
      </c>
      <c r="FD60" s="57">
        <f t="shared" si="238"/>
        <v>0</v>
      </c>
      <c r="FE60" s="57">
        <f t="shared" si="239"/>
        <v>0</v>
      </c>
      <c r="FF60" s="57">
        <f t="shared" si="240"/>
        <v>0</v>
      </c>
      <c r="FG60" s="57">
        <f t="shared" si="241"/>
        <v>0</v>
      </c>
      <c r="FH60" s="1029">
        <f t="shared" si="397"/>
        <v>0</v>
      </c>
      <c r="FI60" s="57">
        <f t="shared" si="398"/>
        <v>0</v>
      </c>
      <c r="FJ60" s="171" t="str">
        <f t="shared" si="399"/>
        <v/>
      </c>
      <c r="FK60" s="57">
        <f t="shared" si="242"/>
        <v>0</v>
      </c>
      <c r="FL60" s="57">
        <f>IF(OR(AND(EZ$6=1,$L60=0),AND(EZ$6=2,$K60=2,$G60=1)),0,IF(AND(FB$9=2,(OR($F60&gt;1,$K60=1,AND($L60=80,OR($N60=1,AND($N60=2,'#BerechnungDBE'!$AL51&gt;0)))))),IF(EZ$4&gt;=$AD$126,0,FJ60),IF(FB$9=3,IF(OR(EZ$4&gt;=$AD$127,AND($G60=1,$J60=2,EZ$6=2),AND(EZ$6=1,$N60&lt;&gt;1)),0,IF(FD60&lt;=120,FJ60,IF(EZ$4&lt;$AD$124,IF($F60=1,60/FB$4*FB$6,60/FB$4*FB$7),IF($F60=1,120/FB$4*FB$6,120/FB$4*FB$7)))),IF(OR($F60=3,$G60=2),IF(OR(AND(EZ$4&gt;=$AD$119,$C60=2),AND(EZ$4&gt;=$AF$119,$C60=1)),0,IF(FD60&lt;=60,FJ60,60/FB$4*FB$7)),IF(AND($F60=2,$G60=1),FJ60,0)))))</f>
        <v>0</v>
      </c>
      <c r="FM60" s="57" t="str">
        <f t="shared" si="64"/>
        <v/>
      </c>
      <c r="FN60" s="57" t="str">
        <f t="shared" si="400"/>
        <v/>
      </c>
      <c r="FO60" s="713">
        <f>'org. Düngung 22'!AV59</f>
        <v>0</v>
      </c>
      <c r="FP60" s="57"/>
      <c r="FQ60" s="57"/>
      <c r="FR60" s="57">
        <f t="shared" si="66"/>
        <v>0</v>
      </c>
      <c r="FS60" s="57">
        <f t="shared" si="243"/>
        <v>0</v>
      </c>
      <c r="FT60" s="57">
        <f t="shared" si="244"/>
        <v>0</v>
      </c>
      <c r="FU60" s="57">
        <f t="shared" si="245"/>
        <v>0</v>
      </c>
      <c r="FV60" s="57">
        <f t="shared" si="246"/>
        <v>0</v>
      </c>
      <c r="FW60" s="1029">
        <f t="shared" si="401"/>
        <v>0</v>
      </c>
      <c r="FX60" s="57">
        <f t="shared" si="402"/>
        <v>0</v>
      </c>
      <c r="FY60" s="171" t="str">
        <f t="shared" si="403"/>
        <v/>
      </c>
      <c r="FZ60" s="57">
        <f t="shared" si="247"/>
        <v>0</v>
      </c>
      <c r="GA60" s="57">
        <f>IF(OR(AND(FO$6=1,$L60=0),AND(FO$6=2,$K60=2,$G60=1)),0,IF(AND(FQ$9=2,(OR($F60&gt;1,$K60=1,AND($L60=80,OR($N60=1,AND($N60=2,'#BerechnungDBE'!$AL51&gt;0)))))),IF(FO$4&gt;=$AD$126,0,FY60),IF(FQ$9=3,IF(OR(FO$4&gt;=$AD$127,AND($G60=1,$J60=2,FO$6=2),AND(FO$6=1,$N60&lt;&gt;1)),0,IF(FS60&lt;=120,FY60,IF(FO$4&lt;$AD$124,IF($F60=1,60/FQ$4*FQ$6,60/FQ$4*FQ$7),IF($F60=1,120/FQ$4*FQ$6,120/FQ$4*FQ$7)))),IF(OR($F60=3,$G60=2),IF(OR(AND(FO$4&gt;=$AD$119,$C60=2),AND(FO$4&gt;=$AF$119,$C60=1)),0,IF(FS60&lt;=60,FY60,60/FQ$4*FQ$7)),IF(AND($F60=2,$G60=1),FY60,0)))))</f>
        <v>0</v>
      </c>
      <c r="GB60" s="57" t="str">
        <f t="shared" si="70"/>
        <v/>
      </c>
      <c r="GC60" s="57" t="str">
        <f t="shared" si="404"/>
        <v/>
      </c>
      <c r="GD60" s="713">
        <f>'org. Düngung 22'!AZ59</f>
        <v>0</v>
      </c>
      <c r="GE60" s="57"/>
      <c r="GF60" s="57"/>
      <c r="GG60" s="57">
        <f t="shared" si="72"/>
        <v>0</v>
      </c>
      <c r="GH60" s="57">
        <f t="shared" si="248"/>
        <v>0</v>
      </c>
      <c r="GI60" s="57">
        <f t="shared" si="249"/>
        <v>0</v>
      </c>
      <c r="GJ60" s="57">
        <f t="shared" si="250"/>
        <v>0</v>
      </c>
      <c r="GK60" s="57">
        <f t="shared" si="251"/>
        <v>0</v>
      </c>
      <c r="GL60" s="1029">
        <f t="shared" si="405"/>
        <v>0</v>
      </c>
      <c r="GM60" s="57">
        <f t="shared" si="406"/>
        <v>0</v>
      </c>
      <c r="GN60" s="171" t="str">
        <f t="shared" si="407"/>
        <v/>
      </c>
      <c r="GO60" s="57">
        <f t="shared" si="252"/>
        <v>0</v>
      </c>
      <c r="GP60" s="57">
        <f>IF(OR(AND(GD$6=1,$L60=0),AND(GD$6=2,$K60=2,$G60=1)),0,IF(AND(GF$9=2,(OR($F60&gt;1,$K60=1,AND($L60=80,OR($N60=1,AND($N60=2,'#BerechnungDBE'!$AL51&gt;0)))))),IF(GD$4&gt;=$AD$126,0,GN60),IF(GF$9=3,IF(OR(GD$4&gt;=$AD$127,AND($G60=1,$J60=2,GD$6=2),AND(GD$6=1,$N60&lt;&gt;1)),0,IF(GH60&lt;=120,GN60,IF(GD$4&lt;$AD$124,IF($F60=1,60/GF$4*GF$6,60/GF$4*GF$7),IF($F60=1,120/GF$4*GF$6,120/GF$4*GF$7)))),IF(OR($F60=3,$G60=2),IF(OR(AND(GD$4&gt;=$AD$119,$C60=2),AND(GD$4&gt;=$AF$119,$C60=1)),0,IF(GH60&lt;=60,GN60,60/GF$4*GF$7)),IF(AND($F60=2,$G60=1),GN60,0)))))</f>
        <v>0</v>
      </c>
      <c r="GQ60" s="57" t="str">
        <f t="shared" si="76"/>
        <v/>
      </c>
      <c r="GR60" s="57" t="str">
        <f t="shared" si="408"/>
        <v/>
      </c>
      <c r="GS60" s="713">
        <f>'org. Düngung 22'!BD59</f>
        <v>0</v>
      </c>
      <c r="GT60" s="57"/>
      <c r="GU60" s="57"/>
      <c r="GV60" s="57">
        <f t="shared" si="78"/>
        <v>0</v>
      </c>
      <c r="GW60" s="57">
        <f t="shared" si="253"/>
        <v>0</v>
      </c>
      <c r="GX60" s="57">
        <f t="shared" si="254"/>
        <v>0</v>
      </c>
      <c r="GY60" s="57">
        <f t="shared" si="255"/>
        <v>0</v>
      </c>
      <c r="GZ60" s="57">
        <f t="shared" si="256"/>
        <v>0</v>
      </c>
      <c r="HA60" s="1029">
        <f t="shared" si="409"/>
        <v>0</v>
      </c>
      <c r="HB60" s="57">
        <f t="shared" si="410"/>
        <v>0</v>
      </c>
      <c r="HC60" s="171" t="str">
        <f t="shared" si="411"/>
        <v/>
      </c>
      <c r="HD60" s="57">
        <f t="shared" si="257"/>
        <v>0</v>
      </c>
      <c r="HE60" s="57">
        <f>IF(OR(AND(GS$6=1,$L60=0),AND(GS$6=2,$K60=2,$G60=1)),0,IF(AND(GU$9=2,(OR($F60&gt;1,$K60=1,AND($L60=80,OR($N60=1,AND($N60=2,'#BerechnungDBE'!$AL51&gt;0)))))),IF(GS$4&gt;=$AD$126,0,HC60),IF(GU$9=3,IF(OR(GS$4&gt;=$AD$127,AND($G60=1,$J60=2,GS$6=2),AND(GS$6=1,$N60&lt;&gt;1)),0,IF(GW60&lt;=120,HC60,IF(GS$4&lt;$AD$124,IF($F60=1,60/GU$4*GU$6,60/GU$4*GU$7),IF($F60=1,120/GU$4*GU$6,120/GU$4*GU$7)))),IF(OR($F60=3,$G60=2),IF(OR(AND(GS$4&gt;=$AD$119,$C60=2),AND(GS$4&gt;=$AF$119,$C60=1)),0,IF(GW60&lt;=60,HC60,60/GU$4*GU$7)),IF(AND($F60=2,$G60=1),HC60,0)))))</f>
        <v>0</v>
      </c>
      <c r="HF60" s="57" t="str">
        <f t="shared" si="82"/>
        <v/>
      </c>
      <c r="HG60" s="57" t="str">
        <f t="shared" si="412"/>
        <v/>
      </c>
      <c r="HH60" s="713">
        <f>'org. Düngung 22'!BH59</f>
        <v>0</v>
      </c>
      <c r="HI60" s="57"/>
      <c r="HJ60" s="57"/>
      <c r="HK60" s="57">
        <f t="shared" si="84"/>
        <v>0</v>
      </c>
      <c r="HL60" s="57">
        <f t="shared" si="258"/>
        <v>0</v>
      </c>
      <c r="HM60" s="57">
        <f t="shared" si="259"/>
        <v>0</v>
      </c>
      <c r="HN60" s="57">
        <f t="shared" si="260"/>
        <v>0</v>
      </c>
      <c r="HO60" s="57">
        <f t="shared" si="261"/>
        <v>0</v>
      </c>
      <c r="HP60" s="1029">
        <f t="shared" si="413"/>
        <v>0</v>
      </c>
      <c r="HQ60" s="57">
        <f t="shared" si="414"/>
        <v>0</v>
      </c>
      <c r="HR60" s="171" t="str">
        <f t="shared" si="415"/>
        <v/>
      </c>
      <c r="HS60" s="57">
        <f t="shared" si="262"/>
        <v>0</v>
      </c>
      <c r="HT60" s="57">
        <f>IF(OR(AND(HH$6=1,$L60=0),AND(HH$6=2,$K60=2,$G60=1)),0,IF(AND(HJ$9=2,(OR($F60&gt;1,$K60=1,AND($L60=80,OR($N60=1,AND($N60=2,'#BerechnungDBE'!$AL51&gt;0)))))),IF(HH$4&gt;=$AD$126,0,HR60),IF(HJ$9=3,IF(OR(HH$4&gt;=$AD$127,AND($G60=1,$J60=2,HH$6=2),AND(HH$6=1,$N60&lt;&gt;1)),0,IF(HL60&lt;=120,HR60,IF(HH$4&lt;$AD$124,IF($F60=1,60/HJ$4*HJ$6,60/HJ$4*HJ$7),IF($F60=1,120/HJ$4*HJ$6,120/HJ$4*HJ$7)))),IF(OR($F60=3,$G60=2),IF(OR(AND(HH$4&gt;=$AD$119,$C60=2),AND(HH$4&gt;=$AF$119,$C60=1)),0,IF(HL60&lt;=60,HR60,60/HJ$4*HJ$7)),IF(AND($F60=2,$G60=1),HR60,0)))))</f>
        <v>0</v>
      </c>
      <c r="HU60" s="57" t="str">
        <f t="shared" si="88"/>
        <v/>
      </c>
      <c r="HV60" s="57" t="str">
        <f t="shared" si="416"/>
        <v/>
      </c>
      <c r="HW60" s="713">
        <f>'org. Düngung 22'!BL59</f>
        <v>0</v>
      </c>
      <c r="HX60" s="57"/>
      <c r="HY60" s="57"/>
      <c r="HZ60" s="57">
        <f t="shared" si="90"/>
        <v>0</v>
      </c>
      <c r="IA60" s="57">
        <f t="shared" si="263"/>
        <v>0</v>
      </c>
      <c r="IB60" s="57">
        <f t="shared" si="264"/>
        <v>0</v>
      </c>
      <c r="IC60" s="57">
        <f t="shared" si="265"/>
        <v>0</v>
      </c>
      <c r="ID60" s="57">
        <f t="shared" si="266"/>
        <v>0</v>
      </c>
      <c r="IE60" s="1029">
        <f t="shared" si="417"/>
        <v>0</v>
      </c>
      <c r="IF60" s="57">
        <f t="shared" si="418"/>
        <v>0</v>
      </c>
      <c r="IG60" s="171" t="str">
        <f t="shared" si="419"/>
        <v/>
      </c>
      <c r="IH60" s="57">
        <f t="shared" si="267"/>
        <v>0</v>
      </c>
      <c r="II60" s="57">
        <f>IF(OR(AND(HW$6=1,$L60=0),AND(HW$6=2,$K60=2,$G60=1)),0,IF(AND(HY$9=2,(OR($F60&gt;1,$K60=1,AND($L60=80,OR($N60=1,AND($N60=2,'#BerechnungDBE'!$AL51&gt;0)))))),IF(HW$4&gt;=$AD$126,0,IG60),IF(HY$9=3,IF(OR(HW$4&gt;=$AD$127,AND($G60=1,$J60=2,HW$6=2),AND(HW$6=1,$N60&lt;&gt;1)),0,IF(IA60&lt;=120,IG60,IF(HW$4&lt;$AD$124,IF($F60=1,60/HY$4*HY$6,60/HY$4*HY$7),IF($F60=1,120/HY$4*HY$6,120/HY$4*HY$7)))),IF(OR($F60=3,$G60=2),IF(OR(AND(HW$4&gt;=$AD$119,$C60=2),AND(HW$4&gt;=$AF$119,$C60=1)),0,IF(IA60&lt;=60,IG60,60/HY$4*HY$7)),IF(AND($F60=2,$G60=1),IG60,0)))))</f>
        <v>0</v>
      </c>
      <c r="IJ60" s="57" t="str">
        <f t="shared" si="94"/>
        <v/>
      </c>
      <c r="IK60" s="57" t="str">
        <f t="shared" si="420"/>
        <v/>
      </c>
      <c r="IL60" s="713">
        <f>'org. Düngung 22'!BP59</f>
        <v>0</v>
      </c>
      <c r="IM60" s="57"/>
      <c r="IN60" s="57"/>
      <c r="IO60" s="57">
        <f t="shared" si="96"/>
        <v>0</v>
      </c>
      <c r="IP60" s="57">
        <f t="shared" si="268"/>
        <v>0</v>
      </c>
      <c r="IQ60" s="57">
        <f t="shared" si="269"/>
        <v>0</v>
      </c>
      <c r="IR60" s="57">
        <f t="shared" si="270"/>
        <v>0</v>
      </c>
      <c r="IS60" s="57">
        <f t="shared" si="271"/>
        <v>0</v>
      </c>
      <c r="IT60" s="1029">
        <f t="shared" si="421"/>
        <v>0</v>
      </c>
      <c r="IU60" s="57">
        <f t="shared" si="422"/>
        <v>0</v>
      </c>
      <c r="IV60" s="171" t="str">
        <f t="shared" si="423"/>
        <v/>
      </c>
      <c r="IW60" s="57">
        <f t="shared" si="272"/>
        <v>0</v>
      </c>
      <c r="IX60" s="57">
        <f>IF(OR(AND(IL$6=1,$L60=0),AND(IL$6=2,$K60=2,$G60=1)),0,IF(AND(IN$9=2,(OR($F60&gt;1,$K60=1,AND($L60=80,OR($N60=1,AND($N60=2,'#BerechnungDBE'!$AL51&gt;0)))))),IF(IL$4&gt;=$AD$126,0,IV60),IF(IN$9=3,IF(OR(IL$4&gt;=$AD$127,AND($G60=1,$J60=2,IL$6=2),AND(IL$6=1,$N60&lt;&gt;1)),0,IF(IP60&lt;=120,IV60,IF(IL$4&lt;$AD$124,IF($F60=1,60/IN$4*IN$6,60/IN$4*IN$7),IF($F60=1,120/IN$4*IN$6,120/IN$4*IN$7)))),IF(OR($F60=3,$G60=2),IF(OR(AND(IL$4&gt;=$AD$119,$C60=2),AND(IL$4&gt;=$AF$119,$C60=1)),0,IF(IP60&lt;=60,IV60,60/IN$4*IN$7)),IF(AND($F60=2,$G60=1),IV60,0)))))</f>
        <v>0</v>
      </c>
      <c r="IY60" s="57" t="str">
        <f t="shared" si="100"/>
        <v/>
      </c>
      <c r="IZ60" s="57" t="str">
        <f t="shared" si="424"/>
        <v/>
      </c>
      <c r="JA60" s="713">
        <f>'org. Düngung 22'!BT59</f>
        <v>0</v>
      </c>
      <c r="JB60" s="57"/>
      <c r="JC60" s="57"/>
      <c r="JD60" s="57">
        <f t="shared" si="102"/>
        <v>0</v>
      </c>
      <c r="JE60" s="57">
        <f t="shared" si="273"/>
        <v>0</v>
      </c>
      <c r="JF60" s="57">
        <f t="shared" si="274"/>
        <v>0</v>
      </c>
      <c r="JG60" s="57">
        <f t="shared" si="275"/>
        <v>0</v>
      </c>
      <c r="JH60" s="57">
        <f t="shared" si="276"/>
        <v>0</v>
      </c>
      <c r="JI60" s="1029">
        <f t="shared" si="425"/>
        <v>0</v>
      </c>
      <c r="JJ60" s="57">
        <f t="shared" si="426"/>
        <v>0</v>
      </c>
      <c r="JK60" s="171" t="str">
        <f t="shared" si="427"/>
        <v/>
      </c>
      <c r="JL60" s="57">
        <f t="shared" si="277"/>
        <v>0</v>
      </c>
      <c r="JM60" s="57">
        <f>IF(OR(AND(JA$6=1,$L60=0),AND(JA$6=2,$K60=2,$G60=1)),0,IF(AND(JC$9=2,(OR($F60&gt;1,$K60=1,AND($L60=80,OR($N60=1,AND($N60=2,'#BerechnungDBE'!$AL51&gt;0)))))),IF(JA$4&gt;=$AD$126,0,JK60),IF(JC$9=3,IF(OR(JA$4&gt;=$AD$127,AND($G60=1,$J60=2,JA$6=2),AND(JA$6=1,$N60&lt;&gt;1)),0,IF(JE60&lt;=120,JK60,IF(JA$4&lt;$AD$124,IF($F60=1,60/JC$4*JC$6,60/JC$4*JC$7),IF($F60=1,120/JC$4*JC$6,120/JC$4*JC$7)))),IF(OR($F60=3,$G60=2),IF(OR(AND(JA$4&gt;=$AD$119,$C60=2),AND(JA$4&gt;=$AF$119,$C60=1)),0,IF(JE60&lt;=60,JK60,60/JC$4*JC$7)),IF(AND($F60=2,$G60=1),JK60,0)))))</f>
        <v>0</v>
      </c>
      <c r="JN60" s="57" t="str">
        <f t="shared" si="106"/>
        <v/>
      </c>
      <c r="JO60" s="57" t="str">
        <f t="shared" si="428"/>
        <v/>
      </c>
      <c r="JP60" s="713">
        <f>'org. Düngung 22'!BX59</f>
        <v>0</v>
      </c>
      <c r="JQ60" s="57"/>
      <c r="JR60" s="57"/>
      <c r="JS60" s="57">
        <f t="shared" si="108"/>
        <v>0</v>
      </c>
      <c r="JT60" s="57">
        <f t="shared" si="278"/>
        <v>0</v>
      </c>
      <c r="JU60" s="57">
        <f t="shared" si="279"/>
        <v>0</v>
      </c>
      <c r="JV60" s="57">
        <f t="shared" si="280"/>
        <v>0</v>
      </c>
      <c r="JW60" s="57">
        <f t="shared" si="281"/>
        <v>0</v>
      </c>
      <c r="JX60" s="1029">
        <f t="shared" si="429"/>
        <v>0</v>
      </c>
      <c r="JY60" s="57">
        <f t="shared" si="430"/>
        <v>0</v>
      </c>
      <c r="JZ60" s="171" t="str">
        <f t="shared" si="431"/>
        <v/>
      </c>
      <c r="KA60" s="57">
        <f t="shared" si="282"/>
        <v>0</v>
      </c>
      <c r="KB60" s="57">
        <f>IF(OR(AND(JP$6=1,$L60=0),AND(JP$6=2,$K60=2,$G60=1)),0,IF(AND(JR$9=2,(OR($F60&gt;1,$K60=1,AND($L60=80,OR($N60=1,AND($N60=2,'#BerechnungDBE'!$AL51&gt;0)))))),IF(JP$4&gt;=$AD$126,0,JZ60),IF(JR$9=3,IF(OR(JP$4&gt;=$AD$127,AND($G60=1,$J60=2,JP$6=2),AND(JP$6=1,$N60&lt;&gt;1)),0,IF(JT60&lt;=120,JZ60,IF(JP$4&lt;$AD$124,IF($F60=1,60/JR$4*JR$6,60/JR$4*JR$7),IF($F60=1,120/JR$4*JR$6,120/JR$4*JR$7)))),IF(OR($F60=3,$G60=2),IF(OR(AND(JP$4&gt;=$AD$119,$C60=2),AND(JP$4&gt;=$AF$119,$C60=1)),0,IF(JT60&lt;=60,JZ60,60/JR$4*JR$7)),IF(AND($F60=2,$G60=1),JZ60,0)))))</f>
        <v>0</v>
      </c>
      <c r="KC60" s="57" t="str">
        <f t="shared" si="112"/>
        <v/>
      </c>
      <c r="KD60" s="57" t="str">
        <f t="shared" si="432"/>
        <v/>
      </c>
      <c r="KE60" s="713">
        <f>'org. Düngung 22'!CB59</f>
        <v>0</v>
      </c>
      <c r="KF60" s="57"/>
      <c r="KG60" s="57"/>
      <c r="KH60" s="57">
        <f t="shared" si="114"/>
        <v>0</v>
      </c>
      <c r="KI60" s="57">
        <f t="shared" si="283"/>
        <v>0</v>
      </c>
      <c r="KJ60" s="57">
        <f t="shared" si="284"/>
        <v>0</v>
      </c>
      <c r="KK60" s="57">
        <f t="shared" si="285"/>
        <v>0</v>
      </c>
      <c r="KL60" s="57">
        <f t="shared" si="286"/>
        <v>0</v>
      </c>
      <c r="KM60" s="1029">
        <f t="shared" si="433"/>
        <v>0</v>
      </c>
      <c r="KN60" s="57">
        <f t="shared" si="434"/>
        <v>0</v>
      </c>
      <c r="KO60" s="171" t="str">
        <f t="shared" si="435"/>
        <v/>
      </c>
      <c r="KP60" s="57">
        <f t="shared" si="287"/>
        <v>0</v>
      </c>
      <c r="KQ60" s="57">
        <f>IF(OR(AND(KE$6=1,$L60=0),AND(KE$6=2,$K60=2,$G60=1)),0,IF(AND(KG$9=2,(OR($F60&gt;1,$K60=1,AND($L60=80,OR($N60=1,AND($N60=2,'#BerechnungDBE'!$AL51&gt;0)))))),IF(KE$4&gt;=$AD$126,0,KO60),IF(KG$9=3,IF(OR(KE$4&gt;=$AD$127,AND($G60=1,$J60=2,KE$6=2),AND(KE$6=1,$N60&lt;&gt;1)),0,IF(KI60&lt;=120,KO60,IF(KE$4&lt;$AD$124,IF($F60=1,60/KG$4*KG$6,60/KG$4*KG$7),IF($F60=1,120/KG$4*KG$6,120/KG$4*KG$7)))),IF(OR($F60=3,$G60=2),IF(OR(AND(KE$4&gt;=$AD$119,$C60=2),AND(KE$4&gt;=$AF$119,$C60=1)),0,IF(KI60&lt;=60,KO60,60/KG$4*KG$7)),IF(AND($F60=2,$G60=1),KO60,0)))))</f>
        <v>0</v>
      </c>
      <c r="KR60" s="57" t="str">
        <f t="shared" si="118"/>
        <v/>
      </c>
      <c r="KS60" s="57" t="str">
        <f t="shared" si="436"/>
        <v/>
      </c>
      <c r="KT60" s="713">
        <f>'org. Düngung 22'!CF59</f>
        <v>0</v>
      </c>
      <c r="KU60" s="57"/>
      <c r="KV60" s="57"/>
      <c r="KW60" s="57">
        <f t="shared" si="120"/>
        <v>0</v>
      </c>
      <c r="KX60" s="57">
        <f t="shared" si="288"/>
        <v>0</v>
      </c>
      <c r="KY60" s="57">
        <f t="shared" si="289"/>
        <v>0</v>
      </c>
      <c r="KZ60" s="57">
        <f t="shared" si="290"/>
        <v>0</v>
      </c>
      <c r="LA60" s="57">
        <f t="shared" si="291"/>
        <v>0</v>
      </c>
      <c r="LB60" s="1029">
        <f t="shared" si="437"/>
        <v>0</v>
      </c>
      <c r="LC60" s="57">
        <f t="shared" si="438"/>
        <v>0</v>
      </c>
      <c r="LD60" s="171" t="str">
        <f t="shared" si="439"/>
        <v/>
      </c>
      <c r="LE60" s="57">
        <f t="shared" si="292"/>
        <v>0</v>
      </c>
      <c r="LF60" s="57">
        <f>IF(OR(AND(KT$6=1,$L60=0),AND(KT$6=2,$K60=2,$G60=1)),0,IF(AND(KV$9=2,(OR($F60&gt;1,$K60=1,AND($L60=80,OR($N60=1,AND($N60=2,'#BerechnungDBE'!$AL51&gt;0)))))),IF(KT$4&gt;=$AD$126,0,LD60),IF(KV$9=3,IF(OR(KT$4&gt;=$AD$127,AND($G60=1,$J60=2,KT$6=2),AND(KT$6=1,$N60&lt;&gt;1)),0,IF(KX60&lt;=120,LD60,IF(KT$4&lt;$AD$124,IF($F60=1,60/KV$4*KV$6,60/KV$4*KV$7),IF($F60=1,120/KV$4*KV$6,120/KV$4*KV$7)))),IF(OR($F60=3,$G60=2),IF(OR(AND(KT$4&gt;=$AD$119,$C60=2),AND(KT$4&gt;=$AF$119,$C60=1)),0,IF(KX60&lt;=60,LD60,60/KV$4*KV$7)),IF(AND($F60=2,$G60=1),LD60,0)))))</f>
        <v>0</v>
      </c>
      <c r="LG60" s="57" t="str">
        <f t="shared" si="124"/>
        <v/>
      </c>
      <c r="LH60" s="57" t="str">
        <f t="shared" si="440"/>
        <v/>
      </c>
      <c r="LI60" s="713">
        <f>'org. Düngung 22'!CJ59</f>
        <v>0</v>
      </c>
      <c r="LJ60" s="57"/>
      <c r="LK60" s="57"/>
      <c r="LL60" s="57">
        <f t="shared" si="126"/>
        <v>0</v>
      </c>
      <c r="LM60" s="57">
        <f t="shared" si="293"/>
        <v>0</v>
      </c>
      <c r="LN60" s="57">
        <f t="shared" si="294"/>
        <v>0</v>
      </c>
      <c r="LO60" s="57">
        <f t="shared" si="295"/>
        <v>0</v>
      </c>
      <c r="LP60" s="57">
        <f t="shared" si="296"/>
        <v>0</v>
      </c>
      <c r="LQ60" s="1029">
        <f t="shared" si="441"/>
        <v>0</v>
      </c>
      <c r="LR60" s="57">
        <f t="shared" si="442"/>
        <v>0</v>
      </c>
      <c r="LS60" s="171" t="str">
        <f t="shared" si="443"/>
        <v/>
      </c>
      <c r="LT60" s="57">
        <f t="shared" si="297"/>
        <v>0</v>
      </c>
      <c r="LU60" s="57">
        <f>IF(OR(AND(LI$6=1,$L60=0),AND(LI$6=2,$K60=2,$G60=1)),0,IF(AND(LK$9=2,(OR($F60&gt;1,$K60=1,AND($L60=80,OR($N60=1,AND($N60=2,'#BerechnungDBE'!$AL51&gt;0)))))),IF(LI$4&gt;=$AD$126,0,LS60),IF(LK$9=3,IF(OR(LI$4&gt;=$AD$127,AND($G60=1,$J60=2,LI$6=2),AND(LI$6=1,$N60&lt;&gt;1)),0,IF(LM60&lt;=120,LS60,IF(LI$4&lt;$AD$124,IF($F60=1,60/LK$4*LK$6,60/LK$4*LK$7),IF($F60=1,120/LK$4*LK$6,120/LK$4*LK$7)))),IF(OR($F60=3,$G60=2),IF(OR(AND(LI$4&gt;=$AD$119,$C60=2),AND(LI$4&gt;=$AF$119,$C60=1)),0,IF(LM60&lt;=60,LS60,60/LK$4*LK$7)),IF(AND($F60=2,$G60=1),LS60,0)))))</f>
        <v>0</v>
      </c>
      <c r="LV60" s="57" t="str">
        <f t="shared" si="130"/>
        <v/>
      </c>
      <c r="LW60" s="57" t="str">
        <f t="shared" si="444"/>
        <v/>
      </c>
      <c r="LX60" s="713">
        <f>'org. Düngung 22'!CN59</f>
        <v>0</v>
      </c>
      <c r="LY60" s="57"/>
      <c r="LZ60" s="57"/>
      <c r="MA60" s="57">
        <f t="shared" si="132"/>
        <v>0</v>
      </c>
      <c r="MB60" s="57">
        <f t="shared" si="298"/>
        <v>0</v>
      </c>
      <c r="MC60" s="57">
        <f t="shared" si="299"/>
        <v>0</v>
      </c>
      <c r="MD60" s="57">
        <f t="shared" si="300"/>
        <v>0</v>
      </c>
      <c r="ME60" s="57">
        <f t="shared" si="301"/>
        <v>0</v>
      </c>
      <c r="MF60" s="1029">
        <f t="shared" si="445"/>
        <v>0</v>
      </c>
      <c r="MG60" s="57">
        <f t="shared" si="446"/>
        <v>0</v>
      </c>
      <c r="MH60" s="171" t="str">
        <f t="shared" si="447"/>
        <v/>
      </c>
      <c r="MI60" s="57">
        <f t="shared" si="302"/>
        <v>0</v>
      </c>
      <c r="MJ60" s="57">
        <f>IF(OR(AND(LX$6=1,$L60=0),AND(LX$6=2,$K60=2,$G60=1)),0,IF(AND(LZ$9=2,(OR($F60&gt;1,$K60=1,AND($L60=80,OR($N60=1,AND($N60=2,'#BerechnungDBE'!$AL51&gt;0)))))),IF(LX$4&gt;=$AD$126,0,MH60),IF(LZ$9=3,IF(OR(LX$4&gt;=$AD$127,AND($G60=1,$J60=2,LX$6=2),AND(LX$6=1,$N60&lt;&gt;1)),0,IF(MB60&lt;=120,MH60,IF(LX$4&lt;$AD$124,IF($F60=1,60/LZ$4*LZ$6,60/LZ$4*LZ$7),IF($F60=1,120/LZ$4*LZ$6,120/LZ$4*LZ$7)))),IF(OR($F60=3,$G60=2),IF(OR(AND(LX$4&gt;=$AD$119,$C60=2),AND(LX$4&gt;=$AF$119,$C60=1)),0,IF(MB60&lt;=60,MH60,60/LZ$4*LZ$7)),IF(AND($F60=2,$G60=1),MH60,0)))))</f>
        <v>0</v>
      </c>
      <c r="MK60" s="57" t="str">
        <f t="shared" si="136"/>
        <v/>
      </c>
      <c r="ML60" s="57" t="str">
        <f t="shared" si="448"/>
        <v/>
      </c>
      <c r="MM60" s="713">
        <f>'org. Düngung 22'!CR59</f>
        <v>0</v>
      </c>
      <c r="MN60" s="57"/>
      <c r="MO60" s="57"/>
      <c r="MP60" s="57">
        <f t="shared" si="138"/>
        <v>0</v>
      </c>
      <c r="MQ60" s="57">
        <f t="shared" si="303"/>
        <v>0</v>
      </c>
      <c r="MR60" s="57">
        <f t="shared" si="304"/>
        <v>0</v>
      </c>
      <c r="MS60" s="57">
        <f t="shared" si="305"/>
        <v>0</v>
      </c>
      <c r="MT60" s="57">
        <f t="shared" si="306"/>
        <v>0</v>
      </c>
      <c r="MU60" s="1029">
        <f t="shared" si="449"/>
        <v>0</v>
      </c>
      <c r="MV60" s="57">
        <f t="shared" si="450"/>
        <v>0</v>
      </c>
      <c r="MW60" s="171" t="str">
        <f t="shared" si="451"/>
        <v/>
      </c>
      <c r="MX60" s="57">
        <f t="shared" si="307"/>
        <v>0</v>
      </c>
      <c r="MY60" s="57">
        <f>IF(OR(AND(MM$6=1,$L60=0),AND(MM$6=2,$K60=2,$G60=1)),0,IF(AND(MO$9=2,(OR($F60&gt;1,$K60=1,AND($L60=80,OR($N60=1,AND($N60=2,'#BerechnungDBE'!$AL51&gt;0)))))),IF(MM$4&gt;=$AD$126,0,MW60),IF(MO$9=3,IF(OR(MM$4&gt;=$AD$127,AND($G60=1,$J60=2,MM$6=2),AND(MM$6=1,$N60&lt;&gt;1)),0,IF(MQ60&lt;=120,MW60,IF(MM$4&lt;$AD$124,IF($F60=1,60/MO$4*MO$6,60/MO$4*MO$7),IF($F60=1,120/MO$4*MO$6,120/MO$4*MO$7)))),IF(OR($F60=3,$G60=2),IF(OR(AND(MM$4&gt;=$AD$119,$C60=2),AND(MM$4&gt;=$AF$119,$C60=1)),0,IF(MQ60&lt;=60,MW60,60/MO$4*MO$7)),IF(AND($F60=2,$G60=1),MW60,0)))))</f>
        <v>0</v>
      </c>
      <c r="MZ60" s="57" t="str">
        <f t="shared" si="142"/>
        <v/>
      </c>
      <c r="NA60" s="57" t="str">
        <f t="shared" si="452"/>
        <v/>
      </c>
      <c r="NB60" s="713">
        <f>'org. Düngung 22'!CV59</f>
        <v>0</v>
      </c>
      <c r="NC60" s="57"/>
      <c r="ND60" s="57"/>
      <c r="NE60" s="57">
        <f t="shared" si="144"/>
        <v>0</v>
      </c>
      <c r="NF60" s="57">
        <f t="shared" si="308"/>
        <v>0</v>
      </c>
      <c r="NG60" s="57">
        <f t="shared" si="309"/>
        <v>0</v>
      </c>
      <c r="NH60" s="57">
        <f t="shared" si="310"/>
        <v>0</v>
      </c>
      <c r="NI60" s="57">
        <f t="shared" si="311"/>
        <v>0</v>
      </c>
      <c r="NJ60" s="1029">
        <f t="shared" si="453"/>
        <v>0</v>
      </c>
      <c r="NK60" s="57">
        <f t="shared" si="454"/>
        <v>0</v>
      </c>
      <c r="NL60" s="171" t="str">
        <f t="shared" si="455"/>
        <v/>
      </c>
      <c r="NM60" s="57">
        <f t="shared" si="312"/>
        <v>0</v>
      </c>
      <c r="NN60" s="57">
        <f>IF(OR(AND(NB$6=1,$L60=0),AND(NB$6=2,$K60=2,$G60=1)),0,IF(AND(ND$9=2,(OR($F60&gt;1,$K60=1,AND($L60=80,OR($N60=1,AND($N60=2,'#BerechnungDBE'!$AL51&gt;0)))))),IF(NB$4&gt;=$AD$126,0,NL60),IF(ND$9=3,IF(OR(NB$4&gt;=$AD$127,AND($G60=1,$J60=2,NB$6=2),AND(NB$6=1,$N60&lt;&gt;1)),0,IF(NF60&lt;=120,NL60,IF(NB$4&lt;$AD$124,IF($F60=1,60/ND$4*ND$6,60/ND$4*ND$7),IF($F60=1,120/ND$4*ND$6,120/ND$4*ND$7)))),IF(OR($F60=3,$G60=2),IF(OR(AND(NB$4&gt;=$AD$119,$C60=2),AND(NB$4&gt;=$AF$119,$C60=1)),0,IF(NF60&lt;=60,NL60,60/ND$4*ND$7)),IF(AND($F60=2,$G60=1),NL60,0)))))</f>
        <v>0</v>
      </c>
      <c r="NO60" s="57" t="str">
        <f t="shared" si="148"/>
        <v/>
      </c>
      <c r="NP60" s="57" t="str">
        <f t="shared" si="456"/>
        <v/>
      </c>
      <c r="NQ60" s="713">
        <f>'org. Düngung 22'!CZ59</f>
        <v>0</v>
      </c>
      <c r="NR60" s="57"/>
      <c r="NS60" s="57"/>
      <c r="NT60" s="57">
        <f t="shared" si="150"/>
        <v>0</v>
      </c>
      <c r="NU60" s="57">
        <f t="shared" si="313"/>
        <v>0</v>
      </c>
      <c r="NV60" s="57">
        <f t="shared" si="314"/>
        <v>0</v>
      </c>
      <c r="NW60" s="57">
        <f t="shared" si="315"/>
        <v>0</v>
      </c>
      <c r="NX60" s="57">
        <f t="shared" si="316"/>
        <v>0</v>
      </c>
      <c r="NY60" s="1029">
        <f t="shared" si="457"/>
        <v>0</v>
      </c>
      <c r="NZ60" s="57">
        <f t="shared" si="458"/>
        <v>0</v>
      </c>
      <c r="OA60" s="171" t="str">
        <f t="shared" si="459"/>
        <v/>
      </c>
      <c r="OB60" s="57">
        <f t="shared" si="317"/>
        <v>0</v>
      </c>
      <c r="OC60" s="57">
        <f>IF(OR(AND(NQ$6=1,$L60=0),AND(NQ$6=2,$K60=2,$G60=1)),0,IF(AND(NS$9=2,(OR($F60&gt;1,$K60=1,AND($L60=80,OR($N60=1,AND($N60=2,'#BerechnungDBE'!$AL51&gt;0)))))),IF(NQ$4&gt;=$AD$126,0,OA60),IF(NS$9=3,IF(OR(NQ$4&gt;=$AD$127,AND($G60=1,$J60=2,NQ$6=2),AND(NQ$6=1,$N60&lt;&gt;1)),0,IF(NU60&lt;=120,OA60,IF(NQ$4&lt;$AD$124,IF($F60=1,60/NS$4*NS$6,60/NS$4*NS$7),IF($F60=1,120/NS$4*NS$6,120/NS$4*NS$7)))),IF(OR($F60=3,$G60=2),IF(OR(AND(NQ$4&gt;=$AD$119,$C60=2),AND(NQ$4&gt;=$AF$119,$C60=1)),0,IF(NU60&lt;=60,OA60,60/NS$4*NS$7)),IF(AND($F60=2,$G60=1),OA60,0)))))</f>
        <v>0</v>
      </c>
      <c r="OD60" s="57" t="str">
        <f t="shared" si="154"/>
        <v/>
      </c>
      <c r="OE60" s="57" t="str">
        <f t="shared" si="460"/>
        <v/>
      </c>
      <c r="OF60" s="713">
        <f>'org. Düngung 22'!DD59</f>
        <v>0</v>
      </c>
      <c r="OG60" s="57"/>
      <c r="OH60" s="57"/>
      <c r="OI60" s="57">
        <f t="shared" si="156"/>
        <v>0</v>
      </c>
      <c r="OJ60" s="57">
        <f t="shared" si="318"/>
        <v>0</v>
      </c>
      <c r="OK60" s="57">
        <f t="shared" si="319"/>
        <v>0</v>
      </c>
      <c r="OL60" s="57">
        <f t="shared" si="320"/>
        <v>0</v>
      </c>
      <c r="OM60" s="57">
        <f t="shared" si="321"/>
        <v>0</v>
      </c>
      <c r="ON60" s="1029">
        <f t="shared" si="461"/>
        <v>0</v>
      </c>
      <c r="OO60" s="57">
        <f t="shared" si="462"/>
        <v>0</v>
      </c>
      <c r="OP60" s="171" t="str">
        <f t="shared" si="463"/>
        <v/>
      </c>
      <c r="OQ60" s="57">
        <f t="shared" si="322"/>
        <v>0</v>
      </c>
      <c r="OR60" s="57">
        <f>IF(OR(AND(OF$6=1,$L60=0),AND(OF$6=2,$K60=2,$G60=1)),0,IF(AND(OH$9=2,(OR($F60&gt;1,$K60=1,AND($L60=80,OR($N60=1,AND($N60=2,'#BerechnungDBE'!$AL51&gt;0)))))),IF(OF$4&gt;=$AD$126,0,OP60),IF(OH$9=3,IF(OR(OF$4&gt;=$AD$127,AND($G60=1,$J60=2,OF$6=2),AND(OF$6=1,$N60&lt;&gt;1)),0,IF(OJ60&lt;=120,OP60,IF(OF$4&lt;$AD$124,IF($F60=1,60/OH$4*OH$6,60/OH$4*OH$7),IF($F60=1,120/OH$4*OH$6,120/OH$4*OH$7)))),IF(OR($F60=3,$G60=2),IF(OR(AND(OF$4&gt;=$AD$119,$C60=2),AND(OF$4&gt;=$AF$119,$C60=1)),0,IF(OJ60&lt;=60,OP60,60/OH$4*OH$7)),IF(AND($F60=2,$G60=1),OP60,0)))))</f>
        <v>0</v>
      </c>
      <c r="OS60" s="57" t="str">
        <f t="shared" si="160"/>
        <v/>
      </c>
      <c r="OT60" s="57" t="str">
        <f t="shared" si="464"/>
        <v/>
      </c>
      <c r="OU60" s="713">
        <f>'org. Düngung 22'!DH59</f>
        <v>0</v>
      </c>
      <c r="OV60" s="57"/>
      <c r="OW60" s="57"/>
      <c r="OX60" s="57">
        <f t="shared" si="162"/>
        <v>0</v>
      </c>
      <c r="OY60" s="57">
        <f t="shared" si="323"/>
        <v>0</v>
      </c>
      <c r="OZ60" s="57">
        <f t="shared" si="324"/>
        <v>0</v>
      </c>
      <c r="PA60" s="57">
        <f t="shared" si="325"/>
        <v>0</v>
      </c>
      <c r="PB60" s="57">
        <f t="shared" si="326"/>
        <v>0</v>
      </c>
      <c r="PC60" s="1029">
        <f t="shared" si="465"/>
        <v>0</v>
      </c>
      <c r="PD60" s="57">
        <f t="shared" si="466"/>
        <v>0</v>
      </c>
      <c r="PE60" s="171" t="str">
        <f t="shared" si="467"/>
        <v/>
      </c>
      <c r="PF60" s="57">
        <f t="shared" si="327"/>
        <v>0</v>
      </c>
      <c r="PG60" s="57">
        <f>IF(OR(AND(OU$6=1,$L60=0),AND(OU$6=2,$K60=2,$G60=1)),0,IF(AND(OW$9=2,(OR($F60&gt;1,$K60=1,AND($L60=80,OR($N60=1,AND($N60=2,'#BerechnungDBE'!$AL51&gt;0)))))),IF(OU$4&gt;=$AD$126,0,PE60),IF(OW$9=3,IF(OR(OU$4&gt;=$AD$127,AND($G60=1,$J60=2,OU$6=2),AND(OU$6=1,$N60&lt;&gt;1)),0,IF(OY60&lt;=120,PE60,IF(OU$4&lt;$AD$124,IF($F60=1,60/OW$4*OW$6,60/OW$4*OW$7),IF($F60=1,120/OW$4*OW$6,120/OW$4*OW$7)))),IF(OR($F60=3,$G60=2),IF(OR(AND(OU$4&gt;=$AD$119,$C60=2),AND(OU$4&gt;=$AF$119,$C60=1)),0,IF(OY60&lt;=60,PE60,60/OW$4*OW$7)),IF(AND($F60=2,$G60=1),PE60,0)))))</f>
        <v>0</v>
      </c>
      <c r="PH60" s="57" t="str">
        <f t="shared" si="166"/>
        <v/>
      </c>
      <c r="PI60" s="57" t="str">
        <f t="shared" si="468"/>
        <v/>
      </c>
      <c r="PJ60" s="713">
        <f>'org. Düngung 22'!DL59</f>
        <v>0</v>
      </c>
      <c r="PK60" s="57"/>
      <c r="PL60" s="57"/>
      <c r="PM60" s="57">
        <f t="shared" si="168"/>
        <v>0</v>
      </c>
      <c r="PN60" s="57">
        <f t="shared" si="328"/>
        <v>0</v>
      </c>
      <c r="PO60" s="57">
        <f t="shared" si="329"/>
        <v>0</v>
      </c>
      <c r="PP60" s="57">
        <f t="shared" si="330"/>
        <v>0</v>
      </c>
      <c r="PQ60" s="57">
        <f t="shared" si="331"/>
        <v>0</v>
      </c>
      <c r="PR60" s="1029">
        <f t="shared" si="469"/>
        <v>0</v>
      </c>
      <c r="PS60" s="57">
        <f t="shared" si="470"/>
        <v>0</v>
      </c>
      <c r="PT60" s="171" t="str">
        <f t="shared" si="471"/>
        <v/>
      </c>
      <c r="PU60" s="57">
        <f t="shared" si="332"/>
        <v>0</v>
      </c>
      <c r="PV60" s="57">
        <f>IF(OR(AND(PJ$6=1,$L60=0),AND(PJ$6=2,$K60=2,$G60=1)),0,IF(AND(PL$9=2,(OR($F60&gt;1,$K60=1,AND($L60=80,OR($N60=1,AND($N60=2,'#BerechnungDBE'!$AL51&gt;0)))))),IF(PJ$4&gt;=$AD$126,0,PT60),IF(PL$9=3,IF(OR(PJ$4&gt;=$AD$127,AND($G60=1,$J60=2,PJ$6=2),AND(PJ$6=1,$N60&lt;&gt;1)),0,IF(PN60&lt;=120,PT60,IF(PJ$4&lt;$AD$124,IF($F60=1,60/PL$4*PL$6,60/PL$4*PL$7),IF($F60=1,120/PL$4*PL$6,120/PL$4*PL$7)))),IF(OR($F60=3,$G60=2),IF(OR(AND(PJ$4&gt;=$AD$119,$C60=2),AND(PJ$4&gt;=$AF$119,$C60=1)),0,IF(PN60&lt;=60,PT60,60/PL$4*PL$7)),IF(AND($F60=2,$G60=1),PT60,0)))))</f>
        <v>0</v>
      </c>
      <c r="PW60" s="57" t="str">
        <f t="shared" si="172"/>
        <v/>
      </c>
      <c r="PX60" s="57" t="str">
        <f t="shared" si="472"/>
        <v/>
      </c>
      <c r="PY60" s="713">
        <f>'org. Düngung 22'!DP59</f>
        <v>0</v>
      </c>
      <c r="PZ60" s="57"/>
      <c r="QA60" s="57"/>
      <c r="QB60" s="57">
        <f t="shared" si="174"/>
        <v>0</v>
      </c>
      <c r="QC60" s="57">
        <f t="shared" si="333"/>
        <v>0</v>
      </c>
      <c r="QD60" s="57">
        <f t="shared" si="334"/>
        <v>0</v>
      </c>
      <c r="QE60" s="57">
        <f t="shared" si="335"/>
        <v>0</v>
      </c>
      <c r="QF60" s="57">
        <f t="shared" si="336"/>
        <v>0</v>
      </c>
      <c r="QG60" s="1029">
        <f t="shared" si="473"/>
        <v>0</v>
      </c>
      <c r="QH60" s="57">
        <f t="shared" si="474"/>
        <v>0</v>
      </c>
      <c r="QI60" s="171" t="str">
        <f t="shared" si="475"/>
        <v/>
      </c>
      <c r="QJ60" s="57">
        <f t="shared" si="337"/>
        <v>0</v>
      </c>
      <c r="QK60" s="57">
        <f>IF(OR(AND(PY$6=1,$L60=0),AND(PY$6=2,$K60=2,$G60=1)),0,IF(AND(QA$9=2,(OR($F60&gt;1,$K60=1,AND($L60=80,OR($N60=1,AND($N60=2,'#BerechnungDBE'!$AL51&gt;0)))))),IF(PY$4&gt;=$AD$126,0,QI60),IF(QA$9=3,IF(OR(PY$4&gt;=$AD$127,AND($G60=1,$J60=2,PY$6=2),AND(PY$6=1,$N60&lt;&gt;1)),0,IF(QC60&lt;=120,QI60,IF(PY$4&lt;$AD$124,IF($F60=1,60/QA$4*QA$6,60/QA$4*QA$7),IF($F60=1,120/QA$4*QA$6,120/QA$4*QA$7)))),IF(OR($F60=3,$G60=2),IF(OR(AND(PY$4&gt;=$AD$119,$C60=2),AND(PY$4&gt;=$AF$119,$C60=1)),0,IF(QC60&lt;=60,QI60,60/QA$4*QA$7)),IF(AND($F60=2,$G60=1),QI60,0)))))</f>
        <v>0</v>
      </c>
      <c r="QL60" s="57" t="str">
        <f t="shared" si="178"/>
        <v/>
      </c>
      <c r="QM60" s="57" t="str">
        <f t="shared" si="476"/>
        <v/>
      </c>
      <c r="QN60" s="713">
        <f>'org. Düngung 22'!DT59</f>
        <v>0</v>
      </c>
      <c r="QO60" s="57"/>
      <c r="QP60" s="57"/>
      <c r="QQ60" s="57">
        <f t="shared" si="180"/>
        <v>0</v>
      </c>
      <c r="QR60" s="57">
        <f t="shared" si="338"/>
        <v>0</v>
      </c>
      <c r="QS60" s="57">
        <f t="shared" si="339"/>
        <v>0</v>
      </c>
      <c r="QT60" s="57">
        <f t="shared" si="340"/>
        <v>0</v>
      </c>
      <c r="QU60" s="57">
        <f t="shared" si="341"/>
        <v>0</v>
      </c>
      <c r="QV60" s="1029">
        <f t="shared" si="477"/>
        <v>0</v>
      </c>
      <c r="QW60" s="57">
        <f t="shared" si="478"/>
        <v>0</v>
      </c>
      <c r="QX60" s="171" t="str">
        <f t="shared" si="479"/>
        <v/>
      </c>
      <c r="QY60" s="57">
        <f t="shared" si="342"/>
        <v>0</v>
      </c>
      <c r="QZ60" s="57">
        <f>IF(OR(AND(QN$6=1,$L60=0),AND(QN$6=2,$K60=2,$G60=1)),0,IF(AND(QP$9=2,(OR($F60&gt;1,$K60=1,AND($L60=80,OR($N60=1,AND($N60=2,'#BerechnungDBE'!$AL51&gt;0)))))),IF(QN$4&gt;=$AD$126,0,QX60),IF(QP$9=3,IF(OR(QN$4&gt;=$AD$127,AND($G60=1,$J60=2,QN$6=2),AND(QN$6=1,$N60&lt;&gt;1)),0,IF(QR60&lt;=120,QX60,IF(QN$4&lt;$AD$124,IF($F60=1,60/QP$4*QP$6,60/QP$4*QP$7),IF($F60=1,120/QP$4*QP$6,120/QP$4*QP$7)))),IF(OR($F60=3,$G60=2),IF(OR(AND(QN$4&gt;=$AD$119,$C60=2),AND(QN$4&gt;=$AF$119,$C60=1)),0,IF(QR60&lt;=60,QX60,60/QP$4*QP$7)),IF(AND($F60=2,$G60=1),QX60,0)))))</f>
        <v>0</v>
      </c>
      <c r="RA60" s="57" t="str">
        <f t="shared" si="184"/>
        <v/>
      </c>
      <c r="RB60" s="57" t="str">
        <f t="shared" si="480"/>
        <v/>
      </c>
      <c r="RC60" s="713">
        <f>'org. Düngung 22'!DX59</f>
        <v>0</v>
      </c>
      <c r="RD60" s="57"/>
      <c r="RE60" s="57"/>
      <c r="RF60" s="57">
        <f t="shared" si="186"/>
        <v>0</v>
      </c>
      <c r="RG60" s="57">
        <f t="shared" si="343"/>
        <v>0</v>
      </c>
      <c r="RH60" s="57">
        <f t="shared" si="344"/>
        <v>0</v>
      </c>
      <c r="RI60" s="57">
        <f t="shared" si="345"/>
        <v>0</v>
      </c>
      <c r="RJ60" s="57">
        <f t="shared" si="346"/>
        <v>0</v>
      </c>
      <c r="RK60" s="1029">
        <f t="shared" si="481"/>
        <v>0</v>
      </c>
      <c r="RL60" s="57">
        <f t="shared" si="482"/>
        <v>0</v>
      </c>
      <c r="RM60" s="171" t="str">
        <f t="shared" si="483"/>
        <v/>
      </c>
      <c r="RN60" s="57">
        <f t="shared" si="347"/>
        <v>0</v>
      </c>
      <c r="RO60" s="57">
        <f>IF(OR(AND(RC$6=1,$L60=0),AND(RC$6=2,$K60=2,$G60=1)),0,IF(AND(RE$9=2,(OR($F60&gt;1,$K60=1,AND($L60=80,OR($N60=1,AND($N60=2,'#BerechnungDBE'!$AL51&gt;0)))))),IF(RC$4&gt;=$AD$126,0,RM60),IF(RE$9=3,IF(OR(RC$4&gt;=$AD$127,AND($G60=1,$J60=2,RC$6=2),AND(RC$6=1,$N60&lt;&gt;1)),0,IF(RG60&lt;=120,RM60,IF(RC$4&lt;$AD$124,IF($F60=1,60/RE$4*RE$6,60/RE$4*RE$7),IF($F60=1,120/RE$4*RE$6,120/RE$4*RE$7)))),IF(OR($F60=3,$G60=2),IF(OR(AND(RC$4&gt;=$AD$119,$C60=2),AND(RC$4&gt;=$AF$119,$C60=1)),0,IF(RG60&lt;=60,RM60,60/RE$4*RE$7)),IF(AND($F60=2,$G60=1),RM60,0)))))</f>
        <v>0</v>
      </c>
      <c r="RP60" s="57" t="str">
        <f t="shared" si="190"/>
        <v/>
      </c>
      <c r="RQ60" s="57" t="str">
        <f t="shared" si="484"/>
        <v/>
      </c>
      <c r="RS60" s="57" t="str">
        <f t="shared" si="488"/>
        <v/>
      </c>
      <c r="RT60" s="57" t="str">
        <f t="shared" si="485"/>
        <v/>
      </c>
      <c r="RU60" s="57" t="str">
        <f t="shared" si="486"/>
        <v/>
      </c>
      <c r="RV60" s="57" t="str">
        <f>IF(Z60&gt;'#BerechnungDBE'!BM51,$RV$9,"")</f>
        <v/>
      </c>
      <c r="RW60" s="57" t="str">
        <f>IF(AND(L60=70,AE60&gt;'#BerechnungDBE'!CQ51),$RW$9,"")</f>
        <v/>
      </c>
      <c r="RX60" s="57" t="str">
        <f>IF(OR('org. Düngung 22'!G59="--",'org. Düngung 22'!G59&lt;=170,'org. Düngung 22'!G59=""),"",$RX$9)</f>
        <v/>
      </c>
      <c r="RY60" s="57" t="str">
        <f>IF('org. Düngung 22'!K59&gt;120,'#orgDung'!$RY$9,"")</f>
        <v/>
      </c>
      <c r="RZ60" s="57" t="str">
        <f>IF('#BerechnungDBE'!P51&lt;4,"",IF(AND('#BerechnungDBE'!BZ51&gt;0,T60&gt;0),'#orgDung'!$RZ$9,""))</f>
        <v/>
      </c>
      <c r="SA60" s="57" t="str">
        <f t="shared" si="487"/>
        <v/>
      </c>
    </row>
    <row r="61" spans="1:495" s="875" customFormat="1" x14ac:dyDescent="0.2">
      <c r="A61" s="875">
        <f>'Flächen u. Kulturen'!A57</f>
        <v>48</v>
      </c>
      <c r="B61" s="367">
        <f>'#BerechnungDBE'!L52</f>
        <v>0</v>
      </c>
      <c r="C61" s="875">
        <f>'#BerechnungDBE'!R52</f>
        <v>1</v>
      </c>
      <c r="D61" s="875">
        <f>'#BerechnungDBE'!T52</f>
        <v>2</v>
      </c>
      <c r="E61" s="875" t="str">
        <f>'Flächen u. Kulturen'!E57</f>
        <v>x</v>
      </c>
      <c r="F61" s="52">
        <f>'#BerechnungDBE'!N52</f>
        <v>1</v>
      </c>
      <c r="G61" s="52">
        <f>'#BerechnungDBE'!O52</f>
        <v>1</v>
      </c>
      <c r="H61" s="875">
        <f>IF('Flächen u. Kulturen'!P57="",0,VLOOKUP('Flächen u. Kulturen'!P57,Kulturen[[HF]:[Berechnungsgruppe]],'#Frucht'!$H$1,FALSE))</f>
        <v>0</v>
      </c>
      <c r="I61" s="875">
        <f>IF('Flächen u. Kulturen'!J57="",0,VLOOKUP('Flächen u. Kulturen'!J57,Kulturen[[HF]:[Berechnungsgruppe]],'#Frucht'!$G$1,FALSE))</f>
        <v>90</v>
      </c>
      <c r="J61" s="505">
        <f t="shared" si="195"/>
        <v>2</v>
      </c>
      <c r="K61" s="505">
        <f>IF('Flächen u. Kulturen'!P57="",0,IF(VLOOKUP('Flächen u. Kulturen'!P57,Kulturen[[HF]:[Saat Winterungen]],'#Frucht'!$P$1,FALSE)&gt;0,1,2))</f>
        <v>2</v>
      </c>
      <c r="L61" s="875">
        <f>'#BerechnungDBE'!AF52</f>
        <v>0</v>
      </c>
      <c r="M61" s="875">
        <f>IF('Flächen u. Kulturen'!L57="",0,VLOOKUP('Flächen u. Kulturen'!L57,Nebenkultur[[Nebenkultur]:[Legum. Zwischenfr.]],'#Zweitfr'!$K$1,FALSE))</f>
        <v>0</v>
      </c>
      <c r="N61" s="875">
        <f>'#BerechnungDBE'!AG52</f>
        <v>0</v>
      </c>
      <c r="P61" s="57">
        <f t="shared" si="353"/>
        <v>0</v>
      </c>
      <c r="Q61" s="57">
        <f t="shared" si="354"/>
        <v>0</v>
      </c>
      <c r="R61" s="875">
        <f t="shared" si="355"/>
        <v>0</v>
      </c>
      <c r="S61" s="938" t="str">
        <f t="shared" si="3"/>
        <v/>
      </c>
      <c r="T61" s="875">
        <f t="shared" si="356"/>
        <v>0</v>
      </c>
      <c r="U61" s="875">
        <f t="shared" si="357"/>
        <v>0</v>
      </c>
      <c r="V61" s="875">
        <f t="shared" si="358"/>
        <v>0</v>
      </c>
      <c r="W61" s="875">
        <f t="shared" si="359"/>
        <v>0</v>
      </c>
      <c r="X61" s="875">
        <f t="shared" si="360"/>
        <v>0</v>
      </c>
      <c r="Y61" s="875">
        <f t="shared" si="349"/>
        <v>0</v>
      </c>
      <c r="Z61" s="875">
        <f t="shared" si="350"/>
        <v>0</v>
      </c>
      <c r="AA61" s="910">
        <f t="shared" si="361"/>
        <v>0</v>
      </c>
      <c r="AB61" s="57">
        <f t="shared" si="351"/>
        <v>0</v>
      </c>
      <c r="AC61" s="875">
        <f t="shared" si="362"/>
        <v>0</v>
      </c>
      <c r="AD61" s="875">
        <f t="shared" si="363"/>
        <v>0</v>
      </c>
      <c r="AE61" s="875">
        <f t="shared" si="364"/>
        <v>0</v>
      </c>
      <c r="AF61" s="875">
        <f t="shared" si="352"/>
        <v>0</v>
      </c>
      <c r="AG61" s="875">
        <f>'org. Düngung 22'!J60</f>
        <v>0</v>
      </c>
      <c r="AH61" s="875">
        <f>'org. Düngung 22'!K60</f>
        <v>0</v>
      </c>
      <c r="AJ61" s="713">
        <f>'org. Düngung 22'!L60</f>
        <v>0</v>
      </c>
      <c r="AK61" s="57"/>
      <c r="AL61" s="57"/>
      <c r="AM61" s="57">
        <f t="shared" si="196"/>
        <v>0</v>
      </c>
      <c r="AN61" s="57">
        <f t="shared" si="197"/>
        <v>0</v>
      </c>
      <c r="AO61" s="57">
        <f t="shared" si="198"/>
        <v>0</v>
      </c>
      <c r="AP61" s="57">
        <f t="shared" si="199"/>
        <v>0</v>
      </c>
      <c r="AQ61" s="57">
        <f t="shared" si="200"/>
        <v>0</v>
      </c>
      <c r="AR61" s="1029">
        <f t="shared" si="365"/>
        <v>0</v>
      </c>
      <c r="AS61" s="57">
        <f t="shared" si="366"/>
        <v>0</v>
      </c>
      <c r="AT61" s="171" t="str">
        <f t="shared" si="367"/>
        <v/>
      </c>
      <c r="AU61" s="57">
        <f t="shared" si="201"/>
        <v>0</v>
      </c>
      <c r="AV61" s="57">
        <f>IF(OR(AND(AJ$6=1,$L61=0),AND(AJ$6=2,$K61=2,$G61=1)),0,IF(AND(AL$9=2,(OR($F61&gt;1,$K61=1,AND($L61=80,OR($N61=1,AND($N61=2,'#BerechnungDBE'!$AL52&gt;0)))))),IF(AJ$4&gt;=$AD$126,0,AT61),IF(AL$9=3,IF(OR(AJ$4&gt;=$AD$127,AND($G61=1,$J61=2,AJ$6=2),AND(AJ$6=1,$N61&lt;&gt;1)),0,IF(AN61&lt;=120,AT61,IF(AJ$4&lt;$AD$124,IF($F61=1,60/AL$4*AL$6,60/AL$4*AL$7),IF($F61=1,120/AL$4*AL$6,120/AL$4*AL$7)))),IF(OR($F61=3,$G61=2),IF(OR(AND(AJ$4&gt;=$AD$119,$C61=2),AND(AJ$4&gt;=$AF$119,$C61=1)),0,IF(AN61&lt;=60,AT61,60/AL$4*AL$7)),IF(AND($F61=2,$G61=1),AT61,0)))))</f>
        <v>0</v>
      </c>
      <c r="AW61" s="57" t="str">
        <f t="shared" si="202"/>
        <v/>
      </c>
      <c r="AX61" s="57" t="str">
        <f t="shared" si="368"/>
        <v/>
      </c>
      <c r="AY61" s="713">
        <f>'org. Düngung 22'!P60</f>
        <v>0</v>
      </c>
      <c r="AZ61" s="57"/>
      <c r="BA61" s="57"/>
      <c r="BB61" s="57">
        <f t="shared" si="18"/>
        <v>0</v>
      </c>
      <c r="BC61" s="57">
        <f t="shared" si="203"/>
        <v>0</v>
      </c>
      <c r="BD61" s="57">
        <f t="shared" si="204"/>
        <v>0</v>
      </c>
      <c r="BE61" s="57">
        <f t="shared" si="205"/>
        <v>0</v>
      </c>
      <c r="BF61" s="57">
        <f t="shared" si="206"/>
        <v>0</v>
      </c>
      <c r="BG61" s="1029">
        <f t="shared" si="369"/>
        <v>0</v>
      </c>
      <c r="BH61" s="57">
        <f t="shared" si="370"/>
        <v>0</v>
      </c>
      <c r="BI61" s="171" t="str">
        <f t="shared" si="371"/>
        <v/>
      </c>
      <c r="BJ61" s="57">
        <f t="shared" si="207"/>
        <v>0</v>
      </c>
      <c r="BK61" s="57">
        <f>IF(OR(AND(AY$6=1,$L61=0),AND(AY$6=2,$K61=2,$G61=1)),0,IF(AND(BA$9=2,(OR($F61&gt;1,$K61=1,AND($L61=80,OR($N61=1,AND($N61=2,'#BerechnungDBE'!$AL52&gt;0)))))),IF(AY$4&gt;=$AD$126,0,BI61),IF(BA$9=3,IF(OR(AY$4&gt;=$AD$127,AND($G61=1,$J61=2,AY$6=2),AND(AY$6=1,$N61&lt;&gt;1)),0,IF(BC61&lt;=120,BI61,IF(AY$4&lt;$AD$124,IF($F61=1,60/BA$4*BA$6,60/BA$4*BA$7),IF($F61=1,120/BA$4*BA$6,120/BA$4*BA$7)))),IF(OR($F61=3,$G61=2),IF(OR(AND(AY$4&gt;=$AD$119,$C61=2),AND(AY$4&gt;=$AF$119,$C61=1)),0,IF(BC61&lt;=60,BI61,60/BA$4*BA$7)),IF(AND($F61=2,$G61=1),BI61,0)))))</f>
        <v>0</v>
      </c>
      <c r="BL61" s="57" t="str">
        <f t="shared" si="22"/>
        <v/>
      </c>
      <c r="BM61" s="57" t="str">
        <f t="shared" si="372"/>
        <v/>
      </c>
      <c r="BN61" s="713">
        <f>'org. Düngung 22'!T60</f>
        <v>0</v>
      </c>
      <c r="BO61" s="57"/>
      <c r="BP61" s="57"/>
      <c r="BQ61" s="57">
        <f t="shared" si="24"/>
        <v>0</v>
      </c>
      <c r="BR61" s="57">
        <f t="shared" si="208"/>
        <v>0</v>
      </c>
      <c r="BS61" s="57">
        <f t="shared" si="209"/>
        <v>0</v>
      </c>
      <c r="BT61" s="57">
        <f t="shared" si="210"/>
        <v>0</v>
      </c>
      <c r="BU61" s="57">
        <f t="shared" si="211"/>
        <v>0</v>
      </c>
      <c r="BV61" s="1029">
        <f t="shared" si="373"/>
        <v>0</v>
      </c>
      <c r="BW61" s="57">
        <f t="shared" si="374"/>
        <v>0</v>
      </c>
      <c r="BX61" s="171" t="str">
        <f t="shared" si="375"/>
        <v/>
      </c>
      <c r="BY61" s="57">
        <f t="shared" si="212"/>
        <v>0</v>
      </c>
      <c r="BZ61" s="57">
        <f>IF(OR(AND(BN$6=1,$L61=0),AND(BN$6=2,$K61=2,$G61=1)),0,IF(AND(BP$9=2,(OR($F61&gt;1,$K61=1,AND($L61=80,OR($N61=1,AND($N61=2,'#BerechnungDBE'!$AL52&gt;0)))))),IF(BN$4&gt;=$AD$126,0,BX61),IF(BP$9=3,IF(OR(BN$4&gt;=$AD$127,AND($G61=1,$J61=2,BN$6=2),AND(BN$6=1,$N61&lt;&gt;1)),0,IF(BR61&lt;=120,BX61,IF(BN$4&lt;$AD$124,IF($F61=1,60/BP$4*BP$6,60/BP$4*BP$7),IF($F61=1,120/BP$4*BP$6,120/BP$4*BP$7)))),IF(OR($F61=3,$G61=2),IF(OR(AND(BN$4&gt;=$AD$119,$C61=2),AND(BN$4&gt;=$AF$119,$C61=1)),0,IF(BR61&lt;=60,BX61,60/BP$4*BP$7)),IF(AND($F61=2,$G61=1),BX61,0)))))</f>
        <v>0</v>
      </c>
      <c r="CA61" s="57" t="str">
        <f t="shared" si="28"/>
        <v/>
      </c>
      <c r="CB61" s="57" t="str">
        <f t="shared" si="376"/>
        <v/>
      </c>
      <c r="CC61" s="713">
        <f>'org. Düngung 22'!X60</f>
        <v>0</v>
      </c>
      <c r="CD61" s="57"/>
      <c r="CE61" s="57"/>
      <c r="CF61" s="57">
        <f t="shared" si="30"/>
        <v>0</v>
      </c>
      <c r="CG61" s="57">
        <f t="shared" si="213"/>
        <v>0</v>
      </c>
      <c r="CH61" s="57">
        <f t="shared" si="214"/>
        <v>0</v>
      </c>
      <c r="CI61" s="57">
        <f t="shared" si="215"/>
        <v>0</v>
      </c>
      <c r="CJ61" s="57">
        <f t="shared" si="216"/>
        <v>0</v>
      </c>
      <c r="CK61" s="1029">
        <f t="shared" si="377"/>
        <v>0</v>
      </c>
      <c r="CL61" s="57">
        <f t="shared" si="378"/>
        <v>0</v>
      </c>
      <c r="CM61" s="171" t="str">
        <f t="shared" si="379"/>
        <v/>
      </c>
      <c r="CN61" s="57">
        <f t="shared" si="217"/>
        <v>0</v>
      </c>
      <c r="CO61" s="57">
        <f>IF(OR(AND(CC$6=1,$L61=0),AND(CC$6=2,$K61=2,$G61=1)),0,IF(AND(CE$9=2,(OR($F61&gt;1,$K61=1,AND($L61=80,OR($N61=1,AND($N61=2,'#BerechnungDBE'!$AL52&gt;0)))))),IF(CC$4&gt;=$AD$126,0,CM61),IF(CE$9=3,IF(OR(CC$4&gt;=$AD$127,AND($G61=1,$J61=2,CC$6=2),AND(CC$6=1,$N61&lt;&gt;1)),0,IF(CG61&lt;=120,CM61,IF(CC$4&lt;$AD$124,IF($F61=1,60/CE$4*CE$6,60/CE$4*CE$7),IF($F61=1,120/CE$4*CE$6,120/CE$4*CE$7)))),IF(OR($F61=3,$G61=2),IF(OR(AND(CC$4&gt;=$AD$119,$C61=2),AND(CC$4&gt;=$AF$119,$C61=1)),0,IF(CG61&lt;=60,CM61,60/CE$4*CE$7)),IF(AND($F61=2,$G61=1),CM61,0)))))</f>
        <v>0</v>
      </c>
      <c r="CP61" s="57" t="str">
        <f t="shared" si="34"/>
        <v/>
      </c>
      <c r="CQ61" s="57" t="str">
        <f t="shared" si="380"/>
        <v/>
      </c>
      <c r="CR61" s="713">
        <f>'org. Düngung 22'!AB60</f>
        <v>0</v>
      </c>
      <c r="CS61" s="57"/>
      <c r="CT61" s="57"/>
      <c r="CU61" s="57">
        <f t="shared" si="36"/>
        <v>0</v>
      </c>
      <c r="CV61" s="57">
        <f t="shared" si="218"/>
        <v>0</v>
      </c>
      <c r="CW61" s="57">
        <f t="shared" si="219"/>
        <v>0</v>
      </c>
      <c r="CX61" s="57">
        <f t="shared" si="220"/>
        <v>0</v>
      </c>
      <c r="CY61" s="57">
        <f t="shared" si="221"/>
        <v>0</v>
      </c>
      <c r="CZ61" s="1029">
        <f t="shared" si="381"/>
        <v>0</v>
      </c>
      <c r="DA61" s="57">
        <f t="shared" si="382"/>
        <v>0</v>
      </c>
      <c r="DB61" s="171" t="str">
        <f t="shared" si="383"/>
        <v/>
      </c>
      <c r="DC61" s="57">
        <f t="shared" si="222"/>
        <v>0</v>
      </c>
      <c r="DD61" s="57">
        <f>IF(OR(AND(CR$6=1,$L61=0),AND(CR$6=2,$K61=2,$G61=1)),0,IF(AND(CT$9=2,(OR($F61&gt;1,$K61=1,AND($L61=80,OR($N61=1,AND($N61=2,'#BerechnungDBE'!$AL52&gt;0)))))),IF(CR$4&gt;=$AD$126,0,DB61),IF(CT$9=3,IF(OR(CR$4&gt;=$AD$127,AND($G61=1,$J61=2,CR$6=2),AND(CR$6=1,$N61&lt;&gt;1)),0,IF(CV61&lt;=120,DB61,IF(CR$4&lt;$AD$124,IF($F61=1,60/CT$4*CT$6,60/CT$4*CT$7),IF($F61=1,120/CT$4*CT$6,120/CT$4*CT$7)))),IF(OR($F61=3,$G61=2),IF(OR(AND(CR$4&gt;=$AD$119,$C61=2),AND(CR$4&gt;=$AF$119,$C61=1)),0,IF(CV61&lt;=60,DB61,60/CT$4*CT$7)),IF(AND($F61=2,$G61=1),DB61,0)))))</f>
        <v>0</v>
      </c>
      <c r="DE61" s="57" t="str">
        <f t="shared" si="40"/>
        <v/>
      </c>
      <c r="DF61" s="57" t="str">
        <f t="shared" si="384"/>
        <v/>
      </c>
      <c r="DG61" s="713">
        <f>'org. Düngung 22'!AF60</f>
        <v>0</v>
      </c>
      <c r="DH61" s="57"/>
      <c r="DI61" s="57"/>
      <c r="DJ61" s="57">
        <f t="shared" si="42"/>
        <v>0</v>
      </c>
      <c r="DK61" s="57">
        <f t="shared" si="223"/>
        <v>0</v>
      </c>
      <c r="DL61" s="57">
        <f t="shared" si="224"/>
        <v>0</v>
      </c>
      <c r="DM61" s="57">
        <f t="shared" si="225"/>
        <v>0</v>
      </c>
      <c r="DN61" s="57">
        <f t="shared" si="226"/>
        <v>0</v>
      </c>
      <c r="DO61" s="1029">
        <f t="shared" si="385"/>
        <v>0</v>
      </c>
      <c r="DP61" s="57">
        <f t="shared" si="386"/>
        <v>0</v>
      </c>
      <c r="DQ61" s="171" t="str">
        <f t="shared" si="387"/>
        <v/>
      </c>
      <c r="DR61" s="57">
        <f t="shared" si="227"/>
        <v>0</v>
      </c>
      <c r="DS61" s="57">
        <f>IF(OR(AND(DG$6=1,$L61=0),AND(DG$6=2,$K61=2,$G61=1)),0,IF(AND(DI$9=2,(OR($F61&gt;1,$K61=1,AND($L61=80,OR($N61=1,AND($N61=2,'#BerechnungDBE'!$AL52&gt;0)))))),IF(DG$4&gt;=$AD$126,0,DQ61),IF(DI$9=3,IF(OR(DG$4&gt;=$AD$127,AND($G61=1,$J61=2,DG$6=2),AND(DG$6=1,$N61&lt;&gt;1)),0,IF(DK61&lt;=120,DQ61,IF(DG$4&lt;$AD$124,IF($F61=1,60/DI$4*DI$6,60/DI$4*DI$7),IF($F61=1,120/DI$4*DI$6,120/DI$4*DI$7)))),IF(OR($F61=3,$G61=2),IF(OR(AND(DG$4&gt;=$AD$119,$C61=2),AND(DG$4&gt;=$AF$119,$C61=1)),0,IF(DK61&lt;=60,DQ61,60/DI$4*DI$7)),IF(AND($F61=2,$G61=1),DQ61,0)))))</f>
        <v>0</v>
      </c>
      <c r="DT61" s="57" t="str">
        <f t="shared" si="46"/>
        <v/>
      </c>
      <c r="DU61" s="57" t="str">
        <f t="shared" si="388"/>
        <v/>
      </c>
      <c r="DV61" s="713">
        <f>'org. Düngung 22'!AJ60</f>
        <v>0</v>
      </c>
      <c r="DW61" s="57"/>
      <c r="DX61" s="57"/>
      <c r="DY61" s="57">
        <f t="shared" si="48"/>
        <v>0</v>
      </c>
      <c r="DZ61" s="57">
        <f t="shared" si="228"/>
        <v>0</v>
      </c>
      <c r="EA61" s="57">
        <f t="shared" si="229"/>
        <v>0</v>
      </c>
      <c r="EB61" s="57">
        <f t="shared" si="230"/>
        <v>0</v>
      </c>
      <c r="EC61" s="57">
        <f t="shared" si="231"/>
        <v>0</v>
      </c>
      <c r="ED61" s="1029">
        <f t="shared" si="389"/>
        <v>0</v>
      </c>
      <c r="EE61" s="57">
        <f t="shared" si="390"/>
        <v>0</v>
      </c>
      <c r="EF61" s="171" t="str">
        <f t="shared" si="391"/>
        <v/>
      </c>
      <c r="EG61" s="57">
        <f t="shared" si="232"/>
        <v>0</v>
      </c>
      <c r="EH61" s="57">
        <f>IF(OR(AND(DV$6=1,$L61=0),AND(DV$6=2,$K61=2,$G61=1)),0,IF(AND(DX$9=2,(OR($F61&gt;1,$K61=1,AND($L61=80,OR($N61=1,AND($N61=2,'#BerechnungDBE'!$AL52&gt;0)))))),IF(DV$4&gt;=$AD$126,0,EF61),IF(DX$9=3,IF(OR(DV$4&gt;=$AD$127,AND($G61=1,$J61=2,DV$6=2),AND(DV$6=1,$N61&lt;&gt;1)),0,IF(DZ61&lt;=120,EF61,IF(DV$4&lt;$AD$124,IF($F61=1,60/DX$4*DX$6,60/DX$4*DX$7),IF($F61=1,120/DX$4*DX$6,120/DX$4*DX$7)))),IF(OR($F61=3,$G61=2),IF(OR(AND(DV$4&gt;=$AD$119,$C61=2),AND(DV$4&gt;=$AF$119,$C61=1)),0,IF(DZ61&lt;=60,EF61,60/DX$4*DX$7)),IF(AND($F61=2,$G61=1),EF61,0)))))</f>
        <v>0</v>
      </c>
      <c r="EI61" s="57" t="str">
        <f t="shared" si="52"/>
        <v/>
      </c>
      <c r="EJ61" s="57" t="str">
        <f t="shared" si="392"/>
        <v/>
      </c>
      <c r="EK61" s="713">
        <f>'org. Düngung 22'!AN60</f>
        <v>0</v>
      </c>
      <c r="EL61" s="57"/>
      <c r="EM61" s="57"/>
      <c r="EN61" s="57">
        <f t="shared" si="54"/>
        <v>0</v>
      </c>
      <c r="EO61" s="57">
        <f t="shared" si="233"/>
        <v>0</v>
      </c>
      <c r="EP61" s="57">
        <f t="shared" si="234"/>
        <v>0</v>
      </c>
      <c r="EQ61" s="57">
        <f t="shared" si="235"/>
        <v>0</v>
      </c>
      <c r="ER61" s="57">
        <f t="shared" si="236"/>
        <v>0</v>
      </c>
      <c r="ES61" s="1029">
        <f t="shared" si="393"/>
        <v>0</v>
      </c>
      <c r="ET61" s="57">
        <f t="shared" si="394"/>
        <v>0</v>
      </c>
      <c r="EU61" s="171" t="str">
        <f t="shared" si="395"/>
        <v/>
      </c>
      <c r="EV61" s="57">
        <f t="shared" si="237"/>
        <v>0</v>
      </c>
      <c r="EW61" s="57">
        <f>IF(OR(AND(EK$6=1,$L61=0),AND(EK$6=2,$K61=2,$G61=1)),0,IF(AND(EM$9=2,(OR($F61&gt;1,$K61=1,AND($L61=80,OR($N61=1,AND($N61=2,'#BerechnungDBE'!$AL52&gt;0)))))),IF(EK$4&gt;=$AD$126,0,EU61),IF(EM$9=3,IF(OR(EK$4&gt;=$AD$127,AND($G61=1,$J61=2,EK$6=2),AND(EK$6=1,$N61&lt;&gt;1)),0,IF(EO61&lt;=120,EU61,IF(EK$4&lt;$AD$124,IF($F61=1,60/EM$4*EM$6,60/EM$4*EM$7),IF($F61=1,120/EM$4*EM$6,120/EM$4*EM$7)))),IF(OR($F61=3,$G61=2),IF(OR(AND(EK$4&gt;=$AD$119,$C61=2),AND(EK$4&gt;=$AF$119,$C61=1)),0,IF(EO61&lt;=60,EU61,60/EM$4*EM$7)),IF(AND($F61=2,$G61=1),EU61,0)))))</f>
        <v>0</v>
      </c>
      <c r="EX61" s="57" t="str">
        <f t="shared" si="58"/>
        <v/>
      </c>
      <c r="EY61" s="57" t="str">
        <f t="shared" si="396"/>
        <v/>
      </c>
      <c r="EZ61" s="713">
        <f>'org. Düngung 22'!AR60</f>
        <v>0</v>
      </c>
      <c r="FA61" s="57"/>
      <c r="FB61" s="57"/>
      <c r="FC61" s="57">
        <f t="shared" si="60"/>
        <v>0</v>
      </c>
      <c r="FD61" s="57">
        <f t="shared" si="238"/>
        <v>0</v>
      </c>
      <c r="FE61" s="57">
        <f t="shared" si="239"/>
        <v>0</v>
      </c>
      <c r="FF61" s="57">
        <f t="shared" si="240"/>
        <v>0</v>
      </c>
      <c r="FG61" s="57">
        <f t="shared" si="241"/>
        <v>0</v>
      </c>
      <c r="FH61" s="1029">
        <f t="shared" si="397"/>
        <v>0</v>
      </c>
      <c r="FI61" s="57">
        <f t="shared" si="398"/>
        <v>0</v>
      </c>
      <c r="FJ61" s="171" t="str">
        <f t="shared" si="399"/>
        <v/>
      </c>
      <c r="FK61" s="57">
        <f t="shared" si="242"/>
        <v>0</v>
      </c>
      <c r="FL61" s="57">
        <f>IF(OR(AND(EZ$6=1,$L61=0),AND(EZ$6=2,$K61=2,$G61=1)),0,IF(AND(FB$9=2,(OR($F61&gt;1,$K61=1,AND($L61=80,OR($N61=1,AND($N61=2,'#BerechnungDBE'!$AL52&gt;0)))))),IF(EZ$4&gt;=$AD$126,0,FJ61),IF(FB$9=3,IF(OR(EZ$4&gt;=$AD$127,AND($G61=1,$J61=2,EZ$6=2),AND(EZ$6=1,$N61&lt;&gt;1)),0,IF(FD61&lt;=120,FJ61,IF(EZ$4&lt;$AD$124,IF($F61=1,60/FB$4*FB$6,60/FB$4*FB$7),IF($F61=1,120/FB$4*FB$6,120/FB$4*FB$7)))),IF(OR($F61=3,$G61=2),IF(OR(AND(EZ$4&gt;=$AD$119,$C61=2),AND(EZ$4&gt;=$AF$119,$C61=1)),0,IF(FD61&lt;=60,FJ61,60/FB$4*FB$7)),IF(AND($F61=2,$G61=1),FJ61,0)))))</f>
        <v>0</v>
      </c>
      <c r="FM61" s="57" t="str">
        <f t="shared" si="64"/>
        <v/>
      </c>
      <c r="FN61" s="57" t="str">
        <f t="shared" si="400"/>
        <v/>
      </c>
      <c r="FO61" s="713">
        <f>'org. Düngung 22'!AV60</f>
        <v>0</v>
      </c>
      <c r="FP61" s="57"/>
      <c r="FQ61" s="57"/>
      <c r="FR61" s="57">
        <f t="shared" si="66"/>
        <v>0</v>
      </c>
      <c r="FS61" s="57">
        <f t="shared" si="243"/>
        <v>0</v>
      </c>
      <c r="FT61" s="57">
        <f t="shared" si="244"/>
        <v>0</v>
      </c>
      <c r="FU61" s="57">
        <f t="shared" si="245"/>
        <v>0</v>
      </c>
      <c r="FV61" s="57">
        <f t="shared" si="246"/>
        <v>0</v>
      </c>
      <c r="FW61" s="1029">
        <f t="shared" si="401"/>
        <v>0</v>
      </c>
      <c r="FX61" s="57">
        <f t="shared" si="402"/>
        <v>0</v>
      </c>
      <c r="FY61" s="171" t="str">
        <f t="shared" si="403"/>
        <v/>
      </c>
      <c r="FZ61" s="57">
        <f t="shared" si="247"/>
        <v>0</v>
      </c>
      <c r="GA61" s="57">
        <f>IF(OR(AND(FO$6=1,$L61=0),AND(FO$6=2,$K61=2,$G61=1)),0,IF(AND(FQ$9=2,(OR($F61&gt;1,$K61=1,AND($L61=80,OR($N61=1,AND($N61=2,'#BerechnungDBE'!$AL52&gt;0)))))),IF(FO$4&gt;=$AD$126,0,FY61),IF(FQ$9=3,IF(OR(FO$4&gt;=$AD$127,AND($G61=1,$J61=2,FO$6=2),AND(FO$6=1,$N61&lt;&gt;1)),0,IF(FS61&lt;=120,FY61,IF(FO$4&lt;$AD$124,IF($F61=1,60/FQ$4*FQ$6,60/FQ$4*FQ$7),IF($F61=1,120/FQ$4*FQ$6,120/FQ$4*FQ$7)))),IF(OR($F61=3,$G61=2),IF(OR(AND(FO$4&gt;=$AD$119,$C61=2),AND(FO$4&gt;=$AF$119,$C61=1)),0,IF(FS61&lt;=60,FY61,60/FQ$4*FQ$7)),IF(AND($F61=2,$G61=1),FY61,0)))))</f>
        <v>0</v>
      </c>
      <c r="GB61" s="57" t="str">
        <f t="shared" si="70"/>
        <v/>
      </c>
      <c r="GC61" s="57" t="str">
        <f t="shared" si="404"/>
        <v/>
      </c>
      <c r="GD61" s="713">
        <f>'org. Düngung 22'!AZ60</f>
        <v>0</v>
      </c>
      <c r="GE61" s="57"/>
      <c r="GF61" s="57"/>
      <c r="GG61" s="57">
        <f t="shared" si="72"/>
        <v>0</v>
      </c>
      <c r="GH61" s="57">
        <f t="shared" si="248"/>
        <v>0</v>
      </c>
      <c r="GI61" s="57">
        <f t="shared" si="249"/>
        <v>0</v>
      </c>
      <c r="GJ61" s="57">
        <f t="shared" si="250"/>
        <v>0</v>
      </c>
      <c r="GK61" s="57">
        <f t="shared" si="251"/>
        <v>0</v>
      </c>
      <c r="GL61" s="1029">
        <f t="shared" si="405"/>
        <v>0</v>
      </c>
      <c r="GM61" s="57">
        <f t="shared" si="406"/>
        <v>0</v>
      </c>
      <c r="GN61" s="171" t="str">
        <f t="shared" si="407"/>
        <v/>
      </c>
      <c r="GO61" s="57">
        <f t="shared" si="252"/>
        <v>0</v>
      </c>
      <c r="GP61" s="57">
        <f>IF(OR(AND(GD$6=1,$L61=0),AND(GD$6=2,$K61=2,$G61=1)),0,IF(AND(GF$9=2,(OR($F61&gt;1,$K61=1,AND($L61=80,OR($N61=1,AND($N61=2,'#BerechnungDBE'!$AL52&gt;0)))))),IF(GD$4&gt;=$AD$126,0,GN61),IF(GF$9=3,IF(OR(GD$4&gt;=$AD$127,AND($G61=1,$J61=2,GD$6=2),AND(GD$6=1,$N61&lt;&gt;1)),0,IF(GH61&lt;=120,GN61,IF(GD$4&lt;$AD$124,IF($F61=1,60/GF$4*GF$6,60/GF$4*GF$7),IF($F61=1,120/GF$4*GF$6,120/GF$4*GF$7)))),IF(OR($F61=3,$G61=2),IF(OR(AND(GD$4&gt;=$AD$119,$C61=2),AND(GD$4&gt;=$AF$119,$C61=1)),0,IF(GH61&lt;=60,GN61,60/GF$4*GF$7)),IF(AND($F61=2,$G61=1),GN61,0)))))</f>
        <v>0</v>
      </c>
      <c r="GQ61" s="57" t="str">
        <f t="shared" si="76"/>
        <v/>
      </c>
      <c r="GR61" s="57" t="str">
        <f t="shared" si="408"/>
        <v/>
      </c>
      <c r="GS61" s="713">
        <f>'org. Düngung 22'!BD60</f>
        <v>0</v>
      </c>
      <c r="GT61" s="57"/>
      <c r="GU61" s="57"/>
      <c r="GV61" s="57">
        <f t="shared" si="78"/>
        <v>0</v>
      </c>
      <c r="GW61" s="57">
        <f t="shared" si="253"/>
        <v>0</v>
      </c>
      <c r="GX61" s="57">
        <f t="shared" si="254"/>
        <v>0</v>
      </c>
      <c r="GY61" s="57">
        <f t="shared" si="255"/>
        <v>0</v>
      </c>
      <c r="GZ61" s="57">
        <f t="shared" si="256"/>
        <v>0</v>
      </c>
      <c r="HA61" s="1029">
        <f t="shared" si="409"/>
        <v>0</v>
      </c>
      <c r="HB61" s="57">
        <f t="shared" si="410"/>
        <v>0</v>
      </c>
      <c r="HC61" s="171" t="str">
        <f t="shared" si="411"/>
        <v/>
      </c>
      <c r="HD61" s="57">
        <f t="shared" si="257"/>
        <v>0</v>
      </c>
      <c r="HE61" s="57">
        <f>IF(OR(AND(GS$6=1,$L61=0),AND(GS$6=2,$K61=2,$G61=1)),0,IF(AND(GU$9=2,(OR($F61&gt;1,$K61=1,AND($L61=80,OR($N61=1,AND($N61=2,'#BerechnungDBE'!$AL52&gt;0)))))),IF(GS$4&gt;=$AD$126,0,HC61),IF(GU$9=3,IF(OR(GS$4&gt;=$AD$127,AND($G61=1,$J61=2,GS$6=2),AND(GS$6=1,$N61&lt;&gt;1)),0,IF(GW61&lt;=120,HC61,IF(GS$4&lt;$AD$124,IF($F61=1,60/GU$4*GU$6,60/GU$4*GU$7),IF($F61=1,120/GU$4*GU$6,120/GU$4*GU$7)))),IF(OR($F61=3,$G61=2),IF(OR(AND(GS$4&gt;=$AD$119,$C61=2),AND(GS$4&gt;=$AF$119,$C61=1)),0,IF(GW61&lt;=60,HC61,60/GU$4*GU$7)),IF(AND($F61=2,$G61=1),HC61,0)))))</f>
        <v>0</v>
      </c>
      <c r="HF61" s="57" t="str">
        <f t="shared" si="82"/>
        <v/>
      </c>
      <c r="HG61" s="57" t="str">
        <f t="shared" si="412"/>
        <v/>
      </c>
      <c r="HH61" s="713">
        <f>'org. Düngung 22'!BH60</f>
        <v>0</v>
      </c>
      <c r="HI61" s="57"/>
      <c r="HJ61" s="57"/>
      <c r="HK61" s="57">
        <f t="shared" si="84"/>
        <v>0</v>
      </c>
      <c r="HL61" s="57">
        <f t="shared" si="258"/>
        <v>0</v>
      </c>
      <c r="HM61" s="57">
        <f t="shared" si="259"/>
        <v>0</v>
      </c>
      <c r="HN61" s="57">
        <f t="shared" si="260"/>
        <v>0</v>
      </c>
      <c r="HO61" s="57">
        <f t="shared" si="261"/>
        <v>0</v>
      </c>
      <c r="HP61" s="1029">
        <f t="shared" si="413"/>
        <v>0</v>
      </c>
      <c r="HQ61" s="57">
        <f t="shared" si="414"/>
        <v>0</v>
      </c>
      <c r="HR61" s="171" t="str">
        <f t="shared" si="415"/>
        <v/>
      </c>
      <c r="HS61" s="57">
        <f t="shared" si="262"/>
        <v>0</v>
      </c>
      <c r="HT61" s="57">
        <f>IF(OR(AND(HH$6=1,$L61=0),AND(HH$6=2,$K61=2,$G61=1)),0,IF(AND(HJ$9=2,(OR($F61&gt;1,$K61=1,AND($L61=80,OR($N61=1,AND($N61=2,'#BerechnungDBE'!$AL52&gt;0)))))),IF(HH$4&gt;=$AD$126,0,HR61),IF(HJ$9=3,IF(OR(HH$4&gt;=$AD$127,AND($G61=1,$J61=2,HH$6=2),AND(HH$6=1,$N61&lt;&gt;1)),0,IF(HL61&lt;=120,HR61,IF(HH$4&lt;$AD$124,IF($F61=1,60/HJ$4*HJ$6,60/HJ$4*HJ$7),IF($F61=1,120/HJ$4*HJ$6,120/HJ$4*HJ$7)))),IF(OR($F61=3,$G61=2),IF(OR(AND(HH$4&gt;=$AD$119,$C61=2),AND(HH$4&gt;=$AF$119,$C61=1)),0,IF(HL61&lt;=60,HR61,60/HJ$4*HJ$7)),IF(AND($F61=2,$G61=1),HR61,0)))))</f>
        <v>0</v>
      </c>
      <c r="HU61" s="57" t="str">
        <f t="shared" si="88"/>
        <v/>
      </c>
      <c r="HV61" s="57" t="str">
        <f t="shared" si="416"/>
        <v/>
      </c>
      <c r="HW61" s="713">
        <f>'org. Düngung 22'!BL60</f>
        <v>0</v>
      </c>
      <c r="HX61" s="57"/>
      <c r="HY61" s="57"/>
      <c r="HZ61" s="57">
        <f t="shared" si="90"/>
        <v>0</v>
      </c>
      <c r="IA61" s="57">
        <f t="shared" si="263"/>
        <v>0</v>
      </c>
      <c r="IB61" s="57">
        <f t="shared" si="264"/>
        <v>0</v>
      </c>
      <c r="IC61" s="57">
        <f t="shared" si="265"/>
        <v>0</v>
      </c>
      <c r="ID61" s="57">
        <f t="shared" si="266"/>
        <v>0</v>
      </c>
      <c r="IE61" s="1029">
        <f t="shared" si="417"/>
        <v>0</v>
      </c>
      <c r="IF61" s="57">
        <f t="shared" si="418"/>
        <v>0</v>
      </c>
      <c r="IG61" s="171" t="str">
        <f t="shared" si="419"/>
        <v/>
      </c>
      <c r="IH61" s="57">
        <f t="shared" si="267"/>
        <v>0</v>
      </c>
      <c r="II61" s="57">
        <f>IF(OR(AND(HW$6=1,$L61=0),AND(HW$6=2,$K61=2,$G61=1)),0,IF(AND(HY$9=2,(OR($F61&gt;1,$K61=1,AND($L61=80,OR($N61=1,AND($N61=2,'#BerechnungDBE'!$AL52&gt;0)))))),IF(HW$4&gt;=$AD$126,0,IG61),IF(HY$9=3,IF(OR(HW$4&gt;=$AD$127,AND($G61=1,$J61=2,HW$6=2),AND(HW$6=1,$N61&lt;&gt;1)),0,IF(IA61&lt;=120,IG61,IF(HW$4&lt;$AD$124,IF($F61=1,60/HY$4*HY$6,60/HY$4*HY$7),IF($F61=1,120/HY$4*HY$6,120/HY$4*HY$7)))),IF(OR($F61=3,$G61=2),IF(OR(AND(HW$4&gt;=$AD$119,$C61=2),AND(HW$4&gt;=$AF$119,$C61=1)),0,IF(IA61&lt;=60,IG61,60/HY$4*HY$7)),IF(AND($F61=2,$G61=1),IG61,0)))))</f>
        <v>0</v>
      </c>
      <c r="IJ61" s="57" t="str">
        <f t="shared" si="94"/>
        <v/>
      </c>
      <c r="IK61" s="57" t="str">
        <f t="shared" si="420"/>
        <v/>
      </c>
      <c r="IL61" s="713">
        <f>'org. Düngung 22'!BP60</f>
        <v>0</v>
      </c>
      <c r="IM61" s="57"/>
      <c r="IN61" s="57"/>
      <c r="IO61" s="57">
        <f t="shared" si="96"/>
        <v>0</v>
      </c>
      <c r="IP61" s="57">
        <f t="shared" si="268"/>
        <v>0</v>
      </c>
      <c r="IQ61" s="57">
        <f t="shared" si="269"/>
        <v>0</v>
      </c>
      <c r="IR61" s="57">
        <f t="shared" si="270"/>
        <v>0</v>
      </c>
      <c r="IS61" s="57">
        <f t="shared" si="271"/>
        <v>0</v>
      </c>
      <c r="IT61" s="1029">
        <f t="shared" si="421"/>
        <v>0</v>
      </c>
      <c r="IU61" s="57">
        <f t="shared" si="422"/>
        <v>0</v>
      </c>
      <c r="IV61" s="171" t="str">
        <f t="shared" si="423"/>
        <v/>
      </c>
      <c r="IW61" s="57">
        <f t="shared" si="272"/>
        <v>0</v>
      </c>
      <c r="IX61" s="57">
        <f>IF(OR(AND(IL$6=1,$L61=0),AND(IL$6=2,$K61=2,$G61=1)),0,IF(AND(IN$9=2,(OR($F61&gt;1,$K61=1,AND($L61=80,OR($N61=1,AND($N61=2,'#BerechnungDBE'!$AL52&gt;0)))))),IF(IL$4&gt;=$AD$126,0,IV61),IF(IN$9=3,IF(OR(IL$4&gt;=$AD$127,AND($G61=1,$J61=2,IL$6=2),AND(IL$6=1,$N61&lt;&gt;1)),0,IF(IP61&lt;=120,IV61,IF(IL$4&lt;$AD$124,IF($F61=1,60/IN$4*IN$6,60/IN$4*IN$7),IF($F61=1,120/IN$4*IN$6,120/IN$4*IN$7)))),IF(OR($F61=3,$G61=2),IF(OR(AND(IL$4&gt;=$AD$119,$C61=2),AND(IL$4&gt;=$AF$119,$C61=1)),0,IF(IP61&lt;=60,IV61,60/IN$4*IN$7)),IF(AND($F61=2,$G61=1),IV61,0)))))</f>
        <v>0</v>
      </c>
      <c r="IY61" s="57" t="str">
        <f t="shared" si="100"/>
        <v/>
      </c>
      <c r="IZ61" s="57" t="str">
        <f t="shared" si="424"/>
        <v/>
      </c>
      <c r="JA61" s="713">
        <f>'org. Düngung 22'!BT60</f>
        <v>0</v>
      </c>
      <c r="JB61" s="57"/>
      <c r="JC61" s="57"/>
      <c r="JD61" s="57">
        <f t="shared" si="102"/>
        <v>0</v>
      </c>
      <c r="JE61" s="57">
        <f t="shared" si="273"/>
        <v>0</v>
      </c>
      <c r="JF61" s="57">
        <f t="shared" si="274"/>
        <v>0</v>
      </c>
      <c r="JG61" s="57">
        <f t="shared" si="275"/>
        <v>0</v>
      </c>
      <c r="JH61" s="57">
        <f t="shared" si="276"/>
        <v>0</v>
      </c>
      <c r="JI61" s="1029">
        <f t="shared" si="425"/>
        <v>0</v>
      </c>
      <c r="JJ61" s="57">
        <f t="shared" si="426"/>
        <v>0</v>
      </c>
      <c r="JK61" s="171" t="str">
        <f t="shared" si="427"/>
        <v/>
      </c>
      <c r="JL61" s="57">
        <f t="shared" si="277"/>
        <v>0</v>
      </c>
      <c r="JM61" s="57">
        <f>IF(OR(AND(JA$6=1,$L61=0),AND(JA$6=2,$K61=2,$G61=1)),0,IF(AND(JC$9=2,(OR($F61&gt;1,$K61=1,AND($L61=80,OR($N61=1,AND($N61=2,'#BerechnungDBE'!$AL52&gt;0)))))),IF(JA$4&gt;=$AD$126,0,JK61),IF(JC$9=3,IF(OR(JA$4&gt;=$AD$127,AND($G61=1,$J61=2,JA$6=2),AND(JA$6=1,$N61&lt;&gt;1)),0,IF(JE61&lt;=120,JK61,IF(JA$4&lt;$AD$124,IF($F61=1,60/JC$4*JC$6,60/JC$4*JC$7),IF($F61=1,120/JC$4*JC$6,120/JC$4*JC$7)))),IF(OR($F61=3,$G61=2),IF(OR(AND(JA$4&gt;=$AD$119,$C61=2),AND(JA$4&gt;=$AF$119,$C61=1)),0,IF(JE61&lt;=60,JK61,60/JC$4*JC$7)),IF(AND($F61=2,$G61=1),JK61,0)))))</f>
        <v>0</v>
      </c>
      <c r="JN61" s="57" t="str">
        <f t="shared" si="106"/>
        <v/>
      </c>
      <c r="JO61" s="57" t="str">
        <f t="shared" si="428"/>
        <v/>
      </c>
      <c r="JP61" s="713">
        <f>'org. Düngung 22'!BX60</f>
        <v>0</v>
      </c>
      <c r="JQ61" s="57"/>
      <c r="JR61" s="57"/>
      <c r="JS61" s="57">
        <f t="shared" si="108"/>
        <v>0</v>
      </c>
      <c r="JT61" s="57">
        <f t="shared" si="278"/>
        <v>0</v>
      </c>
      <c r="JU61" s="57">
        <f t="shared" si="279"/>
        <v>0</v>
      </c>
      <c r="JV61" s="57">
        <f t="shared" si="280"/>
        <v>0</v>
      </c>
      <c r="JW61" s="57">
        <f t="shared" si="281"/>
        <v>0</v>
      </c>
      <c r="JX61" s="1029">
        <f t="shared" si="429"/>
        <v>0</v>
      </c>
      <c r="JY61" s="57">
        <f t="shared" si="430"/>
        <v>0</v>
      </c>
      <c r="JZ61" s="171" t="str">
        <f t="shared" si="431"/>
        <v/>
      </c>
      <c r="KA61" s="57">
        <f t="shared" si="282"/>
        <v>0</v>
      </c>
      <c r="KB61" s="57">
        <f>IF(OR(AND(JP$6=1,$L61=0),AND(JP$6=2,$K61=2,$G61=1)),0,IF(AND(JR$9=2,(OR($F61&gt;1,$K61=1,AND($L61=80,OR($N61=1,AND($N61=2,'#BerechnungDBE'!$AL52&gt;0)))))),IF(JP$4&gt;=$AD$126,0,JZ61),IF(JR$9=3,IF(OR(JP$4&gt;=$AD$127,AND($G61=1,$J61=2,JP$6=2),AND(JP$6=1,$N61&lt;&gt;1)),0,IF(JT61&lt;=120,JZ61,IF(JP$4&lt;$AD$124,IF($F61=1,60/JR$4*JR$6,60/JR$4*JR$7),IF($F61=1,120/JR$4*JR$6,120/JR$4*JR$7)))),IF(OR($F61=3,$G61=2),IF(OR(AND(JP$4&gt;=$AD$119,$C61=2),AND(JP$4&gt;=$AF$119,$C61=1)),0,IF(JT61&lt;=60,JZ61,60/JR$4*JR$7)),IF(AND($F61=2,$G61=1),JZ61,0)))))</f>
        <v>0</v>
      </c>
      <c r="KC61" s="57" t="str">
        <f t="shared" si="112"/>
        <v/>
      </c>
      <c r="KD61" s="57" t="str">
        <f t="shared" si="432"/>
        <v/>
      </c>
      <c r="KE61" s="713">
        <f>'org. Düngung 22'!CB60</f>
        <v>0</v>
      </c>
      <c r="KF61" s="57"/>
      <c r="KG61" s="57"/>
      <c r="KH61" s="57">
        <f t="shared" si="114"/>
        <v>0</v>
      </c>
      <c r="KI61" s="57">
        <f t="shared" si="283"/>
        <v>0</v>
      </c>
      <c r="KJ61" s="57">
        <f t="shared" si="284"/>
        <v>0</v>
      </c>
      <c r="KK61" s="57">
        <f t="shared" si="285"/>
        <v>0</v>
      </c>
      <c r="KL61" s="57">
        <f t="shared" si="286"/>
        <v>0</v>
      </c>
      <c r="KM61" s="1029">
        <f t="shared" si="433"/>
        <v>0</v>
      </c>
      <c r="KN61" s="57">
        <f t="shared" si="434"/>
        <v>0</v>
      </c>
      <c r="KO61" s="171" t="str">
        <f t="shared" si="435"/>
        <v/>
      </c>
      <c r="KP61" s="57">
        <f t="shared" si="287"/>
        <v>0</v>
      </c>
      <c r="KQ61" s="57">
        <f>IF(OR(AND(KE$6=1,$L61=0),AND(KE$6=2,$K61=2,$G61=1)),0,IF(AND(KG$9=2,(OR($F61&gt;1,$K61=1,AND($L61=80,OR($N61=1,AND($N61=2,'#BerechnungDBE'!$AL52&gt;0)))))),IF(KE$4&gt;=$AD$126,0,KO61),IF(KG$9=3,IF(OR(KE$4&gt;=$AD$127,AND($G61=1,$J61=2,KE$6=2),AND(KE$6=1,$N61&lt;&gt;1)),0,IF(KI61&lt;=120,KO61,IF(KE$4&lt;$AD$124,IF($F61=1,60/KG$4*KG$6,60/KG$4*KG$7),IF($F61=1,120/KG$4*KG$6,120/KG$4*KG$7)))),IF(OR($F61=3,$G61=2),IF(OR(AND(KE$4&gt;=$AD$119,$C61=2),AND(KE$4&gt;=$AF$119,$C61=1)),0,IF(KI61&lt;=60,KO61,60/KG$4*KG$7)),IF(AND($F61=2,$G61=1),KO61,0)))))</f>
        <v>0</v>
      </c>
      <c r="KR61" s="57" t="str">
        <f t="shared" si="118"/>
        <v/>
      </c>
      <c r="KS61" s="57" t="str">
        <f t="shared" si="436"/>
        <v/>
      </c>
      <c r="KT61" s="713">
        <f>'org. Düngung 22'!CF60</f>
        <v>0</v>
      </c>
      <c r="KU61" s="57"/>
      <c r="KV61" s="57"/>
      <c r="KW61" s="57">
        <f t="shared" si="120"/>
        <v>0</v>
      </c>
      <c r="KX61" s="57">
        <f t="shared" si="288"/>
        <v>0</v>
      </c>
      <c r="KY61" s="57">
        <f t="shared" si="289"/>
        <v>0</v>
      </c>
      <c r="KZ61" s="57">
        <f t="shared" si="290"/>
        <v>0</v>
      </c>
      <c r="LA61" s="57">
        <f t="shared" si="291"/>
        <v>0</v>
      </c>
      <c r="LB61" s="1029">
        <f t="shared" si="437"/>
        <v>0</v>
      </c>
      <c r="LC61" s="57">
        <f t="shared" si="438"/>
        <v>0</v>
      </c>
      <c r="LD61" s="171" t="str">
        <f t="shared" si="439"/>
        <v/>
      </c>
      <c r="LE61" s="57">
        <f t="shared" si="292"/>
        <v>0</v>
      </c>
      <c r="LF61" s="57">
        <f>IF(OR(AND(KT$6=1,$L61=0),AND(KT$6=2,$K61=2,$G61=1)),0,IF(AND(KV$9=2,(OR($F61&gt;1,$K61=1,AND($L61=80,OR($N61=1,AND($N61=2,'#BerechnungDBE'!$AL52&gt;0)))))),IF(KT$4&gt;=$AD$126,0,LD61),IF(KV$9=3,IF(OR(KT$4&gt;=$AD$127,AND($G61=1,$J61=2,KT$6=2),AND(KT$6=1,$N61&lt;&gt;1)),0,IF(KX61&lt;=120,LD61,IF(KT$4&lt;$AD$124,IF($F61=1,60/KV$4*KV$6,60/KV$4*KV$7),IF($F61=1,120/KV$4*KV$6,120/KV$4*KV$7)))),IF(OR($F61=3,$G61=2),IF(OR(AND(KT$4&gt;=$AD$119,$C61=2),AND(KT$4&gt;=$AF$119,$C61=1)),0,IF(KX61&lt;=60,LD61,60/KV$4*KV$7)),IF(AND($F61=2,$G61=1),LD61,0)))))</f>
        <v>0</v>
      </c>
      <c r="LG61" s="57" t="str">
        <f t="shared" si="124"/>
        <v/>
      </c>
      <c r="LH61" s="57" t="str">
        <f t="shared" si="440"/>
        <v/>
      </c>
      <c r="LI61" s="713">
        <f>'org. Düngung 22'!CJ60</f>
        <v>0</v>
      </c>
      <c r="LJ61" s="57"/>
      <c r="LK61" s="57"/>
      <c r="LL61" s="57">
        <f t="shared" si="126"/>
        <v>0</v>
      </c>
      <c r="LM61" s="57">
        <f t="shared" si="293"/>
        <v>0</v>
      </c>
      <c r="LN61" s="57">
        <f t="shared" si="294"/>
        <v>0</v>
      </c>
      <c r="LO61" s="57">
        <f t="shared" si="295"/>
        <v>0</v>
      </c>
      <c r="LP61" s="57">
        <f t="shared" si="296"/>
        <v>0</v>
      </c>
      <c r="LQ61" s="1029">
        <f t="shared" si="441"/>
        <v>0</v>
      </c>
      <c r="LR61" s="57">
        <f t="shared" si="442"/>
        <v>0</v>
      </c>
      <c r="LS61" s="171" t="str">
        <f t="shared" si="443"/>
        <v/>
      </c>
      <c r="LT61" s="57">
        <f t="shared" si="297"/>
        <v>0</v>
      </c>
      <c r="LU61" s="57">
        <f>IF(OR(AND(LI$6=1,$L61=0),AND(LI$6=2,$K61=2,$G61=1)),0,IF(AND(LK$9=2,(OR($F61&gt;1,$K61=1,AND($L61=80,OR($N61=1,AND($N61=2,'#BerechnungDBE'!$AL52&gt;0)))))),IF(LI$4&gt;=$AD$126,0,LS61),IF(LK$9=3,IF(OR(LI$4&gt;=$AD$127,AND($G61=1,$J61=2,LI$6=2),AND(LI$6=1,$N61&lt;&gt;1)),0,IF(LM61&lt;=120,LS61,IF(LI$4&lt;$AD$124,IF($F61=1,60/LK$4*LK$6,60/LK$4*LK$7),IF($F61=1,120/LK$4*LK$6,120/LK$4*LK$7)))),IF(OR($F61=3,$G61=2),IF(OR(AND(LI$4&gt;=$AD$119,$C61=2),AND(LI$4&gt;=$AF$119,$C61=1)),0,IF(LM61&lt;=60,LS61,60/LK$4*LK$7)),IF(AND($F61=2,$G61=1),LS61,0)))))</f>
        <v>0</v>
      </c>
      <c r="LV61" s="57" t="str">
        <f t="shared" si="130"/>
        <v/>
      </c>
      <c r="LW61" s="57" t="str">
        <f t="shared" si="444"/>
        <v/>
      </c>
      <c r="LX61" s="713">
        <f>'org. Düngung 22'!CN60</f>
        <v>0</v>
      </c>
      <c r="LY61" s="57"/>
      <c r="LZ61" s="57"/>
      <c r="MA61" s="57">
        <f t="shared" si="132"/>
        <v>0</v>
      </c>
      <c r="MB61" s="57">
        <f t="shared" si="298"/>
        <v>0</v>
      </c>
      <c r="MC61" s="57">
        <f t="shared" si="299"/>
        <v>0</v>
      </c>
      <c r="MD61" s="57">
        <f t="shared" si="300"/>
        <v>0</v>
      </c>
      <c r="ME61" s="57">
        <f t="shared" si="301"/>
        <v>0</v>
      </c>
      <c r="MF61" s="1029">
        <f t="shared" si="445"/>
        <v>0</v>
      </c>
      <c r="MG61" s="57">
        <f t="shared" si="446"/>
        <v>0</v>
      </c>
      <c r="MH61" s="171" t="str">
        <f t="shared" si="447"/>
        <v/>
      </c>
      <c r="MI61" s="57">
        <f t="shared" si="302"/>
        <v>0</v>
      </c>
      <c r="MJ61" s="57">
        <f>IF(OR(AND(LX$6=1,$L61=0),AND(LX$6=2,$K61=2,$G61=1)),0,IF(AND(LZ$9=2,(OR($F61&gt;1,$K61=1,AND($L61=80,OR($N61=1,AND($N61=2,'#BerechnungDBE'!$AL52&gt;0)))))),IF(LX$4&gt;=$AD$126,0,MH61),IF(LZ$9=3,IF(OR(LX$4&gt;=$AD$127,AND($G61=1,$J61=2,LX$6=2),AND(LX$6=1,$N61&lt;&gt;1)),0,IF(MB61&lt;=120,MH61,IF(LX$4&lt;$AD$124,IF($F61=1,60/LZ$4*LZ$6,60/LZ$4*LZ$7),IF($F61=1,120/LZ$4*LZ$6,120/LZ$4*LZ$7)))),IF(OR($F61=3,$G61=2),IF(OR(AND(LX$4&gt;=$AD$119,$C61=2),AND(LX$4&gt;=$AF$119,$C61=1)),0,IF(MB61&lt;=60,MH61,60/LZ$4*LZ$7)),IF(AND($F61=2,$G61=1),MH61,0)))))</f>
        <v>0</v>
      </c>
      <c r="MK61" s="57" t="str">
        <f t="shared" si="136"/>
        <v/>
      </c>
      <c r="ML61" s="57" t="str">
        <f t="shared" si="448"/>
        <v/>
      </c>
      <c r="MM61" s="713">
        <f>'org. Düngung 22'!CR60</f>
        <v>0</v>
      </c>
      <c r="MN61" s="57"/>
      <c r="MO61" s="57"/>
      <c r="MP61" s="57">
        <f t="shared" si="138"/>
        <v>0</v>
      </c>
      <c r="MQ61" s="57">
        <f t="shared" si="303"/>
        <v>0</v>
      </c>
      <c r="MR61" s="57">
        <f t="shared" si="304"/>
        <v>0</v>
      </c>
      <c r="MS61" s="57">
        <f t="shared" si="305"/>
        <v>0</v>
      </c>
      <c r="MT61" s="57">
        <f t="shared" si="306"/>
        <v>0</v>
      </c>
      <c r="MU61" s="1029">
        <f t="shared" si="449"/>
        <v>0</v>
      </c>
      <c r="MV61" s="57">
        <f t="shared" si="450"/>
        <v>0</v>
      </c>
      <c r="MW61" s="171" t="str">
        <f t="shared" si="451"/>
        <v/>
      </c>
      <c r="MX61" s="57">
        <f t="shared" si="307"/>
        <v>0</v>
      </c>
      <c r="MY61" s="57">
        <f>IF(OR(AND(MM$6=1,$L61=0),AND(MM$6=2,$K61=2,$G61=1)),0,IF(AND(MO$9=2,(OR($F61&gt;1,$K61=1,AND($L61=80,OR($N61=1,AND($N61=2,'#BerechnungDBE'!$AL52&gt;0)))))),IF(MM$4&gt;=$AD$126,0,MW61),IF(MO$9=3,IF(OR(MM$4&gt;=$AD$127,AND($G61=1,$J61=2,MM$6=2),AND(MM$6=1,$N61&lt;&gt;1)),0,IF(MQ61&lt;=120,MW61,IF(MM$4&lt;$AD$124,IF($F61=1,60/MO$4*MO$6,60/MO$4*MO$7),IF($F61=1,120/MO$4*MO$6,120/MO$4*MO$7)))),IF(OR($F61=3,$G61=2),IF(OR(AND(MM$4&gt;=$AD$119,$C61=2),AND(MM$4&gt;=$AF$119,$C61=1)),0,IF(MQ61&lt;=60,MW61,60/MO$4*MO$7)),IF(AND($F61=2,$G61=1),MW61,0)))))</f>
        <v>0</v>
      </c>
      <c r="MZ61" s="57" t="str">
        <f t="shared" si="142"/>
        <v/>
      </c>
      <c r="NA61" s="57" t="str">
        <f t="shared" si="452"/>
        <v/>
      </c>
      <c r="NB61" s="713">
        <f>'org. Düngung 22'!CV60</f>
        <v>0</v>
      </c>
      <c r="NC61" s="57"/>
      <c r="ND61" s="57"/>
      <c r="NE61" s="57">
        <f t="shared" si="144"/>
        <v>0</v>
      </c>
      <c r="NF61" s="57">
        <f t="shared" si="308"/>
        <v>0</v>
      </c>
      <c r="NG61" s="57">
        <f t="shared" si="309"/>
        <v>0</v>
      </c>
      <c r="NH61" s="57">
        <f t="shared" si="310"/>
        <v>0</v>
      </c>
      <c r="NI61" s="57">
        <f t="shared" si="311"/>
        <v>0</v>
      </c>
      <c r="NJ61" s="1029">
        <f t="shared" si="453"/>
        <v>0</v>
      </c>
      <c r="NK61" s="57">
        <f t="shared" si="454"/>
        <v>0</v>
      </c>
      <c r="NL61" s="171" t="str">
        <f t="shared" si="455"/>
        <v/>
      </c>
      <c r="NM61" s="57">
        <f t="shared" si="312"/>
        <v>0</v>
      </c>
      <c r="NN61" s="57">
        <f>IF(OR(AND(NB$6=1,$L61=0),AND(NB$6=2,$K61=2,$G61=1)),0,IF(AND(ND$9=2,(OR($F61&gt;1,$K61=1,AND($L61=80,OR($N61=1,AND($N61=2,'#BerechnungDBE'!$AL52&gt;0)))))),IF(NB$4&gt;=$AD$126,0,NL61),IF(ND$9=3,IF(OR(NB$4&gt;=$AD$127,AND($G61=1,$J61=2,NB$6=2),AND(NB$6=1,$N61&lt;&gt;1)),0,IF(NF61&lt;=120,NL61,IF(NB$4&lt;$AD$124,IF($F61=1,60/ND$4*ND$6,60/ND$4*ND$7),IF($F61=1,120/ND$4*ND$6,120/ND$4*ND$7)))),IF(OR($F61=3,$G61=2),IF(OR(AND(NB$4&gt;=$AD$119,$C61=2),AND(NB$4&gt;=$AF$119,$C61=1)),0,IF(NF61&lt;=60,NL61,60/ND$4*ND$7)),IF(AND($F61=2,$G61=1),NL61,0)))))</f>
        <v>0</v>
      </c>
      <c r="NO61" s="57" t="str">
        <f t="shared" si="148"/>
        <v/>
      </c>
      <c r="NP61" s="57" t="str">
        <f t="shared" si="456"/>
        <v/>
      </c>
      <c r="NQ61" s="713">
        <f>'org. Düngung 22'!CZ60</f>
        <v>0</v>
      </c>
      <c r="NR61" s="57"/>
      <c r="NS61" s="57"/>
      <c r="NT61" s="57">
        <f t="shared" si="150"/>
        <v>0</v>
      </c>
      <c r="NU61" s="57">
        <f t="shared" si="313"/>
        <v>0</v>
      </c>
      <c r="NV61" s="57">
        <f t="shared" si="314"/>
        <v>0</v>
      </c>
      <c r="NW61" s="57">
        <f t="shared" si="315"/>
        <v>0</v>
      </c>
      <c r="NX61" s="57">
        <f t="shared" si="316"/>
        <v>0</v>
      </c>
      <c r="NY61" s="1029">
        <f t="shared" si="457"/>
        <v>0</v>
      </c>
      <c r="NZ61" s="57">
        <f t="shared" si="458"/>
        <v>0</v>
      </c>
      <c r="OA61" s="171" t="str">
        <f t="shared" si="459"/>
        <v/>
      </c>
      <c r="OB61" s="57">
        <f t="shared" si="317"/>
        <v>0</v>
      </c>
      <c r="OC61" s="57">
        <f>IF(OR(AND(NQ$6=1,$L61=0),AND(NQ$6=2,$K61=2,$G61=1)),0,IF(AND(NS$9=2,(OR($F61&gt;1,$K61=1,AND($L61=80,OR($N61=1,AND($N61=2,'#BerechnungDBE'!$AL52&gt;0)))))),IF(NQ$4&gt;=$AD$126,0,OA61),IF(NS$9=3,IF(OR(NQ$4&gt;=$AD$127,AND($G61=1,$J61=2,NQ$6=2),AND(NQ$6=1,$N61&lt;&gt;1)),0,IF(NU61&lt;=120,OA61,IF(NQ$4&lt;$AD$124,IF($F61=1,60/NS$4*NS$6,60/NS$4*NS$7),IF($F61=1,120/NS$4*NS$6,120/NS$4*NS$7)))),IF(OR($F61=3,$G61=2),IF(OR(AND(NQ$4&gt;=$AD$119,$C61=2),AND(NQ$4&gt;=$AF$119,$C61=1)),0,IF(NU61&lt;=60,OA61,60/NS$4*NS$7)),IF(AND($F61=2,$G61=1),OA61,0)))))</f>
        <v>0</v>
      </c>
      <c r="OD61" s="57" t="str">
        <f t="shared" si="154"/>
        <v/>
      </c>
      <c r="OE61" s="57" t="str">
        <f t="shared" si="460"/>
        <v/>
      </c>
      <c r="OF61" s="713">
        <f>'org. Düngung 22'!DD60</f>
        <v>0</v>
      </c>
      <c r="OG61" s="57"/>
      <c r="OH61" s="57"/>
      <c r="OI61" s="57">
        <f t="shared" si="156"/>
        <v>0</v>
      </c>
      <c r="OJ61" s="57">
        <f t="shared" si="318"/>
        <v>0</v>
      </c>
      <c r="OK61" s="57">
        <f t="shared" si="319"/>
        <v>0</v>
      </c>
      <c r="OL61" s="57">
        <f t="shared" si="320"/>
        <v>0</v>
      </c>
      <c r="OM61" s="57">
        <f t="shared" si="321"/>
        <v>0</v>
      </c>
      <c r="ON61" s="1029">
        <f t="shared" si="461"/>
        <v>0</v>
      </c>
      <c r="OO61" s="57">
        <f t="shared" si="462"/>
        <v>0</v>
      </c>
      <c r="OP61" s="171" t="str">
        <f t="shared" si="463"/>
        <v/>
      </c>
      <c r="OQ61" s="57">
        <f t="shared" si="322"/>
        <v>0</v>
      </c>
      <c r="OR61" s="57">
        <f>IF(OR(AND(OF$6=1,$L61=0),AND(OF$6=2,$K61=2,$G61=1)),0,IF(AND(OH$9=2,(OR($F61&gt;1,$K61=1,AND($L61=80,OR($N61=1,AND($N61=2,'#BerechnungDBE'!$AL52&gt;0)))))),IF(OF$4&gt;=$AD$126,0,OP61),IF(OH$9=3,IF(OR(OF$4&gt;=$AD$127,AND($G61=1,$J61=2,OF$6=2),AND(OF$6=1,$N61&lt;&gt;1)),0,IF(OJ61&lt;=120,OP61,IF(OF$4&lt;$AD$124,IF($F61=1,60/OH$4*OH$6,60/OH$4*OH$7),IF($F61=1,120/OH$4*OH$6,120/OH$4*OH$7)))),IF(OR($F61=3,$G61=2),IF(OR(AND(OF$4&gt;=$AD$119,$C61=2),AND(OF$4&gt;=$AF$119,$C61=1)),0,IF(OJ61&lt;=60,OP61,60/OH$4*OH$7)),IF(AND($F61=2,$G61=1),OP61,0)))))</f>
        <v>0</v>
      </c>
      <c r="OS61" s="57" t="str">
        <f t="shared" si="160"/>
        <v/>
      </c>
      <c r="OT61" s="57" t="str">
        <f t="shared" si="464"/>
        <v/>
      </c>
      <c r="OU61" s="713">
        <f>'org. Düngung 22'!DH60</f>
        <v>0</v>
      </c>
      <c r="OV61" s="57"/>
      <c r="OW61" s="57"/>
      <c r="OX61" s="57">
        <f t="shared" si="162"/>
        <v>0</v>
      </c>
      <c r="OY61" s="57">
        <f t="shared" si="323"/>
        <v>0</v>
      </c>
      <c r="OZ61" s="57">
        <f t="shared" si="324"/>
        <v>0</v>
      </c>
      <c r="PA61" s="57">
        <f t="shared" si="325"/>
        <v>0</v>
      </c>
      <c r="PB61" s="57">
        <f t="shared" si="326"/>
        <v>0</v>
      </c>
      <c r="PC61" s="1029">
        <f t="shared" si="465"/>
        <v>0</v>
      </c>
      <c r="PD61" s="57">
        <f t="shared" si="466"/>
        <v>0</v>
      </c>
      <c r="PE61" s="171" t="str">
        <f t="shared" si="467"/>
        <v/>
      </c>
      <c r="PF61" s="57">
        <f t="shared" si="327"/>
        <v>0</v>
      </c>
      <c r="PG61" s="57">
        <f>IF(OR(AND(OU$6=1,$L61=0),AND(OU$6=2,$K61=2,$G61=1)),0,IF(AND(OW$9=2,(OR($F61&gt;1,$K61=1,AND($L61=80,OR($N61=1,AND($N61=2,'#BerechnungDBE'!$AL52&gt;0)))))),IF(OU$4&gt;=$AD$126,0,PE61),IF(OW$9=3,IF(OR(OU$4&gt;=$AD$127,AND($G61=1,$J61=2,OU$6=2),AND(OU$6=1,$N61&lt;&gt;1)),0,IF(OY61&lt;=120,PE61,IF(OU$4&lt;$AD$124,IF($F61=1,60/OW$4*OW$6,60/OW$4*OW$7),IF($F61=1,120/OW$4*OW$6,120/OW$4*OW$7)))),IF(OR($F61=3,$G61=2),IF(OR(AND(OU$4&gt;=$AD$119,$C61=2),AND(OU$4&gt;=$AF$119,$C61=1)),0,IF(OY61&lt;=60,PE61,60/OW$4*OW$7)),IF(AND($F61=2,$G61=1),PE61,0)))))</f>
        <v>0</v>
      </c>
      <c r="PH61" s="57" t="str">
        <f t="shared" si="166"/>
        <v/>
      </c>
      <c r="PI61" s="57" t="str">
        <f t="shared" si="468"/>
        <v/>
      </c>
      <c r="PJ61" s="713">
        <f>'org. Düngung 22'!DL60</f>
        <v>0</v>
      </c>
      <c r="PK61" s="57"/>
      <c r="PL61" s="57"/>
      <c r="PM61" s="57">
        <f t="shared" si="168"/>
        <v>0</v>
      </c>
      <c r="PN61" s="57">
        <f t="shared" si="328"/>
        <v>0</v>
      </c>
      <c r="PO61" s="57">
        <f t="shared" si="329"/>
        <v>0</v>
      </c>
      <c r="PP61" s="57">
        <f t="shared" si="330"/>
        <v>0</v>
      </c>
      <c r="PQ61" s="57">
        <f t="shared" si="331"/>
        <v>0</v>
      </c>
      <c r="PR61" s="1029">
        <f t="shared" si="469"/>
        <v>0</v>
      </c>
      <c r="PS61" s="57">
        <f t="shared" si="470"/>
        <v>0</v>
      </c>
      <c r="PT61" s="171" t="str">
        <f t="shared" si="471"/>
        <v/>
      </c>
      <c r="PU61" s="57">
        <f t="shared" si="332"/>
        <v>0</v>
      </c>
      <c r="PV61" s="57">
        <f>IF(OR(AND(PJ$6=1,$L61=0),AND(PJ$6=2,$K61=2,$G61=1)),0,IF(AND(PL$9=2,(OR($F61&gt;1,$K61=1,AND($L61=80,OR($N61=1,AND($N61=2,'#BerechnungDBE'!$AL52&gt;0)))))),IF(PJ$4&gt;=$AD$126,0,PT61),IF(PL$9=3,IF(OR(PJ$4&gt;=$AD$127,AND($G61=1,$J61=2,PJ$6=2),AND(PJ$6=1,$N61&lt;&gt;1)),0,IF(PN61&lt;=120,PT61,IF(PJ$4&lt;$AD$124,IF($F61=1,60/PL$4*PL$6,60/PL$4*PL$7),IF($F61=1,120/PL$4*PL$6,120/PL$4*PL$7)))),IF(OR($F61=3,$G61=2),IF(OR(AND(PJ$4&gt;=$AD$119,$C61=2),AND(PJ$4&gt;=$AF$119,$C61=1)),0,IF(PN61&lt;=60,PT61,60/PL$4*PL$7)),IF(AND($F61=2,$G61=1),PT61,0)))))</f>
        <v>0</v>
      </c>
      <c r="PW61" s="57" t="str">
        <f t="shared" si="172"/>
        <v/>
      </c>
      <c r="PX61" s="57" t="str">
        <f t="shared" si="472"/>
        <v/>
      </c>
      <c r="PY61" s="713">
        <f>'org. Düngung 22'!DP60</f>
        <v>0</v>
      </c>
      <c r="PZ61" s="57"/>
      <c r="QA61" s="57"/>
      <c r="QB61" s="57">
        <f t="shared" si="174"/>
        <v>0</v>
      </c>
      <c r="QC61" s="57">
        <f t="shared" si="333"/>
        <v>0</v>
      </c>
      <c r="QD61" s="57">
        <f t="shared" si="334"/>
        <v>0</v>
      </c>
      <c r="QE61" s="57">
        <f t="shared" si="335"/>
        <v>0</v>
      </c>
      <c r="QF61" s="57">
        <f t="shared" si="336"/>
        <v>0</v>
      </c>
      <c r="QG61" s="1029">
        <f t="shared" si="473"/>
        <v>0</v>
      </c>
      <c r="QH61" s="57">
        <f t="shared" si="474"/>
        <v>0</v>
      </c>
      <c r="QI61" s="171" t="str">
        <f t="shared" si="475"/>
        <v/>
      </c>
      <c r="QJ61" s="57">
        <f t="shared" si="337"/>
        <v>0</v>
      </c>
      <c r="QK61" s="57">
        <f>IF(OR(AND(PY$6=1,$L61=0),AND(PY$6=2,$K61=2,$G61=1)),0,IF(AND(QA$9=2,(OR($F61&gt;1,$K61=1,AND($L61=80,OR($N61=1,AND($N61=2,'#BerechnungDBE'!$AL52&gt;0)))))),IF(PY$4&gt;=$AD$126,0,QI61),IF(QA$9=3,IF(OR(PY$4&gt;=$AD$127,AND($G61=1,$J61=2,PY$6=2),AND(PY$6=1,$N61&lt;&gt;1)),0,IF(QC61&lt;=120,QI61,IF(PY$4&lt;$AD$124,IF($F61=1,60/QA$4*QA$6,60/QA$4*QA$7),IF($F61=1,120/QA$4*QA$6,120/QA$4*QA$7)))),IF(OR($F61=3,$G61=2),IF(OR(AND(PY$4&gt;=$AD$119,$C61=2),AND(PY$4&gt;=$AF$119,$C61=1)),0,IF(QC61&lt;=60,QI61,60/QA$4*QA$7)),IF(AND($F61=2,$G61=1),QI61,0)))))</f>
        <v>0</v>
      </c>
      <c r="QL61" s="57" t="str">
        <f t="shared" si="178"/>
        <v/>
      </c>
      <c r="QM61" s="57" t="str">
        <f t="shared" si="476"/>
        <v/>
      </c>
      <c r="QN61" s="713">
        <f>'org. Düngung 22'!DT60</f>
        <v>0</v>
      </c>
      <c r="QO61" s="57"/>
      <c r="QP61" s="57"/>
      <c r="QQ61" s="57">
        <f t="shared" si="180"/>
        <v>0</v>
      </c>
      <c r="QR61" s="57">
        <f t="shared" si="338"/>
        <v>0</v>
      </c>
      <c r="QS61" s="57">
        <f t="shared" si="339"/>
        <v>0</v>
      </c>
      <c r="QT61" s="57">
        <f t="shared" si="340"/>
        <v>0</v>
      </c>
      <c r="QU61" s="57">
        <f t="shared" si="341"/>
        <v>0</v>
      </c>
      <c r="QV61" s="1029">
        <f t="shared" si="477"/>
        <v>0</v>
      </c>
      <c r="QW61" s="57">
        <f t="shared" si="478"/>
        <v>0</v>
      </c>
      <c r="QX61" s="171" t="str">
        <f t="shared" si="479"/>
        <v/>
      </c>
      <c r="QY61" s="57">
        <f t="shared" si="342"/>
        <v>0</v>
      </c>
      <c r="QZ61" s="57">
        <f>IF(OR(AND(QN$6=1,$L61=0),AND(QN$6=2,$K61=2,$G61=1)),0,IF(AND(QP$9=2,(OR($F61&gt;1,$K61=1,AND($L61=80,OR($N61=1,AND($N61=2,'#BerechnungDBE'!$AL52&gt;0)))))),IF(QN$4&gt;=$AD$126,0,QX61),IF(QP$9=3,IF(OR(QN$4&gt;=$AD$127,AND($G61=1,$J61=2,QN$6=2),AND(QN$6=1,$N61&lt;&gt;1)),0,IF(QR61&lt;=120,QX61,IF(QN$4&lt;$AD$124,IF($F61=1,60/QP$4*QP$6,60/QP$4*QP$7),IF($F61=1,120/QP$4*QP$6,120/QP$4*QP$7)))),IF(OR($F61=3,$G61=2),IF(OR(AND(QN$4&gt;=$AD$119,$C61=2),AND(QN$4&gt;=$AF$119,$C61=1)),0,IF(QR61&lt;=60,QX61,60/QP$4*QP$7)),IF(AND($F61=2,$G61=1),QX61,0)))))</f>
        <v>0</v>
      </c>
      <c r="RA61" s="57" t="str">
        <f t="shared" si="184"/>
        <v/>
      </c>
      <c r="RB61" s="57" t="str">
        <f t="shared" si="480"/>
        <v/>
      </c>
      <c r="RC61" s="713">
        <f>'org. Düngung 22'!DX60</f>
        <v>0</v>
      </c>
      <c r="RD61" s="57"/>
      <c r="RE61" s="57"/>
      <c r="RF61" s="57">
        <f t="shared" si="186"/>
        <v>0</v>
      </c>
      <c r="RG61" s="57">
        <f t="shared" si="343"/>
        <v>0</v>
      </c>
      <c r="RH61" s="57">
        <f t="shared" si="344"/>
        <v>0</v>
      </c>
      <c r="RI61" s="57">
        <f t="shared" si="345"/>
        <v>0</v>
      </c>
      <c r="RJ61" s="57">
        <f t="shared" si="346"/>
        <v>0</v>
      </c>
      <c r="RK61" s="1029">
        <f t="shared" si="481"/>
        <v>0</v>
      </c>
      <c r="RL61" s="57">
        <f t="shared" si="482"/>
        <v>0</v>
      </c>
      <c r="RM61" s="171" t="str">
        <f t="shared" si="483"/>
        <v/>
      </c>
      <c r="RN61" s="57">
        <f t="shared" si="347"/>
        <v>0</v>
      </c>
      <c r="RO61" s="57">
        <f>IF(OR(AND(RC$6=1,$L61=0),AND(RC$6=2,$K61=2,$G61=1)),0,IF(AND(RE$9=2,(OR($F61&gt;1,$K61=1,AND($L61=80,OR($N61=1,AND($N61=2,'#BerechnungDBE'!$AL52&gt;0)))))),IF(RC$4&gt;=$AD$126,0,RM61),IF(RE$9=3,IF(OR(RC$4&gt;=$AD$127,AND($G61=1,$J61=2,RC$6=2),AND(RC$6=1,$N61&lt;&gt;1)),0,IF(RG61&lt;=120,RM61,IF(RC$4&lt;$AD$124,IF($F61=1,60/RE$4*RE$6,60/RE$4*RE$7),IF($F61=1,120/RE$4*RE$6,120/RE$4*RE$7)))),IF(OR($F61=3,$G61=2),IF(OR(AND(RC$4&gt;=$AD$119,$C61=2),AND(RC$4&gt;=$AF$119,$C61=1)),0,IF(RG61&lt;=60,RM61,60/RE$4*RE$7)),IF(AND($F61=2,$G61=1),RM61,0)))))</f>
        <v>0</v>
      </c>
      <c r="RP61" s="57" t="str">
        <f t="shared" si="190"/>
        <v/>
      </c>
      <c r="RQ61" s="57" t="str">
        <f t="shared" si="484"/>
        <v/>
      </c>
      <c r="RS61" s="57" t="str">
        <f t="shared" si="488"/>
        <v/>
      </c>
      <c r="RT61" s="57" t="str">
        <f t="shared" si="485"/>
        <v/>
      </c>
      <c r="RU61" s="57" t="str">
        <f t="shared" si="486"/>
        <v/>
      </c>
      <c r="RV61" s="57" t="str">
        <f>IF(Z61&gt;'#BerechnungDBE'!BM52,$RV$9,"")</f>
        <v/>
      </c>
      <c r="RW61" s="57" t="str">
        <f>IF(AND(L61=70,AE61&gt;'#BerechnungDBE'!CQ52),$RW$9,"")</f>
        <v/>
      </c>
      <c r="RX61" s="57" t="str">
        <f>IF(OR('org. Düngung 22'!G60="--",'org. Düngung 22'!G60&lt;=170,'org. Düngung 22'!G60=""),"",$RX$9)</f>
        <v/>
      </c>
      <c r="RY61" s="57" t="str">
        <f>IF('org. Düngung 22'!K60&gt;120,'#orgDung'!$RY$9,"")</f>
        <v/>
      </c>
      <c r="RZ61" s="57" t="str">
        <f>IF('#BerechnungDBE'!P52&lt;4,"",IF(AND('#BerechnungDBE'!BZ52&gt;0,T61&gt;0),'#orgDung'!$RZ$9,""))</f>
        <v/>
      </c>
      <c r="SA61" s="57" t="str">
        <f t="shared" si="487"/>
        <v/>
      </c>
    </row>
    <row r="62" spans="1:495" s="875" customFormat="1" x14ac:dyDescent="0.2">
      <c r="A62" s="875">
        <f>'Flächen u. Kulturen'!A58</f>
        <v>49</v>
      </c>
      <c r="B62" s="367">
        <f>'#BerechnungDBE'!L53</f>
        <v>0</v>
      </c>
      <c r="C62" s="875">
        <f>'#BerechnungDBE'!R53</f>
        <v>1</v>
      </c>
      <c r="D62" s="875">
        <f>'#BerechnungDBE'!T53</f>
        <v>2</v>
      </c>
      <c r="E62" s="875" t="str">
        <f>'Flächen u. Kulturen'!E58</f>
        <v>x</v>
      </c>
      <c r="F62" s="52">
        <f>'#BerechnungDBE'!N53</f>
        <v>1</v>
      </c>
      <c r="G62" s="52">
        <f>'#BerechnungDBE'!O53</f>
        <v>1</v>
      </c>
      <c r="H62" s="875">
        <f>IF('Flächen u. Kulturen'!P58="",0,VLOOKUP('Flächen u. Kulturen'!P58,Kulturen[[HF]:[Berechnungsgruppe]],'#Frucht'!$H$1,FALSE))</f>
        <v>0</v>
      </c>
      <c r="I62" s="875">
        <f>IF('Flächen u. Kulturen'!J58="",0,VLOOKUP('Flächen u. Kulturen'!J58,Kulturen[[HF]:[Berechnungsgruppe]],'#Frucht'!$G$1,FALSE))</f>
        <v>90</v>
      </c>
      <c r="J62" s="505">
        <f t="shared" si="195"/>
        <v>2</v>
      </c>
      <c r="K62" s="505">
        <f>IF('Flächen u. Kulturen'!P58="",0,IF(VLOOKUP('Flächen u. Kulturen'!P58,Kulturen[[HF]:[Saat Winterungen]],'#Frucht'!$P$1,FALSE)&gt;0,1,2))</f>
        <v>2</v>
      </c>
      <c r="L62" s="875">
        <f>'#BerechnungDBE'!AF53</f>
        <v>0</v>
      </c>
      <c r="M62" s="875">
        <f>IF('Flächen u. Kulturen'!L58="",0,VLOOKUP('Flächen u. Kulturen'!L58,Nebenkultur[[Nebenkultur]:[Legum. Zwischenfr.]],'#Zweitfr'!$K$1,FALSE))</f>
        <v>0</v>
      </c>
      <c r="N62" s="875">
        <f>'#BerechnungDBE'!AG53</f>
        <v>0</v>
      </c>
      <c r="P62" s="57">
        <f t="shared" si="353"/>
        <v>0</v>
      </c>
      <c r="Q62" s="57">
        <f t="shared" si="354"/>
        <v>0</v>
      </c>
      <c r="R62" s="875">
        <f t="shared" si="355"/>
        <v>0</v>
      </c>
      <c r="S62" s="938" t="str">
        <f t="shared" si="3"/>
        <v/>
      </c>
      <c r="T62" s="875">
        <f t="shared" si="356"/>
        <v>0</v>
      </c>
      <c r="U62" s="875">
        <f t="shared" si="357"/>
        <v>0</v>
      </c>
      <c r="V62" s="875">
        <f t="shared" si="358"/>
        <v>0</v>
      </c>
      <c r="W62" s="875">
        <f t="shared" si="359"/>
        <v>0</v>
      </c>
      <c r="X62" s="875">
        <f t="shared" si="360"/>
        <v>0</v>
      </c>
      <c r="Y62" s="875">
        <f t="shared" si="349"/>
        <v>0</v>
      </c>
      <c r="Z62" s="875">
        <f t="shared" si="350"/>
        <v>0</v>
      </c>
      <c r="AA62" s="910">
        <f t="shared" si="361"/>
        <v>0</v>
      </c>
      <c r="AB62" s="57">
        <f t="shared" si="351"/>
        <v>0</v>
      </c>
      <c r="AC62" s="875">
        <f t="shared" si="362"/>
        <v>0</v>
      </c>
      <c r="AD62" s="875">
        <f t="shared" si="363"/>
        <v>0</v>
      </c>
      <c r="AE62" s="875">
        <f t="shared" si="364"/>
        <v>0</v>
      </c>
      <c r="AF62" s="875">
        <f t="shared" si="352"/>
        <v>0</v>
      </c>
      <c r="AG62" s="875">
        <f>'org. Düngung 22'!J61</f>
        <v>0</v>
      </c>
      <c r="AH62" s="875">
        <f>'org. Düngung 22'!K61</f>
        <v>0</v>
      </c>
      <c r="AJ62" s="713">
        <f>'org. Düngung 22'!L61</f>
        <v>0</v>
      </c>
      <c r="AK62" s="57"/>
      <c r="AL62" s="57"/>
      <c r="AM62" s="57">
        <f t="shared" si="196"/>
        <v>0</v>
      </c>
      <c r="AN62" s="57">
        <f t="shared" si="197"/>
        <v>0</v>
      </c>
      <c r="AO62" s="57">
        <f t="shared" si="198"/>
        <v>0</v>
      </c>
      <c r="AP62" s="57">
        <f t="shared" si="199"/>
        <v>0</v>
      </c>
      <c r="AQ62" s="57">
        <f t="shared" si="200"/>
        <v>0</v>
      </c>
      <c r="AR62" s="1029">
        <f t="shared" si="365"/>
        <v>0</v>
      </c>
      <c r="AS62" s="57">
        <f t="shared" si="366"/>
        <v>0</v>
      </c>
      <c r="AT62" s="171" t="str">
        <f t="shared" si="367"/>
        <v/>
      </c>
      <c r="AU62" s="57">
        <f t="shared" si="201"/>
        <v>0</v>
      </c>
      <c r="AV62" s="57">
        <f>IF(OR(AND(AJ$6=1,$L62=0),AND(AJ$6=2,$K62=2,$G62=1)),0,IF(AND(AL$9=2,(OR($F62&gt;1,$K62=1,AND($L62=80,OR($N62=1,AND($N62=2,'#BerechnungDBE'!$AL53&gt;0)))))),IF(AJ$4&gt;=$AD$126,0,AT62),IF(AL$9=3,IF(OR(AJ$4&gt;=$AD$127,AND($G62=1,$J62=2,AJ$6=2),AND(AJ$6=1,$N62&lt;&gt;1)),0,IF(AN62&lt;=120,AT62,IF(AJ$4&lt;$AD$124,IF($F62=1,60/AL$4*AL$6,60/AL$4*AL$7),IF($F62=1,120/AL$4*AL$6,120/AL$4*AL$7)))),IF(OR($F62=3,$G62=2),IF(OR(AND(AJ$4&gt;=$AD$119,$C62=2),AND(AJ$4&gt;=$AF$119,$C62=1)),0,IF(AN62&lt;=60,AT62,60/AL$4*AL$7)),IF(AND($F62=2,$G62=1),AT62,0)))))</f>
        <v>0</v>
      </c>
      <c r="AW62" s="57" t="str">
        <f t="shared" si="202"/>
        <v/>
      </c>
      <c r="AX62" s="57" t="str">
        <f t="shared" si="368"/>
        <v/>
      </c>
      <c r="AY62" s="713">
        <f>'org. Düngung 22'!P61</f>
        <v>0</v>
      </c>
      <c r="AZ62" s="57"/>
      <c r="BA62" s="57"/>
      <c r="BB62" s="57">
        <f t="shared" si="18"/>
        <v>0</v>
      </c>
      <c r="BC62" s="57">
        <f t="shared" si="203"/>
        <v>0</v>
      </c>
      <c r="BD62" s="57">
        <f t="shared" si="204"/>
        <v>0</v>
      </c>
      <c r="BE62" s="57">
        <f t="shared" si="205"/>
        <v>0</v>
      </c>
      <c r="BF62" s="57">
        <f t="shared" si="206"/>
        <v>0</v>
      </c>
      <c r="BG62" s="1029">
        <f t="shared" si="369"/>
        <v>0</v>
      </c>
      <c r="BH62" s="57">
        <f t="shared" si="370"/>
        <v>0</v>
      </c>
      <c r="BI62" s="171" t="str">
        <f t="shared" si="371"/>
        <v/>
      </c>
      <c r="BJ62" s="57">
        <f t="shared" si="207"/>
        <v>0</v>
      </c>
      <c r="BK62" s="57">
        <f>IF(OR(AND(AY$6=1,$L62=0),AND(AY$6=2,$K62=2,$G62=1)),0,IF(AND(BA$9=2,(OR($F62&gt;1,$K62=1,AND($L62=80,OR($N62=1,AND($N62=2,'#BerechnungDBE'!$AL53&gt;0)))))),IF(AY$4&gt;=$AD$126,0,BI62),IF(BA$9=3,IF(OR(AY$4&gt;=$AD$127,AND($G62=1,$J62=2,AY$6=2),AND(AY$6=1,$N62&lt;&gt;1)),0,IF(BC62&lt;=120,BI62,IF(AY$4&lt;$AD$124,IF($F62=1,60/BA$4*BA$6,60/BA$4*BA$7),IF($F62=1,120/BA$4*BA$6,120/BA$4*BA$7)))),IF(OR($F62=3,$G62=2),IF(OR(AND(AY$4&gt;=$AD$119,$C62=2),AND(AY$4&gt;=$AF$119,$C62=1)),0,IF(BC62&lt;=60,BI62,60/BA$4*BA$7)),IF(AND($F62=2,$G62=1),BI62,0)))))</f>
        <v>0</v>
      </c>
      <c r="BL62" s="57" t="str">
        <f t="shared" si="22"/>
        <v/>
      </c>
      <c r="BM62" s="57" t="str">
        <f t="shared" si="372"/>
        <v/>
      </c>
      <c r="BN62" s="713">
        <f>'org. Düngung 22'!T61</f>
        <v>0</v>
      </c>
      <c r="BO62" s="57"/>
      <c r="BP62" s="57"/>
      <c r="BQ62" s="57">
        <f t="shared" si="24"/>
        <v>0</v>
      </c>
      <c r="BR62" s="57">
        <f t="shared" si="208"/>
        <v>0</v>
      </c>
      <c r="BS62" s="57">
        <f t="shared" si="209"/>
        <v>0</v>
      </c>
      <c r="BT62" s="57">
        <f t="shared" si="210"/>
        <v>0</v>
      </c>
      <c r="BU62" s="57">
        <f t="shared" si="211"/>
        <v>0</v>
      </c>
      <c r="BV62" s="1029">
        <f t="shared" si="373"/>
        <v>0</v>
      </c>
      <c r="BW62" s="57">
        <f t="shared" si="374"/>
        <v>0</v>
      </c>
      <c r="BX62" s="171" t="str">
        <f t="shared" si="375"/>
        <v/>
      </c>
      <c r="BY62" s="57">
        <f t="shared" si="212"/>
        <v>0</v>
      </c>
      <c r="BZ62" s="57">
        <f>IF(OR(AND(BN$6=1,$L62=0),AND(BN$6=2,$K62=2,$G62=1)),0,IF(AND(BP$9=2,(OR($F62&gt;1,$K62=1,AND($L62=80,OR($N62=1,AND($N62=2,'#BerechnungDBE'!$AL53&gt;0)))))),IF(BN$4&gt;=$AD$126,0,BX62),IF(BP$9=3,IF(OR(BN$4&gt;=$AD$127,AND($G62=1,$J62=2,BN$6=2),AND(BN$6=1,$N62&lt;&gt;1)),0,IF(BR62&lt;=120,BX62,IF(BN$4&lt;$AD$124,IF($F62=1,60/BP$4*BP$6,60/BP$4*BP$7),IF($F62=1,120/BP$4*BP$6,120/BP$4*BP$7)))),IF(OR($F62=3,$G62=2),IF(OR(AND(BN$4&gt;=$AD$119,$C62=2),AND(BN$4&gt;=$AF$119,$C62=1)),0,IF(BR62&lt;=60,BX62,60/BP$4*BP$7)),IF(AND($F62=2,$G62=1),BX62,0)))))</f>
        <v>0</v>
      </c>
      <c r="CA62" s="57" t="str">
        <f t="shared" si="28"/>
        <v/>
      </c>
      <c r="CB62" s="57" t="str">
        <f t="shared" si="376"/>
        <v/>
      </c>
      <c r="CC62" s="713">
        <f>'org. Düngung 22'!X61</f>
        <v>0</v>
      </c>
      <c r="CD62" s="57"/>
      <c r="CE62" s="57"/>
      <c r="CF62" s="57">
        <f t="shared" si="30"/>
        <v>0</v>
      </c>
      <c r="CG62" s="57">
        <f t="shared" si="213"/>
        <v>0</v>
      </c>
      <c r="CH62" s="57">
        <f t="shared" si="214"/>
        <v>0</v>
      </c>
      <c r="CI62" s="57">
        <f t="shared" si="215"/>
        <v>0</v>
      </c>
      <c r="CJ62" s="57">
        <f t="shared" si="216"/>
        <v>0</v>
      </c>
      <c r="CK62" s="1029">
        <f t="shared" si="377"/>
        <v>0</v>
      </c>
      <c r="CL62" s="57">
        <f t="shared" si="378"/>
        <v>0</v>
      </c>
      <c r="CM62" s="171" t="str">
        <f t="shared" si="379"/>
        <v/>
      </c>
      <c r="CN62" s="57">
        <f t="shared" si="217"/>
        <v>0</v>
      </c>
      <c r="CO62" s="57">
        <f>IF(OR(AND(CC$6=1,$L62=0),AND(CC$6=2,$K62=2,$G62=1)),0,IF(AND(CE$9=2,(OR($F62&gt;1,$K62=1,AND($L62=80,OR($N62=1,AND($N62=2,'#BerechnungDBE'!$AL53&gt;0)))))),IF(CC$4&gt;=$AD$126,0,CM62),IF(CE$9=3,IF(OR(CC$4&gt;=$AD$127,AND($G62=1,$J62=2,CC$6=2),AND(CC$6=1,$N62&lt;&gt;1)),0,IF(CG62&lt;=120,CM62,IF(CC$4&lt;$AD$124,IF($F62=1,60/CE$4*CE$6,60/CE$4*CE$7),IF($F62=1,120/CE$4*CE$6,120/CE$4*CE$7)))),IF(OR($F62=3,$G62=2),IF(OR(AND(CC$4&gt;=$AD$119,$C62=2),AND(CC$4&gt;=$AF$119,$C62=1)),0,IF(CG62&lt;=60,CM62,60/CE$4*CE$7)),IF(AND($F62=2,$G62=1),CM62,0)))))</f>
        <v>0</v>
      </c>
      <c r="CP62" s="57" t="str">
        <f t="shared" si="34"/>
        <v/>
      </c>
      <c r="CQ62" s="57" t="str">
        <f t="shared" si="380"/>
        <v/>
      </c>
      <c r="CR62" s="713">
        <f>'org. Düngung 22'!AB61</f>
        <v>0</v>
      </c>
      <c r="CS62" s="57"/>
      <c r="CT62" s="57"/>
      <c r="CU62" s="57">
        <f t="shared" si="36"/>
        <v>0</v>
      </c>
      <c r="CV62" s="57">
        <f t="shared" si="218"/>
        <v>0</v>
      </c>
      <c r="CW62" s="57">
        <f t="shared" si="219"/>
        <v>0</v>
      </c>
      <c r="CX62" s="57">
        <f t="shared" si="220"/>
        <v>0</v>
      </c>
      <c r="CY62" s="57">
        <f t="shared" si="221"/>
        <v>0</v>
      </c>
      <c r="CZ62" s="1029">
        <f t="shared" si="381"/>
        <v>0</v>
      </c>
      <c r="DA62" s="57">
        <f t="shared" si="382"/>
        <v>0</v>
      </c>
      <c r="DB62" s="171" t="str">
        <f t="shared" si="383"/>
        <v/>
      </c>
      <c r="DC62" s="57">
        <f t="shared" si="222"/>
        <v>0</v>
      </c>
      <c r="DD62" s="57">
        <f>IF(OR(AND(CR$6=1,$L62=0),AND(CR$6=2,$K62=2,$G62=1)),0,IF(AND(CT$9=2,(OR($F62&gt;1,$K62=1,AND($L62=80,OR($N62=1,AND($N62=2,'#BerechnungDBE'!$AL53&gt;0)))))),IF(CR$4&gt;=$AD$126,0,DB62),IF(CT$9=3,IF(OR(CR$4&gt;=$AD$127,AND($G62=1,$J62=2,CR$6=2),AND(CR$6=1,$N62&lt;&gt;1)),0,IF(CV62&lt;=120,DB62,IF(CR$4&lt;$AD$124,IF($F62=1,60/CT$4*CT$6,60/CT$4*CT$7),IF($F62=1,120/CT$4*CT$6,120/CT$4*CT$7)))),IF(OR($F62=3,$G62=2),IF(OR(AND(CR$4&gt;=$AD$119,$C62=2),AND(CR$4&gt;=$AF$119,$C62=1)),0,IF(CV62&lt;=60,DB62,60/CT$4*CT$7)),IF(AND($F62=2,$G62=1),DB62,0)))))</f>
        <v>0</v>
      </c>
      <c r="DE62" s="57" t="str">
        <f t="shared" si="40"/>
        <v/>
      </c>
      <c r="DF62" s="57" t="str">
        <f t="shared" si="384"/>
        <v/>
      </c>
      <c r="DG62" s="713">
        <f>'org. Düngung 22'!AF61</f>
        <v>0</v>
      </c>
      <c r="DH62" s="57"/>
      <c r="DI62" s="57"/>
      <c r="DJ62" s="57">
        <f t="shared" si="42"/>
        <v>0</v>
      </c>
      <c r="DK62" s="57">
        <f t="shared" si="223"/>
        <v>0</v>
      </c>
      <c r="DL62" s="57">
        <f t="shared" si="224"/>
        <v>0</v>
      </c>
      <c r="DM62" s="57">
        <f t="shared" si="225"/>
        <v>0</v>
      </c>
      <c r="DN62" s="57">
        <f t="shared" si="226"/>
        <v>0</v>
      </c>
      <c r="DO62" s="1029">
        <f t="shared" si="385"/>
        <v>0</v>
      </c>
      <c r="DP62" s="57">
        <f t="shared" si="386"/>
        <v>0</v>
      </c>
      <c r="DQ62" s="171" t="str">
        <f t="shared" si="387"/>
        <v/>
      </c>
      <c r="DR62" s="57">
        <f t="shared" si="227"/>
        <v>0</v>
      </c>
      <c r="DS62" s="57">
        <f>IF(OR(AND(DG$6=1,$L62=0),AND(DG$6=2,$K62=2,$G62=1)),0,IF(AND(DI$9=2,(OR($F62&gt;1,$K62=1,AND($L62=80,OR($N62=1,AND($N62=2,'#BerechnungDBE'!$AL53&gt;0)))))),IF(DG$4&gt;=$AD$126,0,DQ62),IF(DI$9=3,IF(OR(DG$4&gt;=$AD$127,AND($G62=1,$J62=2,DG$6=2),AND(DG$6=1,$N62&lt;&gt;1)),0,IF(DK62&lt;=120,DQ62,IF(DG$4&lt;$AD$124,IF($F62=1,60/DI$4*DI$6,60/DI$4*DI$7),IF($F62=1,120/DI$4*DI$6,120/DI$4*DI$7)))),IF(OR($F62=3,$G62=2),IF(OR(AND(DG$4&gt;=$AD$119,$C62=2),AND(DG$4&gt;=$AF$119,$C62=1)),0,IF(DK62&lt;=60,DQ62,60/DI$4*DI$7)),IF(AND($F62=2,$G62=1),DQ62,0)))))</f>
        <v>0</v>
      </c>
      <c r="DT62" s="57" t="str">
        <f t="shared" si="46"/>
        <v/>
      </c>
      <c r="DU62" s="57" t="str">
        <f t="shared" si="388"/>
        <v/>
      </c>
      <c r="DV62" s="713">
        <f>'org. Düngung 22'!AJ61</f>
        <v>0</v>
      </c>
      <c r="DW62" s="57"/>
      <c r="DX62" s="57"/>
      <c r="DY62" s="57">
        <f t="shared" si="48"/>
        <v>0</v>
      </c>
      <c r="DZ62" s="57">
        <f t="shared" si="228"/>
        <v>0</v>
      </c>
      <c r="EA62" s="57">
        <f t="shared" si="229"/>
        <v>0</v>
      </c>
      <c r="EB62" s="57">
        <f t="shared" si="230"/>
        <v>0</v>
      </c>
      <c r="EC62" s="57">
        <f t="shared" si="231"/>
        <v>0</v>
      </c>
      <c r="ED62" s="1029">
        <f t="shared" si="389"/>
        <v>0</v>
      </c>
      <c r="EE62" s="57">
        <f t="shared" si="390"/>
        <v>0</v>
      </c>
      <c r="EF62" s="171" t="str">
        <f t="shared" si="391"/>
        <v/>
      </c>
      <c r="EG62" s="57">
        <f t="shared" si="232"/>
        <v>0</v>
      </c>
      <c r="EH62" s="57">
        <f>IF(OR(AND(DV$6=1,$L62=0),AND(DV$6=2,$K62=2,$G62=1)),0,IF(AND(DX$9=2,(OR($F62&gt;1,$K62=1,AND($L62=80,OR($N62=1,AND($N62=2,'#BerechnungDBE'!$AL53&gt;0)))))),IF(DV$4&gt;=$AD$126,0,EF62),IF(DX$9=3,IF(OR(DV$4&gt;=$AD$127,AND($G62=1,$J62=2,DV$6=2),AND(DV$6=1,$N62&lt;&gt;1)),0,IF(DZ62&lt;=120,EF62,IF(DV$4&lt;$AD$124,IF($F62=1,60/DX$4*DX$6,60/DX$4*DX$7),IF($F62=1,120/DX$4*DX$6,120/DX$4*DX$7)))),IF(OR($F62=3,$G62=2),IF(OR(AND(DV$4&gt;=$AD$119,$C62=2),AND(DV$4&gt;=$AF$119,$C62=1)),0,IF(DZ62&lt;=60,EF62,60/DX$4*DX$7)),IF(AND($F62=2,$G62=1),EF62,0)))))</f>
        <v>0</v>
      </c>
      <c r="EI62" s="57" t="str">
        <f t="shared" si="52"/>
        <v/>
      </c>
      <c r="EJ62" s="57" t="str">
        <f t="shared" si="392"/>
        <v/>
      </c>
      <c r="EK62" s="713">
        <f>'org. Düngung 22'!AN61</f>
        <v>0</v>
      </c>
      <c r="EL62" s="57"/>
      <c r="EM62" s="57"/>
      <c r="EN62" s="57">
        <f t="shared" si="54"/>
        <v>0</v>
      </c>
      <c r="EO62" s="57">
        <f t="shared" si="233"/>
        <v>0</v>
      </c>
      <c r="EP62" s="57">
        <f t="shared" si="234"/>
        <v>0</v>
      </c>
      <c r="EQ62" s="57">
        <f t="shared" si="235"/>
        <v>0</v>
      </c>
      <c r="ER62" s="57">
        <f t="shared" si="236"/>
        <v>0</v>
      </c>
      <c r="ES62" s="1029">
        <f t="shared" si="393"/>
        <v>0</v>
      </c>
      <c r="ET62" s="57">
        <f t="shared" si="394"/>
        <v>0</v>
      </c>
      <c r="EU62" s="171" t="str">
        <f t="shared" si="395"/>
        <v/>
      </c>
      <c r="EV62" s="57">
        <f t="shared" si="237"/>
        <v>0</v>
      </c>
      <c r="EW62" s="57">
        <f>IF(OR(AND(EK$6=1,$L62=0),AND(EK$6=2,$K62=2,$G62=1)),0,IF(AND(EM$9=2,(OR($F62&gt;1,$K62=1,AND($L62=80,OR($N62=1,AND($N62=2,'#BerechnungDBE'!$AL53&gt;0)))))),IF(EK$4&gt;=$AD$126,0,EU62),IF(EM$9=3,IF(OR(EK$4&gt;=$AD$127,AND($G62=1,$J62=2,EK$6=2),AND(EK$6=1,$N62&lt;&gt;1)),0,IF(EO62&lt;=120,EU62,IF(EK$4&lt;$AD$124,IF($F62=1,60/EM$4*EM$6,60/EM$4*EM$7),IF($F62=1,120/EM$4*EM$6,120/EM$4*EM$7)))),IF(OR($F62=3,$G62=2),IF(OR(AND(EK$4&gt;=$AD$119,$C62=2),AND(EK$4&gt;=$AF$119,$C62=1)),0,IF(EO62&lt;=60,EU62,60/EM$4*EM$7)),IF(AND($F62=2,$G62=1),EU62,0)))))</f>
        <v>0</v>
      </c>
      <c r="EX62" s="57" t="str">
        <f t="shared" si="58"/>
        <v/>
      </c>
      <c r="EY62" s="57" t="str">
        <f t="shared" si="396"/>
        <v/>
      </c>
      <c r="EZ62" s="713">
        <f>'org. Düngung 22'!AR61</f>
        <v>0</v>
      </c>
      <c r="FA62" s="57"/>
      <c r="FB62" s="57"/>
      <c r="FC62" s="57">
        <f t="shared" si="60"/>
        <v>0</v>
      </c>
      <c r="FD62" s="57">
        <f t="shared" si="238"/>
        <v>0</v>
      </c>
      <c r="FE62" s="57">
        <f t="shared" si="239"/>
        <v>0</v>
      </c>
      <c r="FF62" s="57">
        <f t="shared" si="240"/>
        <v>0</v>
      </c>
      <c r="FG62" s="57">
        <f t="shared" si="241"/>
        <v>0</v>
      </c>
      <c r="FH62" s="1029">
        <f t="shared" si="397"/>
        <v>0</v>
      </c>
      <c r="FI62" s="57">
        <f t="shared" si="398"/>
        <v>0</v>
      </c>
      <c r="FJ62" s="171" t="str">
        <f t="shared" si="399"/>
        <v/>
      </c>
      <c r="FK62" s="57">
        <f t="shared" si="242"/>
        <v>0</v>
      </c>
      <c r="FL62" s="57">
        <f>IF(OR(AND(EZ$6=1,$L62=0),AND(EZ$6=2,$K62=2,$G62=1)),0,IF(AND(FB$9=2,(OR($F62&gt;1,$K62=1,AND($L62=80,OR($N62=1,AND($N62=2,'#BerechnungDBE'!$AL53&gt;0)))))),IF(EZ$4&gt;=$AD$126,0,FJ62),IF(FB$9=3,IF(OR(EZ$4&gt;=$AD$127,AND($G62=1,$J62=2,EZ$6=2),AND(EZ$6=1,$N62&lt;&gt;1)),0,IF(FD62&lt;=120,FJ62,IF(EZ$4&lt;$AD$124,IF($F62=1,60/FB$4*FB$6,60/FB$4*FB$7),IF($F62=1,120/FB$4*FB$6,120/FB$4*FB$7)))),IF(OR($F62=3,$G62=2),IF(OR(AND(EZ$4&gt;=$AD$119,$C62=2),AND(EZ$4&gt;=$AF$119,$C62=1)),0,IF(FD62&lt;=60,FJ62,60/FB$4*FB$7)),IF(AND($F62=2,$G62=1),FJ62,0)))))</f>
        <v>0</v>
      </c>
      <c r="FM62" s="57" t="str">
        <f t="shared" si="64"/>
        <v/>
      </c>
      <c r="FN62" s="57" t="str">
        <f t="shared" si="400"/>
        <v/>
      </c>
      <c r="FO62" s="713">
        <f>'org. Düngung 22'!AV61</f>
        <v>0</v>
      </c>
      <c r="FP62" s="57"/>
      <c r="FQ62" s="57"/>
      <c r="FR62" s="57">
        <f t="shared" si="66"/>
        <v>0</v>
      </c>
      <c r="FS62" s="57">
        <f t="shared" si="243"/>
        <v>0</v>
      </c>
      <c r="FT62" s="57">
        <f t="shared" si="244"/>
        <v>0</v>
      </c>
      <c r="FU62" s="57">
        <f t="shared" si="245"/>
        <v>0</v>
      </c>
      <c r="FV62" s="57">
        <f t="shared" si="246"/>
        <v>0</v>
      </c>
      <c r="FW62" s="1029">
        <f t="shared" si="401"/>
        <v>0</v>
      </c>
      <c r="FX62" s="57">
        <f t="shared" si="402"/>
        <v>0</v>
      </c>
      <c r="FY62" s="171" t="str">
        <f t="shared" si="403"/>
        <v/>
      </c>
      <c r="FZ62" s="57">
        <f t="shared" si="247"/>
        <v>0</v>
      </c>
      <c r="GA62" s="57">
        <f>IF(OR(AND(FO$6=1,$L62=0),AND(FO$6=2,$K62=2,$G62=1)),0,IF(AND(FQ$9=2,(OR($F62&gt;1,$K62=1,AND($L62=80,OR($N62=1,AND($N62=2,'#BerechnungDBE'!$AL53&gt;0)))))),IF(FO$4&gt;=$AD$126,0,FY62),IF(FQ$9=3,IF(OR(FO$4&gt;=$AD$127,AND($G62=1,$J62=2,FO$6=2),AND(FO$6=1,$N62&lt;&gt;1)),0,IF(FS62&lt;=120,FY62,IF(FO$4&lt;$AD$124,IF($F62=1,60/FQ$4*FQ$6,60/FQ$4*FQ$7),IF($F62=1,120/FQ$4*FQ$6,120/FQ$4*FQ$7)))),IF(OR($F62=3,$G62=2),IF(OR(AND(FO$4&gt;=$AD$119,$C62=2),AND(FO$4&gt;=$AF$119,$C62=1)),0,IF(FS62&lt;=60,FY62,60/FQ$4*FQ$7)),IF(AND($F62=2,$G62=1),FY62,0)))))</f>
        <v>0</v>
      </c>
      <c r="GB62" s="57" t="str">
        <f t="shared" si="70"/>
        <v/>
      </c>
      <c r="GC62" s="57" t="str">
        <f t="shared" si="404"/>
        <v/>
      </c>
      <c r="GD62" s="713">
        <f>'org. Düngung 22'!AZ61</f>
        <v>0</v>
      </c>
      <c r="GE62" s="57"/>
      <c r="GF62" s="57"/>
      <c r="GG62" s="57">
        <f t="shared" si="72"/>
        <v>0</v>
      </c>
      <c r="GH62" s="57">
        <f t="shared" si="248"/>
        <v>0</v>
      </c>
      <c r="GI62" s="57">
        <f t="shared" si="249"/>
        <v>0</v>
      </c>
      <c r="GJ62" s="57">
        <f t="shared" si="250"/>
        <v>0</v>
      </c>
      <c r="GK62" s="57">
        <f t="shared" si="251"/>
        <v>0</v>
      </c>
      <c r="GL62" s="1029">
        <f t="shared" si="405"/>
        <v>0</v>
      </c>
      <c r="GM62" s="57">
        <f t="shared" si="406"/>
        <v>0</v>
      </c>
      <c r="GN62" s="171" t="str">
        <f t="shared" si="407"/>
        <v/>
      </c>
      <c r="GO62" s="57">
        <f t="shared" si="252"/>
        <v>0</v>
      </c>
      <c r="GP62" s="57">
        <f>IF(OR(AND(GD$6=1,$L62=0),AND(GD$6=2,$K62=2,$G62=1)),0,IF(AND(GF$9=2,(OR($F62&gt;1,$K62=1,AND($L62=80,OR($N62=1,AND($N62=2,'#BerechnungDBE'!$AL53&gt;0)))))),IF(GD$4&gt;=$AD$126,0,GN62),IF(GF$9=3,IF(OR(GD$4&gt;=$AD$127,AND($G62=1,$J62=2,GD$6=2),AND(GD$6=1,$N62&lt;&gt;1)),0,IF(GH62&lt;=120,GN62,IF(GD$4&lt;$AD$124,IF($F62=1,60/GF$4*GF$6,60/GF$4*GF$7),IF($F62=1,120/GF$4*GF$6,120/GF$4*GF$7)))),IF(OR($F62=3,$G62=2),IF(OR(AND(GD$4&gt;=$AD$119,$C62=2),AND(GD$4&gt;=$AF$119,$C62=1)),0,IF(GH62&lt;=60,GN62,60/GF$4*GF$7)),IF(AND($F62=2,$G62=1),GN62,0)))))</f>
        <v>0</v>
      </c>
      <c r="GQ62" s="57" t="str">
        <f t="shared" si="76"/>
        <v/>
      </c>
      <c r="GR62" s="57" t="str">
        <f t="shared" si="408"/>
        <v/>
      </c>
      <c r="GS62" s="713">
        <f>'org. Düngung 22'!BD61</f>
        <v>0</v>
      </c>
      <c r="GT62" s="57"/>
      <c r="GU62" s="57"/>
      <c r="GV62" s="57">
        <f t="shared" si="78"/>
        <v>0</v>
      </c>
      <c r="GW62" s="57">
        <f t="shared" si="253"/>
        <v>0</v>
      </c>
      <c r="GX62" s="57">
        <f t="shared" si="254"/>
        <v>0</v>
      </c>
      <c r="GY62" s="57">
        <f t="shared" si="255"/>
        <v>0</v>
      </c>
      <c r="GZ62" s="57">
        <f t="shared" si="256"/>
        <v>0</v>
      </c>
      <c r="HA62" s="1029">
        <f t="shared" si="409"/>
        <v>0</v>
      </c>
      <c r="HB62" s="57">
        <f t="shared" si="410"/>
        <v>0</v>
      </c>
      <c r="HC62" s="171" t="str">
        <f t="shared" si="411"/>
        <v/>
      </c>
      <c r="HD62" s="57">
        <f t="shared" si="257"/>
        <v>0</v>
      </c>
      <c r="HE62" s="57">
        <f>IF(OR(AND(GS$6=1,$L62=0),AND(GS$6=2,$K62=2,$G62=1)),0,IF(AND(GU$9=2,(OR($F62&gt;1,$K62=1,AND($L62=80,OR($N62=1,AND($N62=2,'#BerechnungDBE'!$AL53&gt;0)))))),IF(GS$4&gt;=$AD$126,0,HC62),IF(GU$9=3,IF(OR(GS$4&gt;=$AD$127,AND($G62=1,$J62=2,GS$6=2),AND(GS$6=1,$N62&lt;&gt;1)),0,IF(GW62&lt;=120,HC62,IF(GS$4&lt;$AD$124,IF($F62=1,60/GU$4*GU$6,60/GU$4*GU$7),IF($F62=1,120/GU$4*GU$6,120/GU$4*GU$7)))),IF(OR($F62=3,$G62=2),IF(OR(AND(GS$4&gt;=$AD$119,$C62=2),AND(GS$4&gt;=$AF$119,$C62=1)),0,IF(GW62&lt;=60,HC62,60/GU$4*GU$7)),IF(AND($F62=2,$G62=1),HC62,0)))))</f>
        <v>0</v>
      </c>
      <c r="HF62" s="57" t="str">
        <f t="shared" si="82"/>
        <v/>
      </c>
      <c r="HG62" s="57" t="str">
        <f t="shared" si="412"/>
        <v/>
      </c>
      <c r="HH62" s="713">
        <f>'org. Düngung 22'!BH61</f>
        <v>0</v>
      </c>
      <c r="HI62" s="57"/>
      <c r="HJ62" s="57"/>
      <c r="HK62" s="57">
        <f t="shared" si="84"/>
        <v>0</v>
      </c>
      <c r="HL62" s="57">
        <f t="shared" si="258"/>
        <v>0</v>
      </c>
      <c r="HM62" s="57">
        <f t="shared" si="259"/>
        <v>0</v>
      </c>
      <c r="HN62" s="57">
        <f t="shared" si="260"/>
        <v>0</v>
      </c>
      <c r="HO62" s="57">
        <f t="shared" si="261"/>
        <v>0</v>
      </c>
      <c r="HP62" s="1029">
        <f t="shared" si="413"/>
        <v>0</v>
      </c>
      <c r="HQ62" s="57">
        <f t="shared" si="414"/>
        <v>0</v>
      </c>
      <c r="HR62" s="171" t="str">
        <f t="shared" si="415"/>
        <v/>
      </c>
      <c r="HS62" s="57">
        <f t="shared" si="262"/>
        <v>0</v>
      </c>
      <c r="HT62" s="57">
        <f>IF(OR(AND(HH$6=1,$L62=0),AND(HH$6=2,$K62=2,$G62=1)),0,IF(AND(HJ$9=2,(OR($F62&gt;1,$K62=1,AND($L62=80,OR($N62=1,AND($N62=2,'#BerechnungDBE'!$AL53&gt;0)))))),IF(HH$4&gt;=$AD$126,0,HR62),IF(HJ$9=3,IF(OR(HH$4&gt;=$AD$127,AND($G62=1,$J62=2,HH$6=2),AND(HH$6=1,$N62&lt;&gt;1)),0,IF(HL62&lt;=120,HR62,IF(HH$4&lt;$AD$124,IF($F62=1,60/HJ$4*HJ$6,60/HJ$4*HJ$7),IF($F62=1,120/HJ$4*HJ$6,120/HJ$4*HJ$7)))),IF(OR($F62=3,$G62=2),IF(OR(AND(HH$4&gt;=$AD$119,$C62=2),AND(HH$4&gt;=$AF$119,$C62=1)),0,IF(HL62&lt;=60,HR62,60/HJ$4*HJ$7)),IF(AND($F62=2,$G62=1),HR62,0)))))</f>
        <v>0</v>
      </c>
      <c r="HU62" s="57" t="str">
        <f t="shared" si="88"/>
        <v/>
      </c>
      <c r="HV62" s="57" t="str">
        <f t="shared" si="416"/>
        <v/>
      </c>
      <c r="HW62" s="713">
        <f>'org. Düngung 22'!BL61</f>
        <v>0</v>
      </c>
      <c r="HX62" s="57"/>
      <c r="HY62" s="57"/>
      <c r="HZ62" s="57">
        <f t="shared" si="90"/>
        <v>0</v>
      </c>
      <c r="IA62" s="57">
        <f t="shared" si="263"/>
        <v>0</v>
      </c>
      <c r="IB62" s="57">
        <f t="shared" si="264"/>
        <v>0</v>
      </c>
      <c r="IC62" s="57">
        <f t="shared" si="265"/>
        <v>0</v>
      </c>
      <c r="ID62" s="57">
        <f t="shared" si="266"/>
        <v>0</v>
      </c>
      <c r="IE62" s="1029">
        <f t="shared" si="417"/>
        <v>0</v>
      </c>
      <c r="IF62" s="57">
        <f t="shared" si="418"/>
        <v>0</v>
      </c>
      <c r="IG62" s="171" t="str">
        <f t="shared" si="419"/>
        <v/>
      </c>
      <c r="IH62" s="57">
        <f t="shared" si="267"/>
        <v>0</v>
      </c>
      <c r="II62" s="57">
        <f>IF(OR(AND(HW$6=1,$L62=0),AND(HW$6=2,$K62=2,$G62=1)),0,IF(AND(HY$9=2,(OR($F62&gt;1,$K62=1,AND($L62=80,OR($N62=1,AND($N62=2,'#BerechnungDBE'!$AL53&gt;0)))))),IF(HW$4&gt;=$AD$126,0,IG62),IF(HY$9=3,IF(OR(HW$4&gt;=$AD$127,AND($G62=1,$J62=2,HW$6=2),AND(HW$6=1,$N62&lt;&gt;1)),0,IF(IA62&lt;=120,IG62,IF(HW$4&lt;$AD$124,IF($F62=1,60/HY$4*HY$6,60/HY$4*HY$7),IF($F62=1,120/HY$4*HY$6,120/HY$4*HY$7)))),IF(OR($F62=3,$G62=2),IF(OR(AND(HW$4&gt;=$AD$119,$C62=2),AND(HW$4&gt;=$AF$119,$C62=1)),0,IF(IA62&lt;=60,IG62,60/HY$4*HY$7)),IF(AND($F62=2,$G62=1),IG62,0)))))</f>
        <v>0</v>
      </c>
      <c r="IJ62" s="57" t="str">
        <f t="shared" si="94"/>
        <v/>
      </c>
      <c r="IK62" s="57" t="str">
        <f t="shared" si="420"/>
        <v/>
      </c>
      <c r="IL62" s="713">
        <f>'org. Düngung 22'!BP61</f>
        <v>0</v>
      </c>
      <c r="IM62" s="57"/>
      <c r="IN62" s="57"/>
      <c r="IO62" s="57">
        <f t="shared" si="96"/>
        <v>0</v>
      </c>
      <c r="IP62" s="57">
        <f t="shared" si="268"/>
        <v>0</v>
      </c>
      <c r="IQ62" s="57">
        <f t="shared" si="269"/>
        <v>0</v>
      </c>
      <c r="IR62" s="57">
        <f t="shared" si="270"/>
        <v>0</v>
      </c>
      <c r="IS62" s="57">
        <f t="shared" si="271"/>
        <v>0</v>
      </c>
      <c r="IT62" s="1029">
        <f t="shared" si="421"/>
        <v>0</v>
      </c>
      <c r="IU62" s="57">
        <f t="shared" si="422"/>
        <v>0</v>
      </c>
      <c r="IV62" s="171" t="str">
        <f t="shared" si="423"/>
        <v/>
      </c>
      <c r="IW62" s="57">
        <f t="shared" si="272"/>
        <v>0</v>
      </c>
      <c r="IX62" s="57">
        <f>IF(OR(AND(IL$6=1,$L62=0),AND(IL$6=2,$K62=2,$G62=1)),0,IF(AND(IN$9=2,(OR($F62&gt;1,$K62=1,AND($L62=80,OR($N62=1,AND($N62=2,'#BerechnungDBE'!$AL53&gt;0)))))),IF(IL$4&gt;=$AD$126,0,IV62),IF(IN$9=3,IF(OR(IL$4&gt;=$AD$127,AND($G62=1,$J62=2,IL$6=2),AND(IL$6=1,$N62&lt;&gt;1)),0,IF(IP62&lt;=120,IV62,IF(IL$4&lt;$AD$124,IF($F62=1,60/IN$4*IN$6,60/IN$4*IN$7),IF($F62=1,120/IN$4*IN$6,120/IN$4*IN$7)))),IF(OR($F62=3,$G62=2),IF(OR(AND(IL$4&gt;=$AD$119,$C62=2),AND(IL$4&gt;=$AF$119,$C62=1)),0,IF(IP62&lt;=60,IV62,60/IN$4*IN$7)),IF(AND($F62=2,$G62=1),IV62,0)))))</f>
        <v>0</v>
      </c>
      <c r="IY62" s="57" t="str">
        <f t="shared" si="100"/>
        <v/>
      </c>
      <c r="IZ62" s="57" t="str">
        <f t="shared" si="424"/>
        <v/>
      </c>
      <c r="JA62" s="713">
        <f>'org. Düngung 22'!BT61</f>
        <v>0</v>
      </c>
      <c r="JB62" s="57"/>
      <c r="JC62" s="57"/>
      <c r="JD62" s="57">
        <f t="shared" si="102"/>
        <v>0</v>
      </c>
      <c r="JE62" s="57">
        <f t="shared" si="273"/>
        <v>0</v>
      </c>
      <c r="JF62" s="57">
        <f t="shared" si="274"/>
        <v>0</v>
      </c>
      <c r="JG62" s="57">
        <f t="shared" si="275"/>
        <v>0</v>
      </c>
      <c r="JH62" s="57">
        <f t="shared" si="276"/>
        <v>0</v>
      </c>
      <c r="JI62" s="1029">
        <f t="shared" si="425"/>
        <v>0</v>
      </c>
      <c r="JJ62" s="57">
        <f t="shared" si="426"/>
        <v>0</v>
      </c>
      <c r="JK62" s="171" t="str">
        <f t="shared" si="427"/>
        <v/>
      </c>
      <c r="JL62" s="57">
        <f t="shared" si="277"/>
        <v>0</v>
      </c>
      <c r="JM62" s="57">
        <f>IF(OR(AND(JA$6=1,$L62=0),AND(JA$6=2,$K62=2,$G62=1)),0,IF(AND(JC$9=2,(OR($F62&gt;1,$K62=1,AND($L62=80,OR($N62=1,AND($N62=2,'#BerechnungDBE'!$AL53&gt;0)))))),IF(JA$4&gt;=$AD$126,0,JK62),IF(JC$9=3,IF(OR(JA$4&gt;=$AD$127,AND($G62=1,$J62=2,JA$6=2),AND(JA$6=1,$N62&lt;&gt;1)),0,IF(JE62&lt;=120,JK62,IF(JA$4&lt;$AD$124,IF($F62=1,60/JC$4*JC$6,60/JC$4*JC$7),IF($F62=1,120/JC$4*JC$6,120/JC$4*JC$7)))),IF(OR($F62=3,$G62=2),IF(OR(AND(JA$4&gt;=$AD$119,$C62=2),AND(JA$4&gt;=$AF$119,$C62=1)),0,IF(JE62&lt;=60,JK62,60/JC$4*JC$7)),IF(AND($F62=2,$G62=1),JK62,0)))))</f>
        <v>0</v>
      </c>
      <c r="JN62" s="57" t="str">
        <f t="shared" si="106"/>
        <v/>
      </c>
      <c r="JO62" s="57" t="str">
        <f t="shared" si="428"/>
        <v/>
      </c>
      <c r="JP62" s="713">
        <f>'org. Düngung 22'!BX61</f>
        <v>0</v>
      </c>
      <c r="JQ62" s="57"/>
      <c r="JR62" s="57"/>
      <c r="JS62" s="57">
        <f t="shared" si="108"/>
        <v>0</v>
      </c>
      <c r="JT62" s="57">
        <f t="shared" si="278"/>
        <v>0</v>
      </c>
      <c r="JU62" s="57">
        <f t="shared" si="279"/>
        <v>0</v>
      </c>
      <c r="JV62" s="57">
        <f t="shared" si="280"/>
        <v>0</v>
      </c>
      <c r="JW62" s="57">
        <f t="shared" si="281"/>
        <v>0</v>
      </c>
      <c r="JX62" s="1029">
        <f t="shared" si="429"/>
        <v>0</v>
      </c>
      <c r="JY62" s="57">
        <f t="shared" si="430"/>
        <v>0</v>
      </c>
      <c r="JZ62" s="171" t="str">
        <f t="shared" si="431"/>
        <v/>
      </c>
      <c r="KA62" s="57">
        <f t="shared" si="282"/>
        <v>0</v>
      </c>
      <c r="KB62" s="57">
        <f>IF(OR(AND(JP$6=1,$L62=0),AND(JP$6=2,$K62=2,$G62=1)),0,IF(AND(JR$9=2,(OR($F62&gt;1,$K62=1,AND($L62=80,OR($N62=1,AND($N62=2,'#BerechnungDBE'!$AL53&gt;0)))))),IF(JP$4&gt;=$AD$126,0,JZ62),IF(JR$9=3,IF(OR(JP$4&gt;=$AD$127,AND($G62=1,$J62=2,JP$6=2),AND(JP$6=1,$N62&lt;&gt;1)),0,IF(JT62&lt;=120,JZ62,IF(JP$4&lt;$AD$124,IF($F62=1,60/JR$4*JR$6,60/JR$4*JR$7),IF($F62=1,120/JR$4*JR$6,120/JR$4*JR$7)))),IF(OR($F62=3,$G62=2),IF(OR(AND(JP$4&gt;=$AD$119,$C62=2),AND(JP$4&gt;=$AF$119,$C62=1)),0,IF(JT62&lt;=60,JZ62,60/JR$4*JR$7)),IF(AND($F62=2,$G62=1),JZ62,0)))))</f>
        <v>0</v>
      </c>
      <c r="KC62" s="57" t="str">
        <f t="shared" si="112"/>
        <v/>
      </c>
      <c r="KD62" s="57" t="str">
        <f t="shared" si="432"/>
        <v/>
      </c>
      <c r="KE62" s="713">
        <f>'org. Düngung 22'!CB61</f>
        <v>0</v>
      </c>
      <c r="KF62" s="57"/>
      <c r="KG62" s="57"/>
      <c r="KH62" s="57">
        <f t="shared" si="114"/>
        <v>0</v>
      </c>
      <c r="KI62" s="57">
        <f t="shared" si="283"/>
        <v>0</v>
      </c>
      <c r="KJ62" s="57">
        <f t="shared" si="284"/>
        <v>0</v>
      </c>
      <c r="KK62" s="57">
        <f t="shared" si="285"/>
        <v>0</v>
      </c>
      <c r="KL62" s="57">
        <f t="shared" si="286"/>
        <v>0</v>
      </c>
      <c r="KM62" s="1029">
        <f t="shared" si="433"/>
        <v>0</v>
      </c>
      <c r="KN62" s="57">
        <f t="shared" si="434"/>
        <v>0</v>
      </c>
      <c r="KO62" s="171" t="str">
        <f t="shared" si="435"/>
        <v/>
      </c>
      <c r="KP62" s="57">
        <f t="shared" si="287"/>
        <v>0</v>
      </c>
      <c r="KQ62" s="57">
        <f>IF(OR(AND(KE$6=1,$L62=0),AND(KE$6=2,$K62=2,$G62=1)),0,IF(AND(KG$9=2,(OR($F62&gt;1,$K62=1,AND($L62=80,OR($N62=1,AND($N62=2,'#BerechnungDBE'!$AL53&gt;0)))))),IF(KE$4&gt;=$AD$126,0,KO62),IF(KG$9=3,IF(OR(KE$4&gt;=$AD$127,AND($G62=1,$J62=2,KE$6=2),AND(KE$6=1,$N62&lt;&gt;1)),0,IF(KI62&lt;=120,KO62,IF(KE$4&lt;$AD$124,IF($F62=1,60/KG$4*KG$6,60/KG$4*KG$7),IF($F62=1,120/KG$4*KG$6,120/KG$4*KG$7)))),IF(OR($F62=3,$G62=2),IF(OR(AND(KE$4&gt;=$AD$119,$C62=2),AND(KE$4&gt;=$AF$119,$C62=1)),0,IF(KI62&lt;=60,KO62,60/KG$4*KG$7)),IF(AND($F62=2,$G62=1),KO62,0)))))</f>
        <v>0</v>
      </c>
      <c r="KR62" s="57" t="str">
        <f t="shared" si="118"/>
        <v/>
      </c>
      <c r="KS62" s="57" t="str">
        <f t="shared" si="436"/>
        <v/>
      </c>
      <c r="KT62" s="713">
        <f>'org. Düngung 22'!CF61</f>
        <v>0</v>
      </c>
      <c r="KU62" s="57"/>
      <c r="KV62" s="57"/>
      <c r="KW62" s="57">
        <f t="shared" si="120"/>
        <v>0</v>
      </c>
      <c r="KX62" s="57">
        <f t="shared" si="288"/>
        <v>0</v>
      </c>
      <c r="KY62" s="57">
        <f t="shared" si="289"/>
        <v>0</v>
      </c>
      <c r="KZ62" s="57">
        <f t="shared" si="290"/>
        <v>0</v>
      </c>
      <c r="LA62" s="57">
        <f t="shared" si="291"/>
        <v>0</v>
      </c>
      <c r="LB62" s="1029">
        <f t="shared" si="437"/>
        <v>0</v>
      </c>
      <c r="LC62" s="57">
        <f t="shared" si="438"/>
        <v>0</v>
      </c>
      <c r="LD62" s="171" t="str">
        <f t="shared" si="439"/>
        <v/>
      </c>
      <c r="LE62" s="57">
        <f t="shared" si="292"/>
        <v>0</v>
      </c>
      <c r="LF62" s="57">
        <f>IF(OR(AND(KT$6=1,$L62=0),AND(KT$6=2,$K62=2,$G62=1)),0,IF(AND(KV$9=2,(OR($F62&gt;1,$K62=1,AND($L62=80,OR($N62=1,AND($N62=2,'#BerechnungDBE'!$AL53&gt;0)))))),IF(KT$4&gt;=$AD$126,0,LD62),IF(KV$9=3,IF(OR(KT$4&gt;=$AD$127,AND($G62=1,$J62=2,KT$6=2),AND(KT$6=1,$N62&lt;&gt;1)),0,IF(KX62&lt;=120,LD62,IF(KT$4&lt;$AD$124,IF($F62=1,60/KV$4*KV$6,60/KV$4*KV$7),IF($F62=1,120/KV$4*KV$6,120/KV$4*KV$7)))),IF(OR($F62=3,$G62=2),IF(OR(AND(KT$4&gt;=$AD$119,$C62=2),AND(KT$4&gt;=$AF$119,$C62=1)),0,IF(KX62&lt;=60,LD62,60/KV$4*KV$7)),IF(AND($F62=2,$G62=1),LD62,0)))))</f>
        <v>0</v>
      </c>
      <c r="LG62" s="57" t="str">
        <f t="shared" si="124"/>
        <v/>
      </c>
      <c r="LH62" s="57" t="str">
        <f t="shared" si="440"/>
        <v/>
      </c>
      <c r="LI62" s="713">
        <f>'org. Düngung 22'!CJ61</f>
        <v>0</v>
      </c>
      <c r="LJ62" s="57"/>
      <c r="LK62" s="57"/>
      <c r="LL62" s="57">
        <f t="shared" si="126"/>
        <v>0</v>
      </c>
      <c r="LM62" s="57">
        <f t="shared" si="293"/>
        <v>0</v>
      </c>
      <c r="LN62" s="57">
        <f t="shared" si="294"/>
        <v>0</v>
      </c>
      <c r="LO62" s="57">
        <f t="shared" si="295"/>
        <v>0</v>
      </c>
      <c r="LP62" s="57">
        <f t="shared" si="296"/>
        <v>0</v>
      </c>
      <c r="LQ62" s="1029">
        <f t="shared" si="441"/>
        <v>0</v>
      </c>
      <c r="LR62" s="57">
        <f t="shared" si="442"/>
        <v>0</v>
      </c>
      <c r="LS62" s="171" t="str">
        <f t="shared" si="443"/>
        <v/>
      </c>
      <c r="LT62" s="57">
        <f t="shared" si="297"/>
        <v>0</v>
      </c>
      <c r="LU62" s="57">
        <f>IF(OR(AND(LI$6=1,$L62=0),AND(LI$6=2,$K62=2,$G62=1)),0,IF(AND(LK$9=2,(OR($F62&gt;1,$K62=1,AND($L62=80,OR($N62=1,AND($N62=2,'#BerechnungDBE'!$AL53&gt;0)))))),IF(LI$4&gt;=$AD$126,0,LS62),IF(LK$9=3,IF(OR(LI$4&gt;=$AD$127,AND($G62=1,$J62=2,LI$6=2),AND(LI$6=1,$N62&lt;&gt;1)),0,IF(LM62&lt;=120,LS62,IF(LI$4&lt;$AD$124,IF($F62=1,60/LK$4*LK$6,60/LK$4*LK$7),IF($F62=1,120/LK$4*LK$6,120/LK$4*LK$7)))),IF(OR($F62=3,$G62=2),IF(OR(AND(LI$4&gt;=$AD$119,$C62=2),AND(LI$4&gt;=$AF$119,$C62=1)),0,IF(LM62&lt;=60,LS62,60/LK$4*LK$7)),IF(AND($F62=2,$G62=1),LS62,0)))))</f>
        <v>0</v>
      </c>
      <c r="LV62" s="57" t="str">
        <f t="shared" si="130"/>
        <v/>
      </c>
      <c r="LW62" s="57" t="str">
        <f t="shared" si="444"/>
        <v/>
      </c>
      <c r="LX62" s="713">
        <f>'org. Düngung 22'!CN61</f>
        <v>0</v>
      </c>
      <c r="LY62" s="57"/>
      <c r="LZ62" s="57"/>
      <c r="MA62" s="57">
        <f t="shared" si="132"/>
        <v>0</v>
      </c>
      <c r="MB62" s="57">
        <f t="shared" si="298"/>
        <v>0</v>
      </c>
      <c r="MC62" s="57">
        <f t="shared" si="299"/>
        <v>0</v>
      </c>
      <c r="MD62" s="57">
        <f t="shared" si="300"/>
        <v>0</v>
      </c>
      <c r="ME62" s="57">
        <f t="shared" si="301"/>
        <v>0</v>
      </c>
      <c r="MF62" s="1029">
        <f t="shared" si="445"/>
        <v>0</v>
      </c>
      <c r="MG62" s="57">
        <f t="shared" si="446"/>
        <v>0</v>
      </c>
      <c r="MH62" s="171" t="str">
        <f t="shared" si="447"/>
        <v/>
      </c>
      <c r="MI62" s="57">
        <f t="shared" si="302"/>
        <v>0</v>
      </c>
      <c r="MJ62" s="57">
        <f>IF(OR(AND(LX$6=1,$L62=0),AND(LX$6=2,$K62=2,$G62=1)),0,IF(AND(LZ$9=2,(OR($F62&gt;1,$K62=1,AND($L62=80,OR($N62=1,AND($N62=2,'#BerechnungDBE'!$AL53&gt;0)))))),IF(LX$4&gt;=$AD$126,0,MH62),IF(LZ$9=3,IF(OR(LX$4&gt;=$AD$127,AND($G62=1,$J62=2,LX$6=2),AND(LX$6=1,$N62&lt;&gt;1)),0,IF(MB62&lt;=120,MH62,IF(LX$4&lt;$AD$124,IF($F62=1,60/LZ$4*LZ$6,60/LZ$4*LZ$7),IF($F62=1,120/LZ$4*LZ$6,120/LZ$4*LZ$7)))),IF(OR($F62=3,$G62=2),IF(OR(AND(LX$4&gt;=$AD$119,$C62=2),AND(LX$4&gt;=$AF$119,$C62=1)),0,IF(MB62&lt;=60,MH62,60/LZ$4*LZ$7)),IF(AND($F62=2,$G62=1),MH62,0)))))</f>
        <v>0</v>
      </c>
      <c r="MK62" s="57" t="str">
        <f t="shared" si="136"/>
        <v/>
      </c>
      <c r="ML62" s="57" t="str">
        <f t="shared" si="448"/>
        <v/>
      </c>
      <c r="MM62" s="713">
        <f>'org. Düngung 22'!CR61</f>
        <v>0</v>
      </c>
      <c r="MN62" s="57"/>
      <c r="MO62" s="57"/>
      <c r="MP62" s="57">
        <f t="shared" si="138"/>
        <v>0</v>
      </c>
      <c r="MQ62" s="57">
        <f t="shared" si="303"/>
        <v>0</v>
      </c>
      <c r="MR62" s="57">
        <f t="shared" si="304"/>
        <v>0</v>
      </c>
      <c r="MS62" s="57">
        <f t="shared" si="305"/>
        <v>0</v>
      </c>
      <c r="MT62" s="57">
        <f t="shared" si="306"/>
        <v>0</v>
      </c>
      <c r="MU62" s="1029">
        <f t="shared" si="449"/>
        <v>0</v>
      </c>
      <c r="MV62" s="57">
        <f t="shared" si="450"/>
        <v>0</v>
      </c>
      <c r="MW62" s="171" t="str">
        <f t="shared" si="451"/>
        <v/>
      </c>
      <c r="MX62" s="57">
        <f t="shared" si="307"/>
        <v>0</v>
      </c>
      <c r="MY62" s="57">
        <f>IF(OR(AND(MM$6=1,$L62=0),AND(MM$6=2,$K62=2,$G62=1)),0,IF(AND(MO$9=2,(OR($F62&gt;1,$K62=1,AND($L62=80,OR($N62=1,AND($N62=2,'#BerechnungDBE'!$AL53&gt;0)))))),IF(MM$4&gt;=$AD$126,0,MW62),IF(MO$9=3,IF(OR(MM$4&gt;=$AD$127,AND($G62=1,$J62=2,MM$6=2),AND(MM$6=1,$N62&lt;&gt;1)),0,IF(MQ62&lt;=120,MW62,IF(MM$4&lt;$AD$124,IF($F62=1,60/MO$4*MO$6,60/MO$4*MO$7),IF($F62=1,120/MO$4*MO$6,120/MO$4*MO$7)))),IF(OR($F62=3,$G62=2),IF(OR(AND(MM$4&gt;=$AD$119,$C62=2),AND(MM$4&gt;=$AF$119,$C62=1)),0,IF(MQ62&lt;=60,MW62,60/MO$4*MO$7)),IF(AND($F62=2,$G62=1),MW62,0)))))</f>
        <v>0</v>
      </c>
      <c r="MZ62" s="57" t="str">
        <f t="shared" si="142"/>
        <v/>
      </c>
      <c r="NA62" s="57" t="str">
        <f t="shared" si="452"/>
        <v/>
      </c>
      <c r="NB62" s="713">
        <f>'org. Düngung 22'!CV61</f>
        <v>0</v>
      </c>
      <c r="NC62" s="57"/>
      <c r="ND62" s="57"/>
      <c r="NE62" s="57">
        <f t="shared" si="144"/>
        <v>0</v>
      </c>
      <c r="NF62" s="57">
        <f t="shared" si="308"/>
        <v>0</v>
      </c>
      <c r="NG62" s="57">
        <f t="shared" si="309"/>
        <v>0</v>
      </c>
      <c r="NH62" s="57">
        <f t="shared" si="310"/>
        <v>0</v>
      </c>
      <c r="NI62" s="57">
        <f t="shared" si="311"/>
        <v>0</v>
      </c>
      <c r="NJ62" s="1029">
        <f t="shared" si="453"/>
        <v>0</v>
      </c>
      <c r="NK62" s="57">
        <f t="shared" si="454"/>
        <v>0</v>
      </c>
      <c r="NL62" s="171" t="str">
        <f t="shared" si="455"/>
        <v/>
      </c>
      <c r="NM62" s="57">
        <f t="shared" si="312"/>
        <v>0</v>
      </c>
      <c r="NN62" s="57">
        <f>IF(OR(AND(NB$6=1,$L62=0),AND(NB$6=2,$K62=2,$G62=1)),0,IF(AND(ND$9=2,(OR($F62&gt;1,$K62=1,AND($L62=80,OR($N62=1,AND($N62=2,'#BerechnungDBE'!$AL53&gt;0)))))),IF(NB$4&gt;=$AD$126,0,NL62),IF(ND$9=3,IF(OR(NB$4&gt;=$AD$127,AND($G62=1,$J62=2,NB$6=2),AND(NB$6=1,$N62&lt;&gt;1)),0,IF(NF62&lt;=120,NL62,IF(NB$4&lt;$AD$124,IF($F62=1,60/ND$4*ND$6,60/ND$4*ND$7),IF($F62=1,120/ND$4*ND$6,120/ND$4*ND$7)))),IF(OR($F62=3,$G62=2),IF(OR(AND(NB$4&gt;=$AD$119,$C62=2),AND(NB$4&gt;=$AF$119,$C62=1)),0,IF(NF62&lt;=60,NL62,60/ND$4*ND$7)),IF(AND($F62=2,$G62=1),NL62,0)))))</f>
        <v>0</v>
      </c>
      <c r="NO62" s="57" t="str">
        <f t="shared" si="148"/>
        <v/>
      </c>
      <c r="NP62" s="57" t="str">
        <f t="shared" si="456"/>
        <v/>
      </c>
      <c r="NQ62" s="713">
        <f>'org. Düngung 22'!CZ61</f>
        <v>0</v>
      </c>
      <c r="NR62" s="57"/>
      <c r="NS62" s="57"/>
      <c r="NT62" s="57">
        <f t="shared" si="150"/>
        <v>0</v>
      </c>
      <c r="NU62" s="57">
        <f t="shared" si="313"/>
        <v>0</v>
      </c>
      <c r="NV62" s="57">
        <f t="shared" si="314"/>
        <v>0</v>
      </c>
      <c r="NW62" s="57">
        <f t="shared" si="315"/>
        <v>0</v>
      </c>
      <c r="NX62" s="57">
        <f t="shared" si="316"/>
        <v>0</v>
      </c>
      <c r="NY62" s="1029">
        <f t="shared" si="457"/>
        <v>0</v>
      </c>
      <c r="NZ62" s="57">
        <f t="shared" si="458"/>
        <v>0</v>
      </c>
      <c r="OA62" s="171" t="str">
        <f t="shared" si="459"/>
        <v/>
      </c>
      <c r="OB62" s="57">
        <f t="shared" si="317"/>
        <v>0</v>
      </c>
      <c r="OC62" s="57">
        <f>IF(OR(AND(NQ$6=1,$L62=0),AND(NQ$6=2,$K62=2,$G62=1)),0,IF(AND(NS$9=2,(OR($F62&gt;1,$K62=1,AND($L62=80,OR($N62=1,AND($N62=2,'#BerechnungDBE'!$AL53&gt;0)))))),IF(NQ$4&gt;=$AD$126,0,OA62),IF(NS$9=3,IF(OR(NQ$4&gt;=$AD$127,AND($G62=1,$J62=2,NQ$6=2),AND(NQ$6=1,$N62&lt;&gt;1)),0,IF(NU62&lt;=120,OA62,IF(NQ$4&lt;$AD$124,IF($F62=1,60/NS$4*NS$6,60/NS$4*NS$7),IF($F62=1,120/NS$4*NS$6,120/NS$4*NS$7)))),IF(OR($F62=3,$G62=2),IF(OR(AND(NQ$4&gt;=$AD$119,$C62=2),AND(NQ$4&gt;=$AF$119,$C62=1)),0,IF(NU62&lt;=60,OA62,60/NS$4*NS$7)),IF(AND($F62=2,$G62=1),OA62,0)))))</f>
        <v>0</v>
      </c>
      <c r="OD62" s="57" t="str">
        <f t="shared" si="154"/>
        <v/>
      </c>
      <c r="OE62" s="57" t="str">
        <f t="shared" si="460"/>
        <v/>
      </c>
      <c r="OF62" s="713">
        <f>'org. Düngung 22'!DD61</f>
        <v>0</v>
      </c>
      <c r="OG62" s="57"/>
      <c r="OH62" s="57"/>
      <c r="OI62" s="57">
        <f t="shared" si="156"/>
        <v>0</v>
      </c>
      <c r="OJ62" s="57">
        <f t="shared" si="318"/>
        <v>0</v>
      </c>
      <c r="OK62" s="57">
        <f t="shared" si="319"/>
        <v>0</v>
      </c>
      <c r="OL62" s="57">
        <f t="shared" si="320"/>
        <v>0</v>
      </c>
      <c r="OM62" s="57">
        <f t="shared" si="321"/>
        <v>0</v>
      </c>
      <c r="ON62" s="1029">
        <f t="shared" si="461"/>
        <v>0</v>
      </c>
      <c r="OO62" s="57">
        <f t="shared" si="462"/>
        <v>0</v>
      </c>
      <c r="OP62" s="171" t="str">
        <f t="shared" si="463"/>
        <v/>
      </c>
      <c r="OQ62" s="57">
        <f t="shared" si="322"/>
        <v>0</v>
      </c>
      <c r="OR62" s="57">
        <f>IF(OR(AND(OF$6=1,$L62=0),AND(OF$6=2,$K62=2,$G62=1)),0,IF(AND(OH$9=2,(OR($F62&gt;1,$K62=1,AND($L62=80,OR($N62=1,AND($N62=2,'#BerechnungDBE'!$AL53&gt;0)))))),IF(OF$4&gt;=$AD$126,0,OP62),IF(OH$9=3,IF(OR(OF$4&gt;=$AD$127,AND($G62=1,$J62=2,OF$6=2),AND(OF$6=1,$N62&lt;&gt;1)),0,IF(OJ62&lt;=120,OP62,IF(OF$4&lt;$AD$124,IF($F62=1,60/OH$4*OH$6,60/OH$4*OH$7),IF($F62=1,120/OH$4*OH$6,120/OH$4*OH$7)))),IF(OR($F62=3,$G62=2),IF(OR(AND(OF$4&gt;=$AD$119,$C62=2),AND(OF$4&gt;=$AF$119,$C62=1)),0,IF(OJ62&lt;=60,OP62,60/OH$4*OH$7)),IF(AND($F62=2,$G62=1),OP62,0)))))</f>
        <v>0</v>
      </c>
      <c r="OS62" s="57" t="str">
        <f t="shared" si="160"/>
        <v/>
      </c>
      <c r="OT62" s="57" t="str">
        <f t="shared" si="464"/>
        <v/>
      </c>
      <c r="OU62" s="713">
        <f>'org. Düngung 22'!DH61</f>
        <v>0</v>
      </c>
      <c r="OV62" s="57"/>
      <c r="OW62" s="57"/>
      <c r="OX62" s="57">
        <f t="shared" si="162"/>
        <v>0</v>
      </c>
      <c r="OY62" s="57">
        <f t="shared" si="323"/>
        <v>0</v>
      </c>
      <c r="OZ62" s="57">
        <f t="shared" si="324"/>
        <v>0</v>
      </c>
      <c r="PA62" s="57">
        <f t="shared" si="325"/>
        <v>0</v>
      </c>
      <c r="PB62" s="57">
        <f t="shared" si="326"/>
        <v>0</v>
      </c>
      <c r="PC62" s="1029">
        <f t="shared" si="465"/>
        <v>0</v>
      </c>
      <c r="PD62" s="57">
        <f t="shared" si="466"/>
        <v>0</v>
      </c>
      <c r="PE62" s="171" t="str">
        <f t="shared" si="467"/>
        <v/>
      </c>
      <c r="PF62" s="57">
        <f t="shared" si="327"/>
        <v>0</v>
      </c>
      <c r="PG62" s="57">
        <f>IF(OR(AND(OU$6=1,$L62=0),AND(OU$6=2,$K62=2,$G62=1)),0,IF(AND(OW$9=2,(OR($F62&gt;1,$K62=1,AND($L62=80,OR($N62=1,AND($N62=2,'#BerechnungDBE'!$AL53&gt;0)))))),IF(OU$4&gt;=$AD$126,0,PE62),IF(OW$9=3,IF(OR(OU$4&gt;=$AD$127,AND($G62=1,$J62=2,OU$6=2),AND(OU$6=1,$N62&lt;&gt;1)),0,IF(OY62&lt;=120,PE62,IF(OU$4&lt;$AD$124,IF($F62=1,60/OW$4*OW$6,60/OW$4*OW$7),IF($F62=1,120/OW$4*OW$6,120/OW$4*OW$7)))),IF(OR($F62=3,$G62=2),IF(OR(AND(OU$4&gt;=$AD$119,$C62=2),AND(OU$4&gt;=$AF$119,$C62=1)),0,IF(OY62&lt;=60,PE62,60/OW$4*OW$7)),IF(AND($F62=2,$G62=1),PE62,0)))))</f>
        <v>0</v>
      </c>
      <c r="PH62" s="57" t="str">
        <f t="shared" si="166"/>
        <v/>
      </c>
      <c r="PI62" s="57" t="str">
        <f t="shared" si="468"/>
        <v/>
      </c>
      <c r="PJ62" s="713">
        <f>'org. Düngung 22'!DL61</f>
        <v>0</v>
      </c>
      <c r="PK62" s="57"/>
      <c r="PL62" s="57"/>
      <c r="PM62" s="57">
        <f t="shared" si="168"/>
        <v>0</v>
      </c>
      <c r="PN62" s="57">
        <f t="shared" si="328"/>
        <v>0</v>
      </c>
      <c r="PO62" s="57">
        <f t="shared" si="329"/>
        <v>0</v>
      </c>
      <c r="PP62" s="57">
        <f t="shared" si="330"/>
        <v>0</v>
      </c>
      <c r="PQ62" s="57">
        <f t="shared" si="331"/>
        <v>0</v>
      </c>
      <c r="PR62" s="1029">
        <f t="shared" si="469"/>
        <v>0</v>
      </c>
      <c r="PS62" s="57">
        <f t="shared" si="470"/>
        <v>0</v>
      </c>
      <c r="PT62" s="171" t="str">
        <f t="shared" si="471"/>
        <v/>
      </c>
      <c r="PU62" s="57">
        <f t="shared" si="332"/>
        <v>0</v>
      </c>
      <c r="PV62" s="57">
        <f>IF(OR(AND(PJ$6=1,$L62=0),AND(PJ$6=2,$K62=2,$G62=1)),0,IF(AND(PL$9=2,(OR($F62&gt;1,$K62=1,AND($L62=80,OR($N62=1,AND($N62=2,'#BerechnungDBE'!$AL53&gt;0)))))),IF(PJ$4&gt;=$AD$126,0,PT62),IF(PL$9=3,IF(OR(PJ$4&gt;=$AD$127,AND($G62=1,$J62=2,PJ$6=2),AND(PJ$6=1,$N62&lt;&gt;1)),0,IF(PN62&lt;=120,PT62,IF(PJ$4&lt;$AD$124,IF($F62=1,60/PL$4*PL$6,60/PL$4*PL$7),IF($F62=1,120/PL$4*PL$6,120/PL$4*PL$7)))),IF(OR($F62=3,$G62=2),IF(OR(AND(PJ$4&gt;=$AD$119,$C62=2),AND(PJ$4&gt;=$AF$119,$C62=1)),0,IF(PN62&lt;=60,PT62,60/PL$4*PL$7)),IF(AND($F62=2,$G62=1),PT62,0)))))</f>
        <v>0</v>
      </c>
      <c r="PW62" s="57" t="str">
        <f t="shared" si="172"/>
        <v/>
      </c>
      <c r="PX62" s="57" t="str">
        <f t="shared" si="472"/>
        <v/>
      </c>
      <c r="PY62" s="713">
        <f>'org. Düngung 22'!DP61</f>
        <v>0</v>
      </c>
      <c r="PZ62" s="57"/>
      <c r="QA62" s="57"/>
      <c r="QB62" s="57">
        <f t="shared" si="174"/>
        <v>0</v>
      </c>
      <c r="QC62" s="57">
        <f t="shared" si="333"/>
        <v>0</v>
      </c>
      <c r="QD62" s="57">
        <f t="shared" si="334"/>
        <v>0</v>
      </c>
      <c r="QE62" s="57">
        <f t="shared" si="335"/>
        <v>0</v>
      </c>
      <c r="QF62" s="57">
        <f t="shared" si="336"/>
        <v>0</v>
      </c>
      <c r="QG62" s="1029">
        <f t="shared" si="473"/>
        <v>0</v>
      </c>
      <c r="QH62" s="57">
        <f t="shared" si="474"/>
        <v>0</v>
      </c>
      <c r="QI62" s="171" t="str">
        <f t="shared" si="475"/>
        <v/>
      </c>
      <c r="QJ62" s="57">
        <f t="shared" si="337"/>
        <v>0</v>
      </c>
      <c r="QK62" s="57">
        <f>IF(OR(AND(PY$6=1,$L62=0),AND(PY$6=2,$K62=2,$G62=1)),0,IF(AND(QA$9=2,(OR($F62&gt;1,$K62=1,AND($L62=80,OR($N62=1,AND($N62=2,'#BerechnungDBE'!$AL53&gt;0)))))),IF(PY$4&gt;=$AD$126,0,QI62),IF(QA$9=3,IF(OR(PY$4&gt;=$AD$127,AND($G62=1,$J62=2,PY$6=2),AND(PY$6=1,$N62&lt;&gt;1)),0,IF(QC62&lt;=120,QI62,IF(PY$4&lt;$AD$124,IF($F62=1,60/QA$4*QA$6,60/QA$4*QA$7),IF($F62=1,120/QA$4*QA$6,120/QA$4*QA$7)))),IF(OR($F62=3,$G62=2),IF(OR(AND(PY$4&gt;=$AD$119,$C62=2),AND(PY$4&gt;=$AF$119,$C62=1)),0,IF(QC62&lt;=60,QI62,60/QA$4*QA$7)),IF(AND($F62=2,$G62=1),QI62,0)))))</f>
        <v>0</v>
      </c>
      <c r="QL62" s="57" t="str">
        <f t="shared" si="178"/>
        <v/>
      </c>
      <c r="QM62" s="57" t="str">
        <f t="shared" si="476"/>
        <v/>
      </c>
      <c r="QN62" s="713">
        <f>'org. Düngung 22'!DT61</f>
        <v>0</v>
      </c>
      <c r="QO62" s="57"/>
      <c r="QP62" s="57"/>
      <c r="QQ62" s="57">
        <f t="shared" si="180"/>
        <v>0</v>
      </c>
      <c r="QR62" s="57">
        <f t="shared" si="338"/>
        <v>0</v>
      </c>
      <c r="QS62" s="57">
        <f t="shared" si="339"/>
        <v>0</v>
      </c>
      <c r="QT62" s="57">
        <f t="shared" si="340"/>
        <v>0</v>
      </c>
      <c r="QU62" s="57">
        <f t="shared" si="341"/>
        <v>0</v>
      </c>
      <c r="QV62" s="1029">
        <f t="shared" si="477"/>
        <v>0</v>
      </c>
      <c r="QW62" s="57">
        <f t="shared" si="478"/>
        <v>0</v>
      </c>
      <c r="QX62" s="171" t="str">
        <f t="shared" si="479"/>
        <v/>
      </c>
      <c r="QY62" s="57">
        <f t="shared" si="342"/>
        <v>0</v>
      </c>
      <c r="QZ62" s="57">
        <f>IF(OR(AND(QN$6=1,$L62=0),AND(QN$6=2,$K62=2,$G62=1)),0,IF(AND(QP$9=2,(OR($F62&gt;1,$K62=1,AND($L62=80,OR($N62=1,AND($N62=2,'#BerechnungDBE'!$AL53&gt;0)))))),IF(QN$4&gt;=$AD$126,0,QX62),IF(QP$9=3,IF(OR(QN$4&gt;=$AD$127,AND($G62=1,$J62=2,QN$6=2),AND(QN$6=1,$N62&lt;&gt;1)),0,IF(QR62&lt;=120,QX62,IF(QN$4&lt;$AD$124,IF($F62=1,60/QP$4*QP$6,60/QP$4*QP$7),IF($F62=1,120/QP$4*QP$6,120/QP$4*QP$7)))),IF(OR($F62=3,$G62=2),IF(OR(AND(QN$4&gt;=$AD$119,$C62=2),AND(QN$4&gt;=$AF$119,$C62=1)),0,IF(QR62&lt;=60,QX62,60/QP$4*QP$7)),IF(AND($F62=2,$G62=1),QX62,0)))))</f>
        <v>0</v>
      </c>
      <c r="RA62" s="57" t="str">
        <f t="shared" si="184"/>
        <v/>
      </c>
      <c r="RB62" s="57" t="str">
        <f t="shared" si="480"/>
        <v/>
      </c>
      <c r="RC62" s="713">
        <f>'org. Düngung 22'!DX61</f>
        <v>0</v>
      </c>
      <c r="RD62" s="57"/>
      <c r="RE62" s="57"/>
      <c r="RF62" s="57">
        <f t="shared" si="186"/>
        <v>0</v>
      </c>
      <c r="RG62" s="57">
        <f t="shared" si="343"/>
        <v>0</v>
      </c>
      <c r="RH62" s="57">
        <f t="shared" si="344"/>
        <v>0</v>
      </c>
      <c r="RI62" s="57">
        <f t="shared" si="345"/>
        <v>0</v>
      </c>
      <c r="RJ62" s="57">
        <f t="shared" si="346"/>
        <v>0</v>
      </c>
      <c r="RK62" s="1029">
        <f t="shared" si="481"/>
        <v>0</v>
      </c>
      <c r="RL62" s="57">
        <f t="shared" si="482"/>
        <v>0</v>
      </c>
      <c r="RM62" s="171" t="str">
        <f t="shared" si="483"/>
        <v/>
      </c>
      <c r="RN62" s="57">
        <f t="shared" si="347"/>
        <v>0</v>
      </c>
      <c r="RO62" s="57">
        <f>IF(OR(AND(RC$6=1,$L62=0),AND(RC$6=2,$K62=2,$G62=1)),0,IF(AND(RE$9=2,(OR($F62&gt;1,$K62=1,AND($L62=80,OR($N62=1,AND($N62=2,'#BerechnungDBE'!$AL53&gt;0)))))),IF(RC$4&gt;=$AD$126,0,RM62),IF(RE$9=3,IF(OR(RC$4&gt;=$AD$127,AND($G62=1,$J62=2,RC$6=2),AND(RC$6=1,$N62&lt;&gt;1)),0,IF(RG62&lt;=120,RM62,IF(RC$4&lt;$AD$124,IF($F62=1,60/RE$4*RE$6,60/RE$4*RE$7),IF($F62=1,120/RE$4*RE$6,120/RE$4*RE$7)))),IF(OR($F62=3,$G62=2),IF(OR(AND(RC$4&gt;=$AD$119,$C62=2),AND(RC$4&gt;=$AF$119,$C62=1)),0,IF(RG62&lt;=60,RM62,60/RE$4*RE$7)),IF(AND($F62=2,$G62=1),RM62,0)))))</f>
        <v>0</v>
      </c>
      <c r="RP62" s="57" t="str">
        <f t="shared" si="190"/>
        <v/>
      </c>
      <c r="RQ62" s="57" t="str">
        <f t="shared" si="484"/>
        <v/>
      </c>
      <c r="RS62" s="57" t="str">
        <f t="shared" si="488"/>
        <v/>
      </c>
      <c r="RT62" s="57" t="str">
        <f t="shared" si="485"/>
        <v/>
      </c>
      <c r="RU62" s="57" t="str">
        <f t="shared" si="486"/>
        <v/>
      </c>
      <c r="RV62" s="57" t="str">
        <f>IF(Z62&gt;'#BerechnungDBE'!BM53,$RV$9,"")</f>
        <v/>
      </c>
      <c r="RW62" s="57" t="str">
        <f>IF(AND(L62=70,AE62&gt;'#BerechnungDBE'!CQ53),$RW$9,"")</f>
        <v/>
      </c>
      <c r="RX62" s="57" t="str">
        <f>IF(OR('org. Düngung 22'!G61="--",'org. Düngung 22'!G61&lt;=170,'org. Düngung 22'!G61=""),"",$RX$9)</f>
        <v/>
      </c>
      <c r="RY62" s="57" t="str">
        <f>IF('org. Düngung 22'!K61&gt;120,'#orgDung'!$RY$9,"")</f>
        <v/>
      </c>
      <c r="RZ62" s="57" t="str">
        <f>IF('#BerechnungDBE'!P53&lt;4,"",IF(AND('#BerechnungDBE'!BZ53&gt;0,T62&gt;0),'#orgDung'!$RZ$9,""))</f>
        <v/>
      </c>
      <c r="SA62" s="57" t="str">
        <f t="shared" si="487"/>
        <v/>
      </c>
    </row>
    <row r="63" spans="1:495" s="875" customFormat="1" x14ac:dyDescent="0.2">
      <c r="A63" s="875">
        <f>'Flächen u. Kulturen'!A59</f>
        <v>50</v>
      </c>
      <c r="B63" s="367">
        <f>'#BerechnungDBE'!L54</f>
        <v>0</v>
      </c>
      <c r="C63" s="875">
        <f>'#BerechnungDBE'!R54</f>
        <v>1</v>
      </c>
      <c r="D63" s="875">
        <f>'#BerechnungDBE'!T54</f>
        <v>2</v>
      </c>
      <c r="E63" s="875" t="str">
        <f>'Flächen u. Kulturen'!E59</f>
        <v>x</v>
      </c>
      <c r="F63" s="52">
        <f>'#BerechnungDBE'!N54</f>
        <v>1</v>
      </c>
      <c r="G63" s="52">
        <f>'#BerechnungDBE'!O54</f>
        <v>1</v>
      </c>
      <c r="H63" s="875">
        <f>IF('Flächen u. Kulturen'!P59="",0,VLOOKUP('Flächen u. Kulturen'!P59,Kulturen[[HF]:[Berechnungsgruppe]],'#Frucht'!$H$1,FALSE))</f>
        <v>0</v>
      </c>
      <c r="I63" s="875">
        <f>IF('Flächen u. Kulturen'!J59="",0,VLOOKUP('Flächen u. Kulturen'!J59,Kulturen[[HF]:[Berechnungsgruppe]],'#Frucht'!$G$1,FALSE))</f>
        <v>90</v>
      </c>
      <c r="J63" s="505">
        <f t="shared" si="195"/>
        <v>2</v>
      </c>
      <c r="K63" s="505">
        <f>IF('Flächen u. Kulturen'!P59="",0,IF(VLOOKUP('Flächen u. Kulturen'!P59,Kulturen[[HF]:[Saat Winterungen]],'#Frucht'!$P$1,FALSE)&gt;0,1,2))</f>
        <v>2</v>
      </c>
      <c r="L63" s="875">
        <f>'#BerechnungDBE'!AF54</f>
        <v>0</v>
      </c>
      <c r="M63" s="875">
        <f>IF('Flächen u. Kulturen'!L59="",0,VLOOKUP('Flächen u. Kulturen'!L59,Nebenkultur[[Nebenkultur]:[Legum. Zwischenfr.]],'#Zweitfr'!$K$1,FALSE))</f>
        <v>0</v>
      </c>
      <c r="N63" s="875">
        <f>'#BerechnungDBE'!AG54</f>
        <v>0</v>
      </c>
      <c r="P63" s="57">
        <f t="shared" si="353"/>
        <v>0</v>
      </c>
      <c r="Q63" s="57">
        <f t="shared" si="354"/>
        <v>0</v>
      </c>
      <c r="R63" s="875">
        <f t="shared" si="355"/>
        <v>0</v>
      </c>
      <c r="S63" s="938" t="str">
        <f t="shared" si="3"/>
        <v/>
      </c>
      <c r="T63" s="875">
        <f t="shared" si="356"/>
        <v>0</v>
      </c>
      <c r="U63" s="875">
        <f t="shared" si="357"/>
        <v>0</v>
      </c>
      <c r="V63" s="875">
        <f t="shared" si="358"/>
        <v>0</v>
      </c>
      <c r="W63" s="875">
        <f t="shared" si="359"/>
        <v>0</v>
      </c>
      <c r="X63" s="875">
        <f t="shared" si="360"/>
        <v>0</v>
      </c>
      <c r="Y63" s="875">
        <f t="shared" si="349"/>
        <v>0</v>
      </c>
      <c r="Z63" s="875">
        <f t="shared" si="350"/>
        <v>0</v>
      </c>
      <c r="AA63" s="910">
        <f t="shared" si="361"/>
        <v>0</v>
      </c>
      <c r="AB63" s="57">
        <f t="shared" si="351"/>
        <v>0</v>
      </c>
      <c r="AC63" s="875">
        <f t="shared" si="362"/>
        <v>0</v>
      </c>
      <c r="AD63" s="875">
        <f t="shared" si="363"/>
        <v>0</v>
      </c>
      <c r="AE63" s="875">
        <f t="shared" si="364"/>
        <v>0</v>
      </c>
      <c r="AF63" s="875">
        <f t="shared" si="352"/>
        <v>0</v>
      </c>
      <c r="AG63" s="875">
        <f>'org. Düngung 22'!J62</f>
        <v>0</v>
      </c>
      <c r="AH63" s="875">
        <f>'org. Düngung 22'!K62</f>
        <v>0</v>
      </c>
      <c r="AJ63" s="713">
        <f>'org. Düngung 22'!L62</f>
        <v>0</v>
      </c>
      <c r="AK63" s="57"/>
      <c r="AL63" s="57"/>
      <c r="AM63" s="57">
        <f t="shared" si="196"/>
        <v>0</v>
      </c>
      <c r="AN63" s="57">
        <f t="shared" si="197"/>
        <v>0</v>
      </c>
      <c r="AO63" s="57">
        <f t="shared" si="198"/>
        <v>0</v>
      </c>
      <c r="AP63" s="57">
        <f t="shared" si="199"/>
        <v>0</v>
      </c>
      <c r="AQ63" s="57">
        <f t="shared" si="200"/>
        <v>0</v>
      </c>
      <c r="AR63" s="1029">
        <f t="shared" si="365"/>
        <v>0</v>
      </c>
      <c r="AS63" s="57">
        <f t="shared" si="366"/>
        <v>0</v>
      </c>
      <c r="AT63" s="171" t="str">
        <f t="shared" si="367"/>
        <v/>
      </c>
      <c r="AU63" s="57">
        <f t="shared" si="201"/>
        <v>0</v>
      </c>
      <c r="AV63" s="57">
        <f>IF(OR(AND(AJ$6=1,$L63=0),AND(AJ$6=2,$K63=2,$G63=1)),0,IF(AND(AL$9=2,(OR($F63&gt;1,$K63=1,AND($L63=80,OR($N63=1,AND($N63=2,'#BerechnungDBE'!$AL54&gt;0)))))),IF(AJ$4&gt;=$AD$126,0,AT63),IF(AL$9=3,IF(OR(AJ$4&gt;=$AD$127,AND($G63=1,$J63=2,AJ$6=2),AND(AJ$6=1,$N63&lt;&gt;1)),0,IF(AN63&lt;=120,AT63,IF(AJ$4&lt;$AD$124,IF($F63=1,60/AL$4*AL$6,60/AL$4*AL$7),IF($F63=1,120/AL$4*AL$6,120/AL$4*AL$7)))),IF(OR($F63=3,$G63=2),IF(OR(AND(AJ$4&gt;=$AD$119,$C63=2),AND(AJ$4&gt;=$AF$119,$C63=1)),0,IF(AN63&lt;=60,AT63,60/AL$4*AL$7)),IF(AND($F63=2,$G63=1),AT63,0)))))</f>
        <v>0</v>
      </c>
      <c r="AW63" s="57" t="str">
        <f t="shared" si="202"/>
        <v/>
      </c>
      <c r="AX63" s="57" t="str">
        <f t="shared" si="368"/>
        <v/>
      </c>
      <c r="AY63" s="713">
        <f>'org. Düngung 22'!P62</f>
        <v>0</v>
      </c>
      <c r="AZ63" s="57"/>
      <c r="BA63" s="57"/>
      <c r="BB63" s="57">
        <f t="shared" si="18"/>
        <v>0</v>
      </c>
      <c r="BC63" s="57">
        <f t="shared" si="203"/>
        <v>0</v>
      </c>
      <c r="BD63" s="57">
        <f t="shared" si="204"/>
        <v>0</v>
      </c>
      <c r="BE63" s="57">
        <f t="shared" si="205"/>
        <v>0</v>
      </c>
      <c r="BF63" s="57">
        <f t="shared" si="206"/>
        <v>0</v>
      </c>
      <c r="BG63" s="1029">
        <f t="shared" si="369"/>
        <v>0</v>
      </c>
      <c r="BH63" s="57">
        <f t="shared" si="370"/>
        <v>0</v>
      </c>
      <c r="BI63" s="171" t="str">
        <f t="shared" si="371"/>
        <v/>
      </c>
      <c r="BJ63" s="57">
        <f t="shared" si="207"/>
        <v>0</v>
      </c>
      <c r="BK63" s="57">
        <f>IF(OR(AND(AY$6=1,$L63=0),AND(AY$6=2,$K63=2,$G63=1)),0,IF(AND(BA$9=2,(OR($F63&gt;1,$K63=1,AND($L63=80,OR($N63=1,AND($N63=2,'#BerechnungDBE'!$AL54&gt;0)))))),IF(AY$4&gt;=$AD$126,0,BI63),IF(BA$9=3,IF(OR(AY$4&gt;=$AD$127,AND($G63=1,$J63=2,AY$6=2),AND(AY$6=1,$N63&lt;&gt;1)),0,IF(BC63&lt;=120,BI63,IF(AY$4&lt;$AD$124,IF($F63=1,60/BA$4*BA$6,60/BA$4*BA$7),IF($F63=1,120/BA$4*BA$6,120/BA$4*BA$7)))),IF(OR($F63=3,$G63=2),IF(OR(AND(AY$4&gt;=$AD$119,$C63=2),AND(AY$4&gt;=$AF$119,$C63=1)),0,IF(BC63&lt;=60,BI63,60/BA$4*BA$7)),IF(AND($F63=2,$G63=1),BI63,0)))))</f>
        <v>0</v>
      </c>
      <c r="BL63" s="57" t="str">
        <f t="shared" si="22"/>
        <v/>
      </c>
      <c r="BM63" s="57" t="str">
        <f t="shared" si="372"/>
        <v/>
      </c>
      <c r="BN63" s="713">
        <f>'org. Düngung 22'!T62</f>
        <v>0</v>
      </c>
      <c r="BO63" s="57"/>
      <c r="BP63" s="57"/>
      <c r="BQ63" s="57">
        <f t="shared" si="24"/>
        <v>0</v>
      </c>
      <c r="BR63" s="57">
        <f t="shared" si="208"/>
        <v>0</v>
      </c>
      <c r="BS63" s="57">
        <f t="shared" si="209"/>
        <v>0</v>
      </c>
      <c r="BT63" s="57">
        <f t="shared" si="210"/>
        <v>0</v>
      </c>
      <c r="BU63" s="57">
        <f t="shared" si="211"/>
        <v>0</v>
      </c>
      <c r="BV63" s="1029">
        <f t="shared" si="373"/>
        <v>0</v>
      </c>
      <c r="BW63" s="57">
        <f t="shared" si="374"/>
        <v>0</v>
      </c>
      <c r="BX63" s="171" t="str">
        <f t="shared" si="375"/>
        <v/>
      </c>
      <c r="BY63" s="57">
        <f t="shared" si="212"/>
        <v>0</v>
      </c>
      <c r="BZ63" s="57">
        <f>IF(OR(AND(BN$6=1,$L63=0),AND(BN$6=2,$K63=2,$G63=1)),0,IF(AND(BP$9=2,(OR($F63&gt;1,$K63=1,AND($L63=80,OR($N63=1,AND($N63=2,'#BerechnungDBE'!$AL54&gt;0)))))),IF(BN$4&gt;=$AD$126,0,BX63),IF(BP$9=3,IF(OR(BN$4&gt;=$AD$127,AND($G63=1,$J63=2,BN$6=2),AND(BN$6=1,$N63&lt;&gt;1)),0,IF(BR63&lt;=120,BX63,IF(BN$4&lt;$AD$124,IF($F63=1,60/BP$4*BP$6,60/BP$4*BP$7),IF($F63=1,120/BP$4*BP$6,120/BP$4*BP$7)))),IF(OR($F63=3,$G63=2),IF(OR(AND(BN$4&gt;=$AD$119,$C63=2),AND(BN$4&gt;=$AF$119,$C63=1)),0,IF(BR63&lt;=60,BX63,60/BP$4*BP$7)),IF(AND($F63=2,$G63=1),BX63,0)))))</f>
        <v>0</v>
      </c>
      <c r="CA63" s="57" t="str">
        <f t="shared" si="28"/>
        <v/>
      </c>
      <c r="CB63" s="57" t="str">
        <f t="shared" si="376"/>
        <v/>
      </c>
      <c r="CC63" s="713">
        <f>'org. Düngung 22'!X62</f>
        <v>0</v>
      </c>
      <c r="CD63" s="57"/>
      <c r="CE63" s="57"/>
      <c r="CF63" s="57">
        <f t="shared" si="30"/>
        <v>0</v>
      </c>
      <c r="CG63" s="57">
        <f t="shared" si="213"/>
        <v>0</v>
      </c>
      <c r="CH63" s="57">
        <f t="shared" si="214"/>
        <v>0</v>
      </c>
      <c r="CI63" s="57">
        <f t="shared" si="215"/>
        <v>0</v>
      </c>
      <c r="CJ63" s="57">
        <f t="shared" si="216"/>
        <v>0</v>
      </c>
      <c r="CK63" s="1029">
        <f t="shared" si="377"/>
        <v>0</v>
      </c>
      <c r="CL63" s="57">
        <f t="shared" si="378"/>
        <v>0</v>
      </c>
      <c r="CM63" s="171" t="str">
        <f t="shared" si="379"/>
        <v/>
      </c>
      <c r="CN63" s="57">
        <f t="shared" si="217"/>
        <v>0</v>
      </c>
      <c r="CO63" s="57">
        <f>IF(OR(AND(CC$6=1,$L63=0),AND(CC$6=2,$K63=2,$G63=1)),0,IF(AND(CE$9=2,(OR($F63&gt;1,$K63=1,AND($L63=80,OR($N63=1,AND($N63=2,'#BerechnungDBE'!$AL54&gt;0)))))),IF(CC$4&gt;=$AD$126,0,CM63),IF(CE$9=3,IF(OR(CC$4&gt;=$AD$127,AND($G63=1,$J63=2,CC$6=2),AND(CC$6=1,$N63&lt;&gt;1)),0,IF(CG63&lt;=120,CM63,IF(CC$4&lt;$AD$124,IF($F63=1,60/CE$4*CE$6,60/CE$4*CE$7),IF($F63=1,120/CE$4*CE$6,120/CE$4*CE$7)))),IF(OR($F63=3,$G63=2),IF(OR(AND(CC$4&gt;=$AD$119,$C63=2),AND(CC$4&gt;=$AF$119,$C63=1)),0,IF(CG63&lt;=60,CM63,60/CE$4*CE$7)),IF(AND($F63=2,$G63=1),CM63,0)))))</f>
        <v>0</v>
      </c>
      <c r="CP63" s="57" t="str">
        <f t="shared" si="34"/>
        <v/>
      </c>
      <c r="CQ63" s="57" t="str">
        <f t="shared" si="380"/>
        <v/>
      </c>
      <c r="CR63" s="713">
        <f>'org. Düngung 22'!AB62</f>
        <v>0</v>
      </c>
      <c r="CS63" s="57"/>
      <c r="CT63" s="57"/>
      <c r="CU63" s="57">
        <f t="shared" si="36"/>
        <v>0</v>
      </c>
      <c r="CV63" s="57">
        <f t="shared" si="218"/>
        <v>0</v>
      </c>
      <c r="CW63" s="57">
        <f t="shared" si="219"/>
        <v>0</v>
      </c>
      <c r="CX63" s="57">
        <f t="shared" si="220"/>
        <v>0</v>
      </c>
      <c r="CY63" s="57">
        <f t="shared" si="221"/>
        <v>0</v>
      </c>
      <c r="CZ63" s="1029">
        <f t="shared" si="381"/>
        <v>0</v>
      </c>
      <c r="DA63" s="57">
        <f t="shared" si="382"/>
        <v>0</v>
      </c>
      <c r="DB63" s="171" t="str">
        <f t="shared" si="383"/>
        <v/>
      </c>
      <c r="DC63" s="57">
        <f t="shared" si="222"/>
        <v>0</v>
      </c>
      <c r="DD63" s="57">
        <f>IF(OR(AND(CR$6=1,$L63=0),AND(CR$6=2,$K63=2,$G63=1)),0,IF(AND(CT$9=2,(OR($F63&gt;1,$K63=1,AND($L63=80,OR($N63=1,AND($N63=2,'#BerechnungDBE'!$AL54&gt;0)))))),IF(CR$4&gt;=$AD$126,0,DB63),IF(CT$9=3,IF(OR(CR$4&gt;=$AD$127,AND($G63=1,$J63=2,CR$6=2),AND(CR$6=1,$N63&lt;&gt;1)),0,IF(CV63&lt;=120,DB63,IF(CR$4&lt;$AD$124,IF($F63=1,60/CT$4*CT$6,60/CT$4*CT$7),IF($F63=1,120/CT$4*CT$6,120/CT$4*CT$7)))),IF(OR($F63=3,$G63=2),IF(OR(AND(CR$4&gt;=$AD$119,$C63=2),AND(CR$4&gt;=$AF$119,$C63=1)),0,IF(CV63&lt;=60,DB63,60/CT$4*CT$7)),IF(AND($F63=2,$G63=1),DB63,0)))))</f>
        <v>0</v>
      </c>
      <c r="DE63" s="57" t="str">
        <f t="shared" si="40"/>
        <v/>
      </c>
      <c r="DF63" s="57" t="str">
        <f t="shared" si="384"/>
        <v/>
      </c>
      <c r="DG63" s="713">
        <f>'org. Düngung 22'!AF62</f>
        <v>0</v>
      </c>
      <c r="DH63" s="57"/>
      <c r="DI63" s="57"/>
      <c r="DJ63" s="57">
        <f t="shared" si="42"/>
        <v>0</v>
      </c>
      <c r="DK63" s="57">
        <f t="shared" si="223"/>
        <v>0</v>
      </c>
      <c r="DL63" s="57">
        <f t="shared" si="224"/>
        <v>0</v>
      </c>
      <c r="DM63" s="57">
        <f t="shared" si="225"/>
        <v>0</v>
      </c>
      <c r="DN63" s="57">
        <f t="shared" si="226"/>
        <v>0</v>
      </c>
      <c r="DO63" s="1029">
        <f t="shared" si="385"/>
        <v>0</v>
      </c>
      <c r="DP63" s="57">
        <f t="shared" si="386"/>
        <v>0</v>
      </c>
      <c r="DQ63" s="171" t="str">
        <f t="shared" si="387"/>
        <v/>
      </c>
      <c r="DR63" s="57">
        <f t="shared" si="227"/>
        <v>0</v>
      </c>
      <c r="DS63" s="57">
        <f>IF(OR(AND(DG$6=1,$L63=0),AND(DG$6=2,$K63=2,$G63=1)),0,IF(AND(DI$9=2,(OR($F63&gt;1,$K63=1,AND($L63=80,OR($N63=1,AND($N63=2,'#BerechnungDBE'!$AL54&gt;0)))))),IF(DG$4&gt;=$AD$126,0,DQ63),IF(DI$9=3,IF(OR(DG$4&gt;=$AD$127,AND($G63=1,$J63=2,DG$6=2),AND(DG$6=1,$N63&lt;&gt;1)),0,IF(DK63&lt;=120,DQ63,IF(DG$4&lt;$AD$124,IF($F63=1,60/DI$4*DI$6,60/DI$4*DI$7),IF($F63=1,120/DI$4*DI$6,120/DI$4*DI$7)))),IF(OR($F63=3,$G63=2),IF(OR(AND(DG$4&gt;=$AD$119,$C63=2),AND(DG$4&gt;=$AF$119,$C63=1)),0,IF(DK63&lt;=60,DQ63,60/DI$4*DI$7)),IF(AND($F63=2,$G63=1),DQ63,0)))))</f>
        <v>0</v>
      </c>
      <c r="DT63" s="57" t="str">
        <f t="shared" si="46"/>
        <v/>
      </c>
      <c r="DU63" s="57" t="str">
        <f t="shared" si="388"/>
        <v/>
      </c>
      <c r="DV63" s="713">
        <f>'org. Düngung 22'!AJ62</f>
        <v>0</v>
      </c>
      <c r="DW63" s="57"/>
      <c r="DX63" s="57"/>
      <c r="DY63" s="57">
        <f t="shared" si="48"/>
        <v>0</v>
      </c>
      <c r="DZ63" s="57">
        <f t="shared" si="228"/>
        <v>0</v>
      </c>
      <c r="EA63" s="57">
        <f t="shared" si="229"/>
        <v>0</v>
      </c>
      <c r="EB63" s="57">
        <f t="shared" si="230"/>
        <v>0</v>
      </c>
      <c r="EC63" s="57">
        <f t="shared" si="231"/>
        <v>0</v>
      </c>
      <c r="ED63" s="1029">
        <f t="shared" si="389"/>
        <v>0</v>
      </c>
      <c r="EE63" s="57">
        <f t="shared" si="390"/>
        <v>0</v>
      </c>
      <c r="EF63" s="171" t="str">
        <f t="shared" si="391"/>
        <v/>
      </c>
      <c r="EG63" s="57">
        <f t="shared" si="232"/>
        <v>0</v>
      </c>
      <c r="EH63" s="57">
        <f>IF(OR(AND(DV$6=1,$L63=0),AND(DV$6=2,$K63=2,$G63=1)),0,IF(AND(DX$9=2,(OR($F63&gt;1,$K63=1,AND($L63=80,OR($N63=1,AND($N63=2,'#BerechnungDBE'!$AL54&gt;0)))))),IF(DV$4&gt;=$AD$126,0,EF63),IF(DX$9=3,IF(OR(DV$4&gt;=$AD$127,AND($G63=1,$J63=2,DV$6=2),AND(DV$6=1,$N63&lt;&gt;1)),0,IF(DZ63&lt;=120,EF63,IF(DV$4&lt;$AD$124,IF($F63=1,60/DX$4*DX$6,60/DX$4*DX$7),IF($F63=1,120/DX$4*DX$6,120/DX$4*DX$7)))),IF(OR($F63=3,$G63=2),IF(OR(AND(DV$4&gt;=$AD$119,$C63=2),AND(DV$4&gt;=$AF$119,$C63=1)),0,IF(DZ63&lt;=60,EF63,60/DX$4*DX$7)),IF(AND($F63=2,$G63=1),EF63,0)))))</f>
        <v>0</v>
      </c>
      <c r="EI63" s="57" t="str">
        <f t="shared" si="52"/>
        <v/>
      </c>
      <c r="EJ63" s="57" t="str">
        <f t="shared" si="392"/>
        <v/>
      </c>
      <c r="EK63" s="713">
        <f>'org. Düngung 22'!AN62</f>
        <v>0</v>
      </c>
      <c r="EL63" s="57"/>
      <c r="EM63" s="57"/>
      <c r="EN63" s="57">
        <f t="shared" si="54"/>
        <v>0</v>
      </c>
      <c r="EO63" s="57">
        <f t="shared" si="233"/>
        <v>0</v>
      </c>
      <c r="EP63" s="57">
        <f t="shared" si="234"/>
        <v>0</v>
      </c>
      <c r="EQ63" s="57">
        <f t="shared" si="235"/>
        <v>0</v>
      </c>
      <c r="ER63" s="57">
        <f t="shared" si="236"/>
        <v>0</v>
      </c>
      <c r="ES63" s="1029">
        <f t="shared" si="393"/>
        <v>0</v>
      </c>
      <c r="ET63" s="57">
        <f t="shared" si="394"/>
        <v>0</v>
      </c>
      <c r="EU63" s="171" t="str">
        <f t="shared" si="395"/>
        <v/>
      </c>
      <c r="EV63" s="57">
        <f t="shared" si="237"/>
        <v>0</v>
      </c>
      <c r="EW63" s="57">
        <f>IF(OR(AND(EK$6=1,$L63=0),AND(EK$6=2,$K63=2,$G63=1)),0,IF(AND(EM$9=2,(OR($F63&gt;1,$K63=1,AND($L63=80,OR($N63=1,AND($N63=2,'#BerechnungDBE'!$AL54&gt;0)))))),IF(EK$4&gt;=$AD$126,0,EU63),IF(EM$9=3,IF(OR(EK$4&gt;=$AD$127,AND($G63=1,$J63=2,EK$6=2),AND(EK$6=1,$N63&lt;&gt;1)),0,IF(EO63&lt;=120,EU63,IF(EK$4&lt;$AD$124,IF($F63=1,60/EM$4*EM$6,60/EM$4*EM$7),IF($F63=1,120/EM$4*EM$6,120/EM$4*EM$7)))),IF(OR($F63=3,$G63=2),IF(OR(AND(EK$4&gt;=$AD$119,$C63=2),AND(EK$4&gt;=$AF$119,$C63=1)),0,IF(EO63&lt;=60,EU63,60/EM$4*EM$7)),IF(AND($F63=2,$G63=1),EU63,0)))))</f>
        <v>0</v>
      </c>
      <c r="EX63" s="57" t="str">
        <f t="shared" si="58"/>
        <v/>
      </c>
      <c r="EY63" s="57" t="str">
        <f t="shared" si="396"/>
        <v/>
      </c>
      <c r="EZ63" s="713">
        <f>'org. Düngung 22'!AR62</f>
        <v>0</v>
      </c>
      <c r="FA63" s="57"/>
      <c r="FB63" s="57"/>
      <c r="FC63" s="57">
        <f t="shared" si="60"/>
        <v>0</v>
      </c>
      <c r="FD63" s="57">
        <f t="shared" si="238"/>
        <v>0</v>
      </c>
      <c r="FE63" s="57">
        <f t="shared" si="239"/>
        <v>0</v>
      </c>
      <c r="FF63" s="57">
        <f t="shared" si="240"/>
        <v>0</v>
      </c>
      <c r="FG63" s="57">
        <f t="shared" si="241"/>
        <v>0</v>
      </c>
      <c r="FH63" s="1029">
        <f t="shared" si="397"/>
        <v>0</v>
      </c>
      <c r="FI63" s="57">
        <f t="shared" si="398"/>
        <v>0</v>
      </c>
      <c r="FJ63" s="171" t="str">
        <f t="shared" si="399"/>
        <v/>
      </c>
      <c r="FK63" s="57">
        <f t="shared" si="242"/>
        <v>0</v>
      </c>
      <c r="FL63" s="57">
        <f>IF(OR(AND(EZ$6=1,$L63=0),AND(EZ$6=2,$K63=2,$G63=1)),0,IF(AND(FB$9=2,(OR($F63&gt;1,$K63=1,AND($L63=80,OR($N63=1,AND($N63=2,'#BerechnungDBE'!$AL54&gt;0)))))),IF(EZ$4&gt;=$AD$126,0,FJ63),IF(FB$9=3,IF(OR(EZ$4&gt;=$AD$127,AND($G63=1,$J63=2,EZ$6=2),AND(EZ$6=1,$N63&lt;&gt;1)),0,IF(FD63&lt;=120,FJ63,IF(EZ$4&lt;$AD$124,IF($F63=1,60/FB$4*FB$6,60/FB$4*FB$7),IF($F63=1,120/FB$4*FB$6,120/FB$4*FB$7)))),IF(OR($F63=3,$G63=2),IF(OR(AND(EZ$4&gt;=$AD$119,$C63=2),AND(EZ$4&gt;=$AF$119,$C63=1)),0,IF(FD63&lt;=60,FJ63,60/FB$4*FB$7)),IF(AND($F63=2,$G63=1),FJ63,0)))))</f>
        <v>0</v>
      </c>
      <c r="FM63" s="57" t="str">
        <f t="shared" si="64"/>
        <v/>
      </c>
      <c r="FN63" s="57" t="str">
        <f t="shared" si="400"/>
        <v/>
      </c>
      <c r="FO63" s="713">
        <f>'org. Düngung 22'!AV62</f>
        <v>0</v>
      </c>
      <c r="FP63" s="57"/>
      <c r="FQ63" s="57"/>
      <c r="FR63" s="57">
        <f t="shared" si="66"/>
        <v>0</v>
      </c>
      <c r="FS63" s="57">
        <f t="shared" si="243"/>
        <v>0</v>
      </c>
      <c r="FT63" s="57">
        <f t="shared" si="244"/>
        <v>0</v>
      </c>
      <c r="FU63" s="57">
        <f t="shared" si="245"/>
        <v>0</v>
      </c>
      <c r="FV63" s="57">
        <f t="shared" si="246"/>
        <v>0</v>
      </c>
      <c r="FW63" s="1029">
        <f t="shared" si="401"/>
        <v>0</v>
      </c>
      <c r="FX63" s="57">
        <f t="shared" si="402"/>
        <v>0</v>
      </c>
      <c r="FY63" s="171" t="str">
        <f t="shared" si="403"/>
        <v/>
      </c>
      <c r="FZ63" s="57">
        <f t="shared" si="247"/>
        <v>0</v>
      </c>
      <c r="GA63" s="57">
        <f>IF(OR(AND(FO$6=1,$L63=0),AND(FO$6=2,$K63=2,$G63=1)),0,IF(AND(FQ$9=2,(OR($F63&gt;1,$K63=1,AND($L63=80,OR($N63=1,AND($N63=2,'#BerechnungDBE'!$AL54&gt;0)))))),IF(FO$4&gt;=$AD$126,0,FY63),IF(FQ$9=3,IF(OR(FO$4&gt;=$AD$127,AND($G63=1,$J63=2,FO$6=2),AND(FO$6=1,$N63&lt;&gt;1)),0,IF(FS63&lt;=120,FY63,IF(FO$4&lt;$AD$124,IF($F63=1,60/FQ$4*FQ$6,60/FQ$4*FQ$7),IF($F63=1,120/FQ$4*FQ$6,120/FQ$4*FQ$7)))),IF(OR($F63=3,$G63=2),IF(OR(AND(FO$4&gt;=$AD$119,$C63=2),AND(FO$4&gt;=$AF$119,$C63=1)),0,IF(FS63&lt;=60,FY63,60/FQ$4*FQ$7)),IF(AND($F63=2,$G63=1),FY63,0)))))</f>
        <v>0</v>
      </c>
      <c r="GB63" s="57" t="str">
        <f t="shared" si="70"/>
        <v/>
      </c>
      <c r="GC63" s="57" t="str">
        <f t="shared" si="404"/>
        <v/>
      </c>
      <c r="GD63" s="713">
        <f>'org. Düngung 22'!AZ62</f>
        <v>0</v>
      </c>
      <c r="GE63" s="57"/>
      <c r="GF63" s="57"/>
      <c r="GG63" s="57">
        <f t="shared" si="72"/>
        <v>0</v>
      </c>
      <c r="GH63" s="57">
        <f t="shared" si="248"/>
        <v>0</v>
      </c>
      <c r="GI63" s="57">
        <f t="shared" si="249"/>
        <v>0</v>
      </c>
      <c r="GJ63" s="57">
        <f t="shared" si="250"/>
        <v>0</v>
      </c>
      <c r="GK63" s="57">
        <f t="shared" si="251"/>
        <v>0</v>
      </c>
      <c r="GL63" s="1029">
        <f t="shared" si="405"/>
        <v>0</v>
      </c>
      <c r="GM63" s="57">
        <f t="shared" si="406"/>
        <v>0</v>
      </c>
      <c r="GN63" s="171" t="str">
        <f t="shared" si="407"/>
        <v/>
      </c>
      <c r="GO63" s="57">
        <f t="shared" si="252"/>
        <v>0</v>
      </c>
      <c r="GP63" s="57">
        <f>IF(OR(AND(GD$6=1,$L63=0),AND(GD$6=2,$K63=2,$G63=1)),0,IF(AND(GF$9=2,(OR($F63&gt;1,$K63=1,AND($L63=80,OR($N63=1,AND($N63=2,'#BerechnungDBE'!$AL54&gt;0)))))),IF(GD$4&gt;=$AD$126,0,GN63),IF(GF$9=3,IF(OR(GD$4&gt;=$AD$127,AND($G63=1,$J63=2,GD$6=2),AND(GD$6=1,$N63&lt;&gt;1)),0,IF(GH63&lt;=120,GN63,IF(GD$4&lt;$AD$124,IF($F63=1,60/GF$4*GF$6,60/GF$4*GF$7),IF($F63=1,120/GF$4*GF$6,120/GF$4*GF$7)))),IF(OR($F63=3,$G63=2),IF(OR(AND(GD$4&gt;=$AD$119,$C63=2),AND(GD$4&gt;=$AF$119,$C63=1)),0,IF(GH63&lt;=60,GN63,60/GF$4*GF$7)),IF(AND($F63=2,$G63=1),GN63,0)))))</f>
        <v>0</v>
      </c>
      <c r="GQ63" s="57" t="str">
        <f t="shared" si="76"/>
        <v/>
      </c>
      <c r="GR63" s="57" t="str">
        <f t="shared" si="408"/>
        <v/>
      </c>
      <c r="GS63" s="713">
        <f>'org. Düngung 22'!BD62</f>
        <v>0</v>
      </c>
      <c r="GT63" s="57"/>
      <c r="GU63" s="57"/>
      <c r="GV63" s="57">
        <f t="shared" si="78"/>
        <v>0</v>
      </c>
      <c r="GW63" s="57">
        <f t="shared" si="253"/>
        <v>0</v>
      </c>
      <c r="GX63" s="57">
        <f t="shared" si="254"/>
        <v>0</v>
      </c>
      <c r="GY63" s="57">
        <f t="shared" si="255"/>
        <v>0</v>
      </c>
      <c r="GZ63" s="57">
        <f t="shared" si="256"/>
        <v>0</v>
      </c>
      <c r="HA63" s="1029">
        <f t="shared" si="409"/>
        <v>0</v>
      </c>
      <c r="HB63" s="57">
        <f t="shared" si="410"/>
        <v>0</v>
      </c>
      <c r="HC63" s="171" t="str">
        <f t="shared" si="411"/>
        <v/>
      </c>
      <c r="HD63" s="57">
        <f t="shared" si="257"/>
        <v>0</v>
      </c>
      <c r="HE63" s="57">
        <f>IF(OR(AND(GS$6=1,$L63=0),AND(GS$6=2,$K63=2,$G63=1)),0,IF(AND(GU$9=2,(OR($F63&gt;1,$K63=1,AND($L63=80,OR($N63=1,AND($N63=2,'#BerechnungDBE'!$AL54&gt;0)))))),IF(GS$4&gt;=$AD$126,0,HC63),IF(GU$9=3,IF(OR(GS$4&gt;=$AD$127,AND($G63=1,$J63=2,GS$6=2),AND(GS$6=1,$N63&lt;&gt;1)),0,IF(GW63&lt;=120,HC63,IF(GS$4&lt;$AD$124,IF($F63=1,60/GU$4*GU$6,60/GU$4*GU$7),IF($F63=1,120/GU$4*GU$6,120/GU$4*GU$7)))),IF(OR($F63=3,$G63=2),IF(OR(AND(GS$4&gt;=$AD$119,$C63=2),AND(GS$4&gt;=$AF$119,$C63=1)),0,IF(GW63&lt;=60,HC63,60/GU$4*GU$7)),IF(AND($F63=2,$G63=1),HC63,0)))))</f>
        <v>0</v>
      </c>
      <c r="HF63" s="57" t="str">
        <f t="shared" si="82"/>
        <v/>
      </c>
      <c r="HG63" s="57" t="str">
        <f t="shared" si="412"/>
        <v/>
      </c>
      <c r="HH63" s="713">
        <f>'org. Düngung 22'!BH62</f>
        <v>0</v>
      </c>
      <c r="HI63" s="57"/>
      <c r="HJ63" s="57"/>
      <c r="HK63" s="57">
        <f t="shared" si="84"/>
        <v>0</v>
      </c>
      <c r="HL63" s="57">
        <f t="shared" si="258"/>
        <v>0</v>
      </c>
      <c r="HM63" s="57">
        <f t="shared" si="259"/>
        <v>0</v>
      </c>
      <c r="HN63" s="57">
        <f t="shared" si="260"/>
        <v>0</v>
      </c>
      <c r="HO63" s="57">
        <f t="shared" si="261"/>
        <v>0</v>
      </c>
      <c r="HP63" s="1029">
        <f t="shared" si="413"/>
        <v>0</v>
      </c>
      <c r="HQ63" s="57">
        <f t="shared" si="414"/>
        <v>0</v>
      </c>
      <c r="HR63" s="171" t="str">
        <f t="shared" si="415"/>
        <v/>
      </c>
      <c r="HS63" s="57">
        <f t="shared" si="262"/>
        <v>0</v>
      </c>
      <c r="HT63" s="57">
        <f>IF(OR(AND(HH$6=1,$L63=0),AND(HH$6=2,$K63=2,$G63=1)),0,IF(AND(HJ$9=2,(OR($F63&gt;1,$K63=1,AND($L63=80,OR($N63=1,AND($N63=2,'#BerechnungDBE'!$AL54&gt;0)))))),IF(HH$4&gt;=$AD$126,0,HR63),IF(HJ$9=3,IF(OR(HH$4&gt;=$AD$127,AND($G63=1,$J63=2,HH$6=2),AND(HH$6=1,$N63&lt;&gt;1)),0,IF(HL63&lt;=120,HR63,IF(HH$4&lt;$AD$124,IF($F63=1,60/HJ$4*HJ$6,60/HJ$4*HJ$7),IF($F63=1,120/HJ$4*HJ$6,120/HJ$4*HJ$7)))),IF(OR($F63=3,$G63=2),IF(OR(AND(HH$4&gt;=$AD$119,$C63=2),AND(HH$4&gt;=$AF$119,$C63=1)),0,IF(HL63&lt;=60,HR63,60/HJ$4*HJ$7)),IF(AND($F63=2,$G63=1),HR63,0)))))</f>
        <v>0</v>
      </c>
      <c r="HU63" s="57" t="str">
        <f t="shared" si="88"/>
        <v/>
      </c>
      <c r="HV63" s="57" t="str">
        <f t="shared" si="416"/>
        <v/>
      </c>
      <c r="HW63" s="713">
        <f>'org. Düngung 22'!BL62</f>
        <v>0</v>
      </c>
      <c r="HX63" s="57"/>
      <c r="HY63" s="57"/>
      <c r="HZ63" s="57">
        <f t="shared" si="90"/>
        <v>0</v>
      </c>
      <c r="IA63" s="57">
        <f t="shared" si="263"/>
        <v>0</v>
      </c>
      <c r="IB63" s="57">
        <f t="shared" si="264"/>
        <v>0</v>
      </c>
      <c r="IC63" s="57">
        <f t="shared" si="265"/>
        <v>0</v>
      </c>
      <c r="ID63" s="57">
        <f t="shared" si="266"/>
        <v>0</v>
      </c>
      <c r="IE63" s="1029">
        <f t="shared" si="417"/>
        <v>0</v>
      </c>
      <c r="IF63" s="57">
        <f t="shared" si="418"/>
        <v>0</v>
      </c>
      <c r="IG63" s="171" t="str">
        <f t="shared" si="419"/>
        <v/>
      </c>
      <c r="IH63" s="57">
        <f t="shared" si="267"/>
        <v>0</v>
      </c>
      <c r="II63" s="57">
        <f>IF(OR(AND(HW$6=1,$L63=0),AND(HW$6=2,$K63=2,$G63=1)),0,IF(AND(HY$9=2,(OR($F63&gt;1,$K63=1,AND($L63=80,OR($N63=1,AND($N63=2,'#BerechnungDBE'!$AL54&gt;0)))))),IF(HW$4&gt;=$AD$126,0,IG63),IF(HY$9=3,IF(OR(HW$4&gt;=$AD$127,AND($G63=1,$J63=2,HW$6=2),AND(HW$6=1,$N63&lt;&gt;1)),0,IF(IA63&lt;=120,IG63,IF(HW$4&lt;$AD$124,IF($F63=1,60/HY$4*HY$6,60/HY$4*HY$7),IF($F63=1,120/HY$4*HY$6,120/HY$4*HY$7)))),IF(OR($F63=3,$G63=2),IF(OR(AND(HW$4&gt;=$AD$119,$C63=2),AND(HW$4&gt;=$AF$119,$C63=1)),0,IF(IA63&lt;=60,IG63,60/HY$4*HY$7)),IF(AND($F63=2,$G63=1),IG63,0)))))</f>
        <v>0</v>
      </c>
      <c r="IJ63" s="57" t="str">
        <f t="shared" si="94"/>
        <v/>
      </c>
      <c r="IK63" s="57" t="str">
        <f t="shared" si="420"/>
        <v/>
      </c>
      <c r="IL63" s="713">
        <f>'org. Düngung 22'!BP62</f>
        <v>0</v>
      </c>
      <c r="IM63" s="57"/>
      <c r="IN63" s="57"/>
      <c r="IO63" s="57">
        <f t="shared" si="96"/>
        <v>0</v>
      </c>
      <c r="IP63" s="57">
        <f t="shared" si="268"/>
        <v>0</v>
      </c>
      <c r="IQ63" s="57">
        <f t="shared" si="269"/>
        <v>0</v>
      </c>
      <c r="IR63" s="57">
        <f t="shared" si="270"/>
        <v>0</v>
      </c>
      <c r="IS63" s="57">
        <f t="shared" si="271"/>
        <v>0</v>
      </c>
      <c r="IT63" s="1029">
        <f t="shared" si="421"/>
        <v>0</v>
      </c>
      <c r="IU63" s="57">
        <f t="shared" si="422"/>
        <v>0</v>
      </c>
      <c r="IV63" s="171" t="str">
        <f t="shared" si="423"/>
        <v/>
      </c>
      <c r="IW63" s="57">
        <f t="shared" si="272"/>
        <v>0</v>
      </c>
      <c r="IX63" s="57">
        <f>IF(OR(AND(IL$6=1,$L63=0),AND(IL$6=2,$K63=2,$G63=1)),0,IF(AND(IN$9=2,(OR($F63&gt;1,$K63=1,AND($L63=80,OR($N63=1,AND($N63=2,'#BerechnungDBE'!$AL54&gt;0)))))),IF(IL$4&gt;=$AD$126,0,IV63),IF(IN$9=3,IF(OR(IL$4&gt;=$AD$127,AND($G63=1,$J63=2,IL$6=2),AND(IL$6=1,$N63&lt;&gt;1)),0,IF(IP63&lt;=120,IV63,IF(IL$4&lt;$AD$124,IF($F63=1,60/IN$4*IN$6,60/IN$4*IN$7),IF($F63=1,120/IN$4*IN$6,120/IN$4*IN$7)))),IF(OR($F63=3,$G63=2),IF(OR(AND(IL$4&gt;=$AD$119,$C63=2),AND(IL$4&gt;=$AF$119,$C63=1)),0,IF(IP63&lt;=60,IV63,60/IN$4*IN$7)),IF(AND($F63=2,$G63=1),IV63,0)))))</f>
        <v>0</v>
      </c>
      <c r="IY63" s="57" t="str">
        <f t="shared" si="100"/>
        <v/>
      </c>
      <c r="IZ63" s="57" t="str">
        <f t="shared" si="424"/>
        <v/>
      </c>
      <c r="JA63" s="713">
        <f>'org. Düngung 22'!BT62</f>
        <v>0</v>
      </c>
      <c r="JB63" s="57"/>
      <c r="JC63" s="57"/>
      <c r="JD63" s="57">
        <f t="shared" si="102"/>
        <v>0</v>
      </c>
      <c r="JE63" s="57">
        <f t="shared" si="273"/>
        <v>0</v>
      </c>
      <c r="JF63" s="57">
        <f t="shared" si="274"/>
        <v>0</v>
      </c>
      <c r="JG63" s="57">
        <f t="shared" si="275"/>
        <v>0</v>
      </c>
      <c r="JH63" s="57">
        <f t="shared" si="276"/>
        <v>0</v>
      </c>
      <c r="JI63" s="1029">
        <f t="shared" si="425"/>
        <v>0</v>
      </c>
      <c r="JJ63" s="57">
        <f t="shared" si="426"/>
        <v>0</v>
      </c>
      <c r="JK63" s="171" t="str">
        <f t="shared" si="427"/>
        <v/>
      </c>
      <c r="JL63" s="57">
        <f t="shared" si="277"/>
        <v>0</v>
      </c>
      <c r="JM63" s="57">
        <f>IF(OR(AND(JA$6=1,$L63=0),AND(JA$6=2,$K63=2,$G63=1)),0,IF(AND(JC$9=2,(OR($F63&gt;1,$K63=1,AND($L63=80,OR($N63=1,AND($N63=2,'#BerechnungDBE'!$AL54&gt;0)))))),IF(JA$4&gt;=$AD$126,0,JK63),IF(JC$9=3,IF(OR(JA$4&gt;=$AD$127,AND($G63=1,$J63=2,JA$6=2),AND(JA$6=1,$N63&lt;&gt;1)),0,IF(JE63&lt;=120,JK63,IF(JA$4&lt;$AD$124,IF($F63=1,60/JC$4*JC$6,60/JC$4*JC$7),IF($F63=1,120/JC$4*JC$6,120/JC$4*JC$7)))),IF(OR($F63=3,$G63=2),IF(OR(AND(JA$4&gt;=$AD$119,$C63=2),AND(JA$4&gt;=$AF$119,$C63=1)),0,IF(JE63&lt;=60,JK63,60/JC$4*JC$7)),IF(AND($F63=2,$G63=1),JK63,0)))))</f>
        <v>0</v>
      </c>
      <c r="JN63" s="57" t="str">
        <f t="shared" si="106"/>
        <v/>
      </c>
      <c r="JO63" s="57" t="str">
        <f t="shared" si="428"/>
        <v/>
      </c>
      <c r="JP63" s="713">
        <f>'org. Düngung 22'!BX62</f>
        <v>0</v>
      </c>
      <c r="JQ63" s="57"/>
      <c r="JR63" s="57"/>
      <c r="JS63" s="57">
        <f t="shared" si="108"/>
        <v>0</v>
      </c>
      <c r="JT63" s="57">
        <f t="shared" si="278"/>
        <v>0</v>
      </c>
      <c r="JU63" s="57">
        <f t="shared" si="279"/>
        <v>0</v>
      </c>
      <c r="JV63" s="57">
        <f t="shared" si="280"/>
        <v>0</v>
      </c>
      <c r="JW63" s="57">
        <f t="shared" si="281"/>
        <v>0</v>
      </c>
      <c r="JX63" s="1029">
        <f t="shared" si="429"/>
        <v>0</v>
      </c>
      <c r="JY63" s="57">
        <f t="shared" si="430"/>
        <v>0</v>
      </c>
      <c r="JZ63" s="171" t="str">
        <f t="shared" si="431"/>
        <v/>
      </c>
      <c r="KA63" s="57">
        <f t="shared" si="282"/>
        <v>0</v>
      </c>
      <c r="KB63" s="57">
        <f>IF(OR(AND(JP$6=1,$L63=0),AND(JP$6=2,$K63=2,$G63=1)),0,IF(AND(JR$9=2,(OR($F63&gt;1,$K63=1,AND($L63=80,OR($N63=1,AND($N63=2,'#BerechnungDBE'!$AL54&gt;0)))))),IF(JP$4&gt;=$AD$126,0,JZ63),IF(JR$9=3,IF(OR(JP$4&gt;=$AD$127,AND($G63=1,$J63=2,JP$6=2),AND(JP$6=1,$N63&lt;&gt;1)),0,IF(JT63&lt;=120,JZ63,IF(JP$4&lt;$AD$124,IF($F63=1,60/JR$4*JR$6,60/JR$4*JR$7),IF($F63=1,120/JR$4*JR$6,120/JR$4*JR$7)))),IF(OR($F63=3,$G63=2),IF(OR(AND(JP$4&gt;=$AD$119,$C63=2),AND(JP$4&gt;=$AF$119,$C63=1)),0,IF(JT63&lt;=60,JZ63,60/JR$4*JR$7)),IF(AND($F63=2,$G63=1),JZ63,0)))))</f>
        <v>0</v>
      </c>
      <c r="KC63" s="57" t="str">
        <f t="shared" si="112"/>
        <v/>
      </c>
      <c r="KD63" s="57" t="str">
        <f t="shared" si="432"/>
        <v/>
      </c>
      <c r="KE63" s="713">
        <f>'org. Düngung 22'!CB62</f>
        <v>0</v>
      </c>
      <c r="KF63" s="57"/>
      <c r="KG63" s="57"/>
      <c r="KH63" s="57">
        <f t="shared" si="114"/>
        <v>0</v>
      </c>
      <c r="KI63" s="57">
        <f t="shared" si="283"/>
        <v>0</v>
      </c>
      <c r="KJ63" s="57">
        <f t="shared" si="284"/>
        <v>0</v>
      </c>
      <c r="KK63" s="57">
        <f t="shared" si="285"/>
        <v>0</v>
      </c>
      <c r="KL63" s="57">
        <f t="shared" si="286"/>
        <v>0</v>
      </c>
      <c r="KM63" s="1029">
        <f t="shared" si="433"/>
        <v>0</v>
      </c>
      <c r="KN63" s="57">
        <f t="shared" si="434"/>
        <v>0</v>
      </c>
      <c r="KO63" s="171" t="str">
        <f t="shared" si="435"/>
        <v/>
      </c>
      <c r="KP63" s="57">
        <f t="shared" si="287"/>
        <v>0</v>
      </c>
      <c r="KQ63" s="57">
        <f>IF(OR(AND(KE$6=1,$L63=0),AND(KE$6=2,$K63=2,$G63=1)),0,IF(AND(KG$9=2,(OR($F63&gt;1,$K63=1,AND($L63=80,OR($N63=1,AND($N63=2,'#BerechnungDBE'!$AL54&gt;0)))))),IF(KE$4&gt;=$AD$126,0,KO63),IF(KG$9=3,IF(OR(KE$4&gt;=$AD$127,AND($G63=1,$J63=2,KE$6=2),AND(KE$6=1,$N63&lt;&gt;1)),0,IF(KI63&lt;=120,KO63,IF(KE$4&lt;$AD$124,IF($F63=1,60/KG$4*KG$6,60/KG$4*KG$7),IF($F63=1,120/KG$4*KG$6,120/KG$4*KG$7)))),IF(OR($F63=3,$G63=2),IF(OR(AND(KE$4&gt;=$AD$119,$C63=2),AND(KE$4&gt;=$AF$119,$C63=1)),0,IF(KI63&lt;=60,KO63,60/KG$4*KG$7)),IF(AND($F63=2,$G63=1),KO63,0)))))</f>
        <v>0</v>
      </c>
      <c r="KR63" s="57" t="str">
        <f t="shared" si="118"/>
        <v/>
      </c>
      <c r="KS63" s="57" t="str">
        <f t="shared" si="436"/>
        <v/>
      </c>
      <c r="KT63" s="713">
        <f>'org. Düngung 22'!CF62</f>
        <v>0</v>
      </c>
      <c r="KU63" s="57"/>
      <c r="KV63" s="57"/>
      <c r="KW63" s="57">
        <f t="shared" si="120"/>
        <v>0</v>
      </c>
      <c r="KX63" s="57">
        <f t="shared" si="288"/>
        <v>0</v>
      </c>
      <c r="KY63" s="57">
        <f t="shared" si="289"/>
        <v>0</v>
      </c>
      <c r="KZ63" s="57">
        <f t="shared" si="290"/>
        <v>0</v>
      </c>
      <c r="LA63" s="57">
        <f t="shared" si="291"/>
        <v>0</v>
      </c>
      <c r="LB63" s="1029">
        <f t="shared" si="437"/>
        <v>0</v>
      </c>
      <c r="LC63" s="57">
        <f t="shared" si="438"/>
        <v>0</v>
      </c>
      <c r="LD63" s="171" t="str">
        <f t="shared" si="439"/>
        <v/>
      </c>
      <c r="LE63" s="57">
        <f t="shared" si="292"/>
        <v>0</v>
      </c>
      <c r="LF63" s="57">
        <f>IF(OR(AND(KT$6=1,$L63=0),AND(KT$6=2,$K63=2,$G63=1)),0,IF(AND(KV$9=2,(OR($F63&gt;1,$K63=1,AND($L63=80,OR($N63=1,AND($N63=2,'#BerechnungDBE'!$AL54&gt;0)))))),IF(KT$4&gt;=$AD$126,0,LD63),IF(KV$9=3,IF(OR(KT$4&gt;=$AD$127,AND($G63=1,$J63=2,KT$6=2),AND(KT$6=1,$N63&lt;&gt;1)),0,IF(KX63&lt;=120,LD63,IF(KT$4&lt;$AD$124,IF($F63=1,60/KV$4*KV$6,60/KV$4*KV$7),IF($F63=1,120/KV$4*KV$6,120/KV$4*KV$7)))),IF(OR($F63=3,$G63=2),IF(OR(AND(KT$4&gt;=$AD$119,$C63=2),AND(KT$4&gt;=$AF$119,$C63=1)),0,IF(KX63&lt;=60,LD63,60/KV$4*KV$7)),IF(AND($F63=2,$G63=1),LD63,0)))))</f>
        <v>0</v>
      </c>
      <c r="LG63" s="57" t="str">
        <f t="shared" si="124"/>
        <v/>
      </c>
      <c r="LH63" s="57" t="str">
        <f t="shared" si="440"/>
        <v/>
      </c>
      <c r="LI63" s="713">
        <f>'org. Düngung 22'!CJ62</f>
        <v>0</v>
      </c>
      <c r="LJ63" s="57"/>
      <c r="LK63" s="57"/>
      <c r="LL63" s="57">
        <f t="shared" si="126"/>
        <v>0</v>
      </c>
      <c r="LM63" s="57">
        <f t="shared" si="293"/>
        <v>0</v>
      </c>
      <c r="LN63" s="57">
        <f t="shared" si="294"/>
        <v>0</v>
      </c>
      <c r="LO63" s="57">
        <f t="shared" si="295"/>
        <v>0</v>
      </c>
      <c r="LP63" s="57">
        <f t="shared" si="296"/>
        <v>0</v>
      </c>
      <c r="LQ63" s="1029">
        <f t="shared" si="441"/>
        <v>0</v>
      </c>
      <c r="LR63" s="57">
        <f t="shared" si="442"/>
        <v>0</v>
      </c>
      <c r="LS63" s="171" t="str">
        <f t="shared" si="443"/>
        <v/>
      </c>
      <c r="LT63" s="57">
        <f t="shared" si="297"/>
        <v>0</v>
      </c>
      <c r="LU63" s="57">
        <f>IF(OR(AND(LI$6=1,$L63=0),AND(LI$6=2,$K63=2,$G63=1)),0,IF(AND(LK$9=2,(OR($F63&gt;1,$K63=1,AND($L63=80,OR($N63=1,AND($N63=2,'#BerechnungDBE'!$AL54&gt;0)))))),IF(LI$4&gt;=$AD$126,0,LS63),IF(LK$9=3,IF(OR(LI$4&gt;=$AD$127,AND($G63=1,$J63=2,LI$6=2),AND(LI$6=1,$N63&lt;&gt;1)),0,IF(LM63&lt;=120,LS63,IF(LI$4&lt;$AD$124,IF($F63=1,60/LK$4*LK$6,60/LK$4*LK$7),IF($F63=1,120/LK$4*LK$6,120/LK$4*LK$7)))),IF(OR($F63=3,$G63=2),IF(OR(AND(LI$4&gt;=$AD$119,$C63=2),AND(LI$4&gt;=$AF$119,$C63=1)),0,IF(LM63&lt;=60,LS63,60/LK$4*LK$7)),IF(AND($F63=2,$G63=1),LS63,0)))))</f>
        <v>0</v>
      </c>
      <c r="LV63" s="57" t="str">
        <f t="shared" si="130"/>
        <v/>
      </c>
      <c r="LW63" s="57" t="str">
        <f t="shared" si="444"/>
        <v/>
      </c>
      <c r="LX63" s="713">
        <f>'org. Düngung 22'!CN62</f>
        <v>0</v>
      </c>
      <c r="LY63" s="57"/>
      <c r="LZ63" s="57"/>
      <c r="MA63" s="57">
        <f t="shared" si="132"/>
        <v>0</v>
      </c>
      <c r="MB63" s="57">
        <f t="shared" si="298"/>
        <v>0</v>
      </c>
      <c r="MC63" s="57">
        <f t="shared" si="299"/>
        <v>0</v>
      </c>
      <c r="MD63" s="57">
        <f t="shared" si="300"/>
        <v>0</v>
      </c>
      <c r="ME63" s="57">
        <f t="shared" si="301"/>
        <v>0</v>
      </c>
      <c r="MF63" s="1029">
        <f t="shared" si="445"/>
        <v>0</v>
      </c>
      <c r="MG63" s="57">
        <f t="shared" si="446"/>
        <v>0</v>
      </c>
      <c r="MH63" s="171" t="str">
        <f t="shared" si="447"/>
        <v/>
      </c>
      <c r="MI63" s="57">
        <f t="shared" si="302"/>
        <v>0</v>
      </c>
      <c r="MJ63" s="57">
        <f>IF(OR(AND(LX$6=1,$L63=0),AND(LX$6=2,$K63=2,$G63=1)),0,IF(AND(LZ$9=2,(OR($F63&gt;1,$K63=1,AND($L63=80,OR($N63=1,AND($N63=2,'#BerechnungDBE'!$AL54&gt;0)))))),IF(LX$4&gt;=$AD$126,0,MH63),IF(LZ$9=3,IF(OR(LX$4&gt;=$AD$127,AND($G63=1,$J63=2,LX$6=2),AND(LX$6=1,$N63&lt;&gt;1)),0,IF(MB63&lt;=120,MH63,IF(LX$4&lt;$AD$124,IF($F63=1,60/LZ$4*LZ$6,60/LZ$4*LZ$7),IF($F63=1,120/LZ$4*LZ$6,120/LZ$4*LZ$7)))),IF(OR($F63=3,$G63=2),IF(OR(AND(LX$4&gt;=$AD$119,$C63=2),AND(LX$4&gt;=$AF$119,$C63=1)),0,IF(MB63&lt;=60,MH63,60/LZ$4*LZ$7)),IF(AND($F63=2,$G63=1),MH63,0)))))</f>
        <v>0</v>
      </c>
      <c r="MK63" s="57" t="str">
        <f t="shared" si="136"/>
        <v/>
      </c>
      <c r="ML63" s="57" t="str">
        <f t="shared" si="448"/>
        <v/>
      </c>
      <c r="MM63" s="713">
        <f>'org. Düngung 22'!CR62</f>
        <v>0</v>
      </c>
      <c r="MN63" s="57"/>
      <c r="MO63" s="57"/>
      <c r="MP63" s="57">
        <f t="shared" si="138"/>
        <v>0</v>
      </c>
      <c r="MQ63" s="57">
        <f t="shared" si="303"/>
        <v>0</v>
      </c>
      <c r="MR63" s="57">
        <f t="shared" si="304"/>
        <v>0</v>
      </c>
      <c r="MS63" s="57">
        <f t="shared" si="305"/>
        <v>0</v>
      </c>
      <c r="MT63" s="57">
        <f t="shared" si="306"/>
        <v>0</v>
      </c>
      <c r="MU63" s="1029">
        <f t="shared" si="449"/>
        <v>0</v>
      </c>
      <c r="MV63" s="57">
        <f t="shared" si="450"/>
        <v>0</v>
      </c>
      <c r="MW63" s="171" t="str">
        <f t="shared" si="451"/>
        <v/>
      </c>
      <c r="MX63" s="57">
        <f t="shared" si="307"/>
        <v>0</v>
      </c>
      <c r="MY63" s="57">
        <f>IF(OR(AND(MM$6=1,$L63=0),AND(MM$6=2,$K63=2,$G63=1)),0,IF(AND(MO$9=2,(OR($F63&gt;1,$K63=1,AND($L63=80,OR($N63=1,AND($N63=2,'#BerechnungDBE'!$AL54&gt;0)))))),IF(MM$4&gt;=$AD$126,0,MW63),IF(MO$9=3,IF(OR(MM$4&gt;=$AD$127,AND($G63=1,$J63=2,MM$6=2),AND(MM$6=1,$N63&lt;&gt;1)),0,IF(MQ63&lt;=120,MW63,IF(MM$4&lt;$AD$124,IF($F63=1,60/MO$4*MO$6,60/MO$4*MO$7),IF($F63=1,120/MO$4*MO$6,120/MO$4*MO$7)))),IF(OR($F63=3,$G63=2),IF(OR(AND(MM$4&gt;=$AD$119,$C63=2),AND(MM$4&gt;=$AF$119,$C63=1)),0,IF(MQ63&lt;=60,MW63,60/MO$4*MO$7)),IF(AND($F63=2,$G63=1),MW63,0)))))</f>
        <v>0</v>
      </c>
      <c r="MZ63" s="57" t="str">
        <f t="shared" si="142"/>
        <v/>
      </c>
      <c r="NA63" s="57" t="str">
        <f t="shared" si="452"/>
        <v/>
      </c>
      <c r="NB63" s="713">
        <f>'org. Düngung 22'!CV62</f>
        <v>0</v>
      </c>
      <c r="NC63" s="57"/>
      <c r="ND63" s="57"/>
      <c r="NE63" s="57">
        <f t="shared" si="144"/>
        <v>0</v>
      </c>
      <c r="NF63" s="57">
        <f t="shared" si="308"/>
        <v>0</v>
      </c>
      <c r="NG63" s="57">
        <f t="shared" si="309"/>
        <v>0</v>
      </c>
      <c r="NH63" s="57">
        <f t="shared" si="310"/>
        <v>0</v>
      </c>
      <c r="NI63" s="57">
        <f t="shared" si="311"/>
        <v>0</v>
      </c>
      <c r="NJ63" s="1029">
        <f t="shared" si="453"/>
        <v>0</v>
      </c>
      <c r="NK63" s="57">
        <f t="shared" si="454"/>
        <v>0</v>
      </c>
      <c r="NL63" s="171" t="str">
        <f t="shared" si="455"/>
        <v/>
      </c>
      <c r="NM63" s="57">
        <f t="shared" si="312"/>
        <v>0</v>
      </c>
      <c r="NN63" s="57">
        <f>IF(OR(AND(NB$6=1,$L63=0),AND(NB$6=2,$K63=2,$G63=1)),0,IF(AND(ND$9=2,(OR($F63&gt;1,$K63=1,AND($L63=80,OR($N63=1,AND($N63=2,'#BerechnungDBE'!$AL54&gt;0)))))),IF(NB$4&gt;=$AD$126,0,NL63),IF(ND$9=3,IF(OR(NB$4&gt;=$AD$127,AND($G63=1,$J63=2,NB$6=2),AND(NB$6=1,$N63&lt;&gt;1)),0,IF(NF63&lt;=120,NL63,IF(NB$4&lt;$AD$124,IF($F63=1,60/ND$4*ND$6,60/ND$4*ND$7),IF($F63=1,120/ND$4*ND$6,120/ND$4*ND$7)))),IF(OR($F63=3,$G63=2),IF(OR(AND(NB$4&gt;=$AD$119,$C63=2),AND(NB$4&gt;=$AF$119,$C63=1)),0,IF(NF63&lt;=60,NL63,60/ND$4*ND$7)),IF(AND($F63=2,$G63=1),NL63,0)))))</f>
        <v>0</v>
      </c>
      <c r="NO63" s="57" t="str">
        <f t="shared" si="148"/>
        <v/>
      </c>
      <c r="NP63" s="57" t="str">
        <f t="shared" si="456"/>
        <v/>
      </c>
      <c r="NQ63" s="713">
        <f>'org. Düngung 22'!CZ62</f>
        <v>0</v>
      </c>
      <c r="NR63" s="57"/>
      <c r="NS63" s="57"/>
      <c r="NT63" s="57">
        <f t="shared" si="150"/>
        <v>0</v>
      </c>
      <c r="NU63" s="57">
        <f t="shared" si="313"/>
        <v>0</v>
      </c>
      <c r="NV63" s="57">
        <f t="shared" si="314"/>
        <v>0</v>
      </c>
      <c r="NW63" s="57">
        <f t="shared" si="315"/>
        <v>0</v>
      </c>
      <c r="NX63" s="57">
        <f t="shared" si="316"/>
        <v>0</v>
      </c>
      <c r="NY63" s="1029">
        <f t="shared" si="457"/>
        <v>0</v>
      </c>
      <c r="NZ63" s="57">
        <f t="shared" si="458"/>
        <v>0</v>
      </c>
      <c r="OA63" s="171" t="str">
        <f t="shared" si="459"/>
        <v/>
      </c>
      <c r="OB63" s="57">
        <f t="shared" si="317"/>
        <v>0</v>
      </c>
      <c r="OC63" s="57">
        <f>IF(OR(AND(NQ$6=1,$L63=0),AND(NQ$6=2,$K63=2,$G63=1)),0,IF(AND(NS$9=2,(OR($F63&gt;1,$K63=1,AND($L63=80,OR($N63=1,AND($N63=2,'#BerechnungDBE'!$AL54&gt;0)))))),IF(NQ$4&gt;=$AD$126,0,OA63),IF(NS$9=3,IF(OR(NQ$4&gt;=$AD$127,AND($G63=1,$J63=2,NQ$6=2),AND(NQ$6=1,$N63&lt;&gt;1)),0,IF(NU63&lt;=120,OA63,IF(NQ$4&lt;$AD$124,IF($F63=1,60/NS$4*NS$6,60/NS$4*NS$7),IF($F63=1,120/NS$4*NS$6,120/NS$4*NS$7)))),IF(OR($F63=3,$G63=2),IF(OR(AND(NQ$4&gt;=$AD$119,$C63=2),AND(NQ$4&gt;=$AF$119,$C63=1)),0,IF(NU63&lt;=60,OA63,60/NS$4*NS$7)),IF(AND($F63=2,$G63=1),OA63,0)))))</f>
        <v>0</v>
      </c>
      <c r="OD63" s="57" t="str">
        <f t="shared" si="154"/>
        <v/>
      </c>
      <c r="OE63" s="57" t="str">
        <f t="shared" si="460"/>
        <v/>
      </c>
      <c r="OF63" s="713">
        <f>'org. Düngung 22'!DD62</f>
        <v>0</v>
      </c>
      <c r="OG63" s="57"/>
      <c r="OH63" s="57"/>
      <c r="OI63" s="57">
        <f t="shared" si="156"/>
        <v>0</v>
      </c>
      <c r="OJ63" s="57">
        <f t="shared" si="318"/>
        <v>0</v>
      </c>
      <c r="OK63" s="57">
        <f t="shared" si="319"/>
        <v>0</v>
      </c>
      <c r="OL63" s="57">
        <f t="shared" si="320"/>
        <v>0</v>
      </c>
      <c r="OM63" s="57">
        <f t="shared" si="321"/>
        <v>0</v>
      </c>
      <c r="ON63" s="1029">
        <f t="shared" si="461"/>
        <v>0</v>
      </c>
      <c r="OO63" s="57">
        <f t="shared" si="462"/>
        <v>0</v>
      </c>
      <c r="OP63" s="171" t="str">
        <f t="shared" si="463"/>
        <v/>
      </c>
      <c r="OQ63" s="57">
        <f t="shared" si="322"/>
        <v>0</v>
      </c>
      <c r="OR63" s="57">
        <f>IF(OR(AND(OF$6=1,$L63=0),AND(OF$6=2,$K63=2,$G63=1)),0,IF(AND(OH$9=2,(OR($F63&gt;1,$K63=1,AND($L63=80,OR($N63=1,AND($N63=2,'#BerechnungDBE'!$AL54&gt;0)))))),IF(OF$4&gt;=$AD$126,0,OP63),IF(OH$9=3,IF(OR(OF$4&gt;=$AD$127,AND($G63=1,$J63=2,OF$6=2),AND(OF$6=1,$N63&lt;&gt;1)),0,IF(OJ63&lt;=120,OP63,IF(OF$4&lt;$AD$124,IF($F63=1,60/OH$4*OH$6,60/OH$4*OH$7),IF($F63=1,120/OH$4*OH$6,120/OH$4*OH$7)))),IF(OR($F63=3,$G63=2),IF(OR(AND(OF$4&gt;=$AD$119,$C63=2),AND(OF$4&gt;=$AF$119,$C63=1)),0,IF(OJ63&lt;=60,OP63,60/OH$4*OH$7)),IF(AND($F63=2,$G63=1),OP63,0)))))</f>
        <v>0</v>
      </c>
      <c r="OS63" s="57" t="str">
        <f t="shared" si="160"/>
        <v/>
      </c>
      <c r="OT63" s="57" t="str">
        <f t="shared" si="464"/>
        <v/>
      </c>
      <c r="OU63" s="713">
        <f>'org. Düngung 22'!DH62</f>
        <v>0</v>
      </c>
      <c r="OV63" s="57"/>
      <c r="OW63" s="57"/>
      <c r="OX63" s="57">
        <f t="shared" si="162"/>
        <v>0</v>
      </c>
      <c r="OY63" s="57">
        <f t="shared" si="323"/>
        <v>0</v>
      </c>
      <c r="OZ63" s="57">
        <f t="shared" si="324"/>
        <v>0</v>
      </c>
      <c r="PA63" s="57">
        <f t="shared" si="325"/>
        <v>0</v>
      </c>
      <c r="PB63" s="57">
        <f t="shared" si="326"/>
        <v>0</v>
      </c>
      <c r="PC63" s="1029">
        <f t="shared" si="465"/>
        <v>0</v>
      </c>
      <c r="PD63" s="57">
        <f t="shared" si="466"/>
        <v>0</v>
      </c>
      <c r="PE63" s="171" t="str">
        <f t="shared" si="467"/>
        <v/>
      </c>
      <c r="PF63" s="57">
        <f t="shared" si="327"/>
        <v>0</v>
      </c>
      <c r="PG63" s="57">
        <f>IF(OR(AND(OU$6=1,$L63=0),AND(OU$6=2,$K63=2,$G63=1)),0,IF(AND(OW$9=2,(OR($F63&gt;1,$K63=1,AND($L63=80,OR($N63=1,AND($N63=2,'#BerechnungDBE'!$AL54&gt;0)))))),IF(OU$4&gt;=$AD$126,0,PE63),IF(OW$9=3,IF(OR(OU$4&gt;=$AD$127,AND($G63=1,$J63=2,OU$6=2),AND(OU$6=1,$N63&lt;&gt;1)),0,IF(OY63&lt;=120,PE63,IF(OU$4&lt;$AD$124,IF($F63=1,60/OW$4*OW$6,60/OW$4*OW$7),IF($F63=1,120/OW$4*OW$6,120/OW$4*OW$7)))),IF(OR($F63=3,$G63=2),IF(OR(AND(OU$4&gt;=$AD$119,$C63=2),AND(OU$4&gt;=$AF$119,$C63=1)),0,IF(OY63&lt;=60,PE63,60/OW$4*OW$7)),IF(AND($F63=2,$G63=1),PE63,0)))))</f>
        <v>0</v>
      </c>
      <c r="PH63" s="57" t="str">
        <f t="shared" si="166"/>
        <v/>
      </c>
      <c r="PI63" s="57" t="str">
        <f t="shared" si="468"/>
        <v/>
      </c>
      <c r="PJ63" s="713">
        <f>'org. Düngung 22'!DL62</f>
        <v>0</v>
      </c>
      <c r="PK63" s="57"/>
      <c r="PL63" s="57"/>
      <c r="PM63" s="57">
        <f t="shared" si="168"/>
        <v>0</v>
      </c>
      <c r="PN63" s="57">
        <f t="shared" si="328"/>
        <v>0</v>
      </c>
      <c r="PO63" s="57">
        <f t="shared" si="329"/>
        <v>0</v>
      </c>
      <c r="PP63" s="57">
        <f t="shared" si="330"/>
        <v>0</v>
      </c>
      <c r="PQ63" s="57">
        <f t="shared" si="331"/>
        <v>0</v>
      </c>
      <c r="PR63" s="1029">
        <f t="shared" si="469"/>
        <v>0</v>
      </c>
      <c r="PS63" s="57">
        <f t="shared" si="470"/>
        <v>0</v>
      </c>
      <c r="PT63" s="171" t="str">
        <f t="shared" si="471"/>
        <v/>
      </c>
      <c r="PU63" s="57">
        <f t="shared" si="332"/>
        <v>0</v>
      </c>
      <c r="PV63" s="57">
        <f>IF(OR(AND(PJ$6=1,$L63=0),AND(PJ$6=2,$K63=2,$G63=1)),0,IF(AND(PL$9=2,(OR($F63&gt;1,$K63=1,AND($L63=80,OR($N63=1,AND($N63=2,'#BerechnungDBE'!$AL54&gt;0)))))),IF(PJ$4&gt;=$AD$126,0,PT63),IF(PL$9=3,IF(OR(PJ$4&gt;=$AD$127,AND($G63=1,$J63=2,PJ$6=2),AND(PJ$6=1,$N63&lt;&gt;1)),0,IF(PN63&lt;=120,PT63,IF(PJ$4&lt;$AD$124,IF($F63=1,60/PL$4*PL$6,60/PL$4*PL$7),IF($F63=1,120/PL$4*PL$6,120/PL$4*PL$7)))),IF(OR($F63=3,$G63=2),IF(OR(AND(PJ$4&gt;=$AD$119,$C63=2),AND(PJ$4&gt;=$AF$119,$C63=1)),0,IF(PN63&lt;=60,PT63,60/PL$4*PL$7)),IF(AND($F63=2,$G63=1),PT63,0)))))</f>
        <v>0</v>
      </c>
      <c r="PW63" s="57" t="str">
        <f t="shared" si="172"/>
        <v/>
      </c>
      <c r="PX63" s="57" t="str">
        <f t="shared" si="472"/>
        <v/>
      </c>
      <c r="PY63" s="713">
        <f>'org. Düngung 22'!DP62</f>
        <v>0</v>
      </c>
      <c r="PZ63" s="57"/>
      <c r="QA63" s="57"/>
      <c r="QB63" s="57">
        <f t="shared" si="174"/>
        <v>0</v>
      </c>
      <c r="QC63" s="57">
        <f t="shared" si="333"/>
        <v>0</v>
      </c>
      <c r="QD63" s="57">
        <f t="shared" si="334"/>
        <v>0</v>
      </c>
      <c r="QE63" s="57">
        <f t="shared" si="335"/>
        <v>0</v>
      </c>
      <c r="QF63" s="57">
        <f t="shared" si="336"/>
        <v>0</v>
      </c>
      <c r="QG63" s="1029">
        <f t="shared" si="473"/>
        <v>0</v>
      </c>
      <c r="QH63" s="57">
        <f t="shared" si="474"/>
        <v>0</v>
      </c>
      <c r="QI63" s="171" t="str">
        <f t="shared" si="475"/>
        <v/>
      </c>
      <c r="QJ63" s="57">
        <f t="shared" si="337"/>
        <v>0</v>
      </c>
      <c r="QK63" s="57">
        <f>IF(OR(AND(PY$6=1,$L63=0),AND(PY$6=2,$K63=2,$G63=1)),0,IF(AND(QA$9=2,(OR($F63&gt;1,$K63=1,AND($L63=80,OR($N63=1,AND($N63=2,'#BerechnungDBE'!$AL54&gt;0)))))),IF(PY$4&gt;=$AD$126,0,QI63),IF(QA$9=3,IF(OR(PY$4&gt;=$AD$127,AND($G63=1,$J63=2,PY$6=2),AND(PY$6=1,$N63&lt;&gt;1)),0,IF(QC63&lt;=120,QI63,IF(PY$4&lt;$AD$124,IF($F63=1,60/QA$4*QA$6,60/QA$4*QA$7),IF($F63=1,120/QA$4*QA$6,120/QA$4*QA$7)))),IF(OR($F63=3,$G63=2),IF(OR(AND(PY$4&gt;=$AD$119,$C63=2),AND(PY$4&gt;=$AF$119,$C63=1)),0,IF(QC63&lt;=60,QI63,60/QA$4*QA$7)),IF(AND($F63=2,$G63=1),QI63,0)))))</f>
        <v>0</v>
      </c>
      <c r="QL63" s="57" t="str">
        <f t="shared" si="178"/>
        <v/>
      </c>
      <c r="QM63" s="57" t="str">
        <f t="shared" si="476"/>
        <v/>
      </c>
      <c r="QN63" s="713">
        <f>'org. Düngung 22'!DT62</f>
        <v>0</v>
      </c>
      <c r="QO63" s="57"/>
      <c r="QP63" s="57"/>
      <c r="QQ63" s="57">
        <f t="shared" si="180"/>
        <v>0</v>
      </c>
      <c r="QR63" s="57">
        <f t="shared" si="338"/>
        <v>0</v>
      </c>
      <c r="QS63" s="57">
        <f t="shared" si="339"/>
        <v>0</v>
      </c>
      <c r="QT63" s="57">
        <f t="shared" si="340"/>
        <v>0</v>
      </c>
      <c r="QU63" s="57">
        <f t="shared" si="341"/>
        <v>0</v>
      </c>
      <c r="QV63" s="1029">
        <f t="shared" si="477"/>
        <v>0</v>
      </c>
      <c r="QW63" s="57">
        <f t="shared" si="478"/>
        <v>0</v>
      </c>
      <c r="QX63" s="171" t="str">
        <f t="shared" si="479"/>
        <v/>
      </c>
      <c r="QY63" s="57">
        <f t="shared" si="342"/>
        <v>0</v>
      </c>
      <c r="QZ63" s="57">
        <f>IF(OR(AND(QN$6=1,$L63=0),AND(QN$6=2,$K63=2,$G63=1)),0,IF(AND(QP$9=2,(OR($F63&gt;1,$K63=1,AND($L63=80,OR($N63=1,AND($N63=2,'#BerechnungDBE'!$AL54&gt;0)))))),IF(QN$4&gt;=$AD$126,0,QX63),IF(QP$9=3,IF(OR(QN$4&gt;=$AD$127,AND($G63=1,$J63=2,QN$6=2),AND(QN$6=1,$N63&lt;&gt;1)),0,IF(QR63&lt;=120,QX63,IF(QN$4&lt;$AD$124,IF($F63=1,60/QP$4*QP$6,60/QP$4*QP$7),IF($F63=1,120/QP$4*QP$6,120/QP$4*QP$7)))),IF(OR($F63=3,$G63=2),IF(OR(AND(QN$4&gt;=$AD$119,$C63=2),AND(QN$4&gt;=$AF$119,$C63=1)),0,IF(QR63&lt;=60,QX63,60/QP$4*QP$7)),IF(AND($F63=2,$G63=1),QX63,0)))))</f>
        <v>0</v>
      </c>
      <c r="RA63" s="57" t="str">
        <f t="shared" si="184"/>
        <v/>
      </c>
      <c r="RB63" s="57" t="str">
        <f t="shared" si="480"/>
        <v/>
      </c>
      <c r="RC63" s="713">
        <f>'org. Düngung 22'!DX62</f>
        <v>0</v>
      </c>
      <c r="RD63" s="57"/>
      <c r="RE63" s="57"/>
      <c r="RF63" s="57">
        <f t="shared" si="186"/>
        <v>0</v>
      </c>
      <c r="RG63" s="57">
        <f t="shared" si="343"/>
        <v>0</v>
      </c>
      <c r="RH63" s="57">
        <f t="shared" si="344"/>
        <v>0</v>
      </c>
      <c r="RI63" s="57">
        <f t="shared" si="345"/>
        <v>0</v>
      </c>
      <c r="RJ63" s="57">
        <f t="shared" si="346"/>
        <v>0</v>
      </c>
      <c r="RK63" s="1029">
        <f t="shared" si="481"/>
        <v>0</v>
      </c>
      <c r="RL63" s="57">
        <f t="shared" si="482"/>
        <v>0</v>
      </c>
      <c r="RM63" s="171" t="str">
        <f t="shared" si="483"/>
        <v/>
      </c>
      <c r="RN63" s="57">
        <f t="shared" si="347"/>
        <v>0</v>
      </c>
      <c r="RO63" s="57">
        <f>IF(OR(AND(RC$6=1,$L63=0),AND(RC$6=2,$K63=2,$G63=1)),0,IF(AND(RE$9=2,(OR($F63&gt;1,$K63=1,AND($L63=80,OR($N63=1,AND($N63=2,'#BerechnungDBE'!$AL54&gt;0)))))),IF(RC$4&gt;=$AD$126,0,RM63),IF(RE$9=3,IF(OR(RC$4&gt;=$AD$127,AND($G63=1,$J63=2,RC$6=2),AND(RC$6=1,$N63&lt;&gt;1)),0,IF(RG63&lt;=120,RM63,IF(RC$4&lt;$AD$124,IF($F63=1,60/RE$4*RE$6,60/RE$4*RE$7),IF($F63=1,120/RE$4*RE$6,120/RE$4*RE$7)))),IF(OR($F63=3,$G63=2),IF(OR(AND(RC$4&gt;=$AD$119,$C63=2),AND(RC$4&gt;=$AF$119,$C63=1)),0,IF(RG63&lt;=60,RM63,60/RE$4*RE$7)),IF(AND($F63=2,$G63=1),RM63,0)))))</f>
        <v>0</v>
      </c>
      <c r="RP63" s="57" t="str">
        <f t="shared" si="190"/>
        <v/>
      </c>
      <c r="RQ63" s="57" t="str">
        <f t="shared" si="484"/>
        <v/>
      </c>
      <c r="RS63" s="57" t="str">
        <f t="shared" si="488"/>
        <v/>
      </c>
      <c r="RT63" s="57" t="str">
        <f t="shared" si="485"/>
        <v/>
      </c>
      <c r="RU63" s="57" t="str">
        <f t="shared" si="486"/>
        <v/>
      </c>
      <c r="RV63" s="57" t="str">
        <f>IF(Z63&gt;'#BerechnungDBE'!BM54,$RV$9,"")</f>
        <v/>
      </c>
      <c r="RW63" s="57" t="str">
        <f>IF(AND(L63=70,AE63&gt;'#BerechnungDBE'!CQ54),$RW$9,"")</f>
        <v/>
      </c>
      <c r="RX63" s="57" t="str">
        <f>IF(OR('org. Düngung 22'!G62="--",'org. Düngung 22'!G62&lt;=170,'org. Düngung 22'!G62=""),"",$RX$9)</f>
        <v/>
      </c>
      <c r="RY63" s="57" t="str">
        <f>IF('org. Düngung 22'!K62&gt;120,'#orgDung'!$RY$9,"")</f>
        <v/>
      </c>
      <c r="RZ63" s="57" t="str">
        <f>IF('#BerechnungDBE'!P54&lt;4,"",IF(AND('#BerechnungDBE'!BZ54&gt;0,T63&gt;0),'#orgDung'!$RZ$9,""))</f>
        <v/>
      </c>
      <c r="SA63" s="57" t="str">
        <f t="shared" si="487"/>
        <v/>
      </c>
    </row>
    <row r="64" spans="1:495" s="875" customFormat="1" x14ac:dyDescent="0.2">
      <c r="A64" s="875">
        <f>'Flächen u. Kulturen'!A60</f>
        <v>51</v>
      </c>
      <c r="B64" s="367">
        <f>'#BerechnungDBE'!L55</f>
        <v>0</v>
      </c>
      <c r="C64" s="875">
        <f>'#BerechnungDBE'!R55</f>
        <v>1</v>
      </c>
      <c r="D64" s="875">
        <f>'#BerechnungDBE'!T55</f>
        <v>2</v>
      </c>
      <c r="E64" s="875" t="str">
        <f>'Flächen u. Kulturen'!E60</f>
        <v>x</v>
      </c>
      <c r="F64" s="52">
        <f>'#BerechnungDBE'!N55</f>
        <v>1</v>
      </c>
      <c r="G64" s="52">
        <f>'#BerechnungDBE'!O55</f>
        <v>1</v>
      </c>
      <c r="H64" s="875">
        <f>IF('Flächen u. Kulturen'!P60="",0,VLOOKUP('Flächen u. Kulturen'!P60,Kulturen[[HF]:[Berechnungsgruppe]],'#Frucht'!$H$1,FALSE))</f>
        <v>0</v>
      </c>
      <c r="I64" s="875">
        <f>IF('Flächen u. Kulturen'!J60="",0,VLOOKUP('Flächen u. Kulturen'!J60,Kulturen[[HF]:[Berechnungsgruppe]],'#Frucht'!$G$1,FALSE))</f>
        <v>90</v>
      </c>
      <c r="J64" s="505">
        <f t="shared" si="195"/>
        <v>2</v>
      </c>
      <c r="K64" s="505">
        <f>IF('Flächen u. Kulturen'!P60="",0,IF(VLOOKUP('Flächen u. Kulturen'!P60,Kulturen[[HF]:[Saat Winterungen]],'#Frucht'!$P$1,FALSE)&gt;0,1,2))</f>
        <v>2</v>
      </c>
      <c r="L64" s="875">
        <f>'#BerechnungDBE'!AF55</f>
        <v>0</v>
      </c>
      <c r="M64" s="875">
        <f>IF('Flächen u. Kulturen'!L60="",0,VLOOKUP('Flächen u. Kulturen'!L60,Nebenkultur[[Nebenkultur]:[Legum. Zwischenfr.]],'#Zweitfr'!$K$1,FALSE))</f>
        <v>0</v>
      </c>
      <c r="N64" s="875">
        <f>'#BerechnungDBE'!AG55</f>
        <v>0</v>
      </c>
      <c r="P64" s="57">
        <f t="shared" si="353"/>
        <v>0</v>
      </c>
      <c r="Q64" s="57">
        <f t="shared" si="354"/>
        <v>0</v>
      </c>
      <c r="R64" s="875">
        <f t="shared" si="355"/>
        <v>0</v>
      </c>
      <c r="S64" s="938" t="str">
        <f t="shared" si="3"/>
        <v/>
      </c>
      <c r="T64" s="875">
        <f t="shared" si="356"/>
        <v>0</v>
      </c>
      <c r="U64" s="875">
        <f t="shared" si="357"/>
        <v>0</v>
      </c>
      <c r="V64" s="875">
        <f t="shared" si="358"/>
        <v>0</v>
      </c>
      <c r="W64" s="875">
        <f t="shared" si="359"/>
        <v>0</v>
      </c>
      <c r="X64" s="875">
        <f t="shared" si="360"/>
        <v>0</v>
      </c>
      <c r="Y64" s="875">
        <f t="shared" si="349"/>
        <v>0</v>
      </c>
      <c r="Z64" s="875">
        <f t="shared" si="350"/>
        <v>0</v>
      </c>
      <c r="AA64" s="910">
        <f t="shared" si="361"/>
        <v>0</v>
      </c>
      <c r="AB64" s="57">
        <f t="shared" si="351"/>
        <v>0</v>
      </c>
      <c r="AC64" s="875">
        <f t="shared" si="362"/>
        <v>0</v>
      </c>
      <c r="AD64" s="875">
        <f t="shared" si="363"/>
        <v>0</v>
      </c>
      <c r="AE64" s="875">
        <f t="shared" si="364"/>
        <v>0</v>
      </c>
      <c r="AF64" s="875">
        <f t="shared" si="352"/>
        <v>0</v>
      </c>
      <c r="AG64" s="875">
        <f>'org. Düngung 22'!J63</f>
        <v>0</v>
      </c>
      <c r="AH64" s="875">
        <f>'org. Düngung 22'!K63</f>
        <v>0</v>
      </c>
      <c r="AJ64" s="713">
        <f>'org. Düngung 22'!L63</f>
        <v>0</v>
      </c>
      <c r="AK64" s="57"/>
      <c r="AL64" s="57"/>
      <c r="AM64" s="57">
        <f t="shared" si="196"/>
        <v>0</v>
      </c>
      <c r="AN64" s="57">
        <f t="shared" si="197"/>
        <v>0</v>
      </c>
      <c r="AO64" s="57">
        <f t="shared" si="198"/>
        <v>0</v>
      </c>
      <c r="AP64" s="57">
        <f t="shared" si="199"/>
        <v>0</v>
      </c>
      <c r="AQ64" s="57">
        <f t="shared" si="200"/>
        <v>0</v>
      </c>
      <c r="AR64" s="1029">
        <f t="shared" si="365"/>
        <v>0</v>
      </c>
      <c r="AS64" s="57">
        <f t="shared" si="366"/>
        <v>0</v>
      </c>
      <c r="AT64" s="171" t="str">
        <f t="shared" si="367"/>
        <v/>
      </c>
      <c r="AU64" s="57">
        <f t="shared" si="201"/>
        <v>0</v>
      </c>
      <c r="AV64" s="57">
        <f>IF(OR(AND(AJ$6=1,$L64=0),AND(AJ$6=2,$K64=2,$G64=1)),0,IF(AND(AL$9=2,(OR($F64&gt;1,$K64=1,AND($L64=80,OR($N64=1,AND($N64=2,'#BerechnungDBE'!$AL55&gt;0)))))),IF(AJ$4&gt;=$AD$126,0,AT64),IF(AL$9=3,IF(OR(AJ$4&gt;=$AD$127,AND($G64=1,$J64=2,AJ$6=2),AND(AJ$6=1,$N64&lt;&gt;1)),0,IF(AN64&lt;=120,AT64,IF(AJ$4&lt;$AD$124,IF($F64=1,60/AL$4*AL$6,60/AL$4*AL$7),IF($F64=1,120/AL$4*AL$6,120/AL$4*AL$7)))),IF(OR($F64=3,$G64=2),IF(OR(AND(AJ$4&gt;=$AD$119,$C64=2),AND(AJ$4&gt;=$AF$119,$C64=1)),0,IF(AN64&lt;=60,AT64,60/AL$4*AL$7)),IF(AND($F64=2,$G64=1),AT64,0)))))</f>
        <v>0</v>
      </c>
      <c r="AW64" s="57" t="str">
        <f t="shared" si="202"/>
        <v/>
      </c>
      <c r="AX64" s="57" t="str">
        <f t="shared" si="368"/>
        <v/>
      </c>
      <c r="AY64" s="713">
        <f>'org. Düngung 22'!P63</f>
        <v>0</v>
      </c>
      <c r="AZ64" s="57"/>
      <c r="BA64" s="57"/>
      <c r="BB64" s="57">
        <f t="shared" si="18"/>
        <v>0</v>
      </c>
      <c r="BC64" s="57">
        <f t="shared" si="203"/>
        <v>0</v>
      </c>
      <c r="BD64" s="57">
        <f t="shared" si="204"/>
        <v>0</v>
      </c>
      <c r="BE64" s="57">
        <f t="shared" si="205"/>
        <v>0</v>
      </c>
      <c r="BF64" s="57">
        <f t="shared" si="206"/>
        <v>0</v>
      </c>
      <c r="BG64" s="1029">
        <f t="shared" si="369"/>
        <v>0</v>
      </c>
      <c r="BH64" s="57">
        <f t="shared" si="370"/>
        <v>0</v>
      </c>
      <c r="BI64" s="171" t="str">
        <f t="shared" si="371"/>
        <v/>
      </c>
      <c r="BJ64" s="57">
        <f t="shared" si="207"/>
        <v>0</v>
      </c>
      <c r="BK64" s="57">
        <f>IF(OR(AND(AY$6=1,$L64=0),AND(AY$6=2,$K64=2,$G64=1)),0,IF(AND(BA$9=2,(OR($F64&gt;1,$K64=1,AND($L64=80,OR($N64=1,AND($N64=2,'#BerechnungDBE'!$AL55&gt;0)))))),IF(AY$4&gt;=$AD$126,0,BI64),IF(BA$9=3,IF(OR(AY$4&gt;=$AD$127,AND($G64=1,$J64=2,AY$6=2),AND(AY$6=1,$N64&lt;&gt;1)),0,IF(BC64&lt;=120,BI64,IF(AY$4&lt;$AD$124,IF($F64=1,60/BA$4*BA$6,60/BA$4*BA$7),IF($F64=1,120/BA$4*BA$6,120/BA$4*BA$7)))),IF(OR($F64=3,$G64=2),IF(OR(AND(AY$4&gt;=$AD$119,$C64=2),AND(AY$4&gt;=$AF$119,$C64=1)),0,IF(BC64&lt;=60,BI64,60/BA$4*BA$7)),IF(AND($F64=2,$G64=1),BI64,0)))))</f>
        <v>0</v>
      </c>
      <c r="BL64" s="57" t="str">
        <f t="shared" si="22"/>
        <v/>
      </c>
      <c r="BM64" s="57" t="str">
        <f t="shared" si="372"/>
        <v/>
      </c>
      <c r="BN64" s="713">
        <f>'org. Düngung 22'!T63</f>
        <v>0</v>
      </c>
      <c r="BO64" s="57"/>
      <c r="BP64" s="57"/>
      <c r="BQ64" s="57">
        <f t="shared" si="24"/>
        <v>0</v>
      </c>
      <c r="BR64" s="57">
        <f t="shared" si="208"/>
        <v>0</v>
      </c>
      <c r="BS64" s="57">
        <f t="shared" si="209"/>
        <v>0</v>
      </c>
      <c r="BT64" s="57">
        <f t="shared" si="210"/>
        <v>0</v>
      </c>
      <c r="BU64" s="57">
        <f t="shared" si="211"/>
        <v>0</v>
      </c>
      <c r="BV64" s="1029">
        <f t="shared" si="373"/>
        <v>0</v>
      </c>
      <c r="BW64" s="57">
        <f t="shared" si="374"/>
        <v>0</v>
      </c>
      <c r="BX64" s="171" t="str">
        <f t="shared" si="375"/>
        <v/>
      </c>
      <c r="BY64" s="57">
        <f t="shared" si="212"/>
        <v>0</v>
      </c>
      <c r="BZ64" s="57">
        <f>IF(OR(AND(BN$6=1,$L64=0),AND(BN$6=2,$K64=2,$G64=1)),0,IF(AND(BP$9=2,(OR($F64&gt;1,$K64=1,AND($L64=80,OR($N64=1,AND($N64=2,'#BerechnungDBE'!$AL55&gt;0)))))),IF(BN$4&gt;=$AD$126,0,BX64),IF(BP$9=3,IF(OR(BN$4&gt;=$AD$127,AND($G64=1,$J64=2,BN$6=2),AND(BN$6=1,$N64&lt;&gt;1)),0,IF(BR64&lt;=120,BX64,IF(BN$4&lt;$AD$124,IF($F64=1,60/BP$4*BP$6,60/BP$4*BP$7),IF($F64=1,120/BP$4*BP$6,120/BP$4*BP$7)))),IF(OR($F64=3,$G64=2),IF(OR(AND(BN$4&gt;=$AD$119,$C64=2),AND(BN$4&gt;=$AF$119,$C64=1)),0,IF(BR64&lt;=60,BX64,60/BP$4*BP$7)),IF(AND($F64=2,$G64=1),BX64,0)))))</f>
        <v>0</v>
      </c>
      <c r="CA64" s="57" t="str">
        <f t="shared" si="28"/>
        <v/>
      </c>
      <c r="CB64" s="57" t="str">
        <f t="shared" si="376"/>
        <v/>
      </c>
      <c r="CC64" s="713">
        <f>'org. Düngung 22'!X63</f>
        <v>0</v>
      </c>
      <c r="CD64" s="57"/>
      <c r="CE64" s="57"/>
      <c r="CF64" s="57">
        <f t="shared" si="30"/>
        <v>0</v>
      </c>
      <c r="CG64" s="57">
        <f t="shared" si="213"/>
        <v>0</v>
      </c>
      <c r="CH64" s="57">
        <f t="shared" si="214"/>
        <v>0</v>
      </c>
      <c r="CI64" s="57">
        <f t="shared" si="215"/>
        <v>0</v>
      </c>
      <c r="CJ64" s="57">
        <f t="shared" si="216"/>
        <v>0</v>
      </c>
      <c r="CK64" s="1029">
        <f t="shared" si="377"/>
        <v>0</v>
      </c>
      <c r="CL64" s="57">
        <f t="shared" si="378"/>
        <v>0</v>
      </c>
      <c r="CM64" s="171" t="str">
        <f t="shared" si="379"/>
        <v/>
      </c>
      <c r="CN64" s="57">
        <f t="shared" si="217"/>
        <v>0</v>
      </c>
      <c r="CO64" s="57">
        <f>IF(OR(AND(CC$6=1,$L64=0),AND(CC$6=2,$K64=2,$G64=1)),0,IF(AND(CE$9=2,(OR($F64&gt;1,$K64=1,AND($L64=80,OR($N64=1,AND($N64=2,'#BerechnungDBE'!$AL55&gt;0)))))),IF(CC$4&gt;=$AD$126,0,CM64),IF(CE$9=3,IF(OR(CC$4&gt;=$AD$127,AND($G64=1,$J64=2,CC$6=2),AND(CC$6=1,$N64&lt;&gt;1)),0,IF(CG64&lt;=120,CM64,IF(CC$4&lt;$AD$124,IF($F64=1,60/CE$4*CE$6,60/CE$4*CE$7),IF($F64=1,120/CE$4*CE$6,120/CE$4*CE$7)))),IF(OR($F64=3,$G64=2),IF(OR(AND(CC$4&gt;=$AD$119,$C64=2),AND(CC$4&gt;=$AF$119,$C64=1)),0,IF(CG64&lt;=60,CM64,60/CE$4*CE$7)),IF(AND($F64=2,$G64=1),CM64,0)))))</f>
        <v>0</v>
      </c>
      <c r="CP64" s="57" t="str">
        <f t="shared" si="34"/>
        <v/>
      </c>
      <c r="CQ64" s="57" t="str">
        <f t="shared" si="380"/>
        <v/>
      </c>
      <c r="CR64" s="713">
        <f>'org. Düngung 22'!AB63</f>
        <v>0</v>
      </c>
      <c r="CS64" s="57"/>
      <c r="CT64" s="57"/>
      <c r="CU64" s="57">
        <f t="shared" si="36"/>
        <v>0</v>
      </c>
      <c r="CV64" s="57">
        <f t="shared" si="218"/>
        <v>0</v>
      </c>
      <c r="CW64" s="57">
        <f t="shared" si="219"/>
        <v>0</v>
      </c>
      <c r="CX64" s="57">
        <f t="shared" si="220"/>
        <v>0</v>
      </c>
      <c r="CY64" s="57">
        <f t="shared" si="221"/>
        <v>0</v>
      </c>
      <c r="CZ64" s="1029">
        <f t="shared" si="381"/>
        <v>0</v>
      </c>
      <c r="DA64" s="57">
        <f t="shared" si="382"/>
        <v>0</v>
      </c>
      <c r="DB64" s="171" t="str">
        <f t="shared" si="383"/>
        <v/>
      </c>
      <c r="DC64" s="57">
        <f t="shared" si="222"/>
        <v>0</v>
      </c>
      <c r="DD64" s="57">
        <f>IF(OR(AND(CR$6=1,$L64=0),AND(CR$6=2,$K64=2,$G64=1)),0,IF(AND(CT$9=2,(OR($F64&gt;1,$K64=1,AND($L64=80,OR($N64=1,AND($N64=2,'#BerechnungDBE'!$AL55&gt;0)))))),IF(CR$4&gt;=$AD$126,0,DB64),IF(CT$9=3,IF(OR(CR$4&gt;=$AD$127,AND($G64=1,$J64=2,CR$6=2),AND(CR$6=1,$N64&lt;&gt;1)),0,IF(CV64&lt;=120,DB64,IF(CR$4&lt;$AD$124,IF($F64=1,60/CT$4*CT$6,60/CT$4*CT$7),IF($F64=1,120/CT$4*CT$6,120/CT$4*CT$7)))),IF(OR($F64=3,$G64=2),IF(OR(AND(CR$4&gt;=$AD$119,$C64=2),AND(CR$4&gt;=$AF$119,$C64=1)),0,IF(CV64&lt;=60,DB64,60/CT$4*CT$7)),IF(AND($F64=2,$G64=1),DB64,0)))))</f>
        <v>0</v>
      </c>
      <c r="DE64" s="57" t="str">
        <f t="shared" si="40"/>
        <v/>
      </c>
      <c r="DF64" s="57" t="str">
        <f t="shared" si="384"/>
        <v/>
      </c>
      <c r="DG64" s="713">
        <f>'org. Düngung 22'!AF63</f>
        <v>0</v>
      </c>
      <c r="DH64" s="57"/>
      <c r="DI64" s="57"/>
      <c r="DJ64" s="57">
        <f t="shared" si="42"/>
        <v>0</v>
      </c>
      <c r="DK64" s="57">
        <f t="shared" si="223"/>
        <v>0</v>
      </c>
      <c r="DL64" s="57">
        <f t="shared" si="224"/>
        <v>0</v>
      </c>
      <c r="DM64" s="57">
        <f t="shared" si="225"/>
        <v>0</v>
      </c>
      <c r="DN64" s="57">
        <f t="shared" si="226"/>
        <v>0</v>
      </c>
      <c r="DO64" s="1029">
        <f t="shared" si="385"/>
        <v>0</v>
      </c>
      <c r="DP64" s="57">
        <f t="shared" si="386"/>
        <v>0</v>
      </c>
      <c r="DQ64" s="171" t="str">
        <f t="shared" si="387"/>
        <v/>
      </c>
      <c r="DR64" s="57">
        <f t="shared" si="227"/>
        <v>0</v>
      </c>
      <c r="DS64" s="57">
        <f>IF(OR(AND(DG$6=1,$L64=0),AND(DG$6=2,$K64=2,$G64=1)),0,IF(AND(DI$9=2,(OR($F64&gt;1,$K64=1,AND($L64=80,OR($N64=1,AND($N64=2,'#BerechnungDBE'!$AL55&gt;0)))))),IF(DG$4&gt;=$AD$126,0,DQ64),IF(DI$9=3,IF(OR(DG$4&gt;=$AD$127,AND($G64=1,$J64=2,DG$6=2),AND(DG$6=1,$N64&lt;&gt;1)),0,IF(DK64&lt;=120,DQ64,IF(DG$4&lt;$AD$124,IF($F64=1,60/DI$4*DI$6,60/DI$4*DI$7),IF($F64=1,120/DI$4*DI$6,120/DI$4*DI$7)))),IF(OR($F64=3,$G64=2),IF(OR(AND(DG$4&gt;=$AD$119,$C64=2),AND(DG$4&gt;=$AF$119,$C64=1)),0,IF(DK64&lt;=60,DQ64,60/DI$4*DI$7)),IF(AND($F64=2,$G64=1),DQ64,0)))))</f>
        <v>0</v>
      </c>
      <c r="DT64" s="57" t="str">
        <f t="shared" si="46"/>
        <v/>
      </c>
      <c r="DU64" s="57" t="str">
        <f t="shared" si="388"/>
        <v/>
      </c>
      <c r="DV64" s="713">
        <f>'org. Düngung 22'!AJ63</f>
        <v>0</v>
      </c>
      <c r="DW64" s="57"/>
      <c r="DX64" s="57"/>
      <c r="DY64" s="57">
        <f t="shared" si="48"/>
        <v>0</v>
      </c>
      <c r="DZ64" s="57">
        <f t="shared" si="228"/>
        <v>0</v>
      </c>
      <c r="EA64" s="57">
        <f t="shared" si="229"/>
        <v>0</v>
      </c>
      <c r="EB64" s="57">
        <f t="shared" si="230"/>
        <v>0</v>
      </c>
      <c r="EC64" s="57">
        <f t="shared" si="231"/>
        <v>0</v>
      </c>
      <c r="ED64" s="1029">
        <f t="shared" si="389"/>
        <v>0</v>
      </c>
      <c r="EE64" s="57">
        <f t="shared" si="390"/>
        <v>0</v>
      </c>
      <c r="EF64" s="171" t="str">
        <f t="shared" si="391"/>
        <v/>
      </c>
      <c r="EG64" s="57">
        <f t="shared" si="232"/>
        <v>0</v>
      </c>
      <c r="EH64" s="57">
        <f>IF(OR(AND(DV$6=1,$L64=0),AND(DV$6=2,$K64=2,$G64=1)),0,IF(AND(DX$9=2,(OR($F64&gt;1,$K64=1,AND($L64=80,OR($N64=1,AND($N64=2,'#BerechnungDBE'!$AL55&gt;0)))))),IF(DV$4&gt;=$AD$126,0,EF64),IF(DX$9=3,IF(OR(DV$4&gt;=$AD$127,AND($G64=1,$J64=2,DV$6=2),AND(DV$6=1,$N64&lt;&gt;1)),0,IF(DZ64&lt;=120,EF64,IF(DV$4&lt;$AD$124,IF($F64=1,60/DX$4*DX$6,60/DX$4*DX$7),IF($F64=1,120/DX$4*DX$6,120/DX$4*DX$7)))),IF(OR($F64=3,$G64=2),IF(OR(AND(DV$4&gt;=$AD$119,$C64=2),AND(DV$4&gt;=$AF$119,$C64=1)),0,IF(DZ64&lt;=60,EF64,60/DX$4*DX$7)),IF(AND($F64=2,$G64=1),EF64,0)))))</f>
        <v>0</v>
      </c>
      <c r="EI64" s="57" t="str">
        <f t="shared" si="52"/>
        <v/>
      </c>
      <c r="EJ64" s="57" t="str">
        <f t="shared" si="392"/>
        <v/>
      </c>
      <c r="EK64" s="713">
        <f>'org. Düngung 22'!AN63</f>
        <v>0</v>
      </c>
      <c r="EL64" s="57"/>
      <c r="EM64" s="57"/>
      <c r="EN64" s="57">
        <f t="shared" si="54"/>
        <v>0</v>
      </c>
      <c r="EO64" s="57">
        <f t="shared" si="233"/>
        <v>0</v>
      </c>
      <c r="EP64" s="57">
        <f t="shared" si="234"/>
        <v>0</v>
      </c>
      <c r="EQ64" s="57">
        <f t="shared" si="235"/>
        <v>0</v>
      </c>
      <c r="ER64" s="57">
        <f t="shared" si="236"/>
        <v>0</v>
      </c>
      <c r="ES64" s="1029">
        <f t="shared" si="393"/>
        <v>0</v>
      </c>
      <c r="ET64" s="57">
        <f t="shared" si="394"/>
        <v>0</v>
      </c>
      <c r="EU64" s="171" t="str">
        <f t="shared" si="395"/>
        <v/>
      </c>
      <c r="EV64" s="57">
        <f t="shared" si="237"/>
        <v>0</v>
      </c>
      <c r="EW64" s="57">
        <f>IF(OR(AND(EK$6=1,$L64=0),AND(EK$6=2,$K64=2,$G64=1)),0,IF(AND(EM$9=2,(OR($F64&gt;1,$K64=1,AND($L64=80,OR($N64=1,AND($N64=2,'#BerechnungDBE'!$AL55&gt;0)))))),IF(EK$4&gt;=$AD$126,0,EU64),IF(EM$9=3,IF(OR(EK$4&gt;=$AD$127,AND($G64=1,$J64=2,EK$6=2),AND(EK$6=1,$N64&lt;&gt;1)),0,IF(EO64&lt;=120,EU64,IF(EK$4&lt;$AD$124,IF($F64=1,60/EM$4*EM$6,60/EM$4*EM$7),IF($F64=1,120/EM$4*EM$6,120/EM$4*EM$7)))),IF(OR($F64=3,$G64=2),IF(OR(AND(EK$4&gt;=$AD$119,$C64=2),AND(EK$4&gt;=$AF$119,$C64=1)),0,IF(EO64&lt;=60,EU64,60/EM$4*EM$7)),IF(AND($F64=2,$G64=1),EU64,0)))))</f>
        <v>0</v>
      </c>
      <c r="EX64" s="57" t="str">
        <f t="shared" si="58"/>
        <v/>
      </c>
      <c r="EY64" s="57" t="str">
        <f t="shared" si="396"/>
        <v/>
      </c>
      <c r="EZ64" s="713">
        <f>'org. Düngung 22'!AR63</f>
        <v>0</v>
      </c>
      <c r="FA64" s="57"/>
      <c r="FB64" s="57"/>
      <c r="FC64" s="57">
        <f t="shared" si="60"/>
        <v>0</v>
      </c>
      <c r="FD64" s="57">
        <f t="shared" si="238"/>
        <v>0</v>
      </c>
      <c r="FE64" s="57">
        <f t="shared" si="239"/>
        <v>0</v>
      </c>
      <c r="FF64" s="57">
        <f t="shared" si="240"/>
        <v>0</v>
      </c>
      <c r="FG64" s="57">
        <f t="shared" si="241"/>
        <v>0</v>
      </c>
      <c r="FH64" s="1029">
        <f t="shared" si="397"/>
        <v>0</v>
      </c>
      <c r="FI64" s="57">
        <f t="shared" si="398"/>
        <v>0</v>
      </c>
      <c r="FJ64" s="171" t="str">
        <f t="shared" si="399"/>
        <v/>
      </c>
      <c r="FK64" s="57">
        <f t="shared" si="242"/>
        <v>0</v>
      </c>
      <c r="FL64" s="57">
        <f>IF(OR(AND(EZ$6=1,$L64=0),AND(EZ$6=2,$K64=2,$G64=1)),0,IF(AND(FB$9=2,(OR($F64&gt;1,$K64=1,AND($L64=80,OR($N64=1,AND($N64=2,'#BerechnungDBE'!$AL55&gt;0)))))),IF(EZ$4&gt;=$AD$126,0,FJ64),IF(FB$9=3,IF(OR(EZ$4&gt;=$AD$127,AND($G64=1,$J64=2,EZ$6=2),AND(EZ$6=1,$N64&lt;&gt;1)),0,IF(FD64&lt;=120,FJ64,IF(EZ$4&lt;$AD$124,IF($F64=1,60/FB$4*FB$6,60/FB$4*FB$7),IF($F64=1,120/FB$4*FB$6,120/FB$4*FB$7)))),IF(OR($F64=3,$G64=2),IF(OR(AND(EZ$4&gt;=$AD$119,$C64=2),AND(EZ$4&gt;=$AF$119,$C64=1)),0,IF(FD64&lt;=60,FJ64,60/FB$4*FB$7)),IF(AND($F64=2,$G64=1),FJ64,0)))))</f>
        <v>0</v>
      </c>
      <c r="FM64" s="57" t="str">
        <f t="shared" si="64"/>
        <v/>
      </c>
      <c r="FN64" s="57" t="str">
        <f t="shared" si="400"/>
        <v/>
      </c>
      <c r="FO64" s="713">
        <f>'org. Düngung 22'!AV63</f>
        <v>0</v>
      </c>
      <c r="FP64" s="57"/>
      <c r="FQ64" s="57"/>
      <c r="FR64" s="57">
        <f t="shared" si="66"/>
        <v>0</v>
      </c>
      <c r="FS64" s="57">
        <f t="shared" si="243"/>
        <v>0</v>
      </c>
      <c r="FT64" s="57">
        <f t="shared" si="244"/>
        <v>0</v>
      </c>
      <c r="FU64" s="57">
        <f t="shared" si="245"/>
        <v>0</v>
      </c>
      <c r="FV64" s="57">
        <f t="shared" si="246"/>
        <v>0</v>
      </c>
      <c r="FW64" s="1029">
        <f t="shared" si="401"/>
        <v>0</v>
      </c>
      <c r="FX64" s="57">
        <f t="shared" si="402"/>
        <v>0</v>
      </c>
      <c r="FY64" s="171" t="str">
        <f t="shared" si="403"/>
        <v/>
      </c>
      <c r="FZ64" s="57">
        <f t="shared" si="247"/>
        <v>0</v>
      </c>
      <c r="GA64" s="57">
        <f>IF(OR(AND(FO$6=1,$L64=0),AND(FO$6=2,$K64=2,$G64=1)),0,IF(AND(FQ$9=2,(OR($F64&gt;1,$K64=1,AND($L64=80,OR($N64=1,AND($N64=2,'#BerechnungDBE'!$AL55&gt;0)))))),IF(FO$4&gt;=$AD$126,0,FY64),IF(FQ$9=3,IF(OR(FO$4&gt;=$AD$127,AND($G64=1,$J64=2,FO$6=2),AND(FO$6=1,$N64&lt;&gt;1)),0,IF(FS64&lt;=120,FY64,IF(FO$4&lt;$AD$124,IF($F64=1,60/FQ$4*FQ$6,60/FQ$4*FQ$7),IF($F64=1,120/FQ$4*FQ$6,120/FQ$4*FQ$7)))),IF(OR($F64=3,$G64=2),IF(OR(AND(FO$4&gt;=$AD$119,$C64=2),AND(FO$4&gt;=$AF$119,$C64=1)),0,IF(FS64&lt;=60,FY64,60/FQ$4*FQ$7)),IF(AND($F64=2,$G64=1),FY64,0)))))</f>
        <v>0</v>
      </c>
      <c r="GB64" s="57" t="str">
        <f t="shared" si="70"/>
        <v/>
      </c>
      <c r="GC64" s="57" t="str">
        <f t="shared" si="404"/>
        <v/>
      </c>
      <c r="GD64" s="713">
        <f>'org. Düngung 22'!AZ63</f>
        <v>0</v>
      </c>
      <c r="GE64" s="57"/>
      <c r="GF64" s="57"/>
      <c r="GG64" s="57">
        <f t="shared" si="72"/>
        <v>0</v>
      </c>
      <c r="GH64" s="57">
        <f t="shared" si="248"/>
        <v>0</v>
      </c>
      <c r="GI64" s="57">
        <f t="shared" si="249"/>
        <v>0</v>
      </c>
      <c r="GJ64" s="57">
        <f t="shared" si="250"/>
        <v>0</v>
      </c>
      <c r="GK64" s="57">
        <f t="shared" si="251"/>
        <v>0</v>
      </c>
      <c r="GL64" s="1029">
        <f t="shared" si="405"/>
        <v>0</v>
      </c>
      <c r="GM64" s="57">
        <f t="shared" si="406"/>
        <v>0</v>
      </c>
      <c r="GN64" s="171" t="str">
        <f t="shared" si="407"/>
        <v/>
      </c>
      <c r="GO64" s="57">
        <f t="shared" si="252"/>
        <v>0</v>
      </c>
      <c r="GP64" s="57">
        <f>IF(OR(AND(GD$6=1,$L64=0),AND(GD$6=2,$K64=2,$G64=1)),0,IF(AND(GF$9=2,(OR($F64&gt;1,$K64=1,AND($L64=80,OR($N64=1,AND($N64=2,'#BerechnungDBE'!$AL55&gt;0)))))),IF(GD$4&gt;=$AD$126,0,GN64),IF(GF$9=3,IF(OR(GD$4&gt;=$AD$127,AND($G64=1,$J64=2,GD$6=2),AND(GD$6=1,$N64&lt;&gt;1)),0,IF(GH64&lt;=120,GN64,IF(GD$4&lt;$AD$124,IF($F64=1,60/GF$4*GF$6,60/GF$4*GF$7),IF($F64=1,120/GF$4*GF$6,120/GF$4*GF$7)))),IF(OR($F64=3,$G64=2),IF(OR(AND(GD$4&gt;=$AD$119,$C64=2),AND(GD$4&gt;=$AF$119,$C64=1)),0,IF(GH64&lt;=60,GN64,60/GF$4*GF$7)),IF(AND($F64=2,$G64=1),GN64,0)))))</f>
        <v>0</v>
      </c>
      <c r="GQ64" s="57" t="str">
        <f t="shared" si="76"/>
        <v/>
      </c>
      <c r="GR64" s="57" t="str">
        <f t="shared" si="408"/>
        <v/>
      </c>
      <c r="GS64" s="713">
        <f>'org. Düngung 22'!BD63</f>
        <v>0</v>
      </c>
      <c r="GT64" s="57"/>
      <c r="GU64" s="57"/>
      <c r="GV64" s="57">
        <f t="shared" si="78"/>
        <v>0</v>
      </c>
      <c r="GW64" s="57">
        <f t="shared" si="253"/>
        <v>0</v>
      </c>
      <c r="GX64" s="57">
        <f t="shared" si="254"/>
        <v>0</v>
      </c>
      <c r="GY64" s="57">
        <f t="shared" si="255"/>
        <v>0</v>
      </c>
      <c r="GZ64" s="57">
        <f t="shared" si="256"/>
        <v>0</v>
      </c>
      <c r="HA64" s="1029">
        <f t="shared" si="409"/>
        <v>0</v>
      </c>
      <c r="HB64" s="57">
        <f t="shared" si="410"/>
        <v>0</v>
      </c>
      <c r="HC64" s="171" t="str">
        <f t="shared" si="411"/>
        <v/>
      </c>
      <c r="HD64" s="57">
        <f t="shared" si="257"/>
        <v>0</v>
      </c>
      <c r="HE64" s="57">
        <f>IF(OR(AND(GS$6=1,$L64=0),AND(GS$6=2,$K64=2,$G64=1)),0,IF(AND(GU$9=2,(OR($F64&gt;1,$K64=1,AND($L64=80,OR($N64=1,AND($N64=2,'#BerechnungDBE'!$AL55&gt;0)))))),IF(GS$4&gt;=$AD$126,0,HC64),IF(GU$9=3,IF(OR(GS$4&gt;=$AD$127,AND($G64=1,$J64=2,GS$6=2),AND(GS$6=1,$N64&lt;&gt;1)),0,IF(GW64&lt;=120,HC64,IF(GS$4&lt;$AD$124,IF($F64=1,60/GU$4*GU$6,60/GU$4*GU$7),IF($F64=1,120/GU$4*GU$6,120/GU$4*GU$7)))),IF(OR($F64=3,$G64=2),IF(OR(AND(GS$4&gt;=$AD$119,$C64=2),AND(GS$4&gt;=$AF$119,$C64=1)),0,IF(GW64&lt;=60,HC64,60/GU$4*GU$7)),IF(AND($F64=2,$G64=1),HC64,0)))))</f>
        <v>0</v>
      </c>
      <c r="HF64" s="57" t="str">
        <f t="shared" si="82"/>
        <v/>
      </c>
      <c r="HG64" s="57" t="str">
        <f t="shared" si="412"/>
        <v/>
      </c>
      <c r="HH64" s="713">
        <f>'org. Düngung 22'!BH63</f>
        <v>0</v>
      </c>
      <c r="HI64" s="57"/>
      <c r="HJ64" s="57"/>
      <c r="HK64" s="57">
        <f t="shared" si="84"/>
        <v>0</v>
      </c>
      <c r="HL64" s="57">
        <f t="shared" si="258"/>
        <v>0</v>
      </c>
      <c r="HM64" s="57">
        <f t="shared" si="259"/>
        <v>0</v>
      </c>
      <c r="HN64" s="57">
        <f t="shared" si="260"/>
        <v>0</v>
      </c>
      <c r="HO64" s="57">
        <f t="shared" si="261"/>
        <v>0</v>
      </c>
      <c r="HP64" s="1029">
        <f t="shared" si="413"/>
        <v>0</v>
      </c>
      <c r="HQ64" s="57">
        <f t="shared" si="414"/>
        <v>0</v>
      </c>
      <c r="HR64" s="171" t="str">
        <f t="shared" si="415"/>
        <v/>
      </c>
      <c r="HS64" s="57">
        <f t="shared" si="262"/>
        <v>0</v>
      </c>
      <c r="HT64" s="57">
        <f>IF(OR(AND(HH$6=1,$L64=0),AND(HH$6=2,$K64=2,$G64=1)),0,IF(AND(HJ$9=2,(OR($F64&gt;1,$K64=1,AND($L64=80,OR($N64=1,AND($N64=2,'#BerechnungDBE'!$AL55&gt;0)))))),IF(HH$4&gt;=$AD$126,0,HR64),IF(HJ$9=3,IF(OR(HH$4&gt;=$AD$127,AND($G64=1,$J64=2,HH$6=2),AND(HH$6=1,$N64&lt;&gt;1)),0,IF(HL64&lt;=120,HR64,IF(HH$4&lt;$AD$124,IF($F64=1,60/HJ$4*HJ$6,60/HJ$4*HJ$7),IF($F64=1,120/HJ$4*HJ$6,120/HJ$4*HJ$7)))),IF(OR($F64=3,$G64=2),IF(OR(AND(HH$4&gt;=$AD$119,$C64=2),AND(HH$4&gt;=$AF$119,$C64=1)),0,IF(HL64&lt;=60,HR64,60/HJ$4*HJ$7)),IF(AND($F64=2,$G64=1),HR64,0)))))</f>
        <v>0</v>
      </c>
      <c r="HU64" s="57" t="str">
        <f t="shared" si="88"/>
        <v/>
      </c>
      <c r="HV64" s="57" t="str">
        <f t="shared" si="416"/>
        <v/>
      </c>
      <c r="HW64" s="713">
        <f>'org. Düngung 22'!BL63</f>
        <v>0</v>
      </c>
      <c r="HX64" s="57"/>
      <c r="HY64" s="57"/>
      <c r="HZ64" s="57">
        <f t="shared" si="90"/>
        <v>0</v>
      </c>
      <c r="IA64" s="57">
        <f t="shared" si="263"/>
        <v>0</v>
      </c>
      <c r="IB64" s="57">
        <f t="shared" si="264"/>
        <v>0</v>
      </c>
      <c r="IC64" s="57">
        <f t="shared" si="265"/>
        <v>0</v>
      </c>
      <c r="ID64" s="57">
        <f t="shared" si="266"/>
        <v>0</v>
      </c>
      <c r="IE64" s="1029">
        <f t="shared" si="417"/>
        <v>0</v>
      </c>
      <c r="IF64" s="57">
        <f t="shared" si="418"/>
        <v>0</v>
      </c>
      <c r="IG64" s="171" t="str">
        <f t="shared" si="419"/>
        <v/>
      </c>
      <c r="IH64" s="57">
        <f t="shared" si="267"/>
        <v>0</v>
      </c>
      <c r="II64" s="57">
        <f>IF(OR(AND(HW$6=1,$L64=0),AND(HW$6=2,$K64=2,$G64=1)),0,IF(AND(HY$9=2,(OR($F64&gt;1,$K64=1,AND($L64=80,OR($N64=1,AND($N64=2,'#BerechnungDBE'!$AL55&gt;0)))))),IF(HW$4&gt;=$AD$126,0,IG64),IF(HY$9=3,IF(OR(HW$4&gt;=$AD$127,AND($G64=1,$J64=2,HW$6=2),AND(HW$6=1,$N64&lt;&gt;1)),0,IF(IA64&lt;=120,IG64,IF(HW$4&lt;$AD$124,IF($F64=1,60/HY$4*HY$6,60/HY$4*HY$7),IF($F64=1,120/HY$4*HY$6,120/HY$4*HY$7)))),IF(OR($F64=3,$G64=2),IF(OR(AND(HW$4&gt;=$AD$119,$C64=2),AND(HW$4&gt;=$AF$119,$C64=1)),0,IF(IA64&lt;=60,IG64,60/HY$4*HY$7)),IF(AND($F64=2,$G64=1),IG64,0)))))</f>
        <v>0</v>
      </c>
      <c r="IJ64" s="57" t="str">
        <f t="shared" si="94"/>
        <v/>
      </c>
      <c r="IK64" s="57" t="str">
        <f t="shared" si="420"/>
        <v/>
      </c>
      <c r="IL64" s="713">
        <f>'org. Düngung 22'!BP63</f>
        <v>0</v>
      </c>
      <c r="IM64" s="57"/>
      <c r="IN64" s="57"/>
      <c r="IO64" s="57">
        <f t="shared" si="96"/>
        <v>0</v>
      </c>
      <c r="IP64" s="57">
        <f t="shared" si="268"/>
        <v>0</v>
      </c>
      <c r="IQ64" s="57">
        <f t="shared" si="269"/>
        <v>0</v>
      </c>
      <c r="IR64" s="57">
        <f t="shared" si="270"/>
        <v>0</v>
      </c>
      <c r="IS64" s="57">
        <f t="shared" si="271"/>
        <v>0</v>
      </c>
      <c r="IT64" s="1029">
        <f t="shared" si="421"/>
        <v>0</v>
      </c>
      <c r="IU64" s="57">
        <f t="shared" si="422"/>
        <v>0</v>
      </c>
      <c r="IV64" s="171" t="str">
        <f t="shared" si="423"/>
        <v/>
      </c>
      <c r="IW64" s="57">
        <f t="shared" si="272"/>
        <v>0</v>
      </c>
      <c r="IX64" s="57">
        <f>IF(OR(AND(IL$6=1,$L64=0),AND(IL$6=2,$K64=2,$G64=1)),0,IF(AND(IN$9=2,(OR($F64&gt;1,$K64=1,AND($L64=80,OR($N64=1,AND($N64=2,'#BerechnungDBE'!$AL55&gt;0)))))),IF(IL$4&gt;=$AD$126,0,IV64),IF(IN$9=3,IF(OR(IL$4&gt;=$AD$127,AND($G64=1,$J64=2,IL$6=2),AND(IL$6=1,$N64&lt;&gt;1)),0,IF(IP64&lt;=120,IV64,IF(IL$4&lt;$AD$124,IF($F64=1,60/IN$4*IN$6,60/IN$4*IN$7),IF($F64=1,120/IN$4*IN$6,120/IN$4*IN$7)))),IF(OR($F64=3,$G64=2),IF(OR(AND(IL$4&gt;=$AD$119,$C64=2),AND(IL$4&gt;=$AF$119,$C64=1)),0,IF(IP64&lt;=60,IV64,60/IN$4*IN$7)),IF(AND($F64=2,$G64=1),IV64,0)))))</f>
        <v>0</v>
      </c>
      <c r="IY64" s="57" t="str">
        <f t="shared" si="100"/>
        <v/>
      </c>
      <c r="IZ64" s="57" t="str">
        <f t="shared" si="424"/>
        <v/>
      </c>
      <c r="JA64" s="713">
        <f>'org. Düngung 22'!BT63</f>
        <v>0</v>
      </c>
      <c r="JB64" s="57"/>
      <c r="JC64" s="57"/>
      <c r="JD64" s="57">
        <f t="shared" si="102"/>
        <v>0</v>
      </c>
      <c r="JE64" s="57">
        <f t="shared" si="273"/>
        <v>0</v>
      </c>
      <c r="JF64" s="57">
        <f t="shared" si="274"/>
        <v>0</v>
      </c>
      <c r="JG64" s="57">
        <f t="shared" si="275"/>
        <v>0</v>
      </c>
      <c r="JH64" s="57">
        <f t="shared" si="276"/>
        <v>0</v>
      </c>
      <c r="JI64" s="1029">
        <f t="shared" si="425"/>
        <v>0</v>
      </c>
      <c r="JJ64" s="57">
        <f t="shared" si="426"/>
        <v>0</v>
      </c>
      <c r="JK64" s="171" t="str">
        <f t="shared" si="427"/>
        <v/>
      </c>
      <c r="JL64" s="57">
        <f t="shared" si="277"/>
        <v>0</v>
      </c>
      <c r="JM64" s="57">
        <f>IF(OR(AND(JA$6=1,$L64=0),AND(JA$6=2,$K64=2,$G64=1)),0,IF(AND(JC$9=2,(OR($F64&gt;1,$K64=1,AND($L64=80,OR($N64=1,AND($N64=2,'#BerechnungDBE'!$AL55&gt;0)))))),IF(JA$4&gt;=$AD$126,0,JK64),IF(JC$9=3,IF(OR(JA$4&gt;=$AD$127,AND($G64=1,$J64=2,JA$6=2),AND(JA$6=1,$N64&lt;&gt;1)),0,IF(JE64&lt;=120,JK64,IF(JA$4&lt;$AD$124,IF($F64=1,60/JC$4*JC$6,60/JC$4*JC$7),IF($F64=1,120/JC$4*JC$6,120/JC$4*JC$7)))),IF(OR($F64=3,$G64=2),IF(OR(AND(JA$4&gt;=$AD$119,$C64=2),AND(JA$4&gt;=$AF$119,$C64=1)),0,IF(JE64&lt;=60,JK64,60/JC$4*JC$7)),IF(AND($F64=2,$G64=1),JK64,0)))))</f>
        <v>0</v>
      </c>
      <c r="JN64" s="57" t="str">
        <f t="shared" si="106"/>
        <v/>
      </c>
      <c r="JO64" s="57" t="str">
        <f t="shared" si="428"/>
        <v/>
      </c>
      <c r="JP64" s="713">
        <f>'org. Düngung 22'!BX63</f>
        <v>0</v>
      </c>
      <c r="JQ64" s="57"/>
      <c r="JR64" s="57"/>
      <c r="JS64" s="57">
        <f t="shared" si="108"/>
        <v>0</v>
      </c>
      <c r="JT64" s="57">
        <f t="shared" si="278"/>
        <v>0</v>
      </c>
      <c r="JU64" s="57">
        <f t="shared" si="279"/>
        <v>0</v>
      </c>
      <c r="JV64" s="57">
        <f t="shared" si="280"/>
        <v>0</v>
      </c>
      <c r="JW64" s="57">
        <f t="shared" si="281"/>
        <v>0</v>
      </c>
      <c r="JX64" s="1029">
        <f t="shared" si="429"/>
        <v>0</v>
      </c>
      <c r="JY64" s="57">
        <f t="shared" si="430"/>
        <v>0</v>
      </c>
      <c r="JZ64" s="171" t="str">
        <f t="shared" si="431"/>
        <v/>
      </c>
      <c r="KA64" s="57">
        <f t="shared" si="282"/>
        <v>0</v>
      </c>
      <c r="KB64" s="57">
        <f>IF(OR(AND(JP$6=1,$L64=0),AND(JP$6=2,$K64=2,$G64=1)),0,IF(AND(JR$9=2,(OR($F64&gt;1,$K64=1,AND($L64=80,OR($N64=1,AND($N64=2,'#BerechnungDBE'!$AL55&gt;0)))))),IF(JP$4&gt;=$AD$126,0,JZ64),IF(JR$9=3,IF(OR(JP$4&gt;=$AD$127,AND($G64=1,$J64=2,JP$6=2),AND(JP$6=1,$N64&lt;&gt;1)),0,IF(JT64&lt;=120,JZ64,IF(JP$4&lt;$AD$124,IF($F64=1,60/JR$4*JR$6,60/JR$4*JR$7),IF($F64=1,120/JR$4*JR$6,120/JR$4*JR$7)))),IF(OR($F64=3,$G64=2),IF(OR(AND(JP$4&gt;=$AD$119,$C64=2),AND(JP$4&gt;=$AF$119,$C64=1)),0,IF(JT64&lt;=60,JZ64,60/JR$4*JR$7)),IF(AND($F64=2,$G64=1),JZ64,0)))))</f>
        <v>0</v>
      </c>
      <c r="KC64" s="57" t="str">
        <f t="shared" si="112"/>
        <v/>
      </c>
      <c r="KD64" s="57" t="str">
        <f t="shared" si="432"/>
        <v/>
      </c>
      <c r="KE64" s="713">
        <f>'org. Düngung 22'!CB63</f>
        <v>0</v>
      </c>
      <c r="KF64" s="57"/>
      <c r="KG64" s="57"/>
      <c r="KH64" s="57">
        <f t="shared" si="114"/>
        <v>0</v>
      </c>
      <c r="KI64" s="57">
        <f t="shared" si="283"/>
        <v>0</v>
      </c>
      <c r="KJ64" s="57">
        <f t="shared" si="284"/>
        <v>0</v>
      </c>
      <c r="KK64" s="57">
        <f t="shared" si="285"/>
        <v>0</v>
      </c>
      <c r="KL64" s="57">
        <f t="shared" si="286"/>
        <v>0</v>
      </c>
      <c r="KM64" s="1029">
        <f t="shared" si="433"/>
        <v>0</v>
      </c>
      <c r="KN64" s="57">
        <f t="shared" si="434"/>
        <v>0</v>
      </c>
      <c r="KO64" s="171" t="str">
        <f t="shared" si="435"/>
        <v/>
      </c>
      <c r="KP64" s="57">
        <f t="shared" si="287"/>
        <v>0</v>
      </c>
      <c r="KQ64" s="57">
        <f>IF(OR(AND(KE$6=1,$L64=0),AND(KE$6=2,$K64=2,$G64=1)),0,IF(AND(KG$9=2,(OR($F64&gt;1,$K64=1,AND($L64=80,OR($N64=1,AND($N64=2,'#BerechnungDBE'!$AL55&gt;0)))))),IF(KE$4&gt;=$AD$126,0,KO64),IF(KG$9=3,IF(OR(KE$4&gt;=$AD$127,AND($G64=1,$J64=2,KE$6=2),AND(KE$6=1,$N64&lt;&gt;1)),0,IF(KI64&lt;=120,KO64,IF(KE$4&lt;$AD$124,IF($F64=1,60/KG$4*KG$6,60/KG$4*KG$7),IF($F64=1,120/KG$4*KG$6,120/KG$4*KG$7)))),IF(OR($F64=3,$G64=2),IF(OR(AND(KE$4&gt;=$AD$119,$C64=2),AND(KE$4&gt;=$AF$119,$C64=1)),0,IF(KI64&lt;=60,KO64,60/KG$4*KG$7)),IF(AND($F64=2,$G64=1),KO64,0)))))</f>
        <v>0</v>
      </c>
      <c r="KR64" s="57" t="str">
        <f t="shared" si="118"/>
        <v/>
      </c>
      <c r="KS64" s="57" t="str">
        <f t="shared" si="436"/>
        <v/>
      </c>
      <c r="KT64" s="713">
        <f>'org. Düngung 22'!CF63</f>
        <v>0</v>
      </c>
      <c r="KU64" s="57"/>
      <c r="KV64" s="57"/>
      <c r="KW64" s="57">
        <f t="shared" si="120"/>
        <v>0</v>
      </c>
      <c r="KX64" s="57">
        <f t="shared" si="288"/>
        <v>0</v>
      </c>
      <c r="KY64" s="57">
        <f t="shared" si="289"/>
        <v>0</v>
      </c>
      <c r="KZ64" s="57">
        <f t="shared" si="290"/>
        <v>0</v>
      </c>
      <c r="LA64" s="57">
        <f t="shared" si="291"/>
        <v>0</v>
      </c>
      <c r="LB64" s="1029">
        <f t="shared" si="437"/>
        <v>0</v>
      </c>
      <c r="LC64" s="57">
        <f t="shared" si="438"/>
        <v>0</v>
      </c>
      <c r="LD64" s="171" t="str">
        <f t="shared" si="439"/>
        <v/>
      </c>
      <c r="LE64" s="57">
        <f t="shared" si="292"/>
        <v>0</v>
      </c>
      <c r="LF64" s="57">
        <f>IF(OR(AND(KT$6=1,$L64=0),AND(KT$6=2,$K64=2,$G64=1)),0,IF(AND(KV$9=2,(OR($F64&gt;1,$K64=1,AND($L64=80,OR($N64=1,AND($N64=2,'#BerechnungDBE'!$AL55&gt;0)))))),IF(KT$4&gt;=$AD$126,0,LD64),IF(KV$9=3,IF(OR(KT$4&gt;=$AD$127,AND($G64=1,$J64=2,KT$6=2),AND(KT$6=1,$N64&lt;&gt;1)),0,IF(KX64&lt;=120,LD64,IF(KT$4&lt;$AD$124,IF($F64=1,60/KV$4*KV$6,60/KV$4*KV$7),IF($F64=1,120/KV$4*KV$6,120/KV$4*KV$7)))),IF(OR($F64=3,$G64=2),IF(OR(AND(KT$4&gt;=$AD$119,$C64=2),AND(KT$4&gt;=$AF$119,$C64=1)),0,IF(KX64&lt;=60,LD64,60/KV$4*KV$7)),IF(AND($F64=2,$G64=1),LD64,0)))))</f>
        <v>0</v>
      </c>
      <c r="LG64" s="57" t="str">
        <f t="shared" si="124"/>
        <v/>
      </c>
      <c r="LH64" s="57" t="str">
        <f t="shared" si="440"/>
        <v/>
      </c>
      <c r="LI64" s="713">
        <f>'org. Düngung 22'!CJ63</f>
        <v>0</v>
      </c>
      <c r="LJ64" s="57"/>
      <c r="LK64" s="57"/>
      <c r="LL64" s="57">
        <f t="shared" si="126"/>
        <v>0</v>
      </c>
      <c r="LM64" s="57">
        <f t="shared" si="293"/>
        <v>0</v>
      </c>
      <c r="LN64" s="57">
        <f t="shared" si="294"/>
        <v>0</v>
      </c>
      <c r="LO64" s="57">
        <f t="shared" si="295"/>
        <v>0</v>
      </c>
      <c r="LP64" s="57">
        <f t="shared" si="296"/>
        <v>0</v>
      </c>
      <c r="LQ64" s="1029">
        <f t="shared" si="441"/>
        <v>0</v>
      </c>
      <c r="LR64" s="57">
        <f t="shared" si="442"/>
        <v>0</v>
      </c>
      <c r="LS64" s="171" t="str">
        <f t="shared" si="443"/>
        <v/>
      </c>
      <c r="LT64" s="57">
        <f t="shared" si="297"/>
        <v>0</v>
      </c>
      <c r="LU64" s="57">
        <f>IF(OR(AND(LI$6=1,$L64=0),AND(LI$6=2,$K64=2,$G64=1)),0,IF(AND(LK$9=2,(OR($F64&gt;1,$K64=1,AND($L64=80,OR($N64=1,AND($N64=2,'#BerechnungDBE'!$AL55&gt;0)))))),IF(LI$4&gt;=$AD$126,0,LS64),IF(LK$9=3,IF(OR(LI$4&gt;=$AD$127,AND($G64=1,$J64=2,LI$6=2),AND(LI$6=1,$N64&lt;&gt;1)),0,IF(LM64&lt;=120,LS64,IF(LI$4&lt;$AD$124,IF($F64=1,60/LK$4*LK$6,60/LK$4*LK$7),IF($F64=1,120/LK$4*LK$6,120/LK$4*LK$7)))),IF(OR($F64=3,$G64=2),IF(OR(AND(LI$4&gt;=$AD$119,$C64=2),AND(LI$4&gt;=$AF$119,$C64=1)),0,IF(LM64&lt;=60,LS64,60/LK$4*LK$7)),IF(AND($F64=2,$G64=1),LS64,0)))))</f>
        <v>0</v>
      </c>
      <c r="LV64" s="57" t="str">
        <f t="shared" si="130"/>
        <v/>
      </c>
      <c r="LW64" s="57" t="str">
        <f t="shared" si="444"/>
        <v/>
      </c>
      <c r="LX64" s="713">
        <f>'org. Düngung 22'!CN63</f>
        <v>0</v>
      </c>
      <c r="LY64" s="57"/>
      <c r="LZ64" s="57"/>
      <c r="MA64" s="57">
        <f t="shared" si="132"/>
        <v>0</v>
      </c>
      <c r="MB64" s="57">
        <f t="shared" si="298"/>
        <v>0</v>
      </c>
      <c r="MC64" s="57">
        <f t="shared" si="299"/>
        <v>0</v>
      </c>
      <c r="MD64" s="57">
        <f t="shared" si="300"/>
        <v>0</v>
      </c>
      <c r="ME64" s="57">
        <f t="shared" si="301"/>
        <v>0</v>
      </c>
      <c r="MF64" s="1029">
        <f t="shared" si="445"/>
        <v>0</v>
      </c>
      <c r="MG64" s="57">
        <f t="shared" si="446"/>
        <v>0</v>
      </c>
      <c r="MH64" s="171" t="str">
        <f t="shared" si="447"/>
        <v/>
      </c>
      <c r="MI64" s="57">
        <f t="shared" si="302"/>
        <v>0</v>
      </c>
      <c r="MJ64" s="57">
        <f>IF(OR(AND(LX$6=1,$L64=0),AND(LX$6=2,$K64=2,$G64=1)),0,IF(AND(LZ$9=2,(OR($F64&gt;1,$K64=1,AND($L64=80,OR($N64=1,AND($N64=2,'#BerechnungDBE'!$AL55&gt;0)))))),IF(LX$4&gt;=$AD$126,0,MH64),IF(LZ$9=3,IF(OR(LX$4&gt;=$AD$127,AND($G64=1,$J64=2,LX$6=2),AND(LX$6=1,$N64&lt;&gt;1)),0,IF(MB64&lt;=120,MH64,IF(LX$4&lt;$AD$124,IF($F64=1,60/LZ$4*LZ$6,60/LZ$4*LZ$7),IF($F64=1,120/LZ$4*LZ$6,120/LZ$4*LZ$7)))),IF(OR($F64=3,$G64=2),IF(OR(AND(LX$4&gt;=$AD$119,$C64=2),AND(LX$4&gt;=$AF$119,$C64=1)),0,IF(MB64&lt;=60,MH64,60/LZ$4*LZ$7)),IF(AND($F64=2,$G64=1),MH64,0)))))</f>
        <v>0</v>
      </c>
      <c r="MK64" s="57" t="str">
        <f t="shared" si="136"/>
        <v/>
      </c>
      <c r="ML64" s="57" t="str">
        <f t="shared" si="448"/>
        <v/>
      </c>
      <c r="MM64" s="713">
        <f>'org. Düngung 22'!CR63</f>
        <v>0</v>
      </c>
      <c r="MN64" s="57"/>
      <c r="MO64" s="57"/>
      <c r="MP64" s="57">
        <f t="shared" si="138"/>
        <v>0</v>
      </c>
      <c r="MQ64" s="57">
        <f t="shared" si="303"/>
        <v>0</v>
      </c>
      <c r="MR64" s="57">
        <f t="shared" si="304"/>
        <v>0</v>
      </c>
      <c r="MS64" s="57">
        <f t="shared" si="305"/>
        <v>0</v>
      </c>
      <c r="MT64" s="57">
        <f t="shared" si="306"/>
        <v>0</v>
      </c>
      <c r="MU64" s="1029">
        <f t="shared" si="449"/>
        <v>0</v>
      </c>
      <c r="MV64" s="57">
        <f t="shared" si="450"/>
        <v>0</v>
      </c>
      <c r="MW64" s="171" t="str">
        <f t="shared" si="451"/>
        <v/>
      </c>
      <c r="MX64" s="57">
        <f t="shared" si="307"/>
        <v>0</v>
      </c>
      <c r="MY64" s="57">
        <f>IF(OR(AND(MM$6=1,$L64=0),AND(MM$6=2,$K64=2,$G64=1)),0,IF(AND(MO$9=2,(OR($F64&gt;1,$K64=1,AND($L64=80,OR($N64=1,AND($N64=2,'#BerechnungDBE'!$AL55&gt;0)))))),IF(MM$4&gt;=$AD$126,0,MW64),IF(MO$9=3,IF(OR(MM$4&gt;=$AD$127,AND($G64=1,$J64=2,MM$6=2),AND(MM$6=1,$N64&lt;&gt;1)),0,IF(MQ64&lt;=120,MW64,IF(MM$4&lt;$AD$124,IF($F64=1,60/MO$4*MO$6,60/MO$4*MO$7),IF($F64=1,120/MO$4*MO$6,120/MO$4*MO$7)))),IF(OR($F64=3,$G64=2),IF(OR(AND(MM$4&gt;=$AD$119,$C64=2),AND(MM$4&gt;=$AF$119,$C64=1)),0,IF(MQ64&lt;=60,MW64,60/MO$4*MO$7)),IF(AND($F64=2,$G64=1),MW64,0)))))</f>
        <v>0</v>
      </c>
      <c r="MZ64" s="57" t="str">
        <f t="shared" si="142"/>
        <v/>
      </c>
      <c r="NA64" s="57" t="str">
        <f t="shared" si="452"/>
        <v/>
      </c>
      <c r="NB64" s="713">
        <f>'org. Düngung 22'!CV63</f>
        <v>0</v>
      </c>
      <c r="NC64" s="57"/>
      <c r="ND64" s="57"/>
      <c r="NE64" s="57">
        <f t="shared" si="144"/>
        <v>0</v>
      </c>
      <c r="NF64" s="57">
        <f t="shared" si="308"/>
        <v>0</v>
      </c>
      <c r="NG64" s="57">
        <f t="shared" si="309"/>
        <v>0</v>
      </c>
      <c r="NH64" s="57">
        <f t="shared" si="310"/>
        <v>0</v>
      </c>
      <c r="NI64" s="57">
        <f t="shared" si="311"/>
        <v>0</v>
      </c>
      <c r="NJ64" s="1029">
        <f t="shared" si="453"/>
        <v>0</v>
      </c>
      <c r="NK64" s="57">
        <f t="shared" si="454"/>
        <v>0</v>
      </c>
      <c r="NL64" s="171" t="str">
        <f t="shared" si="455"/>
        <v/>
      </c>
      <c r="NM64" s="57">
        <f t="shared" si="312"/>
        <v>0</v>
      </c>
      <c r="NN64" s="57">
        <f>IF(OR(AND(NB$6=1,$L64=0),AND(NB$6=2,$K64=2,$G64=1)),0,IF(AND(ND$9=2,(OR($F64&gt;1,$K64=1,AND($L64=80,OR($N64=1,AND($N64=2,'#BerechnungDBE'!$AL55&gt;0)))))),IF(NB$4&gt;=$AD$126,0,NL64),IF(ND$9=3,IF(OR(NB$4&gt;=$AD$127,AND($G64=1,$J64=2,NB$6=2),AND(NB$6=1,$N64&lt;&gt;1)),0,IF(NF64&lt;=120,NL64,IF(NB$4&lt;$AD$124,IF($F64=1,60/ND$4*ND$6,60/ND$4*ND$7),IF($F64=1,120/ND$4*ND$6,120/ND$4*ND$7)))),IF(OR($F64=3,$G64=2),IF(OR(AND(NB$4&gt;=$AD$119,$C64=2),AND(NB$4&gt;=$AF$119,$C64=1)),0,IF(NF64&lt;=60,NL64,60/ND$4*ND$7)),IF(AND($F64=2,$G64=1),NL64,0)))))</f>
        <v>0</v>
      </c>
      <c r="NO64" s="57" t="str">
        <f t="shared" si="148"/>
        <v/>
      </c>
      <c r="NP64" s="57" t="str">
        <f t="shared" si="456"/>
        <v/>
      </c>
      <c r="NQ64" s="713">
        <f>'org. Düngung 22'!CZ63</f>
        <v>0</v>
      </c>
      <c r="NR64" s="57"/>
      <c r="NS64" s="57"/>
      <c r="NT64" s="57">
        <f t="shared" si="150"/>
        <v>0</v>
      </c>
      <c r="NU64" s="57">
        <f t="shared" si="313"/>
        <v>0</v>
      </c>
      <c r="NV64" s="57">
        <f t="shared" si="314"/>
        <v>0</v>
      </c>
      <c r="NW64" s="57">
        <f t="shared" si="315"/>
        <v>0</v>
      </c>
      <c r="NX64" s="57">
        <f t="shared" si="316"/>
        <v>0</v>
      </c>
      <c r="NY64" s="1029">
        <f t="shared" si="457"/>
        <v>0</v>
      </c>
      <c r="NZ64" s="57">
        <f t="shared" si="458"/>
        <v>0</v>
      </c>
      <c r="OA64" s="171" t="str">
        <f t="shared" si="459"/>
        <v/>
      </c>
      <c r="OB64" s="57">
        <f t="shared" si="317"/>
        <v>0</v>
      </c>
      <c r="OC64" s="57">
        <f>IF(OR(AND(NQ$6=1,$L64=0),AND(NQ$6=2,$K64=2,$G64=1)),0,IF(AND(NS$9=2,(OR($F64&gt;1,$K64=1,AND($L64=80,OR($N64=1,AND($N64=2,'#BerechnungDBE'!$AL55&gt;0)))))),IF(NQ$4&gt;=$AD$126,0,OA64),IF(NS$9=3,IF(OR(NQ$4&gt;=$AD$127,AND($G64=1,$J64=2,NQ$6=2),AND(NQ$6=1,$N64&lt;&gt;1)),0,IF(NU64&lt;=120,OA64,IF(NQ$4&lt;$AD$124,IF($F64=1,60/NS$4*NS$6,60/NS$4*NS$7),IF($F64=1,120/NS$4*NS$6,120/NS$4*NS$7)))),IF(OR($F64=3,$G64=2),IF(OR(AND(NQ$4&gt;=$AD$119,$C64=2),AND(NQ$4&gt;=$AF$119,$C64=1)),0,IF(NU64&lt;=60,OA64,60/NS$4*NS$7)),IF(AND($F64=2,$G64=1),OA64,0)))))</f>
        <v>0</v>
      </c>
      <c r="OD64" s="57" t="str">
        <f t="shared" si="154"/>
        <v/>
      </c>
      <c r="OE64" s="57" t="str">
        <f t="shared" si="460"/>
        <v/>
      </c>
      <c r="OF64" s="713">
        <f>'org. Düngung 22'!DD63</f>
        <v>0</v>
      </c>
      <c r="OG64" s="57"/>
      <c r="OH64" s="57"/>
      <c r="OI64" s="57">
        <f t="shared" si="156"/>
        <v>0</v>
      </c>
      <c r="OJ64" s="57">
        <f t="shared" si="318"/>
        <v>0</v>
      </c>
      <c r="OK64" s="57">
        <f t="shared" si="319"/>
        <v>0</v>
      </c>
      <c r="OL64" s="57">
        <f t="shared" si="320"/>
        <v>0</v>
      </c>
      <c r="OM64" s="57">
        <f t="shared" si="321"/>
        <v>0</v>
      </c>
      <c r="ON64" s="1029">
        <f t="shared" si="461"/>
        <v>0</v>
      </c>
      <c r="OO64" s="57">
        <f t="shared" si="462"/>
        <v>0</v>
      </c>
      <c r="OP64" s="171" t="str">
        <f t="shared" si="463"/>
        <v/>
      </c>
      <c r="OQ64" s="57">
        <f t="shared" si="322"/>
        <v>0</v>
      </c>
      <c r="OR64" s="57">
        <f>IF(OR(AND(OF$6=1,$L64=0),AND(OF$6=2,$K64=2,$G64=1)),0,IF(AND(OH$9=2,(OR($F64&gt;1,$K64=1,AND($L64=80,OR($N64=1,AND($N64=2,'#BerechnungDBE'!$AL55&gt;0)))))),IF(OF$4&gt;=$AD$126,0,OP64),IF(OH$9=3,IF(OR(OF$4&gt;=$AD$127,AND($G64=1,$J64=2,OF$6=2),AND(OF$6=1,$N64&lt;&gt;1)),0,IF(OJ64&lt;=120,OP64,IF(OF$4&lt;$AD$124,IF($F64=1,60/OH$4*OH$6,60/OH$4*OH$7),IF($F64=1,120/OH$4*OH$6,120/OH$4*OH$7)))),IF(OR($F64=3,$G64=2),IF(OR(AND(OF$4&gt;=$AD$119,$C64=2),AND(OF$4&gt;=$AF$119,$C64=1)),0,IF(OJ64&lt;=60,OP64,60/OH$4*OH$7)),IF(AND($F64=2,$G64=1),OP64,0)))))</f>
        <v>0</v>
      </c>
      <c r="OS64" s="57" t="str">
        <f t="shared" si="160"/>
        <v/>
      </c>
      <c r="OT64" s="57" t="str">
        <f t="shared" si="464"/>
        <v/>
      </c>
      <c r="OU64" s="713">
        <f>'org. Düngung 22'!DH63</f>
        <v>0</v>
      </c>
      <c r="OV64" s="57"/>
      <c r="OW64" s="57"/>
      <c r="OX64" s="57">
        <f t="shared" si="162"/>
        <v>0</v>
      </c>
      <c r="OY64" s="57">
        <f t="shared" si="323"/>
        <v>0</v>
      </c>
      <c r="OZ64" s="57">
        <f t="shared" si="324"/>
        <v>0</v>
      </c>
      <c r="PA64" s="57">
        <f t="shared" si="325"/>
        <v>0</v>
      </c>
      <c r="PB64" s="57">
        <f t="shared" si="326"/>
        <v>0</v>
      </c>
      <c r="PC64" s="1029">
        <f t="shared" si="465"/>
        <v>0</v>
      </c>
      <c r="PD64" s="57">
        <f t="shared" si="466"/>
        <v>0</v>
      </c>
      <c r="PE64" s="171" t="str">
        <f t="shared" si="467"/>
        <v/>
      </c>
      <c r="PF64" s="57">
        <f t="shared" si="327"/>
        <v>0</v>
      </c>
      <c r="PG64" s="57">
        <f>IF(OR(AND(OU$6=1,$L64=0),AND(OU$6=2,$K64=2,$G64=1)),0,IF(AND(OW$9=2,(OR($F64&gt;1,$K64=1,AND($L64=80,OR($N64=1,AND($N64=2,'#BerechnungDBE'!$AL55&gt;0)))))),IF(OU$4&gt;=$AD$126,0,PE64),IF(OW$9=3,IF(OR(OU$4&gt;=$AD$127,AND($G64=1,$J64=2,OU$6=2),AND(OU$6=1,$N64&lt;&gt;1)),0,IF(OY64&lt;=120,PE64,IF(OU$4&lt;$AD$124,IF($F64=1,60/OW$4*OW$6,60/OW$4*OW$7),IF($F64=1,120/OW$4*OW$6,120/OW$4*OW$7)))),IF(OR($F64=3,$G64=2),IF(OR(AND(OU$4&gt;=$AD$119,$C64=2),AND(OU$4&gt;=$AF$119,$C64=1)),0,IF(OY64&lt;=60,PE64,60/OW$4*OW$7)),IF(AND($F64=2,$G64=1),PE64,0)))))</f>
        <v>0</v>
      </c>
      <c r="PH64" s="57" t="str">
        <f t="shared" si="166"/>
        <v/>
      </c>
      <c r="PI64" s="57" t="str">
        <f t="shared" si="468"/>
        <v/>
      </c>
      <c r="PJ64" s="713">
        <f>'org. Düngung 22'!DL63</f>
        <v>0</v>
      </c>
      <c r="PK64" s="57"/>
      <c r="PL64" s="57"/>
      <c r="PM64" s="57">
        <f t="shared" si="168"/>
        <v>0</v>
      </c>
      <c r="PN64" s="57">
        <f t="shared" si="328"/>
        <v>0</v>
      </c>
      <c r="PO64" s="57">
        <f t="shared" si="329"/>
        <v>0</v>
      </c>
      <c r="PP64" s="57">
        <f t="shared" si="330"/>
        <v>0</v>
      </c>
      <c r="PQ64" s="57">
        <f t="shared" si="331"/>
        <v>0</v>
      </c>
      <c r="PR64" s="1029">
        <f t="shared" si="469"/>
        <v>0</v>
      </c>
      <c r="PS64" s="57">
        <f t="shared" si="470"/>
        <v>0</v>
      </c>
      <c r="PT64" s="171" t="str">
        <f t="shared" si="471"/>
        <v/>
      </c>
      <c r="PU64" s="57">
        <f t="shared" si="332"/>
        <v>0</v>
      </c>
      <c r="PV64" s="57">
        <f>IF(OR(AND(PJ$6=1,$L64=0),AND(PJ$6=2,$K64=2,$G64=1)),0,IF(AND(PL$9=2,(OR($F64&gt;1,$K64=1,AND($L64=80,OR($N64=1,AND($N64=2,'#BerechnungDBE'!$AL55&gt;0)))))),IF(PJ$4&gt;=$AD$126,0,PT64),IF(PL$9=3,IF(OR(PJ$4&gt;=$AD$127,AND($G64=1,$J64=2,PJ$6=2),AND(PJ$6=1,$N64&lt;&gt;1)),0,IF(PN64&lt;=120,PT64,IF(PJ$4&lt;$AD$124,IF($F64=1,60/PL$4*PL$6,60/PL$4*PL$7),IF($F64=1,120/PL$4*PL$6,120/PL$4*PL$7)))),IF(OR($F64=3,$G64=2),IF(OR(AND(PJ$4&gt;=$AD$119,$C64=2),AND(PJ$4&gt;=$AF$119,$C64=1)),0,IF(PN64&lt;=60,PT64,60/PL$4*PL$7)),IF(AND($F64=2,$G64=1),PT64,0)))))</f>
        <v>0</v>
      </c>
      <c r="PW64" s="57" t="str">
        <f t="shared" si="172"/>
        <v/>
      </c>
      <c r="PX64" s="57" t="str">
        <f t="shared" si="472"/>
        <v/>
      </c>
      <c r="PY64" s="713">
        <f>'org. Düngung 22'!DP63</f>
        <v>0</v>
      </c>
      <c r="PZ64" s="57"/>
      <c r="QA64" s="57"/>
      <c r="QB64" s="57">
        <f t="shared" si="174"/>
        <v>0</v>
      </c>
      <c r="QC64" s="57">
        <f t="shared" si="333"/>
        <v>0</v>
      </c>
      <c r="QD64" s="57">
        <f t="shared" si="334"/>
        <v>0</v>
      </c>
      <c r="QE64" s="57">
        <f t="shared" si="335"/>
        <v>0</v>
      </c>
      <c r="QF64" s="57">
        <f t="shared" si="336"/>
        <v>0</v>
      </c>
      <c r="QG64" s="1029">
        <f t="shared" si="473"/>
        <v>0</v>
      </c>
      <c r="QH64" s="57">
        <f t="shared" si="474"/>
        <v>0</v>
      </c>
      <c r="QI64" s="171" t="str">
        <f t="shared" si="475"/>
        <v/>
      </c>
      <c r="QJ64" s="57">
        <f t="shared" si="337"/>
        <v>0</v>
      </c>
      <c r="QK64" s="57">
        <f>IF(OR(AND(PY$6=1,$L64=0),AND(PY$6=2,$K64=2,$G64=1)),0,IF(AND(QA$9=2,(OR($F64&gt;1,$K64=1,AND($L64=80,OR($N64=1,AND($N64=2,'#BerechnungDBE'!$AL55&gt;0)))))),IF(PY$4&gt;=$AD$126,0,QI64),IF(QA$9=3,IF(OR(PY$4&gt;=$AD$127,AND($G64=1,$J64=2,PY$6=2),AND(PY$6=1,$N64&lt;&gt;1)),0,IF(QC64&lt;=120,QI64,IF(PY$4&lt;$AD$124,IF($F64=1,60/QA$4*QA$6,60/QA$4*QA$7),IF($F64=1,120/QA$4*QA$6,120/QA$4*QA$7)))),IF(OR($F64=3,$G64=2),IF(OR(AND(PY$4&gt;=$AD$119,$C64=2),AND(PY$4&gt;=$AF$119,$C64=1)),0,IF(QC64&lt;=60,QI64,60/QA$4*QA$7)),IF(AND($F64=2,$G64=1),QI64,0)))))</f>
        <v>0</v>
      </c>
      <c r="QL64" s="57" t="str">
        <f t="shared" si="178"/>
        <v/>
      </c>
      <c r="QM64" s="57" t="str">
        <f t="shared" si="476"/>
        <v/>
      </c>
      <c r="QN64" s="713">
        <f>'org. Düngung 22'!DT63</f>
        <v>0</v>
      </c>
      <c r="QO64" s="57"/>
      <c r="QP64" s="57"/>
      <c r="QQ64" s="57">
        <f t="shared" si="180"/>
        <v>0</v>
      </c>
      <c r="QR64" s="57">
        <f t="shared" si="338"/>
        <v>0</v>
      </c>
      <c r="QS64" s="57">
        <f t="shared" si="339"/>
        <v>0</v>
      </c>
      <c r="QT64" s="57">
        <f t="shared" si="340"/>
        <v>0</v>
      </c>
      <c r="QU64" s="57">
        <f t="shared" si="341"/>
        <v>0</v>
      </c>
      <c r="QV64" s="1029">
        <f t="shared" si="477"/>
        <v>0</v>
      </c>
      <c r="QW64" s="57">
        <f t="shared" si="478"/>
        <v>0</v>
      </c>
      <c r="QX64" s="171" t="str">
        <f t="shared" si="479"/>
        <v/>
      </c>
      <c r="QY64" s="57">
        <f t="shared" si="342"/>
        <v>0</v>
      </c>
      <c r="QZ64" s="57">
        <f>IF(OR(AND(QN$6=1,$L64=0),AND(QN$6=2,$K64=2,$G64=1)),0,IF(AND(QP$9=2,(OR($F64&gt;1,$K64=1,AND($L64=80,OR($N64=1,AND($N64=2,'#BerechnungDBE'!$AL55&gt;0)))))),IF(QN$4&gt;=$AD$126,0,QX64),IF(QP$9=3,IF(OR(QN$4&gt;=$AD$127,AND($G64=1,$J64=2,QN$6=2),AND(QN$6=1,$N64&lt;&gt;1)),0,IF(QR64&lt;=120,QX64,IF(QN$4&lt;$AD$124,IF($F64=1,60/QP$4*QP$6,60/QP$4*QP$7),IF($F64=1,120/QP$4*QP$6,120/QP$4*QP$7)))),IF(OR($F64=3,$G64=2),IF(OR(AND(QN$4&gt;=$AD$119,$C64=2),AND(QN$4&gt;=$AF$119,$C64=1)),0,IF(QR64&lt;=60,QX64,60/QP$4*QP$7)),IF(AND($F64=2,$G64=1),QX64,0)))))</f>
        <v>0</v>
      </c>
      <c r="RA64" s="57" t="str">
        <f t="shared" si="184"/>
        <v/>
      </c>
      <c r="RB64" s="57" t="str">
        <f t="shared" si="480"/>
        <v/>
      </c>
      <c r="RC64" s="713">
        <f>'org. Düngung 22'!DX63</f>
        <v>0</v>
      </c>
      <c r="RD64" s="57"/>
      <c r="RE64" s="57"/>
      <c r="RF64" s="57">
        <f t="shared" si="186"/>
        <v>0</v>
      </c>
      <c r="RG64" s="57">
        <f t="shared" si="343"/>
        <v>0</v>
      </c>
      <c r="RH64" s="57">
        <f t="shared" si="344"/>
        <v>0</v>
      </c>
      <c r="RI64" s="57">
        <f t="shared" si="345"/>
        <v>0</v>
      </c>
      <c r="RJ64" s="57">
        <f t="shared" si="346"/>
        <v>0</v>
      </c>
      <c r="RK64" s="1029">
        <f t="shared" si="481"/>
        <v>0</v>
      </c>
      <c r="RL64" s="57">
        <f t="shared" si="482"/>
        <v>0</v>
      </c>
      <c r="RM64" s="171" t="str">
        <f t="shared" si="483"/>
        <v/>
      </c>
      <c r="RN64" s="57">
        <f t="shared" si="347"/>
        <v>0</v>
      </c>
      <c r="RO64" s="57">
        <f>IF(OR(AND(RC$6=1,$L64=0),AND(RC$6=2,$K64=2,$G64=1)),0,IF(AND(RE$9=2,(OR($F64&gt;1,$K64=1,AND($L64=80,OR($N64=1,AND($N64=2,'#BerechnungDBE'!$AL55&gt;0)))))),IF(RC$4&gt;=$AD$126,0,RM64),IF(RE$9=3,IF(OR(RC$4&gt;=$AD$127,AND($G64=1,$J64=2,RC$6=2),AND(RC$6=1,$N64&lt;&gt;1)),0,IF(RG64&lt;=120,RM64,IF(RC$4&lt;$AD$124,IF($F64=1,60/RE$4*RE$6,60/RE$4*RE$7),IF($F64=1,120/RE$4*RE$6,120/RE$4*RE$7)))),IF(OR($F64=3,$G64=2),IF(OR(AND(RC$4&gt;=$AD$119,$C64=2),AND(RC$4&gt;=$AF$119,$C64=1)),0,IF(RG64&lt;=60,RM64,60/RE$4*RE$7)),IF(AND($F64=2,$G64=1),RM64,0)))))</f>
        <v>0</v>
      </c>
      <c r="RP64" s="57" t="str">
        <f t="shared" si="190"/>
        <v/>
      </c>
      <c r="RQ64" s="57" t="str">
        <f t="shared" si="484"/>
        <v/>
      </c>
      <c r="RS64" s="57" t="str">
        <f t="shared" si="488"/>
        <v/>
      </c>
      <c r="RT64" s="57" t="str">
        <f t="shared" si="485"/>
        <v/>
      </c>
      <c r="RU64" s="57" t="str">
        <f t="shared" si="486"/>
        <v/>
      </c>
      <c r="RV64" s="57" t="str">
        <f>IF(Z64&gt;'#BerechnungDBE'!BM55,$RV$9,"")</f>
        <v/>
      </c>
      <c r="RW64" s="57" t="str">
        <f>IF(AND(L64=70,AE64&gt;'#BerechnungDBE'!CQ55),$RW$9,"")</f>
        <v/>
      </c>
      <c r="RX64" s="57" t="str">
        <f>IF(OR('org. Düngung 22'!G63="--",'org. Düngung 22'!G63&lt;=170,'org. Düngung 22'!G63=""),"",$RX$9)</f>
        <v/>
      </c>
      <c r="RY64" s="57" t="str">
        <f>IF('org. Düngung 22'!K63&gt;120,'#orgDung'!$RY$9,"")</f>
        <v/>
      </c>
      <c r="RZ64" s="57" t="str">
        <f>IF('#BerechnungDBE'!P55&lt;4,"",IF(AND('#BerechnungDBE'!BZ55&gt;0,T64&gt;0),'#orgDung'!$RZ$9,""))</f>
        <v/>
      </c>
      <c r="SA64" s="57" t="str">
        <f t="shared" si="487"/>
        <v/>
      </c>
    </row>
    <row r="65" spans="1:495" s="875" customFormat="1" x14ac:dyDescent="0.2">
      <c r="A65" s="875">
        <f>'Flächen u. Kulturen'!A61</f>
        <v>52</v>
      </c>
      <c r="B65" s="367">
        <f>'#BerechnungDBE'!L56</f>
        <v>0</v>
      </c>
      <c r="C65" s="875">
        <f>'#BerechnungDBE'!R56</f>
        <v>1</v>
      </c>
      <c r="D65" s="875">
        <f>'#BerechnungDBE'!T56</f>
        <v>2</v>
      </c>
      <c r="E65" s="875" t="str">
        <f>'Flächen u. Kulturen'!E61</f>
        <v>x</v>
      </c>
      <c r="F65" s="52">
        <f>'#BerechnungDBE'!N56</f>
        <v>1</v>
      </c>
      <c r="G65" s="52">
        <f>'#BerechnungDBE'!O56</f>
        <v>1</v>
      </c>
      <c r="H65" s="875">
        <f>IF('Flächen u. Kulturen'!P61="",0,VLOOKUP('Flächen u. Kulturen'!P61,Kulturen[[HF]:[Berechnungsgruppe]],'#Frucht'!$H$1,FALSE))</f>
        <v>0</v>
      </c>
      <c r="I65" s="875">
        <f>IF('Flächen u. Kulturen'!J61="",0,VLOOKUP('Flächen u. Kulturen'!J61,Kulturen[[HF]:[Berechnungsgruppe]],'#Frucht'!$G$1,FALSE))</f>
        <v>90</v>
      </c>
      <c r="J65" s="505">
        <f t="shared" si="195"/>
        <v>2</v>
      </c>
      <c r="K65" s="505">
        <f>IF('Flächen u. Kulturen'!P61="",0,IF(VLOOKUP('Flächen u. Kulturen'!P61,Kulturen[[HF]:[Saat Winterungen]],'#Frucht'!$P$1,FALSE)&gt;0,1,2))</f>
        <v>2</v>
      </c>
      <c r="L65" s="875">
        <f>'#BerechnungDBE'!AF56</f>
        <v>0</v>
      </c>
      <c r="M65" s="875">
        <f>IF('Flächen u. Kulturen'!L61="",0,VLOOKUP('Flächen u. Kulturen'!L61,Nebenkultur[[Nebenkultur]:[Legum. Zwischenfr.]],'#Zweitfr'!$K$1,FALSE))</f>
        <v>0</v>
      </c>
      <c r="N65" s="875">
        <f>'#BerechnungDBE'!AG56</f>
        <v>0</v>
      </c>
      <c r="P65" s="57">
        <f t="shared" si="353"/>
        <v>0</v>
      </c>
      <c r="Q65" s="57">
        <f t="shared" si="354"/>
        <v>0</v>
      </c>
      <c r="R65" s="875">
        <f t="shared" si="355"/>
        <v>0</v>
      </c>
      <c r="S65" s="938" t="str">
        <f t="shared" si="3"/>
        <v/>
      </c>
      <c r="T65" s="875">
        <f t="shared" si="356"/>
        <v>0</v>
      </c>
      <c r="U65" s="875">
        <f t="shared" si="357"/>
        <v>0</v>
      </c>
      <c r="V65" s="875">
        <f t="shared" si="358"/>
        <v>0</v>
      </c>
      <c r="W65" s="875">
        <f t="shared" si="359"/>
        <v>0</v>
      </c>
      <c r="X65" s="875">
        <f t="shared" si="360"/>
        <v>0</v>
      </c>
      <c r="Y65" s="875">
        <f t="shared" si="349"/>
        <v>0</v>
      </c>
      <c r="Z65" s="875">
        <f t="shared" si="350"/>
        <v>0</v>
      </c>
      <c r="AA65" s="910">
        <f t="shared" si="361"/>
        <v>0</v>
      </c>
      <c r="AB65" s="57">
        <f t="shared" si="351"/>
        <v>0</v>
      </c>
      <c r="AC65" s="875">
        <f t="shared" si="362"/>
        <v>0</v>
      </c>
      <c r="AD65" s="875">
        <f t="shared" si="363"/>
        <v>0</v>
      </c>
      <c r="AE65" s="875">
        <f t="shared" si="364"/>
        <v>0</v>
      </c>
      <c r="AF65" s="875">
        <f t="shared" si="352"/>
        <v>0</v>
      </c>
      <c r="AG65" s="875">
        <f>'org. Düngung 22'!J64</f>
        <v>0</v>
      </c>
      <c r="AH65" s="875">
        <f>'org. Düngung 22'!K64</f>
        <v>0</v>
      </c>
      <c r="AJ65" s="713">
        <f>'org. Düngung 22'!L64</f>
        <v>0</v>
      </c>
      <c r="AK65" s="57"/>
      <c r="AL65" s="57"/>
      <c r="AM65" s="57">
        <f t="shared" si="196"/>
        <v>0</v>
      </c>
      <c r="AN65" s="57">
        <f t="shared" si="197"/>
        <v>0</v>
      </c>
      <c r="AO65" s="57">
        <f t="shared" si="198"/>
        <v>0</v>
      </c>
      <c r="AP65" s="57">
        <f t="shared" si="199"/>
        <v>0</v>
      </c>
      <c r="AQ65" s="57">
        <f t="shared" si="200"/>
        <v>0</v>
      </c>
      <c r="AR65" s="1029">
        <f t="shared" si="365"/>
        <v>0</v>
      </c>
      <c r="AS65" s="57">
        <f t="shared" si="366"/>
        <v>0</v>
      </c>
      <c r="AT65" s="171" t="str">
        <f t="shared" si="367"/>
        <v/>
      </c>
      <c r="AU65" s="57">
        <f t="shared" si="201"/>
        <v>0</v>
      </c>
      <c r="AV65" s="57">
        <f>IF(OR(AND(AJ$6=1,$L65=0),AND(AJ$6=2,$K65=2,$G65=1)),0,IF(AND(AL$9=2,(OR($F65&gt;1,$K65=1,AND($L65=80,OR($N65=1,AND($N65=2,'#BerechnungDBE'!$AL56&gt;0)))))),IF(AJ$4&gt;=$AD$126,0,AT65),IF(AL$9=3,IF(OR(AJ$4&gt;=$AD$127,AND($G65=1,$J65=2,AJ$6=2),AND(AJ$6=1,$N65&lt;&gt;1)),0,IF(AN65&lt;=120,AT65,IF(AJ$4&lt;$AD$124,IF($F65=1,60/AL$4*AL$6,60/AL$4*AL$7),IF($F65=1,120/AL$4*AL$6,120/AL$4*AL$7)))),IF(OR($F65=3,$G65=2),IF(OR(AND(AJ$4&gt;=$AD$119,$C65=2),AND(AJ$4&gt;=$AF$119,$C65=1)),0,IF(AN65&lt;=60,AT65,60/AL$4*AL$7)),IF(AND($F65=2,$G65=1),AT65,0)))))</f>
        <v>0</v>
      </c>
      <c r="AW65" s="57" t="str">
        <f t="shared" si="202"/>
        <v/>
      </c>
      <c r="AX65" s="57" t="str">
        <f t="shared" si="368"/>
        <v/>
      </c>
      <c r="AY65" s="713">
        <f>'org. Düngung 22'!P64</f>
        <v>0</v>
      </c>
      <c r="AZ65" s="57"/>
      <c r="BA65" s="57"/>
      <c r="BB65" s="57">
        <f t="shared" si="18"/>
        <v>0</v>
      </c>
      <c r="BC65" s="57">
        <f t="shared" si="203"/>
        <v>0</v>
      </c>
      <c r="BD65" s="57">
        <f t="shared" si="204"/>
        <v>0</v>
      </c>
      <c r="BE65" s="57">
        <f t="shared" si="205"/>
        <v>0</v>
      </c>
      <c r="BF65" s="57">
        <f t="shared" si="206"/>
        <v>0</v>
      </c>
      <c r="BG65" s="1029">
        <f t="shared" si="369"/>
        <v>0</v>
      </c>
      <c r="BH65" s="57">
        <f t="shared" si="370"/>
        <v>0</v>
      </c>
      <c r="BI65" s="171" t="str">
        <f t="shared" si="371"/>
        <v/>
      </c>
      <c r="BJ65" s="57">
        <f t="shared" si="207"/>
        <v>0</v>
      </c>
      <c r="BK65" s="57">
        <f>IF(OR(AND(AY$6=1,$L65=0),AND(AY$6=2,$K65=2,$G65=1)),0,IF(AND(BA$9=2,(OR($F65&gt;1,$K65=1,AND($L65=80,OR($N65=1,AND($N65=2,'#BerechnungDBE'!$AL56&gt;0)))))),IF(AY$4&gt;=$AD$126,0,BI65),IF(BA$9=3,IF(OR(AY$4&gt;=$AD$127,AND($G65=1,$J65=2,AY$6=2),AND(AY$6=1,$N65&lt;&gt;1)),0,IF(BC65&lt;=120,BI65,IF(AY$4&lt;$AD$124,IF($F65=1,60/BA$4*BA$6,60/BA$4*BA$7),IF($F65=1,120/BA$4*BA$6,120/BA$4*BA$7)))),IF(OR($F65=3,$G65=2),IF(OR(AND(AY$4&gt;=$AD$119,$C65=2),AND(AY$4&gt;=$AF$119,$C65=1)),0,IF(BC65&lt;=60,BI65,60/BA$4*BA$7)),IF(AND($F65=2,$G65=1),BI65,0)))))</f>
        <v>0</v>
      </c>
      <c r="BL65" s="57" t="str">
        <f t="shared" si="22"/>
        <v/>
      </c>
      <c r="BM65" s="57" t="str">
        <f t="shared" si="372"/>
        <v/>
      </c>
      <c r="BN65" s="713">
        <f>'org. Düngung 22'!T64</f>
        <v>0</v>
      </c>
      <c r="BO65" s="57"/>
      <c r="BP65" s="57"/>
      <c r="BQ65" s="57">
        <f t="shared" si="24"/>
        <v>0</v>
      </c>
      <c r="BR65" s="57">
        <f t="shared" si="208"/>
        <v>0</v>
      </c>
      <c r="BS65" s="57">
        <f t="shared" si="209"/>
        <v>0</v>
      </c>
      <c r="BT65" s="57">
        <f t="shared" si="210"/>
        <v>0</v>
      </c>
      <c r="BU65" s="57">
        <f t="shared" si="211"/>
        <v>0</v>
      </c>
      <c r="BV65" s="1029">
        <f t="shared" si="373"/>
        <v>0</v>
      </c>
      <c r="BW65" s="57">
        <f t="shared" si="374"/>
        <v>0</v>
      </c>
      <c r="BX65" s="171" t="str">
        <f t="shared" si="375"/>
        <v/>
      </c>
      <c r="BY65" s="57">
        <f t="shared" si="212"/>
        <v>0</v>
      </c>
      <c r="BZ65" s="57">
        <f>IF(OR(AND(BN$6=1,$L65=0),AND(BN$6=2,$K65=2,$G65=1)),0,IF(AND(BP$9=2,(OR($F65&gt;1,$K65=1,AND($L65=80,OR($N65=1,AND($N65=2,'#BerechnungDBE'!$AL56&gt;0)))))),IF(BN$4&gt;=$AD$126,0,BX65),IF(BP$9=3,IF(OR(BN$4&gt;=$AD$127,AND($G65=1,$J65=2,BN$6=2),AND(BN$6=1,$N65&lt;&gt;1)),0,IF(BR65&lt;=120,BX65,IF(BN$4&lt;$AD$124,IF($F65=1,60/BP$4*BP$6,60/BP$4*BP$7),IF($F65=1,120/BP$4*BP$6,120/BP$4*BP$7)))),IF(OR($F65=3,$G65=2),IF(OR(AND(BN$4&gt;=$AD$119,$C65=2),AND(BN$4&gt;=$AF$119,$C65=1)),0,IF(BR65&lt;=60,BX65,60/BP$4*BP$7)),IF(AND($F65=2,$G65=1),BX65,0)))))</f>
        <v>0</v>
      </c>
      <c r="CA65" s="57" t="str">
        <f t="shared" si="28"/>
        <v/>
      </c>
      <c r="CB65" s="57" t="str">
        <f t="shared" si="376"/>
        <v/>
      </c>
      <c r="CC65" s="713">
        <f>'org. Düngung 22'!X64</f>
        <v>0</v>
      </c>
      <c r="CD65" s="57"/>
      <c r="CE65" s="57"/>
      <c r="CF65" s="57">
        <f t="shared" si="30"/>
        <v>0</v>
      </c>
      <c r="CG65" s="57">
        <f t="shared" si="213"/>
        <v>0</v>
      </c>
      <c r="CH65" s="57">
        <f t="shared" si="214"/>
        <v>0</v>
      </c>
      <c r="CI65" s="57">
        <f t="shared" si="215"/>
        <v>0</v>
      </c>
      <c r="CJ65" s="57">
        <f t="shared" si="216"/>
        <v>0</v>
      </c>
      <c r="CK65" s="1029">
        <f t="shared" si="377"/>
        <v>0</v>
      </c>
      <c r="CL65" s="57">
        <f t="shared" si="378"/>
        <v>0</v>
      </c>
      <c r="CM65" s="171" t="str">
        <f t="shared" si="379"/>
        <v/>
      </c>
      <c r="CN65" s="57">
        <f t="shared" si="217"/>
        <v>0</v>
      </c>
      <c r="CO65" s="57">
        <f>IF(OR(AND(CC$6=1,$L65=0),AND(CC$6=2,$K65=2,$G65=1)),0,IF(AND(CE$9=2,(OR($F65&gt;1,$K65=1,AND($L65=80,OR($N65=1,AND($N65=2,'#BerechnungDBE'!$AL56&gt;0)))))),IF(CC$4&gt;=$AD$126,0,CM65),IF(CE$9=3,IF(OR(CC$4&gt;=$AD$127,AND($G65=1,$J65=2,CC$6=2),AND(CC$6=1,$N65&lt;&gt;1)),0,IF(CG65&lt;=120,CM65,IF(CC$4&lt;$AD$124,IF($F65=1,60/CE$4*CE$6,60/CE$4*CE$7),IF($F65=1,120/CE$4*CE$6,120/CE$4*CE$7)))),IF(OR($F65=3,$G65=2),IF(OR(AND(CC$4&gt;=$AD$119,$C65=2),AND(CC$4&gt;=$AF$119,$C65=1)),0,IF(CG65&lt;=60,CM65,60/CE$4*CE$7)),IF(AND($F65=2,$G65=1),CM65,0)))))</f>
        <v>0</v>
      </c>
      <c r="CP65" s="57" t="str">
        <f t="shared" si="34"/>
        <v/>
      </c>
      <c r="CQ65" s="57" t="str">
        <f t="shared" si="380"/>
        <v/>
      </c>
      <c r="CR65" s="713">
        <f>'org. Düngung 22'!AB64</f>
        <v>0</v>
      </c>
      <c r="CS65" s="57"/>
      <c r="CT65" s="57"/>
      <c r="CU65" s="57">
        <f t="shared" si="36"/>
        <v>0</v>
      </c>
      <c r="CV65" s="57">
        <f t="shared" si="218"/>
        <v>0</v>
      </c>
      <c r="CW65" s="57">
        <f t="shared" si="219"/>
        <v>0</v>
      </c>
      <c r="CX65" s="57">
        <f t="shared" si="220"/>
        <v>0</v>
      </c>
      <c r="CY65" s="57">
        <f t="shared" si="221"/>
        <v>0</v>
      </c>
      <c r="CZ65" s="1029">
        <f t="shared" si="381"/>
        <v>0</v>
      </c>
      <c r="DA65" s="57">
        <f t="shared" si="382"/>
        <v>0</v>
      </c>
      <c r="DB65" s="171" t="str">
        <f t="shared" si="383"/>
        <v/>
      </c>
      <c r="DC65" s="57">
        <f t="shared" si="222"/>
        <v>0</v>
      </c>
      <c r="DD65" s="57">
        <f>IF(OR(AND(CR$6=1,$L65=0),AND(CR$6=2,$K65=2,$G65=1)),0,IF(AND(CT$9=2,(OR($F65&gt;1,$K65=1,AND($L65=80,OR($N65=1,AND($N65=2,'#BerechnungDBE'!$AL56&gt;0)))))),IF(CR$4&gt;=$AD$126,0,DB65),IF(CT$9=3,IF(OR(CR$4&gt;=$AD$127,AND($G65=1,$J65=2,CR$6=2),AND(CR$6=1,$N65&lt;&gt;1)),0,IF(CV65&lt;=120,DB65,IF(CR$4&lt;$AD$124,IF($F65=1,60/CT$4*CT$6,60/CT$4*CT$7),IF($F65=1,120/CT$4*CT$6,120/CT$4*CT$7)))),IF(OR($F65=3,$G65=2),IF(OR(AND(CR$4&gt;=$AD$119,$C65=2),AND(CR$4&gt;=$AF$119,$C65=1)),0,IF(CV65&lt;=60,DB65,60/CT$4*CT$7)),IF(AND($F65=2,$G65=1),DB65,0)))))</f>
        <v>0</v>
      </c>
      <c r="DE65" s="57" t="str">
        <f t="shared" si="40"/>
        <v/>
      </c>
      <c r="DF65" s="57" t="str">
        <f t="shared" si="384"/>
        <v/>
      </c>
      <c r="DG65" s="713">
        <f>'org. Düngung 22'!AF64</f>
        <v>0</v>
      </c>
      <c r="DH65" s="57"/>
      <c r="DI65" s="57"/>
      <c r="DJ65" s="57">
        <f t="shared" si="42"/>
        <v>0</v>
      </c>
      <c r="DK65" s="57">
        <f t="shared" si="223"/>
        <v>0</v>
      </c>
      <c r="DL65" s="57">
        <f t="shared" si="224"/>
        <v>0</v>
      </c>
      <c r="DM65" s="57">
        <f t="shared" si="225"/>
        <v>0</v>
      </c>
      <c r="DN65" s="57">
        <f t="shared" si="226"/>
        <v>0</v>
      </c>
      <c r="DO65" s="1029">
        <f t="shared" si="385"/>
        <v>0</v>
      </c>
      <c r="DP65" s="57">
        <f t="shared" si="386"/>
        <v>0</v>
      </c>
      <c r="DQ65" s="171" t="str">
        <f t="shared" si="387"/>
        <v/>
      </c>
      <c r="DR65" s="57">
        <f t="shared" si="227"/>
        <v>0</v>
      </c>
      <c r="DS65" s="57">
        <f>IF(OR(AND(DG$6=1,$L65=0),AND(DG$6=2,$K65=2,$G65=1)),0,IF(AND(DI$9=2,(OR($F65&gt;1,$K65=1,AND($L65=80,OR($N65=1,AND($N65=2,'#BerechnungDBE'!$AL56&gt;0)))))),IF(DG$4&gt;=$AD$126,0,DQ65),IF(DI$9=3,IF(OR(DG$4&gt;=$AD$127,AND($G65=1,$J65=2,DG$6=2),AND(DG$6=1,$N65&lt;&gt;1)),0,IF(DK65&lt;=120,DQ65,IF(DG$4&lt;$AD$124,IF($F65=1,60/DI$4*DI$6,60/DI$4*DI$7),IF($F65=1,120/DI$4*DI$6,120/DI$4*DI$7)))),IF(OR($F65=3,$G65=2),IF(OR(AND(DG$4&gt;=$AD$119,$C65=2),AND(DG$4&gt;=$AF$119,$C65=1)),0,IF(DK65&lt;=60,DQ65,60/DI$4*DI$7)),IF(AND($F65=2,$G65=1),DQ65,0)))))</f>
        <v>0</v>
      </c>
      <c r="DT65" s="57" t="str">
        <f t="shared" si="46"/>
        <v/>
      </c>
      <c r="DU65" s="57" t="str">
        <f t="shared" si="388"/>
        <v/>
      </c>
      <c r="DV65" s="713">
        <f>'org. Düngung 22'!AJ64</f>
        <v>0</v>
      </c>
      <c r="DW65" s="57"/>
      <c r="DX65" s="57"/>
      <c r="DY65" s="57">
        <f t="shared" si="48"/>
        <v>0</v>
      </c>
      <c r="DZ65" s="57">
        <f t="shared" si="228"/>
        <v>0</v>
      </c>
      <c r="EA65" s="57">
        <f t="shared" si="229"/>
        <v>0</v>
      </c>
      <c r="EB65" s="57">
        <f t="shared" si="230"/>
        <v>0</v>
      </c>
      <c r="EC65" s="57">
        <f t="shared" si="231"/>
        <v>0</v>
      </c>
      <c r="ED65" s="1029">
        <f t="shared" si="389"/>
        <v>0</v>
      </c>
      <c r="EE65" s="57">
        <f t="shared" si="390"/>
        <v>0</v>
      </c>
      <c r="EF65" s="171" t="str">
        <f t="shared" si="391"/>
        <v/>
      </c>
      <c r="EG65" s="57">
        <f t="shared" si="232"/>
        <v>0</v>
      </c>
      <c r="EH65" s="57">
        <f>IF(OR(AND(DV$6=1,$L65=0),AND(DV$6=2,$K65=2,$G65=1)),0,IF(AND(DX$9=2,(OR($F65&gt;1,$K65=1,AND($L65=80,OR($N65=1,AND($N65=2,'#BerechnungDBE'!$AL56&gt;0)))))),IF(DV$4&gt;=$AD$126,0,EF65),IF(DX$9=3,IF(OR(DV$4&gt;=$AD$127,AND($G65=1,$J65=2,DV$6=2),AND(DV$6=1,$N65&lt;&gt;1)),0,IF(DZ65&lt;=120,EF65,IF(DV$4&lt;$AD$124,IF($F65=1,60/DX$4*DX$6,60/DX$4*DX$7),IF($F65=1,120/DX$4*DX$6,120/DX$4*DX$7)))),IF(OR($F65=3,$G65=2),IF(OR(AND(DV$4&gt;=$AD$119,$C65=2),AND(DV$4&gt;=$AF$119,$C65=1)),0,IF(DZ65&lt;=60,EF65,60/DX$4*DX$7)),IF(AND($F65=2,$G65=1),EF65,0)))))</f>
        <v>0</v>
      </c>
      <c r="EI65" s="57" t="str">
        <f t="shared" si="52"/>
        <v/>
      </c>
      <c r="EJ65" s="57" t="str">
        <f t="shared" si="392"/>
        <v/>
      </c>
      <c r="EK65" s="713">
        <f>'org. Düngung 22'!AN64</f>
        <v>0</v>
      </c>
      <c r="EL65" s="57"/>
      <c r="EM65" s="57"/>
      <c r="EN65" s="57">
        <f t="shared" si="54"/>
        <v>0</v>
      </c>
      <c r="EO65" s="57">
        <f t="shared" si="233"/>
        <v>0</v>
      </c>
      <c r="EP65" s="57">
        <f t="shared" si="234"/>
        <v>0</v>
      </c>
      <c r="EQ65" s="57">
        <f t="shared" si="235"/>
        <v>0</v>
      </c>
      <c r="ER65" s="57">
        <f t="shared" si="236"/>
        <v>0</v>
      </c>
      <c r="ES65" s="1029">
        <f t="shared" si="393"/>
        <v>0</v>
      </c>
      <c r="ET65" s="57">
        <f t="shared" si="394"/>
        <v>0</v>
      </c>
      <c r="EU65" s="171" t="str">
        <f t="shared" si="395"/>
        <v/>
      </c>
      <c r="EV65" s="57">
        <f t="shared" si="237"/>
        <v>0</v>
      </c>
      <c r="EW65" s="57">
        <f>IF(OR(AND(EK$6=1,$L65=0),AND(EK$6=2,$K65=2,$G65=1)),0,IF(AND(EM$9=2,(OR($F65&gt;1,$K65=1,AND($L65=80,OR($N65=1,AND($N65=2,'#BerechnungDBE'!$AL56&gt;0)))))),IF(EK$4&gt;=$AD$126,0,EU65),IF(EM$9=3,IF(OR(EK$4&gt;=$AD$127,AND($G65=1,$J65=2,EK$6=2),AND(EK$6=1,$N65&lt;&gt;1)),0,IF(EO65&lt;=120,EU65,IF(EK$4&lt;$AD$124,IF($F65=1,60/EM$4*EM$6,60/EM$4*EM$7),IF($F65=1,120/EM$4*EM$6,120/EM$4*EM$7)))),IF(OR($F65=3,$G65=2),IF(OR(AND(EK$4&gt;=$AD$119,$C65=2),AND(EK$4&gt;=$AF$119,$C65=1)),0,IF(EO65&lt;=60,EU65,60/EM$4*EM$7)),IF(AND($F65=2,$G65=1),EU65,0)))))</f>
        <v>0</v>
      </c>
      <c r="EX65" s="57" t="str">
        <f t="shared" si="58"/>
        <v/>
      </c>
      <c r="EY65" s="57" t="str">
        <f t="shared" si="396"/>
        <v/>
      </c>
      <c r="EZ65" s="713">
        <f>'org. Düngung 22'!AR64</f>
        <v>0</v>
      </c>
      <c r="FA65" s="57"/>
      <c r="FB65" s="57"/>
      <c r="FC65" s="57">
        <f t="shared" si="60"/>
        <v>0</v>
      </c>
      <c r="FD65" s="57">
        <f t="shared" si="238"/>
        <v>0</v>
      </c>
      <c r="FE65" s="57">
        <f t="shared" si="239"/>
        <v>0</v>
      </c>
      <c r="FF65" s="57">
        <f t="shared" si="240"/>
        <v>0</v>
      </c>
      <c r="FG65" s="57">
        <f t="shared" si="241"/>
        <v>0</v>
      </c>
      <c r="FH65" s="1029">
        <f t="shared" si="397"/>
        <v>0</v>
      </c>
      <c r="FI65" s="57">
        <f t="shared" si="398"/>
        <v>0</v>
      </c>
      <c r="FJ65" s="171" t="str">
        <f t="shared" si="399"/>
        <v/>
      </c>
      <c r="FK65" s="57">
        <f t="shared" si="242"/>
        <v>0</v>
      </c>
      <c r="FL65" s="57">
        <f>IF(OR(AND(EZ$6=1,$L65=0),AND(EZ$6=2,$K65=2,$G65=1)),0,IF(AND(FB$9=2,(OR($F65&gt;1,$K65=1,AND($L65=80,OR($N65=1,AND($N65=2,'#BerechnungDBE'!$AL56&gt;0)))))),IF(EZ$4&gt;=$AD$126,0,FJ65),IF(FB$9=3,IF(OR(EZ$4&gt;=$AD$127,AND($G65=1,$J65=2,EZ$6=2),AND(EZ$6=1,$N65&lt;&gt;1)),0,IF(FD65&lt;=120,FJ65,IF(EZ$4&lt;$AD$124,IF($F65=1,60/FB$4*FB$6,60/FB$4*FB$7),IF($F65=1,120/FB$4*FB$6,120/FB$4*FB$7)))),IF(OR($F65=3,$G65=2),IF(OR(AND(EZ$4&gt;=$AD$119,$C65=2),AND(EZ$4&gt;=$AF$119,$C65=1)),0,IF(FD65&lt;=60,FJ65,60/FB$4*FB$7)),IF(AND($F65=2,$G65=1),FJ65,0)))))</f>
        <v>0</v>
      </c>
      <c r="FM65" s="57" t="str">
        <f t="shared" si="64"/>
        <v/>
      </c>
      <c r="FN65" s="57" t="str">
        <f t="shared" si="400"/>
        <v/>
      </c>
      <c r="FO65" s="713">
        <f>'org. Düngung 22'!AV64</f>
        <v>0</v>
      </c>
      <c r="FP65" s="57"/>
      <c r="FQ65" s="57"/>
      <c r="FR65" s="57">
        <f t="shared" si="66"/>
        <v>0</v>
      </c>
      <c r="FS65" s="57">
        <f t="shared" si="243"/>
        <v>0</v>
      </c>
      <c r="FT65" s="57">
        <f t="shared" si="244"/>
        <v>0</v>
      </c>
      <c r="FU65" s="57">
        <f t="shared" si="245"/>
        <v>0</v>
      </c>
      <c r="FV65" s="57">
        <f t="shared" si="246"/>
        <v>0</v>
      </c>
      <c r="FW65" s="1029">
        <f t="shared" si="401"/>
        <v>0</v>
      </c>
      <c r="FX65" s="57">
        <f t="shared" si="402"/>
        <v>0</v>
      </c>
      <c r="FY65" s="171" t="str">
        <f t="shared" si="403"/>
        <v/>
      </c>
      <c r="FZ65" s="57">
        <f t="shared" si="247"/>
        <v>0</v>
      </c>
      <c r="GA65" s="57">
        <f>IF(OR(AND(FO$6=1,$L65=0),AND(FO$6=2,$K65=2,$G65=1)),0,IF(AND(FQ$9=2,(OR($F65&gt;1,$K65=1,AND($L65=80,OR($N65=1,AND($N65=2,'#BerechnungDBE'!$AL56&gt;0)))))),IF(FO$4&gt;=$AD$126,0,FY65),IF(FQ$9=3,IF(OR(FO$4&gt;=$AD$127,AND($G65=1,$J65=2,FO$6=2),AND(FO$6=1,$N65&lt;&gt;1)),0,IF(FS65&lt;=120,FY65,IF(FO$4&lt;$AD$124,IF($F65=1,60/FQ$4*FQ$6,60/FQ$4*FQ$7),IF($F65=1,120/FQ$4*FQ$6,120/FQ$4*FQ$7)))),IF(OR($F65=3,$G65=2),IF(OR(AND(FO$4&gt;=$AD$119,$C65=2),AND(FO$4&gt;=$AF$119,$C65=1)),0,IF(FS65&lt;=60,FY65,60/FQ$4*FQ$7)),IF(AND($F65=2,$G65=1),FY65,0)))))</f>
        <v>0</v>
      </c>
      <c r="GB65" s="57" t="str">
        <f t="shared" si="70"/>
        <v/>
      </c>
      <c r="GC65" s="57" t="str">
        <f t="shared" si="404"/>
        <v/>
      </c>
      <c r="GD65" s="713">
        <f>'org. Düngung 22'!AZ64</f>
        <v>0</v>
      </c>
      <c r="GE65" s="57"/>
      <c r="GF65" s="57"/>
      <c r="GG65" s="57">
        <f t="shared" si="72"/>
        <v>0</v>
      </c>
      <c r="GH65" s="57">
        <f t="shared" si="248"/>
        <v>0</v>
      </c>
      <c r="GI65" s="57">
        <f t="shared" si="249"/>
        <v>0</v>
      </c>
      <c r="GJ65" s="57">
        <f t="shared" si="250"/>
        <v>0</v>
      </c>
      <c r="GK65" s="57">
        <f t="shared" si="251"/>
        <v>0</v>
      </c>
      <c r="GL65" s="1029">
        <f t="shared" si="405"/>
        <v>0</v>
      </c>
      <c r="GM65" s="57">
        <f t="shared" si="406"/>
        <v>0</v>
      </c>
      <c r="GN65" s="171" t="str">
        <f t="shared" si="407"/>
        <v/>
      </c>
      <c r="GO65" s="57">
        <f t="shared" si="252"/>
        <v>0</v>
      </c>
      <c r="GP65" s="57">
        <f>IF(OR(AND(GD$6=1,$L65=0),AND(GD$6=2,$K65=2,$G65=1)),0,IF(AND(GF$9=2,(OR($F65&gt;1,$K65=1,AND($L65=80,OR($N65=1,AND($N65=2,'#BerechnungDBE'!$AL56&gt;0)))))),IF(GD$4&gt;=$AD$126,0,GN65),IF(GF$9=3,IF(OR(GD$4&gt;=$AD$127,AND($G65=1,$J65=2,GD$6=2),AND(GD$6=1,$N65&lt;&gt;1)),0,IF(GH65&lt;=120,GN65,IF(GD$4&lt;$AD$124,IF($F65=1,60/GF$4*GF$6,60/GF$4*GF$7),IF($F65=1,120/GF$4*GF$6,120/GF$4*GF$7)))),IF(OR($F65=3,$G65=2),IF(OR(AND(GD$4&gt;=$AD$119,$C65=2),AND(GD$4&gt;=$AF$119,$C65=1)),0,IF(GH65&lt;=60,GN65,60/GF$4*GF$7)),IF(AND($F65=2,$G65=1),GN65,0)))))</f>
        <v>0</v>
      </c>
      <c r="GQ65" s="57" t="str">
        <f t="shared" si="76"/>
        <v/>
      </c>
      <c r="GR65" s="57" t="str">
        <f t="shared" si="408"/>
        <v/>
      </c>
      <c r="GS65" s="713">
        <f>'org. Düngung 22'!BD64</f>
        <v>0</v>
      </c>
      <c r="GT65" s="57"/>
      <c r="GU65" s="57"/>
      <c r="GV65" s="57">
        <f t="shared" si="78"/>
        <v>0</v>
      </c>
      <c r="GW65" s="57">
        <f t="shared" si="253"/>
        <v>0</v>
      </c>
      <c r="GX65" s="57">
        <f t="shared" si="254"/>
        <v>0</v>
      </c>
      <c r="GY65" s="57">
        <f t="shared" si="255"/>
        <v>0</v>
      </c>
      <c r="GZ65" s="57">
        <f t="shared" si="256"/>
        <v>0</v>
      </c>
      <c r="HA65" s="1029">
        <f t="shared" si="409"/>
        <v>0</v>
      </c>
      <c r="HB65" s="57">
        <f t="shared" si="410"/>
        <v>0</v>
      </c>
      <c r="HC65" s="171" t="str">
        <f t="shared" si="411"/>
        <v/>
      </c>
      <c r="HD65" s="57">
        <f t="shared" si="257"/>
        <v>0</v>
      </c>
      <c r="HE65" s="57">
        <f>IF(OR(AND(GS$6=1,$L65=0),AND(GS$6=2,$K65=2,$G65=1)),0,IF(AND(GU$9=2,(OR($F65&gt;1,$K65=1,AND($L65=80,OR($N65=1,AND($N65=2,'#BerechnungDBE'!$AL56&gt;0)))))),IF(GS$4&gt;=$AD$126,0,HC65),IF(GU$9=3,IF(OR(GS$4&gt;=$AD$127,AND($G65=1,$J65=2,GS$6=2),AND(GS$6=1,$N65&lt;&gt;1)),0,IF(GW65&lt;=120,HC65,IF(GS$4&lt;$AD$124,IF($F65=1,60/GU$4*GU$6,60/GU$4*GU$7),IF($F65=1,120/GU$4*GU$6,120/GU$4*GU$7)))),IF(OR($F65=3,$G65=2),IF(OR(AND(GS$4&gt;=$AD$119,$C65=2),AND(GS$4&gt;=$AF$119,$C65=1)),0,IF(GW65&lt;=60,HC65,60/GU$4*GU$7)),IF(AND($F65=2,$G65=1),HC65,0)))))</f>
        <v>0</v>
      </c>
      <c r="HF65" s="57" t="str">
        <f t="shared" si="82"/>
        <v/>
      </c>
      <c r="HG65" s="57" t="str">
        <f t="shared" si="412"/>
        <v/>
      </c>
      <c r="HH65" s="713">
        <f>'org. Düngung 22'!BH64</f>
        <v>0</v>
      </c>
      <c r="HI65" s="57"/>
      <c r="HJ65" s="57"/>
      <c r="HK65" s="57">
        <f t="shared" si="84"/>
        <v>0</v>
      </c>
      <c r="HL65" s="57">
        <f t="shared" si="258"/>
        <v>0</v>
      </c>
      <c r="HM65" s="57">
        <f t="shared" si="259"/>
        <v>0</v>
      </c>
      <c r="HN65" s="57">
        <f t="shared" si="260"/>
        <v>0</v>
      </c>
      <c r="HO65" s="57">
        <f t="shared" si="261"/>
        <v>0</v>
      </c>
      <c r="HP65" s="1029">
        <f t="shared" si="413"/>
        <v>0</v>
      </c>
      <c r="HQ65" s="57">
        <f t="shared" si="414"/>
        <v>0</v>
      </c>
      <c r="HR65" s="171" t="str">
        <f t="shared" si="415"/>
        <v/>
      </c>
      <c r="HS65" s="57">
        <f t="shared" si="262"/>
        <v>0</v>
      </c>
      <c r="HT65" s="57">
        <f>IF(OR(AND(HH$6=1,$L65=0),AND(HH$6=2,$K65=2,$G65=1)),0,IF(AND(HJ$9=2,(OR($F65&gt;1,$K65=1,AND($L65=80,OR($N65=1,AND($N65=2,'#BerechnungDBE'!$AL56&gt;0)))))),IF(HH$4&gt;=$AD$126,0,HR65),IF(HJ$9=3,IF(OR(HH$4&gt;=$AD$127,AND($G65=1,$J65=2,HH$6=2),AND(HH$6=1,$N65&lt;&gt;1)),0,IF(HL65&lt;=120,HR65,IF(HH$4&lt;$AD$124,IF($F65=1,60/HJ$4*HJ$6,60/HJ$4*HJ$7),IF($F65=1,120/HJ$4*HJ$6,120/HJ$4*HJ$7)))),IF(OR($F65=3,$G65=2),IF(OR(AND(HH$4&gt;=$AD$119,$C65=2),AND(HH$4&gt;=$AF$119,$C65=1)),0,IF(HL65&lt;=60,HR65,60/HJ$4*HJ$7)),IF(AND($F65=2,$G65=1),HR65,0)))))</f>
        <v>0</v>
      </c>
      <c r="HU65" s="57" t="str">
        <f t="shared" si="88"/>
        <v/>
      </c>
      <c r="HV65" s="57" t="str">
        <f t="shared" si="416"/>
        <v/>
      </c>
      <c r="HW65" s="713">
        <f>'org. Düngung 22'!BL64</f>
        <v>0</v>
      </c>
      <c r="HX65" s="57"/>
      <c r="HY65" s="57"/>
      <c r="HZ65" s="57">
        <f t="shared" si="90"/>
        <v>0</v>
      </c>
      <c r="IA65" s="57">
        <f t="shared" si="263"/>
        <v>0</v>
      </c>
      <c r="IB65" s="57">
        <f t="shared" si="264"/>
        <v>0</v>
      </c>
      <c r="IC65" s="57">
        <f t="shared" si="265"/>
        <v>0</v>
      </c>
      <c r="ID65" s="57">
        <f t="shared" si="266"/>
        <v>0</v>
      </c>
      <c r="IE65" s="1029">
        <f t="shared" si="417"/>
        <v>0</v>
      </c>
      <c r="IF65" s="57">
        <f t="shared" si="418"/>
        <v>0</v>
      </c>
      <c r="IG65" s="171" t="str">
        <f t="shared" si="419"/>
        <v/>
      </c>
      <c r="IH65" s="57">
        <f t="shared" si="267"/>
        <v>0</v>
      </c>
      <c r="II65" s="57">
        <f>IF(OR(AND(HW$6=1,$L65=0),AND(HW$6=2,$K65=2,$G65=1)),0,IF(AND(HY$9=2,(OR($F65&gt;1,$K65=1,AND($L65=80,OR($N65=1,AND($N65=2,'#BerechnungDBE'!$AL56&gt;0)))))),IF(HW$4&gt;=$AD$126,0,IG65),IF(HY$9=3,IF(OR(HW$4&gt;=$AD$127,AND($G65=1,$J65=2,HW$6=2),AND(HW$6=1,$N65&lt;&gt;1)),0,IF(IA65&lt;=120,IG65,IF(HW$4&lt;$AD$124,IF($F65=1,60/HY$4*HY$6,60/HY$4*HY$7),IF($F65=1,120/HY$4*HY$6,120/HY$4*HY$7)))),IF(OR($F65=3,$G65=2),IF(OR(AND(HW$4&gt;=$AD$119,$C65=2),AND(HW$4&gt;=$AF$119,$C65=1)),0,IF(IA65&lt;=60,IG65,60/HY$4*HY$7)),IF(AND($F65=2,$G65=1),IG65,0)))))</f>
        <v>0</v>
      </c>
      <c r="IJ65" s="57" t="str">
        <f t="shared" si="94"/>
        <v/>
      </c>
      <c r="IK65" s="57" t="str">
        <f t="shared" si="420"/>
        <v/>
      </c>
      <c r="IL65" s="713">
        <f>'org. Düngung 22'!BP64</f>
        <v>0</v>
      </c>
      <c r="IM65" s="57"/>
      <c r="IN65" s="57"/>
      <c r="IO65" s="57">
        <f t="shared" si="96"/>
        <v>0</v>
      </c>
      <c r="IP65" s="57">
        <f t="shared" si="268"/>
        <v>0</v>
      </c>
      <c r="IQ65" s="57">
        <f t="shared" si="269"/>
        <v>0</v>
      </c>
      <c r="IR65" s="57">
        <f t="shared" si="270"/>
        <v>0</v>
      </c>
      <c r="IS65" s="57">
        <f t="shared" si="271"/>
        <v>0</v>
      </c>
      <c r="IT65" s="1029">
        <f t="shared" si="421"/>
        <v>0</v>
      </c>
      <c r="IU65" s="57">
        <f t="shared" si="422"/>
        <v>0</v>
      </c>
      <c r="IV65" s="171" t="str">
        <f t="shared" si="423"/>
        <v/>
      </c>
      <c r="IW65" s="57">
        <f t="shared" si="272"/>
        <v>0</v>
      </c>
      <c r="IX65" s="57">
        <f>IF(OR(AND(IL$6=1,$L65=0),AND(IL$6=2,$K65=2,$G65=1)),0,IF(AND(IN$9=2,(OR($F65&gt;1,$K65=1,AND($L65=80,OR($N65=1,AND($N65=2,'#BerechnungDBE'!$AL56&gt;0)))))),IF(IL$4&gt;=$AD$126,0,IV65),IF(IN$9=3,IF(OR(IL$4&gt;=$AD$127,AND($G65=1,$J65=2,IL$6=2),AND(IL$6=1,$N65&lt;&gt;1)),0,IF(IP65&lt;=120,IV65,IF(IL$4&lt;$AD$124,IF($F65=1,60/IN$4*IN$6,60/IN$4*IN$7),IF($F65=1,120/IN$4*IN$6,120/IN$4*IN$7)))),IF(OR($F65=3,$G65=2),IF(OR(AND(IL$4&gt;=$AD$119,$C65=2),AND(IL$4&gt;=$AF$119,$C65=1)),0,IF(IP65&lt;=60,IV65,60/IN$4*IN$7)),IF(AND($F65=2,$G65=1),IV65,0)))))</f>
        <v>0</v>
      </c>
      <c r="IY65" s="57" t="str">
        <f t="shared" si="100"/>
        <v/>
      </c>
      <c r="IZ65" s="57" t="str">
        <f t="shared" si="424"/>
        <v/>
      </c>
      <c r="JA65" s="713">
        <f>'org. Düngung 22'!BT64</f>
        <v>0</v>
      </c>
      <c r="JB65" s="57"/>
      <c r="JC65" s="57"/>
      <c r="JD65" s="57">
        <f t="shared" si="102"/>
        <v>0</v>
      </c>
      <c r="JE65" s="57">
        <f t="shared" si="273"/>
        <v>0</v>
      </c>
      <c r="JF65" s="57">
        <f t="shared" si="274"/>
        <v>0</v>
      </c>
      <c r="JG65" s="57">
        <f t="shared" si="275"/>
        <v>0</v>
      </c>
      <c r="JH65" s="57">
        <f t="shared" si="276"/>
        <v>0</v>
      </c>
      <c r="JI65" s="1029">
        <f t="shared" si="425"/>
        <v>0</v>
      </c>
      <c r="JJ65" s="57">
        <f t="shared" si="426"/>
        <v>0</v>
      </c>
      <c r="JK65" s="171" t="str">
        <f t="shared" si="427"/>
        <v/>
      </c>
      <c r="JL65" s="57">
        <f t="shared" si="277"/>
        <v>0</v>
      </c>
      <c r="JM65" s="57">
        <f>IF(OR(AND(JA$6=1,$L65=0),AND(JA$6=2,$K65=2,$G65=1)),0,IF(AND(JC$9=2,(OR($F65&gt;1,$K65=1,AND($L65=80,OR($N65=1,AND($N65=2,'#BerechnungDBE'!$AL56&gt;0)))))),IF(JA$4&gt;=$AD$126,0,JK65),IF(JC$9=3,IF(OR(JA$4&gt;=$AD$127,AND($G65=1,$J65=2,JA$6=2),AND(JA$6=1,$N65&lt;&gt;1)),0,IF(JE65&lt;=120,JK65,IF(JA$4&lt;$AD$124,IF($F65=1,60/JC$4*JC$6,60/JC$4*JC$7),IF($F65=1,120/JC$4*JC$6,120/JC$4*JC$7)))),IF(OR($F65=3,$G65=2),IF(OR(AND(JA$4&gt;=$AD$119,$C65=2),AND(JA$4&gt;=$AF$119,$C65=1)),0,IF(JE65&lt;=60,JK65,60/JC$4*JC$7)),IF(AND($F65=2,$G65=1),JK65,0)))))</f>
        <v>0</v>
      </c>
      <c r="JN65" s="57" t="str">
        <f t="shared" si="106"/>
        <v/>
      </c>
      <c r="JO65" s="57" t="str">
        <f t="shared" si="428"/>
        <v/>
      </c>
      <c r="JP65" s="713">
        <f>'org. Düngung 22'!BX64</f>
        <v>0</v>
      </c>
      <c r="JQ65" s="57"/>
      <c r="JR65" s="57"/>
      <c r="JS65" s="57">
        <f t="shared" si="108"/>
        <v>0</v>
      </c>
      <c r="JT65" s="57">
        <f t="shared" si="278"/>
        <v>0</v>
      </c>
      <c r="JU65" s="57">
        <f t="shared" si="279"/>
        <v>0</v>
      </c>
      <c r="JV65" s="57">
        <f t="shared" si="280"/>
        <v>0</v>
      </c>
      <c r="JW65" s="57">
        <f t="shared" si="281"/>
        <v>0</v>
      </c>
      <c r="JX65" s="1029">
        <f t="shared" si="429"/>
        <v>0</v>
      </c>
      <c r="JY65" s="57">
        <f t="shared" si="430"/>
        <v>0</v>
      </c>
      <c r="JZ65" s="171" t="str">
        <f t="shared" si="431"/>
        <v/>
      </c>
      <c r="KA65" s="57">
        <f t="shared" si="282"/>
        <v>0</v>
      </c>
      <c r="KB65" s="57">
        <f>IF(OR(AND(JP$6=1,$L65=0),AND(JP$6=2,$K65=2,$G65=1)),0,IF(AND(JR$9=2,(OR($F65&gt;1,$K65=1,AND($L65=80,OR($N65=1,AND($N65=2,'#BerechnungDBE'!$AL56&gt;0)))))),IF(JP$4&gt;=$AD$126,0,JZ65),IF(JR$9=3,IF(OR(JP$4&gt;=$AD$127,AND($G65=1,$J65=2,JP$6=2),AND(JP$6=1,$N65&lt;&gt;1)),0,IF(JT65&lt;=120,JZ65,IF(JP$4&lt;$AD$124,IF($F65=1,60/JR$4*JR$6,60/JR$4*JR$7),IF($F65=1,120/JR$4*JR$6,120/JR$4*JR$7)))),IF(OR($F65=3,$G65=2),IF(OR(AND(JP$4&gt;=$AD$119,$C65=2),AND(JP$4&gt;=$AF$119,$C65=1)),0,IF(JT65&lt;=60,JZ65,60/JR$4*JR$7)),IF(AND($F65=2,$G65=1),JZ65,0)))))</f>
        <v>0</v>
      </c>
      <c r="KC65" s="57" t="str">
        <f t="shared" si="112"/>
        <v/>
      </c>
      <c r="KD65" s="57" t="str">
        <f t="shared" si="432"/>
        <v/>
      </c>
      <c r="KE65" s="713">
        <f>'org. Düngung 22'!CB64</f>
        <v>0</v>
      </c>
      <c r="KF65" s="57"/>
      <c r="KG65" s="57"/>
      <c r="KH65" s="57">
        <f t="shared" si="114"/>
        <v>0</v>
      </c>
      <c r="KI65" s="57">
        <f t="shared" si="283"/>
        <v>0</v>
      </c>
      <c r="KJ65" s="57">
        <f t="shared" si="284"/>
        <v>0</v>
      </c>
      <c r="KK65" s="57">
        <f t="shared" si="285"/>
        <v>0</v>
      </c>
      <c r="KL65" s="57">
        <f t="shared" si="286"/>
        <v>0</v>
      </c>
      <c r="KM65" s="1029">
        <f t="shared" si="433"/>
        <v>0</v>
      </c>
      <c r="KN65" s="57">
        <f t="shared" si="434"/>
        <v>0</v>
      </c>
      <c r="KO65" s="171" t="str">
        <f t="shared" si="435"/>
        <v/>
      </c>
      <c r="KP65" s="57">
        <f t="shared" si="287"/>
        <v>0</v>
      </c>
      <c r="KQ65" s="57">
        <f>IF(OR(AND(KE$6=1,$L65=0),AND(KE$6=2,$K65=2,$G65=1)),0,IF(AND(KG$9=2,(OR($F65&gt;1,$K65=1,AND($L65=80,OR($N65=1,AND($N65=2,'#BerechnungDBE'!$AL56&gt;0)))))),IF(KE$4&gt;=$AD$126,0,KO65),IF(KG$9=3,IF(OR(KE$4&gt;=$AD$127,AND($G65=1,$J65=2,KE$6=2),AND(KE$6=1,$N65&lt;&gt;1)),0,IF(KI65&lt;=120,KO65,IF(KE$4&lt;$AD$124,IF($F65=1,60/KG$4*KG$6,60/KG$4*KG$7),IF($F65=1,120/KG$4*KG$6,120/KG$4*KG$7)))),IF(OR($F65=3,$G65=2),IF(OR(AND(KE$4&gt;=$AD$119,$C65=2),AND(KE$4&gt;=$AF$119,$C65=1)),0,IF(KI65&lt;=60,KO65,60/KG$4*KG$7)),IF(AND($F65=2,$G65=1),KO65,0)))))</f>
        <v>0</v>
      </c>
      <c r="KR65" s="57" t="str">
        <f t="shared" si="118"/>
        <v/>
      </c>
      <c r="KS65" s="57" t="str">
        <f t="shared" si="436"/>
        <v/>
      </c>
      <c r="KT65" s="713">
        <f>'org. Düngung 22'!CF64</f>
        <v>0</v>
      </c>
      <c r="KU65" s="57"/>
      <c r="KV65" s="57"/>
      <c r="KW65" s="57">
        <f t="shared" si="120"/>
        <v>0</v>
      </c>
      <c r="KX65" s="57">
        <f t="shared" si="288"/>
        <v>0</v>
      </c>
      <c r="KY65" s="57">
        <f t="shared" si="289"/>
        <v>0</v>
      </c>
      <c r="KZ65" s="57">
        <f t="shared" si="290"/>
        <v>0</v>
      </c>
      <c r="LA65" s="57">
        <f t="shared" si="291"/>
        <v>0</v>
      </c>
      <c r="LB65" s="1029">
        <f t="shared" si="437"/>
        <v>0</v>
      </c>
      <c r="LC65" s="57">
        <f t="shared" si="438"/>
        <v>0</v>
      </c>
      <c r="LD65" s="171" t="str">
        <f t="shared" si="439"/>
        <v/>
      </c>
      <c r="LE65" s="57">
        <f t="shared" si="292"/>
        <v>0</v>
      </c>
      <c r="LF65" s="57">
        <f>IF(OR(AND(KT$6=1,$L65=0),AND(KT$6=2,$K65=2,$G65=1)),0,IF(AND(KV$9=2,(OR($F65&gt;1,$K65=1,AND($L65=80,OR($N65=1,AND($N65=2,'#BerechnungDBE'!$AL56&gt;0)))))),IF(KT$4&gt;=$AD$126,0,LD65),IF(KV$9=3,IF(OR(KT$4&gt;=$AD$127,AND($G65=1,$J65=2,KT$6=2),AND(KT$6=1,$N65&lt;&gt;1)),0,IF(KX65&lt;=120,LD65,IF(KT$4&lt;$AD$124,IF($F65=1,60/KV$4*KV$6,60/KV$4*KV$7),IF($F65=1,120/KV$4*KV$6,120/KV$4*KV$7)))),IF(OR($F65=3,$G65=2),IF(OR(AND(KT$4&gt;=$AD$119,$C65=2),AND(KT$4&gt;=$AF$119,$C65=1)),0,IF(KX65&lt;=60,LD65,60/KV$4*KV$7)),IF(AND($F65=2,$G65=1),LD65,0)))))</f>
        <v>0</v>
      </c>
      <c r="LG65" s="57" t="str">
        <f t="shared" si="124"/>
        <v/>
      </c>
      <c r="LH65" s="57" t="str">
        <f t="shared" si="440"/>
        <v/>
      </c>
      <c r="LI65" s="713">
        <f>'org. Düngung 22'!CJ64</f>
        <v>0</v>
      </c>
      <c r="LJ65" s="57"/>
      <c r="LK65" s="57"/>
      <c r="LL65" s="57">
        <f t="shared" si="126"/>
        <v>0</v>
      </c>
      <c r="LM65" s="57">
        <f t="shared" si="293"/>
        <v>0</v>
      </c>
      <c r="LN65" s="57">
        <f t="shared" si="294"/>
        <v>0</v>
      </c>
      <c r="LO65" s="57">
        <f t="shared" si="295"/>
        <v>0</v>
      </c>
      <c r="LP65" s="57">
        <f t="shared" si="296"/>
        <v>0</v>
      </c>
      <c r="LQ65" s="1029">
        <f t="shared" si="441"/>
        <v>0</v>
      </c>
      <c r="LR65" s="57">
        <f t="shared" si="442"/>
        <v>0</v>
      </c>
      <c r="LS65" s="171" t="str">
        <f t="shared" si="443"/>
        <v/>
      </c>
      <c r="LT65" s="57">
        <f t="shared" si="297"/>
        <v>0</v>
      </c>
      <c r="LU65" s="57">
        <f>IF(OR(AND(LI$6=1,$L65=0),AND(LI$6=2,$K65=2,$G65=1)),0,IF(AND(LK$9=2,(OR($F65&gt;1,$K65=1,AND($L65=80,OR($N65=1,AND($N65=2,'#BerechnungDBE'!$AL56&gt;0)))))),IF(LI$4&gt;=$AD$126,0,LS65),IF(LK$9=3,IF(OR(LI$4&gt;=$AD$127,AND($G65=1,$J65=2,LI$6=2),AND(LI$6=1,$N65&lt;&gt;1)),0,IF(LM65&lt;=120,LS65,IF(LI$4&lt;$AD$124,IF($F65=1,60/LK$4*LK$6,60/LK$4*LK$7),IF($F65=1,120/LK$4*LK$6,120/LK$4*LK$7)))),IF(OR($F65=3,$G65=2),IF(OR(AND(LI$4&gt;=$AD$119,$C65=2),AND(LI$4&gt;=$AF$119,$C65=1)),0,IF(LM65&lt;=60,LS65,60/LK$4*LK$7)),IF(AND($F65=2,$G65=1),LS65,0)))))</f>
        <v>0</v>
      </c>
      <c r="LV65" s="57" t="str">
        <f t="shared" si="130"/>
        <v/>
      </c>
      <c r="LW65" s="57" t="str">
        <f t="shared" si="444"/>
        <v/>
      </c>
      <c r="LX65" s="713">
        <f>'org. Düngung 22'!CN64</f>
        <v>0</v>
      </c>
      <c r="LY65" s="57"/>
      <c r="LZ65" s="57"/>
      <c r="MA65" s="57">
        <f t="shared" si="132"/>
        <v>0</v>
      </c>
      <c r="MB65" s="57">
        <f t="shared" si="298"/>
        <v>0</v>
      </c>
      <c r="MC65" s="57">
        <f t="shared" si="299"/>
        <v>0</v>
      </c>
      <c r="MD65" s="57">
        <f t="shared" si="300"/>
        <v>0</v>
      </c>
      <c r="ME65" s="57">
        <f t="shared" si="301"/>
        <v>0</v>
      </c>
      <c r="MF65" s="1029">
        <f t="shared" si="445"/>
        <v>0</v>
      </c>
      <c r="MG65" s="57">
        <f t="shared" si="446"/>
        <v>0</v>
      </c>
      <c r="MH65" s="171" t="str">
        <f t="shared" si="447"/>
        <v/>
      </c>
      <c r="MI65" s="57">
        <f t="shared" si="302"/>
        <v>0</v>
      </c>
      <c r="MJ65" s="57">
        <f>IF(OR(AND(LX$6=1,$L65=0),AND(LX$6=2,$K65=2,$G65=1)),0,IF(AND(LZ$9=2,(OR($F65&gt;1,$K65=1,AND($L65=80,OR($N65=1,AND($N65=2,'#BerechnungDBE'!$AL56&gt;0)))))),IF(LX$4&gt;=$AD$126,0,MH65),IF(LZ$9=3,IF(OR(LX$4&gt;=$AD$127,AND($G65=1,$J65=2,LX$6=2),AND(LX$6=1,$N65&lt;&gt;1)),0,IF(MB65&lt;=120,MH65,IF(LX$4&lt;$AD$124,IF($F65=1,60/LZ$4*LZ$6,60/LZ$4*LZ$7),IF($F65=1,120/LZ$4*LZ$6,120/LZ$4*LZ$7)))),IF(OR($F65=3,$G65=2),IF(OR(AND(LX$4&gt;=$AD$119,$C65=2),AND(LX$4&gt;=$AF$119,$C65=1)),0,IF(MB65&lt;=60,MH65,60/LZ$4*LZ$7)),IF(AND($F65=2,$G65=1),MH65,0)))))</f>
        <v>0</v>
      </c>
      <c r="MK65" s="57" t="str">
        <f t="shared" si="136"/>
        <v/>
      </c>
      <c r="ML65" s="57" t="str">
        <f t="shared" si="448"/>
        <v/>
      </c>
      <c r="MM65" s="713">
        <f>'org. Düngung 22'!CR64</f>
        <v>0</v>
      </c>
      <c r="MN65" s="57"/>
      <c r="MO65" s="57"/>
      <c r="MP65" s="57">
        <f t="shared" si="138"/>
        <v>0</v>
      </c>
      <c r="MQ65" s="57">
        <f t="shared" si="303"/>
        <v>0</v>
      </c>
      <c r="MR65" s="57">
        <f t="shared" si="304"/>
        <v>0</v>
      </c>
      <c r="MS65" s="57">
        <f t="shared" si="305"/>
        <v>0</v>
      </c>
      <c r="MT65" s="57">
        <f t="shared" si="306"/>
        <v>0</v>
      </c>
      <c r="MU65" s="1029">
        <f t="shared" si="449"/>
        <v>0</v>
      </c>
      <c r="MV65" s="57">
        <f t="shared" si="450"/>
        <v>0</v>
      </c>
      <c r="MW65" s="171" t="str">
        <f t="shared" si="451"/>
        <v/>
      </c>
      <c r="MX65" s="57">
        <f t="shared" si="307"/>
        <v>0</v>
      </c>
      <c r="MY65" s="57">
        <f>IF(OR(AND(MM$6=1,$L65=0),AND(MM$6=2,$K65=2,$G65=1)),0,IF(AND(MO$9=2,(OR($F65&gt;1,$K65=1,AND($L65=80,OR($N65=1,AND($N65=2,'#BerechnungDBE'!$AL56&gt;0)))))),IF(MM$4&gt;=$AD$126,0,MW65),IF(MO$9=3,IF(OR(MM$4&gt;=$AD$127,AND($G65=1,$J65=2,MM$6=2),AND(MM$6=1,$N65&lt;&gt;1)),0,IF(MQ65&lt;=120,MW65,IF(MM$4&lt;$AD$124,IF($F65=1,60/MO$4*MO$6,60/MO$4*MO$7),IF($F65=1,120/MO$4*MO$6,120/MO$4*MO$7)))),IF(OR($F65=3,$G65=2),IF(OR(AND(MM$4&gt;=$AD$119,$C65=2),AND(MM$4&gt;=$AF$119,$C65=1)),0,IF(MQ65&lt;=60,MW65,60/MO$4*MO$7)),IF(AND($F65=2,$G65=1),MW65,0)))))</f>
        <v>0</v>
      </c>
      <c r="MZ65" s="57" t="str">
        <f t="shared" si="142"/>
        <v/>
      </c>
      <c r="NA65" s="57" t="str">
        <f t="shared" si="452"/>
        <v/>
      </c>
      <c r="NB65" s="713">
        <f>'org. Düngung 22'!CV64</f>
        <v>0</v>
      </c>
      <c r="NC65" s="57"/>
      <c r="ND65" s="57"/>
      <c r="NE65" s="57">
        <f t="shared" si="144"/>
        <v>0</v>
      </c>
      <c r="NF65" s="57">
        <f t="shared" si="308"/>
        <v>0</v>
      </c>
      <c r="NG65" s="57">
        <f t="shared" si="309"/>
        <v>0</v>
      </c>
      <c r="NH65" s="57">
        <f t="shared" si="310"/>
        <v>0</v>
      </c>
      <c r="NI65" s="57">
        <f t="shared" si="311"/>
        <v>0</v>
      </c>
      <c r="NJ65" s="1029">
        <f t="shared" si="453"/>
        <v>0</v>
      </c>
      <c r="NK65" s="57">
        <f t="shared" si="454"/>
        <v>0</v>
      </c>
      <c r="NL65" s="171" t="str">
        <f t="shared" si="455"/>
        <v/>
      </c>
      <c r="NM65" s="57">
        <f t="shared" si="312"/>
        <v>0</v>
      </c>
      <c r="NN65" s="57">
        <f>IF(OR(AND(NB$6=1,$L65=0),AND(NB$6=2,$K65=2,$G65=1)),0,IF(AND(ND$9=2,(OR($F65&gt;1,$K65=1,AND($L65=80,OR($N65=1,AND($N65=2,'#BerechnungDBE'!$AL56&gt;0)))))),IF(NB$4&gt;=$AD$126,0,NL65),IF(ND$9=3,IF(OR(NB$4&gt;=$AD$127,AND($G65=1,$J65=2,NB$6=2),AND(NB$6=1,$N65&lt;&gt;1)),0,IF(NF65&lt;=120,NL65,IF(NB$4&lt;$AD$124,IF($F65=1,60/ND$4*ND$6,60/ND$4*ND$7),IF($F65=1,120/ND$4*ND$6,120/ND$4*ND$7)))),IF(OR($F65=3,$G65=2),IF(OR(AND(NB$4&gt;=$AD$119,$C65=2),AND(NB$4&gt;=$AF$119,$C65=1)),0,IF(NF65&lt;=60,NL65,60/ND$4*ND$7)),IF(AND($F65=2,$G65=1),NL65,0)))))</f>
        <v>0</v>
      </c>
      <c r="NO65" s="57" t="str">
        <f t="shared" si="148"/>
        <v/>
      </c>
      <c r="NP65" s="57" t="str">
        <f t="shared" si="456"/>
        <v/>
      </c>
      <c r="NQ65" s="713">
        <f>'org. Düngung 22'!CZ64</f>
        <v>0</v>
      </c>
      <c r="NR65" s="57"/>
      <c r="NS65" s="57"/>
      <c r="NT65" s="57">
        <f t="shared" si="150"/>
        <v>0</v>
      </c>
      <c r="NU65" s="57">
        <f t="shared" si="313"/>
        <v>0</v>
      </c>
      <c r="NV65" s="57">
        <f t="shared" si="314"/>
        <v>0</v>
      </c>
      <c r="NW65" s="57">
        <f t="shared" si="315"/>
        <v>0</v>
      </c>
      <c r="NX65" s="57">
        <f t="shared" si="316"/>
        <v>0</v>
      </c>
      <c r="NY65" s="1029">
        <f t="shared" si="457"/>
        <v>0</v>
      </c>
      <c r="NZ65" s="57">
        <f t="shared" si="458"/>
        <v>0</v>
      </c>
      <c r="OA65" s="171" t="str">
        <f t="shared" si="459"/>
        <v/>
      </c>
      <c r="OB65" s="57">
        <f t="shared" si="317"/>
        <v>0</v>
      </c>
      <c r="OC65" s="57">
        <f>IF(OR(AND(NQ$6=1,$L65=0),AND(NQ$6=2,$K65=2,$G65=1)),0,IF(AND(NS$9=2,(OR($F65&gt;1,$K65=1,AND($L65=80,OR($N65=1,AND($N65=2,'#BerechnungDBE'!$AL56&gt;0)))))),IF(NQ$4&gt;=$AD$126,0,OA65),IF(NS$9=3,IF(OR(NQ$4&gt;=$AD$127,AND($G65=1,$J65=2,NQ$6=2),AND(NQ$6=1,$N65&lt;&gt;1)),0,IF(NU65&lt;=120,OA65,IF(NQ$4&lt;$AD$124,IF($F65=1,60/NS$4*NS$6,60/NS$4*NS$7),IF($F65=1,120/NS$4*NS$6,120/NS$4*NS$7)))),IF(OR($F65=3,$G65=2),IF(OR(AND(NQ$4&gt;=$AD$119,$C65=2),AND(NQ$4&gt;=$AF$119,$C65=1)),0,IF(NU65&lt;=60,OA65,60/NS$4*NS$7)),IF(AND($F65=2,$G65=1),OA65,0)))))</f>
        <v>0</v>
      </c>
      <c r="OD65" s="57" t="str">
        <f t="shared" si="154"/>
        <v/>
      </c>
      <c r="OE65" s="57" t="str">
        <f t="shared" si="460"/>
        <v/>
      </c>
      <c r="OF65" s="713">
        <f>'org. Düngung 22'!DD64</f>
        <v>0</v>
      </c>
      <c r="OG65" s="57"/>
      <c r="OH65" s="57"/>
      <c r="OI65" s="57">
        <f t="shared" si="156"/>
        <v>0</v>
      </c>
      <c r="OJ65" s="57">
        <f t="shared" si="318"/>
        <v>0</v>
      </c>
      <c r="OK65" s="57">
        <f t="shared" si="319"/>
        <v>0</v>
      </c>
      <c r="OL65" s="57">
        <f t="shared" si="320"/>
        <v>0</v>
      </c>
      <c r="OM65" s="57">
        <f t="shared" si="321"/>
        <v>0</v>
      </c>
      <c r="ON65" s="1029">
        <f t="shared" si="461"/>
        <v>0</v>
      </c>
      <c r="OO65" s="57">
        <f t="shared" si="462"/>
        <v>0</v>
      </c>
      <c r="OP65" s="171" t="str">
        <f t="shared" si="463"/>
        <v/>
      </c>
      <c r="OQ65" s="57">
        <f t="shared" si="322"/>
        <v>0</v>
      </c>
      <c r="OR65" s="57">
        <f>IF(OR(AND(OF$6=1,$L65=0),AND(OF$6=2,$K65=2,$G65=1)),0,IF(AND(OH$9=2,(OR($F65&gt;1,$K65=1,AND($L65=80,OR($N65=1,AND($N65=2,'#BerechnungDBE'!$AL56&gt;0)))))),IF(OF$4&gt;=$AD$126,0,OP65),IF(OH$9=3,IF(OR(OF$4&gt;=$AD$127,AND($G65=1,$J65=2,OF$6=2),AND(OF$6=1,$N65&lt;&gt;1)),0,IF(OJ65&lt;=120,OP65,IF(OF$4&lt;$AD$124,IF($F65=1,60/OH$4*OH$6,60/OH$4*OH$7),IF($F65=1,120/OH$4*OH$6,120/OH$4*OH$7)))),IF(OR($F65=3,$G65=2),IF(OR(AND(OF$4&gt;=$AD$119,$C65=2),AND(OF$4&gt;=$AF$119,$C65=1)),0,IF(OJ65&lt;=60,OP65,60/OH$4*OH$7)),IF(AND($F65=2,$G65=1),OP65,0)))))</f>
        <v>0</v>
      </c>
      <c r="OS65" s="57" t="str">
        <f t="shared" si="160"/>
        <v/>
      </c>
      <c r="OT65" s="57" t="str">
        <f t="shared" si="464"/>
        <v/>
      </c>
      <c r="OU65" s="713">
        <f>'org. Düngung 22'!DH64</f>
        <v>0</v>
      </c>
      <c r="OV65" s="57"/>
      <c r="OW65" s="57"/>
      <c r="OX65" s="57">
        <f t="shared" si="162"/>
        <v>0</v>
      </c>
      <c r="OY65" s="57">
        <f t="shared" si="323"/>
        <v>0</v>
      </c>
      <c r="OZ65" s="57">
        <f t="shared" si="324"/>
        <v>0</v>
      </c>
      <c r="PA65" s="57">
        <f t="shared" si="325"/>
        <v>0</v>
      </c>
      <c r="PB65" s="57">
        <f t="shared" si="326"/>
        <v>0</v>
      </c>
      <c r="PC65" s="1029">
        <f t="shared" si="465"/>
        <v>0</v>
      </c>
      <c r="PD65" s="57">
        <f t="shared" si="466"/>
        <v>0</v>
      </c>
      <c r="PE65" s="171" t="str">
        <f t="shared" si="467"/>
        <v/>
      </c>
      <c r="PF65" s="57">
        <f t="shared" si="327"/>
        <v>0</v>
      </c>
      <c r="PG65" s="57">
        <f>IF(OR(AND(OU$6=1,$L65=0),AND(OU$6=2,$K65=2,$G65=1)),0,IF(AND(OW$9=2,(OR($F65&gt;1,$K65=1,AND($L65=80,OR($N65=1,AND($N65=2,'#BerechnungDBE'!$AL56&gt;0)))))),IF(OU$4&gt;=$AD$126,0,PE65),IF(OW$9=3,IF(OR(OU$4&gt;=$AD$127,AND($G65=1,$J65=2,OU$6=2),AND(OU$6=1,$N65&lt;&gt;1)),0,IF(OY65&lt;=120,PE65,IF(OU$4&lt;$AD$124,IF($F65=1,60/OW$4*OW$6,60/OW$4*OW$7),IF($F65=1,120/OW$4*OW$6,120/OW$4*OW$7)))),IF(OR($F65=3,$G65=2),IF(OR(AND(OU$4&gt;=$AD$119,$C65=2),AND(OU$4&gt;=$AF$119,$C65=1)),0,IF(OY65&lt;=60,PE65,60/OW$4*OW$7)),IF(AND($F65=2,$G65=1),PE65,0)))))</f>
        <v>0</v>
      </c>
      <c r="PH65" s="57" t="str">
        <f t="shared" si="166"/>
        <v/>
      </c>
      <c r="PI65" s="57" t="str">
        <f t="shared" si="468"/>
        <v/>
      </c>
      <c r="PJ65" s="713">
        <f>'org. Düngung 22'!DL64</f>
        <v>0</v>
      </c>
      <c r="PK65" s="57"/>
      <c r="PL65" s="57"/>
      <c r="PM65" s="57">
        <f t="shared" si="168"/>
        <v>0</v>
      </c>
      <c r="PN65" s="57">
        <f t="shared" si="328"/>
        <v>0</v>
      </c>
      <c r="PO65" s="57">
        <f t="shared" si="329"/>
        <v>0</v>
      </c>
      <c r="PP65" s="57">
        <f t="shared" si="330"/>
        <v>0</v>
      </c>
      <c r="PQ65" s="57">
        <f t="shared" si="331"/>
        <v>0</v>
      </c>
      <c r="PR65" s="1029">
        <f t="shared" si="469"/>
        <v>0</v>
      </c>
      <c r="PS65" s="57">
        <f t="shared" si="470"/>
        <v>0</v>
      </c>
      <c r="PT65" s="171" t="str">
        <f t="shared" si="471"/>
        <v/>
      </c>
      <c r="PU65" s="57">
        <f t="shared" si="332"/>
        <v>0</v>
      </c>
      <c r="PV65" s="57">
        <f>IF(OR(AND(PJ$6=1,$L65=0),AND(PJ$6=2,$K65=2,$G65=1)),0,IF(AND(PL$9=2,(OR($F65&gt;1,$K65=1,AND($L65=80,OR($N65=1,AND($N65=2,'#BerechnungDBE'!$AL56&gt;0)))))),IF(PJ$4&gt;=$AD$126,0,PT65),IF(PL$9=3,IF(OR(PJ$4&gt;=$AD$127,AND($G65=1,$J65=2,PJ$6=2),AND(PJ$6=1,$N65&lt;&gt;1)),0,IF(PN65&lt;=120,PT65,IF(PJ$4&lt;$AD$124,IF($F65=1,60/PL$4*PL$6,60/PL$4*PL$7),IF($F65=1,120/PL$4*PL$6,120/PL$4*PL$7)))),IF(OR($F65=3,$G65=2),IF(OR(AND(PJ$4&gt;=$AD$119,$C65=2),AND(PJ$4&gt;=$AF$119,$C65=1)),0,IF(PN65&lt;=60,PT65,60/PL$4*PL$7)),IF(AND($F65=2,$G65=1),PT65,0)))))</f>
        <v>0</v>
      </c>
      <c r="PW65" s="57" t="str">
        <f t="shared" si="172"/>
        <v/>
      </c>
      <c r="PX65" s="57" t="str">
        <f t="shared" si="472"/>
        <v/>
      </c>
      <c r="PY65" s="713">
        <f>'org. Düngung 22'!DP64</f>
        <v>0</v>
      </c>
      <c r="PZ65" s="57"/>
      <c r="QA65" s="57"/>
      <c r="QB65" s="57">
        <f t="shared" si="174"/>
        <v>0</v>
      </c>
      <c r="QC65" s="57">
        <f t="shared" si="333"/>
        <v>0</v>
      </c>
      <c r="QD65" s="57">
        <f t="shared" si="334"/>
        <v>0</v>
      </c>
      <c r="QE65" s="57">
        <f t="shared" si="335"/>
        <v>0</v>
      </c>
      <c r="QF65" s="57">
        <f t="shared" si="336"/>
        <v>0</v>
      </c>
      <c r="QG65" s="1029">
        <f t="shared" si="473"/>
        <v>0</v>
      </c>
      <c r="QH65" s="57">
        <f t="shared" si="474"/>
        <v>0</v>
      </c>
      <c r="QI65" s="171" t="str">
        <f t="shared" si="475"/>
        <v/>
      </c>
      <c r="QJ65" s="57">
        <f t="shared" si="337"/>
        <v>0</v>
      </c>
      <c r="QK65" s="57">
        <f>IF(OR(AND(PY$6=1,$L65=0),AND(PY$6=2,$K65=2,$G65=1)),0,IF(AND(QA$9=2,(OR($F65&gt;1,$K65=1,AND($L65=80,OR($N65=1,AND($N65=2,'#BerechnungDBE'!$AL56&gt;0)))))),IF(PY$4&gt;=$AD$126,0,QI65),IF(QA$9=3,IF(OR(PY$4&gt;=$AD$127,AND($G65=1,$J65=2,PY$6=2),AND(PY$6=1,$N65&lt;&gt;1)),0,IF(QC65&lt;=120,QI65,IF(PY$4&lt;$AD$124,IF($F65=1,60/QA$4*QA$6,60/QA$4*QA$7),IF($F65=1,120/QA$4*QA$6,120/QA$4*QA$7)))),IF(OR($F65=3,$G65=2),IF(OR(AND(PY$4&gt;=$AD$119,$C65=2),AND(PY$4&gt;=$AF$119,$C65=1)),0,IF(QC65&lt;=60,QI65,60/QA$4*QA$7)),IF(AND($F65=2,$G65=1),QI65,0)))))</f>
        <v>0</v>
      </c>
      <c r="QL65" s="57" t="str">
        <f t="shared" si="178"/>
        <v/>
      </c>
      <c r="QM65" s="57" t="str">
        <f t="shared" si="476"/>
        <v/>
      </c>
      <c r="QN65" s="713">
        <f>'org. Düngung 22'!DT64</f>
        <v>0</v>
      </c>
      <c r="QO65" s="57"/>
      <c r="QP65" s="57"/>
      <c r="QQ65" s="57">
        <f t="shared" si="180"/>
        <v>0</v>
      </c>
      <c r="QR65" s="57">
        <f t="shared" si="338"/>
        <v>0</v>
      </c>
      <c r="QS65" s="57">
        <f t="shared" si="339"/>
        <v>0</v>
      </c>
      <c r="QT65" s="57">
        <f t="shared" si="340"/>
        <v>0</v>
      </c>
      <c r="QU65" s="57">
        <f t="shared" si="341"/>
        <v>0</v>
      </c>
      <c r="QV65" s="1029">
        <f t="shared" si="477"/>
        <v>0</v>
      </c>
      <c r="QW65" s="57">
        <f t="shared" si="478"/>
        <v>0</v>
      </c>
      <c r="QX65" s="171" t="str">
        <f t="shared" si="479"/>
        <v/>
      </c>
      <c r="QY65" s="57">
        <f t="shared" si="342"/>
        <v>0</v>
      </c>
      <c r="QZ65" s="57">
        <f>IF(OR(AND(QN$6=1,$L65=0),AND(QN$6=2,$K65=2,$G65=1)),0,IF(AND(QP$9=2,(OR($F65&gt;1,$K65=1,AND($L65=80,OR($N65=1,AND($N65=2,'#BerechnungDBE'!$AL56&gt;0)))))),IF(QN$4&gt;=$AD$126,0,QX65),IF(QP$9=3,IF(OR(QN$4&gt;=$AD$127,AND($G65=1,$J65=2,QN$6=2),AND(QN$6=1,$N65&lt;&gt;1)),0,IF(QR65&lt;=120,QX65,IF(QN$4&lt;$AD$124,IF($F65=1,60/QP$4*QP$6,60/QP$4*QP$7),IF($F65=1,120/QP$4*QP$6,120/QP$4*QP$7)))),IF(OR($F65=3,$G65=2),IF(OR(AND(QN$4&gt;=$AD$119,$C65=2),AND(QN$4&gt;=$AF$119,$C65=1)),0,IF(QR65&lt;=60,QX65,60/QP$4*QP$7)),IF(AND($F65=2,$G65=1),QX65,0)))))</f>
        <v>0</v>
      </c>
      <c r="RA65" s="57" t="str">
        <f t="shared" si="184"/>
        <v/>
      </c>
      <c r="RB65" s="57" t="str">
        <f t="shared" si="480"/>
        <v/>
      </c>
      <c r="RC65" s="713">
        <f>'org. Düngung 22'!DX64</f>
        <v>0</v>
      </c>
      <c r="RD65" s="57"/>
      <c r="RE65" s="57"/>
      <c r="RF65" s="57">
        <f t="shared" si="186"/>
        <v>0</v>
      </c>
      <c r="RG65" s="57">
        <f t="shared" si="343"/>
        <v>0</v>
      </c>
      <c r="RH65" s="57">
        <f t="shared" si="344"/>
        <v>0</v>
      </c>
      <c r="RI65" s="57">
        <f t="shared" si="345"/>
        <v>0</v>
      </c>
      <c r="RJ65" s="57">
        <f t="shared" si="346"/>
        <v>0</v>
      </c>
      <c r="RK65" s="1029">
        <f t="shared" si="481"/>
        <v>0</v>
      </c>
      <c r="RL65" s="57">
        <f t="shared" si="482"/>
        <v>0</v>
      </c>
      <c r="RM65" s="171" t="str">
        <f t="shared" si="483"/>
        <v/>
      </c>
      <c r="RN65" s="57">
        <f t="shared" si="347"/>
        <v>0</v>
      </c>
      <c r="RO65" s="57">
        <f>IF(OR(AND(RC$6=1,$L65=0),AND(RC$6=2,$K65=2,$G65=1)),0,IF(AND(RE$9=2,(OR($F65&gt;1,$K65=1,AND($L65=80,OR($N65=1,AND($N65=2,'#BerechnungDBE'!$AL56&gt;0)))))),IF(RC$4&gt;=$AD$126,0,RM65),IF(RE$9=3,IF(OR(RC$4&gt;=$AD$127,AND($G65=1,$J65=2,RC$6=2),AND(RC$6=1,$N65&lt;&gt;1)),0,IF(RG65&lt;=120,RM65,IF(RC$4&lt;$AD$124,IF($F65=1,60/RE$4*RE$6,60/RE$4*RE$7),IF($F65=1,120/RE$4*RE$6,120/RE$4*RE$7)))),IF(OR($F65=3,$G65=2),IF(OR(AND(RC$4&gt;=$AD$119,$C65=2),AND(RC$4&gt;=$AF$119,$C65=1)),0,IF(RG65&lt;=60,RM65,60/RE$4*RE$7)),IF(AND($F65=2,$G65=1),RM65,0)))))</f>
        <v>0</v>
      </c>
      <c r="RP65" s="57" t="str">
        <f t="shared" si="190"/>
        <v/>
      </c>
      <c r="RQ65" s="57" t="str">
        <f t="shared" si="484"/>
        <v/>
      </c>
      <c r="RS65" s="57" t="str">
        <f t="shared" si="488"/>
        <v/>
      </c>
      <c r="RT65" s="57" t="str">
        <f t="shared" si="485"/>
        <v/>
      </c>
      <c r="RU65" s="57" t="str">
        <f t="shared" si="486"/>
        <v/>
      </c>
      <c r="RV65" s="57" t="str">
        <f>IF(Z65&gt;'#BerechnungDBE'!BM56,$RV$9,"")</f>
        <v/>
      </c>
      <c r="RW65" s="57" t="str">
        <f>IF(AND(L65=70,AE65&gt;'#BerechnungDBE'!CQ56),$RW$9,"")</f>
        <v/>
      </c>
      <c r="RX65" s="57" t="str">
        <f>IF(OR('org. Düngung 22'!G64="--",'org. Düngung 22'!G64&lt;=170,'org. Düngung 22'!G64=""),"",$RX$9)</f>
        <v/>
      </c>
      <c r="RY65" s="57" t="str">
        <f>IF('org. Düngung 22'!K64&gt;120,'#orgDung'!$RY$9,"")</f>
        <v/>
      </c>
      <c r="RZ65" s="57" t="str">
        <f>IF('#BerechnungDBE'!P56&lt;4,"",IF(AND('#BerechnungDBE'!BZ56&gt;0,T65&gt;0),'#orgDung'!$RZ$9,""))</f>
        <v/>
      </c>
      <c r="SA65" s="57" t="str">
        <f t="shared" si="487"/>
        <v/>
      </c>
    </row>
    <row r="66" spans="1:495" s="875" customFormat="1" x14ac:dyDescent="0.2">
      <c r="A66" s="875">
        <f>'Flächen u. Kulturen'!A62</f>
        <v>53</v>
      </c>
      <c r="B66" s="367">
        <f>'#BerechnungDBE'!L57</f>
        <v>0</v>
      </c>
      <c r="C66" s="875">
        <f>'#BerechnungDBE'!R57</f>
        <v>1</v>
      </c>
      <c r="D66" s="875">
        <f>'#BerechnungDBE'!T57</f>
        <v>2</v>
      </c>
      <c r="E66" s="875" t="str">
        <f>'Flächen u. Kulturen'!E62</f>
        <v>x</v>
      </c>
      <c r="F66" s="52">
        <f>'#BerechnungDBE'!N57</f>
        <v>1</v>
      </c>
      <c r="G66" s="52">
        <f>'#BerechnungDBE'!O57</f>
        <v>1</v>
      </c>
      <c r="H66" s="875">
        <f>IF('Flächen u. Kulturen'!P62="",0,VLOOKUP('Flächen u. Kulturen'!P62,Kulturen[[HF]:[Berechnungsgruppe]],'#Frucht'!$H$1,FALSE))</f>
        <v>0</v>
      </c>
      <c r="I66" s="875">
        <f>IF('Flächen u. Kulturen'!J62="",0,VLOOKUP('Flächen u. Kulturen'!J62,Kulturen[[HF]:[Berechnungsgruppe]],'#Frucht'!$G$1,FALSE))</f>
        <v>90</v>
      </c>
      <c r="J66" s="505">
        <f t="shared" si="195"/>
        <v>2</v>
      </c>
      <c r="K66" s="505">
        <f>IF('Flächen u. Kulturen'!P62="",0,IF(VLOOKUP('Flächen u. Kulturen'!P62,Kulturen[[HF]:[Saat Winterungen]],'#Frucht'!$P$1,FALSE)&gt;0,1,2))</f>
        <v>2</v>
      </c>
      <c r="L66" s="875">
        <f>'#BerechnungDBE'!AF57</f>
        <v>0</v>
      </c>
      <c r="M66" s="875">
        <f>IF('Flächen u. Kulturen'!L62="",0,VLOOKUP('Flächen u. Kulturen'!L62,Nebenkultur[[Nebenkultur]:[Legum. Zwischenfr.]],'#Zweitfr'!$K$1,FALSE))</f>
        <v>0</v>
      </c>
      <c r="N66" s="875">
        <f>'#BerechnungDBE'!AG57</f>
        <v>0</v>
      </c>
      <c r="P66" s="57">
        <f t="shared" si="353"/>
        <v>0</v>
      </c>
      <c r="Q66" s="57">
        <f t="shared" si="354"/>
        <v>0</v>
      </c>
      <c r="R66" s="875">
        <f t="shared" si="355"/>
        <v>0</v>
      </c>
      <c r="S66" s="938" t="str">
        <f t="shared" si="3"/>
        <v/>
      </c>
      <c r="T66" s="875">
        <f t="shared" si="356"/>
        <v>0</v>
      </c>
      <c r="U66" s="875">
        <f t="shared" si="357"/>
        <v>0</v>
      </c>
      <c r="V66" s="875">
        <f t="shared" si="358"/>
        <v>0</v>
      </c>
      <c r="W66" s="875">
        <f t="shared" si="359"/>
        <v>0</v>
      </c>
      <c r="X66" s="875">
        <f t="shared" si="360"/>
        <v>0</v>
      </c>
      <c r="Y66" s="875">
        <f t="shared" si="349"/>
        <v>0</v>
      </c>
      <c r="Z66" s="875">
        <f t="shared" si="350"/>
        <v>0</v>
      </c>
      <c r="AA66" s="910">
        <f t="shared" si="361"/>
        <v>0</v>
      </c>
      <c r="AB66" s="57">
        <f t="shared" si="351"/>
        <v>0</v>
      </c>
      <c r="AC66" s="875">
        <f t="shared" si="362"/>
        <v>0</v>
      </c>
      <c r="AD66" s="875">
        <f t="shared" si="363"/>
        <v>0</v>
      </c>
      <c r="AE66" s="875">
        <f t="shared" si="364"/>
        <v>0</v>
      </c>
      <c r="AF66" s="875">
        <f t="shared" si="352"/>
        <v>0</v>
      </c>
      <c r="AG66" s="875">
        <f>'org. Düngung 22'!J65</f>
        <v>0</v>
      </c>
      <c r="AH66" s="875">
        <f>'org. Düngung 22'!K65</f>
        <v>0</v>
      </c>
      <c r="AJ66" s="713">
        <f>'org. Düngung 22'!L65</f>
        <v>0</v>
      </c>
      <c r="AK66" s="57"/>
      <c r="AL66" s="57"/>
      <c r="AM66" s="57">
        <f t="shared" si="196"/>
        <v>0</v>
      </c>
      <c r="AN66" s="57">
        <f t="shared" si="197"/>
        <v>0</v>
      </c>
      <c r="AO66" s="57">
        <f t="shared" si="198"/>
        <v>0</v>
      </c>
      <c r="AP66" s="57">
        <f t="shared" si="199"/>
        <v>0</v>
      </c>
      <c r="AQ66" s="57">
        <f t="shared" si="200"/>
        <v>0</v>
      </c>
      <c r="AR66" s="1029">
        <f t="shared" si="365"/>
        <v>0</v>
      </c>
      <c r="AS66" s="57">
        <f t="shared" si="366"/>
        <v>0</v>
      </c>
      <c r="AT66" s="171" t="str">
        <f t="shared" si="367"/>
        <v/>
      </c>
      <c r="AU66" s="57">
        <f t="shared" si="201"/>
        <v>0</v>
      </c>
      <c r="AV66" s="57">
        <f>IF(OR(AND(AJ$6=1,$L66=0),AND(AJ$6=2,$K66=2,$G66=1)),0,IF(AND(AL$9=2,(OR($F66&gt;1,$K66=1,AND($L66=80,OR($N66=1,AND($N66=2,'#BerechnungDBE'!$AL57&gt;0)))))),IF(AJ$4&gt;=$AD$126,0,AT66),IF(AL$9=3,IF(OR(AJ$4&gt;=$AD$127,AND($G66=1,$J66=2,AJ$6=2),AND(AJ$6=1,$N66&lt;&gt;1)),0,IF(AN66&lt;=120,AT66,IF(AJ$4&lt;$AD$124,IF($F66=1,60/AL$4*AL$6,60/AL$4*AL$7),IF($F66=1,120/AL$4*AL$6,120/AL$4*AL$7)))),IF(OR($F66=3,$G66=2),IF(OR(AND(AJ$4&gt;=$AD$119,$C66=2),AND(AJ$4&gt;=$AF$119,$C66=1)),0,IF(AN66&lt;=60,AT66,60/AL$4*AL$7)),IF(AND($F66=2,$G66=1),AT66,0)))))</f>
        <v>0</v>
      </c>
      <c r="AW66" s="57" t="str">
        <f t="shared" si="202"/>
        <v/>
      </c>
      <c r="AX66" s="57" t="str">
        <f t="shared" si="368"/>
        <v/>
      </c>
      <c r="AY66" s="713">
        <f>'org. Düngung 22'!P65</f>
        <v>0</v>
      </c>
      <c r="AZ66" s="57"/>
      <c r="BA66" s="57"/>
      <c r="BB66" s="57">
        <f t="shared" si="18"/>
        <v>0</v>
      </c>
      <c r="BC66" s="57">
        <f t="shared" si="203"/>
        <v>0</v>
      </c>
      <c r="BD66" s="57">
        <f t="shared" si="204"/>
        <v>0</v>
      </c>
      <c r="BE66" s="57">
        <f t="shared" si="205"/>
        <v>0</v>
      </c>
      <c r="BF66" s="57">
        <f t="shared" si="206"/>
        <v>0</v>
      </c>
      <c r="BG66" s="1029">
        <f t="shared" si="369"/>
        <v>0</v>
      </c>
      <c r="BH66" s="57">
        <f t="shared" si="370"/>
        <v>0</v>
      </c>
      <c r="BI66" s="171" t="str">
        <f t="shared" si="371"/>
        <v/>
      </c>
      <c r="BJ66" s="57">
        <f t="shared" si="207"/>
        <v>0</v>
      </c>
      <c r="BK66" s="57">
        <f>IF(OR(AND(AY$6=1,$L66=0),AND(AY$6=2,$K66=2,$G66=1)),0,IF(AND(BA$9=2,(OR($F66&gt;1,$K66=1,AND($L66=80,OR($N66=1,AND($N66=2,'#BerechnungDBE'!$AL57&gt;0)))))),IF(AY$4&gt;=$AD$126,0,BI66),IF(BA$9=3,IF(OR(AY$4&gt;=$AD$127,AND($G66=1,$J66=2,AY$6=2),AND(AY$6=1,$N66&lt;&gt;1)),0,IF(BC66&lt;=120,BI66,IF(AY$4&lt;$AD$124,IF($F66=1,60/BA$4*BA$6,60/BA$4*BA$7),IF($F66=1,120/BA$4*BA$6,120/BA$4*BA$7)))),IF(OR($F66=3,$G66=2),IF(OR(AND(AY$4&gt;=$AD$119,$C66=2),AND(AY$4&gt;=$AF$119,$C66=1)),0,IF(BC66&lt;=60,BI66,60/BA$4*BA$7)),IF(AND($F66=2,$G66=1),BI66,0)))))</f>
        <v>0</v>
      </c>
      <c r="BL66" s="57" t="str">
        <f t="shared" si="22"/>
        <v/>
      </c>
      <c r="BM66" s="57" t="str">
        <f t="shared" si="372"/>
        <v/>
      </c>
      <c r="BN66" s="713">
        <f>'org. Düngung 22'!T65</f>
        <v>0</v>
      </c>
      <c r="BO66" s="57"/>
      <c r="BP66" s="57"/>
      <c r="BQ66" s="57">
        <f t="shared" si="24"/>
        <v>0</v>
      </c>
      <c r="BR66" s="57">
        <f t="shared" si="208"/>
        <v>0</v>
      </c>
      <c r="BS66" s="57">
        <f t="shared" si="209"/>
        <v>0</v>
      </c>
      <c r="BT66" s="57">
        <f t="shared" si="210"/>
        <v>0</v>
      </c>
      <c r="BU66" s="57">
        <f t="shared" si="211"/>
        <v>0</v>
      </c>
      <c r="BV66" s="1029">
        <f t="shared" si="373"/>
        <v>0</v>
      </c>
      <c r="BW66" s="57">
        <f t="shared" si="374"/>
        <v>0</v>
      </c>
      <c r="BX66" s="171" t="str">
        <f t="shared" si="375"/>
        <v/>
      </c>
      <c r="BY66" s="57">
        <f t="shared" si="212"/>
        <v>0</v>
      </c>
      <c r="BZ66" s="57">
        <f>IF(OR(AND(BN$6=1,$L66=0),AND(BN$6=2,$K66=2,$G66=1)),0,IF(AND(BP$9=2,(OR($F66&gt;1,$K66=1,AND($L66=80,OR($N66=1,AND($N66=2,'#BerechnungDBE'!$AL57&gt;0)))))),IF(BN$4&gt;=$AD$126,0,BX66),IF(BP$9=3,IF(OR(BN$4&gt;=$AD$127,AND($G66=1,$J66=2,BN$6=2),AND(BN$6=1,$N66&lt;&gt;1)),0,IF(BR66&lt;=120,BX66,IF(BN$4&lt;$AD$124,IF($F66=1,60/BP$4*BP$6,60/BP$4*BP$7),IF($F66=1,120/BP$4*BP$6,120/BP$4*BP$7)))),IF(OR($F66=3,$G66=2),IF(OR(AND(BN$4&gt;=$AD$119,$C66=2),AND(BN$4&gt;=$AF$119,$C66=1)),0,IF(BR66&lt;=60,BX66,60/BP$4*BP$7)),IF(AND($F66=2,$G66=1),BX66,0)))))</f>
        <v>0</v>
      </c>
      <c r="CA66" s="57" t="str">
        <f t="shared" si="28"/>
        <v/>
      </c>
      <c r="CB66" s="57" t="str">
        <f t="shared" si="376"/>
        <v/>
      </c>
      <c r="CC66" s="713">
        <f>'org. Düngung 22'!X65</f>
        <v>0</v>
      </c>
      <c r="CD66" s="57"/>
      <c r="CE66" s="57"/>
      <c r="CF66" s="57">
        <f t="shared" si="30"/>
        <v>0</v>
      </c>
      <c r="CG66" s="57">
        <f t="shared" si="213"/>
        <v>0</v>
      </c>
      <c r="CH66" s="57">
        <f t="shared" si="214"/>
        <v>0</v>
      </c>
      <c r="CI66" s="57">
        <f t="shared" si="215"/>
        <v>0</v>
      </c>
      <c r="CJ66" s="57">
        <f t="shared" si="216"/>
        <v>0</v>
      </c>
      <c r="CK66" s="1029">
        <f t="shared" si="377"/>
        <v>0</v>
      </c>
      <c r="CL66" s="57">
        <f t="shared" si="378"/>
        <v>0</v>
      </c>
      <c r="CM66" s="171" t="str">
        <f t="shared" si="379"/>
        <v/>
      </c>
      <c r="CN66" s="57">
        <f t="shared" si="217"/>
        <v>0</v>
      </c>
      <c r="CO66" s="57">
        <f>IF(OR(AND(CC$6=1,$L66=0),AND(CC$6=2,$K66=2,$G66=1)),0,IF(AND(CE$9=2,(OR($F66&gt;1,$K66=1,AND($L66=80,OR($N66=1,AND($N66=2,'#BerechnungDBE'!$AL57&gt;0)))))),IF(CC$4&gt;=$AD$126,0,CM66),IF(CE$9=3,IF(OR(CC$4&gt;=$AD$127,AND($G66=1,$J66=2,CC$6=2),AND(CC$6=1,$N66&lt;&gt;1)),0,IF(CG66&lt;=120,CM66,IF(CC$4&lt;$AD$124,IF($F66=1,60/CE$4*CE$6,60/CE$4*CE$7),IF($F66=1,120/CE$4*CE$6,120/CE$4*CE$7)))),IF(OR($F66=3,$G66=2),IF(OR(AND(CC$4&gt;=$AD$119,$C66=2),AND(CC$4&gt;=$AF$119,$C66=1)),0,IF(CG66&lt;=60,CM66,60/CE$4*CE$7)),IF(AND($F66=2,$G66=1),CM66,0)))))</f>
        <v>0</v>
      </c>
      <c r="CP66" s="57" t="str">
        <f t="shared" si="34"/>
        <v/>
      </c>
      <c r="CQ66" s="57" t="str">
        <f t="shared" si="380"/>
        <v/>
      </c>
      <c r="CR66" s="713">
        <f>'org. Düngung 22'!AB65</f>
        <v>0</v>
      </c>
      <c r="CS66" s="57"/>
      <c r="CT66" s="57"/>
      <c r="CU66" s="57">
        <f t="shared" si="36"/>
        <v>0</v>
      </c>
      <c r="CV66" s="57">
        <f t="shared" si="218"/>
        <v>0</v>
      </c>
      <c r="CW66" s="57">
        <f t="shared" si="219"/>
        <v>0</v>
      </c>
      <c r="CX66" s="57">
        <f t="shared" si="220"/>
        <v>0</v>
      </c>
      <c r="CY66" s="57">
        <f t="shared" si="221"/>
        <v>0</v>
      </c>
      <c r="CZ66" s="1029">
        <f t="shared" si="381"/>
        <v>0</v>
      </c>
      <c r="DA66" s="57">
        <f t="shared" si="382"/>
        <v>0</v>
      </c>
      <c r="DB66" s="171" t="str">
        <f t="shared" si="383"/>
        <v/>
      </c>
      <c r="DC66" s="57">
        <f t="shared" si="222"/>
        <v>0</v>
      </c>
      <c r="DD66" s="57">
        <f>IF(OR(AND(CR$6=1,$L66=0),AND(CR$6=2,$K66=2,$G66=1)),0,IF(AND(CT$9=2,(OR($F66&gt;1,$K66=1,AND($L66=80,OR($N66=1,AND($N66=2,'#BerechnungDBE'!$AL57&gt;0)))))),IF(CR$4&gt;=$AD$126,0,DB66),IF(CT$9=3,IF(OR(CR$4&gt;=$AD$127,AND($G66=1,$J66=2,CR$6=2),AND(CR$6=1,$N66&lt;&gt;1)),0,IF(CV66&lt;=120,DB66,IF(CR$4&lt;$AD$124,IF($F66=1,60/CT$4*CT$6,60/CT$4*CT$7),IF($F66=1,120/CT$4*CT$6,120/CT$4*CT$7)))),IF(OR($F66=3,$G66=2),IF(OR(AND(CR$4&gt;=$AD$119,$C66=2),AND(CR$4&gt;=$AF$119,$C66=1)),0,IF(CV66&lt;=60,DB66,60/CT$4*CT$7)),IF(AND($F66=2,$G66=1),DB66,0)))))</f>
        <v>0</v>
      </c>
      <c r="DE66" s="57" t="str">
        <f t="shared" si="40"/>
        <v/>
      </c>
      <c r="DF66" s="57" t="str">
        <f t="shared" si="384"/>
        <v/>
      </c>
      <c r="DG66" s="713">
        <f>'org. Düngung 22'!AF65</f>
        <v>0</v>
      </c>
      <c r="DH66" s="57"/>
      <c r="DI66" s="57"/>
      <c r="DJ66" s="57">
        <f t="shared" si="42"/>
        <v>0</v>
      </c>
      <c r="DK66" s="57">
        <f t="shared" si="223"/>
        <v>0</v>
      </c>
      <c r="DL66" s="57">
        <f t="shared" si="224"/>
        <v>0</v>
      </c>
      <c r="DM66" s="57">
        <f t="shared" si="225"/>
        <v>0</v>
      </c>
      <c r="DN66" s="57">
        <f t="shared" si="226"/>
        <v>0</v>
      </c>
      <c r="DO66" s="1029">
        <f t="shared" si="385"/>
        <v>0</v>
      </c>
      <c r="DP66" s="57">
        <f t="shared" si="386"/>
        <v>0</v>
      </c>
      <c r="DQ66" s="171" t="str">
        <f t="shared" si="387"/>
        <v/>
      </c>
      <c r="DR66" s="57">
        <f t="shared" si="227"/>
        <v>0</v>
      </c>
      <c r="DS66" s="57">
        <f>IF(OR(AND(DG$6=1,$L66=0),AND(DG$6=2,$K66=2,$G66=1)),0,IF(AND(DI$9=2,(OR($F66&gt;1,$K66=1,AND($L66=80,OR($N66=1,AND($N66=2,'#BerechnungDBE'!$AL57&gt;0)))))),IF(DG$4&gt;=$AD$126,0,DQ66),IF(DI$9=3,IF(OR(DG$4&gt;=$AD$127,AND($G66=1,$J66=2,DG$6=2),AND(DG$6=1,$N66&lt;&gt;1)),0,IF(DK66&lt;=120,DQ66,IF(DG$4&lt;$AD$124,IF($F66=1,60/DI$4*DI$6,60/DI$4*DI$7),IF($F66=1,120/DI$4*DI$6,120/DI$4*DI$7)))),IF(OR($F66=3,$G66=2),IF(OR(AND(DG$4&gt;=$AD$119,$C66=2),AND(DG$4&gt;=$AF$119,$C66=1)),0,IF(DK66&lt;=60,DQ66,60/DI$4*DI$7)),IF(AND($F66=2,$G66=1),DQ66,0)))))</f>
        <v>0</v>
      </c>
      <c r="DT66" s="57" t="str">
        <f t="shared" si="46"/>
        <v/>
      </c>
      <c r="DU66" s="57" t="str">
        <f t="shared" si="388"/>
        <v/>
      </c>
      <c r="DV66" s="713">
        <f>'org. Düngung 22'!AJ65</f>
        <v>0</v>
      </c>
      <c r="DW66" s="57"/>
      <c r="DX66" s="57"/>
      <c r="DY66" s="57">
        <f t="shared" si="48"/>
        <v>0</v>
      </c>
      <c r="DZ66" s="57">
        <f t="shared" si="228"/>
        <v>0</v>
      </c>
      <c r="EA66" s="57">
        <f t="shared" si="229"/>
        <v>0</v>
      </c>
      <c r="EB66" s="57">
        <f t="shared" si="230"/>
        <v>0</v>
      </c>
      <c r="EC66" s="57">
        <f t="shared" si="231"/>
        <v>0</v>
      </c>
      <c r="ED66" s="1029">
        <f t="shared" si="389"/>
        <v>0</v>
      </c>
      <c r="EE66" s="57">
        <f t="shared" si="390"/>
        <v>0</v>
      </c>
      <c r="EF66" s="171" t="str">
        <f t="shared" si="391"/>
        <v/>
      </c>
      <c r="EG66" s="57">
        <f t="shared" si="232"/>
        <v>0</v>
      </c>
      <c r="EH66" s="57">
        <f>IF(OR(AND(DV$6=1,$L66=0),AND(DV$6=2,$K66=2,$G66=1)),0,IF(AND(DX$9=2,(OR($F66&gt;1,$K66=1,AND($L66=80,OR($N66=1,AND($N66=2,'#BerechnungDBE'!$AL57&gt;0)))))),IF(DV$4&gt;=$AD$126,0,EF66),IF(DX$9=3,IF(OR(DV$4&gt;=$AD$127,AND($G66=1,$J66=2,DV$6=2),AND(DV$6=1,$N66&lt;&gt;1)),0,IF(DZ66&lt;=120,EF66,IF(DV$4&lt;$AD$124,IF($F66=1,60/DX$4*DX$6,60/DX$4*DX$7),IF($F66=1,120/DX$4*DX$6,120/DX$4*DX$7)))),IF(OR($F66=3,$G66=2),IF(OR(AND(DV$4&gt;=$AD$119,$C66=2),AND(DV$4&gt;=$AF$119,$C66=1)),0,IF(DZ66&lt;=60,EF66,60/DX$4*DX$7)),IF(AND($F66=2,$G66=1),EF66,0)))))</f>
        <v>0</v>
      </c>
      <c r="EI66" s="57" t="str">
        <f t="shared" si="52"/>
        <v/>
      </c>
      <c r="EJ66" s="57" t="str">
        <f t="shared" si="392"/>
        <v/>
      </c>
      <c r="EK66" s="713">
        <f>'org. Düngung 22'!AN65</f>
        <v>0</v>
      </c>
      <c r="EL66" s="57"/>
      <c r="EM66" s="57"/>
      <c r="EN66" s="57">
        <f t="shared" si="54"/>
        <v>0</v>
      </c>
      <c r="EO66" s="57">
        <f t="shared" si="233"/>
        <v>0</v>
      </c>
      <c r="EP66" s="57">
        <f t="shared" si="234"/>
        <v>0</v>
      </c>
      <c r="EQ66" s="57">
        <f t="shared" si="235"/>
        <v>0</v>
      </c>
      <c r="ER66" s="57">
        <f t="shared" si="236"/>
        <v>0</v>
      </c>
      <c r="ES66" s="1029">
        <f t="shared" si="393"/>
        <v>0</v>
      </c>
      <c r="ET66" s="57">
        <f t="shared" si="394"/>
        <v>0</v>
      </c>
      <c r="EU66" s="171" t="str">
        <f t="shared" si="395"/>
        <v/>
      </c>
      <c r="EV66" s="57">
        <f t="shared" si="237"/>
        <v>0</v>
      </c>
      <c r="EW66" s="57">
        <f>IF(OR(AND(EK$6=1,$L66=0),AND(EK$6=2,$K66=2,$G66=1)),0,IF(AND(EM$9=2,(OR($F66&gt;1,$K66=1,AND($L66=80,OR($N66=1,AND($N66=2,'#BerechnungDBE'!$AL57&gt;0)))))),IF(EK$4&gt;=$AD$126,0,EU66),IF(EM$9=3,IF(OR(EK$4&gt;=$AD$127,AND($G66=1,$J66=2,EK$6=2),AND(EK$6=1,$N66&lt;&gt;1)),0,IF(EO66&lt;=120,EU66,IF(EK$4&lt;$AD$124,IF($F66=1,60/EM$4*EM$6,60/EM$4*EM$7),IF($F66=1,120/EM$4*EM$6,120/EM$4*EM$7)))),IF(OR($F66=3,$G66=2),IF(OR(AND(EK$4&gt;=$AD$119,$C66=2),AND(EK$4&gt;=$AF$119,$C66=1)),0,IF(EO66&lt;=60,EU66,60/EM$4*EM$7)),IF(AND($F66=2,$G66=1),EU66,0)))))</f>
        <v>0</v>
      </c>
      <c r="EX66" s="57" t="str">
        <f t="shared" si="58"/>
        <v/>
      </c>
      <c r="EY66" s="57" t="str">
        <f t="shared" si="396"/>
        <v/>
      </c>
      <c r="EZ66" s="713">
        <f>'org. Düngung 22'!AR65</f>
        <v>0</v>
      </c>
      <c r="FA66" s="57"/>
      <c r="FB66" s="57"/>
      <c r="FC66" s="57">
        <f t="shared" si="60"/>
        <v>0</v>
      </c>
      <c r="FD66" s="57">
        <f t="shared" si="238"/>
        <v>0</v>
      </c>
      <c r="FE66" s="57">
        <f t="shared" si="239"/>
        <v>0</v>
      </c>
      <c r="FF66" s="57">
        <f t="shared" si="240"/>
        <v>0</v>
      </c>
      <c r="FG66" s="57">
        <f t="shared" si="241"/>
        <v>0</v>
      </c>
      <c r="FH66" s="1029">
        <f t="shared" si="397"/>
        <v>0</v>
      </c>
      <c r="FI66" s="57">
        <f t="shared" si="398"/>
        <v>0</v>
      </c>
      <c r="FJ66" s="171" t="str">
        <f t="shared" si="399"/>
        <v/>
      </c>
      <c r="FK66" s="57">
        <f t="shared" si="242"/>
        <v>0</v>
      </c>
      <c r="FL66" s="57">
        <f>IF(OR(AND(EZ$6=1,$L66=0),AND(EZ$6=2,$K66=2,$G66=1)),0,IF(AND(FB$9=2,(OR($F66&gt;1,$K66=1,AND($L66=80,OR($N66=1,AND($N66=2,'#BerechnungDBE'!$AL57&gt;0)))))),IF(EZ$4&gt;=$AD$126,0,FJ66),IF(FB$9=3,IF(OR(EZ$4&gt;=$AD$127,AND($G66=1,$J66=2,EZ$6=2),AND(EZ$6=1,$N66&lt;&gt;1)),0,IF(FD66&lt;=120,FJ66,IF(EZ$4&lt;$AD$124,IF($F66=1,60/FB$4*FB$6,60/FB$4*FB$7),IF($F66=1,120/FB$4*FB$6,120/FB$4*FB$7)))),IF(OR($F66=3,$G66=2),IF(OR(AND(EZ$4&gt;=$AD$119,$C66=2),AND(EZ$4&gt;=$AF$119,$C66=1)),0,IF(FD66&lt;=60,FJ66,60/FB$4*FB$7)),IF(AND($F66=2,$G66=1),FJ66,0)))))</f>
        <v>0</v>
      </c>
      <c r="FM66" s="57" t="str">
        <f t="shared" si="64"/>
        <v/>
      </c>
      <c r="FN66" s="57" t="str">
        <f t="shared" si="400"/>
        <v/>
      </c>
      <c r="FO66" s="713">
        <f>'org. Düngung 22'!AV65</f>
        <v>0</v>
      </c>
      <c r="FP66" s="57"/>
      <c r="FQ66" s="57"/>
      <c r="FR66" s="57">
        <f t="shared" si="66"/>
        <v>0</v>
      </c>
      <c r="FS66" s="57">
        <f t="shared" si="243"/>
        <v>0</v>
      </c>
      <c r="FT66" s="57">
        <f t="shared" si="244"/>
        <v>0</v>
      </c>
      <c r="FU66" s="57">
        <f t="shared" si="245"/>
        <v>0</v>
      </c>
      <c r="FV66" s="57">
        <f t="shared" si="246"/>
        <v>0</v>
      </c>
      <c r="FW66" s="1029">
        <f t="shared" si="401"/>
        <v>0</v>
      </c>
      <c r="FX66" s="57">
        <f t="shared" si="402"/>
        <v>0</v>
      </c>
      <c r="FY66" s="171" t="str">
        <f t="shared" si="403"/>
        <v/>
      </c>
      <c r="FZ66" s="57">
        <f t="shared" si="247"/>
        <v>0</v>
      </c>
      <c r="GA66" s="57">
        <f>IF(OR(AND(FO$6=1,$L66=0),AND(FO$6=2,$K66=2,$G66=1)),0,IF(AND(FQ$9=2,(OR($F66&gt;1,$K66=1,AND($L66=80,OR($N66=1,AND($N66=2,'#BerechnungDBE'!$AL57&gt;0)))))),IF(FO$4&gt;=$AD$126,0,FY66),IF(FQ$9=3,IF(OR(FO$4&gt;=$AD$127,AND($G66=1,$J66=2,FO$6=2),AND(FO$6=1,$N66&lt;&gt;1)),0,IF(FS66&lt;=120,FY66,IF(FO$4&lt;$AD$124,IF($F66=1,60/FQ$4*FQ$6,60/FQ$4*FQ$7),IF($F66=1,120/FQ$4*FQ$6,120/FQ$4*FQ$7)))),IF(OR($F66=3,$G66=2),IF(OR(AND(FO$4&gt;=$AD$119,$C66=2),AND(FO$4&gt;=$AF$119,$C66=1)),0,IF(FS66&lt;=60,FY66,60/FQ$4*FQ$7)),IF(AND($F66=2,$G66=1),FY66,0)))))</f>
        <v>0</v>
      </c>
      <c r="GB66" s="57" t="str">
        <f t="shared" si="70"/>
        <v/>
      </c>
      <c r="GC66" s="57" t="str">
        <f t="shared" si="404"/>
        <v/>
      </c>
      <c r="GD66" s="713">
        <f>'org. Düngung 22'!AZ65</f>
        <v>0</v>
      </c>
      <c r="GE66" s="57"/>
      <c r="GF66" s="57"/>
      <c r="GG66" s="57">
        <f t="shared" si="72"/>
        <v>0</v>
      </c>
      <c r="GH66" s="57">
        <f t="shared" si="248"/>
        <v>0</v>
      </c>
      <c r="GI66" s="57">
        <f t="shared" si="249"/>
        <v>0</v>
      </c>
      <c r="GJ66" s="57">
        <f t="shared" si="250"/>
        <v>0</v>
      </c>
      <c r="GK66" s="57">
        <f t="shared" si="251"/>
        <v>0</v>
      </c>
      <c r="GL66" s="1029">
        <f t="shared" si="405"/>
        <v>0</v>
      </c>
      <c r="GM66" s="57">
        <f t="shared" si="406"/>
        <v>0</v>
      </c>
      <c r="GN66" s="171" t="str">
        <f t="shared" si="407"/>
        <v/>
      </c>
      <c r="GO66" s="57">
        <f t="shared" si="252"/>
        <v>0</v>
      </c>
      <c r="GP66" s="57">
        <f>IF(OR(AND(GD$6=1,$L66=0),AND(GD$6=2,$K66=2,$G66=1)),0,IF(AND(GF$9=2,(OR($F66&gt;1,$K66=1,AND($L66=80,OR($N66=1,AND($N66=2,'#BerechnungDBE'!$AL57&gt;0)))))),IF(GD$4&gt;=$AD$126,0,GN66),IF(GF$9=3,IF(OR(GD$4&gt;=$AD$127,AND($G66=1,$J66=2,GD$6=2),AND(GD$6=1,$N66&lt;&gt;1)),0,IF(GH66&lt;=120,GN66,IF(GD$4&lt;$AD$124,IF($F66=1,60/GF$4*GF$6,60/GF$4*GF$7),IF($F66=1,120/GF$4*GF$6,120/GF$4*GF$7)))),IF(OR($F66=3,$G66=2),IF(OR(AND(GD$4&gt;=$AD$119,$C66=2),AND(GD$4&gt;=$AF$119,$C66=1)),0,IF(GH66&lt;=60,GN66,60/GF$4*GF$7)),IF(AND($F66=2,$G66=1),GN66,0)))))</f>
        <v>0</v>
      </c>
      <c r="GQ66" s="57" t="str">
        <f t="shared" si="76"/>
        <v/>
      </c>
      <c r="GR66" s="57" t="str">
        <f t="shared" si="408"/>
        <v/>
      </c>
      <c r="GS66" s="713">
        <f>'org. Düngung 22'!BD65</f>
        <v>0</v>
      </c>
      <c r="GT66" s="57"/>
      <c r="GU66" s="57"/>
      <c r="GV66" s="57">
        <f t="shared" si="78"/>
        <v>0</v>
      </c>
      <c r="GW66" s="57">
        <f t="shared" si="253"/>
        <v>0</v>
      </c>
      <c r="GX66" s="57">
        <f t="shared" si="254"/>
        <v>0</v>
      </c>
      <c r="GY66" s="57">
        <f t="shared" si="255"/>
        <v>0</v>
      </c>
      <c r="GZ66" s="57">
        <f t="shared" si="256"/>
        <v>0</v>
      </c>
      <c r="HA66" s="1029">
        <f t="shared" si="409"/>
        <v>0</v>
      </c>
      <c r="HB66" s="57">
        <f t="shared" si="410"/>
        <v>0</v>
      </c>
      <c r="HC66" s="171" t="str">
        <f t="shared" si="411"/>
        <v/>
      </c>
      <c r="HD66" s="57">
        <f t="shared" si="257"/>
        <v>0</v>
      </c>
      <c r="HE66" s="57">
        <f>IF(OR(AND(GS$6=1,$L66=0),AND(GS$6=2,$K66=2,$G66=1)),0,IF(AND(GU$9=2,(OR($F66&gt;1,$K66=1,AND($L66=80,OR($N66=1,AND($N66=2,'#BerechnungDBE'!$AL57&gt;0)))))),IF(GS$4&gt;=$AD$126,0,HC66),IF(GU$9=3,IF(OR(GS$4&gt;=$AD$127,AND($G66=1,$J66=2,GS$6=2),AND(GS$6=1,$N66&lt;&gt;1)),0,IF(GW66&lt;=120,HC66,IF(GS$4&lt;$AD$124,IF($F66=1,60/GU$4*GU$6,60/GU$4*GU$7),IF($F66=1,120/GU$4*GU$6,120/GU$4*GU$7)))),IF(OR($F66=3,$G66=2),IF(OR(AND(GS$4&gt;=$AD$119,$C66=2),AND(GS$4&gt;=$AF$119,$C66=1)),0,IF(GW66&lt;=60,HC66,60/GU$4*GU$7)),IF(AND($F66=2,$G66=1),HC66,0)))))</f>
        <v>0</v>
      </c>
      <c r="HF66" s="57" t="str">
        <f t="shared" si="82"/>
        <v/>
      </c>
      <c r="HG66" s="57" t="str">
        <f t="shared" si="412"/>
        <v/>
      </c>
      <c r="HH66" s="713">
        <f>'org. Düngung 22'!BH65</f>
        <v>0</v>
      </c>
      <c r="HI66" s="57"/>
      <c r="HJ66" s="57"/>
      <c r="HK66" s="57">
        <f t="shared" si="84"/>
        <v>0</v>
      </c>
      <c r="HL66" s="57">
        <f t="shared" si="258"/>
        <v>0</v>
      </c>
      <c r="HM66" s="57">
        <f t="shared" si="259"/>
        <v>0</v>
      </c>
      <c r="HN66" s="57">
        <f t="shared" si="260"/>
        <v>0</v>
      </c>
      <c r="HO66" s="57">
        <f t="shared" si="261"/>
        <v>0</v>
      </c>
      <c r="HP66" s="1029">
        <f t="shared" si="413"/>
        <v>0</v>
      </c>
      <c r="HQ66" s="57">
        <f t="shared" si="414"/>
        <v>0</v>
      </c>
      <c r="HR66" s="171" t="str">
        <f t="shared" si="415"/>
        <v/>
      </c>
      <c r="HS66" s="57">
        <f t="shared" si="262"/>
        <v>0</v>
      </c>
      <c r="HT66" s="57">
        <f>IF(OR(AND(HH$6=1,$L66=0),AND(HH$6=2,$K66=2,$G66=1)),0,IF(AND(HJ$9=2,(OR($F66&gt;1,$K66=1,AND($L66=80,OR($N66=1,AND($N66=2,'#BerechnungDBE'!$AL57&gt;0)))))),IF(HH$4&gt;=$AD$126,0,HR66),IF(HJ$9=3,IF(OR(HH$4&gt;=$AD$127,AND($G66=1,$J66=2,HH$6=2),AND(HH$6=1,$N66&lt;&gt;1)),0,IF(HL66&lt;=120,HR66,IF(HH$4&lt;$AD$124,IF($F66=1,60/HJ$4*HJ$6,60/HJ$4*HJ$7),IF($F66=1,120/HJ$4*HJ$6,120/HJ$4*HJ$7)))),IF(OR($F66=3,$G66=2),IF(OR(AND(HH$4&gt;=$AD$119,$C66=2),AND(HH$4&gt;=$AF$119,$C66=1)),0,IF(HL66&lt;=60,HR66,60/HJ$4*HJ$7)),IF(AND($F66=2,$G66=1),HR66,0)))))</f>
        <v>0</v>
      </c>
      <c r="HU66" s="57" t="str">
        <f t="shared" si="88"/>
        <v/>
      </c>
      <c r="HV66" s="57" t="str">
        <f t="shared" si="416"/>
        <v/>
      </c>
      <c r="HW66" s="713">
        <f>'org. Düngung 22'!BL65</f>
        <v>0</v>
      </c>
      <c r="HX66" s="57"/>
      <c r="HY66" s="57"/>
      <c r="HZ66" s="57">
        <f t="shared" si="90"/>
        <v>0</v>
      </c>
      <c r="IA66" s="57">
        <f t="shared" si="263"/>
        <v>0</v>
      </c>
      <c r="IB66" s="57">
        <f t="shared" si="264"/>
        <v>0</v>
      </c>
      <c r="IC66" s="57">
        <f t="shared" si="265"/>
        <v>0</v>
      </c>
      <c r="ID66" s="57">
        <f t="shared" si="266"/>
        <v>0</v>
      </c>
      <c r="IE66" s="1029">
        <f t="shared" si="417"/>
        <v>0</v>
      </c>
      <c r="IF66" s="57">
        <f t="shared" si="418"/>
        <v>0</v>
      </c>
      <c r="IG66" s="171" t="str">
        <f t="shared" si="419"/>
        <v/>
      </c>
      <c r="IH66" s="57">
        <f t="shared" si="267"/>
        <v>0</v>
      </c>
      <c r="II66" s="57">
        <f>IF(OR(AND(HW$6=1,$L66=0),AND(HW$6=2,$K66=2,$G66=1)),0,IF(AND(HY$9=2,(OR($F66&gt;1,$K66=1,AND($L66=80,OR($N66=1,AND($N66=2,'#BerechnungDBE'!$AL57&gt;0)))))),IF(HW$4&gt;=$AD$126,0,IG66),IF(HY$9=3,IF(OR(HW$4&gt;=$AD$127,AND($G66=1,$J66=2,HW$6=2),AND(HW$6=1,$N66&lt;&gt;1)),0,IF(IA66&lt;=120,IG66,IF(HW$4&lt;$AD$124,IF($F66=1,60/HY$4*HY$6,60/HY$4*HY$7),IF($F66=1,120/HY$4*HY$6,120/HY$4*HY$7)))),IF(OR($F66=3,$G66=2),IF(OR(AND(HW$4&gt;=$AD$119,$C66=2),AND(HW$4&gt;=$AF$119,$C66=1)),0,IF(IA66&lt;=60,IG66,60/HY$4*HY$7)),IF(AND($F66=2,$G66=1),IG66,0)))))</f>
        <v>0</v>
      </c>
      <c r="IJ66" s="57" t="str">
        <f t="shared" si="94"/>
        <v/>
      </c>
      <c r="IK66" s="57" t="str">
        <f t="shared" si="420"/>
        <v/>
      </c>
      <c r="IL66" s="713">
        <f>'org. Düngung 22'!BP65</f>
        <v>0</v>
      </c>
      <c r="IM66" s="57"/>
      <c r="IN66" s="57"/>
      <c r="IO66" s="57">
        <f t="shared" si="96"/>
        <v>0</v>
      </c>
      <c r="IP66" s="57">
        <f t="shared" si="268"/>
        <v>0</v>
      </c>
      <c r="IQ66" s="57">
        <f t="shared" si="269"/>
        <v>0</v>
      </c>
      <c r="IR66" s="57">
        <f t="shared" si="270"/>
        <v>0</v>
      </c>
      <c r="IS66" s="57">
        <f t="shared" si="271"/>
        <v>0</v>
      </c>
      <c r="IT66" s="1029">
        <f t="shared" si="421"/>
        <v>0</v>
      </c>
      <c r="IU66" s="57">
        <f t="shared" si="422"/>
        <v>0</v>
      </c>
      <c r="IV66" s="171" t="str">
        <f t="shared" si="423"/>
        <v/>
      </c>
      <c r="IW66" s="57">
        <f t="shared" si="272"/>
        <v>0</v>
      </c>
      <c r="IX66" s="57">
        <f>IF(OR(AND(IL$6=1,$L66=0),AND(IL$6=2,$K66=2,$G66=1)),0,IF(AND(IN$9=2,(OR($F66&gt;1,$K66=1,AND($L66=80,OR($N66=1,AND($N66=2,'#BerechnungDBE'!$AL57&gt;0)))))),IF(IL$4&gt;=$AD$126,0,IV66),IF(IN$9=3,IF(OR(IL$4&gt;=$AD$127,AND($G66=1,$J66=2,IL$6=2),AND(IL$6=1,$N66&lt;&gt;1)),0,IF(IP66&lt;=120,IV66,IF(IL$4&lt;$AD$124,IF($F66=1,60/IN$4*IN$6,60/IN$4*IN$7),IF($F66=1,120/IN$4*IN$6,120/IN$4*IN$7)))),IF(OR($F66=3,$G66=2),IF(OR(AND(IL$4&gt;=$AD$119,$C66=2),AND(IL$4&gt;=$AF$119,$C66=1)),0,IF(IP66&lt;=60,IV66,60/IN$4*IN$7)),IF(AND($F66=2,$G66=1),IV66,0)))))</f>
        <v>0</v>
      </c>
      <c r="IY66" s="57" t="str">
        <f t="shared" si="100"/>
        <v/>
      </c>
      <c r="IZ66" s="57" t="str">
        <f t="shared" si="424"/>
        <v/>
      </c>
      <c r="JA66" s="713">
        <f>'org. Düngung 22'!BT65</f>
        <v>0</v>
      </c>
      <c r="JB66" s="57"/>
      <c r="JC66" s="57"/>
      <c r="JD66" s="57">
        <f t="shared" si="102"/>
        <v>0</v>
      </c>
      <c r="JE66" s="57">
        <f t="shared" si="273"/>
        <v>0</v>
      </c>
      <c r="JF66" s="57">
        <f t="shared" si="274"/>
        <v>0</v>
      </c>
      <c r="JG66" s="57">
        <f t="shared" si="275"/>
        <v>0</v>
      </c>
      <c r="JH66" s="57">
        <f t="shared" si="276"/>
        <v>0</v>
      </c>
      <c r="JI66" s="1029">
        <f t="shared" si="425"/>
        <v>0</v>
      </c>
      <c r="JJ66" s="57">
        <f t="shared" si="426"/>
        <v>0</v>
      </c>
      <c r="JK66" s="171" t="str">
        <f t="shared" si="427"/>
        <v/>
      </c>
      <c r="JL66" s="57">
        <f t="shared" si="277"/>
        <v>0</v>
      </c>
      <c r="JM66" s="57">
        <f>IF(OR(AND(JA$6=1,$L66=0),AND(JA$6=2,$K66=2,$G66=1)),0,IF(AND(JC$9=2,(OR($F66&gt;1,$K66=1,AND($L66=80,OR($N66=1,AND($N66=2,'#BerechnungDBE'!$AL57&gt;0)))))),IF(JA$4&gt;=$AD$126,0,JK66),IF(JC$9=3,IF(OR(JA$4&gt;=$AD$127,AND($G66=1,$J66=2,JA$6=2),AND(JA$6=1,$N66&lt;&gt;1)),0,IF(JE66&lt;=120,JK66,IF(JA$4&lt;$AD$124,IF($F66=1,60/JC$4*JC$6,60/JC$4*JC$7),IF($F66=1,120/JC$4*JC$6,120/JC$4*JC$7)))),IF(OR($F66=3,$G66=2),IF(OR(AND(JA$4&gt;=$AD$119,$C66=2),AND(JA$4&gt;=$AF$119,$C66=1)),0,IF(JE66&lt;=60,JK66,60/JC$4*JC$7)),IF(AND($F66=2,$G66=1),JK66,0)))))</f>
        <v>0</v>
      </c>
      <c r="JN66" s="57" t="str">
        <f t="shared" si="106"/>
        <v/>
      </c>
      <c r="JO66" s="57" t="str">
        <f t="shared" si="428"/>
        <v/>
      </c>
      <c r="JP66" s="713">
        <f>'org. Düngung 22'!BX65</f>
        <v>0</v>
      </c>
      <c r="JQ66" s="57"/>
      <c r="JR66" s="57"/>
      <c r="JS66" s="57">
        <f t="shared" si="108"/>
        <v>0</v>
      </c>
      <c r="JT66" s="57">
        <f t="shared" si="278"/>
        <v>0</v>
      </c>
      <c r="JU66" s="57">
        <f t="shared" si="279"/>
        <v>0</v>
      </c>
      <c r="JV66" s="57">
        <f t="shared" si="280"/>
        <v>0</v>
      </c>
      <c r="JW66" s="57">
        <f t="shared" si="281"/>
        <v>0</v>
      </c>
      <c r="JX66" s="1029">
        <f t="shared" si="429"/>
        <v>0</v>
      </c>
      <c r="JY66" s="57">
        <f t="shared" si="430"/>
        <v>0</v>
      </c>
      <c r="JZ66" s="171" t="str">
        <f t="shared" si="431"/>
        <v/>
      </c>
      <c r="KA66" s="57">
        <f t="shared" si="282"/>
        <v>0</v>
      </c>
      <c r="KB66" s="57">
        <f>IF(OR(AND(JP$6=1,$L66=0),AND(JP$6=2,$K66=2,$G66=1)),0,IF(AND(JR$9=2,(OR($F66&gt;1,$K66=1,AND($L66=80,OR($N66=1,AND($N66=2,'#BerechnungDBE'!$AL57&gt;0)))))),IF(JP$4&gt;=$AD$126,0,JZ66),IF(JR$9=3,IF(OR(JP$4&gt;=$AD$127,AND($G66=1,$J66=2,JP$6=2),AND(JP$6=1,$N66&lt;&gt;1)),0,IF(JT66&lt;=120,JZ66,IF(JP$4&lt;$AD$124,IF($F66=1,60/JR$4*JR$6,60/JR$4*JR$7),IF($F66=1,120/JR$4*JR$6,120/JR$4*JR$7)))),IF(OR($F66=3,$G66=2),IF(OR(AND(JP$4&gt;=$AD$119,$C66=2),AND(JP$4&gt;=$AF$119,$C66=1)),0,IF(JT66&lt;=60,JZ66,60/JR$4*JR$7)),IF(AND($F66=2,$G66=1),JZ66,0)))))</f>
        <v>0</v>
      </c>
      <c r="KC66" s="57" t="str">
        <f t="shared" si="112"/>
        <v/>
      </c>
      <c r="KD66" s="57" t="str">
        <f t="shared" si="432"/>
        <v/>
      </c>
      <c r="KE66" s="713">
        <f>'org. Düngung 22'!CB65</f>
        <v>0</v>
      </c>
      <c r="KF66" s="57"/>
      <c r="KG66" s="57"/>
      <c r="KH66" s="57">
        <f t="shared" si="114"/>
        <v>0</v>
      </c>
      <c r="KI66" s="57">
        <f t="shared" si="283"/>
        <v>0</v>
      </c>
      <c r="KJ66" s="57">
        <f t="shared" si="284"/>
        <v>0</v>
      </c>
      <c r="KK66" s="57">
        <f t="shared" si="285"/>
        <v>0</v>
      </c>
      <c r="KL66" s="57">
        <f t="shared" si="286"/>
        <v>0</v>
      </c>
      <c r="KM66" s="1029">
        <f t="shared" si="433"/>
        <v>0</v>
      </c>
      <c r="KN66" s="57">
        <f t="shared" si="434"/>
        <v>0</v>
      </c>
      <c r="KO66" s="171" t="str">
        <f t="shared" si="435"/>
        <v/>
      </c>
      <c r="KP66" s="57">
        <f t="shared" si="287"/>
        <v>0</v>
      </c>
      <c r="KQ66" s="57">
        <f>IF(OR(AND(KE$6=1,$L66=0),AND(KE$6=2,$K66=2,$G66=1)),0,IF(AND(KG$9=2,(OR($F66&gt;1,$K66=1,AND($L66=80,OR($N66=1,AND($N66=2,'#BerechnungDBE'!$AL57&gt;0)))))),IF(KE$4&gt;=$AD$126,0,KO66),IF(KG$9=3,IF(OR(KE$4&gt;=$AD$127,AND($G66=1,$J66=2,KE$6=2),AND(KE$6=1,$N66&lt;&gt;1)),0,IF(KI66&lt;=120,KO66,IF(KE$4&lt;$AD$124,IF($F66=1,60/KG$4*KG$6,60/KG$4*KG$7),IF($F66=1,120/KG$4*KG$6,120/KG$4*KG$7)))),IF(OR($F66=3,$G66=2),IF(OR(AND(KE$4&gt;=$AD$119,$C66=2),AND(KE$4&gt;=$AF$119,$C66=1)),0,IF(KI66&lt;=60,KO66,60/KG$4*KG$7)),IF(AND($F66=2,$G66=1),KO66,0)))))</f>
        <v>0</v>
      </c>
      <c r="KR66" s="57" t="str">
        <f t="shared" si="118"/>
        <v/>
      </c>
      <c r="KS66" s="57" t="str">
        <f t="shared" si="436"/>
        <v/>
      </c>
      <c r="KT66" s="713">
        <f>'org. Düngung 22'!CF65</f>
        <v>0</v>
      </c>
      <c r="KU66" s="57"/>
      <c r="KV66" s="57"/>
      <c r="KW66" s="57">
        <f t="shared" si="120"/>
        <v>0</v>
      </c>
      <c r="KX66" s="57">
        <f t="shared" si="288"/>
        <v>0</v>
      </c>
      <c r="KY66" s="57">
        <f t="shared" si="289"/>
        <v>0</v>
      </c>
      <c r="KZ66" s="57">
        <f t="shared" si="290"/>
        <v>0</v>
      </c>
      <c r="LA66" s="57">
        <f t="shared" si="291"/>
        <v>0</v>
      </c>
      <c r="LB66" s="1029">
        <f t="shared" si="437"/>
        <v>0</v>
      </c>
      <c r="LC66" s="57">
        <f t="shared" si="438"/>
        <v>0</v>
      </c>
      <c r="LD66" s="171" t="str">
        <f t="shared" si="439"/>
        <v/>
      </c>
      <c r="LE66" s="57">
        <f t="shared" si="292"/>
        <v>0</v>
      </c>
      <c r="LF66" s="57">
        <f>IF(OR(AND(KT$6=1,$L66=0),AND(KT$6=2,$K66=2,$G66=1)),0,IF(AND(KV$9=2,(OR($F66&gt;1,$K66=1,AND($L66=80,OR($N66=1,AND($N66=2,'#BerechnungDBE'!$AL57&gt;0)))))),IF(KT$4&gt;=$AD$126,0,LD66),IF(KV$9=3,IF(OR(KT$4&gt;=$AD$127,AND($G66=1,$J66=2,KT$6=2),AND(KT$6=1,$N66&lt;&gt;1)),0,IF(KX66&lt;=120,LD66,IF(KT$4&lt;$AD$124,IF($F66=1,60/KV$4*KV$6,60/KV$4*KV$7),IF($F66=1,120/KV$4*KV$6,120/KV$4*KV$7)))),IF(OR($F66=3,$G66=2),IF(OR(AND(KT$4&gt;=$AD$119,$C66=2),AND(KT$4&gt;=$AF$119,$C66=1)),0,IF(KX66&lt;=60,LD66,60/KV$4*KV$7)),IF(AND($F66=2,$G66=1),LD66,0)))))</f>
        <v>0</v>
      </c>
      <c r="LG66" s="57" t="str">
        <f t="shared" si="124"/>
        <v/>
      </c>
      <c r="LH66" s="57" t="str">
        <f t="shared" si="440"/>
        <v/>
      </c>
      <c r="LI66" s="713">
        <f>'org. Düngung 22'!CJ65</f>
        <v>0</v>
      </c>
      <c r="LJ66" s="57"/>
      <c r="LK66" s="57"/>
      <c r="LL66" s="57">
        <f t="shared" si="126"/>
        <v>0</v>
      </c>
      <c r="LM66" s="57">
        <f t="shared" si="293"/>
        <v>0</v>
      </c>
      <c r="LN66" s="57">
        <f t="shared" si="294"/>
        <v>0</v>
      </c>
      <c r="LO66" s="57">
        <f t="shared" si="295"/>
        <v>0</v>
      </c>
      <c r="LP66" s="57">
        <f t="shared" si="296"/>
        <v>0</v>
      </c>
      <c r="LQ66" s="1029">
        <f t="shared" si="441"/>
        <v>0</v>
      </c>
      <c r="LR66" s="57">
        <f t="shared" si="442"/>
        <v>0</v>
      </c>
      <c r="LS66" s="171" t="str">
        <f t="shared" si="443"/>
        <v/>
      </c>
      <c r="LT66" s="57">
        <f t="shared" si="297"/>
        <v>0</v>
      </c>
      <c r="LU66" s="57">
        <f>IF(OR(AND(LI$6=1,$L66=0),AND(LI$6=2,$K66=2,$G66=1)),0,IF(AND(LK$9=2,(OR($F66&gt;1,$K66=1,AND($L66=80,OR($N66=1,AND($N66=2,'#BerechnungDBE'!$AL57&gt;0)))))),IF(LI$4&gt;=$AD$126,0,LS66),IF(LK$9=3,IF(OR(LI$4&gt;=$AD$127,AND($G66=1,$J66=2,LI$6=2),AND(LI$6=1,$N66&lt;&gt;1)),0,IF(LM66&lt;=120,LS66,IF(LI$4&lt;$AD$124,IF($F66=1,60/LK$4*LK$6,60/LK$4*LK$7),IF($F66=1,120/LK$4*LK$6,120/LK$4*LK$7)))),IF(OR($F66=3,$G66=2),IF(OR(AND(LI$4&gt;=$AD$119,$C66=2),AND(LI$4&gt;=$AF$119,$C66=1)),0,IF(LM66&lt;=60,LS66,60/LK$4*LK$7)),IF(AND($F66=2,$G66=1),LS66,0)))))</f>
        <v>0</v>
      </c>
      <c r="LV66" s="57" t="str">
        <f t="shared" si="130"/>
        <v/>
      </c>
      <c r="LW66" s="57" t="str">
        <f t="shared" si="444"/>
        <v/>
      </c>
      <c r="LX66" s="713">
        <f>'org. Düngung 22'!CN65</f>
        <v>0</v>
      </c>
      <c r="LY66" s="57"/>
      <c r="LZ66" s="57"/>
      <c r="MA66" s="57">
        <f t="shared" si="132"/>
        <v>0</v>
      </c>
      <c r="MB66" s="57">
        <f t="shared" si="298"/>
        <v>0</v>
      </c>
      <c r="MC66" s="57">
        <f t="shared" si="299"/>
        <v>0</v>
      </c>
      <c r="MD66" s="57">
        <f t="shared" si="300"/>
        <v>0</v>
      </c>
      <c r="ME66" s="57">
        <f t="shared" si="301"/>
        <v>0</v>
      </c>
      <c r="MF66" s="1029">
        <f t="shared" si="445"/>
        <v>0</v>
      </c>
      <c r="MG66" s="57">
        <f t="shared" si="446"/>
        <v>0</v>
      </c>
      <c r="MH66" s="171" t="str">
        <f t="shared" si="447"/>
        <v/>
      </c>
      <c r="MI66" s="57">
        <f t="shared" si="302"/>
        <v>0</v>
      </c>
      <c r="MJ66" s="57">
        <f>IF(OR(AND(LX$6=1,$L66=0),AND(LX$6=2,$K66=2,$G66=1)),0,IF(AND(LZ$9=2,(OR($F66&gt;1,$K66=1,AND($L66=80,OR($N66=1,AND($N66=2,'#BerechnungDBE'!$AL57&gt;0)))))),IF(LX$4&gt;=$AD$126,0,MH66),IF(LZ$9=3,IF(OR(LX$4&gt;=$AD$127,AND($G66=1,$J66=2,LX$6=2),AND(LX$6=1,$N66&lt;&gt;1)),0,IF(MB66&lt;=120,MH66,IF(LX$4&lt;$AD$124,IF($F66=1,60/LZ$4*LZ$6,60/LZ$4*LZ$7),IF($F66=1,120/LZ$4*LZ$6,120/LZ$4*LZ$7)))),IF(OR($F66=3,$G66=2),IF(OR(AND(LX$4&gt;=$AD$119,$C66=2),AND(LX$4&gt;=$AF$119,$C66=1)),0,IF(MB66&lt;=60,MH66,60/LZ$4*LZ$7)),IF(AND($F66=2,$G66=1),MH66,0)))))</f>
        <v>0</v>
      </c>
      <c r="MK66" s="57" t="str">
        <f t="shared" si="136"/>
        <v/>
      </c>
      <c r="ML66" s="57" t="str">
        <f t="shared" si="448"/>
        <v/>
      </c>
      <c r="MM66" s="713">
        <f>'org. Düngung 22'!CR65</f>
        <v>0</v>
      </c>
      <c r="MN66" s="57"/>
      <c r="MO66" s="57"/>
      <c r="MP66" s="57">
        <f t="shared" si="138"/>
        <v>0</v>
      </c>
      <c r="MQ66" s="57">
        <f t="shared" si="303"/>
        <v>0</v>
      </c>
      <c r="MR66" s="57">
        <f t="shared" si="304"/>
        <v>0</v>
      </c>
      <c r="MS66" s="57">
        <f t="shared" si="305"/>
        <v>0</v>
      </c>
      <c r="MT66" s="57">
        <f t="shared" si="306"/>
        <v>0</v>
      </c>
      <c r="MU66" s="1029">
        <f t="shared" si="449"/>
        <v>0</v>
      </c>
      <c r="MV66" s="57">
        <f t="shared" si="450"/>
        <v>0</v>
      </c>
      <c r="MW66" s="171" t="str">
        <f t="shared" si="451"/>
        <v/>
      </c>
      <c r="MX66" s="57">
        <f t="shared" si="307"/>
        <v>0</v>
      </c>
      <c r="MY66" s="57">
        <f>IF(OR(AND(MM$6=1,$L66=0),AND(MM$6=2,$K66=2,$G66=1)),0,IF(AND(MO$9=2,(OR($F66&gt;1,$K66=1,AND($L66=80,OR($N66=1,AND($N66=2,'#BerechnungDBE'!$AL57&gt;0)))))),IF(MM$4&gt;=$AD$126,0,MW66),IF(MO$9=3,IF(OR(MM$4&gt;=$AD$127,AND($G66=1,$J66=2,MM$6=2),AND(MM$6=1,$N66&lt;&gt;1)),0,IF(MQ66&lt;=120,MW66,IF(MM$4&lt;$AD$124,IF($F66=1,60/MO$4*MO$6,60/MO$4*MO$7),IF($F66=1,120/MO$4*MO$6,120/MO$4*MO$7)))),IF(OR($F66=3,$G66=2),IF(OR(AND(MM$4&gt;=$AD$119,$C66=2),AND(MM$4&gt;=$AF$119,$C66=1)),0,IF(MQ66&lt;=60,MW66,60/MO$4*MO$7)),IF(AND($F66=2,$G66=1),MW66,0)))))</f>
        <v>0</v>
      </c>
      <c r="MZ66" s="57" t="str">
        <f t="shared" si="142"/>
        <v/>
      </c>
      <c r="NA66" s="57" t="str">
        <f t="shared" si="452"/>
        <v/>
      </c>
      <c r="NB66" s="713">
        <f>'org. Düngung 22'!CV65</f>
        <v>0</v>
      </c>
      <c r="NC66" s="57"/>
      <c r="ND66" s="57"/>
      <c r="NE66" s="57">
        <f t="shared" si="144"/>
        <v>0</v>
      </c>
      <c r="NF66" s="57">
        <f t="shared" si="308"/>
        <v>0</v>
      </c>
      <c r="NG66" s="57">
        <f t="shared" si="309"/>
        <v>0</v>
      </c>
      <c r="NH66" s="57">
        <f t="shared" si="310"/>
        <v>0</v>
      </c>
      <c r="NI66" s="57">
        <f t="shared" si="311"/>
        <v>0</v>
      </c>
      <c r="NJ66" s="1029">
        <f t="shared" si="453"/>
        <v>0</v>
      </c>
      <c r="NK66" s="57">
        <f t="shared" si="454"/>
        <v>0</v>
      </c>
      <c r="NL66" s="171" t="str">
        <f t="shared" si="455"/>
        <v/>
      </c>
      <c r="NM66" s="57">
        <f t="shared" si="312"/>
        <v>0</v>
      </c>
      <c r="NN66" s="57">
        <f>IF(OR(AND(NB$6=1,$L66=0),AND(NB$6=2,$K66=2,$G66=1)),0,IF(AND(ND$9=2,(OR($F66&gt;1,$K66=1,AND($L66=80,OR($N66=1,AND($N66=2,'#BerechnungDBE'!$AL57&gt;0)))))),IF(NB$4&gt;=$AD$126,0,NL66),IF(ND$9=3,IF(OR(NB$4&gt;=$AD$127,AND($G66=1,$J66=2,NB$6=2),AND(NB$6=1,$N66&lt;&gt;1)),0,IF(NF66&lt;=120,NL66,IF(NB$4&lt;$AD$124,IF($F66=1,60/ND$4*ND$6,60/ND$4*ND$7),IF($F66=1,120/ND$4*ND$6,120/ND$4*ND$7)))),IF(OR($F66=3,$G66=2),IF(OR(AND(NB$4&gt;=$AD$119,$C66=2),AND(NB$4&gt;=$AF$119,$C66=1)),0,IF(NF66&lt;=60,NL66,60/ND$4*ND$7)),IF(AND($F66=2,$G66=1),NL66,0)))))</f>
        <v>0</v>
      </c>
      <c r="NO66" s="57" t="str">
        <f t="shared" si="148"/>
        <v/>
      </c>
      <c r="NP66" s="57" t="str">
        <f t="shared" si="456"/>
        <v/>
      </c>
      <c r="NQ66" s="713">
        <f>'org. Düngung 22'!CZ65</f>
        <v>0</v>
      </c>
      <c r="NR66" s="57"/>
      <c r="NS66" s="57"/>
      <c r="NT66" s="57">
        <f t="shared" si="150"/>
        <v>0</v>
      </c>
      <c r="NU66" s="57">
        <f t="shared" si="313"/>
        <v>0</v>
      </c>
      <c r="NV66" s="57">
        <f t="shared" si="314"/>
        <v>0</v>
      </c>
      <c r="NW66" s="57">
        <f t="shared" si="315"/>
        <v>0</v>
      </c>
      <c r="NX66" s="57">
        <f t="shared" si="316"/>
        <v>0</v>
      </c>
      <c r="NY66" s="1029">
        <f t="shared" si="457"/>
        <v>0</v>
      </c>
      <c r="NZ66" s="57">
        <f t="shared" si="458"/>
        <v>0</v>
      </c>
      <c r="OA66" s="171" t="str">
        <f t="shared" si="459"/>
        <v/>
      </c>
      <c r="OB66" s="57">
        <f t="shared" si="317"/>
        <v>0</v>
      </c>
      <c r="OC66" s="57">
        <f>IF(OR(AND(NQ$6=1,$L66=0),AND(NQ$6=2,$K66=2,$G66=1)),0,IF(AND(NS$9=2,(OR($F66&gt;1,$K66=1,AND($L66=80,OR($N66=1,AND($N66=2,'#BerechnungDBE'!$AL57&gt;0)))))),IF(NQ$4&gt;=$AD$126,0,OA66),IF(NS$9=3,IF(OR(NQ$4&gt;=$AD$127,AND($G66=1,$J66=2,NQ$6=2),AND(NQ$6=1,$N66&lt;&gt;1)),0,IF(NU66&lt;=120,OA66,IF(NQ$4&lt;$AD$124,IF($F66=1,60/NS$4*NS$6,60/NS$4*NS$7),IF($F66=1,120/NS$4*NS$6,120/NS$4*NS$7)))),IF(OR($F66=3,$G66=2),IF(OR(AND(NQ$4&gt;=$AD$119,$C66=2),AND(NQ$4&gt;=$AF$119,$C66=1)),0,IF(NU66&lt;=60,OA66,60/NS$4*NS$7)),IF(AND($F66=2,$G66=1),OA66,0)))))</f>
        <v>0</v>
      </c>
      <c r="OD66" s="57" t="str">
        <f t="shared" si="154"/>
        <v/>
      </c>
      <c r="OE66" s="57" t="str">
        <f t="shared" si="460"/>
        <v/>
      </c>
      <c r="OF66" s="713">
        <f>'org. Düngung 22'!DD65</f>
        <v>0</v>
      </c>
      <c r="OG66" s="57"/>
      <c r="OH66" s="57"/>
      <c r="OI66" s="57">
        <f t="shared" si="156"/>
        <v>0</v>
      </c>
      <c r="OJ66" s="57">
        <f t="shared" si="318"/>
        <v>0</v>
      </c>
      <c r="OK66" s="57">
        <f t="shared" si="319"/>
        <v>0</v>
      </c>
      <c r="OL66" s="57">
        <f t="shared" si="320"/>
        <v>0</v>
      </c>
      <c r="OM66" s="57">
        <f t="shared" si="321"/>
        <v>0</v>
      </c>
      <c r="ON66" s="1029">
        <f t="shared" si="461"/>
        <v>0</v>
      </c>
      <c r="OO66" s="57">
        <f t="shared" si="462"/>
        <v>0</v>
      </c>
      <c r="OP66" s="171" t="str">
        <f t="shared" si="463"/>
        <v/>
      </c>
      <c r="OQ66" s="57">
        <f t="shared" si="322"/>
        <v>0</v>
      </c>
      <c r="OR66" s="57">
        <f>IF(OR(AND(OF$6=1,$L66=0),AND(OF$6=2,$K66=2,$G66=1)),0,IF(AND(OH$9=2,(OR($F66&gt;1,$K66=1,AND($L66=80,OR($N66=1,AND($N66=2,'#BerechnungDBE'!$AL57&gt;0)))))),IF(OF$4&gt;=$AD$126,0,OP66),IF(OH$9=3,IF(OR(OF$4&gt;=$AD$127,AND($G66=1,$J66=2,OF$6=2),AND(OF$6=1,$N66&lt;&gt;1)),0,IF(OJ66&lt;=120,OP66,IF(OF$4&lt;$AD$124,IF($F66=1,60/OH$4*OH$6,60/OH$4*OH$7),IF($F66=1,120/OH$4*OH$6,120/OH$4*OH$7)))),IF(OR($F66=3,$G66=2),IF(OR(AND(OF$4&gt;=$AD$119,$C66=2),AND(OF$4&gt;=$AF$119,$C66=1)),0,IF(OJ66&lt;=60,OP66,60/OH$4*OH$7)),IF(AND($F66=2,$G66=1),OP66,0)))))</f>
        <v>0</v>
      </c>
      <c r="OS66" s="57" t="str">
        <f t="shared" si="160"/>
        <v/>
      </c>
      <c r="OT66" s="57" t="str">
        <f t="shared" si="464"/>
        <v/>
      </c>
      <c r="OU66" s="713">
        <f>'org. Düngung 22'!DH65</f>
        <v>0</v>
      </c>
      <c r="OV66" s="57"/>
      <c r="OW66" s="57"/>
      <c r="OX66" s="57">
        <f t="shared" si="162"/>
        <v>0</v>
      </c>
      <c r="OY66" s="57">
        <f t="shared" si="323"/>
        <v>0</v>
      </c>
      <c r="OZ66" s="57">
        <f t="shared" si="324"/>
        <v>0</v>
      </c>
      <c r="PA66" s="57">
        <f t="shared" si="325"/>
        <v>0</v>
      </c>
      <c r="PB66" s="57">
        <f t="shared" si="326"/>
        <v>0</v>
      </c>
      <c r="PC66" s="1029">
        <f t="shared" si="465"/>
        <v>0</v>
      </c>
      <c r="PD66" s="57">
        <f t="shared" si="466"/>
        <v>0</v>
      </c>
      <c r="PE66" s="171" t="str">
        <f t="shared" si="467"/>
        <v/>
      </c>
      <c r="PF66" s="57">
        <f t="shared" si="327"/>
        <v>0</v>
      </c>
      <c r="PG66" s="57">
        <f>IF(OR(AND(OU$6=1,$L66=0),AND(OU$6=2,$K66=2,$G66=1)),0,IF(AND(OW$9=2,(OR($F66&gt;1,$K66=1,AND($L66=80,OR($N66=1,AND($N66=2,'#BerechnungDBE'!$AL57&gt;0)))))),IF(OU$4&gt;=$AD$126,0,PE66),IF(OW$9=3,IF(OR(OU$4&gt;=$AD$127,AND($G66=1,$J66=2,OU$6=2),AND(OU$6=1,$N66&lt;&gt;1)),0,IF(OY66&lt;=120,PE66,IF(OU$4&lt;$AD$124,IF($F66=1,60/OW$4*OW$6,60/OW$4*OW$7),IF($F66=1,120/OW$4*OW$6,120/OW$4*OW$7)))),IF(OR($F66=3,$G66=2),IF(OR(AND(OU$4&gt;=$AD$119,$C66=2),AND(OU$4&gt;=$AF$119,$C66=1)),0,IF(OY66&lt;=60,PE66,60/OW$4*OW$7)),IF(AND($F66=2,$G66=1),PE66,0)))))</f>
        <v>0</v>
      </c>
      <c r="PH66" s="57" t="str">
        <f t="shared" si="166"/>
        <v/>
      </c>
      <c r="PI66" s="57" t="str">
        <f t="shared" si="468"/>
        <v/>
      </c>
      <c r="PJ66" s="713">
        <f>'org. Düngung 22'!DL65</f>
        <v>0</v>
      </c>
      <c r="PK66" s="57"/>
      <c r="PL66" s="57"/>
      <c r="PM66" s="57">
        <f t="shared" si="168"/>
        <v>0</v>
      </c>
      <c r="PN66" s="57">
        <f t="shared" si="328"/>
        <v>0</v>
      </c>
      <c r="PO66" s="57">
        <f t="shared" si="329"/>
        <v>0</v>
      </c>
      <c r="PP66" s="57">
        <f t="shared" si="330"/>
        <v>0</v>
      </c>
      <c r="PQ66" s="57">
        <f t="shared" si="331"/>
        <v>0</v>
      </c>
      <c r="PR66" s="1029">
        <f t="shared" si="469"/>
        <v>0</v>
      </c>
      <c r="PS66" s="57">
        <f t="shared" si="470"/>
        <v>0</v>
      </c>
      <c r="PT66" s="171" t="str">
        <f t="shared" si="471"/>
        <v/>
      </c>
      <c r="PU66" s="57">
        <f t="shared" si="332"/>
        <v>0</v>
      </c>
      <c r="PV66" s="57">
        <f>IF(OR(AND(PJ$6=1,$L66=0),AND(PJ$6=2,$K66=2,$G66=1)),0,IF(AND(PL$9=2,(OR($F66&gt;1,$K66=1,AND($L66=80,OR($N66=1,AND($N66=2,'#BerechnungDBE'!$AL57&gt;0)))))),IF(PJ$4&gt;=$AD$126,0,PT66),IF(PL$9=3,IF(OR(PJ$4&gt;=$AD$127,AND($G66=1,$J66=2,PJ$6=2),AND(PJ$6=1,$N66&lt;&gt;1)),0,IF(PN66&lt;=120,PT66,IF(PJ$4&lt;$AD$124,IF($F66=1,60/PL$4*PL$6,60/PL$4*PL$7),IF($F66=1,120/PL$4*PL$6,120/PL$4*PL$7)))),IF(OR($F66=3,$G66=2),IF(OR(AND(PJ$4&gt;=$AD$119,$C66=2),AND(PJ$4&gt;=$AF$119,$C66=1)),0,IF(PN66&lt;=60,PT66,60/PL$4*PL$7)),IF(AND($F66=2,$G66=1),PT66,0)))))</f>
        <v>0</v>
      </c>
      <c r="PW66" s="57" t="str">
        <f t="shared" si="172"/>
        <v/>
      </c>
      <c r="PX66" s="57" t="str">
        <f t="shared" si="472"/>
        <v/>
      </c>
      <c r="PY66" s="713">
        <f>'org. Düngung 22'!DP65</f>
        <v>0</v>
      </c>
      <c r="PZ66" s="57"/>
      <c r="QA66" s="57"/>
      <c r="QB66" s="57">
        <f t="shared" si="174"/>
        <v>0</v>
      </c>
      <c r="QC66" s="57">
        <f t="shared" si="333"/>
        <v>0</v>
      </c>
      <c r="QD66" s="57">
        <f t="shared" si="334"/>
        <v>0</v>
      </c>
      <c r="QE66" s="57">
        <f t="shared" si="335"/>
        <v>0</v>
      </c>
      <c r="QF66" s="57">
        <f t="shared" si="336"/>
        <v>0</v>
      </c>
      <c r="QG66" s="1029">
        <f t="shared" si="473"/>
        <v>0</v>
      </c>
      <c r="QH66" s="57">
        <f t="shared" si="474"/>
        <v>0</v>
      </c>
      <c r="QI66" s="171" t="str">
        <f t="shared" si="475"/>
        <v/>
      </c>
      <c r="QJ66" s="57">
        <f t="shared" si="337"/>
        <v>0</v>
      </c>
      <c r="QK66" s="57">
        <f>IF(OR(AND(PY$6=1,$L66=0),AND(PY$6=2,$K66=2,$G66=1)),0,IF(AND(QA$9=2,(OR($F66&gt;1,$K66=1,AND($L66=80,OR($N66=1,AND($N66=2,'#BerechnungDBE'!$AL57&gt;0)))))),IF(PY$4&gt;=$AD$126,0,QI66),IF(QA$9=3,IF(OR(PY$4&gt;=$AD$127,AND($G66=1,$J66=2,PY$6=2),AND(PY$6=1,$N66&lt;&gt;1)),0,IF(QC66&lt;=120,QI66,IF(PY$4&lt;$AD$124,IF($F66=1,60/QA$4*QA$6,60/QA$4*QA$7),IF($F66=1,120/QA$4*QA$6,120/QA$4*QA$7)))),IF(OR($F66=3,$G66=2),IF(OR(AND(PY$4&gt;=$AD$119,$C66=2),AND(PY$4&gt;=$AF$119,$C66=1)),0,IF(QC66&lt;=60,QI66,60/QA$4*QA$7)),IF(AND($F66=2,$G66=1),QI66,0)))))</f>
        <v>0</v>
      </c>
      <c r="QL66" s="57" t="str">
        <f t="shared" si="178"/>
        <v/>
      </c>
      <c r="QM66" s="57" t="str">
        <f t="shared" si="476"/>
        <v/>
      </c>
      <c r="QN66" s="713">
        <f>'org. Düngung 22'!DT65</f>
        <v>0</v>
      </c>
      <c r="QO66" s="57"/>
      <c r="QP66" s="57"/>
      <c r="QQ66" s="57">
        <f t="shared" si="180"/>
        <v>0</v>
      </c>
      <c r="QR66" s="57">
        <f t="shared" si="338"/>
        <v>0</v>
      </c>
      <c r="QS66" s="57">
        <f t="shared" si="339"/>
        <v>0</v>
      </c>
      <c r="QT66" s="57">
        <f t="shared" si="340"/>
        <v>0</v>
      </c>
      <c r="QU66" s="57">
        <f t="shared" si="341"/>
        <v>0</v>
      </c>
      <c r="QV66" s="1029">
        <f t="shared" si="477"/>
        <v>0</v>
      </c>
      <c r="QW66" s="57">
        <f t="shared" si="478"/>
        <v>0</v>
      </c>
      <c r="QX66" s="171" t="str">
        <f t="shared" si="479"/>
        <v/>
      </c>
      <c r="QY66" s="57">
        <f t="shared" si="342"/>
        <v>0</v>
      </c>
      <c r="QZ66" s="57">
        <f>IF(OR(AND(QN$6=1,$L66=0),AND(QN$6=2,$K66=2,$G66=1)),0,IF(AND(QP$9=2,(OR($F66&gt;1,$K66=1,AND($L66=80,OR($N66=1,AND($N66=2,'#BerechnungDBE'!$AL57&gt;0)))))),IF(QN$4&gt;=$AD$126,0,QX66),IF(QP$9=3,IF(OR(QN$4&gt;=$AD$127,AND($G66=1,$J66=2,QN$6=2),AND(QN$6=1,$N66&lt;&gt;1)),0,IF(QR66&lt;=120,QX66,IF(QN$4&lt;$AD$124,IF($F66=1,60/QP$4*QP$6,60/QP$4*QP$7),IF($F66=1,120/QP$4*QP$6,120/QP$4*QP$7)))),IF(OR($F66=3,$G66=2),IF(OR(AND(QN$4&gt;=$AD$119,$C66=2),AND(QN$4&gt;=$AF$119,$C66=1)),0,IF(QR66&lt;=60,QX66,60/QP$4*QP$7)),IF(AND($F66=2,$G66=1),QX66,0)))))</f>
        <v>0</v>
      </c>
      <c r="RA66" s="57" t="str">
        <f t="shared" si="184"/>
        <v/>
      </c>
      <c r="RB66" s="57" t="str">
        <f t="shared" si="480"/>
        <v/>
      </c>
      <c r="RC66" s="713">
        <f>'org. Düngung 22'!DX65</f>
        <v>0</v>
      </c>
      <c r="RD66" s="57"/>
      <c r="RE66" s="57"/>
      <c r="RF66" s="57">
        <f t="shared" si="186"/>
        <v>0</v>
      </c>
      <c r="RG66" s="57">
        <f t="shared" si="343"/>
        <v>0</v>
      </c>
      <c r="RH66" s="57">
        <f t="shared" si="344"/>
        <v>0</v>
      </c>
      <c r="RI66" s="57">
        <f t="shared" si="345"/>
        <v>0</v>
      </c>
      <c r="RJ66" s="57">
        <f t="shared" si="346"/>
        <v>0</v>
      </c>
      <c r="RK66" s="1029">
        <f t="shared" si="481"/>
        <v>0</v>
      </c>
      <c r="RL66" s="57">
        <f t="shared" si="482"/>
        <v>0</v>
      </c>
      <c r="RM66" s="171" t="str">
        <f t="shared" si="483"/>
        <v/>
      </c>
      <c r="RN66" s="57">
        <f t="shared" si="347"/>
        <v>0</v>
      </c>
      <c r="RO66" s="57">
        <f>IF(OR(AND(RC$6=1,$L66=0),AND(RC$6=2,$K66=2,$G66=1)),0,IF(AND(RE$9=2,(OR($F66&gt;1,$K66=1,AND($L66=80,OR($N66=1,AND($N66=2,'#BerechnungDBE'!$AL57&gt;0)))))),IF(RC$4&gt;=$AD$126,0,RM66),IF(RE$9=3,IF(OR(RC$4&gt;=$AD$127,AND($G66=1,$J66=2,RC$6=2),AND(RC$6=1,$N66&lt;&gt;1)),0,IF(RG66&lt;=120,RM66,IF(RC$4&lt;$AD$124,IF($F66=1,60/RE$4*RE$6,60/RE$4*RE$7),IF($F66=1,120/RE$4*RE$6,120/RE$4*RE$7)))),IF(OR($F66=3,$G66=2),IF(OR(AND(RC$4&gt;=$AD$119,$C66=2),AND(RC$4&gt;=$AF$119,$C66=1)),0,IF(RG66&lt;=60,RM66,60/RE$4*RE$7)),IF(AND($F66=2,$G66=1),RM66,0)))))</f>
        <v>0</v>
      </c>
      <c r="RP66" s="57" t="str">
        <f t="shared" si="190"/>
        <v/>
      </c>
      <c r="RQ66" s="57" t="str">
        <f t="shared" si="484"/>
        <v/>
      </c>
      <c r="RS66" s="57" t="str">
        <f t="shared" si="488"/>
        <v/>
      </c>
      <c r="RT66" s="57" t="str">
        <f t="shared" si="485"/>
        <v/>
      </c>
      <c r="RU66" s="57" t="str">
        <f t="shared" si="486"/>
        <v/>
      </c>
      <c r="RV66" s="57" t="str">
        <f>IF(Z66&gt;'#BerechnungDBE'!BM57,$RV$9,"")</f>
        <v/>
      </c>
      <c r="RW66" s="57" t="str">
        <f>IF(AND(L66=70,AE66&gt;'#BerechnungDBE'!CQ57),$RW$9,"")</f>
        <v/>
      </c>
      <c r="RX66" s="57" t="str">
        <f>IF(OR('org. Düngung 22'!G65="--",'org. Düngung 22'!G65&lt;=170,'org. Düngung 22'!G65=""),"",$RX$9)</f>
        <v/>
      </c>
      <c r="RY66" s="57" t="str">
        <f>IF('org. Düngung 22'!K65&gt;120,'#orgDung'!$RY$9,"")</f>
        <v/>
      </c>
      <c r="RZ66" s="57" t="str">
        <f>IF('#BerechnungDBE'!P57&lt;4,"",IF(AND('#BerechnungDBE'!BZ57&gt;0,T66&gt;0),'#orgDung'!$RZ$9,""))</f>
        <v/>
      </c>
      <c r="SA66" s="57" t="str">
        <f t="shared" si="487"/>
        <v/>
      </c>
    </row>
    <row r="67" spans="1:495" s="875" customFormat="1" x14ac:dyDescent="0.2">
      <c r="A67" s="875">
        <f>'Flächen u. Kulturen'!A63</f>
        <v>54</v>
      </c>
      <c r="B67" s="367">
        <f>'#BerechnungDBE'!L58</f>
        <v>0</v>
      </c>
      <c r="C67" s="875">
        <f>'#BerechnungDBE'!R58</f>
        <v>1</v>
      </c>
      <c r="D67" s="875">
        <f>'#BerechnungDBE'!T58</f>
        <v>2</v>
      </c>
      <c r="E67" s="875" t="str">
        <f>'Flächen u. Kulturen'!E63</f>
        <v>x</v>
      </c>
      <c r="F67" s="52">
        <f>'#BerechnungDBE'!N58</f>
        <v>1</v>
      </c>
      <c r="G67" s="52">
        <f>'#BerechnungDBE'!O58</f>
        <v>1</v>
      </c>
      <c r="H67" s="875">
        <f>IF('Flächen u. Kulturen'!P63="",0,VLOOKUP('Flächen u. Kulturen'!P63,Kulturen[[HF]:[Berechnungsgruppe]],'#Frucht'!$H$1,FALSE))</f>
        <v>0</v>
      </c>
      <c r="I67" s="875">
        <f>IF('Flächen u. Kulturen'!J63="",0,VLOOKUP('Flächen u. Kulturen'!J63,Kulturen[[HF]:[Berechnungsgruppe]],'#Frucht'!$G$1,FALSE))</f>
        <v>90</v>
      </c>
      <c r="J67" s="505">
        <f t="shared" si="195"/>
        <v>2</v>
      </c>
      <c r="K67" s="505">
        <f>IF('Flächen u. Kulturen'!P63="",0,IF(VLOOKUP('Flächen u. Kulturen'!P63,Kulturen[[HF]:[Saat Winterungen]],'#Frucht'!$P$1,FALSE)&gt;0,1,2))</f>
        <v>2</v>
      </c>
      <c r="L67" s="875">
        <f>'#BerechnungDBE'!AF58</f>
        <v>0</v>
      </c>
      <c r="M67" s="875">
        <f>IF('Flächen u. Kulturen'!L63="",0,VLOOKUP('Flächen u. Kulturen'!L63,Nebenkultur[[Nebenkultur]:[Legum. Zwischenfr.]],'#Zweitfr'!$K$1,FALSE))</f>
        <v>0</v>
      </c>
      <c r="N67" s="875">
        <f>'#BerechnungDBE'!AG58</f>
        <v>0</v>
      </c>
      <c r="P67" s="57">
        <f t="shared" si="353"/>
        <v>0</v>
      </c>
      <c r="Q67" s="57">
        <f t="shared" si="354"/>
        <v>0</v>
      </c>
      <c r="R67" s="875">
        <f t="shared" si="355"/>
        <v>0</v>
      </c>
      <c r="S67" s="938" t="str">
        <f t="shared" si="3"/>
        <v/>
      </c>
      <c r="T67" s="875">
        <f t="shared" si="356"/>
        <v>0</v>
      </c>
      <c r="U67" s="875">
        <f t="shared" si="357"/>
        <v>0</v>
      </c>
      <c r="V67" s="875">
        <f t="shared" si="358"/>
        <v>0</v>
      </c>
      <c r="W67" s="875">
        <f t="shared" si="359"/>
        <v>0</v>
      </c>
      <c r="X67" s="875">
        <f t="shared" si="360"/>
        <v>0</v>
      </c>
      <c r="Y67" s="875">
        <f t="shared" si="349"/>
        <v>0</v>
      </c>
      <c r="Z67" s="875">
        <f t="shared" si="350"/>
        <v>0</v>
      </c>
      <c r="AA67" s="910">
        <f t="shared" si="361"/>
        <v>0</v>
      </c>
      <c r="AB67" s="57">
        <f t="shared" si="351"/>
        <v>0</v>
      </c>
      <c r="AC67" s="875">
        <f t="shared" si="362"/>
        <v>0</v>
      </c>
      <c r="AD67" s="875">
        <f t="shared" si="363"/>
        <v>0</v>
      </c>
      <c r="AE67" s="875">
        <f t="shared" si="364"/>
        <v>0</v>
      </c>
      <c r="AF67" s="875">
        <f t="shared" si="352"/>
        <v>0</v>
      </c>
      <c r="AG67" s="875">
        <f>'org. Düngung 22'!J66</f>
        <v>0</v>
      </c>
      <c r="AH67" s="875">
        <f>'org. Düngung 22'!K66</f>
        <v>0</v>
      </c>
      <c r="AJ67" s="713">
        <f>'org. Düngung 22'!L66</f>
        <v>0</v>
      </c>
      <c r="AK67" s="57"/>
      <c r="AL67" s="57"/>
      <c r="AM67" s="57">
        <f t="shared" si="196"/>
        <v>0</v>
      </c>
      <c r="AN67" s="57">
        <f t="shared" si="197"/>
        <v>0</v>
      </c>
      <c r="AO67" s="57">
        <f t="shared" si="198"/>
        <v>0</v>
      </c>
      <c r="AP67" s="57">
        <f t="shared" si="199"/>
        <v>0</v>
      </c>
      <c r="AQ67" s="57">
        <f t="shared" si="200"/>
        <v>0</v>
      </c>
      <c r="AR67" s="1029">
        <f t="shared" si="365"/>
        <v>0</v>
      </c>
      <c r="AS67" s="57">
        <f t="shared" si="366"/>
        <v>0</v>
      </c>
      <c r="AT67" s="171" t="str">
        <f t="shared" si="367"/>
        <v/>
      </c>
      <c r="AU67" s="57">
        <f t="shared" si="201"/>
        <v>0</v>
      </c>
      <c r="AV67" s="57">
        <f>IF(OR(AND(AJ$6=1,$L67=0),AND(AJ$6=2,$K67=2,$G67=1)),0,IF(AND(AL$9=2,(OR($F67&gt;1,$K67=1,AND($L67=80,OR($N67=1,AND($N67=2,'#BerechnungDBE'!$AL58&gt;0)))))),IF(AJ$4&gt;=$AD$126,0,AT67),IF(AL$9=3,IF(OR(AJ$4&gt;=$AD$127,AND($G67=1,$J67=2,AJ$6=2),AND(AJ$6=1,$N67&lt;&gt;1)),0,IF(AN67&lt;=120,AT67,IF(AJ$4&lt;$AD$124,IF($F67=1,60/AL$4*AL$6,60/AL$4*AL$7),IF($F67=1,120/AL$4*AL$6,120/AL$4*AL$7)))),IF(OR($F67=3,$G67=2),IF(OR(AND(AJ$4&gt;=$AD$119,$C67=2),AND(AJ$4&gt;=$AF$119,$C67=1)),0,IF(AN67&lt;=60,AT67,60/AL$4*AL$7)),IF(AND($F67=2,$G67=1),AT67,0)))))</f>
        <v>0</v>
      </c>
      <c r="AW67" s="57" t="str">
        <f t="shared" si="202"/>
        <v/>
      </c>
      <c r="AX67" s="57" t="str">
        <f t="shared" si="368"/>
        <v/>
      </c>
      <c r="AY67" s="713">
        <f>'org. Düngung 22'!P66</f>
        <v>0</v>
      </c>
      <c r="AZ67" s="57"/>
      <c r="BA67" s="57"/>
      <c r="BB67" s="57">
        <f t="shared" si="18"/>
        <v>0</v>
      </c>
      <c r="BC67" s="57">
        <f t="shared" si="203"/>
        <v>0</v>
      </c>
      <c r="BD67" s="57">
        <f t="shared" si="204"/>
        <v>0</v>
      </c>
      <c r="BE67" s="57">
        <f t="shared" si="205"/>
        <v>0</v>
      </c>
      <c r="BF67" s="57">
        <f t="shared" si="206"/>
        <v>0</v>
      </c>
      <c r="BG67" s="1029">
        <f t="shared" si="369"/>
        <v>0</v>
      </c>
      <c r="BH67" s="57">
        <f t="shared" si="370"/>
        <v>0</v>
      </c>
      <c r="BI67" s="171" t="str">
        <f t="shared" si="371"/>
        <v/>
      </c>
      <c r="BJ67" s="57">
        <f t="shared" si="207"/>
        <v>0</v>
      </c>
      <c r="BK67" s="57">
        <f>IF(OR(AND(AY$6=1,$L67=0),AND(AY$6=2,$K67=2,$G67=1)),0,IF(AND(BA$9=2,(OR($F67&gt;1,$K67=1,AND($L67=80,OR($N67=1,AND($N67=2,'#BerechnungDBE'!$AL58&gt;0)))))),IF(AY$4&gt;=$AD$126,0,BI67),IF(BA$9=3,IF(OR(AY$4&gt;=$AD$127,AND($G67=1,$J67=2,AY$6=2),AND(AY$6=1,$N67&lt;&gt;1)),0,IF(BC67&lt;=120,BI67,IF(AY$4&lt;$AD$124,IF($F67=1,60/BA$4*BA$6,60/BA$4*BA$7),IF($F67=1,120/BA$4*BA$6,120/BA$4*BA$7)))),IF(OR($F67=3,$G67=2),IF(OR(AND(AY$4&gt;=$AD$119,$C67=2),AND(AY$4&gt;=$AF$119,$C67=1)),0,IF(BC67&lt;=60,BI67,60/BA$4*BA$7)),IF(AND($F67=2,$G67=1),BI67,0)))))</f>
        <v>0</v>
      </c>
      <c r="BL67" s="57" t="str">
        <f t="shared" si="22"/>
        <v/>
      </c>
      <c r="BM67" s="57" t="str">
        <f t="shared" si="372"/>
        <v/>
      </c>
      <c r="BN67" s="713">
        <f>'org. Düngung 22'!T66</f>
        <v>0</v>
      </c>
      <c r="BO67" s="57"/>
      <c r="BP67" s="57"/>
      <c r="BQ67" s="57">
        <f t="shared" si="24"/>
        <v>0</v>
      </c>
      <c r="BR67" s="57">
        <f t="shared" si="208"/>
        <v>0</v>
      </c>
      <c r="BS67" s="57">
        <f t="shared" si="209"/>
        <v>0</v>
      </c>
      <c r="BT67" s="57">
        <f t="shared" si="210"/>
        <v>0</v>
      </c>
      <c r="BU67" s="57">
        <f t="shared" si="211"/>
        <v>0</v>
      </c>
      <c r="BV67" s="1029">
        <f t="shared" si="373"/>
        <v>0</v>
      </c>
      <c r="BW67" s="57">
        <f t="shared" si="374"/>
        <v>0</v>
      </c>
      <c r="BX67" s="171" t="str">
        <f t="shared" si="375"/>
        <v/>
      </c>
      <c r="BY67" s="57">
        <f t="shared" si="212"/>
        <v>0</v>
      </c>
      <c r="BZ67" s="57">
        <f>IF(OR(AND(BN$6=1,$L67=0),AND(BN$6=2,$K67=2,$G67=1)),0,IF(AND(BP$9=2,(OR($F67&gt;1,$K67=1,AND($L67=80,OR($N67=1,AND($N67=2,'#BerechnungDBE'!$AL58&gt;0)))))),IF(BN$4&gt;=$AD$126,0,BX67),IF(BP$9=3,IF(OR(BN$4&gt;=$AD$127,AND($G67=1,$J67=2,BN$6=2),AND(BN$6=1,$N67&lt;&gt;1)),0,IF(BR67&lt;=120,BX67,IF(BN$4&lt;$AD$124,IF($F67=1,60/BP$4*BP$6,60/BP$4*BP$7),IF($F67=1,120/BP$4*BP$6,120/BP$4*BP$7)))),IF(OR($F67=3,$G67=2),IF(OR(AND(BN$4&gt;=$AD$119,$C67=2),AND(BN$4&gt;=$AF$119,$C67=1)),0,IF(BR67&lt;=60,BX67,60/BP$4*BP$7)),IF(AND($F67=2,$G67=1),BX67,0)))))</f>
        <v>0</v>
      </c>
      <c r="CA67" s="57" t="str">
        <f t="shared" si="28"/>
        <v/>
      </c>
      <c r="CB67" s="57" t="str">
        <f t="shared" si="376"/>
        <v/>
      </c>
      <c r="CC67" s="713">
        <f>'org. Düngung 22'!X66</f>
        <v>0</v>
      </c>
      <c r="CD67" s="57"/>
      <c r="CE67" s="57"/>
      <c r="CF67" s="57">
        <f t="shared" si="30"/>
        <v>0</v>
      </c>
      <c r="CG67" s="57">
        <f t="shared" si="213"/>
        <v>0</v>
      </c>
      <c r="CH67" s="57">
        <f t="shared" si="214"/>
        <v>0</v>
      </c>
      <c r="CI67" s="57">
        <f t="shared" si="215"/>
        <v>0</v>
      </c>
      <c r="CJ67" s="57">
        <f t="shared" si="216"/>
        <v>0</v>
      </c>
      <c r="CK67" s="1029">
        <f t="shared" si="377"/>
        <v>0</v>
      </c>
      <c r="CL67" s="57">
        <f t="shared" si="378"/>
        <v>0</v>
      </c>
      <c r="CM67" s="171" t="str">
        <f t="shared" si="379"/>
        <v/>
      </c>
      <c r="CN67" s="57">
        <f t="shared" si="217"/>
        <v>0</v>
      </c>
      <c r="CO67" s="57">
        <f>IF(OR(AND(CC$6=1,$L67=0),AND(CC$6=2,$K67=2,$G67=1)),0,IF(AND(CE$9=2,(OR($F67&gt;1,$K67=1,AND($L67=80,OR($N67=1,AND($N67=2,'#BerechnungDBE'!$AL58&gt;0)))))),IF(CC$4&gt;=$AD$126,0,CM67),IF(CE$9=3,IF(OR(CC$4&gt;=$AD$127,AND($G67=1,$J67=2,CC$6=2),AND(CC$6=1,$N67&lt;&gt;1)),0,IF(CG67&lt;=120,CM67,IF(CC$4&lt;$AD$124,IF($F67=1,60/CE$4*CE$6,60/CE$4*CE$7),IF($F67=1,120/CE$4*CE$6,120/CE$4*CE$7)))),IF(OR($F67=3,$G67=2),IF(OR(AND(CC$4&gt;=$AD$119,$C67=2),AND(CC$4&gt;=$AF$119,$C67=1)),0,IF(CG67&lt;=60,CM67,60/CE$4*CE$7)),IF(AND($F67=2,$G67=1),CM67,0)))))</f>
        <v>0</v>
      </c>
      <c r="CP67" s="57" t="str">
        <f t="shared" si="34"/>
        <v/>
      </c>
      <c r="CQ67" s="57" t="str">
        <f t="shared" si="380"/>
        <v/>
      </c>
      <c r="CR67" s="713">
        <f>'org. Düngung 22'!AB66</f>
        <v>0</v>
      </c>
      <c r="CS67" s="57"/>
      <c r="CT67" s="57"/>
      <c r="CU67" s="57">
        <f t="shared" si="36"/>
        <v>0</v>
      </c>
      <c r="CV67" s="57">
        <f t="shared" si="218"/>
        <v>0</v>
      </c>
      <c r="CW67" s="57">
        <f t="shared" si="219"/>
        <v>0</v>
      </c>
      <c r="CX67" s="57">
        <f t="shared" si="220"/>
        <v>0</v>
      </c>
      <c r="CY67" s="57">
        <f t="shared" si="221"/>
        <v>0</v>
      </c>
      <c r="CZ67" s="1029">
        <f t="shared" si="381"/>
        <v>0</v>
      </c>
      <c r="DA67" s="57">
        <f t="shared" si="382"/>
        <v>0</v>
      </c>
      <c r="DB67" s="171" t="str">
        <f t="shared" si="383"/>
        <v/>
      </c>
      <c r="DC67" s="57">
        <f t="shared" si="222"/>
        <v>0</v>
      </c>
      <c r="DD67" s="57">
        <f>IF(OR(AND(CR$6=1,$L67=0),AND(CR$6=2,$K67=2,$G67=1)),0,IF(AND(CT$9=2,(OR($F67&gt;1,$K67=1,AND($L67=80,OR($N67=1,AND($N67=2,'#BerechnungDBE'!$AL58&gt;0)))))),IF(CR$4&gt;=$AD$126,0,DB67),IF(CT$9=3,IF(OR(CR$4&gt;=$AD$127,AND($G67=1,$J67=2,CR$6=2),AND(CR$6=1,$N67&lt;&gt;1)),0,IF(CV67&lt;=120,DB67,IF(CR$4&lt;$AD$124,IF($F67=1,60/CT$4*CT$6,60/CT$4*CT$7),IF($F67=1,120/CT$4*CT$6,120/CT$4*CT$7)))),IF(OR($F67=3,$G67=2),IF(OR(AND(CR$4&gt;=$AD$119,$C67=2),AND(CR$4&gt;=$AF$119,$C67=1)),0,IF(CV67&lt;=60,DB67,60/CT$4*CT$7)),IF(AND($F67=2,$G67=1),DB67,0)))))</f>
        <v>0</v>
      </c>
      <c r="DE67" s="57" t="str">
        <f t="shared" si="40"/>
        <v/>
      </c>
      <c r="DF67" s="57" t="str">
        <f t="shared" si="384"/>
        <v/>
      </c>
      <c r="DG67" s="713">
        <f>'org. Düngung 22'!AF66</f>
        <v>0</v>
      </c>
      <c r="DH67" s="57"/>
      <c r="DI67" s="57"/>
      <c r="DJ67" s="57">
        <f t="shared" si="42"/>
        <v>0</v>
      </c>
      <c r="DK67" s="57">
        <f t="shared" si="223"/>
        <v>0</v>
      </c>
      <c r="DL67" s="57">
        <f t="shared" si="224"/>
        <v>0</v>
      </c>
      <c r="DM67" s="57">
        <f t="shared" si="225"/>
        <v>0</v>
      </c>
      <c r="DN67" s="57">
        <f t="shared" si="226"/>
        <v>0</v>
      </c>
      <c r="DO67" s="1029">
        <f t="shared" si="385"/>
        <v>0</v>
      </c>
      <c r="DP67" s="57">
        <f t="shared" si="386"/>
        <v>0</v>
      </c>
      <c r="DQ67" s="171" t="str">
        <f t="shared" si="387"/>
        <v/>
      </c>
      <c r="DR67" s="57">
        <f t="shared" si="227"/>
        <v>0</v>
      </c>
      <c r="DS67" s="57">
        <f>IF(OR(AND(DG$6=1,$L67=0),AND(DG$6=2,$K67=2,$G67=1)),0,IF(AND(DI$9=2,(OR($F67&gt;1,$K67=1,AND($L67=80,OR($N67=1,AND($N67=2,'#BerechnungDBE'!$AL58&gt;0)))))),IF(DG$4&gt;=$AD$126,0,DQ67),IF(DI$9=3,IF(OR(DG$4&gt;=$AD$127,AND($G67=1,$J67=2,DG$6=2),AND(DG$6=1,$N67&lt;&gt;1)),0,IF(DK67&lt;=120,DQ67,IF(DG$4&lt;$AD$124,IF($F67=1,60/DI$4*DI$6,60/DI$4*DI$7),IF($F67=1,120/DI$4*DI$6,120/DI$4*DI$7)))),IF(OR($F67=3,$G67=2),IF(OR(AND(DG$4&gt;=$AD$119,$C67=2),AND(DG$4&gt;=$AF$119,$C67=1)),0,IF(DK67&lt;=60,DQ67,60/DI$4*DI$7)),IF(AND($F67=2,$G67=1),DQ67,0)))))</f>
        <v>0</v>
      </c>
      <c r="DT67" s="57" t="str">
        <f t="shared" si="46"/>
        <v/>
      </c>
      <c r="DU67" s="57" t="str">
        <f t="shared" si="388"/>
        <v/>
      </c>
      <c r="DV67" s="713">
        <f>'org. Düngung 22'!AJ66</f>
        <v>0</v>
      </c>
      <c r="DW67" s="57"/>
      <c r="DX67" s="57"/>
      <c r="DY67" s="57">
        <f t="shared" si="48"/>
        <v>0</v>
      </c>
      <c r="DZ67" s="57">
        <f t="shared" si="228"/>
        <v>0</v>
      </c>
      <c r="EA67" s="57">
        <f t="shared" si="229"/>
        <v>0</v>
      </c>
      <c r="EB67" s="57">
        <f t="shared" si="230"/>
        <v>0</v>
      </c>
      <c r="EC67" s="57">
        <f t="shared" si="231"/>
        <v>0</v>
      </c>
      <c r="ED67" s="1029">
        <f t="shared" si="389"/>
        <v>0</v>
      </c>
      <c r="EE67" s="57">
        <f t="shared" si="390"/>
        <v>0</v>
      </c>
      <c r="EF67" s="171" t="str">
        <f t="shared" si="391"/>
        <v/>
      </c>
      <c r="EG67" s="57">
        <f t="shared" si="232"/>
        <v>0</v>
      </c>
      <c r="EH67" s="57">
        <f>IF(OR(AND(DV$6=1,$L67=0),AND(DV$6=2,$K67=2,$G67=1)),0,IF(AND(DX$9=2,(OR($F67&gt;1,$K67=1,AND($L67=80,OR($N67=1,AND($N67=2,'#BerechnungDBE'!$AL58&gt;0)))))),IF(DV$4&gt;=$AD$126,0,EF67),IF(DX$9=3,IF(OR(DV$4&gt;=$AD$127,AND($G67=1,$J67=2,DV$6=2),AND(DV$6=1,$N67&lt;&gt;1)),0,IF(DZ67&lt;=120,EF67,IF(DV$4&lt;$AD$124,IF($F67=1,60/DX$4*DX$6,60/DX$4*DX$7),IF($F67=1,120/DX$4*DX$6,120/DX$4*DX$7)))),IF(OR($F67=3,$G67=2),IF(OR(AND(DV$4&gt;=$AD$119,$C67=2),AND(DV$4&gt;=$AF$119,$C67=1)),0,IF(DZ67&lt;=60,EF67,60/DX$4*DX$7)),IF(AND($F67=2,$G67=1),EF67,0)))))</f>
        <v>0</v>
      </c>
      <c r="EI67" s="57" t="str">
        <f t="shared" si="52"/>
        <v/>
      </c>
      <c r="EJ67" s="57" t="str">
        <f t="shared" si="392"/>
        <v/>
      </c>
      <c r="EK67" s="713">
        <f>'org. Düngung 22'!AN66</f>
        <v>0</v>
      </c>
      <c r="EL67" s="57"/>
      <c r="EM67" s="57"/>
      <c r="EN67" s="57">
        <f t="shared" si="54"/>
        <v>0</v>
      </c>
      <c r="EO67" s="57">
        <f t="shared" si="233"/>
        <v>0</v>
      </c>
      <c r="EP67" s="57">
        <f t="shared" si="234"/>
        <v>0</v>
      </c>
      <c r="EQ67" s="57">
        <f t="shared" si="235"/>
        <v>0</v>
      </c>
      <c r="ER67" s="57">
        <f t="shared" si="236"/>
        <v>0</v>
      </c>
      <c r="ES67" s="1029">
        <f t="shared" si="393"/>
        <v>0</v>
      </c>
      <c r="ET67" s="57">
        <f t="shared" si="394"/>
        <v>0</v>
      </c>
      <c r="EU67" s="171" t="str">
        <f t="shared" si="395"/>
        <v/>
      </c>
      <c r="EV67" s="57">
        <f t="shared" si="237"/>
        <v>0</v>
      </c>
      <c r="EW67" s="57">
        <f>IF(OR(AND(EK$6=1,$L67=0),AND(EK$6=2,$K67=2,$G67=1)),0,IF(AND(EM$9=2,(OR($F67&gt;1,$K67=1,AND($L67=80,OR($N67=1,AND($N67=2,'#BerechnungDBE'!$AL58&gt;0)))))),IF(EK$4&gt;=$AD$126,0,EU67),IF(EM$9=3,IF(OR(EK$4&gt;=$AD$127,AND($G67=1,$J67=2,EK$6=2),AND(EK$6=1,$N67&lt;&gt;1)),0,IF(EO67&lt;=120,EU67,IF(EK$4&lt;$AD$124,IF($F67=1,60/EM$4*EM$6,60/EM$4*EM$7),IF($F67=1,120/EM$4*EM$6,120/EM$4*EM$7)))),IF(OR($F67=3,$G67=2),IF(OR(AND(EK$4&gt;=$AD$119,$C67=2),AND(EK$4&gt;=$AF$119,$C67=1)),0,IF(EO67&lt;=60,EU67,60/EM$4*EM$7)),IF(AND($F67=2,$G67=1),EU67,0)))))</f>
        <v>0</v>
      </c>
      <c r="EX67" s="57" t="str">
        <f t="shared" si="58"/>
        <v/>
      </c>
      <c r="EY67" s="57" t="str">
        <f t="shared" si="396"/>
        <v/>
      </c>
      <c r="EZ67" s="713">
        <f>'org. Düngung 22'!AR66</f>
        <v>0</v>
      </c>
      <c r="FA67" s="57"/>
      <c r="FB67" s="57"/>
      <c r="FC67" s="57">
        <f t="shared" si="60"/>
        <v>0</v>
      </c>
      <c r="FD67" s="57">
        <f t="shared" si="238"/>
        <v>0</v>
      </c>
      <c r="FE67" s="57">
        <f t="shared" si="239"/>
        <v>0</v>
      </c>
      <c r="FF67" s="57">
        <f t="shared" si="240"/>
        <v>0</v>
      </c>
      <c r="FG67" s="57">
        <f t="shared" si="241"/>
        <v>0</v>
      </c>
      <c r="FH67" s="1029">
        <f t="shared" si="397"/>
        <v>0</v>
      </c>
      <c r="FI67" s="57">
        <f t="shared" si="398"/>
        <v>0</v>
      </c>
      <c r="FJ67" s="171" t="str">
        <f t="shared" si="399"/>
        <v/>
      </c>
      <c r="FK67" s="57">
        <f t="shared" si="242"/>
        <v>0</v>
      </c>
      <c r="FL67" s="57">
        <f>IF(OR(AND(EZ$6=1,$L67=0),AND(EZ$6=2,$K67=2,$G67=1)),0,IF(AND(FB$9=2,(OR($F67&gt;1,$K67=1,AND($L67=80,OR($N67=1,AND($N67=2,'#BerechnungDBE'!$AL58&gt;0)))))),IF(EZ$4&gt;=$AD$126,0,FJ67),IF(FB$9=3,IF(OR(EZ$4&gt;=$AD$127,AND($G67=1,$J67=2,EZ$6=2),AND(EZ$6=1,$N67&lt;&gt;1)),0,IF(FD67&lt;=120,FJ67,IF(EZ$4&lt;$AD$124,IF($F67=1,60/FB$4*FB$6,60/FB$4*FB$7),IF($F67=1,120/FB$4*FB$6,120/FB$4*FB$7)))),IF(OR($F67=3,$G67=2),IF(OR(AND(EZ$4&gt;=$AD$119,$C67=2),AND(EZ$4&gt;=$AF$119,$C67=1)),0,IF(FD67&lt;=60,FJ67,60/FB$4*FB$7)),IF(AND($F67=2,$G67=1),FJ67,0)))))</f>
        <v>0</v>
      </c>
      <c r="FM67" s="57" t="str">
        <f t="shared" si="64"/>
        <v/>
      </c>
      <c r="FN67" s="57" t="str">
        <f t="shared" si="400"/>
        <v/>
      </c>
      <c r="FO67" s="713">
        <f>'org. Düngung 22'!AV66</f>
        <v>0</v>
      </c>
      <c r="FP67" s="57"/>
      <c r="FQ67" s="57"/>
      <c r="FR67" s="57">
        <f t="shared" si="66"/>
        <v>0</v>
      </c>
      <c r="FS67" s="57">
        <f t="shared" si="243"/>
        <v>0</v>
      </c>
      <c r="FT67" s="57">
        <f t="shared" si="244"/>
        <v>0</v>
      </c>
      <c r="FU67" s="57">
        <f t="shared" si="245"/>
        <v>0</v>
      </c>
      <c r="FV67" s="57">
        <f t="shared" si="246"/>
        <v>0</v>
      </c>
      <c r="FW67" s="1029">
        <f t="shared" si="401"/>
        <v>0</v>
      </c>
      <c r="FX67" s="57">
        <f t="shared" si="402"/>
        <v>0</v>
      </c>
      <c r="FY67" s="171" t="str">
        <f t="shared" si="403"/>
        <v/>
      </c>
      <c r="FZ67" s="57">
        <f t="shared" si="247"/>
        <v>0</v>
      </c>
      <c r="GA67" s="57">
        <f>IF(OR(AND(FO$6=1,$L67=0),AND(FO$6=2,$K67=2,$G67=1)),0,IF(AND(FQ$9=2,(OR($F67&gt;1,$K67=1,AND($L67=80,OR($N67=1,AND($N67=2,'#BerechnungDBE'!$AL58&gt;0)))))),IF(FO$4&gt;=$AD$126,0,FY67),IF(FQ$9=3,IF(OR(FO$4&gt;=$AD$127,AND($G67=1,$J67=2,FO$6=2),AND(FO$6=1,$N67&lt;&gt;1)),0,IF(FS67&lt;=120,FY67,IF(FO$4&lt;$AD$124,IF($F67=1,60/FQ$4*FQ$6,60/FQ$4*FQ$7),IF($F67=1,120/FQ$4*FQ$6,120/FQ$4*FQ$7)))),IF(OR($F67=3,$G67=2),IF(OR(AND(FO$4&gt;=$AD$119,$C67=2),AND(FO$4&gt;=$AF$119,$C67=1)),0,IF(FS67&lt;=60,FY67,60/FQ$4*FQ$7)),IF(AND($F67=2,$G67=1),FY67,0)))))</f>
        <v>0</v>
      </c>
      <c r="GB67" s="57" t="str">
        <f t="shared" si="70"/>
        <v/>
      </c>
      <c r="GC67" s="57" t="str">
        <f t="shared" si="404"/>
        <v/>
      </c>
      <c r="GD67" s="713">
        <f>'org. Düngung 22'!AZ66</f>
        <v>0</v>
      </c>
      <c r="GE67" s="57"/>
      <c r="GF67" s="57"/>
      <c r="GG67" s="57">
        <f t="shared" si="72"/>
        <v>0</v>
      </c>
      <c r="GH67" s="57">
        <f t="shared" si="248"/>
        <v>0</v>
      </c>
      <c r="GI67" s="57">
        <f t="shared" si="249"/>
        <v>0</v>
      </c>
      <c r="GJ67" s="57">
        <f t="shared" si="250"/>
        <v>0</v>
      </c>
      <c r="GK67" s="57">
        <f t="shared" si="251"/>
        <v>0</v>
      </c>
      <c r="GL67" s="1029">
        <f t="shared" si="405"/>
        <v>0</v>
      </c>
      <c r="GM67" s="57">
        <f t="shared" si="406"/>
        <v>0</v>
      </c>
      <c r="GN67" s="171" t="str">
        <f t="shared" si="407"/>
        <v/>
      </c>
      <c r="GO67" s="57">
        <f t="shared" si="252"/>
        <v>0</v>
      </c>
      <c r="GP67" s="57">
        <f>IF(OR(AND(GD$6=1,$L67=0),AND(GD$6=2,$K67=2,$G67=1)),0,IF(AND(GF$9=2,(OR($F67&gt;1,$K67=1,AND($L67=80,OR($N67=1,AND($N67=2,'#BerechnungDBE'!$AL58&gt;0)))))),IF(GD$4&gt;=$AD$126,0,GN67),IF(GF$9=3,IF(OR(GD$4&gt;=$AD$127,AND($G67=1,$J67=2,GD$6=2),AND(GD$6=1,$N67&lt;&gt;1)),0,IF(GH67&lt;=120,GN67,IF(GD$4&lt;$AD$124,IF($F67=1,60/GF$4*GF$6,60/GF$4*GF$7),IF($F67=1,120/GF$4*GF$6,120/GF$4*GF$7)))),IF(OR($F67=3,$G67=2),IF(OR(AND(GD$4&gt;=$AD$119,$C67=2),AND(GD$4&gt;=$AF$119,$C67=1)),0,IF(GH67&lt;=60,GN67,60/GF$4*GF$7)),IF(AND($F67=2,$G67=1),GN67,0)))))</f>
        <v>0</v>
      </c>
      <c r="GQ67" s="57" t="str">
        <f t="shared" si="76"/>
        <v/>
      </c>
      <c r="GR67" s="57" t="str">
        <f t="shared" si="408"/>
        <v/>
      </c>
      <c r="GS67" s="713">
        <f>'org. Düngung 22'!BD66</f>
        <v>0</v>
      </c>
      <c r="GT67" s="57"/>
      <c r="GU67" s="57"/>
      <c r="GV67" s="57">
        <f t="shared" si="78"/>
        <v>0</v>
      </c>
      <c r="GW67" s="57">
        <f t="shared" si="253"/>
        <v>0</v>
      </c>
      <c r="GX67" s="57">
        <f t="shared" si="254"/>
        <v>0</v>
      </c>
      <c r="GY67" s="57">
        <f t="shared" si="255"/>
        <v>0</v>
      </c>
      <c r="GZ67" s="57">
        <f t="shared" si="256"/>
        <v>0</v>
      </c>
      <c r="HA67" s="1029">
        <f t="shared" si="409"/>
        <v>0</v>
      </c>
      <c r="HB67" s="57">
        <f t="shared" si="410"/>
        <v>0</v>
      </c>
      <c r="HC67" s="171" t="str">
        <f t="shared" si="411"/>
        <v/>
      </c>
      <c r="HD67" s="57">
        <f t="shared" si="257"/>
        <v>0</v>
      </c>
      <c r="HE67" s="57">
        <f>IF(OR(AND(GS$6=1,$L67=0),AND(GS$6=2,$K67=2,$G67=1)),0,IF(AND(GU$9=2,(OR($F67&gt;1,$K67=1,AND($L67=80,OR($N67=1,AND($N67=2,'#BerechnungDBE'!$AL58&gt;0)))))),IF(GS$4&gt;=$AD$126,0,HC67),IF(GU$9=3,IF(OR(GS$4&gt;=$AD$127,AND($G67=1,$J67=2,GS$6=2),AND(GS$6=1,$N67&lt;&gt;1)),0,IF(GW67&lt;=120,HC67,IF(GS$4&lt;$AD$124,IF($F67=1,60/GU$4*GU$6,60/GU$4*GU$7),IF($F67=1,120/GU$4*GU$6,120/GU$4*GU$7)))),IF(OR($F67=3,$G67=2),IF(OR(AND(GS$4&gt;=$AD$119,$C67=2),AND(GS$4&gt;=$AF$119,$C67=1)),0,IF(GW67&lt;=60,HC67,60/GU$4*GU$7)),IF(AND($F67=2,$G67=1),HC67,0)))))</f>
        <v>0</v>
      </c>
      <c r="HF67" s="57" t="str">
        <f t="shared" si="82"/>
        <v/>
      </c>
      <c r="HG67" s="57" t="str">
        <f t="shared" si="412"/>
        <v/>
      </c>
      <c r="HH67" s="713">
        <f>'org. Düngung 22'!BH66</f>
        <v>0</v>
      </c>
      <c r="HI67" s="57"/>
      <c r="HJ67" s="57"/>
      <c r="HK67" s="57">
        <f t="shared" si="84"/>
        <v>0</v>
      </c>
      <c r="HL67" s="57">
        <f t="shared" si="258"/>
        <v>0</v>
      </c>
      <c r="HM67" s="57">
        <f t="shared" si="259"/>
        <v>0</v>
      </c>
      <c r="HN67" s="57">
        <f t="shared" si="260"/>
        <v>0</v>
      </c>
      <c r="HO67" s="57">
        <f t="shared" si="261"/>
        <v>0</v>
      </c>
      <c r="HP67" s="1029">
        <f t="shared" si="413"/>
        <v>0</v>
      </c>
      <c r="HQ67" s="57">
        <f t="shared" si="414"/>
        <v>0</v>
      </c>
      <c r="HR67" s="171" t="str">
        <f t="shared" si="415"/>
        <v/>
      </c>
      <c r="HS67" s="57">
        <f t="shared" si="262"/>
        <v>0</v>
      </c>
      <c r="HT67" s="57">
        <f>IF(OR(AND(HH$6=1,$L67=0),AND(HH$6=2,$K67=2,$G67=1)),0,IF(AND(HJ$9=2,(OR($F67&gt;1,$K67=1,AND($L67=80,OR($N67=1,AND($N67=2,'#BerechnungDBE'!$AL58&gt;0)))))),IF(HH$4&gt;=$AD$126,0,HR67),IF(HJ$9=3,IF(OR(HH$4&gt;=$AD$127,AND($G67=1,$J67=2,HH$6=2),AND(HH$6=1,$N67&lt;&gt;1)),0,IF(HL67&lt;=120,HR67,IF(HH$4&lt;$AD$124,IF($F67=1,60/HJ$4*HJ$6,60/HJ$4*HJ$7),IF($F67=1,120/HJ$4*HJ$6,120/HJ$4*HJ$7)))),IF(OR($F67=3,$G67=2),IF(OR(AND(HH$4&gt;=$AD$119,$C67=2),AND(HH$4&gt;=$AF$119,$C67=1)),0,IF(HL67&lt;=60,HR67,60/HJ$4*HJ$7)),IF(AND($F67=2,$G67=1),HR67,0)))))</f>
        <v>0</v>
      </c>
      <c r="HU67" s="57" t="str">
        <f t="shared" si="88"/>
        <v/>
      </c>
      <c r="HV67" s="57" t="str">
        <f t="shared" si="416"/>
        <v/>
      </c>
      <c r="HW67" s="713">
        <f>'org. Düngung 22'!BL66</f>
        <v>0</v>
      </c>
      <c r="HX67" s="57"/>
      <c r="HY67" s="57"/>
      <c r="HZ67" s="57">
        <f t="shared" si="90"/>
        <v>0</v>
      </c>
      <c r="IA67" s="57">
        <f t="shared" si="263"/>
        <v>0</v>
      </c>
      <c r="IB67" s="57">
        <f t="shared" si="264"/>
        <v>0</v>
      </c>
      <c r="IC67" s="57">
        <f t="shared" si="265"/>
        <v>0</v>
      </c>
      <c r="ID67" s="57">
        <f t="shared" si="266"/>
        <v>0</v>
      </c>
      <c r="IE67" s="1029">
        <f t="shared" si="417"/>
        <v>0</v>
      </c>
      <c r="IF67" s="57">
        <f t="shared" si="418"/>
        <v>0</v>
      </c>
      <c r="IG67" s="171" t="str">
        <f t="shared" si="419"/>
        <v/>
      </c>
      <c r="IH67" s="57">
        <f t="shared" si="267"/>
        <v>0</v>
      </c>
      <c r="II67" s="57">
        <f>IF(OR(AND(HW$6=1,$L67=0),AND(HW$6=2,$K67=2,$G67=1)),0,IF(AND(HY$9=2,(OR($F67&gt;1,$K67=1,AND($L67=80,OR($N67=1,AND($N67=2,'#BerechnungDBE'!$AL58&gt;0)))))),IF(HW$4&gt;=$AD$126,0,IG67),IF(HY$9=3,IF(OR(HW$4&gt;=$AD$127,AND($G67=1,$J67=2,HW$6=2),AND(HW$6=1,$N67&lt;&gt;1)),0,IF(IA67&lt;=120,IG67,IF(HW$4&lt;$AD$124,IF($F67=1,60/HY$4*HY$6,60/HY$4*HY$7),IF($F67=1,120/HY$4*HY$6,120/HY$4*HY$7)))),IF(OR($F67=3,$G67=2),IF(OR(AND(HW$4&gt;=$AD$119,$C67=2),AND(HW$4&gt;=$AF$119,$C67=1)),0,IF(IA67&lt;=60,IG67,60/HY$4*HY$7)),IF(AND($F67=2,$G67=1),IG67,0)))))</f>
        <v>0</v>
      </c>
      <c r="IJ67" s="57" t="str">
        <f t="shared" si="94"/>
        <v/>
      </c>
      <c r="IK67" s="57" t="str">
        <f t="shared" si="420"/>
        <v/>
      </c>
      <c r="IL67" s="713">
        <f>'org. Düngung 22'!BP66</f>
        <v>0</v>
      </c>
      <c r="IM67" s="57"/>
      <c r="IN67" s="57"/>
      <c r="IO67" s="57">
        <f t="shared" si="96"/>
        <v>0</v>
      </c>
      <c r="IP67" s="57">
        <f t="shared" si="268"/>
        <v>0</v>
      </c>
      <c r="IQ67" s="57">
        <f t="shared" si="269"/>
        <v>0</v>
      </c>
      <c r="IR67" s="57">
        <f t="shared" si="270"/>
        <v>0</v>
      </c>
      <c r="IS67" s="57">
        <f t="shared" si="271"/>
        <v>0</v>
      </c>
      <c r="IT67" s="1029">
        <f t="shared" si="421"/>
        <v>0</v>
      </c>
      <c r="IU67" s="57">
        <f t="shared" si="422"/>
        <v>0</v>
      </c>
      <c r="IV67" s="171" t="str">
        <f t="shared" si="423"/>
        <v/>
      </c>
      <c r="IW67" s="57">
        <f t="shared" si="272"/>
        <v>0</v>
      </c>
      <c r="IX67" s="57">
        <f>IF(OR(AND(IL$6=1,$L67=0),AND(IL$6=2,$K67=2,$G67=1)),0,IF(AND(IN$9=2,(OR($F67&gt;1,$K67=1,AND($L67=80,OR($N67=1,AND($N67=2,'#BerechnungDBE'!$AL58&gt;0)))))),IF(IL$4&gt;=$AD$126,0,IV67),IF(IN$9=3,IF(OR(IL$4&gt;=$AD$127,AND($G67=1,$J67=2,IL$6=2),AND(IL$6=1,$N67&lt;&gt;1)),0,IF(IP67&lt;=120,IV67,IF(IL$4&lt;$AD$124,IF($F67=1,60/IN$4*IN$6,60/IN$4*IN$7),IF($F67=1,120/IN$4*IN$6,120/IN$4*IN$7)))),IF(OR($F67=3,$G67=2),IF(OR(AND(IL$4&gt;=$AD$119,$C67=2),AND(IL$4&gt;=$AF$119,$C67=1)),0,IF(IP67&lt;=60,IV67,60/IN$4*IN$7)),IF(AND($F67=2,$G67=1),IV67,0)))))</f>
        <v>0</v>
      </c>
      <c r="IY67" s="57" t="str">
        <f t="shared" si="100"/>
        <v/>
      </c>
      <c r="IZ67" s="57" t="str">
        <f t="shared" si="424"/>
        <v/>
      </c>
      <c r="JA67" s="713">
        <f>'org. Düngung 22'!BT66</f>
        <v>0</v>
      </c>
      <c r="JB67" s="57"/>
      <c r="JC67" s="57"/>
      <c r="JD67" s="57">
        <f t="shared" si="102"/>
        <v>0</v>
      </c>
      <c r="JE67" s="57">
        <f t="shared" si="273"/>
        <v>0</v>
      </c>
      <c r="JF67" s="57">
        <f t="shared" si="274"/>
        <v>0</v>
      </c>
      <c r="JG67" s="57">
        <f t="shared" si="275"/>
        <v>0</v>
      </c>
      <c r="JH67" s="57">
        <f t="shared" si="276"/>
        <v>0</v>
      </c>
      <c r="JI67" s="1029">
        <f t="shared" si="425"/>
        <v>0</v>
      </c>
      <c r="JJ67" s="57">
        <f t="shared" si="426"/>
        <v>0</v>
      </c>
      <c r="JK67" s="171" t="str">
        <f t="shared" si="427"/>
        <v/>
      </c>
      <c r="JL67" s="57">
        <f t="shared" si="277"/>
        <v>0</v>
      </c>
      <c r="JM67" s="57">
        <f>IF(OR(AND(JA$6=1,$L67=0),AND(JA$6=2,$K67=2,$G67=1)),0,IF(AND(JC$9=2,(OR($F67&gt;1,$K67=1,AND($L67=80,OR($N67=1,AND($N67=2,'#BerechnungDBE'!$AL58&gt;0)))))),IF(JA$4&gt;=$AD$126,0,JK67),IF(JC$9=3,IF(OR(JA$4&gt;=$AD$127,AND($G67=1,$J67=2,JA$6=2),AND(JA$6=1,$N67&lt;&gt;1)),0,IF(JE67&lt;=120,JK67,IF(JA$4&lt;$AD$124,IF($F67=1,60/JC$4*JC$6,60/JC$4*JC$7),IF($F67=1,120/JC$4*JC$6,120/JC$4*JC$7)))),IF(OR($F67=3,$G67=2),IF(OR(AND(JA$4&gt;=$AD$119,$C67=2),AND(JA$4&gt;=$AF$119,$C67=1)),0,IF(JE67&lt;=60,JK67,60/JC$4*JC$7)),IF(AND($F67=2,$G67=1),JK67,0)))))</f>
        <v>0</v>
      </c>
      <c r="JN67" s="57" t="str">
        <f t="shared" si="106"/>
        <v/>
      </c>
      <c r="JO67" s="57" t="str">
        <f t="shared" si="428"/>
        <v/>
      </c>
      <c r="JP67" s="713">
        <f>'org. Düngung 22'!BX66</f>
        <v>0</v>
      </c>
      <c r="JQ67" s="57"/>
      <c r="JR67" s="57"/>
      <c r="JS67" s="57">
        <f t="shared" si="108"/>
        <v>0</v>
      </c>
      <c r="JT67" s="57">
        <f t="shared" si="278"/>
        <v>0</v>
      </c>
      <c r="JU67" s="57">
        <f t="shared" si="279"/>
        <v>0</v>
      </c>
      <c r="JV67" s="57">
        <f t="shared" si="280"/>
        <v>0</v>
      </c>
      <c r="JW67" s="57">
        <f t="shared" si="281"/>
        <v>0</v>
      </c>
      <c r="JX67" s="1029">
        <f t="shared" si="429"/>
        <v>0</v>
      </c>
      <c r="JY67" s="57">
        <f t="shared" si="430"/>
        <v>0</v>
      </c>
      <c r="JZ67" s="171" t="str">
        <f t="shared" si="431"/>
        <v/>
      </c>
      <c r="KA67" s="57">
        <f t="shared" si="282"/>
        <v>0</v>
      </c>
      <c r="KB67" s="57">
        <f>IF(OR(AND(JP$6=1,$L67=0),AND(JP$6=2,$K67=2,$G67=1)),0,IF(AND(JR$9=2,(OR($F67&gt;1,$K67=1,AND($L67=80,OR($N67=1,AND($N67=2,'#BerechnungDBE'!$AL58&gt;0)))))),IF(JP$4&gt;=$AD$126,0,JZ67),IF(JR$9=3,IF(OR(JP$4&gt;=$AD$127,AND($G67=1,$J67=2,JP$6=2),AND(JP$6=1,$N67&lt;&gt;1)),0,IF(JT67&lt;=120,JZ67,IF(JP$4&lt;$AD$124,IF($F67=1,60/JR$4*JR$6,60/JR$4*JR$7),IF($F67=1,120/JR$4*JR$6,120/JR$4*JR$7)))),IF(OR($F67=3,$G67=2),IF(OR(AND(JP$4&gt;=$AD$119,$C67=2),AND(JP$4&gt;=$AF$119,$C67=1)),0,IF(JT67&lt;=60,JZ67,60/JR$4*JR$7)),IF(AND($F67=2,$G67=1),JZ67,0)))))</f>
        <v>0</v>
      </c>
      <c r="KC67" s="57" t="str">
        <f t="shared" si="112"/>
        <v/>
      </c>
      <c r="KD67" s="57" t="str">
        <f t="shared" si="432"/>
        <v/>
      </c>
      <c r="KE67" s="713">
        <f>'org. Düngung 22'!CB66</f>
        <v>0</v>
      </c>
      <c r="KF67" s="57"/>
      <c r="KG67" s="57"/>
      <c r="KH67" s="57">
        <f t="shared" si="114"/>
        <v>0</v>
      </c>
      <c r="KI67" s="57">
        <f t="shared" si="283"/>
        <v>0</v>
      </c>
      <c r="KJ67" s="57">
        <f t="shared" si="284"/>
        <v>0</v>
      </c>
      <c r="KK67" s="57">
        <f t="shared" si="285"/>
        <v>0</v>
      </c>
      <c r="KL67" s="57">
        <f t="shared" si="286"/>
        <v>0</v>
      </c>
      <c r="KM67" s="1029">
        <f t="shared" si="433"/>
        <v>0</v>
      </c>
      <c r="KN67" s="57">
        <f t="shared" si="434"/>
        <v>0</v>
      </c>
      <c r="KO67" s="171" t="str">
        <f t="shared" si="435"/>
        <v/>
      </c>
      <c r="KP67" s="57">
        <f t="shared" si="287"/>
        <v>0</v>
      </c>
      <c r="KQ67" s="57">
        <f>IF(OR(AND(KE$6=1,$L67=0),AND(KE$6=2,$K67=2,$G67=1)),0,IF(AND(KG$9=2,(OR($F67&gt;1,$K67=1,AND($L67=80,OR($N67=1,AND($N67=2,'#BerechnungDBE'!$AL58&gt;0)))))),IF(KE$4&gt;=$AD$126,0,KO67),IF(KG$9=3,IF(OR(KE$4&gt;=$AD$127,AND($G67=1,$J67=2,KE$6=2),AND(KE$6=1,$N67&lt;&gt;1)),0,IF(KI67&lt;=120,KO67,IF(KE$4&lt;$AD$124,IF($F67=1,60/KG$4*KG$6,60/KG$4*KG$7),IF($F67=1,120/KG$4*KG$6,120/KG$4*KG$7)))),IF(OR($F67=3,$G67=2),IF(OR(AND(KE$4&gt;=$AD$119,$C67=2),AND(KE$4&gt;=$AF$119,$C67=1)),0,IF(KI67&lt;=60,KO67,60/KG$4*KG$7)),IF(AND($F67=2,$G67=1),KO67,0)))))</f>
        <v>0</v>
      </c>
      <c r="KR67" s="57" t="str">
        <f t="shared" si="118"/>
        <v/>
      </c>
      <c r="KS67" s="57" t="str">
        <f t="shared" si="436"/>
        <v/>
      </c>
      <c r="KT67" s="713">
        <f>'org. Düngung 22'!CF66</f>
        <v>0</v>
      </c>
      <c r="KU67" s="57"/>
      <c r="KV67" s="57"/>
      <c r="KW67" s="57">
        <f t="shared" si="120"/>
        <v>0</v>
      </c>
      <c r="KX67" s="57">
        <f t="shared" si="288"/>
        <v>0</v>
      </c>
      <c r="KY67" s="57">
        <f t="shared" si="289"/>
        <v>0</v>
      </c>
      <c r="KZ67" s="57">
        <f t="shared" si="290"/>
        <v>0</v>
      </c>
      <c r="LA67" s="57">
        <f t="shared" si="291"/>
        <v>0</v>
      </c>
      <c r="LB67" s="1029">
        <f t="shared" si="437"/>
        <v>0</v>
      </c>
      <c r="LC67" s="57">
        <f t="shared" si="438"/>
        <v>0</v>
      </c>
      <c r="LD67" s="171" t="str">
        <f t="shared" si="439"/>
        <v/>
      </c>
      <c r="LE67" s="57">
        <f t="shared" si="292"/>
        <v>0</v>
      </c>
      <c r="LF67" s="57">
        <f>IF(OR(AND(KT$6=1,$L67=0),AND(KT$6=2,$K67=2,$G67=1)),0,IF(AND(KV$9=2,(OR($F67&gt;1,$K67=1,AND($L67=80,OR($N67=1,AND($N67=2,'#BerechnungDBE'!$AL58&gt;0)))))),IF(KT$4&gt;=$AD$126,0,LD67),IF(KV$9=3,IF(OR(KT$4&gt;=$AD$127,AND($G67=1,$J67=2,KT$6=2),AND(KT$6=1,$N67&lt;&gt;1)),0,IF(KX67&lt;=120,LD67,IF(KT$4&lt;$AD$124,IF($F67=1,60/KV$4*KV$6,60/KV$4*KV$7),IF($F67=1,120/KV$4*KV$6,120/KV$4*KV$7)))),IF(OR($F67=3,$G67=2),IF(OR(AND(KT$4&gt;=$AD$119,$C67=2),AND(KT$4&gt;=$AF$119,$C67=1)),0,IF(KX67&lt;=60,LD67,60/KV$4*KV$7)),IF(AND($F67=2,$G67=1),LD67,0)))))</f>
        <v>0</v>
      </c>
      <c r="LG67" s="57" t="str">
        <f t="shared" si="124"/>
        <v/>
      </c>
      <c r="LH67" s="57" t="str">
        <f t="shared" si="440"/>
        <v/>
      </c>
      <c r="LI67" s="713">
        <f>'org. Düngung 22'!CJ66</f>
        <v>0</v>
      </c>
      <c r="LJ67" s="57"/>
      <c r="LK67" s="57"/>
      <c r="LL67" s="57">
        <f t="shared" si="126"/>
        <v>0</v>
      </c>
      <c r="LM67" s="57">
        <f t="shared" si="293"/>
        <v>0</v>
      </c>
      <c r="LN67" s="57">
        <f t="shared" si="294"/>
        <v>0</v>
      </c>
      <c r="LO67" s="57">
        <f t="shared" si="295"/>
        <v>0</v>
      </c>
      <c r="LP67" s="57">
        <f t="shared" si="296"/>
        <v>0</v>
      </c>
      <c r="LQ67" s="1029">
        <f t="shared" si="441"/>
        <v>0</v>
      </c>
      <c r="LR67" s="57">
        <f t="shared" si="442"/>
        <v>0</v>
      </c>
      <c r="LS67" s="171" t="str">
        <f t="shared" si="443"/>
        <v/>
      </c>
      <c r="LT67" s="57">
        <f t="shared" si="297"/>
        <v>0</v>
      </c>
      <c r="LU67" s="57">
        <f>IF(OR(AND(LI$6=1,$L67=0),AND(LI$6=2,$K67=2,$G67=1)),0,IF(AND(LK$9=2,(OR($F67&gt;1,$K67=1,AND($L67=80,OR($N67=1,AND($N67=2,'#BerechnungDBE'!$AL58&gt;0)))))),IF(LI$4&gt;=$AD$126,0,LS67),IF(LK$9=3,IF(OR(LI$4&gt;=$AD$127,AND($G67=1,$J67=2,LI$6=2),AND(LI$6=1,$N67&lt;&gt;1)),0,IF(LM67&lt;=120,LS67,IF(LI$4&lt;$AD$124,IF($F67=1,60/LK$4*LK$6,60/LK$4*LK$7),IF($F67=1,120/LK$4*LK$6,120/LK$4*LK$7)))),IF(OR($F67=3,$G67=2),IF(OR(AND(LI$4&gt;=$AD$119,$C67=2),AND(LI$4&gt;=$AF$119,$C67=1)),0,IF(LM67&lt;=60,LS67,60/LK$4*LK$7)),IF(AND($F67=2,$G67=1),LS67,0)))))</f>
        <v>0</v>
      </c>
      <c r="LV67" s="57" t="str">
        <f t="shared" si="130"/>
        <v/>
      </c>
      <c r="LW67" s="57" t="str">
        <f t="shared" si="444"/>
        <v/>
      </c>
      <c r="LX67" s="713">
        <f>'org. Düngung 22'!CN66</f>
        <v>0</v>
      </c>
      <c r="LY67" s="57"/>
      <c r="LZ67" s="57"/>
      <c r="MA67" s="57">
        <f t="shared" si="132"/>
        <v>0</v>
      </c>
      <c r="MB67" s="57">
        <f t="shared" si="298"/>
        <v>0</v>
      </c>
      <c r="MC67" s="57">
        <f t="shared" si="299"/>
        <v>0</v>
      </c>
      <c r="MD67" s="57">
        <f t="shared" si="300"/>
        <v>0</v>
      </c>
      <c r="ME67" s="57">
        <f t="shared" si="301"/>
        <v>0</v>
      </c>
      <c r="MF67" s="1029">
        <f t="shared" si="445"/>
        <v>0</v>
      </c>
      <c r="MG67" s="57">
        <f t="shared" si="446"/>
        <v>0</v>
      </c>
      <c r="MH67" s="171" t="str">
        <f t="shared" si="447"/>
        <v/>
      </c>
      <c r="MI67" s="57">
        <f t="shared" si="302"/>
        <v>0</v>
      </c>
      <c r="MJ67" s="57">
        <f>IF(OR(AND(LX$6=1,$L67=0),AND(LX$6=2,$K67=2,$G67=1)),0,IF(AND(LZ$9=2,(OR($F67&gt;1,$K67=1,AND($L67=80,OR($N67=1,AND($N67=2,'#BerechnungDBE'!$AL58&gt;0)))))),IF(LX$4&gt;=$AD$126,0,MH67),IF(LZ$9=3,IF(OR(LX$4&gt;=$AD$127,AND($G67=1,$J67=2,LX$6=2),AND(LX$6=1,$N67&lt;&gt;1)),0,IF(MB67&lt;=120,MH67,IF(LX$4&lt;$AD$124,IF($F67=1,60/LZ$4*LZ$6,60/LZ$4*LZ$7),IF($F67=1,120/LZ$4*LZ$6,120/LZ$4*LZ$7)))),IF(OR($F67=3,$G67=2),IF(OR(AND(LX$4&gt;=$AD$119,$C67=2),AND(LX$4&gt;=$AF$119,$C67=1)),0,IF(MB67&lt;=60,MH67,60/LZ$4*LZ$7)),IF(AND($F67=2,$G67=1),MH67,0)))))</f>
        <v>0</v>
      </c>
      <c r="MK67" s="57" t="str">
        <f t="shared" si="136"/>
        <v/>
      </c>
      <c r="ML67" s="57" t="str">
        <f t="shared" si="448"/>
        <v/>
      </c>
      <c r="MM67" s="713">
        <f>'org. Düngung 22'!CR66</f>
        <v>0</v>
      </c>
      <c r="MN67" s="57"/>
      <c r="MO67" s="57"/>
      <c r="MP67" s="57">
        <f t="shared" si="138"/>
        <v>0</v>
      </c>
      <c r="MQ67" s="57">
        <f t="shared" si="303"/>
        <v>0</v>
      </c>
      <c r="MR67" s="57">
        <f t="shared" si="304"/>
        <v>0</v>
      </c>
      <c r="MS67" s="57">
        <f t="shared" si="305"/>
        <v>0</v>
      </c>
      <c r="MT67" s="57">
        <f t="shared" si="306"/>
        <v>0</v>
      </c>
      <c r="MU67" s="1029">
        <f t="shared" si="449"/>
        <v>0</v>
      </c>
      <c r="MV67" s="57">
        <f t="shared" si="450"/>
        <v>0</v>
      </c>
      <c r="MW67" s="171" t="str">
        <f t="shared" si="451"/>
        <v/>
      </c>
      <c r="MX67" s="57">
        <f t="shared" si="307"/>
        <v>0</v>
      </c>
      <c r="MY67" s="57">
        <f>IF(OR(AND(MM$6=1,$L67=0),AND(MM$6=2,$K67=2,$G67=1)),0,IF(AND(MO$9=2,(OR($F67&gt;1,$K67=1,AND($L67=80,OR($N67=1,AND($N67=2,'#BerechnungDBE'!$AL58&gt;0)))))),IF(MM$4&gt;=$AD$126,0,MW67),IF(MO$9=3,IF(OR(MM$4&gt;=$AD$127,AND($G67=1,$J67=2,MM$6=2),AND(MM$6=1,$N67&lt;&gt;1)),0,IF(MQ67&lt;=120,MW67,IF(MM$4&lt;$AD$124,IF($F67=1,60/MO$4*MO$6,60/MO$4*MO$7),IF($F67=1,120/MO$4*MO$6,120/MO$4*MO$7)))),IF(OR($F67=3,$G67=2),IF(OR(AND(MM$4&gt;=$AD$119,$C67=2),AND(MM$4&gt;=$AF$119,$C67=1)),0,IF(MQ67&lt;=60,MW67,60/MO$4*MO$7)),IF(AND($F67=2,$G67=1),MW67,0)))))</f>
        <v>0</v>
      </c>
      <c r="MZ67" s="57" t="str">
        <f t="shared" si="142"/>
        <v/>
      </c>
      <c r="NA67" s="57" t="str">
        <f t="shared" si="452"/>
        <v/>
      </c>
      <c r="NB67" s="713">
        <f>'org. Düngung 22'!CV66</f>
        <v>0</v>
      </c>
      <c r="NC67" s="57"/>
      <c r="ND67" s="57"/>
      <c r="NE67" s="57">
        <f t="shared" si="144"/>
        <v>0</v>
      </c>
      <c r="NF67" s="57">
        <f t="shared" si="308"/>
        <v>0</v>
      </c>
      <c r="NG67" s="57">
        <f t="shared" si="309"/>
        <v>0</v>
      </c>
      <c r="NH67" s="57">
        <f t="shared" si="310"/>
        <v>0</v>
      </c>
      <c r="NI67" s="57">
        <f t="shared" si="311"/>
        <v>0</v>
      </c>
      <c r="NJ67" s="1029">
        <f t="shared" si="453"/>
        <v>0</v>
      </c>
      <c r="NK67" s="57">
        <f t="shared" si="454"/>
        <v>0</v>
      </c>
      <c r="NL67" s="171" t="str">
        <f t="shared" si="455"/>
        <v/>
      </c>
      <c r="NM67" s="57">
        <f t="shared" si="312"/>
        <v>0</v>
      </c>
      <c r="NN67" s="57">
        <f>IF(OR(AND(NB$6=1,$L67=0),AND(NB$6=2,$K67=2,$G67=1)),0,IF(AND(ND$9=2,(OR($F67&gt;1,$K67=1,AND($L67=80,OR($N67=1,AND($N67=2,'#BerechnungDBE'!$AL58&gt;0)))))),IF(NB$4&gt;=$AD$126,0,NL67),IF(ND$9=3,IF(OR(NB$4&gt;=$AD$127,AND($G67=1,$J67=2,NB$6=2),AND(NB$6=1,$N67&lt;&gt;1)),0,IF(NF67&lt;=120,NL67,IF(NB$4&lt;$AD$124,IF($F67=1,60/ND$4*ND$6,60/ND$4*ND$7),IF($F67=1,120/ND$4*ND$6,120/ND$4*ND$7)))),IF(OR($F67=3,$G67=2),IF(OR(AND(NB$4&gt;=$AD$119,$C67=2),AND(NB$4&gt;=$AF$119,$C67=1)),0,IF(NF67&lt;=60,NL67,60/ND$4*ND$7)),IF(AND($F67=2,$G67=1),NL67,0)))))</f>
        <v>0</v>
      </c>
      <c r="NO67" s="57" t="str">
        <f t="shared" si="148"/>
        <v/>
      </c>
      <c r="NP67" s="57" t="str">
        <f t="shared" si="456"/>
        <v/>
      </c>
      <c r="NQ67" s="713">
        <f>'org. Düngung 22'!CZ66</f>
        <v>0</v>
      </c>
      <c r="NR67" s="57"/>
      <c r="NS67" s="57"/>
      <c r="NT67" s="57">
        <f t="shared" si="150"/>
        <v>0</v>
      </c>
      <c r="NU67" s="57">
        <f t="shared" si="313"/>
        <v>0</v>
      </c>
      <c r="NV67" s="57">
        <f t="shared" si="314"/>
        <v>0</v>
      </c>
      <c r="NW67" s="57">
        <f t="shared" si="315"/>
        <v>0</v>
      </c>
      <c r="NX67" s="57">
        <f t="shared" si="316"/>
        <v>0</v>
      </c>
      <c r="NY67" s="1029">
        <f t="shared" si="457"/>
        <v>0</v>
      </c>
      <c r="NZ67" s="57">
        <f t="shared" si="458"/>
        <v>0</v>
      </c>
      <c r="OA67" s="171" t="str">
        <f t="shared" si="459"/>
        <v/>
      </c>
      <c r="OB67" s="57">
        <f t="shared" si="317"/>
        <v>0</v>
      </c>
      <c r="OC67" s="57">
        <f>IF(OR(AND(NQ$6=1,$L67=0),AND(NQ$6=2,$K67=2,$G67=1)),0,IF(AND(NS$9=2,(OR($F67&gt;1,$K67=1,AND($L67=80,OR($N67=1,AND($N67=2,'#BerechnungDBE'!$AL58&gt;0)))))),IF(NQ$4&gt;=$AD$126,0,OA67),IF(NS$9=3,IF(OR(NQ$4&gt;=$AD$127,AND($G67=1,$J67=2,NQ$6=2),AND(NQ$6=1,$N67&lt;&gt;1)),0,IF(NU67&lt;=120,OA67,IF(NQ$4&lt;$AD$124,IF($F67=1,60/NS$4*NS$6,60/NS$4*NS$7),IF($F67=1,120/NS$4*NS$6,120/NS$4*NS$7)))),IF(OR($F67=3,$G67=2),IF(OR(AND(NQ$4&gt;=$AD$119,$C67=2),AND(NQ$4&gt;=$AF$119,$C67=1)),0,IF(NU67&lt;=60,OA67,60/NS$4*NS$7)),IF(AND($F67=2,$G67=1),OA67,0)))))</f>
        <v>0</v>
      </c>
      <c r="OD67" s="57" t="str">
        <f t="shared" si="154"/>
        <v/>
      </c>
      <c r="OE67" s="57" t="str">
        <f t="shared" si="460"/>
        <v/>
      </c>
      <c r="OF67" s="713">
        <f>'org. Düngung 22'!DD66</f>
        <v>0</v>
      </c>
      <c r="OG67" s="57"/>
      <c r="OH67" s="57"/>
      <c r="OI67" s="57">
        <f t="shared" si="156"/>
        <v>0</v>
      </c>
      <c r="OJ67" s="57">
        <f t="shared" si="318"/>
        <v>0</v>
      </c>
      <c r="OK67" s="57">
        <f t="shared" si="319"/>
        <v>0</v>
      </c>
      <c r="OL67" s="57">
        <f t="shared" si="320"/>
        <v>0</v>
      </c>
      <c r="OM67" s="57">
        <f t="shared" si="321"/>
        <v>0</v>
      </c>
      <c r="ON67" s="1029">
        <f t="shared" si="461"/>
        <v>0</v>
      </c>
      <c r="OO67" s="57">
        <f t="shared" si="462"/>
        <v>0</v>
      </c>
      <c r="OP67" s="171" t="str">
        <f t="shared" si="463"/>
        <v/>
      </c>
      <c r="OQ67" s="57">
        <f t="shared" si="322"/>
        <v>0</v>
      </c>
      <c r="OR67" s="57">
        <f>IF(OR(AND(OF$6=1,$L67=0),AND(OF$6=2,$K67=2,$G67=1)),0,IF(AND(OH$9=2,(OR($F67&gt;1,$K67=1,AND($L67=80,OR($N67=1,AND($N67=2,'#BerechnungDBE'!$AL58&gt;0)))))),IF(OF$4&gt;=$AD$126,0,OP67),IF(OH$9=3,IF(OR(OF$4&gt;=$AD$127,AND($G67=1,$J67=2,OF$6=2),AND(OF$6=1,$N67&lt;&gt;1)),0,IF(OJ67&lt;=120,OP67,IF(OF$4&lt;$AD$124,IF($F67=1,60/OH$4*OH$6,60/OH$4*OH$7),IF($F67=1,120/OH$4*OH$6,120/OH$4*OH$7)))),IF(OR($F67=3,$G67=2),IF(OR(AND(OF$4&gt;=$AD$119,$C67=2),AND(OF$4&gt;=$AF$119,$C67=1)),0,IF(OJ67&lt;=60,OP67,60/OH$4*OH$7)),IF(AND($F67=2,$G67=1),OP67,0)))))</f>
        <v>0</v>
      </c>
      <c r="OS67" s="57" t="str">
        <f t="shared" si="160"/>
        <v/>
      </c>
      <c r="OT67" s="57" t="str">
        <f t="shared" si="464"/>
        <v/>
      </c>
      <c r="OU67" s="713">
        <f>'org. Düngung 22'!DH66</f>
        <v>0</v>
      </c>
      <c r="OV67" s="57"/>
      <c r="OW67" s="57"/>
      <c r="OX67" s="57">
        <f t="shared" si="162"/>
        <v>0</v>
      </c>
      <c r="OY67" s="57">
        <f t="shared" si="323"/>
        <v>0</v>
      </c>
      <c r="OZ67" s="57">
        <f t="shared" si="324"/>
        <v>0</v>
      </c>
      <c r="PA67" s="57">
        <f t="shared" si="325"/>
        <v>0</v>
      </c>
      <c r="PB67" s="57">
        <f t="shared" si="326"/>
        <v>0</v>
      </c>
      <c r="PC67" s="1029">
        <f t="shared" si="465"/>
        <v>0</v>
      </c>
      <c r="PD67" s="57">
        <f t="shared" si="466"/>
        <v>0</v>
      </c>
      <c r="PE67" s="171" t="str">
        <f t="shared" si="467"/>
        <v/>
      </c>
      <c r="PF67" s="57">
        <f t="shared" si="327"/>
        <v>0</v>
      </c>
      <c r="PG67" s="57">
        <f>IF(OR(AND(OU$6=1,$L67=0),AND(OU$6=2,$K67=2,$G67=1)),0,IF(AND(OW$9=2,(OR($F67&gt;1,$K67=1,AND($L67=80,OR($N67=1,AND($N67=2,'#BerechnungDBE'!$AL58&gt;0)))))),IF(OU$4&gt;=$AD$126,0,PE67),IF(OW$9=3,IF(OR(OU$4&gt;=$AD$127,AND($G67=1,$J67=2,OU$6=2),AND(OU$6=1,$N67&lt;&gt;1)),0,IF(OY67&lt;=120,PE67,IF(OU$4&lt;$AD$124,IF($F67=1,60/OW$4*OW$6,60/OW$4*OW$7),IF($F67=1,120/OW$4*OW$6,120/OW$4*OW$7)))),IF(OR($F67=3,$G67=2),IF(OR(AND(OU$4&gt;=$AD$119,$C67=2),AND(OU$4&gt;=$AF$119,$C67=1)),0,IF(OY67&lt;=60,PE67,60/OW$4*OW$7)),IF(AND($F67=2,$G67=1),PE67,0)))))</f>
        <v>0</v>
      </c>
      <c r="PH67" s="57" t="str">
        <f t="shared" si="166"/>
        <v/>
      </c>
      <c r="PI67" s="57" t="str">
        <f t="shared" si="468"/>
        <v/>
      </c>
      <c r="PJ67" s="713">
        <f>'org. Düngung 22'!DL66</f>
        <v>0</v>
      </c>
      <c r="PK67" s="57"/>
      <c r="PL67" s="57"/>
      <c r="PM67" s="57">
        <f t="shared" si="168"/>
        <v>0</v>
      </c>
      <c r="PN67" s="57">
        <f t="shared" si="328"/>
        <v>0</v>
      </c>
      <c r="PO67" s="57">
        <f t="shared" si="329"/>
        <v>0</v>
      </c>
      <c r="PP67" s="57">
        <f t="shared" si="330"/>
        <v>0</v>
      </c>
      <c r="PQ67" s="57">
        <f t="shared" si="331"/>
        <v>0</v>
      </c>
      <c r="PR67" s="1029">
        <f t="shared" si="469"/>
        <v>0</v>
      </c>
      <c r="PS67" s="57">
        <f t="shared" si="470"/>
        <v>0</v>
      </c>
      <c r="PT67" s="171" t="str">
        <f t="shared" si="471"/>
        <v/>
      </c>
      <c r="PU67" s="57">
        <f t="shared" si="332"/>
        <v>0</v>
      </c>
      <c r="PV67" s="57">
        <f>IF(OR(AND(PJ$6=1,$L67=0),AND(PJ$6=2,$K67=2,$G67=1)),0,IF(AND(PL$9=2,(OR($F67&gt;1,$K67=1,AND($L67=80,OR($N67=1,AND($N67=2,'#BerechnungDBE'!$AL58&gt;0)))))),IF(PJ$4&gt;=$AD$126,0,PT67),IF(PL$9=3,IF(OR(PJ$4&gt;=$AD$127,AND($G67=1,$J67=2,PJ$6=2),AND(PJ$6=1,$N67&lt;&gt;1)),0,IF(PN67&lt;=120,PT67,IF(PJ$4&lt;$AD$124,IF($F67=1,60/PL$4*PL$6,60/PL$4*PL$7),IF($F67=1,120/PL$4*PL$6,120/PL$4*PL$7)))),IF(OR($F67=3,$G67=2),IF(OR(AND(PJ$4&gt;=$AD$119,$C67=2),AND(PJ$4&gt;=$AF$119,$C67=1)),0,IF(PN67&lt;=60,PT67,60/PL$4*PL$7)),IF(AND($F67=2,$G67=1),PT67,0)))))</f>
        <v>0</v>
      </c>
      <c r="PW67" s="57" t="str">
        <f t="shared" si="172"/>
        <v/>
      </c>
      <c r="PX67" s="57" t="str">
        <f t="shared" si="472"/>
        <v/>
      </c>
      <c r="PY67" s="713">
        <f>'org. Düngung 22'!DP66</f>
        <v>0</v>
      </c>
      <c r="PZ67" s="57"/>
      <c r="QA67" s="57"/>
      <c r="QB67" s="57">
        <f t="shared" si="174"/>
        <v>0</v>
      </c>
      <c r="QC67" s="57">
        <f t="shared" si="333"/>
        <v>0</v>
      </c>
      <c r="QD67" s="57">
        <f t="shared" si="334"/>
        <v>0</v>
      </c>
      <c r="QE67" s="57">
        <f t="shared" si="335"/>
        <v>0</v>
      </c>
      <c r="QF67" s="57">
        <f t="shared" si="336"/>
        <v>0</v>
      </c>
      <c r="QG67" s="1029">
        <f t="shared" si="473"/>
        <v>0</v>
      </c>
      <c r="QH67" s="57">
        <f t="shared" si="474"/>
        <v>0</v>
      </c>
      <c r="QI67" s="171" t="str">
        <f t="shared" si="475"/>
        <v/>
      </c>
      <c r="QJ67" s="57">
        <f t="shared" si="337"/>
        <v>0</v>
      </c>
      <c r="QK67" s="57">
        <f>IF(OR(AND(PY$6=1,$L67=0),AND(PY$6=2,$K67=2,$G67=1)),0,IF(AND(QA$9=2,(OR($F67&gt;1,$K67=1,AND($L67=80,OR($N67=1,AND($N67=2,'#BerechnungDBE'!$AL58&gt;0)))))),IF(PY$4&gt;=$AD$126,0,QI67),IF(QA$9=3,IF(OR(PY$4&gt;=$AD$127,AND($G67=1,$J67=2,PY$6=2),AND(PY$6=1,$N67&lt;&gt;1)),0,IF(QC67&lt;=120,QI67,IF(PY$4&lt;$AD$124,IF($F67=1,60/QA$4*QA$6,60/QA$4*QA$7),IF($F67=1,120/QA$4*QA$6,120/QA$4*QA$7)))),IF(OR($F67=3,$G67=2),IF(OR(AND(PY$4&gt;=$AD$119,$C67=2),AND(PY$4&gt;=$AF$119,$C67=1)),0,IF(QC67&lt;=60,QI67,60/QA$4*QA$7)),IF(AND($F67=2,$G67=1),QI67,0)))))</f>
        <v>0</v>
      </c>
      <c r="QL67" s="57" t="str">
        <f t="shared" si="178"/>
        <v/>
      </c>
      <c r="QM67" s="57" t="str">
        <f t="shared" si="476"/>
        <v/>
      </c>
      <c r="QN67" s="713">
        <f>'org. Düngung 22'!DT66</f>
        <v>0</v>
      </c>
      <c r="QO67" s="57"/>
      <c r="QP67" s="57"/>
      <c r="QQ67" s="57">
        <f t="shared" si="180"/>
        <v>0</v>
      </c>
      <c r="QR67" s="57">
        <f t="shared" si="338"/>
        <v>0</v>
      </c>
      <c r="QS67" s="57">
        <f t="shared" si="339"/>
        <v>0</v>
      </c>
      <c r="QT67" s="57">
        <f t="shared" si="340"/>
        <v>0</v>
      </c>
      <c r="QU67" s="57">
        <f t="shared" si="341"/>
        <v>0</v>
      </c>
      <c r="QV67" s="1029">
        <f t="shared" si="477"/>
        <v>0</v>
      </c>
      <c r="QW67" s="57">
        <f t="shared" si="478"/>
        <v>0</v>
      </c>
      <c r="QX67" s="171" t="str">
        <f t="shared" si="479"/>
        <v/>
      </c>
      <c r="QY67" s="57">
        <f t="shared" si="342"/>
        <v>0</v>
      </c>
      <c r="QZ67" s="57">
        <f>IF(OR(AND(QN$6=1,$L67=0),AND(QN$6=2,$K67=2,$G67=1)),0,IF(AND(QP$9=2,(OR($F67&gt;1,$K67=1,AND($L67=80,OR($N67=1,AND($N67=2,'#BerechnungDBE'!$AL58&gt;0)))))),IF(QN$4&gt;=$AD$126,0,QX67),IF(QP$9=3,IF(OR(QN$4&gt;=$AD$127,AND($G67=1,$J67=2,QN$6=2),AND(QN$6=1,$N67&lt;&gt;1)),0,IF(QR67&lt;=120,QX67,IF(QN$4&lt;$AD$124,IF($F67=1,60/QP$4*QP$6,60/QP$4*QP$7),IF($F67=1,120/QP$4*QP$6,120/QP$4*QP$7)))),IF(OR($F67=3,$G67=2),IF(OR(AND(QN$4&gt;=$AD$119,$C67=2),AND(QN$4&gt;=$AF$119,$C67=1)),0,IF(QR67&lt;=60,QX67,60/QP$4*QP$7)),IF(AND($F67=2,$G67=1),QX67,0)))))</f>
        <v>0</v>
      </c>
      <c r="RA67" s="57" t="str">
        <f t="shared" si="184"/>
        <v/>
      </c>
      <c r="RB67" s="57" t="str">
        <f t="shared" si="480"/>
        <v/>
      </c>
      <c r="RC67" s="713">
        <f>'org. Düngung 22'!DX66</f>
        <v>0</v>
      </c>
      <c r="RD67" s="57"/>
      <c r="RE67" s="57"/>
      <c r="RF67" s="57">
        <f t="shared" si="186"/>
        <v>0</v>
      </c>
      <c r="RG67" s="57">
        <f t="shared" si="343"/>
        <v>0</v>
      </c>
      <c r="RH67" s="57">
        <f t="shared" si="344"/>
        <v>0</v>
      </c>
      <c r="RI67" s="57">
        <f t="shared" si="345"/>
        <v>0</v>
      </c>
      <c r="RJ67" s="57">
        <f t="shared" si="346"/>
        <v>0</v>
      </c>
      <c r="RK67" s="1029">
        <f t="shared" si="481"/>
        <v>0</v>
      </c>
      <c r="RL67" s="57">
        <f t="shared" si="482"/>
        <v>0</v>
      </c>
      <c r="RM67" s="171" t="str">
        <f t="shared" si="483"/>
        <v/>
      </c>
      <c r="RN67" s="57">
        <f t="shared" si="347"/>
        <v>0</v>
      </c>
      <c r="RO67" s="57">
        <f>IF(OR(AND(RC$6=1,$L67=0),AND(RC$6=2,$K67=2,$G67=1)),0,IF(AND(RE$9=2,(OR($F67&gt;1,$K67=1,AND($L67=80,OR($N67=1,AND($N67=2,'#BerechnungDBE'!$AL58&gt;0)))))),IF(RC$4&gt;=$AD$126,0,RM67),IF(RE$9=3,IF(OR(RC$4&gt;=$AD$127,AND($G67=1,$J67=2,RC$6=2),AND(RC$6=1,$N67&lt;&gt;1)),0,IF(RG67&lt;=120,RM67,IF(RC$4&lt;$AD$124,IF($F67=1,60/RE$4*RE$6,60/RE$4*RE$7),IF($F67=1,120/RE$4*RE$6,120/RE$4*RE$7)))),IF(OR($F67=3,$G67=2),IF(OR(AND(RC$4&gt;=$AD$119,$C67=2),AND(RC$4&gt;=$AF$119,$C67=1)),0,IF(RG67&lt;=60,RM67,60/RE$4*RE$7)),IF(AND($F67=2,$G67=1),RM67,0)))))</f>
        <v>0</v>
      </c>
      <c r="RP67" s="57" t="str">
        <f t="shared" si="190"/>
        <v/>
      </c>
      <c r="RQ67" s="57" t="str">
        <f t="shared" si="484"/>
        <v/>
      </c>
      <c r="RS67" s="57" t="str">
        <f t="shared" si="488"/>
        <v/>
      </c>
      <c r="RT67" s="57" t="str">
        <f t="shared" si="485"/>
        <v/>
      </c>
      <c r="RU67" s="57" t="str">
        <f t="shared" si="486"/>
        <v/>
      </c>
      <c r="RV67" s="57" t="str">
        <f>IF(Z67&gt;'#BerechnungDBE'!BM58,$RV$9,"")</f>
        <v/>
      </c>
      <c r="RW67" s="57" t="str">
        <f>IF(AND(L67=70,AE67&gt;'#BerechnungDBE'!CQ58),$RW$9,"")</f>
        <v/>
      </c>
      <c r="RX67" s="57" t="str">
        <f>IF(OR('org. Düngung 22'!G66="--",'org. Düngung 22'!G66&lt;=170,'org. Düngung 22'!G66=""),"",$RX$9)</f>
        <v/>
      </c>
      <c r="RY67" s="57" t="str">
        <f>IF('org. Düngung 22'!K66&gt;120,'#orgDung'!$RY$9,"")</f>
        <v/>
      </c>
      <c r="RZ67" s="57" t="str">
        <f>IF('#BerechnungDBE'!P58&lt;4,"",IF(AND('#BerechnungDBE'!BZ58&gt;0,T67&gt;0),'#orgDung'!$RZ$9,""))</f>
        <v/>
      </c>
      <c r="SA67" s="57" t="str">
        <f t="shared" si="487"/>
        <v/>
      </c>
    </row>
    <row r="68" spans="1:495" s="875" customFormat="1" x14ac:dyDescent="0.2">
      <c r="A68" s="875">
        <f>'Flächen u. Kulturen'!A64</f>
        <v>55</v>
      </c>
      <c r="B68" s="367">
        <f>'#BerechnungDBE'!L59</f>
        <v>0</v>
      </c>
      <c r="C68" s="875">
        <f>'#BerechnungDBE'!R59</f>
        <v>1</v>
      </c>
      <c r="D68" s="875">
        <f>'#BerechnungDBE'!T59</f>
        <v>2</v>
      </c>
      <c r="E68" s="875" t="str">
        <f>'Flächen u. Kulturen'!E64</f>
        <v>x</v>
      </c>
      <c r="F68" s="52">
        <f>'#BerechnungDBE'!N59</f>
        <v>1</v>
      </c>
      <c r="G68" s="52">
        <f>'#BerechnungDBE'!O59</f>
        <v>1</v>
      </c>
      <c r="H68" s="875">
        <f>IF('Flächen u. Kulturen'!P64="",0,VLOOKUP('Flächen u. Kulturen'!P64,Kulturen[[HF]:[Berechnungsgruppe]],'#Frucht'!$H$1,FALSE))</f>
        <v>0</v>
      </c>
      <c r="I68" s="875">
        <f>IF('Flächen u. Kulturen'!J64="",0,VLOOKUP('Flächen u. Kulturen'!J64,Kulturen[[HF]:[Berechnungsgruppe]],'#Frucht'!$G$1,FALSE))</f>
        <v>90</v>
      </c>
      <c r="J68" s="505">
        <f t="shared" si="195"/>
        <v>2</v>
      </c>
      <c r="K68" s="505">
        <f>IF('Flächen u. Kulturen'!P64="",0,IF(VLOOKUP('Flächen u. Kulturen'!P64,Kulturen[[HF]:[Saat Winterungen]],'#Frucht'!$P$1,FALSE)&gt;0,1,2))</f>
        <v>2</v>
      </c>
      <c r="L68" s="875">
        <f>'#BerechnungDBE'!AF59</f>
        <v>0</v>
      </c>
      <c r="M68" s="875">
        <f>IF('Flächen u. Kulturen'!L64="",0,VLOOKUP('Flächen u. Kulturen'!L64,Nebenkultur[[Nebenkultur]:[Legum. Zwischenfr.]],'#Zweitfr'!$K$1,FALSE))</f>
        <v>0</v>
      </c>
      <c r="N68" s="875">
        <f>'#BerechnungDBE'!AG59</f>
        <v>0</v>
      </c>
      <c r="P68" s="57">
        <f t="shared" si="353"/>
        <v>0</v>
      </c>
      <c r="Q68" s="57">
        <f t="shared" si="354"/>
        <v>0</v>
      </c>
      <c r="R68" s="875">
        <f t="shared" si="355"/>
        <v>0</v>
      </c>
      <c r="S68" s="938" t="str">
        <f t="shared" si="3"/>
        <v/>
      </c>
      <c r="T68" s="875">
        <f t="shared" si="356"/>
        <v>0</v>
      </c>
      <c r="U68" s="875">
        <f t="shared" si="357"/>
        <v>0</v>
      </c>
      <c r="V68" s="875">
        <f t="shared" si="358"/>
        <v>0</v>
      </c>
      <c r="W68" s="875">
        <f t="shared" si="359"/>
        <v>0</v>
      </c>
      <c r="X68" s="875">
        <f t="shared" si="360"/>
        <v>0</v>
      </c>
      <c r="Y68" s="875">
        <f t="shared" si="349"/>
        <v>0</v>
      </c>
      <c r="Z68" s="875">
        <f t="shared" si="350"/>
        <v>0</v>
      </c>
      <c r="AA68" s="910">
        <f t="shared" si="361"/>
        <v>0</v>
      </c>
      <c r="AB68" s="57">
        <f t="shared" si="351"/>
        <v>0</v>
      </c>
      <c r="AC68" s="875">
        <f t="shared" si="362"/>
        <v>0</v>
      </c>
      <c r="AD68" s="875">
        <f t="shared" si="363"/>
        <v>0</v>
      </c>
      <c r="AE68" s="875">
        <f t="shared" si="364"/>
        <v>0</v>
      </c>
      <c r="AF68" s="875">
        <f t="shared" si="352"/>
        <v>0</v>
      </c>
      <c r="AG68" s="875">
        <f>'org. Düngung 22'!J67</f>
        <v>0</v>
      </c>
      <c r="AH68" s="875">
        <f>'org. Düngung 22'!K67</f>
        <v>0</v>
      </c>
      <c r="AJ68" s="713">
        <f>'org. Düngung 22'!L67</f>
        <v>0</v>
      </c>
      <c r="AK68" s="57"/>
      <c r="AL68" s="57"/>
      <c r="AM68" s="57">
        <f t="shared" si="196"/>
        <v>0</v>
      </c>
      <c r="AN68" s="57">
        <f t="shared" si="197"/>
        <v>0</v>
      </c>
      <c r="AO68" s="57">
        <f t="shared" si="198"/>
        <v>0</v>
      </c>
      <c r="AP68" s="57">
        <f t="shared" si="199"/>
        <v>0</v>
      </c>
      <c r="AQ68" s="57">
        <f t="shared" si="200"/>
        <v>0</v>
      </c>
      <c r="AR68" s="1029">
        <f t="shared" si="365"/>
        <v>0</v>
      </c>
      <c r="AS68" s="57">
        <f t="shared" si="366"/>
        <v>0</v>
      </c>
      <c r="AT68" s="171" t="str">
        <f t="shared" si="367"/>
        <v/>
      </c>
      <c r="AU68" s="57">
        <f t="shared" si="201"/>
        <v>0</v>
      </c>
      <c r="AV68" s="57">
        <f>IF(OR(AND(AJ$6=1,$L68=0),AND(AJ$6=2,$K68=2,$G68=1)),0,IF(AND(AL$9=2,(OR($F68&gt;1,$K68=1,AND($L68=80,OR($N68=1,AND($N68=2,'#BerechnungDBE'!$AL59&gt;0)))))),IF(AJ$4&gt;=$AD$126,0,AT68),IF(AL$9=3,IF(OR(AJ$4&gt;=$AD$127,AND($G68=1,$J68=2,AJ$6=2),AND(AJ$6=1,$N68&lt;&gt;1)),0,IF(AN68&lt;=120,AT68,IF(AJ$4&lt;$AD$124,IF($F68=1,60/AL$4*AL$6,60/AL$4*AL$7),IF($F68=1,120/AL$4*AL$6,120/AL$4*AL$7)))),IF(OR($F68=3,$G68=2),IF(OR(AND(AJ$4&gt;=$AD$119,$C68=2),AND(AJ$4&gt;=$AF$119,$C68=1)),0,IF(AN68&lt;=60,AT68,60/AL$4*AL$7)),IF(AND($F68=2,$G68=1),AT68,0)))))</f>
        <v>0</v>
      </c>
      <c r="AW68" s="57" t="str">
        <f t="shared" si="202"/>
        <v/>
      </c>
      <c r="AX68" s="57" t="str">
        <f t="shared" si="368"/>
        <v/>
      </c>
      <c r="AY68" s="713">
        <f>'org. Düngung 22'!P67</f>
        <v>0</v>
      </c>
      <c r="AZ68" s="57"/>
      <c r="BA68" s="57"/>
      <c r="BB68" s="57">
        <f t="shared" si="18"/>
        <v>0</v>
      </c>
      <c r="BC68" s="57">
        <f t="shared" si="203"/>
        <v>0</v>
      </c>
      <c r="BD68" s="57">
        <f t="shared" si="204"/>
        <v>0</v>
      </c>
      <c r="BE68" s="57">
        <f t="shared" si="205"/>
        <v>0</v>
      </c>
      <c r="BF68" s="57">
        <f t="shared" si="206"/>
        <v>0</v>
      </c>
      <c r="BG68" s="1029">
        <f t="shared" si="369"/>
        <v>0</v>
      </c>
      <c r="BH68" s="57">
        <f t="shared" si="370"/>
        <v>0</v>
      </c>
      <c r="BI68" s="171" t="str">
        <f t="shared" si="371"/>
        <v/>
      </c>
      <c r="BJ68" s="57">
        <f t="shared" si="207"/>
        <v>0</v>
      </c>
      <c r="BK68" s="57">
        <f>IF(OR(AND(AY$6=1,$L68=0),AND(AY$6=2,$K68=2,$G68=1)),0,IF(AND(BA$9=2,(OR($F68&gt;1,$K68=1,AND($L68=80,OR($N68=1,AND($N68=2,'#BerechnungDBE'!$AL59&gt;0)))))),IF(AY$4&gt;=$AD$126,0,BI68),IF(BA$9=3,IF(OR(AY$4&gt;=$AD$127,AND($G68=1,$J68=2,AY$6=2),AND(AY$6=1,$N68&lt;&gt;1)),0,IF(BC68&lt;=120,BI68,IF(AY$4&lt;$AD$124,IF($F68=1,60/BA$4*BA$6,60/BA$4*BA$7),IF($F68=1,120/BA$4*BA$6,120/BA$4*BA$7)))),IF(OR($F68=3,$G68=2),IF(OR(AND(AY$4&gt;=$AD$119,$C68=2),AND(AY$4&gt;=$AF$119,$C68=1)),0,IF(BC68&lt;=60,BI68,60/BA$4*BA$7)),IF(AND($F68=2,$G68=1),BI68,0)))))</f>
        <v>0</v>
      </c>
      <c r="BL68" s="57" t="str">
        <f t="shared" si="22"/>
        <v/>
      </c>
      <c r="BM68" s="57" t="str">
        <f t="shared" si="372"/>
        <v/>
      </c>
      <c r="BN68" s="713">
        <f>'org. Düngung 22'!T67</f>
        <v>0</v>
      </c>
      <c r="BO68" s="57"/>
      <c r="BP68" s="57"/>
      <c r="BQ68" s="57">
        <f t="shared" si="24"/>
        <v>0</v>
      </c>
      <c r="BR68" s="57">
        <f t="shared" si="208"/>
        <v>0</v>
      </c>
      <c r="BS68" s="57">
        <f t="shared" si="209"/>
        <v>0</v>
      </c>
      <c r="BT68" s="57">
        <f t="shared" si="210"/>
        <v>0</v>
      </c>
      <c r="BU68" s="57">
        <f t="shared" si="211"/>
        <v>0</v>
      </c>
      <c r="BV68" s="1029">
        <f t="shared" si="373"/>
        <v>0</v>
      </c>
      <c r="BW68" s="57">
        <f t="shared" si="374"/>
        <v>0</v>
      </c>
      <c r="BX68" s="171" t="str">
        <f t="shared" si="375"/>
        <v/>
      </c>
      <c r="BY68" s="57">
        <f t="shared" si="212"/>
        <v>0</v>
      </c>
      <c r="BZ68" s="57">
        <f>IF(OR(AND(BN$6=1,$L68=0),AND(BN$6=2,$K68=2,$G68=1)),0,IF(AND(BP$9=2,(OR($F68&gt;1,$K68=1,AND($L68=80,OR($N68=1,AND($N68=2,'#BerechnungDBE'!$AL59&gt;0)))))),IF(BN$4&gt;=$AD$126,0,BX68),IF(BP$9=3,IF(OR(BN$4&gt;=$AD$127,AND($G68=1,$J68=2,BN$6=2),AND(BN$6=1,$N68&lt;&gt;1)),0,IF(BR68&lt;=120,BX68,IF(BN$4&lt;$AD$124,IF($F68=1,60/BP$4*BP$6,60/BP$4*BP$7),IF($F68=1,120/BP$4*BP$6,120/BP$4*BP$7)))),IF(OR($F68=3,$G68=2),IF(OR(AND(BN$4&gt;=$AD$119,$C68=2),AND(BN$4&gt;=$AF$119,$C68=1)),0,IF(BR68&lt;=60,BX68,60/BP$4*BP$7)),IF(AND($F68=2,$G68=1),BX68,0)))))</f>
        <v>0</v>
      </c>
      <c r="CA68" s="57" t="str">
        <f t="shared" si="28"/>
        <v/>
      </c>
      <c r="CB68" s="57" t="str">
        <f t="shared" si="376"/>
        <v/>
      </c>
      <c r="CC68" s="713">
        <f>'org. Düngung 22'!X67</f>
        <v>0</v>
      </c>
      <c r="CD68" s="57"/>
      <c r="CE68" s="57"/>
      <c r="CF68" s="57">
        <f t="shared" si="30"/>
        <v>0</v>
      </c>
      <c r="CG68" s="57">
        <f t="shared" si="213"/>
        <v>0</v>
      </c>
      <c r="CH68" s="57">
        <f t="shared" si="214"/>
        <v>0</v>
      </c>
      <c r="CI68" s="57">
        <f t="shared" si="215"/>
        <v>0</v>
      </c>
      <c r="CJ68" s="57">
        <f t="shared" si="216"/>
        <v>0</v>
      </c>
      <c r="CK68" s="1029">
        <f t="shared" si="377"/>
        <v>0</v>
      </c>
      <c r="CL68" s="57">
        <f t="shared" si="378"/>
        <v>0</v>
      </c>
      <c r="CM68" s="171" t="str">
        <f t="shared" si="379"/>
        <v/>
      </c>
      <c r="CN68" s="57">
        <f t="shared" si="217"/>
        <v>0</v>
      </c>
      <c r="CO68" s="57">
        <f>IF(OR(AND(CC$6=1,$L68=0),AND(CC$6=2,$K68=2,$G68=1)),0,IF(AND(CE$9=2,(OR($F68&gt;1,$K68=1,AND($L68=80,OR($N68=1,AND($N68=2,'#BerechnungDBE'!$AL59&gt;0)))))),IF(CC$4&gt;=$AD$126,0,CM68),IF(CE$9=3,IF(OR(CC$4&gt;=$AD$127,AND($G68=1,$J68=2,CC$6=2),AND(CC$6=1,$N68&lt;&gt;1)),0,IF(CG68&lt;=120,CM68,IF(CC$4&lt;$AD$124,IF($F68=1,60/CE$4*CE$6,60/CE$4*CE$7),IF($F68=1,120/CE$4*CE$6,120/CE$4*CE$7)))),IF(OR($F68=3,$G68=2),IF(OR(AND(CC$4&gt;=$AD$119,$C68=2),AND(CC$4&gt;=$AF$119,$C68=1)),0,IF(CG68&lt;=60,CM68,60/CE$4*CE$7)),IF(AND($F68=2,$G68=1),CM68,0)))))</f>
        <v>0</v>
      </c>
      <c r="CP68" s="57" t="str">
        <f t="shared" si="34"/>
        <v/>
      </c>
      <c r="CQ68" s="57" t="str">
        <f t="shared" si="380"/>
        <v/>
      </c>
      <c r="CR68" s="713">
        <f>'org. Düngung 22'!AB67</f>
        <v>0</v>
      </c>
      <c r="CS68" s="57"/>
      <c r="CT68" s="57"/>
      <c r="CU68" s="57">
        <f t="shared" si="36"/>
        <v>0</v>
      </c>
      <c r="CV68" s="57">
        <f t="shared" si="218"/>
        <v>0</v>
      </c>
      <c r="CW68" s="57">
        <f t="shared" si="219"/>
        <v>0</v>
      </c>
      <c r="CX68" s="57">
        <f t="shared" si="220"/>
        <v>0</v>
      </c>
      <c r="CY68" s="57">
        <f t="shared" si="221"/>
        <v>0</v>
      </c>
      <c r="CZ68" s="1029">
        <f t="shared" si="381"/>
        <v>0</v>
      </c>
      <c r="DA68" s="57">
        <f t="shared" si="382"/>
        <v>0</v>
      </c>
      <c r="DB68" s="171" t="str">
        <f t="shared" si="383"/>
        <v/>
      </c>
      <c r="DC68" s="57">
        <f t="shared" si="222"/>
        <v>0</v>
      </c>
      <c r="DD68" s="57">
        <f>IF(OR(AND(CR$6=1,$L68=0),AND(CR$6=2,$K68=2,$G68=1)),0,IF(AND(CT$9=2,(OR($F68&gt;1,$K68=1,AND($L68=80,OR($N68=1,AND($N68=2,'#BerechnungDBE'!$AL59&gt;0)))))),IF(CR$4&gt;=$AD$126,0,DB68),IF(CT$9=3,IF(OR(CR$4&gt;=$AD$127,AND($G68=1,$J68=2,CR$6=2),AND(CR$6=1,$N68&lt;&gt;1)),0,IF(CV68&lt;=120,DB68,IF(CR$4&lt;$AD$124,IF($F68=1,60/CT$4*CT$6,60/CT$4*CT$7),IF($F68=1,120/CT$4*CT$6,120/CT$4*CT$7)))),IF(OR($F68=3,$G68=2),IF(OR(AND(CR$4&gt;=$AD$119,$C68=2),AND(CR$4&gt;=$AF$119,$C68=1)),0,IF(CV68&lt;=60,DB68,60/CT$4*CT$7)),IF(AND($F68=2,$G68=1),DB68,0)))))</f>
        <v>0</v>
      </c>
      <c r="DE68" s="57" t="str">
        <f t="shared" si="40"/>
        <v/>
      </c>
      <c r="DF68" s="57" t="str">
        <f t="shared" si="384"/>
        <v/>
      </c>
      <c r="DG68" s="713">
        <f>'org. Düngung 22'!AF67</f>
        <v>0</v>
      </c>
      <c r="DH68" s="57"/>
      <c r="DI68" s="57"/>
      <c r="DJ68" s="57">
        <f t="shared" si="42"/>
        <v>0</v>
      </c>
      <c r="DK68" s="57">
        <f t="shared" si="223"/>
        <v>0</v>
      </c>
      <c r="DL68" s="57">
        <f t="shared" si="224"/>
        <v>0</v>
      </c>
      <c r="DM68" s="57">
        <f t="shared" si="225"/>
        <v>0</v>
      </c>
      <c r="DN68" s="57">
        <f t="shared" si="226"/>
        <v>0</v>
      </c>
      <c r="DO68" s="1029">
        <f t="shared" si="385"/>
        <v>0</v>
      </c>
      <c r="DP68" s="57">
        <f t="shared" si="386"/>
        <v>0</v>
      </c>
      <c r="DQ68" s="171" t="str">
        <f t="shared" si="387"/>
        <v/>
      </c>
      <c r="DR68" s="57">
        <f t="shared" si="227"/>
        <v>0</v>
      </c>
      <c r="DS68" s="57">
        <f>IF(OR(AND(DG$6=1,$L68=0),AND(DG$6=2,$K68=2,$G68=1)),0,IF(AND(DI$9=2,(OR($F68&gt;1,$K68=1,AND($L68=80,OR($N68=1,AND($N68=2,'#BerechnungDBE'!$AL59&gt;0)))))),IF(DG$4&gt;=$AD$126,0,DQ68),IF(DI$9=3,IF(OR(DG$4&gt;=$AD$127,AND($G68=1,$J68=2,DG$6=2),AND(DG$6=1,$N68&lt;&gt;1)),0,IF(DK68&lt;=120,DQ68,IF(DG$4&lt;$AD$124,IF($F68=1,60/DI$4*DI$6,60/DI$4*DI$7),IF($F68=1,120/DI$4*DI$6,120/DI$4*DI$7)))),IF(OR($F68=3,$G68=2),IF(OR(AND(DG$4&gt;=$AD$119,$C68=2),AND(DG$4&gt;=$AF$119,$C68=1)),0,IF(DK68&lt;=60,DQ68,60/DI$4*DI$7)),IF(AND($F68=2,$G68=1),DQ68,0)))))</f>
        <v>0</v>
      </c>
      <c r="DT68" s="57" t="str">
        <f t="shared" si="46"/>
        <v/>
      </c>
      <c r="DU68" s="57" t="str">
        <f t="shared" si="388"/>
        <v/>
      </c>
      <c r="DV68" s="713">
        <f>'org. Düngung 22'!AJ67</f>
        <v>0</v>
      </c>
      <c r="DW68" s="57"/>
      <c r="DX68" s="57"/>
      <c r="DY68" s="57">
        <f t="shared" si="48"/>
        <v>0</v>
      </c>
      <c r="DZ68" s="57">
        <f t="shared" si="228"/>
        <v>0</v>
      </c>
      <c r="EA68" s="57">
        <f t="shared" si="229"/>
        <v>0</v>
      </c>
      <c r="EB68" s="57">
        <f t="shared" si="230"/>
        <v>0</v>
      </c>
      <c r="EC68" s="57">
        <f t="shared" si="231"/>
        <v>0</v>
      </c>
      <c r="ED68" s="1029">
        <f t="shared" si="389"/>
        <v>0</v>
      </c>
      <c r="EE68" s="57">
        <f t="shared" si="390"/>
        <v>0</v>
      </c>
      <c r="EF68" s="171" t="str">
        <f t="shared" si="391"/>
        <v/>
      </c>
      <c r="EG68" s="57">
        <f t="shared" si="232"/>
        <v>0</v>
      </c>
      <c r="EH68" s="57">
        <f>IF(OR(AND(DV$6=1,$L68=0),AND(DV$6=2,$K68=2,$G68=1)),0,IF(AND(DX$9=2,(OR($F68&gt;1,$K68=1,AND($L68=80,OR($N68=1,AND($N68=2,'#BerechnungDBE'!$AL59&gt;0)))))),IF(DV$4&gt;=$AD$126,0,EF68),IF(DX$9=3,IF(OR(DV$4&gt;=$AD$127,AND($G68=1,$J68=2,DV$6=2),AND(DV$6=1,$N68&lt;&gt;1)),0,IF(DZ68&lt;=120,EF68,IF(DV$4&lt;$AD$124,IF($F68=1,60/DX$4*DX$6,60/DX$4*DX$7),IF($F68=1,120/DX$4*DX$6,120/DX$4*DX$7)))),IF(OR($F68=3,$G68=2),IF(OR(AND(DV$4&gt;=$AD$119,$C68=2),AND(DV$4&gt;=$AF$119,$C68=1)),0,IF(DZ68&lt;=60,EF68,60/DX$4*DX$7)),IF(AND($F68=2,$G68=1),EF68,0)))))</f>
        <v>0</v>
      </c>
      <c r="EI68" s="57" t="str">
        <f t="shared" si="52"/>
        <v/>
      </c>
      <c r="EJ68" s="57" t="str">
        <f t="shared" si="392"/>
        <v/>
      </c>
      <c r="EK68" s="713">
        <f>'org. Düngung 22'!AN67</f>
        <v>0</v>
      </c>
      <c r="EL68" s="57"/>
      <c r="EM68" s="57"/>
      <c r="EN68" s="57">
        <f t="shared" si="54"/>
        <v>0</v>
      </c>
      <c r="EO68" s="57">
        <f t="shared" si="233"/>
        <v>0</v>
      </c>
      <c r="EP68" s="57">
        <f t="shared" si="234"/>
        <v>0</v>
      </c>
      <c r="EQ68" s="57">
        <f t="shared" si="235"/>
        <v>0</v>
      </c>
      <c r="ER68" s="57">
        <f t="shared" si="236"/>
        <v>0</v>
      </c>
      <c r="ES68" s="1029">
        <f t="shared" si="393"/>
        <v>0</v>
      </c>
      <c r="ET68" s="57">
        <f t="shared" si="394"/>
        <v>0</v>
      </c>
      <c r="EU68" s="171" t="str">
        <f t="shared" si="395"/>
        <v/>
      </c>
      <c r="EV68" s="57">
        <f t="shared" si="237"/>
        <v>0</v>
      </c>
      <c r="EW68" s="57">
        <f>IF(OR(AND(EK$6=1,$L68=0),AND(EK$6=2,$K68=2,$G68=1)),0,IF(AND(EM$9=2,(OR($F68&gt;1,$K68=1,AND($L68=80,OR($N68=1,AND($N68=2,'#BerechnungDBE'!$AL59&gt;0)))))),IF(EK$4&gt;=$AD$126,0,EU68),IF(EM$9=3,IF(OR(EK$4&gt;=$AD$127,AND($G68=1,$J68=2,EK$6=2),AND(EK$6=1,$N68&lt;&gt;1)),0,IF(EO68&lt;=120,EU68,IF(EK$4&lt;$AD$124,IF($F68=1,60/EM$4*EM$6,60/EM$4*EM$7),IF($F68=1,120/EM$4*EM$6,120/EM$4*EM$7)))),IF(OR($F68=3,$G68=2),IF(OR(AND(EK$4&gt;=$AD$119,$C68=2),AND(EK$4&gt;=$AF$119,$C68=1)),0,IF(EO68&lt;=60,EU68,60/EM$4*EM$7)),IF(AND($F68=2,$G68=1),EU68,0)))))</f>
        <v>0</v>
      </c>
      <c r="EX68" s="57" t="str">
        <f t="shared" si="58"/>
        <v/>
      </c>
      <c r="EY68" s="57" t="str">
        <f t="shared" si="396"/>
        <v/>
      </c>
      <c r="EZ68" s="713">
        <f>'org. Düngung 22'!AR67</f>
        <v>0</v>
      </c>
      <c r="FA68" s="57"/>
      <c r="FB68" s="57"/>
      <c r="FC68" s="57">
        <f t="shared" si="60"/>
        <v>0</v>
      </c>
      <c r="FD68" s="57">
        <f t="shared" si="238"/>
        <v>0</v>
      </c>
      <c r="FE68" s="57">
        <f t="shared" si="239"/>
        <v>0</v>
      </c>
      <c r="FF68" s="57">
        <f t="shared" si="240"/>
        <v>0</v>
      </c>
      <c r="FG68" s="57">
        <f t="shared" si="241"/>
        <v>0</v>
      </c>
      <c r="FH68" s="1029">
        <f t="shared" si="397"/>
        <v>0</v>
      </c>
      <c r="FI68" s="57">
        <f t="shared" si="398"/>
        <v>0</v>
      </c>
      <c r="FJ68" s="171" t="str">
        <f t="shared" si="399"/>
        <v/>
      </c>
      <c r="FK68" s="57">
        <f t="shared" si="242"/>
        <v>0</v>
      </c>
      <c r="FL68" s="57">
        <f>IF(OR(AND(EZ$6=1,$L68=0),AND(EZ$6=2,$K68=2,$G68=1)),0,IF(AND(FB$9=2,(OR($F68&gt;1,$K68=1,AND($L68=80,OR($N68=1,AND($N68=2,'#BerechnungDBE'!$AL59&gt;0)))))),IF(EZ$4&gt;=$AD$126,0,FJ68),IF(FB$9=3,IF(OR(EZ$4&gt;=$AD$127,AND($G68=1,$J68=2,EZ$6=2),AND(EZ$6=1,$N68&lt;&gt;1)),0,IF(FD68&lt;=120,FJ68,IF(EZ$4&lt;$AD$124,IF($F68=1,60/FB$4*FB$6,60/FB$4*FB$7),IF($F68=1,120/FB$4*FB$6,120/FB$4*FB$7)))),IF(OR($F68=3,$G68=2),IF(OR(AND(EZ$4&gt;=$AD$119,$C68=2),AND(EZ$4&gt;=$AF$119,$C68=1)),0,IF(FD68&lt;=60,FJ68,60/FB$4*FB$7)),IF(AND($F68=2,$G68=1),FJ68,0)))))</f>
        <v>0</v>
      </c>
      <c r="FM68" s="57" t="str">
        <f t="shared" si="64"/>
        <v/>
      </c>
      <c r="FN68" s="57" t="str">
        <f t="shared" si="400"/>
        <v/>
      </c>
      <c r="FO68" s="713">
        <f>'org. Düngung 22'!AV67</f>
        <v>0</v>
      </c>
      <c r="FP68" s="57"/>
      <c r="FQ68" s="57"/>
      <c r="FR68" s="57">
        <f t="shared" si="66"/>
        <v>0</v>
      </c>
      <c r="FS68" s="57">
        <f t="shared" si="243"/>
        <v>0</v>
      </c>
      <c r="FT68" s="57">
        <f t="shared" si="244"/>
        <v>0</v>
      </c>
      <c r="FU68" s="57">
        <f t="shared" si="245"/>
        <v>0</v>
      </c>
      <c r="FV68" s="57">
        <f t="shared" si="246"/>
        <v>0</v>
      </c>
      <c r="FW68" s="1029">
        <f t="shared" si="401"/>
        <v>0</v>
      </c>
      <c r="FX68" s="57">
        <f t="shared" si="402"/>
        <v>0</v>
      </c>
      <c r="FY68" s="171" t="str">
        <f t="shared" si="403"/>
        <v/>
      </c>
      <c r="FZ68" s="57">
        <f t="shared" si="247"/>
        <v>0</v>
      </c>
      <c r="GA68" s="57">
        <f>IF(OR(AND(FO$6=1,$L68=0),AND(FO$6=2,$K68=2,$G68=1)),0,IF(AND(FQ$9=2,(OR($F68&gt;1,$K68=1,AND($L68=80,OR($N68=1,AND($N68=2,'#BerechnungDBE'!$AL59&gt;0)))))),IF(FO$4&gt;=$AD$126,0,FY68),IF(FQ$9=3,IF(OR(FO$4&gt;=$AD$127,AND($G68=1,$J68=2,FO$6=2),AND(FO$6=1,$N68&lt;&gt;1)),0,IF(FS68&lt;=120,FY68,IF(FO$4&lt;$AD$124,IF($F68=1,60/FQ$4*FQ$6,60/FQ$4*FQ$7),IF($F68=1,120/FQ$4*FQ$6,120/FQ$4*FQ$7)))),IF(OR($F68=3,$G68=2),IF(OR(AND(FO$4&gt;=$AD$119,$C68=2),AND(FO$4&gt;=$AF$119,$C68=1)),0,IF(FS68&lt;=60,FY68,60/FQ$4*FQ$7)),IF(AND($F68=2,$G68=1),FY68,0)))))</f>
        <v>0</v>
      </c>
      <c r="GB68" s="57" t="str">
        <f t="shared" si="70"/>
        <v/>
      </c>
      <c r="GC68" s="57" t="str">
        <f t="shared" si="404"/>
        <v/>
      </c>
      <c r="GD68" s="713">
        <f>'org. Düngung 22'!AZ67</f>
        <v>0</v>
      </c>
      <c r="GE68" s="57"/>
      <c r="GF68" s="57"/>
      <c r="GG68" s="57">
        <f t="shared" si="72"/>
        <v>0</v>
      </c>
      <c r="GH68" s="57">
        <f t="shared" si="248"/>
        <v>0</v>
      </c>
      <c r="GI68" s="57">
        <f t="shared" si="249"/>
        <v>0</v>
      </c>
      <c r="GJ68" s="57">
        <f t="shared" si="250"/>
        <v>0</v>
      </c>
      <c r="GK68" s="57">
        <f t="shared" si="251"/>
        <v>0</v>
      </c>
      <c r="GL68" s="1029">
        <f t="shared" si="405"/>
        <v>0</v>
      </c>
      <c r="GM68" s="57">
        <f t="shared" si="406"/>
        <v>0</v>
      </c>
      <c r="GN68" s="171" t="str">
        <f t="shared" si="407"/>
        <v/>
      </c>
      <c r="GO68" s="57">
        <f t="shared" si="252"/>
        <v>0</v>
      </c>
      <c r="GP68" s="57">
        <f>IF(OR(AND(GD$6=1,$L68=0),AND(GD$6=2,$K68=2,$G68=1)),0,IF(AND(GF$9=2,(OR($F68&gt;1,$K68=1,AND($L68=80,OR($N68=1,AND($N68=2,'#BerechnungDBE'!$AL59&gt;0)))))),IF(GD$4&gt;=$AD$126,0,GN68),IF(GF$9=3,IF(OR(GD$4&gt;=$AD$127,AND($G68=1,$J68=2,GD$6=2),AND(GD$6=1,$N68&lt;&gt;1)),0,IF(GH68&lt;=120,GN68,IF(GD$4&lt;$AD$124,IF($F68=1,60/GF$4*GF$6,60/GF$4*GF$7),IF($F68=1,120/GF$4*GF$6,120/GF$4*GF$7)))),IF(OR($F68=3,$G68=2),IF(OR(AND(GD$4&gt;=$AD$119,$C68=2),AND(GD$4&gt;=$AF$119,$C68=1)),0,IF(GH68&lt;=60,GN68,60/GF$4*GF$7)),IF(AND($F68=2,$G68=1),GN68,0)))))</f>
        <v>0</v>
      </c>
      <c r="GQ68" s="57" t="str">
        <f t="shared" si="76"/>
        <v/>
      </c>
      <c r="GR68" s="57" t="str">
        <f t="shared" si="408"/>
        <v/>
      </c>
      <c r="GS68" s="713">
        <f>'org. Düngung 22'!BD67</f>
        <v>0</v>
      </c>
      <c r="GT68" s="57"/>
      <c r="GU68" s="57"/>
      <c r="GV68" s="57">
        <f t="shared" si="78"/>
        <v>0</v>
      </c>
      <c r="GW68" s="57">
        <f t="shared" si="253"/>
        <v>0</v>
      </c>
      <c r="GX68" s="57">
        <f t="shared" si="254"/>
        <v>0</v>
      </c>
      <c r="GY68" s="57">
        <f t="shared" si="255"/>
        <v>0</v>
      </c>
      <c r="GZ68" s="57">
        <f t="shared" si="256"/>
        <v>0</v>
      </c>
      <c r="HA68" s="1029">
        <f t="shared" si="409"/>
        <v>0</v>
      </c>
      <c r="HB68" s="57">
        <f t="shared" si="410"/>
        <v>0</v>
      </c>
      <c r="HC68" s="171" t="str">
        <f t="shared" si="411"/>
        <v/>
      </c>
      <c r="HD68" s="57">
        <f t="shared" si="257"/>
        <v>0</v>
      </c>
      <c r="HE68" s="57">
        <f>IF(OR(AND(GS$6=1,$L68=0),AND(GS$6=2,$K68=2,$G68=1)),0,IF(AND(GU$9=2,(OR($F68&gt;1,$K68=1,AND($L68=80,OR($N68=1,AND($N68=2,'#BerechnungDBE'!$AL59&gt;0)))))),IF(GS$4&gt;=$AD$126,0,HC68),IF(GU$9=3,IF(OR(GS$4&gt;=$AD$127,AND($G68=1,$J68=2,GS$6=2),AND(GS$6=1,$N68&lt;&gt;1)),0,IF(GW68&lt;=120,HC68,IF(GS$4&lt;$AD$124,IF($F68=1,60/GU$4*GU$6,60/GU$4*GU$7),IF($F68=1,120/GU$4*GU$6,120/GU$4*GU$7)))),IF(OR($F68=3,$G68=2),IF(OR(AND(GS$4&gt;=$AD$119,$C68=2),AND(GS$4&gt;=$AF$119,$C68=1)),0,IF(GW68&lt;=60,HC68,60/GU$4*GU$7)),IF(AND($F68=2,$G68=1),HC68,0)))))</f>
        <v>0</v>
      </c>
      <c r="HF68" s="57" t="str">
        <f t="shared" si="82"/>
        <v/>
      </c>
      <c r="HG68" s="57" t="str">
        <f t="shared" si="412"/>
        <v/>
      </c>
      <c r="HH68" s="713">
        <f>'org. Düngung 22'!BH67</f>
        <v>0</v>
      </c>
      <c r="HI68" s="57"/>
      <c r="HJ68" s="57"/>
      <c r="HK68" s="57">
        <f t="shared" si="84"/>
        <v>0</v>
      </c>
      <c r="HL68" s="57">
        <f t="shared" si="258"/>
        <v>0</v>
      </c>
      <c r="HM68" s="57">
        <f t="shared" si="259"/>
        <v>0</v>
      </c>
      <c r="HN68" s="57">
        <f t="shared" si="260"/>
        <v>0</v>
      </c>
      <c r="HO68" s="57">
        <f t="shared" si="261"/>
        <v>0</v>
      </c>
      <c r="HP68" s="1029">
        <f t="shared" si="413"/>
        <v>0</v>
      </c>
      <c r="HQ68" s="57">
        <f t="shared" si="414"/>
        <v>0</v>
      </c>
      <c r="HR68" s="171" t="str">
        <f t="shared" si="415"/>
        <v/>
      </c>
      <c r="HS68" s="57">
        <f t="shared" si="262"/>
        <v>0</v>
      </c>
      <c r="HT68" s="57">
        <f>IF(OR(AND(HH$6=1,$L68=0),AND(HH$6=2,$K68=2,$G68=1)),0,IF(AND(HJ$9=2,(OR($F68&gt;1,$K68=1,AND($L68=80,OR($N68=1,AND($N68=2,'#BerechnungDBE'!$AL59&gt;0)))))),IF(HH$4&gt;=$AD$126,0,HR68),IF(HJ$9=3,IF(OR(HH$4&gt;=$AD$127,AND($G68=1,$J68=2,HH$6=2),AND(HH$6=1,$N68&lt;&gt;1)),0,IF(HL68&lt;=120,HR68,IF(HH$4&lt;$AD$124,IF($F68=1,60/HJ$4*HJ$6,60/HJ$4*HJ$7),IF($F68=1,120/HJ$4*HJ$6,120/HJ$4*HJ$7)))),IF(OR($F68=3,$G68=2),IF(OR(AND(HH$4&gt;=$AD$119,$C68=2),AND(HH$4&gt;=$AF$119,$C68=1)),0,IF(HL68&lt;=60,HR68,60/HJ$4*HJ$7)),IF(AND($F68=2,$G68=1),HR68,0)))))</f>
        <v>0</v>
      </c>
      <c r="HU68" s="57" t="str">
        <f t="shared" si="88"/>
        <v/>
      </c>
      <c r="HV68" s="57" t="str">
        <f t="shared" si="416"/>
        <v/>
      </c>
      <c r="HW68" s="713">
        <f>'org. Düngung 22'!BL67</f>
        <v>0</v>
      </c>
      <c r="HX68" s="57"/>
      <c r="HY68" s="57"/>
      <c r="HZ68" s="57">
        <f t="shared" si="90"/>
        <v>0</v>
      </c>
      <c r="IA68" s="57">
        <f t="shared" si="263"/>
        <v>0</v>
      </c>
      <c r="IB68" s="57">
        <f t="shared" si="264"/>
        <v>0</v>
      </c>
      <c r="IC68" s="57">
        <f t="shared" si="265"/>
        <v>0</v>
      </c>
      <c r="ID68" s="57">
        <f t="shared" si="266"/>
        <v>0</v>
      </c>
      <c r="IE68" s="1029">
        <f t="shared" si="417"/>
        <v>0</v>
      </c>
      <c r="IF68" s="57">
        <f t="shared" si="418"/>
        <v>0</v>
      </c>
      <c r="IG68" s="171" t="str">
        <f t="shared" si="419"/>
        <v/>
      </c>
      <c r="IH68" s="57">
        <f t="shared" si="267"/>
        <v>0</v>
      </c>
      <c r="II68" s="57">
        <f>IF(OR(AND(HW$6=1,$L68=0),AND(HW$6=2,$K68=2,$G68=1)),0,IF(AND(HY$9=2,(OR($F68&gt;1,$K68=1,AND($L68=80,OR($N68=1,AND($N68=2,'#BerechnungDBE'!$AL59&gt;0)))))),IF(HW$4&gt;=$AD$126,0,IG68),IF(HY$9=3,IF(OR(HW$4&gt;=$AD$127,AND($G68=1,$J68=2,HW$6=2),AND(HW$6=1,$N68&lt;&gt;1)),0,IF(IA68&lt;=120,IG68,IF(HW$4&lt;$AD$124,IF($F68=1,60/HY$4*HY$6,60/HY$4*HY$7),IF($F68=1,120/HY$4*HY$6,120/HY$4*HY$7)))),IF(OR($F68=3,$G68=2),IF(OR(AND(HW$4&gt;=$AD$119,$C68=2),AND(HW$4&gt;=$AF$119,$C68=1)),0,IF(IA68&lt;=60,IG68,60/HY$4*HY$7)),IF(AND($F68=2,$G68=1),IG68,0)))))</f>
        <v>0</v>
      </c>
      <c r="IJ68" s="57" t="str">
        <f t="shared" si="94"/>
        <v/>
      </c>
      <c r="IK68" s="57" t="str">
        <f t="shared" si="420"/>
        <v/>
      </c>
      <c r="IL68" s="713">
        <f>'org. Düngung 22'!BP67</f>
        <v>0</v>
      </c>
      <c r="IM68" s="57"/>
      <c r="IN68" s="57"/>
      <c r="IO68" s="57">
        <f t="shared" si="96"/>
        <v>0</v>
      </c>
      <c r="IP68" s="57">
        <f t="shared" si="268"/>
        <v>0</v>
      </c>
      <c r="IQ68" s="57">
        <f t="shared" si="269"/>
        <v>0</v>
      </c>
      <c r="IR68" s="57">
        <f t="shared" si="270"/>
        <v>0</v>
      </c>
      <c r="IS68" s="57">
        <f t="shared" si="271"/>
        <v>0</v>
      </c>
      <c r="IT68" s="1029">
        <f t="shared" si="421"/>
        <v>0</v>
      </c>
      <c r="IU68" s="57">
        <f t="shared" si="422"/>
        <v>0</v>
      </c>
      <c r="IV68" s="171" t="str">
        <f t="shared" si="423"/>
        <v/>
      </c>
      <c r="IW68" s="57">
        <f t="shared" si="272"/>
        <v>0</v>
      </c>
      <c r="IX68" s="57">
        <f>IF(OR(AND(IL$6=1,$L68=0),AND(IL$6=2,$K68=2,$G68=1)),0,IF(AND(IN$9=2,(OR($F68&gt;1,$K68=1,AND($L68=80,OR($N68=1,AND($N68=2,'#BerechnungDBE'!$AL59&gt;0)))))),IF(IL$4&gt;=$AD$126,0,IV68),IF(IN$9=3,IF(OR(IL$4&gt;=$AD$127,AND($G68=1,$J68=2,IL$6=2),AND(IL$6=1,$N68&lt;&gt;1)),0,IF(IP68&lt;=120,IV68,IF(IL$4&lt;$AD$124,IF($F68=1,60/IN$4*IN$6,60/IN$4*IN$7),IF($F68=1,120/IN$4*IN$6,120/IN$4*IN$7)))),IF(OR($F68=3,$G68=2),IF(OR(AND(IL$4&gt;=$AD$119,$C68=2),AND(IL$4&gt;=$AF$119,$C68=1)),0,IF(IP68&lt;=60,IV68,60/IN$4*IN$7)),IF(AND($F68=2,$G68=1),IV68,0)))))</f>
        <v>0</v>
      </c>
      <c r="IY68" s="57" t="str">
        <f t="shared" si="100"/>
        <v/>
      </c>
      <c r="IZ68" s="57" t="str">
        <f t="shared" si="424"/>
        <v/>
      </c>
      <c r="JA68" s="713">
        <f>'org. Düngung 22'!BT67</f>
        <v>0</v>
      </c>
      <c r="JB68" s="57"/>
      <c r="JC68" s="57"/>
      <c r="JD68" s="57">
        <f t="shared" si="102"/>
        <v>0</v>
      </c>
      <c r="JE68" s="57">
        <f t="shared" si="273"/>
        <v>0</v>
      </c>
      <c r="JF68" s="57">
        <f t="shared" si="274"/>
        <v>0</v>
      </c>
      <c r="JG68" s="57">
        <f t="shared" si="275"/>
        <v>0</v>
      </c>
      <c r="JH68" s="57">
        <f t="shared" si="276"/>
        <v>0</v>
      </c>
      <c r="JI68" s="1029">
        <f t="shared" si="425"/>
        <v>0</v>
      </c>
      <c r="JJ68" s="57">
        <f t="shared" si="426"/>
        <v>0</v>
      </c>
      <c r="JK68" s="171" t="str">
        <f t="shared" si="427"/>
        <v/>
      </c>
      <c r="JL68" s="57">
        <f t="shared" si="277"/>
        <v>0</v>
      </c>
      <c r="JM68" s="57">
        <f>IF(OR(AND(JA$6=1,$L68=0),AND(JA$6=2,$K68=2,$G68=1)),0,IF(AND(JC$9=2,(OR($F68&gt;1,$K68=1,AND($L68=80,OR($N68=1,AND($N68=2,'#BerechnungDBE'!$AL59&gt;0)))))),IF(JA$4&gt;=$AD$126,0,JK68),IF(JC$9=3,IF(OR(JA$4&gt;=$AD$127,AND($G68=1,$J68=2,JA$6=2),AND(JA$6=1,$N68&lt;&gt;1)),0,IF(JE68&lt;=120,JK68,IF(JA$4&lt;$AD$124,IF($F68=1,60/JC$4*JC$6,60/JC$4*JC$7),IF($F68=1,120/JC$4*JC$6,120/JC$4*JC$7)))),IF(OR($F68=3,$G68=2),IF(OR(AND(JA$4&gt;=$AD$119,$C68=2),AND(JA$4&gt;=$AF$119,$C68=1)),0,IF(JE68&lt;=60,JK68,60/JC$4*JC$7)),IF(AND($F68=2,$G68=1),JK68,0)))))</f>
        <v>0</v>
      </c>
      <c r="JN68" s="57" t="str">
        <f t="shared" si="106"/>
        <v/>
      </c>
      <c r="JO68" s="57" t="str">
        <f t="shared" si="428"/>
        <v/>
      </c>
      <c r="JP68" s="713">
        <f>'org. Düngung 22'!BX67</f>
        <v>0</v>
      </c>
      <c r="JQ68" s="57"/>
      <c r="JR68" s="57"/>
      <c r="JS68" s="57">
        <f t="shared" si="108"/>
        <v>0</v>
      </c>
      <c r="JT68" s="57">
        <f t="shared" si="278"/>
        <v>0</v>
      </c>
      <c r="JU68" s="57">
        <f t="shared" si="279"/>
        <v>0</v>
      </c>
      <c r="JV68" s="57">
        <f t="shared" si="280"/>
        <v>0</v>
      </c>
      <c r="JW68" s="57">
        <f t="shared" si="281"/>
        <v>0</v>
      </c>
      <c r="JX68" s="1029">
        <f t="shared" si="429"/>
        <v>0</v>
      </c>
      <c r="JY68" s="57">
        <f t="shared" si="430"/>
        <v>0</v>
      </c>
      <c r="JZ68" s="171" t="str">
        <f t="shared" si="431"/>
        <v/>
      </c>
      <c r="KA68" s="57">
        <f t="shared" si="282"/>
        <v>0</v>
      </c>
      <c r="KB68" s="57">
        <f>IF(OR(AND(JP$6=1,$L68=0),AND(JP$6=2,$K68=2,$G68=1)),0,IF(AND(JR$9=2,(OR($F68&gt;1,$K68=1,AND($L68=80,OR($N68=1,AND($N68=2,'#BerechnungDBE'!$AL59&gt;0)))))),IF(JP$4&gt;=$AD$126,0,JZ68),IF(JR$9=3,IF(OR(JP$4&gt;=$AD$127,AND($G68=1,$J68=2,JP$6=2),AND(JP$6=1,$N68&lt;&gt;1)),0,IF(JT68&lt;=120,JZ68,IF(JP$4&lt;$AD$124,IF($F68=1,60/JR$4*JR$6,60/JR$4*JR$7),IF($F68=1,120/JR$4*JR$6,120/JR$4*JR$7)))),IF(OR($F68=3,$G68=2),IF(OR(AND(JP$4&gt;=$AD$119,$C68=2),AND(JP$4&gt;=$AF$119,$C68=1)),0,IF(JT68&lt;=60,JZ68,60/JR$4*JR$7)),IF(AND($F68=2,$G68=1),JZ68,0)))))</f>
        <v>0</v>
      </c>
      <c r="KC68" s="57" t="str">
        <f t="shared" si="112"/>
        <v/>
      </c>
      <c r="KD68" s="57" t="str">
        <f t="shared" si="432"/>
        <v/>
      </c>
      <c r="KE68" s="713">
        <f>'org. Düngung 22'!CB67</f>
        <v>0</v>
      </c>
      <c r="KF68" s="57"/>
      <c r="KG68" s="57"/>
      <c r="KH68" s="57">
        <f t="shared" si="114"/>
        <v>0</v>
      </c>
      <c r="KI68" s="57">
        <f t="shared" si="283"/>
        <v>0</v>
      </c>
      <c r="KJ68" s="57">
        <f t="shared" si="284"/>
        <v>0</v>
      </c>
      <c r="KK68" s="57">
        <f t="shared" si="285"/>
        <v>0</v>
      </c>
      <c r="KL68" s="57">
        <f t="shared" si="286"/>
        <v>0</v>
      </c>
      <c r="KM68" s="1029">
        <f t="shared" si="433"/>
        <v>0</v>
      </c>
      <c r="KN68" s="57">
        <f t="shared" si="434"/>
        <v>0</v>
      </c>
      <c r="KO68" s="171" t="str">
        <f t="shared" si="435"/>
        <v/>
      </c>
      <c r="KP68" s="57">
        <f t="shared" si="287"/>
        <v>0</v>
      </c>
      <c r="KQ68" s="57">
        <f>IF(OR(AND(KE$6=1,$L68=0),AND(KE$6=2,$K68=2,$G68=1)),0,IF(AND(KG$9=2,(OR($F68&gt;1,$K68=1,AND($L68=80,OR($N68=1,AND($N68=2,'#BerechnungDBE'!$AL59&gt;0)))))),IF(KE$4&gt;=$AD$126,0,KO68),IF(KG$9=3,IF(OR(KE$4&gt;=$AD$127,AND($G68=1,$J68=2,KE$6=2),AND(KE$6=1,$N68&lt;&gt;1)),0,IF(KI68&lt;=120,KO68,IF(KE$4&lt;$AD$124,IF($F68=1,60/KG$4*KG$6,60/KG$4*KG$7),IF($F68=1,120/KG$4*KG$6,120/KG$4*KG$7)))),IF(OR($F68=3,$G68=2),IF(OR(AND(KE$4&gt;=$AD$119,$C68=2),AND(KE$4&gt;=$AF$119,$C68=1)),0,IF(KI68&lt;=60,KO68,60/KG$4*KG$7)),IF(AND($F68=2,$G68=1),KO68,0)))))</f>
        <v>0</v>
      </c>
      <c r="KR68" s="57" t="str">
        <f t="shared" si="118"/>
        <v/>
      </c>
      <c r="KS68" s="57" t="str">
        <f t="shared" si="436"/>
        <v/>
      </c>
      <c r="KT68" s="713">
        <f>'org. Düngung 22'!CF67</f>
        <v>0</v>
      </c>
      <c r="KU68" s="57"/>
      <c r="KV68" s="57"/>
      <c r="KW68" s="57">
        <f t="shared" si="120"/>
        <v>0</v>
      </c>
      <c r="KX68" s="57">
        <f t="shared" si="288"/>
        <v>0</v>
      </c>
      <c r="KY68" s="57">
        <f t="shared" si="289"/>
        <v>0</v>
      </c>
      <c r="KZ68" s="57">
        <f t="shared" si="290"/>
        <v>0</v>
      </c>
      <c r="LA68" s="57">
        <f t="shared" si="291"/>
        <v>0</v>
      </c>
      <c r="LB68" s="1029">
        <f t="shared" si="437"/>
        <v>0</v>
      </c>
      <c r="LC68" s="57">
        <f t="shared" si="438"/>
        <v>0</v>
      </c>
      <c r="LD68" s="171" t="str">
        <f t="shared" si="439"/>
        <v/>
      </c>
      <c r="LE68" s="57">
        <f t="shared" si="292"/>
        <v>0</v>
      </c>
      <c r="LF68" s="57">
        <f>IF(OR(AND(KT$6=1,$L68=0),AND(KT$6=2,$K68=2,$G68=1)),0,IF(AND(KV$9=2,(OR($F68&gt;1,$K68=1,AND($L68=80,OR($N68=1,AND($N68=2,'#BerechnungDBE'!$AL59&gt;0)))))),IF(KT$4&gt;=$AD$126,0,LD68),IF(KV$9=3,IF(OR(KT$4&gt;=$AD$127,AND($G68=1,$J68=2,KT$6=2),AND(KT$6=1,$N68&lt;&gt;1)),0,IF(KX68&lt;=120,LD68,IF(KT$4&lt;$AD$124,IF($F68=1,60/KV$4*KV$6,60/KV$4*KV$7),IF($F68=1,120/KV$4*KV$6,120/KV$4*KV$7)))),IF(OR($F68=3,$G68=2),IF(OR(AND(KT$4&gt;=$AD$119,$C68=2),AND(KT$4&gt;=$AF$119,$C68=1)),0,IF(KX68&lt;=60,LD68,60/KV$4*KV$7)),IF(AND($F68=2,$G68=1),LD68,0)))))</f>
        <v>0</v>
      </c>
      <c r="LG68" s="57" t="str">
        <f t="shared" si="124"/>
        <v/>
      </c>
      <c r="LH68" s="57" t="str">
        <f t="shared" si="440"/>
        <v/>
      </c>
      <c r="LI68" s="713">
        <f>'org. Düngung 22'!CJ67</f>
        <v>0</v>
      </c>
      <c r="LJ68" s="57"/>
      <c r="LK68" s="57"/>
      <c r="LL68" s="57">
        <f t="shared" si="126"/>
        <v>0</v>
      </c>
      <c r="LM68" s="57">
        <f t="shared" si="293"/>
        <v>0</v>
      </c>
      <c r="LN68" s="57">
        <f t="shared" si="294"/>
        <v>0</v>
      </c>
      <c r="LO68" s="57">
        <f t="shared" si="295"/>
        <v>0</v>
      </c>
      <c r="LP68" s="57">
        <f t="shared" si="296"/>
        <v>0</v>
      </c>
      <c r="LQ68" s="1029">
        <f t="shared" si="441"/>
        <v>0</v>
      </c>
      <c r="LR68" s="57">
        <f t="shared" si="442"/>
        <v>0</v>
      </c>
      <c r="LS68" s="171" t="str">
        <f t="shared" si="443"/>
        <v/>
      </c>
      <c r="LT68" s="57">
        <f t="shared" si="297"/>
        <v>0</v>
      </c>
      <c r="LU68" s="57">
        <f>IF(OR(AND(LI$6=1,$L68=0),AND(LI$6=2,$K68=2,$G68=1)),0,IF(AND(LK$9=2,(OR($F68&gt;1,$K68=1,AND($L68=80,OR($N68=1,AND($N68=2,'#BerechnungDBE'!$AL59&gt;0)))))),IF(LI$4&gt;=$AD$126,0,LS68),IF(LK$9=3,IF(OR(LI$4&gt;=$AD$127,AND($G68=1,$J68=2,LI$6=2),AND(LI$6=1,$N68&lt;&gt;1)),0,IF(LM68&lt;=120,LS68,IF(LI$4&lt;$AD$124,IF($F68=1,60/LK$4*LK$6,60/LK$4*LK$7),IF($F68=1,120/LK$4*LK$6,120/LK$4*LK$7)))),IF(OR($F68=3,$G68=2),IF(OR(AND(LI$4&gt;=$AD$119,$C68=2),AND(LI$4&gt;=$AF$119,$C68=1)),0,IF(LM68&lt;=60,LS68,60/LK$4*LK$7)),IF(AND($F68=2,$G68=1),LS68,0)))))</f>
        <v>0</v>
      </c>
      <c r="LV68" s="57" t="str">
        <f t="shared" si="130"/>
        <v/>
      </c>
      <c r="LW68" s="57" t="str">
        <f t="shared" si="444"/>
        <v/>
      </c>
      <c r="LX68" s="713">
        <f>'org. Düngung 22'!CN67</f>
        <v>0</v>
      </c>
      <c r="LY68" s="57"/>
      <c r="LZ68" s="57"/>
      <c r="MA68" s="57">
        <f t="shared" si="132"/>
        <v>0</v>
      </c>
      <c r="MB68" s="57">
        <f t="shared" si="298"/>
        <v>0</v>
      </c>
      <c r="MC68" s="57">
        <f t="shared" si="299"/>
        <v>0</v>
      </c>
      <c r="MD68" s="57">
        <f t="shared" si="300"/>
        <v>0</v>
      </c>
      <c r="ME68" s="57">
        <f t="shared" si="301"/>
        <v>0</v>
      </c>
      <c r="MF68" s="1029">
        <f t="shared" si="445"/>
        <v>0</v>
      </c>
      <c r="MG68" s="57">
        <f t="shared" si="446"/>
        <v>0</v>
      </c>
      <c r="MH68" s="171" t="str">
        <f t="shared" si="447"/>
        <v/>
      </c>
      <c r="MI68" s="57">
        <f t="shared" si="302"/>
        <v>0</v>
      </c>
      <c r="MJ68" s="57">
        <f>IF(OR(AND(LX$6=1,$L68=0),AND(LX$6=2,$K68=2,$G68=1)),0,IF(AND(LZ$9=2,(OR($F68&gt;1,$K68=1,AND($L68=80,OR($N68=1,AND($N68=2,'#BerechnungDBE'!$AL59&gt;0)))))),IF(LX$4&gt;=$AD$126,0,MH68),IF(LZ$9=3,IF(OR(LX$4&gt;=$AD$127,AND($G68=1,$J68=2,LX$6=2),AND(LX$6=1,$N68&lt;&gt;1)),0,IF(MB68&lt;=120,MH68,IF(LX$4&lt;$AD$124,IF($F68=1,60/LZ$4*LZ$6,60/LZ$4*LZ$7),IF($F68=1,120/LZ$4*LZ$6,120/LZ$4*LZ$7)))),IF(OR($F68=3,$G68=2),IF(OR(AND(LX$4&gt;=$AD$119,$C68=2),AND(LX$4&gt;=$AF$119,$C68=1)),0,IF(MB68&lt;=60,MH68,60/LZ$4*LZ$7)),IF(AND($F68=2,$G68=1),MH68,0)))))</f>
        <v>0</v>
      </c>
      <c r="MK68" s="57" t="str">
        <f t="shared" si="136"/>
        <v/>
      </c>
      <c r="ML68" s="57" t="str">
        <f t="shared" si="448"/>
        <v/>
      </c>
      <c r="MM68" s="713">
        <f>'org. Düngung 22'!CR67</f>
        <v>0</v>
      </c>
      <c r="MN68" s="57"/>
      <c r="MO68" s="57"/>
      <c r="MP68" s="57">
        <f t="shared" si="138"/>
        <v>0</v>
      </c>
      <c r="MQ68" s="57">
        <f t="shared" si="303"/>
        <v>0</v>
      </c>
      <c r="MR68" s="57">
        <f t="shared" si="304"/>
        <v>0</v>
      </c>
      <c r="MS68" s="57">
        <f t="shared" si="305"/>
        <v>0</v>
      </c>
      <c r="MT68" s="57">
        <f t="shared" si="306"/>
        <v>0</v>
      </c>
      <c r="MU68" s="1029">
        <f t="shared" si="449"/>
        <v>0</v>
      </c>
      <c r="MV68" s="57">
        <f t="shared" si="450"/>
        <v>0</v>
      </c>
      <c r="MW68" s="171" t="str">
        <f t="shared" si="451"/>
        <v/>
      </c>
      <c r="MX68" s="57">
        <f t="shared" si="307"/>
        <v>0</v>
      </c>
      <c r="MY68" s="57">
        <f>IF(OR(AND(MM$6=1,$L68=0),AND(MM$6=2,$K68=2,$G68=1)),0,IF(AND(MO$9=2,(OR($F68&gt;1,$K68=1,AND($L68=80,OR($N68=1,AND($N68=2,'#BerechnungDBE'!$AL59&gt;0)))))),IF(MM$4&gt;=$AD$126,0,MW68),IF(MO$9=3,IF(OR(MM$4&gt;=$AD$127,AND($G68=1,$J68=2,MM$6=2),AND(MM$6=1,$N68&lt;&gt;1)),0,IF(MQ68&lt;=120,MW68,IF(MM$4&lt;$AD$124,IF($F68=1,60/MO$4*MO$6,60/MO$4*MO$7),IF($F68=1,120/MO$4*MO$6,120/MO$4*MO$7)))),IF(OR($F68=3,$G68=2),IF(OR(AND(MM$4&gt;=$AD$119,$C68=2),AND(MM$4&gt;=$AF$119,$C68=1)),0,IF(MQ68&lt;=60,MW68,60/MO$4*MO$7)),IF(AND($F68=2,$G68=1),MW68,0)))))</f>
        <v>0</v>
      </c>
      <c r="MZ68" s="57" t="str">
        <f t="shared" si="142"/>
        <v/>
      </c>
      <c r="NA68" s="57" t="str">
        <f t="shared" si="452"/>
        <v/>
      </c>
      <c r="NB68" s="713">
        <f>'org. Düngung 22'!CV67</f>
        <v>0</v>
      </c>
      <c r="NC68" s="57"/>
      <c r="ND68" s="57"/>
      <c r="NE68" s="57">
        <f t="shared" si="144"/>
        <v>0</v>
      </c>
      <c r="NF68" s="57">
        <f t="shared" si="308"/>
        <v>0</v>
      </c>
      <c r="NG68" s="57">
        <f t="shared" si="309"/>
        <v>0</v>
      </c>
      <c r="NH68" s="57">
        <f t="shared" si="310"/>
        <v>0</v>
      </c>
      <c r="NI68" s="57">
        <f t="shared" si="311"/>
        <v>0</v>
      </c>
      <c r="NJ68" s="1029">
        <f t="shared" si="453"/>
        <v>0</v>
      </c>
      <c r="NK68" s="57">
        <f t="shared" si="454"/>
        <v>0</v>
      </c>
      <c r="NL68" s="171" t="str">
        <f t="shared" si="455"/>
        <v/>
      </c>
      <c r="NM68" s="57">
        <f t="shared" si="312"/>
        <v>0</v>
      </c>
      <c r="NN68" s="57">
        <f>IF(OR(AND(NB$6=1,$L68=0),AND(NB$6=2,$K68=2,$G68=1)),0,IF(AND(ND$9=2,(OR($F68&gt;1,$K68=1,AND($L68=80,OR($N68=1,AND($N68=2,'#BerechnungDBE'!$AL59&gt;0)))))),IF(NB$4&gt;=$AD$126,0,NL68),IF(ND$9=3,IF(OR(NB$4&gt;=$AD$127,AND($G68=1,$J68=2,NB$6=2),AND(NB$6=1,$N68&lt;&gt;1)),0,IF(NF68&lt;=120,NL68,IF(NB$4&lt;$AD$124,IF($F68=1,60/ND$4*ND$6,60/ND$4*ND$7),IF($F68=1,120/ND$4*ND$6,120/ND$4*ND$7)))),IF(OR($F68=3,$G68=2),IF(OR(AND(NB$4&gt;=$AD$119,$C68=2),AND(NB$4&gt;=$AF$119,$C68=1)),0,IF(NF68&lt;=60,NL68,60/ND$4*ND$7)),IF(AND($F68=2,$G68=1),NL68,0)))))</f>
        <v>0</v>
      </c>
      <c r="NO68" s="57" t="str">
        <f t="shared" si="148"/>
        <v/>
      </c>
      <c r="NP68" s="57" t="str">
        <f t="shared" si="456"/>
        <v/>
      </c>
      <c r="NQ68" s="713">
        <f>'org. Düngung 22'!CZ67</f>
        <v>0</v>
      </c>
      <c r="NR68" s="57"/>
      <c r="NS68" s="57"/>
      <c r="NT68" s="57">
        <f t="shared" si="150"/>
        <v>0</v>
      </c>
      <c r="NU68" s="57">
        <f t="shared" si="313"/>
        <v>0</v>
      </c>
      <c r="NV68" s="57">
        <f t="shared" si="314"/>
        <v>0</v>
      </c>
      <c r="NW68" s="57">
        <f t="shared" si="315"/>
        <v>0</v>
      </c>
      <c r="NX68" s="57">
        <f t="shared" si="316"/>
        <v>0</v>
      </c>
      <c r="NY68" s="1029">
        <f t="shared" si="457"/>
        <v>0</v>
      </c>
      <c r="NZ68" s="57">
        <f t="shared" si="458"/>
        <v>0</v>
      </c>
      <c r="OA68" s="171" t="str">
        <f t="shared" si="459"/>
        <v/>
      </c>
      <c r="OB68" s="57">
        <f t="shared" si="317"/>
        <v>0</v>
      </c>
      <c r="OC68" s="57">
        <f>IF(OR(AND(NQ$6=1,$L68=0),AND(NQ$6=2,$K68=2,$G68=1)),0,IF(AND(NS$9=2,(OR($F68&gt;1,$K68=1,AND($L68=80,OR($N68=1,AND($N68=2,'#BerechnungDBE'!$AL59&gt;0)))))),IF(NQ$4&gt;=$AD$126,0,OA68),IF(NS$9=3,IF(OR(NQ$4&gt;=$AD$127,AND($G68=1,$J68=2,NQ$6=2),AND(NQ$6=1,$N68&lt;&gt;1)),0,IF(NU68&lt;=120,OA68,IF(NQ$4&lt;$AD$124,IF($F68=1,60/NS$4*NS$6,60/NS$4*NS$7),IF($F68=1,120/NS$4*NS$6,120/NS$4*NS$7)))),IF(OR($F68=3,$G68=2),IF(OR(AND(NQ$4&gt;=$AD$119,$C68=2),AND(NQ$4&gt;=$AF$119,$C68=1)),0,IF(NU68&lt;=60,OA68,60/NS$4*NS$7)),IF(AND($F68=2,$G68=1),OA68,0)))))</f>
        <v>0</v>
      </c>
      <c r="OD68" s="57" t="str">
        <f t="shared" si="154"/>
        <v/>
      </c>
      <c r="OE68" s="57" t="str">
        <f t="shared" si="460"/>
        <v/>
      </c>
      <c r="OF68" s="713">
        <f>'org. Düngung 22'!DD67</f>
        <v>0</v>
      </c>
      <c r="OG68" s="57"/>
      <c r="OH68" s="57"/>
      <c r="OI68" s="57">
        <f t="shared" si="156"/>
        <v>0</v>
      </c>
      <c r="OJ68" s="57">
        <f t="shared" si="318"/>
        <v>0</v>
      </c>
      <c r="OK68" s="57">
        <f t="shared" si="319"/>
        <v>0</v>
      </c>
      <c r="OL68" s="57">
        <f t="shared" si="320"/>
        <v>0</v>
      </c>
      <c r="OM68" s="57">
        <f t="shared" si="321"/>
        <v>0</v>
      </c>
      <c r="ON68" s="1029">
        <f t="shared" si="461"/>
        <v>0</v>
      </c>
      <c r="OO68" s="57">
        <f t="shared" si="462"/>
        <v>0</v>
      </c>
      <c r="OP68" s="171" t="str">
        <f t="shared" si="463"/>
        <v/>
      </c>
      <c r="OQ68" s="57">
        <f t="shared" si="322"/>
        <v>0</v>
      </c>
      <c r="OR68" s="57">
        <f>IF(OR(AND(OF$6=1,$L68=0),AND(OF$6=2,$K68=2,$G68=1)),0,IF(AND(OH$9=2,(OR($F68&gt;1,$K68=1,AND($L68=80,OR($N68=1,AND($N68=2,'#BerechnungDBE'!$AL59&gt;0)))))),IF(OF$4&gt;=$AD$126,0,OP68),IF(OH$9=3,IF(OR(OF$4&gt;=$AD$127,AND($G68=1,$J68=2,OF$6=2),AND(OF$6=1,$N68&lt;&gt;1)),0,IF(OJ68&lt;=120,OP68,IF(OF$4&lt;$AD$124,IF($F68=1,60/OH$4*OH$6,60/OH$4*OH$7),IF($F68=1,120/OH$4*OH$6,120/OH$4*OH$7)))),IF(OR($F68=3,$G68=2),IF(OR(AND(OF$4&gt;=$AD$119,$C68=2),AND(OF$4&gt;=$AF$119,$C68=1)),0,IF(OJ68&lt;=60,OP68,60/OH$4*OH$7)),IF(AND($F68=2,$G68=1),OP68,0)))))</f>
        <v>0</v>
      </c>
      <c r="OS68" s="57" t="str">
        <f t="shared" si="160"/>
        <v/>
      </c>
      <c r="OT68" s="57" t="str">
        <f t="shared" si="464"/>
        <v/>
      </c>
      <c r="OU68" s="713">
        <f>'org. Düngung 22'!DH67</f>
        <v>0</v>
      </c>
      <c r="OV68" s="57"/>
      <c r="OW68" s="57"/>
      <c r="OX68" s="57">
        <f t="shared" si="162"/>
        <v>0</v>
      </c>
      <c r="OY68" s="57">
        <f t="shared" si="323"/>
        <v>0</v>
      </c>
      <c r="OZ68" s="57">
        <f t="shared" si="324"/>
        <v>0</v>
      </c>
      <c r="PA68" s="57">
        <f t="shared" si="325"/>
        <v>0</v>
      </c>
      <c r="PB68" s="57">
        <f t="shared" si="326"/>
        <v>0</v>
      </c>
      <c r="PC68" s="1029">
        <f t="shared" si="465"/>
        <v>0</v>
      </c>
      <c r="PD68" s="57">
        <f t="shared" si="466"/>
        <v>0</v>
      </c>
      <c r="PE68" s="171" t="str">
        <f t="shared" si="467"/>
        <v/>
      </c>
      <c r="PF68" s="57">
        <f t="shared" si="327"/>
        <v>0</v>
      </c>
      <c r="PG68" s="57">
        <f>IF(OR(AND(OU$6=1,$L68=0),AND(OU$6=2,$K68=2,$G68=1)),0,IF(AND(OW$9=2,(OR($F68&gt;1,$K68=1,AND($L68=80,OR($N68=1,AND($N68=2,'#BerechnungDBE'!$AL59&gt;0)))))),IF(OU$4&gt;=$AD$126,0,PE68),IF(OW$9=3,IF(OR(OU$4&gt;=$AD$127,AND($G68=1,$J68=2,OU$6=2),AND(OU$6=1,$N68&lt;&gt;1)),0,IF(OY68&lt;=120,PE68,IF(OU$4&lt;$AD$124,IF($F68=1,60/OW$4*OW$6,60/OW$4*OW$7),IF($F68=1,120/OW$4*OW$6,120/OW$4*OW$7)))),IF(OR($F68=3,$G68=2),IF(OR(AND(OU$4&gt;=$AD$119,$C68=2),AND(OU$4&gt;=$AF$119,$C68=1)),0,IF(OY68&lt;=60,PE68,60/OW$4*OW$7)),IF(AND($F68=2,$G68=1),PE68,0)))))</f>
        <v>0</v>
      </c>
      <c r="PH68" s="57" t="str">
        <f t="shared" si="166"/>
        <v/>
      </c>
      <c r="PI68" s="57" t="str">
        <f t="shared" si="468"/>
        <v/>
      </c>
      <c r="PJ68" s="713">
        <f>'org. Düngung 22'!DL67</f>
        <v>0</v>
      </c>
      <c r="PK68" s="57"/>
      <c r="PL68" s="57"/>
      <c r="PM68" s="57">
        <f t="shared" si="168"/>
        <v>0</v>
      </c>
      <c r="PN68" s="57">
        <f t="shared" si="328"/>
        <v>0</v>
      </c>
      <c r="PO68" s="57">
        <f t="shared" si="329"/>
        <v>0</v>
      </c>
      <c r="PP68" s="57">
        <f t="shared" si="330"/>
        <v>0</v>
      </c>
      <c r="PQ68" s="57">
        <f t="shared" si="331"/>
        <v>0</v>
      </c>
      <c r="PR68" s="1029">
        <f t="shared" si="469"/>
        <v>0</v>
      </c>
      <c r="PS68" s="57">
        <f t="shared" si="470"/>
        <v>0</v>
      </c>
      <c r="PT68" s="171" t="str">
        <f t="shared" si="471"/>
        <v/>
      </c>
      <c r="PU68" s="57">
        <f t="shared" si="332"/>
        <v>0</v>
      </c>
      <c r="PV68" s="57">
        <f>IF(OR(AND(PJ$6=1,$L68=0),AND(PJ$6=2,$K68=2,$G68=1)),0,IF(AND(PL$9=2,(OR($F68&gt;1,$K68=1,AND($L68=80,OR($N68=1,AND($N68=2,'#BerechnungDBE'!$AL59&gt;0)))))),IF(PJ$4&gt;=$AD$126,0,PT68),IF(PL$9=3,IF(OR(PJ$4&gt;=$AD$127,AND($G68=1,$J68=2,PJ$6=2),AND(PJ$6=1,$N68&lt;&gt;1)),0,IF(PN68&lt;=120,PT68,IF(PJ$4&lt;$AD$124,IF($F68=1,60/PL$4*PL$6,60/PL$4*PL$7),IF($F68=1,120/PL$4*PL$6,120/PL$4*PL$7)))),IF(OR($F68=3,$G68=2),IF(OR(AND(PJ$4&gt;=$AD$119,$C68=2),AND(PJ$4&gt;=$AF$119,$C68=1)),0,IF(PN68&lt;=60,PT68,60/PL$4*PL$7)),IF(AND($F68=2,$G68=1),PT68,0)))))</f>
        <v>0</v>
      </c>
      <c r="PW68" s="57" t="str">
        <f t="shared" si="172"/>
        <v/>
      </c>
      <c r="PX68" s="57" t="str">
        <f t="shared" si="472"/>
        <v/>
      </c>
      <c r="PY68" s="713">
        <f>'org. Düngung 22'!DP67</f>
        <v>0</v>
      </c>
      <c r="PZ68" s="57"/>
      <c r="QA68" s="57"/>
      <c r="QB68" s="57">
        <f t="shared" si="174"/>
        <v>0</v>
      </c>
      <c r="QC68" s="57">
        <f t="shared" si="333"/>
        <v>0</v>
      </c>
      <c r="QD68" s="57">
        <f t="shared" si="334"/>
        <v>0</v>
      </c>
      <c r="QE68" s="57">
        <f t="shared" si="335"/>
        <v>0</v>
      </c>
      <c r="QF68" s="57">
        <f t="shared" si="336"/>
        <v>0</v>
      </c>
      <c r="QG68" s="1029">
        <f t="shared" si="473"/>
        <v>0</v>
      </c>
      <c r="QH68" s="57">
        <f t="shared" si="474"/>
        <v>0</v>
      </c>
      <c r="QI68" s="171" t="str">
        <f t="shared" si="475"/>
        <v/>
      </c>
      <c r="QJ68" s="57">
        <f t="shared" si="337"/>
        <v>0</v>
      </c>
      <c r="QK68" s="57">
        <f>IF(OR(AND(PY$6=1,$L68=0),AND(PY$6=2,$K68=2,$G68=1)),0,IF(AND(QA$9=2,(OR($F68&gt;1,$K68=1,AND($L68=80,OR($N68=1,AND($N68=2,'#BerechnungDBE'!$AL59&gt;0)))))),IF(PY$4&gt;=$AD$126,0,QI68),IF(QA$9=3,IF(OR(PY$4&gt;=$AD$127,AND($G68=1,$J68=2,PY$6=2),AND(PY$6=1,$N68&lt;&gt;1)),0,IF(QC68&lt;=120,QI68,IF(PY$4&lt;$AD$124,IF($F68=1,60/QA$4*QA$6,60/QA$4*QA$7),IF($F68=1,120/QA$4*QA$6,120/QA$4*QA$7)))),IF(OR($F68=3,$G68=2),IF(OR(AND(PY$4&gt;=$AD$119,$C68=2),AND(PY$4&gt;=$AF$119,$C68=1)),0,IF(QC68&lt;=60,QI68,60/QA$4*QA$7)),IF(AND($F68=2,$G68=1),QI68,0)))))</f>
        <v>0</v>
      </c>
      <c r="QL68" s="57" t="str">
        <f t="shared" si="178"/>
        <v/>
      </c>
      <c r="QM68" s="57" t="str">
        <f t="shared" si="476"/>
        <v/>
      </c>
      <c r="QN68" s="713">
        <f>'org. Düngung 22'!DT67</f>
        <v>0</v>
      </c>
      <c r="QO68" s="57"/>
      <c r="QP68" s="57"/>
      <c r="QQ68" s="57">
        <f t="shared" si="180"/>
        <v>0</v>
      </c>
      <c r="QR68" s="57">
        <f t="shared" si="338"/>
        <v>0</v>
      </c>
      <c r="QS68" s="57">
        <f t="shared" si="339"/>
        <v>0</v>
      </c>
      <c r="QT68" s="57">
        <f t="shared" si="340"/>
        <v>0</v>
      </c>
      <c r="QU68" s="57">
        <f t="shared" si="341"/>
        <v>0</v>
      </c>
      <c r="QV68" s="1029">
        <f t="shared" si="477"/>
        <v>0</v>
      </c>
      <c r="QW68" s="57">
        <f t="shared" si="478"/>
        <v>0</v>
      </c>
      <c r="QX68" s="171" t="str">
        <f t="shared" si="479"/>
        <v/>
      </c>
      <c r="QY68" s="57">
        <f t="shared" si="342"/>
        <v>0</v>
      </c>
      <c r="QZ68" s="57">
        <f>IF(OR(AND(QN$6=1,$L68=0),AND(QN$6=2,$K68=2,$G68=1)),0,IF(AND(QP$9=2,(OR($F68&gt;1,$K68=1,AND($L68=80,OR($N68=1,AND($N68=2,'#BerechnungDBE'!$AL59&gt;0)))))),IF(QN$4&gt;=$AD$126,0,QX68),IF(QP$9=3,IF(OR(QN$4&gt;=$AD$127,AND($G68=1,$J68=2,QN$6=2),AND(QN$6=1,$N68&lt;&gt;1)),0,IF(QR68&lt;=120,QX68,IF(QN$4&lt;$AD$124,IF($F68=1,60/QP$4*QP$6,60/QP$4*QP$7),IF($F68=1,120/QP$4*QP$6,120/QP$4*QP$7)))),IF(OR($F68=3,$G68=2),IF(OR(AND(QN$4&gt;=$AD$119,$C68=2),AND(QN$4&gt;=$AF$119,$C68=1)),0,IF(QR68&lt;=60,QX68,60/QP$4*QP$7)),IF(AND($F68=2,$G68=1),QX68,0)))))</f>
        <v>0</v>
      </c>
      <c r="RA68" s="57" t="str">
        <f t="shared" si="184"/>
        <v/>
      </c>
      <c r="RB68" s="57" t="str">
        <f t="shared" si="480"/>
        <v/>
      </c>
      <c r="RC68" s="713">
        <f>'org. Düngung 22'!DX67</f>
        <v>0</v>
      </c>
      <c r="RD68" s="57"/>
      <c r="RE68" s="57"/>
      <c r="RF68" s="57">
        <f t="shared" si="186"/>
        <v>0</v>
      </c>
      <c r="RG68" s="57">
        <f t="shared" si="343"/>
        <v>0</v>
      </c>
      <c r="RH68" s="57">
        <f t="shared" si="344"/>
        <v>0</v>
      </c>
      <c r="RI68" s="57">
        <f t="shared" si="345"/>
        <v>0</v>
      </c>
      <c r="RJ68" s="57">
        <f t="shared" si="346"/>
        <v>0</v>
      </c>
      <c r="RK68" s="1029">
        <f t="shared" si="481"/>
        <v>0</v>
      </c>
      <c r="RL68" s="57">
        <f t="shared" si="482"/>
        <v>0</v>
      </c>
      <c r="RM68" s="171" t="str">
        <f t="shared" si="483"/>
        <v/>
      </c>
      <c r="RN68" s="57">
        <f t="shared" si="347"/>
        <v>0</v>
      </c>
      <c r="RO68" s="57">
        <f>IF(OR(AND(RC$6=1,$L68=0),AND(RC$6=2,$K68=2,$G68=1)),0,IF(AND(RE$9=2,(OR($F68&gt;1,$K68=1,AND($L68=80,OR($N68=1,AND($N68=2,'#BerechnungDBE'!$AL59&gt;0)))))),IF(RC$4&gt;=$AD$126,0,RM68),IF(RE$9=3,IF(OR(RC$4&gt;=$AD$127,AND($G68=1,$J68=2,RC$6=2),AND(RC$6=1,$N68&lt;&gt;1)),0,IF(RG68&lt;=120,RM68,IF(RC$4&lt;$AD$124,IF($F68=1,60/RE$4*RE$6,60/RE$4*RE$7),IF($F68=1,120/RE$4*RE$6,120/RE$4*RE$7)))),IF(OR($F68=3,$G68=2),IF(OR(AND(RC$4&gt;=$AD$119,$C68=2),AND(RC$4&gt;=$AF$119,$C68=1)),0,IF(RG68&lt;=60,RM68,60/RE$4*RE$7)),IF(AND($F68=2,$G68=1),RM68,0)))))</f>
        <v>0</v>
      </c>
      <c r="RP68" s="57" t="str">
        <f t="shared" si="190"/>
        <v/>
      </c>
      <c r="RQ68" s="57" t="str">
        <f t="shared" si="484"/>
        <v/>
      </c>
      <c r="RS68" s="57" t="str">
        <f t="shared" si="488"/>
        <v/>
      </c>
      <c r="RT68" s="57" t="str">
        <f t="shared" si="485"/>
        <v/>
      </c>
      <c r="RU68" s="57" t="str">
        <f t="shared" si="486"/>
        <v/>
      </c>
      <c r="RV68" s="57" t="str">
        <f>IF(Z68&gt;'#BerechnungDBE'!BM59,$RV$9,"")</f>
        <v/>
      </c>
      <c r="RW68" s="57" t="str">
        <f>IF(AND(L68=70,AE68&gt;'#BerechnungDBE'!CQ59),$RW$9,"")</f>
        <v/>
      </c>
      <c r="RX68" s="57" t="str">
        <f>IF(OR('org. Düngung 22'!G67="--",'org. Düngung 22'!G67&lt;=170,'org. Düngung 22'!G67=""),"",$RX$9)</f>
        <v/>
      </c>
      <c r="RY68" s="57" t="str">
        <f>IF('org. Düngung 22'!K67&gt;120,'#orgDung'!$RY$9,"")</f>
        <v/>
      </c>
      <c r="RZ68" s="57" t="str">
        <f>IF('#BerechnungDBE'!P59&lt;4,"",IF(AND('#BerechnungDBE'!BZ59&gt;0,T68&gt;0),'#orgDung'!$RZ$9,""))</f>
        <v/>
      </c>
      <c r="SA68" s="57" t="str">
        <f t="shared" si="487"/>
        <v/>
      </c>
    </row>
    <row r="69" spans="1:495" s="875" customFormat="1" x14ac:dyDescent="0.2">
      <c r="A69" s="875">
        <f>'Flächen u. Kulturen'!A65</f>
        <v>56</v>
      </c>
      <c r="B69" s="367">
        <f>'#BerechnungDBE'!L60</f>
        <v>0</v>
      </c>
      <c r="C69" s="875">
        <f>'#BerechnungDBE'!R60</f>
        <v>1</v>
      </c>
      <c r="D69" s="875">
        <f>'#BerechnungDBE'!T60</f>
        <v>2</v>
      </c>
      <c r="E69" s="875" t="str">
        <f>'Flächen u. Kulturen'!E65</f>
        <v>x</v>
      </c>
      <c r="F69" s="52">
        <f>'#BerechnungDBE'!N60</f>
        <v>1</v>
      </c>
      <c r="G69" s="52">
        <f>'#BerechnungDBE'!O60</f>
        <v>1</v>
      </c>
      <c r="H69" s="875">
        <f>IF('Flächen u. Kulturen'!P65="",0,VLOOKUP('Flächen u. Kulturen'!P65,Kulturen[[HF]:[Berechnungsgruppe]],'#Frucht'!$H$1,FALSE))</f>
        <v>0</v>
      </c>
      <c r="I69" s="875">
        <f>IF('Flächen u. Kulturen'!J65="",0,VLOOKUP('Flächen u. Kulturen'!J65,Kulturen[[HF]:[Berechnungsgruppe]],'#Frucht'!$G$1,FALSE))</f>
        <v>90</v>
      </c>
      <c r="J69" s="505">
        <f t="shared" si="195"/>
        <v>2</v>
      </c>
      <c r="K69" s="505">
        <f>IF('Flächen u. Kulturen'!P65="",0,IF(VLOOKUP('Flächen u. Kulturen'!P65,Kulturen[[HF]:[Saat Winterungen]],'#Frucht'!$P$1,FALSE)&gt;0,1,2))</f>
        <v>2</v>
      </c>
      <c r="L69" s="875">
        <f>'#BerechnungDBE'!AF60</f>
        <v>0</v>
      </c>
      <c r="M69" s="875">
        <f>IF('Flächen u. Kulturen'!L65="",0,VLOOKUP('Flächen u. Kulturen'!L65,Nebenkultur[[Nebenkultur]:[Legum. Zwischenfr.]],'#Zweitfr'!$K$1,FALSE))</f>
        <v>0</v>
      </c>
      <c r="N69" s="875">
        <f>'#BerechnungDBE'!AG60</f>
        <v>0</v>
      </c>
      <c r="P69" s="57">
        <f t="shared" si="353"/>
        <v>0</v>
      </c>
      <c r="Q69" s="57">
        <f t="shared" si="354"/>
        <v>0</v>
      </c>
      <c r="R69" s="875">
        <f t="shared" si="355"/>
        <v>0</v>
      </c>
      <c r="S69" s="938" t="str">
        <f t="shared" si="3"/>
        <v/>
      </c>
      <c r="T69" s="875">
        <f t="shared" si="356"/>
        <v>0</v>
      </c>
      <c r="U69" s="875">
        <f t="shared" si="357"/>
        <v>0</v>
      </c>
      <c r="V69" s="875">
        <f t="shared" si="358"/>
        <v>0</v>
      </c>
      <c r="W69" s="875">
        <f t="shared" si="359"/>
        <v>0</v>
      </c>
      <c r="X69" s="875">
        <f t="shared" si="360"/>
        <v>0</v>
      </c>
      <c r="Y69" s="875">
        <f t="shared" si="349"/>
        <v>0</v>
      </c>
      <c r="Z69" s="875">
        <f t="shared" si="350"/>
        <v>0</v>
      </c>
      <c r="AA69" s="910">
        <f t="shared" si="361"/>
        <v>0</v>
      </c>
      <c r="AB69" s="57">
        <f t="shared" si="351"/>
        <v>0</v>
      </c>
      <c r="AC69" s="875">
        <f t="shared" si="362"/>
        <v>0</v>
      </c>
      <c r="AD69" s="875">
        <f t="shared" si="363"/>
        <v>0</v>
      </c>
      <c r="AE69" s="875">
        <f t="shared" si="364"/>
        <v>0</v>
      </c>
      <c r="AF69" s="875">
        <f t="shared" si="352"/>
        <v>0</v>
      </c>
      <c r="AG69" s="875">
        <f>'org. Düngung 22'!J68</f>
        <v>0</v>
      </c>
      <c r="AH69" s="875">
        <f>'org. Düngung 22'!K68</f>
        <v>0</v>
      </c>
      <c r="AJ69" s="713">
        <f>'org. Düngung 22'!L68</f>
        <v>0</v>
      </c>
      <c r="AK69" s="57"/>
      <c r="AL69" s="57"/>
      <c r="AM69" s="57">
        <f t="shared" si="196"/>
        <v>0</v>
      </c>
      <c r="AN69" s="57">
        <f t="shared" si="197"/>
        <v>0</v>
      </c>
      <c r="AO69" s="57">
        <f t="shared" si="198"/>
        <v>0</v>
      </c>
      <c r="AP69" s="57">
        <f t="shared" si="199"/>
        <v>0</v>
      </c>
      <c r="AQ69" s="57">
        <f t="shared" si="200"/>
        <v>0</v>
      </c>
      <c r="AR69" s="1029">
        <f t="shared" si="365"/>
        <v>0</v>
      </c>
      <c r="AS69" s="57">
        <f t="shared" si="366"/>
        <v>0</v>
      </c>
      <c r="AT69" s="171" t="str">
        <f t="shared" si="367"/>
        <v/>
      </c>
      <c r="AU69" s="57">
        <f t="shared" si="201"/>
        <v>0</v>
      </c>
      <c r="AV69" s="57">
        <f>IF(OR(AND(AJ$6=1,$L69=0),AND(AJ$6=2,$K69=2,$G69=1)),0,IF(AND(AL$9=2,(OR($F69&gt;1,$K69=1,AND($L69=80,OR($N69=1,AND($N69=2,'#BerechnungDBE'!$AL60&gt;0)))))),IF(AJ$4&gt;=$AD$126,0,AT69),IF(AL$9=3,IF(OR(AJ$4&gt;=$AD$127,AND($G69=1,$J69=2,AJ$6=2),AND(AJ$6=1,$N69&lt;&gt;1)),0,IF(AN69&lt;=120,AT69,IF(AJ$4&lt;$AD$124,IF($F69=1,60/AL$4*AL$6,60/AL$4*AL$7),IF($F69=1,120/AL$4*AL$6,120/AL$4*AL$7)))),IF(OR($F69=3,$G69=2),IF(OR(AND(AJ$4&gt;=$AD$119,$C69=2),AND(AJ$4&gt;=$AF$119,$C69=1)),0,IF(AN69&lt;=60,AT69,60/AL$4*AL$7)),IF(AND($F69=2,$G69=1),AT69,0)))))</f>
        <v>0</v>
      </c>
      <c r="AW69" s="57" t="str">
        <f t="shared" si="202"/>
        <v/>
      </c>
      <c r="AX69" s="57" t="str">
        <f t="shared" si="368"/>
        <v/>
      </c>
      <c r="AY69" s="713">
        <f>'org. Düngung 22'!P68</f>
        <v>0</v>
      </c>
      <c r="AZ69" s="57"/>
      <c r="BA69" s="57"/>
      <c r="BB69" s="57">
        <f t="shared" si="18"/>
        <v>0</v>
      </c>
      <c r="BC69" s="57">
        <f t="shared" si="203"/>
        <v>0</v>
      </c>
      <c r="BD69" s="57">
        <f t="shared" si="204"/>
        <v>0</v>
      </c>
      <c r="BE69" s="57">
        <f t="shared" si="205"/>
        <v>0</v>
      </c>
      <c r="BF69" s="57">
        <f t="shared" si="206"/>
        <v>0</v>
      </c>
      <c r="BG69" s="1029">
        <f t="shared" si="369"/>
        <v>0</v>
      </c>
      <c r="BH69" s="57">
        <f t="shared" si="370"/>
        <v>0</v>
      </c>
      <c r="BI69" s="171" t="str">
        <f t="shared" si="371"/>
        <v/>
      </c>
      <c r="BJ69" s="57">
        <f t="shared" si="207"/>
        <v>0</v>
      </c>
      <c r="BK69" s="57">
        <f>IF(OR(AND(AY$6=1,$L69=0),AND(AY$6=2,$K69=2,$G69=1)),0,IF(AND(BA$9=2,(OR($F69&gt;1,$K69=1,AND($L69=80,OR($N69=1,AND($N69=2,'#BerechnungDBE'!$AL60&gt;0)))))),IF(AY$4&gt;=$AD$126,0,BI69),IF(BA$9=3,IF(OR(AY$4&gt;=$AD$127,AND($G69=1,$J69=2,AY$6=2),AND(AY$6=1,$N69&lt;&gt;1)),0,IF(BC69&lt;=120,BI69,IF(AY$4&lt;$AD$124,IF($F69=1,60/BA$4*BA$6,60/BA$4*BA$7),IF($F69=1,120/BA$4*BA$6,120/BA$4*BA$7)))),IF(OR($F69=3,$G69=2),IF(OR(AND(AY$4&gt;=$AD$119,$C69=2),AND(AY$4&gt;=$AF$119,$C69=1)),0,IF(BC69&lt;=60,BI69,60/BA$4*BA$7)),IF(AND($F69=2,$G69=1),BI69,0)))))</f>
        <v>0</v>
      </c>
      <c r="BL69" s="57" t="str">
        <f t="shared" si="22"/>
        <v/>
      </c>
      <c r="BM69" s="57" t="str">
        <f t="shared" si="372"/>
        <v/>
      </c>
      <c r="BN69" s="713">
        <f>'org. Düngung 22'!T68</f>
        <v>0</v>
      </c>
      <c r="BO69" s="57"/>
      <c r="BP69" s="57"/>
      <c r="BQ69" s="57">
        <f t="shared" si="24"/>
        <v>0</v>
      </c>
      <c r="BR69" s="57">
        <f t="shared" si="208"/>
        <v>0</v>
      </c>
      <c r="BS69" s="57">
        <f t="shared" si="209"/>
        <v>0</v>
      </c>
      <c r="BT69" s="57">
        <f t="shared" si="210"/>
        <v>0</v>
      </c>
      <c r="BU69" s="57">
        <f t="shared" si="211"/>
        <v>0</v>
      </c>
      <c r="BV69" s="1029">
        <f t="shared" si="373"/>
        <v>0</v>
      </c>
      <c r="BW69" s="57">
        <f t="shared" si="374"/>
        <v>0</v>
      </c>
      <c r="BX69" s="171" t="str">
        <f t="shared" si="375"/>
        <v/>
      </c>
      <c r="BY69" s="57">
        <f t="shared" si="212"/>
        <v>0</v>
      </c>
      <c r="BZ69" s="57">
        <f>IF(OR(AND(BN$6=1,$L69=0),AND(BN$6=2,$K69=2,$G69=1)),0,IF(AND(BP$9=2,(OR($F69&gt;1,$K69=1,AND($L69=80,OR($N69=1,AND($N69=2,'#BerechnungDBE'!$AL60&gt;0)))))),IF(BN$4&gt;=$AD$126,0,BX69),IF(BP$9=3,IF(OR(BN$4&gt;=$AD$127,AND($G69=1,$J69=2,BN$6=2),AND(BN$6=1,$N69&lt;&gt;1)),0,IF(BR69&lt;=120,BX69,IF(BN$4&lt;$AD$124,IF($F69=1,60/BP$4*BP$6,60/BP$4*BP$7),IF($F69=1,120/BP$4*BP$6,120/BP$4*BP$7)))),IF(OR($F69=3,$G69=2),IF(OR(AND(BN$4&gt;=$AD$119,$C69=2),AND(BN$4&gt;=$AF$119,$C69=1)),0,IF(BR69&lt;=60,BX69,60/BP$4*BP$7)),IF(AND($F69=2,$G69=1),BX69,0)))))</f>
        <v>0</v>
      </c>
      <c r="CA69" s="57" t="str">
        <f t="shared" si="28"/>
        <v/>
      </c>
      <c r="CB69" s="57" t="str">
        <f t="shared" si="376"/>
        <v/>
      </c>
      <c r="CC69" s="713">
        <f>'org. Düngung 22'!X68</f>
        <v>0</v>
      </c>
      <c r="CD69" s="57"/>
      <c r="CE69" s="57"/>
      <c r="CF69" s="57">
        <f t="shared" si="30"/>
        <v>0</v>
      </c>
      <c r="CG69" s="57">
        <f t="shared" si="213"/>
        <v>0</v>
      </c>
      <c r="CH69" s="57">
        <f t="shared" si="214"/>
        <v>0</v>
      </c>
      <c r="CI69" s="57">
        <f t="shared" si="215"/>
        <v>0</v>
      </c>
      <c r="CJ69" s="57">
        <f t="shared" si="216"/>
        <v>0</v>
      </c>
      <c r="CK69" s="1029">
        <f t="shared" si="377"/>
        <v>0</v>
      </c>
      <c r="CL69" s="57">
        <f t="shared" si="378"/>
        <v>0</v>
      </c>
      <c r="CM69" s="171" t="str">
        <f t="shared" si="379"/>
        <v/>
      </c>
      <c r="CN69" s="57">
        <f t="shared" si="217"/>
        <v>0</v>
      </c>
      <c r="CO69" s="57">
        <f>IF(OR(AND(CC$6=1,$L69=0),AND(CC$6=2,$K69=2,$G69=1)),0,IF(AND(CE$9=2,(OR($F69&gt;1,$K69=1,AND($L69=80,OR($N69=1,AND($N69=2,'#BerechnungDBE'!$AL60&gt;0)))))),IF(CC$4&gt;=$AD$126,0,CM69),IF(CE$9=3,IF(OR(CC$4&gt;=$AD$127,AND($G69=1,$J69=2,CC$6=2),AND(CC$6=1,$N69&lt;&gt;1)),0,IF(CG69&lt;=120,CM69,IF(CC$4&lt;$AD$124,IF($F69=1,60/CE$4*CE$6,60/CE$4*CE$7),IF($F69=1,120/CE$4*CE$6,120/CE$4*CE$7)))),IF(OR($F69=3,$G69=2),IF(OR(AND(CC$4&gt;=$AD$119,$C69=2),AND(CC$4&gt;=$AF$119,$C69=1)),0,IF(CG69&lt;=60,CM69,60/CE$4*CE$7)),IF(AND($F69=2,$G69=1),CM69,0)))))</f>
        <v>0</v>
      </c>
      <c r="CP69" s="57" t="str">
        <f t="shared" si="34"/>
        <v/>
      </c>
      <c r="CQ69" s="57" t="str">
        <f t="shared" si="380"/>
        <v/>
      </c>
      <c r="CR69" s="713">
        <f>'org. Düngung 22'!AB68</f>
        <v>0</v>
      </c>
      <c r="CS69" s="57"/>
      <c r="CT69" s="57"/>
      <c r="CU69" s="57">
        <f t="shared" si="36"/>
        <v>0</v>
      </c>
      <c r="CV69" s="57">
        <f t="shared" si="218"/>
        <v>0</v>
      </c>
      <c r="CW69" s="57">
        <f t="shared" si="219"/>
        <v>0</v>
      </c>
      <c r="CX69" s="57">
        <f t="shared" si="220"/>
        <v>0</v>
      </c>
      <c r="CY69" s="57">
        <f t="shared" si="221"/>
        <v>0</v>
      </c>
      <c r="CZ69" s="1029">
        <f t="shared" si="381"/>
        <v>0</v>
      </c>
      <c r="DA69" s="57">
        <f t="shared" si="382"/>
        <v>0</v>
      </c>
      <c r="DB69" s="171" t="str">
        <f t="shared" si="383"/>
        <v/>
      </c>
      <c r="DC69" s="57">
        <f t="shared" si="222"/>
        <v>0</v>
      </c>
      <c r="DD69" s="57">
        <f>IF(OR(AND(CR$6=1,$L69=0),AND(CR$6=2,$K69=2,$G69=1)),0,IF(AND(CT$9=2,(OR($F69&gt;1,$K69=1,AND($L69=80,OR($N69=1,AND($N69=2,'#BerechnungDBE'!$AL60&gt;0)))))),IF(CR$4&gt;=$AD$126,0,DB69),IF(CT$9=3,IF(OR(CR$4&gt;=$AD$127,AND($G69=1,$J69=2,CR$6=2),AND(CR$6=1,$N69&lt;&gt;1)),0,IF(CV69&lt;=120,DB69,IF(CR$4&lt;$AD$124,IF($F69=1,60/CT$4*CT$6,60/CT$4*CT$7),IF($F69=1,120/CT$4*CT$6,120/CT$4*CT$7)))),IF(OR($F69=3,$G69=2),IF(OR(AND(CR$4&gt;=$AD$119,$C69=2),AND(CR$4&gt;=$AF$119,$C69=1)),0,IF(CV69&lt;=60,DB69,60/CT$4*CT$7)),IF(AND($F69=2,$G69=1),DB69,0)))))</f>
        <v>0</v>
      </c>
      <c r="DE69" s="57" t="str">
        <f t="shared" si="40"/>
        <v/>
      </c>
      <c r="DF69" s="57" t="str">
        <f t="shared" si="384"/>
        <v/>
      </c>
      <c r="DG69" s="713">
        <f>'org. Düngung 22'!AF68</f>
        <v>0</v>
      </c>
      <c r="DH69" s="57"/>
      <c r="DI69" s="57"/>
      <c r="DJ69" s="57">
        <f t="shared" si="42"/>
        <v>0</v>
      </c>
      <c r="DK69" s="57">
        <f t="shared" si="223"/>
        <v>0</v>
      </c>
      <c r="DL69" s="57">
        <f t="shared" si="224"/>
        <v>0</v>
      </c>
      <c r="DM69" s="57">
        <f t="shared" si="225"/>
        <v>0</v>
      </c>
      <c r="DN69" s="57">
        <f t="shared" si="226"/>
        <v>0</v>
      </c>
      <c r="DO69" s="1029">
        <f t="shared" si="385"/>
        <v>0</v>
      </c>
      <c r="DP69" s="57">
        <f t="shared" si="386"/>
        <v>0</v>
      </c>
      <c r="DQ69" s="171" t="str">
        <f t="shared" si="387"/>
        <v/>
      </c>
      <c r="DR69" s="57">
        <f t="shared" si="227"/>
        <v>0</v>
      </c>
      <c r="DS69" s="57">
        <f>IF(OR(AND(DG$6=1,$L69=0),AND(DG$6=2,$K69=2,$G69=1)),0,IF(AND(DI$9=2,(OR($F69&gt;1,$K69=1,AND($L69=80,OR($N69=1,AND($N69=2,'#BerechnungDBE'!$AL60&gt;0)))))),IF(DG$4&gt;=$AD$126,0,DQ69),IF(DI$9=3,IF(OR(DG$4&gt;=$AD$127,AND($G69=1,$J69=2,DG$6=2),AND(DG$6=1,$N69&lt;&gt;1)),0,IF(DK69&lt;=120,DQ69,IF(DG$4&lt;$AD$124,IF($F69=1,60/DI$4*DI$6,60/DI$4*DI$7),IF($F69=1,120/DI$4*DI$6,120/DI$4*DI$7)))),IF(OR($F69=3,$G69=2),IF(OR(AND(DG$4&gt;=$AD$119,$C69=2),AND(DG$4&gt;=$AF$119,$C69=1)),0,IF(DK69&lt;=60,DQ69,60/DI$4*DI$7)),IF(AND($F69=2,$G69=1),DQ69,0)))))</f>
        <v>0</v>
      </c>
      <c r="DT69" s="57" t="str">
        <f t="shared" si="46"/>
        <v/>
      </c>
      <c r="DU69" s="57" t="str">
        <f t="shared" si="388"/>
        <v/>
      </c>
      <c r="DV69" s="713">
        <f>'org. Düngung 22'!AJ68</f>
        <v>0</v>
      </c>
      <c r="DW69" s="57"/>
      <c r="DX69" s="57"/>
      <c r="DY69" s="57">
        <f t="shared" si="48"/>
        <v>0</v>
      </c>
      <c r="DZ69" s="57">
        <f t="shared" si="228"/>
        <v>0</v>
      </c>
      <c r="EA69" s="57">
        <f t="shared" si="229"/>
        <v>0</v>
      </c>
      <c r="EB69" s="57">
        <f t="shared" si="230"/>
        <v>0</v>
      </c>
      <c r="EC69" s="57">
        <f t="shared" si="231"/>
        <v>0</v>
      </c>
      <c r="ED69" s="1029">
        <f t="shared" si="389"/>
        <v>0</v>
      </c>
      <c r="EE69" s="57">
        <f t="shared" si="390"/>
        <v>0</v>
      </c>
      <c r="EF69" s="171" t="str">
        <f t="shared" si="391"/>
        <v/>
      </c>
      <c r="EG69" s="57">
        <f t="shared" si="232"/>
        <v>0</v>
      </c>
      <c r="EH69" s="57">
        <f>IF(OR(AND(DV$6=1,$L69=0),AND(DV$6=2,$K69=2,$G69=1)),0,IF(AND(DX$9=2,(OR($F69&gt;1,$K69=1,AND($L69=80,OR($N69=1,AND($N69=2,'#BerechnungDBE'!$AL60&gt;0)))))),IF(DV$4&gt;=$AD$126,0,EF69),IF(DX$9=3,IF(OR(DV$4&gt;=$AD$127,AND($G69=1,$J69=2,DV$6=2),AND(DV$6=1,$N69&lt;&gt;1)),0,IF(DZ69&lt;=120,EF69,IF(DV$4&lt;$AD$124,IF($F69=1,60/DX$4*DX$6,60/DX$4*DX$7),IF($F69=1,120/DX$4*DX$6,120/DX$4*DX$7)))),IF(OR($F69=3,$G69=2),IF(OR(AND(DV$4&gt;=$AD$119,$C69=2),AND(DV$4&gt;=$AF$119,$C69=1)),0,IF(DZ69&lt;=60,EF69,60/DX$4*DX$7)),IF(AND($F69=2,$G69=1),EF69,0)))))</f>
        <v>0</v>
      </c>
      <c r="EI69" s="57" t="str">
        <f t="shared" si="52"/>
        <v/>
      </c>
      <c r="EJ69" s="57" t="str">
        <f t="shared" si="392"/>
        <v/>
      </c>
      <c r="EK69" s="713">
        <f>'org. Düngung 22'!AN68</f>
        <v>0</v>
      </c>
      <c r="EL69" s="57"/>
      <c r="EM69" s="57"/>
      <c r="EN69" s="57">
        <f t="shared" si="54"/>
        <v>0</v>
      </c>
      <c r="EO69" s="57">
        <f t="shared" si="233"/>
        <v>0</v>
      </c>
      <c r="EP69" s="57">
        <f t="shared" si="234"/>
        <v>0</v>
      </c>
      <c r="EQ69" s="57">
        <f t="shared" si="235"/>
        <v>0</v>
      </c>
      <c r="ER69" s="57">
        <f t="shared" si="236"/>
        <v>0</v>
      </c>
      <c r="ES69" s="1029">
        <f t="shared" si="393"/>
        <v>0</v>
      </c>
      <c r="ET69" s="57">
        <f t="shared" si="394"/>
        <v>0</v>
      </c>
      <c r="EU69" s="171" t="str">
        <f t="shared" si="395"/>
        <v/>
      </c>
      <c r="EV69" s="57">
        <f t="shared" si="237"/>
        <v>0</v>
      </c>
      <c r="EW69" s="57">
        <f>IF(OR(AND(EK$6=1,$L69=0),AND(EK$6=2,$K69=2,$G69=1)),0,IF(AND(EM$9=2,(OR($F69&gt;1,$K69=1,AND($L69=80,OR($N69=1,AND($N69=2,'#BerechnungDBE'!$AL60&gt;0)))))),IF(EK$4&gt;=$AD$126,0,EU69),IF(EM$9=3,IF(OR(EK$4&gt;=$AD$127,AND($G69=1,$J69=2,EK$6=2),AND(EK$6=1,$N69&lt;&gt;1)),0,IF(EO69&lt;=120,EU69,IF(EK$4&lt;$AD$124,IF($F69=1,60/EM$4*EM$6,60/EM$4*EM$7),IF($F69=1,120/EM$4*EM$6,120/EM$4*EM$7)))),IF(OR($F69=3,$G69=2),IF(OR(AND(EK$4&gt;=$AD$119,$C69=2),AND(EK$4&gt;=$AF$119,$C69=1)),0,IF(EO69&lt;=60,EU69,60/EM$4*EM$7)),IF(AND($F69=2,$G69=1),EU69,0)))))</f>
        <v>0</v>
      </c>
      <c r="EX69" s="57" t="str">
        <f t="shared" si="58"/>
        <v/>
      </c>
      <c r="EY69" s="57" t="str">
        <f t="shared" si="396"/>
        <v/>
      </c>
      <c r="EZ69" s="713">
        <f>'org. Düngung 22'!AR68</f>
        <v>0</v>
      </c>
      <c r="FA69" s="57"/>
      <c r="FB69" s="57"/>
      <c r="FC69" s="57">
        <f t="shared" si="60"/>
        <v>0</v>
      </c>
      <c r="FD69" s="57">
        <f t="shared" si="238"/>
        <v>0</v>
      </c>
      <c r="FE69" s="57">
        <f t="shared" si="239"/>
        <v>0</v>
      </c>
      <c r="FF69" s="57">
        <f t="shared" si="240"/>
        <v>0</v>
      </c>
      <c r="FG69" s="57">
        <f t="shared" si="241"/>
        <v>0</v>
      </c>
      <c r="FH69" s="1029">
        <f t="shared" si="397"/>
        <v>0</v>
      </c>
      <c r="FI69" s="57">
        <f t="shared" si="398"/>
        <v>0</v>
      </c>
      <c r="FJ69" s="171" t="str">
        <f t="shared" si="399"/>
        <v/>
      </c>
      <c r="FK69" s="57">
        <f t="shared" si="242"/>
        <v>0</v>
      </c>
      <c r="FL69" s="57">
        <f>IF(OR(AND(EZ$6=1,$L69=0),AND(EZ$6=2,$K69=2,$G69=1)),0,IF(AND(FB$9=2,(OR($F69&gt;1,$K69=1,AND($L69=80,OR($N69=1,AND($N69=2,'#BerechnungDBE'!$AL60&gt;0)))))),IF(EZ$4&gt;=$AD$126,0,FJ69),IF(FB$9=3,IF(OR(EZ$4&gt;=$AD$127,AND($G69=1,$J69=2,EZ$6=2),AND(EZ$6=1,$N69&lt;&gt;1)),0,IF(FD69&lt;=120,FJ69,IF(EZ$4&lt;$AD$124,IF($F69=1,60/FB$4*FB$6,60/FB$4*FB$7),IF($F69=1,120/FB$4*FB$6,120/FB$4*FB$7)))),IF(OR($F69=3,$G69=2),IF(OR(AND(EZ$4&gt;=$AD$119,$C69=2),AND(EZ$4&gt;=$AF$119,$C69=1)),0,IF(FD69&lt;=60,FJ69,60/FB$4*FB$7)),IF(AND($F69=2,$G69=1),FJ69,0)))))</f>
        <v>0</v>
      </c>
      <c r="FM69" s="57" t="str">
        <f t="shared" si="64"/>
        <v/>
      </c>
      <c r="FN69" s="57" t="str">
        <f t="shared" si="400"/>
        <v/>
      </c>
      <c r="FO69" s="713">
        <f>'org. Düngung 22'!AV68</f>
        <v>0</v>
      </c>
      <c r="FP69" s="57"/>
      <c r="FQ69" s="57"/>
      <c r="FR69" s="57">
        <f t="shared" si="66"/>
        <v>0</v>
      </c>
      <c r="FS69" s="57">
        <f t="shared" si="243"/>
        <v>0</v>
      </c>
      <c r="FT69" s="57">
        <f t="shared" si="244"/>
        <v>0</v>
      </c>
      <c r="FU69" s="57">
        <f t="shared" si="245"/>
        <v>0</v>
      </c>
      <c r="FV69" s="57">
        <f t="shared" si="246"/>
        <v>0</v>
      </c>
      <c r="FW69" s="1029">
        <f t="shared" si="401"/>
        <v>0</v>
      </c>
      <c r="FX69" s="57">
        <f t="shared" si="402"/>
        <v>0</v>
      </c>
      <c r="FY69" s="171" t="str">
        <f t="shared" si="403"/>
        <v/>
      </c>
      <c r="FZ69" s="57">
        <f t="shared" si="247"/>
        <v>0</v>
      </c>
      <c r="GA69" s="57">
        <f>IF(OR(AND(FO$6=1,$L69=0),AND(FO$6=2,$K69=2,$G69=1)),0,IF(AND(FQ$9=2,(OR($F69&gt;1,$K69=1,AND($L69=80,OR($N69=1,AND($N69=2,'#BerechnungDBE'!$AL60&gt;0)))))),IF(FO$4&gt;=$AD$126,0,FY69),IF(FQ$9=3,IF(OR(FO$4&gt;=$AD$127,AND($G69=1,$J69=2,FO$6=2),AND(FO$6=1,$N69&lt;&gt;1)),0,IF(FS69&lt;=120,FY69,IF(FO$4&lt;$AD$124,IF($F69=1,60/FQ$4*FQ$6,60/FQ$4*FQ$7),IF($F69=1,120/FQ$4*FQ$6,120/FQ$4*FQ$7)))),IF(OR($F69=3,$G69=2),IF(OR(AND(FO$4&gt;=$AD$119,$C69=2),AND(FO$4&gt;=$AF$119,$C69=1)),0,IF(FS69&lt;=60,FY69,60/FQ$4*FQ$7)),IF(AND($F69=2,$G69=1),FY69,0)))))</f>
        <v>0</v>
      </c>
      <c r="GB69" s="57" t="str">
        <f t="shared" si="70"/>
        <v/>
      </c>
      <c r="GC69" s="57" t="str">
        <f t="shared" si="404"/>
        <v/>
      </c>
      <c r="GD69" s="713">
        <f>'org. Düngung 22'!AZ68</f>
        <v>0</v>
      </c>
      <c r="GE69" s="57"/>
      <c r="GF69" s="57"/>
      <c r="GG69" s="57">
        <f t="shared" si="72"/>
        <v>0</v>
      </c>
      <c r="GH69" s="57">
        <f t="shared" si="248"/>
        <v>0</v>
      </c>
      <c r="GI69" s="57">
        <f t="shared" si="249"/>
        <v>0</v>
      </c>
      <c r="GJ69" s="57">
        <f t="shared" si="250"/>
        <v>0</v>
      </c>
      <c r="GK69" s="57">
        <f t="shared" si="251"/>
        <v>0</v>
      </c>
      <c r="GL69" s="1029">
        <f t="shared" si="405"/>
        <v>0</v>
      </c>
      <c r="GM69" s="57">
        <f t="shared" si="406"/>
        <v>0</v>
      </c>
      <c r="GN69" s="171" t="str">
        <f t="shared" si="407"/>
        <v/>
      </c>
      <c r="GO69" s="57">
        <f t="shared" si="252"/>
        <v>0</v>
      </c>
      <c r="GP69" s="57">
        <f>IF(OR(AND(GD$6=1,$L69=0),AND(GD$6=2,$K69=2,$G69=1)),0,IF(AND(GF$9=2,(OR($F69&gt;1,$K69=1,AND($L69=80,OR($N69=1,AND($N69=2,'#BerechnungDBE'!$AL60&gt;0)))))),IF(GD$4&gt;=$AD$126,0,GN69),IF(GF$9=3,IF(OR(GD$4&gt;=$AD$127,AND($G69=1,$J69=2,GD$6=2),AND(GD$6=1,$N69&lt;&gt;1)),0,IF(GH69&lt;=120,GN69,IF(GD$4&lt;$AD$124,IF($F69=1,60/GF$4*GF$6,60/GF$4*GF$7),IF($F69=1,120/GF$4*GF$6,120/GF$4*GF$7)))),IF(OR($F69=3,$G69=2),IF(OR(AND(GD$4&gt;=$AD$119,$C69=2),AND(GD$4&gt;=$AF$119,$C69=1)),0,IF(GH69&lt;=60,GN69,60/GF$4*GF$7)),IF(AND($F69=2,$G69=1),GN69,0)))))</f>
        <v>0</v>
      </c>
      <c r="GQ69" s="57" t="str">
        <f t="shared" si="76"/>
        <v/>
      </c>
      <c r="GR69" s="57" t="str">
        <f t="shared" si="408"/>
        <v/>
      </c>
      <c r="GS69" s="713">
        <f>'org. Düngung 22'!BD68</f>
        <v>0</v>
      </c>
      <c r="GT69" s="57"/>
      <c r="GU69" s="57"/>
      <c r="GV69" s="57">
        <f t="shared" si="78"/>
        <v>0</v>
      </c>
      <c r="GW69" s="57">
        <f t="shared" si="253"/>
        <v>0</v>
      </c>
      <c r="GX69" s="57">
        <f t="shared" si="254"/>
        <v>0</v>
      </c>
      <c r="GY69" s="57">
        <f t="shared" si="255"/>
        <v>0</v>
      </c>
      <c r="GZ69" s="57">
        <f t="shared" si="256"/>
        <v>0</v>
      </c>
      <c r="HA69" s="1029">
        <f t="shared" si="409"/>
        <v>0</v>
      </c>
      <c r="HB69" s="57">
        <f t="shared" si="410"/>
        <v>0</v>
      </c>
      <c r="HC69" s="171" t="str">
        <f t="shared" si="411"/>
        <v/>
      </c>
      <c r="HD69" s="57">
        <f t="shared" si="257"/>
        <v>0</v>
      </c>
      <c r="HE69" s="57">
        <f>IF(OR(AND(GS$6=1,$L69=0),AND(GS$6=2,$K69=2,$G69=1)),0,IF(AND(GU$9=2,(OR($F69&gt;1,$K69=1,AND($L69=80,OR($N69=1,AND($N69=2,'#BerechnungDBE'!$AL60&gt;0)))))),IF(GS$4&gt;=$AD$126,0,HC69),IF(GU$9=3,IF(OR(GS$4&gt;=$AD$127,AND($G69=1,$J69=2,GS$6=2),AND(GS$6=1,$N69&lt;&gt;1)),0,IF(GW69&lt;=120,HC69,IF(GS$4&lt;$AD$124,IF($F69=1,60/GU$4*GU$6,60/GU$4*GU$7),IF($F69=1,120/GU$4*GU$6,120/GU$4*GU$7)))),IF(OR($F69=3,$G69=2),IF(OR(AND(GS$4&gt;=$AD$119,$C69=2),AND(GS$4&gt;=$AF$119,$C69=1)),0,IF(GW69&lt;=60,HC69,60/GU$4*GU$7)),IF(AND($F69=2,$G69=1),HC69,0)))))</f>
        <v>0</v>
      </c>
      <c r="HF69" s="57" t="str">
        <f t="shared" si="82"/>
        <v/>
      </c>
      <c r="HG69" s="57" t="str">
        <f t="shared" si="412"/>
        <v/>
      </c>
      <c r="HH69" s="713">
        <f>'org. Düngung 22'!BH68</f>
        <v>0</v>
      </c>
      <c r="HI69" s="57"/>
      <c r="HJ69" s="57"/>
      <c r="HK69" s="57">
        <f t="shared" si="84"/>
        <v>0</v>
      </c>
      <c r="HL69" s="57">
        <f t="shared" si="258"/>
        <v>0</v>
      </c>
      <c r="HM69" s="57">
        <f t="shared" si="259"/>
        <v>0</v>
      </c>
      <c r="HN69" s="57">
        <f t="shared" si="260"/>
        <v>0</v>
      </c>
      <c r="HO69" s="57">
        <f t="shared" si="261"/>
        <v>0</v>
      </c>
      <c r="HP69" s="1029">
        <f t="shared" si="413"/>
        <v>0</v>
      </c>
      <c r="HQ69" s="57">
        <f t="shared" si="414"/>
        <v>0</v>
      </c>
      <c r="HR69" s="171" t="str">
        <f t="shared" si="415"/>
        <v/>
      </c>
      <c r="HS69" s="57">
        <f t="shared" si="262"/>
        <v>0</v>
      </c>
      <c r="HT69" s="57">
        <f>IF(OR(AND(HH$6=1,$L69=0),AND(HH$6=2,$K69=2,$G69=1)),0,IF(AND(HJ$9=2,(OR($F69&gt;1,$K69=1,AND($L69=80,OR($N69=1,AND($N69=2,'#BerechnungDBE'!$AL60&gt;0)))))),IF(HH$4&gt;=$AD$126,0,HR69),IF(HJ$9=3,IF(OR(HH$4&gt;=$AD$127,AND($G69=1,$J69=2,HH$6=2),AND(HH$6=1,$N69&lt;&gt;1)),0,IF(HL69&lt;=120,HR69,IF(HH$4&lt;$AD$124,IF($F69=1,60/HJ$4*HJ$6,60/HJ$4*HJ$7),IF($F69=1,120/HJ$4*HJ$6,120/HJ$4*HJ$7)))),IF(OR($F69=3,$G69=2),IF(OR(AND(HH$4&gt;=$AD$119,$C69=2),AND(HH$4&gt;=$AF$119,$C69=1)),0,IF(HL69&lt;=60,HR69,60/HJ$4*HJ$7)),IF(AND($F69=2,$G69=1),HR69,0)))))</f>
        <v>0</v>
      </c>
      <c r="HU69" s="57" t="str">
        <f t="shared" si="88"/>
        <v/>
      </c>
      <c r="HV69" s="57" t="str">
        <f t="shared" si="416"/>
        <v/>
      </c>
      <c r="HW69" s="713">
        <f>'org. Düngung 22'!BL68</f>
        <v>0</v>
      </c>
      <c r="HX69" s="57"/>
      <c r="HY69" s="57"/>
      <c r="HZ69" s="57">
        <f t="shared" si="90"/>
        <v>0</v>
      </c>
      <c r="IA69" s="57">
        <f t="shared" si="263"/>
        <v>0</v>
      </c>
      <c r="IB69" s="57">
        <f t="shared" si="264"/>
        <v>0</v>
      </c>
      <c r="IC69" s="57">
        <f t="shared" si="265"/>
        <v>0</v>
      </c>
      <c r="ID69" s="57">
        <f t="shared" si="266"/>
        <v>0</v>
      </c>
      <c r="IE69" s="1029">
        <f t="shared" si="417"/>
        <v>0</v>
      </c>
      <c r="IF69" s="57">
        <f t="shared" si="418"/>
        <v>0</v>
      </c>
      <c r="IG69" s="171" t="str">
        <f t="shared" si="419"/>
        <v/>
      </c>
      <c r="IH69" s="57">
        <f t="shared" si="267"/>
        <v>0</v>
      </c>
      <c r="II69" s="57">
        <f>IF(OR(AND(HW$6=1,$L69=0),AND(HW$6=2,$K69=2,$G69=1)),0,IF(AND(HY$9=2,(OR($F69&gt;1,$K69=1,AND($L69=80,OR($N69=1,AND($N69=2,'#BerechnungDBE'!$AL60&gt;0)))))),IF(HW$4&gt;=$AD$126,0,IG69),IF(HY$9=3,IF(OR(HW$4&gt;=$AD$127,AND($G69=1,$J69=2,HW$6=2),AND(HW$6=1,$N69&lt;&gt;1)),0,IF(IA69&lt;=120,IG69,IF(HW$4&lt;$AD$124,IF($F69=1,60/HY$4*HY$6,60/HY$4*HY$7),IF($F69=1,120/HY$4*HY$6,120/HY$4*HY$7)))),IF(OR($F69=3,$G69=2),IF(OR(AND(HW$4&gt;=$AD$119,$C69=2),AND(HW$4&gt;=$AF$119,$C69=1)),0,IF(IA69&lt;=60,IG69,60/HY$4*HY$7)),IF(AND($F69=2,$G69=1),IG69,0)))))</f>
        <v>0</v>
      </c>
      <c r="IJ69" s="57" t="str">
        <f t="shared" si="94"/>
        <v/>
      </c>
      <c r="IK69" s="57" t="str">
        <f t="shared" si="420"/>
        <v/>
      </c>
      <c r="IL69" s="713">
        <f>'org. Düngung 22'!BP68</f>
        <v>0</v>
      </c>
      <c r="IM69" s="57"/>
      <c r="IN69" s="57"/>
      <c r="IO69" s="57">
        <f t="shared" si="96"/>
        <v>0</v>
      </c>
      <c r="IP69" s="57">
        <f t="shared" si="268"/>
        <v>0</v>
      </c>
      <c r="IQ69" s="57">
        <f t="shared" si="269"/>
        <v>0</v>
      </c>
      <c r="IR69" s="57">
        <f t="shared" si="270"/>
        <v>0</v>
      </c>
      <c r="IS69" s="57">
        <f t="shared" si="271"/>
        <v>0</v>
      </c>
      <c r="IT69" s="1029">
        <f t="shared" si="421"/>
        <v>0</v>
      </c>
      <c r="IU69" s="57">
        <f t="shared" si="422"/>
        <v>0</v>
      </c>
      <c r="IV69" s="171" t="str">
        <f t="shared" si="423"/>
        <v/>
      </c>
      <c r="IW69" s="57">
        <f t="shared" si="272"/>
        <v>0</v>
      </c>
      <c r="IX69" s="57">
        <f>IF(OR(AND(IL$6=1,$L69=0),AND(IL$6=2,$K69=2,$G69=1)),0,IF(AND(IN$9=2,(OR($F69&gt;1,$K69=1,AND($L69=80,OR($N69=1,AND($N69=2,'#BerechnungDBE'!$AL60&gt;0)))))),IF(IL$4&gt;=$AD$126,0,IV69),IF(IN$9=3,IF(OR(IL$4&gt;=$AD$127,AND($G69=1,$J69=2,IL$6=2),AND(IL$6=1,$N69&lt;&gt;1)),0,IF(IP69&lt;=120,IV69,IF(IL$4&lt;$AD$124,IF($F69=1,60/IN$4*IN$6,60/IN$4*IN$7),IF($F69=1,120/IN$4*IN$6,120/IN$4*IN$7)))),IF(OR($F69=3,$G69=2),IF(OR(AND(IL$4&gt;=$AD$119,$C69=2),AND(IL$4&gt;=$AF$119,$C69=1)),0,IF(IP69&lt;=60,IV69,60/IN$4*IN$7)),IF(AND($F69=2,$G69=1),IV69,0)))))</f>
        <v>0</v>
      </c>
      <c r="IY69" s="57" t="str">
        <f t="shared" si="100"/>
        <v/>
      </c>
      <c r="IZ69" s="57" t="str">
        <f t="shared" si="424"/>
        <v/>
      </c>
      <c r="JA69" s="713">
        <f>'org. Düngung 22'!BT68</f>
        <v>0</v>
      </c>
      <c r="JB69" s="57"/>
      <c r="JC69" s="57"/>
      <c r="JD69" s="57">
        <f t="shared" si="102"/>
        <v>0</v>
      </c>
      <c r="JE69" s="57">
        <f t="shared" si="273"/>
        <v>0</v>
      </c>
      <c r="JF69" s="57">
        <f t="shared" si="274"/>
        <v>0</v>
      </c>
      <c r="JG69" s="57">
        <f t="shared" si="275"/>
        <v>0</v>
      </c>
      <c r="JH69" s="57">
        <f t="shared" si="276"/>
        <v>0</v>
      </c>
      <c r="JI69" s="1029">
        <f t="shared" si="425"/>
        <v>0</v>
      </c>
      <c r="JJ69" s="57">
        <f t="shared" si="426"/>
        <v>0</v>
      </c>
      <c r="JK69" s="171" t="str">
        <f t="shared" si="427"/>
        <v/>
      </c>
      <c r="JL69" s="57">
        <f t="shared" si="277"/>
        <v>0</v>
      </c>
      <c r="JM69" s="57">
        <f>IF(OR(AND(JA$6=1,$L69=0),AND(JA$6=2,$K69=2,$G69=1)),0,IF(AND(JC$9=2,(OR($F69&gt;1,$K69=1,AND($L69=80,OR($N69=1,AND($N69=2,'#BerechnungDBE'!$AL60&gt;0)))))),IF(JA$4&gt;=$AD$126,0,JK69),IF(JC$9=3,IF(OR(JA$4&gt;=$AD$127,AND($G69=1,$J69=2,JA$6=2),AND(JA$6=1,$N69&lt;&gt;1)),0,IF(JE69&lt;=120,JK69,IF(JA$4&lt;$AD$124,IF($F69=1,60/JC$4*JC$6,60/JC$4*JC$7),IF($F69=1,120/JC$4*JC$6,120/JC$4*JC$7)))),IF(OR($F69=3,$G69=2),IF(OR(AND(JA$4&gt;=$AD$119,$C69=2),AND(JA$4&gt;=$AF$119,$C69=1)),0,IF(JE69&lt;=60,JK69,60/JC$4*JC$7)),IF(AND($F69=2,$G69=1),JK69,0)))))</f>
        <v>0</v>
      </c>
      <c r="JN69" s="57" t="str">
        <f t="shared" si="106"/>
        <v/>
      </c>
      <c r="JO69" s="57" t="str">
        <f t="shared" si="428"/>
        <v/>
      </c>
      <c r="JP69" s="713">
        <f>'org. Düngung 22'!BX68</f>
        <v>0</v>
      </c>
      <c r="JQ69" s="57"/>
      <c r="JR69" s="57"/>
      <c r="JS69" s="57">
        <f t="shared" si="108"/>
        <v>0</v>
      </c>
      <c r="JT69" s="57">
        <f t="shared" si="278"/>
        <v>0</v>
      </c>
      <c r="JU69" s="57">
        <f t="shared" si="279"/>
        <v>0</v>
      </c>
      <c r="JV69" s="57">
        <f t="shared" si="280"/>
        <v>0</v>
      </c>
      <c r="JW69" s="57">
        <f t="shared" si="281"/>
        <v>0</v>
      </c>
      <c r="JX69" s="1029">
        <f t="shared" si="429"/>
        <v>0</v>
      </c>
      <c r="JY69" s="57">
        <f t="shared" si="430"/>
        <v>0</v>
      </c>
      <c r="JZ69" s="171" t="str">
        <f t="shared" si="431"/>
        <v/>
      </c>
      <c r="KA69" s="57">
        <f t="shared" si="282"/>
        <v>0</v>
      </c>
      <c r="KB69" s="57">
        <f>IF(OR(AND(JP$6=1,$L69=0),AND(JP$6=2,$K69=2,$G69=1)),0,IF(AND(JR$9=2,(OR($F69&gt;1,$K69=1,AND($L69=80,OR($N69=1,AND($N69=2,'#BerechnungDBE'!$AL60&gt;0)))))),IF(JP$4&gt;=$AD$126,0,JZ69),IF(JR$9=3,IF(OR(JP$4&gt;=$AD$127,AND($G69=1,$J69=2,JP$6=2),AND(JP$6=1,$N69&lt;&gt;1)),0,IF(JT69&lt;=120,JZ69,IF(JP$4&lt;$AD$124,IF($F69=1,60/JR$4*JR$6,60/JR$4*JR$7),IF($F69=1,120/JR$4*JR$6,120/JR$4*JR$7)))),IF(OR($F69=3,$G69=2),IF(OR(AND(JP$4&gt;=$AD$119,$C69=2),AND(JP$4&gt;=$AF$119,$C69=1)),0,IF(JT69&lt;=60,JZ69,60/JR$4*JR$7)),IF(AND($F69=2,$G69=1),JZ69,0)))))</f>
        <v>0</v>
      </c>
      <c r="KC69" s="57" t="str">
        <f t="shared" si="112"/>
        <v/>
      </c>
      <c r="KD69" s="57" t="str">
        <f t="shared" si="432"/>
        <v/>
      </c>
      <c r="KE69" s="713">
        <f>'org. Düngung 22'!CB68</f>
        <v>0</v>
      </c>
      <c r="KF69" s="57"/>
      <c r="KG69" s="57"/>
      <c r="KH69" s="57">
        <f t="shared" si="114"/>
        <v>0</v>
      </c>
      <c r="KI69" s="57">
        <f t="shared" si="283"/>
        <v>0</v>
      </c>
      <c r="KJ69" s="57">
        <f t="shared" si="284"/>
        <v>0</v>
      </c>
      <c r="KK69" s="57">
        <f t="shared" si="285"/>
        <v>0</v>
      </c>
      <c r="KL69" s="57">
        <f t="shared" si="286"/>
        <v>0</v>
      </c>
      <c r="KM69" s="1029">
        <f t="shared" si="433"/>
        <v>0</v>
      </c>
      <c r="KN69" s="57">
        <f t="shared" si="434"/>
        <v>0</v>
      </c>
      <c r="KO69" s="171" t="str">
        <f t="shared" si="435"/>
        <v/>
      </c>
      <c r="KP69" s="57">
        <f t="shared" si="287"/>
        <v>0</v>
      </c>
      <c r="KQ69" s="57">
        <f>IF(OR(AND(KE$6=1,$L69=0),AND(KE$6=2,$K69=2,$G69=1)),0,IF(AND(KG$9=2,(OR($F69&gt;1,$K69=1,AND($L69=80,OR($N69=1,AND($N69=2,'#BerechnungDBE'!$AL60&gt;0)))))),IF(KE$4&gt;=$AD$126,0,KO69),IF(KG$9=3,IF(OR(KE$4&gt;=$AD$127,AND($G69=1,$J69=2,KE$6=2),AND(KE$6=1,$N69&lt;&gt;1)),0,IF(KI69&lt;=120,KO69,IF(KE$4&lt;$AD$124,IF($F69=1,60/KG$4*KG$6,60/KG$4*KG$7),IF($F69=1,120/KG$4*KG$6,120/KG$4*KG$7)))),IF(OR($F69=3,$G69=2),IF(OR(AND(KE$4&gt;=$AD$119,$C69=2),AND(KE$4&gt;=$AF$119,$C69=1)),0,IF(KI69&lt;=60,KO69,60/KG$4*KG$7)),IF(AND($F69=2,$G69=1),KO69,0)))))</f>
        <v>0</v>
      </c>
      <c r="KR69" s="57" t="str">
        <f t="shared" si="118"/>
        <v/>
      </c>
      <c r="KS69" s="57" t="str">
        <f t="shared" si="436"/>
        <v/>
      </c>
      <c r="KT69" s="713">
        <f>'org. Düngung 22'!CF68</f>
        <v>0</v>
      </c>
      <c r="KU69" s="57"/>
      <c r="KV69" s="57"/>
      <c r="KW69" s="57">
        <f t="shared" si="120"/>
        <v>0</v>
      </c>
      <c r="KX69" s="57">
        <f t="shared" si="288"/>
        <v>0</v>
      </c>
      <c r="KY69" s="57">
        <f t="shared" si="289"/>
        <v>0</v>
      </c>
      <c r="KZ69" s="57">
        <f t="shared" si="290"/>
        <v>0</v>
      </c>
      <c r="LA69" s="57">
        <f t="shared" si="291"/>
        <v>0</v>
      </c>
      <c r="LB69" s="1029">
        <f t="shared" si="437"/>
        <v>0</v>
      </c>
      <c r="LC69" s="57">
        <f t="shared" si="438"/>
        <v>0</v>
      </c>
      <c r="LD69" s="171" t="str">
        <f t="shared" si="439"/>
        <v/>
      </c>
      <c r="LE69" s="57">
        <f t="shared" si="292"/>
        <v>0</v>
      </c>
      <c r="LF69" s="57">
        <f>IF(OR(AND(KT$6=1,$L69=0),AND(KT$6=2,$K69=2,$G69=1)),0,IF(AND(KV$9=2,(OR($F69&gt;1,$K69=1,AND($L69=80,OR($N69=1,AND($N69=2,'#BerechnungDBE'!$AL60&gt;0)))))),IF(KT$4&gt;=$AD$126,0,LD69),IF(KV$9=3,IF(OR(KT$4&gt;=$AD$127,AND($G69=1,$J69=2,KT$6=2),AND(KT$6=1,$N69&lt;&gt;1)),0,IF(KX69&lt;=120,LD69,IF(KT$4&lt;$AD$124,IF($F69=1,60/KV$4*KV$6,60/KV$4*KV$7),IF($F69=1,120/KV$4*KV$6,120/KV$4*KV$7)))),IF(OR($F69=3,$G69=2),IF(OR(AND(KT$4&gt;=$AD$119,$C69=2),AND(KT$4&gt;=$AF$119,$C69=1)),0,IF(KX69&lt;=60,LD69,60/KV$4*KV$7)),IF(AND($F69=2,$G69=1),LD69,0)))))</f>
        <v>0</v>
      </c>
      <c r="LG69" s="57" t="str">
        <f t="shared" si="124"/>
        <v/>
      </c>
      <c r="LH69" s="57" t="str">
        <f t="shared" si="440"/>
        <v/>
      </c>
      <c r="LI69" s="713">
        <f>'org. Düngung 22'!CJ68</f>
        <v>0</v>
      </c>
      <c r="LJ69" s="57"/>
      <c r="LK69" s="57"/>
      <c r="LL69" s="57">
        <f t="shared" si="126"/>
        <v>0</v>
      </c>
      <c r="LM69" s="57">
        <f t="shared" si="293"/>
        <v>0</v>
      </c>
      <c r="LN69" s="57">
        <f t="shared" si="294"/>
        <v>0</v>
      </c>
      <c r="LO69" s="57">
        <f t="shared" si="295"/>
        <v>0</v>
      </c>
      <c r="LP69" s="57">
        <f t="shared" si="296"/>
        <v>0</v>
      </c>
      <c r="LQ69" s="1029">
        <f t="shared" si="441"/>
        <v>0</v>
      </c>
      <c r="LR69" s="57">
        <f t="shared" si="442"/>
        <v>0</v>
      </c>
      <c r="LS69" s="171" t="str">
        <f t="shared" si="443"/>
        <v/>
      </c>
      <c r="LT69" s="57">
        <f t="shared" si="297"/>
        <v>0</v>
      </c>
      <c r="LU69" s="57">
        <f>IF(OR(AND(LI$6=1,$L69=0),AND(LI$6=2,$K69=2,$G69=1)),0,IF(AND(LK$9=2,(OR($F69&gt;1,$K69=1,AND($L69=80,OR($N69=1,AND($N69=2,'#BerechnungDBE'!$AL60&gt;0)))))),IF(LI$4&gt;=$AD$126,0,LS69),IF(LK$9=3,IF(OR(LI$4&gt;=$AD$127,AND($G69=1,$J69=2,LI$6=2),AND(LI$6=1,$N69&lt;&gt;1)),0,IF(LM69&lt;=120,LS69,IF(LI$4&lt;$AD$124,IF($F69=1,60/LK$4*LK$6,60/LK$4*LK$7),IF($F69=1,120/LK$4*LK$6,120/LK$4*LK$7)))),IF(OR($F69=3,$G69=2),IF(OR(AND(LI$4&gt;=$AD$119,$C69=2),AND(LI$4&gt;=$AF$119,$C69=1)),0,IF(LM69&lt;=60,LS69,60/LK$4*LK$7)),IF(AND($F69=2,$G69=1),LS69,0)))))</f>
        <v>0</v>
      </c>
      <c r="LV69" s="57" t="str">
        <f t="shared" si="130"/>
        <v/>
      </c>
      <c r="LW69" s="57" t="str">
        <f t="shared" si="444"/>
        <v/>
      </c>
      <c r="LX69" s="713">
        <f>'org. Düngung 22'!CN68</f>
        <v>0</v>
      </c>
      <c r="LY69" s="57"/>
      <c r="LZ69" s="57"/>
      <c r="MA69" s="57">
        <f t="shared" si="132"/>
        <v>0</v>
      </c>
      <c r="MB69" s="57">
        <f t="shared" si="298"/>
        <v>0</v>
      </c>
      <c r="MC69" s="57">
        <f t="shared" si="299"/>
        <v>0</v>
      </c>
      <c r="MD69" s="57">
        <f t="shared" si="300"/>
        <v>0</v>
      </c>
      <c r="ME69" s="57">
        <f t="shared" si="301"/>
        <v>0</v>
      </c>
      <c r="MF69" s="1029">
        <f t="shared" si="445"/>
        <v>0</v>
      </c>
      <c r="MG69" s="57">
        <f t="shared" si="446"/>
        <v>0</v>
      </c>
      <c r="MH69" s="171" t="str">
        <f t="shared" si="447"/>
        <v/>
      </c>
      <c r="MI69" s="57">
        <f t="shared" si="302"/>
        <v>0</v>
      </c>
      <c r="MJ69" s="57">
        <f>IF(OR(AND(LX$6=1,$L69=0),AND(LX$6=2,$K69=2,$G69=1)),0,IF(AND(LZ$9=2,(OR($F69&gt;1,$K69=1,AND($L69=80,OR($N69=1,AND($N69=2,'#BerechnungDBE'!$AL60&gt;0)))))),IF(LX$4&gt;=$AD$126,0,MH69),IF(LZ$9=3,IF(OR(LX$4&gt;=$AD$127,AND($G69=1,$J69=2,LX$6=2),AND(LX$6=1,$N69&lt;&gt;1)),0,IF(MB69&lt;=120,MH69,IF(LX$4&lt;$AD$124,IF($F69=1,60/LZ$4*LZ$6,60/LZ$4*LZ$7),IF($F69=1,120/LZ$4*LZ$6,120/LZ$4*LZ$7)))),IF(OR($F69=3,$G69=2),IF(OR(AND(LX$4&gt;=$AD$119,$C69=2),AND(LX$4&gt;=$AF$119,$C69=1)),0,IF(MB69&lt;=60,MH69,60/LZ$4*LZ$7)),IF(AND($F69=2,$G69=1),MH69,0)))))</f>
        <v>0</v>
      </c>
      <c r="MK69" s="57" t="str">
        <f t="shared" si="136"/>
        <v/>
      </c>
      <c r="ML69" s="57" t="str">
        <f t="shared" si="448"/>
        <v/>
      </c>
      <c r="MM69" s="713">
        <f>'org. Düngung 22'!CR68</f>
        <v>0</v>
      </c>
      <c r="MN69" s="57"/>
      <c r="MO69" s="57"/>
      <c r="MP69" s="57">
        <f t="shared" si="138"/>
        <v>0</v>
      </c>
      <c r="MQ69" s="57">
        <f t="shared" si="303"/>
        <v>0</v>
      </c>
      <c r="MR69" s="57">
        <f t="shared" si="304"/>
        <v>0</v>
      </c>
      <c r="MS69" s="57">
        <f t="shared" si="305"/>
        <v>0</v>
      </c>
      <c r="MT69" s="57">
        <f t="shared" si="306"/>
        <v>0</v>
      </c>
      <c r="MU69" s="1029">
        <f t="shared" si="449"/>
        <v>0</v>
      </c>
      <c r="MV69" s="57">
        <f t="shared" si="450"/>
        <v>0</v>
      </c>
      <c r="MW69" s="171" t="str">
        <f t="shared" si="451"/>
        <v/>
      </c>
      <c r="MX69" s="57">
        <f t="shared" si="307"/>
        <v>0</v>
      </c>
      <c r="MY69" s="57">
        <f>IF(OR(AND(MM$6=1,$L69=0),AND(MM$6=2,$K69=2,$G69=1)),0,IF(AND(MO$9=2,(OR($F69&gt;1,$K69=1,AND($L69=80,OR($N69=1,AND($N69=2,'#BerechnungDBE'!$AL60&gt;0)))))),IF(MM$4&gt;=$AD$126,0,MW69),IF(MO$9=3,IF(OR(MM$4&gt;=$AD$127,AND($G69=1,$J69=2,MM$6=2),AND(MM$6=1,$N69&lt;&gt;1)),0,IF(MQ69&lt;=120,MW69,IF(MM$4&lt;$AD$124,IF($F69=1,60/MO$4*MO$6,60/MO$4*MO$7),IF($F69=1,120/MO$4*MO$6,120/MO$4*MO$7)))),IF(OR($F69=3,$G69=2),IF(OR(AND(MM$4&gt;=$AD$119,$C69=2),AND(MM$4&gt;=$AF$119,$C69=1)),0,IF(MQ69&lt;=60,MW69,60/MO$4*MO$7)),IF(AND($F69=2,$G69=1),MW69,0)))))</f>
        <v>0</v>
      </c>
      <c r="MZ69" s="57" t="str">
        <f t="shared" si="142"/>
        <v/>
      </c>
      <c r="NA69" s="57" t="str">
        <f t="shared" si="452"/>
        <v/>
      </c>
      <c r="NB69" s="713">
        <f>'org. Düngung 22'!CV68</f>
        <v>0</v>
      </c>
      <c r="NC69" s="57"/>
      <c r="ND69" s="57"/>
      <c r="NE69" s="57">
        <f t="shared" si="144"/>
        <v>0</v>
      </c>
      <c r="NF69" s="57">
        <f t="shared" si="308"/>
        <v>0</v>
      </c>
      <c r="NG69" s="57">
        <f t="shared" si="309"/>
        <v>0</v>
      </c>
      <c r="NH69" s="57">
        <f t="shared" si="310"/>
        <v>0</v>
      </c>
      <c r="NI69" s="57">
        <f t="shared" si="311"/>
        <v>0</v>
      </c>
      <c r="NJ69" s="1029">
        <f t="shared" si="453"/>
        <v>0</v>
      </c>
      <c r="NK69" s="57">
        <f t="shared" si="454"/>
        <v>0</v>
      </c>
      <c r="NL69" s="171" t="str">
        <f t="shared" si="455"/>
        <v/>
      </c>
      <c r="NM69" s="57">
        <f t="shared" si="312"/>
        <v>0</v>
      </c>
      <c r="NN69" s="57">
        <f>IF(OR(AND(NB$6=1,$L69=0),AND(NB$6=2,$K69=2,$G69=1)),0,IF(AND(ND$9=2,(OR($F69&gt;1,$K69=1,AND($L69=80,OR($N69=1,AND($N69=2,'#BerechnungDBE'!$AL60&gt;0)))))),IF(NB$4&gt;=$AD$126,0,NL69),IF(ND$9=3,IF(OR(NB$4&gt;=$AD$127,AND($G69=1,$J69=2,NB$6=2),AND(NB$6=1,$N69&lt;&gt;1)),0,IF(NF69&lt;=120,NL69,IF(NB$4&lt;$AD$124,IF($F69=1,60/ND$4*ND$6,60/ND$4*ND$7),IF($F69=1,120/ND$4*ND$6,120/ND$4*ND$7)))),IF(OR($F69=3,$G69=2),IF(OR(AND(NB$4&gt;=$AD$119,$C69=2),AND(NB$4&gt;=$AF$119,$C69=1)),0,IF(NF69&lt;=60,NL69,60/ND$4*ND$7)),IF(AND($F69=2,$G69=1),NL69,0)))))</f>
        <v>0</v>
      </c>
      <c r="NO69" s="57" t="str">
        <f t="shared" si="148"/>
        <v/>
      </c>
      <c r="NP69" s="57" t="str">
        <f t="shared" si="456"/>
        <v/>
      </c>
      <c r="NQ69" s="713">
        <f>'org. Düngung 22'!CZ68</f>
        <v>0</v>
      </c>
      <c r="NR69" s="57"/>
      <c r="NS69" s="57"/>
      <c r="NT69" s="57">
        <f t="shared" si="150"/>
        <v>0</v>
      </c>
      <c r="NU69" s="57">
        <f t="shared" si="313"/>
        <v>0</v>
      </c>
      <c r="NV69" s="57">
        <f t="shared" si="314"/>
        <v>0</v>
      </c>
      <c r="NW69" s="57">
        <f t="shared" si="315"/>
        <v>0</v>
      </c>
      <c r="NX69" s="57">
        <f t="shared" si="316"/>
        <v>0</v>
      </c>
      <c r="NY69" s="1029">
        <f t="shared" si="457"/>
        <v>0</v>
      </c>
      <c r="NZ69" s="57">
        <f t="shared" si="458"/>
        <v>0</v>
      </c>
      <c r="OA69" s="171" t="str">
        <f t="shared" si="459"/>
        <v/>
      </c>
      <c r="OB69" s="57">
        <f t="shared" si="317"/>
        <v>0</v>
      </c>
      <c r="OC69" s="57">
        <f>IF(OR(AND(NQ$6=1,$L69=0),AND(NQ$6=2,$K69=2,$G69=1)),0,IF(AND(NS$9=2,(OR($F69&gt;1,$K69=1,AND($L69=80,OR($N69=1,AND($N69=2,'#BerechnungDBE'!$AL60&gt;0)))))),IF(NQ$4&gt;=$AD$126,0,OA69),IF(NS$9=3,IF(OR(NQ$4&gt;=$AD$127,AND($G69=1,$J69=2,NQ$6=2),AND(NQ$6=1,$N69&lt;&gt;1)),0,IF(NU69&lt;=120,OA69,IF(NQ$4&lt;$AD$124,IF($F69=1,60/NS$4*NS$6,60/NS$4*NS$7),IF($F69=1,120/NS$4*NS$6,120/NS$4*NS$7)))),IF(OR($F69=3,$G69=2),IF(OR(AND(NQ$4&gt;=$AD$119,$C69=2),AND(NQ$4&gt;=$AF$119,$C69=1)),0,IF(NU69&lt;=60,OA69,60/NS$4*NS$7)),IF(AND($F69=2,$G69=1),OA69,0)))))</f>
        <v>0</v>
      </c>
      <c r="OD69" s="57" t="str">
        <f t="shared" si="154"/>
        <v/>
      </c>
      <c r="OE69" s="57" t="str">
        <f t="shared" si="460"/>
        <v/>
      </c>
      <c r="OF69" s="713">
        <f>'org. Düngung 22'!DD68</f>
        <v>0</v>
      </c>
      <c r="OG69" s="57"/>
      <c r="OH69" s="57"/>
      <c r="OI69" s="57">
        <f t="shared" si="156"/>
        <v>0</v>
      </c>
      <c r="OJ69" s="57">
        <f t="shared" si="318"/>
        <v>0</v>
      </c>
      <c r="OK69" s="57">
        <f t="shared" si="319"/>
        <v>0</v>
      </c>
      <c r="OL69" s="57">
        <f t="shared" si="320"/>
        <v>0</v>
      </c>
      <c r="OM69" s="57">
        <f t="shared" si="321"/>
        <v>0</v>
      </c>
      <c r="ON69" s="1029">
        <f t="shared" si="461"/>
        <v>0</v>
      </c>
      <c r="OO69" s="57">
        <f t="shared" si="462"/>
        <v>0</v>
      </c>
      <c r="OP69" s="171" t="str">
        <f t="shared" si="463"/>
        <v/>
      </c>
      <c r="OQ69" s="57">
        <f t="shared" si="322"/>
        <v>0</v>
      </c>
      <c r="OR69" s="57">
        <f>IF(OR(AND(OF$6=1,$L69=0),AND(OF$6=2,$K69=2,$G69=1)),0,IF(AND(OH$9=2,(OR($F69&gt;1,$K69=1,AND($L69=80,OR($N69=1,AND($N69=2,'#BerechnungDBE'!$AL60&gt;0)))))),IF(OF$4&gt;=$AD$126,0,OP69),IF(OH$9=3,IF(OR(OF$4&gt;=$AD$127,AND($G69=1,$J69=2,OF$6=2),AND(OF$6=1,$N69&lt;&gt;1)),0,IF(OJ69&lt;=120,OP69,IF(OF$4&lt;$AD$124,IF($F69=1,60/OH$4*OH$6,60/OH$4*OH$7),IF($F69=1,120/OH$4*OH$6,120/OH$4*OH$7)))),IF(OR($F69=3,$G69=2),IF(OR(AND(OF$4&gt;=$AD$119,$C69=2),AND(OF$4&gt;=$AF$119,$C69=1)),0,IF(OJ69&lt;=60,OP69,60/OH$4*OH$7)),IF(AND($F69=2,$G69=1),OP69,0)))))</f>
        <v>0</v>
      </c>
      <c r="OS69" s="57" t="str">
        <f t="shared" si="160"/>
        <v/>
      </c>
      <c r="OT69" s="57" t="str">
        <f t="shared" si="464"/>
        <v/>
      </c>
      <c r="OU69" s="713">
        <f>'org. Düngung 22'!DH68</f>
        <v>0</v>
      </c>
      <c r="OV69" s="57"/>
      <c r="OW69" s="57"/>
      <c r="OX69" s="57">
        <f t="shared" si="162"/>
        <v>0</v>
      </c>
      <c r="OY69" s="57">
        <f t="shared" si="323"/>
        <v>0</v>
      </c>
      <c r="OZ69" s="57">
        <f t="shared" si="324"/>
        <v>0</v>
      </c>
      <c r="PA69" s="57">
        <f t="shared" si="325"/>
        <v>0</v>
      </c>
      <c r="PB69" s="57">
        <f t="shared" si="326"/>
        <v>0</v>
      </c>
      <c r="PC69" s="1029">
        <f t="shared" si="465"/>
        <v>0</v>
      </c>
      <c r="PD69" s="57">
        <f t="shared" si="466"/>
        <v>0</v>
      </c>
      <c r="PE69" s="171" t="str">
        <f t="shared" si="467"/>
        <v/>
      </c>
      <c r="PF69" s="57">
        <f t="shared" si="327"/>
        <v>0</v>
      </c>
      <c r="PG69" s="57">
        <f>IF(OR(AND(OU$6=1,$L69=0),AND(OU$6=2,$K69=2,$G69=1)),0,IF(AND(OW$9=2,(OR($F69&gt;1,$K69=1,AND($L69=80,OR($N69=1,AND($N69=2,'#BerechnungDBE'!$AL60&gt;0)))))),IF(OU$4&gt;=$AD$126,0,PE69),IF(OW$9=3,IF(OR(OU$4&gt;=$AD$127,AND($G69=1,$J69=2,OU$6=2),AND(OU$6=1,$N69&lt;&gt;1)),0,IF(OY69&lt;=120,PE69,IF(OU$4&lt;$AD$124,IF($F69=1,60/OW$4*OW$6,60/OW$4*OW$7),IF($F69=1,120/OW$4*OW$6,120/OW$4*OW$7)))),IF(OR($F69=3,$G69=2),IF(OR(AND(OU$4&gt;=$AD$119,$C69=2),AND(OU$4&gt;=$AF$119,$C69=1)),0,IF(OY69&lt;=60,PE69,60/OW$4*OW$7)),IF(AND($F69=2,$G69=1),PE69,0)))))</f>
        <v>0</v>
      </c>
      <c r="PH69" s="57" t="str">
        <f t="shared" si="166"/>
        <v/>
      </c>
      <c r="PI69" s="57" t="str">
        <f t="shared" si="468"/>
        <v/>
      </c>
      <c r="PJ69" s="713">
        <f>'org. Düngung 22'!DL68</f>
        <v>0</v>
      </c>
      <c r="PK69" s="57"/>
      <c r="PL69" s="57"/>
      <c r="PM69" s="57">
        <f t="shared" si="168"/>
        <v>0</v>
      </c>
      <c r="PN69" s="57">
        <f t="shared" si="328"/>
        <v>0</v>
      </c>
      <c r="PO69" s="57">
        <f t="shared" si="329"/>
        <v>0</v>
      </c>
      <c r="PP69" s="57">
        <f t="shared" si="330"/>
        <v>0</v>
      </c>
      <c r="PQ69" s="57">
        <f t="shared" si="331"/>
        <v>0</v>
      </c>
      <c r="PR69" s="1029">
        <f t="shared" si="469"/>
        <v>0</v>
      </c>
      <c r="PS69" s="57">
        <f t="shared" si="470"/>
        <v>0</v>
      </c>
      <c r="PT69" s="171" t="str">
        <f t="shared" si="471"/>
        <v/>
      </c>
      <c r="PU69" s="57">
        <f t="shared" si="332"/>
        <v>0</v>
      </c>
      <c r="PV69" s="57">
        <f>IF(OR(AND(PJ$6=1,$L69=0),AND(PJ$6=2,$K69=2,$G69=1)),0,IF(AND(PL$9=2,(OR($F69&gt;1,$K69=1,AND($L69=80,OR($N69=1,AND($N69=2,'#BerechnungDBE'!$AL60&gt;0)))))),IF(PJ$4&gt;=$AD$126,0,PT69),IF(PL$9=3,IF(OR(PJ$4&gt;=$AD$127,AND($G69=1,$J69=2,PJ$6=2),AND(PJ$6=1,$N69&lt;&gt;1)),0,IF(PN69&lt;=120,PT69,IF(PJ$4&lt;$AD$124,IF($F69=1,60/PL$4*PL$6,60/PL$4*PL$7),IF($F69=1,120/PL$4*PL$6,120/PL$4*PL$7)))),IF(OR($F69=3,$G69=2),IF(OR(AND(PJ$4&gt;=$AD$119,$C69=2),AND(PJ$4&gt;=$AF$119,$C69=1)),0,IF(PN69&lt;=60,PT69,60/PL$4*PL$7)),IF(AND($F69=2,$G69=1),PT69,0)))))</f>
        <v>0</v>
      </c>
      <c r="PW69" s="57" t="str">
        <f t="shared" si="172"/>
        <v/>
      </c>
      <c r="PX69" s="57" t="str">
        <f t="shared" si="472"/>
        <v/>
      </c>
      <c r="PY69" s="713">
        <f>'org. Düngung 22'!DP68</f>
        <v>0</v>
      </c>
      <c r="PZ69" s="57"/>
      <c r="QA69" s="57"/>
      <c r="QB69" s="57">
        <f t="shared" si="174"/>
        <v>0</v>
      </c>
      <c r="QC69" s="57">
        <f t="shared" si="333"/>
        <v>0</v>
      </c>
      <c r="QD69" s="57">
        <f t="shared" si="334"/>
        <v>0</v>
      </c>
      <c r="QE69" s="57">
        <f t="shared" si="335"/>
        <v>0</v>
      </c>
      <c r="QF69" s="57">
        <f t="shared" si="336"/>
        <v>0</v>
      </c>
      <c r="QG69" s="1029">
        <f t="shared" si="473"/>
        <v>0</v>
      </c>
      <c r="QH69" s="57">
        <f t="shared" si="474"/>
        <v>0</v>
      </c>
      <c r="QI69" s="171" t="str">
        <f t="shared" si="475"/>
        <v/>
      </c>
      <c r="QJ69" s="57">
        <f t="shared" si="337"/>
        <v>0</v>
      </c>
      <c r="QK69" s="57">
        <f>IF(OR(AND(PY$6=1,$L69=0),AND(PY$6=2,$K69=2,$G69=1)),0,IF(AND(QA$9=2,(OR($F69&gt;1,$K69=1,AND($L69=80,OR($N69=1,AND($N69=2,'#BerechnungDBE'!$AL60&gt;0)))))),IF(PY$4&gt;=$AD$126,0,QI69),IF(QA$9=3,IF(OR(PY$4&gt;=$AD$127,AND($G69=1,$J69=2,PY$6=2),AND(PY$6=1,$N69&lt;&gt;1)),0,IF(QC69&lt;=120,QI69,IF(PY$4&lt;$AD$124,IF($F69=1,60/QA$4*QA$6,60/QA$4*QA$7),IF($F69=1,120/QA$4*QA$6,120/QA$4*QA$7)))),IF(OR($F69=3,$G69=2),IF(OR(AND(PY$4&gt;=$AD$119,$C69=2),AND(PY$4&gt;=$AF$119,$C69=1)),0,IF(QC69&lt;=60,QI69,60/QA$4*QA$7)),IF(AND($F69=2,$G69=1),QI69,0)))))</f>
        <v>0</v>
      </c>
      <c r="QL69" s="57" t="str">
        <f t="shared" si="178"/>
        <v/>
      </c>
      <c r="QM69" s="57" t="str">
        <f t="shared" si="476"/>
        <v/>
      </c>
      <c r="QN69" s="713">
        <f>'org. Düngung 22'!DT68</f>
        <v>0</v>
      </c>
      <c r="QO69" s="57"/>
      <c r="QP69" s="57"/>
      <c r="QQ69" s="57">
        <f t="shared" si="180"/>
        <v>0</v>
      </c>
      <c r="QR69" s="57">
        <f t="shared" si="338"/>
        <v>0</v>
      </c>
      <c r="QS69" s="57">
        <f t="shared" si="339"/>
        <v>0</v>
      </c>
      <c r="QT69" s="57">
        <f t="shared" si="340"/>
        <v>0</v>
      </c>
      <c r="QU69" s="57">
        <f t="shared" si="341"/>
        <v>0</v>
      </c>
      <c r="QV69" s="1029">
        <f t="shared" si="477"/>
        <v>0</v>
      </c>
      <c r="QW69" s="57">
        <f t="shared" si="478"/>
        <v>0</v>
      </c>
      <c r="QX69" s="171" t="str">
        <f t="shared" si="479"/>
        <v/>
      </c>
      <c r="QY69" s="57">
        <f t="shared" si="342"/>
        <v>0</v>
      </c>
      <c r="QZ69" s="57">
        <f>IF(OR(AND(QN$6=1,$L69=0),AND(QN$6=2,$K69=2,$G69=1)),0,IF(AND(QP$9=2,(OR($F69&gt;1,$K69=1,AND($L69=80,OR($N69=1,AND($N69=2,'#BerechnungDBE'!$AL60&gt;0)))))),IF(QN$4&gt;=$AD$126,0,QX69),IF(QP$9=3,IF(OR(QN$4&gt;=$AD$127,AND($G69=1,$J69=2,QN$6=2),AND(QN$6=1,$N69&lt;&gt;1)),0,IF(QR69&lt;=120,QX69,IF(QN$4&lt;$AD$124,IF($F69=1,60/QP$4*QP$6,60/QP$4*QP$7),IF($F69=1,120/QP$4*QP$6,120/QP$4*QP$7)))),IF(OR($F69=3,$G69=2),IF(OR(AND(QN$4&gt;=$AD$119,$C69=2),AND(QN$4&gt;=$AF$119,$C69=1)),0,IF(QR69&lt;=60,QX69,60/QP$4*QP$7)),IF(AND($F69=2,$G69=1),QX69,0)))))</f>
        <v>0</v>
      </c>
      <c r="RA69" s="57" t="str">
        <f t="shared" si="184"/>
        <v/>
      </c>
      <c r="RB69" s="57" t="str">
        <f t="shared" si="480"/>
        <v/>
      </c>
      <c r="RC69" s="713">
        <f>'org. Düngung 22'!DX68</f>
        <v>0</v>
      </c>
      <c r="RD69" s="57"/>
      <c r="RE69" s="57"/>
      <c r="RF69" s="57">
        <f t="shared" si="186"/>
        <v>0</v>
      </c>
      <c r="RG69" s="57">
        <f t="shared" si="343"/>
        <v>0</v>
      </c>
      <c r="RH69" s="57">
        <f t="shared" si="344"/>
        <v>0</v>
      </c>
      <c r="RI69" s="57">
        <f t="shared" si="345"/>
        <v>0</v>
      </c>
      <c r="RJ69" s="57">
        <f t="shared" si="346"/>
        <v>0</v>
      </c>
      <c r="RK69" s="1029">
        <f t="shared" si="481"/>
        <v>0</v>
      </c>
      <c r="RL69" s="57">
        <f t="shared" si="482"/>
        <v>0</v>
      </c>
      <c r="RM69" s="171" t="str">
        <f t="shared" si="483"/>
        <v/>
      </c>
      <c r="RN69" s="57">
        <f t="shared" si="347"/>
        <v>0</v>
      </c>
      <c r="RO69" s="57">
        <f>IF(OR(AND(RC$6=1,$L69=0),AND(RC$6=2,$K69=2,$G69=1)),0,IF(AND(RE$9=2,(OR($F69&gt;1,$K69=1,AND($L69=80,OR($N69=1,AND($N69=2,'#BerechnungDBE'!$AL60&gt;0)))))),IF(RC$4&gt;=$AD$126,0,RM69),IF(RE$9=3,IF(OR(RC$4&gt;=$AD$127,AND($G69=1,$J69=2,RC$6=2),AND(RC$6=1,$N69&lt;&gt;1)),0,IF(RG69&lt;=120,RM69,IF(RC$4&lt;$AD$124,IF($F69=1,60/RE$4*RE$6,60/RE$4*RE$7),IF($F69=1,120/RE$4*RE$6,120/RE$4*RE$7)))),IF(OR($F69=3,$G69=2),IF(OR(AND(RC$4&gt;=$AD$119,$C69=2),AND(RC$4&gt;=$AF$119,$C69=1)),0,IF(RG69&lt;=60,RM69,60/RE$4*RE$7)),IF(AND($F69=2,$G69=1),RM69,0)))))</f>
        <v>0</v>
      </c>
      <c r="RP69" s="57" t="str">
        <f t="shared" si="190"/>
        <v/>
      </c>
      <c r="RQ69" s="57" t="str">
        <f t="shared" si="484"/>
        <v/>
      </c>
      <c r="RS69" s="57" t="str">
        <f t="shared" si="488"/>
        <v/>
      </c>
      <c r="RT69" s="57" t="str">
        <f t="shared" si="485"/>
        <v/>
      </c>
      <c r="RU69" s="57" t="str">
        <f t="shared" si="486"/>
        <v/>
      </c>
      <c r="RV69" s="57" t="str">
        <f>IF(Z69&gt;'#BerechnungDBE'!BM60,$RV$9,"")</f>
        <v/>
      </c>
      <c r="RW69" s="57" t="str">
        <f>IF(AND(L69=70,AE69&gt;'#BerechnungDBE'!CQ60),$RW$9,"")</f>
        <v/>
      </c>
      <c r="RX69" s="57" t="str">
        <f>IF(OR('org. Düngung 22'!G68="--",'org. Düngung 22'!G68&lt;=170,'org. Düngung 22'!G68=""),"",$RX$9)</f>
        <v/>
      </c>
      <c r="RY69" s="57" t="str">
        <f>IF('org. Düngung 22'!K68&gt;120,'#orgDung'!$RY$9,"")</f>
        <v/>
      </c>
      <c r="RZ69" s="57" t="str">
        <f>IF('#BerechnungDBE'!P60&lt;4,"",IF(AND('#BerechnungDBE'!BZ60&gt;0,T69&gt;0),'#orgDung'!$RZ$9,""))</f>
        <v/>
      </c>
      <c r="SA69" s="57" t="str">
        <f t="shared" si="487"/>
        <v/>
      </c>
    </row>
    <row r="70" spans="1:495" s="875" customFormat="1" x14ac:dyDescent="0.2">
      <c r="A70" s="875">
        <f>'Flächen u. Kulturen'!A66</f>
        <v>57</v>
      </c>
      <c r="B70" s="367">
        <f>'#BerechnungDBE'!L61</f>
        <v>0</v>
      </c>
      <c r="C70" s="875">
        <f>'#BerechnungDBE'!R61</f>
        <v>1</v>
      </c>
      <c r="D70" s="875">
        <f>'#BerechnungDBE'!T61</f>
        <v>2</v>
      </c>
      <c r="E70" s="875" t="str">
        <f>'Flächen u. Kulturen'!E66</f>
        <v>x</v>
      </c>
      <c r="F70" s="52">
        <f>'#BerechnungDBE'!N61</f>
        <v>1</v>
      </c>
      <c r="G70" s="52">
        <f>'#BerechnungDBE'!O61</f>
        <v>1</v>
      </c>
      <c r="H70" s="875">
        <f>IF('Flächen u. Kulturen'!P66="",0,VLOOKUP('Flächen u. Kulturen'!P66,Kulturen[[HF]:[Berechnungsgruppe]],'#Frucht'!$H$1,FALSE))</f>
        <v>0</v>
      </c>
      <c r="I70" s="875">
        <f>IF('Flächen u. Kulturen'!J66="",0,VLOOKUP('Flächen u. Kulturen'!J66,Kulturen[[HF]:[Berechnungsgruppe]],'#Frucht'!$G$1,FALSE))</f>
        <v>90</v>
      </c>
      <c r="J70" s="505">
        <f t="shared" si="195"/>
        <v>2</v>
      </c>
      <c r="K70" s="505">
        <f>IF('Flächen u. Kulturen'!P66="",0,IF(VLOOKUP('Flächen u. Kulturen'!P66,Kulturen[[HF]:[Saat Winterungen]],'#Frucht'!$P$1,FALSE)&gt;0,1,2))</f>
        <v>2</v>
      </c>
      <c r="L70" s="875">
        <f>'#BerechnungDBE'!AF61</f>
        <v>0</v>
      </c>
      <c r="M70" s="875">
        <f>IF('Flächen u. Kulturen'!L66="",0,VLOOKUP('Flächen u. Kulturen'!L66,Nebenkultur[[Nebenkultur]:[Legum. Zwischenfr.]],'#Zweitfr'!$K$1,FALSE))</f>
        <v>0</v>
      </c>
      <c r="N70" s="875">
        <f>'#BerechnungDBE'!AG61</f>
        <v>0</v>
      </c>
      <c r="P70" s="57">
        <f t="shared" si="353"/>
        <v>0</v>
      </c>
      <c r="Q70" s="57">
        <f t="shared" si="354"/>
        <v>0</v>
      </c>
      <c r="R70" s="875">
        <f t="shared" si="355"/>
        <v>0</v>
      </c>
      <c r="S70" s="938" t="str">
        <f t="shared" si="3"/>
        <v/>
      </c>
      <c r="T70" s="875">
        <f t="shared" si="356"/>
        <v>0</v>
      </c>
      <c r="U70" s="875">
        <f t="shared" si="357"/>
        <v>0</v>
      </c>
      <c r="V70" s="875">
        <f t="shared" si="358"/>
        <v>0</v>
      </c>
      <c r="W70" s="875">
        <f t="shared" si="359"/>
        <v>0</v>
      </c>
      <c r="X70" s="875">
        <f t="shared" si="360"/>
        <v>0</v>
      </c>
      <c r="Y70" s="875">
        <f t="shared" si="349"/>
        <v>0</v>
      </c>
      <c r="Z70" s="875">
        <f t="shared" si="350"/>
        <v>0</v>
      </c>
      <c r="AA70" s="910">
        <f t="shared" si="361"/>
        <v>0</v>
      </c>
      <c r="AB70" s="57">
        <f t="shared" si="351"/>
        <v>0</v>
      </c>
      <c r="AC70" s="875">
        <f t="shared" si="362"/>
        <v>0</v>
      </c>
      <c r="AD70" s="875">
        <f t="shared" si="363"/>
        <v>0</v>
      </c>
      <c r="AE70" s="875">
        <f t="shared" si="364"/>
        <v>0</v>
      </c>
      <c r="AF70" s="875">
        <f t="shared" si="352"/>
        <v>0</v>
      </c>
      <c r="AG70" s="875">
        <f>'org. Düngung 22'!J69</f>
        <v>0</v>
      </c>
      <c r="AH70" s="875">
        <f>'org. Düngung 22'!K69</f>
        <v>0</v>
      </c>
      <c r="AJ70" s="713">
        <f>'org. Düngung 22'!L69</f>
        <v>0</v>
      </c>
      <c r="AK70" s="57"/>
      <c r="AL70" s="57"/>
      <c r="AM70" s="57">
        <f t="shared" si="196"/>
        <v>0</v>
      </c>
      <c r="AN70" s="57">
        <f t="shared" si="197"/>
        <v>0</v>
      </c>
      <c r="AO70" s="57">
        <f t="shared" si="198"/>
        <v>0</v>
      </c>
      <c r="AP70" s="57">
        <f t="shared" si="199"/>
        <v>0</v>
      </c>
      <c r="AQ70" s="57">
        <f t="shared" si="200"/>
        <v>0</v>
      </c>
      <c r="AR70" s="1029">
        <f t="shared" si="365"/>
        <v>0</v>
      </c>
      <c r="AS70" s="57">
        <f t="shared" si="366"/>
        <v>0</v>
      </c>
      <c r="AT70" s="171" t="str">
        <f t="shared" si="367"/>
        <v/>
      </c>
      <c r="AU70" s="57">
        <f t="shared" si="201"/>
        <v>0</v>
      </c>
      <c r="AV70" s="57">
        <f>IF(OR(AND(AJ$6=1,$L70=0),AND(AJ$6=2,$K70=2,$G70=1)),0,IF(AND(AL$9=2,(OR($F70&gt;1,$K70=1,AND($L70=80,OR($N70=1,AND($N70=2,'#BerechnungDBE'!$AL61&gt;0)))))),IF(AJ$4&gt;=$AD$126,0,AT70),IF(AL$9=3,IF(OR(AJ$4&gt;=$AD$127,AND($G70=1,$J70=2,AJ$6=2),AND(AJ$6=1,$N70&lt;&gt;1)),0,IF(AN70&lt;=120,AT70,IF(AJ$4&lt;$AD$124,IF($F70=1,60/AL$4*AL$6,60/AL$4*AL$7),IF($F70=1,120/AL$4*AL$6,120/AL$4*AL$7)))),IF(OR($F70=3,$G70=2),IF(OR(AND(AJ$4&gt;=$AD$119,$C70=2),AND(AJ$4&gt;=$AF$119,$C70=1)),0,IF(AN70&lt;=60,AT70,60/AL$4*AL$7)),IF(AND($F70=2,$G70=1),AT70,0)))))</f>
        <v>0</v>
      </c>
      <c r="AW70" s="57" t="str">
        <f t="shared" si="202"/>
        <v/>
      </c>
      <c r="AX70" s="57" t="str">
        <f t="shared" si="368"/>
        <v/>
      </c>
      <c r="AY70" s="713">
        <f>'org. Düngung 22'!P69</f>
        <v>0</v>
      </c>
      <c r="AZ70" s="57"/>
      <c r="BA70" s="57"/>
      <c r="BB70" s="57">
        <f t="shared" si="18"/>
        <v>0</v>
      </c>
      <c r="BC70" s="57">
        <f t="shared" si="203"/>
        <v>0</v>
      </c>
      <c r="BD70" s="57">
        <f t="shared" si="204"/>
        <v>0</v>
      </c>
      <c r="BE70" s="57">
        <f t="shared" si="205"/>
        <v>0</v>
      </c>
      <c r="BF70" s="57">
        <f t="shared" si="206"/>
        <v>0</v>
      </c>
      <c r="BG70" s="1029">
        <f t="shared" si="369"/>
        <v>0</v>
      </c>
      <c r="BH70" s="57">
        <f t="shared" si="370"/>
        <v>0</v>
      </c>
      <c r="BI70" s="171" t="str">
        <f t="shared" si="371"/>
        <v/>
      </c>
      <c r="BJ70" s="57">
        <f t="shared" si="207"/>
        <v>0</v>
      </c>
      <c r="BK70" s="57">
        <f>IF(OR(AND(AY$6=1,$L70=0),AND(AY$6=2,$K70=2,$G70=1)),0,IF(AND(BA$9=2,(OR($F70&gt;1,$K70=1,AND($L70=80,OR($N70=1,AND($N70=2,'#BerechnungDBE'!$AL61&gt;0)))))),IF(AY$4&gt;=$AD$126,0,BI70),IF(BA$9=3,IF(OR(AY$4&gt;=$AD$127,AND($G70=1,$J70=2,AY$6=2),AND(AY$6=1,$N70&lt;&gt;1)),0,IF(BC70&lt;=120,BI70,IF(AY$4&lt;$AD$124,IF($F70=1,60/BA$4*BA$6,60/BA$4*BA$7),IF($F70=1,120/BA$4*BA$6,120/BA$4*BA$7)))),IF(OR($F70=3,$G70=2),IF(OR(AND(AY$4&gt;=$AD$119,$C70=2),AND(AY$4&gt;=$AF$119,$C70=1)),0,IF(BC70&lt;=60,BI70,60/BA$4*BA$7)),IF(AND($F70=2,$G70=1),BI70,0)))))</f>
        <v>0</v>
      </c>
      <c r="BL70" s="57" t="str">
        <f t="shared" si="22"/>
        <v/>
      </c>
      <c r="BM70" s="57" t="str">
        <f t="shared" si="372"/>
        <v/>
      </c>
      <c r="BN70" s="713">
        <f>'org. Düngung 22'!T69</f>
        <v>0</v>
      </c>
      <c r="BO70" s="57"/>
      <c r="BP70" s="57"/>
      <c r="BQ70" s="57">
        <f t="shared" si="24"/>
        <v>0</v>
      </c>
      <c r="BR70" s="57">
        <f t="shared" si="208"/>
        <v>0</v>
      </c>
      <c r="BS70" s="57">
        <f t="shared" si="209"/>
        <v>0</v>
      </c>
      <c r="BT70" s="57">
        <f t="shared" si="210"/>
        <v>0</v>
      </c>
      <c r="BU70" s="57">
        <f t="shared" si="211"/>
        <v>0</v>
      </c>
      <c r="BV70" s="1029">
        <f t="shared" si="373"/>
        <v>0</v>
      </c>
      <c r="BW70" s="57">
        <f t="shared" si="374"/>
        <v>0</v>
      </c>
      <c r="BX70" s="171" t="str">
        <f t="shared" si="375"/>
        <v/>
      </c>
      <c r="BY70" s="57">
        <f t="shared" si="212"/>
        <v>0</v>
      </c>
      <c r="BZ70" s="57">
        <f>IF(OR(AND(BN$6=1,$L70=0),AND(BN$6=2,$K70=2,$G70=1)),0,IF(AND(BP$9=2,(OR($F70&gt;1,$K70=1,AND($L70=80,OR($N70=1,AND($N70=2,'#BerechnungDBE'!$AL61&gt;0)))))),IF(BN$4&gt;=$AD$126,0,BX70),IF(BP$9=3,IF(OR(BN$4&gt;=$AD$127,AND($G70=1,$J70=2,BN$6=2),AND(BN$6=1,$N70&lt;&gt;1)),0,IF(BR70&lt;=120,BX70,IF(BN$4&lt;$AD$124,IF($F70=1,60/BP$4*BP$6,60/BP$4*BP$7),IF($F70=1,120/BP$4*BP$6,120/BP$4*BP$7)))),IF(OR($F70=3,$G70=2),IF(OR(AND(BN$4&gt;=$AD$119,$C70=2),AND(BN$4&gt;=$AF$119,$C70=1)),0,IF(BR70&lt;=60,BX70,60/BP$4*BP$7)),IF(AND($F70=2,$G70=1),BX70,0)))))</f>
        <v>0</v>
      </c>
      <c r="CA70" s="57" t="str">
        <f t="shared" si="28"/>
        <v/>
      </c>
      <c r="CB70" s="57" t="str">
        <f t="shared" si="376"/>
        <v/>
      </c>
      <c r="CC70" s="713">
        <f>'org. Düngung 22'!X69</f>
        <v>0</v>
      </c>
      <c r="CD70" s="57"/>
      <c r="CE70" s="57"/>
      <c r="CF70" s="57">
        <f t="shared" si="30"/>
        <v>0</v>
      </c>
      <c r="CG70" s="57">
        <f t="shared" si="213"/>
        <v>0</v>
      </c>
      <c r="CH70" s="57">
        <f t="shared" si="214"/>
        <v>0</v>
      </c>
      <c r="CI70" s="57">
        <f t="shared" si="215"/>
        <v>0</v>
      </c>
      <c r="CJ70" s="57">
        <f t="shared" si="216"/>
        <v>0</v>
      </c>
      <c r="CK70" s="1029">
        <f t="shared" si="377"/>
        <v>0</v>
      </c>
      <c r="CL70" s="57">
        <f t="shared" si="378"/>
        <v>0</v>
      </c>
      <c r="CM70" s="171" t="str">
        <f t="shared" si="379"/>
        <v/>
      </c>
      <c r="CN70" s="57">
        <f t="shared" si="217"/>
        <v>0</v>
      </c>
      <c r="CO70" s="57">
        <f>IF(OR(AND(CC$6=1,$L70=0),AND(CC$6=2,$K70=2,$G70=1)),0,IF(AND(CE$9=2,(OR($F70&gt;1,$K70=1,AND($L70=80,OR($N70=1,AND($N70=2,'#BerechnungDBE'!$AL61&gt;0)))))),IF(CC$4&gt;=$AD$126,0,CM70),IF(CE$9=3,IF(OR(CC$4&gt;=$AD$127,AND($G70=1,$J70=2,CC$6=2),AND(CC$6=1,$N70&lt;&gt;1)),0,IF(CG70&lt;=120,CM70,IF(CC$4&lt;$AD$124,IF($F70=1,60/CE$4*CE$6,60/CE$4*CE$7),IF($F70=1,120/CE$4*CE$6,120/CE$4*CE$7)))),IF(OR($F70=3,$G70=2),IF(OR(AND(CC$4&gt;=$AD$119,$C70=2),AND(CC$4&gt;=$AF$119,$C70=1)),0,IF(CG70&lt;=60,CM70,60/CE$4*CE$7)),IF(AND($F70=2,$G70=1),CM70,0)))))</f>
        <v>0</v>
      </c>
      <c r="CP70" s="57" t="str">
        <f t="shared" si="34"/>
        <v/>
      </c>
      <c r="CQ70" s="57" t="str">
        <f t="shared" si="380"/>
        <v/>
      </c>
      <c r="CR70" s="713">
        <f>'org. Düngung 22'!AB69</f>
        <v>0</v>
      </c>
      <c r="CS70" s="57"/>
      <c r="CT70" s="57"/>
      <c r="CU70" s="57">
        <f t="shared" si="36"/>
        <v>0</v>
      </c>
      <c r="CV70" s="57">
        <f t="shared" si="218"/>
        <v>0</v>
      </c>
      <c r="CW70" s="57">
        <f t="shared" si="219"/>
        <v>0</v>
      </c>
      <c r="CX70" s="57">
        <f t="shared" si="220"/>
        <v>0</v>
      </c>
      <c r="CY70" s="57">
        <f t="shared" si="221"/>
        <v>0</v>
      </c>
      <c r="CZ70" s="1029">
        <f t="shared" si="381"/>
        <v>0</v>
      </c>
      <c r="DA70" s="57">
        <f t="shared" si="382"/>
        <v>0</v>
      </c>
      <c r="DB70" s="171" t="str">
        <f t="shared" si="383"/>
        <v/>
      </c>
      <c r="DC70" s="57">
        <f t="shared" si="222"/>
        <v>0</v>
      </c>
      <c r="DD70" s="57">
        <f>IF(OR(AND(CR$6=1,$L70=0),AND(CR$6=2,$K70=2,$G70=1)),0,IF(AND(CT$9=2,(OR($F70&gt;1,$K70=1,AND($L70=80,OR($N70=1,AND($N70=2,'#BerechnungDBE'!$AL61&gt;0)))))),IF(CR$4&gt;=$AD$126,0,DB70),IF(CT$9=3,IF(OR(CR$4&gt;=$AD$127,AND($G70=1,$J70=2,CR$6=2),AND(CR$6=1,$N70&lt;&gt;1)),0,IF(CV70&lt;=120,DB70,IF(CR$4&lt;$AD$124,IF($F70=1,60/CT$4*CT$6,60/CT$4*CT$7),IF($F70=1,120/CT$4*CT$6,120/CT$4*CT$7)))),IF(OR($F70=3,$G70=2),IF(OR(AND(CR$4&gt;=$AD$119,$C70=2),AND(CR$4&gt;=$AF$119,$C70=1)),0,IF(CV70&lt;=60,DB70,60/CT$4*CT$7)),IF(AND($F70=2,$G70=1),DB70,0)))))</f>
        <v>0</v>
      </c>
      <c r="DE70" s="57" t="str">
        <f t="shared" si="40"/>
        <v/>
      </c>
      <c r="DF70" s="57" t="str">
        <f t="shared" si="384"/>
        <v/>
      </c>
      <c r="DG70" s="713">
        <f>'org. Düngung 22'!AF69</f>
        <v>0</v>
      </c>
      <c r="DH70" s="57"/>
      <c r="DI70" s="57"/>
      <c r="DJ70" s="57">
        <f t="shared" si="42"/>
        <v>0</v>
      </c>
      <c r="DK70" s="57">
        <f t="shared" si="223"/>
        <v>0</v>
      </c>
      <c r="DL70" s="57">
        <f t="shared" si="224"/>
        <v>0</v>
      </c>
      <c r="DM70" s="57">
        <f t="shared" si="225"/>
        <v>0</v>
      </c>
      <c r="DN70" s="57">
        <f t="shared" si="226"/>
        <v>0</v>
      </c>
      <c r="DO70" s="1029">
        <f t="shared" si="385"/>
        <v>0</v>
      </c>
      <c r="DP70" s="57">
        <f t="shared" si="386"/>
        <v>0</v>
      </c>
      <c r="DQ70" s="171" t="str">
        <f t="shared" si="387"/>
        <v/>
      </c>
      <c r="DR70" s="57">
        <f t="shared" si="227"/>
        <v>0</v>
      </c>
      <c r="DS70" s="57">
        <f>IF(OR(AND(DG$6=1,$L70=0),AND(DG$6=2,$K70=2,$G70=1)),0,IF(AND(DI$9=2,(OR($F70&gt;1,$K70=1,AND($L70=80,OR($N70=1,AND($N70=2,'#BerechnungDBE'!$AL61&gt;0)))))),IF(DG$4&gt;=$AD$126,0,DQ70),IF(DI$9=3,IF(OR(DG$4&gt;=$AD$127,AND($G70=1,$J70=2,DG$6=2),AND(DG$6=1,$N70&lt;&gt;1)),0,IF(DK70&lt;=120,DQ70,IF(DG$4&lt;$AD$124,IF($F70=1,60/DI$4*DI$6,60/DI$4*DI$7),IF($F70=1,120/DI$4*DI$6,120/DI$4*DI$7)))),IF(OR($F70=3,$G70=2),IF(OR(AND(DG$4&gt;=$AD$119,$C70=2),AND(DG$4&gt;=$AF$119,$C70=1)),0,IF(DK70&lt;=60,DQ70,60/DI$4*DI$7)),IF(AND($F70=2,$G70=1),DQ70,0)))))</f>
        <v>0</v>
      </c>
      <c r="DT70" s="57" t="str">
        <f t="shared" si="46"/>
        <v/>
      </c>
      <c r="DU70" s="57" t="str">
        <f t="shared" si="388"/>
        <v/>
      </c>
      <c r="DV70" s="713">
        <f>'org. Düngung 22'!AJ69</f>
        <v>0</v>
      </c>
      <c r="DW70" s="57"/>
      <c r="DX70" s="57"/>
      <c r="DY70" s="57">
        <f t="shared" si="48"/>
        <v>0</v>
      </c>
      <c r="DZ70" s="57">
        <f t="shared" si="228"/>
        <v>0</v>
      </c>
      <c r="EA70" s="57">
        <f t="shared" si="229"/>
        <v>0</v>
      </c>
      <c r="EB70" s="57">
        <f t="shared" si="230"/>
        <v>0</v>
      </c>
      <c r="EC70" s="57">
        <f t="shared" si="231"/>
        <v>0</v>
      </c>
      <c r="ED70" s="1029">
        <f t="shared" si="389"/>
        <v>0</v>
      </c>
      <c r="EE70" s="57">
        <f t="shared" si="390"/>
        <v>0</v>
      </c>
      <c r="EF70" s="171" t="str">
        <f t="shared" si="391"/>
        <v/>
      </c>
      <c r="EG70" s="57">
        <f t="shared" si="232"/>
        <v>0</v>
      </c>
      <c r="EH70" s="57">
        <f>IF(OR(AND(DV$6=1,$L70=0),AND(DV$6=2,$K70=2,$G70=1)),0,IF(AND(DX$9=2,(OR($F70&gt;1,$K70=1,AND($L70=80,OR($N70=1,AND($N70=2,'#BerechnungDBE'!$AL61&gt;0)))))),IF(DV$4&gt;=$AD$126,0,EF70),IF(DX$9=3,IF(OR(DV$4&gt;=$AD$127,AND($G70=1,$J70=2,DV$6=2),AND(DV$6=1,$N70&lt;&gt;1)),0,IF(DZ70&lt;=120,EF70,IF(DV$4&lt;$AD$124,IF($F70=1,60/DX$4*DX$6,60/DX$4*DX$7),IF($F70=1,120/DX$4*DX$6,120/DX$4*DX$7)))),IF(OR($F70=3,$G70=2),IF(OR(AND(DV$4&gt;=$AD$119,$C70=2),AND(DV$4&gt;=$AF$119,$C70=1)),0,IF(DZ70&lt;=60,EF70,60/DX$4*DX$7)),IF(AND($F70=2,$G70=1),EF70,0)))))</f>
        <v>0</v>
      </c>
      <c r="EI70" s="57" t="str">
        <f t="shared" si="52"/>
        <v/>
      </c>
      <c r="EJ70" s="57" t="str">
        <f t="shared" si="392"/>
        <v/>
      </c>
      <c r="EK70" s="713">
        <f>'org. Düngung 22'!AN69</f>
        <v>0</v>
      </c>
      <c r="EL70" s="57"/>
      <c r="EM70" s="57"/>
      <c r="EN70" s="57">
        <f t="shared" si="54"/>
        <v>0</v>
      </c>
      <c r="EO70" s="57">
        <f t="shared" si="233"/>
        <v>0</v>
      </c>
      <c r="EP70" s="57">
        <f t="shared" si="234"/>
        <v>0</v>
      </c>
      <c r="EQ70" s="57">
        <f t="shared" si="235"/>
        <v>0</v>
      </c>
      <c r="ER70" s="57">
        <f t="shared" si="236"/>
        <v>0</v>
      </c>
      <c r="ES70" s="1029">
        <f t="shared" si="393"/>
        <v>0</v>
      </c>
      <c r="ET70" s="57">
        <f t="shared" si="394"/>
        <v>0</v>
      </c>
      <c r="EU70" s="171" t="str">
        <f t="shared" si="395"/>
        <v/>
      </c>
      <c r="EV70" s="57">
        <f t="shared" si="237"/>
        <v>0</v>
      </c>
      <c r="EW70" s="57">
        <f>IF(OR(AND(EK$6=1,$L70=0),AND(EK$6=2,$K70=2,$G70=1)),0,IF(AND(EM$9=2,(OR($F70&gt;1,$K70=1,AND($L70=80,OR($N70=1,AND($N70=2,'#BerechnungDBE'!$AL61&gt;0)))))),IF(EK$4&gt;=$AD$126,0,EU70),IF(EM$9=3,IF(OR(EK$4&gt;=$AD$127,AND($G70=1,$J70=2,EK$6=2),AND(EK$6=1,$N70&lt;&gt;1)),0,IF(EO70&lt;=120,EU70,IF(EK$4&lt;$AD$124,IF($F70=1,60/EM$4*EM$6,60/EM$4*EM$7),IF($F70=1,120/EM$4*EM$6,120/EM$4*EM$7)))),IF(OR($F70=3,$G70=2),IF(OR(AND(EK$4&gt;=$AD$119,$C70=2),AND(EK$4&gt;=$AF$119,$C70=1)),0,IF(EO70&lt;=60,EU70,60/EM$4*EM$7)),IF(AND($F70=2,$G70=1),EU70,0)))))</f>
        <v>0</v>
      </c>
      <c r="EX70" s="57" t="str">
        <f t="shared" si="58"/>
        <v/>
      </c>
      <c r="EY70" s="57" t="str">
        <f t="shared" si="396"/>
        <v/>
      </c>
      <c r="EZ70" s="713">
        <f>'org. Düngung 22'!AR69</f>
        <v>0</v>
      </c>
      <c r="FA70" s="57"/>
      <c r="FB70" s="57"/>
      <c r="FC70" s="57">
        <f t="shared" si="60"/>
        <v>0</v>
      </c>
      <c r="FD70" s="57">
        <f t="shared" si="238"/>
        <v>0</v>
      </c>
      <c r="FE70" s="57">
        <f t="shared" si="239"/>
        <v>0</v>
      </c>
      <c r="FF70" s="57">
        <f t="shared" si="240"/>
        <v>0</v>
      </c>
      <c r="FG70" s="57">
        <f t="shared" si="241"/>
        <v>0</v>
      </c>
      <c r="FH70" s="1029">
        <f t="shared" si="397"/>
        <v>0</v>
      </c>
      <c r="FI70" s="57">
        <f t="shared" si="398"/>
        <v>0</v>
      </c>
      <c r="FJ70" s="171" t="str">
        <f t="shared" si="399"/>
        <v/>
      </c>
      <c r="FK70" s="57">
        <f t="shared" si="242"/>
        <v>0</v>
      </c>
      <c r="FL70" s="57">
        <f>IF(OR(AND(EZ$6=1,$L70=0),AND(EZ$6=2,$K70=2,$G70=1)),0,IF(AND(FB$9=2,(OR($F70&gt;1,$K70=1,AND($L70=80,OR($N70=1,AND($N70=2,'#BerechnungDBE'!$AL61&gt;0)))))),IF(EZ$4&gt;=$AD$126,0,FJ70),IF(FB$9=3,IF(OR(EZ$4&gt;=$AD$127,AND($G70=1,$J70=2,EZ$6=2),AND(EZ$6=1,$N70&lt;&gt;1)),0,IF(FD70&lt;=120,FJ70,IF(EZ$4&lt;$AD$124,IF($F70=1,60/FB$4*FB$6,60/FB$4*FB$7),IF($F70=1,120/FB$4*FB$6,120/FB$4*FB$7)))),IF(OR($F70=3,$G70=2),IF(OR(AND(EZ$4&gt;=$AD$119,$C70=2),AND(EZ$4&gt;=$AF$119,$C70=1)),0,IF(FD70&lt;=60,FJ70,60/FB$4*FB$7)),IF(AND($F70=2,$G70=1),FJ70,0)))))</f>
        <v>0</v>
      </c>
      <c r="FM70" s="57" t="str">
        <f t="shared" si="64"/>
        <v/>
      </c>
      <c r="FN70" s="57" t="str">
        <f t="shared" si="400"/>
        <v/>
      </c>
      <c r="FO70" s="713">
        <f>'org. Düngung 22'!AV69</f>
        <v>0</v>
      </c>
      <c r="FP70" s="57"/>
      <c r="FQ70" s="57"/>
      <c r="FR70" s="57">
        <f t="shared" si="66"/>
        <v>0</v>
      </c>
      <c r="FS70" s="57">
        <f t="shared" si="243"/>
        <v>0</v>
      </c>
      <c r="FT70" s="57">
        <f t="shared" si="244"/>
        <v>0</v>
      </c>
      <c r="FU70" s="57">
        <f t="shared" si="245"/>
        <v>0</v>
      </c>
      <c r="FV70" s="57">
        <f t="shared" si="246"/>
        <v>0</v>
      </c>
      <c r="FW70" s="1029">
        <f t="shared" si="401"/>
        <v>0</v>
      </c>
      <c r="FX70" s="57">
        <f t="shared" si="402"/>
        <v>0</v>
      </c>
      <c r="FY70" s="171" t="str">
        <f t="shared" si="403"/>
        <v/>
      </c>
      <c r="FZ70" s="57">
        <f t="shared" si="247"/>
        <v>0</v>
      </c>
      <c r="GA70" s="57">
        <f>IF(OR(AND(FO$6=1,$L70=0),AND(FO$6=2,$K70=2,$G70=1)),0,IF(AND(FQ$9=2,(OR($F70&gt;1,$K70=1,AND($L70=80,OR($N70=1,AND($N70=2,'#BerechnungDBE'!$AL61&gt;0)))))),IF(FO$4&gt;=$AD$126,0,FY70),IF(FQ$9=3,IF(OR(FO$4&gt;=$AD$127,AND($G70=1,$J70=2,FO$6=2),AND(FO$6=1,$N70&lt;&gt;1)),0,IF(FS70&lt;=120,FY70,IF(FO$4&lt;$AD$124,IF($F70=1,60/FQ$4*FQ$6,60/FQ$4*FQ$7),IF($F70=1,120/FQ$4*FQ$6,120/FQ$4*FQ$7)))),IF(OR($F70=3,$G70=2),IF(OR(AND(FO$4&gt;=$AD$119,$C70=2),AND(FO$4&gt;=$AF$119,$C70=1)),0,IF(FS70&lt;=60,FY70,60/FQ$4*FQ$7)),IF(AND($F70=2,$G70=1),FY70,0)))))</f>
        <v>0</v>
      </c>
      <c r="GB70" s="57" t="str">
        <f t="shared" si="70"/>
        <v/>
      </c>
      <c r="GC70" s="57" t="str">
        <f t="shared" si="404"/>
        <v/>
      </c>
      <c r="GD70" s="713">
        <f>'org. Düngung 22'!AZ69</f>
        <v>0</v>
      </c>
      <c r="GE70" s="57"/>
      <c r="GF70" s="57"/>
      <c r="GG70" s="57">
        <f t="shared" si="72"/>
        <v>0</v>
      </c>
      <c r="GH70" s="57">
        <f t="shared" si="248"/>
        <v>0</v>
      </c>
      <c r="GI70" s="57">
        <f t="shared" si="249"/>
        <v>0</v>
      </c>
      <c r="GJ70" s="57">
        <f t="shared" si="250"/>
        <v>0</v>
      </c>
      <c r="GK70" s="57">
        <f t="shared" si="251"/>
        <v>0</v>
      </c>
      <c r="GL70" s="1029">
        <f t="shared" si="405"/>
        <v>0</v>
      </c>
      <c r="GM70" s="57">
        <f t="shared" si="406"/>
        <v>0</v>
      </c>
      <c r="GN70" s="171" t="str">
        <f t="shared" si="407"/>
        <v/>
      </c>
      <c r="GO70" s="57">
        <f t="shared" si="252"/>
        <v>0</v>
      </c>
      <c r="GP70" s="57">
        <f>IF(OR(AND(GD$6=1,$L70=0),AND(GD$6=2,$K70=2,$G70=1)),0,IF(AND(GF$9=2,(OR($F70&gt;1,$K70=1,AND($L70=80,OR($N70=1,AND($N70=2,'#BerechnungDBE'!$AL61&gt;0)))))),IF(GD$4&gt;=$AD$126,0,GN70),IF(GF$9=3,IF(OR(GD$4&gt;=$AD$127,AND($G70=1,$J70=2,GD$6=2),AND(GD$6=1,$N70&lt;&gt;1)),0,IF(GH70&lt;=120,GN70,IF(GD$4&lt;$AD$124,IF($F70=1,60/GF$4*GF$6,60/GF$4*GF$7),IF($F70=1,120/GF$4*GF$6,120/GF$4*GF$7)))),IF(OR($F70=3,$G70=2),IF(OR(AND(GD$4&gt;=$AD$119,$C70=2),AND(GD$4&gt;=$AF$119,$C70=1)),0,IF(GH70&lt;=60,GN70,60/GF$4*GF$7)),IF(AND($F70=2,$G70=1),GN70,0)))))</f>
        <v>0</v>
      </c>
      <c r="GQ70" s="57" t="str">
        <f t="shared" si="76"/>
        <v/>
      </c>
      <c r="GR70" s="57" t="str">
        <f t="shared" si="408"/>
        <v/>
      </c>
      <c r="GS70" s="713">
        <f>'org. Düngung 22'!BD69</f>
        <v>0</v>
      </c>
      <c r="GT70" s="57"/>
      <c r="GU70" s="57"/>
      <c r="GV70" s="57">
        <f t="shared" si="78"/>
        <v>0</v>
      </c>
      <c r="GW70" s="57">
        <f t="shared" si="253"/>
        <v>0</v>
      </c>
      <c r="GX70" s="57">
        <f t="shared" si="254"/>
        <v>0</v>
      </c>
      <c r="GY70" s="57">
        <f t="shared" si="255"/>
        <v>0</v>
      </c>
      <c r="GZ70" s="57">
        <f t="shared" si="256"/>
        <v>0</v>
      </c>
      <c r="HA70" s="1029">
        <f t="shared" si="409"/>
        <v>0</v>
      </c>
      <c r="HB70" s="57">
        <f t="shared" si="410"/>
        <v>0</v>
      </c>
      <c r="HC70" s="171" t="str">
        <f t="shared" si="411"/>
        <v/>
      </c>
      <c r="HD70" s="57">
        <f t="shared" si="257"/>
        <v>0</v>
      </c>
      <c r="HE70" s="57">
        <f>IF(OR(AND(GS$6=1,$L70=0),AND(GS$6=2,$K70=2,$G70=1)),0,IF(AND(GU$9=2,(OR($F70&gt;1,$K70=1,AND($L70=80,OR($N70=1,AND($N70=2,'#BerechnungDBE'!$AL61&gt;0)))))),IF(GS$4&gt;=$AD$126,0,HC70),IF(GU$9=3,IF(OR(GS$4&gt;=$AD$127,AND($G70=1,$J70=2,GS$6=2),AND(GS$6=1,$N70&lt;&gt;1)),0,IF(GW70&lt;=120,HC70,IF(GS$4&lt;$AD$124,IF($F70=1,60/GU$4*GU$6,60/GU$4*GU$7),IF($F70=1,120/GU$4*GU$6,120/GU$4*GU$7)))),IF(OR($F70=3,$G70=2),IF(OR(AND(GS$4&gt;=$AD$119,$C70=2),AND(GS$4&gt;=$AF$119,$C70=1)),0,IF(GW70&lt;=60,HC70,60/GU$4*GU$7)),IF(AND($F70=2,$G70=1),HC70,0)))))</f>
        <v>0</v>
      </c>
      <c r="HF70" s="57" t="str">
        <f t="shared" si="82"/>
        <v/>
      </c>
      <c r="HG70" s="57" t="str">
        <f t="shared" si="412"/>
        <v/>
      </c>
      <c r="HH70" s="713">
        <f>'org. Düngung 22'!BH69</f>
        <v>0</v>
      </c>
      <c r="HI70" s="57"/>
      <c r="HJ70" s="57"/>
      <c r="HK70" s="57">
        <f t="shared" si="84"/>
        <v>0</v>
      </c>
      <c r="HL70" s="57">
        <f t="shared" si="258"/>
        <v>0</v>
      </c>
      <c r="HM70" s="57">
        <f t="shared" si="259"/>
        <v>0</v>
      </c>
      <c r="HN70" s="57">
        <f t="shared" si="260"/>
        <v>0</v>
      </c>
      <c r="HO70" s="57">
        <f t="shared" si="261"/>
        <v>0</v>
      </c>
      <c r="HP70" s="1029">
        <f t="shared" si="413"/>
        <v>0</v>
      </c>
      <c r="HQ70" s="57">
        <f t="shared" si="414"/>
        <v>0</v>
      </c>
      <c r="HR70" s="171" t="str">
        <f t="shared" si="415"/>
        <v/>
      </c>
      <c r="HS70" s="57">
        <f t="shared" si="262"/>
        <v>0</v>
      </c>
      <c r="HT70" s="57">
        <f>IF(OR(AND(HH$6=1,$L70=0),AND(HH$6=2,$K70=2,$G70=1)),0,IF(AND(HJ$9=2,(OR($F70&gt;1,$K70=1,AND($L70=80,OR($N70=1,AND($N70=2,'#BerechnungDBE'!$AL61&gt;0)))))),IF(HH$4&gt;=$AD$126,0,HR70),IF(HJ$9=3,IF(OR(HH$4&gt;=$AD$127,AND($G70=1,$J70=2,HH$6=2),AND(HH$6=1,$N70&lt;&gt;1)),0,IF(HL70&lt;=120,HR70,IF(HH$4&lt;$AD$124,IF($F70=1,60/HJ$4*HJ$6,60/HJ$4*HJ$7),IF($F70=1,120/HJ$4*HJ$6,120/HJ$4*HJ$7)))),IF(OR($F70=3,$G70=2),IF(OR(AND(HH$4&gt;=$AD$119,$C70=2),AND(HH$4&gt;=$AF$119,$C70=1)),0,IF(HL70&lt;=60,HR70,60/HJ$4*HJ$7)),IF(AND($F70=2,$G70=1),HR70,0)))))</f>
        <v>0</v>
      </c>
      <c r="HU70" s="57" t="str">
        <f t="shared" si="88"/>
        <v/>
      </c>
      <c r="HV70" s="57" t="str">
        <f t="shared" si="416"/>
        <v/>
      </c>
      <c r="HW70" s="713">
        <f>'org. Düngung 22'!BL69</f>
        <v>0</v>
      </c>
      <c r="HX70" s="57"/>
      <c r="HY70" s="57"/>
      <c r="HZ70" s="57">
        <f t="shared" si="90"/>
        <v>0</v>
      </c>
      <c r="IA70" s="57">
        <f t="shared" si="263"/>
        <v>0</v>
      </c>
      <c r="IB70" s="57">
        <f t="shared" si="264"/>
        <v>0</v>
      </c>
      <c r="IC70" s="57">
        <f t="shared" si="265"/>
        <v>0</v>
      </c>
      <c r="ID70" s="57">
        <f t="shared" si="266"/>
        <v>0</v>
      </c>
      <c r="IE70" s="1029">
        <f t="shared" si="417"/>
        <v>0</v>
      </c>
      <c r="IF70" s="57">
        <f t="shared" si="418"/>
        <v>0</v>
      </c>
      <c r="IG70" s="171" t="str">
        <f t="shared" si="419"/>
        <v/>
      </c>
      <c r="IH70" s="57">
        <f t="shared" si="267"/>
        <v>0</v>
      </c>
      <c r="II70" s="57">
        <f>IF(OR(AND(HW$6=1,$L70=0),AND(HW$6=2,$K70=2,$G70=1)),0,IF(AND(HY$9=2,(OR($F70&gt;1,$K70=1,AND($L70=80,OR($N70=1,AND($N70=2,'#BerechnungDBE'!$AL61&gt;0)))))),IF(HW$4&gt;=$AD$126,0,IG70),IF(HY$9=3,IF(OR(HW$4&gt;=$AD$127,AND($G70=1,$J70=2,HW$6=2),AND(HW$6=1,$N70&lt;&gt;1)),0,IF(IA70&lt;=120,IG70,IF(HW$4&lt;$AD$124,IF($F70=1,60/HY$4*HY$6,60/HY$4*HY$7),IF($F70=1,120/HY$4*HY$6,120/HY$4*HY$7)))),IF(OR($F70=3,$G70=2),IF(OR(AND(HW$4&gt;=$AD$119,$C70=2),AND(HW$4&gt;=$AF$119,$C70=1)),0,IF(IA70&lt;=60,IG70,60/HY$4*HY$7)),IF(AND($F70=2,$G70=1),IG70,0)))))</f>
        <v>0</v>
      </c>
      <c r="IJ70" s="57" t="str">
        <f t="shared" si="94"/>
        <v/>
      </c>
      <c r="IK70" s="57" t="str">
        <f t="shared" si="420"/>
        <v/>
      </c>
      <c r="IL70" s="713">
        <f>'org. Düngung 22'!BP69</f>
        <v>0</v>
      </c>
      <c r="IM70" s="57"/>
      <c r="IN70" s="57"/>
      <c r="IO70" s="57">
        <f t="shared" si="96"/>
        <v>0</v>
      </c>
      <c r="IP70" s="57">
        <f t="shared" si="268"/>
        <v>0</v>
      </c>
      <c r="IQ70" s="57">
        <f t="shared" si="269"/>
        <v>0</v>
      </c>
      <c r="IR70" s="57">
        <f t="shared" si="270"/>
        <v>0</v>
      </c>
      <c r="IS70" s="57">
        <f t="shared" si="271"/>
        <v>0</v>
      </c>
      <c r="IT70" s="1029">
        <f t="shared" si="421"/>
        <v>0</v>
      </c>
      <c r="IU70" s="57">
        <f t="shared" si="422"/>
        <v>0</v>
      </c>
      <c r="IV70" s="171" t="str">
        <f t="shared" si="423"/>
        <v/>
      </c>
      <c r="IW70" s="57">
        <f t="shared" si="272"/>
        <v>0</v>
      </c>
      <c r="IX70" s="57">
        <f>IF(OR(AND(IL$6=1,$L70=0),AND(IL$6=2,$K70=2,$G70=1)),0,IF(AND(IN$9=2,(OR($F70&gt;1,$K70=1,AND($L70=80,OR($N70=1,AND($N70=2,'#BerechnungDBE'!$AL61&gt;0)))))),IF(IL$4&gt;=$AD$126,0,IV70),IF(IN$9=3,IF(OR(IL$4&gt;=$AD$127,AND($G70=1,$J70=2,IL$6=2),AND(IL$6=1,$N70&lt;&gt;1)),0,IF(IP70&lt;=120,IV70,IF(IL$4&lt;$AD$124,IF($F70=1,60/IN$4*IN$6,60/IN$4*IN$7),IF($F70=1,120/IN$4*IN$6,120/IN$4*IN$7)))),IF(OR($F70=3,$G70=2),IF(OR(AND(IL$4&gt;=$AD$119,$C70=2),AND(IL$4&gt;=$AF$119,$C70=1)),0,IF(IP70&lt;=60,IV70,60/IN$4*IN$7)),IF(AND($F70=2,$G70=1),IV70,0)))))</f>
        <v>0</v>
      </c>
      <c r="IY70" s="57" t="str">
        <f t="shared" si="100"/>
        <v/>
      </c>
      <c r="IZ70" s="57" t="str">
        <f t="shared" si="424"/>
        <v/>
      </c>
      <c r="JA70" s="713">
        <f>'org. Düngung 22'!BT69</f>
        <v>0</v>
      </c>
      <c r="JB70" s="57"/>
      <c r="JC70" s="57"/>
      <c r="JD70" s="57">
        <f t="shared" si="102"/>
        <v>0</v>
      </c>
      <c r="JE70" s="57">
        <f t="shared" si="273"/>
        <v>0</v>
      </c>
      <c r="JF70" s="57">
        <f t="shared" si="274"/>
        <v>0</v>
      </c>
      <c r="JG70" s="57">
        <f t="shared" si="275"/>
        <v>0</v>
      </c>
      <c r="JH70" s="57">
        <f t="shared" si="276"/>
        <v>0</v>
      </c>
      <c r="JI70" s="1029">
        <f t="shared" si="425"/>
        <v>0</v>
      </c>
      <c r="JJ70" s="57">
        <f t="shared" si="426"/>
        <v>0</v>
      </c>
      <c r="JK70" s="171" t="str">
        <f t="shared" si="427"/>
        <v/>
      </c>
      <c r="JL70" s="57">
        <f t="shared" si="277"/>
        <v>0</v>
      </c>
      <c r="JM70" s="57">
        <f>IF(OR(AND(JA$6=1,$L70=0),AND(JA$6=2,$K70=2,$G70=1)),0,IF(AND(JC$9=2,(OR($F70&gt;1,$K70=1,AND($L70=80,OR($N70=1,AND($N70=2,'#BerechnungDBE'!$AL61&gt;0)))))),IF(JA$4&gt;=$AD$126,0,JK70),IF(JC$9=3,IF(OR(JA$4&gt;=$AD$127,AND($G70=1,$J70=2,JA$6=2),AND(JA$6=1,$N70&lt;&gt;1)),0,IF(JE70&lt;=120,JK70,IF(JA$4&lt;$AD$124,IF($F70=1,60/JC$4*JC$6,60/JC$4*JC$7),IF($F70=1,120/JC$4*JC$6,120/JC$4*JC$7)))),IF(OR($F70=3,$G70=2),IF(OR(AND(JA$4&gt;=$AD$119,$C70=2),AND(JA$4&gt;=$AF$119,$C70=1)),0,IF(JE70&lt;=60,JK70,60/JC$4*JC$7)),IF(AND($F70=2,$G70=1),JK70,0)))))</f>
        <v>0</v>
      </c>
      <c r="JN70" s="57" t="str">
        <f t="shared" si="106"/>
        <v/>
      </c>
      <c r="JO70" s="57" t="str">
        <f t="shared" si="428"/>
        <v/>
      </c>
      <c r="JP70" s="713">
        <f>'org. Düngung 22'!BX69</f>
        <v>0</v>
      </c>
      <c r="JQ70" s="57"/>
      <c r="JR70" s="57"/>
      <c r="JS70" s="57">
        <f t="shared" si="108"/>
        <v>0</v>
      </c>
      <c r="JT70" s="57">
        <f t="shared" si="278"/>
        <v>0</v>
      </c>
      <c r="JU70" s="57">
        <f t="shared" si="279"/>
        <v>0</v>
      </c>
      <c r="JV70" s="57">
        <f t="shared" si="280"/>
        <v>0</v>
      </c>
      <c r="JW70" s="57">
        <f t="shared" si="281"/>
        <v>0</v>
      </c>
      <c r="JX70" s="1029">
        <f t="shared" si="429"/>
        <v>0</v>
      </c>
      <c r="JY70" s="57">
        <f t="shared" si="430"/>
        <v>0</v>
      </c>
      <c r="JZ70" s="171" t="str">
        <f t="shared" si="431"/>
        <v/>
      </c>
      <c r="KA70" s="57">
        <f t="shared" si="282"/>
        <v>0</v>
      </c>
      <c r="KB70" s="57">
        <f>IF(OR(AND(JP$6=1,$L70=0),AND(JP$6=2,$K70=2,$G70=1)),0,IF(AND(JR$9=2,(OR($F70&gt;1,$K70=1,AND($L70=80,OR($N70=1,AND($N70=2,'#BerechnungDBE'!$AL61&gt;0)))))),IF(JP$4&gt;=$AD$126,0,JZ70),IF(JR$9=3,IF(OR(JP$4&gt;=$AD$127,AND($G70=1,$J70=2,JP$6=2),AND(JP$6=1,$N70&lt;&gt;1)),0,IF(JT70&lt;=120,JZ70,IF(JP$4&lt;$AD$124,IF($F70=1,60/JR$4*JR$6,60/JR$4*JR$7),IF($F70=1,120/JR$4*JR$6,120/JR$4*JR$7)))),IF(OR($F70=3,$G70=2),IF(OR(AND(JP$4&gt;=$AD$119,$C70=2),AND(JP$4&gt;=$AF$119,$C70=1)),0,IF(JT70&lt;=60,JZ70,60/JR$4*JR$7)),IF(AND($F70=2,$G70=1),JZ70,0)))))</f>
        <v>0</v>
      </c>
      <c r="KC70" s="57" t="str">
        <f t="shared" si="112"/>
        <v/>
      </c>
      <c r="KD70" s="57" t="str">
        <f t="shared" si="432"/>
        <v/>
      </c>
      <c r="KE70" s="713">
        <f>'org. Düngung 22'!CB69</f>
        <v>0</v>
      </c>
      <c r="KF70" s="57"/>
      <c r="KG70" s="57"/>
      <c r="KH70" s="57">
        <f t="shared" si="114"/>
        <v>0</v>
      </c>
      <c r="KI70" s="57">
        <f t="shared" si="283"/>
        <v>0</v>
      </c>
      <c r="KJ70" s="57">
        <f t="shared" si="284"/>
        <v>0</v>
      </c>
      <c r="KK70" s="57">
        <f t="shared" si="285"/>
        <v>0</v>
      </c>
      <c r="KL70" s="57">
        <f t="shared" si="286"/>
        <v>0</v>
      </c>
      <c r="KM70" s="1029">
        <f t="shared" si="433"/>
        <v>0</v>
      </c>
      <c r="KN70" s="57">
        <f t="shared" si="434"/>
        <v>0</v>
      </c>
      <c r="KO70" s="171" t="str">
        <f t="shared" si="435"/>
        <v/>
      </c>
      <c r="KP70" s="57">
        <f t="shared" si="287"/>
        <v>0</v>
      </c>
      <c r="KQ70" s="57">
        <f>IF(OR(AND(KE$6=1,$L70=0),AND(KE$6=2,$K70=2,$G70=1)),0,IF(AND(KG$9=2,(OR($F70&gt;1,$K70=1,AND($L70=80,OR($N70=1,AND($N70=2,'#BerechnungDBE'!$AL61&gt;0)))))),IF(KE$4&gt;=$AD$126,0,KO70),IF(KG$9=3,IF(OR(KE$4&gt;=$AD$127,AND($G70=1,$J70=2,KE$6=2),AND(KE$6=1,$N70&lt;&gt;1)),0,IF(KI70&lt;=120,KO70,IF(KE$4&lt;$AD$124,IF($F70=1,60/KG$4*KG$6,60/KG$4*KG$7),IF($F70=1,120/KG$4*KG$6,120/KG$4*KG$7)))),IF(OR($F70=3,$G70=2),IF(OR(AND(KE$4&gt;=$AD$119,$C70=2),AND(KE$4&gt;=$AF$119,$C70=1)),0,IF(KI70&lt;=60,KO70,60/KG$4*KG$7)),IF(AND($F70=2,$G70=1),KO70,0)))))</f>
        <v>0</v>
      </c>
      <c r="KR70" s="57" t="str">
        <f t="shared" si="118"/>
        <v/>
      </c>
      <c r="KS70" s="57" t="str">
        <f t="shared" si="436"/>
        <v/>
      </c>
      <c r="KT70" s="713">
        <f>'org. Düngung 22'!CF69</f>
        <v>0</v>
      </c>
      <c r="KU70" s="57"/>
      <c r="KV70" s="57"/>
      <c r="KW70" s="57">
        <f t="shared" si="120"/>
        <v>0</v>
      </c>
      <c r="KX70" s="57">
        <f t="shared" si="288"/>
        <v>0</v>
      </c>
      <c r="KY70" s="57">
        <f t="shared" si="289"/>
        <v>0</v>
      </c>
      <c r="KZ70" s="57">
        <f t="shared" si="290"/>
        <v>0</v>
      </c>
      <c r="LA70" s="57">
        <f t="shared" si="291"/>
        <v>0</v>
      </c>
      <c r="LB70" s="1029">
        <f t="shared" si="437"/>
        <v>0</v>
      </c>
      <c r="LC70" s="57">
        <f t="shared" si="438"/>
        <v>0</v>
      </c>
      <c r="LD70" s="171" t="str">
        <f t="shared" si="439"/>
        <v/>
      </c>
      <c r="LE70" s="57">
        <f t="shared" si="292"/>
        <v>0</v>
      </c>
      <c r="LF70" s="57">
        <f>IF(OR(AND(KT$6=1,$L70=0),AND(KT$6=2,$K70=2,$G70=1)),0,IF(AND(KV$9=2,(OR($F70&gt;1,$K70=1,AND($L70=80,OR($N70=1,AND($N70=2,'#BerechnungDBE'!$AL61&gt;0)))))),IF(KT$4&gt;=$AD$126,0,LD70),IF(KV$9=3,IF(OR(KT$4&gt;=$AD$127,AND($G70=1,$J70=2,KT$6=2),AND(KT$6=1,$N70&lt;&gt;1)),0,IF(KX70&lt;=120,LD70,IF(KT$4&lt;$AD$124,IF($F70=1,60/KV$4*KV$6,60/KV$4*KV$7),IF($F70=1,120/KV$4*KV$6,120/KV$4*KV$7)))),IF(OR($F70=3,$G70=2),IF(OR(AND(KT$4&gt;=$AD$119,$C70=2),AND(KT$4&gt;=$AF$119,$C70=1)),0,IF(KX70&lt;=60,LD70,60/KV$4*KV$7)),IF(AND($F70=2,$G70=1),LD70,0)))))</f>
        <v>0</v>
      </c>
      <c r="LG70" s="57" t="str">
        <f t="shared" si="124"/>
        <v/>
      </c>
      <c r="LH70" s="57" t="str">
        <f t="shared" si="440"/>
        <v/>
      </c>
      <c r="LI70" s="713">
        <f>'org. Düngung 22'!CJ69</f>
        <v>0</v>
      </c>
      <c r="LJ70" s="57"/>
      <c r="LK70" s="57"/>
      <c r="LL70" s="57">
        <f t="shared" si="126"/>
        <v>0</v>
      </c>
      <c r="LM70" s="57">
        <f t="shared" si="293"/>
        <v>0</v>
      </c>
      <c r="LN70" s="57">
        <f t="shared" si="294"/>
        <v>0</v>
      </c>
      <c r="LO70" s="57">
        <f t="shared" si="295"/>
        <v>0</v>
      </c>
      <c r="LP70" s="57">
        <f t="shared" si="296"/>
        <v>0</v>
      </c>
      <c r="LQ70" s="1029">
        <f t="shared" si="441"/>
        <v>0</v>
      </c>
      <c r="LR70" s="57">
        <f t="shared" si="442"/>
        <v>0</v>
      </c>
      <c r="LS70" s="171" t="str">
        <f t="shared" si="443"/>
        <v/>
      </c>
      <c r="LT70" s="57">
        <f t="shared" si="297"/>
        <v>0</v>
      </c>
      <c r="LU70" s="57">
        <f>IF(OR(AND(LI$6=1,$L70=0),AND(LI$6=2,$K70=2,$G70=1)),0,IF(AND(LK$9=2,(OR($F70&gt;1,$K70=1,AND($L70=80,OR($N70=1,AND($N70=2,'#BerechnungDBE'!$AL61&gt;0)))))),IF(LI$4&gt;=$AD$126,0,LS70),IF(LK$9=3,IF(OR(LI$4&gt;=$AD$127,AND($G70=1,$J70=2,LI$6=2),AND(LI$6=1,$N70&lt;&gt;1)),0,IF(LM70&lt;=120,LS70,IF(LI$4&lt;$AD$124,IF($F70=1,60/LK$4*LK$6,60/LK$4*LK$7),IF($F70=1,120/LK$4*LK$6,120/LK$4*LK$7)))),IF(OR($F70=3,$G70=2),IF(OR(AND(LI$4&gt;=$AD$119,$C70=2),AND(LI$4&gt;=$AF$119,$C70=1)),0,IF(LM70&lt;=60,LS70,60/LK$4*LK$7)),IF(AND($F70=2,$G70=1),LS70,0)))))</f>
        <v>0</v>
      </c>
      <c r="LV70" s="57" t="str">
        <f t="shared" si="130"/>
        <v/>
      </c>
      <c r="LW70" s="57" t="str">
        <f t="shared" si="444"/>
        <v/>
      </c>
      <c r="LX70" s="713">
        <f>'org. Düngung 22'!CN69</f>
        <v>0</v>
      </c>
      <c r="LY70" s="57"/>
      <c r="LZ70" s="57"/>
      <c r="MA70" s="57">
        <f t="shared" si="132"/>
        <v>0</v>
      </c>
      <c r="MB70" s="57">
        <f t="shared" si="298"/>
        <v>0</v>
      </c>
      <c r="MC70" s="57">
        <f t="shared" si="299"/>
        <v>0</v>
      </c>
      <c r="MD70" s="57">
        <f t="shared" si="300"/>
        <v>0</v>
      </c>
      <c r="ME70" s="57">
        <f t="shared" si="301"/>
        <v>0</v>
      </c>
      <c r="MF70" s="1029">
        <f t="shared" si="445"/>
        <v>0</v>
      </c>
      <c r="MG70" s="57">
        <f t="shared" si="446"/>
        <v>0</v>
      </c>
      <c r="MH70" s="171" t="str">
        <f t="shared" si="447"/>
        <v/>
      </c>
      <c r="MI70" s="57">
        <f t="shared" si="302"/>
        <v>0</v>
      </c>
      <c r="MJ70" s="57">
        <f>IF(OR(AND(LX$6=1,$L70=0),AND(LX$6=2,$K70=2,$G70=1)),0,IF(AND(LZ$9=2,(OR($F70&gt;1,$K70=1,AND($L70=80,OR($N70=1,AND($N70=2,'#BerechnungDBE'!$AL61&gt;0)))))),IF(LX$4&gt;=$AD$126,0,MH70),IF(LZ$9=3,IF(OR(LX$4&gt;=$AD$127,AND($G70=1,$J70=2,LX$6=2),AND(LX$6=1,$N70&lt;&gt;1)),0,IF(MB70&lt;=120,MH70,IF(LX$4&lt;$AD$124,IF($F70=1,60/LZ$4*LZ$6,60/LZ$4*LZ$7),IF($F70=1,120/LZ$4*LZ$6,120/LZ$4*LZ$7)))),IF(OR($F70=3,$G70=2),IF(OR(AND(LX$4&gt;=$AD$119,$C70=2),AND(LX$4&gt;=$AF$119,$C70=1)),0,IF(MB70&lt;=60,MH70,60/LZ$4*LZ$7)),IF(AND($F70=2,$G70=1),MH70,0)))))</f>
        <v>0</v>
      </c>
      <c r="MK70" s="57" t="str">
        <f t="shared" si="136"/>
        <v/>
      </c>
      <c r="ML70" s="57" t="str">
        <f t="shared" si="448"/>
        <v/>
      </c>
      <c r="MM70" s="713">
        <f>'org. Düngung 22'!CR69</f>
        <v>0</v>
      </c>
      <c r="MN70" s="57"/>
      <c r="MO70" s="57"/>
      <c r="MP70" s="57">
        <f t="shared" si="138"/>
        <v>0</v>
      </c>
      <c r="MQ70" s="57">
        <f t="shared" si="303"/>
        <v>0</v>
      </c>
      <c r="MR70" s="57">
        <f t="shared" si="304"/>
        <v>0</v>
      </c>
      <c r="MS70" s="57">
        <f t="shared" si="305"/>
        <v>0</v>
      </c>
      <c r="MT70" s="57">
        <f t="shared" si="306"/>
        <v>0</v>
      </c>
      <c r="MU70" s="1029">
        <f t="shared" si="449"/>
        <v>0</v>
      </c>
      <c r="MV70" s="57">
        <f t="shared" si="450"/>
        <v>0</v>
      </c>
      <c r="MW70" s="171" t="str">
        <f t="shared" si="451"/>
        <v/>
      </c>
      <c r="MX70" s="57">
        <f t="shared" si="307"/>
        <v>0</v>
      </c>
      <c r="MY70" s="57">
        <f>IF(OR(AND(MM$6=1,$L70=0),AND(MM$6=2,$K70=2,$G70=1)),0,IF(AND(MO$9=2,(OR($F70&gt;1,$K70=1,AND($L70=80,OR($N70=1,AND($N70=2,'#BerechnungDBE'!$AL61&gt;0)))))),IF(MM$4&gt;=$AD$126,0,MW70),IF(MO$9=3,IF(OR(MM$4&gt;=$AD$127,AND($G70=1,$J70=2,MM$6=2),AND(MM$6=1,$N70&lt;&gt;1)),0,IF(MQ70&lt;=120,MW70,IF(MM$4&lt;$AD$124,IF($F70=1,60/MO$4*MO$6,60/MO$4*MO$7),IF($F70=1,120/MO$4*MO$6,120/MO$4*MO$7)))),IF(OR($F70=3,$G70=2),IF(OR(AND(MM$4&gt;=$AD$119,$C70=2),AND(MM$4&gt;=$AF$119,$C70=1)),0,IF(MQ70&lt;=60,MW70,60/MO$4*MO$7)),IF(AND($F70=2,$G70=1),MW70,0)))))</f>
        <v>0</v>
      </c>
      <c r="MZ70" s="57" t="str">
        <f t="shared" si="142"/>
        <v/>
      </c>
      <c r="NA70" s="57" t="str">
        <f t="shared" si="452"/>
        <v/>
      </c>
      <c r="NB70" s="713">
        <f>'org. Düngung 22'!CV69</f>
        <v>0</v>
      </c>
      <c r="NC70" s="57"/>
      <c r="ND70" s="57"/>
      <c r="NE70" s="57">
        <f t="shared" si="144"/>
        <v>0</v>
      </c>
      <c r="NF70" s="57">
        <f t="shared" si="308"/>
        <v>0</v>
      </c>
      <c r="NG70" s="57">
        <f t="shared" si="309"/>
        <v>0</v>
      </c>
      <c r="NH70" s="57">
        <f t="shared" si="310"/>
        <v>0</v>
      </c>
      <c r="NI70" s="57">
        <f t="shared" si="311"/>
        <v>0</v>
      </c>
      <c r="NJ70" s="1029">
        <f t="shared" si="453"/>
        <v>0</v>
      </c>
      <c r="NK70" s="57">
        <f t="shared" si="454"/>
        <v>0</v>
      </c>
      <c r="NL70" s="171" t="str">
        <f t="shared" si="455"/>
        <v/>
      </c>
      <c r="NM70" s="57">
        <f t="shared" si="312"/>
        <v>0</v>
      </c>
      <c r="NN70" s="57">
        <f>IF(OR(AND(NB$6=1,$L70=0),AND(NB$6=2,$K70=2,$G70=1)),0,IF(AND(ND$9=2,(OR($F70&gt;1,$K70=1,AND($L70=80,OR($N70=1,AND($N70=2,'#BerechnungDBE'!$AL61&gt;0)))))),IF(NB$4&gt;=$AD$126,0,NL70),IF(ND$9=3,IF(OR(NB$4&gt;=$AD$127,AND($G70=1,$J70=2,NB$6=2),AND(NB$6=1,$N70&lt;&gt;1)),0,IF(NF70&lt;=120,NL70,IF(NB$4&lt;$AD$124,IF($F70=1,60/ND$4*ND$6,60/ND$4*ND$7),IF($F70=1,120/ND$4*ND$6,120/ND$4*ND$7)))),IF(OR($F70=3,$G70=2),IF(OR(AND(NB$4&gt;=$AD$119,$C70=2),AND(NB$4&gt;=$AF$119,$C70=1)),0,IF(NF70&lt;=60,NL70,60/ND$4*ND$7)),IF(AND($F70=2,$G70=1),NL70,0)))))</f>
        <v>0</v>
      </c>
      <c r="NO70" s="57" t="str">
        <f t="shared" si="148"/>
        <v/>
      </c>
      <c r="NP70" s="57" t="str">
        <f t="shared" si="456"/>
        <v/>
      </c>
      <c r="NQ70" s="713">
        <f>'org. Düngung 22'!CZ69</f>
        <v>0</v>
      </c>
      <c r="NR70" s="57"/>
      <c r="NS70" s="57"/>
      <c r="NT70" s="57">
        <f t="shared" si="150"/>
        <v>0</v>
      </c>
      <c r="NU70" s="57">
        <f t="shared" si="313"/>
        <v>0</v>
      </c>
      <c r="NV70" s="57">
        <f t="shared" si="314"/>
        <v>0</v>
      </c>
      <c r="NW70" s="57">
        <f t="shared" si="315"/>
        <v>0</v>
      </c>
      <c r="NX70" s="57">
        <f t="shared" si="316"/>
        <v>0</v>
      </c>
      <c r="NY70" s="1029">
        <f t="shared" si="457"/>
        <v>0</v>
      </c>
      <c r="NZ70" s="57">
        <f t="shared" si="458"/>
        <v>0</v>
      </c>
      <c r="OA70" s="171" t="str">
        <f t="shared" si="459"/>
        <v/>
      </c>
      <c r="OB70" s="57">
        <f t="shared" si="317"/>
        <v>0</v>
      </c>
      <c r="OC70" s="57">
        <f>IF(OR(AND(NQ$6=1,$L70=0),AND(NQ$6=2,$K70=2,$G70=1)),0,IF(AND(NS$9=2,(OR($F70&gt;1,$K70=1,AND($L70=80,OR($N70=1,AND($N70=2,'#BerechnungDBE'!$AL61&gt;0)))))),IF(NQ$4&gt;=$AD$126,0,OA70),IF(NS$9=3,IF(OR(NQ$4&gt;=$AD$127,AND($G70=1,$J70=2,NQ$6=2),AND(NQ$6=1,$N70&lt;&gt;1)),0,IF(NU70&lt;=120,OA70,IF(NQ$4&lt;$AD$124,IF($F70=1,60/NS$4*NS$6,60/NS$4*NS$7),IF($F70=1,120/NS$4*NS$6,120/NS$4*NS$7)))),IF(OR($F70=3,$G70=2),IF(OR(AND(NQ$4&gt;=$AD$119,$C70=2),AND(NQ$4&gt;=$AF$119,$C70=1)),0,IF(NU70&lt;=60,OA70,60/NS$4*NS$7)),IF(AND($F70=2,$G70=1),OA70,0)))))</f>
        <v>0</v>
      </c>
      <c r="OD70" s="57" t="str">
        <f t="shared" si="154"/>
        <v/>
      </c>
      <c r="OE70" s="57" t="str">
        <f t="shared" si="460"/>
        <v/>
      </c>
      <c r="OF70" s="713">
        <f>'org. Düngung 22'!DD69</f>
        <v>0</v>
      </c>
      <c r="OG70" s="57"/>
      <c r="OH70" s="57"/>
      <c r="OI70" s="57">
        <f t="shared" si="156"/>
        <v>0</v>
      </c>
      <c r="OJ70" s="57">
        <f t="shared" si="318"/>
        <v>0</v>
      </c>
      <c r="OK70" s="57">
        <f t="shared" si="319"/>
        <v>0</v>
      </c>
      <c r="OL70" s="57">
        <f t="shared" si="320"/>
        <v>0</v>
      </c>
      <c r="OM70" s="57">
        <f t="shared" si="321"/>
        <v>0</v>
      </c>
      <c r="ON70" s="1029">
        <f t="shared" si="461"/>
        <v>0</v>
      </c>
      <c r="OO70" s="57">
        <f t="shared" si="462"/>
        <v>0</v>
      </c>
      <c r="OP70" s="171" t="str">
        <f t="shared" si="463"/>
        <v/>
      </c>
      <c r="OQ70" s="57">
        <f t="shared" si="322"/>
        <v>0</v>
      </c>
      <c r="OR70" s="57">
        <f>IF(OR(AND(OF$6=1,$L70=0),AND(OF$6=2,$K70=2,$G70=1)),0,IF(AND(OH$9=2,(OR($F70&gt;1,$K70=1,AND($L70=80,OR($N70=1,AND($N70=2,'#BerechnungDBE'!$AL61&gt;0)))))),IF(OF$4&gt;=$AD$126,0,OP70),IF(OH$9=3,IF(OR(OF$4&gt;=$AD$127,AND($G70=1,$J70=2,OF$6=2),AND(OF$6=1,$N70&lt;&gt;1)),0,IF(OJ70&lt;=120,OP70,IF(OF$4&lt;$AD$124,IF($F70=1,60/OH$4*OH$6,60/OH$4*OH$7),IF($F70=1,120/OH$4*OH$6,120/OH$4*OH$7)))),IF(OR($F70=3,$G70=2),IF(OR(AND(OF$4&gt;=$AD$119,$C70=2),AND(OF$4&gt;=$AF$119,$C70=1)),0,IF(OJ70&lt;=60,OP70,60/OH$4*OH$7)),IF(AND($F70=2,$G70=1),OP70,0)))))</f>
        <v>0</v>
      </c>
      <c r="OS70" s="57" t="str">
        <f t="shared" si="160"/>
        <v/>
      </c>
      <c r="OT70" s="57" t="str">
        <f t="shared" si="464"/>
        <v/>
      </c>
      <c r="OU70" s="713">
        <f>'org. Düngung 22'!DH69</f>
        <v>0</v>
      </c>
      <c r="OV70" s="57"/>
      <c r="OW70" s="57"/>
      <c r="OX70" s="57">
        <f t="shared" si="162"/>
        <v>0</v>
      </c>
      <c r="OY70" s="57">
        <f t="shared" si="323"/>
        <v>0</v>
      </c>
      <c r="OZ70" s="57">
        <f t="shared" si="324"/>
        <v>0</v>
      </c>
      <c r="PA70" s="57">
        <f t="shared" si="325"/>
        <v>0</v>
      </c>
      <c r="PB70" s="57">
        <f t="shared" si="326"/>
        <v>0</v>
      </c>
      <c r="PC70" s="1029">
        <f t="shared" si="465"/>
        <v>0</v>
      </c>
      <c r="PD70" s="57">
        <f t="shared" si="466"/>
        <v>0</v>
      </c>
      <c r="PE70" s="171" t="str">
        <f t="shared" si="467"/>
        <v/>
      </c>
      <c r="PF70" s="57">
        <f t="shared" si="327"/>
        <v>0</v>
      </c>
      <c r="PG70" s="57">
        <f>IF(OR(AND(OU$6=1,$L70=0),AND(OU$6=2,$K70=2,$G70=1)),0,IF(AND(OW$9=2,(OR($F70&gt;1,$K70=1,AND($L70=80,OR($N70=1,AND($N70=2,'#BerechnungDBE'!$AL61&gt;0)))))),IF(OU$4&gt;=$AD$126,0,PE70),IF(OW$9=3,IF(OR(OU$4&gt;=$AD$127,AND($G70=1,$J70=2,OU$6=2),AND(OU$6=1,$N70&lt;&gt;1)),0,IF(OY70&lt;=120,PE70,IF(OU$4&lt;$AD$124,IF($F70=1,60/OW$4*OW$6,60/OW$4*OW$7),IF($F70=1,120/OW$4*OW$6,120/OW$4*OW$7)))),IF(OR($F70=3,$G70=2),IF(OR(AND(OU$4&gt;=$AD$119,$C70=2),AND(OU$4&gt;=$AF$119,$C70=1)),0,IF(OY70&lt;=60,PE70,60/OW$4*OW$7)),IF(AND($F70=2,$G70=1),PE70,0)))))</f>
        <v>0</v>
      </c>
      <c r="PH70" s="57" t="str">
        <f t="shared" si="166"/>
        <v/>
      </c>
      <c r="PI70" s="57" t="str">
        <f t="shared" si="468"/>
        <v/>
      </c>
      <c r="PJ70" s="713">
        <f>'org. Düngung 22'!DL69</f>
        <v>0</v>
      </c>
      <c r="PK70" s="57"/>
      <c r="PL70" s="57"/>
      <c r="PM70" s="57">
        <f t="shared" si="168"/>
        <v>0</v>
      </c>
      <c r="PN70" s="57">
        <f t="shared" si="328"/>
        <v>0</v>
      </c>
      <c r="PO70" s="57">
        <f t="shared" si="329"/>
        <v>0</v>
      </c>
      <c r="PP70" s="57">
        <f t="shared" si="330"/>
        <v>0</v>
      </c>
      <c r="PQ70" s="57">
        <f t="shared" si="331"/>
        <v>0</v>
      </c>
      <c r="PR70" s="1029">
        <f t="shared" si="469"/>
        <v>0</v>
      </c>
      <c r="PS70" s="57">
        <f t="shared" si="470"/>
        <v>0</v>
      </c>
      <c r="PT70" s="171" t="str">
        <f t="shared" si="471"/>
        <v/>
      </c>
      <c r="PU70" s="57">
        <f t="shared" si="332"/>
        <v>0</v>
      </c>
      <c r="PV70" s="57">
        <f>IF(OR(AND(PJ$6=1,$L70=0),AND(PJ$6=2,$K70=2,$G70=1)),0,IF(AND(PL$9=2,(OR($F70&gt;1,$K70=1,AND($L70=80,OR($N70=1,AND($N70=2,'#BerechnungDBE'!$AL61&gt;0)))))),IF(PJ$4&gt;=$AD$126,0,PT70),IF(PL$9=3,IF(OR(PJ$4&gt;=$AD$127,AND($G70=1,$J70=2,PJ$6=2),AND(PJ$6=1,$N70&lt;&gt;1)),0,IF(PN70&lt;=120,PT70,IF(PJ$4&lt;$AD$124,IF($F70=1,60/PL$4*PL$6,60/PL$4*PL$7),IF($F70=1,120/PL$4*PL$6,120/PL$4*PL$7)))),IF(OR($F70=3,$G70=2),IF(OR(AND(PJ$4&gt;=$AD$119,$C70=2),AND(PJ$4&gt;=$AF$119,$C70=1)),0,IF(PN70&lt;=60,PT70,60/PL$4*PL$7)),IF(AND($F70=2,$G70=1),PT70,0)))))</f>
        <v>0</v>
      </c>
      <c r="PW70" s="57" t="str">
        <f t="shared" si="172"/>
        <v/>
      </c>
      <c r="PX70" s="57" t="str">
        <f t="shared" si="472"/>
        <v/>
      </c>
      <c r="PY70" s="713">
        <f>'org. Düngung 22'!DP69</f>
        <v>0</v>
      </c>
      <c r="PZ70" s="57"/>
      <c r="QA70" s="57"/>
      <c r="QB70" s="57">
        <f t="shared" si="174"/>
        <v>0</v>
      </c>
      <c r="QC70" s="57">
        <f t="shared" si="333"/>
        <v>0</v>
      </c>
      <c r="QD70" s="57">
        <f t="shared" si="334"/>
        <v>0</v>
      </c>
      <c r="QE70" s="57">
        <f t="shared" si="335"/>
        <v>0</v>
      </c>
      <c r="QF70" s="57">
        <f t="shared" si="336"/>
        <v>0</v>
      </c>
      <c r="QG70" s="1029">
        <f t="shared" si="473"/>
        <v>0</v>
      </c>
      <c r="QH70" s="57">
        <f t="shared" si="474"/>
        <v>0</v>
      </c>
      <c r="QI70" s="171" t="str">
        <f t="shared" si="475"/>
        <v/>
      </c>
      <c r="QJ70" s="57">
        <f t="shared" si="337"/>
        <v>0</v>
      </c>
      <c r="QK70" s="57">
        <f>IF(OR(AND(PY$6=1,$L70=0),AND(PY$6=2,$K70=2,$G70=1)),0,IF(AND(QA$9=2,(OR($F70&gt;1,$K70=1,AND($L70=80,OR($N70=1,AND($N70=2,'#BerechnungDBE'!$AL61&gt;0)))))),IF(PY$4&gt;=$AD$126,0,QI70),IF(QA$9=3,IF(OR(PY$4&gt;=$AD$127,AND($G70=1,$J70=2,PY$6=2),AND(PY$6=1,$N70&lt;&gt;1)),0,IF(QC70&lt;=120,QI70,IF(PY$4&lt;$AD$124,IF($F70=1,60/QA$4*QA$6,60/QA$4*QA$7),IF($F70=1,120/QA$4*QA$6,120/QA$4*QA$7)))),IF(OR($F70=3,$G70=2),IF(OR(AND(PY$4&gt;=$AD$119,$C70=2),AND(PY$4&gt;=$AF$119,$C70=1)),0,IF(QC70&lt;=60,QI70,60/QA$4*QA$7)),IF(AND($F70=2,$G70=1),QI70,0)))))</f>
        <v>0</v>
      </c>
      <c r="QL70" s="57" t="str">
        <f t="shared" si="178"/>
        <v/>
      </c>
      <c r="QM70" s="57" t="str">
        <f t="shared" si="476"/>
        <v/>
      </c>
      <c r="QN70" s="713">
        <f>'org. Düngung 22'!DT69</f>
        <v>0</v>
      </c>
      <c r="QO70" s="57"/>
      <c r="QP70" s="57"/>
      <c r="QQ70" s="57">
        <f t="shared" si="180"/>
        <v>0</v>
      </c>
      <c r="QR70" s="57">
        <f t="shared" si="338"/>
        <v>0</v>
      </c>
      <c r="QS70" s="57">
        <f t="shared" si="339"/>
        <v>0</v>
      </c>
      <c r="QT70" s="57">
        <f t="shared" si="340"/>
        <v>0</v>
      </c>
      <c r="QU70" s="57">
        <f t="shared" si="341"/>
        <v>0</v>
      </c>
      <c r="QV70" s="1029">
        <f t="shared" si="477"/>
        <v>0</v>
      </c>
      <c r="QW70" s="57">
        <f t="shared" si="478"/>
        <v>0</v>
      </c>
      <c r="QX70" s="171" t="str">
        <f t="shared" si="479"/>
        <v/>
      </c>
      <c r="QY70" s="57">
        <f t="shared" si="342"/>
        <v>0</v>
      </c>
      <c r="QZ70" s="57">
        <f>IF(OR(AND(QN$6=1,$L70=0),AND(QN$6=2,$K70=2,$G70=1)),0,IF(AND(QP$9=2,(OR($F70&gt;1,$K70=1,AND($L70=80,OR($N70=1,AND($N70=2,'#BerechnungDBE'!$AL61&gt;0)))))),IF(QN$4&gt;=$AD$126,0,QX70),IF(QP$9=3,IF(OR(QN$4&gt;=$AD$127,AND($G70=1,$J70=2,QN$6=2),AND(QN$6=1,$N70&lt;&gt;1)),0,IF(QR70&lt;=120,QX70,IF(QN$4&lt;$AD$124,IF($F70=1,60/QP$4*QP$6,60/QP$4*QP$7),IF($F70=1,120/QP$4*QP$6,120/QP$4*QP$7)))),IF(OR($F70=3,$G70=2),IF(OR(AND(QN$4&gt;=$AD$119,$C70=2),AND(QN$4&gt;=$AF$119,$C70=1)),0,IF(QR70&lt;=60,QX70,60/QP$4*QP$7)),IF(AND($F70=2,$G70=1),QX70,0)))))</f>
        <v>0</v>
      </c>
      <c r="RA70" s="57" t="str">
        <f t="shared" si="184"/>
        <v/>
      </c>
      <c r="RB70" s="57" t="str">
        <f t="shared" si="480"/>
        <v/>
      </c>
      <c r="RC70" s="713">
        <f>'org. Düngung 22'!DX69</f>
        <v>0</v>
      </c>
      <c r="RD70" s="57"/>
      <c r="RE70" s="57"/>
      <c r="RF70" s="57">
        <f t="shared" si="186"/>
        <v>0</v>
      </c>
      <c r="RG70" s="57">
        <f t="shared" si="343"/>
        <v>0</v>
      </c>
      <c r="RH70" s="57">
        <f t="shared" si="344"/>
        <v>0</v>
      </c>
      <c r="RI70" s="57">
        <f t="shared" si="345"/>
        <v>0</v>
      </c>
      <c r="RJ70" s="57">
        <f t="shared" si="346"/>
        <v>0</v>
      </c>
      <c r="RK70" s="1029">
        <f t="shared" si="481"/>
        <v>0</v>
      </c>
      <c r="RL70" s="57">
        <f t="shared" si="482"/>
        <v>0</v>
      </c>
      <c r="RM70" s="171" t="str">
        <f t="shared" si="483"/>
        <v/>
      </c>
      <c r="RN70" s="57">
        <f t="shared" si="347"/>
        <v>0</v>
      </c>
      <c r="RO70" s="57">
        <f>IF(OR(AND(RC$6=1,$L70=0),AND(RC$6=2,$K70=2,$G70=1)),0,IF(AND(RE$9=2,(OR($F70&gt;1,$K70=1,AND($L70=80,OR($N70=1,AND($N70=2,'#BerechnungDBE'!$AL61&gt;0)))))),IF(RC$4&gt;=$AD$126,0,RM70),IF(RE$9=3,IF(OR(RC$4&gt;=$AD$127,AND($G70=1,$J70=2,RC$6=2),AND(RC$6=1,$N70&lt;&gt;1)),0,IF(RG70&lt;=120,RM70,IF(RC$4&lt;$AD$124,IF($F70=1,60/RE$4*RE$6,60/RE$4*RE$7),IF($F70=1,120/RE$4*RE$6,120/RE$4*RE$7)))),IF(OR($F70=3,$G70=2),IF(OR(AND(RC$4&gt;=$AD$119,$C70=2),AND(RC$4&gt;=$AF$119,$C70=1)),0,IF(RG70&lt;=60,RM70,60/RE$4*RE$7)),IF(AND($F70=2,$G70=1),RM70,0)))))</f>
        <v>0</v>
      </c>
      <c r="RP70" s="57" t="str">
        <f t="shared" si="190"/>
        <v/>
      </c>
      <c r="RQ70" s="57" t="str">
        <f t="shared" si="484"/>
        <v/>
      </c>
      <c r="RS70" s="57" t="str">
        <f t="shared" si="488"/>
        <v/>
      </c>
      <c r="RT70" s="57" t="str">
        <f t="shared" si="485"/>
        <v/>
      </c>
      <c r="RU70" s="57" t="str">
        <f t="shared" si="486"/>
        <v/>
      </c>
      <c r="RV70" s="57" t="str">
        <f>IF(Z70&gt;'#BerechnungDBE'!BM61,$RV$9,"")</f>
        <v/>
      </c>
      <c r="RW70" s="57" t="str">
        <f>IF(AND(L70=70,AE70&gt;'#BerechnungDBE'!CQ61),$RW$9,"")</f>
        <v/>
      </c>
      <c r="RX70" s="57" t="str">
        <f>IF(OR('org. Düngung 22'!G69="--",'org. Düngung 22'!G69&lt;=170,'org. Düngung 22'!G69=""),"",$RX$9)</f>
        <v/>
      </c>
      <c r="RY70" s="57" t="str">
        <f>IF('org. Düngung 22'!K69&gt;120,'#orgDung'!$RY$9,"")</f>
        <v/>
      </c>
      <c r="RZ70" s="57" t="str">
        <f>IF('#BerechnungDBE'!P61&lt;4,"",IF(AND('#BerechnungDBE'!BZ61&gt;0,T70&gt;0),'#orgDung'!$RZ$9,""))</f>
        <v/>
      </c>
      <c r="SA70" s="57" t="str">
        <f t="shared" si="487"/>
        <v/>
      </c>
    </row>
    <row r="71" spans="1:495" s="875" customFormat="1" x14ac:dyDescent="0.2">
      <c r="A71" s="875">
        <f>'Flächen u. Kulturen'!A67</f>
        <v>58</v>
      </c>
      <c r="B71" s="367">
        <f>'#BerechnungDBE'!L62</f>
        <v>0</v>
      </c>
      <c r="C71" s="875">
        <f>'#BerechnungDBE'!R62</f>
        <v>1</v>
      </c>
      <c r="D71" s="875">
        <f>'#BerechnungDBE'!T62</f>
        <v>2</v>
      </c>
      <c r="E71" s="875" t="str">
        <f>'Flächen u. Kulturen'!E67</f>
        <v>x</v>
      </c>
      <c r="F71" s="52">
        <f>'#BerechnungDBE'!N62</f>
        <v>1</v>
      </c>
      <c r="G71" s="52">
        <f>'#BerechnungDBE'!O62</f>
        <v>1</v>
      </c>
      <c r="H71" s="875">
        <f>IF('Flächen u. Kulturen'!P67="",0,VLOOKUP('Flächen u. Kulturen'!P67,Kulturen[[HF]:[Berechnungsgruppe]],'#Frucht'!$H$1,FALSE))</f>
        <v>0</v>
      </c>
      <c r="I71" s="875">
        <f>IF('Flächen u. Kulturen'!J67="",0,VLOOKUP('Flächen u. Kulturen'!J67,Kulturen[[HF]:[Berechnungsgruppe]],'#Frucht'!$G$1,FALSE))</f>
        <v>90</v>
      </c>
      <c r="J71" s="505">
        <f t="shared" si="195"/>
        <v>2</v>
      </c>
      <c r="K71" s="505">
        <f>IF('Flächen u. Kulturen'!P67="",0,IF(VLOOKUP('Flächen u. Kulturen'!P67,Kulturen[[HF]:[Saat Winterungen]],'#Frucht'!$P$1,FALSE)&gt;0,1,2))</f>
        <v>2</v>
      </c>
      <c r="L71" s="875">
        <f>'#BerechnungDBE'!AF62</f>
        <v>0</v>
      </c>
      <c r="M71" s="875">
        <f>IF('Flächen u. Kulturen'!L67="",0,VLOOKUP('Flächen u. Kulturen'!L67,Nebenkultur[[Nebenkultur]:[Legum. Zwischenfr.]],'#Zweitfr'!$K$1,FALSE))</f>
        <v>0</v>
      </c>
      <c r="N71" s="875">
        <f>'#BerechnungDBE'!AG62</f>
        <v>0</v>
      </c>
      <c r="P71" s="57">
        <f t="shared" si="353"/>
        <v>0</v>
      </c>
      <c r="Q71" s="57">
        <f t="shared" si="354"/>
        <v>0</v>
      </c>
      <c r="R71" s="875">
        <f t="shared" si="355"/>
        <v>0</v>
      </c>
      <c r="S71" s="938" t="str">
        <f t="shared" si="3"/>
        <v/>
      </c>
      <c r="T71" s="875">
        <f t="shared" si="356"/>
        <v>0</v>
      </c>
      <c r="U71" s="875">
        <f t="shared" si="357"/>
        <v>0</v>
      </c>
      <c r="V71" s="875">
        <f t="shared" si="358"/>
        <v>0</v>
      </c>
      <c r="W71" s="875">
        <f t="shared" si="359"/>
        <v>0</v>
      </c>
      <c r="X71" s="875">
        <f t="shared" si="360"/>
        <v>0</v>
      </c>
      <c r="Y71" s="875">
        <f t="shared" si="349"/>
        <v>0</v>
      </c>
      <c r="Z71" s="875">
        <f t="shared" si="350"/>
        <v>0</v>
      </c>
      <c r="AA71" s="910">
        <f t="shared" si="361"/>
        <v>0</v>
      </c>
      <c r="AB71" s="57">
        <f t="shared" si="351"/>
        <v>0</v>
      </c>
      <c r="AC71" s="875">
        <f t="shared" si="362"/>
        <v>0</v>
      </c>
      <c r="AD71" s="875">
        <f t="shared" si="363"/>
        <v>0</v>
      </c>
      <c r="AE71" s="875">
        <f t="shared" si="364"/>
        <v>0</v>
      </c>
      <c r="AF71" s="875">
        <f t="shared" si="352"/>
        <v>0</v>
      </c>
      <c r="AG71" s="875">
        <f>'org. Düngung 22'!J70</f>
        <v>0</v>
      </c>
      <c r="AH71" s="875">
        <f>'org. Düngung 22'!K70</f>
        <v>0</v>
      </c>
      <c r="AJ71" s="713">
        <f>'org. Düngung 22'!L70</f>
        <v>0</v>
      </c>
      <c r="AK71" s="57"/>
      <c r="AL71" s="57"/>
      <c r="AM71" s="57">
        <f t="shared" si="196"/>
        <v>0</v>
      </c>
      <c r="AN71" s="57">
        <f t="shared" si="197"/>
        <v>0</v>
      </c>
      <c r="AO71" s="57">
        <f t="shared" si="198"/>
        <v>0</v>
      </c>
      <c r="AP71" s="57">
        <f t="shared" si="199"/>
        <v>0</v>
      </c>
      <c r="AQ71" s="57">
        <f t="shared" si="200"/>
        <v>0</v>
      </c>
      <c r="AR71" s="1029">
        <f t="shared" si="365"/>
        <v>0</v>
      </c>
      <c r="AS71" s="57">
        <f t="shared" si="366"/>
        <v>0</v>
      </c>
      <c r="AT71" s="171" t="str">
        <f t="shared" si="367"/>
        <v/>
      </c>
      <c r="AU71" s="57">
        <f t="shared" si="201"/>
        <v>0</v>
      </c>
      <c r="AV71" s="57">
        <f>IF(OR(AND(AJ$6=1,$L71=0),AND(AJ$6=2,$K71=2,$G71=1)),0,IF(AND(AL$9=2,(OR($F71&gt;1,$K71=1,AND($L71=80,OR($N71=1,AND($N71=2,'#BerechnungDBE'!$AL62&gt;0)))))),IF(AJ$4&gt;=$AD$126,0,AT71),IF(AL$9=3,IF(OR(AJ$4&gt;=$AD$127,AND($G71=1,$J71=2,AJ$6=2),AND(AJ$6=1,$N71&lt;&gt;1)),0,IF(AN71&lt;=120,AT71,IF(AJ$4&lt;$AD$124,IF($F71=1,60/AL$4*AL$6,60/AL$4*AL$7),IF($F71=1,120/AL$4*AL$6,120/AL$4*AL$7)))),IF(OR($F71=3,$G71=2),IF(OR(AND(AJ$4&gt;=$AD$119,$C71=2),AND(AJ$4&gt;=$AF$119,$C71=1)),0,IF(AN71&lt;=60,AT71,60/AL$4*AL$7)),IF(AND($F71=2,$G71=1),AT71,0)))))</f>
        <v>0</v>
      </c>
      <c r="AW71" s="57" t="str">
        <f t="shared" si="202"/>
        <v/>
      </c>
      <c r="AX71" s="57" t="str">
        <f t="shared" si="368"/>
        <v/>
      </c>
      <c r="AY71" s="713">
        <f>'org. Düngung 22'!P70</f>
        <v>0</v>
      </c>
      <c r="AZ71" s="57"/>
      <c r="BA71" s="57"/>
      <c r="BB71" s="57">
        <f t="shared" si="18"/>
        <v>0</v>
      </c>
      <c r="BC71" s="57">
        <f t="shared" si="203"/>
        <v>0</v>
      </c>
      <c r="BD71" s="57">
        <f t="shared" si="204"/>
        <v>0</v>
      </c>
      <c r="BE71" s="57">
        <f t="shared" si="205"/>
        <v>0</v>
      </c>
      <c r="BF71" s="57">
        <f t="shared" si="206"/>
        <v>0</v>
      </c>
      <c r="BG71" s="1029">
        <f t="shared" si="369"/>
        <v>0</v>
      </c>
      <c r="BH71" s="57">
        <f t="shared" si="370"/>
        <v>0</v>
      </c>
      <c r="BI71" s="171" t="str">
        <f t="shared" si="371"/>
        <v/>
      </c>
      <c r="BJ71" s="57">
        <f t="shared" si="207"/>
        <v>0</v>
      </c>
      <c r="BK71" s="57">
        <f>IF(OR(AND(AY$6=1,$L71=0),AND(AY$6=2,$K71=2,$G71=1)),0,IF(AND(BA$9=2,(OR($F71&gt;1,$K71=1,AND($L71=80,OR($N71=1,AND($N71=2,'#BerechnungDBE'!$AL62&gt;0)))))),IF(AY$4&gt;=$AD$126,0,BI71),IF(BA$9=3,IF(OR(AY$4&gt;=$AD$127,AND($G71=1,$J71=2,AY$6=2),AND(AY$6=1,$N71&lt;&gt;1)),0,IF(BC71&lt;=120,BI71,IF(AY$4&lt;$AD$124,IF($F71=1,60/BA$4*BA$6,60/BA$4*BA$7),IF($F71=1,120/BA$4*BA$6,120/BA$4*BA$7)))),IF(OR($F71=3,$G71=2),IF(OR(AND(AY$4&gt;=$AD$119,$C71=2),AND(AY$4&gt;=$AF$119,$C71=1)),0,IF(BC71&lt;=60,BI71,60/BA$4*BA$7)),IF(AND($F71=2,$G71=1),BI71,0)))))</f>
        <v>0</v>
      </c>
      <c r="BL71" s="57" t="str">
        <f t="shared" si="22"/>
        <v/>
      </c>
      <c r="BM71" s="57" t="str">
        <f t="shared" si="372"/>
        <v/>
      </c>
      <c r="BN71" s="713">
        <f>'org. Düngung 22'!T70</f>
        <v>0</v>
      </c>
      <c r="BO71" s="57"/>
      <c r="BP71" s="57"/>
      <c r="BQ71" s="57">
        <f t="shared" si="24"/>
        <v>0</v>
      </c>
      <c r="BR71" s="57">
        <f t="shared" si="208"/>
        <v>0</v>
      </c>
      <c r="BS71" s="57">
        <f t="shared" si="209"/>
        <v>0</v>
      </c>
      <c r="BT71" s="57">
        <f t="shared" si="210"/>
        <v>0</v>
      </c>
      <c r="BU71" s="57">
        <f t="shared" si="211"/>
        <v>0</v>
      </c>
      <c r="BV71" s="1029">
        <f t="shared" si="373"/>
        <v>0</v>
      </c>
      <c r="BW71" s="57">
        <f t="shared" si="374"/>
        <v>0</v>
      </c>
      <c r="BX71" s="171" t="str">
        <f t="shared" si="375"/>
        <v/>
      </c>
      <c r="BY71" s="57">
        <f t="shared" si="212"/>
        <v>0</v>
      </c>
      <c r="BZ71" s="57">
        <f>IF(OR(AND(BN$6=1,$L71=0),AND(BN$6=2,$K71=2,$G71=1)),0,IF(AND(BP$9=2,(OR($F71&gt;1,$K71=1,AND($L71=80,OR($N71=1,AND($N71=2,'#BerechnungDBE'!$AL62&gt;0)))))),IF(BN$4&gt;=$AD$126,0,BX71),IF(BP$9=3,IF(OR(BN$4&gt;=$AD$127,AND($G71=1,$J71=2,BN$6=2),AND(BN$6=1,$N71&lt;&gt;1)),0,IF(BR71&lt;=120,BX71,IF(BN$4&lt;$AD$124,IF($F71=1,60/BP$4*BP$6,60/BP$4*BP$7),IF($F71=1,120/BP$4*BP$6,120/BP$4*BP$7)))),IF(OR($F71=3,$G71=2),IF(OR(AND(BN$4&gt;=$AD$119,$C71=2),AND(BN$4&gt;=$AF$119,$C71=1)),0,IF(BR71&lt;=60,BX71,60/BP$4*BP$7)),IF(AND($F71=2,$G71=1),BX71,0)))))</f>
        <v>0</v>
      </c>
      <c r="CA71" s="57" t="str">
        <f t="shared" si="28"/>
        <v/>
      </c>
      <c r="CB71" s="57" t="str">
        <f t="shared" si="376"/>
        <v/>
      </c>
      <c r="CC71" s="713">
        <f>'org. Düngung 22'!X70</f>
        <v>0</v>
      </c>
      <c r="CD71" s="57"/>
      <c r="CE71" s="57"/>
      <c r="CF71" s="57">
        <f t="shared" si="30"/>
        <v>0</v>
      </c>
      <c r="CG71" s="57">
        <f t="shared" si="213"/>
        <v>0</v>
      </c>
      <c r="CH71" s="57">
        <f t="shared" si="214"/>
        <v>0</v>
      </c>
      <c r="CI71" s="57">
        <f t="shared" si="215"/>
        <v>0</v>
      </c>
      <c r="CJ71" s="57">
        <f t="shared" si="216"/>
        <v>0</v>
      </c>
      <c r="CK71" s="1029">
        <f t="shared" si="377"/>
        <v>0</v>
      </c>
      <c r="CL71" s="57">
        <f t="shared" si="378"/>
        <v>0</v>
      </c>
      <c r="CM71" s="171" t="str">
        <f t="shared" si="379"/>
        <v/>
      </c>
      <c r="CN71" s="57">
        <f t="shared" si="217"/>
        <v>0</v>
      </c>
      <c r="CO71" s="57">
        <f>IF(OR(AND(CC$6=1,$L71=0),AND(CC$6=2,$K71=2,$G71=1)),0,IF(AND(CE$9=2,(OR($F71&gt;1,$K71=1,AND($L71=80,OR($N71=1,AND($N71=2,'#BerechnungDBE'!$AL62&gt;0)))))),IF(CC$4&gt;=$AD$126,0,CM71),IF(CE$9=3,IF(OR(CC$4&gt;=$AD$127,AND($G71=1,$J71=2,CC$6=2),AND(CC$6=1,$N71&lt;&gt;1)),0,IF(CG71&lt;=120,CM71,IF(CC$4&lt;$AD$124,IF($F71=1,60/CE$4*CE$6,60/CE$4*CE$7),IF($F71=1,120/CE$4*CE$6,120/CE$4*CE$7)))),IF(OR($F71=3,$G71=2),IF(OR(AND(CC$4&gt;=$AD$119,$C71=2),AND(CC$4&gt;=$AF$119,$C71=1)),0,IF(CG71&lt;=60,CM71,60/CE$4*CE$7)),IF(AND($F71=2,$G71=1),CM71,0)))))</f>
        <v>0</v>
      </c>
      <c r="CP71" s="57" t="str">
        <f t="shared" si="34"/>
        <v/>
      </c>
      <c r="CQ71" s="57" t="str">
        <f t="shared" si="380"/>
        <v/>
      </c>
      <c r="CR71" s="713">
        <f>'org. Düngung 22'!AB70</f>
        <v>0</v>
      </c>
      <c r="CS71" s="57"/>
      <c r="CT71" s="57"/>
      <c r="CU71" s="57">
        <f t="shared" si="36"/>
        <v>0</v>
      </c>
      <c r="CV71" s="57">
        <f t="shared" si="218"/>
        <v>0</v>
      </c>
      <c r="CW71" s="57">
        <f t="shared" si="219"/>
        <v>0</v>
      </c>
      <c r="CX71" s="57">
        <f t="shared" si="220"/>
        <v>0</v>
      </c>
      <c r="CY71" s="57">
        <f t="shared" si="221"/>
        <v>0</v>
      </c>
      <c r="CZ71" s="1029">
        <f t="shared" si="381"/>
        <v>0</v>
      </c>
      <c r="DA71" s="57">
        <f t="shared" si="382"/>
        <v>0</v>
      </c>
      <c r="DB71" s="171" t="str">
        <f t="shared" si="383"/>
        <v/>
      </c>
      <c r="DC71" s="57">
        <f t="shared" si="222"/>
        <v>0</v>
      </c>
      <c r="DD71" s="57">
        <f>IF(OR(AND(CR$6=1,$L71=0),AND(CR$6=2,$K71=2,$G71=1)),0,IF(AND(CT$9=2,(OR($F71&gt;1,$K71=1,AND($L71=80,OR($N71=1,AND($N71=2,'#BerechnungDBE'!$AL62&gt;0)))))),IF(CR$4&gt;=$AD$126,0,DB71),IF(CT$9=3,IF(OR(CR$4&gt;=$AD$127,AND($G71=1,$J71=2,CR$6=2),AND(CR$6=1,$N71&lt;&gt;1)),0,IF(CV71&lt;=120,DB71,IF(CR$4&lt;$AD$124,IF($F71=1,60/CT$4*CT$6,60/CT$4*CT$7),IF($F71=1,120/CT$4*CT$6,120/CT$4*CT$7)))),IF(OR($F71=3,$G71=2),IF(OR(AND(CR$4&gt;=$AD$119,$C71=2),AND(CR$4&gt;=$AF$119,$C71=1)),0,IF(CV71&lt;=60,DB71,60/CT$4*CT$7)),IF(AND($F71=2,$G71=1),DB71,0)))))</f>
        <v>0</v>
      </c>
      <c r="DE71" s="57" t="str">
        <f t="shared" si="40"/>
        <v/>
      </c>
      <c r="DF71" s="57" t="str">
        <f t="shared" si="384"/>
        <v/>
      </c>
      <c r="DG71" s="713">
        <f>'org. Düngung 22'!AF70</f>
        <v>0</v>
      </c>
      <c r="DH71" s="57"/>
      <c r="DI71" s="57"/>
      <c r="DJ71" s="57">
        <f t="shared" si="42"/>
        <v>0</v>
      </c>
      <c r="DK71" s="57">
        <f t="shared" si="223"/>
        <v>0</v>
      </c>
      <c r="DL71" s="57">
        <f t="shared" si="224"/>
        <v>0</v>
      </c>
      <c r="DM71" s="57">
        <f t="shared" si="225"/>
        <v>0</v>
      </c>
      <c r="DN71" s="57">
        <f t="shared" si="226"/>
        <v>0</v>
      </c>
      <c r="DO71" s="1029">
        <f t="shared" si="385"/>
        <v>0</v>
      </c>
      <c r="DP71" s="57">
        <f t="shared" si="386"/>
        <v>0</v>
      </c>
      <c r="DQ71" s="171" t="str">
        <f t="shared" si="387"/>
        <v/>
      </c>
      <c r="DR71" s="57">
        <f t="shared" si="227"/>
        <v>0</v>
      </c>
      <c r="DS71" s="57">
        <f>IF(OR(AND(DG$6=1,$L71=0),AND(DG$6=2,$K71=2,$G71=1)),0,IF(AND(DI$9=2,(OR($F71&gt;1,$K71=1,AND($L71=80,OR($N71=1,AND($N71=2,'#BerechnungDBE'!$AL62&gt;0)))))),IF(DG$4&gt;=$AD$126,0,DQ71),IF(DI$9=3,IF(OR(DG$4&gt;=$AD$127,AND($G71=1,$J71=2,DG$6=2),AND(DG$6=1,$N71&lt;&gt;1)),0,IF(DK71&lt;=120,DQ71,IF(DG$4&lt;$AD$124,IF($F71=1,60/DI$4*DI$6,60/DI$4*DI$7),IF($F71=1,120/DI$4*DI$6,120/DI$4*DI$7)))),IF(OR($F71=3,$G71=2),IF(OR(AND(DG$4&gt;=$AD$119,$C71=2),AND(DG$4&gt;=$AF$119,$C71=1)),0,IF(DK71&lt;=60,DQ71,60/DI$4*DI$7)),IF(AND($F71=2,$G71=1),DQ71,0)))))</f>
        <v>0</v>
      </c>
      <c r="DT71" s="57" t="str">
        <f t="shared" si="46"/>
        <v/>
      </c>
      <c r="DU71" s="57" t="str">
        <f t="shared" si="388"/>
        <v/>
      </c>
      <c r="DV71" s="713">
        <f>'org. Düngung 22'!AJ70</f>
        <v>0</v>
      </c>
      <c r="DW71" s="57"/>
      <c r="DX71" s="57"/>
      <c r="DY71" s="57">
        <f t="shared" si="48"/>
        <v>0</v>
      </c>
      <c r="DZ71" s="57">
        <f t="shared" si="228"/>
        <v>0</v>
      </c>
      <c r="EA71" s="57">
        <f t="shared" si="229"/>
        <v>0</v>
      </c>
      <c r="EB71" s="57">
        <f t="shared" si="230"/>
        <v>0</v>
      </c>
      <c r="EC71" s="57">
        <f t="shared" si="231"/>
        <v>0</v>
      </c>
      <c r="ED71" s="1029">
        <f t="shared" si="389"/>
        <v>0</v>
      </c>
      <c r="EE71" s="57">
        <f t="shared" si="390"/>
        <v>0</v>
      </c>
      <c r="EF71" s="171" t="str">
        <f t="shared" si="391"/>
        <v/>
      </c>
      <c r="EG71" s="57">
        <f t="shared" si="232"/>
        <v>0</v>
      </c>
      <c r="EH71" s="57">
        <f>IF(OR(AND(DV$6=1,$L71=0),AND(DV$6=2,$K71=2,$G71=1)),0,IF(AND(DX$9=2,(OR($F71&gt;1,$K71=1,AND($L71=80,OR($N71=1,AND($N71=2,'#BerechnungDBE'!$AL62&gt;0)))))),IF(DV$4&gt;=$AD$126,0,EF71),IF(DX$9=3,IF(OR(DV$4&gt;=$AD$127,AND($G71=1,$J71=2,DV$6=2),AND(DV$6=1,$N71&lt;&gt;1)),0,IF(DZ71&lt;=120,EF71,IF(DV$4&lt;$AD$124,IF($F71=1,60/DX$4*DX$6,60/DX$4*DX$7),IF($F71=1,120/DX$4*DX$6,120/DX$4*DX$7)))),IF(OR($F71=3,$G71=2),IF(OR(AND(DV$4&gt;=$AD$119,$C71=2),AND(DV$4&gt;=$AF$119,$C71=1)),0,IF(DZ71&lt;=60,EF71,60/DX$4*DX$7)),IF(AND($F71=2,$G71=1),EF71,0)))))</f>
        <v>0</v>
      </c>
      <c r="EI71" s="57" t="str">
        <f t="shared" si="52"/>
        <v/>
      </c>
      <c r="EJ71" s="57" t="str">
        <f t="shared" si="392"/>
        <v/>
      </c>
      <c r="EK71" s="713">
        <f>'org. Düngung 22'!AN70</f>
        <v>0</v>
      </c>
      <c r="EL71" s="57"/>
      <c r="EM71" s="57"/>
      <c r="EN71" s="57">
        <f t="shared" si="54"/>
        <v>0</v>
      </c>
      <c r="EO71" s="57">
        <f t="shared" si="233"/>
        <v>0</v>
      </c>
      <c r="EP71" s="57">
        <f t="shared" si="234"/>
        <v>0</v>
      </c>
      <c r="EQ71" s="57">
        <f t="shared" si="235"/>
        <v>0</v>
      </c>
      <c r="ER71" s="57">
        <f t="shared" si="236"/>
        <v>0</v>
      </c>
      <c r="ES71" s="1029">
        <f t="shared" si="393"/>
        <v>0</v>
      </c>
      <c r="ET71" s="57">
        <f t="shared" si="394"/>
        <v>0</v>
      </c>
      <c r="EU71" s="171" t="str">
        <f t="shared" si="395"/>
        <v/>
      </c>
      <c r="EV71" s="57">
        <f t="shared" si="237"/>
        <v>0</v>
      </c>
      <c r="EW71" s="57">
        <f>IF(OR(AND(EK$6=1,$L71=0),AND(EK$6=2,$K71=2,$G71=1)),0,IF(AND(EM$9=2,(OR($F71&gt;1,$K71=1,AND($L71=80,OR($N71=1,AND($N71=2,'#BerechnungDBE'!$AL62&gt;0)))))),IF(EK$4&gt;=$AD$126,0,EU71),IF(EM$9=3,IF(OR(EK$4&gt;=$AD$127,AND($G71=1,$J71=2,EK$6=2),AND(EK$6=1,$N71&lt;&gt;1)),0,IF(EO71&lt;=120,EU71,IF(EK$4&lt;$AD$124,IF($F71=1,60/EM$4*EM$6,60/EM$4*EM$7),IF($F71=1,120/EM$4*EM$6,120/EM$4*EM$7)))),IF(OR($F71=3,$G71=2),IF(OR(AND(EK$4&gt;=$AD$119,$C71=2),AND(EK$4&gt;=$AF$119,$C71=1)),0,IF(EO71&lt;=60,EU71,60/EM$4*EM$7)),IF(AND($F71=2,$G71=1),EU71,0)))))</f>
        <v>0</v>
      </c>
      <c r="EX71" s="57" t="str">
        <f t="shared" si="58"/>
        <v/>
      </c>
      <c r="EY71" s="57" t="str">
        <f t="shared" si="396"/>
        <v/>
      </c>
      <c r="EZ71" s="713">
        <f>'org. Düngung 22'!AR70</f>
        <v>0</v>
      </c>
      <c r="FA71" s="57"/>
      <c r="FB71" s="57"/>
      <c r="FC71" s="57">
        <f t="shared" si="60"/>
        <v>0</v>
      </c>
      <c r="FD71" s="57">
        <f t="shared" si="238"/>
        <v>0</v>
      </c>
      <c r="FE71" s="57">
        <f t="shared" si="239"/>
        <v>0</v>
      </c>
      <c r="FF71" s="57">
        <f t="shared" si="240"/>
        <v>0</v>
      </c>
      <c r="FG71" s="57">
        <f t="shared" si="241"/>
        <v>0</v>
      </c>
      <c r="FH71" s="1029">
        <f t="shared" si="397"/>
        <v>0</v>
      </c>
      <c r="FI71" s="57">
        <f t="shared" si="398"/>
        <v>0</v>
      </c>
      <c r="FJ71" s="171" t="str">
        <f t="shared" si="399"/>
        <v/>
      </c>
      <c r="FK71" s="57">
        <f t="shared" si="242"/>
        <v>0</v>
      </c>
      <c r="FL71" s="57">
        <f>IF(OR(AND(EZ$6=1,$L71=0),AND(EZ$6=2,$K71=2,$G71=1)),0,IF(AND(FB$9=2,(OR($F71&gt;1,$K71=1,AND($L71=80,OR($N71=1,AND($N71=2,'#BerechnungDBE'!$AL62&gt;0)))))),IF(EZ$4&gt;=$AD$126,0,FJ71),IF(FB$9=3,IF(OR(EZ$4&gt;=$AD$127,AND($G71=1,$J71=2,EZ$6=2),AND(EZ$6=1,$N71&lt;&gt;1)),0,IF(FD71&lt;=120,FJ71,IF(EZ$4&lt;$AD$124,IF($F71=1,60/FB$4*FB$6,60/FB$4*FB$7),IF($F71=1,120/FB$4*FB$6,120/FB$4*FB$7)))),IF(OR($F71=3,$G71=2),IF(OR(AND(EZ$4&gt;=$AD$119,$C71=2),AND(EZ$4&gt;=$AF$119,$C71=1)),0,IF(FD71&lt;=60,FJ71,60/FB$4*FB$7)),IF(AND($F71=2,$G71=1),FJ71,0)))))</f>
        <v>0</v>
      </c>
      <c r="FM71" s="57" t="str">
        <f t="shared" si="64"/>
        <v/>
      </c>
      <c r="FN71" s="57" t="str">
        <f t="shared" si="400"/>
        <v/>
      </c>
      <c r="FO71" s="713">
        <f>'org. Düngung 22'!AV70</f>
        <v>0</v>
      </c>
      <c r="FP71" s="57"/>
      <c r="FQ71" s="57"/>
      <c r="FR71" s="57">
        <f t="shared" si="66"/>
        <v>0</v>
      </c>
      <c r="FS71" s="57">
        <f t="shared" si="243"/>
        <v>0</v>
      </c>
      <c r="FT71" s="57">
        <f t="shared" si="244"/>
        <v>0</v>
      </c>
      <c r="FU71" s="57">
        <f t="shared" si="245"/>
        <v>0</v>
      </c>
      <c r="FV71" s="57">
        <f t="shared" si="246"/>
        <v>0</v>
      </c>
      <c r="FW71" s="1029">
        <f t="shared" si="401"/>
        <v>0</v>
      </c>
      <c r="FX71" s="57">
        <f t="shared" si="402"/>
        <v>0</v>
      </c>
      <c r="FY71" s="171" t="str">
        <f t="shared" si="403"/>
        <v/>
      </c>
      <c r="FZ71" s="57">
        <f t="shared" si="247"/>
        <v>0</v>
      </c>
      <c r="GA71" s="57">
        <f>IF(OR(AND(FO$6=1,$L71=0),AND(FO$6=2,$K71=2,$G71=1)),0,IF(AND(FQ$9=2,(OR($F71&gt;1,$K71=1,AND($L71=80,OR($N71=1,AND($N71=2,'#BerechnungDBE'!$AL62&gt;0)))))),IF(FO$4&gt;=$AD$126,0,FY71),IF(FQ$9=3,IF(OR(FO$4&gt;=$AD$127,AND($G71=1,$J71=2,FO$6=2),AND(FO$6=1,$N71&lt;&gt;1)),0,IF(FS71&lt;=120,FY71,IF(FO$4&lt;$AD$124,IF($F71=1,60/FQ$4*FQ$6,60/FQ$4*FQ$7),IF($F71=1,120/FQ$4*FQ$6,120/FQ$4*FQ$7)))),IF(OR($F71=3,$G71=2),IF(OR(AND(FO$4&gt;=$AD$119,$C71=2),AND(FO$4&gt;=$AF$119,$C71=1)),0,IF(FS71&lt;=60,FY71,60/FQ$4*FQ$7)),IF(AND($F71=2,$G71=1),FY71,0)))))</f>
        <v>0</v>
      </c>
      <c r="GB71" s="57" t="str">
        <f t="shared" si="70"/>
        <v/>
      </c>
      <c r="GC71" s="57" t="str">
        <f t="shared" si="404"/>
        <v/>
      </c>
      <c r="GD71" s="713">
        <f>'org. Düngung 22'!AZ70</f>
        <v>0</v>
      </c>
      <c r="GE71" s="57"/>
      <c r="GF71" s="57"/>
      <c r="GG71" s="57">
        <f t="shared" si="72"/>
        <v>0</v>
      </c>
      <c r="GH71" s="57">
        <f t="shared" si="248"/>
        <v>0</v>
      </c>
      <c r="GI71" s="57">
        <f t="shared" si="249"/>
        <v>0</v>
      </c>
      <c r="GJ71" s="57">
        <f t="shared" si="250"/>
        <v>0</v>
      </c>
      <c r="GK71" s="57">
        <f t="shared" si="251"/>
        <v>0</v>
      </c>
      <c r="GL71" s="1029">
        <f t="shared" si="405"/>
        <v>0</v>
      </c>
      <c r="GM71" s="57">
        <f t="shared" si="406"/>
        <v>0</v>
      </c>
      <c r="GN71" s="171" t="str">
        <f t="shared" si="407"/>
        <v/>
      </c>
      <c r="GO71" s="57">
        <f t="shared" si="252"/>
        <v>0</v>
      </c>
      <c r="GP71" s="57">
        <f>IF(OR(AND(GD$6=1,$L71=0),AND(GD$6=2,$K71=2,$G71=1)),0,IF(AND(GF$9=2,(OR($F71&gt;1,$K71=1,AND($L71=80,OR($N71=1,AND($N71=2,'#BerechnungDBE'!$AL62&gt;0)))))),IF(GD$4&gt;=$AD$126,0,GN71),IF(GF$9=3,IF(OR(GD$4&gt;=$AD$127,AND($G71=1,$J71=2,GD$6=2),AND(GD$6=1,$N71&lt;&gt;1)),0,IF(GH71&lt;=120,GN71,IF(GD$4&lt;$AD$124,IF($F71=1,60/GF$4*GF$6,60/GF$4*GF$7),IF($F71=1,120/GF$4*GF$6,120/GF$4*GF$7)))),IF(OR($F71=3,$G71=2),IF(OR(AND(GD$4&gt;=$AD$119,$C71=2),AND(GD$4&gt;=$AF$119,$C71=1)),0,IF(GH71&lt;=60,GN71,60/GF$4*GF$7)),IF(AND($F71=2,$G71=1),GN71,0)))))</f>
        <v>0</v>
      </c>
      <c r="GQ71" s="57" t="str">
        <f t="shared" si="76"/>
        <v/>
      </c>
      <c r="GR71" s="57" t="str">
        <f t="shared" si="408"/>
        <v/>
      </c>
      <c r="GS71" s="713">
        <f>'org. Düngung 22'!BD70</f>
        <v>0</v>
      </c>
      <c r="GT71" s="57"/>
      <c r="GU71" s="57"/>
      <c r="GV71" s="57">
        <f t="shared" si="78"/>
        <v>0</v>
      </c>
      <c r="GW71" s="57">
        <f t="shared" si="253"/>
        <v>0</v>
      </c>
      <c r="GX71" s="57">
        <f t="shared" si="254"/>
        <v>0</v>
      </c>
      <c r="GY71" s="57">
        <f t="shared" si="255"/>
        <v>0</v>
      </c>
      <c r="GZ71" s="57">
        <f t="shared" si="256"/>
        <v>0</v>
      </c>
      <c r="HA71" s="1029">
        <f t="shared" si="409"/>
        <v>0</v>
      </c>
      <c r="HB71" s="57">
        <f t="shared" si="410"/>
        <v>0</v>
      </c>
      <c r="HC71" s="171" t="str">
        <f t="shared" si="411"/>
        <v/>
      </c>
      <c r="HD71" s="57">
        <f t="shared" si="257"/>
        <v>0</v>
      </c>
      <c r="HE71" s="57">
        <f>IF(OR(AND(GS$6=1,$L71=0),AND(GS$6=2,$K71=2,$G71=1)),0,IF(AND(GU$9=2,(OR($F71&gt;1,$K71=1,AND($L71=80,OR($N71=1,AND($N71=2,'#BerechnungDBE'!$AL62&gt;0)))))),IF(GS$4&gt;=$AD$126,0,HC71),IF(GU$9=3,IF(OR(GS$4&gt;=$AD$127,AND($G71=1,$J71=2,GS$6=2),AND(GS$6=1,$N71&lt;&gt;1)),0,IF(GW71&lt;=120,HC71,IF(GS$4&lt;$AD$124,IF($F71=1,60/GU$4*GU$6,60/GU$4*GU$7),IF($F71=1,120/GU$4*GU$6,120/GU$4*GU$7)))),IF(OR($F71=3,$G71=2),IF(OR(AND(GS$4&gt;=$AD$119,$C71=2),AND(GS$4&gt;=$AF$119,$C71=1)),0,IF(GW71&lt;=60,HC71,60/GU$4*GU$7)),IF(AND($F71=2,$G71=1),HC71,0)))))</f>
        <v>0</v>
      </c>
      <c r="HF71" s="57" t="str">
        <f t="shared" si="82"/>
        <v/>
      </c>
      <c r="HG71" s="57" t="str">
        <f t="shared" si="412"/>
        <v/>
      </c>
      <c r="HH71" s="713">
        <f>'org. Düngung 22'!BH70</f>
        <v>0</v>
      </c>
      <c r="HI71" s="57"/>
      <c r="HJ71" s="57"/>
      <c r="HK71" s="57">
        <f t="shared" si="84"/>
        <v>0</v>
      </c>
      <c r="HL71" s="57">
        <f t="shared" si="258"/>
        <v>0</v>
      </c>
      <c r="HM71" s="57">
        <f t="shared" si="259"/>
        <v>0</v>
      </c>
      <c r="HN71" s="57">
        <f t="shared" si="260"/>
        <v>0</v>
      </c>
      <c r="HO71" s="57">
        <f t="shared" si="261"/>
        <v>0</v>
      </c>
      <c r="HP71" s="1029">
        <f t="shared" si="413"/>
        <v>0</v>
      </c>
      <c r="HQ71" s="57">
        <f t="shared" si="414"/>
        <v>0</v>
      </c>
      <c r="HR71" s="171" t="str">
        <f t="shared" si="415"/>
        <v/>
      </c>
      <c r="HS71" s="57">
        <f t="shared" si="262"/>
        <v>0</v>
      </c>
      <c r="HT71" s="57">
        <f>IF(OR(AND(HH$6=1,$L71=0),AND(HH$6=2,$K71=2,$G71=1)),0,IF(AND(HJ$9=2,(OR($F71&gt;1,$K71=1,AND($L71=80,OR($N71=1,AND($N71=2,'#BerechnungDBE'!$AL62&gt;0)))))),IF(HH$4&gt;=$AD$126,0,HR71),IF(HJ$9=3,IF(OR(HH$4&gt;=$AD$127,AND($G71=1,$J71=2,HH$6=2),AND(HH$6=1,$N71&lt;&gt;1)),0,IF(HL71&lt;=120,HR71,IF(HH$4&lt;$AD$124,IF($F71=1,60/HJ$4*HJ$6,60/HJ$4*HJ$7),IF($F71=1,120/HJ$4*HJ$6,120/HJ$4*HJ$7)))),IF(OR($F71=3,$G71=2),IF(OR(AND(HH$4&gt;=$AD$119,$C71=2),AND(HH$4&gt;=$AF$119,$C71=1)),0,IF(HL71&lt;=60,HR71,60/HJ$4*HJ$7)),IF(AND($F71=2,$G71=1),HR71,0)))))</f>
        <v>0</v>
      </c>
      <c r="HU71" s="57" t="str">
        <f t="shared" si="88"/>
        <v/>
      </c>
      <c r="HV71" s="57" t="str">
        <f t="shared" si="416"/>
        <v/>
      </c>
      <c r="HW71" s="713">
        <f>'org. Düngung 22'!BL70</f>
        <v>0</v>
      </c>
      <c r="HX71" s="57"/>
      <c r="HY71" s="57"/>
      <c r="HZ71" s="57">
        <f t="shared" si="90"/>
        <v>0</v>
      </c>
      <c r="IA71" s="57">
        <f t="shared" si="263"/>
        <v>0</v>
      </c>
      <c r="IB71" s="57">
        <f t="shared" si="264"/>
        <v>0</v>
      </c>
      <c r="IC71" s="57">
        <f t="shared" si="265"/>
        <v>0</v>
      </c>
      <c r="ID71" s="57">
        <f t="shared" si="266"/>
        <v>0</v>
      </c>
      <c r="IE71" s="1029">
        <f t="shared" si="417"/>
        <v>0</v>
      </c>
      <c r="IF71" s="57">
        <f t="shared" si="418"/>
        <v>0</v>
      </c>
      <c r="IG71" s="171" t="str">
        <f t="shared" si="419"/>
        <v/>
      </c>
      <c r="IH71" s="57">
        <f t="shared" si="267"/>
        <v>0</v>
      </c>
      <c r="II71" s="57">
        <f>IF(OR(AND(HW$6=1,$L71=0),AND(HW$6=2,$K71=2,$G71=1)),0,IF(AND(HY$9=2,(OR($F71&gt;1,$K71=1,AND($L71=80,OR($N71=1,AND($N71=2,'#BerechnungDBE'!$AL62&gt;0)))))),IF(HW$4&gt;=$AD$126,0,IG71),IF(HY$9=3,IF(OR(HW$4&gt;=$AD$127,AND($G71=1,$J71=2,HW$6=2),AND(HW$6=1,$N71&lt;&gt;1)),0,IF(IA71&lt;=120,IG71,IF(HW$4&lt;$AD$124,IF($F71=1,60/HY$4*HY$6,60/HY$4*HY$7),IF($F71=1,120/HY$4*HY$6,120/HY$4*HY$7)))),IF(OR($F71=3,$G71=2),IF(OR(AND(HW$4&gt;=$AD$119,$C71=2),AND(HW$4&gt;=$AF$119,$C71=1)),0,IF(IA71&lt;=60,IG71,60/HY$4*HY$7)),IF(AND($F71=2,$G71=1),IG71,0)))))</f>
        <v>0</v>
      </c>
      <c r="IJ71" s="57" t="str">
        <f t="shared" si="94"/>
        <v/>
      </c>
      <c r="IK71" s="57" t="str">
        <f t="shared" si="420"/>
        <v/>
      </c>
      <c r="IL71" s="713">
        <f>'org. Düngung 22'!BP70</f>
        <v>0</v>
      </c>
      <c r="IM71" s="57"/>
      <c r="IN71" s="57"/>
      <c r="IO71" s="57">
        <f t="shared" si="96"/>
        <v>0</v>
      </c>
      <c r="IP71" s="57">
        <f t="shared" si="268"/>
        <v>0</v>
      </c>
      <c r="IQ71" s="57">
        <f t="shared" si="269"/>
        <v>0</v>
      </c>
      <c r="IR71" s="57">
        <f t="shared" si="270"/>
        <v>0</v>
      </c>
      <c r="IS71" s="57">
        <f t="shared" si="271"/>
        <v>0</v>
      </c>
      <c r="IT71" s="1029">
        <f t="shared" si="421"/>
        <v>0</v>
      </c>
      <c r="IU71" s="57">
        <f t="shared" si="422"/>
        <v>0</v>
      </c>
      <c r="IV71" s="171" t="str">
        <f t="shared" si="423"/>
        <v/>
      </c>
      <c r="IW71" s="57">
        <f t="shared" si="272"/>
        <v>0</v>
      </c>
      <c r="IX71" s="57">
        <f>IF(OR(AND(IL$6=1,$L71=0),AND(IL$6=2,$K71=2,$G71=1)),0,IF(AND(IN$9=2,(OR($F71&gt;1,$K71=1,AND($L71=80,OR($N71=1,AND($N71=2,'#BerechnungDBE'!$AL62&gt;0)))))),IF(IL$4&gt;=$AD$126,0,IV71),IF(IN$9=3,IF(OR(IL$4&gt;=$AD$127,AND($G71=1,$J71=2,IL$6=2),AND(IL$6=1,$N71&lt;&gt;1)),0,IF(IP71&lt;=120,IV71,IF(IL$4&lt;$AD$124,IF($F71=1,60/IN$4*IN$6,60/IN$4*IN$7),IF($F71=1,120/IN$4*IN$6,120/IN$4*IN$7)))),IF(OR($F71=3,$G71=2),IF(OR(AND(IL$4&gt;=$AD$119,$C71=2),AND(IL$4&gt;=$AF$119,$C71=1)),0,IF(IP71&lt;=60,IV71,60/IN$4*IN$7)),IF(AND($F71=2,$G71=1),IV71,0)))))</f>
        <v>0</v>
      </c>
      <c r="IY71" s="57" t="str">
        <f t="shared" si="100"/>
        <v/>
      </c>
      <c r="IZ71" s="57" t="str">
        <f t="shared" si="424"/>
        <v/>
      </c>
      <c r="JA71" s="713">
        <f>'org. Düngung 22'!BT70</f>
        <v>0</v>
      </c>
      <c r="JB71" s="57"/>
      <c r="JC71" s="57"/>
      <c r="JD71" s="57">
        <f t="shared" si="102"/>
        <v>0</v>
      </c>
      <c r="JE71" s="57">
        <f t="shared" si="273"/>
        <v>0</v>
      </c>
      <c r="JF71" s="57">
        <f t="shared" si="274"/>
        <v>0</v>
      </c>
      <c r="JG71" s="57">
        <f t="shared" si="275"/>
        <v>0</v>
      </c>
      <c r="JH71" s="57">
        <f t="shared" si="276"/>
        <v>0</v>
      </c>
      <c r="JI71" s="1029">
        <f t="shared" si="425"/>
        <v>0</v>
      </c>
      <c r="JJ71" s="57">
        <f t="shared" si="426"/>
        <v>0</v>
      </c>
      <c r="JK71" s="171" t="str">
        <f t="shared" si="427"/>
        <v/>
      </c>
      <c r="JL71" s="57">
        <f t="shared" si="277"/>
        <v>0</v>
      </c>
      <c r="JM71" s="57">
        <f>IF(OR(AND(JA$6=1,$L71=0),AND(JA$6=2,$K71=2,$G71=1)),0,IF(AND(JC$9=2,(OR($F71&gt;1,$K71=1,AND($L71=80,OR($N71=1,AND($N71=2,'#BerechnungDBE'!$AL62&gt;0)))))),IF(JA$4&gt;=$AD$126,0,JK71),IF(JC$9=3,IF(OR(JA$4&gt;=$AD$127,AND($G71=1,$J71=2,JA$6=2),AND(JA$6=1,$N71&lt;&gt;1)),0,IF(JE71&lt;=120,JK71,IF(JA$4&lt;$AD$124,IF($F71=1,60/JC$4*JC$6,60/JC$4*JC$7),IF($F71=1,120/JC$4*JC$6,120/JC$4*JC$7)))),IF(OR($F71=3,$G71=2),IF(OR(AND(JA$4&gt;=$AD$119,$C71=2),AND(JA$4&gt;=$AF$119,$C71=1)),0,IF(JE71&lt;=60,JK71,60/JC$4*JC$7)),IF(AND($F71=2,$G71=1),JK71,0)))))</f>
        <v>0</v>
      </c>
      <c r="JN71" s="57" t="str">
        <f t="shared" si="106"/>
        <v/>
      </c>
      <c r="JO71" s="57" t="str">
        <f t="shared" si="428"/>
        <v/>
      </c>
      <c r="JP71" s="713">
        <f>'org. Düngung 22'!BX70</f>
        <v>0</v>
      </c>
      <c r="JQ71" s="57"/>
      <c r="JR71" s="57"/>
      <c r="JS71" s="57">
        <f t="shared" si="108"/>
        <v>0</v>
      </c>
      <c r="JT71" s="57">
        <f t="shared" si="278"/>
        <v>0</v>
      </c>
      <c r="JU71" s="57">
        <f t="shared" si="279"/>
        <v>0</v>
      </c>
      <c r="JV71" s="57">
        <f t="shared" si="280"/>
        <v>0</v>
      </c>
      <c r="JW71" s="57">
        <f t="shared" si="281"/>
        <v>0</v>
      </c>
      <c r="JX71" s="1029">
        <f t="shared" si="429"/>
        <v>0</v>
      </c>
      <c r="JY71" s="57">
        <f t="shared" si="430"/>
        <v>0</v>
      </c>
      <c r="JZ71" s="171" t="str">
        <f t="shared" si="431"/>
        <v/>
      </c>
      <c r="KA71" s="57">
        <f t="shared" si="282"/>
        <v>0</v>
      </c>
      <c r="KB71" s="57">
        <f>IF(OR(AND(JP$6=1,$L71=0),AND(JP$6=2,$K71=2,$G71=1)),0,IF(AND(JR$9=2,(OR($F71&gt;1,$K71=1,AND($L71=80,OR($N71=1,AND($N71=2,'#BerechnungDBE'!$AL62&gt;0)))))),IF(JP$4&gt;=$AD$126,0,JZ71),IF(JR$9=3,IF(OR(JP$4&gt;=$AD$127,AND($G71=1,$J71=2,JP$6=2),AND(JP$6=1,$N71&lt;&gt;1)),0,IF(JT71&lt;=120,JZ71,IF(JP$4&lt;$AD$124,IF($F71=1,60/JR$4*JR$6,60/JR$4*JR$7),IF($F71=1,120/JR$4*JR$6,120/JR$4*JR$7)))),IF(OR($F71=3,$G71=2),IF(OR(AND(JP$4&gt;=$AD$119,$C71=2),AND(JP$4&gt;=$AF$119,$C71=1)),0,IF(JT71&lt;=60,JZ71,60/JR$4*JR$7)),IF(AND($F71=2,$G71=1),JZ71,0)))))</f>
        <v>0</v>
      </c>
      <c r="KC71" s="57" t="str">
        <f t="shared" si="112"/>
        <v/>
      </c>
      <c r="KD71" s="57" t="str">
        <f t="shared" si="432"/>
        <v/>
      </c>
      <c r="KE71" s="713">
        <f>'org. Düngung 22'!CB70</f>
        <v>0</v>
      </c>
      <c r="KF71" s="57"/>
      <c r="KG71" s="57"/>
      <c r="KH71" s="57">
        <f t="shared" si="114"/>
        <v>0</v>
      </c>
      <c r="KI71" s="57">
        <f t="shared" si="283"/>
        <v>0</v>
      </c>
      <c r="KJ71" s="57">
        <f t="shared" si="284"/>
        <v>0</v>
      </c>
      <c r="KK71" s="57">
        <f t="shared" si="285"/>
        <v>0</v>
      </c>
      <c r="KL71" s="57">
        <f t="shared" si="286"/>
        <v>0</v>
      </c>
      <c r="KM71" s="1029">
        <f t="shared" si="433"/>
        <v>0</v>
      </c>
      <c r="KN71" s="57">
        <f t="shared" si="434"/>
        <v>0</v>
      </c>
      <c r="KO71" s="171" t="str">
        <f t="shared" si="435"/>
        <v/>
      </c>
      <c r="KP71" s="57">
        <f t="shared" si="287"/>
        <v>0</v>
      </c>
      <c r="KQ71" s="57">
        <f>IF(OR(AND(KE$6=1,$L71=0),AND(KE$6=2,$K71=2,$G71=1)),0,IF(AND(KG$9=2,(OR($F71&gt;1,$K71=1,AND($L71=80,OR($N71=1,AND($N71=2,'#BerechnungDBE'!$AL62&gt;0)))))),IF(KE$4&gt;=$AD$126,0,KO71),IF(KG$9=3,IF(OR(KE$4&gt;=$AD$127,AND($G71=1,$J71=2,KE$6=2),AND(KE$6=1,$N71&lt;&gt;1)),0,IF(KI71&lt;=120,KO71,IF(KE$4&lt;$AD$124,IF($F71=1,60/KG$4*KG$6,60/KG$4*KG$7),IF($F71=1,120/KG$4*KG$6,120/KG$4*KG$7)))),IF(OR($F71=3,$G71=2),IF(OR(AND(KE$4&gt;=$AD$119,$C71=2),AND(KE$4&gt;=$AF$119,$C71=1)),0,IF(KI71&lt;=60,KO71,60/KG$4*KG$7)),IF(AND($F71=2,$G71=1),KO71,0)))))</f>
        <v>0</v>
      </c>
      <c r="KR71" s="57" t="str">
        <f t="shared" si="118"/>
        <v/>
      </c>
      <c r="KS71" s="57" t="str">
        <f t="shared" si="436"/>
        <v/>
      </c>
      <c r="KT71" s="713">
        <f>'org. Düngung 22'!CF70</f>
        <v>0</v>
      </c>
      <c r="KU71" s="57"/>
      <c r="KV71" s="57"/>
      <c r="KW71" s="57">
        <f t="shared" si="120"/>
        <v>0</v>
      </c>
      <c r="KX71" s="57">
        <f t="shared" si="288"/>
        <v>0</v>
      </c>
      <c r="KY71" s="57">
        <f t="shared" si="289"/>
        <v>0</v>
      </c>
      <c r="KZ71" s="57">
        <f t="shared" si="290"/>
        <v>0</v>
      </c>
      <c r="LA71" s="57">
        <f t="shared" si="291"/>
        <v>0</v>
      </c>
      <c r="LB71" s="1029">
        <f t="shared" si="437"/>
        <v>0</v>
      </c>
      <c r="LC71" s="57">
        <f t="shared" si="438"/>
        <v>0</v>
      </c>
      <c r="LD71" s="171" t="str">
        <f t="shared" si="439"/>
        <v/>
      </c>
      <c r="LE71" s="57">
        <f t="shared" si="292"/>
        <v>0</v>
      </c>
      <c r="LF71" s="57">
        <f>IF(OR(AND(KT$6=1,$L71=0),AND(KT$6=2,$K71=2,$G71=1)),0,IF(AND(KV$9=2,(OR($F71&gt;1,$K71=1,AND($L71=80,OR($N71=1,AND($N71=2,'#BerechnungDBE'!$AL62&gt;0)))))),IF(KT$4&gt;=$AD$126,0,LD71),IF(KV$9=3,IF(OR(KT$4&gt;=$AD$127,AND($G71=1,$J71=2,KT$6=2),AND(KT$6=1,$N71&lt;&gt;1)),0,IF(KX71&lt;=120,LD71,IF(KT$4&lt;$AD$124,IF($F71=1,60/KV$4*KV$6,60/KV$4*KV$7),IF($F71=1,120/KV$4*KV$6,120/KV$4*KV$7)))),IF(OR($F71=3,$G71=2),IF(OR(AND(KT$4&gt;=$AD$119,$C71=2),AND(KT$4&gt;=$AF$119,$C71=1)),0,IF(KX71&lt;=60,LD71,60/KV$4*KV$7)),IF(AND($F71=2,$G71=1),LD71,0)))))</f>
        <v>0</v>
      </c>
      <c r="LG71" s="57" t="str">
        <f t="shared" si="124"/>
        <v/>
      </c>
      <c r="LH71" s="57" t="str">
        <f t="shared" si="440"/>
        <v/>
      </c>
      <c r="LI71" s="713">
        <f>'org. Düngung 22'!CJ70</f>
        <v>0</v>
      </c>
      <c r="LJ71" s="57"/>
      <c r="LK71" s="57"/>
      <c r="LL71" s="57">
        <f t="shared" si="126"/>
        <v>0</v>
      </c>
      <c r="LM71" s="57">
        <f t="shared" si="293"/>
        <v>0</v>
      </c>
      <c r="LN71" s="57">
        <f t="shared" si="294"/>
        <v>0</v>
      </c>
      <c r="LO71" s="57">
        <f t="shared" si="295"/>
        <v>0</v>
      </c>
      <c r="LP71" s="57">
        <f t="shared" si="296"/>
        <v>0</v>
      </c>
      <c r="LQ71" s="1029">
        <f t="shared" si="441"/>
        <v>0</v>
      </c>
      <c r="LR71" s="57">
        <f t="shared" si="442"/>
        <v>0</v>
      </c>
      <c r="LS71" s="171" t="str">
        <f t="shared" si="443"/>
        <v/>
      </c>
      <c r="LT71" s="57">
        <f t="shared" si="297"/>
        <v>0</v>
      </c>
      <c r="LU71" s="57">
        <f>IF(OR(AND(LI$6=1,$L71=0),AND(LI$6=2,$K71=2,$G71=1)),0,IF(AND(LK$9=2,(OR($F71&gt;1,$K71=1,AND($L71=80,OR($N71=1,AND($N71=2,'#BerechnungDBE'!$AL62&gt;0)))))),IF(LI$4&gt;=$AD$126,0,LS71),IF(LK$9=3,IF(OR(LI$4&gt;=$AD$127,AND($G71=1,$J71=2,LI$6=2),AND(LI$6=1,$N71&lt;&gt;1)),0,IF(LM71&lt;=120,LS71,IF(LI$4&lt;$AD$124,IF($F71=1,60/LK$4*LK$6,60/LK$4*LK$7),IF($F71=1,120/LK$4*LK$6,120/LK$4*LK$7)))),IF(OR($F71=3,$G71=2),IF(OR(AND(LI$4&gt;=$AD$119,$C71=2),AND(LI$4&gt;=$AF$119,$C71=1)),0,IF(LM71&lt;=60,LS71,60/LK$4*LK$7)),IF(AND($F71=2,$G71=1),LS71,0)))))</f>
        <v>0</v>
      </c>
      <c r="LV71" s="57" t="str">
        <f t="shared" si="130"/>
        <v/>
      </c>
      <c r="LW71" s="57" t="str">
        <f t="shared" si="444"/>
        <v/>
      </c>
      <c r="LX71" s="713">
        <f>'org. Düngung 22'!CN70</f>
        <v>0</v>
      </c>
      <c r="LY71" s="57"/>
      <c r="LZ71" s="57"/>
      <c r="MA71" s="57">
        <f t="shared" si="132"/>
        <v>0</v>
      </c>
      <c r="MB71" s="57">
        <f t="shared" si="298"/>
        <v>0</v>
      </c>
      <c r="MC71" s="57">
        <f t="shared" si="299"/>
        <v>0</v>
      </c>
      <c r="MD71" s="57">
        <f t="shared" si="300"/>
        <v>0</v>
      </c>
      <c r="ME71" s="57">
        <f t="shared" si="301"/>
        <v>0</v>
      </c>
      <c r="MF71" s="1029">
        <f t="shared" si="445"/>
        <v>0</v>
      </c>
      <c r="MG71" s="57">
        <f t="shared" si="446"/>
        <v>0</v>
      </c>
      <c r="MH71" s="171" t="str">
        <f t="shared" si="447"/>
        <v/>
      </c>
      <c r="MI71" s="57">
        <f t="shared" si="302"/>
        <v>0</v>
      </c>
      <c r="MJ71" s="57">
        <f>IF(OR(AND(LX$6=1,$L71=0),AND(LX$6=2,$K71=2,$G71=1)),0,IF(AND(LZ$9=2,(OR($F71&gt;1,$K71=1,AND($L71=80,OR($N71=1,AND($N71=2,'#BerechnungDBE'!$AL62&gt;0)))))),IF(LX$4&gt;=$AD$126,0,MH71),IF(LZ$9=3,IF(OR(LX$4&gt;=$AD$127,AND($G71=1,$J71=2,LX$6=2),AND(LX$6=1,$N71&lt;&gt;1)),0,IF(MB71&lt;=120,MH71,IF(LX$4&lt;$AD$124,IF($F71=1,60/LZ$4*LZ$6,60/LZ$4*LZ$7),IF($F71=1,120/LZ$4*LZ$6,120/LZ$4*LZ$7)))),IF(OR($F71=3,$G71=2),IF(OR(AND(LX$4&gt;=$AD$119,$C71=2),AND(LX$4&gt;=$AF$119,$C71=1)),0,IF(MB71&lt;=60,MH71,60/LZ$4*LZ$7)),IF(AND($F71=2,$G71=1),MH71,0)))))</f>
        <v>0</v>
      </c>
      <c r="MK71" s="57" t="str">
        <f t="shared" si="136"/>
        <v/>
      </c>
      <c r="ML71" s="57" t="str">
        <f t="shared" si="448"/>
        <v/>
      </c>
      <c r="MM71" s="713">
        <f>'org. Düngung 22'!CR70</f>
        <v>0</v>
      </c>
      <c r="MN71" s="57"/>
      <c r="MO71" s="57"/>
      <c r="MP71" s="57">
        <f t="shared" si="138"/>
        <v>0</v>
      </c>
      <c r="MQ71" s="57">
        <f t="shared" si="303"/>
        <v>0</v>
      </c>
      <c r="MR71" s="57">
        <f t="shared" si="304"/>
        <v>0</v>
      </c>
      <c r="MS71" s="57">
        <f t="shared" si="305"/>
        <v>0</v>
      </c>
      <c r="MT71" s="57">
        <f t="shared" si="306"/>
        <v>0</v>
      </c>
      <c r="MU71" s="1029">
        <f t="shared" si="449"/>
        <v>0</v>
      </c>
      <c r="MV71" s="57">
        <f t="shared" si="450"/>
        <v>0</v>
      </c>
      <c r="MW71" s="171" t="str">
        <f t="shared" si="451"/>
        <v/>
      </c>
      <c r="MX71" s="57">
        <f t="shared" si="307"/>
        <v>0</v>
      </c>
      <c r="MY71" s="57">
        <f>IF(OR(AND(MM$6=1,$L71=0),AND(MM$6=2,$K71=2,$G71=1)),0,IF(AND(MO$9=2,(OR($F71&gt;1,$K71=1,AND($L71=80,OR($N71=1,AND($N71=2,'#BerechnungDBE'!$AL62&gt;0)))))),IF(MM$4&gt;=$AD$126,0,MW71),IF(MO$9=3,IF(OR(MM$4&gt;=$AD$127,AND($G71=1,$J71=2,MM$6=2),AND(MM$6=1,$N71&lt;&gt;1)),0,IF(MQ71&lt;=120,MW71,IF(MM$4&lt;$AD$124,IF($F71=1,60/MO$4*MO$6,60/MO$4*MO$7),IF($F71=1,120/MO$4*MO$6,120/MO$4*MO$7)))),IF(OR($F71=3,$G71=2),IF(OR(AND(MM$4&gt;=$AD$119,$C71=2),AND(MM$4&gt;=$AF$119,$C71=1)),0,IF(MQ71&lt;=60,MW71,60/MO$4*MO$7)),IF(AND($F71=2,$G71=1),MW71,0)))))</f>
        <v>0</v>
      </c>
      <c r="MZ71" s="57" t="str">
        <f t="shared" si="142"/>
        <v/>
      </c>
      <c r="NA71" s="57" t="str">
        <f t="shared" si="452"/>
        <v/>
      </c>
      <c r="NB71" s="713">
        <f>'org. Düngung 22'!CV70</f>
        <v>0</v>
      </c>
      <c r="NC71" s="57"/>
      <c r="ND71" s="57"/>
      <c r="NE71" s="57">
        <f t="shared" si="144"/>
        <v>0</v>
      </c>
      <c r="NF71" s="57">
        <f t="shared" si="308"/>
        <v>0</v>
      </c>
      <c r="NG71" s="57">
        <f t="shared" si="309"/>
        <v>0</v>
      </c>
      <c r="NH71" s="57">
        <f t="shared" si="310"/>
        <v>0</v>
      </c>
      <c r="NI71" s="57">
        <f t="shared" si="311"/>
        <v>0</v>
      </c>
      <c r="NJ71" s="1029">
        <f t="shared" si="453"/>
        <v>0</v>
      </c>
      <c r="NK71" s="57">
        <f t="shared" si="454"/>
        <v>0</v>
      </c>
      <c r="NL71" s="171" t="str">
        <f t="shared" si="455"/>
        <v/>
      </c>
      <c r="NM71" s="57">
        <f t="shared" si="312"/>
        <v>0</v>
      </c>
      <c r="NN71" s="57">
        <f>IF(OR(AND(NB$6=1,$L71=0),AND(NB$6=2,$K71=2,$G71=1)),0,IF(AND(ND$9=2,(OR($F71&gt;1,$K71=1,AND($L71=80,OR($N71=1,AND($N71=2,'#BerechnungDBE'!$AL62&gt;0)))))),IF(NB$4&gt;=$AD$126,0,NL71),IF(ND$9=3,IF(OR(NB$4&gt;=$AD$127,AND($G71=1,$J71=2,NB$6=2),AND(NB$6=1,$N71&lt;&gt;1)),0,IF(NF71&lt;=120,NL71,IF(NB$4&lt;$AD$124,IF($F71=1,60/ND$4*ND$6,60/ND$4*ND$7),IF($F71=1,120/ND$4*ND$6,120/ND$4*ND$7)))),IF(OR($F71=3,$G71=2),IF(OR(AND(NB$4&gt;=$AD$119,$C71=2),AND(NB$4&gt;=$AF$119,$C71=1)),0,IF(NF71&lt;=60,NL71,60/ND$4*ND$7)),IF(AND($F71=2,$G71=1),NL71,0)))))</f>
        <v>0</v>
      </c>
      <c r="NO71" s="57" t="str">
        <f t="shared" si="148"/>
        <v/>
      </c>
      <c r="NP71" s="57" t="str">
        <f t="shared" si="456"/>
        <v/>
      </c>
      <c r="NQ71" s="713">
        <f>'org. Düngung 22'!CZ70</f>
        <v>0</v>
      </c>
      <c r="NR71" s="57"/>
      <c r="NS71" s="57"/>
      <c r="NT71" s="57">
        <f t="shared" si="150"/>
        <v>0</v>
      </c>
      <c r="NU71" s="57">
        <f t="shared" si="313"/>
        <v>0</v>
      </c>
      <c r="NV71" s="57">
        <f t="shared" si="314"/>
        <v>0</v>
      </c>
      <c r="NW71" s="57">
        <f t="shared" si="315"/>
        <v>0</v>
      </c>
      <c r="NX71" s="57">
        <f t="shared" si="316"/>
        <v>0</v>
      </c>
      <c r="NY71" s="1029">
        <f t="shared" si="457"/>
        <v>0</v>
      </c>
      <c r="NZ71" s="57">
        <f t="shared" si="458"/>
        <v>0</v>
      </c>
      <c r="OA71" s="171" t="str">
        <f t="shared" si="459"/>
        <v/>
      </c>
      <c r="OB71" s="57">
        <f t="shared" si="317"/>
        <v>0</v>
      </c>
      <c r="OC71" s="57">
        <f>IF(OR(AND(NQ$6=1,$L71=0),AND(NQ$6=2,$K71=2,$G71=1)),0,IF(AND(NS$9=2,(OR($F71&gt;1,$K71=1,AND($L71=80,OR($N71=1,AND($N71=2,'#BerechnungDBE'!$AL62&gt;0)))))),IF(NQ$4&gt;=$AD$126,0,OA71),IF(NS$9=3,IF(OR(NQ$4&gt;=$AD$127,AND($G71=1,$J71=2,NQ$6=2),AND(NQ$6=1,$N71&lt;&gt;1)),0,IF(NU71&lt;=120,OA71,IF(NQ$4&lt;$AD$124,IF($F71=1,60/NS$4*NS$6,60/NS$4*NS$7),IF($F71=1,120/NS$4*NS$6,120/NS$4*NS$7)))),IF(OR($F71=3,$G71=2),IF(OR(AND(NQ$4&gt;=$AD$119,$C71=2),AND(NQ$4&gt;=$AF$119,$C71=1)),0,IF(NU71&lt;=60,OA71,60/NS$4*NS$7)),IF(AND($F71=2,$G71=1),OA71,0)))))</f>
        <v>0</v>
      </c>
      <c r="OD71" s="57" t="str">
        <f t="shared" si="154"/>
        <v/>
      </c>
      <c r="OE71" s="57" t="str">
        <f t="shared" si="460"/>
        <v/>
      </c>
      <c r="OF71" s="713">
        <f>'org. Düngung 22'!DD70</f>
        <v>0</v>
      </c>
      <c r="OG71" s="57"/>
      <c r="OH71" s="57"/>
      <c r="OI71" s="57">
        <f t="shared" si="156"/>
        <v>0</v>
      </c>
      <c r="OJ71" s="57">
        <f t="shared" si="318"/>
        <v>0</v>
      </c>
      <c r="OK71" s="57">
        <f t="shared" si="319"/>
        <v>0</v>
      </c>
      <c r="OL71" s="57">
        <f t="shared" si="320"/>
        <v>0</v>
      </c>
      <c r="OM71" s="57">
        <f t="shared" si="321"/>
        <v>0</v>
      </c>
      <c r="ON71" s="1029">
        <f t="shared" si="461"/>
        <v>0</v>
      </c>
      <c r="OO71" s="57">
        <f t="shared" si="462"/>
        <v>0</v>
      </c>
      <c r="OP71" s="171" t="str">
        <f t="shared" si="463"/>
        <v/>
      </c>
      <c r="OQ71" s="57">
        <f t="shared" si="322"/>
        <v>0</v>
      </c>
      <c r="OR71" s="57">
        <f>IF(OR(AND(OF$6=1,$L71=0),AND(OF$6=2,$K71=2,$G71=1)),0,IF(AND(OH$9=2,(OR($F71&gt;1,$K71=1,AND($L71=80,OR($N71=1,AND($N71=2,'#BerechnungDBE'!$AL62&gt;0)))))),IF(OF$4&gt;=$AD$126,0,OP71),IF(OH$9=3,IF(OR(OF$4&gt;=$AD$127,AND($G71=1,$J71=2,OF$6=2),AND(OF$6=1,$N71&lt;&gt;1)),0,IF(OJ71&lt;=120,OP71,IF(OF$4&lt;$AD$124,IF($F71=1,60/OH$4*OH$6,60/OH$4*OH$7),IF($F71=1,120/OH$4*OH$6,120/OH$4*OH$7)))),IF(OR($F71=3,$G71=2),IF(OR(AND(OF$4&gt;=$AD$119,$C71=2),AND(OF$4&gt;=$AF$119,$C71=1)),0,IF(OJ71&lt;=60,OP71,60/OH$4*OH$7)),IF(AND($F71=2,$G71=1),OP71,0)))))</f>
        <v>0</v>
      </c>
      <c r="OS71" s="57" t="str">
        <f t="shared" si="160"/>
        <v/>
      </c>
      <c r="OT71" s="57" t="str">
        <f t="shared" si="464"/>
        <v/>
      </c>
      <c r="OU71" s="713">
        <f>'org. Düngung 22'!DH70</f>
        <v>0</v>
      </c>
      <c r="OV71" s="57"/>
      <c r="OW71" s="57"/>
      <c r="OX71" s="57">
        <f t="shared" si="162"/>
        <v>0</v>
      </c>
      <c r="OY71" s="57">
        <f t="shared" si="323"/>
        <v>0</v>
      </c>
      <c r="OZ71" s="57">
        <f t="shared" si="324"/>
        <v>0</v>
      </c>
      <c r="PA71" s="57">
        <f t="shared" si="325"/>
        <v>0</v>
      </c>
      <c r="PB71" s="57">
        <f t="shared" si="326"/>
        <v>0</v>
      </c>
      <c r="PC71" s="1029">
        <f t="shared" si="465"/>
        <v>0</v>
      </c>
      <c r="PD71" s="57">
        <f t="shared" si="466"/>
        <v>0</v>
      </c>
      <c r="PE71" s="171" t="str">
        <f t="shared" si="467"/>
        <v/>
      </c>
      <c r="PF71" s="57">
        <f t="shared" si="327"/>
        <v>0</v>
      </c>
      <c r="PG71" s="57">
        <f>IF(OR(AND(OU$6=1,$L71=0),AND(OU$6=2,$K71=2,$G71=1)),0,IF(AND(OW$9=2,(OR($F71&gt;1,$K71=1,AND($L71=80,OR($N71=1,AND($N71=2,'#BerechnungDBE'!$AL62&gt;0)))))),IF(OU$4&gt;=$AD$126,0,PE71),IF(OW$9=3,IF(OR(OU$4&gt;=$AD$127,AND($G71=1,$J71=2,OU$6=2),AND(OU$6=1,$N71&lt;&gt;1)),0,IF(OY71&lt;=120,PE71,IF(OU$4&lt;$AD$124,IF($F71=1,60/OW$4*OW$6,60/OW$4*OW$7),IF($F71=1,120/OW$4*OW$6,120/OW$4*OW$7)))),IF(OR($F71=3,$G71=2),IF(OR(AND(OU$4&gt;=$AD$119,$C71=2),AND(OU$4&gt;=$AF$119,$C71=1)),0,IF(OY71&lt;=60,PE71,60/OW$4*OW$7)),IF(AND($F71=2,$G71=1),PE71,0)))))</f>
        <v>0</v>
      </c>
      <c r="PH71" s="57" t="str">
        <f t="shared" si="166"/>
        <v/>
      </c>
      <c r="PI71" s="57" t="str">
        <f t="shared" si="468"/>
        <v/>
      </c>
      <c r="PJ71" s="713">
        <f>'org. Düngung 22'!DL70</f>
        <v>0</v>
      </c>
      <c r="PK71" s="57"/>
      <c r="PL71" s="57"/>
      <c r="PM71" s="57">
        <f t="shared" si="168"/>
        <v>0</v>
      </c>
      <c r="PN71" s="57">
        <f t="shared" si="328"/>
        <v>0</v>
      </c>
      <c r="PO71" s="57">
        <f t="shared" si="329"/>
        <v>0</v>
      </c>
      <c r="PP71" s="57">
        <f t="shared" si="330"/>
        <v>0</v>
      </c>
      <c r="PQ71" s="57">
        <f t="shared" si="331"/>
        <v>0</v>
      </c>
      <c r="PR71" s="1029">
        <f t="shared" si="469"/>
        <v>0</v>
      </c>
      <c r="PS71" s="57">
        <f t="shared" si="470"/>
        <v>0</v>
      </c>
      <c r="PT71" s="171" t="str">
        <f t="shared" si="471"/>
        <v/>
      </c>
      <c r="PU71" s="57">
        <f t="shared" si="332"/>
        <v>0</v>
      </c>
      <c r="PV71" s="57">
        <f>IF(OR(AND(PJ$6=1,$L71=0),AND(PJ$6=2,$K71=2,$G71=1)),0,IF(AND(PL$9=2,(OR($F71&gt;1,$K71=1,AND($L71=80,OR($N71=1,AND($N71=2,'#BerechnungDBE'!$AL62&gt;0)))))),IF(PJ$4&gt;=$AD$126,0,PT71),IF(PL$9=3,IF(OR(PJ$4&gt;=$AD$127,AND($G71=1,$J71=2,PJ$6=2),AND(PJ$6=1,$N71&lt;&gt;1)),0,IF(PN71&lt;=120,PT71,IF(PJ$4&lt;$AD$124,IF($F71=1,60/PL$4*PL$6,60/PL$4*PL$7),IF($F71=1,120/PL$4*PL$6,120/PL$4*PL$7)))),IF(OR($F71=3,$G71=2),IF(OR(AND(PJ$4&gt;=$AD$119,$C71=2),AND(PJ$4&gt;=$AF$119,$C71=1)),0,IF(PN71&lt;=60,PT71,60/PL$4*PL$7)),IF(AND($F71=2,$G71=1),PT71,0)))))</f>
        <v>0</v>
      </c>
      <c r="PW71" s="57" t="str">
        <f t="shared" si="172"/>
        <v/>
      </c>
      <c r="PX71" s="57" t="str">
        <f t="shared" si="472"/>
        <v/>
      </c>
      <c r="PY71" s="713">
        <f>'org. Düngung 22'!DP70</f>
        <v>0</v>
      </c>
      <c r="PZ71" s="57"/>
      <c r="QA71" s="57"/>
      <c r="QB71" s="57">
        <f t="shared" si="174"/>
        <v>0</v>
      </c>
      <c r="QC71" s="57">
        <f t="shared" si="333"/>
        <v>0</v>
      </c>
      <c r="QD71" s="57">
        <f t="shared" si="334"/>
        <v>0</v>
      </c>
      <c r="QE71" s="57">
        <f t="shared" si="335"/>
        <v>0</v>
      </c>
      <c r="QF71" s="57">
        <f t="shared" si="336"/>
        <v>0</v>
      </c>
      <c r="QG71" s="1029">
        <f t="shared" si="473"/>
        <v>0</v>
      </c>
      <c r="QH71" s="57">
        <f t="shared" si="474"/>
        <v>0</v>
      </c>
      <c r="QI71" s="171" t="str">
        <f t="shared" si="475"/>
        <v/>
      </c>
      <c r="QJ71" s="57">
        <f t="shared" si="337"/>
        <v>0</v>
      </c>
      <c r="QK71" s="57">
        <f>IF(OR(AND(PY$6=1,$L71=0),AND(PY$6=2,$K71=2,$G71=1)),0,IF(AND(QA$9=2,(OR($F71&gt;1,$K71=1,AND($L71=80,OR($N71=1,AND($N71=2,'#BerechnungDBE'!$AL62&gt;0)))))),IF(PY$4&gt;=$AD$126,0,QI71),IF(QA$9=3,IF(OR(PY$4&gt;=$AD$127,AND($G71=1,$J71=2,PY$6=2),AND(PY$6=1,$N71&lt;&gt;1)),0,IF(QC71&lt;=120,QI71,IF(PY$4&lt;$AD$124,IF($F71=1,60/QA$4*QA$6,60/QA$4*QA$7),IF($F71=1,120/QA$4*QA$6,120/QA$4*QA$7)))),IF(OR($F71=3,$G71=2),IF(OR(AND(PY$4&gt;=$AD$119,$C71=2),AND(PY$4&gt;=$AF$119,$C71=1)),0,IF(QC71&lt;=60,QI71,60/QA$4*QA$7)),IF(AND($F71=2,$G71=1),QI71,0)))))</f>
        <v>0</v>
      </c>
      <c r="QL71" s="57" t="str">
        <f t="shared" si="178"/>
        <v/>
      </c>
      <c r="QM71" s="57" t="str">
        <f t="shared" si="476"/>
        <v/>
      </c>
      <c r="QN71" s="713">
        <f>'org. Düngung 22'!DT70</f>
        <v>0</v>
      </c>
      <c r="QO71" s="57"/>
      <c r="QP71" s="57"/>
      <c r="QQ71" s="57">
        <f t="shared" si="180"/>
        <v>0</v>
      </c>
      <c r="QR71" s="57">
        <f t="shared" si="338"/>
        <v>0</v>
      </c>
      <c r="QS71" s="57">
        <f t="shared" si="339"/>
        <v>0</v>
      </c>
      <c r="QT71" s="57">
        <f t="shared" si="340"/>
        <v>0</v>
      </c>
      <c r="QU71" s="57">
        <f t="shared" si="341"/>
        <v>0</v>
      </c>
      <c r="QV71" s="1029">
        <f t="shared" si="477"/>
        <v>0</v>
      </c>
      <c r="QW71" s="57">
        <f t="shared" si="478"/>
        <v>0</v>
      </c>
      <c r="QX71" s="171" t="str">
        <f t="shared" si="479"/>
        <v/>
      </c>
      <c r="QY71" s="57">
        <f t="shared" si="342"/>
        <v>0</v>
      </c>
      <c r="QZ71" s="57">
        <f>IF(OR(AND(QN$6=1,$L71=0),AND(QN$6=2,$K71=2,$G71=1)),0,IF(AND(QP$9=2,(OR($F71&gt;1,$K71=1,AND($L71=80,OR($N71=1,AND($N71=2,'#BerechnungDBE'!$AL62&gt;0)))))),IF(QN$4&gt;=$AD$126,0,QX71),IF(QP$9=3,IF(OR(QN$4&gt;=$AD$127,AND($G71=1,$J71=2,QN$6=2),AND(QN$6=1,$N71&lt;&gt;1)),0,IF(QR71&lt;=120,QX71,IF(QN$4&lt;$AD$124,IF($F71=1,60/QP$4*QP$6,60/QP$4*QP$7),IF($F71=1,120/QP$4*QP$6,120/QP$4*QP$7)))),IF(OR($F71=3,$G71=2),IF(OR(AND(QN$4&gt;=$AD$119,$C71=2),AND(QN$4&gt;=$AF$119,$C71=1)),0,IF(QR71&lt;=60,QX71,60/QP$4*QP$7)),IF(AND($F71=2,$G71=1),QX71,0)))))</f>
        <v>0</v>
      </c>
      <c r="RA71" s="57" t="str">
        <f t="shared" si="184"/>
        <v/>
      </c>
      <c r="RB71" s="57" t="str">
        <f t="shared" si="480"/>
        <v/>
      </c>
      <c r="RC71" s="713">
        <f>'org. Düngung 22'!DX70</f>
        <v>0</v>
      </c>
      <c r="RD71" s="57"/>
      <c r="RE71" s="57"/>
      <c r="RF71" s="57">
        <f t="shared" si="186"/>
        <v>0</v>
      </c>
      <c r="RG71" s="57">
        <f t="shared" si="343"/>
        <v>0</v>
      </c>
      <c r="RH71" s="57">
        <f t="shared" si="344"/>
        <v>0</v>
      </c>
      <c r="RI71" s="57">
        <f t="shared" si="345"/>
        <v>0</v>
      </c>
      <c r="RJ71" s="57">
        <f t="shared" si="346"/>
        <v>0</v>
      </c>
      <c r="RK71" s="1029">
        <f t="shared" si="481"/>
        <v>0</v>
      </c>
      <c r="RL71" s="57">
        <f t="shared" si="482"/>
        <v>0</v>
      </c>
      <c r="RM71" s="171" t="str">
        <f t="shared" si="483"/>
        <v/>
      </c>
      <c r="RN71" s="57">
        <f t="shared" si="347"/>
        <v>0</v>
      </c>
      <c r="RO71" s="57">
        <f>IF(OR(AND(RC$6=1,$L71=0),AND(RC$6=2,$K71=2,$G71=1)),0,IF(AND(RE$9=2,(OR($F71&gt;1,$K71=1,AND($L71=80,OR($N71=1,AND($N71=2,'#BerechnungDBE'!$AL62&gt;0)))))),IF(RC$4&gt;=$AD$126,0,RM71),IF(RE$9=3,IF(OR(RC$4&gt;=$AD$127,AND($G71=1,$J71=2,RC$6=2),AND(RC$6=1,$N71&lt;&gt;1)),0,IF(RG71&lt;=120,RM71,IF(RC$4&lt;$AD$124,IF($F71=1,60/RE$4*RE$6,60/RE$4*RE$7),IF($F71=1,120/RE$4*RE$6,120/RE$4*RE$7)))),IF(OR($F71=3,$G71=2),IF(OR(AND(RC$4&gt;=$AD$119,$C71=2),AND(RC$4&gt;=$AF$119,$C71=1)),0,IF(RG71&lt;=60,RM71,60/RE$4*RE$7)),IF(AND($F71=2,$G71=1),RM71,0)))))</f>
        <v>0</v>
      </c>
      <c r="RP71" s="57" t="str">
        <f t="shared" si="190"/>
        <v/>
      </c>
      <c r="RQ71" s="57" t="str">
        <f t="shared" si="484"/>
        <v/>
      </c>
      <c r="RS71" s="57" t="str">
        <f t="shared" si="488"/>
        <v/>
      </c>
      <c r="RT71" s="57" t="str">
        <f t="shared" si="485"/>
        <v/>
      </c>
      <c r="RU71" s="57" t="str">
        <f t="shared" si="486"/>
        <v/>
      </c>
      <c r="RV71" s="57" t="str">
        <f>IF(Z71&gt;'#BerechnungDBE'!BM62,$RV$9,"")</f>
        <v/>
      </c>
      <c r="RW71" s="57" t="str">
        <f>IF(AND(L71=70,AE71&gt;'#BerechnungDBE'!CQ62),$RW$9,"")</f>
        <v/>
      </c>
      <c r="RX71" s="57" t="str">
        <f>IF(OR('org. Düngung 22'!G70="--",'org. Düngung 22'!G70&lt;=170,'org. Düngung 22'!G70=""),"",$RX$9)</f>
        <v/>
      </c>
      <c r="RY71" s="57" t="str">
        <f>IF('org. Düngung 22'!K70&gt;120,'#orgDung'!$RY$9,"")</f>
        <v/>
      </c>
      <c r="RZ71" s="57" t="str">
        <f>IF('#BerechnungDBE'!P62&lt;4,"",IF(AND('#BerechnungDBE'!BZ62&gt;0,T71&gt;0),'#orgDung'!$RZ$9,""))</f>
        <v/>
      </c>
      <c r="SA71" s="57" t="str">
        <f t="shared" si="487"/>
        <v/>
      </c>
    </row>
    <row r="72" spans="1:495" s="875" customFormat="1" x14ac:dyDescent="0.2">
      <c r="A72" s="875">
        <f>'Flächen u. Kulturen'!A68</f>
        <v>59</v>
      </c>
      <c r="B72" s="367">
        <f>'#BerechnungDBE'!L63</f>
        <v>0</v>
      </c>
      <c r="C72" s="875">
        <f>'#BerechnungDBE'!R63</f>
        <v>1</v>
      </c>
      <c r="D72" s="875">
        <f>'#BerechnungDBE'!T63</f>
        <v>2</v>
      </c>
      <c r="E72" s="875" t="str">
        <f>'Flächen u. Kulturen'!E68</f>
        <v>x</v>
      </c>
      <c r="F72" s="52">
        <f>'#BerechnungDBE'!N63</f>
        <v>1</v>
      </c>
      <c r="G72" s="52">
        <f>'#BerechnungDBE'!O63</f>
        <v>1</v>
      </c>
      <c r="H72" s="875">
        <f>IF('Flächen u. Kulturen'!P68="",0,VLOOKUP('Flächen u. Kulturen'!P68,Kulturen[[HF]:[Berechnungsgruppe]],'#Frucht'!$H$1,FALSE))</f>
        <v>0</v>
      </c>
      <c r="I72" s="875">
        <f>IF('Flächen u. Kulturen'!J68="",0,VLOOKUP('Flächen u. Kulturen'!J68,Kulturen[[HF]:[Berechnungsgruppe]],'#Frucht'!$G$1,FALSE))</f>
        <v>90</v>
      </c>
      <c r="J72" s="505">
        <f t="shared" si="195"/>
        <v>2</v>
      </c>
      <c r="K72" s="505">
        <f>IF('Flächen u. Kulturen'!P68="",0,IF(VLOOKUP('Flächen u. Kulturen'!P68,Kulturen[[HF]:[Saat Winterungen]],'#Frucht'!$P$1,FALSE)&gt;0,1,2))</f>
        <v>2</v>
      </c>
      <c r="L72" s="875">
        <f>'#BerechnungDBE'!AF63</f>
        <v>0</v>
      </c>
      <c r="M72" s="875">
        <f>IF('Flächen u. Kulturen'!L68="",0,VLOOKUP('Flächen u. Kulturen'!L68,Nebenkultur[[Nebenkultur]:[Legum. Zwischenfr.]],'#Zweitfr'!$K$1,FALSE))</f>
        <v>0</v>
      </c>
      <c r="N72" s="875">
        <f>'#BerechnungDBE'!AG63</f>
        <v>0</v>
      </c>
      <c r="P72" s="57">
        <f t="shared" si="353"/>
        <v>0</v>
      </c>
      <c r="Q72" s="57">
        <f t="shared" si="354"/>
        <v>0</v>
      </c>
      <c r="R72" s="875">
        <f t="shared" si="355"/>
        <v>0</v>
      </c>
      <c r="S72" s="938" t="str">
        <f t="shared" si="3"/>
        <v/>
      </c>
      <c r="T72" s="875">
        <f t="shared" si="356"/>
        <v>0</v>
      </c>
      <c r="U72" s="875">
        <f t="shared" si="357"/>
        <v>0</v>
      </c>
      <c r="V72" s="875">
        <f t="shared" si="358"/>
        <v>0</v>
      </c>
      <c r="W72" s="875">
        <f t="shared" si="359"/>
        <v>0</v>
      </c>
      <c r="X72" s="875">
        <f t="shared" si="360"/>
        <v>0</v>
      </c>
      <c r="Y72" s="875">
        <f t="shared" si="349"/>
        <v>0</v>
      </c>
      <c r="Z72" s="875">
        <f t="shared" si="350"/>
        <v>0</v>
      </c>
      <c r="AA72" s="910">
        <f t="shared" si="361"/>
        <v>0</v>
      </c>
      <c r="AB72" s="57">
        <f t="shared" si="351"/>
        <v>0</v>
      </c>
      <c r="AC72" s="875">
        <f t="shared" si="362"/>
        <v>0</v>
      </c>
      <c r="AD72" s="875">
        <f t="shared" si="363"/>
        <v>0</v>
      </c>
      <c r="AE72" s="875">
        <f t="shared" si="364"/>
        <v>0</v>
      </c>
      <c r="AF72" s="875">
        <f t="shared" si="352"/>
        <v>0</v>
      </c>
      <c r="AG72" s="875">
        <f>'org. Düngung 22'!J71</f>
        <v>0</v>
      </c>
      <c r="AH72" s="875">
        <f>'org. Düngung 22'!K71</f>
        <v>0</v>
      </c>
      <c r="AJ72" s="713">
        <f>'org. Düngung 22'!L71</f>
        <v>0</v>
      </c>
      <c r="AK72" s="57"/>
      <c r="AL72" s="57"/>
      <c r="AM72" s="57">
        <f t="shared" si="196"/>
        <v>0</v>
      </c>
      <c r="AN72" s="57">
        <f t="shared" si="197"/>
        <v>0</v>
      </c>
      <c r="AO72" s="57">
        <f t="shared" si="198"/>
        <v>0</v>
      </c>
      <c r="AP72" s="57">
        <f t="shared" si="199"/>
        <v>0</v>
      </c>
      <c r="AQ72" s="57">
        <f t="shared" si="200"/>
        <v>0</v>
      </c>
      <c r="AR72" s="1029">
        <f t="shared" si="365"/>
        <v>0</v>
      </c>
      <c r="AS72" s="57">
        <f t="shared" si="366"/>
        <v>0</v>
      </c>
      <c r="AT72" s="171" t="str">
        <f t="shared" si="367"/>
        <v/>
      </c>
      <c r="AU72" s="57">
        <f t="shared" si="201"/>
        <v>0</v>
      </c>
      <c r="AV72" s="57">
        <f>IF(OR(AND(AJ$6=1,$L72=0),AND(AJ$6=2,$K72=2,$G72=1)),0,IF(AND(AL$9=2,(OR($F72&gt;1,$K72=1,AND($L72=80,OR($N72=1,AND($N72=2,'#BerechnungDBE'!$AL63&gt;0)))))),IF(AJ$4&gt;=$AD$126,0,AT72),IF(AL$9=3,IF(OR(AJ$4&gt;=$AD$127,AND($G72=1,$J72=2,AJ$6=2),AND(AJ$6=1,$N72&lt;&gt;1)),0,IF(AN72&lt;=120,AT72,IF(AJ$4&lt;$AD$124,IF($F72=1,60/AL$4*AL$6,60/AL$4*AL$7),IF($F72=1,120/AL$4*AL$6,120/AL$4*AL$7)))),IF(OR($F72=3,$G72=2),IF(OR(AND(AJ$4&gt;=$AD$119,$C72=2),AND(AJ$4&gt;=$AF$119,$C72=1)),0,IF(AN72&lt;=60,AT72,60/AL$4*AL$7)),IF(AND($F72=2,$G72=1),AT72,0)))))</f>
        <v>0</v>
      </c>
      <c r="AW72" s="57" t="str">
        <f t="shared" si="202"/>
        <v/>
      </c>
      <c r="AX72" s="57" t="str">
        <f t="shared" si="368"/>
        <v/>
      </c>
      <c r="AY72" s="713">
        <f>'org. Düngung 22'!P71</f>
        <v>0</v>
      </c>
      <c r="AZ72" s="57"/>
      <c r="BA72" s="57"/>
      <c r="BB72" s="57">
        <f t="shared" si="18"/>
        <v>0</v>
      </c>
      <c r="BC72" s="57">
        <f t="shared" si="203"/>
        <v>0</v>
      </c>
      <c r="BD72" s="57">
        <f t="shared" si="204"/>
        <v>0</v>
      </c>
      <c r="BE72" s="57">
        <f t="shared" si="205"/>
        <v>0</v>
      </c>
      <c r="BF72" s="57">
        <f t="shared" si="206"/>
        <v>0</v>
      </c>
      <c r="BG72" s="1029">
        <f t="shared" si="369"/>
        <v>0</v>
      </c>
      <c r="BH72" s="57">
        <f t="shared" si="370"/>
        <v>0</v>
      </c>
      <c r="BI72" s="171" t="str">
        <f t="shared" si="371"/>
        <v/>
      </c>
      <c r="BJ72" s="57">
        <f t="shared" si="207"/>
        <v>0</v>
      </c>
      <c r="BK72" s="57">
        <f>IF(OR(AND(AY$6=1,$L72=0),AND(AY$6=2,$K72=2,$G72=1)),0,IF(AND(BA$9=2,(OR($F72&gt;1,$K72=1,AND($L72=80,OR($N72=1,AND($N72=2,'#BerechnungDBE'!$AL63&gt;0)))))),IF(AY$4&gt;=$AD$126,0,BI72),IF(BA$9=3,IF(OR(AY$4&gt;=$AD$127,AND($G72=1,$J72=2,AY$6=2),AND(AY$6=1,$N72&lt;&gt;1)),0,IF(BC72&lt;=120,BI72,IF(AY$4&lt;$AD$124,IF($F72=1,60/BA$4*BA$6,60/BA$4*BA$7),IF($F72=1,120/BA$4*BA$6,120/BA$4*BA$7)))),IF(OR($F72=3,$G72=2),IF(OR(AND(AY$4&gt;=$AD$119,$C72=2),AND(AY$4&gt;=$AF$119,$C72=1)),0,IF(BC72&lt;=60,BI72,60/BA$4*BA$7)),IF(AND($F72=2,$G72=1),BI72,0)))))</f>
        <v>0</v>
      </c>
      <c r="BL72" s="57" t="str">
        <f t="shared" si="22"/>
        <v/>
      </c>
      <c r="BM72" s="57" t="str">
        <f t="shared" si="372"/>
        <v/>
      </c>
      <c r="BN72" s="713">
        <f>'org. Düngung 22'!T71</f>
        <v>0</v>
      </c>
      <c r="BO72" s="57"/>
      <c r="BP72" s="57"/>
      <c r="BQ72" s="57">
        <f t="shared" si="24"/>
        <v>0</v>
      </c>
      <c r="BR72" s="57">
        <f t="shared" si="208"/>
        <v>0</v>
      </c>
      <c r="BS72" s="57">
        <f t="shared" si="209"/>
        <v>0</v>
      </c>
      <c r="BT72" s="57">
        <f t="shared" si="210"/>
        <v>0</v>
      </c>
      <c r="BU72" s="57">
        <f t="shared" si="211"/>
        <v>0</v>
      </c>
      <c r="BV72" s="1029">
        <f t="shared" si="373"/>
        <v>0</v>
      </c>
      <c r="BW72" s="57">
        <f t="shared" si="374"/>
        <v>0</v>
      </c>
      <c r="BX72" s="171" t="str">
        <f t="shared" si="375"/>
        <v/>
      </c>
      <c r="BY72" s="57">
        <f t="shared" si="212"/>
        <v>0</v>
      </c>
      <c r="BZ72" s="57">
        <f>IF(OR(AND(BN$6=1,$L72=0),AND(BN$6=2,$K72=2,$G72=1)),0,IF(AND(BP$9=2,(OR($F72&gt;1,$K72=1,AND($L72=80,OR($N72=1,AND($N72=2,'#BerechnungDBE'!$AL63&gt;0)))))),IF(BN$4&gt;=$AD$126,0,BX72),IF(BP$9=3,IF(OR(BN$4&gt;=$AD$127,AND($G72=1,$J72=2,BN$6=2),AND(BN$6=1,$N72&lt;&gt;1)),0,IF(BR72&lt;=120,BX72,IF(BN$4&lt;$AD$124,IF($F72=1,60/BP$4*BP$6,60/BP$4*BP$7),IF($F72=1,120/BP$4*BP$6,120/BP$4*BP$7)))),IF(OR($F72=3,$G72=2),IF(OR(AND(BN$4&gt;=$AD$119,$C72=2),AND(BN$4&gt;=$AF$119,$C72=1)),0,IF(BR72&lt;=60,BX72,60/BP$4*BP$7)),IF(AND($F72=2,$G72=1),BX72,0)))))</f>
        <v>0</v>
      </c>
      <c r="CA72" s="57" t="str">
        <f t="shared" si="28"/>
        <v/>
      </c>
      <c r="CB72" s="57" t="str">
        <f t="shared" si="376"/>
        <v/>
      </c>
      <c r="CC72" s="713">
        <f>'org. Düngung 22'!X71</f>
        <v>0</v>
      </c>
      <c r="CD72" s="57"/>
      <c r="CE72" s="57"/>
      <c r="CF72" s="57">
        <f t="shared" si="30"/>
        <v>0</v>
      </c>
      <c r="CG72" s="57">
        <f t="shared" si="213"/>
        <v>0</v>
      </c>
      <c r="CH72" s="57">
        <f t="shared" si="214"/>
        <v>0</v>
      </c>
      <c r="CI72" s="57">
        <f t="shared" si="215"/>
        <v>0</v>
      </c>
      <c r="CJ72" s="57">
        <f t="shared" si="216"/>
        <v>0</v>
      </c>
      <c r="CK72" s="1029">
        <f t="shared" si="377"/>
        <v>0</v>
      </c>
      <c r="CL72" s="57">
        <f t="shared" si="378"/>
        <v>0</v>
      </c>
      <c r="CM72" s="171" t="str">
        <f t="shared" si="379"/>
        <v/>
      </c>
      <c r="CN72" s="57">
        <f t="shared" si="217"/>
        <v>0</v>
      </c>
      <c r="CO72" s="57">
        <f>IF(OR(AND(CC$6=1,$L72=0),AND(CC$6=2,$K72=2,$G72=1)),0,IF(AND(CE$9=2,(OR($F72&gt;1,$K72=1,AND($L72=80,OR($N72=1,AND($N72=2,'#BerechnungDBE'!$AL63&gt;0)))))),IF(CC$4&gt;=$AD$126,0,CM72),IF(CE$9=3,IF(OR(CC$4&gt;=$AD$127,AND($G72=1,$J72=2,CC$6=2),AND(CC$6=1,$N72&lt;&gt;1)),0,IF(CG72&lt;=120,CM72,IF(CC$4&lt;$AD$124,IF($F72=1,60/CE$4*CE$6,60/CE$4*CE$7),IF($F72=1,120/CE$4*CE$6,120/CE$4*CE$7)))),IF(OR($F72=3,$G72=2),IF(OR(AND(CC$4&gt;=$AD$119,$C72=2),AND(CC$4&gt;=$AF$119,$C72=1)),0,IF(CG72&lt;=60,CM72,60/CE$4*CE$7)),IF(AND($F72=2,$G72=1),CM72,0)))))</f>
        <v>0</v>
      </c>
      <c r="CP72" s="57" t="str">
        <f t="shared" si="34"/>
        <v/>
      </c>
      <c r="CQ72" s="57" t="str">
        <f t="shared" si="380"/>
        <v/>
      </c>
      <c r="CR72" s="713">
        <f>'org. Düngung 22'!AB71</f>
        <v>0</v>
      </c>
      <c r="CS72" s="57"/>
      <c r="CT72" s="57"/>
      <c r="CU72" s="57">
        <f t="shared" si="36"/>
        <v>0</v>
      </c>
      <c r="CV72" s="57">
        <f t="shared" si="218"/>
        <v>0</v>
      </c>
      <c r="CW72" s="57">
        <f t="shared" si="219"/>
        <v>0</v>
      </c>
      <c r="CX72" s="57">
        <f t="shared" si="220"/>
        <v>0</v>
      </c>
      <c r="CY72" s="57">
        <f t="shared" si="221"/>
        <v>0</v>
      </c>
      <c r="CZ72" s="1029">
        <f t="shared" si="381"/>
        <v>0</v>
      </c>
      <c r="DA72" s="57">
        <f t="shared" si="382"/>
        <v>0</v>
      </c>
      <c r="DB72" s="171" t="str">
        <f t="shared" si="383"/>
        <v/>
      </c>
      <c r="DC72" s="57">
        <f t="shared" si="222"/>
        <v>0</v>
      </c>
      <c r="DD72" s="57">
        <f>IF(OR(AND(CR$6=1,$L72=0),AND(CR$6=2,$K72=2,$G72=1)),0,IF(AND(CT$9=2,(OR($F72&gt;1,$K72=1,AND($L72=80,OR($N72=1,AND($N72=2,'#BerechnungDBE'!$AL63&gt;0)))))),IF(CR$4&gt;=$AD$126,0,DB72),IF(CT$9=3,IF(OR(CR$4&gt;=$AD$127,AND($G72=1,$J72=2,CR$6=2),AND(CR$6=1,$N72&lt;&gt;1)),0,IF(CV72&lt;=120,DB72,IF(CR$4&lt;$AD$124,IF($F72=1,60/CT$4*CT$6,60/CT$4*CT$7),IF($F72=1,120/CT$4*CT$6,120/CT$4*CT$7)))),IF(OR($F72=3,$G72=2),IF(OR(AND(CR$4&gt;=$AD$119,$C72=2),AND(CR$4&gt;=$AF$119,$C72=1)),0,IF(CV72&lt;=60,DB72,60/CT$4*CT$7)),IF(AND($F72=2,$G72=1),DB72,0)))))</f>
        <v>0</v>
      </c>
      <c r="DE72" s="57" t="str">
        <f t="shared" si="40"/>
        <v/>
      </c>
      <c r="DF72" s="57" t="str">
        <f t="shared" si="384"/>
        <v/>
      </c>
      <c r="DG72" s="713">
        <f>'org. Düngung 22'!AF71</f>
        <v>0</v>
      </c>
      <c r="DH72" s="57"/>
      <c r="DI72" s="57"/>
      <c r="DJ72" s="57">
        <f t="shared" si="42"/>
        <v>0</v>
      </c>
      <c r="DK72" s="57">
        <f t="shared" si="223"/>
        <v>0</v>
      </c>
      <c r="DL72" s="57">
        <f t="shared" si="224"/>
        <v>0</v>
      </c>
      <c r="DM72" s="57">
        <f t="shared" si="225"/>
        <v>0</v>
      </c>
      <c r="DN72" s="57">
        <f t="shared" si="226"/>
        <v>0</v>
      </c>
      <c r="DO72" s="1029">
        <f t="shared" si="385"/>
        <v>0</v>
      </c>
      <c r="DP72" s="57">
        <f t="shared" si="386"/>
        <v>0</v>
      </c>
      <c r="DQ72" s="171" t="str">
        <f t="shared" si="387"/>
        <v/>
      </c>
      <c r="DR72" s="57">
        <f t="shared" si="227"/>
        <v>0</v>
      </c>
      <c r="DS72" s="57">
        <f>IF(OR(AND(DG$6=1,$L72=0),AND(DG$6=2,$K72=2,$G72=1)),0,IF(AND(DI$9=2,(OR($F72&gt;1,$K72=1,AND($L72=80,OR($N72=1,AND($N72=2,'#BerechnungDBE'!$AL63&gt;0)))))),IF(DG$4&gt;=$AD$126,0,DQ72),IF(DI$9=3,IF(OR(DG$4&gt;=$AD$127,AND($G72=1,$J72=2,DG$6=2),AND(DG$6=1,$N72&lt;&gt;1)),0,IF(DK72&lt;=120,DQ72,IF(DG$4&lt;$AD$124,IF($F72=1,60/DI$4*DI$6,60/DI$4*DI$7),IF($F72=1,120/DI$4*DI$6,120/DI$4*DI$7)))),IF(OR($F72=3,$G72=2),IF(OR(AND(DG$4&gt;=$AD$119,$C72=2),AND(DG$4&gt;=$AF$119,$C72=1)),0,IF(DK72&lt;=60,DQ72,60/DI$4*DI$7)),IF(AND($F72=2,$G72=1),DQ72,0)))))</f>
        <v>0</v>
      </c>
      <c r="DT72" s="57" t="str">
        <f t="shared" si="46"/>
        <v/>
      </c>
      <c r="DU72" s="57" t="str">
        <f t="shared" si="388"/>
        <v/>
      </c>
      <c r="DV72" s="713">
        <f>'org. Düngung 22'!AJ71</f>
        <v>0</v>
      </c>
      <c r="DW72" s="57"/>
      <c r="DX72" s="57"/>
      <c r="DY72" s="57">
        <f t="shared" si="48"/>
        <v>0</v>
      </c>
      <c r="DZ72" s="57">
        <f t="shared" si="228"/>
        <v>0</v>
      </c>
      <c r="EA72" s="57">
        <f t="shared" si="229"/>
        <v>0</v>
      </c>
      <c r="EB72" s="57">
        <f t="shared" si="230"/>
        <v>0</v>
      </c>
      <c r="EC72" s="57">
        <f t="shared" si="231"/>
        <v>0</v>
      </c>
      <c r="ED72" s="1029">
        <f t="shared" si="389"/>
        <v>0</v>
      </c>
      <c r="EE72" s="57">
        <f t="shared" si="390"/>
        <v>0</v>
      </c>
      <c r="EF72" s="171" t="str">
        <f t="shared" si="391"/>
        <v/>
      </c>
      <c r="EG72" s="57">
        <f t="shared" si="232"/>
        <v>0</v>
      </c>
      <c r="EH72" s="57">
        <f>IF(OR(AND(DV$6=1,$L72=0),AND(DV$6=2,$K72=2,$G72=1)),0,IF(AND(DX$9=2,(OR($F72&gt;1,$K72=1,AND($L72=80,OR($N72=1,AND($N72=2,'#BerechnungDBE'!$AL63&gt;0)))))),IF(DV$4&gt;=$AD$126,0,EF72),IF(DX$9=3,IF(OR(DV$4&gt;=$AD$127,AND($G72=1,$J72=2,DV$6=2),AND(DV$6=1,$N72&lt;&gt;1)),0,IF(DZ72&lt;=120,EF72,IF(DV$4&lt;$AD$124,IF($F72=1,60/DX$4*DX$6,60/DX$4*DX$7),IF($F72=1,120/DX$4*DX$6,120/DX$4*DX$7)))),IF(OR($F72=3,$G72=2),IF(OR(AND(DV$4&gt;=$AD$119,$C72=2),AND(DV$4&gt;=$AF$119,$C72=1)),0,IF(DZ72&lt;=60,EF72,60/DX$4*DX$7)),IF(AND($F72=2,$G72=1),EF72,0)))))</f>
        <v>0</v>
      </c>
      <c r="EI72" s="57" t="str">
        <f t="shared" si="52"/>
        <v/>
      </c>
      <c r="EJ72" s="57" t="str">
        <f t="shared" si="392"/>
        <v/>
      </c>
      <c r="EK72" s="713">
        <f>'org. Düngung 22'!AN71</f>
        <v>0</v>
      </c>
      <c r="EL72" s="57"/>
      <c r="EM72" s="57"/>
      <c r="EN72" s="57">
        <f t="shared" si="54"/>
        <v>0</v>
      </c>
      <c r="EO72" s="57">
        <f t="shared" si="233"/>
        <v>0</v>
      </c>
      <c r="EP72" s="57">
        <f t="shared" si="234"/>
        <v>0</v>
      </c>
      <c r="EQ72" s="57">
        <f t="shared" si="235"/>
        <v>0</v>
      </c>
      <c r="ER72" s="57">
        <f t="shared" si="236"/>
        <v>0</v>
      </c>
      <c r="ES72" s="1029">
        <f t="shared" si="393"/>
        <v>0</v>
      </c>
      <c r="ET72" s="57">
        <f t="shared" si="394"/>
        <v>0</v>
      </c>
      <c r="EU72" s="171" t="str">
        <f t="shared" si="395"/>
        <v/>
      </c>
      <c r="EV72" s="57">
        <f t="shared" si="237"/>
        <v>0</v>
      </c>
      <c r="EW72" s="57">
        <f>IF(OR(AND(EK$6=1,$L72=0),AND(EK$6=2,$K72=2,$G72=1)),0,IF(AND(EM$9=2,(OR($F72&gt;1,$K72=1,AND($L72=80,OR($N72=1,AND($N72=2,'#BerechnungDBE'!$AL63&gt;0)))))),IF(EK$4&gt;=$AD$126,0,EU72),IF(EM$9=3,IF(OR(EK$4&gt;=$AD$127,AND($G72=1,$J72=2,EK$6=2),AND(EK$6=1,$N72&lt;&gt;1)),0,IF(EO72&lt;=120,EU72,IF(EK$4&lt;$AD$124,IF($F72=1,60/EM$4*EM$6,60/EM$4*EM$7),IF($F72=1,120/EM$4*EM$6,120/EM$4*EM$7)))),IF(OR($F72=3,$G72=2),IF(OR(AND(EK$4&gt;=$AD$119,$C72=2),AND(EK$4&gt;=$AF$119,$C72=1)),0,IF(EO72&lt;=60,EU72,60/EM$4*EM$7)),IF(AND($F72=2,$G72=1),EU72,0)))))</f>
        <v>0</v>
      </c>
      <c r="EX72" s="57" t="str">
        <f t="shared" si="58"/>
        <v/>
      </c>
      <c r="EY72" s="57" t="str">
        <f t="shared" si="396"/>
        <v/>
      </c>
      <c r="EZ72" s="713">
        <f>'org. Düngung 22'!AR71</f>
        <v>0</v>
      </c>
      <c r="FA72" s="57"/>
      <c r="FB72" s="57"/>
      <c r="FC72" s="57">
        <f t="shared" si="60"/>
        <v>0</v>
      </c>
      <c r="FD72" s="57">
        <f t="shared" si="238"/>
        <v>0</v>
      </c>
      <c r="FE72" s="57">
        <f t="shared" si="239"/>
        <v>0</v>
      </c>
      <c r="FF72" s="57">
        <f t="shared" si="240"/>
        <v>0</v>
      </c>
      <c r="FG72" s="57">
        <f t="shared" si="241"/>
        <v>0</v>
      </c>
      <c r="FH72" s="1029">
        <f t="shared" si="397"/>
        <v>0</v>
      </c>
      <c r="FI72" s="57">
        <f t="shared" si="398"/>
        <v>0</v>
      </c>
      <c r="FJ72" s="171" t="str">
        <f t="shared" si="399"/>
        <v/>
      </c>
      <c r="FK72" s="57">
        <f t="shared" si="242"/>
        <v>0</v>
      </c>
      <c r="FL72" s="57">
        <f>IF(OR(AND(EZ$6=1,$L72=0),AND(EZ$6=2,$K72=2,$G72=1)),0,IF(AND(FB$9=2,(OR($F72&gt;1,$K72=1,AND($L72=80,OR($N72=1,AND($N72=2,'#BerechnungDBE'!$AL63&gt;0)))))),IF(EZ$4&gt;=$AD$126,0,FJ72),IF(FB$9=3,IF(OR(EZ$4&gt;=$AD$127,AND($G72=1,$J72=2,EZ$6=2),AND(EZ$6=1,$N72&lt;&gt;1)),0,IF(FD72&lt;=120,FJ72,IF(EZ$4&lt;$AD$124,IF($F72=1,60/FB$4*FB$6,60/FB$4*FB$7),IF($F72=1,120/FB$4*FB$6,120/FB$4*FB$7)))),IF(OR($F72=3,$G72=2),IF(OR(AND(EZ$4&gt;=$AD$119,$C72=2),AND(EZ$4&gt;=$AF$119,$C72=1)),0,IF(FD72&lt;=60,FJ72,60/FB$4*FB$7)),IF(AND($F72=2,$G72=1),FJ72,0)))))</f>
        <v>0</v>
      </c>
      <c r="FM72" s="57" t="str">
        <f t="shared" si="64"/>
        <v/>
      </c>
      <c r="FN72" s="57" t="str">
        <f t="shared" si="400"/>
        <v/>
      </c>
      <c r="FO72" s="713">
        <f>'org. Düngung 22'!AV71</f>
        <v>0</v>
      </c>
      <c r="FP72" s="57"/>
      <c r="FQ72" s="57"/>
      <c r="FR72" s="57">
        <f t="shared" si="66"/>
        <v>0</v>
      </c>
      <c r="FS72" s="57">
        <f t="shared" si="243"/>
        <v>0</v>
      </c>
      <c r="FT72" s="57">
        <f t="shared" si="244"/>
        <v>0</v>
      </c>
      <c r="FU72" s="57">
        <f t="shared" si="245"/>
        <v>0</v>
      </c>
      <c r="FV72" s="57">
        <f t="shared" si="246"/>
        <v>0</v>
      </c>
      <c r="FW72" s="1029">
        <f t="shared" si="401"/>
        <v>0</v>
      </c>
      <c r="FX72" s="57">
        <f t="shared" si="402"/>
        <v>0</v>
      </c>
      <c r="FY72" s="171" t="str">
        <f t="shared" si="403"/>
        <v/>
      </c>
      <c r="FZ72" s="57">
        <f t="shared" si="247"/>
        <v>0</v>
      </c>
      <c r="GA72" s="57">
        <f>IF(OR(AND(FO$6=1,$L72=0),AND(FO$6=2,$K72=2,$G72=1)),0,IF(AND(FQ$9=2,(OR($F72&gt;1,$K72=1,AND($L72=80,OR($N72=1,AND($N72=2,'#BerechnungDBE'!$AL63&gt;0)))))),IF(FO$4&gt;=$AD$126,0,FY72),IF(FQ$9=3,IF(OR(FO$4&gt;=$AD$127,AND($G72=1,$J72=2,FO$6=2),AND(FO$6=1,$N72&lt;&gt;1)),0,IF(FS72&lt;=120,FY72,IF(FO$4&lt;$AD$124,IF($F72=1,60/FQ$4*FQ$6,60/FQ$4*FQ$7),IF($F72=1,120/FQ$4*FQ$6,120/FQ$4*FQ$7)))),IF(OR($F72=3,$G72=2),IF(OR(AND(FO$4&gt;=$AD$119,$C72=2),AND(FO$4&gt;=$AF$119,$C72=1)),0,IF(FS72&lt;=60,FY72,60/FQ$4*FQ$7)),IF(AND($F72=2,$G72=1),FY72,0)))))</f>
        <v>0</v>
      </c>
      <c r="GB72" s="57" t="str">
        <f t="shared" si="70"/>
        <v/>
      </c>
      <c r="GC72" s="57" t="str">
        <f t="shared" si="404"/>
        <v/>
      </c>
      <c r="GD72" s="713">
        <f>'org. Düngung 22'!AZ71</f>
        <v>0</v>
      </c>
      <c r="GE72" s="57"/>
      <c r="GF72" s="57"/>
      <c r="GG72" s="57">
        <f t="shared" si="72"/>
        <v>0</v>
      </c>
      <c r="GH72" s="57">
        <f t="shared" si="248"/>
        <v>0</v>
      </c>
      <c r="GI72" s="57">
        <f t="shared" si="249"/>
        <v>0</v>
      </c>
      <c r="GJ72" s="57">
        <f t="shared" si="250"/>
        <v>0</v>
      </c>
      <c r="GK72" s="57">
        <f t="shared" si="251"/>
        <v>0</v>
      </c>
      <c r="GL72" s="1029">
        <f t="shared" si="405"/>
        <v>0</v>
      </c>
      <c r="GM72" s="57">
        <f t="shared" si="406"/>
        <v>0</v>
      </c>
      <c r="GN72" s="171" t="str">
        <f t="shared" si="407"/>
        <v/>
      </c>
      <c r="GO72" s="57">
        <f t="shared" si="252"/>
        <v>0</v>
      </c>
      <c r="GP72" s="57">
        <f>IF(OR(AND(GD$6=1,$L72=0),AND(GD$6=2,$K72=2,$G72=1)),0,IF(AND(GF$9=2,(OR($F72&gt;1,$K72=1,AND($L72=80,OR($N72=1,AND($N72=2,'#BerechnungDBE'!$AL63&gt;0)))))),IF(GD$4&gt;=$AD$126,0,GN72),IF(GF$9=3,IF(OR(GD$4&gt;=$AD$127,AND($G72=1,$J72=2,GD$6=2),AND(GD$6=1,$N72&lt;&gt;1)),0,IF(GH72&lt;=120,GN72,IF(GD$4&lt;$AD$124,IF($F72=1,60/GF$4*GF$6,60/GF$4*GF$7),IF($F72=1,120/GF$4*GF$6,120/GF$4*GF$7)))),IF(OR($F72=3,$G72=2),IF(OR(AND(GD$4&gt;=$AD$119,$C72=2),AND(GD$4&gt;=$AF$119,$C72=1)),0,IF(GH72&lt;=60,GN72,60/GF$4*GF$7)),IF(AND($F72=2,$G72=1),GN72,0)))))</f>
        <v>0</v>
      </c>
      <c r="GQ72" s="57" t="str">
        <f t="shared" si="76"/>
        <v/>
      </c>
      <c r="GR72" s="57" t="str">
        <f t="shared" si="408"/>
        <v/>
      </c>
      <c r="GS72" s="713">
        <f>'org. Düngung 22'!BD71</f>
        <v>0</v>
      </c>
      <c r="GT72" s="57"/>
      <c r="GU72" s="57"/>
      <c r="GV72" s="57">
        <f t="shared" si="78"/>
        <v>0</v>
      </c>
      <c r="GW72" s="57">
        <f t="shared" si="253"/>
        <v>0</v>
      </c>
      <c r="GX72" s="57">
        <f t="shared" si="254"/>
        <v>0</v>
      </c>
      <c r="GY72" s="57">
        <f t="shared" si="255"/>
        <v>0</v>
      </c>
      <c r="GZ72" s="57">
        <f t="shared" si="256"/>
        <v>0</v>
      </c>
      <c r="HA72" s="1029">
        <f t="shared" si="409"/>
        <v>0</v>
      </c>
      <c r="HB72" s="57">
        <f t="shared" si="410"/>
        <v>0</v>
      </c>
      <c r="HC72" s="171" t="str">
        <f t="shared" si="411"/>
        <v/>
      </c>
      <c r="HD72" s="57">
        <f t="shared" si="257"/>
        <v>0</v>
      </c>
      <c r="HE72" s="57">
        <f>IF(OR(AND(GS$6=1,$L72=0),AND(GS$6=2,$K72=2,$G72=1)),0,IF(AND(GU$9=2,(OR($F72&gt;1,$K72=1,AND($L72=80,OR($N72=1,AND($N72=2,'#BerechnungDBE'!$AL63&gt;0)))))),IF(GS$4&gt;=$AD$126,0,HC72),IF(GU$9=3,IF(OR(GS$4&gt;=$AD$127,AND($G72=1,$J72=2,GS$6=2),AND(GS$6=1,$N72&lt;&gt;1)),0,IF(GW72&lt;=120,HC72,IF(GS$4&lt;$AD$124,IF($F72=1,60/GU$4*GU$6,60/GU$4*GU$7),IF($F72=1,120/GU$4*GU$6,120/GU$4*GU$7)))),IF(OR($F72=3,$G72=2),IF(OR(AND(GS$4&gt;=$AD$119,$C72=2),AND(GS$4&gt;=$AF$119,$C72=1)),0,IF(GW72&lt;=60,HC72,60/GU$4*GU$7)),IF(AND($F72=2,$G72=1),HC72,0)))))</f>
        <v>0</v>
      </c>
      <c r="HF72" s="57" t="str">
        <f t="shared" si="82"/>
        <v/>
      </c>
      <c r="HG72" s="57" t="str">
        <f t="shared" si="412"/>
        <v/>
      </c>
      <c r="HH72" s="713">
        <f>'org. Düngung 22'!BH71</f>
        <v>0</v>
      </c>
      <c r="HI72" s="57"/>
      <c r="HJ72" s="57"/>
      <c r="HK72" s="57">
        <f t="shared" si="84"/>
        <v>0</v>
      </c>
      <c r="HL72" s="57">
        <f t="shared" si="258"/>
        <v>0</v>
      </c>
      <c r="HM72" s="57">
        <f t="shared" si="259"/>
        <v>0</v>
      </c>
      <c r="HN72" s="57">
        <f t="shared" si="260"/>
        <v>0</v>
      </c>
      <c r="HO72" s="57">
        <f t="shared" si="261"/>
        <v>0</v>
      </c>
      <c r="HP72" s="1029">
        <f t="shared" si="413"/>
        <v>0</v>
      </c>
      <c r="HQ72" s="57">
        <f t="shared" si="414"/>
        <v>0</v>
      </c>
      <c r="HR72" s="171" t="str">
        <f t="shared" si="415"/>
        <v/>
      </c>
      <c r="HS72" s="57">
        <f t="shared" si="262"/>
        <v>0</v>
      </c>
      <c r="HT72" s="57">
        <f>IF(OR(AND(HH$6=1,$L72=0),AND(HH$6=2,$K72=2,$G72=1)),0,IF(AND(HJ$9=2,(OR($F72&gt;1,$K72=1,AND($L72=80,OR($N72=1,AND($N72=2,'#BerechnungDBE'!$AL63&gt;0)))))),IF(HH$4&gt;=$AD$126,0,HR72),IF(HJ$9=3,IF(OR(HH$4&gt;=$AD$127,AND($G72=1,$J72=2,HH$6=2),AND(HH$6=1,$N72&lt;&gt;1)),0,IF(HL72&lt;=120,HR72,IF(HH$4&lt;$AD$124,IF($F72=1,60/HJ$4*HJ$6,60/HJ$4*HJ$7),IF($F72=1,120/HJ$4*HJ$6,120/HJ$4*HJ$7)))),IF(OR($F72=3,$G72=2),IF(OR(AND(HH$4&gt;=$AD$119,$C72=2),AND(HH$4&gt;=$AF$119,$C72=1)),0,IF(HL72&lt;=60,HR72,60/HJ$4*HJ$7)),IF(AND($F72=2,$G72=1),HR72,0)))))</f>
        <v>0</v>
      </c>
      <c r="HU72" s="57" t="str">
        <f t="shared" si="88"/>
        <v/>
      </c>
      <c r="HV72" s="57" t="str">
        <f t="shared" si="416"/>
        <v/>
      </c>
      <c r="HW72" s="713">
        <f>'org. Düngung 22'!BL71</f>
        <v>0</v>
      </c>
      <c r="HX72" s="57"/>
      <c r="HY72" s="57"/>
      <c r="HZ72" s="57">
        <f t="shared" si="90"/>
        <v>0</v>
      </c>
      <c r="IA72" s="57">
        <f t="shared" si="263"/>
        <v>0</v>
      </c>
      <c r="IB72" s="57">
        <f t="shared" si="264"/>
        <v>0</v>
      </c>
      <c r="IC72" s="57">
        <f t="shared" si="265"/>
        <v>0</v>
      </c>
      <c r="ID72" s="57">
        <f t="shared" si="266"/>
        <v>0</v>
      </c>
      <c r="IE72" s="1029">
        <f t="shared" si="417"/>
        <v>0</v>
      </c>
      <c r="IF72" s="57">
        <f t="shared" si="418"/>
        <v>0</v>
      </c>
      <c r="IG72" s="171" t="str">
        <f t="shared" si="419"/>
        <v/>
      </c>
      <c r="IH72" s="57">
        <f t="shared" si="267"/>
        <v>0</v>
      </c>
      <c r="II72" s="57">
        <f>IF(OR(AND(HW$6=1,$L72=0),AND(HW$6=2,$K72=2,$G72=1)),0,IF(AND(HY$9=2,(OR($F72&gt;1,$K72=1,AND($L72=80,OR($N72=1,AND($N72=2,'#BerechnungDBE'!$AL63&gt;0)))))),IF(HW$4&gt;=$AD$126,0,IG72),IF(HY$9=3,IF(OR(HW$4&gt;=$AD$127,AND($G72=1,$J72=2,HW$6=2),AND(HW$6=1,$N72&lt;&gt;1)),0,IF(IA72&lt;=120,IG72,IF(HW$4&lt;$AD$124,IF($F72=1,60/HY$4*HY$6,60/HY$4*HY$7),IF($F72=1,120/HY$4*HY$6,120/HY$4*HY$7)))),IF(OR($F72=3,$G72=2),IF(OR(AND(HW$4&gt;=$AD$119,$C72=2),AND(HW$4&gt;=$AF$119,$C72=1)),0,IF(IA72&lt;=60,IG72,60/HY$4*HY$7)),IF(AND($F72=2,$G72=1),IG72,0)))))</f>
        <v>0</v>
      </c>
      <c r="IJ72" s="57" t="str">
        <f t="shared" si="94"/>
        <v/>
      </c>
      <c r="IK72" s="57" t="str">
        <f t="shared" si="420"/>
        <v/>
      </c>
      <c r="IL72" s="713">
        <f>'org. Düngung 22'!BP71</f>
        <v>0</v>
      </c>
      <c r="IM72" s="57"/>
      <c r="IN72" s="57"/>
      <c r="IO72" s="57">
        <f t="shared" si="96"/>
        <v>0</v>
      </c>
      <c r="IP72" s="57">
        <f t="shared" si="268"/>
        <v>0</v>
      </c>
      <c r="IQ72" s="57">
        <f t="shared" si="269"/>
        <v>0</v>
      </c>
      <c r="IR72" s="57">
        <f t="shared" si="270"/>
        <v>0</v>
      </c>
      <c r="IS72" s="57">
        <f t="shared" si="271"/>
        <v>0</v>
      </c>
      <c r="IT72" s="1029">
        <f t="shared" si="421"/>
        <v>0</v>
      </c>
      <c r="IU72" s="57">
        <f t="shared" si="422"/>
        <v>0</v>
      </c>
      <c r="IV72" s="171" t="str">
        <f t="shared" si="423"/>
        <v/>
      </c>
      <c r="IW72" s="57">
        <f t="shared" si="272"/>
        <v>0</v>
      </c>
      <c r="IX72" s="57">
        <f>IF(OR(AND(IL$6=1,$L72=0),AND(IL$6=2,$K72=2,$G72=1)),0,IF(AND(IN$9=2,(OR($F72&gt;1,$K72=1,AND($L72=80,OR($N72=1,AND($N72=2,'#BerechnungDBE'!$AL63&gt;0)))))),IF(IL$4&gt;=$AD$126,0,IV72),IF(IN$9=3,IF(OR(IL$4&gt;=$AD$127,AND($G72=1,$J72=2,IL$6=2),AND(IL$6=1,$N72&lt;&gt;1)),0,IF(IP72&lt;=120,IV72,IF(IL$4&lt;$AD$124,IF($F72=1,60/IN$4*IN$6,60/IN$4*IN$7),IF($F72=1,120/IN$4*IN$6,120/IN$4*IN$7)))),IF(OR($F72=3,$G72=2),IF(OR(AND(IL$4&gt;=$AD$119,$C72=2),AND(IL$4&gt;=$AF$119,$C72=1)),0,IF(IP72&lt;=60,IV72,60/IN$4*IN$7)),IF(AND($F72=2,$G72=1),IV72,0)))))</f>
        <v>0</v>
      </c>
      <c r="IY72" s="57" t="str">
        <f t="shared" si="100"/>
        <v/>
      </c>
      <c r="IZ72" s="57" t="str">
        <f t="shared" si="424"/>
        <v/>
      </c>
      <c r="JA72" s="713">
        <f>'org. Düngung 22'!BT71</f>
        <v>0</v>
      </c>
      <c r="JB72" s="57"/>
      <c r="JC72" s="57"/>
      <c r="JD72" s="57">
        <f t="shared" si="102"/>
        <v>0</v>
      </c>
      <c r="JE72" s="57">
        <f t="shared" si="273"/>
        <v>0</v>
      </c>
      <c r="JF72" s="57">
        <f t="shared" si="274"/>
        <v>0</v>
      </c>
      <c r="JG72" s="57">
        <f t="shared" si="275"/>
        <v>0</v>
      </c>
      <c r="JH72" s="57">
        <f t="shared" si="276"/>
        <v>0</v>
      </c>
      <c r="JI72" s="1029">
        <f t="shared" si="425"/>
        <v>0</v>
      </c>
      <c r="JJ72" s="57">
        <f t="shared" si="426"/>
        <v>0</v>
      </c>
      <c r="JK72" s="171" t="str">
        <f t="shared" si="427"/>
        <v/>
      </c>
      <c r="JL72" s="57">
        <f t="shared" si="277"/>
        <v>0</v>
      </c>
      <c r="JM72" s="57">
        <f>IF(OR(AND(JA$6=1,$L72=0),AND(JA$6=2,$K72=2,$G72=1)),0,IF(AND(JC$9=2,(OR($F72&gt;1,$K72=1,AND($L72=80,OR($N72=1,AND($N72=2,'#BerechnungDBE'!$AL63&gt;0)))))),IF(JA$4&gt;=$AD$126,0,JK72),IF(JC$9=3,IF(OR(JA$4&gt;=$AD$127,AND($G72=1,$J72=2,JA$6=2),AND(JA$6=1,$N72&lt;&gt;1)),0,IF(JE72&lt;=120,JK72,IF(JA$4&lt;$AD$124,IF($F72=1,60/JC$4*JC$6,60/JC$4*JC$7),IF($F72=1,120/JC$4*JC$6,120/JC$4*JC$7)))),IF(OR($F72=3,$G72=2),IF(OR(AND(JA$4&gt;=$AD$119,$C72=2),AND(JA$4&gt;=$AF$119,$C72=1)),0,IF(JE72&lt;=60,JK72,60/JC$4*JC$7)),IF(AND($F72=2,$G72=1),JK72,0)))))</f>
        <v>0</v>
      </c>
      <c r="JN72" s="57" t="str">
        <f t="shared" si="106"/>
        <v/>
      </c>
      <c r="JO72" s="57" t="str">
        <f t="shared" si="428"/>
        <v/>
      </c>
      <c r="JP72" s="713">
        <f>'org. Düngung 22'!BX71</f>
        <v>0</v>
      </c>
      <c r="JQ72" s="57"/>
      <c r="JR72" s="57"/>
      <c r="JS72" s="57">
        <f t="shared" si="108"/>
        <v>0</v>
      </c>
      <c r="JT72" s="57">
        <f t="shared" si="278"/>
        <v>0</v>
      </c>
      <c r="JU72" s="57">
        <f t="shared" si="279"/>
        <v>0</v>
      </c>
      <c r="JV72" s="57">
        <f t="shared" si="280"/>
        <v>0</v>
      </c>
      <c r="JW72" s="57">
        <f t="shared" si="281"/>
        <v>0</v>
      </c>
      <c r="JX72" s="1029">
        <f t="shared" si="429"/>
        <v>0</v>
      </c>
      <c r="JY72" s="57">
        <f t="shared" si="430"/>
        <v>0</v>
      </c>
      <c r="JZ72" s="171" t="str">
        <f t="shared" si="431"/>
        <v/>
      </c>
      <c r="KA72" s="57">
        <f t="shared" si="282"/>
        <v>0</v>
      </c>
      <c r="KB72" s="57">
        <f>IF(OR(AND(JP$6=1,$L72=0),AND(JP$6=2,$K72=2,$G72=1)),0,IF(AND(JR$9=2,(OR($F72&gt;1,$K72=1,AND($L72=80,OR($N72=1,AND($N72=2,'#BerechnungDBE'!$AL63&gt;0)))))),IF(JP$4&gt;=$AD$126,0,JZ72),IF(JR$9=3,IF(OR(JP$4&gt;=$AD$127,AND($G72=1,$J72=2,JP$6=2),AND(JP$6=1,$N72&lt;&gt;1)),0,IF(JT72&lt;=120,JZ72,IF(JP$4&lt;$AD$124,IF($F72=1,60/JR$4*JR$6,60/JR$4*JR$7),IF($F72=1,120/JR$4*JR$6,120/JR$4*JR$7)))),IF(OR($F72=3,$G72=2),IF(OR(AND(JP$4&gt;=$AD$119,$C72=2),AND(JP$4&gt;=$AF$119,$C72=1)),0,IF(JT72&lt;=60,JZ72,60/JR$4*JR$7)),IF(AND($F72=2,$G72=1),JZ72,0)))))</f>
        <v>0</v>
      </c>
      <c r="KC72" s="57" t="str">
        <f t="shared" si="112"/>
        <v/>
      </c>
      <c r="KD72" s="57" t="str">
        <f t="shared" si="432"/>
        <v/>
      </c>
      <c r="KE72" s="713">
        <f>'org. Düngung 22'!CB71</f>
        <v>0</v>
      </c>
      <c r="KF72" s="57"/>
      <c r="KG72" s="57"/>
      <c r="KH72" s="57">
        <f t="shared" si="114"/>
        <v>0</v>
      </c>
      <c r="KI72" s="57">
        <f t="shared" si="283"/>
        <v>0</v>
      </c>
      <c r="KJ72" s="57">
        <f t="shared" si="284"/>
        <v>0</v>
      </c>
      <c r="KK72" s="57">
        <f t="shared" si="285"/>
        <v>0</v>
      </c>
      <c r="KL72" s="57">
        <f t="shared" si="286"/>
        <v>0</v>
      </c>
      <c r="KM72" s="1029">
        <f t="shared" si="433"/>
        <v>0</v>
      </c>
      <c r="KN72" s="57">
        <f t="shared" si="434"/>
        <v>0</v>
      </c>
      <c r="KO72" s="171" t="str">
        <f t="shared" si="435"/>
        <v/>
      </c>
      <c r="KP72" s="57">
        <f t="shared" si="287"/>
        <v>0</v>
      </c>
      <c r="KQ72" s="57">
        <f>IF(OR(AND(KE$6=1,$L72=0),AND(KE$6=2,$K72=2,$G72=1)),0,IF(AND(KG$9=2,(OR($F72&gt;1,$K72=1,AND($L72=80,OR($N72=1,AND($N72=2,'#BerechnungDBE'!$AL63&gt;0)))))),IF(KE$4&gt;=$AD$126,0,KO72),IF(KG$9=3,IF(OR(KE$4&gt;=$AD$127,AND($G72=1,$J72=2,KE$6=2),AND(KE$6=1,$N72&lt;&gt;1)),0,IF(KI72&lt;=120,KO72,IF(KE$4&lt;$AD$124,IF($F72=1,60/KG$4*KG$6,60/KG$4*KG$7),IF($F72=1,120/KG$4*KG$6,120/KG$4*KG$7)))),IF(OR($F72=3,$G72=2),IF(OR(AND(KE$4&gt;=$AD$119,$C72=2),AND(KE$4&gt;=$AF$119,$C72=1)),0,IF(KI72&lt;=60,KO72,60/KG$4*KG$7)),IF(AND($F72=2,$G72=1),KO72,0)))))</f>
        <v>0</v>
      </c>
      <c r="KR72" s="57" t="str">
        <f t="shared" si="118"/>
        <v/>
      </c>
      <c r="KS72" s="57" t="str">
        <f t="shared" si="436"/>
        <v/>
      </c>
      <c r="KT72" s="713">
        <f>'org. Düngung 22'!CF71</f>
        <v>0</v>
      </c>
      <c r="KU72" s="57"/>
      <c r="KV72" s="57"/>
      <c r="KW72" s="57">
        <f t="shared" si="120"/>
        <v>0</v>
      </c>
      <c r="KX72" s="57">
        <f t="shared" si="288"/>
        <v>0</v>
      </c>
      <c r="KY72" s="57">
        <f t="shared" si="289"/>
        <v>0</v>
      </c>
      <c r="KZ72" s="57">
        <f t="shared" si="290"/>
        <v>0</v>
      </c>
      <c r="LA72" s="57">
        <f t="shared" si="291"/>
        <v>0</v>
      </c>
      <c r="LB72" s="1029">
        <f t="shared" si="437"/>
        <v>0</v>
      </c>
      <c r="LC72" s="57">
        <f t="shared" si="438"/>
        <v>0</v>
      </c>
      <c r="LD72" s="171" t="str">
        <f t="shared" si="439"/>
        <v/>
      </c>
      <c r="LE72" s="57">
        <f t="shared" si="292"/>
        <v>0</v>
      </c>
      <c r="LF72" s="57">
        <f>IF(OR(AND(KT$6=1,$L72=0),AND(KT$6=2,$K72=2,$G72=1)),0,IF(AND(KV$9=2,(OR($F72&gt;1,$K72=1,AND($L72=80,OR($N72=1,AND($N72=2,'#BerechnungDBE'!$AL63&gt;0)))))),IF(KT$4&gt;=$AD$126,0,LD72),IF(KV$9=3,IF(OR(KT$4&gt;=$AD$127,AND($G72=1,$J72=2,KT$6=2),AND(KT$6=1,$N72&lt;&gt;1)),0,IF(KX72&lt;=120,LD72,IF(KT$4&lt;$AD$124,IF($F72=1,60/KV$4*KV$6,60/KV$4*KV$7),IF($F72=1,120/KV$4*KV$6,120/KV$4*KV$7)))),IF(OR($F72=3,$G72=2),IF(OR(AND(KT$4&gt;=$AD$119,$C72=2),AND(KT$4&gt;=$AF$119,$C72=1)),0,IF(KX72&lt;=60,LD72,60/KV$4*KV$7)),IF(AND($F72=2,$G72=1),LD72,0)))))</f>
        <v>0</v>
      </c>
      <c r="LG72" s="57" t="str">
        <f t="shared" si="124"/>
        <v/>
      </c>
      <c r="LH72" s="57" t="str">
        <f t="shared" si="440"/>
        <v/>
      </c>
      <c r="LI72" s="713">
        <f>'org. Düngung 22'!CJ71</f>
        <v>0</v>
      </c>
      <c r="LJ72" s="57"/>
      <c r="LK72" s="57"/>
      <c r="LL72" s="57">
        <f t="shared" si="126"/>
        <v>0</v>
      </c>
      <c r="LM72" s="57">
        <f t="shared" si="293"/>
        <v>0</v>
      </c>
      <c r="LN72" s="57">
        <f t="shared" si="294"/>
        <v>0</v>
      </c>
      <c r="LO72" s="57">
        <f t="shared" si="295"/>
        <v>0</v>
      </c>
      <c r="LP72" s="57">
        <f t="shared" si="296"/>
        <v>0</v>
      </c>
      <c r="LQ72" s="1029">
        <f t="shared" si="441"/>
        <v>0</v>
      </c>
      <c r="LR72" s="57">
        <f t="shared" si="442"/>
        <v>0</v>
      </c>
      <c r="LS72" s="171" t="str">
        <f t="shared" si="443"/>
        <v/>
      </c>
      <c r="LT72" s="57">
        <f t="shared" si="297"/>
        <v>0</v>
      </c>
      <c r="LU72" s="57">
        <f>IF(OR(AND(LI$6=1,$L72=0),AND(LI$6=2,$K72=2,$G72=1)),0,IF(AND(LK$9=2,(OR($F72&gt;1,$K72=1,AND($L72=80,OR($N72=1,AND($N72=2,'#BerechnungDBE'!$AL63&gt;0)))))),IF(LI$4&gt;=$AD$126,0,LS72),IF(LK$9=3,IF(OR(LI$4&gt;=$AD$127,AND($G72=1,$J72=2,LI$6=2),AND(LI$6=1,$N72&lt;&gt;1)),0,IF(LM72&lt;=120,LS72,IF(LI$4&lt;$AD$124,IF($F72=1,60/LK$4*LK$6,60/LK$4*LK$7),IF($F72=1,120/LK$4*LK$6,120/LK$4*LK$7)))),IF(OR($F72=3,$G72=2),IF(OR(AND(LI$4&gt;=$AD$119,$C72=2),AND(LI$4&gt;=$AF$119,$C72=1)),0,IF(LM72&lt;=60,LS72,60/LK$4*LK$7)),IF(AND($F72=2,$G72=1),LS72,0)))))</f>
        <v>0</v>
      </c>
      <c r="LV72" s="57" t="str">
        <f t="shared" si="130"/>
        <v/>
      </c>
      <c r="LW72" s="57" t="str">
        <f t="shared" si="444"/>
        <v/>
      </c>
      <c r="LX72" s="713">
        <f>'org. Düngung 22'!CN71</f>
        <v>0</v>
      </c>
      <c r="LY72" s="57"/>
      <c r="LZ72" s="57"/>
      <c r="MA72" s="57">
        <f t="shared" si="132"/>
        <v>0</v>
      </c>
      <c r="MB72" s="57">
        <f t="shared" si="298"/>
        <v>0</v>
      </c>
      <c r="MC72" s="57">
        <f t="shared" si="299"/>
        <v>0</v>
      </c>
      <c r="MD72" s="57">
        <f t="shared" si="300"/>
        <v>0</v>
      </c>
      <c r="ME72" s="57">
        <f t="shared" si="301"/>
        <v>0</v>
      </c>
      <c r="MF72" s="1029">
        <f t="shared" si="445"/>
        <v>0</v>
      </c>
      <c r="MG72" s="57">
        <f t="shared" si="446"/>
        <v>0</v>
      </c>
      <c r="MH72" s="171" t="str">
        <f t="shared" si="447"/>
        <v/>
      </c>
      <c r="MI72" s="57">
        <f t="shared" si="302"/>
        <v>0</v>
      </c>
      <c r="MJ72" s="57">
        <f>IF(OR(AND(LX$6=1,$L72=0),AND(LX$6=2,$K72=2,$G72=1)),0,IF(AND(LZ$9=2,(OR($F72&gt;1,$K72=1,AND($L72=80,OR($N72=1,AND($N72=2,'#BerechnungDBE'!$AL63&gt;0)))))),IF(LX$4&gt;=$AD$126,0,MH72),IF(LZ$9=3,IF(OR(LX$4&gt;=$AD$127,AND($G72=1,$J72=2,LX$6=2),AND(LX$6=1,$N72&lt;&gt;1)),0,IF(MB72&lt;=120,MH72,IF(LX$4&lt;$AD$124,IF($F72=1,60/LZ$4*LZ$6,60/LZ$4*LZ$7),IF($F72=1,120/LZ$4*LZ$6,120/LZ$4*LZ$7)))),IF(OR($F72=3,$G72=2),IF(OR(AND(LX$4&gt;=$AD$119,$C72=2),AND(LX$4&gt;=$AF$119,$C72=1)),0,IF(MB72&lt;=60,MH72,60/LZ$4*LZ$7)),IF(AND($F72=2,$G72=1),MH72,0)))))</f>
        <v>0</v>
      </c>
      <c r="MK72" s="57" t="str">
        <f t="shared" si="136"/>
        <v/>
      </c>
      <c r="ML72" s="57" t="str">
        <f t="shared" si="448"/>
        <v/>
      </c>
      <c r="MM72" s="713">
        <f>'org. Düngung 22'!CR71</f>
        <v>0</v>
      </c>
      <c r="MN72" s="57"/>
      <c r="MO72" s="57"/>
      <c r="MP72" s="57">
        <f t="shared" si="138"/>
        <v>0</v>
      </c>
      <c r="MQ72" s="57">
        <f t="shared" si="303"/>
        <v>0</v>
      </c>
      <c r="MR72" s="57">
        <f t="shared" si="304"/>
        <v>0</v>
      </c>
      <c r="MS72" s="57">
        <f t="shared" si="305"/>
        <v>0</v>
      </c>
      <c r="MT72" s="57">
        <f t="shared" si="306"/>
        <v>0</v>
      </c>
      <c r="MU72" s="1029">
        <f t="shared" si="449"/>
        <v>0</v>
      </c>
      <c r="MV72" s="57">
        <f t="shared" si="450"/>
        <v>0</v>
      </c>
      <c r="MW72" s="171" t="str">
        <f t="shared" si="451"/>
        <v/>
      </c>
      <c r="MX72" s="57">
        <f t="shared" si="307"/>
        <v>0</v>
      </c>
      <c r="MY72" s="57">
        <f>IF(OR(AND(MM$6=1,$L72=0),AND(MM$6=2,$K72=2,$G72=1)),0,IF(AND(MO$9=2,(OR($F72&gt;1,$K72=1,AND($L72=80,OR($N72=1,AND($N72=2,'#BerechnungDBE'!$AL63&gt;0)))))),IF(MM$4&gt;=$AD$126,0,MW72),IF(MO$9=3,IF(OR(MM$4&gt;=$AD$127,AND($G72=1,$J72=2,MM$6=2),AND(MM$6=1,$N72&lt;&gt;1)),0,IF(MQ72&lt;=120,MW72,IF(MM$4&lt;$AD$124,IF($F72=1,60/MO$4*MO$6,60/MO$4*MO$7),IF($F72=1,120/MO$4*MO$6,120/MO$4*MO$7)))),IF(OR($F72=3,$G72=2),IF(OR(AND(MM$4&gt;=$AD$119,$C72=2),AND(MM$4&gt;=$AF$119,$C72=1)),0,IF(MQ72&lt;=60,MW72,60/MO$4*MO$7)),IF(AND($F72=2,$G72=1),MW72,0)))))</f>
        <v>0</v>
      </c>
      <c r="MZ72" s="57" t="str">
        <f t="shared" si="142"/>
        <v/>
      </c>
      <c r="NA72" s="57" t="str">
        <f t="shared" si="452"/>
        <v/>
      </c>
      <c r="NB72" s="713">
        <f>'org. Düngung 22'!CV71</f>
        <v>0</v>
      </c>
      <c r="NC72" s="57"/>
      <c r="ND72" s="57"/>
      <c r="NE72" s="57">
        <f t="shared" si="144"/>
        <v>0</v>
      </c>
      <c r="NF72" s="57">
        <f t="shared" si="308"/>
        <v>0</v>
      </c>
      <c r="NG72" s="57">
        <f t="shared" si="309"/>
        <v>0</v>
      </c>
      <c r="NH72" s="57">
        <f t="shared" si="310"/>
        <v>0</v>
      </c>
      <c r="NI72" s="57">
        <f t="shared" si="311"/>
        <v>0</v>
      </c>
      <c r="NJ72" s="1029">
        <f t="shared" si="453"/>
        <v>0</v>
      </c>
      <c r="NK72" s="57">
        <f t="shared" si="454"/>
        <v>0</v>
      </c>
      <c r="NL72" s="171" t="str">
        <f t="shared" si="455"/>
        <v/>
      </c>
      <c r="NM72" s="57">
        <f t="shared" si="312"/>
        <v>0</v>
      </c>
      <c r="NN72" s="57">
        <f>IF(OR(AND(NB$6=1,$L72=0),AND(NB$6=2,$K72=2,$G72=1)),0,IF(AND(ND$9=2,(OR($F72&gt;1,$K72=1,AND($L72=80,OR($N72=1,AND($N72=2,'#BerechnungDBE'!$AL63&gt;0)))))),IF(NB$4&gt;=$AD$126,0,NL72),IF(ND$9=3,IF(OR(NB$4&gt;=$AD$127,AND($G72=1,$J72=2,NB$6=2),AND(NB$6=1,$N72&lt;&gt;1)),0,IF(NF72&lt;=120,NL72,IF(NB$4&lt;$AD$124,IF($F72=1,60/ND$4*ND$6,60/ND$4*ND$7),IF($F72=1,120/ND$4*ND$6,120/ND$4*ND$7)))),IF(OR($F72=3,$G72=2),IF(OR(AND(NB$4&gt;=$AD$119,$C72=2),AND(NB$4&gt;=$AF$119,$C72=1)),0,IF(NF72&lt;=60,NL72,60/ND$4*ND$7)),IF(AND($F72=2,$G72=1),NL72,0)))))</f>
        <v>0</v>
      </c>
      <c r="NO72" s="57" t="str">
        <f t="shared" si="148"/>
        <v/>
      </c>
      <c r="NP72" s="57" t="str">
        <f t="shared" si="456"/>
        <v/>
      </c>
      <c r="NQ72" s="713">
        <f>'org. Düngung 22'!CZ71</f>
        <v>0</v>
      </c>
      <c r="NR72" s="57"/>
      <c r="NS72" s="57"/>
      <c r="NT72" s="57">
        <f t="shared" si="150"/>
        <v>0</v>
      </c>
      <c r="NU72" s="57">
        <f t="shared" si="313"/>
        <v>0</v>
      </c>
      <c r="NV72" s="57">
        <f t="shared" si="314"/>
        <v>0</v>
      </c>
      <c r="NW72" s="57">
        <f t="shared" si="315"/>
        <v>0</v>
      </c>
      <c r="NX72" s="57">
        <f t="shared" si="316"/>
        <v>0</v>
      </c>
      <c r="NY72" s="1029">
        <f t="shared" si="457"/>
        <v>0</v>
      </c>
      <c r="NZ72" s="57">
        <f t="shared" si="458"/>
        <v>0</v>
      </c>
      <c r="OA72" s="171" t="str">
        <f t="shared" si="459"/>
        <v/>
      </c>
      <c r="OB72" s="57">
        <f t="shared" si="317"/>
        <v>0</v>
      </c>
      <c r="OC72" s="57">
        <f>IF(OR(AND(NQ$6=1,$L72=0),AND(NQ$6=2,$K72=2,$G72=1)),0,IF(AND(NS$9=2,(OR($F72&gt;1,$K72=1,AND($L72=80,OR($N72=1,AND($N72=2,'#BerechnungDBE'!$AL63&gt;0)))))),IF(NQ$4&gt;=$AD$126,0,OA72),IF(NS$9=3,IF(OR(NQ$4&gt;=$AD$127,AND($G72=1,$J72=2,NQ$6=2),AND(NQ$6=1,$N72&lt;&gt;1)),0,IF(NU72&lt;=120,OA72,IF(NQ$4&lt;$AD$124,IF($F72=1,60/NS$4*NS$6,60/NS$4*NS$7),IF($F72=1,120/NS$4*NS$6,120/NS$4*NS$7)))),IF(OR($F72=3,$G72=2),IF(OR(AND(NQ$4&gt;=$AD$119,$C72=2),AND(NQ$4&gt;=$AF$119,$C72=1)),0,IF(NU72&lt;=60,OA72,60/NS$4*NS$7)),IF(AND($F72=2,$G72=1),OA72,0)))))</f>
        <v>0</v>
      </c>
      <c r="OD72" s="57" t="str">
        <f t="shared" si="154"/>
        <v/>
      </c>
      <c r="OE72" s="57" t="str">
        <f t="shared" si="460"/>
        <v/>
      </c>
      <c r="OF72" s="713">
        <f>'org. Düngung 22'!DD71</f>
        <v>0</v>
      </c>
      <c r="OG72" s="57"/>
      <c r="OH72" s="57"/>
      <c r="OI72" s="57">
        <f t="shared" si="156"/>
        <v>0</v>
      </c>
      <c r="OJ72" s="57">
        <f t="shared" si="318"/>
        <v>0</v>
      </c>
      <c r="OK72" s="57">
        <f t="shared" si="319"/>
        <v>0</v>
      </c>
      <c r="OL72" s="57">
        <f t="shared" si="320"/>
        <v>0</v>
      </c>
      <c r="OM72" s="57">
        <f t="shared" si="321"/>
        <v>0</v>
      </c>
      <c r="ON72" s="1029">
        <f t="shared" si="461"/>
        <v>0</v>
      </c>
      <c r="OO72" s="57">
        <f t="shared" si="462"/>
        <v>0</v>
      </c>
      <c r="OP72" s="171" t="str">
        <f t="shared" si="463"/>
        <v/>
      </c>
      <c r="OQ72" s="57">
        <f t="shared" si="322"/>
        <v>0</v>
      </c>
      <c r="OR72" s="57">
        <f>IF(OR(AND(OF$6=1,$L72=0),AND(OF$6=2,$K72=2,$G72=1)),0,IF(AND(OH$9=2,(OR($F72&gt;1,$K72=1,AND($L72=80,OR($N72=1,AND($N72=2,'#BerechnungDBE'!$AL63&gt;0)))))),IF(OF$4&gt;=$AD$126,0,OP72),IF(OH$9=3,IF(OR(OF$4&gt;=$AD$127,AND($G72=1,$J72=2,OF$6=2),AND(OF$6=1,$N72&lt;&gt;1)),0,IF(OJ72&lt;=120,OP72,IF(OF$4&lt;$AD$124,IF($F72=1,60/OH$4*OH$6,60/OH$4*OH$7),IF($F72=1,120/OH$4*OH$6,120/OH$4*OH$7)))),IF(OR($F72=3,$G72=2),IF(OR(AND(OF$4&gt;=$AD$119,$C72=2),AND(OF$4&gt;=$AF$119,$C72=1)),0,IF(OJ72&lt;=60,OP72,60/OH$4*OH$7)),IF(AND($F72=2,$G72=1),OP72,0)))))</f>
        <v>0</v>
      </c>
      <c r="OS72" s="57" t="str">
        <f t="shared" si="160"/>
        <v/>
      </c>
      <c r="OT72" s="57" t="str">
        <f t="shared" si="464"/>
        <v/>
      </c>
      <c r="OU72" s="713">
        <f>'org. Düngung 22'!DH71</f>
        <v>0</v>
      </c>
      <c r="OV72" s="57"/>
      <c r="OW72" s="57"/>
      <c r="OX72" s="57">
        <f t="shared" si="162"/>
        <v>0</v>
      </c>
      <c r="OY72" s="57">
        <f t="shared" si="323"/>
        <v>0</v>
      </c>
      <c r="OZ72" s="57">
        <f t="shared" si="324"/>
        <v>0</v>
      </c>
      <c r="PA72" s="57">
        <f t="shared" si="325"/>
        <v>0</v>
      </c>
      <c r="PB72" s="57">
        <f t="shared" si="326"/>
        <v>0</v>
      </c>
      <c r="PC72" s="1029">
        <f t="shared" si="465"/>
        <v>0</v>
      </c>
      <c r="PD72" s="57">
        <f t="shared" si="466"/>
        <v>0</v>
      </c>
      <c r="PE72" s="171" t="str">
        <f t="shared" si="467"/>
        <v/>
      </c>
      <c r="PF72" s="57">
        <f t="shared" si="327"/>
        <v>0</v>
      </c>
      <c r="PG72" s="57">
        <f>IF(OR(AND(OU$6=1,$L72=0),AND(OU$6=2,$K72=2,$G72=1)),0,IF(AND(OW$9=2,(OR($F72&gt;1,$K72=1,AND($L72=80,OR($N72=1,AND($N72=2,'#BerechnungDBE'!$AL63&gt;0)))))),IF(OU$4&gt;=$AD$126,0,PE72),IF(OW$9=3,IF(OR(OU$4&gt;=$AD$127,AND($G72=1,$J72=2,OU$6=2),AND(OU$6=1,$N72&lt;&gt;1)),0,IF(OY72&lt;=120,PE72,IF(OU$4&lt;$AD$124,IF($F72=1,60/OW$4*OW$6,60/OW$4*OW$7),IF($F72=1,120/OW$4*OW$6,120/OW$4*OW$7)))),IF(OR($F72=3,$G72=2),IF(OR(AND(OU$4&gt;=$AD$119,$C72=2),AND(OU$4&gt;=$AF$119,$C72=1)),0,IF(OY72&lt;=60,PE72,60/OW$4*OW$7)),IF(AND($F72=2,$G72=1),PE72,0)))))</f>
        <v>0</v>
      </c>
      <c r="PH72" s="57" t="str">
        <f t="shared" si="166"/>
        <v/>
      </c>
      <c r="PI72" s="57" t="str">
        <f t="shared" si="468"/>
        <v/>
      </c>
      <c r="PJ72" s="713">
        <f>'org. Düngung 22'!DL71</f>
        <v>0</v>
      </c>
      <c r="PK72" s="57"/>
      <c r="PL72" s="57"/>
      <c r="PM72" s="57">
        <f t="shared" si="168"/>
        <v>0</v>
      </c>
      <c r="PN72" s="57">
        <f t="shared" si="328"/>
        <v>0</v>
      </c>
      <c r="PO72" s="57">
        <f t="shared" si="329"/>
        <v>0</v>
      </c>
      <c r="PP72" s="57">
        <f t="shared" si="330"/>
        <v>0</v>
      </c>
      <c r="PQ72" s="57">
        <f t="shared" si="331"/>
        <v>0</v>
      </c>
      <c r="PR72" s="1029">
        <f t="shared" si="469"/>
        <v>0</v>
      </c>
      <c r="PS72" s="57">
        <f t="shared" si="470"/>
        <v>0</v>
      </c>
      <c r="PT72" s="171" t="str">
        <f t="shared" si="471"/>
        <v/>
      </c>
      <c r="PU72" s="57">
        <f t="shared" si="332"/>
        <v>0</v>
      </c>
      <c r="PV72" s="57">
        <f>IF(OR(AND(PJ$6=1,$L72=0),AND(PJ$6=2,$K72=2,$G72=1)),0,IF(AND(PL$9=2,(OR($F72&gt;1,$K72=1,AND($L72=80,OR($N72=1,AND($N72=2,'#BerechnungDBE'!$AL63&gt;0)))))),IF(PJ$4&gt;=$AD$126,0,PT72),IF(PL$9=3,IF(OR(PJ$4&gt;=$AD$127,AND($G72=1,$J72=2,PJ$6=2),AND(PJ$6=1,$N72&lt;&gt;1)),0,IF(PN72&lt;=120,PT72,IF(PJ$4&lt;$AD$124,IF($F72=1,60/PL$4*PL$6,60/PL$4*PL$7),IF($F72=1,120/PL$4*PL$6,120/PL$4*PL$7)))),IF(OR($F72=3,$G72=2),IF(OR(AND(PJ$4&gt;=$AD$119,$C72=2),AND(PJ$4&gt;=$AF$119,$C72=1)),0,IF(PN72&lt;=60,PT72,60/PL$4*PL$7)),IF(AND($F72=2,$G72=1),PT72,0)))))</f>
        <v>0</v>
      </c>
      <c r="PW72" s="57" t="str">
        <f t="shared" si="172"/>
        <v/>
      </c>
      <c r="PX72" s="57" t="str">
        <f t="shared" si="472"/>
        <v/>
      </c>
      <c r="PY72" s="713">
        <f>'org. Düngung 22'!DP71</f>
        <v>0</v>
      </c>
      <c r="PZ72" s="57"/>
      <c r="QA72" s="57"/>
      <c r="QB72" s="57">
        <f t="shared" si="174"/>
        <v>0</v>
      </c>
      <c r="QC72" s="57">
        <f t="shared" si="333"/>
        <v>0</v>
      </c>
      <c r="QD72" s="57">
        <f t="shared" si="334"/>
        <v>0</v>
      </c>
      <c r="QE72" s="57">
        <f t="shared" si="335"/>
        <v>0</v>
      </c>
      <c r="QF72" s="57">
        <f t="shared" si="336"/>
        <v>0</v>
      </c>
      <c r="QG72" s="1029">
        <f t="shared" si="473"/>
        <v>0</v>
      </c>
      <c r="QH72" s="57">
        <f t="shared" si="474"/>
        <v>0</v>
      </c>
      <c r="QI72" s="171" t="str">
        <f t="shared" si="475"/>
        <v/>
      </c>
      <c r="QJ72" s="57">
        <f t="shared" si="337"/>
        <v>0</v>
      </c>
      <c r="QK72" s="57">
        <f>IF(OR(AND(PY$6=1,$L72=0),AND(PY$6=2,$K72=2,$G72=1)),0,IF(AND(QA$9=2,(OR($F72&gt;1,$K72=1,AND($L72=80,OR($N72=1,AND($N72=2,'#BerechnungDBE'!$AL63&gt;0)))))),IF(PY$4&gt;=$AD$126,0,QI72),IF(QA$9=3,IF(OR(PY$4&gt;=$AD$127,AND($G72=1,$J72=2,PY$6=2),AND(PY$6=1,$N72&lt;&gt;1)),0,IF(QC72&lt;=120,QI72,IF(PY$4&lt;$AD$124,IF($F72=1,60/QA$4*QA$6,60/QA$4*QA$7),IF($F72=1,120/QA$4*QA$6,120/QA$4*QA$7)))),IF(OR($F72=3,$G72=2),IF(OR(AND(PY$4&gt;=$AD$119,$C72=2),AND(PY$4&gt;=$AF$119,$C72=1)),0,IF(QC72&lt;=60,QI72,60/QA$4*QA$7)),IF(AND($F72=2,$G72=1),QI72,0)))))</f>
        <v>0</v>
      </c>
      <c r="QL72" s="57" t="str">
        <f t="shared" si="178"/>
        <v/>
      </c>
      <c r="QM72" s="57" t="str">
        <f t="shared" si="476"/>
        <v/>
      </c>
      <c r="QN72" s="713">
        <f>'org. Düngung 22'!DT71</f>
        <v>0</v>
      </c>
      <c r="QO72" s="57"/>
      <c r="QP72" s="57"/>
      <c r="QQ72" s="57">
        <f t="shared" si="180"/>
        <v>0</v>
      </c>
      <c r="QR72" s="57">
        <f t="shared" si="338"/>
        <v>0</v>
      </c>
      <c r="QS72" s="57">
        <f t="shared" si="339"/>
        <v>0</v>
      </c>
      <c r="QT72" s="57">
        <f t="shared" si="340"/>
        <v>0</v>
      </c>
      <c r="QU72" s="57">
        <f t="shared" si="341"/>
        <v>0</v>
      </c>
      <c r="QV72" s="1029">
        <f t="shared" si="477"/>
        <v>0</v>
      </c>
      <c r="QW72" s="57">
        <f t="shared" si="478"/>
        <v>0</v>
      </c>
      <c r="QX72" s="171" t="str">
        <f t="shared" si="479"/>
        <v/>
      </c>
      <c r="QY72" s="57">
        <f t="shared" si="342"/>
        <v>0</v>
      </c>
      <c r="QZ72" s="57">
        <f>IF(OR(AND(QN$6=1,$L72=0),AND(QN$6=2,$K72=2,$G72=1)),0,IF(AND(QP$9=2,(OR($F72&gt;1,$K72=1,AND($L72=80,OR($N72=1,AND($N72=2,'#BerechnungDBE'!$AL63&gt;0)))))),IF(QN$4&gt;=$AD$126,0,QX72),IF(QP$9=3,IF(OR(QN$4&gt;=$AD$127,AND($G72=1,$J72=2,QN$6=2),AND(QN$6=1,$N72&lt;&gt;1)),0,IF(QR72&lt;=120,QX72,IF(QN$4&lt;$AD$124,IF($F72=1,60/QP$4*QP$6,60/QP$4*QP$7),IF($F72=1,120/QP$4*QP$6,120/QP$4*QP$7)))),IF(OR($F72=3,$G72=2),IF(OR(AND(QN$4&gt;=$AD$119,$C72=2),AND(QN$4&gt;=$AF$119,$C72=1)),0,IF(QR72&lt;=60,QX72,60/QP$4*QP$7)),IF(AND($F72=2,$G72=1),QX72,0)))))</f>
        <v>0</v>
      </c>
      <c r="RA72" s="57" t="str">
        <f t="shared" si="184"/>
        <v/>
      </c>
      <c r="RB72" s="57" t="str">
        <f t="shared" si="480"/>
        <v/>
      </c>
      <c r="RC72" s="713">
        <f>'org. Düngung 22'!DX71</f>
        <v>0</v>
      </c>
      <c r="RD72" s="57"/>
      <c r="RE72" s="57"/>
      <c r="RF72" s="57">
        <f t="shared" si="186"/>
        <v>0</v>
      </c>
      <c r="RG72" s="57">
        <f t="shared" si="343"/>
        <v>0</v>
      </c>
      <c r="RH72" s="57">
        <f t="shared" si="344"/>
        <v>0</v>
      </c>
      <c r="RI72" s="57">
        <f t="shared" si="345"/>
        <v>0</v>
      </c>
      <c r="RJ72" s="57">
        <f t="shared" si="346"/>
        <v>0</v>
      </c>
      <c r="RK72" s="1029">
        <f t="shared" si="481"/>
        <v>0</v>
      </c>
      <c r="RL72" s="57">
        <f t="shared" si="482"/>
        <v>0</v>
      </c>
      <c r="RM72" s="171" t="str">
        <f t="shared" si="483"/>
        <v/>
      </c>
      <c r="RN72" s="57">
        <f t="shared" si="347"/>
        <v>0</v>
      </c>
      <c r="RO72" s="57">
        <f>IF(OR(AND(RC$6=1,$L72=0),AND(RC$6=2,$K72=2,$G72=1)),0,IF(AND(RE$9=2,(OR($F72&gt;1,$K72=1,AND($L72=80,OR($N72=1,AND($N72=2,'#BerechnungDBE'!$AL63&gt;0)))))),IF(RC$4&gt;=$AD$126,0,RM72),IF(RE$9=3,IF(OR(RC$4&gt;=$AD$127,AND($G72=1,$J72=2,RC$6=2),AND(RC$6=1,$N72&lt;&gt;1)),0,IF(RG72&lt;=120,RM72,IF(RC$4&lt;$AD$124,IF($F72=1,60/RE$4*RE$6,60/RE$4*RE$7),IF($F72=1,120/RE$4*RE$6,120/RE$4*RE$7)))),IF(OR($F72=3,$G72=2),IF(OR(AND(RC$4&gt;=$AD$119,$C72=2),AND(RC$4&gt;=$AF$119,$C72=1)),0,IF(RG72&lt;=60,RM72,60/RE$4*RE$7)),IF(AND($F72=2,$G72=1),RM72,0)))))</f>
        <v>0</v>
      </c>
      <c r="RP72" s="57" t="str">
        <f t="shared" si="190"/>
        <v/>
      </c>
      <c r="RQ72" s="57" t="str">
        <f t="shared" si="484"/>
        <v/>
      </c>
      <c r="RS72" s="57" t="str">
        <f t="shared" si="488"/>
        <v/>
      </c>
      <c r="RT72" s="57" t="str">
        <f t="shared" si="485"/>
        <v/>
      </c>
      <c r="RU72" s="57" t="str">
        <f t="shared" si="486"/>
        <v/>
      </c>
      <c r="RV72" s="57" t="str">
        <f>IF(Z72&gt;'#BerechnungDBE'!BM63,$RV$9,"")</f>
        <v/>
      </c>
      <c r="RW72" s="57" t="str">
        <f>IF(AND(L72=70,AE72&gt;'#BerechnungDBE'!CQ63),$RW$9,"")</f>
        <v/>
      </c>
      <c r="RX72" s="57" t="str">
        <f>IF(OR('org. Düngung 22'!G71="--",'org. Düngung 22'!G71&lt;=170,'org. Düngung 22'!G71=""),"",$RX$9)</f>
        <v/>
      </c>
      <c r="RY72" s="57" t="str">
        <f>IF('org. Düngung 22'!K71&gt;120,'#orgDung'!$RY$9,"")</f>
        <v/>
      </c>
      <c r="RZ72" s="57" t="str">
        <f>IF('#BerechnungDBE'!P63&lt;4,"",IF(AND('#BerechnungDBE'!BZ63&gt;0,T72&gt;0),'#orgDung'!$RZ$9,""))</f>
        <v/>
      </c>
      <c r="SA72" s="57" t="str">
        <f t="shared" si="487"/>
        <v/>
      </c>
    </row>
    <row r="73" spans="1:495" s="875" customFormat="1" x14ac:dyDescent="0.2">
      <c r="A73" s="875">
        <f>'Flächen u. Kulturen'!A69</f>
        <v>60</v>
      </c>
      <c r="B73" s="367">
        <f>'#BerechnungDBE'!L64</f>
        <v>0</v>
      </c>
      <c r="C73" s="875">
        <f>'#BerechnungDBE'!R64</f>
        <v>1</v>
      </c>
      <c r="D73" s="875">
        <f>'#BerechnungDBE'!T64</f>
        <v>2</v>
      </c>
      <c r="E73" s="875" t="str">
        <f>'Flächen u. Kulturen'!E69</f>
        <v>x</v>
      </c>
      <c r="F73" s="52">
        <f>'#BerechnungDBE'!N64</f>
        <v>1</v>
      </c>
      <c r="G73" s="52">
        <f>'#BerechnungDBE'!O64</f>
        <v>1</v>
      </c>
      <c r="H73" s="875">
        <f>IF('Flächen u. Kulturen'!P69="",0,VLOOKUP('Flächen u. Kulturen'!P69,Kulturen[[HF]:[Berechnungsgruppe]],'#Frucht'!$H$1,FALSE))</f>
        <v>0</v>
      </c>
      <c r="I73" s="875">
        <f>IF('Flächen u. Kulturen'!J69="",0,VLOOKUP('Flächen u. Kulturen'!J69,Kulturen[[HF]:[Berechnungsgruppe]],'#Frucht'!$G$1,FALSE))</f>
        <v>90</v>
      </c>
      <c r="J73" s="505">
        <f t="shared" si="195"/>
        <v>2</v>
      </c>
      <c r="K73" s="505">
        <f>IF('Flächen u. Kulturen'!P69="",0,IF(VLOOKUP('Flächen u. Kulturen'!P69,Kulturen[[HF]:[Saat Winterungen]],'#Frucht'!$P$1,FALSE)&gt;0,1,2))</f>
        <v>2</v>
      </c>
      <c r="L73" s="875">
        <f>'#BerechnungDBE'!AF64</f>
        <v>0</v>
      </c>
      <c r="M73" s="875">
        <f>IF('Flächen u. Kulturen'!L69="",0,VLOOKUP('Flächen u. Kulturen'!L69,Nebenkultur[[Nebenkultur]:[Legum. Zwischenfr.]],'#Zweitfr'!$K$1,FALSE))</f>
        <v>0</v>
      </c>
      <c r="N73" s="875">
        <f>'#BerechnungDBE'!AG64</f>
        <v>0</v>
      </c>
      <c r="P73" s="57">
        <f t="shared" si="353"/>
        <v>0</v>
      </c>
      <c r="Q73" s="57">
        <f t="shared" si="354"/>
        <v>0</v>
      </c>
      <c r="R73" s="875">
        <f t="shared" si="355"/>
        <v>0</v>
      </c>
      <c r="S73" s="938" t="str">
        <f t="shared" si="3"/>
        <v/>
      </c>
      <c r="T73" s="875">
        <f t="shared" si="356"/>
        <v>0</v>
      </c>
      <c r="U73" s="875">
        <f t="shared" si="357"/>
        <v>0</v>
      </c>
      <c r="V73" s="875">
        <f t="shared" si="358"/>
        <v>0</v>
      </c>
      <c r="W73" s="875">
        <f t="shared" si="359"/>
        <v>0</v>
      </c>
      <c r="X73" s="875">
        <f t="shared" si="360"/>
        <v>0</v>
      </c>
      <c r="Y73" s="875">
        <f t="shared" si="349"/>
        <v>0</v>
      </c>
      <c r="Z73" s="875">
        <f t="shared" si="350"/>
        <v>0</v>
      </c>
      <c r="AA73" s="910">
        <f t="shared" si="361"/>
        <v>0</v>
      </c>
      <c r="AB73" s="57">
        <f t="shared" si="351"/>
        <v>0</v>
      </c>
      <c r="AC73" s="875">
        <f t="shared" si="362"/>
        <v>0</v>
      </c>
      <c r="AD73" s="875">
        <f t="shared" si="363"/>
        <v>0</v>
      </c>
      <c r="AE73" s="875">
        <f t="shared" si="364"/>
        <v>0</v>
      </c>
      <c r="AF73" s="875">
        <f t="shared" si="352"/>
        <v>0</v>
      </c>
      <c r="AG73" s="875">
        <f>'org. Düngung 22'!J72</f>
        <v>0</v>
      </c>
      <c r="AH73" s="875">
        <f>'org. Düngung 22'!K72</f>
        <v>0</v>
      </c>
      <c r="AJ73" s="713">
        <f>'org. Düngung 22'!L72</f>
        <v>0</v>
      </c>
      <c r="AK73" s="57"/>
      <c r="AL73" s="57"/>
      <c r="AM73" s="57">
        <f t="shared" si="196"/>
        <v>0</v>
      </c>
      <c r="AN73" s="57">
        <f t="shared" si="197"/>
        <v>0</v>
      </c>
      <c r="AO73" s="57">
        <f t="shared" si="198"/>
        <v>0</v>
      </c>
      <c r="AP73" s="57">
        <f t="shared" si="199"/>
        <v>0</v>
      </c>
      <c r="AQ73" s="57">
        <f t="shared" si="200"/>
        <v>0</v>
      </c>
      <c r="AR73" s="1029">
        <f t="shared" si="365"/>
        <v>0</v>
      </c>
      <c r="AS73" s="57">
        <f t="shared" si="366"/>
        <v>0</v>
      </c>
      <c r="AT73" s="171" t="str">
        <f t="shared" si="367"/>
        <v/>
      </c>
      <c r="AU73" s="57">
        <f t="shared" si="201"/>
        <v>0</v>
      </c>
      <c r="AV73" s="57">
        <f>IF(OR(AND(AJ$6=1,$L73=0),AND(AJ$6=2,$K73=2,$G73=1)),0,IF(AND(AL$9=2,(OR($F73&gt;1,$K73=1,AND($L73=80,OR($N73=1,AND($N73=2,'#BerechnungDBE'!$AL64&gt;0)))))),IF(AJ$4&gt;=$AD$126,0,AT73),IF(AL$9=3,IF(OR(AJ$4&gt;=$AD$127,AND($G73=1,$J73=2,AJ$6=2),AND(AJ$6=1,$N73&lt;&gt;1)),0,IF(AN73&lt;=120,AT73,IF(AJ$4&lt;$AD$124,IF($F73=1,60/AL$4*AL$6,60/AL$4*AL$7),IF($F73=1,120/AL$4*AL$6,120/AL$4*AL$7)))),IF(OR($F73=3,$G73=2),IF(OR(AND(AJ$4&gt;=$AD$119,$C73=2),AND(AJ$4&gt;=$AF$119,$C73=1)),0,IF(AN73&lt;=60,AT73,60/AL$4*AL$7)),IF(AND($F73=2,$G73=1),AT73,0)))))</f>
        <v>0</v>
      </c>
      <c r="AW73" s="57" t="str">
        <f t="shared" si="202"/>
        <v/>
      </c>
      <c r="AX73" s="57" t="str">
        <f t="shared" si="368"/>
        <v/>
      </c>
      <c r="AY73" s="713">
        <f>'org. Düngung 22'!P72</f>
        <v>0</v>
      </c>
      <c r="AZ73" s="57"/>
      <c r="BA73" s="57"/>
      <c r="BB73" s="57">
        <f t="shared" si="18"/>
        <v>0</v>
      </c>
      <c r="BC73" s="57">
        <f t="shared" si="203"/>
        <v>0</v>
      </c>
      <c r="BD73" s="57">
        <f t="shared" si="204"/>
        <v>0</v>
      </c>
      <c r="BE73" s="57">
        <f t="shared" si="205"/>
        <v>0</v>
      </c>
      <c r="BF73" s="57">
        <f t="shared" si="206"/>
        <v>0</v>
      </c>
      <c r="BG73" s="1029">
        <f t="shared" si="369"/>
        <v>0</v>
      </c>
      <c r="BH73" s="57">
        <f t="shared" si="370"/>
        <v>0</v>
      </c>
      <c r="BI73" s="171" t="str">
        <f t="shared" si="371"/>
        <v/>
      </c>
      <c r="BJ73" s="57">
        <f t="shared" si="207"/>
        <v>0</v>
      </c>
      <c r="BK73" s="57">
        <f>IF(OR(AND(AY$6=1,$L73=0),AND(AY$6=2,$K73=2,$G73=1)),0,IF(AND(BA$9=2,(OR($F73&gt;1,$K73=1,AND($L73=80,OR($N73=1,AND($N73=2,'#BerechnungDBE'!$AL64&gt;0)))))),IF(AY$4&gt;=$AD$126,0,BI73),IF(BA$9=3,IF(OR(AY$4&gt;=$AD$127,AND($G73=1,$J73=2,AY$6=2),AND(AY$6=1,$N73&lt;&gt;1)),0,IF(BC73&lt;=120,BI73,IF(AY$4&lt;$AD$124,IF($F73=1,60/BA$4*BA$6,60/BA$4*BA$7),IF($F73=1,120/BA$4*BA$6,120/BA$4*BA$7)))),IF(OR($F73=3,$G73=2),IF(OR(AND(AY$4&gt;=$AD$119,$C73=2),AND(AY$4&gt;=$AF$119,$C73=1)),0,IF(BC73&lt;=60,BI73,60/BA$4*BA$7)),IF(AND($F73=2,$G73=1),BI73,0)))))</f>
        <v>0</v>
      </c>
      <c r="BL73" s="57" t="str">
        <f t="shared" si="22"/>
        <v/>
      </c>
      <c r="BM73" s="57" t="str">
        <f t="shared" si="372"/>
        <v/>
      </c>
      <c r="BN73" s="713">
        <f>'org. Düngung 22'!T72</f>
        <v>0</v>
      </c>
      <c r="BO73" s="57"/>
      <c r="BP73" s="57"/>
      <c r="BQ73" s="57">
        <f t="shared" si="24"/>
        <v>0</v>
      </c>
      <c r="BR73" s="57">
        <f t="shared" si="208"/>
        <v>0</v>
      </c>
      <c r="BS73" s="57">
        <f t="shared" si="209"/>
        <v>0</v>
      </c>
      <c r="BT73" s="57">
        <f t="shared" si="210"/>
        <v>0</v>
      </c>
      <c r="BU73" s="57">
        <f t="shared" si="211"/>
        <v>0</v>
      </c>
      <c r="BV73" s="1029">
        <f t="shared" si="373"/>
        <v>0</v>
      </c>
      <c r="BW73" s="57">
        <f t="shared" si="374"/>
        <v>0</v>
      </c>
      <c r="BX73" s="171" t="str">
        <f t="shared" si="375"/>
        <v/>
      </c>
      <c r="BY73" s="57">
        <f t="shared" si="212"/>
        <v>0</v>
      </c>
      <c r="BZ73" s="57">
        <f>IF(OR(AND(BN$6=1,$L73=0),AND(BN$6=2,$K73=2,$G73=1)),0,IF(AND(BP$9=2,(OR($F73&gt;1,$K73=1,AND($L73=80,OR($N73=1,AND($N73=2,'#BerechnungDBE'!$AL64&gt;0)))))),IF(BN$4&gt;=$AD$126,0,BX73),IF(BP$9=3,IF(OR(BN$4&gt;=$AD$127,AND($G73=1,$J73=2,BN$6=2),AND(BN$6=1,$N73&lt;&gt;1)),0,IF(BR73&lt;=120,BX73,IF(BN$4&lt;$AD$124,IF($F73=1,60/BP$4*BP$6,60/BP$4*BP$7),IF($F73=1,120/BP$4*BP$6,120/BP$4*BP$7)))),IF(OR($F73=3,$G73=2),IF(OR(AND(BN$4&gt;=$AD$119,$C73=2),AND(BN$4&gt;=$AF$119,$C73=1)),0,IF(BR73&lt;=60,BX73,60/BP$4*BP$7)),IF(AND($F73=2,$G73=1),BX73,0)))))</f>
        <v>0</v>
      </c>
      <c r="CA73" s="57" t="str">
        <f t="shared" si="28"/>
        <v/>
      </c>
      <c r="CB73" s="57" t="str">
        <f t="shared" si="376"/>
        <v/>
      </c>
      <c r="CC73" s="713">
        <f>'org. Düngung 22'!X72</f>
        <v>0</v>
      </c>
      <c r="CD73" s="57"/>
      <c r="CE73" s="57"/>
      <c r="CF73" s="57">
        <f t="shared" si="30"/>
        <v>0</v>
      </c>
      <c r="CG73" s="57">
        <f t="shared" si="213"/>
        <v>0</v>
      </c>
      <c r="CH73" s="57">
        <f t="shared" si="214"/>
        <v>0</v>
      </c>
      <c r="CI73" s="57">
        <f t="shared" si="215"/>
        <v>0</v>
      </c>
      <c r="CJ73" s="57">
        <f t="shared" si="216"/>
        <v>0</v>
      </c>
      <c r="CK73" s="1029">
        <f t="shared" si="377"/>
        <v>0</v>
      </c>
      <c r="CL73" s="57">
        <f t="shared" si="378"/>
        <v>0</v>
      </c>
      <c r="CM73" s="171" t="str">
        <f t="shared" si="379"/>
        <v/>
      </c>
      <c r="CN73" s="57">
        <f t="shared" si="217"/>
        <v>0</v>
      </c>
      <c r="CO73" s="57">
        <f>IF(OR(AND(CC$6=1,$L73=0),AND(CC$6=2,$K73=2,$G73=1)),0,IF(AND(CE$9=2,(OR($F73&gt;1,$K73=1,AND($L73=80,OR($N73=1,AND($N73=2,'#BerechnungDBE'!$AL64&gt;0)))))),IF(CC$4&gt;=$AD$126,0,CM73),IF(CE$9=3,IF(OR(CC$4&gt;=$AD$127,AND($G73=1,$J73=2,CC$6=2),AND(CC$6=1,$N73&lt;&gt;1)),0,IF(CG73&lt;=120,CM73,IF(CC$4&lt;$AD$124,IF($F73=1,60/CE$4*CE$6,60/CE$4*CE$7),IF($F73=1,120/CE$4*CE$6,120/CE$4*CE$7)))),IF(OR($F73=3,$G73=2),IF(OR(AND(CC$4&gt;=$AD$119,$C73=2),AND(CC$4&gt;=$AF$119,$C73=1)),0,IF(CG73&lt;=60,CM73,60/CE$4*CE$7)),IF(AND($F73=2,$G73=1),CM73,0)))))</f>
        <v>0</v>
      </c>
      <c r="CP73" s="57" t="str">
        <f t="shared" si="34"/>
        <v/>
      </c>
      <c r="CQ73" s="57" t="str">
        <f t="shared" si="380"/>
        <v/>
      </c>
      <c r="CR73" s="713">
        <f>'org. Düngung 22'!AB72</f>
        <v>0</v>
      </c>
      <c r="CS73" s="57"/>
      <c r="CT73" s="57"/>
      <c r="CU73" s="57">
        <f t="shared" si="36"/>
        <v>0</v>
      </c>
      <c r="CV73" s="57">
        <f t="shared" si="218"/>
        <v>0</v>
      </c>
      <c r="CW73" s="57">
        <f t="shared" si="219"/>
        <v>0</v>
      </c>
      <c r="CX73" s="57">
        <f t="shared" si="220"/>
        <v>0</v>
      </c>
      <c r="CY73" s="57">
        <f t="shared" si="221"/>
        <v>0</v>
      </c>
      <c r="CZ73" s="1029">
        <f t="shared" si="381"/>
        <v>0</v>
      </c>
      <c r="DA73" s="57">
        <f t="shared" si="382"/>
        <v>0</v>
      </c>
      <c r="DB73" s="171" t="str">
        <f t="shared" si="383"/>
        <v/>
      </c>
      <c r="DC73" s="57">
        <f t="shared" si="222"/>
        <v>0</v>
      </c>
      <c r="DD73" s="57">
        <f>IF(OR(AND(CR$6=1,$L73=0),AND(CR$6=2,$K73=2,$G73=1)),0,IF(AND(CT$9=2,(OR($F73&gt;1,$K73=1,AND($L73=80,OR($N73=1,AND($N73=2,'#BerechnungDBE'!$AL64&gt;0)))))),IF(CR$4&gt;=$AD$126,0,DB73),IF(CT$9=3,IF(OR(CR$4&gt;=$AD$127,AND($G73=1,$J73=2,CR$6=2),AND(CR$6=1,$N73&lt;&gt;1)),0,IF(CV73&lt;=120,DB73,IF(CR$4&lt;$AD$124,IF($F73=1,60/CT$4*CT$6,60/CT$4*CT$7),IF($F73=1,120/CT$4*CT$6,120/CT$4*CT$7)))),IF(OR($F73=3,$G73=2),IF(OR(AND(CR$4&gt;=$AD$119,$C73=2),AND(CR$4&gt;=$AF$119,$C73=1)),0,IF(CV73&lt;=60,DB73,60/CT$4*CT$7)),IF(AND($F73=2,$G73=1),DB73,0)))))</f>
        <v>0</v>
      </c>
      <c r="DE73" s="57" t="str">
        <f t="shared" si="40"/>
        <v/>
      </c>
      <c r="DF73" s="57" t="str">
        <f t="shared" si="384"/>
        <v/>
      </c>
      <c r="DG73" s="713">
        <f>'org. Düngung 22'!AF72</f>
        <v>0</v>
      </c>
      <c r="DH73" s="57"/>
      <c r="DI73" s="57"/>
      <c r="DJ73" s="57">
        <f t="shared" si="42"/>
        <v>0</v>
      </c>
      <c r="DK73" s="57">
        <f t="shared" si="223"/>
        <v>0</v>
      </c>
      <c r="DL73" s="57">
        <f t="shared" si="224"/>
        <v>0</v>
      </c>
      <c r="DM73" s="57">
        <f t="shared" si="225"/>
        <v>0</v>
      </c>
      <c r="DN73" s="57">
        <f t="shared" si="226"/>
        <v>0</v>
      </c>
      <c r="DO73" s="1029">
        <f t="shared" si="385"/>
        <v>0</v>
      </c>
      <c r="DP73" s="57">
        <f t="shared" si="386"/>
        <v>0</v>
      </c>
      <c r="DQ73" s="171" t="str">
        <f t="shared" si="387"/>
        <v/>
      </c>
      <c r="DR73" s="57">
        <f t="shared" si="227"/>
        <v>0</v>
      </c>
      <c r="DS73" s="57">
        <f>IF(OR(AND(DG$6=1,$L73=0),AND(DG$6=2,$K73=2,$G73=1)),0,IF(AND(DI$9=2,(OR($F73&gt;1,$K73=1,AND($L73=80,OR($N73=1,AND($N73=2,'#BerechnungDBE'!$AL64&gt;0)))))),IF(DG$4&gt;=$AD$126,0,DQ73),IF(DI$9=3,IF(OR(DG$4&gt;=$AD$127,AND($G73=1,$J73=2,DG$6=2),AND(DG$6=1,$N73&lt;&gt;1)),0,IF(DK73&lt;=120,DQ73,IF(DG$4&lt;$AD$124,IF($F73=1,60/DI$4*DI$6,60/DI$4*DI$7),IF($F73=1,120/DI$4*DI$6,120/DI$4*DI$7)))),IF(OR($F73=3,$G73=2),IF(OR(AND(DG$4&gt;=$AD$119,$C73=2),AND(DG$4&gt;=$AF$119,$C73=1)),0,IF(DK73&lt;=60,DQ73,60/DI$4*DI$7)),IF(AND($F73=2,$G73=1),DQ73,0)))))</f>
        <v>0</v>
      </c>
      <c r="DT73" s="57" t="str">
        <f t="shared" si="46"/>
        <v/>
      </c>
      <c r="DU73" s="57" t="str">
        <f t="shared" si="388"/>
        <v/>
      </c>
      <c r="DV73" s="713">
        <f>'org. Düngung 22'!AJ72</f>
        <v>0</v>
      </c>
      <c r="DW73" s="57"/>
      <c r="DX73" s="57"/>
      <c r="DY73" s="57">
        <f t="shared" si="48"/>
        <v>0</v>
      </c>
      <c r="DZ73" s="57">
        <f t="shared" si="228"/>
        <v>0</v>
      </c>
      <c r="EA73" s="57">
        <f t="shared" si="229"/>
        <v>0</v>
      </c>
      <c r="EB73" s="57">
        <f t="shared" si="230"/>
        <v>0</v>
      </c>
      <c r="EC73" s="57">
        <f t="shared" si="231"/>
        <v>0</v>
      </c>
      <c r="ED73" s="1029">
        <f t="shared" si="389"/>
        <v>0</v>
      </c>
      <c r="EE73" s="57">
        <f t="shared" si="390"/>
        <v>0</v>
      </c>
      <c r="EF73" s="171" t="str">
        <f t="shared" si="391"/>
        <v/>
      </c>
      <c r="EG73" s="57">
        <f t="shared" si="232"/>
        <v>0</v>
      </c>
      <c r="EH73" s="57">
        <f>IF(OR(AND(DV$6=1,$L73=0),AND(DV$6=2,$K73=2,$G73=1)),0,IF(AND(DX$9=2,(OR($F73&gt;1,$K73=1,AND($L73=80,OR($N73=1,AND($N73=2,'#BerechnungDBE'!$AL64&gt;0)))))),IF(DV$4&gt;=$AD$126,0,EF73),IF(DX$9=3,IF(OR(DV$4&gt;=$AD$127,AND($G73=1,$J73=2,DV$6=2),AND(DV$6=1,$N73&lt;&gt;1)),0,IF(DZ73&lt;=120,EF73,IF(DV$4&lt;$AD$124,IF($F73=1,60/DX$4*DX$6,60/DX$4*DX$7),IF($F73=1,120/DX$4*DX$6,120/DX$4*DX$7)))),IF(OR($F73=3,$G73=2),IF(OR(AND(DV$4&gt;=$AD$119,$C73=2),AND(DV$4&gt;=$AF$119,$C73=1)),0,IF(DZ73&lt;=60,EF73,60/DX$4*DX$7)),IF(AND($F73=2,$G73=1),EF73,0)))))</f>
        <v>0</v>
      </c>
      <c r="EI73" s="57" t="str">
        <f t="shared" si="52"/>
        <v/>
      </c>
      <c r="EJ73" s="57" t="str">
        <f t="shared" si="392"/>
        <v/>
      </c>
      <c r="EK73" s="713">
        <f>'org. Düngung 22'!AN72</f>
        <v>0</v>
      </c>
      <c r="EL73" s="57"/>
      <c r="EM73" s="57"/>
      <c r="EN73" s="57">
        <f t="shared" si="54"/>
        <v>0</v>
      </c>
      <c r="EO73" s="57">
        <f t="shared" si="233"/>
        <v>0</v>
      </c>
      <c r="EP73" s="57">
        <f t="shared" si="234"/>
        <v>0</v>
      </c>
      <c r="EQ73" s="57">
        <f t="shared" si="235"/>
        <v>0</v>
      </c>
      <c r="ER73" s="57">
        <f t="shared" si="236"/>
        <v>0</v>
      </c>
      <c r="ES73" s="1029">
        <f t="shared" si="393"/>
        <v>0</v>
      </c>
      <c r="ET73" s="57">
        <f t="shared" si="394"/>
        <v>0</v>
      </c>
      <c r="EU73" s="171" t="str">
        <f t="shared" si="395"/>
        <v/>
      </c>
      <c r="EV73" s="57">
        <f t="shared" si="237"/>
        <v>0</v>
      </c>
      <c r="EW73" s="57">
        <f>IF(OR(AND(EK$6=1,$L73=0),AND(EK$6=2,$K73=2,$G73=1)),0,IF(AND(EM$9=2,(OR($F73&gt;1,$K73=1,AND($L73=80,OR($N73=1,AND($N73=2,'#BerechnungDBE'!$AL64&gt;0)))))),IF(EK$4&gt;=$AD$126,0,EU73),IF(EM$9=3,IF(OR(EK$4&gt;=$AD$127,AND($G73=1,$J73=2,EK$6=2),AND(EK$6=1,$N73&lt;&gt;1)),0,IF(EO73&lt;=120,EU73,IF(EK$4&lt;$AD$124,IF($F73=1,60/EM$4*EM$6,60/EM$4*EM$7),IF($F73=1,120/EM$4*EM$6,120/EM$4*EM$7)))),IF(OR($F73=3,$G73=2),IF(OR(AND(EK$4&gt;=$AD$119,$C73=2),AND(EK$4&gt;=$AF$119,$C73=1)),0,IF(EO73&lt;=60,EU73,60/EM$4*EM$7)),IF(AND($F73=2,$G73=1),EU73,0)))))</f>
        <v>0</v>
      </c>
      <c r="EX73" s="57" t="str">
        <f t="shared" si="58"/>
        <v/>
      </c>
      <c r="EY73" s="57" t="str">
        <f t="shared" si="396"/>
        <v/>
      </c>
      <c r="EZ73" s="713">
        <f>'org. Düngung 22'!AR72</f>
        <v>0</v>
      </c>
      <c r="FA73" s="57"/>
      <c r="FB73" s="57"/>
      <c r="FC73" s="57">
        <f t="shared" si="60"/>
        <v>0</v>
      </c>
      <c r="FD73" s="57">
        <f t="shared" si="238"/>
        <v>0</v>
      </c>
      <c r="FE73" s="57">
        <f t="shared" si="239"/>
        <v>0</v>
      </c>
      <c r="FF73" s="57">
        <f t="shared" si="240"/>
        <v>0</v>
      </c>
      <c r="FG73" s="57">
        <f t="shared" si="241"/>
        <v>0</v>
      </c>
      <c r="FH73" s="1029">
        <f t="shared" si="397"/>
        <v>0</v>
      </c>
      <c r="FI73" s="57">
        <f t="shared" si="398"/>
        <v>0</v>
      </c>
      <c r="FJ73" s="171" t="str">
        <f t="shared" si="399"/>
        <v/>
      </c>
      <c r="FK73" s="57">
        <f t="shared" si="242"/>
        <v>0</v>
      </c>
      <c r="FL73" s="57">
        <f>IF(OR(AND(EZ$6=1,$L73=0),AND(EZ$6=2,$K73=2,$G73=1)),0,IF(AND(FB$9=2,(OR($F73&gt;1,$K73=1,AND($L73=80,OR($N73=1,AND($N73=2,'#BerechnungDBE'!$AL64&gt;0)))))),IF(EZ$4&gt;=$AD$126,0,FJ73),IF(FB$9=3,IF(OR(EZ$4&gt;=$AD$127,AND($G73=1,$J73=2,EZ$6=2),AND(EZ$6=1,$N73&lt;&gt;1)),0,IF(FD73&lt;=120,FJ73,IF(EZ$4&lt;$AD$124,IF($F73=1,60/FB$4*FB$6,60/FB$4*FB$7),IF($F73=1,120/FB$4*FB$6,120/FB$4*FB$7)))),IF(OR($F73=3,$G73=2),IF(OR(AND(EZ$4&gt;=$AD$119,$C73=2),AND(EZ$4&gt;=$AF$119,$C73=1)),0,IF(FD73&lt;=60,FJ73,60/FB$4*FB$7)),IF(AND($F73=2,$G73=1),FJ73,0)))))</f>
        <v>0</v>
      </c>
      <c r="FM73" s="57" t="str">
        <f t="shared" si="64"/>
        <v/>
      </c>
      <c r="FN73" s="57" t="str">
        <f t="shared" si="400"/>
        <v/>
      </c>
      <c r="FO73" s="713">
        <f>'org. Düngung 22'!AV72</f>
        <v>0</v>
      </c>
      <c r="FP73" s="57"/>
      <c r="FQ73" s="57"/>
      <c r="FR73" s="57">
        <f t="shared" si="66"/>
        <v>0</v>
      </c>
      <c r="FS73" s="57">
        <f t="shared" si="243"/>
        <v>0</v>
      </c>
      <c r="FT73" s="57">
        <f t="shared" si="244"/>
        <v>0</v>
      </c>
      <c r="FU73" s="57">
        <f t="shared" si="245"/>
        <v>0</v>
      </c>
      <c r="FV73" s="57">
        <f t="shared" si="246"/>
        <v>0</v>
      </c>
      <c r="FW73" s="1029">
        <f t="shared" si="401"/>
        <v>0</v>
      </c>
      <c r="FX73" s="57">
        <f t="shared" si="402"/>
        <v>0</v>
      </c>
      <c r="FY73" s="171" t="str">
        <f t="shared" si="403"/>
        <v/>
      </c>
      <c r="FZ73" s="57">
        <f t="shared" si="247"/>
        <v>0</v>
      </c>
      <c r="GA73" s="57">
        <f>IF(OR(AND(FO$6=1,$L73=0),AND(FO$6=2,$K73=2,$G73=1)),0,IF(AND(FQ$9=2,(OR($F73&gt;1,$K73=1,AND($L73=80,OR($N73=1,AND($N73=2,'#BerechnungDBE'!$AL64&gt;0)))))),IF(FO$4&gt;=$AD$126,0,FY73),IF(FQ$9=3,IF(OR(FO$4&gt;=$AD$127,AND($G73=1,$J73=2,FO$6=2),AND(FO$6=1,$N73&lt;&gt;1)),0,IF(FS73&lt;=120,FY73,IF(FO$4&lt;$AD$124,IF($F73=1,60/FQ$4*FQ$6,60/FQ$4*FQ$7),IF($F73=1,120/FQ$4*FQ$6,120/FQ$4*FQ$7)))),IF(OR($F73=3,$G73=2),IF(OR(AND(FO$4&gt;=$AD$119,$C73=2),AND(FO$4&gt;=$AF$119,$C73=1)),0,IF(FS73&lt;=60,FY73,60/FQ$4*FQ$7)),IF(AND($F73=2,$G73=1),FY73,0)))))</f>
        <v>0</v>
      </c>
      <c r="GB73" s="57" t="str">
        <f t="shared" si="70"/>
        <v/>
      </c>
      <c r="GC73" s="57" t="str">
        <f t="shared" si="404"/>
        <v/>
      </c>
      <c r="GD73" s="713">
        <f>'org. Düngung 22'!AZ72</f>
        <v>0</v>
      </c>
      <c r="GE73" s="57"/>
      <c r="GF73" s="57"/>
      <c r="GG73" s="57">
        <f t="shared" si="72"/>
        <v>0</v>
      </c>
      <c r="GH73" s="57">
        <f t="shared" si="248"/>
        <v>0</v>
      </c>
      <c r="GI73" s="57">
        <f t="shared" si="249"/>
        <v>0</v>
      </c>
      <c r="GJ73" s="57">
        <f t="shared" si="250"/>
        <v>0</v>
      </c>
      <c r="GK73" s="57">
        <f t="shared" si="251"/>
        <v>0</v>
      </c>
      <c r="GL73" s="1029">
        <f t="shared" si="405"/>
        <v>0</v>
      </c>
      <c r="GM73" s="57">
        <f t="shared" si="406"/>
        <v>0</v>
      </c>
      <c r="GN73" s="171" t="str">
        <f t="shared" si="407"/>
        <v/>
      </c>
      <c r="GO73" s="57">
        <f t="shared" si="252"/>
        <v>0</v>
      </c>
      <c r="GP73" s="57">
        <f>IF(OR(AND(GD$6=1,$L73=0),AND(GD$6=2,$K73=2,$G73=1)),0,IF(AND(GF$9=2,(OR($F73&gt;1,$K73=1,AND($L73=80,OR($N73=1,AND($N73=2,'#BerechnungDBE'!$AL64&gt;0)))))),IF(GD$4&gt;=$AD$126,0,GN73),IF(GF$9=3,IF(OR(GD$4&gt;=$AD$127,AND($G73=1,$J73=2,GD$6=2),AND(GD$6=1,$N73&lt;&gt;1)),0,IF(GH73&lt;=120,GN73,IF(GD$4&lt;$AD$124,IF($F73=1,60/GF$4*GF$6,60/GF$4*GF$7),IF($F73=1,120/GF$4*GF$6,120/GF$4*GF$7)))),IF(OR($F73=3,$G73=2),IF(OR(AND(GD$4&gt;=$AD$119,$C73=2),AND(GD$4&gt;=$AF$119,$C73=1)),0,IF(GH73&lt;=60,GN73,60/GF$4*GF$7)),IF(AND($F73=2,$G73=1),GN73,0)))))</f>
        <v>0</v>
      </c>
      <c r="GQ73" s="57" t="str">
        <f t="shared" si="76"/>
        <v/>
      </c>
      <c r="GR73" s="57" t="str">
        <f t="shared" si="408"/>
        <v/>
      </c>
      <c r="GS73" s="713">
        <f>'org. Düngung 22'!BD72</f>
        <v>0</v>
      </c>
      <c r="GT73" s="57"/>
      <c r="GU73" s="57"/>
      <c r="GV73" s="57">
        <f t="shared" si="78"/>
        <v>0</v>
      </c>
      <c r="GW73" s="57">
        <f t="shared" si="253"/>
        <v>0</v>
      </c>
      <c r="GX73" s="57">
        <f t="shared" si="254"/>
        <v>0</v>
      </c>
      <c r="GY73" s="57">
        <f t="shared" si="255"/>
        <v>0</v>
      </c>
      <c r="GZ73" s="57">
        <f t="shared" si="256"/>
        <v>0</v>
      </c>
      <c r="HA73" s="1029">
        <f t="shared" si="409"/>
        <v>0</v>
      </c>
      <c r="HB73" s="57">
        <f t="shared" si="410"/>
        <v>0</v>
      </c>
      <c r="HC73" s="171" t="str">
        <f t="shared" si="411"/>
        <v/>
      </c>
      <c r="HD73" s="57">
        <f t="shared" si="257"/>
        <v>0</v>
      </c>
      <c r="HE73" s="57">
        <f>IF(OR(AND(GS$6=1,$L73=0),AND(GS$6=2,$K73=2,$G73=1)),0,IF(AND(GU$9=2,(OR($F73&gt;1,$K73=1,AND($L73=80,OR($N73=1,AND($N73=2,'#BerechnungDBE'!$AL64&gt;0)))))),IF(GS$4&gt;=$AD$126,0,HC73),IF(GU$9=3,IF(OR(GS$4&gt;=$AD$127,AND($G73=1,$J73=2,GS$6=2),AND(GS$6=1,$N73&lt;&gt;1)),0,IF(GW73&lt;=120,HC73,IF(GS$4&lt;$AD$124,IF($F73=1,60/GU$4*GU$6,60/GU$4*GU$7),IF($F73=1,120/GU$4*GU$6,120/GU$4*GU$7)))),IF(OR($F73=3,$G73=2),IF(OR(AND(GS$4&gt;=$AD$119,$C73=2),AND(GS$4&gt;=$AF$119,$C73=1)),0,IF(GW73&lt;=60,HC73,60/GU$4*GU$7)),IF(AND($F73=2,$G73=1),HC73,0)))))</f>
        <v>0</v>
      </c>
      <c r="HF73" s="57" t="str">
        <f t="shared" si="82"/>
        <v/>
      </c>
      <c r="HG73" s="57" t="str">
        <f t="shared" si="412"/>
        <v/>
      </c>
      <c r="HH73" s="713">
        <f>'org. Düngung 22'!BH72</f>
        <v>0</v>
      </c>
      <c r="HI73" s="57"/>
      <c r="HJ73" s="57"/>
      <c r="HK73" s="57">
        <f t="shared" si="84"/>
        <v>0</v>
      </c>
      <c r="HL73" s="57">
        <f t="shared" si="258"/>
        <v>0</v>
      </c>
      <c r="HM73" s="57">
        <f t="shared" si="259"/>
        <v>0</v>
      </c>
      <c r="HN73" s="57">
        <f t="shared" si="260"/>
        <v>0</v>
      </c>
      <c r="HO73" s="57">
        <f t="shared" si="261"/>
        <v>0</v>
      </c>
      <c r="HP73" s="1029">
        <f t="shared" si="413"/>
        <v>0</v>
      </c>
      <c r="HQ73" s="57">
        <f t="shared" si="414"/>
        <v>0</v>
      </c>
      <c r="HR73" s="171" t="str">
        <f t="shared" si="415"/>
        <v/>
      </c>
      <c r="HS73" s="57">
        <f t="shared" si="262"/>
        <v>0</v>
      </c>
      <c r="HT73" s="57">
        <f>IF(OR(AND(HH$6=1,$L73=0),AND(HH$6=2,$K73=2,$G73=1)),0,IF(AND(HJ$9=2,(OR($F73&gt;1,$K73=1,AND($L73=80,OR($N73=1,AND($N73=2,'#BerechnungDBE'!$AL64&gt;0)))))),IF(HH$4&gt;=$AD$126,0,HR73),IF(HJ$9=3,IF(OR(HH$4&gt;=$AD$127,AND($G73=1,$J73=2,HH$6=2),AND(HH$6=1,$N73&lt;&gt;1)),0,IF(HL73&lt;=120,HR73,IF(HH$4&lt;$AD$124,IF($F73=1,60/HJ$4*HJ$6,60/HJ$4*HJ$7),IF($F73=1,120/HJ$4*HJ$6,120/HJ$4*HJ$7)))),IF(OR($F73=3,$G73=2),IF(OR(AND(HH$4&gt;=$AD$119,$C73=2),AND(HH$4&gt;=$AF$119,$C73=1)),0,IF(HL73&lt;=60,HR73,60/HJ$4*HJ$7)),IF(AND($F73=2,$G73=1),HR73,0)))))</f>
        <v>0</v>
      </c>
      <c r="HU73" s="57" t="str">
        <f t="shared" si="88"/>
        <v/>
      </c>
      <c r="HV73" s="57" t="str">
        <f t="shared" si="416"/>
        <v/>
      </c>
      <c r="HW73" s="713">
        <f>'org. Düngung 22'!BL72</f>
        <v>0</v>
      </c>
      <c r="HX73" s="57"/>
      <c r="HY73" s="57"/>
      <c r="HZ73" s="57">
        <f t="shared" si="90"/>
        <v>0</v>
      </c>
      <c r="IA73" s="57">
        <f t="shared" si="263"/>
        <v>0</v>
      </c>
      <c r="IB73" s="57">
        <f t="shared" si="264"/>
        <v>0</v>
      </c>
      <c r="IC73" s="57">
        <f t="shared" si="265"/>
        <v>0</v>
      </c>
      <c r="ID73" s="57">
        <f t="shared" si="266"/>
        <v>0</v>
      </c>
      <c r="IE73" s="1029">
        <f t="shared" si="417"/>
        <v>0</v>
      </c>
      <c r="IF73" s="57">
        <f t="shared" si="418"/>
        <v>0</v>
      </c>
      <c r="IG73" s="171" t="str">
        <f t="shared" si="419"/>
        <v/>
      </c>
      <c r="IH73" s="57">
        <f t="shared" si="267"/>
        <v>0</v>
      </c>
      <c r="II73" s="57">
        <f>IF(OR(AND(HW$6=1,$L73=0),AND(HW$6=2,$K73=2,$G73=1)),0,IF(AND(HY$9=2,(OR($F73&gt;1,$K73=1,AND($L73=80,OR($N73=1,AND($N73=2,'#BerechnungDBE'!$AL64&gt;0)))))),IF(HW$4&gt;=$AD$126,0,IG73),IF(HY$9=3,IF(OR(HW$4&gt;=$AD$127,AND($G73=1,$J73=2,HW$6=2),AND(HW$6=1,$N73&lt;&gt;1)),0,IF(IA73&lt;=120,IG73,IF(HW$4&lt;$AD$124,IF($F73=1,60/HY$4*HY$6,60/HY$4*HY$7),IF($F73=1,120/HY$4*HY$6,120/HY$4*HY$7)))),IF(OR($F73=3,$G73=2),IF(OR(AND(HW$4&gt;=$AD$119,$C73=2),AND(HW$4&gt;=$AF$119,$C73=1)),0,IF(IA73&lt;=60,IG73,60/HY$4*HY$7)),IF(AND($F73=2,$G73=1),IG73,0)))))</f>
        <v>0</v>
      </c>
      <c r="IJ73" s="57" t="str">
        <f t="shared" si="94"/>
        <v/>
      </c>
      <c r="IK73" s="57" t="str">
        <f t="shared" si="420"/>
        <v/>
      </c>
      <c r="IL73" s="713">
        <f>'org. Düngung 22'!BP72</f>
        <v>0</v>
      </c>
      <c r="IM73" s="57"/>
      <c r="IN73" s="57"/>
      <c r="IO73" s="57">
        <f t="shared" si="96"/>
        <v>0</v>
      </c>
      <c r="IP73" s="57">
        <f t="shared" si="268"/>
        <v>0</v>
      </c>
      <c r="IQ73" s="57">
        <f t="shared" si="269"/>
        <v>0</v>
      </c>
      <c r="IR73" s="57">
        <f t="shared" si="270"/>
        <v>0</v>
      </c>
      <c r="IS73" s="57">
        <f t="shared" si="271"/>
        <v>0</v>
      </c>
      <c r="IT73" s="1029">
        <f t="shared" si="421"/>
        <v>0</v>
      </c>
      <c r="IU73" s="57">
        <f t="shared" si="422"/>
        <v>0</v>
      </c>
      <c r="IV73" s="171" t="str">
        <f t="shared" si="423"/>
        <v/>
      </c>
      <c r="IW73" s="57">
        <f t="shared" si="272"/>
        <v>0</v>
      </c>
      <c r="IX73" s="57">
        <f>IF(OR(AND(IL$6=1,$L73=0),AND(IL$6=2,$K73=2,$G73=1)),0,IF(AND(IN$9=2,(OR($F73&gt;1,$K73=1,AND($L73=80,OR($N73=1,AND($N73=2,'#BerechnungDBE'!$AL64&gt;0)))))),IF(IL$4&gt;=$AD$126,0,IV73),IF(IN$9=3,IF(OR(IL$4&gt;=$AD$127,AND($G73=1,$J73=2,IL$6=2),AND(IL$6=1,$N73&lt;&gt;1)),0,IF(IP73&lt;=120,IV73,IF(IL$4&lt;$AD$124,IF($F73=1,60/IN$4*IN$6,60/IN$4*IN$7),IF($F73=1,120/IN$4*IN$6,120/IN$4*IN$7)))),IF(OR($F73=3,$G73=2),IF(OR(AND(IL$4&gt;=$AD$119,$C73=2),AND(IL$4&gt;=$AF$119,$C73=1)),0,IF(IP73&lt;=60,IV73,60/IN$4*IN$7)),IF(AND($F73=2,$G73=1),IV73,0)))))</f>
        <v>0</v>
      </c>
      <c r="IY73" s="57" t="str">
        <f t="shared" si="100"/>
        <v/>
      </c>
      <c r="IZ73" s="57" t="str">
        <f t="shared" si="424"/>
        <v/>
      </c>
      <c r="JA73" s="713">
        <f>'org. Düngung 22'!BT72</f>
        <v>0</v>
      </c>
      <c r="JB73" s="57"/>
      <c r="JC73" s="57"/>
      <c r="JD73" s="57">
        <f t="shared" si="102"/>
        <v>0</v>
      </c>
      <c r="JE73" s="57">
        <f t="shared" si="273"/>
        <v>0</v>
      </c>
      <c r="JF73" s="57">
        <f t="shared" si="274"/>
        <v>0</v>
      </c>
      <c r="JG73" s="57">
        <f t="shared" si="275"/>
        <v>0</v>
      </c>
      <c r="JH73" s="57">
        <f t="shared" si="276"/>
        <v>0</v>
      </c>
      <c r="JI73" s="1029">
        <f t="shared" si="425"/>
        <v>0</v>
      </c>
      <c r="JJ73" s="57">
        <f t="shared" si="426"/>
        <v>0</v>
      </c>
      <c r="JK73" s="171" t="str">
        <f t="shared" si="427"/>
        <v/>
      </c>
      <c r="JL73" s="57">
        <f t="shared" si="277"/>
        <v>0</v>
      </c>
      <c r="JM73" s="57">
        <f>IF(OR(AND(JA$6=1,$L73=0),AND(JA$6=2,$K73=2,$G73=1)),0,IF(AND(JC$9=2,(OR($F73&gt;1,$K73=1,AND($L73=80,OR($N73=1,AND($N73=2,'#BerechnungDBE'!$AL64&gt;0)))))),IF(JA$4&gt;=$AD$126,0,JK73),IF(JC$9=3,IF(OR(JA$4&gt;=$AD$127,AND($G73=1,$J73=2,JA$6=2),AND(JA$6=1,$N73&lt;&gt;1)),0,IF(JE73&lt;=120,JK73,IF(JA$4&lt;$AD$124,IF($F73=1,60/JC$4*JC$6,60/JC$4*JC$7),IF($F73=1,120/JC$4*JC$6,120/JC$4*JC$7)))),IF(OR($F73=3,$G73=2),IF(OR(AND(JA$4&gt;=$AD$119,$C73=2),AND(JA$4&gt;=$AF$119,$C73=1)),0,IF(JE73&lt;=60,JK73,60/JC$4*JC$7)),IF(AND($F73=2,$G73=1),JK73,0)))))</f>
        <v>0</v>
      </c>
      <c r="JN73" s="57" t="str">
        <f t="shared" si="106"/>
        <v/>
      </c>
      <c r="JO73" s="57" t="str">
        <f t="shared" si="428"/>
        <v/>
      </c>
      <c r="JP73" s="713">
        <f>'org. Düngung 22'!BX72</f>
        <v>0</v>
      </c>
      <c r="JQ73" s="57"/>
      <c r="JR73" s="57"/>
      <c r="JS73" s="57">
        <f t="shared" si="108"/>
        <v>0</v>
      </c>
      <c r="JT73" s="57">
        <f t="shared" si="278"/>
        <v>0</v>
      </c>
      <c r="JU73" s="57">
        <f t="shared" si="279"/>
        <v>0</v>
      </c>
      <c r="JV73" s="57">
        <f t="shared" si="280"/>
        <v>0</v>
      </c>
      <c r="JW73" s="57">
        <f t="shared" si="281"/>
        <v>0</v>
      </c>
      <c r="JX73" s="1029">
        <f t="shared" si="429"/>
        <v>0</v>
      </c>
      <c r="JY73" s="57">
        <f t="shared" si="430"/>
        <v>0</v>
      </c>
      <c r="JZ73" s="171" t="str">
        <f t="shared" si="431"/>
        <v/>
      </c>
      <c r="KA73" s="57">
        <f t="shared" si="282"/>
        <v>0</v>
      </c>
      <c r="KB73" s="57">
        <f>IF(OR(AND(JP$6=1,$L73=0),AND(JP$6=2,$K73=2,$G73=1)),0,IF(AND(JR$9=2,(OR($F73&gt;1,$K73=1,AND($L73=80,OR($N73=1,AND($N73=2,'#BerechnungDBE'!$AL64&gt;0)))))),IF(JP$4&gt;=$AD$126,0,JZ73),IF(JR$9=3,IF(OR(JP$4&gt;=$AD$127,AND($G73=1,$J73=2,JP$6=2),AND(JP$6=1,$N73&lt;&gt;1)),0,IF(JT73&lt;=120,JZ73,IF(JP$4&lt;$AD$124,IF($F73=1,60/JR$4*JR$6,60/JR$4*JR$7),IF($F73=1,120/JR$4*JR$6,120/JR$4*JR$7)))),IF(OR($F73=3,$G73=2),IF(OR(AND(JP$4&gt;=$AD$119,$C73=2),AND(JP$4&gt;=$AF$119,$C73=1)),0,IF(JT73&lt;=60,JZ73,60/JR$4*JR$7)),IF(AND($F73=2,$G73=1),JZ73,0)))))</f>
        <v>0</v>
      </c>
      <c r="KC73" s="57" t="str">
        <f t="shared" si="112"/>
        <v/>
      </c>
      <c r="KD73" s="57" t="str">
        <f t="shared" si="432"/>
        <v/>
      </c>
      <c r="KE73" s="713">
        <f>'org. Düngung 22'!CB72</f>
        <v>0</v>
      </c>
      <c r="KF73" s="57"/>
      <c r="KG73" s="57"/>
      <c r="KH73" s="57">
        <f t="shared" si="114"/>
        <v>0</v>
      </c>
      <c r="KI73" s="57">
        <f t="shared" si="283"/>
        <v>0</v>
      </c>
      <c r="KJ73" s="57">
        <f t="shared" si="284"/>
        <v>0</v>
      </c>
      <c r="KK73" s="57">
        <f t="shared" si="285"/>
        <v>0</v>
      </c>
      <c r="KL73" s="57">
        <f t="shared" si="286"/>
        <v>0</v>
      </c>
      <c r="KM73" s="1029">
        <f t="shared" si="433"/>
        <v>0</v>
      </c>
      <c r="KN73" s="57">
        <f t="shared" si="434"/>
        <v>0</v>
      </c>
      <c r="KO73" s="171" t="str">
        <f t="shared" si="435"/>
        <v/>
      </c>
      <c r="KP73" s="57">
        <f t="shared" si="287"/>
        <v>0</v>
      </c>
      <c r="KQ73" s="57">
        <f>IF(OR(AND(KE$6=1,$L73=0),AND(KE$6=2,$K73=2,$G73=1)),0,IF(AND(KG$9=2,(OR($F73&gt;1,$K73=1,AND($L73=80,OR($N73=1,AND($N73=2,'#BerechnungDBE'!$AL64&gt;0)))))),IF(KE$4&gt;=$AD$126,0,KO73),IF(KG$9=3,IF(OR(KE$4&gt;=$AD$127,AND($G73=1,$J73=2,KE$6=2),AND(KE$6=1,$N73&lt;&gt;1)),0,IF(KI73&lt;=120,KO73,IF(KE$4&lt;$AD$124,IF($F73=1,60/KG$4*KG$6,60/KG$4*KG$7),IF($F73=1,120/KG$4*KG$6,120/KG$4*KG$7)))),IF(OR($F73=3,$G73=2),IF(OR(AND(KE$4&gt;=$AD$119,$C73=2),AND(KE$4&gt;=$AF$119,$C73=1)),0,IF(KI73&lt;=60,KO73,60/KG$4*KG$7)),IF(AND($F73=2,$G73=1),KO73,0)))))</f>
        <v>0</v>
      </c>
      <c r="KR73" s="57" t="str">
        <f t="shared" si="118"/>
        <v/>
      </c>
      <c r="KS73" s="57" t="str">
        <f t="shared" si="436"/>
        <v/>
      </c>
      <c r="KT73" s="713">
        <f>'org. Düngung 22'!CF72</f>
        <v>0</v>
      </c>
      <c r="KU73" s="57"/>
      <c r="KV73" s="57"/>
      <c r="KW73" s="57">
        <f t="shared" si="120"/>
        <v>0</v>
      </c>
      <c r="KX73" s="57">
        <f t="shared" si="288"/>
        <v>0</v>
      </c>
      <c r="KY73" s="57">
        <f t="shared" si="289"/>
        <v>0</v>
      </c>
      <c r="KZ73" s="57">
        <f t="shared" si="290"/>
        <v>0</v>
      </c>
      <c r="LA73" s="57">
        <f t="shared" si="291"/>
        <v>0</v>
      </c>
      <c r="LB73" s="1029">
        <f t="shared" si="437"/>
        <v>0</v>
      </c>
      <c r="LC73" s="57">
        <f t="shared" si="438"/>
        <v>0</v>
      </c>
      <c r="LD73" s="171" t="str">
        <f t="shared" si="439"/>
        <v/>
      </c>
      <c r="LE73" s="57">
        <f t="shared" si="292"/>
        <v>0</v>
      </c>
      <c r="LF73" s="57">
        <f>IF(OR(AND(KT$6=1,$L73=0),AND(KT$6=2,$K73=2,$G73=1)),0,IF(AND(KV$9=2,(OR($F73&gt;1,$K73=1,AND($L73=80,OR($N73=1,AND($N73=2,'#BerechnungDBE'!$AL64&gt;0)))))),IF(KT$4&gt;=$AD$126,0,LD73),IF(KV$9=3,IF(OR(KT$4&gt;=$AD$127,AND($G73=1,$J73=2,KT$6=2),AND(KT$6=1,$N73&lt;&gt;1)),0,IF(KX73&lt;=120,LD73,IF(KT$4&lt;$AD$124,IF($F73=1,60/KV$4*KV$6,60/KV$4*KV$7),IF($F73=1,120/KV$4*KV$6,120/KV$4*KV$7)))),IF(OR($F73=3,$G73=2),IF(OR(AND(KT$4&gt;=$AD$119,$C73=2),AND(KT$4&gt;=$AF$119,$C73=1)),0,IF(KX73&lt;=60,LD73,60/KV$4*KV$7)),IF(AND($F73=2,$G73=1),LD73,0)))))</f>
        <v>0</v>
      </c>
      <c r="LG73" s="57" t="str">
        <f t="shared" si="124"/>
        <v/>
      </c>
      <c r="LH73" s="57" t="str">
        <f t="shared" si="440"/>
        <v/>
      </c>
      <c r="LI73" s="713">
        <f>'org. Düngung 22'!CJ72</f>
        <v>0</v>
      </c>
      <c r="LJ73" s="57"/>
      <c r="LK73" s="57"/>
      <c r="LL73" s="57">
        <f t="shared" si="126"/>
        <v>0</v>
      </c>
      <c r="LM73" s="57">
        <f t="shared" si="293"/>
        <v>0</v>
      </c>
      <c r="LN73" s="57">
        <f t="shared" si="294"/>
        <v>0</v>
      </c>
      <c r="LO73" s="57">
        <f t="shared" si="295"/>
        <v>0</v>
      </c>
      <c r="LP73" s="57">
        <f t="shared" si="296"/>
        <v>0</v>
      </c>
      <c r="LQ73" s="1029">
        <f t="shared" si="441"/>
        <v>0</v>
      </c>
      <c r="LR73" s="57">
        <f t="shared" si="442"/>
        <v>0</v>
      </c>
      <c r="LS73" s="171" t="str">
        <f t="shared" si="443"/>
        <v/>
      </c>
      <c r="LT73" s="57">
        <f t="shared" si="297"/>
        <v>0</v>
      </c>
      <c r="LU73" s="57">
        <f>IF(OR(AND(LI$6=1,$L73=0),AND(LI$6=2,$K73=2,$G73=1)),0,IF(AND(LK$9=2,(OR($F73&gt;1,$K73=1,AND($L73=80,OR($N73=1,AND($N73=2,'#BerechnungDBE'!$AL64&gt;0)))))),IF(LI$4&gt;=$AD$126,0,LS73),IF(LK$9=3,IF(OR(LI$4&gt;=$AD$127,AND($G73=1,$J73=2,LI$6=2),AND(LI$6=1,$N73&lt;&gt;1)),0,IF(LM73&lt;=120,LS73,IF(LI$4&lt;$AD$124,IF($F73=1,60/LK$4*LK$6,60/LK$4*LK$7),IF($F73=1,120/LK$4*LK$6,120/LK$4*LK$7)))),IF(OR($F73=3,$G73=2),IF(OR(AND(LI$4&gt;=$AD$119,$C73=2),AND(LI$4&gt;=$AF$119,$C73=1)),0,IF(LM73&lt;=60,LS73,60/LK$4*LK$7)),IF(AND($F73=2,$G73=1),LS73,0)))))</f>
        <v>0</v>
      </c>
      <c r="LV73" s="57" t="str">
        <f t="shared" si="130"/>
        <v/>
      </c>
      <c r="LW73" s="57" t="str">
        <f t="shared" si="444"/>
        <v/>
      </c>
      <c r="LX73" s="713">
        <f>'org. Düngung 22'!CN72</f>
        <v>0</v>
      </c>
      <c r="LY73" s="57"/>
      <c r="LZ73" s="57"/>
      <c r="MA73" s="57">
        <f t="shared" si="132"/>
        <v>0</v>
      </c>
      <c r="MB73" s="57">
        <f t="shared" si="298"/>
        <v>0</v>
      </c>
      <c r="MC73" s="57">
        <f t="shared" si="299"/>
        <v>0</v>
      </c>
      <c r="MD73" s="57">
        <f t="shared" si="300"/>
        <v>0</v>
      </c>
      <c r="ME73" s="57">
        <f t="shared" si="301"/>
        <v>0</v>
      </c>
      <c r="MF73" s="1029">
        <f t="shared" si="445"/>
        <v>0</v>
      </c>
      <c r="MG73" s="57">
        <f t="shared" si="446"/>
        <v>0</v>
      </c>
      <c r="MH73" s="171" t="str">
        <f t="shared" si="447"/>
        <v/>
      </c>
      <c r="MI73" s="57">
        <f t="shared" si="302"/>
        <v>0</v>
      </c>
      <c r="MJ73" s="57">
        <f>IF(OR(AND(LX$6=1,$L73=0),AND(LX$6=2,$K73=2,$G73=1)),0,IF(AND(LZ$9=2,(OR($F73&gt;1,$K73=1,AND($L73=80,OR($N73=1,AND($N73=2,'#BerechnungDBE'!$AL64&gt;0)))))),IF(LX$4&gt;=$AD$126,0,MH73),IF(LZ$9=3,IF(OR(LX$4&gt;=$AD$127,AND($G73=1,$J73=2,LX$6=2),AND(LX$6=1,$N73&lt;&gt;1)),0,IF(MB73&lt;=120,MH73,IF(LX$4&lt;$AD$124,IF($F73=1,60/LZ$4*LZ$6,60/LZ$4*LZ$7),IF($F73=1,120/LZ$4*LZ$6,120/LZ$4*LZ$7)))),IF(OR($F73=3,$G73=2),IF(OR(AND(LX$4&gt;=$AD$119,$C73=2),AND(LX$4&gt;=$AF$119,$C73=1)),0,IF(MB73&lt;=60,MH73,60/LZ$4*LZ$7)),IF(AND($F73=2,$G73=1),MH73,0)))))</f>
        <v>0</v>
      </c>
      <c r="MK73" s="57" t="str">
        <f t="shared" si="136"/>
        <v/>
      </c>
      <c r="ML73" s="57" t="str">
        <f t="shared" si="448"/>
        <v/>
      </c>
      <c r="MM73" s="713">
        <f>'org. Düngung 22'!CR72</f>
        <v>0</v>
      </c>
      <c r="MN73" s="57"/>
      <c r="MO73" s="57"/>
      <c r="MP73" s="57">
        <f t="shared" si="138"/>
        <v>0</v>
      </c>
      <c r="MQ73" s="57">
        <f t="shared" si="303"/>
        <v>0</v>
      </c>
      <c r="MR73" s="57">
        <f t="shared" si="304"/>
        <v>0</v>
      </c>
      <c r="MS73" s="57">
        <f t="shared" si="305"/>
        <v>0</v>
      </c>
      <c r="MT73" s="57">
        <f t="shared" si="306"/>
        <v>0</v>
      </c>
      <c r="MU73" s="1029">
        <f t="shared" si="449"/>
        <v>0</v>
      </c>
      <c r="MV73" s="57">
        <f t="shared" si="450"/>
        <v>0</v>
      </c>
      <c r="MW73" s="171" t="str">
        <f t="shared" si="451"/>
        <v/>
      </c>
      <c r="MX73" s="57">
        <f t="shared" si="307"/>
        <v>0</v>
      </c>
      <c r="MY73" s="57">
        <f>IF(OR(AND(MM$6=1,$L73=0),AND(MM$6=2,$K73=2,$G73=1)),0,IF(AND(MO$9=2,(OR($F73&gt;1,$K73=1,AND($L73=80,OR($N73=1,AND($N73=2,'#BerechnungDBE'!$AL64&gt;0)))))),IF(MM$4&gt;=$AD$126,0,MW73),IF(MO$9=3,IF(OR(MM$4&gt;=$AD$127,AND($G73=1,$J73=2,MM$6=2),AND(MM$6=1,$N73&lt;&gt;1)),0,IF(MQ73&lt;=120,MW73,IF(MM$4&lt;$AD$124,IF($F73=1,60/MO$4*MO$6,60/MO$4*MO$7),IF($F73=1,120/MO$4*MO$6,120/MO$4*MO$7)))),IF(OR($F73=3,$G73=2),IF(OR(AND(MM$4&gt;=$AD$119,$C73=2),AND(MM$4&gt;=$AF$119,$C73=1)),0,IF(MQ73&lt;=60,MW73,60/MO$4*MO$7)),IF(AND($F73=2,$G73=1),MW73,0)))))</f>
        <v>0</v>
      </c>
      <c r="MZ73" s="57" t="str">
        <f t="shared" si="142"/>
        <v/>
      </c>
      <c r="NA73" s="57" t="str">
        <f t="shared" si="452"/>
        <v/>
      </c>
      <c r="NB73" s="713">
        <f>'org. Düngung 22'!CV72</f>
        <v>0</v>
      </c>
      <c r="NC73" s="57"/>
      <c r="ND73" s="57"/>
      <c r="NE73" s="57">
        <f t="shared" si="144"/>
        <v>0</v>
      </c>
      <c r="NF73" s="57">
        <f t="shared" si="308"/>
        <v>0</v>
      </c>
      <c r="NG73" s="57">
        <f t="shared" si="309"/>
        <v>0</v>
      </c>
      <c r="NH73" s="57">
        <f t="shared" si="310"/>
        <v>0</v>
      </c>
      <c r="NI73" s="57">
        <f t="shared" si="311"/>
        <v>0</v>
      </c>
      <c r="NJ73" s="1029">
        <f t="shared" si="453"/>
        <v>0</v>
      </c>
      <c r="NK73" s="57">
        <f t="shared" si="454"/>
        <v>0</v>
      </c>
      <c r="NL73" s="171" t="str">
        <f t="shared" si="455"/>
        <v/>
      </c>
      <c r="NM73" s="57">
        <f t="shared" si="312"/>
        <v>0</v>
      </c>
      <c r="NN73" s="57">
        <f>IF(OR(AND(NB$6=1,$L73=0),AND(NB$6=2,$K73=2,$G73=1)),0,IF(AND(ND$9=2,(OR($F73&gt;1,$K73=1,AND($L73=80,OR($N73=1,AND($N73=2,'#BerechnungDBE'!$AL64&gt;0)))))),IF(NB$4&gt;=$AD$126,0,NL73),IF(ND$9=3,IF(OR(NB$4&gt;=$AD$127,AND($G73=1,$J73=2,NB$6=2),AND(NB$6=1,$N73&lt;&gt;1)),0,IF(NF73&lt;=120,NL73,IF(NB$4&lt;$AD$124,IF($F73=1,60/ND$4*ND$6,60/ND$4*ND$7),IF($F73=1,120/ND$4*ND$6,120/ND$4*ND$7)))),IF(OR($F73=3,$G73=2),IF(OR(AND(NB$4&gt;=$AD$119,$C73=2),AND(NB$4&gt;=$AF$119,$C73=1)),0,IF(NF73&lt;=60,NL73,60/ND$4*ND$7)),IF(AND($F73=2,$G73=1),NL73,0)))))</f>
        <v>0</v>
      </c>
      <c r="NO73" s="57" t="str">
        <f t="shared" si="148"/>
        <v/>
      </c>
      <c r="NP73" s="57" t="str">
        <f t="shared" si="456"/>
        <v/>
      </c>
      <c r="NQ73" s="713">
        <f>'org. Düngung 22'!CZ72</f>
        <v>0</v>
      </c>
      <c r="NR73" s="57"/>
      <c r="NS73" s="57"/>
      <c r="NT73" s="57">
        <f t="shared" si="150"/>
        <v>0</v>
      </c>
      <c r="NU73" s="57">
        <f t="shared" si="313"/>
        <v>0</v>
      </c>
      <c r="NV73" s="57">
        <f t="shared" si="314"/>
        <v>0</v>
      </c>
      <c r="NW73" s="57">
        <f t="shared" si="315"/>
        <v>0</v>
      </c>
      <c r="NX73" s="57">
        <f t="shared" si="316"/>
        <v>0</v>
      </c>
      <c r="NY73" s="1029">
        <f t="shared" si="457"/>
        <v>0</v>
      </c>
      <c r="NZ73" s="57">
        <f t="shared" si="458"/>
        <v>0</v>
      </c>
      <c r="OA73" s="171" t="str">
        <f t="shared" si="459"/>
        <v/>
      </c>
      <c r="OB73" s="57">
        <f t="shared" si="317"/>
        <v>0</v>
      </c>
      <c r="OC73" s="57">
        <f>IF(OR(AND(NQ$6=1,$L73=0),AND(NQ$6=2,$K73=2,$G73=1)),0,IF(AND(NS$9=2,(OR($F73&gt;1,$K73=1,AND($L73=80,OR($N73=1,AND($N73=2,'#BerechnungDBE'!$AL64&gt;0)))))),IF(NQ$4&gt;=$AD$126,0,OA73),IF(NS$9=3,IF(OR(NQ$4&gt;=$AD$127,AND($G73=1,$J73=2,NQ$6=2),AND(NQ$6=1,$N73&lt;&gt;1)),0,IF(NU73&lt;=120,OA73,IF(NQ$4&lt;$AD$124,IF($F73=1,60/NS$4*NS$6,60/NS$4*NS$7),IF($F73=1,120/NS$4*NS$6,120/NS$4*NS$7)))),IF(OR($F73=3,$G73=2),IF(OR(AND(NQ$4&gt;=$AD$119,$C73=2),AND(NQ$4&gt;=$AF$119,$C73=1)),0,IF(NU73&lt;=60,OA73,60/NS$4*NS$7)),IF(AND($F73=2,$G73=1),OA73,0)))))</f>
        <v>0</v>
      </c>
      <c r="OD73" s="57" t="str">
        <f t="shared" si="154"/>
        <v/>
      </c>
      <c r="OE73" s="57" t="str">
        <f t="shared" si="460"/>
        <v/>
      </c>
      <c r="OF73" s="713">
        <f>'org. Düngung 22'!DD72</f>
        <v>0</v>
      </c>
      <c r="OG73" s="57"/>
      <c r="OH73" s="57"/>
      <c r="OI73" s="57">
        <f t="shared" si="156"/>
        <v>0</v>
      </c>
      <c r="OJ73" s="57">
        <f t="shared" si="318"/>
        <v>0</v>
      </c>
      <c r="OK73" s="57">
        <f t="shared" si="319"/>
        <v>0</v>
      </c>
      <c r="OL73" s="57">
        <f t="shared" si="320"/>
        <v>0</v>
      </c>
      <c r="OM73" s="57">
        <f t="shared" si="321"/>
        <v>0</v>
      </c>
      <c r="ON73" s="1029">
        <f t="shared" si="461"/>
        <v>0</v>
      </c>
      <c r="OO73" s="57">
        <f t="shared" si="462"/>
        <v>0</v>
      </c>
      <c r="OP73" s="171" t="str">
        <f t="shared" si="463"/>
        <v/>
      </c>
      <c r="OQ73" s="57">
        <f t="shared" si="322"/>
        <v>0</v>
      </c>
      <c r="OR73" s="57">
        <f>IF(OR(AND(OF$6=1,$L73=0),AND(OF$6=2,$K73=2,$G73=1)),0,IF(AND(OH$9=2,(OR($F73&gt;1,$K73=1,AND($L73=80,OR($N73=1,AND($N73=2,'#BerechnungDBE'!$AL64&gt;0)))))),IF(OF$4&gt;=$AD$126,0,OP73),IF(OH$9=3,IF(OR(OF$4&gt;=$AD$127,AND($G73=1,$J73=2,OF$6=2),AND(OF$6=1,$N73&lt;&gt;1)),0,IF(OJ73&lt;=120,OP73,IF(OF$4&lt;$AD$124,IF($F73=1,60/OH$4*OH$6,60/OH$4*OH$7),IF($F73=1,120/OH$4*OH$6,120/OH$4*OH$7)))),IF(OR($F73=3,$G73=2),IF(OR(AND(OF$4&gt;=$AD$119,$C73=2),AND(OF$4&gt;=$AF$119,$C73=1)),0,IF(OJ73&lt;=60,OP73,60/OH$4*OH$7)),IF(AND($F73=2,$G73=1),OP73,0)))))</f>
        <v>0</v>
      </c>
      <c r="OS73" s="57" t="str">
        <f t="shared" si="160"/>
        <v/>
      </c>
      <c r="OT73" s="57" t="str">
        <f t="shared" si="464"/>
        <v/>
      </c>
      <c r="OU73" s="713">
        <f>'org. Düngung 22'!DH72</f>
        <v>0</v>
      </c>
      <c r="OV73" s="57"/>
      <c r="OW73" s="57"/>
      <c r="OX73" s="57">
        <f t="shared" si="162"/>
        <v>0</v>
      </c>
      <c r="OY73" s="57">
        <f t="shared" si="323"/>
        <v>0</v>
      </c>
      <c r="OZ73" s="57">
        <f t="shared" si="324"/>
        <v>0</v>
      </c>
      <c r="PA73" s="57">
        <f t="shared" si="325"/>
        <v>0</v>
      </c>
      <c r="PB73" s="57">
        <f t="shared" si="326"/>
        <v>0</v>
      </c>
      <c r="PC73" s="1029">
        <f t="shared" si="465"/>
        <v>0</v>
      </c>
      <c r="PD73" s="57">
        <f t="shared" si="466"/>
        <v>0</v>
      </c>
      <c r="PE73" s="171" t="str">
        <f t="shared" si="467"/>
        <v/>
      </c>
      <c r="PF73" s="57">
        <f t="shared" si="327"/>
        <v>0</v>
      </c>
      <c r="PG73" s="57">
        <f>IF(OR(AND(OU$6=1,$L73=0),AND(OU$6=2,$K73=2,$G73=1)),0,IF(AND(OW$9=2,(OR($F73&gt;1,$K73=1,AND($L73=80,OR($N73=1,AND($N73=2,'#BerechnungDBE'!$AL64&gt;0)))))),IF(OU$4&gt;=$AD$126,0,PE73),IF(OW$9=3,IF(OR(OU$4&gt;=$AD$127,AND($G73=1,$J73=2,OU$6=2),AND(OU$6=1,$N73&lt;&gt;1)),0,IF(OY73&lt;=120,PE73,IF(OU$4&lt;$AD$124,IF($F73=1,60/OW$4*OW$6,60/OW$4*OW$7),IF($F73=1,120/OW$4*OW$6,120/OW$4*OW$7)))),IF(OR($F73=3,$G73=2),IF(OR(AND(OU$4&gt;=$AD$119,$C73=2),AND(OU$4&gt;=$AF$119,$C73=1)),0,IF(OY73&lt;=60,PE73,60/OW$4*OW$7)),IF(AND($F73=2,$G73=1),PE73,0)))))</f>
        <v>0</v>
      </c>
      <c r="PH73" s="57" t="str">
        <f t="shared" si="166"/>
        <v/>
      </c>
      <c r="PI73" s="57" t="str">
        <f t="shared" si="468"/>
        <v/>
      </c>
      <c r="PJ73" s="713">
        <f>'org. Düngung 22'!DL72</f>
        <v>0</v>
      </c>
      <c r="PK73" s="57"/>
      <c r="PL73" s="57"/>
      <c r="PM73" s="57">
        <f t="shared" si="168"/>
        <v>0</v>
      </c>
      <c r="PN73" s="57">
        <f t="shared" si="328"/>
        <v>0</v>
      </c>
      <c r="PO73" s="57">
        <f t="shared" si="329"/>
        <v>0</v>
      </c>
      <c r="PP73" s="57">
        <f t="shared" si="330"/>
        <v>0</v>
      </c>
      <c r="PQ73" s="57">
        <f t="shared" si="331"/>
        <v>0</v>
      </c>
      <c r="PR73" s="1029">
        <f t="shared" si="469"/>
        <v>0</v>
      </c>
      <c r="PS73" s="57">
        <f t="shared" si="470"/>
        <v>0</v>
      </c>
      <c r="PT73" s="171" t="str">
        <f t="shared" si="471"/>
        <v/>
      </c>
      <c r="PU73" s="57">
        <f t="shared" si="332"/>
        <v>0</v>
      </c>
      <c r="PV73" s="57">
        <f>IF(OR(AND(PJ$6=1,$L73=0),AND(PJ$6=2,$K73=2,$G73=1)),0,IF(AND(PL$9=2,(OR($F73&gt;1,$K73=1,AND($L73=80,OR($N73=1,AND($N73=2,'#BerechnungDBE'!$AL64&gt;0)))))),IF(PJ$4&gt;=$AD$126,0,PT73),IF(PL$9=3,IF(OR(PJ$4&gt;=$AD$127,AND($G73=1,$J73=2,PJ$6=2),AND(PJ$6=1,$N73&lt;&gt;1)),0,IF(PN73&lt;=120,PT73,IF(PJ$4&lt;$AD$124,IF($F73=1,60/PL$4*PL$6,60/PL$4*PL$7),IF($F73=1,120/PL$4*PL$6,120/PL$4*PL$7)))),IF(OR($F73=3,$G73=2),IF(OR(AND(PJ$4&gt;=$AD$119,$C73=2),AND(PJ$4&gt;=$AF$119,$C73=1)),0,IF(PN73&lt;=60,PT73,60/PL$4*PL$7)),IF(AND($F73=2,$G73=1),PT73,0)))))</f>
        <v>0</v>
      </c>
      <c r="PW73" s="57" t="str">
        <f t="shared" si="172"/>
        <v/>
      </c>
      <c r="PX73" s="57" t="str">
        <f t="shared" si="472"/>
        <v/>
      </c>
      <c r="PY73" s="713">
        <f>'org. Düngung 22'!DP72</f>
        <v>0</v>
      </c>
      <c r="PZ73" s="57"/>
      <c r="QA73" s="57"/>
      <c r="QB73" s="57">
        <f t="shared" si="174"/>
        <v>0</v>
      </c>
      <c r="QC73" s="57">
        <f t="shared" si="333"/>
        <v>0</v>
      </c>
      <c r="QD73" s="57">
        <f t="shared" si="334"/>
        <v>0</v>
      </c>
      <c r="QE73" s="57">
        <f t="shared" si="335"/>
        <v>0</v>
      </c>
      <c r="QF73" s="57">
        <f t="shared" si="336"/>
        <v>0</v>
      </c>
      <c r="QG73" s="1029">
        <f t="shared" si="473"/>
        <v>0</v>
      </c>
      <c r="QH73" s="57">
        <f t="shared" si="474"/>
        <v>0</v>
      </c>
      <c r="QI73" s="171" t="str">
        <f t="shared" si="475"/>
        <v/>
      </c>
      <c r="QJ73" s="57">
        <f t="shared" si="337"/>
        <v>0</v>
      </c>
      <c r="QK73" s="57">
        <f>IF(OR(AND(PY$6=1,$L73=0),AND(PY$6=2,$K73=2,$G73=1)),0,IF(AND(QA$9=2,(OR($F73&gt;1,$K73=1,AND($L73=80,OR($N73=1,AND($N73=2,'#BerechnungDBE'!$AL64&gt;0)))))),IF(PY$4&gt;=$AD$126,0,QI73),IF(QA$9=3,IF(OR(PY$4&gt;=$AD$127,AND($G73=1,$J73=2,PY$6=2),AND(PY$6=1,$N73&lt;&gt;1)),0,IF(QC73&lt;=120,QI73,IF(PY$4&lt;$AD$124,IF($F73=1,60/QA$4*QA$6,60/QA$4*QA$7),IF($F73=1,120/QA$4*QA$6,120/QA$4*QA$7)))),IF(OR($F73=3,$G73=2),IF(OR(AND(PY$4&gt;=$AD$119,$C73=2),AND(PY$4&gt;=$AF$119,$C73=1)),0,IF(QC73&lt;=60,QI73,60/QA$4*QA$7)),IF(AND($F73=2,$G73=1),QI73,0)))))</f>
        <v>0</v>
      </c>
      <c r="QL73" s="57" t="str">
        <f t="shared" si="178"/>
        <v/>
      </c>
      <c r="QM73" s="57" t="str">
        <f t="shared" si="476"/>
        <v/>
      </c>
      <c r="QN73" s="713">
        <f>'org. Düngung 22'!DT72</f>
        <v>0</v>
      </c>
      <c r="QO73" s="57"/>
      <c r="QP73" s="57"/>
      <c r="QQ73" s="57">
        <f t="shared" si="180"/>
        <v>0</v>
      </c>
      <c r="QR73" s="57">
        <f t="shared" si="338"/>
        <v>0</v>
      </c>
      <c r="QS73" s="57">
        <f t="shared" si="339"/>
        <v>0</v>
      </c>
      <c r="QT73" s="57">
        <f t="shared" si="340"/>
        <v>0</v>
      </c>
      <c r="QU73" s="57">
        <f t="shared" si="341"/>
        <v>0</v>
      </c>
      <c r="QV73" s="1029">
        <f t="shared" si="477"/>
        <v>0</v>
      </c>
      <c r="QW73" s="57">
        <f t="shared" si="478"/>
        <v>0</v>
      </c>
      <c r="QX73" s="171" t="str">
        <f t="shared" si="479"/>
        <v/>
      </c>
      <c r="QY73" s="57">
        <f t="shared" si="342"/>
        <v>0</v>
      </c>
      <c r="QZ73" s="57">
        <f>IF(OR(AND(QN$6=1,$L73=0),AND(QN$6=2,$K73=2,$G73=1)),0,IF(AND(QP$9=2,(OR($F73&gt;1,$K73=1,AND($L73=80,OR($N73=1,AND($N73=2,'#BerechnungDBE'!$AL64&gt;0)))))),IF(QN$4&gt;=$AD$126,0,QX73),IF(QP$9=3,IF(OR(QN$4&gt;=$AD$127,AND($G73=1,$J73=2,QN$6=2),AND(QN$6=1,$N73&lt;&gt;1)),0,IF(QR73&lt;=120,QX73,IF(QN$4&lt;$AD$124,IF($F73=1,60/QP$4*QP$6,60/QP$4*QP$7),IF($F73=1,120/QP$4*QP$6,120/QP$4*QP$7)))),IF(OR($F73=3,$G73=2),IF(OR(AND(QN$4&gt;=$AD$119,$C73=2),AND(QN$4&gt;=$AF$119,$C73=1)),0,IF(QR73&lt;=60,QX73,60/QP$4*QP$7)),IF(AND($F73=2,$G73=1),QX73,0)))))</f>
        <v>0</v>
      </c>
      <c r="RA73" s="57" t="str">
        <f t="shared" si="184"/>
        <v/>
      </c>
      <c r="RB73" s="57" t="str">
        <f t="shared" si="480"/>
        <v/>
      </c>
      <c r="RC73" s="713">
        <f>'org. Düngung 22'!DX72</f>
        <v>0</v>
      </c>
      <c r="RD73" s="57"/>
      <c r="RE73" s="57"/>
      <c r="RF73" s="57">
        <f t="shared" si="186"/>
        <v>0</v>
      </c>
      <c r="RG73" s="57">
        <f t="shared" si="343"/>
        <v>0</v>
      </c>
      <c r="RH73" s="57">
        <f t="shared" si="344"/>
        <v>0</v>
      </c>
      <c r="RI73" s="57">
        <f t="shared" si="345"/>
        <v>0</v>
      </c>
      <c r="RJ73" s="57">
        <f t="shared" si="346"/>
        <v>0</v>
      </c>
      <c r="RK73" s="1029">
        <f t="shared" si="481"/>
        <v>0</v>
      </c>
      <c r="RL73" s="57">
        <f t="shared" si="482"/>
        <v>0</v>
      </c>
      <c r="RM73" s="171" t="str">
        <f t="shared" si="483"/>
        <v/>
      </c>
      <c r="RN73" s="57">
        <f t="shared" si="347"/>
        <v>0</v>
      </c>
      <c r="RO73" s="57">
        <f>IF(OR(AND(RC$6=1,$L73=0),AND(RC$6=2,$K73=2,$G73=1)),0,IF(AND(RE$9=2,(OR($F73&gt;1,$K73=1,AND($L73=80,OR($N73=1,AND($N73=2,'#BerechnungDBE'!$AL64&gt;0)))))),IF(RC$4&gt;=$AD$126,0,RM73),IF(RE$9=3,IF(OR(RC$4&gt;=$AD$127,AND($G73=1,$J73=2,RC$6=2),AND(RC$6=1,$N73&lt;&gt;1)),0,IF(RG73&lt;=120,RM73,IF(RC$4&lt;$AD$124,IF($F73=1,60/RE$4*RE$6,60/RE$4*RE$7),IF($F73=1,120/RE$4*RE$6,120/RE$4*RE$7)))),IF(OR($F73=3,$G73=2),IF(OR(AND(RC$4&gt;=$AD$119,$C73=2),AND(RC$4&gt;=$AF$119,$C73=1)),0,IF(RG73&lt;=60,RM73,60/RE$4*RE$7)),IF(AND($F73=2,$G73=1),RM73,0)))))</f>
        <v>0</v>
      </c>
      <c r="RP73" s="57" t="str">
        <f t="shared" si="190"/>
        <v/>
      </c>
      <c r="RQ73" s="57" t="str">
        <f t="shared" si="484"/>
        <v/>
      </c>
      <c r="RS73" s="57" t="str">
        <f t="shared" si="488"/>
        <v/>
      </c>
      <c r="RT73" s="57" t="str">
        <f t="shared" si="485"/>
        <v/>
      </c>
      <c r="RU73" s="57" t="str">
        <f t="shared" si="486"/>
        <v/>
      </c>
      <c r="RV73" s="57" t="str">
        <f>IF(Z73&gt;'#BerechnungDBE'!BM64,$RV$9,"")</f>
        <v/>
      </c>
      <c r="RW73" s="57" t="str">
        <f>IF(AND(L73=70,AE73&gt;'#BerechnungDBE'!CQ64),$RW$9,"")</f>
        <v/>
      </c>
      <c r="RX73" s="57" t="str">
        <f>IF(OR('org. Düngung 22'!G72="--",'org. Düngung 22'!G72&lt;=170,'org. Düngung 22'!G72=""),"",$RX$9)</f>
        <v/>
      </c>
      <c r="RY73" s="57" t="str">
        <f>IF('org. Düngung 22'!K72&gt;120,'#orgDung'!$RY$9,"")</f>
        <v/>
      </c>
      <c r="RZ73" s="57" t="str">
        <f>IF('#BerechnungDBE'!P64&lt;4,"",IF(AND('#BerechnungDBE'!BZ64&gt;0,T73&gt;0),'#orgDung'!$RZ$9,""))</f>
        <v/>
      </c>
      <c r="SA73" s="57" t="str">
        <f t="shared" si="487"/>
        <v/>
      </c>
    </row>
    <row r="74" spans="1:495" s="875" customFormat="1" x14ac:dyDescent="0.2">
      <c r="A74" s="875">
        <f>'Flächen u. Kulturen'!A70</f>
        <v>61</v>
      </c>
      <c r="B74" s="367">
        <f>'#BerechnungDBE'!L65</f>
        <v>0</v>
      </c>
      <c r="C74" s="875">
        <f>'#BerechnungDBE'!R65</f>
        <v>1</v>
      </c>
      <c r="D74" s="875">
        <f>'#BerechnungDBE'!T65</f>
        <v>2</v>
      </c>
      <c r="E74" s="875" t="str">
        <f>'Flächen u. Kulturen'!E70</f>
        <v>x</v>
      </c>
      <c r="F74" s="52">
        <f>'#BerechnungDBE'!N65</f>
        <v>1</v>
      </c>
      <c r="G74" s="52">
        <f>'#BerechnungDBE'!O65</f>
        <v>1</v>
      </c>
      <c r="H74" s="875">
        <f>IF('Flächen u. Kulturen'!P70="",0,VLOOKUP('Flächen u. Kulturen'!P70,Kulturen[[HF]:[Berechnungsgruppe]],'#Frucht'!$H$1,FALSE))</f>
        <v>0</v>
      </c>
      <c r="I74" s="875">
        <f>IF('Flächen u. Kulturen'!J70="",0,VLOOKUP('Flächen u. Kulturen'!J70,Kulturen[[HF]:[Berechnungsgruppe]],'#Frucht'!$G$1,FALSE))</f>
        <v>90</v>
      </c>
      <c r="J74" s="505">
        <f t="shared" si="195"/>
        <v>2</v>
      </c>
      <c r="K74" s="505">
        <f>IF('Flächen u. Kulturen'!P70="",0,IF(VLOOKUP('Flächen u. Kulturen'!P70,Kulturen[[HF]:[Saat Winterungen]],'#Frucht'!$P$1,FALSE)&gt;0,1,2))</f>
        <v>2</v>
      </c>
      <c r="L74" s="875">
        <f>'#BerechnungDBE'!AF65</f>
        <v>0</v>
      </c>
      <c r="M74" s="875">
        <f>IF('Flächen u. Kulturen'!L70="",0,VLOOKUP('Flächen u. Kulturen'!L70,Nebenkultur[[Nebenkultur]:[Legum. Zwischenfr.]],'#Zweitfr'!$K$1,FALSE))</f>
        <v>0</v>
      </c>
      <c r="N74" s="875">
        <f>'#BerechnungDBE'!AG65</f>
        <v>0</v>
      </c>
      <c r="P74" s="57">
        <f t="shared" si="353"/>
        <v>0</v>
      </c>
      <c r="Q74" s="57">
        <f t="shared" si="354"/>
        <v>0</v>
      </c>
      <c r="R74" s="875">
        <f t="shared" si="355"/>
        <v>0</v>
      </c>
      <c r="S74" s="938" t="str">
        <f t="shared" si="3"/>
        <v/>
      </c>
      <c r="T74" s="875">
        <f t="shared" si="356"/>
        <v>0</v>
      </c>
      <c r="U74" s="875">
        <f t="shared" si="357"/>
        <v>0</v>
      </c>
      <c r="V74" s="875">
        <f t="shared" si="358"/>
        <v>0</v>
      </c>
      <c r="W74" s="875">
        <f t="shared" si="359"/>
        <v>0</v>
      </c>
      <c r="X74" s="875">
        <f t="shared" si="360"/>
        <v>0</v>
      </c>
      <c r="Y74" s="875">
        <f t="shared" si="349"/>
        <v>0</v>
      </c>
      <c r="Z74" s="875">
        <f t="shared" si="350"/>
        <v>0</v>
      </c>
      <c r="AA74" s="910">
        <f t="shared" si="361"/>
        <v>0</v>
      </c>
      <c r="AB74" s="57">
        <f t="shared" si="351"/>
        <v>0</v>
      </c>
      <c r="AC74" s="875">
        <f t="shared" si="362"/>
        <v>0</v>
      </c>
      <c r="AD74" s="875">
        <f t="shared" si="363"/>
        <v>0</v>
      </c>
      <c r="AE74" s="875">
        <f t="shared" si="364"/>
        <v>0</v>
      </c>
      <c r="AF74" s="875">
        <f t="shared" si="352"/>
        <v>0</v>
      </c>
      <c r="AG74" s="875">
        <f>'org. Düngung 22'!J73</f>
        <v>0</v>
      </c>
      <c r="AH74" s="875">
        <f>'org. Düngung 22'!K73</f>
        <v>0</v>
      </c>
      <c r="AJ74" s="713">
        <f>'org. Düngung 22'!L73</f>
        <v>0</v>
      </c>
      <c r="AK74" s="57"/>
      <c r="AL74" s="57"/>
      <c r="AM74" s="57">
        <f t="shared" si="196"/>
        <v>0</v>
      </c>
      <c r="AN74" s="57">
        <f t="shared" si="197"/>
        <v>0</v>
      </c>
      <c r="AO74" s="57">
        <f t="shared" si="198"/>
        <v>0</v>
      </c>
      <c r="AP74" s="57">
        <f t="shared" si="199"/>
        <v>0</v>
      </c>
      <c r="AQ74" s="57">
        <f t="shared" si="200"/>
        <v>0</v>
      </c>
      <c r="AR74" s="1029">
        <f t="shared" si="365"/>
        <v>0</v>
      </c>
      <c r="AS74" s="57">
        <f t="shared" si="366"/>
        <v>0</v>
      </c>
      <c r="AT74" s="171" t="str">
        <f t="shared" si="367"/>
        <v/>
      </c>
      <c r="AU74" s="57">
        <f t="shared" si="201"/>
        <v>0</v>
      </c>
      <c r="AV74" s="57">
        <f>IF(OR(AND(AJ$6=1,$L74=0),AND(AJ$6=2,$K74=2,$G74=1)),0,IF(AND(AL$9=2,(OR($F74&gt;1,$K74=1,AND($L74=80,OR($N74=1,AND($N74=2,'#BerechnungDBE'!$AL65&gt;0)))))),IF(AJ$4&gt;=$AD$126,0,AT74),IF(AL$9=3,IF(OR(AJ$4&gt;=$AD$127,AND($G74=1,$J74=2,AJ$6=2),AND(AJ$6=1,$N74&lt;&gt;1)),0,IF(AN74&lt;=120,AT74,IF(AJ$4&lt;$AD$124,IF($F74=1,60/AL$4*AL$6,60/AL$4*AL$7),IF($F74=1,120/AL$4*AL$6,120/AL$4*AL$7)))),IF(OR($F74=3,$G74=2),IF(OR(AND(AJ$4&gt;=$AD$119,$C74=2),AND(AJ$4&gt;=$AF$119,$C74=1)),0,IF(AN74&lt;=60,AT74,60/AL$4*AL$7)),IF(AND($F74=2,$G74=1),AT74,0)))))</f>
        <v>0</v>
      </c>
      <c r="AW74" s="57" t="str">
        <f t="shared" si="202"/>
        <v/>
      </c>
      <c r="AX74" s="57" t="str">
        <f t="shared" si="368"/>
        <v/>
      </c>
      <c r="AY74" s="713">
        <f>'org. Düngung 22'!P73</f>
        <v>0</v>
      </c>
      <c r="AZ74" s="57"/>
      <c r="BA74" s="57"/>
      <c r="BB74" s="57">
        <f t="shared" si="18"/>
        <v>0</v>
      </c>
      <c r="BC74" s="57">
        <f t="shared" si="203"/>
        <v>0</v>
      </c>
      <c r="BD74" s="57">
        <f t="shared" si="204"/>
        <v>0</v>
      </c>
      <c r="BE74" s="57">
        <f t="shared" si="205"/>
        <v>0</v>
      </c>
      <c r="BF74" s="57">
        <f t="shared" si="206"/>
        <v>0</v>
      </c>
      <c r="BG74" s="1029">
        <f t="shared" si="369"/>
        <v>0</v>
      </c>
      <c r="BH74" s="57">
        <f t="shared" si="370"/>
        <v>0</v>
      </c>
      <c r="BI74" s="171" t="str">
        <f t="shared" si="371"/>
        <v/>
      </c>
      <c r="BJ74" s="57">
        <f t="shared" si="207"/>
        <v>0</v>
      </c>
      <c r="BK74" s="57">
        <f>IF(OR(AND(AY$6=1,$L74=0),AND(AY$6=2,$K74=2,$G74=1)),0,IF(AND(BA$9=2,(OR($F74&gt;1,$K74=1,AND($L74=80,OR($N74=1,AND($N74=2,'#BerechnungDBE'!$AL65&gt;0)))))),IF(AY$4&gt;=$AD$126,0,BI74),IF(BA$9=3,IF(OR(AY$4&gt;=$AD$127,AND($G74=1,$J74=2,AY$6=2),AND(AY$6=1,$N74&lt;&gt;1)),0,IF(BC74&lt;=120,BI74,IF(AY$4&lt;$AD$124,IF($F74=1,60/BA$4*BA$6,60/BA$4*BA$7),IF($F74=1,120/BA$4*BA$6,120/BA$4*BA$7)))),IF(OR($F74=3,$G74=2),IF(OR(AND(AY$4&gt;=$AD$119,$C74=2),AND(AY$4&gt;=$AF$119,$C74=1)),0,IF(BC74&lt;=60,BI74,60/BA$4*BA$7)),IF(AND($F74=2,$G74=1),BI74,0)))))</f>
        <v>0</v>
      </c>
      <c r="BL74" s="57" t="str">
        <f t="shared" si="22"/>
        <v/>
      </c>
      <c r="BM74" s="57" t="str">
        <f t="shared" si="372"/>
        <v/>
      </c>
      <c r="BN74" s="713">
        <f>'org. Düngung 22'!T73</f>
        <v>0</v>
      </c>
      <c r="BO74" s="57"/>
      <c r="BP74" s="57"/>
      <c r="BQ74" s="57">
        <f t="shared" si="24"/>
        <v>0</v>
      </c>
      <c r="BR74" s="57">
        <f t="shared" si="208"/>
        <v>0</v>
      </c>
      <c r="BS74" s="57">
        <f t="shared" si="209"/>
        <v>0</v>
      </c>
      <c r="BT74" s="57">
        <f t="shared" si="210"/>
        <v>0</v>
      </c>
      <c r="BU74" s="57">
        <f t="shared" si="211"/>
        <v>0</v>
      </c>
      <c r="BV74" s="1029">
        <f t="shared" si="373"/>
        <v>0</v>
      </c>
      <c r="BW74" s="57">
        <f t="shared" si="374"/>
        <v>0</v>
      </c>
      <c r="BX74" s="171" t="str">
        <f t="shared" si="375"/>
        <v/>
      </c>
      <c r="BY74" s="57">
        <f t="shared" si="212"/>
        <v>0</v>
      </c>
      <c r="BZ74" s="57">
        <f>IF(OR(AND(BN$6=1,$L74=0),AND(BN$6=2,$K74=2,$G74=1)),0,IF(AND(BP$9=2,(OR($F74&gt;1,$K74=1,AND($L74=80,OR($N74=1,AND($N74=2,'#BerechnungDBE'!$AL65&gt;0)))))),IF(BN$4&gt;=$AD$126,0,BX74),IF(BP$9=3,IF(OR(BN$4&gt;=$AD$127,AND($G74=1,$J74=2,BN$6=2),AND(BN$6=1,$N74&lt;&gt;1)),0,IF(BR74&lt;=120,BX74,IF(BN$4&lt;$AD$124,IF($F74=1,60/BP$4*BP$6,60/BP$4*BP$7),IF($F74=1,120/BP$4*BP$6,120/BP$4*BP$7)))),IF(OR($F74=3,$G74=2),IF(OR(AND(BN$4&gt;=$AD$119,$C74=2),AND(BN$4&gt;=$AF$119,$C74=1)),0,IF(BR74&lt;=60,BX74,60/BP$4*BP$7)),IF(AND($F74=2,$G74=1),BX74,0)))))</f>
        <v>0</v>
      </c>
      <c r="CA74" s="57" t="str">
        <f t="shared" si="28"/>
        <v/>
      </c>
      <c r="CB74" s="57" t="str">
        <f t="shared" si="376"/>
        <v/>
      </c>
      <c r="CC74" s="713">
        <f>'org. Düngung 22'!X73</f>
        <v>0</v>
      </c>
      <c r="CD74" s="57"/>
      <c r="CE74" s="57"/>
      <c r="CF74" s="57">
        <f t="shared" si="30"/>
        <v>0</v>
      </c>
      <c r="CG74" s="57">
        <f t="shared" si="213"/>
        <v>0</v>
      </c>
      <c r="CH74" s="57">
        <f t="shared" si="214"/>
        <v>0</v>
      </c>
      <c r="CI74" s="57">
        <f t="shared" si="215"/>
        <v>0</v>
      </c>
      <c r="CJ74" s="57">
        <f t="shared" si="216"/>
        <v>0</v>
      </c>
      <c r="CK74" s="1029">
        <f t="shared" si="377"/>
        <v>0</v>
      </c>
      <c r="CL74" s="57">
        <f t="shared" si="378"/>
        <v>0</v>
      </c>
      <c r="CM74" s="171" t="str">
        <f t="shared" si="379"/>
        <v/>
      </c>
      <c r="CN74" s="57">
        <f t="shared" si="217"/>
        <v>0</v>
      </c>
      <c r="CO74" s="57">
        <f>IF(OR(AND(CC$6=1,$L74=0),AND(CC$6=2,$K74=2,$G74=1)),0,IF(AND(CE$9=2,(OR($F74&gt;1,$K74=1,AND($L74=80,OR($N74=1,AND($N74=2,'#BerechnungDBE'!$AL65&gt;0)))))),IF(CC$4&gt;=$AD$126,0,CM74),IF(CE$9=3,IF(OR(CC$4&gt;=$AD$127,AND($G74=1,$J74=2,CC$6=2),AND(CC$6=1,$N74&lt;&gt;1)),0,IF(CG74&lt;=120,CM74,IF(CC$4&lt;$AD$124,IF($F74=1,60/CE$4*CE$6,60/CE$4*CE$7),IF($F74=1,120/CE$4*CE$6,120/CE$4*CE$7)))),IF(OR($F74=3,$G74=2),IF(OR(AND(CC$4&gt;=$AD$119,$C74=2),AND(CC$4&gt;=$AF$119,$C74=1)),0,IF(CG74&lt;=60,CM74,60/CE$4*CE$7)),IF(AND($F74=2,$G74=1),CM74,0)))))</f>
        <v>0</v>
      </c>
      <c r="CP74" s="57" t="str">
        <f t="shared" si="34"/>
        <v/>
      </c>
      <c r="CQ74" s="57" t="str">
        <f t="shared" si="380"/>
        <v/>
      </c>
      <c r="CR74" s="713">
        <f>'org. Düngung 22'!AB73</f>
        <v>0</v>
      </c>
      <c r="CS74" s="57"/>
      <c r="CT74" s="57"/>
      <c r="CU74" s="57">
        <f t="shared" si="36"/>
        <v>0</v>
      </c>
      <c r="CV74" s="57">
        <f t="shared" si="218"/>
        <v>0</v>
      </c>
      <c r="CW74" s="57">
        <f t="shared" si="219"/>
        <v>0</v>
      </c>
      <c r="CX74" s="57">
        <f t="shared" si="220"/>
        <v>0</v>
      </c>
      <c r="CY74" s="57">
        <f t="shared" si="221"/>
        <v>0</v>
      </c>
      <c r="CZ74" s="1029">
        <f t="shared" si="381"/>
        <v>0</v>
      </c>
      <c r="DA74" s="57">
        <f t="shared" si="382"/>
        <v>0</v>
      </c>
      <c r="DB74" s="171" t="str">
        <f t="shared" si="383"/>
        <v/>
      </c>
      <c r="DC74" s="57">
        <f t="shared" si="222"/>
        <v>0</v>
      </c>
      <c r="DD74" s="57">
        <f>IF(OR(AND(CR$6=1,$L74=0),AND(CR$6=2,$K74=2,$G74=1)),0,IF(AND(CT$9=2,(OR($F74&gt;1,$K74=1,AND($L74=80,OR($N74=1,AND($N74=2,'#BerechnungDBE'!$AL65&gt;0)))))),IF(CR$4&gt;=$AD$126,0,DB74),IF(CT$9=3,IF(OR(CR$4&gt;=$AD$127,AND($G74=1,$J74=2,CR$6=2),AND(CR$6=1,$N74&lt;&gt;1)),0,IF(CV74&lt;=120,DB74,IF(CR$4&lt;$AD$124,IF($F74=1,60/CT$4*CT$6,60/CT$4*CT$7),IF($F74=1,120/CT$4*CT$6,120/CT$4*CT$7)))),IF(OR($F74=3,$G74=2),IF(OR(AND(CR$4&gt;=$AD$119,$C74=2),AND(CR$4&gt;=$AF$119,$C74=1)),0,IF(CV74&lt;=60,DB74,60/CT$4*CT$7)),IF(AND($F74=2,$G74=1),DB74,0)))))</f>
        <v>0</v>
      </c>
      <c r="DE74" s="57" t="str">
        <f t="shared" si="40"/>
        <v/>
      </c>
      <c r="DF74" s="57" t="str">
        <f t="shared" si="384"/>
        <v/>
      </c>
      <c r="DG74" s="713">
        <f>'org. Düngung 22'!AF73</f>
        <v>0</v>
      </c>
      <c r="DH74" s="57"/>
      <c r="DI74" s="57"/>
      <c r="DJ74" s="57">
        <f t="shared" si="42"/>
        <v>0</v>
      </c>
      <c r="DK74" s="57">
        <f t="shared" si="223"/>
        <v>0</v>
      </c>
      <c r="DL74" s="57">
        <f t="shared" si="224"/>
        <v>0</v>
      </c>
      <c r="DM74" s="57">
        <f t="shared" si="225"/>
        <v>0</v>
      </c>
      <c r="DN74" s="57">
        <f t="shared" si="226"/>
        <v>0</v>
      </c>
      <c r="DO74" s="1029">
        <f t="shared" si="385"/>
        <v>0</v>
      </c>
      <c r="DP74" s="57">
        <f t="shared" si="386"/>
        <v>0</v>
      </c>
      <c r="DQ74" s="171" t="str">
        <f t="shared" si="387"/>
        <v/>
      </c>
      <c r="DR74" s="57">
        <f t="shared" si="227"/>
        <v>0</v>
      </c>
      <c r="DS74" s="57">
        <f>IF(OR(AND(DG$6=1,$L74=0),AND(DG$6=2,$K74=2,$G74=1)),0,IF(AND(DI$9=2,(OR($F74&gt;1,$K74=1,AND($L74=80,OR($N74=1,AND($N74=2,'#BerechnungDBE'!$AL65&gt;0)))))),IF(DG$4&gt;=$AD$126,0,DQ74),IF(DI$9=3,IF(OR(DG$4&gt;=$AD$127,AND($G74=1,$J74=2,DG$6=2),AND(DG$6=1,$N74&lt;&gt;1)),0,IF(DK74&lt;=120,DQ74,IF(DG$4&lt;$AD$124,IF($F74=1,60/DI$4*DI$6,60/DI$4*DI$7),IF($F74=1,120/DI$4*DI$6,120/DI$4*DI$7)))),IF(OR($F74=3,$G74=2),IF(OR(AND(DG$4&gt;=$AD$119,$C74=2),AND(DG$4&gt;=$AF$119,$C74=1)),0,IF(DK74&lt;=60,DQ74,60/DI$4*DI$7)),IF(AND($F74=2,$G74=1),DQ74,0)))))</f>
        <v>0</v>
      </c>
      <c r="DT74" s="57" t="str">
        <f t="shared" si="46"/>
        <v/>
      </c>
      <c r="DU74" s="57" t="str">
        <f t="shared" si="388"/>
        <v/>
      </c>
      <c r="DV74" s="713">
        <f>'org. Düngung 22'!AJ73</f>
        <v>0</v>
      </c>
      <c r="DW74" s="57"/>
      <c r="DX74" s="57"/>
      <c r="DY74" s="57">
        <f t="shared" si="48"/>
        <v>0</v>
      </c>
      <c r="DZ74" s="57">
        <f t="shared" si="228"/>
        <v>0</v>
      </c>
      <c r="EA74" s="57">
        <f t="shared" si="229"/>
        <v>0</v>
      </c>
      <c r="EB74" s="57">
        <f t="shared" si="230"/>
        <v>0</v>
      </c>
      <c r="EC74" s="57">
        <f t="shared" si="231"/>
        <v>0</v>
      </c>
      <c r="ED74" s="1029">
        <f t="shared" si="389"/>
        <v>0</v>
      </c>
      <c r="EE74" s="57">
        <f t="shared" si="390"/>
        <v>0</v>
      </c>
      <c r="EF74" s="171" t="str">
        <f t="shared" si="391"/>
        <v/>
      </c>
      <c r="EG74" s="57">
        <f t="shared" si="232"/>
        <v>0</v>
      </c>
      <c r="EH74" s="57">
        <f>IF(OR(AND(DV$6=1,$L74=0),AND(DV$6=2,$K74=2,$G74=1)),0,IF(AND(DX$9=2,(OR($F74&gt;1,$K74=1,AND($L74=80,OR($N74=1,AND($N74=2,'#BerechnungDBE'!$AL65&gt;0)))))),IF(DV$4&gt;=$AD$126,0,EF74),IF(DX$9=3,IF(OR(DV$4&gt;=$AD$127,AND($G74=1,$J74=2,DV$6=2),AND(DV$6=1,$N74&lt;&gt;1)),0,IF(DZ74&lt;=120,EF74,IF(DV$4&lt;$AD$124,IF($F74=1,60/DX$4*DX$6,60/DX$4*DX$7),IF($F74=1,120/DX$4*DX$6,120/DX$4*DX$7)))),IF(OR($F74=3,$G74=2),IF(OR(AND(DV$4&gt;=$AD$119,$C74=2),AND(DV$4&gt;=$AF$119,$C74=1)),0,IF(DZ74&lt;=60,EF74,60/DX$4*DX$7)),IF(AND($F74=2,$G74=1),EF74,0)))))</f>
        <v>0</v>
      </c>
      <c r="EI74" s="57" t="str">
        <f t="shared" si="52"/>
        <v/>
      </c>
      <c r="EJ74" s="57" t="str">
        <f t="shared" si="392"/>
        <v/>
      </c>
      <c r="EK74" s="713">
        <f>'org. Düngung 22'!AN73</f>
        <v>0</v>
      </c>
      <c r="EL74" s="57"/>
      <c r="EM74" s="57"/>
      <c r="EN74" s="57">
        <f t="shared" si="54"/>
        <v>0</v>
      </c>
      <c r="EO74" s="57">
        <f t="shared" si="233"/>
        <v>0</v>
      </c>
      <c r="EP74" s="57">
        <f t="shared" si="234"/>
        <v>0</v>
      </c>
      <c r="EQ74" s="57">
        <f t="shared" si="235"/>
        <v>0</v>
      </c>
      <c r="ER74" s="57">
        <f t="shared" si="236"/>
        <v>0</v>
      </c>
      <c r="ES74" s="1029">
        <f t="shared" si="393"/>
        <v>0</v>
      </c>
      <c r="ET74" s="57">
        <f t="shared" si="394"/>
        <v>0</v>
      </c>
      <c r="EU74" s="171" t="str">
        <f t="shared" si="395"/>
        <v/>
      </c>
      <c r="EV74" s="57">
        <f t="shared" si="237"/>
        <v>0</v>
      </c>
      <c r="EW74" s="57">
        <f>IF(OR(AND(EK$6=1,$L74=0),AND(EK$6=2,$K74=2,$G74=1)),0,IF(AND(EM$9=2,(OR($F74&gt;1,$K74=1,AND($L74=80,OR($N74=1,AND($N74=2,'#BerechnungDBE'!$AL65&gt;0)))))),IF(EK$4&gt;=$AD$126,0,EU74),IF(EM$9=3,IF(OR(EK$4&gt;=$AD$127,AND($G74=1,$J74=2,EK$6=2),AND(EK$6=1,$N74&lt;&gt;1)),0,IF(EO74&lt;=120,EU74,IF(EK$4&lt;$AD$124,IF($F74=1,60/EM$4*EM$6,60/EM$4*EM$7),IF($F74=1,120/EM$4*EM$6,120/EM$4*EM$7)))),IF(OR($F74=3,$G74=2),IF(OR(AND(EK$4&gt;=$AD$119,$C74=2),AND(EK$4&gt;=$AF$119,$C74=1)),0,IF(EO74&lt;=60,EU74,60/EM$4*EM$7)),IF(AND($F74=2,$G74=1),EU74,0)))))</f>
        <v>0</v>
      </c>
      <c r="EX74" s="57" t="str">
        <f t="shared" si="58"/>
        <v/>
      </c>
      <c r="EY74" s="57" t="str">
        <f t="shared" si="396"/>
        <v/>
      </c>
      <c r="EZ74" s="713">
        <f>'org. Düngung 22'!AR73</f>
        <v>0</v>
      </c>
      <c r="FA74" s="57"/>
      <c r="FB74" s="57"/>
      <c r="FC74" s="57">
        <f t="shared" si="60"/>
        <v>0</v>
      </c>
      <c r="FD74" s="57">
        <f t="shared" si="238"/>
        <v>0</v>
      </c>
      <c r="FE74" s="57">
        <f t="shared" si="239"/>
        <v>0</v>
      </c>
      <c r="FF74" s="57">
        <f t="shared" si="240"/>
        <v>0</v>
      </c>
      <c r="FG74" s="57">
        <f t="shared" si="241"/>
        <v>0</v>
      </c>
      <c r="FH74" s="1029">
        <f t="shared" si="397"/>
        <v>0</v>
      </c>
      <c r="FI74" s="57">
        <f t="shared" si="398"/>
        <v>0</v>
      </c>
      <c r="FJ74" s="171" t="str">
        <f t="shared" si="399"/>
        <v/>
      </c>
      <c r="FK74" s="57">
        <f t="shared" si="242"/>
        <v>0</v>
      </c>
      <c r="FL74" s="57">
        <f>IF(OR(AND(EZ$6=1,$L74=0),AND(EZ$6=2,$K74=2,$G74=1)),0,IF(AND(FB$9=2,(OR($F74&gt;1,$K74=1,AND($L74=80,OR($N74=1,AND($N74=2,'#BerechnungDBE'!$AL65&gt;0)))))),IF(EZ$4&gt;=$AD$126,0,FJ74),IF(FB$9=3,IF(OR(EZ$4&gt;=$AD$127,AND($G74=1,$J74=2,EZ$6=2),AND(EZ$6=1,$N74&lt;&gt;1)),0,IF(FD74&lt;=120,FJ74,IF(EZ$4&lt;$AD$124,IF($F74=1,60/FB$4*FB$6,60/FB$4*FB$7),IF($F74=1,120/FB$4*FB$6,120/FB$4*FB$7)))),IF(OR($F74=3,$G74=2),IF(OR(AND(EZ$4&gt;=$AD$119,$C74=2),AND(EZ$4&gt;=$AF$119,$C74=1)),0,IF(FD74&lt;=60,FJ74,60/FB$4*FB$7)),IF(AND($F74=2,$G74=1),FJ74,0)))))</f>
        <v>0</v>
      </c>
      <c r="FM74" s="57" t="str">
        <f t="shared" si="64"/>
        <v/>
      </c>
      <c r="FN74" s="57" t="str">
        <f t="shared" si="400"/>
        <v/>
      </c>
      <c r="FO74" s="713">
        <f>'org. Düngung 22'!AV73</f>
        <v>0</v>
      </c>
      <c r="FP74" s="57"/>
      <c r="FQ74" s="57"/>
      <c r="FR74" s="57">
        <f t="shared" si="66"/>
        <v>0</v>
      </c>
      <c r="FS74" s="57">
        <f t="shared" si="243"/>
        <v>0</v>
      </c>
      <c r="FT74" s="57">
        <f t="shared" si="244"/>
        <v>0</v>
      </c>
      <c r="FU74" s="57">
        <f t="shared" si="245"/>
        <v>0</v>
      </c>
      <c r="FV74" s="57">
        <f t="shared" si="246"/>
        <v>0</v>
      </c>
      <c r="FW74" s="1029">
        <f t="shared" si="401"/>
        <v>0</v>
      </c>
      <c r="FX74" s="57">
        <f t="shared" si="402"/>
        <v>0</v>
      </c>
      <c r="FY74" s="171" t="str">
        <f t="shared" si="403"/>
        <v/>
      </c>
      <c r="FZ74" s="57">
        <f t="shared" si="247"/>
        <v>0</v>
      </c>
      <c r="GA74" s="57">
        <f>IF(OR(AND(FO$6=1,$L74=0),AND(FO$6=2,$K74=2,$G74=1)),0,IF(AND(FQ$9=2,(OR($F74&gt;1,$K74=1,AND($L74=80,OR($N74=1,AND($N74=2,'#BerechnungDBE'!$AL65&gt;0)))))),IF(FO$4&gt;=$AD$126,0,FY74),IF(FQ$9=3,IF(OR(FO$4&gt;=$AD$127,AND($G74=1,$J74=2,FO$6=2),AND(FO$6=1,$N74&lt;&gt;1)),0,IF(FS74&lt;=120,FY74,IF(FO$4&lt;$AD$124,IF($F74=1,60/FQ$4*FQ$6,60/FQ$4*FQ$7),IF($F74=1,120/FQ$4*FQ$6,120/FQ$4*FQ$7)))),IF(OR($F74=3,$G74=2),IF(OR(AND(FO$4&gt;=$AD$119,$C74=2),AND(FO$4&gt;=$AF$119,$C74=1)),0,IF(FS74&lt;=60,FY74,60/FQ$4*FQ$7)),IF(AND($F74=2,$G74=1),FY74,0)))))</f>
        <v>0</v>
      </c>
      <c r="GB74" s="57" t="str">
        <f t="shared" si="70"/>
        <v/>
      </c>
      <c r="GC74" s="57" t="str">
        <f t="shared" si="404"/>
        <v/>
      </c>
      <c r="GD74" s="713">
        <f>'org. Düngung 22'!AZ73</f>
        <v>0</v>
      </c>
      <c r="GE74" s="57"/>
      <c r="GF74" s="57"/>
      <c r="GG74" s="57">
        <f t="shared" si="72"/>
        <v>0</v>
      </c>
      <c r="GH74" s="57">
        <f t="shared" si="248"/>
        <v>0</v>
      </c>
      <c r="GI74" s="57">
        <f t="shared" si="249"/>
        <v>0</v>
      </c>
      <c r="GJ74" s="57">
        <f t="shared" si="250"/>
        <v>0</v>
      </c>
      <c r="GK74" s="57">
        <f t="shared" si="251"/>
        <v>0</v>
      </c>
      <c r="GL74" s="1029">
        <f t="shared" si="405"/>
        <v>0</v>
      </c>
      <c r="GM74" s="57">
        <f t="shared" si="406"/>
        <v>0</v>
      </c>
      <c r="GN74" s="171" t="str">
        <f t="shared" si="407"/>
        <v/>
      </c>
      <c r="GO74" s="57">
        <f t="shared" si="252"/>
        <v>0</v>
      </c>
      <c r="GP74" s="57">
        <f>IF(OR(AND(GD$6=1,$L74=0),AND(GD$6=2,$K74=2,$G74=1)),0,IF(AND(GF$9=2,(OR($F74&gt;1,$K74=1,AND($L74=80,OR($N74=1,AND($N74=2,'#BerechnungDBE'!$AL65&gt;0)))))),IF(GD$4&gt;=$AD$126,0,GN74),IF(GF$9=3,IF(OR(GD$4&gt;=$AD$127,AND($G74=1,$J74=2,GD$6=2),AND(GD$6=1,$N74&lt;&gt;1)),0,IF(GH74&lt;=120,GN74,IF(GD$4&lt;$AD$124,IF($F74=1,60/GF$4*GF$6,60/GF$4*GF$7),IF($F74=1,120/GF$4*GF$6,120/GF$4*GF$7)))),IF(OR($F74=3,$G74=2),IF(OR(AND(GD$4&gt;=$AD$119,$C74=2),AND(GD$4&gt;=$AF$119,$C74=1)),0,IF(GH74&lt;=60,GN74,60/GF$4*GF$7)),IF(AND($F74=2,$G74=1),GN74,0)))))</f>
        <v>0</v>
      </c>
      <c r="GQ74" s="57" t="str">
        <f t="shared" si="76"/>
        <v/>
      </c>
      <c r="GR74" s="57" t="str">
        <f t="shared" si="408"/>
        <v/>
      </c>
      <c r="GS74" s="713">
        <f>'org. Düngung 22'!BD73</f>
        <v>0</v>
      </c>
      <c r="GT74" s="57"/>
      <c r="GU74" s="57"/>
      <c r="GV74" s="57">
        <f t="shared" si="78"/>
        <v>0</v>
      </c>
      <c r="GW74" s="57">
        <f t="shared" si="253"/>
        <v>0</v>
      </c>
      <c r="GX74" s="57">
        <f t="shared" si="254"/>
        <v>0</v>
      </c>
      <c r="GY74" s="57">
        <f t="shared" si="255"/>
        <v>0</v>
      </c>
      <c r="GZ74" s="57">
        <f t="shared" si="256"/>
        <v>0</v>
      </c>
      <c r="HA74" s="1029">
        <f t="shared" si="409"/>
        <v>0</v>
      </c>
      <c r="HB74" s="57">
        <f t="shared" si="410"/>
        <v>0</v>
      </c>
      <c r="HC74" s="171" t="str">
        <f t="shared" si="411"/>
        <v/>
      </c>
      <c r="HD74" s="57">
        <f t="shared" si="257"/>
        <v>0</v>
      </c>
      <c r="HE74" s="57">
        <f>IF(OR(AND(GS$6=1,$L74=0),AND(GS$6=2,$K74=2,$G74=1)),0,IF(AND(GU$9=2,(OR($F74&gt;1,$K74=1,AND($L74=80,OR($N74=1,AND($N74=2,'#BerechnungDBE'!$AL65&gt;0)))))),IF(GS$4&gt;=$AD$126,0,HC74),IF(GU$9=3,IF(OR(GS$4&gt;=$AD$127,AND($G74=1,$J74=2,GS$6=2),AND(GS$6=1,$N74&lt;&gt;1)),0,IF(GW74&lt;=120,HC74,IF(GS$4&lt;$AD$124,IF($F74=1,60/GU$4*GU$6,60/GU$4*GU$7),IF($F74=1,120/GU$4*GU$6,120/GU$4*GU$7)))),IF(OR($F74=3,$G74=2),IF(OR(AND(GS$4&gt;=$AD$119,$C74=2),AND(GS$4&gt;=$AF$119,$C74=1)),0,IF(GW74&lt;=60,HC74,60/GU$4*GU$7)),IF(AND($F74=2,$G74=1),HC74,0)))))</f>
        <v>0</v>
      </c>
      <c r="HF74" s="57" t="str">
        <f t="shared" si="82"/>
        <v/>
      </c>
      <c r="HG74" s="57" t="str">
        <f t="shared" si="412"/>
        <v/>
      </c>
      <c r="HH74" s="713">
        <f>'org. Düngung 22'!BH73</f>
        <v>0</v>
      </c>
      <c r="HI74" s="57"/>
      <c r="HJ74" s="57"/>
      <c r="HK74" s="57">
        <f t="shared" si="84"/>
        <v>0</v>
      </c>
      <c r="HL74" s="57">
        <f t="shared" si="258"/>
        <v>0</v>
      </c>
      <c r="HM74" s="57">
        <f t="shared" si="259"/>
        <v>0</v>
      </c>
      <c r="HN74" s="57">
        <f t="shared" si="260"/>
        <v>0</v>
      </c>
      <c r="HO74" s="57">
        <f t="shared" si="261"/>
        <v>0</v>
      </c>
      <c r="HP74" s="1029">
        <f t="shared" si="413"/>
        <v>0</v>
      </c>
      <c r="HQ74" s="57">
        <f t="shared" si="414"/>
        <v>0</v>
      </c>
      <c r="HR74" s="171" t="str">
        <f t="shared" si="415"/>
        <v/>
      </c>
      <c r="HS74" s="57">
        <f t="shared" si="262"/>
        <v>0</v>
      </c>
      <c r="HT74" s="57">
        <f>IF(OR(AND(HH$6=1,$L74=0),AND(HH$6=2,$K74=2,$G74=1)),0,IF(AND(HJ$9=2,(OR($F74&gt;1,$K74=1,AND($L74=80,OR($N74=1,AND($N74=2,'#BerechnungDBE'!$AL65&gt;0)))))),IF(HH$4&gt;=$AD$126,0,HR74),IF(HJ$9=3,IF(OR(HH$4&gt;=$AD$127,AND($G74=1,$J74=2,HH$6=2),AND(HH$6=1,$N74&lt;&gt;1)),0,IF(HL74&lt;=120,HR74,IF(HH$4&lt;$AD$124,IF($F74=1,60/HJ$4*HJ$6,60/HJ$4*HJ$7),IF($F74=1,120/HJ$4*HJ$6,120/HJ$4*HJ$7)))),IF(OR($F74=3,$G74=2),IF(OR(AND(HH$4&gt;=$AD$119,$C74=2),AND(HH$4&gt;=$AF$119,$C74=1)),0,IF(HL74&lt;=60,HR74,60/HJ$4*HJ$7)),IF(AND($F74=2,$G74=1),HR74,0)))))</f>
        <v>0</v>
      </c>
      <c r="HU74" s="57" t="str">
        <f t="shared" si="88"/>
        <v/>
      </c>
      <c r="HV74" s="57" t="str">
        <f t="shared" si="416"/>
        <v/>
      </c>
      <c r="HW74" s="713">
        <f>'org. Düngung 22'!BL73</f>
        <v>0</v>
      </c>
      <c r="HX74" s="57"/>
      <c r="HY74" s="57"/>
      <c r="HZ74" s="57">
        <f t="shared" si="90"/>
        <v>0</v>
      </c>
      <c r="IA74" s="57">
        <f t="shared" si="263"/>
        <v>0</v>
      </c>
      <c r="IB74" s="57">
        <f t="shared" si="264"/>
        <v>0</v>
      </c>
      <c r="IC74" s="57">
        <f t="shared" si="265"/>
        <v>0</v>
      </c>
      <c r="ID74" s="57">
        <f t="shared" si="266"/>
        <v>0</v>
      </c>
      <c r="IE74" s="1029">
        <f t="shared" si="417"/>
        <v>0</v>
      </c>
      <c r="IF74" s="57">
        <f t="shared" si="418"/>
        <v>0</v>
      </c>
      <c r="IG74" s="171" t="str">
        <f t="shared" si="419"/>
        <v/>
      </c>
      <c r="IH74" s="57">
        <f t="shared" si="267"/>
        <v>0</v>
      </c>
      <c r="II74" s="57">
        <f>IF(OR(AND(HW$6=1,$L74=0),AND(HW$6=2,$K74=2,$G74=1)),0,IF(AND(HY$9=2,(OR($F74&gt;1,$K74=1,AND($L74=80,OR($N74=1,AND($N74=2,'#BerechnungDBE'!$AL65&gt;0)))))),IF(HW$4&gt;=$AD$126,0,IG74),IF(HY$9=3,IF(OR(HW$4&gt;=$AD$127,AND($G74=1,$J74=2,HW$6=2),AND(HW$6=1,$N74&lt;&gt;1)),0,IF(IA74&lt;=120,IG74,IF(HW$4&lt;$AD$124,IF($F74=1,60/HY$4*HY$6,60/HY$4*HY$7),IF($F74=1,120/HY$4*HY$6,120/HY$4*HY$7)))),IF(OR($F74=3,$G74=2),IF(OR(AND(HW$4&gt;=$AD$119,$C74=2),AND(HW$4&gt;=$AF$119,$C74=1)),0,IF(IA74&lt;=60,IG74,60/HY$4*HY$7)),IF(AND($F74=2,$G74=1),IG74,0)))))</f>
        <v>0</v>
      </c>
      <c r="IJ74" s="57" t="str">
        <f t="shared" si="94"/>
        <v/>
      </c>
      <c r="IK74" s="57" t="str">
        <f t="shared" si="420"/>
        <v/>
      </c>
      <c r="IL74" s="713">
        <f>'org. Düngung 22'!BP73</f>
        <v>0</v>
      </c>
      <c r="IM74" s="57"/>
      <c r="IN74" s="57"/>
      <c r="IO74" s="57">
        <f t="shared" si="96"/>
        <v>0</v>
      </c>
      <c r="IP74" s="57">
        <f t="shared" si="268"/>
        <v>0</v>
      </c>
      <c r="IQ74" s="57">
        <f t="shared" si="269"/>
        <v>0</v>
      </c>
      <c r="IR74" s="57">
        <f t="shared" si="270"/>
        <v>0</v>
      </c>
      <c r="IS74" s="57">
        <f t="shared" si="271"/>
        <v>0</v>
      </c>
      <c r="IT74" s="1029">
        <f t="shared" si="421"/>
        <v>0</v>
      </c>
      <c r="IU74" s="57">
        <f t="shared" si="422"/>
        <v>0</v>
      </c>
      <c r="IV74" s="171" t="str">
        <f t="shared" si="423"/>
        <v/>
      </c>
      <c r="IW74" s="57">
        <f t="shared" si="272"/>
        <v>0</v>
      </c>
      <c r="IX74" s="57">
        <f>IF(OR(AND(IL$6=1,$L74=0),AND(IL$6=2,$K74=2,$G74=1)),0,IF(AND(IN$9=2,(OR($F74&gt;1,$K74=1,AND($L74=80,OR($N74=1,AND($N74=2,'#BerechnungDBE'!$AL65&gt;0)))))),IF(IL$4&gt;=$AD$126,0,IV74),IF(IN$9=3,IF(OR(IL$4&gt;=$AD$127,AND($G74=1,$J74=2,IL$6=2),AND(IL$6=1,$N74&lt;&gt;1)),0,IF(IP74&lt;=120,IV74,IF(IL$4&lt;$AD$124,IF($F74=1,60/IN$4*IN$6,60/IN$4*IN$7),IF($F74=1,120/IN$4*IN$6,120/IN$4*IN$7)))),IF(OR($F74=3,$G74=2),IF(OR(AND(IL$4&gt;=$AD$119,$C74=2),AND(IL$4&gt;=$AF$119,$C74=1)),0,IF(IP74&lt;=60,IV74,60/IN$4*IN$7)),IF(AND($F74=2,$G74=1),IV74,0)))))</f>
        <v>0</v>
      </c>
      <c r="IY74" s="57" t="str">
        <f t="shared" si="100"/>
        <v/>
      </c>
      <c r="IZ74" s="57" t="str">
        <f t="shared" si="424"/>
        <v/>
      </c>
      <c r="JA74" s="713">
        <f>'org. Düngung 22'!BT73</f>
        <v>0</v>
      </c>
      <c r="JB74" s="57"/>
      <c r="JC74" s="57"/>
      <c r="JD74" s="57">
        <f t="shared" si="102"/>
        <v>0</v>
      </c>
      <c r="JE74" s="57">
        <f t="shared" si="273"/>
        <v>0</v>
      </c>
      <c r="JF74" s="57">
        <f t="shared" si="274"/>
        <v>0</v>
      </c>
      <c r="JG74" s="57">
        <f t="shared" si="275"/>
        <v>0</v>
      </c>
      <c r="JH74" s="57">
        <f t="shared" si="276"/>
        <v>0</v>
      </c>
      <c r="JI74" s="1029">
        <f t="shared" si="425"/>
        <v>0</v>
      </c>
      <c r="JJ74" s="57">
        <f t="shared" si="426"/>
        <v>0</v>
      </c>
      <c r="JK74" s="171" t="str">
        <f t="shared" si="427"/>
        <v/>
      </c>
      <c r="JL74" s="57">
        <f t="shared" si="277"/>
        <v>0</v>
      </c>
      <c r="JM74" s="57">
        <f>IF(OR(AND(JA$6=1,$L74=0),AND(JA$6=2,$K74=2,$G74=1)),0,IF(AND(JC$9=2,(OR($F74&gt;1,$K74=1,AND($L74=80,OR($N74=1,AND($N74=2,'#BerechnungDBE'!$AL65&gt;0)))))),IF(JA$4&gt;=$AD$126,0,JK74),IF(JC$9=3,IF(OR(JA$4&gt;=$AD$127,AND($G74=1,$J74=2,JA$6=2),AND(JA$6=1,$N74&lt;&gt;1)),0,IF(JE74&lt;=120,JK74,IF(JA$4&lt;$AD$124,IF($F74=1,60/JC$4*JC$6,60/JC$4*JC$7),IF($F74=1,120/JC$4*JC$6,120/JC$4*JC$7)))),IF(OR($F74=3,$G74=2),IF(OR(AND(JA$4&gt;=$AD$119,$C74=2),AND(JA$4&gt;=$AF$119,$C74=1)),0,IF(JE74&lt;=60,JK74,60/JC$4*JC$7)),IF(AND($F74=2,$G74=1),JK74,0)))))</f>
        <v>0</v>
      </c>
      <c r="JN74" s="57" t="str">
        <f t="shared" si="106"/>
        <v/>
      </c>
      <c r="JO74" s="57" t="str">
        <f t="shared" si="428"/>
        <v/>
      </c>
      <c r="JP74" s="713">
        <f>'org. Düngung 22'!BX73</f>
        <v>0</v>
      </c>
      <c r="JQ74" s="57"/>
      <c r="JR74" s="57"/>
      <c r="JS74" s="57">
        <f t="shared" si="108"/>
        <v>0</v>
      </c>
      <c r="JT74" s="57">
        <f t="shared" si="278"/>
        <v>0</v>
      </c>
      <c r="JU74" s="57">
        <f t="shared" si="279"/>
        <v>0</v>
      </c>
      <c r="JV74" s="57">
        <f t="shared" si="280"/>
        <v>0</v>
      </c>
      <c r="JW74" s="57">
        <f t="shared" si="281"/>
        <v>0</v>
      </c>
      <c r="JX74" s="1029">
        <f t="shared" si="429"/>
        <v>0</v>
      </c>
      <c r="JY74" s="57">
        <f t="shared" si="430"/>
        <v>0</v>
      </c>
      <c r="JZ74" s="171" t="str">
        <f t="shared" si="431"/>
        <v/>
      </c>
      <c r="KA74" s="57">
        <f t="shared" si="282"/>
        <v>0</v>
      </c>
      <c r="KB74" s="57">
        <f>IF(OR(AND(JP$6=1,$L74=0),AND(JP$6=2,$K74=2,$G74=1)),0,IF(AND(JR$9=2,(OR($F74&gt;1,$K74=1,AND($L74=80,OR($N74=1,AND($N74=2,'#BerechnungDBE'!$AL65&gt;0)))))),IF(JP$4&gt;=$AD$126,0,JZ74),IF(JR$9=3,IF(OR(JP$4&gt;=$AD$127,AND($G74=1,$J74=2,JP$6=2),AND(JP$6=1,$N74&lt;&gt;1)),0,IF(JT74&lt;=120,JZ74,IF(JP$4&lt;$AD$124,IF($F74=1,60/JR$4*JR$6,60/JR$4*JR$7),IF($F74=1,120/JR$4*JR$6,120/JR$4*JR$7)))),IF(OR($F74=3,$G74=2),IF(OR(AND(JP$4&gt;=$AD$119,$C74=2),AND(JP$4&gt;=$AF$119,$C74=1)),0,IF(JT74&lt;=60,JZ74,60/JR$4*JR$7)),IF(AND($F74=2,$G74=1),JZ74,0)))))</f>
        <v>0</v>
      </c>
      <c r="KC74" s="57" t="str">
        <f t="shared" si="112"/>
        <v/>
      </c>
      <c r="KD74" s="57" t="str">
        <f t="shared" si="432"/>
        <v/>
      </c>
      <c r="KE74" s="713">
        <f>'org. Düngung 22'!CB73</f>
        <v>0</v>
      </c>
      <c r="KF74" s="57"/>
      <c r="KG74" s="57"/>
      <c r="KH74" s="57">
        <f t="shared" si="114"/>
        <v>0</v>
      </c>
      <c r="KI74" s="57">
        <f t="shared" si="283"/>
        <v>0</v>
      </c>
      <c r="KJ74" s="57">
        <f t="shared" si="284"/>
        <v>0</v>
      </c>
      <c r="KK74" s="57">
        <f t="shared" si="285"/>
        <v>0</v>
      </c>
      <c r="KL74" s="57">
        <f t="shared" si="286"/>
        <v>0</v>
      </c>
      <c r="KM74" s="1029">
        <f t="shared" si="433"/>
        <v>0</v>
      </c>
      <c r="KN74" s="57">
        <f t="shared" si="434"/>
        <v>0</v>
      </c>
      <c r="KO74" s="171" t="str">
        <f t="shared" si="435"/>
        <v/>
      </c>
      <c r="KP74" s="57">
        <f t="shared" si="287"/>
        <v>0</v>
      </c>
      <c r="KQ74" s="57">
        <f>IF(OR(AND(KE$6=1,$L74=0),AND(KE$6=2,$K74=2,$G74=1)),0,IF(AND(KG$9=2,(OR($F74&gt;1,$K74=1,AND($L74=80,OR($N74=1,AND($N74=2,'#BerechnungDBE'!$AL65&gt;0)))))),IF(KE$4&gt;=$AD$126,0,KO74),IF(KG$9=3,IF(OR(KE$4&gt;=$AD$127,AND($G74=1,$J74=2,KE$6=2),AND(KE$6=1,$N74&lt;&gt;1)),0,IF(KI74&lt;=120,KO74,IF(KE$4&lt;$AD$124,IF($F74=1,60/KG$4*KG$6,60/KG$4*KG$7),IF($F74=1,120/KG$4*KG$6,120/KG$4*KG$7)))),IF(OR($F74=3,$G74=2),IF(OR(AND(KE$4&gt;=$AD$119,$C74=2),AND(KE$4&gt;=$AF$119,$C74=1)),0,IF(KI74&lt;=60,KO74,60/KG$4*KG$7)),IF(AND($F74=2,$G74=1),KO74,0)))))</f>
        <v>0</v>
      </c>
      <c r="KR74" s="57" t="str">
        <f t="shared" si="118"/>
        <v/>
      </c>
      <c r="KS74" s="57" t="str">
        <f t="shared" si="436"/>
        <v/>
      </c>
      <c r="KT74" s="713">
        <f>'org. Düngung 22'!CF73</f>
        <v>0</v>
      </c>
      <c r="KU74" s="57"/>
      <c r="KV74" s="57"/>
      <c r="KW74" s="57">
        <f t="shared" si="120"/>
        <v>0</v>
      </c>
      <c r="KX74" s="57">
        <f t="shared" si="288"/>
        <v>0</v>
      </c>
      <c r="KY74" s="57">
        <f t="shared" si="289"/>
        <v>0</v>
      </c>
      <c r="KZ74" s="57">
        <f t="shared" si="290"/>
        <v>0</v>
      </c>
      <c r="LA74" s="57">
        <f t="shared" si="291"/>
        <v>0</v>
      </c>
      <c r="LB74" s="1029">
        <f t="shared" si="437"/>
        <v>0</v>
      </c>
      <c r="LC74" s="57">
        <f t="shared" si="438"/>
        <v>0</v>
      </c>
      <c r="LD74" s="171" t="str">
        <f t="shared" si="439"/>
        <v/>
      </c>
      <c r="LE74" s="57">
        <f t="shared" si="292"/>
        <v>0</v>
      </c>
      <c r="LF74" s="57">
        <f>IF(OR(AND(KT$6=1,$L74=0),AND(KT$6=2,$K74=2,$G74=1)),0,IF(AND(KV$9=2,(OR($F74&gt;1,$K74=1,AND($L74=80,OR($N74=1,AND($N74=2,'#BerechnungDBE'!$AL65&gt;0)))))),IF(KT$4&gt;=$AD$126,0,LD74),IF(KV$9=3,IF(OR(KT$4&gt;=$AD$127,AND($G74=1,$J74=2,KT$6=2),AND(KT$6=1,$N74&lt;&gt;1)),0,IF(KX74&lt;=120,LD74,IF(KT$4&lt;$AD$124,IF($F74=1,60/KV$4*KV$6,60/KV$4*KV$7),IF($F74=1,120/KV$4*KV$6,120/KV$4*KV$7)))),IF(OR($F74=3,$G74=2),IF(OR(AND(KT$4&gt;=$AD$119,$C74=2),AND(KT$4&gt;=$AF$119,$C74=1)),0,IF(KX74&lt;=60,LD74,60/KV$4*KV$7)),IF(AND($F74=2,$G74=1),LD74,0)))))</f>
        <v>0</v>
      </c>
      <c r="LG74" s="57" t="str">
        <f t="shared" si="124"/>
        <v/>
      </c>
      <c r="LH74" s="57" t="str">
        <f t="shared" si="440"/>
        <v/>
      </c>
      <c r="LI74" s="713">
        <f>'org. Düngung 22'!CJ73</f>
        <v>0</v>
      </c>
      <c r="LJ74" s="57"/>
      <c r="LK74" s="57"/>
      <c r="LL74" s="57">
        <f t="shared" si="126"/>
        <v>0</v>
      </c>
      <c r="LM74" s="57">
        <f t="shared" si="293"/>
        <v>0</v>
      </c>
      <c r="LN74" s="57">
        <f t="shared" si="294"/>
        <v>0</v>
      </c>
      <c r="LO74" s="57">
        <f t="shared" si="295"/>
        <v>0</v>
      </c>
      <c r="LP74" s="57">
        <f t="shared" si="296"/>
        <v>0</v>
      </c>
      <c r="LQ74" s="1029">
        <f t="shared" si="441"/>
        <v>0</v>
      </c>
      <c r="LR74" s="57">
        <f t="shared" si="442"/>
        <v>0</v>
      </c>
      <c r="LS74" s="171" t="str">
        <f t="shared" si="443"/>
        <v/>
      </c>
      <c r="LT74" s="57">
        <f t="shared" si="297"/>
        <v>0</v>
      </c>
      <c r="LU74" s="57">
        <f>IF(OR(AND(LI$6=1,$L74=0),AND(LI$6=2,$K74=2,$G74=1)),0,IF(AND(LK$9=2,(OR($F74&gt;1,$K74=1,AND($L74=80,OR($N74=1,AND($N74=2,'#BerechnungDBE'!$AL65&gt;0)))))),IF(LI$4&gt;=$AD$126,0,LS74),IF(LK$9=3,IF(OR(LI$4&gt;=$AD$127,AND($G74=1,$J74=2,LI$6=2),AND(LI$6=1,$N74&lt;&gt;1)),0,IF(LM74&lt;=120,LS74,IF(LI$4&lt;$AD$124,IF($F74=1,60/LK$4*LK$6,60/LK$4*LK$7),IF($F74=1,120/LK$4*LK$6,120/LK$4*LK$7)))),IF(OR($F74=3,$G74=2),IF(OR(AND(LI$4&gt;=$AD$119,$C74=2),AND(LI$4&gt;=$AF$119,$C74=1)),0,IF(LM74&lt;=60,LS74,60/LK$4*LK$7)),IF(AND($F74=2,$G74=1),LS74,0)))))</f>
        <v>0</v>
      </c>
      <c r="LV74" s="57" t="str">
        <f t="shared" si="130"/>
        <v/>
      </c>
      <c r="LW74" s="57" t="str">
        <f t="shared" si="444"/>
        <v/>
      </c>
      <c r="LX74" s="713">
        <f>'org. Düngung 22'!CN73</f>
        <v>0</v>
      </c>
      <c r="LY74" s="57"/>
      <c r="LZ74" s="57"/>
      <c r="MA74" s="57">
        <f t="shared" si="132"/>
        <v>0</v>
      </c>
      <c r="MB74" s="57">
        <f t="shared" si="298"/>
        <v>0</v>
      </c>
      <c r="MC74" s="57">
        <f t="shared" si="299"/>
        <v>0</v>
      </c>
      <c r="MD74" s="57">
        <f t="shared" si="300"/>
        <v>0</v>
      </c>
      <c r="ME74" s="57">
        <f t="shared" si="301"/>
        <v>0</v>
      </c>
      <c r="MF74" s="1029">
        <f t="shared" si="445"/>
        <v>0</v>
      </c>
      <c r="MG74" s="57">
        <f t="shared" si="446"/>
        <v>0</v>
      </c>
      <c r="MH74" s="171" t="str">
        <f t="shared" si="447"/>
        <v/>
      </c>
      <c r="MI74" s="57">
        <f t="shared" si="302"/>
        <v>0</v>
      </c>
      <c r="MJ74" s="57">
        <f>IF(OR(AND(LX$6=1,$L74=0),AND(LX$6=2,$K74=2,$G74=1)),0,IF(AND(LZ$9=2,(OR($F74&gt;1,$K74=1,AND($L74=80,OR($N74=1,AND($N74=2,'#BerechnungDBE'!$AL65&gt;0)))))),IF(LX$4&gt;=$AD$126,0,MH74),IF(LZ$9=3,IF(OR(LX$4&gt;=$AD$127,AND($G74=1,$J74=2,LX$6=2),AND(LX$6=1,$N74&lt;&gt;1)),0,IF(MB74&lt;=120,MH74,IF(LX$4&lt;$AD$124,IF($F74=1,60/LZ$4*LZ$6,60/LZ$4*LZ$7),IF($F74=1,120/LZ$4*LZ$6,120/LZ$4*LZ$7)))),IF(OR($F74=3,$G74=2),IF(OR(AND(LX$4&gt;=$AD$119,$C74=2),AND(LX$4&gt;=$AF$119,$C74=1)),0,IF(MB74&lt;=60,MH74,60/LZ$4*LZ$7)),IF(AND($F74=2,$G74=1),MH74,0)))))</f>
        <v>0</v>
      </c>
      <c r="MK74" s="57" t="str">
        <f t="shared" si="136"/>
        <v/>
      </c>
      <c r="ML74" s="57" t="str">
        <f t="shared" si="448"/>
        <v/>
      </c>
      <c r="MM74" s="713">
        <f>'org. Düngung 22'!CR73</f>
        <v>0</v>
      </c>
      <c r="MN74" s="57"/>
      <c r="MO74" s="57"/>
      <c r="MP74" s="57">
        <f t="shared" si="138"/>
        <v>0</v>
      </c>
      <c r="MQ74" s="57">
        <f t="shared" si="303"/>
        <v>0</v>
      </c>
      <c r="MR74" s="57">
        <f t="shared" si="304"/>
        <v>0</v>
      </c>
      <c r="MS74" s="57">
        <f t="shared" si="305"/>
        <v>0</v>
      </c>
      <c r="MT74" s="57">
        <f t="shared" si="306"/>
        <v>0</v>
      </c>
      <c r="MU74" s="1029">
        <f t="shared" si="449"/>
        <v>0</v>
      </c>
      <c r="MV74" s="57">
        <f t="shared" si="450"/>
        <v>0</v>
      </c>
      <c r="MW74" s="171" t="str">
        <f t="shared" si="451"/>
        <v/>
      </c>
      <c r="MX74" s="57">
        <f t="shared" si="307"/>
        <v>0</v>
      </c>
      <c r="MY74" s="57">
        <f>IF(OR(AND(MM$6=1,$L74=0),AND(MM$6=2,$K74=2,$G74=1)),0,IF(AND(MO$9=2,(OR($F74&gt;1,$K74=1,AND($L74=80,OR($N74=1,AND($N74=2,'#BerechnungDBE'!$AL65&gt;0)))))),IF(MM$4&gt;=$AD$126,0,MW74),IF(MO$9=3,IF(OR(MM$4&gt;=$AD$127,AND($G74=1,$J74=2,MM$6=2),AND(MM$6=1,$N74&lt;&gt;1)),0,IF(MQ74&lt;=120,MW74,IF(MM$4&lt;$AD$124,IF($F74=1,60/MO$4*MO$6,60/MO$4*MO$7),IF($F74=1,120/MO$4*MO$6,120/MO$4*MO$7)))),IF(OR($F74=3,$G74=2),IF(OR(AND(MM$4&gt;=$AD$119,$C74=2),AND(MM$4&gt;=$AF$119,$C74=1)),0,IF(MQ74&lt;=60,MW74,60/MO$4*MO$7)),IF(AND($F74=2,$G74=1),MW74,0)))))</f>
        <v>0</v>
      </c>
      <c r="MZ74" s="57" t="str">
        <f t="shared" si="142"/>
        <v/>
      </c>
      <c r="NA74" s="57" t="str">
        <f t="shared" si="452"/>
        <v/>
      </c>
      <c r="NB74" s="713">
        <f>'org. Düngung 22'!CV73</f>
        <v>0</v>
      </c>
      <c r="NC74" s="57"/>
      <c r="ND74" s="57"/>
      <c r="NE74" s="57">
        <f t="shared" si="144"/>
        <v>0</v>
      </c>
      <c r="NF74" s="57">
        <f t="shared" si="308"/>
        <v>0</v>
      </c>
      <c r="NG74" s="57">
        <f t="shared" si="309"/>
        <v>0</v>
      </c>
      <c r="NH74" s="57">
        <f t="shared" si="310"/>
        <v>0</v>
      </c>
      <c r="NI74" s="57">
        <f t="shared" si="311"/>
        <v>0</v>
      </c>
      <c r="NJ74" s="1029">
        <f t="shared" si="453"/>
        <v>0</v>
      </c>
      <c r="NK74" s="57">
        <f t="shared" si="454"/>
        <v>0</v>
      </c>
      <c r="NL74" s="171" t="str">
        <f t="shared" si="455"/>
        <v/>
      </c>
      <c r="NM74" s="57">
        <f t="shared" si="312"/>
        <v>0</v>
      </c>
      <c r="NN74" s="57">
        <f>IF(OR(AND(NB$6=1,$L74=0),AND(NB$6=2,$K74=2,$G74=1)),0,IF(AND(ND$9=2,(OR($F74&gt;1,$K74=1,AND($L74=80,OR($N74=1,AND($N74=2,'#BerechnungDBE'!$AL65&gt;0)))))),IF(NB$4&gt;=$AD$126,0,NL74),IF(ND$9=3,IF(OR(NB$4&gt;=$AD$127,AND($G74=1,$J74=2,NB$6=2),AND(NB$6=1,$N74&lt;&gt;1)),0,IF(NF74&lt;=120,NL74,IF(NB$4&lt;$AD$124,IF($F74=1,60/ND$4*ND$6,60/ND$4*ND$7),IF($F74=1,120/ND$4*ND$6,120/ND$4*ND$7)))),IF(OR($F74=3,$G74=2),IF(OR(AND(NB$4&gt;=$AD$119,$C74=2),AND(NB$4&gt;=$AF$119,$C74=1)),0,IF(NF74&lt;=60,NL74,60/ND$4*ND$7)),IF(AND($F74=2,$G74=1),NL74,0)))))</f>
        <v>0</v>
      </c>
      <c r="NO74" s="57" t="str">
        <f t="shared" si="148"/>
        <v/>
      </c>
      <c r="NP74" s="57" t="str">
        <f t="shared" si="456"/>
        <v/>
      </c>
      <c r="NQ74" s="713">
        <f>'org. Düngung 22'!CZ73</f>
        <v>0</v>
      </c>
      <c r="NR74" s="57"/>
      <c r="NS74" s="57"/>
      <c r="NT74" s="57">
        <f t="shared" si="150"/>
        <v>0</v>
      </c>
      <c r="NU74" s="57">
        <f t="shared" si="313"/>
        <v>0</v>
      </c>
      <c r="NV74" s="57">
        <f t="shared" si="314"/>
        <v>0</v>
      </c>
      <c r="NW74" s="57">
        <f t="shared" si="315"/>
        <v>0</v>
      </c>
      <c r="NX74" s="57">
        <f t="shared" si="316"/>
        <v>0</v>
      </c>
      <c r="NY74" s="1029">
        <f t="shared" si="457"/>
        <v>0</v>
      </c>
      <c r="NZ74" s="57">
        <f t="shared" si="458"/>
        <v>0</v>
      </c>
      <c r="OA74" s="171" t="str">
        <f t="shared" si="459"/>
        <v/>
      </c>
      <c r="OB74" s="57">
        <f t="shared" si="317"/>
        <v>0</v>
      </c>
      <c r="OC74" s="57">
        <f>IF(OR(AND(NQ$6=1,$L74=0),AND(NQ$6=2,$K74=2,$G74=1)),0,IF(AND(NS$9=2,(OR($F74&gt;1,$K74=1,AND($L74=80,OR($N74=1,AND($N74=2,'#BerechnungDBE'!$AL65&gt;0)))))),IF(NQ$4&gt;=$AD$126,0,OA74),IF(NS$9=3,IF(OR(NQ$4&gt;=$AD$127,AND($G74=1,$J74=2,NQ$6=2),AND(NQ$6=1,$N74&lt;&gt;1)),0,IF(NU74&lt;=120,OA74,IF(NQ$4&lt;$AD$124,IF($F74=1,60/NS$4*NS$6,60/NS$4*NS$7),IF($F74=1,120/NS$4*NS$6,120/NS$4*NS$7)))),IF(OR($F74=3,$G74=2),IF(OR(AND(NQ$4&gt;=$AD$119,$C74=2),AND(NQ$4&gt;=$AF$119,$C74=1)),0,IF(NU74&lt;=60,OA74,60/NS$4*NS$7)),IF(AND($F74=2,$G74=1),OA74,0)))))</f>
        <v>0</v>
      </c>
      <c r="OD74" s="57" t="str">
        <f t="shared" si="154"/>
        <v/>
      </c>
      <c r="OE74" s="57" t="str">
        <f t="shared" si="460"/>
        <v/>
      </c>
      <c r="OF74" s="713">
        <f>'org. Düngung 22'!DD73</f>
        <v>0</v>
      </c>
      <c r="OG74" s="57"/>
      <c r="OH74" s="57"/>
      <c r="OI74" s="57">
        <f t="shared" si="156"/>
        <v>0</v>
      </c>
      <c r="OJ74" s="57">
        <f t="shared" si="318"/>
        <v>0</v>
      </c>
      <c r="OK74" s="57">
        <f t="shared" si="319"/>
        <v>0</v>
      </c>
      <c r="OL74" s="57">
        <f t="shared" si="320"/>
        <v>0</v>
      </c>
      <c r="OM74" s="57">
        <f t="shared" si="321"/>
        <v>0</v>
      </c>
      <c r="ON74" s="1029">
        <f t="shared" si="461"/>
        <v>0</v>
      </c>
      <c r="OO74" s="57">
        <f t="shared" si="462"/>
        <v>0</v>
      </c>
      <c r="OP74" s="171" t="str">
        <f t="shared" si="463"/>
        <v/>
      </c>
      <c r="OQ74" s="57">
        <f t="shared" si="322"/>
        <v>0</v>
      </c>
      <c r="OR74" s="57">
        <f>IF(OR(AND(OF$6=1,$L74=0),AND(OF$6=2,$K74=2,$G74=1)),0,IF(AND(OH$9=2,(OR($F74&gt;1,$K74=1,AND($L74=80,OR($N74=1,AND($N74=2,'#BerechnungDBE'!$AL65&gt;0)))))),IF(OF$4&gt;=$AD$126,0,OP74),IF(OH$9=3,IF(OR(OF$4&gt;=$AD$127,AND($G74=1,$J74=2,OF$6=2),AND(OF$6=1,$N74&lt;&gt;1)),0,IF(OJ74&lt;=120,OP74,IF(OF$4&lt;$AD$124,IF($F74=1,60/OH$4*OH$6,60/OH$4*OH$7),IF($F74=1,120/OH$4*OH$6,120/OH$4*OH$7)))),IF(OR($F74=3,$G74=2),IF(OR(AND(OF$4&gt;=$AD$119,$C74=2),AND(OF$4&gt;=$AF$119,$C74=1)),0,IF(OJ74&lt;=60,OP74,60/OH$4*OH$7)),IF(AND($F74=2,$G74=1),OP74,0)))))</f>
        <v>0</v>
      </c>
      <c r="OS74" s="57" t="str">
        <f t="shared" si="160"/>
        <v/>
      </c>
      <c r="OT74" s="57" t="str">
        <f t="shared" si="464"/>
        <v/>
      </c>
      <c r="OU74" s="713">
        <f>'org. Düngung 22'!DH73</f>
        <v>0</v>
      </c>
      <c r="OV74" s="57"/>
      <c r="OW74" s="57"/>
      <c r="OX74" s="57">
        <f t="shared" si="162"/>
        <v>0</v>
      </c>
      <c r="OY74" s="57">
        <f t="shared" si="323"/>
        <v>0</v>
      </c>
      <c r="OZ74" s="57">
        <f t="shared" si="324"/>
        <v>0</v>
      </c>
      <c r="PA74" s="57">
        <f t="shared" si="325"/>
        <v>0</v>
      </c>
      <c r="PB74" s="57">
        <f t="shared" si="326"/>
        <v>0</v>
      </c>
      <c r="PC74" s="1029">
        <f t="shared" si="465"/>
        <v>0</v>
      </c>
      <c r="PD74" s="57">
        <f t="shared" si="466"/>
        <v>0</v>
      </c>
      <c r="PE74" s="171" t="str">
        <f t="shared" si="467"/>
        <v/>
      </c>
      <c r="PF74" s="57">
        <f t="shared" si="327"/>
        <v>0</v>
      </c>
      <c r="PG74" s="57">
        <f>IF(OR(AND(OU$6=1,$L74=0),AND(OU$6=2,$K74=2,$G74=1)),0,IF(AND(OW$9=2,(OR($F74&gt;1,$K74=1,AND($L74=80,OR($N74=1,AND($N74=2,'#BerechnungDBE'!$AL65&gt;0)))))),IF(OU$4&gt;=$AD$126,0,PE74),IF(OW$9=3,IF(OR(OU$4&gt;=$AD$127,AND($G74=1,$J74=2,OU$6=2),AND(OU$6=1,$N74&lt;&gt;1)),0,IF(OY74&lt;=120,PE74,IF(OU$4&lt;$AD$124,IF($F74=1,60/OW$4*OW$6,60/OW$4*OW$7),IF($F74=1,120/OW$4*OW$6,120/OW$4*OW$7)))),IF(OR($F74=3,$G74=2),IF(OR(AND(OU$4&gt;=$AD$119,$C74=2),AND(OU$4&gt;=$AF$119,$C74=1)),0,IF(OY74&lt;=60,PE74,60/OW$4*OW$7)),IF(AND($F74=2,$G74=1),PE74,0)))))</f>
        <v>0</v>
      </c>
      <c r="PH74" s="57" t="str">
        <f t="shared" si="166"/>
        <v/>
      </c>
      <c r="PI74" s="57" t="str">
        <f t="shared" si="468"/>
        <v/>
      </c>
      <c r="PJ74" s="713">
        <f>'org. Düngung 22'!DL73</f>
        <v>0</v>
      </c>
      <c r="PK74" s="57"/>
      <c r="PL74" s="57"/>
      <c r="PM74" s="57">
        <f t="shared" si="168"/>
        <v>0</v>
      </c>
      <c r="PN74" s="57">
        <f t="shared" si="328"/>
        <v>0</v>
      </c>
      <c r="PO74" s="57">
        <f t="shared" si="329"/>
        <v>0</v>
      </c>
      <c r="PP74" s="57">
        <f t="shared" si="330"/>
        <v>0</v>
      </c>
      <c r="PQ74" s="57">
        <f t="shared" si="331"/>
        <v>0</v>
      </c>
      <c r="PR74" s="1029">
        <f t="shared" si="469"/>
        <v>0</v>
      </c>
      <c r="PS74" s="57">
        <f t="shared" si="470"/>
        <v>0</v>
      </c>
      <c r="PT74" s="171" t="str">
        <f t="shared" si="471"/>
        <v/>
      </c>
      <c r="PU74" s="57">
        <f t="shared" si="332"/>
        <v>0</v>
      </c>
      <c r="PV74" s="57">
        <f>IF(OR(AND(PJ$6=1,$L74=0),AND(PJ$6=2,$K74=2,$G74=1)),0,IF(AND(PL$9=2,(OR($F74&gt;1,$K74=1,AND($L74=80,OR($N74=1,AND($N74=2,'#BerechnungDBE'!$AL65&gt;0)))))),IF(PJ$4&gt;=$AD$126,0,PT74),IF(PL$9=3,IF(OR(PJ$4&gt;=$AD$127,AND($G74=1,$J74=2,PJ$6=2),AND(PJ$6=1,$N74&lt;&gt;1)),0,IF(PN74&lt;=120,PT74,IF(PJ$4&lt;$AD$124,IF($F74=1,60/PL$4*PL$6,60/PL$4*PL$7),IF($F74=1,120/PL$4*PL$6,120/PL$4*PL$7)))),IF(OR($F74=3,$G74=2),IF(OR(AND(PJ$4&gt;=$AD$119,$C74=2),AND(PJ$4&gt;=$AF$119,$C74=1)),0,IF(PN74&lt;=60,PT74,60/PL$4*PL$7)),IF(AND($F74=2,$G74=1),PT74,0)))))</f>
        <v>0</v>
      </c>
      <c r="PW74" s="57" t="str">
        <f t="shared" si="172"/>
        <v/>
      </c>
      <c r="PX74" s="57" t="str">
        <f t="shared" si="472"/>
        <v/>
      </c>
      <c r="PY74" s="713">
        <f>'org. Düngung 22'!DP73</f>
        <v>0</v>
      </c>
      <c r="PZ74" s="57"/>
      <c r="QA74" s="57"/>
      <c r="QB74" s="57">
        <f t="shared" si="174"/>
        <v>0</v>
      </c>
      <c r="QC74" s="57">
        <f t="shared" si="333"/>
        <v>0</v>
      </c>
      <c r="QD74" s="57">
        <f t="shared" si="334"/>
        <v>0</v>
      </c>
      <c r="QE74" s="57">
        <f t="shared" si="335"/>
        <v>0</v>
      </c>
      <c r="QF74" s="57">
        <f t="shared" si="336"/>
        <v>0</v>
      </c>
      <c r="QG74" s="1029">
        <f t="shared" si="473"/>
        <v>0</v>
      </c>
      <c r="QH74" s="57">
        <f t="shared" si="474"/>
        <v>0</v>
      </c>
      <c r="QI74" s="171" t="str">
        <f t="shared" si="475"/>
        <v/>
      </c>
      <c r="QJ74" s="57">
        <f t="shared" si="337"/>
        <v>0</v>
      </c>
      <c r="QK74" s="57">
        <f>IF(OR(AND(PY$6=1,$L74=0),AND(PY$6=2,$K74=2,$G74=1)),0,IF(AND(QA$9=2,(OR($F74&gt;1,$K74=1,AND($L74=80,OR($N74=1,AND($N74=2,'#BerechnungDBE'!$AL65&gt;0)))))),IF(PY$4&gt;=$AD$126,0,QI74),IF(QA$9=3,IF(OR(PY$4&gt;=$AD$127,AND($G74=1,$J74=2,PY$6=2),AND(PY$6=1,$N74&lt;&gt;1)),0,IF(QC74&lt;=120,QI74,IF(PY$4&lt;$AD$124,IF($F74=1,60/QA$4*QA$6,60/QA$4*QA$7),IF($F74=1,120/QA$4*QA$6,120/QA$4*QA$7)))),IF(OR($F74=3,$G74=2),IF(OR(AND(PY$4&gt;=$AD$119,$C74=2),AND(PY$4&gt;=$AF$119,$C74=1)),0,IF(QC74&lt;=60,QI74,60/QA$4*QA$7)),IF(AND($F74=2,$G74=1),QI74,0)))))</f>
        <v>0</v>
      </c>
      <c r="QL74" s="57" t="str">
        <f t="shared" si="178"/>
        <v/>
      </c>
      <c r="QM74" s="57" t="str">
        <f t="shared" si="476"/>
        <v/>
      </c>
      <c r="QN74" s="713">
        <f>'org. Düngung 22'!DT73</f>
        <v>0</v>
      </c>
      <c r="QO74" s="57"/>
      <c r="QP74" s="57"/>
      <c r="QQ74" s="57">
        <f t="shared" si="180"/>
        <v>0</v>
      </c>
      <c r="QR74" s="57">
        <f t="shared" si="338"/>
        <v>0</v>
      </c>
      <c r="QS74" s="57">
        <f t="shared" si="339"/>
        <v>0</v>
      </c>
      <c r="QT74" s="57">
        <f t="shared" si="340"/>
        <v>0</v>
      </c>
      <c r="QU74" s="57">
        <f t="shared" si="341"/>
        <v>0</v>
      </c>
      <c r="QV74" s="1029">
        <f t="shared" si="477"/>
        <v>0</v>
      </c>
      <c r="QW74" s="57">
        <f t="shared" si="478"/>
        <v>0</v>
      </c>
      <c r="QX74" s="171" t="str">
        <f t="shared" si="479"/>
        <v/>
      </c>
      <c r="QY74" s="57">
        <f t="shared" si="342"/>
        <v>0</v>
      </c>
      <c r="QZ74" s="57">
        <f>IF(OR(AND(QN$6=1,$L74=0),AND(QN$6=2,$K74=2,$G74=1)),0,IF(AND(QP$9=2,(OR($F74&gt;1,$K74=1,AND($L74=80,OR($N74=1,AND($N74=2,'#BerechnungDBE'!$AL65&gt;0)))))),IF(QN$4&gt;=$AD$126,0,QX74),IF(QP$9=3,IF(OR(QN$4&gt;=$AD$127,AND($G74=1,$J74=2,QN$6=2),AND(QN$6=1,$N74&lt;&gt;1)),0,IF(QR74&lt;=120,QX74,IF(QN$4&lt;$AD$124,IF($F74=1,60/QP$4*QP$6,60/QP$4*QP$7),IF($F74=1,120/QP$4*QP$6,120/QP$4*QP$7)))),IF(OR($F74=3,$G74=2),IF(OR(AND(QN$4&gt;=$AD$119,$C74=2),AND(QN$4&gt;=$AF$119,$C74=1)),0,IF(QR74&lt;=60,QX74,60/QP$4*QP$7)),IF(AND($F74=2,$G74=1),QX74,0)))))</f>
        <v>0</v>
      </c>
      <c r="RA74" s="57" t="str">
        <f t="shared" si="184"/>
        <v/>
      </c>
      <c r="RB74" s="57" t="str">
        <f t="shared" si="480"/>
        <v/>
      </c>
      <c r="RC74" s="713">
        <f>'org. Düngung 22'!DX73</f>
        <v>0</v>
      </c>
      <c r="RD74" s="57"/>
      <c r="RE74" s="57"/>
      <c r="RF74" s="57">
        <f t="shared" si="186"/>
        <v>0</v>
      </c>
      <c r="RG74" s="57">
        <f t="shared" si="343"/>
        <v>0</v>
      </c>
      <c r="RH74" s="57">
        <f t="shared" si="344"/>
        <v>0</v>
      </c>
      <c r="RI74" s="57">
        <f t="shared" si="345"/>
        <v>0</v>
      </c>
      <c r="RJ74" s="57">
        <f t="shared" si="346"/>
        <v>0</v>
      </c>
      <c r="RK74" s="1029">
        <f t="shared" si="481"/>
        <v>0</v>
      </c>
      <c r="RL74" s="57">
        <f t="shared" si="482"/>
        <v>0</v>
      </c>
      <c r="RM74" s="171" t="str">
        <f t="shared" si="483"/>
        <v/>
      </c>
      <c r="RN74" s="57">
        <f t="shared" si="347"/>
        <v>0</v>
      </c>
      <c r="RO74" s="57">
        <f>IF(OR(AND(RC$6=1,$L74=0),AND(RC$6=2,$K74=2,$G74=1)),0,IF(AND(RE$9=2,(OR($F74&gt;1,$K74=1,AND($L74=80,OR($N74=1,AND($N74=2,'#BerechnungDBE'!$AL65&gt;0)))))),IF(RC$4&gt;=$AD$126,0,RM74),IF(RE$9=3,IF(OR(RC$4&gt;=$AD$127,AND($G74=1,$J74=2,RC$6=2),AND(RC$6=1,$N74&lt;&gt;1)),0,IF(RG74&lt;=120,RM74,IF(RC$4&lt;$AD$124,IF($F74=1,60/RE$4*RE$6,60/RE$4*RE$7),IF($F74=1,120/RE$4*RE$6,120/RE$4*RE$7)))),IF(OR($F74=3,$G74=2),IF(OR(AND(RC$4&gt;=$AD$119,$C74=2),AND(RC$4&gt;=$AF$119,$C74=1)),0,IF(RG74&lt;=60,RM74,60/RE$4*RE$7)),IF(AND($F74=2,$G74=1),RM74,0)))))</f>
        <v>0</v>
      </c>
      <c r="RP74" s="57" t="str">
        <f t="shared" si="190"/>
        <v/>
      </c>
      <c r="RQ74" s="57" t="str">
        <f t="shared" si="484"/>
        <v/>
      </c>
      <c r="RS74" s="57" t="str">
        <f t="shared" si="488"/>
        <v/>
      </c>
      <c r="RT74" s="57" t="str">
        <f t="shared" si="485"/>
        <v/>
      </c>
      <c r="RU74" s="57" t="str">
        <f t="shared" si="486"/>
        <v/>
      </c>
      <c r="RV74" s="57" t="str">
        <f>IF(Z74&gt;'#BerechnungDBE'!BM65,$RV$9,"")</f>
        <v/>
      </c>
      <c r="RW74" s="57" t="str">
        <f>IF(AND(L74=70,AE74&gt;'#BerechnungDBE'!CQ65),$RW$9,"")</f>
        <v/>
      </c>
      <c r="RX74" s="57" t="str">
        <f>IF(OR('org. Düngung 22'!G73="--",'org. Düngung 22'!G73&lt;=170,'org. Düngung 22'!G73=""),"",$RX$9)</f>
        <v/>
      </c>
      <c r="RY74" s="57" t="str">
        <f>IF('org. Düngung 22'!K73&gt;120,'#orgDung'!$RY$9,"")</f>
        <v/>
      </c>
      <c r="RZ74" s="57" t="str">
        <f>IF('#BerechnungDBE'!P65&lt;4,"",IF(AND('#BerechnungDBE'!BZ65&gt;0,T74&gt;0),'#orgDung'!$RZ$9,""))</f>
        <v/>
      </c>
      <c r="SA74" s="57" t="str">
        <f t="shared" si="487"/>
        <v/>
      </c>
    </row>
    <row r="75" spans="1:495" s="875" customFormat="1" x14ac:dyDescent="0.2">
      <c r="A75" s="875">
        <f>'Flächen u. Kulturen'!A71</f>
        <v>62</v>
      </c>
      <c r="B75" s="367">
        <f>'#BerechnungDBE'!L66</f>
        <v>0</v>
      </c>
      <c r="C75" s="875">
        <f>'#BerechnungDBE'!R66</f>
        <v>1</v>
      </c>
      <c r="D75" s="875">
        <f>'#BerechnungDBE'!T66</f>
        <v>2</v>
      </c>
      <c r="E75" s="875" t="str">
        <f>'Flächen u. Kulturen'!E71</f>
        <v>x</v>
      </c>
      <c r="F75" s="52">
        <f>'#BerechnungDBE'!N66</f>
        <v>1</v>
      </c>
      <c r="G75" s="52">
        <f>'#BerechnungDBE'!O66</f>
        <v>1</v>
      </c>
      <c r="H75" s="875">
        <f>IF('Flächen u. Kulturen'!P71="",0,VLOOKUP('Flächen u. Kulturen'!P71,Kulturen[[HF]:[Berechnungsgruppe]],'#Frucht'!$H$1,FALSE))</f>
        <v>0</v>
      </c>
      <c r="I75" s="875">
        <f>IF('Flächen u. Kulturen'!J71="",0,VLOOKUP('Flächen u. Kulturen'!J71,Kulturen[[HF]:[Berechnungsgruppe]],'#Frucht'!$G$1,FALSE))</f>
        <v>90</v>
      </c>
      <c r="J75" s="505">
        <f t="shared" si="195"/>
        <v>2</v>
      </c>
      <c r="K75" s="505">
        <f>IF('Flächen u. Kulturen'!P71="",0,IF(VLOOKUP('Flächen u. Kulturen'!P71,Kulturen[[HF]:[Saat Winterungen]],'#Frucht'!$P$1,FALSE)&gt;0,1,2))</f>
        <v>2</v>
      </c>
      <c r="L75" s="875">
        <f>'#BerechnungDBE'!AF66</f>
        <v>0</v>
      </c>
      <c r="M75" s="875">
        <f>IF('Flächen u. Kulturen'!L71="",0,VLOOKUP('Flächen u. Kulturen'!L71,Nebenkultur[[Nebenkultur]:[Legum. Zwischenfr.]],'#Zweitfr'!$K$1,FALSE))</f>
        <v>0</v>
      </c>
      <c r="N75" s="875">
        <f>'#BerechnungDBE'!AG66</f>
        <v>0</v>
      </c>
      <c r="P75" s="57">
        <f t="shared" si="353"/>
        <v>0</v>
      </c>
      <c r="Q75" s="57">
        <f t="shared" si="354"/>
        <v>0</v>
      </c>
      <c r="R75" s="875">
        <f t="shared" si="355"/>
        <v>0</v>
      </c>
      <c r="S75" s="938" t="str">
        <f t="shared" si="3"/>
        <v/>
      </c>
      <c r="T75" s="875">
        <f t="shared" si="356"/>
        <v>0</v>
      </c>
      <c r="U75" s="875">
        <f t="shared" si="357"/>
        <v>0</v>
      </c>
      <c r="V75" s="875">
        <f t="shared" si="358"/>
        <v>0</v>
      </c>
      <c r="W75" s="875">
        <f t="shared" si="359"/>
        <v>0</v>
      </c>
      <c r="X75" s="875">
        <f t="shared" si="360"/>
        <v>0</v>
      </c>
      <c r="Y75" s="875">
        <f t="shared" si="349"/>
        <v>0</v>
      </c>
      <c r="Z75" s="875">
        <f t="shared" si="350"/>
        <v>0</v>
      </c>
      <c r="AA75" s="910">
        <f t="shared" si="361"/>
        <v>0</v>
      </c>
      <c r="AB75" s="57">
        <f t="shared" si="351"/>
        <v>0</v>
      </c>
      <c r="AC75" s="875">
        <f t="shared" si="362"/>
        <v>0</v>
      </c>
      <c r="AD75" s="875">
        <f t="shared" si="363"/>
        <v>0</v>
      </c>
      <c r="AE75" s="875">
        <f t="shared" si="364"/>
        <v>0</v>
      </c>
      <c r="AF75" s="875">
        <f t="shared" si="352"/>
        <v>0</v>
      </c>
      <c r="AG75" s="875">
        <f>'org. Düngung 22'!J74</f>
        <v>0</v>
      </c>
      <c r="AH75" s="875">
        <f>'org. Düngung 22'!K74</f>
        <v>0</v>
      </c>
      <c r="AJ75" s="713">
        <f>'org. Düngung 22'!L74</f>
        <v>0</v>
      </c>
      <c r="AK75" s="57"/>
      <c r="AL75" s="57"/>
      <c r="AM75" s="57">
        <f t="shared" si="196"/>
        <v>0</v>
      </c>
      <c r="AN75" s="57">
        <f t="shared" si="197"/>
        <v>0</v>
      </c>
      <c r="AO75" s="57">
        <f t="shared" si="198"/>
        <v>0</v>
      </c>
      <c r="AP75" s="57">
        <f t="shared" si="199"/>
        <v>0</v>
      </c>
      <c r="AQ75" s="57">
        <f t="shared" si="200"/>
        <v>0</v>
      </c>
      <c r="AR75" s="1029">
        <f t="shared" si="365"/>
        <v>0</v>
      </c>
      <c r="AS75" s="57">
        <f t="shared" si="366"/>
        <v>0</v>
      </c>
      <c r="AT75" s="171" t="str">
        <f t="shared" si="367"/>
        <v/>
      </c>
      <c r="AU75" s="57">
        <f t="shared" si="201"/>
        <v>0</v>
      </c>
      <c r="AV75" s="57">
        <f>IF(OR(AND(AJ$6=1,$L75=0),AND(AJ$6=2,$K75=2,$G75=1)),0,IF(AND(AL$9=2,(OR($F75&gt;1,$K75=1,AND($L75=80,OR($N75=1,AND($N75=2,'#BerechnungDBE'!$AL66&gt;0)))))),IF(AJ$4&gt;=$AD$126,0,AT75),IF(AL$9=3,IF(OR(AJ$4&gt;=$AD$127,AND($G75=1,$J75=2,AJ$6=2),AND(AJ$6=1,$N75&lt;&gt;1)),0,IF(AN75&lt;=120,AT75,IF(AJ$4&lt;$AD$124,IF($F75=1,60/AL$4*AL$6,60/AL$4*AL$7),IF($F75=1,120/AL$4*AL$6,120/AL$4*AL$7)))),IF(OR($F75=3,$G75=2),IF(OR(AND(AJ$4&gt;=$AD$119,$C75=2),AND(AJ$4&gt;=$AF$119,$C75=1)),0,IF(AN75&lt;=60,AT75,60/AL$4*AL$7)),IF(AND($F75=2,$G75=1),AT75,0)))))</f>
        <v>0</v>
      </c>
      <c r="AW75" s="57" t="str">
        <f t="shared" si="202"/>
        <v/>
      </c>
      <c r="AX75" s="57" t="str">
        <f t="shared" si="368"/>
        <v/>
      </c>
      <c r="AY75" s="713">
        <f>'org. Düngung 22'!P74</f>
        <v>0</v>
      </c>
      <c r="AZ75" s="57"/>
      <c r="BA75" s="57"/>
      <c r="BB75" s="57">
        <f t="shared" si="18"/>
        <v>0</v>
      </c>
      <c r="BC75" s="57">
        <f t="shared" si="203"/>
        <v>0</v>
      </c>
      <c r="BD75" s="57">
        <f t="shared" si="204"/>
        <v>0</v>
      </c>
      <c r="BE75" s="57">
        <f t="shared" si="205"/>
        <v>0</v>
      </c>
      <c r="BF75" s="57">
        <f t="shared" si="206"/>
        <v>0</v>
      </c>
      <c r="BG75" s="1029">
        <f t="shared" si="369"/>
        <v>0</v>
      </c>
      <c r="BH75" s="57">
        <f t="shared" si="370"/>
        <v>0</v>
      </c>
      <c r="BI75" s="171" t="str">
        <f t="shared" si="371"/>
        <v/>
      </c>
      <c r="BJ75" s="57">
        <f t="shared" si="207"/>
        <v>0</v>
      </c>
      <c r="BK75" s="57">
        <f>IF(OR(AND(AY$6=1,$L75=0),AND(AY$6=2,$K75=2,$G75=1)),0,IF(AND(BA$9=2,(OR($F75&gt;1,$K75=1,AND($L75=80,OR($N75=1,AND($N75=2,'#BerechnungDBE'!$AL66&gt;0)))))),IF(AY$4&gt;=$AD$126,0,BI75),IF(BA$9=3,IF(OR(AY$4&gt;=$AD$127,AND($G75=1,$J75=2,AY$6=2),AND(AY$6=1,$N75&lt;&gt;1)),0,IF(BC75&lt;=120,BI75,IF(AY$4&lt;$AD$124,IF($F75=1,60/BA$4*BA$6,60/BA$4*BA$7),IF($F75=1,120/BA$4*BA$6,120/BA$4*BA$7)))),IF(OR($F75=3,$G75=2),IF(OR(AND(AY$4&gt;=$AD$119,$C75=2),AND(AY$4&gt;=$AF$119,$C75=1)),0,IF(BC75&lt;=60,BI75,60/BA$4*BA$7)),IF(AND($F75=2,$G75=1),BI75,0)))))</f>
        <v>0</v>
      </c>
      <c r="BL75" s="57" t="str">
        <f t="shared" si="22"/>
        <v/>
      </c>
      <c r="BM75" s="57" t="str">
        <f t="shared" si="372"/>
        <v/>
      </c>
      <c r="BN75" s="713">
        <f>'org. Düngung 22'!T74</f>
        <v>0</v>
      </c>
      <c r="BO75" s="57"/>
      <c r="BP75" s="57"/>
      <c r="BQ75" s="57">
        <f t="shared" si="24"/>
        <v>0</v>
      </c>
      <c r="BR75" s="57">
        <f t="shared" si="208"/>
        <v>0</v>
      </c>
      <c r="BS75" s="57">
        <f t="shared" si="209"/>
        <v>0</v>
      </c>
      <c r="BT75" s="57">
        <f t="shared" si="210"/>
        <v>0</v>
      </c>
      <c r="BU75" s="57">
        <f t="shared" si="211"/>
        <v>0</v>
      </c>
      <c r="BV75" s="1029">
        <f t="shared" si="373"/>
        <v>0</v>
      </c>
      <c r="BW75" s="57">
        <f t="shared" si="374"/>
        <v>0</v>
      </c>
      <c r="BX75" s="171" t="str">
        <f t="shared" si="375"/>
        <v/>
      </c>
      <c r="BY75" s="57">
        <f t="shared" si="212"/>
        <v>0</v>
      </c>
      <c r="BZ75" s="57">
        <f>IF(OR(AND(BN$6=1,$L75=0),AND(BN$6=2,$K75=2,$G75=1)),0,IF(AND(BP$9=2,(OR($F75&gt;1,$K75=1,AND($L75=80,OR($N75=1,AND($N75=2,'#BerechnungDBE'!$AL66&gt;0)))))),IF(BN$4&gt;=$AD$126,0,BX75),IF(BP$9=3,IF(OR(BN$4&gt;=$AD$127,AND($G75=1,$J75=2,BN$6=2),AND(BN$6=1,$N75&lt;&gt;1)),0,IF(BR75&lt;=120,BX75,IF(BN$4&lt;$AD$124,IF($F75=1,60/BP$4*BP$6,60/BP$4*BP$7),IF($F75=1,120/BP$4*BP$6,120/BP$4*BP$7)))),IF(OR($F75=3,$G75=2),IF(OR(AND(BN$4&gt;=$AD$119,$C75=2),AND(BN$4&gt;=$AF$119,$C75=1)),0,IF(BR75&lt;=60,BX75,60/BP$4*BP$7)),IF(AND($F75=2,$G75=1),BX75,0)))))</f>
        <v>0</v>
      </c>
      <c r="CA75" s="57" t="str">
        <f t="shared" si="28"/>
        <v/>
      </c>
      <c r="CB75" s="57" t="str">
        <f t="shared" si="376"/>
        <v/>
      </c>
      <c r="CC75" s="713">
        <f>'org. Düngung 22'!X74</f>
        <v>0</v>
      </c>
      <c r="CD75" s="57"/>
      <c r="CE75" s="57"/>
      <c r="CF75" s="57">
        <f t="shared" si="30"/>
        <v>0</v>
      </c>
      <c r="CG75" s="57">
        <f t="shared" si="213"/>
        <v>0</v>
      </c>
      <c r="CH75" s="57">
        <f t="shared" si="214"/>
        <v>0</v>
      </c>
      <c r="CI75" s="57">
        <f t="shared" si="215"/>
        <v>0</v>
      </c>
      <c r="CJ75" s="57">
        <f t="shared" si="216"/>
        <v>0</v>
      </c>
      <c r="CK75" s="1029">
        <f t="shared" si="377"/>
        <v>0</v>
      </c>
      <c r="CL75" s="57">
        <f t="shared" si="378"/>
        <v>0</v>
      </c>
      <c r="CM75" s="171" t="str">
        <f t="shared" si="379"/>
        <v/>
      </c>
      <c r="CN75" s="57">
        <f t="shared" si="217"/>
        <v>0</v>
      </c>
      <c r="CO75" s="57">
        <f>IF(OR(AND(CC$6=1,$L75=0),AND(CC$6=2,$K75=2,$G75=1)),0,IF(AND(CE$9=2,(OR($F75&gt;1,$K75=1,AND($L75=80,OR($N75=1,AND($N75=2,'#BerechnungDBE'!$AL66&gt;0)))))),IF(CC$4&gt;=$AD$126,0,CM75),IF(CE$9=3,IF(OR(CC$4&gt;=$AD$127,AND($G75=1,$J75=2,CC$6=2),AND(CC$6=1,$N75&lt;&gt;1)),0,IF(CG75&lt;=120,CM75,IF(CC$4&lt;$AD$124,IF($F75=1,60/CE$4*CE$6,60/CE$4*CE$7),IF($F75=1,120/CE$4*CE$6,120/CE$4*CE$7)))),IF(OR($F75=3,$G75=2),IF(OR(AND(CC$4&gt;=$AD$119,$C75=2),AND(CC$4&gt;=$AF$119,$C75=1)),0,IF(CG75&lt;=60,CM75,60/CE$4*CE$7)),IF(AND($F75=2,$G75=1),CM75,0)))))</f>
        <v>0</v>
      </c>
      <c r="CP75" s="57" t="str">
        <f t="shared" si="34"/>
        <v/>
      </c>
      <c r="CQ75" s="57" t="str">
        <f t="shared" si="380"/>
        <v/>
      </c>
      <c r="CR75" s="713">
        <f>'org. Düngung 22'!AB74</f>
        <v>0</v>
      </c>
      <c r="CS75" s="57"/>
      <c r="CT75" s="57"/>
      <c r="CU75" s="57">
        <f t="shared" si="36"/>
        <v>0</v>
      </c>
      <c r="CV75" s="57">
        <f t="shared" si="218"/>
        <v>0</v>
      </c>
      <c r="CW75" s="57">
        <f t="shared" si="219"/>
        <v>0</v>
      </c>
      <c r="CX75" s="57">
        <f t="shared" si="220"/>
        <v>0</v>
      </c>
      <c r="CY75" s="57">
        <f t="shared" si="221"/>
        <v>0</v>
      </c>
      <c r="CZ75" s="1029">
        <f t="shared" si="381"/>
        <v>0</v>
      </c>
      <c r="DA75" s="57">
        <f t="shared" si="382"/>
        <v>0</v>
      </c>
      <c r="DB75" s="171" t="str">
        <f t="shared" si="383"/>
        <v/>
      </c>
      <c r="DC75" s="57">
        <f t="shared" si="222"/>
        <v>0</v>
      </c>
      <c r="DD75" s="57">
        <f>IF(OR(AND(CR$6=1,$L75=0),AND(CR$6=2,$K75=2,$G75=1)),0,IF(AND(CT$9=2,(OR($F75&gt;1,$K75=1,AND($L75=80,OR($N75=1,AND($N75=2,'#BerechnungDBE'!$AL66&gt;0)))))),IF(CR$4&gt;=$AD$126,0,DB75),IF(CT$9=3,IF(OR(CR$4&gt;=$AD$127,AND($G75=1,$J75=2,CR$6=2),AND(CR$6=1,$N75&lt;&gt;1)),0,IF(CV75&lt;=120,DB75,IF(CR$4&lt;$AD$124,IF($F75=1,60/CT$4*CT$6,60/CT$4*CT$7),IF($F75=1,120/CT$4*CT$6,120/CT$4*CT$7)))),IF(OR($F75=3,$G75=2),IF(OR(AND(CR$4&gt;=$AD$119,$C75=2),AND(CR$4&gt;=$AF$119,$C75=1)),0,IF(CV75&lt;=60,DB75,60/CT$4*CT$7)),IF(AND($F75=2,$G75=1),DB75,0)))))</f>
        <v>0</v>
      </c>
      <c r="DE75" s="57" t="str">
        <f t="shared" si="40"/>
        <v/>
      </c>
      <c r="DF75" s="57" t="str">
        <f t="shared" si="384"/>
        <v/>
      </c>
      <c r="DG75" s="713">
        <f>'org. Düngung 22'!AF74</f>
        <v>0</v>
      </c>
      <c r="DH75" s="57"/>
      <c r="DI75" s="57"/>
      <c r="DJ75" s="57">
        <f t="shared" si="42"/>
        <v>0</v>
      </c>
      <c r="DK75" s="57">
        <f t="shared" si="223"/>
        <v>0</v>
      </c>
      <c r="DL75" s="57">
        <f t="shared" si="224"/>
        <v>0</v>
      </c>
      <c r="DM75" s="57">
        <f t="shared" si="225"/>
        <v>0</v>
      </c>
      <c r="DN75" s="57">
        <f t="shared" si="226"/>
        <v>0</v>
      </c>
      <c r="DO75" s="1029">
        <f t="shared" si="385"/>
        <v>0</v>
      </c>
      <c r="DP75" s="57">
        <f t="shared" si="386"/>
        <v>0</v>
      </c>
      <c r="DQ75" s="171" t="str">
        <f t="shared" si="387"/>
        <v/>
      </c>
      <c r="DR75" s="57">
        <f t="shared" si="227"/>
        <v>0</v>
      </c>
      <c r="DS75" s="57">
        <f>IF(OR(AND(DG$6=1,$L75=0),AND(DG$6=2,$K75=2,$G75=1)),0,IF(AND(DI$9=2,(OR($F75&gt;1,$K75=1,AND($L75=80,OR($N75=1,AND($N75=2,'#BerechnungDBE'!$AL66&gt;0)))))),IF(DG$4&gt;=$AD$126,0,DQ75),IF(DI$9=3,IF(OR(DG$4&gt;=$AD$127,AND($G75=1,$J75=2,DG$6=2),AND(DG$6=1,$N75&lt;&gt;1)),0,IF(DK75&lt;=120,DQ75,IF(DG$4&lt;$AD$124,IF($F75=1,60/DI$4*DI$6,60/DI$4*DI$7),IF($F75=1,120/DI$4*DI$6,120/DI$4*DI$7)))),IF(OR($F75=3,$G75=2),IF(OR(AND(DG$4&gt;=$AD$119,$C75=2),AND(DG$4&gt;=$AF$119,$C75=1)),0,IF(DK75&lt;=60,DQ75,60/DI$4*DI$7)),IF(AND($F75=2,$G75=1),DQ75,0)))))</f>
        <v>0</v>
      </c>
      <c r="DT75" s="57" t="str">
        <f t="shared" si="46"/>
        <v/>
      </c>
      <c r="DU75" s="57" t="str">
        <f t="shared" si="388"/>
        <v/>
      </c>
      <c r="DV75" s="713">
        <f>'org. Düngung 22'!AJ74</f>
        <v>0</v>
      </c>
      <c r="DW75" s="57"/>
      <c r="DX75" s="57"/>
      <c r="DY75" s="57">
        <f t="shared" si="48"/>
        <v>0</v>
      </c>
      <c r="DZ75" s="57">
        <f t="shared" si="228"/>
        <v>0</v>
      </c>
      <c r="EA75" s="57">
        <f t="shared" si="229"/>
        <v>0</v>
      </c>
      <c r="EB75" s="57">
        <f t="shared" si="230"/>
        <v>0</v>
      </c>
      <c r="EC75" s="57">
        <f t="shared" si="231"/>
        <v>0</v>
      </c>
      <c r="ED75" s="1029">
        <f t="shared" si="389"/>
        <v>0</v>
      </c>
      <c r="EE75" s="57">
        <f t="shared" si="390"/>
        <v>0</v>
      </c>
      <c r="EF75" s="171" t="str">
        <f t="shared" si="391"/>
        <v/>
      </c>
      <c r="EG75" s="57">
        <f t="shared" si="232"/>
        <v>0</v>
      </c>
      <c r="EH75" s="57">
        <f>IF(OR(AND(DV$6=1,$L75=0),AND(DV$6=2,$K75=2,$G75=1)),0,IF(AND(DX$9=2,(OR($F75&gt;1,$K75=1,AND($L75=80,OR($N75=1,AND($N75=2,'#BerechnungDBE'!$AL66&gt;0)))))),IF(DV$4&gt;=$AD$126,0,EF75),IF(DX$9=3,IF(OR(DV$4&gt;=$AD$127,AND($G75=1,$J75=2,DV$6=2),AND(DV$6=1,$N75&lt;&gt;1)),0,IF(DZ75&lt;=120,EF75,IF(DV$4&lt;$AD$124,IF($F75=1,60/DX$4*DX$6,60/DX$4*DX$7),IF($F75=1,120/DX$4*DX$6,120/DX$4*DX$7)))),IF(OR($F75=3,$G75=2),IF(OR(AND(DV$4&gt;=$AD$119,$C75=2),AND(DV$4&gt;=$AF$119,$C75=1)),0,IF(DZ75&lt;=60,EF75,60/DX$4*DX$7)),IF(AND($F75=2,$G75=1),EF75,0)))))</f>
        <v>0</v>
      </c>
      <c r="EI75" s="57" t="str">
        <f t="shared" si="52"/>
        <v/>
      </c>
      <c r="EJ75" s="57" t="str">
        <f t="shared" si="392"/>
        <v/>
      </c>
      <c r="EK75" s="713">
        <f>'org. Düngung 22'!AN74</f>
        <v>0</v>
      </c>
      <c r="EL75" s="57"/>
      <c r="EM75" s="57"/>
      <c r="EN75" s="57">
        <f t="shared" si="54"/>
        <v>0</v>
      </c>
      <c r="EO75" s="57">
        <f t="shared" si="233"/>
        <v>0</v>
      </c>
      <c r="EP75" s="57">
        <f t="shared" si="234"/>
        <v>0</v>
      </c>
      <c r="EQ75" s="57">
        <f t="shared" si="235"/>
        <v>0</v>
      </c>
      <c r="ER75" s="57">
        <f t="shared" si="236"/>
        <v>0</v>
      </c>
      <c r="ES75" s="1029">
        <f t="shared" si="393"/>
        <v>0</v>
      </c>
      <c r="ET75" s="57">
        <f t="shared" si="394"/>
        <v>0</v>
      </c>
      <c r="EU75" s="171" t="str">
        <f t="shared" si="395"/>
        <v/>
      </c>
      <c r="EV75" s="57">
        <f t="shared" si="237"/>
        <v>0</v>
      </c>
      <c r="EW75" s="57">
        <f>IF(OR(AND(EK$6=1,$L75=0),AND(EK$6=2,$K75=2,$G75=1)),0,IF(AND(EM$9=2,(OR($F75&gt;1,$K75=1,AND($L75=80,OR($N75=1,AND($N75=2,'#BerechnungDBE'!$AL66&gt;0)))))),IF(EK$4&gt;=$AD$126,0,EU75),IF(EM$9=3,IF(OR(EK$4&gt;=$AD$127,AND($G75=1,$J75=2,EK$6=2),AND(EK$6=1,$N75&lt;&gt;1)),0,IF(EO75&lt;=120,EU75,IF(EK$4&lt;$AD$124,IF($F75=1,60/EM$4*EM$6,60/EM$4*EM$7),IF($F75=1,120/EM$4*EM$6,120/EM$4*EM$7)))),IF(OR($F75=3,$G75=2),IF(OR(AND(EK$4&gt;=$AD$119,$C75=2),AND(EK$4&gt;=$AF$119,$C75=1)),0,IF(EO75&lt;=60,EU75,60/EM$4*EM$7)),IF(AND($F75=2,$G75=1),EU75,0)))))</f>
        <v>0</v>
      </c>
      <c r="EX75" s="57" t="str">
        <f t="shared" si="58"/>
        <v/>
      </c>
      <c r="EY75" s="57" t="str">
        <f t="shared" si="396"/>
        <v/>
      </c>
      <c r="EZ75" s="713">
        <f>'org. Düngung 22'!AR74</f>
        <v>0</v>
      </c>
      <c r="FA75" s="57"/>
      <c r="FB75" s="57"/>
      <c r="FC75" s="57">
        <f t="shared" si="60"/>
        <v>0</v>
      </c>
      <c r="FD75" s="57">
        <f t="shared" si="238"/>
        <v>0</v>
      </c>
      <c r="FE75" s="57">
        <f t="shared" si="239"/>
        <v>0</v>
      </c>
      <c r="FF75" s="57">
        <f t="shared" si="240"/>
        <v>0</v>
      </c>
      <c r="FG75" s="57">
        <f t="shared" si="241"/>
        <v>0</v>
      </c>
      <c r="FH75" s="1029">
        <f t="shared" si="397"/>
        <v>0</v>
      </c>
      <c r="FI75" s="57">
        <f t="shared" si="398"/>
        <v>0</v>
      </c>
      <c r="FJ75" s="171" t="str">
        <f t="shared" si="399"/>
        <v/>
      </c>
      <c r="FK75" s="57">
        <f t="shared" si="242"/>
        <v>0</v>
      </c>
      <c r="FL75" s="57">
        <f>IF(OR(AND(EZ$6=1,$L75=0),AND(EZ$6=2,$K75=2,$G75=1)),0,IF(AND(FB$9=2,(OR($F75&gt;1,$K75=1,AND($L75=80,OR($N75=1,AND($N75=2,'#BerechnungDBE'!$AL66&gt;0)))))),IF(EZ$4&gt;=$AD$126,0,FJ75),IF(FB$9=3,IF(OR(EZ$4&gt;=$AD$127,AND($G75=1,$J75=2,EZ$6=2),AND(EZ$6=1,$N75&lt;&gt;1)),0,IF(FD75&lt;=120,FJ75,IF(EZ$4&lt;$AD$124,IF($F75=1,60/FB$4*FB$6,60/FB$4*FB$7),IF($F75=1,120/FB$4*FB$6,120/FB$4*FB$7)))),IF(OR($F75=3,$G75=2),IF(OR(AND(EZ$4&gt;=$AD$119,$C75=2),AND(EZ$4&gt;=$AF$119,$C75=1)),0,IF(FD75&lt;=60,FJ75,60/FB$4*FB$7)),IF(AND($F75=2,$G75=1),FJ75,0)))))</f>
        <v>0</v>
      </c>
      <c r="FM75" s="57" t="str">
        <f t="shared" si="64"/>
        <v/>
      </c>
      <c r="FN75" s="57" t="str">
        <f t="shared" si="400"/>
        <v/>
      </c>
      <c r="FO75" s="713">
        <f>'org. Düngung 22'!AV74</f>
        <v>0</v>
      </c>
      <c r="FP75" s="57"/>
      <c r="FQ75" s="57"/>
      <c r="FR75" s="57">
        <f t="shared" si="66"/>
        <v>0</v>
      </c>
      <c r="FS75" s="57">
        <f t="shared" si="243"/>
        <v>0</v>
      </c>
      <c r="FT75" s="57">
        <f t="shared" si="244"/>
        <v>0</v>
      </c>
      <c r="FU75" s="57">
        <f t="shared" si="245"/>
        <v>0</v>
      </c>
      <c r="FV75" s="57">
        <f t="shared" si="246"/>
        <v>0</v>
      </c>
      <c r="FW75" s="1029">
        <f t="shared" si="401"/>
        <v>0</v>
      </c>
      <c r="FX75" s="57">
        <f t="shared" si="402"/>
        <v>0</v>
      </c>
      <c r="FY75" s="171" t="str">
        <f t="shared" si="403"/>
        <v/>
      </c>
      <c r="FZ75" s="57">
        <f t="shared" si="247"/>
        <v>0</v>
      </c>
      <c r="GA75" s="57">
        <f>IF(OR(AND(FO$6=1,$L75=0),AND(FO$6=2,$K75=2,$G75=1)),0,IF(AND(FQ$9=2,(OR($F75&gt;1,$K75=1,AND($L75=80,OR($N75=1,AND($N75=2,'#BerechnungDBE'!$AL66&gt;0)))))),IF(FO$4&gt;=$AD$126,0,FY75),IF(FQ$9=3,IF(OR(FO$4&gt;=$AD$127,AND($G75=1,$J75=2,FO$6=2),AND(FO$6=1,$N75&lt;&gt;1)),0,IF(FS75&lt;=120,FY75,IF(FO$4&lt;$AD$124,IF($F75=1,60/FQ$4*FQ$6,60/FQ$4*FQ$7),IF($F75=1,120/FQ$4*FQ$6,120/FQ$4*FQ$7)))),IF(OR($F75=3,$G75=2),IF(OR(AND(FO$4&gt;=$AD$119,$C75=2),AND(FO$4&gt;=$AF$119,$C75=1)),0,IF(FS75&lt;=60,FY75,60/FQ$4*FQ$7)),IF(AND($F75=2,$G75=1),FY75,0)))))</f>
        <v>0</v>
      </c>
      <c r="GB75" s="57" t="str">
        <f t="shared" si="70"/>
        <v/>
      </c>
      <c r="GC75" s="57" t="str">
        <f t="shared" si="404"/>
        <v/>
      </c>
      <c r="GD75" s="713">
        <f>'org. Düngung 22'!AZ74</f>
        <v>0</v>
      </c>
      <c r="GE75" s="57"/>
      <c r="GF75" s="57"/>
      <c r="GG75" s="57">
        <f t="shared" si="72"/>
        <v>0</v>
      </c>
      <c r="GH75" s="57">
        <f t="shared" si="248"/>
        <v>0</v>
      </c>
      <c r="GI75" s="57">
        <f t="shared" si="249"/>
        <v>0</v>
      </c>
      <c r="GJ75" s="57">
        <f t="shared" si="250"/>
        <v>0</v>
      </c>
      <c r="GK75" s="57">
        <f t="shared" si="251"/>
        <v>0</v>
      </c>
      <c r="GL75" s="1029">
        <f t="shared" si="405"/>
        <v>0</v>
      </c>
      <c r="GM75" s="57">
        <f t="shared" si="406"/>
        <v>0</v>
      </c>
      <c r="GN75" s="171" t="str">
        <f t="shared" si="407"/>
        <v/>
      </c>
      <c r="GO75" s="57">
        <f t="shared" si="252"/>
        <v>0</v>
      </c>
      <c r="GP75" s="57">
        <f>IF(OR(AND(GD$6=1,$L75=0),AND(GD$6=2,$K75=2,$G75=1)),0,IF(AND(GF$9=2,(OR($F75&gt;1,$K75=1,AND($L75=80,OR($N75=1,AND($N75=2,'#BerechnungDBE'!$AL66&gt;0)))))),IF(GD$4&gt;=$AD$126,0,GN75),IF(GF$9=3,IF(OR(GD$4&gt;=$AD$127,AND($G75=1,$J75=2,GD$6=2),AND(GD$6=1,$N75&lt;&gt;1)),0,IF(GH75&lt;=120,GN75,IF(GD$4&lt;$AD$124,IF($F75=1,60/GF$4*GF$6,60/GF$4*GF$7),IF($F75=1,120/GF$4*GF$6,120/GF$4*GF$7)))),IF(OR($F75=3,$G75=2),IF(OR(AND(GD$4&gt;=$AD$119,$C75=2),AND(GD$4&gt;=$AF$119,$C75=1)),0,IF(GH75&lt;=60,GN75,60/GF$4*GF$7)),IF(AND($F75=2,$G75=1),GN75,0)))))</f>
        <v>0</v>
      </c>
      <c r="GQ75" s="57" t="str">
        <f t="shared" si="76"/>
        <v/>
      </c>
      <c r="GR75" s="57" t="str">
        <f t="shared" si="408"/>
        <v/>
      </c>
      <c r="GS75" s="713">
        <f>'org. Düngung 22'!BD74</f>
        <v>0</v>
      </c>
      <c r="GT75" s="57"/>
      <c r="GU75" s="57"/>
      <c r="GV75" s="57">
        <f t="shared" si="78"/>
        <v>0</v>
      </c>
      <c r="GW75" s="57">
        <f t="shared" si="253"/>
        <v>0</v>
      </c>
      <c r="GX75" s="57">
        <f t="shared" si="254"/>
        <v>0</v>
      </c>
      <c r="GY75" s="57">
        <f t="shared" si="255"/>
        <v>0</v>
      </c>
      <c r="GZ75" s="57">
        <f t="shared" si="256"/>
        <v>0</v>
      </c>
      <c r="HA75" s="1029">
        <f t="shared" si="409"/>
        <v>0</v>
      </c>
      <c r="HB75" s="57">
        <f t="shared" si="410"/>
        <v>0</v>
      </c>
      <c r="HC75" s="171" t="str">
        <f t="shared" si="411"/>
        <v/>
      </c>
      <c r="HD75" s="57">
        <f t="shared" si="257"/>
        <v>0</v>
      </c>
      <c r="HE75" s="57">
        <f>IF(OR(AND(GS$6=1,$L75=0),AND(GS$6=2,$K75=2,$G75=1)),0,IF(AND(GU$9=2,(OR($F75&gt;1,$K75=1,AND($L75=80,OR($N75=1,AND($N75=2,'#BerechnungDBE'!$AL66&gt;0)))))),IF(GS$4&gt;=$AD$126,0,HC75),IF(GU$9=3,IF(OR(GS$4&gt;=$AD$127,AND($G75=1,$J75=2,GS$6=2),AND(GS$6=1,$N75&lt;&gt;1)),0,IF(GW75&lt;=120,HC75,IF(GS$4&lt;$AD$124,IF($F75=1,60/GU$4*GU$6,60/GU$4*GU$7),IF($F75=1,120/GU$4*GU$6,120/GU$4*GU$7)))),IF(OR($F75=3,$G75=2),IF(OR(AND(GS$4&gt;=$AD$119,$C75=2),AND(GS$4&gt;=$AF$119,$C75=1)),0,IF(GW75&lt;=60,HC75,60/GU$4*GU$7)),IF(AND($F75=2,$G75=1),HC75,0)))))</f>
        <v>0</v>
      </c>
      <c r="HF75" s="57" t="str">
        <f t="shared" si="82"/>
        <v/>
      </c>
      <c r="HG75" s="57" t="str">
        <f t="shared" si="412"/>
        <v/>
      </c>
      <c r="HH75" s="713">
        <f>'org. Düngung 22'!BH74</f>
        <v>0</v>
      </c>
      <c r="HI75" s="57"/>
      <c r="HJ75" s="57"/>
      <c r="HK75" s="57">
        <f t="shared" si="84"/>
        <v>0</v>
      </c>
      <c r="HL75" s="57">
        <f t="shared" si="258"/>
        <v>0</v>
      </c>
      <c r="HM75" s="57">
        <f t="shared" si="259"/>
        <v>0</v>
      </c>
      <c r="HN75" s="57">
        <f t="shared" si="260"/>
        <v>0</v>
      </c>
      <c r="HO75" s="57">
        <f t="shared" si="261"/>
        <v>0</v>
      </c>
      <c r="HP75" s="1029">
        <f t="shared" si="413"/>
        <v>0</v>
      </c>
      <c r="HQ75" s="57">
        <f t="shared" si="414"/>
        <v>0</v>
      </c>
      <c r="HR75" s="171" t="str">
        <f t="shared" si="415"/>
        <v/>
      </c>
      <c r="HS75" s="57">
        <f t="shared" si="262"/>
        <v>0</v>
      </c>
      <c r="HT75" s="57">
        <f>IF(OR(AND(HH$6=1,$L75=0),AND(HH$6=2,$K75=2,$G75=1)),0,IF(AND(HJ$9=2,(OR($F75&gt;1,$K75=1,AND($L75=80,OR($N75=1,AND($N75=2,'#BerechnungDBE'!$AL66&gt;0)))))),IF(HH$4&gt;=$AD$126,0,HR75),IF(HJ$9=3,IF(OR(HH$4&gt;=$AD$127,AND($G75=1,$J75=2,HH$6=2),AND(HH$6=1,$N75&lt;&gt;1)),0,IF(HL75&lt;=120,HR75,IF(HH$4&lt;$AD$124,IF($F75=1,60/HJ$4*HJ$6,60/HJ$4*HJ$7),IF($F75=1,120/HJ$4*HJ$6,120/HJ$4*HJ$7)))),IF(OR($F75=3,$G75=2),IF(OR(AND(HH$4&gt;=$AD$119,$C75=2),AND(HH$4&gt;=$AF$119,$C75=1)),0,IF(HL75&lt;=60,HR75,60/HJ$4*HJ$7)),IF(AND($F75=2,$G75=1),HR75,0)))))</f>
        <v>0</v>
      </c>
      <c r="HU75" s="57" t="str">
        <f t="shared" si="88"/>
        <v/>
      </c>
      <c r="HV75" s="57" t="str">
        <f t="shared" si="416"/>
        <v/>
      </c>
      <c r="HW75" s="713">
        <f>'org. Düngung 22'!BL74</f>
        <v>0</v>
      </c>
      <c r="HX75" s="57"/>
      <c r="HY75" s="57"/>
      <c r="HZ75" s="57">
        <f t="shared" si="90"/>
        <v>0</v>
      </c>
      <c r="IA75" s="57">
        <f t="shared" si="263"/>
        <v>0</v>
      </c>
      <c r="IB75" s="57">
        <f t="shared" si="264"/>
        <v>0</v>
      </c>
      <c r="IC75" s="57">
        <f t="shared" si="265"/>
        <v>0</v>
      </c>
      <c r="ID75" s="57">
        <f t="shared" si="266"/>
        <v>0</v>
      </c>
      <c r="IE75" s="1029">
        <f t="shared" si="417"/>
        <v>0</v>
      </c>
      <c r="IF75" s="57">
        <f t="shared" si="418"/>
        <v>0</v>
      </c>
      <c r="IG75" s="171" t="str">
        <f t="shared" si="419"/>
        <v/>
      </c>
      <c r="IH75" s="57">
        <f t="shared" si="267"/>
        <v>0</v>
      </c>
      <c r="II75" s="57">
        <f>IF(OR(AND(HW$6=1,$L75=0),AND(HW$6=2,$K75=2,$G75=1)),0,IF(AND(HY$9=2,(OR($F75&gt;1,$K75=1,AND($L75=80,OR($N75=1,AND($N75=2,'#BerechnungDBE'!$AL66&gt;0)))))),IF(HW$4&gt;=$AD$126,0,IG75),IF(HY$9=3,IF(OR(HW$4&gt;=$AD$127,AND($G75=1,$J75=2,HW$6=2),AND(HW$6=1,$N75&lt;&gt;1)),0,IF(IA75&lt;=120,IG75,IF(HW$4&lt;$AD$124,IF($F75=1,60/HY$4*HY$6,60/HY$4*HY$7),IF($F75=1,120/HY$4*HY$6,120/HY$4*HY$7)))),IF(OR($F75=3,$G75=2),IF(OR(AND(HW$4&gt;=$AD$119,$C75=2),AND(HW$4&gt;=$AF$119,$C75=1)),0,IF(IA75&lt;=60,IG75,60/HY$4*HY$7)),IF(AND($F75=2,$G75=1),IG75,0)))))</f>
        <v>0</v>
      </c>
      <c r="IJ75" s="57" t="str">
        <f t="shared" si="94"/>
        <v/>
      </c>
      <c r="IK75" s="57" t="str">
        <f t="shared" si="420"/>
        <v/>
      </c>
      <c r="IL75" s="713">
        <f>'org. Düngung 22'!BP74</f>
        <v>0</v>
      </c>
      <c r="IM75" s="57"/>
      <c r="IN75" s="57"/>
      <c r="IO75" s="57">
        <f t="shared" si="96"/>
        <v>0</v>
      </c>
      <c r="IP75" s="57">
        <f t="shared" si="268"/>
        <v>0</v>
      </c>
      <c r="IQ75" s="57">
        <f t="shared" si="269"/>
        <v>0</v>
      </c>
      <c r="IR75" s="57">
        <f t="shared" si="270"/>
        <v>0</v>
      </c>
      <c r="IS75" s="57">
        <f t="shared" si="271"/>
        <v>0</v>
      </c>
      <c r="IT75" s="1029">
        <f t="shared" si="421"/>
        <v>0</v>
      </c>
      <c r="IU75" s="57">
        <f t="shared" si="422"/>
        <v>0</v>
      </c>
      <c r="IV75" s="171" t="str">
        <f t="shared" si="423"/>
        <v/>
      </c>
      <c r="IW75" s="57">
        <f t="shared" si="272"/>
        <v>0</v>
      </c>
      <c r="IX75" s="57">
        <f>IF(OR(AND(IL$6=1,$L75=0),AND(IL$6=2,$K75=2,$G75=1)),0,IF(AND(IN$9=2,(OR($F75&gt;1,$K75=1,AND($L75=80,OR($N75=1,AND($N75=2,'#BerechnungDBE'!$AL66&gt;0)))))),IF(IL$4&gt;=$AD$126,0,IV75),IF(IN$9=3,IF(OR(IL$4&gt;=$AD$127,AND($G75=1,$J75=2,IL$6=2),AND(IL$6=1,$N75&lt;&gt;1)),0,IF(IP75&lt;=120,IV75,IF(IL$4&lt;$AD$124,IF($F75=1,60/IN$4*IN$6,60/IN$4*IN$7),IF($F75=1,120/IN$4*IN$6,120/IN$4*IN$7)))),IF(OR($F75=3,$G75=2),IF(OR(AND(IL$4&gt;=$AD$119,$C75=2),AND(IL$4&gt;=$AF$119,$C75=1)),0,IF(IP75&lt;=60,IV75,60/IN$4*IN$7)),IF(AND($F75=2,$G75=1),IV75,0)))))</f>
        <v>0</v>
      </c>
      <c r="IY75" s="57" t="str">
        <f t="shared" si="100"/>
        <v/>
      </c>
      <c r="IZ75" s="57" t="str">
        <f t="shared" si="424"/>
        <v/>
      </c>
      <c r="JA75" s="713">
        <f>'org. Düngung 22'!BT74</f>
        <v>0</v>
      </c>
      <c r="JB75" s="57"/>
      <c r="JC75" s="57"/>
      <c r="JD75" s="57">
        <f t="shared" si="102"/>
        <v>0</v>
      </c>
      <c r="JE75" s="57">
        <f t="shared" si="273"/>
        <v>0</v>
      </c>
      <c r="JF75" s="57">
        <f t="shared" si="274"/>
        <v>0</v>
      </c>
      <c r="JG75" s="57">
        <f t="shared" si="275"/>
        <v>0</v>
      </c>
      <c r="JH75" s="57">
        <f t="shared" si="276"/>
        <v>0</v>
      </c>
      <c r="JI75" s="1029">
        <f t="shared" si="425"/>
        <v>0</v>
      </c>
      <c r="JJ75" s="57">
        <f t="shared" si="426"/>
        <v>0</v>
      </c>
      <c r="JK75" s="171" t="str">
        <f t="shared" si="427"/>
        <v/>
      </c>
      <c r="JL75" s="57">
        <f t="shared" si="277"/>
        <v>0</v>
      </c>
      <c r="JM75" s="57">
        <f>IF(OR(AND(JA$6=1,$L75=0),AND(JA$6=2,$K75=2,$G75=1)),0,IF(AND(JC$9=2,(OR($F75&gt;1,$K75=1,AND($L75=80,OR($N75=1,AND($N75=2,'#BerechnungDBE'!$AL66&gt;0)))))),IF(JA$4&gt;=$AD$126,0,JK75),IF(JC$9=3,IF(OR(JA$4&gt;=$AD$127,AND($G75=1,$J75=2,JA$6=2),AND(JA$6=1,$N75&lt;&gt;1)),0,IF(JE75&lt;=120,JK75,IF(JA$4&lt;$AD$124,IF($F75=1,60/JC$4*JC$6,60/JC$4*JC$7),IF($F75=1,120/JC$4*JC$6,120/JC$4*JC$7)))),IF(OR($F75=3,$G75=2),IF(OR(AND(JA$4&gt;=$AD$119,$C75=2),AND(JA$4&gt;=$AF$119,$C75=1)),0,IF(JE75&lt;=60,JK75,60/JC$4*JC$7)),IF(AND($F75=2,$G75=1),JK75,0)))))</f>
        <v>0</v>
      </c>
      <c r="JN75" s="57" t="str">
        <f t="shared" si="106"/>
        <v/>
      </c>
      <c r="JO75" s="57" t="str">
        <f t="shared" si="428"/>
        <v/>
      </c>
      <c r="JP75" s="713">
        <f>'org. Düngung 22'!BX74</f>
        <v>0</v>
      </c>
      <c r="JQ75" s="57"/>
      <c r="JR75" s="57"/>
      <c r="JS75" s="57">
        <f t="shared" si="108"/>
        <v>0</v>
      </c>
      <c r="JT75" s="57">
        <f t="shared" si="278"/>
        <v>0</v>
      </c>
      <c r="JU75" s="57">
        <f t="shared" si="279"/>
        <v>0</v>
      </c>
      <c r="JV75" s="57">
        <f t="shared" si="280"/>
        <v>0</v>
      </c>
      <c r="JW75" s="57">
        <f t="shared" si="281"/>
        <v>0</v>
      </c>
      <c r="JX75" s="1029">
        <f t="shared" si="429"/>
        <v>0</v>
      </c>
      <c r="JY75" s="57">
        <f t="shared" si="430"/>
        <v>0</v>
      </c>
      <c r="JZ75" s="171" t="str">
        <f t="shared" si="431"/>
        <v/>
      </c>
      <c r="KA75" s="57">
        <f t="shared" si="282"/>
        <v>0</v>
      </c>
      <c r="KB75" s="57">
        <f>IF(OR(AND(JP$6=1,$L75=0),AND(JP$6=2,$K75=2,$G75=1)),0,IF(AND(JR$9=2,(OR($F75&gt;1,$K75=1,AND($L75=80,OR($N75=1,AND($N75=2,'#BerechnungDBE'!$AL66&gt;0)))))),IF(JP$4&gt;=$AD$126,0,JZ75),IF(JR$9=3,IF(OR(JP$4&gt;=$AD$127,AND($G75=1,$J75=2,JP$6=2),AND(JP$6=1,$N75&lt;&gt;1)),0,IF(JT75&lt;=120,JZ75,IF(JP$4&lt;$AD$124,IF($F75=1,60/JR$4*JR$6,60/JR$4*JR$7),IF($F75=1,120/JR$4*JR$6,120/JR$4*JR$7)))),IF(OR($F75=3,$G75=2),IF(OR(AND(JP$4&gt;=$AD$119,$C75=2),AND(JP$4&gt;=$AF$119,$C75=1)),0,IF(JT75&lt;=60,JZ75,60/JR$4*JR$7)),IF(AND($F75=2,$G75=1),JZ75,0)))))</f>
        <v>0</v>
      </c>
      <c r="KC75" s="57" t="str">
        <f t="shared" si="112"/>
        <v/>
      </c>
      <c r="KD75" s="57" t="str">
        <f t="shared" si="432"/>
        <v/>
      </c>
      <c r="KE75" s="713">
        <f>'org. Düngung 22'!CB74</f>
        <v>0</v>
      </c>
      <c r="KF75" s="57"/>
      <c r="KG75" s="57"/>
      <c r="KH75" s="57">
        <f t="shared" si="114"/>
        <v>0</v>
      </c>
      <c r="KI75" s="57">
        <f t="shared" si="283"/>
        <v>0</v>
      </c>
      <c r="KJ75" s="57">
        <f t="shared" si="284"/>
        <v>0</v>
      </c>
      <c r="KK75" s="57">
        <f t="shared" si="285"/>
        <v>0</v>
      </c>
      <c r="KL75" s="57">
        <f t="shared" si="286"/>
        <v>0</v>
      </c>
      <c r="KM75" s="1029">
        <f t="shared" si="433"/>
        <v>0</v>
      </c>
      <c r="KN75" s="57">
        <f t="shared" si="434"/>
        <v>0</v>
      </c>
      <c r="KO75" s="171" t="str">
        <f t="shared" si="435"/>
        <v/>
      </c>
      <c r="KP75" s="57">
        <f t="shared" si="287"/>
        <v>0</v>
      </c>
      <c r="KQ75" s="57">
        <f>IF(OR(AND(KE$6=1,$L75=0),AND(KE$6=2,$K75=2,$G75=1)),0,IF(AND(KG$9=2,(OR($F75&gt;1,$K75=1,AND($L75=80,OR($N75=1,AND($N75=2,'#BerechnungDBE'!$AL66&gt;0)))))),IF(KE$4&gt;=$AD$126,0,KO75),IF(KG$9=3,IF(OR(KE$4&gt;=$AD$127,AND($G75=1,$J75=2,KE$6=2),AND(KE$6=1,$N75&lt;&gt;1)),0,IF(KI75&lt;=120,KO75,IF(KE$4&lt;$AD$124,IF($F75=1,60/KG$4*KG$6,60/KG$4*KG$7),IF($F75=1,120/KG$4*KG$6,120/KG$4*KG$7)))),IF(OR($F75=3,$G75=2),IF(OR(AND(KE$4&gt;=$AD$119,$C75=2),AND(KE$4&gt;=$AF$119,$C75=1)),0,IF(KI75&lt;=60,KO75,60/KG$4*KG$7)),IF(AND($F75=2,$G75=1),KO75,0)))))</f>
        <v>0</v>
      </c>
      <c r="KR75" s="57" t="str">
        <f t="shared" si="118"/>
        <v/>
      </c>
      <c r="KS75" s="57" t="str">
        <f t="shared" si="436"/>
        <v/>
      </c>
      <c r="KT75" s="713">
        <f>'org. Düngung 22'!CF74</f>
        <v>0</v>
      </c>
      <c r="KU75" s="57"/>
      <c r="KV75" s="57"/>
      <c r="KW75" s="57">
        <f t="shared" si="120"/>
        <v>0</v>
      </c>
      <c r="KX75" s="57">
        <f t="shared" si="288"/>
        <v>0</v>
      </c>
      <c r="KY75" s="57">
        <f t="shared" si="289"/>
        <v>0</v>
      </c>
      <c r="KZ75" s="57">
        <f t="shared" si="290"/>
        <v>0</v>
      </c>
      <c r="LA75" s="57">
        <f t="shared" si="291"/>
        <v>0</v>
      </c>
      <c r="LB75" s="1029">
        <f t="shared" si="437"/>
        <v>0</v>
      </c>
      <c r="LC75" s="57">
        <f t="shared" si="438"/>
        <v>0</v>
      </c>
      <c r="LD75" s="171" t="str">
        <f t="shared" si="439"/>
        <v/>
      </c>
      <c r="LE75" s="57">
        <f t="shared" si="292"/>
        <v>0</v>
      </c>
      <c r="LF75" s="57">
        <f>IF(OR(AND(KT$6=1,$L75=0),AND(KT$6=2,$K75=2,$G75=1)),0,IF(AND(KV$9=2,(OR($F75&gt;1,$K75=1,AND($L75=80,OR($N75=1,AND($N75=2,'#BerechnungDBE'!$AL66&gt;0)))))),IF(KT$4&gt;=$AD$126,0,LD75),IF(KV$9=3,IF(OR(KT$4&gt;=$AD$127,AND($G75=1,$J75=2,KT$6=2),AND(KT$6=1,$N75&lt;&gt;1)),0,IF(KX75&lt;=120,LD75,IF(KT$4&lt;$AD$124,IF($F75=1,60/KV$4*KV$6,60/KV$4*KV$7),IF($F75=1,120/KV$4*KV$6,120/KV$4*KV$7)))),IF(OR($F75=3,$G75=2),IF(OR(AND(KT$4&gt;=$AD$119,$C75=2),AND(KT$4&gt;=$AF$119,$C75=1)),0,IF(KX75&lt;=60,LD75,60/KV$4*KV$7)),IF(AND($F75=2,$G75=1),LD75,0)))))</f>
        <v>0</v>
      </c>
      <c r="LG75" s="57" t="str">
        <f t="shared" si="124"/>
        <v/>
      </c>
      <c r="LH75" s="57" t="str">
        <f t="shared" si="440"/>
        <v/>
      </c>
      <c r="LI75" s="713">
        <f>'org. Düngung 22'!CJ74</f>
        <v>0</v>
      </c>
      <c r="LJ75" s="57"/>
      <c r="LK75" s="57"/>
      <c r="LL75" s="57">
        <f t="shared" si="126"/>
        <v>0</v>
      </c>
      <c r="LM75" s="57">
        <f t="shared" si="293"/>
        <v>0</v>
      </c>
      <c r="LN75" s="57">
        <f t="shared" si="294"/>
        <v>0</v>
      </c>
      <c r="LO75" s="57">
        <f t="shared" si="295"/>
        <v>0</v>
      </c>
      <c r="LP75" s="57">
        <f t="shared" si="296"/>
        <v>0</v>
      </c>
      <c r="LQ75" s="1029">
        <f t="shared" si="441"/>
        <v>0</v>
      </c>
      <c r="LR75" s="57">
        <f t="shared" si="442"/>
        <v>0</v>
      </c>
      <c r="LS75" s="171" t="str">
        <f t="shared" si="443"/>
        <v/>
      </c>
      <c r="LT75" s="57">
        <f t="shared" si="297"/>
        <v>0</v>
      </c>
      <c r="LU75" s="57">
        <f>IF(OR(AND(LI$6=1,$L75=0),AND(LI$6=2,$K75=2,$G75=1)),0,IF(AND(LK$9=2,(OR($F75&gt;1,$K75=1,AND($L75=80,OR($N75=1,AND($N75=2,'#BerechnungDBE'!$AL66&gt;0)))))),IF(LI$4&gt;=$AD$126,0,LS75),IF(LK$9=3,IF(OR(LI$4&gt;=$AD$127,AND($G75=1,$J75=2,LI$6=2),AND(LI$6=1,$N75&lt;&gt;1)),0,IF(LM75&lt;=120,LS75,IF(LI$4&lt;$AD$124,IF($F75=1,60/LK$4*LK$6,60/LK$4*LK$7),IF($F75=1,120/LK$4*LK$6,120/LK$4*LK$7)))),IF(OR($F75=3,$G75=2),IF(OR(AND(LI$4&gt;=$AD$119,$C75=2),AND(LI$4&gt;=$AF$119,$C75=1)),0,IF(LM75&lt;=60,LS75,60/LK$4*LK$7)),IF(AND($F75=2,$G75=1),LS75,0)))))</f>
        <v>0</v>
      </c>
      <c r="LV75" s="57" t="str">
        <f t="shared" si="130"/>
        <v/>
      </c>
      <c r="LW75" s="57" t="str">
        <f t="shared" si="444"/>
        <v/>
      </c>
      <c r="LX75" s="713">
        <f>'org. Düngung 22'!CN74</f>
        <v>0</v>
      </c>
      <c r="LY75" s="57"/>
      <c r="LZ75" s="57"/>
      <c r="MA75" s="57">
        <f t="shared" si="132"/>
        <v>0</v>
      </c>
      <c r="MB75" s="57">
        <f t="shared" si="298"/>
        <v>0</v>
      </c>
      <c r="MC75" s="57">
        <f t="shared" si="299"/>
        <v>0</v>
      </c>
      <c r="MD75" s="57">
        <f t="shared" si="300"/>
        <v>0</v>
      </c>
      <c r="ME75" s="57">
        <f t="shared" si="301"/>
        <v>0</v>
      </c>
      <c r="MF75" s="1029">
        <f t="shared" si="445"/>
        <v>0</v>
      </c>
      <c r="MG75" s="57">
        <f t="shared" si="446"/>
        <v>0</v>
      </c>
      <c r="MH75" s="171" t="str">
        <f t="shared" si="447"/>
        <v/>
      </c>
      <c r="MI75" s="57">
        <f t="shared" si="302"/>
        <v>0</v>
      </c>
      <c r="MJ75" s="57">
        <f>IF(OR(AND(LX$6=1,$L75=0),AND(LX$6=2,$K75=2,$G75=1)),0,IF(AND(LZ$9=2,(OR($F75&gt;1,$K75=1,AND($L75=80,OR($N75=1,AND($N75=2,'#BerechnungDBE'!$AL66&gt;0)))))),IF(LX$4&gt;=$AD$126,0,MH75),IF(LZ$9=3,IF(OR(LX$4&gt;=$AD$127,AND($G75=1,$J75=2,LX$6=2),AND(LX$6=1,$N75&lt;&gt;1)),0,IF(MB75&lt;=120,MH75,IF(LX$4&lt;$AD$124,IF($F75=1,60/LZ$4*LZ$6,60/LZ$4*LZ$7),IF($F75=1,120/LZ$4*LZ$6,120/LZ$4*LZ$7)))),IF(OR($F75=3,$G75=2),IF(OR(AND(LX$4&gt;=$AD$119,$C75=2),AND(LX$4&gt;=$AF$119,$C75=1)),0,IF(MB75&lt;=60,MH75,60/LZ$4*LZ$7)),IF(AND($F75=2,$G75=1),MH75,0)))))</f>
        <v>0</v>
      </c>
      <c r="MK75" s="57" t="str">
        <f t="shared" si="136"/>
        <v/>
      </c>
      <c r="ML75" s="57" t="str">
        <f t="shared" si="448"/>
        <v/>
      </c>
      <c r="MM75" s="713">
        <f>'org. Düngung 22'!CR74</f>
        <v>0</v>
      </c>
      <c r="MN75" s="57"/>
      <c r="MO75" s="57"/>
      <c r="MP75" s="57">
        <f t="shared" si="138"/>
        <v>0</v>
      </c>
      <c r="MQ75" s="57">
        <f t="shared" si="303"/>
        <v>0</v>
      </c>
      <c r="MR75" s="57">
        <f t="shared" si="304"/>
        <v>0</v>
      </c>
      <c r="MS75" s="57">
        <f t="shared" si="305"/>
        <v>0</v>
      </c>
      <c r="MT75" s="57">
        <f t="shared" si="306"/>
        <v>0</v>
      </c>
      <c r="MU75" s="1029">
        <f t="shared" si="449"/>
        <v>0</v>
      </c>
      <c r="MV75" s="57">
        <f t="shared" si="450"/>
        <v>0</v>
      </c>
      <c r="MW75" s="171" t="str">
        <f t="shared" si="451"/>
        <v/>
      </c>
      <c r="MX75" s="57">
        <f t="shared" si="307"/>
        <v>0</v>
      </c>
      <c r="MY75" s="57">
        <f>IF(OR(AND(MM$6=1,$L75=0),AND(MM$6=2,$K75=2,$G75=1)),0,IF(AND(MO$9=2,(OR($F75&gt;1,$K75=1,AND($L75=80,OR($N75=1,AND($N75=2,'#BerechnungDBE'!$AL66&gt;0)))))),IF(MM$4&gt;=$AD$126,0,MW75),IF(MO$9=3,IF(OR(MM$4&gt;=$AD$127,AND($G75=1,$J75=2,MM$6=2),AND(MM$6=1,$N75&lt;&gt;1)),0,IF(MQ75&lt;=120,MW75,IF(MM$4&lt;$AD$124,IF($F75=1,60/MO$4*MO$6,60/MO$4*MO$7),IF($F75=1,120/MO$4*MO$6,120/MO$4*MO$7)))),IF(OR($F75=3,$G75=2),IF(OR(AND(MM$4&gt;=$AD$119,$C75=2),AND(MM$4&gt;=$AF$119,$C75=1)),0,IF(MQ75&lt;=60,MW75,60/MO$4*MO$7)),IF(AND($F75=2,$G75=1),MW75,0)))))</f>
        <v>0</v>
      </c>
      <c r="MZ75" s="57" t="str">
        <f t="shared" si="142"/>
        <v/>
      </c>
      <c r="NA75" s="57" t="str">
        <f t="shared" si="452"/>
        <v/>
      </c>
      <c r="NB75" s="713">
        <f>'org. Düngung 22'!CV74</f>
        <v>0</v>
      </c>
      <c r="NC75" s="57"/>
      <c r="ND75" s="57"/>
      <c r="NE75" s="57">
        <f t="shared" si="144"/>
        <v>0</v>
      </c>
      <c r="NF75" s="57">
        <f t="shared" si="308"/>
        <v>0</v>
      </c>
      <c r="NG75" s="57">
        <f t="shared" si="309"/>
        <v>0</v>
      </c>
      <c r="NH75" s="57">
        <f t="shared" si="310"/>
        <v>0</v>
      </c>
      <c r="NI75" s="57">
        <f t="shared" si="311"/>
        <v>0</v>
      </c>
      <c r="NJ75" s="1029">
        <f t="shared" si="453"/>
        <v>0</v>
      </c>
      <c r="NK75" s="57">
        <f t="shared" si="454"/>
        <v>0</v>
      </c>
      <c r="NL75" s="171" t="str">
        <f t="shared" si="455"/>
        <v/>
      </c>
      <c r="NM75" s="57">
        <f t="shared" si="312"/>
        <v>0</v>
      </c>
      <c r="NN75" s="57">
        <f>IF(OR(AND(NB$6=1,$L75=0),AND(NB$6=2,$K75=2,$G75=1)),0,IF(AND(ND$9=2,(OR($F75&gt;1,$K75=1,AND($L75=80,OR($N75=1,AND($N75=2,'#BerechnungDBE'!$AL66&gt;0)))))),IF(NB$4&gt;=$AD$126,0,NL75),IF(ND$9=3,IF(OR(NB$4&gt;=$AD$127,AND($G75=1,$J75=2,NB$6=2),AND(NB$6=1,$N75&lt;&gt;1)),0,IF(NF75&lt;=120,NL75,IF(NB$4&lt;$AD$124,IF($F75=1,60/ND$4*ND$6,60/ND$4*ND$7),IF($F75=1,120/ND$4*ND$6,120/ND$4*ND$7)))),IF(OR($F75=3,$G75=2),IF(OR(AND(NB$4&gt;=$AD$119,$C75=2),AND(NB$4&gt;=$AF$119,$C75=1)),0,IF(NF75&lt;=60,NL75,60/ND$4*ND$7)),IF(AND($F75=2,$G75=1),NL75,0)))))</f>
        <v>0</v>
      </c>
      <c r="NO75" s="57" t="str">
        <f t="shared" si="148"/>
        <v/>
      </c>
      <c r="NP75" s="57" t="str">
        <f t="shared" si="456"/>
        <v/>
      </c>
      <c r="NQ75" s="713">
        <f>'org. Düngung 22'!CZ74</f>
        <v>0</v>
      </c>
      <c r="NR75" s="57"/>
      <c r="NS75" s="57"/>
      <c r="NT75" s="57">
        <f t="shared" si="150"/>
        <v>0</v>
      </c>
      <c r="NU75" s="57">
        <f t="shared" si="313"/>
        <v>0</v>
      </c>
      <c r="NV75" s="57">
        <f t="shared" si="314"/>
        <v>0</v>
      </c>
      <c r="NW75" s="57">
        <f t="shared" si="315"/>
        <v>0</v>
      </c>
      <c r="NX75" s="57">
        <f t="shared" si="316"/>
        <v>0</v>
      </c>
      <c r="NY75" s="1029">
        <f t="shared" si="457"/>
        <v>0</v>
      </c>
      <c r="NZ75" s="57">
        <f t="shared" si="458"/>
        <v>0</v>
      </c>
      <c r="OA75" s="171" t="str">
        <f t="shared" si="459"/>
        <v/>
      </c>
      <c r="OB75" s="57">
        <f t="shared" si="317"/>
        <v>0</v>
      </c>
      <c r="OC75" s="57">
        <f>IF(OR(AND(NQ$6=1,$L75=0),AND(NQ$6=2,$K75=2,$G75=1)),0,IF(AND(NS$9=2,(OR($F75&gt;1,$K75=1,AND($L75=80,OR($N75=1,AND($N75=2,'#BerechnungDBE'!$AL66&gt;0)))))),IF(NQ$4&gt;=$AD$126,0,OA75),IF(NS$9=3,IF(OR(NQ$4&gt;=$AD$127,AND($G75=1,$J75=2,NQ$6=2),AND(NQ$6=1,$N75&lt;&gt;1)),0,IF(NU75&lt;=120,OA75,IF(NQ$4&lt;$AD$124,IF($F75=1,60/NS$4*NS$6,60/NS$4*NS$7),IF($F75=1,120/NS$4*NS$6,120/NS$4*NS$7)))),IF(OR($F75=3,$G75=2),IF(OR(AND(NQ$4&gt;=$AD$119,$C75=2),AND(NQ$4&gt;=$AF$119,$C75=1)),0,IF(NU75&lt;=60,OA75,60/NS$4*NS$7)),IF(AND($F75=2,$G75=1),OA75,0)))))</f>
        <v>0</v>
      </c>
      <c r="OD75" s="57" t="str">
        <f t="shared" si="154"/>
        <v/>
      </c>
      <c r="OE75" s="57" t="str">
        <f t="shared" si="460"/>
        <v/>
      </c>
      <c r="OF75" s="713">
        <f>'org. Düngung 22'!DD74</f>
        <v>0</v>
      </c>
      <c r="OG75" s="57"/>
      <c r="OH75" s="57"/>
      <c r="OI75" s="57">
        <f t="shared" si="156"/>
        <v>0</v>
      </c>
      <c r="OJ75" s="57">
        <f t="shared" si="318"/>
        <v>0</v>
      </c>
      <c r="OK75" s="57">
        <f t="shared" si="319"/>
        <v>0</v>
      </c>
      <c r="OL75" s="57">
        <f t="shared" si="320"/>
        <v>0</v>
      </c>
      <c r="OM75" s="57">
        <f t="shared" si="321"/>
        <v>0</v>
      </c>
      <c r="ON75" s="1029">
        <f t="shared" si="461"/>
        <v>0</v>
      </c>
      <c r="OO75" s="57">
        <f t="shared" si="462"/>
        <v>0</v>
      </c>
      <c r="OP75" s="171" t="str">
        <f t="shared" si="463"/>
        <v/>
      </c>
      <c r="OQ75" s="57">
        <f t="shared" si="322"/>
        <v>0</v>
      </c>
      <c r="OR75" s="57">
        <f>IF(OR(AND(OF$6=1,$L75=0),AND(OF$6=2,$K75=2,$G75=1)),0,IF(AND(OH$9=2,(OR($F75&gt;1,$K75=1,AND($L75=80,OR($N75=1,AND($N75=2,'#BerechnungDBE'!$AL66&gt;0)))))),IF(OF$4&gt;=$AD$126,0,OP75),IF(OH$9=3,IF(OR(OF$4&gt;=$AD$127,AND($G75=1,$J75=2,OF$6=2),AND(OF$6=1,$N75&lt;&gt;1)),0,IF(OJ75&lt;=120,OP75,IF(OF$4&lt;$AD$124,IF($F75=1,60/OH$4*OH$6,60/OH$4*OH$7),IF($F75=1,120/OH$4*OH$6,120/OH$4*OH$7)))),IF(OR($F75=3,$G75=2),IF(OR(AND(OF$4&gt;=$AD$119,$C75=2),AND(OF$4&gt;=$AF$119,$C75=1)),0,IF(OJ75&lt;=60,OP75,60/OH$4*OH$7)),IF(AND($F75=2,$G75=1),OP75,0)))))</f>
        <v>0</v>
      </c>
      <c r="OS75" s="57" t="str">
        <f t="shared" si="160"/>
        <v/>
      </c>
      <c r="OT75" s="57" t="str">
        <f t="shared" si="464"/>
        <v/>
      </c>
      <c r="OU75" s="713">
        <f>'org. Düngung 22'!DH74</f>
        <v>0</v>
      </c>
      <c r="OV75" s="57"/>
      <c r="OW75" s="57"/>
      <c r="OX75" s="57">
        <f t="shared" si="162"/>
        <v>0</v>
      </c>
      <c r="OY75" s="57">
        <f t="shared" si="323"/>
        <v>0</v>
      </c>
      <c r="OZ75" s="57">
        <f t="shared" si="324"/>
        <v>0</v>
      </c>
      <c r="PA75" s="57">
        <f t="shared" si="325"/>
        <v>0</v>
      </c>
      <c r="PB75" s="57">
        <f t="shared" si="326"/>
        <v>0</v>
      </c>
      <c r="PC75" s="1029">
        <f t="shared" si="465"/>
        <v>0</v>
      </c>
      <c r="PD75" s="57">
        <f t="shared" si="466"/>
        <v>0</v>
      </c>
      <c r="PE75" s="171" t="str">
        <f t="shared" si="467"/>
        <v/>
      </c>
      <c r="PF75" s="57">
        <f t="shared" si="327"/>
        <v>0</v>
      </c>
      <c r="PG75" s="57">
        <f>IF(OR(AND(OU$6=1,$L75=0),AND(OU$6=2,$K75=2,$G75=1)),0,IF(AND(OW$9=2,(OR($F75&gt;1,$K75=1,AND($L75=80,OR($N75=1,AND($N75=2,'#BerechnungDBE'!$AL66&gt;0)))))),IF(OU$4&gt;=$AD$126,0,PE75),IF(OW$9=3,IF(OR(OU$4&gt;=$AD$127,AND($G75=1,$J75=2,OU$6=2),AND(OU$6=1,$N75&lt;&gt;1)),0,IF(OY75&lt;=120,PE75,IF(OU$4&lt;$AD$124,IF($F75=1,60/OW$4*OW$6,60/OW$4*OW$7),IF($F75=1,120/OW$4*OW$6,120/OW$4*OW$7)))),IF(OR($F75=3,$G75=2),IF(OR(AND(OU$4&gt;=$AD$119,$C75=2),AND(OU$4&gt;=$AF$119,$C75=1)),0,IF(OY75&lt;=60,PE75,60/OW$4*OW$7)),IF(AND($F75=2,$G75=1),PE75,0)))))</f>
        <v>0</v>
      </c>
      <c r="PH75" s="57" t="str">
        <f t="shared" si="166"/>
        <v/>
      </c>
      <c r="PI75" s="57" t="str">
        <f t="shared" si="468"/>
        <v/>
      </c>
      <c r="PJ75" s="713">
        <f>'org. Düngung 22'!DL74</f>
        <v>0</v>
      </c>
      <c r="PK75" s="57"/>
      <c r="PL75" s="57"/>
      <c r="PM75" s="57">
        <f t="shared" si="168"/>
        <v>0</v>
      </c>
      <c r="PN75" s="57">
        <f t="shared" si="328"/>
        <v>0</v>
      </c>
      <c r="PO75" s="57">
        <f t="shared" si="329"/>
        <v>0</v>
      </c>
      <c r="PP75" s="57">
        <f t="shared" si="330"/>
        <v>0</v>
      </c>
      <c r="PQ75" s="57">
        <f t="shared" si="331"/>
        <v>0</v>
      </c>
      <c r="PR75" s="1029">
        <f t="shared" si="469"/>
        <v>0</v>
      </c>
      <c r="PS75" s="57">
        <f t="shared" si="470"/>
        <v>0</v>
      </c>
      <c r="PT75" s="171" t="str">
        <f t="shared" si="471"/>
        <v/>
      </c>
      <c r="PU75" s="57">
        <f t="shared" si="332"/>
        <v>0</v>
      </c>
      <c r="PV75" s="57">
        <f>IF(OR(AND(PJ$6=1,$L75=0),AND(PJ$6=2,$K75=2,$G75=1)),0,IF(AND(PL$9=2,(OR($F75&gt;1,$K75=1,AND($L75=80,OR($N75=1,AND($N75=2,'#BerechnungDBE'!$AL66&gt;0)))))),IF(PJ$4&gt;=$AD$126,0,PT75),IF(PL$9=3,IF(OR(PJ$4&gt;=$AD$127,AND($G75=1,$J75=2,PJ$6=2),AND(PJ$6=1,$N75&lt;&gt;1)),0,IF(PN75&lt;=120,PT75,IF(PJ$4&lt;$AD$124,IF($F75=1,60/PL$4*PL$6,60/PL$4*PL$7),IF($F75=1,120/PL$4*PL$6,120/PL$4*PL$7)))),IF(OR($F75=3,$G75=2),IF(OR(AND(PJ$4&gt;=$AD$119,$C75=2),AND(PJ$4&gt;=$AF$119,$C75=1)),0,IF(PN75&lt;=60,PT75,60/PL$4*PL$7)),IF(AND($F75=2,$G75=1),PT75,0)))))</f>
        <v>0</v>
      </c>
      <c r="PW75" s="57" t="str">
        <f t="shared" si="172"/>
        <v/>
      </c>
      <c r="PX75" s="57" t="str">
        <f t="shared" si="472"/>
        <v/>
      </c>
      <c r="PY75" s="713">
        <f>'org. Düngung 22'!DP74</f>
        <v>0</v>
      </c>
      <c r="PZ75" s="57"/>
      <c r="QA75" s="57"/>
      <c r="QB75" s="57">
        <f t="shared" si="174"/>
        <v>0</v>
      </c>
      <c r="QC75" s="57">
        <f t="shared" si="333"/>
        <v>0</v>
      </c>
      <c r="QD75" s="57">
        <f t="shared" si="334"/>
        <v>0</v>
      </c>
      <c r="QE75" s="57">
        <f t="shared" si="335"/>
        <v>0</v>
      </c>
      <c r="QF75" s="57">
        <f t="shared" si="336"/>
        <v>0</v>
      </c>
      <c r="QG75" s="1029">
        <f t="shared" si="473"/>
        <v>0</v>
      </c>
      <c r="QH75" s="57">
        <f t="shared" si="474"/>
        <v>0</v>
      </c>
      <c r="QI75" s="171" t="str">
        <f t="shared" si="475"/>
        <v/>
      </c>
      <c r="QJ75" s="57">
        <f t="shared" si="337"/>
        <v>0</v>
      </c>
      <c r="QK75" s="57">
        <f>IF(OR(AND(PY$6=1,$L75=0),AND(PY$6=2,$K75=2,$G75=1)),0,IF(AND(QA$9=2,(OR($F75&gt;1,$K75=1,AND($L75=80,OR($N75=1,AND($N75=2,'#BerechnungDBE'!$AL66&gt;0)))))),IF(PY$4&gt;=$AD$126,0,QI75),IF(QA$9=3,IF(OR(PY$4&gt;=$AD$127,AND($G75=1,$J75=2,PY$6=2),AND(PY$6=1,$N75&lt;&gt;1)),0,IF(QC75&lt;=120,QI75,IF(PY$4&lt;$AD$124,IF($F75=1,60/QA$4*QA$6,60/QA$4*QA$7),IF($F75=1,120/QA$4*QA$6,120/QA$4*QA$7)))),IF(OR($F75=3,$G75=2),IF(OR(AND(PY$4&gt;=$AD$119,$C75=2),AND(PY$4&gt;=$AF$119,$C75=1)),0,IF(QC75&lt;=60,QI75,60/QA$4*QA$7)),IF(AND($F75=2,$G75=1),QI75,0)))))</f>
        <v>0</v>
      </c>
      <c r="QL75" s="57" t="str">
        <f t="shared" si="178"/>
        <v/>
      </c>
      <c r="QM75" s="57" t="str">
        <f t="shared" si="476"/>
        <v/>
      </c>
      <c r="QN75" s="713">
        <f>'org. Düngung 22'!DT74</f>
        <v>0</v>
      </c>
      <c r="QO75" s="57"/>
      <c r="QP75" s="57"/>
      <c r="QQ75" s="57">
        <f t="shared" si="180"/>
        <v>0</v>
      </c>
      <c r="QR75" s="57">
        <f t="shared" si="338"/>
        <v>0</v>
      </c>
      <c r="QS75" s="57">
        <f t="shared" si="339"/>
        <v>0</v>
      </c>
      <c r="QT75" s="57">
        <f t="shared" si="340"/>
        <v>0</v>
      </c>
      <c r="QU75" s="57">
        <f t="shared" si="341"/>
        <v>0</v>
      </c>
      <c r="QV75" s="1029">
        <f t="shared" si="477"/>
        <v>0</v>
      </c>
      <c r="QW75" s="57">
        <f t="shared" si="478"/>
        <v>0</v>
      </c>
      <c r="QX75" s="171" t="str">
        <f t="shared" si="479"/>
        <v/>
      </c>
      <c r="QY75" s="57">
        <f t="shared" si="342"/>
        <v>0</v>
      </c>
      <c r="QZ75" s="57">
        <f>IF(OR(AND(QN$6=1,$L75=0),AND(QN$6=2,$K75=2,$G75=1)),0,IF(AND(QP$9=2,(OR($F75&gt;1,$K75=1,AND($L75=80,OR($N75=1,AND($N75=2,'#BerechnungDBE'!$AL66&gt;0)))))),IF(QN$4&gt;=$AD$126,0,QX75),IF(QP$9=3,IF(OR(QN$4&gt;=$AD$127,AND($G75=1,$J75=2,QN$6=2),AND(QN$6=1,$N75&lt;&gt;1)),0,IF(QR75&lt;=120,QX75,IF(QN$4&lt;$AD$124,IF($F75=1,60/QP$4*QP$6,60/QP$4*QP$7),IF($F75=1,120/QP$4*QP$6,120/QP$4*QP$7)))),IF(OR($F75=3,$G75=2),IF(OR(AND(QN$4&gt;=$AD$119,$C75=2),AND(QN$4&gt;=$AF$119,$C75=1)),0,IF(QR75&lt;=60,QX75,60/QP$4*QP$7)),IF(AND($F75=2,$G75=1),QX75,0)))))</f>
        <v>0</v>
      </c>
      <c r="RA75" s="57" t="str">
        <f t="shared" si="184"/>
        <v/>
      </c>
      <c r="RB75" s="57" t="str">
        <f t="shared" si="480"/>
        <v/>
      </c>
      <c r="RC75" s="713">
        <f>'org. Düngung 22'!DX74</f>
        <v>0</v>
      </c>
      <c r="RD75" s="57"/>
      <c r="RE75" s="57"/>
      <c r="RF75" s="57">
        <f t="shared" si="186"/>
        <v>0</v>
      </c>
      <c r="RG75" s="57">
        <f t="shared" si="343"/>
        <v>0</v>
      </c>
      <c r="RH75" s="57">
        <f t="shared" si="344"/>
        <v>0</v>
      </c>
      <c r="RI75" s="57">
        <f t="shared" si="345"/>
        <v>0</v>
      </c>
      <c r="RJ75" s="57">
        <f t="shared" si="346"/>
        <v>0</v>
      </c>
      <c r="RK75" s="1029">
        <f t="shared" si="481"/>
        <v>0</v>
      </c>
      <c r="RL75" s="57">
        <f t="shared" si="482"/>
        <v>0</v>
      </c>
      <c r="RM75" s="171" t="str">
        <f t="shared" si="483"/>
        <v/>
      </c>
      <c r="RN75" s="57">
        <f t="shared" si="347"/>
        <v>0</v>
      </c>
      <c r="RO75" s="57">
        <f>IF(OR(AND(RC$6=1,$L75=0),AND(RC$6=2,$K75=2,$G75=1)),0,IF(AND(RE$9=2,(OR($F75&gt;1,$K75=1,AND($L75=80,OR($N75=1,AND($N75=2,'#BerechnungDBE'!$AL66&gt;0)))))),IF(RC$4&gt;=$AD$126,0,RM75),IF(RE$9=3,IF(OR(RC$4&gt;=$AD$127,AND($G75=1,$J75=2,RC$6=2),AND(RC$6=1,$N75&lt;&gt;1)),0,IF(RG75&lt;=120,RM75,IF(RC$4&lt;$AD$124,IF($F75=1,60/RE$4*RE$6,60/RE$4*RE$7),IF($F75=1,120/RE$4*RE$6,120/RE$4*RE$7)))),IF(OR($F75=3,$G75=2),IF(OR(AND(RC$4&gt;=$AD$119,$C75=2),AND(RC$4&gt;=$AF$119,$C75=1)),0,IF(RG75&lt;=60,RM75,60/RE$4*RE$7)),IF(AND($F75=2,$G75=1),RM75,0)))))</f>
        <v>0</v>
      </c>
      <c r="RP75" s="57" t="str">
        <f t="shared" si="190"/>
        <v/>
      </c>
      <c r="RQ75" s="57" t="str">
        <f t="shared" si="484"/>
        <v/>
      </c>
      <c r="RS75" s="57" t="str">
        <f t="shared" si="488"/>
        <v/>
      </c>
      <c r="RT75" s="57" t="str">
        <f t="shared" si="485"/>
        <v/>
      </c>
      <c r="RU75" s="57" t="str">
        <f t="shared" si="486"/>
        <v/>
      </c>
      <c r="RV75" s="57" t="str">
        <f>IF(Z75&gt;'#BerechnungDBE'!BM66,$RV$9,"")</f>
        <v/>
      </c>
      <c r="RW75" s="57" t="str">
        <f>IF(AND(L75=70,AE75&gt;'#BerechnungDBE'!CQ66),$RW$9,"")</f>
        <v/>
      </c>
      <c r="RX75" s="57" t="str">
        <f>IF(OR('org. Düngung 22'!G74="--",'org. Düngung 22'!G74&lt;=170,'org. Düngung 22'!G74=""),"",$RX$9)</f>
        <v/>
      </c>
      <c r="RY75" s="57" t="str">
        <f>IF('org. Düngung 22'!K74&gt;120,'#orgDung'!$RY$9,"")</f>
        <v/>
      </c>
      <c r="RZ75" s="57" t="str">
        <f>IF('#BerechnungDBE'!P66&lt;4,"",IF(AND('#BerechnungDBE'!BZ66&gt;0,T75&gt;0),'#orgDung'!$RZ$9,""))</f>
        <v/>
      </c>
      <c r="SA75" s="57" t="str">
        <f t="shared" si="487"/>
        <v/>
      </c>
    </row>
    <row r="76" spans="1:495" s="875" customFormat="1" x14ac:dyDescent="0.2">
      <c r="A76" s="875">
        <f>'Flächen u. Kulturen'!A72</f>
        <v>63</v>
      </c>
      <c r="B76" s="367">
        <f>'#BerechnungDBE'!L67</f>
        <v>0</v>
      </c>
      <c r="C76" s="875">
        <f>'#BerechnungDBE'!R67</f>
        <v>1</v>
      </c>
      <c r="D76" s="875">
        <f>'#BerechnungDBE'!T67</f>
        <v>2</v>
      </c>
      <c r="E76" s="875" t="str">
        <f>'Flächen u. Kulturen'!E72</f>
        <v>x</v>
      </c>
      <c r="F76" s="52">
        <f>'#BerechnungDBE'!N67</f>
        <v>1</v>
      </c>
      <c r="G76" s="52">
        <f>'#BerechnungDBE'!O67</f>
        <v>1</v>
      </c>
      <c r="H76" s="875">
        <f>IF('Flächen u. Kulturen'!P72="",0,VLOOKUP('Flächen u. Kulturen'!P72,Kulturen[[HF]:[Berechnungsgruppe]],'#Frucht'!$H$1,FALSE))</f>
        <v>0</v>
      </c>
      <c r="I76" s="875">
        <f>IF('Flächen u. Kulturen'!J72="",0,VLOOKUP('Flächen u. Kulturen'!J72,Kulturen[[HF]:[Berechnungsgruppe]],'#Frucht'!$G$1,FALSE))</f>
        <v>90</v>
      </c>
      <c r="J76" s="505">
        <f t="shared" si="195"/>
        <v>2</v>
      </c>
      <c r="K76" s="505">
        <f>IF('Flächen u. Kulturen'!P72="",0,IF(VLOOKUP('Flächen u. Kulturen'!P72,Kulturen[[HF]:[Saat Winterungen]],'#Frucht'!$P$1,FALSE)&gt;0,1,2))</f>
        <v>2</v>
      </c>
      <c r="L76" s="875">
        <f>'#BerechnungDBE'!AF67</f>
        <v>0</v>
      </c>
      <c r="M76" s="875">
        <f>IF('Flächen u. Kulturen'!L72="",0,VLOOKUP('Flächen u. Kulturen'!L72,Nebenkultur[[Nebenkultur]:[Legum. Zwischenfr.]],'#Zweitfr'!$K$1,FALSE))</f>
        <v>0</v>
      </c>
      <c r="N76" s="875">
        <f>'#BerechnungDBE'!AG67</f>
        <v>0</v>
      </c>
      <c r="P76" s="57">
        <f t="shared" si="353"/>
        <v>0</v>
      </c>
      <c r="Q76" s="57">
        <f t="shared" si="354"/>
        <v>0</v>
      </c>
      <c r="R76" s="875">
        <f t="shared" si="355"/>
        <v>0</v>
      </c>
      <c r="S76" s="938" t="str">
        <f t="shared" si="3"/>
        <v/>
      </c>
      <c r="T76" s="875">
        <f t="shared" si="356"/>
        <v>0</v>
      </c>
      <c r="U76" s="875">
        <f t="shared" si="357"/>
        <v>0</v>
      </c>
      <c r="V76" s="875">
        <f t="shared" si="358"/>
        <v>0</v>
      </c>
      <c r="W76" s="875">
        <f t="shared" si="359"/>
        <v>0</v>
      </c>
      <c r="X76" s="875">
        <f t="shared" si="360"/>
        <v>0</v>
      </c>
      <c r="Y76" s="875">
        <f t="shared" si="349"/>
        <v>0</v>
      </c>
      <c r="Z76" s="875">
        <f t="shared" si="350"/>
        <v>0</v>
      </c>
      <c r="AA76" s="910">
        <f t="shared" si="361"/>
        <v>0</v>
      </c>
      <c r="AB76" s="57">
        <f t="shared" si="351"/>
        <v>0</v>
      </c>
      <c r="AC76" s="875">
        <f t="shared" si="362"/>
        <v>0</v>
      </c>
      <c r="AD76" s="875">
        <f t="shared" si="363"/>
        <v>0</v>
      </c>
      <c r="AE76" s="875">
        <f t="shared" si="364"/>
        <v>0</v>
      </c>
      <c r="AF76" s="875">
        <f t="shared" si="352"/>
        <v>0</v>
      </c>
      <c r="AG76" s="875">
        <f>'org. Düngung 22'!J75</f>
        <v>0</v>
      </c>
      <c r="AH76" s="875">
        <f>'org. Düngung 22'!K75</f>
        <v>0</v>
      </c>
      <c r="AJ76" s="713">
        <f>'org. Düngung 22'!L75</f>
        <v>0</v>
      </c>
      <c r="AK76" s="57"/>
      <c r="AL76" s="57"/>
      <c r="AM76" s="57">
        <f t="shared" si="196"/>
        <v>0</v>
      </c>
      <c r="AN76" s="57">
        <f t="shared" si="197"/>
        <v>0</v>
      </c>
      <c r="AO76" s="57">
        <f t="shared" si="198"/>
        <v>0</v>
      </c>
      <c r="AP76" s="57">
        <f t="shared" si="199"/>
        <v>0</v>
      </c>
      <c r="AQ76" s="57">
        <f t="shared" si="200"/>
        <v>0</v>
      </c>
      <c r="AR76" s="1029">
        <f t="shared" si="365"/>
        <v>0</v>
      </c>
      <c r="AS76" s="57">
        <f t="shared" si="366"/>
        <v>0</v>
      </c>
      <c r="AT76" s="171" t="str">
        <f t="shared" si="367"/>
        <v/>
      </c>
      <c r="AU76" s="57">
        <f t="shared" si="201"/>
        <v>0</v>
      </c>
      <c r="AV76" s="57">
        <f>IF(OR(AND(AJ$6=1,$L76=0),AND(AJ$6=2,$K76=2,$G76=1)),0,IF(AND(AL$9=2,(OR($F76&gt;1,$K76=1,AND($L76=80,OR($N76=1,AND($N76=2,'#BerechnungDBE'!$AL67&gt;0)))))),IF(AJ$4&gt;=$AD$126,0,AT76),IF(AL$9=3,IF(OR(AJ$4&gt;=$AD$127,AND($G76=1,$J76=2,AJ$6=2),AND(AJ$6=1,$N76&lt;&gt;1)),0,IF(AN76&lt;=120,AT76,IF(AJ$4&lt;$AD$124,IF($F76=1,60/AL$4*AL$6,60/AL$4*AL$7),IF($F76=1,120/AL$4*AL$6,120/AL$4*AL$7)))),IF(OR($F76=3,$G76=2),IF(OR(AND(AJ$4&gt;=$AD$119,$C76=2),AND(AJ$4&gt;=$AF$119,$C76=1)),0,IF(AN76&lt;=60,AT76,60/AL$4*AL$7)),IF(AND($F76=2,$G76=1),AT76,0)))))</f>
        <v>0</v>
      </c>
      <c r="AW76" s="57" t="str">
        <f t="shared" si="202"/>
        <v/>
      </c>
      <c r="AX76" s="57" t="str">
        <f t="shared" si="368"/>
        <v/>
      </c>
      <c r="AY76" s="713">
        <f>'org. Düngung 22'!P75</f>
        <v>0</v>
      </c>
      <c r="AZ76" s="57"/>
      <c r="BA76" s="57"/>
      <c r="BB76" s="57">
        <f t="shared" si="18"/>
        <v>0</v>
      </c>
      <c r="BC76" s="57">
        <f t="shared" si="203"/>
        <v>0</v>
      </c>
      <c r="BD76" s="57">
        <f t="shared" si="204"/>
        <v>0</v>
      </c>
      <c r="BE76" s="57">
        <f t="shared" si="205"/>
        <v>0</v>
      </c>
      <c r="BF76" s="57">
        <f t="shared" si="206"/>
        <v>0</v>
      </c>
      <c r="BG76" s="1029">
        <f t="shared" si="369"/>
        <v>0</v>
      </c>
      <c r="BH76" s="57">
        <f t="shared" si="370"/>
        <v>0</v>
      </c>
      <c r="BI76" s="171" t="str">
        <f t="shared" si="371"/>
        <v/>
      </c>
      <c r="BJ76" s="57">
        <f t="shared" si="207"/>
        <v>0</v>
      </c>
      <c r="BK76" s="57">
        <f>IF(OR(AND(AY$6=1,$L76=0),AND(AY$6=2,$K76=2,$G76=1)),0,IF(AND(BA$9=2,(OR($F76&gt;1,$K76=1,AND($L76=80,OR($N76=1,AND($N76=2,'#BerechnungDBE'!$AL67&gt;0)))))),IF(AY$4&gt;=$AD$126,0,BI76),IF(BA$9=3,IF(OR(AY$4&gt;=$AD$127,AND($G76=1,$J76=2,AY$6=2),AND(AY$6=1,$N76&lt;&gt;1)),0,IF(BC76&lt;=120,BI76,IF(AY$4&lt;$AD$124,IF($F76=1,60/BA$4*BA$6,60/BA$4*BA$7),IF($F76=1,120/BA$4*BA$6,120/BA$4*BA$7)))),IF(OR($F76=3,$G76=2),IF(OR(AND(AY$4&gt;=$AD$119,$C76=2),AND(AY$4&gt;=$AF$119,$C76=1)),0,IF(BC76&lt;=60,BI76,60/BA$4*BA$7)),IF(AND($F76=2,$G76=1),BI76,0)))))</f>
        <v>0</v>
      </c>
      <c r="BL76" s="57" t="str">
        <f t="shared" si="22"/>
        <v/>
      </c>
      <c r="BM76" s="57" t="str">
        <f t="shared" si="372"/>
        <v/>
      </c>
      <c r="BN76" s="713">
        <f>'org. Düngung 22'!T75</f>
        <v>0</v>
      </c>
      <c r="BO76" s="57"/>
      <c r="BP76" s="57"/>
      <c r="BQ76" s="57">
        <f t="shared" si="24"/>
        <v>0</v>
      </c>
      <c r="BR76" s="57">
        <f t="shared" si="208"/>
        <v>0</v>
      </c>
      <c r="BS76" s="57">
        <f t="shared" si="209"/>
        <v>0</v>
      </c>
      <c r="BT76" s="57">
        <f t="shared" si="210"/>
        <v>0</v>
      </c>
      <c r="BU76" s="57">
        <f t="shared" si="211"/>
        <v>0</v>
      </c>
      <c r="BV76" s="1029">
        <f t="shared" si="373"/>
        <v>0</v>
      </c>
      <c r="BW76" s="57">
        <f t="shared" si="374"/>
        <v>0</v>
      </c>
      <c r="BX76" s="171" t="str">
        <f t="shared" si="375"/>
        <v/>
      </c>
      <c r="BY76" s="57">
        <f t="shared" si="212"/>
        <v>0</v>
      </c>
      <c r="BZ76" s="57">
        <f>IF(OR(AND(BN$6=1,$L76=0),AND(BN$6=2,$K76=2,$G76=1)),0,IF(AND(BP$9=2,(OR($F76&gt;1,$K76=1,AND($L76=80,OR($N76=1,AND($N76=2,'#BerechnungDBE'!$AL67&gt;0)))))),IF(BN$4&gt;=$AD$126,0,BX76),IF(BP$9=3,IF(OR(BN$4&gt;=$AD$127,AND($G76=1,$J76=2,BN$6=2),AND(BN$6=1,$N76&lt;&gt;1)),0,IF(BR76&lt;=120,BX76,IF(BN$4&lt;$AD$124,IF($F76=1,60/BP$4*BP$6,60/BP$4*BP$7),IF($F76=1,120/BP$4*BP$6,120/BP$4*BP$7)))),IF(OR($F76=3,$G76=2),IF(OR(AND(BN$4&gt;=$AD$119,$C76=2),AND(BN$4&gt;=$AF$119,$C76=1)),0,IF(BR76&lt;=60,BX76,60/BP$4*BP$7)),IF(AND($F76=2,$G76=1),BX76,0)))))</f>
        <v>0</v>
      </c>
      <c r="CA76" s="57" t="str">
        <f t="shared" si="28"/>
        <v/>
      </c>
      <c r="CB76" s="57" t="str">
        <f t="shared" si="376"/>
        <v/>
      </c>
      <c r="CC76" s="713">
        <f>'org. Düngung 22'!X75</f>
        <v>0</v>
      </c>
      <c r="CD76" s="57"/>
      <c r="CE76" s="57"/>
      <c r="CF76" s="57">
        <f t="shared" si="30"/>
        <v>0</v>
      </c>
      <c r="CG76" s="57">
        <f t="shared" si="213"/>
        <v>0</v>
      </c>
      <c r="CH76" s="57">
        <f t="shared" si="214"/>
        <v>0</v>
      </c>
      <c r="CI76" s="57">
        <f t="shared" si="215"/>
        <v>0</v>
      </c>
      <c r="CJ76" s="57">
        <f t="shared" si="216"/>
        <v>0</v>
      </c>
      <c r="CK76" s="1029">
        <f t="shared" si="377"/>
        <v>0</v>
      </c>
      <c r="CL76" s="57">
        <f t="shared" si="378"/>
        <v>0</v>
      </c>
      <c r="CM76" s="171" t="str">
        <f t="shared" si="379"/>
        <v/>
      </c>
      <c r="CN76" s="57">
        <f t="shared" si="217"/>
        <v>0</v>
      </c>
      <c r="CO76" s="57">
        <f>IF(OR(AND(CC$6=1,$L76=0),AND(CC$6=2,$K76=2,$G76=1)),0,IF(AND(CE$9=2,(OR($F76&gt;1,$K76=1,AND($L76=80,OR($N76=1,AND($N76=2,'#BerechnungDBE'!$AL67&gt;0)))))),IF(CC$4&gt;=$AD$126,0,CM76),IF(CE$9=3,IF(OR(CC$4&gt;=$AD$127,AND($G76=1,$J76=2,CC$6=2),AND(CC$6=1,$N76&lt;&gt;1)),0,IF(CG76&lt;=120,CM76,IF(CC$4&lt;$AD$124,IF($F76=1,60/CE$4*CE$6,60/CE$4*CE$7),IF($F76=1,120/CE$4*CE$6,120/CE$4*CE$7)))),IF(OR($F76=3,$G76=2),IF(OR(AND(CC$4&gt;=$AD$119,$C76=2),AND(CC$4&gt;=$AF$119,$C76=1)),0,IF(CG76&lt;=60,CM76,60/CE$4*CE$7)),IF(AND($F76=2,$G76=1),CM76,0)))))</f>
        <v>0</v>
      </c>
      <c r="CP76" s="57" t="str">
        <f t="shared" si="34"/>
        <v/>
      </c>
      <c r="CQ76" s="57" t="str">
        <f t="shared" si="380"/>
        <v/>
      </c>
      <c r="CR76" s="713">
        <f>'org. Düngung 22'!AB75</f>
        <v>0</v>
      </c>
      <c r="CS76" s="57"/>
      <c r="CT76" s="57"/>
      <c r="CU76" s="57">
        <f t="shared" si="36"/>
        <v>0</v>
      </c>
      <c r="CV76" s="57">
        <f t="shared" si="218"/>
        <v>0</v>
      </c>
      <c r="CW76" s="57">
        <f t="shared" si="219"/>
        <v>0</v>
      </c>
      <c r="CX76" s="57">
        <f t="shared" si="220"/>
        <v>0</v>
      </c>
      <c r="CY76" s="57">
        <f t="shared" si="221"/>
        <v>0</v>
      </c>
      <c r="CZ76" s="1029">
        <f t="shared" si="381"/>
        <v>0</v>
      </c>
      <c r="DA76" s="57">
        <f t="shared" si="382"/>
        <v>0</v>
      </c>
      <c r="DB76" s="171" t="str">
        <f t="shared" si="383"/>
        <v/>
      </c>
      <c r="DC76" s="57">
        <f t="shared" si="222"/>
        <v>0</v>
      </c>
      <c r="DD76" s="57">
        <f>IF(OR(AND(CR$6=1,$L76=0),AND(CR$6=2,$K76=2,$G76=1)),0,IF(AND(CT$9=2,(OR($F76&gt;1,$K76=1,AND($L76=80,OR($N76=1,AND($N76=2,'#BerechnungDBE'!$AL67&gt;0)))))),IF(CR$4&gt;=$AD$126,0,DB76),IF(CT$9=3,IF(OR(CR$4&gt;=$AD$127,AND($G76=1,$J76=2,CR$6=2),AND(CR$6=1,$N76&lt;&gt;1)),0,IF(CV76&lt;=120,DB76,IF(CR$4&lt;$AD$124,IF($F76=1,60/CT$4*CT$6,60/CT$4*CT$7),IF($F76=1,120/CT$4*CT$6,120/CT$4*CT$7)))),IF(OR($F76=3,$G76=2),IF(OR(AND(CR$4&gt;=$AD$119,$C76=2),AND(CR$4&gt;=$AF$119,$C76=1)),0,IF(CV76&lt;=60,DB76,60/CT$4*CT$7)),IF(AND($F76=2,$G76=1),DB76,0)))))</f>
        <v>0</v>
      </c>
      <c r="DE76" s="57" t="str">
        <f t="shared" si="40"/>
        <v/>
      </c>
      <c r="DF76" s="57" t="str">
        <f t="shared" si="384"/>
        <v/>
      </c>
      <c r="DG76" s="713">
        <f>'org. Düngung 22'!AF75</f>
        <v>0</v>
      </c>
      <c r="DH76" s="57"/>
      <c r="DI76" s="57"/>
      <c r="DJ76" s="57">
        <f t="shared" si="42"/>
        <v>0</v>
      </c>
      <c r="DK76" s="57">
        <f t="shared" si="223"/>
        <v>0</v>
      </c>
      <c r="DL76" s="57">
        <f t="shared" si="224"/>
        <v>0</v>
      </c>
      <c r="DM76" s="57">
        <f t="shared" si="225"/>
        <v>0</v>
      </c>
      <c r="DN76" s="57">
        <f t="shared" si="226"/>
        <v>0</v>
      </c>
      <c r="DO76" s="1029">
        <f t="shared" si="385"/>
        <v>0</v>
      </c>
      <c r="DP76" s="57">
        <f t="shared" si="386"/>
        <v>0</v>
      </c>
      <c r="DQ76" s="171" t="str">
        <f t="shared" si="387"/>
        <v/>
      </c>
      <c r="DR76" s="57">
        <f t="shared" si="227"/>
        <v>0</v>
      </c>
      <c r="DS76" s="57">
        <f>IF(OR(AND(DG$6=1,$L76=0),AND(DG$6=2,$K76=2,$G76=1)),0,IF(AND(DI$9=2,(OR($F76&gt;1,$K76=1,AND($L76=80,OR($N76=1,AND($N76=2,'#BerechnungDBE'!$AL67&gt;0)))))),IF(DG$4&gt;=$AD$126,0,DQ76),IF(DI$9=3,IF(OR(DG$4&gt;=$AD$127,AND($G76=1,$J76=2,DG$6=2),AND(DG$6=1,$N76&lt;&gt;1)),0,IF(DK76&lt;=120,DQ76,IF(DG$4&lt;$AD$124,IF($F76=1,60/DI$4*DI$6,60/DI$4*DI$7),IF($F76=1,120/DI$4*DI$6,120/DI$4*DI$7)))),IF(OR($F76=3,$G76=2),IF(OR(AND(DG$4&gt;=$AD$119,$C76=2),AND(DG$4&gt;=$AF$119,$C76=1)),0,IF(DK76&lt;=60,DQ76,60/DI$4*DI$7)),IF(AND($F76=2,$G76=1),DQ76,0)))))</f>
        <v>0</v>
      </c>
      <c r="DT76" s="57" t="str">
        <f t="shared" si="46"/>
        <v/>
      </c>
      <c r="DU76" s="57" t="str">
        <f t="shared" si="388"/>
        <v/>
      </c>
      <c r="DV76" s="713">
        <f>'org. Düngung 22'!AJ75</f>
        <v>0</v>
      </c>
      <c r="DW76" s="57"/>
      <c r="DX76" s="57"/>
      <c r="DY76" s="57">
        <f t="shared" si="48"/>
        <v>0</v>
      </c>
      <c r="DZ76" s="57">
        <f t="shared" si="228"/>
        <v>0</v>
      </c>
      <c r="EA76" s="57">
        <f t="shared" si="229"/>
        <v>0</v>
      </c>
      <c r="EB76" s="57">
        <f t="shared" si="230"/>
        <v>0</v>
      </c>
      <c r="EC76" s="57">
        <f t="shared" si="231"/>
        <v>0</v>
      </c>
      <c r="ED76" s="1029">
        <f t="shared" si="389"/>
        <v>0</v>
      </c>
      <c r="EE76" s="57">
        <f t="shared" si="390"/>
        <v>0</v>
      </c>
      <c r="EF76" s="171" t="str">
        <f t="shared" si="391"/>
        <v/>
      </c>
      <c r="EG76" s="57">
        <f t="shared" si="232"/>
        <v>0</v>
      </c>
      <c r="EH76" s="57">
        <f>IF(OR(AND(DV$6=1,$L76=0),AND(DV$6=2,$K76=2,$G76=1)),0,IF(AND(DX$9=2,(OR($F76&gt;1,$K76=1,AND($L76=80,OR($N76=1,AND($N76=2,'#BerechnungDBE'!$AL67&gt;0)))))),IF(DV$4&gt;=$AD$126,0,EF76),IF(DX$9=3,IF(OR(DV$4&gt;=$AD$127,AND($G76=1,$J76=2,DV$6=2),AND(DV$6=1,$N76&lt;&gt;1)),0,IF(DZ76&lt;=120,EF76,IF(DV$4&lt;$AD$124,IF($F76=1,60/DX$4*DX$6,60/DX$4*DX$7),IF($F76=1,120/DX$4*DX$6,120/DX$4*DX$7)))),IF(OR($F76=3,$G76=2),IF(OR(AND(DV$4&gt;=$AD$119,$C76=2),AND(DV$4&gt;=$AF$119,$C76=1)),0,IF(DZ76&lt;=60,EF76,60/DX$4*DX$7)),IF(AND($F76=2,$G76=1),EF76,0)))))</f>
        <v>0</v>
      </c>
      <c r="EI76" s="57" t="str">
        <f t="shared" si="52"/>
        <v/>
      </c>
      <c r="EJ76" s="57" t="str">
        <f t="shared" si="392"/>
        <v/>
      </c>
      <c r="EK76" s="713">
        <f>'org. Düngung 22'!AN75</f>
        <v>0</v>
      </c>
      <c r="EL76" s="57"/>
      <c r="EM76" s="57"/>
      <c r="EN76" s="57">
        <f t="shared" si="54"/>
        <v>0</v>
      </c>
      <c r="EO76" s="57">
        <f t="shared" si="233"/>
        <v>0</v>
      </c>
      <c r="EP76" s="57">
        <f t="shared" si="234"/>
        <v>0</v>
      </c>
      <c r="EQ76" s="57">
        <f t="shared" si="235"/>
        <v>0</v>
      </c>
      <c r="ER76" s="57">
        <f t="shared" si="236"/>
        <v>0</v>
      </c>
      <c r="ES76" s="1029">
        <f t="shared" si="393"/>
        <v>0</v>
      </c>
      <c r="ET76" s="57">
        <f t="shared" si="394"/>
        <v>0</v>
      </c>
      <c r="EU76" s="171" t="str">
        <f t="shared" si="395"/>
        <v/>
      </c>
      <c r="EV76" s="57">
        <f t="shared" si="237"/>
        <v>0</v>
      </c>
      <c r="EW76" s="57">
        <f>IF(OR(AND(EK$6=1,$L76=0),AND(EK$6=2,$K76=2,$G76=1)),0,IF(AND(EM$9=2,(OR($F76&gt;1,$K76=1,AND($L76=80,OR($N76=1,AND($N76=2,'#BerechnungDBE'!$AL67&gt;0)))))),IF(EK$4&gt;=$AD$126,0,EU76),IF(EM$9=3,IF(OR(EK$4&gt;=$AD$127,AND($G76=1,$J76=2,EK$6=2),AND(EK$6=1,$N76&lt;&gt;1)),0,IF(EO76&lt;=120,EU76,IF(EK$4&lt;$AD$124,IF($F76=1,60/EM$4*EM$6,60/EM$4*EM$7),IF($F76=1,120/EM$4*EM$6,120/EM$4*EM$7)))),IF(OR($F76=3,$G76=2),IF(OR(AND(EK$4&gt;=$AD$119,$C76=2),AND(EK$4&gt;=$AF$119,$C76=1)),0,IF(EO76&lt;=60,EU76,60/EM$4*EM$7)),IF(AND($F76=2,$G76=1),EU76,0)))))</f>
        <v>0</v>
      </c>
      <c r="EX76" s="57" t="str">
        <f t="shared" si="58"/>
        <v/>
      </c>
      <c r="EY76" s="57" t="str">
        <f t="shared" si="396"/>
        <v/>
      </c>
      <c r="EZ76" s="713">
        <f>'org. Düngung 22'!AR75</f>
        <v>0</v>
      </c>
      <c r="FA76" s="57"/>
      <c r="FB76" s="57"/>
      <c r="FC76" s="57">
        <f t="shared" si="60"/>
        <v>0</v>
      </c>
      <c r="FD76" s="57">
        <f t="shared" si="238"/>
        <v>0</v>
      </c>
      <c r="FE76" s="57">
        <f t="shared" si="239"/>
        <v>0</v>
      </c>
      <c r="FF76" s="57">
        <f t="shared" si="240"/>
        <v>0</v>
      </c>
      <c r="FG76" s="57">
        <f t="shared" si="241"/>
        <v>0</v>
      </c>
      <c r="FH76" s="1029">
        <f t="shared" si="397"/>
        <v>0</v>
      </c>
      <c r="FI76" s="57">
        <f t="shared" si="398"/>
        <v>0</v>
      </c>
      <c r="FJ76" s="171" t="str">
        <f t="shared" si="399"/>
        <v/>
      </c>
      <c r="FK76" s="57">
        <f t="shared" si="242"/>
        <v>0</v>
      </c>
      <c r="FL76" s="57">
        <f>IF(OR(AND(EZ$6=1,$L76=0),AND(EZ$6=2,$K76=2,$G76=1)),0,IF(AND(FB$9=2,(OR($F76&gt;1,$K76=1,AND($L76=80,OR($N76=1,AND($N76=2,'#BerechnungDBE'!$AL67&gt;0)))))),IF(EZ$4&gt;=$AD$126,0,FJ76),IF(FB$9=3,IF(OR(EZ$4&gt;=$AD$127,AND($G76=1,$J76=2,EZ$6=2),AND(EZ$6=1,$N76&lt;&gt;1)),0,IF(FD76&lt;=120,FJ76,IF(EZ$4&lt;$AD$124,IF($F76=1,60/FB$4*FB$6,60/FB$4*FB$7),IF($F76=1,120/FB$4*FB$6,120/FB$4*FB$7)))),IF(OR($F76=3,$G76=2),IF(OR(AND(EZ$4&gt;=$AD$119,$C76=2),AND(EZ$4&gt;=$AF$119,$C76=1)),0,IF(FD76&lt;=60,FJ76,60/FB$4*FB$7)),IF(AND($F76=2,$G76=1),FJ76,0)))))</f>
        <v>0</v>
      </c>
      <c r="FM76" s="57" t="str">
        <f t="shared" si="64"/>
        <v/>
      </c>
      <c r="FN76" s="57" t="str">
        <f t="shared" si="400"/>
        <v/>
      </c>
      <c r="FO76" s="713">
        <f>'org. Düngung 22'!AV75</f>
        <v>0</v>
      </c>
      <c r="FP76" s="57"/>
      <c r="FQ76" s="57"/>
      <c r="FR76" s="57">
        <f t="shared" si="66"/>
        <v>0</v>
      </c>
      <c r="FS76" s="57">
        <f t="shared" si="243"/>
        <v>0</v>
      </c>
      <c r="FT76" s="57">
        <f t="shared" si="244"/>
        <v>0</v>
      </c>
      <c r="FU76" s="57">
        <f t="shared" si="245"/>
        <v>0</v>
      </c>
      <c r="FV76" s="57">
        <f t="shared" si="246"/>
        <v>0</v>
      </c>
      <c r="FW76" s="1029">
        <f t="shared" si="401"/>
        <v>0</v>
      </c>
      <c r="FX76" s="57">
        <f t="shared" si="402"/>
        <v>0</v>
      </c>
      <c r="FY76" s="171" t="str">
        <f t="shared" si="403"/>
        <v/>
      </c>
      <c r="FZ76" s="57">
        <f t="shared" si="247"/>
        <v>0</v>
      </c>
      <c r="GA76" s="57">
        <f>IF(OR(AND(FO$6=1,$L76=0),AND(FO$6=2,$K76=2,$G76=1)),0,IF(AND(FQ$9=2,(OR($F76&gt;1,$K76=1,AND($L76=80,OR($N76=1,AND($N76=2,'#BerechnungDBE'!$AL67&gt;0)))))),IF(FO$4&gt;=$AD$126,0,FY76),IF(FQ$9=3,IF(OR(FO$4&gt;=$AD$127,AND($G76=1,$J76=2,FO$6=2),AND(FO$6=1,$N76&lt;&gt;1)),0,IF(FS76&lt;=120,FY76,IF(FO$4&lt;$AD$124,IF($F76=1,60/FQ$4*FQ$6,60/FQ$4*FQ$7),IF($F76=1,120/FQ$4*FQ$6,120/FQ$4*FQ$7)))),IF(OR($F76=3,$G76=2),IF(OR(AND(FO$4&gt;=$AD$119,$C76=2),AND(FO$4&gt;=$AF$119,$C76=1)),0,IF(FS76&lt;=60,FY76,60/FQ$4*FQ$7)),IF(AND($F76=2,$G76=1),FY76,0)))))</f>
        <v>0</v>
      </c>
      <c r="GB76" s="57" t="str">
        <f t="shared" si="70"/>
        <v/>
      </c>
      <c r="GC76" s="57" t="str">
        <f t="shared" si="404"/>
        <v/>
      </c>
      <c r="GD76" s="713">
        <f>'org. Düngung 22'!AZ75</f>
        <v>0</v>
      </c>
      <c r="GE76" s="57"/>
      <c r="GF76" s="57"/>
      <c r="GG76" s="57">
        <f t="shared" si="72"/>
        <v>0</v>
      </c>
      <c r="GH76" s="57">
        <f t="shared" si="248"/>
        <v>0</v>
      </c>
      <c r="GI76" s="57">
        <f t="shared" si="249"/>
        <v>0</v>
      </c>
      <c r="GJ76" s="57">
        <f t="shared" si="250"/>
        <v>0</v>
      </c>
      <c r="GK76" s="57">
        <f t="shared" si="251"/>
        <v>0</v>
      </c>
      <c r="GL76" s="1029">
        <f t="shared" si="405"/>
        <v>0</v>
      </c>
      <c r="GM76" s="57">
        <f t="shared" si="406"/>
        <v>0</v>
      </c>
      <c r="GN76" s="171" t="str">
        <f t="shared" si="407"/>
        <v/>
      </c>
      <c r="GO76" s="57">
        <f t="shared" si="252"/>
        <v>0</v>
      </c>
      <c r="GP76" s="57">
        <f>IF(OR(AND(GD$6=1,$L76=0),AND(GD$6=2,$K76=2,$G76=1)),0,IF(AND(GF$9=2,(OR($F76&gt;1,$K76=1,AND($L76=80,OR($N76=1,AND($N76=2,'#BerechnungDBE'!$AL67&gt;0)))))),IF(GD$4&gt;=$AD$126,0,GN76),IF(GF$9=3,IF(OR(GD$4&gt;=$AD$127,AND($G76=1,$J76=2,GD$6=2),AND(GD$6=1,$N76&lt;&gt;1)),0,IF(GH76&lt;=120,GN76,IF(GD$4&lt;$AD$124,IF($F76=1,60/GF$4*GF$6,60/GF$4*GF$7),IF($F76=1,120/GF$4*GF$6,120/GF$4*GF$7)))),IF(OR($F76=3,$G76=2),IF(OR(AND(GD$4&gt;=$AD$119,$C76=2),AND(GD$4&gt;=$AF$119,$C76=1)),0,IF(GH76&lt;=60,GN76,60/GF$4*GF$7)),IF(AND($F76=2,$G76=1),GN76,0)))))</f>
        <v>0</v>
      </c>
      <c r="GQ76" s="57" t="str">
        <f t="shared" si="76"/>
        <v/>
      </c>
      <c r="GR76" s="57" t="str">
        <f t="shared" si="408"/>
        <v/>
      </c>
      <c r="GS76" s="713">
        <f>'org. Düngung 22'!BD75</f>
        <v>0</v>
      </c>
      <c r="GT76" s="57"/>
      <c r="GU76" s="57"/>
      <c r="GV76" s="57">
        <f t="shared" si="78"/>
        <v>0</v>
      </c>
      <c r="GW76" s="57">
        <f t="shared" si="253"/>
        <v>0</v>
      </c>
      <c r="GX76" s="57">
        <f t="shared" si="254"/>
        <v>0</v>
      </c>
      <c r="GY76" s="57">
        <f t="shared" si="255"/>
        <v>0</v>
      </c>
      <c r="GZ76" s="57">
        <f t="shared" si="256"/>
        <v>0</v>
      </c>
      <c r="HA76" s="1029">
        <f t="shared" si="409"/>
        <v>0</v>
      </c>
      <c r="HB76" s="57">
        <f t="shared" si="410"/>
        <v>0</v>
      </c>
      <c r="HC76" s="171" t="str">
        <f t="shared" si="411"/>
        <v/>
      </c>
      <c r="HD76" s="57">
        <f t="shared" si="257"/>
        <v>0</v>
      </c>
      <c r="HE76" s="57">
        <f>IF(OR(AND(GS$6=1,$L76=0),AND(GS$6=2,$K76=2,$G76=1)),0,IF(AND(GU$9=2,(OR($F76&gt;1,$K76=1,AND($L76=80,OR($N76=1,AND($N76=2,'#BerechnungDBE'!$AL67&gt;0)))))),IF(GS$4&gt;=$AD$126,0,HC76),IF(GU$9=3,IF(OR(GS$4&gt;=$AD$127,AND($G76=1,$J76=2,GS$6=2),AND(GS$6=1,$N76&lt;&gt;1)),0,IF(GW76&lt;=120,HC76,IF(GS$4&lt;$AD$124,IF($F76=1,60/GU$4*GU$6,60/GU$4*GU$7),IF($F76=1,120/GU$4*GU$6,120/GU$4*GU$7)))),IF(OR($F76=3,$G76=2),IF(OR(AND(GS$4&gt;=$AD$119,$C76=2),AND(GS$4&gt;=$AF$119,$C76=1)),0,IF(GW76&lt;=60,HC76,60/GU$4*GU$7)),IF(AND($F76=2,$G76=1),HC76,0)))))</f>
        <v>0</v>
      </c>
      <c r="HF76" s="57" t="str">
        <f t="shared" si="82"/>
        <v/>
      </c>
      <c r="HG76" s="57" t="str">
        <f t="shared" si="412"/>
        <v/>
      </c>
      <c r="HH76" s="713">
        <f>'org. Düngung 22'!BH75</f>
        <v>0</v>
      </c>
      <c r="HI76" s="57"/>
      <c r="HJ76" s="57"/>
      <c r="HK76" s="57">
        <f t="shared" si="84"/>
        <v>0</v>
      </c>
      <c r="HL76" s="57">
        <f t="shared" si="258"/>
        <v>0</v>
      </c>
      <c r="HM76" s="57">
        <f t="shared" si="259"/>
        <v>0</v>
      </c>
      <c r="HN76" s="57">
        <f t="shared" si="260"/>
        <v>0</v>
      </c>
      <c r="HO76" s="57">
        <f t="shared" si="261"/>
        <v>0</v>
      </c>
      <c r="HP76" s="1029">
        <f t="shared" si="413"/>
        <v>0</v>
      </c>
      <c r="HQ76" s="57">
        <f t="shared" si="414"/>
        <v>0</v>
      </c>
      <c r="HR76" s="171" t="str">
        <f t="shared" si="415"/>
        <v/>
      </c>
      <c r="HS76" s="57">
        <f t="shared" si="262"/>
        <v>0</v>
      </c>
      <c r="HT76" s="57">
        <f>IF(OR(AND(HH$6=1,$L76=0),AND(HH$6=2,$K76=2,$G76=1)),0,IF(AND(HJ$9=2,(OR($F76&gt;1,$K76=1,AND($L76=80,OR($N76=1,AND($N76=2,'#BerechnungDBE'!$AL67&gt;0)))))),IF(HH$4&gt;=$AD$126,0,HR76),IF(HJ$9=3,IF(OR(HH$4&gt;=$AD$127,AND($G76=1,$J76=2,HH$6=2),AND(HH$6=1,$N76&lt;&gt;1)),0,IF(HL76&lt;=120,HR76,IF(HH$4&lt;$AD$124,IF($F76=1,60/HJ$4*HJ$6,60/HJ$4*HJ$7),IF($F76=1,120/HJ$4*HJ$6,120/HJ$4*HJ$7)))),IF(OR($F76=3,$G76=2),IF(OR(AND(HH$4&gt;=$AD$119,$C76=2),AND(HH$4&gt;=$AF$119,$C76=1)),0,IF(HL76&lt;=60,HR76,60/HJ$4*HJ$7)),IF(AND($F76=2,$G76=1),HR76,0)))))</f>
        <v>0</v>
      </c>
      <c r="HU76" s="57" t="str">
        <f t="shared" si="88"/>
        <v/>
      </c>
      <c r="HV76" s="57" t="str">
        <f t="shared" si="416"/>
        <v/>
      </c>
      <c r="HW76" s="713">
        <f>'org. Düngung 22'!BL75</f>
        <v>0</v>
      </c>
      <c r="HX76" s="57"/>
      <c r="HY76" s="57"/>
      <c r="HZ76" s="57">
        <f t="shared" si="90"/>
        <v>0</v>
      </c>
      <c r="IA76" s="57">
        <f t="shared" si="263"/>
        <v>0</v>
      </c>
      <c r="IB76" s="57">
        <f t="shared" si="264"/>
        <v>0</v>
      </c>
      <c r="IC76" s="57">
        <f t="shared" si="265"/>
        <v>0</v>
      </c>
      <c r="ID76" s="57">
        <f t="shared" si="266"/>
        <v>0</v>
      </c>
      <c r="IE76" s="1029">
        <f t="shared" si="417"/>
        <v>0</v>
      </c>
      <c r="IF76" s="57">
        <f t="shared" si="418"/>
        <v>0</v>
      </c>
      <c r="IG76" s="171" t="str">
        <f t="shared" si="419"/>
        <v/>
      </c>
      <c r="IH76" s="57">
        <f t="shared" si="267"/>
        <v>0</v>
      </c>
      <c r="II76" s="57">
        <f>IF(OR(AND(HW$6=1,$L76=0),AND(HW$6=2,$K76=2,$G76=1)),0,IF(AND(HY$9=2,(OR($F76&gt;1,$K76=1,AND($L76=80,OR($N76=1,AND($N76=2,'#BerechnungDBE'!$AL67&gt;0)))))),IF(HW$4&gt;=$AD$126,0,IG76),IF(HY$9=3,IF(OR(HW$4&gt;=$AD$127,AND($G76=1,$J76=2,HW$6=2),AND(HW$6=1,$N76&lt;&gt;1)),0,IF(IA76&lt;=120,IG76,IF(HW$4&lt;$AD$124,IF($F76=1,60/HY$4*HY$6,60/HY$4*HY$7),IF($F76=1,120/HY$4*HY$6,120/HY$4*HY$7)))),IF(OR($F76=3,$G76=2),IF(OR(AND(HW$4&gt;=$AD$119,$C76=2),AND(HW$4&gt;=$AF$119,$C76=1)),0,IF(IA76&lt;=60,IG76,60/HY$4*HY$7)),IF(AND($F76=2,$G76=1),IG76,0)))))</f>
        <v>0</v>
      </c>
      <c r="IJ76" s="57" t="str">
        <f t="shared" si="94"/>
        <v/>
      </c>
      <c r="IK76" s="57" t="str">
        <f t="shared" si="420"/>
        <v/>
      </c>
      <c r="IL76" s="713">
        <f>'org. Düngung 22'!BP75</f>
        <v>0</v>
      </c>
      <c r="IM76" s="57"/>
      <c r="IN76" s="57"/>
      <c r="IO76" s="57">
        <f t="shared" si="96"/>
        <v>0</v>
      </c>
      <c r="IP76" s="57">
        <f t="shared" si="268"/>
        <v>0</v>
      </c>
      <c r="IQ76" s="57">
        <f t="shared" si="269"/>
        <v>0</v>
      </c>
      <c r="IR76" s="57">
        <f t="shared" si="270"/>
        <v>0</v>
      </c>
      <c r="IS76" s="57">
        <f t="shared" si="271"/>
        <v>0</v>
      </c>
      <c r="IT76" s="1029">
        <f t="shared" si="421"/>
        <v>0</v>
      </c>
      <c r="IU76" s="57">
        <f t="shared" si="422"/>
        <v>0</v>
      </c>
      <c r="IV76" s="171" t="str">
        <f t="shared" si="423"/>
        <v/>
      </c>
      <c r="IW76" s="57">
        <f t="shared" si="272"/>
        <v>0</v>
      </c>
      <c r="IX76" s="57">
        <f>IF(OR(AND(IL$6=1,$L76=0),AND(IL$6=2,$K76=2,$G76=1)),0,IF(AND(IN$9=2,(OR($F76&gt;1,$K76=1,AND($L76=80,OR($N76=1,AND($N76=2,'#BerechnungDBE'!$AL67&gt;0)))))),IF(IL$4&gt;=$AD$126,0,IV76),IF(IN$9=3,IF(OR(IL$4&gt;=$AD$127,AND($G76=1,$J76=2,IL$6=2),AND(IL$6=1,$N76&lt;&gt;1)),0,IF(IP76&lt;=120,IV76,IF(IL$4&lt;$AD$124,IF($F76=1,60/IN$4*IN$6,60/IN$4*IN$7),IF($F76=1,120/IN$4*IN$6,120/IN$4*IN$7)))),IF(OR($F76=3,$G76=2),IF(OR(AND(IL$4&gt;=$AD$119,$C76=2),AND(IL$4&gt;=$AF$119,$C76=1)),0,IF(IP76&lt;=60,IV76,60/IN$4*IN$7)),IF(AND($F76=2,$G76=1),IV76,0)))))</f>
        <v>0</v>
      </c>
      <c r="IY76" s="57" t="str">
        <f t="shared" si="100"/>
        <v/>
      </c>
      <c r="IZ76" s="57" t="str">
        <f t="shared" si="424"/>
        <v/>
      </c>
      <c r="JA76" s="713">
        <f>'org. Düngung 22'!BT75</f>
        <v>0</v>
      </c>
      <c r="JB76" s="57"/>
      <c r="JC76" s="57"/>
      <c r="JD76" s="57">
        <f t="shared" si="102"/>
        <v>0</v>
      </c>
      <c r="JE76" s="57">
        <f t="shared" si="273"/>
        <v>0</v>
      </c>
      <c r="JF76" s="57">
        <f t="shared" si="274"/>
        <v>0</v>
      </c>
      <c r="JG76" s="57">
        <f t="shared" si="275"/>
        <v>0</v>
      </c>
      <c r="JH76" s="57">
        <f t="shared" si="276"/>
        <v>0</v>
      </c>
      <c r="JI76" s="1029">
        <f t="shared" si="425"/>
        <v>0</v>
      </c>
      <c r="JJ76" s="57">
        <f t="shared" si="426"/>
        <v>0</v>
      </c>
      <c r="JK76" s="171" t="str">
        <f t="shared" si="427"/>
        <v/>
      </c>
      <c r="JL76" s="57">
        <f t="shared" si="277"/>
        <v>0</v>
      </c>
      <c r="JM76" s="57">
        <f>IF(OR(AND(JA$6=1,$L76=0),AND(JA$6=2,$K76=2,$G76=1)),0,IF(AND(JC$9=2,(OR($F76&gt;1,$K76=1,AND($L76=80,OR($N76=1,AND($N76=2,'#BerechnungDBE'!$AL67&gt;0)))))),IF(JA$4&gt;=$AD$126,0,JK76),IF(JC$9=3,IF(OR(JA$4&gt;=$AD$127,AND($G76=1,$J76=2,JA$6=2),AND(JA$6=1,$N76&lt;&gt;1)),0,IF(JE76&lt;=120,JK76,IF(JA$4&lt;$AD$124,IF($F76=1,60/JC$4*JC$6,60/JC$4*JC$7),IF($F76=1,120/JC$4*JC$6,120/JC$4*JC$7)))),IF(OR($F76=3,$G76=2),IF(OR(AND(JA$4&gt;=$AD$119,$C76=2),AND(JA$4&gt;=$AF$119,$C76=1)),0,IF(JE76&lt;=60,JK76,60/JC$4*JC$7)),IF(AND($F76=2,$G76=1),JK76,0)))))</f>
        <v>0</v>
      </c>
      <c r="JN76" s="57" t="str">
        <f t="shared" si="106"/>
        <v/>
      </c>
      <c r="JO76" s="57" t="str">
        <f t="shared" si="428"/>
        <v/>
      </c>
      <c r="JP76" s="713">
        <f>'org. Düngung 22'!BX75</f>
        <v>0</v>
      </c>
      <c r="JQ76" s="57"/>
      <c r="JR76" s="57"/>
      <c r="JS76" s="57">
        <f t="shared" si="108"/>
        <v>0</v>
      </c>
      <c r="JT76" s="57">
        <f t="shared" si="278"/>
        <v>0</v>
      </c>
      <c r="JU76" s="57">
        <f t="shared" si="279"/>
        <v>0</v>
      </c>
      <c r="JV76" s="57">
        <f t="shared" si="280"/>
        <v>0</v>
      </c>
      <c r="JW76" s="57">
        <f t="shared" si="281"/>
        <v>0</v>
      </c>
      <c r="JX76" s="1029">
        <f t="shared" si="429"/>
        <v>0</v>
      </c>
      <c r="JY76" s="57">
        <f t="shared" si="430"/>
        <v>0</v>
      </c>
      <c r="JZ76" s="171" t="str">
        <f t="shared" si="431"/>
        <v/>
      </c>
      <c r="KA76" s="57">
        <f t="shared" si="282"/>
        <v>0</v>
      </c>
      <c r="KB76" s="57">
        <f>IF(OR(AND(JP$6=1,$L76=0),AND(JP$6=2,$K76=2,$G76=1)),0,IF(AND(JR$9=2,(OR($F76&gt;1,$K76=1,AND($L76=80,OR($N76=1,AND($N76=2,'#BerechnungDBE'!$AL67&gt;0)))))),IF(JP$4&gt;=$AD$126,0,JZ76),IF(JR$9=3,IF(OR(JP$4&gt;=$AD$127,AND($G76=1,$J76=2,JP$6=2),AND(JP$6=1,$N76&lt;&gt;1)),0,IF(JT76&lt;=120,JZ76,IF(JP$4&lt;$AD$124,IF($F76=1,60/JR$4*JR$6,60/JR$4*JR$7),IF($F76=1,120/JR$4*JR$6,120/JR$4*JR$7)))),IF(OR($F76=3,$G76=2),IF(OR(AND(JP$4&gt;=$AD$119,$C76=2),AND(JP$4&gt;=$AF$119,$C76=1)),0,IF(JT76&lt;=60,JZ76,60/JR$4*JR$7)),IF(AND($F76=2,$G76=1),JZ76,0)))))</f>
        <v>0</v>
      </c>
      <c r="KC76" s="57" t="str">
        <f t="shared" si="112"/>
        <v/>
      </c>
      <c r="KD76" s="57" t="str">
        <f t="shared" si="432"/>
        <v/>
      </c>
      <c r="KE76" s="713">
        <f>'org. Düngung 22'!CB75</f>
        <v>0</v>
      </c>
      <c r="KF76" s="57"/>
      <c r="KG76" s="57"/>
      <c r="KH76" s="57">
        <f t="shared" si="114"/>
        <v>0</v>
      </c>
      <c r="KI76" s="57">
        <f t="shared" si="283"/>
        <v>0</v>
      </c>
      <c r="KJ76" s="57">
        <f t="shared" si="284"/>
        <v>0</v>
      </c>
      <c r="KK76" s="57">
        <f t="shared" si="285"/>
        <v>0</v>
      </c>
      <c r="KL76" s="57">
        <f t="shared" si="286"/>
        <v>0</v>
      </c>
      <c r="KM76" s="1029">
        <f t="shared" si="433"/>
        <v>0</v>
      </c>
      <c r="KN76" s="57">
        <f t="shared" si="434"/>
        <v>0</v>
      </c>
      <c r="KO76" s="171" t="str">
        <f t="shared" si="435"/>
        <v/>
      </c>
      <c r="KP76" s="57">
        <f t="shared" si="287"/>
        <v>0</v>
      </c>
      <c r="KQ76" s="57">
        <f>IF(OR(AND(KE$6=1,$L76=0),AND(KE$6=2,$K76=2,$G76=1)),0,IF(AND(KG$9=2,(OR($F76&gt;1,$K76=1,AND($L76=80,OR($N76=1,AND($N76=2,'#BerechnungDBE'!$AL67&gt;0)))))),IF(KE$4&gt;=$AD$126,0,KO76),IF(KG$9=3,IF(OR(KE$4&gt;=$AD$127,AND($G76=1,$J76=2,KE$6=2),AND(KE$6=1,$N76&lt;&gt;1)),0,IF(KI76&lt;=120,KO76,IF(KE$4&lt;$AD$124,IF($F76=1,60/KG$4*KG$6,60/KG$4*KG$7),IF($F76=1,120/KG$4*KG$6,120/KG$4*KG$7)))),IF(OR($F76=3,$G76=2),IF(OR(AND(KE$4&gt;=$AD$119,$C76=2),AND(KE$4&gt;=$AF$119,$C76=1)),0,IF(KI76&lt;=60,KO76,60/KG$4*KG$7)),IF(AND($F76=2,$G76=1),KO76,0)))))</f>
        <v>0</v>
      </c>
      <c r="KR76" s="57" t="str">
        <f t="shared" si="118"/>
        <v/>
      </c>
      <c r="KS76" s="57" t="str">
        <f t="shared" si="436"/>
        <v/>
      </c>
      <c r="KT76" s="713">
        <f>'org. Düngung 22'!CF75</f>
        <v>0</v>
      </c>
      <c r="KU76" s="57"/>
      <c r="KV76" s="57"/>
      <c r="KW76" s="57">
        <f t="shared" si="120"/>
        <v>0</v>
      </c>
      <c r="KX76" s="57">
        <f t="shared" si="288"/>
        <v>0</v>
      </c>
      <c r="KY76" s="57">
        <f t="shared" si="289"/>
        <v>0</v>
      </c>
      <c r="KZ76" s="57">
        <f t="shared" si="290"/>
        <v>0</v>
      </c>
      <c r="LA76" s="57">
        <f t="shared" si="291"/>
        <v>0</v>
      </c>
      <c r="LB76" s="1029">
        <f t="shared" si="437"/>
        <v>0</v>
      </c>
      <c r="LC76" s="57">
        <f t="shared" si="438"/>
        <v>0</v>
      </c>
      <c r="LD76" s="171" t="str">
        <f t="shared" si="439"/>
        <v/>
      </c>
      <c r="LE76" s="57">
        <f t="shared" si="292"/>
        <v>0</v>
      </c>
      <c r="LF76" s="57">
        <f>IF(OR(AND(KT$6=1,$L76=0),AND(KT$6=2,$K76=2,$G76=1)),0,IF(AND(KV$9=2,(OR($F76&gt;1,$K76=1,AND($L76=80,OR($N76=1,AND($N76=2,'#BerechnungDBE'!$AL67&gt;0)))))),IF(KT$4&gt;=$AD$126,0,LD76),IF(KV$9=3,IF(OR(KT$4&gt;=$AD$127,AND($G76=1,$J76=2,KT$6=2),AND(KT$6=1,$N76&lt;&gt;1)),0,IF(KX76&lt;=120,LD76,IF(KT$4&lt;$AD$124,IF($F76=1,60/KV$4*KV$6,60/KV$4*KV$7),IF($F76=1,120/KV$4*KV$6,120/KV$4*KV$7)))),IF(OR($F76=3,$G76=2),IF(OR(AND(KT$4&gt;=$AD$119,$C76=2),AND(KT$4&gt;=$AF$119,$C76=1)),0,IF(KX76&lt;=60,LD76,60/KV$4*KV$7)),IF(AND($F76=2,$G76=1),LD76,0)))))</f>
        <v>0</v>
      </c>
      <c r="LG76" s="57" t="str">
        <f t="shared" si="124"/>
        <v/>
      </c>
      <c r="LH76" s="57" t="str">
        <f t="shared" si="440"/>
        <v/>
      </c>
      <c r="LI76" s="713">
        <f>'org. Düngung 22'!CJ75</f>
        <v>0</v>
      </c>
      <c r="LJ76" s="57"/>
      <c r="LK76" s="57"/>
      <c r="LL76" s="57">
        <f t="shared" si="126"/>
        <v>0</v>
      </c>
      <c r="LM76" s="57">
        <f t="shared" si="293"/>
        <v>0</v>
      </c>
      <c r="LN76" s="57">
        <f t="shared" si="294"/>
        <v>0</v>
      </c>
      <c r="LO76" s="57">
        <f t="shared" si="295"/>
        <v>0</v>
      </c>
      <c r="LP76" s="57">
        <f t="shared" si="296"/>
        <v>0</v>
      </c>
      <c r="LQ76" s="1029">
        <f t="shared" si="441"/>
        <v>0</v>
      </c>
      <c r="LR76" s="57">
        <f t="shared" si="442"/>
        <v>0</v>
      </c>
      <c r="LS76" s="171" t="str">
        <f t="shared" si="443"/>
        <v/>
      </c>
      <c r="LT76" s="57">
        <f t="shared" si="297"/>
        <v>0</v>
      </c>
      <c r="LU76" s="57">
        <f>IF(OR(AND(LI$6=1,$L76=0),AND(LI$6=2,$K76=2,$G76=1)),0,IF(AND(LK$9=2,(OR($F76&gt;1,$K76=1,AND($L76=80,OR($N76=1,AND($N76=2,'#BerechnungDBE'!$AL67&gt;0)))))),IF(LI$4&gt;=$AD$126,0,LS76),IF(LK$9=3,IF(OR(LI$4&gt;=$AD$127,AND($G76=1,$J76=2,LI$6=2),AND(LI$6=1,$N76&lt;&gt;1)),0,IF(LM76&lt;=120,LS76,IF(LI$4&lt;$AD$124,IF($F76=1,60/LK$4*LK$6,60/LK$4*LK$7),IF($F76=1,120/LK$4*LK$6,120/LK$4*LK$7)))),IF(OR($F76=3,$G76=2),IF(OR(AND(LI$4&gt;=$AD$119,$C76=2),AND(LI$4&gt;=$AF$119,$C76=1)),0,IF(LM76&lt;=60,LS76,60/LK$4*LK$7)),IF(AND($F76=2,$G76=1),LS76,0)))))</f>
        <v>0</v>
      </c>
      <c r="LV76" s="57" t="str">
        <f t="shared" si="130"/>
        <v/>
      </c>
      <c r="LW76" s="57" t="str">
        <f t="shared" si="444"/>
        <v/>
      </c>
      <c r="LX76" s="713">
        <f>'org. Düngung 22'!CN75</f>
        <v>0</v>
      </c>
      <c r="LY76" s="57"/>
      <c r="LZ76" s="57"/>
      <c r="MA76" s="57">
        <f t="shared" si="132"/>
        <v>0</v>
      </c>
      <c r="MB76" s="57">
        <f t="shared" si="298"/>
        <v>0</v>
      </c>
      <c r="MC76" s="57">
        <f t="shared" si="299"/>
        <v>0</v>
      </c>
      <c r="MD76" s="57">
        <f t="shared" si="300"/>
        <v>0</v>
      </c>
      <c r="ME76" s="57">
        <f t="shared" si="301"/>
        <v>0</v>
      </c>
      <c r="MF76" s="1029">
        <f t="shared" si="445"/>
        <v>0</v>
      </c>
      <c r="MG76" s="57">
        <f t="shared" si="446"/>
        <v>0</v>
      </c>
      <c r="MH76" s="171" t="str">
        <f t="shared" si="447"/>
        <v/>
      </c>
      <c r="MI76" s="57">
        <f t="shared" si="302"/>
        <v>0</v>
      </c>
      <c r="MJ76" s="57">
        <f>IF(OR(AND(LX$6=1,$L76=0),AND(LX$6=2,$K76=2,$G76=1)),0,IF(AND(LZ$9=2,(OR($F76&gt;1,$K76=1,AND($L76=80,OR($N76=1,AND($N76=2,'#BerechnungDBE'!$AL67&gt;0)))))),IF(LX$4&gt;=$AD$126,0,MH76),IF(LZ$9=3,IF(OR(LX$4&gt;=$AD$127,AND($G76=1,$J76=2,LX$6=2),AND(LX$6=1,$N76&lt;&gt;1)),0,IF(MB76&lt;=120,MH76,IF(LX$4&lt;$AD$124,IF($F76=1,60/LZ$4*LZ$6,60/LZ$4*LZ$7),IF($F76=1,120/LZ$4*LZ$6,120/LZ$4*LZ$7)))),IF(OR($F76=3,$G76=2),IF(OR(AND(LX$4&gt;=$AD$119,$C76=2),AND(LX$4&gt;=$AF$119,$C76=1)),0,IF(MB76&lt;=60,MH76,60/LZ$4*LZ$7)),IF(AND($F76=2,$G76=1),MH76,0)))))</f>
        <v>0</v>
      </c>
      <c r="MK76" s="57" t="str">
        <f t="shared" si="136"/>
        <v/>
      </c>
      <c r="ML76" s="57" t="str">
        <f t="shared" si="448"/>
        <v/>
      </c>
      <c r="MM76" s="713">
        <f>'org. Düngung 22'!CR75</f>
        <v>0</v>
      </c>
      <c r="MN76" s="57"/>
      <c r="MO76" s="57"/>
      <c r="MP76" s="57">
        <f t="shared" si="138"/>
        <v>0</v>
      </c>
      <c r="MQ76" s="57">
        <f t="shared" si="303"/>
        <v>0</v>
      </c>
      <c r="MR76" s="57">
        <f t="shared" si="304"/>
        <v>0</v>
      </c>
      <c r="MS76" s="57">
        <f t="shared" si="305"/>
        <v>0</v>
      </c>
      <c r="MT76" s="57">
        <f t="shared" si="306"/>
        <v>0</v>
      </c>
      <c r="MU76" s="1029">
        <f t="shared" si="449"/>
        <v>0</v>
      </c>
      <c r="MV76" s="57">
        <f t="shared" si="450"/>
        <v>0</v>
      </c>
      <c r="MW76" s="171" t="str">
        <f t="shared" si="451"/>
        <v/>
      </c>
      <c r="MX76" s="57">
        <f t="shared" si="307"/>
        <v>0</v>
      </c>
      <c r="MY76" s="57">
        <f>IF(OR(AND(MM$6=1,$L76=0),AND(MM$6=2,$K76=2,$G76=1)),0,IF(AND(MO$9=2,(OR($F76&gt;1,$K76=1,AND($L76=80,OR($N76=1,AND($N76=2,'#BerechnungDBE'!$AL67&gt;0)))))),IF(MM$4&gt;=$AD$126,0,MW76),IF(MO$9=3,IF(OR(MM$4&gt;=$AD$127,AND($G76=1,$J76=2,MM$6=2),AND(MM$6=1,$N76&lt;&gt;1)),0,IF(MQ76&lt;=120,MW76,IF(MM$4&lt;$AD$124,IF($F76=1,60/MO$4*MO$6,60/MO$4*MO$7),IF($F76=1,120/MO$4*MO$6,120/MO$4*MO$7)))),IF(OR($F76=3,$G76=2),IF(OR(AND(MM$4&gt;=$AD$119,$C76=2),AND(MM$4&gt;=$AF$119,$C76=1)),0,IF(MQ76&lt;=60,MW76,60/MO$4*MO$7)),IF(AND($F76=2,$G76=1),MW76,0)))))</f>
        <v>0</v>
      </c>
      <c r="MZ76" s="57" t="str">
        <f t="shared" si="142"/>
        <v/>
      </c>
      <c r="NA76" s="57" t="str">
        <f t="shared" si="452"/>
        <v/>
      </c>
      <c r="NB76" s="713">
        <f>'org. Düngung 22'!CV75</f>
        <v>0</v>
      </c>
      <c r="NC76" s="57"/>
      <c r="ND76" s="57"/>
      <c r="NE76" s="57">
        <f t="shared" si="144"/>
        <v>0</v>
      </c>
      <c r="NF76" s="57">
        <f t="shared" si="308"/>
        <v>0</v>
      </c>
      <c r="NG76" s="57">
        <f t="shared" si="309"/>
        <v>0</v>
      </c>
      <c r="NH76" s="57">
        <f t="shared" si="310"/>
        <v>0</v>
      </c>
      <c r="NI76" s="57">
        <f t="shared" si="311"/>
        <v>0</v>
      </c>
      <c r="NJ76" s="1029">
        <f t="shared" si="453"/>
        <v>0</v>
      </c>
      <c r="NK76" s="57">
        <f t="shared" si="454"/>
        <v>0</v>
      </c>
      <c r="NL76" s="171" t="str">
        <f t="shared" si="455"/>
        <v/>
      </c>
      <c r="NM76" s="57">
        <f t="shared" si="312"/>
        <v>0</v>
      </c>
      <c r="NN76" s="57">
        <f>IF(OR(AND(NB$6=1,$L76=0),AND(NB$6=2,$K76=2,$G76=1)),0,IF(AND(ND$9=2,(OR($F76&gt;1,$K76=1,AND($L76=80,OR($N76=1,AND($N76=2,'#BerechnungDBE'!$AL67&gt;0)))))),IF(NB$4&gt;=$AD$126,0,NL76),IF(ND$9=3,IF(OR(NB$4&gt;=$AD$127,AND($G76=1,$J76=2,NB$6=2),AND(NB$6=1,$N76&lt;&gt;1)),0,IF(NF76&lt;=120,NL76,IF(NB$4&lt;$AD$124,IF($F76=1,60/ND$4*ND$6,60/ND$4*ND$7),IF($F76=1,120/ND$4*ND$6,120/ND$4*ND$7)))),IF(OR($F76=3,$G76=2),IF(OR(AND(NB$4&gt;=$AD$119,$C76=2),AND(NB$4&gt;=$AF$119,$C76=1)),0,IF(NF76&lt;=60,NL76,60/ND$4*ND$7)),IF(AND($F76=2,$G76=1),NL76,0)))))</f>
        <v>0</v>
      </c>
      <c r="NO76" s="57" t="str">
        <f t="shared" si="148"/>
        <v/>
      </c>
      <c r="NP76" s="57" t="str">
        <f t="shared" si="456"/>
        <v/>
      </c>
      <c r="NQ76" s="713">
        <f>'org. Düngung 22'!CZ75</f>
        <v>0</v>
      </c>
      <c r="NR76" s="57"/>
      <c r="NS76" s="57"/>
      <c r="NT76" s="57">
        <f t="shared" si="150"/>
        <v>0</v>
      </c>
      <c r="NU76" s="57">
        <f t="shared" si="313"/>
        <v>0</v>
      </c>
      <c r="NV76" s="57">
        <f t="shared" si="314"/>
        <v>0</v>
      </c>
      <c r="NW76" s="57">
        <f t="shared" si="315"/>
        <v>0</v>
      </c>
      <c r="NX76" s="57">
        <f t="shared" si="316"/>
        <v>0</v>
      </c>
      <c r="NY76" s="1029">
        <f t="shared" si="457"/>
        <v>0</v>
      </c>
      <c r="NZ76" s="57">
        <f t="shared" si="458"/>
        <v>0</v>
      </c>
      <c r="OA76" s="171" t="str">
        <f t="shared" si="459"/>
        <v/>
      </c>
      <c r="OB76" s="57">
        <f t="shared" si="317"/>
        <v>0</v>
      </c>
      <c r="OC76" s="57">
        <f>IF(OR(AND(NQ$6=1,$L76=0),AND(NQ$6=2,$K76=2,$G76=1)),0,IF(AND(NS$9=2,(OR($F76&gt;1,$K76=1,AND($L76=80,OR($N76=1,AND($N76=2,'#BerechnungDBE'!$AL67&gt;0)))))),IF(NQ$4&gt;=$AD$126,0,OA76),IF(NS$9=3,IF(OR(NQ$4&gt;=$AD$127,AND($G76=1,$J76=2,NQ$6=2),AND(NQ$6=1,$N76&lt;&gt;1)),0,IF(NU76&lt;=120,OA76,IF(NQ$4&lt;$AD$124,IF($F76=1,60/NS$4*NS$6,60/NS$4*NS$7),IF($F76=1,120/NS$4*NS$6,120/NS$4*NS$7)))),IF(OR($F76=3,$G76=2),IF(OR(AND(NQ$4&gt;=$AD$119,$C76=2),AND(NQ$4&gt;=$AF$119,$C76=1)),0,IF(NU76&lt;=60,OA76,60/NS$4*NS$7)),IF(AND($F76=2,$G76=1),OA76,0)))))</f>
        <v>0</v>
      </c>
      <c r="OD76" s="57" t="str">
        <f t="shared" si="154"/>
        <v/>
      </c>
      <c r="OE76" s="57" t="str">
        <f t="shared" si="460"/>
        <v/>
      </c>
      <c r="OF76" s="713">
        <f>'org. Düngung 22'!DD75</f>
        <v>0</v>
      </c>
      <c r="OG76" s="57"/>
      <c r="OH76" s="57"/>
      <c r="OI76" s="57">
        <f t="shared" si="156"/>
        <v>0</v>
      </c>
      <c r="OJ76" s="57">
        <f t="shared" si="318"/>
        <v>0</v>
      </c>
      <c r="OK76" s="57">
        <f t="shared" si="319"/>
        <v>0</v>
      </c>
      <c r="OL76" s="57">
        <f t="shared" si="320"/>
        <v>0</v>
      </c>
      <c r="OM76" s="57">
        <f t="shared" si="321"/>
        <v>0</v>
      </c>
      <c r="ON76" s="1029">
        <f t="shared" si="461"/>
        <v>0</v>
      </c>
      <c r="OO76" s="57">
        <f t="shared" si="462"/>
        <v>0</v>
      </c>
      <c r="OP76" s="171" t="str">
        <f t="shared" si="463"/>
        <v/>
      </c>
      <c r="OQ76" s="57">
        <f t="shared" si="322"/>
        <v>0</v>
      </c>
      <c r="OR76" s="57">
        <f>IF(OR(AND(OF$6=1,$L76=0),AND(OF$6=2,$K76=2,$G76=1)),0,IF(AND(OH$9=2,(OR($F76&gt;1,$K76=1,AND($L76=80,OR($N76=1,AND($N76=2,'#BerechnungDBE'!$AL67&gt;0)))))),IF(OF$4&gt;=$AD$126,0,OP76),IF(OH$9=3,IF(OR(OF$4&gt;=$AD$127,AND($G76=1,$J76=2,OF$6=2),AND(OF$6=1,$N76&lt;&gt;1)),0,IF(OJ76&lt;=120,OP76,IF(OF$4&lt;$AD$124,IF($F76=1,60/OH$4*OH$6,60/OH$4*OH$7),IF($F76=1,120/OH$4*OH$6,120/OH$4*OH$7)))),IF(OR($F76=3,$G76=2),IF(OR(AND(OF$4&gt;=$AD$119,$C76=2),AND(OF$4&gt;=$AF$119,$C76=1)),0,IF(OJ76&lt;=60,OP76,60/OH$4*OH$7)),IF(AND($F76=2,$G76=1),OP76,0)))))</f>
        <v>0</v>
      </c>
      <c r="OS76" s="57" t="str">
        <f t="shared" si="160"/>
        <v/>
      </c>
      <c r="OT76" s="57" t="str">
        <f t="shared" si="464"/>
        <v/>
      </c>
      <c r="OU76" s="713">
        <f>'org. Düngung 22'!DH75</f>
        <v>0</v>
      </c>
      <c r="OV76" s="57"/>
      <c r="OW76" s="57"/>
      <c r="OX76" s="57">
        <f t="shared" si="162"/>
        <v>0</v>
      </c>
      <c r="OY76" s="57">
        <f t="shared" si="323"/>
        <v>0</v>
      </c>
      <c r="OZ76" s="57">
        <f t="shared" si="324"/>
        <v>0</v>
      </c>
      <c r="PA76" s="57">
        <f t="shared" si="325"/>
        <v>0</v>
      </c>
      <c r="PB76" s="57">
        <f t="shared" si="326"/>
        <v>0</v>
      </c>
      <c r="PC76" s="1029">
        <f t="shared" si="465"/>
        <v>0</v>
      </c>
      <c r="PD76" s="57">
        <f t="shared" si="466"/>
        <v>0</v>
      </c>
      <c r="PE76" s="171" t="str">
        <f t="shared" si="467"/>
        <v/>
      </c>
      <c r="PF76" s="57">
        <f t="shared" si="327"/>
        <v>0</v>
      </c>
      <c r="PG76" s="57">
        <f>IF(OR(AND(OU$6=1,$L76=0),AND(OU$6=2,$K76=2,$G76=1)),0,IF(AND(OW$9=2,(OR($F76&gt;1,$K76=1,AND($L76=80,OR($N76=1,AND($N76=2,'#BerechnungDBE'!$AL67&gt;0)))))),IF(OU$4&gt;=$AD$126,0,PE76),IF(OW$9=3,IF(OR(OU$4&gt;=$AD$127,AND($G76=1,$J76=2,OU$6=2),AND(OU$6=1,$N76&lt;&gt;1)),0,IF(OY76&lt;=120,PE76,IF(OU$4&lt;$AD$124,IF($F76=1,60/OW$4*OW$6,60/OW$4*OW$7),IF($F76=1,120/OW$4*OW$6,120/OW$4*OW$7)))),IF(OR($F76=3,$G76=2),IF(OR(AND(OU$4&gt;=$AD$119,$C76=2),AND(OU$4&gt;=$AF$119,$C76=1)),0,IF(OY76&lt;=60,PE76,60/OW$4*OW$7)),IF(AND($F76=2,$G76=1),PE76,0)))))</f>
        <v>0</v>
      </c>
      <c r="PH76" s="57" t="str">
        <f t="shared" si="166"/>
        <v/>
      </c>
      <c r="PI76" s="57" t="str">
        <f t="shared" si="468"/>
        <v/>
      </c>
      <c r="PJ76" s="713">
        <f>'org. Düngung 22'!DL75</f>
        <v>0</v>
      </c>
      <c r="PK76" s="57"/>
      <c r="PL76" s="57"/>
      <c r="PM76" s="57">
        <f t="shared" si="168"/>
        <v>0</v>
      </c>
      <c r="PN76" s="57">
        <f t="shared" si="328"/>
        <v>0</v>
      </c>
      <c r="PO76" s="57">
        <f t="shared" si="329"/>
        <v>0</v>
      </c>
      <c r="PP76" s="57">
        <f t="shared" si="330"/>
        <v>0</v>
      </c>
      <c r="PQ76" s="57">
        <f t="shared" si="331"/>
        <v>0</v>
      </c>
      <c r="PR76" s="1029">
        <f t="shared" si="469"/>
        <v>0</v>
      </c>
      <c r="PS76" s="57">
        <f t="shared" si="470"/>
        <v>0</v>
      </c>
      <c r="PT76" s="171" t="str">
        <f t="shared" si="471"/>
        <v/>
      </c>
      <c r="PU76" s="57">
        <f t="shared" si="332"/>
        <v>0</v>
      </c>
      <c r="PV76" s="57">
        <f>IF(OR(AND(PJ$6=1,$L76=0),AND(PJ$6=2,$K76=2,$G76=1)),0,IF(AND(PL$9=2,(OR($F76&gt;1,$K76=1,AND($L76=80,OR($N76=1,AND($N76=2,'#BerechnungDBE'!$AL67&gt;0)))))),IF(PJ$4&gt;=$AD$126,0,PT76),IF(PL$9=3,IF(OR(PJ$4&gt;=$AD$127,AND($G76=1,$J76=2,PJ$6=2),AND(PJ$6=1,$N76&lt;&gt;1)),0,IF(PN76&lt;=120,PT76,IF(PJ$4&lt;$AD$124,IF($F76=1,60/PL$4*PL$6,60/PL$4*PL$7),IF($F76=1,120/PL$4*PL$6,120/PL$4*PL$7)))),IF(OR($F76=3,$G76=2),IF(OR(AND(PJ$4&gt;=$AD$119,$C76=2),AND(PJ$4&gt;=$AF$119,$C76=1)),0,IF(PN76&lt;=60,PT76,60/PL$4*PL$7)),IF(AND($F76=2,$G76=1),PT76,0)))))</f>
        <v>0</v>
      </c>
      <c r="PW76" s="57" t="str">
        <f t="shared" si="172"/>
        <v/>
      </c>
      <c r="PX76" s="57" t="str">
        <f t="shared" si="472"/>
        <v/>
      </c>
      <c r="PY76" s="713">
        <f>'org. Düngung 22'!DP75</f>
        <v>0</v>
      </c>
      <c r="PZ76" s="57"/>
      <c r="QA76" s="57"/>
      <c r="QB76" s="57">
        <f t="shared" si="174"/>
        <v>0</v>
      </c>
      <c r="QC76" s="57">
        <f t="shared" si="333"/>
        <v>0</v>
      </c>
      <c r="QD76" s="57">
        <f t="shared" si="334"/>
        <v>0</v>
      </c>
      <c r="QE76" s="57">
        <f t="shared" si="335"/>
        <v>0</v>
      </c>
      <c r="QF76" s="57">
        <f t="shared" si="336"/>
        <v>0</v>
      </c>
      <c r="QG76" s="1029">
        <f t="shared" si="473"/>
        <v>0</v>
      </c>
      <c r="QH76" s="57">
        <f t="shared" si="474"/>
        <v>0</v>
      </c>
      <c r="QI76" s="171" t="str">
        <f t="shared" si="475"/>
        <v/>
      </c>
      <c r="QJ76" s="57">
        <f t="shared" si="337"/>
        <v>0</v>
      </c>
      <c r="QK76" s="57">
        <f>IF(OR(AND(PY$6=1,$L76=0),AND(PY$6=2,$K76=2,$G76=1)),0,IF(AND(QA$9=2,(OR($F76&gt;1,$K76=1,AND($L76=80,OR($N76=1,AND($N76=2,'#BerechnungDBE'!$AL67&gt;0)))))),IF(PY$4&gt;=$AD$126,0,QI76),IF(QA$9=3,IF(OR(PY$4&gt;=$AD$127,AND($G76=1,$J76=2,PY$6=2),AND(PY$6=1,$N76&lt;&gt;1)),0,IF(QC76&lt;=120,QI76,IF(PY$4&lt;$AD$124,IF($F76=1,60/QA$4*QA$6,60/QA$4*QA$7),IF($F76=1,120/QA$4*QA$6,120/QA$4*QA$7)))),IF(OR($F76=3,$G76=2),IF(OR(AND(PY$4&gt;=$AD$119,$C76=2),AND(PY$4&gt;=$AF$119,$C76=1)),0,IF(QC76&lt;=60,QI76,60/QA$4*QA$7)),IF(AND($F76=2,$G76=1),QI76,0)))))</f>
        <v>0</v>
      </c>
      <c r="QL76" s="57" t="str">
        <f t="shared" si="178"/>
        <v/>
      </c>
      <c r="QM76" s="57" t="str">
        <f t="shared" si="476"/>
        <v/>
      </c>
      <c r="QN76" s="713">
        <f>'org. Düngung 22'!DT75</f>
        <v>0</v>
      </c>
      <c r="QO76" s="57"/>
      <c r="QP76" s="57"/>
      <c r="QQ76" s="57">
        <f t="shared" si="180"/>
        <v>0</v>
      </c>
      <c r="QR76" s="57">
        <f t="shared" si="338"/>
        <v>0</v>
      </c>
      <c r="QS76" s="57">
        <f t="shared" si="339"/>
        <v>0</v>
      </c>
      <c r="QT76" s="57">
        <f t="shared" si="340"/>
        <v>0</v>
      </c>
      <c r="QU76" s="57">
        <f t="shared" si="341"/>
        <v>0</v>
      </c>
      <c r="QV76" s="1029">
        <f t="shared" si="477"/>
        <v>0</v>
      </c>
      <c r="QW76" s="57">
        <f t="shared" si="478"/>
        <v>0</v>
      </c>
      <c r="QX76" s="171" t="str">
        <f t="shared" si="479"/>
        <v/>
      </c>
      <c r="QY76" s="57">
        <f t="shared" si="342"/>
        <v>0</v>
      </c>
      <c r="QZ76" s="57">
        <f>IF(OR(AND(QN$6=1,$L76=0),AND(QN$6=2,$K76=2,$G76=1)),0,IF(AND(QP$9=2,(OR($F76&gt;1,$K76=1,AND($L76=80,OR($N76=1,AND($N76=2,'#BerechnungDBE'!$AL67&gt;0)))))),IF(QN$4&gt;=$AD$126,0,QX76),IF(QP$9=3,IF(OR(QN$4&gt;=$AD$127,AND($G76=1,$J76=2,QN$6=2),AND(QN$6=1,$N76&lt;&gt;1)),0,IF(QR76&lt;=120,QX76,IF(QN$4&lt;$AD$124,IF($F76=1,60/QP$4*QP$6,60/QP$4*QP$7),IF($F76=1,120/QP$4*QP$6,120/QP$4*QP$7)))),IF(OR($F76=3,$G76=2),IF(OR(AND(QN$4&gt;=$AD$119,$C76=2),AND(QN$4&gt;=$AF$119,$C76=1)),0,IF(QR76&lt;=60,QX76,60/QP$4*QP$7)),IF(AND($F76=2,$G76=1),QX76,0)))))</f>
        <v>0</v>
      </c>
      <c r="RA76" s="57" t="str">
        <f t="shared" si="184"/>
        <v/>
      </c>
      <c r="RB76" s="57" t="str">
        <f t="shared" si="480"/>
        <v/>
      </c>
      <c r="RC76" s="713">
        <f>'org. Düngung 22'!DX75</f>
        <v>0</v>
      </c>
      <c r="RD76" s="57"/>
      <c r="RE76" s="57"/>
      <c r="RF76" s="57">
        <f t="shared" si="186"/>
        <v>0</v>
      </c>
      <c r="RG76" s="57">
        <f t="shared" si="343"/>
        <v>0</v>
      </c>
      <c r="RH76" s="57">
        <f t="shared" si="344"/>
        <v>0</v>
      </c>
      <c r="RI76" s="57">
        <f t="shared" si="345"/>
        <v>0</v>
      </c>
      <c r="RJ76" s="57">
        <f t="shared" si="346"/>
        <v>0</v>
      </c>
      <c r="RK76" s="1029">
        <f t="shared" si="481"/>
        <v>0</v>
      </c>
      <c r="RL76" s="57">
        <f t="shared" si="482"/>
        <v>0</v>
      </c>
      <c r="RM76" s="171" t="str">
        <f t="shared" si="483"/>
        <v/>
      </c>
      <c r="RN76" s="57">
        <f t="shared" si="347"/>
        <v>0</v>
      </c>
      <c r="RO76" s="57">
        <f>IF(OR(AND(RC$6=1,$L76=0),AND(RC$6=2,$K76=2,$G76=1)),0,IF(AND(RE$9=2,(OR($F76&gt;1,$K76=1,AND($L76=80,OR($N76=1,AND($N76=2,'#BerechnungDBE'!$AL67&gt;0)))))),IF(RC$4&gt;=$AD$126,0,RM76),IF(RE$9=3,IF(OR(RC$4&gt;=$AD$127,AND($G76=1,$J76=2,RC$6=2),AND(RC$6=1,$N76&lt;&gt;1)),0,IF(RG76&lt;=120,RM76,IF(RC$4&lt;$AD$124,IF($F76=1,60/RE$4*RE$6,60/RE$4*RE$7),IF($F76=1,120/RE$4*RE$6,120/RE$4*RE$7)))),IF(OR($F76=3,$G76=2),IF(OR(AND(RC$4&gt;=$AD$119,$C76=2),AND(RC$4&gt;=$AF$119,$C76=1)),0,IF(RG76&lt;=60,RM76,60/RE$4*RE$7)),IF(AND($F76=2,$G76=1),RM76,0)))))</f>
        <v>0</v>
      </c>
      <c r="RP76" s="57" t="str">
        <f t="shared" si="190"/>
        <v/>
      </c>
      <c r="RQ76" s="57" t="str">
        <f t="shared" si="484"/>
        <v/>
      </c>
      <c r="RS76" s="57" t="str">
        <f t="shared" si="488"/>
        <v/>
      </c>
      <c r="RT76" s="57" t="str">
        <f t="shared" si="485"/>
        <v/>
      </c>
      <c r="RU76" s="57" t="str">
        <f t="shared" si="486"/>
        <v/>
      </c>
      <c r="RV76" s="57" t="str">
        <f>IF(Z76&gt;'#BerechnungDBE'!BM67,$RV$9,"")</f>
        <v/>
      </c>
      <c r="RW76" s="57" t="str">
        <f>IF(AND(L76=70,AE76&gt;'#BerechnungDBE'!CQ67),$RW$9,"")</f>
        <v/>
      </c>
      <c r="RX76" s="57" t="str">
        <f>IF(OR('org. Düngung 22'!G75="--",'org. Düngung 22'!G75&lt;=170,'org. Düngung 22'!G75=""),"",$RX$9)</f>
        <v/>
      </c>
      <c r="RY76" s="57" t="str">
        <f>IF('org. Düngung 22'!K75&gt;120,'#orgDung'!$RY$9,"")</f>
        <v/>
      </c>
      <c r="RZ76" s="57" t="str">
        <f>IF('#BerechnungDBE'!P67&lt;4,"",IF(AND('#BerechnungDBE'!BZ67&gt;0,T76&gt;0),'#orgDung'!$RZ$9,""))</f>
        <v/>
      </c>
      <c r="SA76" s="57" t="str">
        <f t="shared" si="487"/>
        <v/>
      </c>
    </row>
    <row r="77" spans="1:495" s="875" customFormat="1" x14ac:dyDescent="0.2">
      <c r="A77" s="875">
        <f>'Flächen u. Kulturen'!A73</f>
        <v>64</v>
      </c>
      <c r="B77" s="367">
        <f>'#BerechnungDBE'!L68</f>
        <v>0</v>
      </c>
      <c r="C77" s="875">
        <f>'#BerechnungDBE'!R68</f>
        <v>1</v>
      </c>
      <c r="D77" s="875">
        <f>'#BerechnungDBE'!T68</f>
        <v>2</v>
      </c>
      <c r="E77" s="875" t="str">
        <f>'Flächen u. Kulturen'!E73</f>
        <v>x</v>
      </c>
      <c r="F77" s="52">
        <f>'#BerechnungDBE'!N68</f>
        <v>1</v>
      </c>
      <c r="G77" s="52">
        <f>'#BerechnungDBE'!O68</f>
        <v>1</v>
      </c>
      <c r="H77" s="875">
        <f>IF('Flächen u. Kulturen'!P73="",0,VLOOKUP('Flächen u. Kulturen'!P73,Kulturen[[HF]:[Berechnungsgruppe]],'#Frucht'!$H$1,FALSE))</f>
        <v>0</v>
      </c>
      <c r="I77" s="875">
        <f>IF('Flächen u. Kulturen'!J73="",0,VLOOKUP('Flächen u. Kulturen'!J73,Kulturen[[HF]:[Berechnungsgruppe]],'#Frucht'!$G$1,FALSE))</f>
        <v>90</v>
      </c>
      <c r="J77" s="505">
        <f t="shared" si="195"/>
        <v>2</v>
      </c>
      <c r="K77" s="505">
        <f>IF('Flächen u. Kulturen'!P73="",0,IF(VLOOKUP('Flächen u. Kulturen'!P73,Kulturen[[HF]:[Saat Winterungen]],'#Frucht'!$P$1,FALSE)&gt;0,1,2))</f>
        <v>2</v>
      </c>
      <c r="L77" s="875">
        <f>'#BerechnungDBE'!AF68</f>
        <v>0</v>
      </c>
      <c r="M77" s="875">
        <f>IF('Flächen u. Kulturen'!L73="",0,VLOOKUP('Flächen u. Kulturen'!L73,Nebenkultur[[Nebenkultur]:[Legum. Zwischenfr.]],'#Zweitfr'!$K$1,FALSE))</f>
        <v>0</v>
      </c>
      <c r="N77" s="875">
        <f>'#BerechnungDBE'!AG68</f>
        <v>0</v>
      </c>
      <c r="P77" s="57">
        <f t="shared" si="353"/>
        <v>0</v>
      </c>
      <c r="Q77" s="57">
        <f t="shared" si="354"/>
        <v>0</v>
      </c>
      <c r="R77" s="875">
        <f t="shared" si="355"/>
        <v>0</v>
      </c>
      <c r="S77" s="938" t="str">
        <f t="shared" si="3"/>
        <v/>
      </c>
      <c r="T77" s="875">
        <f t="shared" si="356"/>
        <v>0</v>
      </c>
      <c r="U77" s="875">
        <f t="shared" si="357"/>
        <v>0</v>
      </c>
      <c r="V77" s="875">
        <f t="shared" si="358"/>
        <v>0</v>
      </c>
      <c r="W77" s="875">
        <f t="shared" si="359"/>
        <v>0</v>
      </c>
      <c r="X77" s="875">
        <f t="shared" si="360"/>
        <v>0</v>
      </c>
      <c r="Y77" s="875">
        <f t="shared" si="349"/>
        <v>0</v>
      </c>
      <c r="Z77" s="875">
        <f t="shared" si="350"/>
        <v>0</v>
      </c>
      <c r="AA77" s="910">
        <f t="shared" si="361"/>
        <v>0</v>
      </c>
      <c r="AB77" s="57">
        <f t="shared" si="351"/>
        <v>0</v>
      </c>
      <c r="AC77" s="875">
        <f t="shared" si="362"/>
        <v>0</v>
      </c>
      <c r="AD77" s="875">
        <f t="shared" si="363"/>
        <v>0</v>
      </c>
      <c r="AE77" s="875">
        <f t="shared" si="364"/>
        <v>0</v>
      </c>
      <c r="AF77" s="875">
        <f t="shared" si="352"/>
        <v>0</v>
      </c>
      <c r="AG77" s="875">
        <f>'org. Düngung 22'!J76</f>
        <v>0</v>
      </c>
      <c r="AH77" s="875">
        <f>'org. Düngung 22'!K76</f>
        <v>0</v>
      </c>
      <c r="AJ77" s="713">
        <f>'org. Düngung 22'!L76</f>
        <v>0</v>
      </c>
      <c r="AK77" s="57"/>
      <c r="AL77" s="57"/>
      <c r="AM77" s="57">
        <f t="shared" si="196"/>
        <v>0</v>
      </c>
      <c r="AN77" s="57">
        <f t="shared" si="197"/>
        <v>0</v>
      </c>
      <c r="AO77" s="57">
        <f t="shared" si="198"/>
        <v>0</v>
      </c>
      <c r="AP77" s="57">
        <f t="shared" si="199"/>
        <v>0</v>
      </c>
      <c r="AQ77" s="57">
        <f t="shared" si="200"/>
        <v>0</v>
      </c>
      <c r="AR77" s="1029">
        <f t="shared" si="365"/>
        <v>0</v>
      </c>
      <c r="AS77" s="57">
        <f t="shared" si="366"/>
        <v>0</v>
      </c>
      <c r="AT77" s="171" t="str">
        <f t="shared" si="367"/>
        <v/>
      </c>
      <c r="AU77" s="57">
        <f t="shared" si="201"/>
        <v>0</v>
      </c>
      <c r="AV77" s="57">
        <f>IF(OR(AND(AJ$6=1,$L77=0),AND(AJ$6=2,$K77=2,$G77=1)),0,IF(AND(AL$9=2,(OR($F77&gt;1,$K77=1,AND($L77=80,OR($N77=1,AND($N77=2,'#BerechnungDBE'!$AL68&gt;0)))))),IF(AJ$4&gt;=$AD$126,0,AT77),IF(AL$9=3,IF(OR(AJ$4&gt;=$AD$127,AND($G77=1,$J77=2,AJ$6=2),AND(AJ$6=1,$N77&lt;&gt;1)),0,IF(AN77&lt;=120,AT77,IF(AJ$4&lt;$AD$124,IF($F77=1,60/AL$4*AL$6,60/AL$4*AL$7),IF($F77=1,120/AL$4*AL$6,120/AL$4*AL$7)))),IF(OR($F77=3,$G77=2),IF(OR(AND(AJ$4&gt;=$AD$119,$C77=2),AND(AJ$4&gt;=$AF$119,$C77=1)),0,IF(AN77&lt;=60,AT77,60/AL$4*AL$7)),IF(AND($F77=2,$G77=1),AT77,0)))))</f>
        <v>0</v>
      </c>
      <c r="AW77" s="57" t="str">
        <f t="shared" si="202"/>
        <v/>
      </c>
      <c r="AX77" s="57" t="str">
        <f t="shared" si="368"/>
        <v/>
      </c>
      <c r="AY77" s="713">
        <f>'org. Düngung 22'!P76</f>
        <v>0</v>
      </c>
      <c r="AZ77" s="57"/>
      <c r="BA77" s="57"/>
      <c r="BB77" s="57">
        <f t="shared" si="18"/>
        <v>0</v>
      </c>
      <c r="BC77" s="57">
        <f t="shared" si="203"/>
        <v>0</v>
      </c>
      <c r="BD77" s="57">
        <f t="shared" si="204"/>
        <v>0</v>
      </c>
      <c r="BE77" s="57">
        <f t="shared" si="205"/>
        <v>0</v>
      </c>
      <c r="BF77" s="57">
        <f t="shared" si="206"/>
        <v>0</v>
      </c>
      <c r="BG77" s="1029">
        <f t="shared" si="369"/>
        <v>0</v>
      </c>
      <c r="BH77" s="57">
        <f t="shared" si="370"/>
        <v>0</v>
      </c>
      <c r="BI77" s="171" t="str">
        <f t="shared" si="371"/>
        <v/>
      </c>
      <c r="BJ77" s="57">
        <f t="shared" si="207"/>
        <v>0</v>
      </c>
      <c r="BK77" s="57">
        <f>IF(OR(AND(AY$6=1,$L77=0),AND(AY$6=2,$K77=2,$G77=1)),0,IF(AND(BA$9=2,(OR($F77&gt;1,$K77=1,AND($L77=80,OR($N77=1,AND($N77=2,'#BerechnungDBE'!$AL68&gt;0)))))),IF(AY$4&gt;=$AD$126,0,BI77),IF(BA$9=3,IF(OR(AY$4&gt;=$AD$127,AND($G77=1,$J77=2,AY$6=2),AND(AY$6=1,$N77&lt;&gt;1)),0,IF(BC77&lt;=120,BI77,IF(AY$4&lt;$AD$124,IF($F77=1,60/BA$4*BA$6,60/BA$4*BA$7),IF($F77=1,120/BA$4*BA$6,120/BA$4*BA$7)))),IF(OR($F77=3,$G77=2),IF(OR(AND(AY$4&gt;=$AD$119,$C77=2),AND(AY$4&gt;=$AF$119,$C77=1)),0,IF(BC77&lt;=60,BI77,60/BA$4*BA$7)),IF(AND($F77=2,$G77=1),BI77,0)))))</f>
        <v>0</v>
      </c>
      <c r="BL77" s="57" t="str">
        <f t="shared" si="22"/>
        <v/>
      </c>
      <c r="BM77" s="57" t="str">
        <f t="shared" si="372"/>
        <v/>
      </c>
      <c r="BN77" s="713">
        <f>'org. Düngung 22'!T76</f>
        <v>0</v>
      </c>
      <c r="BO77" s="57"/>
      <c r="BP77" s="57"/>
      <c r="BQ77" s="57">
        <f t="shared" si="24"/>
        <v>0</v>
      </c>
      <c r="BR77" s="57">
        <f t="shared" si="208"/>
        <v>0</v>
      </c>
      <c r="BS77" s="57">
        <f t="shared" si="209"/>
        <v>0</v>
      </c>
      <c r="BT77" s="57">
        <f t="shared" si="210"/>
        <v>0</v>
      </c>
      <c r="BU77" s="57">
        <f t="shared" si="211"/>
        <v>0</v>
      </c>
      <c r="BV77" s="1029">
        <f t="shared" si="373"/>
        <v>0</v>
      </c>
      <c r="BW77" s="57">
        <f t="shared" si="374"/>
        <v>0</v>
      </c>
      <c r="BX77" s="171" t="str">
        <f t="shared" si="375"/>
        <v/>
      </c>
      <c r="BY77" s="57">
        <f t="shared" si="212"/>
        <v>0</v>
      </c>
      <c r="BZ77" s="57">
        <f>IF(OR(AND(BN$6=1,$L77=0),AND(BN$6=2,$K77=2,$G77=1)),0,IF(AND(BP$9=2,(OR($F77&gt;1,$K77=1,AND($L77=80,OR($N77=1,AND($N77=2,'#BerechnungDBE'!$AL68&gt;0)))))),IF(BN$4&gt;=$AD$126,0,BX77),IF(BP$9=3,IF(OR(BN$4&gt;=$AD$127,AND($G77=1,$J77=2,BN$6=2),AND(BN$6=1,$N77&lt;&gt;1)),0,IF(BR77&lt;=120,BX77,IF(BN$4&lt;$AD$124,IF($F77=1,60/BP$4*BP$6,60/BP$4*BP$7),IF($F77=1,120/BP$4*BP$6,120/BP$4*BP$7)))),IF(OR($F77=3,$G77=2),IF(OR(AND(BN$4&gt;=$AD$119,$C77=2),AND(BN$4&gt;=$AF$119,$C77=1)),0,IF(BR77&lt;=60,BX77,60/BP$4*BP$7)),IF(AND($F77=2,$G77=1),BX77,0)))))</f>
        <v>0</v>
      </c>
      <c r="CA77" s="57" t="str">
        <f t="shared" si="28"/>
        <v/>
      </c>
      <c r="CB77" s="57" t="str">
        <f t="shared" si="376"/>
        <v/>
      </c>
      <c r="CC77" s="713">
        <f>'org. Düngung 22'!X76</f>
        <v>0</v>
      </c>
      <c r="CD77" s="57"/>
      <c r="CE77" s="57"/>
      <c r="CF77" s="57">
        <f t="shared" si="30"/>
        <v>0</v>
      </c>
      <c r="CG77" s="57">
        <f t="shared" si="213"/>
        <v>0</v>
      </c>
      <c r="CH77" s="57">
        <f t="shared" si="214"/>
        <v>0</v>
      </c>
      <c r="CI77" s="57">
        <f t="shared" si="215"/>
        <v>0</v>
      </c>
      <c r="CJ77" s="57">
        <f t="shared" si="216"/>
        <v>0</v>
      </c>
      <c r="CK77" s="1029">
        <f t="shared" si="377"/>
        <v>0</v>
      </c>
      <c r="CL77" s="57">
        <f t="shared" si="378"/>
        <v>0</v>
      </c>
      <c r="CM77" s="171" t="str">
        <f t="shared" si="379"/>
        <v/>
      </c>
      <c r="CN77" s="57">
        <f t="shared" si="217"/>
        <v>0</v>
      </c>
      <c r="CO77" s="57">
        <f>IF(OR(AND(CC$6=1,$L77=0),AND(CC$6=2,$K77=2,$G77=1)),0,IF(AND(CE$9=2,(OR($F77&gt;1,$K77=1,AND($L77=80,OR($N77=1,AND($N77=2,'#BerechnungDBE'!$AL68&gt;0)))))),IF(CC$4&gt;=$AD$126,0,CM77),IF(CE$9=3,IF(OR(CC$4&gt;=$AD$127,AND($G77=1,$J77=2,CC$6=2),AND(CC$6=1,$N77&lt;&gt;1)),0,IF(CG77&lt;=120,CM77,IF(CC$4&lt;$AD$124,IF($F77=1,60/CE$4*CE$6,60/CE$4*CE$7),IF($F77=1,120/CE$4*CE$6,120/CE$4*CE$7)))),IF(OR($F77=3,$G77=2),IF(OR(AND(CC$4&gt;=$AD$119,$C77=2),AND(CC$4&gt;=$AF$119,$C77=1)),0,IF(CG77&lt;=60,CM77,60/CE$4*CE$7)),IF(AND($F77=2,$G77=1),CM77,0)))))</f>
        <v>0</v>
      </c>
      <c r="CP77" s="57" t="str">
        <f t="shared" si="34"/>
        <v/>
      </c>
      <c r="CQ77" s="57" t="str">
        <f t="shared" si="380"/>
        <v/>
      </c>
      <c r="CR77" s="713">
        <f>'org. Düngung 22'!AB76</f>
        <v>0</v>
      </c>
      <c r="CS77" s="57"/>
      <c r="CT77" s="57"/>
      <c r="CU77" s="57">
        <f t="shared" si="36"/>
        <v>0</v>
      </c>
      <c r="CV77" s="57">
        <f t="shared" si="218"/>
        <v>0</v>
      </c>
      <c r="CW77" s="57">
        <f t="shared" si="219"/>
        <v>0</v>
      </c>
      <c r="CX77" s="57">
        <f t="shared" si="220"/>
        <v>0</v>
      </c>
      <c r="CY77" s="57">
        <f t="shared" si="221"/>
        <v>0</v>
      </c>
      <c r="CZ77" s="1029">
        <f t="shared" si="381"/>
        <v>0</v>
      </c>
      <c r="DA77" s="57">
        <f t="shared" si="382"/>
        <v>0</v>
      </c>
      <c r="DB77" s="171" t="str">
        <f t="shared" si="383"/>
        <v/>
      </c>
      <c r="DC77" s="57">
        <f t="shared" si="222"/>
        <v>0</v>
      </c>
      <c r="DD77" s="57">
        <f>IF(OR(AND(CR$6=1,$L77=0),AND(CR$6=2,$K77=2,$G77=1)),0,IF(AND(CT$9=2,(OR($F77&gt;1,$K77=1,AND($L77=80,OR($N77=1,AND($N77=2,'#BerechnungDBE'!$AL68&gt;0)))))),IF(CR$4&gt;=$AD$126,0,DB77),IF(CT$9=3,IF(OR(CR$4&gt;=$AD$127,AND($G77=1,$J77=2,CR$6=2),AND(CR$6=1,$N77&lt;&gt;1)),0,IF(CV77&lt;=120,DB77,IF(CR$4&lt;$AD$124,IF($F77=1,60/CT$4*CT$6,60/CT$4*CT$7),IF($F77=1,120/CT$4*CT$6,120/CT$4*CT$7)))),IF(OR($F77=3,$G77=2),IF(OR(AND(CR$4&gt;=$AD$119,$C77=2),AND(CR$4&gt;=$AF$119,$C77=1)),0,IF(CV77&lt;=60,DB77,60/CT$4*CT$7)),IF(AND($F77=2,$G77=1),DB77,0)))))</f>
        <v>0</v>
      </c>
      <c r="DE77" s="57" t="str">
        <f t="shared" si="40"/>
        <v/>
      </c>
      <c r="DF77" s="57" t="str">
        <f t="shared" si="384"/>
        <v/>
      </c>
      <c r="DG77" s="713">
        <f>'org. Düngung 22'!AF76</f>
        <v>0</v>
      </c>
      <c r="DH77" s="57"/>
      <c r="DI77" s="57"/>
      <c r="DJ77" s="57">
        <f t="shared" si="42"/>
        <v>0</v>
      </c>
      <c r="DK77" s="57">
        <f t="shared" si="223"/>
        <v>0</v>
      </c>
      <c r="DL77" s="57">
        <f t="shared" si="224"/>
        <v>0</v>
      </c>
      <c r="DM77" s="57">
        <f t="shared" si="225"/>
        <v>0</v>
      </c>
      <c r="DN77" s="57">
        <f t="shared" si="226"/>
        <v>0</v>
      </c>
      <c r="DO77" s="1029">
        <f t="shared" si="385"/>
        <v>0</v>
      </c>
      <c r="DP77" s="57">
        <f t="shared" si="386"/>
        <v>0</v>
      </c>
      <c r="DQ77" s="171" t="str">
        <f t="shared" si="387"/>
        <v/>
      </c>
      <c r="DR77" s="57">
        <f t="shared" si="227"/>
        <v>0</v>
      </c>
      <c r="DS77" s="57">
        <f>IF(OR(AND(DG$6=1,$L77=0),AND(DG$6=2,$K77=2,$G77=1)),0,IF(AND(DI$9=2,(OR($F77&gt;1,$K77=1,AND($L77=80,OR($N77=1,AND($N77=2,'#BerechnungDBE'!$AL68&gt;0)))))),IF(DG$4&gt;=$AD$126,0,DQ77),IF(DI$9=3,IF(OR(DG$4&gt;=$AD$127,AND($G77=1,$J77=2,DG$6=2),AND(DG$6=1,$N77&lt;&gt;1)),0,IF(DK77&lt;=120,DQ77,IF(DG$4&lt;$AD$124,IF($F77=1,60/DI$4*DI$6,60/DI$4*DI$7),IF($F77=1,120/DI$4*DI$6,120/DI$4*DI$7)))),IF(OR($F77=3,$G77=2),IF(OR(AND(DG$4&gt;=$AD$119,$C77=2),AND(DG$4&gt;=$AF$119,$C77=1)),0,IF(DK77&lt;=60,DQ77,60/DI$4*DI$7)),IF(AND($F77=2,$G77=1),DQ77,0)))))</f>
        <v>0</v>
      </c>
      <c r="DT77" s="57" t="str">
        <f t="shared" si="46"/>
        <v/>
      </c>
      <c r="DU77" s="57" t="str">
        <f t="shared" si="388"/>
        <v/>
      </c>
      <c r="DV77" s="713">
        <f>'org. Düngung 22'!AJ76</f>
        <v>0</v>
      </c>
      <c r="DW77" s="57"/>
      <c r="DX77" s="57"/>
      <c r="DY77" s="57">
        <f t="shared" si="48"/>
        <v>0</v>
      </c>
      <c r="DZ77" s="57">
        <f t="shared" si="228"/>
        <v>0</v>
      </c>
      <c r="EA77" s="57">
        <f t="shared" si="229"/>
        <v>0</v>
      </c>
      <c r="EB77" s="57">
        <f t="shared" si="230"/>
        <v>0</v>
      </c>
      <c r="EC77" s="57">
        <f t="shared" si="231"/>
        <v>0</v>
      </c>
      <c r="ED77" s="1029">
        <f t="shared" si="389"/>
        <v>0</v>
      </c>
      <c r="EE77" s="57">
        <f t="shared" si="390"/>
        <v>0</v>
      </c>
      <c r="EF77" s="171" t="str">
        <f t="shared" si="391"/>
        <v/>
      </c>
      <c r="EG77" s="57">
        <f t="shared" si="232"/>
        <v>0</v>
      </c>
      <c r="EH77" s="57">
        <f>IF(OR(AND(DV$6=1,$L77=0),AND(DV$6=2,$K77=2,$G77=1)),0,IF(AND(DX$9=2,(OR($F77&gt;1,$K77=1,AND($L77=80,OR($N77=1,AND($N77=2,'#BerechnungDBE'!$AL68&gt;0)))))),IF(DV$4&gt;=$AD$126,0,EF77),IF(DX$9=3,IF(OR(DV$4&gt;=$AD$127,AND($G77=1,$J77=2,DV$6=2),AND(DV$6=1,$N77&lt;&gt;1)),0,IF(DZ77&lt;=120,EF77,IF(DV$4&lt;$AD$124,IF($F77=1,60/DX$4*DX$6,60/DX$4*DX$7),IF($F77=1,120/DX$4*DX$6,120/DX$4*DX$7)))),IF(OR($F77=3,$G77=2),IF(OR(AND(DV$4&gt;=$AD$119,$C77=2),AND(DV$4&gt;=$AF$119,$C77=1)),0,IF(DZ77&lt;=60,EF77,60/DX$4*DX$7)),IF(AND($F77=2,$G77=1),EF77,0)))))</f>
        <v>0</v>
      </c>
      <c r="EI77" s="57" t="str">
        <f t="shared" si="52"/>
        <v/>
      </c>
      <c r="EJ77" s="57" t="str">
        <f t="shared" si="392"/>
        <v/>
      </c>
      <c r="EK77" s="713">
        <f>'org. Düngung 22'!AN76</f>
        <v>0</v>
      </c>
      <c r="EL77" s="57"/>
      <c r="EM77" s="57"/>
      <c r="EN77" s="57">
        <f t="shared" si="54"/>
        <v>0</v>
      </c>
      <c r="EO77" s="57">
        <f t="shared" si="233"/>
        <v>0</v>
      </c>
      <c r="EP77" s="57">
        <f t="shared" si="234"/>
        <v>0</v>
      </c>
      <c r="EQ77" s="57">
        <f t="shared" si="235"/>
        <v>0</v>
      </c>
      <c r="ER77" s="57">
        <f t="shared" si="236"/>
        <v>0</v>
      </c>
      <c r="ES77" s="1029">
        <f t="shared" si="393"/>
        <v>0</v>
      </c>
      <c r="ET77" s="57">
        <f t="shared" si="394"/>
        <v>0</v>
      </c>
      <c r="EU77" s="171" t="str">
        <f t="shared" si="395"/>
        <v/>
      </c>
      <c r="EV77" s="57">
        <f t="shared" si="237"/>
        <v>0</v>
      </c>
      <c r="EW77" s="57">
        <f>IF(OR(AND(EK$6=1,$L77=0),AND(EK$6=2,$K77=2,$G77=1)),0,IF(AND(EM$9=2,(OR($F77&gt;1,$K77=1,AND($L77=80,OR($N77=1,AND($N77=2,'#BerechnungDBE'!$AL68&gt;0)))))),IF(EK$4&gt;=$AD$126,0,EU77),IF(EM$9=3,IF(OR(EK$4&gt;=$AD$127,AND($G77=1,$J77=2,EK$6=2),AND(EK$6=1,$N77&lt;&gt;1)),0,IF(EO77&lt;=120,EU77,IF(EK$4&lt;$AD$124,IF($F77=1,60/EM$4*EM$6,60/EM$4*EM$7),IF($F77=1,120/EM$4*EM$6,120/EM$4*EM$7)))),IF(OR($F77=3,$G77=2),IF(OR(AND(EK$4&gt;=$AD$119,$C77=2),AND(EK$4&gt;=$AF$119,$C77=1)),0,IF(EO77&lt;=60,EU77,60/EM$4*EM$7)),IF(AND($F77=2,$G77=1),EU77,0)))))</f>
        <v>0</v>
      </c>
      <c r="EX77" s="57" t="str">
        <f t="shared" si="58"/>
        <v/>
      </c>
      <c r="EY77" s="57" t="str">
        <f t="shared" si="396"/>
        <v/>
      </c>
      <c r="EZ77" s="713">
        <f>'org. Düngung 22'!AR76</f>
        <v>0</v>
      </c>
      <c r="FA77" s="57"/>
      <c r="FB77" s="57"/>
      <c r="FC77" s="57">
        <f t="shared" si="60"/>
        <v>0</v>
      </c>
      <c r="FD77" s="57">
        <f t="shared" si="238"/>
        <v>0</v>
      </c>
      <c r="FE77" s="57">
        <f t="shared" si="239"/>
        <v>0</v>
      </c>
      <c r="FF77" s="57">
        <f t="shared" si="240"/>
        <v>0</v>
      </c>
      <c r="FG77" s="57">
        <f t="shared" si="241"/>
        <v>0</v>
      </c>
      <c r="FH77" s="1029">
        <f t="shared" si="397"/>
        <v>0</v>
      </c>
      <c r="FI77" s="57">
        <f t="shared" si="398"/>
        <v>0</v>
      </c>
      <c r="FJ77" s="171" t="str">
        <f t="shared" si="399"/>
        <v/>
      </c>
      <c r="FK77" s="57">
        <f t="shared" si="242"/>
        <v>0</v>
      </c>
      <c r="FL77" s="57">
        <f>IF(OR(AND(EZ$6=1,$L77=0),AND(EZ$6=2,$K77=2,$G77=1)),0,IF(AND(FB$9=2,(OR($F77&gt;1,$K77=1,AND($L77=80,OR($N77=1,AND($N77=2,'#BerechnungDBE'!$AL68&gt;0)))))),IF(EZ$4&gt;=$AD$126,0,FJ77),IF(FB$9=3,IF(OR(EZ$4&gt;=$AD$127,AND($G77=1,$J77=2,EZ$6=2),AND(EZ$6=1,$N77&lt;&gt;1)),0,IF(FD77&lt;=120,FJ77,IF(EZ$4&lt;$AD$124,IF($F77=1,60/FB$4*FB$6,60/FB$4*FB$7),IF($F77=1,120/FB$4*FB$6,120/FB$4*FB$7)))),IF(OR($F77=3,$G77=2),IF(OR(AND(EZ$4&gt;=$AD$119,$C77=2),AND(EZ$4&gt;=$AF$119,$C77=1)),0,IF(FD77&lt;=60,FJ77,60/FB$4*FB$7)),IF(AND($F77=2,$G77=1),FJ77,0)))))</f>
        <v>0</v>
      </c>
      <c r="FM77" s="57" t="str">
        <f t="shared" si="64"/>
        <v/>
      </c>
      <c r="FN77" s="57" t="str">
        <f t="shared" si="400"/>
        <v/>
      </c>
      <c r="FO77" s="713">
        <f>'org. Düngung 22'!AV76</f>
        <v>0</v>
      </c>
      <c r="FP77" s="57"/>
      <c r="FQ77" s="57"/>
      <c r="FR77" s="57">
        <f t="shared" si="66"/>
        <v>0</v>
      </c>
      <c r="FS77" s="57">
        <f t="shared" si="243"/>
        <v>0</v>
      </c>
      <c r="FT77" s="57">
        <f t="shared" si="244"/>
        <v>0</v>
      </c>
      <c r="FU77" s="57">
        <f t="shared" si="245"/>
        <v>0</v>
      </c>
      <c r="FV77" s="57">
        <f t="shared" si="246"/>
        <v>0</v>
      </c>
      <c r="FW77" s="1029">
        <f t="shared" si="401"/>
        <v>0</v>
      </c>
      <c r="FX77" s="57">
        <f t="shared" si="402"/>
        <v>0</v>
      </c>
      <c r="FY77" s="171" t="str">
        <f t="shared" si="403"/>
        <v/>
      </c>
      <c r="FZ77" s="57">
        <f t="shared" si="247"/>
        <v>0</v>
      </c>
      <c r="GA77" s="57">
        <f>IF(OR(AND(FO$6=1,$L77=0),AND(FO$6=2,$K77=2,$G77=1)),0,IF(AND(FQ$9=2,(OR($F77&gt;1,$K77=1,AND($L77=80,OR($N77=1,AND($N77=2,'#BerechnungDBE'!$AL68&gt;0)))))),IF(FO$4&gt;=$AD$126,0,FY77),IF(FQ$9=3,IF(OR(FO$4&gt;=$AD$127,AND($G77=1,$J77=2,FO$6=2),AND(FO$6=1,$N77&lt;&gt;1)),0,IF(FS77&lt;=120,FY77,IF(FO$4&lt;$AD$124,IF($F77=1,60/FQ$4*FQ$6,60/FQ$4*FQ$7),IF($F77=1,120/FQ$4*FQ$6,120/FQ$4*FQ$7)))),IF(OR($F77=3,$G77=2),IF(OR(AND(FO$4&gt;=$AD$119,$C77=2),AND(FO$4&gt;=$AF$119,$C77=1)),0,IF(FS77&lt;=60,FY77,60/FQ$4*FQ$7)),IF(AND($F77=2,$G77=1),FY77,0)))))</f>
        <v>0</v>
      </c>
      <c r="GB77" s="57" t="str">
        <f t="shared" si="70"/>
        <v/>
      </c>
      <c r="GC77" s="57" t="str">
        <f t="shared" si="404"/>
        <v/>
      </c>
      <c r="GD77" s="713">
        <f>'org. Düngung 22'!AZ76</f>
        <v>0</v>
      </c>
      <c r="GE77" s="57"/>
      <c r="GF77" s="57"/>
      <c r="GG77" s="57">
        <f t="shared" si="72"/>
        <v>0</v>
      </c>
      <c r="GH77" s="57">
        <f t="shared" si="248"/>
        <v>0</v>
      </c>
      <c r="GI77" s="57">
        <f t="shared" si="249"/>
        <v>0</v>
      </c>
      <c r="GJ77" s="57">
        <f t="shared" si="250"/>
        <v>0</v>
      </c>
      <c r="GK77" s="57">
        <f t="shared" si="251"/>
        <v>0</v>
      </c>
      <c r="GL77" s="1029">
        <f t="shared" si="405"/>
        <v>0</v>
      </c>
      <c r="GM77" s="57">
        <f t="shared" si="406"/>
        <v>0</v>
      </c>
      <c r="GN77" s="171" t="str">
        <f t="shared" si="407"/>
        <v/>
      </c>
      <c r="GO77" s="57">
        <f t="shared" si="252"/>
        <v>0</v>
      </c>
      <c r="GP77" s="57">
        <f>IF(OR(AND(GD$6=1,$L77=0),AND(GD$6=2,$K77=2,$G77=1)),0,IF(AND(GF$9=2,(OR($F77&gt;1,$K77=1,AND($L77=80,OR($N77=1,AND($N77=2,'#BerechnungDBE'!$AL68&gt;0)))))),IF(GD$4&gt;=$AD$126,0,GN77),IF(GF$9=3,IF(OR(GD$4&gt;=$AD$127,AND($G77=1,$J77=2,GD$6=2),AND(GD$6=1,$N77&lt;&gt;1)),0,IF(GH77&lt;=120,GN77,IF(GD$4&lt;$AD$124,IF($F77=1,60/GF$4*GF$6,60/GF$4*GF$7),IF($F77=1,120/GF$4*GF$6,120/GF$4*GF$7)))),IF(OR($F77=3,$G77=2),IF(OR(AND(GD$4&gt;=$AD$119,$C77=2),AND(GD$4&gt;=$AF$119,$C77=1)),0,IF(GH77&lt;=60,GN77,60/GF$4*GF$7)),IF(AND($F77=2,$G77=1),GN77,0)))))</f>
        <v>0</v>
      </c>
      <c r="GQ77" s="57" t="str">
        <f t="shared" si="76"/>
        <v/>
      </c>
      <c r="GR77" s="57" t="str">
        <f t="shared" si="408"/>
        <v/>
      </c>
      <c r="GS77" s="713">
        <f>'org. Düngung 22'!BD76</f>
        <v>0</v>
      </c>
      <c r="GT77" s="57"/>
      <c r="GU77" s="57"/>
      <c r="GV77" s="57">
        <f t="shared" si="78"/>
        <v>0</v>
      </c>
      <c r="GW77" s="57">
        <f t="shared" si="253"/>
        <v>0</v>
      </c>
      <c r="GX77" s="57">
        <f t="shared" si="254"/>
        <v>0</v>
      </c>
      <c r="GY77" s="57">
        <f t="shared" si="255"/>
        <v>0</v>
      </c>
      <c r="GZ77" s="57">
        <f t="shared" si="256"/>
        <v>0</v>
      </c>
      <c r="HA77" s="1029">
        <f t="shared" si="409"/>
        <v>0</v>
      </c>
      <c r="HB77" s="57">
        <f t="shared" si="410"/>
        <v>0</v>
      </c>
      <c r="HC77" s="171" t="str">
        <f t="shared" si="411"/>
        <v/>
      </c>
      <c r="HD77" s="57">
        <f t="shared" si="257"/>
        <v>0</v>
      </c>
      <c r="HE77" s="57">
        <f>IF(OR(AND(GS$6=1,$L77=0),AND(GS$6=2,$K77=2,$G77=1)),0,IF(AND(GU$9=2,(OR($F77&gt;1,$K77=1,AND($L77=80,OR($N77=1,AND($N77=2,'#BerechnungDBE'!$AL68&gt;0)))))),IF(GS$4&gt;=$AD$126,0,HC77),IF(GU$9=3,IF(OR(GS$4&gt;=$AD$127,AND($G77=1,$J77=2,GS$6=2),AND(GS$6=1,$N77&lt;&gt;1)),0,IF(GW77&lt;=120,HC77,IF(GS$4&lt;$AD$124,IF($F77=1,60/GU$4*GU$6,60/GU$4*GU$7),IF($F77=1,120/GU$4*GU$6,120/GU$4*GU$7)))),IF(OR($F77=3,$G77=2),IF(OR(AND(GS$4&gt;=$AD$119,$C77=2),AND(GS$4&gt;=$AF$119,$C77=1)),0,IF(GW77&lt;=60,HC77,60/GU$4*GU$7)),IF(AND($F77=2,$G77=1),HC77,0)))))</f>
        <v>0</v>
      </c>
      <c r="HF77" s="57" t="str">
        <f t="shared" si="82"/>
        <v/>
      </c>
      <c r="HG77" s="57" t="str">
        <f t="shared" si="412"/>
        <v/>
      </c>
      <c r="HH77" s="713">
        <f>'org. Düngung 22'!BH76</f>
        <v>0</v>
      </c>
      <c r="HI77" s="57"/>
      <c r="HJ77" s="57"/>
      <c r="HK77" s="57">
        <f t="shared" si="84"/>
        <v>0</v>
      </c>
      <c r="HL77" s="57">
        <f t="shared" si="258"/>
        <v>0</v>
      </c>
      <c r="HM77" s="57">
        <f t="shared" si="259"/>
        <v>0</v>
      </c>
      <c r="HN77" s="57">
        <f t="shared" si="260"/>
        <v>0</v>
      </c>
      <c r="HO77" s="57">
        <f t="shared" si="261"/>
        <v>0</v>
      </c>
      <c r="HP77" s="1029">
        <f t="shared" si="413"/>
        <v>0</v>
      </c>
      <c r="HQ77" s="57">
        <f t="shared" si="414"/>
        <v>0</v>
      </c>
      <c r="HR77" s="171" t="str">
        <f t="shared" si="415"/>
        <v/>
      </c>
      <c r="HS77" s="57">
        <f t="shared" si="262"/>
        <v>0</v>
      </c>
      <c r="HT77" s="57">
        <f>IF(OR(AND(HH$6=1,$L77=0),AND(HH$6=2,$K77=2,$G77=1)),0,IF(AND(HJ$9=2,(OR($F77&gt;1,$K77=1,AND($L77=80,OR($N77=1,AND($N77=2,'#BerechnungDBE'!$AL68&gt;0)))))),IF(HH$4&gt;=$AD$126,0,HR77),IF(HJ$9=3,IF(OR(HH$4&gt;=$AD$127,AND($G77=1,$J77=2,HH$6=2),AND(HH$6=1,$N77&lt;&gt;1)),0,IF(HL77&lt;=120,HR77,IF(HH$4&lt;$AD$124,IF($F77=1,60/HJ$4*HJ$6,60/HJ$4*HJ$7),IF($F77=1,120/HJ$4*HJ$6,120/HJ$4*HJ$7)))),IF(OR($F77=3,$G77=2),IF(OR(AND(HH$4&gt;=$AD$119,$C77=2),AND(HH$4&gt;=$AF$119,$C77=1)),0,IF(HL77&lt;=60,HR77,60/HJ$4*HJ$7)),IF(AND($F77=2,$G77=1),HR77,0)))))</f>
        <v>0</v>
      </c>
      <c r="HU77" s="57" t="str">
        <f t="shared" si="88"/>
        <v/>
      </c>
      <c r="HV77" s="57" t="str">
        <f t="shared" si="416"/>
        <v/>
      </c>
      <c r="HW77" s="713">
        <f>'org. Düngung 22'!BL76</f>
        <v>0</v>
      </c>
      <c r="HX77" s="57"/>
      <c r="HY77" s="57"/>
      <c r="HZ77" s="57">
        <f t="shared" si="90"/>
        <v>0</v>
      </c>
      <c r="IA77" s="57">
        <f t="shared" si="263"/>
        <v>0</v>
      </c>
      <c r="IB77" s="57">
        <f t="shared" si="264"/>
        <v>0</v>
      </c>
      <c r="IC77" s="57">
        <f t="shared" si="265"/>
        <v>0</v>
      </c>
      <c r="ID77" s="57">
        <f t="shared" si="266"/>
        <v>0</v>
      </c>
      <c r="IE77" s="1029">
        <f t="shared" si="417"/>
        <v>0</v>
      </c>
      <c r="IF77" s="57">
        <f t="shared" si="418"/>
        <v>0</v>
      </c>
      <c r="IG77" s="171" t="str">
        <f t="shared" si="419"/>
        <v/>
      </c>
      <c r="IH77" s="57">
        <f t="shared" si="267"/>
        <v>0</v>
      </c>
      <c r="II77" s="57">
        <f>IF(OR(AND(HW$6=1,$L77=0),AND(HW$6=2,$K77=2,$G77=1)),0,IF(AND(HY$9=2,(OR($F77&gt;1,$K77=1,AND($L77=80,OR($N77=1,AND($N77=2,'#BerechnungDBE'!$AL68&gt;0)))))),IF(HW$4&gt;=$AD$126,0,IG77),IF(HY$9=3,IF(OR(HW$4&gt;=$AD$127,AND($G77=1,$J77=2,HW$6=2),AND(HW$6=1,$N77&lt;&gt;1)),0,IF(IA77&lt;=120,IG77,IF(HW$4&lt;$AD$124,IF($F77=1,60/HY$4*HY$6,60/HY$4*HY$7),IF($F77=1,120/HY$4*HY$6,120/HY$4*HY$7)))),IF(OR($F77=3,$G77=2),IF(OR(AND(HW$4&gt;=$AD$119,$C77=2),AND(HW$4&gt;=$AF$119,$C77=1)),0,IF(IA77&lt;=60,IG77,60/HY$4*HY$7)),IF(AND($F77=2,$G77=1),IG77,0)))))</f>
        <v>0</v>
      </c>
      <c r="IJ77" s="57" t="str">
        <f t="shared" si="94"/>
        <v/>
      </c>
      <c r="IK77" s="57" t="str">
        <f t="shared" si="420"/>
        <v/>
      </c>
      <c r="IL77" s="713">
        <f>'org. Düngung 22'!BP76</f>
        <v>0</v>
      </c>
      <c r="IM77" s="57"/>
      <c r="IN77" s="57"/>
      <c r="IO77" s="57">
        <f t="shared" si="96"/>
        <v>0</v>
      </c>
      <c r="IP77" s="57">
        <f t="shared" si="268"/>
        <v>0</v>
      </c>
      <c r="IQ77" s="57">
        <f t="shared" si="269"/>
        <v>0</v>
      </c>
      <c r="IR77" s="57">
        <f t="shared" si="270"/>
        <v>0</v>
      </c>
      <c r="IS77" s="57">
        <f t="shared" si="271"/>
        <v>0</v>
      </c>
      <c r="IT77" s="1029">
        <f t="shared" si="421"/>
        <v>0</v>
      </c>
      <c r="IU77" s="57">
        <f t="shared" si="422"/>
        <v>0</v>
      </c>
      <c r="IV77" s="171" t="str">
        <f t="shared" si="423"/>
        <v/>
      </c>
      <c r="IW77" s="57">
        <f t="shared" si="272"/>
        <v>0</v>
      </c>
      <c r="IX77" s="57">
        <f>IF(OR(AND(IL$6=1,$L77=0),AND(IL$6=2,$K77=2,$G77=1)),0,IF(AND(IN$9=2,(OR($F77&gt;1,$K77=1,AND($L77=80,OR($N77=1,AND($N77=2,'#BerechnungDBE'!$AL68&gt;0)))))),IF(IL$4&gt;=$AD$126,0,IV77),IF(IN$9=3,IF(OR(IL$4&gt;=$AD$127,AND($G77=1,$J77=2,IL$6=2),AND(IL$6=1,$N77&lt;&gt;1)),0,IF(IP77&lt;=120,IV77,IF(IL$4&lt;$AD$124,IF($F77=1,60/IN$4*IN$6,60/IN$4*IN$7),IF($F77=1,120/IN$4*IN$6,120/IN$4*IN$7)))),IF(OR($F77=3,$G77=2),IF(OR(AND(IL$4&gt;=$AD$119,$C77=2),AND(IL$4&gt;=$AF$119,$C77=1)),0,IF(IP77&lt;=60,IV77,60/IN$4*IN$7)),IF(AND($F77=2,$G77=1),IV77,0)))))</f>
        <v>0</v>
      </c>
      <c r="IY77" s="57" t="str">
        <f t="shared" si="100"/>
        <v/>
      </c>
      <c r="IZ77" s="57" t="str">
        <f t="shared" si="424"/>
        <v/>
      </c>
      <c r="JA77" s="713">
        <f>'org. Düngung 22'!BT76</f>
        <v>0</v>
      </c>
      <c r="JB77" s="57"/>
      <c r="JC77" s="57"/>
      <c r="JD77" s="57">
        <f t="shared" si="102"/>
        <v>0</v>
      </c>
      <c r="JE77" s="57">
        <f t="shared" si="273"/>
        <v>0</v>
      </c>
      <c r="JF77" s="57">
        <f t="shared" si="274"/>
        <v>0</v>
      </c>
      <c r="JG77" s="57">
        <f t="shared" si="275"/>
        <v>0</v>
      </c>
      <c r="JH77" s="57">
        <f t="shared" si="276"/>
        <v>0</v>
      </c>
      <c r="JI77" s="1029">
        <f t="shared" si="425"/>
        <v>0</v>
      </c>
      <c r="JJ77" s="57">
        <f t="shared" si="426"/>
        <v>0</v>
      </c>
      <c r="JK77" s="171" t="str">
        <f t="shared" si="427"/>
        <v/>
      </c>
      <c r="JL77" s="57">
        <f t="shared" si="277"/>
        <v>0</v>
      </c>
      <c r="JM77" s="57">
        <f>IF(OR(AND(JA$6=1,$L77=0),AND(JA$6=2,$K77=2,$G77=1)),0,IF(AND(JC$9=2,(OR($F77&gt;1,$K77=1,AND($L77=80,OR($N77=1,AND($N77=2,'#BerechnungDBE'!$AL68&gt;0)))))),IF(JA$4&gt;=$AD$126,0,JK77),IF(JC$9=3,IF(OR(JA$4&gt;=$AD$127,AND($G77=1,$J77=2,JA$6=2),AND(JA$6=1,$N77&lt;&gt;1)),0,IF(JE77&lt;=120,JK77,IF(JA$4&lt;$AD$124,IF($F77=1,60/JC$4*JC$6,60/JC$4*JC$7),IF($F77=1,120/JC$4*JC$6,120/JC$4*JC$7)))),IF(OR($F77=3,$G77=2),IF(OR(AND(JA$4&gt;=$AD$119,$C77=2),AND(JA$4&gt;=$AF$119,$C77=1)),0,IF(JE77&lt;=60,JK77,60/JC$4*JC$7)),IF(AND($F77=2,$G77=1),JK77,0)))))</f>
        <v>0</v>
      </c>
      <c r="JN77" s="57" t="str">
        <f t="shared" si="106"/>
        <v/>
      </c>
      <c r="JO77" s="57" t="str">
        <f t="shared" si="428"/>
        <v/>
      </c>
      <c r="JP77" s="713">
        <f>'org. Düngung 22'!BX76</f>
        <v>0</v>
      </c>
      <c r="JQ77" s="57"/>
      <c r="JR77" s="57"/>
      <c r="JS77" s="57">
        <f t="shared" si="108"/>
        <v>0</v>
      </c>
      <c r="JT77" s="57">
        <f t="shared" si="278"/>
        <v>0</v>
      </c>
      <c r="JU77" s="57">
        <f t="shared" si="279"/>
        <v>0</v>
      </c>
      <c r="JV77" s="57">
        <f t="shared" si="280"/>
        <v>0</v>
      </c>
      <c r="JW77" s="57">
        <f t="shared" si="281"/>
        <v>0</v>
      </c>
      <c r="JX77" s="1029">
        <f t="shared" si="429"/>
        <v>0</v>
      </c>
      <c r="JY77" s="57">
        <f t="shared" si="430"/>
        <v>0</v>
      </c>
      <c r="JZ77" s="171" t="str">
        <f t="shared" si="431"/>
        <v/>
      </c>
      <c r="KA77" s="57">
        <f t="shared" si="282"/>
        <v>0</v>
      </c>
      <c r="KB77" s="57">
        <f>IF(OR(AND(JP$6=1,$L77=0),AND(JP$6=2,$K77=2,$G77=1)),0,IF(AND(JR$9=2,(OR($F77&gt;1,$K77=1,AND($L77=80,OR($N77=1,AND($N77=2,'#BerechnungDBE'!$AL68&gt;0)))))),IF(JP$4&gt;=$AD$126,0,JZ77),IF(JR$9=3,IF(OR(JP$4&gt;=$AD$127,AND($G77=1,$J77=2,JP$6=2),AND(JP$6=1,$N77&lt;&gt;1)),0,IF(JT77&lt;=120,JZ77,IF(JP$4&lt;$AD$124,IF($F77=1,60/JR$4*JR$6,60/JR$4*JR$7),IF($F77=1,120/JR$4*JR$6,120/JR$4*JR$7)))),IF(OR($F77=3,$G77=2),IF(OR(AND(JP$4&gt;=$AD$119,$C77=2),AND(JP$4&gt;=$AF$119,$C77=1)),0,IF(JT77&lt;=60,JZ77,60/JR$4*JR$7)),IF(AND($F77=2,$G77=1),JZ77,0)))))</f>
        <v>0</v>
      </c>
      <c r="KC77" s="57" t="str">
        <f t="shared" si="112"/>
        <v/>
      </c>
      <c r="KD77" s="57" t="str">
        <f t="shared" si="432"/>
        <v/>
      </c>
      <c r="KE77" s="713">
        <f>'org. Düngung 22'!CB76</f>
        <v>0</v>
      </c>
      <c r="KF77" s="57"/>
      <c r="KG77" s="57"/>
      <c r="KH77" s="57">
        <f t="shared" si="114"/>
        <v>0</v>
      </c>
      <c r="KI77" s="57">
        <f t="shared" si="283"/>
        <v>0</v>
      </c>
      <c r="KJ77" s="57">
        <f t="shared" si="284"/>
        <v>0</v>
      </c>
      <c r="KK77" s="57">
        <f t="shared" si="285"/>
        <v>0</v>
      </c>
      <c r="KL77" s="57">
        <f t="shared" si="286"/>
        <v>0</v>
      </c>
      <c r="KM77" s="1029">
        <f t="shared" si="433"/>
        <v>0</v>
      </c>
      <c r="KN77" s="57">
        <f t="shared" si="434"/>
        <v>0</v>
      </c>
      <c r="KO77" s="171" t="str">
        <f t="shared" si="435"/>
        <v/>
      </c>
      <c r="KP77" s="57">
        <f t="shared" si="287"/>
        <v>0</v>
      </c>
      <c r="KQ77" s="57">
        <f>IF(OR(AND(KE$6=1,$L77=0),AND(KE$6=2,$K77=2,$G77=1)),0,IF(AND(KG$9=2,(OR($F77&gt;1,$K77=1,AND($L77=80,OR($N77=1,AND($N77=2,'#BerechnungDBE'!$AL68&gt;0)))))),IF(KE$4&gt;=$AD$126,0,KO77),IF(KG$9=3,IF(OR(KE$4&gt;=$AD$127,AND($G77=1,$J77=2,KE$6=2),AND(KE$6=1,$N77&lt;&gt;1)),0,IF(KI77&lt;=120,KO77,IF(KE$4&lt;$AD$124,IF($F77=1,60/KG$4*KG$6,60/KG$4*KG$7),IF($F77=1,120/KG$4*KG$6,120/KG$4*KG$7)))),IF(OR($F77=3,$G77=2),IF(OR(AND(KE$4&gt;=$AD$119,$C77=2),AND(KE$4&gt;=$AF$119,$C77=1)),0,IF(KI77&lt;=60,KO77,60/KG$4*KG$7)),IF(AND($F77=2,$G77=1),KO77,0)))))</f>
        <v>0</v>
      </c>
      <c r="KR77" s="57" t="str">
        <f t="shared" si="118"/>
        <v/>
      </c>
      <c r="KS77" s="57" t="str">
        <f t="shared" si="436"/>
        <v/>
      </c>
      <c r="KT77" s="713">
        <f>'org. Düngung 22'!CF76</f>
        <v>0</v>
      </c>
      <c r="KU77" s="57"/>
      <c r="KV77" s="57"/>
      <c r="KW77" s="57">
        <f t="shared" si="120"/>
        <v>0</v>
      </c>
      <c r="KX77" s="57">
        <f t="shared" si="288"/>
        <v>0</v>
      </c>
      <c r="KY77" s="57">
        <f t="shared" si="289"/>
        <v>0</v>
      </c>
      <c r="KZ77" s="57">
        <f t="shared" si="290"/>
        <v>0</v>
      </c>
      <c r="LA77" s="57">
        <f t="shared" si="291"/>
        <v>0</v>
      </c>
      <c r="LB77" s="1029">
        <f t="shared" si="437"/>
        <v>0</v>
      </c>
      <c r="LC77" s="57">
        <f t="shared" si="438"/>
        <v>0</v>
      </c>
      <c r="LD77" s="171" t="str">
        <f t="shared" si="439"/>
        <v/>
      </c>
      <c r="LE77" s="57">
        <f t="shared" si="292"/>
        <v>0</v>
      </c>
      <c r="LF77" s="57">
        <f>IF(OR(AND(KT$6=1,$L77=0),AND(KT$6=2,$K77=2,$G77=1)),0,IF(AND(KV$9=2,(OR($F77&gt;1,$K77=1,AND($L77=80,OR($N77=1,AND($N77=2,'#BerechnungDBE'!$AL68&gt;0)))))),IF(KT$4&gt;=$AD$126,0,LD77),IF(KV$9=3,IF(OR(KT$4&gt;=$AD$127,AND($G77=1,$J77=2,KT$6=2),AND(KT$6=1,$N77&lt;&gt;1)),0,IF(KX77&lt;=120,LD77,IF(KT$4&lt;$AD$124,IF($F77=1,60/KV$4*KV$6,60/KV$4*KV$7),IF($F77=1,120/KV$4*KV$6,120/KV$4*KV$7)))),IF(OR($F77=3,$G77=2),IF(OR(AND(KT$4&gt;=$AD$119,$C77=2),AND(KT$4&gt;=$AF$119,$C77=1)),0,IF(KX77&lt;=60,LD77,60/KV$4*KV$7)),IF(AND($F77=2,$G77=1),LD77,0)))))</f>
        <v>0</v>
      </c>
      <c r="LG77" s="57" t="str">
        <f t="shared" si="124"/>
        <v/>
      </c>
      <c r="LH77" s="57" t="str">
        <f t="shared" si="440"/>
        <v/>
      </c>
      <c r="LI77" s="713">
        <f>'org. Düngung 22'!CJ76</f>
        <v>0</v>
      </c>
      <c r="LJ77" s="57"/>
      <c r="LK77" s="57"/>
      <c r="LL77" s="57">
        <f t="shared" si="126"/>
        <v>0</v>
      </c>
      <c r="LM77" s="57">
        <f t="shared" si="293"/>
        <v>0</v>
      </c>
      <c r="LN77" s="57">
        <f t="shared" si="294"/>
        <v>0</v>
      </c>
      <c r="LO77" s="57">
        <f t="shared" si="295"/>
        <v>0</v>
      </c>
      <c r="LP77" s="57">
        <f t="shared" si="296"/>
        <v>0</v>
      </c>
      <c r="LQ77" s="1029">
        <f t="shared" si="441"/>
        <v>0</v>
      </c>
      <c r="LR77" s="57">
        <f t="shared" si="442"/>
        <v>0</v>
      </c>
      <c r="LS77" s="171" t="str">
        <f t="shared" si="443"/>
        <v/>
      </c>
      <c r="LT77" s="57">
        <f t="shared" si="297"/>
        <v>0</v>
      </c>
      <c r="LU77" s="57">
        <f>IF(OR(AND(LI$6=1,$L77=0),AND(LI$6=2,$K77=2,$G77=1)),0,IF(AND(LK$9=2,(OR($F77&gt;1,$K77=1,AND($L77=80,OR($N77=1,AND($N77=2,'#BerechnungDBE'!$AL68&gt;0)))))),IF(LI$4&gt;=$AD$126,0,LS77),IF(LK$9=3,IF(OR(LI$4&gt;=$AD$127,AND($G77=1,$J77=2,LI$6=2),AND(LI$6=1,$N77&lt;&gt;1)),0,IF(LM77&lt;=120,LS77,IF(LI$4&lt;$AD$124,IF($F77=1,60/LK$4*LK$6,60/LK$4*LK$7),IF($F77=1,120/LK$4*LK$6,120/LK$4*LK$7)))),IF(OR($F77=3,$G77=2),IF(OR(AND(LI$4&gt;=$AD$119,$C77=2),AND(LI$4&gt;=$AF$119,$C77=1)),0,IF(LM77&lt;=60,LS77,60/LK$4*LK$7)),IF(AND($F77=2,$G77=1),LS77,0)))))</f>
        <v>0</v>
      </c>
      <c r="LV77" s="57" t="str">
        <f t="shared" si="130"/>
        <v/>
      </c>
      <c r="LW77" s="57" t="str">
        <f t="shared" si="444"/>
        <v/>
      </c>
      <c r="LX77" s="713">
        <f>'org. Düngung 22'!CN76</f>
        <v>0</v>
      </c>
      <c r="LY77" s="57"/>
      <c r="LZ77" s="57"/>
      <c r="MA77" s="57">
        <f t="shared" si="132"/>
        <v>0</v>
      </c>
      <c r="MB77" s="57">
        <f t="shared" si="298"/>
        <v>0</v>
      </c>
      <c r="MC77" s="57">
        <f t="shared" si="299"/>
        <v>0</v>
      </c>
      <c r="MD77" s="57">
        <f t="shared" si="300"/>
        <v>0</v>
      </c>
      <c r="ME77" s="57">
        <f t="shared" si="301"/>
        <v>0</v>
      </c>
      <c r="MF77" s="1029">
        <f t="shared" si="445"/>
        <v>0</v>
      </c>
      <c r="MG77" s="57">
        <f t="shared" si="446"/>
        <v>0</v>
      </c>
      <c r="MH77" s="171" t="str">
        <f t="shared" si="447"/>
        <v/>
      </c>
      <c r="MI77" s="57">
        <f t="shared" si="302"/>
        <v>0</v>
      </c>
      <c r="MJ77" s="57">
        <f>IF(OR(AND(LX$6=1,$L77=0),AND(LX$6=2,$K77=2,$G77=1)),0,IF(AND(LZ$9=2,(OR($F77&gt;1,$K77=1,AND($L77=80,OR($N77=1,AND($N77=2,'#BerechnungDBE'!$AL68&gt;0)))))),IF(LX$4&gt;=$AD$126,0,MH77),IF(LZ$9=3,IF(OR(LX$4&gt;=$AD$127,AND($G77=1,$J77=2,LX$6=2),AND(LX$6=1,$N77&lt;&gt;1)),0,IF(MB77&lt;=120,MH77,IF(LX$4&lt;$AD$124,IF($F77=1,60/LZ$4*LZ$6,60/LZ$4*LZ$7),IF($F77=1,120/LZ$4*LZ$6,120/LZ$4*LZ$7)))),IF(OR($F77=3,$G77=2),IF(OR(AND(LX$4&gt;=$AD$119,$C77=2),AND(LX$4&gt;=$AF$119,$C77=1)),0,IF(MB77&lt;=60,MH77,60/LZ$4*LZ$7)),IF(AND($F77=2,$G77=1),MH77,0)))))</f>
        <v>0</v>
      </c>
      <c r="MK77" s="57" t="str">
        <f t="shared" si="136"/>
        <v/>
      </c>
      <c r="ML77" s="57" t="str">
        <f t="shared" si="448"/>
        <v/>
      </c>
      <c r="MM77" s="713">
        <f>'org. Düngung 22'!CR76</f>
        <v>0</v>
      </c>
      <c r="MN77" s="57"/>
      <c r="MO77" s="57"/>
      <c r="MP77" s="57">
        <f t="shared" si="138"/>
        <v>0</v>
      </c>
      <c r="MQ77" s="57">
        <f t="shared" si="303"/>
        <v>0</v>
      </c>
      <c r="MR77" s="57">
        <f t="shared" si="304"/>
        <v>0</v>
      </c>
      <c r="MS77" s="57">
        <f t="shared" si="305"/>
        <v>0</v>
      </c>
      <c r="MT77" s="57">
        <f t="shared" si="306"/>
        <v>0</v>
      </c>
      <c r="MU77" s="1029">
        <f t="shared" si="449"/>
        <v>0</v>
      </c>
      <c r="MV77" s="57">
        <f t="shared" si="450"/>
        <v>0</v>
      </c>
      <c r="MW77" s="171" t="str">
        <f t="shared" si="451"/>
        <v/>
      </c>
      <c r="MX77" s="57">
        <f t="shared" si="307"/>
        <v>0</v>
      </c>
      <c r="MY77" s="57">
        <f>IF(OR(AND(MM$6=1,$L77=0),AND(MM$6=2,$K77=2,$G77=1)),0,IF(AND(MO$9=2,(OR($F77&gt;1,$K77=1,AND($L77=80,OR($N77=1,AND($N77=2,'#BerechnungDBE'!$AL68&gt;0)))))),IF(MM$4&gt;=$AD$126,0,MW77),IF(MO$9=3,IF(OR(MM$4&gt;=$AD$127,AND($G77=1,$J77=2,MM$6=2),AND(MM$6=1,$N77&lt;&gt;1)),0,IF(MQ77&lt;=120,MW77,IF(MM$4&lt;$AD$124,IF($F77=1,60/MO$4*MO$6,60/MO$4*MO$7),IF($F77=1,120/MO$4*MO$6,120/MO$4*MO$7)))),IF(OR($F77=3,$G77=2),IF(OR(AND(MM$4&gt;=$AD$119,$C77=2),AND(MM$4&gt;=$AF$119,$C77=1)),0,IF(MQ77&lt;=60,MW77,60/MO$4*MO$7)),IF(AND($F77=2,$G77=1),MW77,0)))))</f>
        <v>0</v>
      </c>
      <c r="MZ77" s="57" t="str">
        <f t="shared" si="142"/>
        <v/>
      </c>
      <c r="NA77" s="57" t="str">
        <f t="shared" si="452"/>
        <v/>
      </c>
      <c r="NB77" s="713">
        <f>'org. Düngung 22'!CV76</f>
        <v>0</v>
      </c>
      <c r="NC77" s="57"/>
      <c r="ND77" s="57"/>
      <c r="NE77" s="57">
        <f t="shared" si="144"/>
        <v>0</v>
      </c>
      <c r="NF77" s="57">
        <f t="shared" si="308"/>
        <v>0</v>
      </c>
      <c r="NG77" s="57">
        <f t="shared" si="309"/>
        <v>0</v>
      </c>
      <c r="NH77" s="57">
        <f t="shared" si="310"/>
        <v>0</v>
      </c>
      <c r="NI77" s="57">
        <f t="shared" si="311"/>
        <v>0</v>
      </c>
      <c r="NJ77" s="1029">
        <f t="shared" si="453"/>
        <v>0</v>
      </c>
      <c r="NK77" s="57">
        <f t="shared" si="454"/>
        <v>0</v>
      </c>
      <c r="NL77" s="171" t="str">
        <f t="shared" si="455"/>
        <v/>
      </c>
      <c r="NM77" s="57">
        <f t="shared" si="312"/>
        <v>0</v>
      </c>
      <c r="NN77" s="57">
        <f>IF(OR(AND(NB$6=1,$L77=0),AND(NB$6=2,$K77=2,$G77=1)),0,IF(AND(ND$9=2,(OR($F77&gt;1,$K77=1,AND($L77=80,OR($N77=1,AND($N77=2,'#BerechnungDBE'!$AL68&gt;0)))))),IF(NB$4&gt;=$AD$126,0,NL77),IF(ND$9=3,IF(OR(NB$4&gt;=$AD$127,AND($G77=1,$J77=2,NB$6=2),AND(NB$6=1,$N77&lt;&gt;1)),0,IF(NF77&lt;=120,NL77,IF(NB$4&lt;$AD$124,IF($F77=1,60/ND$4*ND$6,60/ND$4*ND$7),IF($F77=1,120/ND$4*ND$6,120/ND$4*ND$7)))),IF(OR($F77=3,$G77=2),IF(OR(AND(NB$4&gt;=$AD$119,$C77=2),AND(NB$4&gt;=$AF$119,$C77=1)),0,IF(NF77&lt;=60,NL77,60/ND$4*ND$7)),IF(AND($F77=2,$G77=1),NL77,0)))))</f>
        <v>0</v>
      </c>
      <c r="NO77" s="57" t="str">
        <f t="shared" si="148"/>
        <v/>
      </c>
      <c r="NP77" s="57" t="str">
        <f t="shared" si="456"/>
        <v/>
      </c>
      <c r="NQ77" s="713">
        <f>'org. Düngung 22'!CZ76</f>
        <v>0</v>
      </c>
      <c r="NR77" s="57"/>
      <c r="NS77" s="57"/>
      <c r="NT77" s="57">
        <f t="shared" si="150"/>
        <v>0</v>
      </c>
      <c r="NU77" s="57">
        <f t="shared" si="313"/>
        <v>0</v>
      </c>
      <c r="NV77" s="57">
        <f t="shared" si="314"/>
        <v>0</v>
      </c>
      <c r="NW77" s="57">
        <f t="shared" si="315"/>
        <v>0</v>
      </c>
      <c r="NX77" s="57">
        <f t="shared" si="316"/>
        <v>0</v>
      </c>
      <c r="NY77" s="1029">
        <f t="shared" si="457"/>
        <v>0</v>
      </c>
      <c r="NZ77" s="57">
        <f t="shared" si="458"/>
        <v>0</v>
      </c>
      <c r="OA77" s="171" t="str">
        <f t="shared" si="459"/>
        <v/>
      </c>
      <c r="OB77" s="57">
        <f t="shared" si="317"/>
        <v>0</v>
      </c>
      <c r="OC77" s="57">
        <f>IF(OR(AND(NQ$6=1,$L77=0),AND(NQ$6=2,$K77=2,$G77=1)),0,IF(AND(NS$9=2,(OR($F77&gt;1,$K77=1,AND($L77=80,OR($N77=1,AND($N77=2,'#BerechnungDBE'!$AL68&gt;0)))))),IF(NQ$4&gt;=$AD$126,0,OA77),IF(NS$9=3,IF(OR(NQ$4&gt;=$AD$127,AND($G77=1,$J77=2,NQ$6=2),AND(NQ$6=1,$N77&lt;&gt;1)),0,IF(NU77&lt;=120,OA77,IF(NQ$4&lt;$AD$124,IF($F77=1,60/NS$4*NS$6,60/NS$4*NS$7),IF($F77=1,120/NS$4*NS$6,120/NS$4*NS$7)))),IF(OR($F77=3,$G77=2),IF(OR(AND(NQ$4&gt;=$AD$119,$C77=2),AND(NQ$4&gt;=$AF$119,$C77=1)),0,IF(NU77&lt;=60,OA77,60/NS$4*NS$7)),IF(AND($F77=2,$G77=1),OA77,0)))))</f>
        <v>0</v>
      </c>
      <c r="OD77" s="57" t="str">
        <f t="shared" si="154"/>
        <v/>
      </c>
      <c r="OE77" s="57" t="str">
        <f t="shared" si="460"/>
        <v/>
      </c>
      <c r="OF77" s="713">
        <f>'org. Düngung 22'!DD76</f>
        <v>0</v>
      </c>
      <c r="OG77" s="57"/>
      <c r="OH77" s="57"/>
      <c r="OI77" s="57">
        <f t="shared" si="156"/>
        <v>0</v>
      </c>
      <c r="OJ77" s="57">
        <f t="shared" si="318"/>
        <v>0</v>
      </c>
      <c r="OK77" s="57">
        <f t="shared" si="319"/>
        <v>0</v>
      </c>
      <c r="OL77" s="57">
        <f t="shared" si="320"/>
        <v>0</v>
      </c>
      <c r="OM77" s="57">
        <f t="shared" si="321"/>
        <v>0</v>
      </c>
      <c r="ON77" s="1029">
        <f t="shared" si="461"/>
        <v>0</v>
      </c>
      <c r="OO77" s="57">
        <f t="shared" si="462"/>
        <v>0</v>
      </c>
      <c r="OP77" s="171" t="str">
        <f t="shared" si="463"/>
        <v/>
      </c>
      <c r="OQ77" s="57">
        <f t="shared" si="322"/>
        <v>0</v>
      </c>
      <c r="OR77" s="57">
        <f>IF(OR(AND(OF$6=1,$L77=0),AND(OF$6=2,$K77=2,$G77=1)),0,IF(AND(OH$9=2,(OR($F77&gt;1,$K77=1,AND($L77=80,OR($N77=1,AND($N77=2,'#BerechnungDBE'!$AL68&gt;0)))))),IF(OF$4&gt;=$AD$126,0,OP77),IF(OH$9=3,IF(OR(OF$4&gt;=$AD$127,AND($G77=1,$J77=2,OF$6=2),AND(OF$6=1,$N77&lt;&gt;1)),0,IF(OJ77&lt;=120,OP77,IF(OF$4&lt;$AD$124,IF($F77=1,60/OH$4*OH$6,60/OH$4*OH$7),IF($F77=1,120/OH$4*OH$6,120/OH$4*OH$7)))),IF(OR($F77=3,$G77=2),IF(OR(AND(OF$4&gt;=$AD$119,$C77=2),AND(OF$4&gt;=$AF$119,$C77=1)),0,IF(OJ77&lt;=60,OP77,60/OH$4*OH$7)),IF(AND($F77=2,$G77=1),OP77,0)))))</f>
        <v>0</v>
      </c>
      <c r="OS77" s="57" t="str">
        <f t="shared" si="160"/>
        <v/>
      </c>
      <c r="OT77" s="57" t="str">
        <f t="shared" si="464"/>
        <v/>
      </c>
      <c r="OU77" s="713">
        <f>'org. Düngung 22'!DH76</f>
        <v>0</v>
      </c>
      <c r="OV77" s="57"/>
      <c r="OW77" s="57"/>
      <c r="OX77" s="57">
        <f t="shared" si="162"/>
        <v>0</v>
      </c>
      <c r="OY77" s="57">
        <f t="shared" si="323"/>
        <v>0</v>
      </c>
      <c r="OZ77" s="57">
        <f t="shared" si="324"/>
        <v>0</v>
      </c>
      <c r="PA77" s="57">
        <f t="shared" si="325"/>
        <v>0</v>
      </c>
      <c r="PB77" s="57">
        <f t="shared" si="326"/>
        <v>0</v>
      </c>
      <c r="PC77" s="1029">
        <f t="shared" si="465"/>
        <v>0</v>
      </c>
      <c r="PD77" s="57">
        <f t="shared" si="466"/>
        <v>0</v>
      </c>
      <c r="PE77" s="171" t="str">
        <f t="shared" si="467"/>
        <v/>
      </c>
      <c r="PF77" s="57">
        <f t="shared" si="327"/>
        <v>0</v>
      </c>
      <c r="PG77" s="57">
        <f>IF(OR(AND(OU$6=1,$L77=0),AND(OU$6=2,$K77=2,$G77=1)),0,IF(AND(OW$9=2,(OR($F77&gt;1,$K77=1,AND($L77=80,OR($N77=1,AND($N77=2,'#BerechnungDBE'!$AL68&gt;0)))))),IF(OU$4&gt;=$AD$126,0,PE77),IF(OW$9=3,IF(OR(OU$4&gt;=$AD$127,AND($G77=1,$J77=2,OU$6=2),AND(OU$6=1,$N77&lt;&gt;1)),0,IF(OY77&lt;=120,PE77,IF(OU$4&lt;$AD$124,IF($F77=1,60/OW$4*OW$6,60/OW$4*OW$7),IF($F77=1,120/OW$4*OW$6,120/OW$4*OW$7)))),IF(OR($F77=3,$G77=2),IF(OR(AND(OU$4&gt;=$AD$119,$C77=2),AND(OU$4&gt;=$AF$119,$C77=1)),0,IF(OY77&lt;=60,PE77,60/OW$4*OW$7)),IF(AND($F77=2,$G77=1),PE77,0)))))</f>
        <v>0</v>
      </c>
      <c r="PH77" s="57" t="str">
        <f t="shared" si="166"/>
        <v/>
      </c>
      <c r="PI77" s="57" t="str">
        <f t="shared" si="468"/>
        <v/>
      </c>
      <c r="PJ77" s="713">
        <f>'org. Düngung 22'!DL76</f>
        <v>0</v>
      </c>
      <c r="PK77" s="57"/>
      <c r="PL77" s="57"/>
      <c r="PM77" s="57">
        <f t="shared" si="168"/>
        <v>0</v>
      </c>
      <c r="PN77" s="57">
        <f t="shared" si="328"/>
        <v>0</v>
      </c>
      <c r="PO77" s="57">
        <f t="shared" si="329"/>
        <v>0</v>
      </c>
      <c r="PP77" s="57">
        <f t="shared" si="330"/>
        <v>0</v>
      </c>
      <c r="PQ77" s="57">
        <f t="shared" si="331"/>
        <v>0</v>
      </c>
      <c r="PR77" s="1029">
        <f t="shared" si="469"/>
        <v>0</v>
      </c>
      <c r="PS77" s="57">
        <f t="shared" si="470"/>
        <v>0</v>
      </c>
      <c r="PT77" s="171" t="str">
        <f t="shared" si="471"/>
        <v/>
      </c>
      <c r="PU77" s="57">
        <f t="shared" si="332"/>
        <v>0</v>
      </c>
      <c r="PV77" s="57">
        <f>IF(OR(AND(PJ$6=1,$L77=0),AND(PJ$6=2,$K77=2,$G77=1)),0,IF(AND(PL$9=2,(OR($F77&gt;1,$K77=1,AND($L77=80,OR($N77=1,AND($N77=2,'#BerechnungDBE'!$AL68&gt;0)))))),IF(PJ$4&gt;=$AD$126,0,PT77),IF(PL$9=3,IF(OR(PJ$4&gt;=$AD$127,AND($G77=1,$J77=2,PJ$6=2),AND(PJ$6=1,$N77&lt;&gt;1)),0,IF(PN77&lt;=120,PT77,IF(PJ$4&lt;$AD$124,IF($F77=1,60/PL$4*PL$6,60/PL$4*PL$7),IF($F77=1,120/PL$4*PL$6,120/PL$4*PL$7)))),IF(OR($F77=3,$G77=2),IF(OR(AND(PJ$4&gt;=$AD$119,$C77=2),AND(PJ$4&gt;=$AF$119,$C77=1)),0,IF(PN77&lt;=60,PT77,60/PL$4*PL$7)),IF(AND($F77=2,$G77=1),PT77,0)))))</f>
        <v>0</v>
      </c>
      <c r="PW77" s="57" t="str">
        <f t="shared" si="172"/>
        <v/>
      </c>
      <c r="PX77" s="57" t="str">
        <f t="shared" si="472"/>
        <v/>
      </c>
      <c r="PY77" s="713">
        <f>'org. Düngung 22'!DP76</f>
        <v>0</v>
      </c>
      <c r="PZ77" s="57"/>
      <c r="QA77" s="57"/>
      <c r="QB77" s="57">
        <f t="shared" si="174"/>
        <v>0</v>
      </c>
      <c r="QC77" s="57">
        <f t="shared" si="333"/>
        <v>0</v>
      </c>
      <c r="QD77" s="57">
        <f t="shared" si="334"/>
        <v>0</v>
      </c>
      <c r="QE77" s="57">
        <f t="shared" si="335"/>
        <v>0</v>
      </c>
      <c r="QF77" s="57">
        <f t="shared" si="336"/>
        <v>0</v>
      </c>
      <c r="QG77" s="1029">
        <f t="shared" si="473"/>
        <v>0</v>
      </c>
      <c r="QH77" s="57">
        <f t="shared" si="474"/>
        <v>0</v>
      </c>
      <c r="QI77" s="171" t="str">
        <f t="shared" si="475"/>
        <v/>
      </c>
      <c r="QJ77" s="57">
        <f t="shared" si="337"/>
        <v>0</v>
      </c>
      <c r="QK77" s="57">
        <f>IF(OR(AND(PY$6=1,$L77=0),AND(PY$6=2,$K77=2,$G77=1)),0,IF(AND(QA$9=2,(OR($F77&gt;1,$K77=1,AND($L77=80,OR($N77=1,AND($N77=2,'#BerechnungDBE'!$AL68&gt;0)))))),IF(PY$4&gt;=$AD$126,0,QI77),IF(QA$9=3,IF(OR(PY$4&gt;=$AD$127,AND($G77=1,$J77=2,PY$6=2),AND(PY$6=1,$N77&lt;&gt;1)),0,IF(QC77&lt;=120,QI77,IF(PY$4&lt;$AD$124,IF($F77=1,60/QA$4*QA$6,60/QA$4*QA$7),IF($F77=1,120/QA$4*QA$6,120/QA$4*QA$7)))),IF(OR($F77=3,$G77=2),IF(OR(AND(PY$4&gt;=$AD$119,$C77=2),AND(PY$4&gt;=$AF$119,$C77=1)),0,IF(QC77&lt;=60,QI77,60/QA$4*QA$7)),IF(AND($F77=2,$G77=1),QI77,0)))))</f>
        <v>0</v>
      </c>
      <c r="QL77" s="57" t="str">
        <f t="shared" si="178"/>
        <v/>
      </c>
      <c r="QM77" s="57" t="str">
        <f t="shared" si="476"/>
        <v/>
      </c>
      <c r="QN77" s="713">
        <f>'org. Düngung 22'!DT76</f>
        <v>0</v>
      </c>
      <c r="QO77" s="57"/>
      <c r="QP77" s="57"/>
      <c r="QQ77" s="57">
        <f t="shared" si="180"/>
        <v>0</v>
      </c>
      <c r="QR77" s="57">
        <f t="shared" si="338"/>
        <v>0</v>
      </c>
      <c r="QS77" s="57">
        <f t="shared" si="339"/>
        <v>0</v>
      </c>
      <c r="QT77" s="57">
        <f t="shared" si="340"/>
        <v>0</v>
      </c>
      <c r="QU77" s="57">
        <f t="shared" si="341"/>
        <v>0</v>
      </c>
      <c r="QV77" s="1029">
        <f t="shared" si="477"/>
        <v>0</v>
      </c>
      <c r="QW77" s="57">
        <f t="shared" si="478"/>
        <v>0</v>
      </c>
      <c r="QX77" s="171" t="str">
        <f t="shared" si="479"/>
        <v/>
      </c>
      <c r="QY77" s="57">
        <f t="shared" si="342"/>
        <v>0</v>
      </c>
      <c r="QZ77" s="57">
        <f>IF(OR(AND(QN$6=1,$L77=0),AND(QN$6=2,$K77=2,$G77=1)),0,IF(AND(QP$9=2,(OR($F77&gt;1,$K77=1,AND($L77=80,OR($N77=1,AND($N77=2,'#BerechnungDBE'!$AL68&gt;0)))))),IF(QN$4&gt;=$AD$126,0,QX77),IF(QP$9=3,IF(OR(QN$4&gt;=$AD$127,AND($G77=1,$J77=2,QN$6=2),AND(QN$6=1,$N77&lt;&gt;1)),0,IF(QR77&lt;=120,QX77,IF(QN$4&lt;$AD$124,IF($F77=1,60/QP$4*QP$6,60/QP$4*QP$7),IF($F77=1,120/QP$4*QP$6,120/QP$4*QP$7)))),IF(OR($F77=3,$G77=2),IF(OR(AND(QN$4&gt;=$AD$119,$C77=2),AND(QN$4&gt;=$AF$119,$C77=1)),0,IF(QR77&lt;=60,QX77,60/QP$4*QP$7)),IF(AND($F77=2,$G77=1),QX77,0)))))</f>
        <v>0</v>
      </c>
      <c r="RA77" s="57" t="str">
        <f t="shared" si="184"/>
        <v/>
      </c>
      <c r="RB77" s="57" t="str">
        <f t="shared" si="480"/>
        <v/>
      </c>
      <c r="RC77" s="713">
        <f>'org. Düngung 22'!DX76</f>
        <v>0</v>
      </c>
      <c r="RD77" s="57"/>
      <c r="RE77" s="57"/>
      <c r="RF77" s="57">
        <f t="shared" si="186"/>
        <v>0</v>
      </c>
      <c r="RG77" s="57">
        <f t="shared" si="343"/>
        <v>0</v>
      </c>
      <c r="RH77" s="57">
        <f t="shared" si="344"/>
        <v>0</v>
      </c>
      <c r="RI77" s="57">
        <f t="shared" si="345"/>
        <v>0</v>
      </c>
      <c r="RJ77" s="57">
        <f t="shared" si="346"/>
        <v>0</v>
      </c>
      <c r="RK77" s="1029">
        <f t="shared" si="481"/>
        <v>0</v>
      </c>
      <c r="RL77" s="57">
        <f t="shared" si="482"/>
        <v>0</v>
      </c>
      <c r="RM77" s="171" t="str">
        <f t="shared" si="483"/>
        <v/>
      </c>
      <c r="RN77" s="57">
        <f t="shared" si="347"/>
        <v>0</v>
      </c>
      <c r="RO77" s="57">
        <f>IF(OR(AND(RC$6=1,$L77=0),AND(RC$6=2,$K77=2,$G77=1)),0,IF(AND(RE$9=2,(OR($F77&gt;1,$K77=1,AND($L77=80,OR($N77=1,AND($N77=2,'#BerechnungDBE'!$AL68&gt;0)))))),IF(RC$4&gt;=$AD$126,0,RM77),IF(RE$9=3,IF(OR(RC$4&gt;=$AD$127,AND($G77=1,$J77=2,RC$6=2),AND(RC$6=1,$N77&lt;&gt;1)),0,IF(RG77&lt;=120,RM77,IF(RC$4&lt;$AD$124,IF($F77=1,60/RE$4*RE$6,60/RE$4*RE$7),IF($F77=1,120/RE$4*RE$6,120/RE$4*RE$7)))),IF(OR($F77=3,$G77=2),IF(OR(AND(RC$4&gt;=$AD$119,$C77=2),AND(RC$4&gt;=$AF$119,$C77=1)),0,IF(RG77&lt;=60,RM77,60/RE$4*RE$7)),IF(AND($F77=2,$G77=1),RM77,0)))))</f>
        <v>0</v>
      </c>
      <c r="RP77" s="57" t="str">
        <f t="shared" si="190"/>
        <v/>
      </c>
      <c r="RQ77" s="57" t="str">
        <f t="shared" si="484"/>
        <v/>
      </c>
      <c r="RS77" s="57" t="str">
        <f t="shared" si="488"/>
        <v/>
      </c>
      <c r="RT77" s="57" t="str">
        <f t="shared" si="485"/>
        <v/>
      </c>
      <c r="RU77" s="57" t="str">
        <f t="shared" si="486"/>
        <v/>
      </c>
      <c r="RV77" s="57" t="str">
        <f>IF(Z77&gt;'#BerechnungDBE'!BM68,$RV$9,"")</f>
        <v/>
      </c>
      <c r="RW77" s="57" t="str">
        <f>IF(AND(L77=70,AE77&gt;'#BerechnungDBE'!CQ68),$RW$9,"")</f>
        <v/>
      </c>
      <c r="RX77" s="57" t="str">
        <f>IF(OR('org. Düngung 22'!G76="--",'org. Düngung 22'!G76&lt;=170,'org. Düngung 22'!G76=""),"",$RX$9)</f>
        <v/>
      </c>
      <c r="RY77" s="57" t="str">
        <f>IF('org. Düngung 22'!K76&gt;120,'#orgDung'!$RY$9,"")</f>
        <v/>
      </c>
      <c r="RZ77" s="57" t="str">
        <f>IF('#BerechnungDBE'!P68&lt;4,"",IF(AND('#BerechnungDBE'!BZ68&gt;0,T77&gt;0),'#orgDung'!$RZ$9,""))</f>
        <v/>
      </c>
      <c r="SA77" s="57" t="str">
        <f t="shared" si="487"/>
        <v/>
      </c>
    </row>
    <row r="78" spans="1:495" s="875" customFormat="1" x14ac:dyDescent="0.2">
      <c r="A78" s="875">
        <f>'Flächen u. Kulturen'!A74</f>
        <v>65</v>
      </c>
      <c r="B78" s="367">
        <f>'#BerechnungDBE'!L69</f>
        <v>0</v>
      </c>
      <c r="C78" s="875">
        <f>'#BerechnungDBE'!R69</f>
        <v>1</v>
      </c>
      <c r="D78" s="875">
        <f>'#BerechnungDBE'!T69</f>
        <v>2</v>
      </c>
      <c r="E78" s="875" t="str">
        <f>'Flächen u. Kulturen'!E74</f>
        <v>x</v>
      </c>
      <c r="F78" s="52">
        <f>'#BerechnungDBE'!N69</f>
        <v>1</v>
      </c>
      <c r="G78" s="52">
        <f>'#BerechnungDBE'!O69</f>
        <v>1</v>
      </c>
      <c r="H78" s="875">
        <f>IF('Flächen u. Kulturen'!P74="",0,VLOOKUP('Flächen u. Kulturen'!P74,Kulturen[[HF]:[Berechnungsgruppe]],'#Frucht'!$H$1,FALSE))</f>
        <v>0</v>
      </c>
      <c r="I78" s="875">
        <f>IF('Flächen u. Kulturen'!J74="",0,VLOOKUP('Flächen u. Kulturen'!J74,Kulturen[[HF]:[Berechnungsgruppe]],'#Frucht'!$G$1,FALSE))</f>
        <v>90</v>
      </c>
      <c r="J78" s="505">
        <f t="shared" si="195"/>
        <v>2</v>
      </c>
      <c r="K78" s="505">
        <f>IF('Flächen u. Kulturen'!P74="",0,IF(VLOOKUP('Flächen u. Kulturen'!P74,Kulturen[[HF]:[Saat Winterungen]],'#Frucht'!$P$1,FALSE)&gt;0,1,2))</f>
        <v>2</v>
      </c>
      <c r="L78" s="875">
        <f>'#BerechnungDBE'!AF69</f>
        <v>0</v>
      </c>
      <c r="M78" s="875">
        <f>IF('Flächen u. Kulturen'!L74="",0,VLOOKUP('Flächen u. Kulturen'!L74,Nebenkultur[[Nebenkultur]:[Legum. Zwischenfr.]],'#Zweitfr'!$K$1,FALSE))</f>
        <v>0</v>
      </c>
      <c r="N78" s="875">
        <f>'#BerechnungDBE'!AG69</f>
        <v>0</v>
      </c>
      <c r="P78" s="57">
        <f t="shared" ref="P78:P113" si="489">SUMIF($AJ$13:$XFD$13,$AN$13,AJ78:XFD78)+AG78</f>
        <v>0</v>
      </c>
      <c r="Q78" s="57">
        <f t="shared" ref="Q78:Q113" si="490">IF(E78="x",SUMIF($AJ$12:$XFD$12,$AN$13,AJ78:XFD78),0)</f>
        <v>0</v>
      </c>
      <c r="R78" s="875">
        <f t="shared" ref="R78:R113" si="491">SUMIF($AJ$13:$XFD$13,$AP$13,AJ78:XFD78)+AG78</f>
        <v>0</v>
      </c>
      <c r="S78" s="938" t="str">
        <f t="shared" si="3"/>
        <v/>
      </c>
      <c r="T78" s="875">
        <f t="shared" ref="T78:T113" si="492">SUMIF($AJ$13:$XFD$13,$AQ$13,AJ78:XFD78)+AH78</f>
        <v>0</v>
      </c>
      <c r="U78" s="875">
        <f t="shared" ref="U78:U113" si="493">SUMIF($AJ$13:$XFD$13,$AR$13,AJ78:XFD78)</f>
        <v>0</v>
      </c>
      <c r="V78" s="875">
        <f t="shared" ref="V78:V113" si="494">SUMIF($AJ$13:$XFD$13,$AS$13,AJ78:XFD78)</f>
        <v>0</v>
      </c>
      <c r="W78" s="875">
        <f t="shared" ref="W78:W113" si="495">SUMIF($AJ$13:$XFD$13,$AT$13,AJ78:XFD78)</f>
        <v>0</v>
      </c>
      <c r="X78" s="875">
        <f t="shared" ref="X78:X113" si="496">SUMIF($AJ$13:$XFD$13,$AU$13,AJ78:XFD78)</f>
        <v>0</v>
      </c>
      <c r="Y78" s="875">
        <f t="shared" si="349"/>
        <v>0</v>
      </c>
      <c r="Z78" s="875">
        <f t="shared" si="350"/>
        <v>0</v>
      </c>
      <c r="AA78" s="910">
        <f t="shared" ref="AA78:AA113" si="497">SUMIF($AJ$13:$XFD$13,$AV$13,AJ78:XFD78)</f>
        <v>0</v>
      </c>
      <c r="AB78" s="57">
        <f t="shared" si="351"/>
        <v>0</v>
      </c>
      <c r="AC78" s="875">
        <f t="shared" ref="AC78:AC113" si="498">P78-U78-AG78</f>
        <v>0</v>
      </c>
      <c r="AD78" s="875">
        <f t="shared" ref="AD78:AD113" si="499">SUMIF($AJ$13:$XFD$13,$AX$13,AJ78:XFD78)</f>
        <v>0</v>
      </c>
      <c r="AE78" s="875">
        <f t="shared" ref="AE78:AE113" si="500">SUMIF($AJ$13:$XFD$13,$AW$13,AJ78:XFD78)</f>
        <v>0</v>
      </c>
      <c r="AF78" s="875">
        <f t="shared" si="352"/>
        <v>0</v>
      </c>
      <c r="AG78" s="875">
        <f>'org. Düngung 22'!J77</f>
        <v>0</v>
      </c>
      <c r="AH78" s="875">
        <f>'org. Düngung 22'!K77</f>
        <v>0</v>
      </c>
      <c r="AJ78" s="713">
        <f>'org. Düngung 22'!L77</f>
        <v>0</v>
      </c>
      <c r="AK78" s="57"/>
      <c r="AL78" s="57"/>
      <c r="AM78" s="57">
        <f t="shared" si="196"/>
        <v>0</v>
      </c>
      <c r="AN78" s="57">
        <f t="shared" si="197"/>
        <v>0</v>
      </c>
      <c r="AO78" s="57">
        <f t="shared" si="198"/>
        <v>0</v>
      </c>
      <c r="AP78" s="57">
        <f t="shared" si="199"/>
        <v>0</v>
      </c>
      <c r="AQ78" s="57">
        <f t="shared" si="200"/>
        <v>0</v>
      </c>
      <c r="AR78" s="1029">
        <f t="shared" ref="AR78:AR113" si="501">IF(AJ$6&gt;1,AN78,        IF($L78=70,"",         IF(OR($L78=0,$N78=2),AN78, IF(AJ$4&gt;=$C$133,AN78,IF(AN78&lt;60,0,AN78-60)))))</f>
        <v>0</v>
      </c>
      <c r="AS78" s="57">
        <f t="shared" ref="AS78:AS113" si="502">IF(OR(AJ$6&lt;&gt;2,$J78=2,$F78&gt;1),0,IF(AL$9=2,0,IF(AND(OR(AL$9=3,AL$9=1),AJ$4&lt;$C$133),IF(AN78&lt;=60,AJ78*AL$5,60/AL$4*AL$5),0)))</f>
        <v>0</v>
      </c>
      <c r="AT78" s="171" t="str">
        <f t="shared" ref="AT78:AT113" si="503">IF(OR(AL$4=0,AJ$6=3),"",         IF(AJ$6=1,      IF($L78=70,"",IF($F78=1,AR78/AL$4*AL$6,AR78/AL$4*AL$7)),      IF($F78&gt;1,AJ78*AL$7,   IF(OR($J78=2,AJ$4&gt;=$C$133,AL$9=2),AJ78*AL$6,IF(AN78&lt;=60,0,(AN78-60)/AL$4*AL$6)))))</f>
        <v/>
      </c>
      <c r="AU78" s="57">
        <f t="shared" si="201"/>
        <v>0</v>
      </c>
      <c r="AV78" s="57">
        <f>IF(OR(AND(AJ$6=1,$L78=0),AND(AJ$6=2,$K78=2,$G78=1)),0,IF(AND(AL$9=2,(OR($F78&gt;1,$K78=1,AND($L78=80,OR($N78=1,AND($N78=2,'#BerechnungDBE'!$AL69&gt;0)))))),IF(AJ$4&gt;=$AD$126,0,AT78),IF(AL$9=3,IF(OR(AJ$4&gt;=$AD$127,AND($G78=1,$J78=2,AJ$6=2),AND(AJ$6=1,$N78&lt;&gt;1)),0,IF(AN78&lt;=120,AT78,IF(AJ$4&lt;$AD$124,IF($F78=1,60/AL$4*AL$6,60/AL$4*AL$7),IF($F78=1,120/AL$4*AL$6,120/AL$4*AL$7)))),IF(OR($F78=3,$G78=2),IF(OR(AND(AJ$4&gt;=$AD$119,$C78=2),AND(AJ$4&gt;=$AF$119,$C78=1)),0,IF(AN78&lt;=60,AT78,60/AL$4*AL$7)),IF(AND($F78=2,$G78=1),AT78,0)))))</f>
        <v>0</v>
      </c>
      <c r="AW78" s="57" t="str">
        <f t="shared" si="202"/>
        <v/>
      </c>
      <c r="AX78" s="57" t="str">
        <f t="shared" ref="AX78:AX113" si="504">IF(AND(AJ$6=1,$L78=80),IF(OR($N78=2,AJ$4&gt;=$C$133),0,IF(AN78&lt;=60,AJ78*AL$5,60/AL$4*AL$5)),"")</f>
        <v/>
      </c>
      <c r="AY78" s="713">
        <f>'org. Düngung 22'!P77</f>
        <v>0</v>
      </c>
      <c r="AZ78" s="57"/>
      <c r="BA78" s="57"/>
      <c r="BB78" s="57">
        <f t="shared" ref="BB78:BB113" si="505">AY78*$B78</f>
        <v>0</v>
      </c>
      <c r="BC78" s="57">
        <f t="shared" si="203"/>
        <v>0</v>
      </c>
      <c r="BD78" s="57">
        <f t="shared" si="204"/>
        <v>0</v>
      </c>
      <c r="BE78" s="57">
        <f t="shared" si="205"/>
        <v>0</v>
      </c>
      <c r="BF78" s="57">
        <f t="shared" si="206"/>
        <v>0</v>
      </c>
      <c r="BG78" s="1029">
        <f t="shared" ref="BG78:BG113" si="506">IF(AY$6&gt;1,BC78,        IF($L78=70,"",         IF(OR($L78=0,$N78=2),BC78, IF(AY$4&gt;=$C$133,BC78,IF(BC78&lt;60,0,BC78-60)))))</f>
        <v>0</v>
      </c>
      <c r="BH78" s="57">
        <f t="shared" ref="BH78:BH113" si="507">IF(OR(AY$6&lt;&gt;2,$J78=2,$F78&gt;1),0,IF(BA$9=2,0,IF(AND(OR(BA$9=3,BA$9=1),AY$4&lt;$C$133),IF(BC78&lt;=60,AY78*BA$5,60/BA$4*BA$5),0)))</f>
        <v>0</v>
      </c>
      <c r="BI78" s="171" t="str">
        <f t="shared" ref="BI78:BI113" si="508">IF(OR(BA$4=0,AY$6=3),"",         IF(AY$6=1,      IF($L78=70,"",IF($F78=1,BG78/BA$4*BA$6,BG78/BA$4*BA$7)),      IF($F78&gt;1,AY78*BA$7,   IF(OR($J78=2,AY$4&gt;=$C$133,BA$9=2),AY78*BA$6,IF(BC78&lt;=60,0,(BC78-60)/BA$4*BA$6)))))</f>
        <v/>
      </c>
      <c r="BJ78" s="57">
        <f t="shared" si="207"/>
        <v>0</v>
      </c>
      <c r="BK78" s="57">
        <f>IF(OR(AND(AY$6=1,$L78=0),AND(AY$6=2,$K78=2,$G78=1)),0,IF(AND(BA$9=2,(OR($F78&gt;1,$K78=1,AND($L78=80,OR($N78=1,AND($N78=2,'#BerechnungDBE'!$AL69&gt;0)))))),IF(AY$4&gt;=$AD$126,0,BI78),IF(BA$9=3,IF(OR(AY$4&gt;=$AD$127,AND($G78=1,$J78=2,AY$6=2),AND(AY$6=1,$N78&lt;&gt;1)),0,IF(BC78&lt;=120,BI78,IF(AY$4&lt;$AD$124,IF($F78=1,60/BA$4*BA$6,60/BA$4*BA$7),IF($F78=1,120/BA$4*BA$6,120/BA$4*BA$7)))),IF(OR($F78=3,$G78=2),IF(OR(AND(AY$4&gt;=$AD$119,$C78=2),AND(AY$4&gt;=$AF$119,$C78=1)),0,IF(BC78&lt;=60,BI78,60/BA$4*BA$7)),IF(AND($F78=2,$G78=1),BI78,0)))))</f>
        <v>0</v>
      </c>
      <c r="BL78" s="57" t="str">
        <f t="shared" ref="BL78:BL113" si="509">IF(OR(AY$6&lt;&gt;1,$L78=80),"",IF($M78=1,AY78*BA$6,AY78*BA$7))</f>
        <v/>
      </c>
      <c r="BM78" s="57" t="str">
        <f t="shared" ref="BM78:BM113" si="510">IF(AND(AY$6=1,$L78=80),IF(OR($N78=2,AY$4&gt;=$C$133),0,IF(BC78&lt;=60,AY78*BA$5,60/BA$4*BA$5)),"")</f>
        <v/>
      </c>
      <c r="BN78" s="713">
        <f>'org. Düngung 22'!T77</f>
        <v>0</v>
      </c>
      <c r="BO78" s="57"/>
      <c r="BP78" s="57"/>
      <c r="BQ78" s="57">
        <f t="shared" ref="BQ78:BQ113" si="511">BN78*$B78</f>
        <v>0</v>
      </c>
      <c r="BR78" s="57">
        <f t="shared" si="208"/>
        <v>0</v>
      </c>
      <c r="BS78" s="57">
        <f t="shared" si="209"/>
        <v>0</v>
      </c>
      <c r="BT78" s="57">
        <f t="shared" si="210"/>
        <v>0</v>
      </c>
      <c r="BU78" s="57">
        <f t="shared" si="211"/>
        <v>0</v>
      </c>
      <c r="BV78" s="1029">
        <f t="shared" ref="BV78:BV113" si="512">IF(BN$6&gt;1,BR78,        IF($L78=70,"",         IF(OR($L78=0,$N78=2),BR78, IF(BN$4&gt;=$C$133,BR78,IF(BR78&lt;60,0,BR78-60)))))</f>
        <v>0</v>
      </c>
      <c r="BW78" s="57">
        <f t="shared" ref="BW78:BW113" si="513">IF(OR(BN$6&lt;&gt;2,$J78=2,$F78&gt;1),0,IF(BP$9=2,0,IF(AND(OR(BP$9=3,BP$9=1),BN$4&lt;$C$133),IF(BR78&lt;=60,BN78*BP$5,60/BP$4*BP$5),0)))</f>
        <v>0</v>
      </c>
      <c r="BX78" s="171" t="str">
        <f t="shared" ref="BX78:BX113" si="514">IF(OR(BP$4=0,BN$6=3),"",         IF(BN$6=1,      IF($L78=70,"",IF($F78=1,BV78/BP$4*BP$6,BV78/BP$4*BP$7)),      IF($F78&gt;1,BN78*BP$7,   IF(OR($J78=2,BN$4&gt;=$C$133,BP$9=2),BN78*BP$6,IF(BR78&lt;=60,0,(BR78-60)/BP$4*BP$6)))))</f>
        <v/>
      </c>
      <c r="BY78" s="57">
        <f t="shared" si="212"/>
        <v>0</v>
      </c>
      <c r="BZ78" s="57">
        <f>IF(OR(AND(BN$6=1,$L78=0),AND(BN$6=2,$K78=2,$G78=1)),0,IF(AND(BP$9=2,(OR($F78&gt;1,$K78=1,AND($L78=80,OR($N78=1,AND($N78=2,'#BerechnungDBE'!$AL69&gt;0)))))),IF(BN$4&gt;=$AD$126,0,BX78),IF(BP$9=3,IF(OR(BN$4&gt;=$AD$127,AND($G78=1,$J78=2,BN$6=2),AND(BN$6=1,$N78&lt;&gt;1)),0,IF(BR78&lt;=120,BX78,IF(BN$4&lt;$AD$124,IF($F78=1,60/BP$4*BP$6,60/BP$4*BP$7),IF($F78=1,120/BP$4*BP$6,120/BP$4*BP$7)))),IF(OR($F78=3,$G78=2),IF(OR(AND(BN$4&gt;=$AD$119,$C78=2),AND(BN$4&gt;=$AF$119,$C78=1)),0,IF(BR78&lt;=60,BX78,60/BP$4*BP$7)),IF(AND($F78=2,$G78=1),BX78,0)))))</f>
        <v>0</v>
      </c>
      <c r="CA78" s="57" t="str">
        <f t="shared" ref="CA78:CA113" si="515">IF(OR(BN$6&lt;&gt;1,$L78=80),"",IF($M78=1,BN78*BP$6,BN78*BP$7))</f>
        <v/>
      </c>
      <c r="CB78" s="57" t="str">
        <f t="shared" ref="CB78:CB113" si="516">IF(AND(BN$6=1,$L78=80),IF(OR($N78=2,BN$4&gt;=$C$133),0,IF(BR78&lt;=60,BN78*BP$5,60/BP$4*BP$5)),"")</f>
        <v/>
      </c>
      <c r="CC78" s="713">
        <f>'org. Düngung 22'!X77</f>
        <v>0</v>
      </c>
      <c r="CD78" s="57"/>
      <c r="CE78" s="57"/>
      <c r="CF78" s="57">
        <f t="shared" ref="CF78:CF113" si="517">CC78*$B78</f>
        <v>0</v>
      </c>
      <c r="CG78" s="57">
        <f t="shared" si="213"/>
        <v>0</v>
      </c>
      <c r="CH78" s="57">
        <f t="shared" si="214"/>
        <v>0</v>
      </c>
      <c r="CI78" s="57">
        <f t="shared" si="215"/>
        <v>0</v>
      </c>
      <c r="CJ78" s="57">
        <f t="shared" si="216"/>
        <v>0</v>
      </c>
      <c r="CK78" s="1029">
        <f t="shared" ref="CK78:CK113" si="518">IF(CC$6&gt;1,CG78,        IF($L78=70,"",         IF(OR($L78=0,$N78=2),CG78, IF(CC$4&gt;=$C$133,CG78,IF(CG78&lt;60,0,CG78-60)))))</f>
        <v>0</v>
      </c>
      <c r="CL78" s="57">
        <f t="shared" ref="CL78:CL113" si="519">IF(OR(CC$6&lt;&gt;2,$J78=2,$F78&gt;1),0,IF(CE$9=2,0,IF(AND(OR(CE$9=3,CE$9=1),CC$4&lt;$C$133),IF(CG78&lt;=60,CC78*CE$5,60/CE$4*CE$5),0)))</f>
        <v>0</v>
      </c>
      <c r="CM78" s="171" t="str">
        <f t="shared" ref="CM78:CM113" si="520">IF(OR(CE$4=0,CC$6=3),"",         IF(CC$6=1,      IF($L78=70,"",IF($F78=1,CK78/CE$4*CE$6,CK78/CE$4*CE$7)),      IF($F78&gt;1,CC78*CE$7,   IF(OR($J78=2,CC$4&gt;=$C$133,CE$9=2),CC78*CE$6,IF(CG78&lt;=60,0,(CG78-60)/CE$4*CE$6)))))</f>
        <v/>
      </c>
      <c r="CN78" s="57">
        <f t="shared" si="217"/>
        <v>0</v>
      </c>
      <c r="CO78" s="57">
        <f>IF(OR(AND(CC$6=1,$L78=0),AND(CC$6=2,$K78=2,$G78=1)),0,IF(AND(CE$9=2,(OR($F78&gt;1,$K78=1,AND($L78=80,OR($N78=1,AND($N78=2,'#BerechnungDBE'!$AL69&gt;0)))))),IF(CC$4&gt;=$AD$126,0,CM78),IF(CE$9=3,IF(OR(CC$4&gt;=$AD$127,AND($G78=1,$J78=2,CC$6=2),AND(CC$6=1,$N78&lt;&gt;1)),0,IF(CG78&lt;=120,CM78,IF(CC$4&lt;$AD$124,IF($F78=1,60/CE$4*CE$6,60/CE$4*CE$7),IF($F78=1,120/CE$4*CE$6,120/CE$4*CE$7)))),IF(OR($F78=3,$G78=2),IF(OR(AND(CC$4&gt;=$AD$119,$C78=2),AND(CC$4&gt;=$AF$119,$C78=1)),0,IF(CG78&lt;=60,CM78,60/CE$4*CE$7)),IF(AND($F78=2,$G78=1),CM78,0)))))</f>
        <v>0</v>
      </c>
      <c r="CP78" s="57" t="str">
        <f t="shared" ref="CP78:CP113" si="521">IF(OR(CC$6&lt;&gt;1,$L78=80),"",IF($M78=1,CC78*CE$6,CC78*CE$7))</f>
        <v/>
      </c>
      <c r="CQ78" s="57" t="str">
        <f t="shared" ref="CQ78:CQ113" si="522">IF(AND(CC$6=1,$L78=80),IF(OR($N78=2,CC$4&gt;=$C$133),0,IF(CG78&lt;=60,CC78*CE$5,60/CE$4*CE$5)),"")</f>
        <v/>
      </c>
      <c r="CR78" s="713">
        <f>'org. Düngung 22'!AB77</f>
        <v>0</v>
      </c>
      <c r="CS78" s="57"/>
      <c r="CT78" s="57"/>
      <c r="CU78" s="57">
        <f t="shared" ref="CU78:CU113" si="523">CR78*$B78</f>
        <v>0</v>
      </c>
      <c r="CV78" s="57">
        <f t="shared" si="218"/>
        <v>0</v>
      </c>
      <c r="CW78" s="57">
        <f t="shared" si="219"/>
        <v>0</v>
      </c>
      <c r="CX78" s="57">
        <f t="shared" si="220"/>
        <v>0</v>
      </c>
      <c r="CY78" s="57">
        <f t="shared" si="221"/>
        <v>0</v>
      </c>
      <c r="CZ78" s="1029">
        <f t="shared" ref="CZ78:CZ113" si="524">IF(CR$6&gt;1,CV78,        IF($L78=70,"",         IF(OR($L78=0,$N78=2),CV78, IF(CR$4&gt;=$C$133,CV78,IF(CV78&lt;60,0,CV78-60)))))</f>
        <v>0</v>
      </c>
      <c r="DA78" s="57">
        <f t="shared" ref="DA78:DA113" si="525">IF(OR(CR$6&lt;&gt;2,$J78=2,$F78&gt;1),0,IF(CT$9=2,0,IF(AND(OR(CT$9=3,CT$9=1),CR$4&lt;$C$133),IF(CV78&lt;=60,CR78*CT$5,60/CT$4*CT$5),0)))</f>
        <v>0</v>
      </c>
      <c r="DB78" s="171" t="str">
        <f t="shared" ref="DB78:DB113" si="526">IF(OR(CT$4=0,CR$6=3),"",         IF(CR$6=1,      IF($L78=70,"",IF($F78=1,CZ78/CT$4*CT$6,CZ78/CT$4*CT$7)),      IF($F78&gt;1,CR78*CT$7,   IF(OR($J78=2,CR$4&gt;=$C$133,CT$9=2),CR78*CT$6,IF(CV78&lt;=60,0,(CV78-60)/CT$4*CT$6)))))</f>
        <v/>
      </c>
      <c r="DC78" s="57">
        <f t="shared" si="222"/>
        <v>0</v>
      </c>
      <c r="DD78" s="57">
        <f>IF(OR(AND(CR$6=1,$L78=0),AND(CR$6=2,$K78=2,$G78=1)),0,IF(AND(CT$9=2,(OR($F78&gt;1,$K78=1,AND($L78=80,OR($N78=1,AND($N78=2,'#BerechnungDBE'!$AL69&gt;0)))))),IF(CR$4&gt;=$AD$126,0,DB78),IF(CT$9=3,IF(OR(CR$4&gt;=$AD$127,AND($G78=1,$J78=2,CR$6=2),AND(CR$6=1,$N78&lt;&gt;1)),0,IF(CV78&lt;=120,DB78,IF(CR$4&lt;$AD$124,IF($F78=1,60/CT$4*CT$6,60/CT$4*CT$7),IF($F78=1,120/CT$4*CT$6,120/CT$4*CT$7)))),IF(OR($F78=3,$G78=2),IF(OR(AND(CR$4&gt;=$AD$119,$C78=2),AND(CR$4&gt;=$AF$119,$C78=1)),0,IF(CV78&lt;=60,DB78,60/CT$4*CT$7)),IF(AND($F78=2,$G78=1),DB78,0)))))</f>
        <v>0</v>
      </c>
      <c r="DE78" s="57" t="str">
        <f t="shared" ref="DE78:DE113" si="527">IF(OR(CR$6&lt;&gt;1,$L78=80),"",IF($M78=1,CR78*CT$6,CR78*CT$7))</f>
        <v/>
      </c>
      <c r="DF78" s="57" t="str">
        <f t="shared" ref="DF78:DF113" si="528">IF(AND(CR$6=1,$L78=80),IF(OR($N78=2,CR$4&gt;=$C$133),0,IF(CV78&lt;=60,CR78*CT$5,60/CT$4*CT$5)),"")</f>
        <v/>
      </c>
      <c r="DG78" s="713">
        <f>'org. Düngung 22'!AF77</f>
        <v>0</v>
      </c>
      <c r="DH78" s="57"/>
      <c r="DI78" s="57"/>
      <c r="DJ78" s="57">
        <f t="shared" ref="DJ78:DJ113" si="529">DG78*$B78</f>
        <v>0</v>
      </c>
      <c r="DK78" s="57">
        <f t="shared" si="223"/>
        <v>0</v>
      </c>
      <c r="DL78" s="57">
        <f t="shared" si="224"/>
        <v>0</v>
      </c>
      <c r="DM78" s="57">
        <f t="shared" si="225"/>
        <v>0</v>
      </c>
      <c r="DN78" s="57">
        <f t="shared" si="226"/>
        <v>0</v>
      </c>
      <c r="DO78" s="1029">
        <f t="shared" ref="DO78:DO113" si="530">IF(DG$6&gt;1,DK78,        IF($L78=70,"",         IF(OR($L78=0,$N78=2),DK78, IF(DG$4&gt;=$C$133,DK78,IF(DK78&lt;60,0,DK78-60)))))</f>
        <v>0</v>
      </c>
      <c r="DP78" s="57">
        <f t="shared" ref="DP78:DP113" si="531">IF(OR(DG$6&lt;&gt;2,$J78=2,$F78&gt;1),0,IF(DI$9=2,0,IF(AND(OR(DI$9=3,DI$9=1),DG$4&lt;$C$133),IF(DK78&lt;=60,DG78*DI$5,60/DI$4*DI$5),0)))</f>
        <v>0</v>
      </c>
      <c r="DQ78" s="171" t="str">
        <f t="shared" ref="DQ78:DQ113" si="532">IF(OR(DI$4=0,DG$6=3),"",         IF(DG$6=1,      IF($L78=70,"",IF($F78=1,DO78/DI$4*DI$6,DO78/DI$4*DI$7)),      IF($F78&gt;1,DG78*DI$7,   IF(OR($J78=2,DG$4&gt;=$C$133,DI$9=2),DG78*DI$6,IF(DK78&lt;=60,0,(DK78-60)/DI$4*DI$6)))))</f>
        <v/>
      </c>
      <c r="DR78" s="57">
        <f t="shared" si="227"/>
        <v>0</v>
      </c>
      <c r="DS78" s="57">
        <f>IF(OR(AND(DG$6=1,$L78=0),AND(DG$6=2,$K78=2,$G78=1)),0,IF(AND(DI$9=2,(OR($F78&gt;1,$K78=1,AND($L78=80,OR($N78=1,AND($N78=2,'#BerechnungDBE'!$AL69&gt;0)))))),IF(DG$4&gt;=$AD$126,0,DQ78),IF(DI$9=3,IF(OR(DG$4&gt;=$AD$127,AND($G78=1,$J78=2,DG$6=2),AND(DG$6=1,$N78&lt;&gt;1)),0,IF(DK78&lt;=120,DQ78,IF(DG$4&lt;$AD$124,IF($F78=1,60/DI$4*DI$6,60/DI$4*DI$7),IF($F78=1,120/DI$4*DI$6,120/DI$4*DI$7)))),IF(OR($F78=3,$G78=2),IF(OR(AND(DG$4&gt;=$AD$119,$C78=2),AND(DG$4&gt;=$AF$119,$C78=1)),0,IF(DK78&lt;=60,DQ78,60/DI$4*DI$7)),IF(AND($F78=2,$G78=1),DQ78,0)))))</f>
        <v>0</v>
      </c>
      <c r="DT78" s="57" t="str">
        <f t="shared" ref="DT78:DT113" si="533">IF(OR(DG$6&lt;&gt;1,$L78=80),"",IF($M78=1,DG78*DI$6,DG78*DI$7))</f>
        <v/>
      </c>
      <c r="DU78" s="57" t="str">
        <f t="shared" ref="DU78:DU113" si="534">IF(AND(DG$6=1,$L78=80),IF(OR($N78=2,DG$4&gt;=$C$133),0,IF(DK78&lt;=60,DG78*DI$5,60/DI$4*DI$5)),"")</f>
        <v/>
      </c>
      <c r="DV78" s="713">
        <f>'org. Düngung 22'!AJ77</f>
        <v>0</v>
      </c>
      <c r="DW78" s="57"/>
      <c r="DX78" s="57"/>
      <c r="DY78" s="57">
        <f t="shared" ref="DY78:DY113" si="535">DV78*$B78</f>
        <v>0</v>
      </c>
      <c r="DZ78" s="57">
        <f t="shared" si="228"/>
        <v>0</v>
      </c>
      <c r="EA78" s="57">
        <f t="shared" si="229"/>
        <v>0</v>
      </c>
      <c r="EB78" s="57">
        <f t="shared" si="230"/>
        <v>0</v>
      </c>
      <c r="EC78" s="57">
        <f t="shared" si="231"/>
        <v>0</v>
      </c>
      <c r="ED78" s="1029">
        <f t="shared" ref="ED78:ED113" si="536">IF(DV$6&gt;1,DZ78,        IF($L78=70,"",         IF(OR($L78=0,$N78=2),DZ78, IF(DV$4&gt;=$C$133,DZ78,IF(DZ78&lt;60,0,DZ78-60)))))</f>
        <v>0</v>
      </c>
      <c r="EE78" s="57">
        <f t="shared" ref="EE78:EE113" si="537">IF(OR(DV$6&lt;&gt;2,$J78=2,$F78&gt;1),0,IF(DX$9=2,0,IF(AND(OR(DX$9=3,DX$9=1),DV$4&lt;$C$133),IF(DZ78&lt;=60,DV78*DX$5,60/DX$4*DX$5),0)))</f>
        <v>0</v>
      </c>
      <c r="EF78" s="171" t="str">
        <f t="shared" ref="EF78:EF113" si="538">IF(OR(DX$4=0,DV$6=3),"",         IF(DV$6=1,      IF($L78=70,"",IF($F78=1,ED78/DX$4*DX$6,ED78/DX$4*DX$7)),      IF($F78&gt;1,DV78*DX$7,   IF(OR($J78=2,DV$4&gt;=$C$133,DX$9=2),DV78*DX$6,IF(DZ78&lt;=60,0,(DZ78-60)/DX$4*DX$6)))))</f>
        <v/>
      </c>
      <c r="EG78" s="57">
        <f t="shared" si="232"/>
        <v>0</v>
      </c>
      <c r="EH78" s="57">
        <f>IF(OR(AND(DV$6=1,$L78=0),AND(DV$6=2,$K78=2,$G78=1)),0,IF(AND(DX$9=2,(OR($F78&gt;1,$K78=1,AND($L78=80,OR($N78=1,AND($N78=2,'#BerechnungDBE'!$AL69&gt;0)))))),IF(DV$4&gt;=$AD$126,0,EF78),IF(DX$9=3,IF(OR(DV$4&gt;=$AD$127,AND($G78=1,$J78=2,DV$6=2),AND(DV$6=1,$N78&lt;&gt;1)),0,IF(DZ78&lt;=120,EF78,IF(DV$4&lt;$AD$124,IF($F78=1,60/DX$4*DX$6,60/DX$4*DX$7),IF($F78=1,120/DX$4*DX$6,120/DX$4*DX$7)))),IF(OR($F78=3,$G78=2),IF(OR(AND(DV$4&gt;=$AD$119,$C78=2),AND(DV$4&gt;=$AF$119,$C78=1)),0,IF(DZ78&lt;=60,EF78,60/DX$4*DX$7)),IF(AND($F78=2,$G78=1),EF78,0)))))</f>
        <v>0</v>
      </c>
      <c r="EI78" s="57" t="str">
        <f t="shared" ref="EI78:EI113" si="539">IF(OR(DV$6&lt;&gt;1,$L78=80),"",IF($M78=1,DV78*DX$6,DV78*DX$7))</f>
        <v/>
      </c>
      <c r="EJ78" s="57" t="str">
        <f t="shared" ref="EJ78:EJ113" si="540">IF(AND(DV$6=1,$L78=80),IF(OR($N78=2,DV$4&gt;=$C$133),0,IF(DZ78&lt;=60,DV78*DX$5,60/DX$4*DX$5)),"")</f>
        <v/>
      </c>
      <c r="EK78" s="713">
        <f>'org. Düngung 22'!AN77</f>
        <v>0</v>
      </c>
      <c r="EL78" s="57"/>
      <c r="EM78" s="57"/>
      <c r="EN78" s="57">
        <f t="shared" ref="EN78:EN113" si="541">EK78*$B78</f>
        <v>0</v>
      </c>
      <c r="EO78" s="57">
        <f t="shared" si="233"/>
        <v>0</v>
      </c>
      <c r="EP78" s="57">
        <f t="shared" si="234"/>
        <v>0</v>
      </c>
      <c r="EQ78" s="57">
        <f t="shared" si="235"/>
        <v>0</v>
      </c>
      <c r="ER78" s="57">
        <f t="shared" si="236"/>
        <v>0</v>
      </c>
      <c r="ES78" s="1029">
        <f t="shared" ref="ES78:ES113" si="542">IF(EK$6&gt;1,EO78,        IF($L78=70,"",         IF(OR($L78=0,$N78=2),EO78, IF(EK$4&gt;=$C$133,EO78,IF(EO78&lt;60,0,EO78-60)))))</f>
        <v>0</v>
      </c>
      <c r="ET78" s="57">
        <f t="shared" ref="ET78:ET113" si="543">IF(OR(EK$6&lt;&gt;2,$J78=2,$F78&gt;1),0,IF(EM$9=2,0,IF(AND(OR(EM$9=3,EM$9=1),EK$4&lt;$C$133),IF(EO78&lt;=60,EK78*EM$5,60/EM$4*EM$5),0)))</f>
        <v>0</v>
      </c>
      <c r="EU78" s="171" t="str">
        <f t="shared" ref="EU78:EU113" si="544">IF(OR(EM$4=0,EK$6=3),"",         IF(EK$6=1,      IF($L78=70,"",IF($F78=1,ES78/EM$4*EM$6,ES78/EM$4*EM$7)),      IF($F78&gt;1,EK78*EM$7,   IF(OR($J78=2,EK$4&gt;=$C$133,EM$9=2),EK78*EM$6,IF(EO78&lt;=60,0,(EO78-60)/EM$4*EM$6)))))</f>
        <v/>
      </c>
      <c r="EV78" s="57">
        <f t="shared" si="237"/>
        <v>0</v>
      </c>
      <c r="EW78" s="57">
        <f>IF(OR(AND(EK$6=1,$L78=0),AND(EK$6=2,$K78=2,$G78=1)),0,IF(AND(EM$9=2,(OR($F78&gt;1,$K78=1,AND($L78=80,OR($N78=1,AND($N78=2,'#BerechnungDBE'!$AL69&gt;0)))))),IF(EK$4&gt;=$AD$126,0,EU78),IF(EM$9=3,IF(OR(EK$4&gt;=$AD$127,AND($G78=1,$J78=2,EK$6=2),AND(EK$6=1,$N78&lt;&gt;1)),0,IF(EO78&lt;=120,EU78,IF(EK$4&lt;$AD$124,IF($F78=1,60/EM$4*EM$6,60/EM$4*EM$7),IF($F78=1,120/EM$4*EM$6,120/EM$4*EM$7)))),IF(OR($F78=3,$G78=2),IF(OR(AND(EK$4&gt;=$AD$119,$C78=2),AND(EK$4&gt;=$AF$119,$C78=1)),0,IF(EO78&lt;=60,EU78,60/EM$4*EM$7)),IF(AND($F78=2,$G78=1),EU78,0)))))</f>
        <v>0</v>
      </c>
      <c r="EX78" s="57" t="str">
        <f t="shared" ref="EX78:EX113" si="545">IF(OR(EK$6&lt;&gt;1,$L78=80),"",IF($M78=1,EK78*EM$6,EK78*EM$7))</f>
        <v/>
      </c>
      <c r="EY78" s="57" t="str">
        <f t="shared" ref="EY78:EY113" si="546">IF(AND(EK$6=1,$L78=80),IF(OR($N78=2,EK$4&gt;=$C$133),0,IF(EO78&lt;=60,EK78*EM$5,60/EM$4*EM$5)),"")</f>
        <v/>
      </c>
      <c r="EZ78" s="713">
        <f>'org. Düngung 22'!AR77</f>
        <v>0</v>
      </c>
      <c r="FA78" s="57"/>
      <c r="FB78" s="57"/>
      <c r="FC78" s="57">
        <f t="shared" ref="FC78:FC113" si="547">EZ78*$B78</f>
        <v>0</v>
      </c>
      <c r="FD78" s="57">
        <f t="shared" si="238"/>
        <v>0</v>
      </c>
      <c r="FE78" s="57">
        <f t="shared" si="239"/>
        <v>0</v>
      </c>
      <c r="FF78" s="57">
        <f t="shared" si="240"/>
        <v>0</v>
      </c>
      <c r="FG78" s="57">
        <f t="shared" si="241"/>
        <v>0</v>
      </c>
      <c r="FH78" s="1029">
        <f t="shared" ref="FH78:FH113" si="548">IF(EZ$6&gt;1,FD78,        IF($L78=70,"",         IF(OR($L78=0,$N78=2),FD78, IF(EZ$4&gt;=$C$133,FD78,IF(FD78&lt;60,0,FD78-60)))))</f>
        <v>0</v>
      </c>
      <c r="FI78" s="57">
        <f t="shared" ref="FI78:FI113" si="549">IF(OR(EZ$6&lt;&gt;2,$J78=2,$F78&gt;1),0,IF(FB$9=2,0,IF(AND(OR(FB$9=3,FB$9=1),EZ$4&lt;$C$133),IF(FD78&lt;=60,EZ78*FB$5,60/FB$4*FB$5),0)))</f>
        <v>0</v>
      </c>
      <c r="FJ78" s="171" t="str">
        <f t="shared" ref="FJ78:FJ113" si="550">IF(OR(FB$4=0,EZ$6=3),"",         IF(EZ$6=1,      IF($L78=70,"",IF($F78=1,FH78/FB$4*FB$6,FH78/FB$4*FB$7)),      IF($F78&gt;1,EZ78*FB$7,   IF(OR($J78=2,EZ$4&gt;=$C$133,FB$9=2),EZ78*FB$6,IF(FD78&lt;=60,0,(FD78-60)/FB$4*FB$6)))))</f>
        <v/>
      </c>
      <c r="FK78" s="57">
        <f t="shared" si="242"/>
        <v>0</v>
      </c>
      <c r="FL78" s="57">
        <f>IF(OR(AND(EZ$6=1,$L78=0),AND(EZ$6=2,$K78=2,$G78=1)),0,IF(AND(FB$9=2,(OR($F78&gt;1,$K78=1,AND($L78=80,OR($N78=1,AND($N78=2,'#BerechnungDBE'!$AL69&gt;0)))))),IF(EZ$4&gt;=$AD$126,0,FJ78),IF(FB$9=3,IF(OR(EZ$4&gt;=$AD$127,AND($G78=1,$J78=2,EZ$6=2),AND(EZ$6=1,$N78&lt;&gt;1)),0,IF(FD78&lt;=120,FJ78,IF(EZ$4&lt;$AD$124,IF($F78=1,60/FB$4*FB$6,60/FB$4*FB$7),IF($F78=1,120/FB$4*FB$6,120/FB$4*FB$7)))),IF(OR($F78=3,$G78=2),IF(OR(AND(EZ$4&gt;=$AD$119,$C78=2),AND(EZ$4&gt;=$AF$119,$C78=1)),0,IF(FD78&lt;=60,FJ78,60/FB$4*FB$7)),IF(AND($F78=2,$G78=1),FJ78,0)))))</f>
        <v>0</v>
      </c>
      <c r="FM78" s="57" t="str">
        <f t="shared" ref="FM78:FM113" si="551">IF(OR(EZ$6&lt;&gt;1,$L78=80),"",IF($M78=1,EZ78*FB$6,EZ78*FB$7))</f>
        <v/>
      </c>
      <c r="FN78" s="57" t="str">
        <f t="shared" ref="FN78:FN113" si="552">IF(AND(EZ$6=1,$L78=80),IF(OR($N78=2,EZ$4&gt;=$C$133),0,IF(FD78&lt;=60,EZ78*FB$5,60/FB$4*FB$5)),"")</f>
        <v/>
      </c>
      <c r="FO78" s="713">
        <f>'org. Düngung 22'!AV77</f>
        <v>0</v>
      </c>
      <c r="FP78" s="57"/>
      <c r="FQ78" s="57"/>
      <c r="FR78" s="57">
        <f t="shared" ref="FR78:FR113" si="553">FO78*$B78</f>
        <v>0</v>
      </c>
      <c r="FS78" s="57">
        <f t="shared" si="243"/>
        <v>0</v>
      </c>
      <c r="FT78" s="57">
        <f t="shared" si="244"/>
        <v>0</v>
      </c>
      <c r="FU78" s="57">
        <f t="shared" si="245"/>
        <v>0</v>
      </c>
      <c r="FV78" s="57">
        <f t="shared" si="246"/>
        <v>0</v>
      </c>
      <c r="FW78" s="1029">
        <f t="shared" ref="FW78:FW113" si="554">IF(FO$6&gt;1,FS78,        IF($L78=70,"",         IF(OR($L78=0,$N78=2),FS78, IF(FO$4&gt;=$C$133,FS78,IF(FS78&lt;60,0,FS78-60)))))</f>
        <v>0</v>
      </c>
      <c r="FX78" s="57">
        <f t="shared" ref="FX78:FX113" si="555">IF(OR(FO$6&lt;&gt;2,$J78=2,$F78&gt;1),0,IF(FQ$9=2,0,IF(AND(OR(FQ$9=3,FQ$9=1),FO$4&lt;$C$133),IF(FS78&lt;=60,FO78*FQ$5,60/FQ$4*FQ$5),0)))</f>
        <v>0</v>
      </c>
      <c r="FY78" s="171" t="str">
        <f t="shared" ref="FY78:FY113" si="556">IF(OR(FQ$4=0,FO$6=3),"",         IF(FO$6=1,      IF($L78=70,"",IF($F78=1,FW78/FQ$4*FQ$6,FW78/FQ$4*FQ$7)),      IF($F78&gt;1,FO78*FQ$7,   IF(OR($J78=2,FO$4&gt;=$C$133,FQ$9=2),FO78*FQ$6,IF(FS78&lt;=60,0,(FS78-60)/FQ$4*FQ$6)))))</f>
        <v/>
      </c>
      <c r="FZ78" s="57">
        <f t="shared" si="247"/>
        <v>0</v>
      </c>
      <c r="GA78" s="57">
        <f>IF(OR(AND(FO$6=1,$L78=0),AND(FO$6=2,$K78=2,$G78=1)),0,IF(AND(FQ$9=2,(OR($F78&gt;1,$K78=1,AND($L78=80,OR($N78=1,AND($N78=2,'#BerechnungDBE'!$AL69&gt;0)))))),IF(FO$4&gt;=$AD$126,0,FY78),IF(FQ$9=3,IF(OR(FO$4&gt;=$AD$127,AND($G78=1,$J78=2,FO$6=2),AND(FO$6=1,$N78&lt;&gt;1)),0,IF(FS78&lt;=120,FY78,IF(FO$4&lt;$AD$124,IF($F78=1,60/FQ$4*FQ$6,60/FQ$4*FQ$7),IF($F78=1,120/FQ$4*FQ$6,120/FQ$4*FQ$7)))),IF(OR($F78=3,$G78=2),IF(OR(AND(FO$4&gt;=$AD$119,$C78=2),AND(FO$4&gt;=$AF$119,$C78=1)),0,IF(FS78&lt;=60,FY78,60/FQ$4*FQ$7)),IF(AND($F78=2,$G78=1),FY78,0)))))</f>
        <v>0</v>
      </c>
      <c r="GB78" s="57" t="str">
        <f t="shared" ref="GB78:GB113" si="557">IF(OR(FO$6&lt;&gt;1,$L78=80),"",IF($M78=1,FO78*FQ$6,FO78*FQ$7))</f>
        <v/>
      </c>
      <c r="GC78" s="57" t="str">
        <f t="shared" ref="GC78:GC113" si="558">IF(AND(FO$6=1,$L78=80),IF(OR($N78=2,FO$4&gt;=$C$133),0,IF(FS78&lt;=60,FO78*FQ$5,60/FQ$4*FQ$5)),"")</f>
        <v/>
      </c>
      <c r="GD78" s="713">
        <f>'org. Düngung 22'!AZ77</f>
        <v>0</v>
      </c>
      <c r="GE78" s="57"/>
      <c r="GF78" s="57"/>
      <c r="GG78" s="57">
        <f t="shared" ref="GG78:GG113" si="559">GD78*$B78</f>
        <v>0</v>
      </c>
      <c r="GH78" s="57">
        <f t="shared" si="248"/>
        <v>0</v>
      </c>
      <c r="GI78" s="57">
        <f t="shared" si="249"/>
        <v>0</v>
      </c>
      <c r="GJ78" s="57">
        <f t="shared" si="250"/>
        <v>0</v>
      </c>
      <c r="GK78" s="57">
        <f t="shared" si="251"/>
        <v>0</v>
      </c>
      <c r="GL78" s="1029">
        <f t="shared" ref="GL78:GL113" si="560">IF(GD$6&gt;1,GH78,        IF($L78=70,"",         IF(OR($L78=0,$N78=2),GH78, IF(GD$4&gt;=$C$133,GH78,IF(GH78&lt;60,0,GH78-60)))))</f>
        <v>0</v>
      </c>
      <c r="GM78" s="57">
        <f t="shared" ref="GM78:GM113" si="561">IF(OR(GD$6&lt;&gt;2,$J78=2,$F78&gt;1),0,IF(GF$9=2,0,IF(AND(OR(GF$9=3,GF$9=1),GD$4&lt;$C$133),IF(GH78&lt;=60,GD78*GF$5,60/GF$4*GF$5),0)))</f>
        <v>0</v>
      </c>
      <c r="GN78" s="171" t="str">
        <f t="shared" ref="GN78:GN113" si="562">IF(OR(GF$4=0,GD$6=3),"",         IF(GD$6=1,      IF($L78=70,"",IF($F78=1,GL78/GF$4*GF$6,GL78/GF$4*GF$7)),      IF($F78&gt;1,GD78*GF$7,   IF(OR($J78=2,GD$4&gt;=$C$133,GF$9=2),GD78*GF$6,IF(GH78&lt;=60,0,(GH78-60)/GF$4*GF$6)))))</f>
        <v/>
      </c>
      <c r="GO78" s="57">
        <f t="shared" si="252"/>
        <v>0</v>
      </c>
      <c r="GP78" s="57">
        <f>IF(OR(AND(GD$6=1,$L78=0),AND(GD$6=2,$K78=2,$G78=1)),0,IF(AND(GF$9=2,(OR($F78&gt;1,$K78=1,AND($L78=80,OR($N78=1,AND($N78=2,'#BerechnungDBE'!$AL69&gt;0)))))),IF(GD$4&gt;=$AD$126,0,GN78),IF(GF$9=3,IF(OR(GD$4&gt;=$AD$127,AND($G78=1,$J78=2,GD$6=2),AND(GD$6=1,$N78&lt;&gt;1)),0,IF(GH78&lt;=120,GN78,IF(GD$4&lt;$AD$124,IF($F78=1,60/GF$4*GF$6,60/GF$4*GF$7),IF($F78=1,120/GF$4*GF$6,120/GF$4*GF$7)))),IF(OR($F78=3,$G78=2),IF(OR(AND(GD$4&gt;=$AD$119,$C78=2),AND(GD$4&gt;=$AF$119,$C78=1)),0,IF(GH78&lt;=60,GN78,60/GF$4*GF$7)),IF(AND($F78=2,$G78=1),GN78,0)))))</f>
        <v>0</v>
      </c>
      <c r="GQ78" s="57" t="str">
        <f t="shared" ref="GQ78:GQ113" si="563">IF(OR(GD$6&lt;&gt;1,$L78=80),"",IF($M78=1,GD78*GF$6,GD78*GF$7))</f>
        <v/>
      </c>
      <c r="GR78" s="57" t="str">
        <f t="shared" ref="GR78:GR113" si="564">IF(AND(GD$6=1,$L78=80),IF(OR($N78=2,GD$4&gt;=$C$133),0,IF(GH78&lt;=60,GD78*GF$5,60/GF$4*GF$5)),"")</f>
        <v/>
      </c>
      <c r="GS78" s="713">
        <f>'org. Düngung 22'!BD77</f>
        <v>0</v>
      </c>
      <c r="GT78" s="57"/>
      <c r="GU78" s="57"/>
      <c r="GV78" s="57">
        <f t="shared" ref="GV78:GV113" si="565">GS78*$B78</f>
        <v>0</v>
      </c>
      <c r="GW78" s="57">
        <f t="shared" si="253"/>
        <v>0</v>
      </c>
      <c r="GX78" s="57">
        <f t="shared" si="254"/>
        <v>0</v>
      </c>
      <c r="GY78" s="57">
        <f t="shared" si="255"/>
        <v>0</v>
      </c>
      <c r="GZ78" s="57">
        <f t="shared" si="256"/>
        <v>0</v>
      </c>
      <c r="HA78" s="1029">
        <f t="shared" ref="HA78:HA113" si="566">IF(GS$6&gt;1,GW78,        IF($L78=70,"",         IF(OR($L78=0,$N78=2),GW78, IF(GS$4&gt;=$C$133,GW78,IF(GW78&lt;60,0,GW78-60)))))</f>
        <v>0</v>
      </c>
      <c r="HB78" s="57">
        <f t="shared" ref="HB78:HB113" si="567">IF(OR(GS$6&lt;&gt;2,$J78=2,$F78&gt;1),0,IF(GU$9=2,0,IF(AND(OR(GU$9=3,GU$9=1),GS$4&lt;$C$133),IF(GW78&lt;=60,GS78*GU$5,60/GU$4*GU$5),0)))</f>
        <v>0</v>
      </c>
      <c r="HC78" s="171" t="str">
        <f t="shared" ref="HC78:HC113" si="568">IF(OR(GU$4=0,GS$6=3),"",         IF(GS$6=1,      IF($L78=70,"",IF($F78=1,HA78/GU$4*GU$6,HA78/GU$4*GU$7)),      IF($F78&gt;1,GS78*GU$7,   IF(OR($J78=2,GS$4&gt;=$C$133,GU$9=2),GS78*GU$6,IF(GW78&lt;=60,0,(GW78-60)/GU$4*GU$6)))))</f>
        <v/>
      </c>
      <c r="HD78" s="57">
        <f t="shared" si="257"/>
        <v>0</v>
      </c>
      <c r="HE78" s="57">
        <f>IF(OR(AND(GS$6=1,$L78=0),AND(GS$6=2,$K78=2,$G78=1)),0,IF(AND(GU$9=2,(OR($F78&gt;1,$K78=1,AND($L78=80,OR($N78=1,AND($N78=2,'#BerechnungDBE'!$AL69&gt;0)))))),IF(GS$4&gt;=$AD$126,0,HC78),IF(GU$9=3,IF(OR(GS$4&gt;=$AD$127,AND($G78=1,$J78=2,GS$6=2),AND(GS$6=1,$N78&lt;&gt;1)),0,IF(GW78&lt;=120,HC78,IF(GS$4&lt;$AD$124,IF($F78=1,60/GU$4*GU$6,60/GU$4*GU$7),IF($F78=1,120/GU$4*GU$6,120/GU$4*GU$7)))),IF(OR($F78=3,$G78=2),IF(OR(AND(GS$4&gt;=$AD$119,$C78=2),AND(GS$4&gt;=$AF$119,$C78=1)),0,IF(GW78&lt;=60,HC78,60/GU$4*GU$7)),IF(AND($F78=2,$G78=1),HC78,0)))))</f>
        <v>0</v>
      </c>
      <c r="HF78" s="57" t="str">
        <f t="shared" ref="HF78:HF113" si="569">IF(OR(GS$6&lt;&gt;1,$L78=80),"",IF($M78=1,GS78*GU$6,GS78*GU$7))</f>
        <v/>
      </c>
      <c r="HG78" s="57" t="str">
        <f t="shared" ref="HG78:HG113" si="570">IF(AND(GS$6=1,$L78=80),IF(OR($N78=2,GS$4&gt;=$C$133),0,IF(GW78&lt;=60,GS78*GU$5,60/GU$4*GU$5)),"")</f>
        <v/>
      </c>
      <c r="HH78" s="713">
        <f>'org. Düngung 22'!BH77</f>
        <v>0</v>
      </c>
      <c r="HI78" s="57"/>
      <c r="HJ78" s="57"/>
      <c r="HK78" s="57">
        <f t="shared" ref="HK78:HK113" si="571">HH78*$B78</f>
        <v>0</v>
      </c>
      <c r="HL78" s="57">
        <f t="shared" si="258"/>
        <v>0</v>
      </c>
      <c r="HM78" s="57">
        <f t="shared" si="259"/>
        <v>0</v>
      </c>
      <c r="HN78" s="57">
        <f t="shared" si="260"/>
        <v>0</v>
      </c>
      <c r="HO78" s="57">
        <f t="shared" si="261"/>
        <v>0</v>
      </c>
      <c r="HP78" s="1029">
        <f t="shared" ref="HP78:HP113" si="572">IF(HH$6&gt;1,HL78,        IF($L78=70,"",         IF(OR($L78=0,$N78=2),HL78, IF(HH$4&gt;=$C$133,HL78,IF(HL78&lt;60,0,HL78-60)))))</f>
        <v>0</v>
      </c>
      <c r="HQ78" s="57">
        <f t="shared" ref="HQ78:HQ113" si="573">IF(OR(HH$6&lt;&gt;2,$J78=2,$F78&gt;1),0,IF(HJ$9=2,0,IF(AND(OR(HJ$9=3,HJ$9=1),HH$4&lt;$C$133),IF(HL78&lt;=60,HH78*HJ$5,60/HJ$4*HJ$5),0)))</f>
        <v>0</v>
      </c>
      <c r="HR78" s="171" t="str">
        <f t="shared" ref="HR78:HR113" si="574">IF(OR(HJ$4=0,HH$6=3),"",         IF(HH$6=1,      IF($L78=70,"",IF($F78=1,HP78/HJ$4*HJ$6,HP78/HJ$4*HJ$7)),      IF($F78&gt;1,HH78*HJ$7,   IF(OR($J78=2,HH$4&gt;=$C$133,HJ$9=2),HH78*HJ$6,IF(HL78&lt;=60,0,(HL78-60)/HJ$4*HJ$6)))))</f>
        <v/>
      </c>
      <c r="HS78" s="57">
        <f t="shared" si="262"/>
        <v>0</v>
      </c>
      <c r="HT78" s="57">
        <f>IF(OR(AND(HH$6=1,$L78=0),AND(HH$6=2,$K78=2,$G78=1)),0,IF(AND(HJ$9=2,(OR($F78&gt;1,$K78=1,AND($L78=80,OR($N78=1,AND($N78=2,'#BerechnungDBE'!$AL69&gt;0)))))),IF(HH$4&gt;=$AD$126,0,HR78),IF(HJ$9=3,IF(OR(HH$4&gt;=$AD$127,AND($G78=1,$J78=2,HH$6=2),AND(HH$6=1,$N78&lt;&gt;1)),0,IF(HL78&lt;=120,HR78,IF(HH$4&lt;$AD$124,IF($F78=1,60/HJ$4*HJ$6,60/HJ$4*HJ$7),IF($F78=1,120/HJ$4*HJ$6,120/HJ$4*HJ$7)))),IF(OR($F78=3,$G78=2),IF(OR(AND(HH$4&gt;=$AD$119,$C78=2),AND(HH$4&gt;=$AF$119,$C78=1)),0,IF(HL78&lt;=60,HR78,60/HJ$4*HJ$7)),IF(AND($F78=2,$G78=1),HR78,0)))))</f>
        <v>0</v>
      </c>
      <c r="HU78" s="57" t="str">
        <f t="shared" ref="HU78:HU113" si="575">IF(OR(HH$6&lt;&gt;1,$L78=80),"",IF($M78=1,HH78*HJ$6,HH78*HJ$7))</f>
        <v/>
      </c>
      <c r="HV78" s="57" t="str">
        <f t="shared" ref="HV78:HV113" si="576">IF(AND(HH$6=1,$L78=80),IF(OR($N78=2,HH$4&gt;=$C$133),0,IF(HL78&lt;=60,HH78*HJ$5,60/HJ$4*HJ$5)),"")</f>
        <v/>
      </c>
      <c r="HW78" s="713">
        <f>'org. Düngung 22'!BL77</f>
        <v>0</v>
      </c>
      <c r="HX78" s="57"/>
      <c r="HY78" s="57"/>
      <c r="HZ78" s="57">
        <f t="shared" ref="HZ78:HZ113" si="577">HW78*$B78</f>
        <v>0</v>
      </c>
      <c r="IA78" s="57">
        <f t="shared" si="263"/>
        <v>0</v>
      </c>
      <c r="IB78" s="57">
        <f t="shared" si="264"/>
        <v>0</v>
      </c>
      <c r="IC78" s="57">
        <f t="shared" si="265"/>
        <v>0</v>
      </c>
      <c r="ID78" s="57">
        <f t="shared" si="266"/>
        <v>0</v>
      </c>
      <c r="IE78" s="1029">
        <f t="shared" ref="IE78:IE113" si="578">IF(HW$6&gt;1,IA78,        IF($L78=70,"",         IF(OR($L78=0,$N78=2),IA78, IF(HW$4&gt;=$C$133,IA78,IF(IA78&lt;60,0,IA78-60)))))</f>
        <v>0</v>
      </c>
      <c r="IF78" s="57">
        <f t="shared" ref="IF78:IF113" si="579">IF(OR(HW$6&lt;&gt;2,$J78=2,$F78&gt;1),0,IF(HY$9=2,0,IF(AND(OR(HY$9=3,HY$9=1),HW$4&lt;$C$133),IF(IA78&lt;=60,HW78*HY$5,60/HY$4*HY$5),0)))</f>
        <v>0</v>
      </c>
      <c r="IG78" s="171" t="str">
        <f t="shared" ref="IG78:IG113" si="580">IF(OR(HY$4=0,HW$6=3),"",         IF(HW$6=1,      IF($L78=70,"",IF($F78=1,IE78/HY$4*HY$6,IE78/HY$4*HY$7)),      IF($F78&gt;1,HW78*HY$7,   IF(OR($J78=2,HW$4&gt;=$C$133,HY$9=2),HW78*HY$6,IF(IA78&lt;=60,0,(IA78-60)/HY$4*HY$6)))))</f>
        <v/>
      </c>
      <c r="IH78" s="57">
        <f t="shared" si="267"/>
        <v>0</v>
      </c>
      <c r="II78" s="57">
        <f>IF(OR(AND(HW$6=1,$L78=0),AND(HW$6=2,$K78=2,$G78=1)),0,IF(AND(HY$9=2,(OR($F78&gt;1,$K78=1,AND($L78=80,OR($N78=1,AND($N78=2,'#BerechnungDBE'!$AL69&gt;0)))))),IF(HW$4&gt;=$AD$126,0,IG78),IF(HY$9=3,IF(OR(HW$4&gt;=$AD$127,AND($G78=1,$J78=2,HW$6=2),AND(HW$6=1,$N78&lt;&gt;1)),0,IF(IA78&lt;=120,IG78,IF(HW$4&lt;$AD$124,IF($F78=1,60/HY$4*HY$6,60/HY$4*HY$7),IF($F78=1,120/HY$4*HY$6,120/HY$4*HY$7)))),IF(OR($F78=3,$G78=2),IF(OR(AND(HW$4&gt;=$AD$119,$C78=2),AND(HW$4&gt;=$AF$119,$C78=1)),0,IF(IA78&lt;=60,IG78,60/HY$4*HY$7)),IF(AND($F78=2,$G78=1),IG78,0)))))</f>
        <v>0</v>
      </c>
      <c r="IJ78" s="57" t="str">
        <f t="shared" ref="IJ78:IJ113" si="581">IF(OR(HW$6&lt;&gt;1,$L78=80),"",IF($M78=1,HW78*HY$6,HW78*HY$7))</f>
        <v/>
      </c>
      <c r="IK78" s="57" t="str">
        <f t="shared" ref="IK78:IK113" si="582">IF(AND(HW$6=1,$L78=80),IF(OR($N78=2,HW$4&gt;=$C$133),0,IF(IA78&lt;=60,HW78*HY$5,60/HY$4*HY$5)),"")</f>
        <v/>
      </c>
      <c r="IL78" s="713">
        <f>'org. Düngung 22'!BP77</f>
        <v>0</v>
      </c>
      <c r="IM78" s="57"/>
      <c r="IN78" s="57"/>
      <c r="IO78" s="57">
        <f t="shared" ref="IO78:IO113" si="583">IL78*$B78</f>
        <v>0</v>
      </c>
      <c r="IP78" s="57">
        <f t="shared" si="268"/>
        <v>0</v>
      </c>
      <c r="IQ78" s="57">
        <f t="shared" si="269"/>
        <v>0</v>
      </c>
      <c r="IR78" s="57">
        <f t="shared" si="270"/>
        <v>0</v>
      </c>
      <c r="IS78" s="57">
        <f t="shared" si="271"/>
        <v>0</v>
      </c>
      <c r="IT78" s="1029">
        <f t="shared" ref="IT78:IT113" si="584">IF(IL$6&gt;1,IP78,        IF($L78=70,"",         IF(OR($L78=0,$N78=2),IP78, IF(IL$4&gt;=$C$133,IP78,IF(IP78&lt;60,0,IP78-60)))))</f>
        <v>0</v>
      </c>
      <c r="IU78" s="57">
        <f t="shared" ref="IU78:IU113" si="585">IF(OR(IL$6&lt;&gt;2,$J78=2,$F78&gt;1),0,IF(IN$9=2,0,IF(AND(OR(IN$9=3,IN$9=1),IL$4&lt;$C$133),IF(IP78&lt;=60,IL78*IN$5,60/IN$4*IN$5),0)))</f>
        <v>0</v>
      </c>
      <c r="IV78" s="171" t="str">
        <f t="shared" ref="IV78:IV113" si="586">IF(OR(IN$4=0,IL$6=3),"",         IF(IL$6=1,      IF($L78=70,"",IF($F78=1,IT78/IN$4*IN$6,IT78/IN$4*IN$7)),      IF($F78&gt;1,IL78*IN$7,   IF(OR($J78=2,IL$4&gt;=$C$133,IN$9=2),IL78*IN$6,IF(IP78&lt;=60,0,(IP78-60)/IN$4*IN$6)))))</f>
        <v/>
      </c>
      <c r="IW78" s="57">
        <f t="shared" si="272"/>
        <v>0</v>
      </c>
      <c r="IX78" s="57">
        <f>IF(OR(AND(IL$6=1,$L78=0),AND(IL$6=2,$K78=2,$G78=1)),0,IF(AND(IN$9=2,(OR($F78&gt;1,$K78=1,AND($L78=80,OR($N78=1,AND($N78=2,'#BerechnungDBE'!$AL69&gt;0)))))),IF(IL$4&gt;=$AD$126,0,IV78),IF(IN$9=3,IF(OR(IL$4&gt;=$AD$127,AND($G78=1,$J78=2,IL$6=2),AND(IL$6=1,$N78&lt;&gt;1)),0,IF(IP78&lt;=120,IV78,IF(IL$4&lt;$AD$124,IF($F78=1,60/IN$4*IN$6,60/IN$4*IN$7),IF($F78=1,120/IN$4*IN$6,120/IN$4*IN$7)))),IF(OR($F78=3,$G78=2),IF(OR(AND(IL$4&gt;=$AD$119,$C78=2),AND(IL$4&gt;=$AF$119,$C78=1)),0,IF(IP78&lt;=60,IV78,60/IN$4*IN$7)),IF(AND($F78=2,$G78=1),IV78,0)))))</f>
        <v>0</v>
      </c>
      <c r="IY78" s="57" t="str">
        <f t="shared" ref="IY78:IY113" si="587">IF(OR(IL$6&lt;&gt;1,$L78=80),"",IF($M78=1,IL78*IN$6,IL78*IN$7))</f>
        <v/>
      </c>
      <c r="IZ78" s="57" t="str">
        <f t="shared" ref="IZ78:IZ113" si="588">IF(AND(IL$6=1,$L78=80),IF(OR($N78=2,IL$4&gt;=$C$133),0,IF(IP78&lt;=60,IL78*IN$5,60/IN$4*IN$5)),"")</f>
        <v/>
      </c>
      <c r="JA78" s="713">
        <f>'org. Düngung 22'!BT77</f>
        <v>0</v>
      </c>
      <c r="JB78" s="57"/>
      <c r="JC78" s="57"/>
      <c r="JD78" s="57">
        <f t="shared" ref="JD78:JD113" si="589">JA78*$B78</f>
        <v>0</v>
      </c>
      <c r="JE78" s="57">
        <f t="shared" si="273"/>
        <v>0</v>
      </c>
      <c r="JF78" s="57">
        <f t="shared" si="274"/>
        <v>0</v>
      </c>
      <c r="JG78" s="57">
        <f t="shared" si="275"/>
        <v>0</v>
      </c>
      <c r="JH78" s="57">
        <f t="shared" si="276"/>
        <v>0</v>
      </c>
      <c r="JI78" s="1029">
        <f t="shared" ref="JI78:JI113" si="590">IF(JA$6&gt;1,JE78,        IF($L78=70,"",         IF(OR($L78=0,$N78=2),JE78, IF(JA$4&gt;=$C$133,JE78,IF(JE78&lt;60,0,JE78-60)))))</f>
        <v>0</v>
      </c>
      <c r="JJ78" s="57">
        <f t="shared" ref="JJ78:JJ113" si="591">IF(OR(JA$6&lt;&gt;2,$J78=2,$F78&gt;1),0,IF(JC$9=2,0,IF(AND(OR(JC$9=3,JC$9=1),JA$4&lt;$C$133),IF(JE78&lt;=60,JA78*JC$5,60/JC$4*JC$5),0)))</f>
        <v>0</v>
      </c>
      <c r="JK78" s="171" t="str">
        <f t="shared" ref="JK78:JK113" si="592">IF(OR(JC$4=0,JA$6=3),"",         IF(JA$6=1,      IF($L78=70,"",IF($F78=1,JI78/JC$4*JC$6,JI78/JC$4*JC$7)),      IF($F78&gt;1,JA78*JC$7,   IF(OR($J78=2,JA$4&gt;=$C$133,JC$9=2),JA78*JC$6,IF(JE78&lt;=60,0,(JE78-60)/JC$4*JC$6)))))</f>
        <v/>
      </c>
      <c r="JL78" s="57">
        <f t="shared" si="277"/>
        <v>0</v>
      </c>
      <c r="JM78" s="57">
        <f>IF(OR(AND(JA$6=1,$L78=0),AND(JA$6=2,$K78=2,$G78=1)),0,IF(AND(JC$9=2,(OR($F78&gt;1,$K78=1,AND($L78=80,OR($N78=1,AND($N78=2,'#BerechnungDBE'!$AL69&gt;0)))))),IF(JA$4&gt;=$AD$126,0,JK78),IF(JC$9=3,IF(OR(JA$4&gt;=$AD$127,AND($G78=1,$J78=2,JA$6=2),AND(JA$6=1,$N78&lt;&gt;1)),0,IF(JE78&lt;=120,JK78,IF(JA$4&lt;$AD$124,IF($F78=1,60/JC$4*JC$6,60/JC$4*JC$7),IF($F78=1,120/JC$4*JC$6,120/JC$4*JC$7)))),IF(OR($F78=3,$G78=2),IF(OR(AND(JA$4&gt;=$AD$119,$C78=2),AND(JA$4&gt;=$AF$119,$C78=1)),0,IF(JE78&lt;=60,JK78,60/JC$4*JC$7)),IF(AND($F78=2,$G78=1),JK78,0)))))</f>
        <v>0</v>
      </c>
      <c r="JN78" s="57" t="str">
        <f t="shared" ref="JN78:JN113" si="593">IF(OR(JA$6&lt;&gt;1,$L78=80),"",IF($M78=1,JA78*JC$6,JA78*JC$7))</f>
        <v/>
      </c>
      <c r="JO78" s="57" t="str">
        <f t="shared" ref="JO78:JO113" si="594">IF(AND(JA$6=1,$L78=80),IF(OR($N78=2,JA$4&gt;=$C$133),0,IF(JE78&lt;=60,JA78*JC$5,60/JC$4*JC$5)),"")</f>
        <v/>
      </c>
      <c r="JP78" s="713">
        <f>'org. Düngung 22'!BX77</f>
        <v>0</v>
      </c>
      <c r="JQ78" s="57"/>
      <c r="JR78" s="57"/>
      <c r="JS78" s="57">
        <f t="shared" ref="JS78:JS113" si="595">JP78*$B78</f>
        <v>0</v>
      </c>
      <c r="JT78" s="57">
        <f t="shared" si="278"/>
        <v>0</v>
      </c>
      <c r="JU78" s="57">
        <f t="shared" si="279"/>
        <v>0</v>
      </c>
      <c r="JV78" s="57">
        <f t="shared" si="280"/>
        <v>0</v>
      </c>
      <c r="JW78" s="57">
        <f t="shared" si="281"/>
        <v>0</v>
      </c>
      <c r="JX78" s="1029">
        <f t="shared" ref="JX78:JX113" si="596">IF(JP$6&gt;1,JT78,        IF($L78=70,"",         IF(OR($L78=0,$N78=2),JT78, IF(JP$4&gt;=$C$133,JT78,IF(JT78&lt;60,0,JT78-60)))))</f>
        <v>0</v>
      </c>
      <c r="JY78" s="57">
        <f t="shared" ref="JY78:JY113" si="597">IF(OR(JP$6&lt;&gt;2,$J78=2,$F78&gt;1),0,IF(JR$9=2,0,IF(AND(OR(JR$9=3,JR$9=1),JP$4&lt;$C$133),IF(JT78&lt;=60,JP78*JR$5,60/JR$4*JR$5),0)))</f>
        <v>0</v>
      </c>
      <c r="JZ78" s="171" t="str">
        <f t="shared" ref="JZ78:JZ113" si="598">IF(OR(JR$4=0,JP$6=3),"",         IF(JP$6=1,      IF($L78=70,"",IF($F78=1,JX78/JR$4*JR$6,JX78/JR$4*JR$7)),      IF($F78&gt;1,JP78*JR$7,   IF(OR($J78=2,JP$4&gt;=$C$133,JR$9=2),JP78*JR$6,IF(JT78&lt;=60,0,(JT78-60)/JR$4*JR$6)))))</f>
        <v/>
      </c>
      <c r="KA78" s="57">
        <f t="shared" si="282"/>
        <v>0</v>
      </c>
      <c r="KB78" s="57">
        <f>IF(OR(AND(JP$6=1,$L78=0),AND(JP$6=2,$K78=2,$G78=1)),0,IF(AND(JR$9=2,(OR($F78&gt;1,$K78=1,AND($L78=80,OR($N78=1,AND($N78=2,'#BerechnungDBE'!$AL69&gt;0)))))),IF(JP$4&gt;=$AD$126,0,JZ78),IF(JR$9=3,IF(OR(JP$4&gt;=$AD$127,AND($G78=1,$J78=2,JP$6=2),AND(JP$6=1,$N78&lt;&gt;1)),0,IF(JT78&lt;=120,JZ78,IF(JP$4&lt;$AD$124,IF($F78=1,60/JR$4*JR$6,60/JR$4*JR$7),IF($F78=1,120/JR$4*JR$6,120/JR$4*JR$7)))),IF(OR($F78=3,$G78=2),IF(OR(AND(JP$4&gt;=$AD$119,$C78=2),AND(JP$4&gt;=$AF$119,$C78=1)),0,IF(JT78&lt;=60,JZ78,60/JR$4*JR$7)),IF(AND($F78=2,$G78=1),JZ78,0)))))</f>
        <v>0</v>
      </c>
      <c r="KC78" s="57" t="str">
        <f t="shared" ref="KC78:KC113" si="599">IF(OR(JP$6&lt;&gt;1,$L78=80),"",IF($M78=1,JP78*JR$6,JP78*JR$7))</f>
        <v/>
      </c>
      <c r="KD78" s="57" t="str">
        <f t="shared" ref="KD78:KD113" si="600">IF(AND(JP$6=1,$L78=80),IF(OR($N78=2,JP$4&gt;=$C$133),0,IF(JT78&lt;=60,JP78*JR$5,60/JR$4*JR$5)),"")</f>
        <v/>
      </c>
      <c r="KE78" s="713">
        <f>'org. Düngung 22'!CB77</f>
        <v>0</v>
      </c>
      <c r="KF78" s="57"/>
      <c r="KG78" s="57"/>
      <c r="KH78" s="57">
        <f t="shared" ref="KH78:KH113" si="601">KE78*$B78</f>
        <v>0</v>
      </c>
      <c r="KI78" s="57">
        <f t="shared" si="283"/>
        <v>0</v>
      </c>
      <c r="KJ78" s="57">
        <f t="shared" si="284"/>
        <v>0</v>
      </c>
      <c r="KK78" s="57">
        <f t="shared" si="285"/>
        <v>0</v>
      </c>
      <c r="KL78" s="57">
        <f t="shared" si="286"/>
        <v>0</v>
      </c>
      <c r="KM78" s="1029">
        <f t="shared" ref="KM78:KM113" si="602">IF(KE$6&gt;1,KI78,        IF($L78=70,"",         IF(OR($L78=0,$N78=2),KI78, IF(KE$4&gt;=$C$133,KI78,IF(KI78&lt;60,0,KI78-60)))))</f>
        <v>0</v>
      </c>
      <c r="KN78" s="57">
        <f t="shared" ref="KN78:KN113" si="603">IF(OR(KE$6&lt;&gt;2,$J78=2,$F78&gt;1),0,IF(KG$9=2,0,IF(AND(OR(KG$9=3,KG$9=1),KE$4&lt;$C$133),IF(KI78&lt;=60,KE78*KG$5,60/KG$4*KG$5),0)))</f>
        <v>0</v>
      </c>
      <c r="KO78" s="171" t="str">
        <f t="shared" ref="KO78:KO113" si="604">IF(OR(KG$4=0,KE$6=3),"",         IF(KE$6=1,      IF($L78=70,"",IF($F78=1,KM78/KG$4*KG$6,KM78/KG$4*KG$7)),      IF($F78&gt;1,KE78*KG$7,   IF(OR($J78=2,KE$4&gt;=$C$133,KG$9=2),KE78*KG$6,IF(KI78&lt;=60,0,(KI78-60)/KG$4*KG$6)))))</f>
        <v/>
      </c>
      <c r="KP78" s="57">
        <f t="shared" si="287"/>
        <v>0</v>
      </c>
      <c r="KQ78" s="57">
        <f>IF(OR(AND(KE$6=1,$L78=0),AND(KE$6=2,$K78=2,$G78=1)),0,IF(AND(KG$9=2,(OR($F78&gt;1,$K78=1,AND($L78=80,OR($N78=1,AND($N78=2,'#BerechnungDBE'!$AL69&gt;0)))))),IF(KE$4&gt;=$AD$126,0,KO78),IF(KG$9=3,IF(OR(KE$4&gt;=$AD$127,AND($G78=1,$J78=2,KE$6=2),AND(KE$6=1,$N78&lt;&gt;1)),0,IF(KI78&lt;=120,KO78,IF(KE$4&lt;$AD$124,IF($F78=1,60/KG$4*KG$6,60/KG$4*KG$7),IF($F78=1,120/KG$4*KG$6,120/KG$4*KG$7)))),IF(OR($F78=3,$G78=2),IF(OR(AND(KE$4&gt;=$AD$119,$C78=2),AND(KE$4&gt;=$AF$119,$C78=1)),0,IF(KI78&lt;=60,KO78,60/KG$4*KG$7)),IF(AND($F78=2,$G78=1),KO78,0)))))</f>
        <v>0</v>
      </c>
      <c r="KR78" s="57" t="str">
        <f t="shared" ref="KR78:KR113" si="605">IF(OR(KE$6&lt;&gt;1,$L78=80),"",IF($M78=1,KE78*KG$6,KE78*KG$7))</f>
        <v/>
      </c>
      <c r="KS78" s="57" t="str">
        <f t="shared" ref="KS78:KS113" si="606">IF(AND(KE$6=1,$L78=80),IF(OR($N78=2,KE$4&gt;=$C$133),0,IF(KI78&lt;=60,KE78*KG$5,60/KG$4*KG$5)),"")</f>
        <v/>
      </c>
      <c r="KT78" s="713">
        <f>'org. Düngung 22'!CF77</f>
        <v>0</v>
      </c>
      <c r="KU78" s="57"/>
      <c r="KV78" s="57"/>
      <c r="KW78" s="57">
        <f t="shared" ref="KW78:KW113" si="607">KT78*$B78</f>
        <v>0</v>
      </c>
      <c r="KX78" s="57">
        <f t="shared" si="288"/>
        <v>0</v>
      </c>
      <c r="KY78" s="57">
        <f t="shared" si="289"/>
        <v>0</v>
      </c>
      <c r="KZ78" s="57">
        <f t="shared" si="290"/>
        <v>0</v>
      </c>
      <c r="LA78" s="57">
        <f t="shared" si="291"/>
        <v>0</v>
      </c>
      <c r="LB78" s="1029">
        <f t="shared" ref="LB78:LB113" si="608">IF(KT$6&gt;1,KX78,        IF($L78=70,"",         IF(OR($L78=0,$N78=2),KX78, IF(KT$4&gt;=$C$133,KX78,IF(KX78&lt;60,0,KX78-60)))))</f>
        <v>0</v>
      </c>
      <c r="LC78" s="57">
        <f t="shared" ref="LC78:LC113" si="609">IF(OR(KT$6&lt;&gt;2,$J78=2,$F78&gt;1),0,IF(KV$9=2,0,IF(AND(OR(KV$9=3,KV$9=1),KT$4&lt;$C$133),IF(KX78&lt;=60,KT78*KV$5,60/KV$4*KV$5),0)))</f>
        <v>0</v>
      </c>
      <c r="LD78" s="171" t="str">
        <f t="shared" ref="LD78:LD113" si="610">IF(OR(KV$4=0,KT$6=3),"",         IF(KT$6=1,      IF($L78=70,"",IF($F78=1,LB78/KV$4*KV$6,LB78/KV$4*KV$7)),      IF($F78&gt;1,KT78*KV$7,   IF(OR($J78=2,KT$4&gt;=$C$133,KV$9=2),KT78*KV$6,IF(KX78&lt;=60,0,(KX78-60)/KV$4*KV$6)))))</f>
        <v/>
      </c>
      <c r="LE78" s="57">
        <f t="shared" si="292"/>
        <v>0</v>
      </c>
      <c r="LF78" s="57">
        <f>IF(OR(AND(KT$6=1,$L78=0),AND(KT$6=2,$K78=2,$G78=1)),0,IF(AND(KV$9=2,(OR($F78&gt;1,$K78=1,AND($L78=80,OR($N78=1,AND($N78=2,'#BerechnungDBE'!$AL69&gt;0)))))),IF(KT$4&gt;=$AD$126,0,LD78),IF(KV$9=3,IF(OR(KT$4&gt;=$AD$127,AND($G78=1,$J78=2,KT$6=2),AND(KT$6=1,$N78&lt;&gt;1)),0,IF(KX78&lt;=120,LD78,IF(KT$4&lt;$AD$124,IF($F78=1,60/KV$4*KV$6,60/KV$4*KV$7),IF($F78=1,120/KV$4*KV$6,120/KV$4*KV$7)))),IF(OR($F78=3,$G78=2),IF(OR(AND(KT$4&gt;=$AD$119,$C78=2),AND(KT$4&gt;=$AF$119,$C78=1)),0,IF(KX78&lt;=60,LD78,60/KV$4*KV$7)),IF(AND($F78=2,$G78=1),LD78,0)))))</f>
        <v>0</v>
      </c>
      <c r="LG78" s="57" t="str">
        <f t="shared" ref="LG78:LG113" si="611">IF(OR(KT$6&lt;&gt;1,$L78=80),"",IF($M78=1,KT78*KV$6,KT78*KV$7))</f>
        <v/>
      </c>
      <c r="LH78" s="57" t="str">
        <f t="shared" ref="LH78:LH113" si="612">IF(AND(KT$6=1,$L78=80),IF(OR($N78=2,KT$4&gt;=$C$133),0,IF(KX78&lt;=60,KT78*KV$5,60/KV$4*KV$5)),"")</f>
        <v/>
      </c>
      <c r="LI78" s="713">
        <f>'org. Düngung 22'!CJ77</f>
        <v>0</v>
      </c>
      <c r="LJ78" s="57"/>
      <c r="LK78" s="57"/>
      <c r="LL78" s="57">
        <f t="shared" ref="LL78:LL113" si="613">LI78*$B78</f>
        <v>0</v>
      </c>
      <c r="LM78" s="57">
        <f t="shared" si="293"/>
        <v>0</v>
      </c>
      <c r="LN78" s="57">
        <f t="shared" si="294"/>
        <v>0</v>
      </c>
      <c r="LO78" s="57">
        <f t="shared" si="295"/>
        <v>0</v>
      </c>
      <c r="LP78" s="57">
        <f t="shared" si="296"/>
        <v>0</v>
      </c>
      <c r="LQ78" s="1029">
        <f t="shared" ref="LQ78:LQ113" si="614">IF(LI$6&gt;1,LM78,        IF($L78=70,"",         IF(OR($L78=0,$N78=2),LM78, IF(LI$4&gt;=$C$133,LM78,IF(LM78&lt;60,0,LM78-60)))))</f>
        <v>0</v>
      </c>
      <c r="LR78" s="57">
        <f t="shared" ref="LR78:LR113" si="615">IF(OR(LI$6&lt;&gt;2,$J78=2,$F78&gt;1),0,IF(LK$9=2,0,IF(AND(OR(LK$9=3,LK$9=1),LI$4&lt;$C$133),IF(LM78&lt;=60,LI78*LK$5,60/LK$4*LK$5),0)))</f>
        <v>0</v>
      </c>
      <c r="LS78" s="171" t="str">
        <f t="shared" ref="LS78:LS113" si="616">IF(OR(LK$4=0,LI$6=3),"",         IF(LI$6=1,      IF($L78=70,"",IF($F78=1,LQ78/LK$4*LK$6,LQ78/LK$4*LK$7)),      IF($F78&gt;1,LI78*LK$7,   IF(OR($J78=2,LI$4&gt;=$C$133,LK$9=2),LI78*LK$6,IF(LM78&lt;=60,0,(LM78-60)/LK$4*LK$6)))))</f>
        <v/>
      </c>
      <c r="LT78" s="57">
        <f t="shared" si="297"/>
        <v>0</v>
      </c>
      <c r="LU78" s="57">
        <f>IF(OR(AND(LI$6=1,$L78=0),AND(LI$6=2,$K78=2,$G78=1)),0,IF(AND(LK$9=2,(OR($F78&gt;1,$K78=1,AND($L78=80,OR($N78=1,AND($N78=2,'#BerechnungDBE'!$AL69&gt;0)))))),IF(LI$4&gt;=$AD$126,0,LS78),IF(LK$9=3,IF(OR(LI$4&gt;=$AD$127,AND($G78=1,$J78=2,LI$6=2),AND(LI$6=1,$N78&lt;&gt;1)),0,IF(LM78&lt;=120,LS78,IF(LI$4&lt;$AD$124,IF($F78=1,60/LK$4*LK$6,60/LK$4*LK$7),IF($F78=1,120/LK$4*LK$6,120/LK$4*LK$7)))),IF(OR($F78=3,$G78=2),IF(OR(AND(LI$4&gt;=$AD$119,$C78=2),AND(LI$4&gt;=$AF$119,$C78=1)),0,IF(LM78&lt;=60,LS78,60/LK$4*LK$7)),IF(AND($F78=2,$G78=1),LS78,0)))))</f>
        <v>0</v>
      </c>
      <c r="LV78" s="57" t="str">
        <f t="shared" ref="LV78:LV113" si="617">IF(OR(LI$6&lt;&gt;1,$L78=80),"",IF($M78=1,LI78*LK$6,LI78*LK$7))</f>
        <v/>
      </c>
      <c r="LW78" s="57" t="str">
        <f t="shared" ref="LW78:LW113" si="618">IF(AND(LI$6=1,$L78=80),IF(OR($N78=2,LI$4&gt;=$C$133),0,IF(LM78&lt;=60,LI78*LK$5,60/LK$4*LK$5)),"")</f>
        <v/>
      </c>
      <c r="LX78" s="713">
        <f>'org. Düngung 22'!CN77</f>
        <v>0</v>
      </c>
      <c r="LY78" s="57"/>
      <c r="LZ78" s="57"/>
      <c r="MA78" s="57">
        <f t="shared" ref="MA78:MA113" si="619">LX78*$B78</f>
        <v>0</v>
      </c>
      <c r="MB78" s="57">
        <f t="shared" si="298"/>
        <v>0</v>
      </c>
      <c r="MC78" s="57">
        <f t="shared" si="299"/>
        <v>0</v>
      </c>
      <c r="MD78" s="57">
        <f t="shared" si="300"/>
        <v>0</v>
      </c>
      <c r="ME78" s="57">
        <f t="shared" si="301"/>
        <v>0</v>
      </c>
      <c r="MF78" s="1029">
        <f t="shared" ref="MF78:MF113" si="620">IF(LX$6&gt;1,MB78,        IF($L78=70,"",         IF(OR($L78=0,$N78=2),MB78, IF(LX$4&gt;=$C$133,MB78,IF(MB78&lt;60,0,MB78-60)))))</f>
        <v>0</v>
      </c>
      <c r="MG78" s="57">
        <f t="shared" ref="MG78:MG113" si="621">IF(OR(LX$6&lt;&gt;2,$J78=2,$F78&gt;1),0,IF(LZ$9=2,0,IF(AND(OR(LZ$9=3,LZ$9=1),LX$4&lt;$C$133),IF(MB78&lt;=60,LX78*LZ$5,60/LZ$4*LZ$5),0)))</f>
        <v>0</v>
      </c>
      <c r="MH78" s="171" t="str">
        <f t="shared" ref="MH78:MH113" si="622">IF(OR(LZ$4=0,LX$6=3),"",         IF(LX$6=1,      IF($L78=70,"",IF($F78=1,MF78/LZ$4*LZ$6,MF78/LZ$4*LZ$7)),      IF($F78&gt;1,LX78*LZ$7,   IF(OR($J78=2,LX$4&gt;=$C$133,LZ$9=2),LX78*LZ$6,IF(MB78&lt;=60,0,(MB78-60)/LZ$4*LZ$6)))))</f>
        <v/>
      </c>
      <c r="MI78" s="57">
        <f t="shared" si="302"/>
        <v>0</v>
      </c>
      <c r="MJ78" s="57">
        <f>IF(OR(AND(LX$6=1,$L78=0),AND(LX$6=2,$K78=2,$G78=1)),0,IF(AND(LZ$9=2,(OR($F78&gt;1,$K78=1,AND($L78=80,OR($N78=1,AND($N78=2,'#BerechnungDBE'!$AL69&gt;0)))))),IF(LX$4&gt;=$AD$126,0,MH78),IF(LZ$9=3,IF(OR(LX$4&gt;=$AD$127,AND($G78=1,$J78=2,LX$6=2),AND(LX$6=1,$N78&lt;&gt;1)),0,IF(MB78&lt;=120,MH78,IF(LX$4&lt;$AD$124,IF($F78=1,60/LZ$4*LZ$6,60/LZ$4*LZ$7),IF($F78=1,120/LZ$4*LZ$6,120/LZ$4*LZ$7)))),IF(OR($F78=3,$G78=2),IF(OR(AND(LX$4&gt;=$AD$119,$C78=2),AND(LX$4&gt;=$AF$119,$C78=1)),0,IF(MB78&lt;=60,MH78,60/LZ$4*LZ$7)),IF(AND($F78=2,$G78=1),MH78,0)))))</f>
        <v>0</v>
      </c>
      <c r="MK78" s="57" t="str">
        <f t="shared" ref="MK78:MK113" si="623">IF(OR(LX$6&lt;&gt;1,$L78=80),"",IF($M78=1,LX78*LZ$6,LX78*LZ$7))</f>
        <v/>
      </c>
      <c r="ML78" s="57" t="str">
        <f t="shared" ref="ML78:ML113" si="624">IF(AND(LX$6=1,$L78=80),IF(OR($N78=2,LX$4&gt;=$C$133),0,IF(MB78&lt;=60,LX78*LZ$5,60/LZ$4*LZ$5)),"")</f>
        <v/>
      </c>
      <c r="MM78" s="713">
        <f>'org. Düngung 22'!CR77</f>
        <v>0</v>
      </c>
      <c r="MN78" s="57"/>
      <c r="MO78" s="57"/>
      <c r="MP78" s="57">
        <f t="shared" ref="MP78:MP113" si="625">MM78*$B78</f>
        <v>0</v>
      </c>
      <c r="MQ78" s="57">
        <f t="shared" si="303"/>
        <v>0</v>
      </c>
      <c r="MR78" s="57">
        <f t="shared" si="304"/>
        <v>0</v>
      </c>
      <c r="MS78" s="57">
        <f t="shared" si="305"/>
        <v>0</v>
      </c>
      <c r="MT78" s="57">
        <f t="shared" si="306"/>
        <v>0</v>
      </c>
      <c r="MU78" s="1029">
        <f t="shared" ref="MU78:MU113" si="626">IF(MM$6&gt;1,MQ78,        IF($L78=70,"",         IF(OR($L78=0,$N78=2),MQ78, IF(MM$4&gt;=$C$133,MQ78,IF(MQ78&lt;60,0,MQ78-60)))))</f>
        <v>0</v>
      </c>
      <c r="MV78" s="57">
        <f t="shared" ref="MV78:MV113" si="627">IF(OR(MM$6&lt;&gt;2,$J78=2,$F78&gt;1),0,IF(MO$9=2,0,IF(AND(OR(MO$9=3,MO$9=1),MM$4&lt;$C$133),IF(MQ78&lt;=60,MM78*MO$5,60/MO$4*MO$5),0)))</f>
        <v>0</v>
      </c>
      <c r="MW78" s="171" t="str">
        <f t="shared" ref="MW78:MW113" si="628">IF(OR(MO$4=0,MM$6=3),"",         IF(MM$6=1,      IF($L78=70,"",IF($F78=1,MU78/MO$4*MO$6,MU78/MO$4*MO$7)),      IF($F78&gt;1,MM78*MO$7,   IF(OR($J78=2,MM$4&gt;=$C$133,MO$9=2),MM78*MO$6,IF(MQ78&lt;=60,0,(MQ78-60)/MO$4*MO$6)))))</f>
        <v/>
      </c>
      <c r="MX78" s="57">
        <f t="shared" si="307"/>
        <v>0</v>
      </c>
      <c r="MY78" s="57">
        <f>IF(OR(AND(MM$6=1,$L78=0),AND(MM$6=2,$K78=2,$G78=1)),0,IF(AND(MO$9=2,(OR($F78&gt;1,$K78=1,AND($L78=80,OR($N78=1,AND($N78=2,'#BerechnungDBE'!$AL69&gt;0)))))),IF(MM$4&gt;=$AD$126,0,MW78),IF(MO$9=3,IF(OR(MM$4&gt;=$AD$127,AND($G78=1,$J78=2,MM$6=2),AND(MM$6=1,$N78&lt;&gt;1)),0,IF(MQ78&lt;=120,MW78,IF(MM$4&lt;$AD$124,IF($F78=1,60/MO$4*MO$6,60/MO$4*MO$7),IF($F78=1,120/MO$4*MO$6,120/MO$4*MO$7)))),IF(OR($F78=3,$G78=2),IF(OR(AND(MM$4&gt;=$AD$119,$C78=2),AND(MM$4&gt;=$AF$119,$C78=1)),0,IF(MQ78&lt;=60,MW78,60/MO$4*MO$7)),IF(AND($F78=2,$G78=1),MW78,0)))))</f>
        <v>0</v>
      </c>
      <c r="MZ78" s="57" t="str">
        <f t="shared" ref="MZ78:MZ113" si="629">IF(OR(MM$6&lt;&gt;1,$L78=80),"",IF($M78=1,MM78*MO$6,MM78*MO$7))</f>
        <v/>
      </c>
      <c r="NA78" s="57" t="str">
        <f t="shared" ref="NA78:NA113" si="630">IF(AND(MM$6=1,$L78=80),IF(OR($N78=2,MM$4&gt;=$C$133),0,IF(MQ78&lt;=60,MM78*MO$5,60/MO$4*MO$5)),"")</f>
        <v/>
      </c>
      <c r="NB78" s="713">
        <f>'org. Düngung 22'!CV77</f>
        <v>0</v>
      </c>
      <c r="NC78" s="57"/>
      <c r="ND78" s="57"/>
      <c r="NE78" s="57">
        <f t="shared" ref="NE78:NE113" si="631">NB78*$B78</f>
        <v>0</v>
      </c>
      <c r="NF78" s="57">
        <f t="shared" si="308"/>
        <v>0</v>
      </c>
      <c r="NG78" s="57">
        <f t="shared" si="309"/>
        <v>0</v>
      </c>
      <c r="NH78" s="57">
        <f t="shared" si="310"/>
        <v>0</v>
      </c>
      <c r="NI78" s="57">
        <f t="shared" si="311"/>
        <v>0</v>
      </c>
      <c r="NJ78" s="1029">
        <f t="shared" ref="NJ78:NJ113" si="632">IF(NB$6&gt;1,NF78,        IF($L78=70,"",         IF(OR($L78=0,$N78=2),NF78, IF(NB$4&gt;=$C$133,NF78,IF(NF78&lt;60,0,NF78-60)))))</f>
        <v>0</v>
      </c>
      <c r="NK78" s="57">
        <f t="shared" ref="NK78:NK113" si="633">IF(OR(NB$6&lt;&gt;2,$J78=2,$F78&gt;1),0,IF(ND$9=2,0,IF(AND(OR(ND$9=3,ND$9=1),NB$4&lt;$C$133),IF(NF78&lt;=60,NB78*ND$5,60/ND$4*ND$5),0)))</f>
        <v>0</v>
      </c>
      <c r="NL78" s="171" t="str">
        <f t="shared" ref="NL78:NL113" si="634">IF(OR(ND$4=0,NB$6=3),"",         IF(NB$6=1,      IF($L78=70,"",IF($F78=1,NJ78/ND$4*ND$6,NJ78/ND$4*ND$7)),      IF($F78&gt;1,NB78*ND$7,   IF(OR($J78=2,NB$4&gt;=$C$133,ND$9=2),NB78*ND$6,IF(NF78&lt;=60,0,(NF78-60)/ND$4*ND$6)))))</f>
        <v/>
      </c>
      <c r="NM78" s="57">
        <f t="shared" si="312"/>
        <v>0</v>
      </c>
      <c r="NN78" s="57">
        <f>IF(OR(AND(NB$6=1,$L78=0),AND(NB$6=2,$K78=2,$G78=1)),0,IF(AND(ND$9=2,(OR($F78&gt;1,$K78=1,AND($L78=80,OR($N78=1,AND($N78=2,'#BerechnungDBE'!$AL69&gt;0)))))),IF(NB$4&gt;=$AD$126,0,NL78),IF(ND$9=3,IF(OR(NB$4&gt;=$AD$127,AND($G78=1,$J78=2,NB$6=2),AND(NB$6=1,$N78&lt;&gt;1)),0,IF(NF78&lt;=120,NL78,IF(NB$4&lt;$AD$124,IF($F78=1,60/ND$4*ND$6,60/ND$4*ND$7),IF($F78=1,120/ND$4*ND$6,120/ND$4*ND$7)))),IF(OR($F78=3,$G78=2),IF(OR(AND(NB$4&gt;=$AD$119,$C78=2),AND(NB$4&gt;=$AF$119,$C78=1)),0,IF(NF78&lt;=60,NL78,60/ND$4*ND$7)),IF(AND($F78=2,$G78=1),NL78,0)))))</f>
        <v>0</v>
      </c>
      <c r="NO78" s="57" t="str">
        <f t="shared" ref="NO78:NO113" si="635">IF(OR(NB$6&lt;&gt;1,$L78=80),"",IF($M78=1,NB78*ND$6,NB78*ND$7))</f>
        <v/>
      </c>
      <c r="NP78" s="57" t="str">
        <f t="shared" ref="NP78:NP113" si="636">IF(AND(NB$6=1,$L78=80),IF(OR($N78=2,NB$4&gt;=$C$133),0,IF(NF78&lt;=60,NB78*ND$5,60/ND$4*ND$5)),"")</f>
        <v/>
      </c>
      <c r="NQ78" s="713">
        <f>'org. Düngung 22'!CZ77</f>
        <v>0</v>
      </c>
      <c r="NR78" s="57"/>
      <c r="NS78" s="57"/>
      <c r="NT78" s="57">
        <f t="shared" ref="NT78:NT113" si="637">NQ78*$B78</f>
        <v>0</v>
      </c>
      <c r="NU78" s="57">
        <f t="shared" si="313"/>
        <v>0</v>
      </c>
      <c r="NV78" s="57">
        <f t="shared" si="314"/>
        <v>0</v>
      </c>
      <c r="NW78" s="57">
        <f t="shared" si="315"/>
        <v>0</v>
      </c>
      <c r="NX78" s="57">
        <f t="shared" si="316"/>
        <v>0</v>
      </c>
      <c r="NY78" s="1029">
        <f t="shared" ref="NY78:NY113" si="638">IF(NQ$6&gt;1,NU78,        IF($L78=70,"",         IF(OR($L78=0,$N78=2),NU78, IF(NQ$4&gt;=$C$133,NU78,IF(NU78&lt;60,0,NU78-60)))))</f>
        <v>0</v>
      </c>
      <c r="NZ78" s="57">
        <f t="shared" ref="NZ78:NZ113" si="639">IF(OR(NQ$6&lt;&gt;2,$J78=2,$F78&gt;1),0,IF(NS$9=2,0,IF(AND(OR(NS$9=3,NS$9=1),NQ$4&lt;$C$133),IF(NU78&lt;=60,NQ78*NS$5,60/NS$4*NS$5),0)))</f>
        <v>0</v>
      </c>
      <c r="OA78" s="171" t="str">
        <f t="shared" ref="OA78:OA113" si="640">IF(OR(NS$4=0,NQ$6=3),"",         IF(NQ$6=1,      IF($L78=70,"",IF($F78=1,NY78/NS$4*NS$6,NY78/NS$4*NS$7)),      IF($F78&gt;1,NQ78*NS$7,   IF(OR($J78=2,NQ$4&gt;=$C$133,NS$9=2),NQ78*NS$6,IF(NU78&lt;=60,0,(NU78-60)/NS$4*NS$6)))))</f>
        <v/>
      </c>
      <c r="OB78" s="57">
        <f t="shared" si="317"/>
        <v>0</v>
      </c>
      <c r="OC78" s="57">
        <f>IF(OR(AND(NQ$6=1,$L78=0),AND(NQ$6=2,$K78=2,$G78=1)),0,IF(AND(NS$9=2,(OR($F78&gt;1,$K78=1,AND($L78=80,OR($N78=1,AND($N78=2,'#BerechnungDBE'!$AL69&gt;0)))))),IF(NQ$4&gt;=$AD$126,0,OA78),IF(NS$9=3,IF(OR(NQ$4&gt;=$AD$127,AND($G78=1,$J78=2,NQ$6=2),AND(NQ$6=1,$N78&lt;&gt;1)),0,IF(NU78&lt;=120,OA78,IF(NQ$4&lt;$AD$124,IF($F78=1,60/NS$4*NS$6,60/NS$4*NS$7),IF($F78=1,120/NS$4*NS$6,120/NS$4*NS$7)))),IF(OR($F78=3,$G78=2),IF(OR(AND(NQ$4&gt;=$AD$119,$C78=2),AND(NQ$4&gt;=$AF$119,$C78=1)),0,IF(NU78&lt;=60,OA78,60/NS$4*NS$7)),IF(AND($F78=2,$G78=1),OA78,0)))))</f>
        <v>0</v>
      </c>
      <c r="OD78" s="57" t="str">
        <f t="shared" ref="OD78:OD113" si="641">IF(OR(NQ$6&lt;&gt;1,$L78=80),"",IF($M78=1,NQ78*NS$6,NQ78*NS$7))</f>
        <v/>
      </c>
      <c r="OE78" s="57" t="str">
        <f t="shared" ref="OE78:OE113" si="642">IF(AND(NQ$6=1,$L78=80),IF(OR($N78=2,NQ$4&gt;=$C$133),0,IF(NU78&lt;=60,NQ78*NS$5,60/NS$4*NS$5)),"")</f>
        <v/>
      </c>
      <c r="OF78" s="713">
        <f>'org. Düngung 22'!DD77</f>
        <v>0</v>
      </c>
      <c r="OG78" s="57"/>
      <c r="OH78" s="57"/>
      <c r="OI78" s="57">
        <f t="shared" ref="OI78:OI113" si="643">OF78*$B78</f>
        <v>0</v>
      </c>
      <c r="OJ78" s="57">
        <f t="shared" si="318"/>
        <v>0</v>
      </c>
      <c r="OK78" s="57">
        <f t="shared" si="319"/>
        <v>0</v>
      </c>
      <c r="OL78" s="57">
        <f t="shared" si="320"/>
        <v>0</v>
      </c>
      <c r="OM78" s="57">
        <f t="shared" si="321"/>
        <v>0</v>
      </c>
      <c r="ON78" s="1029">
        <f t="shared" ref="ON78:ON113" si="644">IF(OF$6&gt;1,OJ78,        IF($L78=70,"",         IF(OR($L78=0,$N78=2),OJ78, IF(OF$4&gt;=$C$133,OJ78,IF(OJ78&lt;60,0,OJ78-60)))))</f>
        <v>0</v>
      </c>
      <c r="OO78" s="57">
        <f t="shared" ref="OO78:OO113" si="645">IF(OR(OF$6&lt;&gt;2,$J78=2,$F78&gt;1),0,IF(OH$9=2,0,IF(AND(OR(OH$9=3,OH$9=1),OF$4&lt;$C$133),IF(OJ78&lt;=60,OF78*OH$5,60/OH$4*OH$5),0)))</f>
        <v>0</v>
      </c>
      <c r="OP78" s="171" t="str">
        <f t="shared" ref="OP78:OP113" si="646">IF(OR(OH$4=0,OF$6=3),"",         IF(OF$6=1,      IF($L78=70,"",IF($F78=1,ON78/OH$4*OH$6,ON78/OH$4*OH$7)),      IF($F78&gt;1,OF78*OH$7,   IF(OR($J78=2,OF$4&gt;=$C$133,OH$9=2),OF78*OH$6,IF(OJ78&lt;=60,0,(OJ78-60)/OH$4*OH$6)))))</f>
        <v/>
      </c>
      <c r="OQ78" s="57">
        <f t="shared" si="322"/>
        <v>0</v>
      </c>
      <c r="OR78" s="57">
        <f>IF(OR(AND(OF$6=1,$L78=0),AND(OF$6=2,$K78=2,$G78=1)),0,IF(AND(OH$9=2,(OR($F78&gt;1,$K78=1,AND($L78=80,OR($N78=1,AND($N78=2,'#BerechnungDBE'!$AL69&gt;0)))))),IF(OF$4&gt;=$AD$126,0,OP78),IF(OH$9=3,IF(OR(OF$4&gt;=$AD$127,AND($G78=1,$J78=2,OF$6=2),AND(OF$6=1,$N78&lt;&gt;1)),0,IF(OJ78&lt;=120,OP78,IF(OF$4&lt;$AD$124,IF($F78=1,60/OH$4*OH$6,60/OH$4*OH$7),IF($F78=1,120/OH$4*OH$6,120/OH$4*OH$7)))),IF(OR($F78=3,$G78=2),IF(OR(AND(OF$4&gt;=$AD$119,$C78=2),AND(OF$4&gt;=$AF$119,$C78=1)),0,IF(OJ78&lt;=60,OP78,60/OH$4*OH$7)),IF(AND($F78=2,$G78=1),OP78,0)))))</f>
        <v>0</v>
      </c>
      <c r="OS78" s="57" t="str">
        <f t="shared" ref="OS78:OS113" si="647">IF(OR(OF$6&lt;&gt;1,$L78=80),"",IF($M78=1,OF78*OH$6,OF78*OH$7))</f>
        <v/>
      </c>
      <c r="OT78" s="57" t="str">
        <f t="shared" ref="OT78:OT113" si="648">IF(AND(OF$6=1,$L78=80),IF(OR($N78=2,OF$4&gt;=$C$133),0,IF(OJ78&lt;=60,OF78*OH$5,60/OH$4*OH$5)),"")</f>
        <v/>
      </c>
      <c r="OU78" s="713">
        <f>'org. Düngung 22'!DH77</f>
        <v>0</v>
      </c>
      <c r="OV78" s="57"/>
      <c r="OW78" s="57"/>
      <c r="OX78" s="57">
        <f t="shared" ref="OX78:OX113" si="649">OU78*$B78</f>
        <v>0</v>
      </c>
      <c r="OY78" s="57">
        <f t="shared" si="323"/>
        <v>0</v>
      </c>
      <c r="OZ78" s="57">
        <f t="shared" si="324"/>
        <v>0</v>
      </c>
      <c r="PA78" s="57">
        <f t="shared" si="325"/>
        <v>0</v>
      </c>
      <c r="PB78" s="57">
        <f t="shared" si="326"/>
        <v>0</v>
      </c>
      <c r="PC78" s="1029">
        <f t="shared" ref="PC78:PC113" si="650">IF(OU$6&gt;1,OY78,        IF($L78=70,"",         IF(OR($L78=0,$N78=2),OY78, IF(OU$4&gt;=$C$133,OY78,IF(OY78&lt;60,0,OY78-60)))))</f>
        <v>0</v>
      </c>
      <c r="PD78" s="57">
        <f t="shared" ref="PD78:PD113" si="651">IF(OR(OU$6&lt;&gt;2,$J78=2,$F78&gt;1),0,IF(OW$9=2,0,IF(AND(OR(OW$9=3,OW$9=1),OU$4&lt;$C$133),IF(OY78&lt;=60,OU78*OW$5,60/OW$4*OW$5),0)))</f>
        <v>0</v>
      </c>
      <c r="PE78" s="171" t="str">
        <f t="shared" ref="PE78:PE113" si="652">IF(OR(OW$4=0,OU$6=3),"",         IF(OU$6=1,      IF($L78=70,"",IF($F78=1,PC78/OW$4*OW$6,PC78/OW$4*OW$7)),      IF($F78&gt;1,OU78*OW$7,   IF(OR($J78=2,OU$4&gt;=$C$133,OW$9=2),OU78*OW$6,IF(OY78&lt;=60,0,(OY78-60)/OW$4*OW$6)))))</f>
        <v/>
      </c>
      <c r="PF78" s="57">
        <f t="shared" si="327"/>
        <v>0</v>
      </c>
      <c r="PG78" s="57">
        <f>IF(OR(AND(OU$6=1,$L78=0),AND(OU$6=2,$K78=2,$G78=1)),0,IF(AND(OW$9=2,(OR($F78&gt;1,$K78=1,AND($L78=80,OR($N78=1,AND($N78=2,'#BerechnungDBE'!$AL69&gt;0)))))),IF(OU$4&gt;=$AD$126,0,PE78),IF(OW$9=3,IF(OR(OU$4&gt;=$AD$127,AND($G78=1,$J78=2,OU$6=2),AND(OU$6=1,$N78&lt;&gt;1)),0,IF(OY78&lt;=120,PE78,IF(OU$4&lt;$AD$124,IF($F78=1,60/OW$4*OW$6,60/OW$4*OW$7),IF($F78=1,120/OW$4*OW$6,120/OW$4*OW$7)))),IF(OR($F78=3,$G78=2),IF(OR(AND(OU$4&gt;=$AD$119,$C78=2),AND(OU$4&gt;=$AF$119,$C78=1)),0,IF(OY78&lt;=60,PE78,60/OW$4*OW$7)),IF(AND($F78=2,$G78=1),PE78,0)))))</f>
        <v>0</v>
      </c>
      <c r="PH78" s="57" t="str">
        <f t="shared" ref="PH78:PH113" si="653">IF(OR(OU$6&lt;&gt;1,$L78=80),"",IF($M78=1,OU78*OW$6,OU78*OW$7))</f>
        <v/>
      </c>
      <c r="PI78" s="57" t="str">
        <f t="shared" ref="PI78:PI113" si="654">IF(AND(OU$6=1,$L78=80),IF(OR($N78=2,OU$4&gt;=$C$133),0,IF(OY78&lt;=60,OU78*OW$5,60/OW$4*OW$5)),"")</f>
        <v/>
      </c>
      <c r="PJ78" s="713">
        <f>'org. Düngung 22'!DL77</f>
        <v>0</v>
      </c>
      <c r="PK78" s="57"/>
      <c r="PL78" s="57"/>
      <c r="PM78" s="57">
        <f t="shared" ref="PM78:PM113" si="655">PJ78*$B78</f>
        <v>0</v>
      </c>
      <c r="PN78" s="57">
        <f t="shared" si="328"/>
        <v>0</v>
      </c>
      <c r="PO78" s="57">
        <f t="shared" si="329"/>
        <v>0</v>
      </c>
      <c r="PP78" s="57">
        <f t="shared" si="330"/>
        <v>0</v>
      </c>
      <c r="PQ78" s="57">
        <f t="shared" si="331"/>
        <v>0</v>
      </c>
      <c r="PR78" s="1029">
        <f t="shared" ref="PR78:PR113" si="656">IF(PJ$6&gt;1,PN78,        IF($L78=70,"",         IF(OR($L78=0,$N78=2),PN78, IF(PJ$4&gt;=$C$133,PN78,IF(PN78&lt;60,0,PN78-60)))))</f>
        <v>0</v>
      </c>
      <c r="PS78" s="57">
        <f t="shared" ref="PS78:PS113" si="657">IF(OR(PJ$6&lt;&gt;2,$J78=2,$F78&gt;1),0,IF(PL$9=2,0,IF(AND(OR(PL$9=3,PL$9=1),PJ$4&lt;$C$133),IF(PN78&lt;=60,PJ78*PL$5,60/PL$4*PL$5),0)))</f>
        <v>0</v>
      </c>
      <c r="PT78" s="171" t="str">
        <f t="shared" ref="PT78:PT113" si="658">IF(OR(PL$4=0,PJ$6=3),"",         IF(PJ$6=1,      IF($L78=70,"",IF($F78=1,PR78/PL$4*PL$6,PR78/PL$4*PL$7)),      IF($F78&gt;1,PJ78*PL$7,   IF(OR($J78=2,PJ$4&gt;=$C$133,PL$9=2),PJ78*PL$6,IF(PN78&lt;=60,0,(PN78-60)/PL$4*PL$6)))))</f>
        <v/>
      </c>
      <c r="PU78" s="57">
        <f t="shared" si="332"/>
        <v>0</v>
      </c>
      <c r="PV78" s="57">
        <f>IF(OR(AND(PJ$6=1,$L78=0),AND(PJ$6=2,$K78=2,$G78=1)),0,IF(AND(PL$9=2,(OR($F78&gt;1,$K78=1,AND($L78=80,OR($N78=1,AND($N78=2,'#BerechnungDBE'!$AL69&gt;0)))))),IF(PJ$4&gt;=$AD$126,0,PT78),IF(PL$9=3,IF(OR(PJ$4&gt;=$AD$127,AND($G78=1,$J78=2,PJ$6=2),AND(PJ$6=1,$N78&lt;&gt;1)),0,IF(PN78&lt;=120,PT78,IF(PJ$4&lt;$AD$124,IF($F78=1,60/PL$4*PL$6,60/PL$4*PL$7),IF($F78=1,120/PL$4*PL$6,120/PL$4*PL$7)))),IF(OR($F78=3,$G78=2),IF(OR(AND(PJ$4&gt;=$AD$119,$C78=2),AND(PJ$4&gt;=$AF$119,$C78=1)),0,IF(PN78&lt;=60,PT78,60/PL$4*PL$7)),IF(AND($F78=2,$G78=1),PT78,0)))))</f>
        <v>0</v>
      </c>
      <c r="PW78" s="57" t="str">
        <f t="shared" ref="PW78:PW113" si="659">IF(OR(PJ$6&lt;&gt;1,$L78=80),"",IF($M78=1,PJ78*PL$6,PJ78*PL$7))</f>
        <v/>
      </c>
      <c r="PX78" s="57" t="str">
        <f t="shared" ref="PX78:PX113" si="660">IF(AND(PJ$6=1,$L78=80),IF(OR($N78=2,PJ$4&gt;=$C$133),0,IF(PN78&lt;=60,PJ78*PL$5,60/PL$4*PL$5)),"")</f>
        <v/>
      </c>
      <c r="PY78" s="713">
        <f>'org. Düngung 22'!DP77</f>
        <v>0</v>
      </c>
      <c r="PZ78" s="57"/>
      <c r="QA78" s="57"/>
      <c r="QB78" s="57">
        <f t="shared" ref="QB78:QB113" si="661">PY78*$B78</f>
        <v>0</v>
      </c>
      <c r="QC78" s="57">
        <f t="shared" si="333"/>
        <v>0</v>
      </c>
      <c r="QD78" s="57">
        <f t="shared" si="334"/>
        <v>0</v>
      </c>
      <c r="QE78" s="57">
        <f t="shared" si="335"/>
        <v>0</v>
      </c>
      <c r="QF78" s="57">
        <f t="shared" si="336"/>
        <v>0</v>
      </c>
      <c r="QG78" s="1029">
        <f t="shared" ref="QG78:QG113" si="662">IF(PY$6&gt;1,QC78,        IF($L78=70,"",         IF(OR($L78=0,$N78=2),QC78, IF(PY$4&gt;=$C$133,QC78,IF(QC78&lt;60,0,QC78-60)))))</f>
        <v>0</v>
      </c>
      <c r="QH78" s="57">
        <f t="shared" ref="QH78:QH113" si="663">IF(OR(PY$6&lt;&gt;2,$J78=2,$F78&gt;1),0,IF(QA$9=2,0,IF(AND(OR(QA$9=3,QA$9=1),PY$4&lt;$C$133),IF(QC78&lt;=60,PY78*QA$5,60/QA$4*QA$5),0)))</f>
        <v>0</v>
      </c>
      <c r="QI78" s="171" t="str">
        <f t="shared" ref="QI78:QI113" si="664">IF(OR(QA$4=0,PY$6=3),"",         IF(PY$6=1,      IF($L78=70,"",IF($F78=1,QG78/QA$4*QA$6,QG78/QA$4*QA$7)),      IF($F78&gt;1,PY78*QA$7,   IF(OR($J78=2,PY$4&gt;=$C$133,QA$9=2),PY78*QA$6,IF(QC78&lt;=60,0,(QC78-60)/QA$4*QA$6)))))</f>
        <v/>
      </c>
      <c r="QJ78" s="57">
        <f t="shared" si="337"/>
        <v>0</v>
      </c>
      <c r="QK78" s="57">
        <f>IF(OR(AND(PY$6=1,$L78=0),AND(PY$6=2,$K78=2,$G78=1)),0,IF(AND(QA$9=2,(OR($F78&gt;1,$K78=1,AND($L78=80,OR($N78=1,AND($N78=2,'#BerechnungDBE'!$AL69&gt;0)))))),IF(PY$4&gt;=$AD$126,0,QI78),IF(QA$9=3,IF(OR(PY$4&gt;=$AD$127,AND($G78=1,$J78=2,PY$6=2),AND(PY$6=1,$N78&lt;&gt;1)),0,IF(QC78&lt;=120,QI78,IF(PY$4&lt;$AD$124,IF($F78=1,60/QA$4*QA$6,60/QA$4*QA$7),IF($F78=1,120/QA$4*QA$6,120/QA$4*QA$7)))),IF(OR($F78=3,$G78=2),IF(OR(AND(PY$4&gt;=$AD$119,$C78=2),AND(PY$4&gt;=$AF$119,$C78=1)),0,IF(QC78&lt;=60,QI78,60/QA$4*QA$7)),IF(AND($F78=2,$G78=1),QI78,0)))))</f>
        <v>0</v>
      </c>
      <c r="QL78" s="57" t="str">
        <f t="shared" ref="QL78:QL113" si="665">IF(OR(PY$6&lt;&gt;1,$L78=80),"",IF($M78=1,PY78*QA$6,PY78*QA$7))</f>
        <v/>
      </c>
      <c r="QM78" s="57" t="str">
        <f t="shared" ref="QM78:QM113" si="666">IF(AND(PY$6=1,$L78=80),IF(OR($N78=2,PY$4&gt;=$C$133),0,IF(QC78&lt;=60,PY78*QA$5,60/QA$4*QA$5)),"")</f>
        <v/>
      </c>
      <c r="QN78" s="713">
        <f>'org. Düngung 22'!DT77</f>
        <v>0</v>
      </c>
      <c r="QO78" s="57"/>
      <c r="QP78" s="57"/>
      <c r="QQ78" s="57">
        <f t="shared" ref="QQ78:QQ113" si="667">QN78*$B78</f>
        <v>0</v>
      </c>
      <c r="QR78" s="57">
        <f t="shared" si="338"/>
        <v>0</v>
      </c>
      <c r="QS78" s="57">
        <f t="shared" si="339"/>
        <v>0</v>
      </c>
      <c r="QT78" s="57">
        <f t="shared" si="340"/>
        <v>0</v>
      </c>
      <c r="QU78" s="57">
        <f t="shared" si="341"/>
        <v>0</v>
      </c>
      <c r="QV78" s="1029">
        <f t="shared" ref="QV78:QV113" si="668">IF(QN$6&gt;1,QR78,        IF($L78=70,"",         IF(OR($L78=0,$N78=2),QR78, IF(QN$4&gt;=$C$133,QR78,IF(QR78&lt;60,0,QR78-60)))))</f>
        <v>0</v>
      </c>
      <c r="QW78" s="57">
        <f t="shared" ref="QW78:QW113" si="669">IF(OR(QN$6&lt;&gt;2,$J78=2,$F78&gt;1),0,IF(QP$9=2,0,IF(AND(OR(QP$9=3,QP$9=1),QN$4&lt;$C$133),IF(QR78&lt;=60,QN78*QP$5,60/QP$4*QP$5),0)))</f>
        <v>0</v>
      </c>
      <c r="QX78" s="171" t="str">
        <f t="shared" ref="QX78:QX113" si="670">IF(OR(QP$4=0,QN$6=3),"",         IF(QN$6=1,      IF($L78=70,"",IF($F78=1,QV78/QP$4*QP$6,QV78/QP$4*QP$7)),      IF($F78&gt;1,QN78*QP$7,   IF(OR($J78=2,QN$4&gt;=$C$133,QP$9=2),QN78*QP$6,IF(QR78&lt;=60,0,(QR78-60)/QP$4*QP$6)))))</f>
        <v/>
      </c>
      <c r="QY78" s="57">
        <f t="shared" si="342"/>
        <v>0</v>
      </c>
      <c r="QZ78" s="57">
        <f>IF(OR(AND(QN$6=1,$L78=0),AND(QN$6=2,$K78=2,$G78=1)),0,IF(AND(QP$9=2,(OR($F78&gt;1,$K78=1,AND($L78=80,OR($N78=1,AND($N78=2,'#BerechnungDBE'!$AL69&gt;0)))))),IF(QN$4&gt;=$AD$126,0,QX78),IF(QP$9=3,IF(OR(QN$4&gt;=$AD$127,AND($G78=1,$J78=2,QN$6=2),AND(QN$6=1,$N78&lt;&gt;1)),0,IF(QR78&lt;=120,QX78,IF(QN$4&lt;$AD$124,IF($F78=1,60/QP$4*QP$6,60/QP$4*QP$7),IF($F78=1,120/QP$4*QP$6,120/QP$4*QP$7)))),IF(OR($F78=3,$G78=2),IF(OR(AND(QN$4&gt;=$AD$119,$C78=2),AND(QN$4&gt;=$AF$119,$C78=1)),0,IF(QR78&lt;=60,QX78,60/QP$4*QP$7)),IF(AND($F78=2,$G78=1),QX78,0)))))</f>
        <v>0</v>
      </c>
      <c r="RA78" s="57" t="str">
        <f t="shared" ref="RA78:RA113" si="671">IF(OR(QN$6&lt;&gt;1,$L78=80),"",IF($M78=1,QN78*QP$6,QN78*QP$7))</f>
        <v/>
      </c>
      <c r="RB78" s="57" t="str">
        <f t="shared" ref="RB78:RB113" si="672">IF(AND(QN$6=1,$L78=80),IF(OR($N78=2,QN$4&gt;=$C$133),0,IF(QR78&lt;=60,QN78*QP$5,60/QP$4*QP$5)),"")</f>
        <v/>
      </c>
      <c r="RC78" s="713">
        <f>'org. Düngung 22'!DX77</f>
        <v>0</v>
      </c>
      <c r="RD78" s="57"/>
      <c r="RE78" s="57"/>
      <c r="RF78" s="57">
        <f t="shared" ref="RF78:RF113" si="673">RC78*$B78</f>
        <v>0</v>
      </c>
      <c r="RG78" s="57">
        <f t="shared" si="343"/>
        <v>0</v>
      </c>
      <c r="RH78" s="57">
        <f t="shared" si="344"/>
        <v>0</v>
      </c>
      <c r="RI78" s="57">
        <f t="shared" si="345"/>
        <v>0</v>
      </c>
      <c r="RJ78" s="57">
        <f t="shared" si="346"/>
        <v>0</v>
      </c>
      <c r="RK78" s="1029">
        <f t="shared" ref="RK78:RK113" si="674">IF(RC$6&gt;1,RG78,        IF($L78=70,"",         IF(OR($L78=0,$N78=2),RG78, IF(RC$4&gt;=$C$133,RG78,IF(RG78&lt;60,0,RG78-60)))))</f>
        <v>0</v>
      </c>
      <c r="RL78" s="57">
        <f t="shared" ref="RL78:RL113" si="675">IF(OR(RC$6&lt;&gt;2,$J78=2,$F78&gt;1),0,IF(RE$9=2,0,IF(AND(OR(RE$9=3,RE$9=1),RC$4&lt;$C$133),IF(RG78&lt;=60,RC78*RE$5,60/RE$4*RE$5),0)))</f>
        <v>0</v>
      </c>
      <c r="RM78" s="171" t="str">
        <f t="shared" ref="RM78:RM113" si="676">IF(OR(RE$4=0,RC$6=3),"",         IF(RC$6=1,      IF($L78=70,"",IF($F78=1,RK78/RE$4*RE$6,RK78/RE$4*RE$7)),      IF($F78&gt;1,RC78*RE$7,   IF(OR($J78=2,RC$4&gt;=$C$133,RE$9=2),RC78*RE$6,IF(RG78&lt;=60,0,(RG78-60)/RE$4*RE$6)))))</f>
        <v/>
      </c>
      <c r="RN78" s="57">
        <f t="shared" si="347"/>
        <v>0</v>
      </c>
      <c r="RO78" s="57">
        <f>IF(OR(AND(RC$6=1,$L78=0),AND(RC$6=2,$K78=2,$G78=1)),0,IF(AND(RE$9=2,(OR($F78&gt;1,$K78=1,AND($L78=80,OR($N78=1,AND($N78=2,'#BerechnungDBE'!$AL69&gt;0)))))),IF(RC$4&gt;=$AD$126,0,RM78),IF(RE$9=3,IF(OR(RC$4&gt;=$AD$127,AND($G78=1,$J78=2,RC$6=2),AND(RC$6=1,$N78&lt;&gt;1)),0,IF(RG78&lt;=120,RM78,IF(RC$4&lt;$AD$124,IF($F78=1,60/RE$4*RE$6,60/RE$4*RE$7),IF($F78=1,120/RE$4*RE$6,120/RE$4*RE$7)))),IF(OR($F78=3,$G78=2),IF(OR(AND(RC$4&gt;=$AD$119,$C78=2),AND(RC$4&gt;=$AF$119,$C78=1)),0,IF(RG78&lt;=60,RM78,60/RE$4*RE$7)),IF(AND($F78=2,$G78=1),RM78,0)))))</f>
        <v>0</v>
      </c>
      <c r="RP78" s="57" t="str">
        <f t="shared" ref="RP78:RP113" si="677">IF(OR(RC$6&lt;&gt;1,$L78=80),"",IF($M78=1,RC78*RE$6,RC78*RE$7))</f>
        <v/>
      </c>
      <c r="RQ78" s="57" t="str">
        <f t="shared" ref="RQ78:RQ113" si="678">IF(AND(RC$6=1,$L78=80),IF(OR($N78=2,RC$4&gt;=$C$133),0,IF(RG78&lt;=60,RC78*RE$5,60/RE$4*RE$5)),"")</f>
        <v/>
      </c>
      <c r="RS78" s="57" t="str">
        <f t="shared" si="488"/>
        <v/>
      </c>
      <c r="RT78" s="57" t="str">
        <f t="shared" ref="RT78:RT113" si="679">IF(AND(C78=1,H78=2,V78&gt;0),$RT$9,"")</f>
        <v/>
      </c>
      <c r="RU78" s="57" t="str">
        <f t="shared" ref="RU78:RU113" si="680">IF(AND(D78&lt;&gt;2,P78-AG78&gt;0),$RU$9,"")</f>
        <v/>
      </c>
      <c r="RV78" s="57" t="str">
        <f>IF(Z78&gt;'#BerechnungDBE'!BM69,$RV$9,"")</f>
        <v/>
      </c>
      <c r="RW78" s="57" t="str">
        <f>IF(AND(L78=70,AE78&gt;'#BerechnungDBE'!CQ69),$RW$9,"")</f>
        <v/>
      </c>
      <c r="RX78" s="57" t="str">
        <f>IF(OR('org. Düngung 22'!G77="--",'org. Düngung 22'!G77&lt;=170,'org. Düngung 22'!G77=""),"",$RX$9)</f>
        <v/>
      </c>
      <c r="RY78" s="57" t="str">
        <f>IF('org. Düngung 22'!K77&gt;120,'#orgDung'!$RY$9,"")</f>
        <v/>
      </c>
      <c r="RZ78" s="57" t="str">
        <f>IF('#BerechnungDBE'!P69&lt;4,"",IF(AND('#BerechnungDBE'!BZ69&gt;0,T78&gt;0),'#orgDung'!$RZ$9,""))</f>
        <v/>
      </c>
      <c r="SA78" s="57" t="str">
        <f t="shared" ref="SA78:SA113" si="681">IF(AND(F78=2,G78=1,W78&gt;0),$SA$9,"")</f>
        <v/>
      </c>
    </row>
    <row r="79" spans="1:495" s="875" customFormat="1" x14ac:dyDescent="0.2">
      <c r="A79" s="875">
        <f>'Flächen u. Kulturen'!A75</f>
        <v>66</v>
      </c>
      <c r="B79" s="367">
        <f>'#BerechnungDBE'!L70</f>
        <v>0</v>
      </c>
      <c r="C79" s="875">
        <f>'#BerechnungDBE'!R70</f>
        <v>1</v>
      </c>
      <c r="D79" s="875">
        <f>'#BerechnungDBE'!T70</f>
        <v>2</v>
      </c>
      <c r="E79" s="875" t="str">
        <f>'Flächen u. Kulturen'!E75</f>
        <v>x</v>
      </c>
      <c r="F79" s="52">
        <f>'#BerechnungDBE'!N70</f>
        <v>1</v>
      </c>
      <c r="G79" s="52">
        <f>'#BerechnungDBE'!O70</f>
        <v>1</v>
      </c>
      <c r="H79" s="875">
        <f>IF('Flächen u. Kulturen'!P75="",0,VLOOKUP('Flächen u. Kulturen'!P75,Kulturen[[HF]:[Berechnungsgruppe]],'#Frucht'!$H$1,FALSE))</f>
        <v>0</v>
      </c>
      <c r="I79" s="875">
        <f>IF('Flächen u. Kulturen'!J75="",0,VLOOKUP('Flächen u. Kulturen'!J75,Kulturen[[HF]:[Berechnungsgruppe]],'#Frucht'!$G$1,FALSE))</f>
        <v>90</v>
      </c>
      <c r="J79" s="505">
        <f t="shared" ref="J79:J113" si="682">IF(G79&gt;1,1,IF(H79=1,1,IF(AND(H79=2,I79=1),1,2)))</f>
        <v>2</v>
      </c>
      <c r="K79" s="505">
        <f>IF('Flächen u. Kulturen'!P75="",0,IF(VLOOKUP('Flächen u. Kulturen'!P75,Kulturen[[HF]:[Saat Winterungen]],'#Frucht'!$P$1,FALSE)&gt;0,1,2))</f>
        <v>2</v>
      </c>
      <c r="L79" s="875">
        <f>'#BerechnungDBE'!AF70</f>
        <v>0</v>
      </c>
      <c r="M79" s="875">
        <f>IF('Flächen u. Kulturen'!L75="",0,VLOOKUP('Flächen u. Kulturen'!L75,Nebenkultur[[Nebenkultur]:[Legum. Zwischenfr.]],'#Zweitfr'!$K$1,FALSE))</f>
        <v>0</v>
      </c>
      <c r="N79" s="875">
        <f>'#BerechnungDBE'!AG70</f>
        <v>0</v>
      </c>
      <c r="P79" s="57">
        <f t="shared" si="489"/>
        <v>0</v>
      </c>
      <c r="Q79" s="57">
        <f t="shared" si="490"/>
        <v>0</v>
      </c>
      <c r="R79" s="875">
        <f t="shared" si="491"/>
        <v>0</v>
      </c>
      <c r="S79" s="938" t="str">
        <f t="shared" ref="S79:S113" si="683">IF(OR(C79=2,E79&lt;&gt;"x",B79=0),"",ROUND(R79,0))</f>
        <v/>
      </c>
      <c r="T79" s="875">
        <f t="shared" si="492"/>
        <v>0</v>
      </c>
      <c r="U79" s="875">
        <f t="shared" si="493"/>
        <v>0</v>
      </c>
      <c r="V79" s="875">
        <f t="shared" si="494"/>
        <v>0</v>
      </c>
      <c r="W79" s="875">
        <f t="shared" si="495"/>
        <v>0</v>
      </c>
      <c r="X79" s="875">
        <f t="shared" si="496"/>
        <v>0</v>
      </c>
      <c r="Y79" s="875">
        <f t="shared" si="349"/>
        <v>0</v>
      </c>
      <c r="Z79" s="875">
        <f t="shared" si="350"/>
        <v>0</v>
      </c>
      <c r="AA79" s="910">
        <f t="shared" si="497"/>
        <v>0</v>
      </c>
      <c r="AB79" s="57">
        <f t="shared" si="351"/>
        <v>0</v>
      </c>
      <c r="AC79" s="875">
        <f t="shared" si="498"/>
        <v>0</v>
      </c>
      <c r="AD79" s="875">
        <f t="shared" si="499"/>
        <v>0</v>
      </c>
      <c r="AE79" s="875">
        <f t="shared" si="500"/>
        <v>0</v>
      </c>
      <c r="AF79" s="875">
        <f t="shared" si="352"/>
        <v>0</v>
      </c>
      <c r="AG79" s="875">
        <f>'org. Düngung 22'!J78</f>
        <v>0</v>
      </c>
      <c r="AH79" s="875">
        <f>'org. Düngung 22'!K78</f>
        <v>0</v>
      </c>
      <c r="AJ79" s="713">
        <f>'org. Düngung 22'!L78</f>
        <v>0</v>
      </c>
      <c r="AK79" s="57"/>
      <c r="AL79" s="57"/>
      <c r="AM79" s="57">
        <f t="shared" ref="AM79:AM113" si="684">AJ79*$B79</f>
        <v>0</v>
      </c>
      <c r="AN79" s="57">
        <f t="shared" ref="AN79:AN113" si="685">AL$4*AJ79</f>
        <v>0</v>
      </c>
      <c r="AO79" s="57">
        <f t="shared" ref="AO79:AO113" si="686">AL$5*AJ79</f>
        <v>0</v>
      </c>
      <c r="AP79" s="57">
        <f t="shared" ref="AP79:AP113" si="687">AN79-AN79*AL$10/100</f>
        <v>0</v>
      </c>
      <c r="AQ79" s="57">
        <f t="shared" ref="AQ79:AQ113" si="688">AL$8*AJ79</f>
        <v>0</v>
      </c>
      <c r="AR79" s="1029">
        <f t="shared" si="501"/>
        <v>0</v>
      </c>
      <c r="AS79" s="57">
        <f t="shared" si="502"/>
        <v>0</v>
      </c>
      <c r="AT79" s="171" t="str">
        <f t="shared" si="503"/>
        <v/>
      </c>
      <c r="AU79" s="57">
        <f t="shared" ref="AU79:AU113" si="689">IF(AJ$6=3,IF($F79=1,AJ79*AL$6,AJ79*AL$7),"")</f>
        <v>0</v>
      </c>
      <c r="AV79" s="57">
        <f>IF(OR(AND(AJ$6=1,$L79=0),AND(AJ$6=2,$K79=2,$G79=1)),0,IF(AND(AL$9=2,(OR($F79&gt;1,$K79=1,AND($L79=80,OR($N79=1,AND($N79=2,'#BerechnungDBE'!$AL70&gt;0)))))),IF(AJ$4&gt;=$AD$126,0,AT79),IF(AL$9=3,IF(OR(AJ$4&gt;=$AD$127,AND($G79=1,$J79=2,AJ$6=2),AND(AJ$6=1,$N79&lt;&gt;1)),0,IF(AN79&lt;=120,AT79,IF(AJ$4&lt;$AD$124,IF($F79=1,60/AL$4*AL$6,60/AL$4*AL$7),IF($F79=1,120/AL$4*AL$6,120/AL$4*AL$7)))),IF(OR($F79=3,$G79=2),IF(OR(AND(AJ$4&gt;=$AD$119,$C79=2),AND(AJ$4&gt;=$AF$119,$C79=1)),0,IF(AN79&lt;=60,AT79,60/AL$4*AL$7)),IF(AND($F79=2,$G79=1),AT79,0)))))</f>
        <v>0</v>
      </c>
      <c r="AW79" s="57" t="str">
        <f t="shared" ref="AW79:AW113" si="690">IF(OR(AJ$6&lt;&gt;1,$L79=80),"",IF($M79=1,AJ79*AL$6,AJ79*AL$7))</f>
        <v/>
      </c>
      <c r="AX79" s="57" t="str">
        <f t="shared" si="504"/>
        <v/>
      </c>
      <c r="AY79" s="713">
        <f>'org. Düngung 22'!P78</f>
        <v>0</v>
      </c>
      <c r="AZ79" s="57"/>
      <c r="BA79" s="57"/>
      <c r="BB79" s="57">
        <f t="shared" si="505"/>
        <v>0</v>
      </c>
      <c r="BC79" s="57">
        <f t="shared" ref="BC79:BC113" si="691">BA$4*AY79</f>
        <v>0</v>
      </c>
      <c r="BD79" s="57">
        <f t="shared" ref="BD79:BD113" si="692">BA$5*AY79</f>
        <v>0</v>
      </c>
      <c r="BE79" s="57">
        <f t="shared" ref="BE79:BE113" si="693">BC79-BC79*BA$10/100</f>
        <v>0</v>
      </c>
      <c r="BF79" s="57">
        <f t="shared" ref="BF79:BF113" si="694">BA$8*AY79</f>
        <v>0</v>
      </c>
      <c r="BG79" s="1029">
        <f t="shared" si="506"/>
        <v>0</v>
      </c>
      <c r="BH79" s="57">
        <f t="shared" si="507"/>
        <v>0</v>
      </c>
      <c r="BI79" s="171" t="str">
        <f t="shared" si="508"/>
        <v/>
      </c>
      <c r="BJ79" s="57">
        <f t="shared" ref="BJ79:BJ113" si="695">IF(AY$6=3,IF($F79=1,AY79*BA$6,AY79*BA$7),"")</f>
        <v>0</v>
      </c>
      <c r="BK79" s="57">
        <f>IF(OR(AND(AY$6=1,$L79=0),AND(AY$6=2,$K79=2,$G79=1)),0,IF(AND(BA$9=2,(OR($F79&gt;1,$K79=1,AND($L79=80,OR($N79=1,AND($N79=2,'#BerechnungDBE'!$AL70&gt;0)))))),IF(AY$4&gt;=$AD$126,0,BI79),IF(BA$9=3,IF(OR(AY$4&gt;=$AD$127,AND($G79=1,$J79=2,AY$6=2),AND(AY$6=1,$N79&lt;&gt;1)),0,IF(BC79&lt;=120,BI79,IF(AY$4&lt;$AD$124,IF($F79=1,60/BA$4*BA$6,60/BA$4*BA$7),IF($F79=1,120/BA$4*BA$6,120/BA$4*BA$7)))),IF(OR($F79=3,$G79=2),IF(OR(AND(AY$4&gt;=$AD$119,$C79=2),AND(AY$4&gt;=$AF$119,$C79=1)),0,IF(BC79&lt;=60,BI79,60/BA$4*BA$7)),IF(AND($F79=2,$G79=1),BI79,0)))))</f>
        <v>0</v>
      </c>
      <c r="BL79" s="57" t="str">
        <f t="shared" si="509"/>
        <v/>
      </c>
      <c r="BM79" s="57" t="str">
        <f t="shared" si="510"/>
        <v/>
      </c>
      <c r="BN79" s="713">
        <f>'org. Düngung 22'!T78</f>
        <v>0</v>
      </c>
      <c r="BO79" s="57"/>
      <c r="BP79" s="57"/>
      <c r="BQ79" s="57">
        <f t="shared" si="511"/>
        <v>0</v>
      </c>
      <c r="BR79" s="57">
        <f t="shared" ref="BR79:BR113" si="696">BP$4*BN79</f>
        <v>0</v>
      </c>
      <c r="BS79" s="57">
        <f t="shared" ref="BS79:BS113" si="697">BP$5*BN79</f>
        <v>0</v>
      </c>
      <c r="BT79" s="57">
        <f t="shared" ref="BT79:BT113" si="698">BR79-BR79*BP$10/100</f>
        <v>0</v>
      </c>
      <c r="BU79" s="57">
        <f t="shared" ref="BU79:BU113" si="699">BP$8*BN79</f>
        <v>0</v>
      </c>
      <c r="BV79" s="1029">
        <f t="shared" si="512"/>
        <v>0</v>
      </c>
      <c r="BW79" s="57">
        <f t="shared" si="513"/>
        <v>0</v>
      </c>
      <c r="BX79" s="171" t="str">
        <f t="shared" si="514"/>
        <v/>
      </c>
      <c r="BY79" s="57">
        <f t="shared" ref="BY79:BY113" si="700">IF(BN$6=3,IF($F79=1,BN79*BP$6,BN79*BP$7),"")</f>
        <v>0</v>
      </c>
      <c r="BZ79" s="57">
        <f>IF(OR(AND(BN$6=1,$L79=0),AND(BN$6=2,$K79=2,$G79=1)),0,IF(AND(BP$9=2,(OR($F79&gt;1,$K79=1,AND($L79=80,OR($N79=1,AND($N79=2,'#BerechnungDBE'!$AL70&gt;0)))))),IF(BN$4&gt;=$AD$126,0,BX79),IF(BP$9=3,IF(OR(BN$4&gt;=$AD$127,AND($G79=1,$J79=2,BN$6=2),AND(BN$6=1,$N79&lt;&gt;1)),0,IF(BR79&lt;=120,BX79,IF(BN$4&lt;$AD$124,IF($F79=1,60/BP$4*BP$6,60/BP$4*BP$7),IF($F79=1,120/BP$4*BP$6,120/BP$4*BP$7)))),IF(OR($F79=3,$G79=2),IF(OR(AND(BN$4&gt;=$AD$119,$C79=2),AND(BN$4&gt;=$AF$119,$C79=1)),0,IF(BR79&lt;=60,BX79,60/BP$4*BP$7)),IF(AND($F79=2,$G79=1),BX79,0)))))</f>
        <v>0</v>
      </c>
      <c r="CA79" s="57" t="str">
        <f t="shared" si="515"/>
        <v/>
      </c>
      <c r="CB79" s="57" t="str">
        <f t="shared" si="516"/>
        <v/>
      </c>
      <c r="CC79" s="713">
        <f>'org. Düngung 22'!X78</f>
        <v>0</v>
      </c>
      <c r="CD79" s="57"/>
      <c r="CE79" s="57"/>
      <c r="CF79" s="57">
        <f t="shared" si="517"/>
        <v>0</v>
      </c>
      <c r="CG79" s="57">
        <f t="shared" ref="CG79:CG113" si="701">CE$4*CC79</f>
        <v>0</v>
      </c>
      <c r="CH79" s="57">
        <f t="shared" ref="CH79:CH113" si="702">CE$5*CC79</f>
        <v>0</v>
      </c>
      <c r="CI79" s="57">
        <f t="shared" ref="CI79:CI113" si="703">CG79-CG79*CE$10/100</f>
        <v>0</v>
      </c>
      <c r="CJ79" s="57">
        <f t="shared" ref="CJ79:CJ113" si="704">CE$8*CC79</f>
        <v>0</v>
      </c>
      <c r="CK79" s="1029">
        <f t="shared" si="518"/>
        <v>0</v>
      </c>
      <c r="CL79" s="57">
        <f t="shared" si="519"/>
        <v>0</v>
      </c>
      <c r="CM79" s="171" t="str">
        <f t="shared" si="520"/>
        <v/>
      </c>
      <c r="CN79" s="57">
        <f t="shared" ref="CN79:CN113" si="705">IF(CC$6=3,IF($F79=1,CC79*CE$6,CC79*CE$7),"")</f>
        <v>0</v>
      </c>
      <c r="CO79" s="57">
        <f>IF(OR(AND(CC$6=1,$L79=0),AND(CC$6=2,$K79=2,$G79=1)),0,IF(AND(CE$9=2,(OR($F79&gt;1,$K79=1,AND($L79=80,OR($N79=1,AND($N79=2,'#BerechnungDBE'!$AL70&gt;0)))))),IF(CC$4&gt;=$AD$126,0,CM79),IF(CE$9=3,IF(OR(CC$4&gt;=$AD$127,AND($G79=1,$J79=2,CC$6=2),AND(CC$6=1,$N79&lt;&gt;1)),0,IF(CG79&lt;=120,CM79,IF(CC$4&lt;$AD$124,IF($F79=1,60/CE$4*CE$6,60/CE$4*CE$7),IF($F79=1,120/CE$4*CE$6,120/CE$4*CE$7)))),IF(OR($F79=3,$G79=2),IF(OR(AND(CC$4&gt;=$AD$119,$C79=2),AND(CC$4&gt;=$AF$119,$C79=1)),0,IF(CG79&lt;=60,CM79,60/CE$4*CE$7)),IF(AND($F79=2,$G79=1),CM79,0)))))</f>
        <v>0</v>
      </c>
      <c r="CP79" s="57" t="str">
        <f t="shared" si="521"/>
        <v/>
      </c>
      <c r="CQ79" s="57" t="str">
        <f t="shared" si="522"/>
        <v/>
      </c>
      <c r="CR79" s="713">
        <f>'org. Düngung 22'!AB78</f>
        <v>0</v>
      </c>
      <c r="CS79" s="57"/>
      <c r="CT79" s="57"/>
      <c r="CU79" s="57">
        <f t="shared" si="523"/>
        <v>0</v>
      </c>
      <c r="CV79" s="57">
        <f t="shared" ref="CV79:CV113" si="706">CT$4*CR79</f>
        <v>0</v>
      </c>
      <c r="CW79" s="57">
        <f t="shared" ref="CW79:CW113" si="707">CT$5*CR79</f>
        <v>0</v>
      </c>
      <c r="CX79" s="57">
        <f t="shared" ref="CX79:CX113" si="708">CV79-CV79*CT$10/100</f>
        <v>0</v>
      </c>
      <c r="CY79" s="57">
        <f t="shared" ref="CY79:CY113" si="709">CT$8*CR79</f>
        <v>0</v>
      </c>
      <c r="CZ79" s="1029">
        <f t="shared" si="524"/>
        <v>0</v>
      </c>
      <c r="DA79" s="57">
        <f t="shared" si="525"/>
        <v>0</v>
      </c>
      <c r="DB79" s="171" t="str">
        <f t="shared" si="526"/>
        <v/>
      </c>
      <c r="DC79" s="57">
        <f t="shared" ref="DC79:DC113" si="710">IF(CR$6=3,IF($F79=1,CR79*CT$6,CR79*CT$7),"")</f>
        <v>0</v>
      </c>
      <c r="DD79" s="57">
        <f>IF(OR(AND(CR$6=1,$L79=0),AND(CR$6=2,$K79=2,$G79=1)),0,IF(AND(CT$9=2,(OR($F79&gt;1,$K79=1,AND($L79=80,OR($N79=1,AND($N79=2,'#BerechnungDBE'!$AL70&gt;0)))))),IF(CR$4&gt;=$AD$126,0,DB79),IF(CT$9=3,IF(OR(CR$4&gt;=$AD$127,AND($G79=1,$J79=2,CR$6=2),AND(CR$6=1,$N79&lt;&gt;1)),0,IF(CV79&lt;=120,DB79,IF(CR$4&lt;$AD$124,IF($F79=1,60/CT$4*CT$6,60/CT$4*CT$7),IF($F79=1,120/CT$4*CT$6,120/CT$4*CT$7)))),IF(OR($F79=3,$G79=2),IF(OR(AND(CR$4&gt;=$AD$119,$C79=2),AND(CR$4&gt;=$AF$119,$C79=1)),0,IF(CV79&lt;=60,DB79,60/CT$4*CT$7)),IF(AND($F79=2,$G79=1),DB79,0)))))</f>
        <v>0</v>
      </c>
      <c r="DE79" s="57" t="str">
        <f t="shared" si="527"/>
        <v/>
      </c>
      <c r="DF79" s="57" t="str">
        <f t="shared" si="528"/>
        <v/>
      </c>
      <c r="DG79" s="713">
        <f>'org. Düngung 22'!AF78</f>
        <v>0</v>
      </c>
      <c r="DH79" s="57"/>
      <c r="DI79" s="57"/>
      <c r="DJ79" s="57">
        <f t="shared" si="529"/>
        <v>0</v>
      </c>
      <c r="DK79" s="57">
        <f t="shared" ref="DK79:DK113" si="711">DI$4*DG79</f>
        <v>0</v>
      </c>
      <c r="DL79" s="57">
        <f t="shared" ref="DL79:DL113" si="712">DI$5*DG79</f>
        <v>0</v>
      </c>
      <c r="DM79" s="57">
        <f t="shared" ref="DM79:DM113" si="713">DK79-DK79*DI$10/100</f>
        <v>0</v>
      </c>
      <c r="DN79" s="57">
        <f t="shared" ref="DN79:DN113" si="714">DI$8*DG79</f>
        <v>0</v>
      </c>
      <c r="DO79" s="1029">
        <f t="shared" si="530"/>
        <v>0</v>
      </c>
      <c r="DP79" s="57">
        <f t="shared" si="531"/>
        <v>0</v>
      </c>
      <c r="DQ79" s="171" t="str">
        <f t="shared" si="532"/>
        <v/>
      </c>
      <c r="DR79" s="57">
        <f t="shared" ref="DR79:DR113" si="715">IF(DG$6=3,IF($F79=1,DG79*DI$6,DG79*DI$7),"")</f>
        <v>0</v>
      </c>
      <c r="DS79" s="57">
        <f>IF(OR(AND(DG$6=1,$L79=0),AND(DG$6=2,$K79=2,$G79=1)),0,IF(AND(DI$9=2,(OR($F79&gt;1,$K79=1,AND($L79=80,OR($N79=1,AND($N79=2,'#BerechnungDBE'!$AL70&gt;0)))))),IF(DG$4&gt;=$AD$126,0,DQ79),IF(DI$9=3,IF(OR(DG$4&gt;=$AD$127,AND($G79=1,$J79=2,DG$6=2),AND(DG$6=1,$N79&lt;&gt;1)),0,IF(DK79&lt;=120,DQ79,IF(DG$4&lt;$AD$124,IF($F79=1,60/DI$4*DI$6,60/DI$4*DI$7),IF($F79=1,120/DI$4*DI$6,120/DI$4*DI$7)))),IF(OR($F79=3,$G79=2),IF(OR(AND(DG$4&gt;=$AD$119,$C79=2),AND(DG$4&gt;=$AF$119,$C79=1)),0,IF(DK79&lt;=60,DQ79,60/DI$4*DI$7)),IF(AND($F79=2,$G79=1),DQ79,0)))))</f>
        <v>0</v>
      </c>
      <c r="DT79" s="57" t="str">
        <f t="shared" si="533"/>
        <v/>
      </c>
      <c r="DU79" s="57" t="str">
        <f t="shared" si="534"/>
        <v/>
      </c>
      <c r="DV79" s="713">
        <f>'org. Düngung 22'!AJ78</f>
        <v>0</v>
      </c>
      <c r="DW79" s="57"/>
      <c r="DX79" s="57"/>
      <c r="DY79" s="57">
        <f t="shared" si="535"/>
        <v>0</v>
      </c>
      <c r="DZ79" s="57">
        <f t="shared" ref="DZ79:DZ113" si="716">DX$4*DV79</f>
        <v>0</v>
      </c>
      <c r="EA79" s="57">
        <f t="shared" ref="EA79:EA113" si="717">DX$5*DV79</f>
        <v>0</v>
      </c>
      <c r="EB79" s="57">
        <f t="shared" ref="EB79:EB113" si="718">DZ79-DZ79*DX$10/100</f>
        <v>0</v>
      </c>
      <c r="EC79" s="57">
        <f t="shared" ref="EC79:EC113" si="719">DX$8*DV79</f>
        <v>0</v>
      </c>
      <c r="ED79" s="1029">
        <f t="shared" si="536"/>
        <v>0</v>
      </c>
      <c r="EE79" s="57">
        <f t="shared" si="537"/>
        <v>0</v>
      </c>
      <c r="EF79" s="171" t="str">
        <f t="shared" si="538"/>
        <v/>
      </c>
      <c r="EG79" s="57">
        <f t="shared" ref="EG79:EG113" si="720">IF(DV$6=3,IF($F79=1,DV79*DX$6,DV79*DX$7),"")</f>
        <v>0</v>
      </c>
      <c r="EH79" s="57">
        <f>IF(OR(AND(DV$6=1,$L79=0),AND(DV$6=2,$K79=2,$G79=1)),0,IF(AND(DX$9=2,(OR($F79&gt;1,$K79=1,AND($L79=80,OR($N79=1,AND($N79=2,'#BerechnungDBE'!$AL70&gt;0)))))),IF(DV$4&gt;=$AD$126,0,EF79),IF(DX$9=3,IF(OR(DV$4&gt;=$AD$127,AND($G79=1,$J79=2,DV$6=2),AND(DV$6=1,$N79&lt;&gt;1)),0,IF(DZ79&lt;=120,EF79,IF(DV$4&lt;$AD$124,IF($F79=1,60/DX$4*DX$6,60/DX$4*DX$7),IF($F79=1,120/DX$4*DX$6,120/DX$4*DX$7)))),IF(OR($F79=3,$G79=2),IF(OR(AND(DV$4&gt;=$AD$119,$C79=2),AND(DV$4&gt;=$AF$119,$C79=1)),0,IF(DZ79&lt;=60,EF79,60/DX$4*DX$7)),IF(AND($F79=2,$G79=1),EF79,0)))))</f>
        <v>0</v>
      </c>
      <c r="EI79" s="57" t="str">
        <f t="shared" si="539"/>
        <v/>
      </c>
      <c r="EJ79" s="57" t="str">
        <f t="shared" si="540"/>
        <v/>
      </c>
      <c r="EK79" s="713">
        <f>'org. Düngung 22'!AN78</f>
        <v>0</v>
      </c>
      <c r="EL79" s="57"/>
      <c r="EM79" s="57"/>
      <c r="EN79" s="57">
        <f t="shared" si="541"/>
        <v>0</v>
      </c>
      <c r="EO79" s="57">
        <f t="shared" ref="EO79:EO113" si="721">EM$4*EK79</f>
        <v>0</v>
      </c>
      <c r="EP79" s="57">
        <f t="shared" ref="EP79:EP113" si="722">EM$5*EK79</f>
        <v>0</v>
      </c>
      <c r="EQ79" s="57">
        <f t="shared" ref="EQ79:EQ113" si="723">EO79-EO79*EM$10/100</f>
        <v>0</v>
      </c>
      <c r="ER79" s="57">
        <f t="shared" ref="ER79:ER113" si="724">EM$8*EK79</f>
        <v>0</v>
      </c>
      <c r="ES79" s="1029">
        <f t="shared" si="542"/>
        <v>0</v>
      </c>
      <c r="ET79" s="57">
        <f t="shared" si="543"/>
        <v>0</v>
      </c>
      <c r="EU79" s="171" t="str">
        <f t="shared" si="544"/>
        <v/>
      </c>
      <c r="EV79" s="57">
        <f t="shared" ref="EV79:EV113" si="725">IF(EK$6=3,IF($F79=1,EK79*EM$6,EK79*EM$7),"")</f>
        <v>0</v>
      </c>
      <c r="EW79" s="57">
        <f>IF(OR(AND(EK$6=1,$L79=0),AND(EK$6=2,$K79=2,$G79=1)),0,IF(AND(EM$9=2,(OR($F79&gt;1,$K79=1,AND($L79=80,OR($N79=1,AND($N79=2,'#BerechnungDBE'!$AL70&gt;0)))))),IF(EK$4&gt;=$AD$126,0,EU79),IF(EM$9=3,IF(OR(EK$4&gt;=$AD$127,AND($G79=1,$J79=2,EK$6=2),AND(EK$6=1,$N79&lt;&gt;1)),0,IF(EO79&lt;=120,EU79,IF(EK$4&lt;$AD$124,IF($F79=1,60/EM$4*EM$6,60/EM$4*EM$7),IF($F79=1,120/EM$4*EM$6,120/EM$4*EM$7)))),IF(OR($F79=3,$G79=2),IF(OR(AND(EK$4&gt;=$AD$119,$C79=2),AND(EK$4&gt;=$AF$119,$C79=1)),0,IF(EO79&lt;=60,EU79,60/EM$4*EM$7)),IF(AND($F79=2,$G79=1),EU79,0)))))</f>
        <v>0</v>
      </c>
      <c r="EX79" s="57" t="str">
        <f t="shared" si="545"/>
        <v/>
      </c>
      <c r="EY79" s="57" t="str">
        <f t="shared" si="546"/>
        <v/>
      </c>
      <c r="EZ79" s="713">
        <f>'org. Düngung 22'!AR78</f>
        <v>0</v>
      </c>
      <c r="FA79" s="57"/>
      <c r="FB79" s="57"/>
      <c r="FC79" s="57">
        <f t="shared" si="547"/>
        <v>0</v>
      </c>
      <c r="FD79" s="57">
        <f t="shared" ref="FD79:FD113" si="726">FB$4*EZ79</f>
        <v>0</v>
      </c>
      <c r="FE79" s="57">
        <f t="shared" ref="FE79:FE113" si="727">FB$5*EZ79</f>
        <v>0</v>
      </c>
      <c r="FF79" s="57">
        <f t="shared" ref="FF79:FF113" si="728">FD79-FD79*FB$10/100</f>
        <v>0</v>
      </c>
      <c r="FG79" s="57">
        <f t="shared" ref="FG79:FG113" si="729">FB$8*EZ79</f>
        <v>0</v>
      </c>
      <c r="FH79" s="1029">
        <f t="shared" si="548"/>
        <v>0</v>
      </c>
      <c r="FI79" s="57">
        <f t="shared" si="549"/>
        <v>0</v>
      </c>
      <c r="FJ79" s="171" t="str">
        <f t="shared" si="550"/>
        <v/>
      </c>
      <c r="FK79" s="57">
        <f t="shared" ref="FK79:FK113" si="730">IF(EZ$6=3,IF($F79=1,EZ79*FB$6,EZ79*FB$7),"")</f>
        <v>0</v>
      </c>
      <c r="FL79" s="57">
        <f>IF(OR(AND(EZ$6=1,$L79=0),AND(EZ$6=2,$K79=2,$G79=1)),0,IF(AND(FB$9=2,(OR($F79&gt;1,$K79=1,AND($L79=80,OR($N79=1,AND($N79=2,'#BerechnungDBE'!$AL70&gt;0)))))),IF(EZ$4&gt;=$AD$126,0,FJ79),IF(FB$9=3,IF(OR(EZ$4&gt;=$AD$127,AND($G79=1,$J79=2,EZ$6=2),AND(EZ$6=1,$N79&lt;&gt;1)),0,IF(FD79&lt;=120,FJ79,IF(EZ$4&lt;$AD$124,IF($F79=1,60/FB$4*FB$6,60/FB$4*FB$7),IF($F79=1,120/FB$4*FB$6,120/FB$4*FB$7)))),IF(OR($F79=3,$G79=2),IF(OR(AND(EZ$4&gt;=$AD$119,$C79=2),AND(EZ$4&gt;=$AF$119,$C79=1)),0,IF(FD79&lt;=60,FJ79,60/FB$4*FB$7)),IF(AND($F79=2,$G79=1),FJ79,0)))))</f>
        <v>0</v>
      </c>
      <c r="FM79" s="57" t="str">
        <f t="shared" si="551"/>
        <v/>
      </c>
      <c r="FN79" s="57" t="str">
        <f t="shared" si="552"/>
        <v/>
      </c>
      <c r="FO79" s="713">
        <f>'org. Düngung 22'!AV78</f>
        <v>0</v>
      </c>
      <c r="FP79" s="57"/>
      <c r="FQ79" s="57"/>
      <c r="FR79" s="57">
        <f t="shared" si="553"/>
        <v>0</v>
      </c>
      <c r="FS79" s="57">
        <f t="shared" ref="FS79:FS113" si="731">FQ$4*FO79</f>
        <v>0</v>
      </c>
      <c r="FT79" s="57">
        <f t="shared" ref="FT79:FT113" si="732">FQ$5*FO79</f>
        <v>0</v>
      </c>
      <c r="FU79" s="57">
        <f t="shared" ref="FU79:FU113" si="733">FS79-FS79*FQ$10/100</f>
        <v>0</v>
      </c>
      <c r="FV79" s="57">
        <f t="shared" ref="FV79:FV113" si="734">FQ$8*FO79</f>
        <v>0</v>
      </c>
      <c r="FW79" s="1029">
        <f t="shared" si="554"/>
        <v>0</v>
      </c>
      <c r="FX79" s="57">
        <f t="shared" si="555"/>
        <v>0</v>
      </c>
      <c r="FY79" s="171" t="str">
        <f t="shared" si="556"/>
        <v/>
      </c>
      <c r="FZ79" s="57">
        <f t="shared" ref="FZ79:FZ113" si="735">IF(FO$6=3,IF($F79=1,FO79*FQ$6,FO79*FQ$7),"")</f>
        <v>0</v>
      </c>
      <c r="GA79" s="57">
        <f>IF(OR(AND(FO$6=1,$L79=0),AND(FO$6=2,$K79=2,$G79=1)),0,IF(AND(FQ$9=2,(OR($F79&gt;1,$K79=1,AND($L79=80,OR($N79=1,AND($N79=2,'#BerechnungDBE'!$AL70&gt;0)))))),IF(FO$4&gt;=$AD$126,0,FY79),IF(FQ$9=3,IF(OR(FO$4&gt;=$AD$127,AND($G79=1,$J79=2,FO$6=2),AND(FO$6=1,$N79&lt;&gt;1)),0,IF(FS79&lt;=120,FY79,IF(FO$4&lt;$AD$124,IF($F79=1,60/FQ$4*FQ$6,60/FQ$4*FQ$7),IF($F79=1,120/FQ$4*FQ$6,120/FQ$4*FQ$7)))),IF(OR($F79=3,$G79=2),IF(OR(AND(FO$4&gt;=$AD$119,$C79=2),AND(FO$4&gt;=$AF$119,$C79=1)),0,IF(FS79&lt;=60,FY79,60/FQ$4*FQ$7)),IF(AND($F79=2,$G79=1),FY79,0)))))</f>
        <v>0</v>
      </c>
      <c r="GB79" s="57" t="str">
        <f t="shared" si="557"/>
        <v/>
      </c>
      <c r="GC79" s="57" t="str">
        <f t="shared" si="558"/>
        <v/>
      </c>
      <c r="GD79" s="713">
        <f>'org. Düngung 22'!AZ78</f>
        <v>0</v>
      </c>
      <c r="GE79" s="57"/>
      <c r="GF79" s="57"/>
      <c r="GG79" s="57">
        <f t="shared" si="559"/>
        <v>0</v>
      </c>
      <c r="GH79" s="57">
        <f t="shared" ref="GH79:GH113" si="736">GF$4*GD79</f>
        <v>0</v>
      </c>
      <c r="GI79" s="57">
        <f t="shared" ref="GI79:GI113" si="737">GF$5*GD79</f>
        <v>0</v>
      </c>
      <c r="GJ79" s="57">
        <f t="shared" ref="GJ79:GJ113" si="738">GH79-GH79*GF$10/100</f>
        <v>0</v>
      </c>
      <c r="GK79" s="57">
        <f t="shared" ref="GK79:GK113" si="739">GF$8*GD79</f>
        <v>0</v>
      </c>
      <c r="GL79" s="1029">
        <f t="shared" si="560"/>
        <v>0</v>
      </c>
      <c r="GM79" s="57">
        <f t="shared" si="561"/>
        <v>0</v>
      </c>
      <c r="GN79" s="171" t="str">
        <f t="shared" si="562"/>
        <v/>
      </c>
      <c r="GO79" s="57">
        <f t="shared" ref="GO79:GO113" si="740">IF(GD$6=3,IF($F79=1,GD79*GF$6,GD79*GF$7),"")</f>
        <v>0</v>
      </c>
      <c r="GP79" s="57">
        <f>IF(OR(AND(GD$6=1,$L79=0),AND(GD$6=2,$K79=2,$G79=1)),0,IF(AND(GF$9=2,(OR($F79&gt;1,$K79=1,AND($L79=80,OR($N79=1,AND($N79=2,'#BerechnungDBE'!$AL70&gt;0)))))),IF(GD$4&gt;=$AD$126,0,GN79),IF(GF$9=3,IF(OR(GD$4&gt;=$AD$127,AND($G79=1,$J79=2,GD$6=2),AND(GD$6=1,$N79&lt;&gt;1)),0,IF(GH79&lt;=120,GN79,IF(GD$4&lt;$AD$124,IF($F79=1,60/GF$4*GF$6,60/GF$4*GF$7),IF($F79=1,120/GF$4*GF$6,120/GF$4*GF$7)))),IF(OR($F79=3,$G79=2),IF(OR(AND(GD$4&gt;=$AD$119,$C79=2),AND(GD$4&gt;=$AF$119,$C79=1)),0,IF(GH79&lt;=60,GN79,60/GF$4*GF$7)),IF(AND($F79=2,$G79=1),GN79,0)))))</f>
        <v>0</v>
      </c>
      <c r="GQ79" s="57" t="str">
        <f t="shared" si="563"/>
        <v/>
      </c>
      <c r="GR79" s="57" t="str">
        <f t="shared" si="564"/>
        <v/>
      </c>
      <c r="GS79" s="713">
        <f>'org. Düngung 22'!BD78</f>
        <v>0</v>
      </c>
      <c r="GT79" s="57"/>
      <c r="GU79" s="57"/>
      <c r="GV79" s="57">
        <f t="shared" si="565"/>
        <v>0</v>
      </c>
      <c r="GW79" s="57">
        <f t="shared" ref="GW79:GW113" si="741">GU$4*GS79</f>
        <v>0</v>
      </c>
      <c r="GX79" s="57">
        <f t="shared" ref="GX79:GX113" si="742">GU$5*GS79</f>
        <v>0</v>
      </c>
      <c r="GY79" s="57">
        <f t="shared" ref="GY79:GY113" si="743">GW79-GW79*GU$10/100</f>
        <v>0</v>
      </c>
      <c r="GZ79" s="57">
        <f t="shared" ref="GZ79:GZ113" si="744">GU$8*GS79</f>
        <v>0</v>
      </c>
      <c r="HA79" s="1029">
        <f t="shared" si="566"/>
        <v>0</v>
      </c>
      <c r="HB79" s="57">
        <f t="shared" si="567"/>
        <v>0</v>
      </c>
      <c r="HC79" s="171" t="str">
        <f t="shared" si="568"/>
        <v/>
      </c>
      <c r="HD79" s="57">
        <f t="shared" ref="HD79:HD113" si="745">IF(GS$6=3,IF($F79=1,GS79*GU$6,GS79*GU$7),"")</f>
        <v>0</v>
      </c>
      <c r="HE79" s="57">
        <f>IF(OR(AND(GS$6=1,$L79=0),AND(GS$6=2,$K79=2,$G79=1)),0,IF(AND(GU$9=2,(OR($F79&gt;1,$K79=1,AND($L79=80,OR($N79=1,AND($N79=2,'#BerechnungDBE'!$AL70&gt;0)))))),IF(GS$4&gt;=$AD$126,0,HC79),IF(GU$9=3,IF(OR(GS$4&gt;=$AD$127,AND($G79=1,$J79=2,GS$6=2),AND(GS$6=1,$N79&lt;&gt;1)),0,IF(GW79&lt;=120,HC79,IF(GS$4&lt;$AD$124,IF($F79=1,60/GU$4*GU$6,60/GU$4*GU$7),IF($F79=1,120/GU$4*GU$6,120/GU$4*GU$7)))),IF(OR($F79=3,$G79=2),IF(OR(AND(GS$4&gt;=$AD$119,$C79=2),AND(GS$4&gt;=$AF$119,$C79=1)),0,IF(GW79&lt;=60,HC79,60/GU$4*GU$7)),IF(AND($F79=2,$G79=1),HC79,0)))))</f>
        <v>0</v>
      </c>
      <c r="HF79" s="57" t="str">
        <f t="shared" si="569"/>
        <v/>
      </c>
      <c r="HG79" s="57" t="str">
        <f t="shared" si="570"/>
        <v/>
      </c>
      <c r="HH79" s="713">
        <f>'org. Düngung 22'!BH78</f>
        <v>0</v>
      </c>
      <c r="HI79" s="57"/>
      <c r="HJ79" s="57"/>
      <c r="HK79" s="57">
        <f t="shared" si="571"/>
        <v>0</v>
      </c>
      <c r="HL79" s="57">
        <f t="shared" ref="HL79:HL113" si="746">HJ$4*HH79</f>
        <v>0</v>
      </c>
      <c r="HM79" s="57">
        <f t="shared" ref="HM79:HM113" si="747">HJ$5*HH79</f>
        <v>0</v>
      </c>
      <c r="HN79" s="57">
        <f t="shared" ref="HN79:HN113" si="748">HL79-HL79*HJ$10/100</f>
        <v>0</v>
      </c>
      <c r="HO79" s="57">
        <f t="shared" ref="HO79:HO113" si="749">HJ$8*HH79</f>
        <v>0</v>
      </c>
      <c r="HP79" s="1029">
        <f t="shared" si="572"/>
        <v>0</v>
      </c>
      <c r="HQ79" s="57">
        <f t="shared" si="573"/>
        <v>0</v>
      </c>
      <c r="HR79" s="171" t="str">
        <f t="shared" si="574"/>
        <v/>
      </c>
      <c r="HS79" s="57">
        <f t="shared" ref="HS79:HS113" si="750">IF(HH$6=3,IF($F79=1,HH79*HJ$6,HH79*HJ$7),"")</f>
        <v>0</v>
      </c>
      <c r="HT79" s="57">
        <f>IF(OR(AND(HH$6=1,$L79=0),AND(HH$6=2,$K79=2,$G79=1)),0,IF(AND(HJ$9=2,(OR($F79&gt;1,$K79=1,AND($L79=80,OR($N79=1,AND($N79=2,'#BerechnungDBE'!$AL70&gt;0)))))),IF(HH$4&gt;=$AD$126,0,HR79),IF(HJ$9=3,IF(OR(HH$4&gt;=$AD$127,AND($G79=1,$J79=2,HH$6=2),AND(HH$6=1,$N79&lt;&gt;1)),0,IF(HL79&lt;=120,HR79,IF(HH$4&lt;$AD$124,IF($F79=1,60/HJ$4*HJ$6,60/HJ$4*HJ$7),IF($F79=1,120/HJ$4*HJ$6,120/HJ$4*HJ$7)))),IF(OR($F79=3,$G79=2),IF(OR(AND(HH$4&gt;=$AD$119,$C79=2),AND(HH$4&gt;=$AF$119,$C79=1)),0,IF(HL79&lt;=60,HR79,60/HJ$4*HJ$7)),IF(AND($F79=2,$G79=1),HR79,0)))))</f>
        <v>0</v>
      </c>
      <c r="HU79" s="57" t="str">
        <f t="shared" si="575"/>
        <v/>
      </c>
      <c r="HV79" s="57" t="str">
        <f t="shared" si="576"/>
        <v/>
      </c>
      <c r="HW79" s="713">
        <f>'org. Düngung 22'!BL78</f>
        <v>0</v>
      </c>
      <c r="HX79" s="57"/>
      <c r="HY79" s="57"/>
      <c r="HZ79" s="57">
        <f t="shared" si="577"/>
        <v>0</v>
      </c>
      <c r="IA79" s="57">
        <f t="shared" ref="IA79:IA113" si="751">HY$4*HW79</f>
        <v>0</v>
      </c>
      <c r="IB79" s="57">
        <f t="shared" ref="IB79:IB113" si="752">HY$5*HW79</f>
        <v>0</v>
      </c>
      <c r="IC79" s="57">
        <f t="shared" ref="IC79:IC113" si="753">IA79-IA79*HY$10/100</f>
        <v>0</v>
      </c>
      <c r="ID79" s="57">
        <f t="shared" ref="ID79:ID113" si="754">HY$8*HW79</f>
        <v>0</v>
      </c>
      <c r="IE79" s="1029">
        <f t="shared" si="578"/>
        <v>0</v>
      </c>
      <c r="IF79" s="57">
        <f t="shared" si="579"/>
        <v>0</v>
      </c>
      <c r="IG79" s="171" t="str">
        <f t="shared" si="580"/>
        <v/>
      </c>
      <c r="IH79" s="57">
        <f t="shared" ref="IH79:IH113" si="755">IF(HW$6=3,IF($F79=1,HW79*HY$6,HW79*HY$7),"")</f>
        <v>0</v>
      </c>
      <c r="II79" s="57">
        <f>IF(OR(AND(HW$6=1,$L79=0),AND(HW$6=2,$K79=2,$G79=1)),0,IF(AND(HY$9=2,(OR($F79&gt;1,$K79=1,AND($L79=80,OR($N79=1,AND($N79=2,'#BerechnungDBE'!$AL70&gt;0)))))),IF(HW$4&gt;=$AD$126,0,IG79),IF(HY$9=3,IF(OR(HW$4&gt;=$AD$127,AND($G79=1,$J79=2,HW$6=2),AND(HW$6=1,$N79&lt;&gt;1)),0,IF(IA79&lt;=120,IG79,IF(HW$4&lt;$AD$124,IF($F79=1,60/HY$4*HY$6,60/HY$4*HY$7),IF($F79=1,120/HY$4*HY$6,120/HY$4*HY$7)))),IF(OR($F79=3,$G79=2),IF(OR(AND(HW$4&gt;=$AD$119,$C79=2),AND(HW$4&gt;=$AF$119,$C79=1)),0,IF(IA79&lt;=60,IG79,60/HY$4*HY$7)),IF(AND($F79=2,$G79=1),IG79,0)))))</f>
        <v>0</v>
      </c>
      <c r="IJ79" s="57" t="str">
        <f t="shared" si="581"/>
        <v/>
      </c>
      <c r="IK79" s="57" t="str">
        <f t="shared" si="582"/>
        <v/>
      </c>
      <c r="IL79" s="713">
        <f>'org. Düngung 22'!BP78</f>
        <v>0</v>
      </c>
      <c r="IM79" s="57"/>
      <c r="IN79" s="57"/>
      <c r="IO79" s="57">
        <f t="shared" si="583"/>
        <v>0</v>
      </c>
      <c r="IP79" s="57">
        <f t="shared" ref="IP79:IP113" si="756">IN$4*IL79</f>
        <v>0</v>
      </c>
      <c r="IQ79" s="57">
        <f t="shared" ref="IQ79:IQ113" si="757">IN$5*IL79</f>
        <v>0</v>
      </c>
      <c r="IR79" s="57">
        <f t="shared" ref="IR79:IR113" si="758">IP79-IP79*IN$10/100</f>
        <v>0</v>
      </c>
      <c r="IS79" s="57">
        <f t="shared" ref="IS79:IS113" si="759">IN$8*IL79</f>
        <v>0</v>
      </c>
      <c r="IT79" s="1029">
        <f t="shared" si="584"/>
        <v>0</v>
      </c>
      <c r="IU79" s="57">
        <f t="shared" si="585"/>
        <v>0</v>
      </c>
      <c r="IV79" s="171" t="str">
        <f t="shared" si="586"/>
        <v/>
      </c>
      <c r="IW79" s="57">
        <f t="shared" ref="IW79:IW113" si="760">IF(IL$6=3,IF($F79=1,IL79*IN$6,IL79*IN$7),"")</f>
        <v>0</v>
      </c>
      <c r="IX79" s="57">
        <f>IF(OR(AND(IL$6=1,$L79=0),AND(IL$6=2,$K79=2,$G79=1)),0,IF(AND(IN$9=2,(OR($F79&gt;1,$K79=1,AND($L79=80,OR($N79=1,AND($N79=2,'#BerechnungDBE'!$AL70&gt;0)))))),IF(IL$4&gt;=$AD$126,0,IV79),IF(IN$9=3,IF(OR(IL$4&gt;=$AD$127,AND($G79=1,$J79=2,IL$6=2),AND(IL$6=1,$N79&lt;&gt;1)),0,IF(IP79&lt;=120,IV79,IF(IL$4&lt;$AD$124,IF($F79=1,60/IN$4*IN$6,60/IN$4*IN$7),IF($F79=1,120/IN$4*IN$6,120/IN$4*IN$7)))),IF(OR($F79=3,$G79=2),IF(OR(AND(IL$4&gt;=$AD$119,$C79=2),AND(IL$4&gt;=$AF$119,$C79=1)),0,IF(IP79&lt;=60,IV79,60/IN$4*IN$7)),IF(AND($F79=2,$G79=1),IV79,0)))))</f>
        <v>0</v>
      </c>
      <c r="IY79" s="57" t="str">
        <f t="shared" si="587"/>
        <v/>
      </c>
      <c r="IZ79" s="57" t="str">
        <f t="shared" si="588"/>
        <v/>
      </c>
      <c r="JA79" s="713">
        <f>'org. Düngung 22'!BT78</f>
        <v>0</v>
      </c>
      <c r="JB79" s="57"/>
      <c r="JC79" s="57"/>
      <c r="JD79" s="57">
        <f t="shared" si="589"/>
        <v>0</v>
      </c>
      <c r="JE79" s="57">
        <f t="shared" ref="JE79:JE113" si="761">JC$4*JA79</f>
        <v>0</v>
      </c>
      <c r="JF79" s="57">
        <f t="shared" ref="JF79:JF113" si="762">JC$5*JA79</f>
        <v>0</v>
      </c>
      <c r="JG79" s="57">
        <f t="shared" ref="JG79:JG113" si="763">JE79-JE79*JC$10/100</f>
        <v>0</v>
      </c>
      <c r="JH79" s="57">
        <f t="shared" ref="JH79:JH113" si="764">JC$8*JA79</f>
        <v>0</v>
      </c>
      <c r="JI79" s="1029">
        <f t="shared" si="590"/>
        <v>0</v>
      </c>
      <c r="JJ79" s="57">
        <f t="shared" si="591"/>
        <v>0</v>
      </c>
      <c r="JK79" s="171" t="str">
        <f t="shared" si="592"/>
        <v/>
      </c>
      <c r="JL79" s="57">
        <f t="shared" ref="JL79:JL113" si="765">IF(JA$6=3,IF($F79=1,JA79*JC$6,JA79*JC$7),"")</f>
        <v>0</v>
      </c>
      <c r="JM79" s="57">
        <f>IF(OR(AND(JA$6=1,$L79=0),AND(JA$6=2,$K79=2,$G79=1)),0,IF(AND(JC$9=2,(OR($F79&gt;1,$K79=1,AND($L79=80,OR($N79=1,AND($N79=2,'#BerechnungDBE'!$AL70&gt;0)))))),IF(JA$4&gt;=$AD$126,0,JK79),IF(JC$9=3,IF(OR(JA$4&gt;=$AD$127,AND($G79=1,$J79=2,JA$6=2),AND(JA$6=1,$N79&lt;&gt;1)),0,IF(JE79&lt;=120,JK79,IF(JA$4&lt;$AD$124,IF($F79=1,60/JC$4*JC$6,60/JC$4*JC$7),IF($F79=1,120/JC$4*JC$6,120/JC$4*JC$7)))),IF(OR($F79=3,$G79=2),IF(OR(AND(JA$4&gt;=$AD$119,$C79=2),AND(JA$4&gt;=$AF$119,$C79=1)),0,IF(JE79&lt;=60,JK79,60/JC$4*JC$7)),IF(AND($F79=2,$G79=1),JK79,0)))))</f>
        <v>0</v>
      </c>
      <c r="JN79" s="57" t="str">
        <f t="shared" si="593"/>
        <v/>
      </c>
      <c r="JO79" s="57" t="str">
        <f t="shared" si="594"/>
        <v/>
      </c>
      <c r="JP79" s="713">
        <f>'org. Düngung 22'!BX78</f>
        <v>0</v>
      </c>
      <c r="JQ79" s="57"/>
      <c r="JR79" s="57"/>
      <c r="JS79" s="57">
        <f t="shared" si="595"/>
        <v>0</v>
      </c>
      <c r="JT79" s="57">
        <f t="shared" ref="JT79:JT113" si="766">JR$4*JP79</f>
        <v>0</v>
      </c>
      <c r="JU79" s="57">
        <f t="shared" ref="JU79:JU113" si="767">JR$5*JP79</f>
        <v>0</v>
      </c>
      <c r="JV79" s="57">
        <f t="shared" ref="JV79:JV113" si="768">JT79-JT79*JR$10/100</f>
        <v>0</v>
      </c>
      <c r="JW79" s="57">
        <f t="shared" ref="JW79:JW113" si="769">JR$8*JP79</f>
        <v>0</v>
      </c>
      <c r="JX79" s="1029">
        <f t="shared" si="596"/>
        <v>0</v>
      </c>
      <c r="JY79" s="57">
        <f t="shared" si="597"/>
        <v>0</v>
      </c>
      <c r="JZ79" s="171" t="str">
        <f t="shared" si="598"/>
        <v/>
      </c>
      <c r="KA79" s="57">
        <f t="shared" ref="KA79:KA113" si="770">IF(JP$6=3,IF($F79=1,JP79*JR$6,JP79*JR$7),"")</f>
        <v>0</v>
      </c>
      <c r="KB79" s="57">
        <f>IF(OR(AND(JP$6=1,$L79=0),AND(JP$6=2,$K79=2,$G79=1)),0,IF(AND(JR$9=2,(OR($F79&gt;1,$K79=1,AND($L79=80,OR($N79=1,AND($N79=2,'#BerechnungDBE'!$AL70&gt;0)))))),IF(JP$4&gt;=$AD$126,0,JZ79),IF(JR$9=3,IF(OR(JP$4&gt;=$AD$127,AND($G79=1,$J79=2,JP$6=2),AND(JP$6=1,$N79&lt;&gt;1)),0,IF(JT79&lt;=120,JZ79,IF(JP$4&lt;$AD$124,IF($F79=1,60/JR$4*JR$6,60/JR$4*JR$7),IF($F79=1,120/JR$4*JR$6,120/JR$4*JR$7)))),IF(OR($F79=3,$G79=2),IF(OR(AND(JP$4&gt;=$AD$119,$C79=2),AND(JP$4&gt;=$AF$119,$C79=1)),0,IF(JT79&lt;=60,JZ79,60/JR$4*JR$7)),IF(AND($F79=2,$G79=1),JZ79,0)))))</f>
        <v>0</v>
      </c>
      <c r="KC79" s="57" t="str">
        <f t="shared" si="599"/>
        <v/>
      </c>
      <c r="KD79" s="57" t="str">
        <f t="shared" si="600"/>
        <v/>
      </c>
      <c r="KE79" s="713">
        <f>'org. Düngung 22'!CB78</f>
        <v>0</v>
      </c>
      <c r="KF79" s="57"/>
      <c r="KG79" s="57"/>
      <c r="KH79" s="57">
        <f t="shared" si="601"/>
        <v>0</v>
      </c>
      <c r="KI79" s="57">
        <f t="shared" ref="KI79:KI113" si="771">KG$4*KE79</f>
        <v>0</v>
      </c>
      <c r="KJ79" s="57">
        <f t="shared" ref="KJ79:KJ113" si="772">KG$5*KE79</f>
        <v>0</v>
      </c>
      <c r="KK79" s="57">
        <f t="shared" ref="KK79:KK113" si="773">KI79-KI79*KG$10/100</f>
        <v>0</v>
      </c>
      <c r="KL79" s="57">
        <f t="shared" ref="KL79:KL113" si="774">KG$8*KE79</f>
        <v>0</v>
      </c>
      <c r="KM79" s="1029">
        <f t="shared" si="602"/>
        <v>0</v>
      </c>
      <c r="KN79" s="57">
        <f t="shared" si="603"/>
        <v>0</v>
      </c>
      <c r="KO79" s="171" t="str">
        <f t="shared" si="604"/>
        <v/>
      </c>
      <c r="KP79" s="57">
        <f t="shared" ref="KP79:KP113" si="775">IF(KE$6=3,IF($F79=1,KE79*KG$6,KE79*KG$7),"")</f>
        <v>0</v>
      </c>
      <c r="KQ79" s="57">
        <f>IF(OR(AND(KE$6=1,$L79=0),AND(KE$6=2,$K79=2,$G79=1)),0,IF(AND(KG$9=2,(OR($F79&gt;1,$K79=1,AND($L79=80,OR($N79=1,AND($N79=2,'#BerechnungDBE'!$AL70&gt;0)))))),IF(KE$4&gt;=$AD$126,0,KO79),IF(KG$9=3,IF(OR(KE$4&gt;=$AD$127,AND($G79=1,$J79=2,KE$6=2),AND(KE$6=1,$N79&lt;&gt;1)),0,IF(KI79&lt;=120,KO79,IF(KE$4&lt;$AD$124,IF($F79=1,60/KG$4*KG$6,60/KG$4*KG$7),IF($F79=1,120/KG$4*KG$6,120/KG$4*KG$7)))),IF(OR($F79=3,$G79=2),IF(OR(AND(KE$4&gt;=$AD$119,$C79=2),AND(KE$4&gt;=$AF$119,$C79=1)),0,IF(KI79&lt;=60,KO79,60/KG$4*KG$7)),IF(AND($F79=2,$G79=1),KO79,0)))))</f>
        <v>0</v>
      </c>
      <c r="KR79" s="57" t="str">
        <f t="shared" si="605"/>
        <v/>
      </c>
      <c r="KS79" s="57" t="str">
        <f t="shared" si="606"/>
        <v/>
      </c>
      <c r="KT79" s="713">
        <f>'org. Düngung 22'!CF78</f>
        <v>0</v>
      </c>
      <c r="KU79" s="57"/>
      <c r="KV79" s="57"/>
      <c r="KW79" s="57">
        <f t="shared" si="607"/>
        <v>0</v>
      </c>
      <c r="KX79" s="57">
        <f t="shared" ref="KX79:KX113" si="776">KV$4*KT79</f>
        <v>0</v>
      </c>
      <c r="KY79" s="57">
        <f t="shared" ref="KY79:KY113" si="777">KV$5*KT79</f>
        <v>0</v>
      </c>
      <c r="KZ79" s="57">
        <f t="shared" ref="KZ79:KZ113" si="778">KX79-KX79*KV$10/100</f>
        <v>0</v>
      </c>
      <c r="LA79" s="57">
        <f t="shared" ref="LA79:LA113" si="779">KV$8*KT79</f>
        <v>0</v>
      </c>
      <c r="LB79" s="1029">
        <f t="shared" si="608"/>
        <v>0</v>
      </c>
      <c r="LC79" s="57">
        <f t="shared" si="609"/>
        <v>0</v>
      </c>
      <c r="LD79" s="171" t="str">
        <f t="shared" si="610"/>
        <v/>
      </c>
      <c r="LE79" s="57">
        <f t="shared" ref="LE79:LE113" si="780">IF(KT$6=3,IF($F79=1,KT79*KV$6,KT79*KV$7),"")</f>
        <v>0</v>
      </c>
      <c r="LF79" s="57">
        <f>IF(OR(AND(KT$6=1,$L79=0),AND(KT$6=2,$K79=2,$G79=1)),0,IF(AND(KV$9=2,(OR($F79&gt;1,$K79=1,AND($L79=80,OR($N79=1,AND($N79=2,'#BerechnungDBE'!$AL70&gt;0)))))),IF(KT$4&gt;=$AD$126,0,LD79),IF(KV$9=3,IF(OR(KT$4&gt;=$AD$127,AND($G79=1,$J79=2,KT$6=2),AND(KT$6=1,$N79&lt;&gt;1)),0,IF(KX79&lt;=120,LD79,IF(KT$4&lt;$AD$124,IF($F79=1,60/KV$4*KV$6,60/KV$4*KV$7),IF($F79=1,120/KV$4*KV$6,120/KV$4*KV$7)))),IF(OR($F79=3,$G79=2),IF(OR(AND(KT$4&gt;=$AD$119,$C79=2),AND(KT$4&gt;=$AF$119,$C79=1)),0,IF(KX79&lt;=60,LD79,60/KV$4*KV$7)),IF(AND($F79=2,$G79=1),LD79,0)))))</f>
        <v>0</v>
      </c>
      <c r="LG79" s="57" t="str">
        <f t="shared" si="611"/>
        <v/>
      </c>
      <c r="LH79" s="57" t="str">
        <f t="shared" si="612"/>
        <v/>
      </c>
      <c r="LI79" s="713">
        <f>'org. Düngung 22'!CJ78</f>
        <v>0</v>
      </c>
      <c r="LJ79" s="57"/>
      <c r="LK79" s="57"/>
      <c r="LL79" s="57">
        <f t="shared" si="613"/>
        <v>0</v>
      </c>
      <c r="LM79" s="57">
        <f t="shared" ref="LM79:LM113" si="781">LK$4*LI79</f>
        <v>0</v>
      </c>
      <c r="LN79" s="57">
        <f t="shared" ref="LN79:LN113" si="782">LK$5*LI79</f>
        <v>0</v>
      </c>
      <c r="LO79" s="57">
        <f t="shared" ref="LO79:LO113" si="783">LM79-LM79*LK$10/100</f>
        <v>0</v>
      </c>
      <c r="LP79" s="57">
        <f t="shared" ref="LP79:LP113" si="784">LK$8*LI79</f>
        <v>0</v>
      </c>
      <c r="LQ79" s="1029">
        <f t="shared" si="614"/>
        <v>0</v>
      </c>
      <c r="LR79" s="57">
        <f t="shared" si="615"/>
        <v>0</v>
      </c>
      <c r="LS79" s="171" t="str">
        <f t="shared" si="616"/>
        <v/>
      </c>
      <c r="LT79" s="57">
        <f t="shared" ref="LT79:LT113" si="785">IF(LI$6=3,IF($F79=1,LI79*LK$6,LI79*LK$7),"")</f>
        <v>0</v>
      </c>
      <c r="LU79" s="57">
        <f>IF(OR(AND(LI$6=1,$L79=0),AND(LI$6=2,$K79=2,$G79=1)),0,IF(AND(LK$9=2,(OR($F79&gt;1,$K79=1,AND($L79=80,OR($N79=1,AND($N79=2,'#BerechnungDBE'!$AL70&gt;0)))))),IF(LI$4&gt;=$AD$126,0,LS79),IF(LK$9=3,IF(OR(LI$4&gt;=$AD$127,AND($G79=1,$J79=2,LI$6=2),AND(LI$6=1,$N79&lt;&gt;1)),0,IF(LM79&lt;=120,LS79,IF(LI$4&lt;$AD$124,IF($F79=1,60/LK$4*LK$6,60/LK$4*LK$7),IF($F79=1,120/LK$4*LK$6,120/LK$4*LK$7)))),IF(OR($F79=3,$G79=2),IF(OR(AND(LI$4&gt;=$AD$119,$C79=2),AND(LI$4&gt;=$AF$119,$C79=1)),0,IF(LM79&lt;=60,LS79,60/LK$4*LK$7)),IF(AND($F79=2,$G79=1),LS79,0)))))</f>
        <v>0</v>
      </c>
      <c r="LV79" s="57" t="str">
        <f t="shared" si="617"/>
        <v/>
      </c>
      <c r="LW79" s="57" t="str">
        <f t="shared" si="618"/>
        <v/>
      </c>
      <c r="LX79" s="713">
        <f>'org. Düngung 22'!CN78</f>
        <v>0</v>
      </c>
      <c r="LY79" s="57"/>
      <c r="LZ79" s="57"/>
      <c r="MA79" s="57">
        <f t="shared" si="619"/>
        <v>0</v>
      </c>
      <c r="MB79" s="57">
        <f t="shared" ref="MB79:MB113" si="786">LZ$4*LX79</f>
        <v>0</v>
      </c>
      <c r="MC79" s="57">
        <f t="shared" ref="MC79:MC113" si="787">LZ$5*LX79</f>
        <v>0</v>
      </c>
      <c r="MD79" s="57">
        <f t="shared" ref="MD79:MD113" si="788">MB79-MB79*LZ$10/100</f>
        <v>0</v>
      </c>
      <c r="ME79" s="57">
        <f t="shared" ref="ME79:ME113" si="789">LZ$8*LX79</f>
        <v>0</v>
      </c>
      <c r="MF79" s="1029">
        <f t="shared" si="620"/>
        <v>0</v>
      </c>
      <c r="MG79" s="57">
        <f t="shared" si="621"/>
        <v>0</v>
      </c>
      <c r="MH79" s="171" t="str">
        <f t="shared" si="622"/>
        <v/>
      </c>
      <c r="MI79" s="57">
        <f t="shared" ref="MI79:MI113" si="790">IF(LX$6=3,IF($F79=1,LX79*LZ$6,LX79*LZ$7),"")</f>
        <v>0</v>
      </c>
      <c r="MJ79" s="57">
        <f>IF(OR(AND(LX$6=1,$L79=0),AND(LX$6=2,$K79=2,$G79=1)),0,IF(AND(LZ$9=2,(OR($F79&gt;1,$K79=1,AND($L79=80,OR($N79=1,AND($N79=2,'#BerechnungDBE'!$AL70&gt;0)))))),IF(LX$4&gt;=$AD$126,0,MH79),IF(LZ$9=3,IF(OR(LX$4&gt;=$AD$127,AND($G79=1,$J79=2,LX$6=2),AND(LX$6=1,$N79&lt;&gt;1)),0,IF(MB79&lt;=120,MH79,IF(LX$4&lt;$AD$124,IF($F79=1,60/LZ$4*LZ$6,60/LZ$4*LZ$7),IF($F79=1,120/LZ$4*LZ$6,120/LZ$4*LZ$7)))),IF(OR($F79=3,$G79=2),IF(OR(AND(LX$4&gt;=$AD$119,$C79=2),AND(LX$4&gt;=$AF$119,$C79=1)),0,IF(MB79&lt;=60,MH79,60/LZ$4*LZ$7)),IF(AND($F79=2,$G79=1),MH79,0)))))</f>
        <v>0</v>
      </c>
      <c r="MK79" s="57" t="str">
        <f t="shared" si="623"/>
        <v/>
      </c>
      <c r="ML79" s="57" t="str">
        <f t="shared" si="624"/>
        <v/>
      </c>
      <c r="MM79" s="713">
        <f>'org. Düngung 22'!CR78</f>
        <v>0</v>
      </c>
      <c r="MN79" s="57"/>
      <c r="MO79" s="57"/>
      <c r="MP79" s="57">
        <f t="shared" si="625"/>
        <v>0</v>
      </c>
      <c r="MQ79" s="57">
        <f t="shared" ref="MQ79:MQ113" si="791">MO$4*MM79</f>
        <v>0</v>
      </c>
      <c r="MR79" s="57">
        <f t="shared" ref="MR79:MR113" si="792">MO$5*MM79</f>
        <v>0</v>
      </c>
      <c r="MS79" s="57">
        <f t="shared" ref="MS79:MS113" si="793">MQ79-MQ79*MO$10/100</f>
        <v>0</v>
      </c>
      <c r="MT79" s="57">
        <f t="shared" ref="MT79:MT113" si="794">MO$8*MM79</f>
        <v>0</v>
      </c>
      <c r="MU79" s="1029">
        <f t="shared" si="626"/>
        <v>0</v>
      </c>
      <c r="MV79" s="57">
        <f t="shared" si="627"/>
        <v>0</v>
      </c>
      <c r="MW79" s="171" t="str">
        <f t="shared" si="628"/>
        <v/>
      </c>
      <c r="MX79" s="57">
        <f t="shared" ref="MX79:MX113" si="795">IF(MM$6=3,IF($F79=1,MM79*MO$6,MM79*MO$7),"")</f>
        <v>0</v>
      </c>
      <c r="MY79" s="57">
        <f>IF(OR(AND(MM$6=1,$L79=0),AND(MM$6=2,$K79=2,$G79=1)),0,IF(AND(MO$9=2,(OR($F79&gt;1,$K79=1,AND($L79=80,OR($N79=1,AND($N79=2,'#BerechnungDBE'!$AL70&gt;0)))))),IF(MM$4&gt;=$AD$126,0,MW79),IF(MO$9=3,IF(OR(MM$4&gt;=$AD$127,AND($G79=1,$J79=2,MM$6=2),AND(MM$6=1,$N79&lt;&gt;1)),0,IF(MQ79&lt;=120,MW79,IF(MM$4&lt;$AD$124,IF($F79=1,60/MO$4*MO$6,60/MO$4*MO$7),IF($F79=1,120/MO$4*MO$6,120/MO$4*MO$7)))),IF(OR($F79=3,$G79=2),IF(OR(AND(MM$4&gt;=$AD$119,$C79=2),AND(MM$4&gt;=$AF$119,$C79=1)),0,IF(MQ79&lt;=60,MW79,60/MO$4*MO$7)),IF(AND($F79=2,$G79=1),MW79,0)))))</f>
        <v>0</v>
      </c>
      <c r="MZ79" s="57" t="str">
        <f t="shared" si="629"/>
        <v/>
      </c>
      <c r="NA79" s="57" t="str">
        <f t="shared" si="630"/>
        <v/>
      </c>
      <c r="NB79" s="713">
        <f>'org. Düngung 22'!CV78</f>
        <v>0</v>
      </c>
      <c r="NC79" s="57"/>
      <c r="ND79" s="57"/>
      <c r="NE79" s="57">
        <f t="shared" si="631"/>
        <v>0</v>
      </c>
      <c r="NF79" s="57">
        <f t="shared" ref="NF79:NF113" si="796">ND$4*NB79</f>
        <v>0</v>
      </c>
      <c r="NG79" s="57">
        <f t="shared" ref="NG79:NG113" si="797">ND$5*NB79</f>
        <v>0</v>
      </c>
      <c r="NH79" s="57">
        <f t="shared" ref="NH79:NH113" si="798">NF79-NF79*ND$10/100</f>
        <v>0</v>
      </c>
      <c r="NI79" s="57">
        <f t="shared" ref="NI79:NI113" si="799">ND$8*NB79</f>
        <v>0</v>
      </c>
      <c r="NJ79" s="1029">
        <f t="shared" si="632"/>
        <v>0</v>
      </c>
      <c r="NK79" s="57">
        <f t="shared" si="633"/>
        <v>0</v>
      </c>
      <c r="NL79" s="171" t="str">
        <f t="shared" si="634"/>
        <v/>
      </c>
      <c r="NM79" s="57">
        <f t="shared" ref="NM79:NM113" si="800">IF(NB$6=3,IF($F79=1,NB79*ND$6,NB79*ND$7),"")</f>
        <v>0</v>
      </c>
      <c r="NN79" s="57">
        <f>IF(OR(AND(NB$6=1,$L79=0),AND(NB$6=2,$K79=2,$G79=1)),0,IF(AND(ND$9=2,(OR($F79&gt;1,$K79=1,AND($L79=80,OR($N79=1,AND($N79=2,'#BerechnungDBE'!$AL70&gt;0)))))),IF(NB$4&gt;=$AD$126,0,NL79),IF(ND$9=3,IF(OR(NB$4&gt;=$AD$127,AND($G79=1,$J79=2,NB$6=2),AND(NB$6=1,$N79&lt;&gt;1)),0,IF(NF79&lt;=120,NL79,IF(NB$4&lt;$AD$124,IF($F79=1,60/ND$4*ND$6,60/ND$4*ND$7),IF($F79=1,120/ND$4*ND$6,120/ND$4*ND$7)))),IF(OR($F79=3,$G79=2),IF(OR(AND(NB$4&gt;=$AD$119,$C79=2),AND(NB$4&gt;=$AF$119,$C79=1)),0,IF(NF79&lt;=60,NL79,60/ND$4*ND$7)),IF(AND($F79=2,$G79=1),NL79,0)))))</f>
        <v>0</v>
      </c>
      <c r="NO79" s="57" t="str">
        <f t="shared" si="635"/>
        <v/>
      </c>
      <c r="NP79" s="57" t="str">
        <f t="shared" si="636"/>
        <v/>
      </c>
      <c r="NQ79" s="713">
        <f>'org. Düngung 22'!CZ78</f>
        <v>0</v>
      </c>
      <c r="NR79" s="57"/>
      <c r="NS79" s="57"/>
      <c r="NT79" s="57">
        <f t="shared" si="637"/>
        <v>0</v>
      </c>
      <c r="NU79" s="57">
        <f t="shared" ref="NU79:NU113" si="801">NS$4*NQ79</f>
        <v>0</v>
      </c>
      <c r="NV79" s="57">
        <f t="shared" ref="NV79:NV113" si="802">NS$5*NQ79</f>
        <v>0</v>
      </c>
      <c r="NW79" s="57">
        <f t="shared" ref="NW79:NW113" si="803">NU79-NU79*NS$10/100</f>
        <v>0</v>
      </c>
      <c r="NX79" s="57">
        <f t="shared" ref="NX79:NX113" si="804">NS$8*NQ79</f>
        <v>0</v>
      </c>
      <c r="NY79" s="1029">
        <f t="shared" si="638"/>
        <v>0</v>
      </c>
      <c r="NZ79" s="57">
        <f t="shared" si="639"/>
        <v>0</v>
      </c>
      <c r="OA79" s="171" t="str">
        <f t="shared" si="640"/>
        <v/>
      </c>
      <c r="OB79" s="57">
        <f t="shared" ref="OB79:OB113" si="805">IF(NQ$6=3,IF($F79=1,NQ79*NS$6,NQ79*NS$7),"")</f>
        <v>0</v>
      </c>
      <c r="OC79" s="57">
        <f>IF(OR(AND(NQ$6=1,$L79=0),AND(NQ$6=2,$K79=2,$G79=1)),0,IF(AND(NS$9=2,(OR($F79&gt;1,$K79=1,AND($L79=80,OR($N79=1,AND($N79=2,'#BerechnungDBE'!$AL70&gt;0)))))),IF(NQ$4&gt;=$AD$126,0,OA79),IF(NS$9=3,IF(OR(NQ$4&gt;=$AD$127,AND($G79=1,$J79=2,NQ$6=2),AND(NQ$6=1,$N79&lt;&gt;1)),0,IF(NU79&lt;=120,OA79,IF(NQ$4&lt;$AD$124,IF($F79=1,60/NS$4*NS$6,60/NS$4*NS$7),IF($F79=1,120/NS$4*NS$6,120/NS$4*NS$7)))),IF(OR($F79=3,$G79=2),IF(OR(AND(NQ$4&gt;=$AD$119,$C79=2),AND(NQ$4&gt;=$AF$119,$C79=1)),0,IF(NU79&lt;=60,OA79,60/NS$4*NS$7)),IF(AND($F79=2,$G79=1),OA79,0)))))</f>
        <v>0</v>
      </c>
      <c r="OD79" s="57" t="str">
        <f t="shared" si="641"/>
        <v/>
      </c>
      <c r="OE79" s="57" t="str">
        <f t="shared" si="642"/>
        <v/>
      </c>
      <c r="OF79" s="713">
        <f>'org. Düngung 22'!DD78</f>
        <v>0</v>
      </c>
      <c r="OG79" s="57"/>
      <c r="OH79" s="57"/>
      <c r="OI79" s="57">
        <f t="shared" si="643"/>
        <v>0</v>
      </c>
      <c r="OJ79" s="57">
        <f t="shared" ref="OJ79:OJ113" si="806">OH$4*OF79</f>
        <v>0</v>
      </c>
      <c r="OK79" s="57">
        <f t="shared" ref="OK79:OK113" si="807">OH$5*OF79</f>
        <v>0</v>
      </c>
      <c r="OL79" s="57">
        <f t="shared" ref="OL79:OL113" si="808">OJ79-OJ79*OH$10/100</f>
        <v>0</v>
      </c>
      <c r="OM79" s="57">
        <f t="shared" ref="OM79:OM113" si="809">OH$8*OF79</f>
        <v>0</v>
      </c>
      <c r="ON79" s="1029">
        <f t="shared" si="644"/>
        <v>0</v>
      </c>
      <c r="OO79" s="57">
        <f t="shared" si="645"/>
        <v>0</v>
      </c>
      <c r="OP79" s="171" t="str">
        <f t="shared" si="646"/>
        <v/>
      </c>
      <c r="OQ79" s="57">
        <f t="shared" ref="OQ79:OQ113" si="810">IF(OF$6=3,IF($F79=1,OF79*OH$6,OF79*OH$7),"")</f>
        <v>0</v>
      </c>
      <c r="OR79" s="57">
        <f>IF(OR(AND(OF$6=1,$L79=0),AND(OF$6=2,$K79=2,$G79=1)),0,IF(AND(OH$9=2,(OR($F79&gt;1,$K79=1,AND($L79=80,OR($N79=1,AND($N79=2,'#BerechnungDBE'!$AL70&gt;0)))))),IF(OF$4&gt;=$AD$126,0,OP79),IF(OH$9=3,IF(OR(OF$4&gt;=$AD$127,AND($G79=1,$J79=2,OF$6=2),AND(OF$6=1,$N79&lt;&gt;1)),0,IF(OJ79&lt;=120,OP79,IF(OF$4&lt;$AD$124,IF($F79=1,60/OH$4*OH$6,60/OH$4*OH$7),IF($F79=1,120/OH$4*OH$6,120/OH$4*OH$7)))),IF(OR($F79=3,$G79=2),IF(OR(AND(OF$4&gt;=$AD$119,$C79=2),AND(OF$4&gt;=$AF$119,$C79=1)),0,IF(OJ79&lt;=60,OP79,60/OH$4*OH$7)),IF(AND($F79=2,$G79=1),OP79,0)))))</f>
        <v>0</v>
      </c>
      <c r="OS79" s="57" t="str">
        <f t="shared" si="647"/>
        <v/>
      </c>
      <c r="OT79" s="57" t="str">
        <f t="shared" si="648"/>
        <v/>
      </c>
      <c r="OU79" s="713">
        <f>'org. Düngung 22'!DH78</f>
        <v>0</v>
      </c>
      <c r="OV79" s="57"/>
      <c r="OW79" s="57"/>
      <c r="OX79" s="57">
        <f t="shared" si="649"/>
        <v>0</v>
      </c>
      <c r="OY79" s="57">
        <f t="shared" ref="OY79:OY113" si="811">OW$4*OU79</f>
        <v>0</v>
      </c>
      <c r="OZ79" s="57">
        <f t="shared" ref="OZ79:OZ113" si="812">OW$5*OU79</f>
        <v>0</v>
      </c>
      <c r="PA79" s="57">
        <f t="shared" ref="PA79:PA113" si="813">OY79-OY79*OW$10/100</f>
        <v>0</v>
      </c>
      <c r="PB79" s="57">
        <f t="shared" ref="PB79:PB113" si="814">OW$8*OU79</f>
        <v>0</v>
      </c>
      <c r="PC79" s="1029">
        <f t="shared" si="650"/>
        <v>0</v>
      </c>
      <c r="PD79" s="57">
        <f t="shared" si="651"/>
        <v>0</v>
      </c>
      <c r="PE79" s="171" t="str">
        <f t="shared" si="652"/>
        <v/>
      </c>
      <c r="PF79" s="57">
        <f t="shared" ref="PF79:PF113" si="815">IF(OU$6=3,IF($F79=1,OU79*OW$6,OU79*OW$7),"")</f>
        <v>0</v>
      </c>
      <c r="PG79" s="57">
        <f>IF(OR(AND(OU$6=1,$L79=0),AND(OU$6=2,$K79=2,$G79=1)),0,IF(AND(OW$9=2,(OR($F79&gt;1,$K79=1,AND($L79=80,OR($N79=1,AND($N79=2,'#BerechnungDBE'!$AL70&gt;0)))))),IF(OU$4&gt;=$AD$126,0,PE79),IF(OW$9=3,IF(OR(OU$4&gt;=$AD$127,AND($G79=1,$J79=2,OU$6=2),AND(OU$6=1,$N79&lt;&gt;1)),0,IF(OY79&lt;=120,PE79,IF(OU$4&lt;$AD$124,IF($F79=1,60/OW$4*OW$6,60/OW$4*OW$7),IF($F79=1,120/OW$4*OW$6,120/OW$4*OW$7)))),IF(OR($F79=3,$G79=2),IF(OR(AND(OU$4&gt;=$AD$119,$C79=2),AND(OU$4&gt;=$AF$119,$C79=1)),0,IF(OY79&lt;=60,PE79,60/OW$4*OW$7)),IF(AND($F79=2,$G79=1),PE79,0)))))</f>
        <v>0</v>
      </c>
      <c r="PH79" s="57" t="str">
        <f t="shared" si="653"/>
        <v/>
      </c>
      <c r="PI79" s="57" t="str">
        <f t="shared" si="654"/>
        <v/>
      </c>
      <c r="PJ79" s="713">
        <f>'org. Düngung 22'!DL78</f>
        <v>0</v>
      </c>
      <c r="PK79" s="57"/>
      <c r="PL79" s="57"/>
      <c r="PM79" s="57">
        <f t="shared" si="655"/>
        <v>0</v>
      </c>
      <c r="PN79" s="57">
        <f t="shared" ref="PN79:PN113" si="816">PL$4*PJ79</f>
        <v>0</v>
      </c>
      <c r="PO79" s="57">
        <f t="shared" ref="PO79:PO113" si="817">PL$5*PJ79</f>
        <v>0</v>
      </c>
      <c r="PP79" s="57">
        <f t="shared" ref="PP79:PP113" si="818">PN79-PN79*PL$10/100</f>
        <v>0</v>
      </c>
      <c r="PQ79" s="57">
        <f t="shared" ref="PQ79:PQ113" si="819">PL$8*PJ79</f>
        <v>0</v>
      </c>
      <c r="PR79" s="1029">
        <f t="shared" si="656"/>
        <v>0</v>
      </c>
      <c r="PS79" s="57">
        <f t="shared" si="657"/>
        <v>0</v>
      </c>
      <c r="PT79" s="171" t="str">
        <f t="shared" si="658"/>
        <v/>
      </c>
      <c r="PU79" s="57">
        <f t="shared" ref="PU79:PU113" si="820">IF(PJ$6=3,IF($F79=1,PJ79*PL$6,PJ79*PL$7),"")</f>
        <v>0</v>
      </c>
      <c r="PV79" s="57">
        <f>IF(OR(AND(PJ$6=1,$L79=0),AND(PJ$6=2,$K79=2,$G79=1)),0,IF(AND(PL$9=2,(OR($F79&gt;1,$K79=1,AND($L79=80,OR($N79=1,AND($N79=2,'#BerechnungDBE'!$AL70&gt;0)))))),IF(PJ$4&gt;=$AD$126,0,PT79),IF(PL$9=3,IF(OR(PJ$4&gt;=$AD$127,AND($G79=1,$J79=2,PJ$6=2),AND(PJ$6=1,$N79&lt;&gt;1)),0,IF(PN79&lt;=120,PT79,IF(PJ$4&lt;$AD$124,IF($F79=1,60/PL$4*PL$6,60/PL$4*PL$7),IF($F79=1,120/PL$4*PL$6,120/PL$4*PL$7)))),IF(OR($F79=3,$G79=2),IF(OR(AND(PJ$4&gt;=$AD$119,$C79=2),AND(PJ$4&gt;=$AF$119,$C79=1)),0,IF(PN79&lt;=60,PT79,60/PL$4*PL$7)),IF(AND($F79=2,$G79=1),PT79,0)))))</f>
        <v>0</v>
      </c>
      <c r="PW79" s="57" t="str">
        <f t="shared" si="659"/>
        <v/>
      </c>
      <c r="PX79" s="57" t="str">
        <f t="shared" si="660"/>
        <v/>
      </c>
      <c r="PY79" s="713">
        <f>'org. Düngung 22'!DP78</f>
        <v>0</v>
      </c>
      <c r="PZ79" s="57"/>
      <c r="QA79" s="57"/>
      <c r="QB79" s="57">
        <f t="shared" si="661"/>
        <v>0</v>
      </c>
      <c r="QC79" s="57">
        <f t="shared" ref="QC79:QC113" si="821">QA$4*PY79</f>
        <v>0</v>
      </c>
      <c r="QD79" s="57">
        <f t="shared" ref="QD79:QD113" si="822">QA$5*PY79</f>
        <v>0</v>
      </c>
      <c r="QE79" s="57">
        <f t="shared" ref="QE79:QE113" si="823">QC79-QC79*QA$10/100</f>
        <v>0</v>
      </c>
      <c r="QF79" s="57">
        <f t="shared" ref="QF79:QF113" si="824">QA$8*PY79</f>
        <v>0</v>
      </c>
      <c r="QG79" s="1029">
        <f t="shared" si="662"/>
        <v>0</v>
      </c>
      <c r="QH79" s="57">
        <f t="shared" si="663"/>
        <v>0</v>
      </c>
      <c r="QI79" s="171" t="str">
        <f t="shared" si="664"/>
        <v/>
      </c>
      <c r="QJ79" s="57">
        <f t="shared" ref="QJ79:QJ113" si="825">IF(PY$6=3,IF($F79=1,PY79*QA$6,PY79*QA$7),"")</f>
        <v>0</v>
      </c>
      <c r="QK79" s="57">
        <f>IF(OR(AND(PY$6=1,$L79=0),AND(PY$6=2,$K79=2,$G79=1)),0,IF(AND(QA$9=2,(OR($F79&gt;1,$K79=1,AND($L79=80,OR($N79=1,AND($N79=2,'#BerechnungDBE'!$AL70&gt;0)))))),IF(PY$4&gt;=$AD$126,0,QI79),IF(QA$9=3,IF(OR(PY$4&gt;=$AD$127,AND($G79=1,$J79=2,PY$6=2),AND(PY$6=1,$N79&lt;&gt;1)),0,IF(QC79&lt;=120,QI79,IF(PY$4&lt;$AD$124,IF($F79=1,60/QA$4*QA$6,60/QA$4*QA$7),IF($F79=1,120/QA$4*QA$6,120/QA$4*QA$7)))),IF(OR($F79=3,$G79=2),IF(OR(AND(PY$4&gt;=$AD$119,$C79=2),AND(PY$4&gt;=$AF$119,$C79=1)),0,IF(QC79&lt;=60,QI79,60/QA$4*QA$7)),IF(AND($F79=2,$G79=1),QI79,0)))))</f>
        <v>0</v>
      </c>
      <c r="QL79" s="57" t="str">
        <f t="shared" si="665"/>
        <v/>
      </c>
      <c r="QM79" s="57" t="str">
        <f t="shared" si="666"/>
        <v/>
      </c>
      <c r="QN79" s="713">
        <f>'org. Düngung 22'!DT78</f>
        <v>0</v>
      </c>
      <c r="QO79" s="57"/>
      <c r="QP79" s="57"/>
      <c r="QQ79" s="57">
        <f t="shared" si="667"/>
        <v>0</v>
      </c>
      <c r="QR79" s="57">
        <f t="shared" ref="QR79:QR113" si="826">QP$4*QN79</f>
        <v>0</v>
      </c>
      <c r="QS79" s="57">
        <f t="shared" ref="QS79:QS113" si="827">QP$5*QN79</f>
        <v>0</v>
      </c>
      <c r="QT79" s="57">
        <f t="shared" ref="QT79:QT113" si="828">QR79-QR79*QP$10/100</f>
        <v>0</v>
      </c>
      <c r="QU79" s="57">
        <f t="shared" ref="QU79:QU113" si="829">QP$8*QN79</f>
        <v>0</v>
      </c>
      <c r="QV79" s="1029">
        <f t="shared" si="668"/>
        <v>0</v>
      </c>
      <c r="QW79" s="57">
        <f t="shared" si="669"/>
        <v>0</v>
      </c>
      <c r="QX79" s="171" t="str">
        <f t="shared" si="670"/>
        <v/>
      </c>
      <c r="QY79" s="57">
        <f t="shared" ref="QY79:QY113" si="830">IF(QN$6=3,IF($F79=1,QN79*QP$6,QN79*QP$7),"")</f>
        <v>0</v>
      </c>
      <c r="QZ79" s="57">
        <f>IF(OR(AND(QN$6=1,$L79=0),AND(QN$6=2,$K79=2,$G79=1)),0,IF(AND(QP$9=2,(OR($F79&gt;1,$K79=1,AND($L79=80,OR($N79=1,AND($N79=2,'#BerechnungDBE'!$AL70&gt;0)))))),IF(QN$4&gt;=$AD$126,0,QX79),IF(QP$9=3,IF(OR(QN$4&gt;=$AD$127,AND($G79=1,$J79=2,QN$6=2),AND(QN$6=1,$N79&lt;&gt;1)),0,IF(QR79&lt;=120,QX79,IF(QN$4&lt;$AD$124,IF($F79=1,60/QP$4*QP$6,60/QP$4*QP$7),IF($F79=1,120/QP$4*QP$6,120/QP$4*QP$7)))),IF(OR($F79=3,$G79=2),IF(OR(AND(QN$4&gt;=$AD$119,$C79=2),AND(QN$4&gt;=$AF$119,$C79=1)),0,IF(QR79&lt;=60,QX79,60/QP$4*QP$7)),IF(AND($F79=2,$G79=1),QX79,0)))))</f>
        <v>0</v>
      </c>
      <c r="RA79" s="57" t="str">
        <f t="shared" si="671"/>
        <v/>
      </c>
      <c r="RB79" s="57" t="str">
        <f t="shared" si="672"/>
        <v/>
      </c>
      <c r="RC79" s="713">
        <f>'org. Düngung 22'!DX78</f>
        <v>0</v>
      </c>
      <c r="RD79" s="57"/>
      <c r="RE79" s="57"/>
      <c r="RF79" s="57">
        <f t="shared" si="673"/>
        <v>0</v>
      </c>
      <c r="RG79" s="57">
        <f t="shared" ref="RG79:RG113" si="831">RE$4*RC79</f>
        <v>0</v>
      </c>
      <c r="RH79" s="57">
        <f t="shared" ref="RH79:RH113" si="832">RE$5*RC79</f>
        <v>0</v>
      </c>
      <c r="RI79" s="57">
        <f t="shared" ref="RI79:RI113" si="833">RG79-RG79*RE$10/100</f>
        <v>0</v>
      </c>
      <c r="RJ79" s="57">
        <f t="shared" ref="RJ79:RJ113" si="834">RE$8*RC79</f>
        <v>0</v>
      </c>
      <c r="RK79" s="1029">
        <f t="shared" si="674"/>
        <v>0</v>
      </c>
      <c r="RL79" s="57">
        <f t="shared" si="675"/>
        <v>0</v>
      </c>
      <c r="RM79" s="171" t="str">
        <f t="shared" si="676"/>
        <v/>
      </c>
      <c r="RN79" s="57">
        <f t="shared" ref="RN79:RN113" si="835">IF(RC$6=3,IF($F79=1,RC79*RE$6,RC79*RE$7),"")</f>
        <v>0</v>
      </c>
      <c r="RO79" s="57">
        <f>IF(OR(AND(RC$6=1,$L79=0),AND(RC$6=2,$K79=2,$G79=1)),0,IF(AND(RE$9=2,(OR($F79&gt;1,$K79=1,AND($L79=80,OR($N79=1,AND($N79=2,'#BerechnungDBE'!$AL70&gt;0)))))),IF(RC$4&gt;=$AD$126,0,RM79),IF(RE$9=3,IF(OR(RC$4&gt;=$AD$127,AND($G79=1,$J79=2,RC$6=2),AND(RC$6=1,$N79&lt;&gt;1)),0,IF(RG79&lt;=120,RM79,IF(RC$4&lt;$AD$124,IF($F79=1,60/RE$4*RE$6,60/RE$4*RE$7),IF($F79=1,120/RE$4*RE$6,120/RE$4*RE$7)))),IF(OR($F79=3,$G79=2),IF(OR(AND(RC$4&gt;=$AD$119,$C79=2),AND(RC$4&gt;=$AF$119,$C79=1)),0,IF(RG79&lt;=60,RM79,60/RE$4*RE$7)),IF(AND($F79=2,$G79=1),RM79,0)))))</f>
        <v>0</v>
      </c>
      <c r="RP79" s="57" t="str">
        <f t="shared" si="677"/>
        <v/>
      </c>
      <c r="RQ79" s="57" t="str">
        <f t="shared" si="678"/>
        <v/>
      </c>
      <c r="RS79" s="57" t="str">
        <f t="shared" ref="RS79:RS113" si="836">IF(AND(F79=2,G79=1),"",IF(OR(W79&gt;AA79,V79&gt;30,AD79&gt;30,AND(AC79&gt;60,L79=80)),$RS$9,""))</f>
        <v/>
      </c>
      <c r="RT79" s="57" t="str">
        <f t="shared" si="679"/>
        <v/>
      </c>
      <c r="RU79" s="57" t="str">
        <f t="shared" si="680"/>
        <v/>
      </c>
      <c r="RV79" s="57" t="str">
        <f>IF(Z79&gt;'#BerechnungDBE'!BM70,$RV$9,"")</f>
        <v/>
      </c>
      <c r="RW79" s="57" t="str">
        <f>IF(AND(L79=70,AE79&gt;'#BerechnungDBE'!CQ70),$RW$9,"")</f>
        <v/>
      </c>
      <c r="RX79" s="57" t="str">
        <f>IF(OR('org. Düngung 22'!G78="--",'org. Düngung 22'!G78&lt;=170,'org. Düngung 22'!G78=""),"",$RX$9)</f>
        <v/>
      </c>
      <c r="RY79" s="57" t="str">
        <f>IF('org. Düngung 22'!K78&gt;120,'#orgDung'!$RY$9,"")</f>
        <v/>
      </c>
      <c r="RZ79" s="57" t="str">
        <f>IF('#BerechnungDBE'!P70&lt;4,"",IF(AND('#BerechnungDBE'!BZ70&gt;0,T79&gt;0),'#orgDung'!$RZ$9,""))</f>
        <v/>
      </c>
      <c r="SA79" s="57" t="str">
        <f t="shared" si="681"/>
        <v/>
      </c>
    </row>
    <row r="80" spans="1:495" s="875" customFormat="1" x14ac:dyDescent="0.2">
      <c r="A80" s="875">
        <f>'Flächen u. Kulturen'!A76</f>
        <v>67</v>
      </c>
      <c r="B80" s="367">
        <f>'#BerechnungDBE'!L71</f>
        <v>0</v>
      </c>
      <c r="C80" s="875">
        <f>'#BerechnungDBE'!R71</f>
        <v>1</v>
      </c>
      <c r="D80" s="875">
        <f>'#BerechnungDBE'!T71</f>
        <v>2</v>
      </c>
      <c r="E80" s="875" t="str">
        <f>'Flächen u. Kulturen'!E76</f>
        <v>x</v>
      </c>
      <c r="F80" s="52">
        <f>'#BerechnungDBE'!N71</f>
        <v>1</v>
      </c>
      <c r="G80" s="52">
        <f>'#BerechnungDBE'!O71</f>
        <v>1</v>
      </c>
      <c r="H80" s="875">
        <f>IF('Flächen u. Kulturen'!P76="",0,VLOOKUP('Flächen u. Kulturen'!P76,Kulturen[[HF]:[Berechnungsgruppe]],'#Frucht'!$H$1,FALSE))</f>
        <v>0</v>
      </c>
      <c r="I80" s="875">
        <f>IF('Flächen u. Kulturen'!J76="",0,VLOOKUP('Flächen u. Kulturen'!J76,Kulturen[[HF]:[Berechnungsgruppe]],'#Frucht'!$G$1,FALSE))</f>
        <v>90</v>
      </c>
      <c r="J80" s="505">
        <f t="shared" si="682"/>
        <v>2</v>
      </c>
      <c r="K80" s="505">
        <f>IF('Flächen u. Kulturen'!P76="",0,IF(VLOOKUP('Flächen u. Kulturen'!P76,Kulturen[[HF]:[Saat Winterungen]],'#Frucht'!$P$1,FALSE)&gt;0,1,2))</f>
        <v>2</v>
      </c>
      <c r="L80" s="875">
        <f>'#BerechnungDBE'!AF71</f>
        <v>0</v>
      </c>
      <c r="M80" s="875">
        <f>IF('Flächen u. Kulturen'!L76="",0,VLOOKUP('Flächen u. Kulturen'!L76,Nebenkultur[[Nebenkultur]:[Legum. Zwischenfr.]],'#Zweitfr'!$K$1,FALSE))</f>
        <v>0</v>
      </c>
      <c r="N80" s="875">
        <f>'#BerechnungDBE'!AG71</f>
        <v>0</v>
      </c>
      <c r="P80" s="57">
        <f t="shared" si="489"/>
        <v>0</v>
      </c>
      <c r="Q80" s="57">
        <f t="shared" si="490"/>
        <v>0</v>
      </c>
      <c r="R80" s="875">
        <f t="shared" si="491"/>
        <v>0</v>
      </c>
      <c r="S80" s="938" t="str">
        <f t="shared" si="683"/>
        <v/>
      </c>
      <c r="T80" s="875">
        <f t="shared" si="492"/>
        <v>0</v>
      </c>
      <c r="U80" s="875">
        <f t="shared" si="493"/>
        <v>0</v>
      </c>
      <c r="V80" s="875">
        <f t="shared" si="494"/>
        <v>0</v>
      </c>
      <c r="W80" s="875">
        <f t="shared" si="495"/>
        <v>0</v>
      </c>
      <c r="X80" s="875">
        <f t="shared" si="496"/>
        <v>0</v>
      </c>
      <c r="Y80" s="875">
        <f t="shared" si="349"/>
        <v>0</v>
      </c>
      <c r="Z80" s="875">
        <f t="shared" si="350"/>
        <v>0</v>
      </c>
      <c r="AA80" s="910">
        <f t="shared" si="497"/>
        <v>0</v>
      </c>
      <c r="AB80" s="57">
        <f t="shared" si="351"/>
        <v>0</v>
      </c>
      <c r="AC80" s="875">
        <f t="shared" si="498"/>
        <v>0</v>
      </c>
      <c r="AD80" s="875">
        <f t="shared" si="499"/>
        <v>0</v>
      </c>
      <c r="AE80" s="875">
        <f t="shared" si="500"/>
        <v>0</v>
      </c>
      <c r="AF80" s="875">
        <f t="shared" si="352"/>
        <v>0</v>
      </c>
      <c r="AG80" s="875">
        <f>'org. Düngung 22'!J79</f>
        <v>0</v>
      </c>
      <c r="AH80" s="875">
        <f>'org. Düngung 22'!K79</f>
        <v>0</v>
      </c>
      <c r="AJ80" s="713">
        <f>'org. Düngung 22'!L79</f>
        <v>0</v>
      </c>
      <c r="AK80" s="57"/>
      <c r="AL80" s="57"/>
      <c r="AM80" s="57">
        <f t="shared" si="684"/>
        <v>0</v>
      </c>
      <c r="AN80" s="57">
        <f t="shared" si="685"/>
        <v>0</v>
      </c>
      <c r="AO80" s="57">
        <f t="shared" si="686"/>
        <v>0</v>
      </c>
      <c r="AP80" s="57">
        <f t="shared" si="687"/>
        <v>0</v>
      </c>
      <c r="AQ80" s="57">
        <f t="shared" si="688"/>
        <v>0</v>
      </c>
      <c r="AR80" s="1029">
        <f t="shared" si="501"/>
        <v>0</v>
      </c>
      <c r="AS80" s="57">
        <f t="shared" si="502"/>
        <v>0</v>
      </c>
      <c r="AT80" s="171" t="str">
        <f t="shared" si="503"/>
        <v/>
      </c>
      <c r="AU80" s="57">
        <f t="shared" si="689"/>
        <v>0</v>
      </c>
      <c r="AV80" s="57">
        <f>IF(OR(AND(AJ$6=1,$L80=0),AND(AJ$6=2,$K80=2,$G80=1)),0,IF(AND(AL$9=2,(OR($F80&gt;1,$K80=1,AND($L80=80,OR($N80=1,AND($N80=2,'#BerechnungDBE'!$AL71&gt;0)))))),IF(AJ$4&gt;=$AD$126,0,AT80),IF(AL$9=3,IF(OR(AJ$4&gt;=$AD$127,AND($G80=1,$J80=2,AJ$6=2),AND(AJ$6=1,$N80&lt;&gt;1)),0,IF(AN80&lt;=120,AT80,IF(AJ$4&lt;$AD$124,IF($F80=1,60/AL$4*AL$6,60/AL$4*AL$7),IF($F80=1,120/AL$4*AL$6,120/AL$4*AL$7)))),IF(OR($F80=3,$G80=2),IF(OR(AND(AJ$4&gt;=$AD$119,$C80=2),AND(AJ$4&gt;=$AF$119,$C80=1)),0,IF(AN80&lt;=60,AT80,60/AL$4*AL$7)),IF(AND($F80=2,$G80=1),AT80,0)))))</f>
        <v>0</v>
      </c>
      <c r="AW80" s="57" t="str">
        <f t="shared" si="690"/>
        <v/>
      </c>
      <c r="AX80" s="57" t="str">
        <f t="shared" si="504"/>
        <v/>
      </c>
      <c r="AY80" s="713">
        <f>'org. Düngung 22'!P79</f>
        <v>0</v>
      </c>
      <c r="AZ80" s="57"/>
      <c r="BA80" s="57"/>
      <c r="BB80" s="57">
        <f t="shared" si="505"/>
        <v>0</v>
      </c>
      <c r="BC80" s="57">
        <f t="shared" si="691"/>
        <v>0</v>
      </c>
      <c r="BD80" s="57">
        <f t="shared" si="692"/>
        <v>0</v>
      </c>
      <c r="BE80" s="57">
        <f t="shared" si="693"/>
        <v>0</v>
      </c>
      <c r="BF80" s="57">
        <f t="shared" si="694"/>
        <v>0</v>
      </c>
      <c r="BG80" s="1029">
        <f t="shared" si="506"/>
        <v>0</v>
      </c>
      <c r="BH80" s="57">
        <f t="shared" si="507"/>
        <v>0</v>
      </c>
      <c r="BI80" s="171" t="str">
        <f t="shared" si="508"/>
        <v/>
      </c>
      <c r="BJ80" s="57">
        <f t="shared" si="695"/>
        <v>0</v>
      </c>
      <c r="BK80" s="57">
        <f>IF(OR(AND(AY$6=1,$L80=0),AND(AY$6=2,$K80=2,$G80=1)),0,IF(AND(BA$9=2,(OR($F80&gt;1,$K80=1,AND($L80=80,OR($N80=1,AND($N80=2,'#BerechnungDBE'!$AL71&gt;0)))))),IF(AY$4&gt;=$AD$126,0,BI80),IF(BA$9=3,IF(OR(AY$4&gt;=$AD$127,AND($G80=1,$J80=2,AY$6=2),AND(AY$6=1,$N80&lt;&gt;1)),0,IF(BC80&lt;=120,BI80,IF(AY$4&lt;$AD$124,IF($F80=1,60/BA$4*BA$6,60/BA$4*BA$7),IF($F80=1,120/BA$4*BA$6,120/BA$4*BA$7)))),IF(OR($F80=3,$G80=2),IF(OR(AND(AY$4&gt;=$AD$119,$C80=2),AND(AY$4&gt;=$AF$119,$C80=1)),0,IF(BC80&lt;=60,BI80,60/BA$4*BA$7)),IF(AND($F80=2,$G80=1),BI80,0)))))</f>
        <v>0</v>
      </c>
      <c r="BL80" s="57" t="str">
        <f t="shared" si="509"/>
        <v/>
      </c>
      <c r="BM80" s="57" t="str">
        <f t="shared" si="510"/>
        <v/>
      </c>
      <c r="BN80" s="713">
        <f>'org. Düngung 22'!T79</f>
        <v>0</v>
      </c>
      <c r="BO80" s="57"/>
      <c r="BP80" s="57"/>
      <c r="BQ80" s="57">
        <f t="shared" si="511"/>
        <v>0</v>
      </c>
      <c r="BR80" s="57">
        <f t="shared" si="696"/>
        <v>0</v>
      </c>
      <c r="BS80" s="57">
        <f t="shared" si="697"/>
        <v>0</v>
      </c>
      <c r="BT80" s="57">
        <f t="shared" si="698"/>
        <v>0</v>
      </c>
      <c r="BU80" s="57">
        <f t="shared" si="699"/>
        <v>0</v>
      </c>
      <c r="BV80" s="1029">
        <f t="shared" si="512"/>
        <v>0</v>
      </c>
      <c r="BW80" s="57">
        <f t="shared" si="513"/>
        <v>0</v>
      </c>
      <c r="BX80" s="171" t="str">
        <f t="shared" si="514"/>
        <v/>
      </c>
      <c r="BY80" s="57">
        <f t="shared" si="700"/>
        <v>0</v>
      </c>
      <c r="BZ80" s="57">
        <f>IF(OR(AND(BN$6=1,$L80=0),AND(BN$6=2,$K80=2,$G80=1)),0,IF(AND(BP$9=2,(OR($F80&gt;1,$K80=1,AND($L80=80,OR($N80=1,AND($N80=2,'#BerechnungDBE'!$AL71&gt;0)))))),IF(BN$4&gt;=$AD$126,0,BX80),IF(BP$9=3,IF(OR(BN$4&gt;=$AD$127,AND($G80=1,$J80=2,BN$6=2),AND(BN$6=1,$N80&lt;&gt;1)),0,IF(BR80&lt;=120,BX80,IF(BN$4&lt;$AD$124,IF($F80=1,60/BP$4*BP$6,60/BP$4*BP$7),IF($F80=1,120/BP$4*BP$6,120/BP$4*BP$7)))),IF(OR($F80=3,$G80=2),IF(OR(AND(BN$4&gt;=$AD$119,$C80=2),AND(BN$4&gt;=$AF$119,$C80=1)),0,IF(BR80&lt;=60,BX80,60/BP$4*BP$7)),IF(AND($F80=2,$G80=1),BX80,0)))))</f>
        <v>0</v>
      </c>
      <c r="CA80" s="57" t="str">
        <f t="shared" si="515"/>
        <v/>
      </c>
      <c r="CB80" s="57" t="str">
        <f t="shared" si="516"/>
        <v/>
      </c>
      <c r="CC80" s="713">
        <f>'org. Düngung 22'!X79</f>
        <v>0</v>
      </c>
      <c r="CD80" s="57"/>
      <c r="CE80" s="57"/>
      <c r="CF80" s="57">
        <f t="shared" si="517"/>
        <v>0</v>
      </c>
      <c r="CG80" s="57">
        <f t="shared" si="701"/>
        <v>0</v>
      </c>
      <c r="CH80" s="57">
        <f t="shared" si="702"/>
        <v>0</v>
      </c>
      <c r="CI80" s="57">
        <f t="shared" si="703"/>
        <v>0</v>
      </c>
      <c r="CJ80" s="57">
        <f t="shared" si="704"/>
        <v>0</v>
      </c>
      <c r="CK80" s="1029">
        <f t="shared" si="518"/>
        <v>0</v>
      </c>
      <c r="CL80" s="57">
        <f t="shared" si="519"/>
        <v>0</v>
      </c>
      <c r="CM80" s="171" t="str">
        <f t="shared" si="520"/>
        <v/>
      </c>
      <c r="CN80" s="57">
        <f t="shared" si="705"/>
        <v>0</v>
      </c>
      <c r="CO80" s="57">
        <f>IF(OR(AND(CC$6=1,$L80=0),AND(CC$6=2,$K80=2,$G80=1)),0,IF(AND(CE$9=2,(OR($F80&gt;1,$K80=1,AND($L80=80,OR($N80=1,AND($N80=2,'#BerechnungDBE'!$AL71&gt;0)))))),IF(CC$4&gt;=$AD$126,0,CM80),IF(CE$9=3,IF(OR(CC$4&gt;=$AD$127,AND($G80=1,$J80=2,CC$6=2),AND(CC$6=1,$N80&lt;&gt;1)),0,IF(CG80&lt;=120,CM80,IF(CC$4&lt;$AD$124,IF($F80=1,60/CE$4*CE$6,60/CE$4*CE$7),IF($F80=1,120/CE$4*CE$6,120/CE$4*CE$7)))),IF(OR($F80=3,$G80=2),IF(OR(AND(CC$4&gt;=$AD$119,$C80=2),AND(CC$4&gt;=$AF$119,$C80=1)),0,IF(CG80&lt;=60,CM80,60/CE$4*CE$7)),IF(AND($F80=2,$G80=1),CM80,0)))))</f>
        <v>0</v>
      </c>
      <c r="CP80" s="57" t="str">
        <f t="shared" si="521"/>
        <v/>
      </c>
      <c r="CQ80" s="57" t="str">
        <f t="shared" si="522"/>
        <v/>
      </c>
      <c r="CR80" s="713">
        <f>'org. Düngung 22'!AB79</f>
        <v>0</v>
      </c>
      <c r="CS80" s="57"/>
      <c r="CT80" s="57"/>
      <c r="CU80" s="57">
        <f t="shared" si="523"/>
        <v>0</v>
      </c>
      <c r="CV80" s="57">
        <f t="shared" si="706"/>
        <v>0</v>
      </c>
      <c r="CW80" s="57">
        <f t="shared" si="707"/>
        <v>0</v>
      </c>
      <c r="CX80" s="57">
        <f t="shared" si="708"/>
        <v>0</v>
      </c>
      <c r="CY80" s="57">
        <f t="shared" si="709"/>
        <v>0</v>
      </c>
      <c r="CZ80" s="1029">
        <f t="shared" si="524"/>
        <v>0</v>
      </c>
      <c r="DA80" s="57">
        <f t="shared" si="525"/>
        <v>0</v>
      </c>
      <c r="DB80" s="171" t="str">
        <f t="shared" si="526"/>
        <v/>
      </c>
      <c r="DC80" s="57">
        <f t="shared" si="710"/>
        <v>0</v>
      </c>
      <c r="DD80" s="57">
        <f>IF(OR(AND(CR$6=1,$L80=0),AND(CR$6=2,$K80=2,$G80=1)),0,IF(AND(CT$9=2,(OR($F80&gt;1,$K80=1,AND($L80=80,OR($N80=1,AND($N80=2,'#BerechnungDBE'!$AL71&gt;0)))))),IF(CR$4&gt;=$AD$126,0,DB80),IF(CT$9=3,IF(OR(CR$4&gt;=$AD$127,AND($G80=1,$J80=2,CR$6=2),AND(CR$6=1,$N80&lt;&gt;1)),0,IF(CV80&lt;=120,DB80,IF(CR$4&lt;$AD$124,IF($F80=1,60/CT$4*CT$6,60/CT$4*CT$7),IF($F80=1,120/CT$4*CT$6,120/CT$4*CT$7)))),IF(OR($F80=3,$G80=2),IF(OR(AND(CR$4&gt;=$AD$119,$C80=2),AND(CR$4&gt;=$AF$119,$C80=1)),0,IF(CV80&lt;=60,DB80,60/CT$4*CT$7)),IF(AND($F80=2,$G80=1),DB80,0)))))</f>
        <v>0</v>
      </c>
      <c r="DE80" s="57" t="str">
        <f t="shared" si="527"/>
        <v/>
      </c>
      <c r="DF80" s="57" t="str">
        <f t="shared" si="528"/>
        <v/>
      </c>
      <c r="DG80" s="713">
        <f>'org. Düngung 22'!AF79</f>
        <v>0</v>
      </c>
      <c r="DH80" s="57"/>
      <c r="DI80" s="57"/>
      <c r="DJ80" s="57">
        <f t="shared" si="529"/>
        <v>0</v>
      </c>
      <c r="DK80" s="57">
        <f t="shared" si="711"/>
        <v>0</v>
      </c>
      <c r="DL80" s="57">
        <f t="shared" si="712"/>
        <v>0</v>
      </c>
      <c r="DM80" s="57">
        <f t="shared" si="713"/>
        <v>0</v>
      </c>
      <c r="DN80" s="57">
        <f t="shared" si="714"/>
        <v>0</v>
      </c>
      <c r="DO80" s="1029">
        <f t="shared" si="530"/>
        <v>0</v>
      </c>
      <c r="DP80" s="57">
        <f t="shared" si="531"/>
        <v>0</v>
      </c>
      <c r="DQ80" s="171" t="str">
        <f t="shared" si="532"/>
        <v/>
      </c>
      <c r="DR80" s="57">
        <f t="shared" si="715"/>
        <v>0</v>
      </c>
      <c r="DS80" s="57">
        <f>IF(OR(AND(DG$6=1,$L80=0),AND(DG$6=2,$K80=2,$G80=1)),0,IF(AND(DI$9=2,(OR($F80&gt;1,$K80=1,AND($L80=80,OR($N80=1,AND($N80=2,'#BerechnungDBE'!$AL71&gt;0)))))),IF(DG$4&gt;=$AD$126,0,DQ80),IF(DI$9=3,IF(OR(DG$4&gt;=$AD$127,AND($G80=1,$J80=2,DG$6=2),AND(DG$6=1,$N80&lt;&gt;1)),0,IF(DK80&lt;=120,DQ80,IF(DG$4&lt;$AD$124,IF($F80=1,60/DI$4*DI$6,60/DI$4*DI$7),IF($F80=1,120/DI$4*DI$6,120/DI$4*DI$7)))),IF(OR($F80=3,$G80=2),IF(OR(AND(DG$4&gt;=$AD$119,$C80=2),AND(DG$4&gt;=$AF$119,$C80=1)),0,IF(DK80&lt;=60,DQ80,60/DI$4*DI$7)),IF(AND($F80=2,$G80=1),DQ80,0)))))</f>
        <v>0</v>
      </c>
      <c r="DT80" s="57" t="str">
        <f t="shared" si="533"/>
        <v/>
      </c>
      <c r="DU80" s="57" t="str">
        <f t="shared" si="534"/>
        <v/>
      </c>
      <c r="DV80" s="713">
        <f>'org. Düngung 22'!AJ79</f>
        <v>0</v>
      </c>
      <c r="DW80" s="57"/>
      <c r="DX80" s="57"/>
      <c r="DY80" s="57">
        <f t="shared" si="535"/>
        <v>0</v>
      </c>
      <c r="DZ80" s="57">
        <f t="shared" si="716"/>
        <v>0</v>
      </c>
      <c r="EA80" s="57">
        <f t="shared" si="717"/>
        <v>0</v>
      </c>
      <c r="EB80" s="57">
        <f t="shared" si="718"/>
        <v>0</v>
      </c>
      <c r="EC80" s="57">
        <f t="shared" si="719"/>
        <v>0</v>
      </c>
      <c r="ED80" s="1029">
        <f t="shared" si="536"/>
        <v>0</v>
      </c>
      <c r="EE80" s="57">
        <f t="shared" si="537"/>
        <v>0</v>
      </c>
      <c r="EF80" s="171" t="str">
        <f t="shared" si="538"/>
        <v/>
      </c>
      <c r="EG80" s="57">
        <f t="shared" si="720"/>
        <v>0</v>
      </c>
      <c r="EH80" s="57">
        <f>IF(OR(AND(DV$6=1,$L80=0),AND(DV$6=2,$K80=2,$G80=1)),0,IF(AND(DX$9=2,(OR($F80&gt;1,$K80=1,AND($L80=80,OR($N80=1,AND($N80=2,'#BerechnungDBE'!$AL71&gt;0)))))),IF(DV$4&gt;=$AD$126,0,EF80),IF(DX$9=3,IF(OR(DV$4&gt;=$AD$127,AND($G80=1,$J80=2,DV$6=2),AND(DV$6=1,$N80&lt;&gt;1)),0,IF(DZ80&lt;=120,EF80,IF(DV$4&lt;$AD$124,IF($F80=1,60/DX$4*DX$6,60/DX$4*DX$7),IF($F80=1,120/DX$4*DX$6,120/DX$4*DX$7)))),IF(OR($F80=3,$G80=2),IF(OR(AND(DV$4&gt;=$AD$119,$C80=2),AND(DV$4&gt;=$AF$119,$C80=1)),0,IF(DZ80&lt;=60,EF80,60/DX$4*DX$7)),IF(AND($F80=2,$G80=1),EF80,0)))))</f>
        <v>0</v>
      </c>
      <c r="EI80" s="57" t="str">
        <f t="shared" si="539"/>
        <v/>
      </c>
      <c r="EJ80" s="57" t="str">
        <f t="shared" si="540"/>
        <v/>
      </c>
      <c r="EK80" s="713">
        <f>'org. Düngung 22'!AN79</f>
        <v>0</v>
      </c>
      <c r="EL80" s="57"/>
      <c r="EM80" s="57"/>
      <c r="EN80" s="57">
        <f t="shared" si="541"/>
        <v>0</v>
      </c>
      <c r="EO80" s="57">
        <f t="shared" si="721"/>
        <v>0</v>
      </c>
      <c r="EP80" s="57">
        <f t="shared" si="722"/>
        <v>0</v>
      </c>
      <c r="EQ80" s="57">
        <f t="shared" si="723"/>
        <v>0</v>
      </c>
      <c r="ER80" s="57">
        <f t="shared" si="724"/>
        <v>0</v>
      </c>
      <c r="ES80" s="1029">
        <f t="shared" si="542"/>
        <v>0</v>
      </c>
      <c r="ET80" s="57">
        <f t="shared" si="543"/>
        <v>0</v>
      </c>
      <c r="EU80" s="171" t="str">
        <f t="shared" si="544"/>
        <v/>
      </c>
      <c r="EV80" s="57">
        <f t="shared" si="725"/>
        <v>0</v>
      </c>
      <c r="EW80" s="57">
        <f>IF(OR(AND(EK$6=1,$L80=0),AND(EK$6=2,$K80=2,$G80=1)),0,IF(AND(EM$9=2,(OR($F80&gt;1,$K80=1,AND($L80=80,OR($N80=1,AND($N80=2,'#BerechnungDBE'!$AL71&gt;0)))))),IF(EK$4&gt;=$AD$126,0,EU80),IF(EM$9=3,IF(OR(EK$4&gt;=$AD$127,AND($G80=1,$J80=2,EK$6=2),AND(EK$6=1,$N80&lt;&gt;1)),0,IF(EO80&lt;=120,EU80,IF(EK$4&lt;$AD$124,IF($F80=1,60/EM$4*EM$6,60/EM$4*EM$7),IF($F80=1,120/EM$4*EM$6,120/EM$4*EM$7)))),IF(OR($F80=3,$G80=2),IF(OR(AND(EK$4&gt;=$AD$119,$C80=2),AND(EK$4&gt;=$AF$119,$C80=1)),0,IF(EO80&lt;=60,EU80,60/EM$4*EM$7)),IF(AND($F80=2,$G80=1),EU80,0)))))</f>
        <v>0</v>
      </c>
      <c r="EX80" s="57" t="str">
        <f t="shared" si="545"/>
        <v/>
      </c>
      <c r="EY80" s="57" t="str">
        <f t="shared" si="546"/>
        <v/>
      </c>
      <c r="EZ80" s="713">
        <f>'org. Düngung 22'!AR79</f>
        <v>0</v>
      </c>
      <c r="FA80" s="57"/>
      <c r="FB80" s="57"/>
      <c r="FC80" s="57">
        <f t="shared" si="547"/>
        <v>0</v>
      </c>
      <c r="FD80" s="57">
        <f t="shared" si="726"/>
        <v>0</v>
      </c>
      <c r="FE80" s="57">
        <f t="shared" si="727"/>
        <v>0</v>
      </c>
      <c r="FF80" s="57">
        <f t="shared" si="728"/>
        <v>0</v>
      </c>
      <c r="FG80" s="57">
        <f t="shared" si="729"/>
        <v>0</v>
      </c>
      <c r="FH80" s="1029">
        <f t="shared" si="548"/>
        <v>0</v>
      </c>
      <c r="FI80" s="57">
        <f t="shared" si="549"/>
        <v>0</v>
      </c>
      <c r="FJ80" s="171" t="str">
        <f t="shared" si="550"/>
        <v/>
      </c>
      <c r="FK80" s="57">
        <f t="shared" si="730"/>
        <v>0</v>
      </c>
      <c r="FL80" s="57">
        <f>IF(OR(AND(EZ$6=1,$L80=0),AND(EZ$6=2,$K80=2,$G80=1)),0,IF(AND(FB$9=2,(OR($F80&gt;1,$K80=1,AND($L80=80,OR($N80=1,AND($N80=2,'#BerechnungDBE'!$AL71&gt;0)))))),IF(EZ$4&gt;=$AD$126,0,FJ80),IF(FB$9=3,IF(OR(EZ$4&gt;=$AD$127,AND($G80=1,$J80=2,EZ$6=2),AND(EZ$6=1,$N80&lt;&gt;1)),0,IF(FD80&lt;=120,FJ80,IF(EZ$4&lt;$AD$124,IF($F80=1,60/FB$4*FB$6,60/FB$4*FB$7),IF($F80=1,120/FB$4*FB$6,120/FB$4*FB$7)))),IF(OR($F80=3,$G80=2),IF(OR(AND(EZ$4&gt;=$AD$119,$C80=2),AND(EZ$4&gt;=$AF$119,$C80=1)),0,IF(FD80&lt;=60,FJ80,60/FB$4*FB$7)),IF(AND($F80=2,$G80=1),FJ80,0)))))</f>
        <v>0</v>
      </c>
      <c r="FM80" s="57" t="str">
        <f t="shared" si="551"/>
        <v/>
      </c>
      <c r="FN80" s="57" t="str">
        <f t="shared" si="552"/>
        <v/>
      </c>
      <c r="FO80" s="713">
        <f>'org. Düngung 22'!AV79</f>
        <v>0</v>
      </c>
      <c r="FP80" s="57"/>
      <c r="FQ80" s="57"/>
      <c r="FR80" s="57">
        <f t="shared" si="553"/>
        <v>0</v>
      </c>
      <c r="FS80" s="57">
        <f t="shared" si="731"/>
        <v>0</v>
      </c>
      <c r="FT80" s="57">
        <f t="shared" si="732"/>
        <v>0</v>
      </c>
      <c r="FU80" s="57">
        <f t="shared" si="733"/>
        <v>0</v>
      </c>
      <c r="FV80" s="57">
        <f t="shared" si="734"/>
        <v>0</v>
      </c>
      <c r="FW80" s="1029">
        <f t="shared" si="554"/>
        <v>0</v>
      </c>
      <c r="FX80" s="57">
        <f t="shared" si="555"/>
        <v>0</v>
      </c>
      <c r="FY80" s="171" t="str">
        <f t="shared" si="556"/>
        <v/>
      </c>
      <c r="FZ80" s="57">
        <f t="shared" si="735"/>
        <v>0</v>
      </c>
      <c r="GA80" s="57">
        <f>IF(OR(AND(FO$6=1,$L80=0),AND(FO$6=2,$K80=2,$G80=1)),0,IF(AND(FQ$9=2,(OR($F80&gt;1,$K80=1,AND($L80=80,OR($N80=1,AND($N80=2,'#BerechnungDBE'!$AL71&gt;0)))))),IF(FO$4&gt;=$AD$126,0,FY80),IF(FQ$9=3,IF(OR(FO$4&gt;=$AD$127,AND($G80=1,$J80=2,FO$6=2),AND(FO$6=1,$N80&lt;&gt;1)),0,IF(FS80&lt;=120,FY80,IF(FO$4&lt;$AD$124,IF($F80=1,60/FQ$4*FQ$6,60/FQ$4*FQ$7),IF($F80=1,120/FQ$4*FQ$6,120/FQ$4*FQ$7)))),IF(OR($F80=3,$G80=2),IF(OR(AND(FO$4&gt;=$AD$119,$C80=2),AND(FO$4&gt;=$AF$119,$C80=1)),0,IF(FS80&lt;=60,FY80,60/FQ$4*FQ$7)),IF(AND($F80=2,$G80=1),FY80,0)))))</f>
        <v>0</v>
      </c>
      <c r="GB80" s="57" t="str">
        <f t="shared" si="557"/>
        <v/>
      </c>
      <c r="GC80" s="57" t="str">
        <f t="shared" si="558"/>
        <v/>
      </c>
      <c r="GD80" s="713">
        <f>'org. Düngung 22'!AZ79</f>
        <v>0</v>
      </c>
      <c r="GE80" s="57"/>
      <c r="GF80" s="57"/>
      <c r="GG80" s="57">
        <f t="shared" si="559"/>
        <v>0</v>
      </c>
      <c r="GH80" s="57">
        <f t="shared" si="736"/>
        <v>0</v>
      </c>
      <c r="GI80" s="57">
        <f t="shared" si="737"/>
        <v>0</v>
      </c>
      <c r="GJ80" s="57">
        <f t="shared" si="738"/>
        <v>0</v>
      </c>
      <c r="GK80" s="57">
        <f t="shared" si="739"/>
        <v>0</v>
      </c>
      <c r="GL80" s="1029">
        <f t="shared" si="560"/>
        <v>0</v>
      </c>
      <c r="GM80" s="57">
        <f t="shared" si="561"/>
        <v>0</v>
      </c>
      <c r="GN80" s="171" t="str">
        <f t="shared" si="562"/>
        <v/>
      </c>
      <c r="GO80" s="57">
        <f t="shared" si="740"/>
        <v>0</v>
      </c>
      <c r="GP80" s="57">
        <f>IF(OR(AND(GD$6=1,$L80=0),AND(GD$6=2,$K80=2,$G80=1)),0,IF(AND(GF$9=2,(OR($F80&gt;1,$K80=1,AND($L80=80,OR($N80=1,AND($N80=2,'#BerechnungDBE'!$AL71&gt;0)))))),IF(GD$4&gt;=$AD$126,0,GN80),IF(GF$9=3,IF(OR(GD$4&gt;=$AD$127,AND($G80=1,$J80=2,GD$6=2),AND(GD$6=1,$N80&lt;&gt;1)),0,IF(GH80&lt;=120,GN80,IF(GD$4&lt;$AD$124,IF($F80=1,60/GF$4*GF$6,60/GF$4*GF$7),IF($F80=1,120/GF$4*GF$6,120/GF$4*GF$7)))),IF(OR($F80=3,$G80=2),IF(OR(AND(GD$4&gt;=$AD$119,$C80=2),AND(GD$4&gt;=$AF$119,$C80=1)),0,IF(GH80&lt;=60,GN80,60/GF$4*GF$7)),IF(AND($F80=2,$G80=1),GN80,0)))))</f>
        <v>0</v>
      </c>
      <c r="GQ80" s="57" t="str">
        <f t="shared" si="563"/>
        <v/>
      </c>
      <c r="GR80" s="57" t="str">
        <f t="shared" si="564"/>
        <v/>
      </c>
      <c r="GS80" s="713">
        <f>'org. Düngung 22'!BD79</f>
        <v>0</v>
      </c>
      <c r="GT80" s="57"/>
      <c r="GU80" s="57"/>
      <c r="GV80" s="57">
        <f t="shared" si="565"/>
        <v>0</v>
      </c>
      <c r="GW80" s="57">
        <f t="shared" si="741"/>
        <v>0</v>
      </c>
      <c r="GX80" s="57">
        <f t="shared" si="742"/>
        <v>0</v>
      </c>
      <c r="GY80" s="57">
        <f t="shared" si="743"/>
        <v>0</v>
      </c>
      <c r="GZ80" s="57">
        <f t="shared" si="744"/>
        <v>0</v>
      </c>
      <c r="HA80" s="1029">
        <f t="shared" si="566"/>
        <v>0</v>
      </c>
      <c r="HB80" s="57">
        <f t="shared" si="567"/>
        <v>0</v>
      </c>
      <c r="HC80" s="171" t="str">
        <f t="shared" si="568"/>
        <v/>
      </c>
      <c r="HD80" s="57">
        <f t="shared" si="745"/>
        <v>0</v>
      </c>
      <c r="HE80" s="57">
        <f>IF(OR(AND(GS$6=1,$L80=0),AND(GS$6=2,$K80=2,$G80=1)),0,IF(AND(GU$9=2,(OR($F80&gt;1,$K80=1,AND($L80=80,OR($N80=1,AND($N80=2,'#BerechnungDBE'!$AL71&gt;0)))))),IF(GS$4&gt;=$AD$126,0,HC80),IF(GU$9=3,IF(OR(GS$4&gt;=$AD$127,AND($G80=1,$J80=2,GS$6=2),AND(GS$6=1,$N80&lt;&gt;1)),0,IF(GW80&lt;=120,HC80,IF(GS$4&lt;$AD$124,IF($F80=1,60/GU$4*GU$6,60/GU$4*GU$7),IF($F80=1,120/GU$4*GU$6,120/GU$4*GU$7)))),IF(OR($F80=3,$G80=2),IF(OR(AND(GS$4&gt;=$AD$119,$C80=2),AND(GS$4&gt;=$AF$119,$C80=1)),0,IF(GW80&lt;=60,HC80,60/GU$4*GU$7)),IF(AND($F80=2,$G80=1),HC80,0)))))</f>
        <v>0</v>
      </c>
      <c r="HF80" s="57" t="str">
        <f t="shared" si="569"/>
        <v/>
      </c>
      <c r="HG80" s="57" t="str">
        <f t="shared" si="570"/>
        <v/>
      </c>
      <c r="HH80" s="713">
        <f>'org. Düngung 22'!BH79</f>
        <v>0</v>
      </c>
      <c r="HI80" s="57"/>
      <c r="HJ80" s="57"/>
      <c r="HK80" s="57">
        <f t="shared" si="571"/>
        <v>0</v>
      </c>
      <c r="HL80" s="57">
        <f t="shared" si="746"/>
        <v>0</v>
      </c>
      <c r="HM80" s="57">
        <f t="shared" si="747"/>
        <v>0</v>
      </c>
      <c r="HN80" s="57">
        <f t="shared" si="748"/>
        <v>0</v>
      </c>
      <c r="HO80" s="57">
        <f t="shared" si="749"/>
        <v>0</v>
      </c>
      <c r="HP80" s="1029">
        <f t="shared" si="572"/>
        <v>0</v>
      </c>
      <c r="HQ80" s="57">
        <f t="shared" si="573"/>
        <v>0</v>
      </c>
      <c r="HR80" s="171" t="str">
        <f t="shared" si="574"/>
        <v/>
      </c>
      <c r="HS80" s="57">
        <f t="shared" si="750"/>
        <v>0</v>
      </c>
      <c r="HT80" s="57">
        <f>IF(OR(AND(HH$6=1,$L80=0),AND(HH$6=2,$K80=2,$G80=1)),0,IF(AND(HJ$9=2,(OR($F80&gt;1,$K80=1,AND($L80=80,OR($N80=1,AND($N80=2,'#BerechnungDBE'!$AL71&gt;0)))))),IF(HH$4&gt;=$AD$126,0,HR80),IF(HJ$9=3,IF(OR(HH$4&gt;=$AD$127,AND($G80=1,$J80=2,HH$6=2),AND(HH$6=1,$N80&lt;&gt;1)),0,IF(HL80&lt;=120,HR80,IF(HH$4&lt;$AD$124,IF($F80=1,60/HJ$4*HJ$6,60/HJ$4*HJ$7),IF($F80=1,120/HJ$4*HJ$6,120/HJ$4*HJ$7)))),IF(OR($F80=3,$G80=2),IF(OR(AND(HH$4&gt;=$AD$119,$C80=2),AND(HH$4&gt;=$AF$119,$C80=1)),0,IF(HL80&lt;=60,HR80,60/HJ$4*HJ$7)),IF(AND($F80=2,$G80=1),HR80,0)))))</f>
        <v>0</v>
      </c>
      <c r="HU80" s="57" t="str">
        <f t="shared" si="575"/>
        <v/>
      </c>
      <c r="HV80" s="57" t="str">
        <f t="shared" si="576"/>
        <v/>
      </c>
      <c r="HW80" s="713">
        <f>'org. Düngung 22'!BL79</f>
        <v>0</v>
      </c>
      <c r="HX80" s="57"/>
      <c r="HY80" s="57"/>
      <c r="HZ80" s="57">
        <f t="shared" si="577"/>
        <v>0</v>
      </c>
      <c r="IA80" s="57">
        <f t="shared" si="751"/>
        <v>0</v>
      </c>
      <c r="IB80" s="57">
        <f t="shared" si="752"/>
        <v>0</v>
      </c>
      <c r="IC80" s="57">
        <f t="shared" si="753"/>
        <v>0</v>
      </c>
      <c r="ID80" s="57">
        <f t="shared" si="754"/>
        <v>0</v>
      </c>
      <c r="IE80" s="1029">
        <f t="shared" si="578"/>
        <v>0</v>
      </c>
      <c r="IF80" s="57">
        <f t="shared" si="579"/>
        <v>0</v>
      </c>
      <c r="IG80" s="171" t="str">
        <f t="shared" si="580"/>
        <v/>
      </c>
      <c r="IH80" s="57">
        <f t="shared" si="755"/>
        <v>0</v>
      </c>
      <c r="II80" s="57">
        <f>IF(OR(AND(HW$6=1,$L80=0),AND(HW$6=2,$K80=2,$G80=1)),0,IF(AND(HY$9=2,(OR($F80&gt;1,$K80=1,AND($L80=80,OR($N80=1,AND($N80=2,'#BerechnungDBE'!$AL71&gt;0)))))),IF(HW$4&gt;=$AD$126,0,IG80),IF(HY$9=3,IF(OR(HW$4&gt;=$AD$127,AND($G80=1,$J80=2,HW$6=2),AND(HW$6=1,$N80&lt;&gt;1)),0,IF(IA80&lt;=120,IG80,IF(HW$4&lt;$AD$124,IF($F80=1,60/HY$4*HY$6,60/HY$4*HY$7),IF($F80=1,120/HY$4*HY$6,120/HY$4*HY$7)))),IF(OR($F80=3,$G80=2),IF(OR(AND(HW$4&gt;=$AD$119,$C80=2),AND(HW$4&gt;=$AF$119,$C80=1)),0,IF(IA80&lt;=60,IG80,60/HY$4*HY$7)),IF(AND($F80=2,$G80=1),IG80,0)))))</f>
        <v>0</v>
      </c>
      <c r="IJ80" s="57" t="str">
        <f t="shared" si="581"/>
        <v/>
      </c>
      <c r="IK80" s="57" t="str">
        <f t="shared" si="582"/>
        <v/>
      </c>
      <c r="IL80" s="713">
        <f>'org. Düngung 22'!BP79</f>
        <v>0</v>
      </c>
      <c r="IM80" s="57"/>
      <c r="IN80" s="57"/>
      <c r="IO80" s="57">
        <f t="shared" si="583"/>
        <v>0</v>
      </c>
      <c r="IP80" s="57">
        <f t="shared" si="756"/>
        <v>0</v>
      </c>
      <c r="IQ80" s="57">
        <f t="shared" si="757"/>
        <v>0</v>
      </c>
      <c r="IR80" s="57">
        <f t="shared" si="758"/>
        <v>0</v>
      </c>
      <c r="IS80" s="57">
        <f t="shared" si="759"/>
        <v>0</v>
      </c>
      <c r="IT80" s="1029">
        <f t="shared" si="584"/>
        <v>0</v>
      </c>
      <c r="IU80" s="57">
        <f t="shared" si="585"/>
        <v>0</v>
      </c>
      <c r="IV80" s="171" t="str">
        <f t="shared" si="586"/>
        <v/>
      </c>
      <c r="IW80" s="57">
        <f t="shared" si="760"/>
        <v>0</v>
      </c>
      <c r="IX80" s="57">
        <f>IF(OR(AND(IL$6=1,$L80=0),AND(IL$6=2,$K80=2,$G80=1)),0,IF(AND(IN$9=2,(OR($F80&gt;1,$K80=1,AND($L80=80,OR($N80=1,AND($N80=2,'#BerechnungDBE'!$AL71&gt;0)))))),IF(IL$4&gt;=$AD$126,0,IV80),IF(IN$9=3,IF(OR(IL$4&gt;=$AD$127,AND($G80=1,$J80=2,IL$6=2),AND(IL$6=1,$N80&lt;&gt;1)),0,IF(IP80&lt;=120,IV80,IF(IL$4&lt;$AD$124,IF($F80=1,60/IN$4*IN$6,60/IN$4*IN$7),IF($F80=1,120/IN$4*IN$6,120/IN$4*IN$7)))),IF(OR($F80=3,$G80=2),IF(OR(AND(IL$4&gt;=$AD$119,$C80=2),AND(IL$4&gt;=$AF$119,$C80=1)),0,IF(IP80&lt;=60,IV80,60/IN$4*IN$7)),IF(AND($F80=2,$G80=1),IV80,0)))))</f>
        <v>0</v>
      </c>
      <c r="IY80" s="57" t="str">
        <f t="shared" si="587"/>
        <v/>
      </c>
      <c r="IZ80" s="57" t="str">
        <f t="shared" si="588"/>
        <v/>
      </c>
      <c r="JA80" s="713">
        <f>'org. Düngung 22'!BT79</f>
        <v>0</v>
      </c>
      <c r="JB80" s="57"/>
      <c r="JC80" s="57"/>
      <c r="JD80" s="57">
        <f t="shared" si="589"/>
        <v>0</v>
      </c>
      <c r="JE80" s="57">
        <f t="shared" si="761"/>
        <v>0</v>
      </c>
      <c r="JF80" s="57">
        <f t="shared" si="762"/>
        <v>0</v>
      </c>
      <c r="JG80" s="57">
        <f t="shared" si="763"/>
        <v>0</v>
      </c>
      <c r="JH80" s="57">
        <f t="shared" si="764"/>
        <v>0</v>
      </c>
      <c r="JI80" s="1029">
        <f t="shared" si="590"/>
        <v>0</v>
      </c>
      <c r="JJ80" s="57">
        <f t="shared" si="591"/>
        <v>0</v>
      </c>
      <c r="JK80" s="171" t="str">
        <f t="shared" si="592"/>
        <v/>
      </c>
      <c r="JL80" s="57">
        <f t="shared" si="765"/>
        <v>0</v>
      </c>
      <c r="JM80" s="57">
        <f>IF(OR(AND(JA$6=1,$L80=0),AND(JA$6=2,$K80=2,$G80=1)),0,IF(AND(JC$9=2,(OR($F80&gt;1,$K80=1,AND($L80=80,OR($N80=1,AND($N80=2,'#BerechnungDBE'!$AL71&gt;0)))))),IF(JA$4&gt;=$AD$126,0,JK80),IF(JC$9=3,IF(OR(JA$4&gt;=$AD$127,AND($G80=1,$J80=2,JA$6=2),AND(JA$6=1,$N80&lt;&gt;1)),0,IF(JE80&lt;=120,JK80,IF(JA$4&lt;$AD$124,IF($F80=1,60/JC$4*JC$6,60/JC$4*JC$7),IF($F80=1,120/JC$4*JC$6,120/JC$4*JC$7)))),IF(OR($F80=3,$G80=2),IF(OR(AND(JA$4&gt;=$AD$119,$C80=2),AND(JA$4&gt;=$AF$119,$C80=1)),0,IF(JE80&lt;=60,JK80,60/JC$4*JC$7)),IF(AND($F80=2,$G80=1),JK80,0)))))</f>
        <v>0</v>
      </c>
      <c r="JN80" s="57" t="str">
        <f t="shared" si="593"/>
        <v/>
      </c>
      <c r="JO80" s="57" t="str">
        <f t="shared" si="594"/>
        <v/>
      </c>
      <c r="JP80" s="713">
        <f>'org. Düngung 22'!BX79</f>
        <v>0</v>
      </c>
      <c r="JQ80" s="57"/>
      <c r="JR80" s="57"/>
      <c r="JS80" s="57">
        <f t="shared" si="595"/>
        <v>0</v>
      </c>
      <c r="JT80" s="57">
        <f t="shared" si="766"/>
        <v>0</v>
      </c>
      <c r="JU80" s="57">
        <f t="shared" si="767"/>
        <v>0</v>
      </c>
      <c r="JV80" s="57">
        <f t="shared" si="768"/>
        <v>0</v>
      </c>
      <c r="JW80" s="57">
        <f t="shared" si="769"/>
        <v>0</v>
      </c>
      <c r="JX80" s="1029">
        <f t="shared" si="596"/>
        <v>0</v>
      </c>
      <c r="JY80" s="57">
        <f t="shared" si="597"/>
        <v>0</v>
      </c>
      <c r="JZ80" s="171" t="str">
        <f t="shared" si="598"/>
        <v/>
      </c>
      <c r="KA80" s="57">
        <f t="shared" si="770"/>
        <v>0</v>
      </c>
      <c r="KB80" s="57">
        <f>IF(OR(AND(JP$6=1,$L80=0),AND(JP$6=2,$K80=2,$G80=1)),0,IF(AND(JR$9=2,(OR($F80&gt;1,$K80=1,AND($L80=80,OR($N80=1,AND($N80=2,'#BerechnungDBE'!$AL71&gt;0)))))),IF(JP$4&gt;=$AD$126,0,JZ80),IF(JR$9=3,IF(OR(JP$4&gt;=$AD$127,AND($G80=1,$J80=2,JP$6=2),AND(JP$6=1,$N80&lt;&gt;1)),0,IF(JT80&lt;=120,JZ80,IF(JP$4&lt;$AD$124,IF($F80=1,60/JR$4*JR$6,60/JR$4*JR$7),IF($F80=1,120/JR$4*JR$6,120/JR$4*JR$7)))),IF(OR($F80=3,$G80=2),IF(OR(AND(JP$4&gt;=$AD$119,$C80=2),AND(JP$4&gt;=$AF$119,$C80=1)),0,IF(JT80&lt;=60,JZ80,60/JR$4*JR$7)),IF(AND($F80=2,$G80=1),JZ80,0)))))</f>
        <v>0</v>
      </c>
      <c r="KC80" s="57" t="str">
        <f t="shared" si="599"/>
        <v/>
      </c>
      <c r="KD80" s="57" t="str">
        <f t="shared" si="600"/>
        <v/>
      </c>
      <c r="KE80" s="713">
        <f>'org. Düngung 22'!CB79</f>
        <v>0</v>
      </c>
      <c r="KF80" s="57"/>
      <c r="KG80" s="57"/>
      <c r="KH80" s="57">
        <f t="shared" si="601"/>
        <v>0</v>
      </c>
      <c r="KI80" s="57">
        <f t="shared" si="771"/>
        <v>0</v>
      </c>
      <c r="KJ80" s="57">
        <f t="shared" si="772"/>
        <v>0</v>
      </c>
      <c r="KK80" s="57">
        <f t="shared" si="773"/>
        <v>0</v>
      </c>
      <c r="KL80" s="57">
        <f t="shared" si="774"/>
        <v>0</v>
      </c>
      <c r="KM80" s="1029">
        <f t="shared" si="602"/>
        <v>0</v>
      </c>
      <c r="KN80" s="57">
        <f t="shared" si="603"/>
        <v>0</v>
      </c>
      <c r="KO80" s="171" t="str">
        <f t="shared" si="604"/>
        <v/>
      </c>
      <c r="KP80" s="57">
        <f t="shared" si="775"/>
        <v>0</v>
      </c>
      <c r="KQ80" s="57">
        <f>IF(OR(AND(KE$6=1,$L80=0),AND(KE$6=2,$K80=2,$G80=1)),0,IF(AND(KG$9=2,(OR($F80&gt;1,$K80=1,AND($L80=80,OR($N80=1,AND($N80=2,'#BerechnungDBE'!$AL71&gt;0)))))),IF(KE$4&gt;=$AD$126,0,KO80),IF(KG$9=3,IF(OR(KE$4&gt;=$AD$127,AND($G80=1,$J80=2,KE$6=2),AND(KE$6=1,$N80&lt;&gt;1)),0,IF(KI80&lt;=120,KO80,IF(KE$4&lt;$AD$124,IF($F80=1,60/KG$4*KG$6,60/KG$4*KG$7),IF($F80=1,120/KG$4*KG$6,120/KG$4*KG$7)))),IF(OR($F80=3,$G80=2),IF(OR(AND(KE$4&gt;=$AD$119,$C80=2),AND(KE$4&gt;=$AF$119,$C80=1)),0,IF(KI80&lt;=60,KO80,60/KG$4*KG$7)),IF(AND($F80=2,$G80=1),KO80,0)))))</f>
        <v>0</v>
      </c>
      <c r="KR80" s="57" t="str">
        <f t="shared" si="605"/>
        <v/>
      </c>
      <c r="KS80" s="57" t="str">
        <f t="shared" si="606"/>
        <v/>
      </c>
      <c r="KT80" s="713">
        <f>'org. Düngung 22'!CF79</f>
        <v>0</v>
      </c>
      <c r="KU80" s="57"/>
      <c r="KV80" s="57"/>
      <c r="KW80" s="57">
        <f t="shared" si="607"/>
        <v>0</v>
      </c>
      <c r="KX80" s="57">
        <f t="shared" si="776"/>
        <v>0</v>
      </c>
      <c r="KY80" s="57">
        <f t="shared" si="777"/>
        <v>0</v>
      </c>
      <c r="KZ80" s="57">
        <f t="shared" si="778"/>
        <v>0</v>
      </c>
      <c r="LA80" s="57">
        <f t="shared" si="779"/>
        <v>0</v>
      </c>
      <c r="LB80" s="1029">
        <f t="shared" si="608"/>
        <v>0</v>
      </c>
      <c r="LC80" s="57">
        <f t="shared" si="609"/>
        <v>0</v>
      </c>
      <c r="LD80" s="171" t="str">
        <f t="shared" si="610"/>
        <v/>
      </c>
      <c r="LE80" s="57">
        <f t="shared" si="780"/>
        <v>0</v>
      </c>
      <c r="LF80" s="57">
        <f>IF(OR(AND(KT$6=1,$L80=0),AND(KT$6=2,$K80=2,$G80=1)),0,IF(AND(KV$9=2,(OR($F80&gt;1,$K80=1,AND($L80=80,OR($N80=1,AND($N80=2,'#BerechnungDBE'!$AL71&gt;0)))))),IF(KT$4&gt;=$AD$126,0,LD80),IF(KV$9=3,IF(OR(KT$4&gt;=$AD$127,AND($G80=1,$J80=2,KT$6=2),AND(KT$6=1,$N80&lt;&gt;1)),0,IF(KX80&lt;=120,LD80,IF(KT$4&lt;$AD$124,IF($F80=1,60/KV$4*KV$6,60/KV$4*KV$7),IF($F80=1,120/KV$4*KV$6,120/KV$4*KV$7)))),IF(OR($F80=3,$G80=2),IF(OR(AND(KT$4&gt;=$AD$119,$C80=2),AND(KT$4&gt;=$AF$119,$C80=1)),0,IF(KX80&lt;=60,LD80,60/KV$4*KV$7)),IF(AND($F80=2,$G80=1),LD80,0)))))</f>
        <v>0</v>
      </c>
      <c r="LG80" s="57" t="str">
        <f t="shared" si="611"/>
        <v/>
      </c>
      <c r="LH80" s="57" t="str">
        <f t="shared" si="612"/>
        <v/>
      </c>
      <c r="LI80" s="713">
        <f>'org. Düngung 22'!CJ79</f>
        <v>0</v>
      </c>
      <c r="LJ80" s="57"/>
      <c r="LK80" s="57"/>
      <c r="LL80" s="57">
        <f t="shared" si="613"/>
        <v>0</v>
      </c>
      <c r="LM80" s="57">
        <f t="shared" si="781"/>
        <v>0</v>
      </c>
      <c r="LN80" s="57">
        <f t="shared" si="782"/>
        <v>0</v>
      </c>
      <c r="LO80" s="57">
        <f t="shared" si="783"/>
        <v>0</v>
      </c>
      <c r="LP80" s="57">
        <f t="shared" si="784"/>
        <v>0</v>
      </c>
      <c r="LQ80" s="1029">
        <f t="shared" si="614"/>
        <v>0</v>
      </c>
      <c r="LR80" s="57">
        <f t="shared" si="615"/>
        <v>0</v>
      </c>
      <c r="LS80" s="171" t="str">
        <f t="shared" si="616"/>
        <v/>
      </c>
      <c r="LT80" s="57">
        <f t="shared" si="785"/>
        <v>0</v>
      </c>
      <c r="LU80" s="57">
        <f>IF(OR(AND(LI$6=1,$L80=0),AND(LI$6=2,$K80=2,$G80=1)),0,IF(AND(LK$9=2,(OR($F80&gt;1,$K80=1,AND($L80=80,OR($N80=1,AND($N80=2,'#BerechnungDBE'!$AL71&gt;0)))))),IF(LI$4&gt;=$AD$126,0,LS80),IF(LK$9=3,IF(OR(LI$4&gt;=$AD$127,AND($G80=1,$J80=2,LI$6=2),AND(LI$6=1,$N80&lt;&gt;1)),0,IF(LM80&lt;=120,LS80,IF(LI$4&lt;$AD$124,IF($F80=1,60/LK$4*LK$6,60/LK$4*LK$7),IF($F80=1,120/LK$4*LK$6,120/LK$4*LK$7)))),IF(OR($F80=3,$G80=2),IF(OR(AND(LI$4&gt;=$AD$119,$C80=2),AND(LI$4&gt;=$AF$119,$C80=1)),0,IF(LM80&lt;=60,LS80,60/LK$4*LK$7)),IF(AND($F80=2,$G80=1),LS80,0)))))</f>
        <v>0</v>
      </c>
      <c r="LV80" s="57" t="str">
        <f t="shared" si="617"/>
        <v/>
      </c>
      <c r="LW80" s="57" t="str">
        <f t="shared" si="618"/>
        <v/>
      </c>
      <c r="LX80" s="713">
        <f>'org. Düngung 22'!CN79</f>
        <v>0</v>
      </c>
      <c r="LY80" s="57"/>
      <c r="LZ80" s="57"/>
      <c r="MA80" s="57">
        <f t="shared" si="619"/>
        <v>0</v>
      </c>
      <c r="MB80" s="57">
        <f t="shared" si="786"/>
        <v>0</v>
      </c>
      <c r="MC80" s="57">
        <f t="shared" si="787"/>
        <v>0</v>
      </c>
      <c r="MD80" s="57">
        <f t="shared" si="788"/>
        <v>0</v>
      </c>
      <c r="ME80" s="57">
        <f t="shared" si="789"/>
        <v>0</v>
      </c>
      <c r="MF80" s="1029">
        <f t="shared" si="620"/>
        <v>0</v>
      </c>
      <c r="MG80" s="57">
        <f t="shared" si="621"/>
        <v>0</v>
      </c>
      <c r="MH80" s="171" t="str">
        <f t="shared" si="622"/>
        <v/>
      </c>
      <c r="MI80" s="57">
        <f t="shared" si="790"/>
        <v>0</v>
      </c>
      <c r="MJ80" s="57">
        <f>IF(OR(AND(LX$6=1,$L80=0),AND(LX$6=2,$K80=2,$G80=1)),0,IF(AND(LZ$9=2,(OR($F80&gt;1,$K80=1,AND($L80=80,OR($N80=1,AND($N80=2,'#BerechnungDBE'!$AL71&gt;0)))))),IF(LX$4&gt;=$AD$126,0,MH80),IF(LZ$9=3,IF(OR(LX$4&gt;=$AD$127,AND($G80=1,$J80=2,LX$6=2),AND(LX$6=1,$N80&lt;&gt;1)),0,IF(MB80&lt;=120,MH80,IF(LX$4&lt;$AD$124,IF($F80=1,60/LZ$4*LZ$6,60/LZ$4*LZ$7),IF($F80=1,120/LZ$4*LZ$6,120/LZ$4*LZ$7)))),IF(OR($F80=3,$G80=2),IF(OR(AND(LX$4&gt;=$AD$119,$C80=2),AND(LX$4&gt;=$AF$119,$C80=1)),0,IF(MB80&lt;=60,MH80,60/LZ$4*LZ$7)),IF(AND($F80=2,$G80=1),MH80,0)))))</f>
        <v>0</v>
      </c>
      <c r="MK80" s="57" t="str">
        <f t="shared" si="623"/>
        <v/>
      </c>
      <c r="ML80" s="57" t="str">
        <f t="shared" si="624"/>
        <v/>
      </c>
      <c r="MM80" s="713">
        <f>'org. Düngung 22'!CR79</f>
        <v>0</v>
      </c>
      <c r="MN80" s="57"/>
      <c r="MO80" s="57"/>
      <c r="MP80" s="57">
        <f t="shared" si="625"/>
        <v>0</v>
      </c>
      <c r="MQ80" s="57">
        <f t="shared" si="791"/>
        <v>0</v>
      </c>
      <c r="MR80" s="57">
        <f t="shared" si="792"/>
        <v>0</v>
      </c>
      <c r="MS80" s="57">
        <f t="shared" si="793"/>
        <v>0</v>
      </c>
      <c r="MT80" s="57">
        <f t="shared" si="794"/>
        <v>0</v>
      </c>
      <c r="MU80" s="1029">
        <f t="shared" si="626"/>
        <v>0</v>
      </c>
      <c r="MV80" s="57">
        <f t="shared" si="627"/>
        <v>0</v>
      </c>
      <c r="MW80" s="171" t="str">
        <f t="shared" si="628"/>
        <v/>
      </c>
      <c r="MX80" s="57">
        <f t="shared" si="795"/>
        <v>0</v>
      </c>
      <c r="MY80" s="57">
        <f>IF(OR(AND(MM$6=1,$L80=0),AND(MM$6=2,$K80=2,$G80=1)),0,IF(AND(MO$9=2,(OR($F80&gt;1,$K80=1,AND($L80=80,OR($N80=1,AND($N80=2,'#BerechnungDBE'!$AL71&gt;0)))))),IF(MM$4&gt;=$AD$126,0,MW80),IF(MO$9=3,IF(OR(MM$4&gt;=$AD$127,AND($G80=1,$J80=2,MM$6=2),AND(MM$6=1,$N80&lt;&gt;1)),0,IF(MQ80&lt;=120,MW80,IF(MM$4&lt;$AD$124,IF($F80=1,60/MO$4*MO$6,60/MO$4*MO$7),IF($F80=1,120/MO$4*MO$6,120/MO$4*MO$7)))),IF(OR($F80=3,$G80=2),IF(OR(AND(MM$4&gt;=$AD$119,$C80=2),AND(MM$4&gt;=$AF$119,$C80=1)),0,IF(MQ80&lt;=60,MW80,60/MO$4*MO$7)),IF(AND($F80=2,$G80=1),MW80,0)))))</f>
        <v>0</v>
      </c>
      <c r="MZ80" s="57" t="str">
        <f t="shared" si="629"/>
        <v/>
      </c>
      <c r="NA80" s="57" t="str">
        <f t="shared" si="630"/>
        <v/>
      </c>
      <c r="NB80" s="713">
        <f>'org. Düngung 22'!CV79</f>
        <v>0</v>
      </c>
      <c r="NC80" s="57"/>
      <c r="ND80" s="57"/>
      <c r="NE80" s="57">
        <f t="shared" si="631"/>
        <v>0</v>
      </c>
      <c r="NF80" s="57">
        <f t="shared" si="796"/>
        <v>0</v>
      </c>
      <c r="NG80" s="57">
        <f t="shared" si="797"/>
        <v>0</v>
      </c>
      <c r="NH80" s="57">
        <f t="shared" si="798"/>
        <v>0</v>
      </c>
      <c r="NI80" s="57">
        <f t="shared" si="799"/>
        <v>0</v>
      </c>
      <c r="NJ80" s="1029">
        <f t="shared" si="632"/>
        <v>0</v>
      </c>
      <c r="NK80" s="57">
        <f t="shared" si="633"/>
        <v>0</v>
      </c>
      <c r="NL80" s="171" t="str">
        <f t="shared" si="634"/>
        <v/>
      </c>
      <c r="NM80" s="57">
        <f t="shared" si="800"/>
        <v>0</v>
      </c>
      <c r="NN80" s="57">
        <f>IF(OR(AND(NB$6=1,$L80=0),AND(NB$6=2,$K80=2,$G80=1)),0,IF(AND(ND$9=2,(OR($F80&gt;1,$K80=1,AND($L80=80,OR($N80=1,AND($N80=2,'#BerechnungDBE'!$AL71&gt;0)))))),IF(NB$4&gt;=$AD$126,0,NL80),IF(ND$9=3,IF(OR(NB$4&gt;=$AD$127,AND($G80=1,$J80=2,NB$6=2),AND(NB$6=1,$N80&lt;&gt;1)),0,IF(NF80&lt;=120,NL80,IF(NB$4&lt;$AD$124,IF($F80=1,60/ND$4*ND$6,60/ND$4*ND$7),IF($F80=1,120/ND$4*ND$6,120/ND$4*ND$7)))),IF(OR($F80=3,$G80=2),IF(OR(AND(NB$4&gt;=$AD$119,$C80=2),AND(NB$4&gt;=$AF$119,$C80=1)),0,IF(NF80&lt;=60,NL80,60/ND$4*ND$7)),IF(AND($F80=2,$G80=1),NL80,0)))))</f>
        <v>0</v>
      </c>
      <c r="NO80" s="57" t="str">
        <f t="shared" si="635"/>
        <v/>
      </c>
      <c r="NP80" s="57" t="str">
        <f t="shared" si="636"/>
        <v/>
      </c>
      <c r="NQ80" s="713">
        <f>'org. Düngung 22'!CZ79</f>
        <v>0</v>
      </c>
      <c r="NR80" s="57"/>
      <c r="NS80" s="57"/>
      <c r="NT80" s="57">
        <f t="shared" si="637"/>
        <v>0</v>
      </c>
      <c r="NU80" s="57">
        <f t="shared" si="801"/>
        <v>0</v>
      </c>
      <c r="NV80" s="57">
        <f t="shared" si="802"/>
        <v>0</v>
      </c>
      <c r="NW80" s="57">
        <f t="shared" si="803"/>
        <v>0</v>
      </c>
      <c r="NX80" s="57">
        <f t="shared" si="804"/>
        <v>0</v>
      </c>
      <c r="NY80" s="1029">
        <f t="shared" si="638"/>
        <v>0</v>
      </c>
      <c r="NZ80" s="57">
        <f t="shared" si="639"/>
        <v>0</v>
      </c>
      <c r="OA80" s="171" t="str">
        <f t="shared" si="640"/>
        <v/>
      </c>
      <c r="OB80" s="57">
        <f t="shared" si="805"/>
        <v>0</v>
      </c>
      <c r="OC80" s="57">
        <f>IF(OR(AND(NQ$6=1,$L80=0),AND(NQ$6=2,$K80=2,$G80=1)),0,IF(AND(NS$9=2,(OR($F80&gt;1,$K80=1,AND($L80=80,OR($N80=1,AND($N80=2,'#BerechnungDBE'!$AL71&gt;0)))))),IF(NQ$4&gt;=$AD$126,0,OA80),IF(NS$9=3,IF(OR(NQ$4&gt;=$AD$127,AND($G80=1,$J80=2,NQ$6=2),AND(NQ$6=1,$N80&lt;&gt;1)),0,IF(NU80&lt;=120,OA80,IF(NQ$4&lt;$AD$124,IF($F80=1,60/NS$4*NS$6,60/NS$4*NS$7),IF($F80=1,120/NS$4*NS$6,120/NS$4*NS$7)))),IF(OR($F80=3,$G80=2),IF(OR(AND(NQ$4&gt;=$AD$119,$C80=2),AND(NQ$4&gt;=$AF$119,$C80=1)),0,IF(NU80&lt;=60,OA80,60/NS$4*NS$7)),IF(AND($F80=2,$G80=1),OA80,0)))))</f>
        <v>0</v>
      </c>
      <c r="OD80" s="57" t="str">
        <f t="shared" si="641"/>
        <v/>
      </c>
      <c r="OE80" s="57" t="str">
        <f t="shared" si="642"/>
        <v/>
      </c>
      <c r="OF80" s="713">
        <f>'org. Düngung 22'!DD79</f>
        <v>0</v>
      </c>
      <c r="OG80" s="57"/>
      <c r="OH80" s="57"/>
      <c r="OI80" s="57">
        <f t="shared" si="643"/>
        <v>0</v>
      </c>
      <c r="OJ80" s="57">
        <f t="shared" si="806"/>
        <v>0</v>
      </c>
      <c r="OK80" s="57">
        <f t="shared" si="807"/>
        <v>0</v>
      </c>
      <c r="OL80" s="57">
        <f t="shared" si="808"/>
        <v>0</v>
      </c>
      <c r="OM80" s="57">
        <f t="shared" si="809"/>
        <v>0</v>
      </c>
      <c r="ON80" s="1029">
        <f t="shared" si="644"/>
        <v>0</v>
      </c>
      <c r="OO80" s="57">
        <f t="shared" si="645"/>
        <v>0</v>
      </c>
      <c r="OP80" s="171" t="str">
        <f t="shared" si="646"/>
        <v/>
      </c>
      <c r="OQ80" s="57">
        <f t="shared" si="810"/>
        <v>0</v>
      </c>
      <c r="OR80" s="57">
        <f>IF(OR(AND(OF$6=1,$L80=0),AND(OF$6=2,$K80=2,$G80=1)),0,IF(AND(OH$9=2,(OR($F80&gt;1,$K80=1,AND($L80=80,OR($N80=1,AND($N80=2,'#BerechnungDBE'!$AL71&gt;0)))))),IF(OF$4&gt;=$AD$126,0,OP80),IF(OH$9=3,IF(OR(OF$4&gt;=$AD$127,AND($G80=1,$J80=2,OF$6=2),AND(OF$6=1,$N80&lt;&gt;1)),0,IF(OJ80&lt;=120,OP80,IF(OF$4&lt;$AD$124,IF($F80=1,60/OH$4*OH$6,60/OH$4*OH$7),IF($F80=1,120/OH$4*OH$6,120/OH$4*OH$7)))),IF(OR($F80=3,$G80=2),IF(OR(AND(OF$4&gt;=$AD$119,$C80=2),AND(OF$4&gt;=$AF$119,$C80=1)),0,IF(OJ80&lt;=60,OP80,60/OH$4*OH$7)),IF(AND($F80=2,$G80=1),OP80,0)))))</f>
        <v>0</v>
      </c>
      <c r="OS80" s="57" t="str">
        <f t="shared" si="647"/>
        <v/>
      </c>
      <c r="OT80" s="57" t="str">
        <f t="shared" si="648"/>
        <v/>
      </c>
      <c r="OU80" s="713">
        <f>'org. Düngung 22'!DH79</f>
        <v>0</v>
      </c>
      <c r="OV80" s="57"/>
      <c r="OW80" s="57"/>
      <c r="OX80" s="57">
        <f t="shared" si="649"/>
        <v>0</v>
      </c>
      <c r="OY80" s="57">
        <f t="shared" si="811"/>
        <v>0</v>
      </c>
      <c r="OZ80" s="57">
        <f t="shared" si="812"/>
        <v>0</v>
      </c>
      <c r="PA80" s="57">
        <f t="shared" si="813"/>
        <v>0</v>
      </c>
      <c r="PB80" s="57">
        <f t="shared" si="814"/>
        <v>0</v>
      </c>
      <c r="PC80" s="1029">
        <f t="shared" si="650"/>
        <v>0</v>
      </c>
      <c r="PD80" s="57">
        <f t="shared" si="651"/>
        <v>0</v>
      </c>
      <c r="PE80" s="171" t="str">
        <f t="shared" si="652"/>
        <v/>
      </c>
      <c r="PF80" s="57">
        <f t="shared" si="815"/>
        <v>0</v>
      </c>
      <c r="PG80" s="57">
        <f>IF(OR(AND(OU$6=1,$L80=0),AND(OU$6=2,$K80=2,$G80=1)),0,IF(AND(OW$9=2,(OR($F80&gt;1,$K80=1,AND($L80=80,OR($N80=1,AND($N80=2,'#BerechnungDBE'!$AL71&gt;0)))))),IF(OU$4&gt;=$AD$126,0,PE80),IF(OW$9=3,IF(OR(OU$4&gt;=$AD$127,AND($G80=1,$J80=2,OU$6=2),AND(OU$6=1,$N80&lt;&gt;1)),0,IF(OY80&lt;=120,PE80,IF(OU$4&lt;$AD$124,IF($F80=1,60/OW$4*OW$6,60/OW$4*OW$7),IF($F80=1,120/OW$4*OW$6,120/OW$4*OW$7)))),IF(OR($F80=3,$G80=2),IF(OR(AND(OU$4&gt;=$AD$119,$C80=2),AND(OU$4&gt;=$AF$119,$C80=1)),0,IF(OY80&lt;=60,PE80,60/OW$4*OW$7)),IF(AND($F80=2,$G80=1),PE80,0)))))</f>
        <v>0</v>
      </c>
      <c r="PH80" s="57" t="str">
        <f t="shared" si="653"/>
        <v/>
      </c>
      <c r="PI80" s="57" t="str">
        <f t="shared" si="654"/>
        <v/>
      </c>
      <c r="PJ80" s="713">
        <f>'org. Düngung 22'!DL79</f>
        <v>0</v>
      </c>
      <c r="PK80" s="57"/>
      <c r="PL80" s="57"/>
      <c r="PM80" s="57">
        <f t="shared" si="655"/>
        <v>0</v>
      </c>
      <c r="PN80" s="57">
        <f t="shared" si="816"/>
        <v>0</v>
      </c>
      <c r="PO80" s="57">
        <f t="shared" si="817"/>
        <v>0</v>
      </c>
      <c r="PP80" s="57">
        <f t="shared" si="818"/>
        <v>0</v>
      </c>
      <c r="PQ80" s="57">
        <f t="shared" si="819"/>
        <v>0</v>
      </c>
      <c r="PR80" s="1029">
        <f t="shared" si="656"/>
        <v>0</v>
      </c>
      <c r="PS80" s="57">
        <f t="shared" si="657"/>
        <v>0</v>
      </c>
      <c r="PT80" s="171" t="str">
        <f t="shared" si="658"/>
        <v/>
      </c>
      <c r="PU80" s="57">
        <f t="shared" si="820"/>
        <v>0</v>
      </c>
      <c r="PV80" s="57">
        <f>IF(OR(AND(PJ$6=1,$L80=0),AND(PJ$6=2,$K80=2,$G80=1)),0,IF(AND(PL$9=2,(OR($F80&gt;1,$K80=1,AND($L80=80,OR($N80=1,AND($N80=2,'#BerechnungDBE'!$AL71&gt;0)))))),IF(PJ$4&gt;=$AD$126,0,PT80),IF(PL$9=3,IF(OR(PJ$4&gt;=$AD$127,AND($G80=1,$J80=2,PJ$6=2),AND(PJ$6=1,$N80&lt;&gt;1)),0,IF(PN80&lt;=120,PT80,IF(PJ$4&lt;$AD$124,IF($F80=1,60/PL$4*PL$6,60/PL$4*PL$7),IF($F80=1,120/PL$4*PL$6,120/PL$4*PL$7)))),IF(OR($F80=3,$G80=2),IF(OR(AND(PJ$4&gt;=$AD$119,$C80=2),AND(PJ$4&gt;=$AF$119,$C80=1)),0,IF(PN80&lt;=60,PT80,60/PL$4*PL$7)),IF(AND($F80=2,$G80=1),PT80,0)))))</f>
        <v>0</v>
      </c>
      <c r="PW80" s="57" t="str">
        <f t="shared" si="659"/>
        <v/>
      </c>
      <c r="PX80" s="57" t="str">
        <f t="shared" si="660"/>
        <v/>
      </c>
      <c r="PY80" s="713">
        <f>'org. Düngung 22'!DP79</f>
        <v>0</v>
      </c>
      <c r="PZ80" s="57"/>
      <c r="QA80" s="57"/>
      <c r="QB80" s="57">
        <f t="shared" si="661"/>
        <v>0</v>
      </c>
      <c r="QC80" s="57">
        <f t="shared" si="821"/>
        <v>0</v>
      </c>
      <c r="QD80" s="57">
        <f t="shared" si="822"/>
        <v>0</v>
      </c>
      <c r="QE80" s="57">
        <f t="shared" si="823"/>
        <v>0</v>
      </c>
      <c r="QF80" s="57">
        <f t="shared" si="824"/>
        <v>0</v>
      </c>
      <c r="QG80" s="1029">
        <f t="shared" si="662"/>
        <v>0</v>
      </c>
      <c r="QH80" s="57">
        <f t="shared" si="663"/>
        <v>0</v>
      </c>
      <c r="QI80" s="171" t="str">
        <f t="shared" si="664"/>
        <v/>
      </c>
      <c r="QJ80" s="57">
        <f t="shared" si="825"/>
        <v>0</v>
      </c>
      <c r="QK80" s="57">
        <f>IF(OR(AND(PY$6=1,$L80=0),AND(PY$6=2,$K80=2,$G80=1)),0,IF(AND(QA$9=2,(OR($F80&gt;1,$K80=1,AND($L80=80,OR($N80=1,AND($N80=2,'#BerechnungDBE'!$AL71&gt;0)))))),IF(PY$4&gt;=$AD$126,0,QI80),IF(QA$9=3,IF(OR(PY$4&gt;=$AD$127,AND($G80=1,$J80=2,PY$6=2),AND(PY$6=1,$N80&lt;&gt;1)),0,IF(QC80&lt;=120,QI80,IF(PY$4&lt;$AD$124,IF($F80=1,60/QA$4*QA$6,60/QA$4*QA$7),IF($F80=1,120/QA$4*QA$6,120/QA$4*QA$7)))),IF(OR($F80=3,$G80=2),IF(OR(AND(PY$4&gt;=$AD$119,$C80=2),AND(PY$4&gt;=$AF$119,$C80=1)),0,IF(QC80&lt;=60,QI80,60/QA$4*QA$7)),IF(AND($F80=2,$G80=1),QI80,0)))))</f>
        <v>0</v>
      </c>
      <c r="QL80" s="57" t="str">
        <f t="shared" si="665"/>
        <v/>
      </c>
      <c r="QM80" s="57" t="str">
        <f t="shared" si="666"/>
        <v/>
      </c>
      <c r="QN80" s="713">
        <f>'org. Düngung 22'!DT79</f>
        <v>0</v>
      </c>
      <c r="QO80" s="57"/>
      <c r="QP80" s="57"/>
      <c r="QQ80" s="57">
        <f t="shared" si="667"/>
        <v>0</v>
      </c>
      <c r="QR80" s="57">
        <f t="shared" si="826"/>
        <v>0</v>
      </c>
      <c r="QS80" s="57">
        <f t="shared" si="827"/>
        <v>0</v>
      </c>
      <c r="QT80" s="57">
        <f t="shared" si="828"/>
        <v>0</v>
      </c>
      <c r="QU80" s="57">
        <f t="shared" si="829"/>
        <v>0</v>
      </c>
      <c r="QV80" s="1029">
        <f t="shared" si="668"/>
        <v>0</v>
      </c>
      <c r="QW80" s="57">
        <f t="shared" si="669"/>
        <v>0</v>
      </c>
      <c r="QX80" s="171" t="str">
        <f t="shared" si="670"/>
        <v/>
      </c>
      <c r="QY80" s="57">
        <f t="shared" si="830"/>
        <v>0</v>
      </c>
      <c r="QZ80" s="57">
        <f>IF(OR(AND(QN$6=1,$L80=0),AND(QN$6=2,$K80=2,$G80=1)),0,IF(AND(QP$9=2,(OR($F80&gt;1,$K80=1,AND($L80=80,OR($N80=1,AND($N80=2,'#BerechnungDBE'!$AL71&gt;0)))))),IF(QN$4&gt;=$AD$126,0,QX80),IF(QP$9=3,IF(OR(QN$4&gt;=$AD$127,AND($G80=1,$J80=2,QN$6=2),AND(QN$6=1,$N80&lt;&gt;1)),0,IF(QR80&lt;=120,QX80,IF(QN$4&lt;$AD$124,IF($F80=1,60/QP$4*QP$6,60/QP$4*QP$7),IF($F80=1,120/QP$4*QP$6,120/QP$4*QP$7)))),IF(OR($F80=3,$G80=2),IF(OR(AND(QN$4&gt;=$AD$119,$C80=2),AND(QN$4&gt;=$AF$119,$C80=1)),0,IF(QR80&lt;=60,QX80,60/QP$4*QP$7)),IF(AND($F80=2,$G80=1),QX80,0)))))</f>
        <v>0</v>
      </c>
      <c r="RA80" s="57" t="str">
        <f t="shared" si="671"/>
        <v/>
      </c>
      <c r="RB80" s="57" t="str">
        <f t="shared" si="672"/>
        <v/>
      </c>
      <c r="RC80" s="713">
        <f>'org. Düngung 22'!DX79</f>
        <v>0</v>
      </c>
      <c r="RD80" s="57"/>
      <c r="RE80" s="57"/>
      <c r="RF80" s="57">
        <f t="shared" si="673"/>
        <v>0</v>
      </c>
      <c r="RG80" s="57">
        <f t="shared" si="831"/>
        <v>0</v>
      </c>
      <c r="RH80" s="57">
        <f t="shared" si="832"/>
        <v>0</v>
      </c>
      <c r="RI80" s="57">
        <f t="shared" si="833"/>
        <v>0</v>
      </c>
      <c r="RJ80" s="57">
        <f t="shared" si="834"/>
        <v>0</v>
      </c>
      <c r="RK80" s="1029">
        <f t="shared" si="674"/>
        <v>0</v>
      </c>
      <c r="RL80" s="57">
        <f t="shared" si="675"/>
        <v>0</v>
      </c>
      <c r="RM80" s="171" t="str">
        <f t="shared" si="676"/>
        <v/>
      </c>
      <c r="RN80" s="57">
        <f t="shared" si="835"/>
        <v>0</v>
      </c>
      <c r="RO80" s="57">
        <f>IF(OR(AND(RC$6=1,$L80=0),AND(RC$6=2,$K80=2,$G80=1)),0,IF(AND(RE$9=2,(OR($F80&gt;1,$K80=1,AND($L80=80,OR($N80=1,AND($N80=2,'#BerechnungDBE'!$AL71&gt;0)))))),IF(RC$4&gt;=$AD$126,0,RM80),IF(RE$9=3,IF(OR(RC$4&gt;=$AD$127,AND($G80=1,$J80=2,RC$6=2),AND(RC$6=1,$N80&lt;&gt;1)),0,IF(RG80&lt;=120,RM80,IF(RC$4&lt;$AD$124,IF($F80=1,60/RE$4*RE$6,60/RE$4*RE$7),IF($F80=1,120/RE$4*RE$6,120/RE$4*RE$7)))),IF(OR($F80=3,$G80=2),IF(OR(AND(RC$4&gt;=$AD$119,$C80=2),AND(RC$4&gt;=$AF$119,$C80=1)),0,IF(RG80&lt;=60,RM80,60/RE$4*RE$7)),IF(AND($F80=2,$G80=1),RM80,0)))))</f>
        <v>0</v>
      </c>
      <c r="RP80" s="57" t="str">
        <f t="shared" si="677"/>
        <v/>
      </c>
      <c r="RQ80" s="57" t="str">
        <f t="shared" si="678"/>
        <v/>
      </c>
      <c r="RS80" s="57" t="str">
        <f t="shared" si="836"/>
        <v/>
      </c>
      <c r="RT80" s="57" t="str">
        <f t="shared" si="679"/>
        <v/>
      </c>
      <c r="RU80" s="57" t="str">
        <f t="shared" si="680"/>
        <v/>
      </c>
      <c r="RV80" s="57" t="str">
        <f>IF(Z80&gt;'#BerechnungDBE'!BM71,$RV$9,"")</f>
        <v/>
      </c>
      <c r="RW80" s="57" t="str">
        <f>IF(AND(L80=70,AE80&gt;'#BerechnungDBE'!CQ71),$RW$9,"")</f>
        <v/>
      </c>
      <c r="RX80" s="57" t="str">
        <f>IF(OR('org. Düngung 22'!G79="--",'org. Düngung 22'!G79&lt;=170,'org. Düngung 22'!G79=""),"",$RX$9)</f>
        <v/>
      </c>
      <c r="RY80" s="57" t="str">
        <f>IF('org. Düngung 22'!K79&gt;120,'#orgDung'!$RY$9,"")</f>
        <v/>
      </c>
      <c r="RZ80" s="57" t="str">
        <f>IF('#BerechnungDBE'!P71&lt;4,"",IF(AND('#BerechnungDBE'!BZ71&gt;0,T80&gt;0),'#orgDung'!$RZ$9,""))</f>
        <v/>
      </c>
      <c r="SA80" s="57" t="str">
        <f t="shared" si="681"/>
        <v/>
      </c>
    </row>
    <row r="81" spans="1:495" s="875" customFormat="1" x14ac:dyDescent="0.2">
      <c r="A81" s="875">
        <f>'Flächen u. Kulturen'!A77</f>
        <v>68</v>
      </c>
      <c r="B81" s="367">
        <f>'#BerechnungDBE'!L72</f>
        <v>0</v>
      </c>
      <c r="C81" s="875">
        <f>'#BerechnungDBE'!R72</f>
        <v>1</v>
      </c>
      <c r="D81" s="875">
        <f>'#BerechnungDBE'!T72</f>
        <v>2</v>
      </c>
      <c r="E81" s="875" t="str">
        <f>'Flächen u. Kulturen'!E77</f>
        <v>x</v>
      </c>
      <c r="F81" s="52">
        <f>'#BerechnungDBE'!N72</f>
        <v>1</v>
      </c>
      <c r="G81" s="52">
        <f>'#BerechnungDBE'!O72</f>
        <v>1</v>
      </c>
      <c r="H81" s="875">
        <f>IF('Flächen u. Kulturen'!P77="",0,VLOOKUP('Flächen u. Kulturen'!P77,Kulturen[[HF]:[Berechnungsgruppe]],'#Frucht'!$H$1,FALSE))</f>
        <v>0</v>
      </c>
      <c r="I81" s="875">
        <f>IF('Flächen u. Kulturen'!J77="",0,VLOOKUP('Flächen u. Kulturen'!J77,Kulturen[[HF]:[Berechnungsgruppe]],'#Frucht'!$G$1,FALSE))</f>
        <v>90</v>
      </c>
      <c r="J81" s="505">
        <f t="shared" si="682"/>
        <v>2</v>
      </c>
      <c r="K81" s="505">
        <f>IF('Flächen u. Kulturen'!P77="",0,IF(VLOOKUP('Flächen u. Kulturen'!P77,Kulturen[[HF]:[Saat Winterungen]],'#Frucht'!$P$1,FALSE)&gt;0,1,2))</f>
        <v>2</v>
      </c>
      <c r="L81" s="875">
        <f>'#BerechnungDBE'!AF72</f>
        <v>0</v>
      </c>
      <c r="M81" s="875">
        <f>IF('Flächen u. Kulturen'!L77="",0,VLOOKUP('Flächen u. Kulturen'!L77,Nebenkultur[[Nebenkultur]:[Legum. Zwischenfr.]],'#Zweitfr'!$K$1,FALSE))</f>
        <v>0</v>
      </c>
      <c r="N81" s="875">
        <f>'#BerechnungDBE'!AG72</f>
        <v>0</v>
      </c>
      <c r="P81" s="57">
        <f t="shared" si="489"/>
        <v>0</v>
      </c>
      <c r="Q81" s="57">
        <f t="shared" si="490"/>
        <v>0</v>
      </c>
      <c r="R81" s="875">
        <f t="shared" si="491"/>
        <v>0</v>
      </c>
      <c r="S81" s="938" t="str">
        <f t="shared" si="683"/>
        <v/>
      </c>
      <c r="T81" s="875">
        <f t="shared" si="492"/>
        <v>0</v>
      </c>
      <c r="U81" s="875">
        <f t="shared" si="493"/>
        <v>0</v>
      </c>
      <c r="V81" s="875">
        <f t="shared" si="494"/>
        <v>0</v>
      </c>
      <c r="W81" s="875">
        <f t="shared" si="495"/>
        <v>0</v>
      </c>
      <c r="X81" s="875">
        <f t="shared" si="496"/>
        <v>0</v>
      </c>
      <c r="Y81" s="875">
        <f t="shared" si="349"/>
        <v>0</v>
      </c>
      <c r="Z81" s="875">
        <f t="shared" si="350"/>
        <v>0</v>
      </c>
      <c r="AA81" s="910">
        <f t="shared" si="497"/>
        <v>0</v>
      </c>
      <c r="AB81" s="57">
        <f t="shared" si="351"/>
        <v>0</v>
      </c>
      <c r="AC81" s="875">
        <f t="shared" si="498"/>
        <v>0</v>
      </c>
      <c r="AD81" s="875">
        <f t="shared" si="499"/>
        <v>0</v>
      </c>
      <c r="AE81" s="875">
        <f t="shared" si="500"/>
        <v>0</v>
      </c>
      <c r="AF81" s="875">
        <f t="shared" si="352"/>
        <v>0</v>
      </c>
      <c r="AG81" s="875">
        <f>'org. Düngung 22'!J80</f>
        <v>0</v>
      </c>
      <c r="AH81" s="875">
        <f>'org. Düngung 22'!K80</f>
        <v>0</v>
      </c>
      <c r="AJ81" s="713">
        <f>'org. Düngung 22'!L80</f>
        <v>0</v>
      </c>
      <c r="AK81" s="57"/>
      <c r="AL81" s="57"/>
      <c r="AM81" s="57">
        <f t="shared" si="684"/>
        <v>0</v>
      </c>
      <c r="AN81" s="57">
        <f t="shared" si="685"/>
        <v>0</v>
      </c>
      <c r="AO81" s="57">
        <f t="shared" si="686"/>
        <v>0</v>
      </c>
      <c r="AP81" s="57">
        <f t="shared" si="687"/>
        <v>0</v>
      </c>
      <c r="AQ81" s="57">
        <f t="shared" si="688"/>
        <v>0</v>
      </c>
      <c r="AR81" s="1029">
        <f t="shared" si="501"/>
        <v>0</v>
      </c>
      <c r="AS81" s="57">
        <f t="shared" si="502"/>
        <v>0</v>
      </c>
      <c r="AT81" s="171" t="str">
        <f t="shared" si="503"/>
        <v/>
      </c>
      <c r="AU81" s="57">
        <f t="shared" si="689"/>
        <v>0</v>
      </c>
      <c r="AV81" s="57">
        <f>IF(OR(AND(AJ$6=1,$L81=0),AND(AJ$6=2,$K81=2,$G81=1)),0,IF(AND(AL$9=2,(OR($F81&gt;1,$K81=1,AND($L81=80,OR($N81=1,AND($N81=2,'#BerechnungDBE'!$AL72&gt;0)))))),IF(AJ$4&gt;=$AD$126,0,AT81),IF(AL$9=3,IF(OR(AJ$4&gt;=$AD$127,AND($G81=1,$J81=2,AJ$6=2),AND(AJ$6=1,$N81&lt;&gt;1)),0,IF(AN81&lt;=120,AT81,IF(AJ$4&lt;$AD$124,IF($F81=1,60/AL$4*AL$6,60/AL$4*AL$7),IF($F81=1,120/AL$4*AL$6,120/AL$4*AL$7)))),IF(OR($F81=3,$G81=2),IF(OR(AND(AJ$4&gt;=$AD$119,$C81=2),AND(AJ$4&gt;=$AF$119,$C81=1)),0,IF(AN81&lt;=60,AT81,60/AL$4*AL$7)),IF(AND($F81=2,$G81=1),AT81,0)))))</f>
        <v>0</v>
      </c>
      <c r="AW81" s="57" t="str">
        <f t="shared" si="690"/>
        <v/>
      </c>
      <c r="AX81" s="57" t="str">
        <f t="shared" si="504"/>
        <v/>
      </c>
      <c r="AY81" s="713">
        <f>'org. Düngung 22'!P80</f>
        <v>0</v>
      </c>
      <c r="AZ81" s="57"/>
      <c r="BA81" s="57"/>
      <c r="BB81" s="57">
        <f t="shared" si="505"/>
        <v>0</v>
      </c>
      <c r="BC81" s="57">
        <f t="shared" si="691"/>
        <v>0</v>
      </c>
      <c r="BD81" s="57">
        <f t="shared" si="692"/>
        <v>0</v>
      </c>
      <c r="BE81" s="57">
        <f t="shared" si="693"/>
        <v>0</v>
      </c>
      <c r="BF81" s="57">
        <f t="shared" si="694"/>
        <v>0</v>
      </c>
      <c r="BG81" s="1029">
        <f t="shared" si="506"/>
        <v>0</v>
      </c>
      <c r="BH81" s="57">
        <f t="shared" si="507"/>
        <v>0</v>
      </c>
      <c r="BI81" s="171" t="str">
        <f t="shared" si="508"/>
        <v/>
      </c>
      <c r="BJ81" s="57">
        <f t="shared" si="695"/>
        <v>0</v>
      </c>
      <c r="BK81" s="57">
        <f>IF(OR(AND(AY$6=1,$L81=0),AND(AY$6=2,$K81=2,$G81=1)),0,IF(AND(BA$9=2,(OR($F81&gt;1,$K81=1,AND($L81=80,OR($N81=1,AND($N81=2,'#BerechnungDBE'!$AL72&gt;0)))))),IF(AY$4&gt;=$AD$126,0,BI81),IF(BA$9=3,IF(OR(AY$4&gt;=$AD$127,AND($G81=1,$J81=2,AY$6=2),AND(AY$6=1,$N81&lt;&gt;1)),0,IF(BC81&lt;=120,BI81,IF(AY$4&lt;$AD$124,IF($F81=1,60/BA$4*BA$6,60/BA$4*BA$7),IF($F81=1,120/BA$4*BA$6,120/BA$4*BA$7)))),IF(OR($F81=3,$G81=2),IF(OR(AND(AY$4&gt;=$AD$119,$C81=2),AND(AY$4&gt;=$AF$119,$C81=1)),0,IF(BC81&lt;=60,BI81,60/BA$4*BA$7)),IF(AND($F81=2,$G81=1),BI81,0)))))</f>
        <v>0</v>
      </c>
      <c r="BL81" s="57" t="str">
        <f t="shared" si="509"/>
        <v/>
      </c>
      <c r="BM81" s="57" t="str">
        <f t="shared" si="510"/>
        <v/>
      </c>
      <c r="BN81" s="713">
        <f>'org. Düngung 22'!T80</f>
        <v>0</v>
      </c>
      <c r="BO81" s="57"/>
      <c r="BP81" s="57"/>
      <c r="BQ81" s="57">
        <f t="shared" si="511"/>
        <v>0</v>
      </c>
      <c r="BR81" s="57">
        <f t="shared" si="696"/>
        <v>0</v>
      </c>
      <c r="BS81" s="57">
        <f t="shared" si="697"/>
        <v>0</v>
      </c>
      <c r="BT81" s="57">
        <f t="shared" si="698"/>
        <v>0</v>
      </c>
      <c r="BU81" s="57">
        <f t="shared" si="699"/>
        <v>0</v>
      </c>
      <c r="BV81" s="1029">
        <f t="shared" si="512"/>
        <v>0</v>
      </c>
      <c r="BW81" s="57">
        <f t="shared" si="513"/>
        <v>0</v>
      </c>
      <c r="BX81" s="171" t="str">
        <f t="shared" si="514"/>
        <v/>
      </c>
      <c r="BY81" s="57">
        <f t="shared" si="700"/>
        <v>0</v>
      </c>
      <c r="BZ81" s="57">
        <f>IF(OR(AND(BN$6=1,$L81=0),AND(BN$6=2,$K81=2,$G81=1)),0,IF(AND(BP$9=2,(OR($F81&gt;1,$K81=1,AND($L81=80,OR($N81=1,AND($N81=2,'#BerechnungDBE'!$AL72&gt;0)))))),IF(BN$4&gt;=$AD$126,0,BX81),IF(BP$9=3,IF(OR(BN$4&gt;=$AD$127,AND($G81=1,$J81=2,BN$6=2),AND(BN$6=1,$N81&lt;&gt;1)),0,IF(BR81&lt;=120,BX81,IF(BN$4&lt;$AD$124,IF($F81=1,60/BP$4*BP$6,60/BP$4*BP$7),IF($F81=1,120/BP$4*BP$6,120/BP$4*BP$7)))),IF(OR($F81=3,$G81=2),IF(OR(AND(BN$4&gt;=$AD$119,$C81=2),AND(BN$4&gt;=$AF$119,$C81=1)),0,IF(BR81&lt;=60,BX81,60/BP$4*BP$7)),IF(AND($F81=2,$G81=1),BX81,0)))))</f>
        <v>0</v>
      </c>
      <c r="CA81" s="57" t="str">
        <f t="shared" si="515"/>
        <v/>
      </c>
      <c r="CB81" s="57" t="str">
        <f t="shared" si="516"/>
        <v/>
      </c>
      <c r="CC81" s="713">
        <f>'org. Düngung 22'!X80</f>
        <v>0</v>
      </c>
      <c r="CD81" s="57"/>
      <c r="CE81" s="57"/>
      <c r="CF81" s="57">
        <f t="shared" si="517"/>
        <v>0</v>
      </c>
      <c r="CG81" s="57">
        <f t="shared" si="701"/>
        <v>0</v>
      </c>
      <c r="CH81" s="57">
        <f t="shared" si="702"/>
        <v>0</v>
      </c>
      <c r="CI81" s="57">
        <f t="shared" si="703"/>
        <v>0</v>
      </c>
      <c r="CJ81" s="57">
        <f t="shared" si="704"/>
        <v>0</v>
      </c>
      <c r="CK81" s="1029">
        <f t="shared" si="518"/>
        <v>0</v>
      </c>
      <c r="CL81" s="57">
        <f t="shared" si="519"/>
        <v>0</v>
      </c>
      <c r="CM81" s="171" t="str">
        <f t="shared" si="520"/>
        <v/>
      </c>
      <c r="CN81" s="57">
        <f t="shared" si="705"/>
        <v>0</v>
      </c>
      <c r="CO81" s="57">
        <f>IF(OR(AND(CC$6=1,$L81=0),AND(CC$6=2,$K81=2,$G81=1)),0,IF(AND(CE$9=2,(OR($F81&gt;1,$K81=1,AND($L81=80,OR($N81=1,AND($N81=2,'#BerechnungDBE'!$AL72&gt;0)))))),IF(CC$4&gt;=$AD$126,0,CM81),IF(CE$9=3,IF(OR(CC$4&gt;=$AD$127,AND($G81=1,$J81=2,CC$6=2),AND(CC$6=1,$N81&lt;&gt;1)),0,IF(CG81&lt;=120,CM81,IF(CC$4&lt;$AD$124,IF($F81=1,60/CE$4*CE$6,60/CE$4*CE$7),IF($F81=1,120/CE$4*CE$6,120/CE$4*CE$7)))),IF(OR($F81=3,$G81=2),IF(OR(AND(CC$4&gt;=$AD$119,$C81=2),AND(CC$4&gt;=$AF$119,$C81=1)),0,IF(CG81&lt;=60,CM81,60/CE$4*CE$7)),IF(AND($F81=2,$G81=1),CM81,0)))))</f>
        <v>0</v>
      </c>
      <c r="CP81" s="57" t="str">
        <f t="shared" si="521"/>
        <v/>
      </c>
      <c r="CQ81" s="57" t="str">
        <f t="shared" si="522"/>
        <v/>
      </c>
      <c r="CR81" s="713">
        <f>'org. Düngung 22'!AB80</f>
        <v>0</v>
      </c>
      <c r="CS81" s="57"/>
      <c r="CT81" s="57"/>
      <c r="CU81" s="57">
        <f t="shared" si="523"/>
        <v>0</v>
      </c>
      <c r="CV81" s="57">
        <f t="shared" si="706"/>
        <v>0</v>
      </c>
      <c r="CW81" s="57">
        <f t="shared" si="707"/>
        <v>0</v>
      </c>
      <c r="CX81" s="57">
        <f t="shared" si="708"/>
        <v>0</v>
      </c>
      <c r="CY81" s="57">
        <f t="shared" si="709"/>
        <v>0</v>
      </c>
      <c r="CZ81" s="1029">
        <f t="shared" si="524"/>
        <v>0</v>
      </c>
      <c r="DA81" s="57">
        <f t="shared" si="525"/>
        <v>0</v>
      </c>
      <c r="DB81" s="171" t="str">
        <f t="shared" si="526"/>
        <v/>
      </c>
      <c r="DC81" s="57">
        <f t="shared" si="710"/>
        <v>0</v>
      </c>
      <c r="DD81" s="57">
        <f>IF(OR(AND(CR$6=1,$L81=0),AND(CR$6=2,$K81=2,$G81=1)),0,IF(AND(CT$9=2,(OR($F81&gt;1,$K81=1,AND($L81=80,OR($N81=1,AND($N81=2,'#BerechnungDBE'!$AL72&gt;0)))))),IF(CR$4&gt;=$AD$126,0,DB81),IF(CT$9=3,IF(OR(CR$4&gt;=$AD$127,AND($G81=1,$J81=2,CR$6=2),AND(CR$6=1,$N81&lt;&gt;1)),0,IF(CV81&lt;=120,DB81,IF(CR$4&lt;$AD$124,IF($F81=1,60/CT$4*CT$6,60/CT$4*CT$7),IF($F81=1,120/CT$4*CT$6,120/CT$4*CT$7)))),IF(OR($F81=3,$G81=2),IF(OR(AND(CR$4&gt;=$AD$119,$C81=2),AND(CR$4&gt;=$AF$119,$C81=1)),0,IF(CV81&lt;=60,DB81,60/CT$4*CT$7)),IF(AND($F81=2,$G81=1),DB81,0)))))</f>
        <v>0</v>
      </c>
      <c r="DE81" s="57" t="str">
        <f t="shared" si="527"/>
        <v/>
      </c>
      <c r="DF81" s="57" t="str">
        <f t="shared" si="528"/>
        <v/>
      </c>
      <c r="DG81" s="713">
        <f>'org. Düngung 22'!AF80</f>
        <v>0</v>
      </c>
      <c r="DH81" s="57"/>
      <c r="DI81" s="57"/>
      <c r="DJ81" s="57">
        <f t="shared" si="529"/>
        <v>0</v>
      </c>
      <c r="DK81" s="57">
        <f t="shared" si="711"/>
        <v>0</v>
      </c>
      <c r="DL81" s="57">
        <f t="shared" si="712"/>
        <v>0</v>
      </c>
      <c r="DM81" s="57">
        <f t="shared" si="713"/>
        <v>0</v>
      </c>
      <c r="DN81" s="57">
        <f t="shared" si="714"/>
        <v>0</v>
      </c>
      <c r="DO81" s="1029">
        <f t="shared" si="530"/>
        <v>0</v>
      </c>
      <c r="DP81" s="57">
        <f t="shared" si="531"/>
        <v>0</v>
      </c>
      <c r="DQ81" s="171" t="str">
        <f t="shared" si="532"/>
        <v/>
      </c>
      <c r="DR81" s="57">
        <f t="shared" si="715"/>
        <v>0</v>
      </c>
      <c r="DS81" s="57">
        <f>IF(OR(AND(DG$6=1,$L81=0),AND(DG$6=2,$K81=2,$G81=1)),0,IF(AND(DI$9=2,(OR($F81&gt;1,$K81=1,AND($L81=80,OR($N81=1,AND($N81=2,'#BerechnungDBE'!$AL72&gt;0)))))),IF(DG$4&gt;=$AD$126,0,DQ81),IF(DI$9=3,IF(OR(DG$4&gt;=$AD$127,AND($G81=1,$J81=2,DG$6=2),AND(DG$6=1,$N81&lt;&gt;1)),0,IF(DK81&lt;=120,DQ81,IF(DG$4&lt;$AD$124,IF($F81=1,60/DI$4*DI$6,60/DI$4*DI$7),IF($F81=1,120/DI$4*DI$6,120/DI$4*DI$7)))),IF(OR($F81=3,$G81=2),IF(OR(AND(DG$4&gt;=$AD$119,$C81=2),AND(DG$4&gt;=$AF$119,$C81=1)),0,IF(DK81&lt;=60,DQ81,60/DI$4*DI$7)),IF(AND($F81=2,$G81=1),DQ81,0)))))</f>
        <v>0</v>
      </c>
      <c r="DT81" s="57" t="str">
        <f t="shared" si="533"/>
        <v/>
      </c>
      <c r="DU81" s="57" t="str">
        <f t="shared" si="534"/>
        <v/>
      </c>
      <c r="DV81" s="713">
        <f>'org. Düngung 22'!AJ80</f>
        <v>0</v>
      </c>
      <c r="DW81" s="57"/>
      <c r="DX81" s="57"/>
      <c r="DY81" s="57">
        <f t="shared" si="535"/>
        <v>0</v>
      </c>
      <c r="DZ81" s="57">
        <f t="shared" si="716"/>
        <v>0</v>
      </c>
      <c r="EA81" s="57">
        <f t="shared" si="717"/>
        <v>0</v>
      </c>
      <c r="EB81" s="57">
        <f t="shared" si="718"/>
        <v>0</v>
      </c>
      <c r="EC81" s="57">
        <f t="shared" si="719"/>
        <v>0</v>
      </c>
      <c r="ED81" s="1029">
        <f t="shared" si="536"/>
        <v>0</v>
      </c>
      <c r="EE81" s="57">
        <f t="shared" si="537"/>
        <v>0</v>
      </c>
      <c r="EF81" s="171" t="str">
        <f t="shared" si="538"/>
        <v/>
      </c>
      <c r="EG81" s="57">
        <f t="shared" si="720"/>
        <v>0</v>
      </c>
      <c r="EH81" s="57">
        <f>IF(OR(AND(DV$6=1,$L81=0),AND(DV$6=2,$K81=2,$G81=1)),0,IF(AND(DX$9=2,(OR($F81&gt;1,$K81=1,AND($L81=80,OR($N81=1,AND($N81=2,'#BerechnungDBE'!$AL72&gt;0)))))),IF(DV$4&gt;=$AD$126,0,EF81),IF(DX$9=3,IF(OR(DV$4&gt;=$AD$127,AND($G81=1,$J81=2,DV$6=2),AND(DV$6=1,$N81&lt;&gt;1)),0,IF(DZ81&lt;=120,EF81,IF(DV$4&lt;$AD$124,IF($F81=1,60/DX$4*DX$6,60/DX$4*DX$7),IF($F81=1,120/DX$4*DX$6,120/DX$4*DX$7)))),IF(OR($F81=3,$G81=2),IF(OR(AND(DV$4&gt;=$AD$119,$C81=2),AND(DV$4&gt;=$AF$119,$C81=1)),0,IF(DZ81&lt;=60,EF81,60/DX$4*DX$7)),IF(AND($F81=2,$G81=1),EF81,0)))))</f>
        <v>0</v>
      </c>
      <c r="EI81" s="57" t="str">
        <f t="shared" si="539"/>
        <v/>
      </c>
      <c r="EJ81" s="57" t="str">
        <f t="shared" si="540"/>
        <v/>
      </c>
      <c r="EK81" s="713">
        <f>'org. Düngung 22'!AN80</f>
        <v>0</v>
      </c>
      <c r="EL81" s="57"/>
      <c r="EM81" s="57"/>
      <c r="EN81" s="57">
        <f t="shared" si="541"/>
        <v>0</v>
      </c>
      <c r="EO81" s="57">
        <f t="shared" si="721"/>
        <v>0</v>
      </c>
      <c r="EP81" s="57">
        <f t="shared" si="722"/>
        <v>0</v>
      </c>
      <c r="EQ81" s="57">
        <f t="shared" si="723"/>
        <v>0</v>
      </c>
      <c r="ER81" s="57">
        <f t="shared" si="724"/>
        <v>0</v>
      </c>
      <c r="ES81" s="1029">
        <f t="shared" si="542"/>
        <v>0</v>
      </c>
      <c r="ET81" s="57">
        <f t="shared" si="543"/>
        <v>0</v>
      </c>
      <c r="EU81" s="171" t="str">
        <f t="shared" si="544"/>
        <v/>
      </c>
      <c r="EV81" s="57">
        <f t="shared" si="725"/>
        <v>0</v>
      </c>
      <c r="EW81" s="57">
        <f>IF(OR(AND(EK$6=1,$L81=0),AND(EK$6=2,$K81=2,$G81=1)),0,IF(AND(EM$9=2,(OR($F81&gt;1,$K81=1,AND($L81=80,OR($N81=1,AND($N81=2,'#BerechnungDBE'!$AL72&gt;0)))))),IF(EK$4&gt;=$AD$126,0,EU81),IF(EM$9=3,IF(OR(EK$4&gt;=$AD$127,AND($G81=1,$J81=2,EK$6=2),AND(EK$6=1,$N81&lt;&gt;1)),0,IF(EO81&lt;=120,EU81,IF(EK$4&lt;$AD$124,IF($F81=1,60/EM$4*EM$6,60/EM$4*EM$7),IF($F81=1,120/EM$4*EM$6,120/EM$4*EM$7)))),IF(OR($F81=3,$G81=2),IF(OR(AND(EK$4&gt;=$AD$119,$C81=2),AND(EK$4&gt;=$AF$119,$C81=1)),0,IF(EO81&lt;=60,EU81,60/EM$4*EM$7)),IF(AND($F81=2,$G81=1),EU81,0)))))</f>
        <v>0</v>
      </c>
      <c r="EX81" s="57" t="str">
        <f t="shared" si="545"/>
        <v/>
      </c>
      <c r="EY81" s="57" t="str">
        <f t="shared" si="546"/>
        <v/>
      </c>
      <c r="EZ81" s="713">
        <f>'org. Düngung 22'!AR80</f>
        <v>0</v>
      </c>
      <c r="FA81" s="57"/>
      <c r="FB81" s="57"/>
      <c r="FC81" s="57">
        <f t="shared" si="547"/>
        <v>0</v>
      </c>
      <c r="FD81" s="57">
        <f t="shared" si="726"/>
        <v>0</v>
      </c>
      <c r="FE81" s="57">
        <f t="shared" si="727"/>
        <v>0</v>
      </c>
      <c r="FF81" s="57">
        <f t="shared" si="728"/>
        <v>0</v>
      </c>
      <c r="FG81" s="57">
        <f t="shared" si="729"/>
        <v>0</v>
      </c>
      <c r="FH81" s="1029">
        <f t="shared" si="548"/>
        <v>0</v>
      </c>
      <c r="FI81" s="57">
        <f t="shared" si="549"/>
        <v>0</v>
      </c>
      <c r="FJ81" s="171" t="str">
        <f t="shared" si="550"/>
        <v/>
      </c>
      <c r="FK81" s="57">
        <f t="shared" si="730"/>
        <v>0</v>
      </c>
      <c r="FL81" s="57">
        <f>IF(OR(AND(EZ$6=1,$L81=0),AND(EZ$6=2,$K81=2,$G81=1)),0,IF(AND(FB$9=2,(OR($F81&gt;1,$K81=1,AND($L81=80,OR($N81=1,AND($N81=2,'#BerechnungDBE'!$AL72&gt;0)))))),IF(EZ$4&gt;=$AD$126,0,FJ81),IF(FB$9=3,IF(OR(EZ$4&gt;=$AD$127,AND($G81=1,$J81=2,EZ$6=2),AND(EZ$6=1,$N81&lt;&gt;1)),0,IF(FD81&lt;=120,FJ81,IF(EZ$4&lt;$AD$124,IF($F81=1,60/FB$4*FB$6,60/FB$4*FB$7),IF($F81=1,120/FB$4*FB$6,120/FB$4*FB$7)))),IF(OR($F81=3,$G81=2),IF(OR(AND(EZ$4&gt;=$AD$119,$C81=2),AND(EZ$4&gt;=$AF$119,$C81=1)),0,IF(FD81&lt;=60,FJ81,60/FB$4*FB$7)),IF(AND($F81=2,$G81=1),FJ81,0)))))</f>
        <v>0</v>
      </c>
      <c r="FM81" s="57" t="str">
        <f t="shared" si="551"/>
        <v/>
      </c>
      <c r="FN81" s="57" t="str">
        <f t="shared" si="552"/>
        <v/>
      </c>
      <c r="FO81" s="713">
        <f>'org. Düngung 22'!AV80</f>
        <v>0</v>
      </c>
      <c r="FP81" s="57"/>
      <c r="FQ81" s="57"/>
      <c r="FR81" s="57">
        <f t="shared" si="553"/>
        <v>0</v>
      </c>
      <c r="FS81" s="57">
        <f t="shared" si="731"/>
        <v>0</v>
      </c>
      <c r="FT81" s="57">
        <f t="shared" si="732"/>
        <v>0</v>
      </c>
      <c r="FU81" s="57">
        <f t="shared" si="733"/>
        <v>0</v>
      </c>
      <c r="FV81" s="57">
        <f t="shared" si="734"/>
        <v>0</v>
      </c>
      <c r="FW81" s="1029">
        <f t="shared" si="554"/>
        <v>0</v>
      </c>
      <c r="FX81" s="57">
        <f t="shared" si="555"/>
        <v>0</v>
      </c>
      <c r="FY81" s="171" t="str">
        <f t="shared" si="556"/>
        <v/>
      </c>
      <c r="FZ81" s="57">
        <f t="shared" si="735"/>
        <v>0</v>
      </c>
      <c r="GA81" s="57">
        <f>IF(OR(AND(FO$6=1,$L81=0),AND(FO$6=2,$K81=2,$G81=1)),0,IF(AND(FQ$9=2,(OR($F81&gt;1,$K81=1,AND($L81=80,OR($N81=1,AND($N81=2,'#BerechnungDBE'!$AL72&gt;0)))))),IF(FO$4&gt;=$AD$126,0,FY81),IF(FQ$9=3,IF(OR(FO$4&gt;=$AD$127,AND($G81=1,$J81=2,FO$6=2),AND(FO$6=1,$N81&lt;&gt;1)),0,IF(FS81&lt;=120,FY81,IF(FO$4&lt;$AD$124,IF($F81=1,60/FQ$4*FQ$6,60/FQ$4*FQ$7),IF($F81=1,120/FQ$4*FQ$6,120/FQ$4*FQ$7)))),IF(OR($F81=3,$G81=2),IF(OR(AND(FO$4&gt;=$AD$119,$C81=2),AND(FO$4&gt;=$AF$119,$C81=1)),0,IF(FS81&lt;=60,FY81,60/FQ$4*FQ$7)),IF(AND($F81=2,$G81=1),FY81,0)))))</f>
        <v>0</v>
      </c>
      <c r="GB81" s="57" t="str">
        <f t="shared" si="557"/>
        <v/>
      </c>
      <c r="GC81" s="57" t="str">
        <f t="shared" si="558"/>
        <v/>
      </c>
      <c r="GD81" s="713">
        <f>'org. Düngung 22'!AZ80</f>
        <v>0</v>
      </c>
      <c r="GE81" s="57"/>
      <c r="GF81" s="57"/>
      <c r="GG81" s="57">
        <f t="shared" si="559"/>
        <v>0</v>
      </c>
      <c r="GH81" s="57">
        <f t="shared" si="736"/>
        <v>0</v>
      </c>
      <c r="GI81" s="57">
        <f t="shared" si="737"/>
        <v>0</v>
      </c>
      <c r="GJ81" s="57">
        <f t="shared" si="738"/>
        <v>0</v>
      </c>
      <c r="GK81" s="57">
        <f t="shared" si="739"/>
        <v>0</v>
      </c>
      <c r="GL81" s="1029">
        <f t="shared" si="560"/>
        <v>0</v>
      </c>
      <c r="GM81" s="57">
        <f t="shared" si="561"/>
        <v>0</v>
      </c>
      <c r="GN81" s="171" t="str">
        <f t="shared" si="562"/>
        <v/>
      </c>
      <c r="GO81" s="57">
        <f t="shared" si="740"/>
        <v>0</v>
      </c>
      <c r="GP81" s="57">
        <f>IF(OR(AND(GD$6=1,$L81=0),AND(GD$6=2,$K81=2,$G81=1)),0,IF(AND(GF$9=2,(OR($F81&gt;1,$K81=1,AND($L81=80,OR($N81=1,AND($N81=2,'#BerechnungDBE'!$AL72&gt;0)))))),IF(GD$4&gt;=$AD$126,0,GN81),IF(GF$9=3,IF(OR(GD$4&gt;=$AD$127,AND($G81=1,$J81=2,GD$6=2),AND(GD$6=1,$N81&lt;&gt;1)),0,IF(GH81&lt;=120,GN81,IF(GD$4&lt;$AD$124,IF($F81=1,60/GF$4*GF$6,60/GF$4*GF$7),IF($F81=1,120/GF$4*GF$6,120/GF$4*GF$7)))),IF(OR($F81=3,$G81=2),IF(OR(AND(GD$4&gt;=$AD$119,$C81=2),AND(GD$4&gt;=$AF$119,$C81=1)),0,IF(GH81&lt;=60,GN81,60/GF$4*GF$7)),IF(AND($F81=2,$G81=1),GN81,0)))))</f>
        <v>0</v>
      </c>
      <c r="GQ81" s="57" t="str">
        <f t="shared" si="563"/>
        <v/>
      </c>
      <c r="GR81" s="57" t="str">
        <f t="shared" si="564"/>
        <v/>
      </c>
      <c r="GS81" s="713">
        <f>'org. Düngung 22'!BD80</f>
        <v>0</v>
      </c>
      <c r="GT81" s="57"/>
      <c r="GU81" s="57"/>
      <c r="GV81" s="57">
        <f t="shared" si="565"/>
        <v>0</v>
      </c>
      <c r="GW81" s="57">
        <f t="shared" si="741"/>
        <v>0</v>
      </c>
      <c r="GX81" s="57">
        <f t="shared" si="742"/>
        <v>0</v>
      </c>
      <c r="GY81" s="57">
        <f t="shared" si="743"/>
        <v>0</v>
      </c>
      <c r="GZ81" s="57">
        <f t="shared" si="744"/>
        <v>0</v>
      </c>
      <c r="HA81" s="1029">
        <f t="shared" si="566"/>
        <v>0</v>
      </c>
      <c r="HB81" s="57">
        <f t="shared" si="567"/>
        <v>0</v>
      </c>
      <c r="HC81" s="171" t="str">
        <f t="shared" si="568"/>
        <v/>
      </c>
      <c r="HD81" s="57">
        <f t="shared" si="745"/>
        <v>0</v>
      </c>
      <c r="HE81" s="57">
        <f>IF(OR(AND(GS$6=1,$L81=0),AND(GS$6=2,$K81=2,$G81=1)),0,IF(AND(GU$9=2,(OR($F81&gt;1,$K81=1,AND($L81=80,OR($N81=1,AND($N81=2,'#BerechnungDBE'!$AL72&gt;0)))))),IF(GS$4&gt;=$AD$126,0,HC81),IF(GU$9=3,IF(OR(GS$4&gt;=$AD$127,AND($G81=1,$J81=2,GS$6=2),AND(GS$6=1,$N81&lt;&gt;1)),0,IF(GW81&lt;=120,HC81,IF(GS$4&lt;$AD$124,IF($F81=1,60/GU$4*GU$6,60/GU$4*GU$7),IF($F81=1,120/GU$4*GU$6,120/GU$4*GU$7)))),IF(OR($F81=3,$G81=2),IF(OR(AND(GS$4&gt;=$AD$119,$C81=2),AND(GS$4&gt;=$AF$119,$C81=1)),0,IF(GW81&lt;=60,HC81,60/GU$4*GU$7)),IF(AND($F81=2,$G81=1),HC81,0)))))</f>
        <v>0</v>
      </c>
      <c r="HF81" s="57" t="str">
        <f t="shared" si="569"/>
        <v/>
      </c>
      <c r="HG81" s="57" t="str">
        <f t="shared" si="570"/>
        <v/>
      </c>
      <c r="HH81" s="713">
        <f>'org. Düngung 22'!BH80</f>
        <v>0</v>
      </c>
      <c r="HI81" s="57"/>
      <c r="HJ81" s="57"/>
      <c r="HK81" s="57">
        <f t="shared" si="571"/>
        <v>0</v>
      </c>
      <c r="HL81" s="57">
        <f t="shared" si="746"/>
        <v>0</v>
      </c>
      <c r="HM81" s="57">
        <f t="shared" si="747"/>
        <v>0</v>
      </c>
      <c r="HN81" s="57">
        <f t="shared" si="748"/>
        <v>0</v>
      </c>
      <c r="HO81" s="57">
        <f t="shared" si="749"/>
        <v>0</v>
      </c>
      <c r="HP81" s="1029">
        <f t="shared" si="572"/>
        <v>0</v>
      </c>
      <c r="HQ81" s="57">
        <f t="shared" si="573"/>
        <v>0</v>
      </c>
      <c r="HR81" s="171" t="str">
        <f t="shared" si="574"/>
        <v/>
      </c>
      <c r="HS81" s="57">
        <f t="shared" si="750"/>
        <v>0</v>
      </c>
      <c r="HT81" s="57">
        <f>IF(OR(AND(HH$6=1,$L81=0),AND(HH$6=2,$K81=2,$G81=1)),0,IF(AND(HJ$9=2,(OR($F81&gt;1,$K81=1,AND($L81=80,OR($N81=1,AND($N81=2,'#BerechnungDBE'!$AL72&gt;0)))))),IF(HH$4&gt;=$AD$126,0,HR81),IF(HJ$9=3,IF(OR(HH$4&gt;=$AD$127,AND($G81=1,$J81=2,HH$6=2),AND(HH$6=1,$N81&lt;&gt;1)),0,IF(HL81&lt;=120,HR81,IF(HH$4&lt;$AD$124,IF($F81=1,60/HJ$4*HJ$6,60/HJ$4*HJ$7),IF($F81=1,120/HJ$4*HJ$6,120/HJ$4*HJ$7)))),IF(OR($F81=3,$G81=2),IF(OR(AND(HH$4&gt;=$AD$119,$C81=2),AND(HH$4&gt;=$AF$119,$C81=1)),0,IF(HL81&lt;=60,HR81,60/HJ$4*HJ$7)),IF(AND($F81=2,$G81=1),HR81,0)))))</f>
        <v>0</v>
      </c>
      <c r="HU81" s="57" t="str">
        <f t="shared" si="575"/>
        <v/>
      </c>
      <c r="HV81" s="57" t="str">
        <f t="shared" si="576"/>
        <v/>
      </c>
      <c r="HW81" s="713">
        <f>'org. Düngung 22'!BL80</f>
        <v>0</v>
      </c>
      <c r="HX81" s="57"/>
      <c r="HY81" s="57"/>
      <c r="HZ81" s="57">
        <f t="shared" si="577"/>
        <v>0</v>
      </c>
      <c r="IA81" s="57">
        <f t="shared" si="751"/>
        <v>0</v>
      </c>
      <c r="IB81" s="57">
        <f t="shared" si="752"/>
        <v>0</v>
      </c>
      <c r="IC81" s="57">
        <f t="shared" si="753"/>
        <v>0</v>
      </c>
      <c r="ID81" s="57">
        <f t="shared" si="754"/>
        <v>0</v>
      </c>
      <c r="IE81" s="1029">
        <f t="shared" si="578"/>
        <v>0</v>
      </c>
      <c r="IF81" s="57">
        <f t="shared" si="579"/>
        <v>0</v>
      </c>
      <c r="IG81" s="171" t="str">
        <f t="shared" si="580"/>
        <v/>
      </c>
      <c r="IH81" s="57">
        <f t="shared" si="755"/>
        <v>0</v>
      </c>
      <c r="II81" s="57">
        <f>IF(OR(AND(HW$6=1,$L81=0),AND(HW$6=2,$K81=2,$G81=1)),0,IF(AND(HY$9=2,(OR($F81&gt;1,$K81=1,AND($L81=80,OR($N81=1,AND($N81=2,'#BerechnungDBE'!$AL72&gt;0)))))),IF(HW$4&gt;=$AD$126,0,IG81),IF(HY$9=3,IF(OR(HW$4&gt;=$AD$127,AND($G81=1,$J81=2,HW$6=2),AND(HW$6=1,$N81&lt;&gt;1)),0,IF(IA81&lt;=120,IG81,IF(HW$4&lt;$AD$124,IF($F81=1,60/HY$4*HY$6,60/HY$4*HY$7),IF($F81=1,120/HY$4*HY$6,120/HY$4*HY$7)))),IF(OR($F81=3,$G81=2),IF(OR(AND(HW$4&gt;=$AD$119,$C81=2),AND(HW$4&gt;=$AF$119,$C81=1)),0,IF(IA81&lt;=60,IG81,60/HY$4*HY$7)),IF(AND($F81=2,$G81=1),IG81,0)))))</f>
        <v>0</v>
      </c>
      <c r="IJ81" s="57" t="str">
        <f t="shared" si="581"/>
        <v/>
      </c>
      <c r="IK81" s="57" t="str">
        <f t="shared" si="582"/>
        <v/>
      </c>
      <c r="IL81" s="713">
        <f>'org. Düngung 22'!BP80</f>
        <v>0</v>
      </c>
      <c r="IM81" s="57"/>
      <c r="IN81" s="57"/>
      <c r="IO81" s="57">
        <f t="shared" si="583"/>
        <v>0</v>
      </c>
      <c r="IP81" s="57">
        <f t="shared" si="756"/>
        <v>0</v>
      </c>
      <c r="IQ81" s="57">
        <f t="shared" si="757"/>
        <v>0</v>
      </c>
      <c r="IR81" s="57">
        <f t="shared" si="758"/>
        <v>0</v>
      </c>
      <c r="IS81" s="57">
        <f t="shared" si="759"/>
        <v>0</v>
      </c>
      <c r="IT81" s="1029">
        <f t="shared" si="584"/>
        <v>0</v>
      </c>
      <c r="IU81" s="57">
        <f t="shared" si="585"/>
        <v>0</v>
      </c>
      <c r="IV81" s="171" t="str">
        <f t="shared" si="586"/>
        <v/>
      </c>
      <c r="IW81" s="57">
        <f t="shared" si="760"/>
        <v>0</v>
      </c>
      <c r="IX81" s="57">
        <f>IF(OR(AND(IL$6=1,$L81=0),AND(IL$6=2,$K81=2,$G81=1)),0,IF(AND(IN$9=2,(OR($F81&gt;1,$K81=1,AND($L81=80,OR($N81=1,AND($N81=2,'#BerechnungDBE'!$AL72&gt;0)))))),IF(IL$4&gt;=$AD$126,0,IV81),IF(IN$9=3,IF(OR(IL$4&gt;=$AD$127,AND($G81=1,$J81=2,IL$6=2),AND(IL$6=1,$N81&lt;&gt;1)),0,IF(IP81&lt;=120,IV81,IF(IL$4&lt;$AD$124,IF($F81=1,60/IN$4*IN$6,60/IN$4*IN$7),IF($F81=1,120/IN$4*IN$6,120/IN$4*IN$7)))),IF(OR($F81=3,$G81=2),IF(OR(AND(IL$4&gt;=$AD$119,$C81=2),AND(IL$4&gt;=$AF$119,$C81=1)),0,IF(IP81&lt;=60,IV81,60/IN$4*IN$7)),IF(AND($F81=2,$G81=1),IV81,0)))))</f>
        <v>0</v>
      </c>
      <c r="IY81" s="57" t="str">
        <f t="shared" si="587"/>
        <v/>
      </c>
      <c r="IZ81" s="57" t="str">
        <f t="shared" si="588"/>
        <v/>
      </c>
      <c r="JA81" s="713">
        <f>'org. Düngung 22'!BT80</f>
        <v>0</v>
      </c>
      <c r="JB81" s="57"/>
      <c r="JC81" s="57"/>
      <c r="JD81" s="57">
        <f t="shared" si="589"/>
        <v>0</v>
      </c>
      <c r="JE81" s="57">
        <f t="shared" si="761"/>
        <v>0</v>
      </c>
      <c r="JF81" s="57">
        <f t="shared" si="762"/>
        <v>0</v>
      </c>
      <c r="JG81" s="57">
        <f t="shared" si="763"/>
        <v>0</v>
      </c>
      <c r="JH81" s="57">
        <f t="shared" si="764"/>
        <v>0</v>
      </c>
      <c r="JI81" s="1029">
        <f t="shared" si="590"/>
        <v>0</v>
      </c>
      <c r="JJ81" s="57">
        <f t="shared" si="591"/>
        <v>0</v>
      </c>
      <c r="JK81" s="171" t="str">
        <f t="shared" si="592"/>
        <v/>
      </c>
      <c r="JL81" s="57">
        <f t="shared" si="765"/>
        <v>0</v>
      </c>
      <c r="JM81" s="57">
        <f>IF(OR(AND(JA$6=1,$L81=0),AND(JA$6=2,$K81=2,$G81=1)),0,IF(AND(JC$9=2,(OR($F81&gt;1,$K81=1,AND($L81=80,OR($N81=1,AND($N81=2,'#BerechnungDBE'!$AL72&gt;0)))))),IF(JA$4&gt;=$AD$126,0,JK81),IF(JC$9=3,IF(OR(JA$4&gt;=$AD$127,AND($G81=1,$J81=2,JA$6=2),AND(JA$6=1,$N81&lt;&gt;1)),0,IF(JE81&lt;=120,JK81,IF(JA$4&lt;$AD$124,IF($F81=1,60/JC$4*JC$6,60/JC$4*JC$7),IF($F81=1,120/JC$4*JC$6,120/JC$4*JC$7)))),IF(OR($F81=3,$G81=2),IF(OR(AND(JA$4&gt;=$AD$119,$C81=2),AND(JA$4&gt;=$AF$119,$C81=1)),0,IF(JE81&lt;=60,JK81,60/JC$4*JC$7)),IF(AND($F81=2,$G81=1),JK81,0)))))</f>
        <v>0</v>
      </c>
      <c r="JN81" s="57" t="str">
        <f t="shared" si="593"/>
        <v/>
      </c>
      <c r="JO81" s="57" t="str">
        <f t="shared" si="594"/>
        <v/>
      </c>
      <c r="JP81" s="713">
        <f>'org. Düngung 22'!BX80</f>
        <v>0</v>
      </c>
      <c r="JQ81" s="57"/>
      <c r="JR81" s="57"/>
      <c r="JS81" s="57">
        <f t="shared" si="595"/>
        <v>0</v>
      </c>
      <c r="JT81" s="57">
        <f t="shared" si="766"/>
        <v>0</v>
      </c>
      <c r="JU81" s="57">
        <f t="shared" si="767"/>
        <v>0</v>
      </c>
      <c r="JV81" s="57">
        <f t="shared" si="768"/>
        <v>0</v>
      </c>
      <c r="JW81" s="57">
        <f t="shared" si="769"/>
        <v>0</v>
      </c>
      <c r="JX81" s="1029">
        <f t="shared" si="596"/>
        <v>0</v>
      </c>
      <c r="JY81" s="57">
        <f t="shared" si="597"/>
        <v>0</v>
      </c>
      <c r="JZ81" s="171" t="str">
        <f t="shared" si="598"/>
        <v/>
      </c>
      <c r="KA81" s="57">
        <f t="shared" si="770"/>
        <v>0</v>
      </c>
      <c r="KB81" s="57">
        <f>IF(OR(AND(JP$6=1,$L81=0),AND(JP$6=2,$K81=2,$G81=1)),0,IF(AND(JR$9=2,(OR($F81&gt;1,$K81=1,AND($L81=80,OR($N81=1,AND($N81=2,'#BerechnungDBE'!$AL72&gt;0)))))),IF(JP$4&gt;=$AD$126,0,JZ81),IF(JR$9=3,IF(OR(JP$4&gt;=$AD$127,AND($G81=1,$J81=2,JP$6=2),AND(JP$6=1,$N81&lt;&gt;1)),0,IF(JT81&lt;=120,JZ81,IF(JP$4&lt;$AD$124,IF($F81=1,60/JR$4*JR$6,60/JR$4*JR$7),IF($F81=1,120/JR$4*JR$6,120/JR$4*JR$7)))),IF(OR($F81=3,$G81=2),IF(OR(AND(JP$4&gt;=$AD$119,$C81=2),AND(JP$4&gt;=$AF$119,$C81=1)),0,IF(JT81&lt;=60,JZ81,60/JR$4*JR$7)),IF(AND($F81=2,$G81=1),JZ81,0)))))</f>
        <v>0</v>
      </c>
      <c r="KC81" s="57" t="str">
        <f t="shared" si="599"/>
        <v/>
      </c>
      <c r="KD81" s="57" t="str">
        <f t="shared" si="600"/>
        <v/>
      </c>
      <c r="KE81" s="713">
        <f>'org. Düngung 22'!CB80</f>
        <v>0</v>
      </c>
      <c r="KF81" s="57"/>
      <c r="KG81" s="57"/>
      <c r="KH81" s="57">
        <f t="shared" si="601"/>
        <v>0</v>
      </c>
      <c r="KI81" s="57">
        <f t="shared" si="771"/>
        <v>0</v>
      </c>
      <c r="KJ81" s="57">
        <f t="shared" si="772"/>
        <v>0</v>
      </c>
      <c r="KK81" s="57">
        <f t="shared" si="773"/>
        <v>0</v>
      </c>
      <c r="KL81" s="57">
        <f t="shared" si="774"/>
        <v>0</v>
      </c>
      <c r="KM81" s="1029">
        <f t="shared" si="602"/>
        <v>0</v>
      </c>
      <c r="KN81" s="57">
        <f t="shared" si="603"/>
        <v>0</v>
      </c>
      <c r="KO81" s="171" t="str">
        <f t="shared" si="604"/>
        <v/>
      </c>
      <c r="KP81" s="57">
        <f t="shared" si="775"/>
        <v>0</v>
      </c>
      <c r="KQ81" s="57">
        <f>IF(OR(AND(KE$6=1,$L81=0),AND(KE$6=2,$K81=2,$G81=1)),0,IF(AND(KG$9=2,(OR($F81&gt;1,$K81=1,AND($L81=80,OR($N81=1,AND($N81=2,'#BerechnungDBE'!$AL72&gt;0)))))),IF(KE$4&gt;=$AD$126,0,KO81),IF(KG$9=3,IF(OR(KE$4&gt;=$AD$127,AND($G81=1,$J81=2,KE$6=2),AND(KE$6=1,$N81&lt;&gt;1)),0,IF(KI81&lt;=120,KO81,IF(KE$4&lt;$AD$124,IF($F81=1,60/KG$4*KG$6,60/KG$4*KG$7),IF($F81=1,120/KG$4*KG$6,120/KG$4*KG$7)))),IF(OR($F81=3,$G81=2),IF(OR(AND(KE$4&gt;=$AD$119,$C81=2),AND(KE$4&gt;=$AF$119,$C81=1)),0,IF(KI81&lt;=60,KO81,60/KG$4*KG$7)),IF(AND($F81=2,$G81=1),KO81,0)))))</f>
        <v>0</v>
      </c>
      <c r="KR81" s="57" t="str">
        <f t="shared" si="605"/>
        <v/>
      </c>
      <c r="KS81" s="57" t="str">
        <f t="shared" si="606"/>
        <v/>
      </c>
      <c r="KT81" s="713">
        <f>'org. Düngung 22'!CF80</f>
        <v>0</v>
      </c>
      <c r="KU81" s="57"/>
      <c r="KV81" s="57"/>
      <c r="KW81" s="57">
        <f t="shared" si="607"/>
        <v>0</v>
      </c>
      <c r="KX81" s="57">
        <f t="shared" si="776"/>
        <v>0</v>
      </c>
      <c r="KY81" s="57">
        <f t="shared" si="777"/>
        <v>0</v>
      </c>
      <c r="KZ81" s="57">
        <f t="shared" si="778"/>
        <v>0</v>
      </c>
      <c r="LA81" s="57">
        <f t="shared" si="779"/>
        <v>0</v>
      </c>
      <c r="LB81" s="1029">
        <f t="shared" si="608"/>
        <v>0</v>
      </c>
      <c r="LC81" s="57">
        <f t="shared" si="609"/>
        <v>0</v>
      </c>
      <c r="LD81" s="171" t="str">
        <f t="shared" si="610"/>
        <v/>
      </c>
      <c r="LE81" s="57">
        <f t="shared" si="780"/>
        <v>0</v>
      </c>
      <c r="LF81" s="57">
        <f>IF(OR(AND(KT$6=1,$L81=0),AND(KT$6=2,$K81=2,$G81=1)),0,IF(AND(KV$9=2,(OR($F81&gt;1,$K81=1,AND($L81=80,OR($N81=1,AND($N81=2,'#BerechnungDBE'!$AL72&gt;0)))))),IF(KT$4&gt;=$AD$126,0,LD81),IF(KV$9=3,IF(OR(KT$4&gt;=$AD$127,AND($G81=1,$J81=2,KT$6=2),AND(KT$6=1,$N81&lt;&gt;1)),0,IF(KX81&lt;=120,LD81,IF(KT$4&lt;$AD$124,IF($F81=1,60/KV$4*KV$6,60/KV$4*KV$7),IF($F81=1,120/KV$4*KV$6,120/KV$4*KV$7)))),IF(OR($F81=3,$G81=2),IF(OR(AND(KT$4&gt;=$AD$119,$C81=2),AND(KT$4&gt;=$AF$119,$C81=1)),0,IF(KX81&lt;=60,LD81,60/KV$4*KV$7)),IF(AND($F81=2,$G81=1),LD81,0)))))</f>
        <v>0</v>
      </c>
      <c r="LG81" s="57" t="str">
        <f t="shared" si="611"/>
        <v/>
      </c>
      <c r="LH81" s="57" t="str">
        <f t="shared" si="612"/>
        <v/>
      </c>
      <c r="LI81" s="713">
        <f>'org. Düngung 22'!CJ80</f>
        <v>0</v>
      </c>
      <c r="LJ81" s="57"/>
      <c r="LK81" s="57"/>
      <c r="LL81" s="57">
        <f t="shared" si="613"/>
        <v>0</v>
      </c>
      <c r="LM81" s="57">
        <f t="shared" si="781"/>
        <v>0</v>
      </c>
      <c r="LN81" s="57">
        <f t="shared" si="782"/>
        <v>0</v>
      </c>
      <c r="LO81" s="57">
        <f t="shared" si="783"/>
        <v>0</v>
      </c>
      <c r="LP81" s="57">
        <f t="shared" si="784"/>
        <v>0</v>
      </c>
      <c r="LQ81" s="1029">
        <f t="shared" si="614"/>
        <v>0</v>
      </c>
      <c r="LR81" s="57">
        <f t="shared" si="615"/>
        <v>0</v>
      </c>
      <c r="LS81" s="171" t="str">
        <f t="shared" si="616"/>
        <v/>
      </c>
      <c r="LT81" s="57">
        <f t="shared" si="785"/>
        <v>0</v>
      </c>
      <c r="LU81" s="57">
        <f>IF(OR(AND(LI$6=1,$L81=0),AND(LI$6=2,$K81=2,$G81=1)),0,IF(AND(LK$9=2,(OR($F81&gt;1,$K81=1,AND($L81=80,OR($N81=1,AND($N81=2,'#BerechnungDBE'!$AL72&gt;0)))))),IF(LI$4&gt;=$AD$126,0,LS81),IF(LK$9=3,IF(OR(LI$4&gt;=$AD$127,AND($G81=1,$J81=2,LI$6=2),AND(LI$6=1,$N81&lt;&gt;1)),0,IF(LM81&lt;=120,LS81,IF(LI$4&lt;$AD$124,IF($F81=1,60/LK$4*LK$6,60/LK$4*LK$7),IF($F81=1,120/LK$4*LK$6,120/LK$4*LK$7)))),IF(OR($F81=3,$G81=2),IF(OR(AND(LI$4&gt;=$AD$119,$C81=2),AND(LI$4&gt;=$AF$119,$C81=1)),0,IF(LM81&lt;=60,LS81,60/LK$4*LK$7)),IF(AND($F81=2,$G81=1),LS81,0)))))</f>
        <v>0</v>
      </c>
      <c r="LV81" s="57" t="str">
        <f t="shared" si="617"/>
        <v/>
      </c>
      <c r="LW81" s="57" t="str">
        <f t="shared" si="618"/>
        <v/>
      </c>
      <c r="LX81" s="713">
        <f>'org. Düngung 22'!CN80</f>
        <v>0</v>
      </c>
      <c r="LY81" s="57"/>
      <c r="LZ81" s="57"/>
      <c r="MA81" s="57">
        <f t="shared" si="619"/>
        <v>0</v>
      </c>
      <c r="MB81" s="57">
        <f t="shared" si="786"/>
        <v>0</v>
      </c>
      <c r="MC81" s="57">
        <f t="shared" si="787"/>
        <v>0</v>
      </c>
      <c r="MD81" s="57">
        <f t="shared" si="788"/>
        <v>0</v>
      </c>
      <c r="ME81" s="57">
        <f t="shared" si="789"/>
        <v>0</v>
      </c>
      <c r="MF81" s="1029">
        <f t="shared" si="620"/>
        <v>0</v>
      </c>
      <c r="MG81" s="57">
        <f t="shared" si="621"/>
        <v>0</v>
      </c>
      <c r="MH81" s="171" t="str">
        <f t="shared" si="622"/>
        <v/>
      </c>
      <c r="MI81" s="57">
        <f t="shared" si="790"/>
        <v>0</v>
      </c>
      <c r="MJ81" s="57">
        <f>IF(OR(AND(LX$6=1,$L81=0),AND(LX$6=2,$K81=2,$G81=1)),0,IF(AND(LZ$9=2,(OR($F81&gt;1,$K81=1,AND($L81=80,OR($N81=1,AND($N81=2,'#BerechnungDBE'!$AL72&gt;0)))))),IF(LX$4&gt;=$AD$126,0,MH81),IF(LZ$9=3,IF(OR(LX$4&gt;=$AD$127,AND($G81=1,$J81=2,LX$6=2),AND(LX$6=1,$N81&lt;&gt;1)),0,IF(MB81&lt;=120,MH81,IF(LX$4&lt;$AD$124,IF($F81=1,60/LZ$4*LZ$6,60/LZ$4*LZ$7),IF($F81=1,120/LZ$4*LZ$6,120/LZ$4*LZ$7)))),IF(OR($F81=3,$G81=2),IF(OR(AND(LX$4&gt;=$AD$119,$C81=2),AND(LX$4&gt;=$AF$119,$C81=1)),0,IF(MB81&lt;=60,MH81,60/LZ$4*LZ$7)),IF(AND($F81=2,$G81=1),MH81,0)))))</f>
        <v>0</v>
      </c>
      <c r="MK81" s="57" t="str">
        <f t="shared" si="623"/>
        <v/>
      </c>
      <c r="ML81" s="57" t="str">
        <f t="shared" si="624"/>
        <v/>
      </c>
      <c r="MM81" s="713">
        <f>'org. Düngung 22'!CR80</f>
        <v>0</v>
      </c>
      <c r="MN81" s="57"/>
      <c r="MO81" s="57"/>
      <c r="MP81" s="57">
        <f t="shared" si="625"/>
        <v>0</v>
      </c>
      <c r="MQ81" s="57">
        <f t="shared" si="791"/>
        <v>0</v>
      </c>
      <c r="MR81" s="57">
        <f t="shared" si="792"/>
        <v>0</v>
      </c>
      <c r="MS81" s="57">
        <f t="shared" si="793"/>
        <v>0</v>
      </c>
      <c r="MT81" s="57">
        <f t="shared" si="794"/>
        <v>0</v>
      </c>
      <c r="MU81" s="1029">
        <f t="shared" si="626"/>
        <v>0</v>
      </c>
      <c r="MV81" s="57">
        <f t="shared" si="627"/>
        <v>0</v>
      </c>
      <c r="MW81" s="171" t="str">
        <f t="shared" si="628"/>
        <v/>
      </c>
      <c r="MX81" s="57">
        <f t="shared" si="795"/>
        <v>0</v>
      </c>
      <c r="MY81" s="57">
        <f>IF(OR(AND(MM$6=1,$L81=0),AND(MM$6=2,$K81=2,$G81=1)),0,IF(AND(MO$9=2,(OR($F81&gt;1,$K81=1,AND($L81=80,OR($N81=1,AND($N81=2,'#BerechnungDBE'!$AL72&gt;0)))))),IF(MM$4&gt;=$AD$126,0,MW81),IF(MO$9=3,IF(OR(MM$4&gt;=$AD$127,AND($G81=1,$J81=2,MM$6=2),AND(MM$6=1,$N81&lt;&gt;1)),0,IF(MQ81&lt;=120,MW81,IF(MM$4&lt;$AD$124,IF($F81=1,60/MO$4*MO$6,60/MO$4*MO$7),IF($F81=1,120/MO$4*MO$6,120/MO$4*MO$7)))),IF(OR($F81=3,$G81=2),IF(OR(AND(MM$4&gt;=$AD$119,$C81=2),AND(MM$4&gt;=$AF$119,$C81=1)),0,IF(MQ81&lt;=60,MW81,60/MO$4*MO$7)),IF(AND($F81=2,$G81=1),MW81,0)))))</f>
        <v>0</v>
      </c>
      <c r="MZ81" s="57" t="str">
        <f t="shared" si="629"/>
        <v/>
      </c>
      <c r="NA81" s="57" t="str">
        <f t="shared" si="630"/>
        <v/>
      </c>
      <c r="NB81" s="713">
        <f>'org. Düngung 22'!CV80</f>
        <v>0</v>
      </c>
      <c r="NC81" s="57"/>
      <c r="ND81" s="57"/>
      <c r="NE81" s="57">
        <f t="shared" si="631"/>
        <v>0</v>
      </c>
      <c r="NF81" s="57">
        <f t="shared" si="796"/>
        <v>0</v>
      </c>
      <c r="NG81" s="57">
        <f t="shared" si="797"/>
        <v>0</v>
      </c>
      <c r="NH81" s="57">
        <f t="shared" si="798"/>
        <v>0</v>
      </c>
      <c r="NI81" s="57">
        <f t="shared" si="799"/>
        <v>0</v>
      </c>
      <c r="NJ81" s="1029">
        <f t="shared" si="632"/>
        <v>0</v>
      </c>
      <c r="NK81" s="57">
        <f t="shared" si="633"/>
        <v>0</v>
      </c>
      <c r="NL81" s="171" t="str">
        <f t="shared" si="634"/>
        <v/>
      </c>
      <c r="NM81" s="57">
        <f t="shared" si="800"/>
        <v>0</v>
      </c>
      <c r="NN81" s="57">
        <f>IF(OR(AND(NB$6=1,$L81=0),AND(NB$6=2,$K81=2,$G81=1)),0,IF(AND(ND$9=2,(OR($F81&gt;1,$K81=1,AND($L81=80,OR($N81=1,AND($N81=2,'#BerechnungDBE'!$AL72&gt;0)))))),IF(NB$4&gt;=$AD$126,0,NL81),IF(ND$9=3,IF(OR(NB$4&gt;=$AD$127,AND($G81=1,$J81=2,NB$6=2),AND(NB$6=1,$N81&lt;&gt;1)),0,IF(NF81&lt;=120,NL81,IF(NB$4&lt;$AD$124,IF($F81=1,60/ND$4*ND$6,60/ND$4*ND$7),IF($F81=1,120/ND$4*ND$6,120/ND$4*ND$7)))),IF(OR($F81=3,$G81=2),IF(OR(AND(NB$4&gt;=$AD$119,$C81=2),AND(NB$4&gt;=$AF$119,$C81=1)),0,IF(NF81&lt;=60,NL81,60/ND$4*ND$7)),IF(AND($F81=2,$G81=1),NL81,0)))))</f>
        <v>0</v>
      </c>
      <c r="NO81" s="57" t="str">
        <f t="shared" si="635"/>
        <v/>
      </c>
      <c r="NP81" s="57" t="str">
        <f t="shared" si="636"/>
        <v/>
      </c>
      <c r="NQ81" s="713">
        <f>'org. Düngung 22'!CZ80</f>
        <v>0</v>
      </c>
      <c r="NR81" s="57"/>
      <c r="NS81" s="57"/>
      <c r="NT81" s="57">
        <f t="shared" si="637"/>
        <v>0</v>
      </c>
      <c r="NU81" s="57">
        <f t="shared" si="801"/>
        <v>0</v>
      </c>
      <c r="NV81" s="57">
        <f t="shared" si="802"/>
        <v>0</v>
      </c>
      <c r="NW81" s="57">
        <f t="shared" si="803"/>
        <v>0</v>
      </c>
      <c r="NX81" s="57">
        <f t="shared" si="804"/>
        <v>0</v>
      </c>
      <c r="NY81" s="1029">
        <f t="shared" si="638"/>
        <v>0</v>
      </c>
      <c r="NZ81" s="57">
        <f t="shared" si="639"/>
        <v>0</v>
      </c>
      <c r="OA81" s="171" t="str">
        <f t="shared" si="640"/>
        <v/>
      </c>
      <c r="OB81" s="57">
        <f t="shared" si="805"/>
        <v>0</v>
      </c>
      <c r="OC81" s="57">
        <f>IF(OR(AND(NQ$6=1,$L81=0),AND(NQ$6=2,$K81=2,$G81=1)),0,IF(AND(NS$9=2,(OR($F81&gt;1,$K81=1,AND($L81=80,OR($N81=1,AND($N81=2,'#BerechnungDBE'!$AL72&gt;0)))))),IF(NQ$4&gt;=$AD$126,0,OA81),IF(NS$9=3,IF(OR(NQ$4&gt;=$AD$127,AND($G81=1,$J81=2,NQ$6=2),AND(NQ$6=1,$N81&lt;&gt;1)),0,IF(NU81&lt;=120,OA81,IF(NQ$4&lt;$AD$124,IF($F81=1,60/NS$4*NS$6,60/NS$4*NS$7),IF($F81=1,120/NS$4*NS$6,120/NS$4*NS$7)))),IF(OR($F81=3,$G81=2),IF(OR(AND(NQ$4&gt;=$AD$119,$C81=2),AND(NQ$4&gt;=$AF$119,$C81=1)),0,IF(NU81&lt;=60,OA81,60/NS$4*NS$7)),IF(AND($F81=2,$G81=1),OA81,0)))))</f>
        <v>0</v>
      </c>
      <c r="OD81" s="57" t="str">
        <f t="shared" si="641"/>
        <v/>
      </c>
      <c r="OE81" s="57" t="str">
        <f t="shared" si="642"/>
        <v/>
      </c>
      <c r="OF81" s="713">
        <f>'org. Düngung 22'!DD80</f>
        <v>0</v>
      </c>
      <c r="OG81" s="57"/>
      <c r="OH81" s="57"/>
      <c r="OI81" s="57">
        <f t="shared" si="643"/>
        <v>0</v>
      </c>
      <c r="OJ81" s="57">
        <f t="shared" si="806"/>
        <v>0</v>
      </c>
      <c r="OK81" s="57">
        <f t="shared" si="807"/>
        <v>0</v>
      </c>
      <c r="OL81" s="57">
        <f t="shared" si="808"/>
        <v>0</v>
      </c>
      <c r="OM81" s="57">
        <f t="shared" si="809"/>
        <v>0</v>
      </c>
      <c r="ON81" s="1029">
        <f t="shared" si="644"/>
        <v>0</v>
      </c>
      <c r="OO81" s="57">
        <f t="shared" si="645"/>
        <v>0</v>
      </c>
      <c r="OP81" s="171" t="str">
        <f t="shared" si="646"/>
        <v/>
      </c>
      <c r="OQ81" s="57">
        <f t="shared" si="810"/>
        <v>0</v>
      </c>
      <c r="OR81" s="57">
        <f>IF(OR(AND(OF$6=1,$L81=0),AND(OF$6=2,$K81=2,$G81=1)),0,IF(AND(OH$9=2,(OR($F81&gt;1,$K81=1,AND($L81=80,OR($N81=1,AND($N81=2,'#BerechnungDBE'!$AL72&gt;0)))))),IF(OF$4&gt;=$AD$126,0,OP81),IF(OH$9=3,IF(OR(OF$4&gt;=$AD$127,AND($G81=1,$J81=2,OF$6=2),AND(OF$6=1,$N81&lt;&gt;1)),0,IF(OJ81&lt;=120,OP81,IF(OF$4&lt;$AD$124,IF($F81=1,60/OH$4*OH$6,60/OH$4*OH$7),IF($F81=1,120/OH$4*OH$6,120/OH$4*OH$7)))),IF(OR($F81=3,$G81=2),IF(OR(AND(OF$4&gt;=$AD$119,$C81=2),AND(OF$4&gt;=$AF$119,$C81=1)),0,IF(OJ81&lt;=60,OP81,60/OH$4*OH$7)),IF(AND($F81=2,$G81=1),OP81,0)))))</f>
        <v>0</v>
      </c>
      <c r="OS81" s="57" t="str">
        <f t="shared" si="647"/>
        <v/>
      </c>
      <c r="OT81" s="57" t="str">
        <f t="shared" si="648"/>
        <v/>
      </c>
      <c r="OU81" s="713">
        <f>'org. Düngung 22'!DH80</f>
        <v>0</v>
      </c>
      <c r="OV81" s="57"/>
      <c r="OW81" s="57"/>
      <c r="OX81" s="57">
        <f t="shared" si="649"/>
        <v>0</v>
      </c>
      <c r="OY81" s="57">
        <f t="shared" si="811"/>
        <v>0</v>
      </c>
      <c r="OZ81" s="57">
        <f t="shared" si="812"/>
        <v>0</v>
      </c>
      <c r="PA81" s="57">
        <f t="shared" si="813"/>
        <v>0</v>
      </c>
      <c r="PB81" s="57">
        <f t="shared" si="814"/>
        <v>0</v>
      </c>
      <c r="PC81" s="1029">
        <f t="shared" si="650"/>
        <v>0</v>
      </c>
      <c r="PD81" s="57">
        <f t="shared" si="651"/>
        <v>0</v>
      </c>
      <c r="PE81" s="171" t="str">
        <f t="shared" si="652"/>
        <v/>
      </c>
      <c r="PF81" s="57">
        <f t="shared" si="815"/>
        <v>0</v>
      </c>
      <c r="PG81" s="57">
        <f>IF(OR(AND(OU$6=1,$L81=0),AND(OU$6=2,$K81=2,$G81=1)),0,IF(AND(OW$9=2,(OR($F81&gt;1,$K81=1,AND($L81=80,OR($N81=1,AND($N81=2,'#BerechnungDBE'!$AL72&gt;0)))))),IF(OU$4&gt;=$AD$126,0,PE81),IF(OW$9=3,IF(OR(OU$4&gt;=$AD$127,AND($G81=1,$J81=2,OU$6=2),AND(OU$6=1,$N81&lt;&gt;1)),0,IF(OY81&lt;=120,PE81,IF(OU$4&lt;$AD$124,IF($F81=1,60/OW$4*OW$6,60/OW$4*OW$7),IF($F81=1,120/OW$4*OW$6,120/OW$4*OW$7)))),IF(OR($F81=3,$G81=2),IF(OR(AND(OU$4&gt;=$AD$119,$C81=2),AND(OU$4&gt;=$AF$119,$C81=1)),0,IF(OY81&lt;=60,PE81,60/OW$4*OW$7)),IF(AND($F81=2,$G81=1),PE81,0)))))</f>
        <v>0</v>
      </c>
      <c r="PH81" s="57" t="str">
        <f t="shared" si="653"/>
        <v/>
      </c>
      <c r="PI81" s="57" t="str">
        <f t="shared" si="654"/>
        <v/>
      </c>
      <c r="PJ81" s="713">
        <f>'org. Düngung 22'!DL80</f>
        <v>0</v>
      </c>
      <c r="PK81" s="57"/>
      <c r="PL81" s="57"/>
      <c r="PM81" s="57">
        <f t="shared" si="655"/>
        <v>0</v>
      </c>
      <c r="PN81" s="57">
        <f t="shared" si="816"/>
        <v>0</v>
      </c>
      <c r="PO81" s="57">
        <f t="shared" si="817"/>
        <v>0</v>
      </c>
      <c r="PP81" s="57">
        <f t="shared" si="818"/>
        <v>0</v>
      </c>
      <c r="PQ81" s="57">
        <f t="shared" si="819"/>
        <v>0</v>
      </c>
      <c r="PR81" s="1029">
        <f t="shared" si="656"/>
        <v>0</v>
      </c>
      <c r="PS81" s="57">
        <f t="shared" si="657"/>
        <v>0</v>
      </c>
      <c r="PT81" s="171" t="str">
        <f t="shared" si="658"/>
        <v/>
      </c>
      <c r="PU81" s="57">
        <f t="shared" si="820"/>
        <v>0</v>
      </c>
      <c r="PV81" s="57">
        <f>IF(OR(AND(PJ$6=1,$L81=0),AND(PJ$6=2,$K81=2,$G81=1)),0,IF(AND(PL$9=2,(OR($F81&gt;1,$K81=1,AND($L81=80,OR($N81=1,AND($N81=2,'#BerechnungDBE'!$AL72&gt;0)))))),IF(PJ$4&gt;=$AD$126,0,PT81),IF(PL$9=3,IF(OR(PJ$4&gt;=$AD$127,AND($G81=1,$J81=2,PJ$6=2),AND(PJ$6=1,$N81&lt;&gt;1)),0,IF(PN81&lt;=120,PT81,IF(PJ$4&lt;$AD$124,IF($F81=1,60/PL$4*PL$6,60/PL$4*PL$7),IF($F81=1,120/PL$4*PL$6,120/PL$4*PL$7)))),IF(OR($F81=3,$G81=2),IF(OR(AND(PJ$4&gt;=$AD$119,$C81=2),AND(PJ$4&gt;=$AF$119,$C81=1)),0,IF(PN81&lt;=60,PT81,60/PL$4*PL$7)),IF(AND($F81=2,$G81=1),PT81,0)))))</f>
        <v>0</v>
      </c>
      <c r="PW81" s="57" t="str">
        <f t="shared" si="659"/>
        <v/>
      </c>
      <c r="PX81" s="57" t="str">
        <f t="shared" si="660"/>
        <v/>
      </c>
      <c r="PY81" s="713">
        <f>'org. Düngung 22'!DP80</f>
        <v>0</v>
      </c>
      <c r="PZ81" s="57"/>
      <c r="QA81" s="57"/>
      <c r="QB81" s="57">
        <f t="shared" si="661"/>
        <v>0</v>
      </c>
      <c r="QC81" s="57">
        <f t="shared" si="821"/>
        <v>0</v>
      </c>
      <c r="QD81" s="57">
        <f t="shared" si="822"/>
        <v>0</v>
      </c>
      <c r="QE81" s="57">
        <f t="shared" si="823"/>
        <v>0</v>
      </c>
      <c r="QF81" s="57">
        <f t="shared" si="824"/>
        <v>0</v>
      </c>
      <c r="QG81" s="1029">
        <f t="shared" si="662"/>
        <v>0</v>
      </c>
      <c r="QH81" s="57">
        <f t="shared" si="663"/>
        <v>0</v>
      </c>
      <c r="QI81" s="171" t="str">
        <f t="shared" si="664"/>
        <v/>
      </c>
      <c r="QJ81" s="57">
        <f t="shared" si="825"/>
        <v>0</v>
      </c>
      <c r="QK81" s="57">
        <f>IF(OR(AND(PY$6=1,$L81=0),AND(PY$6=2,$K81=2,$G81=1)),0,IF(AND(QA$9=2,(OR($F81&gt;1,$K81=1,AND($L81=80,OR($N81=1,AND($N81=2,'#BerechnungDBE'!$AL72&gt;0)))))),IF(PY$4&gt;=$AD$126,0,QI81),IF(QA$9=3,IF(OR(PY$4&gt;=$AD$127,AND($G81=1,$J81=2,PY$6=2),AND(PY$6=1,$N81&lt;&gt;1)),0,IF(QC81&lt;=120,QI81,IF(PY$4&lt;$AD$124,IF($F81=1,60/QA$4*QA$6,60/QA$4*QA$7),IF($F81=1,120/QA$4*QA$6,120/QA$4*QA$7)))),IF(OR($F81=3,$G81=2),IF(OR(AND(PY$4&gt;=$AD$119,$C81=2),AND(PY$4&gt;=$AF$119,$C81=1)),0,IF(QC81&lt;=60,QI81,60/QA$4*QA$7)),IF(AND($F81=2,$G81=1),QI81,0)))))</f>
        <v>0</v>
      </c>
      <c r="QL81" s="57" t="str">
        <f t="shared" si="665"/>
        <v/>
      </c>
      <c r="QM81" s="57" t="str">
        <f t="shared" si="666"/>
        <v/>
      </c>
      <c r="QN81" s="713">
        <f>'org. Düngung 22'!DT80</f>
        <v>0</v>
      </c>
      <c r="QO81" s="57"/>
      <c r="QP81" s="57"/>
      <c r="QQ81" s="57">
        <f t="shared" si="667"/>
        <v>0</v>
      </c>
      <c r="QR81" s="57">
        <f t="shared" si="826"/>
        <v>0</v>
      </c>
      <c r="QS81" s="57">
        <f t="shared" si="827"/>
        <v>0</v>
      </c>
      <c r="QT81" s="57">
        <f t="shared" si="828"/>
        <v>0</v>
      </c>
      <c r="QU81" s="57">
        <f t="shared" si="829"/>
        <v>0</v>
      </c>
      <c r="QV81" s="1029">
        <f t="shared" si="668"/>
        <v>0</v>
      </c>
      <c r="QW81" s="57">
        <f t="shared" si="669"/>
        <v>0</v>
      </c>
      <c r="QX81" s="171" t="str">
        <f t="shared" si="670"/>
        <v/>
      </c>
      <c r="QY81" s="57">
        <f t="shared" si="830"/>
        <v>0</v>
      </c>
      <c r="QZ81" s="57">
        <f>IF(OR(AND(QN$6=1,$L81=0),AND(QN$6=2,$K81=2,$G81=1)),0,IF(AND(QP$9=2,(OR($F81&gt;1,$K81=1,AND($L81=80,OR($N81=1,AND($N81=2,'#BerechnungDBE'!$AL72&gt;0)))))),IF(QN$4&gt;=$AD$126,0,QX81),IF(QP$9=3,IF(OR(QN$4&gt;=$AD$127,AND($G81=1,$J81=2,QN$6=2),AND(QN$6=1,$N81&lt;&gt;1)),0,IF(QR81&lt;=120,QX81,IF(QN$4&lt;$AD$124,IF($F81=1,60/QP$4*QP$6,60/QP$4*QP$7),IF($F81=1,120/QP$4*QP$6,120/QP$4*QP$7)))),IF(OR($F81=3,$G81=2),IF(OR(AND(QN$4&gt;=$AD$119,$C81=2),AND(QN$4&gt;=$AF$119,$C81=1)),0,IF(QR81&lt;=60,QX81,60/QP$4*QP$7)),IF(AND($F81=2,$G81=1),QX81,0)))))</f>
        <v>0</v>
      </c>
      <c r="RA81" s="57" t="str">
        <f t="shared" si="671"/>
        <v/>
      </c>
      <c r="RB81" s="57" t="str">
        <f t="shared" si="672"/>
        <v/>
      </c>
      <c r="RC81" s="713">
        <f>'org. Düngung 22'!DX80</f>
        <v>0</v>
      </c>
      <c r="RD81" s="57"/>
      <c r="RE81" s="57"/>
      <c r="RF81" s="57">
        <f t="shared" si="673"/>
        <v>0</v>
      </c>
      <c r="RG81" s="57">
        <f t="shared" si="831"/>
        <v>0</v>
      </c>
      <c r="RH81" s="57">
        <f t="shared" si="832"/>
        <v>0</v>
      </c>
      <c r="RI81" s="57">
        <f t="shared" si="833"/>
        <v>0</v>
      </c>
      <c r="RJ81" s="57">
        <f t="shared" si="834"/>
        <v>0</v>
      </c>
      <c r="RK81" s="1029">
        <f t="shared" si="674"/>
        <v>0</v>
      </c>
      <c r="RL81" s="57">
        <f t="shared" si="675"/>
        <v>0</v>
      </c>
      <c r="RM81" s="171" t="str">
        <f t="shared" si="676"/>
        <v/>
      </c>
      <c r="RN81" s="57">
        <f t="shared" si="835"/>
        <v>0</v>
      </c>
      <c r="RO81" s="57">
        <f>IF(OR(AND(RC$6=1,$L81=0),AND(RC$6=2,$K81=2,$G81=1)),0,IF(AND(RE$9=2,(OR($F81&gt;1,$K81=1,AND($L81=80,OR($N81=1,AND($N81=2,'#BerechnungDBE'!$AL72&gt;0)))))),IF(RC$4&gt;=$AD$126,0,RM81),IF(RE$9=3,IF(OR(RC$4&gt;=$AD$127,AND($G81=1,$J81=2,RC$6=2),AND(RC$6=1,$N81&lt;&gt;1)),0,IF(RG81&lt;=120,RM81,IF(RC$4&lt;$AD$124,IF($F81=1,60/RE$4*RE$6,60/RE$4*RE$7),IF($F81=1,120/RE$4*RE$6,120/RE$4*RE$7)))),IF(OR($F81=3,$G81=2),IF(OR(AND(RC$4&gt;=$AD$119,$C81=2),AND(RC$4&gt;=$AF$119,$C81=1)),0,IF(RG81&lt;=60,RM81,60/RE$4*RE$7)),IF(AND($F81=2,$G81=1),RM81,0)))))</f>
        <v>0</v>
      </c>
      <c r="RP81" s="57" t="str">
        <f t="shared" si="677"/>
        <v/>
      </c>
      <c r="RQ81" s="57" t="str">
        <f t="shared" si="678"/>
        <v/>
      </c>
      <c r="RS81" s="57" t="str">
        <f t="shared" si="836"/>
        <v/>
      </c>
      <c r="RT81" s="57" t="str">
        <f t="shared" si="679"/>
        <v/>
      </c>
      <c r="RU81" s="57" t="str">
        <f t="shared" si="680"/>
        <v/>
      </c>
      <c r="RV81" s="57" t="str">
        <f>IF(Z81&gt;'#BerechnungDBE'!BM72,$RV$9,"")</f>
        <v/>
      </c>
      <c r="RW81" s="57" t="str">
        <f>IF(AND(L81=70,AE81&gt;'#BerechnungDBE'!CQ72),$RW$9,"")</f>
        <v/>
      </c>
      <c r="RX81" s="57" t="str">
        <f>IF(OR('org. Düngung 22'!G80="--",'org. Düngung 22'!G80&lt;=170,'org. Düngung 22'!G80=""),"",$RX$9)</f>
        <v/>
      </c>
      <c r="RY81" s="57" t="str">
        <f>IF('org. Düngung 22'!K80&gt;120,'#orgDung'!$RY$9,"")</f>
        <v/>
      </c>
      <c r="RZ81" s="57" t="str">
        <f>IF('#BerechnungDBE'!P72&lt;4,"",IF(AND('#BerechnungDBE'!BZ72&gt;0,T81&gt;0),'#orgDung'!$RZ$9,""))</f>
        <v/>
      </c>
      <c r="SA81" s="57" t="str">
        <f t="shared" si="681"/>
        <v/>
      </c>
    </row>
    <row r="82" spans="1:495" s="875" customFormat="1" x14ac:dyDescent="0.2">
      <c r="A82" s="875">
        <f>'Flächen u. Kulturen'!A78</f>
        <v>69</v>
      </c>
      <c r="B82" s="367">
        <f>'#BerechnungDBE'!L73</f>
        <v>0</v>
      </c>
      <c r="C82" s="875">
        <f>'#BerechnungDBE'!R73</f>
        <v>1</v>
      </c>
      <c r="D82" s="875">
        <f>'#BerechnungDBE'!T73</f>
        <v>2</v>
      </c>
      <c r="E82" s="875" t="str">
        <f>'Flächen u. Kulturen'!E78</f>
        <v>x</v>
      </c>
      <c r="F82" s="52">
        <f>'#BerechnungDBE'!N73</f>
        <v>1</v>
      </c>
      <c r="G82" s="52">
        <f>'#BerechnungDBE'!O73</f>
        <v>1</v>
      </c>
      <c r="H82" s="875">
        <f>IF('Flächen u. Kulturen'!P78="",0,VLOOKUP('Flächen u. Kulturen'!P78,Kulturen[[HF]:[Berechnungsgruppe]],'#Frucht'!$H$1,FALSE))</f>
        <v>0</v>
      </c>
      <c r="I82" s="875">
        <f>IF('Flächen u. Kulturen'!J78="",0,VLOOKUP('Flächen u. Kulturen'!J78,Kulturen[[HF]:[Berechnungsgruppe]],'#Frucht'!$G$1,FALSE))</f>
        <v>90</v>
      </c>
      <c r="J82" s="505">
        <f t="shared" si="682"/>
        <v>2</v>
      </c>
      <c r="K82" s="505">
        <f>IF('Flächen u. Kulturen'!P78="",0,IF(VLOOKUP('Flächen u. Kulturen'!P78,Kulturen[[HF]:[Saat Winterungen]],'#Frucht'!$P$1,FALSE)&gt;0,1,2))</f>
        <v>2</v>
      </c>
      <c r="L82" s="875">
        <f>'#BerechnungDBE'!AF73</f>
        <v>0</v>
      </c>
      <c r="M82" s="875">
        <f>IF('Flächen u. Kulturen'!L78="",0,VLOOKUP('Flächen u. Kulturen'!L78,Nebenkultur[[Nebenkultur]:[Legum. Zwischenfr.]],'#Zweitfr'!$K$1,FALSE))</f>
        <v>0</v>
      </c>
      <c r="N82" s="875">
        <f>'#BerechnungDBE'!AG73</f>
        <v>0</v>
      </c>
      <c r="P82" s="57">
        <f t="shared" si="489"/>
        <v>0</v>
      </c>
      <c r="Q82" s="57">
        <f t="shared" si="490"/>
        <v>0</v>
      </c>
      <c r="R82" s="875">
        <f t="shared" si="491"/>
        <v>0</v>
      </c>
      <c r="S82" s="938" t="str">
        <f t="shared" si="683"/>
        <v/>
      </c>
      <c r="T82" s="875">
        <f t="shared" si="492"/>
        <v>0</v>
      </c>
      <c r="U82" s="875">
        <f t="shared" si="493"/>
        <v>0</v>
      </c>
      <c r="V82" s="875">
        <f t="shared" si="494"/>
        <v>0</v>
      </c>
      <c r="W82" s="875">
        <f t="shared" si="495"/>
        <v>0</v>
      </c>
      <c r="X82" s="875">
        <f t="shared" si="496"/>
        <v>0</v>
      </c>
      <c r="Y82" s="875">
        <f t="shared" si="349"/>
        <v>0</v>
      </c>
      <c r="Z82" s="875">
        <f t="shared" si="350"/>
        <v>0</v>
      </c>
      <c r="AA82" s="910">
        <f t="shared" si="497"/>
        <v>0</v>
      </c>
      <c r="AB82" s="57">
        <f t="shared" si="351"/>
        <v>0</v>
      </c>
      <c r="AC82" s="875">
        <f t="shared" si="498"/>
        <v>0</v>
      </c>
      <c r="AD82" s="875">
        <f t="shared" si="499"/>
        <v>0</v>
      </c>
      <c r="AE82" s="875">
        <f t="shared" si="500"/>
        <v>0</v>
      </c>
      <c r="AF82" s="875">
        <f t="shared" si="352"/>
        <v>0</v>
      </c>
      <c r="AG82" s="875">
        <f>'org. Düngung 22'!J81</f>
        <v>0</v>
      </c>
      <c r="AH82" s="875">
        <f>'org. Düngung 22'!K81</f>
        <v>0</v>
      </c>
      <c r="AJ82" s="713">
        <f>'org. Düngung 22'!L81</f>
        <v>0</v>
      </c>
      <c r="AK82" s="57"/>
      <c r="AL82" s="57"/>
      <c r="AM82" s="57">
        <f t="shared" si="684"/>
        <v>0</v>
      </c>
      <c r="AN82" s="57">
        <f t="shared" si="685"/>
        <v>0</v>
      </c>
      <c r="AO82" s="57">
        <f t="shared" si="686"/>
        <v>0</v>
      </c>
      <c r="AP82" s="57">
        <f t="shared" si="687"/>
        <v>0</v>
      </c>
      <c r="AQ82" s="57">
        <f t="shared" si="688"/>
        <v>0</v>
      </c>
      <c r="AR82" s="1029">
        <f t="shared" si="501"/>
        <v>0</v>
      </c>
      <c r="AS82" s="57">
        <f t="shared" si="502"/>
        <v>0</v>
      </c>
      <c r="AT82" s="171" t="str">
        <f t="shared" si="503"/>
        <v/>
      </c>
      <c r="AU82" s="57">
        <f t="shared" si="689"/>
        <v>0</v>
      </c>
      <c r="AV82" s="57">
        <f>IF(OR(AND(AJ$6=1,$L82=0),AND(AJ$6=2,$K82=2,$G82=1)),0,IF(AND(AL$9=2,(OR($F82&gt;1,$K82=1,AND($L82=80,OR($N82=1,AND($N82=2,'#BerechnungDBE'!$AL73&gt;0)))))),IF(AJ$4&gt;=$AD$126,0,AT82),IF(AL$9=3,IF(OR(AJ$4&gt;=$AD$127,AND($G82=1,$J82=2,AJ$6=2),AND(AJ$6=1,$N82&lt;&gt;1)),0,IF(AN82&lt;=120,AT82,IF(AJ$4&lt;$AD$124,IF($F82=1,60/AL$4*AL$6,60/AL$4*AL$7),IF($F82=1,120/AL$4*AL$6,120/AL$4*AL$7)))),IF(OR($F82=3,$G82=2),IF(OR(AND(AJ$4&gt;=$AD$119,$C82=2),AND(AJ$4&gt;=$AF$119,$C82=1)),0,IF(AN82&lt;=60,AT82,60/AL$4*AL$7)),IF(AND($F82=2,$G82=1),AT82,0)))))</f>
        <v>0</v>
      </c>
      <c r="AW82" s="57" t="str">
        <f t="shared" si="690"/>
        <v/>
      </c>
      <c r="AX82" s="57" t="str">
        <f t="shared" si="504"/>
        <v/>
      </c>
      <c r="AY82" s="713">
        <f>'org. Düngung 22'!P81</f>
        <v>0</v>
      </c>
      <c r="AZ82" s="57"/>
      <c r="BA82" s="57"/>
      <c r="BB82" s="57">
        <f t="shared" si="505"/>
        <v>0</v>
      </c>
      <c r="BC82" s="57">
        <f t="shared" si="691"/>
        <v>0</v>
      </c>
      <c r="BD82" s="57">
        <f t="shared" si="692"/>
        <v>0</v>
      </c>
      <c r="BE82" s="57">
        <f t="shared" si="693"/>
        <v>0</v>
      </c>
      <c r="BF82" s="57">
        <f t="shared" si="694"/>
        <v>0</v>
      </c>
      <c r="BG82" s="1029">
        <f t="shared" si="506"/>
        <v>0</v>
      </c>
      <c r="BH82" s="57">
        <f t="shared" si="507"/>
        <v>0</v>
      </c>
      <c r="BI82" s="171" t="str">
        <f t="shared" si="508"/>
        <v/>
      </c>
      <c r="BJ82" s="57">
        <f t="shared" si="695"/>
        <v>0</v>
      </c>
      <c r="BK82" s="57">
        <f>IF(OR(AND(AY$6=1,$L82=0),AND(AY$6=2,$K82=2,$G82=1)),0,IF(AND(BA$9=2,(OR($F82&gt;1,$K82=1,AND($L82=80,OR($N82=1,AND($N82=2,'#BerechnungDBE'!$AL73&gt;0)))))),IF(AY$4&gt;=$AD$126,0,BI82),IF(BA$9=3,IF(OR(AY$4&gt;=$AD$127,AND($G82=1,$J82=2,AY$6=2),AND(AY$6=1,$N82&lt;&gt;1)),0,IF(BC82&lt;=120,BI82,IF(AY$4&lt;$AD$124,IF($F82=1,60/BA$4*BA$6,60/BA$4*BA$7),IF($F82=1,120/BA$4*BA$6,120/BA$4*BA$7)))),IF(OR($F82=3,$G82=2),IF(OR(AND(AY$4&gt;=$AD$119,$C82=2),AND(AY$4&gt;=$AF$119,$C82=1)),0,IF(BC82&lt;=60,BI82,60/BA$4*BA$7)),IF(AND($F82=2,$G82=1),BI82,0)))))</f>
        <v>0</v>
      </c>
      <c r="BL82" s="57" t="str">
        <f t="shared" si="509"/>
        <v/>
      </c>
      <c r="BM82" s="57" t="str">
        <f t="shared" si="510"/>
        <v/>
      </c>
      <c r="BN82" s="713">
        <f>'org. Düngung 22'!T81</f>
        <v>0</v>
      </c>
      <c r="BO82" s="57"/>
      <c r="BP82" s="57"/>
      <c r="BQ82" s="57">
        <f t="shared" si="511"/>
        <v>0</v>
      </c>
      <c r="BR82" s="57">
        <f t="shared" si="696"/>
        <v>0</v>
      </c>
      <c r="BS82" s="57">
        <f t="shared" si="697"/>
        <v>0</v>
      </c>
      <c r="BT82" s="57">
        <f t="shared" si="698"/>
        <v>0</v>
      </c>
      <c r="BU82" s="57">
        <f t="shared" si="699"/>
        <v>0</v>
      </c>
      <c r="BV82" s="1029">
        <f t="shared" si="512"/>
        <v>0</v>
      </c>
      <c r="BW82" s="57">
        <f t="shared" si="513"/>
        <v>0</v>
      </c>
      <c r="BX82" s="171" t="str">
        <f t="shared" si="514"/>
        <v/>
      </c>
      <c r="BY82" s="57">
        <f t="shared" si="700"/>
        <v>0</v>
      </c>
      <c r="BZ82" s="57">
        <f>IF(OR(AND(BN$6=1,$L82=0),AND(BN$6=2,$K82=2,$G82=1)),0,IF(AND(BP$9=2,(OR($F82&gt;1,$K82=1,AND($L82=80,OR($N82=1,AND($N82=2,'#BerechnungDBE'!$AL73&gt;0)))))),IF(BN$4&gt;=$AD$126,0,BX82),IF(BP$9=3,IF(OR(BN$4&gt;=$AD$127,AND($G82=1,$J82=2,BN$6=2),AND(BN$6=1,$N82&lt;&gt;1)),0,IF(BR82&lt;=120,BX82,IF(BN$4&lt;$AD$124,IF($F82=1,60/BP$4*BP$6,60/BP$4*BP$7),IF($F82=1,120/BP$4*BP$6,120/BP$4*BP$7)))),IF(OR($F82=3,$G82=2),IF(OR(AND(BN$4&gt;=$AD$119,$C82=2),AND(BN$4&gt;=$AF$119,$C82=1)),0,IF(BR82&lt;=60,BX82,60/BP$4*BP$7)),IF(AND($F82=2,$G82=1),BX82,0)))))</f>
        <v>0</v>
      </c>
      <c r="CA82" s="57" t="str">
        <f t="shared" si="515"/>
        <v/>
      </c>
      <c r="CB82" s="57" t="str">
        <f t="shared" si="516"/>
        <v/>
      </c>
      <c r="CC82" s="713">
        <f>'org. Düngung 22'!X81</f>
        <v>0</v>
      </c>
      <c r="CD82" s="57"/>
      <c r="CE82" s="57"/>
      <c r="CF82" s="57">
        <f t="shared" si="517"/>
        <v>0</v>
      </c>
      <c r="CG82" s="57">
        <f t="shared" si="701"/>
        <v>0</v>
      </c>
      <c r="CH82" s="57">
        <f t="shared" si="702"/>
        <v>0</v>
      </c>
      <c r="CI82" s="57">
        <f t="shared" si="703"/>
        <v>0</v>
      </c>
      <c r="CJ82" s="57">
        <f t="shared" si="704"/>
        <v>0</v>
      </c>
      <c r="CK82" s="1029">
        <f t="shared" si="518"/>
        <v>0</v>
      </c>
      <c r="CL82" s="57">
        <f t="shared" si="519"/>
        <v>0</v>
      </c>
      <c r="CM82" s="171" t="str">
        <f t="shared" si="520"/>
        <v/>
      </c>
      <c r="CN82" s="57">
        <f t="shared" si="705"/>
        <v>0</v>
      </c>
      <c r="CO82" s="57">
        <f>IF(OR(AND(CC$6=1,$L82=0),AND(CC$6=2,$K82=2,$G82=1)),0,IF(AND(CE$9=2,(OR($F82&gt;1,$K82=1,AND($L82=80,OR($N82=1,AND($N82=2,'#BerechnungDBE'!$AL73&gt;0)))))),IF(CC$4&gt;=$AD$126,0,CM82),IF(CE$9=3,IF(OR(CC$4&gt;=$AD$127,AND($G82=1,$J82=2,CC$6=2),AND(CC$6=1,$N82&lt;&gt;1)),0,IF(CG82&lt;=120,CM82,IF(CC$4&lt;$AD$124,IF($F82=1,60/CE$4*CE$6,60/CE$4*CE$7),IF($F82=1,120/CE$4*CE$6,120/CE$4*CE$7)))),IF(OR($F82=3,$G82=2),IF(OR(AND(CC$4&gt;=$AD$119,$C82=2),AND(CC$4&gt;=$AF$119,$C82=1)),0,IF(CG82&lt;=60,CM82,60/CE$4*CE$7)),IF(AND($F82=2,$G82=1),CM82,0)))))</f>
        <v>0</v>
      </c>
      <c r="CP82" s="57" t="str">
        <f t="shared" si="521"/>
        <v/>
      </c>
      <c r="CQ82" s="57" t="str">
        <f t="shared" si="522"/>
        <v/>
      </c>
      <c r="CR82" s="713">
        <f>'org. Düngung 22'!AB81</f>
        <v>0</v>
      </c>
      <c r="CS82" s="57"/>
      <c r="CT82" s="57"/>
      <c r="CU82" s="57">
        <f t="shared" si="523"/>
        <v>0</v>
      </c>
      <c r="CV82" s="57">
        <f t="shared" si="706"/>
        <v>0</v>
      </c>
      <c r="CW82" s="57">
        <f t="shared" si="707"/>
        <v>0</v>
      </c>
      <c r="CX82" s="57">
        <f t="shared" si="708"/>
        <v>0</v>
      </c>
      <c r="CY82" s="57">
        <f t="shared" si="709"/>
        <v>0</v>
      </c>
      <c r="CZ82" s="1029">
        <f t="shared" si="524"/>
        <v>0</v>
      </c>
      <c r="DA82" s="57">
        <f t="shared" si="525"/>
        <v>0</v>
      </c>
      <c r="DB82" s="171" t="str">
        <f t="shared" si="526"/>
        <v/>
      </c>
      <c r="DC82" s="57">
        <f t="shared" si="710"/>
        <v>0</v>
      </c>
      <c r="DD82" s="57">
        <f>IF(OR(AND(CR$6=1,$L82=0),AND(CR$6=2,$K82=2,$G82=1)),0,IF(AND(CT$9=2,(OR($F82&gt;1,$K82=1,AND($L82=80,OR($N82=1,AND($N82=2,'#BerechnungDBE'!$AL73&gt;0)))))),IF(CR$4&gt;=$AD$126,0,DB82),IF(CT$9=3,IF(OR(CR$4&gt;=$AD$127,AND($G82=1,$J82=2,CR$6=2),AND(CR$6=1,$N82&lt;&gt;1)),0,IF(CV82&lt;=120,DB82,IF(CR$4&lt;$AD$124,IF($F82=1,60/CT$4*CT$6,60/CT$4*CT$7),IF($F82=1,120/CT$4*CT$6,120/CT$4*CT$7)))),IF(OR($F82=3,$G82=2),IF(OR(AND(CR$4&gt;=$AD$119,$C82=2),AND(CR$4&gt;=$AF$119,$C82=1)),0,IF(CV82&lt;=60,DB82,60/CT$4*CT$7)),IF(AND($F82=2,$G82=1),DB82,0)))))</f>
        <v>0</v>
      </c>
      <c r="DE82" s="57" t="str">
        <f t="shared" si="527"/>
        <v/>
      </c>
      <c r="DF82" s="57" t="str">
        <f t="shared" si="528"/>
        <v/>
      </c>
      <c r="DG82" s="713">
        <f>'org. Düngung 22'!AF81</f>
        <v>0</v>
      </c>
      <c r="DH82" s="57"/>
      <c r="DI82" s="57"/>
      <c r="DJ82" s="57">
        <f t="shared" si="529"/>
        <v>0</v>
      </c>
      <c r="DK82" s="57">
        <f t="shared" si="711"/>
        <v>0</v>
      </c>
      <c r="DL82" s="57">
        <f t="shared" si="712"/>
        <v>0</v>
      </c>
      <c r="DM82" s="57">
        <f t="shared" si="713"/>
        <v>0</v>
      </c>
      <c r="DN82" s="57">
        <f t="shared" si="714"/>
        <v>0</v>
      </c>
      <c r="DO82" s="1029">
        <f t="shared" si="530"/>
        <v>0</v>
      </c>
      <c r="DP82" s="57">
        <f t="shared" si="531"/>
        <v>0</v>
      </c>
      <c r="DQ82" s="171" t="str">
        <f t="shared" si="532"/>
        <v/>
      </c>
      <c r="DR82" s="57">
        <f t="shared" si="715"/>
        <v>0</v>
      </c>
      <c r="DS82" s="57">
        <f>IF(OR(AND(DG$6=1,$L82=0),AND(DG$6=2,$K82=2,$G82=1)),0,IF(AND(DI$9=2,(OR($F82&gt;1,$K82=1,AND($L82=80,OR($N82=1,AND($N82=2,'#BerechnungDBE'!$AL73&gt;0)))))),IF(DG$4&gt;=$AD$126,0,DQ82),IF(DI$9=3,IF(OR(DG$4&gt;=$AD$127,AND($G82=1,$J82=2,DG$6=2),AND(DG$6=1,$N82&lt;&gt;1)),0,IF(DK82&lt;=120,DQ82,IF(DG$4&lt;$AD$124,IF($F82=1,60/DI$4*DI$6,60/DI$4*DI$7),IF($F82=1,120/DI$4*DI$6,120/DI$4*DI$7)))),IF(OR($F82=3,$G82=2),IF(OR(AND(DG$4&gt;=$AD$119,$C82=2),AND(DG$4&gt;=$AF$119,$C82=1)),0,IF(DK82&lt;=60,DQ82,60/DI$4*DI$7)),IF(AND($F82=2,$G82=1),DQ82,0)))))</f>
        <v>0</v>
      </c>
      <c r="DT82" s="57" t="str">
        <f t="shared" si="533"/>
        <v/>
      </c>
      <c r="DU82" s="57" t="str">
        <f t="shared" si="534"/>
        <v/>
      </c>
      <c r="DV82" s="713">
        <f>'org. Düngung 22'!AJ81</f>
        <v>0</v>
      </c>
      <c r="DW82" s="57"/>
      <c r="DX82" s="57"/>
      <c r="DY82" s="57">
        <f t="shared" si="535"/>
        <v>0</v>
      </c>
      <c r="DZ82" s="57">
        <f t="shared" si="716"/>
        <v>0</v>
      </c>
      <c r="EA82" s="57">
        <f t="shared" si="717"/>
        <v>0</v>
      </c>
      <c r="EB82" s="57">
        <f t="shared" si="718"/>
        <v>0</v>
      </c>
      <c r="EC82" s="57">
        <f t="shared" si="719"/>
        <v>0</v>
      </c>
      <c r="ED82" s="1029">
        <f t="shared" si="536"/>
        <v>0</v>
      </c>
      <c r="EE82" s="57">
        <f t="shared" si="537"/>
        <v>0</v>
      </c>
      <c r="EF82" s="171" t="str">
        <f t="shared" si="538"/>
        <v/>
      </c>
      <c r="EG82" s="57">
        <f t="shared" si="720"/>
        <v>0</v>
      </c>
      <c r="EH82" s="57">
        <f>IF(OR(AND(DV$6=1,$L82=0),AND(DV$6=2,$K82=2,$G82=1)),0,IF(AND(DX$9=2,(OR($F82&gt;1,$K82=1,AND($L82=80,OR($N82=1,AND($N82=2,'#BerechnungDBE'!$AL73&gt;0)))))),IF(DV$4&gt;=$AD$126,0,EF82),IF(DX$9=3,IF(OR(DV$4&gt;=$AD$127,AND($G82=1,$J82=2,DV$6=2),AND(DV$6=1,$N82&lt;&gt;1)),0,IF(DZ82&lt;=120,EF82,IF(DV$4&lt;$AD$124,IF($F82=1,60/DX$4*DX$6,60/DX$4*DX$7),IF($F82=1,120/DX$4*DX$6,120/DX$4*DX$7)))),IF(OR($F82=3,$G82=2),IF(OR(AND(DV$4&gt;=$AD$119,$C82=2),AND(DV$4&gt;=$AF$119,$C82=1)),0,IF(DZ82&lt;=60,EF82,60/DX$4*DX$7)),IF(AND($F82=2,$G82=1),EF82,0)))))</f>
        <v>0</v>
      </c>
      <c r="EI82" s="57" t="str">
        <f t="shared" si="539"/>
        <v/>
      </c>
      <c r="EJ82" s="57" t="str">
        <f t="shared" si="540"/>
        <v/>
      </c>
      <c r="EK82" s="713">
        <f>'org. Düngung 22'!AN81</f>
        <v>0</v>
      </c>
      <c r="EL82" s="57"/>
      <c r="EM82" s="57"/>
      <c r="EN82" s="57">
        <f t="shared" si="541"/>
        <v>0</v>
      </c>
      <c r="EO82" s="57">
        <f t="shared" si="721"/>
        <v>0</v>
      </c>
      <c r="EP82" s="57">
        <f t="shared" si="722"/>
        <v>0</v>
      </c>
      <c r="EQ82" s="57">
        <f t="shared" si="723"/>
        <v>0</v>
      </c>
      <c r="ER82" s="57">
        <f t="shared" si="724"/>
        <v>0</v>
      </c>
      <c r="ES82" s="1029">
        <f t="shared" si="542"/>
        <v>0</v>
      </c>
      <c r="ET82" s="57">
        <f t="shared" si="543"/>
        <v>0</v>
      </c>
      <c r="EU82" s="171" t="str">
        <f t="shared" si="544"/>
        <v/>
      </c>
      <c r="EV82" s="57">
        <f t="shared" si="725"/>
        <v>0</v>
      </c>
      <c r="EW82" s="57">
        <f>IF(OR(AND(EK$6=1,$L82=0),AND(EK$6=2,$K82=2,$G82=1)),0,IF(AND(EM$9=2,(OR($F82&gt;1,$K82=1,AND($L82=80,OR($N82=1,AND($N82=2,'#BerechnungDBE'!$AL73&gt;0)))))),IF(EK$4&gt;=$AD$126,0,EU82),IF(EM$9=3,IF(OR(EK$4&gt;=$AD$127,AND($G82=1,$J82=2,EK$6=2),AND(EK$6=1,$N82&lt;&gt;1)),0,IF(EO82&lt;=120,EU82,IF(EK$4&lt;$AD$124,IF($F82=1,60/EM$4*EM$6,60/EM$4*EM$7),IF($F82=1,120/EM$4*EM$6,120/EM$4*EM$7)))),IF(OR($F82=3,$G82=2),IF(OR(AND(EK$4&gt;=$AD$119,$C82=2),AND(EK$4&gt;=$AF$119,$C82=1)),0,IF(EO82&lt;=60,EU82,60/EM$4*EM$7)),IF(AND($F82=2,$G82=1),EU82,0)))))</f>
        <v>0</v>
      </c>
      <c r="EX82" s="57" t="str">
        <f t="shared" si="545"/>
        <v/>
      </c>
      <c r="EY82" s="57" t="str">
        <f t="shared" si="546"/>
        <v/>
      </c>
      <c r="EZ82" s="713">
        <f>'org. Düngung 22'!AR81</f>
        <v>0</v>
      </c>
      <c r="FA82" s="57"/>
      <c r="FB82" s="57"/>
      <c r="FC82" s="57">
        <f t="shared" si="547"/>
        <v>0</v>
      </c>
      <c r="FD82" s="57">
        <f t="shared" si="726"/>
        <v>0</v>
      </c>
      <c r="FE82" s="57">
        <f t="shared" si="727"/>
        <v>0</v>
      </c>
      <c r="FF82" s="57">
        <f t="shared" si="728"/>
        <v>0</v>
      </c>
      <c r="FG82" s="57">
        <f t="shared" si="729"/>
        <v>0</v>
      </c>
      <c r="FH82" s="1029">
        <f t="shared" si="548"/>
        <v>0</v>
      </c>
      <c r="FI82" s="57">
        <f t="shared" si="549"/>
        <v>0</v>
      </c>
      <c r="FJ82" s="171" t="str">
        <f t="shared" si="550"/>
        <v/>
      </c>
      <c r="FK82" s="57">
        <f t="shared" si="730"/>
        <v>0</v>
      </c>
      <c r="FL82" s="57">
        <f>IF(OR(AND(EZ$6=1,$L82=0),AND(EZ$6=2,$K82=2,$G82=1)),0,IF(AND(FB$9=2,(OR($F82&gt;1,$K82=1,AND($L82=80,OR($N82=1,AND($N82=2,'#BerechnungDBE'!$AL73&gt;0)))))),IF(EZ$4&gt;=$AD$126,0,FJ82),IF(FB$9=3,IF(OR(EZ$4&gt;=$AD$127,AND($G82=1,$J82=2,EZ$6=2),AND(EZ$6=1,$N82&lt;&gt;1)),0,IF(FD82&lt;=120,FJ82,IF(EZ$4&lt;$AD$124,IF($F82=1,60/FB$4*FB$6,60/FB$4*FB$7),IF($F82=1,120/FB$4*FB$6,120/FB$4*FB$7)))),IF(OR($F82=3,$G82=2),IF(OR(AND(EZ$4&gt;=$AD$119,$C82=2),AND(EZ$4&gt;=$AF$119,$C82=1)),0,IF(FD82&lt;=60,FJ82,60/FB$4*FB$7)),IF(AND($F82=2,$G82=1),FJ82,0)))))</f>
        <v>0</v>
      </c>
      <c r="FM82" s="57" t="str">
        <f t="shared" si="551"/>
        <v/>
      </c>
      <c r="FN82" s="57" t="str">
        <f t="shared" si="552"/>
        <v/>
      </c>
      <c r="FO82" s="713">
        <f>'org. Düngung 22'!AV81</f>
        <v>0</v>
      </c>
      <c r="FP82" s="57"/>
      <c r="FQ82" s="57"/>
      <c r="FR82" s="57">
        <f t="shared" si="553"/>
        <v>0</v>
      </c>
      <c r="FS82" s="57">
        <f t="shared" si="731"/>
        <v>0</v>
      </c>
      <c r="FT82" s="57">
        <f t="shared" si="732"/>
        <v>0</v>
      </c>
      <c r="FU82" s="57">
        <f t="shared" si="733"/>
        <v>0</v>
      </c>
      <c r="FV82" s="57">
        <f t="shared" si="734"/>
        <v>0</v>
      </c>
      <c r="FW82" s="1029">
        <f t="shared" si="554"/>
        <v>0</v>
      </c>
      <c r="FX82" s="57">
        <f t="shared" si="555"/>
        <v>0</v>
      </c>
      <c r="FY82" s="171" t="str">
        <f t="shared" si="556"/>
        <v/>
      </c>
      <c r="FZ82" s="57">
        <f t="shared" si="735"/>
        <v>0</v>
      </c>
      <c r="GA82" s="57">
        <f>IF(OR(AND(FO$6=1,$L82=0),AND(FO$6=2,$K82=2,$G82=1)),0,IF(AND(FQ$9=2,(OR($F82&gt;1,$K82=1,AND($L82=80,OR($N82=1,AND($N82=2,'#BerechnungDBE'!$AL73&gt;0)))))),IF(FO$4&gt;=$AD$126,0,FY82),IF(FQ$9=3,IF(OR(FO$4&gt;=$AD$127,AND($G82=1,$J82=2,FO$6=2),AND(FO$6=1,$N82&lt;&gt;1)),0,IF(FS82&lt;=120,FY82,IF(FO$4&lt;$AD$124,IF($F82=1,60/FQ$4*FQ$6,60/FQ$4*FQ$7),IF($F82=1,120/FQ$4*FQ$6,120/FQ$4*FQ$7)))),IF(OR($F82=3,$G82=2),IF(OR(AND(FO$4&gt;=$AD$119,$C82=2),AND(FO$4&gt;=$AF$119,$C82=1)),0,IF(FS82&lt;=60,FY82,60/FQ$4*FQ$7)),IF(AND($F82=2,$G82=1),FY82,0)))))</f>
        <v>0</v>
      </c>
      <c r="GB82" s="57" t="str">
        <f t="shared" si="557"/>
        <v/>
      </c>
      <c r="GC82" s="57" t="str">
        <f t="shared" si="558"/>
        <v/>
      </c>
      <c r="GD82" s="713">
        <f>'org. Düngung 22'!AZ81</f>
        <v>0</v>
      </c>
      <c r="GE82" s="57"/>
      <c r="GF82" s="57"/>
      <c r="GG82" s="57">
        <f t="shared" si="559"/>
        <v>0</v>
      </c>
      <c r="GH82" s="57">
        <f t="shared" si="736"/>
        <v>0</v>
      </c>
      <c r="GI82" s="57">
        <f t="shared" si="737"/>
        <v>0</v>
      </c>
      <c r="GJ82" s="57">
        <f t="shared" si="738"/>
        <v>0</v>
      </c>
      <c r="GK82" s="57">
        <f t="shared" si="739"/>
        <v>0</v>
      </c>
      <c r="GL82" s="1029">
        <f t="shared" si="560"/>
        <v>0</v>
      </c>
      <c r="GM82" s="57">
        <f t="shared" si="561"/>
        <v>0</v>
      </c>
      <c r="GN82" s="171" t="str">
        <f t="shared" si="562"/>
        <v/>
      </c>
      <c r="GO82" s="57">
        <f t="shared" si="740"/>
        <v>0</v>
      </c>
      <c r="GP82" s="57">
        <f>IF(OR(AND(GD$6=1,$L82=0),AND(GD$6=2,$K82=2,$G82=1)),0,IF(AND(GF$9=2,(OR($F82&gt;1,$K82=1,AND($L82=80,OR($N82=1,AND($N82=2,'#BerechnungDBE'!$AL73&gt;0)))))),IF(GD$4&gt;=$AD$126,0,GN82),IF(GF$9=3,IF(OR(GD$4&gt;=$AD$127,AND($G82=1,$J82=2,GD$6=2),AND(GD$6=1,$N82&lt;&gt;1)),0,IF(GH82&lt;=120,GN82,IF(GD$4&lt;$AD$124,IF($F82=1,60/GF$4*GF$6,60/GF$4*GF$7),IF($F82=1,120/GF$4*GF$6,120/GF$4*GF$7)))),IF(OR($F82=3,$G82=2),IF(OR(AND(GD$4&gt;=$AD$119,$C82=2),AND(GD$4&gt;=$AF$119,$C82=1)),0,IF(GH82&lt;=60,GN82,60/GF$4*GF$7)),IF(AND($F82=2,$G82=1),GN82,0)))))</f>
        <v>0</v>
      </c>
      <c r="GQ82" s="57" t="str">
        <f t="shared" si="563"/>
        <v/>
      </c>
      <c r="GR82" s="57" t="str">
        <f t="shared" si="564"/>
        <v/>
      </c>
      <c r="GS82" s="713">
        <f>'org. Düngung 22'!BD81</f>
        <v>0</v>
      </c>
      <c r="GT82" s="57"/>
      <c r="GU82" s="57"/>
      <c r="GV82" s="57">
        <f t="shared" si="565"/>
        <v>0</v>
      </c>
      <c r="GW82" s="57">
        <f t="shared" si="741"/>
        <v>0</v>
      </c>
      <c r="GX82" s="57">
        <f t="shared" si="742"/>
        <v>0</v>
      </c>
      <c r="GY82" s="57">
        <f t="shared" si="743"/>
        <v>0</v>
      </c>
      <c r="GZ82" s="57">
        <f t="shared" si="744"/>
        <v>0</v>
      </c>
      <c r="HA82" s="1029">
        <f t="shared" si="566"/>
        <v>0</v>
      </c>
      <c r="HB82" s="57">
        <f t="shared" si="567"/>
        <v>0</v>
      </c>
      <c r="HC82" s="171" t="str">
        <f t="shared" si="568"/>
        <v/>
      </c>
      <c r="HD82" s="57">
        <f t="shared" si="745"/>
        <v>0</v>
      </c>
      <c r="HE82" s="57">
        <f>IF(OR(AND(GS$6=1,$L82=0),AND(GS$6=2,$K82=2,$G82=1)),0,IF(AND(GU$9=2,(OR($F82&gt;1,$K82=1,AND($L82=80,OR($N82=1,AND($N82=2,'#BerechnungDBE'!$AL73&gt;0)))))),IF(GS$4&gt;=$AD$126,0,HC82),IF(GU$9=3,IF(OR(GS$4&gt;=$AD$127,AND($G82=1,$J82=2,GS$6=2),AND(GS$6=1,$N82&lt;&gt;1)),0,IF(GW82&lt;=120,HC82,IF(GS$4&lt;$AD$124,IF($F82=1,60/GU$4*GU$6,60/GU$4*GU$7),IF($F82=1,120/GU$4*GU$6,120/GU$4*GU$7)))),IF(OR($F82=3,$G82=2),IF(OR(AND(GS$4&gt;=$AD$119,$C82=2),AND(GS$4&gt;=$AF$119,$C82=1)),0,IF(GW82&lt;=60,HC82,60/GU$4*GU$7)),IF(AND($F82=2,$G82=1),HC82,0)))))</f>
        <v>0</v>
      </c>
      <c r="HF82" s="57" t="str">
        <f t="shared" si="569"/>
        <v/>
      </c>
      <c r="HG82" s="57" t="str">
        <f t="shared" si="570"/>
        <v/>
      </c>
      <c r="HH82" s="713">
        <f>'org. Düngung 22'!BH81</f>
        <v>0</v>
      </c>
      <c r="HI82" s="57"/>
      <c r="HJ82" s="57"/>
      <c r="HK82" s="57">
        <f t="shared" si="571"/>
        <v>0</v>
      </c>
      <c r="HL82" s="57">
        <f t="shared" si="746"/>
        <v>0</v>
      </c>
      <c r="HM82" s="57">
        <f t="shared" si="747"/>
        <v>0</v>
      </c>
      <c r="HN82" s="57">
        <f t="shared" si="748"/>
        <v>0</v>
      </c>
      <c r="HO82" s="57">
        <f t="shared" si="749"/>
        <v>0</v>
      </c>
      <c r="HP82" s="1029">
        <f t="shared" si="572"/>
        <v>0</v>
      </c>
      <c r="HQ82" s="57">
        <f t="shared" si="573"/>
        <v>0</v>
      </c>
      <c r="HR82" s="171" t="str">
        <f t="shared" si="574"/>
        <v/>
      </c>
      <c r="HS82" s="57">
        <f t="shared" si="750"/>
        <v>0</v>
      </c>
      <c r="HT82" s="57">
        <f>IF(OR(AND(HH$6=1,$L82=0),AND(HH$6=2,$K82=2,$G82=1)),0,IF(AND(HJ$9=2,(OR($F82&gt;1,$K82=1,AND($L82=80,OR($N82=1,AND($N82=2,'#BerechnungDBE'!$AL73&gt;0)))))),IF(HH$4&gt;=$AD$126,0,HR82),IF(HJ$9=3,IF(OR(HH$4&gt;=$AD$127,AND($G82=1,$J82=2,HH$6=2),AND(HH$6=1,$N82&lt;&gt;1)),0,IF(HL82&lt;=120,HR82,IF(HH$4&lt;$AD$124,IF($F82=1,60/HJ$4*HJ$6,60/HJ$4*HJ$7),IF($F82=1,120/HJ$4*HJ$6,120/HJ$4*HJ$7)))),IF(OR($F82=3,$G82=2),IF(OR(AND(HH$4&gt;=$AD$119,$C82=2),AND(HH$4&gt;=$AF$119,$C82=1)),0,IF(HL82&lt;=60,HR82,60/HJ$4*HJ$7)),IF(AND($F82=2,$G82=1),HR82,0)))))</f>
        <v>0</v>
      </c>
      <c r="HU82" s="57" t="str">
        <f t="shared" si="575"/>
        <v/>
      </c>
      <c r="HV82" s="57" t="str">
        <f t="shared" si="576"/>
        <v/>
      </c>
      <c r="HW82" s="713">
        <f>'org. Düngung 22'!BL81</f>
        <v>0</v>
      </c>
      <c r="HX82" s="57"/>
      <c r="HY82" s="57"/>
      <c r="HZ82" s="57">
        <f t="shared" si="577"/>
        <v>0</v>
      </c>
      <c r="IA82" s="57">
        <f t="shared" si="751"/>
        <v>0</v>
      </c>
      <c r="IB82" s="57">
        <f t="shared" si="752"/>
        <v>0</v>
      </c>
      <c r="IC82" s="57">
        <f t="shared" si="753"/>
        <v>0</v>
      </c>
      <c r="ID82" s="57">
        <f t="shared" si="754"/>
        <v>0</v>
      </c>
      <c r="IE82" s="1029">
        <f t="shared" si="578"/>
        <v>0</v>
      </c>
      <c r="IF82" s="57">
        <f t="shared" si="579"/>
        <v>0</v>
      </c>
      <c r="IG82" s="171" t="str">
        <f t="shared" si="580"/>
        <v/>
      </c>
      <c r="IH82" s="57">
        <f t="shared" si="755"/>
        <v>0</v>
      </c>
      <c r="II82" s="57">
        <f>IF(OR(AND(HW$6=1,$L82=0),AND(HW$6=2,$K82=2,$G82=1)),0,IF(AND(HY$9=2,(OR($F82&gt;1,$K82=1,AND($L82=80,OR($N82=1,AND($N82=2,'#BerechnungDBE'!$AL73&gt;0)))))),IF(HW$4&gt;=$AD$126,0,IG82),IF(HY$9=3,IF(OR(HW$4&gt;=$AD$127,AND($G82=1,$J82=2,HW$6=2),AND(HW$6=1,$N82&lt;&gt;1)),0,IF(IA82&lt;=120,IG82,IF(HW$4&lt;$AD$124,IF($F82=1,60/HY$4*HY$6,60/HY$4*HY$7),IF($F82=1,120/HY$4*HY$6,120/HY$4*HY$7)))),IF(OR($F82=3,$G82=2),IF(OR(AND(HW$4&gt;=$AD$119,$C82=2),AND(HW$4&gt;=$AF$119,$C82=1)),0,IF(IA82&lt;=60,IG82,60/HY$4*HY$7)),IF(AND($F82=2,$G82=1),IG82,0)))))</f>
        <v>0</v>
      </c>
      <c r="IJ82" s="57" t="str">
        <f t="shared" si="581"/>
        <v/>
      </c>
      <c r="IK82" s="57" t="str">
        <f t="shared" si="582"/>
        <v/>
      </c>
      <c r="IL82" s="713">
        <f>'org. Düngung 22'!BP81</f>
        <v>0</v>
      </c>
      <c r="IM82" s="57"/>
      <c r="IN82" s="57"/>
      <c r="IO82" s="57">
        <f t="shared" si="583"/>
        <v>0</v>
      </c>
      <c r="IP82" s="57">
        <f t="shared" si="756"/>
        <v>0</v>
      </c>
      <c r="IQ82" s="57">
        <f t="shared" si="757"/>
        <v>0</v>
      </c>
      <c r="IR82" s="57">
        <f t="shared" si="758"/>
        <v>0</v>
      </c>
      <c r="IS82" s="57">
        <f t="shared" si="759"/>
        <v>0</v>
      </c>
      <c r="IT82" s="1029">
        <f t="shared" si="584"/>
        <v>0</v>
      </c>
      <c r="IU82" s="57">
        <f t="shared" si="585"/>
        <v>0</v>
      </c>
      <c r="IV82" s="171" t="str">
        <f t="shared" si="586"/>
        <v/>
      </c>
      <c r="IW82" s="57">
        <f t="shared" si="760"/>
        <v>0</v>
      </c>
      <c r="IX82" s="57">
        <f>IF(OR(AND(IL$6=1,$L82=0),AND(IL$6=2,$K82=2,$G82=1)),0,IF(AND(IN$9=2,(OR($F82&gt;1,$K82=1,AND($L82=80,OR($N82=1,AND($N82=2,'#BerechnungDBE'!$AL73&gt;0)))))),IF(IL$4&gt;=$AD$126,0,IV82),IF(IN$9=3,IF(OR(IL$4&gt;=$AD$127,AND($G82=1,$J82=2,IL$6=2),AND(IL$6=1,$N82&lt;&gt;1)),0,IF(IP82&lt;=120,IV82,IF(IL$4&lt;$AD$124,IF($F82=1,60/IN$4*IN$6,60/IN$4*IN$7),IF($F82=1,120/IN$4*IN$6,120/IN$4*IN$7)))),IF(OR($F82=3,$G82=2),IF(OR(AND(IL$4&gt;=$AD$119,$C82=2),AND(IL$4&gt;=$AF$119,$C82=1)),0,IF(IP82&lt;=60,IV82,60/IN$4*IN$7)),IF(AND($F82=2,$G82=1),IV82,0)))))</f>
        <v>0</v>
      </c>
      <c r="IY82" s="57" t="str">
        <f t="shared" si="587"/>
        <v/>
      </c>
      <c r="IZ82" s="57" t="str">
        <f t="shared" si="588"/>
        <v/>
      </c>
      <c r="JA82" s="713">
        <f>'org. Düngung 22'!BT81</f>
        <v>0</v>
      </c>
      <c r="JB82" s="57"/>
      <c r="JC82" s="57"/>
      <c r="JD82" s="57">
        <f t="shared" si="589"/>
        <v>0</v>
      </c>
      <c r="JE82" s="57">
        <f t="shared" si="761"/>
        <v>0</v>
      </c>
      <c r="JF82" s="57">
        <f t="shared" si="762"/>
        <v>0</v>
      </c>
      <c r="JG82" s="57">
        <f t="shared" si="763"/>
        <v>0</v>
      </c>
      <c r="JH82" s="57">
        <f t="shared" si="764"/>
        <v>0</v>
      </c>
      <c r="JI82" s="1029">
        <f t="shared" si="590"/>
        <v>0</v>
      </c>
      <c r="JJ82" s="57">
        <f t="shared" si="591"/>
        <v>0</v>
      </c>
      <c r="JK82" s="171" t="str">
        <f t="shared" si="592"/>
        <v/>
      </c>
      <c r="JL82" s="57">
        <f t="shared" si="765"/>
        <v>0</v>
      </c>
      <c r="JM82" s="57">
        <f>IF(OR(AND(JA$6=1,$L82=0),AND(JA$6=2,$K82=2,$G82=1)),0,IF(AND(JC$9=2,(OR($F82&gt;1,$K82=1,AND($L82=80,OR($N82=1,AND($N82=2,'#BerechnungDBE'!$AL73&gt;0)))))),IF(JA$4&gt;=$AD$126,0,JK82),IF(JC$9=3,IF(OR(JA$4&gt;=$AD$127,AND($G82=1,$J82=2,JA$6=2),AND(JA$6=1,$N82&lt;&gt;1)),0,IF(JE82&lt;=120,JK82,IF(JA$4&lt;$AD$124,IF($F82=1,60/JC$4*JC$6,60/JC$4*JC$7),IF($F82=1,120/JC$4*JC$6,120/JC$4*JC$7)))),IF(OR($F82=3,$G82=2),IF(OR(AND(JA$4&gt;=$AD$119,$C82=2),AND(JA$4&gt;=$AF$119,$C82=1)),0,IF(JE82&lt;=60,JK82,60/JC$4*JC$7)),IF(AND($F82=2,$G82=1),JK82,0)))))</f>
        <v>0</v>
      </c>
      <c r="JN82" s="57" t="str">
        <f t="shared" si="593"/>
        <v/>
      </c>
      <c r="JO82" s="57" t="str">
        <f t="shared" si="594"/>
        <v/>
      </c>
      <c r="JP82" s="713">
        <f>'org. Düngung 22'!BX81</f>
        <v>0</v>
      </c>
      <c r="JQ82" s="57"/>
      <c r="JR82" s="57"/>
      <c r="JS82" s="57">
        <f t="shared" si="595"/>
        <v>0</v>
      </c>
      <c r="JT82" s="57">
        <f t="shared" si="766"/>
        <v>0</v>
      </c>
      <c r="JU82" s="57">
        <f t="shared" si="767"/>
        <v>0</v>
      </c>
      <c r="JV82" s="57">
        <f t="shared" si="768"/>
        <v>0</v>
      </c>
      <c r="JW82" s="57">
        <f t="shared" si="769"/>
        <v>0</v>
      </c>
      <c r="JX82" s="1029">
        <f t="shared" si="596"/>
        <v>0</v>
      </c>
      <c r="JY82" s="57">
        <f t="shared" si="597"/>
        <v>0</v>
      </c>
      <c r="JZ82" s="171" t="str">
        <f t="shared" si="598"/>
        <v/>
      </c>
      <c r="KA82" s="57">
        <f t="shared" si="770"/>
        <v>0</v>
      </c>
      <c r="KB82" s="57">
        <f>IF(OR(AND(JP$6=1,$L82=0),AND(JP$6=2,$K82=2,$G82=1)),0,IF(AND(JR$9=2,(OR($F82&gt;1,$K82=1,AND($L82=80,OR($N82=1,AND($N82=2,'#BerechnungDBE'!$AL73&gt;0)))))),IF(JP$4&gt;=$AD$126,0,JZ82),IF(JR$9=3,IF(OR(JP$4&gt;=$AD$127,AND($G82=1,$J82=2,JP$6=2),AND(JP$6=1,$N82&lt;&gt;1)),0,IF(JT82&lt;=120,JZ82,IF(JP$4&lt;$AD$124,IF($F82=1,60/JR$4*JR$6,60/JR$4*JR$7),IF($F82=1,120/JR$4*JR$6,120/JR$4*JR$7)))),IF(OR($F82=3,$G82=2),IF(OR(AND(JP$4&gt;=$AD$119,$C82=2),AND(JP$4&gt;=$AF$119,$C82=1)),0,IF(JT82&lt;=60,JZ82,60/JR$4*JR$7)),IF(AND($F82=2,$G82=1),JZ82,0)))))</f>
        <v>0</v>
      </c>
      <c r="KC82" s="57" t="str">
        <f t="shared" si="599"/>
        <v/>
      </c>
      <c r="KD82" s="57" t="str">
        <f t="shared" si="600"/>
        <v/>
      </c>
      <c r="KE82" s="713">
        <f>'org. Düngung 22'!CB81</f>
        <v>0</v>
      </c>
      <c r="KF82" s="57"/>
      <c r="KG82" s="57"/>
      <c r="KH82" s="57">
        <f t="shared" si="601"/>
        <v>0</v>
      </c>
      <c r="KI82" s="57">
        <f t="shared" si="771"/>
        <v>0</v>
      </c>
      <c r="KJ82" s="57">
        <f t="shared" si="772"/>
        <v>0</v>
      </c>
      <c r="KK82" s="57">
        <f t="shared" si="773"/>
        <v>0</v>
      </c>
      <c r="KL82" s="57">
        <f t="shared" si="774"/>
        <v>0</v>
      </c>
      <c r="KM82" s="1029">
        <f t="shared" si="602"/>
        <v>0</v>
      </c>
      <c r="KN82" s="57">
        <f t="shared" si="603"/>
        <v>0</v>
      </c>
      <c r="KO82" s="171" t="str">
        <f t="shared" si="604"/>
        <v/>
      </c>
      <c r="KP82" s="57">
        <f t="shared" si="775"/>
        <v>0</v>
      </c>
      <c r="KQ82" s="57">
        <f>IF(OR(AND(KE$6=1,$L82=0),AND(KE$6=2,$K82=2,$G82=1)),0,IF(AND(KG$9=2,(OR($F82&gt;1,$K82=1,AND($L82=80,OR($N82=1,AND($N82=2,'#BerechnungDBE'!$AL73&gt;0)))))),IF(KE$4&gt;=$AD$126,0,KO82),IF(KG$9=3,IF(OR(KE$4&gt;=$AD$127,AND($G82=1,$J82=2,KE$6=2),AND(KE$6=1,$N82&lt;&gt;1)),0,IF(KI82&lt;=120,KO82,IF(KE$4&lt;$AD$124,IF($F82=1,60/KG$4*KG$6,60/KG$4*KG$7),IF($F82=1,120/KG$4*KG$6,120/KG$4*KG$7)))),IF(OR($F82=3,$G82=2),IF(OR(AND(KE$4&gt;=$AD$119,$C82=2),AND(KE$4&gt;=$AF$119,$C82=1)),0,IF(KI82&lt;=60,KO82,60/KG$4*KG$7)),IF(AND($F82=2,$G82=1),KO82,0)))))</f>
        <v>0</v>
      </c>
      <c r="KR82" s="57" t="str">
        <f t="shared" si="605"/>
        <v/>
      </c>
      <c r="KS82" s="57" t="str">
        <f t="shared" si="606"/>
        <v/>
      </c>
      <c r="KT82" s="713">
        <f>'org. Düngung 22'!CF81</f>
        <v>0</v>
      </c>
      <c r="KU82" s="57"/>
      <c r="KV82" s="57"/>
      <c r="KW82" s="57">
        <f t="shared" si="607"/>
        <v>0</v>
      </c>
      <c r="KX82" s="57">
        <f t="shared" si="776"/>
        <v>0</v>
      </c>
      <c r="KY82" s="57">
        <f t="shared" si="777"/>
        <v>0</v>
      </c>
      <c r="KZ82" s="57">
        <f t="shared" si="778"/>
        <v>0</v>
      </c>
      <c r="LA82" s="57">
        <f t="shared" si="779"/>
        <v>0</v>
      </c>
      <c r="LB82" s="1029">
        <f t="shared" si="608"/>
        <v>0</v>
      </c>
      <c r="LC82" s="57">
        <f t="shared" si="609"/>
        <v>0</v>
      </c>
      <c r="LD82" s="171" t="str">
        <f t="shared" si="610"/>
        <v/>
      </c>
      <c r="LE82" s="57">
        <f t="shared" si="780"/>
        <v>0</v>
      </c>
      <c r="LF82" s="57">
        <f>IF(OR(AND(KT$6=1,$L82=0),AND(KT$6=2,$K82=2,$G82=1)),0,IF(AND(KV$9=2,(OR($F82&gt;1,$K82=1,AND($L82=80,OR($N82=1,AND($N82=2,'#BerechnungDBE'!$AL73&gt;0)))))),IF(KT$4&gt;=$AD$126,0,LD82),IF(KV$9=3,IF(OR(KT$4&gt;=$AD$127,AND($G82=1,$J82=2,KT$6=2),AND(KT$6=1,$N82&lt;&gt;1)),0,IF(KX82&lt;=120,LD82,IF(KT$4&lt;$AD$124,IF($F82=1,60/KV$4*KV$6,60/KV$4*KV$7),IF($F82=1,120/KV$4*KV$6,120/KV$4*KV$7)))),IF(OR($F82=3,$G82=2),IF(OR(AND(KT$4&gt;=$AD$119,$C82=2),AND(KT$4&gt;=$AF$119,$C82=1)),0,IF(KX82&lt;=60,LD82,60/KV$4*KV$7)),IF(AND($F82=2,$G82=1),LD82,0)))))</f>
        <v>0</v>
      </c>
      <c r="LG82" s="57" t="str">
        <f t="shared" si="611"/>
        <v/>
      </c>
      <c r="LH82" s="57" t="str">
        <f t="shared" si="612"/>
        <v/>
      </c>
      <c r="LI82" s="713">
        <f>'org. Düngung 22'!CJ81</f>
        <v>0</v>
      </c>
      <c r="LJ82" s="57"/>
      <c r="LK82" s="57"/>
      <c r="LL82" s="57">
        <f t="shared" si="613"/>
        <v>0</v>
      </c>
      <c r="LM82" s="57">
        <f t="shared" si="781"/>
        <v>0</v>
      </c>
      <c r="LN82" s="57">
        <f t="shared" si="782"/>
        <v>0</v>
      </c>
      <c r="LO82" s="57">
        <f t="shared" si="783"/>
        <v>0</v>
      </c>
      <c r="LP82" s="57">
        <f t="shared" si="784"/>
        <v>0</v>
      </c>
      <c r="LQ82" s="1029">
        <f t="shared" si="614"/>
        <v>0</v>
      </c>
      <c r="LR82" s="57">
        <f t="shared" si="615"/>
        <v>0</v>
      </c>
      <c r="LS82" s="171" t="str">
        <f t="shared" si="616"/>
        <v/>
      </c>
      <c r="LT82" s="57">
        <f t="shared" si="785"/>
        <v>0</v>
      </c>
      <c r="LU82" s="57">
        <f>IF(OR(AND(LI$6=1,$L82=0),AND(LI$6=2,$K82=2,$G82=1)),0,IF(AND(LK$9=2,(OR($F82&gt;1,$K82=1,AND($L82=80,OR($N82=1,AND($N82=2,'#BerechnungDBE'!$AL73&gt;0)))))),IF(LI$4&gt;=$AD$126,0,LS82),IF(LK$9=3,IF(OR(LI$4&gt;=$AD$127,AND($G82=1,$J82=2,LI$6=2),AND(LI$6=1,$N82&lt;&gt;1)),0,IF(LM82&lt;=120,LS82,IF(LI$4&lt;$AD$124,IF($F82=1,60/LK$4*LK$6,60/LK$4*LK$7),IF($F82=1,120/LK$4*LK$6,120/LK$4*LK$7)))),IF(OR($F82=3,$G82=2),IF(OR(AND(LI$4&gt;=$AD$119,$C82=2),AND(LI$4&gt;=$AF$119,$C82=1)),0,IF(LM82&lt;=60,LS82,60/LK$4*LK$7)),IF(AND($F82=2,$G82=1),LS82,0)))))</f>
        <v>0</v>
      </c>
      <c r="LV82" s="57" t="str">
        <f t="shared" si="617"/>
        <v/>
      </c>
      <c r="LW82" s="57" t="str">
        <f t="shared" si="618"/>
        <v/>
      </c>
      <c r="LX82" s="713">
        <f>'org. Düngung 22'!CN81</f>
        <v>0</v>
      </c>
      <c r="LY82" s="57"/>
      <c r="LZ82" s="57"/>
      <c r="MA82" s="57">
        <f t="shared" si="619"/>
        <v>0</v>
      </c>
      <c r="MB82" s="57">
        <f t="shared" si="786"/>
        <v>0</v>
      </c>
      <c r="MC82" s="57">
        <f t="shared" si="787"/>
        <v>0</v>
      </c>
      <c r="MD82" s="57">
        <f t="shared" si="788"/>
        <v>0</v>
      </c>
      <c r="ME82" s="57">
        <f t="shared" si="789"/>
        <v>0</v>
      </c>
      <c r="MF82" s="1029">
        <f t="shared" si="620"/>
        <v>0</v>
      </c>
      <c r="MG82" s="57">
        <f t="shared" si="621"/>
        <v>0</v>
      </c>
      <c r="MH82" s="171" t="str">
        <f t="shared" si="622"/>
        <v/>
      </c>
      <c r="MI82" s="57">
        <f t="shared" si="790"/>
        <v>0</v>
      </c>
      <c r="MJ82" s="57">
        <f>IF(OR(AND(LX$6=1,$L82=0),AND(LX$6=2,$K82=2,$G82=1)),0,IF(AND(LZ$9=2,(OR($F82&gt;1,$K82=1,AND($L82=80,OR($N82=1,AND($N82=2,'#BerechnungDBE'!$AL73&gt;0)))))),IF(LX$4&gt;=$AD$126,0,MH82),IF(LZ$9=3,IF(OR(LX$4&gt;=$AD$127,AND($G82=1,$J82=2,LX$6=2),AND(LX$6=1,$N82&lt;&gt;1)),0,IF(MB82&lt;=120,MH82,IF(LX$4&lt;$AD$124,IF($F82=1,60/LZ$4*LZ$6,60/LZ$4*LZ$7),IF($F82=1,120/LZ$4*LZ$6,120/LZ$4*LZ$7)))),IF(OR($F82=3,$G82=2),IF(OR(AND(LX$4&gt;=$AD$119,$C82=2),AND(LX$4&gt;=$AF$119,$C82=1)),0,IF(MB82&lt;=60,MH82,60/LZ$4*LZ$7)),IF(AND($F82=2,$G82=1),MH82,0)))))</f>
        <v>0</v>
      </c>
      <c r="MK82" s="57" t="str">
        <f t="shared" si="623"/>
        <v/>
      </c>
      <c r="ML82" s="57" t="str">
        <f t="shared" si="624"/>
        <v/>
      </c>
      <c r="MM82" s="713">
        <f>'org. Düngung 22'!CR81</f>
        <v>0</v>
      </c>
      <c r="MN82" s="57"/>
      <c r="MO82" s="57"/>
      <c r="MP82" s="57">
        <f t="shared" si="625"/>
        <v>0</v>
      </c>
      <c r="MQ82" s="57">
        <f t="shared" si="791"/>
        <v>0</v>
      </c>
      <c r="MR82" s="57">
        <f t="shared" si="792"/>
        <v>0</v>
      </c>
      <c r="MS82" s="57">
        <f t="shared" si="793"/>
        <v>0</v>
      </c>
      <c r="MT82" s="57">
        <f t="shared" si="794"/>
        <v>0</v>
      </c>
      <c r="MU82" s="1029">
        <f t="shared" si="626"/>
        <v>0</v>
      </c>
      <c r="MV82" s="57">
        <f t="shared" si="627"/>
        <v>0</v>
      </c>
      <c r="MW82" s="171" t="str">
        <f t="shared" si="628"/>
        <v/>
      </c>
      <c r="MX82" s="57">
        <f t="shared" si="795"/>
        <v>0</v>
      </c>
      <c r="MY82" s="57">
        <f>IF(OR(AND(MM$6=1,$L82=0),AND(MM$6=2,$K82=2,$G82=1)),0,IF(AND(MO$9=2,(OR($F82&gt;1,$K82=1,AND($L82=80,OR($N82=1,AND($N82=2,'#BerechnungDBE'!$AL73&gt;0)))))),IF(MM$4&gt;=$AD$126,0,MW82),IF(MO$9=3,IF(OR(MM$4&gt;=$AD$127,AND($G82=1,$J82=2,MM$6=2),AND(MM$6=1,$N82&lt;&gt;1)),0,IF(MQ82&lt;=120,MW82,IF(MM$4&lt;$AD$124,IF($F82=1,60/MO$4*MO$6,60/MO$4*MO$7),IF($F82=1,120/MO$4*MO$6,120/MO$4*MO$7)))),IF(OR($F82=3,$G82=2),IF(OR(AND(MM$4&gt;=$AD$119,$C82=2),AND(MM$4&gt;=$AF$119,$C82=1)),0,IF(MQ82&lt;=60,MW82,60/MO$4*MO$7)),IF(AND($F82=2,$G82=1),MW82,0)))))</f>
        <v>0</v>
      </c>
      <c r="MZ82" s="57" t="str">
        <f t="shared" si="629"/>
        <v/>
      </c>
      <c r="NA82" s="57" t="str">
        <f t="shared" si="630"/>
        <v/>
      </c>
      <c r="NB82" s="713">
        <f>'org. Düngung 22'!CV81</f>
        <v>0</v>
      </c>
      <c r="NC82" s="57"/>
      <c r="ND82" s="57"/>
      <c r="NE82" s="57">
        <f t="shared" si="631"/>
        <v>0</v>
      </c>
      <c r="NF82" s="57">
        <f t="shared" si="796"/>
        <v>0</v>
      </c>
      <c r="NG82" s="57">
        <f t="shared" si="797"/>
        <v>0</v>
      </c>
      <c r="NH82" s="57">
        <f t="shared" si="798"/>
        <v>0</v>
      </c>
      <c r="NI82" s="57">
        <f t="shared" si="799"/>
        <v>0</v>
      </c>
      <c r="NJ82" s="1029">
        <f t="shared" si="632"/>
        <v>0</v>
      </c>
      <c r="NK82" s="57">
        <f t="shared" si="633"/>
        <v>0</v>
      </c>
      <c r="NL82" s="171" t="str">
        <f t="shared" si="634"/>
        <v/>
      </c>
      <c r="NM82" s="57">
        <f t="shared" si="800"/>
        <v>0</v>
      </c>
      <c r="NN82" s="57">
        <f>IF(OR(AND(NB$6=1,$L82=0),AND(NB$6=2,$K82=2,$G82=1)),0,IF(AND(ND$9=2,(OR($F82&gt;1,$K82=1,AND($L82=80,OR($N82=1,AND($N82=2,'#BerechnungDBE'!$AL73&gt;0)))))),IF(NB$4&gt;=$AD$126,0,NL82),IF(ND$9=3,IF(OR(NB$4&gt;=$AD$127,AND($G82=1,$J82=2,NB$6=2),AND(NB$6=1,$N82&lt;&gt;1)),0,IF(NF82&lt;=120,NL82,IF(NB$4&lt;$AD$124,IF($F82=1,60/ND$4*ND$6,60/ND$4*ND$7),IF($F82=1,120/ND$4*ND$6,120/ND$4*ND$7)))),IF(OR($F82=3,$G82=2),IF(OR(AND(NB$4&gt;=$AD$119,$C82=2),AND(NB$4&gt;=$AF$119,$C82=1)),0,IF(NF82&lt;=60,NL82,60/ND$4*ND$7)),IF(AND($F82=2,$G82=1),NL82,0)))))</f>
        <v>0</v>
      </c>
      <c r="NO82" s="57" t="str">
        <f t="shared" si="635"/>
        <v/>
      </c>
      <c r="NP82" s="57" t="str">
        <f t="shared" si="636"/>
        <v/>
      </c>
      <c r="NQ82" s="713">
        <f>'org. Düngung 22'!CZ81</f>
        <v>0</v>
      </c>
      <c r="NR82" s="57"/>
      <c r="NS82" s="57"/>
      <c r="NT82" s="57">
        <f t="shared" si="637"/>
        <v>0</v>
      </c>
      <c r="NU82" s="57">
        <f t="shared" si="801"/>
        <v>0</v>
      </c>
      <c r="NV82" s="57">
        <f t="shared" si="802"/>
        <v>0</v>
      </c>
      <c r="NW82" s="57">
        <f t="shared" si="803"/>
        <v>0</v>
      </c>
      <c r="NX82" s="57">
        <f t="shared" si="804"/>
        <v>0</v>
      </c>
      <c r="NY82" s="1029">
        <f t="shared" si="638"/>
        <v>0</v>
      </c>
      <c r="NZ82" s="57">
        <f t="shared" si="639"/>
        <v>0</v>
      </c>
      <c r="OA82" s="171" t="str">
        <f t="shared" si="640"/>
        <v/>
      </c>
      <c r="OB82" s="57">
        <f t="shared" si="805"/>
        <v>0</v>
      </c>
      <c r="OC82" s="57">
        <f>IF(OR(AND(NQ$6=1,$L82=0),AND(NQ$6=2,$K82=2,$G82=1)),0,IF(AND(NS$9=2,(OR($F82&gt;1,$K82=1,AND($L82=80,OR($N82=1,AND($N82=2,'#BerechnungDBE'!$AL73&gt;0)))))),IF(NQ$4&gt;=$AD$126,0,OA82),IF(NS$9=3,IF(OR(NQ$4&gt;=$AD$127,AND($G82=1,$J82=2,NQ$6=2),AND(NQ$6=1,$N82&lt;&gt;1)),0,IF(NU82&lt;=120,OA82,IF(NQ$4&lt;$AD$124,IF($F82=1,60/NS$4*NS$6,60/NS$4*NS$7),IF($F82=1,120/NS$4*NS$6,120/NS$4*NS$7)))),IF(OR($F82=3,$G82=2),IF(OR(AND(NQ$4&gt;=$AD$119,$C82=2),AND(NQ$4&gt;=$AF$119,$C82=1)),0,IF(NU82&lt;=60,OA82,60/NS$4*NS$7)),IF(AND($F82=2,$G82=1),OA82,0)))))</f>
        <v>0</v>
      </c>
      <c r="OD82" s="57" t="str">
        <f t="shared" si="641"/>
        <v/>
      </c>
      <c r="OE82" s="57" t="str">
        <f t="shared" si="642"/>
        <v/>
      </c>
      <c r="OF82" s="713">
        <f>'org. Düngung 22'!DD81</f>
        <v>0</v>
      </c>
      <c r="OG82" s="57"/>
      <c r="OH82" s="57"/>
      <c r="OI82" s="57">
        <f t="shared" si="643"/>
        <v>0</v>
      </c>
      <c r="OJ82" s="57">
        <f t="shared" si="806"/>
        <v>0</v>
      </c>
      <c r="OK82" s="57">
        <f t="shared" si="807"/>
        <v>0</v>
      </c>
      <c r="OL82" s="57">
        <f t="shared" si="808"/>
        <v>0</v>
      </c>
      <c r="OM82" s="57">
        <f t="shared" si="809"/>
        <v>0</v>
      </c>
      <c r="ON82" s="1029">
        <f t="shared" si="644"/>
        <v>0</v>
      </c>
      <c r="OO82" s="57">
        <f t="shared" si="645"/>
        <v>0</v>
      </c>
      <c r="OP82" s="171" t="str">
        <f t="shared" si="646"/>
        <v/>
      </c>
      <c r="OQ82" s="57">
        <f t="shared" si="810"/>
        <v>0</v>
      </c>
      <c r="OR82" s="57">
        <f>IF(OR(AND(OF$6=1,$L82=0),AND(OF$6=2,$K82=2,$G82=1)),0,IF(AND(OH$9=2,(OR($F82&gt;1,$K82=1,AND($L82=80,OR($N82=1,AND($N82=2,'#BerechnungDBE'!$AL73&gt;0)))))),IF(OF$4&gt;=$AD$126,0,OP82),IF(OH$9=3,IF(OR(OF$4&gt;=$AD$127,AND($G82=1,$J82=2,OF$6=2),AND(OF$6=1,$N82&lt;&gt;1)),0,IF(OJ82&lt;=120,OP82,IF(OF$4&lt;$AD$124,IF($F82=1,60/OH$4*OH$6,60/OH$4*OH$7),IF($F82=1,120/OH$4*OH$6,120/OH$4*OH$7)))),IF(OR($F82=3,$G82=2),IF(OR(AND(OF$4&gt;=$AD$119,$C82=2),AND(OF$4&gt;=$AF$119,$C82=1)),0,IF(OJ82&lt;=60,OP82,60/OH$4*OH$7)),IF(AND($F82=2,$G82=1),OP82,0)))))</f>
        <v>0</v>
      </c>
      <c r="OS82" s="57" t="str">
        <f t="shared" si="647"/>
        <v/>
      </c>
      <c r="OT82" s="57" t="str">
        <f t="shared" si="648"/>
        <v/>
      </c>
      <c r="OU82" s="713">
        <f>'org. Düngung 22'!DH81</f>
        <v>0</v>
      </c>
      <c r="OV82" s="57"/>
      <c r="OW82" s="57"/>
      <c r="OX82" s="57">
        <f t="shared" si="649"/>
        <v>0</v>
      </c>
      <c r="OY82" s="57">
        <f t="shared" si="811"/>
        <v>0</v>
      </c>
      <c r="OZ82" s="57">
        <f t="shared" si="812"/>
        <v>0</v>
      </c>
      <c r="PA82" s="57">
        <f t="shared" si="813"/>
        <v>0</v>
      </c>
      <c r="PB82" s="57">
        <f t="shared" si="814"/>
        <v>0</v>
      </c>
      <c r="PC82" s="1029">
        <f t="shared" si="650"/>
        <v>0</v>
      </c>
      <c r="PD82" s="57">
        <f t="shared" si="651"/>
        <v>0</v>
      </c>
      <c r="PE82" s="171" t="str">
        <f t="shared" si="652"/>
        <v/>
      </c>
      <c r="PF82" s="57">
        <f t="shared" si="815"/>
        <v>0</v>
      </c>
      <c r="PG82" s="57">
        <f>IF(OR(AND(OU$6=1,$L82=0),AND(OU$6=2,$K82=2,$G82=1)),0,IF(AND(OW$9=2,(OR($F82&gt;1,$K82=1,AND($L82=80,OR($N82=1,AND($N82=2,'#BerechnungDBE'!$AL73&gt;0)))))),IF(OU$4&gt;=$AD$126,0,PE82),IF(OW$9=3,IF(OR(OU$4&gt;=$AD$127,AND($G82=1,$J82=2,OU$6=2),AND(OU$6=1,$N82&lt;&gt;1)),0,IF(OY82&lt;=120,PE82,IF(OU$4&lt;$AD$124,IF($F82=1,60/OW$4*OW$6,60/OW$4*OW$7),IF($F82=1,120/OW$4*OW$6,120/OW$4*OW$7)))),IF(OR($F82=3,$G82=2),IF(OR(AND(OU$4&gt;=$AD$119,$C82=2),AND(OU$4&gt;=$AF$119,$C82=1)),0,IF(OY82&lt;=60,PE82,60/OW$4*OW$7)),IF(AND($F82=2,$G82=1),PE82,0)))))</f>
        <v>0</v>
      </c>
      <c r="PH82" s="57" t="str">
        <f t="shared" si="653"/>
        <v/>
      </c>
      <c r="PI82" s="57" t="str">
        <f t="shared" si="654"/>
        <v/>
      </c>
      <c r="PJ82" s="713">
        <f>'org. Düngung 22'!DL81</f>
        <v>0</v>
      </c>
      <c r="PK82" s="57"/>
      <c r="PL82" s="57"/>
      <c r="PM82" s="57">
        <f t="shared" si="655"/>
        <v>0</v>
      </c>
      <c r="PN82" s="57">
        <f t="shared" si="816"/>
        <v>0</v>
      </c>
      <c r="PO82" s="57">
        <f t="shared" si="817"/>
        <v>0</v>
      </c>
      <c r="PP82" s="57">
        <f t="shared" si="818"/>
        <v>0</v>
      </c>
      <c r="PQ82" s="57">
        <f t="shared" si="819"/>
        <v>0</v>
      </c>
      <c r="PR82" s="1029">
        <f t="shared" si="656"/>
        <v>0</v>
      </c>
      <c r="PS82" s="57">
        <f t="shared" si="657"/>
        <v>0</v>
      </c>
      <c r="PT82" s="171" t="str">
        <f t="shared" si="658"/>
        <v/>
      </c>
      <c r="PU82" s="57">
        <f t="shared" si="820"/>
        <v>0</v>
      </c>
      <c r="PV82" s="57">
        <f>IF(OR(AND(PJ$6=1,$L82=0),AND(PJ$6=2,$K82=2,$G82=1)),0,IF(AND(PL$9=2,(OR($F82&gt;1,$K82=1,AND($L82=80,OR($N82=1,AND($N82=2,'#BerechnungDBE'!$AL73&gt;0)))))),IF(PJ$4&gt;=$AD$126,0,PT82),IF(PL$9=3,IF(OR(PJ$4&gt;=$AD$127,AND($G82=1,$J82=2,PJ$6=2),AND(PJ$6=1,$N82&lt;&gt;1)),0,IF(PN82&lt;=120,PT82,IF(PJ$4&lt;$AD$124,IF($F82=1,60/PL$4*PL$6,60/PL$4*PL$7),IF($F82=1,120/PL$4*PL$6,120/PL$4*PL$7)))),IF(OR($F82=3,$G82=2),IF(OR(AND(PJ$4&gt;=$AD$119,$C82=2),AND(PJ$4&gt;=$AF$119,$C82=1)),0,IF(PN82&lt;=60,PT82,60/PL$4*PL$7)),IF(AND($F82=2,$G82=1),PT82,0)))))</f>
        <v>0</v>
      </c>
      <c r="PW82" s="57" t="str">
        <f t="shared" si="659"/>
        <v/>
      </c>
      <c r="PX82" s="57" t="str">
        <f t="shared" si="660"/>
        <v/>
      </c>
      <c r="PY82" s="713">
        <f>'org. Düngung 22'!DP81</f>
        <v>0</v>
      </c>
      <c r="PZ82" s="57"/>
      <c r="QA82" s="57"/>
      <c r="QB82" s="57">
        <f t="shared" si="661"/>
        <v>0</v>
      </c>
      <c r="QC82" s="57">
        <f t="shared" si="821"/>
        <v>0</v>
      </c>
      <c r="QD82" s="57">
        <f t="shared" si="822"/>
        <v>0</v>
      </c>
      <c r="QE82" s="57">
        <f t="shared" si="823"/>
        <v>0</v>
      </c>
      <c r="QF82" s="57">
        <f t="shared" si="824"/>
        <v>0</v>
      </c>
      <c r="QG82" s="1029">
        <f t="shared" si="662"/>
        <v>0</v>
      </c>
      <c r="QH82" s="57">
        <f t="shared" si="663"/>
        <v>0</v>
      </c>
      <c r="QI82" s="171" t="str">
        <f t="shared" si="664"/>
        <v/>
      </c>
      <c r="QJ82" s="57">
        <f t="shared" si="825"/>
        <v>0</v>
      </c>
      <c r="QK82" s="57">
        <f>IF(OR(AND(PY$6=1,$L82=0),AND(PY$6=2,$K82=2,$G82=1)),0,IF(AND(QA$9=2,(OR($F82&gt;1,$K82=1,AND($L82=80,OR($N82=1,AND($N82=2,'#BerechnungDBE'!$AL73&gt;0)))))),IF(PY$4&gt;=$AD$126,0,QI82),IF(QA$9=3,IF(OR(PY$4&gt;=$AD$127,AND($G82=1,$J82=2,PY$6=2),AND(PY$6=1,$N82&lt;&gt;1)),0,IF(QC82&lt;=120,QI82,IF(PY$4&lt;$AD$124,IF($F82=1,60/QA$4*QA$6,60/QA$4*QA$7),IF($F82=1,120/QA$4*QA$6,120/QA$4*QA$7)))),IF(OR($F82=3,$G82=2),IF(OR(AND(PY$4&gt;=$AD$119,$C82=2),AND(PY$4&gt;=$AF$119,$C82=1)),0,IF(QC82&lt;=60,QI82,60/QA$4*QA$7)),IF(AND($F82=2,$G82=1),QI82,0)))))</f>
        <v>0</v>
      </c>
      <c r="QL82" s="57" t="str">
        <f t="shared" si="665"/>
        <v/>
      </c>
      <c r="QM82" s="57" t="str">
        <f t="shared" si="666"/>
        <v/>
      </c>
      <c r="QN82" s="713">
        <f>'org. Düngung 22'!DT81</f>
        <v>0</v>
      </c>
      <c r="QO82" s="57"/>
      <c r="QP82" s="57"/>
      <c r="QQ82" s="57">
        <f t="shared" si="667"/>
        <v>0</v>
      </c>
      <c r="QR82" s="57">
        <f t="shared" si="826"/>
        <v>0</v>
      </c>
      <c r="QS82" s="57">
        <f t="shared" si="827"/>
        <v>0</v>
      </c>
      <c r="QT82" s="57">
        <f t="shared" si="828"/>
        <v>0</v>
      </c>
      <c r="QU82" s="57">
        <f t="shared" si="829"/>
        <v>0</v>
      </c>
      <c r="QV82" s="1029">
        <f t="shared" si="668"/>
        <v>0</v>
      </c>
      <c r="QW82" s="57">
        <f t="shared" si="669"/>
        <v>0</v>
      </c>
      <c r="QX82" s="171" t="str">
        <f t="shared" si="670"/>
        <v/>
      </c>
      <c r="QY82" s="57">
        <f t="shared" si="830"/>
        <v>0</v>
      </c>
      <c r="QZ82" s="57">
        <f>IF(OR(AND(QN$6=1,$L82=0),AND(QN$6=2,$K82=2,$G82=1)),0,IF(AND(QP$9=2,(OR($F82&gt;1,$K82=1,AND($L82=80,OR($N82=1,AND($N82=2,'#BerechnungDBE'!$AL73&gt;0)))))),IF(QN$4&gt;=$AD$126,0,QX82),IF(QP$9=3,IF(OR(QN$4&gt;=$AD$127,AND($G82=1,$J82=2,QN$6=2),AND(QN$6=1,$N82&lt;&gt;1)),0,IF(QR82&lt;=120,QX82,IF(QN$4&lt;$AD$124,IF($F82=1,60/QP$4*QP$6,60/QP$4*QP$7),IF($F82=1,120/QP$4*QP$6,120/QP$4*QP$7)))),IF(OR($F82=3,$G82=2),IF(OR(AND(QN$4&gt;=$AD$119,$C82=2),AND(QN$4&gt;=$AF$119,$C82=1)),0,IF(QR82&lt;=60,QX82,60/QP$4*QP$7)),IF(AND($F82=2,$G82=1),QX82,0)))))</f>
        <v>0</v>
      </c>
      <c r="RA82" s="57" t="str">
        <f t="shared" si="671"/>
        <v/>
      </c>
      <c r="RB82" s="57" t="str">
        <f t="shared" si="672"/>
        <v/>
      </c>
      <c r="RC82" s="713">
        <f>'org. Düngung 22'!DX81</f>
        <v>0</v>
      </c>
      <c r="RD82" s="57"/>
      <c r="RE82" s="57"/>
      <c r="RF82" s="57">
        <f t="shared" si="673"/>
        <v>0</v>
      </c>
      <c r="RG82" s="57">
        <f t="shared" si="831"/>
        <v>0</v>
      </c>
      <c r="RH82" s="57">
        <f t="shared" si="832"/>
        <v>0</v>
      </c>
      <c r="RI82" s="57">
        <f t="shared" si="833"/>
        <v>0</v>
      </c>
      <c r="RJ82" s="57">
        <f t="shared" si="834"/>
        <v>0</v>
      </c>
      <c r="RK82" s="1029">
        <f t="shared" si="674"/>
        <v>0</v>
      </c>
      <c r="RL82" s="57">
        <f t="shared" si="675"/>
        <v>0</v>
      </c>
      <c r="RM82" s="171" t="str">
        <f t="shared" si="676"/>
        <v/>
      </c>
      <c r="RN82" s="57">
        <f t="shared" si="835"/>
        <v>0</v>
      </c>
      <c r="RO82" s="57">
        <f>IF(OR(AND(RC$6=1,$L82=0),AND(RC$6=2,$K82=2,$G82=1)),0,IF(AND(RE$9=2,(OR($F82&gt;1,$K82=1,AND($L82=80,OR($N82=1,AND($N82=2,'#BerechnungDBE'!$AL73&gt;0)))))),IF(RC$4&gt;=$AD$126,0,RM82),IF(RE$9=3,IF(OR(RC$4&gt;=$AD$127,AND($G82=1,$J82=2,RC$6=2),AND(RC$6=1,$N82&lt;&gt;1)),0,IF(RG82&lt;=120,RM82,IF(RC$4&lt;$AD$124,IF($F82=1,60/RE$4*RE$6,60/RE$4*RE$7),IF($F82=1,120/RE$4*RE$6,120/RE$4*RE$7)))),IF(OR($F82=3,$G82=2),IF(OR(AND(RC$4&gt;=$AD$119,$C82=2),AND(RC$4&gt;=$AF$119,$C82=1)),0,IF(RG82&lt;=60,RM82,60/RE$4*RE$7)),IF(AND($F82=2,$G82=1),RM82,0)))))</f>
        <v>0</v>
      </c>
      <c r="RP82" s="57" t="str">
        <f t="shared" si="677"/>
        <v/>
      </c>
      <c r="RQ82" s="57" t="str">
        <f t="shared" si="678"/>
        <v/>
      </c>
      <c r="RS82" s="57" t="str">
        <f t="shared" si="836"/>
        <v/>
      </c>
      <c r="RT82" s="57" t="str">
        <f t="shared" si="679"/>
        <v/>
      </c>
      <c r="RU82" s="57" t="str">
        <f t="shared" si="680"/>
        <v/>
      </c>
      <c r="RV82" s="57" t="str">
        <f>IF(Z82&gt;'#BerechnungDBE'!BM73,$RV$9,"")</f>
        <v/>
      </c>
      <c r="RW82" s="57" t="str">
        <f>IF(AND(L82=70,AE82&gt;'#BerechnungDBE'!CQ73),$RW$9,"")</f>
        <v/>
      </c>
      <c r="RX82" s="57" t="str">
        <f>IF(OR('org. Düngung 22'!G81="--",'org. Düngung 22'!G81&lt;=170,'org. Düngung 22'!G81=""),"",$RX$9)</f>
        <v/>
      </c>
      <c r="RY82" s="57" t="str">
        <f>IF('org. Düngung 22'!K81&gt;120,'#orgDung'!$RY$9,"")</f>
        <v/>
      </c>
      <c r="RZ82" s="57" t="str">
        <f>IF('#BerechnungDBE'!P73&lt;4,"",IF(AND('#BerechnungDBE'!BZ73&gt;0,T82&gt;0),'#orgDung'!$RZ$9,""))</f>
        <v/>
      </c>
      <c r="SA82" s="57" t="str">
        <f t="shared" si="681"/>
        <v/>
      </c>
    </row>
    <row r="83" spans="1:495" s="875" customFormat="1" x14ac:dyDescent="0.2">
      <c r="A83" s="875">
        <f>'Flächen u. Kulturen'!A79</f>
        <v>70</v>
      </c>
      <c r="B83" s="367">
        <f>'#BerechnungDBE'!L74</f>
        <v>0</v>
      </c>
      <c r="C83" s="875">
        <f>'#BerechnungDBE'!R74</f>
        <v>1</v>
      </c>
      <c r="D83" s="875">
        <f>'#BerechnungDBE'!T74</f>
        <v>2</v>
      </c>
      <c r="E83" s="875" t="str">
        <f>'Flächen u. Kulturen'!E79</f>
        <v>x</v>
      </c>
      <c r="F83" s="52">
        <f>'#BerechnungDBE'!N74</f>
        <v>1</v>
      </c>
      <c r="G83" s="52">
        <f>'#BerechnungDBE'!O74</f>
        <v>1</v>
      </c>
      <c r="H83" s="875">
        <f>IF('Flächen u. Kulturen'!P79="",0,VLOOKUP('Flächen u. Kulturen'!P79,Kulturen[[HF]:[Berechnungsgruppe]],'#Frucht'!$H$1,FALSE))</f>
        <v>0</v>
      </c>
      <c r="I83" s="875">
        <f>IF('Flächen u. Kulturen'!J79="",0,VLOOKUP('Flächen u. Kulturen'!J79,Kulturen[[HF]:[Berechnungsgruppe]],'#Frucht'!$G$1,FALSE))</f>
        <v>90</v>
      </c>
      <c r="J83" s="505">
        <f t="shared" si="682"/>
        <v>2</v>
      </c>
      <c r="K83" s="505">
        <f>IF('Flächen u. Kulturen'!P79="",0,IF(VLOOKUP('Flächen u. Kulturen'!P79,Kulturen[[HF]:[Saat Winterungen]],'#Frucht'!$P$1,FALSE)&gt;0,1,2))</f>
        <v>2</v>
      </c>
      <c r="L83" s="875">
        <f>'#BerechnungDBE'!AF74</f>
        <v>0</v>
      </c>
      <c r="M83" s="875">
        <f>IF('Flächen u. Kulturen'!L79="",0,VLOOKUP('Flächen u. Kulturen'!L79,Nebenkultur[[Nebenkultur]:[Legum. Zwischenfr.]],'#Zweitfr'!$K$1,FALSE))</f>
        <v>0</v>
      </c>
      <c r="N83" s="875">
        <f>'#BerechnungDBE'!AG74</f>
        <v>0</v>
      </c>
      <c r="P83" s="57">
        <f t="shared" si="489"/>
        <v>0</v>
      </c>
      <c r="Q83" s="57">
        <f t="shared" si="490"/>
        <v>0</v>
      </c>
      <c r="R83" s="875">
        <f t="shared" si="491"/>
        <v>0</v>
      </c>
      <c r="S83" s="938" t="str">
        <f t="shared" si="683"/>
        <v/>
      </c>
      <c r="T83" s="875">
        <f t="shared" si="492"/>
        <v>0</v>
      </c>
      <c r="U83" s="875">
        <f t="shared" si="493"/>
        <v>0</v>
      </c>
      <c r="V83" s="875">
        <f t="shared" si="494"/>
        <v>0</v>
      </c>
      <c r="W83" s="875">
        <f t="shared" si="495"/>
        <v>0</v>
      </c>
      <c r="X83" s="875">
        <f t="shared" si="496"/>
        <v>0</v>
      </c>
      <c r="Y83" s="875">
        <f t="shared" ref="Y83:Y113" si="837">AG83*0.5</f>
        <v>0</v>
      </c>
      <c r="Z83" s="875">
        <f t="shared" ref="Z83:Z113" si="838">W83+X83+Y83</f>
        <v>0</v>
      </c>
      <c r="AA83" s="910">
        <f t="shared" si="497"/>
        <v>0</v>
      </c>
      <c r="AB83" s="57">
        <f t="shared" ref="AB83:AB113" si="839">IF(U83+AG83=0,0,(Z83+W83)/(U83+AG83))</f>
        <v>0</v>
      </c>
      <c r="AC83" s="875">
        <f t="shared" si="498"/>
        <v>0</v>
      </c>
      <c r="AD83" s="875">
        <f t="shared" si="499"/>
        <v>0</v>
      </c>
      <c r="AE83" s="875">
        <f t="shared" si="500"/>
        <v>0</v>
      </c>
      <c r="AF83" s="875">
        <f t="shared" ref="AF83:AF113" si="840">IF(AC83=0,0,AE83/AC83)</f>
        <v>0</v>
      </c>
      <c r="AG83" s="875">
        <f>'org. Düngung 22'!J82</f>
        <v>0</v>
      </c>
      <c r="AH83" s="875">
        <f>'org. Düngung 22'!K82</f>
        <v>0</v>
      </c>
      <c r="AJ83" s="713">
        <f>'org. Düngung 22'!L82</f>
        <v>0</v>
      </c>
      <c r="AK83" s="57"/>
      <c r="AL83" s="57"/>
      <c r="AM83" s="57">
        <f t="shared" si="684"/>
        <v>0</v>
      </c>
      <c r="AN83" s="57">
        <f t="shared" si="685"/>
        <v>0</v>
      </c>
      <c r="AO83" s="57">
        <f t="shared" si="686"/>
        <v>0</v>
      </c>
      <c r="AP83" s="57">
        <f t="shared" si="687"/>
        <v>0</v>
      </c>
      <c r="AQ83" s="57">
        <f t="shared" si="688"/>
        <v>0</v>
      </c>
      <c r="AR83" s="1029">
        <f t="shared" si="501"/>
        <v>0</v>
      </c>
      <c r="AS83" s="57">
        <f t="shared" si="502"/>
        <v>0</v>
      </c>
      <c r="AT83" s="171" t="str">
        <f t="shared" si="503"/>
        <v/>
      </c>
      <c r="AU83" s="57">
        <f t="shared" si="689"/>
        <v>0</v>
      </c>
      <c r="AV83" s="57">
        <f>IF(OR(AND(AJ$6=1,$L83=0),AND(AJ$6=2,$K83=2,$G83=1)),0,IF(AND(AL$9=2,(OR($F83&gt;1,$K83=1,AND($L83=80,OR($N83=1,AND($N83=2,'#BerechnungDBE'!$AL74&gt;0)))))),IF(AJ$4&gt;=$AD$126,0,AT83),IF(AL$9=3,IF(OR(AJ$4&gt;=$AD$127,AND($G83=1,$J83=2,AJ$6=2),AND(AJ$6=1,$N83&lt;&gt;1)),0,IF(AN83&lt;=120,AT83,IF(AJ$4&lt;$AD$124,IF($F83=1,60/AL$4*AL$6,60/AL$4*AL$7),IF($F83=1,120/AL$4*AL$6,120/AL$4*AL$7)))),IF(OR($F83=3,$G83=2),IF(OR(AND(AJ$4&gt;=$AD$119,$C83=2),AND(AJ$4&gt;=$AF$119,$C83=1)),0,IF(AN83&lt;=60,AT83,60/AL$4*AL$7)),IF(AND($F83=2,$G83=1),AT83,0)))))</f>
        <v>0</v>
      </c>
      <c r="AW83" s="57" t="str">
        <f t="shared" si="690"/>
        <v/>
      </c>
      <c r="AX83" s="57" t="str">
        <f t="shared" si="504"/>
        <v/>
      </c>
      <c r="AY83" s="713">
        <f>'org. Düngung 22'!P82</f>
        <v>0</v>
      </c>
      <c r="AZ83" s="57"/>
      <c r="BA83" s="57"/>
      <c r="BB83" s="57">
        <f t="shared" si="505"/>
        <v>0</v>
      </c>
      <c r="BC83" s="57">
        <f t="shared" si="691"/>
        <v>0</v>
      </c>
      <c r="BD83" s="57">
        <f t="shared" si="692"/>
        <v>0</v>
      </c>
      <c r="BE83" s="57">
        <f t="shared" si="693"/>
        <v>0</v>
      </c>
      <c r="BF83" s="57">
        <f t="shared" si="694"/>
        <v>0</v>
      </c>
      <c r="BG83" s="1029">
        <f t="shared" si="506"/>
        <v>0</v>
      </c>
      <c r="BH83" s="57">
        <f t="shared" si="507"/>
        <v>0</v>
      </c>
      <c r="BI83" s="171" t="str">
        <f t="shared" si="508"/>
        <v/>
      </c>
      <c r="BJ83" s="57">
        <f t="shared" si="695"/>
        <v>0</v>
      </c>
      <c r="BK83" s="57">
        <f>IF(OR(AND(AY$6=1,$L83=0),AND(AY$6=2,$K83=2,$G83=1)),0,IF(AND(BA$9=2,(OR($F83&gt;1,$K83=1,AND($L83=80,OR($N83=1,AND($N83=2,'#BerechnungDBE'!$AL74&gt;0)))))),IF(AY$4&gt;=$AD$126,0,BI83),IF(BA$9=3,IF(OR(AY$4&gt;=$AD$127,AND($G83=1,$J83=2,AY$6=2),AND(AY$6=1,$N83&lt;&gt;1)),0,IF(BC83&lt;=120,BI83,IF(AY$4&lt;$AD$124,IF($F83=1,60/BA$4*BA$6,60/BA$4*BA$7),IF($F83=1,120/BA$4*BA$6,120/BA$4*BA$7)))),IF(OR($F83=3,$G83=2),IF(OR(AND(AY$4&gt;=$AD$119,$C83=2),AND(AY$4&gt;=$AF$119,$C83=1)),0,IF(BC83&lt;=60,BI83,60/BA$4*BA$7)),IF(AND($F83=2,$G83=1),BI83,0)))))</f>
        <v>0</v>
      </c>
      <c r="BL83" s="57" t="str">
        <f t="shared" si="509"/>
        <v/>
      </c>
      <c r="BM83" s="57" t="str">
        <f t="shared" si="510"/>
        <v/>
      </c>
      <c r="BN83" s="713">
        <f>'org. Düngung 22'!T82</f>
        <v>0</v>
      </c>
      <c r="BO83" s="57"/>
      <c r="BP83" s="57"/>
      <c r="BQ83" s="57">
        <f t="shared" si="511"/>
        <v>0</v>
      </c>
      <c r="BR83" s="57">
        <f t="shared" si="696"/>
        <v>0</v>
      </c>
      <c r="BS83" s="57">
        <f t="shared" si="697"/>
        <v>0</v>
      </c>
      <c r="BT83" s="57">
        <f t="shared" si="698"/>
        <v>0</v>
      </c>
      <c r="BU83" s="57">
        <f t="shared" si="699"/>
        <v>0</v>
      </c>
      <c r="BV83" s="1029">
        <f t="shared" si="512"/>
        <v>0</v>
      </c>
      <c r="BW83" s="57">
        <f t="shared" si="513"/>
        <v>0</v>
      </c>
      <c r="BX83" s="171" t="str">
        <f t="shared" si="514"/>
        <v/>
      </c>
      <c r="BY83" s="57">
        <f t="shared" si="700"/>
        <v>0</v>
      </c>
      <c r="BZ83" s="57">
        <f>IF(OR(AND(BN$6=1,$L83=0),AND(BN$6=2,$K83=2,$G83=1)),0,IF(AND(BP$9=2,(OR($F83&gt;1,$K83=1,AND($L83=80,OR($N83=1,AND($N83=2,'#BerechnungDBE'!$AL74&gt;0)))))),IF(BN$4&gt;=$AD$126,0,BX83),IF(BP$9=3,IF(OR(BN$4&gt;=$AD$127,AND($G83=1,$J83=2,BN$6=2),AND(BN$6=1,$N83&lt;&gt;1)),0,IF(BR83&lt;=120,BX83,IF(BN$4&lt;$AD$124,IF($F83=1,60/BP$4*BP$6,60/BP$4*BP$7),IF($F83=1,120/BP$4*BP$6,120/BP$4*BP$7)))),IF(OR($F83=3,$G83=2),IF(OR(AND(BN$4&gt;=$AD$119,$C83=2),AND(BN$4&gt;=$AF$119,$C83=1)),0,IF(BR83&lt;=60,BX83,60/BP$4*BP$7)),IF(AND($F83=2,$G83=1),BX83,0)))))</f>
        <v>0</v>
      </c>
      <c r="CA83" s="57" t="str">
        <f t="shared" si="515"/>
        <v/>
      </c>
      <c r="CB83" s="57" t="str">
        <f t="shared" si="516"/>
        <v/>
      </c>
      <c r="CC83" s="713">
        <f>'org. Düngung 22'!X82</f>
        <v>0</v>
      </c>
      <c r="CD83" s="57"/>
      <c r="CE83" s="57"/>
      <c r="CF83" s="57">
        <f t="shared" si="517"/>
        <v>0</v>
      </c>
      <c r="CG83" s="57">
        <f t="shared" si="701"/>
        <v>0</v>
      </c>
      <c r="CH83" s="57">
        <f t="shared" si="702"/>
        <v>0</v>
      </c>
      <c r="CI83" s="57">
        <f t="shared" si="703"/>
        <v>0</v>
      </c>
      <c r="CJ83" s="57">
        <f t="shared" si="704"/>
        <v>0</v>
      </c>
      <c r="CK83" s="1029">
        <f t="shared" si="518"/>
        <v>0</v>
      </c>
      <c r="CL83" s="57">
        <f t="shared" si="519"/>
        <v>0</v>
      </c>
      <c r="CM83" s="171" t="str">
        <f t="shared" si="520"/>
        <v/>
      </c>
      <c r="CN83" s="57">
        <f t="shared" si="705"/>
        <v>0</v>
      </c>
      <c r="CO83" s="57">
        <f>IF(OR(AND(CC$6=1,$L83=0),AND(CC$6=2,$K83=2,$G83=1)),0,IF(AND(CE$9=2,(OR($F83&gt;1,$K83=1,AND($L83=80,OR($N83=1,AND($N83=2,'#BerechnungDBE'!$AL74&gt;0)))))),IF(CC$4&gt;=$AD$126,0,CM83),IF(CE$9=3,IF(OR(CC$4&gt;=$AD$127,AND($G83=1,$J83=2,CC$6=2),AND(CC$6=1,$N83&lt;&gt;1)),0,IF(CG83&lt;=120,CM83,IF(CC$4&lt;$AD$124,IF($F83=1,60/CE$4*CE$6,60/CE$4*CE$7),IF($F83=1,120/CE$4*CE$6,120/CE$4*CE$7)))),IF(OR($F83=3,$G83=2),IF(OR(AND(CC$4&gt;=$AD$119,$C83=2),AND(CC$4&gt;=$AF$119,$C83=1)),0,IF(CG83&lt;=60,CM83,60/CE$4*CE$7)),IF(AND($F83=2,$G83=1),CM83,0)))))</f>
        <v>0</v>
      </c>
      <c r="CP83" s="57" t="str">
        <f t="shared" si="521"/>
        <v/>
      </c>
      <c r="CQ83" s="57" t="str">
        <f t="shared" si="522"/>
        <v/>
      </c>
      <c r="CR83" s="713">
        <f>'org. Düngung 22'!AB82</f>
        <v>0</v>
      </c>
      <c r="CS83" s="57"/>
      <c r="CT83" s="57"/>
      <c r="CU83" s="57">
        <f t="shared" si="523"/>
        <v>0</v>
      </c>
      <c r="CV83" s="57">
        <f t="shared" si="706"/>
        <v>0</v>
      </c>
      <c r="CW83" s="57">
        <f t="shared" si="707"/>
        <v>0</v>
      </c>
      <c r="CX83" s="57">
        <f t="shared" si="708"/>
        <v>0</v>
      </c>
      <c r="CY83" s="57">
        <f t="shared" si="709"/>
        <v>0</v>
      </c>
      <c r="CZ83" s="1029">
        <f t="shared" si="524"/>
        <v>0</v>
      </c>
      <c r="DA83" s="57">
        <f t="shared" si="525"/>
        <v>0</v>
      </c>
      <c r="DB83" s="171" t="str">
        <f t="shared" si="526"/>
        <v/>
      </c>
      <c r="DC83" s="57">
        <f t="shared" si="710"/>
        <v>0</v>
      </c>
      <c r="DD83" s="57">
        <f>IF(OR(AND(CR$6=1,$L83=0),AND(CR$6=2,$K83=2,$G83=1)),0,IF(AND(CT$9=2,(OR($F83&gt;1,$K83=1,AND($L83=80,OR($N83=1,AND($N83=2,'#BerechnungDBE'!$AL74&gt;0)))))),IF(CR$4&gt;=$AD$126,0,DB83),IF(CT$9=3,IF(OR(CR$4&gt;=$AD$127,AND($G83=1,$J83=2,CR$6=2),AND(CR$6=1,$N83&lt;&gt;1)),0,IF(CV83&lt;=120,DB83,IF(CR$4&lt;$AD$124,IF($F83=1,60/CT$4*CT$6,60/CT$4*CT$7),IF($F83=1,120/CT$4*CT$6,120/CT$4*CT$7)))),IF(OR($F83=3,$G83=2),IF(OR(AND(CR$4&gt;=$AD$119,$C83=2),AND(CR$4&gt;=$AF$119,$C83=1)),0,IF(CV83&lt;=60,DB83,60/CT$4*CT$7)),IF(AND($F83=2,$G83=1),DB83,0)))))</f>
        <v>0</v>
      </c>
      <c r="DE83" s="57" t="str">
        <f t="shared" si="527"/>
        <v/>
      </c>
      <c r="DF83" s="57" t="str">
        <f t="shared" si="528"/>
        <v/>
      </c>
      <c r="DG83" s="713">
        <f>'org. Düngung 22'!AF82</f>
        <v>0</v>
      </c>
      <c r="DH83" s="57"/>
      <c r="DI83" s="57"/>
      <c r="DJ83" s="57">
        <f t="shared" si="529"/>
        <v>0</v>
      </c>
      <c r="DK83" s="57">
        <f t="shared" si="711"/>
        <v>0</v>
      </c>
      <c r="DL83" s="57">
        <f t="shared" si="712"/>
        <v>0</v>
      </c>
      <c r="DM83" s="57">
        <f t="shared" si="713"/>
        <v>0</v>
      </c>
      <c r="DN83" s="57">
        <f t="shared" si="714"/>
        <v>0</v>
      </c>
      <c r="DO83" s="1029">
        <f t="shared" si="530"/>
        <v>0</v>
      </c>
      <c r="DP83" s="57">
        <f t="shared" si="531"/>
        <v>0</v>
      </c>
      <c r="DQ83" s="171" t="str">
        <f t="shared" si="532"/>
        <v/>
      </c>
      <c r="DR83" s="57">
        <f t="shared" si="715"/>
        <v>0</v>
      </c>
      <c r="DS83" s="57">
        <f>IF(OR(AND(DG$6=1,$L83=0),AND(DG$6=2,$K83=2,$G83=1)),0,IF(AND(DI$9=2,(OR($F83&gt;1,$K83=1,AND($L83=80,OR($N83=1,AND($N83=2,'#BerechnungDBE'!$AL74&gt;0)))))),IF(DG$4&gt;=$AD$126,0,DQ83),IF(DI$9=3,IF(OR(DG$4&gt;=$AD$127,AND($G83=1,$J83=2,DG$6=2),AND(DG$6=1,$N83&lt;&gt;1)),0,IF(DK83&lt;=120,DQ83,IF(DG$4&lt;$AD$124,IF($F83=1,60/DI$4*DI$6,60/DI$4*DI$7),IF($F83=1,120/DI$4*DI$6,120/DI$4*DI$7)))),IF(OR($F83=3,$G83=2),IF(OR(AND(DG$4&gt;=$AD$119,$C83=2),AND(DG$4&gt;=$AF$119,$C83=1)),0,IF(DK83&lt;=60,DQ83,60/DI$4*DI$7)),IF(AND($F83=2,$G83=1),DQ83,0)))))</f>
        <v>0</v>
      </c>
      <c r="DT83" s="57" t="str">
        <f t="shared" si="533"/>
        <v/>
      </c>
      <c r="DU83" s="57" t="str">
        <f t="shared" si="534"/>
        <v/>
      </c>
      <c r="DV83" s="713">
        <f>'org. Düngung 22'!AJ82</f>
        <v>0</v>
      </c>
      <c r="DW83" s="57"/>
      <c r="DX83" s="57"/>
      <c r="DY83" s="57">
        <f t="shared" si="535"/>
        <v>0</v>
      </c>
      <c r="DZ83" s="57">
        <f t="shared" si="716"/>
        <v>0</v>
      </c>
      <c r="EA83" s="57">
        <f t="shared" si="717"/>
        <v>0</v>
      </c>
      <c r="EB83" s="57">
        <f t="shared" si="718"/>
        <v>0</v>
      </c>
      <c r="EC83" s="57">
        <f t="shared" si="719"/>
        <v>0</v>
      </c>
      <c r="ED83" s="1029">
        <f t="shared" si="536"/>
        <v>0</v>
      </c>
      <c r="EE83" s="57">
        <f t="shared" si="537"/>
        <v>0</v>
      </c>
      <c r="EF83" s="171" t="str">
        <f t="shared" si="538"/>
        <v/>
      </c>
      <c r="EG83" s="57">
        <f t="shared" si="720"/>
        <v>0</v>
      </c>
      <c r="EH83" s="57">
        <f>IF(OR(AND(DV$6=1,$L83=0),AND(DV$6=2,$K83=2,$G83=1)),0,IF(AND(DX$9=2,(OR($F83&gt;1,$K83=1,AND($L83=80,OR($N83=1,AND($N83=2,'#BerechnungDBE'!$AL74&gt;0)))))),IF(DV$4&gt;=$AD$126,0,EF83),IF(DX$9=3,IF(OR(DV$4&gt;=$AD$127,AND($G83=1,$J83=2,DV$6=2),AND(DV$6=1,$N83&lt;&gt;1)),0,IF(DZ83&lt;=120,EF83,IF(DV$4&lt;$AD$124,IF($F83=1,60/DX$4*DX$6,60/DX$4*DX$7),IF($F83=1,120/DX$4*DX$6,120/DX$4*DX$7)))),IF(OR($F83=3,$G83=2),IF(OR(AND(DV$4&gt;=$AD$119,$C83=2),AND(DV$4&gt;=$AF$119,$C83=1)),0,IF(DZ83&lt;=60,EF83,60/DX$4*DX$7)),IF(AND($F83=2,$G83=1),EF83,0)))))</f>
        <v>0</v>
      </c>
      <c r="EI83" s="57" t="str">
        <f t="shared" si="539"/>
        <v/>
      </c>
      <c r="EJ83" s="57" t="str">
        <f t="shared" si="540"/>
        <v/>
      </c>
      <c r="EK83" s="713">
        <f>'org. Düngung 22'!AN82</f>
        <v>0</v>
      </c>
      <c r="EL83" s="57"/>
      <c r="EM83" s="57"/>
      <c r="EN83" s="57">
        <f t="shared" si="541"/>
        <v>0</v>
      </c>
      <c r="EO83" s="57">
        <f t="shared" si="721"/>
        <v>0</v>
      </c>
      <c r="EP83" s="57">
        <f t="shared" si="722"/>
        <v>0</v>
      </c>
      <c r="EQ83" s="57">
        <f t="shared" si="723"/>
        <v>0</v>
      </c>
      <c r="ER83" s="57">
        <f t="shared" si="724"/>
        <v>0</v>
      </c>
      <c r="ES83" s="1029">
        <f t="shared" si="542"/>
        <v>0</v>
      </c>
      <c r="ET83" s="57">
        <f t="shared" si="543"/>
        <v>0</v>
      </c>
      <c r="EU83" s="171" t="str">
        <f t="shared" si="544"/>
        <v/>
      </c>
      <c r="EV83" s="57">
        <f t="shared" si="725"/>
        <v>0</v>
      </c>
      <c r="EW83" s="57">
        <f>IF(OR(AND(EK$6=1,$L83=0),AND(EK$6=2,$K83=2,$G83=1)),0,IF(AND(EM$9=2,(OR($F83&gt;1,$K83=1,AND($L83=80,OR($N83=1,AND($N83=2,'#BerechnungDBE'!$AL74&gt;0)))))),IF(EK$4&gt;=$AD$126,0,EU83),IF(EM$9=3,IF(OR(EK$4&gt;=$AD$127,AND($G83=1,$J83=2,EK$6=2),AND(EK$6=1,$N83&lt;&gt;1)),0,IF(EO83&lt;=120,EU83,IF(EK$4&lt;$AD$124,IF($F83=1,60/EM$4*EM$6,60/EM$4*EM$7),IF($F83=1,120/EM$4*EM$6,120/EM$4*EM$7)))),IF(OR($F83=3,$G83=2),IF(OR(AND(EK$4&gt;=$AD$119,$C83=2),AND(EK$4&gt;=$AF$119,$C83=1)),0,IF(EO83&lt;=60,EU83,60/EM$4*EM$7)),IF(AND($F83=2,$G83=1),EU83,0)))))</f>
        <v>0</v>
      </c>
      <c r="EX83" s="57" t="str">
        <f t="shared" si="545"/>
        <v/>
      </c>
      <c r="EY83" s="57" t="str">
        <f t="shared" si="546"/>
        <v/>
      </c>
      <c r="EZ83" s="713">
        <f>'org. Düngung 22'!AR82</f>
        <v>0</v>
      </c>
      <c r="FA83" s="57"/>
      <c r="FB83" s="57"/>
      <c r="FC83" s="57">
        <f t="shared" si="547"/>
        <v>0</v>
      </c>
      <c r="FD83" s="57">
        <f t="shared" si="726"/>
        <v>0</v>
      </c>
      <c r="FE83" s="57">
        <f t="shared" si="727"/>
        <v>0</v>
      </c>
      <c r="FF83" s="57">
        <f t="shared" si="728"/>
        <v>0</v>
      </c>
      <c r="FG83" s="57">
        <f t="shared" si="729"/>
        <v>0</v>
      </c>
      <c r="FH83" s="1029">
        <f t="shared" si="548"/>
        <v>0</v>
      </c>
      <c r="FI83" s="57">
        <f t="shared" si="549"/>
        <v>0</v>
      </c>
      <c r="FJ83" s="171" t="str">
        <f t="shared" si="550"/>
        <v/>
      </c>
      <c r="FK83" s="57">
        <f t="shared" si="730"/>
        <v>0</v>
      </c>
      <c r="FL83" s="57">
        <f>IF(OR(AND(EZ$6=1,$L83=0),AND(EZ$6=2,$K83=2,$G83=1)),0,IF(AND(FB$9=2,(OR($F83&gt;1,$K83=1,AND($L83=80,OR($N83=1,AND($N83=2,'#BerechnungDBE'!$AL74&gt;0)))))),IF(EZ$4&gt;=$AD$126,0,FJ83),IF(FB$9=3,IF(OR(EZ$4&gt;=$AD$127,AND($G83=1,$J83=2,EZ$6=2),AND(EZ$6=1,$N83&lt;&gt;1)),0,IF(FD83&lt;=120,FJ83,IF(EZ$4&lt;$AD$124,IF($F83=1,60/FB$4*FB$6,60/FB$4*FB$7),IF($F83=1,120/FB$4*FB$6,120/FB$4*FB$7)))),IF(OR($F83=3,$G83=2),IF(OR(AND(EZ$4&gt;=$AD$119,$C83=2),AND(EZ$4&gt;=$AF$119,$C83=1)),0,IF(FD83&lt;=60,FJ83,60/FB$4*FB$7)),IF(AND($F83=2,$G83=1),FJ83,0)))))</f>
        <v>0</v>
      </c>
      <c r="FM83" s="57" t="str">
        <f t="shared" si="551"/>
        <v/>
      </c>
      <c r="FN83" s="57" t="str">
        <f t="shared" si="552"/>
        <v/>
      </c>
      <c r="FO83" s="713">
        <f>'org. Düngung 22'!AV82</f>
        <v>0</v>
      </c>
      <c r="FP83" s="57"/>
      <c r="FQ83" s="57"/>
      <c r="FR83" s="57">
        <f t="shared" si="553"/>
        <v>0</v>
      </c>
      <c r="FS83" s="57">
        <f t="shared" si="731"/>
        <v>0</v>
      </c>
      <c r="FT83" s="57">
        <f t="shared" si="732"/>
        <v>0</v>
      </c>
      <c r="FU83" s="57">
        <f t="shared" si="733"/>
        <v>0</v>
      </c>
      <c r="FV83" s="57">
        <f t="shared" si="734"/>
        <v>0</v>
      </c>
      <c r="FW83" s="1029">
        <f t="shared" si="554"/>
        <v>0</v>
      </c>
      <c r="FX83" s="57">
        <f t="shared" si="555"/>
        <v>0</v>
      </c>
      <c r="FY83" s="171" t="str">
        <f t="shared" si="556"/>
        <v/>
      </c>
      <c r="FZ83" s="57">
        <f t="shared" si="735"/>
        <v>0</v>
      </c>
      <c r="GA83" s="57">
        <f>IF(OR(AND(FO$6=1,$L83=0),AND(FO$6=2,$K83=2,$G83=1)),0,IF(AND(FQ$9=2,(OR($F83&gt;1,$K83=1,AND($L83=80,OR($N83=1,AND($N83=2,'#BerechnungDBE'!$AL74&gt;0)))))),IF(FO$4&gt;=$AD$126,0,FY83),IF(FQ$9=3,IF(OR(FO$4&gt;=$AD$127,AND($G83=1,$J83=2,FO$6=2),AND(FO$6=1,$N83&lt;&gt;1)),0,IF(FS83&lt;=120,FY83,IF(FO$4&lt;$AD$124,IF($F83=1,60/FQ$4*FQ$6,60/FQ$4*FQ$7),IF($F83=1,120/FQ$4*FQ$6,120/FQ$4*FQ$7)))),IF(OR($F83=3,$G83=2),IF(OR(AND(FO$4&gt;=$AD$119,$C83=2),AND(FO$4&gt;=$AF$119,$C83=1)),0,IF(FS83&lt;=60,FY83,60/FQ$4*FQ$7)),IF(AND($F83=2,$G83=1),FY83,0)))))</f>
        <v>0</v>
      </c>
      <c r="GB83" s="57" t="str">
        <f t="shared" si="557"/>
        <v/>
      </c>
      <c r="GC83" s="57" t="str">
        <f t="shared" si="558"/>
        <v/>
      </c>
      <c r="GD83" s="713">
        <f>'org. Düngung 22'!AZ82</f>
        <v>0</v>
      </c>
      <c r="GE83" s="57"/>
      <c r="GF83" s="57"/>
      <c r="GG83" s="57">
        <f t="shared" si="559"/>
        <v>0</v>
      </c>
      <c r="GH83" s="57">
        <f t="shared" si="736"/>
        <v>0</v>
      </c>
      <c r="GI83" s="57">
        <f t="shared" si="737"/>
        <v>0</v>
      </c>
      <c r="GJ83" s="57">
        <f t="shared" si="738"/>
        <v>0</v>
      </c>
      <c r="GK83" s="57">
        <f t="shared" si="739"/>
        <v>0</v>
      </c>
      <c r="GL83" s="1029">
        <f t="shared" si="560"/>
        <v>0</v>
      </c>
      <c r="GM83" s="57">
        <f t="shared" si="561"/>
        <v>0</v>
      </c>
      <c r="GN83" s="171" t="str">
        <f t="shared" si="562"/>
        <v/>
      </c>
      <c r="GO83" s="57">
        <f t="shared" si="740"/>
        <v>0</v>
      </c>
      <c r="GP83" s="57">
        <f>IF(OR(AND(GD$6=1,$L83=0),AND(GD$6=2,$K83=2,$G83=1)),0,IF(AND(GF$9=2,(OR($F83&gt;1,$K83=1,AND($L83=80,OR($N83=1,AND($N83=2,'#BerechnungDBE'!$AL74&gt;0)))))),IF(GD$4&gt;=$AD$126,0,GN83),IF(GF$9=3,IF(OR(GD$4&gt;=$AD$127,AND($G83=1,$J83=2,GD$6=2),AND(GD$6=1,$N83&lt;&gt;1)),0,IF(GH83&lt;=120,GN83,IF(GD$4&lt;$AD$124,IF($F83=1,60/GF$4*GF$6,60/GF$4*GF$7),IF($F83=1,120/GF$4*GF$6,120/GF$4*GF$7)))),IF(OR($F83=3,$G83=2),IF(OR(AND(GD$4&gt;=$AD$119,$C83=2),AND(GD$4&gt;=$AF$119,$C83=1)),0,IF(GH83&lt;=60,GN83,60/GF$4*GF$7)),IF(AND($F83=2,$G83=1),GN83,0)))))</f>
        <v>0</v>
      </c>
      <c r="GQ83" s="57" t="str">
        <f t="shared" si="563"/>
        <v/>
      </c>
      <c r="GR83" s="57" t="str">
        <f t="shared" si="564"/>
        <v/>
      </c>
      <c r="GS83" s="713">
        <f>'org. Düngung 22'!BD82</f>
        <v>0</v>
      </c>
      <c r="GT83" s="57"/>
      <c r="GU83" s="57"/>
      <c r="GV83" s="57">
        <f t="shared" si="565"/>
        <v>0</v>
      </c>
      <c r="GW83" s="57">
        <f t="shared" si="741"/>
        <v>0</v>
      </c>
      <c r="GX83" s="57">
        <f t="shared" si="742"/>
        <v>0</v>
      </c>
      <c r="GY83" s="57">
        <f t="shared" si="743"/>
        <v>0</v>
      </c>
      <c r="GZ83" s="57">
        <f t="shared" si="744"/>
        <v>0</v>
      </c>
      <c r="HA83" s="1029">
        <f t="shared" si="566"/>
        <v>0</v>
      </c>
      <c r="HB83" s="57">
        <f t="shared" si="567"/>
        <v>0</v>
      </c>
      <c r="HC83" s="171" t="str">
        <f t="shared" si="568"/>
        <v/>
      </c>
      <c r="HD83" s="57">
        <f t="shared" si="745"/>
        <v>0</v>
      </c>
      <c r="HE83" s="57">
        <f>IF(OR(AND(GS$6=1,$L83=0),AND(GS$6=2,$K83=2,$G83=1)),0,IF(AND(GU$9=2,(OR($F83&gt;1,$K83=1,AND($L83=80,OR($N83=1,AND($N83=2,'#BerechnungDBE'!$AL74&gt;0)))))),IF(GS$4&gt;=$AD$126,0,HC83),IF(GU$9=3,IF(OR(GS$4&gt;=$AD$127,AND($G83=1,$J83=2,GS$6=2),AND(GS$6=1,$N83&lt;&gt;1)),0,IF(GW83&lt;=120,HC83,IF(GS$4&lt;$AD$124,IF($F83=1,60/GU$4*GU$6,60/GU$4*GU$7),IF($F83=1,120/GU$4*GU$6,120/GU$4*GU$7)))),IF(OR($F83=3,$G83=2),IF(OR(AND(GS$4&gt;=$AD$119,$C83=2),AND(GS$4&gt;=$AF$119,$C83=1)),0,IF(GW83&lt;=60,HC83,60/GU$4*GU$7)),IF(AND($F83=2,$G83=1),HC83,0)))))</f>
        <v>0</v>
      </c>
      <c r="HF83" s="57" t="str">
        <f t="shared" si="569"/>
        <v/>
      </c>
      <c r="HG83" s="57" t="str">
        <f t="shared" si="570"/>
        <v/>
      </c>
      <c r="HH83" s="713">
        <f>'org. Düngung 22'!BH82</f>
        <v>0</v>
      </c>
      <c r="HI83" s="57"/>
      <c r="HJ83" s="57"/>
      <c r="HK83" s="57">
        <f t="shared" si="571"/>
        <v>0</v>
      </c>
      <c r="HL83" s="57">
        <f t="shared" si="746"/>
        <v>0</v>
      </c>
      <c r="HM83" s="57">
        <f t="shared" si="747"/>
        <v>0</v>
      </c>
      <c r="HN83" s="57">
        <f t="shared" si="748"/>
        <v>0</v>
      </c>
      <c r="HO83" s="57">
        <f t="shared" si="749"/>
        <v>0</v>
      </c>
      <c r="HP83" s="1029">
        <f t="shared" si="572"/>
        <v>0</v>
      </c>
      <c r="HQ83" s="57">
        <f t="shared" si="573"/>
        <v>0</v>
      </c>
      <c r="HR83" s="171" t="str">
        <f t="shared" si="574"/>
        <v/>
      </c>
      <c r="HS83" s="57">
        <f t="shared" si="750"/>
        <v>0</v>
      </c>
      <c r="HT83" s="57">
        <f>IF(OR(AND(HH$6=1,$L83=0),AND(HH$6=2,$K83=2,$G83=1)),0,IF(AND(HJ$9=2,(OR($F83&gt;1,$K83=1,AND($L83=80,OR($N83=1,AND($N83=2,'#BerechnungDBE'!$AL74&gt;0)))))),IF(HH$4&gt;=$AD$126,0,HR83),IF(HJ$9=3,IF(OR(HH$4&gt;=$AD$127,AND($G83=1,$J83=2,HH$6=2),AND(HH$6=1,$N83&lt;&gt;1)),0,IF(HL83&lt;=120,HR83,IF(HH$4&lt;$AD$124,IF($F83=1,60/HJ$4*HJ$6,60/HJ$4*HJ$7),IF($F83=1,120/HJ$4*HJ$6,120/HJ$4*HJ$7)))),IF(OR($F83=3,$G83=2),IF(OR(AND(HH$4&gt;=$AD$119,$C83=2),AND(HH$4&gt;=$AF$119,$C83=1)),0,IF(HL83&lt;=60,HR83,60/HJ$4*HJ$7)),IF(AND($F83=2,$G83=1),HR83,0)))))</f>
        <v>0</v>
      </c>
      <c r="HU83" s="57" t="str">
        <f t="shared" si="575"/>
        <v/>
      </c>
      <c r="HV83" s="57" t="str">
        <f t="shared" si="576"/>
        <v/>
      </c>
      <c r="HW83" s="713">
        <f>'org. Düngung 22'!BL82</f>
        <v>0</v>
      </c>
      <c r="HX83" s="57"/>
      <c r="HY83" s="57"/>
      <c r="HZ83" s="57">
        <f t="shared" si="577"/>
        <v>0</v>
      </c>
      <c r="IA83" s="57">
        <f t="shared" si="751"/>
        <v>0</v>
      </c>
      <c r="IB83" s="57">
        <f t="shared" si="752"/>
        <v>0</v>
      </c>
      <c r="IC83" s="57">
        <f t="shared" si="753"/>
        <v>0</v>
      </c>
      <c r="ID83" s="57">
        <f t="shared" si="754"/>
        <v>0</v>
      </c>
      <c r="IE83" s="1029">
        <f t="shared" si="578"/>
        <v>0</v>
      </c>
      <c r="IF83" s="57">
        <f t="shared" si="579"/>
        <v>0</v>
      </c>
      <c r="IG83" s="171" t="str">
        <f t="shared" si="580"/>
        <v/>
      </c>
      <c r="IH83" s="57">
        <f t="shared" si="755"/>
        <v>0</v>
      </c>
      <c r="II83" s="57">
        <f>IF(OR(AND(HW$6=1,$L83=0),AND(HW$6=2,$K83=2,$G83=1)),0,IF(AND(HY$9=2,(OR($F83&gt;1,$K83=1,AND($L83=80,OR($N83=1,AND($N83=2,'#BerechnungDBE'!$AL74&gt;0)))))),IF(HW$4&gt;=$AD$126,0,IG83),IF(HY$9=3,IF(OR(HW$4&gt;=$AD$127,AND($G83=1,$J83=2,HW$6=2),AND(HW$6=1,$N83&lt;&gt;1)),0,IF(IA83&lt;=120,IG83,IF(HW$4&lt;$AD$124,IF($F83=1,60/HY$4*HY$6,60/HY$4*HY$7),IF($F83=1,120/HY$4*HY$6,120/HY$4*HY$7)))),IF(OR($F83=3,$G83=2),IF(OR(AND(HW$4&gt;=$AD$119,$C83=2),AND(HW$4&gt;=$AF$119,$C83=1)),0,IF(IA83&lt;=60,IG83,60/HY$4*HY$7)),IF(AND($F83=2,$G83=1),IG83,0)))))</f>
        <v>0</v>
      </c>
      <c r="IJ83" s="57" t="str">
        <f t="shared" si="581"/>
        <v/>
      </c>
      <c r="IK83" s="57" t="str">
        <f t="shared" si="582"/>
        <v/>
      </c>
      <c r="IL83" s="713">
        <f>'org. Düngung 22'!BP82</f>
        <v>0</v>
      </c>
      <c r="IM83" s="57"/>
      <c r="IN83" s="57"/>
      <c r="IO83" s="57">
        <f t="shared" si="583"/>
        <v>0</v>
      </c>
      <c r="IP83" s="57">
        <f t="shared" si="756"/>
        <v>0</v>
      </c>
      <c r="IQ83" s="57">
        <f t="shared" si="757"/>
        <v>0</v>
      </c>
      <c r="IR83" s="57">
        <f t="shared" si="758"/>
        <v>0</v>
      </c>
      <c r="IS83" s="57">
        <f t="shared" si="759"/>
        <v>0</v>
      </c>
      <c r="IT83" s="1029">
        <f t="shared" si="584"/>
        <v>0</v>
      </c>
      <c r="IU83" s="57">
        <f t="shared" si="585"/>
        <v>0</v>
      </c>
      <c r="IV83" s="171" t="str">
        <f t="shared" si="586"/>
        <v/>
      </c>
      <c r="IW83" s="57">
        <f t="shared" si="760"/>
        <v>0</v>
      </c>
      <c r="IX83" s="57">
        <f>IF(OR(AND(IL$6=1,$L83=0),AND(IL$6=2,$K83=2,$G83=1)),0,IF(AND(IN$9=2,(OR($F83&gt;1,$K83=1,AND($L83=80,OR($N83=1,AND($N83=2,'#BerechnungDBE'!$AL74&gt;0)))))),IF(IL$4&gt;=$AD$126,0,IV83),IF(IN$9=3,IF(OR(IL$4&gt;=$AD$127,AND($G83=1,$J83=2,IL$6=2),AND(IL$6=1,$N83&lt;&gt;1)),0,IF(IP83&lt;=120,IV83,IF(IL$4&lt;$AD$124,IF($F83=1,60/IN$4*IN$6,60/IN$4*IN$7),IF($F83=1,120/IN$4*IN$6,120/IN$4*IN$7)))),IF(OR($F83=3,$G83=2),IF(OR(AND(IL$4&gt;=$AD$119,$C83=2),AND(IL$4&gt;=$AF$119,$C83=1)),0,IF(IP83&lt;=60,IV83,60/IN$4*IN$7)),IF(AND($F83=2,$G83=1),IV83,0)))))</f>
        <v>0</v>
      </c>
      <c r="IY83" s="57" t="str">
        <f t="shared" si="587"/>
        <v/>
      </c>
      <c r="IZ83" s="57" t="str">
        <f t="shared" si="588"/>
        <v/>
      </c>
      <c r="JA83" s="713">
        <f>'org. Düngung 22'!BT82</f>
        <v>0</v>
      </c>
      <c r="JB83" s="57"/>
      <c r="JC83" s="57"/>
      <c r="JD83" s="57">
        <f t="shared" si="589"/>
        <v>0</v>
      </c>
      <c r="JE83" s="57">
        <f t="shared" si="761"/>
        <v>0</v>
      </c>
      <c r="JF83" s="57">
        <f t="shared" si="762"/>
        <v>0</v>
      </c>
      <c r="JG83" s="57">
        <f t="shared" si="763"/>
        <v>0</v>
      </c>
      <c r="JH83" s="57">
        <f t="shared" si="764"/>
        <v>0</v>
      </c>
      <c r="JI83" s="1029">
        <f t="shared" si="590"/>
        <v>0</v>
      </c>
      <c r="JJ83" s="57">
        <f t="shared" si="591"/>
        <v>0</v>
      </c>
      <c r="JK83" s="171" t="str">
        <f t="shared" si="592"/>
        <v/>
      </c>
      <c r="JL83" s="57">
        <f t="shared" si="765"/>
        <v>0</v>
      </c>
      <c r="JM83" s="57">
        <f>IF(OR(AND(JA$6=1,$L83=0),AND(JA$6=2,$K83=2,$G83=1)),0,IF(AND(JC$9=2,(OR($F83&gt;1,$K83=1,AND($L83=80,OR($N83=1,AND($N83=2,'#BerechnungDBE'!$AL74&gt;0)))))),IF(JA$4&gt;=$AD$126,0,JK83),IF(JC$9=3,IF(OR(JA$4&gt;=$AD$127,AND($G83=1,$J83=2,JA$6=2),AND(JA$6=1,$N83&lt;&gt;1)),0,IF(JE83&lt;=120,JK83,IF(JA$4&lt;$AD$124,IF($F83=1,60/JC$4*JC$6,60/JC$4*JC$7),IF($F83=1,120/JC$4*JC$6,120/JC$4*JC$7)))),IF(OR($F83=3,$G83=2),IF(OR(AND(JA$4&gt;=$AD$119,$C83=2),AND(JA$4&gt;=$AF$119,$C83=1)),0,IF(JE83&lt;=60,JK83,60/JC$4*JC$7)),IF(AND($F83=2,$G83=1),JK83,0)))))</f>
        <v>0</v>
      </c>
      <c r="JN83" s="57" t="str">
        <f t="shared" si="593"/>
        <v/>
      </c>
      <c r="JO83" s="57" t="str">
        <f t="shared" si="594"/>
        <v/>
      </c>
      <c r="JP83" s="713">
        <f>'org. Düngung 22'!BX82</f>
        <v>0</v>
      </c>
      <c r="JQ83" s="57"/>
      <c r="JR83" s="57"/>
      <c r="JS83" s="57">
        <f t="shared" si="595"/>
        <v>0</v>
      </c>
      <c r="JT83" s="57">
        <f t="shared" si="766"/>
        <v>0</v>
      </c>
      <c r="JU83" s="57">
        <f t="shared" si="767"/>
        <v>0</v>
      </c>
      <c r="JV83" s="57">
        <f t="shared" si="768"/>
        <v>0</v>
      </c>
      <c r="JW83" s="57">
        <f t="shared" si="769"/>
        <v>0</v>
      </c>
      <c r="JX83" s="1029">
        <f t="shared" si="596"/>
        <v>0</v>
      </c>
      <c r="JY83" s="57">
        <f t="shared" si="597"/>
        <v>0</v>
      </c>
      <c r="JZ83" s="171" t="str">
        <f t="shared" si="598"/>
        <v/>
      </c>
      <c r="KA83" s="57">
        <f t="shared" si="770"/>
        <v>0</v>
      </c>
      <c r="KB83" s="57">
        <f>IF(OR(AND(JP$6=1,$L83=0),AND(JP$6=2,$K83=2,$G83=1)),0,IF(AND(JR$9=2,(OR($F83&gt;1,$K83=1,AND($L83=80,OR($N83=1,AND($N83=2,'#BerechnungDBE'!$AL74&gt;0)))))),IF(JP$4&gt;=$AD$126,0,JZ83),IF(JR$9=3,IF(OR(JP$4&gt;=$AD$127,AND($G83=1,$J83=2,JP$6=2),AND(JP$6=1,$N83&lt;&gt;1)),0,IF(JT83&lt;=120,JZ83,IF(JP$4&lt;$AD$124,IF($F83=1,60/JR$4*JR$6,60/JR$4*JR$7),IF($F83=1,120/JR$4*JR$6,120/JR$4*JR$7)))),IF(OR($F83=3,$G83=2),IF(OR(AND(JP$4&gt;=$AD$119,$C83=2),AND(JP$4&gt;=$AF$119,$C83=1)),0,IF(JT83&lt;=60,JZ83,60/JR$4*JR$7)),IF(AND($F83=2,$G83=1),JZ83,0)))))</f>
        <v>0</v>
      </c>
      <c r="KC83" s="57" t="str">
        <f t="shared" si="599"/>
        <v/>
      </c>
      <c r="KD83" s="57" t="str">
        <f t="shared" si="600"/>
        <v/>
      </c>
      <c r="KE83" s="713">
        <f>'org. Düngung 22'!CB82</f>
        <v>0</v>
      </c>
      <c r="KF83" s="57"/>
      <c r="KG83" s="57"/>
      <c r="KH83" s="57">
        <f t="shared" si="601"/>
        <v>0</v>
      </c>
      <c r="KI83" s="57">
        <f t="shared" si="771"/>
        <v>0</v>
      </c>
      <c r="KJ83" s="57">
        <f t="shared" si="772"/>
        <v>0</v>
      </c>
      <c r="KK83" s="57">
        <f t="shared" si="773"/>
        <v>0</v>
      </c>
      <c r="KL83" s="57">
        <f t="shared" si="774"/>
        <v>0</v>
      </c>
      <c r="KM83" s="1029">
        <f t="shared" si="602"/>
        <v>0</v>
      </c>
      <c r="KN83" s="57">
        <f t="shared" si="603"/>
        <v>0</v>
      </c>
      <c r="KO83" s="171" t="str">
        <f t="shared" si="604"/>
        <v/>
      </c>
      <c r="KP83" s="57">
        <f t="shared" si="775"/>
        <v>0</v>
      </c>
      <c r="KQ83" s="57">
        <f>IF(OR(AND(KE$6=1,$L83=0),AND(KE$6=2,$K83=2,$G83=1)),0,IF(AND(KG$9=2,(OR($F83&gt;1,$K83=1,AND($L83=80,OR($N83=1,AND($N83=2,'#BerechnungDBE'!$AL74&gt;0)))))),IF(KE$4&gt;=$AD$126,0,KO83),IF(KG$9=3,IF(OR(KE$4&gt;=$AD$127,AND($G83=1,$J83=2,KE$6=2),AND(KE$6=1,$N83&lt;&gt;1)),0,IF(KI83&lt;=120,KO83,IF(KE$4&lt;$AD$124,IF($F83=1,60/KG$4*KG$6,60/KG$4*KG$7),IF($F83=1,120/KG$4*KG$6,120/KG$4*KG$7)))),IF(OR($F83=3,$G83=2),IF(OR(AND(KE$4&gt;=$AD$119,$C83=2),AND(KE$4&gt;=$AF$119,$C83=1)),0,IF(KI83&lt;=60,KO83,60/KG$4*KG$7)),IF(AND($F83=2,$G83=1),KO83,0)))))</f>
        <v>0</v>
      </c>
      <c r="KR83" s="57" t="str">
        <f t="shared" si="605"/>
        <v/>
      </c>
      <c r="KS83" s="57" t="str">
        <f t="shared" si="606"/>
        <v/>
      </c>
      <c r="KT83" s="713">
        <f>'org. Düngung 22'!CF82</f>
        <v>0</v>
      </c>
      <c r="KU83" s="57"/>
      <c r="KV83" s="57"/>
      <c r="KW83" s="57">
        <f t="shared" si="607"/>
        <v>0</v>
      </c>
      <c r="KX83" s="57">
        <f t="shared" si="776"/>
        <v>0</v>
      </c>
      <c r="KY83" s="57">
        <f t="shared" si="777"/>
        <v>0</v>
      </c>
      <c r="KZ83" s="57">
        <f t="shared" si="778"/>
        <v>0</v>
      </c>
      <c r="LA83" s="57">
        <f t="shared" si="779"/>
        <v>0</v>
      </c>
      <c r="LB83" s="1029">
        <f t="shared" si="608"/>
        <v>0</v>
      </c>
      <c r="LC83" s="57">
        <f t="shared" si="609"/>
        <v>0</v>
      </c>
      <c r="LD83" s="171" t="str">
        <f t="shared" si="610"/>
        <v/>
      </c>
      <c r="LE83" s="57">
        <f t="shared" si="780"/>
        <v>0</v>
      </c>
      <c r="LF83" s="57">
        <f>IF(OR(AND(KT$6=1,$L83=0),AND(KT$6=2,$K83=2,$G83=1)),0,IF(AND(KV$9=2,(OR($F83&gt;1,$K83=1,AND($L83=80,OR($N83=1,AND($N83=2,'#BerechnungDBE'!$AL74&gt;0)))))),IF(KT$4&gt;=$AD$126,0,LD83),IF(KV$9=3,IF(OR(KT$4&gt;=$AD$127,AND($G83=1,$J83=2,KT$6=2),AND(KT$6=1,$N83&lt;&gt;1)),0,IF(KX83&lt;=120,LD83,IF(KT$4&lt;$AD$124,IF($F83=1,60/KV$4*KV$6,60/KV$4*KV$7),IF($F83=1,120/KV$4*KV$6,120/KV$4*KV$7)))),IF(OR($F83=3,$G83=2),IF(OR(AND(KT$4&gt;=$AD$119,$C83=2),AND(KT$4&gt;=$AF$119,$C83=1)),0,IF(KX83&lt;=60,LD83,60/KV$4*KV$7)),IF(AND($F83=2,$G83=1),LD83,0)))))</f>
        <v>0</v>
      </c>
      <c r="LG83" s="57" t="str">
        <f t="shared" si="611"/>
        <v/>
      </c>
      <c r="LH83" s="57" t="str">
        <f t="shared" si="612"/>
        <v/>
      </c>
      <c r="LI83" s="713">
        <f>'org. Düngung 22'!CJ82</f>
        <v>0</v>
      </c>
      <c r="LJ83" s="57"/>
      <c r="LK83" s="57"/>
      <c r="LL83" s="57">
        <f t="shared" si="613"/>
        <v>0</v>
      </c>
      <c r="LM83" s="57">
        <f t="shared" si="781"/>
        <v>0</v>
      </c>
      <c r="LN83" s="57">
        <f t="shared" si="782"/>
        <v>0</v>
      </c>
      <c r="LO83" s="57">
        <f t="shared" si="783"/>
        <v>0</v>
      </c>
      <c r="LP83" s="57">
        <f t="shared" si="784"/>
        <v>0</v>
      </c>
      <c r="LQ83" s="1029">
        <f t="shared" si="614"/>
        <v>0</v>
      </c>
      <c r="LR83" s="57">
        <f t="shared" si="615"/>
        <v>0</v>
      </c>
      <c r="LS83" s="171" t="str">
        <f t="shared" si="616"/>
        <v/>
      </c>
      <c r="LT83" s="57">
        <f t="shared" si="785"/>
        <v>0</v>
      </c>
      <c r="LU83" s="57">
        <f>IF(OR(AND(LI$6=1,$L83=0),AND(LI$6=2,$K83=2,$G83=1)),0,IF(AND(LK$9=2,(OR($F83&gt;1,$K83=1,AND($L83=80,OR($N83=1,AND($N83=2,'#BerechnungDBE'!$AL74&gt;0)))))),IF(LI$4&gt;=$AD$126,0,LS83),IF(LK$9=3,IF(OR(LI$4&gt;=$AD$127,AND($G83=1,$J83=2,LI$6=2),AND(LI$6=1,$N83&lt;&gt;1)),0,IF(LM83&lt;=120,LS83,IF(LI$4&lt;$AD$124,IF($F83=1,60/LK$4*LK$6,60/LK$4*LK$7),IF($F83=1,120/LK$4*LK$6,120/LK$4*LK$7)))),IF(OR($F83=3,$G83=2),IF(OR(AND(LI$4&gt;=$AD$119,$C83=2),AND(LI$4&gt;=$AF$119,$C83=1)),0,IF(LM83&lt;=60,LS83,60/LK$4*LK$7)),IF(AND($F83=2,$G83=1),LS83,0)))))</f>
        <v>0</v>
      </c>
      <c r="LV83" s="57" t="str">
        <f t="shared" si="617"/>
        <v/>
      </c>
      <c r="LW83" s="57" t="str">
        <f t="shared" si="618"/>
        <v/>
      </c>
      <c r="LX83" s="713">
        <f>'org. Düngung 22'!CN82</f>
        <v>0</v>
      </c>
      <c r="LY83" s="57"/>
      <c r="LZ83" s="57"/>
      <c r="MA83" s="57">
        <f t="shared" si="619"/>
        <v>0</v>
      </c>
      <c r="MB83" s="57">
        <f t="shared" si="786"/>
        <v>0</v>
      </c>
      <c r="MC83" s="57">
        <f t="shared" si="787"/>
        <v>0</v>
      </c>
      <c r="MD83" s="57">
        <f t="shared" si="788"/>
        <v>0</v>
      </c>
      <c r="ME83" s="57">
        <f t="shared" si="789"/>
        <v>0</v>
      </c>
      <c r="MF83" s="1029">
        <f t="shared" si="620"/>
        <v>0</v>
      </c>
      <c r="MG83" s="57">
        <f t="shared" si="621"/>
        <v>0</v>
      </c>
      <c r="MH83" s="171" t="str">
        <f t="shared" si="622"/>
        <v/>
      </c>
      <c r="MI83" s="57">
        <f t="shared" si="790"/>
        <v>0</v>
      </c>
      <c r="MJ83" s="57">
        <f>IF(OR(AND(LX$6=1,$L83=0),AND(LX$6=2,$K83=2,$G83=1)),0,IF(AND(LZ$9=2,(OR($F83&gt;1,$K83=1,AND($L83=80,OR($N83=1,AND($N83=2,'#BerechnungDBE'!$AL74&gt;0)))))),IF(LX$4&gt;=$AD$126,0,MH83),IF(LZ$9=3,IF(OR(LX$4&gt;=$AD$127,AND($G83=1,$J83=2,LX$6=2),AND(LX$6=1,$N83&lt;&gt;1)),0,IF(MB83&lt;=120,MH83,IF(LX$4&lt;$AD$124,IF($F83=1,60/LZ$4*LZ$6,60/LZ$4*LZ$7),IF($F83=1,120/LZ$4*LZ$6,120/LZ$4*LZ$7)))),IF(OR($F83=3,$G83=2),IF(OR(AND(LX$4&gt;=$AD$119,$C83=2),AND(LX$4&gt;=$AF$119,$C83=1)),0,IF(MB83&lt;=60,MH83,60/LZ$4*LZ$7)),IF(AND($F83=2,$G83=1),MH83,0)))))</f>
        <v>0</v>
      </c>
      <c r="MK83" s="57" t="str">
        <f t="shared" si="623"/>
        <v/>
      </c>
      <c r="ML83" s="57" t="str">
        <f t="shared" si="624"/>
        <v/>
      </c>
      <c r="MM83" s="713">
        <f>'org. Düngung 22'!CR82</f>
        <v>0</v>
      </c>
      <c r="MN83" s="57"/>
      <c r="MO83" s="57"/>
      <c r="MP83" s="57">
        <f t="shared" si="625"/>
        <v>0</v>
      </c>
      <c r="MQ83" s="57">
        <f t="shared" si="791"/>
        <v>0</v>
      </c>
      <c r="MR83" s="57">
        <f t="shared" si="792"/>
        <v>0</v>
      </c>
      <c r="MS83" s="57">
        <f t="shared" si="793"/>
        <v>0</v>
      </c>
      <c r="MT83" s="57">
        <f t="shared" si="794"/>
        <v>0</v>
      </c>
      <c r="MU83" s="1029">
        <f t="shared" si="626"/>
        <v>0</v>
      </c>
      <c r="MV83" s="57">
        <f t="shared" si="627"/>
        <v>0</v>
      </c>
      <c r="MW83" s="171" t="str">
        <f t="shared" si="628"/>
        <v/>
      </c>
      <c r="MX83" s="57">
        <f t="shared" si="795"/>
        <v>0</v>
      </c>
      <c r="MY83" s="57">
        <f>IF(OR(AND(MM$6=1,$L83=0),AND(MM$6=2,$K83=2,$G83=1)),0,IF(AND(MO$9=2,(OR($F83&gt;1,$K83=1,AND($L83=80,OR($N83=1,AND($N83=2,'#BerechnungDBE'!$AL74&gt;0)))))),IF(MM$4&gt;=$AD$126,0,MW83),IF(MO$9=3,IF(OR(MM$4&gt;=$AD$127,AND($G83=1,$J83=2,MM$6=2),AND(MM$6=1,$N83&lt;&gt;1)),0,IF(MQ83&lt;=120,MW83,IF(MM$4&lt;$AD$124,IF($F83=1,60/MO$4*MO$6,60/MO$4*MO$7),IF($F83=1,120/MO$4*MO$6,120/MO$4*MO$7)))),IF(OR($F83=3,$G83=2),IF(OR(AND(MM$4&gt;=$AD$119,$C83=2),AND(MM$4&gt;=$AF$119,$C83=1)),0,IF(MQ83&lt;=60,MW83,60/MO$4*MO$7)),IF(AND($F83=2,$G83=1),MW83,0)))))</f>
        <v>0</v>
      </c>
      <c r="MZ83" s="57" t="str">
        <f t="shared" si="629"/>
        <v/>
      </c>
      <c r="NA83" s="57" t="str">
        <f t="shared" si="630"/>
        <v/>
      </c>
      <c r="NB83" s="713">
        <f>'org. Düngung 22'!CV82</f>
        <v>0</v>
      </c>
      <c r="NC83" s="57"/>
      <c r="ND83" s="57"/>
      <c r="NE83" s="57">
        <f t="shared" si="631"/>
        <v>0</v>
      </c>
      <c r="NF83" s="57">
        <f t="shared" si="796"/>
        <v>0</v>
      </c>
      <c r="NG83" s="57">
        <f t="shared" si="797"/>
        <v>0</v>
      </c>
      <c r="NH83" s="57">
        <f t="shared" si="798"/>
        <v>0</v>
      </c>
      <c r="NI83" s="57">
        <f t="shared" si="799"/>
        <v>0</v>
      </c>
      <c r="NJ83" s="1029">
        <f t="shared" si="632"/>
        <v>0</v>
      </c>
      <c r="NK83" s="57">
        <f t="shared" si="633"/>
        <v>0</v>
      </c>
      <c r="NL83" s="171" t="str">
        <f t="shared" si="634"/>
        <v/>
      </c>
      <c r="NM83" s="57">
        <f t="shared" si="800"/>
        <v>0</v>
      </c>
      <c r="NN83" s="57">
        <f>IF(OR(AND(NB$6=1,$L83=0),AND(NB$6=2,$K83=2,$G83=1)),0,IF(AND(ND$9=2,(OR($F83&gt;1,$K83=1,AND($L83=80,OR($N83=1,AND($N83=2,'#BerechnungDBE'!$AL74&gt;0)))))),IF(NB$4&gt;=$AD$126,0,NL83),IF(ND$9=3,IF(OR(NB$4&gt;=$AD$127,AND($G83=1,$J83=2,NB$6=2),AND(NB$6=1,$N83&lt;&gt;1)),0,IF(NF83&lt;=120,NL83,IF(NB$4&lt;$AD$124,IF($F83=1,60/ND$4*ND$6,60/ND$4*ND$7),IF($F83=1,120/ND$4*ND$6,120/ND$4*ND$7)))),IF(OR($F83=3,$G83=2),IF(OR(AND(NB$4&gt;=$AD$119,$C83=2),AND(NB$4&gt;=$AF$119,$C83=1)),0,IF(NF83&lt;=60,NL83,60/ND$4*ND$7)),IF(AND($F83=2,$G83=1),NL83,0)))))</f>
        <v>0</v>
      </c>
      <c r="NO83" s="57" t="str">
        <f t="shared" si="635"/>
        <v/>
      </c>
      <c r="NP83" s="57" t="str">
        <f t="shared" si="636"/>
        <v/>
      </c>
      <c r="NQ83" s="713">
        <f>'org. Düngung 22'!CZ82</f>
        <v>0</v>
      </c>
      <c r="NR83" s="57"/>
      <c r="NS83" s="57"/>
      <c r="NT83" s="57">
        <f t="shared" si="637"/>
        <v>0</v>
      </c>
      <c r="NU83" s="57">
        <f t="shared" si="801"/>
        <v>0</v>
      </c>
      <c r="NV83" s="57">
        <f t="shared" si="802"/>
        <v>0</v>
      </c>
      <c r="NW83" s="57">
        <f t="shared" si="803"/>
        <v>0</v>
      </c>
      <c r="NX83" s="57">
        <f t="shared" si="804"/>
        <v>0</v>
      </c>
      <c r="NY83" s="1029">
        <f t="shared" si="638"/>
        <v>0</v>
      </c>
      <c r="NZ83" s="57">
        <f t="shared" si="639"/>
        <v>0</v>
      </c>
      <c r="OA83" s="171" t="str">
        <f t="shared" si="640"/>
        <v/>
      </c>
      <c r="OB83" s="57">
        <f t="shared" si="805"/>
        <v>0</v>
      </c>
      <c r="OC83" s="57">
        <f>IF(OR(AND(NQ$6=1,$L83=0),AND(NQ$6=2,$K83=2,$G83=1)),0,IF(AND(NS$9=2,(OR($F83&gt;1,$K83=1,AND($L83=80,OR($N83=1,AND($N83=2,'#BerechnungDBE'!$AL74&gt;0)))))),IF(NQ$4&gt;=$AD$126,0,OA83),IF(NS$9=3,IF(OR(NQ$4&gt;=$AD$127,AND($G83=1,$J83=2,NQ$6=2),AND(NQ$6=1,$N83&lt;&gt;1)),0,IF(NU83&lt;=120,OA83,IF(NQ$4&lt;$AD$124,IF($F83=1,60/NS$4*NS$6,60/NS$4*NS$7),IF($F83=1,120/NS$4*NS$6,120/NS$4*NS$7)))),IF(OR($F83=3,$G83=2),IF(OR(AND(NQ$4&gt;=$AD$119,$C83=2),AND(NQ$4&gt;=$AF$119,$C83=1)),0,IF(NU83&lt;=60,OA83,60/NS$4*NS$7)),IF(AND($F83=2,$G83=1),OA83,0)))))</f>
        <v>0</v>
      </c>
      <c r="OD83" s="57" t="str">
        <f t="shared" si="641"/>
        <v/>
      </c>
      <c r="OE83" s="57" t="str">
        <f t="shared" si="642"/>
        <v/>
      </c>
      <c r="OF83" s="713">
        <f>'org. Düngung 22'!DD82</f>
        <v>0</v>
      </c>
      <c r="OG83" s="57"/>
      <c r="OH83" s="57"/>
      <c r="OI83" s="57">
        <f t="shared" si="643"/>
        <v>0</v>
      </c>
      <c r="OJ83" s="57">
        <f t="shared" si="806"/>
        <v>0</v>
      </c>
      <c r="OK83" s="57">
        <f t="shared" si="807"/>
        <v>0</v>
      </c>
      <c r="OL83" s="57">
        <f t="shared" si="808"/>
        <v>0</v>
      </c>
      <c r="OM83" s="57">
        <f t="shared" si="809"/>
        <v>0</v>
      </c>
      <c r="ON83" s="1029">
        <f t="shared" si="644"/>
        <v>0</v>
      </c>
      <c r="OO83" s="57">
        <f t="shared" si="645"/>
        <v>0</v>
      </c>
      <c r="OP83" s="171" t="str">
        <f t="shared" si="646"/>
        <v/>
      </c>
      <c r="OQ83" s="57">
        <f t="shared" si="810"/>
        <v>0</v>
      </c>
      <c r="OR83" s="57">
        <f>IF(OR(AND(OF$6=1,$L83=0),AND(OF$6=2,$K83=2,$G83=1)),0,IF(AND(OH$9=2,(OR($F83&gt;1,$K83=1,AND($L83=80,OR($N83=1,AND($N83=2,'#BerechnungDBE'!$AL74&gt;0)))))),IF(OF$4&gt;=$AD$126,0,OP83),IF(OH$9=3,IF(OR(OF$4&gt;=$AD$127,AND($G83=1,$J83=2,OF$6=2),AND(OF$6=1,$N83&lt;&gt;1)),0,IF(OJ83&lt;=120,OP83,IF(OF$4&lt;$AD$124,IF($F83=1,60/OH$4*OH$6,60/OH$4*OH$7),IF($F83=1,120/OH$4*OH$6,120/OH$4*OH$7)))),IF(OR($F83=3,$G83=2),IF(OR(AND(OF$4&gt;=$AD$119,$C83=2),AND(OF$4&gt;=$AF$119,$C83=1)),0,IF(OJ83&lt;=60,OP83,60/OH$4*OH$7)),IF(AND($F83=2,$G83=1),OP83,0)))))</f>
        <v>0</v>
      </c>
      <c r="OS83" s="57" t="str">
        <f t="shared" si="647"/>
        <v/>
      </c>
      <c r="OT83" s="57" t="str">
        <f t="shared" si="648"/>
        <v/>
      </c>
      <c r="OU83" s="713">
        <f>'org. Düngung 22'!DH82</f>
        <v>0</v>
      </c>
      <c r="OV83" s="57"/>
      <c r="OW83" s="57"/>
      <c r="OX83" s="57">
        <f t="shared" si="649"/>
        <v>0</v>
      </c>
      <c r="OY83" s="57">
        <f t="shared" si="811"/>
        <v>0</v>
      </c>
      <c r="OZ83" s="57">
        <f t="shared" si="812"/>
        <v>0</v>
      </c>
      <c r="PA83" s="57">
        <f t="shared" si="813"/>
        <v>0</v>
      </c>
      <c r="PB83" s="57">
        <f t="shared" si="814"/>
        <v>0</v>
      </c>
      <c r="PC83" s="1029">
        <f t="shared" si="650"/>
        <v>0</v>
      </c>
      <c r="PD83" s="57">
        <f t="shared" si="651"/>
        <v>0</v>
      </c>
      <c r="PE83" s="171" t="str">
        <f t="shared" si="652"/>
        <v/>
      </c>
      <c r="PF83" s="57">
        <f t="shared" si="815"/>
        <v>0</v>
      </c>
      <c r="PG83" s="57">
        <f>IF(OR(AND(OU$6=1,$L83=0),AND(OU$6=2,$K83=2,$G83=1)),0,IF(AND(OW$9=2,(OR($F83&gt;1,$K83=1,AND($L83=80,OR($N83=1,AND($N83=2,'#BerechnungDBE'!$AL74&gt;0)))))),IF(OU$4&gt;=$AD$126,0,PE83),IF(OW$9=3,IF(OR(OU$4&gt;=$AD$127,AND($G83=1,$J83=2,OU$6=2),AND(OU$6=1,$N83&lt;&gt;1)),0,IF(OY83&lt;=120,PE83,IF(OU$4&lt;$AD$124,IF($F83=1,60/OW$4*OW$6,60/OW$4*OW$7),IF($F83=1,120/OW$4*OW$6,120/OW$4*OW$7)))),IF(OR($F83=3,$G83=2),IF(OR(AND(OU$4&gt;=$AD$119,$C83=2),AND(OU$4&gt;=$AF$119,$C83=1)),0,IF(OY83&lt;=60,PE83,60/OW$4*OW$7)),IF(AND($F83=2,$G83=1),PE83,0)))))</f>
        <v>0</v>
      </c>
      <c r="PH83" s="57" t="str">
        <f t="shared" si="653"/>
        <v/>
      </c>
      <c r="PI83" s="57" t="str">
        <f t="shared" si="654"/>
        <v/>
      </c>
      <c r="PJ83" s="713">
        <f>'org. Düngung 22'!DL82</f>
        <v>0</v>
      </c>
      <c r="PK83" s="57"/>
      <c r="PL83" s="57"/>
      <c r="PM83" s="57">
        <f t="shared" si="655"/>
        <v>0</v>
      </c>
      <c r="PN83" s="57">
        <f t="shared" si="816"/>
        <v>0</v>
      </c>
      <c r="PO83" s="57">
        <f t="shared" si="817"/>
        <v>0</v>
      </c>
      <c r="PP83" s="57">
        <f t="shared" si="818"/>
        <v>0</v>
      </c>
      <c r="PQ83" s="57">
        <f t="shared" si="819"/>
        <v>0</v>
      </c>
      <c r="PR83" s="1029">
        <f t="shared" si="656"/>
        <v>0</v>
      </c>
      <c r="PS83" s="57">
        <f t="shared" si="657"/>
        <v>0</v>
      </c>
      <c r="PT83" s="171" t="str">
        <f t="shared" si="658"/>
        <v/>
      </c>
      <c r="PU83" s="57">
        <f t="shared" si="820"/>
        <v>0</v>
      </c>
      <c r="PV83" s="57">
        <f>IF(OR(AND(PJ$6=1,$L83=0),AND(PJ$6=2,$K83=2,$G83=1)),0,IF(AND(PL$9=2,(OR($F83&gt;1,$K83=1,AND($L83=80,OR($N83=1,AND($N83=2,'#BerechnungDBE'!$AL74&gt;0)))))),IF(PJ$4&gt;=$AD$126,0,PT83),IF(PL$9=3,IF(OR(PJ$4&gt;=$AD$127,AND($G83=1,$J83=2,PJ$6=2),AND(PJ$6=1,$N83&lt;&gt;1)),0,IF(PN83&lt;=120,PT83,IF(PJ$4&lt;$AD$124,IF($F83=1,60/PL$4*PL$6,60/PL$4*PL$7),IF($F83=1,120/PL$4*PL$6,120/PL$4*PL$7)))),IF(OR($F83=3,$G83=2),IF(OR(AND(PJ$4&gt;=$AD$119,$C83=2),AND(PJ$4&gt;=$AF$119,$C83=1)),0,IF(PN83&lt;=60,PT83,60/PL$4*PL$7)),IF(AND($F83=2,$G83=1),PT83,0)))))</f>
        <v>0</v>
      </c>
      <c r="PW83" s="57" t="str">
        <f t="shared" si="659"/>
        <v/>
      </c>
      <c r="PX83" s="57" t="str">
        <f t="shared" si="660"/>
        <v/>
      </c>
      <c r="PY83" s="713">
        <f>'org. Düngung 22'!DP82</f>
        <v>0</v>
      </c>
      <c r="PZ83" s="57"/>
      <c r="QA83" s="57"/>
      <c r="QB83" s="57">
        <f t="shared" si="661"/>
        <v>0</v>
      </c>
      <c r="QC83" s="57">
        <f t="shared" si="821"/>
        <v>0</v>
      </c>
      <c r="QD83" s="57">
        <f t="shared" si="822"/>
        <v>0</v>
      </c>
      <c r="QE83" s="57">
        <f t="shared" si="823"/>
        <v>0</v>
      </c>
      <c r="QF83" s="57">
        <f t="shared" si="824"/>
        <v>0</v>
      </c>
      <c r="QG83" s="1029">
        <f t="shared" si="662"/>
        <v>0</v>
      </c>
      <c r="QH83" s="57">
        <f t="shared" si="663"/>
        <v>0</v>
      </c>
      <c r="QI83" s="171" t="str">
        <f t="shared" si="664"/>
        <v/>
      </c>
      <c r="QJ83" s="57">
        <f t="shared" si="825"/>
        <v>0</v>
      </c>
      <c r="QK83" s="57">
        <f>IF(OR(AND(PY$6=1,$L83=0),AND(PY$6=2,$K83=2,$G83=1)),0,IF(AND(QA$9=2,(OR($F83&gt;1,$K83=1,AND($L83=80,OR($N83=1,AND($N83=2,'#BerechnungDBE'!$AL74&gt;0)))))),IF(PY$4&gt;=$AD$126,0,QI83),IF(QA$9=3,IF(OR(PY$4&gt;=$AD$127,AND($G83=1,$J83=2,PY$6=2),AND(PY$6=1,$N83&lt;&gt;1)),0,IF(QC83&lt;=120,QI83,IF(PY$4&lt;$AD$124,IF($F83=1,60/QA$4*QA$6,60/QA$4*QA$7),IF($F83=1,120/QA$4*QA$6,120/QA$4*QA$7)))),IF(OR($F83=3,$G83=2),IF(OR(AND(PY$4&gt;=$AD$119,$C83=2),AND(PY$4&gt;=$AF$119,$C83=1)),0,IF(QC83&lt;=60,QI83,60/QA$4*QA$7)),IF(AND($F83=2,$G83=1),QI83,0)))))</f>
        <v>0</v>
      </c>
      <c r="QL83" s="57" t="str">
        <f t="shared" si="665"/>
        <v/>
      </c>
      <c r="QM83" s="57" t="str">
        <f t="shared" si="666"/>
        <v/>
      </c>
      <c r="QN83" s="713">
        <f>'org. Düngung 22'!DT82</f>
        <v>0</v>
      </c>
      <c r="QO83" s="57"/>
      <c r="QP83" s="57"/>
      <c r="QQ83" s="57">
        <f t="shared" si="667"/>
        <v>0</v>
      </c>
      <c r="QR83" s="57">
        <f t="shared" si="826"/>
        <v>0</v>
      </c>
      <c r="QS83" s="57">
        <f t="shared" si="827"/>
        <v>0</v>
      </c>
      <c r="QT83" s="57">
        <f t="shared" si="828"/>
        <v>0</v>
      </c>
      <c r="QU83" s="57">
        <f t="shared" si="829"/>
        <v>0</v>
      </c>
      <c r="QV83" s="1029">
        <f t="shared" si="668"/>
        <v>0</v>
      </c>
      <c r="QW83" s="57">
        <f t="shared" si="669"/>
        <v>0</v>
      </c>
      <c r="QX83" s="171" t="str">
        <f t="shared" si="670"/>
        <v/>
      </c>
      <c r="QY83" s="57">
        <f t="shared" si="830"/>
        <v>0</v>
      </c>
      <c r="QZ83" s="57">
        <f>IF(OR(AND(QN$6=1,$L83=0),AND(QN$6=2,$K83=2,$G83=1)),0,IF(AND(QP$9=2,(OR($F83&gt;1,$K83=1,AND($L83=80,OR($N83=1,AND($N83=2,'#BerechnungDBE'!$AL74&gt;0)))))),IF(QN$4&gt;=$AD$126,0,QX83),IF(QP$9=3,IF(OR(QN$4&gt;=$AD$127,AND($G83=1,$J83=2,QN$6=2),AND(QN$6=1,$N83&lt;&gt;1)),0,IF(QR83&lt;=120,QX83,IF(QN$4&lt;$AD$124,IF($F83=1,60/QP$4*QP$6,60/QP$4*QP$7),IF($F83=1,120/QP$4*QP$6,120/QP$4*QP$7)))),IF(OR($F83=3,$G83=2),IF(OR(AND(QN$4&gt;=$AD$119,$C83=2),AND(QN$4&gt;=$AF$119,$C83=1)),0,IF(QR83&lt;=60,QX83,60/QP$4*QP$7)),IF(AND($F83=2,$G83=1),QX83,0)))))</f>
        <v>0</v>
      </c>
      <c r="RA83" s="57" t="str">
        <f t="shared" si="671"/>
        <v/>
      </c>
      <c r="RB83" s="57" t="str">
        <f t="shared" si="672"/>
        <v/>
      </c>
      <c r="RC83" s="713">
        <f>'org. Düngung 22'!DX82</f>
        <v>0</v>
      </c>
      <c r="RD83" s="57"/>
      <c r="RE83" s="57"/>
      <c r="RF83" s="57">
        <f t="shared" si="673"/>
        <v>0</v>
      </c>
      <c r="RG83" s="57">
        <f t="shared" si="831"/>
        <v>0</v>
      </c>
      <c r="RH83" s="57">
        <f t="shared" si="832"/>
        <v>0</v>
      </c>
      <c r="RI83" s="57">
        <f t="shared" si="833"/>
        <v>0</v>
      </c>
      <c r="RJ83" s="57">
        <f t="shared" si="834"/>
        <v>0</v>
      </c>
      <c r="RK83" s="1029">
        <f t="shared" si="674"/>
        <v>0</v>
      </c>
      <c r="RL83" s="57">
        <f t="shared" si="675"/>
        <v>0</v>
      </c>
      <c r="RM83" s="171" t="str">
        <f t="shared" si="676"/>
        <v/>
      </c>
      <c r="RN83" s="57">
        <f t="shared" si="835"/>
        <v>0</v>
      </c>
      <c r="RO83" s="57">
        <f>IF(OR(AND(RC$6=1,$L83=0),AND(RC$6=2,$K83=2,$G83=1)),0,IF(AND(RE$9=2,(OR($F83&gt;1,$K83=1,AND($L83=80,OR($N83=1,AND($N83=2,'#BerechnungDBE'!$AL74&gt;0)))))),IF(RC$4&gt;=$AD$126,0,RM83),IF(RE$9=3,IF(OR(RC$4&gt;=$AD$127,AND($G83=1,$J83=2,RC$6=2),AND(RC$6=1,$N83&lt;&gt;1)),0,IF(RG83&lt;=120,RM83,IF(RC$4&lt;$AD$124,IF($F83=1,60/RE$4*RE$6,60/RE$4*RE$7),IF($F83=1,120/RE$4*RE$6,120/RE$4*RE$7)))),IF(OR($F83=3,$G83=2),IF(OR(AND(RC$4&gt;=$AD$119,$C83=2),AND(RC$4&gt;=$AF$119,$C83=1)),0,IF(RG83&lt;=60,RM83,60/RE$4*RE$7)),IF(AND($F83=2,$G83=1),RM83,0)))))</f>
        <v>0</v>
      </c>
      <c r="RP83" s="57" t="str">
        <f t="shared" si="677"/>
        <v/>
      </c>
      <c r="RQ83" s="57" t="str">
        <f t="shared" si="678"/>
        <v/>
      </c>
      <c r="RS83" s="57" t="str">
        <f t="shared" si="836"/>
        <v/>
      </c>
      <c r="RT83" s="57" t="str">
        <f t="shared" si="679"/>
        <v/>
      </c>
      <c r="RU83" s="57" t="str">
        <f t="shared" si="680"/>
        <v/>
      </c>
      <c r="RV83" s="57" t="str">
        <f>IF(Z83&gt;'#BerechnungDBE'!BM74,$RV$9,"")</f>
        <v/>
      </c>
      <c r="RW83" s="57" t="str">
        <f>IF(AND(L83=70,AE83&gt;'#BerechnungDBE'!CQ74),$RW$9,"")</f>
        <v/>
      </c>
      <c r="RX83" s="57" t="str">
        <f>IF(OR('org. Düngung 22'!G82="--",'org. Düngung 22'!G82&lt;=170,'org. Düngung 22'!G82=""),"",$RX$9)</f>
        <v/>
      </c>
      <c r="RY83" s="57" t="str">
        <f>IF('org. Düngung 22'!K82&gt;120,'#orgDung'!$RY$9,"")</f>
        <v/>
      </c>
      <c r="RZ83" s="57" t="str">
        <f>IF('#BerechnungDBE'!P74&lt;4,"",IF(AND('#BerechnungDBE'!BZ74&gt;0,T83&gt;0),'#orgDung'!$RZ$9,""))</f>
        <v/>
      </c>
      <c r="SA83" s="57" t="str">
        <f t="shared" si="681"/>
        <v/>
      </c>
    </row>
    <row r="84" spans="1:495" s="875" customFormat="1" x14ac:dyDescent="0.2">
      <c r="A84" s="875">
        <f>'Flächen u. Kulturen'!A80</f>
        <v>71</v>
      </c>
      <c r="B84" s="367">
        <f>'#BerechnungDBE'!L75</f>
        <v>0</v>
      </c>
      <c r="C84" s="875">
        <f>'#BerechnungDBE'!R75</f>
        <v>1</v>
      </c>
      <c r="D84" s="875">
        <f>'#BerechnungDBE'!T75</f>
        <v>2</v>
      </c>
      <c r="E84" s="875" t="str">
        <f>'Flächen u. Kulturen'!E80</f>
        <v>x</v>
      </c>
      <c r="F84" s="52">
        <f>'#BerechnungDBE'!N75</f>
        <v>1</v>
      </c>
      <c r="G84" s="52">
        <f>'#BerechnungDBE'!O75</f>
        <v>1</v>
      </c>
      <c r="H84" s="875">
        <f>IF('Flächen u. Kulturen'!P80="",0,VLOOKUP('Flächen u. Kulturen'!P80,Kulturen[[HF]:[Berechnungsgruppe]],'#Frucht'!$H$1,FALSE))</f>
        <v>0</v>
      </c>
      <c r="I84" s="875">
        <f>IF('Flächen u. Kulturen'!J80="",0,VLOOKUP('Flächen u. Kulturen'!J80,Kulturen[[HF]:[Berechnungsgruppe]],'#Frucht'!$G$1,FALSE))</f>
        <v>90</v>
      </c>
      <c r="J84" s="505">
        <f t="shared" si="682"/>
        <v>2</v>
      </c>
      <c r="K84" s="505">
        <f>IF('Flächen u. Kulturen'!P80="",0,IF(VLOOKUP('Flächen u. Kulturen'!P80,Kulturen[[HF]:[Saat Winterungen]],'#Frucht'!$P$1,FALSE)&gt;0,1,2))</f>
        <v>2</v>
      </c>
      <c r="L84" s="875">
        <f>'#BerechnungDBE'!AF75</f>
        <v>0</v>
      </c>
      <c r="M84" s="875">
        <f>IF('Flächen u. Kulturen'!L80="",0,VLOOKUP('Flächen u. Kulturen'!L80,Nebenkultur[[Nebenkultur]:[Legum. Zwischenfr.]],'#Zweitfr'!$K$1,FALSE))</f>
        <v>0</v>
      </c>
      <c r="N84" s="875">
        <f>'#BerechnungDBE'!AG75</f>
        <v>0</v>
      </c>
      <c r="P84" s="57">
        <f t="shared" si="489"/>
        <v>0</v>
      </c>
      <c r="Q84" s="57">
        <f t="shared" si="490"/>
        <v>0</v>
      </c>
      <c r="R84" s="875">
        <f t="shared" si="491"/>
        <v>0</v>
      </c>
      <c r="S84" s="938" t="str">
        <f t="shared" si="683"/>
        <v/>
      </c>
      <c r="T84" s="875">
        <f t="shared" si="492"/>
        <v>0</v>
      </c>
      <c r="U84" s="875">
        <f t="shared" si="493"/>
        <v>0</v>
      </c>
      <c r="V84" s="875">
        <f t="shared" si="494"/>
        <v>0</v>
      </c>
      <c r="W84" s="875">
        <f t="shared" si="495"/>
        <v>0</v>
      </c>
      <c r="X84" s="875">
        <f t="shared" si="496"/>
        <v>0</v>
      </c>
      <c r="Y84" s="875">
        <f t="shared" si="837"/>
        <v>0</v>
      </c>
      <c r="Z84" s="875">
        <f t="shared" si="838"/>
        <v>0</v>
      </c>
      <c r="AA84" s="910">
        <f t="shared" si="497"/>
        <v>0</v>
      </c>
      <c r="AB84" s="57">
        <f t="shared" si="839"/>
        <v>0</v>
      </c>
      <c r="AC84" s="875">
        <f t="shared" si="498"/>
        <v>0</v>
      </c>
      <c r="AD84" s="875">
        <f t="shared" si="499"/>
        <v>0</v>
      </c>
      <c r="AE84" s="875">
        <f t="shared" si="500"/>
        <v>0</v>
      </c>
      <c r="AF84" s="875">
        <f t="shared" si="840"/>
        <v>0</v>
      </c>
      <c r="AG84" s="875">
        <f>'org. Düngung 22'!J83</f>
        <v>0</v>
      </c>
      <c r="AH84" s="875">
        <f>'org. Düngung 22'!K83</f>
        <v>0</v>
      </c>
      <c r="AJ84" s="713">
        <f>'org. Düngung 22'!L83</f>
        <v>0</v>
      </c>
      <c r="AK84" s="57"/>
      <c r="AL84" s="57"/>
      <c r="AM84" s="57">
        <f t="shared" si="684"/>
        <v>0</v>
      </c>
      <c r="AN84" s="57">
        <f t="shared" si="685"/>
        <v>0</v>
      </c>
      <c r="AO84" s="57">
        <f t="shared" si="686"/>
        <v>0</v>
      </c>
      <c r="AP84" s="57">
        <f t="shared" si="687"/>
        <v>0</v>
      </c>
      <c r="AQ84" s="57">
        <f t="shared" si="688"/>
        <v>0</v>
      </c>
      <c r="AR84" s="1029">
        <f t="shared" si="501"/>
        <v>0</v>
      </c>
      <c r="AS84" s="57">
        <f t="shared" si="502"/>
        <v>0</v>
      </c>
      <c r="AT84" s="171" t="str">
        <f t="shared" si="503"/>
        <v/>
      </c>
      <c r="AU84" s="57">
        <f t="shared" si="689"/>
        <v>0</v>
      </c>
      <c r="AV84" s="57">
        <f>IF(OR(AND(AJ$6=1,$L84=0),AND(AJ$6=2,$K84=2,$G84=1)),0,IF(AND(AL$9=2,(OR($F84&gt;1,$K84=1,AND($L84=80,OR($N84=1,AND($N84=2,'#BerechnungDBE'!$AL75&gt;0)))))),IF(AJ$4&gt;=$AD$126,0,AT84),IF(AL$9=3,IF(OR(AJ$4&gt;=$AD$127,AND($G84=1,$J84=2,AJ$6=2),AND(AJ$6=1,$N84&lt;&gt;1)),0,IF(AN84&lt;=120,AT84,IF(AJ$4&lt;$AD$124,IF($F84=1,60/AL$4*AL$6,60/AL$4*AL$7),IF($F84=1,120/AL$4*AL$6,120/AL$4*AL$7)))),IF(OR($F84=3,$G84=2),IF(OR(AND(AJ$4&gt;=$AD$119,$C84=2),AND(AJ$4&gt;=$AF$119,$C84=1)),0,IF(AN84&lt;=60,AT84,60/AL$4*AL$7)),IF(AND($F84=2,$G84=1),AT84,0)))))</f>
        <v>0</v>
      </c>
      <c r="AW84" s="57" t="str">
        <f t="shared" si="690"/>
        <v/>
      </c>
      <c r="AX84" s="57" t="str">
        <f t="shared" si="504"/>
        <v/>
      </c>
      <c r="AY84" s="713">
        <f>'org. Düngung 22'!P83</f>
        <v>0</v>
      </c>
      <c r="AZ84" s="57"/>
      <c r="BA84" s="57"/>
      <c r="BB84" s="57">
        <f t="shared" si="505"/>
        <v>0</v>
      </c>
      <c r="BC84" s="57">
        <f t="shared" si="691"/>
        <v>0</v>
      </c>
      <c r="BD84" s="57">
        <f t="shared" si="692"/>
        <v>0</v>
      </c>
      <c r="BE84" s="57">
        <f t="shared" si="693"/>
        <v>0</v>
      </c>
      <c r="BF84" s="57">
        <f t="shared" si="694"/>
        <v>0</v>
      </c>
      <c r="BG84" s="1029">
        <f t="shared" si="506"/>
        <v>0</v>
      </c>
      <c r="BH84" s="57">
        <f t="shared" si="507"/>
        <v>0</v>
      </c>
      <c r="BI84" s="171" t="str">
        <f t="shared" si="508"/>
        <v/>
      </c>
      <c r="BJ84" s="57">
        <f t="shared" si="695"/>
        <v>0</v>
      </c>
      <c r="BK84" s="57">
        <f>IF(OR(AND(AY$6=1,$L84=0),AND(AY$6=2,$K84=2,$G84=1)),0,IF(AND(BA$9=2,(OR($F84&gt;1,$K84=1,AND($L84=80,OR($N84=1,AND($N84=2,'#BerechnungDBE'!$AL75&gt;0)))))),IF(AY$4&gt;=$AD$126,0,BI84),IF(BA$9=3,IF(OR(AY$4&gt;=$AD$127,AND($G84=1,$J84=2,AY$6=2),AND(AY$6=1,$N84&lt;&gt;1)),0,IF(BC84&lt;=120,BI84,IF(AY$4&lt;$AD$124,IF($F84=1,60/BA$4*BA$6,60/BA$4*BA$7),IF($F84=1,120/BA$4*BA$6,120/BA$4*BA$7)))),IF(OR($F84=3,$G84=2),IF(OR(AND(AY$4&gt;=$AD$119,$C84=2),AND(AY$4&gt;=$AF$119,$C84=1)),0,IF(BC84&lt;=60,BI84,60/BA$4*BA$7)),IF(AND($F84=2,$G84=1),BI84,0)))))</f>
        <v>0</v>
      </c>
      <c r="BL84" s="57" t="str">
        <f t="shared" si="509"/>
        <v/>
      </c>
      <c r="BM84" s="57" t="str">
        <f t="shared" si="510"/>
        <v/>
      </c>
      <c r="BN84" s="713">
        <f>'org. Düngung 22'!T83</f>
        <v>0</v>
      </c>
      <c r="BO84" s="57"/>
      <c r="BP84" s="57"/>
      <c r="BQ84" s="57">
        <f t="shared" si="511"/>
        <v>0</v>
      </c>
      <c r="BR84" s="57">
        <f t="shared" si="696"/>
        <v>0</v>
      </c>
      <c r="BS84" s="57">
        <f t="shared" si="697"/>
        <v>0</v>
      </c>
      <c r="BT84" s="57">
        <f t="shared" si="698"/>
        <v>0</v>
      </c>
      <c r="BU84" s="57">
        <f t="shared" si="699"/>
        <v>0</v>
      </c>
      <c r="BV84" s="1029">
        <f t="shared" si="512"/>
        <v>0</v>
      </c>
      <c r="BW84" s="57">
        <f t="shared" si="513"/>
        <v>0</v>
      </c>
      <c r="BX84" s="171" t="str">
        <f t="shared" si="514"/>
        <v/>
      </c>
      <c r="BY84" s="57">
        <f t="shared" si="700"/>
        <v>0</v>
      </c>
      <c r="BZ84" s="57">
        <f>IF(OR(AND(BN$6=1,$L84=0),AND(BN$6=2,$K84=2,$G84=1)),0,IF(AND(BP$9=2,(OR($F84&gt;1,$K84=1,AND($L84=80,OR($N84=1,AND($N84=2,'#BerechnungDBE'!$AL75&gt;0)))))),IF(BN$4&gt;=$AD$126,0,BX84),IF(BP$9=3,IF(OR(BN$4&gt;=$AD$127,AND($G84=1,$J84=2,BN$6=2),AND(BN$6=1,$N84&lt;&gt;1)),0,IF(BR84&lt;=120,BX84,IF(BN$4&lt;$AD$124,IF($F84=1,60/BP$4*BP$6,60/BP$4*BP$7),IF($F84=1,120/BP$4*BP$6,120/BP$4*BP$7)))),IF(OR($F84=3,$G84=2),IF(OR(AND(BN$4&gt;=$AD$119,$C84=2),AND(BN$4&gt;=$AF$119,$C84=1)),0,IF(BR84&lt;=60,BX84,60/BP$4*BP$7)),IF(AND($F84=2,$G84=1),BX84,0)))))</f>
        <v>0</v>
      </c>
      <c r="CA84" s="57" t="str">
        <f t="shared" si="515"/>
        <v/>
      </c>
      <c r="CB84" s="57" t="str">
        <f t="shared" si="516"/>
        <v/>
      </c>
      <c r="CC84" s="713">
        <f>'org. Düngung 22'!X83</f>
        <v>0</v>
      </c>
      <c r="CD84" s="57"/>
      <c r="CE84" s="57"/>
      <c r="CF84" s="57">
        <f t="shared" si="517"/>
        <v>0</v>
      </c>
      <c r="CG84" s="57">
        <f t="shared" si="701"/>
        <v>0</v>
      </c>
      <c r="CH84" s="57">
        <f t="shared" si="702"/>
        <v>0</v>
      </c>
      <c r="CI84" s="57">
        <f t="shared" si="703"/>
        <v>0</v>
      </c>
      <c r="CJ84" s="57">
        <f t="shared" si="704"/>
        <v>0</v>
      </c>
      <c r="CK84" s="1029">
        <f t="shared" si="518"/>
        <v>0</v>
      </c>
      <c r="CL84" s="57">
        <f t="shared" si="519"/>
        <v>0</v>
      </c>
      <c r="CM84" s="171" t="str">
        <f t="shared" si="520"/>
        <v/>
      </c>
      <c r="CN84" s="57">
        <f t="shared" si="705"/>
        <v>0</v>
      </c>
      <c r="CO84" s="57">
        <f>IF(OR(AND(CC$6=1,$L84=0),AND(CC$6=2,$K84=2,$G84=1)),0,IF(AND(CE$9=2,(OR($F84&gt;1,$K84=1,AND($L84=80,OR($N84=1,AND($N84=2,'#BerechnungDBE'!$AL75&gt;0)))))),IF(CC$4&gt;=$AD$126,0,CM84),IF(CE$9=3,IF(OR(CC$4&gt;=$AD$127,AND($G84=1,$J84=2,CC$6=2),AND(CC$6=1,$N84&lt;&gt;1)),0,IF(CG84&lt;=120,CM84,IF(CC$4&lt;$AD$124,IF($F84=1,60/CE$4*CE$6,60/CE$4*CE$7),IF($F84=1,120/CE$4*CE$6,120/CE$4*CE$7)))),IF(OR($F84=3,$G84=2),IF(OR(AND(CC$4&gt;=$AD$119,$C84=2),AND(CC$4&gt;=$AF$119,$C84=1)),0,IF(CG84&lt;=60,CM84,60/CE$4*CE$7)),IF(AND($F84=2,$G84=1),CM84,0)))))</f>
        <v>0</v>
      </c>
      <c r="CP84" s="57" t="str">
        <f t="shared" si="521"/>
        <v/>
      </c>
      <c r="CQ84" s="57" t="str">
        <f t="shared" si="522"/>
        <v/>
      </c>
      <c r="CR84" s="713">
        <f>'org. Düngung 22'!AB83</f>
        <v>0</v>
      </c>
      <c r="CS84" s="57"/>
      <c r="CT84" s="57"/>
      <c r="CU84" s="57">
        <f t="shared" si="523"/>
        <v>0</v>
      </c>
      <c r="CV84" s="57">
        <f t="shared" si="706"/>
        <v>0</v>
      </c>
      <c r="CW84" s="57">
        <f t="shared" si="707"/>
        <v>0</v>
      </c>
      <c r="CX84" s="57">
        <f t="shared" si="708"/>
        <v>0</v>
      </c>
      <c r="CY84" s="57">
        <f t="shared" si="709"/>
        <v>0</v>
      </c>
      <c r="CZ84" s="1029">
        <f t="shared" si="524"/>
        <v>0</v>
      </c>
      <c r="DA84" s="57">
        <f t="shared" si="525"/>
        <v>0</v>
      </c>
      <c r="DB84" s="171" t="str">
        <f t="shared" si="526"/>
        <v/>
      </c>
      <c r="DC84" s="57">
        <f t="shared" si="710"/>
        <v>0</v>
      </c>
      <c r="DD84" s="57">
        <f>IF(OR(AND(CR$6=1,$L84=0),AND(CR$6=2,$K84=2,$G84=1)),0,IF(AND(CT$9=2,(OR($F84&gt;1,$K84=1,AND($L84=80,OR($N84=1,AND($N84=2,'#BerechnungDBE'!$AL75&gt;0)))))),IF(CR$4&gt;=$AD$126,0,DB84),IF(CT$9=3,IF(OR(CR$4&gt;=$AD$127,AND($G84=1,$J84=2,CR$6=2),AND(CR$6=1,$N84&lt;&gt;1)),0,IF(CV84&lt;=120,DB84,IF(CR$4&lt;$AD$124,IF($F84=1,60/CT$4*CT$6,60/CT$4*CT$7),IF($F84=1,120/CT$4*CT$6,120/CT$4*CT$7)))),IF(OR($F84=3,$G84=2),IF(OR(AND(CR$4&gt;=$AD$119,$C84=2),AND(CR$4&gt;=$AF$119,$C84=1)),0,IF(CV84&lt;=60,DB84,60/CT$4*CT$7)),IF(AND($F84=2,$G84=1),DB84,0)))))</f>
        <v>0</v>
      </c>
      <c r="DE84" s="57" t="str">
        <f t="shared" si="527"/>
        <v/>
      </c>
      <c r="DF84" s="57" t="str">
        <f t="shared" si="528"/>
        <v/>
      </c>
      <c r="DG84" s="713">
        <f>'org. Düngung 22'!AF83</f>
        <v>0</v>
      </c>
      <c r="DH84" s="57"/>
      <c r="DI84" s="57"/>
      <c r="DJ84" s="57">
        <f t="shared" si="529"/>
        <v>0</v>
      </c>
      <c r="DK84" s="57">
        <f t="shared" si="711"/>
        <v>0</v>
      </c>
      <c r="DL84" s="57">
        <f t="shared" si="712"/>
        <v>0</v>
      </c>
      <c r="DM84" s="57">
        <f t="shared" si="713"/>
        <v>0</v>
      </c>
      <c r="DN84" s="57">
        <f t="shared" si="714"/>
        <v>0</v>
      </c>
      <c r="DO84" s="1029">
        <f t="shared" si="530"/>
        <v>0</v>
      </c>
      <c r="DP84" s="57">
        <f t="shared" si="531"/>
        <v>0</v>
      </c>
      <c r="DQ84" s="171" t="str">
        <f t="shared" si="532"/>
        <v/>
      </c>
      <c r="DR84" s="57">
        <f t="shared" si="715"/>
        <v>0</v>
      </c>
      <c r="DS84" s="57">
        <f>IF(OR(AND(DG$6=1,$L84=0),AND(DG$6=2,$K84=2,$G84=1)),0,IF(AND(DI$9=2,(OR($F84&gt;1,$K84=1,AND($L84=80,OR($N84=1,AND($N84=2,'#BerechnungDBE'!$AL75&gt;0)))))),IF(DG$4&gt;=$AD$126,0,DQ84),IF(DI$9=3,IF(OR(DG$4&gt;=$AD$127,AND($G84=1,$J84=2,DG$6=2),AND(DG$6=1,$N84&lt;&gt;1)),0,IF(DK84&lt;=120,DQ84,IF(DG$4&lt;$AD$124,IF($F84=1,60/DI$4*DI$6,60/DI$4*DI$7),IF($F84=1,120/DI$4*DI$6,120/DI$4*DI$7)))),IF(OR($F84=3,$G84=2),IF(OR(AND(DG$4&gt;=$AD$119,$C84=2),AND(DG$4&gt;=$AF$119,$C84=1)),0,IF(DK84&lt;=60,DQ84,60/DI$4*DI$7)),IF(AND($F84=2,$G84=1),DQ84,0)))))</f>
        <v>0</v>
      </c>
      <c r="DT84" s="57" t="str">
        <f t="shared" si="533"/>
        <v/>
      </c>
      <c r="DU84" s="57" t="str">
        <f t="shared" si="534"/>
        <v/>
      </c>
      <c r="DV84" s="713">
        <f>'org. Düngung 22'!AJ83</f>
        <v>0</v>
      </c>
      <c r="DW84" s="57"/>
      <c r="DX84" s="57"/>
      <c r="DY84" s="57">
        <f t="shared" si="535"/>
        <v>0</v>
      </c>
      <c r="DZ84" s="57">
        <f t="shared" si="716"/>
        <v>0</v>
      </c>
      <c r="EA84" s="57">
        <f t="shared" si="717"/>
        <v>0</v>
      </c>
      <c r="EB84" s="57">
        <f t="shared" si="718"/>
        <v>0</v>
      </c>
      <c r="EC84" s="57">
        <f t="shared" si="719"/>
        <v>0</v>
      </c>
      <c r="ED84" s="1029">
        <f t="shared" si="536"/>
        <v>0</v>
      </c>
      <c r="EE84" s="57">
        <f t="shared" si="537"/>
        <v>0</v>
      </c>
      <c r="EF84" s="171" t="str">
        <f t="shared" si="538"/>
        <v/>
      </c>
      <c r="EG84" s="57">
        <f t="shared" si="720"/>
        <v>0</v>
      </c>
      <c r="EH84" s="57">
        <f>IF(OR(AND(DV$6=1,$L84=0),AND(DV$6=2,$K84=2,$G84=1)),0,IF(AND(DX$9=2,(OR($F84&gt;1,$K84=1,AND($L84=80,OR($N84=1,AND($N84=2,'#BerechnungDBE'!$AL75&gt;0)))))),IF(DV$4&gt;=$AD$126,0,EF84),IF(DX$9=3,IF(OR(DV$4&gt;=$AD$127,AND($G84=1,$J84=2,DV$6=2),AND(DV$6=1,$N84&lt;&gt;1)),0,IF(DZ84&lt;=120,EF84,IF(DV$4&lt;$AD$124,IF($F84=1,60/DX$4*DX$6,60/DX$4*DX$7),IF($F84=1,120/DX$4*DX$6,120/DX$4*DX$7)))),IF(OR($F84=3,$G84=2),IF(OR(AND(DV$4&gt;=$AD$119,$C84=2),AND(DV$4&gt;=$AF$119,$C84=1)),0,IF(DZ84&lt;=60,EF84,60/DX$4*DX$7)),IF(AND($F84=2,$G84=1),EF84,0)))))</f>
        <v>0</v>
      </c>
      <c r="EI84" s="57" t="str">
        <f t="shared" si="539"/>
        <v/>
      </c>
      <c r="EJ84" s="57" t="str">
        <f t="shared" si="540"/>
        <v/>
      </c>
      <c r="EK84" s="713">
        <f>'org. Düngung 22'!AN83</f>
        <v>0</v>
      </c>
      <c r="EL84" s="57"/>
      <c r="EM84" s="57"/>
      <c r="EN84" s="57">
        <f t="shared" si="541"/>
        <v>0</v>
      </c>
      <c r="EO84" s="57">
        <f t="shared" si="721"/>
        <v>0</v>
      </c>
      <c r="EP84" s="57">
        <f t="shared" si="722"/>
        <v>0</v>
      </c>
      <c r="EQ84" s="57">
        <f t="shared" si="723"/>
        <v>0</v>
      </c>
      <c r="ER84" s="57">
        <f t="shared" si="724"/>
        <v>0</v>
      </c>
      <c r="ES84" s="1029">
        <f t="shared" si="542"/>
        <v>0</v>
      </c>
      <c r="ET84" s="57">
        <f t="shared" si="543"/>
        <v>0</v>
      </c>
      <c r="EU84" s="171" t="str">
        <f t="shared" si="544"/>
        <v/>
      </c>
      <c r="EV84" s="57">
        <f t="shared" si="725"/>
        <v>0</v>
      </c>
      <c r="EW84" s="57">
        <f>IF(OR(AND(EK$6=1,$L84=0),AND(EK$6=2,$K84=2,$G84=1)),0,IF(AND(EM$9=2,(OR($F84&gt;1,$K84=1,AND($L84=80,OR($N84=1,AND($N84=2,'#BerechnungDBE'!$AL75&gt;0)))))),IF(EK$4&gt;=$AD$126,0,EU84),IF(EM$9=3,IF(OR(EK$4&gt;=$AD$127,AND($G84=1,$J84=2,EK$6=2),AND(EK$6=1,$N84&lt;&gt;1)),0,IF(EO84&lt;=120,EU84,IF(EK$4&lt;$AD$124,IF($F84=1,60/EM$4*EM$6,60/EM$4*EM$7),IF($F84=1,120/EM$4*EM$6,120/EM$4*EM$7)))),IF(OR($F84=3,$G84=2),IF(OR(AND(EK$4&gt;=$AD$119,$C84=2),AND(EK$4&gt;=$AF$119,$C84=1)),0,IF(EO84&lt;=60,EU84,60/EM$4*EM$7)),IF(AND($F84=2,$G84=1),EU84,0)))))</f>
        <v>0</v>
      </c>
      <c r="EX84" s="57" t="str">
        <f t="shared" si="545"/>
        <v/>
      </c>
      <c r="EY84" s="57" t="str">
        <f t="shared" si="546"/>
        <v/>
      </c>
      <c r="EZ84" s="713">
        <f>'org. Düngung 22'!AR83</f>
        <v>0</v>
      </c>
      <c r="FA84" s="57"/>
      <c r="FB84" s="57"/>
      <c r="FC84" s="57">
        <f t="shared" si="547"/>
        <v>0</v>
      </c>
      <c r="FD84" s="57">
        <f t="shared" si="726"/>
        <v>0</v>
      </c>
      <c r="FE84" s="57">
        <f t="shared" si="727"/>
        <v>0</v>
      </c>
      <c r="FF84" s="57">
        <f t="shared" si="728"/>
        <v>0</v>
      </c>
      <c r="FG84" s="57">
        <f t="shared" si="729"/>
        <v>0</v>
      </c>
      <c r="FH84" s="1029">
        <f t="shared" si="548"/>
        <v>0</v>
      </c>
      <c r="FI84" s="57">
        <f t="shared" si="549"/>
        <v>0</v>
      </c>
      <c r="FJ84" s="171" t="str">
        <f t="shared" si="550"/>
        <v/>
      </c>
      <c r="FK84" s="57">
        <f t="shared" si="730"/>
        <v>0</v>
      </c>
      <c r="FL84" s="57">
        <f>IF(OR(AND(EZ$6=1,$L84=0),AND(EZ$6=2,$K84=2,$G84=1)),0,IF(AND(FB$9=2,(OR($F84&gt;1,$K84=1,AND($L84=80,OR($N84=1,AND($N84=2,'#BerechnungDBE'!$AL75&gt;0)))))),IF(EZ$4&gt;=$AD$126,0,FJ84),IF(FB$9=3,IF(OR(EZ$4&gt;=$AD$127,AND($G84=1,$J84=2,EZ$6=2),AND(EZ$6=1,$N84&lt;&gt;1)),0,IF(FD84&lt;=120,FJ84,IF(EZ$4&lt;$AD$124,IF($F84=1,60/FB$4*FB$6,60/FB$4*FB$7),IF($F84=1,120/FB$4*FB$6,120/FB$4*FB$7)))),IF(OR($F84=3,$G84=2),IF(OR(AND(EZ$4&gt;=$AD$119,$C84=2),AND(EZ$4&gt;=$AF$119,$C84=1)),0,IF(FD84&lt;=60,FJ84,60/FB$4*FB$7)),IF(AND($F84=2,$G84=1),FJ84,0)))))</f>
        <v>0</v>
      </c>
      <c r="FM84" s="57" t="str">
        <f t="shared" si="551"/>
        <v/>
      </c>
      <c r="FN84" s="57" t="str">
        <f t="shared" si="552"/>
        <v/>
      </c>
      <c r="FO84" s="713">
        <f>'org. Düngung 22'!AV83</f>
        <v>0</v>
      </c>
      <c r="FP84" s="57"/>
      <c r="FQ84" s="57"/>
      <c r="FR84" s="57">
        <f t="shared" si="553"/>
        <v>0</v>
      </c>
      <c r="FS84" s="57">
        <f t="shared" si="731"/>
        <v>0</v>
      </c>
      <c r="FT84" s="57">
        <f t="shared" si="732"/>
        <v>0</v>
      </c>
      <c r="FU84" s="57">
        <f t="shared" si="733"/>
        <v>0</v>
      </c>
      <c r="FV84" s="57">
        <f t="shared" si="734"/>
        <v>0</v>
      </c>
      <c r="FW84" s="1029">
        <f t="shared" si="554"/>
        <v>0</v>
      </c>
      <c r="FX84" s="57">
        <f t="shared" si="555"/>
        <v>0</v>
      </c>
      <c r="FY84" s="171" t="str">
        <f t="shared" si="556"/>
        <v/>
      </c>
      <c r="FZ84" s="57">
        <f t="shared" si="735"/>
        <v>0</v>
      </c>
      <c r="GA84" s="57">
        <f>IF(OR(AND(FO$6=1,$L84=0),AND(FO$6=2,$K84=2,$G84=1)),0,IF(AND(FQ$9=2,(OR($F84&gt;1,$K84=1,AND($L84=80,OR($N84=1,AND($N84=2,'#BerechnungDBE'!$AL75&gt;0)))))),IF(FO$4&gt;=$AD$126,0,FY84),IF(FQ$9=3,IF(OR(FO$4&gt;=$AD$127,AND($G84=1,$J84=2,FO$6=2),AND(FO$6=1,$N84&lt;&gt;1)),0,IF(FS84&lt;=120,FY84,IF(FO$4&lt;$AD$124,IF($F84=1,60/FQ$4*FQ$6,60/FQ$4*FQ$7),IF($F84=1,120/FQ$4*FQ$6,120/FQ$4*FQ$7)))),IF(OR($F84=3,$G84=2),IF(OR(AND(FO$4&gt;=$AD$119,$C84=2),AND(FO$4&gt;=$AF$119,$C84=1)),0,IF(FS84&lt;=60,FY84,60/FQ$4*FQ$7)),IF(AND($F84=2,$G84=1),FY84,0)))))</f>
        <v>0</v>
      </c>
      <c r="GB84" s="57" t="str">
        <f t="shared" si="557"/>
        <v/>
      </c>
      <c r="GC84" s="57" t="str">
        <f t="shared" si="558"/>
        <v/>
      </c>
      <c r="GD84" s="713">
        <f>'org. Düngung 22'!AZ83</f>
        <v>0</v>
      </c>
      <c r="GE84" s="57"/>
      <c r="GF84" s="57"/>
      <c r="GG84" s="57">
        <f t="shared" si="559"/>
        <v>0</v>
      </c>
      <c r="GH84" s="57">
        <f t="shared" si="736"/>
        <v>0</v>
      </c>
      <c r="GI84" s="57">
        <f t="shared" si="737"/>
        <v>0</v>
      </c>
      <c r="GJ84" s="57">
        <f t="shared" si="738"/>
        <v>0</v>
      </c>
      <c r="GK84" s="57">
        <f t="shared" si="739"/>
        <v>0</v>
      </c>
      <c r="GL84" s="1029">
        <f t="shared" si="560"/>
        <v>0</v>
      </c>
      <c r="GM84" s="57">
        <f t="shared" si="561"/>
        <v>0</v>
      </c>
      <c r="GN84" s="171" t="str">
        <f t="shared" si="562"/>
        <v/>
      </c>
      <c r="GO84" s="57">
        <f t="shared" si="740"/>
        <v>0</v>
      </c>
      <c r="GP84" s="57">
        <f>IF(OR(AND(GD$6=1,$L84=0),AND(GD$6=2,$K84=2,$G84=1)),0,IF(AND(GF$9=2,(OR($F84&gt;1,$K84=1,AND($L84=80,OR($N84=1,AND($N84=2,'#BerechnungDBE'!$AL75&gt;0)))))),IF(GD$4&gt;=$AD$126,0,GN84),IF(GF$9=3,IF(OR(GD$4&gt;=$AD$127,AND($G84=1,$J84=2,GD$6=2),AND(GD$6=1,$N84&lt;&gt;1)),0,IF(GH84&lt;=120,GN84,IF(GD$4&lt;$AD$124,IF($F84=1,60/GF$4*GF$6,60/GF$4*GF$7),IF($F84=1,120/GF$4*GF$6,120/GF$4*GF$7)))),IF(OR($F84=3,$G84=2),IF(OR(AND(GD$4&gt;=$AD$119,$C84=2),AND(GD$4&gt;=$AF$119,$C84=1)),0,IF(GH84&lt;=60,GN84,60/GF$4*GF$7)),IF(AND($F84=2,$G84=1),GN84,0)))))</f>
        <v>0</v>
      </c>
      <c r="GQ84" s="57" t="str">
        <f t="shared" si="563"/>
        <v/>
      </c>
      <c r="GR84" s="57" t="str">
        <f t="shared" si="564"/>
        <v/>
      </c>
      <c r="GS84" s="713">
        <f>'org. Düngung 22'!BD83</f>
        <v>0</v>
      </c>
      <c r="GT84" s="57"/>
      <c r="GU84" s="57"/>
      <c r="GV84" s="57">
        <f t="shared" si="565"/>
        <v>0</v>
      </c>
      <c r="GW84" s="57">
        <f t="shared" si="741"/>
        <v>0</v>
      </c>
      <c r="GX84" s="57">
        <f t="shared" si="742"/>
        <v>0</v>
      </c>
      <c r="GY84" s="57">
        <f t="shared" si="743"/>
        <v>0</v>
      </c>
      <c r="GZ84" s="57">
        <f t="shared" si="744"/>
        <v>0</v>
      </c>
      <c r="HA84" s="1029">
        <f t="shared" si="566"/>
        <v>0</v>
      </c>
      <c r="HB84" s="57">
        <f t="shared" si="567"/>
        <v>0</v>
      </c>
      <c r="HC84" s="171" t="str">
        <f t="shared" si="568"/>
        <v/>
      </c>
      <c r="HD84" s="57">
        <f t="shared" si="745"/>
        <v>0</v>
      </c>
      <c r="HE84" s="57">
        <f>IF(OR(AND(GS$6=1,$L84=0),AND(GS$6=2,$K84=2,$G84=1)),0,IF(AND(GU$9=2,(OR($F84&gt;1,$K84=1,AND($L84=80,OR($N84=1,AND($N84=2,'#BerechnungDBE'!$AL75&gt;0)))))),IF(GS$4&gt;=$AD$126,0,HC84),IF(GU$9=3,IF(OR(GS$4&gt;=$AD$127,AND($G84=1,$J84=2,GS$6=2),AND(GS$6=1,$N84&lt;&gt;1)),0,IF(GW84&lt;=120,HC84,IF(GS$4&lt;$AD$124,IF($F84=1,60/GU$4*GU$6,60/GU$4*GU$7),IF($F84=1,120/GU$4*GU$6,120/GU$4*GU$7)))),IF(OR($F84=3,$G84=2),IF(OR(AND(GS$4&gt;=$AD$119,$C84=2),AND(GS$4&gt;=$AF$119,$C84=1)),0,IF(GW84&lt;=60,HC84,60/GU$4*GU$7)),IF(AND($F84=2,$G84=1),HC84,0)))))</f>
        <v>0</v>
      </c>
      <c r="HF84" s="57" t="str">
        <f t="shared" si="569"/>
        <v/>
      </c>
      <c r="HG84" s="57" t="str">
        <f t="shared" si="570"/>
        <v/>
      </c>
      <c r="HH84" s="713">
        <f>'org. Düngung 22'!BH83</f>
        <v>0</v>
      </c>
      <c r="HI84" s="57"/>
      <c r="HJ84" s="57"/>
      <c r="HK84" s="57">
        <f t="shared" si="571"/>
        <v>0</v>
      </c>
      <c r="HL84" s="57">
        <f t="shared" si="746"/>
        <v>0</v>
      </c>
      <c r="HM84" s="57">
        <f t="shared" si="747"/>
        <v>0</v>
      </c>
      <c r="HN84" s="57">
        <f t="shared" si="748"/>
        <v>0</v>
      </c>
      <c r="HO84" s="57">
        <f t="shared" si="749"/>
        <v>0</v>
      </c>
      <c r="HP84" s="1029">
        <f t="shared" si="572"/>
        <v>0</v>
      </c>
      <c r="HQ84" s="57">
        <f t="shared" si="573"/>
        <v>0</v>
      </c>
      <c r="HR84" s="171" t="str">
        <f t="shared" si="574"/>
        <v/>
      </c>
      <c r="HS84" s="57">
        <f t="shared" si="750"/>
        <v>0</v>
      </c>
      <c r="HT84" s="57">
        <f>IF(OR(AND(HH$6=1,$L84=0),AND(HH$6=2,$K84=2,$G84=1)),0,IF(AND(HJ$9=2,(OR($F84&gt;1,$K84=1,AND($L84=80,OR($N84=1,AND($N84=2,'#BerechnungDBE'!$AL75&gt;0)))))),IF(HH$4&gt;=$AD$126,0,HR84),IF(HJ$9=3,IF(OR(HH$4&gt;=$AD$127,AND($G84=1,$J84=2,HH$6=2),AND(HH$6=1,$N84&lt;&gt;1)),0,IF(HL84&lt;=120,HR84,IF(HH$4&lt;$AD$124,IF($F84=1,60/HJ$4*HJ$6,60/HJ$4*HJ$7),IF($F84=1,120/HJ$4*HJ$6,120/HJ$4*HJ$7)))),IF(OR($F84=3,$G84=2),IF(OR(AND(HH$4&gt;=$AD$119,$C84=2),AND(HH$4&gt;=$AF$119,$C84=1)),0,IF(HL84&lt;=60,HR84,60/HJ$4*HJ$7)),IF(AND($F84=2,$G84=1),HR84,0)))))</f>
        <v>0</v>
      </c>
      <c r="HU84" s="57" t="str">
        <f t="shared" si="575"/>
        <v/>
      </c>
      <c r="HV84" s="57" t="str">
        <f t="shared" si="576"/>
        <v/>
      </c>
      <c r="HW84" s="713">
        <f>'org. Düngung 22'!BL83</f>
        <v>0</v>
      </c>
      <c r="HX84" s="57"/>
      <c r="HY84" s="57"/>
      <c r="HZ84" s="57">
        <f t="shared" si="577"/>
        <v>0</v>
      </c>
      <c r="IA84" s="57">
        <f t="shared" si="751"/>
        <v>0</v>
      </c>
      <c r="IB84" s="57">
        <f t="shared" si="752"/>
        <v>0</v>
      </c>
      <c r="IC84" s="57">
        <f t="shared" si="753"/>
        <v>0</v>
      </c>
      <c r="ID84" s="57">
        <f t="shared" si="754"/>
        <v>0</v>
      </c>
      <c r="IE84" s="1029">
        <f t="shared" si="578"/>
        <v>0</v>
      </c>
      <c r="IF84" s="57">
        <f t="shared" si="579"/>
        <v>0</v>
      </c>
      <c r="IG84" s="171" t="str">
        <f t="shared" si="580"/>
        <v/>
      </c>
      <c r="IH84" s="57">
        <f t="shared" si="755"/>
        <v>0</v>
      </c>
      <c r="II84" s="57">
        <f>IF(OR(AND(HW$6=1,$L84=0),AND(HW$6=2,$K84=2,$G84=1)),0,IF(AND(HY$9=2,(OR($F84&gt;1,$K84=1,AND($L84=80,OR($N84=1,AND($N84=2,'#BerechnungDBE'!$AL75&gt;0)))))),IF(HW$4&gt;=$AD$126,0,IG84),IF(HY$9=3,IF(OR(HW$4&gt;=$AD$127,AND($G84=1,$J84=2,HW$6=2),AND(HW$6=1,$N84&lt;&gt;1)),0,IF(IA84&lt;=120,IG84,IF(HW$4&lt;$AD$124,IF($F84=1,60/HY$4*HY$6,60/HY$4*HY$7),IF($F84=1,120/HY$4*HY$6,120/HY$4*HY$7)))),IF(OR($F84=3,$G84=2),IF(OR(AND(HW$4&gt;=$AD$119,$C84=2),AND(HW$4&gt;=$AF$119,$C84=1)),0,IF(IA84&lt;=60,IG84,60/HY$4*HY$7)),IF(AND($F84=2,$G84=1),IG84,0)))))</f>
        <v>0</v>
      </c>
      <c r="IJ84" s="57" t="str">
        <f t="shared" si="581"/>
        <v/>
      </c>
      <c r="IK84" s="57" t="str">
        <f t="shared" si="582"/>
        <v/>
      </c>
      <c r="IL84" s="713">
        <f>'org. Düngung 22'!BP83</f>
        <v>0</v>
      </c>
      <c r="IM84" s="57"/>
      <c r="IN84" s="57"/>
      <c r="IO84" s="57">
        <f t="shared" si="583"/>
        <v>0</v>
      </c>
      <c r="IP84" s="57">
        <f t="shared" si="756"/>
        <v>0</v>
      </c>
      <c r="IQ84" s="57">
        <f t="shared" si="757"/>
        <v>0</v>
      </c>
      <c r="IR84" s="57">
        <f t="shared" si="758"/>
        <v>0</v>
      </c>
      <c r="IS84" s="57">
        <f t="shared" si="759"/>
        <v>0</v>
      </c>
      <c r="IT84" s="1029">
        <f t="shared" si="584"/>
        <v>0</v>
      </c>
      <c r="IU84" s="57">
        <f t="shared" si="585"/>
        <v>0</v>
      </c>
      <c r="IV84" s="171" t="str">
        <f t="shared" si="586"/>
        <v/>
      </c>
      <c r="IW84" s="57">
        <f t="shared" si="760"/>
        <v>0</v>
      </c>
      <c r="IX84" s="57">
        <f>IF(OR(AND(IL$6=1,$L84=0),AND(IL$6=2,$K84=2,$G84=1)),0,IF(AND(IN$9=2,(OR($F84&gt;1,$K84=1,AND($L84=80,OR($N84=1,AND($N84=2,'#BerechnungDBE'!$AL75&gt;0)))))),IF(IL$4&gt;=$AD$126,0,IV84),IF(IN$9=3,IF(OR(IL$4&gt;=$AD$127,AND($G84=1,$J84=2,IL$6=2),AND(IL$6=1,$N84&lt;&gt;1)),0,IF(IP84&lt;=120,IV84,IF(IL$4&lt;$AD$124,IF($F84=1,60/IN$4*IN$6,60/IN$4*IN$7),IF($F84=1,120/IN$4*IN$6,120/IN$4*IN$7)))),IF(OR($F84=3,$G84=2),IF(OR(AND(IL$4&gt;=$AD$119,$C84=2),AND(IL$4&gt;=$AF$119,$C84=1)),0,IF(IP84&lt;=60,IV84,60/IN$4*IN$7)),IF(AND($F84=2,$G84=1),IV84,0)))))</f>
        <v>0</v>
      </c>
      <c r="IY84" s="57" t="str">
        <f t="shared" si="587"/>
        <v/>
      </c>
      <c r="IZ84" s="57" t="str">
        <f t="shared" si="588"/>
        <v/>
      </c>
      <c r="JA84" s="713">
        <f>'org. Düngung 22'!BT83</f>
        <v>0</v>
      </c>
      <c r="JB84" s="57"/>
      <c r="JC84" s="57"/>
      <c r="JD84" s="57">
        <f t="shared" si="589"/>
        <v>0</v>
      </c>
      <c r="JE84" s="57">
        <f t="shared" si="761"/>
        <v>0</v>
      </c>
      <c r="JF84" s="57">
        <f t="shared" si="762"/>
        <v>0</v>
      </c>
      <c r="JG84" s="57">
        <f t="shared" si="763"/>
        <v>0</v>
      </c>
      <c r="JH84" s="57">
        <f t="shared" si="764"/>
        <v>0</v>
      </c>
      <c r="JI84" s="1029">
        <f t="shared" si="590"/>
        <v>0</v>
      </c>
      <c r="JJ84" s="57">
        <f t="shared" si="591"/>
        <v>0</v>
      </c>
      <c r="JK84" s="171" t="str">
        <f t="shared" si="592"/>
        <v/>
      </c>
      <c r="JL84" s="57">
        <f t="shared" si="765"/>
        <v>0</v>
      </c>
      <c r="JM84" s="57">
        <f>IF(OR(AND(JA$6=1,$L84=0),AND(JA$6=2,$K84=2,$G84=1)),0,IF(AND(JC$9=2,(OR($F84&gt;1,$K84=1,AND($L84=80,OR($N84=1,AND($N84=2,'#BerechnungDBE'!$AL75&gt;0)))))),IF(JA$4&gt;=$AD$126,0,JK84),IF(JC$9=3,IF(OR(JA$4&gt;=$AD$127,AND($G84=1,$J84=2,JA$6=2),AND(JA$6=1,$N84&lt;&gt;1)),0,IF(JE84&lt;=120,JK84,IF(JA$4&lt;$AD$124,IF($F84=1,60/JC$4*JC$6,60/JC$4*JC$7),IF($F84=1,120/JC$4*JC$6,120/JC$4*JC$7)))),IF(OR($F84=3,$G84=2),IF(OR(AND(JA$4&gt;=$AD$119,$C84=2),AND(JA$4&gt;=$AF$119,$C84=1)),0,IF(JE84&lt;=60,JK84,60/JC$4*JC$7)),IF(AND($F84=2,$G84=1),JK84,0)))))</f>
        <v>0</v>
      </c>
      <c r="JN84" s="57" t="str">
        <f t="shared" si="593"/>
        <v/>
      </c>
      <c r="JO84" s="57" t="str">
        <f t="shared" si="594"/>
        <v/>
      </c>
      <c r="JP84" s="713">
        <f>'org. Düngung 22'!BX83</f>
        <v>0</v>
      </c>
      <c r="JQ84" s="57"/>
      <c r="JR84" s="57"/>
      <c r="JS84" s="57">
        <f t="shared" si="595"/>
        <v>0</v>
      </c>
      <c r="JT84" s="57">
        <f t="shared" si="766"/>
        <v>0</v>
      </c>
      <c r="JU84" s="57">
        <f t="shared" si="767"/>
        <v>0</v>
      </c>
      <c r="JV84" s="57">
        <f t="shared" si="768"/>
        <v>0</v>
      </c>
      <c r="JW84" s="57">
        <f t="shared" si="769"/>
        <v>0</v>
      </c>
      <c r="JX84" s="1029">
        <f t="shared" si="596"/>
        <v>0</v>
      </c>
      <c r="JY84" s="57">
        <f t="shared" si="597"/>
        <v>0</v>
      </c>
      <c r="JZ84" s="171" t="str">
        <f t="shared" si="598"/>
        <v/>
      </c>
      <c r="KA84" s="57">
        <f t="shared" si="770"/>
        <v>0</v>
      </c>
      <c r="KB84" s="57">
        <f>IF(OR(AND(JP$6=1,$L84=0),AND(JP$6=2,$K84=2,$G84=1)),0,IF(AND(JR$9=2,(OR($F84&gt;1,$K84=1,AND($L84=80,OR($N84=1,AND($N84=2,'#BerechnungDBE'!$AL75&gt;0)))))),IF(JP$4&gt;=$AD$126,0,JZ84),IF(JR$9=3,IF(OR(JP$4&gt;=$AD$127,AND($G84=1,$J84=2,JP$6=2),AND(JP$6=1,$N84&lt;&gt;1)),0,IF(JT84&lt;=120,JZ84,IF(JP$4&lt;$AD$124,IF($F84=1,60/JR$4*JR$6,60/JR$4*JR$7),IF($F84=1,120/JR$4*JR$6,120/JR$4*JR$7)))),IF(OR($F84=3,$G84=2),IF(OR(AND(JP$4&gt;=$AD$119,$C84=2),AND(JP$4&gt;=$AF$119,$C84=1)),0,IF(JT84&lt;=60,JZ84,60/JR$4*JR$7)),IF(AND($F84=2,$G84=1),JZ84,0)))))</f>
        <v>0</v>
      </c>
      <c r="KC84" s="57" t="str">
        <f t="shared" si="599"/>
        <v/>
      </c>
      <c r="KD84" s="57" t="str">
        <f t="shared" si="600"/>
        <v/>
      </c>
      <c r="KE84" s="713">
        <f>'org. Düngung 22'!CB83</f>
        <v>0</v>
      </c>
      <c r="KF84" s="57"/>
      <c r="KG84" s="57"/>
      <c r="KH84" s="57">
        <f t="shared" si="601"/>
        <v>0</v>
      </c>
      <c r="KI84" s="57">
        <f t="shared" si="771"/>
        <v>0</v>
      </c>
      <c r="KJ84" s="57">
        <f t="shared" si="772"/>
        <v>0</v>
      </c>
      <c r="KK84" s="57">
        <f t="shared" si="773"/>
        <v>0</v>
      </c>
      <c r="KL84" s="57">
        <f t="shared" si="774"/>
        <v>0</v>
      </c>
      <c r="KM84" s="1029">
        <f t="shared" si="602"/>
        <v>0</v>
      </c>
      <c r="KN84" s="57">
        <f t="shared" si="603"/>
        <v>0</v>
      </c>
      <c r="KO84" s="171" t="str">
        <f t="shared" si="604"/>
        <v/>
      </c>
      <c r="KP84" s="57">
        <f t="shared" si="775"/>
        <v>0</v>
      </c>
      <c r="KQ84" s="57">
        <f>IF(OR(AND(KE$6=1,$L84=0),AND(KE$6=2,$K84=2,$G84=1)),0,IF(AND(KG$9=2,(OR($F84&gt;1,$K84=1,AND($L84=80,OR($N84=1,AND($N84=2,'#BerechnungDBE'!$AL75&gt;0)))))),IF(KE$4&gt;=$AD$126,0,KO84),IF(KG$9=3,IF(OR(KE$4&gt;=$AD$127,AND($G84=1,$J84=2,KE$6=2),AND(KE$6=1,$N84&lt;&gt;1)),0,IF(KI84&lt;=120,KO84,IF(KE$4&lt;$AD$124,IF($F84=1,60/KG$4*KG$6,60/KG$4*KG$7),IF($F84=1,120/KG$4*KG$6,120/KG$4*KG$7)))),IF(OR($F84=3,$G84=2),IF(OR(AND(KE$4&gt;=$AD$119,$C84=2),AND(KE$4&gt;=$AF$119,$C84=1)),0,IF(KI84&lt;=60,KO84,60/KG$4*KG$7)),IF(AND($F84=2,$G84=1),KO84,0)))))</f>
        <v>0</v>
      </c>
      <c r="KR84" s="57" t="str">
        <f t="shared" si="605"/>
        <v/>
      </c>
      <c r="KS84" s="57" t="str">
        <f t="shared" si="606"/>
        <v/>
      </c>
      <c r="KT84" s="713">
        <f>'org. Düngung 22'!CF83</f>
        <v>0</v>
      </c>
      <c r="KU84" s="57"/>
      <c r="KV84" s="57"/>
      <c r="KW84" s="57">
        <f t="shared" si="607"/>
        <v>0</v>
      </c>
      <c r="KX84" s="57">
        <f t="shared" si="776"/>
        <v>0</v>
      </c>
      <c r="KY84" s="57">
        <f t="shared" si="777"/>
        <v>0</v>
      </c>
      <c r="KZ84" s="57">
        <f t="shared" si="778"/>
        <v>0</v>
      </c>
      <c r="LA84" s="57">
        <f t="shared" si="779"/>
        <v>0</v>
      </c>
      <c r="LB84" s="1029">
        <f t="shared" si="608"/>
        <v>0</v>
      </c>
      <c r="LC84" s="57">
        <f t="shared" si="609"/>
        <v>0</v>
      </c>
      <c r="LD84" s="171" t="str">
        <f t="shared" si="610"/>
        <v/>
      </c>
      <c r="LE84" s="57">
        <f t="shared" si="780"/>
        <v>0</v>
      </c>
      <c r="LF84" s="57">
        <f>IF(OR(AND(KT$6=1,$L84=0),AND(KT$6=2,$K84=2,$G84=1)),0,IF(AND(KV$9=2,(OR($F84&gt;1,$K84=1,AND($L84=80,OR($N84=1,AND($N84=2,'#BerechnungDBE'!$AL75&gt;0)))))),IF(KT$4&gt;=$AD$126,0,LD84),IF(KV$9=3,IF(OR(KT$4&gt;=$AD$127,AND($G84=1,$J84=2,KT$6=2),AND(KT$6=1,$N84&lt;&gt;1)),0,IF(KX84&lt;=120,LD84,IF(KT$4&lt;$AD$124,IF($F84=1,60/KV$4*KV$6,60/KV$4*KV$7),IF($F84=1,120/KV$4*KV$6,120/KV$4*KV$7)))),IF(OR($F84=3,$G84=2),IF(OR(AND(KT$4&gt;=$AD$119,$C84=2),AND(KT$4&gt;=$AF$119,$C84=1)),0,IF(KX84&lt;=60,LD84,60/KV$4*KV$7)),IF(AND($F84=2,$G84=1),LD84,0)))))</f>
        <v>0</v>
      </c>
      <c r="LG84" s="57" t="str">
        <f t="shared" si="611"/>
        <v/>
      </c>
      <c r="LH84" s="57" t="str">
        <f t="shared" si="612"/>
        <v/>
      </c>
      <c r="LI84" s="713">
        <f>'org. Düngung 22'!CJ83</f>
        <v>0</v>
      </c>
      <c r="LJ84" s="57"/>
      <c r="LK84" s="57"/>
      <c r="LL84" s="57">
        <f t="shared" si="613"/>
        <v>0</v>
      </c>
      <c r="LM84" s="57">
        <f t="shared" si="781"/>
        <v>0</v>
      </c>
      <c r="LN84" s="57">
        <f t="shared" si="782"/>
        <v>0</v>
      </c>
      <c r="LO84" s="57">
        <f t="shared" si="783"/>
        <v>0</v>
      </c>
      <c r="LP84" s="57">
        <f t="shared" si="784"/>
        <v>0</v>
      </c>
      <c r="LQ84" s="1029">
        <f t="shared" si="614"/>
        <v>0</v>
      </c>
      <c r="LR84" s="57">
        <f t="shared" si="615"/>
        <v>0</v>
      </c>
      <c r="LS84" s="171" t="str">
        <f t="shared" si="616"/>
        <v/>
      </c>
      <c r="LT84" s="57">
        <f t="shared" si="785"/>
        <v>0</v>
      </c>
      <c r="LU84" s="57">
        <f>IF(OR(AND(LI$6=1,$L84=0),AND(LI$6=2,$K84=2,$G84=1)),0,IF(AND(LK$9=2,(OR($F84&gt;1,$K84=1,AND($L84=80,OR($N84=1,AND($N84=2,'#BerechnungDBE'!$AL75&gt;0)))))),IF(LI$4&gt;=$AD$126,0,LS84),IF(LK$9=3,IF(OR(LI$4&gt;=$AD$127,AND($G84=1,$J84=2,LI$6=2),AND(LI$6=1,$N84&lt;&gt;1)),0,IF(LM84&lt;=120,LS84,IF(LI$4&lt;$AD$124,IF($F84=1,60/LK$4*LK$6,60/LK$4*LK$7),IF($F84=1,120/LK$4*LK$6,120/LK$4*LK$7)))),IF(OR($F84=3,$G84=2),IF(OR(AND(LI$4&gt;=$AD$119,$C84=2),AND(LI$4&gt;=$AF$119,$C84=1)),0,IF(LM84&lt;=60,LS84,60/LK$4*LK$7)),IF(AND($F84=2,$G84=1),LS84,0)))))</f>
        <v>0</v>
      </c>
      <c r="LV84" s="57" t="str">
        <f t="shared" si="617"/>
        <v/>
      </c>
      <c r="LW84" s="57" t="str">
        <f t="shared" si="618"/>
        <v/>
      </c>
      <c r="LX84" s="713">
        <f>'org. Düngung 22'!CN83</f>
        <v>0</v>
      </c>
      <c r="LY84" s="57"/>
      <c r="LZ84" s="57"/>
      <c r="MA84" s="57">
        <f t="shared" si="619"/>
        <v>0</v>
      </c>
      <c r="MB84" s="57">
        <f t="shared" si="786"/>
        <v>0</v>
      </c>
      <c r="MC84" s="57">
        <f t="shared" si="787"/>
        <v>0</v>
      </c>
      <c r="MD84" s="57">
        <f t="shared" si="788"/>
        <v>0</v>
      </c>
      <c r="ME84" s="57">
        <f t="shared" si="789"/>
        <v>0</v>
      </c>
      <c r="MF84" s="1029">
        <f t="shared" si="620"/>
        <v>0</v>
      </c>
      <c r="MG84" s="57">
        <f t="shared" si="621"/>
        <v>0</v>
      </c>
      <c r="MH84" s="171" t="str">
        <f t="shared" si="622"/>
        <v/>
      </c>
      <c r="MI84" s="57">
        <f t="shared" si="790"/>
        <v>0</v>
      </c>
      <c r="MJ84" s="57">
        <f>IF(OR(AND(LX$6=1,$L84=0),AND(LX$6=2,$K84=2,$G84=1)),0,IF(AND(LZ$9=2,(OR($F84&gt;1,$K84=1,AND($L84=80,OR($N84=1,AND($N84=2,'#BerechnungDBE'!$AL75&gt;0)))))),IF(LX$4&gt;=$AD$126,0,MH84),IF(LZ$9=3,IF(OR(LX$4&gt;=$AD$127,AND($G84=1,$J84=2,LX$6=2),AND(LX$6=1,$N84&lt;&gt;1)),0,IF(MB84&lt;=120,MH84,IF(LX$4&lt;$AD$124,IF($F84=1,60/LZ$4*LZ$6,60/LZ$4*LZ$7),IF($F84=1,120/LZ$4*LZ$6,120/LZ$4*LZ$7)))),IF(OR($F84=3,$G84=2),IF(OR(AND(LX$4&gt;=$AD$119,$C84=2),AND(LX$4&gt;=$AF$119,$C84=1)),0,IF(MB84&lt;=60,MH84,60/LZ$4*LZ$7)),IF(AND($F84=2,$G84=1),MH84,0)))))</f>
        <v>0</v>
      </c>
      <c r="MK84" s="57" t="str">
        <f t="shared" si="623"/>
        <v/>
      </c>
      <c r="ML84" s="57" t="str">
        <f t="shared" si="624"/>
        <v/>
      </c>
      <c r="MM84" s="713">
        <f>'org. Düngung 22'!CR83</f>
        <v>0</v>
      </c>
      <c r="MN84" s="57"/>
      <c r="MO84" s="57"/>
      <c r="MP84" s="57">
        <f t="shared" si="625"/>
        <v>0</v>
      </c>
      <c r="MQ84" s="57">
        <f t="shared" si="791"/>
        <v>0</v>
      </c>
      <c r="MR84" s="57">
        <f t="shared" si="792"/>
        <v>0</v>
      </c>
      <c r="MS84" s="57">
        <f t="shared" si="793"/>
        <v>0</v>
      </c>
      <c r="MT84" s="57">
        <f t="shared" si="794"/>
        <v>0</v>
      </c>
      <c r="MU84" s="1029">
        <f t="shared" si="626"/>
        <v>0</v>
      </c>
      <c r="MV84" s="57">
        <f t="shared" si="627"/>
        <v>0</v>
      </c>
      <c r="MW84" s="171" t="str">
        <f t="shared" si="628"/>
        <v/>
      </c>
      <c r="MX84" s="57">
        <f t="shared" si="795"/>
        <v>0</v>
      </c>
      <c r="MY84" s="57">
        <f>IF(OR(AND(MM$6=1,$L84=0),AND(MM$6=2,$K84=2,$G84=1)),0,IF(AND(MO$9=2,(OR($F84&gt;1,$K84=1,AND($L84=80,OR($N84=1,AND($N84=2,'#BerechnungDBE'!$AL75&gt;0)))))),IF(MM$4&gt;=$AD$126,0,MW84),IF(MO$9=3,IF(OR(MM$4&gt;=$AD$127,AND($G84=1,$J84=2,MM$6=2),AND(MM$6=1,$N84&lt;&gt;1)),0,IF(MQ84&lt;=120,MW84,IF(MM$4&lt;$AD$124,IF($F84=1,60/MO$4*MO$6,60/MO$4*MO$7),IF($F84=1,120/MO$4*MO$6,120/MO$4*MO$7)))),IF(OR($F84=3,$G84=2),IF(OR(AND(MM$4&gt;=$AD$119,$C84=2),AND(MM$4&gt;=$AF$119,$C84=1)),0,IF(MQ84&lt;=60,MW84,60/MO$4*MO$7)),IF(AND($F84=2,$G84=1),MW84,0)))))</f>
        <v>0</v>
      </c>
      <c r="MZ84" s="57" t="str">
        <f t="shared" si="629"/>
        <v/>
      </c>
      <c r="NA84" s="57" t="str">
        <f t="shared" si="630"/>
        <v/>
      </c>
      <c r="NB84" s="713">
        <f>'org. Düngung 22'!CV83</f>
        <v>0</v>
      </c>
      <c r="NC84" s="57"/>
      <c r="ND84" s="57"/>
      <c r="NE84" s="57">
        <f t="shared" si="631"/>
        <v>0</v>
      </c>
      <c r="NF84" s="57">
        <f t="shared" si="796"/>
        <v>0</v>
      </c>
      <c r="NG84" s="57">
        <f t="shared" si="797"/>
        <v>0</v>
      </c>
      <c r="NH84" s="57">
        <f t="shared" si="798"/>
        <v>0</v>
      </c>
      <c r="NI84" s="57">
        <f t="shared" si="799"/>
        <v>0</v>
      </c>
      <c r="NJ84" s="1029">
        <f t="shared" si="632"/>
        <v>0</v>
      </c>
      <c r="NK84" s="57">
        <f t="shared" si="633"/>
        <v>0</v>
      </c>
      <c r="NL84" s="171" t="str">
        <f t="shared" si="634"/>
        <v/>
      </c>
      <c r="NM84" s="57">
        <f t="shared" si="800"/>
        <v>0</v>
      </c>
      <c r="NN84" s="57">
        <f>IF(OR(AND(NB$6=1,$L84=0),AND(NB$6=2,$K84=2,$G84=1)),0,IF(AND(ND$9=2,(OR($F84&gt;1,$K84=1,AND($L84=80,OR($N84=1,AND($N84=2,'#BerechnungDBE'!$AL75&gt;0)))))),IF(NB$4&gt;=$AD$126,0,NL84),IF(ND$9=3,IF(OR(NB$4&gt;=$AD$127,AND($G84=1,$J84=2,NB$6=2),AND(NB$6=1,$N84&lt;&gt;1)),0,IF(NF84&lt;=120,NL84,IF(NB$4&lt;$AD$124,IF($F84=1,60/ND$4*ND$6,60/ND$4*ND$7),IF($F84=1,120/ND$4*ND$6,120/ND$4*ND$7)))),IF(OR($F84=3,$G84=2),IF(OR(AND(NB$4&gt;=$AD$119,$C84=2),AND(NB$4&gt;=$AF$119,$C84=1)),0,IF(NF84&lt;=60,NL84,60/ND$4*ND$7)),IF(AND($F84=2,$G84=1),NL84,0)))))</f>
        <v>0</v>
      </c>
      <c r="NO84" s="57" t="str">
        <f t="shared" si="635"/>
        <v/>
      </c>
      <c r="NP84" s="57" t="str">
        <f t="shared" si="636"/>
        <v/>
      </c>
      <c r="NQ84" s="713">
        <f>'org. Düngung 22'!CZ83</f>
        <v>0</v>
      </c>
      <c r="NR84" s="57"/>
      <c r="NS84" s="57"/>
      <c r="NT84" s="57">
        <f t="shared" si="637"/>
        <v>0</v>
      </c>
      <c r="NU84" s="57">
        <f t="shared" si="801"/>
        <v>0</v>
      </c>
      <c r="NV84" s="57">
        <f t="shared" si="802"/>
        <v>0</v>
      </c>
      <c r="NW84" s="57">
        <f t="shared" si="803"/>
        <v>0</v>
      </c>
      <c r="NX84" s="57">
        <f t="shared" si="804"/>
        <v>0</v>
      </c>
      <c r="NY84" s="1029">
        <f t="shared" si="638"/>
        <v>0</v>
      </c>
      <c r="NZ84" s="57">
        <f t="shared" si="639"/>
        <v>0</v>
      </c>
      <c r="OA84" s="171" t="str">
        <f t="shared" si="640"/>
        <v/>
      </c>
      <c r="OB84" s="57">
        <f t="shared" si="805"/>
        <v>0</v>
      </c>
      <c r="OC84" s="57">
        <f>IF(OR(AND(NQ$6=1,$L84=0),AND(NQ$6=2,$K84=2,$G84=1)),0,IF(AND(NS$9=2,(OR($F84&gt;1,$K84=1,AND($L84=80,OR($N84=1,AND($N84=2,'#BerechnungDBE'!$AL75&gt;0)))))),IF(NQ$4&gt;=$AD$126,0,OA84),IF(NS$9=3,IF(OR(NQ$4&gt;=$AD$127,AND($G84=1,$J84=2,NQ$6=2),AND(NQ$6=1,$N84&lt;&gt;1)),0,IF(NU84&lt;=120,OA84,IF(NQ$4&lt;$AD$124,IF($F84=1,60/NS$4*NS$6,60/NS$4*NS$7),IF($F84=1,120/NS$4*NS$6,120/NS$4*NS$7)))),IF(OR($F84=3,$G84=2),IF(OR(AND(NQ$4&gt;=$AD$119,$C84=2),AND(NQ$4&gt;=$AF$119,$C84=1)),0,IF(NU84&lt;=60,OA84,60/NS$4*NS$7)),IF(AND($F84=2,$G84=1),OA84,0)))))</f>
        <v>0</v>
      </c>
      <c r="OD84" s="57" t="str">
        <f t="shared" si="641"/>
        <v/>
      </c>
      <c r="OE84" s="57" t="str">
        <f t="shared" si="642"/>
        <v/>
      </c>
      <c r="OF84" s="713">
        <f>'org. Düngung 22'!DD83</f>
        <v>0</v>
      </c>
      <c r="OG84" s="57"/>
      <c r="OH84" s="57"/>
      <c r="OI84" s="57">
        <f t="shared" si="643"/>
        <v>0</v>
      </c>
      <c r="OJ84" s="57">
        <f t="shared" si="806"/>
        <v>0</v>
      </c>
      <c r="OK84" s="57">
        <f t="shared" si="807"/>
        <v>0</v>
      </c>
      <c r="OL84" s="57">
        <f t="shared" si="808"/>
        <v>0</v>
      </c>
      <c r="OM84" s="57">
        <f t="shared" si="809"/>
        <v>0</v>
      </c>
      <c r="ON84" s="1029">
        <f t="shared" si="644"/>
        <v>0</v>
      </c>
      <c r="OO84" s="57">
        <f t="shared" si="645"/>
        <v>0</v>
      </c>
      <c r="OP84" s="171" t="str">
        <f t="shared" si="646"/>
        <v/>
      </c>
      <c r="OQ84" s="57">
        <f t="shared" si="810"/>
        <v>0</v>
      </c>
      <c r="OR84" s="57">
        <f>IF(OR(AND(OF$6=1,$L84=0),AND(OF$6=2,$K84=2,$G84=1)),0,IF(AND(OH$9=2,(OR($F84&gt;1,$K84=1,AND($L84=80,OR($N84=1,AND($N84=2,'#BerechnungDBE'!$AL75&gt;0)))))),IF(OF$4&gt;=$AD$126,0,OP84),IF(OH$9=3,IF(OR(OF$4&gt;=$AD$127,AND($G84=1,$J84=2,OF$6=2),AND(OF$6=1,$N84&lt;&gt;1)),0,IF(OJ84&lt;=120,OP84,IF(OF$4&lt;$AD$124,IF($F84=1,60/OH$4*OH$6,60/OH$4*OH$7),IF($F84=1,120/OH$4*OH$6,120/OH$4*OH$7)))),IF(OR($F84=3,$G84=2),IF(OR(AND(OF$4&gt;=$AD$119,$C84=2),AND(OF$4&gt;=$AF$119,$C84=1)),0,IF(OJ84&lt;=60,OP84,60/OH$4*OH$7)),IF(AND($F84=2,$G84=1),OP84,0)))))</f>
        <v>0</v>
      </c>
      <c r="OS84" s="57" t="str">
        <f t="shared" si="647"/>
        <v/>
      </c>
      <c r="OT84" s="57" t="str">
        <f t="shared" si="648"/>
        <v/>
      </c>
      <c r="OU84" s="713">
        <f>'org. Düngung 22'!DH83</f>
        <v>0</v>
      </c>
      <c r="OV84" s="57"/>
      <c r="OW84" s="57"/>
      <c r="OX84" s="57">
        <f t="shared" si="649"/>
        <v>0</v>
      </c>
      <c r="OY84" s="57">
        <f t="shared" si="811"/>
        <v>0</v>
      </c>
      <c r="OZ84" s="57">
        <f t="shared" si="812"/>
        <v>0</v>
      </c>
      <c r="PA84" s="57">
        <f t="shared" si="813"/>
        <v>0</v>
      </c>
      <c r="PB84" s="57">
        <f t="shared" si="814"/>
        <v>0</v>
      </c>
      <c r="PC84" s="1029">
        <f t="shared" si="650"/>
        <v>0</v>
      </c>
      <c r="PD84" s="57">
        <f t="shared" si="651"/>
        <v>0</v>
      </c>
      <c r="PE84" s="171" t="str">
        <f t="shared" si="652"/>
        <v/>
      </c>
      <c r="PF84" s="57">
        <f t="shared" si="815"/>
        <v>0</v>
      </c>
      <c r="PG84" s="57">
        <f>IF(OR(AND(OU$6=1,$L84=0),AND(OU$6=2,$K84=2,$G84=1)),0,IF(AND(OW$9=2,(OR($F84&gt;1,$K84=1,AND($L84=80,OR($N84=1,AND($N84=2,'#BerechnungDBE'!$AL75&gt;0)))))),IF(OU$4&gt;=$AD$126,0,PE84),IF(OW$9=3,IF(OR(OU$4&gt;=$AD$127,AND($G84=1,$J84=2,OU$6=2),AND(OU$6=1,$N84&lt;&gt;1)),0,IF(OY84&lt;=120,PE84,IF(OU$4&lt;$AD$124,IF($F84=1,60/OW$4*OW$6,60/OW$4*OW$7),IF($F84=1,120/OW$4*OW$6,120/OW$4*OW$7)))),IF(OR($F84=3,$G84=2),IF(OR(AND(OU$4&gt;=$AD$119,$C84=2),AND(OU$4&gt;=$AF$119,$C84=1)),0,IF(OY84&lt;=60,PE84,60/OW$4*OW$7)),IF(AND($F84=2,$G84=1),PE84,0)))))</f>
        <v>0</v>
      </c>
      <c r="PH84" s="57" t="str">
        <f t="shared" si="653"/>
        <v/>
      </c>
      <c r="PI84" s="57" t="str">
        <f t="shared" si="654"/>
        <v/>
      </c>
      <c r="PJ84" s="713">
        <f>'org. Düngung 22'!DL83</f>
        <v>0</v>
      </c>
      <c r="PK84" s="57"/>
      <c r="PL84" s="57"/>
      <c r="PM84" s="57">
        <f t="shared" si="655"/>
        <v>0</v>
      </c>
      <c r="PN84" s="57">
        <f t="shared" si="816"/>
        <v>0</v>
      </c>
      <c r="PO84" s="57">
        <f t="shared" si="817"/>
        <v>0</v>
      </c>
      <c r="PP84" s="57">
        <f t="shared" si="818"/>
        <v>0</v>
      </c>
      <c r="PQ84" s="57">
        <f t="shared" si="819"/>
        <v>0</v>
      </c>
      <c r="PR84" s="1029">
        <f t="shared" si="656"/>
        <v>0</v>
      </c>
      <c r="PS84" s="57">
        <f t="shared" si="657"/>
        <v>0</v>
      </c>
      <c r="PT84" s="171" t="str">
        <f t="shared" si="658"/>
        <v/>
      </c>
      <c r="PU84" s="57">
        <f t="shared" si="820"/>
        <v>0</v>
      </c>
      <c r="PV84" s="57">
        <f>IF(OR(AND(PJ$6=1,$L84=0),AND(PJ$6=2,$K84=2,$G84=1)),0,IF(AND(PL$9=2,(OR($F84&gt;1,$K84=1,AND($L84=80,OR($N84=1,AND($N84=2,'#BerechnungDBE'!$AL75&gt;0)))))),IF(PJ$4&gt;=$AD$126,0,PT84),IF(PL$9=3,IF(OR(PJ$4&gt;=$AD$127,AND($G84=1,$J84=2,PJ$6=2),AND(PJ$6=1,$N84&lt;&gt;1)),0,IF(PN84&lt;=120,PT84,IF(PJ$4&lt;$AD$124,IF($F84=1,60/PL$4*PL$6,60/PL$4*PL$7),IF($F84=1,120/PL$4*PL$6,120/PL$4*PL$7)))),IF(OR($F84=3,$G84=2),IF(OR(AND(PJ$4&gt;=$AD$119,$C84=2),AND(PJ$4&gt;=$AF$119,$C84=1)),0,IF(PN84&lt;=60,PT84,60/PL$4*PL$7)),IF(AND($F84=2,$G84=1),PT84,0)))))</f>
        <v>0</v>
      </c>
      <c r="PW84" s="57" t="str">
        <f t="shared" si="659"/>
        <v/>
      </c>
      <c r="PX84" s="57" t="str">
        <f t="shared" si="660"/>
        <v/>
      </c>
      <c r="PY84" s="713">
        <f>'org. Düngung 22'!DP83</f>
        <v>0</v>
      </c>
      <c r="PZ84" s="57"/>
      <c r="QA84" s="57"/>
      <c r="QB84" s="57">
        <f t="shared" si="661"/>
        <v>0</v>
      </c>
      <c r="QC84" s="57">
        <f t="shared" si="821"/>
        <v>0</v>
      </c>
      <c r="QD84" s="57">
        <f t="shared" si="822"/>
        <v>0</v>
      </c>
      <c r="QE84" s="57">
        <f t="shared" si="823"/>
        <v>0</v>
      </c>
      <c r="QF84" s="57">
        <f t="shared" si="824"/>
        <v>0</v>
      </c>
      <c r="QG84" s="1029">
        <f t="shared" si="662"/>
        <v>0</v>
      </c>
      <c r="QH84" s="57">
        <f t="shared" si="663"/>
        <v>0</v>
      </c>
      <c r="QI84" s="171" t="str">
        <f t="shared" si="664"/>
        <v/>
      </c>
      <c r="QJ84" s="57">
        <f t="shared" si="825"/>
        <v>0</v>
      </c>
      <c r="QK84" s="57">
        <f>IF(OR(AND(PY$6=1,$L84=0),AND(PY$6=2,$K84=2,$G84=1)),0,IF(AND(QA$9=2,(OR($F84&gt;1,$K84=1,AND($L84=80,OR($N84=1,AND($N84=2,'#BerechnungDBE'!$AL75&gt;0)))))),IF(PY$4&gt;=$AD$126,0,QI84),IF(QA$9=3,IF(OR(PY$4&gt;=$AD$127,AND($G84=1,$J84=2,PY$6=2),AND(PY$6=1,$N84&lt;&gt;1)),0,IF(QC84&lt;=120,QI84,IF(PY$4&lt;$AD$124,IF($F84=1,60/QA$4*QA$6,60/QA$4*QA$7),IF($F84=1,120/QA$4*QA$6,120/QA$4*QA$7)))),IF(OR($F84=3,$G84=2),IF(OR(AND(PY$4&gt;=$AD$119,$C84=2),AND(PY$4&gt;=$AF$119,$C84=1)),0,IF(QC84&lt;=60,QI84,60/QA$4*QA$7)),IF(AND($F84=2,$G84=1),QI84,0)))))</f>
        <v>0</v>
      </c>
      <c r="QL84" s="57" t="str">
        <f t="shared" si="665"/>
        <v/>
      </c>
      <c r="QM84" s="57" t="str">
        <f t="shared" si="666"/>
        <v/>
      </c>
      <c r="QN84" s="713">
        <f>'org. Düngung 22'!DT83</f>
        <v>0</v>
      </c>
      <c r="QO84" s="57"/>
      <c r="QP84" s="57"/>
      <c r="QQ84" s="57">
        <f t="shared" si="667"/>
        <v>0</v>
      </c>
      <c r="QR84" s="57">
        <f t="shared" si="826"/>
        <v>0</v>
      </c>
      <c r="QS84" s="57">
        <f t="shared" si="827"/>
        <v>0</v>
      </c>
      <c r="QT84" s="57">
        <f t="shared" si="828"/>
        <v>0</v>
      </c>
      <c r="QU84" s="57">
        <f t="shared" si="829"/>
        <v>0</v>
      </c>
      <c r="QV84" s="1029">
        <f t="shared" si="668"/>
        <v>0</v>
      </c>
      <c r="QW84" s="57">
        <f t="shared" si="669"/>
        <v>0</v>
      </c>
      <c r="QX84" s="171" t="str">
        <f t="shared" si="670"/>
        <v/>
      </c>
      <c r="QY84" s="57">
        <f t="shared" si="830"/>
        <v>0</v>
      </c>
      <c r="QZ84" s="57">
        <f>IF(OR(AND(QN$6=1,$L84=0),AND(QN$6=2,$K84=2,$G84=1)),0,IF(AND(QP$9=2,(OR($F84&gt;1,$K84=1,AND($L84=80,OR($N84=1,AND($N84=2,'#BerechnungDBE'!$AL75&gt;0)))))),IF(QN$4&gt;=$AD$126,0,QX84),IF(QP$9=3,IF(OR(QN$4&gt;=$AD$127,AND($G84=1,$J84=2,QN$6=2),AND(QN$6=1,$N84&lt;&gt;1)),0,IF(QR84&lt;=120,QX84,IF(QN$4&lt;$AD$124,IF($F84=1,60/QP$4*QP$6,60/QP$4*QP$7),IF($F84=1,120/QP$4*QP$6,120/QP$4*QP$7)))),IF(OR($F84=3,$G84=2),IF(OR(AND(QN$4&gt;=$AD$119,$C84=2),AND(QN$4&gt;=$AF$119,$C84=1)),0,IF(QR84&lt;=60,QX84,60/QP$4*QP$7)),IF(AND($F84=2,$G84=1),QX84,0)))))</f>
        <v>0</v>
      </c>
      <c r="RA84" s="57" t="str">
        <f t="shared" si="671"/>
        <v/>
      </c>
      <c r="RB84" s="57" t="str">
        <f t="shared" si="672"/>
        <v/>
      </c>
      <c r="RC84" s="713">
        <f>'org. Düngung 22'!DX83</f>
        <v>0</v>
      </c>
      <c r="RD84" s="57"/>
      <c r="RE84" s="57"/>
      <c r="RF84" s="57">
        <f t="shared" si="673"/>
        <v>0</v>
      </c>
      <c r="RG84" s="57">
        <f t="shared" si="831"/>
        <v>0</v>
      </c>
      <c r="RH84" s="57">
        <f t="shared" si="832"/>
        <v>0</v>
      </c>
      <c r="RI84" s="57">
        <f t="shared" si="833"/>
        <v>0</v>
      </c>
      <c r="RJ84" s="57">
        <f t="shared" si="834"/>
        <v>0</v>
      </c>
      <c r="RK84" s="1029">
        <f t="shared" si="674"/>
        <v>0</v>
      </c>
      <c r="RL84" s="57">
        <f t="shared" si="675"/>
        <v>0</v>
      </c>
      <c r="RM84" s="171" t="str">
        <f t="shared" si="676"/>
        <v/>
      </c>
      <c r="RN84" s="57">
        <f t="shared" si="835"/>
        <v>0</v>
      </c>
      <c r="RO84" s="57">
        <f>IF(OR(AND(RC$6=1,$L84=0),AND(RC$6=2,$K84=2,$G84=1)),0,IF(AND(RE$9=2,(OR($F84&gt;1,$K84=1,AND($L84=80,OR($N84=1,AND($N84=2,'#BerechnungDBE'!$AL75&gt;0)))))),IF(RC$4&gt;=$AD$126,0,RM84),IF(RE$9=3,IF(OR(RC$4&gt;=$AD$127,AND($G84=1,$J84=2,RC$6=2),AND(RC$6=1,$N84&lt;&gt;1)),0,IF(RG84&lt;=120,RM84,IF(RC$4&lt;$AD$124,IF($F84=1,60/RE$4*RE$6,60/RE$4*RE$7),IF($F84=1,120/RE$4*RE$6,120/RE$4*RE$7)))),IF(OR($F84=3,$G84=2),IF(OR(AND(RC$4&gt;=$AD$119,$C84=2),AND(RC$4&gt;=$AF$119,$C84=1)),0,IF(RG84&lt;=60,RM84,60/RE$4*RE$7)),IF(AND($F84=2,$G84=1),RM84,0)))))</f>
        <v>0</v>
      </c>
      <c r="RP84" s="57" t="str">
        <f t="shared" si="677"/>
        <v/>
      </c>
      <c r="RQ84" s="57" t="str">
        <f t="shared" si="678"/>
        <v/>
      </c>
      <c r="RS84" s="57" t="str">
        <f t="shared" si="836"/>
        <v/>
      </c>
      <c r="RT84" s="57" t="str">
        <f t="shared" si="679"/>
        <v/>
      </c>
      <c r="RU84" s="57" t="str">
        <f t="shared" si="680"/>
        <v/>
      </c>
      <c r="RV84" s="57" t="str">
        <f>IF(Z84&gt;'#BerechnungDBE'!BM75,$RV$9,"")</f>
        <v/>
      </c>
      <c r="RW84" s="57" t="str">
        <f>IF(AND(L84=70,AE84&gt;'#BerechnungDBE'!CQ75),$RW$9,"")</f>
        <v/>
      </c>
      <c r="RX84" s="57" t="str">
        <f>IF(OR('org. Düngung 22'!G83="--",'org. Düngung 22'!G83&lt;=170,'org. Düngung 22'!G83=""),"",$RX$9)</f>
        <v/>
      </c>
      <c r="RY84" s="57" t="str">
        <f>IF('org. Düngung 22'!K83&gt;120,'#orgDung'!$RY$9,"")</f>
        <v/>
      </c>
      <c r="RZ84" s="57" t="str">
        <f>IF('#BerechnungDBE'!P75&lt;4,"",IF(AND('#BerechnungDBE'!BZ75&gt;0,T84&gt;0),'#orgDung'!$RZ$9,""))</f>
        <v/>
      </c>
      <c r="SA84" s="57" t="str">
        <f t="shared" si="681"/>
        <v/>
      </c>
    </row>
    <row r="85" spans="1:495" s="875" customFormat="1" x14ac:dyDescent="0.2">
      <c r="A85" s="875">
        <f>'Flächen u. Kulturen'!A81</f>
        <v>72</v>
      </c>
      <c r="B85" s="367">
        <f>'#BerechnungDBE'!L76</f>
        <v>0</v>
      </c>
      <c r="C85" s="875">
        <f>'#BerechnungDBE'!R76</f>
        <v>1</v>
      </c>
      <c r="D85" s="875">
        <f>'#BerechnungDBE'!T76</f>
        <v>2</v>
      </c>
      <c r="E85" s="875" t="str">
        <f>'Flächen u. Kulturen'!E81</f>
        <v>x</v>
      </c>
      <c r="F85" s="52">
        <f>'#BerechnungDBE'!N76</f>
        <v>1</v>
      </c>
      <c r="G85" s="52">
        <f>'#BerechnungDBE'!O76</f>
        <v>1</v>
      </c>
      <c r="H85" s="875">
        <f>IF('Flächen u. Kulturen'!P81="",0,VLOOKUP('Flächen u. Kulturen'!P81,Kulturen[[HF]:[Berechnungsgruppe]],'#Frucht'!$H$1,FALSE))</f>
        <v>0</v>
      </c>
      <c r="I85" s="875">
        <f>IF('Flächen u. Kulturen'!J81="",0,VLOOKUP('Flächen u. Kulturen'!J81,Kulturen[[HF]:[Berechnungsgruppe]],'#Frucht'!$G$1,FALSE))</f>
        <v>90</v>
      </c>
      <c r="J85" s="505">
        <f t="shared" si="682"/>
        <v>2</v>
      </c>
      <c r="K85" s="505">
        <f>IF('Flächen u. Kulturen'!P81="",0,IF(VLOOKUP('Flächen u. Kulturen'!P81,Kulturen[[HF]:[Saat Winterungen]],'#Frucht'!$P$1,FALSE)&gt;0,1,2))</f>
        <v>2</v>
      </c>
      <c r="L85" s="875">
        <f>'#BerechnungDBE'!AF76</f>
        <v>0</v>
      </c>
      <c r="M85" s="875">
        <f>IF('Flächen u. Kulturen'!L81="",0,VLOOKUP('Flächen u. Kulturen'!L81,Nebenkultur[[Nebenkultur]:[Legum. Zwischenfr.]],'#Zweitfr'!$K$1,FALSE))</f>
        <v>0</v>
      </c>
      <c r="N85" s="875">
        <f>'#BerechnungDBE'!AG76</f>
        <v>0</v>
      </c>
      <c r="P85" s="57">
        <f t="shared" si="489"/>
        <v>0</v>
      </c>
      <c r="Q85" s="57">
        <f t="shared" si="490"/>
        <v>0</v>
      </c>
      <c r="R85" s="875">
        <f t="shared" si="491"/>
        <v>0</v>
      </c>
      <c r="S85" s="938" t="str">
        <f t="shared" si="683"/>
        <v/>
      </c>
      <c r="T85" s="875">
        <f t="shared" si="492"/>
        <v>0</v>
      </c>
      <c r="U85" s="875">
        <f t="shared" si="493"/>
        <v>0</v>
      </c>
      <c r="V85" s="875">
        <f t="shared" si="494"/>
        <v>0</v>
      </c>
      <c r="W85" s="875">
        <f t="shared" si="495"/>
        <v>0</v>
      </c>
      <c r="X85" s="875">
        <f t="shared" si="496"/>
        <v>0</v>
      </c>
      <c r="Y85" s="875">
        <f t="shared" si="837"/>
        <v>0</v>
      </c>
      <c r="Z85" s="875">
        <f t="shared" si="838"/>
        <v>0</v>
      </c>
      <c r="AA85" s="910">
        <f t="shared" si="497"/>
        <v>0</v>
      </c>
      <c r="AB85" s="57">
        <f t="shared" si="839"/>
        <v>0</v>
      </c>
      <c r="AC85" s="875">
        <f t="shared" si="498"/>
        <v>0</v>
      </c>
      <c r="AD85" s="875">
        <f t="shared" si="499"/>
        <v>0</v>
      </c>
      <c r="AE85" s="875">
        <f t="shared" si="500"/>
        <v>0</v>
      </c>
      <c r="AF85" s="875">
        <f t="shared" si="840"/>
        <v>0</v>
      </c>
      <c r="AG85" s="875">
        <f>'org. Düngung 22'!J84</f>
        <v>0</v>
      </c>
      <c r="AH85" s="875">
        <f>'org. Düngung 22'!K84</f>
        <v>0</v>
      </c>
      <c r="AJ85" s="713">
        <f>'org. Düngung 22'!L84</f>
        <v>0</v>
      </c>
      <c r="AK85" s="57"/>
      <c r="AL85" s="57"/>
      <c r="AM85" s="57">
        <f t="shared" si="684"/>
        <v>0</v>
      </c>
      <c r="AN85" s="57">
        <f t="shared" si="685"/>
        <v>0</v>
      </c>
      <c r="AO85" s="57">
        <f t="shared" si="686"/>
        <v>0</v>
      </c>
      <c r="AP85" s="57">
        <f t="shared" si="687"/>
        <v>0</v>
      </c>
      <c r="AQ85" s="57">
        <f t="shared" si="688"/>
        <v>0</v>
      </c>
      <c r="AR85" s="1029">
        <f t="shared" si="501"/>
        <v>0</v>
      </c>
      <c r="AS85" s="57">
        <f t="shared" si="502"/>
        <v>0</v>
      </c>
      <c r="AT85" s="171" t="str">
        <f t="shared" si="503"/>
        <v/>
      </c>
      <c r="AU85" s="57">
        <f t="shared" si="689"/>
        <v>0</v>
      </c>
      <c r="AV85" s="57">
        <f>IF(OR(AND(AJ$6=1,$L85=0),AND(AJ$6=2,$K85=2,$G85=1)),0,IF(AND(AL$9=2,(OR($F85&gt;1,$K85=1,AND($L85=80,OR($N85=1,AND($N85=2,'#BerechnungDBE'!$AL76&gt;0)))))),IF(AJ$4&gt;=$AD$126,0,AT85),IF(AL$9=3,IF(OR(AJ$4&gt;=$AD$127,AND($G85=1,$J85=2,AJ$6=2),AND(AJ$6=1,$N85&lt;&gt;1)),0,IF(AN85&lt;=120,AT85,IF(AJ$4&lt;$AD$124,IF($F85=1,60/AL$4*AL$6,60/AL$4*AL$7),IF($F85=1,120/AL$4*AL$6,120/AL$4*AL$7)))),IF(OR($F85=3,$G85=2),IF(OR(AND(AJ$4&gt;=$AD$119,$C85=2),AND(AJ$4&gt;=$AF$119,$C85=1)),0,IF(AN85&lt;=60,AT85,60/AL$4*AL$7)),IF(AND($F85=2,$G85=1),AT85,0)))))</f>
        <v>0</v>
      </c>
      <c r="AW85" s="57" t="str">
        <f t="shared" si="690"/>
        <v/>
      </c>
      <c r="AX85" s="57" t="str">
        <f t="shared" si="504"/>
        <v/>
      </c>
      <c r="AY85" s="713">
        <f>'org. Düngung 22'!P84</f>
        <v>0</v>
      </c>
      <c r="AZ85" s="57"/>
      <c r="BA85" s="57"/>
      <c r="BB85" s="57">
        <f t="shared" si="505"/>
        <v>0</v>
      </c>
      <c r="BC85" s="57">
        <f t="shared" si="691"/>
        <v>0</v>
      </c>
      <c r="BD85" s="57">
        <f t="shared" si="692"/>
        <v>0</v>
      </c>
      <c r="BE85" s="57">
        <f t="shared" si="693"/>
        <v>0</v>
      </c>
      <c r="BF85" s="57">
        <f t="shared" si="694"/>
        <v>0</v>
      </c>
      <c r="BG85" s="1029">
        <f t="shared" si="506"/>
        <v>0</v>
      </c>
      <c r="BH85" s="57">
        <f t="shared" si="507"/>
        <v>0</v>
      </c>
      <c r="BI85" s="171" t="str">
        <f t="shared" si="508"/>
        <v/>
      </c>
      <c r="BJ85" s="57">
        <f t="shared" si="695"/>
        <v>0</v>
      </c>
      <c r="BK85" s="57">
        <f>IF(OR(AND(AY$6=1,$L85=0),AND(AY$6=2,$K85=2,$G85=1)),0,IF(AND(BA$9=2,(OR($F85&gt;1,$K85=1,AND($L85=80,OR($N85=1,AND($N85=2,'#BerechnungDBE'!$AL76&gt;0)))))),IF(AY$4&gt;=$AD$126,0,BI85),IF(BA$9=3,IF(OR(AY$4&gt;=$AD$127,AND($G85=1,$J85=2,AY$6=2),AND(AY$6=1,$N85&lt;&gt;1)),0,IF(BC85&lt;=120,BI85,IF(AY$4&lt;$AD$124,IF($F85=1,60/BA$4*BA$6,60/BA$4*BA$7),IF($F85=1,120/BA$4*BA$6,120/BA$4*BA$7)))),IF(OR($F85=3,$G85=2),IF(OR(AND(AY$4&gt;=$AD$119,$C85=2),AND(AY$4&gt;=$AF$119,$C85=1)),0,IF(BC85&lt;=60,BI85,60/BA$4*BA$7)),IF(AND($F85=2,$G85=1),BI85,0)))))</f>
        <v>0</v>
      </c>
      <c r="BL85" s="57" t="str">
        <f t="shared" si="509"/>
        <v/>
      </c>
      <c r="BM85" s="57" t="str">
        <f t="shared" si="510"/>
        <v/>
      </c>
      <c r="BN85" s="713">
        <f>'org. Düngung 22'!T84</f>
        <v>0</v>
      </c>
      <c r="BO85" s="57"/>
      <c r="BP85" s="57"/>
      <c r="BQ85" s="57">
        <f t="shared" si="511"/>
        <v>0</v>
      </c>
      <c r="BR85" s="57">
        <f t="shared" si="696"/>
        <v>0</v>
      </c>
      <c r="BS85" s="57">
        <f t="shared" si="697"/>
        <v>0</v>
      </c>
      <c r="BT85" s="57">
        <f t="shared" si="698"/>
        <v>0</v>
      </c>
      <c r="BU85" s="57">
        <f t="shared" si="699"/>
        <v>0</v>
      </c>
      <c r="BV85" s="1029">
        <f t="shared" si="512"/>
        <v>0</v>
      </c>
      <c r="BW85" s="57">
        <f t="shared" si="513"/>
        <v>0</v>
      </c>
      <c r="BX85" s="171" t="str">
        <f t="shared" si="514"/>
        <v/>
      </c>
      <c r="BY85" s="57">
        <f t="shared" si="700"/>
        <v>0</v>
      </c>
      <c r="BZ85" s="57">
        <f>IF(OR(AND(BN$6=1,$L85=0),AND(BN$6=2,$K85=2,$G85=1)),0,IF(AND(BP$9=2,(OR($F85&gt;1,$K85=1,AND($L85=80,OR($N85=1,AND($N85=2,'#BerechnungDBE'!$AL76&gt;0)))))),IF(BN$4&gt;=$AD$126,0,BX85),IF(BP$9=3,IF(OR(BN$4&gt;=$AD$127,AND($G85=1,$J85=2,BN$6=2),AND(BN$6=1,$N85&lt;&gt;1)),0,IF(BR85&lt;=120,BX85,IF(BN$4&lt;$AD$124,IF($F85=1,60/BP$4*BP$6,60/BP$4*BP$7),IF($F85=1,120/BP$4*BP$6,120/BP$4*BP$7)))),IF(OR($F85=3,$G85=2),IF(OR(AND(BN$4&gt;=$AD$119,$C85=2),AND(BN$4&gt;=$AF$119,$C85=1)),0,IF(BR85&lt;=60,BX85,60/BP$4*BP$7)),IF(AND($F85=2,$G85=1),BX85,0)))))</f>
        <v>0</v>
      </c>
      <c r="CA85" s="57" t="str">
        <f t="shared" si="515"/>
        <v/>
      </c>
      <c r="CB85" s="57" t="str">
        <f t="shared" si="516"/>
        <v/>
      </c>
      <c r="CC85" s="713">
        <f>'org. Düngung 22'!X84</f>
        <v>0</v>
      </c>
      <c r="CD85" s="57"/>
      <c r="CE85" s="57"/>
      <c r="CF85" s="57">
        <f t="shared" si="517"/>
        <v>0</v>
      </c>
      <c r="CG85" s="57">
        <f t="shared" si="701"/>
        <v>0</v>
      </c>
      <c r="CH85" s="57">
        <f t="shared" si="702"/>
        <v>0</v>
      </c>
      <c r="CI85" s="57">
        <f t="shared" si="703"/>
        <v>0</v>
      </c>
      <c r="CJ85" s="57">
        <f t="shared" si="704"/>
        <v>0</v>
      </c>
      <c r="CK85" s="1029">
        <f t="shared" si="518"/>
        <v>0</v>
      </c>
      <c r="CL85" s="57">
        <f t="shared" si="519"/>
        <v>0</v>
      </c>
      <c r="CM85" s="171" t="str">
        <f t="shared" si="520"/>
        <v/>
      </c>
      <c r="CN85" s="57">
        <f t="shared" si="705"/>
        <v>0</v>
      </c>
      <c r="CO85" s="57">
        <f>IF(OR(AND(CC$6=1,$L85=0),AND(CC$6=2,$K85=2,$G85=1)),0,IF(AND(CE$9=2,(OR($F85&gt;1,$K85=1,AND($L85=80,OR($N85=1,AND($N85=2,'#BerechnungDBE'!$AL76&gt;0)))))),IF(CC$4&gt;=$AD$126,0,CM85),IF(CE$9=3,IF(OR(CC$4&gt;=$AD$127,AND($G85=1,$J85=2,CC$6=2),AND(CC$6=1,$N85&lt;&gt;1)),0,IF(CG85&lt;=120,CM85,IF(CC$4&lt;$AD$124,IF($F85=1,60/CE$4*CE$6,60/CE$4*CE$7),IF($F85=1,120/CE$4*CE$6,120/CE$4*CE$7)))),IF(OR($F85=3,$G85=2),IF(OR(AND(CC$4&gt;=$AD$119,$C85=2),AND(CC$4&gt;=$AF$119,$C85=1)),0,IF(CG85&lt;=60,CM85,60/CE$4*CE$7)),IF(AND($F85=2,$G85=1),CM85,0)))))</f>
        <v>0</v>
      </c>
      <c r="CP85" s="57" t="str">
        <f t="shared" si="521"/>
        <v/>
      </c>
      <c r="CQ85" s="57" t="str">
        <f t="shared" si="522"/>
        <v/>
      </c>
      <c r="CR85" s="713">
        <f>'org. Düngung 22'!AB84</f>
        <v>0</v>
      </c>
      <c r="CS85" s="57"/>
      <c r="CT85" s="57"/>
      <c r="CU85" s="57">
        <f t="shared" si="523"/>
        <v>0</v>
      </c>
      <c r="CV85" s="57">
        <f t="shared" si="706"/>
        <v>0</v>
      </c>
      <c r="CW85" s="57">
        <f t="shared" si="707"/>
        <v>0</v>
      </c>
      <c r="CX85" s="57">
        <f t="shared" si="708"/>
        <v>0</v>
      </c>
      <c r="CY85" s="57">
        <f t="shared" si="709"/>
        <v>0</v>
      </c>
      <c r="CZ85" s="1029">
        <f t="shared" si="524"/>
        <v>0</v>
      </c>
      <c r="DA85" s="57">
        <f t="shared" si="525"/>
        <v>0</v>
      </c>
      <c r="DB85" s="171" t="str">
        <f t="shared" si="526"/>
        <v/>
      </c>
      <c r="DC85" s="57">
        <f t="shared" si="710"/>
        <v>0</v>
      </c>
      <c r="DD85" s="57">
        <f>IF(OR(AND(CR$6=1,$L85=0),AND(CR$6=2,$K85=2,$G85=1)),0,IF(AND(CT$9=2,(OR($F85&gt;1,$K85=1,AND($L85=80,OR($N85=1,AND($N85=2,'#BerechnungDBE'!$AL76&gt;0)))))),IF(CR$4&gt;=$AD$126,0,DB85),IF(CT$9=3,IF(OR(CR$4&gt;=$AD$127,AND($G85=1,$J85=2,CR$6=2),AND(CR$6=1,$N85&lt;&gt;1)),0,IF(CV85&lt;=120,DB85,IF(CR$4&lt;$AD$124,IF($F85=1,60/CT$4*CT$6,60/CT$4*CT$7),IF($F85=1,120/CT$4*CT$6,120/CT$4*CT$7)))),IF(OR($F85=3,$G85=2),IF(OR(AND(CR$4&gt;=$AD$119,$C85=2),AND(CR$4&gt;=$AF$119,$C85=1)),0,IF(CV85&lt;=60,DB85,60/CT$4*CT$7)),IF(AND($F85=2,$G85=1),DB85,0)))))</f>
        <v>0</v>
      </c>
      <c r="DE85" s="57" t="str">
        <f t="shared" si="527"/>
        <v/>
      </c>
      <c r="DF85" s="57" t="str">
        <f t="shared" si="528"/>
        <v/>
      </c>
      <c r="DG85" s="713">
        <f>'org. Düngung 22'!AF84</f>
        <v>0</v>
      </c>
      <c r="DH85" s="57"/>
      <c r="DI85" s="57"/>
      <c r="DJ85" s="57">
        <f t="shared" si="529"/>
        <v>0</v>
      </c>
      <c r="DK85" s="57">
        <f t="shared" si="711"/>
        <v>0</v>
      </c>
      <c r="DL85" s="57">
        <f t="shared" si="712"/>
        <v>0</v>
      </c>
      <c r="DM85" s="57">
        <f t="shared" si="713"/>
        <v>0</v>
      </c>
      <c r="DN85" s="57">
        <f t="shared" si="714"/>
        <v>0</v>
      </c>
      <c r="DO85" s="1029">
        <f t="shared" si="530"/>
        <v>0</v>
      </c>
      <c r="DP85" s="57">
        <f t="shared" si="531"/>
        <v>0</v>
      </c>
      <c r="DQ85" s="171" t="str">
        <f t="shared" si="532"/>
        <v/>
      </c>
      <c r="DR85" s="57">
        <f t="shared" si="715"/>
        <v>0</v>
      </c>
      <c r="DS85" s="57">
        <f>IF(OR(AND(DG$6=1,$L85=0),AND(DG$6=2,$K85=2,$G85=1)),0,IF(AND(DI$9=2,(OR($F85&gt;1,$K85=1,AND($L85=80,OR($N85=1,AND($N85=2,'#BerechnungDBE'!$AL76&gt;0)))))),IF(DG$4&gt;=$AD$126,0,DQ85),IF(DI$9=3,IF(OR(DG$4&gt;=$AD$127,AND($G85=1,$J85=2,DG$6=2),AND(DG$6=1,$N85&lt;&gt;1)),0,IF(DK85&lt;=120,DQ85,IF(DG$4&lt;$AD$124,IF($F85=1,60/DI$4*DI$6,60/DI$4*DI$7),IF($F85=1,120/DI$4*DI$6,120/DI$4*DI$7)))),IF(OR($F85=3,$G85=2),IF(OR(AND(DG$4&gt;=$AD$119,$C85=2),AND(DG$4&gt;=$AF$119,$C85=1)),0,IF(DK85&lt;=60,DQ85,60/DI$4*DI$7)),IF(AND($F85=2,$G85=1),DQ85,0)))))</f>
        <v>0</v>
      </c>
      <c r="DT85" s="57" t="str">
        <f t="shared" si="533"/>
        <v/>
      </c>
      <c r="DU85" s="57" t="str">
        <f t="shared" si="534"/>
        <v/>
      </c>
      <c r="DV85" s="713">
        <f>'org. Düngung 22'!AJ84</f>
        <v>0</v>
      </c>
      <c r="DW85" s="57"/>
      <c r="DX85" s="57"/>
      <c r="DY85" s="57">
        <f t="shared" si="535"/>
        <v>0</v>
      </c>
      <c r="DZ85" s="57">
        <f t="shared" si="716"/>
        <v>0</v>
      </c>
      <c r="EA85" s="57">
        <f t="shared" si="717"/>
        <v>0</v>
      </c>
      <c r="EB85" s="57">
        <f t="shared" si="718"/>
        <v>0</v>
      </c>
      <c r="EC85" s="57">
        <f t="shared" si="719"/>
        <v>0</v>
      </c>
      <c r="ED85" s="1029">
        <f t="shared" si="536"/>
        <v>0</v>
      </c>
      <c r="EE85" s="57">
        <f t="shared" si="537"/>
        <v>0</v>
      </c>
      <c r="EF85" s="171" t="str">
        <f t="shared" si="538"/>
        <v/>
      </c>
      <c r="EG85" s="57">
        <f t="shared" si="720"/>
        <v>0</v>
      </c>
      <c r="EH85" s="57">
        <f>IF(OR(AND(DV$6=1,$L85=0),AND(DV$6=2,$K85=2,$G85=1)),0,IF(AND(DX$9=2,(OR($F85&gt;1,$K85=1,AND($L85=80,OR($N85=1,AND($N85=2,'#BerechnungDBE'!$AL76&gt;0)))))),IF(DV$4&gt;=$AD$126,0,EF85),IF(DX$9=3,IF(OR(DV$4&gt;=$AD$127,AND($G85=1,$J85=2,DV$6=2),AND(DV$6=1,$N85&lt;&gt;1)),0,IF(DZ85&lt;=120,EF85,IF(DV$4&lt;$AD$124,IF($F85=1,60/DX$4*DX$6,60/DX$4*DX$7),IF($F85=1,120/DX$4*DX$6,120/DX$4*DX$7)))),IF(OR($F85=3,$G85=2),IF(OR(AND(DV$4&gt;=$AD$119,$C85=2),AND(DV$4&gt;=$AF$119,$C85=1)),0,IF(DZ85&lt;=60,EF85,60/DX$4*DX$7)),IF(AND($F85=2,$G85=1),EF85,0)))))</f>
        <v>0</v>
      </c>
      <c r="EI85" s="57" t="str">
        <f t="shared" si="539"/>
        <v/>
      </c>
      <c r="EJ85" s="57" t="str">
        <f t="shared" si="540"/>
        <v/>
      </c>
      <c r="EK85" s="713">
        <f>'org. Düngung 22'!AN84</f>
        <v>0</v>
      </c>
      <c r="EL85" s="57"/>
      <c r="EM85" s="57"/>
      <c r="EN85" s="57">
        <f t="shared" si="541"/>
        <v>0</v>
      </c>
      <c r="EO85" s="57">
        <f t="shared" si="721"/>
        <v>0</v>
      </c>
      <c r="EP85" s="57">
        <f t="shared" si="722"/>
        <v>0</v>
      </c>
      <c r="EQ85" s="57">
        <f t="shared" si="723"/>
        <v>0</v>
      </c>
      <c r="ER85" s="57">
        <f t="shared" si="724"/>
        <v>0</v>
      </c>
      <c r="ES85" s="1029">
        <f t="shared" si="542"/>
        <v>0</v>
      </c>
      <c r="ET85" s="57">
        <f t="shared" si="543"/>
        <v>0</v>
      </c>
      <c r="EU85" s="171" t="str">
        <f t="shared" si="544"/>
        <v/>
      </c>
      <c r="EV85" s="57">
        <f t="shared" si="725"/>
        <v>0</v>
      </c>
      <c r="EW85" s="57">
        <f>IF(OR(AND(EK$6=1,$L85=0),AND(EK$6=2,$K85=2,$G85=1)),0,IF(AND(EM$9=2,(OR($F85&gt;1,$K85=1,AND($L85=80,OR($N85=1,AND($N85=2,'#BerechnungDBE'!$AL76&gt;0)))))),IF(EK$4&gt;=$AD$126,0,EU85),IF(EM$9=3,IF(OR(EK$4&gt;=$AD$127,AND($G85=1,$J85=2,EK$6=2),AND(EK$6=1,$N85&lt;&gt;1)),0,IF(EO85&lt;=120,EU85,IF(EK$4&lt;$AD$124,IF($F85=1,60/EM$4*EM$6,60/EM$4*EM$7),IF($F85=1,120/EM$4*EM$6,120/EM$4*EM$7)))),IF(OR($F85=3,$G85=2),IF(OR(AND(EK$4&gt;=$AD$119,$C85=2),AND(EK$4&gt;=$AF$119,$C85=1)),0,IF(EO85&lt;=60,EU85,60/EM$4*EM$7)),IF(AND($F85=2,$G85=1),EU85,0)))))</f>
        <v>0</v>
      </c>
      <c r="EX85" s="57" t="str">
        <f t="shared" si="545"/>
        <v/>
      </c>
      <c r="EY85" s="57" t="str">
        <f t="shared" si="546"/>
        <v/>
      </c>
      <c r="EZ85" s="713">
        <f>'org. Düngung 22'!AR84</f>
        <v>0</v>
      </c>
      <c r="FA85" s="57"/>
      <c r="FB85" s="57"/>
      <c r="FC85" s="57">
        <f t="shared" si="547"/>
        <v>0</v>
      </c>
      <c r="FD85" s="57">
        <f t="shared" si="726"/>
        <v>0</v>
      </c>
      <c r="FE85" s="57">
        <f t="shared" si="727"/>
        <v>0</v>
      </c>
      <c r="FF85" s="57">
        <f t="shared" si="728"/>
        <v>0</v>
      </c>
      <c r="FG85" s="57">
        <f t="shared" si="729"/>
        <v>0</v>
      </c>
      <c r="FH85" s="1029">
        <f t="shared" si="548"/>
        <v>0</v>
      </c>
      <c r="FI85" s="57">
        <f t="shared" si="549"/>
        <v>0</v>
      </c>
      <c r="FJ85" s="171" t="str">
        <f t="shared" si="550"/>
        <v/>
      </c>
      <c r="FK85" s="57">
        <f t="shared" si="730"/>
        <v>0</v>
      </c>
      <c r="FL85" s="57">
        <f>IF(OR(AND(EZ$6=1,$L85=0),AND(EZ$6=2,$K85=2,$G85=1)),0,IF(AND(FB$9=2,(OR($F85&gt;1,$K85=1,AND($L85=80,OR($N85=1,AND($N85=2,'#BerechnungDBE'!$AL76&gt;0)))))),IF(EZ$4&gt;=$AD$126,0,FJ85),IF(FB$9=3,IF(OR(EZ$4&gt;=$AD$127,AND($G85=1,$J85=2,EZ$6=2),AND(EZ$6=1,$N85&lt;&gt;1)),0,IF(FD85&lt;=120,FJ85,IF(EZ$4&lt;$AD$124,IF($F85=1,60/FB$4*FB$6,60/FB$4*FB$7),IF($F85=1,120/FB$4*FB$6,120/FB$4*FB$7)))),IF(OR($F85=3,$G85=2),IF(OR(AND(EZ$4&gt;=$AD$119,$C85=2),AND(EZ$4&gt;=$AF$119,$C85=1)),0,IF(FD85&lt;=60,FJ85,60/FB$4*FB$7)),IF(AND($F85=2,$G85=1),FJ85,0)))))</f>
        <v>0</v>
      </c>
      <c r="FM85" s="57" t="str">
        <f t="shared" si="551"/>
        <v/>
      </c>
      <c r="FN85" s="57" t="str">
        <f t="shared" si="552"/>
        <v/>
      </c>
      <c r="FO85" s="713">
        <f>'org. Düngung 22'!AV84</f>
        <v>0</v>
      </c>
      <c r="FP85" s="57"/>
      <c r="FQ85" s="57"/>
      <c r="FR85" s="57">
        <f t="shared" si="553"/>
        <v>0</v>
      </c>
      <c r="FS85" s="57">
        <f t="shared" si="731"/>
        <v>0</v>
      </c>
      <c r="FT85" s="57">
        <f t="shared" si="732"/>
        <v>0</v>
      </c>
      <c r="FU85" s="57">
        <f t="shared" si="733"/>
        <v>0</v>
      </c>
      <c r="FV85" s="57">
        <f t="shared" si="734"/>
        <v>0</v>
      </c>
      <c r="FW85" s="1029">
        <f t="shared" si="554"/>
        <v>0</v>
      </c>
      <c r="FX85" s="57">
        <f t="shared" si="555"/>
        <v>0</v>
      </c>
      <c r="FY85" s="171" t="str">
        <f t="shared" si="556"/>
        <v/>
      </c>
      <c r="FZ85" s="57">
        <f t="shared" si="735"/>
        <v>0</v>
      </c>
      <c r="GA85" s="57">
        <f>IF(OR(AND(FO$6=1,$L85=0),AND(FO$6=2,$K85=2,$G85=1)),0,IF(AND(FQ$9=2,(OR($F85&gt;1,$K85=1,AND($L85=80,OR($N85=1,AND($N85=2,'#BerechnungDBE'!$AL76&gt;0)))))),IF(FO$4&gt;=$AD$126,0,FY85),IF(FQ$9=3,IF(OR(FO$4&gt;=$AD$127,AND($G85=1,$J85=2,FO$6=2),AND(FO$6=1,$N85&lt;&gt;1)),0,IF(FS85&lt;=120,FY85,IF(FO$4&lt;$AD$124,IF($F85=1,60/FQ$4*FQ$6,60/FQ$4*FQ$7),IF($F85=1,120/FQ$4*FQ$6,120/FQ$4*FQ$7)))),IF(OR($F85=3,$G85=2),IF(OR(AND(FO$4&gt;=$AD$119,$C85=2),AND(FO$4&gt;=$AF$119,$C85=1)),0,IF(FS85&lt;=60,FY85,60/FQ$4*FQ$7)),IF(AND($F85=2,$G85=1),FY85,0)))))</f>
        <v>0</v>
      </c>
      <c r="GB85" s="57" t="str">
        <f t="shared" si="557"/>
        <v/>
      </c>
      <c r="GC85" s="57" t="str">
        <f t="shared" si="558"/>
        <v/>
      </c>
      <c r="GD85" s="713">
        <f>'org. Düngung 22'!AZ84</f>
        <v>0</v>
      </c>
      <c r="GE85" s="57"/>
      <c r="GF85" s="57"/>
      <c r="GG85" s="57">
        <f t="shared" si="559"/>
        <v>0</v>
      </c>
      <c r="GH85" s="57">
        <f t="shared" si="736"/>
        <v>0</v>
      </c>
      <c r="GI85" s="57">
        <f t="shared" si="737"/>
        <v>0</v>
      </c>
      <c r="GJ85" s="57">
        <f t="shared" si="738"/>
        <v>0</v>
      </c>
      <c r="GK85" s="57">
        <f t="shared" si="739"/>
        <v>0</v>
      </c>
      <c r="GL85" s="1029">
        <f t="shared" si="560"/>
        <v>0</v>
      </c>
      <c r="GM85" s="57">
        <f t="shared" si="561"/>
        <v>0</v>
      </c>
      <c r="GN85" s="171" t="str">
        <f t="shared" si="562"/>
        <v/>
      </c>
      <c r="GO85" s="57">
        <f t="shared" si="740"/>
        <v>0</v>
      </c>
      <c r="GP85" s="57">
        <f>IF(OR(AND(GD$6=1,$L85=0),AND(GD$6=2,$K85=2,$G85=1)),0,IF(AND(GF$9=2,(OR($F85&gt;1,$K85=1,AND($L85=80,OR($N85=1,AND($N85=2,'#BerechnungDBE'!$AL76&gt;0)))))),IF(GD$4&gt;=$AD$126,0,GN85),IF(GF$9=3,IF(OR(GD$4&gt;=$AD$127,AND($G85=1,$J85=2,GD$6=2),AND(GD$6=1,$N85&lt;&gt;1)),0,IF(GH85&lt;=120,GN85,IF(GD$4&lt;$AD$124,IF($F85=1,60/GF$4*GF$6,60/GF$4*GF$7),IF($F85=1,120/GF$4*GF$6,120/GF$4*GF$7)))),IF(OR($F85=3,$G85=2),IF(OR(AND(GD$4&gt;=$AD$119,$C85=2),AND(GD$4&gt;=$AF$119,$C85=1)),0,IF(GH85&lt;=60,GN85,60/GF$4*GF$7)),IF(AND($F85=2,$G85=1),GN85,0)))))</f>
        <v>0</v>
      </c>
      <c r="GQ85" s="57" t="str">
        <f t="shared" si="563"/>
        <v/>
      </c>
      <c r="GR85" s="57" t="str">
        <f t="shared" si="564"/>
        <v/>
      </c>
      <c r="GS85" s="713">
        <f>'org. Düngung 22'!BD84</f>
        <v>0</v>
      </c>
      <c r="GT85" s="57"/>
      <c r="GU85" s="57"/>
      <c r="GV85" s="57">
        <f t="shared" si="565"/>
        <v>0</v>
      </c>
      <c r="GW85" s="57">
        <f t="shared" si="741"/>
        <v>0</v>
      </c>
      <c r="GX85" s="57">
        <f t="shared" si="742"/>
        <v>0</v>
      </c>
      <c r="GY85" s="57">
        <f t="shared" si="743"/>
        <v>0</v>
      </c>
      <c r="GZ85" s="57">
        <f t="shared" si="744"/>
        <v>0</v>
      </c>
      <c r="HA85" s="1029">
        <f t="shared" si="566"/>
        <v>0</v>
      </c>
      <c r="HB85" s="57">
        <f t="shared" si="567"/>
        <v>0</v>
      </c>
      <c r="HC85" s="171" t="str">
        <f t="shared" si="568"/>
        <v/>
      </c>
      <c r="HD85" s="57">
        <f t="shared" si="745"/>
        <v>0</v>
      </c>
      <c r="HE85" s="57">
        <f>IF(OR(AND(GS$6=1,$L85=0),AND(GS$6=2,$K85=2,$G85=1)),0,IF(AND(GU$9=2,(OR($F85&gt;1,$K85=1,AND($L85=80,OR($N85=1,AND($N85=2,'#BerechnungDBE'!$AL76&gt;0)))))),IF(GS$4&gt;=$AD$126,0,HC85),IF(GU$9=3,IF(OR(GS$4&gt;=$AD$127,AND($G85=1,$J85=2,GS$6=2),AND(GS$6=1,$N85&lt;&gt;1)),0,IF(GW85&lt;=120,HC85,IF(GS$4&lt;$AD$124,IF($F85=1,60/GU$4*GU$6,60/GU$4*GU$7),IF($F85=1,120/GU$4*GU$6,120/GU$4*GU$7)))),IF(OR($F85=3,$G85=2),IF(OR(AND(GS$4&gt;=$AD$119,$C85=2),AND(GS$4&gt;=$AF$119,$C85=1)),0,IF(GW85&lt;=60,HC85,60/GU$4*GU$7)),IF(AND($F85=2,$G85=1),HC85,0)))))</f>
        <v>0</v>
      </c>
      <c r="HF85" s="57" t="str">
        <f t="shared" si="569"/>
        <v/>
      </c>
      <c r="HG85" s="57" t="str">
        <f t="shared" si="570"/>
        <v/>
      </c>
      <c r="HH85" s="713">
        <f>'org. Düngung 22'!BH84</f>
        <v>0</v>
      </c>
      <c r="HI85" s="57"/>
      <c r="HJ85" s="57"/>
      <c r="HK85" s="57">
        <f t="shared" si="571"/>
        <v>0</v>
      </c>
      <c r="HL85" s="57">
        <f t="shared" si="746"/>
        <v>0</v>
      </c>
      <c r="HM85" s="57">
        <f t="shared" si="747"/>
        <v>0</v>
      </c>
      <c r="HN85" s="57">
        <f t="shared" si="748"/>
        <v>0</v>
      </c>
      <c r="HO85" s="57">
        <f t="shared" si="749"/>
        <v>0</v>
      </c>
      <c r="HP85" s="1029">
        <f t="shared" si="572"/>
        <v>0</v>
      </c>
      <c r="HQ85" s="57">
        <f t="shared" si="573"/>
        <v>0</v>
      </c>
      <c r="HR85" s="171" t="str">
        <f t="shared" si="574"/>
        <v/>
      </c>
      <c r="HS85" s="57">
        <f t="shared" si="750"/>
        <v>0</v>
      </c>
      <c r="HT85" s="57">
        <f>IF(OR(AND(HH$6=1,$L85=0),AND(HH$6=2,$K85=2,$G85=1)),0,IF(AND(HJ$9=2,(OR($F85&gt;1,$K85=1,AND($L85=80,OR($N85=1,AND($N85=2,'#BerechnungDBE'!$AL76&gt;0)))))),IF(HH$4&gt;=$AD$126,0,HR85),IF(HJ$9=3,IF(OR(HH$4&gt;=$AD$127,AND($G85=1,$J85=2,HH$6=2),AND(HH$6=1,$N85&lt;&gt;1)),0,IF(HL85&lt;=120,HR85,IF(HH$4&lt;$AD$124,IF($F85=1,60/HJ$4*HJ$6,60/HJ$4*HJ$7),IF($F85=1,120/HJ$4*HJ$6,120/HJ$4*HJ$7)))),IF(OR($F85=3,$G85=2),IF(OR(AND(HH$4&gt;=$AD$119,$C85=2),AND(HH$4&gt;=$AF$119,$C85=1)),0,IF(HL85&lt;=60,HR85,60/HJ$4*HJ$7)),IF(AND($F85=2,$G85=1),HR85,0)))))</f>
        <v>0</v>
      </c>
      <c r="HU85" s="57" t="str">
        <f t="shared" si="575"/>
        <v/>
      </c>
      <c r="HV85" s="57" t="str">
        <f t="shared" si="576"/>
        <v/>
      </c>
      <c r="HW85" s="713">
        <f>'org. Düngung 22'!BL84</f>
        <v>0</v>
      </c>
      <c r="HX85" s="57"/>
      <c r="HY85" s="57"/>
      <c r="HZ85" s="57">
        <f t="shared" si="577"/>
        <v>0</v>
      </c>
      <c r="IA85" s="57">
        <f t="shared" si="751"/>
        <v>0</v>
      </c>
      <c r="IB85" s="57">
        <f t="shared" si="752"/>
        <v>0</v>
      </c>
      <c r="IC85" s="57">
        <f t="shared" si="753"/>
        <v>0</v>
      </c>
      <c r="ID85" s="57">
        <f t="shared" si="754"/>
        <v>0</v>
      </c>
      <c r="IE85" s="1029">
        <f t="shared" si="578"/>
        <v>0</v>
      </c>
      <c r="IF85" s="57">
        <f t="shared" si="579"/>
        <v>0</v>
      </c>
      <c r="IG85" s="171" t="str">
        <f t="shared" si="580"/>
        <v/>
      </c>
      <c r="IH85" s="57">
        <f t="shared" si="755"/>
        <v>0</v>
      </c>
      <c r="II85" s="57">
        <f>IF(OR(AND(HW$6=1,$L85=0),AND(HW$6=2,$K85=2,$G85=1)),0,IF(AND(HY$9=2,(OR($F85&gt;1,$K85=1,AND($L85=80,OR($N85=1,AND($N85=2,'#BerechnungDBE'!$AL76&gt;0)))))),IF(HW$4&gt;=$AD$126,0,IG85),IF(HY$9=3,IF(OR(HW$4&gt;=$AD$127,AND($G85=1,$J85=2,HW$6=2),AND(HW$6=1,$N85&lt;&gt;1)),0,IF(IA85&lt;=120,IG85,IF(HW$4&lt;$AD$124,IF($F85=1,60/HY$4*HY$6,60/HY$4*HY$7),IF($F85=1,120/HY$4*HY$6,120/HY$4*HY$7)))),IF(OR($F85=3,$G85=2),IF(OR(AND(HW$4&gt;=$AD$119,$C85=2),AND(HW$4&gt;=$AF$119,$C85=1)),0,IF(IA85&lt;=60,IG85,60/HY$4*HY$7)),IF(AND($F85=2,$G85=1),IG85,0)))))</f>
        <v>0</v>
      </c>
      <c r="IJ85" s="57" t="str">
        <f t="shared" si="581"/>
        <v/>
      </c>
      <c r="IK85" s="57" t="str">
        <f t="shared" si="582"/>
        <v/>
      </c>
      <c r="IL85" s="713">
        <f>'org. Düngung 22'!BP84</f>
        <v>0</v>
      </c>
      <c r="IM85" s="57"/>
      <c r="IN85" s="57"/>
      <c r="IO85" s="57">
        <f t="shared" si="583"/>
        <v>0</v>
      </c>
      <c r="IP85" s="57">
        <f t="shared" si="756"/>
        <v>0</v>
      </c>
      <c r="IQ85" s="57">
        <f t="shared" si="757"/>
        <v>0</v>
      </c>
      <c r="IR85" s="57">
        <f t="shared" si="758"/>
        <v>0</v>
      </c>
      <c r="IS85" s="57">
        <f t="shared" si="759"/>
        <v>0</v>
      </c>
      <c r="IT85" s="1029">
        <f t="shared" si="584"/>
        <v>0</v>
      </c>
      <c r="IU85" s="57">
        <f t="shared" si="585"/>
        <v>0</v>
      </c>
      <c r="IV85" s="171" t="str">
        <f t="shared" si="586"/>
        <v/>
      </c>
      <c r="IW85" s="57">
        <f t="shared" si="760"/>
        <v>0</v>
      </c>
      <c r="IX85" s="57">
        <f>IF(OR(AND(IL$6=1,$L85=0),AND(IL$6=2,$K85=2,$G85=1)),0,IF(AND(IN$9=2,(OR($F85&gt;1,$K85=1,AND($L85=80,OR($N85=1,AND($N85=2,'#BerechnungDBE'!$AL76&gt;0)))))),IF(IL$4&gt;=$AD$126,0,IV85),IF(IN$9=3,IF(OR(IL$4&gt;=$AD$127,AND($G85=1,$J85=2,IL$6=2),AND(IL$6=1,$N85&lt;&gt;1)),0,IF(IP85&lt;=120,IV85,IF(IL$4&lt;$AD$124,IF($F85=1,60/IN$4*IN$6,60/IN$4*IN$7),IF($F85=1,120/IN$4*IN$6,120/IN$4*IN$7)))),IF(OR($F85=3,$G85=2),IF(OR(AND(IL$4&gt;=$AD$119,$C85=2),AND(IL$4&gt;=$AF$119,$C85=1)),0,IF(IP85&lt;=60,IV85,60/IN$4*IN$7)),IF(AND($F85=2,$G85=1),IV85,0)))))</f>
        <v>0</v>
      </c>
      <c r="IY85" s="57" t="str">
        <f t="shared" si="587"/>
        <v/>
      </c>
      <c r="IZ85" s="57" t="str">
        <f t="shared" si="588"/>
        <v/>
      </c>
      <c r="JA85" s="713">
        <f>'org. Düngung 22'!BT84</f>
        <v>0</v>
      </c>
      <c r="JB85" s="57"/>
      <c r="JC85" s="57"/>
      <c r="JD85" s="57">
        <f t="shared" si="589"/>
        <v>0</v>
      </c>
      <c r="JE85" s="57">
        <f t="shared" si="761"/>
        <v>0</v>
      </c>
      <c r="JF85" s="57">
        <f t="shared" si="762"/>
        <v>0</v>
      </c>
      <c r="JG85" s="57">
        <f t="shared" si="763"/>
        <v>0</v>
      </c>
      <c r="JH85" s="57">
        <f t="shared" si="764"/>
        <v>0</v>
      </c>
      <c r="JI85" s="1029">
        <f t="shared" si="590"/>
        <v>0</v>
      </c>
      <c r="JJ85" s="57">
        <f t="shared" si="591"/>
        <v>0</v>
      </c>
      <c r="JK85" s="171" t="str">
        <f t="shared" si="592"/>
        <v/>
      </c>
      <c r="JL85" s="57">
        <f t="shared" si="765"/>
        <v>0</v>
      </c>
      <c r="JM85" s="57">
        <f>IF(OR(AND(JA$6=1,$L85=0),AND(JA$6=2,$K85=2,$G85=1)),0,IF(AND(JC$9=2,(OR($F85&gt;1,$K85=1,AND($L85=80,OR($N85=1,AND($N85=2,'#BerechnungDBE'!$AL76&gt;0)))))),IF(JA$4&gt;=$AD$126,0,JK85),IF(JC$9=3,IF(OR(JA$4&gt;=$AD$127,AND($G85=1,$J85=2,JA$6=2),AND(JA$6=1,$N85&lt;&gt;1)),0,IF(JE85&lt;=120,JK85,IF(JA$4&lt;$AD$124,IF($F85=1,60/JC$4*JC$6,60/JC$4*JC$7),IF($F85=1,120/JC$4*JC$6,120/JC$4*JC$7)))),IF(OR($F85=3,$G85=2),IF(OR(AND(JA$4&gt;=$AD$119,$C85=2),AND(JA$4&gt;=$AF$119,$C85=1)),0,IF(JE85&lt;=60,JK85,60/JC$4*JC$7)),IF(AND($F85=2,$G85=1),JK85,0)))))</f>
        <v>0</v>
      </c>
      <c r="JN85" s="57" t="str">
        <f t="shared" si="593"/>
        <v/>
      </c>
      <c r="JO85" s="57" t="str">
        <f t="shared" si="594"/>
        <v/>
      </c>
      <c r="JP85" s="713">
        <f>'org. Düngung 22'!BX84</f>
        <v>0</v>
      </c>
      <c r="JQ85" s="57"/>
      <c r="JR85" s="57"/>
      <c r="JS85" s="57">
        <f t="shared" si="595"/>
        <v>0</v>
      </c>
      <c r="JT85" s="57">
        <f t="shared" si="766"/>
        <v>0</v>
      </c>
      <c r="JU85" s="57">
        <f t="shared" si="767"/>
        <v>0</v>
      </c>
      <c r="JV85" s="57">
        <f t="shared" si="768"/>
        <v>0</v>
      </c>
      <c r="JW85" s="57">
        <f t="shared" si="769"/>
        <v>0</v>
      </c>
      <c r="JX85" s="1029">
        <f t="shared" si="596"/>
        <v>0</v>
      </c>
      <c r="JY85" s="57">
        <f t="shared" si="597"/>
        <v>0</v>
      </c>
      <c r="JZ85" s="171" t="str">
        <f t="shared" si="598"/>
        <v/>
      </c>
      <c r="KA85" s="57">
        <f t="shared" si="770"/>
        <v>0</v>
      </c>
      <c r="KB85" s="57">
        <f>IF(OR(AND(JP$6=1,$L85=0),AND(JP$6=2,$K85=2,$G85=1)),0,IF(AND(JR$9=2,(OR($F85&gt;1,$K85=1,AND($L85=80,OR($N85=1,AND($N85=2,'#BerechnungDBE'!$AL76&gt;0)))))),IF(JP$4&gt;=$AD$126,0,JZ85),IF(JR$9=3,IF(OR(JP$4&gt;=$AD$127,AND($G85=1,$J85=2,JP$6=2),AND(JP$6=1,$N85&lt;&gt;1)),0,IF(JT85&lt;=120,JZ85,IF(JP$4&lt;$AD$124,IF($F85=1,60/JR$4*JR$6,60/JR$4*JR$7),IF($F85=1,120/JR$4*JR$6,120/JR$4*JR$7)))),IF(OR($F85=3,$G85=2),IF(OR(AND(JP$4&gt;=$AD$119,$C85=2),AND(JP$4&gt;=$AF$119,$C85=1)),0,IF(JT85&lt;=60,JZ85,60/JR$4*JR$7)),IF(AND($F85=2,$G85=1),JZ85,0)))))</f>
        <v>0</v>
      </c>
      <c r="KC85" s="57" t="str">
        <f t="shared" si="599"/>
        <v/>
      </c>
      <c r="KD85" s="57" t="str">
        <f t="shared" si="600"/>
        <v/>
      </c>
      <c r="KE85" s="713">
        <f>'org. Düngung 22'!CB84</f>
        <v>0</v>
      </c>
      <c r="KF85" s="57"/>
      <c r="KG85" s="57"/>
      <c r="KH85" s="57">
        <f t="shared" si="601"/>
        <v>0</v>
      </c>
      <c r="KI85" s="57">
        <f t="shared" si="771"/>
        <v>0</v>
      </c>
      <c r="KJ85" s="57">
        <f t="shared" si="772"/>
        <v>0</v>
      </c>
      <c r="KK85" s="57">
        <f t="shared" si="773"/>
        <v>0</v>
      </c>
      <c r="KL85" s="57">
        <f t="shared" si="774"/>
        <v>0</v>
      </c>
      <c r="KM85" s="1029">
        <f t="shared" si="602"/>
        <v>0</v>
      </c>
      <c r="KN85" s="57">
        <f t="shared" si="603"/>
        <v>0</v>
      </c>
      <c r="KO85" s="171" t="str">
        <f t="shared" si="604"/>
        <v/>
      </c>
      <c r="KP85" s="57">
        <f t="shared" si="775"/>
        <v>0</v>
      </c>
      <c r="KQ85" s="57">
        <f>IF(OR(AND(KE$6=1,$L85=0),AND(KE$6=2,$K85=2,$G85=1)),0,IF(AND(KG$9=2,(OR($F85&gt;1,$K85=1,AND($L85=80,OR($N85=1,AND($N85=2,'#BerechnungDBE'!$AL76&gt;0)))))),IF(KE$4&gt;=$AD$126,0,KO85),IF(KG$9=3,IF(OR(KE$4&gt;=$AD$127,AND($G85=1,$J85=2,KE$6=2),AND(KE$6=1,$N85&lt;&gt;1)),0,IF(KI85&lt;=120,KO85,IF(KE$4&lt;$AD$124,IF($F85=1,60/KG$4*KG$6,60/KG$4*KG$7),IF($F85=1,120/KG$4*KG$6,120/KG$4*KG$7)))),IF(OR($F85=3,$G85=2),IF(OR(AND(KE$4&gt;=$AD$119,$C85=2),AND(KE$4&gt;=$AF$119,$C85=1)),0,IF(KI85&lt;=60,KO85,60/KG$4*KG$7)),IF(AND($F85=2,$G85=1),KO85,0)))))</f>
        <v>0</v>
      </c>
      <c r="KR85" s="57" t="str">
        <f t="shared" si="605"/>
        <v/>
      </c>
      <c r="KS85" s="57" t="str">
        <f t="shared" si="606"/>
        <v/>
      </c>
      <c r="KT85" s="713">
        <f>'org. Düngung 22'!CF84</f>
        <v>0</v>
      </c>
      <c r="KU85" s="57"/>
      <c r="KV85" s="57"/>
      <c r="KW85" s="57">
        <f t="shared" si="607"/>
        <v>0</v>
      </c>
      <c r="KX85" s="57">
        <f t="shared" si="776"/>
        <v>0</v>
      </c>
      <c r="KY85" s="57">
        <f t="shared" si="777"/>
        <v>0</v>
      </c>
      <c r="KZ85" s="57">
        <f t="shared" si="778"/>
        <v>0</v>
      </c>
      <c r="LA85" s="57">
        <f t="shared" si="779"/>
        <v>0</v>
      </c>
      <c r="LB85" s="1029">
        <f t="shared" si="608"/>
        <v>0</v>
      </c>
      <c r="LC85" s="57">
        <f t="shared" si="609"/>
        <v>0</v>
      </c>
      <c r="LD85" s="171" t="str">
        <f t="shared" si="610"/>
        <v/>
      </c>
      <c r="LE85" s="57">
        <f t="shared" si="780"/>
        <v>0</v>
      </c>
      <c r="LF85" s="57">
        <f>IF(OR(AND(KT$6=1,$L85=0),AND(KT$6=2,$K85=2,$G85=1)),0,IF(AND(KV$9=2,(OR($F85&gt;1,$K85=1,AND($L85=80,OR($N85=1,AND($N85=2,'#BerechnungDBE'!$AL76&gt;0)))))),IF(KT$4&gt;=$AD$126,0,LD85),IF(KV$9=3,IF(OR(KT$4&gt;=$AD$127,AND($G85=1,$J85=2,KT$6=2),AND(KT$6=1,$N85&lt;&gt;1)),0,IF(KX85&lt;=120,LD85,IF(KT$4&lt;$AD$124,IF($F85=1,60/KV$4*KV$6,60/KV$4*KV$7),IF($F85=1,120/KV$4*KV$6,120/KV$4*KV$7)))),IF(OR($F85=3,$G85=2),IF(OR(AND(KT$4&gt;=$AD$119,$C85=2),AND(KT$4&gt;=$AF$119,$C85=1)),0,IF(KX85&lt;=60,LD85,60/KV$4*KV$7)),IF(AND($F85=2,$G85=1),LD85,0)))))</f>
        <v>0</v>
      </c>
      <c r="LG85" s="57" t="str">
        <f t="shared" si="611"/>
        <v/>
      </c>
      <c r="LH85" s="57" t="str">
        <f t="shared" si="612"/>
        <v/>
      </c>
      <c r="LI85" s="713">
        <f>'org. Düngung 22'!CJ84</f>
        <v>0</v>
      </c>
      <c r="LJ85" s="57"/>
      <c r="LK85" s="57"/>
      <c r="LL85" s="57">
        <f t="shared" si="613"/>
        <v>0</v>
      </c>
      <c r="LM85" s="57">
        <f t="shared" si="781"/>
        <v>0</v>
      </c>
      <c r="LN85" s="57">
        <f t="shared" si="782"/>
        <v>0</v>
      </c>
      <c r="LO85" s="57">
        <f t="shared" si="783"/>
        <v>0</v>
      </c>
      <c r="LP85" s="57">
        <f t="shared" si="784"/>
        <v>0</v>
      </c>
      <c r="LQ85" s="1029">
        <f t="shared" si="614"/>
        <v>0</v>
      </c>
      <c r="LR85" s="57">
        <f t="shared" si="615"/>
        <v>0</v>
      </c>
      <c r="LS85" s="171" t="str">
        <f t="shared" si="616"/>
        <v/>
      </c>
      <c r="LT85" s="57">
        <f t="shared" si="785"/>
        <v>0</v>
      </c>
      <c r="LU85" s="57">
        <f>IF(OR(AND(LI$6=1,$L85=0),AND(LI$6=2,$K85=2,$G85=1)),0,IF(AND(LK$9=2,(OR($F85&gt;1,$K85=1,AND($L85=80,OR($N85=1,AND($N85=2,'#BerechnungDBE'!$AL76&gt;0)))))),IF(LI$4&gt;=$AD$126,0,LS85),IF(LK$9=3,IF(OR(LI$4&gt;=$AD$127,AND($G85=1,$J85=2,LI$6=2),AND(LI$6=1,$N85&lt;&gt;1)),0,IF(LM85&lt;=120,LS85,IF(LI$4&lt;$AD$124,IF($F85=1,60/LK$4*LK$6,60/LK$4*LK$7),IF($F85=1,120/LK$4*LK$6,120/LK$4*LK$7)))),IF(OR($F85=3,$G85=2),IF(OR(AND(LI$4&gt;=$AD$119,$C85=2),AND(LI$4&gt;=$AF$119,$C85=1)),0,IF(LM85&lt;=60,LS85,60/LK$4*LK$7)),IF(AND($F85=2,$G85=1),LS85,0)))))</f>
        <v>0</v>
      </c>
      <c r="LV85" s="57" t="str">
        <f t="shared" si="617"/>
        <v/>
      </c>
      <c r="LW85" s="57" t="str">
        <f t="shared" si="618"/>
        <v/>
      </c>
      <c r="LX85" s="713">
        <f>'org. Düngung 22'!CN84</f>
        <v>0</v>
      </c>
      <c r="LY85" s="57"/>
      <c r="LZ85" s="57"/>
      <c r="MA85" s="57">
        <f t="shared" si="619"/>
        <v>0</v>
      </c>
      <c r="MB85" s="57">
        <f t="shared" si="786"/>
        <v>0</v>
      </c>
      <c r="MC85" s="57">
        <f t="shared" si="787"/>
        <v>0</v>
      </c>
      <c r="MD85" s="57">
        <f t="shared" si="788"/>
        <v>0</v>
      </c>
      <c r="ME85" s="57">
        <f t="shared" si="789"/>
        <v>0</v>
      </c>
      <c r="MF85" s="1029">
        <f t="shared" si="620"/>
        <v>0</v>
      </c>
      <c r="MG85" s="57">
        <f t="shared" si="621"/>
        <v>0</v>
      </c>
      <c r="MH85" s="171" t="str">
        <f t="shared" si="622"/>
        <v/>
      </c>
      <c r="MI85" s="57">
        <f t="shared" si="790"/>
        <v>0</v>
      </c>
      <c r="MJ85" s="57">
        <f>IF(OR(AND(LX$6=1,$L85=0),AND(LX$6=2,$K85=2,$G85=1)),0,IF(AND(LZ$9=2,(OR($F85&gt;1,$K85=1,AND($L85=80,OR($N85=1,AND($N85=2,'#BerechnungDBE'!$AL76&gt;0)))))),IF(LX$4&gt;=$AD$126,0,MH85),IF(LZ$9=3,IF(OR(LX$4&gt;=$AD$127,AND($G85=1,$J85=2,LX$6=2),AND(LX$6=1,$N85&lt;&gt;1)),0,IF(MB85&lt;=120,MH85,IF(LX$4&lt;$AD$124,IF($F85=1,60/LZ$4*LZ$6,60/LZ$4*LZ$7),IF($F85=1,120/LZ$4*LZ$6,120/LZ$4*LZ$7)))),IF(OR($F85=3,$G85=2),IF(OR(AND(LX$4&gt;=$AD$119,$C85=2),AND(LX$4&gt;=$AF$119,$C85=1)),0,IF(MB85&lt;=60,MH85,60/LZ$4*LZ$7)),IF(AND($F85=2,$G85=1),MH85,0)))))</f>
        <v>0</v>
      </c>
      <c r="MK85" s="57" t="str">
        <f t="shared" si="623"/>
        <v/>
      </c>
      <c r="ML85" s="57" t="str">
        <f t="shared" si="624"/>
        <v/>
      </c>
      <c r="MM85" s="713">
        <f>'org. Düngung 22'!CR84</f>
        <v>0</v>
      </c>
      <c r="MN85" s="57"/>
      <c r="MO85" s="57"/>
      <c r="MP85" s="57">
        <f t="shared" si="625"/>
        <v>0</v>
      </c>
      <c r="MQ85" s="57">
        <f t="shared" si="791"/>
        <v>0</v>
      </c>
      <c r="MR85" s="57">
        <f t="shared" si="792"/>
        <v>0</v>
      </c>
      <c r="MS85" s="57">
        <f t="shared" si="793"/>
        <v>0</v>
      </c>
      <c r="MT85" s="57">
        <f t="shared" si="794"/>
        <v>0</v>
      </c>
      <c r="MU85" s="1029">
        <f t="shared" si="626"/>
        <v>0</v>
      </c>
      <c r="MV85" s="57">
        <f t="shared" si="627"/>
        <v>0</v>
      </c>
      <c r="MW85" s="171" t="str">
        <f t="shared" si="628"/>
        <v/>
      </c>
      <c r="MX85" s="57">
        <f t="shared" si="795"/>
        <v>0</v>
      </c>
      <c r="MY85" s="57">
        <f>IF(OR(AND(MM$6=1,$L85=0),AND(MM$6=2,$K85=2,$G85=1)),0,IF(AND(MO$9=2,(OR($F85&gt;1,$K85=1,AND($L85=80,OR($N85=1,AND($N85=2,'#BerechnungDBE'!$AL76&gt;0)))))),IF(MM$4&gt;=$AD$126,0,MW85),IF(MO$9=3,IF(OR(MM$4&gt;=$AD$127,AND($G85=1,$J85=2,MM$6=2),AND(MM$6=1,$N85&lt;&gt;1)),0,IF(MQ85&lt;=120,MW85,IF(MM$4&lt;$AD$124,IF($F85=1,60/MO$4*MO$6,60/MO$4*MO$7),IF($F85=1,120/MO$4*MO$6,120/MO$4*MO$7)))),IF(OR($F85=3,$G85=2),IF(OR(AND(MM$4&gt;=$AD$119,$C85=2),AND(MM$4&gt;=$AF$119,$C85=1)),0,IF(MQ85&lt;=60,MW85,60/MO$4*MO$7)),IF(AND($F85=2,$G85=1),MW85,0)))))</f>
        <v>0</v>
      </c>
      <c r="MZ85" s="57" t="str">
        <f t="shared" si="629"/>
        <v/>
      </c>
      <c r="NA85" s="57" t="str">
        <f t="shared" si="630"/>
        <v/>
      </c>
      <c r="NB85" s="713">
        <f>'org. Düngung 22'!CV84</f>
        <v>0</v>
      </c>
      <c r="NC85" s="57"/>
      <c r="ND85" s="57"/>
      <c r="NE85" s="57">
        <f t="shared" si="631"/>
        <v>0</v>
      </c>
      <c r="NF85" s="57">
        <f t="shared" si="796"/>
        <v>0</v>
      </c>
      <c r="NG85" s="57">
        <f t="shared" si="797"/>
        <v>0</v>
      </c>
      <c r="NH85" s="57">
        <f t="shared" si="798"/>
        <v>0</v>
      </c>
      <c r="NI85" s="57">
        <f t="shared" si="799"/>
        <v>0</v>
      </c>
      <c r="NJ85" s="1029">
        <f t="shared" si="632"/>
        <v>0</v>
      </c>
      <c r="NK85" s="57">
        <f t="shared" si="633"/>
        <v>0</v>
      </c>
      <c r="NL85" s="171" t="str">
        <f t="shared" si="634"/>
        <v/>
      </c>
      <c r="NM85" s="57">
        <f t="shared" si="800"/>
        <v>0</v>
      </c>
      <c r="NN85" s="57">
        <f>IF(OR(AND(NB$6=1,$L85=0),AND(NB$6=2,$K85=2,$G85=1)),0,IF(AND(ND$9=2,(OR($F85&gt;1,$K85=1,AND($L85=80,OR($N85=1,AND($N85=2,'#BerechnungDBE'!$AL76&gt;0)))))),IF(NB$4&gt;=$AD$126,0,NL85),IF(ND$9=3,IF(OR(NB$4&gt;=$AD$127,AND($G85=1,$J85=2,NB$6=2),AND(NB$6=1,$N85&lt;&gt;1)),0,IF(NF85&lt;=120,NL85,IF(NB$4&lt;$AD$124,IF($F85=1,60/ND$4*ND$6,60/ND$4*ND$7),IF($F85=1,120/ND$4*ND$6,120/ND$4*ND$7)))),IF(OR($F85=3,$G85=2),IF(OR(AND(NB$4&gt;=$AD$119,$C85=2),AND(NB$4&gt;=$AF$119,$C85=1)),0,IF(NF85&lt;=60,NL85,60/ND$4*ND$7)),IF(AND($F85=2,$G85=1),NL85,0)))))</f>
        <v>0</v>
      </c>
      <c r="NO85" s="57" t="str">
        <f t="shared" si="635"/>
        <v/>
      </c>
      <c r="NP85" s="57" t="str">
        <f t="shared" si="636"/>
        <v/>
      </c>
      <c r="NQ85" s="713">
        <f>'org. Düngung 22'!CZ84</f>
        <v>0</v>
      </c>
      <c r="NR85" s="57"/>
      <c r="NS85" s="57"/>
      <c r="NT85" s="57">
        <f t="shared" si="637"/>
        <v>0</v>
      </c>
      <c r="NU85" s="57">
        <f t="shared" si="801"/>
        <v>0</v>
      </c>
      <c r="NV85" s="57">
        <f t="shared" si="802"/>
        <v>0</v>
      </c>
      <c r="NW85" s="57">
        <f t="shared" si="803"/>
        <v>0</v>
      </c>
      <c r="NX85" s="57">
        <f t="shared" si="804"/>
        <v>0</v>
      </c>
      <c r="NY85" s="1029">
        <f t="shared" si="638"/>
        <v>0</v>
      </c>
      <c r="NZ85" s="57">
        <f t="shared" si="639"/>
        <v>0</v>
      </c>
      <c r="OA85" s="171" t="str">
        <f t="shared" si="640"/>
        <v/>
      </c>
      <c r="OB85" s="57">
        <f t="shared" si="805"/>
        <v>0</v>
      </c>
      <c r="OC85" s="57">
        <f>IF(OR(AND(NQ$6=1,$L85=0),AND(NQ$6=2,$K85=2,$G85=1)),0,IF(AND(NS$9=2,(OR($F85&gt;1,$K85=1,AND($L85=80,OR($N85=1,AND($N85=2,'#BerechnungDBE'!$AL76&gt;0)))))),IF(NQ$4&gt;=$AD$126,0,OA85),IF(NS$9=3,IF(OR(NQ$4&gt;=$AD$127,AND($G85=1,$J85=2,NQ$6=2),AND(NQ$6=1,$N85&lt;&gt;1)),0,IF(NU85&lt;=120,OA85,IF(NQ$4&lt;$AD$124,IF($F85=1,60/NS$4*NS$6,60/NS$4*NS$7),IF($F85=1,120/NS$4*NS$6,120/NS$4*NS$7)))),IF(OR($F85=3,$G85=2),IF(OR(AND(NQ$4&gt;=$AD$119,$C85=2),AND(NQ$4&gt;=$AF$119,$C85=1)),0,IF(NU85&lt;=60,OA85,60/NS$4*NS$7)),IF(AND($F85=2,$G85=1),OA85,0)))))</f>
        <v>0</v>
      </c>
      <c r="OD85" s="57" t="str">
        <f t="shared" si="641"/>
        <v/>
      </c>
      <c r="OE85" s="57" t="str">
        <f t="shared" si="642"/>
        <v/>
      </c>
      <c r="OF85" s="713">
        <f>'org. Düngung 22'!DD84</f>
        <v>0</v>
      </c>
      <c r="OG85" s="57"/>
      <c r="OH85" s="57"/>
      <c r="OI85" s="57">
        <f t="shared" si="643"/>
        <v>0</v>
      </c>
      <c r="OJ85" s="57">
        <f t="shared" si="806"/>
        <v>0</v>
      </c>
      <c r="OK85" s="57">
        <f t="shared" si="807"/>
        <v>0</v>
      </c>
      <c r="OL85" s="57">
        <f t="shared" si="808"/>
        <v>0</v>
      </c>
      <c r="OM85" s="57">
        <f t="shared" si="809"/>
        <v>0</v>
      </c>
      <c r="ON85" s="1029">
        <f t="shared" si="644"/>
        <v>0</v>
      </c>
      <c r="OO85" s="57">
        <f t="shared" si="645"/>
        <v>0</v>
      </c>
      <c r="OP85" s="171" t="str">
        <f t="shared" si="646"/>
        <v/>
      </c>
      <c r="OQ85" s="57">
        <f t="shared" si="810"/>
        <v>0</v>
      </c>
      <c r="OR85" s="57">
        <f>IF(OR(AND(OF$6=1,$L85=0),AND(OF$6=2,$K85=2,$G85=1)),0,IF(AND(OH$9=2,(OR($F85&gt;1,$K85=1,AND($L85=80,OR($N85=1,AND($N85=2,'#BerechnungDBE'!$AL76&gt;0)))))),IF(OF$4&gt;=$AD$126,0,OP85),IF(OH$9=3,IF(OR(OF$4&gt;=$AD$127,AND($G85=1,$J85=2,OF$6=2),AND(OF$6=1,$N85&lt;&gt;1)),0,IF(OJ85&lt;=120,OP85,IF(OF$4&lt;$AD$124,IF($F85=1,60/OH$4*OH$6,60/OH$4*OH$7),IF($F85=1,120/OH$4*OH$6,120/OH$4*OH$7)))),IF(OR($F85=3,$G85=2),IF(OR(AND(OF$4&gt;=$AD$119,$C85=2),AND(OF$4&gt;=$AF$119,$C85=1)),0,IF(OJ85&lt;=60,OP85,60/OH$4*OH$7)),IF(AND($F85=2,$G85=1),OP85,0)))))</f>
        <v>0</v>
      </c>
      <c r="OS85" s="57" t="str">
        <f t="shared" si="647"/>
        <v/>
      </c>
      <c r="OT85" s="57" t="str">
        <f t="shared" si="648"/>
        <v/>
      </c>
      <c r="OU85" s="713">
        <f>'org. Düngung 22'!DH84</f>
        <v>0</v>
      </c>
      <c r="OV85" s="57"/>
      <c r="OW85" s="57"/>
      <c r="OX85" s="57">
        <f t="shared" si="649"/>
        <v>0</v>
      </c>
      <c r="OY85" s="57">
        <f t="shared" si="811"/>
        <v>0</v>
      </c>
      <c r="OZ85" s="57">
        <f t="shared" si="812"/>
        <v>0</v>
      </c>
      <c r="PA85" s="57">
        <f t="shared" si="813"/>
        <v>0</v>
      </c>
      <c r="PB85" s="57">
        <f t="shared" si="814"/>
        <v>0</v>
      </c>
      <c r="PC85" s="1029">
        <f t="shared" si="650"/>
        <v>0</v>
      </c>
      <c r="PD85" s="57">
        <f t="shared" si="651"/>
        <v>0</v>
      </c>
      <c r="PE85" s="171" t="str">
        <f t="shared" si="652"/>
        <v/>
      </c>
      <c r="PF85" s="57">
        <f t="shared" si="815"/>
        <v>0</v>
      </c>
      <c r="PG85" s="57">
        <f>IF(OR(AND(OU$6=1,$L85=0),AND(OU$6=2,$K85=2,$G85=1)),0,IF(AND(OW$9=2,(OR($F85&gt;1,$K85=1,AND($L85=80,OR($N85=1,AND($N85=2,'#BerechnungDBE'!$AL76&gt;0)))))),IF(OU$4&gt;=$AD$126,0,PE85),IF(OW$9=3,IF(OR(OU$4&gt;=$AD$127,AND($G85=1,$J85=2,OU$6=2),AND(OU$6=1,$N85&lt;&gt;1)),0,IF(OY85&lt;=120,PE85,IF(OU$4&lt;$AD$124,IF($F85=1,60/OW$4*OW$6,60/OW$4*OW$7),IF($F85=1,120/OW$4*OW$6,120/OW$4*OW$7)))),IF(OR($F85=3,$G85=2),IF(OR(AND(OU$4&gt;=$AD$119,$C85=2),AND(OU$4&gt;=$AF$119,$C85=1)),0,IF(OY85&lt;=60,PE85,60/OW$4*OW$7)),IF(AND($F85=2,$G85=1),PE85,0)))))</f>
        <v>0</v>
      </c>
      <c r="PH85" s="57" t="str">
        <f t="shared" si="653"/>
        <v/>
      </c>
      <c r="PI85" s="57" t="str">
        <f t="shared" si="654"/>
        <v/>
      </c>
      <c r="PJ85" s="713">
        <f>'org. Düngung 22'!DL84</f>
        <v>0</v>
      </c>
      <c r="PK85" s="57"/>
      <c r="PL85" s="57"/>
      <c r="PM85" s="57">
        <f t="shared" si="655"/>
        <v>0</v>
      </c>
      <c r="PN85" s="57">
        <f t="shared" si="816"/>
        <v>0</v>
      </c>
      <c r="PO85" s="57">
        <f t="shared" si="817"/>
        <v>0</v>
      </c>
      <c r="PP85" s="57">
        <f t="shared" si="818"/>
        <v>0</v>
      </c>
      <c r="PQ85" s="57">
        <f t="shared" si="819"/>
        <v>0</v>
      </c>
      <c r="PR85" s="1029">
        <f t="shared" si="656"/>
        <v>0</v>
      </c>
      <c r="PS85" s="57">
        <f t="shared" si="657"/>
        <v>0</v>
      </c>
      <c r="PT85" s="171" t="str">
        <f t="shared" si="658"/>
        <v/>
      </c>
      <c r="PU85" s="57">
        <f t="shared" si="820"/>
        <v>0</v>
      </c>
      <c r="PV85" s="57">
        <f>IF(OR(AND(PJ$6=1,$L85=0),AND(PJ$6=2,$K85=2,$G85=1)),0,IF(AND(PL$9=2,(OR($F85&gt;1,$K85=1,AND($L85=80,OR($N85=1,AND($N85=2,'#BerechnungDBE'!$AL76&gt;0)))))),IF(PJ$4&gt;=$AD$126,0,PT85),IF(PL$9=3,IF(OR(PJ$4&gt;=$AD$127,AND($G85=1,$J85=2,PJ$6=2),AND(PJ$6=1,$N85&lt;&gt;1)),0,IF(PN85&lt;=120,PT85,IF(PJ$4&lt;$AD$124,IF($F85=1,60/PL$4*PL$6,60/PL$4*PL$7),IF($F85=1,120/PL$4*PL$6,120/PL$4*PL$7)))),IF(OR($F85=3,$G85=2),IF(OR(AND(PJ$4&gt;=$AD$119,$C85=2),AND(PJ$4&gt;=$AF$119,$C85=1)),0,IF(PN85&lt;=60,PT85,60/PL$4*PL$7)),IF(AND($F85=2,$G85=1),PT85,0)))))</f>
        <v>0</v>
      </c>
      <c r="PW85" s="57" t="str">
        <f t="shared" si="659"/>
        <v/>
      </c>
      <c r="PX85" s="57" t="str">
        <f t="shared" si="660"/>
        <v/>
      </c>
      <c r="PY85" s="713">
        <f>'org. Düngung 22'!DP84</f>
        <v>0</v>
      </c>
      <c r="PZ85" s="57"/>
      <c r="QA85" s="57"/>
      <c r="QB85" s="57">
        <f t="shared" si="661"/>
        <v>0</v>
      </c>
      <c r="QC85" s="57">
        <f t="shared" si="821"/>
        <v>0</v>
      </c>
      <c r="QD85" s="57">
        <f t="shared" si="822"/>
        <v>0</v>
      </c>
      <c r="QE85" s="57">
        <f t="shared" si="823"/>
        <v>0</v>
      </c>
      <c r="QF85" s="57">
        <f t="shared" si="824"/>
        <v>0</v>
      </c>
      <c r="QG85" s="1029">
        <f t="shared" si="662"/>
        <v>0</v>
      </c>
      <c r="QH85" s="57">
        <f t="shared" si="663"/>
        <v>0</v>
      </c>
      <c r="QI85" s="171" t="str">
        <f t="shared" si="664"/>
        <v/>
      </c>
      <c r="QJ85" s="57">
        <f t="shared" si="825"/>
        <v>0</v>
      </c>
      <c r="QK85" s="57">
        <f>IF(OR(AND(PY$6=1,$L85=0),AND(PY$6=2,$K85=2,$G85=1)),0,IF(AND(QA$9=2,(OR($F85&gt;1,$K85=1,AND($L85=80,OR($N85=1,AND($N85=2,'#BerechnungDBE'!$AL76&gt;0)))))),IF(PY$4&gt;=$AD$126,0,QI85),IF(QA$9=3,IF(OR(PY$4&gt;=$AD$127,AND($G85=1,$J85=2,PY$6=2),AND(PY$6=1,$N85&lt;&gt;1)),0,IF(QC85&lt;=120,QI85,IF(PY$4&lt;$AD$124,IF($F85=1,60/QA$4*QA$6,60/QA$4*QA$7),IF($F85=1,120/QA$4*QA$6,120/QA$4*QA$7)))),IF(OR($F85=3,$G85=2),IF(OR(AND(PY$4&gt;=$AD$119,$C85=2),AND(PY$4&gt;=$AF$119,$C85=1)),0,IF(QC85&lt;=60,QI85,60/QA$4*QA$7)),IF(AND($F85=2,$G85=1),QI85,0)))))</f>
        <v>0</v>
      </c>
      <c r="QL85" s="57" t="str">
        <f t="shared" si="665"/>
        <v/>
      </c>
      <c r="QM85" s="57" t="str">
        <f t="shared" si="666"/>
        <v/>
      </c>
      <c r="QN85" s="713">
        <f>'org. Düngung 22'!DT84</f>
        <v>0</v>
      </c>
      <c r="QO85" s="57"/>
      <c r="QP85" s="57"/>
      <c r="QQ85" s="57">
        <f t="shared" si="667"/>
        <v>0</v>
      </c>
      <c r="QR85" s="57">
        <f t="shared" si="826"/>
        <v>0</v>
      </c>
      <c r="QS85" s="57">
        <f t="shared" si="827"/>
        <v>0</v>
      </c>
      <c r="QT85" s="57">
        <f t="shared" si="828"/>
        <v>0</v>
      </c>
      <c r="QU85" s="57">
        <f t="shared" si="829"/>
        <v>0</v>
      </c>
      <c r="QV85" s="1029">
        <f t="shared" si="668"/>
        <v>0</v>
      </c>
      <c r="QW85" s="57">
        <f t="shared" si="669"/>
        <v>0</v>
      </c>
      <c r="QX85" s="171" t="str">
        <f t="shared" si="670"/>
        <v/>
      </c>
      <c r="QY85" s="57">
        <f t="shared" si="830"/>
        <v>0</v>
      </c>
      <c r="QZ85" s="57">
        <f>IF(OR(AND(QN$6=1,$L85=0),AND(QN$6=2,$K85=2,$G85=1)),0,IF(AND(QP$9=2,(OR($F85&gt;1,$K85=1,AND($L85=80,OR($N85=1,AND($N85=2,'#BerechnungDBE'!$AL76&gt;0)))))),IF(QN$4&gt;=$AD$126,0,QX85),IF(QP$9=3,IF(OR(QN$4&gt;=$AD$127,AND($G85=1,$J85=2,QN$6=2),AND(QN$6=1,$N85&lt;&gt;1)),0,IF(QR85&lt;=120,QX85,IF(QN$4&lt;$AD$124,IF($F85=1,60/QP$4*QP$6,60/QP$4*QP$7),IF($F85=1,120/QP$4*QP$6,120/QP$4*QP$7)))),IF(OR($F85=3,$G85=2),IF(OR(AND(QN$4&gt;=$AD$119,$C85=2),AND(QN$4&gt;=$AF$119,$C85=1)),0,IF(QR85&lt;=60,QX85,60/QP$4*QP$7)),IF(AND($F85=2,$G85=1),QX85,0)))))</f>
        <v>0</v>
      </c>
      <c r="RA85" s="57" t="str">
        <f t="shared" si="671"/>
        <v/>
      </c>
      <c r="RB85" s="57" t="str">
        <f t="shared" si="672"/>
        <v/>
      </c>
      <c r="RC85" s="713">
        <f>'org. Düngung 22'!DX84</f>
        <v>0</v>
      </c>
      <c r="RD85" s="57"/>
      <c r="RE85" s="57"/>
      <c r="RF85" s="57">
        <f t="shared" si="673"/>
        <v>0</v>
      </c>
      <c r="RG85" s="57">
        <f t="shared" si="831"/>
        <v>0</v>
      </c>
      <c r="RH85" s="57">
        <f t="shared" si="832"/>
        <v>0</v>
      </c>
      <c r="RI85" s="57">
        <f t="shared" si="833"/>
        <v>0</v>
      </c>
      <c r="RJ85" s="57">
        <f t="shared" si="834"/>
        <v>0</v>
      </c>
      <c r="RK85" s="1029">
        <f t="shared" si="674"/>
        <v>0</v>
      </c>
      <c r="RL85" s="57">
        <f t="shared" si="675"/>
        <v>0</v>
      </c>
      <c r="RM85" s="171" t="str">
        <f t="shared" si="676"/>
        <v/>
      </c>
      <c r="RN85" s="57">
        <f t="shared" si="835"/>
        <v>0</v>
      </c>
      <c r="RO85" s="57">
        <f>IF(OR(AND(RC$6=1,$L85=0),AND(RC$6=2,$K85=2,$G85=1)),0,IF(AND(RE$9=2,(OR($F85&gt;1,$K85=1,AND($L85=80,OR($N85=1,AND($N85=2,'#BerechnungDBE'!$AL76&gt;0)))))),IF(RC$4&gt;=$AD$126,0,RM85),IF(RE$9=3,IF(OR(RC$4&gt;=$AD$127,AND($G85=1,$J85=2,RC$6=2),AND(RC$6=1,$N85&lt;&gt;1)),0,IF(RG85&lt;=120,RM85,IF(RC$4&lt;$AD$124,IF($F85=1,60/RE$4*RE$6,60/RE$4*RE$7),IF($F85=1,120/RE$4*RE$6,120/RE$4*RE$7)))),IF(OR($F85=3,$G85=2),IF(OR(AND(RC$4&gt;=$AD$119,$C85=2),AND(RC$4&gt;=$AF$119,$C85=1)),0,IF(RG85&lt;=60,RM85,60/RE$4*RE$7)),IF(AND($F85=2,$G85=1),RM85,0)))))</f>
        <v>0</v>
      </c>
      <c r="RP85" s="57" t="str">
        <f t="shared" si="677"/>
        <v/>
      </c>
      <c r="RQ85" s="57" t="str">
        <f t="shared" si="678"/>
        <v/>
      </c>
      <c r="RS85" s="57" t="str">
        <f t="shared" si="836"/>
        <v/>
      </c>
      <c r="RT85" s="57" t="str">
        <f t="shared" si="679"/>
        <v/>
      </c>
      <c r="RU85" s="57" t="str">
        <f t="shared" si="680"/>
        <v/>
      </c>
      <c r="RV85" s="57" t="str">
        <f>IF(Z85&gt;'#BerechnungDBE'!BM76,$RV$9,"")</f>
        <v/>
      </c>
      <c r="RW85" s="57" t="str">
        <f>IF(AND(L85=70,AE85&gt;'#BerechnungDBE'!CQ76),$RW$9,"")</f>
        <v/>
      </c>
      <c r="RX85" s="57" t="str">
        <f>IF(OR('org. Düngung 22'!G84="--",'org. Düngung 22'!G84&lt;=170,'org. Düngung 22'!G84=""),"",$RX$9)</f>
        <v/>
      </c>
      <c r="RY85" s="57" t="str">
        <f>IF('org. Düngung 22'!K84&gt;120,'#orgDung'!$RY$9,"")</f>
        <v/>
      </c>
      <c r="RZ85" s="57" t="str">
        <f>IF('#BerechnungDBE'!P76&lt;4,"",IF(AND('#BerechnungDBE'!BZ76&gt;0,T85&gt;0),'#orgDung'!$RZ$9,""))</f>
        <v/>
      </c>
      <c r="SA85" s="57" t="str">
        <f t="shared" si="681"/>
        <v/>
      </c>
    </row>
    <row r="86" spans="1:495" s="875" customFormat="1" x14ac:dyDescent="0.2">
      <c r="A86" s="875">
        <f>'Flächen u. Kulturen'!A82</f>
        <v>73</v>
      </c>
      <c r="B86" s="367">
        <f>'#BerechnungDBE'!L77</f>
        <v>0</v>
      </c>
      <c r="C86" s="875">
        <f>'#BerechnungDBE'!R77</f>
        <v>1</v>
      </c>
      <c r="D86" s="875">
        <f>'#BerechnungDBE'!T77</f>
        <v>2</v>
      </c>
      <c r="E86" s="875" t="str">
        <f>'Flächen u. Kulturen'!E82</f>
        <v>x</v>
      </c>
      <c r="F86" s="52">
        <f>'#BerechnungDBE'!N77</f>
        <v>1</v>
      </c>
      <c r="G86" s="52">
        <f>'#BerechnungDBE'!O77</f>
        <v>1</v>
      </c>
      <c r="H86" s="875">
        <f>IF('Flächen u. Kulturen'!P82="",0,VLOOKUP('Flächen u. Kulturen'!P82,Kulturen[[HF]:[Berechnungsgruppe]],'#Frucht'!$H$1,FALSE))</f>
        <v>0</v>
      </c>
      <c r="I86" s="875">
        <f>IF('Flächen u. Kulturen'!J82="",0,VLOOKUP('Flächen u. Kulturen'!J82,Kulturen[[HF]:[Berechnungsgruppe]],'#Frucht'!$G$1,FALSE))</f>
        <v>90</v>
      </c>
      <c r="J86" s="505">
        <f t="shared" si="682"/>
        <v>2</v>
      </c>
      <c r="K86" s="505">
        <f>IF('Flächen u. Kulturen'!P82="",0,IF(VLOOKUP('Flächen u. Kulturen'!P82,Kulturen[[HF]:[Saat Winterungen]],'#Frucht'!$P$1,FALSE)&gt;0,1,2))</f>
        <v>2</v>
      </c>
      <c r="L86" s="875">
        <f>'#BerechnungDBE'!AF77</f>
        <v>0</v>
      </c>
      <c r="M86" s="875">
        <f>IF('Flächen u. Kulturen'!L82="",0,VLOOKUP('Flächen u. Kulturen'!L82,Nebenkultur[[Nebenkultur]:[Legum. Zwischenfr.]],'#Zweitfr'!$K$1,FALSE))</f>
        <v>0</v>
      </c>
      <c r="N86" s="875">
        <f>'#BerechnungDBE'!AG77</f>
        <v>0</v>
      </c>
      <c r="P86" s="57">
        <f t="shared" si="489"/>
        <v>0</v>
      </c>
      <c r="Q86" s="57">
        <f t="shared" si="490"/>
        <v>0</v>
      </c>
      <c r="R86" s="875">
        <f t="shared" si="491"/>
        <v>0</v>
      </c>
      <c r="S86" s="938" t="str">
        <f t="shared" si="683"/>
        <v/>
      </c>
      <c r="T86" s="875">
        <f t="shared" si="492"/>
        <v>0</v>
      </c>
      <c r="U86" s="875">
        <f t="shared" si="493"/>
        <v>0</v>
      </c>
      <c r="V86" s="875">
        <f t="shared" si="494"/>
        <v>0</v>
      </c>
      <c r="W86" s="875">
        <f t="shared" si="495"/>
        <v>0</v>
      </c>
      <c r="X86" s="875">
        <f t="shared" si="496"/>
        <v>0</v>
      </c>
      <c r="Y86" s="875">
        <f t="shared" si="837"/>
        <v>0</v>
      </c>
      <c r="Z86" s="875">
        <f t="shared" si="838"/>
        <v>0</v>
      </c>
      <c r="AA86" s="910">
        <f t="shared" si="497"/>
        <v>0</v>
      </c>
      <c r="AB86" s="57">
        <f t="shared" si="839"/>
        <v>0</v>
      </c>
      <c r="AC86" s="875">
        <f t="shared" si="498"/>
        <v>0</v>
      </c>
      <c r="AD86" s="875">
        <f t="shared" si="499"/>
        <v>0</v>
      </c>
      <c r="AE86" s="875">
        <f t="shared" si="500"/>
        <v>0</v>
      </c>
      <c r="AF86" s="875">
        <f t="shared" si="840"/>
        <v>0</v>
      </c>
      <c r="AG86" s="875">
        <f>'org. Düngung 22'!J85</f>
        <v>0</v>
      </c>
      <c r="AH86" s="875">
        <f>'org. Düngung 22'!K85</f>
        <v>0</v>
      </c>
      <c r="AJ86" s="713">
        <f>'org. Düngung 22'!L85</f>
        <v>0</v>
      </c>
      <c r="AK86" s="57"/>
      <c r="AL86" s="57"/>
      <c r="AM86" s="57">
        <f t="shared" si="684"/>
        <v>0</v>
      </c>
      <c r="AN86" s="57">
        <f t="shared" si="685"/>
        <v>0</v>
      </c>
      <c r="AO86" s="57">
        <f t="shared" si="686"/>
        <v>0</v>
      </c>
      <c r="AP86" s="57">
        <f t="shared" si="687"/>
        <v>0</v>
      </c>
      <c r="AQ86" s="57">
        <f t="shared" si="688"/>
        <v>0</v>
      </c>
      <c r="AR86" s="1029">
        <f t="shared" si="501"/>
        <v>0</v>
      </c>
      <c r="AS86" s="57">
        <f t="shared" si="502"/>
        <v>0</v>
      </c>
      <c r="AT86" s="171" t="str">
        <f t="shared" si="503"/>
        <v/>
      </c>
      <c r="AU86" s="57">
        <f t="shared" si="689"/>
        <v>0</v>
      </c>
      <c r="AV86" s="57">
        <f>IF(OR(AND(AJ$6=1,$L86=0),AND(AJ$6=2,$K86=2,$G86=1)),0,IF(AND(AL$9=2,(OR($F86&gt;1,$K86=1,AND($L86=80,OR($N86=1,AND($N86=2,'#BerechnungDBE'!$AL77&gt;0)))))),IF(AJ$4&gt;=$AD$126,0,AT86),IF(AL$9=3,IF(OR(AJ$4&gt;=$AD$127,AND($G86=1,$J86=2,AJ$6=2),AND(AJ$6=1,$N86&lt;&gt;1)),0,IF(AN86&lt;=120,AT86,IF(AJ$4&lt;$AD$124,IF($F86=1,60/AL$4*AL$6,60/AL$4*AL$7),IF($F86=1,120/AL$4*AL$6,120/AL$4*AL$7)))),IF(OR($F86=3,$G86=2),IF(OR(AND(AJ$4&gt;=$AD$119,$C86=2),AND(AJ$4&gt;=$AF$119,$C86=1)),0,IF(AN86&lt;=60,AT86,60/AL$4*AL$7)),IF(AND($F86=2,$G86=1),AT86,0)))))</f>
        <v>0</v>
      </c>
      <c r="AW86" s="57" t="str">
        <f t="shared" si="690"/>
        <v/>
      </c>
      <c r="AX86" s="57" t="str">
        <f t="shared" si="504"/>
        <v/>
      </c>
      <c r="AY86" s="713">
        <f>'org. Düngung 22'!P85</f>
        <v>0</v>
      </c>
      <c r="AZ86" s="57"/>
      <c r="BA86" s="57"/>
      <c r="BB86" s="57">
        <f t="shared" si="505"/>
        <v>0</v>
      </c>
      <c r="BC86" s="57">
        <f t="shared" si="691"/>
        <v>0</v>
      </c>
      <c r="BD86" s="57">
        <f t="shared" si="692"/>
        <v>0</v>
      </c>
      <c r="BE86" s="57">
        <f t="shared" si="693"/>
        <v>0</v>
      </c>
      <c r="BF86" s="57">
        <f t="shared" si="694"/>
        <v>0</v>
      </c>
      <c r="BG86" s="1029">
        <f t="shared" si="506"/>
        <v>0</v>
      </c>
      <c r="BH86" s="57">
        <f t="shared" si="507"/>
        <v>0</v>
      </c>
      <c r="BI86" s="171" t="str">
        <f t="shared" si="508"/>
        <v/>
      </c>
      <c r="BJ86" s="57">
        <f t="shared" si="695"/>
        <v>0</v>
      </c>
      <c r="BK86" s="57">
        <f>IF(OR(AND(AY$6=1,$L86=0),AND(AY$6=2,$K86=2,$G86=1)),0,IF(AND(BA$9=2,(OR($F86&gt;1,$K86=1,AND($L86=80,OR($N86=1,AND($N86=2,'#BerechnungDBE'!$AL77&gt;0)))))),IF(AY$4&gt;=$AD$126,0,BI86),IF(BA$9=3,IF(OR(AY$4&gt;=$AD$127,AND($G86=1,$J86=2,AY$6=2),AND(AY$6=1,$N86&lt;&gt;1)),0,IF(BC86&lt;=120,BI86,IF(AY$4&lt;$AD$124,IF($F86=1,60/BA$4*BA$6,60/BA$4*BA$7),IF($F86=1,120/BA$4*BA$6,120/BA$4*BA$7)))),IF(OR($F86=3,$G86=2),IF(OR(AND(AY$4&gt;=$AD$119,$C86=2),AND(AY$4&gt;=$AF$119,$C86=1)),0,IF(BC86&lt;=60,BI86,60/BA$4*BA$7)),IF(AND($F86=2,$G86=1),BI86,0)))))</f>
        <v>0</v>
      </c>
      <c r="BL86" s="57" t="str">
        <f t="shared" si="509"/>
        <v/>
      </c>
      <c r="BM86" s="57" t="str">
        <f t="shared" si="510"/>
        <v/>
      </c>
      <c r="BN86" s="713">
        <f>'org. Düngung 22'!T85</f>
        <v>0</v>
      </c>
      <c r="BO86" s="57"/>
      <c r="BP86" s="57"/>
      <c r="BQ86" s="57">
        <f t="shared" si="511"/>
        <v>0</v>
      </c>
      <c r="BR86" s="57">
        <f t="shared" si="696"/>
        <v>0</v>
      </c>
      <c r="BS86" s="57">
        <f t="shared" si="697"/>
        <v>0</v>
      </c>
      <c r="BT86" s="57">
        <f t="shared" si="698"/>
        <v>0</v>
      </c>
      <c r="BU86" s="57">
        <f t="shared" si="699"/>
        <v>0</v>
      </c>
      <c r="BV86" s="1029">
        <f t="shared" si="512"/>
        <v>0</v>
      </c>
      <c r="BW86" s="57">
        <f t="shared" si="513"/>
        <v>0</v>
      </c>
      <c r="BX86" s="171" t="str">
        <f t="shared" si="514"/>
        <v/>
      </c>
      <c r="BY86" s="57">
        <f t="shared" si="700"/>
        <v>0</v>
      </c>
      <c r="BZ86" s="57">
        <f>IF(OR(AND(BN$6=1,$L86=0),AND(BN$6=2,$K86=2,$G86=1)),0,IF(AND(BP$9=2,(OR($F86&gt;1,$K86=1,AND($L86=80,OR($N86=1,AND($N86=2,'#BerechnungDBE'!$AL77&gt;0)))))),IF(BN$4&gt;=$AD$126,0,BX86),IF(BP$9=3,IF(OR(BN$4&gt;=$AD$127,AND($G86=1,$J86=2,BN$6=2),AND(BN$6=1,$N86&lt;&gt;1)),0,IF(BR86&lt;=120,BX86,IF(BN$4&lt;$AD$124,IF($F86=1,60/BP$4*BP$6,60/BP$4*BP$7),IF($F86=1,120/BP$4*BP$6,120/BP$4*BP$7)))),IF(OR($F86=3,$G86=2),IF(OR(AND(BN$4&gt;=$AD$119,$C86=2),AND(BN$4&gt;=$AF$119,$C86=1)),0,IF(BR86&lt;=60,BX86,60/BP$4*BP$7)),IF(AND($F86=2,$G86=1),BX86,0)))))</f>
        <v>0</v>
      </c>
      <c r="CA86" s="57" t="str">
        <f t="shared" si="515"/>
        <v/>
      </c>
      <c r="CB86" s="57" t="str">
        <f t="shared" si="516"/>
        <v/>
      </c>
      <c r="CC86" s="713">
        <f>'org. Düngung 22'!X85</f>
        <v>0</v>
      </c>
      <c r="CD86" s="57"/>
      <c r="CE86" s="57"/>
      <c r="CF86" s="57">
        <f t="shared" si="517"/>
        <v>0</v>
      </c>
      <c r="CG86" s="57">
        <f t="shared" si="701"/>
        <v>0</v>
      </c>
      <c r="CH86" s="57">
        <f t="shared" si="702"/>
        <v>0</v>
      </c>
      <c r="CI86" s="57">
        <f t="shared" si="703"/>
        <v>0</v>
      </c>
      <c r="CJ86" s="57">
        <f t="shared" si="704"/>
        <v>0</v>
      </c>
      <c r="CK86" s="1029">
        <f t="shared" si="518"/>
        <v>0</v>
      </c>
      <c r="CL86" s="57">
        <f t="shared" si="519"/>
        <v>0</v>
      </c>
      <c r="CM86" s="171" t="str">
        <f t="shared" si="520"/>
        <v/>
      </c>
      <c r="CN86" s="57">
        <f t="shared" si="705"/>
        <v>0</v>
      </c>
      <c r="CO86" s="57">
        <f>IF(OR(AND(CC$6=1,$L86=0),AND(CC$6=2,$K86=2,$G86=1)),0,IF(AND(CE$9=2,(OR($F86&gt;1,$K86=1,AND($L86=80,OR($N86=1,AND($N86=2,'#BerechnungDBE'!$AL77&gt;0)))))),IF(CC$4&gt;=$AD$126,0,CM86),IF(CE$9=3,IF(OR(CC$4&gt;=$AD$127,AND($G86=1,$J86=2,CC$6=2),AND(CC$6=1,$N86&lt;&gt;1)),0,IF(CG86&lt;=120,CM86,IF(CC$4&lt;$AD$124,IF($F86=1,60/CE$4*CE$6,60/CE$4*CE$7),IF($F86=1,120/CE$4*CE$6,120/CE$4*CE$7)))),IF(OR($F86=3,$G86=2),IF(OR(AND(CC$4&gt;=$AD$119,$C86=2),AND(CC$4&gt;=$AF$119,$C86=1)),0,IF(CG86&lt;=60,CM86,60/CE$4*CE$7)),IF(AND($F86=2,$G86=1),CM86,0)))))</f>
        <v>0</v>
      </c>
      <c r="CP86" s="57" t="str">
        <f t="shared" si="521"/>
        <v/>
      </c>
      <c r="CQ86" s="57" t="str">
        <f t="shared" si="522"/>
        <v/>
      </c>
      <c r="CR86" s="713">
        <f>'org. Düngung 22'!AB85</f>
        <v>0</v>
      </c>
      <c r="CS86" s="57"/>
      <c r="CT86" s="57"/>
      <c r="CU86" s="57">
        <f t="shared" si="523"/>
        <v>0</v>
      </c>
      <c r="CV86" s="57">
        <f t="shared" si="706"/>
        <v>0</v>
      </c>
      <c r="CW86" s="57">
        <f t="shared" si="707"/>
        <v>0</v>
      </c>
      <c r="CX86" s="57">
        <f t="shared" si="708"/>
        <v>0</v>
      </c>
      <c r="CY86" s="57">
        <f t="shared" si="709"/>
        <v>0</v>
      </c>
      <c r="CZ86" s="1029">
        <f t="shared" si="524"/>
        <v>0</v>
      </c>
      <c r="DA86" s="57">
        <f t="shared" si="525"/>
        <v>0</v>
      </c>
      <c r="DB86" s="171" t="str">
        <f t="shared" si="526"/>
        <v/>
      </c>
      <c r="DC86" s="57">
        <f t="shared" si="710"/>
        <v>0</v>
      </c>
      <c r="DD86" s="57">
        <f>IF(OR(AND(CR$6=1,$L86=0),AND(CR$6=2,$K86=2,$G86=1)),0,IF(AND(CT$9=2,(OR($F86&gt;1,$K86=1,AND($L86=80,OR($N86=1,AND($N86=2,'#BerechnungDBE'!$AL77&gt;0)))))),IF(CR$4&gt;=$AD$126,0,DB86),IF(CT$9=3,IF(OR(CR$4&gt;=$AD$127,AND($G86=1,$J86=2,CR$6=2),AND(CR$6=1,$N86&lt;&gt;1)),0,IF(CV86&lt;=120,DB86,IF(CR$4&lt;$AD$124,IF($F86=1,60/CT$4*CT$6,60/CT$4*CT$7),IF($F86=1,120/CT$4*CT$6,120/CT$4*CT$7)))),IF(OR($F86=3,$G86=2),IF(OR(AND(CR$4&gt;=$AD$119,$C86=2),AND(CR$4&gt;=$AF$119,$C86=1)),0,IF(CV86&lt;=60,DB86,60/CT$4*CT$7)),IF(AND($F86=2,$G86=1),DB86,0)))))</f>
        <v>0</v>
      </c>
      <c r="DE86" s="57" t="str">
        <f t="shared" si="527"/>
        <v/>
      </c>
      <c r="DF86" s="57" t="str">
        <f t="shared" si="528"/>
        <v/>
      </c>
      <c r="DG86" s="713">
        <f>'org. Düngung 22'!AF85</f>
        <v>0</v>
      </c>
      <c r="DH86" s="57"/>
      <c r="DI86" s="57"/>
      <c r="DJ86" s="57">
        <f t="shared" si="529"/>
        <v>0</v>
      </c>
      <c r="DK86" s="57">
        <f t="shared" si="711"/>
        <v>0</v>
      </c>
      <c r="DL86" s="57">
        <f t="shared" si="712"/>
        <v>0</v>
      </c>
      <c r="DM86" s="57">
        <f t="shared" si="713"/>
        <v>0</v>
      </c>
      <c r="DN86" s="57">
        <f t="shared" si="714"/>
        <v>0</v>
      </c>
      <c r="DO86" s="1029">
        <f t="shared" si="530"/>
        <v>0</v>
      </c>
      <c r="DP86" s="57">
        <f t="shared" si="531"/>
        <v>0</v>
      </c>
      <c r="DQ86" s="171" t="str">
        <f t="shared" si="532"/>
        <v/>
      </c>
      <c r="DR86" s="57">
        <f t="shared" si="715"/>
        <v>0</v>
      </c>
      <c r="DS86" s="57">
        <f>IF(OR(AND(DG$6=1,$L86=0),AND(DG$6=2,$K86=2,$G86=1)),0,IF(AND(DI$9=2,(OR($F86&gt;1,$K86=1,AND($L86=80,OR($N86=1,AND($N86=2,'#BerechnungDBE'!$AL77&gt;0)))))),IF(DG$4&gt;=$AD$126,0,DQ86),IF(DI$9=3,IF(OR(DG$4&gt;=$AD$127,AND($G86=1,$J86=2,DG$6=2),AND(DG$6=1,$N86&lt;&gt;1)),0,IF(DK86&lt;=120,DQ86,IF(DG$4&lt;$AD$124,IF($F86=1,60/DI$4*DI$6,60/DI$4*DI$7),IF($F86=1,120/DI$4*DI$6,120/DI$4*DI$7)))),IF(OR($F86=3,$G86=2),IF(OR(AND(DG$4&gt;=$AD$119,$C86=2),AND(DG$4&gt;=$AF$119,$C86=1)),0,IF(DK86&lt;=60,DQ86,60/DI$4*DI$7)),IF(AND($F86=2,$G86=1),DQ86,0)))))</f>
        <v>0</v>
      </c>
      <c r="DT86" s="57" t="str">
        <f t="shared" si="533"/>
        <v/>
      </c>
      <c r="DU86" s="57" t="str">
        <f t="shared" si="534"/>
        <v/>
      </c>
      <c r="DV86" s="713">
        <f>'org. Düngung 22'!AJ85</f>
        <v>0</v>
      </c>
      <c r="DW86" s="57"/>
      <c r="DX86" s="57"/>
      <c r="DY86" s="57">
        <f t="shared" si="535"/>
        <v>0</v>
      </c>
      <c r="DZ86" s="57">
        <f t="shared" si="716"/>
        <v>0</v>
      </c>
      <c r="EA86" s="57">
        <f t="shared" si="717"/>
        <v>0</v>
      </c>
      <c r="EB86" s="57">
        <f t="shared" si="718"/>
        <v>0</v>
      </c>
      <c r="EC86" s="57">
        <f t="shared" si="719"/>
        <v>0</v>
      </c>
      <c r="ED86" s="1029">
        <f t="shared" si="536"/>
        <v>0</v>
      </c>
      <c r="EE86" s="57">
        <f t="shared" si="537"/>
        <v>0</v>
      </c>
      <c r="EF86" s="171" t="str">
        <f t="shared" si="538"/>
        <v/>
      </c>
      <c r="EG86" s="57">
        <f t="shared" si="720"/>
        <v>0</v>
      </c>
      <c r="EH86" s="57">
        <f>IF(OR(AND(DV$6=1,$L86=0),AND(DV$6=2,$K86=2,$G86=1)),0,IF(AND(DX$9=2,(OR($F86&gt;1,$K86=1,AND($L86=80,OR($N86=1,AND($N86=2,'#BerechnungDBE'!$AL77&gt;0)))))),IF(DV$4&gt;=$AD$126,0,EF86),IF(DX$9=3,IF(OR(DV$4&gt;=$AD$127,AND($G86=1,$J86=2,DV$6=2),AND(DV$6=1,$N86&lt;&gt;1)),0,IF(DZ86&lt;=120,EF86,IF(DV$4&lt;$AD$124,IF($F86=1,60/DX$4*DX$6,60/DX$4*DX$7),IF($F86=1,120/DX$4*DX$6,120/DX$4*DX$7)))),IF(OR($F86=3,$G86=2),IF(OR(AND(DV$4&gt;=$AD$119,$C86=2),AND(DV$4&gt;=$AF$119,$C86=1)),0,IF(DZ86&lt;=60,EF86,60/DX$4*DX$7)),IF(AND($F86=2,$G86=1),EF86,0)))))</f>
        <v>0</v>
      </c>
      <c r="EI86" s="57" t="str">
        <f t="shared" si="539"/>
        <v/>
      </c>
      <c r="EJ86" s="57" t="str">
        <f t="shared" si="540"/>
        <v/>
      </c>
      <c r="EK86" s="713">
        <f>'org. Düngung 22'!AN85</f>
        <v>0</v>
      </c>
      <c r="EL86" s="57"/>
      <c r="EM86" s="57"/>
      <c r="EN86" s="57">
        <f t="shared" si="541"/>
        <v>0</v>
      </c>
      <c r="EO86" s="57">
        <f t="shared" si="721"/>
        <v>0</v>
      </c>
      <c r="EP86" s="57">
        <f t="shared" si="722"/>
        <v>0</v>
      </c>
      <c r="EQ86" s="57">
        <f t="shared" si="723"/>
        <v>0</v>
      </c>
      <c r="ER86" s="57">
        <f t="shared" si="724"/>
        <v>0</v>
      </c>
      <c r="ES86" s="1029">
        <f t="shared" si="542"/>
        <v>0</v>
      </c>
      <c r="ET86" s="57">
        <f t="shared" si="543"/>
        <v>0</v>
      </c>
      <c r="EU86" s="171" t="str">
        <f t="shared" si="544"/>
        <v/>
      </c>
      <c r="EV86" s="57">
        <f t="shared" si="725"/>
        <v>0</v>
      </c>
      <c r="EW86" s="57">
        <f>IF(OR(AND(EK$6=1,$L86=0),AND(EK$6=2,$K86=2,$G86=1)),0,IF(AND(EM$9=2,(OR($F86&gt;1,$K86=1,AND($L86=80,OR($N86=1,AND($N86=2,'#BerechnungDBE'!$AL77&gt;0)))))),IF(EK$4&gt;=$AD$126,0,EU86),IF(EM$9=3,IF(OR(EK$4&gt;=$AD$127,AND($G86=1,$J86=2,EK$6=2),AND(EK$6=1,$N86&lt;&gt;1)),0,IF(EO86&lt;=120,EU86,IF(EK$4&lt;$AD$124,IF($F86=1,60/EM$4*EM$6,60/EM$4*EM$7),IF($F86=1,120/EM$4*EM$6,120/EM$4*EM$7)))),IF(OR($F86=3,$G86=2),IF(OR(AND(EK$4&gt;=$AD$119,$C86=2),AND(EK$4&gt;=$AF$119,$C86=1)),0,IF(EO86&lt;=60,EU86,60/EM$4*EM$7)),IF(AND($F86=2,$G86=1),EU86,0)))))</f>
        <v>0</v>
      </c>
      <c r="EX86" s="57" t="str">
        <f t="shared" si="545"/>
        <v/>
      </c>
      <c r="EY86" s="57" t="str">
        <f t="shared" si="546"/>
        <v/>
      </c>
      <c r="EZ86" s="713">
        <f>'org. Düngung 22'!AR85</f>
        <v>0</v>
      </c>
      <c r="FA86" s="57"/>
      <c r="FB86" s="57"/>
      <c r="FC86" s="57">
        <f t="shared" si="547"/>
        <v>0</v>
      </c>
      <c r="FD86" s="57">
        <f t="shared" si="726"/>
        <v>0</v>
      </c>
      <c r="FE86" s="57">
        <f t="shared" si="727"/>
        <v>0</v>
      </c>
      <c r="FF86" s="57">
        <f t="shared" si="728"/>
        <v>0</v>
      </c>
      <c r="FG86" s="57">
        <f t="shared" si="729"/>
        <v>0</v>
      </c>
      <c r="FH86" s="1029">
        <f t="shared" si="548"/>
        <v>0</v>
      </c>
      <c r="FI86" s="57">
        <f t="shared" si="549"/>
        <v>0</v>
      </c>
      <c r="FJ86" s="171" t="str">
        <f t="shared" si="550"/>
        <v/>
      </c>
      <c r="FK86" s="57">
        <f t="shared" si="730"/>
        <v>0</v>
      </c>
      <c r="FL86" s="57">
        <f>IF(OR(AND(EZ$6=1,$L86=0),AND(EZ$6=2,$K86=2,$G86=1)),0,IF(AND(FB$9=2,(OR($F86&gt;1,$K86=1,AND($L86=80,OR($N86=1,AND($N86=2,'#BerechnungDBE'!$AL77&gt;0)))))),IF(EZ$4&gt;=$AD$126,0,FJ86),IF(FB$9=3,IF(OR(EZ$4&gt;=$AD$127,AND($G86=1,$J86=2,EZ$6=2),AND(EZ$6=1,$N86&lt;&gt;1)),0,IF(FD86&lt;=120,FJ86,IF(EZ$4&lt;$AD$124,IF($F86=1,60/FB$4*FB$6,60/FB$4*FB$7),IF($F86=1,120/FB$4*FB$6,120/FB$4*FB$7)))),IF(OR($F86=3,$G86=2),IF(OR(AND(EZ$4&gt;=$AD$119,$C86=2),AND(EZ$4&gt;=$AF$119,$C86=1)),0,IF(FD86&lt;=60,FJ86,60/FB$4*FB$7)),IF(AND($F86=2,$G86=1),FJ86,0)))))</f>
        <v>0</v>
      </c>
      <c r="FM86" s="57" t="str">
        <f t="shared" si="551"/>
        <v/>
      </c>
      <c r="FN86" s="57" t="str">
        <f t="shared" si="552"/>
        <v/>
      </c>
      <c r="FO86" s="713">
        <f>'org. Düngung 22'!AV85</f>
        <v>0</v>
      </c>
      <c r="FP86" s="57"/>
      <c r="FQ86" s="57"/>
      <c r="FR86" s="57">
        <f t="shared" si="553"/>
        <v>0</v>
      </c>
      <c r="FS86" s="57">
        <f t="shared" si="731"/>
        <v>0</v>
      </c>
      <c r="FT86" s="57">
        <f t="shared" si="732"/>
        <v>0</v>
      </c>
      <c r="FU86" s="57">
        <f t="shared" si="733"/>
        <v>0</v>
      </c>
      <c r="FV86" s="57">
        <f t="shared" si="734"/>
        <v>0</v>
      </c>
      <c r="FW86" s="1029">
        <f t="shared" si="554"/>
        <v>0</v>
      </c>
      <c r="FX86" s="57">
        <f t="shared" si="555"/>
        <v>0</v>
      </c>
      <c r="FY86" s="171" t="str">
        <f t="shared" si="556"/>
        <v/>
      </c>
      <c r="FZ86" s="57">
        <f t="shared" si="735"/>
        <v>0</v>
      </c>
      <c r="GA86" s="57">
        <f>IF(OR(AND(FO$6=1,$L86=0),AND(FO$6=2,$K86=2,$G86=1)),0,IF(AND(FQ$9=2,(OR($F86&gt;1,$K86=1,AND($L86=80,OR($N86=1,AND($N86=2,'#BerechnungDBE'!$AL77&gt;0)))))),IF(FO$4&gt;=$AD$126,0,FY86),IF(FQ$9=3,IF(OR(FO$4&gt;=$AD$127,AND($G86=1,$J86=2,FO$6=2),AND(FO$6=1,$N86&lt;&gt;1)),0,IF(FS86&lt;=120,FY86,IF(FO$4&lt;$AD$124,IF($F86=1,60/FQ$4*FQ$6,60/FQ$4*FQ$7),IF($F86=1,120/FQ$4*FQ$6,120/FQ$4*FQ$7)))),IF(OR($F86=3,$G86=2),IF(OR(AND(FO$4&gt;=$AD$119,$C86=2),AND(FO$4&gt;=$AF$119,$C86=1)),0,IF(FS86&lt;=60,FY86,60/FQ$4*FQ$7)),IF(AND($F86=2,$G86=1),FY86,0)))))</f>
        <v>0</v>
      </c>
      <c r="GB86" s="57" t="str">
        <f t="shared" si="557"/>
        <v/>
      </c>
      <c r="GC86" s="57" t="str">
        <f t="shared" si="558"/>
        <v/>
      </c>
      <c r="GD86" s="713">
        <f>'org. Düngung 22'!AZ85</f>
        <v>0</v>
      </c>
      <c r="GE86" s="57"/>
      <c r="GF86" s="57"/>
      <c r="GG86" s="57">
        <f t="shared" si="559"/>
        <v>0</v>
      </c>
      <c r="GH86" s="57">
        <f t="shared" si="736"/>
        <v>0</v>
      </c>
      <c r="GI86" s="57">
        <f t="shared" si="737"/>
        <v>0</v>
      </c>
      <c r="GJ86" s="57">
        <f t="shared" si="738"/>
        <v>0</v>
      </c>
      <c r="GK86" s="57">
        <f t="shared" si="739"/>
        <v>0</v>
      </c>
      <c r="GL86" s="1029">
        <f t="shared" si="560"/>
        <v>0</v>
      </c>
      <c r="GM86" s="57">
        <f t="shared" si="561"/>
        <v>0</v>
      </c>
      <c r="GN86" s="171" t="str">
        <f t="shared" si="562"/>
        <v/>
      </c>
      <c r="GO86" s="57">
        <f t="shared" si="740"/>
        <v>0</v>
      </c>
      <c r="GP86" s="57">
        <f>IF(OR(AND(GD$6=1,$L86=0),AND(GD$6=2,$K86=2,$G86=1)),0,IF(AND(GF$9=2,(OR($F86&gt;1,$K86=1,AND($L86=80,OR($N86=1,AND($N86=2,'#BerechnungDBE'!$AL77&gt;0)))))),IF(GD$4&gt;=$AD$126,0,GN86),IF(GF$9=3,IF(OR(GD$4&gt;=$AD$127,AND($G86=1,$J86=2,GD$6=2),AND(GD$6=1,$N86&lt;&gt;1)),0,IF(GH86&lt;=120,GN86,IF(GD$4&lt;$AD$124,IF($F86=1,60/GF$4*GF$6,60/GF$4*GF$7),IF($F86=1,120/GF$4*GF$6,120/GF$4*GF$7)))),IF(OR($F86=3,$G86=2),IF(OR(AND(GD$4&gt;=$AD$119,$C86=2),AND(GD$4&gt;=$AF$119,$C86=1)),0,IF(GH86&lt;=60,GN86,60/GF$4*GF$7)),IF(AND($F86=2,$G86=1),GN86,0)))))</f>
        <v>0</v>
      </c>
      <c r="GQ86" s="57" t="str">
        <f t="shared" si="563"/>
        <v/>
      </c>
      <c r="GR86" s="57" t="str">
        <f t="shared" si="564"/>
        <v/>
      </c>
      <c r="GS86" s="713">
        <f>'org. Düngung 22'!BD85</f>
        <v>0</v>
      </c>
      <c r="GT86" s="57"/>
      <c r="GU86" s="57"/>
      <c r="GV86" s="57">
        <f t="shared" si="565"/>
        <v>0</v>
      </c>
      <c r="GW86" s="57">
        <f t="shared" si="741"/>
        <v>0</v>
      </c>
      <c r="GX86" s="57">
        <f t="shared" si="742"/>
        <v>0</v>
      </c>
      <c r="GY86" s="57">
        <f t="shared" si="743"/>
        <v>0</v>
      </c>
      <c r="GZ86" s="57">
        <f t="shared" si="744"/>
        <v>0</v>
      </c>
      <c r="HA86" s="1029">
        <f t="shared" si="566"/>
        <v>0</v>
      </c>
      <c r="HB86" s="57">
        <f t="shared" si="567"/>
        <v>0</v>
      </c>
      <c r="HC86" s="171" t="str">
        <f t="shared" si="568"/>
        <v/>
      </c>
      <c r="HD86" s="57">
        <f t="shared" si="745"/>
        <v>0</v>
      </c>
      <c r="HE86" s="57">
        <f>IF(OR(AND(GS$6=1,$L86=0),AND(GS$6=2,$K86=2,$G86=1)),0,IF(AND(GU$9=2,(OR($F86&gt;1,$K86=1,AND($L86=80,OR($N86=1,AND($N86=2,'#BerechnungDBE'!$AL77&gt;0)))))),IF(GS$4&gt;=$AD$126,0,HC86),IF(GU$9=3,IF(OR(GS$4&gt;=$AD$127,AND($G86=1,$J86=2,GS$6=2),AND(GS$6=1,$N86&lt;&gt;1)),0,IF(GW86&lt;=120,HC86,IF(GS$4&lt;$AD$124,IF($F86=1,60/GU$4*GU$6,60/GU$4*GU$7),IF($F86=1,120/GU$4*GU$6,120/GU$4*GU$7)))),IF(OR($F86=3,$G86=2),IF(OR(AND(GS$4&gt;=$AD$119,$C86=2),AND(GS$4&gt;=$AF$119,$C86=1)),0,IF(GW86&lt;=60,HC86,60/GU$4*GU$7)),IF(AND($F86=2,$G86=1),HC86,0)))))</f>
        <v>0</v>
      </c>
      <c r="HF86" s="57" t="str">
        <f t="shared" si="569"/>
        <v/>
      </c>
      <c r="HG86" s="57" t="str">
        <f t="shared" si="570"/>
        <v/>
      </c>
      <c r="HH86" s="713">
        <f>'org. Düngung 22'!BH85</f>
        <v>0</v>
      </c>
      <c r="HI86" s="57"/>
      <c r="HJ86" s="57"/>
      <c r="HK86" s="57">
        <f t="shared" si="571"/>
        <v>0</v>
      </c>
      <c r="HL86" s="57">
        <f t="shared" si="746"/>
        <v>0</v>
      </c>
      <c r="HM86" s="57">
        <f t="shared" si="747"/>
        <v>0</v>
      </c>
      <c r="HN86" s="57">
        <f t="shared" si="748"/>
        <v>0</v>
      </c>
      <c r="HO86" s="57">
        <f t="shared" si="749"/>
        <v>0</v>
      </c>
      <c r="HP86" s="1029">
        <f t="shared" si="572"/>
        <v>0</v>
      </c>
      <c r="HQ86" s="57">
        <f t="shared" si="573"/>
        <v>0</v>
      </c>
      <c r="HR86" s="171" t="str">
        <f t="shared" si="574"/>
        <v/>
      </c>
      <c r="HS86" s="57">
        <f t="shared" si="750"/>
        <v>0</v>
      </c>
      <c r="HT86" s="57">
        <f>IF(OR(AND(HH$6=1,$L86=0),AND(HH$6=2,$K86=2,$G86=1)),0,IF(AND(HJ$9=2,(OR($F86&gt;1,$K86=1,AND($L86=80,OR($N86=1,AND($N86=2,'#BerechnungDBE'!$AL77&gt;0)))))),IF(HH$4&gt;=$AD$126,0,HR86),IF(HJ$9=3,IF(OR(HH$4&gt;=$AD$127,AND($G86=1,$J86=2,HH$6=2),AND(HH$6=1,$N86&lt;&gt;1)),0,IF(HL86&lt;=120,HR86,IF(HH$4&lt;$AD$124,IF($F86=1,60/HJ$4*HJ$6,60/HJ$4*HJ$7),IF($F86=1,120/HJ$4*HJ$6,120/HJ$4*HJ$7)))),IF(OR($F86=3,$G86=2),IF(OR(AND(HH$4&gt;=$AD$119,$C86=2),AND(HH$4&gt;=$AF$119,$C86=1)),0,IF(HL86&lt;=60,HR86,60/HJ$4*HJ$7)),IF(AND($F86=2,$G86=1),HR86,0)))))</f>
        <v>0</v>
      </c>
      <c r="HU86" s="57" t="str">
        <f t="shared" si="575"/>
        <v/>
      </c>
      <c r="HV86" s="57" t="str">
        <f t="shared" si="576"/>
        <v/>
      </c>
      <c r="HW86" s="713">
        <f>'org. Düngung 22'!BL85</f>
        <v>0</v>
      </c>
      <c r="HX86" s="57"/>
      <c r="HY86" s="57"/>
      <c r="HZ86" s="57">
        <f t="shared" si="577"/>
        <v>0</v>
      </c>
      <c r="IA86" s="57">
        <f t="shared" si="751"/>
        <v>0</v>
      </c>
      <c r="IB86" s="57">
        <f t="shared" si="752"/>
        <v>0</v>
      </c>
      <c r="IC86" s="57">
        <f t="shared" si="753"/>
        <v>0</v>
      </c>
      <c r="ID86" s="57">
        <f t="shared" si="754"/>
        <v>0</v>
      </c>
      <c r="IE86" s="1029">
        <f t="shared" si="578"/>
        <v>0</v>
      </c>
      <c r="IF86" s="57">
        <f t="shared" si="579"/>
        <v>0</v>
      </c>
      <c r="IG86" s="171" t="str">
        <f t="shared" si="580"/>
        <v/>
      </c>
      <c r="IH86" s="57">
        <f t="shared" si="755"/>
        <v>0</v>
      </c>
      <c r="II86" s="57">
        <f>IF(OR(AND(HW$6=1,$L86=0),AND(HW$6=2,$K86=2,$G86=1)),0,IF(AND(HY$9=2,(OR($F86&gt;1,$K86=1,AND($L86=80,OR($N86=1,AND($N86=2,'#BerechnungDBE'!$AL77&gt;0)))))),IF(HW$4&gt;=$AD$126,0,IG86),IF(HY$9=3,IF(OR(HW$4&gt;=$AD$127,AND($G86=1,$J86=2,HW$6=2),AND(HW$6=1,$N86&lt;&gt;1)),0,IF(IA86&lt;=120,IG86,IF(HW$4&lt;$AD$124,IF($F86=1,60/HY$4*HY$6,60/HY$4*HY$7),IF($F86=1,120/HY$4*HY$6,120/HY$4*HY$7)))),IF(OR($F86=3,$G86=2),IF(OR(AND(HW$4&gt;=$AD$119,$C86=2),AND(HW$4&gt;=$AF$119,$C86=1)),0,IF(IA86&lt;=60,IG86,60/HY$4*HY$7)),IF(AND($F86=2,$G86=1),IG86,0)))))</f>
        <v>0</v>
      </c>
      <c r="IJ86" s="57" t="str">
        <f t="shared" si="581"/>
        <v/>
      </c>
      <c r="IK86" s="57" t="str">
        <f t="shared" si="582"/>
        <v/>
      </c>
      <c r="IL86" s="713">
        <f>'org. Düngung 22'!BP85</f>
        <v>0</v>
      </c>
      <c r="IM86" s="57"/>
      <c r="IN86" s="57"/>
      <c r="IO86" s="57">
        <f t="shared" si="583"/>
        <v>0</v>
      </c>
      <c r="IP86" s="57">
        <f t="shared" si="756"/>
        <v>0</v>
      </c>
      <c r="IQ86" s="57">
        <f t="shared" si="757"/>
        <v>0</v>
      </c>
      <c r="IR86" s="57">
        <f t="shared" si="758"/>
        <v>0</v>
      </c>
      <c r="IS86" s="57">
        <f t="shared" si="759"/>
        <v>0</v>
      </c>
      <c r="IT86" s="1029">
        <f t="shared" si="584"/>
        <v>0</v>
      </c>
      <c r="IU86" s="57">
        <f t="shared" si="585"/>
        <v>0</v>
      </c>
      <c r="IV86" s="171" t="str">
        <f t="shared" si="586"/>
        <v/>
      </c>
      <c r="IW86" s="57">
        <f t="shared" si="760"/>
        <v>0</v>
      </c>
      <c r="IX86" s="57">
        <f>IF(OR(AND(IL$6=1,$L86=0),AND(IL$6=2,$K86=2,$G86=1)),0,IF(AND(IN$9=2,(OR($F86&gt;1,$K86=1,AND($L86=80,OR($N86=1,AND($N86=2,'#BerechnungDBE'!$AL77&gt;0)))))),IF(IL$4&gt;=$AD$126,0,IV86),IF(IN$9=3,IF(OR(IL$4&gt;=$AD$127,AND($G86=1,$J86=2,IL$6=2),AND(IL$6=1,$N86&lt;&gt;1)),0,IF(IP86&lt;=120,IV86,IF(IL$4&lt;$AD$124,IF($F86=1,60/IN$4*IN$6,60/IN$4*IN$7),IF($F86=1,120/IN$4*IN$6,120/IN$4*IN$7)))),IF(OR($F86=3,$G86=2),IF(OR(AND(IL$4&gt;=$AD$119,$C86=2),AND(IL$4&gt;=$AF$119,$C86=1)),0,IF(IP86&lt;=60,IV86,60/IN$4*IN$7)),IF(AND($F86=2,$G86=1),IV86,0)))))</f>
        <v>0</v>
      </c>
      <c r="IY86" s="57" t="str">
        <f t="shared" si="587"/>
        <v/>
      </c>
      <c r="IZ86" s="57" t="str">
        <f t="shared" si="588"/>
        <v/>
      </c>
      <c r="JA86" s="713">
        <f>'org. Düngung 22'!BT85</f>
        <v>0</v>
      </c>
      <c r="JB86" s="57"/>
      <c r="JC86" s="57"/>
      <c r="JD86" s="57">
        <f t="shared" si="589"/>
        <v>0</v>
      </c>
      <c r="JE86" s="57">
        <f t="shared" si="761"/>
        <v>0</v>
      </c>
      <c r="JF86" s="57">
        <f t="shared" si="762"/>
        <v>0</v>
      </c>
      <c r="JG86" s="57">
        <f t="shared" si="763"/>
        <v>0</v>
      </c>
      <c r="JH86" s="57">
        <f t="shared" si="764"/>
        <v>0</v>
      </c>
      <c r="JI86" s="1029">
        <f t="shared" si="590"/>
        <v>0</v>
      </c>
      <c r="JJ86" s="57">
        <f t="shared" si="591"/>
        <v>0</v>
      </c>
      <c r="JK86" s="171" t="str">
        <f t="shared" si="592"/>
        <v/>
      </c>
      <c r="JL86" s="57">
        <f t="shared" si="765"/>
        <v>0</v>
      </c>
      <c r="JM86" s="57">
        <f>IF(OR(AND(JA$6=1,$L86=0),AND(JA$6=2,$K86=2,$G86=1)),0,IF(AND(JC$9=2,(OR($F86&gt;1,$K86=1,AND($L86=80,OR($N86=1,AND($N86=2,'#BerechnungDBE'!$AL77&gt;0)))))),IF(JA$4&gt;=$AD$126,0,JK86),IF(JC$9=3,IF(OR(JA$4&gt;=$AD$127,AND($G86=1,$J86=2,JA$6=2),AND(JA$6=1,$N86&lt;&gt;1)),0,IF(JE86&lt;=120,JK86,IF(JA$4&lt;$AD$124,IF($F86=1,60/JC$4*JC$6,60/JC$4*JC$7),IF($F86=1,120/JC$4*JC$6,120/JC$4*JC$7)))),IF(OR($F86=3,$G86=2),IF(OR(AND(JA$4&gt;=$AD$119,$C86=2),AND(JA$4&gt;=$AF$119,$C86=1)),0,IF(JE86&lt;=60,JK86,60/JC$4*JC$7)),IF(AND($F86=2,$G86=1),JK86,0)))))</f>
        <v>0</v>
      </c>
      <c r="JN86" s="57" t="str">
        <f t="shared" si="593"/>
        <v/>
      </c>
      <c r="JO86" s="57" t="str">
        <f t="shared" si="594"/>
        <v/>
      </c>
      <c r="JP86" s="713">
        <f>'org. Düngung 22'!BX85</f>
        <v>0</v>
      </c>
      <c r="JQ86" s="57"/>
      <c r="JR86" s="57"/>
      <c r="JS86" s="57">
        <f t="shared" si="595"/>
        <v>0</v>
      </c>
      <c r="JT86" s="57">
        <f t="shared" si="766"/>
        <v>0</v>
      </c>
      <c r="JU86" s="57">
        <f t="shared" si="767"/>
        <v>0</v>
      </c>
      <c r="JV86" s="57">
        <f t="shared" si="768"/>
        <v>0</v>
      </c>
      <c r="JW86" s="57">
        <f t="shared" si="769"/>
        <v>0</v>
      </c>
      <c r="JX86" s="1029">
        <f t="shared" si="596"/>
        <v>0</v>
      </c>
      <c r="JY86" s="57">
        <f t="shared" si="597"/>
        <v>0</v>
      </c>
      <c r="JZ86" s="171" t="str">
        <f t="shared" si="598"/>
        <v/>
      </c>
      <c r="KA86" s="57">
        <f t="shared" si="770"/>
        <v>0</v>
      </c>
      <c r="KB86" s="57">
        <f>IF(OR(AND(JP$6=1,$L86=0),AND(JP$6=2,$K86=2,$G86=1)),0,IF(AND(JR$9=2,(OR($F86&gt;1,$K86=1,AND($L86=80,OR($N86=1,AND($N86=2,'#BerechnungDBE'!$AL77&gt;0)))))),IF(JP$4&gt;=$AD$126,0,JZ86),IF(JR$9=3,IF(OR(JP$4&gt;=$AD$127,AND($G86=1,$J86=2,JP$6=2),AND(JP$6=1,$N86&lt;&gt;1)),0,IF(JT86&lt;=120,JZ86,IF(JP$4&lt;$AD$124,IF($F86=1,60/JR$4*JR$6,60/JR$4*JR$7),IF($F86=1,120/JR$4*JR$6,120/JR$4*JR$7)))),IF(OR($F86=3,$G86=2),IF(OR(AND(JP$4&gt;=$AD$119,$C86=2),AND(JP$4&gt;=$AF$119,$C86=1)),0,IF(JT86&lt;=60,JZ86,60/JR$4*JR$7)),IF(AND($F86=2,$G86=1),JZ86,0)))))</f>
        <v>0</v>
      </c>
      <c r="KC86" s="57" t="str">
        <f t="shared" si="599"/>
        <v/>
      </c>
      <c r="KD86" s="57" t="str">
        <f t="shared" si="600"/>
        <v/>
      </c>
      <c r="KE86" s="713">
        <f>'org. Düngung 22'!CB85</f>
        <v>0</v>
      </c>
      <c r="KF86" s="57"/>
      <c r="KG86" s="57"/>
      <c r="KH86" s="57">
        <f t="shared" si="601"/>
        <v>0</v>
      </c>
      <c r="KI86" s="57">
        <f t="shared" si="771"/>
        <v>0</v>
      </c>
      <c r="KJ86" s="57">
        <f t="shared" si="772"/>
        <v>0</v>
      </c>
      <c r="KK86" s="57">
        <f t="shared" si="773"/>
        <v>0</v>
      </c>
      <c r="KL86" s="57">
        <f t="shared" si="774"/>
        <v>0</v>
      </c>
      <c r="KM86" s="1029">
        <f t="shared" si="602"/>
        <v>0</v>
      </c>
      <c r="KN86" s="57">
        <f t="shared" si="603"/>
        <v>0</v>
      </c>
      <c r="KO86" s="171" t="str">
        <f t="shared" si="604"/>
        <v/>
      </c>
      <c r="KP86" s="57">
        <f t="shared" si="775"/>
        <v>0</v>
      </c>
      <c r="KQ86" s="57">
        <f>IF(OR(AND(KE$6=1,$L86=0),AND(KE$6=2,$K86=2,$G86=1)),0,IF(AND(KG$9=2,(OR($F86&gt;1,$K86=1,AND($L86=80,OR($N86=1,AND($N86=2,'#BerechnungDBE'!$AL77&gt;0)))))),IF(KE$4&gt;=$AD$126,0,KO86),IF(KG$9=3,IF(OR(KE$4&gt;=$AD$127,AND($G86=1,$J86=2,KE$6=2),AND(KE$6=1,$N86&lt;&gt;1)),0,IF(KI86&lt;=120,KO86,IF(KE$4&lt;$AD$124,IF($F86=1,60/KG$4*KG$6,60/KG$4*KG$7),IF($F86=1,120/KG$4*KG$6,120/KG$4*KG$7)))),IF(OR($F86=3,$G86=2),IF(OR(AND(KE$4&gt;=$AD$119,$C86=2),AND(KE$4&gt;=$AF$119,$C86=1)),0,IF(KI86&lt;=60,KO86,60/KG$4*KG$7)),IF(AND($F86=2,$G86=1),KO86,0)))))</f>
        <v>0</v>
      </c>
      <c r="KR86" s="57" t="str">
        <f t="shared" si="605"/>
        <v/>
      </c>
      <c r="KS86" s="57" t="str">
        <f t="shared" si="606"/>
        <v/>
      </c>
      <c r="KT86" s="713">
        <f>'org. Düngung 22'!CF85</f>
        <v>0</v>
      </c>
      <c r="KU86" s="57"/>
      <c r="KV86" s="57"/>
      <c r="KW86" s="57">
        <f t="shared" si="607"/>
        <v>0</v>
      </c>
      <c r="KX86" s="57">
        <f t="shared" si="776"/>
        <v>0</v>
      </c>
      <c r="KY86" s="57">
        <f t="shared" si="777"/>
        <v>0</v>
      </c>
      <c r="KZ86" s="57">
        <f t="shared" si="778"/>
        <v>0</v>
      </c>
      <c r="LA86" s="57">
        <f t="shared" si="779"/>
        <v>0</v>
      </c>
      <c r="LB86" s="1029">
        <f t="shared" si="608"/>
        <v>0</v>
      </c>
      <c r="LC86" s="57">
        <f t="shared" si="609"/>
        <v>0</v>
      </c>
      <c r="LD86" s="171" t="str">
        <f t="shared" si="610"/>
        <v/>
      </c>
      <c r="LE86" s="57">
        <f t="shared" si="780"/>
        <v>0</v>
      </c>
      <c r="LF86" s="57">
        <f>IF(OR(AND(KT$6=1,$L86=0),AND(KT$6=2,$K86=2,$G86=1)),0,IF(AND(KV$9=2,(OR($F86&gt;1,$K86=1,AND($L86=80,OR($N86=1,AND($N86=2,'#BerechnungDBE'!$AL77&gt;0)))))),IF(KT$4&gt;=$AD$126,0,LD86),IF(KV$9=3,IF(OR(KT$4&gt;=$AD$127,AND($G86=1,$J86=2,KT$6=2),AND(KT$6=1,$N86&lt;&gt;1)),0,IF(KX86&lt;=120,LD86,IF(KT$4&lt;$AD$124,IF($F86=1,60/KV$4*KV$6,60/KV$4*KV$7),IF($F86=1,120/KV$4*KV$6,120/KV$4*KV$7)))),IF(OR($F86=3,$G86=2),IF(OR(AND(KT$4&gt;=$AD$119,$C86=2),AND(KT$4&gt;=$AF$119,$C86=1)),0,IF(KX86&lt;=60,LD86,60/KV$4*KV$7)),IF(AND($F86=2,$G86=1),LD86,0)))))</f>
        <v>0</v>
      </c>
      <c r="LG86" s="57" t="str">
        <f t="shared" si="611"/>
        <v/>
      </c>
      <c r="LH86" s="57" t="str">
        <f t="shared" si="612"/>
        <v/>
      </c>
      <c r="LI86" s="713">
        <f>'org. Düngung 22'!CJ85</f>
        <v>0</v>
      </c>
      <c r="LJ86" s="57"/>
      <c r="LK86" s="57"/>
      <c r="LL86" s="57">
        <f t="shared" si="613"/>
        <v>0</v>
      </c>
      <c r="LM86" s="57">
        <f t="shared" si="781"/>
        <v>0</v>
      </c>
      <c r="LN86" s="57">
        <f t="shared" si="782"/>
        <v>0</v>
      </c>
      <c r="LO86" s="57">
        <f t="shared" si="783"/>
        <v>0</v>
      </c>
      <c r="LP86" s="57">
        <f t="shared" si="784"/>
        <v>0</v>
      </c>
      <c r="LQ86" s="1029">
        <f t="shared" si="614"/>
        <v>0</v>
      </c>
      <c r="LR86" s="57">
        <f t="shared" si="615"/>
        <v>0</v>
      </c>
      <c r="LS86" s="171" t="str">
        <f t="shared" si="616"/>
        <v/>
      </c>
      <c r="LT86" s="57">
        <f t="shared" si="785"/>
        <v>0</v>
      </c>
      <c r="LU86" s="57">
        <f>IF(OR(AND(LI$6=1,$L86=0),AND(LI$6=2,$K86=2,$G86=1)),0,IF(AND(LK$9=2,(OR($F86&gt;1,$K86=1,AND($L86=80,OR($N86=1,AND($N86=2,'#BerechnungDBE'!$AL77&gt;0)))))),IF(LI$4&gt;=$AD$126,0,LS86),IF(LK$9=3,IF(OR(LI$4&gt;=$AD$127,AND($G86=1,$J86=2,LI$6=2),AND(LI$6=1,$N86&lt;&gt;1)),0,IF(LM86&lt;=120,LS86,IF(LI$4&lt;$AD$124,IF($F86=1,60/LK$4*LK$6,60/LK$4*LK$7),IF($F86=1,120/LK$4*LK$6,120/LK$4*LK$7)))),IF(OR($F86=3,$G86=2),IF(OR(AND(LI$4&gt;=$AD$119,$C86=2),AND(LI$4&gt;=$AF$119,$C86=1)),0,IF(LM86&lt;=60,LS86,60/LK$4*LK$7)),IF(AND($F86=2,$G86=1),LS86,0)))))</f>
        <v>0</v>
      </c>
      <c r="LV86" s="57" t="str">
        <f t="shared" si="617"/>
        <v/>
      </c>
      <c r="LW86" s="57" t="str">
        <f t="shared" si="618"/>
        <v/>
      </c>
      <c r="LX86" s="713">
        <f>'org. Düngung 22'!CN85</f>
        <v>0</v>
      </c>
      <c r="LY86" s="57"/>
      <c r="LZ86" s="57"/>
      <c r="MA86" s="57">
        <f t="shared" si="619"/>
        <v>0</v>
      </c>
      <c r="MB86" s="57">
        <f t="shared" si="786"/>
        <v>0</v>
      </c>
      <c r="MC86" s="57">
        <f t="shared" si="787"/>
        <v>0</v>
      </c>
      <c r="MD86" s="57">
        <f t="shared" si="788"/>
        <v>0</v>
      </c>
      <c r="ME86" s="57">
        <f t="shared" si="789"/>
        <v>0</v>
      </c>
      <c r="MF86" s="1029">
        <f t="shared" si="620"/>
        <v>0</v>
      </c>
      <c r="MG86" s="57">
        <f t="shared" si="621"/>
        <v>0</v>
      </c>
      <c r="MH86" s="171" t="str">
        <f t="shared" si="622"/>
        <v/>
      </c>
      <c r="MI86" s="57">
        <f t="shared" si="790"/>
        <v>0</v>
      </c>
      <c r="MJ86" s="57">
        <f>IF(OR(AND(LX$6=1,$L86=0),AND(LX$6=2,$K86=2,$G86=1)),0,IF(AND(LZ$9=2,(OR($F86&gt;1,$K86=1,AND($L86=80,OR($N86=1,AND($N86=2,'#BerechnungDBE'!$AL77&gt;0)))))),IF(LX$4&gt;=$AD$126,0,MH86),IF(LZ$9=3,IF(OR(LX$4&gt;=$AD$127,AND($G86=1,$J86=2,LX$6=2),AND(LX$6=1,$N86&lt;&gt;1)),0,IF(MB86&lt;=120,MH86,IF(LX$4&lt;$AD$124,IF($F86=1,60/LZ$4*LZ$6,60/LZ$4*LZ$7),IF($F86=1,120/LZ$4*LZ$6,120/LZ$4*LZ$7)))),IF(OR($F86=3,$G86=2),IF(OR(AND(LX$4&gt;=$AD$119,$C86=2),AND(LX$4&gt;=$AF$119,$C86=1)),0,IF(MB86&lt;=60,MH86,60/LZ$4*LZ$7)),IF(AND($F86=2,$G86=1),MH86,0)))))</f>
        <v>0</v>
      </c>
      <c r="MK86" s="57" t="str">
        <f t="shared" si="623"/>
        <v/>
      </c>
      <c r="ML86" s="57" t="str">
        <f t="shared" si="624"/>
        <v/>
      </c>
      <c r="MM86" s="713">
        <f>'org. Düngung 22'!CR85</f>
        <v>0</v>
      </c>
      <c r="MN86" s="57"/>
      <c r="MO86" s="57"/>
      <c r="MP86" s="57">
        <f t="shared" si="625"/>
        <v>0</v>
      </c>
      <c r="MQ86" s="57">
        <f t="shared" si="791"/>
        <v>0</v>
      </c>
      <c r="MR86" s="57">
        <f t="shared" si="792"/>
        <v>0</v>
      </c>
      <c r="MS86" s="57">
        <f t="shared" si="793"/>
        <v>0</v>
      </c>
      <c r="MT86" s="57">
        <f t="shared" si="794"/>
        <v>0</v>
      </c>
      <c r="MU86" s="1029">
        <f t="shared" si="626"/>
        <v>0</v>
      </c>
      <c r="MV86" s="57">
        <f t="shared" si="627"/>
        <v>0</v>
      </c>
      <c r="MW86" s="171" t="str">
        <f t="shared" si="628"/>
        <v/>
      </c>
      <c r="MX86" s="57">
        <f t="shared" si="795"/>
        <v>0</v>
      </c>
      <c r="MY86" s="57">
        <f>IF(OR(AND(MM$6=1,$L86=0),AND(MM$6=2,$K86=2,$G86=1)),0,IF(AND(MO$9=2,(OR($F86&gt;1,$K86=1,AND($L86=80,OR($N86=1,AND($N86=2,'#BerechnungDBE'!$AL77&gt;0)))))),IF(MM$4&gt;=$AD$126,0,MW86),IF(MO$9=3,IF(OR(MM$4&gt;=$AD$127,AND($G86=1,$J86=2,MM$6=2),AND(MM$6=1,$N86&lt;&gt;1)),0,IF(MQ86&lt;=120,MW86,IF(MM$4&lt;$AD$124,IF($F86=1,60/MO$4*MO$6,60/MO$4*MO$7),IF($F86=1,120/MO$4*MO$6,120/MO$4*MO$7)))),IF(OR($F86=3,$G86=2),IF(OR(AND(MM$4&gt;=$AD$119,$C86=2),AND(MM$4&gt;=$AF$119,$C86=1)),0,IF(MQ86&lt;=60,MW86,60/MO$4*MO$7)),IF(AND($F86=2,$G86=1),MW86,0)))))</f>
        <v>0</v>
      </c>
      <c r="MZ86" s="57" t="str">
        <f t="shared" si="629"/>
        <v/>
      </c>
      <c r="NA86" s="57" t="str">
        <f t="shared" si="630"/>
        <v/>
      </c>
      <c r="NB86" s="713">
        <f>'org. Düngung 22'!CV85</f>
        <v>0</v>
      </c>
      <c r="NC86" s="57"/>
      <c r="ND86" s="57"/>
      <c r="NE86" s="57">
        <f t="shared" si="631"/>
        <v>0</v>
      </c>
      <c r="NF86" s="57">
        <f t="shared" si="796"/>
        <v>0</v>
      </c>
      <c r="NG86" s="57">
        <f t="shared" si="797"/>
        <v>0</v>
      </c>
      <c r="NH86" s="57">
        <f t="shared" si="798"/>
        <v>0</v>
      </c>
      <c r="NI86" s="57">
        <f t="shared" si="799"/>
        <v>0</v>
      </c>
      <c r="NJ86" s="1029">
        <f t="shared" si="632"/>
        <v>0</v>
      </c>
      <c r="NK86" s="57">
        <f t="shared" si="633"/>
        <v>0</v>
      </c>
      <c r="NL86" s="171" t="str">
        <f t="shared" si="634"/>
        <v/>
      </c>
      <c r="NM86" s="57">
        <f t="shared" si="800"/>
        <v>0</v>
      </c>
      <c r="NN86" s="57">
        <f>IF(OR(AND(NB$6=1,$L86=0),AND(NB$6=2,$K86=2,$G86=1)),0,IF(AND(ND$9=2,(OR($F86&gt;1,$K86=1,AND($L86=80,OR($N86=1,AND($N86=2,'#BerechnungDBE'!$AL77&gt;0)))))),IF(NB$4&gt;=$AD$126,0,NL86),IF(ND$9=3,IF(OR(NB$4&gt;=$AD$127,AND($G86=1,$J86=2,NB$6=2),AND(NB$6=1,$N86&lt;&gt;1)),0,IF(NF86&lt;=120,NL86,IF(NB$4&lt;$AD$124,IF($F86=1,60/ND$4*ND$6,60/ND$4*ND$7),IF($F86=1,120/ND$4*ND$6,120/ND$4*ND$7)))),IF(OR($F86=3,$G86=2),IF(OR(AND(NB$4&gt;=$AD$119,$C86=2),AND(NB$4&gt;=$AF$119,$C86=1)),0,IF(NF86&lt;=60,NL86,60/ND$4*ND$7)),IF(AND($F86=2,$G86=1),NL86,0)))))</f>
        <v>0</v>
      </c>
      <c r="NO86" s="57" t="str">
        <f t="shared" si="635"/>
        <v/>
      </c>
      <c r="NP86" s="57" t="str">
        <f t="shared" si="636"/>
        <v/>
      </c>
      <c r="NQ86" s="713">
        <f>'org. Düngung 22'!CZ85</f>
        <v>0</v>
      </c>
      <c r="NR86" s="57"/>
      <c r="NS86" s="57"/>
      <c r="NT86" s="57">
        <f t="shared" si="637"/>
        <v>0</v>
      </c>
      <c r="NU86" s="57">
        <f t="shared" si="801"/>
        <v>0</v>
      </c>
      <c r="NV86" s="57">
        <f t="shared" si="802"/>
        <v>0</v>
      </c>
      <c r="NW86" s="57">
        <f t="shared" si="803"/>
        <v>0</v>
      </c>
      <c r="NX86" s="57">
        <f t="shared" si="804"/>
        <v>0</v>
      </c>
      <c r="NY86" s="1029">
        <f t="shared" si="638"/>
        <v>0</v>
      </c>
      <c r="NZ86" s="57">
        <f t="shared" si="639"/>
        <v>0</v>
      </c>
      <c r="OA86" s="171" t="str">
        <f t="shared" si="640"/>
        <v/>
      </c>
      <c r="OB86" s="57">
        <f t="shared" si="805"/>
        <v>0</v>
      </c>
      <c r="OC86" s="57">
        <f>IF(OR(AND(NQ$6=1,$L86=0),AND(NQ$6=2,$K86=2,$G86=1)),0,IF(AND(NS$9=2,(OR($F86&gt;1,$K86=1,AND($L86=80,OR($N86=1,AND($N86=2,'#BerechnungDBE'!$AL77&gt;0)))))),IF(NQ$4&gt;=$AD$126,0,OA86),IF(NS$9=3,IF(OR(NQ$4&gt;=$AD$127,AND($G86=1,$J86=2,NQ$6=2),AND(NQ$6=1,$N86&lt;&gt;1)),0,IF(NU86&lt;=120,OA86,IF(NQ$4&lt;$AD$124,IF($F86=1,60/NS$4*NS$6,60/NS$4*NS$7),IF($F86=1,120/NS$4*NS$6,120/NS$4*NS$7)))),IF(OR($F86=3,$G86=2),IF(OR(AND(NQ$4&gt;=$AD$119,$C86=2),AND(NQ$4&gt;=$AF$119,$C86=1)),0,IF(NU86&lt;=60,OA86,60/NS$4*NS$7)),IF(AND($F86=2,$G86=1),OA86,0)))))</f>
        <v>0</v>
      </c>
      <c r="OD86" s="57" t="str">
        <f t="shared" si="641"/>
        <v/>
      </c>
      <c r="OE86" s="57" t="str">
        <f t="shared" si="642"/>
        <v/>
      </c>
      <c r="OF86" s="713">
        <f>'org. Düngung 22'!DD85</f>
        <v>0</v>
      </c>
      <c r="OG86" s="57"/>
      <c r="OH86" s="57"/>
      <c r="OI86" s="57">
        <f t="shared" si="643"/>
        <v>0</v>
      </c>
      <c r="OJ86" s="57">
        <f t="shared" si="806"/>
        <v>0</v>
      </c>
      <c r="OK86" s="57">
        <f t="shared" si="807"/>
        <v>0</v>
      </c>
      <c r="OL86" s="57">
        <f t="shared" si="808"/>
        <v>0</v>
      </c>
      <c r="OM86" s="57">
        <f t="shared" si="809"/>
        <v>0</v>
      </c>
      <c r="ON86" s="1029">
        <f t="shared" si="644"/>
        <v>0</v>
      </c>
      <c r="OO86" s="57">
        <f t="shared" si="645"/>
        <v>0</v>
      </c>
      <c r="OP86" s="171" t="str">
        <f t="shared" si="646"/>
        <v/>
      </c>
      <c r="OQ86" s="57">
        <f t="shared" si="810"/>
        <v>0</v>
      </c>
      <c r="OR86" s="57">
        <f>IF(OR(AND(OF$6=1,$L86=0),AND(OF$6=2,$K86=2,$G86=1)),0,IF(AND(OH$9=2,(OR($F86&gt;1,$K86=1,AND($L86=80,OR($N86=1,AND($N86=2,'#BerechnungDBE'!$AL77&gt;0)))))),IF(OF$4&gt;=$AD$126,0,OP86),IF(OH$9=3,IF(OR(OF$4&gt;=$AD$127,AND($G86=1,$J86=2,OF$6=2),AND(OF$6=1,$N86&lt;&gt;1)),0,IF(OJ86&lt;=120,OP86,IF(OF$4&lt;$AD$124,IF($F86=1,60/OH$4*OH$6,60/OH$4*OH$7),IF($F86=1,120/OH$4*OH$6,120/OH$4*OH$7)))),IF(OR($F86=3,$G86=2),IF(OR(AND(OF$4&gt;=$AD$119,$C86=2),AND(OF$4&gt;=$AF$119,$C86=1)),0,IF(OJ86&lt;=60,OP86,60/OH$4*OH$7)),IF(AND($F86=2,$G86=1),OP86,0)))))</f>
        <v>0</v>
      </c>
      <c r="OS86" s="57" t="str">
        <f t="shared" si="647"/>
        <v/>
      </c>
      <c r="OT86" s="57" t="str">
        <f t="shared" si="648"/>
        <v/>
      </c>
      <c r="OU86" s="713">
        <f>'org. Düngung 22'!DH85</f>
        <v>0</v>
      </c>
      <c r="OV86" s="57"/>
      <c r="OW86" s="57"/>
      <c r="OX86" s="57">
        <f t="shared" si="649"/>
        <v>0</v>
      </c>
      <c r="OY86" s="57">
        <f t="shared" si="811"/>
        <v>0</v>
      </c>
      <c r="OZ86" s="57">
        <f t="shared" si="812"/>
        <v>0</v>
      </c>
      <c r="PA86" s="57">
        <f t="shared" si="813"/>
        <v>0</v>
      </c>
      <c r="PB86" s="57">
        <f t="shared" si="814"/>
        <v>0</v>
      </c>
      <c r="PC86" s="1029">
        <f t="shared" si="650"/>
        <v>0</v>
      </c>
      <c r="PD86" s="57">
        <f t="shared" si="651"/>
        <v>0</v>
      </c>
      <c r="PE86" s="171" t="str">
        <f t="shared" si="652"/>
        <v/>
      </c>
      <c r="PF86" s="57">
        <f t="shared" si="815"/>
        <v>0</v>
      </c>
      <c r="PG86" s="57">
        <f>IF(OR(AND(OU$6=1,$L86=0),AND(OU$6=2,$K86=2,$G86=1)),0,IF(AND(OW$9=2,(OR($F86&gt;1,$K86=1,AND($L86=80,OR($N86=1,AND($N86=2,'#BerechnungDBE'!$AL77&gt;0)))))),IF(OU$4&gt;=$AD$126,0,PE86),IF(OW$9=3,IF(OR(OU$4&gt;=$AD$127,AND($G86=1,$J86=2,OU$6=2),AND(OU$6=1,$N86&lt;&gt;1)),0,IF(OY86&lt;=120,PE86,IF(OU$4&lt;$AD$124,IF($F86=1,60/OW$4*OW$6,60/OW$4*OW$7),IF($F86=1,120/OW$4*OW$6,120/OW$4*OW$7)))),IF(OR($F86=3,$G86=2),IF(OR(AND(OU$4&gt;=$AD$119,$C86=2),AND(OU$4&gt;=$AF$119,$C86=1)),0,IF(OY86&lt;=60,PE86,60/OW$4*OW$7)),IF(AND($F86=2,$G86=1),PE86,0)))))</f>
        <v>0</v>
      </c>
      <c r="PH86" s="57" t="str">
        <f t="shared" si="653"/>
        <v/>
      </c>
      <c r="PI86" s="57" t="str">
        <f t="shared" si="654"/>
        <v/>
      </c>
      <c r="PJ86" s="713">
        <f>'org. Düngung 22'!DL85</f>
        <v>0</v>
      </c>
      <c r="PK86" s="57"/>
      <c r="PL86" s="57"/>
      <c r="PM86" s="57">
        <f t="shared" si="655"/>
        <v>0</v>
      </c>
      <c r="PN86" s="57">
        <f t="shared" si="816"/>
        <v>0</v>
      </c>
      <c r="PO86" s="57">
        <f t="shared" si="817"/>
        <v>0</v>
      </c>
      <c r="PP86" s="57">
        <f t="shared" si="818"/>
        <v>0</v>
      </c>
      <c r="PQ86" s="57">
        <f t="shared" si="819"/>
        <v>0</v>
      </c>
      <c r="PR86" s="1029">
        <f t="shared" si="656"/>
        <v>0</v>
      </c>
      <c r="PS86" s="57">
        <f t="shared" si="657"/>
        <v>0</v>
      </c>
      <c r="PT86" s="171" t="str">
        <f t="shared" si="658"/>
        <v/>
      </c>
      <c r="PU86" s="57">
        <f t="shared" si="820"/>
        <v>0</v>
      </c>
      <c r="PV86" s="57">
        <f>IF(OR(AND(PJ$6=1,$L86=0),AND(PJ$6=2,$K86=2,$G86=1)),0,IF(AND(PL$9=2,(OR($F86&gt;1,$K86=1,AND($L86=80,OR($N86=1,AND($N86=2,'#BerechnungDBE'!$AL77&gt;0)))))),IF(PJ$4&gt;=$AD$126,0,PT86),IF(PL$9=3,IF(OR(PJ$4&gt;=$AD$127,AND($G86=1,$J86=2,PJ$6=2),AND(PJ$6=1,$N86&lt;&gt;1)),0,IF(PN86&lt;=120,PT86,IF(PJ$4&lt;$AD$124,IF($F86=1,60/PL$4*PL$6,60/PL$4*PL$7),IF($F86=1,120/PL$4*PL$6,120/PL$4*PL$7)))),IF(OR($F86=3,$G86=2),IF(OR(AND(PJ$4&gt;=$AD$119,$C86=2),AND(PJ$4&gt;=$AF$119,$C86=1)),0,IF(PN86&lt;=60,PT86,60/PL$4*PL$7)),IF(AND($F86=2,$G86=1),PT86,0)))))</f>
        <v>0</v>
      </c>
      <c r="PW86" s="57" t="str">
        <f t="shared" si="659"/>
        <v/>
      </c>
      <c r="PX86" s="57" t="str">
        <f t="shared" si="660"/>
        <v/>
      </c>
      <c r="PY86" s="713">
        <f>'org. Düngung 22'!DP85</f>
        <v>0</v>
      </c>
      <c r="PZ86" s="57"/>
      <c r="QA86" s="57"/>
      <c r="QB86" s="57">
        <f t="shared" si="661"/>
        <v>0</v>
      </c>
      <c r="QC86" s="57">
        <f t="shared" si="821"/>
        <v>0</v>
      </c>
      <c r="QD86" s="57">
        <f t="shared" si="822"/>
        <v>0</v>
      </c>
      <c r="QE86" s="57">
        <f t="shared" si="823"/>
        <v>0</v>
      </c>
      <c r="QF86" s="57">
        <f t="shared" si="824"/>
        <v>0</v>
      </c>
      <c r="QG86" s="1029">
        <f t="shared" si="662"/>
        <v>0</v>
      </c>
      <c r="QH86" s="57">
        <f t="shared" si="663"/>
        <v>0</v>
      </c>
      <c r="QI86" s="171" t="str">
        <f t="shared" si="664"/>
        <v/>
      </c>
      <c r="QJ86" s="57">
        <f t="shared" si="825"/>
        <v>0</v>
      </c>
      <c r="QK86" s="57">
        <f>IF(OR(AND(PY$6=1,$L86=0),AND(PY$6=2,$K86=2,$G86=1)),0,IF(AND(QA$9=2,(OR($F86&gt;1,$K86=1,AND($L86=80,OR($N86=1,AND($N86=2,'#BerechnungDBE'!$AL77&gt;0)))))),IF(PY$4&gt;=$AD$126,0,QI86),IF(QA$9=3,IF(OR(PY$4&gt;=$AD$127,AND($G86=1,$J86=2,PY$6=2),AND(PY$6=1,$N86&lt;&gt;1)),0,IF(QC86&lt;=120,QI86,IF(PY$4&lt;$AD$124,IF($F86=1,60/QA$4*QA$6,60/QA$4*QA$7),IF($F86=1,120/QA$4*QA$6,120/QA$4*QA$7)))),IF(OR($F86=3,$G86=2),IF(OR(AND(PY$4&gt;=$AD$119,$C86=2),AND(PY$4&gt;=$AF$119,$C86=1)),0,IF(QC86&lt;=60,QI86,60/QA$4*QA$7)),IF(AND($F86=2,$G86=1),QI86,0)))))</f>
        <v>0</v>
      </c>
      <c r="QL86" s="57" t="str">
        <f t="shared" si="665"/>
        <v/>
      </c>
      <c r="QM86" s="57" t="str">
        <f t="shared" si="666"/>
        <v/>
      </c>
      <c r="QN86" s="713">
        <f>'org. Düngung 22'!DT85</f>
        <v>0</v>
      </c>
      <c r="QO86" s="57"/>
      <c r="QP86" s="57"/>
      <c r="QQ86" s="57">
        <f t="shared" si="667"/>
        <v>0</v>
      </c>
      <c r="QR86" s="57">
        <f t="shared" si="826"/>
        <v>0</v>
      </c>
      <c r="QS86" s="57">
        <f t="shared" si="827"/>
        <v>0</v>
      </c>
      <c r="QT86" s="57">
        <f t="shared" si="828"/>
        <v>0</v>
      </c>
      <c r="QU86" s="57">
        <f t="shared" si="829"/>
        <v>0</v>
      </c>
      <c r="QV86" s="1029">
        <f t="shared" si="668"/>
        <v>0</v>
      </c>
      <c r="QW86" s="57">
        <f t="shared" si="669"/>
        <v>0</v>
      </c>
      <c r="QX86" s="171" t="str">
        <f t="shared" si="670"/>
        <v/>
      </c>
      <c r="QY86" s="57">
        <f t="shared" si="830"/>
        <v>0</v>
      </c>
      <c r="QZ86" s="57">
        <f>IF(OR(AND(QN$6=1,$L86=0),AND(QN$6=2,$K86=2,$G86=1)),0,IF(AND(QP$9=2,(OR($F86&gt;1,$K86=1,AND($L86=80,OR($N86=1,AND($N86=2,'#BerechnungDBE'!$AL77&gt;0)))))),IF(QN$4&gt;=$AD$126,0,QX86),IF(QP$9=3,IF(OR(QN$4&gt;=$AD$127,AND($G86=1,$J86=2,QN$6=2),AND(QN$6=1,$N86&lt;&gt;1)),0,IF(QR86&lt;=120,QX86,IF(QN$4&lt;$AD$124,IF($F86=1,60/QP$4*QP$6,60/QP$4*QP$7),IF($F86=1,120/QP$4*QP$6,120/QP$4*QP$7)))),IF(OR($F86=3,$G86=2),IF(OR(AND(QN$4&gt;=$AD$119,$C86=2),AND(QN$4&gt;=$AF$119,$C86=1)),0,IF(QR86&lt;=60,QX86,60/QP$4*QP$7)),IF(AND($F86=2,$G86=1),QX86,0)))))</f>
        <v>0</v>
      </c>
      <c r="RA86" s="57" t="str">
        <f t="shared" si="671"/>
        <v/>
      </c>
      <c r="RB86" s="57" t="str">
        <f t="shared" si="672"/>
        <v/>
      </c>
      <c r="RC86" s="713">
        <f>'org. Düngung 22'!DX85</f>
        <v>0</v>
      </c>
      <c r="RD86" s="57"/>
      <c r="RE86" s="57"/>
      <c r="RF86" s="57">
        <f t="shared" si="673"/>
        <v>0</v>
      </c>
      <c r="RG86" s="57">
        <f t="shared" si="831"/>
        <v>0</v>
      </c>
      <c r="RH86" s="57">
        <f t="shared" si="832"/>
        <v>0</v>
      </c>
      <c r="RI86" s="57">
        <f t="shared" si="833"/>
        <v>0</v>
      </c>
      <c r="RJ86" s="57">
        <f t="shared" si="834"/>
        <v>0</v>
      </c>
      <c r="RK86" s="1029">
        <f t="shared" si="674"/>
        <v>0</v>
      </c>
      <c r="RL86" s="57">
        <f t="shared" si="675"/>
        <v>0</v>
      </c>
      <c r="RM86" s="171" t="str">
        <f t="shared" si="676"/>
        <v/>
      </c>
      <c r="RN86" s="57">
        <f t="shared" si="835"/>
        <v>0</v>
      </c>
      <c r="RO86" s="57">
        <f>IF(OR(AND(RC$6=1,$L86=0),AND(RC$6=2,$K86=2,$G86=1)),0,IF(AND(RE$9=2,(OR($F86&gt;1,$K86=1,AND($L86=80,OR($N86=1,AND($N86=2,'#BerechnungDBE'!$AL77&gt;0)))))),IF(RC$4&gt;=$AD$126,0,RM86),IF(RE$9=3,IF(OR(RC$4&gt;=$AD$127,AND($G86=1,$J86=2,RC$6=2),AND(RC$6=1,$N86&lt;&gt;1)),0,IF(RG86&lt;=120,RM86,IF(RC$4&lt;$AD$124,IF($F86=1,60/RE$4*RE$6,60/RE$4*RE$7),IF($F86=1,120/RE$4*RE$6,120/RE$4*RE$7)))),IF(OR($F86=3,$G86=2),IF(OR(AND(RC$4&gt;=$AD$119,$C86=2),AND(RC$4&gt;=$AF$119,$C86=1)),0,IF(RG86&lt;=60,RM86,60/RE$4*RE$7)),IF(AND($F86=2,$G86=1),RM86,0)))))</f>
        <v>0</v>
      </c>
      <c r="RP86" s="57" t="str">
        <f t="shared" si="677"/>
        <v/>
      </c>
      <c r="RQ86" s="57" t="str">
        <f t="shared" si="678"/>
        <v/>
      </c>
      <c r="RS86" s="57" t="str">
        <f t="shared" si="836"/>
        <v/>
      </c>
      <c r="RT86" s="57" t="str">
        <f t="shared" si="679"/>
        <v/>
      </c>
      <c r="RU86" s="57" t="str">
        <f t="shared" si="680"/>
        <v/>
      </c>
      <c r="RV86" s="57" t="str">
        <f>IF(Z86&gt;'#BerechnungDBE'!BM77,$RV$9,"")</f>
        <v/>
      </c>
      <c r="RW86" s="57" t="str">
        <f>IF(AND(L86=70,AE86&gt;'#BerechnungDBE'!CQ77),$RW$9,"")</f>
        <v/>
      </c>
      <c r="RX86" s="57" t="str">
        <f>IF(OR('org. Düngung 22'!G85="--",'org. Düngung 22'!G85&lt;=170,'org. Düngung 22'!G85=""),"",$RX$9)</f>
        <v/>
      </c>
      <c r="RY86" s="57" t="str">
        <f>IF('org. Düngung 22'!K85&gt;120,'#orgDung'!$RY$9,"")</f>
        <v/>
      </c>
      <c r="RZ86" s="57" t="str">
        <f>IF('#BerechnungDBE'!P77&lt;4,"",IF(AND('#BerechnungDBE'!BZ77&gt;0,T86&gt;0),'#orgDung'!$RZ$9,""))</f>
        <v/>
      </c>
      <c r="SA86" s="57" t="str">
        <f t="shared" si="681"/>
        <v/>
      </c>
    </row>
    <row r="87" spans="1:495" s="875" customFormat="1" x14ac:dyDescent="0.2">
      <c r="A87" s="875">
        <f>'Flächen u. Kulturen'!A83</f>
        <v>74</v>
      </c>
      <c r="B87" s="367">
        <f>'#BerechnungDBE'!L78</f>
        <v>0</v>
      </c>
      <c r="C87" s="875">
        <f>'#BerechnungDBE'!R78</f>
        <v>1</v>
      </c>
      <c r="D87" s="875">
        <f>'#BerechnungDBE'!T78</f>
        <v>2</v>
      </c>
      <c r="E87" s="875" t="str">
        <f>'Flächen u. Kulturen'!E83</f>
        <v>x</v>
      </c>
      <c r="F87" s="52">
        <f>'#BerechnungDBE'!N78</f>
        <v>1</v>
      </c>
      <c r="G87" s="52">
        <f>'#BerechnungDBE'!O78</f>
        <v>1</v>
      </c>
      <c r="H87" s="875">
        <f>IF('Flächen u. Kulturen'!P83="",0,VLOOKUP('Flächen u. Kulturen'!P83,Kulturen[[HF]:[Berechnungsgruppe]],'#Frucht'!$H$1,FALSE))</f>
        <v>0</v>
      </c>
      <c r="I87" s="875">
        <f>IF('Flächen u. Kulturen'!J83="",0,VLOOKUP('Flächen u. Kulturen'!J83,Kulturen[[HF]:[Berechnungsgruppe]],'#Frucht'!$G$1,FALSE))</f>
        <v>90</v>
      </c>
      <c r="J87" s="505">
        <f t="shared" si="682"/>
        <v>2</v>
      </c>
      <c r="K87" s="505">
        <f>IF('Flächen u. Kulturen'!P83="",0,IF(VLOOKUP('Flächen u. Kulturen'!P83,Kulturen[[HF]:[Saat Winterungen]],'#Frucht'!$P$1,FALSE)&gt;0,1,2))</f>
        <v>2</v>
      </c>
      <c r="L87" s="875">
        <f>'#BerechnungDBE'!AF78</f>
        <v>0</v>
      </c>
      <c r="M87" s="875">
        <f>IF('Flächen u. Kulturen'!L83="",0,VLOOKUP('Flächen u. Kulturen'!L83,Nebenkultur[[Nebenkultur]:[Legum. Zwischenfr.]],'#Zweitfr'!$K$1,FALSE))</f>
        <v>0</v>
      </c>
      <c r="N87" s="875">
        <f>'#BerechnungDBE'!AG78</f>
        <v>0</v>
      </c>
      <c r="P87" s="57">
        <f t="shared" si="489"/>
        <v>0</v>
      </c>
      <c r="Q87" s="57">
        <f t="shared" si="490"/>
        <v>0</v>
      </c>
      <c r="R87" s="875">
        <f t="shared" si="491"/>
        <v>0</v>
      </c>
      <c r="S87" s="938" t="str">
        <f t="shared" si="683"/>
        <v/>
      </c>
      <c r="T87" s="875">
        <f t="shared" si="492"/>
        <v>0</v>
      </c>
      <c r="U87" s="875">
        <f t="shared" si="493"/>
        <v>0</v>
      </c>
      <c r="V87" s="875">
        <f t="shared" si="494"/>
        <v>0</v>
      </c>
      <c r="W87" s="875">
        <f t="shared" si="495"/>
        <v>0</v>
      </c>
      <c r="X87" s="875">
        <f t="shared" si="496"/>
        <v>0</v>
      </c>
      <c r="Y87" s="875">
        <f t="shared" si="837"/>
        <v>0</v>
      </c>
      <c r="Z87" s="875">
        <f t="shared" si="838"/>
        <v>0</v>
      </c>
      <c r="AA87" s="910">
        <f t="shared" si="497"/>
        <v>0</v>
      </c>
      <c r="AB87" s="57">
        <f t="shared" si="839"/>
        <v>0</v>
      </c>
      <c r="AC87" s="875">
        <f t="shared" si="498"/>
        <v>0</v>
      </c>
      <c r="AD87" s="875">
        <f t="shared" si="499"/>
        <v>0</v>
      </c>
      <c r="AE87" s="875">
        <f t="shared" si="500"/>
        <v>0</v>
      </c>
      <c r="AF87" s="875">
        <f t="shared" si="840"/>
        <v>0</v>
      </c>
      <c r="AG87" s="875">
        <f>'org. Düngung 22'!J86</f>
        <v>0</v>
      </c>
      <c r="AH87" s="875">
        <f>'org. Düngung 22'!K86</f>
        <v>0</v>
      </c>
      <c r="AJ87" s="713">
        <f>'org. Düngung 22'!L86</f>
        <v>0</v>
      </c>
      <c r="AK87" s="57"/>
      <c r="AL87" s="57"/>
      <c r="AM87" s="57">
        <f t="shared" si="684"/>
        <v>0</v>
      </c>
      <c r="AN87" s="57">
        <f t="shared" si="685"/>
        <v>0</v>
      </c>
      <c r="AO87" s="57">
        <f t="shared" si="686"/>
        <v>0</v>
      </c>
      <c r="AP87" s="57">
        <f t="shared" si="687"/>
        <v>0</v>
      </c>
      <c r="AQ87" s="57">
        <f t="shared" si="688"/>
        <v>0</v>
      </c>
      <c r="AR87" s="1029">
        <f t="shared" si="501"/>
        <v>0</v>
      </c>
      <c r="AS87" s="57">
        <f t="shared" si="502"/>
        <v>0</v>
      </c>
      <c r="AT87" s="171" t="str">
        <f t="shared" si="503"/>
        <v/>
      </c>
      <c r="AU87" s="57">
        <f t="shared" si="689"/>
        <v>0</v>
      </c>
      <c r="AV87" s="57">
        <f>IF(OR(AND(AJ$6=1,$L87=0),AND(AJ$6=2,$K87=2,$G87=1)),0,IF(AND(AL$9=2,(OR($F87&gt;1,$K87=1,AND($L87=80,OR($N87=1,AND($N87=2,'#BerechnungDBE'!$AL78&gt;0)))))),IF(AJ$4&gt;=$AD$126,0,AT87),IF(AL$9=3,IF(OR(AJ$4&gt;=$AD$127,AND($G87=1,$J87=2,AJ$6=2),AND(AJ$6=1,$N87&lt;&gt;1)),0,IF(AN87&lt;=120,AT87,IF(AJ$4&lt;$AD$124,IF($F87=1,60/AL$4*AL$6,60/AL$4*AL$7),IF($F87=1,120/AL$4*AL$6,120/AL$4*AL$7)))),IF(OR($F87=3,$G87=2),IF(OR(AND(AJ$4&gt;=$AD$119,$C87=2),AND(AJ$4&gt;=$AF$119,$C87=1)),0,IF(AN87&lt;=60,AT87,60/AL$4*AL$7)),IF(AND($F87=2,$G87=1),AT87,0)))))</f>
        <v>0</v>
      </c>
      <c r="AW87" s="57" t="str">
        <f t="shared" si="690"/>
        <v/>
      </c>
      <c r="AX87" s="57" t="str">
        <f t="shared" si="504"/>
        <v/>
      </c>
      <c r="AY87" s="713">
        <f>'org. Düngung 22'!P86</f>
        <v>0</v>
      </c>
      <c r="AZ87" s="57"/>
      <c r="BA87" s="57"/>
      <c r="BB87" s="57">
        <f t="shared" si="505"/>
        <v>0</v>
      </c>
      <c r="BC87" s="57">
        <f t="shared" si="691"/>
        <v>0</v>
      </c>
      <c r="BD87" s="57">
        <f t="shared" si="692"/>
        <v>0</v>
      </c>
      <c r="BE87" s="57">
        <f t="shared" si="693"/>
        <v>0</v>
      </c>
      <c r="BF87" s="57">
        <f t="shared" si="694"/>
        <v>0</v>
      </c>
      <c r="BG87" s="1029">
        <f t="shared" si="506"/>
        <v>0</v>
      </c>
      <c r="BH87" s="57">
        <f t="shared" si="507"/>
        <v>0</v>
      </c>
      <c r="BI87" s="171" t="str">
        <f t="shared" si="508"/>
        <v/>
      </c>
      <c r="BJ87" s="57">
        <f t="shared" si="695"/>
        <v>0</v>
      </c>
      <c r="BK87" s="57">
        <f>IF(OR(AND(AY$6=1,$L87=0),AND(AY$6=2,$K87=2,$G87=1)),0,IF(AND(BA$9=2,(OR($F87&gt;1,$K87=1,AND($L87=80,OR($N87=1,AND($N87=2,'#BerechnungDBE'!$AL78&gt;0)))))),IF(AY$4&gt;=$AD$126,0,BI87),IF(BA$9=3,IF(OR(AY$4&gt;=$AD$127,AND($G87=1,$J87=2,AY$6=2),AND(AY$6=1,$N87&lt;&gt;1)),0,IF(BC87&lt;=120,BI87,IF(AY$4&lt;$AD$124,IF($F87=1,60/BA$4*BA$6,60/BA$4*BA$7),IF($F87=1,120/BA$4*BA$6,120/BA$4*BA$7)))),IF(OR($F87=3,$G87=2),IF(OR(AND(AY$4&gt;=$AD$119,$C87=2),AND(AY$4&gt;=$AF$119,$C87=1)),0,IF(BC87&lt;=60,BI87,60/BA$4*BA$7)),IF(AND($F87=2,$G87=1),BI87,0)))))</f>
        <v>0</v>
      </c>
      <c r="BL87" s="57" t="str">
        <f t="shared" si="509"/>
        <v/>
      </c>
      <c r="BM87" s="57" t="str">
        <f t="shared" si="510"/>
        <v/>
      </c>
      <c r="BN87" s="713">
        <f>'org. Düngung 22'!T86</f>
        <v>0</v>
      </c>
      <c r="BO87" s="57"/>
      <c r="BP87" s="57"/>
      <c r="BQ87" s="57">
        <f t="shared" si="511"/>
        <v>0</v>
      </c>
      <c r="BR87" s="57">
        <f t="shared" si="696"/>
        <v>0</v>
      </c>
      <c r="BS87" s="57">
        <f t="shared" si="697"/>
        <v>0</v>
      </c>
      <c r="BT87" s="57">
        <f t="shared" si="698"/>
        <v>0</v>
      </c>
      <c r="BU87" s="57">
        <f t="shared" si="699"/>
        <v>0</v>
      </c>
      <c r="BV87" s="1029">
        <f t="shared" si="512"/>
        <v>0</v>
      </c>
      <c r="BW87" s="57">
        <f t="shared" si="513"/>
        <v>0</v>
      </c>
      <c r="BX87" s="171" t="str">
        <f t="shared" si="514"/>
        <v/>
      </c>
      <c r="BY87" s="57">
        <f t="shared" si="700"/>
        <v>0</v>
      </c>
      <c r="BZ87" s="57">
        <f>IF(OR(AND(BN$6=1,$L87=0),AND(BN$6=2,$K87=2,$G87=1)),0,IF(AND(BP$9=2,(OR($F87&gt;1,$K87=1,AND($L87=80,OR($N87=1,AND($N87=2,'#BerechnungDBE'!$AL78&gt;0)))))),IF(BN$4&gt;=$AD$126,0,BX87),IF(BP$9=3,IF(OR(BN$4&gt;=$AD$127,AND($G87=1,$J87=2,BN$6=2),AND(BN$6=1,$N87&lt;&gt;1)),0,IF(BR87&lt;=120,BX87,IF(BN$4&lt;$AD$124,IF($F87=1,60/BP$4*BP$6,60/BP$4*BP$7),IF($F87=1,120/BP$4*BP$6,120/BP$4*BP$7)))),IF(OR($F87=3,$G87=2),IF(OR(AND(BN$4&gt;=$AD$119,$C87=2),AND(BN$4&gt;=$AF$119,$C87=1)),0,IF(BR87&lt;=60,BX87,60/BP$4*BP$7)),IF(AND($F87=2,$G87=1),BX87,0)))))</f>
        <v>0</v>
      </c>
      <c r="CA87" s="57" t="str">
        <f t="shared" si="515"/>
        <v/>
      </c>
      <c r="CB87" s="57" t="str">
        <f t="shared" si="516"/>
        <v/>
      </c>
      <c r="CC87" s="713">
        <f>'org. Düngung 22'!X86</f>
        <v>0</v>
      </c>
      <c r="CD87" s="57"/>
      <c r="CE87" s="57"/>
      <c r="CF87" s="57">
        <f t="shared" si="517"/>
        <v>0</v>
      </c>
      <c r="CG87" s="57">
        <f t="shared" si="701"/>
        <v>0</v>
      </c>
      <c r="CH87" s="57">
        <f t="shared" si="702"/>
        <v>0</v>
      </c>
      <c r="CI87" s="57">
        <f t="shared" si="703"/>
        <v>0</v>
      </c>
      <c r="CJ87" s="57">
        <f t="shared" si="704"/>
        <v>0</v>
      </c>
      <c r="CK87" s="1029">
        <f t="shared" si="518"/>
        <v>0</v>
      </c>
      <c r="CL87" s="57">
        <f t="shared" si="519"/>
        <v>0</v>
      </c>
      <c r="CM87" s="171" t="str">
        <f t="shared" si="520"/>
        <v/>
      </c>
      <c r="CN87" s="57">
        <f t="shared" si="705"/>
        <v>0</v>
      </c>
      <c r="CO87" s="57">
        <f>IF(OR(AND(CC$6=1,$L87=0),AND(CC$6=2,$K87=2,$G87=1)),0,IF(AND(CE$9=2,(OR($F87&gt;1,$K87=1,AND($L87=80,OR($N87=1,AND($N87=2,'#BerechnungDBE'!$AL78&gt;0)))))),IF(CC$4&gt;=$AD$126,0,CM87),IF(CE$9=3,IF(OR(CC$4&gt;=$AD$127,AND($G87=1,$J87=2,CC$6=2),AND(CC$6=1,$N87&lt;&gt;1)),0,IF(CG87&lt;=120,CM87,IF(CC$4&lt;$AD$124,IF($F87=1,60/CE$4*CE$6,60/CE$4*CE$7),IF($F87=1,120/CE$4*CE$6,120/CE$4*CE$7)))),IF(OR($F87=3,$G87=2),IF(OR(AND(CC$4&gt;=$AD$119,$C87=2),AND(CC$4&gt;=$AF$119,$C87=1)),0,IF(CG87&lt;=60,CM87,60/CE$4*CE$7)),IF(AND($F87=2,$G87=1),CM87,0)))))</f>
        <v>0</v>
      </c>
      <c r="CP87" s="57" t="str">
        <f t="shared" si="521"/>
        <v/>
      </c>
      <c r="CQ87" s="57" t="str">
        <f t="shared" si="522"/>
        <v/>
      </c>
      <c r="CR87" s="713">
        <f>'org. Düngung 22'!AB86</f>
        <v>0</v>
      </c>
      <c r="CS87" s="57"/>
      <c r="CT87" s="57"/>
      <c r="CU87" s="57">
        <f t="shared" si="523"/>
        <v>0</v>
      </c>
      <c r="CV87" s="57">
        <f t="shared" si="706"/>
        <v>0</v>
      </c>
      <c r="CW87" s="57">
        <f t="shared" si="707"/>
        <v>0</v>
      </c>
      <c r="CX87" s="57">
        <f t="shared" si="708"/>
        <v>0</v>
      </c>
      <c r="CY87" s="57">
        <f t="shared" si="709"/>
        <v>0</v>
      </c>
      <c r="CZ87" s="1029">
        <f t="shared" si="524"/>
        <v>0</v>
      </c>
      <c r="DA87" s="57">
        <f t="shared" si="525"/>
        <v>0</v>
      </c>
      <c r="DB87" s="171" t="str">
        <f t="shared" si="526"/>
        <v/>
      </c>
      <c r="DC87" s="57">
        <f t="shared" si="710"/>
        <v>0</v>
      </c>
      <c r="DD87" s="57">
        <f>IF(OR(AND(CR$6=1,$L87=0),AND(CR$6=2,$K87=2,$G87=1)),0,IF(AND(CT$9=2,(OR($F87&gt;1,$K87=1,AND($L87=80,OR($N87=1,AND($N87=2,'#BerechnungDBE'!$AL78&gt;0)))))),IF(CR$4&gt;=$AD$126,0,DB87),IF(CT$9=3,IF(OR(CR$4&gt;=$AD$127,AND($G87=1,$J87=2,CR$6=2),AND(CR$6=1,$N87&lt;&gt;1)),0,IF(CV87&lt;=120,DB87,IF(CR$4&lt;$AD$124,IF($F87=1,60/CT$4*CT$6,60/CT$4*CT$7),IF($F87=1,120/CT$4*CT$6,120/CT$4*CT$7)))),IF(OR($F87=3,$G87=2),IF(OR(AND(CR$4&gt;=$AD$119,$C87=2),AND(CR$4&gt;=$AF$119,$C87=1)),0,IF(CV87&lt;=60,DB87,60/CT$4*CT$7)),IF(AND($F87=2,$G87=1),DB87,0)))))</f>
        <v>0</v>
      </c>
      <c r="DE87" s="57" t="str">
        <f t="shared" si="527"/>
        <v/>
      </c>
      <c r="DF87" s="57" t="str">
        <f t="shared" si="528"/>
        <v/>
      </c>
      <c r="DG87" s="713">
        <f>'org. Düngung 22'!AF86</f>
        <v>0</v>
      </c>
      <c r="DH87" s="57"/>
      <c r="DI87" s="57"/>
      <c r="DJ87" s="57">
        <f t="shared" si="529"/>
        <v>0</v>
      </c>
      <c r="DK87" s="57">
        <f t="shared" si="711"/>
        <v>0</v>
      </c>
      <c r="DL87" s="57">
        <f t="shared" si="712"/>
        <v>0</v>
      </c>
      <c r="DM87" s="57">
        <f t="shared" si="713"/>
        <v>0</v>
      </c>
      <c r="DN87" s="57">
        <f t="shared" si="714"/>
        <v>0</v>
      </c>
      <c r="DO87" s="1029">
        <f t="shared" si="530"/>
        <v>0</v>
      </c>
      <c r="DP87" s="57">
        <f t="shared" si="531"/>
        <v>0</v>
      </c>
      <c r="DQ87" s="171" t="str">
        <f t="shared" si="532"/>
        <v/>
      </c>
      <c r="DR87" s="57">
        <f t="shared" si="715"/>
        <v>0</v>
      </c>
      <c r="DS87" s="57">
        <f>IF(OR(AND(DG$6=1,$L87=0),AND(DG$6=2,$K87=2,$G87=1)),0,IF(AND(DI$9=2,(OR($F87&gt;1,$K87=1,AND($L87=80,OR($N87=1,AND($N87=2,'#BerechnungDBE'!$AL78&gt;0)))))),IF(DG$4&gt;=$AD$126,0,DQ87),IF(DI$9=3,IF(OR(DG$4&gt;=$AD$127,AND($G87=1,$J87=2,DG$6=2),AND(DG$6=1,$N87&lt;&gt;1)),0,IF(DK87&lt;=120,DQ87,IF(DG$4&lt;$AD$124,IF($F87=1,60/DI$4*DI$6,60/DI$4*DI$7),IF($F87=1,120/DI$4*DI$6,120/DI$4*DI$7)))),IF(OR($F87=3,$G87=2),IF(OR(AND(DG$4&gt;=$AD$119,$C87=2),AND(DG$4&gt;=$AF$119,$C87=1)),0,IF(DK87&lt;=60,DQ87,60/DI$4*DI$7)),IF(AND($F87=2,$G87=1),DQ87,0)))))</f>
        <v>0</v>
      </c>
      <c r="DT87" s="57" t="str">
        <f t="shared" si="533"/>
        <v/>
      </c>
      <c r="DU87" s="57" t="str">
        <f t="shared" si="534"/>
        <v/>
      </c>
      <c r="DV87" s="713">
        <f>'org. Düngung 22'!AJ86</f>
        <v>0</v>
      </c>
      <c r="DW87" s="57"/>
      <c r="DX87" s="57"/>
      <c r="DY87" s="57">
        <f t="shared" si="535"/>
        <v>0</v>
      </c>
      <c r="DZ87" s="57">
        <f t="shared" si="716"/>
        <v>0</v>
      </c>
      <c r="EA87" s="57">
        <f t="shared" si="717"/>
        <v>0</v>
      </c>
      <c r="EB87" s="57">
        <f t="shared" si="718"/>
        <v>0</v>
      </c>
      <c r="EC87" s="57">
        <f t="shared" si="719"/>
        <v>0</v>
      </c>
      <c r="ED87" s="1029">
        <f t="shared" si="536"/>
        <v>0</v>
      </c>
      <c r="EE87" s="57">
        <f t="shared" si="537"/>
        <v>0</v>
      </c>
      <c r="EF87" s="171" t="str">
        <f t="shared" si="538"/>
        <v/>
      </c>
      <c r="EG87" s="57">
        <f t="shared" si="720"/>
        <v>0</v>
      </c>
      <c r="EH87" s="57">
        <f>IF(OR(AND(DV$6=1,$L87=0),AND(DV$6=2,$K87=2,$G87=1)),0,IF(AND(DX$9=2,(OR($F87&gt;1,$K87=1,AND($L87=80,OR($N87=1,AND($N87=2,'#BerechnungDBE'!$AL78&gt;0)))))),IF(DV$4&gt;=$AD$126,0,EF87),IF(DX$9=3,IF(OR(DV$4&gt;=$AD$127,AND($G87=1,$J87=2,DV$6=2),AND(DV$6=1,$N87&lt;&gt;1)),0,IF(DZ87&lt;=120,EF87,IF(DV$4&lt;$AD$124,IF($F87=1,60/DX$4*DX$6,60/DX$4*DX$7),IF($F87=1,120/DX$4*DX$6,120/DX$4*DX$7)))),IF(OR($F87=3,$G87=2),IF(OR(AND(DV$4&gt;=$AD$119,$C87=2),AND(DV$4&gt;=$AF$119,$C87=1)),0,IF(DZ87&lt;=60,EF87,60/DX$4*DX$7)),IF(AND($F87=2,$G87=1),EF87,0)))))</f>
        <v>0</v>
      </c>
      <c r="EI87" s="57" t="str">
        <f t="shared" si="539"/>
        <v/>
      </c>
      <c r="EJ87" s="57" t="str">
        <f t="shared" si="540"/>
        <v/>
      </c>
      <c r="EK87" s="713">
        <f>'org. Düngung 22'!AN86</f>
        <v>0</v>
      </c>
      <c r="EL87" s="57"/>
      <c r="EM87" s="57"/>
      <c r="EN87" s="57">
        <f t="shared" si="541"/>
        <v>0</v>
      </c>
      <c r="EO87" s="57">
        <f t="shared" si="721"/>
        <v>0</v>
      </c>
      <c r="EP87" s="57">
        <f t="shared" si="722"/>
        <v>0</v>
      </c>
      <c r="EQ87" s="57">
        <f t="shared" si="723"/>
        <v>0</v>
      </c>
      <c r="ER87" s="57">
        <f t="shared" si="724"/>
        <v>0</v>
      </c>
      <c r="ES87" s="1029">
        <f t="shared" si="542"/>
        <v>0</v>
      </c>
      <c r="ET87" s="57">
        <f t="shared" si="543"/>
        <v>0</v>
      </c>
      <c r="EU87" s="171" t="str">
        <f t="shared" si="544"/>
        <v/>
      </c>
      <c r="EV87" s="57">
        <f t="shared" si="725"/>
        <v>0</v>
      </c>
      <c r="EW87" s="57">
        <f>IF(OR(AND(EK$6=1,$L87=0),AND(EK$6=2,$K87=2,$G87=1)),0,IF(AND(EM$9=2,(OR($F87&gt;1,$K87=1,AND($L87=80,OR($N87=1,AND($N87=2,'#BerechnungDBE'!$AL78&gt;0)))))),IF(EK$4&gt;=$AD$126,0,EU87),IF(EM$9=3,IF(OR(EK$4&gt;=$AD$127,AND($G87=1,$J87=2,EK$6=2),AND(EK$6=1,$N87&lt;&gt;1)),0,IF(EO87&lt;=120,EU87,IF(EK$4&lt;$AD$124,IF($F87=1,60/EM$4*EM$6,60/EM$4*EM$7),IF($F87=1,120/EM$4*EM$6,120/EM$4*EM$7)))),IF(OR($F87=3,$G87=2),IF(OR(AND(EK$4&gt;=$AD$119,$C87=2),AND(EK$4&gt;=$AF$119,$C87=1)),0,IF(EO87&lt;=60,EU87,60/EM$4*EM$7)),IF(AND($F87=2,$G87=1),EU87,0)))))</f>
        <v>0</v>
      </c>
      <c r="EX87" s="57" t="str">
        <f t="shared" si="545"/>
        <v/>
      </c>
      <c r="EY87" s="57" t="str">
        <f t="shared" si="546"/>
        <v/>
      </c>
      <c r="EZ87" s="713">
        <f>'org. Düngung 22'!AR86</f>
        <v>0</v>
      </c>
      <c r="FA87" s="57"/>
      <c r="FB87" s="57"/>
      <c r="FC87" s="57">
        <f t="shared" si="547"/>
        <v>0</v>
      </c>
      <c r="FD87" s="57">
        <f t="shared" si="726"/>
        <v>0</v>
      </c>
      <c r="FE87" s="57">
        <f t="shared" si="727"/>
        <v>0</v>
      </c>
      <c r="FF87" s="57">
        <f t="shared" si="728"/>
        <v>0</v>
      </c>
      <c r="FG87" s="57">
        <f t="shared" si="729"/>
        <v>0</v>
      </c>
      <c r="FH87" s="1029">
        <f t="shared" si="548"/>
        <v>0</v>
      </c>
      <c r="FI87" s="57">
        <f t="shared" si="549"/>
        <v>0</v>
      </c>
      <c r="FJ87" s="171" t="str">
        <f t="shared" si="550"/>
        <v/>
      </c>
      <c r="FK87" s="57">
        <f t="shared" si="730"/>
        <v>0</v>
      </c>
      <c r="FL87" s="57">
        <f>IF(OR(AND(EZ$6=1,$L87=0),AND(EZ$6=2,$K87=2,$G87=1)),0,IF(AND(FB$9=2,(OR($F87&gt;1,$K87=1,AND($L87=80,OR($N87=1,AND($N87=2,'#BerechnungDBE'!$AL78&gt;0)))))),IF(EZ$4&gt;=$AD$126,0,FJ87),IF(FB$9=3,IF(OR(EZ$4&gt;=$AD$127,AND($G87=1,$J87=2,EZ$6=2),AND(EZ$6=1,$N87&lt;&gt;1)),0,IF(FD87&lt;=120,FJ87,IF(EZ$4&lt;$AD$124,IF($F87=1,60/FB$4*FB$6,60/FB$4*FB$7),IF($F87=1,120/FB$4*FB$6,120/FB$4*FB$7)))),IF(OR($F87=3,$G87=2),IF(OR(AND(EZ$4&gt;=$AD$119,$C87=2),AND(EZ$4&gt;=$AF$119,$C87=1)),0,IF(FD87&lt;=60,FJ87,60/FB$4*FB$7)),IF(AND($F87=2,$G87=1),FJ87,0)))))</f>
        <v>0</v>
      </c>
      <c r="FM87" s="57" t="str">
        <f t="shared" si="551"/>
        <v/>
      </c>
      <c r="FN87" s="57" t="str">
        <f t="shared" si="552"/>
        <v/>
      </c>
      <c r="FO87" s="713">
        <f>'org. Düngung 22'!AV86</f>
        <v>0</v>
      </c>
      <c r="FP87" s="57"/>
      <c r="FQ87" s="57"/>
      <c r="FR87" s="57">
        <f t="shared" si="553"/>
        <v>0</v>
      </c>
      <c r="FS87" s="57">
        <f t="shared" si="731"/>
        <v>0</v>
      </c>
      <c r="FT87" s="57">
        <f t="shared" si="732"/>
        <v>0</v>
      </c>
      <c r="FU87" s="57">
        <f t="shared" si="733"/>
        <v>0</v>
      </c>
      <c r="FV87" s="57">
        <f t="shared" si="734"/>
        <v>0</v>
      </c>
      <c r="FW87" s="1029">
        <f t="shared" si="554"/>
        <v>0</v>
      </c>
      <c r="FX87" s="57">
        <f t="shared" si="555"/>
        <v>0</v>
      </c>
      <c r="FY87" s="171" t="str">
        <f t="shared" si="556"/>
        <v/>
      </c>
      <c r="FZ87" s="57">
        <f t="shared" si="735"/>
        <v>0</v>
      </c>
      <c r="GA87" s="57">
        <f>IF(OR(AND(FO$6=1,$L87=0),AND(FO$6=2,$K87=2,$G87=1)),0,IF(AND(FQ$9=2,(OR($F87&gt;1,$K87=1,AND($L87=80,OR($N87=1,AND($N87=2,'#BerechnungDBE'!$AL78&gt;0)))))),IF(FO$4&gt;=$AD$126,0,FY87),IF(FQ$9=3,IF(OR(FO$4&gt;=$AD$127,AND($G87=1,$J87=2,FO$6=2),AND(FO$6=1,$N87&lt;&gt;1)),0,IF(FS87&lt;=120,FY87,IF(FO$4&lt;$AD$124,IF($F87=1,60/FQ$4*FQ$6,60/FQ$4*FQ$7),IF($F87=1,120/FQ$4*FQ$6,120/FQ$4*FQ$7)))),IF(OR($F87=3,$G87=2),IF(OR(AND(FO$4&gt;=$AD$119,$C87=2),AND(FO$4&gt;=$AF$119,$C87=1)),0,IF(FS87&lt;=60,FY87,60/FQ$4*FQ$7)),IF(AND($F87=2,$G87=1),FY87,0)))))</f>
        <v>0</v>
      </c>
      <c r="GB87" s="57" t="str">
        <f t="shared" si="557"/>
        <v/>
      </c>
      <c r="GC87" s="57" t="str">
        <f t="shared" si="558"/>
        <v/>
      </c>
      <c r="GD87" s="713">
        <f>'org. Düngung 22'!AZ86</f>
        <v>0</v>
      </c>
      <c r="GE87" s="57"/>
      <c r="GF87" s="57"/>
      <c r="GG87" s="57">
        <f t="shared" si="559"/>
        <v>0</v>
      </c>
      <c r="GH87" s="57">
        <f t="shared" si="736"/>
        <v>0</v>
      </c>
      <c r="GI87" s="57">
        <f t="shared" si="737"/>
        <v>0</v>
      </c>
      <c r="GJ87" s="57">
        <f t="shared" si="738"/>
        <v>0</v>
      </c>
      <c r="GK87" s="57">
        <f t="shared" si="739"/>
        <v>0</v>
      </c>
      <c r="GL87" s="1029">
        <f t="shared" si="560"/>
        <v>0</v>
      </c>
      <c r="GM87" s="57">
        <f t="shared" si="561"/>
        <v>0</v>
      </c>
      <c r="GN87" s="171" t="str">
        <f t="shared" si="562"/>
        <v/>
      </c>
      <c r="GO87" s="57">
        <f t="shared" si="740"/>
        <v>0</v>
      </c>
      <c r="GP87" s="57">
        <f>IF(OR(AND(GD$6=1,$L87=0),AND(GD$6=2,$K87=2,$G87=1)),0,IF(AND(GF$9=2,(OR($F87&gt;1,$K87=1,AND($L87=80,OR($N87=1,AND($N87=2,'#BerechnungDBE'!$AL78&gt;0)))))),IF(GD$4&gt;=$AD$126,0,GN87),IF(GF$9=3,IF(OR(GD$4&gt;=$AD$127,AND($G87=1,$J87=2,GD$6=2),AND(GD$6=1,$N87&lt;&gt;1)),0,IF(GH87&lt;=120,GN87,IF(GD$4&lt;$AD$124,IF($F87=1,60/GF$4*GF$6,60/GF$4*GF$7),IF($F87=1,120/GF$4*GF$6,120/GF$4*GF$7)))),IF(OR($F87=3,$G87=2),IF(OR(AND(GD$4&gt;=$AD$119,$C87=2),AND(GD$4&gt;=$AF$119,$C87=1)),0,IF(GH87&lt;=60,GN87,60/GF$4*GF$7)),IF(AND($F87=2,$G87=1),GN87,0)))))</f>
        <v>0</v>
      </c>
      <c r="GQ87" s="57" t="str">
        <f t="shared" si="563"/>
        <v/>
      </c>
      <c r="GR87" s="57" t="str">
        <f t="shared" si="564"/>
        <v/>
      </c>
      <c r="GS87" s="713">
        <f>'org. Düngung 22'!BD86</f>
        <v>0</v>
      </c>
      <c r="GT87" s="57"/>
      <c r="GU87" s="57"/>
      <c r="GV87" s="57">
        <f t="shared" si="565"/>
        <v>0</v>
      </c>
      <c r="GW87" s="57">
        <f t="shared" si="741"/>
        <v>0</v>
      </c>
      <c r="GX87" s="57">
        <f t="shared" si="742"/>
        <v>0</v>
      </c>
      <c r="GY87" s="57">
        <f t="shared" si="743"/>
        <v>0</v>
      </c>
      <c r="GZ87" s="57">
        <f t="shared" si="744"/>
        <v>0</v>
      </c>
      <c r="HA87" s="1029">
        <f t="shared" si="566"/>
        <v>0</v>
      </c>
      <c r="HB87" s="57">
        <f t="shared" si="567"/>
        <v>0</v>
      </c>
      <c r="HC87" s="171" t="str">
        <f t="shared" si="568"/>
        <v/>
      </c>
      <c r="HD87" s="57">
        <f t="shared" si="745"/>
        <v>0</v>
      </c>
      <c r="HE87" s="57">
        <f>IF(OR(AND(GS$6=1,$L87=0),AND(GS$6=2,$K87=2,$G87=1)),0,IF(AND(GU$9=2,(OR($F87&gt;1,$K87=1,AND($L87=80,OR($N87=1,AND($N87=2,'#BerechnungDBE'!$AL78&gt;0)))))),IF(GS$4&gt;=$AD$126,0,HC87),IF(GU$9=3,IF(OR(GS$4&gt;=$AD$127,AND($G87=1,$J87=2,GS$6=2),AND(GS$6=1,$N87&lt;&gt;1)),0,IF(GW87&lt;=120,HC87,IF(GS$4&lt;$AD$124,IF($F87=1,60/GU$4*GU$6,60/GU$4*GU$7),IF($F87=1,120/GU$4*GU$6,120/GU$4*GU$7)))),IF(OR($F87=3,$G87=2),IF(OR(AND(GS$4&gt;=$AD$119,$C87=2),AND(GS$4&gt;=$AF$119,$C87=1)),0,IF(GW87&lt;=60,HC87,60/GU$4*GU$7)),IF(AND($F87=2,$G87=1),HC87,0)))))</f>
        <v>0</v>
      </c>
      <c r="HF87" s="57" t="str">
        <f t="shared" si="569"/>
        <v/>
      </c>
      <c r="HG87" s="57" t="str">
        <f t="shared" si="570"/>
        <v/>
      </c>
      <c r="HH87" s="713">
        <f>'org. Düngung 22'!BH86</f>
        <v>0</v>
      </c>
      <c r="HI87" s="57"/>
      <c r="HJ87" s="57"/>
      <c r="HK87" s="57">
        <f t="shared" si="571"/>
        <v>0</v>
      </c>
      <c r="HL87" s="57">
        <f t="shared" si="746"/>
        <v>0</v>
      </c>
      <c r="HM87" s="57">
        <f t="shared" si="747"/>
        <v>0</v>
      </c>
      <c r="HN87" s="57">
        <f t="shared" si="748"/>
        <v>0</v>
      </c>
      <c r="HO87" s="57">
        <f t="shared" si="749"/>
        <v>0</v>
      </c>
      <c r="HP87" s="1029">
        <f t="shared" si="572"/>
        <v>0</v>
      </c>
      <c r="HQ87" s="57">
        <f t="shared" si="573"/>
        <v>0</v>
      </c>
      <c r="HR87" s="171" t="str">
        <f t="shared" si="574"/>
        <v/>
      </c>
      <c r="HS87" s="57">
        <f t="shared" si="750"/>
        <v>0</v>
      </c>
      <c r="HT87" s="57">
        <f>IF(OR(AND(HH$6=1,$L87=0),AND(HH$6=2,$K87=2,$G87=1)),0,IF(AND(HJ$9=2,(OR($F87&gt;1,$K87=1,AND($L87=80,OR($N87=1,AND($N87=2,'#BerechnungDBE'!$AL78&gt;0)))))),IF(HH$4&gt;=$AD$126,0,HR87),IF(HJ$9=3,IF(OR(HH$4&gt;=$AD$127,AND($G87=1,$J87=2,HH$6=2),AND(HH$6=1,$N87&lt;&gt;1)),0,IF(HL87&lt;=120,HR87,IF(HH$4&lt;$AD$124,IF($F87=1,60/HJ$4*HJ$6,60/HJ$4*HJ$7),IF($F87=1,120/HJ$4*HJ$6,120/HJ$4*HJ$7)))),IF(OR($F87=3,$G87=2),IF(OR(AND(HH$4&gt;=$AD$119,$C87=2),AND(HH$4&gt;=$AF$119,$C87=1)),0,IF(HL87&lt;=60,HR87,60/HJ$4*HJ$7)),IF(AND($F87=2,$G87=1),HR87,0)))))</f>
        <v>0</v>
      </c>
      <c r="HU87" s="57" t="str">
        <f t="shared" si="575"/>
        <v/>
      </c>
      <c r="HV87" s="57" t="str">
        <f t="shared" si="576"/>
        <v/>
      </c>
      <c r="HW87" s="713">
        <f>'org. Düngung 22'!BL86</f>
        <v>0</v>
      </c>
      <c r="HX87" s="57"/>
      <c r="HY87" s="57"/>
      <c r="HZ87" s="57">
        <f t="shared" si="577"/>
        <v>0</v>
      </c>
      <c r="IA87" s="57">
        <f t="shared" si="751"/>
        <v>0</v>
      </c>
      <c r="IB87" s="57">
        <f t="shared" si="752"/>
        <v>0</v>
      </c>
      <c r="IC87" s="57">
        <f t="shared" si="753"/>
        <v>0</v>
      </c>
      <c r="ID87" s="57">
        <f t="shared" si="754"/>
        <v>0</v>
      </c>
      <c r="IE87" s="1029">
        <f t="shared" si="578"/>
        <v>0</v>
      </c>
      <c r="IF87" s="57">
        <f t="shared" si="579"/>
        <v>0</v>
      </c>
      <c r="IG87" s="171" t="str">
        <f t="shared" si="580"/>
        <v/>
      </c>
      <c r="IH87" s="57">
        <f t="shared" si="755"/>
        <v>0</v>
      </c>
      <c r="II87" s="57">
        <f>IF(OR(AND(HW$6=1,$L87=0),AND(HW$6=2,$K87=2,$G87=1)),0,IF(AND(HY$9=2,(OR($F87&gt;1,$K87=1,AND($L87=80,OR($N87=1,AND($N87=2,'#BerechnungDBE'!$AL78&gt;0)))))),IF(HW$4&gt;=$AD$126,0,IG87),IF(HY$9=3,IF(OR(HW$4&gt;=$AD$127,AND($G87=1,$J87=2,HW$6=2),AND(HW$6=1,$N87&lt;&gt;1)),0,IF(IA87&lt;=120,IG87,IF(HW$4&lt;$AD$124,IF($F87=1,60/HY$4*HY$6,60/HY$4*HY$7),IF($F87=1,120/HY$4*HY$6,120/HY$4*HY$7)))),IF(OR($F87=3,$G87=2),IF(OR(AND(HW$4&gt;=$AD$119,$C87=2),AND(HW$4&gt;=$AF$119,$C87=1)),0,IF(IA87&lt;=60,IG87,60/HY$4*HY$7)),IF(AND($F87=2,$G87=1),IG87,0)))))</f>
        <v>0</v>
      </c>
      <c r="IJ87" s="57" t="str">
        <f t="shared" si="581"/>
        <v/>
      </c>
      <c r="IK87" s="57" t="str">
        <f t="shared" si="582"/>
        <v/>
      </c>
      <c r="IL87" s="713">
        <f>'org. Düngung 22'!BP86</f>
        <v>0</v>
      </c>
      <c r="IM87" s="57"/>
      <c r="IN87" s="57"/>
      <c r="IO87" s="57">
        <f t="shared" si="583"/>
        <v>0</v>
      </c>
      <c r="IP87" s="57">
        <f t="shared" si="756"/>
        <v>0</v>
      </c>
      <c r="IQ87" s="57">
        <f t="shared" si="757"/>
        <v>0</v>
      </c>
      <c r="IR87" s="57">
        <f t="shared" si="758"/>
        <v>0</v>
      </c>
      <c r="IS87" s="57">
        <f t="shared" si="759"/>
        <v>0</v>
      </c>
      <c r="IT87" s="1029">
        <f t="shared" si="584"/>
        <v>0</v>
      </c>
      <c r="IU87" s="57">
        <f t="shared" si="585"/>
        <v>0</v>
      </c>
      <c r="IV87" s="171" t="str">
        <f t="shared" si="586"/>
        <v/>
      </c>
      <c r="IW87" s="57">
        <f t="shared" si="760"/>
        <v>0</v>
      </c>
      <c r="IX87" s="57">
        <f>IF(OR(AND(IL$6=1,$L87=0),AND(IL$6=2,$K87=2,$G87=1)),0,IF(AND(IN$9=2,(OR($F87&gt;1,$K87=1,AND($L87=80,OR($N87=1,AND($N87=2,'#BerechnungDBE'!$AL78&gt;0)))))),IF(IL$4&gt;=$AD$126,0,IV87),IF(IN$9=3,IF(OR(IL$4&gt;=$AD$127,AND($G87=1,$J87=2,IL$6=2),AND(IL$6=1,$N87&lt;&gt;1)),0,IF(IP87&lt;=120,IV87,IF(IL$4&lt;$AD$124,IF($F87=1,60/IN$4*IN$6,60/IN$4*IN$7),IF($F87=1,120/IN$4*IN$6,120/IN$4*IN$7)))),IF(OR($F87=3,$G87=2),IF(OR(AND(IL$4&gt;=$AD$119,$C87=2),AND(IL$4&gt;=$AF$119,$C87=1)),0,IF(IP87&lt;=60,IV87,60/IN$4*IN$7)),IF(AND($F87=2,$G87=1),IV87,0)))))</f>
        <v>0</v>
      </c>
      <c r="IY87" s="57" t="str">
        <f t="shared" si="587"/>
        <v/>
      </c>
      <c r="IZ87" s="57" t="str">
        <f t="shared" si="588"/>
        <v/>
      </c>
      <c r="JA87" s="713">
        <f>'org. Düngung 22'!BT86</f>
        <v>0</v>
      </c>
      <c r="JB87" s="57"/>
      <c r="JC87" s="57"/>
      <c r="JD87" s="57">
        <f t="shared" si="589"/>
        <v>0</v>
      </c>
      <c r="JE87" s="57">
        <f t="shared" si="761"/>
        <v>0</v>
      </c>
      <c r="JF87" s="57">
        <f t="shared" si="762"/>
        <v>0</v>
      </c>
      <c r="JG87" s="57">
        <f t="shared" si="763"/>
        <v>0</v>
      </c>
      <c r="JH87" s="57">
        <f t="shared" si="764"/>
        <v>0</v>
      </c>
      <c r="JI87" s="1029">
        <f t="shared" si="590"/>
        <v>0</v>
      </c>
      <c r="JJ87" s="57">
        <f t="shared" si="591"/>
        <v>0</v>
      </c>
      <c r="JK87" s="171" t="str">
        <f t="shared" si="592"/>
        <v/>
      </c>
      <c r="JL87" s="57">
        <f t="shared" si="765"/>
        <v>0</v>
      </c>
      <c r="JM87" s="57">
        <f>IF(OR(AND(JA$6=1,$L87=0),AND(JA$6=2,$K87=2,$G87=1)),0,IF(AND(JC$9=2,(OR($F87&gt;1,$K87=1,AND($L87=80,OR($N87=1,AND($N87=2,'#BerechnungDBE'!$AL78&gt;0)))))),IF(JA$4&gt;=$AD$126,0,JK87),IF(JC$9=3,IF(OR(JA$4&gt;=$AD$127,AND($G87=1,$J87=2,JA$6=2),AND(JA$6=1,$N87&lt;&gt;1)),0,IF(JE87&lt;=120,JK87,IF(JA$4&lt;$AD$124,IF($F87=1,60/JC$4*JC$6,60/JC$4*JC$7),IF($F87=1,120/JC$4*JC$6,120/JC$4*JC$7)))),IF(OR($F87=3,$G87=2),IF(OR(AND(JA$4&gt;=$AD$119,$C87=2),AND(JA$4&gt;=$AF$119,$C87=1)),0,IF(JE87&lt;=60,JK87,60/JC$4*JC$7)),IF(AND($F87=2,$G87=1),JK87,0)))))</f>
        <v>0</v>
      </c>
      <c r="JN87" s="57" t="str">
        <f t="shared" si="593"/>
        <v/>
      </c>
      <c r="JO87" s="57" t="str">
        <f t="shared" si="594"/>
        <v/>
      </c>
      <c r="JP87" s="713">
        <f>'org. Düngung 22'!BX86</f>
        <v>0</v>
      </c>
      <c r="JQ87" s="57"/>
      <c r="JR87" s="57"/>
      <c r="JS87" s="57">
        <f t="shared" si="595"/>
        <v>0</v>
      </c>
      <c r="JT87" s="57">
        <f t="shared" si="766"/>
        <v>0</v>
      </c>
      <c r="JU87" s="57">
        <f t="shared" si="767"/>
        <v>0</v>
      </c>
      <c r="JV87" s="57">
        <f t="shared" si="768"/>
        <v>0</v>
      </c>
      <c r="JW87" s="57">
        <f t="shared" si="769"/>
        <v>0</v>
      </c>
      <c r="JX87" s="1029">
        <f t="shared" si="596"/>
        <v>0</v>
      </c>
      <c r="JY87" s="57">
        <f t="shared" si="597"/>
        <v>0</v>
      </c>
      <c r="JZ87" s="171" t="str">
        <f t="shared" si="598"/>
        <v/>
      </c>
      <c r="KA87" s="57">
        <f t="shared" si="770"/>
        <v>0</v>
      </c>
      <c r="KB87" s="57">
        <f>IF(OR(AND(JP$6=1,$L87=0),AND(JP$6=2,$K87=2,$G87=1)),0,IF(AND(JR$9=2,(OR($F87&gt;1,$K87=1,AND($L87=80,OR($N87=1,AND($N87=2,'#BerechnungDBE'!$AL78&gt;0)))))),IF(JP$4&gt;=$AD$126,0,JZ87),IF(JR$9=3,IF(OR(JP$4&gt;=$AD$127,AND($G87=1,$J87=2,JP$6=2),AND(JP$6=1,$N87&lt;&gt;1)),0,IF(JT87&lt;=120,JZ87,IF(JP$4&lt;$AD$124,IF($F87=1,60/JR$4*JR$6,60/JR$4*JR$7),IF($F87=1,120/JR$4*JR$6,120/JR$4*JR$7)))),IF(OR($F87=3,$G87=2),IF(OR(AND(JP$4&gt;=$AD$119,$C87=2),AND(JP$4&gt;=$AF$119,$C87=1)),0,IF(JT87&lt;=60,JZ87,60/JR$4*JR$7)),IF(AND($F87=2,$G87=1),JZ87,0)))))</f>
        <v>0</v>
      </c>
      <c r="KC87" s="57" t="str">
        <f t="shared" si="599"/>
        <v/>
      </c>
      <c r="KD87" s="57" t="str">
        <f t="shared" si="600"/>
        <v/>
      </c>
      <c r="KE87" s="713">
        <f>'org. Düngung 22'!CB86</f>
        <v>0</v>
      </c>
      <c r="KF87" s="57"/>
      <c r="KG87" s="57"/>
      <c r="KH87" s="57">
        <f t="shared" si="601"/>
        <v>0</v>
      </c>
      <c r="KI87" s="57">
        <f t="shared" si="771"/>
        <v>0</v>
      </c>
      <c r="KJ87" s="57">
        <f t="shared" si="772"/>
        <v>0</v>
      </c>
      <c r="KK87" s="57">
        <f t="shared" si="773"/>
        <v>0</v>
      </c>
      <c r="KL87" s="57">
        <f t="shared" si="774"/>
        <v>0</v>
      </c>
      <c r="KM87" s="1029">
        <f t="shared" si="602"/>
        <v>0</v>
      </c>
      <c r="KN87" s="57">
        <f t="shared" si="603"/>
        <v>0</v>
      </c>
      <c r="KO87" s="171" t="str">
        <f t="shared" si="604"/>
        <v/>
      </c>
      <c r="KP87" s="57">
        <f t="shared" si="775"/>
        <v>0</v>
      </c>
      <c r="KQ87" s="57">
        <f>IF(OR(AND(KE$6=1,$L87=0),AND(KE$6=2,$K87=2,$G87=1)),0,IF(AND(KG$9=2,(OR($F87&gt;1,$K87=1,AND($L87=80,OR($N87=1,AND($N87=2,'#BerechnungDBE'!$AL78&gt;0)))))),IF(KE$4&gt;=$AD$126,0,KO87),IF(KG$9=3,IF(OR(KE$4&gt;=$AD$127,AND($G87=1,$J87=2,KE$6=2),AND(KE$6=1,$N87&lt;&gt;1)),0,IF(KI87&lt;=120,KO87,IF(KE$4&lt;$AD$124,IF($F87=1,60/KG$4*KG$6,60/KG$4*KG$7),IF($F87=1,120/KG$4*KG$6,120/KG$4*KG$7)))),IF(OR($F87=3,$G87=2),IF(OR(AND(KE$4&gt;=$AD$119,$C87=2),AND(KE$4&gt;=$AF$119,$C87=1)),0,IF(KI87&lt;=60,KO87,60/KG$4*KG$7)),IF(AND($F87=2,$G87=1),KO87,0)))))</f>
        <v>0</v>
      </c>
      <c r="KR87" s="57" t="str">
        <f t="shared" si="605"/>
        <v/>
      </c>
      <c r="KS87" s="57" t="str">
        <f t="shared" si="606"/>
        <v/>
      </c>
      <c r="KT87" s="713">
        <f>'org. Düngung 22'!CF86</f>
        <v>0</v>
      </c>
      <c r="KU87" s="57"/>
      <c r="KV87" s="57"/>
      <c r="KW87" s="57">
        <f t="shared" si="607"/>
        <v>0</v>
      </c>
      <c r="KX87" s="57">
        <f t="shared" si="776"/>
        <v>0</v>
      </c>
      <c r="KY87" s="57">
        <f t="shared" si="777"/>
        <v>0</v>
      </c>
      <c r="KZ87" s="57">
        <f t="shared" si="778"/>
        <v>0</v>
      </c>
      <c r="LA87" s="57">
        <f t="shared" si="779"/>
        <v>0</v>
      </c>
      <c r="LB87" s="1029">
        <f t="shared" si="608"/>
        <v>0</v>
      </c>
      <c r="LC87" s="57">
        <f t="shared" si="609"/>
        <v>0</v>
      </c>
      <c r="LD87" s="171" t="str">
        <f t="shared" si="610"/>
        <v/>
      </c>
      <c r="LE87" s="57">
        <f t="shared" si="780"/>
        <v>0</v>
      </c>
      <c r="LF87" s="57">
        <f>IF(OR(AND(KT$6=1,$L87=0),AND(KT$6=2,$K87=2,$G87=1)),0,IF(AND(KV$9=2,(OR($F87&gt;1,$K87=1,AND($L87=80,OR($N87=1,AND($N87=2,'#BerechnungDBE'!$AL78&gt;0)))))),IF(KT$4&gt;=$AD$126,0,LD87),IF(KV$9=3,IF(OR(KT$4&gt;=$AD$127,AND($G87=1,$J87=2,KT$6=2),AND(KT$6=1,$N87&lt;&gt;1)),0,IF(KX87&lt;=120,LD87,IF(KT$4&lt;$AD$124,IF($F87=1,60/KV$4*KV$6,60/KV$4*KV$7),IF($F87=1,120/KV$4*KV$6,120/KV$4*KV$7)))),IF(OR($F87=3,$G87=2),IF(OR(AND(KT$4&gt;=$AD$119,$C87=2),AND(KT$4&gt;=$AF$119,$C87=1)),0,IF(KX87&lt;=60,LD87,60/KV$4*KV$7)),IF(AND($F87=2,$G87=1),LD87,0)))))</f>
        <v>0</v>
      </c>
      <c r="LG87" s="57" t="str">
        <f t="shared" si="611"/>
        <v/>
      </c>
      <c r="LH87" s="57" t="str">
        <f t="shared" si="612"/>
        <v/>
      </c>
      <c r="LI87" s="713">
        <f>'org. Düngung 22'!CJ86</f>
        <v>0</v>
      </c>
      <c r="LJ87" s="57"/>
      <c r="LK87" s="57"/>
      <c r="LL87" s="57">
        <f t="shared" si="613"/>
        <v>0</v>
      </c>
      <c r="LM87" s="57">
        <f t="shared" si="781"/>
        <v>0</v>
      </c>
      <c r="LN87" s="57">
        <f t="shared" si="782"/>
        <v>0</v>
      </c>
      <c r="LO87" s="57">
        <f t="shared" si="783"/>
        <v>0</v>
      </c>
      <c r="LP87" s="57">
        <f t="shared" si="784"/>
        <v>0</v>
      </c>
      <c r="LQ87" s="1029">
        <f t="shared" si="614"/>
        <v>0</v>
      </c>
      <c r="LR87" s="57">
        <f t="shared" si="615"/>
        <v>0</v>
      </c>
      <c r="LS87" s="171" t="str">
        <f t="shared" si="616"/>
        <v/>
      </c>
      <c r="LT87" s="57">
        <f t="shared" si="785"/>
        <v>0</v>
      </c>
      <c r="LU87" s="57">
        <f>IF(OR(AND(LI$6=1,$L87=0),AND(LI$6=2,$K87=2,$G87=1)),0,IF(AND(LK$9=2,(OR($F87&gt;1,$K87=1,AND($L87=80,OR($N87=1,AND($N87=2,'#BerechnungDBE'!$AL78&gt;0)))))),IF(LI$4&gt;=$AD$126,0,LS87),IF(LK$9=3,IF(OR(LI$4&gt;=$AD$127,AND($G87=1,$J87=2,LI$6=2),AND(LI$6=1,$N87&lt;&gt;1)),0,IF(LM87&lt;=120,LS87,IF(LI$4&lt;$AD$124,IF($F87=1,60/LK$4*LK$6,60/LK$4*LK$7),IF($F87=1,120/LK$4*LK$6,120/LK$4*LK$7)))),IF(OR($F87=3,$G87=2),IF(OR(AND(LI$4&gt;=$AD$119,$C87=2),AND(LI$4&gt;=$AF$119,$C87=1)),0,IF(LM87&lt;=60,LS87,60/LK$4*LK$7)),IF(AND($F87=2,$G87=1),LS87,0)))))</f>
        <v>0</v>
      </c>
      <c r="LV87" s="57" t="str">
        <f t="shared" si="617"/>
        <v/>
      </c>
      <c r="LW87" s="57" t="str">
        <f t="shared" si="618"/>
        <v/>
      </c>
      <c r="LX87" s="713">
        <f>'org. Düngung 22'!CN86</f>
        <v>0</v>
      </c>
      <c r="LY87" s="57"/>
      <c r="LZ87" s="57"/>
      <c r="MA87" s="57">
        <f t="shared" si="619"/>
        <v>0</v>
      </c>
      <c r="MB87" s="57">
        <f t="shared" si="786"/>
        <v>0</v>
      </c>
      <c r="MC87" s="57">
        <f t="shared" si="787"/>
        <v>0</v>
      </c>
      <c r="MD87" s="57">
        <f t="shared" si="788"/>
        <v>0</v>
      </c>
      <c r="ME87" s="57">
        <f t="shared" si="789"/>
        <v>0</v>
      </c>
      <c r="MF87" s="1029">
        <f t="shared" si="620"/>
        <v>0</v>
      </c>
      <c r="MG87" s="57">
        <f t="shared" si="621"/>
        <v>0</v>
      </c>
      <c r="MH87" s="171" t="str">
        <f t="shared" si="622"/>
        <v/>
      </c>
      <c r="MI87" s="57">
        <f t="shared" si="790"/>
        <v>0</v>
      </c>
      <c r="MJ87" s="57">
        <f>IF(OR(AND(LX$6=1,$L87=0),AND(LX$6=2,$K87=2,$G87=1)),0,IF(AND(LZ$9=2,(OR($F87&gt;1,$K87=1,AND($L87=80,OR($N87=1,AND($N87=2,'#BerechnungDBE'!$AL78&gt;0)))))),IF(LX$4&gt;=$AD$126,0,MH87),IF(LZ$9=3,IF(OR(LX$4&gt;=$AD$127,AND($G87=1,$J87=2,LX$6=2),AND(LX$6=1,$N87&lt;&gt;1)),0,IF(MB87&lt;=120,MH87,IF(LX$4&lt;$AD$124,IF($F87=1,60/LZ$4*LZ$6,60/LZ$4*LZ$7),IF($F87=1,120/LZ$4*LZ$6,120/LZ$4*LZ$7)))),IF(OR($F87=3,$G87=2),IF(OR(AND(LX$4&gt;=$AD$119,$C87=2),AND(LX$4&gt;=$AF$119,$C87=1)),0,IF(MB87&lt;=60,MH87,60/LZ$4*LZ$7)),IF(AND($F87=2,$G87=1),MH87,0)))))</f>
        <v>0</v>
      </c>
      <c r="MK87" s="57" t="str">
        <f t="shared" si="623"/>
        <v/>
      </c>
      <c r="ML87" s="57" t="str">
        <f t="shared" si="624"/>
        <v/>
      </c>
      <c r="MM87" s="713">
        <f>'org. Düngung 22'!CR86</f>
        <v>0</v>
      </c>
      <c r="MN87" s="57"/>
      <c r="MO87" s="57"/>
      <c r="MP87" s="57">
        <f t="shared" si="625"/>
        <v>0</v>
      </c>
      <c r="MQ87" s="57">
        <f t="shared" si="791"/>
        <v>0</v>
      </c>
      <c r="MR87" s="57">
        <f t="shared" si="792"/>
        <v>0</v>
      </c>
      <c r="MS87" s="57">
        <f t="shared" si="793"/>
        <v>0</v>
      </c>
      <c r="MT87" s="57">
        <f t="shared" si="794"/>
        <v>0</v>
      </c>
      <c r="MU87" s="1029">
        <f t="shared" si="626"/>
        <v>0</v>
      </c>
      <c r="MV87" s="57">
        <f t="shared" si="627"/>
        <v>0</v>
      </c>
      <c r="MW87" s="171" t="str">
        <f t="shared" si="628"/>
        <v/>
      </c>
      <c r="MX87" s="57">
        <f t="shared" si="795"/>
        <v>0</v>
      </c>
      <c r="MY87" s="57">
        <f>IF(OR(AND(MM$6=1,$L87=0),AND(MM$6=2,$K87=2,$G87=1)),0,IF(AND(MO$9=2,(OR($F87&gt;1,$K87=1,AND($L87=80,OR($N87=1,AND($N87=2,'#BerechnungDBE'!$AL78&gt;0)))))),IF(MM$4&gt;=$AD$126,0,MW87),IF(MO$9=3,IF(OR(MM$4&gt;=$AD$127,AND($G87=1,$J87=2,MM$6=2),AND(MM$6=1,$N87&lt;&gt;1)),0,IF(MQ87&lt;=120,MW87,IF(MM$4&lt;$AD$124,IF($F87=1,60/MO$4*MO$6,60/MO$4*MO$7),IF($F87=1,120/MO$4*MO$6,120/MO$4*MO$7)))),IF(OR($F87=3,$G87=2),IF(OR(AND(MM$4&gt;=$AD$119,$C87=2),AND(MM$4&gt;=$AF$119,$C87=1)),0,IF(MQ87&lt;=60,MW87,60/MO$4*MO$7)),IF(AND($F87=2,$G87=1),MW87,0)))))</f>
        <v>0</v>
      </c>
      <c r="MZ87" s="57" t="str">
        <f t="shared" si="629"/>
        <v/>
      </c>
      <c r="NA87" s="57" t="str">
        <f t="shared" si="630"/>
        <v/>
      </c>
      <c r="NB87" s="713">
        <f>'org. Düngung 22'!CV86</f>
        <v>0</v>
      </c>
      <c r="NC87" s="57"/>
      <c r="ND87" s="57"/>
      <c r="NE87" s="57">
        <f t="shared" si="631"/>
        <v>0</v>
      </c>
      <c r="NF87" s="57">
        <f t="shared" si="796"/>
        <v>0</v>
      </c>
      <c r="NG87" s="57">
        <f t="shared" si="797"/>
        <v>0</v>
      </c>
      <c r="NH87" s="57">
        <f t="shared" si="798"/>
        <v>0</v>
      </c>
      <c r="NI87" s="57">
        <f t="shared" si="799"/>
        <v>0</v>
      </c>
      <c r="NJ87" s="1029">
        <f t="shared" si="632"/>
        <v>0</v>
      </c>
      <c r="NK87" s="57">
        <f t="shared" si="633"/>
        <v>0</v>
      </c>
      <c r="NL87" s="171" t="str">
        <f t="shared" si="634"/>
        <v/>
      </c>
      <c r="NM87" s="57">
        <f t="shared" si="800"/>
        <v>0</v>
      </c>
      <c r="NN87" s="57">
        <f>IF(OR(AND(NB$6=1,$L87=0),AND(NB$6=2,$K87=2,$G87=1)),0,IF(AND(ND$9=2,(OR($F87&gt;1,$K87=1,AND($L87=80,OR($N87=1,AND($N87=2,'#BerechnungDBE'!$AL78&gt;0)))))),IF(NB$4&gt;=$AD$126,0,NL87),IF(ND$9=3,IF(OR(NB$4&gt;=$AD$127,AND($G87=1,$J87=2,NB$6=2),AND(NB$6=1,$N87&lt;&gt;1)),0,IF(NF87&lt;=120,NL87,IF(NB$4&lt;$AD$124,IF($F87=1,60/ND$4*ND$6,60/ND$4*ND$7),IF($F87=1,120/ND$4*ND$6,120/ND$4*ND$7)))),IF(OR($F87=3,$G87=2),IF(OR(AND(NB$4&gt;=$AD$119,$C87=2),AND(NB$4&gt;=$AF$119,$C87=1)),0,IF(NF87&lt;=60,NL87,60/ND$4*ND$7)),IF(AND($F87=2,$G87=1),NL87,0)))))</f>
        <v>0</v>
      </c>
      <c r="NO87" s="57" t="str">
        <f t="shared" si="635"/>
        <v/>
      </c>
      <c r="NP87" s="57" t="str">
        <f t="shared" si="636"/>
        <v/>
      </c>
      <c r="NQ87" s="713">
        <f>'org. Düngung 22'!CZ86</f>
        <v>0</v>
      </c>
      <c r="NR87" s="57"/>
      <c r="NS87" s="57"/>
      <c r="NT87" s="57">
        <f t="shared" si="637"/>
        <v>0</v>
      </c>
      <c r="NU87" s="57">
        <f t="shared" si="801"/>
        <v>0</v>
      </c>
      <c r="NV87" s="57">
        <f t="shared" si="802"/>
        <v>0</v>
      </c>
      <c r="NW87" s="57">
        <f t="shared" si="803"/>
        <v>0</v>
      </c>
      <c r="NX87" s="57">
        <f t="shared" si="804"/>
        <v>0</v>
      </c>
      <c r="NY87" s="1029">
        <f t="shared" si="638"/>
        <v>0</v>
      </c>
      <c r="NZ87" s="57">
        <f t="shared" si="639"/>
        <v>0</v>
      </c>
      <c r="OA87" s="171" t="str">
        <f t="shared" si="640"/>
        <v/>
      </c>
      <c r="OB87" s="57">
        <f t="shared" si="805"/>
        <v>0</v>
      </c>
      <c r="OC87" s="57">
        <f>IF(OR(AND(NQ$6=1,$L87=0),AND(NQ$6=2,$K87=2,$G87=1)),0,IF(AND(NS$9=2,(OR($F87&gt;1,$K87=1,AND($L87=80,OR($N87=1,AND($N87=2,'#BerechnungDBE'!$AL78&gt;0)))))),IF(NQ$4&gt;=$AD$126,0,OA87),IF(NS$9=3,IF(OR(NQ$4&gt;=$AD$127,AND($G87=1,$J87=2,NQ$6=2),AND(NQ$6=1,$N87&lt;&gt;1)),0,IF(NU87&lt;=120,OA87,IF(NQ$4&lt;$AD$124,IF($F87=1,60/NS$4*NS$6,60/NS$4*NS$7),IF($F87=1,120/NS$4*NS$6,120/NS$4*NS$7)))),IF(OR($F87=3,$G87=2),IF(OR(AND(NQ$4&gt;=$AD$119,$C87=2),AND(NQ$4&gt;=$AF$119,$C87=1)),0,IF(NU87&lt;=60,OA87,60/NS$4*NS$7)),IF(AND($F87=2,$G87=1),OA87,0)))))</f>
        <v>0</v>
      </c>
      <c r="OD87" s="57" t="str">
        <f t="shared" si="641"/>
        <v/>
      </c>
      <c r="OE87" s="57" t="str">
        <f t="shared" si="642"/>
        <v/>
      </c>
      <c r="OF87" s="713">
        <f>'org. Düngung 22'!DD86</f>
        <v>0</v>
      </c>
      <c r="OG87" s="57"/>
      <c r="OH87" s="57"/>
      <c r="OI87" s="57">
        <f t="shared" si="643"/>
        <v>0</v>
      </c>
      <c r="OJ87" s="57">
        <f t="shared" si="806"/>
        <v>0</v>
      </c>
      <c r="OK87" s="57">
        <f t="shared" si="807"/>
        <v>0</v>
      </c>
      <c r="OL87" s="57">
        <f t="shared" si="808"/>
        <v>0</v>
      </c>
      <c r="OM87" s="57">
        <f t="shared" si="809"/>
        <v>0</v>
      </c>
      <c r="ON87" s="1029">
        <f t="shared" si="644"/>
        <v>0</v>
      </c>
      <c r="OO87" s="57">
        <f t="shared" si="645"/>
        <v>0</v>
      </c>
      <c r="OP87" s="171" t="str">
        <f t="shared" si="646"/>
        <v/>
      </c>
      <c r="OQ87" s="57">
        <f t="shared" si="810"/>
        <v>0</v>
      </c>
      <c r="OR87" s="57">
        <f>IF(OR(AND(OF$6=1,$L87=0),AND(OF$6=2,$K87=2,$G87=1)),0,IF(AND(OH$9=2,(OR($F87&gt;1,$K87=1,AND($L87=80,OR($N87=1,AND($N87=2,'#BerechnungDBE'!$AL78&gt;0)))))),IF(OF$4&gt;=$AD$126,0,OP87),IF(OH$9=3,IF(OR(OF$4&gt;=$AD$127,AND($G87=1,$J87=2,OF$6=2),AND(OF$6=1,$N87&lt;&gt;1)),0,IF(OJ87&lt;=120,OP87,IF(OF$4&lt;$AD$124,IF($F87=1,60/OH$4*OH$6,60/OH$4*OH$7),IF($F87=1,120/OH$4*OH$6,120/OH$4*OH$7)))),IF(OR($F87=3,$G87=2),IF(OR(AND(OF$4&gt;=$AD$119,$C87=2),AND(OF$4&gt;=$AF$119,$C87=1)),0,IF(OJ87&lt;=60,OP87,60/OH$4*OH$7)),IF(AND($F87=2,$G87=1),OP87,0)))))</f>
        <v>0</v>
      </c>
      <c r="OS87" s="57" t="str">
        <f t="shared" si="647"/>
        <v/>
      </c>
      <c r="OT87" s="57" t="str">
        <f t="shared" si="648"/>
        <v/>
      </c>
      <c r="OU87" s="713">
        <f>'org. Düngung 22'!DH86</f>
        <v>0</v>
      </c>
      <c r="OV87" s="57"/>
      <c r="OW87" s="57"/>
      <c r="OX87" s="57">
        <f t="shared" si="649"/>
        <v>0</v>
      </c>
      <c r="OY87" s="57">
        <f t="shared" si="811"/>
        <v>0</v>
      </c>
      <c r="OZ87" s="57">
        <f t="shared" si="812"/>
        <v>0</v>
      </c>
      <c r="PA87" s="57">
        <f t="shared" si="813"/>
        <v>0</v>
      </c>
      <c r="PB87" s="57">
        <f t="shared" si="814"/>
        <v>0</v>
      </c>
      <c r="PC87" s="1029">
        <f t="shared" si="650"/>
        <v>0</v>
      </c>
      <c r="PD87" s="57">
        <f t="shared" si="651"/>
        <v>0</v>
      </c>
      <c r="PE87" s="171" t="str">
        <f t="shared" si="652"/>
        <v/>
      </c>
      <c r="PF87" s="57">
        <f t="shared" si="815"/>
        <v>0</v>
      </c>
      <c r="PG87" s="57">
        <f>IF(OR(AND(OU$6=1,$L87=0),AND(OU$6=2,$K87=2,$G87=1)),0,IF(AND(OW$9=2,(OR($F87&gt;1,$K87=1,AND($L87=80,OR($N87=1,AND($N87=2,'#BerechnungDBE'!$AL78&gt;0)))))),IF(OU$4&gt;=$AD$126,0,PE87),IF(OW$9=3,IF(OR(OU$4&gt;=$AD$127,AND($G87=1,$J87=2,OU$6=2),AND(OU$6=1,$N87&lt;&gt;1)),0,IF(OY87&lt;=120,PE87,IF(OU$4&lt;$AD$124,IF($F87=1,60/OW$4*OW$6,60/OW$4*OW$7),IF($F87=1,120/OW$4*OW$6,120/OW$4*OW$7)))),IF(OR($F87=3,$G87=2),IF(OR(AND(OU$4&gt;=$AD$119,$C87=2),AND(OU$4&gt;=$AF$119,$C87=1)),0,IF(OY87&lt;=60,PE87,60/OW$4*OW$7)),IF(AND($F87=2,$G87=1),PE87,0)))))</f>
        <v>0</v>
      </c>
      <c r="PH87" s="57" t="str">
        <f t="shared" si="653"/>
        <v/>
      </c>
      <c r="PI87" s="57" t="str">
        <f t="shared" si="654"/>
        <v/>
      </c>
      <c r="PJ87" s="713">
        <f>'org. Düngung 22'!DL86</f>
        <v>0</v>
      </c>
      <c r="PK87" s="57"/>
      <c r="PL87" s="57"/>
      <c r="PM87" s="57">
        <f t="shared" si="655"/>
        <v>0</v>
      </c>
      <c r="PN87" s="57">
        <f t="shared" si="816"/>
        <v>0</v>
      </c>
      <c r="PO87" s="57">
        <f t="shared" si="817"/>
        <v>0</v>
      </c>
      <c r="PP87" s="57">
        <f t="shared" si="818"/>
        <v>0</v>
      </c>
      <c r="PQ87" s="57">
        <f t="shared" si="819"/>
        <v>0</v>
      </c>
      <c r="PR87" s="1029">
        <f t="shared" si="656"/>
        <v>0</v>
      </c>
      <c r="PS87" s="57">
        <f t="shared" si="657"/>
        <v>0</v>
      </c>
      <c r="PT87" s="171" t="str">
        <f t="shared" si="658"/>
        <v/>
      </c>
      <c r="PU87" s="57">
        <f t="shared" si="820"/>
        <v>0</v>
      </c>
      <c r="PV87" s="57">
        <f>IF(OR(AND(PJ$6=1,$L87=0),AND(PJ$6=2,$K87=2,$G87=1)),0,IF(AND(PL$9=2,(OR($F87&gt;1,$K87=1,AND($L87=80,OR($N87=1,AND($N87=2,'#BerechnungDBE'!$AL78&gt;0)))))),IF(PJ$4&gt;=$AD$126,0,PT87),IF(PL$9=3,IF(OR(PJ$4&gt;=$AD$127,AND($G87=1,$J87=2,PJ$6=2),AND(PJ$6=1,$N87&lt;&gt;1)),0,IF(PN87&lt;=120,PT87,IF(PJ$4&lt;$AD$124,IF($F87=1,60/PL$4*PL$6,60/PL$4*PL$7),IF($F87=1,120/PL$4*PL$6,120/PL$4*PL$7)))),IF(OR($F87=3,$G87=2),IF(OR(AND(PJ$4&gt;=$AD$119,$C87=2),AND(PJ$4&gt;=$AF$119,$C87=1)),0,IF(PN87&lt;=60,PT87,60/PL$4*PL$7)),IF(AND($F87=2,$G87=1),PT87,0)))))</f>
        <v>0</v>
      </c>
      <c r="PW87" s="57" t="str">
        <f t="shared" si="659"/>
        <v/>
      </c>
      <c r="PX87" s="57" t="str">
        <f t="shared" si="660"/>
        <v/>
      </c>
      <c r="PY87" s="713">
        <f>'org. Düngung 22'!DP86</f>
        <v>0</v>
      </c>
      <c r="PZ87" s="57"/>
      <c r="QA87" s="57"/>
      <c r="QB87" s="57">
        <f t="shared" si="661"/>
        <v>0</v>
      </c>
      <c r="QC87" s="57">
        <f t="shared" si="821"/>
        <v>0</v>
      </c>
      <c r="QD87" s="57">
        <f t="shared" si="822"/>
        <v>0</v>
      </c>
      <c r="QE87" s="57">
        <f t="shared" si="823"/>
        <v>0</v>
      </c>
      <c r="QF87" s="57">
        <f t="shared" si="824"/>
        <v>0</v>
      </c>
      <c r="QG87" s="1029">
        <f t="shared" si="662"/>
        <v>0</v>
      </c>
      <c r="QH87" s="57">
        <f t="shared" si="663"/>
        <v>0</v>
      </c>
      <c r="QI87" s="171" t="str">
        <f t="shared" si="664"/>
        <v/>
      </c>
      <c r="QJ87" s="57">
        <f t="shared" si="825"/>
        <v>0</v>
      </c>
      <c r="QK87" s="57">
        <f>IF(OR(AND(PY$6=1,$L87=0),AND(PY$6=2,$K87=2,$G87=1)),0,IF(AND(QA$9=2,(OR($F87&gt;1,$K87=1,AND($L87=80,OR($N87=1,AND($N87=2,'#BerechnungDBE'!$AL78&gt;0)))))),IF(PY$4&gt;=$AD$126,0,QI87),IF(QA$9=3,IF(OR(PY$4&gt;=$AD$127,AND($G87=1,$J87=2,PY$6=2),AND(PY$6=1,$N87&lt;&gt;1)),0,IF(QC87&lt;=120,QI87,IF(PY$4&lt;$AD$124,IF($F87=1,60/QA$4*QA$6,60/QA$4*QA$7),IF($F87=1,120/QA$4*QA$6,120/QA$4*QA$7)))),IF(OR($F87=3,$G87=2),IF(OR(AND(PY$4&gt;=$AD$119,$C87=2),AND(PY$4&gt;=$AF$119,$C87=1)),0,IF(QC87&lt;=60,QI87,60/QA$4*QA$7)),IF(AND($F87=2,$G87=1),QI87,0)))))</f>
        <v>0</v>
      </c>
      <c r="QL87" s="57" t="str">
        <f t="shared" si="665"/>
        <v/>
      </c>
      <c r="QM87" s="57" t="str">
        <f t="shared" si="666"/>
        <v/>
      </c>
      <c r="QN87" s="713">
        <f>'org. Düngung 22'!DT86</f>
        <v>0</v>
      </c>
      <c r="QO87" s="57"/>
      <c r="QP87" s="57"/>
      <c r="QQ87" s="57">
        <f t="shared" si="667"/>
        <v>0</v>
      </c>
      <c r="QR87" s="57">
        <f t="shared" si="826"/>
        <v>0</v>
      </c>
      <c r="QS87" s="57">
        <f t="shared" si="827"/>
        <v>0</v>
      </c>
      <c r="QT87" s="57">
        <f t="shared" si="828"/>
        <v>0</v>
      </c>
      <c r="QU87" s="57">
        <f t="shared" si="829"/>
        <v>0</v>
      </c>
      <c r="QV87" s="1029">
        <f t="shared" si="668"/>
        <v>0</v>
      </c>
      <c r="QW87" s="57">
        <f t="shared" si="669"/>
        <v>0</v>
      </c>
      <c r="QX87" s="171" t="str">
        <f t="shared" si="670"/>
        <v/>
      </c>
      <c r="QY87" s="57">
        <f t="shared" si="830"/>
        <v>0</v>
      </c>
      <c r="QZ87" s="57">
        <f>IF(OR(AND(QN$6=1,$L87=0),AND(QN$6=2,$K87=2,$G87=1)),0,IF(AND(QP$9=2,(OR($F87&gt;1,$K87=1,AND($L87=80,OR($N87=1,AND($N87=2,'#BerechnungDBE'!$AL78&gt;0)))))),IF(QN$4&gt;=$AD$126,0,QX87),IF(QP$9=3,IF(OR(QN$4&gt;=$AD$127,AND($G87=1,$J87=2,QN$6=2),AND(QN$6=1,$N87&lt;&gt;1)),0,IF(QR87&lt;=120,QX87,IF(QN$4&lt;$AD$124,IF($F87=1,60/QP$4*QP$6,60/QP$4*QP$7),IF($F87=1,120/QP$4*QP$6,120/QP$4*QP$7)))),IF(OR($F87=3,$G87=2),IF(OR(AND(QN$4&gt;=$AD$119,$C87=2),AND(QN$4&gt;=$AF$119,$C87=1)),0,IF(QR87&lt;=60,QX87,60/QP$4*QP$7)),IF(AND($F87=2,$G87=1),QX87,0)))))</f>
        <v>0</v>
      </c>
      <c r="RA87" s="57" t="str">
        <f t="shared" si="671"/>
        <v/>
      </c>
      <c r="RB87" s="57" t="str">
        <f t="shared" si="672"/>
        <v/>
      </c>
      <c r="RC87" s="713">
        <f>'org. Düngung 22'!DX86</f>
        <v>0</v>
      </c>
      <c r="RD87" s="57"/>
      <c r="RE87" s="57"/>
      <c r="RF87" s="57">
        <f t="shared" si="673"/>
        <v>0</v>
      </c>
      <c r="RG87" s="57">
        <f t="shared" si="831"/>
        <v>0</v>
      </c>
      <c r="RH87" s="57">
        <f t="shared" si="832"/>
        <v>0</v>
      </c>
      <c r="RI87" s="57">
        <f t="shared" si="833"/>
        <v>0</v>
      </c>
      <c r="RJ87" s="57">
        <f t="shared" si="834"/>
        <v>0</v>
      </c>
      <c r="RK87" s="1029">
        <f t="shared" si="674"/>
        <v>0</v>
      </c>
      <c r="RL87" s="57">
        <f t="shared" si="675"/>
        <v>0</v>
      </c>
      <c r="RM87" s="171" t="str">
        <f t="shared" si="676"/>
        <v/>
      </c>
      <c r="RN87" s="57">
        <f t="shared" si="835"/>
        <v>0</v>
      </c>
      <c r="RO87" s="57">
        <f>IF(OR(AND(RC$6=1,$L87=0),AND(RC$6=2,$K87=2,$G87=1)),0,IF(AND(RE$9=2,(OR($F87&gt;1,$K87=1,AND($L87=80,OR($N87=1,AND($N87=2,'#BerechnungDBE'!$AL78&gt;0)))))),IF(RC$4&gt;=$AD$126,0,RM87),IF(RE$9=3,IF(OR(RC$4&gt;=$AD$127,AND($G87=1,$J87=2,RC$6=2),AND(RC$6=1,$N87&lt;&gt;1)),0,IF(RG87&lt;=120,RM87,IF(RC$4&lt;$AD$124,IF($F87=1,60/RE$4*RE$6,60/RE$4*RE$7),IF($F87=1,120/RE$4*RE$6,120/RE$4*RE$7)))),IF(OR($F87=3,$G87=2),IF(OR(AND(RC$4&gt;=$AD$119,$C87=2),AND(RC$4&gt;=$AF$119,$C87=1)),0,IF(RG87&lt;=60,RM87,60/RE$4*RE$7)),IF(AND($F87=2,$G87=1),RM87,0)))))</f>
        <v>0</v>
      </c>
      <c r="RP87" s="57" t="str">
        <f t="shared" si="677"/>
        <v/>
      </c>
      <c r="RQ87" s="57" t="str">
        <f t="shared" si="678"/>
        <v/>
      </c>
      <c r="RS87" s="57" t="str">
        <f t="shared" si="836"/>
        <v/>
      </c>
      <c r="RT87" s="57" t="str">
        <f t="shared" si="679"/>
        <v/>
      </c>
      <c r="RU87" s="57" t="str">
        <f t="shared" si="680"/>
        <v/>
      </c>
      <c r="RV87" s="57" t="str">
        <f>IF(Z87&gt;'#BerechnungDBE'!BM78,$RV$9,"")</f>
        <v/>
      </c>
      <c r="RW87" s="57" t="str">
        <f>IF(AND(L87=70,AE87&gt;'#BerechnungDBE'!CQ78),$RW$9,"")</f>
        <v/>
      </c>
      <c r="RX87" s="57" t="str">
        <f>IF(OR('org. Düngung 22'!G86="--",'org. Düngung 22'!G86&lt;=170,'org. Düngung 22'!G86=""),"",$RX$9)</f>
        <v/>
      </c>
      <c r="RY87" s="57" t="str">
        <f>IF('org. Düngung 22'!K86&gt;120,'#orgDung'!$RY$9,"")</f>
        <v/>
      </c>
      <c r="RZ87" s="57" t="str">
        <f>IF('#BerechnungDBE'!P78&lt;4,"",IF(AND('#BerechnungDBE'!BZ78&gt;0,T87&gt;0),'#orgDung'!$RZ$9,""))</f>
        <v/>
      </c>
      <c r="SA87" s="57" t="str">
        <f t="shared" si="681"/>
        <v/>
      </c>
    </row>
    <row r="88" spans="1:495" s="875" customFormat="1" x14ac:dyDescent="0.2">
      <c r="A88" s="875">
        <f>'Flächen u. Kulturen'!A84</f>
        <v>75</v>
      </c>
      <c r="B88" s="367">
        <f>'#BerechnungDBE'!L79</f>
        <v>0</v>
      </c>
      <c r="C88" s="875">
        <f>'#BerechnungDBE'!R79</f>
        <v>1</v>
      </c>
      <c r="D88" s="875">
        <f>'#BerechnungDBE'!T79</f>
        <v>2</v>
      </c>
      <c r="E88" s="875" t="str">
        <f>'Flächen u. Kulturen'!E84</f>
        <v>x</v>
      </c>
      <c r="F88" s="52">
        <f>'#BerechnungDBE'!N79</f>
        <v>1</v>
      </c>
      <c r="G88" s="52">
        <f>'#BerechnungDBE'!O79</f>
        <v>1</v>
      </c>
      <c r="H88" s="875">
        <f>IF('Flächen u. Kulturen'!P84="",0,VLOOKUP('Flächen u. Kulturen'!P84,Kulturen[[HF]:[Berechnungsgruppe]],'#Frucht'!$H$1,FALSE))</f>
        <v>0</v>
      </c>
      <c r="I88" s="875">
        <f>IF('Flächen u. Kulturen'!J84="",0,VLOOKUP('Flächen u. Kulturen'!J84,Kulturen[[HF]:[Berechnungsgruppe]],'#Frucht'!$G$1,FALSE))</f>
        <v>90</v>
      </c>
      <c r="J88" s="505">
        <f t="shared" si="682"/>
        <v>2</v>
      </c>
      <c r="K88" s="505">
        <f>IF('Flächen u. Kulturen'!P84="",0,IF(VLOOKUP('Flächen u. Kulturen'!P84,Kulturen[[HF]:[Saat Winterungen]],'#Frucht'!$P$1,FALSE)&gt;0,1,2))</f>
        <v>2</v>
      </c>
      <c r="L88" s="875">
        <f>'#BerechnungDBE'!AF79</f>
        <v>0</v>
      </c>
      <c r="M88" s="875">
        <f>IF('Flächen u. Kulturen'!L84="",0,VLOOKUP('Flächen u. Kulturen'!L84,Nebenkultur[[Nebenkultur]:[Legum. Zwischenfr.]],'#Zweitfr'!$K$1,FALSE))</f>
        <v>0</v>
      </c>
      <c r="N88" s="875">
        <f>'#BerechnungDBE'!AG79</f>
        <v>0</v>
      </c>
      <c r="P88" s="57">
        <f t="shared" si="489"/>
        <v>0</v>
      </c>
      <c r="Q88" s="57">
        <f t="shared" si="490"/>
        <v>0</v>
      </c>
      <c r="R88" s="875">
        <f t="shared" si="491"/>
        <v>0</v>
      </c>
      <c r="S88" s="938" t="str">
        <f t="shared" si="683"/>
        <v/>
      </c>
      <c r="T88" s="875">
        <f t="shared" si="492"/>
        <v>0</v>
      </c>
      <c r="U88" s="875">
        <f t="shared" si="493"/>
        <v>0</v>
      </c>
      <c r="V88" s="875">
        <f t="shared" si="494"/>
        <v>0</v>
      </c>
      <c r="W88" s="875">
        <f t="shared" si="495"/>
        <v>0</v>
      </c>
      <c r="X88" s="875">
        <f t="shared" si="496"/>
        <v>0</v>
      </c>
      <c r="Y88" s="875">
        <f t="shared" si="837"/>
        <v>0</v>
      </c>
      <c r="Z88" s="875">
        <f t="shared" si="838"/>
        <v>0</v>
      </c>
      <c r="AA88" s="910">
        <f t="shared" si="497"/>
        <v>0</v>
      </c>
      <c r="AB88" s="57">
        <f t="shared" si="839"/>
        <v>0</v>
      </c>
      <c r="AC88" s="875">
        <f t="shared" si="498"/>
        <v>0</v>
      </c>
      <c r="AD88" s="875">
        <f t="shared" si="499"/>
        <v>0</v>
      </c>
      <c r="AE88" s="875">
        <f t="shared" si="500"/>
        <v>0</v>
      </c>
      <c r="AF88" s="875">
        <f t="shared" si="840"/>
        <v>0</v>
      </c>
      <c r="AG88" s="875">
        <f>'org. Düngung 22'!J87</f>
        <v>0</v>
      </c>
      <c r="AH88" s="875">
        <f>'org. Düngung 22'!K87</f>
        <v>0</v>
      </c>
      <c r="AJ88" s="713">
        <f>'org. Düngung 22'!L87</f>
        <v>0</v>
      </c>
      <c r="AK88" s="57"/>
      <c r="AL88" s="57"/>
      <c r="AM88" s="57">
        <f t="shared" si="684"/>
        <v>0</v>
      </c>
      <c r="AN88" s="57">
        <f t="shared" si="685"/>
        <v>0</v>
      </c>
      <c r="AO88" s="57">
        <f t="shared" si="686"/>
        <v>0</v>
      </c>
      <c r="AP88" s="57">
        <f t="shared" si="687"/>
        <v>0</v>
      </c>
      <c r="AQ88" s="57">
        <f t="shared" si="688"/>
        <v>0</v>
      </c>
      <c r="AR88" s="1029">
        <f t="shared" si="501"/>
        <v>0</v>
      </c>
      <c r="AS88" s="57">
        <f t="shared" si="502"/>
        <v>0</v>
      </c>
      <c r="AT88" s="171" t="str">
        <f t="shared" si="503"/>
        <v/>
      </c>
      <c r="AU88" s="57">
        <f t="shared" si="689"/>
        <v>0</v>
      </c>
      <c r="AV88" s="57">
        <f>IF(OR(AND(AJ$6=1,$L88=0),AND(AJ$6=2,$K88=2,$G88=1)),0,IF(AND(AL$9=2,(OR($F88&gt;1,$K88=1,AND($L88=80,OR($N88=1,AND($N88=2,'#BerechnungDBE'!$AL79&gt;0)))))),IF(AJ$4&gt;=$AD$126,0,AT88),IF(AL$9=3,IF(OR(AJ$4&gt;=$AD$127,AND($G88=1,$J88=2,AJ$6=2),AND(AJ$6=1,$N88&lt;&gt;1)),0,IF(AN88&lt;=120,AT88,IF(AJ$4&lt;$AD$124,IF($F88=1,60/AL$4*AL$6,60/AL$4*AL$7),IF($F88=1,120/AL$4*AL$6,120/AL$4*AL$7)))),IF(OR($F88=3,$G88=2),IF(OR(AND(AJ$4&gt;=$AD$119,$C88=2),AND(AJ$4&gt;=$AF$119,$C88=1)),0,IF(AN88&lt;=60,AT88,60/AL$4*AL$7)),IF(AND($F88=2,$G88=1),AT88,0)))))</f>
        <v>0</v>
      </c>
      <c r="AW88" s="57" t="str">
        <f t="shared" si="690"/>
        <v/>
      </c>
      <c r="AX88" s="57" t="str">
        <f t="shared" si="504"/>
        <v/>
      </c>
      <c r="AY88" s="713">
        <f>'org. Düngung 22'!P87</f>
        <v>0</v>
      </c>
      <c r="AZ88" s="57"/>
      <c r="BA88" s="57"/>
      <c r="BB88" s="57">
        <f t="shared" si="505"/>
        <v>0</v>
      </c>
      <c r="BC88" s="57">
        <f t="shared" si="691"/>
        <v>0</v>
      </c>
      <c r="BD88" s="57">
        <f t="shared" si="692"/>
        <v>0</v>
      </c>
      <c r="BE88" s="57">
        <f t="shared" si="693"/>
        <v>0</v>
      </c>
      <c r="BF88" s="57">
        <f t="shared" si="694"/>
        <v>0</v>
      </c>
      <c r="BG88" s="1029">
        <f t="shared" si="506"/>
        <v>0</v>
      </c>
      <c r="BH88" s="57">
        <f t="shared" si="507"/>
        <v>0</v>
      </c>
      <c r="BI88" s="171" t="str">
        <f t="shared" si="508"/>
        <v/>
      </c>
      <c r="BJ88" s="57">
        <f t="shared" si="695"/>
        <v>0</v>
      </c>
      <c r="BK88" s="57">
        <f>IF(OR(AND(AY$6=1,$L88=0),AND(AY$6=2,$K88=2,$G88=1)),0,IF(AND(BA$9=2,(OR($F88&gt;1,$K88=1,AND($L88=80,OR($N88=1,AND($N88=2,'#BerechnungDBE'!$AL79&gt;0)))))),IF(AY$4&gt;=$AD$126,0,BI88),IF(BA$9=3,IF(OR(AY$4&gt;=$AD$127,AND($G88=1,$J88=2,AY$6=2),AND(AY$6=1,$N88&lt;&gt;1)),0,IF(BC88&lt;=120,BI88,IF(AY$4&lt;$AD$124,IF($F88=1,60/BA$4*BA$6,60/BA$4*BA$7),IF($F88=1,120/BA$4*BA$6,120/BA$4*BA$7)))),IF(OR($F88=3,$G88=2),IF(OR(AND(AY$4&gt;=$AD$119,$C88=2),AND(AY$4&gt;=$AF$119,$C88=1)),0,IF(BC88&lt;=60,BI88,60/BA$4*BA$7)),IF(AND($F88=2,$G88=1),BI88,0)))))</f>
        <v>0</v>
      </c>
      <c r="BL88" s="57" t="str">
        <f t="shared" si="509"/>
        <v/>
      </c>
      <c r="BM88" s="57" t="str">
        <f t="shared" si="510"/>
        <v/>
      </c>
      <c r="BN88" s="713">
        <f>'org. Düngung 22'!T87</f>
        <v>0</v>
      </c>
      <c r="BO88" s="57"/>
      <c r="BP88" s="57"/>
      <c r="BQ88" s="57">
        <f t="shared" si="511"/>
        <v>0</v>
      </c>
      <c r="BR88" s="57">
        <f t="shared" si="696"/>
        <v>0</v>
      </c>
      <c r="BS88" s="57">
        <f t="shared" si="697"/>
        <v>0</v>
      </c>
      <c r="BT88" s="57">
        <f t="shared" si="698"/>
        <v>0</v>
      </c>
      <c r="BU88" s="57">
        <f t="shared" si="699"/>
        <v>0</v>
      </c>
      <c r="BV88" s="1029">
        <f t="shared" si="512"/>
        <v>0</v>
      </c>
      <c r="BW88" s="57">
        <f t="shared" si="513"/>
        <v>0</v>
      </c>
      <c r="BX88" s="171" t="str">
        <f t="shared" si="514"/>
        <v/>
      </c>
      <c r="BY88" s="57">
        <f t="shared" si="700"/>
        <v>0</v>
      </c>
      <c r="BZ88" s="57">
        <f>IF(OR(AND(BN$6=1,$L88=0),AND(BN$6=2,$K88=2,$G88=1)),0,IF(AND(BP$9=2,(OR($F88&gt;1,$K88=1,AND($L88=80,OR($N88=1,AND($N88=2,'#BerechnungDBE'!$AL79&gt;0)))))),IF(BN$4&gt;=$AD$126,0,BX88),IF(BP$9=3,IF(OR(BN$4&gt;=$AD$127,AND($G88=1,$J88=2,BN$6=2),AND(BN$6=1,$N88&lt;&gt;1)),0,IF(BR88&lt;=120,BX88,IF(BN$4&lt;$AD$124,IF($F88=1,60/BP$4*BP$6,60/BP$4*BP$7),IF($F88=1,120/BP$4*BP$6,120/BP$4*BP$7)))),IF(OR($F88=3,$G88=2),IF(OR(AND(BN$4&gt;=$AD$119,$C88=2),AND(BN$4&gt;=$AF$119,$C88=1)),0,IF(BR88&lt;=60,BX88,60/BP$4*BP$7)),IF(AND($F88=2,$G88=1),BX88,0)))))</f>
        <v>0</v>
      </c>
      <c r="CA88" s="57" t="str">
        <f t="shared" si="515"/>
        <v/>
      </c>
      <c r="CB88" s="57" t="str">
        <f t="shared" si="516"/>
        <v/>
      </c>
      <c r="CC88" s="713">
        <f>'org. Düngung 22'!X87</f>
        <v>0</v>
      </c>
      <c r="CD88" s="57"/>
      <c r="CE88" s="57"/>
      <c r="CF88" s="57">
        <f t="shared" si="517"/>
        <v>0</v>
      </c>
      <c r="CG88" s="57">
        <f t="shared" si="701"/>
        <v>0</v>
      </c>
      <c r="CH88" s="57">
        <f t="shared" si="702"/>
        <v>0</v>
      </c>
      <c r="CI88" s="57">
        <f t="shared" si="703"/>
        <v>0</v>
      </c>
      <c r="CJ88" s="57">
        <f t="shared" si="704"/>
        <v>0</v>
      </c>
      <c r="CK88" s="1029">
        <f t="shared" si="518"/>
        <v>0</v>
      </c>
      <c r="CL88" s="57">
        <f t="shared" si="519"/>
        <v>0</v>
      </c>
      <c r="CM88" s="171" t="str">
        <f t="shared" si="520"/>
        <v/>
      </c>
      <c r="CN88" s="57">
        <f t="shared" si="705"/>
        <v>0</v>
      </c>
      <c r="CO88" s="57">
        <f>IF(OR(AND(CC$6=1,$L88=0),AND(CC$6=2,$K88=2,$G88=1)),0,IF(AND(CE$9=2,(OR($F88&gt;1,$K88=1,AND($L88=80,OR($N88=1,AND($N88=2,'#BerechnungDBE'!$AL79&gt;0)))))),IF(CC$4&gt;=$AD$126,0,CM88),IF(CE$9=3,IF(OR(CC$4&gt;=$AD$127,AND($G88=1,$J88=2,CC$6=2),AND(CC$6=1,$N88&lt;&gt;1)),0,IF(CG88&lt;=120,CM88,IF(CC$4&lt;$AD$124,IF($F88=1,60/CE$4*CE$6,60/CE$4*CE$7),IF($F88=1,120/CE$4*CE$6,120/CE$4*CE$7)))),IF(OR($F88=3,$G88=2),IF(OR(AND(CC$4&gt;=$AD$119,$C88=2),AND(CC$4&gt;=$AF$119,$C88=1)),0,IF(CG88&lt;=60,CM88,60/CE$4*CE$7)),IF(AND($F88=2,$G88=1),CM88,0)))))</f>
        <v>0</v>
      </c>
      <c r="CP88" s="57" t="str">
        <f t="shared" si="521"/>
        <v/>
      </c>
      <c r="CQ88" s="57" t="str">
        <f t="shared" si="522"/>
        <v/>
      </c>
      <c r="CR88" s="713">
        <f>'org. Düngung 22'!AB87</f>
        <v>0</v>
      </c>
      <c r="CS88" s="57"/>
      <c r="CT88" s="57"/>
      <c r="CU88" s="57">
        <f t="shared" si="523"/>
        <v>0</v>
      </c>
      <c r="CV88" s="57">
        <f t="shared" si="706"/>
        <v>0</v>
      </c>
      <c r="CW88" s="57">
        <f t="shared" si="707"/>
        <v>0</v>
      </c>
      <c r="CX88" s="57">
        <f t="shared" si="708"/>
        <v>0</v>
      </c>
      <c r="CY88" s="57">
        <f t="shared" si="709"/>
        <v>0</v>
      </c>
      <c r="CZ88" s="1029">
        <f t="shared" si="524"/>
        <v>0</v>
      </c>
      <c r="DA88" s="57">
        <f t="shared" si="525"/>
        <v>0</v>
      </c>
      <c r="DB88" s="171" t="str">
        <f t="shared" si="526"/>
        <v/>
      </c>
      <c r="DC88" s="57">
        <f t="shared" si="710"/>
        <v>0</v>
      </c>
      <c r="DD88" s="57">
        <f>IF(OR(AND(CR$6=1,$L88=0),AND(CR$6=2,$K88=2,$G88=1)),0,IF(AND(CT$9=2,(OR($F88&gt;1,$K88=1,AND($L88=80,OR($N88=1,AND($N88=2,'#BerechnungDBE'!$AL79&gt;0)))))),IF(CR$4&gt;=$AD$126,0,DB88),IF(CT$9=3,IF(OR(CR$4&gt;=$AD$127,AND($G88=1,$J88=2,CR$6=2),AND(CR$6=1,$N88&lt;&gt;1)),0,IF(CV88&lt;=120,DB88,IF(CR$4&lt;$AD$124,IF($F88=1,60/CT$4*CT$6,60/CT$4*CT$7),IF($F88=1,120/CT$4*CT$6,120/CT$4*CT$7)))),IF(OR($F88=3,$G88=2),IF(OR(AND(CR$4&gt;=$AD$119,$C88=2),AND(CR$4&gt;=$AF$119,$C88=1)),0,IF(CV88&lt;=60,DB88,60/CT$4*CT$7)),IF(AND($F88=2,$G88=1),DB88,0)))))</f>
        <v>0</v>
      </c>
      <c r="DE88" s="57" t="str">
        <f t="shared" si="527"/>
        <v/>
      </c>
      <c r="DF88" s="57" t="str">
        <f t="shared" si="528"/>
        <v/>
      </c>
      <c r="DG88" s="713">
        <f>'org. Düngung 22'!AF87</f>
        <v>0</v>
      </c>
      <c r="DH88" s="57"/>
      <c r="DI88" s="57"/>
      <c r="DJ88" s="57">
        <f t="shared" si="529"/>
        <v>0</v>
      </c>
      <c r="DK88" s="57">
        <f t="shared" si="711"/>
        <v>0</v>
      </c>
      <c r="DL88" s="57">
        <f t="shared" si="712"/>
        <v>0</v>
      </c>
      <c r="DM88" s="57">
        <f t="shared" si="713"/>
        <v>0</v>
      </c>
      <c r="DN88" s="57">
        <f t="shared" si="714"/>
        <v>0</v>
      </c>
      <c r="DO88" s="1029">
        <f t="shared" si="530"/>
        <v>0</v>
      </c>
      <c r="DP88" s="57">
        <f t="shared" si="531"/>
        <v>0</v>
      </c>
      <c r="DQ88" s="171" t="str">
        <f t="shared" si="532"/>
        <v/>
      </c>
      <c r="DR88" s="57">
        <f t="shared" si="715"/>
        <v>0</v>
      </c>
      <c r="DS88" s="57">
        <f>IF(OR(AND(DG$6=1,$L88=0),AND(DG$6=2,$K88=2,$G88=1)),0,IF(AND(DI$9=2,(OR($F88&gt;1,$K88=1,AND($L88=80,OR($N88=1,AND($N88=2,'#BerechnungDBE'!$AL79&gt;0)))))),IF(DG$4&gt;=$AD$126,0,DQ88),IF(DI$9=3,IF(OR(DG$4&gt;=$AD$127,AND($G88=1,$J88=2,DG$6=2),AND(DG$6=1,$N88&lt;&gt;1)),0,IF(DK88&lt;=120,DQ88,IF(DG$4&lt;$AD$124,IF($F88=1,60/DI$4*DI$6,60/DI$4*DI$7),IF($F88=1,120/DI$4*DI$6,120/DI$4*DI$7)))),IF(OR($F88=3,$G88=2),IF(OR(AND(DG$4&gt;=$AD$119,$C88=2),AND(DG$4&gt;=$AF$119,$C88=1)),0,IF(DK88&lt;=60,DQ88,60/DI$4*DI$7)),IF(AND($F88=2,$G88=1),DQ88,0)))))</f>
        <v>0</v>
      </c>
      <c r="DT88" s="57" t="str">
        <f t="shared" si="533"/>
        <v/>
      </c>
      <c r="DU88" s="57" t="str">
        <f t="shared" si="534"/>
        <v/>
      </c>
      <c r="DV88" s="713">
        <f>'org. Düngung 22'!AJ87</f>
        <v>0</v>
      </c>
      <c r="DW88" s="57"/>
      <c r="DX88" s="57"/>
      <c r="DY88" s="57">
        <f t="shared" si="535"/>
        <v>0</v>
      </c>
      <c r="DZ88" s="57">
        <f t="shared" si="716"/>
        <v>0</v>
      </c>
      <c r="EA88" s="57">
        <f t="shared" si="717"/>
        <v>0</v>
      </c>
      <c r="EB88" s="57">
        <f t="shared" si="718"/>
        <v>0</v>
      </c>
      <c r="EC88" s="57">
        <f t="shared" si="719"/>
        <v>0</v>
      </c>
      <c r="ED88" s="1029">
        <f t="shared" si="536"/>
        <v>0</v>
      </c>
      <c r="EE88" s="57">
        <f t="shared" si="537"/>
        <v>0</v>
      </c>
      <c r="EF88" s="171" t="str">
        <f t="shared" si="538"/>
        <v/>
      </c>
      <c r="EG88" s="57">
        <f t="shared" si="720"/>
        <v>0</v>
      </c>
      <c r="EH88" s="57">
        <f>IF(OR(AND(DV$6=1,$L88=0),AND(DV$6=2,$K88=2,$G88=1)),0,IF(AND(DX$9=2,(OR($F88&gt;1,$K88=1,AND($L88=80,OR($N88=1,AND($N88=2,'#BerechnungDBE'!$AL79&gt;0)))))),IF(DV$4&gt;=$AD$126,0,EF88),IF(DX$9=3,IF(OR(DV$4&gt;=$AD$127,AND($G88=1,$J88=2,DV$6=2),AND(DV$6=1,$N88&lt;&gt;1)),0,IF(DZ88&lt;=120,EF88,IF(DV$4&lt;$AD$124,IF($F88=1,60/DX$4*DX$6,60/DX$4*DX$7),IF($F88=1,120/DX$4*DX$6,120/DX$4*DX$7)))),IF(OR($F88=3,$G88=2),IF(OR(AND(DV$4&gt;=$AD$119,$C88=2),AND(DV$4&gt;=$AF$119,$C88=1)),0,IF(DZ88&lt;=60,EF88,60/DX$4*DX$7)),IF(AND($F88=2,$G88=1),EF88,0)))))</f>
        <v>0</v>
      </c>
      <c r="EI88" s="57" t="str">
        <f t="shared" si="539"/>
        <v/>
      </c>
      <c r="EJ88" s="57" t="str">
        <f t="shared" si="540"/>
        <v/>
      </c>
      <c r="EK88" s="713">
        <f>'org. Düngung 22'!AN87</f>
        <v>0</v>
      </c>
      <c r="EL88" s="57"/>
      <c r="EM88" s="57"/>
      <c r="EN88" s="57">
        <f t="shared" si="541"/>
        <v>0</v>
      </c>
      <c r="EO88" s="57">
        <f t="shared" si="721"/>
        <v>0</v>
      </c>
      <c r="EP88" s="57">
        <f t="shared" si="722"/>
        <v>0</v>
      </c>
      <c r="EQ88" s="57">
        <f t="shared" si="723"/>
        <v>0</v>
      </c>
      <c r="ER88" s="57">
        <f t="shared" si="724"/>
        <v>0</v>
      </c>
      <c r="ES88" s="1029">
        <f t="shared" si="542"/>
        <v>0</v>
      </c>
      <c r="ET88" s="57">
        <f t="shared" si="543"/>
        <v>0</v>
      </c>
      <c r="EU88" s="171" t="str">
        <f t="shared" si="544"/>
        <v/>
      </c>
      <c r="EV88" s="57">
        <f t="shared" si="725"/>
        <v>0</v>
      </c>
      <c r="EW88" s="57">
        <f>IF(OR(AND(EK$6=1,$L88=0),AND(EK$6=2,$K88=2,$G88=1)),0,IF(AND(EM$9=2,(OR($F88&gt;1,$K88=1,AND($L88=80,OR($N88=1,AND($N88=2,'#BerechnungDBE'!$AL79&gt;0)))))),IF(EK$4&gt;=$AD$126,0,EU88),IF(EM$9=3,IF(OR(EK$4&gt;=$AD$127,AND($G88=1,$J88=2,EK$6=2),AND(EK$6=1,$N88&lt;&gt;1)),0,IF(EO88&lt;=120,EU88,IF(EK$4&lt;$AD$124,IF($F88=1,60/EM$4*EM$6,60/EM$4*EM$7),IF($F88=1,120/EM$4*EM$6,120/EM$4*EM$7)))),IF(OR($F88=3,$G88=2),IF(OR(AND(EK$4&gt;=$AD$119,$C88=2),AND(EK$4&gt;=$AF$119,$C88=1)),0,IF(EO88&lt;=60,EU88,60/EM$4*EM$7)),IF(AND($F88=2,$G88=1),EU88,0)))))</f>
        <v>0</v>
      </c>
      <c r="EX88" s="57" t="str">
        <f t="shared" si="545"/>
        <v/>
      </c>
      <c r="EY88" s="57" t="str">
        <f t="shared" si="546"/>
        <v/>
      </c>
      <c r="EZ88" s="713">
        <f>'org. Düngung 22'!AR87</f>
        <v>0</v>
      </c>
      <c r="FA88" s="57"/>
      <c r="FB88" s="57"/>
      <c r="FC88" s="57">
        <f t="shared" si="547"/>
        <v>0</v>
      </c>
      <c r="FD88" s="57">
        <f t="shared" si="726"/>
        <v>0</v>
      </c>
      <c r="FE88" s="57">
        <f t="shared" si="727"/>
        <v>0</v>
      </c>
      <c r="FF88" s="57">
        <f t="shared" si="728"/>
        <v>0</v>
      </c>
      <c r="FG88" s="57">
        <f t="shared" si="729"/>
        <v>0</v>
      </c>
      <c r="FH88" s="1029">
        <f t="shared" si="548"/>
        <v>0</v>
      </c>
      <c r="FI88" s="57">
        <f t="shared" si="549"/>
        <v>0</v>
      </c>
      <c r="FJ88" s="171" t="str">
        <f t="shared" si="550"/>
        <v/>
      </c>
      <c r="FK88" s="57">
        <f t="shared" si="730"/>
        <v>0</v>
      </c>
      <c r="FL88" s="57">
        <f>IF(OR(AND(EZ$6=1,$L88=0),AND(EZ$6=2,$K88=2,$G88=1)),0,IF(AND(FB$9=2,(OR($F88&gt;1,$K88=1,AND($L88=80,OR($N88=1,AND($N88=2,'#BerechnungDBE'!$AL79&gt;0)))))),IF(EZ$4&gt;=$AD$126,0,FJ88),IF(FB$9=3,IF(OR(EZ$4&gt;=$AD$127,AND($G88=1,$J88=2,EZ$6=2),AND(EZ$6=1,$N88&lt;&gt;1)),0,IF(FD88&lt;=120,FJ88,IF(EZ$4&lt;$AD$124,IF($F88=1,60/FB$4*FB$6,60/FB$4*FB$7),IF($F88=1,120/FB$4*FB$6,120/FB$4*FB$7)))),IF(OR($F88=3,$G88=2),IF(OR(AND(EZ$4&gt;=$AD$119,$C88=2),AND(EZ$4&gt;=$AF$119,$C88=1)),0,IF(FD88&lt;=60,FJ88,60/FB$4*FB$7)),IF(AND($F88=2,$G88=1),FJ88,0)))))</f>
        <v>0</v>
      </c>
      <c r="FM88" s="57" t="str">
        <f t="shared" si="551"/>
        <v/>
      </c>
      <c r="FN88" s="57" t="str">
        <f t="shared" si="552"/>
        <v/>
      </c>
      <c r="FO88" s="713">
        <f>'org. Düngung 22'!AV87</f>
        <v>0</v>
      </c>
      <c r="FP88" s="57"/>
      <c r="FQ88" s="57"/>
      <c r="FR88" s="57">
        <f t="shared" si="553"/>
        <v>0</v>
      </c>
      <c r="FS88" s="57">
        <f t="shared" si="731"/>
        <v>0</v>
      </c>
      <c r="FT88" s="57">
        <f t="shared" si="732"/>
        <v>0</v>
      </c>
      <c r="FU88" s="57">
        <f t="shared" si="733"/>
        <v>0</v>
      </c>
      <c r="FV88" s="57">
        <f t="shared" si="734"/>
        <v>0</v>
      </c>
      <c r="FW88" s="1029">
        <f t="shared" si="554"/>
        <v>0</v>
      </c>
      <c r="FX88" s="57">
        <f t="shared" si="555"/>
        <v>0</v>
      </c>
      <c r="FY88" s="171" t="str">
        <f t="shared" si="556"/>
        <v/>
      </c>
      <c r="FZ88" s="57">
        <f t="shared" si="735"/>
        <v>0</v>
      </c>
      <c r="GA88" s="57">
        <f>IF(OR(AND(FO$6=1,$L88=0),AND(FO$6=2,$K88=2,$G88=1)),0,IF(AND(FQ$9=2,(OR($F88&gt;1,$K88=1,AND($L88=80,OR($N88=1,AND($N88=2,'#BerechnungDBE'!$AL79&gt;0)))))),IF(FO$4&gt;=$AD$126,0,FY88),IF(FQ$9=3,IF(OR(FO$4&gt;=$AD$127,AND($G88=1,$J88=2,FO$6=2),AND(FO$6=1,$N88&lt;&gt;1)),0,IF(FS88&lt;=120,FY88,IF(FO$4&lt;$AD$124,IF($F88=1,60/FQ$4*FQ$6,60/FQ$4*FQ$7),IF($F88=1,120/FQ$4*FQ$6,120/FQ$4*FQ$7)))),IF(OR($F88=3,$G88=2),IF(OR(AND(FO$4&gt;=$AD$119,$C88=2),AND(FO$4&gt;=$AF$119,$C88=1)),0,IF(FS88&lt;=60,FY88,60/FQ$4*FQ$7)),IF(AND($F88=2,$G88=1),FY88,0)))))</f>
        <v>0</v>
      </c>
      <c r="GB88" s="57" t="str">
        <f t="shared" si="557"/>
        <v/>
      </c>
      <c r="GC88" s="57" t="str">
        <f t="shared" si="558"/>
        <v/>
      </c>
      <c r="GD88" s="713">
        <f>'org. Düngung 22'!AZ87</f>
        <v>0</v>
      </c>
      <c r="GE88" s="57"/>
      <c r="GF88" s="57"/>
      <c r="GG88" s="57">
        <f t="shared" si="559"/>
        <v>0</v>
      </c>
      <c r="GH88" s="57">
        <f t="shared" si="736"/>
        <v>0</v>
      </c>
      <c r="GI88" s="57">
        <f t="shared" si="737"/>
        <v>0</v>
      </c>
      <c r="GJ88" s="57">
        <f t="shared" si="738"/>
        <v>0</v>
      </c>
      <c r="GK88" s="57">
        <f t="shared" si="739"/>
        <v>0</v>
      </c>
      <c r="GL88" s="1029">
        <f t="shared" si="560"/>
        <v>0</v>
      </c>
      <c r="GM88" s="57">
        <f t="shared" si="561"/>
        <v>0</v>
      </c>
      <c r="GN88" s="171" t="str">
        <f t="shared" si="562"/>
        <v/>
      </c>
      <c r="GO88" s="57">
        <f t="shared" si="740"/>
        <v>0</v>
      </c>
      <c r="GP88" s="57">
        <f>IF(OR(AND(GD$6=1,$L88=0),AND(GD$6=2,$K88=2,$G88=1)),0,IF(AND(GF$9=2,(OR($F88&gt;1,$K88=1,AND($L88=80,OR($N88=1,AND($N88=2,'#BerechnungDBE'!$AL79&gt;0)))))),IF(GD$4&gt;=$AD$126,0,GN88),IF(GF$9=3,IF(OR(GD$4&gt;=$AD$127,AND($G88=1,$J88=2,GD$6=2),AND(GD$6=1,$N88&lt;&gt;1)),0,IF(GH88&lt;=120,GN88,IF(GD$4&lt;$AD$124,IF($F88=1,60/GF$4*GF$6,60/GF$4*GF$7),IF($F88=1,120/GF$4*GF$6,120/GF$4*GF$7)))),IF(OR($F88=3,$G88=2),IF(OR(AND(GD$4&gt;=$AD$119,$C88=2),AND(GD$4&gt;=$AF$119,$C88=1)),0,IF(GH88&lt;=60,GN88,60/GF$4*GF$7)),IF(AND($F88=2,$G88=1),GN88,0)))))</f>
        <v>0</v>
      </c>
      <c r="GQ88" s="57" t="str">
        <f t="shared" si="563"/>
        <v/>
      </c>
      <c r="GR88" s="57" t="str">
        <f t="shared" si="564"/>
        <v/>
      </c>
      <c r="GS88" s="713">
        <f>'org. Düngung 22'!BD87</f>
        <v>0</v>
      </c>
      <c r="GT88" s="57"/>
      <c r="GU88" s="57"/>
      <c r="GV88" s="57">
        <f t="shared" si="565"/>
        <v>0</v>
      </c>
      <c r="GW88" s="57">
        <f t="shared" si="741"/>
        <v>0</v>
      </c>
      <c r="GX88" s="57">
        <f t="shared" si="742"/>
        <v>0</v>
      </c>
      <c r="GY88" s="57">
        <f t="shared" si="743"/>
        <v>0</v>
      </c>
      <c r="GZ88" s="57">
        <f t="shared" si="744"/>
        <v>0</v>
      </c>
      <c r="HA88" s="1029">
        <f t="shared" si="566"/>
        <v>0</v>
      </c>
      <c r="HB88" s="57">
        <f t="shared" si="567"/>
        <v>0</v>
      </c>
      <c r="HC88" s="171" t="str">
        <f t="shared" si="568"/>
        <v/>
      </c>
      <c r="HD88" s="57">
        <f t="shared" si="745"/>
        <v>0</v>
      </c>
      <c r="HE88" s="57">
        <f>IF(OR(AND(GS$6=1,$L88=0),AND(GS$6=2,$K88=2,$G88=1)),0,IF(AND(GU$9=2,(OR($F88&gt;1,$K88=1,AND($L88=80,OR($N88=1,AND($N88=2,'#BerechnungDBE'!$AL79&gt;0)))))),IF(GS$4&gt;=$AD$126,0,HC88),IF(GU$9=3,IF(OR(GS$4&gt;=$AD$127,AND($G88=1,$J88=2,GS$6=2),AND(GS$6=1,$N88&lt;&gt;1)),0,IF(GW88&lt;=120,HC88,IF(GS$4&lt;$AD$124,IF($F88=1,60/GU$4*GU$6,60/GU$4*GU$7),IF($F88=1,120/GU$4*GU$6,120/GU$4*GU$7)))),IF(OR($F88=3,$G88=2),IF(OR(AND(GS$4&gt;=$AD$119,$C88=2),AND(GS$4&gt;=$AF$119,$C88=1)),0,IF(GW88&lt;=60,HC88,60/GU$4*GU$7)),IF(AND($F88=2,$G88=1),HC88,0)))))</f>
        <v>0</v>
      </c>
      <c r="HF88" s="57" t="str">
        <f t="shared" si="569"/>
        <v/>
      </c>
      <c r="HG88" s="57" t="str">
        <f t="shared" si="570"/>
        <v/>
      </c>
      <c r="HH88" s="713">
        <f>'org. Düngung 22'!BH87</f>
        <v>0</v>
      </c>
      <c r="HI88" s="57"/>
      <c r="HJ88" s="57"/>
      <c r="HK88" s="57">
        <f t="shared" si="571"/>
        <v>0</v>
      </c>
      <c r="HL88" s="57">
        <f t="shared" si="746"/>
        <v>0</v>
      </c>
      <c r="HM88" s="57">
        <f t="shared" si="747"/>
        <v>0</v>
      </c>
      <c r="HN88" s="57">
        <f t="shared" si="748"/>
        <v>0</v>
      </c>
      <c r="HO88" s="57">
        <f t="shared" si="749"/>
        <v>0</v>
      </c>
      <c r="HP88" s="1029">
        <f t="shared" si="572"/>
        <v>0</v>
      </c>
      <c r="HQ88" s="57">
        <f t="shared" si="573"/>
        <v>0</v>
      </c>
      <c r="HR88" s="171" t="str">
        <f t="shared" si="574"/>
        <v/>
      </c>
      <c r="HS88" s="57">
        <f t="shared" si="750"/>
        <v>0</v>
      </c>
      <c r="HT88" s="57">
        <f>IF(OR(AND(HH$6=1,$L88=0),AND(HH$6=2,$K88=2,$G88=1)),0,IF(AND(HJ$9=2,(OR($F88&gt;1,$K88=1,AND($L88=80,OR($N88=1,AND($N88=2,'#BerechnungDBE'!$AL79&gt;0)))))),IF(HH$4&gt;=$AD$126,0,HR88),IF(HJ$9=3,IF(OR(HH$4&gt;=$AD$127,AND($G88=1,$J88=2,HH$6=2),AND(HH$6=1,$N88&lt;&gt;1)),0,IF(HL88&lt;=120,HR88,IF(HH$4&lt;$AD$124,IF($F88=1,60/HJ$4*HJ$6,60/HJ$4*HJ$7),IF($F88=1,120/HJ$4*HJ$6,120/HJ$4*HJ$7)))),IF(OR($F88=3,$G88=2),IF(OR(AND(HH$4&gt;=$AD$119,$C88=2),AND(HH$4&gt;=$AF$119,$C88=1)),0,IF(HL88&lt;=60,HR88,60/HJ$4*HJ$7)),IF(AND($F88=2,$G88=1),HR88,0)))))</f>
        <v>0</v>
      </c>
      <c r="HU88" s="57" t="str">
        <f t="shared" si="575"/>
        <v/>
      </c>
      <c r="HV88" s="57" t="str">
        <f t="shared" si="576"/>
        <v/>
      </c>
      <c r="HW88" s="713">
        <f>'org. Düngung 22'!BL87</f>
        <v>0</v>
      </c>
      <c r="HX88" s="57"/>
      <c r="HY88" s="57"/>
      <c r="HZ88" s="57">
        <f t="shared" si="577"/>
        <v>0</v>
      </c>
      <c r="IA88" s="57">
        <f t="shared" si="751"/>
        <v>0</v>
      </c>
      <c r="IB88" s="57">
        <f t="shared" si="752"/>
        <v>0</v>
      </c>
      <c r="IC88" s="57">
        <f t="shared" si="753"/>
        <v>0</v>
      </c>
      <c r="ID88" s="57">
        <f t="shared" si="754"/>
        <v>0</v>
      </c>
      <c r="IE88" s="1029">
        <f t="shared" si="578"/>
        <v>0</v>
      </c>
      <c r="IF88" s="57">
        <f t="shared" si="579"/>
        <v>0</v>
      </c>
      <c r="IG88" s="171" t="str">
        <f t="shared" si="580"/>
        <v/>
      </c>
      <c r="IH88" s="57">
        <f t="shared" si="755"/>
        <v>0</v>
      </c>
      <c r="II88" s="57">
        <f>IF(OR(AND(HW$6=1,$L88=0),AND(HW$6=2,$K88=2,$G88=1)),0,IF(AND(HY$9=2,(OR($F88&gt;1,$K88=1,AND($L88=80,OR($N88=1,AND($N88=2,'#BerechnungDBE'!$AL79&gt;0)))))),IF(HW$4&gt;=$AD$126,0,IG88),IF(HY$9=3,IF(OR(HW$4&gt;=$AD$127,AND($G88=1,$J88=2,HW$6=2),AND(HW$6=1,$N88&lt;&gt;1)),0,IF(IA88&lt;=120,IG88,IF(HW$4&lt;$AD$124,IF($F88=1,60/HY$4*HY$6,60/HY$4*HY$7),IF($F88=1,120/HY$4*HY$6,120/HY$4*HY$7)))),IF(OR($F88=3,$G88=2),IF(OR(AND(HW$4&gt;=$AD$119,$C88=2),AND(HW$4&gt;=$AF$119,$C88=1)),0,IF(IA88&lt;=60,IG88,60/HY$4*HY$7)),IF(AND($F88=2,$G88=1),IG88,0)))))</f>
        <v>0</v>
      </c>
      <c r="IJ88" s="57" t="str">
        <f t="shared" si="581"/>
        <v/>
      </c>
      <c r="IK88" s="57" t="str">
        <f t="shared" si="582"/>
        <v/>
      </c>
      <c r="IL88" s="713">
        <f>'org. Düngung 22'!BP87</f>
        <v>0</v>
      </c>
      <c r="IM88" s="57"/>
      <c r="IN88" s="57"/>
      <c r="IO88" s="57">
        <f t="shared" si="583"/>
        <v>0</v>
      </c>
      <c r="IP88" s="57">
        <f t="shared" si="756"/>
        <v>0</v>
      </c>
      <c r="IQ88" s="57">
        <f t="shared" si="757"/>
        <v>0</v>
      </c>
      <c r="IR88" s="57">
        <f t="shared" si="758"/>
        <v>0</v>
      </c>
      <c r="IS88" s="57">
        <f t="shared" si="759"/>
        <v>0</v>
      </c>
      <c r="IT88" s="1029">
        <f t="shared" si="584"/>
        <v>0</v>
      </c>
      <c r="IU88" s="57">
        <f t="shared" si="585"/>
        <v>0</v>
      </c>
      <c r="IV88" s="171" t="str">
        <f t="shared" si="586"/>
        <v/>
      </c>
      <c r="IW88" s="57">
        <f t="shared" si="760"/>
        <v>0</v>
      </c>
      <c r="IX88" s="57">
        <f>IF(OR(AND(IL$6=1,$L88=0),AND(IL$6=2,$K88=2,$G88=1)),0,IF(AND(IN$9=2,(OR($F88&gt;1,$K88=1,AND($L88=80,OR($N88=1,AND($N88=2,'#BerechnungDBE'!$AL79&gt;0)))))),IF(IL$4&gt;=$AD$126,0,IV88),IF(IN$9=3,IF(OR(IL$4&gt;=$AD$127,AND($G88=1,$J88=2,IL$6=2),AND(IL$6=1,$N88&lt;&gt;1)),0,IF(IP88&lt;=120,IV88,IF(IL$4&lt;$AD$124,IF($F88=1,60/IN$4*IN$6,60/IN$4*IN$7),IF($F88=1,120/IN$4*IN$6,120/IN$4*IN$7)))),IF(OR($F88=3,$G88=2),IF(OR(AND(IL$4&gt;=$AD$119,$C88=2),AND(IL$4&gt;=$AF$119,$C88=1)),0,IF(IP88&lt;=60,IV88,60/IN$4*IN$7)),IF(AND($F88=2,$G88=1),IV88,0)))))</f>
        <v>0</v>
      </c>
      <c r="IY88" s="57" t="str">
        <f t="shared" si="587"/>
        <v/>
      </c>
      <c r="IZ88" s="57" t="str">
        <f t="shared" si="588"/>
        <v/>
      </c>
      <c r="JA88" s="713">
        <f>'org. Düngung 22'!BT87</f>
        <v>0</v>
      </c>
      <c r="JB88" s="57"/>
      <c r="JC88" s="57"/>
      <c r="JD88" s="57">
        <f t="shared" si="589"/>
        <v>0</v>
      </c>
      <c r="JE88" s="57">
        <f t="shared" si="761"/>
        <v>0</v>
      </c>
      <c r="JF88" s="57">
        <f t="shared" si="762"/>
        <v>0</v>
      </c>
      <c r="JG88" s="57">
        <f t="shared" si="763"/>
        <v>0</v>
      </c>
      <c r="JH88" s="57">
        <f t="shared" si="764"/>
        <v>0</v>
      </c>
      <c r="JI88" s="1029">
        <f t="shared" si="590"/>
        <v>0</v>
      </c>
      <c r="JJ88" s="57">
        <f t="shared" si="591"/>
        <v>0</v>
      </c>
      <c r="JK88" s="171" t="str">
        <f t="shared" si="592"/>
        <v/>
      </c>
      <c r="JL88" s="57">
        <f t="shared" si="765"/>
        <v>0</v>
      </c>
      <c r="JM88" s="57">
        <f>IF(OR(AND(JA$6=1,$L88=0),AND(JA$6=2,$K88=2,$G88=1)),0,IF(AND(JC$9=2,(OR($F88&gt;1,$K88=1,AND($L88=80,OR($N88=1,AND($N88=2,'#BerechnungDBE'!$AL79&gt;0)))))),IF(JA$4&gt;=$AD$126,0,JK88),IF(JC$9=3,IF(OR(JA$4&gt;=$AD$127,AND($G88=1,$J88=2,JA$6=2),AND(JA$6=1,$N88&lt;&gt;1)),0,IF(JE88&lt;=120,JK88,IF(JA$4&lt;$AD$124,IF($F88=1,60/JC$4*JC$6,60/JC$4*JC$7),IF($F88=1,120/JC$4*JC$6,120/JC$4*JC$7)))),IF(OR($F88=3,$G88=2),IF(OR(AND(JA$4&gt;=$AD$119,$C88=2),AND(JA$4&gt;=$AF$119,$C88=1)),0,IF(JE88&lt;=60,JK88,60/JC$4*JC$7)),IF(AND($F88=2,$G88=1),JK88,0)))))</f>
        <v>0</v>
      </c>
      <c r="JN88" s="57" t="str">
        <f t="shared" si="593"/>
        <v/>
      </c>
      <c r="JO88" s="57" t="str">
        <f t="shared" si="594"/>
        <v/>
      </c>
      <c r="JP88" s="713">
        <f>'org. Düngung 22'!BX87</f>
        <v>0</v>
      </c>
      <c r="JQ88" s="57"/>
      <c r="JR88" s="57"/>
      <c r="JS88" s="57">
        <f t="shared" si="595"/>
        <v>0</v>
      </c>
      <c r="JT88" s="57">
        <f t="shared" si="766"/>
        <v>0</v>
      </c>
      <c r="JU88" s="57">
        <f t="shared" si="767"/>
        <v>0</v>
      </c>
      <c r="JV88" s="57">
        <f t="shared" si="768"/>
        <v>0</v>
      </c>
      <c r="JW88" s="57">
        <f t="shared" si="769"/>
        <v>0</v>
      </c>
      <c r="JX88" s="1029">
        <f t="shared" si="596"/>
        <v>0</v>
      </c>
      <c r="JY88" s="57">
        <f t="shared" si="597"/>
        <v>0</v>
      </c>
      <c r="JZ88" s="171" t="str">
        <f t="shared" si="598"/>
        <v/>
      </c>
      <c r="KA88" s="57">
        <f t="shared" si="770"/>
        <v>0</v>
      </c>
      <c r="KB88" s="57">
        <f>IF(OR(AND(JP$6=1,$L88=0),AND(JP$6=2,$K88=2,$G88=1)),0,IF(AND(JR$9=2,(OR($F88&gt;1,$K88=1,AND($L88=80,OR($N88=1,AND($N88=2,'#BerechnungDBE'!$AL79&gt;0)))))),IF(JP$4&gt;=$AD$126,0,JZ88),IF(JR$9=3,IF(OR(JP$4&gt;=$AD$127,AND($G88=1,$J88=2,JP$6=2),AND(JP$6=1,$N88&lt;&gt;1)),0,IF(JT88&lt;=120,JZ88,IF(JP$4&lt;$AD$124,IF($F88=1,60/JR$4*JR$6,60/JR$4*JR$7),IF($F88=1,120/JR$4*JR$6,120/JR$4*JR$7)))),IF(OR($F88=3,$G88=2),IF(OR(AND(JP$4&gt;=$AD$119,$C88=2),AND(JP$4&gt;=$AF$119,$C88=1)),0,IF(JT88&lt;=60,JZ88,60/JR$4*JR$7)),IF(AND($F88=2,$G88=1),JZ88,0)))))</f>
        <v>0</v>
      </c>
      <c r="KC88" s="57" t="str">
        <f t="shared" si="599"/>
        <v/>
      </c>
      <c r="KD88" s="57" t="str">
        <f t="shared" si="600"/>
        <v/>
      </c>
      <c r="KE88" s="713">
        <f>'org. Düngung 22'!CB87</f>
        <v>0</v>
      </c>
      <c r="KF88" s="57"/>
      <c r="KG88" s="57"/>
      <c r="KH88" s="57">
        <f t="shared" si="601"/>
        <v>0</v>
      </c>
      <c r="KI88" s="57">
        <f t="shared" si="771"/>
        <v>0</v>
      </c>
      <c r="KJ88" s="57">
        <f t="shared" si="772"/>
        <v>0</v>
      </c>
      <c r="KK88" s="57">
        <f t="shared" si="773"/>
        <v>0</v>
      </c>
      <c r="KL88" s="57">
        <f t="shared" si="774"/>
        <v>0</v>
      </c>
      <c r="KM88" s="1029">
        <f t="shared" si="602"/>
        <v>0</v>
      </c>
      <c r="KN88" s="57">
        <f t="shared" si="603"/>
        <v>0</v>
      </c>
      <c r="KO88" s="171" t="str">
        <f t="shared" si="604"/>
        <v/>
      </c>
      <c r="KP88" s="57">
        <f t="shared" si="775"/>
        <v>0</v>
      </c>
      <c r="KQ88" s="57">
        <f>IF(OR(AND(KE$6=1,$L88=0),AND(KE$6=2,$K88=2,$G88=1)),0,IF(AND(KG$9=2,(OR($F88&gt;1,$K88=1,AND($L88=80,OR($N88=1,AND($N88=2,'#BerechnungDBE'!$AL79&gt;0)))))),IF(KE$4&gt;=$AD$126,0,KO88),IF(KG$9=3,IF(OR(KE$4&gt;=$AD$127,AND($G88=1,$J88=2,KE$6=2),AND(KE$6=1,$N88&lt;&gt;1)),0,IF(KI88&lt;=120,KO88,IF(KE$4&lt;$AD$124,IF($F88=1,60/KG$4*KG$6,60/KG$4*KG$7),IF($F88=1,120/KG$4*KG$6,120/KG$4*KG$7)))),IF(OR($F88=3,$G88=2),IF(OR(AND(KE$4&gt;=$AD$119,$C88=2),AND(KE$4&gt;=$AF$119,$C88=1)),0,IF(KI88&lt;=60,KO88,60/KG$4*KG$7)),IF(AND($F88=2,$G88=1),KO88,0)))))</f>
        <v>0</v>
      </c>
      <c r="KR88" s="57" t="str">
        <f t="shared" si="605"/>
        <v/>
      </c>
      <c r="KS88" s="57" t="str">
        <f t="shared" si="606"/>
        <v/>
      </c>
      <c r="KT88" s="713">
        <f>'org. Düngung 22'!CF87</f>
        <v>0</v>
      </c>
      <c r="KU88" s="57"/>
      <c r="KV88" s="57"/>
      <c r="KW88" s="57">
        <f t="shared" si="607"/>
        <v>0</v>
      </c>
      <c r="KX88" s="57">
        <f t="shared" si="776"/>
        <v>0</v>
      </c>
      <c r="KY88" s="57">
        <f t="shared" si="777"/>
        <v>0</v>
      </c>
      <c r="KZ88" s="57">
        <f t="shared" si="778"/>
        <v>0</v>
      </c>
      <c r="LA88" s="57">
        <f t="shared" si="779"/>
        <v>0</v>
      </c>
      <c r="LB88" s="1029">
        <f t="shared" si="608"/>
        <v>0</v>
      </c>
      <c r="LC88" s="57">
        <f t="shared" si="609"/>
        <v>0</v>
      </c>
      <c r="LD88" s="171" t="str">
        <f t="shared" si="610"/>
        <v/>
      </c>
      <c r="LE88" s="57">
        <f t="shared" si="780"/>
        <v>0</v>
      </c>
      <c r="LF88" s="57">
        <f>IF(OR(AND(KT$6=1,$L88=0),AND(KT$6=2,$K88=2,$G88=1)),0,IF(AND(KV$9=2,(OR($F88&gt;1,$K88=1,AND($L88=80,OR($N88=1,AND($N88=2,'#BerechnungDBE'!$AL79&gt;0)))))),IF(KT$4&gt;=$AD$126,0,LD88),IF(KV$9=3,IF(OR(KT$4&gt;=$AD$127,AND($G88=1,$J88=2,KT$6=2),AND(KT$6=1,$N88&lt;&gt;1)),0,IF(KX88&lt;=120,LD88,IF(KT$4&lt;$AD$124,IF($F88=1,60/KV$4*KV$6,60/KV$4*KV$7),IF($F88=1,120/KV$4*KV$6,120/KV$4*KV$7)))),IF(OR($F88=3,$G88=2),IF(OR(AND(KT$4&gt;=$AD$119,$C88=2),AND(KT$4&gt;=$AF$119,$C88=1)),0,IF(KX88&lt;=60,LD88,60/KV$4*KV$7)),IF(AND($F88=2,$G88=1),LD88,0)))))</f>
        <v>0</v>
      </c>
      <c r="LG88" s="57" t="str">
        <f t="shared" si="611"/>
        <v/>
      </c>
      <c r="LH88" s="57" t="str">
        <f t="shared" si="612"/>
        <v/>
      </c>
      <c r="LI88" s="713">
        <f>'org. Düngung 22'!CJ87</f>
        <v>0</v>
      </c>
      <c r="LJ88" s="57"/>
      <c r="LK88" s="57"/>
      <c r="LL88" s="57">
        <f t="shared" si="613"/>
        <v>0</v>
      </c>
      <c r="LM88" s="57">
        <f t="shared" si="781"/>
        <v>0</v>
      </c>
      <c r="LN88" s="57">
        <f t="shared" si="782"/>
        <v>0</v>
      </c>
      <c r="LO88" s="57">
        <f t="shared" si="783"/>
        <v>0</v>
      </c>
      <c r="LP88" s="57">
        <f t="shared" si="784"/>
        <v>0</v>
      </c>
      <c r="LQ88" s="1029">
        <f t="shared" si="614"/>
        <v>0</v>
      </c>
      <c r="LR88" s="57">
        <f t="shared" si="615"/>
        <v>0</v>
      </c>
      <c r="LS88" s="171" t="str">
        <f t="shared" si="616"/>
        <v/>
      </c>
      <c r="LT88" s="57">
        <f t="shared" si="785"/>
        <v>0</v>
      </c>
      <c r="LU88" s="57">
        <f>IF(OR(AND(LI$6=1,$L88=0),AND(LI$6=2,$K88=2,$G88=1)),0,IF(AND(LK$9=2,(OR($F88&gt;1,$K88=1,AND($L88=80,OR($N88=1,AND($N88=2,'#BerechnungDBE'!$AL79&gt;0)))))),IF(LI$4&gt;=$AD$126,0,LS88),IF(LK$9=3,IF(OR(LI$4&gt;=$AD$127,AND($G88=1,$J88=2,LI$6=2),AND(LI$6=1,$N88&lt;&gt;1)),0,IF(LM88&lt;=120,LS88,IF(LI$4&lt;$AD$124,IF($F88=1,60/LK$4*LK$6,60/LK$4*LK$7),IF($F88=1,120/LK$4*LK$6,120/LK$4*LK$7)))),IF(OR($F88=3,$G88=2),IF(OR(AND(LI$4&gt;=$AD$119,$C88=2),AND(LI$4&gt;=$AF$119,$C88=1)),0,IF(LM88&lt;=60,LS88,60/LK$4*LK$7)),IF(AND($F88=2,$G88=1),LS88,0)))))</f>
        <v>0</v>
      </c>
      <c r="LV88" s="57" t="str">
        <f t="shared" si="617"/>
        <v/>
      </c>
      <c r="LW88" s="57" t="str">
        <f t="shared" si="618"/>
        <v/>
      </c>
      <c r="LX88" s="713">
        <f>'org. Düngung 22'!CN87</f>
        <v>0</v>
      </c>
      <c r="LY88" s="57"/>
      <c r="LZ88" s="57"/>
      <c r="MA88" s="57">
        <f t="shared" si="619"/>
        <v>0</v>
      </c>
      <c r="MB88" s="57">
        <f t="shared" si="786"/>
        <v>0</v>
      </c>
      <c r="MC88" s="57">
        <f t="shared" si="787"/>
        <v>0</v>
      </c>
      <c r="MD88" s="57">
        <f t="shared" si="788"/>
        <v>0</v>
      </c>
      <c r="ME88" s="57">
        <f t="shared" si="789"/>
        <v>0</v>
      </c>
      <c r="MF88" s="1029">
        <f t="shared" si="620"/>
        <v>0</v>
      </c>
      <c r="MG88" s="57">
        <f t="shared" si="621"/>
        <v>0</v>
      </c>
      <c r="MH88" s="171" t="str">
        <f t="shared" si="622"/>
        <v/>
      </c>
      <c r="MI88" s="57">
        <f t="shared" si="790"/>
        <v>0</v>
      </c>
      <c r="MJ88" s="57">
        <f>IF(OR(AND(LX$6=1,$L88=0),AND(LX$6=2,$K88=2,$G88=1)),0,IF(AND(LZ$9=2,(OR($F88&gt;1,$K88=1,AND($L88=80,OR($N88=1,AND($N88=2,'#BerechnungDBE'!$AL79&gt;0)))))),IF(LX$4&gt;=$AD$126,0,MH88),IF(LZ$9=3,IF(OR(LX$4&gt;=$AD$127,AND($G88=1,$J88=2,LX$6=2),AND(LX$6=1,$N88&lt;&gt;1)),0,IF(MB88&lt;=120,MH88,IF(LX$4&lt;$AD$124,IF($F88=1,60/LZ$4*LZ$6,60/LZ$4*LZ$7),IF($F88=1,120/LZ$4*LZ$6,120/LZ$4*LZ$7)))),IF(OR($F88=3,$G88=2),IF(OR(AND(LX$4&gt;=$AD$119,$C88=2),AND(LX$4&gt;=$AF$119,$C88=1)),0,IF(MB88&lt;=60,MH88,60/LZ$4*LZ$7)),IF(AND($F88=2,$G88=1),MH88,0)))))</f>
        <v>0</v>
      </c>
      <c r="MK88" s="57" t="str">
        <f t="shared" si="623"/>
        <v/>
      </c>
      <c r="ML88" s="57" t="str">
        <f t="shared" si="624"/>
        <v/>
      </c>
      <c r="MM88" s="713">
        <f>'org. Düngung 22'!CR87</f>
        <v>0</v>
      </c>
      <c r="MN88" s="57"/>
      <c r="MO88" s="57"/>
      <c r="MP88" s="57">
        <f t="shared" si="625"/>
        <v>0</v>
      </c>
      <c r="MQ88" s="57">
        <f t="shared" si="791"/>
        <v>0</v>
      </c>
      <c r="MR88" s="57">
        <f t="shared" si="792"/>
        <v>0</v>
      </c>
      <c r="MS88" s="57">
        <f t="shared" si="793"/>
        <v>0</v>
      </c>
      <c r="MT88" s="57">
        <f t="shared" si="794"/>
        <v>0</v>
      </c>
      <c r="MU88" s="1029">
        <f t="shared" si="626"/>
        <v>0</v>
      </c>
      <c r="MV88" s="57">
        <f t="shared" si="627"/>
        <v>0</v>
      </c>
      <c r="MW88" s="171" t="str">
        <f t="shared" si="628"/>
        <v/>
      </c>
      <c r="MX88" s="57">
        <f t="shared" si="795"/>
        <v>0</v>
      </c>
      <c r="MY88" s="57">
        <f>IF(OR(AND(MM$6=1,$L88=0),AND(MM$6=2,$K88=2,$G88=1)),0,IF(AND(MO$9=2,(OR($F88&gt;1,$K88=1,AND($L88=80,OR($N88=1,AND($N88=2,'#BerechnungDBE'!$AL79&gt;0)))))),IF(MM$4&gt;=$AD$126,0,MW88),IF(MO$9=3,IF(OR(MM$4&gt;=$AD$127,AND($G88=1,$J88=2,MM$6=2),AND(MM$6=1,$N88&lt;&gt;1)),0,IF(MQ88&lt;=120,MW88,IF(MM$4&lt;$AD$124,IF($F88=1,60/MO$4*MO$6,60/MO$4*MO$7),IF($F88=1,120/MO$4*MO$6,120/MO$4*MO$7)))),IF(OR($F88=3,$G88=2),IF(OR(AND(MM$4&gt;=$AD$119,$C88=2),AND(MM$4&gt;=$AF$119,$C88=1)),0,IF(MQ88&lt;=60,MW88,60/MO$4*MO$7)),IF(AND($F88=2,$G88=1),MW88,0)))))</f>
        <v>0</v>
      </c>
      <c r="MZ88" s="57" t="str">
        <f t="shared" si="629"/>
        <v/>
      </c>
      <c r="NA88" s="57" t="str">
        <f t="shared" si="630"/>
        <v/>
      </c>
      <c r="NB88" s="713">
        <f>'org. Düngung 22'!CV87</f>
        <v>0</v>
      </c>
      <c r="NC88" s="57"/>
      <c r="ND88" s="57"/>
      <c r="NE88" s="57">
        <f t="shared" si="631"/>
        <v>0</v>
      </c>
      <c r="NF88" s="57">
        <f t="shared" si="796"/>
        <v>0</v>
      </c>
      <c r="NG88" s="57">
        <f t="shared" si="797"/>
        <v>0</v>
      </c>
      <c r="NH88" s="57">
        <f t="shared" si="798"/>
        <v>0</v>
      </c>
      <c r="NI88" s="57">
        <f t="shared" si="799"/>
        <v>0</v>
      </c>
      <c r="NJ88" s="1029">
        <f t="shared" si="632"/>
        <v>0</v>
      </c>
      <c r="NK88" s="57">
        <f t="shared" si="633"/>
        <v>0</v>
      </c>
      <c r="NL88" s="171" t="str">
        <f t="shared" si="634"/>
        <v/>
      </c>
      <c r="NM88" s="57">
        <f t="shared" si="800"/>
        <v>0</v>
      </c>
      <c r="NN88" s="57">
        <f>IF(OR(AND(NB$6=1,$L88=0),AND(NB$6=2,$K88=2,$G88=1)),0,IF(AND(ND$9=2,(OR($F88&gt;1,$K88=1,AND($L88=80,OR($N88=1,AND($N88=2,'#BerechnungDBE'!$AL79&gt;0)))))),IF(NB$4&gt;=$AD$126,0,NL88),IF(ND$9=3,IF(OR(NB$4&gt;=$AD$127,AND($G88=1,$J88=2,NB$6=2),AND(NB$6=1,$N88&lt;&gt;1)),0,IF(NF88&lt;=120,NL88,IF(NB$4&lt;$AD$124,IF($F88=1,60/ND$4*ND$6,60/ND$4*ND$7),IF($F88=1,120/ND$4*ND$6,120/ND$4*ND$7)))),IF(OR($F88=3,$G88=2),IF(OR(AND(NB$4&gt;=$AD$119,$C88=2),AND(NB$4&gt;=$AF$119,$C88=1)),0,IF(NF88&lt;=60,NL88,60/ND$4*ND$7)),IF(AND($F88=2,$G88=1),NL88,0)))))</f>
        <v>0</v>
      </c>
      <c r="NO88" s="57" t="str">
        <f t="shared" si="635"/>
        <v/>
      </c>
      <c r="NP88" s="57" t="str">
        <f t="shared" si="636"/>
        <v/>
      </c>
      <c r="NQ88" s="713">
        <f>'org. Düngung 22'!CZ87</f>
        <v>0</v>
      </c>
      <c r="NR88" s="57"/>
      <c r="NS88" s="57"/>
      <c r="NT88" s="57">
        <f t="shared" si="637"/>
        <v>0</v>
      </c>
      <c r="NU88" s="57">
        <f t="shared" si="801"/>
        <v>0</v>
      </c>
      <c r="NV88" s="57">
        <f t="shared" si="802"/>
        <v>0</v>
      </c>
      <c r="NW88" s="57">
        <f t="shared" si="803"/>
        <v>0</v>
      </c>
      <c r="NX88" s="57">
        <f t="shared" si="804"/>
        <v>0</v>
      </c>
      <c r="NY88" s="1029">
        <f t="shared" si="638"/>
        <v>0</v>
      </c>
      <c r="NZ88" s="57">
        <f t="shared" si="639"/>
        <v>0</v>
      </c>
      <c r="OA88" s="171" t="str">
        <f t="shared" si="640"/>
        <v/>
      </c>
      <c r="OB88" s="57">
        <f t="shared" si="805"/>
        <v>0</v>
      </c>
      <c r="OC88" s="57">
        <f>IF(OR(AND(NQ$6=1,$L88=0),AND(NQ$6=2,$K88=2,$G88=1)),0,IF(AND(NS$9=2,(OR($F88&gt;1,$K88=1,AND($L88=80,OR($N88=1,AND($N88=2,'#BerechnungDBE'!$AL79&gt;0)))))),IF(NQ$4&gt;=$AD$126,0,OA88),IF(NS$9=3,IF(OR(NQ$4&gt;=$AD$127,AND($G88=1,$J88=2,NQ$6=2),AND(NQ$6=1,$N88&lt;&gt;1)),0,IF(NU88&lt;=120,OA88,IF(NQ$4&lt;$AD$124,IF($F88=1,60/NS$4*NS$6,60/NS$4*NS$7),IF($F88=1,120/NS$4*NS$6,120/NS$4*NS$7)))),IF(OR($F88=3,$G88=2),IF(OR(AND(NQ$4&gt;=$AD$119,$C88=2),AND(NQ$4&gt;=$AF$119,$C88=1)),0,IF(NU88&lt;=60,OA88,60/NS$4*NS$7)),IF(AND($F88=2,$G88=1),OA88,0)))))</f>
        <v>0</v>
      </c>
      <c r="OD88" s="57" t="str">
        <f t="shared" si="641"/>
        <v/>
      </c>
      <c r="OE88" s="57" t="str">
        <f t="shared" si="642"/>
        <v/>
      </c>
      <c r="OF88" s="713">
        <f>'org. Düngung 22'!DD87</f>
        <v>0</v>
      </c>
      <c r="OG88" s="57"/>
      <c r="OH88" s="57"/>
      <c r="OI88" s="57">
        <f t="shared" si="643"/>
        <v>0</v>
      </c>
      <c r="OJ88" s="57">
        <f t="shared" si="806"/>
        <v>0</v>
      </c>
      <c r="OK88" s="57">
        <f t="shared" si="807"/>
        <v>0</v>
      </c>
      <c r="OL88" s="57">
        <f t="shared" si="808"/>
        <v>0</v>
      </c>
      <c r="OM88" s="57">
        <f t="shared" si="809"/>
        <v>0</v>
      </c>
      <c r="ON88" s="1029">
        <f t="shared" si="644"/>
        <v>0</v>
      </c>
      <c r="OO88" s="57">
        <f t="shared" si="645"/>
        <v>0</v>
      </c>
      <c r="OP88" s="171" t="str">
        <f t="shared" si="646"/>
        <v/>
      </c>
      <c r="OQ88" s="57">
        <f t="shared" si="810"/>
        <v>0</v>
      </c>
      <c r="OR88" s="57">
        <f>IF(OR(AND(OF$6=1,$L88=0),AND(OF$6=2,$K88=2,$G88=1)),0,IF(AND(OH$9=2,(OR($F88&gt;1,$K88=1,AND($L88=80,OR($N88=1,AND($N88=2,'#BerechnungDBE'!$AL79&gt;0)))))),IF(OF$4&gt;=$AD$126,0,OP88),IF(OH$9=3,IF(OR(OF$4&gt;=$AD$127,AND($G88=1,$J88=2,OF$6=2),AND(OF$6=1,$N88&lt;&gt;1)),0,IF(OJ88&lt;=120,OP88,IF(OF$4&lt;$AD$124,IF($F88=1,60/OH$4*OH$6,60/OH$4*OH$7),IF($F88=1,120/OH$4*OH$6,120/OH$4*OH$7)))),IF(OR($F88=3,$G88=2),IF(OR(AND(OF$4&gt;=$AD$119,$C88=2),AND(OF$4&gt;=$AF$119,$C88=1)),0,IF(OJ88&lt;=60,OP88,60/OH$4*OH$7)),IF(AND($F88=2,$G88=1),OP88,0)))))</f>
        <v>0</v>
      </c>
      <c r="OS88" s="57" t="str">
        <f t="shared" si="647"/>
        <v/>
      </c>
      <c r="OT88" s="57" t="str">
        <f t="shared" si="648"/>
        <v/>
      </c>
      <c r="OU88" s="713">
        <f>'org. Düngung 22'!DH87</f>
        <v>0</v>
      </c>
      <c r="OV88" s="57"/>
      <c r="OW88" s="57"/>
      <c r="OX88" s="57">
        <f t="shared" si="649"/>
        <v>0</v>
      </c>
      <c r="OY88" s="57">
        <f t="shared" si="811"/>
        <v>0</v>
      </c>
      <c r="OZ88" s="57">
        <f t="shared" si="812"/>
        <v>0</v>
      </c>
      <c r="PA88" s="57">
        <f t="shared" si="813"/>
        <v>0</v>
      </c>
      <c r="PB88" s="57">
        <f t="shared" si="814"/>
        <v>0</v>
      </c>
      <c r="PC88" s="1029">
        <f t="shared" si="650"/>
        <v>0</v>
      </c>
      <c r="PD88" s="57">
        <f t="shared" si="651"/>
        <v>0</v>
      </c>
      <c r="PE88" s="171" t="str">
        <f t="shared" si="652"/>
        <v/>
      </c>
      <c r="PF88" s="57">
        <f t="shared" si="815"/>
        <v>0</v>
      </c>
      <c r="PG88" s="57">
        <f>IF(OR(AND(OU$6=1,$L88=0),AND(OU$6=2,$K88=2,$G88=1)),0,IF(AND(OW$9=2,(OR($F88&gt;1,$K88=1,AND($L88=80,OR($N88=1,AND($N88=2,'#BerechnungDBE'!$AL79&gt;0)))))),IF(OU$4&gt;=$AD$126,0,PE88),IF(OW$9=3,IF(OR(OU$4&gt;=$AD$127,AND($G88=1,$J88=2,OU$6=2),AND(OU$6=1,$N88&lt;&gt;1)),0,IF(OY88&lt;=120,PE88,IF(OU$4&lt;$AD$124,IF($F88=1,60/OW$4*OW$6,60/OW$4*OW$7),IF($F88=1,120/OW$4*OW$6,120/OW$4*OW$7)))),IF(OR($F88=3,$G88=2),IF(OR(AND(OU$4&gt;=$AD$119,$C88=2),AND(OU$4&gt;=$AF$119,$C88=1)),0,IF(OY88&lt;=60,PE88,60/OW$4*OW$7)),IF(AND($F88=2,$G88=1),PE88,0)))))</f>
        <v>0</v>
      </c>
      <c r="PH88" s="57" t="str">
        <f t="shared" si="653"/>
        <v/>
      </c>
      <c r="PI88" s="57" t="str">
        <f t="shared" si="654"/>
        <v/>
      </c>
      <c r="PJ88" s="713">
        <f>'org. Düngung 22'!DL87</f>
        <v>0</v>
      </c>
      <c r="PK88" s="57"/>
      <c r="PL88" s="57"/>
      <c r="PM88" s="57">
        <f t="shared" si="655"/>
        <v>0</v>
      </c>
      <c r="PN88" s="57">
        <f t="shared" si="816"/>
        <v>0</v>
      </c>
      <c r="PO88" s="57">
        <f t="shared" si="817"/>
        <v>0</v>
      </c>
      <c r="PP88" s="57">
        <f t="shared" si="818"/>
        <v>0</v>
      </c>
      <c r="PQ88" s="57">
        <f t="shared" si="819"/>
        <v>0</v>
      </c>
      <c r="PR88" s="1029">
        <f t="shared" si="656"/>
        <v>0</v>
      </c>
      <c r="PS88" s="57">
        <f t="shared" si="657"/>
        <v>0</v>
      </c>
      <c r="PT88" s="171" t="str">
        <f t="shared" si="658"/>
        <v/>
      </c>
      <c r="PU88" s="57">
        <f t="shared" si="820"/>
        <v>0</v>
      </c>
      <c r="PV88" s="57">
        <f>IF(OR(AND(PJ$6=1,$L88=0),AND(PJ$6=2,$K88=2,$G88=1)),0,IF(AND(PL$9=2,(OR($F88&gt;1,$K88=1,AND($L88=80,OR($N88=1,AND($N88=2,'#BerechnungDBE'!$AL79&gt;0)))))),IF(PJ$4&gt;=$AD$126,0,PT88),IF(PL$9=3,IF(OR(PJ$4&gt;=$AD$127,AND($G88=1,$J88=2,PJ$6=2),AND(PJ$6=1,$N88&lt;&gt;1)),0,IF(PN88&lt;=120,PT88,IF(PJ$4&lt;$AD$124,IF($F88=1,60/PL$4*PL$6,60/PL$4*PL$7),IF($F88=1,120/PL$4*PL$6,120/PL$4*PL$7)))),IF(OR($F88=3,$G88=2),IF(OR(AND(PJ$4&gt;=$AD$119,$C88=2),AND(PJ$4&gt;=$AF$119,$C88=1)),0,IF(PN88&lt;=60,PT88,60/PL$4*PL$7)),IF(AND($F88=2,$G88=1),PT88,0)))))</f>
        <v>0</v>
      </c>
      <c r="PW88" s="57" t="str">
        <f t="shared" si="659"/>
        <v/>
      </c>
      <c r="PX88" s="57" t="str">
        <f t="shared" si="660"/>
        <v/>
      </c>
      <c r="PY88" s="713">
        <f>'org. Düngung 22'!DP87</f>
        <v>0</v>
      </c>
      <c r="PZ88" s="57"/>
      <c r="QA88" s="57"/>
      <c r="QB88" s="57">
        <f t="shared" si="661"/>
        <v>0</v>
      </c>
      <c r="QC88" s="57">
        <f t="shared" si="821"/>
        <v>0</v>
      </c>
      <c r="QD88" s="57">
        <f t="shared" si="822"/>
        <v>0</v>
      </c>
      <c r="QE88" s="57">
        <f t="shared" si="823"/>
        <v>0</v>
      </c>
      <c r="QF88" s="57">
        <f t="shared" si="824"/>
        <v>0</v>
      </c>
      <c r="QG88" s="1029">
        <f t="shared" si="662"/>
        <v>0</v>
      </c>
      <c r="QH88" s="57">
        <f t="shared" si="663"/>
        <v>0</v>
      </c>
      <c r="QI88" s="171" t="str">
        <f t="shared" si="664"/>
        <v/>
      </c>
      <c r="QJ88" s="57">
        <f t="shared" si="825"/>
        <v>0</v>
      </c>
      <c r="QK88" s="57">
        <f>IF(OR(AND(PY$6=1,$L88=0),AND(PY$6=2,$K88=2,$G88=1)),0,IF(AND(QA$9=2,(OR($F88&gt;1,$K88=1,AND($L88=80,OR($N88=1,AND($N88=2,'#BerechnungDBE'!$AL79&gt;0)))))),IF(PY$4&gt;=$AD$126,0,QI88),IF(QA$9=3,IF(OR(PY$4&gt;=$AD$127,AND($G88=1,$J88=2,PY$6=2),AND(PY$6=1,$N88&lt;&gt;1)),0,IF(QC88&lt;=120,QI88,IF(PY$4&lt;$AD$124,IF($F88=1,60/QA$4*QA$6,60/QA$4*QA$7),IF($F88=1,120/QA$4*QA$6,120/QA$4*QA$7)))),IF(OR($F88=3,$G88=2),IF(OR(AND(PY$4&gt;=$AD$119,$C88=2),AND(PY$4&gt;=$AF$119,$C88=1)),0,IF(QC88&lt;=60,QI88,60/QA$4*QA$7)),IF(AND($F88=2,$G88=1),QI88,0)))))</f>
        <v>0</v>
      </c>
      <c r="QL88" s="57" t="str">
        <f t="shared" si="665"/>
        <v/>
      </c>
      <c r="QM88" s="57" t="str">
        <f t="shared" si="666"/>
        <v/>
      </c>
      <c r="QN88" s="713">
        <f>'org. Düngung 22'!DT87</f>
        <v>0</v>
      </c>
      <c r="QO88" s="57"/>
      <c r="QP88" s="57"/>
      <c r="QQ88" s="57">
        <f t="shared" si="667"/>
        <v>0</v>
      </c>
      <c r="QR88" s="57">
        <f t="shared" si="826"/>
        <v>0</v>
      </c>
      <c r="QS88" s="57">
        <f t="shared" si="827"/>
        <v>0</v>
      </c>
      <c r="QT88" s="57">
        <f t="shared" si="828"/>
        <v>0</v>
      </c>
      <c r="QU88" s="57">
        <f t="shared" si="829"/>
        <v>0</v>
      </c>
      <c r="QV88" s="1029">
        <f t="shared" si="668"/>
        <v>0</v>
      </c>
      <c r="QW88" s="57">
        <f t="shared" si="669"/>
        <v>0</v>
      </c>
      <c r="QX88" s="171" t="str">
        <f t="shared" si="670"/>
        <v/>
      </c>
      <c r="QY88" s="57">
        <f t="shared" si="830"/>
        <v>0</v>
      </c>
      <c r="QZ88" s="57">
        <f>IF(OR(AND(QN$6=1,$L88=0),AND(QN$6=2,$K88=2,$G88=1)),0,IF(AND(QP$9=2,(OR($F88&gt;1,$K88=1,AND($L88=80,OR($N88=1,AND($N88=2,'#BerechnungDBE'!$AL79&gt;0)))))),IF(QN$4&gt;=$AD$126,0,QX88),IF(QP$9=3,IF(OR(QN$4&gt;=$AD$127,AND($G88=1,$J88=2,QN$6=2),AND(QN$6=1,$N88&lt;&gt;1)),0,IF(QR88&lt;=120,QX88,IF(QN$4&lt;$AD$124,IF($F88=1,60/QP$4*QP$6,60/QP$4*QP$7),IF($F88=1,120/QP$4*QP$6,120/QP$4*QP$7)))),IF(OR($F88=3,$G88=2),IF(OR(AND(QN$4&gt;=$AD$119,$C88=2),AND(QN$4&gt;=$AF$119,$C88=1)),0,IF(QR88&lt;=60,QX88,60/QP$4*QP$7)),IF(AND($F88=2,$G88=1),QX88,0)))))</f>
        <v>0</v>
      </c>
      <c r="RA88" s="57" t="str">
        <f t="shared" si="671"/>
        <v/>
      </c>
      <c r="RB88" s="57" t="str">
        <f t="shared" si="672"/>
        <v/>
      </c>
      <c r="RC88" s="713">
        <f>'org. Düngung 22'!DX87</f>
        <v>0</v>
      </c>
      <c r="RD88" s="57"/>
      <c r="RE88" s="57"/>
      <c r="RF88" s="57">
        <f t="shared" si="673"/>
        <v>0</v>
      </c>
      <c r="RG88" s="57">
        <f t="shared" si="831"/>
        <v>0</v>
      </c>
      <c r="RH88" s="57">
        <f t="shared" si="832"/>
        <v>0</v>
      </c>
      <c r="RI88" s="57">
        <f t="shared" si="833"/>
        <v>0</v>
      </c>
      <c r="RJ88" s="57">
        <f t="shared" si="834"/>
        <v>0</v>
      </c>
      <c r="RK88" s="1029">
        <f t="shared" si="674"/>
        <v>0</v>
      </c>
      <c r="RL88" s="57">
        <f t="shared" si="675"/>
        <v>0</v>
      </c>
      <c r="RM88" s="171" t="str">
        <f t="shared" si="676"/>
        <v/>
      </c>
      <c r="RN88" s="57">
        <f t="shared" si="835"/>
        <v>0</v>
      </c>
      <c r="RO88" s="57">
        <f>IF(OR(AND(RC$6=1,$L88=0),AND(RC$6=2,$K88=2,$G88=1)),0,IF(AND(RE$9=2,(OR($F88&gt;1,$K88=1,AND($L88=80,OR($N88=1,AND($N88=2,'#BerechnungDBE'!$AL79&gt;0)))))),IF(RC$4&gt;=$AD$126,0,RM88),IF(RE$9=3,IF(OR(RC$4&gt;=$AD$127,AND($G88=1,$J88=2,RC$6=2),AND(RC$6=1,$N88&lt;&gt;1)),0,IF(RG88&lt;=120,RM88,IF(RC$4&lt;$AD$124,IF($F88=1,60/RE$4*RE$6,60/RE$4*RE$7),IF($F88=1,120/RE$4*RE$6,120/RE$4*RE$7)))),IF(OR($F88=3,$G88=2),IF(OR(AND(RC$4&gt;=$AD$119,$C88=2),AND(RC$4&gt;=$AF$119,$C88=1)),0,IF(RG88&lt;=60,RM88,60/RE$4*RE$7)),IF(AND($F88=2,$G88=1),RM88,0)))))</f>
        <v>0</v>
      </c>
      <c r="RP88" s="57" t="str">
        <f t="shared" si="677"/>
        <v/>
      </c>
      <c r="RQ88" s="57" t="str">
        <f t="shared" si="678"/>
        <v/>
      </c>
      <c r="RS88" s="57" t="str">
        <f t="shared" si="836"/>
        <v/>
      </c>
      <c r="RT88" s="57" t="str">
        <f t="shared" si="679"/>
        <v/>
      </c>
      <c r="RU88" s="57" t="str">
        <f t="shared" si="680"/>
        <v/>
      </c>
      <c r="RV88" s="57" t="str">
        <f>IF(Z88&gt;'#BerechnungDBE'!BM79,$RV$9,"")</f>
        <v/>
      </c>
      <c r="RW88" s="57" t="str">
        <f>IF(AND(L88=70,AE88&gt;'#BerechnungDBE'!CQ79),$RW$9,"")</f>
        <v/>
      </c>
      <c r="RX88" s="57" t="str">
        <f>IF(OR('org. Düngung 22'!G87="--",'org. Düngung 22'!G87&lt;=170,'org. Düngung 22'!G87=""),"",$RX$9)</f>
        <v/>
      </c>
      <c r="RY88" s="57" t="str">
        <f>IF('org. Düngung 22'!K87&gt;120,'#orgDung'!$RY$9,"")</f>
        <v/>
      </c>
      <c r="RZ88" s="57" t="str">
        <f>IF('#BerechnungDBE'!P79&lt;4,"",IF(AND('#BerechnungDBE'!BZ79&gt;0,T88&gt;0),'#orgDung'!$RZ$9,""))</f>
        <v/>
      </c>
      <c r="SA88" s="57" t="str">
        <f t="shared" si="681"/>
        <v/>
      </c>
    </row>
    <row r="89" spans="1:495" s="875" customFormat="1" x14ac:dyDescent="0.2">
      <c r="A89" s="875">
        <f>'Flächen u. Kulturen'!A85</f>
        <v>76</v>
      </c>
      <c r="B89" s="367">
        <f>'#BerechnungDBE'!L80</f>
        <v>0</v>
      </c>
      <c r="C89" s="875">
        <f>'#BerechnungDBE'!R80</f>
        <v>1</v>
      </c>
      <c r="D89" s="875">
        <f>'#BerechnungDBE'!T80</f>
        <v>2</v>
      </c>
      <c r="E89" s="875" t="str">
        <f>'Flächen u. Kulturen'!E85</f>
        <v>x</v>
      </c>
      <c r="F89" s="52">
        <f>'#BerechnungDBE'!N80</f>
        <v>1</v>
      </c>
      <c r="G89" s="52">
        <f>'#BerechnungDBE'!O80</f>
        <v>1</v>
      </c>
      <c r="H89" s="875">
        <f>IF('Flächen u. Kulturen'!P85="",0,VLOOKUP('Flächen u. Kulturen'!P85,Kulturen[[HF]:[Berechnungsgruppe]],'#Frucht'!$H$1,FALSE))</f>
        <v>0</v>
      </c>
      <c r="I89" s="875">
        <f>IF('Flächen u. Kulturen'!J85="",0,VLOOKUP('Flächen u. Kulturen'!J85,Kulturen[[HF]:[Berechnungsgruppe]],'#Frucht'!$G$1,FALSE))</f>
        <v>90</v>
      </c>
      <c r="J89" s="505">
        <f t="shared" si="682"/>
        <v>2</v>
      </c>
      <c r="K89" s="505">
        <f>IF('Flächen u. Kulturen'!P85="",0,IF(VLOOKUP('Flächen u. Kulturen'!P85,Kulturen[[HF]:[Saat Winterungen]],'#Frucht'!$P$1,FALSE)&gt;0,1,2))</f>
        <v>2</v>
      </c>
      <c r="L89" s="875">
        <f>'#BerechnungDBE'!AF80</f>
        <v>0</v>
      </c>
      <c r="M89" s="875">
        <f>IF('Flächen u. Kulturen'!L85="",0,VLOOKUP('Flächen u. Kulturen'!L85,Nebenkultur[[Nebenkultur]:[Legum. Zwischenfr.]],'#Zweitfr'!$K$1,FALSE))</f>
        <v>0</v>
      </c>
      <c r="N89" s="875">
        <f>'#BerechnungDBE'!AG80</f>
        <v>0</v>
      </c>
      <c r="P89" s="57">
        <f t="shared" si="489"/>
        <v>0</v>
      </c>
      <c r="Q89" s="57">
        <f t="shared" si="490"/>
        <v>0</v>
      </c>
      <c r="R89" s="875">
        <f t="shared" si="491"/>
        <v>0</v>
      </c>
      <c r="S89" s="938" t="str">
        <f t="shared" si="683"/>
        <v/>
      </c>
      <c r="T89" s="875">
        <f t="shared" si="492"/>
        <v>0</v>
      </c>
      <c r="U89" s="875">
        <f t="shared" si="493"/>
        <v>0</v>
      </c>
      <c r="V89" s="875">
        <f t="shared" si="494"/>
        <v>0</v>
      </c>
      <c r="W89" s="875">
        <f t="shared" si="495"/>
        <v>0</v>
      </c>
      <c r="X89" s="875">
        <f t="shared" si="496"/>
        <v>0</v>
      </c>
      <c r="Y89" s="875">
        <f t="shared" si="837"/>
        <v>0</v>
      </c>
      <c r="Z89" s="875">
        <f t="shared" si="838"/>
        <v>0</v>
      </c>
      <c r="AA89" s="910">
        <f t="shared" si="497"/>
        <v>0</v>
      </c>
      <c r="AB89" s="57">
        <f t="shared" si="839"/>
        <v>0</v>
      </c>
      <c r="AC89" s="875">
        <f t="shared" si="498"/>
        <v>0</v>
      </c>
      <c r="AD89" s="875">
        <f t="shared" si="499"/>
        <v>0</v>
      </c>
      <c r="AE89" s="875">
        <f t="shared" si="500"/>
        <v>0</v>
      </c>
      <c r="AF89" s="875">
        <f t="shared" si="840"/>
        <v>0</v>
      </c>
      <c r="AG89" s="875">
        <f>'org. Düngung 22'!J88</f>
        <v>0</v>
      </c>
      <c r="AH89" s="875">
        <f>'org. Düngung 22'!K88</f>
        <v>0</v>
      </c>
      <c r="AJ89" s="713">
        <f>'org. Düngung 22'!L88</f>
        <v>0</v>
      </c>
      <c r="AK89" s="57"/>
      <c r="AL89" s="57"/>
      <c r="AM89" s="57">
        <f t="shared" si="684"/>
        <v>0</v>
      </c>
      <c r="AN89" s="57">
        <f t="shared" si="685"/>
        <v>0</v>
      </c>
      <c r="AO89" s="57">
        <f t="shared" si="686"/>
        <v>0</v>
      </c>
      <c r="AP89" s="57">
        <f t="shared" si="687"/>
        <v>0</v>
      </c>
      <c r="AQ89" s="57">
        <f t="shared" si="688"/>
        <v>0</v>
      </c>
      <c r="AR89" s="1029">
        <f t="shared" si="501"/>
        <v>0</v>
      </c>
      <c r="AS89" s="57">
        <f t="shared" si="502"/>
        <v>0</v>
      </c>
      <c r="AT89" s="171" t="str">
        <f t="shared" si="503"/>
        <v/>
      </c>
      <c r="AU89" s="57">
        <f t="shared" si="689"/>
        <v>0</v>
      </c>
      <c r="AV89" s="57">
        <f>IF(OR(AND(AJ$6=1,$L89=0),AND(AJ$6=2,$K89=2,$G89=1)),0,IF(AND(AL$9=2,(OR($F89&gt;1,$K89=1,AND($L89=80,OR($N89=1,AND($N89=2,'#BerechnungDBE'!$AL80&gt;0)))))),IF(AJ$4&gt;=$AD$126,0,AT89),IF(AL$9=3,IF(OR(AJ$4&gt;=$AD$127,AND($G89=1,$J89=2,AJ$6=2),AND(AJ$6=1,$N89&lt;&gt;1)),0,IF(AN89&lt;=120,AT89,IF(AJ$4&lt;$AD$124,IF($F89=1,60/AL$4*AL$6,60/AL$4*AL$7),IF($F89=1,120/AL$4*AL$6,120/AL$4*AL$7)))),IF(OR($F89=3,$G89=2),IF(OR(AND(AJ$4&gt;=$AD$119,$C89=2),AND(AJ$4&gt;=$AF$119,$C89=1)),0,IF(AN89&lt;=60,AT89,60/AL$4*AL$7)),IF(AND($F89=2,$G89=1),AT89,0)))))</f>
        <v>0</v>
      </c>
      <c r="AW89" s="57" t="str">
        <f t="shared" si="690"/>
        <v/>
      </c>
      <c r="AX89" s="57" t="str">
        <f t="shared" si="504"/>
        <v/>
      </c>
      <c r="AY89" s="713">
        <f>'org. Düngung 22'!P88</f>
        <v>0</v>
      </c>
      <c r="AZ89" s="57"/>
      <c r="BA89" s="57"/>
      <c r="BB89" s="57">
        <f t="shared" si="505"/>
        <v>0</v>
      </c>
      <c r="BC89" s="57">
        <f t="shared" si="691"/>
        <v>0</v>
      </c>
      <c r="BD89" s="57">
        <f t="shared" si="692"/>
        <v>0</v>
      </c>
      <c r="BE89" s="57">
        <f t="shared" si="693"/>
        <v>0</v>
      </c>
      <c r="BF89" s="57">
        <f t="shared" si="694"/>
        <v>0</v>
      </c>
      <c r="BG89" s="1029">
        <f t="shared" si="506"/>
        <v>0</v>
      </c>
      <c r="BH89" s="57">
        <f t="shared" si="507"/>
        <v>0</v>
      </c>
      <c r="BI89" s="171" t="str">
        <f t="shared" si="508"/>
        <v/>
      </c>
      <c r="BJ89" s="57">
        <f t="shared" si="695"/>
        <v>0</v>
      </c>
      <c r="BK89" s="57">
        <f>IF(OR(AND(AY$6=1,$L89=0),AND(AY$6=2,$K89=2,$G89=1)),0,IF(AND(BA$9=2,(OR($F89&gt;1,$K89=1,AND($L89=80,OR($N89=1,AND($N89=2,'#BerechnungDBE'!$AL80&gt;0)))))),IF(AY$4&gt;=$AD$126,0,BI89),IF(BA$9=3,IF(OR(AY$4&gt;=$AD$127,AND($G89=1,$J89=2,AY$6=2),AND(AY$6=1,$N89&lt;&gt;1)),0,IF(BC89&lt;=120,BI89,IF(AY$4&lt;$AD$124,IF($F89=1,60/BA$4*BA$6,60/BA$4*BA$7),IF($F89=1,120/BA$4*BA$6,120/BA$4*BA$7)))),IF(OR($F89=3,$G89=2),IF(OR(AND(AY$4&gt;=$AD$119,$C89=2),AND(AY$4&gt;=$AF$119,$C89=1)),0,IF(BC89&lt;=60,BI89,60/BA$4*BA$7)),IF(AND($F89=2,$G89=1),BI89,0)))))</f>
        <v>0</v>
      </c>
      <c r="BL89" s="57" t="str">
        <f t="shared" si="509"/>
        <v/>
      </c>
      <c r="BM89" s="57" t="str">
        <f t="shared" si="510"/>
        <v/>
      </c>
      <c r="BN89" s="713">
        <f>'org. Düngung 22'!T88</f>
        <v>0</v>
      </c>
      <c r="BO89" s="57"/>
      <c r="BP89" s="57"/>
      <c r="BQ89" s="57">
        <f t="shared" si="511"/>
        <v>0</v>
      </c>
      <c r="BR89" s="57">
        <f t="shared" si="696"/>
        <v>0</v>
      </c>
      <c r="BS89" s="57">
        <f t="shared" si="697"/>
        <v>0</v>
      </c>
      <c r="BT89" s="57">
        <f t="shared" si="698"/>
        <v>0</v>
      </c>
      <c r="BU89" s="57">
        <f t="shared" si="699"/>
        <v>0</v>
      </c>
      <c r="BV89" s="1029">
        <f t="shared" si="512"/>
        <v>0</v>
      </c>
      <c r="BW89" s="57">
        <f t="shared" si="513"/>
        <v>0</v>
      </c>
      <c r="BX89" s="171" t="str">
        <f t="shared" si="514"/>
        <v/>
      </c>
      <c r="BY89" s="57">
        <f t="shared" si="700"/>
        <v>0</v>
      </c>
      <c r="BZ89" s="57">
        <f>IF(OR(AND(BN$6=1,$L89=0),AND(BN$6=2,$K89=2,$G89=1)),0,IF(AND(BP$9=2,(OR($F89&gt;1,$K89=1,AND($L89=80,OR($N89=1,AND($N89=2,'#BerechnungDBE'!$AL80&gt;0)))))),IF(BN$4&gt;=$AD$126,0,BX89),IF(BP$9=3,IF(OR(BN$4&gt;=$AD$127,AND($G89=1,$J89=2,BN$6=2),AND(BN$6=1,$N89&lt;&gt;1)),0,IF(BR89&lt;=120,BX89,IF(BN$4&lt;$AD$124,IF($F89=1,60/BP$4*BP$6,60/BP$4*BP$7),IF($F89=1,120/BP$4*BP$6,120/BP$4*BP$7)))),IF(OR($F89=3,$G89=2),IF(OR(AND(BN$4&gt;=$AD$119,$C89=2),AND(BN$4&gt;=$AF$119,$C89=1)),0,IF(BR89&lt;=60,BX89,60/BP$4*BP$7)),IF(AND($F89=2,$G89=1),BX89,0)))))</f>
        <v>0</v>
      </c>
      <c r="CA89" s="57" t="str">
        <f t="shared" si="515"/>
        <v/>
      </c>
      <c r="CB89" s="57" t="str">
        <f t="shared" si="516"/>
        <v/>
      </c>
      <c r="CC89" s="713">
        <f>'org. Düngung 22'!X88</f>
        <v>0</v>
      </c>
      <c r="CD89" s="57"/>
      <c r="CE89" s="57"/>
      <c r="CF89" s="57">
        <f t="shared" si="517"/>
        <v>0</v>
      </c>
      <c r="CG89" s="57">
        <f t="shared" si="701"/>
        <v>0</v>
      </c>
      <c r="CH89" s="57">
        <f t="shared" si="702"/>
        <v>0</v>
      </c>
      <c r="CI89" s="57">
        <f t="shared" si="703"/>
        <v>0</v>
      </c>
      <c r="CJ89" s="57">
        <f t="shared" si="704"/>
        <v>0</v>
      </c>
      <c r="CK89" s="1029">
        <f t="shared" si="518"/>
        <v>0</v>
      </c>
      <c r="CL89" s="57">
        <f t="shared" si="519"/>
        <v>0</v>
      </c>
      <c r="CM89" s="171" t="str">
        <f t="shared" si="520"/>
        <v/>
      </c>
      <c r="CN89" s="57">
        <f t="shared" si="705"/>
        <v>0</v>
      </c>
      <c r="CO89" s="57">
        <f>IF(OR(AND(CC$6=1,$L89=0),AND(CC$6=2,$K89=2,$G89=1)),0,IF(AND(CE$9=2,(OR($F89&gt;1,$K89=1,AND($L89=80,OR($N89=1,AND($N89=2,'#BerechnungDBE'!$AL80&gt;0)))))),IF(CC$4&gt;=$AD$126,0,CM89),IF(CE$9=3,IF(OR(CC$4&gt;=$AD$127,AND($G89=1,$J89=2,CC$6=2),AND(CC$6=1,$N89&lt;&gt;1)),0,IF(CG89&lt;=120,CM89,IF(CC$4&lt;$AD$124,IF($F89=1,60/CE$4*CE$6,60/CE$4*CE$7),IF($F89=1,120/CE$4*CE$6,120/CE$4*CE$7)))),IF(OR($F89=3,$G89=2),IF(OR(AND(CC$4&gt;=$AD$119,$C89=2),AND(CC$4&gt;=$AF$119,$C89=1)),0,IF(CG89&lt;=60,CM89,60/CE$4*CE$7)),IF(AND($F89=2,$G89=1),CM89,0)))))</f>
        <v>0</v>
      </c>
      <c r="CP89" s="57" t="str">
        <f t="shared" si="521"/>
        <v/>
      </c>
      <c r="CQ89" s="57" t="str">
        <f t="shared" si="522"/>
        <v/>
      </c>
      <c r="CR89" s="713">
        <f>'org. Düngung 22'!AB88</f>
        <v>0</v>
      </c>
      <c r="CS89" s="57"/>
      <c r="CT89" s="57"/>
      <c r="CU89" s="57">
        <f t="shared" si="523"/>
        <v>0</v>
      </c>
      <c r="CV89" s="57">
        <f t="shared" si="706"/>
        <v>0</v>
      </c>
      <c r="CW89" s="57">
        <f t="shared" si="707"/>
        <v>0</v>
      </c>
      <c r="CX89" s="57">
        <f t="shared" si="708"/>
        <v>0</v>
      </c>
      <c r="CY89" s="57">
        <f t="shared" si="709"/>
        <v>0</v>
      </c>
      <c r="CZ89" s="1029">
        <f t="shared" si="524"/>
        <v>0</v>
      </c>
      <c r="DA89" s="57">
        <f t="shared" si="525"/>
        <v>0</v>
      </c>
      <c r="DB89" s="171" t="str">
        <f t="shared" si="526"/>
        <v/>
      </c>
      <c r="DC89" s="57">
        <f t="shared" si="710"/>
        <v>0</v>
      </c>
      <c r="DD89" s="57">
        <f>IF(OR(AND(CR$6=1,$L89=0),AND(CR$6=2,$K89=2,$G89=1)),0,IF(AND(CT$9=2,(OR($F89&gt;1,$K89=1,AND($L89=80,OR($N89=1,AND($N89=2,'#BerechnungDBE'!$AL80&gt;0)))))),IF(CR$4&gt;=$AD$126,0,DB89),IF(CT$9=3,IF(OR(CR$4&gt;=$AD$127,AND($G89=1,$J89=2,CR$6=2),AND(CR$6=1,$N89&lt;&gt;1)),0,IF(CV89&lt;=120,DB89,IF(CR$4&lt;$AD$124,IF($F89=1,60/CT$4*CT$6,60/CT$4*CT$7),IF($F89=1,120/CT$4*CT$6,120/CT$4*CT$7)))),IF(OR($F89=3,$G89=2),IF(OR(AND(CR$4&gt;=$AD$119,$C89=2),AND(CR$4&gt;=$AF$119,$C89=1)),0,IF(CV89&lt;=60,DB89,60/CT$4*CT$7)),IF(AND($F89=2,$G89=1),DB89,0)))))</f>
        <v>0</v>
      </c>
      <c r="DE89" s="57" t="str">
        <f t="shared" si="527"/>
        <v/>
      </c>
      <c r="DF89" s="57" t="str">
        <f t="shared" si="528"/>
        <v/>
      </c>
      <c r="DG89" s="713">
        <f>'org. Düngung 22'!AF88</f>
        <v>0</v>
      </c>
      <c r="DH89" s="57"/>
      <c r="DI89" s="57"/>
      <c r="DJ89" s="57">
        <f t="shared" si="529"/>
        <v>0</v>
      </c>
      <c r="DK89" s="57">
        <f t="shared" si="711"/>
        <v>0</v>
      </c>
      <c r="DL89" s="57">
        <f t="shared" si="712"/>
        <v>0</v>
      </c>
      <c r="DM89" s="57">
        <f t="shared" si="713"/>
        <v>0</v>
      </c>
      <c r="DN89" s="57">
        <f t="shared" si="714"/>
        <v>0</v>
      </c>
      <c r="DO89" s="1029">
        <f t="shared" si="530"/>
        <v>0</v>
      </c>
      <c r="DP89" s="57">
        <f t="shared" si="531"/>
        <v>0</v>
      </c>
      <c r="DQ89" s="171" t="str">
        <f t="shared" si="532"/>
        <v/>
      </c>
      <c r="DR89" s="57">
        <f t="shared" si="715"/>
        <v>0</v>
      </c>
      <c r="DS89" s="57">
        <f>IF(OR(AND(DG$6=1,$L89=0),AND(DG$6=2,$K89=2,$G89=1)),0,IF(AND(DI$9=2,(OR($F89&gt;1,$K89=1,AND($L89=80,OR($N89=1,AND($N89=2,'#BerechnungDBE'!$AL80&gt;0)))))),IF(DG$4&gt;=$AD$126,0,DQ89),IF(DI$9=3,IF(OR(DG$4&gt;=$AD$127,AND($G89=1,$J89=2,DG$6=2),AND(DG$6=1,$N89&lt;&gt;1)),0,IF(DK89&lt;=120,DQ89,IF(DG$4&lt;$AD$124,IF($F89=1,60/DI$4*DI$6,60/DI$4*DI$7),IF($F89=1,120/DI$4*DI$6,120/DI$4*DI$7)))),IF(OR($F89=3,$G89=2),IF(OR(AND(DG$4&gt;=$AD$119,$C89=2),AND(DG$4&gt;=$AF$119,$C89=1)),0,IF(DK89&lt;=60,DQ89,60/DI$4*DI$7)),IF(AND($F89=2,$G89=1),DQ89,0)))))</f>
        <v>0</v>
      </c>
      <c r="DT89" s="57" t="str">
        <f t="shared" si="533"/>
        <v/>
      </c>
      <c r="DU89" s="57" t="str">
        <f t="shared" si="534"/>
        <v/>
      </c>
      <c r="DV89" s="713">
        <f>'org. Düngung 22'!AJ88</f>
        <v>0</v>
      </c>
      <c r="DW89" s="57"/>
      <c r="DX89" s="57"/>
      <c r="DY89" s="57">
        <f t="shared" si="535"/>
        <v>0</v>
      </c>
      <c r="DZ89" s="57">
        <f t="shared" si="716"/>
        <v>0</v>
      </c>
      <c r="EA89" s="57">
        <f t="shared" si="717"/>
        <v>0</v>
      </c>
      <c r="EB89" s="57">
        <f t="shared" si="718"/>
        <v>0</v>
      </c>
      <c r="EC89" s="57">
        <f t="shared" si="719"/>
        <v>0</v>
      </c>
      <c r="ED89" s="1029">
        <f t="shared" si="536"/>
        <v>0</v>
      </c>
      <c r="EE89" s="57">
        <f t="shared" si="537"/>
        <v>0</v>
      </c>
      <c r="EF89" s="171" t="str">
        <f t="shared" si="538"/>
        <v/>
      </c>
      <c r="EG89" s="57">
        <f t="shared" si="720"/>
        <v>0</v>
      </c>
      <c r="EH89" s="57">
        <f>IF(OR(AND(DV$6=1,$L89=0),AND(DV$6=2,$K89=2,$G89=1)),0,IF(AND(DX$9=2,(OR($F89&gt;1,$K89=1,AND($L89=80,OR($N89=1,AND($N89=2,'#BerechnungDBE'!$AL80&gt;0)))))),IF(DV$4&gt;=$AD$126,0,EF89),IF(DX$9=3,IF(OR(DV$4&gt;=$AD$127,AND($G89=1,$J89=2,DV$6=2),AND(DV$6=1,$N89&lt;&gt;1)),0,IF(DZ89&lt;=120,EF89,IF(DV$4&lt;$AD$124,IF($F89=1,60/DX$4*DX$6,60/DX$4*DX$7),IF($F89=1,120/DX$4*DX$6,120/DX$4*DX$7)))),IF(OR($F89=3,$G89=2),IF(OR(AND(DV$4&gt;=$AD$119,$C89=2),AND(DV$4&gt;=$AF$119,$C89=1)),0,IF(DZ89&lt;=60,EF89,60/DX$4*DX$7)),IF(AND($F89=2,$G89=1),EF89,0)))))</f>
        <v>0</v>
      </c>
      <c r="EI89" s="57" t="str">
        <f t="shared" si="539"/>
        <v/>
      </c>
      <c r="EJ89" s="57" t="str">
        <f t="shared" si="540"/>
        <v/>
      </c>
      <c r="EK89" s="713">
        <f>'org. Düngung 22'!AN88</f>
        <v>0</v>
      </c>
      <c r="EL89" s="57"/>
      <c r="EM89" s="57"/>
      <c r="EN89" s="57">
        <f t="shared" si="541"/>
        <v>0</v>
      </c>
      <c r="EO89" s="57">
        <f t="shared" si="721"/>
        <v>0</v>
      </c>
      <c r="EP89" s="57">
        <f t="shared" si="722"/>
        <v>0</v>
      </c>
      <c r="EQ89" s="57">
        <f t="shared" si="723"/>
        <v>0</v>
      </c>
      <c r="ER89" s="57">
        <f t="shared" si="724"/>
        <v>0</v>
      </c>
      <c r="ES89" s="1029">
        <f t="shared" si="542"/>
        <v>0</v>
      </c>
      <c r="ET89" s="57">
        <f t="shared" si="543"/>
        <v>0</v>
      </c>
      <c r="EU89" s="171" t="str">
        <f t="shared" si="544"/>
        <v/>
      </c>
      <c r="EV89" s="57">
        <f t="shared" si="725"/>
        <v>0</v>
      </c>
      <c r="EW89" s="57">
        <f>IF(OR(AND(EK$6=1,$L89=0),AND(EK$6=2,$K89=2,$G89=1)),0,IF(AND(EM$9=2,(OR($F89&gt;1,$K89=1,AND($L89=80,OR($N89=1,AND($N89=2,'#BerechnungDBE'!$AL80&gt;0)))))),IF(EK$4&gt;=$AD$126,0,EU89),IF(EM$9=3,IF(OR(EK$4&gt;=$AD$127,AND($G89=1,$J89=2,EK$6=2),AND(EK$6=1,$N89&lt;&gt;1)),0,IF(EO89&lt;=120,EU89,IF(EK$4&lt;$AD$124,IF($F89=1,60/EM$4*EM$6,60/EM$4*EM$7),IF($F89=1,120/EM$4*EM$6,120/EM$4*EM$7)))),IF(OR($F89=3,$G89=2),IF(OR(AND(EK$4&gt;=$AD$119,$C89=2),AND(EK$4&gt;=$AF$119,$C89=1)),0,IF(EO89&lt;=60,EU89,60/EM$4*EM$7)),IF(AND($F89=2,$G89=1),EU89,0)))))</f>
        <v>0</v>
      </c>
      <c r="EX89" s="57" t="str">
        <f t="shared" si="545"/>
        <v/>
      </c>
      <c r="EY89" s="57" t="str">
        <f t="shared" si="546"/>
        <v/>
      </c>
      <c r="EZ89" s="713">
        <f>'org. Düngung 22'!AR88</f>
        <v>0</v>
      </c>
      <c r="FA89" s="57"/>
      <c r="FB89" s="57"/>
      <c r="FC89" s="57">
        <f t="shared" si="547"/>
        <v>0</v>
      </c>
      <c r="FD89" s="57">
        <f t="shared" si="726"/>
        <v>0</v>
      </c>
      <c r="FE89" s="57">
        <f t="shared" si="727"/>
        <v>0</v>
      </c>
      <c r="FF89" s="57">
        <f t="shared" si="728"/>
        <v>0</v>
      </c>
      <c r="FG89" s="57">
        <f t="shared" si="729"/>
        <v>0</v>
      </c>
      <c r="FH89" s="1029">
        <f t="shared" si="548"/>
        <v>0</v>
      </c>
      <c r="FI89" s="57">
        <f t="shared" si="549"/>
        <v>0</v>
      </c>
      <c r="FJ89" s="171" t="str">
        <f t="shared" si="550"/>
        <v/>
      </c>
      <c r="FK89" s="57">
        <f t="shared" si="730"/>
        <v>0</v>
      </c>
      <c r="FL89" s="57">
        <f>IF(OR(AND(EZ$6=1,$L89=0),AND(EZ$6=2,$K89=2,$G89=1)),0,IF(AND(FB$9=2,(OR($F89&gt;1,$K89=1,AND($L89=80,OR($N89=1,AND($N89=2,'#BerechnungDBE'!$AL80&gt;0)))))),IF(EZ$4&gt;=$AD$126,0,FJ89),IF(FB$9=3,IF(OR(EZ$4&gt;=$AD$127,AND($G89=1,$J89=2,EZ$6=2),AND(EZ$6=1,$N89&lt;&gt;1)),0,IF(FD89&lt;=120,FJ89,IF(EZ$4&lt;$AD$124,IF($F89=1,60/FB$4*FB$6,60/FB$4*FB$7),IF($F89=1,120/FB$4*FB$6,120/FB$4*FB$7)))),IF(OR($F89=3,$G89=2),IF(OR(AND(EZ$4&gt;=$AD$119,$C89=2),AND(EZ$4&gt;=$AF$119,$C89=1)),0,IF(FD89&lt;=60,FJ89,60/FB$4*FB$7)),IF(AND($F89=2,$G89=1),FJ89,0)))))</f>
        <v>0</v>
      </c>
      <c r="FM89" s="57" t="str">
        <f t="shared" si="551"/>
        <v/>
      </c>
      <c r="FN89" s="57" t="str">
        <f t="shared" si="552"/>
        <v/>
      </c>
      <c r="FO89" s="713">
        <f>'org. Düngung 22'!AV88</f>
        <v>0</v>
      </c>
      <c r="FP89" s="57"/>
      <c r="FQ89" s="57"/>
      <c r="FR89" s="57">
        <f t="shared" si="553"/>
        <v>0</v>
      </c>
      <c r="FS89" s="57">
        <f t="shared" si="731"/>
        <v>0</v>
      </c>
      <c r="FT89" s="57">
        <f t="shared" si="732"/>
        <v>0</v>
      </c>
      <c r="FU89" s="57">
        <f t="shared" si="733"/>
        <v>0</v>
      </c>
      <c r="FV89" s="57">
        <f t="shared" si="734"/>
        <v>0</v>
      </c>
      <c r="FW89" s="1029">
        <f t="shared" si="554"/>
        <v>0</v>
      </c>
      <c r="FX89" s="57">
        <f t="shared" si="555"/>
        <v>0</v>
      </c>
      <c r="FY89" s="171" t="str">
        <f t="shared" si="556"/>
        <v/>
      </c>
      <c r="FZ89" s="57">
        <f t="shared" si="735"/>
        <v>0</v>
      </c>
      <c r="GA89" s="57">
        <f>IF(OR(AND(FO$6=1,$L89=0),AND(FO$6=2,$K89=2,$G89=1)),0,IF(AND(FQ$9=2,(OR($F89&gt;1,$K89=1,AND($L89=80,OR($N89=1,AND($N89=2,'#BerechnungDBE'!$AL80&gt;0)))))),IF(FO$4&gt;=$AD$126,0,FY89),IF(FQ$9=3,IF(OR(FO$4&gt;=$AD$127,AND($G89=1,$J89=2,FO$6=2),AND(FO$6=1,$N89&lt;&gt;1)),0,IF(FS89&lt;=120,FY89,IF(FO$4&lt;$AD$124,IF($F89=1,60/FQ$4*FQ$6,60/FQ$4*FQ$7),IF($F89=1,120/FQ$4*FQ$6,120/FQ$4*FQ$7)))),IF(OR($F89=3,$G89=2),IF(OR(AND(FO$4&gt;=$AD$119,$C89=2),AND(FO$4&gt;=$AF$119,$C89=1)),0,IF(FS89&lt;=60,FY89,60/FQ$4*FQ$7)),IF(AND($F89=2,$G89=1),FY89,0)))))</f>
        <v>0</v>
      </c>
      <c r="GB89" s="57" t="str">
        <f t="shared" si="557"/>
        <v/>
      </c>
      <c r="GC89" s="57" t="str">
        <f t="shared" si="558"/>
        <v/>
      </c>
      <c r="GD89" s="713">
        <f>'org. Düngung 22'!AZ88</f>
        <v>0</v>
      </c>
      <c r="GE89" s="57"/>
      <c r="GF89" s="57"/>
      <c r="GG89" s="57">
        <f t="shared" si="559"/>
        <v>0</v>
      </c>
      <c r="GH89" s="57">
        <f t="shared" si="736"/>
        <v>0</v>
      </c>
      <c r="GI89" s="57">
        <f t="shared" si="737"/>
        <v>0</v>
      </c>
      <c r="GJ89" s="57">
        <f t="shared" si="738"/>
        <v>0</v>
      </c>
      <c r="GK89" s="57">
        <f t="shared" si="739"/>
        <v>0</v>
      </c>
      <c r="GL89" s="1029">
        <f t="shared" si="560"/>
        <v>0</v>
      </c>
      <c r="GM89" s="57">
        <f t="shared" si="561"/>
        <v>0</v>
      </c>
      <c r="GN89" s="171" t="str">
        <f t="shared" si="562"/>
        <v/>
      </c>
      <c r="GO89" s="57">
        <f t="shared" si="740"/>
        <v>0</v>
      </c>
      <c r="GP89" s="57">
        <f>IF(OR(AND(GD$6=1,$L89=0),AND(GD$6=2,$K89=2,$G89=1)),0,IF(AND(GF$9=2,(OR($F89&gt;1,$K89=1,AND($L89=80,OR($N89=1,AND($N89=2,'#BerechnungDBE'!$AL80&gt;0)))))),IF(GD$4&gt;=$AD$126,0,GN89),IF(GF$9=3,IF(OR(GD$4&gt;=$AD$127,AND($G89=1,$J89=2,GD$6=2),AND(GD$6=1,$N89&lt;&gt;1)),0,IF(GH89&lt;=120,GN89,IF(GD$4&lt;$AD$124,IF($F89=1,60/GF$4*GF$6,60/GF$4*GF$7),IF($F89=1,120/GF$4*GF$6,120/GF$4*GF$7)))),IF(OR($F89=3,$G89=2),IF(OR(AND(GD$4&gt;=$AD$119,$C89=2),AND(GD$4&gt;=$AF$119,$C89=1)),0,IF(GH89&lt;=60,GN89,60/GF$4*GF$7)),IF(AND($F89=2,$G89=1),GN89,0)))))</f>
        <v>0</v>
      </c>
      <c r="GQ89" s="57" t="str">
        <f t="shared" si="563"/>
        <v/>
      </c>
      <c r="GR89" s="57" t="str">
        <f t="shared" si="564"/>
        <v/>
      </c>
      <c r="GS89" s="713">
        <f>'org. Düngung 22'!BD88</f>
        <v>0</v>
      </c>
      <c r="GT89" s="57"/>
      <c r="GU89" s="57"/>
      <c r="GV89" s="57">
        <f t="shared" si="565"/>
        <v>0</v>
      </c>
      <c r="GW89" s="57">
        <f t="shared" si="741"/>
        <v>0</v>
      </c>
      <c r="GX89" s="57">
        <f t="shared" si="742"/>
        <v>0</v>
      </c>
      <c r="GY89" s="57">
        <f t="shared" si="743"/>
        <v>0</v>
      </c>
      <c r="GZ89" s="57">
        <f t="shared" si="744"/>
        <v>0</v>
      </c>
      <c r="HA89" s="1029">
        <f t="shared" si="566"/>
        <v>0</v>
      </c>
      <c r="HB89" s="57">
        <f t="shared" si="567"/>
        <v>0</v>
      </c>
      <c r="HC89" s="171" t="str">
        <f t="shared" si="568"/>
        <v/>
      </c>
      <c r="HD89" s="57">
        <f t="shared" si="745"/>
        <v>0</v>
      </c>
      <c r="HE89" s="57">
        <f>IF(OR(AND(GS$6=1,$L89=0),AND(GS$6=2,$K89=2,$G89=1)),0,IF(AND(GU$9=2,(OR($F89&gt;1,$K89=1,AND($L89=80,OR($N89=1,AND($N89=2,'#BerechnungDBE'!$AL80&gt;0)))))),IF(GS$4&gt;=$AD$126,0,HC89),IF(GU$9=3,IF(OR(GS$4&gt;=$AD$127,AND($G89=1,$J89=2,GS$6=2),AND(GS$6=1,$N89&lt;&gt;1)),0,IF(GW89&lt;=120,HC89,IF(GS$4&lt;$AD$124,IF($F89=1,60/GU$4*GU$6,60/GU$4*GU$7),IF($F89=1,120/GU$4*GU$6,120/GU$4*GU$7)))),IF(OR($F89=3,$G89=2),IF(OR(AND(GS$4&gt;=$AD$119,$C89=2),AND(GS$4&gt;=$AF$119,$C89=1)),0,IF(GW89&lt;=60,HC89,60/GU$4*GU$7)),IF(AND($F89=2,$G89=1),HC89,0)))))</f>
        <v>0</v>
      </c>
      <c r="HF89" s="57" t="str">
        <f t="shared" si="569"/>
        <v/>
      </c>
      <c r="HG89" s="57" t="str">
        <f t="shared" si="570"/>
        <v/>
      </c>
      <c r="HH89" s="713">
        <f>'org. Düngung 22'!BH88</f>
        <v>0</v>
      </c>
      <c r="HI89" s="57"/>
      <c r="HJ89" s="57"/>
      <c r="HK89" s="57">
        <f t="shared" si="571"/>
        <v>0</v>
      </c>
      <c r="HL89" s="57">
        <f t="shared" si="746"/>
        <v>0</v>
      </c>
      <c r="HM89" s="57">
        <f t="shared" si="747"/>
        <v>0</v>
      </c>
      <c r="HN89" s="57">
        <f t="shared" si="748"/>
        <v>0</v>
      </c>
      <c r="HO89" s="57">
        <f t="shared" si="749"/>
        <v>0</v>
      </c>
      <c r="HP89" s="1029">
        <f t="shared" si="572"/>
        <v>0</v>
      </c>
      <c r="HQ89" s="57">
        <f t="shared" si="573"/>
        <v>0</v>
      </c>
      <c r="HR89" s="171" t="str">
        <f t="shared" si="574"/>
        <v/>
      </c>
      <c r="HS89" s="57">
        <f t="shared" si="750"/>
        <v>0</v>
      </c>
      <c r="HT89" s="57">
        <f>IF(OR(AND(HH$6=1,$L89=0),AND(HH$6=2,$K89=2,$G89=1)),0,IF(AND(HJ$9=2,(OR($F89&gt;1,$K89=1,AND($L89=80,OR($N89=1,AND($N89=2,'#BerechnungDBE'!$AL80&gt;0)))))),IF(HH$4&gt;=$AD$126,0,HR89),IF(HJ$9=3,IF(OR(HH$4&gt;=$AD$127,AND($G89=1,$J89=2,HH$6=2),AND(HH$6=1,$N89&lt;&gt;1)),0,IF(HL89&lt;=120,HR89,IF(HH$4&lt;$AD$124,IF($F89=1,60/HJ$4*HJ$6,60/HJ$4*HJ$7),IF($F89=1,120/HJ$4*HJ$6,120/HJ$4*HJ$7)))),IF(OR($F89=3,$G89=2),IF(OR(AND(HH$4&gt;=$AD$119,$C89=2),AND(HH$4&gt;=$AF$119,$C89=1)),0,IF(HL89&lt;=60,HR89,60/HJ$4*HJ$7)),IF(AND($F89=2,$G89=1),HR89,0)))))</f>
        <v>0</v>
      </c>
      <c r="HU89" s="57" t="str">
        <f t="shared" si="575"/>
        <v/>
      </c>
      <c r="HV89" s="57" t="str">
        <f t="shared" si="576"/>
        <v/>
      </c>
      <c r="HW89" s="713">
        <f>'org. Düngung 22'!BL88</f>
        <v>0</v>
      </c>
      <c r="HX89" s="57"/>
      <c r="HY89" s="57"/>
      <c r="HZ89" s="57">
        <f t="shared" si="577"/>
        <v>0</v>
      </c>
      <c r="IA89" s="57">
        <f t="shared" si="751"/>
        <v>0</v>
      </c>
      <c r="IB89" s="57">
        <f t="shared" si="752"/>
        <v>0</v>
      </c>
      <c r="IC89" s="57">
        <f t="shared" si="753"/>
        <v>0</v>
      </c>
      <c r="ID89" s="57">
        <f t="shared" si="754"/>
        <v>0</v>
      </c>
      <c r="IE89" s="1029">
        <f t="shared" si="578"/>
        <v>0</v>
      </c>
      <c r="IF89" s="57">
        <f t="shared" si="579"/>
        <v>0</v>
      </c>
      <c r="IG89" s="171" t="str">
        <f t="shared" si="580"/>
        <v/>
      </c>
      <c r="IH89" s="57">
        <f t="shared" si="755"/>
        <v>0</v>
      </c>
      <c r="II89" s="57">
        <f>IF(OR(AND(HW$6=1,$L89=0),AND(HW$6=2,$K89=2,$G89=1)),0,IF(AND(HY$9=2,(OR($F89&gt;1,$K89=1,AND($L89=80,OR($N89=1,AND($N89=2,'#BerechnungDBE'!$AL80&gt;0)))))),IF(HW$4&gt;=$AD$126,0,IG89),IF(HY$9=3,IF(OR(HW$4&gt;=$AD$127,AND($G89=1,$J89=2,HW$6=2),AND(HW$6=1,$N89&lt;&gt;1)),0,IF(IA89&lt;=120,IG89,IF(HW$4&lt;$AD$124,IF($F89=1,60/HY$4*HY$6,60/HY$4*HY$7),IF($F89=1,120/HY$4*HY$6,120/HY$4*HY$7)))),IF(OR($F89=3,$G89=2),IF(OR(AND(HW$4&gt;=$AD$119,$C89=2),AND(HW$4&gt;=$AF$119,$C89=1)),0,IF(IA89&lt;=60,IG89,60/HY$4*HY$7)),IF(AND($F89=2,$G89=1),IG89,0)))))</f>
        <v>0</v>
      </c>
      <c r="IJ89" s="57" t="str">
        <f t="shared" si="581"/>
        <v/>
      </c>
      <c r="IK89" s="57" t="str">
        <f t="shared" si="582"/>
        <v/>
      </c>
      <c r="IL89" s="713">
        <f>'org. Düngung 22'!BP88</f>
        <v>0</v>
      </c>
      <c r="IM89" s="57"/>
      <c r="IN89" s="57"/>
      <c r="IO89" s="57">
        <f t="shared" si="583"/>
        <v>0</v>
      </c>
      <c r="IP89" s="57">
        <f t="shared" si="756"/>
        <v>0</v>
      </c>
      <c r="IQ89" s="57">
        <f t="shared" si="757"/>
        <v>0</v>
      </c>
      <c r="IR89" s="57">
        <f t="shared" si="758"/>
        <v>0</v>
      </c>
      <c r="IS89" s="57">
        <f t="shared" si="759"/>
        <v>0</v>
      </c>
      <c r="IT89" s="1029">
        <f t="shared" si="584"/>
        <v>0</v>
      </c>
      <c r="IU89" s="57">
        <f t="shared" si="585"/>
        <v>0</v>
      </c>
      <c r="IV89" s="171" t="str">
        <f t="shared" si="586"/>
        <v/>
      </c>
      <c r="IW89" s="57">
        <f t="shared" si="760"/>
        <v>0</v>
      </c>
      <c r="IX89" s="57">
        <f>IF(OR(AND(IL$6=1,$L89=0),AND(IL$6=2,$K89=2,$G89=1)),0,IF(AND(IN$9=2,(OR($F89&gt;1,$K89=1,AND($L89=80,OR($N89=1,AND($N89=2,'#BerechnungDBE'!$AL80&gt;0)))))),IF(IL$4&gt;=$AD$126,0,IV89),IF(IN$9=3,IF(OR(IL$4&gt;=$AD$127,AND($G89=1,$J89=2,IL$6=2),AND(IL$6=1,$N89&lt;&gt;1)),0,IF(IP89&lt;=120,IV89,IF(IL$4&lt;$AD$124,IF($F89=1,60/IN$4*IN$6,60/IN$4*IN$7),IF($F89=1,120/IN$4*IN$6,120/IN$4*IN$7)))),IF(OR($F89=3,$G89=2),IF(OR(AND(IL$4&gt;=$AD$119,$C89=2),AND(IL$4&gt;=$AF$119,$C89=1)),0,IF(IP89&lt;=60,IV89,60/IN$4*IN$7)),IF(AND($F89=2,$G89=1),IV89,0)))))</f>
        <v>0</v>
      </c>
      <c r="IY89" s="57" t="str">
        <f t="shared" si="587"/>
        <v/>
      </c>
      <c r="IZ89" s="57" t="str">
        <f t="shared" si="588"/>
        <v/>
      </c>
      <c r="JA89" s="713">
        <f>'org. Düngung 22'!BT88</f>
        <v>0</v>
      </c>
      <c r="JB89" s="57"/>
      <c r="JC89" s="57"/>
      <c r="JD89" s="57">
        <f t="shared" si="589"/>
        <v>0</v>
      </c>
      <c r="JE89" s="57">
        <f t="shared" si="761"/>
        <v>0</v>
      </c>
      <c r="JF89" s="57">
        <f t="shared" si="762"/>
        <v>0</v>
      </c>
      <c r="JG89" s="57">
        <f t="shared" si="763"/>
        <v>0</v>
      </c>
      <c r="JH89" s="57">
        <f t="shared" si="764"/>
        <v>0</v>
      </c>
      <c r="JI89" s="1029">
        <f t="shared" si="590"/>
        <v>0</v>
      </c>
      <c r="JJ89" s="57">
        <f t="shared" si="591"/>
        <v>0</v>
      </c>
      <c r="JK89" s="171" t="str">
        <f t="shared" si="592"/>
        <v/>
      </c>
      <c r="JL89" s="57">
        <f t="shared" si="765"/>
        <v>0</v>
      </c>
      <c r="JM89" s="57">
        <f>IF(OR(AND(JA$6=1,$L89=0),AND(JA$6=2,$K89=2,$G89=1)),0,IF(AND(JC$9=2,(OR($F89&gt;1,$K89=1,AND($L89=80,OR($N89=1,AND($N89=2,'#BerechnungDBE'!$AL80&gt;0)))))),IF(JA$4&gt;=$AD$126,0,JK89),IF(JC$9=3,IF(OR(JA$4&gt;=$AD$127,AND($G89=1,$J89=2,JA$6=2),AND(JA$6=1,$N89&lt;&gt;1)),0,IF(JE89&lt;=120,JK89,IF(JA$4&lt;$AD$124,IF($F89=1,60/JC$4*JC$6,60/JC$4*JC$7),IF($F89=1,120/JC$4*JC$6,120/JC$4*JC$7)))),IF(OR($F89=3,$G89=2),IF(OR(AND(JA$4&gt;=$AD$119,$C89=2),AND(JA$4&gt;=$AF$119,$C89=1)),0,IF(JE89&lt;=60,JK89,60/JC$4*JC$7)),IF(AND($F89=2,$G89=1),JK89,0)))))</f>
        <v>0</v>
      </c>
      <c r="JN89" s="57" t="str">
        <f t="shared" si="593"/>
        <v/>
      </c>
      <c r="JO89" s="57" t="str">
        <f t="shared" si="594"/>
        <v/>
      </c>
      <c r="JP89" s="713">
        <f>'org. Düngung 22'!BX88</f>
        <v>0</v>
      </c>
      <c r="JQ89" s="57"/>
      <c r="JR89" s="57"/>
      <c r="JS89" s="57">
        <f t="shared" si="595"/>
        <v>0</v>
      </c>
      <c r="JT89" s="57">
        <f t="shared" si="766"/>
        <v>0</v>
      </c>
      <c r="JU89" s="57">
        <f t="shared" si="767"/>
        <v>0</v>
      </c>
      <c r="JV89" s="57">
        <f t="shared" si="768"/>
        <v>0</v>
      </c>
      <c r="JW89" s="57">
        <f t="shared" si="769"/>
        <v>0</v>
      </c>
      <c r="JX89" s="1029">
        <f t="shared" si="596"/>
        <v>0</v>
      </c>
      <c r="JY89" s="57">
        <f t="shared" si="597"/>
        <v>0</v>
      </c>
      <c r="JZ89" s="171" t="str">
        <f t="shared" si="598"/>
        <v/>
      </c>
      <c r="KA89" s="57">
        <f t="shared" si="770"/>
        <v>0</v>
      </c>
      <c r="KB89" s="57">
        <f>IF(OR(AND(JP$6=1,$L89=0),AND(JP$6=2,$K89=2,$G89=1)),0,IF(AND(JR$9=2,(OR($F89&gt;1,$K89=1,AND($L89=80,OR($N89=1,AND($N89=2,'#BerechnungDBE'!$AL80&gt;0)))))),IF(JP$4&gt;=$AD$126,0,JZ89),IF(JR$9=3,IF(OR(JP$4&gt;=$AD$127,AND($G89=1,$J89=2,JP$6=2),AND(JP$6=1,$N89&lt;&gt;1)),0,IF(JT89&lt;=120,JZ89,IF(JP$4&lt;$AD$124,IF($F89=1,60/JR$4*JR$6,60/JR$4*JR$7),IF($F89=1,120/JR$4*JR$6,120/JR$4*JR$7)))),IF(OR($F89=3,$G89=2),IF(OR(AND(JP$4&gt;=$AD$119,$C89=2),AND(JP$4&gt;=$AF$119,$C89=1)),0,IF(JT89&lt;=60,JZ89,60/JR$4*JR$7)),IF(AND($F89=2,$G89=1),JZ89,0)))))</f>
        <v>0</v>
      </c>
      <c r="KC89" s="57" t="str">
        <f t="shared" si="599"/>
        <v/>
      </c>
      <c r="KD89" s="57" t="str">
        <f t="shared" si="600"/>
        <v/>
      </c>
      <c r="KE89" s="713">
        <f>'org. Düngung 22'!CB88</f>
        <v>0</v>
      </c>
      <c r="KF89" s="57"/>
      <c r="KG89" s="57"/>
      <c r="KH89" s="57">
        <f t="shared" si="601"/>
        <v>0</v>
      </c>
      <c r="KI89" s="57">
        <f t="shared" si="771"/>
        <v>0</v>
      </c>
      <c r="KJ89" s="57">
        <f t="shared" si="772"/>
        <v>0</v>
      </c>
      <c r="KK89" s="57">
        <f t="shared" si="773"/>
        <v>0</v>
      </c>
      <c r="KL89" s="57">
        <f t="shared" si="774"/>
        <v>0</v>
      </c>
      <c r="KM89" s="1029">
        <f t="shared" si="602"/>
        <v>0</v>
      </c>
      <c r="KN89" s="57">
        <f t="shared" si="603"/>
        <v>0</v>
      </c>
      <c r="KO89" s="171" t="str">
        <f t="shared" si="604"/>
        <v/>
      </c>
      <c r="KP89" s="57">
        <f t="shared" si="775"/>
        <v>0</v>
      </c>
      <c r="KQ89" s="57">
        <f>IF(OR(AND(KE$6=1,$L89=0),AND(KE$6=2,$K89=2,$G89=1)),0,IF(AND(KG$9=2,(OR($F89&gt;1,$K89=1,AND($L89=80,OR($N89=1,AND($N89=2,'#BerechnungDBE'!$AL80&gt;0)))))),IF(KE$4&gt;=$AD$126,0,KO89),IF(KG$9=3,IF(OR(KE$4&gt;=$AD$127,AND($G89=1,$J89=2,KE$6=2),AND(KE$6=1,$N89&lt;&gt;1)),0,IF(KI89&lt;=120,KO89,IF(KE$4&lt;$AD$124,IF($F89=1,60/KG$4*KG$6,60/KG$4*KG$7),IF($F89=1,120/KG$4*KG$6,120/KG$4*KG$7)))),IF(OR($F89=3,$G89=2),IF(OR(AND(KE$4&gt;=$AD$119,$C89=2),AND(KE$4&gt;=$AF$119,$C89=1)),0,IF(KI89&lt;=60,KO89,60/KG$4*KG$7)),IF(AND($F89=2,$G89=1),KO89,0)))))</f>
        <v>0</v>
      </c>
      <c r="KR89" s="57" t="str">
        <f t="shared" si="605"/>
        <v/>
      </c>
      <c r="KS89" s="57" t="str">
        <f t="shared" si="606"/>
        <v/>
      </c>
      <c r="KT89" s="713">
        <f>'org. Düngung 22'!CF88</f>
        <v>0</v>
      </c>
      <c r="KU89" s="57"/>
      <c r="KV89" s="57"/>
      <c r="KW89" s="57">
        <f t="shared" si="607"/>
        <v>0</v>
      </c>
      <c r="KX89" s="57">
        <f t="shared" si="776"/>
        <v>0</v>
      </c>
      <c r="KY89" s="57">
        <f t="shared" si="777"/>
        <v>0</v>
      </c>
      <c r="KZ89" s="57">
        <f t="shared" si="778"/>
        <v>0</v>
      </c>
      <c r="LA89" s="57">
        <f t="shared" si="779"/>
        <v>0</v>
      </c>
      <c r="LB89" s="1029">
        <f t="shared" si="608"/>
        <v>0</v>
      </c>
      <c r="LC89" s="57">
        <f t="shared" si="609"/>
        <v>0</v>
      </c>
      <c r="LD89" s="171" t="str">
        <f t="shared" si="610"/>
        <v/>
      </c>
      <c r="LE89" s="57">
        <f t="shared" si="780"/>
        <v>0</v>
      </c>
      <c r="LF89" s="57">
        <f>IF(OR(AND(KT$6=1,$L89=0),AND(KT$6=2,$K89=2,$G89=1)),0,IF(AND(KV$9=2,(OR($F89&gt;1,$K89=1,AND($L89=80,OR($N89=1,AND($N89=2,'#BerechnungDBE'!$AL80&gt;0)))))),IF(KT$4&gt;=$AD$126,0,LD89),IF(KV$9=3,IF(OR(KT$4&gt;=$AD$127,AND($G89=1,$J89=2,KT$6=2),AND(KT$6=1,$N89&lt;&gt;1)),0,IF(KX89&lt;=120,LD89,IF(KT$4&lt;$AD$124,IF($F89=1,60/KV$4*KV$6,60/KV$4*KV$7),IF($F89=1,120/KV$4*KV$6,120/KV$4*KV$7)))),IF(OR($F89=3,$G89=2),IF(OR(AND(KT$4&gt;=$AD$119,$C89=2),AND(KT$4&gt;=$AF$119,$C89=1)),0,IF(KX89&lt;=60,LD89,60/KV$4*KV$7)),IF(AND($F89=2,$G89=1),LD89,0)))))</f>
        <v>0</v>
      </c>
      <c r="LG89" s="57" t="str">
        <f t="shared" si="611"/>
        <v/>
      </c>
      <c r="LH89" s="57" t="str">
        <f t="shared" si="612"/>
        <v/>
      </c>
      <c r="LI89" s="713">
        <f>'org. Düngung 22'!CJ88</f>
        <v>0</v>
      </c>
      <c r="LJ89" s="57"/>
      <c r="LK89" s="57"/>
      <c r="LL89" s="57">
        <f t="shared" si="613"/>
        <v>0</v>
      </c>
      <c r="LM89" s="57">
        <f t="shared" si="781"/>
        <v>0</v>
      </c>
      <c r="LN89" s="57">
        <f t="shared" si="782"/>
        <v>0</v>
      </c>
      <c r="LO89" s="57">
        <f t="shared" si="783"/>
        <v>0</v>
      </c>
      <c r="LP89" s="57">
        <f t="shared" si="784"/>
        <v>0</v>
      </c>
      <c r="LQ89" s="1029">
        <f t="shared" si="614"/>
        <v>0</v>
      </c>
      <c r="LR89" s="57">
        <f t="shared" si="615"/>
        <v>0</v>
      </c>
      <c r="LS89" s="171" t="str">
        <f t="shared" si="616"/>
        <v/>
      </c>
      <c r="LT89" s="57">
        <f t="shared" si="785"/>
        <v>0</v>
      </c>
      <c r="LU89" s="57">
        <f>IF(OR(AND(LI$6=1,$L89=0),AND(LI$6=2,$K89=2,$G89=1)),0,IF(AND(LK$9=2,(OR($F89&gt;1,$K89=1,AND($L89=80,OR($N89=1,AND($N89=2,'#BerechnungDBE'!$AL80&gt;0)))))),IF(LI$4&gt;=$AD$126,0,LS89),IF(LK$9=3,IF(OR(LI$4&gt;=$AD$127,AND($G89=1,$J89=2,LI$6=2),AND(LI$6=1,$N89&lt;&gt;1)),0,IF(LM89&lt;=120,LS89,IF(LI$4&lt;$AD$124,IF($F89=1,60/LK$4*LK$6,60/LK$4*LK$7),IF($F89=1,120/LK$4*LK$6,120/LK$4*LK$7)))),IF(OR($F89=3,$G89=2),IF(OR(AND(LI$4&gt;=$AD$119,$C89=2),AND(LI$4&gt;=$AF$119,$C89=1)),0,IF(LM89&lt;=60,LS89,60/LK$4*LK$7)),IF(AND($F89=2,$G89=1),LS89,0)))))</f>
        <v>0</v>
      </c>
      <c r="LV89" s="57" t="str">
        <f t="shared" si="617"/>
        <v/>
      </c>
      <c r="LW89" s="57" t="str">
        <f t="shared" si="618"/>
        <v/>
      </c>
      <c r="LX89" s="713">
        <f>'org. Düngung 22'!CN88</f>
        <v>0</v>
      </c>
      <c r="LY89" s="57"/>
      <c r="LZ89" s="57"/>
      <c r="MA89" s="57">
        <f t="shared" si="619"/>
        <v>0</v>
      </c>
      <c r="MB89" s="57">
        <f t="shared" si="786"/>
        <v>0</v>
      </c>
      <c r="MC89" s="57">
        <f t="shared" si="787"/>
        <v>0</v>
      </c>
      <c r="MD89" s="57">
        <f t="shared" si="788"/>
        <v>0</v>
      </c>
      <c r="ME89" s="57">
        <f t="shared" si="789"/>
        <v>0</v>
      </c>
      <c r="MF89" s="1029">
        <f t="shared" si="620"/>
        <v>0</v>
      </c>
      <c r="MG89" s="57">
        <f t="shared" si="621"/>
        <v>0</v>
      </c>
      <c r="MH89" s="171" t="str">
        <f t="shared" si="622"/>
        <v/>
      </c>
      <c r="MI89" s="57">
        <f t="shared" si="790"/>
        <v>0</v>
      </c>
      <c r="MJ89" s="57">
        <f>IF(OR(AND(LX$6=1,$L89=0),AND(LX$6=2,$K89=2,$G89=1)),0,IF(AND(LZ$9=2,(OR($F89&gt;1,$K89=1,AND($L89=80,OR($N89=1,AND($N89=2,'#BerechnungDBE'!$AL80&gt;0)))))),IF(LX$4&gt;=$AD$126,0,MH89),IF(LZ$9=3,IF(OR(LX$4&gt;=$AD$127,AND($G89=1,$J89=2,LX$6=2),AND(LX$6=1,$N89&lt;&gt;1)),0,IF(MB89&lt;=120,MH89,IF(LX$4&lt;$AD$124,IF($F89=1,60/LZ$4*LZ$6,60/LZ$4*LZ$7),IF($F89=1,120/LZ$4*LZ$6,120/LZ$4*LZ$7)))),IF(OR($F89=3,$G89=2),IF(OR(AND(LX$4&gt;=$AD$119,$C89=2),AND(LX$4&gt;=$AF$119,$C89=1)),0,IF(MB89&lt;=60,MH89,60/LZ$4*LZ$7)),IF(AND($F89=2,$G89=1),MH89,0)))))</f>
        <v>0</v>
      </c>
      <c r="MK89" s="57" t="str">
        <f t="shared" si="623"/>
        <v/>
      </c>
      <c r="ML89" s="57" t="str">
        <f t="shared" si="624"/>
        <v/>
      </c>
      <c r="MM89" s="713">
        <f>'org. Düngung 22'!CR88</f>
        <v>0</v>
      </c>
      <c r="MN89" s="57"/>
      <c r="MO89" s="57"/>
      <c r="MP89" s="57">
        <f t="shared" si="625"/>
        <v>0</v>
      </c>
      <c r="MQ89" s="57">
        <f t="shared" si="791"/>
        <v>0</v>
      </c>
      <c r="MR89" s="57">
        <f t="shared" si="792"/>
        <v>0</v>
      </c>
      <c r="MS89" s="57">
        <f t="shared" si="793"/>
        <v>0</v>
      </c>
      <c r="MT89" s="57">
        <f t="shared" si="794"/>
        <v>0</v>
      </c>
      <c r="MU89" s="1029">
        <f t="shared" si="626"/>
        <v>0</v>
      </c>
      <c r="MV89" s="57">
        <f t="shared" si="627"/>
        <v>0</v>
      </c>
      <c r="MW89" s="171" t="str">
        <f t="shared" si="628"/>
        <v/>
      </c>
      <c r="MX89" s="57">
        <f t="shared" si="795"/>
        <v>0</v>
      </c>
      <c r="MY89" s="57">
        <f>IF(OR(AND(MM$6=1,$L89=0),AND(MM$6=2,$K89=2,$G89=1)),0,IF(AND(MO$9=2,(OR($F89&gt;1,$K89=1,AND($L89=80,OR($N89=1,AND($N89=2,'#BerechnungDBE'!$AL80&gt;0)))))),IF(MM$4&gt;=$AD$126,0,MW89),IF(MO$9=3,IF(OR(MM$4&gt;=$AD$127,AND($G89=1,$J89=2,MM$6=2),AND(MM$6=1,$N89&lt;&gt;1)),0,IF(MQ89&lt;=120,MW89,IF(MM$4&lt;$AD$124,IF($F89=1,60/MO$4*MO$6,60/MO$4*MO$7),IF($F89=1,120/MO$4*MO$6,120/MO$4*MO$7)))),IF(OR($F89=3,$G89=2),IF(OR(AND(MM$4&gt;=$AD$119,$C89=2),AND(MM$4&gt;=$AF$119,$C89=1)),0,IF(MQ89&lt;=60,MW89,60/MO$4*MO$7)),IF(AND($F89=2,$G89=1),MW89,0)))))</f>
        <v>0</v>
      </c>
      <c r="MZ89" s="57" t="str">
        <f t="shared" si="629"/>
        <v/>
      </c>
      <c r="NA89" s="57" t="str">
        <f t="shared" si="630"/>
        <v/>
      </c>
      <c r="NB89" s="713">
        <f>'org. Düngung 22'!CV88</f>
        <v>0</v>
      </c>
      <c r="NC89" s="57"/>
      <c r="ND89" s="57"/>
      <c r="NE89" s="57">
        <f t="shared" si="631"/>
        <v>0</v>
      </c>
      <c r="NF89" s="57">
        <f t="shared" si="796"/>
        <v>0</v>
      </c>
      <c r="NG89" s="57">
        <f t="shared" si="797"/>
        <v>0</v>
      </c>
      <c r="NH89" s="57">
        <f t="shared" si="798"/>
        <v>0</v>
      </c>
      <c r="NI89" s="57">
        <f t="shared" si="799"/>
        <v>0</v>
      </c>
      <c r="NJ89" s="1029">
        <f t="shared" si="632"/>
        <v>0</v>
      </c>
      <c r="NK89" s="57">
        <f t="shared" si="633"/>
        <v>0</v>
      </c>
      <c r="NL89" s="171" t="str">
        <f t="shared" si="634"/>
        <v/>
      </c>
      <c r="NM89" s="57">
        <f t="shared" si="800"/>
        <v>0</v>
      </c>
      <c r="NN89" s="57">
        <f>IF(OR(AND(NB$6=1,$L89=0),AND(NB$6=2,$K89=2,$G89=1)),0,IF(AND(ND$9=2,(OR($F89&gt;1,$K89=1,AND($L89=80,OR($N89=1,AND($N89=2,'#BerechnungDBE'!$AL80&gt;0)))))),IF(NB$4&gt;=$AD$126,0,NL89),IF(ND$9=3,IF(OR(NB$4&gt;=$AD$127,AND($G89=1,$J89=2,NB$6=2),AND(NB$6=1,$N89&lt;&gt;1)),0,IF(NF89&lt;=120,NL89,IF(NB$4&lt;$AD$124,IF($F89=1,60/ND$4*ND$6,60/ND$4*ND$7),IF($F89=1,120/ND$4*ND$6,120/ND$4*ND$7)))),IF(OR($F89=3,$G89=2),IF(OR(AND(NB$4&gt;=$AD$119,$C89=2),AND(NB$4&gt;=$AF$119,$C89=1)),0,IF(NF89&lt;=60,NL89,60/ND$4*ND$7)),IF(AND($F89=2,$G89=1),NL89,0)))))</f>
        <v>0</v>
      </c>
      <c r="NO89" s="57" t="str">
        <f t="shared" si="635"/>
        <v/>
      </c>
      <c r="NP89" s="57" t="str">
        <f t="shared" si="636"/>
        <v/>
      </c>
      <c r="NQ89" s="713">
        <f>'org. Düngung 22'!CZ88</f>
        <v>0</v>
      </c>
      <c r="NR89" s="57"/>
      <c r="NS89" s="57"/>
      <c r="NT89" s="57">
        <f t="shared" si="637"/>
        <v>0</v>
      </c>
      <c r="NU89" s="57">
        <f t="shared" si="801"/>
        <v>0</v>
      </c>
      <c r="NV89" s="57">
        <f t="shared" si="802"/>
        <v>0</v>
      </c>
      <c r="NW89" s="57">
        <f t="shared" si="803"/>
        <v>0</v>
      </c>
      <c r="NX89" s="57">
        <f t="shared" si="804"/>
        <v>0</v>
      </c>
      <c r="NY89" s="1029">
        <f t="shared" si="638"/>
        <v>0</v>
      </c>
      <c r="NZ89" s="57">
        <f t="shared" si="639"/>
        <v>0</v>
      </c>
      <c r="OA89" s="171" t="str">
        <f t="shared" si="640"/>
        <v/>
      </c>
      <c r="OB89" s="57">
        <f t="shared" si="805"/>
        <v>0</v>
      </c>
      <c r="OC89" s="57">
        <f>IF(OR(AND(NQ$6=1,$L89=0),AND(NQ$6=2,$K89=2,$G89=1)),0,IF(AND(NS$9=2,(OR($F89&gt;1,$K89=1,AND($L89=80,OR($N89=1,AND($N89=2,'#BerechnungDBE'!$AL80&gt;0)))))),IF(NQ$4&gt;=$AD$126,0,OA89),IF(NS$9=3,IF(OR(NQ$4&gt;=$AD$127,AND($G89=1,$J89=2,NQ$6=2),AND(NQ$6=1,$N89&lt;&gt;1)),0,IF(NU89&lt;=120,OA89,IF(NQ$4&lt;$AD$124,IF($F89=1,60/NS$4*NS$6,60/NS$4*NS$7),IF($F89=1,120/NS$4*NS$6,120/NS$4*NS$7)))),IF(OR($F89=3,$G89=2),IF(OR(AND(NQ$4&gt;=$AD$119,$C89=2),AND(NQ$4&gt;=$AF$119,$C89=1)),0,IF(NU89&lt;=60,OA89,60/NS$4*NS$7)),IF(AND($F89=2,$G89=1),OA89,0)))))</f>
        <v>0</v>
      </c>
      <c r="OD89" s="57" t="str">
        <f t="shared" si="641"/>
        <v/>
      </c>
      <c r="OE89" s="57" t="str">
        <f t="shared" si="642"/>
        <v/>
      </c>
      <c r="OF89" s="713">
        <f>'org. Düngung 22'!DD88</f>
        <v>0</v>
      </c>
      <c r="OG89" s="57"/>
      <c r="OH89" s="57"/>
      <c r="OI89" s="57">
        <f t="shared" si="643"/>
        <v>0</v>
      </c>
      <c r="OJ89" s="57">
        <f t="shared" si="806"/>
        <v>0</v>
      </c>
      <c r="OK89" s="57">
        <f t="shared" si="807"/>
        <v>0</v>
      </c>
      <c r="OL89" s="57">
        <f t="shared" si="808"/>
        <v>0</v>
      </c>
      <c r="OM89" s="57">
        <f t="shared" si="809"/>
        <v>0</v>
      </c>
      <c r="ON89" s="1029">
        <f t="shared" si="644"/>
        <v>0</v>
      </c>
      <c r="OO89" s="57">
        <f t="shared" si="645"/>
        <v>0</v>
      </c>
      <c r="OP89" s="171" t="str">
        <f t="shared" si="646"/>
        <v/>
      </c>
      <c r="OQ89" s="57">
        <f t="shared" si="810"/>
        <v>0</v>
      </c>
      <c r="OR89" s="57">
        <f>IF(OR(AND(OF$6=1,$L89=0),AND(OF$6=2,$K89=2,$G89=1)),0,IF(AND(OH$9=2,(OR($F89&gt;1,$K89=1,AND($L89=80,OR($N89=1,AND($N89=2,'#BerechnungDBE'!$AL80&gt;0)))))),IF(OF$4&gt;=$AD$126,0,OP89),IF(OH$9=3,IF(OR(OF$4&gt;=$AD$127,AND($G89=1,$J89=2,OF$6=2),AND(OF$6=1,$N89&lt;&gt;1)),0,IF(OJ89&lt;=120,OP89,IF(OF$4&lt;$AD$124,IF($F89=1,60/OH$4*OH$6,60/OH$4*OH$7),IF($F89=1,120/OH$4*OH$6,120/OH$4*OH$7)))),IF(OR($F89=3,$G89=2),IF(OR(AND(OF$4&gt;=$AD$119,$C89=2),AND(OF$4&gt;=$AF$119,$C89=1)),0,IF(OJ89&lt;=60,OP89,60/OH$4*OH$7)),IF(AND($F89=2,$G89=1),OP89,0)))))</f>
        <v>0</v>
      </c>
      <c r="OS89" s="57" t="str">
        <f t="shared" si="647"/>
        <v/>
      </c>
      <c r="OT89" s="57" t="str">
        <f t="shared" si="648"/>
        <v/>
      </c>
      <c r="OU89" s="713">
        <f>'org. Düngung 22'!DH88</f>
        <v>0</v>
      </c>
      <c r="OV89" s="57"/>
      <c r="OW89" s="57"/>
      <c r="OX89" s="57">
        <f t="shared" si="649"/>
        <v>0</v>
      </c>
      <c r="OY89" s="57">
        <f t="shared" si="811"/>
        <v>0</v>
      </c>
      <c r="OZ89" s="57">
        <f t="shared" si="812"/>
        <v>0</v>
      </c>
      <c r="PA89" s="57">
        <f t="shared" si="813"/>
        <v>0</v>
      </c>
      <c r="PB89" s="57">
        <f t="shared" si="814"/>
        <v>0</v>
      </c>
      <c r="PC89" s="1029">
        <f t="shared" si="650"/>
        <v>0</v>
      </c>
      <c r="PD89" s="57">
        <f t="shared" si="651"/>
        <v>0</v>
      </c>
      <c r="PE89" s="171" t="str">
        <f t="shared" si="652"/>
        <v/>
      </c>
      <c r="PF89" s="57">
        <f t="shared" si="815"/>
        <v>0</v>
      </c>
      <c r="PG89" s="57">
        <f>IF(OR(AND(OU$6=1,$L89=0),AND(OU$6=2,$K89=2,$G89=1)),0,IF(AND(OW$9=2,(OR($F89&gt;1,$K89=1,AND($L89=80,OR($N89=1,AND($N89=2,'#BerechnungDBE'!$AL80&gt;0)))))),IF(OU$4&gt;=$AD$126,0,PE89),IF(OW$9=3,IF(OR(OU$4&gt;=$AD$127,AND($G89=1,$J89=2,OU$6=2),AND(OU$6=1,$N89&lt;&gt;1)),0,IF(OY89&lt;=120,PE89,IF(OU$4&lt;$AD$124,IF($F89=1,60/OW$4*OW$6,60/OW$4*OW$7),IF($F89=1,120/OW$4*OW$6,120/OW$4*OW$7)))),IF(OR($F89=3,$G89=2),IF(OR(AND(OU$4&gt;=$AD$119,$C89=2),AND(OU$4&gt;=$AF$119,$C89=1)),0,IF(OY89&lt;=60,PE89,60/OW$4*OW$7)),IF(AND($F89=2,$G89=1),PE89,0)))))</f>
        <v>0</v>
      </c>
      <c r="PH89" s="57" t="str">
        <f t="shared" si="653"/>
        <v/>
      </c>
      <c r="PI89" s="57" t="str">
        <f t="shared" si="654"/>
        <v/>
      </c>
      <c r="PJ89" s="713">
        <f>'org. Düngung 22'!DL88</f>
        <v>0</v>
      </c>
      <c r="PK89" s="57"/>
      <c r="PL89" s="57"/>
      <c r="PM89" s="57">
        <f t="shared" si="655"/>
        <v>0</v>
      </c>
      <c r="PN89" s="57">
        <f t="shared" si="816"/>
        <v>0</v>
      </c>
      <c r="PO89" s="57">
        <f t="shared" si="817"/>
        <v>0</v>
      </c>
      <c r="PP89" s="57">
        <f t="shared" si="818"/>
        <v>0</v>
      </c>
      <c r="PQ89" s="57">
        <f t="shared" si="819"/>
        <v>0</v>
      </c>
      <c r="PR89" s="1029">
        <f t="shared" si="656"/>
        <v>0</v>
      </c>
      <c r="PS89" s="57">
        <f t="shared" si="657"/>
        <v>0</v>
      </c>
      <c r="PT89" s="171" t="str">
        <f t="shared" si="658"/>
        <v/>
      </c>
      <c r="PU89" s="57">
        <f t="shared" si="820"/>
        <v>0</v>
      </c>
      <c r="PV89" s="57">
        <f>IF(OR(AND(PJ$6=1,$L89=0),AND(PJ$6=2,$K89=2,$G89=1)),0,IF(AND(PL$9=2,(OR($F89&gt;1,$K89=1,AND($L89=80,OR($N89=1,AND($N89=2,'#BerechnungDBE'!$AL80&gt;0)))))),IF(PJ$4&gt;=$AD$126,0,PT89),IF(PL$9=3,IF(OR(PJ$4&gt;=$AD$127,AND($G89=1,$J89=2,PJ$6=2),AND(PJ$6=1,$N89&lt;&gt;1)),0,IF(PN89&lt;=120,PT89,IF(PJ$4&lt;$AD$124,IF($F89=1,60/PL$4*PL$6,60/PL$4*PL$7),IF($F89=1,120/PL$4*PL$6,120/PL$4*PL$7)))),IF(OR($F89=3,$G89=2),IF(OR(AND(PJ$4&gt;=$AD$119,$C89=2),AND(PJ$4&gt;=$AF$119,$C89=1)),0,IF(PN89&lt;=60,PT89,60/PL$4*PL$7)),IF(AND($F89=2,$G89=1),PT89,0)))))</f>
        <v>0</v>
      </c>
      <c r="PW89" s="57" t="str">
        <f t="shared" si="659"/>
        <v/>
      </c>
      <c r="PX89" s="57" t="str">
        <f t="shared" si="660"/>
        <v/>
      </c>
      <c r="PY89" s="713">
        <f>'org. Düngung 22'!DP88</f>
        <v>0</v>
      </c>
      <c r="PZ89" s="57"/>
      <c r="QA89" s="57"/>
      <c r="QB89" s="57">
        <f t="shared" si="661"/>
        <v>0</v>
      </c>
      <c r="QC89" s="57">
        <f t="shared" si="821"/>
        <v>0</v>
      </c>
      <c r="QD89" s="57">
        <f t="shared" si="822"/>
        <v>0</v>
      </c>
      <c r="QE89" s="57">
        <f t="shared" si="823"/>
        <v>0</v>
      </c>
      <c r="QF89" s="57">
        <f t="shared" si="824"/>
        <v>0</v>
      </c>
      <c r="QG89" s="1029">
        <f t="shared" si="662"/>
        <v>0</v>
      </c>
      <c r="QH89" s="57">
        <f t="shared" si="663"/>
        <v>0</v>
      </c>
      <c r="QI89" s="171" t="str">
        <f t="shared" si="664"/>
        <v/>
      </c>
      <c r="QJ89" s="57">
        <f t="shared" si="825"/>
        <v>0</v>
      </c>
      <c r="QK89" s="57">
        <f>IF(OR(AND(PY$6=1,$L89=0),AND(PY$6=2,$K89=2,$G89=1)),0,IF(AND(QA$9=2,(OR($F89&gt;1,$K89=1,AND($L89=80,OR($N89=1,AND($N89=2,'#BerechnungDBE'!$AL80&gt;0)))))),IF(PY$4&gt;=$AD$126,0,QI89),IF(QA$9=3,IF(OR(PY$4&gt;=$AD$127,AND($G89=1,$J89=2,PY$6=2),AND(PY$6=1,$N89&lt;&gt;1)),0,IF(QC89&lt;=120,QI89,IF(PY$4&lt;$AD$124,IF($F89=1,60/QA$4*QA$6,60/QA$4*QA$7),IF($F89=1,120/QA$4*QA$6,120/QA$4*QA$7)))),IF(OR($F89=3,$G89=2),IF(OR(AND(PY$4&gt;=$AD$119,$C89=2),AND(PY$4&gt;=$AF$119,$C89=1)),0,IF(QC89&lt;=60,QI89,60/QA$4*QA$7)),IF(AND($F89=2,$G89=1),QI89,0)))))</f>
        <v>0</v>
      </c>
      <c r="QL89" s="57" t="str">
        <f t="shared" si="665"/>
        <v/>
      </c>
      <c r="QM89" s="57" t="str">
        <f t="shared" si="666"/>
        <v/>
      </c>
      <c r="QN89" s="713">
        <f>'org. Düngung 22'!DT88</f>
        <v>0</v>
      </c>
      <c r="QO89" s="57"/>
      <c r="QP89" s="57"/>
      <c r="QQ89" s="57">
        <f t="shared" si="667"/>
        <v>0</v>
      </c>
      <c r="QR89" s="57">
        <f t="shared" si="826"/>
        <v>0</v>
      </c>
      <c r="QS89" s="57">
        <f t="shared" si="827"/>
        <v>0</v>
      </c>
      <c r="QT89" s="57">
        <f t="shared" si="828"/>
        <v>0</v>
      </c>
      <c r="QU89" s="57">
        <f t="shared" si="829"/>
        <v>0</v>
      </c>
      <c r="QV89" s="1029">
        <f t="shared" si="668"/>
        <v>0</v>
      </c>
      <c r="QW89" s="57">
        <f t="shared" si="669"/>
        <v>0</v>
      </c>
      <c r="QX89" s="171" t="str">
        <f t="shared" si="670"/>
        <v/>
      </c>
      <c r="QY89" s="57">
        <f t="shared" si="830"/>
        <v>0</v>
      </c>
      <c r="QZ89" s="57">
        <f>IF(OR(AND(QN$6=1,$L89=0),AND(QN$6=2,$K89=2,$G89=1)),0,IF(AND(QP$9=2,(OR($F89&gt;1,$K89=1,AND($L89=80,OR($N89=1,AND($N89=2,'#BerechnungDBE'!$AL80&gt;0)))))),IF(QN$4&gt;=$AD$126,0,QX89),IF(QP$9=3,IF(OR(QN$4&gt;=$AD$127,AND($G89=1,$J89=2,QN$6=2),AND(QN$6=1,$N89&lt;&gt;1)),0,IF(QR89&lt;=120,QX89,IF(QN$4&lt;$AD$124,IF($F89=1,60/QP$4*QP$6,60/QP$4*QP$7),IF($F89=1,120/QP$4*QP$6,120/QP$4*QP$7)))),IF(OR($F89=3,$G89=2),IF(OR(AND(QN$4&gt;=$AD$119,$C89=2),AND(QN$4&gt;=$AF$119,$C89=1)),0,IF(QR89&lt;=60,QX89,60/QP$4*QP$7)),IF(AND($F89=2,$G89=1),QX89,0)))))</f>
        <v>0</v>
      </c>
      <c r="RA89" s="57" t="str">
        <f t="shared" si="671"/>
        <v/>
      </c>
      <c r="RB89" s="57" t="str">
        <f t="shared" si="672"/>
        <v/>
      </c>
      <c r="RC89" s="713">
        <f>'org. Düngung 22'!DX88</f>
        <v>0</v>
      </c>
      <c r="RD89" s="57"/>
      <c r="RE89" s="57"/>
      <c r="RF89" s="57">
        <f t="shared" si="673"/>
        <v>0</v>
      </c>
      <c r="RG89" s="57">
        <f t="shared" si="831"/>
        <v>0</v>
      </c>
      <c r="RH89" s="57">
        <f t="shared" si="832"/>
        <v>0</v>
      </c>
      <c r="RI89" s="57">
        <f t="shared" si="833"/>
        <v>0</v>
      </c>
      <c r="RJ89" s="57">
        <f t="shared" si="834"/>
        <v>0</v>
      </c>
      <c r="RK89" s="1029">
        <f t="shared" si="674"/>
        <v>0</v>
      </c>
      <c r="RL89" s="57">
        <f t="shared" si="675"/>
        <v>0</v>
      </c>
      <c r="RM89" s="171" t="str">
        <f t="shared" si="676"/>
        <v/>
      </c>
      <c r="RN89" s="57">
        <f t="shared" si="835"/>
        <v>0</v>
      </c>
      <c r="RO89" s="57">
        <f>IF(OR(AND(RC$6=1,$L89=0),AND(RC$6=2,$K89=2,$G89=1)),0,IF(AND(RE$9=2,(OR($F89&gt;1,$K89=1,AND($L89=80,OR($N89=1,AND($N89=2,'#BerechnungDBE'!$AL80&gt;0)))))),IF(RC$4&gt;=$AD$126,0,RM89),IF(RE$9=3,IF(OR(RC$4&gt;=$AD$127,AND($G89=1,$J89=2,RC$6=2),AND(RC$6=1,$N89&lt;&gt;1)),0,IF(RG89&lt;=120,RM89,IF(RC$4&lt;$AD$124,IF($F89=1,60/RE$4*RE$6,60/RE$4*RE$7),IF($F89=1,120/RE$4*RE$6,120/RE$4*RE$7)))),IF(OR($F89=3,$G89=2),IF(OR(AND(RC$4&gt;=$AD$119,$C89=2),AND(RC$4&gt;=$AF$119,$C89=1)),0,IF(RG89&lt;=60,RM89,60/RE$4*RE$7)),IF(AND($F89=2,$G89=1),RM89,0)))))</f>
        <v>0</v>
      </c>
      <c r="RP89" s="57" t="str">
        <f t="shared" si="677"/>
        <v/>
      </c>
      <c r="RQ89" s="57" t="str">
        <f t="shared" si="678"/>
        <v/>
      </c>
      <c r="RS89" s="57" t="str">
        <f t="shared" si="836"/>
        <v/>
      </c>
      <c r="RT89" s="57" t="str">
        <f t="shared" si="679"/>
        <v/>
      </c>
      <c r="RU89" s="57" t="str">
        <f t="shared" si="680"/>
        <v/>
      </c>
      <c r="RV89" s="57" t="str">
        <f>IF(Z89&gt;'#BerechnungDBE'!BM80,$RV$9,"")</f>
        <v/>
      </c>
      <c r="RW89" s="57" t="str">
        <f>IF(AND(L89=70,AE89&gt;'#BerechnungDBE'!CQ80),$RW$9,"")</f>
        <v/>
      </c>
      <c r="RX89" s="57" t="str">
        <f>IF(OR('org. Düngung 22'!G88="--",'org. Düngung 22'!G88&lt;=170,'org. Düngung 22'!G88=""),"",$RX$9)</f>
        <v/>
      </c>
      <c r="RY89" s="57" t="str">
        <f>IF('org. Düngung 22'!K88&gt;120,'#orgDung'!$RY$9,"")</f>
        <v/>
      </c>
      <c r="RZ89" s="57" t="str">
        <f>IF('#BerechnungDBE'!P80&lt;4,"",IF(AND('#BerechnungDBE'!BZ80&gt;0,T89&gt;0),'#orgDung'!$RZ$9,""))</f>
        <v/>
      </c>
      <c r="SA89" s="57" t="str">
        <f t="shared" si="681"/>
        <v/>
      </c>
    </row>
    <row r="90" spans="1:495" s="875" customFormat="1" x14ac:dyDescent="0.2">
      <c r="A90" s="875">
        <f>'Flächen u. Kulturen'!A86</f>
        <v>77</v>
      </c>
      <c r="B90" s="367">
        <f>'#BerechnungDBE'!L81</f>
        <v>0</v>
      </c>
      <c r="C90" s="875">
        <f>'#BerechnungDBE'!R81</f>
        <v>1</v>
      </c>
      <c r="D90" s="875">
        <f>'#BerechnungDBE'!T81</f>
        <v>2</v>
      </c>
      <c r="E90" s="875" t="str">
        <f>'Flächen u. Kulturen'!E86</f>
        <v>x</v>
      </c>
      <c r="F90" s="52">
        <f>'#BerechnungDBE'!N81</f>
        <v>1</v>
      </c>
      <c r="G90" s="52">
        <f>'#BerechnungDBE'!O81</f>
        <v>1</v>
      </c>
      <c r="H90" s="875">
        <f>IF('Flächen u. Kulturen'!P86="",0,VLOOKUP('Flächen u. Kulturen'!P86,Kulturen[[HF]:[Berechnungsgruppe]],'#Frucht'!$H$1,FALSE))</f>
        <v>0</v>
      </c>
      <c r="I90" s="875">
        <f>IF('Flächen u. Kulturen'!J86="",0,VLOOKUP('Flächen u. Kulturen'!J86,Kulturen[[HF]:[Berechnungsgruppe]],'#Frucht'!$G$1,FALSE))</f>
        <v>90</v>
      </c>
      <c r="J90" s="505">
        <f t="shared" si="682"/>
        <v>2</v>
      </c>
      <c r="K90" s="505">
        <f>IF('Flächen u. Kulturen'!P86="",0,IF(VLOOKUP('Flächen u. Kulturen'!P86,Kulturen[[HF]:[Saat Winterungen]],'#Frucht'!$P$1,FALSE)&gt;0,1,2))</f>
        <v>2</v>
      </c>
      <c r="L90" s="875">
        <f>'#BerechnungDBE'!AF81</f>
        <v>0</v>
      </c>
      <c r="M90" s="875">
        <f>IF('Flächen u. Kulturen'!L86="",0,VLOOKUP('Flächen u. Kulturen'!L86,Nebenkultur[[Nebenkultur]:[Legum. Zwischenfr.]],'#Zweitfr'!$K$1,FALSE))</f>
        <v>0</v>
      </c>
      <c r="N90" s="875">
        <f>'#BerechnungDBE'!AG81</f>
        <v>0</v>
      </c>
      <c r="P90" s="57">
        <f t="shared" si="489"/>
        <v>0</v>
      </c>
      <c r="Q90" s="57">
        <f t="shared" si="490"/>
        <v>0</v>
      </c>
      <c r="R90" s="875">
        <f t="shared" si="491"/>
        <v>0</v>
      </c>
      <c r="S90" s="938" t="str">
        <f t="shared" si="683"/>
        <v/>
      </c>
      <c r="T90" s="875">
        <f t="shared" si="492"/>
        <v>0</v>
      </c>
      <c r="U90" s="875">
        <f t="shared" si="493"/>
        <v>0</v>
      </c>
      <c r="V90" s="875">
        <f t="shared" si="494"/>
        <v>0</v>
      </c>
      <c r="W90" s="875">
        <f t="shared" si="495"/>
        <v>0</v>
      </c>
      <c r="X90" s="875">
        <f t="shared" si="496"/>
        <v>0</v>
      </c>
      <c r="Y90" s="875">
        <f t="shared" si="837"/>
        <v>0</v>
      </c>
      <c r="Z90" s="875">
        <f t="shared" si="838"/>
        <v>0</v>
      </c>
      <c r="AA90" s="910">
        <f t="shared" si="497"/>
        <v>0</v>
      </c>
      <c r="AB90" s="57">
        <f t="shared" si="839"/>
        <v>0</v>
      </c>
      <c r="AC90" s="875">
        <f t="shared" si="498"/>
        <v>0</v>
      </c>
      <c r="AD90" s="875">
        <f t="shared" si="499"/>
        <v>0</v>
      </c>
      <c r="AE90" s="875">
        <f t="shared" si="500"/>
        <v>0</v>
      </c>
      <c r="AF90" s="875">
        <f t="shared" si="840"/>
        <v>0</v>
      </c>
      <c r="AG90" s="875">
        <f>'org. Düngung 22'!J89</f>
        <v>0</v>
      </c>
      <c r="AH90" s="875">
        <f>'org. Düngung 22'!K89</f>
        <v>0</v>
      </c>
      <c r="AJ90" s="713">
        <f>'org. Düngung 22'!L89</f>
        <v>0</v>
      </c>
      <c r="AK90" s="57"/>
      <c r="AL90" s="57"/>
      <c r="AM90" s="57">
        <f t="shared" si="684"/>
        <v>0</v>
      </c>
      <c r="AN90" s="57">
        <f t="shared" si="685"/>
        <v>0</v>
      </c>
      <c r="AO90" s="57">
        <f t="shared" si="686"/>
        <v>0</v>
      </c>
      <c r="AP90" s="57">
        <f t="shared" si="687"/>
        <v>0</v>
      </c>
      <c r="AQ90" s="57">
        <f t="shared" si="688"/>
        <v>0</v>
      </c>
      <c r="AR90" s="1029">
        <f t="shared" si="501"/>
        <v>0</v>
      </c>
      <c r="AS90" s="57">
        <f t="shared" si="502"/>
        <v>0</v>
      </c>
      <c r="AT90" s="171" t="str">
        <f t="shared" si="503"/>
        <v/>
      </c>
      <c r="AU90" s="57">
        <f t="shared" si="689"/>
        <v>0</v>
      </c>
      <c r="AV90" s="57">
        <f>IF(OR(AND(AJ$6=1,$L90=0),AND(AJ$6=2,$K90=2,$G90=1)),0,IF(AND(AL$9=2,(OR($F90&gt;1,$K90=1,AND($L90=80,OR($N90=1,AND($N90=2,'#BerechnungDBE'!$AL81&gt;0)))))),IF(AJ$4&gt;=$AD$126,0,AT90),IF(AL$9=3,IF(OR(AJ$4&gt;=$AD$127,AND($G90=1,$J90=2,AJ$6=2),AND(AJ$6=1,$N90&lt;&gt;1)),0,IF(AN90&lt;=120,AT90,IF(AJ$4&lt;$AD$124,IF($F90=1,60/AL$4*AL$6,60/AL$4*AL$7),IF($F90=1,120/AL$4*AL$6,120/AL$4*AL$7)))),IF(OR($F90=3,$G90=2),IF(OR(AND(AJ$4&gt;=$AD$119,$C90=2),AND(AJ$4&gt;=$AF$119,$C90=1)),0,IF(AN90&lt;=60,AT90,60/AL$4*AL$7)),IF(AND($F90=2,$G90=1),AT90,0)))))</f>
        <v>0</v>
      </c>
      <c r="AW90" s="57" t="str">
        <f t="shared" si="690"/>
        <v/>
      </c>
      <c r="AX90" s="57" t="str">
        <f t="shared" si="504"/>
        <v/>
      </c>
      <c r="AY90" s="713">
        <f>'org. Düngung 22'!P89</f>
        <v>0</v>
      </c>
      <c r="AZ90" s="57"/>
      <c r="BA90" s="57"/>
      <c r="BB90" s="57">
        <f t="shared" si="505"/>
        <v>0</v>
      </c>
      <c r="BC90" s="57">
        <f t="shared" si="691"/>
        <v>0</v>
      </c>
      <c r="BD90" s="57">
        <f t="shared" si="692"/>
        <v>0</v>
      </c>
      <c r="BE90" s="57">
        <f t="shared" si="693"/>
        <v>0</v>
      </c>
      <c r="BF90" s="57">
        <f t="shared" si="694"/>
        <v>0</v>
      </c>
      <c r="BG90" s="1029">
        <f t="shared" si="506"/>
        <v>0</v>
      </c>
      <c r="BH90" s="57">
        <f t="shared" si="507"/>
        <v>0</v>
      </c>
      <c r="BI90" s="171" t="str">
        <f t="shared" si="508"/>
        <v/>
      </c>
      <c r="BJ90" s="57">
        <f t="shared" si="695"/>
        <v>0</v>
      </c>
      <c r="BK90" s="57">
        <f>IF(OR(AND(AY$6=1,$L90=0),AND(AY$6=2,$K90=2,$G90=1)),0,IF(AND(BA$9=2,(OR($F90&gt;1,$K90=1,AND($L90=80,OR($N90=1,AND($N90=2,'#BerechnungDBE'!$AL81&gt;0)))))),IF(AY$4&gt;=$AD$126,0,BI90),IF(BA$9=3,IF(OR(AY$4&gt;=$AD$127,AND($G90=1,$J90=2,AY$6=2),AND(AY$6=1,$N90&lt;&gt;1)),0,IF(BC90&lt;=120,BI90,IF(AY$4&lt;$AD$124,IF($F90=1,60/BA$4*BA$6,60/BA$4*BA$7),IF($F90=1,120/BA$4*BA$6,120/BA$4*BA$7)))),IF(OR($F90=3,$G90=2),IF(OR(AND(AY$4&gt;=$AD$119,$C90=2),AND(AY$4&gt;=$AF$119,$C90=1)),0,IF(BC90&lt;=60,BI90,60/BA$4*BA$7)),IF(AND($F90=2,$G90=1),BI90,0)))))</f>
        <v>0</v>
      </c>
      <c r="BL90" s="57" t="str">
        <f t="shared" si="509"/>
        <v/>
      </c>
      <c r="BM90" s="57" t="str">
        <f t="shared" si="510"/>
        <v/>
      </c>
      <c r="BN90" s="713">
        <f>'org. Düngung 22'!T89</f>
        <v>0</v>
      </c>
      <c r="BO90" s="57"/>
      <c r="BP90" s="57"/>
      <c r="BQ90" s="57">
        <f t="shared" si="511"/>
        <v>0</v>
      </c>
      <c r="BR90" s="57">
        <f t="shared" si="696"/>
        <v>0</v>
      </c>
      <c r="BS90" s="57">
        <f t="shared" si="697"/>
        <v>0</v>
      </c>
      <c r="BT90" s="57">
        <f t="shared" si="698"/>
        <v>0</v>
      </c>
      <c r="BU90" s="57">
        <f t="shared" si="699"/>
        <v>0</v>
      </c>
      <c r="BV90" s="1029">
        <f t="shared" si="512"/>
        <v>0</v>
      </c>
      <c r="BW90" s="57">
        <f t="shared" si="513"/>
        <v>0</v>
      </c>
      <c r="BX90" s="171" t="str">
        <f t="shared" si="514"/>
        <v/>
      </c>
      <c r="BY90" s="57">
        <f t="shared" si="700"/>
        <v>0</v>
      </c>
      <c r="BZ90" s="57">
        <f>IF(OR(AND(BN$6=1,$L90=0),AND(BN$6=2,$K90=2,$G90=1)),0,IF(AND(BP$9=2,(OR($F90&gt;1,$K90=1,AND($L90=80,OR($N90=1,AND($N90=2,'#BerechnungDBE'!$AL81&gt;0)))))),IF(BN$4&gt;=$AD$126,0,BX90),IF(BP$9=3,IF(OR(BN$4&gt;=$AD$127,AND($G90=1,$J90=2,BN$6=2),AND(BN$6=1,$N90&lt;&gt;1)),0,IF(BR90&lt;=120,BX90,IF(BN$4&lt;$AD$124,IF($F90=1,60/BP$4*BP$6,60/BP$4*BP$7),IF($F90=1,120/BP$4*BP$6,120/BP$4*BP$7)))),IF(OR($F90=3,$G90=2),IF(OR(AND(BN$4&gt;=$AD$119,$C90=2),AND(BN$4&gt;=$AF$119,$C90=1)),0,IF(BR90&lt;=60,BX90,60/BP$4*BP$7)),IF(AND($F90=2,$G90=1),BX90,0)))))</f>
        <v>0</v>
      </c>
      <c r="CA90" s="57" t="str">
        <f t="shared" si="515"/>
        <v/>
      </c>
      <c r="CB90" s="57" t="str">
        <f t="shared" si="516"/>
        <v/>
      </c>
      <c r="CC90" s="713">
        <f>'org. Düngung 22'!X89</f>
        <v>0</v>
      </c>
      <c r="CD90" s="57"/>
      <c r="CE90" s="57"/>
      <c r="CF90" s="57">
        <f t="shared" si="517"/>
        <v>0</v>
      </c>
      <c r="CG90" s="57">
        <f t="shared" si="701"/>
        <v>0</v>
      </c>
      <c r="CH90" s="57">
        <f t="shared" si="702"/>
        <v>0</v>
      </c>
      <c r="CI90" s="57">
        <f t="shared" si="703"/>
        <v>0</v>
      </c>
      <c r="CJ90" s="57">
        <f t="shared" si="704"/>
        <v>0</v>
      </c>
      <c r="CK90" s="1029">
        <f t="shared" si="518"/>
        <v>0</v>
      </c>
      <c r="CL90" s="57">
        <f t="shared" si="519"/>
        <v>0</v>
      </c>
      <c r="CM90" s="171" t="str">
        <f t="shared" si="520"/>
        <v/>
      </c>
      <c r="CN90" s="57">
        <f t="shared" si="705"/>
        <v>0</v>
      </c>
      <c r="CO90" s="57">
        <f>IF(OR(AND(CC$6=1,$L90=0),AND(CC$6=2,$K90=2,$G90=1)),0,IF(AND(CE$9=2,(OR($F90&gt;1,$K90=1,AND($L90=80,OR($N90=1,AND($N90=2,'#BerechnungDBE'!$AL81&gt;0)))))),IF(CC$4&gt;=$AD$126,0,CM90),IF(CE$9=3,IF(OR(CC$4&gt;=$AD$127,AND($G90=1,$J90=2,CC$6=2),AND(CC$6=1,$N90&lt;&gt;1)),0,IF(CG90&lt;=120,CM90,IF(CC$4&lt;$AD$124,IF($F90=1,60/CE$4*CE$6,60/CE$4*CE$7),IF($F90=1,120/CE$4*CE$6,120/CE$4*CE$7)))),IF(OR($F90=3,$G90=2),IF(OR(AND(CC$4&gt;=$AD$119,$C90=2),AND(CC$4&gt;=$AF$119,$C90=1)),0,IF(CG90&lt;=60,CM90,60/CE$4*CE$7)),IF(AND($F90=2,$G90=1),CM90,0)))))</f>
        <v>0</v>
      </c>
      <c r="CP90" s="57" t="str">
        <f t="shared" si="521"/>
        <v/>
      </c>
      <c r="CQ90" s="57" t="str">
        <f t="shared" si="522"/>
        <v/>
      </c>
      <c r="CR90" s="713">
        <f>'org. Düngung 22'!AB89</f>
        <v>0</v>
      </c>
      <c r="CS90" s="57"/>
      <c r="CT90" s="57"/>
      <c r="CU90" s="57">
        <f t="shared" si="523"/>
        <v>0</v>
      </c>
      <c r="CV90" s="57">
        <f t="shared" si="706"/>
        <v>0</v>
      </c>
      <c r="CW90" s="57">
        <f t="shared" si="707"/>
        <v>0</v>
      </c>
      <c r="CX90" s="57">
        <f t="shared" si="708"/>
        <v>0</v>
      </c>
      <c r="CY90" s="57">
        <f t="shared" si="709"/>
        <v>0</v>
      </c>
      <c r="CZ90" s="1029">
        <f t="shared" si="524"/>
        <v>0</v>
      </c>
      <c r="DA90" s="57">
        <f t="shared" si="525"/>
        <v>0</v>
      </c>
      <c r="DB90" s="171" t="str">
        <f t="shared" si="526"/>
        <v/>
      </c>
      <c r="DC90" s="57">
        <f t="shared" si="710"/>
        <v>0</v>
      </c>
      <c r="DD90" s="57">
        <f>IF(OR(AND(CR$6=1,$L90=0),AND(CR$6=2,$K90=2,$G90=1)),0,IF(AND(CT$9=2,(OR($F90&gt;1,$K90=1,AND($L90=80,OR($N90=1,AND($N90=2,'#BerechnungDBE'!$AL81&gt;0)))))),IF(CR$4&gt;=$AD$126,0,DB90),IF(CT$9=3,IF(OR(CR$4&gt;=$AD$127,AND($G90=1,$J90=2,CR$6=2),AND(CR$6=1,$N90&lt;&gt;1)),0,IF(CV90&lt;=120,DB90,IF(CR$4&lt;$AD$124,IF($F90=1,60/CT$4*CT$6,60/CT$4*CT$7),IF($F90=1,120/CT$4*CT$6,120/CT$4*CT$7)))),IF(OR($F90=3,$G90=2),IF(OR(AND(CR$4&gt;=$AD$119,$C90=2),AND(CR$4&gt;=$AF$119,$C90=1)),0,IF(CV90&lt;=60,DB90,60/CT$4*CT$7)),IF(AND($F90=2,$G90=1),DB90,0)))))</f>
        <v>0</v>
      </c>
      <c r="DE90" s="57" t="str">
        <f t="shared" si="527"/>
        <v/>
      </c>
      <c r="DF90" s="57" t="str">
        <f t="shared" si="528"/>
        <v/>
      </c>
      <c r="DG90" s="713">
        <f>'org. Düngung 22'!AF89</f>
        <v>0</v>
      </c>
      <c r="DH90" s="57"/>
      <c r="DI90" s="57"/>
      <c r="DJ90" s="57">
        <f t="shared" si="529"/>
        <v>0</v>
      </c>
      <c r="DK90" s="57">
        <f t="shared" si="711"/>
        <v>0</v>
      </c>
      <c r="DL90" s="57">
        <f t="shared" si="712"/>
        <v>0</v>
      </c>
      <c r="DM90" s="57">
        <f t="shared" si="713"/>
        <v>0</v>
      </c>
      <c r="DN90" s="57">
        <f t="shared" si="714"/>
        <v>0</v>
      </c>
      <c r="DO90" s="1029">
        <f t="shared" si="530"/>
        <v>0</v>
      </c>
      <c r="DP90" s="57">
        <f t="shared" si="531"/>
        <v>0</v>
      </c>
      <c r="DQ90" s="171" t="str">
        <f t="shared" si="532"/>
        <v/>
      </c>
      <c r="DR90" s="57">
        <f t="shared" si="715"/>
        <v>0</v>
      </c>
      <c r="DS90" s="57">
        <f>IF(OR(AND(DG$6=1,$L90=0),AND(DG$6=2,$K90=2,$G90=1)),0,IF(AND(DI$9=2,(OR($F90&gt;1,$K90=1,AND($L90=80,OR($N90=1,AND($N90=2,'#BerechnungDBE'!$AL81&gt;0)))))),IF(DG$4&gt;=$AD$126,0,DQ90),IF(DI$9=3,IF(OR(DG$4&gt;=$AD$127,AND($G90=1,$J90=2,DG$6=2),AND(DG$6=1,$N90&lt;&gt;1)),0,IF(DK90&lt;=120,DQ90,IF(DG$4&lt;$AD$124,IF($F90=1,60/DI$4*DI$6,60/DI$4*DI$7),IF($F90=1,120/DI$4*DI$6,120/DI$4*DI$7)))),IF(OR($F90=3,$G90=2),IF(OR(AND(DG$4&gt;=$AD$119,$C90=2),AND(DG$4&gt;=$AF$119,$C90=1)),0,IF(DK90&lt;=60,DQ90,60/DI$4*DI$7)),IF(AND($F90=2,$G90=1),DQ90,0)))))</f>
        <v>0</v>
      </c>
      <c r="DT90" s="57" t="str">
        <f t="shared" si="533"/>
        <v/>
      </c>
      <c r="DU90" s="57" t="str">
        <f t="shared" si="534"/>
        <v/>
      </c>
      <c r="DV90" s="713">
        <f>'org. Düngung 22'!AJ89</f>
        <v>0</v>
      </c>
      <c r="DW90" s="57"/>
      <c r="DX90" s="57"/>
      <c r="DY90" s="57">
        <f t="shared" si="535"/>
        <v>0</v>
      </c>
      <c r="DZ90" s="57">
        <f t="shared" si="716"/>
        <v>0</v>
      </c>
      <c r="EA90" s="57">
        <f t="shared" si="717"/>
        <v>0</v>
      </c>
      <c r="EB90" s="57">
        <f t="shared" si="718"/>
        <v>0</v>
      </c>
      <c r="EC90" s="57">
        <f t="shared" si="719"/>
        <v>0</v>
      </c>
      <c r="ED90" s="1029">
        <f t="shared" si="536"/>
        <v>0</v>
      </c>
      <c r="EE90" s="57">
        <f t="shared" si="537"/>
        <v>0</v>
      </c>
      <c r="EF90" s="171" t="str">
        <f t="shared" si="538"/>
        <v/>
      </c>
      <c r="EG90" s="57">
        <f t="shared" si="720"/>
        <v>0</v>
      </c>
      <c r="EH90" s="57">
        <f>IF(OR(AND(DV$6=1,$L90=0),AND(DV$6=2,$K90=2,$G90=1)),0,IF(AND(DX$9=2,(OR($F90&gt;1,$K90=1,AND($L90=80,OR($N90=1,AND($N90=2,'#BerechnungDBE'!$AL81&gt;0)))))),IF(DV$4&gt;=$AD$126,0,EF90),IF(DX$9=3,IF(OR(DV$4&gt;=$AD$127,AND($G90=1,$J90=2,DV$6=2),AND(DV$6=1,$N90&lt;&gt;1)),0,IF(DZ90&lt;=120,EF90,IF(DV$4&lt;$AD$124,IF($F90=1,60/DX$4*DX$6,60/DX$4*DX$7),IF($F90=1,120/DX$4*DX$6,120/DX$4*DX$7)))),IF(OR($F90=3,$G90=2),IF(OR(AND(DV$4&gt;=$AD$119,$C90=2),AND(DV$4&gt;=$AF$119,$C90=1)),0,IF(DZ90&lt;=60,EF90,60/DX$4*DX$7)),IF(AND($F90=2,$G90=1),EF90,0)))))</f>
        <v>0</v>
      </c>
      <c r="EI90" s="57" t="str">
        <f t="shared" si="539"/>
        <v/>
      </c>
      <c r="EJ90" s="57" t="str">
        <f t="shared" si="540"/>
        <v/>
      </c>
      <c r="EK90" s="713">
        <f>'org. Düngung 22'!AN89</f>
        <v>0</v>
      </c>
      <c r="EL90" s="57"/>
      <c r="EM90" s="57"/>
      <c r="EN90" s="57">
        <f t="shared" si="541"/>
        <v>0</v>
      </c>
      <c r="EO90" s="57">
        <f t="shared" si="721"/>
        <v>0</v>
      </c>
      <c r="EP90" s="57">
        <f t="shared" si="722"/>
        <v>0</v>
      </c>
      <c r="EQ90" s="57">
        <f t="shared" si="723"/>
        <v>0</v>
      </c>
      <c r="ER90" s="57">
        <f t="shared" si="724"/>
        <v>0</v>
      </c>
      <c r="ES90" s="1029">
        <f t="shared" si="542"/>
        <v>0</v>
      </c>
      <c r="ET90" s="57">
        <f t="shared" si="543"/>
        <v>0</v>
      </c>
      <c r="EU90" s="171" t="str">
        <f t="shared" si="544"/>
        <v/>
      </c>
      <c r="EV90" s="57">
        <f t="shared" si="725"/>
        <v>0</v>
      </c>
      <c r="EW90" s="57">
        <f>IF(OR(AND(EK$6=1,$L90=0),AND(EK$6=2,$K90=2,$G90=1)),0,IF(AND(EM$9=2,(OR($F90&gt;1,$K90=1,AND($L90=80,OR($N90=1,AND($N90=2,'#BerechnungDBE'!$AL81&gt;0)))))),IF(EK$4&gt;=$AD$126,0,EU90),IF(EM$9=3,IF(OR(EK$4&gt;=$AD$127,AND($G90=1,$J90=2,EK$6=2),AND(EK$6=1,$N90&lt;&gt;1)),0,IF(EO90&lt;=120,EU90,IF(EK$4&lt;$AD$124,IF($F90=1,60/EM$4*EM$6,60/EM$4*EM$7),IF($F90=1,120/EM$4*EM$6,120/EM$4*EM$7)))),IF(OR($F90=3,$G90=2),IF(OR(AND(EK$4&gt;=$AD$119,$C90=2),AND(EK$4&gt;=$AF$119,$C90=1)),0,IF(EO90&lt;=60,EU90,60/EM$4*EM$7)),IF(AND($F90=2,$G90=1),EU90,0)))))</f>
        <v>0</v>
      </c>
      <c r="EX90" s="57" t="str">
        <f t="shared" si="545"/>
        <v/>
      </c>
      <c r="EY90" s="57" t="str">
        <f t="shared" si="546"/>
        <v/>
      </c>
      <c r="EZ90" s="713">
        <f>'org. Düngung 22'!AR89</f>
        <v>0</v>
      </c>
      <c r="FA90" s="57"/>
      <c r="FB90" s="57"/>
      <c r="FC90" s="57">
        <f t="shared" si="547"/>
        <v>0</v>
      </c>
      <c r="FD90" s="57">
        <f t="shared" si="726"/>
        <v>0</v>
      </c>
      <c r="FE90" s="57">
        <f t="shared" si="727"/>
        <v>0</v>
      </c>
      <c r="FF90" s="57">
        <f t="shared" si="728"/>
        <v>0</v>
      </c>
      <c r="FG90" s="57">
        <f t="shared" si="729"/>
        <v>0</v>
      </c>
      <c r="FH90" s="1029">
        <f t="shared" si="548"/>
        <v>0</v>
      </c>
      <c r="FI90" s="57">
        <f t="shared" si="549"/>
        <v>0</v>
      </c>
      <c r="FJ90" s="171" t="str">
        <f t="shared" si="550"/>
        <v/>
      </c>
      <c r="FK90" s="57">
        <f t="shared" si="730"/>
        <v>0</v>
      </c>
      <c r="FL90" s="57">
        <f>IF(OR(AND(EZ$6=1,$L90=0),AND(EZ$6=2,$K90=2,$G90=1)),0,IF(AND(FB$9=2,(OR($F90&gt;1,$K90=1,AND($L90=80,OR($N90=1,AND($N90=2,'#BerechnungDBE'!$AL81&gt;0)))))),IF(EZ$4&gt;=$AD$126,0,FJ90),IF(FB$9=3,IF(OR(EZ$4&gt;=$AD$127,AND($G90=1,$J90=2,EZ$6=2),AND(EZ$6=1,$N90&lt;&gt;1)),0,IF(FD90&lt;=120,FJ90,IF(EZ$4&lt;$AD$124,IF($F90=1,60/FB$4*FB$6,60/FB$4*FB$7),IF($F90=1,120/FB$4*FB$6,120/FB$4*FB$7)))),IF(OR($F90=3,$G90=2),IF(OR(AND(EZ$4&gt;=$AD$119,$C90=2),AND(EZ$4&gt;=$AF$119,$C90=1)),0,IF(FD90&lt;=60,FJ90,60/FB$4*FB$7)),IF(AND($F90=2,$G90=1),FJ90,0)))))</f>
        <v>0</v>
      </c>
      <c r="FM90" s="57" t="str">
        <f t="shared" si="551"/>
        <v/>
      </c>
      <c r="FN90" s="57" t="str">
        <f t="shared" si="552"/>
        <v/>
      </c>
      <c r="FO90" s="713">
        <f>'org. Düngung 22'!AV89</f>
        <v>0</v>
      </c>
      <c r="FP90" s="57"/>
      <c r="FQ90" s="57"/>
      <c r="FR90" s="57">
        <f t="shared" si="553"/>
        <v>0</v>
      </c>
      <c r="FS90" s="57">
        <f t="shared" si="731"/>
        <v>0</v>
      </c>
      <c r="FT90" s="57">
        <f t="shared" si="732"/>
        <v>0</v>
      </c>
      <c r="FU90" s="57">
        <f t="shared" si="733"/>
        <v>0</v>
      </c>
      <c r="FV90" s="57">
        <f t="shared" si="734"/>
        <v>0</v>
      </c>
      <c r="FW90" s="1029">
        <f t="shared" si="554"/>
        <v>0</v>
      </c>
      <c r="FX90" s="57">
        <f t="shared" si="555"/>
        <v>0</v>
      </c>
      <c r="FY90" s="171" t="str">
        <f t="shared" si="556"/>
        <v/>
      </c>
      <c r="FZ90" s="57">
        <f t="shared" si="735"/>
        <v>0</v>
      </c>
      <c r="GA90" s="57">
        <f>IF(OR(AND(FO$6=1,$L90=0),AND(FO$6=2,$K90=2,$G90=1)),0,IF(AND(FQ$9=2,(OR($F90&gt;1,$K90=1,AND($L90=80,OR($N90=1,AND($N90=2,'#BerechnungDBE'!$AL81&gt;0)))))),IF(FO$4&gt;=$AD$126,0,FY90),IF(FQ$9=3,IF(OR(FO$4&gt;=$AD$127,AND($G90=1,$J90=2,FO$6=2),AND(FO$6=1,$N90&lt;&gt;1)),0,IF(FS90&lt;=120,FY90,IF(FO$4&lt;$AD$124,IF($F90=1,60/FQ$4*FQ$6,60/FQ$4*FQ$7),IF($F90=1,120/FQ$4*FQ$6,120/FQ$4*FQ$7)))),IF(OR($F90=3,$G90=2),IF(OR(AND(FO$4&gt;=$AD$119,$C90=2),AND(FO$4&gt;=$AF$119,$C90=1)),0,IF(FS90&lt;=60,FY90,60/FQ$4*FQ$7)),IF(AND($F90=2,$G90=1),FY90,0)))))</f>
        <v>0</v>
      </c>
      <c r="GB90" s="57" t="str">
        <f t="shared" si="557"/>
        <v/>
      </c>
      <c r="GC90" s="57" t="str">
        <f t="shared" si="558"/>
        <v/>
      </c>
      <c r="GD90" s="713">
        <f>'org. Düngung 22'!AZ89</f>
        <v>0</v>
      </c>
      <c r="GE90" s="57"/>
      <c r="GF90" s="57"/>
      <c r="GG90" s="57">
        <f t="shared" si="559"/>
        <v>0</v>
      </c>
      <c r="GH90" s="57">
        <f t="shared" si="736"/>
        <v>0</v>
      </c>
      <c r="GI90" s="57">
        <f t="shared" si="737"/>
        <v>0</v>
      </c>
      <c r="GJ90" s="57">
        <f t="shared" si="738"/>
        <v>0</v>
      </c>
      <c r="GK90" s="57">
        <f t="shared" si="739"/>
        <v>0</v>
      </c>
      <c r="GL90" s="1029">
        <f t="shared" si="560"/>
        <v>0</v>
      </c>
      <c r="GM90" s="57">
        <f t="shared" si="561"/>
        <v>0</v>
      </c>
      <c r="GN90" s="171" t="str">
        <f t="shared" si="562"/>
        <v/>
      </c>
      <c r="GO90" s="57">
        <f t="shared" si="740"/>
        <v>0</v>
      </c>
      <c r="GP90" s="57">
        <f>IF(OR(AND(GD$6=1,$L90=0),AND(GD$6=2,$K90=2,$G90=1)),0,IF(AND(GF$9=2,(OR($F90&gt;1,$K90=1,AND($L90=80,OR($N90=1,AND($N90=2,'#BerechnungDBE'!$AL81&gt;0)))))),IF(GD$4&gt;=$AD$126,0,GN90),IF(GF$9=3,IF(OR(GD$4&gt;=$AD$127,AND($G90=1,$J90=2,GD$6=2),AND(GD$6=1,$N90&lt;&gt;1)),0,IF(GH90&lt;=120,GN90,IF(GD$4&lt;$AD$124,IF($F90=1,60/GF$4*GF$6,60/GF$4*GF$7),IF($F90=1,120/GF$4*GF$6,120/GF$4*GF$7)))),IF(OR($F90=3,$G90=2),IF(OR(AND(GD$4&gt;=$AD$119,$C90=2),AND(GD$4&gt;=$AF$119,$C90=1)),0,IF(GH90&lt;=60,GN90,60/GF$4*GF$7)),IF(AND($F90=2,$G90=1),GN90,0)))))</f>
        <v>0</v>
      </c>
      <c r="GQ90" s="57" t="str">
        <f t="shared" si="563"/>
        <v/>
      </c>
      <c r="GR90" s="57" t="str">
        <f t="shared" si="564"/>
        <v/>
      </c>
      <c r="GS90" s="713">
        <f>'org. Düngung 22'!BD89</f>
        <v>0</v>
      </c>
      <c r="GT90" s="57"/>
      <c r="GU90" s="57"/>
      <c r="GV90" s="57">
        <f t="shared" si="565"/>
        <v>0</v>
      </c>
      <c r="GW90" s="57">
        <f t="shared" si="741"/>
        <v>0</v>
      </c>
      <c r="GX90" s="57">
        <f t="shared" si="742"/>
        <v>0</v>
      </c>
      <c r="GY90" s="57">
        <f t="shared" si="743"/>
        <v>0</v>
      </c>
      <c r="GZ90" s="57">
        <f t="shared" si="744"/>
        <v>0</v>
      </c>
      <c r="HA90" s="1029">
        <f t="shared" si="566"/>
        <v>0</v>
      </c>
      <c r="HB90" s="57">
        <f t="shared" si="567"/>
        <v>0</v>
      </c>
      <c r="HC90" s="171" t="str">
        <f t="shared" si="568"/>
        <v/>
      </c>
      <c r="HD90" s="57">
        <f t="shared" si="745"/>
        <v>0</v>
      </c>
      <c r="HE90" s="57">
        <f>IF(OR(AND(GS$6=1,$L90=0),AND(GS$6=2,$K90=2,$G90=1)),0,IF(AND(GU$9=2,(OR($F90&gt;1,$K90=1,AND($L90=80,OR($N90=1,AND($N90=2,'#BerechnungDBE'!$AL81&gt;0)))))),IF(GS$4&gt;=$AD$126,0,HC90),IF(GU$9=3,IF(OR(GS$4&gt;=$AD$127,AND($G90=1,$J90=2,GS$6=2),AND(GS$6=1,$N90&lt;&gt;1)),0,IF(GW90&lt;=120,HC90,IF(GS$4&lt;$AD$124,IF($F90=1,60/GU$4*GU$6,60/GU$4*GU$7),IF($F90=1,120/GU$4*GU$6,120/GU$4*GU$7)))),IF(OR($F90=3,$G90=2),IF(OR(AND(GS$4&gt;=$AD$119,$C90=2),AND(GS$4&gt;=$AF$119,$C90=1)),0,IF(GW90&lt;=60,HC90,60/GU$4*GU$7)),IF(AND($F90=2,$G90=1),HC90,0)))))</f>
        <v>0</v>
      </c>
      <c r="HF90" s="57" t="str">
        <f t="shared" si="569"/>
        <v/>
      </c>
      <c r="HG90" s="57" t="str">
        <f t="shared" si="570"/>
        <v/>
      </c>
      <c r="HH90" s="713">
        <f>'org. Düngung 22'!BH89</f>
        <v>0</v>
      </c>
      <c r="HI90" s="57"/>
      <c r="HJ90" s="57"/>
      <c r="HK90" s="57">
        <f t="shared" si="571"/>
        <v>0</v>
      </c>
      <c r="HL90" s="57">
        <f t="shared" si="746"/>
        <v>0</v>
      </c>
      <c r="HM90" s="57">
        <f t="shared" si="747"/>
        <v>0</v>
      </c>
      <c r="HN90" s="57">
        <f t="shared" si="748"/>
        <v>0</v>
      </c>
      <c r="HO90" s="57">
        <f t="shared" si="749"/>
        <v>0</v>
      </c>
      <c r="HP90" s="1029">
        <f t="shared" si="572"/>
        <v>0</v>
      </c>
      <c r="HQ90" s="57">
        <f t="shared" si="573"/>
        <v>0</v>
      </c>
      <c r="HR90" s="171" t="str">
        <f t="shared" si="574"/>
        <v/>
      </c>
      <c r="HS90" s="57">
        <f t="shared" si="750"/>
        <v>0</v>
      </c>
      <c r="HT90" s="57">
        <f>IF(OR(AND(HH$6=1,$L90=0),AND(HH$6=2,$K90=2,$G90=1)),0,IF(AND(HJ$9=2,(OR($F90&gt;1,$K90=1,AND($L90=80,OR($N90=1,AND($N90=2,'#BerechnungDBE'!$AL81&gt;0)))))),IF(HH$4&gt;=$AD$126,0,HR90),IF(HJ$9=3,IF(OR(HH$4&gt;=$AD$127,AND($G90=1,$J90=2,HH$6=2),AND(HH$6=1,$N90&lt;&gt;1)),0,IF(HL90&lt;=120,HR90,IF(HH$4&lt;$AD$124,IF($F90=1,60/HJ$4*HJ$6,60/HJ$4*HJ$7),IF($F90=1,120/HJ$4*HJ$6,120/HJ$4*HJ$7)))),IF(OR($F90=3,$G90=2),IF(OR(AND(HH$4&gt;=$AD$119,$C90=2),AND(HH$4&gt;=$AF$119,$C90=1)),0,IF(HL90&lt;=60,HR90,60/HJ$4*HJ$7)),IF(AND($F90=2,$G90=1),HR90,0)))))</f>
        <v>0</v>
      </c>
      <c r="HU90" s="57" t="str">
        <f t="shared" si="575"/>
        <v/>
      </c>
      <c r="HV90" s="57" t="str">
        <f t="shared" si="576"/>
        <v/>
      </c>
      <c r="HW90" s="713">
        <f>'org. Düngung 22'!BL89</f>
        <v>0</v>
      </c>
      <c r="HX90" s="57"/>
      <c r="HY90" s="57"/>
      <c r="HZ90" s="57">
        <f t="shared" si="577"/>
        <v>0</v>
      </c>
      <c r="IA90" s="57">
        <f t="shared" si="751"/>
        <v>0</v>
      </c>
      <c r="IB90" s="57">
        <f t="shared" si="752"/>
        <v>0</v>
      </c>
      <c r="IC90" s="57">
        <f t="shared" si="753"/>
        <v>0</v>
      </c>
      <c r="ID90" s="57">
        <f t="shared" si="754"/>
        <v>0</v>
      </c>
      <c r="IE90" s="1029">
        <f t="shared" si="578"/>
        <v>0</v>
      </c>
      <c r="IF90" s="57">
        <f t="shared" si="579"/>
        <v>0</v>
      </c>
      <c r="IG90" s="171" t="str">
        <f t="shared" si="580"/>
        <v/>
      </c>
      <c r="IH90" s="57">
        <f t="shared" si="755"/>
        <v>0</v>
      </c>
      <c r="II90" s="57">
        <f>IF(OR(AND(HW$6=1,$L90=0),AND(HW$6=2,$K90=2,$G90=1)),0,IF(AND(HY$9=2,(OR($F90&gt;1,$K90=1,AND($L90=80,OR($N90=1,AND($N90=2,'#BerechnungDBE'!$AL81&gt;0)))))),IF(HW$4&gt;=$AD$126,0,IG90),IF(HY$9=3,IF(OR(HW$4&gt;=$AD$127,AND($G90=1,$J90=2,HW$6=2),AND(HW$6=1,$N90&lt;&gt;1)),0,IF(IA90&lt;=120,IG90,IF(HW$4&lt;$AD$124,IF($F90=1,60/HY$4*HY$6,60/HY$4*HY$7),IF($F90=1,120/HY$4*HY$6,120/HY$4*HY$7)))),IF(OR($F90=3,$G90=2),IF(OR(AND(HW$4&gt;=$AD$119,$C90=2),AND(HW$4&gt;=$AF$119,$C90=1)),0,IF(IA90&lt;=60,IG90,60/HY$4*HY$7)),IF(AND($F90=2,$G90=1),IG90,0)))))</f>
        <v>0</v>
      </c>
      <c r="IJ90" s="57" t="str">
        <f t="shared" si="581"/>
        <v/>
      </c>
      <c r="IK90" s="57" t="str">
        <f t="shared" si="582"/>
        <v/>
      </c>
      <c r="IL90" s="713">
        <f>'org. Düngung 22'!BP89</f>
        <v>0</v>
      </c>
      <c r="IM90" s="57"/>
      <c r="IN90" s="57"/>
      <c r="IO90" s="57">
        <f t="shared" si="583"/>
        <v>0</v>
      </c>
      <c r="IP90" s="57">
        <f t="shared" si="756"/>
        <v>0</v>
      </c>
      <c r="IQ90" s="57">
        <f t="shared" si="757"/>
        <v>0</v>
      </c>
      <c r="IR90" s="57">
        <f t="shared" si="758"/>
        <v>0</v>
      </c>
      <c r="IS90" s="57">
        <f t="shared" si="759"/>
        <v>0</v>
      </c>
      <c r="IT90" s="1029">
        <f t="shared" si="584"/>
        <v>0</v>
      </c>
      <c r="IU90" s="57">
        <f t="shared" si="585"/>
        <v>0</v>
      </c>
      <c r="IV90" s="171" t="str">
        <f t="shared" si="586"/>
        <v/>
      </c>
      <c r="IW90" s="57">
        <f t="shared" si="760"/>
        <v>0</v>
      </c>
      <c r="IX90" s="57">
        <f>IF(OR(AND(IL$6=1,$L90=0),AND(IL$6=2,$K90=2,$G90=1)),0,IF(AND(IN$9=2,(OR($F90&gt;1,$K90=1,AND($L90=80,OR($N90=1,AND($N90=2,'#BerechnungDBE'!$AL81&gt;0)))))),IF(IL$4&gt;=$AD$126,0,IV90),IF(IN$9=3,IF(OR(IL$4&gt;=$AD$127,AND($G90=1,$J90=2,IL$6=2),AND(IL$6=1,$N90&lt;&gt;1)),0,IF(IP90&lt;=120,IV90,IF(IL$4&lt;$AD$124,IF($F90=1,60/IN$4*IN$6,60/IN$4*IN$7),IF($F90=1,120/IN$4*IN$6,120/IN$4*IN$7)))),IF(OR($F90=3,$G90=2),IF(OR(AND(IL$4&gt;=$AD$119,$C90=2),AND(IL$4&gt;=$AF$119,$C90=1)),0,IF(IP90&lt;=60,IV90,60/IN$4*IN$7)),IF(AND($F90=2,$G90=1),IV90,0)))))</f>
        <v>0</v>
      </c>
      <c r="IY90" s="57" t="str">
        <f t="shared" si="587"/>
        <v/>
      </c>
      <c r="IZ90" s="57" t="str">
        <f t="shared" si="588"/>
        <v/>
      </c>
      <c r="JA90" s="713">
        <f>'org. Düngung 22'!BT89</f>
        <v>0</v>
      </c>
      <c r="JB90" s="57"/>
      <c r="JC90" s="57"/>
      <c r="JD90" s="57">
        <f t="shared" si="589"/>
        <v>0</v>
      </c>
      <c r="JE90" s="57">
        <f t="shared" si="761"/>
        <v>0</v>
      </c>
      <c r="JF90" s="57">
        <f t="shared" si="762"/>
        <v>0</v>
      </c>
      <c r="JG90" s="57">
        <f t="shared" si="763"/>
        <v>0</v>
      </c>
      <c r="JH90" s="57">
        <f t="shared" si="764"/>
        <v>0</v>
      </c>
      <c r="JI90" s="1029">
        <f t="shared" si="590"/>
        <v>0</v>
      </c>
      <c r="JJ90" s="57">
        <f t="shared" si="591"/>
        <v>0</v>
      </c>
      <c r="JK90" s="171" t="str">
        <f t="shared" si="592"/>
        <v/>
      </c>
      <c r="JL90" s="57">
        <f t="shared" si="765"/>
        <v>0</v>
      </c>
      <c r="JM90" s="57">
        <f>IF(OR(AND(JA$6=1,$L90=0),AND(JA$6=2,$K90=2,$G90=1)),0,IF(AND(JC$9=2,(OR($F90&gt;1,$K90=1,AND($L90=80,OR($N90=1,AND($N90=2,'#BerechnungDBE'!$AL81&gt;0)))))),IF(JA$4&gt;=$AD$126,0,JK90),IF(JC$9=3,IF(OR(JA$4&gt;=$AD$127,AND($G90=1,$J90=2,JA$6=2),AND(JA$6=1,$N90&lt;&gt;1)),0,IF(JE90&lt;=120,JK90,IF(JA$4&lt;$AD$124,IF($F90=1,60/JC$4*JC$6,60/JC$4*JC$7),IF($F90=1,120/JC$4*JC$6,120/JC$4*JC$7)))),IF(OR($F90=3,$G90=2),IF(OR(AND(JA$4&gt;=$AD$119,$C90=2),AND(JA$4&gt;=$AF$119,$C90=1)),0,IF(JE90&lt;=60,JK90,60/JC$4*JC$7)),IF(AND($F90=2,$G90=1),JK90,0)))))</f>
        <v>0</v>
      </c>
      <c r="JN90" s="57" t="str">
        <f t="shared" si="593"/>
        <v/>
      </c>
      <c r="JO90" s="57" t="str">
        <f t="shared" si="594"/>
        <v/>
      </c>
      <c r="JP90" s="713">
        <f>'org. Düngung 22'!BX89</f>
        <v>0</v>
      </c>
      <c r="JQ90" s="57"/>
      <c r="JR90" s="57"/>
      <c r="JS90" s="57">
        <f t="shared" si="595"/>
        <v>0</v>
      </c>
      <c r="JT90" s="57">
        <f t="shared" si="766"/>
        <v>0</v>
      </c>
      <c r="JU90" s="57">
        <f t="shared" si="767"/>
        <v>0</v>
      </c>
      <c r="JV90" s="57">
        <f t="shared" si="768"/>
        <v>0</v>
      </c>
      <c r="JW90" s="57">
        <f t="shared" si="769"/>
        <v>0</v>
      </c>
      <c r="JX90" s="1029">
        <f t="shared" si="596"/>
        <v>0</v>
      </c>
      <c r="JY90" s="57">
        <f t="shared" si="597"/>
        <v>0</v>
      </c>
      <c r="JZ90" s="171" t="str">
        <f t="shared" si="598"/>
        <v/>
      </c>
      <c r="KA90" s="57">
        <f t="shared" si="770"/>
        <v>0</v>
      </c>
      <c r="KB90" s="57">
        <f>IF(OR(AND(JP$6=1,$L90=0),AND(JP$6=2,$K90=2,$G90=1)),0,IF(AND(JR$9=2,(OR($F90&gt;1,$K90=1,AND($L90=80,OR($N90=1,AND($N90=2,'#BerechnungDBE'!$AL81&gt;0)))))),IF(JP$4&gt;=$AD$126,0,JZ90),IF(JR$9=3,IF(OR(JP$4&gt;=$AD$127,AND($G90=1,$J90=2,JP$6=2),AND(JP$6=1,$N90&lt;&gt;1)),0,IF(JT90&lt;=120,JZ90,IF(JP$4&lt;$AD$124,IF($F90=1,60/JR$4*JR$6,60/JR$4*JR$7),IF($F90=1,120/JR$4*JR$6,120/JR$4*JR$7)))),IF(OR($F90=3,$G90=2),IF(OR(AND(JP$4&gt;=$AD$119,$C90=2),AND(JP$4&gt;=$AF$119,$C90=1)),0,IF(JT90&lt;=60,JZ90,60/JR$4*JR$7)),IF(AND($F90=2,$G90=1),JZ90,0)))))</f>
        <v>0</v>
      </c>
      <c r="KC90" s="57" t="str">
        <f t="shared" si="599"/>
        <v/>
      </c>
      <c r="KD90" s="57" t="str">
        <f t="shared" si="600"/>
        <v/>
      </c>
      <c r="KE90" s="713">
        <f>'org. Düngung 22'!CB89</f>
        <v>0</v>
      </c>
      <c r="KF90" s="57"/>
      <c r="KG90" s="57"/>
      <c r="KH90" s="57">
        <f t="shared" si="601"/>
        <v>0</v>
      </c>
      <c r="KI90" s="57">
        <f t="shared" si="771"/>
        <v>0</v>
      </c>
      <c r="KJ90" s="57">
        <f t="shared" si="772"/>
        <v>0</v>
      </c>
      <c r="KK90" s="57">
        <f t="shared" si="773"/>
        <v>0</v>
      </c>
      <c r="KL90" s="57">
        <f t="shared" si="774"/>
        <v>0</v>
      </c>
      <c r="KM90" s="1029">
        <f t="shared" si="602"/>
        <v>0</v>
      </c>
      <c r="KN90" s="57">
        <f t="shared" si="603"/>
        <v>0</v>
      </c>
      <c r="KO90" s="171" t="str">
        <f t="shared" si="604"/>
        <v/>
      </c>
      <c r="KP90" s="57">
        <f t="shared" si="775"/>
        <v>0</v>
      </c>
      <c r="KQ90" s="57">
        <f>IF(OR(AND(KE$6=1,$L90=0),AND(KE$6=2,$K90=2,$G90=1)),0,IF(AND(KG$9=2,(OR($F90&gt;1,$K90=1,AND($L90=80,OR($N90=1,AND($N90=2,'#BerechnungDBE'!$AL81&gt;0)))))),IF(KE$4&gt;=$AD$126,0,KO90),IF(KG$9=3,IF(OR(KE$4&gt;=$AD$127,AND($G90=1,$J90=2,KE$6=2),AND(KE$6=1,$N90&lt;&gt;1)),0,IF(KI90&lt;=120,KO90,IF(KE$4&lt;$AD$124,IF($F90=1,60/KG$4*KG$6,60/KG$4*KG$7),IF($F90=1,120/KG$4*KG$6,120/KG$4*KG$7)))),IF(OR($F90=3,$G90=2),IF(OR(AND(KE$4&gt;=$AD$119,$C90=2),AND(KE$4&gt;=$AF$119,$C90=1)),0,IF(KI90&lt;=60,KO90,60/KG$4*KG$7)),IF(AND($F90=2,$G90=1),KO90,0)))))</f>
        <v>0</v>
      </c>
      <c r="KR90" s="57" t="str">
        <f t="shared" si="605"/>
        <v/>
      </c>
      <c r="KS90" s="57" t="str">
        <f t="shared" si="606"/>
        <v/>
      </c>
      <c r="KT90" s="713">
        <f>'org. Düngung 22'!CF89</f>
        <v>0</v>
      </c>
      <c r="KU90" s="57"/>
      <c r="KV90" s="57"/>
      <c r="KW90" s="57">
        <f t="shared" si="607"/>
        <v>0</v>
      </c>
      <c r="KX90" s="57">
        <f t="shared" si="776"/>
        <v>0</v>
      </c>
      <c r="KY90" s="57">
        <f t="shared" si="777"/>
        <v>0</v>
      </c>
      <c r="KZ90" s="57">
        <f t="shared" si="778"/>
        <v>0</v>
      </c>
      <c r="LA90" s="57">
        <f t="shared" si="779"/>
        <v>0</v>
      </c>
      <c r="LB90" s="1029">
        <f t="shared" si="608"/>
        <v>0</v>
      </c>
      <c r="LC90" s="57">
        <f t="shared" si="609"/>
        <v>0</v>
      </c>
      <c r="LD90" s="171" t="str">
        <f t="shared" si="610"/>
        <v/>
      </c>
      <c r="LE90" s="57">
        <f t="shared" si="780"/>
        <v>0</v>
      </c>
      <c r="LF90" s="57">
        <f>IF(OR(AND(KT$6=1,$L90=0),AND(KT$6=2,$K90=2,$G90=1)),0,IF(AND(KV$9=2,(OR($F90&gt;1,$K90=1,AND($L90=80,OR($N90=1,AND($N90=2,'#BerechnungDBE'!$AL81&gt;0)))))),IF(KT$4&gt;=$AD$126,0,LD90),IF(KV$9=3,IF(OR(KT$4&gt;=$AD$127,AND($G90=1,$J90=2,KT$6=2),AND(KT$6=1,$N90&lt;&gt;1)),0,IF(KX90&lt;=120,LD90,IF(KT$4&lt;$AD$124,IF($F90=1,60/KV$4*KV$6,60/KV$4*KV$7),IF($F90=1,120/KV$4*KV$6,120/KV$4*KV$7)))),IF(OR($F90=3,$G90=2),IF(OR(AND(KT$4&gt;=$AD$119,$C90=2),AND(KT$4&gt;=$AF$119,$C90=1)),0,IF(KX90&lt;=60,LD90,60/KV$4*KV$7)),IF(AND($F90=2,$G90=1),LD90,0)))))</f>
        <v>0</v>
      </c>
      <c r="LG90" s="57" t="str">
        <f t="shared" si="611"/>
        <v/>
      </c>
      <c r="LH90" s="57" t="str">
        <f t="shared" si="612"/>
        <v/>
      </c>
      <c r="LI90" s="713">
        <f>'org. Düngung 22'!CJ89</f>
        <v>0</v>
      </c>
      <c r="LJ90" s="57"/>
      <c r="LK90" s="57"/>
      <c r="LL90" s="57">
        <f t="shared" si="613"/>
        <v>0</v>
      </c>
      <c r="LM90" s="57">
        <f t="shared" si="781"/>
        <v>0</v>
      </c>
      <c r="LN90" s="57">
        <f t="shared" si="782"/>
        <v>0</v>
      </c>
      <c r="LO90" s="57">
        <f t="shared" si="783"/>
        <v>0</v>
      </c>
      <c r="LP90" s="57">
        <f t="shared" si="784"/>
        <v>0</v>
      </c>
      <c r="LQ90" s="1029">
        <f t="shared" si="614"/>
        <v>0</v>
      </c>
      <c r="LR90" s="57">
        <f t="shared" si="615"/>
        <v>0</v>
      </c>
      <c r="LS90" s="171" t="str">
        <f t="shared" si="616"/>
        <v/>
      </c>
      <c r="LT90" s="57">
        <f t="shared" si="785"/>
        <v>0</v>
      </c>
      <c r="LU90" s="57">
        <f>IF(OR(AND(LI$6=1,$L90=0),AND(LI$6=2,$K90=2,$G90=1)),0,IF(AND(LK$9=2,(OR($F90&gt;1,$K90=1,AND($L90=80,OR($N90=1,AND($N90=2,'#BerechnungDBE'!$AL81&gt;0)))))),IF(LI$4&gt;=$AD$126,0,LS90),IF(LK$9=3,IF(OR(LI$4&gt;=$AD$127,AND($G90=1,$J90=2,LI$6=2),AND(LI$6=1,$N90&lt;&gt;1)),0,IF(LM90&lt;=120,LS90,IF(LI$4&lt;$AD$124,IF($F90=1,60/LK$4*LK$6,60/LK$4*LK$7),IF($F90=1,120/LK$4*LK$6,120/LK$4*LK$7)))),IF(OR($F90=3,$G90=2),IF(OR(AND(LI$4&gt;=$AD$119,$C90=2),AND(LI$4&gt;=$AF$119,$C90=1)),0,IF(LM90&lt;=60,LS90,60/LK$4*LK$7)),IF(AND($F90=2,$G90=1),LS90,0)))))</f>
        <v>0</v>
      </c>
      <c r="LV90" s="57" t="str">
        <f t="shared" si="617"/>
        <v/>
      </c>
      <c r="LW90" s="57" t="str">
        <f t="shared" si="618"/>
        <v/>
      </c>
      <c r="LX90" s="713">
        <f>'org. Düngung 22'!CN89</f>
        <v>0</v>
      </c>
      <c r="LY90" s="57"/>
      <c r="LZ90" s="57"/>
      <c r="MA90" s="57">
        <f t="shared" si="619"/>
        <v>0</v>
      </c>
      <c r="MB90" s="57">
        <f t="shared" si="786"/>
        <v>0</v>
      </c>
      <c r="MC90" s="57">
        <f t="shared" si="787"/>
        <v>0</v>
      </c>
      <c r="MD90" s="57">
        <f t="shared" si="788"/>
        <v>0</v>
      </c>
      <c r="ME90" s="57">
        <f t="shared" si="789"/>
        <v>0</v>
      </c>
      <c r="MF90" s="1029">
        <f t="shared" si="620"/>
        <v>0</v>
      </c>
      <c r="MG90" s="57">
        <f t="shared" si="621"/>
        <v>0</v>
      </c>
      <c r="MH90" s="171" t="str">
        <f t="shared" si="622"/>
        <v/>
      </c>
      <c r="MI90" s="57">
        <f t="shared" si="790"/>
        <v>0</v>
      </c>
      <c r="MJ90" s="57">
        <f>IF(OR(AND(LX$6=1,$L90=0),AND(LX$6=2,$K90=2,$G90=1)),0,IF(AND(LZ$9=2,(OR($F90&gt;1,$K90=1,AND($L90=80,OR($N90=1,AND($N90=2,'#BerechnungDBE'!$AL81&gt;0)))))),IF(LX$4&gt;=$AD$126,0,MH90),IF(LZ$9=3,IF(OR(LX$4&gt;=$AD$127,AND($G90=1,$J90=2,LX$6=2),AND(LX$6=1,$N90&lt;&gt;1)),0,IF(MB90&lt;=120,MH90,IF(LX$4&lt;$AD$124,IF($F90=1,60/LZ$4*LZ$6,60/LZ$4*LZ$7),IF($F90=1,120/LZ$4*LZ$6,120/LZ$4*LZ$7)))),IF(OR($F90=3,$G90=2),IF(OR(AND(LX$4&gt;=$AD$119,$C90=2),AND(LX$4&gt;=$AF$119,$C90=1)),0,IF(MB90&lt;=60,MH90,60/LZ$4*LZ$7)),IF(AND($F90=2,$G90=1),MH90,0)))))</f>
        <v>0</v>
      </c>
      <c r="MK90" s="57" t="str">
        <f t="shared" si="623"/>
        <v/>
      </c>
      <c r="ML90" s="57" t="str">
        <f t="shared" si="624"/>
        <v/>
      </c>
      <c r="MM90" s="713">
        <f>'org. Düngung 22'!CR89</f>
        <v>0</v>
      </c>
      <c r="MN90" s="57"/>
      <c r="MO90" s="57"/>
      <c r="MP90" s="57">
        <f t="shared" si="625"/>
        <v>0</v>
      </c>
      <c r="MQ90" s="57">
        <f t="shared" si="791"/>
        <v>0</v>
      </c>
      <c r="MR90" s="57">
        <f t="shared" si="792"/>
        <v>0</v>
      </c>
      <c r="MS90" s="57">
        <f t="shared" si="793"/>
        <v>0</v>
      </c>
      <c r="MT90" s="57">
        <f t="shared" si="794"/>
        <v>0</v>
      </c>
      <c r="MU90" s="1029">
        <f t="shared" si="626"/>
        <v>0</v>
      </c>
      <c r="MV90" s="57">
        <f t="shared" si="627"/>
        <v>0</v>
      </c>
      <c r="MW90" s="171" t="str">
        <f t="shared" si="628"/>
        <v/>
      </c>
      <c r="MX90" s="57">
        <f t="shared" si="795"/>
        <v>0</v>
      </c>
      <c r="MY90" s="57">
        <f>IF(OR(AND(MM$6=1,$L90=0),AND(MM$6=2,$K90=2,$G90=1)),0,IF(AND(MO$9=2,(OR($F90&gt;1,$K90=1,AND($L90=80,OR($N90=1,AND($N90=2,'#BerechnungDBE'!$AL81&gt;0)))))),IF(MM$4&gt;=$AD$126,0,MW90),IF(MO$9=3,IF(OR(MM$4&gt;=$AD$127,AND($G90=1,$J90=2,MM$6=2),AND(MM$6=1,$N90&lt;&gt;1)),0,IF(MQ90&lt;=120,MW90,IF(MM$4&lt;$AD$124,IF($F90=1,60/MO$4*MO$6,60/MO$4*MO$7),IF($F90=1,120/MO$4*MO$6,120/MO$4*MO$7)))),IF(OR($F90=3,$G90=2),IF(OR(AND(MM$4&gt;=$AD$119,$C90=2),AND(MM$4&gt;=$AF$119,$C90=1)),0,IF(MQ90&lt;=60,MW90,60/MO$4*MO$7)),IF(AND($F90=2,$G90=1),MW90,0)))))</f>
        <v>0</v>
      </c>
      <c r="MZ90" s="57" t="str">
        <f t="shared" si="629"/>
        <v/>
      </c>
      <c r="NA90" s="57" t="str">
        <f t="shared" si="630"/>
        <v/>
      </c>
      <c r="NB90" s="713">
        <f>'org. Düngung 22'!CV89</f>
        <v>0</v>
      </c>
      <c r="NC90" s="57"/>
      <c r="ND90" s="57"/>
      <c r="NE90" s="57">
        <f t="shared" si="631"/>
        <v>0</v>
      </c>
      <c r="NF90" s="57">
        <f t="shared" si="796"/>
        <v>0</v>
      </c>
      <c r="NG90" s="57">
        <f t="shared" si="797"/>
        <v>0</v>
      </c>
      <c r="NH90" s="57">
        <f t="shared" si="798"/>
        <v>0</v>
      </c>
      <c r="NI90" s="57">
        <f t="shared" si="799"/>
        <v>0</v>
      </c>
      <c r="NJ90" s="1029">
        <f t="shared" si="632"/>
        <v>0</v>
      </c>
      <c r="NK90" s="57">
        <f t="shared" si="633"/>
        <v>0</v>
      </c>
      <c r="NL90" s="171" t="str">
        <f t="shared" si="634"/>
        <v/>
      </c>
      <c r="NM90" s="57">
        <f t="shared" si="800"/>
        <v>0</v>
      </c>
      <c r="NN90" s="57">
        <f>IF(OR(AND(NB$6=1,$L90=0),AND(NB$6=2,$K90=2,$G90=1)),0,IF(AND(ND$9=2,(OR($F90&gt;1,$K90=1,AND($L90=80,OR($N90=1,AND($N90=2,'#BerechnungDBE'!$AL81&gt;0)))))),IF(NB$4&gt;=$AD$126,0,NL90),IF(ND$9=3,IF(OR(NB$4&gt;=$AD$127,AND($G90=1,$J90=2,NB$6=2),AND(NB$6=1,$N90&lt;&gt;1)),0,IF(NF90&lt;=120,NL90,IF(NB$4&lt;$AD$124,IF($F90=1,60/ND$4*ND$6,60/ND$4*ND$7),IF($F90=1,120/ND$4*ND$6,120/ND$4*ND$7)))),IF(OR($F90=3,$G90=2),IF(OR(AND(NB$4&gt;=$AD$119,$C90=2),AND(NB$4&gt;=$AF$119,$C90=1)),0,IF(NF90&lt;=60,NL90,60/ND$4*ND$7)),IF(AND($F90=2,$G90=1),NL90,0)))))</f>
        <v>0</v>
      </c>
      <c r="NO90" s="57" t="str">
        <f t="shared" si="635"/>
        <v/>
      </c>
      <c r="NP90" s="57" t="str">
        <f t="shared" si="636"/>
        <v/>
      </c>
      <c r="NQ90" s="713">
        <f>'org. Düngung 22'!CZ89</f>
        <v>0</v>
      </c>
      <c r="NR90" s="57"/>
      <c r="NS90" s="57"/>
      <c r="NT90" s="57">
        <f t="shared" si="637"/>
        <v>0</v>
      </c>
      <c r="NU90" s="57">
        <f t="shared" si="801"/>
        <v>0</v>
      </c>
      <c r="NV90" s="57">
        <f t="shared" si="802"/>
        <v>0</v>
      </c>
      <c r="NW90" s="57">
        <f t="shared" si="803"/>
        <v>0</v>
      </c>
      <c r="NX90" s="57">
        <f t="shared" si="804"/>
        <v>0</v>
      </c>
      <c r="NY90" s="1029">
        <f t="shared" si="638"/>
        <v>0</v>
      </c>
      <c r="NZ90" s="57">
        <f t="shared" si="639"/>
        <v>0</v>
      </c>
      <c r="OA90" s="171" t="str">
        <f t="shared" si="640"/>
        <v/>
      </c>
      <c r="OB90" s="57">
        <f t="shared" si="805"/>
        <v>0</v>
      </c>
      <c r="OC90" s="57">
        <f>IF(OR(AND(NQ$6=1,$L90=0),AND(NQ$6=2,$K90=2,$G90=1)),0,IF(AND(NS$9=2,(OR($F90&gt;1,$K90=1,AND($L90=80,OR($N90=1,AND($N90=2,'#BerechnungDBE'!$AL81&gt;0)))))),IF(NQ$4&gt;=$AD$126,0,OA90),IF(NS$9=3,IF(OR(NQ$4&gt;=$AD$127,AND($G90=1,$J90=2,NQ$6=2),AND(NQ$6=1,$N90&lt;&gt;1)),0,IF(NU90&lt;=120,OA90,IF(NQ$4&lt;$AD$124,IF($F90=1,60/NS$4*NS$6,60/NS$4*NS$7),IF($F90=1,120/NS$4*NS$6,120/NS$4*NS$7)))),IF(OR($F90=3,$G90=2),IF(OR(AND(NQ$4&gt;=$AD$119,$C90=2),AND(NQ$4&gt;=$AF$119,$C90=1)),0,IF(NU90&lt;=60,OA90,60/NS$4*NS$7)),IF(AND($F90=2,$G90=1),OA90,0)))))</f>
        <v>0</v>
      </c>
      <c r="OD90" s="57" t="str">
        <f t="shared" si="641"/>
        <v/>
      </c>
      <c r="OE90" s="57" t="str">
        <f t="shared" si="642"/>
        <v/>
      </c>
      <c r="OF90" s="713">
        <f>'org. Düngung 22'!DD89</f>
        <v>0</v>
      </c>
      <c r="OG90" s="57"/>
      <c r="OH90" s="57"/>
      <c r="OI90" s="57">
        <f t="shared" si="643"/>
        <v>0</v>
      </c>
      <c r="OJ90" s="57">
        <f t="shared" si="806"/>
        <v>0</v>
      </c>
      <c r="OK90" s="57">
        <f t="shared" si="807"/>
        <v>0</v>
      </c>
      <c r="OL90" s="57">
        <f t="shared" si="808"/>
        <v>0</v>
      </c>
      <c r="OM90" s="57">
        <f t="shared" si="809"/>
        <v>0</v>
      </c>
      <c r="ON90" s="1029">
        <f t="shared" si="644"/>
        <v>0</v>
      </c>
      <c r="OO90" s="57">
        <f t="shared" si="645"/>
        <v>0</v>
      </c>
      <c r="OP90" s="171" t="str">
        <f t="shared" si="646"/>
        <v/>
      </c>
      <c r="OQ90" s="57">
        <f t="shared" si="810"/>
        <v>0</v>
      </c>
      <c r="OR90" s="57">
        <f>IF(OR(AND(OF$6=1,$L90=0),AND(OF$6=2,$K90=2,$G90=1)),0,IF(AND(OH$9=2,(OR($F90&gt;1,$K90=1,AND($L90=80,OR($N90=1,AND($N90=2,'#BerechnungDBE'!$AL81&gt;0)))))),IF(OF$4&gt;=$AD$126,0,OP90),IF(OH$9=3,IF(OR(OF$4&gt;=$AD$127,AND($G90=1,$J90=2,OF$6=2),AND(OF$6=1,$N90&lt;&gt;1)),0,IF(OJ90&lt;=120,OP90,IF(OF$4&lt;$AD$124,IF($F90=1,60/OH$4*OH$6,60/OH$4*OH$7),IF($F90=1,120/OH$4*OH$6,120/OH$4*OH$7)))),IF(OR($F90=3,$G90=2),IF(OR(AND(OF$4&gt;=$AD$119,$C90=2),AND(OF$4&gt;=$AF$119,$C90=1)),0,IF(OJ90&lt;=60,OP90,60/OH$4*OH$7)),IF(AND($F90=2,$G90=1),OP90,0)))))</f>
        <v>0</v>
      </c>
      <c r="OS90" s="57" t="str">
        <f t="shared" si="647"/>
        <v/>
      </c>
      <c r="OT90" s="57" t="str">
        <f t="shared" si="648"/>
        <v/>
      </c>
      <c r="OU90" s="713">
        <f>'org. Düngung 22'!DH89</f>
        <v>0</v>
      </c>
      <c r="OV90" s="57"/>
      <c r="OW90" s="57"/>
      <c r="OX90" s="57">
        <f t="shared" si="649"/>
        <v>0</v>
      </c>
      <c r="OY90" s="57">
        <f t="shared" si="811"/>
        <v>0</v>
      </c>
      <c r="OZ90" s="57">
        <f t="shared" si="812"/>
        <v>0</v>
      </c>
      <c r="PA90" s="57">
        <f t="shared" si="813"/>
        <v>0</v>
      </c>
      <c r="PB90" s="57">
        <f t="shared" si="814"/>
        <v>0</v>
      </c>
      <c r="PC90" s="1029">
        <f t="shared" si="650"/>
        <v>0</v>
      </c>
      <c r="PD90" s="57">
        <f t="shared" si="651"/>
        <v>0</v>
      </c>
      <c r="PE90" s="171" t="str">
        <f t="shared" si="652"/>
        <v/>
      </c>
      <c r="PF90" s="57">
        <f t="shared" si="815"/>
        <v>0</v>
      </c>
      <c r="PG90" s="57">
        <f>IF(OR(AND(OU$6=1,$L90=0),AND(OU$6=2,$K90=2,$G90=1)),0,IF(AND(OW$9=2,(OR($F90&gt;1,$K90=1,AND($L90=80,OR($N90=1,AND($N90=2,'#BerechnungDBE'!$AL81&gt;0)))))),IF(OU$4&gt;=$AD$126,0,PE90),IF(OW$9=3,IF(OR(OU$4&gt;=$AD$127,AND($G90=1,$J90=2,OU$6=2),AND(OU$6=1,$N90&lt;&gt;1)),0,IF(OY90&lt;=120,PE90,IF(OU$4&lt;$AD$124,IF($F90=1,60/OW$4*OW$6,60/OW$4*OW$7),IF($F90=1,120/OW$4*OW$6,120/OW$4*OW$7)))),IF(OR($F90=3,$G90=2),IF(OR(AND(OU$4&gt;=$AD$119,$C90=2),AND(OU$4&gt;=$AF$119,$C90=1)),0,IF(OY90&lt;=60,PE90,60/OW$4*OW$7)),IF(AND($F90=2,$G90=1),PE90,0)))))</f>
        <v>0</v>
      </c>
      <c r="PH90" s="57" t="str">
        <f t="shared" si="653"/>
        <v/>
      </c>
      <c r="PI90" s="57" t="str">
        <f t="shared" si="654"/>
        <v/>
      </c>
      <c r="PJ90" s="713">
        <f>'org. Düngung 22'!DL89</f>
        <v>0</v>
      </c>
      <c r="PK90" s="57"/>
      <c r="PL90" s="57"/>
      <c r="PM90" s="57">
        <f t="shared" si="655"/>
        <v>0</v>
      </c>
      <c r="PN90" s="57">
        <f t="shared" si="816"/>
        <v>0</v>
      </c>
      <c r="PO90" s="57">
        <f t="shared" si="817"/>
        <v>0</v>
      </c>
      <c r="PP90" s="57">
        <f t="shared" si="818"/>
        <v>0</v>
      </c>
      <c r="PQ90" s="57">
        <f t="shared" si="819"/>
        <v>0</v>
      </c>
      <c r="PR90" s="1029">
        <f t="shared" si="656"/>
        <v>0</v>
      </c>
      <c r="PS90" s="57">
        <f t="shared" si="657"/>
        <v>0</v>
      </c>
      <c r="PT90" s="171" t="str">
        <f t="shared" si="658"/>
        <v/>
      </c>
      <c r="PU90" s="57">
        <f t="shared" si="820"/>
        <v>0</v>
      </c>
      <c r="PV90" s="57">
        <f>IF(OR(AND(PJ$6=1,$L90=0),AND(PJ$6=2,$K90=2,$G90=1)),0,IF(AND(PL$9=2,(OR($F90&gt;1,$K90=1,AND($L90=80,OR($N90=1,AND($N90=2,'#BerechnungDBE'!$AL81&gt;0)))))),IF(PJ$4&gt;=$AD$126,0,PT90),IF(PL$9=3,IF(OR(PJ$4&gt;=$AD$127,AND($G90=1,$J90=2,PJ$6=2),AND(PJ$6=1,$N90&lt;&gt;1)),0,IF(PN90&lt;=120,PT90,IF(PJ$4&lt;$AD$124,IF($F90=1,60/PL$4*PL$6,60/PL$4*PL$7),IF($F90=1,120/PL$4*PL$6,120/PL$4*PL$7)))),IF(OR($F90=3,$G90=2),IF(OR(AND(PJ$4&gt;=$AD$119,$C90=2),AND(PJ$4&gt;=$AF$119,$C90=1)),0,IF(PN90&lt;=60,PT90,60/PL$4*PL$7)),IF(AND($F90=2,$G90=1),PT90,0)))))</f>
        <v>0</v>
      </c>
      <c r="PW90" s="57" t="str">
        <f t="shared" si="659"/>
        <v/>
      </c>
      <c r="PX90" s="57" t="str">
        <f t="shared" si="660"/>
        <v/>
      </c>
      <c r="PY90" s="713">
        <f>'org. Düngung 22'!DP89</f>
        <v>0</v>
      </c>
      <c r="PZ90" s="57"/>
      <c r="QA90" s="57"/>
      <c r="QB90" s="57">
        <f t="shared" si="661"/>
        <v>0</v>
      </c>
      <c r="QC90" s="57">
        <f t="shared" si="821"/>
        <v>0</v>
      </c>
      <c r="QD90" s="57">
        <f t="shared" si="822"/>
        <v>0</v>
      </c>
      <c r="QE90" s="57">
        <f t="shared" si="823"/>
        <v>0</v>
      </c>
      <c r="QF90" s="57">
        <f t="shared" si="824"/>
        <v>0</v>
      </c>
      <c r="QG90" s="1029">
        <f t="shared" si="662"/>
        <v>0</v>
      </c>
      <c r="QH90" s="57">
        <f t="shared" si="663"/>
        <v>0</v>
      </c>
      <c r="QI90" s="171" t="str">
        <f t="shared" si="664"/>
        <v/>
      </c>
      <c r="QJ90" s="57">
        <f t="shared" si="825"/>
        <v>0</v>
      </c>
      <c r="QK90" s="57">
        <f>IF(OR(AND(PY$6=1,$L90=0),AND(PY$6=2,$K90=2,$G90=1)),0,IF(AND(QA$9=2,(OR($F90&gt;1,$K90=1,AND($L90=80,OR($N90=1,AND($N90=2,'#BerechnungDBE'!$AL81&gt;0)))))),IF(PY$4&gt;=$AD$126,0,QI90),IF(QA$9=3,IF(OR(PY$4&gt;=$AD$127,AND($G90=1,$J90=2,PY$6=2),AND(PY$6=1,$N90&lt;&gt;1)),0,IF(QC90&lt;=120,QI90,IF(PY$4&lt;$AD$124,IF($F90=1,60/QA$4*QA$6,60/QA$4*QA$7),IF($F90=1,120/QA$4*QA$6,120/QA$4*QA$7)))),IF(OR($F90=3,$G90=2),IF(OR(AND(PY$4&gt;=$AD$119,$C90=2),AND(PY$4&gt;=$AF$119,$C90=1)),0,IF(QC90&lt;=60,QI90,60/QA$4*QA$7)),IF(AND($F90=2,$G90=1),QI90,0)))))</f>
        <v>0</v>
      </c>
      <c r="QL90" s="57" t="str">
        <f t="shared" si="665"/>
        <v/>
      </c>
      <c r="QM90" s="57" t="str">
        <f t="shared" si="666"/>
        <v/>
      </c>
      <c r="QN90" s="713">
        <f>'org. Düngung 22'!DT89</f>
        <v>0</v>
      </c>
      <c r="QO90" s="57"/>
      <c r="QP90" s="57"/>
      <c r="QQ90" s="57">
        <f t="shared" si="667"/>
        <v>0</v>
      </c>
      <c r="QR90" s="57">
        <f t="shared" si="826"/>
        <v>0</v>
      </c>
      <c r="QS90" s="57">
        <f t="shared" si="827"/>
        <v>0</v>
      </c>
      <c r="QT90" s="57">
        <f t="shared" si="828"/>
        <v>0</v>
      </c>
      <c r="QU90" s="57">
        <f t="shared" si="829"/>
        <v>0</v>
      </c>
      <c r="QV90" s="1029">
        <f t="shared" si="668"/>
        <v>0</v>
      </c>
      <c r="QW90" s="57">
        <f t="shared" si="669"/>
        <v>0</v>
      </c>
      <c r="QX90" s="171" t="str">
        <f t="shared" si="670"/>
        <v/>
      </c>
      <c r="QY90" s="57">
        <f t="shared" si="830"/>
        <v>0</v>
      </c>
      <c r="QZ90" s="57">
        <f>IF(OR(AND(QN$6=1,$L90=0),AND(QN$6=2,$K90=2,$G90=1)),0,IF(AND(QP$9=2,(OR($F90&gt;1,$K90=1,AND($L90=80,OR($N90=1,AND($N90=2,'#BerechnungDBE'!$AL81&gt;0)))))),IF(QN$4&gt;=$AD$126,0,QX90),IF(QP$9=3,IF(OR(QN$4&gt;=$AD$127,AND($G90=1,$J90=2,QN$6=2),AND(QN$6=1,$N90&lt;&gt;1)),0,IF(QR90&lt;=120,QX90,IF(QN$4&lt;$AD$124,IF($F90=1,60/QP$4*QP$6,60/QP$4*QP$7),IF($F90=1,120/QP$4*QP$6,120/QP$4*QP$7)))),IF(OR($F90=3,$G90=2),IF(OR(AND(QN$4&gt;=$AD$119,$C90=2),AND(QN$4&gt;=$AF$119,$C90=1)),0,IF(QR90&lt;=60,QX90,60/QP$4*QP$7)),IF(AND($F90=2,$G90=1),QX90,0)))))</f>
        <v>0</v>
      </c>
      <c r="RA90" s="57" t="str">
        <f t="shared" si="671"/>
        <v/>
      </c>
      <c r="RB90" s="57" t="str">
        <f t="shared" si="672"/>
        <v/>
      </c>
      <c r="RC90" s="713">
        <f>'org. Düngung 22'!DX89</f>
        <v>0</v>
      </c>
      <c r="RD90" s="57"/>
      <c r="RE90" s="57"/>
      <c r="RF90" s="57">
        <f t="shared" si="673"/>
        <v>0</v>
      </c>
      <c r="RG90" s="57">
        <f t="shared" si="831"/>
        <v>0</v>
      </c>
      <c r="RH90" s="57">
        <f t="shared" si="832"/>
        <v>0</v>
      </c>
      <c r="RI90" s="57">
        <f t="shared" si="833"/>
        <v>0</v>
      </c>
      <c r="RJ90" s="57">
        <f t="shared" si="834"/>
        <v>0</v>
      </c>
      <c r="RK90" s="1029">
        <f t="shared" si="674"/>
        <v>0</v>
      </c>
      <c r="RL90" s="57">
        <f t="shared" si="675"/>
        <v>0</v>
      </c>
      <c r="RM90" s="171" t="str">
        <f t="shared" si="676"/>
        <v/>
      </c>
      <c r="RN90" s="57">
        <f t="shared" si="835"/>
        <v>0</v>
      </c>
      <c r="RO90" s="57">
        <f>IF(OR(AND(RC$6=1,$L90=0),AND(RC$6=2,$K90=2,$G90=1)),0,IF(AND(RE$9=2,(OR($F90&gt;1,$K90=1,AND($L90=80,OR($N90=1,AND($N90=2,'#BerechnungDBE'!$AL81&gt;0)))))),IF(RC$4&gt;=$AD$126,0,RM90),IF(RE$9=3,IF(OR(RC$4&gt;=$AD$127,AND($G90=1,$J90=2,RC$6=2),AND(RC$6=1,$N90&lt;&gt;1)),0,IF(RG90&lt;=120,RM90,IF(RC$4&lt;$AD$124,IF($F90=1,60/RE$4*RE$6,60/RE$4*RE$7),IF($F90=1,120/RE$4*RE$6,120/RE$4*RE$7)))),IF(OR($F90=3,$G90=2),IF(OR(AND(RC$4&gt;=$AD$119,$C90=2),AND(RC$4&gt;=$AF$119,$C90=1)),0,IF(RG90&lt;=60,RM90,60/RE$4*RE$7)),IF(AND($F90=2,$G90=1),RM90,0)))))</f>
        <v>0</v>
      </c>
      <c r="RP90" s="57" t="str">
        <f t="shared" si="677"/>
        <v/>
      </c>
      <c r="RQ90" s="57" t="str">
        <f t="shared" si="678"/>
        <v/>
      </c>
      <c r="RS90" s="57" t="str">
        <f t="shared" si="836"/>
        <v/>
      </c>
      <c r="RT90" s="57" t="str">
        <f t="shared" si="679"/>
        <v/>
      </c>
      <c r="RU90" s="57" t="str">
        <f t="shared" si="680"/>
        <v/>
      </c>
      <c r="RV90" s="57" t="str">
        <f>IF(Z90&gt;'#BerechnungDBE'!BM81,$RV$9,"")</f>
        <v/>
      </c>
      <c r="RW90" s="57" t="str">
        <f>IF(AND(L90=70,AE90&gt;'#BerechnungDBE'!CQ81),$RW$9,"")</f>
        <v/>
      </c>
      <c r="RX90" s="57" t="str">
        <f>IF(OR('org. Düngung 22'!G89="--",'org. Düngung 22'!G89&lt;=170,'org. Düngung 22'!G89=""),"",$RX$9)</f>
        <v/>
      </c>
      <c r="RY90" s="57" t="str">
        <f>IF('org. Düngung 22'!K89&gt;120,'#orgDung'!$RY$9,"")</f>
        <v/>
      </c>
      <c r="RZ90" s="57" t="str">
        <f>IF('#BerechnungDBE'!P81&lt;4,"",IF(AND('#BerechnungDBE'!BZ81&gt;0,T90&gt;0),'#orgDung'!$RZ$9,""))</f>
        <v/>
      </c>
      <c r="SA90" s="57" t="str">
        <f t="shared" si="681"/>
        <v/>
      </c>
    </row>
    <row r="91" spans="1:495" s="875" customFormat="1" x14ac:dyDescent="0.2">
      <c r="A91" s="875">
        <f>'Flächen u. Kulturen'!A87</f>
        <v>78</v>
      </c>
      <c r="B91" s="367">
        <f>'#BerechnungDBE'!L82</f>
        <v>0</v>
      </c>
      <c r="C91" s="875">
        <f>'#BerechnungDBE'!R82</f>
        <v>1</v>
      </c>
      <c r="D91" s="875">
        <f>'#BerechnungDBE'!T82</f>
        <v>2</v>
      </c>
      <c r="E91" s="875" t="str">
        <f>'Flächen u. Kulturen'!E87</f>
        <v>x</v>
      </c>
      <c r="F91" s="52">
        <f>'#BerechnungDBE'!N82</f>
        <v>1</v>
      </c>
      <c r="G91" s="52">
        <f>'#BerechnungDBE'!O82</f>
        <v>1</v>
      </c>
      <c r="H91" s="875">
        <f>IF('Flächen u. Kulturen'!P87="",0,VLOOKUP('Flächen u. Kulturen'!P87,Kulturen[[HF]:[Berechnungsgruppe]],'#Frucht'!$H$1,FALSE))</f>
        <v>0</v>
      </c>
      <c r="I91" s="875">
        <f>IF('Flächen u. Kulturen'!J87="",0,VLOOKUP('Flächen u. Kulturen'!J87,Kulturen[[HF]:[Berechnungsgruppe]],'#Frucht'!$G$1,FALSE))</f>
        <v>90</v>
      </c>
      <c r="J91" s="505">
        <f t="shared" si="682"/>
        <v>2</v>
      </c>
      <c r="K91" s="505">
        <f>IF('Flächen u. Kulturen'!P87="",0,IF(VLOOKUP('Flächen u. Kulturen'!P87,Kulturen[[HF]:[Saat Winterungen]],'#Frucht'!$P$1,FALSE)&gt;0,1,2))</f>
        <v>2</v>
      </c>
      <c r="L91" s="875">
        <f>'#BerechnungDBE'!AF82</f>
        <v>0</v>
      </c>
      <c r="M91" s="875">
        <f>IF('Flächen u. Kulturen'!L87="",0,VLOOKUP('Flächen u. Kulturen'!L87,Nebenkultur[[Nebenkultur]:[Legum. Zwischenfr.]],'#Zweitfr'!$K$1,FALSE))</f>
        <v>0</v>
      </c>
      <c r="N91" s="875">
        <f>'#BerechnungDBE'!AG82</f>
        <v>0</v>
      </c>
      <c r="P91" s="57">
        <f t="shared" si="489"/>
        <v>0</v>
      </c>
      <c r="Q91" s="57">
        <f t="shared" si="490"/>
        <v>0</v>
      </c>
      <c r="R91" s="875">
        <f t="shared" si="491"/>
        <v>0</v>
      </c>
      <c r="S91" s="938" t="str">
        <f t="shared" si="683"/>
        <v/>
      </c>
      <c r="T91" s="875">
        <f t="shared" si="492"/>
        <v>0</v>
      </c>
      <c r="U91" s="875">
        <f t="shared" si="493"/>
        <v>0</v>
      </c>
      <c r="V91" s="875">
        <f t="shared" si="494"/>
        <v>0</v>
      </c>
      <c r="W91" s="875">
        <f t="shared" si="495"/>
        <v>0</v>
      </c>
      <c r="X91" s="875">
        <f t="shared" si="496"/>
        <v>0</v>
      </c>
      <c r="Y91" s="875">
        <f t="shared" si="837"/>
        <v>0</v>
      </c>
      <c r="Z91" s="875">
        <f t="shared" si="838"/>
        <v>0</v>
      </c>
      <c r="AA91" s="910">
        <f t="shared" si="497"/>
        <v>0</v>
      </c>
      <c r="AB91" s="57">
        <f t="shared" si="839"/>
        <v>0</v>
      </c>
      <c r="AC91" s="875">
        <f t="shared" si="498"/>
        <v>0</v>
      </c>
      <c r="AD91" s="875">
        <f t="shared" si="499"/>
        <v>0</v>
      </c>
      <c r="AE91" s="875">
        <f t="shared" si="500"/>
        <v>0</v>
      </c>
      <c r="AF91" s="875">
        <f t="shared" si="840"/>
        <v>0</v>
      </c>
      <c r="AG91" s="875">
        <f>'org. Düngung 22'!J90</f>
        <v>0</v>
      </c>
      <c r="AH91" s="875">
        <f>'org. Düngung 22'!K90</f>
        <v>0</v>
      </c>
      <c r="AJ91" s="713">
        <f>'org. Düngung 22'!L90</f>
        <v>0</v>
      </c>
      <c r="AK91" s="57"/>
      <c r="AL91" s="57"/>
      <c r="AM91" s="57">
        <f t="shared" si="684"/>
        <v>0</v>
      </c>
      <c r="AN91" s="57">
        <f t="shared" si="685"/>
        <v>0</v>
      </c>
      <c r="AO91" s="57">
        <f t="shared" si="686"/>
        <v>0</v>
      </c>
      <c r="AP91" s="57">
        <f t="shared" si="687"/>
        <v>0</v>
      </c>
      <c r="AQ91" s="57">
        <f t="shared" si="688"/>
        <v>0</v>
      </c>
      <c r="AR91" s="1029">
        <f t="shared" si="501"/>
        <v>0</v>
      </c>
      <c r="AS91" s="57">
        <f t="shared" si="502"/>
        <v>0</v>
      </c>
      <c r="AT91" s="171" t="str">
        <f t="shared" si="503"/>
        <v/>
      </c>
      <c r="AU91" s="57">
        <f t="shared" si="689"/>
        <v>0</v>
      </c>
      <c r="AV91" s="57">
        <f>IF(OR(AND(AJ$6=1,$L91=0),AND(AJ$6=2,$K91=2,$G91=1)),0,IF(AND(AL$9=2,(OR($F91&gt;1,$K91=1,AND($L91=80,OR($N91=1,AND($N91=2,'#BerechnungDBE'!$AL82&gt;0)))))),IF(AJ$4&gt;=$AD$126,0,AT91),IF(AL$9=3,IF(OR(AJ$4&gt;=$AD$127,AND($G91=1,$J91=2,AJ$6=2),AND(AJ$6=1,$N91&lt;&gt;1)),0,IF(AN91&lt;=120,AT91,IF(AJ$4&lt;$AD$124,IF($F91=1,60/AL$4*AL$6,60/AL$4*AL$7),IF($F91=1,120/AL$4*AL$6,120/AL$4*AL$7)))),IF(OR($F91=3,$G91=2),IF(OR(AND(AJ$4&gt;=$AD$119,$C91=2),AND(AJ$4&gt;=$AF$119,$C91=1)),0,IF(AN91&lt;=60,AT91,60/AL$4*AL$7)),IF(AND($F91=2,$G91=1),AT91,0)))))</f>
        <v>0</v>
      </c>
      <c r="AW91" s="57" t="str">
        <f t="shared" si="690"/>
        <v/>
      </c>
      <c r="AX91" s="57" t="str">
        <f t="shared" si="504"/>
        <v/>
      </c>
      <c r="AY91" s="713">
        <f>'org. Düngung 22'!P90</f>
        <v>0</v>
      </c>
      <c r="AZ91" s="57"/>
      <c r="BA91" s="57"/>
      <c r="BB91" s="57">
        <f t="shared" si="505"/>
        <v>0</v>
      </c>
      <c r="BC91" s="57">
        <f t="shared" si="691"/>
        <v>0</v>
      </c>
      <c r="BD91" s="57">
        <f t="shared" si="692"/>
        <v>0</v>
      </c>
      <c r="BE91" s="57">
        <f t="shared" si="693"/>
        <v>0</v>
      </c>
      <c r="BF91" s="57">
        <f t="shared" si="694"/>
        <v>0</v>
      </c>
      <c r="BG91" s="1029">
        <f t="shared" si="506"/>
        <v>0</v>
      </c>
      <c r="BH91" s="57">
        <f t="shared" si="507"/>
        <v>0</v>
      </c>
      <c r="BI91" s="171" t="str">
        <f t="shared" si="508"/>
        <v/>
      </c>
      <c r="BJ91" s="57">
        <f t="shared" si="695"/>
        <v>0</v>
      </c>
      <c r="BK91" s="57">
        <f>IF(OR(AND(AY$6=1,$L91=0),AND(AY$6=2,$K91=2,$G91=1)),0,IF(AND(BA$9=2,(OR($F91&gt;1,$K91=1,AND($L91=80,OR($N91=1,AND($N91=2,'#BerechnungDBE'!$AL82&gt;0)))))),IF(AY$4&gt;=$AD$126,0,BI91),IF(BA$9=3,IF(OR(AY$4&gt;=$AD$127,AND($G91=1,$J91=2,AY$6=2),AND(AY$6=1,$N91&lt;&gt;1)),0,IF(BC91&lt;=120,BI91,IF(AY$4&lt;$AD$124,IF($F91=1,60/BA$4*BA$6,60/BA$4*BA$7),IF($F91=1,120/BA$4*BA$6,120/BA$4*BA$7)))),IF(OR($F91=3,$G91=2),IF(OR(AND(AY$4&gt;=$AD$119,$C91=2),AND(AY$4&gt;=$AF$119,$C91=1)),0,IF(BC91&lt;=60,BI91,60/BA$4*BA$7)),IF(AND($F91=2,$G91=1),BI91,0)))))</f>
        <v>0</v>
      </c>
      <c r="BL91" s="57" t="str">
        <f t="shared" si="509"/>
        <v/>
      </c>
      <c r="BM91" s="57" t="str">
        <f t="shared" si="510"/>
        <v/>
      </c>
      <c r="BN91" s="713">
        <f>'org. Düngung 22'!T90</f>
        <v>0</v>
      </c>
      <c r="BO91" s="57"/>
      <c r="BP91" s="57"/>
      <c r="BQ91" s="57">
        <f t="shared" si="511"/>
        <v>0</v>
      </c>
      <c r="BR91" s="57">
        <f t="shared" si="696"/>
        <v>0</v>
      </c>
      <c r="BS91" s="57">
        <f t="shared" si="697"/>
        <v>0</v>
      </c>
      <c r="BT91" s="57">
        <f t="shared" si="698"/>
        <v>0</v>
      </c>
      <c r="BU91" s="57">
        <f t="shared" si="699"/>
        <v>0</v>
      </c>
      <c r="BV91" s="1029">
        <f t="shared" si="512"/>
        <v>0</v>
      </c>
      <c r="BW91" s="57">
        <f t="shared" si="513"/>
        <v>0</v>
      </c>
      <c r="BX91" s="171" t="str">
        <f t="shared" si="514"/>
        <v/>
      </c>
      <c r="BY91" s="57">
        <f t="shared" si="700"/>
        <v>0</v>
      </c>
      <c r="BZ91" s="57">
        <f>IF(OR(AND(BN$6=1,$L91=0),AND(BN$6=2,$K91=2,$G91=1)),0,IF(AND(BP$9=2,(OR($F91&gt;1,$K91=1,AND($L91=80,OR($N91=1,AND($N91=2,'#BerechnungDBE'!$AL82&gt;0)))))),IF(BN$4&gt;=$AD$126,0,BX91),IF(BP$9=3,IF(OR(BN$4&gt;=$AD$127,AND($G91=1,$J91=2,BN$6=2),AND(BN$6=1,$N91&lt;&gt;1)),0,IF(BR91&lt;=120,BX91,IF(BN$4&lt;$AD$124,IF($F91=1,60/BP$4*BP$6,60/BP$4*BP$7),IF($F91=1,120/BP$4*BP$6,120/BP$4*BP$7)))),IF(OR($F91=3,$G91=2),IF(OR(AND(BN$4&gt;=$AD$119,$C91=2),AND(BN$4&gt;=$AF$119,$C91=1)),0,IF(BR91&lt;=60,BX91,60/BP$4*BP$7)),IF(AND($F91=2,$G91=1),BX91,0)))))</f>
        <v>0</v>
      </c>
      <c r="CA91" s="57" t="str">
        <f t="shared" si="515"/>
        <v/>
      </c>
      <c r="CB91" s="57" t="str">
        <f t="shared" si="516"/>
        <v/>
      </c>
      <c r="CC91" s="713">
        <f>'org. Düngung 22'!X90</f>
        <v>0</v>
      </c>
      <c r="CD91" s="57"/>
      <c r="CE91" s="57"/>
      <c r="CF91" s="57">
        <f t="shared" si="517"/>
        <v>0</v>
      </c>
      <c r="CG91" s="57">
        <f t="shared" si="701"/>
        <v>0</v>
      </c>
      <c r="CH91" s="57">
        <f t="shared" si="702"/>
        <v>0</v>
      </c>
      <c r="CI91" s="57">
        <f t="shared" si="703"/>
        <v>0</v>
      </c>
      <c r="CJ91" s="57">
        <f t="shared" si="704"/>
        <v>0</v>
      </c>
      <c r="CK91" s="1029">
        <f t="shared" si="518"/>
        <v>0</v>
      </c>
      <c r="CL91" s="57">
        <f t="shared" si="519"/>
        <v>0</v>
      </c>
      <c r="CM91" s="171" t="str">
        <f t="shared" si="520"/>
        <v/>
      </c>
      <c r="CN91" s="57">
        <f t="shared" si="705"/>
        <v>0</v>
      </c>
      <c r="CO91" s="57">
        <f>IF(OR(AND(CC$6=1,$L91=0),AND(CC$6=2,$K91=2,$G91=1)),0,IF(AND(CE$9=2,(OR($F91&gt;1,$K91=1,AND($L91=80,OR($N91=1,AND($N91=2,'#BerechnungDBE'!$AL82&gt;0)))))),IF(CC$4&gt;=$AD$126,0,CM91),IF(CE$9=3,IF(OR(CC$4&gt;=$AD$127,AND($G91=1,$J91=2,CC$6=2),AND(CC$6=1,$N91&lt;&gt;1)),0,IF(CG91&lt;=120,CM91,IF(CC$4&lt;$AD$124,IF($F91=1,60/CE$4*CE$6,60/CE$4*CE$7),IF($F91=1,120/CE$4*CE$6,120/CE$4*CE$7)))),IF(OR($F91=3,$G91=2),IF(OR(AND(CC$4&gt;=$AD$119,$C91=2),AND(CC$4&gt;=$AF$119,$C91=1)),0,IF(CG91&lt;=60,CM91,60/CE$4*CE$7)),IF(AND($F91=2,$G91=1),CM91,0)))))</f>
        <v>0</v>
      </c>
      <c r="CP91" s="57" t="str">
        <f t="shared" si="521"/>
        <v/>
      </c>
      <c r="CQ91" s="57" t="str">
        <f t="shared" si="522"/>
        <v/>
      </c>
      <c r="CR91" s="713">
        <f>'org. Düngung 22'!AB90</f>
        <v>0</v>
      </c>
      <c r="CS91" s="57"/>
      <c r="CT91" s="57"/>
      <c r="CU91" s="57">
        <f t="shared" si="523"/>
        <v>0</v>
      </c>
      <c r="CV91" s="57">
        <f t="shared" si="706"/>
        <v>0</v>
      </c>
      <c r="CW91" s="57">
        <f t="shared" si="707"/>
        <v>0</v>
      </c>
      <c r="CX91" s="57">
        <f t="shared" si="708"/>
        <v>0</v>
      </c>
      <c r="CY91" s="57">
        <f t="shared" si="709"/>
        <v>0</v>
      </c>
      <c r="CZ91" s="1029">
        <f t="shared" si="524"/>
        <v>0</v>
      </c>
      <c r="DA91" s="57">
        <f t="shared" si="525"/>
        <v>0</v>
      </c>
      <c r="DB91" s="171" t="str">
        <f t="shared" si="526"/>
        <v/>
      </c>
      <c r="DC91" s="57">
        <f t="shared" si="710"/>
        <v>0</v>
      </c>
      <c r="DD91" s="57">
        <f>IF(OR(AND(CR$6=1,$L91=0),AND(CR$6=2,$K91=2,$G91=1)),0,IF(AND(CT$9=2,(OR($F91&gt;1,$K91=1,AND($L91=80,OR($N91=1,AND($N91=2,'#BerechnungDBE'!$AL82&gt;0)))))),IF(CR$4&gt;=$AD$126,0,DB91),IF(CT$9=3,IF(OR(CR$4&gt;=$AD$127,AND($G91=1,$J91=2,CR$6=2),AND(CR$6=1,$N91&lt;&gt;1)),0,IF(CV91&lt;=120,DB91,IF(CR$4&lt;$AD$124,IF($F91=1,60/CT$4*CT$6,60/CT$4*CT$7),IF($F91=1,120/CT$4*CT$6,120/CT$4*CT$7)))),IF(OR($F91=3,$G91=2),IF(OR(AND(CR$4&gt;=$AD$119,$C91=2),AND(CR$4&gt;=$AF$119,$C91=1)),0,IF(CV91&lt;=60,DB91,60/CT$4*CT$7)),IF(AND($F91=2,$G91=1),DB91,0)))))</f>
        <v>0</v>
      </c>
      <c r="DE91" s="57" t="str">
        <f t="shared" si="527"/>
        <v/>
      </c>
      <c r="DF91" s="57" t="str">
        <f t="shared" si="528"/>
        <v/>
      </c>
      <c r="DG91" s="713">
        <f>'org. Düngung 22'!AF90</f>
        <v>0</v>
      </c>
      <c r="DH91" s="57"/>
      <c r="DI91" s="57"/>
      <c r="DJ91" s="57">
        <f t="shared" si="529"/>
        <v>0</v>
      </c>
      <c r="DK91" s="57">
        <f t="shared" si="711"/>
        <v>0</v>
      </c>
      <c r="DL91" s="57">
        <f t="shared" si="712"/>
        <v>0</v>
      </c>
      <c r="DM91" s="57">
        <f t="shared" si="713"/>
        <v>0</v>
      </c>
      <c r="DN91" s="57">
        <f t="shared" si="714"/>
        <v>0</v>
      </c>
      <c r="DO91" s="1029">
        <f t="shared" si="530"/>
        <v>0</v>
      </c>
      <c r="DP91" s="57">
        <f t="shared" si="531"/>
        <v>0</v>
      </c>
      <c r="DQ91" s="171" t="str">
        <f t="shared" si="532"/>
        <v/>
      </c>
      <c r="DR91" s="57">
        <f t="shared" si="715"/>
        <v>0</v>
      </c>
      <c r="DS91" s="57">
        <f>IF(OR(AND(DG$6=1,$L91=0),AND(DG$6=2,$K91=2,$G91=1)),0,IF(AND(DI$9=2,(OR($F91&gt;1,$K91=1,AND($L91=80,OR($N91=1,AND($N91=2,'#BerechnungDBE'!$AL82&gt;0)))))),IF(DG$4&gt;=$AD$126,0,DQ91),IF(DI$9=3,IF(OR(DG$4&gt;=$AD$127,AND($G91=1,$J91=2,DG$6=2),AND(DG$6=1,$N91&lt;&gt;1)),0,IF(DK91&lt;=120,DQ91,IF(DG$4&lt;$AD$124,IF($F91=1,60/DI$4*DI$6,60/DI$4*DI$7),IF($F91=1,120/DI$4*DI$6,120/DI$4*DI$7)))),IF(OR($F91=3,$G91=2),IF(OR(AND(DG$4&gt;=$AD$119,$C91=2),AND(DG$4&gt;=$AF$119,$C91=1)),0,IF(DK91&lt;=60,DQ91,60/DI$4*DI$7)),IF(AND($F91=2,$G91=1),DQ91,0)))))</f>
        <v>0</v>
      </c>
      <c r="DT91" s="57" t="str">
        <f t="shared" si="533"/>
        <v/>
      </c>
      <c r="DU91" s="57" t="str">
        <f t="shared" si="534"/>
        <v/>
      </c>
      <c r="DV91" s="713">
        <f>'org. Düngung 22'!AJ90</f>
        <v>0</v>
      </c>
      <c r="DW91" s="57"/>
      <c r="DX91" s="57"/>
      <c r="DY91" s="57">
        <f t="shared" si="535"/>
        <v>0</v>
      </c>
      <c r="DZ91" s="57">
        <f t="shared" si="716"/>
        <v>0</v>
      </c>
      <c r="EA91" s="57">
        <f t="shared" si="717"/>
        <v>0</v>
      </c>
      <c r="EB91" s="57">
        <f t="shared" si="718"/>
        <v>0</v>
      </c>
      <c r="EC91" s="57">
        <f t="shared" si="719"/>
        <v>0</v>
      </c>
      <c r="ED91" s="1029">
        <f t="shared" si="536"/>
        <v>0</v>
      </c>
      <c r="EE91" s="57">
        <f t="shared" si="537"/>
        <v>0</v>
      </c>
      <c r="EF91" s="171" t="str">
        <f t="shared" si="538"/>
        <v/>
      </c>
      <c r="EG91" s="57">
        <f t="shared" si="720"/>
        <v>0</v>
      </c>
      <c r="EH91" s="57">
        <f>IF(OR(AND(DV$6=1,$L91=0),AND(DV$6=2,$K91=2,$G91=1)),0,IF(AND(DX$9=2,(OR($F91&gt;1,$K91=1,AND($L91=80,OR($N91=1,AND($N91=2,'#BerechnungDBE'!$AL82&gt;0)))))),IF(DV$4&gt;=$AD$126,0,EF91),IF(DX$9=3,IF(OR(DV$4&gt;=$AD$127,AND($G91=1,$J91=2,DV$6=2),AND(DV$6=1,$N91&lt;&gt;1)),0,IF(DZ91&lt;=120,EF91,IF(DV$4&lt;$AD$124,IF($F91=1,60/DX$4*DX$6,60/DX$4*DX$7),IF($F91=1,120/DX$4*DX$6,120/DX$4*DX$7)))),IF(OR($F91=3,$G91=2),IF(OR(AND(DV$4&gt;=$AD$119,$C91=2),AND(DV$4&gt;=$AF$119,$C91=1)),0,IF(DZ91&lt;=60,EF91,60/DX$4*DX$7)),IF(AND($F91=2,$G91=1),EF91,0)))))</f>
        <v>0</v>
      </c>
      <c r="EI91" s="57" t="str">
        <f t="shared" si="539"/>
        <v/>
      </c>
      <c r="EJ91" s="57" t="str">
        <f t="shared" si="540"/>
        <v/>
      </c>
      <c r="EK91" s="713">
        <f>'org. Düngung 22'!AN90</f>
        <v>0</v>
      </c>
      <c r="EL91" s="57"/>
      <c r="EM91" s="57"/>
      <c r="EN91" s="57">
        <f t="shared" si="541"/>
        <v>0</v>
      </c>
      <c r="EO91" s="57">
        <f t="shared" si="721"/>
        <v>0</v>
      </c>
      <c r="EP91" s="57">
        <f t="shared" si="722"/>
        <v>0</v>
      </c>
      <c r="EQ91" s="57">
        <f t="shared" si="723"/>
        <v>0</v>
      </c>
      <c r="ER91" s="57">
        <f t="shared" si="724"/>
        <v>0</v>
      </c>
      <c r="ES91" s="1029">
        <f t="shared" si="542"/>
        <v>0</v>
      </c>
      <c r="ET91" s="57">
        <f t="shared" si="543"/>
        <v>0</v>
      </c>
      <c r="EU91" s="171" t="str">
        <f t="shared" si="544"/>
        <v/>
      </c>
      <c r="EV91" s="57">
        <f t="shared" si="725"/>
        <v>0</v>
      </c>
      <c r="EW91" s="57">
        <f>IF(OR(AND(EK$6=1,$L91=0),AND(EK$6=2,$K91=2,$G91=1)),0,IF(AND(EM$9=2,(OR($F91&gt;1,$K91=1,AND($L91=80,OR($N91=1,AND($N91=2,'#BerechnungDBE'!$AL82&gt;0)))))),IF(EK$4&gt;=$AD$126,0,EU91),IF(EM$9=3,IF(OR(EK$4&gt;=$AD$127,AND($G91=1,$J91=2,EK$6=2),AND(EK$6=1,$N91&lt;&gt;1)),0,IF(EO91&lt;=120,EU91,IF(EK$4&lt;$AD$124,IF($F91=1,60/EM$4*EM$6,60/EM$4*EM$7),IF($F91=1,120/EM$4*EM$6,120/EM$4*EM$7)))),IF(OR($F91=3,$G91=2),IF(OR(AND(EK$4&gt;=$AD$119,$C91=2),AND(EK$4&gt;=$AF$119,$C91=1)),0,IF(EO91&lt;=60,EU91,60/EM$4*EM$7)),IF(AND($F91=2,$G91=1),EU91,0)))))</f>
        <v>0</v>
      </c>
      <c r="EX91" s="57" t="str">
        <f t="shared" si="545"/>
        <v/>
      </c>
      <c r="EY91" s="57" t="str">
        <f t="shared" si="546"/>
        <v/>
      </c>
      <c r="EZ91" s="713">
        <f>'org. Düngung 22'!AR90</f>
        <v>0</v>
      </c>
      <c r="FA91" s="57"/>
      <c r="FB91" s="57"/>
      <c r="FC91" s="57">
        <f t="shared" si="547"/>
        <v>0</v>
      </c>
      <c r="FD91" s="57">
        <f t="shared" si="726"/>
        <v>0</v>
      </c>
      <c r="FE91" s="57">
        <f t="shared" si="727"/>
        <v>0</v>
      </c>
      <c r="FF91" s="57">
        <f t="shared" si="728"/>
        <v>0</v>
      </c>
      <c r="FG91" s="57">
        <f t="shared" si="729"/>
        <v>0</v>
      </c>
      <c r="FH91" s="1029">
        <f t="shared" si="548"/>
        <v>0</v>
      </c>
      <c r="FI91" s="57">
        <f t="shared" si="549"/>
        <v>0</v>
      </c>
      <c r="FJ91" s="171" t="str">
        <f t="shared" si="550"/>
        <v/>
      </c>
      <c r="FK91" s="57">
        <f t="shared" si="730"/>
        <v>0</v>
      </c>
      <c r="FL91" s="57">
        <f>IF(OR(AND(EZ$6=1,$L91=0),AND(EZ$6=2,$K91=2,$G91=1)),0,IF(AND(FB$9=2,(OR($F91&gt;1,$K91=1,AND($L91=80,OR($N91=1,AND($N91=2,'#BerechnungDBE'!$AL82&gt;0)))))),IF(EZ$4&gt;=$AD$126,0,FJ91),IF(FB$9=3,IF(OR(EZ$4&gt;=$AD$127,AND($G91=1,$J91=2,EZ$6=2),AND(EZ$6=1,$N91&lt;&gt;1)),0,IF(FD91&lt;=120,FJ91,IF(EZ$4&lt;$AD$124,IF($F91=1,60/FB$4*FB$6,60/FB$4*FB$7),IF($F91=1,120/FB$4*FB$6,120/FB$4*FB$7)))),IF(OR($F91=3,$G91=2),IF(OR(AND(EZ$4&gt;=$AD$119,$C91=2),AND(EZ$4&gt;=$AF$119,$C91=1)),0,IF(FD91&lt;=60,FJ91,60/FB$4*FB$7)),IF(AND($F91=2,$G91=1),FJ91,0)))))</f>
        <v>0</v>
      </c>
      <c r="FM91" s="57" t="str">
        <f t="shared" si="551"/>
        <v/>
      </c>
      <c r="FN91" s="57" t="str">
        <f t="shared" si="552"/>
        <v/>
      </c>
      <c r="FO91" s="713">
        <f>'org. Düngung 22'!AV90</f>
        <v>0</v>
      </c>
      <c r="FP91" s="57"/>
      <c r="FQ91" s="57"/>
      <c r="FR91" s="57">
        <f t="shared" si="553"/>
        <v>0</v>
      </c>
      <c r="FS91" s="57">
        <f t="shared" si="731"/>
        <v>0</v>
      </c>
      <c r="FT91" s="57">
        <f t="shared" si="732"/>
        <v>0</v>
      </c>
      <c r="FU91" s="57">
        <f t="shared" si="733"/>
        <v>0</v>
      </c>
      <c r="FV91" s="57">
        <f t="shared" si="734"/>
        <v>0</v>
      </c>
      <c r="FW91" s="1029">
        <f t="shared" si="554"/>
        <v>0</v>
      </c>
      <c r="FX91" s="57">
        <f t="shared" si="555"/>
        <v>0</v>
      </c>
      <c r="FY91" s="171" t="str">
        <f t="shared" si="556"/>
        <v/>
      </c>
      <c r="FZ91" s="57">
        <f t="shared" si="735"/>
        <v>0</v>
      </c>
      <c r="GA91" s="57">
        <f>IF(OR(AND(FO$6=1,$L91=0),AND(FO$6=2,$K91=2,$G91=1)),0,IF(AND(FQ$9=2,(OR($F91&gt;1,$K91=1,AND($L91=80,OR($N91=1,AND($N91=2,'#BerechnungDBE'!$AL82&gt;0)))))),IF(FO$4&gt;=$AD$126,0,FY91),IF(FQ$9=3,IF(OR(FO$4&gt;=$AD$127,AND($G91=1,$J91=2,FO$6=2),AND(FO$6=1,$N91&lt;&gt;1)),0,IF(FS91&lt;=120,FY91,IF(FO$4&lt;$AD$124,IF($F91=1,60/FQ$4*FQ$6,60/FQ$4*FQ$7),IF($F91=1,120/FQ$4*FQ$6,120/FQ$4*FQ$7)))),IF(OR($F91=3,$G91=2),IF(OR(AND(FO$4&gt;=$AD$119,$C91=2),AND(FO$4&gt;=$AF$119,$C91=1)),0,IF(FS91&lt;=60,FY91,60/FQ$4*FQ$7)),IF(AND($F91=2,$G91=1),FY91,0)))))</f>
        <v>0</v>
      </c>
      <c r="GB91" s="57" t="str">
        <f t="shared" si="557"/>
        <v/>
      </c>
      <c r="GC91" s="57" t="str">
        <f t="shared" si="558"/>
        <v/>
      </c>
      <c r="GD91" s="713">
        <f>'org. Düngung 22'!AZ90</f>
        <v>0</v>
      </c>
      <c r="GE91" s="57"/>
      <c r="GF91" s="57"/>
      <c r="GG91" s="57">
        <f t="shared" si="559"/>
        <v>0</v>
      </c>
      <c r="GH91" s="57">
        <f t="shared" si="736"/>
        <v>0</v>
      </c>
      <c r="GI91" s="57">
        <f t="shared" si="737"/>
        <v>0</v>
      </c>
      <c r="GJ91" s="57">
        <f t="shared" si="738"/>
        <v>0</v>
      </c>
      <c r="GK91" s="57">
        <f t="shared" si="739"/>
        <v>0</v>
      </c>
      <c r="GL91" s="1029">
        <f t="shared" si="560"/>
        <v>0</v>
      </c>
      <c r="GM91" s="57">
        <f t="shared" si="561"/>
        <v>0</v>
      </c>
      <c r="GN91" s="171" t="str">
        <f t="shared" si="562"/>
        <v/>
      </c>
      <c r="GO91" s="57">
        <f t="shared" si="740"/>
        <v>0</v>
      </c>
      <c r="GP91" s="57">
        <f>IF(OR(AND(GD$6=1,$L91=0),AND(GD$6=2,$K91=2,$G91=1)),0,IF(AND(GF$9=2,(OR($F91&gt;1,$K91=1,AND($L91=80,OR($N91=1,AND($N91=2,'#BerechnungDBE'!$AL82&gt;0)))))),IF(GD$4&gt;=$AD$126,0,GN91),IF(GF$9=3,IF(OR(GD$4&gt;=$AD$127,AND($G91=1,$J91=2,GD$6=2),AND(GD$6=1,$N91&lt;&gt;1)),0,IF(GH91&lt;=120,GN91,IF(GD$4&lt;$AD$124,IF($F91=1,60/GF$4*GF$6,60/GF$4*GF$7),IF($F91=1,120/GF$4*GF$6,120/GF$4*GF$7)))),IF(OR($F91=3,$G91=2),IF(OR(AND(GD$4&gt;=$AD$119,$C91=2),AND(GD$4&gt;=$AF$119,$C91=1)),0,IF(GH91&lt;=60,GN91,60/GF$4*GF$7)),IF(AND($F91=2,$G91=1),GN91,0)))))</f>
        <v>0</v>
      </c>
      <c r="GQ91" s="57" t="str">
        <f t="shared" si="563"/>
        <v/>
      </c>
      <c r="GR91" s="57" t="str">
        <f t="shared" si="564"/>
        <v/>
      </c>
      <c r="GS91" s="713">
        <f>'org. Düngung 22'!BD90</f>
        <v>0</v>
      </c>
      <c r="GT91" s="57"/>
      <c r="GU91" s="57"/>
      <c r="GV91" s="57">
        <f t="shared" si="565"/>
        <v>0</v>
      </c>
      <c r="GW91" s="57">
        <f t="shared" si="741"/>
        <v>0</v>
      </c>
      <c r="GX91" s="57">
        <f t="shared" si="742"/>
        <v>0</v>
      </c>
      <c r="GY91" s="57">
        <f t="shared" si="743"/>
        <v>0</v>
      </c>
      <c r="GZ91" s="57">
        <f t="shared" si="744"/>
        <v>0</v>
      </c>
      <c r="HA91" s="1029">
        <f t="shared" si="566"/>
        <v>0</v>
      </c>
      <c r="HB91" s="57">
        <f t="shared" si="567"/>
        <v>0</v>
      </c>
      <c r="HC91" s="171" t="str">
        <f t="shared" si="568"/>
        <v/>
      </c>
      <c r="HD91" s="57">
        <f t="shared" si="745"/>
        <v>0</v>
      </c>
      <c r="HE91" s="57">
        <f>IF(OR(AND(GS$6=1,$L91=0),AND(GS$6=2,$K91=2,$G91=1)),0,IF(AND(GU$9=2,(OR($F91&gt;1,$K91=1,AND($L91=80,OR($N91=1,AND($N91=2,'#BerechnungDBE'!$AL82&gt;0)))))),IF(GS$4&gt;=$AD$126,0,HC91),IF(GU$9=3,IF(OR(GS$4&gt;=$AD$127,AND($G91=1,$J91=2,GS$6=2),AND(GS$6=1,$N91&lt;&gt;1)),0,IF(GW91&lt;=120,HC91,IF(GS$4&lt;$AD$124,IF($F91=1,60/GU$4*GU$6,60/GU$4*GU$7),IF($F91=1,120/GU$4*GU$6,120/GU$4*GU$7)))),IF(OR($F91=3,$G91=2),IF(OR(AND(GS$4&gt;=$AD$119,$C91=2),AND(GS$4&gt;=$AF$119,$C91=1)),0,IF(GW91&lt;=60,HC91,60/GU$4*GU$7)),IF(AND($F91=2,$G91=1),HC91,0)))))</f>
        <v>0</v>
      </c>
      <c r="HF91" s="57" t="str">
        <f t="shared" si="569"/>
        <v/>
      </c>
      <c r="HG91" s="57" t="str">
        <f t="shared" si="570"/>
        <v/>
      </c>
      <c r="HH91" s="713">
        <f>'org. Düngung 22'!BH90</f>
        <v>0</v>
      </c>
      <c r="HI91" s="57"/>
      <c r="HJ91" s="57"/>
      <c r="HK91" s="57">
        <f t="shared" si="571"/>
        <v>0</v>
      </c>
      <c r="HL91" s="57">
        <f t="shared" si="746"/>
        <v>0</v>
      </c>
      <c r="HM91" s="57">
        <f t="shared" si="747"/>
        <v>0</v>
      </c>
      <c r="HN91" s="57">
        <f t="shared" si="748"/>
        <v>0</v>
      </c>
      <c r="HO91" s="57">
        <f t="shared" si="749"/>
        <v>0</v>
      </c>
      <c r="HP91" s="1029">
        <f t="shared" si="572"/>
        <v>0</v>
      </c>
      <c r="HQ91" s="57">
        <f t="shared" si="573"/>
        <v>0</v>
      </c>
      <c r="HR91" s="171" t="str">
        <f t="shared" si="574"/>
        <v/>
      </c>
      <c r="HS91" s="57">
        <f t="shared" si="750"/>
        <v>0</v>
      </c>
      <c r="HT91" s="57">
        <f>IF(OR(AND(HH$6=1,$L91=0),AND(HH$6=2,$K91=2,$G91=1)),0,IF(AND(HJ$9=2,(OR($F91&gt;1,$K91=1,AND($L91=80,OR($N91=1,AND($N91=2,'#BerechnungDBE'!$AL82&gt;0)))))),IF(HH$4&gt;=$AD$126,0,HR91),IF(HJ$9=3,IF(OR(HH$4&gt;=$AD$127,AND($G91=1,$J91=2,HH$6=2),AND(HH$6=1,$N91&lt;&gt;1)),0,IF(HL91&lt;=120,HR91,IF(HH$4&lt;$AD$124,IF($F91=1,60/HJ$4*HJ$6,60/HJ$4*HJ$7),IF($F91=1,120/HJ$4*HJ$6,120/HJ$4*HJ$7)))),IF(OR($F91=3,$G91=2),IF(OR(AND(HH$4&gt;=$AD$119,$C91=2),AND(HH$4&gt;=$AF$119,$C91=1)),0,IF(HL91&lt;=60,HR91,60/HJ$4*HJ$7)),IF(AND($F91=2,$G91=1),HR91,0)))))</f>
        <v>0</v>
      </c>
      <c r="HU91" s="57" t="str">
        <f t="shared" si="575"/>
        <v/>
      </c>
      <c r="HV91" s="57" t="str">
        <f t="shared" si="576"/>
        <v/>
      </c>
      <c r="HW91" s="713">
        <f>'org. Düngung 22'!BL90</f>
        <v>0</v>
      </c>
      <c r="HX91" s="57"/>
      <c r="HY91" s="57"/>
      <c r="HZ91" s="57">
        <f t="shared" si="577"/>
        <v>0</v>
      </c>
      <c r="IA91" s="57">
        <f t="shared" si="751"/>
        <v>0</v>
      </c>
      <c r="IB91" s="57">
        <f t="shared" si="752"/>
        <v>0</v>
      </c>
      <c r="IC91" s="57">
        <f t="shared" si="753"/>
        <v>0</v>
      </c>
      <c r="ID91" s="57">
        <f t="shared" si="754"/>
        <v>0</v>
      </c>
      <c r="IE91" s="1029">
        <f t="shared" si="578"/>
        <v>0</v>
      </c>
      <c r="IF91" s="57">
        <f t="shared" si="579"/>
        <v>0</v>
      </c>
      <c r="IG91" s="171" t="str">
        <f t="shared" si="580"/>
        <v/>
      </c>
      <c r="IH91" s="57">
        <f t="shared" si="755"/>
        <v>0</v>
      </c>
      <c r="II91" s="57">
        <f>IF(OR(AND(HW$6=1,$L91=0),AND(HW$6=2,$K91=2,$G91=1)),0,IF(AND(HY$9=2,(OR($F91&gt;1,$K91=1,AND($L91=80,OR($N91=1,AND($N91=2,'#BerechnungDBE'!$AL82&gt;0)))))),IF(HW$4&gt;=$AD$126,0,IG91),IF(HY$9=3,IF(OR(HW$4&gt;=$AD$127,AND($G91=1,$J91=2,HW$6=2),AND(HW$6=1,$N91&lt;&gt;1)),0,IF(IA91&lt;=120,IG91,IF(HW$4&lt;$AD$124,IF($F91=1,60/HY$4*HY$6,60/HY$4*HY$7),IF($F91=1,120/HY$4*HY$6,120/HY$4*HY$7)))),IF(OR($F91=3,$G91=2),IF(OR(AND(HW$4&gt;=$AD$119,$C91=2),AND(HW$4&gt;=$AF$119,$C91=1)),0,IF(IA91&lt;=60,IG91,60/HY$4*HY$7)),IF(AND($F91=2,$G91=1),IG91,0)))))</f>
        <v>0</v>
      </c>
      <c r="IJ91" s="57" t="str">
        <f t="shared" si="581"/>
        <v/>
      </c>
      <c r="IK91" s="57" t="str">
        <f t="shared" si="582"/>
        <v/>
      </c>
      <c r="IL91" s="713">
        <f>'org. Düngung 22'!BP90</f>
        <v>0</v>
      </c>
      <c r="IM91" s="57"/>
      <c r="IN91" s="57"/>
      <c r="IO91" s="57">
        <f t="shared" si="583"/>
        <v>0</v>
      </c>
      <c r="IP91" s="57">
        <f t="shared" si="756"/>
        <v>0</v>
      </c>
      <c r="IQ91" s="57">
        <f t="shared" si="757"/>
        <v>0</v>
      </c>
      <c r="IR91" s="57">
        <f t="shared" si="758"/>
        <v>0</v>
      </c>
      <c r="IS91" s="57">
        <f t="shared" si="759"/>
        <v>0</v>
      </c>
      <c r="IT91" s="1029">
        <f t="shared" si="584"/>
        <v>0</v>
      </c>
      <c r="IU91" s="57">
        <f t="shared" si="585"/>
        <v>0</v>
      </c>
      <c r="IV91" s="171" t="str">
        <f t="shared" si="586"/>
        <v/>
      </c>
      <c r="IW91" s="57">
        <f t="shared" si="760"/>
        <v>0</v>
      </c>
      <c r="IX91" s="57">
        <f>IF(OR(AND(IL$6=1,$L91=0),AND(IL$6=2,$K91=2,$G91=1)),0,IF(AND(IN$9=2,(OR($F91&gt;1,$K91=1,AND($L91=80,OR($N91=1,AND($N91=2,'#BerechnungDBE'!$AL82&gt;0)))))),IF(IL$4&gt;=$AD$126,0,IV91),IF(IN$9=3,IF(OR(IL$4&gt;=$AD$127,AND($G91=1,$J91=2,IL$6=2),AND(IL$6=1,$N91&lt;&gt;1)),0,IF(IP91&lt;=120,IV91,IF(IL$4&lt;$AD$124,IF($F91=1,60/IN$4*IN$6,60/IN$4*IN$7),IF($F91=1,120/IN$4*IN$6,120/IN$4*IN$7)))),IF(OR($F91=3,$G91=2),IF(OR(AND(IL$4&gt;=$AD$119,$C91=2),AND(IL$4&gt;=$AF$119,$C91=1)),0,IF(IP91&lt;=60,IV91,60/IN$4*IN$7)),IF(AND($F91=2,$G91=1),IV91,0)))))</f>
        <v>0</v>
      </c>
      <c r="IY91" s="57" t="str">
        <f t="shared" si="587"/>
        <v/>
      </c>
      <c r="IZ91" s="57" t="str">
        <f t="shared" si="588"/>
        <v/>
      </c>
      <c r="JA91" s="713">
        <f>'org. Düngung 22'!BT90</f>
        <v>0</v>
      </c>
      <c r="JB91" s="57"/>
      <c r="JC91" s="57"/>
      <c r="JD91" s="57">
        <f t="shared" si="589"/>
        <v>0</v>
      </c>
      <c r="JE91" s="57">
        <f t="shared" si="761"/>
        <v>0</v>
      </c>
      <c r="JF91" s="57">
        <f t="shared" si="762"/>
        <v>0</v>
      </c>
      <c r="JG91" s="57">
        <f t="shared" si="763"/>
        <v>0</v>
      </c>
      <c r="JH91" s="57">
        <f t="shared" si="764"/>
        <v>0</v>
      </c>
      <c r="JI91" s="1029">
        <f t="shared" si="590"/>
        <v>0</v>
      </c>
      <c r="JJ91" s="57">
        <f t="shared" si="591"/>
        <v>0</v>
      </c>
      <c r="JK91" s="171" t="str">
        <f t="shared" si="592"/>
        <v/>
      </c>
      <c r="JL91" s="57">
        <f t="shared" si="765"/>
        <v>0</v>
      </c>
      <c r="JM91" s="57">
        <f>IF(OR(AND(JA$6=1,$L91=0),AND(JA$6=2,$K91=2,$G91=1)),0,IF(AND(JC$9=2,(OR($F91&gt;1,$K91=1,AND($L91=80,OR($N91=1,AND($N91=2,'#BerechnungDBE'!$AL82&gt;0)))))),IF(JA$4&gt;=$AD$126,0,JK91),IF(JC$9=3,IF(OR(JA$4&gt;=$AD$127,AND($G91=1,$J91=2,JA$6=2),AND(JA$6=1,$N91&lt;&gt;1)),0,IF(JE91&lt;=120,JK91,IF(JA$4&lt;$AD$124,IF($F91=1,60/JC$4*JC$6,60/JC$4*JC$7),IF($F91=1,120/JC$4*JC$6,120/JC$4*JC$7)))),IF(OR($F91=3,$G91=2),IF(OR(AND(JA$4&gt;=$AD$119,$C91=2),AND(JA$4&gt;=$AF$119,$C91=1)),0,IF(JE91&lt;=60,JK91,60/JC$4*JC$7)),IF(AND($F91=2,$G91=1),JK91,0)))))</f>
        <v>0</v>
      </c>
      <c r="JN91" s="57" t="str">
        <f t="shared" si="593"/>
        <v/>
      </c>
      <c r="JO91" s="57" t="str">
        <f t="shared" si="594"/>
        <v/>
      </c>
      <c r="JP91" s="713">
        <f>'org. Düngung 22'!BX90</f>
        <v>0</v>
      </c>
      <c r="JQ91" s="57"/>
      <c r="JR91" s="57"/>
      <c r="JS91" s="57">
        <f t="shared" si="595"/>
        <v>0</v>
      </c>
      <c r="JT91" s="57">
        <f t="shared" si="766"/>
        <v>0</v>
      </c>
      <c r="JU91" s="57">
        <f t="shared" si="767"/>
        <v>0</v>
      </c>
      <c r="JV91" s="57">
        <f t="shared" si="768"/>
        <v>0</v>
      </c>
      <c r="JW91" s="57">
        <f t="shared" si="769"/>
        <v>0</v>
      </c>
      <c r="JX91" s="1029">
        <f t="shared" si="596"/>
        <v>0</v>
      </c>
      <c r="JY91" s="57">
        <f t="shared" si="597"/>
        <v>0</v>
      </c>
      <c r="JZ91" s="171" t="str">
        <f t="shared" si="598"/>
        <v/>
      </c>
      <c r="KA91" s="57">
        <f t="shared" si="770"/>
        <v>0</v>
      </c>
      <c r="KB91" s="57">
        <f>IF(OR(AND(JP$6=1,$L91=0),AND(JP$6=2,$K91=2,$G91=1)),0,IF(AND(JR$9=2,(OR($F91&gt;1,$K91=1,AND($L91=80,OR($N91=1,AND($N91=2,'#BerechnungDBE'!$AL82&gt;0)))))),IF(JP$4&gt;=$AD$126,0,JZ91),IF(JR$9=3,IF(OR(JP$4&gt;=$AD$127,AND($G91=1,$J91=2,JP$6=2),AND(JP$6=1,$N91&lt;&gt;1)),0,IF(JT91&lt;=120,JZ91,IF(JP$4&lt;$AD$124,IF($F91=1,60/JR$4*JR$6,60/JR$4*JR$7),IF($F91=1,120/JR$4*JR$6,120/JR$4*JR$7)))),IF(OR($F91=3,$G91=2),IF(OR(AND(JP$4&gt;=$AD$119,$C91=2),AND(JP$4&gt;=$AF$119,$C91=1)),0,IF(JT91&lt;=60,JZ91,60/JR$4*JR$7)),IF(AND($F91=2,$G91=1),JZ91,0)))))</f>
        <v>0</v>
      </c>
      <c r="KC91" s="57" t="str">
        <f t="shared" si="599"/>
        <v/>
      </c>
      <c r="KD91" s="57" t="str">
        <f t="shared" si="600"/>
        <v/>
      </c>
      <c r="KE91" s="713">
        <f>'org. Düngung 22'!CB90</f>
        <v>0</v>
      </c>
      <c r="KF91" s="57"/>
      <c r="KG91" s="57"/>
      <c r="KH91" s="57">
        <f t="shared" si="601"/>
        <v>0</v>
      </c>
      <c r="KI91" s="57">
        <f t="shared" si="771"/>
        <v>0</v>
      </c>
      <c r="KJ91" s="57">
        <f t="shared" si="772"/>
        <v>0</v>
      </c>
      <c r="KK91" s="57">
        <f t="shared" si="773"/>
        <v>0</v>
      </c>
      <c r="KL91" s="57">
        <f t="shared" si="774"/>
        <v>0</v>
      </c>
      <c r="KM91" s="1029">
        <f t="shared" si="602"/>
        <v>0</v>
      </c>
      <c r="KN91" s="57">
        <f t="shared" si="603"/>
        <v>0</v>
      </c>
      <c r="KO91" s="171" t="str">
        <f t="shared" si="604"/>
        <v/>
      </c>
      <c r="KP91" s="57">
        <f t="shared" si="775"/>
        <v>0</v>
      </c>
      <c r="KQ91" s="57">
        <f>IF(OR(AND(KE$6=1,$L91=0),AND(KE$6=2,$K91=2,$G91=1)),0,IF(AND(KG$9=2,(OR($F91&gt;1,$K91=1,AND($L91=80,OR($N91=1,AND($N91=2,'#BerechnungDBE'!$AL82&gt;0)))))),IF(KE$4&gt;=$AD$126,0,KO91),IF(KG$9=3,IF(OR(KE$4&gt;=$AD$127,AND($G91=1,$J91=2,KE$6=2),AND(KE$6=1,$N91&lt;&gt;1)),0,IF(KI91&lt;=120,KO91,IF(KE$4&lt;$AD$124,IF($F91=1,60/KG$4*KG$6,60/KG$4*KG$7),IF($F91=1,120/KG$4*KG$6,120/KG$4*KG$7)))),IF(OR($F91=3,$G91=2),IF(OR(AND(KE$4&gt;=$AD$119,$C91=2),AND(KE$4&gt;=$AF$119,$C91=1)),0,IF(KI91&lt;=60,KO91,60/KG$4*KG$7)),IF(AND($F91=2,$G91=1),KO91,0)))))</f>
        <v>0</v>
      </c>
      <c r="KR91" s="57" t="str">
        <f t="shared" si="605"/>
        <v/>
      </c>
      <c r="KS91" s="57" t="str">
        <f t="shared" si="606"/>
        <v/>
      </c>
      <c r="KT91" s="713">
        <f>'org. Düngung 22'!CF90</f>
        <v>0</v>
      </c>
      <c r="KU91" s="57"/>
      <c r="KV91" s="57"/>
      <c r="KW91" s="57">
        <f t="shared" si="607"/>
        <v>0</v>
      </c>
      <c r="KX91" s="57">
        <f t="shared" si="776"/>
        <v>0</v>
      </c>
      <c r="KY91" s="57">
        <f t="shared" si="777"/>
        <v>0</v>
      </c>
      <c r="KZ91" s="57">
        <f t="shared" si="778"/>
        <v>0</v>
      </c>
      <c r="LA91" s="57">
        <f t="shared" si="779"/>
        <v>0</v>
      </c>
      <c r="LB91" s="1029">
        <f t="shared" si="608"/>
        <v>0</v>
      </c>
      <c r="LC91" s="57">
        <f t="shared" si="609"/>
        <v>0</v>
      </c>
      <c r="LD91" s="171" t="str">
        <f t="shared" si="610"/>
        <v/>
      </c>
      <c r="LE91" s="57">
        <f t="shared" si="780"/>
        <v>0</v>
      </c>
      <c r="LF91" s="57">
        <f>IF(OR(AND(KT$6=1,$L91=0),AND(KT$6=2,$K91=2,$G91=1)),0,IF(AND(KV$9=2,(OR($F91&gt;1,$K91=1,AND($L91=80,OR($N91=1,AND($N91=2,'#BerechnungDBE'!$AL82&gt;0)))))),IF(KT$4&gt;=$AD$126,0,LD91),IF(KV$9=3,IF(OR(KT$4&gt;=$AD$127,AND($G91=1,$J91=2,KT$6=2),AND(KT$6=1,$N91&lt;&gt;1)),0,IF(KX91&lt;=120,LD91,IF(KT$4&lt;$AD$124,IF($F91=1,60/KV$4*KV$6,60/KV$4*KV$7),IF($F91=1,120/KV$4*KV$6,120/KV$4*KV$7)))),IF(OR($F91=3,$G91=2),IF(OR(AND(KT$4&gt;=$AD$119,$C91=2),AND(KT$4&gt;=$AF$119,$C91=1)),0,IF(KX91&lt;=60,LD91,60/KV$4*KV$7)),IF(AND($F91=2,$G91=1),LD91,0)))))</f>
        <v>0</v>
      </c>
      <c r="LG91" s="57" t="str">
        <f t="shared" si="611"/>
        <v/>
      </c>
      <c r="LH91" s="57" t="str">
        <f t="shared" si="612"/>
        <v/>
      </c>
      <c r="LI91" s="713">
        <f>'org. Düngung 22'!CJ90</f>
        <v>0</v>
      </c>
      <c r="LJ91" s="57"/>
      <c r="LK91" s="57"/>
      <c r="LL91" s="57">
        <f t="shared" si="613"/>
        <v>0</v>
      </c>
      <c r="LM91" s="57">
        <f t="shared" si="781"/>
        <v>0</v>
      </c>
      <c r="LN91" s="57">
        <f t="shared" si="782"/>
        <v>0</v>
      </c>
      <c r="LO91" s="57">
        <f t="shared" si="783"/>
        <v>0</v>
      </c>
      <c r="LP91" s="57">
        <f t="shared" si="784"/>
        <v>0</v>
      </c>
      <c r="LQ91" s="1029">
        <f t="shared" si="614"/>
        <v>0</v>
      </c>
      <c r="LR91" s="57">
        <f t="shared" si="615"/>
        <v>0</v>
      </c>
      <c r="LS91" s="171" t="str">
        <f t="shared" si="616"/>
        <v/>
      </c>
      <c r="LT91" s="57">
        <f t="shared" si="785"/>
        <v>0</v>
      </c>
      <c r="LU91" s="57">
        <f>IF(OR(AND(LI$6=1,$L91=0),AND(LI$6=2,$K91=2,$G91=1)),0,IF(AND(LK$9=2,(OR($F91&gt;1,$K91=1,AND($L91=80,OR($N91=1,AND($N91=2,'#BerechnungDBE'!$AL82&gt;0)))))),IF(LI$4&gt;=$AD$126,0,LS91),IF(LK$9=3,IF(OR(LI$4&gt;=$AD$127,AND($G91=1,$J91=2,LI$6=2),AND(LI$6=1,$N91&lt;&gt;1)),0,IF(LM91&lt;=120,LS91,IF(LI$4&lt;$AD$124,IF($F91=1,60/LK$4*LK$6,60/LK$4*LK$7),IF($F91=1,120/LK$4*LK$6,120/LK$4*LK$7)))),IF(OR($F91=3,$G91=2),IF(OR(AND(LI$4&gt;=$AD$119,$C91=2),AND(LI$4&gt;=$AF$119,$C91=1)),0,IF(LM91&lt;=60,LS91,60/LK$4*LK$7)),IF(AND($F91=2,$G91=1),LS91,0)))))</f>
        <v>0</v>
      </c>
      <c r="LV91" s="57" t="str">
        <f t="shared" si="617"/>
        <v/>
      </c>
      <c r="LW91" s="57" t="str">
        <f t="shared" si="618"/>
        <v/>
      </c>
      <c r="LX91" s="713">
        <f>'org. Düngung 22'!CN90</f>
        <v>0</v>
      </c>
      <c r="LY91" s="57"/>
      <c r="LZ91" s="57"/>
      <c r="MA91" s="57">
        <f t="shared" si="619"/>
        <v>0</v>
      </c>
      <c r="MB91" s="57">
        <f t="shared" si="786"/>
        <v>0</v>
      </c>
      <c r="MC91" s="57">
        <f t="shared" si="787"/>
        <v>0</v>
      </c>
      <c r="MD91" s="57">
        <f t="shared" si="788"/>
        <v>0</v>
      </c>
      <c r="ME91" s="57">
        <f t="shared" si="789"/>
        <v>0</v>
      </c>
      <c r="MF91" s="1029">
        <f t="shared" si="620"/>
        <v>0</v>
      </c>
      <c r="MG91" s="57">
        <f t="shared" si="621"/>
        <v>0</v>
      </c>
      <c r="MH91" s="171" t="str">
        <f t="shared" si="622"/>
        <v/>
      </c>
      <c r="MI91" s="57">
        <f t="shared" si="790"/>
        <v>0</v>
      </c>
      <c r="MJ91" s="57">
        <f>IF(OR(AND(LX$6=1,$L91=0),AND(LX$6=2,$K91=2,$G91=1)),0,IF(AND(LZ$9=2,(OR($F91&gt;1,$K91=1,AND($L91=80,OR($N91=1,AND($N91=2,'#BerechnungDBE'!$AL82&gt;0)))))),IF(LX$4&gt;=$AD$126,0,MH91),IF(LZ$9=3,IF(OR(LX$4&gt;=$AD$127,AND($G91=1,$J91=2,LX$6=2),AND(LX$6=1,$N91&lt;&gt;1)),0,IF(MB91&lt;=120,MH91,IF(LX$4&lt;$AD$124,IF($F91=1,60/LZ$4*LZ$6,60/LZ$4*LZ$7),IF($F91=1,120/LZ$4*LZ$6,120/LZ$4*LZ$7)))),IF(OR($F91=3,$G91=2),IF(OR(AND(LX$4&gt;=$AD$119,$C91=2),AND(LX$4&gt;=$AF$119,$C91=1)),0,IF(MB91&lt;=60,MH91,60/LZ$4*LZ$7)),IF(AND($F91=2,$G91=1),MH91,0)))))</f>
        <v>0</v>
      </c>
      <c r="MK91" s="57" t="str">
        <f t="shared" si="623"/>
        <v/>
      </c>
      <c r="ML91" s="57" t="str">
        <f t="shared" si="624"/>
        <v/>
      </c>
      <c r="MM91" s="713">
        <f>'org. Düngung 22'!CR90</f>
        <v>0</v>
      </c>
      <c r="MN91" s="57"/>
      <c r="MO91" s="57"/>
      <c r="MP91" s="57">
        <f t="shared" si="625"/>
        <v>0</v>
      </c>
      <c r="MQ91" s="57">
        <f t="shared" si="791"/>
        <v>0</v>
      </c>
      <c r="MR91" s="57">
        <f t="shared" si="792"/>
        <v>0</v>
      </c>
      <c r="MS91" s="57">
        <f t="shared" si="793"/>
        <v>0</v>
      </c>
      <c r="MT91" s="57">
        <f t="shared" si="794"/>
        <v>0</v>
      </c>
      <c r="MU91" s="1029">
        <f t="shared" si="626"/>
        <v>0</v>
      </c>
      <c r="MV91" s="57">
        <f t="shared" si="627"/>
        <v>0</v>
      </c>
      <c r="MW91" s="171" t="str">
        <f t="shared" si="628"/>
        <v/>
      </c>
      <c r="MX91" s="57">
        <f t="shared" si="795"/>
        <v>0</v>
      </c>
      <c r="MY91" s="57">
        <f>IF(OR(AND(MM$6=1,$L91=0),AND(MM$6=2,$K91=2,$G91=1)),0,IF(AND(MO$9=2,(OR($F91&gt;1,$K91=1,AND($L91=80,OR($N91=1,AND($N91=2,'#BerechnungDBE'!$AL82&gt;0)))))),IF(MM$4&gt;=$AD$126,0,MW91),IF(MO$9=3,IF(OR(MM$4&gt;=$AD$127,AND($G91=1,$J91=2,MM$6=2),AND(MM$6=1,$N91&lt;&gt;1)),0,IF(MQ91&lt;=120,MW91,IF(MM$4&lt;$AD$124,IF($F91=1,60/MO$4*MO$6,60/MO$4*MO$7),IF($F91=1,120/MO$4*MO$6,120/MO$4*MO$7)))),IF(OR($F91=3,$G91=2),IF(OR(AND(MM$4&gt;=$AD$119,$C91=2),AND(MM$4&gt;=$AF$119,$C91=1)),0,IF(MQ91&lt;=60,MW91,60/MO$4*MO$7)),IF(AND($F91=2,$G91=1),MW91,0)))))</f>
        <v>0</v>
      </c>
      <c r="MZ91" s="57" t="str">
        <f t="shared" si="629"/>
        <v/>
      </c>
      <c r="NA91" s="57" t="str">
        <f t="shared" si="630"/>
        <v/>
      </c>
      <c r="NB91" s="713">
        <f>'org. Düngung 22'!CV90</f>
        <v>0</v>
      </c>
      <c r="NC91" s="57"/>
      <c r="ND91" s="57"/>
      <c r="NE91" s="57">
        <f t="shared" si="631"/>
        <v>0</v>
      </c>
      <c r="NF91" s="57">
        <f t="shared" si="796"/>
        <v>0</v>
      </c>
      <c r="NG91" s="57">
        <f t="shared" si="797"/>
        <v>0</v>
      </c>
      <c r="NH91" s="57">
        <f t="shared" si="798"/>
        <v>0</v>
      </c>
      <c r="NI91" s="57">
        <f t="shared" si="799"/>
        <v>0</v>
      </c>
      <c r="NJ91" s="1029">
        <f t="shared" si="632"/>
        <v>0</v>
      </c>
      <c r="NK91" s="57">
        <f t="shared" si="633"/>
        <v>0</v>
      </c>
      <c r="NL91" s="171" t="str">
        <f t="shared" si="634"/>
        <v/>
      </c>
      <c r="NM91" s="57">
        <f t="shared" si="800"/>
        <v>0</v>
      </c>
      <c r="NN91" s="57">
        <f>IF(OR(AND(NB$6=1,$L91=0),AND(NB$6=2,$K91=2,$G91=1)),0,IF(AND(ND$9=2,(OR($F91&gt;1,$K91=1,AND($L91=80,OR($N91=1,AND($N91=2,'#BerechnungDBE'!$AL82&gt;0)))))),IF(NB$4&gt;=$AD$126,0,NL91),IF(ND$9=3,IF(OR(NB$4&gt;=$AD$127,AND($G91=1,$J91=2,NB$6=2),AND(NB$6=1,$N91&lt;&gt;1)),0,IF(NF91&lt;=120,NL91,IF(NB$4&lt;$AD$124,IF($F91=1,60/ND$4*ND$6,60/ND$4*ND$7),IF($F91=1,120/ND$4*ND$6,120/ND$4*ND$7)))),IF(OR($F91=3,$G91=2),IF(OR(AND(NB$4&gt;=$AD$119,$C91=2),AND(NB$4&gt;=$AF$119,$C91=1)),0,IF(NF91&lt;=60,NL91,60/ND$4*ND$7)),IF(AND($F91=2,$G91=1),NL91,0)))))</f>
        <v>0</v>
      </c>
      <c r="NO91" s="57" t="str">
        <f t="shared" si="635"/>
        <v/>
      </c>
      <c r="NP91" s="57" t="str">
        <f t="shared" si="636"/>
        <v/>
      </c>
      <c r="NQ91" s="713">
        <f>'org. Düngung 22'!CZ90</f>
        <v>0</v>
      </c>
      <c r="NR91" s="57"/>
      <c r="NS91" s="57"/>
      <c r="NT91" s="57">
        <f t="shared" si="637"/>
        <v>0</v>
      </c>
      <c r="NU91" s="57">
        <f t="shared" si="801"/>
        <v>0</v>
      </c>
      <c r="NV91" s="57">
        <f t="shared" si="802"/>
        <v>0</v>
      </c>
      <c r="NW91" s="57">
        <f t="shared" si="803"/>
        <v>0</v>
      </c>
      <c r="NX91" s="57">
        <f t="shared" si="804"/>
        <v>0</v>
      </c>
      <c r="NY91" s="1029">
        <f t="shared" si="638"/>
        <v>0</v>
      </c>
      <c r="NZ91" s="57">
        <f t="shared" si="639"/>
        <v>0</v>
      </c>
      <c r="OA91" s="171" t="str">
        <f t="shared" si="640"/>
        <v/>
      </c>
      <c r="OB91" s="57">
        <f t="shared" si="805"/>
        <v>0</v>
      </c>
      <c r="OC91" s="57">
        <f>IF(OR(AND(NQ$6=1,$L91=0),AND(NQ$6=2,$K91=2,$G91=1)),0,IF(AND(NS$9=2,(OR($F91&gt;1,$K91=1,AND($L91=80,OR($N91=1,AND($N91=2,'#BerechnungDBE'!$AL82&gt;0)))))),IF(NQ$4&gt;=$AD$126,0,OA91),IF(NS$9=3,IF(OR(NQ$4&gt;=$AD$127,AND($G91=1,$J91=2,NQ$6=2),AND(NQ$6=1,$N91&lt;&gt;1)),0,IF(NU91&lt;=120,OA91,IF(NQ$4&lt;$AD$124,IF($F91=1,60/NS$4*NS$6,60/NS$4*NS$7),IF($F91=1,120/NS$4*NS$6,120/NS$4*NS$7)))),IF(OR($F91=3,$G91=2),IF(OR(AND(NQ$4&gt;=$AD$119,$C91=2),AND(NQ$4&gt;=$AF$119,$C91=1)),0,IF(NU91&lt;=60,OA91,60/NS$4*NS$7)),IF(AND($F91=2,$G91=1),OA91,0)))))</f>
        <v>0</v>
      </c>
      <c r="OD91" s="57" t="str">
        <f t="shared" si="641"/>
        <v/>
      </c>
      <c r="OE91" s="57" t="str">
        <f t="shared" si="642"/>
        <v/>
      </c>
      <c r="OF91" s="713">
        <f>'org. Düngung 22'!DD90</f>
        <v>0</v>
      </c>
      <c r="OG91" s="57"/>
      <c r="OH91" s="57"/>
      <c r="OI91" s="57">
        <f t="shared" si="643"/>
        <v>0</v>
      </c>
      <c r="OJ91" s="57">
        <f t="shared" si="806"/>
        <v>0</v>
      </c>
      <c r="OK91" s="57">
        <f t="shared" si="807"/>
        <v>0</v>
      </c>
      <c r="OL91" s="57">
        <f t="shared" si="808"/>
        <v>0</v>
      </c>
      <c r="OM91" s="57">
        <f t="shared" si="809"/>
        <v>0</v>
      </c>
      <c r="ON91" s="1029">
        <f t="shared" si="644"/>
        <v>0</v>
      </c>
      <c r="OO91" s="57">
        <f t="shared" si="645"/>
        <v>0</v>
      </c>
      <c r="OP91" s="171" t="str">
        <f t="shared" si="646"/>
        <v/>
      </c>
      <c r="OQ91" s="57">
        <f t="shared" si="810"/>
        <v>0</v>
      </c>
      <c r="OR91" s="57">
        <f>IF(OR(AND(OF$6=1,$L91=0),AND(OF$6=2,$K91=2,$G91=1)),0,IF(AND(OH$9=2,(OR($F91&gt;1,$K91=1,AND($L91=80,OR($N91=1,AND($N91=2,'#BerechnungDBE'!$AL82&gt;0)))))),IF(OF$4&gt;=$AD$126,0,OP91),IF(OH$9=3,IF(OR(OF$4&gt;=$AD$127,AND($G91=1,$J91=2,OF$6=2),AND(OF$6=1,$N91&lt;&gt;1)),0,IF(OJ91&lt;=120,OP91,IF(OF$4&lt;$AD$124,IF($F91=1,60/OH$4*OH$6,60/OH$4*OH$7),IF($F91=1,120/OH$4*OH$6,120/OH$4*OH$7)))),IF(OR($F91=3,$G91=2),IF(OR(AND(OF$4&gt;=$AD$119,$C91=2),AND(OF$4&gt;=$AF$119,$C91=1)),0,IF(OJ91&lt;=60,OP91,60/OH$4*OH$7)),IF(AND($F91=2,$G91=1),OP91,0)))))</f>
        <v>0</v>
      </c>
      <c r="OS91" s="57" t="str">
        <f t="shared" si="647"/>
        <v/>
      </c>
      <c r="OT91" s="57" t="str">
        <f t="shared" si="648"/>
        <v/>
      </c>
      <c r="OU91" s="713">
        <f>'org. Düngung 22'!DH90</f>
        <v>0</v>
      </c>
      <c r="OV91" s="57"/>
      <c r="OW91" s="57"/>
      <c r="OX91" s="57">
        <f t="shared" si="649"/>
        <v>0</v>
      </c>
      <c r="OY91" s="57">
        <f t="shared" si="811"/>
        <v>0</v>
      </c>
      <c r="OZ91" s="57">
        <f t="shared" si="812"/>
        <v>0</v>
      </c>
      <c r="PA91" s="57">
        <f t="shared" si="813"/>
        <v>0</v>
      </c>
      <c r="PB91" s="57">
        <f t="shared" si="814"/>
        <v>0</v>
      </c>
      <c r="PC91" s="1029">
        <f t="shared" si="650"/>
        <v>0</v>
      </c>
      <c r="PD91" s="57">
        <f t="shared" si="651"/>
        <v>0</v>
      </c>
      <c r="PE91" s="171" t="str">
        <f t="shared" si="652"/>
        <v/>
      </c>
      <c r="PF91" s="57">
        <f t="shared" si="815"/>
        <v>0</v>
      </c>
      <c r="PG91" s="57">
        <f>IF(OR(AND(OU$6=1,$L91=0),AND(OU$6=2,$K91=2,$G91=1)),0,IF(AND(OW$9=2,(OR($F91&gt;1,$K91=1,AND($L91=80,OR($N91=1,AND($N91=2,'#BerechnungDBE'!$AL82&gt;0)))))),IF(OU$4&gt;=$AD$126,0,PE91),IF(OW$9=3,IF(OR(OU$4&gt;=$AD$127,AND($G91=1,$J91=2,OU$6=2),AND(OU$6=1,$N91&lt;&gt;1)),0,IF(OY91&lt;=120,PE91,IF(OU$4&lt;$AD$124,IF($F91=1,60/OW$4*OW$6,60/OW$4*OW$7),IF($F91=1,120/OW$4*OW$6,120/OW$4*OW$7)))),IF(OR($F91=3,$G91=2),IF(OR(AND(OU$4&gt;=$AD$119,$C91=2),AND(OU$4&gt;=$AF$119,$C91=1)),0,IF(OY91&lt;=60,PE91,60/OW$4*OW$7)),IF(AND($F91=2,$G91=1),PE91,0)))))</f>
        <v>0</v>
      </c>
      <c r="PH91" s="57" t="str">
        <f t="shared" si="653"/>
        <v/>
      </c>
      <c r="PI91" s="57" t="str">
        <f t="shared" si="654"/>
        <v/>
      </c>
      <c r="PJ91" s="713">
        <f>'org. Düngung 22'!DL90</f>
        <v>0</v>
      </c>
      <c r="PK91" s="57"/>
      <c r="PL91" s="57"/>
      <c r="PM91" s="57">
        <f t="shared" si="655"/>
        <v>0</v>
      </c>
      <c r="PN91" s="57">
        <f t="shared" si="816"/>
        <v>0</v>
      </c>
      <c r="PO91" s="57">
        <f t="shared" si="817"/>
        <v>0</v>
      </c>
      <c r="PP91" s="57">
        <f t="shared" si="818"/>
        <v>0</v>
      </c>
      <c r="PQ91" s="57">
        <f t="shared" si="819"/>
        <v>0</v>
      </c>
      <c r="PR91" s="1029">
        <f t="shared" si="656"/>
        <v>0</v>
      </c>
      <c r="PS91" s="57">
        <f t="shared" si="657"/>
        <v>0</v>
      </c>
      <c r="PT91" s="171" t="str">
        <f t="shared" si="658"/>
        <v/>
      </c>
      <c r="PU91" s="57">
        <f t="shared" si="820"/>
        <v>0</v>
      </c>
      <c r="PV91" s="57">
        <f>IF(OR(AND(PJ$6=1,$L91=0),AND(PJ$6=2,$K91=2,$G91=1)),0,IF(AND(PL$9=2,(OR($F91&gt;1,$K91=1,AND($L91=80,OR($N91=1,AND($N91=2,'#BerechnungDBE'!$AL82&gt;0)))))),IF(PJ$4&gt;=$AD$126,0,PT91),IF(PL$9=3,IF(OR(PJ$4&gt;=$AD$127,AND($G91=1,$J91=2,PJ$6=2),AND(PJ$6=1,$N91&lt;&gt;1)),0,IF(PN91&lt;=120,PT91,IF(PJ$4&lt;$AD$124,IF($F91=1,60/PL$4*PL$6,60/PL$4*PL$7),IF($F91=1,120/PL$4*PL$6,120/PL$4*PL$7)))),IF(OR($F91=3,$G91=2),IF(OR(AND(PJ$4&gt;=$AD$119,$C91=2),AND(PJ$4&gt;=$AF$119,$C91=1)),0,IF(PN91&lt;=60,PT91,60/PL$4*PL$7)),IF(AND($F91=2,$G91=1),PT91,0)))))</f>
        <v>0</v>
      </c>
      <c r="PW91" s="57" t="str">
        <f t="shared" si="659"/>
        <v/>
      </c>
      <c r="PX91" s="57" t="str">
        <f t="shared" si="660"/>
        <v/>
      </c>
      <c r="PY91" s="713">
        <f>'org. Düngung 22'!DP90</f>
        <v>0</v>
      </c>
      <c r="PZ91" s="57"/>
      <c r="QA91" s="57"/>
      <c r="QB91" s="57">
        <f t="shared" si="661"/>
        <v>0</v>
      </c>
      <c r="QC91" s="57">
        <f t="shared" si="821"/>
        <v>0</v>
      </c>
      <c r="QD91" s="57">
        <f t="shared" si="822"/>
        <v>0</v>
      </c>
      <c r="QE91" s="57">
        <f t="shared" si="823"/>
        <v>0</v>
      </c>
      <c r="QF91" s="57">
        <f t="shared" si="824"/>
        <v>0</v>
      </c>
      <c r="QG91" s="1029">
        <f t="shared" si="662"/>
        <v>0</v>
      </c>
      <c r="QH91" s="57">
        <f t="shared" si="663"/>
        <v>0</v>
      </c>
      <c r="QI91" s="171" t="str">
        <f t="shared" si="664"/>
        <v/>
      </c>
      <c r="QJ91" s="57">
        <f t="shared" si="825"/>
        <v>0</v>
      </c>
      <c r="QK91" s="57">
        <f>IF(OR(AND(PY$6=1,$L91=0),AND(PY$6=2,$K91=2,$G91=1)),0,IF(AND(QA$9=2,(OR($F91&gt;1,$K91=1,AND($L91=80,OR($N91=1,AND($N91=2,'#BerechnungDBE'!$AL82&gt;0)))))),IF(PY$4&gt;=$AD$126,0,QI91),IF(QA$9=3,IF(OR(PY$4&gt;=$AD$127,AND($G91=1,$J91=2,PY$6=2),AND(PY$6=1,$N91&lt;&gt;1)),0,IF(QC91&lt;=120,QI91,IF(PY$4&lt;$AD$124,IF($F91=1,60/QA$4*QA$6,60/QA$4*QA$7),IF($F91=1,120/QA$4*QA$6,120/QA$4*QA$7)))),IF(OR($F91=3,$G91=2),IF(OR(AND(PY$4&gt;=$AD$119,$C91=2),AND(PY$4&gt;=$AF$119,$C91=1)),0,IF(QC91&lt;=60,QI91,60/QA$4*QA$7)),IF(AND($F91=2,$G91=1),QI91,0)))))</f>
        <v>0</v>
      </c>
      <c r="QL91" s="57" t="str">
        <f t="shared" si="665"/>
        <v/>
      </c>
      <c r="QM91" s="57" t="str">
        <f t="shared" si="666"/>
        <v/>
      </c>
      <c r="QN91" s="713">
        <f>'org. Düngung 22'!DT90</f>
        <v>0</v>
      </c>
      <c r="QO91" s="57"/>
      <c r="QP91" s="57"/>
      <c r="QQ91" s="57">
        <f t="shared" si="667"/>
        <v>0</v>
      </c>
      <c r="QR91" s="57">
        <f t="shared" si="826"/>
        <v>0</v>
      </c>
      <c r="QS91" s="57">
        <f t="shared" si="827"/>
        <v>0</v>
      </c>
      <c r="QT91" s="57">
        <f t="shared" si="828"/>
        <v>0</v>
      </c>
      <c r="QU91" s="57">
        <f t="shared" si="829"/>
        <v>0</v>
      </c>
      <c r="QV91" s="1029">
        <f t="shared" si="668"/>
        <v>0</v>
      </c>
      <c r="QW91" s="57">
        <f t="shared" si="669"/>
        <v>0</v>
      </c>
      <c r="QX91" s="171" t="str">
        <f t="shared" si="670"/>
        <v/>
      </c>
      <c r="QY91" s="57">
        <f t="shared" si="830"/>
        <v>0</v>
      </c>
      <c r="QZ91" s="57">
        <f>IF(OR(AND(QN$6=1,$L91=0),AND(QN$6=2,$K91=2,$G91=1)),0,IF(AND(QP$9=2,(OR($F91&gt;1,$K91=1,AND($L91=80,OR($N91=1,AND($N91=2,'#BerechnungDBE'!$AL82&gt;0)))))),IF(QN$4&gt;=$AD$126,0,QX91),IF(QP$9=3,IF(OR(QN$4&gt;=$AD$127,AND($G91=1,$J91=2,QN$6=2),AND(QN$6=1,$N91&lt;&gt;1)),0,IF(QR91&lt;=120,QX91,IF(QN$4&lt;$AD$124,IF($F91=1,60/QP$4*QP$6,60/QP$4*QP$7),IF($F91=1,120/QP$4*QP$6,120/QP$4*QP$7)))),IF(OR($F91=3,$G91=2),IF(OR(AND(QN$4&gt;=$AD$119,$C91=2),AND(QN$4&gt;=$AF$119,$C91=1)),0,IF(QR91&lt;=60,QX91,60/QP$4*QP$7)),IF(AND($F91=2,$G91=1),QX91,0)))))</f>
        <v>0</v>
      </c>
      <c r="RA91" s="57" t="str">
        <f t="shared" si="671"/>
        <v/>
      </c>
      <c r="RB91" s="57" t="str">
        <f t="shared" si="672"/>
        <v/>
      </c>
      <c r="RC91" s="713">
        <f>'org. Düngung 22'!DX90</f>
        <v>0</v>
      </c>
      <c r="RD91" s="57"/>
      <c r="RE91" s="57"/>
      <c r="RF91" s="57">
        <f t="shared" si="673"/>
        <v>0</v>
      </c>
      <c r="RG91" s="57">
        <f t="shared" si="831"/>
        <v>0</v>
      </c>
      <c r="RH91" s="57">
        <f t="shared" si="832"/>
        <v>0</v>
      </c>
      <c r="RI91" s="57">
        <f t="shared" si="833"/>
        <v>0</v>
      </c>
      <c r="RJ91" s="57">
        <f t="shared" si="834"/>
        <v>0</v>
      </c>
      <c r="RK91" s="1029">
        <f t="shared" si="674"/>
        <v>0</v>
      </c>
      <c r="RL91" s="57">
        <f t="shared" si="675"/>
        <v>0</v>
      </c>
      <c r="RM91" s="171" t="str">
        <f t="shared" si="676"/>
        <v/>
      </c>
      <c r="RN91" s="57">
        <f t="shared" si="835"/>
        <v>0</v>
      </c>
      <c r="RO91" s="57">
        <f>IF(OR(AND(RC$6=1,$L91=0),AND(RC$6=2,$K91=2,$G91=1)),0,IF(AND(RE$9=2,(OR($F91&gt;1,$K91=1,AND($L91=80,OR($N91=1,AND($N91=2,'#BerechnungDBE'!$AL82&gt;0)))))),IF(RC$4&gt;=$AD$126,0,RM91),IF(RE$9=3,IF(OR(RC$4&gt;=$AD$127,AND($G91=1,$J91=2,RC$6=2),AND(RC$6=1,$N91&lt;&gt;1)),0,IF(RG91&lt;=120,RM91,IF(RC$4&lt;$AD$124,IF($F91=1,60/RE$4*RE$6,60/RE$4*RE$7),IF($F91=1,120/RE$4*RE$6,120/RE$4*RE$7)))),IF(OR($F91=3,$G91=2),IF(OR(AND(RC$4&gt;=$AD$119,$C91=2),AND(RC$4&gt;=$AF$119,$C91=1)),0,IF(RG91&lt;=60,RM91,60/RE$4*RE$7)),IF(AND($F91=2,$G91=1),RM91,0)))))</f>
        <v>0</v>
      </c>
      <c r="RP91" s="57" t="str">
        <f t="shared" si="677"/>
        <v/>
      </c>
      <c r="RQ91" s="57" t="str">
        <f t="shared" si="678"/>
        <v/>
      </c>
      <c r="RS91" s="57" t="str">
        <f t="shared" si="836"/>
        <v/>
      </c>
      <c r="RT91" s="57" t="str">
        <f t="shared" si="679"/>
        <v/>
      </c>
      <c r="RU91" s="57" t="str">
        <f t="shared" si="680"/>
        <v/>
      </c>
      <c r="RV91" s="57" t="str">
        <f>IF(Z91&gt;'#BerechnungDBE'!BM82,$RV$9,"")</f>
        <v/>
      </c>
      <c r="RW91" s="57" t="str">
        <f>IF(AND(L91=70,AE91&gt;'#BerechnungDBE'!CQ82),$RW$9,"")</f>
        <v/>
      </c>
      <c r="RX91" s="57" t="str">
        <f>IF(OR('org. Düngung 22'!G90="--",'org. Düngung 22'!G90&lt;=170,'org. Düngung 22'!G90=""),"",$RX$9)</f>
        <v/>
      </c>
      <c r="RY91" s="57" t="str">
        <f>IF('org. Düngung 22'!K90&gt;120,'#orgDung'!$RY$9,"")</f>
        <v/>
      </c>
      <c r="RZ91" s="57" t="str">
        <f>IF('#BerechnungDBE'!P82&lt;4,"",IF(AND('#BerechnungDBE'!BZ82&gt;0,T91&gt;0),'#orgDung'!$RZ$9,""))</f>
        <v/>
      </c>
      <c r="SA91" s="57" t="str">
        <f t="shared" si="681"/>
        <v/>
      </c>
    </row>
    <row r="92" spans="1:495" s="875" customFormat="1" x14ac:dyDescent="0.2">
      <c r="A92" s="875">
        <f>'Flächen u. Kulturen'!A88</f>
        <v>79</v>
      </c>
      <c r="B92" s="367">
        <f>'#BerechnungDBE'!L83</f>
        <v>0</v>
      </c>
      <c r="C92" s="875">
        <f>'#BerechnungDBE'!R83</f>
        <v>1</v>
      </c>
      <c r="D92" s="875">
        <f>'#BerechnungDBE'!T83</f>
        <v>2</v>
      </c>
      <c r="E92" s="875" t="str">
        <f>'Flächen u. Kulturen'!E88</f>
        <v>x</v>
      </c>
      <c r="F92" s="52">
        <f>'#BerechnungDBE'!N83</f>
        <v>1</v>
      </c>
      <c r="G92" s="52">
        <f>'#BerechnungDBE'!O83</f>
        <v>1</v>
      </c>
      <c r="H92" s="875">
        <f>IF('Flächen u. Kulturen'!P88="",0,VLOOKUP('Flächen u. Kulturen'!P88,Kulturen[[HF]:[Berechnungsgruppe]],'#Frucht'!$H$1,FALSE))</f>
        <v>0</v>
      </c>
      <c r="I92" s="875">
        <f>IF('Flächen u. Kulturen'!J88="",0,VLOOKUP('Flächen u. Kulturen'!J88,Kulturen[[HF]:[Berechnungsgruppe]],'#Frucht'!$G$1,FALSE))</f>
        <v>90</v>
      </c>
      <c r="J92" s="505">
        <f t="shared" si="682"/>
        <v>2</v>
      </c>
      <c r="K92" s="505">
        <f>IF('Flächen u. Kulturen'!P88="",0,IF(VLOOKUP('Flächen u. Kulturen'!P88,Kulturen[[HF]:[Saat Winterungen]],'#Frucht'!$P$1,FALSE)&gt;0,1,2))</f>
        <v>2</v>
      </c>
      <c r="L92" s="875">
        <f>'#BerechnungDBE'!AF83</f>
        <v>0</v>
      </c>
      <c r="M92" s="875">
        <f>IF('Flächen u. Kulturen'!L88="",0,VLOOKUP('Flächen u. Kulturen'!L88,Nebenkultur[[Nebenkultur]:[Legum. Zwischenfr.]],'#Zweitfr'!$K$1,FALSE))</f>
        <v>0</v>
      </c>
      <c r="N92" s="875">
        <f>'#BerechnungDBE'!AG83</f>
        <v>0</v>
      </c>
      <c r="P92" s="57">
        <f t="shared" si="489"/>
        <v>0</v>
      </c>
      <c r="Q92" s="57">
        <f t="shared" si="490"/>
        <v>0</v>
      </c>
      <c r="R92" s="875">
        <f t="shared" si="491"/>
        <v>0</v>
      </c>
      <c r="S92" s="938" t="str">
        <f t="shared" si="683"/>
        <v/>
      </c>
      <c r="T92" s="875">
        <f t="shared" si="492"/>
        <v>0</v>
      </c>
      <c r="U92" s="875">
        <f t="shared" si="493"/>
        <v>0</v>
      </c>
      <c r="V92" s="875">
        <f t="shared" si="494"/>
        <v>0</v>
      </c>
      <c r="W92" s="875">
        <f t="shared" si="495"/>
        <v>0</v>
      </c>
      <c r="X92" s="875">
        <f t="shared" si="496"/>
        <v>0</v>
      </c>
      <c r="Y92" s="875">
        <f t="shared" si="837"/>
        <v>0</v>
      </c>
      <c r="Z92" s="875">
        <f t="shared" si="838"/>
        <v>0</v>
      </c>
      <c r="AA92" s="910">
        <f t="shared" si="497"/>
        <v>0</v>
      </c>
      <c r="AB92" s="57">
        <f t="shared" si="839"/>
        <v>0</v>
      </c>
      <c r="AC92" s="875">
        <f t="shared" si="498"/>
        <v>0</v>
      </c>
      <c r="AD92" s="875">
        <f t="shared" si="499"/>
        <v>0</v>
      </c>
      <c r="AE92" s="875">
        <f t="shared" si="500"/>
        <v>0</v>
      </c>
      <c r="AF92" s="875">
        <f t="shared" si="840"/>
        <v>0</v>
      </c>
      <c r="AG92" s="875">
        <f>'org. Düngung 22'!J91</f>
        <v>0</v>
      </c>
      <c r="AH92" s="875">
        <f>'org. Düngung 22'!K91</f>
        <v>0</v>
      </c>
      <c r="AJ92" s="713">
        <f>'org. Düngung 22'!L91</f>
        <v>0</v>
      </c>
      <c r="AK92" s="57"/>
      <c r="AL92" s="57"/>
      <c r="AM92" s="57">
        <f t="shared" si="684"/>
        <v>0</v>
      </c>
      <c r="AN92" s="57">
        <f t="shared" si="685"/>
        <v>0</v>
      </c>
      <c r="AO92" s="57">
        <f t="shared" si="686"/>
        <v>0</v>
      </c>
      <c r="AP92" s="57">
        <f t="shared" si="687"/>
        <v>0</v>
      </c>
      <c r="AQ92" s="57">
        <f t="shared" si="688"/>
        <v>0</v>
      </c>
      <c r="AR92" s="1029">
        <f t="shared" si="501"/>
        <v>0</v>
      </c>
      <c r="AS92" s="57">
        <f t="shared" si="502"/>
        <v>0</v>
      </c>
      <c r="AT92" s="171" t="str">
        <f t="shared" si="503"/>
        <v/>
      </c>
      <c r="AU92" s="57">
        <f t="shared" si="689"/>
        <v>0</v>
      </c>
      <c r="AV92" s="57">
        <f>IF(OR(AND(AJ$6=1,$L92=0),AND(AJ$6=2,$K92=2,$G92=1)),0,IF(AND(AL$9=2,(OR($F92&gt;1,$K92=1,AND($L92=80,OR($N92=1,AND($N92=2,'#BerechnungDBE'!$AL83&gt;0)))))),IF(AJ$4&gt;=$AD$126,0,AT92),IF(AL$9=3,IF(OR(AJ$4&gt;=$AD$127,AND($G92=1,$J92=2,AJ$6=2),AND(AJ$6=1,$N92&lt;&gt;1)),0,IF(AN92&lt;=120,AT92,IF(AJ$4&lt;$AD$124,IF($F92=1,60/AL$4*AL$6,60/AL$4*AL$7),IF($F92=1,120/AL$4*AL$6,120/AL$4*AL$7)))),IF(OR($F92=3,$G92=2),IF(OR(AND(AJ$4&gt;=$AD$119,$C92=2),AND(AJ$4&gt;=$AF$119,$C92=1)),0,IF(AN92&lt;=60,AT92,60/AL$4*AL$7)),IF(AND($F92=2,$G92=1),AT92,0)))))</f>
        <v>0</v>
      </c>
      <c r="AW92" s="57" t="str">
        <f t="shared" si="690"/>
        <v/>
      </c>
      <c r="AX92" s="57" t="str">
        <f t="shared" si="504"/>
        <v/>
      </c>
      <c r="AY92" s="713">
        <f>'org. Düngung 22'!P91</f>
        <v>0</v>
      </c>
      <c r="AZ92" s="57"/>
      <c r="BA92" s="57"/>
      <c r="BB92" s="57">
        <f t="shared" si="505"/>
        <v>0</v>
      </c>
      <c r="BC92" s="57">
        <f t="shared" si="691"/>
        <v>0</v>
      </c>
      <c r="BD92" s="57">
        <f t="shared" si="692"/>
        <v>0</v>
      </c>
      <c r="BE92" s="57">
        <f t="shared" si="693"/>
        <v>0</v>
      </c>
      <c r="BF92" s="57">
        <f t="shared" si="694"/>
        <v>0</v>
      </c>
      <c r="BG92" s="1029">
        <f t="shared" si="506"/>
        <v>0</v>
      </c>
      <c r="BH92" s="57">
        <f t="shared" si="507"/>
        <v>0</v>
      </c>
      <c r="BI92" s="171" t="str">
        <f t="shared" si="508"/>
        <v/>
      </c>
      <c r="BJ92" s="57">
        <f t="shared" si="695"/>
        <v>0</v>
      </c>
      <c r="BK92" s="57">
        <f>IF(OR(AND(AY$6=1,$L92=0),AND(AY$6=2,$K92=2,$G92=1)),0,IF(AND(BA$9=2,(OR($F92&gt;1,$K92=1,AND($L92=80,OR($N92=1,AND($N92=2,'#BerechnungDBE'!$AL83&gt;0)))))),IF(AY$4&gt;=$AD$126,0,BI92),IF(BA$9=3,IF(OR(AY$4&gt;=$AD$127,AND($G92=1,$J92=2,AY$6=2),AND(AY$6=1,$N92&lt;&gt;1)),0,IF(BC92&lt;=120,BI92,IF(AY$4&lt;$AD$124,IF($F92=1,60/BA$4*BA$6,60/BA$4*BA$7),IF($F92=1,120/BA$4*BA$6,120/BA$4*BA$7)))),IF(OR($F92=3,$G92=2),IF(OR(AND(AY$4&gt;=$AD$119,$C92=2),AND(AY$4&gt;=$AF$119,$C92=1)),0,IF(BC92&lt;=60,BI92,60/BA$4*BA$7)),IF(AND($F92=2,$G92=1),BI92,0)))))</f>
        <v>0</v>
      </c>
      <c r="BL92" s="57" t="str">
        <f t="shared" si="509"/>
        <v/>
      </c>
      <c r="BM92" s="57" t="str">
        <f t="shared" si="510"/>
        <v/>
      </c>
      <c r="BN92" s="713">
        <f>'org. Düngung 22'!T91</f>
        <v>0</v>
      </c>
      <c r="BO92" s="57"/>
      <c r="BP92" s="57"/>
      <c r="BQ92" s="57">
        <f t="shared" si="511"/>
        <v>0</v>
      </c>
      <c r="BR92" s="57">
        <f t="shared" si="696"/>
        <v>0</v>
      </c>
      <c r="BS92" s="57">
        <f t="shared" si="697"/>
        <v>0</v>
      </c>
      <c r="BT92" s="57">
        <f t="shared" si="698"/>
        <v>0</v>
      </c>
      <c r="BU92" s="57">
        <f t="shared" si="699"/>
        <v>0</v>
      </c>
      <c r="BV92" s="1029">
        <f t="shared" si="512"/>
        <v>0</v>
      </c>
      <c r="BW92" s="57">
        <f t="shared" si="513"/>
        <v>0</v>
      </c>
      <c r="BX92" s="171" t="str">
        <f t="shared" si="514"/>
        <v/>
      </c>
      <c r="BY92" s="57">
        <f t="shared" si="700"/>
        <v>0</v>
      </c>
      <c r="BZ92" s="57">
        <f>IF(OR(AND(BN$6=1,$L92=0),AND(BN$6=2,$K92=2,$G92=1)),0,IF(AND(BP$9=2,(OR($F92&gt;1,$K92=1,AND($L92=80,OR($N92=1,AND($N92=2,'#BerechnungDBE'!$AL83&gt;0)))))),IF(BN$4&gt;=$AD$126,0,BX92),IF(BP$9=3,IF(OR(BN$4&gt;=$AD$127,AND($G92=1,$J92=2,BN$6=2),AND(BN$6=1,$N92&lt;&gt;1)),0,IF(BR92&lt;=120,BX92,IF(BN$4&lt;$AD$124,IF($F92=1,60/BP$4*BP$6,60/BP$4*BP$7),IF($F92=1,120/BP$4*BP$6,120/BP$4*BP$7)))),IF(OR($F92=3,$G92=2),IF(OR(AND(BN$4&gt;=$AD$119,$C92=2),AND(BN$4&gt;=$AF$119,$C92=1)),0,IF(BR92&lt;=60,BX92,60/BP$4*BP$7)),IF(AND($F92=2,$G92=1),BX92,0)))))</f>
        <v>0</v>
      </c>
      <c r="CA92" s="57" t="str">
        <f t="shared" si="515"/>
        <v/>
      </c>
      <c r="CB92" s="57" t="str">
        <f t="shared" si="516"/>
        <v/>
      </c>
      <c r="CC92" s="713">
        <f>'org. Düngung 22'!X91</f>
        <v>0</v>
      </c>
      <c r="CD92" s="57"/>
      <c r="CE92" s="57"/>
      <c r="CF92" s="57">
        <f t="shared" si="517"/>
        <v>0</v>
      </c>
      <c r="CG92" s="57">
        <f t="shared" si="701"/>
        <v>0</v>
      </c>
      <c r="CH92" s="57">
        <f t="shared" si="702"/>
        <v>0</v>
      </c>
      <c r="CI92" s="57">
        <f t="shared" si="703"/>
        <v>0</v>
      </c>
      <c r="CJ92" s="57">
        <f t="shared" si="704"/>
        <v>0</v>
      </c>
      <c r="CK92" s="1029">
        <f t="shared" si="518"/>
        <v>0</v>
      </c>
      <c r="CL92" s="57">
        <f t="shared" si="519"/>
        <v>0</v>
      </c>
      <c r="CM92" s="171" t="str">
        <f t="shared" si="520"/>
        <v/>
      </c>
      <c r="CN92" s="57">
        <f t="shared" si="705"/>
        <v>0</v>
      </c>
      <c r="CO92" s="57">
        <f>IF(OR(AND(CC$6=1,$L92=0),AND(CC$6=2,$K92=2,$G92=1)),0,IF(AND(CE$9=2,(OR($F92&gt;1,$K92=1,AND($L92=80,OR($N92=1,AND($N92=2,'#BerechnungDBE'!$AL83&gt;0)))))),IF(CC$4&gt;=$AD$126,0,CM92),IF(CE$9=3,IF(OR(CC$4&gt;=$AD$127,AND($G92=1,$J92=2,CC$6=2),AND(CC$6=1,$N92&lt;&gt;1)),0,IF(CG92&lt;=120,CM92,IF(CC$4&lt;$AD$124,IF($F92=1,60/CE$4*CE$6,60/CE$4*CE$7),IF($F92=1,120/CE$4*CE$6,120/CE$4*CE$7)))),IF(OR($F92=3,$G92=2),IF(OR(AND(CC$4&gt;=$AD$119,$C92=2),AND(CC$4&gt;=$AF$119,$C92=1)),0,IF(CG92&lt;=60,CM92,60/CE$4*CE$7)),IF(AND($F92=2,$G92=1),CM92,0)))))</f>
        <v>0</v>
      </c>
      <c r="CP92" s="57" t="str">
        <f t="shared" si="521"/>
        <v/>
      </c>
      <c r="CQ92" s="57" t="str">
        <f t="shared" si="522"/>
        <v/>
      </c>
      <c r="CR92" s="713">
        <f>'org. Düngung 22'!AB91</f>
        <v>0</v>
      </c>
      <c r="CS92" s="57"/>
      <c r="CT92" s="57"/>
      <c r="CU92" s="57">
        <f t="shared" si="523"/>
        <v>0</v>
      </c>
      <c r="CV92" s="57">
        <f t="shared" si="706"/>
        <v>0</v>
      </c>
      <c r="CW92" s="57">
        <f t="shared" si="707"/>
        <v>0</v>
      </c>
      <c r="CX92" s="57">
        <f t="shared" si="708"/>
        <v>0</v>
      </c>
      <c r="CY92" s="57">
        <f t="shared" si="709"/>
        <v>0</v>
      </c>
      <c r="CZ92" s="1029">
        <f t="shared" si="524"/>
        <v>0</v>
      </c>
      <c r="DA92" s="57">
        <f t="shared" si="525"/>
        <v>0</v>
      </c>
      <c r="DB92" s="171" t="str">
        <f t="shared" si="526"/>
        <v/>
      </c>
      <c r="DC92" s="57">
        <f t="shared" si="710"/>
        <v>0</v>
      </c>
      <c r="DD92" s="57">
        <f>IF(OR(AND(CR$6=1,$L92=0),AND(CR$6=2,$K92=2,$G92=1)),0,IF(AND(CT$9=2,(OR($F92&gt;1,$K92=1,AND($L92=80,OR($N92=1,AND($N92=2,'#BerechnungDBE'!$AL83&gt;0)))))),IF(CR$4&gt;=$AD$126,0,DB92),IF(CT$9=3,IF(OR(CR$4&gt;=$AD$127,AND($G92=1,$J92=2,CR$6=2),AND(CR$6=1,$N92&lt;&gt;1)),0,IF(CV92&lt;=120,DB92,IF(CR$4&lt;$AD$124,IF($F92=1,60/CT$4*CT$6,60/CT$4*CT$7),IF($F92=1,120/CT$4*CT$6,120/CT$4*CT$7)))),IF(OR($F92=3,$G92=2),IF(OR(AND(CR$4&gt;=$AD$119,$C92=2),AND(CR$4&gt;=$AF$119,$C92=1)),0,IF(CV92&lt;=60,DB92,60/CT$4*CT$7)),IF(AND($F92=2,$G92=1),DB92,0)))))</f>
        <v>0</v>
      </c>
      <c r="DE92" s="57" t="str">
        <f t="shared" si="527"/>
        <v/>
      </c>
      <c r="DF92" s="57" t="str">
        <f t="shared" si="528"/>
        <v/>
      </c>
      <c r="DG92" s="713">
        <f>'org. Düngung 22'!AF91</f>
        <v>0</v>
      </c>
      <c r="DH92" s="57"/>
      <c r="DI92" s="57"/>
      <c r="DJ92" s="57">
        <f t="shared" si="529"/>
        <v>0</v>
      </c>
      <c r="DK92" s="57">
        <f t="shared" si="711"/>
        <v>0</v>
      </c>
      <c r="DL92" s="57">
        <f t="shared" si="712"/>
        <v>0</v>
      </c>
      <c r="DM92" s="57">
        <f t="shared" si="713"/>
        <v>0</v>
      </c>
      <c r="DN92" s="57">
        <f t="shared" si="714"/>
        <v>0</v>
      </c>
      <c r="DO92" s="1029">
        <f t="shared" si="530"/>
        <v>0</v>
      </c>
      <c r="DP92" s="57">
        <f t="shared" si="531"/>
        <v>0</v>
      </c>
      <c r="DQ92" s="171" t="str">
        <f t="shared" si="532"/>
        <v/>
      </c>
      <c r="DR92" s="57">
        <f t="shared" si="715"/>
        <v>0</v>
      </c>
      <c r="DS92" s="57">
        <f>IF(OR(AND(DG$6=1,$L92=0),AND(DG$6=2,$K92=2,$G92=1)),0,IF(AND(DI$9=2,(OR($F92&gt;1,$K92=1,AND($L92=80,OR($N92=1,AND($N92=2,'#BerechnungDBE'!$AL83&gt;0)))))),IF(DG$4&gt;=$AD$126,0,DQ92),IF(DI$9=3,IF(OR(DG$4&gt;=$AD$127,AND($G92=1,$J92=2,DG$6=2),AND(DG$6=1,$N92&lt;&gt;1)),0,IF(DK92&lt;=120,DQ92,IF(DG$4&lt;$AD$124,IF($F92=1,60/DI$4*DI$6,60/DI$4*DI$7),IF($F92=1,120/DI$4*DI$6,120/DI$4*DI$7)))),IF(OR($F92=3,$G92=2),IF(OR(AND(DG$4&gt;=$AD$119,$C92=2),AND(DG$4&gt;=$AF$119,$C92=1)),0,IF(DK92&lt;=60,DQ92,60/DI$4*DI$7)),IF(AND($F92=2,$G92=1),DQ92,0)))))</f>
        <v>0</v>
      </c>
      <c r="DT92" s="57" t="str">
        <f t="shared" si="533"/>
        <v/>
      </c>
      <c r="DU92" s="57" t="str">
        <f t="shared" si="534"/>
        <v/>
      </c>
      <c r="DV92" s="713">
        <f>'org. Düngung 22'!AJ91</f>
        <v>0</v>
      </c>
      <c r="DW92" s="57"/>
      <c r="DX92" s="57"/>
      <c r="DY92" s="57">
        <f t="shared" si="535"/>
        <v>0</v>
      </c>
      <c r="DZ92" s="57">
        <f t="shared" si="716"/>
        <v>0</v>
      </c>
      <c r="EA92" s="57">
        <f t="shared" si="717"/>
        <v>0</v>
      </c>
      <c r="EB92" s="57">
        <f t="shared" si="718"/>
        <v>0</v>
      </c>
      <c r="EC92" s="57">
        <f t="shared" si="719"/>
        <v>0</v>
      </c>
      <c r="ED92" s="1029">
        <f t="shared" si="536"/>
        <v>0</v>
      </c>
      <c r="EE92" s="57">
        <f t="shared" si="537"/>
        <v>0</v>
      </c>
      <c r="EF92" s="171" t="str">
        <f t="shared" si="538"/>
        <v/>
      </c>
      <c r="EG92" s="57">
        <f t="shared" si="720"/>
        <v>0</v>
      </c>
      <c r="EH92" s="57">
        <f>IF(OR(AND(DV$6=1,$L92=0),AND(DV$6=2,$K92=2,$G92=1)),0,IF(AND(DX$9=2,(OR($F92&gt;1,$K92=1,AND($L92=80,OR($N92=1,AND($N92=2,'#BerechnungDBE'!$AL83&gt;0)))))),IF(DV$4&gt;=$AD$126,0,EF92),IF(DX$9=3,IF(OR(DV$4&gt;=$AD$127,AND($G92=1,$J92=2,DV$6=2),AND(DV$6=1,$N92&lt;&gt;1)),0,IF(DZ92&lt;=120,EF92,IF(DV$4&lt;$AD$124,IF($F92=1,60/DX$4*DX$6,60/DX$4*DX$7),IF($F92=1,120/DX$4*DX$6,120/DX$4*DX$7)))),IF(OR($F92=3,$G92=2),IF(OR(AND(DV$4&gt;=$AD$119,$C92=2),AND(DV$4&gt;=$AF$119,$C92=1)),0,IF(DZ92&lt;=60,EF92,60/DX$4*DX$7)),IF(AND($F92=2,$G92=1),EF92,0)))))</f>
        <v>0</v>
      </c>
      <c r="EI92" s="57" t="str">
        <f t="shared" si="539"/>
        <v/>
      </c>
      <c r="EJ92" s="57" t="str">
        <f t="shared" si="540"/>
        <v/>
      </c>
      <c r="EK92" s="713">
        <f>'org. Düngung 22'!AN91</f>
        <v>0</v>
      </c>
      <c r="EL92" s="57"/>
      <c r="EM92" s="57"/>
      <c r="EN92" s="57">
        <f t="shared" si="541"/>
        <v>0</v>
      </c>
      <c r="EO92" s="57">
        <f t="shared" si="721"/>
        <v>0</v>
      </c>
      <c r="EP92" s="57">
        <f t="shared" si="722"/>
        <v>0</v>
      </c>
      <c r="EQ92" s="57">
        <f t="shared" si="723"/>
        <v>0</v>
      </c>
      <c r="ER92" s="57">
        <f t="shared" si="724"/>
        <v>0</v>
      </c>
      <c r="ES92" s="1029">
        <f t="shared" si="542"/>
        <v>0</v>
      </c>
      <c r="ET92" s="57">
        <f t="shared" si="543"/>
        <v>0</v>
      </c>
      <c r="EU92" s="171" t="str">
        <f t="shared" si="544"/>
        <v/>
      </c>
      <c r="EV92" s="57">
        <f t="shared" si="725"/>
        <v>0</v>
      </c>
      <c r="EW92" s="57">
        <f>IF(OR(AND(EK$6=1,$L92=0),AND(EK$6=2,$K92=2,$G92=1)),0,IF(AND(EM$9=2,(OR($F92&gt;1,$K92=1,AND($L92=80,OR($N92=1,AND($N92=2,'#BerechnungDBE'!$AL83&gt;0)))))),IF(EK$4&gt;=$AD$126,0,EU92),IF(EM$9=3,IF(OR(EK$4&gt;=$AD$127,AND($G92=1,$J92=2,EK$6=2),AND(EK$6=1,$N92&lt;&gt;1)),0,IF(EO92&lt;=120,EU92,IF(EK$4&lt;$AD$124,IF($F92=1,60/EM$4*EM$6,60/EM$4*EM$7),IF($F92=1,120/EM$4*EM$6,120/EM$4*EM$7)))),IF(OR($F92=3,$G92=2),IF(OR(AND(EK$4&gt;=$AD$119,$C92=2),AND(EK$4&gt;=$AF$119,$C92=1)),0,IF(EO92&lt;=60,EU92,60/EM$4*EM$7)),IF(AND($F92=2,$G92=1),EU92,0)))))</f>
        <v>0</v>
      </c>
      <c r="EX92" s="57" t="str">
        <f t="shared" si="545"/>
        <v/>
      </c>
      <c r="EY92" s="57" t="str">
        <f t="shared" si="546"/>
        <v/>
      </c>
      <c r="EZ92" s="713">
        <f>'org. Düngung 22'!AR91</f>
        <v>0</v>
      </c>
      <c r="FA92" s="57"/>
      <c r="FB92" s="57"/>
      <c r="FC92" s="57">
        <f t="shared" si="547"/>
        <v>0</v>
      </c>
      <c r="FD92" s="57">
        <f t="shared" si="726"/>
        <v>0</v>
      </c>
      <c r="FE92" s="57">
        <f t="shared" si="727"/>
        <v>0</v>
      </c>
      <c r="FF92" s="57">
        <f t="shared" si="728"/>
        <v>0</v>
      </c>
      <c r="FG92" s="57">
        <f t="shared" si="729"/>
        <v>0</v>
      </c>
      <c r="FH92" s="1029">
        <f t="shared" si="548"/>
        <v>0</v>
      </c>
      <c r="FI92" s="57">
        <f t="shared" si="549"/>
        <v>0</v>
      </c>
      <c r="FJ92" s="171" t="str">
        <f t="shared" si="550"/>
        <v/>
      </c>
      <c r="FK92" s="57">
        <f t="shared" si="730"/>
        <v>0</v>
      </c>
      <c r="FL92" s="57">
        <f>IF(OR(AND(EZ$6=1,$L92=0),AND(EZ$6=2,$K92=2,$G92=1)),0,IF(AND(FB$9=2,(OR($F92&gt;1,$K92=1,AND($L92=80,OR($N92=1,AND($N92=2,'#BerechnungDBE'!$AL83&gt;0)))))),IF(EZ$4&gt;=$AD$126,0,FJ92),IF(FB$9=3,IF(OR(EZ$4&gt;=$AD$127,AND($G92=1,$J92=2,EZ$6=2),AND(EZ$6=1,$N92&lt;&gt;1)),0,IF(FD92&lt;=120,FJ92,IF(EZ$4&lt;$AD$124,IF($F92=1,60/FB$4*FB$6,60/FB$4*FB$7),IF($F92=1,120/FB$4*FB$6,120/FB$4*FB$7)))),IF(OR($F92=3,$G92=2),IF(OR(AND(EZ$4&gt;=$AD$119,$C92=2),AND(EZ$4&gt;=$AF$119,$C92=1)),0,IF(FD92&lt;=60,FJ92,60/FB$4*FB$7)),IF(AND($F92=2,$G92=1),FJ92,0)))))</f>
        <v>0</v>
      </c>
      <c r="FM92" s="57" t="str">
        <f t="shared" si="551"/>
        <v/>
      </c>
      <c r="FN92" s="57" t="str">
        <f t="shared" si="552"/>
        <v/>
      </c>
      <c r="FO92" s="713">
        <f>'org. Düngung 22'!AV91</f>
        <v>0</v>
      </c>
      <c r="FP92" s="57"/>
      <c r="FQ92" s="57"/>
      <c r="FR92" s="57">
        <f t="shared" si="553"/>
        <v>0</v>
      </c>
      <c r="FS92" s="57">
        <f t="shared" si="731"/>
        <v>0</v>
      </c>
      <c r="FT92" s="57">
        <f t="shared" si="732"/>
        <v>0</v>
      </c>
      <c r="FU92" s="57">
        <f t="shared" si="733"/>
        <v>0</v>
      </c>
      <c r="FV92" s="57">
        <f t="shared" si="734"/>
        <v>0</v>
      </c>
      <c r="FW92" s="1029">
        <f t="shared" si="554"/>
        <v>0</v>
      </c>
      <c r="FX92" s="57">
        <f t="shared" si="555"/>
        <v>0</v>
      </c>
      <c r="FY92" s="171" t="str">
        <f t="shared" si="556"/>
        <v/>
      </c>
      <c r="FZ92" s="57">
        <f t="shared" si="735"/>
        <v>0</v>
      </c>
      <c r="GA92" s="57">
        <f>IF(OR(AND(FO$6=1,$L92=0),AND(FO$6=2,$K92=2,$G92=1)),0,IF(AND(FQ$9=2,(OR($F92&gt;1,$K92=1,AND($L92=80,OR($N92=1,AND($N92=2,'#BerechnungDBE'!$AL83&gt;0)))))),IF(FO$4&gt;=$AD$126,0,FY92),IF(FQ$9=3,IF(OR(FO$4&gt;=$AD$127,AND($G92=1,$J92=2,FO$6=2),AND(FO$6=1,$N92&lt;&gt;1)),0,IF(FS92&lt;=120,FY92,IF(FO$4&lt;$AD$124,IF($F92=1,60/FQ$4*FQ$6,60/FQ$4*FQ$7),IF($F92=1,120/FQ$4*FQ$6,120/FQ$4*FQ$7)))),IF(OR($F92=3,$G92=2),IF(OR(AND(FO$4&gt;=$AD$119,$C92=2),AND(FO$4&gt;=$AF$119,$C92=1)),0,IF(FS92&lt;=60,FY92,60/FQ$4*FQ$7)),IF(AND($F92=2,$G92=1),FY92,0)))))</f>
        <v>0</v>
      </c>
      <c r="GB92" s="57" t="str">
        <f t="shared" si="557"/>
        <v/>
      </c>
      <c r="GC92" s="57" t="str">
        <f t="shared" si="558"/>
        <v/>
      </c>
      <c r="GD92" s="713">
        <f>'org. Düngung 22'!AZ91</f>
        <v>0</v>
      </c>
      <c r="GE92" s="57"/>
      <c r="GF92" s="57"/>
      <c r="GG92" s="57">
        <f t="shared" si="559"/>
        <v>0</v>
      </c>
      <c r="GH92" s="57">
        <f t="shared" si="736"/>
        <v>0</v>
      </c>
      <c r="GI92" s="57">
        <f t="shared" si="737"/>
        <v>0</v>
      </c>
      <c r="GJ92" s="57">
        <f t="shared" si="738"/>
        <v>0</v>
      </c>
      <c r="GK92" s="57">
        <f t="shared" si="739"/>
        <v>0</v>
      </c>
      <c r="GL92" s="1029">
        <f t="shared" si="560"/>
        <v>0</v>
      </c>
      <c r="GM92" s="57">
        <f t="shared" si="561"/>
        <v>0</v>
      </c>
      <c r="GN92" s="171" t="str">
        <f t="shared" si="562"/>
        <v/>
      </c>
      <c r="GO92" s="57">
        <f t="shared" si="740"/>
        <v>0</v>
      </c>
      <c r="GP92" s="57">
        <f>IF(OR(AND(GD$6=1,$L92=0),AND(GD$6=2,$K92=2,$G92=1)),0,IF(AND(GF$9=2,(OR($F92&gt;1,$K92=1,AND($L92=80,OR($N92=1,AND($N92=2,'#BerechnungDBE'!$AL83&gt;0)))))),IF(GD$4&gt;=$AD$126,0,GN92),IF(GF$9=3,IF(OR(GD$4&gt;=$AD$127,AND($G92=1,$J92=2,GD$6=2),AND(GD$6=1,$N92&lt;&gt;1)),0,IF(GH92&lt;=120,GN92,IF(GD$4&lt;$AD$124,IF($F92=1,60/GF$4*GF$6,60/GF$4*GF$7),IF($F92=1,120/GF$4*GF$6,120/GF$4*GF$7)))),IF(OR($F92=3,$G92=2),IF(OR(AND(GD$4&gt;=$AD$119,$C92=2),AND(GD$4&gt;=$AF$119,$C92=1)),0,IF(GH92&lt;=60,GN92,60/GF$4*GF$7)),IF(AND($F92=2,$G92=1),GN92,0)))))</f>
        <v>0</v>
      </c>
      <c r="GQ92" s="57" t="str">
        <f t="shared" si="563"/>
        <v/>
      </c>
      <c r="GR92" s="57" t="str">
        <f t="shared" si="564"/>
        <v/>
      </c>
      <c r="GS92" s="713">
        <f>'org. Düngung 22'!BD91</f>
        <v>0</v>
      </c>
      <c r="GT92" s="57"/>
      <c r="GU92" s="57"/>
      <c r="GV92" s="57">
        <f t="shared" si="565"/>
        <v>0</v>
      </c>
      <c r="GW92" s="57">
        <f t="shared" si="741"/>
        <v>0</v>
      </c>
      <c r="GX92" s="57">
        <f t="shared" si="742"/>
        <v>0</v>
      </c>
      <c r="GY92" s="57">
        <f t="shared" si="743"/>
        <v>0</v>
      </c>
      <c r="GZ92" s="57">
        <f t="shared" si="744"/>
        <v>0</v>
      </c>
      <c r="HA92" s="1029">
        <f t="shared" si="566"/>
        <v>0</v>
      </c>
      <c r="HB92" s="57">
        <f t="shared" si="567"/>
        <v>0</v>
      </c>
      <c r="HC92" s="171" t="str">
        <f t="shared" si="568"/>
        <v/>
      </c>
      <c r="HD92" s="57">
        <f t="shared" si="745"/>
        <v>0</v>
      </c>
      <c r="HE92" s="57">
        <f>IF(OR(AND(GS$6=1,$L92=0),AND(GS$6=2,$K92=2,$G92=1)),0,IF(AND(GU$9=2,(OR($F92&gt;1,$K92=1,AND($L92=80,OR($N92=1,AND($N92=2,'#BerechnungDBE'!$AL83&gt;0)))))),IF(GS$4&gt;=$AD$126,0,HC92),IF(GU$9=3,IF(OR(GS$4&gt;=$AD$127,AND($G92=1,$J92=2,GS$6=2),AND(GS$6=1,$N92&lt;&gt;1)),0,IF(GW92&lt;=120,HC92,IF(GS$4&lt;$AD$124,IF($F92=1,60/GU$4*GU$6,60/GU$4*GU$7),IF($F92=1,120/GU$4*GU$6,120/GU$4*GU$7)))),IF(OR($F92=3,$G92=2),IF(OR(AND(GS$4&gt;=$AD$119,$C92=2),AND(GS$4&gt;=$AF$119,$C92=1)),0,IF(GW92&lt;=60,HC92,60/GU$4*GU$7)),IF(AND($F92=2,$G92=1),HC92,0)))))</f>
        <v>0</v>
      </c>
      <c r="HF92" s="57" t="str">
        <f t="shared" si="569"/>
        <v/>
      </c>
      <c r="HG92" s="57" t="str">
        <f t="shared" si="570"/>
        <v/>
      </c>
      <c r="HH92" s="713">
        <f>'org. Düngung 22'!BH91</f>
        <v>0</v>
      </c>
      <c r="HI92" s="57"/>
      <c r="HJ92" s="57"/>
      <c r="HK92" s="57">
        <f t="shared" si="571"/>
        <v>0</v>
      </c>
      <c r="HL92" s="57">
        <f t="shared" si="746"/>
        <v>0</v>
      </c>
      <c r="HM92" s="57">
        <f t="shared" si="747"/>
        <v>0</v>
      </c>
      <c r="HN92" s="57">
        <f t="shared" si="748"/>
        <v>0</v>
      </c>
      <c r="HO92" s="57">
        <f t="shared" si="749"/>
        <v>0</v>
      </c>
      <c r="HP92" s="1029">
        <f t="shared" si="572"/>
        <v>0</v>
      </c>
      <c r="HQ92" s="57">
        <f t="shared" si="573"/>
        <v>0</v>
      </c>
      <c r="HR92" s="171" t="str">
        <f t="shared" si="574"/>
        <v/>
      </c>
      <c r="HS92" s="57">
        <f t="shared" si="750"/>
        <v>0</v>
      </c>
      <c r="HT92" s="57">
        <f>IF(OR(AND(HH$6=1,$L92=0),AND(HH$6=2,$K92=2,$G92=1)),0,IF(AND(HJ$9=2,(OR($F92&gt;1,$K92=1,AND($L92=80,OR($N92=1,AND($N92=2,'#BerechnungDBE'!$AL83&gt;0)))))),IF(HH$4&gt;=$AD$126,0,HR92),IF(HJ$9=3,IF(OR(HH$4&gt;=$AD$127,AND($G92=1,$J92=2,HH$6=2),AND(HH$6=1,$N92&lt;&gt;1)),0,IF(HL92&lt;=120,HR92,IF(HH$4&lt;$AD$124,IF($F92=1,60/HJ$4*HJ$6,60/HJ$4*HJ$7),IF($F92=1,120/HJ$4*HJ$6,120/HJ$4*HJ$7)))),IF(OR($F92=3,$G92=2),IF(OR(AND(HH$4&gt;=$AD$119,$C92=2),AND(HH$4&gt;=$AF$119,$C92=1)),0,IF(HL92&lt;=60,HR92,60/HJ$4*HJ$7)),IF(AND($F92=2,$G92=1),HR92,0)))))</f>
        <v>0</v>
      </c>
      <c r="HU92" s="57" t="str">
        <f t="shared" si="575"/>
        <v/>
      </c>
      <c r="HV92" s="57" t="str">
        <f t="shared" si="576"/>
        <v/>
      </c>
      <c r="HW92" s="713">
        <f>'org. Düngung 22'!BL91</f>
        <v>0</v>
      </c>
      <c r="HX92" s="57"/>
      <c r="HY92" s="57"/>
      <c r="HZ92" s="57">
        <f t="shared" si="577"/>
        <v>0</v>
      </c>
      <c r="IA92" s="57">
        <f t="shared" si="751"/>
        <v>0</v>
      </c>
      <c r="IB92" s="57">
        <f t="shared" si="752"/>
        <v>0</v>
      </c>
      <c r="IC92" s="57">
        <f t="shared" si="753"/>
        <v>0</v>
      </c>
      <c r="ID92" s="57">
        <f t="shared" si="754"/>
        <v>0</v>
      </c>
      <c r="IE92" s="1029">
        <f t="shared" si="578"/>
        <v>0</v>
      </c>
      <c r="IF92" s="57">
        <f t="shared" si="579"/>
        <v>0</v>
      </c>
      <c r="IG92" s="171" t="str">
        <f t="shared" si="580"/>
        <v/>
      </c>
      <c r="IH92" s="57">
        <f t="shared" si="755"/>
        <v>0</v>
      </c>
      <c r="II92" s="57">
        <f>IF(OR(AND(HW$6=1,$L92=0),AND(HW$6=2,$K92=2,$G92=1)),0,IF(AND(HY$9=2,(OR($F92&gt;1,$K92=1,AND($L92=80,OR($N92=1,AND($N92=2,'#BerechnungDBE'!$AL83&gt;0)))))),IF(HW$4&gt;=$AD$126,0,IG92),IF(HY$9=3,IF(OR(HW$4&gt;=$AD$127,AND($G92=1,$J92=2,HW$6=2),AND(HW$6=1,$N92&lt;&gt;1)),0,IF(IA92&lt;=120,IG92,IF(HW$4&lt;$AD$124,IF($F92=1,60/HY$4*HY$6,60/HY$4*HY$7),IF($F92=1,120/HY$4*HY$6,120/HY$4*HY$7)))),IF(OR($F92=3,$G92=2),IF(OR(AND(HW$4&gt;=$AD$119,$C92=2),AND(HW$4&gt;=$AF$119,$C92=1)),0,IF(IA92&lt;=60,IG92,60/HY$4*HY$7)),IF(AND($F92=2,$G92=1),IG92,0)))))</f>
        <v>0</v>
      </c>
      <c r="IJ92" s="57" t="str">
        <f t="shared" si="581"/>
        <v/>
      </c>
      <c r="IK92" s="57" t="str">
        <f t="shared" si="582"/>
        <v/>
      </c>
      <c r="IL92" s="713">
        <f>'org. Düngung 22'!BP91</f>
        <v>0</v>
      </c>
      <c r="IM92" s="57"/>
      <c r="IN92" s="57"/>
      <c r="IO92" s="57">
        <f t="shared" si="583"/>
        <v>0</v>
      </c>
      <c r="IP92" s="57">
        <f t="shared" si="756"/>
        <v>0</v>
      </c>
      <c r="IQ92" s="57">
        <f t="shared" si="757"/>
        <v>0</v>
      </c>
      <c r="IR92" s="57">
        <f t="shared" si="758"/>
        <v>0</v>
      </c>
      <c r="IS92" s="57">
        <f t="shared" si="759"/>
        <v>0</v>
      </c>
      <c r="IT92" s="1029">
        <f t="shared" si="584"/>
        <v>0</v>
      </c>
      <c r="IU92" s="57">
        <f t="shared" si="585"/>
        <v>0</v>
      </c>
      <c r="IV92" s="171" t="str">
        <f t="shared" si="586"/>
        <v/>
      </c>
      <c r="IW92" s="57">
        <f t="shared" si="760"/>
        <v>0</v>
      </c>
      <c r="IX92" s="57">
        <f>IF(OR(AND(IL$6=1,$L92=0),AND(IL$6=2,$K92=2,$G92=1)),0,IF(AND(IN$9=2,(OR($F92&gt;1,$K92=1,AND($L92=80,OR($N92=1,AND($N92=2,'#BerechnungDBE'!$AL83&gt;0)))))),IF(IL$4&gt;=$AD$126,0,IV92),IF(IN$9=3,IF(OR(IL$4&gt;=$AD$127,AND($G92=1,$J92=2,IL$6=2),AND(IL$6=1,$N92&lt;&gt;1)),0,IF(IP92&lt;=120,IV92,IF(IL$4&lt;$AD$124,IF($F92=1,60/IN$4*IN$6,60/IN$4*IN$7),IF($F92=1,120/IN$4*IN$6,120/IN$4*IN$7)))),IF(OR($F92=3,$G92=2),IF(OR(AND(IL$4&gt;=$AD$119,$C92=2),AND(IL$4&gt;=$AF$119,$C92=1)),0,IF(IP92&lt;=60,IV92,60/IN$4*IN$7)),IF(AND($F92=2,$G92=1),IV92,0)))))</f>
        <v>0</v>
      </c>
      <c r="IY92" s="57" t="str">
        <f t="shared" si="587"/>
        <v/>
      </c>
      <c r="IZ92" s="57" t="str">
        <f t="shared" si="588"/>
        <v/>
      </c>
      <c r="JA92" s="713">
        <f>'org. Düngung 22'!BT91</f>
        <v>0</v>
      </c>
      <c r="JB92" s="57"/>
      <c r="JC92" s="57"/>
      <c r="JD92" s="57">
        <f t="shared" si="589"/>
        <v>0</v>
      </c>
      <c r="JE92" s="57">
        <f t="shared" si="761"/>
        <v>0</v>
      </c>
      <c r="JF92" s="57">
        <f t="shared" si="762"/>
        <v>0</v>
      </c>
      <c r="JG92" s="57">
        <f t="shared" si="763"/>
        <v>0</v>
      </c>
      <c r="JH92" s="57">
        <f t="shared" si="764"/>
        <v>0</v>
      </c>
      <c r="JI92" s="1029">
        <f t="shared" si="590"/>
        <v>0</v>
      </c>
      <c r="JJ92" s="57">
        <f t="shared" si="591"/>
        <v>0</v>
      </c>
      <c r="JK92" s="171" t="str">
        <f t="shared" si="592"/>
        <v/>
      </c>
      <c r="JL92" s="57">
        <f t="shared" si="765"/>
        <v>0</v>
      </c>
      <c r="JM92" s="57">
        <f>IF(OR(AND(JA$6=1,$L92=0),AND(JA$6=2,$K92=2,$G92=1)),0,IF(AND(JC$9=2,(OR($F92&gt;1,$K92=1,AND($L92=80,OR($N92=1,AND($N92=2,'#BerechnungDBE'!$AL83&gt;0)))))),IF(JA$4&gt;=$AD$126,0,JK92),IF(JC$9=3,IF(OR(JA$4&gt;=$AD$127,AND($G92=1,$J92=2,JA$6=2),AND(JA$6=1,$N92&lt;&gt;1)),0,IF(JE92&lt;=120,JK92,IF(JA$4&lt;$AD$124,IF($F92=1,60/JC$4*JC$6,60/JC$4*JC$7),IF($F92=1,120/JC$4*JC$6,120/JC$4*JC$7)))),IF(OR($F92=3,$G92=2),IF(OR(AND(JA$4&gt;=$AD$119,$C92=2),AND(JA$4&gt;=$AF$119,$C92=1)),0,IF(JE92&lt;=60,JK92,60/JC$4*JC$7)),IF(AND($F92=2,$G92=1),JK92,0)))))</f>
        <v>0</v>
      </c>
      <c r="JN92" s="57" t="str">
        <f t="shared" si="593"/>
        <v/>
      </c>
      <c r="JO92" s="57" t="str">
        <f t="shared" si="594"/>
        <v/>
      </c>
      <c r="JP92" s="713">
        <f>'org. Düngung 22'!BX91</f>
        <v>0</v>
      </c>
      <c r="JQ92" s="57"/>
      <c r="JR92" s="57"/>
      <c r="JS92" s="57">
        <f t="shared" si="595"/>
        <v>0</v>
      </c>
      <c r="JT92" s="57">
        <f t="shared" si="766"/>
        <v>0</v>
      </c>
      <c r="JU92" s="57">
        <f t="shared" si="767"/>
        <v>0</v>
      </c>
      <c r="JV92" s="57">
        <f t="shared" si="768"/>
        <v>0</v>
      </c>
      <c r="JW92" s="57">
        <f t="shared" si="769"/>
        <v>0</v>
      </c>
      <c r="JX92" s="1029">
        <f t="shared" si="596"/>
        <v>0</v>
      </c>
      <c r="JY92" s="57">
        <f t="shared" si="597"/>
        <v>0</v>
      </c>
      <c r="JZ92" s="171" t="str">
        <f t="shared" si="598"/>
        <v/>
      </c>
      <c r="KA92" s="57">
        <f t="shared" si="770"/>
        <v>0</v>
      </c>
      <c r="KB92" s="57">
        <f>IF(OR(AND(JP$6=1,$L92=0),AND(JP$6=2,$K92=2,$G92=1)),0,IF(AND(JR$9=2,(OR($F92&gt;1,$K92=1,AND($L92=80,OR($N92=1,AND($N92=2,'#BerechnungDBE'!$AL83&gt;0)))))),IF(JP$4&gt;=$AD$126,0,JZ92),IF(JR$9=3,IF(OR(JP$4&gt;=$AD$127,AND($G92=1,$J92=2,JP$6=2),AND(JP$6=1,$N92&lt;&gt;1)),0,IF(JT92&lt;=120,JZ92,IF(JP$4&lt;$AD$124,IF($F92=1,60/JR$4*JR$6,60/JR$4*JR$7),IF($F92=1,120/JR$4*JR$6,120/JR$4*JR$7)))),IF(OR($F92=3,$G92=2),IF(OR(AND(JP$4&gt;=$AD$119,$C92=2),AND(JP$4&gt;=$AF$119,$C92=1)),0,IF(JT92&lt;=60,JZ92,60/JR$4*JR$7)),IF(AND($F92=2,$G92=1),JZ92,0)))))</f>
        <v>0</v>
      </c>
      <c r="KC92" s="57" t="str">
        <f t="shared" si="599"/>
        <v/>
      </c>
      <c r="KD92" s="57" t="str">
        <f t="shared" si="600"/>
        <v/>
      </c>
      <c r="KE92" s="713">
        <f>'org. Düngung 22'!CB91</f>
        <v>0</v>
      </c>
      <c r="KF92" s="57"/>
      <c r="KG92" s="57"/>
      <c r="KH92" s="57">
        <f t="shared" si="601"/>
        <v>0</v>
      </c>
      <c r="KI92" s="57">
        <f t="shared" si="771"/>
        <v>0</v>
      </c>
      <c r="KJ92" s="57">
        <f t="shared" si="772"/>
        <v>0</v>
      </c>
      <c r="KK92" s="57">
        <f t="shared" si="773"/>
        <v>0</v>
      </c>
      <c r="KL92" s="57">
        <f t="shared" si="774"/>
        <v>0</v>
      </c>
      <c r="KM92" s="1029">
        <f t="shared" si="602"/>
        <v>0</v>
      </c>
      <c r="KN92" s="57">
        <f t="shared" si="603"/>
        <v>0</v>
      </c>
      <c r="KO92" s="171" t="str">
        <f t="shared" si="604"/>
        <v/>
      </c>
      <c r="KP92" s="57">
        <f t="shared" si="775"/>
        <v>0</v>
      </c>
      <c r="KQ92" s="57">
        <f>IF(OR(AND(KE$6=1,$L92=0),AND(KE$6=2,$K92=2,$G92=1)),0,IF(AND(KG$9=2,(OR($F92&gt;1,$K92=1,AND($L92=80,OR($N92=1,AND($N92=2,'#BerechnungDBE'!$AL83&gt;0)))))),IF(KE$4&gt;=$AD$126,0,KO92),IF(KG$9=3,IF(OR(KE$4&gt;=$AD$127,AND($G92=1,$J92=2,KE$6=2),AND(KE$6=1,$N92&lt;&gt;1)),0,IF(KI92&lt;=120,KO92,IF(KE$4&lt;$AD$124,IF($F92=1,60/KG$4*KG$6,60/KG$4*KG$7),IF($F92=1,120/KG$4*KG$6,120/KG$4*KG$7)))),IF(OR($F92=3,$G92=2),IF(OR(AND(KE$4&gt;=$AD$119,$C92=2),AND(KE$4&gt;=$AF$119,$C92=1)),0,IF(KI92&lt;=60,KO92,60/KG$4*KG$7)),IF(AND($F92=2,$G92=1),KO92,0)))))</f>
        <v>0</v>
      </c>
      <c r="KR92" s="57" t="str">
        <f t="shared" si="605"/>
        <v/>
      </c>
      <c r="KS92" s="57" t="str">
        <f t="shared" si="606"/>
        <v/>
      </c>
      <c r="KT92" s="713">
        <f>'org. Düngung 22'!CF91</f>
        <v>0</v>
      </c>
      <c r="KU92" s="57"/>
      <c r="KV92" s="57"/>
      <c r="KW92" s="57">
        <f t="shared" si="607"/>
        <v>0</v>
      </c>
      <c r="KX92" s="57">
        <f t="shared" si="776"/>
        <v>0</v>
      </c>
      <c r="KY92" s="57">
        <f t="shared" si="777"/>
        <v>0</v>
      </c>
      <c r="KZ92" s="57">
        <f t="shared" si="778"/>
        <v>0</v>
      </c>
      <c r="LA92" s="57">
        <f t="shared" si="779"/>
        <v>0</v>
      </c>
      <c r="LB92" s="1029">
        <f t="shared" si="608"/>
        <v>0</v>
      </c>
      <c r="LC92" s="57">
        <f t="shared" si="609"/>
        <v>0</v>
      </c>
      <c r="LD92" s="171" t="str">
        <f t="shared" si="610"/>
        <v/>
      </c>
      <c r="LE92" s="57">
        <f t="shared" si="780"/>
        <v>0</v>
      </c>
      <c r="LF92" s="57">
        <f>IF(OR(AND(KT$6=1,$L92=0),AND(KT$6=2,$K92=2,$G92=1)),0,IF(AND(KV$9=2,(OR($F92&gt;1,$K92=1,AND($L92=80,OR($N92=1,AND($N92=2,'#BerechnungDBE'!$AL83&gt;0)))))),IF(KT$4&gt;=$AD$126,0,LD92),IF(KV$9=3,IF(OR(KT$4&gt;=$AD$127,AND($G92=1,$J92=2,KT$6=2),AND(KT$6=1,$N92&lt;&gt;1)),0,IF(KX92&lt;=120,LD92,IF(KT$4&lt;$AD$124,IF($F92=1,60/KV$4*KV$6,60/KV$4*KV$7),IF($F92=1,120/KV$4*KV$6,120/KV$4*KV$7)))),IF(OR($F92=3,$G92=2),IF(OR(AND(KT$4&gt;=$AD$119,$C92=2),AND(KT$4&gt;=$AF$119,$C92=1)),0,IF(KX92&lt;=60,LD92,60/KV$4*KV$7)),IF(AND($F92=2,$G92=1),LD92,0)))))</f>
        <v>0</v>
      </c>
      <c r="LG92" s="57" t="str">
        <f t="shared" si="611"/>
        <v/>
      </c>
      <c r="LH92" s="57" t="str">
        <f t="shared" si="612"/>
        <v/>
      </c>
      <c r="LI92" s="713">
        <f>'org. Düngung 22'!CJ91</f>
        <v>0</v>
      </c>
      <c r="LJ92" s="57"/>
      <c r="LK92" s="57"/>
      <c r="LL92" s="57">
        <f t="shared" si="613"/>
        <v>0</v>
      </c>
      <c r="LM92" s="57">
        <f t="shared" si="781"/>
        <v>0</v>
      </c>
      <c r="LN92" s="57">
        <f t="shared" si="782"/>
        <v>0</v>
      </c>
      <c r="LO92" s="57">
        <f t="shared" si="783"/>
        <v>0</v>
      </c>
      <c r="LP92" s="57">
        <f t="shared" si="784"/>
        <v>0</v>
      </c>
      <c r="LQ92" s="1029">
        <f t="shared" si="614"/>
        <v>0</v>
      </c>
      <c r="LR92" s="57">
        <f t="shared" si="615"/>
        <v>0</v>
      </c>
      <c r="LS92" s="171" t="str">
        <f t="shared" si="616"/>
        <v/>
      </c>
      <c r="LT92" s="57">
        <f t="shared" si="785"/>
        <v>0</v>
      </c>
      <c r="LU92" s="57">
        <f>IF(OR(AND(LI$6=1,$L92=0),AND(LI$6=2,$K92=2,$G92=1)),0,IF(AND(LK$9=2,(OR($F92&gt;1,$K92=1,AND($L92=80,OR($N92=1,AND($N92=2,'#BerechnungDBE'!$AL83&gt;0)))))),IF(LI$4&gt;=$AD$126,0,LS92),IF(LK$9=3,IF(OR(LI$4&gt;=$AD$127,AND($G92=1,$J92=2,LI$6=2),AND(LI$6=1,$N92&lt;&gt;1)),0,IF(LM92&lt;=120,LS92,IF(LI$4&lt;$AD$124,IF($F92=1,60/LK$4*LK$6,60/LK$4*LK$7),IF($F92=1,120/LK$4*LK$6,120/LK$4*LK$7)))),IF(OR($F92=3,$G92=2),IF(OR(AND(LI$4&gt;=$AD$119,$C92=2),AND(LI$4&gt;=$AF$119,$C92=1)),0,IF(LM92&lt;=60,LS92,60/LK$4*LK$7)),IF(AND($F92=2,$G92=1),LS92,0)))))</f>
        <v>0</v>
      </c>
      <c r="LV92" s="57" t="str">
        <f t="shared" si="617"/>
        <v/>
      </c>
      <c r="LW92" s="57" t="str">
        <f t="shared" si="618"/>
        <v/>
      </c>
      <c r="LX92" s="713">
        <f>'org. Düngung 22'!CN91</f>
        <v>0</v>
      </c>
      <c r="LY92" s="57"/>
      <c r="LZ92" s="57"/>
      <c r="MA92" s="57">
        <f t="shared" si="619"/>
        <v>0</v>
      </c>
      <c r="MB92" s="57">
        <f t="shared" si="786"/>
        <v>0</v>
      </c>
      <c r="MC92" s="57">
        <f t="shared" si="787"/>
        <v>0</v>
      </c>
      <c r="MD92" s="57">
        <f t="shared" si="788"/>
        <v>0</v>
      </c>
      <c r="ME92" s="57">
        <f t="shared" si="789"/>
        <v>0</v>
      </c>
      <c r="MF92" s="1029">
        <f t="shared" si="620"/>
        <v>0</v>
      </c>
      <c r="MG92" s="57">
        <f t="shared" si="621"/>
        <v>0</v>
      </c>
      <c r="MH92" s="171" t="str">
        <f t="shared" si="622"/>
        <v/>
      </c>
      <c r="MI92" s="57">
        <f t="shared" si="790"/>
        <v>0</v>
      </c>
      <c r="MJ92" s="57">
        <f>IF(OR(AND(LX$6=1,$L92=0),AND(LX$6=2,$K92=2,$G92=1)),0,IF(AND(LZ$9=2,(OR($F92&gt;1,$K92=1,AND($L92=80,OR($N92=1,AND($N92=2,'#BerechnungDBE'!$AL83&gt;0)))))),IF(LX$4&gt;=$AD$126,0,MH92),IF(LZ$9=3,IF(OR(LX$4&gt;=$AD$127,AND($G92=1,$J92=2,LX$6=2),AND(LX$6=1,$N92&lt;&gt;1)),0,IF(MB92&lt;=120,MH92,IF(LX$4&lt;$AD$124,IF($F92=1,60/LZ$4*LZ$6,60/LZ$4*LZ$7),IF($F92=1,120/LZ$4*LZ$6,120/LZ$4*LZ$7)))),IF(OR($F92=3,$G92=2),IF(OR(AND(LX$4&gt;=$AD$119,$C92=2),AND(LX$4&gt;=$AF$119,$C92=1)),0,IF(MB92&lt;=60,MH92,60/LZ$4*LZ$7)),IF(AND($F92=2,$G92=1),MH92,0)))))</f>
        <v>0</v>
      </c>
      <c r="MK92" s="57" t="str">
        <f t="shared" si="623"/>
        <v/>
      </c>
      <c r="ML92" s="57" t="str">
        <f t="shared" si="624"/>
        <v/>
      </c>
      <c r="MM92" s="713">
        <f>'org. Düngung 22'!CR91</f>
        <v>0</v>
      </c>
      <c r="MN92" s="57"/>
      <c r="MO92" s="57"/>
      <c r="MP92" s="57">
        <f t="shared" si="625"/>
        <v>0</v>
      </c>
      <c r="MQ92" s="57">
        <f t="shared" si="791"/>
        <v>0</v>
      </c>
      <c r="MR92" s="57">
        <f t="shared" si="792"/>
        <v>0</v>
      </c>
      <c r="MS92" s="57">
        <f t="shared" si="793"/>
        <v>0</v>
      </c>
      <c r="MT92" s="57">
        <f t="shared" si="794"/>
        <v>0</v>
      </c>
      <c r="MU92" s="1029">
        <f t="shared" si="626"/>
        <v>0</v>
      </c>
      <c r="MV92" s="57">
        <f t="shared" si="627"/>
        <v>0</v>
      </c>
      <c r="MW92" s="171" t="str">
        <f t="shared" si="628"/>
        <v/>
      </c>
      <c r="MX92" s="57">
        <f t="shared" si="795"/>
        <v>0</v>
      </c>
      <c r="MY92" s="57">
        <f>IF(OR(AND(MM$6=1,$L92=0),AND(MM$6=2,$K92=2,$G92=1)),0,IF(AND(MO$9=2,(OR($F92&gt;1,$K92=1,AND($L92=80,OR($N92=1,AND($N92=2,'#BerechnungDBE'!$AL83&gt;0)))))),IF(MM$4&gt;=$AD$126,0,MW92),IF(MO$9=3,IF(OR(MM$4&gt;=$AD$127,AND($G92=1,$J92=2,MM$6=2),AND(MM$6=1,$N92&lt;&gt;1)),0,IF(MQ92&lt;=120,MW92,IF(MM$4&lt;$AD$124,IF($F92=1,60/MO$4*MO$6,60/MO$4*MO$7),IF($F92=1,120/MO$4*MO$6,120/MO$4*MO$7)))),IF(OR($F92=3,$G92=2),IF(OR(AND(MM$4&gt;=$AD$119,$C92=2),AND(MM$4&gt;=$AF$119,$C92=1)),0,IF(MQ92&lt;=60,MW92,60/MO$4*MO$7)),IF(AND($F92=2,$G92=1),MW92,0)))))</f>
        <v>0</v>
      </c>
      <c r="MZ92" s="57" t="str">
        <f t="shared" si="629"/>
        <v/>
      </c>
      <c r="NA92" s="57" t="str">
        <f t="shared" si="630"/>
        <v/>
      </c>
      <c r="NB92" s="713">
        <f>'org. Düngung 22'!CV91</f>
        <v>0</v>
      </c>
      <c r="NC92" s="57"/>
      <c r="ND92" s="57"/>
      <c r="NE92" s="57">
        <f t="shared" si="631"/>
        <v>0</v>
      </c>
      <c r="NF92" s="57">
        <f t="shared" si="796"/>
        <v>0</v>
      </c>
      <c r="NG92" s="57">
        <f t="shared" si="797"/>
        <v>0</v>
      </c>
      <c r="NH92" s="57">
        <f t="shared" si="798"/>
        <v>0</v>
      </c>
      <c r="NI92" s="57">
        <f t="shared" si="799"/>
        <v>0</v>
      </c>
      <c r="NJ92" s="1029">
        <f t="shared" si="632"/>
        <v>0</v>
      </c>
      <c r="NK92" s="57">
        <f t="shared" si="633"/>
        <v>0</v>
      </c>
      <c r="NL92" s="171" t="str">
        <f t="shared" si="634"/>
        <v/>
      </c>
      <c r="NM92" s="57">
        <f t="shared" si="800"/>
        <v>0</v>
      </c>
      <c r="NN92" s="57">
        <f>IF(OR(AND(NB$6=1,$L92=0),AND(NB$6=2,$K92=2,$G92=1)),0,IF(AND(ND$9=2,(OR($F92&gt;1,$K92=1,AND($L92=80,OR($N92=1,AND($N92=2,'#BerechnungDBE'!$AL83&gt;0)))))),IF(NB$4&gt;=$AD$126,0,NL92),IF(ND$9=3,IF(OR(NB$4&gt;=$AD$127,AND($G92=1,$J92=2,NB$6=2),AND(NB$6=1,$N92&lt;&gt;1)),0,IF(NF92&lt;=120,NL92,IF(NB$4&lt;$AD$124,IF($F92=1,60/ND$4*ND$6,60/ND$4*ND$7),IF($F92=1,120/ND$4*ND$6,120/ND$4*ND$7)))),IF(OR($F92=3,$G92=2),IF(OR(AND(NB$4&gt;=$AD$119,$C92=2),AND(NB$4&gt;=$AF$119,$C92=1)),0,IF(NF92&lt;=60,NL92,60/ND$4*ND$7)),IF(AND($F92=2,$G92=1),NL92,0)))))</f>
        <v>0</v>
      </c>
      <c r="NO92" s="57" t="str">
        <f t="shared" si="635"/>
        <v/>
      </c>
      <c r="NP92" s="57" t="str">
        <f t="shared" si="636"/>
        <v/>
      </c>
      <c r="NQ92" s="713">
        <f>'org. Düngung 22'!CZ91</f>
        <v>0</v>
      </c>
      <c r="NR92" s="57"/>
      <c r="NS92" s="57"/>
      <c r="NT92" s="57">
        <f t="shared" si="637"/>
        <v>0</v>
      </c>
      <c r="NU92" s="57">
        <f t="shared" si="801"/>
        <v>0</v>
      </c>
      <c r="NV92" s="57">
        <f t="shared" si="802"/>
        <v>0</v>
      </c>
      <c r="NW92" s="57">
        <f t="shared" si="803"/>
        <v>0</v>
      </c>
      <c r="NX92" s="57">
        <f t="shared" si="804"/>
        <v>0</v>
      </c>
      <c r="NY92" s="1029">
        <f t="shared" si="638"/>
        <v>0</v>
      </c>
      <c r="NZ92" s="57">
        <f t="shared" si="639"/>
        <v>0</v>
      </c>
      <c r="OA92" s="171" t="str">
        <f t="shared" si="640"/>
        <v/>
      </c>
      <c r="OB92" s="57">
        <f t="shared" si="805"/>
        <v>0</v>
      </c>
      <c r="OC92" s="57">
        <f>IF(OR(AND(NQ$6=1,$L92=0),AND(NQ$6=2,$K92=2,$G92=1)),0,IF(AND(NS$9=2,(OR($F92&gt;1,$K92=1,AND($L92=80,OR($N92=1,AND($N92=2,'#BerechnungDBE'!$AL83&gt;0)))))),IF(NQ$4&gt;=$AD$126,0,OA92),IF(NS$9=3,IF(OR(NQ$4&gt;=$AD$127,AND($G92=1,$J92=2,NQ$6=2),AND(NQ$6=1,$N92&lt;&gt;1)),0,IF(NU92&lt;=120,OA92,IF(NQ$4&lt;$AD$124,IF($F92=1,60/NS$4*NS$6,60/NS$4*NS$7),IF($F92=1,120/NS$4*NS$6,120/NS$4*NS$7)))),IF(OR($F92=3,$G92=2),IF(OR(AND(NQ$4&gt;=$AD$119,$C92=2),AND(NQ$4&gt;=$AF$119,$C92=1)),0,IF(NU92&lt;=60,OA92,60/NS$4*NS$7)),IF(AND($F92=2,$G92=1),OA92,0)))))</f>
        <v>0</v>
      </c>
      <c r="OD92" s="57" t="str">
        <f t="shared" si="641"/>
        <v/>
      </c>
      <c r="OE92" s="57" t="str">
        <f t="shared" si="642"/>
        <v/>
      </c>
      <c r="OF92" s="713">
        <f>'org. Düngung 22'!DD91</f>
        <v>0</v>
      </c>
      <c r="OG92" s="57"/>
      <c r="OH92" s="57"/>
      <c r="OI92" s="57">
        <f t="shared" si="643"/>
        <v>0</v>
      </c>
      <c r="OJ92" s="57">
        <f t="shared" si="806"/>
        <v>0</v>
      </c>
      <c r="OK92" s="57">
        <f t="shared" si="807"/>
        <v>0</v>
      </c>
      <c r="OL92" s="57">
        <f t="shared" si="808"/>
        <v>0</v>
      </c>
      <c r="OM92" s="57">
        <f t="shared" si="809"/>
        <v>0</v>
      </c>
      <c r="ON92" s="1029">
        <f t="shared" si="644"/>
        <v>0</v>
      </c>
      <c r="OO92" s="57">
        <f t="shared" si="645"/>
        <v>0</v>
      </c>
      <c r="OP92" s="171" t="str">
        <f t="shared" si="646"/>
        <v/>
      </c>
      <c r="OQ92" s="57">
        <f t="shared" si="810"/>
        <v>0</v>
      </c>
      <c r="OR92" s="57">
        <f>IF(OR(AND(OF$6=1,$L92=0),AND(OF$6=2,$K92=2,$G92=1)),0,IF(AND(OH$9=2,(OR($F92&gt;1,$K92=1,AND($L92=80,OR($N92=1,AND($N92=2,'#BerechnungDBE'!$AL83&gt;0)))))),IF(OF$4&gt;=$AD$126,0,OP92),IF(OH$9=3,IF(OR(OF$4&gt;=$AD$127,AND($G92=1,$J92=2,OF$6=2),AND(OF$6=1,$N92&lt;&gt;1)),0,IF(OJ92&lt;=120,OP92,IF(OF$4&lt;$AD$124,IF($F92=1,60/OH$4*OH$6,60/OH$4*OH$7),IF($F92=1,120/OH$4*OH$6,120/OH$4*OH$7)))),IF(OR($F92=3,$G92=2),IF(OR(AND(OF$4&gt;=$AD$119,$C92=2),AND(OF$4&gt;=$AF$119,$C92=1)),0,IF(OJ92&lt;=60,OP92,60/OH$4*OH$7)),IF(AND($F92=2,$G92=1),OP92,0)))))</f>
        <v>0</v>
      </c>
      <c r="OS92" s="57" t="str">
        <f t="shared" si="647"/>
        <v/>
      </c>
      <c r="OT92" s="57" t="str">
        <f t="shared" si="648"/>
        <v/>
      </c>
      <c r="OU92" s="713">
        <f>'org. Düngung 22'!DH91</f>
        <v>0</v>
      </c>
      <c r="OV92" s="57"/>
      <c r="OW92" s="57"/>
      <c r="OX92" s="57">
        <f t="shared" si="649"/>
        <v>0</v>
      </c>
      <c r="OY92" s="57">
        <f t="shared" si="811"/>
        <v>0</v>
      </c>
      <c r="OZ92" s="57">
        <f t="shared" si="812"/>
        <v>0</v>
      </c>
      <c r="PA92" s="57">
        <f t="shared" si="813"/>
        <v>0</v>
      </c>
      <c r="PB92" s="57">
        <f t="shared" si="814"/>
        <v>0</v>
      </c>
      <c r="PC92" s="1029">
        <f t="shared" si="650"/>
        <v>0</v>
      </c>
      <c r="PD92" s="57">
        <f t="shared" si="651"/>
        <v>0</v>
      </c>
      <c r="PE92" s="171" t="str">
        <f t="shared" si="652"/>
        <v/>
      </c>
      <c r="PF92" s="57">
        <f t="shared" si="815"/>
        <v>0</v>
      </c>
      <c r="PG92" s="57">
        <f>IF(OR(AND(OU$6=1,$L92=0),AND(OU$6=2,$K92=2,$G92=1)),0,IF(AND(OW$9=2,(OR($F92&gt;1,$K92=1,AND($L92=80,OR($N92=1,AND($N92=2,'#BerechnungDBE'!$AL83&gt;0)))))),IF(OU$4&gt;=$AD$126,0,PE92),IF(OW$9=3,IF(OR(OU$4&gt;=$AD$127,AND($G92=1,$J92=2,OU$6=2),AND(OU$6=1,$N92&lt;&gt;1)),0,IF(OY92&lt;=120,PE92,IF(OU$4&lt;$AD$124,IF($F92=1,60/OW$4*OW$6,60/OW$4*OW$7),IF($F92=1,120/OW$4*OW$6,120/OW$4*OW$7)))),IF(OR($F92=3,$G92=2),IF(OR(AND(OU$4&gt;=$AD$119,$C92=2),AND(OU$4&gt;=$AF$119,$C92=1)),0,IF(OY92&lt;=60,PE92,60/OW$4*OW$7)),IF(AND($F92=2,$G92=1),PE92,0)))))</f>
        <v>0</v>
      </c>
      <c r="PH92" s="57" t="str">
        <f t="shared" si="653"/>
        <v/>
      </c>
      <c r="PI92" s="57" t="str">
        <f t="shared" si="654"/>
        <v/>
      </c>
      <c r="PJ92" s="713">
        <f>'org. Düngung 22'!DL91</f>
        <v>0</v>
      </c>
      <c r="PK92" s="57"/>
      <c r="PL92" s="57"/>
      <c r="PM92" s="57">
        <f t="shared" si="655"/>
        <v>0</v>
      </c>
      <c r="PN92" s="57">
        <f t="shared" si="816"/>
        <v>0</v>
      </c>
      <c r="PO92" s="57">
        <f t="shared" si="817"/>
        <v>0</v>
      </c>
      <c r="PP92" s="57">
        <f t="shared" si="818"/>
        <v>0</v>
      </c>
      <c r="PQ92" s="57">
        <f t="shared" si="819"/>
        <v>0</v>
      </c>
      <c r="PR92" s="1029">
        <f t="shared" si="656"/>
        <v>0</v>
      </c>
      <c r="PS92" s="57">
        <f t="shared" si="657"/>
        <v>0</v>
      </c>
      <c r="PT92" s="171" t="str">
        <f t="shared" si="658"/>
        <v/>
      </c>
      <c r="PU92" s="57">
        <f t="shared" si="820"/>
        <v>0</v>
      </c>
      <c r="PV92" s="57">
        <f>IF(OR(AND(PJ$6=1,$L92=0),AND(PJ$6=2,$K92=2,$G92=1)),0,IF(AND(PL$9=2,(OR($F92&gt;1,$K92=1,AND($L92=80,OR($N92=1,AND($N92=2,'#BerechnungDBE'!$AL83&gt;0)))))),IF(PJ$4&gt;=$AD$126,0,PT92),IF(PL$9=3,IF(OR(PJ$4&gt;=$AD$127,AND($G92=1,$J92=2,PJ$6=2),AND(PJ$6=1,$N92&lt;&gt;1)),0,IF(PN92&lt;=120,PT92,IF(PJ$4&lt;$AD$124,IF($F92=1,60/PL$4*PL$6,60/PL$4*PL$7),IF($F92=1,120/PL$4*PL$6,120/PL$4*PL$7)))),IF(OR($F92=3,$G92=2),IF(OR(AND(PJ$4&gt;=$AD$119,$C92=2),AND(PJ$4&gt;=$AF$119,$C92=1)),0,IF(PN92&lt;=60,PT92,60/PL$4*PL$7)),IF(AND($F92=2,$G92=1),PT92,0)))))</f>
        <v>0</v>
      </c>
      <c r="PW92" s="57" t="str">
        <f t="shared" si="659"/>
        <v/>
      </c>
      <c r="PX92" s="57" t="str">
        <f t="shared" si="660"/>
        <v/>
      </c>
      <c r="PY92" s="713">
        <f>'org. Düngung 22'!DP91</f>
        <v>0</v>
      </c>
      <c r="PZ92" s="57"/>
      <c r="QA92" s="57"/>
      <c r="QB92" s="57">
        <f t="shared" si="661"/>
        <v>0</v>
      </c>
      <c r="QC92" s="57">
        <f t="shared" si="821"/>
        <v>0</v>
      </c>
      <c r="QD92" s="57">
        <f t="shared" si="822"/>
        <v>0</v>
      </c>
      <c r="QE92" s="57">
        <f t="shared" si="823"/>
        <v>0</v>
      </c>
      <c r="QF92" s="57">
        <f t="shared" si="824"/>
        <v>0</v>
      </c>
      <c r="QG92" s="1029">
        <f t="shared" si="662"/>
        <v>0</v>
      </c>
      <c r="QH92" s="57">
        <f t="shared" si="663"/>
        <v>0</v>
      </c>
      <c r="QI92" s="171" t="str">
        <f t="shared" si="664"/>
        <v/>
      </c>
      <c r="QJ92" s="57">
        <f t="shared" si="825"/>
        <v>0</v>
      </c>
      <c r="QK92" s="57">
        <f>IF(OR(AND(PY$6=1,$L92=0),AND(PY$6=2,$K92=2,$G92=1)),0,IF(AND(QA$9=2,(OR($F92&gt;1,$K92=1,AND($L92=80,OR($N92=1,AND($N92=2,'#BerechnungDBE'!$AL83&gt;0)))))),IF(PY$4&gt;=$AD$126,0,QI92),IF(QA$9=3,IF(OR(PY$4&gt;=$AD$127,AND($G92=1,$J92=2,PY$6=2),AND(PY$6=1,$N92&lt;&gt;1)),0,IF(QC92&lt;=120,QI92,IF(PY$4&lt;$AD$124,IF($F92=1,60/QA$4*QA$6,60/QA$4*QA$7),IF($F92=1,120/QA$4*QA$6,120/QA$4*QA$7)))),IF(OR($F92=3,$G92=2),IF(OR(AND(PY$4&gt;=$AD$119,$C92=2),AND(PY$4&gt;=$AF$119,$C92=1)),0,IF(QC92&lt;=60,QI92,60/QA$4*QA$7)),IF(AND($F92=2,$G92=1),QI92,0)))))</f>
        <v>0</v>
      </c>
      <c r="QL92" s="57" t="str">
        <f t="shared" si="665"/>
        <v/>
      </c>
      <c r="QM92" s="57" t="str">
        <f t="shared" si="666"/>
        <v/>
      </c>
      <c r="QN92" s="713">
        <f>'org. Düngung 22'!DT91</f>
        <v>0</v>
      </c>
      <c r="QO92" s="57"/>
      <c r="QP92" s="57"/>
      <c r="QQ92" s="57">
        <f t="shared" si="667"/>
        <v>0</v>
      </c>
      <c r="QR92" s="57">
        <f t="shared" si="826"/>
        <v>0</v>
      </c>
      <c r="QS92" s="57">
        <f t="shared" si="827"/>
        <v>0</v>
      </c>
      <c r="QT92" s="57">
        <f t="shared" si="828"/>
        <v>0</v>
      </c>
      <c r="QU92" s="57">
        <f t="shared" si="829"/>
        <v>0</v>
      </c>
      <c r="QV92" s="1029">
        <f t="shared" si="668"/>
        <v>0</v>
      </c>
      <c r="QW92" s="57">
        <f t="shared" si="669"/>
        <v>0</v>
      </c>
      <c r="QX92" s="171" t="str">
        <f t="shared" si="670"/>
        <v/>
      </c>
      <c r="QY92" s="57">
        <f t="shared" si="830"/>
        <v>0</v>
      </c>
      <c r="QZ92" s="57">
        <f>IF(OR(AND(QN$6=1,$L92=0),AND(QN$6=2,$K92=2,$G92=1)),0,IF(AND(QP$9=2,(OR($F92&gt;1,$K92=1,AND($L92=80,OR($N92=1,AND($N92=2,'#BerechnungDBE'!$AL83&gt;0)))))),IF(QN$4&gt;=$AD$126,0,QX92),IF(QP$9=3,IF(OR(QN$4&gt;=$AD$127,AND($G92=1,$J92=2,QN$6=2),AND(QN$6=1,$N92&lt;&gt;1)),0,IF(QR92&lt;=120,QX92,IF(QN$4&lt;$AD$124,IF($F92=1,60/QP$4*QP$6,60/QP$4*QP$7),IF($F92=1,120/QP$4*QP$6,120/QP$4*QP$7)))),IF(OR($F92=3,$G92=2),IF(OR(AND(QN$4&gt;=$AD$119,$C92=2),AND(QN$4&gt;=$AF$119,$C92=1)),0,IF(QR92&lt;=60,QX92,60/QP$4*QP$7)),IF(AND($F92=2,$G92=1),QX92,0)))))</f>
        <v>0</v>
      </c>
      <c r="RA92" s="57" t="str">
        <f t="shared" si="671"/>
        <v/>
      </c>
      <c r="RB92" s="57" t="str">
        <f t="shared" si="672"/>
        <v/>
      </c>
      <c r="RC92" s="713">
        <f>'org. Düngung 22'!DX91</f>
        <v>0</v>
      </c>
      <c r="RD92" s="57"/>
      <c r="RE92" s="57"/>
      <c r="RF92" s="57">
        <f t="shared" si="673"/>
        <v>0</v>
      </c>
      <c r="RG92" s="57">
        <f t="shared" si="831"/>
        <v>0</v>
      </c>
      <c r="RH92" s="57">
        <f t="shared" si="832"/>
        <v>0</v>
      </c>
      <c r="RI92" s="57">
        <f t="shared" si="833"/>
        <v>0</v>
      </c>
      <c r="RJ92" s="57">
        <f t="shared" si="834"/>
        <v>0</v>
      </c>
      <c r="RK92" s="1029">
        <f t="shared" si="674"/>
        <v>0</v>
      </c>
      <c r="RL92" s="57">
        <f t="shared" si="675"/>
        <v>0</v>
      </c>
      <c r="RM92" s="171" t="str">
        <f t="shared" si="676"/>
        <v/>
      </c>
      <c r="RN92" s="57">
        <f t="shared" si="835"/>
        <v>0</v>
      </c>
      <c r="RO92" s="57">
        <f>IF(OR(AND(RC$6=1,$L92=0),AND(RC$6=2,$K92=2,$G92=1)),0,IF(AND(RE$9=2,(OR($F92&gt;1,$K92=1,AND($L92=80,OR($N92=1,AND($N92=2,'#BerechnungDBE'!$AL83&gt;0)))))),IF(RC$4&gt;=$AD$126,0,RM92),IF(RE$9=3,IF(OR(RC$4&gt;=$AD$127,AND($G92=1,$J92=2,RC$6=2),AND(RC$6=1,$N92&lt;&gt;1)),0,IF(RG92&lt;=120,RM92,IF(RC$4&lt;$AD$124,IF($F92=1,60/RE$4*RE$6,60/RE$4*RE$7),IF($F92=1,120/RE$4*RE$6,120/RE$4*RE$7)))),IF(OR($F92=3,$G92=2),IF(OR(AND(RC$4&gt;=$AD$119,$C92=2),AND(RC$4&gt;=$AF$119,$C92=1)),0,IF(RG92&lt;=60,RM92,60/RE$4*RE$7)),IF(AND($F92=2,$G92=1),RM92,0)))))</f>
        <v>0</v>
      </c>
      <c r="RP92" s="57" t="str">
        <f t="shared" si="677"/>
        <v/>
      </c>
      <c r="RQ92" s="57" t="str">
        <f t="shared" si="678"/>
        <v/>
      </c>
      <c r="RS92" s="57" t="str">
        <f t="shared" si="836"/>
        <v/>
      </c>
      <c r="RT92" s="57" t="str">
        <f t="shared" si="679"/>
        <v/>
      </c>
      <c r="RU92" s="57" t="str">
        <f t="shared" si="680"/>
        <v/>
      </c>
      <c r="RV92" s="57" t="str">
        <f>IF(Z92&gt;'#BerechnungDBE'!BM83,$RV$9,"")</f>
        <v/>
      </c>
      <c r="RW92" s="57" t="str">
        <f>IF(AND(L92=70,AE92&gt;'#BerechnungDBE'!CQ83),$RW$9,"")</f>
        <v/>
      </c>
      <c r="RX92" s="57" t="str">
        <f>IF(OR('org. Düngung 22'!G91="--",'org. Düngung 22'!G91&lt;=170,'org. Düngung 22'!G91=""),"",$RX$9)</f>
        <v/>
      </c>
      <c r="RY92" s="57" t="str">
        <f>IF('org. Düngung 22'!K91&gt;120,'#orgDung'!$RY$9,"")</f>
        <v/>
      </c>
      <c r="RZ92" s="57" t="str">
        <f>IF('#BerechnungDBE'!P83&lt;4,"",IF(AND('#BerechnungDBE'!BZ83&gt;0,T92&gt;0),'#orgDung'!$RZ$9,""))</f>
        <v/>
      </c>
      <c r="SA92" s="57" t="str">
        <f t="shared" si="681"/>
        <v/>
      </c>
    </row>
    <row r="93" spans="1:495" s="875" customFormat="1" x14ac:dyDescent="0.2">
      <c r="A93" s="875">
        <f>'Flächen u. Kulturen'!A89</f>
        <v>80</v>
      </c>
      <c r="B93" s="367">
        <f>'#BerechnungDBE'!L84</f>
        <v>0</v>
      </c>
      <c r="C93" s="875">
        <f>'#BerechnungDBE'!R84</f>
        <v>1</v>
      </c>
      <c r="D93" s="875">
        <f>'#BerechnungDBE'!T84</f>
        <v>2</v>
      </c>
      <c r="E93" s="875" t="str">
        <f>'Flächen u. Kulturen'!E89</f>
        <v>x</v>
      </c>
      <c r="F93" s="52">
        <f>'#BerechnungDBE'!N84</f>
        <v>1</v>
      </c>
      <c r="G93" s="52">
        <f>'#BerechnungDBE'!O84</f>
        <v>1</v>
      </c>
      <c r="H93" s="875">
        <f>IF('Flächen u. Kulturen'!P89="",0,VLOOKUP('Flächen u. Kulturen'!P89,Kulturen[[HF]:[Berechnungsgruppe]],'#Frucht'!$H$1,FALSE))</f>
        <v>0</v>
      </c>
      <c r="I93" s="875">
        <f>IF('Flächen u. Kulturen'!J89="",0,VLOOKUP('Flächen u. Kulturen'!J89,Kulturen[[HF]:[Berechnungsgruppe]],'#Frucht'!$G$1,FALSE))</f>
        <v>90</v>
      </c>
      <c r="J93" s="505">
        <f t="shared" si="682"/>
        <v>2</v>
      </c>
      <c r="K93" s="505">
        <f>IF('Flächen u. Kulturen'!P89="",0,IF(VLOOKUP('Flächen u. Kulturen'!P89,Kulturen[[HF]:[Saat Winterungen]],'#Frucht'!$P$1,FALSE)&gt;0,1,2))</f>
        <v>2</v>
      </c>
      <c r="L93" s="875">
        <f>'#BerechnungDBE'!AF84</f>
        <v>0</v>
      </c>
      <c r="M93" s="875">
        <f>IF('Flächen u. Kulturen'!L89="",0,VLOOKUP('Flächen u. Kulturen'!L89,Nebenkultur[[Nebenkultur]:[Legum. Zwischenfr.]],'#Zweitfr'!$K$1,FALSE))</f>
        <v>0</v>
      </c>
      <c r="N93" s="875">
        <f>'#BerechnungDBE'!AG84</f>
        <v>0</v>
      </c>
      <c r="P93" s="57">
        <f t="shared" si="489"/>
        <v>0</v>
      </c>
      <c r="Q93" s="57">
        <f t="shared" si="490"/>
        <v>0</v>
      </c>
      <c r="R93" s="875">
        <f t="shared" si="491"/>
        <v>0</v>
      </c>
      <c r="S93" s="938" t="str">
        <f t="shared" si="683"/>
        <v/>
      </c>
      <c r="T93" s="875">
        <f t="shared" si="492"/>
        <v>0</v>
      </c>
      <c r="U93" s="875">
        <f t="shared" si="493"/>
        <v>0</v>
      </c>
      <c r="V93" s="875">
        <f t="shared" si="494"/>
        <v>0</v>
      </c>
      <c r="W93" s="875">
        <f t="shared" si="495"/>
        <v>0</v>
      </c>
      <c r="X93" s="875">
        <f t="shared" si="496"/>
        <v>0</v>
      </c>
      <c r="Y93" s="875">
        <f t="shared" si="837"/>
        <v>0</v>
      </c>
      <c r="Z93" s="875">
        <f t="shared" si="838"/>
        <v>0</v>
      </c>
      <c r="AA93" s="910">
        <f t="shared" si="497"/>
        <v>0</v>
      </c>
      <c r="AB93" s="57">
        <f t="shared" si="839"/>
        <v>0</v>
      </c>
      <c r="AC93" s="875">
        <f t="shared" si="498"/>
        <v>0</v>
      </c>
      <c r="AD93" s="875">
        <f t="shared" si="499"/>
        <v>0</v>
      </c>
      <c r="AE93" s="875">
        <f t="shared" si="500"/>
        <v>0</v>
      </c>
      <c r="AF93" s="875">
        <f t="shared" si="840"/>
        <v>0</v>
      </c>
      <c r="AG93" s="875">
        <f>'org. Düngung 22'!J92</f>
        <v>0</v>
      </c>
      <c r="AH93" s="875">
        <f>'org. Düngung 22'!K92</f>
        <v>0</v>
      </c>
      <c r="AJ93" s="713">
        <f>'org. Düngung 22'!L92</f>
        <v>0</v>
      </c>
      <c r="AK93" s="57"/>
      <c r="AL93" s="57"/>
      <c r="AM93" s="57">
        <f t="shared" si="684"/>
        <v>0</v>
      </c>
      <c r="AN93" s="57">
        <f t="shared" si="685"/>
        <v>0</v>
      </c>
      <c r="AO93" s="57">
        <f t="shared" si="686"/>
        <v>0</v>
      </c>
      <c r="AP93" s="57">
        <f t="shared" si="687"/>
        <v>0</v>
      </c>
      <c r="AQ93" s="57">
        <f t="shared" si="688"/>
        <v>0</v>
      </c>
      <c r="AR93" s="1029">
        <f t="shared" si="501"/>
        <v>0</v>
      </c>
      <c r="AS93" s="57">
        <f t="shared" si="502"/>
        <v>0</v>
      </c>
      <c r="AT93" s="171" t="str">
        <f t="shared" si="503"/>
        <v/>
      </c>
      <c r="AU93" s="57">
        <f t="shared" si="689"/>
        <v>0</v>
      </c>
      <c r="AV93" s="57">
        <f>IF(OR(AND(AJ$6=1,$L93=0),AND(AJ$6=2,$K93=2,$G93=1)),0,IF(AND(AL$9=2,(OR($F93&gt;1,$K93=1,AND($L93=80,OR($N93=1,AND($N93=2,'#BerechnungDBE'!$AL84&gt;0)))))),IF(AJ$4&gt;=$AD$126,0,AT93),IF(AL$9=3,IF(OR(AJ$4&gt;=$AD$127,AND($G93=1,$J93=2,AJ$6=2),AND(AJ$6=1,$N93&lt;&gt;1)),0,IF(AN93&lt;=120,AT93,IF(AJ$4&lt;$AD$124,IF($F93=1,60/AL$4*AL$6,60/AL$4*AL$7),IF($F93=1,120/AL$4*AL$6,120/AL$4*AL$7)))),IF(OR($F93=3,$G93=2),IF(OR(AND(AJ$4&gt;=$AD$119,$C93=2),AND(AJ$4&gt;=$AF$119,$C93=1)),0,IF(AN93&lt;=60,AT93,60/AL$4*AL$7)),IF(AND($F93=2,$G93=1),AT93,0)))))</f>
        <v>0</v>
      </c>
      <c r="AW93" s="57" t="str">
        <f t="shared" si="690"/>
        <v/>
      </c>
      <c r="AX93" s="57" t="str">
        <f t="shared" si="504"/>
        <v/>
      </c>
      <c r="AY93" s="713">
        <f>'org. Düngung 22'!P92</f>
        <v>0</v>
      </c>
      <c r="AZ93" s="57"/>
      <c r="BA93" s="57"/>
      <c r="BB93" s="57">
        <f t="shared" si="505"/>
        <v>0</v>
      </c>
      <c r="BC93" s="57">
        <f t="shared" si="691"/>
        <v>0</v>
      </c>
      <c r="BD93" s="57">
        <f t="shared" si="692"/>
        <v>0</v>
      </c>
      <c r="BE93" s="57">
        <f t="shared" si="693"/>
        <v>0</v>
      </c>
      <c r="BF93" s="57">
        <f t="shared" si="694"/>
        <v>0</v>
      </c>
      <c r="BG93" s="1029">
        <f t="shared" si="506"/>
        <v>0</v>
      </c>
      <c r="BH93" s="57">
        <f t="shared" si="507"/>
        <v>0</v>
      </c>
      <c r="BI93" s="171" t="str">
        <f t="shared" si="508"/>
        <v/>
      </c>
      <c r="BJ93" s="57">
        <f t="shared" si="695"/>
        <v>0</v>
      </c>
      <c r="BK93" s="57">
        <f>IF(OR(AND(AY$6=1,$L93=0),AND(AY$6=2,$K93=2,$G93=1)),0,IF(AND(BA$9=2,(OR($F93&gt;1,$K93=1,AND($L93=80,OR($N93=1,AND($N93=2,'#BerechnungDBE'!$AL84&gt;0)))))),IF(AY$4&gt;=$AD$126,0,BI93),IF(BA$9=3,IF(OR(AY$4&gt;=$AD$127,AND($G93=1,$J93=2,AY$6=2),AND(AY$6=1,$N93&lt;&gt;1)),0,IF(BC93&lt;=120,BI93,IF(AY$4&lt;$AD$124,IF($F93=1,60/BA$4*BA$6,60/BA$4*BA$7),IF($F93=1,120/BA$4*BA$6,120/BA$4*BA$7)))),IF(OR($F93=3,$G93=2),IF(OR(AND(AY$4&gt;=$AD$119,$C93=2),AND(AY$4&gt;=$AF$119,$C93=1)),0,IF(BC93&lt;=60,BI93,60/BA$4*BA$7)),IF(AND($F93=2,$G93=1),BI93,0)))))</f>
        <v>0</v>
      </c>
      <c r="BL93" s="57" t="str">
        <f t="shared" si="509"/>
        <v/>
      </c>
      <c r="BM93" s="57" t="str">
        <f t="shared" si="510"/>
        <v/>
      </c>
      <c r="BN93" s="713">
        <f>'org. Düngung 22'!T92</f>
        <v>0</v>
      </c>
      <c r="BO93" s="57"/>
      <c r="BP93" s="57"/>
      <c r="BQ93" s="57">
        <f t="shared" si="511"/>
        <v>0</v>
      </c>
      <c r="BR93" s="57">
        <f t="shared" si="696"/>
        <v>0</v>
      </c>
      <c r="BS93" s="57">
        <f t="shared" si="697"/>
        <v>0</v>
      </c>
      <c r="BT93" s="57">
        <f t="shared" si="698"/>
        <v>0</v>
      </c>
      <c r="BU93" s="57">
        <f t="shared" si="699"/>
        <v>0</v>
      </c>
      <c r="BV93" s="1029">
        <f t="shared" si="512"/>
        <v>0</v>
      </c>
      <c r="BW93" s="57">
        <f t="shared" si="513"/>
        <v>0</v>
      </c>
      <c r="BX93" s="171" t="str">
        <f t="shared" si="514"/>
        <v/>
      </c>
      <c r="BY93" s="57">
        <f t="shared" si="700"/>
        <v>0</v>
      </c>
      <c r="BZ93" s="57">
        <f>IF(OR(AND(BN$6=1,$L93=0),AND(BN$6=2,$K93=2,$G93=1)),0,IF(AND(BP$9=2,(OR($F93&gt;1,$K93=1,AND($L93=80,OR($N93=1,AND($N93=2,'#BerechnungDBE'!$AL84&gt;0)))))),IF(BN$4&gt;=$AD$126,0,BX93),IF(BP$9=3,IF(OR(BN$4&gt;=$AD$127,AND($G93=1,$J93=2,BN$6=2),AND(BN$6=1,$N93&lt;&gt;1)),0,IF(BR93&lt;=120,BX93,IF(BN$4&lt;$AD$124,IF($F93=1,60/BP$4*BP$6,60/BP$4*BP$7),IF($F93=1,120/BP$4*BP$6,120/BP$4*BP$7)))),IF(OR($F93=3,$G93=2),IF(OR(AND(BN$4&gt;=$AD$119,$C93=2),AND(BN$4&gt;=$AF$119,$C93=1)),0,IF(BR93&lt;=60,BX93,60/BP$4*BP$7)),IF(AND($F93=2,$G93=1),BX93,0)))))</f>
        <v>0</v>
      </c>
      <c r="CA93" s="57" t="str">
        <f t="shared" si="515"/>
        <v/>
      </c>
      <c r="CB93" s="57" t="str">
        <f t="shared" si="516"/>
        <v/>
      </c>
      <c r="CC93" s="713">
        <f>'org. Düngung 22'!X92</f>
        <v>0</v>
      </c>
      <c r="CD93" s="57"/>
      <c r="CE93" s="57"/>
      <c r="CF93" s="57">
        <f t="shared" si="517"/>
        <v>0</v>
      </c>
      <c r="CG93" s="57">
        <f t="shared" si="701"/>
        <v>0</v>
      </c>
      <c r="CH93" s="57">
        <f t="shared" si="702"/>
        <v>0</v>
      </c>
      <c r="CI93" s="57">
        <f t="shared" si="703"/>
        <v>0</v>
      </c>
      <c r="CJ93" s="57">
        <f t="shared" si="704"/>
        <v>0</v>
      </c>
      <c r="CK93" s="1029">
        <f t="shared" si="518"/>
        <v>0</v>
      </c>
      <c r="CL93" s="57">
        <f t="shared" si="519"/>
        <v>0</v>
      </c>
      <c r="CM93" s="171" t="str">
        <f t="shared" si="520"/>
        <v/>
      </c>
      <c r="CN93" s="57">
        <f t="shared" si="705"/>
        <v>0</v>
      </c>
      <c r="CO93" s="57">
        <f>IF(OR(AND(CC$6=1,$L93=0),AND(CC$6=2,$K93=2,$G93=1)),0,IF(AND(CE$9=2,(OR($F93&gt;1,$K93=1,AND($L93=80,OR($N93=1,AND($N93=2,'#BerechnungDBE'!$AL84&gt;0)))))),IF(CC$4&gt;=$AD$126,0,CM93),IF(CE$9=3,IF(OR(CC$4&gt;=$AD$127,AND($G93=1,$J93=2,CC$6=2),AND(CC$6=1,$N93&lt;&gt;1)),0,IF(CG93&lt;=120,CM93,IF(CC$4&lt;$AD$124,IF($F93=1,60/CE$4*CE$6,60/CE$4*CE$7),IF($F93=1,120/CE$4*CE$6,120/CE$4*CE$7)))),IF(OR($F93=3,$G93=2),IF(OR(AND(CC$4&gt;=$AD$119,$C93=2),AND(CC$4&gt;=$AF$119,$C93=1)),0,IF(CG93&lt;=60,CM93,60/CE$4*CE$7)),IF(AND($F93=2,$G93=1),CM93,0)))))</f>
        <v>0</v>
      </c>
      <c r="CP93" s="57" t="str">
        <f t="shared" si="521"/>
        <v/>
      </c>
      <c r="CQ93" s="57" t="str">
        <f t="shared" si="522"/>
        <v/>
      </c>
      <c r="CR93" s="713">
        <f>'org. Düngung 22'!AB92</f>
        <v>0</v>
      </c>
      <c r="CS93" s="57"/>
      <c r="CT93" s="57"/>
      <c r="CU93" s="57">
        <f t="shared" si="523"/>
        <v>0</v>
      </c>
      <c r="CV93" s="57">
        <f t="shared" si="706"/>
        <v>0</v>
      </c>
      <c r="CW93" s="57">
        <f t="shared" si="707"/>
        <v>0</v>
      </c>
      <c r="CX93" s="57">
        <f t="shared" si="708"/>
        <v>0</v>
      </c>
      <c r="CY93" s="57">
        <f t="shared" si="709"/>
        <v>0</v>
      </c>
      <c r="CZ93" s="1029">
        <f t="shared" si="524"/>
        <v>0</v>
      </c>
      <c r="DA93" s="57">
        <f t="shared" si="525"/>
        <v>0</v>
      </c>
      <c r="DB93" s="171" t="str">
        <f t="shared" si="526"/>
        <v/>
      </c>
      <c r="DC93" s="57">
        <f t="shared" si="710"/>
        <v>0</v>
      </c>
      <c r="DD93" s="57">
        <f>IF(OR(AND(CR$6=1,$L93=0),AND(CR$6=2,$K93=2,$G93=1)),0,IF(AND(CT$9=2,(OR($F93&gt;1,$K93=1,AND($L93=80,OR($N93=1,AND($N93=2,'#BerechnungDBE'!$AL84&gt;0)))))),IF(CR$4&gt;=$AD$126,0,DB93),IF(CT$9=3,IF(OR(CR$4&gt;=$AD$127,AND($G93=1,$J93=2,CR$6=2),AND(CR$6=1,$N93&lt;&gt;1)),0,IF(CV93&lt;=120,DB93,IF(CR$4&lt;$AD$124,IF($F93=1,60/CT$4*CT$6,60/CT$4*CT$7),IF($F93=1,120/CT$4*CT$6,120/CT$4*CT$7)))),IF(OR($F93=3,$G93=2),IF(OR(AND(CR$4&gt;=$AD$119,$C93=2),AND(CR$4&gt;=$AF$119,$C93=1)),0,IF(CV93&lt;=60,DB93,60/CT$4*CT$7)),IF(AND($F93=2,$G93=1),DB93,0)))))</f>
        <v>0</v>
      </c>
      <c r="DE93" s="57" t="str">
        <f t="shared" si="527"/>
        <v/>
      </c>
      <c r="DF93" s="57" t="str">
        <f t="shared" si="528"/>
        <v/>
      </c>
      <c r="DG93" s="713">
        <f>'org. Düngung 22'!AF92</f>
        <v>0</v>
      </c>
      <c r="DH93" s="57"/>
      <c r="DI93" s="57"/>
      <c r="DJ93" s="57">
        <f t="shared" si="529"/>
        <v>0</v>
      </c>
      <c r="DK93" s="57">
        <f t="shared" si="711"/>
        <v>0</v>
      </c>
      <c r="DL93" s="57">
        <f t="shared" si="712"/>
        <v>0</v>
      </c>
      <c r="DM93" s="57">
        <f t="shared" si="713"/>
        <v>0</v>
      </c>
      <c r="DN93" s="57">
        <f t="shared" si="714"/>
        <v>0</v>
      </c>
      <c r="DO93" s="1029">
        <f t="shared" si="530"/>
        <v>0</v>
      </c>
      <c r="DP93" s="57">
        <f t="shared" si="531"/>
        <v>0</v>
      </c>
      <c r="DQ93" s="171" t="str">
        <f t="shared" si="532"/>
        <v/>
      </c>
      <c r="DR93" s="57">
        <f t="shared" si="715"/>
        <v>0</v>
      </c>
      <c r="DS93" s="57">
        <f>IF(OR(AND(DG$6=1,$L93=0),AND(DG$6=2,$K93=2,$G93=1)),0,IF(AND(DI$9=2,(OR($F93&gt;1,$K93=1,AND($L93=80,OR($N93=1,AND($N93=2,'#BerechnungDBE'!$AL84&gt;0)))))),IF(DG$4&gt;=$AD$126,0,DQ93),IF(DI$9=3,IF(OR(DG$4&gt;=$AD$127,AND($G93=1,$J93=2,DG$6=2),AND(DG$6=1,$N93&lt;&gt;1)),0,IF(DK93&lt;=120,DQ93,IF(DG$4&lt;$AD$124,IF($F93=1,60/DI$4*DI$6,60/DI$4*DI$7),IF($F93=1,120/DI$4*DI$6,120/DI$4*DI$7)))),IF(OR($F93=3,$G93=2),IF(OR(AND(DG$4&gt;=$AD$119,$C93=2),AND(DG$4&gt;=$AF$119,$C93=1)),0,IF(DK93&lt;=60,DQ93,60/DI$4*DI$7)),IF(AND($F93=2,$G93=1),DQ93,0)))))</f>
        <v>0</v>
      </c>
      <c r="DT93" s="57" t="str">
        <f t="shared" si="533"/>
        <v/>
      </c>
      <c r="DU93" s="57" t="str">
        <f t="shared" si="534"/>
        <v/>
      </c>
      <c r="DV93" s="713">
        <f>'org. Düngung 22'!AJ92</f>
        <v>0</v>
      </c>
      <c r="DW93" s="57"/>
      <c r="DX93" s="57"/>
      <c r="DY93" s="57">
        <f t="shared" si="535"/>
        <v>0</v>
      </c>
      <c r="DZ93" s="57">
        <f t="shared" si="716"/>
        <v>0</v>
      </c>
      <c r="EA93" s="57">
        <f t="shared" si="717"/>
        <v>0</v>
      </c>
      <c r="EB93" s="57">
        <f t="shared" si="718"/>
        <v>0</v>
      </c>
      <c r="EC93" s="57">
        <f t="shared" si="719"/>
        <v>0</v>
      </c>
      <c r="ED93" s="1029">
        <f t="shared" si="536"/>
        <v>0</v>
      </c>
      <c r="EE93" s="57">
        <f t="shared" si="537"/>
        <v>0</v>
      </c>
      <c r="EF93" s="171" t="str">
        <f t="shared" si="538"/>
        <v/>
      </c>
      <c r="EG93" s="57">
        <f t="shared" si="720"/>
        <v>0</v>
      </c>
      <c r="EH93" s="57">
        <f>IF(OR(AND(DV$6=1,$L93=0),AND(DV$6=2,$K93=2,$G93=1)),0,IF(AND(DX$9=2,(OR($F93&gt;1,$K93=1,AND($L93=80,OR($N93=1,AND($N93=2,'#BerechnungDBE'!$AL84&gt;0)))))),IF(DV$4&gt;=$AD$126,0,EF93),IF(DX$9=3,IF(OR(DV$4&gt;=$AD$127,AND($G93=1,$J93=2,DV$6=2),AND(DV$6=1,$N93&lt;&gt;1)),0,IF(DZ93&lt;=120,EF93,IF(DV$4&lt;$AD$124,IF($F93=1,60/DX$4*DX$6,60/DX$4*DX$7),IF($F93=1,120/DX$4*DX$6,120/DX$4*DX$7)))),IF(OR($F93=3,$G93=2),IF(OR(AND(DV$4&gt;=$AD$119,$C93=2),AND(DV$4&gt;=$AF$119,$C93=1)),0,IF(DZ93&lt;=60,EF93,60/DX$4*DX$7)),IF(AND($F93=2,$G93=1),EF93,0)))))</f>
        <v>0</v>
      </c>
      <c r="EI93" s="57" t="str">
        <f t="shared" si="539"/>
        <v/>
      </c>
      <c r="EJ93" s="57" t="str">
        <f t="shared" si="540"/>
        <v/>
      </c>
      <c r="EK93" s="713">
        <f>'org. Düngung 22'!AN92</f>
        <v>0</v>
      </c>
      <c r="EL93" s="57"/>
      <c r="EM93" s="57"/>
      <c r="EN93" s="57">
        <f t="shared" si="541"/>
        <v>0</v>
      </c>
      <c r="EO93" s="57">
        <f t="shared" si="721"/>
        <v>0</v>
      </c>
      <c r="EP93" s="57">
        <f t="shared" si="722"/>
        <v>0</v>
      </c>
      <c r="EQ93" s="57">
        <f t="shared" si="723"/>
        <v>0</v>
      </c>
      <c r="ER93" s="57">
        <f t="shared" si="724"/>
        <v>0</v>
      </c>
      <c r="ES93" s="1029">
        <f t="shared" si="542"/>
        <v>0</v>
      </c>
      <c r="ET93" s="57">
        <f t="shared" si="543"/>
        <v>0</v>
      </c>
      <c r="EU93" s="171" t="str">
        <f t="shared" si="544"/>
        <v/>
      </c>
      <c r="EV93" s="57">
        <f t="shared" si="725"/>
        <v>0</v>
      </c>
      <c r="EW93" s="57">
        <f>IF(OR(AND(EK$6=1,$L93=0),AND(EK$6=2,$K93=2,$G93=1)),0,IF(AND(EM$9=2,(OR($F93&gt;1,$K93=1,AND($L93=80,OR($N93=1,AND($N93=2,'#BerechnungDBE'!$AL84&gt;0)))))),IF(EK$4&gt;=$AD$126,0,EU93),IF(EM$9=3,IF(OR(EK$4&gt;=$AD$127,AND($G93=1,$J93=2,EK$6=2),AND(EK$6=1,$N93&lt;&gt;1)),0,IF(EO93&lt;=120,EU93,IF(EK$4&lt;$AD$124,IF($F93=1,60/EM$4*EM$6,60/EM$4*EM$7),IF($F93=1,120/EM$4*EM$6,120/EM$4*EM$7)))),IF(OR($F93=3,$G93=2),IF(OR(AND(EK$4&gt;=$AD$119,$C93=2),AND(EK$4&gt;=$AF$119,$C93=1)),0,IF(EO93&lt;=60,EU93,60/EM$4*EM$7)),IF(AND($F93=2,$G93=1),EU93,0)))))</f>
        <v>0</v>
      </c>
      <c r="EX93" s="57" t="str">
        <f t="shared" si="545"/>
        <v/>
      </c>
      <c r="EY93" s="57" t="str">
        <f t="shared" si="546"/>
        <v/>
      </c>
      <c r="EZ93" s="713">
        <f>'org. Düngung 22'!AR92</f>
        <v>0</v>
      </c>
      <c r="FA93" s="57"/>
      <c r="FB93" s="57"/>
      <c r="FC93" s="57">
        <f t="shared" si="547"/>
        <v>0</v>
      </c>
      <c r="FD93" s="57">
        <f t="shared" si="726"/>
        <v>0</v>
      </c>
      <c r="FE93" s="57">
        <f t="shared" si="727"/>
        <v>0</v>
      </c>
      <c r="FF93" s="57">
        <f t="shared" si="728"/>
        <v>0</v>
      </c>
      <c r="FG93" s="57">
        <f t="shared" si="729"/>
        <v>0</v>
      </c>
      <c r="FH93" s="1029">
        <f t="shared" si="548"/>
        <v>0</v>
      </c>
      <c r="FI93" s="57">
        <f t="shared" si="549"/>
        <v>0</v>
      </c>
      <c r="FJ93" s="171" t="str">
        <f t="shared" si="550"/>
        <v/>
      </c>
      <c r="FK93" s="57">
        <f t="shared" si="730"/>
        <v>0</v>
      </c>
      <c r="FL93" s="57">
        <f>IF(OR(AND(EZ$6=1,$L93=0),AND(EZ$6=2,$K93=2,$G93=1)),0,IF(AND(FB$9=2,(OR($F93&gt;1,$K93=1,AND($L93=80,OR($N93=1,AND($N93=2,'#BerechnungDBE'!$AL84&gt;0)))))),IF(EZ$4&gt;=$AD$126,0,FJ93),IF(FB$9=3,IF(OR(EZ$4&gt;=$AD$127,AND($G93=1,$J93=2,EZ$6=2),AND(EZ$6=1,$N93&lt;&gt;1)),0,IF(FD93&lt;=120,FJ93,IF(EZ$4&lt;$AD$124,IF($F93=1,60/FB$4*FB$6,60/FB$4*FB$7),IF($F93=1,120/FB$4*FB$6,120/FB$4*FB$7)))),IF(OR($F93=3,$G93=2),IF(OR(AND(EZ$4&gt;=$AD$119,$C93=2),AND(EZ$4&gt;=$AF$119,$C93=1)),0,IF(FD93&lt;=60,FJ93,60/FB$4*FB$7)),IF(AND($F93=2,$G93=1),FJ93,0)))))</f>
        <v>0</v>
      </c>
      <c r="FM93" s="57" t="str">
        <f t="shared" si="551"/>
        <v/>
      </c>
      <c r="FN93" s="57" t="str">
        <f t="shared" si="552"/>
        <v/>
      </c>
      <c r="FO93" s="713">
        <f>'org. Düngung 22'!AV92</f>
        <v>0</v>
      </c>
      <c r="FP93" s="57"/>
      <c r="FQ93" s="57"/>
      <c r="FR93" s="57">
        <f t="shared" si="553"/>
        <v>0</v>
      </c>
      <c r="FS93" s="57">
        <f t="shared" si="731"/>
        <v>0</v>
      </c>
      <c r="FT93" s="57">
        <f t="shared" si="732"/>
        <v>0</v>
      </c>
      <c r="FU93" s="57">
        <f t="shared" si="733"/>
        <v>0</v>
      </c>
      <c r="FV93" s="57">
        <f t="shared" si="734"/>
        <v>0</v>
      </c>
      <c r="FW93" s="1029">
        <f t="shared" si="554"/>
        <v>0</v>
      </c>
      <c r="FX93" s="57">
        <f t="shared" si="555"/>
        <v>0</v>
      </c>
      <c r="FY93" s="171" t="str">
        <f t="shared" si="556"/>
        <v/>
      </c>
      <c r="FZ93" s="57">
        <f t="shared" si="735"/>
        <v>0</v>
      </c>
      <c r="GA93" s="57">
        <f>IF(OR(AND(FO$6=1,$L93=0),AND(FO$6=2,$K93=2,$G93=1)),0,IF(AND(FQ$9=2,(OR($F93&gt;1,$K93=1,AND($L93=80,OR($N93=1,AND($N93=2,'#BerechnungDBE'!$AL84&gt;0)))))),IF(FO$4&gt;=$AD$126,0,FY93),IF(FQ$9=3,IF(OR(FO$4&gt;=$AD$127,AND($G93=1,$J93=2,FO$6=2),AND(FO$6=1,$N93&lt;&gt;1)),0,IF(FS93&lt;=120,FY93,IF(FO$4&lt;$AD$124,IF($F93=1,60/FQ$4*FQ$6,60/FQ$4*FQ$7),IF($F93=1,120/FQ$4*FQ$6,120/FQ$4*FQ$7)))),IF(OR($F93=3,$G93=2),IF(OR(AND(FO$4&gt;=$AD$119,$C93=2),AND(FO$4&gt;=$AF$119,$C93=1)),0,IF(FS93&lt;=60,FY93,60/FQ$4*FQ$7)),IF(AND($F93=2,$G93=1),FY93,0)))))</f>
        <v>0</v>
      </c>
      <c r="GB93" s="57" t="str">
        <f t="shared" si="557"/>
        <v/>
      </c>
      <c r="GC93" s="57" t="str">
        <f t="shared" si="558"/>
        <v/>
      </c>
      <c r="GD93" s="713">
        <f>'org. Düngung 22'!AZ92</f>
        <v>0</v>
      </c>
      <c r="GE93" s="57"/>
      <c r="GF93" s="57"/>
      <c r="GG93" s="57">
        <f t="shared" si="559"/>
        <v>0</v>
      </c>
      <c r="GH93" s="57">
        <f t="shared" si="736"/>
        <v>0</v>
      </c>
      <c r="GI93" s="57">
        <f t="shared" si="737"/>
        <v>0</v>
      </c>
      <c r="GJ93" s="57">
        <f t="shared" si="738"/>
        <v>0</v>
      </c>
      <c r="GK93" s="57">
        <f t="shared" si="739"/>
        <v>0</v>
      </c>
      <c r="GL93" s="1029">
        <f t="shared" si="560"/>
        <v>0</v>
      </c>
      <c r="GM93" s="57">
        <f t="shared" si="561"/>
        <v>0</v>
      </c>
      <c r="GN93" s="171" t="str">
        <f t="shared" si="562"/>
        <v/>
      </c>
      <c r="GO93" s="57">
        <f t="shared" si="740"/>
        <v>0</v>
      </c>
      <c r="GP93" s="57">
        <f>IF(OR(AND(GD$6=1,$L93=0),AND(GD$6=2,$K93=2,$G93=1)),0,IF(AND(GF$9=2,(OR($F93&gt;1,$K93=1,AND($L93=80,OR($N93=1,AND($N93=2,'#BerechnungDBE'!$AL84&gt;0)))))),IF(GD$4&gt;=$AD$126,0,GN93),IF(GF$9=3,IF(OR(GD$4&gt;=$AD$127,AND($G93=1,$J93=2,GD$6=2),AND(GD$6=1,$N93&lt;&gt;1)),0,IF(GH93&lt;=120,GN93,IF(GD$4&lt;$AD$124,IF($F93=1,60/GF$4*GF$6,60/GF$4*GF$7),IF($F93=1,120/GF$4*GF$6,120/GF$4*GF$7)))),IF(OR($F93=3,$G93=2),IF(OR(AND(GD$4&gt;=$AD$119,$C93=2),AND(GD$4&gt;=$AF$119,$C93=1)),0,IF(GH93&lt;=60,GN93,60/GF$4*GF$7)),IF(AND($F93=2,$G93=1),GN93,0)))))</f>
        <v>0</v>
      </c>
      <c r="GQ93" s="57" t="str">
        <f t="shared" si="563"/>
        <v/>
      </c>
      <c r="GR93" s="57" t="str">
        <f t="shared" si="564"/>
        <v/>
      </c>
      <c r="GS93" s="713">
        <f>'org. Düngung 22'!BD92</f>
        <v>0</v>
      </c>
      <c r="GT93" s="57"/>
      <c r="GU93" s="57"/>
      <c r="GV93" s="57">
        <f t="shared" si="565"/>
        <v>0</v>
      </c>
      <c r="GW93" s="57">
        <f t="shared" si="741"/>
        <v>0</v>
      </c>
      <c r="GX93" s="57">
        <f t="shared" si="742"/>
        <v>0</v>
      </c>
      <c r="GY93" s="57">
        <f t="shared" si="743"/>
        <v>0</v>
      </c>
      <c r="GZ93" s="57">
        <f t="shared" si="744"/>
        <v>0</v>
      </c>
      <c r="HA93" s="1029">
        <f t="shared" si="566"/>
        <v>0</v>
      </c>
      <c r="HB93" s="57">
        <f t="shared" si="567"/>
        <v>0</v>
      </c>
      <c r="HC93" s="171" t="str">
        <f t="shared" si="568"/>
        <v/>
      </c>
      <c r="HD93" s="57">
        <f t="shared" si="745"/>
        <v>0</v>
      </c>
      <c r="HE93" s="57">
        <f>IF(OR(AND(GS$6=1,$L93=0),AND(GS$6=2,$K93=2,$G93=1)),0,IF(AND(GU$9=2,(OR($F93&gt;1,$K93=1,AND($L93=80,OR($N93=1,AND($N93=2,'#BerechnungDBE'!$AL84&gt;0)))))),IF(GS$4&gt;=$AD$126,0,HC93),IF(GU$9=3,IF(OR(GS$4&gt;=$AD$127,AND($G93=1,$J93=2,GS$6=2),AND(GS$6=1,$N93&lt;&gt;1)),0,IF(GW93&lt;=120,HC93,IF(GS$4&lt;$AD$124,IF($F93=1,60/GU$4*GU$6,60/GU$4*GU$7),IF($F93=1,120/GU$4*GU$6,120/GU$4*GU$7)))),IF(OR($F93=3,$G93=2),IF(OR(AND(GS$4&gt;=$AD$119,$C93=2),AND(GS$4&gt;=$AF$119,$C93=1)),0,IF(GW93&lt;=60,HC93,60/GU$4*GU$7)),IF(AND($F93=2,$G93=1),HC93,0)))))</f>
        <v>0</v>
      </c>
      <c r="HF93" s="57" t="str">
        <f t="shared" si="569"/>
        <v/>
      </c>
      <c r="HG93" s="57" t="str">
        <f t="shared" si="570"/>
        <v/>
      </c>
      <c r="HH93" s="713">
        <f>'org. Düngung 22'!BH92</f>
        <v>0</v>
      </c>
      <c r="HI93" s="57"/>
      <c r="HJ93" s="57"/>
      <c r="HK93" s="57">
        <f t="shared" si="571"/>
        <v>0</v>
      </c>
      <c r="HL93" s="57">
        <f t="shared" si="746"/>
        <v>0</v>
      </c>
      <c r="HM93" s="57">
        <f t="shared" si="747"/>
        <v>0</v>
      </c>
      <c r="HN93" s="57">
        <f t="shared" si="748"/>
        <v>0</v>
      </c>
      <c r="HO93" s="57">
        <f t="shared" si="749"/>
        <v>0</v>
      </c>
      <c r="HP93" s="1029">
        <f t="shared" si="572"/>
        <v>0</v>
      </c>
      <c r="HQ93" s="57">
        <f t="shared" si="573"/>
        <v>0</v>
      </c>
      <c r="HR93" s="171" t="str">
        <f t="shared" si="574"/>
        <v/>
      </c>
      <c r="HS93" s="57">
        <f t="shared" si="750"/>
        <v>0</v>
      </c>
      <c r="HT93" s="57">
        <f>IF(OR(AND(HH$6=1,$L93=0),AND(HH$6=2,$K93=2,$G93=1)),0,IF(AND(HJ$9=2,(OR($F93&gt;1,$K93=1,AND($L93=80,OR($N93=1,AND($N93=2,'#BerechnungDBE'!$AL84&gt;0)))))),IF(HH$4&gt;=$AD$126,0,HR93),IF(HJ$9=3,IF(OR(HH$4&gt;=$AD$127,AND($G93=1,$J93=2,HH$6=2),AND(HH$6=1,$N93&lt;&gt;1)),0,IF(HL93&lt;=120,HR93,IF(HH$4&lt;$AD$124,IF($F93=1,60/HJ$4*HJ$6,60/HJ$4*HJ$7),IF($F93=1,120/HJ$4*HJ$6,120/HJ$4*HJ$7)))),IF(OR($F93=3,$G93=2),IF(OR(AND(HH$4&gt;=$AD$119,$C93=2),AND(HH$4&gt;=$AF$119,$C93=1)),0,IF(HL93&lt;=60,HR93,60/HJ$4*HJ$7)),IF(AND($F93=2,$G93=1),HR93,0)))))</f>
        <v>0</v>
      </c>
      <c r="HU93" s="57" t="str">
        <f t="shared" si="575"/>
        <v/>
      </c>
      <c r="HV93" s="57" t="str">
        <f t="shared" si="576"/>
        <v/>
      </c>
      <c r="HW93" s="713">
        <f>'org. Düngung 22'!BL92</f>
        <v>0</v>
      </c>
      <c r="HX93" s="57"/>
      <c r="HY93" s="57"/>
      <c r="HZ93" s="57">
        <f t="shared" si="577"/>
        <v>0</v>
      </c>
      <c r="IA93" s="57">
        <f t="shared" si="751"/>
        <v>0</v>
      </c>
      <c r="IB93" s="57">
        <f t="shared" si="752"/>
        <v>0</v>
      </c>
      <c r="IC93" s="57">
        <f t="shared" si="753"/>
        <v>0</v>
      </c>
      <c r="ID93" s="57">
        <f t="shared" si="754"/>
        <v>0</v>
      </c>
      <c r="IE93" s="1029">
        <f t="shared" si="578"/>
        <v>0</v>
      </c>
      <c r="IF93" s="57">
        <f t="shared" si="579"/>
        <v>0</v>
      </c>
      <c r="IG93" s="171" t="str">
        <f t="shared" si="580"/>
        <v/>
      </c>
      <c r="IH93" s="57">
        <f t="shared" si="755"/>
        <v>0</v>
      </c>
      <c r="II93" s="57">
        <f>IF(OR(AND(HW$6=1,$L93=0),AND(HW$6=2,$K93=2,$G93=1)),0,IF(AND(HY$9=2,(OR($F93&gt;1,$K93=1,AND($L93=80,OR($N93=1,AND($N93=2,'#BerechnungDBE'!$AL84&gt;0)))))),IF(HW$4&gt;=$AD$126,0,IG93),IF(HY$9=3,IF(OR(HW$4&gt;=$AD$127,AND($G93=1,$J93=2,HW$6=2),AND(HW$6=1,$N93&lt;&gt;1)),0,IF(IA93&lt;=120,IG93,IF(HW$4&lt;$AD$124,IF($F93=1,60/HY$4*HY$6,60/HY$4*HY$7),IF($F93=1,120/HY$4*HY$6,120/HY$4*HY$7)))),IF(OR($F93=3,$G93=2),IF(OR(AND(HW$4&gt;=$AD$119,$C93=2),AND(HW$4&gt;=$AF$119,$C93=1)),0,IF(IA93&lt;=60,IG93,60/HY$4*HY$7)),IF(AND($F93=2,$G93=1),IG93,0)))))</f>
        <v>0</v>
      </c>
      <c r="IJ93" s="57" t="str">
        <f t="shared" si="581"/>
        <v/>
      </c>
      <c r="IK93" s="57" t="str">
        <f t="shared" si="582"/>
        <v/>
      </c>
      <c r="IL93" s="713">
        <f>'org. Düngung 22'!BP92</f>
        <v>0</v>
      </c>
      <c r="IM93" s="57"/>
      <c r="IN93" s="57"/>
      <c r="IO93" s="57">
        <f t="shared" si="583"/>
        <v>0</v>
      </c>
      <c r="IP93" s="57">
        <f t="shared" si="756"/>
        <v>0</v>
      </c>
      <c r="IQ93" s="57">
        <f t="shared" si="757"/>
        <v>0</v>
      </c>
      <c r="IR93" s="57">
        <f t="shared" si="758"/>
        <v>0</v>
      </c>
      <c r="IS93" s="57">
        <f t="shared" si="759"/>
        <v>0</v>
      </c>
      <c r="IT93" s="1029">
        <f t="shared" si="584"/>
        <v>0</v>
      </c>
      <c r="IU93" s="57">
        <f t="shared" si="585"/>
        <v>0</v>
      </c>
      <c r="IV93" s="171" t="str">
        <f t="shared" si="586"/>
        <v/>
      </c>
      <c r="IW93" s="57">
        <f t="shared" si="760"/>
        <v>0</v>
      </c>
      <c r="IX93" s="57">
        <f>IF(OR(AND(IL$6=1,$L93=0),AND(IL$6=2,$K93=2,$G93=1)),0,IF(AND(IN$9=2,(OR($F93&gt;1,$K93=1,AND($L93=80,OR($N93=1,AND($N93=2,'#BerechnungDBE'!$AL84&gt;0)))))),IF(IL$4&gt;=$AD$126,0,IV93),IF(IN$9=3,IF(OR(IL$4&gt;=$AD$127,AND($G93=1,$J93=2,IL$6=2),AND(IL$6=1,$N93&lt;&gt;1)),0,IF(IP93&lt;=120,IV93,IF(IL$4&lt;$AD$124,IF($F93=1,60/IN$4*IN$6,60/IN$4*IN$7),IF($F93=1,120/IN$4*IN$6,120/IN$4*IN$7)))),IF(OR($F93=3,$G93=2),IF(OR(AND(IL$4&gt;=$AD$119,$C93=2),AND(IL$4&gt;=$AF$119,$C93=1)),0,IF(IP93&lt;=60,IV93,60/IN$4*IN$7)),IF(AND($F93=2,$G93=1),IV93,0)))))</f>
        <v>0</v>
      </c>
      <c r="IY93" s="57" t="str">
        <f t="shared" si="587"/>
        <v/>
      </c>
      <c r="IZ93" s="57" t="str">
        <f t="shared" si="588"/>
        <v/>
      </c>
      <c r="JA93" s="713">
        <f>'org. Düngung 22'!BT92</f>
        <v>0</v>
      </c>
      <c r="JB93" s="57"/>
      <c r="JC93" s="57"/>
      <c r="JD93" s="57">
        <f t="shared" si="589"/>
        <v>0</v>
      </c>
      <c r="JE93" s="57">
        <f t="shared" si="761"/>
        <v>0</v>
      </c>
      <c r="JF93" s="57">
        <f t="shared" si="762"/>
        <v>0</v>
      </c>
      <c r="JG93" s="57">
        <f t="shared" si="763"/>
        <v>0</v>
      </c>
      <c r="JH93" s="57">
        <f t="shared" si="764"/>
        <v>0</v>
      </c>
      <c r="JI93" s="1029">
        <f t="shared" si="590"/>
        <v>0</v>
      </c>
      <c r="JJ93" s="57">
        <f t="shared" si="591"/>
        <v>0</v>
      </c>
      <c r="JK93" s="171" t="str">
        <f t="shared" si="592"/>
        <v/>
      </c>
      <c r="JL93" s="57">
        <f t="shared" si="765"/>
        <v>0</v>
      </c>
      <c r="JM93" s="57">
        <f>IF(OR(AND(JA$6=1,$L93=0),AND(JA$6=2,$K93=2,$G93=1)),0,IF(AND(JC$9=2,(OR($F93&gt;1,$K93=1,AND($L93=80,OR($N93=1,AND($N93=2,'#BerechnungDBE'!$AL84&gt;0)))))),IF(JA$4&gt;=$AD$126,0,JK93),IF(JC$9=3,IF(OR(JA$4&gt;=$AD$127,AND($G93=1,$J93=2,JA$6=2),AND(JA$6=1,$N93&lt;&gt;1)),0,IF(JE93&lt;=120,JK93,IF(JA$4&lt;$AD$124,IF($F93=1,60/JC$4*JC$6,60/JC$4*JC$7),IF($F93=1,120/JC$4*JC$6,120/JC$4*JC$7)))),IF(OR($F93=3,$G93=2),IF(OR(AND(JA$4&gt;=$AD$119,$C93=2),AND(JA$4&gt;=$AF$119,$C93=1)),0,IF(JE93&lt;=60,JK93,60/JC$4*JC$7)),IF(AND($F93=2,$G93=1),JK93,0)))))</f>
        <v>0</v>
      </c>
      <c r="JN93" s="57" t="str">
        <f t="shared" si="593"/>
        <v/>
      </c>
      <c r="JO93" s="57" t="str">
        <f t="shared" si="594"/>
        <v/>
      </c>
      <c r="JP93" s="713">
        <f>'org. Düngung 22'!BX92</f>
        <v>0</v>
      </c>
      <c r="JQ93" s="57"/>
      <c r="JR93" s="57"/>
      <c r="JS93" s="57">
        <f t="shared" si="595"/>
        <v>0</v>
      </c>
      <c r="JT93" s="57">
        <f t="shared" si="766"/>
        <v>0</v>
      </c>
      <c r="JU93" s="57">
        <f t="shared" si="767"/>
        <v>0</v>
      </c>
      <c r="JV93" s="57">
        <f t="shared" si="768"/>
        <v>0</v>
      </c>
      <c r="JW93" s="57">
        <f t="shared" si="769"/>
        <v>0</v>
      </c>
      <c r="JX93" s="1029">
        <f t="shared" si="596"/>
        <v>0</v>
      </c>
      <c r="JY93" s="57">
        <f t="shared" si="597"/>
        <v>0</v>
      </c>
      <c r="JZ93" s="171" t="str">
        <f t="shared" si="598"/>
        <v/>
      </c>
      <c r="KA93" s="57">
        <f t="shared" si="770"/>
        <v>0</v>
      </c>
      <c r="KB93" s="57">
        <f>IF(OR(AND(JP$6=1,$L93=0),AND(JP$6=2,$K93=2,$G93=1)),0,IF(AND(JR$9=2,(OR($F93&gt;1,$K93=1,AND($L93=80,OR($N93=1,AND($N93=2,'#BerechnungDBE'!$AL84&gt;0)))))),IF(JP$4&gt;=$AD$126,0,JZ93),IF(JR$9=3,IF(OR(JP$4&gt;=$AD$127,AND($G93=1,$J93=2,JP$6=2),AND(JP$6=1,$N93&lt;&gt;1)),0,IF(JT93&lt;=120,JZ93,IF(JP$4&lt;$AD$124,IF($F93=1,60/JR$4*JR$6,60/JR$4*JR$7),IF($F93=1,120/JR$4*JR$6,120/JR$4*JR$7)))),IF(OR($F93=3,$G93=2),IF(OR(AND(JP$4&gt;=$AD$119,$C93=2),AND(JP$4&gt;=$AF$119,$C93=1)),0,IF(JT93&lt;=60,JZ93,60/JR$4*JR$7)),IF(AND($F93=2,$G93=1),JZ93,0)))))</f>
        <v>0</v>
      </c>
      <c r="KC93" s="57" t="str">
        <f t="shared" si="599"/>
        <v/>
      </c>
      <c r="KD93" s="57" t="str">
        <f t="shared" si="600"/>
        <v/>
      </c>
      <c r="KE93" s="713">
        <f>'org. Düngung 22'!CB92</f>
        <v>0</v>
      </c>
      <c r="KF93" s="57"/>
      <c r="KG93" s="57"/>
      <c r="KH93" s="57">
        <f t="shared" si="601"/>
        <v>0</v>
      </c>
      <c r="KI93" s="57">
        <f t="shared" si="771"/>
        <v>0</v>
      </c>
      <c r="KJ93" s="57">
        <f t="shared" si="772"/>
        <v>0</v>
      </c>
      <c r="KK93" s="57">
        <f t="shared" si="773"/>
        <v>0</v>
      </c>
      <c r="KL93" s="57">
        <f t="shared" si="774"/>
        <v>0</v>
      </c>
      <c r="KM93" s="1029">
        <f t="shared" si="602"/>
        <v>0</v>
      </c>
      <c r="KN93" s="57">
        <f t="shared" si="603"/>
        <v>0</v>
      </c>
      <c r="KO93" s="171" t="str">
        <f t="shared" si="604"/>
        <v/>
      </c>
      <c r="KP93" s="57">
        <f t="shared" si="775"/>
        <v>0</v>
      </c>
      <c r="KQ93" s="57">
        <f>IF(OR(AND(KE$6=1,$L93=0),AND(KE$6=2,$K93=2,$G93=1)),0,IF(AND(KG$9=2,(OR($F93&gt;1,$K93=1,AND($L93=80,OR($N93=1,AND($N93=2,'#BerechnungDBE'!$AL84&gt;0)))))),IF(KE$4&gt;=$AD$126,0,KO93),IF(KG$9=3,IF(OR(KE$4&gt;=$AD$127,AND($G93=1,$J93=2,KE$6=2),AND(KE$6=1,$N93&lt;&gt;1)),0,IF(KI93&lt;=120,KO93,IF(KE$4&lt;$AD$124,IF($F93=1,60/KG$4*KG$6,60/KG$4*KG$7),IF($F93=1,120/KG$4*KG$6,120/KG$4*KG$7)))),IF(OR($F93=3,$G93=2),IF(OR(AND(KE$4&gt;=$AD$119,$C93=2),AND(KE$4&gt;=$AF$119,$C93=1)),0,IF(KI93&lt;=60,KO93,60/KG$4*KG$7)),IF(AND($F93=2,$G93=1),KO93,0)))))</f>
        <v>0</v>
      </c>
      <c r="KR93" s="57" t="str">
        <f t="shared" si="605"/>
        <v/>
      </c>
      <c r="KS93" s="57" t="str">
        <f t="shared" si="606"/>
        <v/>
      </c>
      <c r="KT93" s="713">
        <f>'org. Düngung 22'!CF92</f>
        <v>0</v>
      </c>
      <c r="KU93" s="57"/>
      <c r="KV93" s="57"/>
      <c r="KW93" s="57">
        <f t="shared" si="607"/>
        <v>0</v>
      </c>
      <c r="KX93" s="57">
        <f t="shared" si="776"/>
        <v>0</v>
      </c>
      <c r="KY93" s="57">
        <f t="shared" si="777"/>
        <v>0</v>
      </c>
      <c r="KZ93" s="57">
        <f t="shared" si="778"/>
        <v>0</v>
      </c>
      <c r="LA93" s="57">
        <f t="shared" si="779"/>
        <v>0</v>
      </c>
      <c r="LB93" s="1029">
        <f t="shared" si="608"/>
        <v>0</v>
      </c>
      <c r="LC93" s="57">
        <f t="shared" si="609"/>
        <v>0</v>
      </c>
      <c r="LD93" s="171" t="str">
        <f t="shared" si="610"/>
        <v/>
      </c>
      <c r="LE93" s="57">
        <f t="shared" si="780"/>
        <v>0</v>
      </c>
      <c r="LF93" s="57">
        <f>IF(OR(AND(KT$6=1,$L93=0),AND(KT$6=2,$K93=2,$G93=1)),0,IF(AND(KV$9=2,(OR($F93&gt;1,$K93=1,AND($L93=80,OR($N93=1,AND($N93=2,'#BerechnungDBE'!$AL84&gt;0)))))),IF(KT$4&gt;=$AD$126,0,LD93),IF(KV$9=3,IF(OR(KT$4&gt;=$AD$127,AND($G93=1,$J93=2,KT$6=2),AND(KT$6=1,$N93&lt;&gt;1)),0,IF(KX93&lt;=120,LD93,IF(KT$4&lt;$AD$124,IF($F93=1,60/KV$4*KV$6,60/KV$4*KV$7),IF($F93=1,120/KV$4*KV$6,120/KV$4*KV$7)))),IF(OR($F93=3,$G93=2),IF(OR(AND(KT$4&gt;=$AD$119,$C93=2),AND(KT$4&gt;=$AF$119,$C93=1)),0,IF(KX93&lt;=60,LD93,60/KV$4*KV$7)),IF(AND($F93=2,$G93=1),LD93,0)))))</f>
        <v>0</v>
      </c>
      <c r="LG93" s="57" t="str">
        <f t="shared" si="611"/>
        <v/>
      </c>
      <c r="LH93" s="57" t="str">
        <f t="shared" si="612"/>
        <v/>
      </c>
      <c r="LI93" s="713">
        <f>'org. Düngung 22'!CJ92</f>
        <v>0</v>
      </c>
      <c r="LJ93" s="57"/>
      <c r="LK93" s="57"/>
      <c r="LL93" s="57">
        <f t="shared" si="613"/>
        <v>0</v>
      </c>
      <c r="LM93" s="57">
        <f t="shared" si="781"/>
        <v>0</v>
      </c>
      <c r="LN93" s="57">
        <f t="shared" si="782"/>
        <v>0</v>
      </c>
      <c r="LO93" s="57">
        <f t="shared" si="783"/>
        <v>0</v>
      </c>
      <c r="LP93" s="57">
        <f t="shared" si="784"/>
        <v>0</v>
      </c>
      <c r="LQ93" s="1029">
        <f t="shared" si="614"/>
        <v>0</v>
      </c>
      <c r="LR93" s="57">
        <f t="shared" si="615"/>
        <v>0</v>
      </c>
      <c r="LS93" s="171" t="str">
        <f t="shared" si="616"/>
        <v/>
      </c>
      <c r="LT93" s="57">
        <f t="shared" si="785"/>
        <v>0</v>
      </c>
      <c r="LU93" s="57">
        <f>IF(OR(AND(LI$6=1,$L93=0),AND(LI$6=2,$K93=2,$G93=1)),0,IF(AND(LK$9=2,(OR($F93&gt;1,$K93=1,AND($L93=80,OR($N93=1,AND($N93=2,'#BerechnungDBE'!$AL84&gt;0)))))),IF(LI$4&gt;=$AD$126,0,LS93),IF(LK$9=3,IF(OR(LI$4&gt;=$AD$127,AND($G93=1,$J93=2,LI$6=2),AND(LI$6=1,$N93&lt;&gt;1)),0,IF(LM93&lt;=120,LS93,IF(LI$4&lt;$AD$124,IF($F93=1,60/LK$4*LK$6,60/LK$4*LK$7),IF($F93=1,120/LK$4*LK$6,120/LK$4*LK$7)))),IF(OR($F93=3,$G93=2),IF(OR(AND(LI$4&gt;=$AD$119,$C93=2),AND(LI$4&gt;=$AF$119,$C93=1)),0,IF(LM93&lt;=60,LS93,60/LK$4*LK$7)),IF(AND($F93=2,$G93=1),LS93,0)))))</f>
        <v>0</v>
      </c>
      <c r="LV93" s="57" t="str">
        <f t="shared" si="617"/>
        <v/>
      </c>
      <c r="LW93" s="57" t="str">
        <f t="shared" si="618"/>
        <v/>
      </c>
      <c r="LX93" s="713">
        <f>'org. Düngung 22'!CN92</f>
        <v>0</v>
      </c>
      <c r="LY93" s="57"/>
      <c r="LZ93" s="57"/>
      <c r="MA93" s="57">
        <f t="shared" si="619"/>
        <v>0</v>
      </c>
      <c r="MB93" s="57">
        <f t="shared" si="786"/>
        <v>0</v>
      </c>
      <c r="MC93" s="57">
        <f t="shared" si="787"/>
        <v>0</v>
      </c>
      <c r="MD93" s="57">
        <f t="shared" si="788"/>
        <v>0</v>
      </c>
      <c r="ME93" s="57">
        <f t="shared" si="789"/>
        <v>0</v>
      </c>
      <c r="MF93" s="1029">
        <f t="shared" si="620"/>
        <v>0</v>
      </c>
      <c r="MG93" s="57">
        <f t="shared" si="621"/>
        <v>0</v>
      </c>
      <c r="MH93" s="171" t="str">
        <f t="shared" si="622"/>
        <v/>
      </c>
      <c r="MI93" s="57">
        <f t="shared" si="790"/>
        <v>0</v>
      </c>
      <c r="MJ93" s="57">
        <f>IF(OR(AND(LX$6=1,$L93=0),AND(LX$6=2,$K93=2,$G93=1)),0,IF(AND(LZ$9=2,(OR($F93&gt;1,$K93=1,AND($L93=80,OR($N93=1,AND($N93=2,'#BerechnungDBE'!$AL84&gt;0)))))),IF(LX$4&gt;=$AD$126,0,MH93),IF(LZ$9=3,IF(OR(LX$4&gt;=$AD$127,AND($G93=1,$J93=2,LX$6=2),AND(LX$6=1,$N93&lt;&gt;1)),0,IF(MB93&lt;=120,MH93,IF(LX$4&lt;$AD$124,IF($F93=1,60/LZ$4*LZ$6,60/LZ$4*LZ$7),IF($F93=1,120/LZ$4*LZ$6,120/LZ$4*LZ$7)))),IF(OR($F93=3,$G93=2),IF(OR(AND(LX$4&gt;=$AD$119,$C93=2),AND(LX$4&gt;=$AF$119,$C93=1)),0,IF(MB93&lt;=60,MH93,60/LZ$4*LZ$7)),IF(AND($F93=2,$G93=1),MH93,0)))))</f>
        <v>0</v>
      </c>
      <c r="MK93" s="57" t="str">
        <f t="shared" si="623"/>
        <v/>
      </c>
      <c r="ML93" s="57" t="str">
        <f t="shared" si="624"/>
        <v/>
      </c>
      <c r="MM93" s="713">
        <f>'org. Düngung 22'!CR92</f>
        <v>0</v>
      </c>
      <c r="MN93" s="57"/>
      <c r="MO93" s="57"/>
      <c r="MP93" s="57">
        <f t="shared" si="625"/>
        <v>0</v>
      </c>
      <c r="MQ93" s="57">
        <f t="shared" si="791"/>
        <v>0</v>
      </c>
      <c r="MR93" s="57">
        <f t="shared" si="792"/>
        <v>0</v>
      </c>
      <c r="MS93" s="57">
        <f t="shared" si="793"/>
        <v>0</v>
      </c>
      <c r="MT93" s="57">
        <f t="shared" si="794"/>
        <v>0</v>
      </c>
      <c r="MU93" s="1029">
        <f t="shared" si="626"/>
        <v>0</v>
      </c>
      <c r="MV93" s="57">
        <f t="shared" si="627"/>
        <v>0</v>
      </c>
      <c r="MW93" s="171" t="str">
        <f t="shared" si="628"/>
        <v/>
      </c>
      <c r="MX93" s="57">
        <f t="shared" si="795"/>
        <v>0</v>
      </c>
      <c r="MY93" s="57">
        <f>IF(OR(AND(MM$6=1,$L93=0),AND(MM$6=2,$K93=2,$G93=1)),0,IF(AND(MO$9=2,(OR($F93&gt;1,$K93=1,AND($L93=80,OR($N93=1,AND($N93=2,'#BerechnungDBE'!$AL84&gt;0)))))),IF(MM$4&gt;=$AD$126,0,MW93),IF(MO$9=3,IF(OR(MM$4&gt;=$AD$127,AND($G93=1,$J93=2,MM$6=2),AND(MM$6=1,$N93&lt;&gt;1)),0,IF(MQ93&lt;=120,MW93,IF(MM$4&lt;$AD$124,IF($F93=1,60/MO$4*MO$6,60/MO$4*MO$7),IF($F93=1,120/MO$4*MO$6,120/MO$4*MO$7)))),IF(OR($F93=3,$G93=2),IF(OR(AND(MM$4&gt;=$AD$119,$C93=2),AND(MM$4&gt;=$AF$119,$C93=1)),0,IF(MQ93&lt;=60,MW93,60/MO$4*MO$7)),IF(AND($F93=2,$G93=1),MW93,0)))))</f>
        <v>0</v>
      </c>
      <c r="MZ93" s="57" t="str">
        <f t="shared" si="629"/>
        <v/>
      </c>
      <c r="NA93" s="57" t="str">
        <f t="shared" si="630"/>
        <v/>
      </c>
      <c r="NB93" s="713">
        <f>'org. Düngung 22'!CV92</f>
        <v>0</v>
      </c>
      <c r="NC93" s="57"/>
      <c r="ND93" s="57"/>
      <c r="NE93" s="57">
        <f t="shared" si="631"/>
        <v>0</v>
      </c>
      <c r="NF93" s="57">
        <f t="shared" si="796"/>
        <v>0</v>
      </c>
      <c r="NG93" s="57">
        <f t="shared" si="797"/>
        <v>0</v>
      </c>
      <c r="NH93" s="57">
        <f t="shared" si="798"/>
        <v>0</v>
      </c>
      <c r="NI93" s="57">
        <f t="shared" si="799"/>
        <v>0</v>
      </c>
      <c r="NJ93" s="1029">
        <f t="shared" si="632"/>
        <v>0</v>
      </c>
      <c r="NK93" s="57">
        <f t="shared" si="633"/>
        <v>0</v>
      </c>
      <c r="NL93" s="171" t="str">
        <f t="shared" si="634"/>
        <v/>
      </c>
      <c r="NM93" s="57">
        <f t="shared" si="800"/>
        <v>0</v>
      </c>
      <c r="NN93" s="57">
        <f>IF(OR(AND(NB$6=1,$L93=0),AND(NB$6=2,$K93=2,$G93=1)),0,IF(AND(ND$9=2,(OR($F93&gt;1,$K93=1,AND($L93=80,OR($N93=1,AND($N93=2,'#BerechnungDBE'!$AL84&gt;0)))))),IF(NB$4&gt;=$AD$126,0,NL93),IF(ND$9=3,IF(OR(NB$4&gt;=$AD$127,AND($G93=1,$J93=2,NB$6=2),AND(NB$6=1,$N93&lt;&gt;1)),0,IF(NF93&lt;=120,NL93,IF(NB$4&lt;$AD$124,IF($F93=1,60/ND$4*ND$6,60/ND$4*ND$7),IF($F93=1,120/ND$4*ND$6,120/ND$4*ND$7)))),IF(OR($F93=3,$G93=2),IF(OR(AND(NB$4&gt;=$AD$119,$C93=2),AND(NB$4&gt;=$AF$119,$C93=1)),0,IF(NF93&lt;=60,NL93,60/ND$4*ND$7)),IF(AND($F93=2,$G93=1),NL93,0)))))</f>
        <v>0</v>
      </c>
      <c r="NO93" s="57" t="str">
        <f t="shared" si="635"/>
        <v/>
      </c>
      <c r="NP93" s="57" t="str">
        <f t="shared" si="636"/>
        <v/>
      </c>
      <c r="NQ93" s="713">
        <f>'org. Düngung 22'!CZ92</f>
        <v>0</v>
      </c>
      <c r="NR93" s="57"/>
      <c r="NS93" s="57"/>
      <c r="NT93" s="57">
        <f t="shared" si="637"/>
        <v>0</v>
      </c>
      <c r="NU93" s="57">
        <f t="shared" si="801"/>
        <v>0</v>
      </c>
      <c r="NV93" s="57">
        <f t="shared" si="802"/>
        <v>0</v>
      </c>
      <c r="NW93" s="57">
        <f t="shared" si="803"/>
        <v>0</v>
      </c>
      <c r="NX93" s="57">
        <f t="shared" si="804"/>
        <v>0</v>
      </c>
      <c r="NY93" s="1029">
        <f t="shared" si="638"/>
        <v>0</v>
      </c>
      <c r="NZ93" s="57">
        <f t="shared" si="639"/>
        <v>0</v>
      </c>
      <c r="OA93" s="171" t="str">
        <f t="shared" si="640"/>
        <v/>
      </c>
      <c r="OB93" s="57">
        <f t="shared" si="805"/>
        <v>0</v>
      </c>
      <c r="OC93" s="57">
        <f>IF(OR(AND(NQ$6=1,$L93=0),AND(NQ$6=2,$K93=2,$G93=1)),0,IF(AND(NS$9=2,(OR($F93&gt;1,$K93=1,AND($L93=80,OR($N93=1,AND($N93=2,'#BerechnungDBE'!$AL84&gt;0)))))),IF(NQ$4&gt;=$AD$126,0,OA93),IF(NS$9=3,IF(OR(NQ$4&gt;=$AD$127,AND($G93=1,$J93=2,NQ$6=2),AND(NQ$6=1,$N93&lt;&gt;1)),0,IF(NU93&lt;=120,OA93,IF(NQ$4&lt;$AD$124,IF($F93=1,60/NS$4*NS$6,60/NS$4*NS$7),IF($F93=1,120/NS$4*NS$6,120/NS$4*NS$7)))),IF(OR($F93=3,$G93=2),IF(OR(AND(NQ$4&gt;=$AD$119,$C93=2),AND(NQ$4&gt;=$AF$119,$C93=1)),0,IF(NU93&lt;=60,OA93,60/NS$4*NS$7)),IF(AND($F93=2,$G93=1),OA93,0)))))</f>
        <v>0</v>
      </c>
      <c r="OD93" s="57" t="str">
        <f t="shared" si="641"/>
        <v/>
      </c>
      <c r="OE93" s="57" t="str">
        <f t="shared" si="642"/>
        <v/>
      </c>
      <c r="OF93" s="713">
        <f>'org. Düngung 22'!DD92</f>
        <v>0</v>
      </c>
      <c r="OG93" s="57"/>
      <c r="OH93" s="57"/>
      <c r="OI93" s="57">
        <f t="shared" si="643"/>
        <v>0</v>
      </c>
      <c r="OJ93" s="57">
        <f t="shared" si="806"/>
        <v>0</v>
      </c>
      <c r="OK93" s="57">
        <f t="shared" si="807"/>
        <v>0</v>
      </c>
      <c r="OL93" s="57">
        <f t="shared" si="808"/>
        <v>0</v>
      </c>
      <c r="OM93" s="57">
        <f t="shared" si="809"/>
        <v>0</v>
      </c>
      <c r="ON93" s="1029">
        <f t="shared" si="644"/>
        <v>0</v>
      </c>
      <c r="OO93" s="57">
        <f t="shared" si="645"/>
        <v>0</v>
      </c>
      <c r="OP93" s="171" t="str">
        <f t="shared" si="646"/>
        <v/>
      </c>
      <c r="OQ93" s="57">
        <f t="shared" si="810"/>
        <v>0</v>
      </c>
      <c r="OR93" s="57">
        <f>IF(OR(AND(OF$6=1,$L93=0),AND(OF$6=2,$K93=2,$G93=1)),0,IF(AND(OH$9=2,(OR($F93&gt;1,$K93=1,AND($L93=80,OR($N93=1,AND($N93=2,'#BerechnungDBE'!$AL84&gt;0)))))),IF(OF$4&gt;=$AD$126,0,OP93),IF(OH$9=3,IF(OR(OF$4&gt;=$AD$127,AND($G93=1,$J93=2,OF$6=2),AND(OF$6=1,$N93&lt;&gt;1)),0,IF(OJ93&lt;=120,OP93,IF(OF$4&lt;$AD$124,IF($F93=1,60/OH$4*OH$6,60/OH$4*OH$7),IF($F93=1,120/OH$4*OH$6,120/OH$4*OH$7)))),IF(OR($F93=3,$G93=2),IF(OR(AND(OF$4&gt;=$AD$119,$C93=2),AND(OF$4&gt;=$AF$119,$C93=1)),0,IF(OJ93&lt;=60,OP93,60/OH$4*OH$7)),IF(AND($F93=2,$G93=1),OP93,0)))))</f>
        <v>0</v>
      </c>
      <c r="OS93" s="57" t="str">
        <f t="shared" si="647"/>
        <v/>
      </c>
      <c r="OT93" s="57" t="str">
        <f t="shared" si="648"/>
        <v/>
      </c>
      <c r="OU93" s="713">
        <f>'org. Düngung 22'!DH92</f>
        <v>0</v>
      </c>
      <c r="OV93" s="57"/>
      <c r="OW93" s="57"/>
      <c r="OX93" s="57">
        <f t="shared" si="649"/>
        <v>0</v>
      </c>
      <c r="OY93" s="57">
        <f t="shared" si="811"/>
        <v>0</v>
      </c>
      <c r="OZ93" s="57">
        <f t="shared" si="812"/>
        <v>0</v>
      </c>
      <c r="PA93" s="57">
        <f t="shared" si="813"/>
        <v>0</v>
      </c>
      <c r="PB93" s="57">
        <f t="shared" si="814"/>
        <v>0</v>
      </c>
      <c r="PC93" s="1029">
        <f t="shared" si="650"/>
        <v>0</v>
      </c>
      <c r="PD93" s="57">
        <f t="shared" si="651"/>
        <v>0</v>
      </c>
      <c r="PE93" s="171" t="str">
        <f t="shared" si="652"/>
        <v/>
      </c>
      <c r="PF93" s="57">
        <f t="shared" si="815"/>
        <v>0</v>
      </c>
      <c r="PG93" s="57">
        <f>IF(OR(AND(OU$6=1,$L93=0),AND(OU$6=2,$K93=2,$G93=1)),0,IF(AND(OW$9=2,(OR($F93&gt;1,$K93=1,AND($L93=80,OR($N93=1,AND($N93=2,'#BerechnungDBE'!$AL84&gt;0)))))),IF(OU$4&gt;=$AD$126,0,PE93),IF(OW$9=3,IF(OR(OU$4&gt;=$AD$127,AND($G93=1,$J93=2,OU$6=2),AND(OU$6=1,$N93&lt;&gt;1)),0,IF(OY93&lt;=120,PE93,IF(OU$4&lt;$AD$124,IF($F93=1,60/OW$4*OW$6,60/OW$4*OW$7),IF($F93=1,120/OW$4*OW$6,120/OW$4*OW$7)))),IF(OR($F93=3,$G93=2),IF(OR(AND(OU$4&gt;=$AD$119,$C93=2),AND(OU$4&gt;=$AF$119,$C93=1)),0,IF(OY93&lt;=60,PE93,60/OW$4*OW$7)),IF(AND($F93=2,$G93=1),PE93,0)))))</f>
        <v>0</v>
      </c>
      <c r="PH93" s="57" t="str">
        <f t="shared" si="653"/>
        <v/>
      </c>
      <c r="PI93" s="57" t="str">
        <f t="shared" si="654"/>
        <v/>
      </c>
      <c r="PJ93" s="713">
        <f>'org. Düngung 22'!DL92</f>
        <v>0</v>
      </c>
      <c r="PK93" s="57"/>
      <c r="PL93" s="57"/>
      <c r="PM93" s="57">
        <f t="shared" si="655"/>
        <v>0</v>
      </c>
      <c r="PN93" s="57">
        <f t="shared" si="816"/>
        <v>0</v>
      </c>
      <c r="PO93" s="57">
        <f t="shared" si="817"/>
        <v>0</v>
      </c>
      <c r="PP93" s="57">
        <f t="shared" si="818"/>
        <v>0</v>
      </c>
      <c r="PQ93" s="57">
        <f t="shared" si="819"/>
        <v>0</v>
      </c>
      <c r="PR93" s="1029">
        <f t="shared" si="656"/>
        <v>0</v>
      </c>
      <c r="PS93" s="57">
        <f t="shared" si="657"/>
        <v>0</v>
      </c>
      <c r="PT93" s="171" t="str">
        <f t="shared" si="658"/>
        <v/>
      </c>
      <c r="PU93" s="57">
        <f t="shared" si="820"/>
        <v>0</v>
      </c>
      <c r="PV93" s="57">
        <f>IF(OR(AND(PJ$6=1,$L93=0),AND(PJ$6=2,$K93=2,$G93=1)),0,IF(AND(PL$9=2,(OR($F93&gt;1,$K93=1,AND($L93=80,OR($N93=1,AND($N93=2,'#BerechnungDBE'!$AL84&gt;0)))))),IF(PJ$4&gt;=$AD$126,0,PT93),IF(PL$9=3,IF(OR(PJ$4&gt;=$AD$127,AND($G93=1,$J93=2,PJ$6=2),AND(PJ$6=1,$N93&lt;&gt;1)),0,IF(PN93&lt;=120,PT93,IF(PJ$4&lt;$AD$124,IF($F93=1,60/PL$4*PL$6,60/PL$4*PL$7),IF($F93=1,120/PL$4*PL$6,120/PL$4*PL$7)))),IF(OR($F93=3,$G93=2),IF(OR(AND(PJ$4&gt;=$AD$119,$C93=2),AND(PJ$4&gt;=$AF$119,$C93=1)),0,IF(PN93&lt;=60,PT93,60/PL$4*PL$7)),IF(AND($F93=2,$G93=1),PT93,0)))))</f>
        <v>0</v>
      </c>
      <c r="PW93" s="57" t="str">
        <f t="shared" si="659"/>
        <v/>
      </c>
      <c r="PX93" s="57" t="str">
        <f t="shared" si="660"/>
        <v/>
      </c>
      <c r="PY93" s="713">
        <f>'org. Düngung 22'!DP92</f>
        <v>0</v>
      </c>
      <c r="PZ93" s="57"/>
      <c r="QA93" s="57"/>
      <c r="QB93" s="57">
        <f t="shared" si="661"/>
        <v>0</v>
      </c>
      <c r="QC93" s="57">
        <f t="shared" si="821"/>
        <v>0</v>
      </c>
      <c r="QD93" s="57">
        <f t="shared" si="822"/>
        <v>0</v>
      </c>
      <c r="QE93" s="57">
        <f t="shared" si="823"/>
        <v>0</v>
      </c>
      <c r="QF93" s="57">
        <f t="shared" si="824"/>
        <v>0</v>
      </c>
      <c r="QG93" s="1029">
        <f t="shared" si="662"/>
        <v>0</v>
      </c>
      <c r="QH93" s="57">
        <f t="shared" si="663"/>
        <v>0</v>
      </c>
      <c r="QI93" s="171" t="str">
        <f t="shared" si="664"/>
        <v/>
      </c>
      <c r="QJ93" s="57">
        <f t="shared" si="825"/>
        <v>0</v>
      </c>
      <c r="QK93" s="57">
        <f>IF(OR(AND(PY$6=1,$L93=0),AND(PY$6=2,$K93=2,$G93=1)),0,IF(AND(QA$9=2,(OR($F93&gt;1,$K93=1,AND($L93=80,OR($N93=1,AND($N93=2,'#BerechnungDBE'!$AL84&gt;0)))))),IF(PY$4&gt;=$AD$126,0,QI93),IF(QA$9=3,IF(OR(PY$4&gt;=$AD$127,AND($G93=1,$J93=2,PY$6=2),AND(PY$6=1,$N93&lt;&gt;1)),0,IF(QC93&lt;=120,QI93,IF(PY$4&lt;$AD$124,IF($F93=1,60/QA$4*QA$6,60/QA$4*QA$7),IF($F93=1,120/QA$4*QA$6,120/QA$4*QA$7)))),IF(OR($F93=3,$G93=2),IF(OR(AND(PY$4&gt;=$AD$119,$C93=2),AND(PY$4&gt;=$AF$119,$C93=1)),0,IF(QC93&lt;=60,QI93,60/QA$4*QA$7)),IF(AND($F93=2,$G93=1),QI93,0)))))</f>
        <v>0</v>
      </c>
      <c r="QL93" s="57" t="str">
        <f t="shared" si="665"/>
        <v/>
      </c>
      <c r="QM93" s="57" t="str">
        <f t="shared" si="666"/>
        <v/>
      </c>
      <c r="QN93" s="713">
        <f>'org. Düngung 22'!DT92</f>
        <v>0</v>
      </c>
      <c r="QO93" s="57"/>
      <c r="QP93" s="57"/>
      <c r="QQ93" s="57">
        <f t="shared" si="667"/>
        <v>0</v>
      </c>
      <c r="QR93" s="57">
        <f t="shared" si="826"/>
        <v>0</v>
      </c>
      <c r="QS93" s="57">
        <f t="shared" si="827"/>
        <v>0</v>
      </c>
      <c r="QT93" s="57">
        <f t="shared" si="828"/>
        <v>0</v>
      </c>
      <c r="QU93" s="57">
        <f t="shared" si="829"/>
        <v>0</v>
      </c>
      <c r="QV93" s="1029">
        <f t="shared" si="668"/>
        <v>0</v>
      </c>
      <c r="QW93" s="57">
        <f t="shared" si="669"/>
        <v>0</v>
      </c>
      <c r="QX93" s="171" t="str">
        <f t="shared" si="670"/>
        <v/>
      </c>
      <c r="QY93" s="57">
        <f t="shared" si="830"/>
        <v>0</v>
      </c>
      <c r="QZ93" s="57">
        <f>IF(OR(AND(QN$6=1,$L93=0),AND(QN$6=2,$K93=2,$G93=1)),0,IF(AND(QP$9=2,(OR($F93&gt;1,$K93=1,AND($L93=80,OR($N93=1,AND($N93=2,'#BerechnungDBE'!$AL84&gt;0)))))),IF(QN$4&gt;=$AD$126,0,QX93),IF(QP$9=3,IF(OR(QN$4&gt;=$AD$127,AND($G93=1,$J93=2,QN$6=2),AND(QN$6=1,$N93&lt;&gt;1)),0,IF(QR93&lt;=120,QX93,IF(QN$4&lt;$AD$124,IF($F93=1,60/QP$4*QP$6,60/QP$4*QP$7),IF($F93=1,120/QP$4*QP$6,120/QP$4*QP$7)))),IF(OR($F93=3,$G93=2),IF(OR(AND(QN$4&gt;=$AD$119,$C93=2),AND(QN$4&gt;=$AF$119,$C93=1)),0,IF(QR93&lt;=60,QX93,60/QP$4*QP$7)),IF(AND($F93=2,$G93=1),QX93,0)))))</f>
        <v>0</v>
      </c>
      <c r="RA93" s="57" t="str">
        <f t="shared" si="671"/>
        <v/>
      </c>
      <c r="RB93" s="57" t="str">
        <f t="shared" si="672"/>
        <v/>
      </c>
      <c r="RC93" s="713">
        <f>'org. Düngung 22'!DX92</f>
        <v>0</v>
      </c>
      <c r="RD93" s="57"/>
      <c r="RE93" s="57"/>
      <c r="RF93" s="57">
        <f t="shared" si="673"/>
        <v>0</v>
      </c>
      <c r="RG93" s="57">
        <f t="shared" si="831"/>
        <v>0</v>
      </c>
      <c r="RH93" s="57">
        <f t="shared" si="832"/>
        <v>0</v>
      </c>
      <c r="RI93" s="57">
        <f t="shared" si="833"/>
        <v>0</v>
      </c>
      <c r="RJ93" s="57">
        <f t="shared" si="834"/>
        <v>0</v>
      </c>
      <c r="RK93" s="1029">
        <f t="shared" si="674"/>
        <v>0</v>
      </c>
      <c r="RL93" s="57">
        <f t="shared" si="675"/>
        <v>0</v>
      </c>
      <c r="RM93" s="171" t="str">
        <f t="shared" si="676"/>
        <v/>
      </c>
      <c r="RN93" s="57">
        <f t="shared" si="835"/>
        <v>0</v>
      </c>
      <c r="RO93" s="57">
        <f>IF(OR(AND(RC$6=1,$L93=0),AND(RC$6=2,$K93=2,$G93=1)),0,IF(AND(RE$9=2,(OR($F93&gt;1,$K93=1,AND($L93=80,OR($N93=1,AND($N93=2,'#BerechnungDBE'!$AL84&gt;0)))))),IF(RC$4&gt;=$AD$126,0,RM93),IF(RE$9=3,IF(OR(RC$4&gt;=$AD$127,AND($G93=1,$J93=2,RC$6=2),AND(RC$6=1,$N93&lt;&gt;1)),0,IF(RG93&lt;=120,RM93,IF(RC$4&lt;$AD$124,IF($F93=1,60/RE$4*RE$6,60/RE$4*RE$7),IF($F93=1,120/RE$4*RE$6,120/RE$4*RE$7)))),IF(OR($F93=3,$G93=2),IF(OR(AND(RC$4&gt;=$AD$119,$C93=2),AND(RC$4&gt;=$AF$119,$C93=1)),0,IF(RG93&lt;=60,RM93,60/RE$4*RE$7)),IF(AND($F93=2,$G93=1),RM93,0)))))</f>
        <v>0</v>
      </c>
      <c r="RP93" s="57" t="str">
        <f t="shared" si="677"/>
        <v/>
      </c>
      <c r="RQ93" s="57" t="str">
        <f t="shared" si="678"/>
        <v/>
      </c>
      <c r="RS93" s="57" t="str">
        <f t="shared" si="836"/>
        <v/>
      </c>
      <c r="RT93" s="57" t="str">
        <f t="shared" si="679"/>
        <v/>
      </c>
      <c r="RU93" s="57" t="str">
        <f t="shared" si="680"/>
        <v/>
      </c>
      <c r="RV93" s="57" t="str">
        <f>IF(Z93&gt;'#BerechnungDBE'!BM84,$RV$9,"")</f>
        <v/>
      </c>
      <c r="RW93" s="57" t="str">
        <f>IF(AND(L93=70,AE93&gt;'#BerechnungDBE'!CQ84),$RW$9,"")</f>
        <v/>
      </c>
      <c r="RX93" s="57" t="str">
        <f>IF(OR('org. Düngung 22'!G92="--",'org. Düngung 22'!G92&lt;=170,'org. Düngung 22'!G92=""),"",$RX$9)</f>
        <v/>
      </c>
      <c r="RY93" s="57" t="str">
        <f>IF('org. Düngung 22'!K92&gt;120,'#orgDung'!$RY$9,"")</f>
        <v/>
      </c>
      <c r="RZ93" s="57" t="str">
        <f>IF('#BerechnungDBE'!P84&lt;4,"",IF(AND('#BerechnungDBE'!BZ84&gt;0,T93&gt;0),'#orgDung'!$RZ$9,""))</f>
        <v/>
      </c>
      <c r="SA93" s="57" t="str">
        <f t="shared" si="681"/>
        <v/>
      </c>
    </row>
    <row r="94" spans="1:495" s="875" customFormat="1" x14ac:dyDescent="0.2">
      <c r="A94" s="875">
        <f>'Flächen u. Kulturen'!A90</f>
        <v>81</v>
      </c>
      <c r="B94" s="367">
        <f>'#BerechnungDBE'!L85</f>
        <v>0</v>
      </c>
      <c r="C94" s="875">
        <f>'#BerechnungDBE'!R85</f>
        <v>1</v>
      </c>
      <c r="D94" s="875">
        <f>'#BerechnungDBE'!T85</f>
        <v>2</v>
      </c>
      <c r="E94" s="875" t="str">
        <f>'Flächen u. Kulturen'!E90</f>
        <v>x</v>
      </c>
      <c r="F94" s="52">
        <f>'#BerechnungDBE'!N85</f>
        <v>1</v>
      </c>
      <c r="G94" s="52">
        <f>'#BerechnungDBE'!O85</f>
        <v>1</v>
      </c>
      <c r="H94" s="875">
        <f>IF('Flächen u. Kulturen'!P90="",0,VLOOKUP('Flächen u. Kulturen'!P90,Kulturen[[HF]:[Berechnungsgruppe]],'#Frucht'!$H$1,FALSE))</f>
        <v>0</v>
      </c>
      <c r="I94" s="875">
        <f>IF('Flächen u. Kulturen'!J90="",0,VLOOKUP('Flächen u. Kulturen'!J90,Kulturen[[HF]:[Berechnungsgruppe]],'#Frucht'!$G$1,FALSE))</f>
        <v>90</v>
      </c>
      <c r="J94" s="505">
        <f t="shared" si="682"/>
        <v>2</v>
      </c>
      <c r="K94" s="505">
        <f>IF('Flächen u. Kulturen'!P90="",0,IF(VLOOKUP('Flächen u. Kulturen'!P90,Kulturen[[HF]:[Saat Winterungen]],'#Frucht'!$P$1,FALSE)&gt;0,1,2))</f>
        <v>2</v>
      </c>
      <c r="L94" s="875">
        <f>'#BerechnungDBE'!AF85</f>
        <v>0</v>
      </c>
      <c r="M94" s="875">
        <f>IF('Flächen u. Kulturen'!L90="",0,VLOOKUP('Flächen u. Kulturen'!L90,Nebenkultur[[Nebenkultur]:[Legum. Zwischenfr.]],'#Zweitfr'!$K$1,FALSE))</f>
        <v>0</v>
      </c>
      <c r="N94" s="875">
        <f>'#BerechnungDBE'!AG85</f>
        <v>0</v>
      </c>
      <c r="P94" s="57">
        <f t="shared" si="489"/>
        <v>0</v>
      </c>
      <c r="Q94" s="57">
        <f t="shared" si="490"/>
        <v>0</v>
      </c>
      <c r="R94" s="875">
        <f t="shared" si="491"/>
        <v>0</v>
      </c>
      <c r="S94" s="938" t="str">
        <f t="shared" si="683"/>
        <v/>
      </c>
      <c r="T94" s="875">
        <f t="shared" si="492"/>
        <v>0</v>
      </c>
      <c r="U94" s="875">
        <f t="shared" si="493"/>
        <v>0</v>
      </c>
      <c r="V94" s="875">
        <f t="shared" si="494"/>
        <v>0</v>
      </c>
      <c r="W94" s="875">
        <f t="shared" si="495"/>
        <v>0</v>
      </c>
      <c r="X94" s="875">
        <f t="shared" si="496"/>
        <v>0</v>
      </c>
      <c r="Y94" s="875">
        <f t="shared" si="837"/>
        <v>0</v>
      </c>
      <c r="Z94" s="875">
        <f t="shared" si="838"/>
        <v>0</v>
      </c>
      <c r="AA94" s="910">
        <f t="shared" si="497"/>
        <v>0</v>
      </c>
      <c r="AB94" s="57">
        <f t="shared" si="839"/>
        <v>0</v>
      </c>
      <c r="AC94" s="875">
        <f t="shared" si="498"/>
        <v>0</v>
      </c>
      <c r="AD94" s="875">
        <f t="shared" si="499"/>
        <v>0</v>
      </c>
      <c r="AE94" s="875">
        <f t="shared" si="500"/>
        <v>0</v>
      </c>
      <c r="AF94" s="875">
        <f t="shared" si="840"/>
        <v>0</v>
      </c>
      <c r="AG94" s="875">
        <f>'org. Düngung 22'!J93</f>
        <v>0</v>
      </c>
      <c r="AH94" s="875">
        <f>'org. Düngung 22'!K93</f>
        <v>0</v>
      </c>
      <c r="AJ94" s="713">
        <f>'org. Düngung 22'!L93</f>
        <v>0</v>
      </c>
      <c r="AK94" s="57"/>
      <c r="AL94" s="57"/>
      <c r="AM94" s="57">
        <f t="shared" si="684"/>
        <v>0</v>
      </c>
      <c r="AN94" s="57">
        <f t="shared" si="685"/>
        <v>0</v>
      </c>
      <c r="AO94" s="57">
        <f t="shared" si="686"/>
        <v>0</v>
      </c>
      <c r="AP94" s="57">
        <f t="shared" si="687"/>
        <v>0</v>
      </c>
      <c r="AQ94" s="57">
        <f t="shared" si="688"/>
        <v>0</v>
      </c>
      <c r="AR94" s="1029">
        <f t="shared" si="501"/>
        <v>0</v>
      </c>
      <c r="AS94" s="57">
        <f t="shared" si="502"/>
        <v>0</v>
      </c>
      <c r="AT94" s="171" t="str">
        <f t="shared" si="503"/>
        <v/>
      </c>
      <c r="AU94" s="57">
        <f t="shared" si="689"/>
        <v>0</v>
      </c>
      <c r="AV94" s="57">
        <f>IF(OR(AND(AJ$6=1,$L94=0),AND(AJ$6=2,$K94=2,$G94=1)),0,IF(AND(AL$9=2,(OR($F94&gt;1,$K94=1,AND($L94=80,OR($N94=1,AND($N94=2,'#BerechnungDBE'!$AL85&gt;0)))))),IF(AJ$4&gt;=$AD$126,0,AT94),IF(AL$9=3,IF(OR(AJ$4&gt;=$AD$127,AND($G94=1,$J94=2,AJ$6=2),AND(AJ$6=1,$N94&lt;&gt;1)),0,IF(AN94&lt;=120,AT94,IF(AJ$4&lt;$AD$124,IF($F94=1,60/AL$4*AL$6,60/AL$4*AL$7),IF($F94=1,120/AL$4*AL$6,120/AL$4*AL$7)))),IF(OR($F94=3,$G94=2),IF(OR(AND(AJ$4&gt;=$AD$119,$C94=2),AND(AJ$4&gt;=$AF$119,$C94=1)),0,IF(AN94&lt;=60,AT94,60/AL$4*AL$7)),IF(AND($F94=2,$G94=1),AT94,0)))))</f>
        <v>0</v>
      </c>
      <c r="AW94" s="57" t="str">
        <f t="shared" si="690"/>
        <v/>
      </c>
      <c r="AX94" s="57" t="str">
        <f t="shared" si="504"/>
        <v/>
      </c>
      <c r="AY94" s="713">
        <f>'org. Düngung 22'!P93</f>
        <v>0</v>
      </c>
      <c r="AZ94" s="57"/>
      <c r="BA94" s="57"/>
      <c r="BB94" s="57">
        <f t="shared" si="505"/>
        <v>0</v>
      </c>
      <c r="BC94" s="57">
        <f t="shared" si="691"/>
        <v>0</v>
      </c>
      <c r="BD94" s="57">
        <f t="shared" si="692"/>
        <v>0</v>
      </c>
      <c r="BE94" s="57">
        <f t="shared" si="693"/>
        <v>0</v>
      </c>
      <c r="BF94" s="57">
        <f t="shared" si="694"/>
        <v>0</v>
      </c>
      <c r="BG94" s="1029">
        <f t="shared" si="506"/>
        <v>0</v>
      </c>
      <c r="BH94" s="57">
        <f t="shared" si="507"/>
        <v>0</v>
      </c>
      <c r="BI94" s="171" t="str">
        <f t="shared" si="508"/>
        <v/>
      </c>
      <c r="BJ94" s="57">
        <f t="shared" si="695"/>
        <v>0</v>
      </c>
      <c r="BK94" s="57">
        <f>IF(OR(AND(AY$6=1,$L94=0),AND(AY$6=2,$K94=2,$G94=1)),0,IF(AND(BA$9=2,(OR($F94&gt;1,$K94=1,AND($L94=80,OR($N94=1,AND($N94=2,'#BerechnungDBE'!$AL85&gt;0)))))),IF(AY$4&gt;=$AD$126,0,BI94),IF(BA$9=3,IF(OR(AY$4&gt;=$AD$127,AND($G94=1,$J94=2,AY$6=2),AND(AY$6=1,$N94&lt;&gt;1)),0,IF(BC94&lt;=120,BI94,IF(AY$4&lt;$AD$124,IF($F94=1,60/BA$4*BA$6,60/BA$4*BA$7),IF($F94=1,120/BA$4*BA$6,120/BA$4*BA$7)))),IF(OR($F94=3,$G94=2),IF(OR(AND(AY$4&gt;=$AD$119,$C94=2),AND(AY$4&gt;=$AF$119,$C94=1)),0,IF(BC94&lt;=60,BI94,60/BA$4*BA$7)),IF(AND($F94=2,$G94=1),BI94,0)))))</f>
        <v>0</v>
      </c>
      <c r="BL94" s="57" t="str">
        <f t="shared" si="509"/>
        <v/>
      </c>
      <c r="BM94" s="57" t="str">
        <f t="shared" si="510"/>
        <v/>
      </c>
      <c r="BN94" s="713">
        <f>'org. Düngung 22'!T93</f>
        <v>0</v>
      </c>
      <c r="BO94" s="57"/>
      <c r="BP94" s="57"/>
      <c r="BQ94" s="57">
        <f t="shared" si="511"/>
        <v>0</v>
      </c>
      <c r="BR94" s="57">
        <f t="shared" si="696"/>
        <v>0</v>
      </c>
      <c r="BS94" s="57">
        <f t="shared" si="697"/>
        <v>0</v>
      </c>
      <c r="BT94" s="57">
        <f t="shared" si="698"/>
        <v>0</v>
      </c>
      <c r="BU94" s="57">
        <f t="shared" si="699"/>
        <v>0</v>
      </c>
      <c r="BV94" s="1029">
        <f t="shared" si="512"/>
        <v>0</v>
      </c>
      <c r="BW94" s="57">
        <f t="shared" si="513"/>
        <v>0</v>
      </c>
      <c r="BX94" s="171" t="str">
        <f t="shared" si="514"/>
        <v/>
      </c>
      <c r="BY94" s="57">
        <f t="shared" si="700"/>
        <v>0</v>
      </c>
      <c r="BZ94" s="57">
        <f>IF(OR(AND(BN$6=1,$L94=0),AND(BN$6=2,$K94=2,$G94=1)),0,IF(AND(BP$9=2,(OR($F94&gt;1,$K94=1,AND($L94=80,OR($N94=1,AND($N94=2,'#BerechnungDBE'!$AL85&gt;0)))))),IF(BN$4&gt;=$AD$126,0,BX94),IF(BP$9=3,IF(OR(BN$4&gt;=$AD$127,AND($G94=1,$J94=2,BN$6=2),AND(BN$6=1,$N94&lt;&gt;1)),0,IF(BR94&lt;=120,BX94,IF(BN$4&lt;$AD$124,IF($F94=1,60/BP$4*BP$6,60/BP$4*BP$7),IF($F94=1,120/BP$4*BP$6,120/BP$4*BP$7)))),IF(OR($F94=3,$G94=2),IF(OR(AND(BN$4&gt;=$AD$119,$C94=2),AND(BN$4&gt;=$AF$119,$C94=1)),0,IF(BR94&lt;=60,BX94,60/BP$4*BP$7)),IF(AND($F94=2,$G94=1),BX94,0)))))</f>
        <v>0</v>
      </c>
      <c r="CA94" s="57" t="str">
        <f t="shared" si="515"/>
        <v/>
      </c>
      <c r="CB94" s="57" t="str">
        <f t="shared" si="516"/>
        <v/>
      </c>
      <c r="CC94" s="713">
        <f>'org. Düngung 22'!X93</f>
        <v>0</v>
      </c>
      <c r="CD94" s="57"/>
      <c r="CE94" s="57"/>
      <c r="CF94" s="57">
        <f t="shared" si="517"/>
        <v>0</v>
      </c>
      <c r="CG94" s="57">
        <f t="shared" si="701"/>
        <v>0</v>
      </c>
      <c r="CH94" s="57">
        <f t="shared" si="702"/>
        <v>0</v>
      </c>
      <c r="CI94" s="57">
        <f t="shared" si="703"/>
        <v>0</v>
      </c>
      <c r="CJ94" s="57">
        <f t="shared" si="704"/>
        <v>0</v>
      </c>
      <c r="CK94" s="1029">
        <f t="shared" si="518"/>
        <v>0</v>
      </c>
      <c r="CL94" s="57">
        <f t="shared" si="519"/>
        <v>0</v>
      </c>
      <c r="CM94" s="171" t="str">
        <f t="shared" si="520"/>
        <v/>
      </c>
      <c r="CN94" s="57">
        <f t="shared" si="705"/>
        <v>0</v>
      </c>
      <c r="CO94" s="57">
        <f>IF(OR(AND(CC$6=1,$L94=0),AND(CC$6=2,$K94=2,$G94=1)),0,IF(AND(CE$9=2,(OR($F94&gt;1,$K94=1,AND($L94=80,OR($N94=1,AND($N94=2,'#BerechnungDBE'!$AL85&gt;0)))))),IF(CC$4&gt;=$AD$126,0,CM94),IF(CE$9=3,IF(OR(CC$4&gt;=$AD$127,AND($G94=1,$J94=2,CC$6=2),AND(CC$6=1,$N94&lt;&gt;1)),0,IF(CG94&lt;=120,CM94,IF(CC$4&lt;$AD$124,IF($F94=1,60/CE$4*CE$6,60/CE$4*CE$7),IF($F94=1,120/CE$4*CE$6,120/CE$4*CE$7)))),IF(OR($F94=3,$G94=2),IF(OR(AND(CC$4&gt;=$AD$119,$C94=2),AND(CC$4&gt;=$AF$119,$C94=1)),0,IF(CG94&lt;=60,CM94,60/CE$4*CE$7)),IF(AND($F94=2,$G94=1),CM94,0)))))</f>
        <v>0</v>
      </c>
      <c r="CP94" s="57" t="str">
        <f t="shared" si="521"/>
        <v/>
      </c>
      <c r="CQ94" s="57" t="str">
        <f t="shared" si="522"/>
        <v/>
      </c>
      <c r="CR94" s="713">
        <f>'org. Düngung 22'!AB93</f>
        <v>0</v>
      </c>
      <c r="CS94" s="57"/>
      <c r="CT94" s="57"/>
      <c r="CU94" s="57">
        <f t="shared" si="523"/>
        <v>0</v>
      </c>
      <c r="CV94" s="57">
        <f t="shared" si="706"/>
        <v>0</v>
      </c>
      <c r="CW94" s="57">
        <f t="shared" si="707"/>
        <v>0</v>
      </c>
      <c r="CX94" s="57">
        <f t="shared" si="708"/>
        <v>0</v>
      </c>
      <c r="CY94" s="57">
        <f t="shared" si="709"/>
        <v>0</v>
      </c>
      <c r="CZ94" s="1029">
        <f t="shared" si="524"/>
        <v>0</v>
      </c>
      <c r="DA94" s="57">
        <f t="shared" si="525"/>
        <v>0</v>
      </c>
      <c r="DB94" s="171" t="str">
        <f t="shared" si="526"/>
        <v/>
      </c>
      <c r="DC94" s="57">
        <f t="shared" si="710"/>
        <v>0</v>
      </c>
      <c r="DD94" s="57">
        <f>IF(OR(AND(CR$6=1,$L94=0),AND(CR$6=2,$K94=2,$G94=1)),0,IF(AND(CT$9=2,(OR($F94&gt;1,$K94=1,AND($L94=80,OR($N94=1,AND($N94=2,'#BerechnungDBE'!$AL85&gt;0)))))),IF(CR$4&gt;=$AD$126,0,DB94),IF(CT$9=3,IF(OR(CR$4&gt;=$AD$127,AND($G94=1,$J94=2,CR$6=2),AND(CR$6=1,$N94&lt;&gt;1)),0,IF(CV94&lt;=120,DB94,IF(CR$4&lt;$AD$124,IF($F94=1,60/CT$4*CT$6,60/CT$4*CT$7),IF($F94=1,120/CT$4*CT$6,120/CT$4*CT$7)))),IF(OR($F94=3,$G94=2),IF(OR(AND(CR$4&gt;=$AD$119,$C94=2),AND(CR$4&gt;=$AF$119,$C94=1)),0,IF(CV94&lt;=60,DB94,60/CT$4*CT$7)),IF(AND($F94=2,$G94=1),DB94,0)))))</f>
        <v>0</v>
      </c>
      <c r="DE94" s="57" t="str">
        <f t="shared" si="527"/>
        <v/>
      </c>
      <c r="DF94" s="57" t="str">
        <f t="shared" si="528"/>
        <v/>
      </c>
      <c r="DG94" s="713">
        <f>'org. Düngung 22'!AF93</f>
        <v>0</v>
      </c>
      <c r="DH94" s="57"/>
      <c r="DI94" s="57"/>
      <c r="DJ94" s="57">
        <f t="shared" si="529"/>
        <v>0</v>
      </c>
      <c r="DK94" s="57">
        <f t="shared" si="711"/>
        <v>0</v>
      </c>
      <c r="DL94" s="57">
        <f t="shared" si="712"/>
        <v>0</v>
      </c>
      <c r="DM94" s="57">
        <f t="shared" si="713"/>
        <v>0</v>
      </c>
      <c r="DN94" s="57">
        <f t="shared" si="714"/>
        <v>0</v>
      </c>
      <c r="DO94" s="1029">
        <f t="shared" si="530"/>
        <v>0</v>
      </c>
      <c r="DP94" s="57">
        <f t="shared" si="531"/>
        <v>0</v>
      </c>
      <c r="DQ94" s="171" t="str">
        <f t="shared" si="532"/>
        <v/>
      </c>
      <c r="DR94" s="57">
        <f t="shared" si="715"/>
        <v>0</v>
      </c>
      <c r="DS94" s="57">
        <f>IF(OR(AND(DG$6=1,$L94=0),AND(DG$6=2,$K94=2,$G94=1)),0,IF(AND(DI$9=2,(OR($F94&gt;1,$K94=1,AND($L94=80,OR($N94=1,AND($N94=2,'#BerechnungDBE'!$AL85&gt;0)))))),IF(DG$4&gt;=$AD$126,0,DQ94),IF(DI$9=3,IF(OR(DG$4&gt;=$AD$127,AND($G94=1,$J94=2,DG$6=2),AND(DG$6=1,$N94&lt;&gt;1)),0,IF(DK94&lt;=120,DQ94,IF(DG$4&lt;$AD$124,IF($F94=1,60/DI$4*DI$6,60/DI$4*DI$7),IF($F94=1,120/DI$4*DI$6,120/DI$4*DI$7)))),IF(OR($F94=3,$G94=2),IF(OR(AND(DG$4&gt;=$AD$119,$C94=2),AND(DG$4&gt;=$AF$119,$C94=1)),0,IF(DK94&lt;=60,DQ94,60/DI$4*DI$7)),IF(AND($F94=2,$G94=1),DQ94,0)))))</f>
        <v>0</v>
      </c>
      <c r="DT94" s="57" t="str">
        <f t="shared" si="533"/>
        <v/>
      </c>
      <c r="DU94" s="57" t="str">
        <f t="shared" si="534"/>
        <v/>
      </c>
      <c r="DV94" s="713">
        <f>'org. Düngung 22'!AJ93</f>
        <v>0</v>
      </c>
      <c r="DW94" s="57"/>
      <c r="DX94" s="57"/>
      <c r="DY94" s="57">
        <f t="shared" si="535"/>
        <v>0</v>
      </c>
      <c r="DZ94" s="57">
        <f t="shared" si="716"/>
        <v>0</v>
      </c>
      <c r="EA94" s="57">
        <f t="shared" si="717"/>
        <v>0</v>
      </c>
      <c r="EB94" s="57">
        <f t="shared" si="718"/>
        <v>0</v>
      </c>
      <c r="EC94" s="57">
        <f t="shared" si="719"/>
        <v>0</v>
      </c>
      <c r="ED94" s="1029">
        <f t="shared" si="536"/>
        <v>0</v>
      </c>
      <c r="EE94" s="57">
        <f t="shared" si="537"/>
        <v>0</v>
      </c>
      <c r="EF94" s="171" t="str">
        <f t="shared" si="538"/>
        <v/>
      </c>
      <c r="EG94" s="57">
        <f t="shared" si="720"/>
        <v>0</v>
      </c>
      <c r="EH94" s="57">
        <f>IF(OR(AND(DV$6=1,$L94=0),AND(DV$6=2,$K94=2,$G94=1)),0,IF(AND(DX$9=2,(OR($F94&gt;1,$K94=1,AND($L94=80,OR($N94=1,AND($N94=2,'#BerechnungDBE'!$AL85&gt;0)))))),IF(DV$4&gt;=$AD$126,0,EF94),IF(DX$9=3,IF(OR(DV$4&gt;=$AD$127,AND($G94=1,$J94=2,DV$6=2),AND(DV$6=1,$N94&lt;&gt;1)),0,IF(DZ94&lt;=120,EF94,IF(DV$4&lt;$AD$124,IF($F94=1,60/DX$4*DX$6,60/DX$4*DX$7),IF($F94=1,120/DX$4*DX$6,120/DX$4*DX$7)))),IF(OR($F94=3,$G94=2),IF(OR(AND(DV$4&gt;=$AD$119,$C94=2),AND(DV$4&gt;=$AF$119,$C94=1)),0,IF(DZ94&lt;=60,EF94,60/DX$4*DX$7)),IF(AND($F94=2,$G94=1),EF94,0)))))</f>
        <v>0</v>
      </c>
      <c r="EI94" s="57" t="str">
        <f t="shared" si="539"/>
        <v/>
      </c>
      <c r="EJ94" s="57" t="str">
        <f t="shared" si="540"/>
        <v/>
      </c>
      <c r="EK94" s="713">
        <f>'org. Düngung 22'!AN93</f>
        <v>0</v>
      </c>
      <c r="EL94" s="57"/>
      <c r="EM94" s="57"/>
      <c r="EN94" s="57">
        <f t="shared" si="541"/>
        <v>0</v>
      </c>
      <c r="EO94" s="57">
        <f t="shared" si="721"/>
        <v>0</v>
      </c>
      <c r="EP94" s="57">
        <f t="shared" si="722"/>
        <v>0</v>
      </c>
      <c r="EQ94" s="57">
        <f t="shared" si="723"/>
        <v>0</v>
      </c>
      <c r="ER94" s="57">
        <f t="shared" si="724"/>
        <v>0</v>
      </c>
      <c r="ES94" s="1029">
        <f t="shared" si="542"/>
        <v>0</v>
      </c>
      <c r="ET94" s="57">
        <f t="shared" si="543"/>
        <v>0</v>
      </c>
      <c r="EU94" s="171" t="str">
        <f t="shared" si="544"/>
        <v/>
      </c>
      <c r="EV94" s="57">
        <f t="shared" si="725"/>
        <v>0</v>
      </c>
      <c r="EW94" s="57">
        <f>IF(OR(AND(EK$6=1,$L94=0),AND(EK$6=2,$K94=2,$G94=1)),0,IF(AND(EM$9=2,(OR($F94&gt;1,$K94=1,AND($L94=80,OR($N94=1,AND($N94=2,'#BerechnungDBE'!$AL85&gt;0)))))),IF(EK$4&gt;=$AD$126,0,EU94),IF(EM$9=3,IF(OR(EK$4&gt;=$AD$127,AND($G94=1,$J94=2,EK$6=2),AND(EK$6=1,$N94&lt;&gt;1)),0,IF(EO94&lt;=120,EU94,IF(EK$4&lt;$AD$124,IF($F94=1,60/EM$4*EM$6,60/EM$4*EM$7),IF($F94=1,120/EM$4*EM$6,120/EM$4*EM$7)))),IF(OR($F94=3,$G94=2),IF(OR(AND(EK$4&gt;=$AD$119,$C94=2),AND(EK$4&gt;=$AF$119,$C94=1)),0,IF(EO94&lt;=60,EU94,60/EM$4*EM$7)),IF(AND($F94=2,$G94=1),EU94,0)))))</f>
        <v>0</v>
      </c>
      <c r="EX94" s="57" t="str">
        <f t="shared" si="545"/>
        <v/>
      </c>
      <c r="EY94" s="57" t="str">
        <f t="shared" si="546"/>
        <v/>
      </c>
      <c r="EZ94" s="713">
        <f>'org. Düngung 22'!AR93</f>
        <v>0</v>
      </c>
      <c r="FA94" s="57"/>
      <c r="FB94" s="57"/>
      <c r="FC94" s="57">
        <f t="shared" si="547"/>
        <v>0</v>
      </c>
      <c r="FD94" s="57">
        <f t="shared" si="726"/>
        <v>0</v>
      </c>
      <c r="FE94" s="57">
        <f t="shared" si="727"/>
        <v>0</v>
      </c>
      <c r="FF94" s="57">
        <f t="shared" si="728"/>
        <v>0</v>
      </c>
      <c r="FG94" s="57">
        <f t="shared" si="729"/>
        <v>0</v>
      </c>
      <c r="FH94" s="1029">
        <f t="shared" si="548"/>
        <v>0</v>
      </c>
      <c r="FI94" s="57">
        <f t="shared" si="549"/>
        <v>0</v>
      </c>
      <c r="FJ94" s="171" t="str">
        <f t="shared" si="550"/>
        <v/>
      </c>
      <c r="FK94" s="57">
        <f t="shared" si="730"/>
        <v>0</v>
      </c>
      <c r="FL94" s="57">
        <f>IF(OR(AND(EZ$6=1,$L94=0),AND(EZ$6=2,$K94=2,$G94=1)),0,IF(AND(FB$9=2,(OR($F94&gt;1,$K94=1,AND($L94=80,OR($N94=1,AND($N94=2,'#BerechnungDBE'!$AL85&gt;0)))))),IF(EZ$4&gt;=$AD$126,0,FJ94),IF(FB$9=3,IF(OR(EZ$4&gt;=$AD$127,AND($G94=1,$J94=2,EZ$6=2),AND(EZ$6=1,$N94&lt;&gt;1)),0,IF(FD94&lt;=120,FJ94,IF(EZ$4&lt;$AD$124,IF($F94=1,60/FB$4*FB$6,60/FB$4*FB$7),IF($F94=1,120/FB$4*FB$6,120/FB$4*FB$7)))),IF(OR($F94=3,$G94=2),IF(OR(AND(EZ$4&gt;=$AD$119,$C94=2),AND(EZ$4&gt;=$AF$119,$C94=1)),0,IF(FD94&lt;=60,FJ94,60/FB$4*FB$7)),IF(AND($F94=2,$G94=1),FJ94,0)))))</f>
        <v>0</v>
      </c>
      <c r="FM94" s="57" t="str">
        <f t="shared" si="551"/>
        <v/>
      </c>
      <c r="FN94" s="57" t="str">
        <f t="shared" si="552"/>
        <v/>
      </c>
      <c r="FO94" s="713">
        <f>'org. Düngung 22'!AV93</f>
        <v>0</v>
      </c>
      <c r="FP94" s="57"/>
      <c r="FQ94" s="57"/>
      <c r="FR94" s="57">
        <f t="shared" si="553"/>
        <v>0</v>
      </c>
      <c r="FS94" s="57">
        <f t="shared" si="731"/>
        <v>0</v>
      </c>
      <c r="FT94" s="57">
        <f t="shared" si="732"/>
        <v>0</v>
      </c>
      <c r="FU94" s="57">
        <f t="shared" si="733"/>
        <v>0</v>
      </c>
      <c r="FV94" s="57">
        <f t="shared" si="734"/>
        <v>0</v>
      </c>
      <c r="FW94" s="1029">
        <f t="shared" si="554"/>
        <v>0</v>
      </c>
      <c r="FX94" s="57">
        <f t="shared" si="555"/>
        <v>0</v>
      </c>
      <c r="FY94" s="171" t="str">
        <f t="shared" si="556"/>
        <v/>
      </c>
      <c r="FZ94" s="57">
        <f t="shared" si="735"/>
        <v>0</v>
      </c>
      <c r="GA94" s="57">
        <f>IF(OR(AND(FO$6=1,$L94=0),AND(FO$6=2,$K94=2,$G94=1)),0,IF(AND(FQ$9=2,(OR($F94&gt;1,$K94=1,AND($L94=80,OR($N94=1,AND($N94=2,'#BerechnungDBE'!$AL85&gt;0)))))),IF(FO$4&gt;=$AD$126,0,FY94),IF(FQ$9=3,IF(OR(FO$4&gt;=$AD$127,AND($G94=1,$J94=2,FO$6=2),AND(FO$6=1,$N94&lt;&gt;1)),0,IF(FS94&lt;=120,FY94,IF(FO$4&lt;$AD$124,IF($F94=1,60/FQ$4*FQ$6,60/FQ$4*FQ$7),IF($F94=1,120/FQ$4*FQ$6,120/FQ$4*FQ$7)))),IF(OR($F94=3,$G94=2),IF(OR(AND(FO$4&gt;=$AD$119,$C94=2),AND(FO$4&gt;=$AF$119,$C94=1)),0,IF(FS94&lt;=60,FY94,60/FQ$4*FQ$7)),IF(AND($F94=2,$G94=1),FY94,0)))))</f>
        <v>0</v>
      </c>
      <c r="GB94" s="57" t="str">
        <f t="shared" si="557"/>
        <v/>
      </c>
      <c r="GC94" s="57" t="str">
        <f t="shared" si="558"/>
        <v/>
      </c>
      <c r="GD94" s="713">
        <f>'org. Düngung 22'!AZ93</f>
        <v>0</v>
      </c>
      <c r="GE94" s="57"/>
      <c r="GF94" s="57"/>
      <c r="GG94" s="57">
        <f t="shared" si="559"/>
        <v>0</v>
      </c>
      <c r="GH94" s="57">
        <f t="shared" si="736"/>
        <v>0</v>
      </c>
      <c r="GI94" s="57">
        <f t="shared" si="737"/>
        <v>0</v>
      </c>
      <c r="GJ94" s="57">
        <f t="shared" si="738"/>
        <v>0</v>
      </c>
      <c r="GK94" s="57">
        <f t="shared" si="739"/>
        <v>0</v>
      </c>
      <c r="GL94" s="1029">
        <f t="shared" si="560"/>
        <v>0</v>
      </c>
      <c r="GM94" s="57">
        <f t="shared" si="561"/>
        <v>0</v>
      </c>
      <c r="GN94" s="171" t="str">
        <f t="shared" si="562"/>
        <v/>
      </c>
      <c r="GO94" s="57">
        <f t="shared" si="740"/>
        <v>0</v>
      </c>
      <c r="GP94" s="57">
        <f>IF(OR(AND(GD$6=1,$L94=0),AND(GD$6=2,$K94=2,$G94=1)),0,IF(AND(GF$9=2,(OR($F94&gt;1,$K94=1,AND($L94=80,OR($N94=1,AND($N94=2,'#BerechnungDBE'!$AL85&gt;0)))))),IF(GD$4&gt;=$AD$126,0,GN94),IF(GF$9=3,IF(OR(GD$4&gt;=$AD$127,AND($G94=1,$J94=2,GD$6=2),AND(GD$6=1,$N94&lt;&gt;1)),0,IF(GH94&lt;=120,GN94,IF(GD$4&lt;$AD$124,IF($F94=1,60/GF$4*GF$6,60/GF$4*GF$7),IF($F94=1,120/GF$4*GF$6,120/GF$4*GF$7)))),IF(OR($F94=3,$G94=2),IF(OR(AND(GD$4&gt;=$AD$119,$C94=2),AND(GD$4&gt;=$AF$119,$C94=1)),0,IF(GH94&lt;=60,GN94,60/GF$4*GF$7)),IF(AND($F94=2,$G94=1),GN94,0)))))</f>
        <v>0</v>
      </c>
      <c r="GQ94" s="57" t="str">
        <f t="shared" si="563"/>
        <v/>
      </c>
      <c r="GR94" s="57" t="str">
        <f t="shared" si="564"/>
        <v/>
      </c>
      <c r="GS94" s="713">
        <f>'org. Düngung 22'!BD93</f>
        <v>0</v>
      </c>
      <c r="GT94" s="57"/>
      <c r="GU94" s="57"/>
      <c r="GV94" s="57">
        <f t="shared" si="565"/>
        <v>0</v>
      </c>
      <c r="GW94" s="57">
        <f t="shared" si="741"/>
        <v>0</v>
      </c>
      <c r="GX94" s="57">
        <f t="shared" si="742"/>
        <v>0</v>
      </c>
      <c r="GY94" s="57">
        <f t="shared" si="743"/>
        <v>0</v>
      </c>
      <c r="GZ94" s="57">
        <f t="shared" si="744"/>
        <v>0</v>
      </c>
      <c r="HA94" s="1029">
        <f t="shared" si="566"/>
        <v>0</v>
      </c>
      <c r="HB94" s="57">
        <f t="shared" si="567"/>
        <v>0</v>
      </c>
      <c r="HC94" s="171" t="str">
        <f t="shared" si="568"/>
        <v/>
      </c>
      <c r="HD94" s="57">
        <f t="shared" si="745"/>
        <v>0</v>
      </c>
      <c r="HE94" s="57">
        <f>IF(OR(AND(GS$6=1,$L94=0),AND(GS$6=2,$K94=2,$G94=1)),0,IF(AND(GU$9=2,(OR($F94&gt;1,$K94=1,AND($L94=80,OR($N94=1,AND($N94=2,'#BerechnungDBE'!$AL85&gt;0)))))),IF(GS$4&gt;=$AD$126,0,HC94),IF(GU$9=3,IF(OR(GS$4&gt;=$AD$127,AND($G94=1,$J94=2,GS$6=2),AND(GS$6=1,$N94&lt;&gt;1)),0,IF(GW94&lt;=120,HC94,IF(GS$4&lt;$AD$124,IF($F94=1,60/GU$4*GU$6,60/GU$4*GU$7),IF($F94=1,120/GU$4*GU$6,120/GU$4*GU$7)))),IF(OR($F94=3,$G94=2),IF(OR(AND(GS$4&gt;=$AD$119,$C94=2),AND(GS$4&gt;=$AF$119,$C94=1)),0,IF(GW94&lt;=60,HC94,60/GU$4*GU$7)),IF(AND($F94=2,$G94=1),HC94,0)))))</f>
        <v>0</v>
      </c>
      <c r="HF94" s="57" t="str">
        <f t="shared" si="569"/>
        <v/>
      </c>
      <c r="HG94" s="57" t="str">
        <f t="shared" si="570"/>
        <v/>
      </c>
      <c r="HH94" s="713">
        <f>'org. Düngung 22'!BH93</f>
        <v>0</v>
      </c>
      <c r="HI94" s="57"/>
      <c r="HJ94" s="57"/>
      <c r="HK94" s="57">
        <f t="shared" si="571"/>
        <v>0</v>
      </c>
      <c r="HL94" s="57">
        <f t="shared" si="746"/>
        <v>0</v>
      </c>
      <c r="HM94" s="57">
        <f t="shared" si="747"/>
        <v>0</v>
      </c>
      <c r="HN94" s="57">
        <f t="shared" si="748"/>
        <v>0</v>
      </c>
      <c r="HO94" s="57">
        <f t="shared" si="749"/>
        <v>0</v>
      </c>
      <c r="HP94" s="1029">
        <f t="shared" si="572"/>
        <v>0</v>
      </c>
      <c r="HQ94" s="57">
        <f t="shared" si="573"/>
        <v>0</v>
      </c>
      <c r="HR94" s="171" t="str">
        <f t="shared" si="574"/>
        <v/>
      </c>
      <c r="HS94" s="57">
        <f t="shared" si="750"/>
        <v>0</v>
      </c>
      <c r="HT94" s="57">
        <f>IF(OR(AND(HH$6=1,$L94=0),AND(HH$6=2,$K94=2,$G94=1)),0,IF(AND(HJ$9=2,(OR($F94&gt;1,$K94=1,AND($L94=80,OR($N94=1,AND($N94=2,'#BerechnungDBE'!$AL85&gt;0)))))),IF(HH$4&gt;=$AD$126,0,HR94),IF(HJ$9=3,IF(OR(HH$4&gt;=$AD$127,AND($G94=1,$J94=2,HH$6=2),AND(HH$6=1,$N94&lt;&gt;1)),0,IF(HL94&lt;=120,HR94,IF(HH$4&lt;$AD$124,IF($F94=1,60/HJ$4*HJ$6,60/HJ$4*HJ$7),IF($F94=1,120/HJ$4*HJ$6,120/HJ$4*HJ$7)))),IF(OR($F94=3,$G94=2),IF(OR(AND(HH$4&gt;=$AD$119,$C94=2),AND(HH$4&gt;=$AF$119,$C94=1)),0,IF(HL94&lt;=60,HR94,60/HJ$4*HJ$7)),IF(AND($F94=2,$G94=1),HR94,0)))))</f>
        <v>0</v>
      </c>
      <c r="HU94" s="57" t="str">
        <f t="shared" si="575"/>
        <v/>
      </c>
      <c r="HV94" s="57" t="str">
        <f t="shared" si="576"/>
        <v/>
      </c>
      <c r="HW94" s="713">
        <f>'org. Düngung 22'!BL93</f>
        <v>0</v>
      </c>
      <c r="HX94" s="57"/>
      <c r="HY94" s="57"/>
      <c r="HZ94" s="57">
        <f t="shared" si="577"/>
        <v>0</v>
      </c>
      <c r="IA94" s="57">
        <f t="shared" si="751"/>
        <v>0</v>
      </c>
      <c r="IB94" s="57">
        <f t="shared" si="752"/>
        <v>0</v>
      </c>
      <c r="IC94" s="57">
        <f t="shared" si="753"/>
        <v>0</v>
      </c>
      <c r="ID94" s="57">
        <f t="shared" si="754"/>
        <v>0</v>
      </c>
      <c r="IE94" s="1029">
        <f t="shared" si="578"/>
        <v>0</v>
      </c>
      <c r="IF94" s="57">
        <f t="shared" si="579"/>
        <v>0</v>
      </c>
      <c r="IG94" s="171" t="str">
        <f t="shared" si="580"/>
        <v/>
      </c>
      <c r="IH94" s="57">
        <f t="shared" si="755"/>
        <v>0</v>
      </c>
      <c r="II94" s="57">
        <f>IF(OR(AND(HW$6=1,$L94=0),AND(HW$6=2,$K94=2,$G94=1)),0,IF(AND(HY$9=2,(OR($F94&gt;1,$K94=1,AND($L94=80,OR($N94=1,AND($N94=2,'#BerechnungDBE'!$AL85&gt;0)))))),IF(HW$4&gt;=$AD$126,0,IG94),IF(HY$9=3,IF(OR(HW$4&gt;=$AD$127,AND($G94=1,$J94=2,HW$6=2),AND(HW$6=1,$N94&lt;&gt;1)),0,IF(IA94&lt;=120,IG94,IF(HW$4&lt;$AD$124,IF($F94=1,60/HY$4*HY$6,60/HY$4*HY$7),IF($F94=1,120/HY$4*HY$6,120/HY$4*HY$7)))),IF(OR($F94=3,$G94=2),IF(OR(AND(HW$4&gt;=$AD$119,$C94=2),AND(HW$4&gt;=$AF$119,$C94=1)),0,IF(IA94&lt;=60,IG94,60/HY$4*HY$7)),IF(AND($F94=2,$G94=1),IG94,0)))))</f>
        <v>0</v>
      </c>
      <c r="IJ94" s="57" t="str">
        <f t="shared" si="581"/>
        <v/>
      </c>
      <c r="IK94" s="57" t="str">
        <f t="shared" si="582"/>
        <v/>
      </c>
      <c r="IL94" s="713">
        <f>'org. Düngung 22'!BP93</f>
        <v>0</v>
      </c>
      <c r="IM94" s="57"/>
      <c r="IN94" s="57"/>
      <c r="IO94" s="57">
        <f t="shared" si="583"/>
        <v>0</v>
      </c>
      <c r="IP94" s="57">
        <f t="shared" si="756"/>
        <v>0</v>
      </c>
      <c r="IQ94" s="57">
        <f t="shared" si="757"/>
        <v>0</v>
      </c>
      <c r="IR94" s="57">
        <f t="shared" si="758"/>
        <v>0</v>
      </c>
      <c r="IS94" s="57">
        <f t="shared" si="759"/>
        <v>0</v>
      </c>
      <c r="IT94" s="1029">
        <f t="shared" si="584"/>
        <v>0</v>
      </c>
      <c r="IU94" s="57">
        <f t="shared" si="585"/>
        <v>0</v>
      </c>
      <c r="IV94" s="171" t="str">
        <f t="shared" si="586"/>
        <v/>
      </c>
      <c r="IW94" s="57">
        <f t="shared" si="760"/>
        <v>0</v>
      </c>
      <c r="IX94" s="57">
        <f>IF(OR(AND(IL$6=1,$L94=0),AND(IL$6=2,$K94=2,$G94=1)),0,IF(AND(IN$9=2,(OR($F94&gt;1,$K94=1,AND($L94=80,OR($N94=1,AND($N94=2,'#BerechnungDBE'!$AL85&gt;0)))))),IF(IL$4&gt;=$AD$126,0,IV94),IF(IN$9=3,IF(OR(IL$4&gt;=$AD$127,AND($G94=1,$J94=2,IL$6=2),AND(IL$6=1,$N94&lt;&gt;1)),0,IF(IP94&lt;=120,IV94,IF(IL$4&lt;$AD$124,IF($F94=1,60/IN$4*IN$6,60/IN$4*IN$7),IF($F94=1,120/IN$4*IN$6,120/IN$4*IN$7)))),IF(OR($F94=3,$G94=2),IF(OR(AND(IL$4&gt;=$AD$119,$C94=2),AND(IL$4&gt;=$AF$119,$C94=1)),0,IF(IP94&lt;=60,IV94,60/IN$4*IN$7)),IF(AND($F94=2,$G94=1),IV94,0)))))</f>
        <v>0</v>
      </c>
      <c r="IY94" s="57" t="str">
        <f t="shared" si="587"/>
        <v/>
      </c>
      <c r="IZ94" s="57" t="str">
        <f t="shared" si="588"/>
        <v/>
      </c>
      <c r="JA94" s="713">
        <f>'org. Düngung 22'!BT93</f>
        <v>0</v>
      </c>
      <c r="JB94" s="57"/>
      <c r="JC94" s="57"/>
      <c r="JD94" s="57">
        <f t="shared" si="589"/>
        <v>0</v>
      </c>
      <c r="JE94" s="57">
        <f t="shared" si="761"/>
        <v>0</v>
      </c>
      <c r="JF94" s="57">
        <f t="shared" si="762"/>
        <v>0</v>
      </c>
      <c r="JG94" s="57">
        <f t="shared" si="763"/>
        <v>0</v>
      </c>
      <c r="JH94" s="57">
        <f t="shared" si="764"/>
        <v>0</v>
      </c>
      <c r="JI94" s="1029">
        <f t="shared" si="590"/>
        <v>0</v>
      </c>
      <c r="JJ94" s="57">
        <f t="shared" si="591"/>
        <v>0</v>
      </c>
      <c r="JK94" s="171" t="str">
        <f t="shared" si="592"/>
        <v/>
      </c>
      <c r="JL94" s="57">
        <f t="shared" si="765"/>
        <v>0</v>
      </c>
      <c r="JM94" s="57">
        <f>IF(OR(AND(JA$6=1,$L94=0),AND(JA$6=2,$K94=2,$G94=1)),0,IF(AND(JC$9=2,(OR($F94&gt;1,$K94=1,AND($L94=80,OR($N94=1,AND($N94=2,'#BerechnungDBE'!$AL85&gt;0)))))),IF(JA$4&gt;=$AD$126,0,JK94),IF(JC$9=3,IF(OR(JA$4&gt;=$AD$127,AND($G94=1,$J94=2,JA$6=2),AND(JA$6=1,$N94&lt;&gt;1)),0,IF(JE94&lt;=120,JK94,IF(JA$4&lt;$AD$124,IF($F94=1,60/JC$4*JC$6,60/JC$4*JC$7),IF($F94=1,120/JC$4*JC$6,120/JC$4*JC$7)))),IF(OR($F94=3,$G94=2),IF(OR(AND(JA$4&gt;=$AD$119,$C94=2),AND(JA$4&gt;=$AF$119,$C94=1)),0,IF(JE94&lt;=60,JK94,60/JC$4*JC$7)),IF(AND($F94=2,$G94=1),JK94,0)))))</f>
        <v>0</v>
      </c>
      <c r="JN94" s="57" t="str">
        <f t="shared" si="593"/>
        <v/>
      </c>
      <c r="JO94" s="57" t="str">
        <f t="shared" si="594"/>
        <v/>
      </c>
      <c r="JP94" s="713">
        <f>'org. Düngung 22'!BX93</f>
        <v>0</v>
      </c>
      <c r="JQ94" s="57"/>
      <c r="JR94" s="57"/>
      <c r="JS94" s="57">
        <f t="shared" si="595"/>
        <v>0</v>
      </c>
      <c r="JT94" s="57">
        <f t="shared" si="766"/>
        <v>0</v>
      </c>
      <c r="JU94" s="57">
        <f t="shared" si="767"/>
        <v>0</v>
      </c>
      <c r="JV94" s="57">
        <f t="shared" si="768"/>
        <v>0</v>
      </c>
      <c r="JW94" s="57">
        <f t="shared" si="769"/>
        <v>0</v>
      </c>
      <c r="JX94" s="1029">
        <f t="shared" si="596"/>
        <v>0</v>
      </c>
      <c r="JY94" s="57">
        <f t="shared" si="597"/>
        <v>0</v>
      </c>
      <c r="JZ94" s="171" t="str">
        <f t="shared" si="598"/>
        <v/>
      </c>
      <c r="KA94" s="57">
        <f t="shared" si="770"/>
        <v>0</v>
      </c>
      <c r="KB94" s="57">
        <f>IF(OR(AND(JP$6=1,$L94=0),AND(JP$6=2,$K94=2,$G94=1)),0,IF(AND(JR$9=2,(OR($F94&gt;1,$K94=1,AND($L94=80,OR($N94=1,AND($N94=2,'#BerechnungDBE'!$AL85&gt;0)))))),IF(JP$4&gt;=$AD$126,0,JZ94),IF(JR$9=3,IF(OR(JP$4&gt;=$AD$127,AND($G94=1,$J94=2,JP$6=2),AND(JP$6=1,$N94&lt;&gt;1)),0,IF(JT94&lt;=120,JZ94,IF(JP$4&lt;$AD$124,IF($F94=1,60/JR$4*JR$6,60/JR$4*JR$7),IF($F94=1,120/JR$4*JR$6,120/JR$4*JR$7)))),IF(OR($F94=3,$G94=2),IF(OR(AND(JP$4&gt;=$AD$119,$C94=2),AND(JP$4&gt;=$AF$119,$C94=1)),0,IF(JT94&lt;=60,JZ94,60/JR$4*JR$7)),IF(AND($F94=2,$G94=1),JZ94,0)))))</f>
        <v>0</v>
      </c>
      <c r="KC94" s="57" t="str">
        <f t="shared" si="599"/>
        <v/>
      </c>
      <c r="KD94" s="57" t="str">
        <f t="shared" si="600"/>
        <v/>
      </c>
      <c r="KE94" s="713">
        <f>'org. Düngung 22'!CB93</f>
        <v>0</v>
      </c>
      <c r="KF94" s="57"/>
      <c r="KG94" s="57"/>
      <c r="KH94" s="57">
        <f t="shared" si="601"/>
        <v>0</v>
      </c>
      <c r="KI94" s="57">
        <f t="shared" si="771"/>
        <v>0</v>
      </c>
      <c r="KJ94" s="57">
        <f t="shared" si="772"/>
        <v>0</v>
      </c>
      <c r="KK94" s="57">
        <f t="shared" si="773"/>
        <v>0</v>
      </c>
      <c r="KL94" s="57">
        <f t="shared" si="774"/>
        <v>0</v>
      </c>
      <c r="KM94" s="1029">
        <f t="shared" si="602"/>
        <v>0</v>
      </c>
      <c r="KN94" s="57">
        <f t="shared" si="603"/>
        <v>0</v>
      </c>
      <c r="KO94" s="171" t="str">
        <f t="shared" si="604"/>
        <v/>
      </c>
      <c r="KP94" s="57">
        <f t="shared" si="775"/>
        <v>0</v>
      </c>
      <c r="KQ94" s="57">
        <f>IF(OR(AND(KE$6=1,$L94=0),AND(KE$6=2,$K94=2,$G94=1)),0,IF(AND(KG$9=2,(OR($F94&gt;1,$K94=1,AND($L94=80,OR($N94=1,AND($N94=2,'#BerechnungDBE'!$AL85&gt;0)))))),IF(KE$4&gt;=$AD$126,0,KO94),IF(KG$9=3,IF(OR(KE$4&gt;=$AD$127,AND($G94=1,$J94=2,KE$6=2),AND(KE$6=1,$N94&lt;&gt;1)),0,IF(KI94&lt;=120,KO94,IF(KE$4&lt;$AD$124,IF($F94=1,60/KG$4*KG$6,60/KG$4*KG$7),IF($F94=1,120/KG$4*KG$6,120/KG$4*KG$7)))),IF(OR($F94=3,$G94=2),IF(OR(AND(KE$4&gt;=$AD$119,$C94=2),AND(KE$4&gt;=$AF$119,$C94=1)),0,IF(KI94&lt;=60,KO94,60/KG$4*KG$7)),IF(AND($F94=2,$G94=1),KO94,0)))))</f>
        <v>0</v>
      </c>
      <c r="KR94" s="57" t="str">
        <f t="shared" si="605"/>
        <v/>
      </c>
      <c r="KS94" s="57" t="str">
        <f t="shared" si="606"/>
        <v/>
      </c>
      <c r="KT94" s="713">
        <f>'org. Düngung 22'!CF93</f>
        <v>0</v>
      </c>
      <c r="KU94" s="57"/>
      <c r="KV94" s="57"/>
      <c r="KW94" s="57">
        <f t="shared" si="607"/>
        <v>0</v>
      </c>
      <c r="KX94" s="57">
        <f t="shared" si="776"/>
        <v>0</v>
      </c>
      <c r="KY94" s="57">
        <f t="shared" si="777"/>
        <v>0</v>
      </c>
      <c r="KZ94" s="57">
        <f t="shared" si="778"/>
        <v>0</v>
      </c>
      <c r="LA94" s="57">
        <f t="shared" si="779"/>
        <v>0</v>
      </c>
      <c r="LB94" s="1029">
        <f t="shared" si="608"/>
        <v>0</v>
      </c>
      <c r="LC94" s="57">
        <f t="shared" si="609"/>
        <v>0</v>
      </c>
      <c r="LD94" s="171" t="str">
        <f t="shared" si="610"/>
        <v/>
      </c>
      <c r="LE94" s="57">
        <f t="shared" si="780"/>
        <v>0</v>
      </c>
      <c r="LF94" s="57">
        <f>IF(OR(AND(KT$6=1,$L94=0),AND(KT$6=2,$K94=2,$G94=1)),0,IF(AND(KV$9=2,(OR($F94&gt;1,$K94=1,AND($L94=80,OR($N94=1,AND($N94=2,'#BerechnungDBE'!$AL85&gt;0)))))),IF(KT$4&gt;=$AD$126,0,LD94),IF(KV$9=3,IF(OR(KT$4&gt;=$AD$127,AND($G94=1,$J94=2,KT$6=2),AND(KT$6=1,$N94&lt;&gt;1)),0,IF(KX94&lt;=120,LD94,IF(KT$4&lt;$AD$124,IF($F94=1,60/KV$4*KV$6,60/KV$4*KV$7),IF($F94=1,120/KV$4*KV$6,120/KV$4*KV$7)))),IF(OR($F94=3,$G94=2),IF(OR(AND(KT$4&gt;=$AD$119,$C94=2),AND(KT$4&gt;=$AF$119,$C94=1)),0,IF(KX94&lt;=60,LD94,60/KV$4*KV$7)),IF(AND($F94=2,$G94=1),LD94,0)))))</f>
        <v>0</v>
      </c>
      <c r="LG94" s="57" t="str">
        <f t="shared" si="611"/>
        <v/>
      </c>
      <c r="LH94" s="57" t="str">
        <f t="shared" si="612"/>
        <v/>
      </c>
      <c r="LI94" s="713">
        <f>'org. Düngung 22'!CJ93</f>
        <v>0</v>
      </c>
      <c r="LJ94" s="57"/>
      <c r="LK94" s="57"/>
      <c r="LL94" s="57">
        <f t="shared" si="613"/>
        <v>0</v>
      </c>
      <c r="LM94" s="57">
        <f t="shared" si="781"/>
        <v>0</v>
      </c>
      <c r="LN94" s="57">
        <f t="shared" si="782"/>
        <v>0</v>
      </c>
      <c r="LO94" s="57">
        <f t="shared" si="783"/>
        <v>0</v>
      </c>
      <c r="LP94" s="57">
        <f t="shared" si="784"/>
        <v>0</v>
      </c>
      <c r="LQ94" s="1029">
        <f t="shared" si="614"/>
        <v>0</v>
      </c>
      <c r="LR94" s="57">
        <f t="shared" si="615"/>
        <v>0</v>
      </c>
      <c r="LS94" s="171" t="str">
        <f t="shared" si="616"/>
        <v/>
      </c>
      <c r="LT94" s="57">
        <f t="shared" si="785"/>
        <v>0</v>
      </c>
      <c r="LU94" s="57">
        <f>IF(OR(AND(LI$6=1,$L94=0),AND(LI$6=2,$K94=2,$G94=1)),0,IF(AND(LK$9=2,(OR($F94&gt;1,$K94=1,AND($L94=80,OR($N94=1,AND($N94=2,'#BerechnungDBE'!$AL85&gt;0)))))),IF(LI$4&gt;=$AD$126,0,LS94),IF(LK$9=3,IF(OR(LI$4&gt;=$AD$127,AND($G94=1,$J94=2,LI$6=2),AND(LI$6=1,$N94&lt;&gt;1)),0,IF(LM94&lt;=120,LS94,IF(LI$4&lt;$AD$124,IF($F94=1,60/LK$4*LK$6,60/LK$4*LK$7),IF($F94=1,120/LK$4*LK$6,120/LK$4*LK$7)))),IF(OR($F94=3,$G94=2),IF(OR(AND(LI$4&gt;=$AD$119,$C94=2),AND(LI$4&gt;=$AF$119,$C94=1)),0,IF(LM94&lt;=60,LS94,60/LK$4*LK$7)),IF(AND($F94=2,$G94=1),LS94,0)))))</f>
        <v>0</v>
      </c>
      <c r="LV94" s="57" t="str">
        <f t="shared" si="617"/>
        <v/>
      </c>
      <c r="LW94" s="57" t="str">
        <f t="shared" si="618"/>
        <v/>
      </c>
      <c r="LX94" s="713">
        <f>'org. Düngung 22'!CN93</f>
        <v>0</v>
      </c>
      <c r="LY94" s="57"/>
      <c r="LZ94" s="57"/>
      <c r="MA94" s="57">
        <f t="shared" si="619"/>
        <v>0</v>
      </c>
      <c r="MB94" s="57">
        <f t="shared" si="786"/>
        <v>0</v>
      </c>
      <c r="MC94" s="57">
        <f t="shared" si="787"/>
        <v>0</v>
      </c>
      <c r="MD94" s="57">
        <f t="shared" si="788"/>
        <v>0</v>
      </c>
      <c r="ME94" s="57">
        <f t="shared" si="789"/>
        <v>0</v>
      </c>
      <c r="MF94" s="1029">
        <f t="shared" si="620"/>
        <v>0</v>
      </c>
      <c r="MG94" s="57">
        <f t="shared" si="621"/>
        <v>0</v>
      </c>
      <c r="MH94" s="171" t="str">
        <f t="shared" si="622"/>
        <v/>
      </c>
      <c r="MI94" s="57">
        <f t="shared" si="790"/>
        <v>0</v>
      </c>
      <c r="MJ94" s="57">
        <f>IF(OR(AND(LX$6=1,$L94=0),AND(LX$6=2,$K94=2,$G94=1)),0,IF(AND(LZ$9=2,(OR($F94&gt;1,$K94=1,AND($L94=80,OR($N94=1,AND($N94=2,'#BerechnungDBE'!$AL85&gt;0)))))),IF(LX$4&gt;=$AD$126,0,MH94),IF(LZ$9=3,IF(OR(LX$4&gt;=$AD$127,AND($G94=1,$J94=2,LX$6=2),AND(LX$6=1,$N94&lt;&gt;1)),0,IF(MB94&lt;=120,MH94,IF(LX$4&lt;$AD$124,IF($F94=1,60/LZ$4*LZ$6,60/LZ$4*LZ$7),IF($F94=1,120/LZ$4*LZ$6,120/LZ$4*LZ$7)))),IF(OR($F94=3,$G94=2),IF(OR(AND(LX$4&gt;=$AD$119,$C94=2),AND(LX$4&gt;=$AF$119,$C94=1)),0,IF(MB94&lt;=60,MH94,60/LZ$4*LZ$7)),IF(AND($F94=2,$G94=1),MH94,0)))))</f>
        <v>0</v>
      </c>
      <c r="MK94" s="57" t="str">
        <f t="shared" si="623"/>
        <v/>
      </c>
      <c r="ML94" s="57" t="str">
        <f t="shared" si="624"/>
        <v/>
      </c>
      <c r="MM94" s="713">
        <f>'org. Düngung 22'!CR93</f>
        <v>0</v>
      </c>
      <c r="MN94" s="57"/>
      <c r="MO94" s="57"/>
      <c r="MP94" s="57">
        <f t="shared" si="625"/>
        <v>0</v>
      </c>
      <c r="MQ94" s="57">
        <f t="shared" si="791"/>
        <v>0</v>
      </c>
      <c r="MR94" s="57">
        <f t="shared" si="792"/>
        <v>0</v>
      </c>
      <c r="MS94" s="57">
        <f t="shared" si="793"/>
        <v>0</v>
      </c>
      <c r="MT94" s="57">
        <f t="shared" si="794"/>
        <v>0</v>
      </c>
      <c r="MU94" s="1029">
        <f t="shared" si="626"/>
        <v>0</v>
      </c>
      <c r="MV94" s="57">
        <f t="shared" si="627"/>
        <v>0</v>
      </c>
      <c r="MW94" s="171" t="str">
        <f t="shared" si="628"/>
        <v/>
      </c>
      <c r="MX94" s="57">
        <f t="shared" si="795"/>
        <v>0</v>
      </c>
      <c r="MY94" s="57">
        <f>IF(OR(AND(MM$6=1,$L94=0),AND(MM$6=2,$K94=2,$G94=1)),0,IF(AND(MO$9=2,(OR($F94&gt;1,$K94=1,AND($L94=80,OR($N94=1,AND($N94=2,'#BerechnungDBE'!$AL85&gt;0)))))),IF(MM$4&gt;=$AD$126,0,MW94),IF(MO$9=3,IF(OR(MM$4&gt;=$AD$127,AND($G94=1,$J94=2,MM$6=2),AND(MM$6=1,$N94&lt;&gt;1)),0,IF(MQ94&lt;=120,MW94,IF(MM$4&lt;$AD$124,IF($F94=1,60/MO$4*MO$6,60/MO$4*MO$7),IF($F94=1,120/MO$4*MO$6,120/MO$4*MO$7)))),IF(OR($F94=3,$G94=2),IF(OR(AND(MM$4&gt;=$AD$119,$C94=2),AND(MM$4&gt;=$AF$119,$C94=1)),0,IF(MQ94&lt;=60,MW94,60/MO$4*MO$7)),IF(AND($F94=2,$G94=1),MW94,0)))))</f>
        <v>0</v>
      </c>
      <c r="MZ94" s="57" t="str">
        <f t="shared" si="629"/>
        <v/>
      </c>
      <c r="NA94" s="57" t="str">
        <f t="shared" si="630"/>
        <v/>
      </c>
      <c r="NB94" s="713">
        <f>'org. Düngung 22'!CV93</f>
        <v>0</v>
      </c>
      <c r="NC94" s="57"/>
      <c r="ND94" s="57"/>
      <c r="NE94" s="57">
        <f t="shared" si="631"/>
        <v>0</v>
      </c>
      <c r="NF94" s="57">
        <f t="shared" si="796"/>
        <v>0</v>
      </c>
      <c r="NG94" s="57">
        <f t="shared" si="797"/>
        <v>0</v>
      </c>
      <c r="NH94" s="57">
        <f t="shared" si="798"/>
        <v>0</v>
      </c>
      <c r="NI94" s="57">
        <f t="shared" si="799"/>
        <v>0</v>
      </c>
      <c r="NJ94" s="1029">
        <f t="shared" si="632"/>
        <v>0</v>
      </c>
      <c r="NK94" s="57">
        <f t="shared" si="633"/>
        <v>0</v>
      </c>
      <c r="NL94" s="171" t="str">
        <f t="shared" si="634"/>
        <v/>
      </c>
      <c r="NM94" s="57">
        <f t="shared" si="800"/>
        <v>0</v>
      </c>
      <c r="NN94" s="57">
        <f>IF(OR(AND(NB$6=1,$L94=0),AND(NB$6=2,$K94=2,$G94=1)),0,IF(AND(ND$9=2,(OR($F94&gt;1,$K94=1,AND($L94=80,OR($N94=1,AND($N94=2,'#BerechnungDBE'!$AL85&gt;0)))))),IF(NB$4&gt;=$AD$126,0,NL94),IF(ND$9=3,IF(OR(NB$4&gt;=$AD$127,AND($G94=1,$J94=2,NB$6=2),AND(NB$6=1,$N94&lt;&gt;1)),0,IF(NF94&lt;=120,NL94,IF(NB$4&lt;$AD$124,IF($F94=1,60/ND$4*ND$6,60/ND$4*ND$7),IF($F94=1,120/ND$4*ND$6,120/ND$4*ND$7)))),IF(OR($F94=3,$G94=2),IF(OR(AND(NB$4&gt;=$AD$119,$C94=2),AND(NB$4&gt;=$AF$119,$C94=1)),0,IF(NF94&lt;=60,NL94,60/ND$4*ND$7)),IF(AND($F94=2,$G94=1),NL94,0)))))</f>
        <v>0</v>
      </c>
      <c r="NO94" s="57" t="str">
        <f t="shared" si="635"/>
        <v/>
      </c>
      <c r="NP94" s="57" t="str">
        <f t="shared" si="636"/>
        <v/>
      </c>
      <c r="NQ94" s="713">
        <f>'org. Düngung 22'!CZ93</f>
        <v>0</v>
      </c>
      <c r="NR94" s="57"/>
      <c r="NS94" s="57"/>
      <c r="NT94" s="57">
        <f t="shared" si="637"/>
        <v>0</v>
      </c>
      <c r="NU94" s="57">
        <f t="shared" si="801"/>
        <v>0</v>
      </c>
      <c r="NV94" s="57">
        <f t="shared" si="802"/>
        <v>0</v>
      </c>
      <c r="NW94" s="57">
        <f t="shared" si="803"/>
        <v>0</v>
      </c>
      <c r="NX94" s="57">
        <f t="shared" si="804"/>
        <v>0</v>
      </c>
      <c r="NY94" s="1029">
        <f t="shared" si="638"/>
        <v>0</v>
      </c>
      <c r="NZ94" s="57">
        <f t="shared" si="639"/>
        <v>0</v>
      </c>
      <c r="OA94" s="171" t="str">
        <f t="shared" si="640"/>
        <v/>
      </c>
      <c r="OB94" s="57">
        <f t="shared" si="805"/>
        <v>0</v>
      </c>
      <c r="OC94" s="57">
        <f>IF(OR(AND(NQ$6=1,$L94=0),AND(NQ$6=2,$K94=2,$G94=1)),0,IF(AND(NS$9=2,(OR($F94&gt;1,$K94=1,AND($L94=80,OR($N94=1,AND($N94=2,'#BerechnungDBE'!$AL85&gt;0)))))),IF(NQ$4&gt;=$AD$126,0,OA94),IF(NS$9=3,IF(OR(NQ$4&gt;=$AD$127,AND($G94=1,$J94=2,NQ$6=2),AND(NQ$6=1,$N94&lt;&gt;1)),0,IF(NU94&lt;=120,OA94,IF(NQ$4&lt;$AD$124,IF($F94=1,60/NS$4*NS$6,60/NS$4*NS$7),IF($F94=1,120/NS$4*NS$6,120/NS$4*NS$7)))),IF(OR($F94=3,$G94=2),IF(OR(AND(NQ$4&gt;=$AD$119,$C94=2),AND(NQ$4&gt;=$AF$119,$C94=1)),0,IF(NU94&lt;=60,OA94,60/NS$4*NS$7)),IF(AND($F94=2,$G94=1),OA94,0)))))</f>
        <v>0</v>
      </c>
      <c r="OD94" s="57" t="str">
        <f t="shared" si="641"/>
        <v/>
      </c>
      <c r="OE94" s="57" t="str">
        <f t="shared" si="642"/>
        <v/>
      </c>
      <c r="OF94" s="713">
        <f>'org. Düngung 22'!DD93</f>
        <v>0</v>
      </c>
      <c r="OG94" s="57"/>
      <c r="OH94" s="57"/>
      <c r="OI94" s="57">
        <f t="shared" si="643"/>
        <v>0</v>
      </c>
      <c r="OJ94" s="57">
        <f t="shared" si="806"/>
        <v>0</v>
      </c>
      <c r="OK94" s="57">
        <f t="shared" si="807"/>
        <v>0</v>
      </c>
      <c r="OL94" s="57">
        <f t="shared" si="808"/>
        <v>0</v>
      </c>
      <c r="OM94" s="57">
        <f t="shared" si="809"/>
        <v>0</v>
      </c>
      <c r="ON94" s="1029">
        <f t="shared" si="644"/>
        <v>0</v>
      </c>
      <c r="OO94" s="57">
        <f t="shared" si="645"/>
        <v>0</v>
      </c>
      <c r="OP94" s="171" t="str">
        <f t="shared" si="646"/>
        <v/>
      </c>
      <c r="OQ94" s="57">
        <f t="shared" si="810"/>
        <v>0</v>
      </c>
      <c r="OR94" s="57">
        <f>IF(OR(AND(OF$6=1,$L94=0),AND(OF$6=2,$K94=2,$G94=1)),0,IF(AND(OH$9=2,(OR($F94&gt;1,$K94=1,AND($L94=80,OR($N94=1,AND($N94=2,'#BerechnungDBE'!$AL85&gt;0)))))),IF(OF$4&gt;=$AD$126,0,OP94),IF(OH$9=3,IF(OR(OF$4&gt;=$AD$127,AND($G94=1,$J94=2,OF$6=2),AND(OF$6=1,$N94&lt;&gt;1)),0,IF(OJ94&lt;=120,OP94,IF(OF$4&lt;$AD$124,IF($F94=1,60/OH$4*OH$6,60/OH$4*OH$7),IF($F94=1,120/OH$4*OH$6,120/OH$4*OH$7)))),IF(OR($F94=3,$G94=2),IF(OR(AND(OF$4&gt;=$AD$119,$C94=2),AND(OF$4&gt;=$AF$119,$C94=1)),0,IF(OJ94&lt;=60,OP94,60/OH$4*OH$7)),IF(AND($F94=2,$G94=1),OP94,0)))))</f>
        <v>0</v>
      </c>
      <c r="OS94" s="57" t="str">
        <f t="shared" si="647"/>
        <v/>
      </c>
      <c r="OT94" s="57" t="str">
        <f t="shared" si="648"/>
        <v/>
      </c>
      <c r="OU94" s="713">
        <f>'org. Düngung 22'!DH93</f>
        <v>0</v>
      </c>
      <c r="OV94" s="57"/>
      <c r="OW94" s="57"/>
      <c r="OX94" s="57">
        <f t="shared" si="649"/>
        <v>0</v>
      </c>
      <c r="OY94" s="57">
        <f t="shared" si="811"/>
        <v>0</v>
      </c>
      <c r="OZ94" s="57">
        <f t="shared" si="812"/>
        <v>0</v>
      </c>
      <c r="PA94" s="57">
        <f t="shared" si="813"/>
        <v>0</v>
      </c>
      <c r="PB94" s="57">
        <f t="shared" si="814"/>
        <v>0</v>
      </c>
      <c r="PC94" s="1029">
        <f t="shared" si="650"/>
        <v>0</v>
      </c>
      <c r="PD94" s="57">
        <f t="shared" si="651"/>
        <v>0</v>
      </c>
      <c r="PE94" s="171" t="str">
        <f t="shared" si="652"/>
        <v/>
      </c>
      <c r="PF94" s="57">
        <f t="shared" si="815"/>
        <v>0</v>
      </c>
      <c r="PG94" s="57">
        <f>IF(OR(AND(OU$6=1,$L94=0),AND(OU$6=2,$K94=2,$G94=1)),0,IF(AND(OW$9=2,(OR($F94&gt;1,$K94=1,AND($L94=80,OR($N94=1,AND($N94=2,'#BerechnungDBE'!$AL85&gt;0)))))),IF(OU$4&gt;=$AD$126,0,PE94),IF(OW$9=3,IF(OR(OU$4&gt;=$AD$127,AND($G94=1,$J94=2,OU$6=2),AND(OU$6=1,$N94&lt;&gt;1)),0,IF(OY94&lt;=120,PE94,IF(OU$4&lt;$AD$124,IF($F94=1,60/OW$4*OW$6,60/OW$4*OW$7),IF($F94=1,120/OW$4*OW$6,120/OW$4*OW$7)))),IF(OR($F94=3,$G94=2),IF(OR(AND(OU$4&gt;=$AD$119,$C94=2),AND(OU$4&gt;=$AF$119,$C94=1)),0,IF(OY94&lt;=60,PE94,60/OW$4*OW$7)),IF(AND($F94=2,$G94=1),PE94,0)))))</f>
        <v>0</v>
      </c>
      <c r="PH94" s="57" t="str">
        <f t="shared" si="653"/>
        <v/>
      </c>
      <c r="PI94" s="57" t="str">
        <f t="shared" si="654"/>
        <v/>
      </c>
      <c r="PJ94" s="713">
        <f>'org. Düngung 22'!DL93</f>
        <v>0</v>
      </c>
      <c r="PK94" s="57"/>
      <c r="PL94" s="57"/>
      <c r="PM94" s="57">
        <f t="shared" si="655"/>
        <v>0</v>
      </c>
      <c r="PN94" s="57">
        <f t="shared" si="816"/>
        <v>0</v>
      </c>
      <c r="PO94" s="57">
        <f t="shared" si="817"/>
        <v>0</v>
      </c>
      <c r="PP94" s="57">
        <f t="shared" si="818"/>
        <v>0</v>
      </c>
      <c r="PQ94" s="57">
        <f t="shared" si="819"/>
        <v>0</v>
      </c>
      <c r="PR94" s="1029">
        <f t="shared" si="656"/>
        <v>0</v>
      </c>
      <c r="PS94" s="57">
        <f t="shared" si="657"/>
        <v>0</v>
      </c>
      <c r="PT94" s="171" t="str">
        <f t="shared" si="658"/>
        <v/>
      </c>
      <c r="PU94" s="57">
        <f t="shared" si="820"/>
        <v>0</v>
      </c>
      <c r="PV94" s="57">
        <f>IF(OR(AND(PJ$6=1,$L94=0),AND(PJ$6=2,$K94=2,$G94=1)),0,IF(AND(PL$9=2,(OR($F94&gt;1,$K94=1,AND($L94=80,OR($N94=1,AND($N94=2,'#BerechnungDBE'!$AL85&gt;0)))))),IF(PJ$4&gt;=$AD$126,0,PT94),IF(PL$9=3,IF(OR(PJ$4&gt;=$AD$127,AND($G94=1,$J94=2,PJ$6=2),AND(PJ$6=1,$N94&lt;&gt;1)),0,IF(PN94&lt;=120,PT94,IF(PJ$4&lt;$AD$124,IF($F94=1,60/PL$4*PL$6,60/PL$4*PL$7),IF($F94=1,120/PL$4*PL$6,120/PL$4*PL$7)))),IF(OR($F94=3,$G94=2),IF(OR(AND(PJ$4&gt;=$AD$119,$C94=2),AND(PJ$4&gt;=$AF$119,$C94=1)),0,IF(PN94&lt;=60,PT94,60/PL$4*PL$7)),IF(AND($F94=2,$G94=1),PT94,0)))))</f>
        <v>0</v>
      </c>
      <c r="PW94" s="57" t="str">
        <f t="shared" si="659"/>
        <v/>
      </c>
      <c r="PX94" s="57" t="str">
        <f t="shared" si="660"/>
        <v/>
      </c>
      <c r="PY94" s="713">
        <f>'org. Düngung 22'!DP93</f>
        <v>0</v>
      </c>
      <c r="PZ94" s="57"/>
      <c r="QA94" s="57"/>
      <c r="QB94" s="57">
        <f t="shared" si="661"/>
        <v>0</v>
      </c>
      <c r="QC94" s="57">
        <f t="shared" si="821"/>
        <v>0</v>
      </c>
      <c r="QD94" s="57">
        <f t="shared" si="822"/>
        <v>0</v>
      </c>
      <c r="QE94" s="57">
        <f t="shared" si="823"/>
        <v>0</v>
      </c>
      <c r="QF94" s="57">
        <f t="shared" si="824"/>
        <v>0</v>
      </c>
      <c r="QG94" s="1029">
        <f t="shared" si="662"/>
        <v>0</v>
      </c>
      <c r="QH94" s="57">
        <f t="shared" si="663"/>
        <v>0</v>
      </c>
      <c r="QI94" s="171" t="str">
        <f t="shared" si="664"/>
        <v/>
      </c>
      <c r="QJ94" s="57">
        <f t="shared" si="825"/>
        <v>0</v>
      </c>
      <c r="QK94" s="57">
        <f>IF(OR(AND(PY$6=1,$L94=0),AND(PY$6=2,$K94=2,$G94=1)),0,IF(AND(QA$9=2,(OR($F94&gt;1,$K94=1,AND($L94=80,OR($N94=1,AND($N94=2,'#BerechnungDBE'!$AL85&gt;0)))))),IF(PY$4&gt;=$AD$126,0,QI94),IF(QA$9=3,IF(OR(PY$4&gt;=$AD$127,AND($G94=1,$J94=2,PY$6=2),AND(PY$6=1,$N94&lt;&gt;1)),0,IF(QC94&lt;=120,QI94,IF(PY$4&lt;$AD$124,IF($F94=1,60/QA$4*QA$6,60/QA$4*QA$7),IF($F94=1,120/QA$4*QA$6,120/QA$4*QA$7)))),IF(OR($F94=3,$G94=2),IF(OR(AND(PY$4&gt;=$AD$119,$C94=2),AND(PY$4&gt;=$AF$119,$C94=1)),0,IF(QC94&lt;=60,QI94,60/QA$4*QA$7)),IF(AND($F94=2,$G94=1),QI94,0)))))</f>
        <v>0</v>
      </c>
      <c r="QL94" s="57" t="str">
        <f t="shared" si="665"/>
        <v/>
      </c>
      <c r="QM94" s="57" t="str">
        <f t="shared" si="666"/>
        <v/>
      </c>
      <c r="QN94" s="713">
        <f>'org. Düngung 22'!DT93</f>
        <v>0</v>
      </c>
      <c r="QO94" s="57"/>
      <c r="QP94" s="57"/>
      <c r="QQ94" s="57">
        <f t="shared" si="667"/>
        <v>0</v>
      </c>
      <c r="QR94" s="57">
        <f t="shared" si="826"/>
        <v>0</v>
      </c>
      <c r="QS94" s="57">
        <f t="shared" si="827"/>
        <v>0</v>
      </c>
      <c r="QT94" s="57">
        <f t="shared" si="828"/>
        <v>0</v>
      </c>
      <c r="QU94" s="57">
        <f t="shared" si="829"/>
        <v>0</v>
      </c>
      <c r="QV94" s="1029">
        <f t="shared" si="668"/>
        <v>0</v>
      </c>
      <c r="QW94" s="57">
        <f t="shared" si="669"/>
        <v>0</v>
      </c>
      <c r="QX94" s="171" t="str">
        <f t="shared" si="670"/>
        <v/>
      </c>
      <c r="QY94" s="57">
        <f t="shared" si="830"/>
        <v>0</v>
      </c>
      <c r="QZ94" s="57">
        <f>IF(OR(AND(QN$6=1,$L94=0),AND(QN$6=2,$K94=2,$G94=1)),0,IF(AND(QP$9=2,(OR($F94&gt;1,$K94=1,AND($L94=80,OR($N94=1,AND($N94=2,'#BerechnungDBE'!$AL85&gt;0)))))),IF(QN$4&gt;=$AD$126,0,QX94),IF(QP$9=3,IF(OR(QN$4&gt;=$AD$127,AND($G94=1,$J94=2,QN$6=2),AND(QN$6=1,$N94&lt;&gt;1)),0,IF(QR94&lt;=120,QX94,IF(QN$4&lt;$AD$124,IF($F94=1,60/QP$4*QP$6,60/QP$4*QP$7),IF($F94=1,120/QP$4*QP$6,120/QP$4*QP$7)))),IF(OR($F94=3,$G94=2),IF(OR(AND(QN$4&gt;=$AD$119,$C94=2),AND(QN$4&gt;=$AF$119,$C94=1)),0,IF(QR94&lt;=60,QX94,60/QP$4*QP$7)),IF(AND($F94=2,$G94=1),QX94,0)))))</f>
        <v>0</v>
      </c>
      <c r="RA94" s="57" t="str">
        <f t="shared" si="671"/>
        <v/>
      </c>
      <c r="RB94" s="57" t="str">
        <f t="shared" si="672"/>
        <v/>
      </c>
      <c r="RC94" s="713">
        <f>'org. Düngung 22'!DX93</f>
        <v>0</v>
      </c>
      <c r="RD94" s="57"/>
      <c r="RE94" s="57"/>
      <c r="RF94" s="57">
        <f t="shared" si="673"/>
        <v>0</v>
      </c>
      <c r="RG94" s="57">
        <f t="shared" si="831"/>
        <v>0</v>
      </c>
      <c r="RH94" s="57">
        <f t="shared" si="832"/>
        <v>0</v>
      </c>
      <c r="RI94" s="57">
        <f t="shared" si="833"/>
        <v>0</v>
      </c>
      <c r="RJ94" s="57">
        <f t="shared" si="834"/>
        <v>0</v>
      </c>
      <c r="RK94" s="1029">
        <f t="shared" si="674"/>
        <v>0</v>
      </c>
      <c r="RL94" s="57">
        <f t="shared" si="675"/>
        <v>0</v>
      </c>
      <c r="RM94" s="171" t="str">
        <f t="shared" si="676"/>
        <v/>
      </c>
      <c r="RN94" s="57">
        <f t="shared" si="835"/>
        <v>0</v>
      </c>
      <c r="RO94" s="57">
        <f>IF(OR(AND(RC$6=1,$L94=0),AND(RC$6=2,$K94=2,$G94=1)),0,IF(AND(RE$9=2,(OR($F94&gt;1,$K94=1,AND($L94=80,OR($N94=1,AND($N94=2,'#BerechnungDBE'!$AL85&gt;0)))))),IF(RC$4&gt;=$AD$126,0,RM94),IF(RE$9=3,IF(OR(RC$4&gt;=$AD$127,AND($G94=1,$J94=2,RC$6=2),AND(RC$6=1,$N94&lt;&gt;1)),0,IF(RG94&lt;=120,RM94,IF(RC$4&lt;$AD$124,IF($F94=1,60/RE$4*RE$6,60/RE$4*RE$7),IF($F94=1,120/RE$4*RE$6,120/RE$4*RE$7)))),IF(OR($F94=3,$G94=2),IF(OR(AND(RC$4&gt;=$AD$119,$C94=2),AND(RC$4&gt;=$AF$119,$C94=1)),0,IF(RG94&lt;=60,RM94,60/RE$4*RE$7)),IF(AND($F94=2,$G94=1),RM94,0)))))</f>
        <v>0</v>
      </c>
      <c r="RP94" s="57" t="str">
        <f t="shared" si="677"/>
        <v/>
      </c>
      <c r="RQ94" s="57" t="str">
        <f t="shared" si="678"/>
        <v/>
      </c>
      <c r="RS94" s="57" t="str">
        <f t="shared" si="836"/>
        <v/>
      </c>
      <c r="RT94" s="57" t="str">
        <f t="shared" si="679"/>
        <v/>
      </c>
      <c r="RU94" s="57" t="str">
        <f t="shared" si="680"/>
        <v/>
      </c>
      <c r="RV94" s="57" t="str">
        <f>IF(Z94&gt;'#BerechnungDBE'!BM85,$RV$9,"")</f>
        <v/>
      </c>
      <c r="RW94" s="57" t="str">
        <f>IF(AND(L94=70,AE94&gt;'#BerechnungDBE'!CQ85),$RW$9,"")</f>
        <v/>
      </c>
      <c r="RX94" s="57" t="str">
        <f>IF(OR('org. Düngung 22'!G93="--",'org. Düngung 22'!G93&lt;=170,'org. Düngung 22'!G93=""),"",$RX$9)</f>
        <v/>
      </c>
      <c r="RY94" s="57" t="str">
        <f>IF('org. Düngung 22'!K93&gt;120,'#orgDung'!$RY$9,"")</f>
        <v/>
      </c>
      <c r="RZ94" s="57" t="str">
        <f>IF('#BerechnungDBE'!P85&lt;4,"",IF(AND('#BerechnungDBE'!BZ85&gt;0,T94&gt;0),'#orgDung'!$RZ$9,""))</f>
        <v/>
      </c>
      <c r="SA94" s="57" t="str">
        <f t="shared" si="681"/>
        <v/>
      </c>
    </row>
    <row r="95" spans="1:495" s="875" customFormat="1" x14ac:dyDescent="0.2">
      <c r="A95" s="875">
        <f>'Flächen u. Kulturen'!A91</f>
        <v>82</v>
      </c>
      <c r="B95" s="367">
        <f>'#BerechnungDBE'!L86</f>
        <v>0</v>
      </c>
      <c r="C95" s="875">
        <f>'#BerechnungDBE'!R86</f>
        <v>1</v>
      </c>
      <c r="D95" s="875">
        <f>'#BerechnungDBE'!T86</f>
        <v>2</v>
      </c>
      <c r="E95" s="875" t="str">
        <f>'Flächen u. Kulturen'!E91</f>
        <v>x</v>
      </c>
      <c r="F95" s="52">
        <f>'#BerechnungDBE'!N86</f>
        <v>1</v>
      </c>
      <c r="G95" s="52">
        <f>'#BerechnungDBE'!O86</f>
        <v>1</v>
      </c>
      <c r="H95" s="875">
        <f>IF('Flächen u. Kulturen'!P91="",0,VLOOKUP('Flächen u. Kulturen'!P91,Kulturen[[HF]:[Berechnungsgruppe]],'#Frucht'!$H$1,FALSE))</f>
        <v>0</v>
      </c>
      <c r="I95" s="875">
        <f>IF('Flächen u. Kulturen'!J91="",0,VLOOKUP('Flächen u. Kulturen'!J91,Kulturen[[HF]:[Berechnungsgruppe]],'#Frucht'!$G$1,FALSE))</f>
        <v>90</v>
      </c>
      <c r="J95" s="505">
        <f t="shared" si="682"/>
        <v>2</v>
      </c>
      <c r="K95" s="505">
        <f>IF('Flächen u. Kulturen'!P91="",0,IF(VLOOKUP('Flächen u. Kulturen'!P91,Kulturen[[HF]:[Saat Winterungen]],'#Frucht'!$P$1,FALSE)&gt;0,1,2))</f>
        <v>2</v>
      </c>
      <c r="L95" s="875">
        <f>'#BerechnungDBE'!AF86</f>
        <v>0</v>
      </c>
      <c r="M95" s="875">
        <f>IF('Flächen u. Kulturen'!L91="",0,VLOOKUP('Flächen u. Kulturen'!L91,Nebenkultur[[Nebenkultur]:[Legum. Zwischenfr.]],'#Zweitfr'!$K$1,FALSE))</f>
        <v>0</v>
      </c>
      <c r="N95" s="875">
        <f>'#BerechnungDBE'!AG86</f>
        <v>0</v>
      </c>
      <c r="P95" s="57">
        <f t="shared" si="489"/>
        <v>0</v>
      </c>
      <c r="Q95" s="57">
        <f t="shared" si="490"/>
        <v>0</v>
      </c>
      <c r="R95" s="875">
        <f t="shared" si="491"/>
        <v>0</v>
      </c>
      <c r="S95" s="938" t="str">
        <f t="shared" si="683"/>
        <v/>
      </c>
      <c r="T95" s="875">
        <f t="shared" si="492"/>
        <v>0</v>
      </c>
      <c r="U95" s="875">
        <f t="shared" si="493"/>
        <v>0</v>
      </c>
      <c r="V95" s="875">
        <f t="shared" si="494"/>
        <v>0</v>
      </c>
      <c r="W95" s="875">
        <f t="shared" si="495"/>
        <v>0</v>
      </c>
      <c r="X95" s="875">
        <f t="shared" si="496"/>
        <v>0</v>
      </c>
      <c r="Y95" s="875">
        <f t="shared" si="837"/>
        <v>0</v>
      </c>
      <c r="Z95" s="875">
        <f t="shared" si="838"/>
        <v>0</v>
      </c>
      <c r="AA95" s="910">
        <f t="shared" si="497"/>
        <v>0</v>
      </c>
      <c r="AB95" s="57">
        <f t="shared" si="839"/>
        <v>0</v>
      </c>
      <c r="AC95" s="875">
        <f t="shared" si="498"/>
        <v>0</v>
      </c>
      <c r="AD95" s="875">
        <f t="shared" si="499"/>
        <v>0</v>
      </c>
      <c r="AE95" s="875">
        <f t="shared" si="500"/>
        <v>0</v>
      </c>
      <c r="AF95" s="875">
        <f t="shared" si="840"/>
        <v>0</v>
      </c>
      <c r="AG95" s="875">
        <f>'org. Düngung 22'!J94</f>
        <v>0</v>
      </c>
      <c r="AH95" s="875">
        <f>'org. Düngung 22'!K94</f>
        <v>0</v>
      </c>
      <c r="AJ95" s="713">
        <f>'org. Düngung 22'!L94</f>
        <v>0</v>
      </c>
      <c r="AK95" s="57"/>
      <c r="AL95" s="57"/>
      <c r="AM95" s="57">
        <f t="shared" si="684"/>
        <v>0</v>
      </c>
      <c r="AN95" s="57">
        <f t="shared" si="685"/>
        <v>0</v>
      </c>
      <c r="AO95" s="57">
        <f t="shared" si="686"/>
        <v>0</v>
      </c>
      <c r="AP95" s="57">
        <f t="shared" si="687"/>
        <v>0</v>
      </c>
      <c r="AQ95" s="57">
        <f t="shared" si="688"/>
        <v>0</v>
      </c>
      <c r="AR95" s="1029">
        <f t="shared" si="501"/>
        <v>0</v>
      </c>
      <c r="AS95" s="57">
        <f t="shared" si="502"/>
        <v>0</v>
      </c>
      <c r="AT95" s="171" t="str">
        <f t="shared" si="503"/>
        <v/>
      </c>
      <c r="AU95" s="57">
        <f t="shared" si="689"/>
        <v>0</v>
      </c>
      <c r="AV95" s="57">
        <f>IF(OR(AND(AJ$6=1,$L95=0),AND(AJ$6=2,$K95=2,$G95=1)),0,IF(AND(AL$9=2,(OR($F95&gt;1,$K95=1,AND($L95=80,OR($N95=1,AND($N95=2,'#BerechnungDBE'!$AL86&gt;0)))))),IF(AJ$4&gt;=$AD$126,0,AT95),IF(AL$9=3,IF(OR(AJ$4&gt;=$AD$127,AND($G95=1,$J95=2,AJ$6=2),AND(AJ$6=1,$N95&lt;&gt;1)),0,IF(AN95&lt;=120,AT95,IF(AJ$4&lt;$AD$124,IF($F95=1,60/AL$4*AL$6,60/AL$4*AL$7),IF($F95=1,120/AL$4*AL$6,120/AL$4*AL$7)))),IF(OR($F95=3,$G95=2),IF(OR(AND(AJ$4&gt;=$AD$119,$C95=2),AND(AJ$4&gt;=$AF$119,$C95=1)),0,IF(AN95&lt;=60,AT95,60/AL$4*AL$7)),IF(AND($F95=2,$G95=1),AT95,0)))))</f>
        <v>0</v>
      </c>
      <c r="AW95" s="57" t="str">
        <f t="shared" si="690"/>
        <v/>
      </c>
      <c r="AX95" s="57" t="str">
        <f t="shared" si="504"/>
        <v/>
      </c>
      <c r="AY95" s="713">
        <f>'org. Düngung 22'!P94</f>
        <v>0</v>
      </c>
      <c r="AZ95" s="57"/>
      <c r="BA95" s="57"/>
      <c r="BB95" s="57">
        <f t="shared" si="505"/>
        <v>0</v>
      </c>
      <c r="BC95" s="57">
        <f t="shared" si="691"/>
        <v>0</v>
      </c>
      <c r="BD95" s="57">
        <f t="shared" si="692"/>
        <v>0</v>
      </c>
      <c r="BE95" s="57">
        <f t="shared" si="693"/>
        <v>0</v>
      </c>
      <c r="BF95" s="57">
        <f t="shared" si="694"/>
        <v>0</v>
      </c>
      <c r="BG95" s="1029">
        <f t="shared" si="506"/>
        <v>0</v>
      </c>
      <c r="BH95" s="57">
        <f t="shared" si="507"/>
        <v>0</v>
      </c>
      <c r="BI95" s="171" t="str">
        <f t="shared" si="508"/>
        <v/>
      </c>
      <c r="BJ95" s="57">
        <f t="shared" si="695"/>
        <v>0</v>
      </c>
      <c r="BK95" s="57">
        <f>IF(OR(AND(AY$6=1,$L95=0),AND(AY$6=2,$K95=2,$G95=1)),0,IF(AND(BA$9=2,(OR($F95&gt;1,$K95=1,AND($L95=80,OR($N95=1,AND($N95=2,'#BerechnungDBE'!$AL86&gt;0)))))),IF(AY$4&gt;=$AD$126,0,BI95),IF(BA$9=3,IF(OR(AY$4&gt;=$AD$127,AND($G95=1,$J95=2,AY$6=2),AND(AY$6=1,$N95&lt;&gt;1)),0,IF(BC95&lt;=120,BI95,IF(AY$4&lt;$AD$124,IF($F95=1,60/BA$4*BA$6,60/BA$4*BA$7),IF($F95=1,120/BA$4*BA$6,120/BA$4*BA$7)))),IF(OR($F95=3,$G95=2),IF(OR(AND(AY$4&gt;=$AD$119,$C95=2),AND(AY$4&gt;=$AF$119,$C95=1)),0,IF(BC95&lt;=60,BI95,60/BA$4*BA$7)),IF(AND($F95=2,$G95=1),BI95,0)))))</f>
        <v>0</v>
      </c>
      <c r="BL95" s="57" t="str">
        <f t="shared" si="509"/>
        <v/>
      </c>
      <c r="BM95" s="57" t="str">
        <f t="shared" si="510"/>
        <v/>
      </c>
      <c r="BN95" s="713">
        <f>'org. Düngung 22'!T94</f>
        <v>0</v>
      </c>
      <c r="BO95" s="57"/>
      <c r="BP95" s="57"/>
      <c r="BQ95" s="57">
        <f t="shared" si="511"/>
        <v>0</v>
      </c>
      <c r="BR95" s="57">
        <f t="shared" si="696"/>
        <v>0</v>
      </c>
      <c r="BS95" s="57">
        <f t="shared" si="697"/>
        <v>0</v>
      </c>
      <c r="BT95" s="57">
        <f t="shared" si="698"/>
        <v>0</v>
      </c>
      <c r="BU95" s="57">
        <f t="shared" si="699"/>
        <v>0</v>
      </c>
      <c r="BV95" s="1029">
        <f t="shared" si="512"/>
        <v>0</v>
      </c>
      <c r="BW95" s="57">
        <f t="shared" si="513"/>
        <v>0</v>
      </c>
      <c r="BX95" s="171" t="str">
        <f t="shared" si="514"/>
        <v/>
      </c>
      <c r="BY95" s="57">
        <f t="shared" si="700"/>
        <v>0</v>
      </c>
      <c r="BZ95" s="57">
        <f>IF(OR(AND(BN$6=1,$L95=0),AND(BN$6=2,$K95=2,$G95=1)),0,IF(AND(BP$9=2,(OR($F95&gt;1,$K95=1,AND($L95=80,OR($N95=1,AND($N95=2,'#BerechnungDBE'!$AL86&gt;0)))))),IF(BN$4&gt;=$AD$126,0,BX95),IF(BP$9=3,IF(OR(BN$4&gt;=$AD$127,AND($G95=1,$J95=2,BN$6=2),AND(BN$6=1,$N95&lt;&gt;1)),0,IF(BR95&lt;=120,BX95,IF(BN$4&lt;$AD$124,IF($F95=1,60/BP$4*BP$6,60/BP$4*BP$7),IF($F95=1,120/BP$4*BP$6,120/BP$4*BP$7)))),IF(OR($F95=3,$G95=2),IF(OR(AND(BN$4&gt;=$AD$119,$C95=2),AND(BN$4&gt;=$AF$119,$C95=1)),0,IF(BR95&lt;=60,BX95,60/BP$4*BP$7)),IF(AND($F95=2,$G95=1),BX95,0)))))</f>
        <v>0</v>
      </c>
      <c r="CA95" s="57" t="str">
        <f t="shared" si="515"/>
        <v/>
      </c>
      <c r="CB95" s="57" t="str">
        <f t="shared" si="516"/>
        <v/>
      </c>
      <c r="CC95" s="713">
        <f>'org. Düngung 22'!X94</f>
        <v>0</v>
      </c>
      <c r="CD95" s="57"/>
      <c r="CE95" s="57"/>
      <c r="CF95" s="57">
        <f t="shared" si="517"/>
        <v>0</v>
      </c>
      <c r="CG95" s="57">
        <f t="shared" si="701"/>
        <v>0</v>
      </c>
      <c r="CH95" s="57">
        <f t="shared" si="702"/>
        <v>0</v>
      </c>
      <c r="CI95" s="57">
        <f t="shared" si="703"/>
        <v>0</v>
      </c>
      <c r="CJ95" s="57">
        <f t="shared" si="704"/>
        <v>0</v>
      </c>
      <c r="CK95" s="1029">
        <f t="shared" si="518"/>
        <v>0</v>
      </c>
      <c r="CL95" s="57">
        <f t="shared" si="519"/>
        <v>0</v>
      </c>
      <c r="CM95" s="171" t="str">
        <f t="shared" si="520"/>
        <v/>
      </c>
      <c r="CN95" s="57">
        <f t="shared" si="705"/>
        <v>0</v>
      </c>
      <c r="CO95" s="57">
        <f>IF(OR(AND(CC$6=1,$L95=0),AND(CC$6=2,$K95=2,$G95=1)),0,IF(AND(CE$9=2,(OR($F95&gt;1,$K95=1,AND($L95=80,OR($N95=1,AND($N95=2,'#BerechnungDBE'!$AL86&gt;0)))))),IF(CC$4&gt;=$AD$126,0,CM95),IF(CE$9=3,IF(OR(CC$4&gt;=$AD$127,AND($G95=1,$J95=2,CC$6=2),AND(CC$6=1,$N95&lt;&gt;1)),0,IF(CG95&lt;=120,CM95,IF(CC$4&lt;$AD$124,IF($F95=1,60/CE$4*CE$6,60/CE$4*CE$7),IF($F95=1,120/CE$4*CE$6,120/CE$4*CE$7)))),IF(OR($F95=3,$G95=2),IF(OR(AND(CC$4&gt;=$AD$119,$C95=2),AND(CC$4&gt;=$AF$119,$C95=1)),0,IF(CG95&lt;=60,CM95,60/CE$4*CE$7)),IF(AND($F95=2,$G95=1),CM95,0)))))</f>
        <v>0</v>
      </c>
      <c r="CP95" s="57" t="str">
        <f t="shared" si="521"/>
        <v/>
      </c>
      <c r="CQ95" s="57" t="str">
        <f t="shared" si="522"/>
        <v/>
      </c>
      <c r="CR95" s="713">
        <f>'org. Düngung 22'!AB94</f>
        <v>0</v>
      </c>
      <c r="CS95" s="57"/>
      <c r="CT95" s="57"/>
      <c r="CU95" s="57">
        <f t="shared" si="523"/>
        <v>0</v>
      </c>
      <c r="CV95" s="57">
        <f t="shared" si="706"/>
        <v>0</v>
      </c>
      <c r="CW95" s="57">
        <f t="shared" si="707"/>
        <v>0</v>
      </c>
      <c r="CX95" s="57">
        <f t="shared" si="708"/>
        <v>0</v>
      </c>
      <c r="CY95" s="57">
        <f t="shared" si="709"/>
        <v>0</v>
      </c>
      <c r="CZ95" s="1029">
        <f t="shared" si="524"/>
        <v>0</v>
      </c>
      <c r="DA95" s="57">
        <f t="shared" si="525"/>
        <v>0</v>
      </c>
      <c r="DB95" s="171" t="str">
        <f t="shared" si="526"/>
        <v/>
      </c>
      <c r="DC95" s="57">
        <f t="shared" si="710"/>
        <v>0</v>
      </c>
      <c r="DD95" s="57">
        <f>IF(OR(AND(CR$6=1,$L95=0),AND(CR$6=2,$K95=2,$G95=1)),0,IF(AND(CT$9=2,(OR($F95&gt;1,$K95=1,AND($L95=80,OR($N95=1,AND($N95=2,'#BerechnungDBE'!$AL86&gt;0)))))),IF(CR$4&gt;=$AD$126,0,DB95),IF(CT$9=3,IF(OR(CR$4&gt;=$AD$127,AND($G95=1,$J95=2,CR$6=2),AND(CR$6=1,$N95&lt;&gt;1)),0,IF(CV95&lt;=120,DB95,IF(CR$4&lt;$AD$124,IF($F95=1,60/CT$4*CT$6,60/CT$4*CT$7),IF($F95=1,120/CT$4*CT$6,120/CT$4*CT$7)))),IF(OR($F95=3,$G95=2),IF(OR(AND(CR$4&gt;=$AD$119,$C95=2),AND(CR$4&gt;=$AF$119,$C95=1)),0,IF(CV95&lt;=60,DB95,60/CT$4*CT$7)),IF(AND($F95=2,$G95=1),DB95,0)))))</f>
        <v>0</v>
      </c>
      <c r="DE95" s="57" t="str">
        <f t="shared" si="527"/>
        <v/>
      </c>
      <c r="DF95" s="57" t="str">
        <f t="shared" si="528"/>
        <v/>
      </c>
      <c r="DG95" s="713">
        <f>'org. Düngung 22'!AF94</f>
        <v>0</v>
      </c>
      <c r="DH95" s="57"/>
      <c r="DI95" s="57"/>
      <c r="DJ95" s="57">
        <f t="shared" si="529"/>
        <v>0</v>
      </c>
      <c r="DK95" s="57">
        <f t="shared" si="711"/>
        <v>0</v>
      </c>
      <c r="DL95" s="57">
        <f t="shared" si="712"/>
        <v>0</v>
      </c>
      <c r="DM95" s="57">
        <f t="shared" si="713"/>
        <v>0</v>
      </c>
      <c r="DN95" s="57">
        <f t="shared" si="714"/>
        <v>0</v>
      </c>
      <c r="DO95" s="1029">
        <f t="shared" si="530"/>
        <v>0</v>
      </c>
      <c r="DP95" s="57">
        <f t="shared" si="531"/>
        <v>0</v>
      </c>
      <c r="DQ95" s="171" t="str">
        <f t="shared" si="532"/>
        <v/>
      </c>
      <c r="DR95" s="57">
        <f t="shared" si="715"/>
        <v>0</v>
      </c>
      <c r="DS95" s="57">
        <f>IF(OR(AND(DG$6=1,$L95=0),AND(DG$6=2,$K95=2,$G95=1)),0,IF(AND(DI$9=2,(OR($F95&gt;1,$K95=1,AND($L95=80,OR($N95=1,AND($N95=2,'#BerechnungDBE'!$AL86&gt;0)))))),IF(DG$4&gt;=$AD$126,0,DQ95),IF(DI$9=3,IF(OR(DG$4&gt;=$AD$127,AND($G95=1,$J95=2,DG$6=2),AND(DG$6=1,$N95&lt;&gt;1)),0,IF(DK95&lt;=120,DQ95,IF(DG$4&lt;$AD$124,IF($F95=1,60/DI$4*DI$6,60/DI$4*DI$7),IF($F95=1,120/DI$4*DI$6,120/DI$4*DI$7)))),IF(OR($F95=3,$G95=2),IF(OR(AND(DG$4&gt;=$AD$119,$C95=2),AND(DG$4&gt;=$AF$119,$C95=1)),0,IF(DK95&lt;=60,DQ95,60/DI$4*DI$7)),IF(AND($F95=2,$G95=1),DQ95,0)))))</f>
        <v>0</v>
      </c>
      <c r="DT95" s="57" t="str">
        <f t="shared" si="533"/>
        <v/>
      </c>
      <c r="DU95" s="57" t="str">
        <f t="shared" si="534"/>
        <v/>
      </c>
      <c r="DV95" s="713">
        <f>'org. Düngung 22'!AJ94</f>
        <v>0</v>
      </c>
      <c r="DW95" s="57"/>
      <c r="DX95" s="57"/>
      <c r="DY95" s="57">
        <f t="shared" si="535"/>
        <v>0</v>
      </c>
      <c r="DZ95" s="57">
        <f t="shared" si="716"/>
        <v>0</v>
      </c>
      <c r="EA95" s="57">
        <f t="shared" si="717"/>
        <v>0</v>
      </c>
      <c r="EB95" s="57">
        <f t="shared" si="718"/>
        <v>0</v>
      </c>
      <c r="EC95" s="57">
        <f t="shared" si="719"/>
        <v>0</v>
      </c>
      <c r="ED95" s="1029">
        <f t="shared" si="536"/>
        <v>0</v>
      </c>
      <c r="EE95" s="57">
        <f t="shared" si="537"/>
        <v>0</v>
      </c>
      <c r="EF95" s="171" t="str">
        <f t="shared" si="538"/>
        <v/>
      </c>
      <c r="EG95" s="57">
        <f t="shared" si="720"/>
        <v>0</v>
      </c>
      <c r="EH95" s="57">
        <f>IF(OR(AND(DV$6=1,$L95=0),AND(DV$6=2,$K95=2,$G95=1)),0,IF(AND(DX$9=2,(OR($F95&gt;1,$K95=1,AND($L95=80,OR($N95=1,AND($N95=2,'#BerechnungDBE'!$AL86&gt;0)))))),IF(DV$4&gt;=$AD$126,0,EF95),IF(DX$9=3,IF(OR(DV$4&gt;=$AD$127,AND($G95=1,$J95=2,DV$6=2),AND(DV$6=1,$N95&lt;&gt;1)),0,IF(DZ95&lt;=120,EF95,IF(DV$4&lt;$AD$124,IF($F95=1,60/DX$4*DX$6,60/DX$4*DX$7),IF($F95=1,120/DX$4*DX$6,120/DX$4*DX$7)))),IF(OR($F95=3,$G95=2),IF(OR(AND(DV$4&gt;=$AD$119,$C95=2),AND(DV$4&gt;=$AF$119,$C95=1)),0,IF(DZ95&lt;=60,EF95,60/DX$4*DX$7)),IF(AND($F95=2,$G95=1),EF95,0)))))</f>
        <v>0</v>
      </c>
      <c r="EI95" s="57" t="str">
        <f t="shared" si="539"/>
        <v/>
      </c>
      <c r="EJ95" s="57" t="str">
        <f t="shared" si="540"/>
        <v/>
      </c>
      <c r="EK95" s="713">
        <f>'org. Düngung 22'!AN94</f>
        <v>0</v>
      </c>
      <c r="EL95" s="57"/>
      <c r="EM95" s="57"/>
      <c r="EN95" s="57">
        <f t="shared" si="541"/>
        <v>0</v>
      </c>
      <c r="EO95" s="57">
        <f t="shared" si="721"/>
        <v>0</v>
      </c>
      <c r="EP95" s="57">
        <f t="shared" si="722"/>
        <v>0</v>
      </c>
      <c r="EQ95" s="57">
        <f t="shared" si="723"/>
        <v>0</v>
      </c>
      <c r="ER95" s="57">
        <f t="shared" si="724"/>
        <v>0</v>
      </c>
      <c r="ES95" s="1029">
        <f t="shared" si="542"/>
        <v>0</v>
      </c>
      <c r="ET95" s="57">
        <f t="shared" si="543"/>
        <v>0</v>
      </c>
      <c r="EU95" s="171" t="str">
        <f t="shared" si="544"/>
        <v/>
      </c>
      <c r="EV95" s="57">
        <f t="shared" si="725"/>
        <v>0</v>
      </c>
      <c r="EW95" s="57">
        <f>IF(OR(AND(EK$6=1,$L95=0),AND(EK$6=2,$K95=2,$G95=1)),0,IF(AND(EM$9=2,(OR($F95&gt;1,$K95=1,AND($L95=80,OR($N95=1,AND($N95=2,'#BerechnungDBE'!$AL86&gt;0)))))),IF(EK$4&gt;=$AD$126,0,EU95),IF(EM$9=3,IF(OR(EK$4&gt;=$AD$127,AND($G95=1,$J95=2,EK$6=2),AND(EK$6=1,$N95&lt;&gt;1)),0,IF(EO95&lt;=120,EU95,IF(EK$4&lt;$AD$124,IF($F95=1,60/EM$4*EM$6,60/EM$4*EM$7),IF($F95=1,120/EM$4*EM$6,120/EM$4*EM$7)))),IF(OR($F95=3,$G95=2),IF(OR(AND(EK$4&gt;=$AD$119,$C95=2),AND(EK$4&gt;=$AF$119,$C95=1)),0,IF(EO95&lt;=60,EU95,60/EM$4*EM$7)),IF(AND($F95=2,$G95=1),EU95,0)))))</f>
        <v>0</v>
      </c>
      <c r="EX95" s="57" t="str">
        <f t="shared" si="545"/>
        <v/>
      </c>
      <c r="EY95" s="57" t="str">
        <f t="shared" si="546"/>
        <v/>
      </c>
      <c r="EZ95" s="713">
        <f>'org. Düngung 22'!AR94</f>
        <v>0</v>
      </c>
      <c r="FA95" s="57"/>
      <c r="FB95" s="57"/>
      <c r="FC95" s="57">
        <f t="shared" si="547"/>
        <v>0</v>
      </c>
      <c r="FD95" s="57">
        <f t="shared" si="726"/>
        <v>0</v>
      </c>
      <c r="FE95" s="57">
        <f t="shared" si="727"/>
        <v>0</v>
      </c>
      <c r="FF95" s="57">
        <f t="shared" si="728"/>
        <v>0</v>
      </c>
      <c r="FG95" s="57">
        <f t="shared" si="729"/>
        <v>0</v>
      </c>
      <c r="FH95" s="1029">
        <f t="shared" si="548"/>
        <v>0</v>
      </c>
      <c r="FI95" s="57">
        <f t="shared" si="549"/>
        <v>0</v>
      </c>
      <c r="FJ95" s="171" t="str">
        <f t="shared" si="550"/>
        <v/>
      </c>
      <c r="FK95" s="57">
        <f t="shared" si="730"/>
        <v>0</v>
      </c>
      <c r="FL95" s="57">
        <f>IF(OR(AND(EZ$6=1,$L95=0),AND(EZ$6=2,$K95=2,$G95=1)),0,IF(AND(FB$9=2,(OR($F95&gt;1,$K95=1,AND($L95=80,OR($N95=1,AND($N95=2,'#BerechnungDBE'!$AL86&gt;0)))))),IF(EZ$4&gt;=$AD$126,0,FJ95),IF(FB$9=3,IF(OR(EZ$4&gt;=$AD$127,AND($G95=1,$J95=2,EZ$6=2),AND(EZ$6=1,$N95&lt;&gt;1)),0,IF(FD95&lt;=120,FJ95,IF(EZ$4&lt;$AD$124,IF($F95=1,60/FB$4*FB$6,60/FB$4*FB$7),IF($F95=1,120/FB$4*FB$6,120/FB$4*FB$7)))),IF(OR($F95=3,$G95=2),IF(OR(AND(EZ$4&gt;=$AD$119,$C95=2),AND(EZ$4&gt;=$AF$119,$C95=1)),0,IF(FD95&lt;=60,FJ95,60/FB$4*FB$7)),IF(AND($F95=2,$G95=1),FJ95,0)))))</f>
        <v>0</v>
      </c>
      <c r="FM95" s="57" t="str">
        <f t="shared" si="551"/>
        <v/>
      </c>
      <c r="FN95" s="57" t="str">
        <f t="shared" si="552"/>
        <v/>
      </c>
      <c r="FO95" s="713">
        <f>'org. Düngung 22'!AV94</f>
        <v>0</v>
      </c>
      <c r="FP95" s="57"/>
      <c r="FQ95" s="57"/>
      <c r="FR95" s="57">
        <f t="shared" si="553"/>
        <v>0</v>
      </c>
      <c r="FS95" s="57">
        <f t="shared" si="731"/>
        <v>0</v>
      </c>
      <c r="FT95" s="57">
        <f t="shared" si="732"/>
        <v>0</v>
      </c>
      <c r="FU95" s="57">
        <f t="shared" si="733"/>
        <v>0</v>
      </c>
      <c r="FV95" s="57">
        <f t="shared" si="734"/>
        <v>0</v>
      </c>
      <c r="FW95" s="1029">
        <f t="shared" si="554"/>
        <v>0</v>
      </c>
      <c r="FX95" s="57">
        <f t="shared" si="555"/>
        <v>0</v>
      </c>
      <c r="FY95" s="171" t="str">
        <f t="shared" si="556"/>
        <v/>
      </c>
      <c r="FZ95" s="57">
        <f t="shared" si="735"/>
        <v>0</v>
      </c>
      <c r="GA95" s="57">
        <f>IF(OR(AND(FO$6=1,$L95=0),AND(FO$6=2,$K95=2,$G95=1)),0,IF(AND(FQ$9=2,(OR($F95&gt;1,$K95=1,AND($L95=80,OR($N95=1,AND($N95=2,'#BerechnungDBE'!$AL86&gt;0)))))),IF(FO$4&gt;=$AD$126,0,FY95),IF(FQ$9=3,IF(OR(FO$4&gt;=$AD$127,AND($G95=1,$J95=2,FO$6=2),AND(FO$6=1,$N95&lt;&gt;1)),0,IF(FS95&lt;=120,FY95,IF(FO$4&lt;$AD$124,IF($F95=1,60/FQ$4*FQ$6,60/FQ$4*FQ$7),IF($F95=1,120/FQ$4*FQ$6,120/FQ$4*FQ$7)))),IF(OR($F95=3,$G95=2),IF(OR(AND(FO$4&gt;=$AD$119,$C95=2),AND(FO$4&gt;=$AF$119,$C95=1)),0,IF(FS95&lt;=60,FY95,60/FQ$4*FQ$7)),IF(AND($F95=2,$G95=1),FY95,0)))))</f>
        <v>0</v>
      </c>
      <c r="GB95" s="57" t="str">
        <f t="shared" si="557"/>
        <v/>
      </c>
      <c r="GC95" s="57" t="str">
        <f t="shared" si="558"/>
        <v/>
      </c>
      <c r="GD95" s="713">
        <f>'org. Düngung 22'!AZ94</f>
        <v>0</v>
      </c>
      <c r="GE95" s="57"/>
      <c r="GF95" s="57"/>
      <c r="GG95" s="57">
        <f t="shared" si="559"/>
        <v>0</v>
      </c>
      <c r="GH95" s="57">
        <f t="shared" si="736"/>
        <v>0</v>
      </c>
      <c r="GI95" s="57">
        <f t="shared" si="737"/>
        <v>0</v>
      </c>
      <c r="GJ95" s="57">
        <f t="shared" si="738"/>
        <v>0</v>
      </c>
      <c r="GK95" s="57">
        <f t="shared" si="739"/>
        <v>0</v>
      </c>
      <c r="GL95" s="1029">
        <f t="shared" si="560"/>
        <v>0</v>
      </c>
      <c r="GM95" s="57">
        <f t="shared" si="561"/>
        <v>0</v>
      </c>
      <c r="GN95" s="171" t="str">
        <f t="shared" si="562"/>
        <v/>
      </c>
      <c r="GO95" s="57">
        <f t="shared" si="740"/>
        <v>0</v>
      </c>
      <c r="GP95" s="57">
        <f>IF(OR(AND(GD$6=1,$L95=0),AND(GD$6=2,$K95=2,$G95=1)),0,IF(AND(GF$9=2,(OR($F95&gt;1,$K95=1,AND($L95=80,OR($N95=1,AND($N95=2,'#BerechnungDBE'!$AL86&gt;0)))))),IF(GD$4&gt;=$AD$126,0,GN95),IF(GF$9=3,IF(OR(GD$4&gt;=$AD$127,AND($G95=1,$J95=2,GD$6=2),AND(GD$6=1,$N95&lt;&gt;1)),0,IF(GH95&lt;=120,GN95,IF(GD$4&lt;$AD$124,IF($F95=1,60/GF$4*GF$6,60/GF$4*GF$7),IF($F95=1,120/GF$4*GF$6,120/GF$4*GF$7)))),IF(OR($F95=3,$G95=2),IF(OR(AND(GD$4&gt;=$AD$119,$C95=2),AND(GD$4&gt;=$AF$119,$C95=1)),0,IF(GH95&lt;=60,GN95,60/GF$4*GF$7)),IF(AND($F95=2,$G95=1),GN95,0)))))</f>
        <v>0</v>
      </c>
      <c r="GQ95" s="57" t="str">
        <f t="shared" si="563"/>
        <v/>
      </c>
      <c r="GR95" s="57" t="str">
        <f t="shared" si="564"/>
        <v/>
      </c>
      <c r="GS95" s="713">
        <f>'org. Düngung 22'!BD94</f>
        <v>0</v>
      </c>
      <c r="GT95" s="57"/>
      <c r="GU95" s="57"/>
      <c r="GV95" s="57">
        <f t="shared" si="565"/>
        <v>0</v>
      </c>
      <c r="GW95" s="57">
        <f t="shared" si="741"/>
        <v>0</v>
      </c>
      <c r="GX95" s="57">
        <f t="shared" si="742"/>
        <v>0</v>
      </c>
      <c r="GY95" s="57">
        <f t="shared" si="743"/>
        <v>0</v>
      </c>
      <c r="GZ95" s="57">
        <f t="shared" si="744"/>
        <v>0</v>
      </c>
      <c r="HA95" s="1029">
        <f t="shared" si="566"/>
        <v>0</v>
      </c>
      <c r="HB95" s="57">
        <f t="shared" si="567"/>
        <v>0</v>
      </c>
      <c r="HC95" s="171" t="str">
        <f t="shared" si="568"/>
        <v/>
      </c>
      <c r="HD95" s="57">
        <f t="shared" si="745"/>
        <v>0</v>
      </c>
      <c r="HE95" s="57">
        <f>IF(OR(AND(GS$6=1,$L95=0),AND(GS$6=2,$K95=2,$G95=1)),0,IF(AND(GU$9=2,(OR($F95&gt;1,$K95=1,AND($L95=80,OR($N95=1,AND($N95=2,'#BerechnungDBE'!$AL86&gt;0)))))),IF(GS$4&gt;=$AD$126,0,HC95),IF(GU$9=3,IF(OR(GS$4&gt;=$AD$127,AND($G95=1,$J95=2,GS$6=2),AND(GS$6=1,$N95&lt;&gt;1)),0,IF(GW95&lt;=120,HC95,IF(GS$4&lt;$AD$124,IF($F95=1,60/GU$4*GU$6,60/GU$4*GU$7),IF($F95=1,120/GU$4*GU$6,120/GU$4*GU$7)))),IF(OR($F95=3,$G95=2),IF(OR(AND(GS$4&gt;=$AD$119,$C95=2),AND(GS$4&gt;=$AF$119,$C95=1)),0,IF(GW95&lt;=60,HC95,60/GU$4*GU$7)),IF(AND($F95=2,$G95=1),HC95,0)))))</f>
        <v>0</v>
      </c>
      <c r="HF95" s="57" t="str">
        <f t="shared" si="569"/>
        <v/>
      </c>
      <c r="HG95" s="57" t="str">
        <f t="shared" si="570"/>
        <v/>
      </c>
      <c r="HH95" s="713">
        <f>'org. Düngung 22'!BH94</f>
        <v>0</v>
      </c>
      <c r="HI95" s="57"/>
      <c r="HJ95" s="57"/>
      <c r="HK95" s="57">
        <f t="shared" si="571"/>
        <v>0</v>
      </c>
      <c r="HL95" s="57">
        <f t="shared" si="746"/>
        <v>0</v>
      </c>
      <c r="HM95" s="57">
        <f t="shared" si="747"/>
        <v>0</v>
      </c>
      <c r="HN95" s="57">
        <f t="shared" si="748"/>
        <v>0</v>
      </c>
      <c r="HO95" s="57">
        <f t="shared" si="749"/>
        <v>0</v>
      </c>
      <c r="HP95" s="1029">
        <f t="shared" si="572"/>
        <v>0</v>
      </c>
      <c r="HQ95" s="57">
        <f t="shared" si="573"/>
        <v>0</v>
      </c>
      <c r="HR95" s="171" t="str">
        <f t="shared" si="574"/>
        <v/>
      </c>
      <c r="HS95" s="57">
        <f t="shared" si="750"/>
        <v>0</v>
      </c>
      <c r="HT95" s="57">
        <f>IF(OR(AND(HH$6=1,$L95=0),AND(HH$6=2,$K95=2,$G95=1)),0,IF(AND(HJ$9=2,(OR($F95&gt;1,$K95=1,AND($L95=80,OR($N95=1,AND($N95=2,'#BerechnungDBE'!$AL86&gt;0)))))),IF(HH$4&gt;=$AD$126,0,HR95),IF(HJ$9=3,IF(OR(HH$4&gt;=$AD$127,AND($G95=1,$J95=2,HH$6=2),AND(HH$6=1,$N95&lt;&gt;1)),0,IF(HL95&lt;=120,HR95,IF(HH$4&lt;$AD$124,IF($F95=1,60/HJ$4*HJ$6,60/HJ$4*HJ$7),IF($F95=1,120/HJ$4*HJ$6,120/HJ$4*HJ$7)))),IF(OR($F95=3,$G95=2),IF(OR(AND(HH$4&gt;=$AD$119,$C95=2),AND(HH$4&gt;=$AF$119,$C95=1)),0,IF(HL95&lt;=60,HR95,60/HJ$4*HJ$7)),IF(AND($F95=2,$G95=1),HR95,0)))))</f>
        <v>0</v>
      </c>
      <c r="HU95" s="57" t="str">
        <f t="shared" si="575"/>
        <v/>
      </c>
      <c r="HV95" s="57" t="str">
        <f t="shared" si="576"/>
        <v/>
      </c>
      <c r="HW95" s="713">
        <f>'org. Düngung 22'!BL94</f>
        <v>0</v>
      </c>
      <c r="HX95" s="57"/>
      <c r="HY95" s="57"/>
      <c r="HZ95" s="57">
        <f t="shared" si="577"/>
        <v>0</v>
      </c>
      <c r="IA95" s="57">
        <f t="shared" si="751"/>
        <v>0</v>
      </c>
      <c r="IB95" s="57">
        <f t="shared" si="752"/>
        <v>0</v>
      </c>
      <c r="IC95" s="57">
        <f t="shared" si="753"/>
        <v>0</v>
      </c>
      <c r="ID95" s="57">
        <f t="shared" si="754"/>
        <v>0</v>
      </c>
      <c r="IE95" s="1029">
        <f t="shared" si="578"/>
        <v>0</v>
      </c>
      <c r="IF95" s="57">
        <f t="shared" si="579"/>
        <v>0</v>
      </c>
      <c r="IG95" s="171" t="str">
        <f t="shared" si="580"/>
        <v/>
      </c>
      <c r="IH95" s="57">
        <f t="shared" si="755"/>
        <v>0</v>
      </c>
      <c r="II95" s="57">
        <f>IF(OR(AND(HW$6=1,$L95=0),AND(HW$6=2,$K95=2,$G95=1)),0,IF(AND(HY$9=2,(OR($F95&gt;1,$K95=1,AND($L95=80,OR($N95=1,AND($N95=2,'#BerechnungDBE'!$AL86&gt;0)))))),IF(HW$4&gt;=$AD$126,0,IG95),IF(HY$9=3,IF(OR(HW$4&gt;=$AD$127,AND($G95=1,$J95=2,HW$6=2),AND(HW$6=1,$N95&lt;&gt;1)),0,IF(IA95&lt;=120,IG95,IF(HW$4&lt;$AD$124,IF($F95=1,60/HY$4*HY$6,60/HY$4*HY$7),IF($F95=1,120/HY$4*HY$6,120/HY$4*HY$7)))),IF(OR($F95=3,$G95=2),IF(OR(AND(HW$4&gt;=$AD$119,$C95=2),AND(HW$4&gt;=$AF$119,$C95=1)),0,IF(IA95&lt;=60,IG95,60/HY$4*HY$7)),IF(AND($F95=2,$G95=1),IG95,0)))))</f>
        <v>0</v>
      </c>
      <c r="IJ95" s="57" t="str">
        <f t="shared" si="581"/>
        <v/>
      </c>
      <c r="IK95" s="57" t="str">
        <f t="shared" si="582"/>
        <v/>
      </c>
      <c r="IL95" s="713">
        <f>'org. Düngung 22'!BP94</f>
        <v>0</v>
      </c>
      <c r="IM95" s="57"/>
      <c r="IN95" s="57"/>
      <c r="IO95" s="57">
        <f t="shared" si="583"/>
        <v>0</v>
      </c>
      <c r="IP95" s="57">
        <f t="shared" si="756"/>
        <v>0</v>
      </c>
      <c r="IQ95" s="57">
        <f t="shared" si="757"/>
        <v>0</v>
      </c>
      <c r="IR95" s="57">
        <f t="shared" si="758"/>
        <v>0</v>
      </c>
      <c r="IS95" s="57">
        <f t="shared" si="759"/>
        <v>0</v>
      </c>
      <c r="IT95" s="1029">
        <f t="shared" si="584"/>
        <v>0</v>
      </c>
      <c r="IU95" s="57">
        <f t="shared" si="585"/>
        <v>0</v>
      </c>
      <c r="IV95" s="171" t="str">
        <f t="shared" si="586"/>
        <v/>
      </c>
      <c r="IW95" s="57">
        <f t="shared" si="760"/>
        <v>0</v>
      </c>
      <c r="IX95" s="57">
        <f>IF(OR(AND(IL$6=1,$L95=0),AND(IL$6=2,$K95=2,$G95=1)),0,IF(AND(IN$9=2,(OR($F95&gt;1,$K95=1,AND($L95=80,OR($N95=1,AND($N95=2,'#BerechnungDBE'!$AL86&gt;0)))))),IF(IL$4&gt;=$AD$126,0,IV95),IF(IN$9=3,IF(OR(IL$4&gt;=$AD$127,AND($G95=1,$J95=2,IL$6=2),AND(IL$6=1,$N95&lt;&gt;1)),0,IF(IP95&lt;=120,IV95,IF(IL$4&lt;$AD$124,IF($F95=1,60/IN$4*IN$6,60/IN$4*IN$7),IF($F95=1,120/IN$4*IN$6,120/IN$4*IN$7)))),IF(OR($F95=3,$G95=2),IF(OR(AND(IL$4&gt;=$AD$119,$C95=2),AND(IL$4&gt;=$AF$119,$C95=1)),0,IF(IP95&lt;=60,IV95,60/IN$4*IN$7)),IF(AND($F95=2,$G95=1),IV95,0)))))</f>
        <v>0</v>
      </c>
      <c r="IY95" s="57" t="str">
        <f t="shared" si="587"/>
        <v/>
      </c>
      <c r="IZ95" s="57" t="str">
        <f t="shared" si="588"/>
        <v/>
      </c>
      <c r="JA95" s="713">
        <f>'org. Düngung 22'!BT94</f>
        <v>0</v>
      </c>
      <c r="JB95" s="57"/>
      <c r="JC95" s="57"/>
      <c r="JD95" s="57">
        <f t="shared" si="589"/>
        <v>0</v>
      </c>
      <c r="JE95" s="57">
        <f t="shared" si="761"/>
        <v>0</v>
      </c>
      <c r="JF95" s="57">
        <f t="shared" si="762"/>
        <v>0</v>
      </c>
      <c r="JG95" s="57">
        <f t="shared" si="763"/>
        <v>0</v>
      </c>
      <c r="JH95" s="57">
        <f t="shared" si="764"/>
        <v>0</v>
      </c>
      <c r="JI95" s="1029">
        <f t="shared" si="590"/>
        <v>0</v>
      </c>
      <c r="JJ95" s="57">
        <f t="shared" si="591"/>
        <v>0</v>
      </c>
      <c r="JK95" s="171" t="str">
        <f t="shared" si="592"/>
        <v/>
      </c>
      <c r="JL95" s="57">
        <f t="shared" si="765"/>
        <v>0</v>
      </c>
      <c r="JM95" s="57">
        <f>IF(OR(AND(JA$6=1,$L95=0),AND(JA$6=2,$K95=2,$G95=1)),0,IF(AND(JC$9=2,(OR($F95&gt;1,$K95=1,AND($L95=80,OR($N95=1,AND($N95=2,'#BerechnungDBE'!$AL86&gt;0)))))),IF(JA$4&gt;=$AD$126,0,JK95),IF(JC$9=3,IF(OR(JA$4&gt;=$AD$127,AND($G95=1,$J95=2,JA$6=2),AND(JA$6=1,$N95&lt;&gt;1)),0,IF(JE95&lt;=120,JK95,IF(JA$4&lt;$AD$124,IF($F95=1,60/JC$4*JC$6,60/JC$4*JC$7),IF($F95=1,120/JC$4*JC$6,120/JC$4*JC$7)))),IF(OR($F95=3,$G95=2),IF(OR(AND(JA$4&gt;=$AD$119,$C95=2),AND(JA$4&gt;=$AF$119,$C95=1)),0,IF(JE95&lt;=60,JK95,60/JC$4*JC$7)),IF(AND($F95=2,$G95=1),JK95,0)))))</f>
        <v>0</v>
      </c>
      <c r="JN95" s="57" t="str">
        <f t="shared" si="593"/>
        <v/>
      </c>
      <c r="JO95" s="57" t="str">
        <f t="shared" si="594"/>
        <v/>
      </c>
      <c r="JP95" s="713">
        <f>'org. Düngung 22'!BX94</f>
        <v>0</v>
      </c>
      <c r="JQ95" s="57"/>
      <c r="JR95" s="57"/>
      <c r="JS95" s="57">
        <f t="shared" si="595"/>
        <v>0</v>
      </c>
      <c r="JT95" s="57">
        <f t="shared" si="766"/>
        <v>0</v>
      </c>
      <c r="JU95" s="57">
        <f t="shared" si="767"/>
        <v>0</v>
      </c>
      <c r="JV95" s="57">
        <f t="shared" si="768"/>
        <v>0</v>
      </c>
      <c r="JW95" s="57">
        <f t="shared" si="769"/>
        <v>0</v>
      </c>
      <c r="JX95" s="1029">
        <f t="shared" si="596"/>
        <v>0</v>
      </c>
      <c r="JY95" s="57">
        <f t="shared" si="597"/>
        <v>0</v>
      </c>
      <c r="JZ95" s="171" t="str">
        <f t="shared" si="598"/>
        <v/>
      </c>
      <c r="KA95" s="57">
        <f t="shared" si="770"/>
        <v>0</v>
      </c>
      <c r="KB95" s="57">
        <f>IF(OR(AND(JP$6=1,$L95=0),AND(JP$6=2,$K95=2,$G95=1)),0,IF(AND(JR$9=2,(OR($F95&gt;1,$K95=1,AND($L95=80,OR($N95=1,AND($N95=2,'#BerechnungDBE'!$AL86&gt;0)))))),IF(JP$4&gt;=$AD$126,0,JZ95),IF(JR$9=3,IF(OR(JP$4&gt;=$AD$127,AND($G95=1,$J95=2,JP$6=2),AND(JP$6=1,$N95&lt;&gt;1)),0,IF(JT95&lt;=120,JZ95,IF(JP$4&lt;$AD$124,IF($F95=1,60/JR$4*JR$6,60/JR$4*JR$7),IF($F95=1,120/JR$4*JR$6,120/JR$4*JR$7)))),IF(OR($F95=3,$G95=2),IF(OR(AND(JP$4&gt;=$AD$119,$C95=2),AND(JP$4&gt;=$AF$119,$C95=1)),0,IF(JT95&lt;=60,JZ95,60/JR$4*JR$7)),IF(AND($F95=2,$G95=1),JZ95,0)))))</f>
        <v>0</v>
      </c>
      <c r="KC95" s="57" t="str">
        <f t="shared" si="599"/>
        <v/>
      </c>
      <c r="KD95" s="57" t="str">
        <f t="shared" si="600"/>
        <v/>
      </c>
      <c r="KE95" s="713">
        <f>'org. Düngung 22'!CB94</f>
        <v>0</v>
      </c>
      <c r="KF95" s="57"/>
      <c r="KG95" s="57"/>
      <c r="KH95" s="57">
        <f t="shared" si="601"/>
        <v>0</v>
      </c>
      <c r="KI95" s="57">
        <f t="shared" si="771"/>
        <v>0</v>
      </c>
      <c r="KJ95" s="57">
        <f t="shared" si="772"/>
        <v>0</v>
      </c>
      <c r="KK95" s="57">
        <f t="shared" si="773"/>
        <v>0</v>
      </c>
      <c r="KL95" s="57">
        <f t="shared" si="774"/>
        <v>0</v>
      </c>
      <c r="KM95" s="1029">
        <f t="shared" si="602"/>
        <v>0</v>
      </c>
      <c r="KN95" s="57">
        <f t="shared" si="603"/>
        <v>0</v>
      </c>
      <c r="KO95" s="171" t="str">
        <f t="shared" si="604"/>
        <v/>
      </c>
      <c r="KP95" s="57">
        <f t="shared" si="775"/>
        <v>0</v>
      </c>
      <c r="KQ95" s="57">
        <f>IF(OR(AND(KE$6=1,$L95=0),AND(KE$6=2,$K95=2,$G95=1)),0,IF(AND(KG$9=2,(OR($F95&gt;1,$K95=1,AND($L95=80,OR($N95=1,AND($N95=2,'#BerechnungDBE'!$AL86&gt;0)))))),IF(KE$4&gt;=$AD$126,0,KO95),IF(KG$9=3,IF(OR(KE$4&gt;=$AD$127,AND($G95=1,$J95=2,KE$6=2),AND(KE$6=1,$N95&lt;&gt;1)),0,IF(KI95&lt;=120,KO95,IF(KE$4&lt;$AD$124,IF($F95=1,60/KG$4*KG$6,60/KG$4*KG$7),IF($F95=1,120/KG$4*KG$6,120/KG$4*KG$7)))),IF(OR($F95=3,$G95=2),IF(OR(AND(KE$4&gt;=$AD$119,$C95=2),AND(KE$4&gt;=$AF$119,$C95=1)),0,IF(KI95&lt;=60,KO95,60/KG$4*KG$7)),IF(AND($F95=2,$G95=1),KO95,0)))))</f>
        <v>0</v>
      </c>
      <c r="KR95" s="57" t="str">
        <f t="shared" si="605"/>
        <v/>
      </c>
      <c r="KS95" s="57" t="str">
        <f t="shared" si="606"/>
        <v/>
      </c>
      <c r="KT95" s="713">
        <f>'org. Düngung 22'!CF94</f>
        <v>0</v>
      </c>
      <c r="KU95" s="57"/>
      <c r="KV95" s="57"/>
      <c r="KW95" s="57">
        <f t="shared" si="607"/>
        <v>0</v>
      </c>
      <c r="KX95" s="57">
        <f t="shared" si="776"/>
        <v>0</v>
      </c>
      <c r="KY95" s="57">
        <f t="shared" si="777"/>
        <v>0</v>
      </c>
      <c r="KZ95" s="57">
        <f t="shared" si="778"/>
        <v>0</v>
      </c>
      <c r="LA95" s="57">
        <f t="shared" si="779"/>
        <v>0</v>
      </c>
      <c r="LB95" s="1029">
        <f t="shared" si="608"/>
        <v>0</v>
      </c>
      <c r="LC95" s="57">
        <f t="shared" si="609"/>
        <v>0</v>
      </c>
      <c r="LD95" s="171" t="str">
        <f t="shared" si="610"/>
        <v/>
      </c>
      <c r="LE95" s="57">
        <f t="shared" si="780"/>
        <v>0</v>
      </c>
      <c r="LF95" s="57">
        <f>IF(OR(AND(KT$6=1,$L95=0),AND(KT$6=2,$K95=2,$G95=1)),0,IF(AND(KV$9=2,(OR($F95&gt;1,$K95=1,AND($L95=80,OR($N95=1,AND($N95=2,'#BerechnungDBE'!$AL86&gt;0)))))),IF(KT$4&gt;=$AD$126,0,LD95),IF(KV$9=3,IF(OR(KT$4&gt;=$AD$127,AND($G95=1,$J95=2,KT$6=2),AND(KT$6=1,$N95&lt;&gt;1)),0,IF(KX95&lt;=120,LD95,IF(KT$4&lt;$AD$124,IF($F95=1,60/KV$4*KV$6,60/KV$4*KV$7),IF($F95=1,120/KV$4*KV$6,120/KV$4*KV$7)))),IF(OR($F95=3,$G95=2),IF(OR(AND(KT$4&gt;=$AD$119,$C95=2),AND(KT$4&gt;=$AF$119,$C95=1)),0,IF(KX95&lt;=60,LD95,60/KV$4*KV$7)),IF(AND($F95=2,$G95=1),LD95,0)))))</f>
        <v>0</v>
      </c>
      <c r="LG95" s="57" t="str">
        <f t="shared" si="611"/>
        <v/>
      </c>
      <c r="LH95" s="57" t="str">
        <f t="shared" si="612"/>
        <v/>
      </c>
      <c r="LI95" s="713">
        <f>'org. Düngung 22'!CJ94</f>
        <v>0</v>
      </c>
      <c r="LJ95" s="57"/>
      <c r="LK95" s="57"/>
      <c r="LL95" s="57">
        <f t="shared" si="613"/>
        <v>0</v>
      </c>
      <c r="LM95" s="57">
        <f t="shared" si="781"/>
        <v>0</v>
      </c>
      <c r="LN95" s="57">
        <f t="shared" si="782"/>
        <v>0</v>
      </c>
      <c r="LO95" s="57">
        <f t="shared" si="783"/>
        <v>0</v>
      </c>
      <c r="LP95" s="57">
        <f t="shared" si="784"/>
        <v>0</v>
      </c>
      <c r="LQ95" s="1029">
        <f t="shared" si="614"/>
        <v>0</v>
      </c>
      <c r="LR95" s="57">
        <f t="shared" si="615"/>
        <v>0</v>
      </c>
      <c r="LS95" s="171" t="str">
        <f t="shared" si="616"/>
        <v/>
      </c>
      <c r="LT95" s="57">
        <f t="shared" si="785"/>
        <v>0</v>
      </c>
      <c r="LU95" s="57">
        <f>IF(OR(AND(LI$6=1,$L95=0),AND(LI$6=2,$K95=2,$G95=1)),0,IF(AND(LK$9=2,(OR($F95&gt;1,$K95=1,AND($L95=80,OR($N95=1,AND($N95=2,'#BerechnungDBE'!$AL86&gt;0)))))),IF(LI$4&gt;=$AD$126,0,LS95),IF(LK$9=3,IF(OR(LI$4&gt;=$AD$127,AND($G95=1,$J95=2,LI$6=2),AND(LI$6=1,$N95&lt;&gt;1)),0,IF(LM95&lt;=120,LS95,IF(LI$4&lt;$AD$124,IF($F95=1,60/LK$4*LK$6,60/LK$4*LK$7),IF($F95=1,120/LK$4*LK$6,120/LK$4*LK$7)))),IF(OR($F95=3,$G95=2),IF(OR(AND(LI$4&gt;=$AD$119,$C95=2),AND(LI$4&gt;=$AF$119,$C95=1)),0,IF(LM95&lt;=60,LS95,60/LK$4*LK$7)),IF(AND($F95=2,$G95=1),LS95,0)))))</f>
        <v>0</v>
      </c>
      <c r="LV95" s="57" t="str">
        <f t="shared" si="617"/>
        <v/>
      </c>
      <c r="LW95" s="57" t="str">
        <f t="shared" si="618"/>
        <v/>
      </c>
      <c r="LX95" s="713">
        <f>'org. Düngung 22'!CN94</f>
        <v>0</v>
      </c>
      <c r="LY95" s="57"/>
      <c r="LZ95" s="57"/>
      <c r="MA95" s="57">
        <f t="shared" si="619"/>
        <v>0</v>
      </c>
      <c r="MB95" s="57">
        <f t="shared" si="786"/>
        <v>0</v>
      </c>
      <c r="MC95" s="57">
        <f t="shared" si="787"/>
        <v>0</v>
      </c>
      <c r="MD95" s="57">
        <f t="shared" si="788"/>
        <v>0</v>
      </c>
      <c r="ME95" s="57">
        <f t="shared" si="789"/>
        <v>0</v>
      </c>
      <c r="MF95" s="1029">
        <f t="shared" si="620"/>
        <v>0</v>
      </c>
      <c r="MG95" s="57">
        <f t="shared" si="621"/>
        <v>0</v>
      </c>
      <c r="MH95" s="171" t="str">
        <f t="shared" si="622"/>
        <v/>
      </c>
      <c r="MI95" s="57">
        <f t="shared" si="790"/>
        <v>0</v>
      </c>
      <c r="MJ95" s="57">
        <f>IF(OR(AND(LX$6=1,$L95=0),AND(LX$6=2,$K95=2,$G95=1)),0,IF(AND(LZ$9=2,(OR($F95&gt;1,$K95=1,AND($L95=80,OR($N95=1,AND($N95=2,'#BerechnungDBE'!$AL86&gt;0)))))),IF(LX$4&gt;=$AD$126,0,MH95),IF(LZ$9=3,IF(OR(LX$4&gt;=$AD$127,AND($G95=1,$J95=2,LX$6=2),AND(LX$6=1,$N95&lt;&gt;1)),0,IF(MB95&lt;=120,MH95,IF(LX$4&lt;$AD$124,IF($F95=1,60/LZ$4*LZ$6,60/LZ$4*LZ$7),IF($F95=1,120/LZ$4*LZ$6,120/LZ$4*LZ$7)))),IF(OR($F95=3,$G95=2),IF(OR(AND(LX$4&gt;=$AD$119,$C95=2),AND(LX$4&gt;=$AF$119,$C95=1)),0,IF(MB95&lt;=60,MH95,60/LZ$4*LZ$7)),IF(AND($F95=2,$G95=1),MH95,0)))))</f>
        <v>0</v>
      </c>
      <c r="MK95" s="57" t="str">
        <f t="shared" si="623"/>
        <v/>
      </c>
      <c r="ML95" s="57" t="str">
        <f t="shared" si="624"/>
        <v/>
      </c>
      <c r="MM95" s="713">
        <f>'org. Düngung 22'!CR94</f>
        <v>0</v>
      </c>
      <c r="MN95" s="57"/>
      <c r="MO95" s="57"/>
      <c r="MP95" s="57">
        <f t="shared" si="625"/>
        <v>0</v>
      </c>
      <c r="MQ95" s="57">
        <f t="shared" si="791"/>
        <v>0</v>
      </c>
      <c r="MR95" s="57">
        <f t="shared" si="792"/>
        <v>0</v>
      </c>
      <c r="MS95" s="57">
        <f t="shared" si="793"/>
        <v>0</v>
      </c>
      <c r="MT95" s="57">
        <f t="shared" si="794"/>
        <v>0</v>
      </c>
      <c r="MU95" s="1029">
        <f t="shared" si="626"/>
        <v>0</v>
      </c>
      <c r="MV95" s="57">
        <f t="shared" si="627"/>
        <v>0</v>
      </c>
      <c r="MW95" s="171" t="str">
        <f t="shared" si="628"/>
        <v/>
      </c>
      <c r="MX95" s="57">
        <f t="shared" si="795"/>
        <v>0</v>
      </c>
      <c r="MY95" s="57">
        <f>IF(OR(AND(MM$6=1,$L95=0),AND(MM$6=2,$K95=2,$G95=1)),0,IF(AND(MO$9=2,(OR($F95&gt;1,$K95=1,AND($L95=80,OR($N95=1,AND($N95=2,'#BerechnungDBE'!$AL86&gt;0)))))),IF(MM$4&gt;=$AD$126,0,MW95),IF(MO$9=3,IF(OR(MM$4&gt;=$AD$127,AND($G95=1,$J95=2,MM$6=2),AND(MM$6=1,$N95&lt;&gt;1)),0,IF(MQ95&lt;=120,MW95,IF(MM$4&lt;$AD$124,IF($F95=1,60/MO$4*MO$6,60/MO$4*MO$7),IF($F95=1,120/MO$4*MO$6,120/MO$4*MO$7)))),IF(OR($F95=3,$G95=2),IF(OR(AND(MM$4&gt;=$AD$119,$C95=2),AND(MM$4&gt;=$AF$119,$C95=1)),0,IF(MQ95&lt;=60,MW95,60/MO$4*MO$7)),IF(AND($F95=2,$G95=1),MW95,0)))))</f>
        <v>0</v>
      </c>
      <c r="MZ95" s="57" t="str">
        <f t="shared" si="629"/>
        <v/>
      </c>
      <c r="NA95" s="57" t="str">
        <f t="shared" si="630"/>
        <v/>
      </c>
      <c r="NB95" s="713">
        <f>'org. Düngung 22'!CV94</f>
        <v>0</v>
      </c>
      <c r="NC95" s="57"/>
      <c r="ND95" s="57"/>
      <c r="NE95" s="57">
        <f t="shared" si="631"/>
        <v>0</v>
      </c>
      <c r="NF95" s="57">
        <f t="shared" si="796"/>
        <v>0</v>
      </c>
      <c r="NG95" s="57">
        <f t="shared" si="797"/>
        <v>0</v>
      </c>
      <c r="NH95" s="57">
        <f t="shared" si="798"/>
        <v>0</v>
      </c>
      <c r="NI95" s="57">
        <f t="shared" si="799"/>
        <v>0</v>
      </c>
      <c r="NJ95" s="1029">
        <f t="shared" si="632"/>
        <v>0</v>
      </c>
      <c r="NK95" s="57">
        <f t="shared" si="633"/>
        <v>0</v>
      </c>
      <c r="NL95" s="171" t="str">
        <f t="shared" si="634"/>
        <v/>
      </c>
      <c r="NM95" s="57">
        <f t="shared" si="800"/>
        <v>0</v>
      </c>
      <c r="NN95" s="57">
        <f>IF(OR(AND(NB$6=1,$L95=0),AND(NB$6=2,$K95=2,$G95=1)),0,IF(AND(ND$9=2,(OR($F95&gt;1,$K95=1,AND($L95=80,OR($N95=1,AND($N95=2,'#BerechnungDBE'!$AL86&gt;0)))))),IF(NB$4&gt;=$AD$126,0,NL95),IF(ND$9=3,IF(OR(NB$4&gt;=$AD$127,AND($G95=1,$J95=2,NB$6=2),AND(NB$6=1,$N95&lt;&gt;1)),0,IF(NF95&lt;=120,NL95,IF(NB$4&lt;$AD$124,IF($F95=1,60/ND$4*ND$6,60/ND$4*ND$7),IF($F95=1,120/ND$4*ND$6,120/ND$4*ND$7)))),IF(OR($F95=3,$G95=2),IF(OR(AND(NB$4&gt;=$AD$119,$C95=2),AND(NB$4&gt;=$AF$119,$C95=1)),0,IF(NF95&lt;=60,NL95,60/ND$4*ND$7)),IF(AND($F95=2,$G95=1),NL95,0)))))</f>
        <v>0</v>
      </c>
      <c r="NO95" s="57" t="str">
        <f t="shared" si="635"/>
        <v/>
      </c>
      <c r="NP95" s="57" t="str">
        <f t="shared" si="636"/>
        <v/>
      </c>
      <c r="NQ95" s="713">
        <f>'org. Düngung 22'!CZ94</f>
        <v>0</v>
      </c>
      <c r="NR95" s="57"/>
      <c r="NS95" s="57"/>
      <c r="NT95" s="57">
        <f t="shared" si="637"/>
        <v>0</v>
      </c>
      <c r="NU95" s="57">
        <f t="shared" si="801"/>
        <v>0</v>
      </c>
      <c r="NV95" s="57">
        <f t="shared" si="802"/>
        <v>0</v>
      </c>
      <c r="NW95" s="57">
        <f t="shared" si="803"/>
        <v>0</v>
      </c>
      <c r="NX95" s="57">
        <f t="shared" si="804"/>
        <v>0</v>
      </c>
      <c r="NY95" s="1029">
        <f t="shared" si="638"/>
        <v>0</v>
      </c>
      <c r="NZ95" s="57">
        <f t="shared" si="639"/>
        <v>0</v>
      </c>
      <c r="OA95" s="171" t="str">
        <f t="shared" si="640"/>
        <v/>
      </c>
      <c r="OB95" s="57">
        <f t="shared" si="805"/>
        <v>0</v>
      </c>
      <c r="OC95" s="57">
        <f>IF(OR(AND(NQ$6=1,$L95=0),AND(NQ$6=2,$K95=2,$G95=1)),0,IF(AND(NS$9=2,(OR($F95&gt;1,$K95=1,AND($L95=80,OR($N95=1,AND($N95=2,'#BerechnungDBE'!$AL86&gt;0)))))),IF(NQ$4&gt;=$AD$126,0,OA95),IF(NS$9=3,IF(OR(NQ$4&gt;=$AD$127,AND($G95=1,$J95=2,NQ$6=2),AND(NQ$6=1,$N95&lt;&gt;1)),0,IF(NU95&lt;=120,OA95,IF(NQ$4&lt;$AD$124,IF($F95=1,60/NS$4*NS$6,60/NS$4*NS$7),IF($F95=1,120/NS$4*NS$6,120/NS$4*NS$7)))),IF(OR($F95=3,$G95=2),IF(OR(AND(NQ$4&gt;=$AD$119,$C95=2),AND(NQ$4&gt;=$AF$119,$C95=1)),0,IF(NU95&lt;=60,OA95,60/NS$4*NS$7)),IF(AND($F95=2,$G95=1),OA95,0)))))</f>
        <v>0</v>
      </c>
      <c r="OD95" s="57" t="str">
        <f t="shared" si="641"/>
        <v/>
      </c>
      <c r="OE95" s="57" t="str">
        <f t="shared" si="642"/>
        <v/>
      </c>
      <c r="OF95" s="713">
        <f>'org. Düngung 22'!DD94</f>
        <v>0</v>
      </c>
      <c r="OG95" s="57"/>
      <c r="OH95" s="57"/>
      <c r="OI95" s="57">
        <f t="shared" si="643"/>
        <v>0</v>
      </c>
      <c r="OJ95" s="57">
        <f t="shared" si="806"/>
        <v>0</v>
      </c>
      <c r="OK95" s="57">
        <f t="shared" si="807"/>
        <v>0</v>
      </c>
      <c r="OL95" s="57">
        <f t="shared" si="808"/>
        <v>0</v>
      </c>
      <c r="OM95" s="57">
        <f t="shared" si="809"/>
        <v>0</v>
      </c>
      <c r="ON95" s="1029">
        <f t="shared" si="644"/>
        <v>0</v>
      </c>
      <c r="OO95" s="57">
        <f t="shared" si="645"/>
        <v>0</v>
      </c>
      <c r="OP95" s="171" t="str">
        <f t="shared" si="646"/>
        <v/>
      </c>
      <c r="OQ95" s="57">
        <f t="shared" si="810"/>
        <v>0</v>
      </c>
      <c r="OR95" s="57">
        <f>IF(OR(AND(OF$6=1,$L95=0),AND(OF$6=2,$K95=2,$G95=1)),0,IF(AND(OH$9=2,(OR($F95&gt;1,$K95=1,AND($L95=80,OR($N95=1,AND($N95=2,'#BerechnungDBE'!$AL86&gt;0)))))),IF(OF$4&gt;=$AD$126,0,OP95),IF(OH$9=3,IF(OR(OF$4&gt;=$AD$127,AND($G95=1,$J95=2,OF$6=2),AND(OF$6=1,$N95&lt;&gt;1)),0,IF(OJ95&lt;=120,OP95,IF(OF$4&lt;$AD$124,IF($F95=1,60/OH$4*OH$6,60/OH$4*OH$7),IF($F95=1,120/OH$4*OH$6,120/OH$4*OH$7)))),IF(OR($F95=3,$G95=2),IF(OR(AND(OF$4&gt;=$AD$119,$C95=2),AND(OF$4&gt;=$AF$119,$C95=1)),0,IF(OJ95&lt;=60,OP95,60/OH$4*OH$7)),IF(AND($F95=2,$G95=1),OP95,0)))))</f>
        <v>0</v>
      </c>
      <c r="OS95" s="57" t="str">
        <f t="shared" si="647"/>
        <v/>
      </c>
      <c r="OT95" s="57" t="str">
        <f t="shared" si="648"/>
        <v/>
      </c>
      <c r="OU95" s="713">
        <f>'org. Düngung 22'!DH94</f>
        <v>0</v>
      </c>
      <c r="OV95" s="57"/>
      <c r="OW95" s="57"/>
      <c r="OX95" s="57">
        <f t="shared" si="649"/>
        <v>0</v>
      </c>
      <c r="OY95" s="57">
        <f t="shared" si="811"/>
        <v>0</v>
      </c>
      <c r="OZ95" s="57">
        <f t="shared" si="812"/>
        <v>0</v>
      </c>
      <c r="PA95" s="57">
        <f t="shared" si="813"/>
        <v>0</v>
      </c>
      <c r="PB95" s="57">
        <f t="shared" si="814"/>
        <v>0</v>
      </c>
      <c r="PC95" s="1029">
        <f t="shared" si="650"/>
        <v>0</v>
      </c>
      <c r="PD95" s="57">
        <f t="shared" si="651"/>
        <v>0</v>
      </c>
      <c r="PE95" s="171" t="str">
        <f t="shared" si="652"/>
        <v/>
      </c>
      <c r="PF95" s="57">
        <f t="shared" si="815"/>
        <v>0</v>
      </c>
      <c r="PG95" s="57">
        <f>IF(OR(AND(OU$6=1,$L95=0),AND(OU$6=2,$K95=2,$G95=1)),0,IF(AND(OW$9=2,(OR($F95&gt;1,$K95=1,AND($L95=80,OR($N95=1,AND($N95=2,'#BerechnungDBE'!$AL86&gt;0)))))),IF(OU$4&gt;=$AD$126,0,PE95),IF(OW$9=3,IF(OR(OU$4&gt;=$AD$127,AND($G95=1,$J95=2,OU$6=2),AND(OU$6=1,$N95&lt;&gt;1)),0,IF(OY95&lt;=120,PE95,IF(OU$4&lt;$AD$124,IF($F95=1,60/OW$4*OW$6,60/OW$4*OW$7),IF($F95=1,120/OW$4*OW$6,120/OW$4*OW$7)))),IF(OR($F95=3,$G95=2),IF(OR(AND(OU$4&gt;=$AD$119,$C95=2),AND(OU$4&gt;=$AF$119,$C95=1)),0,IF(OY95&lt;=60,PE95,60/OW$4*OW$7)),IF(AND($F95=2,$G95=1),PE95,0)))))</f>
        <v>0</v>
      </c>
      <c r="PH95" s="57" t="str">
        <f t="shared" si="653"/>
        <v/>
      </c>
      <c r="PI95" s="57" t="str">
        <f t="shared" si="654"/>
        <v/>
      </c>
      <c r="PJ95" s="713">
        <f>'org. Düngung 22'!DL94</f>
        <v>0</v>
      </c>
      <c r="PK95" s="57"/>
      <c r="PL95" s="57"/>
      <c r="PM95" s="57">
        <f t="shared" si="655"/>
        <v>0</v>
      </c>
      <c r="PN95" s="57">
        <f t="shared" si="816"/>
        <v>0</v>
      </c>
      <c r="PO95" s="57">
        <f t="shared" si="817"/>
        <v>0</v>
      </c>
      <c r="PP95" s="57">
        <f t="shared" si="818"/>
        <v>0</v>
      </c>
      <c r="PQ95" s="57">
        <f t="shared" si="819"/>
        <v>0</v>
      </c>
      <c r="PR95" s="1029">
        <f t="shared" si="656"/>
        <v>0</v>
      </c>
      <c r="PS95" s="57">
        <f t="shared" si="657"/>
        <v>0</v>
      </c>
      <c r="PT95" s="171" t="str">
        <f t="shared" si="658"/>
        <v/>
      </c>
      <c r="PU95" s="57">
        <f t="shared" si="820"/>
        <v>0</v>
      </c>
      <c r="PV95" s="57">
        <f>IF(OR(AND(PJ$6=1,$L95=0),AND(PJ$6=2,$K95=2,$G95=1)),0,IF(AND(PL$9=2,(OR($F95&gt;1,$K95=1,AND($L95=80,OR($N95=1,AND($N95=2,'#BerechnungDBE'!$AL86&gt;0)))))),IF(PJ$4&gt;=$AD$126,0,PT95),IF(PL$9=3,IF(OR(PJ$4&gt;=$AD$127,AND($G95=1,$J95=2,PJ$6=2),AND(PJ$6=1,$N95&lt;&gt;1)),0,IF(PN95&lt;=120,PT95,IF(PJ$4&lt;$AD$124,IF($F95=1,60/PL$4*PL$6,60/PL$4*PL$7),IF($F95=1,120/PL$4*PL$6,120/PL$4*PL$7)))),IF(OR($F95=3,$G95=2),IF(OR(AND(PJ$4&gt;=$AD$119,$C95=2),AND(PJ$4&gt;=$AF$119,$C95=1)),0,IF(PN95&lt;=60,PT95,60/PL$4*PL$7)),IF(AND($F95=2,$G95=1),PT95,0)))))</f>
        <v>0</v>
      </c>
      <c r="PW95" s="57" t="str">
        <f t="shared" si="659"/>
        <v/>
      </c>
      <c r="PX95" s="57" t="str">
        <f t="shared" si="660"/>
        <v/>
      </c>
      <c r="PY95" s="713">
        <f>'org. Düngung 22'!DP94</f>
        <v>0</v>
      </c>
      <c r="PZ95" s="57"/>
      <c r="QA95" s="57"/>
      <c r="QB95" s="57">
        <f t="shared" si="661"/>
        <v>0</v>
      </c>
      <c r="QC95" s="57">
        <f t="shared" si="821"/>
        <v>0</v>
      </c>
      <c r="QD95" s="57">
        <f t="shared" si="822"/>
        <v>0</v>
      </c>
      <c r="QE95" s="57">
        <f t="shared" si="823"/>
        <v>0</v>
      </c>
      <c r="QF95" s="57">
        <f t="shared" si="824"/>
        <v>0</v>
      </c>
      <c r="QG95" s="1029">
        <f t="shared" si="662"/>
        <v>0</v>
      </c>
      <c r="QH95" s="57">
        <f t="shared" si="663"/>
        <v>0</v>
      </c>
      <c r="QI95" s="171" t="str">
        <f t="shared" si="664"/>
        <v/>
      </c>
      <c r="QJ95" s="57">
        <f t="shared" si="825"/>
        <v>0</v>
      </c>
      <c r="QK95" s="57">
        <f>IF(OR(AND(PY$6=1,$L95=0),AND(PY$6=2,$K95=2,$G95=1)),0,IF(AND(QA$9=2,(OR($F95&gt;1,$K95=1,AND($L95=80,OR($N95=1,AND($N95=2,'#BerechnungDBE'!$AL86&gt;0)))))),IF(PY$4&gt;=$AD$126,0,QI95),IF(QA$9=3,IF(OR(PY$4&gt;=$AD$127,AND($G95=1,$J95=2,PY$6=2),AND(PY$6=1,$N95&lt;&gt;1)),0,IF(QC95&lt;=120,QI95,IF(PY$4&lt;$AD$124,IF($F95=1,60/QA$4*QA$6,60/QA$4*QA$7),IF($F95=1,120/QA$4*QA$6,120/QA$4*QA$7)))),IF(OR($F95=3,$G95=2),IF(OR(AND(PY$4&gt;=$AD$119,$C95=2),AND(PY$4&gt;=$AF$119,$C95=1)),0,IF(QC95&lt;=60,QI95,60/QA$4*QA$7)),IF(AND($F95=2,$G95=1),QI95,0)))))</f>
        <v>0</v>
      </c>
      <c r="QL95" s="57" t="str">
        <f t="shared" si="665"/>
        <v/>
      </c>
      <c r="QM95" s="57" t="str">
        <f t="shared" si="666"/>
        <v/>
      </c>
      <c r="QN95" s="713">
        <f>'org. Düngung 22'!DT94</f>
        <v>0</v>
      </c>
      <c r="QO95" s="57"/>
      <c r="QP95" s="57"/>
      <c r="QQ95" s="57">
        <f t="shared" si="667"/>
        <v>0</v>
      </c>
      <c r="QR95" s="57">
        <f t="shared" si="826"/>
        <v>0</v>
      </c>
      <c r="QS95" s="57">
        <f t="shared" si="827"/>
        <v>0</v>
      </c>
      <c r="QT95" s="57">
        <f t="shared" si="828"/>
        <v>0</v>
      </c>
      <c r="QU95" s="57">
        <f t="shared" si="829"/>
        <v>0</v>
      </c>
      <c r="QV95" s="1029">
        <f t="shared" si="668"/>
        <v>0</v>
      </c>
      <c r="QW95" s="57">
        <f t="shared" si="669"/>
        <v>0</v>
      </c>
      <c r="QX95" s="171" t="str">
        <f t="shared" si="670"/>
        <v/>
      </c>
      <c r="QY95" s="57">
        <f t="shared" si="830"/>
        <v>0</v>
      </c>
      <c r="QZ95" s="57">
        <f>IF(OR(AND(QN$6=1,$L95=0),AND(QN$6=2,$K95=2,$G95=1)),0,IF(AND(QP$9=2,(OR($F95&gt;1,$K95=1,AND($L95=80,OR($N95=1,AND($N95=2,'#BerechnungDBE'!$AL86&gt;0)))))),IF(QN$4&gt;=$AD$126,0,QX95),IF(QP$9=3,IF(OR(QN$4&gt;=$AD$127,AND($G95=1,$J95=2,QN$6=2),AND(QN$6=1,$N95&lt;&gt;1)),0,IF(QR95&lt;=120,QX95,IF(QN$4&lt;$AD$124,IF($F95=1,60/QP$4*QP$6,60/QP$4*QP$7),IF($F95=1,120/QP$4*QP$6,120/QP$4*QP$7)))),IF(OR($F95=3,$G95=2),IF(OR(AND(QN$4&gt;=$AD$119,$C95=2),AND(QN$4&gt;=$AF$119,$C95=1)),0,IF(QR95&lt;=60,QX95,60/QP$4*QP$7)),IF(AND($F95=2,$G95=1),QX95,0)))))</f>
        <v>0</v>
      </c>
      <c r="RA95" s="57" t="str">
        <f t="shared" si="671"/>
        <v/>
      </c>
      <c r="RB95" s="57" t="str">
        <f t="shared" si="672"/>
        <v/>
      </c>
      <c r="RC95" s="713">
        <f>'org. Düngung 22'!DX94</f>
        <v>0</v>
      </c>
      <c r="RD95" s="57"/>
      <c r="RE95" s="57"/>
      <c r="RF95" s="57">
        <f t="shared" si="673"/>
        <v>0</v>
      </c>
      <c r="RG95" s="57">
        <f t="shared" si="831"/>
        <v>0</v>
      </c>
      <c r="RH95" s="57">
        <f t="shared" si="832"/>
        <v>0</v>
      </c>
      <c r="RI95" s="57">
        <f t="shared" si="833"/>
        <v>0</v>
      </c>
      <c r="RJ95" s="57">
        <f t="shared" si="834"/>
        <v>0</v>
      </c>
      <c r="RK95" s="1029">
        <f t="shared" si="674"/>
        <v>0</v>
      </c>
      <c r="RL95" s="57">
        <f t="shared" si="675"/>
        <v>0</v>
      </c>
      <c r="RM95" s="171" t="str">
        <f t="shared" si="676"/>
        <v/>
      </c>
      <c r="RN95" s="57">
        <f t="shared" si="835"/>
        <v>0</v>
      </c>
      <c r="RO95" s="57">
        <f>IF(OR(AND(RC$6=1,$L95=0),AND(RC$6=2,$K95=2,$G95=1)),0,IF(AND(RE$9=2,(OR($F95&gt;1,$K95=1,AND($L95=80,OR($N95=1,AND($N95=2,'#BerechnungDBE'!$AL86&gt;0)))))),IF(RC$4&gt;=$AD$126,0,RM95),IF(RE$9=3,IF(OR(RC$4&gt;=$AD$127,AND($G95=1,$J95=2,RC$6=2),AND(RC$6=1,$N95&lt;&gt;1)),0,IF(RG95&lt;=120,RM95,IF(RC$4&lt;$AD$124,IF($F95=1,60/RE$4*RE$6,60/RE$4*RE$7),IF($F95=1,120/RE$4*RE$6,120/RE$4*RE$7)))),IF(OR($F95=3,$G95=2),IF(OR(AND(RC$4&gt;=$AD$119,$C95=2),AND(RC$4&gt;=$AF$119,$C95=1)),0,IF(RG95&lt;=60,RM95,60/RE$4*RE$7)),IF(AND($F95=2,$G95=1),RM95,0)))))</f>
        <v>0</v>
      </c>
      <c r="RP95" s="57" t="str">
        <f t="shared" si="677"/>
        <v/>
      </c>
      <c r="RQ95" s="57" t="str">
        <f t="shared" si="678"/>
        <v/>
      </c>
      <c r="RS95" s="57" t="str">
        <f t="shared" si="836"/>
        <v/>
      </c>
      <c r="RT95" s="57" t="str">
        <f t="shared" si="679"/>
        <v/>
      </c>
      <c r="RU95" s="57" t="str">
        <f t="shared" si="680"/>
        <v/>
      </c>
      <c r="RV95" s="57" t="str">
        <f>IF(Z95&gt;'#BerechnungDBE'!BM86,$RV$9,"")</f>
        <v/>
      </c>
      <c r="RW95" s="57" t="str">
        <f>IF(AND(L95=70,AE95&gt;'#BerechnungDBE'!CQ86),$RW$9,"")</f>
        <v/>
      </c>
      <c r="RX95" s="57" t="str">
        <f>IF(OR('org. Düngung 22'!G94="--",'org. Düngung 22'!G94&lt;=170,'org. Düngung 22'!G94=""),"",$RX$9)</f>
        <v/>
      </c>
      <c r="RY95" s="57" t="str">
        <f>IF('org. Düngung 22'!K94&gt;120,'#orgDung'!$RY$9,"")</f>
        <v/>
      </c>
      <c r="RZ95" s="57" t="str">
        <f>IF('#BerechnungDBE'!P86&lt;4,"",IF(AND('#BerechnungDBE'!BZ86&gt;0,T95&gt;0),'#orgDung'!$RZ$9,""))</f>
        <v/>
      </c>
      <c r="SA95" s="57" t="str">
        <f t="shared" si="681"/>
        <v/>
      </c>
    </row>
    <row r="96" spans="1:495" s="875" customFormat="1" x14ac:dyDescent="0.2">
      <c r="A96" s="875">
        <f>'Flächen u. Kulturen'!A92</f>
        <v>83</v>
      </c>
      <c r="B96" s="367">
        <f>'#BerechnungDBE'!L87</f>
        <v>0</v>
      </c>
      <c r="C96" s="875">
        <f>'#BerechnungDBE'!R87</f>
        <v>1</v>
      </c>
      <c r="D96" s="875">
        <f>'#BerechnungDBE'!T87</f>
        <v>2</v>
      </c>
      <c r="E96" s="875" t="str">
        <f>'Flächen u. Kulturen'!E92</f>
        <v>x</v>
      </c>
      <c r="F96" s="52">
        <f>'#BerechnungDBE'!N87</f>
        <v>1</v>
      </c>
      <c r="G96" s="52">
        <f>'#BerechnungDBE'!O87</f>
        <v>1</v>
      </c>
      <c r="H96" s="875">
        <f>IF('Flächen u. Kulturen'!P92="",0,VLOOKUP('Flächen u. Kulturen'!P92,Kulturen[[HF]:[Berechnungsgruppe]],'#Frucht'!$H$1,FALSE))</f>
        <v>0</v>
      </c>
      <c r="I96" s="875">
        <f>IF('Flächen u. Kulturen'!J92="",0,VLOOKUP('Flächen u. Kulturen'!J92,Kulturen[[HF]:[Berechnungsgruppe]],'#Frucht'!$G$1,FALSE))</f>
        <v>90</v>
      </c>
      <c r="J96" s="505">
        <f t="shared" si="682"/>
        <v>2</v>
      </c>
      <c r="K96" s="505">
        <f>IF('Flächen u. Kulturen'!P92="",0,IF(VLOOKUP('Flächen u. Kulturen'!P92,Kulturen[[HF]:[Saat Winterungen]],'#Frucht'!$P$1,FALSE)&gt;0,1,2))</f>
        <v>2</v>
      </c>
      <c r="L96" s="875">
        <f>'#BerechnungDBE'!AF87</f>
        <v>0</v>
      </c>
      <c r="M96" s="875">
        <f>IF('Flächen u. Kulturen'!L92="",0,VLOOKUP('Flächen u. Kulturen'!L92,Nebenkultur[[Nebenkultur]:[Legum. Zwischenfr.]],'#Zweitfr'!$K$1,FALSE))</f>
        <v>0</v>
      </c>
      <c r="N96" s="875">
        <f>'#BerechnungDBE'!AG87</f>
        <v>0</v>
      </c>
      <c r="P96" s="57">
        <f t="shared" si="489"/>
        <v>0</v>
      </c>
      <c r="Q96" s="57">
        <f t="shared" si="490"/>
        <v>0</v>
      </c>
      <c r="R96" s="875">
        <f t="shared" si="491"/>
        <v>0</v>
      </c>
      <c r="S96" s="938" t="str">
        <f t="shared" si="683"/>
        <v/>
      </c>
      <c r="T96" s="875">
        <f t="shared" si="492"/>
        <v>0</v>
      </c>
      <c r="U96" s="875">
        <f t="shared" si="493"/>
        <v>0</v>
      </c>
      <c r="V96" s="875">
        <f t="shared" si="494"/>
        <v>0</v>
      </c>
      <c r="W96" s="875">
        <f t="shared" si="495"/>
        <v>0</v>
      </c>
      <c r="X96" s="875">
        <f t="shared" si="496"/>
        <v>0</v>
      </c>
      <c r="Y96" s="875">
        <f t="shared" si="837"/>
        <v>0</v>
      </c>
      <c r="Z96" s="875">
        <f t="shared" si="838"/>
        <v>0</v>
      </c>
      <c r="AA96" s="910">
        <f t="shared" si="497"/>
        <v>0</v>
      </c>
      <c r="AB96" s="57">
        <f t="shared" si="839"/>
        <v>0</v>
      </c>
      <c r="AC96" s="875">
        <f t="shared" si="498"/>
        <v>0</v>
      </c>
      <c r="AD96" s="875">
        <f t="shared" si="499"/>
        <v>0</v>
      </c>
      <c r="AE96" s="875">
        <f t="shared" si="500"/>
        <v>0</v>
      </c>
      <c r="AF96" s="875">
        <f t="shared" si="840"/>
        <v>0</v>
      </c>
      <c r="AG96" s="875">
        <f>'org. Düngung 22'!J95</f>
        <v>0</v>
      </c>
      <c r="AH96" s="875">
        <f>'org. Düngung 22'!K95</f>
        <v>0</v>
      </c>
      <c r="AJ96" s="713">
        <f>'org. Düngung 22'!L95</f>
        <v>0</v>
      </c>
      <c r="AK96" s="57"/>
      <c r="AL96" s="57"/>
      <c r="AM96" s="57">
        <f t="shared" si="684"/>
        <v>0</v>
      </c>
      <c r="AN96" s="57">
        <f t="shared" si="685"/>
        <v>0</v>
      </c>
      <c r="AO96" s="57">
        <f t="shared" si="686"/>
        <v>0</v>
      </c>
      <c r="AP96" s="57">
        <f t="shared" si="687"/>
        <v>0</v>
      </c>
      <c r="AQ96" s="57">
        <f t="shared" si="688"/>
        <v>0</v>
      </c>
      <c r="AR96" s="1029">
        <f t="shared" si="501"/>
        <v>0</v>
      </c>
      <c r="AS96" s="57">
        <f t="shared" si="502"/>
        <v>0</v>
      </c>
      <c r="AT96" s="171" t="str">
        <f t="shared" si="503"/>
        <v/>
      </c>
      <c r="AU96" s="57">
        <f t="shared" si="689"/>
        <v>0</v>
      </c>
      <c r="AV96" s="57">
        <f>IF(OR(AND(AJ$6=1,$L96=0),AND(AJ$6=2,$K96=2,$G96=1)),0,IF(AND(AL$9=2,(OR($F96&gt;1,$K96=1,AND($L96=80,OR($N96=1,AND($N96=2,'#BerechnungDBE'!$AL87&gt;0)))))),IF(AJ$4&gt;=$AD$126,0,AT96),IF(AL$9=3,IF(OR(AJ$4&gt;=$AD$127,AND($G96=1,$J96=2,AJ$6=2),AND(AJ$6=1,$N96&lt;&gt;1)),0,IF(AN96&lt;=120,AT96,IF(AJ$4&lt;$AD$124,IF($F96=1,60/AL$4*AL$6,60/AL$4*AL$7),IF($F96=1,120/AL$4*AL$6,120/AL$4*AL$7)))),IF(OR($F96=3,$G96=2),IF(OR(AND(AJ$4&gt;=$AD$119,$C96=2),AND(AJ$4&gt;=$AF$119,$C96=1)),0,IF(AN96&lt;=60,AT96,60/AL$4*AL$7)),IF(AND($F96=2,$G96=1),AT96,0)))))</f>
        <v>0</v>
      </c>
      <c r="AW96" s="57" t="str">
        <f t="shared" si="690"/>
        <v/>
      </c>
      <c r="AX96" s="57" t="str">
        <f t="shared" si="504"/>
        <v/>
      </c>
      <c r="AY96" s="713">
        <f>'org. Düngung 22'!P95</f>
        <v>0</v>
      </c>
      <c r="AZ96" s="57"/>
      <c r="BA96" s="57"/>
      <c r="BB96" s="57">
        <f t="shared" si="505"/>
        <v>0</v>
      </c>
      <c r="BC96" s="57">
        <f t="shared" si="691"/>
        <v>0</v>
      </c>
      <c r="BD96" s="57">
        <f t="shared" si="692"/>
        <v>0</v>
      </c>
      <c r="BE96" s="57">
        <f t="shared" si="693"/>
        <v>0</v>
      </c>
      <c r="BF96" s="57">
        <f t="shared" si="694"/>
        <v>0</v>
      </c>
      <c r="BG96" s="1029">
        <f t="shared" si="506"/>
        <v>0</v>
      </c>
      <c r="BH96" s="57">
        <f t="shared" si="507"/>
        <v>0</v>
      </c>
      <c r="BI96" s="171" t="str">
        <f t="shared" si="508"/>
        <v/>
      </c>
      <c r="BJ96" s="57">
        <f t="shared" si="695"/>
        <v>0</v>
      </c>
      <c r="BK96" s="57">
        <f>IF(OR(AND(AY$6=1,$L96=0),AND(AY$6=2,$K96=2,$G96=1)),0,IF(AND(BA$9=2,(OR($F96&gt;1,$K96=1,AND($L96=80,OR($N96=1,AND($N96=2,'#BerechnungDBE'!$AL87&gt;0)))))),IF(AY$4&gt;=$AD$126,0,BI96),IF(BA$9=3,IF(OR(AY$4&gt;=$AD$127,AND($G96=1,$J96=2,AY$6=2),AND(AY$6=1,$N96&lt;&gt;1)),0,IF(BC96&lt;=120,BI96,IF(AY$4&lt;$AD$124,IF($F96=1,60/BA$4*BA$6,60/BA$4*BA$7),IF($F96=1,120/BA$4*BA$6,120/BA$4*BA$7)))),IF(OR($F96=3,$G96=2),IF(OR(AND(AY$4&gt;=$AD$119,$C96=2),AND(AY$4&gt;=$AF$119,$C96=1)),0,IF(BC96&lt;=60,BI96,60/BA$4*BA$7)),IF(AND($F96=2,$G96=1),BI96,0)))))</f>
        <v>0</v>
      </c>
      <c r="BL96" s="57" t="str">
        <f t="shared" si="509"/>
        <v/>
      </c>
      <c r="BM96" s="57" t="str">
        <f t="shared" si="510"/>
        <v/>
      </c>
      <c r="BN96" s="713">
        <f>'org. Düngung 22'!T95</f>
        <v>0</v>
      </c>
      <c r="BO96" s="57"/>
      <c r="BP96" s="57"/>
      <c r="BQ96" s="57">
        <f t="shared" si="511"/>
        <v>0</v>
      </c>
      <c r="BR96" s="57">
        <f t="shared" si="696"/>
        <v>0</v>
      </c>
      <c r="BS96" s="57">
        <f t="shared" si="697"/>
        <v>0</v>
      </c>
      <c r="BT96" s="57">
        <f t="shared" si="698"/>
        <v>0</v>
      </c>
      <c r="BU96" s="57">
        <f t="shared" si="699"/>
        <v>0</v>
      </c>
      <c r="BV96" s="1029">
        <f t="shared" si="512"/>
        <v>0</v>
      </c>
      <c r="BW96" s="57">
        <f t="shared" si="513"/>
        <v>0</v>
      </c>
      <c r="BX96" s="171" t="str">
        <f t="shared" si="514"/>
        <v/>
      </c>
      <c r="BY96" s="57">
        <f t="shared" si="700"/>
        <v>0</v>
      </c>
      <c r="BZ96" s="57">
        <f>IF(OR(AND(BN$6=1,$L96=0),AND(BN$6=2,$K96=2,$G96=1)),0,IF(AND(BP$9=2,(OR($F96&gt;1,$K96=1,AND($L96=80,OR($N96=1,AND($N96=2,'#BerechnungDBE'!$AL87&gt;0)))))),IF(BN$4&gt;=$AD$126,0,BX96),IF(BP$9=3,IF(OR(BN$4&gt;=$AD$127,AND($G96=1,$J96=2,BN$6=2),AND(BN$6=1,$N96&lt;&gt;1)),0,IF(BR96&lt;=120,BX96,IF(BN$4&lt;$AD$124,IF($F96=1,60/BP$4*BP$6,60/BP$4*BP$7),IF($F96=1,120/BP$4*BP$6,120/BP$4*BP$7)))),IF(OR($F96=3,$G96=2),IF(OR(AND(BN$4&gt;=$AD$119,$C96=2),AND(BN$4&gt;=$AF$119,$C96=1)),0,IF(BR96&lt;=60,BX96,60/BP$4*BP$7)),IF(AND($F96=2,$G96=1),BX96,0)))))</f>
        <v>0</v>
      </c>
      <c r="CA96" s="57" t="str">
        <f t="shared" si="515"/>
        <v/>
      </c>
      <c r="CB96" s="57" t="str">
        <f t="shared" si="516"/>
        <v/>
      </c>
      <c r="CC96" s="713">
        <f>'org. Düngung 22'!X95</f>
        <v>0</v>
      </c>
      <c r="CD96" s="57"/>
      <c r="CE96" s="57"/>
      <c r="CF96" s="57">
        <f t="shared" si="517"/>
        <v>0</v>
      </c>
      <c r="CG96" s="57">
        <f t="shared" si="701"/>
        <v>0</v>
      </c>
      <c r="CH96" s="57">
        <f t="shared" si="702"/>
        <v>0</v>
      </c>
      <c r="CI96" s="57">
        <f t="shared" si="703"/>
        <v>0</v>
      </c>
      <c r="CJ96" s="57">
        <f t="shared" si="704"/>
        <v>0</v>
      </c>
      <c r="CK96" s="1029">
        <f t="shared" si="518"/>
        <v>0</v>
      </c>
      <c r="CL96" s="57">
        <f t="shared" si="519"/>
        <v>0</v>
      </c>
      <c r="CM96" s="171" t="str">
        <f t="shared" si="520"/>
        <v/>
      </c>
      <c r="CN96" s="57">
        <f t="shared" si="705"/>
        <v>0</v>
      </c>
      <c r="CO96" s="57">
        <f>IF(OR(AND(CC$6=1,$L96=0),AND(CC$6=2,$K96=2,$G96=1)),0,IF(AND(CE$9=2,(OR($F96&gt;1,$K96=1,AND($L96=80,OR($N96=1,AND($N96=2,'#BerechnungDBE'!$AL87&gt;0)))))),IF(CC$4&gt;=$AD$126,0,CM96),IF(CE$9=3,IF(OR(CC$4&gt;=$AD$127,AND($G96=1,$J96=2,CC$6=2),AND(CC$6=1,$N96&lt;&gt;1)),0,IF(CG96&lt;=120,CM96,IF(CC$4&lt;$AD$124,IF($F96=1,60/CE$4*CE$6,60/CE$4*CE$7),IF($F96=1,120/CE$4*CE$6,120/CE$4*CE$7)))),IF(OR($F96=3,$G96=2),IF(OR(AND(CC$4&gt;=$AD$119,$C96=2),AND(CC$4&gt;=$AF$119,$C96=1)),0,IF(CG96&lt;=60,CM96,60/CE$4*CE$7)),IF(AND($F96=2,$G96=1),CM96,0)))))</f>
        <v>0</v>
      </c>
      <c r="CP96" s="57" t="str">
        <f t="shared" si="521"/>
        <v/>
      </c>
      <c r="CQ96" s="57" t="str">
        <f t="shared" si="522"/>
        <v/>
      </c>
      <c r="CR96" s="713">
        <f>'org. Düngung 22'!AB95</f>
        <v>0</v>
      </c>
      <c r="CS96" s="57"/>
      <c r="CT96" s="57"/>
      <c r="CU96" s="57">
        <f t="shared" si="523"/>
        <v>0</v>
      </c>
      <c r="CV96" s="57">
        <f t="shared" si="706"/>
        <v>0</v>
      </c>
      <c r="CW96" s="57">
        <f t="shared" si="707"/>
        <v>0</v>
      </c>
      <c r="CX96" s="57">
        <f t="shared" si="708"/>
        <v>0</v>
      </c>
      <c r="CY96" s="57">
        <f t="shared" si="709"/>
        <v>0</v>
      </c>
      <c r="CZ96" s="1029">
        <f t="shared" si="524"/>
        <v>0</v>
      </c>
      <c r="DA96" s="57">
        <f t="shared" si="525"/>
        <v>0</v>
      </c>
      <c r="DB96" s="171" t="str">
        <f t="shared" si="526"/>
        <v/>
      </c>
      <c r="DC96" s="57">
        <f t="shared" si="710"/>
        <v>0</v>
      </c>
      <c r="DD96" s="57">
        <f>IF(OR(AND(CR$6=1,$L96=0),AND(CR$6=2,$K96=2,$G96=1)),0,IF(AND(CT$9=2,(OR($F96&gt;1,$K96=1,AND($L96=80,OR($N96=1,AND($N96=2,'#BerechnungDBE'!$AL87&gt;0)))))),IF(CR$4&gt;=$AD$126,0,DB96),IF(CT$9=3,IF(OR(CR$4&gt;=$AD$127,AND($G96=1,$J96=2,CR$6=2),AND(CR$6=1,$N96&lt;&gt;1)),0,IF(CV96&lt;=120,DB96,IF(CR$4&lt;$AD$124,IF($F96=1,60/CT$4*CT$6,60/CT$4*CT$7),IF($F96=1,120/CT$4*CT$6,120/CT$4*CT$7)))),IF(OR($F96=3,$G96=2),IF(OR(AND(CR$4&gt;=$AD$119,$C96=2),AND(CR$4&gt;=$AF$119,$C96=1)),0,IF(CV96&lt;=60,DB96,60/CT$4*CT$7)),IF(AND($F96=2,$G96=1),DB96,0)))))</f>
        <v>0</v>
      </c>
      <c r="DE96" s="57" t="str">
        <f t="shared" si="527"/>
        <v/>
      </c>
      <c r="DF96" s="57" t="str">
        <f t="shared" si="528"/>
        <v/>
      </c>
      <c r="DG96" s="713">
        <f>'org. Düngung 22'!AF95</f>
        <v>0</v>
      </c>
      <c r="DH96" s="57"/>
      <c r="DI96" s="57"/>
      <c r="DJ96" s="57">
        <f t="shared" si="529"/>
        <v>0</v>
      </c>
      <c r="DK96" s="57">
        <f t="shared" si="711"/>
        <v>0</v>
      </c>
      <c r="DL96" s="57">
        <f t="shared" si="712"/>
        <v>0</v>
      </c>
      <c r="DM96" s="57">
        <f t="shared" si="713"/>
        <v>0</v>
      </c>
      <c r="DN96" s="57">
        <f t="shared" si="714"/>
        <v>0</v>
      </c>
      <c r="DO96" s="1029">
        <f t="shared" si="530"/>
        <v>0</v>
      </c>
      <c r="DP96" s="57">
        <f t="shared" si="531"/>
        <v>0</v>
      </c>
      <c r="DQ96" s="171" t="str">
        <f t="shared" si="532"/>
        <v/>
      </c>
      <c r="DR96" s="57">
        <f t="shared" si="715"/>
        <v>0</v>
      </c>
      <c r="DS96" s="57">
        <f>IF(OR(AND(DG$6=1,$L96=0),AND(DG$6=2,$K96=2,$G96=1)),0,IF(AND(DI$9=2,(OR($F96&gt;1,$K96=1,AND($L96=80,OR($N96=1,AND($N96=2,'#BerechnungDBE'!$AL87&gt;0)))))),IF(DG$4&gt;=$AD$126,0,DQ96),IF(DI$9=3,IF(OR(DG$4&gt;=$AD$127,AND($G96=1,$J96=2,DG$6=2),AND(DG$6=1,$N96&lt;&gt;1)),0,IF(DK96&lt;=120,DQ96,IF(DG$4&lt;$AD$124,IF($F96=1,60/DI$4*DI$6,60/DI$4*DI$7),IF($F96=1,120/DI$4*DI$6,120/DI$4*DI$7)))),IF(OR($F96=3,$G96=2),IF(OR(AND(DG$4&gt;=$AD$119,$C96=2),AND(DG$4&gt;=$AF$119,$C96=1)),0,IF(DK96&lt;=60,DQ96,60/DI$4*DI$7)),IF(AND($F96=2,$G96=1),DQ96,0)))))</f>
        <v>0</v>
      </c>
      <c r="DT96" s="57" t="str">
        <f t="shared" si="533"/>
        <v/>
      </c>
      <c r="DU96" s="57" t="str">
        <f t="shared" si="534"/>
        <v/>
      </c>
      <c r="DV96" s="713">
        <f>'org. Düngung 22'!AJ95</f>
        <v>0</v>
      </c>
      <c r="DW96" s="57"/>
      <c r="DX96" s="57"/>
      <c r="DY96" s="57">
        <f t="shared" si="535"/>
        <v>0</v>
      </c>
      <c r="DZ96" s="57">
        <f t="shared" si="716"/>
        <v>0</v>
      </c>
      <c r="EA96" s="57">
        <f t="shared" si="717"/>
        <v>0</v>
      </c>
      <c r="EB96" s="57">
        <f t="shared" si="718"/>
        <v>0</v>
      </c>
      <c r="EC96" s="57">
        <f t="shared" si="719"/>
        <v>0</v>
      </c>
      <c r="ED96" s="1029">
        <f t="shared" si="536"/>
        <v>0</v>
      </c>
      <c r="EE96" s="57">
        <f t="shared" si="537"/>
        <v>0</v>
      </c>
      <c r="EF96" s="171" t="str">
        <f t="shared" si="538"/>
        <v/>
      </c>
      <c r="EG96" s="57">
        <f t="shared" si="720"/>
        <v>0</v>
      </c>
      <c r="EH96" s="57">
        <f>IF(OR(AND(DV$6=1,$L96=0),AND(DV$6=2,$K96=2,$G96=1)),0,IF(AND(DX$9=2,(OR($F96&gt;1,$K96=1,AND($L96=80,OR($N96=1,AND($N96=2,'#BerechnungDBE'!$AL87&gt;0)))))),IF(DV$4&gt;=$AD$126,0,EF96),IF(DX$9=3,IF(OR(DV$4&gt;=$AD$127,AND($G96=1,$J96=2,DV$6=2),AND(DV$6=1,$N96&lt;&gt;1)),0,IF(DZ96&lt;=120,EF96,IF(DV$4&lt;$AD$124,IF($F96=1,60/DX$4*DX$6,60/DX$4*DX$7),IF($F96=1,120/DX$4*DX$6,120/DX$4*DX$7)))),IF(OR($F96=3,$G96=2),IF(OR(AND(DV$4&gt;=$AD$119,$C96=2),AND(DV$4&gt;=$AF$119,$C96=1)),0,IF(DZ96&lt;=60,EF96,60/DX$4*DX$7)),IF(AND($F96=2,$G96=1),EF96,0)))))</f>
        <v>0</v>
      </c>
      <c r="EI96" s="57" t="str">
        <f t="shared" si="539"/>
        <v/>
      </c>
      <c r="EJ96" s="57" t="str">
        <f t="shared" si="540"/>
        <v/>
      </c>
      <c r="EK96" s="713">
        <f>'org. Düngung 22'!AN95</f>
        <v>0</v>
      </c>
      <c r="EL96" s="57"/>
      <c r="EM96" s="57"/>
      <c r="EN96" s="57">
        <f t="shared" si="541"/>
        <v>0</v>
      </c>
      <c r="EO96" s="57">
        <f t="shared" si="721"/>
        <v>0</v>
      </c>
      <c r="EP96" s="57">
        <f t="shared" si="722"/>
        <v>0</v>
      </c>
      <c r="EQ96" s="57">
        <f t="shared" si="723"/>
        <v>0</v>
      </c>
      <c r="ER96" s="57">
        <f t="shared" si="724"/>
        <v>0</v>
      </c>
      <c r="ES96" s="1029">
        <f t="shared" si="542"/>
        <v>0</v>
      </c>
      <c r="ET96" s="57">
        <f t="shared" si="543"/>
        <v>0</v>
      </c>
      <c r="EU96" s="171" t="str">
        <f t="shared" si="544"/>
        <v/>
      </c>
      <c r="EV96" s="57">
        <f t="shared" si="725"/>
        <v>0</v>
      </c>
      <c r="EW96" s="57">
        <f>IF(OR(AND(EK$6=1,$L96=0),AND(EK$6=2,$K96=2,$G96=1)),0,IF(AND(EM$9=2,(OR($F96&gt;1,$K96=1,AND($L96=80,OR($N96=1,AND($N96=2,'#BerechnungDBE'!$AL87&gt;0)))))),IF(EK$4&gt;=$AD$126,0,EU96),IF(EM$9=3,IF(OR(EK$4&gt;=$AD$127,AND($G96=1,$J96=2,EK$6=2),AND(EK$6=1,$N96&lt;&gt;1)),0,IF(EO96&lt;=120,EU96,IF(EK$4&lt;$AD$124,IF($F96=1,60/EM$4*EM$6,60/EM$4*EM$7),IF($F96=1,120/EM$4*EM$6,120/EM$4*EM$7)))),IF(OR($F96=3,$G96=2),IF(OR(AND(EK$4&gt;=$AD$119,$C96=2),AND(EK$4&gt;=$AF$119,$C96=1)),0,IF(EO96&lt;=60,EU96,60/EM$4*EM$7)),IF(AND($F96=2,$G96=1),EU96,0)))))</f>
        <v>0</v>
      </c>
      <c r="EX96" s="57" t="str">
        <f t="shared" si="545"/>
        <v/>
      </c>
      <c r="EY96" s="57" t="str">
        <f t="shared" si="546"/>
        <v/>
      </c>
      <c r="EZ96" s="713">
        <f>'org. Düngung 22'!AR95</f>
        <v>0</v>
      </c>
      <c r="FA96" s="57"/>
      <c r="FB96" s="57"/>
      <c r="FC96" s="57">
        <f t="shared" si="547"/>
        <v>0</v>
      </c>
      <c r="FD96" s="57">
        <f t="shared" si="726"/>
        <v>0</v>
      </c>
      <c r="FE96" s="57">
        <f t="shared" si="727"/>
        <v>0</v>
      </c>
      <c r="FF96" s="57">
        <f t="shared" si="728"/>
        <v>0</v>
      </c>
      <c r="FG96" s="57">
        <f t="shared" si="729"/>
        <v>0</v>
      </c>
      <c r="FH96" s="1029">
        <f t="shared" si="548"/>
        <v>0</v>
      </c>
      <c r="FI96" s="57">
        <f t="shared" si="549"/>
        <v>0</v>
      </c>
      <c r="FJ96" s="171" t="str">
        <f t="shared" si="550"/>
        <v/>
      </c>
      <c r="FK96" s="57">
        <f t="shared" si="730"/>
        <v>0</v>
      </c>
      <c r="FL96" s="57">
        <f>IF(OR(AND(EZ$6=1,$L96=0),AND(EZ$6=2,$K96=2,$G96=1)),0,IF(AND(FB$9=2,(OR($F96&gt;1,$K96=1,AND($L96=80,OR($N96=1,AND($N96=2,'#BerechnungDBE'!$AL87&gt;0)))))),IF(EZ$4&gt;=$AD$126,0,FJ96),IF(FB$9=3,IF(OR(EZ$4&gt;=$AD$127,AND($G96=1,$J96=2,EZ$6=2),AND(EZ$6=1,$N96&lt;&gt;1)),0,IF(FD96&lt;=120,FJ96,IF(EZ$4&lt;$AD$124,IF($F96=1,60/FB$4*FB$6,60/FB$4*FB$7),IF($F96=1,120/FB$4*FB$6,120/FB$4*FB$7)))),IF(OR($F96=3,$G96=2),IF(OR(AND(EZ$4&gt;=$AD$119,$C96=2),AND(EZ$4&gt;=$AF$119,$C96=1)),0,IF(FD96&lt;=60,FJ96,60/FB$4*FB$7)),IF(AND($F96=2,$G96=1),FJ96,0)))))</f>
        <v>0</v>
      </c>
      <c r="FM96" s="57" t="str">
        <f t="shared" si="551"/>
        <v/>
      </c>
      <c r="FN96" s="57" t="str">
        <f t="shared" si="552"/>
        <v/>
      </c>
      <c r="FO96" s="713">
        <f>'org. Düngung 22'!AV95</f>
        <v>0</v>
      </c>
      <c r="FP96" s="57"/>
      <c r="FQ96" s="57"/>
      <c r="FR96" s="57">
        <f t="shared" si="553"/>
        <v>0</v>
      </c>
      <c r="FS96" s="57">
        <f t="shared" si="731"/>
        <v>0</v>
      </c>
      <c r="FT96" s="57">
        <f t="shared" si="732"/>
        <v>0</v>
      </c>
      <c r="FU96" s="57">
        <f t="shared" si="733"/>
        <v>0</v>
      </c>
      <c r="FV96" s="57">
        <f t="shared" si="734"/>
        <v>0</v>
      </c>
      <c r="FW96" s="1029">
        <f t="shared" si="554"/>
        <v>0</v>
      </c>
      <c r="FX96" s="57">
        <f t="shared" si="555"/>
        <v>0</v>
      </c>
      <c r="FY96" s="171" t="str">
        <f t="shared" si="556"/>
        <v/>
      </c>
      <c r="FZ96" s="57">
        <f t="shared" si="735"/>
        <v>0</v>
      </c>
      <c r="GA96" s="57">
        <f>IF(OR(AND(FO$6=1,$L96=0),AND(FO$6=2,$K96=2,$G96=1)),0,IF(AND(FQ$9=2,(OR($F96&gt;1,$K96=1,AND($L96=80,OR($N96=1,AND($N96=2,'#BerechnungDBE'!$AL87&gt;0)))))),IF(FO$4&gt;=$AD$126,0,FY96),IF(FQ$9=3,IF(OR(FO$4&gt;=$AD$127,AND($G96=1,$J96=2,FO$6=2),AND(FO$6=1,$N96&lt;&gt;1)),0,IF(FS96&lt;=120,FY96,IF(FO$4&lt;$AD$124,IF($F96=1,60/FQ$4*FQ$6,60/FQ$4*FQ$7),IF($F96=1,120/FQ$4*FQ$6,120/FQ$4*FQ$7)))),IF(OR($F96=3,$G96=2),IF(OR(AND(FO$4&gt;=$AD$119,$C96=2),AND(FO$4&gt;=$AF$119,$C96=1)),0,IF(FS96&lt;=60,FY96,60/FQ$4*FQ$7)),IF(AND($F96=2,$G96=1),FY96,0)))))</f>
        <v>0</v>
      </c>
      <c r="GB96" s="57" t="str">
        <f t="shared" si="557"/>
        <v/>
      </c>
      <c r="GC96" s="57" t="str">
        <f t="shared" si="558"/>
        <v/>
      </c>
      <c r="GD96" s="713">
        <f>'org. Düngung 22'!AZ95</f>
        <v>0</v>
      </c>
      <c r="GE96" s="57"/>
      <c r="GF96" s="57"/>
      <c r="GG96" s="57">
        <f t="shared" si="559"/>
        <v>0</v>
      </c>
      <c r="GH96" s="57">
        <f t="shared" si="736"/>
        <v>0</v>
      </c>
      <c r="GI96" s="57">
        <f t="shared" si="737"/>
        <v>0</v>
      </c>
      <c r="GJ96" s="57">
        <f t="shared" si="738"/>
        <v>0</v>
      </c>
      <c r="GK96" s="57">
        <f t="shared" si="739"/>
        <v>0</v>
      </c>
      <c r="GL96" s="1029">
        <f t="shared" si="560"/>
        <v>0</v>
      </c>
      <c r="GM96" s="57">
        <f t="shared" si="561"/>
        <v>0</v>
      </c>
      <c r="GN96" s="171" t="str">
        <f t="shared" si="562"/>
        <v/>
      </c>
      <c r="GO96" s="57">
        <f t="shared" si="740"/>
        <v>0</v>
      </c>
      <c r="GP96" s="57">
        <f>IF(OR(AND(GD$6=1,$L96=0),AND(GD$6=2,$K96=2,$G96=1)),0,IF(AND(GF$9=2,(OR($F96&gt;1,$K96=1,AND($L96=80,OR($N96=1,AND($N96=2,'#BerechnungDBE'!$AL87&gt;0)))))),IF(GD$4&gt;=$AD$126,0,GN96),IF(GF$9=3,IF(OR(GD$4&gt;=$AD$127,AND($G96=1,$J96=2,GD$6=2),AND(GD$6=1,$N96&lt;&gt;1)),0,IF(GH96&lt;=120,GN96,IF(GD$4&lt;$AD$124,IF($F96=1,60/GF$4*GF$6,60/GF$4*GF$7),IF($F96=1,120/GF$4*GF$6,120/GF$4*GF$7)))),IF(OR($F96=3,$G96=2),IF(OR(AND(GD$4&gt;=$AD$119,$C96=2),AND(GD$4&gt;=$AF$119,$C96=1)),0,IF(GH96&lt;=60,GN96,60/GF$4*GF$7)),IF(AND($F96=2,$G96=1),GN96,0)))))</f>
        <v>0</v>
      </c>
      <c r="GQ96" s="57" t="str">
        <f t="shared" si="563"/>
        <v/>
      </c>
      <c r="GR96" s="57" t="str">
        <f t="shared" si="564"/>
        <v/>
      </c>
      <c r="GS96" s="713">
        <f>'org. Düngung 22'!BD95</f>
        <v>0</v>
      </c>
      <c r="GT96" s="57"/>
      <c r="GU96" s="57"/>
      <c r="GV96" s="57">
        <f t="shared" si="565"/>
        <v>0</v>
      </c>
      <c r="GW96" s="57">
        <f t="shared" si="741"/>
        <v>0</v>
      </c>
      <c r="GX96" s="57">
        <f t="shared" si="742"/>
        <v>0</v>
      </c>
      <c r="GY96" s="57">
        <f t="shared" si="743"/>
        <v>0</v>
      </c>
      <c r="GZ96" s="57">
        <f t="shared" si="744"/>
        <v>0</v>
      </c>
      <c r="HA96" s="1029">
        <f t="shared" si="566"/>
        <v>0</v>
      </c>
      <c r="HB96" s="57">
        <f t="shared" si="567"/>
        <v>0</v>
      </c>
      <c r="HC96" s="171" t="str">
        <f t="shared" si="568"/>
        <v/>
      </c>
      <c r="HD96" s="57">
        <f t="shared" si="745"/>
        <v>0</v>
      </c>
      <c r="HE96" s="57">
        <f>IF(OR(AND(GS$6=1,$L96=0),AND(GS$6=2,$K96=2,$G96=1)),0,IF(AND(GU$9=2,(OR($F96&gt;1,$K96=1,AND($L96=80,OR($N96=1,AND($N96=2,'#BerechnungDBE'!$AL87&gt;0)))))),IF(GS$4&gt;=$AD$126,0,HC96),IF(GU$9=3,IF(OR(GS$4&gt;=$AD$127,AND($G96=1,$J96=2,GS$6=2),AND(GS$6=1,$N96&lt;&gt;1)),0,IF(GW96&lt;=120,HC96,IF(GS$4&lt;$AD$124,IF($F96=1,60/GU$4*GU$6,60/GU$4*GU$7),IF($F96=1,120/GU$4*GU$6,120/GU$4*GU$7)))),IF(OR($F96=3,$G96=2),IF(OR(AND(GS$4&gt;=$AD$119,$C96=2),AND(GS$4&gt;=$AF$119,$C96=1)),0,IF(GW96&lt;=60,HC96,60/GU$4*GU$7)),IF(AND($F96=2,$G96=1),HC96,0)))))</f>
        <v>0</v>
      </c>
      <c r="HF96" s="57" t="str">
        <f t="shared" si="569"/>
        <v/>
      </c>
      <c r="HG96" s="57" t="str">
        <f t="shared" si="570"/>
        <v/>
      </c>
      <c r="HH96" s="713">
        <f>'org. Düngung 22'!BH95</f>
        <v>0</v>
      </c>
      <c r="HI96" s="57"/>
      <c r="HJ96" s="57"/>
      <c r="HK96" s="57">
        <f t="shared" si="571"/>
        <v>0</v>
      </c>
      <c r="HL96" s="57">
        <f t="shared" si="746"/>
        <v>0</v>
      </c>
      <c r="HM96" s="57">
        <f t="shared" si="747"/>
        <v>0</v>
      </c>
      <c r="HN96" s="57">
        <f t="shared" si="748"/>
        <v>0</v>
      </c>
      <c r="HO96" s="57">
        <f t="shared" si="749"/>
        <v>0</v>
      </c>
      <c r="HP96" s="1029">
        <f t="shared" si="572"/>
        <v>0</v>
      </c>
      <c r="HQ96" s="57">
        <f t="shared" si="573"/>
        <v>0</v>
      </c>
      <c r="HR96" s="171" t="str">
        <f t="shared" si="574"/>
        <v/>
      </c>
      <c r="HS96" s="57">
        <f t="shared" si="750"/>
        <v>0</v>
      </c>
      <c r="HT96" s="57">
        <f>IF(OR(AND(HH$6=1,$L96=0),AND(HH$6=2,$K96=2,$G96=1)),0,IF(AND(HJ$9=2,(OR($F96&gt;1,$K96=1,AND($L96=80,OR($N96=1,AND($N96=2,'#BerechnungDBE'!$AL87&gt;0)))))),IF(HH$4&gt;=$AD$126,0,HR96),IF(HJ$9=3,IF(OR(HH$4&gt;=$AD$127,AND($G96=1,$J96=2,HH$6=2),AND(HH$6=1,$N96&lt;&gt;1)),0,IF(HL96&lt;=120,HR96,IF(HH$4&lt;$AD$124,IF($F96=1,60/HJ$4*HJ$6,60/HJ$4*HJ$7),IF($F96=1,120/HJ$4*HJ$6,120/HJ$4*HJ$7)))),IF(OR($F96=3,$G96=2),IF(OR(AND(HH$4&gt;=$AD$119,$C96=2),AND(HH$4&gt;=$AF$119,$C96=1)),0,IF(HL96&lt;=60,HR96,60/HJ$4*HJ$7)),IF(AND($F96=2,$G96=1),HR96,0)))))</f>
        <v>0</v>
      </c>
      <c r="HU96" s="57" t="str">
        <f t="shared" si="575"/>
        <v/>
      </c>
      <c r="HV96" s="57" t="str">
        <f t="shared" si="576"/>
        <v/>
      </c>
      <c r="HW96" s="713">
        <f>'org. Düngung 22'!BL95</f>
        <v>0</v>
      </c>
      <c r="HX96" s="57"/>
      <c r="HY96" s="57"/>
      <c r="HZ96" s="57">
        <f t="shared" si="577"/>
        <v>0</v>
      </c>
      <c r="IA96" s="57">
        <f t="shared" si="751"/>
        <v>0</v>
      </c>
      <c r="IB96" s="57">
        <f t="shared" si="752"/>
        <v>0</v>
      </c>
      <c r="IC96" s="57">
        <f t="shared" si="753"/>
        <v>0</v>
      </c>
      <c r="ID96" s="57">
        <f t="shared" si="754"/>
        <v>0</v>
      </c>
      <c r="IE96" s="1029">
        <f t="shared" si="578"/>
        <v>0</v>
      </c>
      <c r="IF96" s="57">
        <f t="shared" si="579"/>
        <v>0</v>
      </c>
      <c r="IG96" s="171" t="str">
        <f t="shared" si="580"/>
        <v/>
      </c>
      <c r="IH96" s="57">
        <f t="shared" si="755"/>
        <v>0</v>
      </c>
      <c r="II96" s="57">
        <f>IF(OR(AND(HW$6=1,$L96=0),AND(HW$6=2,$K96=2,$G96=1)),0,IF(AND(HY$9=2,(OR($F96&gt;1,$K96=1,AND($L96=80,OR($N96=1,AND($N96=2,'#BerechnungDBE'!$AL87&gt;0)))))),IF(HW$4&gt;=$AD$126,0,IG96),IF(HY$9=3,IF(OR(HW$4&gt;=$AD$127,AND($G96=1,$J96=2,HW$6=2),AND(HW$6=1,$N96&lt;&gt;1)),0,IF(IA96&lt;=120,IG96,IF(HW$4&lt;$AD$124,IF($F96=1,60/HY$4*HY$6,60/HY$4*HY$7),IF($F96=1,120/HY$4*HY$6,120/HY$4*HY$7)))),IF(OR($F96=3,$G96=2),IF(OR(AND(HW$4&gt;=$AD$119,$C96=2),AND(HW$4&gt;=$AF$119,$C96=1)),0,IF(IA96&lt;=60,IG96,60/HY$4*HY$7)),IF(AND($F96=2,$G96=1),IG96,0)))))</f>
        <v>0</v>
      </c>
      <c r="IJ96" s="57" t="str">
        <f t="shared" si="581"/>
        <v/>
      </c>
      <c r="IK96" s="57" t="str">
        <f t="shared" si="582"/>
        <v/>
      </c>
      <c r="IL96" s="713">
        <f>'org. Düngung 22'!BP95</f>
        <v>0</v>
      </c>
      <c r="IM96" s="57"/>
      <c r="IN96" s="57"/>
      <c r="IO96" s="57">
        <f t="shared" si="583"/>
        <v>0</v>
      </c>
      <c r="IP96" s="57">
        <f t="shared" si="756"/>
        <v>0</v>
      </c>
      <c r="IQ96" s="57">
        <f t="shared" si="757"/>
        <v>0</v>
      </c>
      <c r="IR96" s="57">
        <f t="shared" si="758"/>
        <v>0</v>
      </c>
      <c r="IS96" s="57">
        <f t="shared" si="759"/>
        <v>0</v>
      </c>
      <c r="IT96" s="1029">
        <f t="shared" si="584"/>
        <v>0</v>
      </c>
      <c r="IU96" s="57">
        <f t="shared" si="585"/>
        <v>0</v>
      </c>
      <c r="IV96" s="171" t="str">
        <f t="shared" si="586"/>
        <v/>
      </c>
      <c r="IW96" s="57">
        <f t="shared" si="760"/>
        <v>0</v>
      </c>
      <c r="IX96" s="57">
        <f>IF(OR(AND(IL$6=1,$L96=0),AND(IL$6=2,$K96=2,$G96=1)),0,IF(AND(IN$9=2,(OR($F96&gt;1,$K96=1,AND($L96=80,OR($N96=1,AND($N96=2,'#BerechnungDBE'!$AL87&gt;0)))))),IF(IL$4&gt;=$AD$126,0,IV96),IF(IN$9=3,IF(OR(IL$4&gt;=$AD$127,AND($G96=1,$J96=2,IL$6=2),AND(IL$6=1,$N96&lt;&gt;1)),0,IF(IP96&lt;=120,IV96,IF(IL$4&lt;$AD$124,IF($F96=1,60/IN$4*IN$6,60/IN$4*IN$7),IF($F96=1,120/IN$4*IN$6,120/IN$4*IN$7)))),IF(OR($F96=3,$G96=2),IF(OR(AND(IL$4&gt;=$AD$119,$C96=2),AND(IL$4&gt;=$AF$119,$C96=1)),0,IF(IP96&lt;=60,IV96,60/IN$4*IN$7)),IF(AND($F96=2,$G96=1),IV96,0)))))</f>
        <v>0</v>
      </c>
      <c r="IY96" s="57" t="str">
        <f t="shared" si="587"/>
        <v/>
      </c>
      <c r="IZ96" s="57" t="str">
        <f t="shared" si="588"/>
        <v/>
      </c>
      <c r="JA96" s="713">
        <f>'org. Düngung 22'!BT95</f>
        <v>0</v>
      </c>
      <c r="JB96" s="57"/>
      <c r="JC96" s="57"/>
      <c r="JD96" s="57">
        <f t="shared" si="589"/>
        <v>0</v>
      </c>
      <c r="JE96" s="57">
        <f t="shared" si="761"/>
        <v>0</v>
      </c>
      <c r="JF96" s="57">
        <f t="shared" si="762"/>
        <v>0</v>
      </c>
      <c r="JG96" s="57">
        <f t="shared" si="763"/>
        <v>0</v>
      </c>
      <c r="JH96" s="57">
        <f t="shared" si="764"/>
        <v>0</v>
      </c>
      <c r="JI96" s="1029">
        <f t="shared" si="590"/>
        <v>0</v>
      </c>
      <c r="JJ96" s="57">
        <f t="shared" si="591"/>
        <v>0</v>
      </c>
      <c r="JK96" s="171" t="str">
        <f t="shared" si="592"/>
        <v/>
      </c>
      <c r="JL96" s="57">
        <f t="shared" si="765"/>
        <v>0</v>
      </c>
      <c r="JM96" s="57">
        <f>IF(OR(AND(JA$6=1,$L96=0),AND(JA$6=2,$K96=2,$G96=1)),0,IF(AND(JC$9=2,(OR($F96&gt;1,$K96=1,AND($L96=80,OR($N96=1,AND($N96=2,'#BerechnungDBE'!$AL87&gt;0)))))),IF(JA$4&gt;=$AD$126,0,JK96),IF(JC$9=3,IF(OR(JA$4&gt;=$AD$127,AND($G96=1,$J96=2,JA$6=2),AND(JA$6=1,$N96&lt;&gt;1)),0,IF(JE96&lt;=120,JK96,IF(JA$4&lt;$AD$124,IF($F96=1,60/JC$4*JC$6,60/JC$4*JC$7),IF($F96=1,120/JC$4*JC$6,120/JC$4*JC$7)))),IF(OR($F96=3,$G96=2),IF(OR(AND(JA$4&gt;=$AD$119,$C96=2),AND(JA$4&gt;=$AF$119,$C96=1)),0,IF(JE96&lt;=60,JK96,60/JC$4*JC$7)),IF(AND($F96=2,$G96=1),JK96,0)))))</f>
        <v>0</v>
      </c>
      <c r="JN96" s="57" t="str">
        <f t="shared" si="593"/>
        <v/>
      </c>
      <c r="JO96" s="57" t="str">
        <f t="shared" si="594"/>
        <v/>
      </c>
      <c r="JP96" s="713">
        <f>'org. Düngung 22'!BX95</f>
        <v>0</v>
      </c>
      <c r="JQ96" s="57"/>
      <c r="JR96" s="57"/>
      <c r="JS96" s="57">
        <f t="shared" si="595"/>
        <v>0</v>
      </c>
      <c r="JT96" s="57">
        <f t="shared" si="766"/>
        <v>0</v>
      </c>
      <c r="JU96" s="57">
        <f t="shared" si="767"/>
        <v>0</v>
      </c>
      <c r="JV96" s="57">
        <f t="shared" si="768"/>
        <v>0</v>
      </c>
      <c r="JW96" s="57">
        <f t="shared" si="769"/>
        <v>0</v>
      </c>
      <c r="JX96" s="1029">
        <f t="shared" si="596"/>
        <v>0</v>
      </c>
      <c r="JY96" s="57">
        <f t="shared" si="597"/>
        <v>0</v>
      </c>
      <c r="JZ96" s="171" t="str">
        <f t="shared" si="598"/>
        <v/>
      </c>
      <c r="KA96" s="57">
        <f t="shared" si="770"/>
        <v>0</v>
      </c>
      <c r="KB96" s="57">
        <f>IF(OR(AND(JP$6=1,$L96=0),AND(JP$6=2,$K96=2,$G96=1)),0,IF(AND(JR$9=2,(OR($F96&gt;1,$K96=1,AND($L96=80,OR($N96=1,AND($N96=2,'#BerechnungDBE'!$AL87&gt;0)))))),IF(JP$4&gt;=$AD$126,0,JZ96),IF(JR$9=3,IF(OR(JP$4&gt;=$AD$127,AND($G96=1,$J96=2,JP$6=2),AND(JP$6=1,$N96&lt;&gt;1)),0,IF(JT96&lt;=120,JZ96,IF(JP$4&lt;$AD$124,IF($F96=1,60/JR$4*JR$6,60/JR$4*JR$7),IF($F96=1,120/JR$4*JR$6,120/JR$4*JR$7)))),IF(OR($F96=3,$G96=2),IF(OR(AND(JP$4&gt;=$AD$119,$C96=2),AND(JP$4&gt;=$AF$119,$C96=1)),0,IF(JT96&lt;=60,JZ96,60/JR$4*JR$7)),IF(AND($F96=2,$G96=1),JZ96,0)))))</f>
        <v>0</v>
      </c>
      <c r="KC96" s="57" t="str">
        <f t="shared" si="599"/>
        <v/>
      </c>
      <c r="KD96" s="57" t="str">
        <f t="shared" si="600"/>
        <v/>
      </c>
      <c r="KE96" s="713">
        <f>'org. Düngung 22'!CB95</f>
        <v>0</v>
      </c>
      <c r="KF96" s="57"/>
      <c r="KG96" s="57"/>
      <c r="KH96" s="57">
        <f t="shared" si="601"/>
        <v>0</v>
      </c>
      <c r="KI96" s="57">
        <f t="shared" si="771"/>
        <v>0</v>
      </c>
      <c r="KJ96" s="57">
        <f t="shared" si="772"/>
        <v>0</v>
      </c>
      <c r="KK96" s="57">
        <f t="shared" si="773"/>
        <v>0</v>
      </c>
      <c r="KL96" s="57">
        <f t="shared" si="774"/>
        <v>0</v>
      </c>
      <c r="KM96" s="1029">
        <f t="shared" si="602"/>
        <v>0</v>
      </c>
      <c r="KN96" s="57">
        <f t="shared" si="603"/>
        <v>0</v>
      </c>
      <c r="KO96" s="171" t="str">
        <f t="shared" si="604"/>
        <v/>
      </c>
      <c r="KP96" s="57">
        <f t="shared" si="775"/>
        <v>0</v>
      </c>
      <c r="KQ96" s="57">
        <f>IF(OR(AND(KE$6=1,$L96=0),AND(KE$6=2,$K96=2,$G96=1)),0,IF(AND(KG$9=2,(OR($F96&gt;1,$K96=1,AND($L96=80,OR($N96=1,AND($N96=2,'#BerechnungDBE'!$AL87&gt;0)))))),IF(KE$4&gt;=$AD$126,0,KO96),IF(KG$9=3,IF(OR(KE$4&gt;=$AD$127,AND($G96=1,$J96=2,KE$6=2),AND(KE$6=1,$N96&lt;&gt;1)),0,IF(KI96&lt;=120,KO96,IF(KE$4&lt;$AD$124,IF($F96=1,60/KG$4*KG$6,60/KG$4*KG$7),IF($F96=1,120/KG$4*KG$6,120/KG$4*KG$7)))),IF(OR($F96=3,$G96=2),IF(OR(AND(KE$4&gt;=$AD$119,$C96=2),AND(KE$4&gt;=$AF$119,$C96=1)),0,IF(KI96&lt;=60,KO96,60/KG$4*KG$7)),IF(AND($F96=2,$G96=1),KO96,0)))))</f>
        <v>0</v>
      </c>
      <c r="KR96" s="57" t="str">
        <f t="shared" si="605"/>
        <v/>
      </c>
      <c r="KS96" s="57" t="str">
        <f t="shared" si="606"/>
        <v/>
      </c>
      <c r="KT96" s="713">
        <f>'org. Düngung 22'!CF95</f>
        <v>0</v>
      </c>
      <c r="KU96" s="57"/>
      <c r="KV96" s="57"/>
      <c r="KW96" s="57">
        <f t="shared" si="607"/>
        <v>0</v>
      </c>
      <c r="KX96" s="57">
        <f t="shared" si="776"/>
        <v>0</v>
      </c>
      <c r="KY96" s="57">
        <f t="shared" si="777"/>
        <v>0</v>
      </c>
      <c r="KZ96" s="57">
        <f t="shared" si="778"/>
        <v>0</v>
      </c>
      <c r="LA96" s="57">
        <f t="shared" si="779"/>
        <v>0</v>
      </c>
      <c r="LB96" s="1029">
        <f t="shared" si="608"/>
        <v>0</v>
      </c>
      <c r="LC96" s="57">
        <f t="shared" si="609"/>
        <v>0</v>
      </c>
      <c r="LD96" s="171" t="str">
        <f t="shared" si="610"/>
        <v/>
      </c>
      <c r="LE96" s="57">
        <f t="shared" si="780"/>
        <v>0</v>
      </c>
      <c r="LF96" s="57">
        <f>IF(OR(AND(KT$6=1,$L96=0),AND(KT$6=2,$K96=2,$G96=1)),0,IF(AND(KV$9=2,(OR($F96&gt;1,$K96=1,AND($L96=80,OR($N96=1,AND($N96=2,'#BerechnungDBE'!$AL87&gt;0)))))),IF(KT$4&gt;=$AD$126,0,LD96),IF(KV$9=3,IF(OR(KT$4&gt;=$AD$127,AND($G96=1,$J96=2,KT$6=2),AND(KT$6=1,$N96&lt;&gt;1)),0,IF(KX96&lt;=120,LD96,IF(KT$4&lt;$AD$124,IF($F96=1,60/KV$4*KV$6,60/KV$4*KV$7),IF($F96=1,120/KV$4*KV$6,120/KV$4*KV$7)))),IF(OR($F96=3,$G96=2),IF(OR(AND(KT$4&gt;=$AD$119,$C96=2),AND(KT$4&gt;=$AF$119,$C96=1)),0,IF(KX96&lt;=60,LD96,60/KV$4*KV$7)),IF(AND($F96=2,$G96=1),LD96,0)))))</f>
        <v>0</v>
      </c>
      <c r="LG96" s="57" t="str">
        <f t="shared" si="611"/>
        <v/>
      </c>
      <c r="LH96" s="57" t="str">
        <f t="shared" si="612"/>
        <v/>
      </c>
      <c r="LI96" s="713">
        <f>'org. Düngung 22'!CJ95</f>
        <v>0</v>
      </c>
      <c r="LJ96" s="57"/>
      <c r="LK96" s="57"/>
      <c r="LL96" s="57">
        <f t="shared" si="613"/>
        <v>0</v>
      </c>
      <c r="LM96" s="57">
        <f t="shared" si="781"/>
        <v>0</v>
      </c>
      <c r="LN96" s="57">
        <f t="shared" si="782"/>
        <v>0</v>
      </c>
      <c r="LO96" s="57">
        <f t="shared" si="783"/>
        <v>0</v>
      </c>
      <c r="LP96" s="57">
        <f t="shared" si="784"/>
        <v>0</v>
      </c>
      <c r="LQ96" s="1029">
        <f t="shared" si="614"/>
        <v>0</v>
      </c>
      <c r="LR96" s="57">
        <f t="shared" si="615"/>
        <v>0</v>
      </c>
      <c r="LS96" s="171" t="str">
        <f t="shared" si="616"/>
        <v/>
      </c>
      <c r="LT96" s="57">
        <f t="shared" si="785"/>
        <v>0</v>
      </c>
      <c r="LU96" s="57">
        <f>IF(OR(AND(LI$6=1,$L96=0),AND(LI$6=2,$K96=2,$G96=1)),0,IF(AND(LK$9=2,(OR($F96&gt;1,$K96=1,AND($L96=80,OR($N96=1,AND($N96=2,'#BerechnungDBE'!$AL87&gt;0)))))),IF(LI$4&gt;=$AD$126,0,LS96),IF(LK$9=3,IF(OR(LI$4&gt;=$AD$127,AND($G96=1,$J96=2,LI$6=2),AND(LI$6=1,$N96&lt;&gt;1)),0,IF(LM96&lt;=120,LS96,IF(LI$4&lt;$AD$124,IF($F96=1,60/LK$4*LK$6,60/LK$4*LK$7),IF($F96=1,120/LK$4*LK$6,120/LK$4*LK$7)))),IF(OR($F96=3,$G96=2),IF(OR(AND(LI$4&gt;=$AD$119,$C96=2),AND(LI$4&gt;=$AF$119,$C96=1)),0,IF(LM96&lt;=60,LS96,60/LK$4*LK$7)),IF(AND($F96=2,$G96=1),LS96,0)))))</f>
        <v>0</v>
      </c>
      <c r="LV96" s="57" t="str">
        <f t="shared" si="617"/>
        <v/>
      </c>
      <c r="LW96" s="57" t="str">
        <f t="shared" si="618"/>
        <v/>
      </c>
      <c r="LX96" s="713">
        <f>'org. Düngung 22'!CN95</f>
        <v>0</v>
      </c>
      <c r="LY96" s="57"/>
      <c r="LZ96" s="57"/>
      <c r="MA96" s="57">
        <f t="shared" si="619"/>
        <v>0</v>
      </c>
      <c r="MB96" s="57">
        <f t="shared" si="786"/>
        <v>0</v>
      </c>
      <c r="MC96" s="57">
        <f t="shared" si="787"/>
        <v>0</v>
      </c>
      <c r="MD96" s="57">
        <f t="shared" si="788"/>
        <v>0</v>
      </c>
      <c r="ME96" s="57">
        <f t="shared" si="789"/>
        <v>0</v>
      </c>
      <c r="MF96" s="1029">
        <f t="shared" si="620"/>
        <v>0</v>
      </c>
      <c r="MG96" s="57">
        <f t="shared" si="621"/>
        <v>0</v>
      </c>
      <c r="MH96" s="171" t="str">
        <f t="shared" si="622"/>
        <v/>
      </c>
      <c r="MI96" s="57">
        <f t="shared" si="790"/>
        <v>0</v>
      </c>
      <c r="MJ96" s="57">
        <f>IF(OR(AND(LX$6=1,$L96=0),AND(LX$6=2,$K96=2,$G96=1)),0,IF(AND(LZ$9=2,(OR($F96&gt;1,$K96=1,AND($L96=80,OR($N96=1,AND($N96=2,'#BerechnungDBE'!$AL87&gt;0)))))),IF(LX$4&gt;=$AD$126,0,MH96),IF(LZ$9=3,IF(OR(LX$4&gt;=$AD$127,AND($G96=1,$J96=2,LX$6=2),AND(LX$6=1,$N96&lt;&gt;1)),0,IF(MB96&lt;=120,MH96,IF(LX$4&lt;$AD$124,IF($F96=1,60/LZ$4*LZ$6,60/LZ$4*LZ$7),IF($F96=1,120/LZ$4*LZ$6,120/LZ$4*LZ$7)))),IF(OR($F96=3,$G96=2),IF(OR(AND(LX$4&gt;=$AD$119,$C96=2),AND(LX$4&gt;=$AF$119,$C96=1)),0,IF(MB96&lt;=60,MH96,60/LZ$4*LZ$7)),IF(AND($F96=2,$G96=1),MH96,0)))))</f>
        <v>0</v>
      </c>
      <c r="MK96" s="57" t="str">
        <f t="shared" si="623"/>
        <v/>
      </c>
      <c r="ML96" s="57" t="str">
        <f t="shared" si="624"/>
        <v/>
      </c>
      <c r="MM96" s="713">
        <f>'org. Düngung 22'!CR95</f>
        <v>0</v>
      </c>
      <c r="MN96" s="57"/>
      <c r="MO96" s="57"/>
      <c r="MP96" s="57">
        <f t="shared" si="625"/>
        <v>0</v>
      </c>
      <c r="MQ96" s="57">
        <f t="shared" si="791"/>
        <v>0</v>
      </c>
      <c r="MR96" s="57">
        <f t="shared" si="792"/>
        <v>0</v>
      </c>
      <c r="MS96" s="57">
        <f t="shared" si="793"/>
        <v>0</v>
      </c>
      <c r="MT96" s="57">
        <f t="shared" si="794"/>
        <v>0</v>
      </c>
      <c r="MU96" s="1029">
        <f t="shared" si="626"/>
        <v>0</v>
      </c>
      <c r="MV96" s="57">
        <f t="shared" si="627"/>
        <v>0</v>
      </c>
      <c r="MW96" s="171" t="str">
        <f t="shared" si="628"/>
        <v/>
      </c>
      <c r="MX96" s="57">
        <f t="shared" si="795"/>
        <v>0</v>
      </c>
      <c r="MY96" s="57">
        <f>IF(OR(AND(MM$6=1,$L96=0),AND(MM$6=2,$K96=2,$G96=1)),0,IF(AND(MO$9=2,(OR($F96&gt;1,$K96=1,AND($L96=80,OR($N96=1,AND($N96=2,'#BerechnungDBE'!$AL87&gt;0)))))),IF(MM$4&gt;=$AD$126,0,MW96),IF(MO$9=3,IF(OR(MM$4&gt;=$AD$127,AND($G96=1,$J96=2,MM$6=2),AND(MM$6=1,$N96&lt;&gt;1)),0,IF(MQ96&lt;=120,MW96,IF(MM$4&lt;$AD$124,IF($F96=1,60/MO$4*MO$6,60/MO$4*MO$7),IF($F96=1,120/MO$4*MO$6,120/MO$4*MO$7)))),IF(OR($F96=3,$G96=2),IF(OR(AND(MM$4&gt;=$AD$119,$C96=2),AND(MM$4&gt;=$AF$119,$C96=1)),0,IF(MQ96&lt;=60,MW96,60/MO$4*MO$7)),IF(AND($F96=2,$G96=1),MW96,0)))))</f>
        <v>0</v>
      </c>
      <c r="MZ96" s="57" t="str">
        <f t="shared" si="629"/>
        <v/>
      </c>
      <c r="NA96" s="57" t="str">
        <f t="shared" si="630"/>
        <v/>
      </c>
      <c r="NB96" s="713">
        <f>'org. Düngung 22'!CV95</f>
        <v>0</v>
      </c>
      <c r="NC96" s="57"/>
      <c r="ND96" s="57"/>
      <c r="NE96" s="57">
        <f t="shared" si="631"/>
        <v>0</v>
      </c>
      <c r="NF96" s="57">
        <f t="shared" si="796"/>
        <v>0</v>
      </c>
      <c r="NG96" s="57">
        <f t="shared" si="797"/>
        <v>0</v>
      </c>
      <c r="NH96" s="57">
        <f t="shared" si="798"/>
        <v>0</v>
      </c>
      <c r="NI96" s="57">
        <f t="shared" si="799"/>
        <v>0</v>
      </c>
      <c r="NJ96" s="1029">
        <f t="shared" si="632"/>
        <v>0</v>
      </c>
      <c r="NK96" s="57">
        <f t="shared" si="633"/>
        <v>0</v>
      </c>
      <c r="NL96" s="171" t="str">
        <f t="shared" si="634"/>
        <v/>
      </c>
      <c r="NM96" s="57">
        <f t="shared" si="800"/>
        <v>0</v>
      </c>
      <c r="NN96" s="57">
        <f>IF(OR(AND(NB$6=1,$L96=0),AND(NB$6=2,$K96=2,$G96=1)),0,IF(AND(ND$9=2,(OR($F96&gt;1,$K96=1,AND($L96=80,OR($N96=1,AND($N96=2,'#BerechnungDBE'!$AL87&gt;0)))))),IF(NB$4&gt;=$AD$126,0,NL96),IF(ND$9=3,IF(OR(NB$4&gt;=$AD$127,AND($G96=1,$J96=2,NB$6=2),AND(NB$6=1,$N96&lt;&gt;1)),0,IF(NF96&lt;=120,NL96,IF(NB$4&lt;$AD$124,IF($F96=1,60/ND$4*ND$6,60/ND$4*ND$7),IF($F96=1,120/ND$4*ND$6,120/ND$4*ND$7)))),IF(OR($F96=3,$G96=2),IF(OR(AND(NB$4&gt;=$AD$119,$C96=2),AND(NB$4&gt;=$AF$119,$C96=1)),0,IF(NF96&lt;=60,NL96,60/ND$4*ND$7)),IF(AND($F96=2,$G96=1),NL96,0)))))</f>
        <v>0</v>
      </c>
      <c r="NO96" s="57" t="str">
        <f t="shared" si="635"/>
        <v/>
      </c>
      <c r="NP96" s="57" t="str">
        <f t="shared" si="636"/>
        <v/>
      </c>
      <c r="NQ96" s="713">
        <f>'org. Düngung 22'!CZ95</f>
        <v>0</v>
      </c>
      <c r="NR96" s="57"/>
      <c r="NS96" s="57"/>
      <c r="NT96" s="57">
        <f t="shared" si="637"/>
        <v>0</v>
      </c>
      <c r="NU96" s="57">
        <f t="shared" si="801"/>
        <v>0</v>
      </c>
      <c r="NV96" s="57">
        <f t="shared" si="802"/>
        <v>0</v>
      </c>
      <c r="NW96" s="57">
        <f t="shared" si="803"/>
        <v>0</v>
      </c>
      <c r="NX96" s="57">
        <f t="shared" si="804"/>
        <v>0</v>
      </c>
      <c r="NY96" s="1029">
        <f t="shared" si="638"/>
        <v>0</v>
      </c>
      <c r="NZ96" s="57">
        <f t="shared" si="639"/>
        <v>0</v>
      </c>
      <c r="OA96" s="171" t="str">
        <f t="shared" si="640"/>
        <v/>
      </c>
      <c r="OB96" s="57">
        <f t="shared" si="805"/>
        <v>0</v>
      </c>
      <c r="OC96" s="57">
        <f>IF(OR(AND(NQ$6=1,$L96=0),AND(NQ$6=2,$K96=2,$G96=1)),0,IF(AND(NS$9=2,(OR($F96&gt;1,$K96=1,AND($L96=80,OR($N96=1,AND($N96=2,'#BerechnungDBE'!$AL87&gt;0)))))),IF(NQ$4&gt;=$AD$126,0,OA96),IF(NS$9=3,IF(OR(NQ$4&gt;=$AD$127,AND($G96=1,$J96=2,NQ$6=2),AND(NQ$6=1,$N96&lt;&gt;1)),0,IF(NU96&lt;=120,OA96,IF(NQ$4&lt;$AD$124,IF($F96=1,60/NS$4*NS$6,60/NS$4*NS$7),IF($F96=1,120/NS$4*NS$6,120/NS$4*NS$7)))),IF(OR($F96=3,$G96=2),IF(OR(AND(NQ$4&gt;=$AD$119,$C96=2),AND(NQ$4&gt;=$AF$119,$C96=1)),0,IF(NU96&lt;=60,OA96,60/NS$4*NS$7)),IF(AND($F96=2,$G96=1),OA96,0)))))</f>
        <v>0</v>
      </c>
      <c r="OD96" s="57" t="str">
        <f t="shared" si="641"/>
        <v/>
      </c>
      <c r="OE96" s="57" t="str">
        <f t="shared" si="642"/>
        <v/>
      </c>
      <c r="OF96" s="713">
        <f>'org. Düngung 22'!DD95</f>
        <v>0</v>
      </c>
      <c r="OG96" s="57"/>
      <c r="OH96" s="57"/>
      <c r="OI96" s="57">
        <f t="shared" si="643"/>
        <v>0</v>
      </c>
      <c r="OJ96" s="57">
        <f t="shared" si="806"/>
        <v>0</v>
      </c>
      <c r="OK96" s="57">
        <f t="shared" si="807"/>
        <v>0</v>
      </c>
      <c r="OL96" s="57">
        <f t="shared" si="808"/>
        <v>0</v>
      </c>
      <c r="OM96" s="57">
        <f t="shared" si="809"/>
        <v>0</v>
      </c>
      <c r="ON96" s="1029">
        <f t="shared" si="644"/>
        <v>0</v>
      </c>
      <c r="OO96" s="57">
        <f t="shared" si="645"/>
        <v>0</v>
      </c>
      <c r="OP96" s="171" t="str">
        <f t="shared" si="646"/>
        <v/>
      </c>
      <c r="OQ96" s="57">
        <f t="shared" si="810"/>
        <v>0</v>
      </c>
      <c r="OR96" s="57">
        <f>IF(OR(AND(OF$6=1,$L96=0),AND(OF$6=2,$K96=2,$G96=1)),0,IF(AND(OH$9=2,(OR($F96&gt;1,$K96=1,AND($L96=80,OR($N96=1,AND($N96=2,'#BerechnungDBE'!$AL87&gt;0)))))),IF(OF$4&gt;=$AD$126,0,OP96),IF(OH$9=3,IF(OR(OF$4&gt;=$AD$127,AND($G96=1,$J96=2,OF$6=2),AND(OF$6=1,$N96&lt;&gt;1)),0,IF(OJ96&lt;=120,OP96,IF(OF$4&lt;$AD$124,IF($F96=1,60/OH$4*OH$6,60/OH$4*OH$7),IF($F96=1,120/OH$4*OH$6,120/OH$4*OH$7)))),IF(OR($F96=3,$G96=2),IF(OR(AND(OF$4&gt;=$AD$119,$C96=2),AND(OF$4&gt;=$AF$119,$C96=1)),0,IF(OJ96&lt;=60,OP96,60/OH$4*OH$7)),IF(AND($F96=2,$G96=1),OP96,0)))))</f>
        <v>0</v>
      </c>
      <c r="OS96" s="57" t="str">
        <f t="shared" si="647"/>
        <v/>
      </c>
      <c r="OT96" s="57" t="str">
        <f t="shared" si="648"/>
        <v/>
      </c>
      <c r="OU96" s="713">
        <f>'org. Düngung 22'!DH95</f>
        <v>0</v>
      </c>
      <c r="OV96" s="57"/>
      <c r="OW96" s="57"/>
      <c r="OX96" s="57">
        <f t="shared" si="649"/>
        <v>0</v>
      </c>
      <c r="OY96" s="57">
        <f t="shared" si="811"/>
        <v>0</v>
      </c>
      <c r="OZ96" s="57">
        <f t="shared" si="812"/>
        <v>0</v>
      </c>
      <c r="PA96" s="57">
        <f t="shared" si="813"/>
        <v>0</v>
      </c>
      <c r="PB96" s="57">
        <f t="shared" si="814"/>
        <v>0</v>
      </c>
      <c r="PC96" s="1029">
        <f t="shared" si="650"/>
        <v>0</v>
      </c>
      <c r="PD96" s="57">
        <f t="shared" si="651"/>
        <v>0</v>
      </c>
      <c r="PE96" s="171" t="str">
        <f t="shared" si="652"/>
        <v/>
      </c>
      <c r="PF96" s="57">
        <f t="shared" si="815"/>
        <v>0</v>
      </c>
      <c r="PG96" s="57">
        <f>IF(OR(AND(OU$6=1,$L96=0),AND(OU$6=2,$K96=2,$G96=1)),0,IF(AND(OW$9=2,(OR($F96&gt;1,$K96=1,AND($L96=80,OR($N96=1,AND($N96=2,'#BerechnungDBE'!$AL87&gt;0)))))),IF(OU$4&gt;=$AD$126,0,PE96),IF(OW$9=3,IF(OR(OU$4&gt;=$AD$127,AND($G96=1,$J96=2,OU$6=2),AND(OU$6=1,$N96&lt;&gt;1)),0,IF(OY96&lt;=120,PE96,IF(OU$4&lt;$AD$124,IF($F96=1,60/OW$4*OW$6,60/OW$4*OW$7),IF($F96=1,120/OW$4*OW$6,120/OW$4*OW$7)))),IF(OR($F96=3,$G96=2),IF(OR(AND(OU$4&gt;=$AD$119,$C96=2),AND(OU$4&gt;=$AF$119,$C96=1)),0,IF(OY96&lt;=60,PE96,60/OW$4*OW$7)),IF(AND($F96=2,$G96=1),PE96,0)))))</f>
        <v>0</v>
      </c>
      <c r="PH96" s="57" t="str">
        <f t="shared" si="653"/>
        <v/>
      </c>
      <c r="PI96" s="57" t="str">
        <f t="shared" si="654"/>
        <v/>
      </c>
      <c r="PJ96" s="713">
        <f>'org. Düngung 22'!DL95</f>
        <v>0</v>
      </c>
      <c r="PK96" s="57"/>
      <c r="PL96" s="57"/>
      <c r="PM96" s="57">
        <f t="shared" si="655"/>
        <v>0</v>
      </c>
      <c r="PN96" s="57">
        <f t="shared" si="816"/>
        <v>0</v>
      </c>
      <c r="PO96" s="57">
        <f t="shared" si="817"/>
        <v>0</v>
      </c>
      <c r="PP96" s="57">
        <f t="shared" si="818"/>
        <v>0</v>
      </c>
      <c r="PQ96" s="57">
        <f t="shared" si="819"/>
        <v>0</v>
      </c>
      <c r="PR96" s="1029">
        <f t="shared" si="656"/>
        <v>0</v>
      </c>
      <c r="PS96" s="57">
        <f t="shared" si="657"/>
        <v>0</v>
      </c>
      <c r="PT96" s="171" t="str">
        <f t="shared" si="658"/>
        <v/>
      </c>
      <c r="PU96" s="57">
        <f t="shared" si="820"/>
        <v>0</v>
      </c>
      <c r="PV96" s="57">
        <f>IF(OR(AND(PJ$6=1,$L96=0),AND(PJ$6=2,$K96=2,$G96=1)),0,IF(AND(PL$9=2,(OR($F96&gt;1,$K96=1,AND($L96=80,OR($N96=1,AND($N96=2,'#BerechnungDBE'!$AL87&gt;0)))))),IF(PJ$4&gt;=$AD$126,0,PT96),IF(PL$9=3,IF(OR(PJ$4&gt;=$AD$127,AND($G96=1,$J96=2,PJ$6=2),AND(PJ$6=1,$N96&lt;&gt;1)),0,IF(PN96&lt;=120,PT96,IF(PJ$4&lt;$AD$124,IF($F96=1,60/PL$4*PL$6,60/PL$4*PL$7),IF($F96=1,120/PL$4*PL$6,120/PL$4*PL$7)))),IF(OR($F96=3,$G96=2),IF(OR(AND(PJ$4&gt;=$AD$119,$C96=2),AND(PJ$4&gt;=$AF$119,$C96=1)),0,IF(PN96&lt;=60,PT96,60/PL$4*PL$7)),IF(AND($F96=2,$G96=1),PT96,0)))))</f>
        <v>0</v>
      </c>
      <c r="PW96" s="57" t="str">
        <f t="shared" si="659"/>
        <v/>
      </c>
      <c r="PX96" s="57" t="str">
        <f t="shared" si="660"/>
        <v/>
      </c>
      <c r="PY96" s="713">
        <f>'org. Düngung 22'!DP95</f>
        <v>0</v>
      </c>
      <c r="PZ96" s="57"/>
      <c r="QA96" s="57"/>
      <c r="QB96" s="57">
        <f t="shared" si="661"/>
        <v>0</v>
      </c>
      <c r="QC96" s="57">
        <f t="shared" si="821"/>
        <v>0</v>
      </c>
      <c r="QD96" s="57">
        <f t="shared" si="822"/>
        <v>0</v>
      </c>
      <c r="QE96" s="57">
        <f t="shared" si="823"/>
        <v>0</v>
      </c>
      <c r="QF96" s="57">
        <f t="shared" si="824"/>
        <v>0</v>
      </c>
      <c r="QG96" s="1029">
        <f t="shared" si="662"/>
        <v>0</v>
      </c>
      <c r="QH96" s="57">
        <f t="shared" si="663"/>
        <v>0</v>
      </c>
      <c r="QI96" s="171" t="str">
        <f t="shared" si="664"/>
        <v/>
      </c>
      <c r="QJ96" s="57">
        <f t="shared" si="825"/>
        <v>0</v>
      </c>
      <c r="QK96" s="57">
        <f>IF(OR(AND(PY$6=1,$L96=0),AND(PY$6=2,$K96=2,$G96=1)),0,IF(AND(QA$9=2,(OR($F96&gt;1,$K96=1,AND($L96=80,OR($N96=1,AND($N96=2,'#BerechnungDBE'!$AL87&gt;0)))))),IF(PY$4&gt;=$AD$126,0,QI96),IF(QA$9=3,IF(OR(PY$4&gt;=$AD$127,AND($G96=1,$J96=2,PY$6=2),AND(PY$6=1,$N96&lt;&gt;1)),0,IF(QC96&lt;=120,QI96,IF(PY$4&lt;$AD$124,IF($F96=1,60/QA$4*QA$6,60/QA$4*QA$7),IF($F96=1,120/QA$4*QA$6,120/QA$4*QA$7)))),IF(OR($F96=3,$G96=2),IF(OR(AND(PY$4&gt;=$AD$119,$C96=2),AND(PY$4&gt;=$AF$119,$C96=1)),0,IF(QC96&lt;=60,QI96,60/QA$4*QA$7)),IF(AND($F96=2,$G96=1),QI96,0)))))</f>
        <v>0</v>
      </c>
      <c r="QL96" s="57" t="str">
        <f t="shared" si="665"/>
        <v/>
      </c>
      <c r="QM96" s="57" t="str">
        <f t="shared" si="666"/>
        <v/>
      </c>
      <c r="QN96" s="713">
        <f>'org. Düngung 22'!DT95</f>
        <v>0</v>
      </c>
      <c r="QO96" s="57"/>
      <c r="QP96" s="57"/>
      <c r="QQ96" s="57">
        <f t="shared" si="667"/>
        <v>0</v>
      </c>
      <c r="QR96" s="57">
        <f t="shared" si="826"/>
        <v>0</v>
      </c>
      <c r="QS96" s="57">
        <f t="shared" si="827"/>
        <v>0</v>
      </c>
      <c r="QT96" s="57">
        <f t="shared" si="828"/>
        <v>0</v>
      </c>
      <c r="QU96" s="57">
        <f t="shared" si="829"/>
        <v>0</v>
      </c>
      <c r="QV96" s="1029">
        <f t="shared" si="668"/>
        <v>0</v>
      </c>
      <c r="QW96" s="57">
        <f t="shared" si="669"/>
        <v>0</v>
      </c>
      <c r="QX96" s="171" t="str">
        <f t="shared" si="670"/>
        <v/>
      </c>
      <c r="QY96" s="57">
        <f t="shared" si="830"/>
        <v>0</v>
      </c>
      <c r="QZ96" s="57">
        <f>IF(OR(AND(QN$6=1,$L96=0),AND(QN$6=2,$K96=2,$G96=1)),0,IF(AND(QP$9=2,(OR($F96&gt;1,$K96=1,AND($L96=80,OR($N96=1,AND($N96=2,'#BerechnungDBE'!$AL87&gt;0)))))),IF(QN$4&gt;=$AD$126,0,QX96),IF(QP$9=3,IF(OR(QN$4&gt;=$AD$127,AND($G96=1,$J96=2,QN$6=2),AND(QN$6=1,$N96&lt;&gt;1)),0,IF(QR96&lt;=120,QX96,IF(QN$4&lt;$AD$124,IF($F96=1,60/QP$4*QP$6,60/QP$4*QP$7),IF($F96=1,120/QP$4*QP$6,120/QP$4*QP$7)))),IF(OR($F96=3,$G96=2),IF(OR(AND(QN$4&gt;=$AD$119,$C96=2),AND(QN$4&gt;=$AF$119,$C96=1)),0,IF(QR96&lt;=60,QX96,60/QP$4*QP$7)),IF(AND($F96=2,$G96=1),QX96,0)))))</f>
        <v>0</v>
      </c>
      <c r="RA96" s="57" t="str">
        <f t="shared" si="671"/>
        <v/>
      </c>
      <c r="RB96" s="57" t="str">
        <f t="shared" si="672"/>
        <v/>
      </c>
      <c r="RC96" s="713">
        <f>'org. Düngung 22'!DX95</f>
        <v>0</v>
      </c>
      <c r="RD96" s="57"/>
      <c r="RE96" s="57"/>
      <c r="RF96" s="57">
        <f t="shared" si="673"/>
        <v>0</v>
      </c>
      <c r="RG96" s="57">
        <f t="shared" si="831"/>
        <v>0</v>
      </c>
      <c r="RH96" s="57">
        <f t="shared" si="832"/>
        <v>0</v>
      </c>
      <c r="RI96" s="57">
        <f t="shared" si="833"/>
        <v>0</v>
      </c>
      <c r="RJ96" s="57">
        <f t="shared" si="834"/>
        <v>0</v>
      </c>
      <c r="RK96" s="1029">
        <f t="shared" si="674"/>
        <v>0</v>
      </c>
      <c r="RL96" s="57">
        <f t="shared" si="675"/>
        <v>0</v>
      </c>
      <c r="RM96" s="171" t="str">
        <f t="shared" si="676"/>
        <v/>
      </c>
      <c r="RN96" s="57">
        <f t="shared" si="835"/>
        <v>0</v>
      </c>
      <c r="RO96" s="57">
        <f>IF(OR(AND(RC$6=1,$L96=0),AND(RC$6=2,$K96=2,$G96=1)),0,IF(AND(RE$9=2,(OR($F96&gt;1,$K96=1,AND($L96=80,OR($N96=1,AND($N96=2,'#BerechnungDBE'!$AL87&gt;0)))))),IF(RC$4&gt;=$AD$126,0,RM96),IF(RE$9=3,IF(OR(RC$4&gt;=$AD$127,AND($G96=1,$J96=2,RC$6=2),AND(RC$6=1,$N96&lt;&gt;1)),0,IF(RG96&lt;=120,RM96,IF(RC$4&lt;$AD$124,IF($F96=1,60/RE$4*RE$6,60/RE$4*RE$7),IF($F96=1,120/RE$4*RE$6,120/RE$4*RE$7)))),IF(OR($F96=3,$G96=2),IF(OR(AND(RC$4&gt;=$AD$119,$C96=2),AND(RC$4&gt;=$AF$119,$C96=1)),0,IF(RG96&lt;=60,RM96,60/RE$4*RE$7)),IF(AND($F96=2,$G96=1),RM96,0)))))</f>
        <v>0</v>
      </c>
      <c r="RP96" s="57" t="str">
        <f t="shared" si="677"/>
        <v/>
      </c>
      <c r="RQ96" s="57" t="str">
        <f t="shared" si="678"/>
        <v/>
      </c>
      <c r="RS96" s="57" t="str">
        <f t="shared" si="836"/>
        <v/>
      </c>
      <c r="RT96" s="57" t="str">
        <f t="shared" si="679"/>
        <v/>
      </c>
      <c r="RU96" s="57" t="str">
        <f t="shared" si="680"/>
        <v/>
      </c>
      <c r="RV96" s="57" t="str">
        <f>IF(Z96&gt;'#BerechnungDBE'!BM87,$RV$9,"")</f>
        <v/>
      </c>
      <c r="RW96" s="57" t="str">
        <f>IF(AND(L96=70,AE96&gt;'#BerechnungDBE'!CQ87),$RW$9,"")</f>
        <v/>
      </c>
      <c r="RX96" s="57" t="str">
        <f>IF(OR('org. Düngung 22'!G95="--",'org. Düngung 22'!G95&lt;=170,'org. Düngung 22'!G95=""),"",$RX$9)</f>
        <v/>
      </c>
      <c r="RY96" s="57" t="str">
        <f>IF('org. Düngung 22'!K95&gt;120,'#orgDung'!$RY$9,"")</f>
        <v/>
      </c>
      <c r="RZ96" s="57" t="str">
        <f>IF('#BerechnungDBE'!P87&lt;4,"",IF(AND('#BerechnungDBE'!BZ87&gt;0,T96&gt;0),'#orgDung'!$RZ$9,""))</f>
        <v/>
      </c>
      <c r="SA96" s="57" t="str">
        <f t="shared" si="681"/>
        <v/>
      </c>
    </row>
    <row r="97" spans="1:495" s="875" customFormat="1" x14ac:dyDescent="0.2">
      <c r="A97" s="875">
        <f>'Flächen u. Kulturen'!A93</f>
        <v>84</v>
      </c>
      <c r="B97" s="367">
        <f>'#BerechnungDBE'!L88</f>
        <v>0</v>
      </c>
      <c r="C97" s="875">
        <f>'#BerechnungDBE'!R88</f>
        <v>1</v>
      </c>
      <c r="D97" s="875">
        <f>'#BerechnungDBE'!T88</f>
        <v>2</v>
      </c>
      <c r="E97" s="875" t="str">
        <f>'Flächen u. Kulturen'!E93</f>
        <v>x</v>
      </c>
      <c r="F97" s="52">
        <f>'#BerechnungDBE'!N88</f>
        <v>1</v>
      </c>
      <c r="G97" s="52">
        <f>'#BerechnungDBE'!O88</f>
        <v>1</v>
      </c>
      <c r="H97" s="875">
        <f>IF('Flächen u. Kulturen'!P93="",0,VLOOKUP('Flächen u. Kulturen'!P93,Kulturen[[HF]:[Berechnungsgruppe]],'#Frucht'!$H$1,FALSE))</f>
        <v>0</v>
      </c>
      <c r="I97" s="875">
        <f>IF('Flächen u. Kulturen'!J93="",0,VLOOKUP('Flächen u. Kulturen'!J93,Kulturen[[HF]:[Berechnungsgruppe]],'#Frucht'!$G$1,FALSE))</f>
        <v>90</v>
      </c>
      <c r="J97" s="505">
        <f t="shared" si="682"/>
        <v>2</v>
      </c>
      <c r="K97" s="505">
        <f>IF('Flächen u. Kulturen'!P93="",0,IF(VLOOKUP('Flächen u. Kulturen'!P93,Kulturen[[HF]:[Saat Winterungen]],'#Frucht'!$P$1,FALSE)&gt;0,1,2))</f>
        <v>2</v>
      </c>
      <c r="L97" s="875">
        <f>'#BerechnungDBE'!AF88</f>
        <v>0</v>
      </c>
      <c r="M97" s="875">
        <f>IF('Flächen u. Kulturen'!L93="",0,VLOOKUP('Flächen u. Kulturen'!L93,Nebenkultur[[Nebenkultur]:[Legum. Zwischenfr.]],'#Zweitfr'!$K$1,FALSE))</f>
        <v>0</v>
      </c>
      <c r="N97" s="875">
        <f>'#BerechnungDBE'!AG88</f>
        <v>0</v>
      </c>
      <c r="P97" s="57">
        <f t="shared" si="489"/>
        <v>0</v>
      </c>
      <c r="Q97" s="57">
        <f t="shared" si="490"/>
        <v>0</v>
      </c>
      <c r="R97" s="875">
        <f t="shared" si="491"/>
        <v>0</v>
      </c>
      <c r="S97" s="938" t="str">
        <f t="shared" si="683"/>
        <v/>
      </c>
      <c r="T97" s="875">
        <f t="shared" si="492"/>
        <v>0</v>
      </c>
      <c r="U97" s="875">
        <f t="shared" si="493"/>
        <v>0</v>
      </c>
      <c r="V97" s="875">
        <f t="shared" si="494"/>
        <v>0</v>
      </c>
      <c r="W97" s="875">
        <f t="shared" si="495"/>
        <v>0</v>
      </c>
      <c r="X97" s="875">
        <f t="shared" si="496"/>
        <v>0</v>
      </c>
      <c r="Y97" s="875">
        <f t="shared" si="837"/>
        <v>0</v>
      </c>
      <c r="Z97" s="875">
        <f t="shared" si="838"/>
        <v>0</v>
      </c>
      <c r="AA97" s="910">
        <f t="shared" si="497"/>
        <v>0</v>
      </c>
      <c r="AB97" s="57">
        <f t="shared" si="839"/>
        <v>0</v>
      </c>
      <c r="AC97" s="875">
        <f t="shared" si="498"/>
        <v>0</v>
      </c>
      <c r="AD97" s="875">
        <f t="shared" si="499"/>
        <v>0</v>
      </c>
      <c r="AE97" s="875">
        <f t="shared" si="500"/>
        <v>0</v>
      </c>
      <c r="AF97" s="875">
        <f t="shared" si="840"/>
        <v>0</v>
      </c>
      <c r="AG97" s="875">
        <f>'org. Düngung 22'!J96</f>
        <v>0</v>
      </c>
      <c r="AH97" s="875">
        <f>'org. Düngung 22'!K96</f>
        <v>0</v>
      </c>
      <c r="AJ97" s="713">
        <f>'org. Düngung 22'!L96</f>
        <v>0</v>
      </c>
      <c r="AK97" s="57"/>
      <c r="AL97" s="57"/>
      <c r="AM97" s="57">
        <f t="shared" si="684"/>
        <v>0</v>
      </c>
      <c r="AN97" s="57">
        <f t="shared" si="685"/>
        <v>0</v>
      </c>
      <c r="AO97" s="57">
        <f t="shared" si="686"/>
        <v>0</v>
      </c>
      <c r="AP97" s="57">
        <f t="shared" si="687"/>
        <v>0</v>
      </c>
      <c r="AQ97" s="57">
        <f t="shared" si="688"/>
        <v>0</v>
      </c>
      <c r="AR97" s="1029">
        <f t="shared" si="501"/>
        <v>0</v>
      </c>
      <c r="AS97" s="57">
        <f t="shared" si="502"/>
        <v>0</v>
      </c>
      <c r="AT97" s="171" t="str">
        <f t="shared" si="503"/>
        <v/>
      </c>
      <c r="AU97" s="57">
        <f t="shared" si="689"/>
        <v>0</v>
      </c>
      <c r="AV97" s="57">
        <f>IF(OR(AND(AJ$6=1,$L97=0),AND(AJ$6=2,$K97=2,$G97=1)),0,IF(AND(AL$9=2,(OR($F97&gt;1,$K97=1,AND($L97=80,OR($N97=1,AND($N97=2,'#BerechnungDBE'!$AL88&gt;0)))))),IF(AJ$4&gt;=$AD$126,0,AT97),IF(AL$9=3,IF(OR(AJ$4&gt;=$AD$127,AND($G97=1,$J97=2,AJ$6=2),AND(AJ$6=1,$N97&lt;&gt;1)),0,IF(AN97&lt;=120,AT97,IF(AJ$4&lt;$AD$124,IF($F97=1,60/AL$4*AL$6,60/AL$4*AL$7),IF($F97=1,120/AL$4*AL$6,120/AL$4*AL$7)))),IF(OR($F97=3,$G97=2),IF(OR(AND(AJ$4&gt;=$AD$119,$C97=2),AND(AJ$4&gt;=$AF$119,$C97=1)),0,IF(AN97&lt;=60,AT97,60/AL$4*AL$7)),IF(AND($F97=2,$G97=1),AT97,0)))))</f>
        <v>0</v>
      </c>
      <c r="AW97" s="57" t="str">
        <f t="shared" si="690"/>
        <v/>
      </c>
      <c r="AX97" s="57" t="str">
        <f t="shared" si="504"/>
        <v/>
      </c>
      <c r="AY97" s="713">
        <f>'org. Düngung 22'!P96</f>
        <v>0</v>
      </c>
      <c r="AZ97" s="57"/>
      <c r="BA97" s="57"/>
      <c r="BB97" s="57">
        <f t="shared" si="505"/>
        <v>0</v>
      </c>
      <c r="BC97" s="57">
        <f t="shared" si="691"/>
        <v>0</v>
      </c>
      <c r="BD97" s="57">
        <f t="shared" si="692"/>
        <v>0</v>
      </c>
      <c r="BE97" s="57">
        <f t="shared" si="693"/>
        <v>0</v>
      </c>
      <c r="BF97" s="57">
        <f t="shared" si="694"/>
        <v>0</v>
      </c>
      <c r="BG97" s="1029">
        <f t="shared" si="506"/>
        <v>0</v>
      </c>
      <c r="BH97" s="57">
        <f t="shared" si="507"/>
        <v>0</v>
      </c>
      <c r="BI97" s="171" t="str">
        <f t="shared" si="508"/>
        <v/>
      </c>
      <c r="BJ97" s="57">
        <f t="shared" si="695"/>
        <v>0</v>
      </c>
      <c r="BK97" s="57">
        <f>IF(OR(AND(AY$6=1,$L97=0),AND(AY$6=2,$K97=2,$G97=1)),0,IF(AND(BA$9=2,(OR($F97&gt;1,$K97=1,AND($L97=80,OR($N97=1,AND($N97=2,'#BerechnungDBE'!$AL88&gt;0)))))),IF(AY$4&gt;=$AD$126,0,BI97),IF(BA$9=3,IF(OR(AY$4&gt;=$AD$127,AND($G97=1,$J97=2,AY$6=2),AND(AY$6=1,$N97&lt;&gt;1)),0,IF(BC97&lt;=120,BI97,IF(AY$4&lt;$AD$124,IF($F97=1,60/BA$4*BA$6,60/BA$4*BA$7),IF($F97=1,120/BA$4*BA$6,120/BA$4*BA$7)))),IF(OR($F97=3,$G97=2),IF(OR(AND(AY$4&gt;=$AD$119,$C97=2),AND(AY$4&gt;=$AF$119,$C97=1)),0,IF(BC97&lt;=60,BI97,60/BA$4*BA$7)),IF(AND($F97=2,$G97=1),BI97,0)))))</f>
        <v>0</v>
      </c>
      <c r="BL97" s="57" t="str">
        <f t="shared" si="509"/>
        <v/>
      </c>
      <c r="BM97" s="57" t="str">
        <f t="shared" si="510"/>
        <v/>
      </c>
      <c r="BN97" s="713">
        <f>'org. Düngung 22'!T96</f>
        <v>0</v>
      </c>
      <c r="BO97" s="57"/>
      <c r="BP97" s="57"/>
      <c r="BQ97" s="57">
        <f t="shared" si="511"/>
        <v>0</v>
      </c>
      <c r="BR97" s="57">
        <f t="shared" si="696"/>
        <v>0</v>
      </c>
      <c r="BS97" s="57">
        <f t="shared" si="697"/>
        <v>0</v>
      </c>
      <c r="BT97" s="57">
        <f t="shared" si="698"/>
        <v>0</v>
      </c>
      <c r="BU97" s="57">
        <f t="shared" si="699"/>
        <v>0</v>
      </c>
      <c r="BV97" s="1029">
        <f t="shared" si="512"/>
        <v>0</v>
      </c>
      <c r="BW97" s="57">
        <f t="shared" si="513"/>
        <v>0</v>
      </c>
      <c r="BX97" s="171" t="str">
        <f t="shared" si="514"/>
        <v/>
      </c>
      <c r="BY97" s="57">
        <f t="shared" si="700"/>
        <v>0</v>
      </c>
      <c r="BZ97" s="57">
        <f>IF(OR(AND(BN$6=1,$L97=0),AND(BN$6=2,$K97=2,$G97=1)),0,IF(AND(BP$9=2,(OR($F97&gt;1,$K97=1,AND($L97=80,OR($N97=1,AND($N97=2,'#BerechnungDBE'!$AL88&gt;0)))))),IF(BN$4&gt;=$AD$126,0,BX97),IF(BP$9=3,IF(OR(BN$4&gt;=$AD$127,AND($G97=1,$J97=2,BN$6=2),AND(BN$6=1,$N97&lt;&gt;1)),0,IF(BR97&lt;=120,BX97,IF(BN$4&lt;$AD$124,IF($F97=1,60/BP$4*BP$6,60/BP$4*BP$7),IF($F97=1,120/BP$4*BP$6,120/BP$4*BP$7)))),IF(OR($F97=3,$G97=2),IF(OR(AND(BN$4&gt;=$AD$119,$C97=2),AND(BN$4&gt;=$AF$119,$C97=1)),0,IF(BR97&lt;=60,BX97,60/BP$4*BP$7)),IF(AND($F97=2,$G97=1),BX97,0)))))</f>
        <v>0</v>
      </c>
      <c r="CA97" s="57" t="str">
        <f t="shared" si="515"/>
        <v/>
      </c>
      <c r="CB97" s="57" t="str">
        <f t="shared" si="516"/>
        <v/>
      </c>
      <c r="CC97" s="713">
        <f>'org. Düngung 22'!X96</f>
        <v>0</v>
      </c>
      <c r="CD97" s="57"/>
      <c r="CE97" s="57"/>
      <c r="CF97" s="57">
        <f t="shared" si="517"/>
        <v>0</v>
      </c>
      <c r="CG97" s="57">
        <f t="shared" si="701"/>
        <v>0</v>
      </c>
      <c r="CH97" s="57">
        <f t="shared" si="702"/>
        <v>0</v>
      </c>
      <c r="CI97" s="57">
        <f t="shared" si="703"/>
        <v>0</v>
      </c>
      <c r="CJ97" s="57">
        <f t="shared" si="704"/>
        <v>0</v>
      </c>
      <c r="CK97" s="1029">
        <f t="shared" si="518"/>
        <v>0</v>
      </c>
      <c r="CL97" s="57">
        <f t="shared" si="519"/>
        <v>0</v>
      </c>
      <c r="CM97" s="171" t="str">
        <f t="shared" si="520"/>
        <v/>
      </c>
      <c r="CN97" s="57">
        <f t="shared" si="705"/>
        <v>0</v>
      </c>
      <c r="CO97" s="57">
        <f>IF(OR(AND(CC$6=1,$L97=0),AND(CC$6=2,$K97=2,$G97=1)),0,IF(AND(CE$9=2,(OR($F97&gt;1,$K97=1,AND($L97=80,OR($N97=1,AND($N97=2,'#BerechnungDBE'!$AL88&gt;0)))))),IF(CC$4&gt;=$AD$126,0,CM97),IF(CE$9=3,IF(OR(CC$4&gt;=$AD$127,AND($G97=1,$J97=2,CC$6=2),AND(CC$6=1,$N97&lt;&gt;1)),0,IF(CG97&lt;=120,CM97,IF(CC$4&lt;$AD$124,IF($F97=1,60/CE$4*CE$6,60/CE$4*CE$7),IF($F97=1,120/CE$4*CE$6,120/CE$4*CE$7)))),IF(OR($F97=3,$G97=2),IF(OR(AND(CC$4&gt;=$AD$119,$C97=2),AND(CC$4&gt;=$AF$119,$C97=1)),0,IF(CG97&lt;=60,CM97,60/CE$4*CE$7)),IF(AND($F97=2,$G97=1),CM97,0)))))</f>
        <v>0</v>
      </c>
      <c r="CP97" s="57" t="str">
        <f t="shared" si="521"/>
        <v/>
      </c>
      <c r="CQ97" s="57" t="str">
        <f t="shared" si="522"/>
        <v/>
      </c>
      <c r="CR97" s="713">
        <f>'org. Düngung 22'!AB96</f>
        <v>0</v>
      </c>
      <c r="CS97" s="57"/>
      <c r="CT97" s="57"/>
      <c r="CU97" s="57">
        <f t="shared" si="523"/>
        <v>0</v>
      </c>
      <c r="CV97" s="57">
        <f t="shared" si="706"/>
        <v>0</v>
      </c>
      <c r="CW97" s="57">
        <f t="shared" si="707"/>
        <v>0</v>
      </c>
      <c r="CX97" s="57">
        <f t="shared" si="708"/>
        <v>0</v>
      </c>
      <c r="CY97" s="57">
        <f t="shared" si="709"/>
        <v>0</v>
      </c>
      <c r="CZ97" s="1029">
        <f t="shared" si="524"/>
        <v>0</v>
      </c>
      <c r="DA97" s="57">
        <f t="shared" si="525"/>
        <v>0</v>
      </c>
      <c r="DB97" s="171" t="str">
        <f t="shared" si="526"/>
        <v/>
      </c>
      <c r="DC97" s="57">
        <f t="shared" si="710"/>
        <v>0</v>
      </c>
      <c r="DD97" s="57">
        <f>IF(OR(AND(CR$6=1,$L97=0),AND(CR$6=2,$K97=2,$G97=1)),0,IF(AND(CT$9=2,(OR($F97&gt;1,$K97=1,AND($L97=80,OR($N97=1,AND($N97=2,'#BerechnungDBE'!$AL88&gt;0)))))),IF(CR$4&gt;=$AD$126,0,DB97),IF(CT$9=3,IF(OR(CR$4&gt;=$AD$127,AND($G97=1,$J97=2,CR$6=2),AND(CR$6=1,$N97&lt;&gt;1)),0,IF(CV97&lt;=120,DB97,IF(CR$4&lt;$AD$124,IF($F97=1,60/CT$4*CT$6,60/CT$4*CT$7),IF($F97=1,120/CT$4*CT$6,120/CT$4*CT$7)))),IF(OR($F97=3,$G97=2),IF(OR(AND(CR$4&gt;=$AD$119,$C97=2),AND(CR$4&gt;=$AF$119,$C97=1)),0,IF(CV97&lt;=60,DB97,60/CT$4*CT$7)),IF(AND($F97=2,$G97=1),DB97,0)))))</f>
        <v>0</v>
      </c>
      <c r="DE97" s="57" t="str">
        <f t="shared" si="527"/>
        <v/>
      </c>
      <c r="DF97" s="57" t="str">
        <f t="shared" si="528"/>
        <v/>
      </c>
      <c r="DG97" s="713">
        <f>'org. Düngung 22'!AF96</f>
        <v>0</v>
      </c>
      <c r="DH97" s="57"/>
      <c r="DI97" s="57"/>
      <c r="DJ97" s="57">
        <f t="shared" si="529"/>
        <v>0</v>
      </c>
      <c r="DK97" s="57">
        <f t="shared" si="711"/>
        <v>0</v>
      </c>
      <c r="DL97" s="57">
        <f t="shared" si="712"/>
        <v>0</v>
      </c>
      <c r="DM97" s="57">
        <f t="shared" si="713"/>
        <v>0</v>
      </c>
      <c r="DN97" s="57">
        <f t="shared" si="714"/>
        <v>0</v>
      </c>
      <c r="DO97" s="1029">
        <f t="shared" si="530"/>
        <v>0</v>
      </c>
      <c r="DP97" s="57">
        <f t="shared" si="531"/>
        <v>0</v>
      </c>
      <c r="DQ97" s="171" t="str">
        <f t="shared" si="532"/>
        <v/>
      </c>
      <c r="DR97" s="57">
        <f t="shared" si="715"/>
        <v>0</v>
      </c>
      <c r="DS97" s="57">
        <f>IF(OR(AND(DG$6=1,$L97=0),AND(DG$6=2,$K97=2,$G97=1)),0,IF(AND(DI$9=2,(OR($F97&gt;1,$K97=1,AND($L97=80,OR($N97=1,AND($N97=2,'#BerechnungDBE'!$AL88&gt;0)))))),IF(DG$4&gt;=$AD$126,0,DQ97),IF(DI$9=3,IF(OR(DG$4&gt;=$AD$127,AND($G97=1,$J97=2,DG$6=2),AND(DG$6=1,$N97&lt;&gt;1)),0,IF(DK97&lt;=120,DQ97,IF(DG$4&lt;$AD$124,IF($F97=1,60/DI$4*DI$6,60/DI$4*DI$7),IF($F97=1,120/DI$4*DI$6,120/DI$4*DI$7)))),IF(OR($F97=3,$G97=2),IF(OR(AND(DG$4&gt;=$AD$119,$C97=2),AND(DG$4&gt;=$AF$119,$C97=1)),0,IF(DK97&lt;=60,DQ97,60/DI$4*DI$7)),IF(AND($F97=2,$G97=1),DQ97,0)))))</f>
        <v>0</v>
      </c>
      <c r="DT97" s="57" t="str">
        <f t="shared" si="533"/>
        <v/>
      </c>
      <c r="DU97" s="57" t="str">
        <f t="shared" si="534"/>
        <v/>
      </c>
      <c r="DV97" s="713">
        <f>'org. Düngung 22'!AJ96</f>
        <v>0</v>
      </c>
      <c r="DW97" s="57"/>
      <c r="DX97" s="57"/>
      <c r="DY97" s="57">
        <f t="shared" si="535"/>
        <v>0</v>
      </c>
      <c r="DZ97" s="57">
        <f t="shared" si="716"/>
        <v>0</v>
      </c>
      <c r="EA97" s="57">
        <f t="shared" si="717"/>
        <v>0</v>
      </c>
      <c r="EB97" s="57">
        <f t="shared" si="718"/>
        <v>0</v>
      </c>
      <c r="EC97" s="57">
        <f t="shared" si="719"/>
        <v>0</v>
      </c>
      <c r="ED97" s="1029">
        <f t="shared" si="536"/>
        <v>0</v>
      </c>
      <c r="EE97" s="57">
        <f t="shared" si="537"/>
        <v>0</v>
      </c>
      <c r="EF97" s="171" t="str">
        <f t="shared" si="538"/>
        <v/>
      </c>
      <c r="EG97" s="57">
        <f t="shared" si="720"/>
        <v>0</v>
      </c>
      <c r="EH97" s="57">
        <f>IF(OR(AND(DV$6=1,$L97=0),AND(DV$6=2,$K97=2,$G97=1)),0,IF(AND(DX$9=2,(OR($F97&gt;1,$K97=1,AND($L97=80,OR($N97=1,AND($N97=2,'#BerechnungDBE'!$AL88&gt;0)))))),IF(DV$4&gt;=$AD$126,0,EF97),IF(DX$9=3,IF(OR(DV$4&gt;=$AD$127,AND($G97=1,$J97=2,DV$6=2),AND(DV$6=1,$N97&lt;&gt;1)),0,IF(DZ97&lt;=120,EF97,IF(DV$4&lt;$AD$124,IF($F97=1,60/DX$4*DX$6,60/DX$4*DX$7),IF($F97=1,120/DX$4*DX$6,120/DX$4*DX$7)))),IF(OR($F97=3,$G97=2),IF(OR(AND(DV$4&gt;=$AD$119,$C97=2),AND(DV$4&gt;=$AF$119,$C97=1)),0,IF(DZ97&lt;=60,EF97,60/DX$4*DX$7)),IF(AND($F97=2,$G97=1),EF97,0)))))</f>
        <v>0</v>
      </c>
      <c r="EI97" s="57" t="str">
        <f t="shared" si="539"/>
        <v/>
      </c>
      <c r="EJ97" s="57" t="str">
        <f t="shared" si="540"/>
        <v/>
      </c>
      <c r="EK97" s="713">
        <f>'org. Düngung 22'!AN96</f>
        <v>0</v>
      </c>
      <c r="EL97" s="57"/>
      <c r="EM97" s="57"/>
      <c r="EN97" s="57">
        <f t="shared" si="541"/>
        <v>0</v>
      </c>
      <c r="EO97" s="57">
        <f t="shared" si="721"/>
        <v>0</v>
      </c>
      <c r="EP97" s="57">
        <f t="shared" si="722"/>
        <v>0</v>
      </c>
      <c r="EQ97" s="57">
        <f t="shared" si="723"/>
        <v>0</v>
      </c>
      <c r="ER97" s="57">
        <f t="shared" si="724"/>
        <v>0</v>
      </c>
      <c r="ES97" s="1029">
        <f t="shared" si="542"/>
        <v>0</v>
      </c>
      <c r="ET97" s="57">
        <f t="shared" si="543"/>
        <v>0</v>
      </c>
      <c r="EU97" s="171" t="str">
        <f t="shared" si="544"/>
        <v/>
      </c>
      <c r="EV97" s="57">
        <f t="shared" si="725"/>
        <v>0</v>
      </c>
      <c r="EW97" s="57">
        <f>IF(OR(AND(EK$6=1,$L97=0),AND(EK$6=2,$K97=2,$G97=1)),0,IF(AND(EM$9=2,(OR($F97&gt;1,$K97=1,AND($L97=80,OR($N97=1,AND($N97=2,'#BerechnungDBE'!$AL88&gt;0)))))),IF(EK$4&gt;=$AD$126,0,EU97),IF(EM$9=3,IF(OR(EK$4&gt;=$AD$127,AND($G97=1,$J97=2,EK$6=2),AND(EK$6=1,$N97&lt;&gt;1)),0,IF(EO97&lt;=120,EU97,IF(EK$4&lt;$AD$124,IF($F97=1,60/EM$4*EM$6,60/EM$4*EM$7),IF($F97=1,120/EM$4*EM$6,120/EM$4*EM$7)))),IF(OR($F97=3,$G97=2),IF(OR(AND(EK$4&gt;=$AD$119,$C97=2),AND(EK$4&gt;=$AF$119,$C97=1)),0,IF(EO97&lt;=60,EU97,60/EM$4*EM$7)),IF(AND($F97=2,$G97=1),EU97,0)))))</f>
        <v>0</v>
      </c>
      <c r="EX97" s="57" t="str">
        <f t="shared" si="545"/>
        <v/>
      </c>
      <c r="EY97" s="57" t="str">
        <f t="shared" si="546"/>
        <v/>
      </c>
      <c r="EZ97" s="713">
        <f>'org. Düngung 22'!AR96</f>
        <v>0</v>
      </c>
      <c r="FA97" s="57"/>
      <c r="FB97" s="57"/>
      <c r="FC97" s="57">
        <f t="shared" si="547"/>
        <v>0</v>
      </c>
      <c r="FD97" s="57">
        <f t="shared" si="726"/>
        <v>0</v>
      </c>
      <c r="FE97" s="57">
        <f t="shared" si="727"/>
        <v>0</v>
      </c>
      <c r="FF97" s="57">
        <f t="shared" si="728"/>
        <v>0</v>
      </c>
      <c r="FG97" s="57">
        <f t="shared" si="729"/>
        <v>0</v>
      </c>
      <c r="FH97" s="1029">
        <f t="shared" si="548"/>
        <v>0</v>
      </c>
      <c r="FI97" s="57">
        <f t="shared" si="549"/>
        <v>0</v>
      </c>
      <c r="FJ97" s="171" t="str">
        <f t="shared" si="550"/>
        <v/>
      </c>
      <c r="FK97" s="57">
        <f t="shared" si="730"/>
        <v>0</v>
      </c>
      <c r="FL97" s="57">
        <f>IF(OR(AND(EZ$6=1,$L97=0),AND(EZ$6=2,$K97=2,$G97=1)),0,IF(AND(FB$9=2,(OR($F97&gt;1,$K97=1,AND($L97=80,OR($N97=1,AND($N97=2,'#BerechnungDBE'!$AL88&gt;0)))))),IF(EZ$4&gt;=$AD$126,0,FJ97),IF(FB$9=3,IF(OR(EZ$4&gt;=$AD$127,AND($G97=1,$J97=2,EZ$6=2),AND(EZ$6=1,$N97&lt;&gt;1)),0,IF(FD97&lt;=120,FJ97,IF(EZ$4&lt;$AD$124,IF($F97=1,60/FB$4*FB$6,60/FB$4*FB$7),IF($F97=1,120/FB$4*FB$6,120/FB$4*FB$7)))),IF(OR($F97=3,$G97=2),IF(OR(AND(EZ$4&gt;=$AD$119,$C97=2),AND(EZ$4&gt;=$AF$119,$C97=1)),0,IF(FD97&lt;=60,FJ97,60/FB$4*FB$7)),IF(AND($F97=2,$G97=1),FJ97,0)))))</f>
        <v>0</v>
      </c>
      <c r="FM97" s="57" t="str">
        <f t="shared" si="551"/>
        <v/>
      </c>
      <c r="FN97" s="57" t="str">
        <f t="shared" si="552"/>
        <v/>
      </c>
      <c r="FO97" s="713">
        <f>'org. Düngung 22'!AV96</f>
        <v>0</v>
      </c>
      <c r="FP97" s="57"/>
      <c r="FQ97" s="57"/>
      <c r="FR97" s="57">
        <f t="shared" si="553"/>
        <v>0</v>
      </c>
      <c r="FS97" s="57">
        <f t="shared" si="731"/>
        <v>0</v>
      </c>
      <c r="FT97" s="57">
        <f t="shared" si="732"/>
        <v>0</v>
      </c>
      <c r="FU97" s="57">
        <f t="shared" si="733"/>
        <v>0</v>
      </c>
      <c r="FV97" s="57">
        <f t="shared" si="734"/>
        <v>0</v>
      </c>
      <c r="FW97" s="1029">
        <f t="shared" si="554"/>
        <v>0</v>
      </c>
      <c r="FX97" s="57">
        <f t="shared" si="555"/>
        <v>0</v>
      </c>
      <c r="FY97" s="171" t="str">
        <f t="shared" si="556"/>
        <v/>
      </c>
      <c r="FZ97" s="57">
        <f t="shared" si="735"/>
        <v>0</v>
      </c>
      <c r="GA97" s="57">
        <f>IF(OR(AND(FO$6=1,$L97=0),AND(FO$6=2,$K97=2,$G97=1)),0,IF(AND(FQ$9=2,(OR($F97&gt;1,$K97=1,AND($L97=80,OR($N97=1,AND($N97=2,'#BerechnungDBE'!$AL88&gt;0)))))),IF(FO$4&gt;=$AD$126,0,FY97),IF(FQ$9=3,IF(OR(FO$4&gt;=$AD$127,AND($G97=1,$J97=2,FO$6=2),AND(FO$6=1,$N97&lt;&gt;1)),0,IF(FS97&lt;=120,FY97,IF(FO$4&lt;$AD$124,IF($F97=1,60/FQ$4*FQ$6,60/FQ$4*FQ$7),IF($F97=1,120/FQ$4*FQ$6,120/FQ$4*FQ$7)))),IF(OR($F97=3,$G97=2),IF(OR(AND(FO$4&gt;=$AD$119,$C97=2),AND(FO$4&gt;=$AF$119,$C97=1)),0,IF(FS97&lt;=60,FY97,60/FQ$4*FQ$7)),IF(AND($F97=2,$G97=1),FY97,0)))))</f>
        <v>0</v>
      </c>
      <c r="GB97" s="57" t="str">
        <f t="shared" si="557"/>
        <v/>
      </c>
      <c r="GC97" s="57" t="str">
        <f t="shared" si="558"/>
        <v/>
      </c>
      <c r="GD97" s="713">
        <f>'org. Düngung 22'!AZ96</f>
        <v>0</v>
      </c>
      <c r="GE97" s="57"/>
      <c r="GF97" s="57"/>
      <c r="GG97" s="57">
        <f t="shared" si="559"/>
        <v>0</v>
      </c>
      <c r="GH97" s="57">
        <f t="shared" si="736"/>
        <v>0</v>
      </c>
      <c r="GI97" s="57">
        <f t="shared" si="737"/>
        <v>0</v>
      </c>
      <c r="GJ97" s="57">
        <f t="shared" si="738"/>
        <v>0</v>
      </c>
      <c r="GK97" s="57">
        <f t="shared" si="739"/>
        <v>0</v>
      </c>
      <c r="GL97" s="1029">
        <f t="shared" si="560"/>
        <v>0</v>
      </c>
      <c r="GM97" s="57">
        <f t="shared" si="561"/>
        <v>0</v>
      </c>
      <c r="GN97" s="171" t="str">
        <f t="shared" si="562"/>
        <v/>
      </c>
      <c r="GO97" s="57">
        <f t="shared" si="740"/>
        <v>0</v>
      </c>
      <c r="GP97" s="57">
        <f>IF(OR(AND(GD$6=1,$L97=0),AND(GD$6=2,$K97=2,$G97=1)),0,IF(AND(GF$9=2,(OR($F97&gt;1,$K97=1,AND($L97=80,OR($N97=1,AND($N97=2,'#BerechnungDBE'!$AL88&gt;0)))))),IF(GD$4&gt;=$AD$126,0,GN97),IF(GF$9=3,IF(OR(GD$4&gt;=$AD$127,AND($G97=1,$J97=2,GD$6=2),AND(GD$6=1,$N97&lt;&gt;1)),0,IF(GH97&lt;=120,GN97,IF(GD$4&lt;$AD$124,IF($F97=1,60/GF$4*GF$6,60/GF$4*GF$7),IF($F97=1,120/GF$4*GF$6,120/GF$4*GF$7)))),IF(OR($F97=3,$G97=2),IF(OR(AND(GD$4&gt;=$AD$119,$C97=2),AND(GD$4&gt;=$AF$119,$C97=1)),0,IF(GH97&lt;=60,GN97,60/GF$4*GF$7)),IF(AND($F97=2,$G97=1),GN97,0)))))</f>
        <v>0</v>
      </c>
      <c r="GQ97" s="57" t="str">
        <f t="shared" si="563"/>
        <v/>
      </c>
      <c r="GR97" s="57" t="str">
        <f t="shared" si="564"/>
        <v/>
      </c>
      <c r="GS97" s="713">
        <f>'org. Düngung 22'!BD96</f>
        <v>0</v>
      </c>
      <c r="GT97" s="57"/>
      <c r="GU97" s="57"/>
      <c r="GV97" s="57">
        <f t="shared" si="565"/>
        <v>0</v>
      </c>
      <c r="GW97" s="57">
        <f t="shared" si="741"/>
        <v>0</v>
      </c>
      <c r="GX97" s="57">
        <f t="shared" si="742"/>
        <v>0</v>
      </c>
      <c r="GY97" s="57">
        <f t="shared" si="743"/>
        <v>0</v>
      </c>
      <c r="GZ97" s="57">
        <f t="shared" si="744"/>
        <v>0</v>
      </c>
      <c r="HA97" s="1029">
        <f t="shared" si="566"/>
        <v>0</v>
      </c>
      <c r="HB97" s="57">
        <f t="shared" si="567"/>
        <v>0</v>
      </c>
      <c r="HC97" s="171" t="str">
        <f t="shared" si="568"/>
        <v/>
      </c>
      <c r="HD97" s="57">
        <f t="shared" si="745"/>
        <v>0</v>
      </c>
      <c r="HE97" s="57">
        <f>IF(OR(AND(GS$6=1,$L97=0),AND(GS$6=2,$K97=2,$G97=1)),0,IF(AND(GU$9=2,(OR($F97&gt;1,$K97=1,AND($L97=80,OR($N97=1,AND($N97=2,'#BerechnungDBE'!$AL88&gt;0)))))),IF(GS$4&gt;=$AD$126,0,HC97),IF(GU$9=3,IF(OR(GS$4&gt;=$AD$127,AND($G97=1,$J97=2,GS$6=2),AND(GS$6=1,$N97&lt;&gt;1)),0,IF(GW97&lt;=120,HC97,IF(GS$4&lt;$AD$124,IF($F97=1,60/GU$4*GU$6,60/GU$4*GU$7),IF($F97=1,120/GU$4*GU$6,120/GU$4*GU$7)))),IF(OR($F97=3,$G97=2),IF(OR(AND(GS$4&gt;=$AD$119,$C97=2),AND(GS$4&gt;=$AF$119,$C97=1)),0,IF(GW97&lt;=60,HC97,60/GU$4*GU$7)),IF(AND($F97=2,$G97=1),HC97,0)))))</f>
        <v>0</v>
      </c>
      <c r="HF97" s="57" t="str">
        <f t="shared" si="569"/>
        <v/>
      </c>
      <c r="HG97" s="57" t="str">
        <f t="shared" si="570"/>
        <v/>
      </c>
      <c r="HH97" s="713">
        <f>'org. Düngung 22'!BH96</f>
        <v>0</v>
      </c>
      <c r="HI97" s="57"/>
      <c r="HJ97" s="57"/>
      <c r="HK97" s="57">
        <f t="shared" si="571"/>
        <v>0</v>
      </c>
      <c r="HL97" s="57">
        <f t="shared" si="746"/>
        <v>0</v>
      </c>
      <c r="HM97" s="57">
        <f t="shared" si="747"/>
        <v>0</v>
      </c>
      <c r="HN97" s="57">
        <f t="shared" si="748"/>
        <v>0</v>
      </c>
      <c r="HO97" s="57">
        <f t="shared" si="749"/>
        <v>0</v>
      </c>
      <c r="HP97" s="1029">
        <f t="shared" si="572"/>
        <v>0</v>
      </c>
      <c r="HQ97" s="57">
        <f t="shared" si="573"/>
        <v>0</v>
      </c>
      <c r="HR97" s="171" t="str">
        <f t="shared" si="574"/>
        <v/>
      </c>
      <c r="HS97" s="57">
        <f t="shared" si="750"/>
        <v>0</v>
      </c>
      <c r="HT97" s="57">
        <f>IF(OR(AND(HH$6=1,$L97=0),AND(HH$6=2,$K97=2,$G97=1)),0,IF(AND(HJ$9=2,(OR($F97&gt;1,$K97=1,AND($L97=80,OR($N97=1,AND($N97=2,'#BerechnungDBE'!$AL88&gt;0)))))),IF(HH$4&gt;=$AD$126,0,HR97),IF(HJ$9=3,IF(OR(HH$4&gt;=$AD$127,AND($G97=1,$J97=2,HH$6=2),AND(HH$6=1,$N97&lt;&gt;1)),0,IF(HL97&lt;=120,HR97,IF(HH$4&lt;$AD$124,IF($F97=1,60/HJ$4*HJ$6,60/HJ$4*HJ$7),IF($F97=1,120/HJ$4*HJ$6,120/HJ$4*HJ$7)))),IF(OR($F97=3,$G97=2),IF(OR(AND(HH$4&gt;=$AD$119,$C97=2),AND(HH$4&gt;=$AF$119,$C97=1)),0,IF(HL97&lt;=60,HR97,60/HJ$4*HJ$7)),IF(AND($F97=2,$G97=1),HR97,0)))))</f>
        <v>0</v>
      </c>
      <c r="HU97" s="57" t="str">
        <f t="shared" si="575"/>
        <v/>
      </c>
      <c r="HV97" s="57" t="str">
        <f t="shared" si="576"/>
        <v/>
      </c>
      <c r="HW97" s="713">
        <f>'org. Düngung 22'!BL96</f>
        <v>0</v>
      </c>
      <c r="HX97" s="57"/>
      <c r="HY97" s="57"/>
      <c r="HZ97" s="57">
        <f t="shared" si="577"/>
        <v>0</v>
      </c>
      <c r="IA97" s="57">
        <f t="shared" si="751"/>
        <v>0</v>
      </c>
      <c r="IB97" s="57">
        <f t="shared" si="752"/>
        <v>0</v>
      </c>
      <c r="IC97" s="57">
        <f t="shared" si="753"/>
        <v>0</v>
      </c>
      <c r="ID97" s="57">
        <f t="shared" si="754"/>
        <v>0</v>
      </c>
      <c r="IE97" s="1029">
        <f t="shared" si="578"/>
        <v>0</v>
      </c>
      <c r="IF97" s="57">
        <f t="shared" si="579"/>
        <v>0</v>
      </c>
      <c r="IG97" s="171" t="str">
        <f t="shared" si="580"/>
        <v/>
      </c>
      <c r="IH97" s="57">
        <f t="shared" si="755"/>
        <v>0</v>
      </c>
      <c r="II97" s="57">
        <f>IF(OR(AND(HW$6=1,$L97=0),AND(HW$6=2,$K97=2,$G97=1)),0,IF(AND(HY$9=2,(OR($F97&gt;1,$K97=1,AND($L97=80,OR($N97=1,AND($N97=2,'#BerechnungDBE'!$AL88&gt;0)))))),IF(HW$4&gt;=$AD$126,0,IG97),IF(HY$9=3,IF(OR(HW$4&gt;=$AD$127,AND($G97=1,$J97=2,HW$6=2),AND(HW$6=1,$N97&lt;&gt;1)),0,IF(IA97&lt;=120,IG97,IF(HW$4&lt;$AD$124,IF($F97=1,60/HY$4*HY$6,60/HY$4*HY$7),IF($F97=1,120/HY$4*HY$6,120/HY$4*HY$7)))),IF(OR($F97=3,$G97=2),IF(OR(AND(HW$4&gt;=$AD$119,$C97=2),AND(HW$4&gt;=$AF$119,$C97=1)),0,IF(IA97&lt;=60,IG97,60/HY$4*HY$7)),IF(AND($F97=2,$G97=1),IG97,0)))))</f>
        <v>0</v>
      </c>
      <c r="IJ97" s="57" t="str">
        <f t="shared" si="581"/>
        <v/>
      </c>
      <c r="IK97" s="57" t="str">
        <f t="shared" si="582"/>
        <v/>
      </c>
      <c r="IL97" s="713">
        <f>'org. Düngung 22'!BP96</f>
        <v>0</v>
      </c>
      <c r="IM97" s="57"/>
      <c r="IN97" s="57"/>
      <c r="IO97" s="57">
        <f t="shared" si="583"/>
        <v>0</v>
      </c>
      <c r="IP97" s="57">
        <f t="shared" si="756"/>
        <v>0</v>
      </c>
      <c r="IQ97" s="57">
        <f t="shared" si="757"/>
        <v>0</v>
      </c>
      <c r="IR97" s="57">
        <f t="shared" si="758"/>
        <v>0</v>
      </c>
      <c r="IS97" s="57">
        <f t="shared" si="759"/>
        <v>0</v>
      </c>
      <c r="IT97" s="1029">
        <f t="shared" si="584"/>
        <v>0</v>
      </c>
      <c r="IU97" s="57">
        <f t="shared" si="585"/>
        <v>0</v>
      </c>
      <c r="IV97" s="171" t="str">
        <f t="shared" si="586"/>
        <v/>
      </c>
      <c r="IW97" s="57">
        <f t="shared" si="760"/>
        <v>0</v>
      </c>
      <c r="IX97" s="57">
        <f>IF(OR(AND(IL$6=1,$L97=0),AND(IL$6=2,$K97=2,$G97=1)),0,IF(AND(IN$9=2,(OR($F97&gt;1,$K97=1,AND($L97=80,OR($N97=1,AND($N97=2,'#BerechnungDBE'!$AL88&gt;0)))))),IF(IL$4&gt;=$AD$126,0,IV97),IF(IN$9=3,IF(OR(IL$4&gt;=$AD$127,AND($G97=1,$J97=2,IL$6=2),AND(IL$6=1,$N97&lt;&gt;1)),0,IF(IP97&lt;=120,IV97,IF(IL$4&lt;$AD$124,IF($F97=1,60/IN$4*IN$6,60/IN$4*IN$7),IF($F97=1,120/IN$4*IN$6,120/IN$4*IN$7)))),IF(OR($F97=3,$G97=2),IF(OR(AND(IL$4&gt;=$AD$119,$C97=2),AND(IL$4&gt;=$AF$119,$C97=1)),0,IF(IP97&lt;=60,IV97,60/IN$4*IN$7)),IF(AND($F97=2,$G97=1),IV97,0)))))</f>
        <v>0</v>
      </c>
      <c r="IY97" s="57" t="str">
        <f t="shared" si="587"/>
        <v/>
      </c>
      <c r="IZ97" s="57" t="str">
        <f t="shared" si="588"/>
        <v/>
      </c>
      <c r="JA97" s="713">
        <f>'org. Düngung 22'!BT96</f>
        <v>0</v>
      </c>
      <c r="JB97" s="57"/>
      <c r="JC97" s="57"/>
      <c r="JD97" s="57">
        <f t="shared" si="589"/>
        <v>0</v>
      </c>
      <c r="JE97" s="57">
        <f t="shared" si="761"/>
        <v>0</v>
      </c>
      <c r="JF97" s="57">
        <f t="shared" si="762"/>
        <v>0</v>
      </c>
      <c r="JG97" s="57">
        <f t="shared" si="763"/>
        <v>0</v>
      </c>
      <c r="JH97" s="57">
        <f t="shared" si="764"/>
        <v>0</v>
      </c>
      <c r="JI97" s="1029">
        <f t="shared" si="590"/>
        <v>0</v>
      </c>
      <c r="JJ97" s="57">
        <f t="shared" si="591"/>
        <v>0</v>
      </c>
      <c r="JK97" s="171" t="str">
        <f t="shared" si="592"/>
        <v/>
      </c>
      <c r="JL97" s="57">
        <f t="shared" si="765"/>
        <v>0</v>
      </c>
      <c r="JM97" s="57">
        <f>IF(OR(AND(JA$6=1,$L97=0),AND(JA$6=2,$K97=2,$G97=1)),0,IF(AND(JC$9=2,(OR($F97&gt;1,$K97=1,AND($L97=80,OR($N97=1,AND($N97=2,'#BerechnungDBE'!$AL88&gt;0)))))),IF(JA$4&gt;=$AD$126,0,JK97),IF(JC$9=3,IF(OR(JA$4&gt;=$AD$127,AND($G97=1,$J97=2,JA$6=2),AND(JA$6=1,$N97&lt;&gt;1)),0,IF(JE97&lt;=120,JK97,IF(JA$4&lt;$AD$124,IF($F97=1,60/JC$4*JC$6,60/JC$4*JC$7),IF($F97=1,120/JC$4*JC$6,120/JC$4*JC$7)))),IF(OR($F97=3,$G97=2),IF(OR(AND(JA$4&gt;=$AD$119,$C97=2),AND(JA$4&gt;=$AF$119,$C97=1)),0,IF(JE97&lt;=60,JK97,60/JC$4*JC$7)),IF(AND($F97=2,$G97=1),JK97,0)))))</f>
        <v>0</v>
      </c>
      <c r="JN97" s="57" t="str">
        <f t="shared" si="593"/>
        <v/>
      </c>
      <c r="JO97" s="57" t="str">
        <f t="shared" si="594"/>
        <v/>
      </c>
      <c r="JP97" s="713">
        <f>'org. Düngung 22'!BX96</f>
        <v>0</v>
      </c>
      <c r="JQ97" s="57"/>
      <c r="JR97" s="57"/>
      <c r="JS97" s="57">
        <f t="shared" si="595"/>
        <v>0</v>
      </c>
      <c r="JT97" s="57">
        <f t="shared" si="766"/>
        <v>0</v>
      </c>
      <c r="JU97" s="57">
        <f t="shared" si="767"/>
        <v>0</v>
      </c>
      <c r="JV97" s="57">
        <f t="shared" si="768"/>
        <v>0</v>
      </c>
      <c r="JW97" s="57">
        <f t="shared" si="769"/>
        <v>0</v>
      </c>
      <c r="JX97" s="1029">
        <f t="shared" si="596"/>
        <v>0</v>
      </c>
      <c r="JY97" s="57">
        <f t="shared" si="597"/>
        <v>0</v>
      </c>
      <c r="JZ97" s="171" t="str">
        <f t="shared" si="598"/>
        <v/>
      </c>
      <c r="KA97" s="57">
        <f t="shared" si="770"/>
        <v>0</v>
      </c>
      <c r="KB97" s="57">
        <f>IF(OR(AND(JP$6=1,$L97=0),AND(JP$6=2,$K97=2,$G97=1)),0,IF(AND(JR$9=2,(OR($F97&gt;1,$K97=1,AND($L97=80,OR($N97=1,AND($N97=2,'#BerechnungDBE'!$AL88&gt;0)))))),IF(JP$4&gt;=$AD$126,0,JZ97),IF(JR$9=3,IF(OR(JP$4&gt;=$AD$127,AND($G97=1,$J97=2,JP$6=2),AND(JP$6=1,$N97&lt;&gt;1)),0,IF(JT97&lt;=120,JZ97,IF(JP$4&lt;$AD$124,IF($F97=1,60/JR$4*JR$6,60/JR$4*JR$7),IF($F97=1,120/JR$4*JR$6,120/JR$4*JR$7)))),IF(OR($F97=3,$G97=2),IF(OR(AND(JP$4&gt;=$AD$119,$C97=2),AND(JP$4&gt;=$AF$119,$C97=1)),0,IF(JT97&lt;=60,JZ97,60/JR$4*JR$7)),IF(AND($F97=2,$G97=1),JZ97,0)))))</f>
        <v>0</v>
      </c>
      <c r="KC97" s="57" t="str">
        <f t="shared" si="599"/>
        <v/>
      </c>
      <c r="KD97" s="57" t="str">
        <f t="shared" si="600"/>
        <v/>
      </c>
      <c r="KE97" s="713">
        <f>'org. Düngung 22'!CB96</f>
        <v>0</v>
      </c>
      <c r="KF97" s="57"/>
      <c r="KG97" s="57"/>
      <c r="KH97" s="57">
        <f t="shared" si="601"/>
        <v>0</v>
      </c>
      <c r="KI97" s="57">
        <f t="shared" si="771"/>
        <v>0</v>
      </c>
      <c r="KJ97" s="57">
        <f t="shared" si="772"/>
        <v>0</v>
      </c>
      <c r="KK97" s="57">
        <f t="shared" si="773"/>
        <v>0</v>
      </c>
      <c r="KL97" s="57">
        <f t="shared" si="774"/>
        <v>0</v>
      </c>
      <c r="KM97" s="1029">
        <f t="shared" si="602"/>
        <v>0</v>
      </c>
      <c r="KN97" s="57">
        <f t="shared" si="603"/>
        <v>0</v>
      </c>
      <c r="KO97" s="171" t="str">
        <f t="shared" si="604"/>
        <v/>
      </c>
      <c r="KP97" s="57">
        <f t="shared" si="775"/>
        <v>0</v>
      </c>
      <c r="KQ97" s="57">
        <f>IF(OR(AND(KE$6=1,$L97=0),AND(KE$6=2,$K97=2,$G97=1)),0,IF(AND(KG$9=2,(OR($F97&gt;1,$K97=1,AND($L97=80,OR($N97=1,AND($N97=2,'#BerechnungDBE'!$AL88&gt;0)))))),IF(KE$4&gt;=$AD$126,0,KO97),IF(KG$9=3,IF(OR(KE$4&gt;=$AD$127,AND($G97=1,$J97=2,KE$6=2),AND(KE$6=1,$N97&lt;&gt;1)),0,IF(KI97&lt;=120,KO97,IF(KE$4&lt;$AD$124,IF($F97=1,60/KG$4*KG$6,60/KG$4*KG$7),IF($F97=1,120/KG$4*KG$6,120/KG$4*KG$7)))),IF(OR($F97=3,$G97=2),IF(OR(AND(KE$4&gt;=$AD$119,$C97=2),AND(KE$4&gt;=$AF$119,$C97=1)),0,IF(KI97&lt;=60,KO97,60/KG$4*KG$7)),IF(AND($F97=2,$G97=1),KO97,0)))))</f>
        <v>0</v>
      </c>
      <c r="KR97" s="57" t="str">
        <f t="shared" si="605"/>
        <v/>
      </c>
      <c r="KS97" s="57" t="str">
        <f t="shared" si="606"/>
        <v/>
      </c>
      <c r="KT97" s="713">
        <f>'org. Düngung 22'!CF96</f>
        <v>0</v>
      </c>
      <c r="KU97" s="57"/>
      <c r="KV97" s="57"/>
      <c r="KW97" s="57">
        <f t="shared" si="607"/>
        <v>0</v>
      </c>
      <c r="KX97" s="57">
        <f t="shared" si="776"/>
        <v>0</v>
      </c>
      <c r="KY97" s="57">
        <f t="shared" si="777"/>
        <v>0</v>
      </c>
      <c r="KZ97" s="57">
        <f t="shared" si="778"/>
        <v>0</v>
      </c>
      <c r="LA97" s="57">
        <f t="shared" si="779"/>
        <v>0</v>
      </c>
      <c r="LB97" s="1029">
        <f t="shared" si="608"/>
        <v>0</v>
      </c>
      <c r="LC97" s="57">
        <f t="shared" si="609"/>
        <v>0</v>
      </c>
      <c r="LD97" s="171" t="str">
        <f t="shared" si="610"/>
        <v/>
      </c>
      <c r="LE97" s="57">
        <f t="shared" si="780"/>
        <v>0</v>
      </c>
      <c r="LF97" s="57">
        <f>IF(OR(AND(KT$6=1,$L97=0),AND(KT$6=2,$K97=2,$G97=1)),0,IF(AND(KV$9=2,(OR($F97&gt;1,$K97=1,AND($L97=80,OR($N97=1,AND($N97=2,'#BerechnungDBE'!$AL88&gt;0)))))),IF(KT$4&gt;=$AD$126,0,LD97),IF(KV$9=3,IF(OR(KT$4&gt;=$AD$127,AND($G97=1,$J97=2,KT$6=2),AND(KT$6=1,$N97&lt;&gt;1)),0,IF(KX97&lt;=120,LD97,IF(KT$4&lt;$AD$124,IF($F97=1,60/KV$4*KV$6,60/KV$4*KV$7),IF($F97=1,120/KV$4*KV$6,120/KV$4*KV$7)))),IF(OR($F97=3,$G97=2),IF(OR(AND(KT$4&gt;=$AD$119,$C97=2),AND(KT$4&gt;=$AF$119,$C97=1)),0,IF(KX97&lt;=60,LD97,60/KV$4*KV$7)),IF(AND($F97=2,$G97=1),LD97,0)))))</f>
        <v>0</v>
      </c>
      <c r="LG97" s="57" t="str">
        <f t="shared" si="611"/>
        <v/>
      </c>
      <c r="LH97" s="57" t="str">
        <f t="shared" si="612"/>
        <v/>
      </c>
      <c r="LI97" s="713">
        <f>'org. Düngung 22'!CJ96</f>
        <v>0</v>
      </c>
      <c r="LJ97" s="57"/>
      <c r="LK97" s="57"/>
      <c r="LL97" s="57">
        <f t="shared" si="613"/>
        <v>0</v>
      </c>
      <c r="LM97" s="57">
        <f t="shared" si="781"/>
        <v>0</v>
      </c>
      <c r="LN97" s="57">
        <f t="shared" si="782"/>
        <v>0</v>
      </c>
      <c r="LO97" s="57">
        <f t="shared" si="783"/>
        <v>0</v>
      </c>
      <c r="LP97" s="57">
        <f t="shared" si="784"/>
        <v>0</v>
      </c>
      <c r="LQ97" s="1029">
        <f t="shared" si="614"/>
        <v>0</v>
      </c>
      <c r="LR97" s="57">
        <f t="shared" si="615"/>
        <v>0</v>
      </c>
      <c r="LS97" s="171" t="str">
        <f t="shared" si="616"/>
        <v/>
      </c>
      <c r="LT97" s="57">
        <f t="shared" si="785"/>
        <v>0</v>
      </c>
      <c r="LU97" s="57">
        <f>IF(OR(AND(LI$6=1,$L97=0),AND(LI$6=2,$K97=2,$G97=1)),0,IF(AND(LK$9=2,(OR($F97&gt;1,$K97=1,AND($L97=80,OR($N97=1,AND($N97=2,'#BerechnungDBE'!$AL88&gt;0)))))),IF(LI$4&gt;=$AD$126,0,LS97),IF(LK$9=3,IF(OR(LI$4&gt;=$AD$127,AND($G97=1,$J97=2,LI$6=2),AND(LI$6=1,$N97&lt;&gt;1)),0,IF(LM97&lt;=120,LS97,IF(LI$4&lt;$AD$124,IF($F97=1,60/LK$4*LK$6,60/LK$4*LK$7),IF($F97=1,120/LK$4*LK$6,120/LK$4*LK$7)))),IF(OR($F97=3,$G97=2),IF(OR(AND(LI$4&gt;=$AD$119,$C97=2),AND(LI$4&gt;=$AF$119,$C97=1)),0,IF(LM97&lt;=60,LS97,60/LK$4*LK$7)),IF(AND($F97=2,$G97=1),LS97,0)))))</f>
        <v>0</v>
      </c>
      <c r="LV97" s="57" t="str">
        <f t="shared" si="617"/>
        <v/>
      </c>
      <c r="LW97" s="57" t="str">
        <f t="shared" si="618"/>
        <v/>
      </c>
      <c r="LX97" s="713">
        <f>'org. Düngung 22'!CN96</f>
        <v>0</v>
      </c>
      <c r="LY97" s="57"/>
      <c r="LZ97" s="57"/>
      <c r="MA97" s="57">
        <f t="shared" si="619"/>
        <v>0</v>
      </c>
      <c r="MB97" s="57">
        <f t="shared" si="786"/>
        <v>0</v>
      </c>
      <c r="MC97" s="57">
        <f t="shared" si="787"/>
        <v>0</v>
      </c>
      <c r="MD97" s="57">
        <f t="shared" si="788"/>
        <v>0</v>
      </c>
      <c r="ME97" s="57">
        <f t="shared" si="789"/>
        <v>0</v>
      </c>
      <c r="MF97" s="1029">
        <f t="shared" si="620"/>
        <v>0</v>
      </c>
      <c r="MG97" s="57">
        <f t="shared" si="621"/>
        <v>0</v>
      </c>
      <c r="MH97" s="171" t="str">
        <f t="shared" si="622"/>
        <v/>
      </c>
      <c r="MI97" s="57">
        <f t="shared" si="790"/>
        <v>0</v>
      </c>
      <c r="MJ97" s="57">
        <f>IF(OR(AND(LX$6=1,$L97=0),AND(LX$6=2,$K97=2,$G97=1)),0,IF(AND(LZ$9=2,(OR($F97&gt;1,$K97=1,AND($L97=80,OR($N97=1,AND($N97=2,'#BerechnungDBE'!$AL88&gt;0)))))),IF(LX$4&gt;=$AD$126,0,MH97),IF(LZ$9=3,IF(OR(LX$4&gt;=$AD$127,AND($G97=1,$J97=2,LX$6=2),AND(LX$6=1,$N97&lt;&gt;1)),0,IF(MB97&lt;=120,MH97,IF(LX$4&lt;$AD$124,IF($F97=1,60/LZ$4*LZ$6,60/LZ$4*LZ$7),IF($F97=1,120/LZ$4*LZ$6,120/LZ$4*LZ$7)))),IF(OR($F97=3,$G97=2),IF(OR(AND(LX$4&gt;=$AD$119,$C97=2),AND(LX$4&gt;=$AF$119,$C97=1)),0,IF(MB97&lt;=60,MH97,60/LZ$4*LZ$7)),IF(AND($F97=2,$G97=1),MH97,0)))))</f>
        <v>0</v>
      </c>
      <c r="MK97" s="57" t="str">
        <f t="shared" si="623"/>
        <v/>
      </c>
      <c r="ML97" s="57" t="str">
        <f t="shared" si="624"/>
        <v/>
      </c>
      <c r="MM97" s="713">
        <f>'org. Düngung 22'!CR96</f>
        <v>0</v>
      </c>
      <c r="MN97" s="57"/>
      <c r="MO97" s="57"/>
      <c r="MP97" s="57">
        <f t="shared" si="625"/>
        <v>0</v>
      </c>
      <c r="MQ97" s="57">
        <f t="shared" si="791"/>
        <v>0</v>
      </c>
      <c r="MR97" s="57">
        <f t="shared" si="792"/>
        <v>0</v>
      </c>
      <c r="MS97" s="57">
        <f t="shared" si="793"/>
        <v>0</v>
      </c>
      <c r="MT97" s="57">
        <f t="shared" si="794"/>
        <v>0</v>
      </c>
      <c r="MU97" s="1029">
        <f t="shared" si="626"/>
        <v>0</v>
      </c>
      <c r="MV97" s="57">
        <f t="shared" si="627"/>
        <v>0</v>
      </c>
      <c r="MW97" s="171" t="str">
        <f t="shared" si="628"/>
        <v/>
      </c>
      <c r="MX97" s="57">
        <f t="shared" si="795"/>
        <v>0</v>
      </c>
      <c r="MY97" s="57">
        <f>IF(OR(AND(MM$6=1,$L97=0),AND(MM$6=2,$K97=2,$G97=1)),0,IF(AND(MO$9=2,(OR($F97&gt;1,$K97=1,AND($L97=80,OR($N97=1,AND($N97=2,'#BerechnungDBE'!$AL88&gt;0)))))),IF(MM$4&gt;=$AD$126,0,MW97),IF(MO$9=3,IF(OR(MM$4&gt;=$AD$127,AND($G97=1,$J97=2,MM$6=2),AND(MM$6=1,$N97&lt;&gt;1)),0,IF(MQ97&lt;=120,MW97,IF(MM$4&lt;$AD$124,IF($F97=1,60/MO$4*MO$6,60/MO$4*MO$7),IF($F97=1,120/MO$4*MO$6,120/MO$4*MO$7)))),IF(OR($F97=3,$G97=2),IF(OR(AND(MM$4&gt;=$AD$119,$C97=2),AND(MM$4&gt;=$AF$119,$C97=1)),0,IF(MQ97&lt;=60,MW97,60/MO$4*MO$7)),IF(AND($F97=2,$G97=1),MW97,0)))))</f>
        <v>0</v>
      </c>
      <c r="MZ97" s="57" t="str">
        <f t="shared" si="629"/>
        <v/>
      </c>
      <c r="NA97" s="57" t="str">
        <f t="shared" si="630"/>
        <v/>
      </c>
      <c r="NB97" s="713">
        <f>'org. Düngung 22'!CV96</f>
        <v>0</v>
      </c>
      <c r="NC97" s="57"/>
      <c r="ND97" s="57"/>
      <c r="NE97" s="57">
        <f t="shared" si="631"/>
        <v>0</v>
      </c>
      <c r="NF97" s="57">
        <f t="shared" si="796"/>
        <v>0</v>
      </c>
      <c r="NG97" s="57">
        <f t="shared" si="797"/>
        <v>0</v>
      </c>
      <c r="NH97" s="57">
        <f t="shared" si="798"/>
        <v>0</v>
      </c>
      <c r="NI97" s="57">
        <f t="shared" si="799"/>
        <v>0</v>
      </c>
      <c r="NJ97" s="1029">
        <f t="shared" si="632"/>
        <v>0</v>
      </c>
      <c r="NK97" s="57">
        <f t="shared" si="633"/>
        <v>0</v>
      </c>
      <c r="NL97" s="171" t="str">
        <f t="shared" si="634"/>
        <v/>
      </c>
      <c r="NM97" s="57">
        <f t="shared" si="800"/>
        <v>0</v>
      </c>
      <c r="NN97" s="57">
        <f>IF(OR(AND(NB$6=1,$L97=0),AND(NB$6=2,$K97=2,$G97=1)),0,IF(AND(ND$9=2,(OR($F97&gt;1,$K97=1,AND($L97=80,OR($N97=1,AND($N97=2,'#BerechnungDBE'!$AL88&gt;0)))))),IF(NB$4&gt;=$AD$126,0,NL97),IF(ND$9=3,IF(OR(NB$4&gt;=$AD$127,AND($G97=1,$J97=2,NB$6=2),AND(NB$6=1,$N97&lt;&gt;1)),0,IF(NF97&lt;=120,NL97,IF(NB$4&lt;$AD$124,IF($F97=1,60/ND$4*ND$6,60/ND$4*ND$7),IF($F97=1,120/ND$4*ND$6,120/ND$4*ND$7)))),IF(OR($F97=3,$G97=2),IF(OR(AND(NB$4&gt;=$AD$119,$C97=2),AND(NB$4&gt;=$AF$119,$C97=1)),0,IF(NF97&lt;=60,NL97,60/ND$4*ND$7)),IF(AND($F97=2,$G97=1),NL97,0)))))</f>
        <v>0</v>
      </c>
      <c r="NO97" s="57" t="str">
        <f t="shared" si="635"/>
        <v/>
      </c>
      <c r="NP97" s="57" t="str">
        <f t="shared" si="636"/>
        <v/>
      </c>
      <c r="NQ97" s="713">
        <f>'org. Düngung 22'!CZ96</f>
        <v>0</v>
      </c>
      <c r="NR97" s="57"/>
      <c r="NS97" s="57"/>
      <c r="NT97" s="57">
        <f t="shared" si="637"/>
        <v>0</v>
      </c>
      <c r="NU97" s="57">
        <f t="shared" si="801"/>
        <v>0</v>
      </c>
      <c r="NV97" s="57">
        <f t="shared" si="802"/>
        <v>0</v>
      </c>
      <c r="NW97" s="57">
        <f t="shared" si="803"/>
        <v>0</v>
      </c>
      <c r="NX97" s="57">
        <f t="shared" si="804"/>
        <v>0</v>
      </c>
      <c r="NY97" s="1029">
        <f t="shared" si="638"/>
        <v>0</v>
      </c>
      <c r="NZ97" s="57">
        <f t="shared" si="639"/>
        <v>0</v>
      </c>
      <c r="OA97" s="171" t="str">
        <f t="shared" si="640"/>
        <v/>
      </c>
      <c r="OB97" s="57">
        <f t="shared" si="805"/>
        <v>0</v>
      </c>
      <c r="OC97" s="57">
        <f>IF(OR(AND(NQ$6=1,$L97=0),AND(NQ$6=2,$K97=2,$G97=1)),0,IF(AND(NS$9=2,(OR($F97&gt;1,$K97=1,AND($L97=80,OR($N97=1,AND($N97=2,'#BerechnungDBE'!$AL88&gt;0)))))),IF(NQ$4&gt;=$AD$126,0,OA97),IF(NS$9=3,IF(OR(NQ$4&gt;=$AD$127,AND($G97=1,$J97=2,NQ$6=2),AND(NQ$6=1,$N97&lt;&gt;1)),0,IF(NU97&lt;=120,OA97,IF(NQ$4&lt;$AD$124,IF($F97=1,60/NS$4*NS$6,60/NS$4*NS$7),IF($F97=1,120/NS$4*NS$6,120/NS$4*NS$7)))),IF(OR($F97=3,$G97=2),IF(OR(AND(NQ$4&gt;=$AD$119,$C97=2),AND(NQ$4&gt;=$AF$119,$C97=1)),0,IF(NU97&lt;=60,OA97,60/NS$4*NS$7)),IF(AND($F97=2,$G97=1),OA97,0)))))</f>
        <v>0</v>
      </c>
      <c r="OD97" s="57" t="str">
        <f t="shared" si="641"/>
        <v/>
      </c>
      <c r="OE97" s="57" t="str">
        <f t="shared" si="642"/>
        <v/>
      </c>
      <c r="OF97" s="713">
        <f>'org. Düngung 22'!DD96</f>
        <v>0</v>
      </c>
      <c r="OG97" s="57"/>
      <c r="OH97" s="57"/>
      <c r="OI97" s="57">
        <f t="shared" si="643"/>
        <v>0</v>
      </c>
      <c r="OJ97" s="57">
        <f t="shared" si="806"/>
        <v>0</v>
      </c>
      <c r="OK97" s="57">
        <f t="shared" si="807"/>
        <v>0</v>
      </c>
      <c r="OL97" s="57">
        <f t="shared" si="808"/>
        <v>0</v>
      </c>
      <c r="OM97" s="57">
        <f t="shared" si="809"/>
        <v>0</v>
      </c>
      <c r="ON97" s="1029">
        <f t="shared" si="644"/>
        <v>0</v>
      </c>
      <c r="OO97" s="57">
        <f t="shared" si="645"/>
        <v>0</v>
      </c>
      <c r="OP97" s="171" t="str">
        <f t="shared" si="646"/>
        <v/>
      </c>
      <c r="OQ97" s="57">
        <f t="shared" si="810"/>
        <v>0</v>
      </c>
      <c r="OR97" s="57">
        <f>IF(OR(AND(OF$6=1,$L97=0),AND(OF$6=2,$K97=2,$G97=1)),0,IF(AND(OH$9=2,(OR($F97&gt;1,$K97=1,AND($L97=80,OR($N97=1,AND($N97=2,'#BerechnungDBE'!$AL88&gt;0)))))),IF(OF$4&gt;=$AD$126,0,OP97),IF(OH$9=3,IF(OR(OF$4&gt;=$AD$127,AND($G97=1,$J97=2,OF$6=2),AND(OF$6=1,$N97&lt;&gt;1)),0,IF(OJ97&lt;=120,OP97,IF(OF$4&lt;$AD$124,IF($F97=1,60/OH$4*OH$6,60/OH$4*OH$7),IF($F97=1,120/OH$4*OH$6,120/OH$4*OH$7)))),IF(OR($F97=3,$G97=2),IF(OR(AND(OF$4&gt;=$AD$119,$C97=2),AND(OF$4&gt;=$AF$119,$C97=1)),0,IF(OJ97&lt;=60,OP97,60/OH$4*OH$7)),IF(AND($F97=2,$G97=1),OP97,0)))))</f>
        <v>0</v>
      </c>
      <c r="OS97" s="57" t="str">
        <f t="shared" si="647"/>
        <v/>
      </c>
      <c r="OT97" s="57" t="str">
        <f t="shared" si="648"/>
        <v/>
      </c>
      <c r="OU97" s="713">
        <f>'org. Düngung 22'!DH96</f>
        <v>0</v>
      </c>
      <c r="OV97" s="57"/>
      <c r="OW97" s="57"/>
      <c r="OX97" s="57">
        <f t="shared" si="649"/>
        <v>0</v>
      </c>
      <c r="OY97" s="57">
        <f t="shared" si="811"/>
        <v>0</v>
      </c>
      <c r="OZ97" s="57">
        <f t="shared" si="812"/>
        <v>0</v>
      </c>
      <c r="PA97" s="57">
        <f t="shared" si="813"/>
        <v>0</v>
      </c>
      <c r="PB97" s="57">
        <f t="shared" si="814"/>
        <v>0</v>
      </c>
      <c r="PC97" s="1029">
        <f t="shared" si="650"/>
        <v>0</v>
      </c>
      <c r="PD97" s="57">
        <f t="shared" si="651"/>
        <v>0</v>
      </c>
      <c r="PE97" s="171" t="str">
        <f t="shared" si="652"/>
        <v/>
      </c>
      <c r="PF97" s="57">
        <f t="shared" si="815"/>
        <v>0</v>
      </c>
      <c r="PG97" s="57">
        <f>IF(OR(AND(OU$6=1,$L97=0),AND(OU$6=2,$K97=2,$G97=1)),0,IF(AND(OW$9=2,(OR($F97&gt;1,$K97=1,AND($L97=80,OR($N97=1,AND($N97=2,'#BerechnungDBE'!$AL88&gt;0)))))),IF(OU$4&gt;=$AD$126,0,PE97),IF(OW$9=3,IF(OR(OU$4&gt;=$AD$127,AND($G97=1,$J97=2,OU$6=2),AND(OU$6=1,$N97&lt;&gt;1)),0,IF(OY97&lt;=120,PE97,IF(OU$4&lt;$AD$124,IF($F97=1,60/OW$4*OW$6,60/OW$4*OW$7),IF($F97=1,120/OW$4*OW$6,120/OW$4*OW$7)))),IF(OR($F97=3,$G97=2),IF(OR(AND(OU$4&gt;=$AD$119,$C97=2),AND(OU$4&gt;=$AF$119,$C97=1)),0,IF(OY97&lt;=60,PE97,60/OW$4*OW$7)),IF(AND($F97=2,$G97=1),PE97,0)))))</f>
        <v>0</v>
      </c>
      <c r="PH97" s="57" t="str">
        <f t="shared" si="653"/>
        <v/>
      </c>
      <c r="PI97" s="57" t="str">
        <f t="shared" si="654"/>
        <v/>
      </c>
      <c r="PJ97" s="713">
        <f>'org. Düngung 22'!DL96</f>
        <v>0</v>
      </c>
      <c r="PK97" s="57"/>
      <c r="PL97" s="57"/>
      <c r="PM97" s="57">
        <f t="shared" si="655"/>
        <v>0</v>
      </c>
      <c r="PN97" s="57">
        <f t="shared" si="816"/>
        <v>0</v>
      </c>
      <c r="PO97" s="57">
        <f t="shared" si="817"/>
        <v>0</v>
      </c>
      <c r="PP97" s="57">
        <f t="shared" si="818"/>
        <v>0</v>
      </c>
      <c r="PQ97" s="57">
        <f t="shared" si="819"/>
        <v>0</v>
      </c>
      <c r="PR97" s="1029">
        <f t="shared" si="656"/>
        <v>0</v>
      </c>
      <c r="PS97" s="57">
        <f t="shared" si="657"/>
        <v>0</v>
      </c>
      <c r="PT97" s="171" t="str">
        <f t="shared" si="658"/>
        <v/>
      </c>
      <c r="PU97" s="57">
        <f t="shared" si="820"/>
        <v>0</v>
      </c>
      <c r="PV97" s="57">
        <f>IF(OR(AND(PJ$6=1,$L97=0),AND(PJ$6=2,$K97=2,$G97=1)),0,IF(AND(PL$9=2,(OR($F97&gt;1,$K97=1,AND($L97=80,OR($N97=1,AND($N97=2,'#BerechnungDBE'!$AL88&gt;0)))))),IF(PJ$4&gt;=$AD$126,0,PT97),IF(PL$9=3,IF(OR(PJ$4&gt;=$AD$127,AND($G97=1,$J97=2,PJ$6=2),AND(PJ$6=1,$N97&lt;&gt;1)),0,IF(PN97&lt;=120,PT97,IF(PJ$4&lt;$AD$124,IF($F97=1,60/PL$4*PL$6,60/PL$4*PL$7),IF($F97=1,120/PL$4*PL$6,120/PL$4*PL$7)))),IF(OR($F97=3,$G97=2),IF(OR(AND(PJ$4&gt;=$AD$119,$C97=2),AND(PJ$4&gt;=$AF$119,$C97=1)),0,IF(PN97&lt;=60,PT97,60/PL$4*PL$7)),IF(AND($F97=2,$G97=1),PT97,0)))))</f>
        <v>0</v>
      </c>
      <c r="PW97" s="57" t="str">
        <f t="shared" si="659"/>
        <v/>
      </c>
      <c r="PX97" s="57" t="str">
        <f t="shared" si="660"/>
        <v/>
      </c>
      <c r="PY97" s="713">
        <f>'org. Düngung 22'!DP96</f>
        <v>0</v>
      </c>
      <c r="PZ97" s="57"/>
      <c r="QA97" s="57"/>
      <c r="QB97" s="57">
        <f t="shared" si="661"/>
        <v>0</v>
      </c>
      <c r="QC97" s="57">
        <f t="shared" si="821"/>
        <v>0</v>
      </c>
      <c r="QD97" s="57">
        <f t="shared" si="822"/>
        <v>0</v>
      </c>
      <c r="QE97" s="57">
        <f t="shared" si="823"/>
        <v>0</v>
      </c>
      <c r="QF97" s="57">
        <f t="shared" si="824"/>
        <v>0</v>
      </c>
      <c r="QG97" s="1029">
        <f t="shared" si="662"/>
        <v>0</v>
      </c>
      <c r="QH97" s="57">
        <f t="shared" si="663"/>
        <v>0</v>
      </c>
      <c r="QI97" s="171" t="str">
        <f t="shared" si="664"/>
        <v/>
      </c>
      <c r="QJ97" s="57">
        <f t="shared" si="825"/>
        <v>0</v>
      </c>
      <c r="QK97" s="57">
        <f>IF(OR(AND(PY$6=1,$L97=0),AND(PY$6=2,$K97=2,$G97=1)),0,IF(AND(QA$9=2,(OR($F97&gt;1,$K97=1,AND($L97=80,OR($N97=1,AND($N97=2,'#BerechnungDBE'!$AL88&gt;0)))))),IF(PY$4&gt;=$AD$126,0,QI97),IF(QA$9=3,IF(OR(PY$4&gt;=$AD$127,AND($G97=1,$J97=2,PY$6=2),AND(PY$6=1,$N97&lt;&gt;1)),0,IF(QC97&lt;=120,QI97,IF(PY$4&lt;$AD$124,IF($F97=1,60/QA$4*QA$6,60/QA$4*QA$7),IF($F97=1,120/QA$4*QA$6,120/QA$4*QA$7)))),IF(OR($F97=3,$G97=2),IF(OR(AND(PY$4&gt;=$AD$119,$C97=2),AND(PY$4&gt;=$AF$119,$C97=1)),0,IF(QC97&lt;=60,QI97,60/QA$4*QA$7)),IF(AND($F97=2,$G97=1),QI97,0)))))</f>
        <v>0</v>
      </c>
      <c r="QL97" s="57" t="str">
        <f t="shared" si="665"/>
        <v/>
      </c>
      <c r="QM97" s="57" t="str">
        <f t="shared" si="666"/>
        <v/>
      </c>
      <c r="QN97" s="713">
        <f>'org. Düngung 22'!DT96</f>
        <v>0</v>
      </c>
      <c r="QO97" s="57"/>
      <c r="QP97" s="57"/>
      <c r="QQ97" s="57">
        <f t="shared" si="667"/>
        <v>0</v>
      </c>
      <c r="QR97" s="57">
        <f t="shared" si="826"/>
        <v>0</v>
      </c>
      <c r="QS97" s="57">
        <f t="shared" si="827"/>
        <v>0</v>
      </c>
      <c r="QT97" s="57">
        <f t="shared" si="828"/>
        <v>0</v>
      </c>
      <c r="QU97" s="57">
        <f t="shared" si="829"/>
        <v>0</v>
      </c>
      <c r="QV97" s="1029">
        <f t="shared" si="668"/>
        <v>0</v>
      </c>
      <c r="QW97" s="57">
        <f t="shared" si="669"/>
        <v>0</v>
      </c>
      <c r="QX97" s="171" t="str">
        <f t="shared" si="670"/>
        <v/>
      </c>
      <c r="QY97" s="57">
        <f t="shared" si="830"/>
        <v>0</v>
      </c>
      <c r="QZ97" s="57">
        <f>IF(OR(AND(QN$6=1,$L97=0),AND(QN$6=2,$K97=2,$G97=1)),0,IF(AND(QP$9=2,(OR($F97&gt;1,$K97=1,AND($L97=80,OR($N97=1,AND($N97=2,'#BerechnungDBE'!$AL88&gt;0)))))),IF(QN$4&gt;=$AD$126,0,QX97),IF(QP$9=3,IF(OR(QN$4&gt;=$AD$127,AND($G97=1,$J97=2,QN$6=2),AND(QN$6=1,$N97&lt;&gt;1)),0,IF(QR97&lt;=120,QX97,IF(QN$4&lt;$AD$124,IF($F97=1,60/QP$4*QP$6,60/QP$4*QP$7),IF($F97=1,120/QP$4*QP$6,120/QP$4*QP$7)))),IF(OR($F97=3,$G97=2),IF(OR(AND(QN$4&gt;=$AD$119,$C97=2),AND(QN$4&gt;=$AF$119,$C97=1)),0,IF(QR97&lt;=60,QX97,60/QP$4*QP$7)),IF(AND($F97=2,$G97=1),QX97,0)))))</f>
        <v>0</v>
      </c>
      <c r="RA97" s="57" t="str">
        <f t="shared" si="671"/>
        <v/>
      </c>
      <c r="RB97" s="57" t="str">
        <f t="shared" si="672"/>
        <v/>
      </c>
      <c r="RC97" s="713">
        <f>'org. Düngung 22'!DX96</f>
        <v>0</v>
      </c>
      <c r="RD97" s="57"/>
      <c r="RE97" s="57"/>
      <c r="RF97" s="57">
        <f t="shared" si="673"/>
        <v>0</v>
      </c>
      <c r="RG97" s="57">
        <f t="shared" si="831"/>
        <v>0</v>
      </c>
      <c r="RH97" s="57">
        <f t="shared" si="832"/>
        <v>0</v>
      </c>
      <c r="RI97" s="57">
        <f t="shared" si="833"/>
        <v>0</v>
      </c>
      <c r="RJ97" s="57">
        <f t="shared" si="834"/>
        <v>0</v>
      </c>
      <c r="RK97" s="1029">
        <f t="shared" si="674"/>
        <v>0</v>
      </c>
      <c r="RL97" s="57">
        <f t="shared" si="675"/>
        <v>0</v>
      </c>
      <c r="RM97" s="171" t="str">
        <f t="shared" si="676"/>
        <v/>
      </c>
      <c r="RN97" s="57">
        <f t="shared" si="835"/>
        <v>0</v>
      </c>
      <c r="RO97" s="57">
        <f>IF(OR(AND(RC$6=1,$L97=0),AND(RC$6=2,$K97=2,$G97=1)),0,IF(AND(RE$9=2,(OR($F97&gt;1,$K97=1,AND($L97=80,OR($N97=1,AND($N97=2,'#BerechnungDBE'!$AL88&gt;0)))))),IF(RC$4&gt;=$AD$126,0,RM97),IF(RE$9=3,IF(OR(RC$4&gt;=$AD$127,AND($G97=1,$J97=2,RC$6=2),AND(RC$6=1,$N97&lt;&gt;1)),0,IF(RG97&lt;=120,RM97,IF(RC$4&lt;$AD$124,IF($F97=1,60/RE$4*RE$6,60/RE$4*RE$7),IF($F97=1,120/RE$4*RE$6,120/RE$4*RE$7)))),IF(OR($F97=3,$G97=2),IF(OR(AND(RC$4&gt;=$AD$119,$C97=2),AND(RC$4&gt;=$AF$119,$C97=1)),0,IF(RG97&lt;=60,RM97,60/RE$4*RE$7)),IF(AND($F97=2,$G97=1),RM97,0)))))</f>
        <v>0</v>
      </c>
      <c r="RP97" s="57" t="str">
        <f t="shared" si="677"/>
        <v/>
      </c>
      <c r="RQ97" s="57" t="str">
        <f t="shared" si="678"/>
        <v/>
      </c>
      <c r="RS97" s="57" t="str">
        <f t="shared" si="836"/>
        <v/>
      </c>
      <c r="RT97" s="57" t="str">
        <f t="shared" si="679"/>
        <v/>
      </c>
      <c r="RU97" s="57" t="str">
        <f t="shared" si="680"/>
        <v/>
      </c>
      <c r="RV97" s="57" t="str">
        <f>IF(Z97&gt;'#BerechnungDBE'!BM88,$RV$9,"")</f>
        <v/>
      </c>
      <c r="RW97" s="57" t="str">
        <f>IF(AND(L97=70,AE97&gt;'#BerechnungDBE'!CQ88),$RW$9,"")</f>
        <v/>
      </c>
      <c r="RX97" s="57" t="str">
        <f>IF(OR('org. Düngung 22'!G96="--",'org. Düngung 22'!G96&lt;=170,'org. Düngung 22'!G96=""),"",$RX$9)</f>
        <v/>
      </c>
      <c r="RY97" s="57" t="str">
        <f>IF('org. Düngung 22'!K96&gt;120,'#orgDung'!$RY$9,"")</f>
        <v/>
      </c>
      <c r="RZ97" s="57" t="str">
        <f>IF('#BerechnungDBE'!P88&lt;4,"",IF(AND('#BerechnungDBE'!BZ88&gt;0,T97&gt;0),'#orgDung'!$RZ$9,""))</f>
        <v/>
      </c>
      <c r="SA97" s="57" t="str">
        <f t="shared" si="681"/>
        <v/>
      </c>
    </row>
    <row r="98" spans="1:495" s="875" customFormat="1" x14ac:dyDescent="0.2">
      <c r="A98" s="875">
        <f>'Flächen u. Kulturen'!A94</f>
        <v>85</v>
      </c>
      <c r="B98" s="367">
        <f>'#BerechnungDBE'!L89</f>
        <v>0</v>
      </c>
      <c r="C98" s="875">
        <f>'#BerechnungDBE'!R89</f>
        <v>1</v>
      </c>
      <c r="D98" s="875">
        <f>'#BerechnungDBE'!T89</f>
        <v>2</v>
      </c>
      <c r="E98" s="875" t="str">
        <f>'Flächen u. Kulturen'!E94</f>
        <v>x</v>
      </c>
      <c r="F98" s="52">
        <f>'#BerechnungDBE'!N89</f>
        <v>1</v>
      </c>
      <c r="G98" s="52">
        <f>'#BerechnungDBE'!O89</f>
        <v>1</v>
      </c>
      <c r="H98" s="875">
        <f>IF('Flächen u. Kulturen'!P94="",0,VLOOKUP('Flächen u. Kulturen'!P94,Kulturen[[HF]:[Berechnungsgruppe]],'#Frucht'!$H$1,FALSE))</f>
        <v>0</v>
      </c>
      <c r="I98" s="875">
        <f>IF('Flächen u. Kulturen'!J94="",0,VLOOKUP('Flächen u. Kulturen'!J94,Kulturen[[HF]:[Berechnungsgruppe]],'#Frucht'!$G$1,FALSE))</f>
        <v>90</v>
      </c>
      <c r="J98" s="505">
        <f t="shared" si="682"/>
        <v>2</v>
      </c>
      <c r="K98" s="505">
        <f>IF('Flächen u. Kulturen'!P94="",0,IF(VLOOKUP('Flächen u. Kulturen'!P94,Kulturen[[HF]:[Saat Winterungen]],'#Frucht'!$P$1,FALSE)&gt;0,1,2))</f>
        <v>2</v>
      </c>
      <c r="L98" s="875">
        <f>'#BerechnungDBE'!AF89</f>
        <v>0</v>
      </c>
      <c r="M98" s="875">
        <f>IF('Flächen u. Kulturen'!L94="",0,VLOOKUP('Flächen u. Kulturen'!L94,Nebenkultur[[Nebenkultur]:[Legum. Zwischenfr.]],'#Zweitfr'!$K$1,FALSE))</f>
        <v>0</v>
      </c>
      <c r="N98" s="875">
        <f>'#BerechnungDBE'!AG89</f>
        <v>0</v>
      </c>
      <c r="P98" s="57">
        <f t="shared" si="489"/>
        <v>0</v>
      </c>
      <c r="Q98" s="57">
        <f t="shared" si="490"/>
        <v>0</v>
      </c>
      <c r="R98" s="875">
        <f t="shared" si="491"/>
        <v>0</v>
      </c>
      <c r="S98" s="938" t="str">
        <f t="shared" si="683"/>
        <v/>
      </c>
      <c r="T98" s="875">
        <f t="shared" si="492"/>
        <v>0</v>
      </c>
      <c r="U98" s="875">
        <f t="shared" si="493"/>
        <v>0</v>
      </c>
      <c r="V98" s="875">
        <f t="shared" si="494"/>
        <v>0</v>
      </c>
      <c r="W98" s="875">
        <f t="shared" si="495"/>
        <v>0</v>
      </c>
      <c r="X98" s="875">
        <f t="shared" si="496"/>
        <v>0</v>
      </c>
      <c r="Y98" s="875">
        <f t="shared" si="837"/>
        <v>0</v>
      </c>
      <c r="Z98" s="875">
        <f t="shared" si="838"/>
        <v>0</v>
      </c>
      <c r="AA98" s="910">
        <f t="shared" si="497"/>
        <v>0</v>
      </c>
      <c r="AB98" s="57">
        <f t="shared" si="839"/>
        <v>0</v>
      </c>
      <c r="AC98" s="875">
        <f t="shared" si="498"/>
        <v>0</v>
      </c>
      <c r="AD98" s="875">
        <f t="shared" si="499"/>
        <v>0</v>
      </c>
      <c r="AE98" s="875">
        <f t="shared" si="500"/>
        <v>0</v>
      </c>
      <c r="AF98" s="875">
        <f t="shared" si="840"/>
        <v>0</v>
      </c>
      <c r="AG98" s="875">
        <f>'org. Düngung 22'!J97</f>
        <v>0</v>
      </c>
      <c r="AH98" s="875">
        <f>'org. Düngung 22'!K97</f>
        <v>0</v>
      </c>
      <c r="AJ98" s="713">
        <f>'org. Düngung 22'!L97</f>
        <v>0</v>
      </c>
      <c r="AK98" s="57"/>
      <c r="AL98" s="57"/>
      <c r="AM98" s="57">
        <f t="shared" si="684"/>
        <v>0</v>
      </c>
      <c r="AN98" s="57">
        <f t="shared" si="685"/>
        <v>0</v>
      </c>
      <c r="AO98" s="57">
        <f t="shared" si="686"/>
        <v>0</v>
      </c>
      <c r="AP98" s="57">
        <f t="shared" si="687"/>
        <v>0</v>
      </c>
      <c r="AQ98" s="57">
        <f t="shared" si="688"/>
        <v>0</v>
      </c>
      <c r="AR98" s="1029">
        <f t="shared" si="501"/>
        <v>0</v>
      </c>
      <c r="AS98" s="57">
        <f t="shared" si="502"/>
        <v>0</v>
      </c>
      <c r="AT98" s="171" t="str">
        <f t="shared" si="503"/>
        <v/>
      </c>
      <c r="AU98" s="57">
        <f t="shared" si="689"/>
        <v>0</v>
      </c>
      <c r="AV98" s="57">
        <f>IF(OR(AND(AJ$6=1,$L98=0),AND(AJ$6=2,$K98=2,$G98=1)),0,IF(AND(AL$9=2,(OR($F98&gt;1,$K98=1,AND($L98=80,OR($N98=1,AND($N98=2,'#BerechnungDBE'!$AL89&gt;0)))))),IF(AJ$4&gt;=$AD$126,0,AT98),IF(AL$9=3,IF(OR(AJ$4&gt;=$AD$127,AND($G98=1,$J98=2,AJ$6=2),AND(AJ$6=1,$N98&lt;&gt;1)),0,IF(AN98&lt;=120,AT98,IF(AJ$4&lt;$AD$124,IF($F98=1,60/AL$4*AL$6,60/AL$4*AL$7),IF($F98=1,120/AL$4*AL$6,120/AL$4*AL$7)))),IF(OR($F98=3,$G98=2),IF(OR(AND(AJ$4&gt;=$AD$119,$C98=2),AND(AJ$4&gt;=$AF$119,$C98=1)),0,IF(AN98&lt;=60,AT98,60/AL$4*AL$7)),IF(AND($F98=2,$G98=1),AT98,0)))))</f>
        <v>0</v>
      </c>
      <c r="AW98" s="57" t="str">
        <f t="shared" si="690"/>
        <v/>
      </c>
      <c r="AX98" s="57" t="str">
        <f t="shared" si="504"/>
        <v/>
      </c>
      <c r="AY98" s="713">
        <f>'org. Düngung 22'!P97</f>
        <v>0</v>
      </c>
      <c r="AZ98" s="57"/>
      <c r="BA98" s="57"/>
      <c r="BB98" s="57">
        <f t="shared" si="505"/>
        <v>0</v>
      </c>
      <c r="BC98" s="57">
        <f t="shared" si="691"/>
        <v>0</v>
      </c>
      <c r="BD98" s="57">
        <f t="shared" si="692"/>
        <v>0</v>
      </c>
      <c r="BE98" s="57">
        <f t="shared" si="693"/>
        <v>0</v>
      </c>
      <c r="BF98" s="57">
        <f t="shared" si="694"/>
        <v>0</v>
      </c>
      <c r="BG98" s="1029">
        <f t="shared" si="506"/>
        <v>0</v>
      </c>
      <c r="BH98" s="57">
        <f t="shared" si="507"/>
        <v>0</v>
      </c>
      <c r="BI98" s="171" t="str">
        <f t="shared" si="508"/>
        <v/>
      </c>
      <c r="BJ98" s="57">
        <f t="shared" si="695"/>
        <v>0</v>
      </c>
      <c r="BK98" s="57">
        <f>IF(OR(AND(AY$6=1,$L98=0),AND(AY$6=2,$K98=2,$G98=1)),0,IF(AND(BA$9=2,(OR($F98&gt;1,$K98=1,AND($L98=80,OR($N98=1,AND($N98=2,'#BerechnungDBE'!$AL89&gt;0)))))),IF(AY$4&gt;=$AD$126,0,BI98),IF(BA$9=3,IF(OR(AY$4&gt;=$AD$127,AND($G98=1,$J98=2,AY$6=2),AND(AY$6=1,$N98&lt;&gt;1)),0,IF(BC98&lt;=120,BI98,IF(AY$4&lt;$AD$124,IF($F98=1,60/BA$4*BA$6,60/BA$4*BA$7),IF($F98=1,120/BA$4*BA$6,120/BA$4*BA$7)))),IF(OR($F98=3,$G98=2),IF(OR(AND(AY$4&gt;=$AD$119,$C98=2),AND(AY$4&gt;=$AF$119,$C98=1)),0,IF(BC98&lt;=60,BI98,60/BA$4*BA$7)),IF(AND($F98=2,$G98=1),BI98,0)))))</f>
        <v>0</v>
      </c>
      <c r="BL98" s="57" t="str">
        <f t="shared" si="509"/>
        <v/>
      </c>
      <c r="BM98" s="57" t="str">
        <f t="shared" si="510"/>
        <v/>
      </c>
      <c r="BN98" s="713">
        <f>'org. Düngung 22'!T97</f>
        <v>0</v>
      </c>
      <c r="BO98" s="57"/>
      <c r="BP98" s="57"/>
      <c r="BQ98" s="57">
        <f t="shared" si="511"/>
        <v>0</v>
      </c>
      <c r="BR98" s="57">
        <f t="shared" si="696"/>
        <v>0</v>
      </c>
      <c r="BS98" s="57">
        <f t="shared" si="697"/>
        <v>0</v>
      </c>
      <c r="BT98" s="57">
        <f t="shared" si="698"/>
        <v>0</v>
      </c>
      <c r="BU98" s="57">
        <f t="shared" si="699"/>
        <v>0</v>
      </c>
      <c r="BV98" s="1029">
        <f t="shared" si="512"/>
        <v>0</v>
      </c>
      <c r="BW98" s="57">
        <f t="shared" si="513"/>
        <v>0</v>
      </c>
      <c r="BX98" s="171" t="str">
        <f t="shared" si="514"/>
        <v/>
      </c>
      <c r="BY98" s="57">
        <f t="shared" si="700"/>
        <v>0</v>
      </c>
      <c r="BZ98" s="57">
        <f>IF(OR(AND(BN$6=1,$L98=0),AND(BN$6=2,$K98=2,$G98=1)),0,IF(AND(BP$9=2,(OR($F98&gt;1,$K98=1,AND($L98=80,OR($N98=1,AND($N98=2,'#BerechnungDBE'!$AL89&gt;0)))))),IF(BN$4&gt;=$AD$126,0,BX98),IF(BP$9=3,IF(OR(BN$4&gt;=$AD$127,AND($G98=1,$J98=2,BN$6=2),AND(BN$6=1,$N98&lt;&gt;1)),0,IF(BR98&lt;=120,BX98,IF(BN$4&lt;$AD$124,IF($F98=1,60/BP$4*BP$6,60/BP$4*BP$7),IF($F98=1,120/BP$4*BP$6,120/BP$4*BP$7)))),IF(OR($F98=3,$G98=2),IF(OR(AND(BN$4&gt;=$AD$119,$C98=2),AND(BN$4&gt;=$AF$119,$C98=1)),0,IF(BR98&lt;=60,BX98,60/BP$4*BP$7)),IF(AND($F98=2,$G98=1),BX98,0)))))</f>
        <v>0</v>
      </c>
      <c r="CA98" s="57" t="str">
        <f t="shared" si="515"/>
        <v/>
      </c>
      <c r="CB98" s="57" t="str">
        <f t="shared" si="516"/>
        <v/>
      </c>
      <c r="CC98" s="713">
        <f>'org. Düngung 22'!X97</f>
        <v>0</v>
      </c>
      <c r="CD98" s="57"/>
      <c r="CE98" s="57"/>
      <c r="CF98" s="57">
        <f t="shared" si="517"/>
        <v>0</v>
      </c>
      <c r="CG98" s="57">
        <f t="shared" si="701"/>
        <v>0</v>
      </c>
      <c r="CH98" s="57">
        <f t="shared" si="702"/>
        <v>0</v>
      </c>
      <c r="CI98" s="57">
        <f t="shared" si="703"/>
        <v>0</v>
      </c>
      <c r="CJ98" s="57">
        <f t="shared" si="704"/>
        <v>0</v>
      </c>
      <c r="CK98" s="1029">
        <f t="shared" si="518"/>
        <v>0</v>
      </c>
      <c r="CL98" s="57">
        <f t="shared" si="519"/>
        <v>0</v>
      </c>
      <c r="CM98" s="171" t="str">
        <f t="shared" si="520"/>
        <v/>
      </c>
      <c r="CN98" s="57">
        <f t="shared" si="705"/>
        <v>0</v>
      </c>
      <c r="CO98" s="57">
        <f>IF(OR(AND(CC$6=1,$L98=0),AND(CC$6=2,$K98=2,$G98=1)),0,IF(AND(CE$9=2,(OR($F98&gt;1,$K98=1,AND($L98=80,OR($N98=1,AND($N98=2,'#BerechnungDBE'!$AL89&gt;0)))))),IF(CC$4&gt;=$AD$126,0,CM98),IF(CE$9=3,IF(OR(CC$4&gt;=$AD$127,AND($G98=1,$J98=2,CC$6=2),AND(CC$6=1,$N98&lt;&gt;1)),0,IF(CG98&lt;=120,CM98,IF(CC$4&lt;$AD$124,IF($F98=1,60/CE$4*CE$6,60/CE$4*CE$7),IF($F98=1,120/CE$4*CE$6,120/CE$4*CE$7)))),IF(OR($F98=3,$G98=2),IF(OR(AND(CC$4&gt;=$AD$119,$C98=2),AND(CC$4&gt;=$AF$119,$C98=1)),0,IF(CG98&lt;=60,CM98,60/CE$4*CE$7)),IF(AND($F98=2,$G98=1),CM98,0)))))</f>
        <v>0</v>
      </c>
      <c r="CP98" s="57" t="str">
        <f t="shared" si="521"/>
        <v/>
      </c>
      <c r="CQ98" s="57" t="str">
        <f t="shared" si="522"/>
        <v/>
      </c>
      <c r="CR98" s="713">
        <f>'org. Düngung 22'!AB97</f>
        <v>0</v>
      </c>
      <c r="CS98" s="57"/>
      <c r="CT98" s="57"/>
      <c r="CU98" s="57">
        <f t="shared" si="523"/>
        <v>0</v>
      </c>
      <c r="CV98" s="57">
        <f t="shared" si="706"/>
        <v>0</v>
      </c>
      <c r="CW98" s="57">
        <f t="shared" si="707"/>
        <v>0</v>
      </c>
      <c r="CX98" s="57">
        <f t="shared" si="708"/>
        <v>0</v>
      </c>
      <c r="CY98" s="57">
        <f t="shared" si="709"/>
        <v>0</v>
      </c>
      <c r="CZ98" s="1029">
        <f t="shared" si="524"/>
        <v>0</v>
      </c>
      <c r="DA98" s="57">
        <f t="shared" si="525"/>
        <v>0</v>
      </c>
      <c r="DB98" s="171" t="str">
        <f t="shared" si="526"/>
        <v/>
      </c>
      <c r="DC98" s="57">
        <f t="shared" si="710"/>
        <v>0</v>
      </c>
      <c r="DD98" s="57">
        <f>IF(OR(AND(CR$6=1,$L98=0),AND(CR$6=2,$K98=2,$G98=1)),0,IF(AND(CT$9=2,(OR($F98&gt;1,$K98=1,AND($L98=80,OR($N98=1,AND($N98=2,'#BerechnungDBE'!$AL89&gt;0)))))),IF(CR$4&gt;=$AD$126,0,DB98),IF(CT$9=3,IF(OR(CR$4&gt;=$AD$127,AND($G98=1,$J98=2,CR$6=2),AND(CR$6=1,$N98&lt;&gt;1)),0,IF(CV98&lt;=120,DB98,IF(CR$4&lt;$AD$124,IF($F98=1,60/CT$4*CT$6,60/CT$4*CT$7),IF($F98=1,120/CT$4*CT$6,120/CT$4*CT$7)))),IF(OR($F98=3,$G98=2),IF(OR(AND(CR$4&gt;=$AD$119,$C98=2),AND(CR$4&gt;=$AF$119,$C98=1)),0,IF(CV98&lt;=60,DB98,60/CT$4*CT$7)),IF(AND($F98=2,$G98=1),DB98,0)))))</f>
        <v>0</v>
      </c>
      <c r="DE98" s="57" t="str">
        <f t="shared" si="527"/>
        <v/>
      </c>
      <c r="DF98" s="57" t="str">
        <f t="shared" si="528"/>
        <v/>
      </c>
      <c r="DG98" s="713">
        <f>'org. Düngung 22'!AF97</f>
        <v>0</v>
      </c>
      <c r="DH98" s="57"/>
      <c r="DI98" s="57"/>
      <c r="DJ98" s="57">
        <f t="shared" si="529"/>
        <v>0</v>
      </c>
      <c r="DK98" s="57">
        <f t="shared" si="711"/>
        <v>0</v>
      </c>
      <c r="DL98" s="57">
        <f t="shared" si="712"/>
        <v>0</v>
      </c>
      <c r="DM98" s="57">
        <f t="shared" si="713"/>
        <v>0</v>
      </c>
      <c r="DN98" s="57">
        <f t="shared" si="714"/>
        <v>0</v>
      </c>
      <c r="DO98" s="1029">
        <f t="shared" si="530"/>
        <v>0</v>
      </c>
      <c r="DP98" s="57">
        <f t="shared" si="531"/>
        <v>0</v>
      </c>
      <c r="DQ98" s="171" t="str">
        <f t="shared" si="532"/>
        <v/>
      </c>
      <c r="DR98" s="57">
        <f t="shared" si="715"/>
        <v>0</v>
      </c>
      <c r="DS98" s="57">
        <f>IF(OR(AND(DG$6=1,$L98=0),AND(DG$6=2,$K98=2,$G98=1)),0,IF(AND(DI$9=2,(OR($F98&gt;1,$K98=1,AND($L98=80,OR($N98=1,AND($N98=2,'#BerechnungDBE'!$AL89&gt;0)))))),IF(DG$4&gt;=$AD$126,0,DQ98),IF(DI$9=3,IF(OR(DG$4&gt;=$AD$127,AND($G98=1,$J98=2,DG$6=2),AND(DG$6=1,$N98&lt;&gt;1)),0,IF(DK98&lt;=120,DQ98,IF(DG$4&lt;$AD$124,IF($F98=1,60/DI$4*DI$6,60/DI$4*DI$7),IF($F98=1,120/DI$4*DI$6,120/DI$4*DI$7)))),IF(OR($F98=3,$G98=2),IF(OR(AND(DG$4&gt;=$AD$119,$C98=2),AND(DG$4&gt;=$AF$119,$C98=1)),0,IF(DK98&lt;=60,DQ98,60/DI$4*DI$7)),IF(AND($F98=2,$G98=1),DQ98,0)))))</f>
        <v>0</v>
      </c>
      <c r="DT98" s="57" t="str">
        <f t="shared" si="533"/>
        <v/>
      </c>
      <c r="DU98" s="57" t="str">
        <f t="shared" si="534"/>
        <v/>
      </c>
      <c r="DV98" s="713">
        <f>'org. Düngung 22'!AJ97</f>
        <v>0</v>
      </c>
      <c r="DW98" s="57"/>
      <c r="DX98" s="57"/>
      <c r="DY98" s="57">
        <f t="shared" si="535"/>
        <v>0</v>
      </c>
      <c r="DZ98" s="57">
        <f t="shared" si="716"/>
        <v>0</v>
      </c>
      <c r="EA98" s="57">
        <f t="shared" si="717"/>
        <v>0</v>
      </c>
      <c r="EB98" s="57">
        <f t="shared" si="718"/>
        <v>0</v>
      </c>
      <c r="EC98" s="57">
        <f t="shared" si="719"/>
        <v>0</v>
      </c>
      <c r="ED98" s="1029">
        <f t="shared" si="536"/>
        <v>0</v>
      </c>
      <c r="EE98" s="57">
        <f t="shared" si="537"/>
        <v>0</v>
      </c>
      <c r="EF98" s="171" t="str">
        <f t="shared" si="538"/>
        <v/>
      </c>
      <c r="EG98" s="57">
        <f t="shared" si="720"/>
        <v>0</v>
      </c>
      <c r="EH98" s="57">
        <f>IF(OR(AND(DV$6=1,$L98=0),AND(DV$6=2,$K98=2,$G98=1)),0,IF(AND(DX$9=2,(OR($F98&gt;1,$K98=1,AND($L98=80,OR($N98=1,AND($N98=2,'#BerechnungDBE'!$AL89&gt;0)))))),IF(DV$4&gt;=$AD$126,0,EF98),IF(DX$9=3,IF(OR(DV$4&gt;=$AD$127,AND($G98=1,$J98=2,DV$6=2),AND(DV$6=1,$N98&lt;&gt;1)),0,IF(DZ98&lt;=120,EF98,IF(DV$4&lt;$AD$124,IF($F98=1,60/DX$4*DX$6,60/DX$4*DX$7),IF($F98=1,120/DX$4*DX$6,120/DX$4*DX$7)))),IF(OR($F98=3,$G98=2),IF(OR(AND(DV$4&gt;=$AD$119,$C98=2),AND(DV$4&gt;=$AF$119,$C98=1)),0,IF(DZ98&lt;=60,EF98,60/DX$4*DX$7)),IF(AND($F98=2,$G98=1),EF98,0)))))</f>
        <v>0</v>
      </c>
      <c r="EI98" s="57" t="str">
        <f t="shared" si="539"/>
        <v/>
      </c>
      <c r="EJ98" s="57" t="str">
        <f t="shared" si="540"/>
        <v/>
      </c>
      <c r="EK98" s="713">
        <f>'org. Düngung 22'!AN97</f>
        <v>0</v>
      </c>
      <c r="EL98" s="57"/>
      <c r="EM98" s="57"/>
      <c r="EN98" s="57">
        <f t="shared" si="541"/>
        <v>0</v>
      </c>
      <c r="EO98" s="57">
        <f t="shared" si="721"/>
        <v>0</v>
      </c>
      <c r="EP98" s="57">
        <f t="shared" si="722"/>
        <v>0</v>
      </c>
      <c r="EQ98" s="57">
        <f t="shared" si="723"/>
        <v>0</v>
      </c>
      <c r="ER98" s="57">
        <f t="shared" si="724"/>
        <v>0</v>
      </c>
      <c r="ES98" s="1029">
        <f t="shared" si="542"/>
        <v>0</v>
      </c>
      <c r="ET98" s="57">
        <f t="shared" si="543"/>
        <v>0</v>
      </c>
      <c r="EU98" s="171" t="str">
        <f t="shared" si="544"/>
        <v/>
      </c>
      <c r="EV98" s="57">
        <f t="shared" si="725"/>
        <v>0</v>
      </c>
      <c r="EW98" s="57">
        <f>IF(OR(AND(EK$6=1,$L98=0),AND(EK$6=2,$K98=2,$G98=1)),0,IF(AND(EM$9=2,(OR($F98&gt;1,$K98=1,AND($L98=80,OR($N98=1,AND($N98=2,'#BerechnungDBE'!$AL89&gt;0)))))),IF(EK$4&gt;=$AD$126,0,EU98),IF(EM$9=3,IF(OR(EK$4&gt;=$AD$127,AND($G98=1,$J98=2,EK$6=2),AND(EK$6=1,$N98&lt;&gt;1)),0,IF(EO98&lt;=120,EU98,IF(EK$4&lt;$AD$124,IF($F98=1,60/EM$4*EM$6,60/EM$4*EM$7),IF($F98=1,120/EM$4*EM$6,120/EM$4*EM$7)))),IF(OR($F98=3,$G98=2),IF(OR(AND(EK$4&gt;=$AD$119,$C98=2),AND(EK$4&gt;=$AF$119,$C98=1)),0,IF(EO98&lt;=60,EU98,60/EM$4*EM$7)),IF(AND($F98=2,$G98=1),EU98,0)))))</f>
        <v>0</v>
      </c>
      <c r="EX98" s="57" t="str">
        <f t="shared" si="545"/>
        <v/>
      </c>
      <c r="EY98" s="57" t="str">
        <f t="shared" si="546"/>
        <v/>
      </c>
      <c r="EZ98" s="713">
        <f>'org. Düngung 22'!AR97</f>
        <v>0</v>
      </c>
      <c r="FA98" s="57"/>
      <c r="FB98" s="57"/>
      <c r="FC98" s="57">
        <f t="shared" si="547"/>
        <v>0</v>
      </c>
      <c r="FD98" s="57">
        <f t="shared" si="726"/>
        <v>0</v>
      </c>
      <c r="FE98" s="57">
        <f t="shared" si="727"/>
        <v>0</v>
      </c>
      <c r="FF98" s="57">
        <f t="shared" si="728"/>
        <v>0</v>
      </c>
      <c r="FG98" s="57">
        <f t="shared" si="729"/>
        <v>0</v>
      </c>
      <c r="FH98" s="1029">
        <f t="shared" si="548"/>
        <v>0</v>
      </c>
      <c r="FI98" s="57">
        <f t="shared" si="549"/>
        <v>0</v>
      </c>
      <c r="FJ98" s="171" t="str">
        <f t="shared" si="550"/>
        <v/>
      </c>
      <c r="FK98" s="57">
        <f t="shared" si="730"/>
        <v>0</v>
      </c>
      <c r="FL98" s="57">
        <f>IF(OR(AND(EZ$6=1,$L98=0),AND(EZ$6=2,$K98=2,$G98=1)),0,IF(AND(FB$9=2,(OR($F98&gt;1,$K98=1,AND($L98=80,OR($N98=1,AND($N98=2,'#BerechnungDBE'!$AL89&gt;0)))))),IF(EZ$4&gt;=$AD$126,0,FJ98),IF(FB$9=3,IF(OR(EZ$4&gt;=$AD$127,AND($G98=1,$J98=2,EZ$6=2),AND(EZ$6=1,$N98&lt;&gt;1)),0,IF(FD98&lt;=120,FJ98,IF(EZ$4&lt;$AD$124,IF($F98=1,60/FB$4*FB$6,60/FB$4*FB$7),IF($F98=1,120/FB$4*FB$6,120/FB$4*FB$7)))),IF(OR($F98=3,$G98=2),IF(OR(AND(EZ$4&gt;=$AD$119,$C98=2),AND(EZ$4&gt;=$AF$119,$C98=1)),0,IF(FD98&lt;=60,FJ98,60/FB$4*FB$7)),IF(AND($F98=2,$G98=1),FJ98,0)))))</f>
        <v>0</v>
      </c>
      <c r="FM98" s="57" t="str">
        <f t="shared" si="551"/>
        <v/>
      </c>
      <c r="FN98" s="57" t="str">
        <f t="shared" si="552"/>
        <v/>
      </c>
      <c r="FO98" s="713">
        <f>'org. Düngung 22'!AV97</f>
        <v>0</v>
      </c>
      <c r="FP98" s="57"/>
      <c r="FQ98" s="57"/>
      <c r="FR98" s="57">
        <f t="shared" si="553"/>
        <v>0</v>
      </c>
      <c r="FS98" s="57">
        <f t="shared" si="731"/>
        <v>0</v>
      </c>
      <c r="FT98" s="57">
        <f t="shared" si="732"/>
        <v>0</v>
      </c>
      <c r="FU98" s="57">
        <f t="shared" si="733"/>
        <v>0</v>
      </c>
      <c r="FV98" s="57">
        <f t="shared" si="734"/>
        <v>0</v>
      </c>
      <c r="FW98" s="1029">
        <f t="shared" si="554"/>
        <v>0</v>
      </c>
      <c r="FX98" s="57">
        <f t="shared" si="555"/>
        <v>0</v>
      </c>
      <c r="FY98" s="171" t="str">
        <f t="shared" si="556"/>
        <v/>
      </c>
      <c r="FZ98" s="57">
        <f t="shared" si="735"/>
        <v>0</v>
      </c>
      <c r="GA98" s="57">
        <f>IF(OR(AND(FO$6=1,$L98=0),AND(FO$6=2,$K98=2,$G98=1)),0,IF(AND(FQ$9=2,(OR($F98&gt;1,$K98=1,AND($L98=80,OR($N98=1,AND($N98=2,'#BerechnungDBE'!$AL89&gt;0)))))),IF(FO$4&gt;=$AD$126,0,FY98),IF(FQ$9=3,IF(OR(FO$4&gt;=$AD$127,AND($G98=1,$J98=2,FO$6=2),AND(FO$6=1,$N98&lt;&gt;1)),0,IF(FS98&lt;=120,FY98,IF(FO$4&lt;$AD$124,IF($F98=1,60/FQ$4*FQ$6,60/FQ$4*FQ$7),IF($F98=1,120/FQ$4*FQ$6,120/FQ$4*FQ$7)))),IF(OR($F98=3,$G98=2),IF(OR(AND(FO$4&gt;=$AD$119,$C98=2),AND(FO$4&gt;=$AF$119,$C98=1)),0,IF(FS98&lt;=60,FY98,60/FQ$4*FQ$7)),IF(AND($F98=2,$G98=1),FY98,0)))))</f>
        <v>0</v>
      </c>
      <c r="GB98" s="57" t="str">
        <f t="shared" si="557"/>
        <v/>
      </c>
      <c r="GC98" s="57" t="str">
        <f t="shared" si="558"/>
        <v/>
      </c>
      <c r="GD98" s="713">
        <f>'org. Düngung 22'!AZ97</f>
        <v>0</v>
      </c>
      <c r="GE98" s="57"/>
      <c r="GF98" s="57"/>
      <c r="GG98" s="57">
        <f t="shared" si="559"/>
        <v>0</v>
      </c>
      <c r="GH98" s="57">
        <f t="shared" si="736"/>
        <v>0</v>
      </c>
      <c r="GI98" s="57">
        <f t="shared" si="737"/>
        <v>0</v>
      </c>
      <c r="GJ98" s="57">
        <f t="shared" si="738"/>
        <v>0</v>
      </c>
      <c r="GK98" s="57">
        <f t="shared" si="739"/>
        <v>0</v>
      </c>
      <c r="GL98" s="1029">
        <f t="shared" si="560"/>
        <v>0</v>
      </c>
      <c r="GM98" s="57">
        <f t="shared" si="561"/>
        <v>0</v>
      </c>
      <c r="GN98" s="171" t="str">
        <f t="shared" si="562"/>
        <v/>
      </c>
      <c r="GO98" s="57">
        <f t="shared" si="740"/>
        <v>0</v>
      </c>
      <c r="GP98" s="57">
        <f>IF(OR(AND(GD$6=1,$L98=0),AND(GD$6=2,$K98=2,$G98=1)),0,IF(AND(GF$9=2,(OR($F98&gt;1,$K98=1,AND($L98=80,OR($N98=1,AND($N98=2,'#BerechnungDBE'!$AL89&gt;0)))))),IF(GD$4&gt;=$AD$126,0,GN98),IF(GF$9=3,IF(OR(GD$4&gt;=$AD$127,AND($G98=1,$J98=2,GD$6=2),AND(GD$6=1,$N98&lt;&gt;1)),0,IF(GH98&lt;=120,GN98,IF(GD$4&lt;$AD$124,IF($F98=1,60/GF$4*GF$6,60/GF$4*GF$7),IF($F98=1,120/GF$4*GF$6,120/GF$4*GF$7)))),IF(OR($F98=3,$G98=2),IF(OR(AND(GD$4&gt;=$AD$119,$C98=2),AND(GD$4&gt;=$AF$119,$C98=1)),0,IF(GH98&lt;=60,GN98,60/GF$4*GF$7)),IF(AND($F98=2,$G98=1),GN98,0)))))</f>
        <v>0</v>
      </c>
      <c r="GQ98" s="57" t="str">
        <f t="shared" si="563"/>
        <v/>
      </c>
      <c r="GR98" s="57" t="str">
        <f t="shared" si="564"/>
        <v/>
      </c>
      <c r="GS98" s="713">
        <f>'org. Düngung 22'!BD97</f>
        <v>0</v>
      </c>
      <c r="GT98" s="57"/>
      <c r="GU98" s="57"/>
      <c r="GV98" s="57">
        <f t="shared" si="565"/>
        <v>0</v>
      </c>
      <c r="GW98" s="57">
        <f t="shared" si="741"/>
        <v>0</v>
      </c>
      <c r="GX98" s="57">
        <f t="shared" si="742"/>
        <v>0</v>
      </c>
      <c r="GY98" s="57">
        <f t="shared" si="743"/>
        <v>0</v>
      </c>
      <c r="GZ98" s="57">
        <f t="shared" si="744"/>
        <v>0</v>
      </c>
      <c r="HA98" s="1029">
        <f t="shared" si="566"/>
        <v>0</v>
      </c>
      <c r="HB98" s="57">
        <f t="shared" si="567"/>
        <v>0</v>
      </c>
      <c r="HC98" s="171" t="str">
        <f t="shared" si="568"/>
        <v/>
      </c>
      <c r="HD98" s="57">
        <f t="shared" si="745"/>
        <v>0</v>
      </c>
      <c r="HE98" s="57">
        <f>IF(OR(AND(GS$6=1,$L98=0),AND(GS$6=2,$K98=2,$G98=1)),0,IF(AND(GU$9=2,(OR($F98&gt;1,$K98=1,AND($L98=80,OR($N98=1,AND($N98=2,'#BerechnungDBE'!$AL89&gt;0)))))),IF(GS$4&gt;=$AD$126,0,HC98),IF(GU$9=3,IF(OR(GS$4&gt;=$AD$127,AND($G98=1,$J98=2,GS$6=2),AND(GS$6=1,$N98&lt;&gt;1)),0,IF(GW98&lt;=120,HC98,IF(GS$4&lt;$AD$124,IF($F98=1,60/GU$4*GU$6,60/GU$4*GU$7),IF($F98=1,120/GU$4*GU$6,120/GU$4*GU$7)))),IF(OR($F98=3,$G98=2),IF(OR(AND(GS$4&gt;=$AD$119,$C98=2),AND(GS$4&gt;=$AF$119,$C98=1)),0,IF(GW98&lt;=60,HC98,60/GU$4*GU$7)),IF(AND($F98=2,$G98=1),HC98,0)))))</f>
        <v>0</v>
      </c>
      <c r="HF98" s="57" t="str">
        <f t="shared" si="569"/>
        <v/>
      </c>
      <c r="HG98" s="57" t="str">
        <f t="shared" si="570"/>
        <v/>
      </c>
      <c r="HH98" s="713">
        <f>'org. Düngung 22'!BH97</f>
        <v>0</v>
      </c>
      <c r="HI98" s="57"/>
      <c r="HJ98" s="57"/>
      <c r="HK98" s="57">
        <f t="shared" si="571"/>
        <v>0</v>
      </c>
      <c r="HL98" s="57">
        <f t="shared" si="746"/>
        <v>0</v>
      </c>
      <c r="HM98" s="57">
        <f t="shared" si="747"/>
        <v>0</v>
      </c>
      <c r="HN98" s="57">
        <f t="shared" si="748"/>
        <v>0</v>
      </c>
      <c r="HO98" s="57">
        <f t="shared" si="749"/>
        <v>0</v>
      </c>
      <c r="HP98" s="1029">
        <f t="shared" si="572"/>
        <v>0</v>
      </c>
      <c r="HQ98" s="57">
        <f t="shared" si="573"/>
        <v>0</v>
      </c>
      <c r="HR98" s="171" t="str">
        <f t="shared" si="574"/>
        <v/>
      </c>
      <c r="HS98" s="57">
        <f t="shared" si="750"/>
        <v>0</v>
      </c>
      <c r="HT98" s="57">
        <f>IF(OR(AND(HH$6=1,$L98=0),AND(HH$6=2,$K98=2,$G98=1)),0,IF(AND(HJ$9=2,(OR($F98&gt;1,$K98=1,AND($L98=80,OR($N98=1,AND($N98=2,'#BerechnungDBE'!$AL89&gt;0)))))),IF(HH$4&gt;=$AD$126,0,HR98),IF(HJ$9=3,IF(OR(HH$4&gt;=$AD$127,AND($G98=1,$J98=2,HH$6=2),AND(HH$6=1,$N98&lt;&gt;1)),0,IF(HL98&lt;=120,HR98,IF(HH$4&lt;$AD$124,IF($F98=1,60/HJ$4*HJ$6,60/HJ$4*HJ$7),IF($F98=1,120/HJ$4*HJ$6,120/HJ$4*HJ$7)))),IF(OR($F98=3,$G98=2),IF(OR(AND(HH$4&gt;=$AD$119,$C98=2),AND(HH$4&gt;=$AF$119,$C98=1)),0,IF(HL98&lt;=60,HR98,60/HJ$4*HJ$7)),IF(AND($F98=2,$G98=1),HR98,0)))))</f>
        <v>0</v>
      </c>
      <c r="HU98" s="57" t="str">
        <f t="shared" si="575"/>
        <v/>
      </c>
      <c r="HV98" s="57" t="str">
        <f t="shared" si="576"/>
        <v/>
      </c>
      <c r="HW98" s="713">
        <f>'org. Düngung 22'!BL97</f>
        <v>0</v>
      </c>
      <c r="HX98" s="57"/>
      <c r="HY98" s="57"/>
      <c r="HZ98" s="57">
        <f t="shared" si="577"/>
        <v>0</v>
      </c>
      <c r="IA98" s="57">
        <f t="shared" si="751"/>
        <v>0</v>
      </c>
      <c r="IB98" s="57">
        <f t="shared" si="752"/>
        <v>0</v>
      </c>
      <c r="IC98" s="57">
        <f t="shared" si="753"/>
        <v>0</v>
      </c>
      <c r="ID98" s="57">
        <f t="shared" si="754"/>
        <v>0</v>
      </c>
      <c r="IE98" s="1029">
        <f t="shared" si="578"/>
        <v>0</v>
      </c>
      <c r="IF98" s="57">
        <f t="shared" si="579"/>
        <v>0</v>
      </c>
      <c r="IG98" s="171" t="str">
        <f t="shared" si="580"/>
        <v/>
      </c>
      <c r="IH98" s="57">
        <f t="shared" si="755"/>
        <v>0</v>
      </c>
      <c r="II98" s="57">
        <f>IF(OR(AND(HW$6=1,$L98=0),AND(HW$6=2,$K98=2,$G98=1)),0,IF(AND(HY$9=2,(OR($F98&gt;1,$K98=1,AND($L98=80,OR($N98=1,AND($N98=2,'#BerechnungDBE'!$AL89&gt;0)))))),IF(HW$4&gt;=$AD$126,0,IG98),IF(HY$9=3,IF(OR(HW$4&gt;=$AD$127,AND($G98=1,$J98=2,HW$6=2),AND(HW$6=1,$N98&lt;&gt;1)),0,IF(IA98&lt;=120,IG98,IF(HW$4&lt;$AD$124,IF($F98=1,60/HY$4*HY$6,60/HY$4*HY$7),IF($F98=1,120/HY$4*HY$6,120/HY$4*HY$7)))),IF(OR($F98=3,$G98=2),IF(OR(AND(HW$4&gt;=$AD$119,$C98=2),AND(HW$4&gt;=$AF$119,$C98=1)),0,IF(IA98&lt;=60,IG98,60/HY$4*HY$7)),IF(AND($F98=2,$G98=1),IG98,0)))))</f>
        <v>0</v>
      </c>
      <c r="IJ98" s="57" t="str">
        <f t="shared" si="581"/>
        <v/>
      </c>
      <c r="IK98" s="57" t="str">
        <f t="shared" si="582"/>
        <v/>
      </c>
      <c r="IL98" s="713">
        <f>'org. Düngung 22'!BP97</f>
        <v>0</v>
      </c>
      <c r="IM98" s="57"/>
      <c r="IN98" s="57"/>
      <c r="IO98" s="57">
        <f t="shared" si="583"/>
        <v>0</v>
      </c>
      <c r="IP98" s="57">
        <f t="shared" si="756"/>
        <v>0</v>
      </c>
      <c r="IQ98" s="57">
        <f t="shared" si="757"/>
        <v>0</v>
      </c>
      <c r="IR98" s="57">
        <f t="shared" si="758"/>
        <v>0</v>
      </c>
      <c r="IS98" s="57">
        <f t="shared" si="759"/>
        <v>0</v>
      </c>
      <c r="IT98" s="1029">
        <f t="shared" si="584"/>
        <v>0</v>
      </c>
      <c r="IU98" s="57">
        <f t="shared" si="585"/>
        <v>0</v>
      </c>
      <c r="IV98" s="171" t="str">
        <f t="shared" si="586"/>
        <v/>
      </c>
      <c r="IW98" s="57">
        <f t="shared" si="760"/>
        <v>0</v>
      </c>
      <c r="IX98" s="57">
        <f>IF(OR(AND(IL$6=1,$L98=0),AND(IL$6=2,$K98=2,$G98=1)),0,IF(AND(IN$9=2,(OR($F98&gt;1,$K98=1,AND($L98=80,OR($N98=1,AND($N98=2,'#BerechnungDBE'!$AL89&gt;0)))))),IF(IL$4&gt;=$AD$126,0,IV98),IF(IN$9=3,IF(OR(IL$4&gt;=$AD$127,AND($G98=1,$J98=2,IL$6=2),AND(IL$6=1,$N98&lt;&gt;1)),0,IF(IP98&lt;=120,IV98,IF(IL$4&lt;$AD$124,IF($F98=1,60/IN$4*IN$6,60/IN$4*IN$7),IF($F98=1,120/IN$4*IN$6,120/IN$4*IN$7)))),IF(OR($F98=3,$G98=2),IF(OR(AND(IL$4&gt;=$AD$119,$C98=2),AND(IL$4&gt;=$AF$119,$C98=1)),0,IF(IP98&lt;=60,IV98,60/IN$4*IN$7)),IF(AND($F98=2,$G98=1),IV98,0)))))</f>
        <v>0</v>
      </c>
      <c r="IY98" s="57" t="str">
        <f t="shared" si="587"/>
        <v/>
      </c>
      <c r="IZ98" s="57" t="str">
        <f t="shared" si="588"/>
        <v/>
      </c>
      <c r="JA98" s="713">
        <f>'org. Düngung 22'!BT97</f>
        <v>0</v>
      </c>
      <c r="JB98" s="57"/>
      <c r="JC98" s="57"/>
      <c r="JD98" s="57">
        <f t="shared" si="589"/>
        <v>0</v>
      </c>
      <c r="JE98" s="57">
        <f t="shared" si="761"/>
        <v>0</v>
      </c>
      <c r="JF98" s="57">
        <f t="shared" si="762"/>
        <v>0</v>
      </c>
      <c r="JG98" s="57">
        <f t="shared" si="763"/>
        <v>0</v>
      </c>
      <c r="JH98" s="57">
        <f t="shared" si="764"/>
        <v>0</v>
      </c>
      <c r="JI98" s="1029">
        <f t="shared" si="590"/>
        <v>0</v>
      </c>
      <c r="JJ98" s="57">
        <f t="shared" si="591"/>
        <v>0</v>
      </c>
      <c r="JK98" s="171" t="str">
        <f t="shared" si="592"/>
        <v/>
      </c>
      <c r="JL98" s="57">
        <f t="shared" si="765"/>
        <v>0</v>
      </c>
      <c r="JM98" s="57">
        <f>IF(OR(AND(JA$6=1,$L98=0),AND(JA$6=2,$K98=2,$G98=1)),0,IF(AND(JC$9=2,(OR($F98&gt;1,$K98=1,AND($L98=80,OR($N98=1,AND($N98=2,'#BerechnungDBE'!$AL89&gt;0)))))),IF(JA$4&gt;=$AD$126,0,JK98),IF(JC$9=3,IF(OR(JA$4&gt;=$AD$127,AND($G98=1,$J98=2,JA$6=2),AND(JA$6=1,$N98&lt;&gt;1)),0,IF(JE98&lt;=120,JK98,IF(JA$4&lt;$AD$124,IF($F98=1,60/JC$4*JC$6,60/JC$4*JC$7),IF($F98=1,120/JC$4*JC$6,120/JC$4*JC$7)))),IF(OR($F98=3,$G98=2),IF(OR(AND(JA$4&gt;=$AD$119,$C98=2),AND(JA$4&gt;=$AF$119,$C98=1)),0,IF(JE98&lt;=60,JK98,60/JC$4*JC$7)),IF(AND($F98=2,$G98=1),JK98,0)))))</f>
        <v>0</v>
      </c>
      <c r="JN98" s="57" t="str">
        <f t="shared" si="593"/>
        <v/>
      </c>
      <c r="JO98" s="57" t="str">
        <f t="shared" si="594"/>
        <v/>
      </c>
      <c r="JP98" s="713">
        <f>'org. Düngung 22'!BX97</f>
        <v>0</v>
      </c>
      <c r="JQ98" s="57"/>
      <c r="JR98" s="57"/>
      <c r="JS98" s="57">
        <f t="shared" si="595"/>
        <v>0</v>
      </c>
      <c r="JT98" s="57">
        <f t="shared" si="766"/>
        <v>0</v>
      </c>
      <c r="JU98" s="57">
        <f t="shared" si="767"/>
        <v>0</v>
      </c>
      <c r="JV98" s="57">
        <f t="shared" si="768"/>
        <v>0</v>
      </c>
      <c r="JW98" s="57">
        <f t="shared" si="769"/>
        <v>0</v>
      </c>
      <c r="JX98" s="1029">
        <f t="shared" si="596"/>
        <v>0</v>
      </c>
      <c r="JY98" s="57">
        <f t="shared" si="597"/>
        <v>0</v>
      </c>
      <c r="JZ98" s="171" t="str">
        <f t="shared" si="598"/>
        <v/>
      </c>
      <c r="KA98" s="57">
        <f t="shared" si="770"/>
        <v>0</v>
      </c>
      <c r="KB98" s="57">
        <f>IF(OR(AND(JP$6=1,$L98=0),AND(JP$6=2,$K98=2,$G98=1)),0,IF(AND(JR$9=2,(OR($F98&gt;1,$K98=1,AND($L98=80,OR($N98=1,AND($N98=2,'#BerechnungDBE'!$AL89&gt;0)))))),IF(JP$4&gt;=$AD$126,0,JZ98),IF(JR$9=3,IF(OR(JP$4&gt;=$AD$127,AND($G98=1,$J98=2,JP$6=2),AND(JP$6=1,$N98&lt;&gt;1)),0,IF(JT98&lt;=120,JZ98,IF(JP$4&lt;$AD$124,IF($F98=1,60/JR$4*JR$6,60/JR$4*JR$7),IF($F98=1,120/JR$4*JR$6,120/JR$4*JR$7)))),IF(OR($F98=3,$G98=2),IF(OR(AND(JP$4&gt;=$AD$119,$C98=2),AND(JP$4&gt;=$AF$119,$C98=1)),0,IF(JT98&lt;=60,JZ98,60/JR$4*JR$7)),IF(AND($F98=2,$G98=1),JZ98,0)))))</f>
        <v>0</v>
      </c>
      <c r="KC98" s="57" t="str">
        <f t="shared" si="599"/>
        <v/>
      </c>
      <c r="KD98" s="57" t="str">
        <f t="shared" si="600"/>
        <v/>
      </c>
      <c r="KE98" s="713">
        <f>'org. Düngung 22'!CB97</f>
        <v>0</v>
      </c>
      <c r="KF98" s="57"/>
      <c r="KG98" s="57"/>
      <c r="KH98" s="57">
        <f t="shared" si="601"/>
        <v>0</v>
      </c>
      <c r="KI98" s="57">
        <f t="shared" si="771"/>
        <v>0</v>
      </c>
      <c r="KJ98" s="57">
        <f t="shared" si="772"/>
        <v>0</v>
      </c>
      <c r="KK98" s="57">
        <f t="shared" si="773"/>
        <v>0</v>
      </c>
      <c r="KL98" s="57">
        <f t="shared" si="774"/>
        <v>0</v>
      </c>
      <c r="KM98" s="1029">
        <f t="shared" si="602"/>
        <v>0</v>
      </c>
      <c r="KN98" s="57">
        <f t="shared" si="603"/>
        <v>0</v>
      </c>
      <c r="KO98" s="171" t="str">
        <f t="shared" si="604"/>
        <v/>
      </c>
      <c r="KP98" s="57">
        <f t="shared" si="775"/>
        <v>0</v>
      </c>
      <c r="KQ98" s="57">
        <f>IF(OR(AND(KE$6=1,$L98=0),AND(KE$6=2,$K98=2,$G98=1)),0,IF(AND(KG$9=2,(OR($F98&gt;1,$K98=1,AND($L98=80,OR($N98=1,AND($N98=2,'#BerechnungDBE'!$AL89&gt;0)))))),IF(KE$4&gt;=$AD$126,0,KO98),IF(KG$9=3,IF(OR(KE$4&gt;=$AD$127,AND($G98=1,$J98=2,KE$6=2),AND(KE$6=1,$N98&lt;&gt;1)),0,IF(KI98&lt;=120,KO98,IF(KE$4&lt;$AD$124,IF($F98=1,60/KG$4*KG$6,60/KG$4*KG$7),IF($F98=1,120/KG$4*KG$6,120/KG$4*KG$7)))),IF(OR($F98=3,$G98=2),IF(OR(AND(KE$4&gt;=$AD$119,$C98=2),AND(KE$4&gt;=$AF$119,$C98=1)),0,IF(KI98&lt;=60,KO98,60/KG$4*KG$7)),IF(AND($F98=2,$G98=1),KO98,0)))))</f>
        <v>0</v>
      </c>
      <c r="KR98" s="57" t="str">
        <f t="shared" si="605"/>
        <v/>
      </c>
      <c r="KS98" s="57" t="str">
        <f t="shared" si="606"/>
        <v/>
      </c>
      <c r="KT98" s="713">
        <f>'org. Düngung 22'!CF97</f>
        <v>0</v>
      </c>
      <c r="KU98" s="57"/>
      <c r="KV98" s="57"/>
      <c r="KW98" s="57">
        <f t="shared" si="607"/>
        <v>0</v>
      </c>
      <c r="KX98" s="57">
        <f t="shared" si="776"/>
        <v>0</v>
      </c>
      <c r="KY98" s="57">
        <f t="shared" si="777"/>
        <v>0</v>
      </c>
      <c r="KZ98" s="57">
        <f t="shared" si="778"/>
        <v>0</v>
      </c>
      <c r="LA98" s="57">
        <f t="shared" si="779"/>
        <v>0</v>
      </c>
      <c r="LB98" s="1029">
        <f t="shared" si="608"/>
        <v>0</v>
      </c>
      <c r="LC98" s="57">
        <f t="shared" si="609"/>
        <v>0</v>
      </c>
      <c r="LD98" s="171" t="str">
        <f t="shared" si="610"/>
        <v/>
      </c>
      <c r="LE98" s="57">
        <f t="shared" si="780"/>
        <v>0</v>
      </c>
      <c r="LF98" s="57">
        <f>IF(OR(AND(KT$6=1,$L98=0),AND(KT$6=2,$K98=2,$G98=1)),0,IF(AND(KV$9=2,(OR($F98&gt;1,$K98=1,AND($L98=80,OR($N98=1,AND($N98=2,'#BerechnungDBE'!$AL89&gt;0)))))),IF(KT$4&gt;=$AD$126,0,LD98),IF(KV$9=3,IF(OR(KT$4&gt;=$AD$127,AND($G98=1,$J98=2,KT$6=2),AND(KT$6=1,$N98&lt;&gt;1)),0,IF(KX98&lt;=120,LD98,IF(KT$4&lt;$AD$124,IF($F98=1,60/KV$4*KV$6,60/KV$4*KV$7),IF($F98=1,120/KV$4*KV$6,120/KV$4*KV$7)))),IF(OR($F98=3,$G98=2),IF(OR(AND(KT$4&gt;=$AD$119,$C98=2),AND(KT$4&gt;=$AF$119,$C98=1)),0,IF(KX98&lt;=60,LD98,60/KV$4*KV$7)),IF(AND($F98=2,$G98=1),LD98,0)))))</f>
        <v>0</v>
      </c>
      <c r="LG98" s="57" t="str">
        <f t="shared" si="611"/>
        <v/>
      </c>
      <c r="LH98" s="57" t="str">
        <f t="shared" si="612"/>
        <v/>
      </c>
      <c r="LI98" s="713">
        <f>'org. Düngung 22'!CJ97</f>
        <v>0</v>
      </c>
      <c r="LJ98" s="57"/>
      <c r="LK98" s="57"/>
      <c r="LL98" s="57">
        <f t="shared" si="613"/>
        <v>0</v>
      </c>
      <c r="LM98" s="57">
        <f t="shared" si="781"/>
        <v>0</v>
      </c>
      <c r="LN98" s="57">
        <f t="shared" si="782"/>
        <v>0</v>
      </c>
      <c r="LO98" s="57">
        <f t="shared" si="783"/>
        <v>0</v>
      </c>
      <c r="LP98" s="57">
        <f t="shared" si="784"/>
        <v>0</v>
      </c>
      <c r="LQ98" s="1029">
        <f t="shared" si="614"/>
        <v>0</v>
      </c>
      <c r="LR98" s="57">
        <f t="shared" si="615"/>
        <v>0</v>
      </c>
      <c r="LS98" s="171" t="str">
        <f t="shared" si="616"/>
        <v/>
      </c>
      <c r="LT98" s="57">
        <f t="shared" si="785"/>
        <v>0</v>
      </c>
      <c r="LU98" s="57">
        <f>IF(OR(AND(LI$6=1,$L98=0),AND(LI$6=2,$K98=2,$G98=1)),0,IF(AND(LK$9=2,(OR($F98&gt;1,$K98=1,AND($L98=80,OR($N98=1,AND($N98=2,'#BerechnungDBE'!$AL89&gt;0)))))),IF(LI$4&gt;=$AD$126,0,LS98),IF(LK$9=3,IF(OR(LI$4&gt;=$AD$127,AND($G98=1,$J98=2,LI$6=2),AND(LI$6=1,$N98&lt;&gt;1)),0,IF(LM98&lt;=120,LS98,IF(LI$4&lt;$AD$124,IF($F98=1,60/LK$4*LK$6,60/LK$4*LK$7),IF($F98=1,120/LK$4*LK$6,120/LK$4*LK$7)))),IF(OR($F98=3,$G98=2),IF(OR(AND(LI$4&gt;=$AD$119,$C98=2),AND(LI$4&gt;=$AF$119,$C98=1)),0,IF(LM98&lt;=60,LS98,60/LK$4*LK$7)),IF(AND($F98=2,$G98=1),LS98,0)))))</f>
        <v>0</v>
      </c>
      <c r="LV98" s="57" t="str">
        <f t="shared" si="617"/>
        <v/>
      </c>
      <c r="LW98" s="57" t="str">
        <f t="shared" si="618"/>
        <v/>
      </c>
      <c r="LX98" s="713">
        <f>'org. Düngung 22'!CN97</f>
        <v>0</v>
      </c>
      <c r="LY98" s="57"/>
      <c r="LZ98" s="57"/>
      <c r="MA98" s="57">
        <f t="shared" si="619"/>
        <v>0</v>
      </c>
      <c r="MB98" s="57">
        <f t="shared" si="786"/>
        <v>0</v>
      </c>
      <c r="MC98" s="57">
        <f t="shared" si="787"/>
        <v>0</v>
      </c>
      <c r="MD98" s="57">
        <f t="shared" si="788"/>
        <v>0</v>
      </c>
      <c r="ME98" s="57">
        <f t="shared" si="789"/>
        <v>0</v>
      </c>
      <c r="MF98" s="1029">
        <f t="shared" si="620"/>
        <v>0</v>
      </c>
      <c r="MG98" s="57">
        <f t="shared" si="621"/>
        <v>0</v>
      </c>
      <c r="MH98" s="171" t="str">
        <f t="shared" si="622"/>
        <v/>
      </c>
      <c r="MI98" s="57">
        <f t="shared" si="790"/>
        <v>0</v>
      </c>
      <c r="MJ98" s="57">
        <f>IF(OR(AND(LX$6=1,$L98=0),AND(LX$6=2,$K98=2,$G98=1)),0,IF(AND(LZ$9=2,(OR($F98&gt;1,$K98=1,AND($L98=80,OR($N98=1,AND($N98=2,'#BerechnungDBE'!$AL89&gt;0)))))),IF(LX$4&gt;=$AD$126,0,MH98),IF(LZ$9=3,IF(OR(LX$4&gt;=$AD$127,AND($G98=1,$J98=2,LX$6=2),AND(LX$6=1,$N98&lt;&gt;1)),0,IF(MB98&lt;=120,MH98,IF(LX$4&lt;$AD$124,IF($F98=1,60/LZ$4*LZ$6,60/LZ$4*LZ$7),IF($F98=1,120/LZ$4*LZ$6,120/LZ$4*LZ$7)))),IF(OR($F98=3,$G98=2),IF(OR(AND(LX$4&gt;=$AD$119,$C98=2),AND(LX$4&gt;=$AF$119,$C98=1)),0,IF(MB98&lt;=60,MH98,60/LZ$4*LZ$7)),IF(AND($F98=2,$G98=1),MH98,0)))))</f>
        <v>0</v>
      </c>
      <c r="MK98" s="57" t="str">
        <f t="shared" si="623"/>
        <v/>
      </c>
      <c r="ML98" s="57" t="str">
        <f t="shared" si="624"/>
        <v/>
      </c>
      <c r="MM98" s="713">
        <f>'org. Düngung 22'!CR97</f>
        <v>0</v>
      </c>
      <c r="MN98" s="57"/>
      <c r="MO98" s="57"/>
      <c r="MP98" s="57">
        <f t="shared" si="625"/>
        <v>0</v>
      </c>
      <c r="MQ98" s="57">
        <f t="shared" si="791"/>
        <v>0</v>
      </c>
      <c r="MR98" s="57">
        <f t="shared" si="792"/>
        <v>0</v>
      </c>
      <c r="MS98" s="57">
        <f t="shared" si="793"/>
        <v>0</v>
      </c>
      <c r="MT98" s="57">
        <f t="shared" si="794"/>
        <v>0</v>
      </c>
      <c r="MU98" s="1029">
        <f t="shared" si="626"/>
        <v>0</v>
      </c>
      <c r="MV98" s="57">
        <f t="shared" si="627"/>
        <v>0</v>
      </c>
      <c r="MW98" s="171" t="str">
        <f t="shared" si="628"/>
        <v/>
      </c>
      <c r="MX98" s="57">
        <f t="shared" si="795"/>
        <v>0</v>
      </c>
      <c r="MY98" s="57">
        <f>IF(OR(AND(MM$6=1,$L98=0),AND(MM$6=2,$K98=2,$G98=1)),0,IF(AND(MO$9=2,(OR($F98&gt;1,$K98=1,AND($L98=80,OR($N98=1,AND($N98=2,'#BerechnungDBE'!$AL89&gt;0)))))),IF(MM$4&gt;=$AD$126,0,MW98),IF(MO$9=3,IF(OR(MM$4&gt;=$AD$127,AND($G98=1,$J98=2,MM$6=2),AND(MM$6=1,$N98&lt;&gt;1)),0,IF(MQ98&lt;=120,MW98,IF(MM$4&lt;$AD$124,IF($F98=1,60/MO$4*MO$6,60/MO$4*MO$7),IF($F98=1,120/MO$4*MO$6,120/MO$4*MO$7)))),IF(OR($F98=3,$G98=2),IF(OR(AND(MM$4&gt;=$AD$119,$C98=2),AND(MM$4&gt;=$AF$119,$C98=1)),0,IF(MQ98&lt;=60,MW98,60/MO$4*MO$7)),IF(AND($F98=2,$G98=1),MW98,0)))))</f>
        <v>0</v>
      </c>
      <c r="MZ98" s="57" t="str">
        <f t="shared" si="629"/>
        <v/>
      </c>
      <c r="NA98" s="57" t="str">
        <f t="shared" si="630"/>
        <v/>
      </c>
      <c r="NB98" s="713">
        <f>'org. Düngung 22'!CV97</f>
        <v>0</v>
      </c>
      <c r="NC98" s="57"/>
      <c r="ND98" s="57"/>
      <c r="NE98" s="57">
        <f t="shared" si="631"/>
        <v>0</v>
      </c>
      <c r="NF98" s="57">
        <f t="shared" si="796"/>
        <v>0</v>
      </c>
      <c r="NG98" s="57">
        <f t="shared" si="797"/>
        <v>0</v>
      </c>
      <c r="NH98" s="57">
        <f t="shared" si="798"/>
        <v>0</v>
      </c>
      <c r="NI98" s="57">
        <f t="shared" si="799"/>
        <v>0</v>
      </c>
      <c r="NJ98" s="1029">
        <f t="shared" si="632"/>
        <v>0</v>
      </c>
      <c r="NK98" s="57">
        <f t="shared" si="633"/>
        <v>0</v>
      </c>
      <c r="NL98" s="171" t="str">
        <f t="shared" si="634"/>
        <v/>
      </c>
      <c r="NM98" s="57">
        <f t="shared" si="800"/>
        <v>0</v>
      </c>
      <c r="NN98" s="57">
        <f>IF(OR(AND(NB$6=1,$L98=0),AND(NB$6=2,$K98=2,$G98=1)),0,IF(AND(ND$9=2,(OR($F98&gt;1,$K98=1,AND($L98=80,OR($N98=1,AND($N98=2,'#BerechnungDBE'!$AL89&gt;0)))))),IF(NB$4&gt;=$AD$126,0,NL98),IF(ND$9=3,IF(OR(NB$4&gt;=$AD$127,AND($G98=1,$J98=2,NB$6=2),AND(NB$6=1,$N98&lt;&gt;1)),0,IF(NF98&lt;=120,NL98,IF(NB$4&lt;$AD$124,IF($F98=1,60/ND$4*ND$6,60/ND$4*ND$7),IF($F98=1,120/ND$4*ND$6,120/ND$4*ND$7)))),IF(OR($F98=3,$G98=2),IF(OR(AND(NB$4&gt;=$AD$119,$C98=2),AND(NB$4&gt;=$AF$119,$C98=1)),0,IF(NF98&lt;=60,NL98,60/ND$4*ND$7)),IF(AND($F98=2,$G98=1),NL98,0)))))</f>
        <v>0</v>
      </c>
      <c r="NO98" s="57" t="str">
        <f t="shared" si="635"/>
        <v/>
      </c>
      <c r="NP98" s="57" t="str">
        <f t="shared" si="636"/>
        <v/>
      </c>
      <c r="NQ98" s="713">
        <f>'org. Düngung 22'!CZ97</f>
        <v>0</v>
      </c>
      <c r="NR98" s="57"/>
      <c r="NS98" s="57"/>
      <c r="NT98" s="57">
        <f t="shared" si="637"/>
        <v>0</v>
      </c>
      <c r="NU98" s="57">
        <f t="shared" si="801"/>
        <v>0</v>
      </c>
      <c r="NV98" s="57">
        <f t="shared" si="802"/>
        <v>0</v>
      </c>
      <c r="NW98" s="57">
        <f t="shared" si="803"/>
        <v>0</v>
      </c>
      <c r="NX98" s="57">
        <f t="shared" si="804"/>
        <v>0</v>
      </c>
      <c r="NY98" s="1029">
        <f t="shared" si="638"/>
        <v>0</v>
      </c>
      <c r="NZ98" s="57">
        <f t="shared" si="639"/>
        <v>0</v>
      </c>
      <c r="OA98" s="171" t="str">
        <f t="shared" si="640"/>
        <v/>
      </c>
      <c r="OB98" s="57">
        <f t="shared" si="805"/>
        <v>0</v>
      </c>
      <c r="OC98" s="57">
        <f>IF(OR(AND(NQ$6=1,$L98=0),AND(NQ$6=2,$K98=2,$G98=1)),0,IF(AND(NS$9=2,(OR($F98&gt;1,$K98=1,AND($L98=80,OR($N98=1,AND($N98=2,'#BerechnungDBE'!$AL89&gt;0)))))),IF(NQ$4&gt;=$AD$126,0,OA98),IF(NS$9=3,IF(OR(NQ$4&gt;=$AD$127,AND($G98=1,$J98=2,NQ$6=2),AND(NQ$6=1,$N98&lt;&gt;1)),0,IF(NU98&lt;=120,OA98,IF(NQ$4&lt;$AD$124,IF($F98=1,60/NS$4*NS$6,60/NS$4*NS$7),IF($F98=1,120/NS$4*NS$6,120/NS$4*NS$7)))),IF(OR($F98=3,$G98=2),IF(OR(AND(NQ$4&gt;=$AD$119,$C98=2),AND(NQ$4&gt;=$AF$119,$C98=1)),0,IF(NU98&lt;=60,OA98,60/NS$4*NS$7)),IF(AND($F98=2,$G98=1),OA98,0)))))</f>
        <v>0</v>
      </c>
      <c r="OD98" s="57" t="str">
        <f t="shared" si="641"/>
        <v/>
      </c>
      <c r="OE98" s="57" t="str">
        <f t="shared" si="642"/>
        <v/>
      </c>
      <c r="OF98" s="713">
        <f>'org. Düngung 22'!DD97</f>
        <v>0</v>
      </c>
      <c r="OG98" s="57"/>
      <c r="OH98" s="57"/>
      <c r="OI98" s="57">
        <f t="shared" si="643"/>
        <v>0</v>
      </c>
      <c r="OJ98" s="57">
        <f t="shared" si="806"/>
        <v>0</v>
      </c>
      <c r="OK98" s="57">
        <f t="shared" si="807"/>
        <v>0</v>
      </c>
      <c r="OL98" s="57">
        <f t="shared" si="808"/>
        <v>0</v>
      </c>
      <c r="OM98" s="57">
        <f t="shared" si="809"/>
        <v>0</v>
      </c>
      <c r="ON98" s="1029">
        <f t="shared" si="644"/>
        <v>0</v>
      </c>
      <c r="OO98" s="57">
        <f t="shared" si="645"/>
        <v>0</v>
      </c>
      <c r="OP98" s="171" t="str">
        <f t="shared" si="646"/>
        <v/>
      </c>
      <c r="OQ98" s="57">
        <f t="shared" si="810"/>
        <v>0</v>
      </c>
      <c r="OR98" s="57">
        <f>IF(OR(AND(OF$6=1,$L98=0),AND(OF$6=2,$K98=2,$G98=1)),0,IF(AND(OH$9=2,(OR($F98&gt;1,$K98=1,AND($L98=80,OR($N98=1,AND($N98=2,'#BerechnungDBE'!$AL89&gt;0)))))),IF(OF$4&gt;=$AD$126,0,OP98),IF(OH$9=3,IF(OR(OF$4&gt;=$AD$127,AND($G98=1,$J98=2,OF$6=2),AND(OF$6=1,$N98&lt;&gt;1)),0,IF(OJ98&lt;=120,OP98,IF(OF$4&lt;$AD$124,IF($F98=1,60/OH$4*OH$6,60/OH$4*OH$7),IF($F98=1,120/OH$4*OH$6,120/OH$4*OH$7)))),IF(OR($F98=3,$G98=2),IF(OR(AND(OF$4&gt;=$AD$119,$C98=2),AND(OF$4&gt;=$AF$119,$C98=1)),0,IF(OJ98&lt;=60,OP98,60/OH$4*OH$7)),IF(AND($F98=2,$G98=1),OP98,0)))))</f>
        <v>0</v>
      </c>
      <c r="OS98" s="57" t="str">
        <f t="shared" si="647"/>
        <v/>
      </c>
      <c r="OT98" s="57" t="str">
        <f t="shared" si="648"/>
        <v/>
      </c>
      <c r="OU98" s="713">
        <f>'org. Düngung 22'!DH97</f>
        <v>0</v>
      </c>
      <c r="OV98" s="57"/>
      <c r="OW98" s="57"/>
      <c r="OX98" s="57">
        <f t="shared" si="649"/>
        <v>0</v>
      </c>
      <c r="OY98" s="57">
        <f t="shared" si="811"/>
        <v>0</v>
      </c>
      <c r="OZ98" s="57">
        <f t="shared" si="812"/>
        <v>0</v>
      </c>
      <c r="PA98" s="57">
        <f t="shared" si="813"/>
        <v>0</v>
      </c>
      <c r="PB98" s="57">
        <f t="shared" si="814"/>
        <v>0</v>
      </c>
      <c r="PC98" s="1029">
        <f t="shared" si="650"/>
        <v>0</v>
      </c>
      <c r="PD98" s="57">
        <f t="shared" si="651"/>
        <v>0</v>
      </c>
      <c r="PE98" s="171" t="str">
        <f t="shared" si="652"/>
        <v/>
      </c>
      <c r="PF98" s="57">
        <f t="shared" si="815"/>
        <v>0</v>
      </c>
      <c r="PG98" s="57">
        <f>IF(OR(AND(OU$6=1,$L98=0),AND(OU$6=2,$K98=2,$G98=1)),0,IF(AND(OW$9=2,(OR($F98&gt;1,$K98=1,AND($L98=80,OR($N98=1,AND($N98=2,'#BerechnungDBE'!$AL89&gt;0)))))),IF(OU$4&gt;=$AD$126,0,PE98),IF(OW$9=3,IF(OR(OU$4&gt;=$AD$127,AND($G98=1,$J98=2,OU$6=2),AND(OU$6=1,$N98&lt;&gt;1)),0,IF(OY98&lt;=120,PE98,IF(OU$4&lt;$AD$124,IF($F98=1,60/OW$4*OW$6,60/OW$4*OW$7),IF($F98=1,120/OW$4*OW$6,120/OW$4*OW$7)))),IF(OR($F98=3,$G98=2),IF(OR(AND(OU$4&gt;=$AD$119,$C98=2),AND(OU$4&gt;=$AF$119,$C98=1)),0,IF(OY98&lt;=60,PE98,60/OW$4*OW$7)),IF(AND($F98=2,$G98=1),PE98,0)))))</f>
        <v>0</v>
      </c>
      <c r="PH98" s="57" t="str">
        <f t="shared" si="653"/>
        <v/>
      </c>
      <c r="PI98" s="57" t="str">
        <f t="shared" si="654"/>
        <v/>
      </c>
      <c r="PJ98" s="713">
        <f>'org. Düngung 22'!DL97</f>
        <v>0</v>
      </c>
      <c r="PK98" s="57"/>
      <c r="PL98" s="57"/>
      <c r="PM98" s="57">
        <f t="shared" si="655"/>
        <v>0</v>
      </c>
      <c r="PN98" s="57">
        <f t="shared" si="816"/>
        <v>0</v>
      </c>
      <c r="PO98" s="57">
        <f t="shared" si="817"/>
        <v>0</v>
      </c>
      <c r="PP98" s="57">
        <f t="shared" si="818"/>
        <v>0</v>
      </c>
      <c r="PQ98" s="57">
        <f t="shared" si="819"/>
        <v>0</v>
      </c>
      <c r="PR98" s="1029">
        <f t="shared" si="656"/>
        <v>0</v>
      </c>
      <c r="PS98" s="57">
        <f t="shared" si="657"/>
        <v>0</v>
      </c>
      <c r="PT98" s="171" t="str">
        <f t="shared" si="658"/>
        <v/>
      </c>
      <c r="PU98" s="57">
        <f t="shared" si="820"/>
        <v>0</v>
      </c>
      <c r="PV98" s="57">
        <f>IF(OR(AND(PJ$6=1,$L98=0),AND(PJ$6=2,$K98=2,$G98=1)),0,IF(AND(PL$9=2,(OR($F98&gt;1,$K98=1,AND($L98=80,OR($N98=1,AND($N98=2,'#BerechnungDBE'!$AL89&gt;0)))))),IF(PJ$4&gt;=$AD$126,0,PT98),IF(PL$9=3,IF(OR(PJ$4&gt;=$AD$127,AND($G98=1,$J98=2,PJ$6=2),AND(PJ$6=1,$N98&lt;&gt;1)),0,IF(PN98&lt;=120,PT98,IF(PJ$4&lt;$AD$124,IF($F98=1,60/PL$4*PL$6,60/PL$4*PL$7),IF($F98=1,120/PL$4*PL$6,120/PL$4*PL$7)))),IF(OR($F98=3,$G98=2),IF(OR(AND(PJ$4&gt;=$AD$119,$C98=2),AND(PJ$4&gt;=$AF$119,$C98=1)),0,IF(PN98&lt;=60,PT98,60/PL$4*PL$7)),IF(AND($F98=2,$G98=1),PT98,0)))))</f>
        <v>0</v>
      </c>
      <c r="PW98" s="57" t="str">
        <f t="shared" si="659"/>
        <v/>
      </c>
      <c r="PX98" s="57" t="str">
        <f t="shared" si="660"/>
        <v/>
      </c>
      <c r="PY98" s="713">
        <f>'org. Düngung 22'!DP97</f>
        <v>0</v>
      </c>
      <c r="PZ98" s="57"/>
      <c r="QA98" s="57"/>
      <c r="QB98" s="57">
        <f t="shared" si="661"/>
        <v>0</v>
      </c>
      <c r="QC98" s="57">
        <f t="shared" si="821"/>
        <v>0</v>
      </c>
      <c r="QD98" s="57">
        <f t="shared" si="822"/>
        <v>0</v>
      </c>
      <c r="QE98" s="57">
        <f t="shared" si="823"/>
        <v>0</v>
      </c>
      <c r="QF98" s="57">
        <f t="shared" si="824"/>
        <v>0</v>
      </c>
      <c r="QG98" s="1029">
        <f t="shared" si="662"/>
        <v>0</v>
      </c>
      <c r="QH98" s="57">
        <f t="shared" si="663"/>
        <v>0</v>
      </c>
      <c r="QI98" s="171" t="str">
        <f t="shared" si="664"/>
        <v/>
      </c>
      <c r="QJ98" s="57">
        <f t="shared" si="825"/>
        <v>0</v>
      </c>
      <c r="QK98" s="57">
        <f>IF(OR(AND(PY$6=1,$L98=0),AND(PY$6=2,$K98=2,$G98=1)),0,IF(AND(QA$9=2,(OR($F98&gt;1,$K98=1,AND($L98=80,OR($N98=1,AND($N98=2,'#BerechnungDBE'!$AL89&gt;0)))))),IF(PY$4&gt;=$AD$126,0,QI98),IF(QA$9=3,IF(OR(PY$4&gt;=$AD$127,AND($G98=1,$J98=2,PY$6=2),AND(PY$6=1,$N98&lt;&gt;1)),0,IF(QC98&lt;=120,QI98,IF(PY$4&lt;$AD$124,IF($F98=1,60/QA$4*QA$6,60/QA$4*QA$7),IF($F98=1,120/QA$4*QA$6,120/QA$4*QA$7)))),IF(OR($F98=3,$G98=2),IF(OR(AND(PY$4&gt;=$AD$119,$C98=2),AND(PY$4&gt;=$AF$119,$C98=1)),0,IF(QC98&lt;=60,QI98,60/QA$4*QA$7)),IF(AND($F98=2,$G98=1),QI98,0)))))</f>
        <v>0</v>
      </c>
      <c r="QL98" s="57" t="str">
        <f t="shared" si="665"/>
        <v/>
      </c>
      <c r="QM98" s="57" t="str">
        <f t="shared" si="666"/>
        <v/>
      </c>
      <c r="QN98" s="713">
        <f>'org. Düngung 22'!DT97</f>
        <v>0</v>
      </c>
      <c r="QO98" s="57"/>
      <c r="QP98" s="57"/>
      <c r="QQ98" s="57">
        <f t="shared" si="667"/>
        <v>0</v>
      </c>
      <c r="QR98" s="57">
        <f t="shared" si="826"/>
        <v>0</v>
      </c>
      <c r="QS98" s="57">
        <f t="shared" si="827"/>
        <v>0</v>
      </c>
      <c r="QT98" s="57">
        <f t="shared" si="828"/>
        <v>0</v>
      </c>
      <c r="QU98" s="57">
        <f t="shared" si="829"/>
        <v>0</v>
      </c>
      <c r="QV98" s="1029">
        <f t="shared" si="668"/>
        <v>0</v>
      </c>
      <c r="QW98" s="57">
        <f t="shared" si="669"/>
        <v>0</v>
      </c>
      <c r="QX98" s="171" t="str">
        <f t="shared" si="670"/>
        <v/>
      </c>
      <c r="QY98" s="57">
        <f t="shared" si="830"/>
        <v>0</v>
      </c>
      <c r="QZ98" s="57">
        <f>IF(OR(AND(QN$6=1,$L98=0),AND(QN$6=2,$K98=2,$G98=1)),0,IF(AND(QP$9=2,(OR($F98&gt;1,$K98=1,AND($L98=80,OR($N98=1,AND($N98=2,'#BerechnungDBE'!$AL89&gt;0)))))),IF(QN$4&gt;=$AD$126,0,QX98),IF(QP$9=3,IF(OR(QN$4&gt;=$AD$127,AND($G98=1,$J98=2,QN$6=2),AND(QN$6=1,$N98&lt;&gt;1)),0,IF(QR98&lt;=120,QX98,IF(QN$4&lt;$AD$124,IF($F98=1,60/QP$4*QP$6,60/QP$4*QP$7),IF($F98=1,120/QP$4*QP$6,120/QP$4*QP$7)))),IF(OR($F98=3,$G98=2),IF(OR(AND(QN$4&gt;=$AD$119,$C98=2),AND(QN$4&gt;=$AF$119,$C98=1)),0,IF(QR98&lt;=60,QX98,60/QP$4*QP$7)),IF(AND($F98=2,$G98=1),QX98,0)))))</f>
        <v>0</v>
      </c>
      <c r="RA98" s="57" t="str">
        <f t="shared" si="671"/>
        <v/>
      </c>
      <c r="RB98" s="57" t="str">
        <f t="shared" si="672"/>
        <v/>
      </c>
      <c r="RC98" s="713">
        <f>'org. Düngung 22'!DX97</f>
        <v>0</v>
      </c>
      <c r="RD98" s="57"/>
      <c r="RE98" s="57"/>
      <c r="RF98" s="57">
        <f t="shared" si="673"/>
        <v>0</v>
      </c>
      <c r="RG98" s="57">
        <f t="shared" si="831"/>
        <v>0</v>
      </c>
      <c r="RH98" s="57">
        <f t="shared" si="832"/>
        <v>0</v>
      </c>
      <c r="RI98" s="57">
        <f t="shared" si="833"/>
        <v>0</v>
      </c>
      <c r="RJ98" s="57">
        <f t="shared" si="834"/>
        <v>0</v>
      </c>
      <c r="RK98" s="1029">
        <f t="shared" si="674"/>
        <v>0</v>
      </c>
      <c r="RL98" s="57">
        <f t="shared" si="675"/>
        <v>0</v>
      </c>
      <c r="RM98" s="171" t="str">
        <f t="shared" si="676"/>
        <v/>
      </c>
      <c r="RN98" s="57">
        <f t="shared" si="835"/>
        <v>0</v>
      </c>
      <c r="RO98" s="57">
        <f>IF(OR(AND(RC$6=1,$L98=0),AND(RC$6=2,$K98=2,$G98=1)),0,IF(AND(RE$9=2,(OR($F98&gt;1,$K98=1,AND($L98=80,OR($N98=1,AND($N98=2,'#BerechnungDBE'!$AL89&gt;0)))))),IF(RC$4&gt;=$AD$126,0,RM98),IF(RE$9=3,IF(OR(RC$4&gt;=$AD$127,AND($G98=1,$J98=2,RC$6=2),AND(RC$6=1,$N98&lt;&gt;1)),0,IF(RG98&lt;=120,RM98,IF(RC$4&lt;$AD$124,IF($F98=1,60/RE$4*RE$6,60/RE$4*RE$7),IF($F98=1,120/RE$4*RE$6,120/RE$4*RE$7)))),IF(OR($F98=3,$G98=2),IF(OR(AND(RC$4&gt;=$AD$119,$C98=2),AND(RC$4&gt;=$AF$119,$C98=1)),0,IF(RG98&lt;=60,RM98,60/RE$4*RE$7)),IF(AND($F98=2,$G98=1),RM98,0)))))</f>
        <v>0</v>
      </c>
      <c r="RP98" s="57" t="str">
        <f t="shared" si="677"/>
        <v/>
      </c>
      <c r="RQ98" s="57" t="str">
        <f t="shared" si="678"/>
        <v/>
      </c>
      <c r="RS98" s="57" t="str">
        <f t="shared" si="836"/>
        <v/>
      </c>
      <c r="RT98" s="57" t="str">
        <f t="shared" si="679"/>
        <v/>
      </c>
      <c r="RU98" s="57" t="str">
        <f t="shared" si="680"/>
        <v/>
      </c>
      <c r="RV98" s="57" t="str">
        <f>IF(Z98&gt;'#BerechnungDBE'!BM89,$RV$9,"")</f>
        <v/>
      </c>
      <c r="RW98" s="57" t="str">
        <f>IF(AND(L98=70,AE98&gt;'#BerechnungDBE'!CQ89),$RW$9,"")</f>
        <v/>
      </c>
      <c r="RX98" s="57" t="str">
        <f>IF(OR('org. Düngung 22'!G97="--",'org. Düngung 22'!G97&lt;=170,'org. Düngung 22'!G97=""),"",$RX$9)</f>
        <v/>
      </c>
      <c r="RY98" s="57" t="str">
        <f>IF('org. Düngung 22'!K97&gt;120,'#orgDung'!$RY$9,"")</f>
        <v/>
      </c>
      <c r="RZ98" s="57" t="str">
        <f>IF('#BerechnungDBE'!P89&lt;4,"",IF(AND('#BerechnungDBE'!BZ89&gt;0,T98&gt;0),'#orgDung'!$RZ$9,""))</f>
        <v/>
      </c>
      <c r="SA98" s="57" t="str">
        <f t="shared" si="681"/>
        <v/>
      </c>
    </row>
    <row r="99" spans="1:495" s="875" customFormat="1" x14ac:dyDescent="0.2">
      <c r="A99" s="875">
        <f>'Flächen u. Kulturen'!A95</f>
        <v>86</v>
      </c>
      <c r="B99" s="367">
        <f>'#BerechnungDBE'!L90</f>
        <v>0</v>
      </c>
      <c r="C99" s="875">
        <f>'#BerechnungDBE'!R90</f>
        <v>1</v>
      </c>
      <c r="D99" s="875">
        <f>'#BerechnungDBE'!T90</f>
        <v>2</v>
      </c>
      <c r="E99" s="875" t="str">
        <f>'Flächen u. Kulturen'!E95</f>
        <v>x</v>
      </c>
      <c r="F99" s="52">
        <f>'#BerechnungDBE'!N90</f>
        <v>1</v>
      </c>
      <c r="G99" s="52">
        <f>'#BerechnungDBE'!O90</f>
        <v>1</v>
      </c>
      <c r="H99" s="875">
        <f>IF('Flächen u. Kulturen'!P95="",0,VLOOKUP('Flächen u. Kulturen'!P95,Kulturen[[HF]:[Berechnungsgruppe]],'#Frucht'!$H$1,FALSE))</f>
        <v>0</v>
      </c>
      <c r="I99" s="875">
        <f>IF('Flächen u. Kulturen'!J95="",0,VLOOKUP('Flächen u. Kulturen'!J95,Kulturen[[HF]:[Berechnungsgruppe]],'#Frucht'!$G$1,FALSE))</f>
        <v>90</v>
      </c>
      <c r="J99" s="505">
        <f t="shared" si="682"/>
        <v>2</v>
      </c>
      <c r="K99" s="505">
        <f>IF('Flächen u. Kulturen'!P95="",0,IF(VLOOKUP('Flächen u. Kulturen'!P95,Kulturen[[HF]:[Saat Winterungen]],'#Frucht'!$P$1,FALSE)&gt;0,1,2))</f>
        <v>2</v>
      </c>
      <c r="L99" s="875">
        <f>'#BerechnungDBE'!AF90</f>
        <v>0</v>
      </c>
      <c r="M99" s="875">
        <f>IF('Flächen u. Kulturen'!L95="",0,VLOOKUP('Flächen u. Kulturen'!L95,Nebenkultur[[Nebenkultur]:[Legum. Zwischenfr.]],'#Zweitfr'!$K$1,FALSE))</f>
        <v>0</v>
      </c>
      <c r="N99" s="875">
        <f>'#BerechnungDBE'!AG90</f>
        <v>0</v>
      </c>
      <c r="P99" s="57">
        <f t="shared" si="489"/>
        <v>0</v>
      </c>
      <c r="Q99" s="57">
        <f t="shared" si="490"/>
        <v>0</v>
      </c>
      <c r="R99" s="875">
        <f t="shared" si="491"/>
        <v>0</v>
      </c>
      <c r="S99" s="938" t="str">
        <f t="shared" si="683"/>
        <v/>
      </c>
      <c r="T99" s="875">
        <f t="shared" si="492"/>
        <v>0</v>
      </c>
      <c r="U99" s="875">
        <f t="shared" si="493"/>
        <v>0</v>
      </c>
      <c r="V99" s="875">
        <f t="shared" si="494"/>
        <v>0</v>
      </c>
      <c r="W99" s="875">
        <f t="shared" si="495"/>
        <v>0</v>
      </c>
      <c r="X99" s="875">
        <f t="shared" si="496"/>
        <v>0</v>
      </c>
      <c r="Y99" s="875">
        <f t="shared" si="837"/>
        <v>0</v>
      </c>
      <c r="Z99" s="875">
        <f t="shared" si="838"/>
        <v>0</v>
      </c>
      <c r="AA99" s="910">
        <f t="shared" si="497"/>
        <v>0</v>
      </c>
      <c r="AB99" s="57">
        <f t="shared" si="839"/>
        <v>0</v>
      </c>
      <c r="AC99" s="875">
        <f t="shared" si="498"/>
        <v>0</v>
      </c>
      <c r="AD99" s="875">
        <f t="shared" si="499"/>
        <v>0</v>
      </c>
      <c r="AE99" s="875">
        <f t="shared" si="500"/>
        <v>0</v>
      </c>
      <c r="AF99" s="875">
        <f t="shared" si="840"/>
        <v>0</v>
      </c>
      <c r="AG99" s="875">
        <f>'org. Düngung 22'!J98</f>
        <v>0</v>
      </c>
      <c r="AH99" s="875">
        <f>'org. Düngung 22'!K98</f>
        <v>0</v>
      </c>
      <c r="AJ99" s="713">
        <f>'org. Düngung 22'!L98</f>
        <v>0</v>
      </c>
      <c r="AK99" s="57"/>
      <c r="AL99" s="57"/>
      <c r="AM99" s="57">
        <f t="shared" si="684"/>
        <v>0</v>
      </c>
      <c r="AN99" s="57">
        <f t="shared" si="685"/>
        <v>0</v>
      </c>
      <c r="AO99" s="57">
        <f t="shared" si="686"/>
        <v>0</v>
      </c>
      <c r="AP99" s="57">
        <f t="shared" si="687"/>
        <v>0</v>
      </c>
      <c r="AQ99" s="57">
        <f t="shared" si="688"/>
        <v>0</v>
      </c>
      <c r="AR99" s="1029">
        <f t="shared" si="501"/>
        <v>0</v>
      </c>
      <c r="AS99" s="57">
        <f t="shared" si="502"/>
        <v>0</v>
      </c>
      <c r="AT99" s="171" t="str">
        <f t="shared" si="503"/>
        <v/>
      </c>
      <c r="AU99" s="57">
        <f t="shared" si="689"/>
        <v>0</v>
      </c>
      <c r="AV99" s="57">
        <f>IF(OR(AND(AJ$6=1,$L99=0),AND(AJ$6=2,$K99=2,$G99=1)),0,IF(AND(AL$9=2,(OR($F99&gt;1,$K99=1,AND($L99=80,OR($N99=1,AND($N99=2,'#BerechnungDBE'!$AL90&gt;0)))))),IF(AJ$4&gt;=$AD$126,0,AT99),IF(AL$9=3,IF(OR(AJ$4&gt;=$AD$127,AND($G99=1,$J99=2,AJ$6=2),AND(AJ$6=1,$N99&lt;&gt;1)),0,IF(AN99&lt;=120,AT99,IF(AJ$4&lt;$AD$124,IF($F99=1,60/AL$4*AL$6,60/AL$4*AL$7),IF($F99=1,120/AL$4*AL$6,120/AL$4*AL$7)))),IF(OR($F99=3,$G99=2),IF(OR(AND(AJ$4&gt;=$AD$119,$C99=2),AND(AJ$4&gt;=$AF$119,$C99=1)),0,IF(AN99&lt;=60,AT99,60/AL$4*AL$7)),IF(AND($F99=2,$G99=1),AT99,0)))))</f>
        <v>0</v>
      </c>
      <c r="AW99" s="57" t="str">
        <f t="shared" si="690"/>
        <v/>
      </c>
      <c r="AX99" s="57" t="str">
        <f t="shared" si="504"/>
        <v/>
      </c>
      <c r="AY99" s="713">
        <f>'org. Düngung 22'!P98</f>
        <v>0</v>
      </c>
      <c r="AZ99" s="57"/>
      <c r="BA99" s="57"/>
      <c r="BB99" s="57">
        <f t="shared" si="505"/>
        <v>0</v>
      </c>
      <c r="BC99" s="57">
        <f t="shared" si="691"/>
        <v>0</v>
      </c>
      <c r="BD99" s="57">
        <f t="shared" si="692"/>
        <v>0</v>
      </c>
      <c r="BE99" s="57">
        <f t="shared" si="693"/>
        <v>0</v>
      </c>
      <c r="BF99" s="57">
        <f t="shared" si="694"/>
        <v>0</v>
      </c>
      <c r="BG99" s="1029">
        <f t="shared" si="506"/>
        <v>0</v>
      </c>
      <c r="BH99" s="57">
        <f t="shared" si="507"/>
        <v>0</v>
      </c>
      <c r="BI99" s="171" t="str">
        <f t="shared" si="508"/>
        <v/>
      </c>
      <c r="BJ99" s="57">
        <f t="shared" si="695"/>
        <v>0</v>
      </c>
      <c r="BK99" s="57">
        <f>IF(OR(AND(AY$6=1,$L99=0),AND(AY$6=2,$K99=2,$G99=1)),0,IF(AND(BA$9=2,(OR($F99&gt;1,$K99=1,AND($L99=80,OR($N99=1,AND($N99=2,'#BerechnungDBE'!$AL90&gt;0)))))),IF(AY$4&gt;=$AD$126,0,BI99),IF(BA$9=3,IF(OR(AY$4&gt;=$AD$127,AND($G99=1,$J99=2,AY$6=2),AND(AY$6=1,$N99&lt;&gt;1)),0,IF(BC99&lt;=120,BI99,IF(AY$4&lt;$AD$124,IF($F99=1,60/BA$4*BA$6,60/BA$4*BA$7),IF($F99=1,120/BA$4*BA$6,120/BA$4*BA$7)))),IF(OR($F99=3,$G99=2),IF(OR(AND(AY$4&gt;=$AD$119,$C99=2),AND(AY$4&gt;=$AF$119,$C99=1)),0,IF(BC99&lt;=60,BI99,60/BA$4*BA$7)),IF(AND($F99=2,$G99=1),BI99,0)))))</f>
        <v>0</v>
      </c>
      <c r="BL99" s="57" t="str">
        <f t="shared" si="509"/>
        <v/>
      </c>
      <c r="BM99" s="57" t="str">
        <f t="shared" si="510"/>
        <v/>
      </c>
      <c r="BN99" s="713">
        <f>'org. Düngung 22'!T98</f>
        <v>0</v>
      </c>
      <c r="BO99" s="57"/>
      <c r="BP99" s="57"/>
      <c r="BQ99" s="57">
        <f t="shared" si="511"/>
        <v>0</v>
      </c>
      <c r="BR99" s="57">
        <f t="shared" si="696"/>
        <v>0</v>
      </c>
      <c r="BS99" s="57">
        <f t="shared" si="697"/>
        <v>0</v>
      </c>
      <c r="BT99" s="57">
        <f t="shared" si="698"/>
        <v>0</v>
      </c>
      <c r="BU99" s="57">
        <f t="shared" si="699"/>
        <v>0</v>
      </c>
      <c r="BV99" s="1029">
        <f t="shared" si="512"/>
        <v>0</v>
      </c>
      <c r="BW99" s="57">
        <f t="shared" si="513"/>
        <v>0</v>
      </c>
      <c r="BX99" s="171" t="str">
        <f t="shared" si="514"/>
        <v/>
      </c>
      <c r="BY99" s="57">
        <f t="shared" si="700"/>
        <v>0</v>
      </c>
      <c r="BZ99" s="57">
        <f>IF(OR(AND(BN$6=1,$L99=0),AND(BN$6=2,$K99=2,$G99=1)),0,IF(AND(BP$9=2,(OR($F99&gt;1,$K99=1,AND($L99=80,OR($N99=1,AND($N99=2,'#BerechnungDBE'!$AL90&gt;0)))))),IF(BN$4&gt;=$AD$126,0,BX99),IF(BP$9=3,IF(OR(BN$4&gt;=$AD$127,AND($G99=1,$J99=2,BN$6=2),AND(BN$6=1,$N99&lt;&gt;1)),0,IF(BR99&lt;=120,BX99,IF(BN$4&lt;$AD$124,IF($F99=1,60/BP$4*BP$6,60/BP$4*BP$7),IF($F99=1,120/BP$4*BP$6,120/BP$4*BP$7)))),IF(OR($F99=3,$G99=2),IF(OR(AND(BN$4&gt;=$AD$119,$C99=2),AND(BN$4&gt;=$AF$119,$C99=1)),0,IF(BR99&lt;=60,BX99,60/BP$4*BP$7)),IF(AND($F99=2,$G99=1),BX99,0)))))</f>
        <v>0</v>
      </c>
      <c r="CA99" s="57" t="str">
        <f t="shared" si="515"/>
        <v/>
      </c>
      <c r="CB99" s="57" t="str">
        <f t="shared" si="516"/>
        <v/>
      </c>
      <c r="CC99" s="713">
        <f>'org. Düngung 22'!X98</f>
        <v>0</v>
      </c>
      <c r="CD99" s="57"/>
      <c r="CE99" s="57"/>
      <c r="CF99" s="57">
        <f t="shared" si="517"/>
        <v>0</v>
      </c>
      <c r="CG99" s="57">
        <f t="shared" si="701"/>
        <v>0</v>
      </c>
      <c r="CH99" s="57">
        <f t="shared" si="702"/>
        <v>0</v>
      </c>
      <c r="CI99" s="57">
        <f t="shared" si="703"/>
        <v>0</v>
      </c>
      <c r="CJ99" s="57">
        <f t="shared" si="704"/>
        <v>0</v>
      </c>
      <c r="CK99" s="1029">
        <f t="shared" si="518"/>
        <v>0</v>
      </c>
      <c r="CL99" s="57">
        <f t="shared" si="519"/>
        <v>0</v>
      </c>
      <c r="CM99" s="171" t="str">
        <f t="shared" si="520"/>
        <v/>
      </c>
      <c r="CN99" s="57">
        <f t="shared" si="705"/>
        <v>0</v>
      </c>
      <c r="CO99" s="57">
        <f>IF(OR(AND(CC$6=1,$L99=0),AND(CC$6=2,$K99=2,$G99=1)),0,IF(AND(CE$9=2,(OR($F99&gt;1,$K99=1,AND($L99=80,OR($N99=1,AND($N99=2,'#BerechnungDBE'!$AL90&gt;0)))))),IF(CC$4&gt;=$AD$126,0,CM99),IF(CE$9=3,IF(OR(CC$4&gt;=$AD$127,AND($G99=1,$J99=2,CC$6=2),AND(CC$6=1,$N99&lt;&gt;1)),0,IF(CG99&lt;=120,CM99,IF(CC$4&lt;$AD$124,IF($F99=1,60/CE$4*CE$6,60/CE$4*CE$7),IF($F99=1,120/CE$4*CE$6,120/CE$4*CE$7)))),IF(OR($F99=3,$G99=2),IF(OR(AND(CC$4&gt;=$AD$119,$C99=2),AND(CC$4&gt;=$AF$119,$C99=1)),0,IF(CG99&lt;=60,CM99,60/CE$4*CE$7)),IF(AND($F99=2,$G99=1),CM99,0)))))</f>
        <v>0</v>
      </c>
      <c r="CP99" s="57" t="str">
        <f t="shared" si="521"/>
        <v/>
      </c>
      <c r="CQ99" s="57" t="str">
        <f t="shared" si="522"/>
        <v/>
      </c>
      <c r="CR99" s="713">
        <f>'org. Düngung 22'!AB98</f>
        <v>0</v>
      </c>
      <c r="CS99" s="57"/>
      <c r="CT99" s="57"/>
      <c r="CU99" s="57">
        <f t="shared" si="523"/>
        <v>0</v>
      </c>
      <c r="CV99" s="57">
        <f t="shared" si="706"/>
        <v>0</v>
      </c>
      <c r="CW99" s="57">
        <f t="shared" si="707"/>
        <v>0</v>
      </c>
      <c r="CX99" s="57">
        <f t="shared" si="708"/>
        <v>0</v>
      </c>
      <c r="CY99" s="57">
        <f t="shared" si="709"/>
        <v>0</v>
      </c>
      <c r="CZ99" s="1029">
        <f t="shared" si="524"/>
        <v>0</v>
      </c>
      <c r="DA99" s="57">
        <f t="shared" si="525"/>
        <v>0</v>
      </c>
      <c r="DB99" s="171" t="str">
        <f t="shared" si="526"/>
        <v/>
      </c>
      <c r="DC99" s="57">
        <f t="shared" si="710"/>
        <v>0</v>
      </c>
      <c r="DD99" s="57">
        <f>IF(OR(AND(CR$6=1,$L99=0),AND(CR$6=2,$K99=2,$G99=1)),0,IF(AND(CT$9=2,(OR($F99&gt;1,$K99=1,AND($L99=80,OR($N99=1,AND($N99=2,'#BerechnungDBE'!$AL90&gt;0)))))),IF(CR$4&gt;=$AD$126,0,DB99),IF(CT$9=3,IF(OR(CR$4&gt;=$AD$127,AND($G99=1,$J99=2,CR$6=2),AND(CR$6=1,$N99&lt;&gt;1)),0,IF(CV99&lt;=120,DB99,IF(CR$4&lt;$AD$124,IF($F99=1,60/CT$4*CT$6,60/CT$4*CT$7),IF($F99=1,120/CT$4*CT$6,120/CT$4*CT$7)))),IF(OR($F99=3,$G99=2),IF(OR(AND(CR$4&gt;=$AD$119,$C99=2),AND(CR$4&gt;=$AF$119,$C99=1)),0,IF(CV99&lt;=60,DB99,60/CT$4*CT$7)),IF(AND($F99=2,$G99=1),DB99,0)))))</f>
        <v>0</v>
      </c>
      <c r="DE99" s="57" t="str">
        <f t="shared" si="527"/>
        <v/>
      </c>
      <c r="DF99" s="57" t="str">
        <f t="shared" si="528"/>
        <v/>
      </c>
      <c r="DG99" s="713">
        <f>'org. Düngung 22'!AF98</f>
        <v>0</v>
      </c>
      <c r="DH99" s="57"/>
      <c r="DI99" s="57"/>
      <c r="DJ99" s="57">
        <f t="shared" si="529"/>
        <v>0</v>
      </c>
      <c r="DK99" s="57">
        <f t="shared" si="711"/>
        <v>0</v>
      </c>
      <c r="DL99" s="57">
        <f t="shared" si="712"/>
        <v>0</v>
      </c>
      <c r="DM99" s="57">
        <f t="shared" si="713"/>
        <v>0</v>
      </c>
      <c r="DN99" s="57">
        <f t="shared" si="714"/>
        <v>0</v>
      </c>
      <c r="DO99" s="1029">
        <f t="shared" si="530"/>
        <v>0</v>
      </c>
      <c r="DP99" s="57">
        <f t="shared" si="531"/>
        <v>0</v>
      </c>
      <c r="DQ99" s="171" t="str">
        <f t="shared" si="532"/>
        <v/>
      </c>
      <c r="DR99" s="57">
        <f t="shared" si="715"/>
        <v>0</v>
      </c>
      <c r="DS99" s="57">
        <f>IF(OR(AND(DG$6=1,$L99=0),AND(DG$6=2,$K99=2,$G99=1)),0,IF(AND(DI$9=2,(OR($F99&gt;1,$K99=1,AND($L99=80,OR($N99=1,AND($N99=2,'#BerechnungDBE'!$AL90&gt;0)))))),IF(DG$4&gt;=$AD$126,0,DQ99),IF(DI$9=3,IF(OR(DG$4&gt;=$AD$127,AND($G99=1,$J99=2,DG$6=2),AND(DG$6=1,$N99&lt;&gt;1)),0,IF(DK99&lt;=120,DQ99,IF(DG$4&lt;$AD$124,IF($F99=1,60/DI$4*DI$6,60/DI$4*DI$7),IF($F99=1,120/DI$4*DI$6,120/DI$4*DI$7)))),IF(OR($F99=3,$G99=2),IF(OR(AND(DG$4&gt;=$AD$119,$C99=2),AND(DG$4&gt;=$AF$119,$C99=1)),0,IF(DK99&lt;=60,DQ99,60/DI$4*DI$7)),IF(AND($F99=2,$G99=1),DQ99,0)))))</f>
        <v>0</v>
      </c>
      <c r="DT99" s="57" t="str">
        <f t="shared" si="533"/>
        <v/>
      </c>
      <c r="DU99" s="57" t="str">
        <f t="shared" si="534"/>
        <v/>
      </c>
      <c r="DV99" s="713">
        <f>'org. Düngung 22'!AJ98</f>
        <v>0</v>
      </c>
      <c r="DW99" s="57"/>
      <c r="DX99" s="57"/>
      <c r="DY99" s="57">
        <f t="shared" si="535"/>
        <v>0</v>
      </c>
      <c r="DZ99" s="57">
        <f t="shared" si="716"/>
        <v>0</v>
      </c>
      <c r="EA99" s="57">
        <f t="shared" si="717"/>
        <v>0</v>
      </c>
      <c r="EB99" s="57">
        <f t="shared" si="718"/>
        <v>0</v>
      </c>
      <c r="EC99" s="57">
        <f t="shared" si="719"/>
        <v>0</v>
      </c>
      <c r="ED99" s="1029">
        <f t="shared" si="536"/>
        <v>0</v>
      </c>
      <c r="EE99" s="57">
        <f t="shared" si="537"/>
        <v>0</v>
      </c>
      <c r="EF99" s="171" t="str">
        <f t="shared" si="538"/>
        <v/>
      </c>
      <c r="EG99" s="57">
        <f t="shared" si="720"/>
        <v>0</v>
      </c>
      <c r="EH99" s="57">
        <f>IF(OR(AND(DV$6=1,$L99=0),AND(DV$6=2,$K99=2,$G99=1)),0,IF(AND(DX$9=2,(OR($F99&gt;1,$K99=1,AND($L99=80,OR($N99=1,AND($N99=2,'#BerechnungDBE'!$AL90&gt;0)))))),IF(DV$4&gt;=$AD$126,0,EF99),IF(DX$9=3,IF(OR(DV$4&gt;=$AD$127,AND($G99=1,$J99=2,DV$6=2),AND(DV$6=1,$N99&lt;&gt;1)),0,IF(DZ99&lt;=120,EF99,IF(DV$4&lt;$AD$124,IF($F99=1,60/DX$4*DX$6,60/DX$4*DX$7),IF($F99=1,120/DX$4*DX$6,120/DX$4*DX$7)))),IF(OR($F99=3,$G99=2),IF(OR(AND(DV$4&gt;=$AD$119,$C99=2),AND(DV$4&gt;=$AF$119,$C99=1)),0,IF(DZ99&lt;=60,EF99,60/DX$4*DX$7)),IF(AND($F99=2,$G99=1),EF99,0)))))</f>
        <v>0</v>
      </c>
      <c r="EI99" s="57" t="str">
        <f t="shared" si="539"/>
        <v/>
      </c>
      <c r="EJ99" s="57" t="str">
        <f t="shared" si="540"/>
        <v/>
      </c>
      <c r="EK99" s="713">
        <f>'org. Düngung 22'!AN98</f>
        <v>0</v>
      </c>
      <c r="EL99" s="57"/>
      <c r="EM99" s="57"/>
      <c r="EN99" s="57">
        <f t="shared" si="541"/>
        <v>0</v>
      </c>
      <c r="EO99" s="57">
        <f t="shared" si="721"/>
        <v>0</v>
      </c>
      <c r="EP99" s="57">
        <f t="shared" si="722"/>
        <v>0</v>
      </c>
      <c r="EQ99" s="57">
        <f t="shared" si="723"/>
        <v>0</v>
      </c>
      <c r="ER99" s="57">
        <f t="shared" si="724"/>
        <v>0</v>
      </c>
      <c r="ES99" s="1029">
        <f t="shared" si="542"/>
        <v>0</v>
      </c>
      <c r="ET99" s="57">
        <f t="shared" si="543"/>
        <v>0</v>
      </c>
      <c r="EU99" s="171" t="str">
        <f t="shared" si="544"/>
        <v/>
      </c>
      <c r="EV99" s="57">
        <f t="shared" si="725"/>
        <v>0</v>
      </c>
      <c r="EW99" s="57">
        <f>IF(OR(AND(EK$6=1,$L99=0),AND(EK$6=2,$K99=2,$G99=1)),0,IF(AND(EM$9=2,(OR($F99&gt;1,$K99=1,AND($L99=80,OR($N99=1,AND($N99=2,'#BerechnungDBE'!$AL90&gt;0)))))),IF(EK$4&gt;=$AD$126,0,EU99),IF(EM$9=3,IF(OR(EK$4&gt;=$AD$127,AND($G99=1,$J99=2,EK$6=2),AND(EK$6=1,$N99&lt;&gt;1)),0,IF(EO99&lt;=120,EU99,IF(EK$4&lt;$AD$124,IF($F99=1,60/EM$4*EM$6,60/EM$4*EM$7),IF($F99=1,120/EM$4*EM$6,120/EM$4*EM$7)))),IF(OR($F99=3,$G99=2),IF(OR(AND(EK$4&gt;=$AD$119,$C99=2),AND(EK$4&gt;=$AF$119,$C99=1)),0,IF(EO99&lt;=60,EU99,60/EM$4*EM$7)),IF(AND($F99=2,$G99=1),EU99,0)))))</f>
        <v>0</v>
      </c>
      <c r="EX99" s="57" t="str">
        <f t="shared" si="545"/>
        <v/>
      </c>
      <c r="EY99" s="57" t="str">
        <f t="shared" si="546"/>
        <v/>
      </c>
      <c r="EZ99" s="713">
        <f>'org. Düngung 22'!AR98</f>
        <v>0</v>
      </c>
      <c r="FA99" s="57"/>
      <c r="FB99" s="57"/>
      <c r="FC99" s="57">
        <f t="shared" si="547"/>
        <v>0</v>
      </c>
      <c r="FD99" s="57">
        <f t="shared" si="726"/>
        <v>0</v>
      </c>
      <c r="FE99" s="57">
        <f t="shared" si="727"/>
        <v>0</v>
      </c>
      <c r="FF99" s="57">
        <f t="shared" si="728"/>
        <v>0</v>
      </c>
      <c r="FG99" s="57">
        <f t="shared" si="729"/>
        <v>0</v>
      </c>
      <c r="FH99" s="1029">
        <f t="shared" si="548"/>
        <v>0</v>
      </c>
      <c r="FI99" s="57">
        <f t="shared" si="549"/>
        <v>0</v>
      </c>
      <c r="FJ99" s="171" t="str">
        <f t="shared" si="550"/>
        <v/>
      </c>
      <c r="FK99" s="57">
        <f t="shared" si="730"/>
        <v>0</v>
      </c>
      <c r="FL99" s="57">
        <f>IF(OR(AND(EZ$6=1,$L99=0),AND(EZ$6=2,$K99=2,$G99=1)),0,IF(AND(FB$9=2,(OR($F99&gt;1,$K99=1,AND($L99=80,OR($N99=1,AND($N99=2,'#BerechnungDBE'!$AL90&gt;0)))))),IF(EZ$4&gt;=$AD$126,0,FJ99),IF(FB$9=3,IF(OR(EZ$4&gt;=$AD$127,AND($G99=1,$J99=2,EZ$6=2),AND(EZ$6=1,$N99&lt;&gt;1)),0,IF(FD99&lt;=120,FJ99,IF(EZ$4&lt;$AD$124,IF($F99=1,60/FB$4*FB$6,60/FB$4*FB$7),IF($F99=1,120/FB$4*FB$6,120/FB$4*FB$7)))),IF(OR($F99=3,$G99=2),IF(OR(AND(EZ$4&gt;=$AD$119,$C99=2),AND(EZ$4&gt;=$AF$119,$C99=1)),0,IF(FD99&lt;=60,FJ99,60/FB$4*FB$7)),IF(AND($F99=2,$G99=1),FJ99,0)))))</f>
        <v>0</v>
      </c>
      <c r="FM99" s="57" t="str">
        <f t="shared" si="551"/>
        <v/>
      </c>
      <c r="FN99" s="57" t="str">
        <f t="shared" si="552"/>
        <v/>
      </c>
      <c r="FO99" s="713">
        <f>'org. Düngung 22'!AV98</f>
        <v>0</v>
      </c>
      <c r="FP99" s="57"/>
      <c r="FQ99" s="57"/>
      <c r="FR99" s="57">
        <f t="shared" si="553"/>
        <v>0</v>
      </c>
      <c r="FS99" s="57">
        <f t="shared" si="731"/>
        <v>0</v>
      </c>
      <c r="FT99" s="57">
        <f t="shared" si="732"/>
        <v>0</v>
      </c>
      <c r="FU99" s="57">
        <f t="shared" si="733"/>
        <v>0</v>
      </c>
      <c r="FV99" s="57">
        <f t="shared" si="734"/>
        <v>0</v>
      </c>
      <c r="FW99" s="1029">
        <f t="shared" si="554"/>
        <v>0</v>
      </c>
      <c r="FX99" s="57">
        <f t="shared" si="555"/>
        <v>0</v>
      </c>
      <c r="FY99" s="171" t="str">
        <f t="shared" si="556"/>
        <v/>
      </c>
      <c r="FZ99" s="57">
        <f t="shared" si="735"/>
        <v>0</v>
      </c>
      <c r="GA99" s="57">
        <f>IF(OR(AND(FO$6=1,$L99=0),AND(FO$6=2,$K99=2,$G99=1)),0,IF(AND(FQ$9=2,(OR($F99&gt;1,$K99=1,AND($L99=80,OR($N99=1,AND($N99=2,'#BerechnungDBE'!$AL90&gt;0)))))),IF(FO$4&gt;=$AD$126,0,FY99),IF(FQ$9=3,IF(OR(FO$4&gt;=$AD$127,AND($G99=1,$J99=2,FO$6=2),AND(FO$6=1,$N99&lt;&gt;1)),0,IF(FS99&lt;=120,FY99,IF(FO$4&lt;$AD$124,IF($F99=1,60/FQ$4*FQ$6,60/FQ$4*FQ$7),IF($F99=1,120/FQ$4*FQ$6,120/FQ$4*FQ$7)))),IF(OR($F99=3,$G99=2),IF(OR(AND(FO$4&gt;=$AD$119,$C99=2),AND(FO$4&gt;=$AF$119,$C99=1)),0,IF(FS99&lt;=60,FY99,60/FQ$4*FQ$7)),IF(AND($F99=2,$G99=1),FY99,0)))))</f>
        <v>0</v>
      </c>
      <c r="GB99" s="57" t="str">
        <f t="shared" si="557"/>
        <v/>
      </c>
      <c r="GC99" s="57" t="str">
        <f t="shared" si="558"/>
        <v/>
      </c>
      <c r="GD99" s="713">
        <f>'org. Düngung 22'!AZ98</f>
        <v>0</v>
      </c>
      <c r="GE99" s="57"/>
      <c r="GF99" s="57"/>
      <c r="GG99" s="57">
        <f t="shared" si="559"/>
        <v>0</v>
      </c>
      <c r="GH99" s="57">
        <f t="shared" si="736"/>
        <v>0</v>
      </c>
      <c r="GI99" s="57">
        <f t="shared" si="737"/>
        <v>0</v>
      </c>
      <c r="GJ99" s="57">
        <f t="shared" si="738"/>
        <v>0</v>
      </c>
      <c r="GK99" s="57">
        <f t="shared" si="739"/>
        <v>0</v>
      </c>
      <c r="GL99" s="1029">
        <f t="shared" si="560"/>
        <v>0</v>
      </c>
      <c r="GM99" s="57">
        <f t="shared" si="561"/>
        <v>0</v>
      </c>
      <c r="GN99" s="171" t="str">
        <f t="shared" si="562"/>
        <v/>
      </c>
      <c r="GO99" s="57">
        <f t="shared" si="740"/>
        <v>0</v>
      </c>
      <c r="GP99" s="57">
        <f>IF(OR(AND(GD$6=1,$L99=0),AND(GD$6=2,$K99=2,$G99=1)),0,IF(AND(GF$9=2,(OR($F99&gt;1,$K99=1,AND($L99=80,OR($N99=1,AND($N99=2,'#BerechnungDBE'!$AL90&gt;0)))))),IF(GD$4&gt;=$AD$126,0,GN99),IF(GF$9=3,IF(OR(GD$4&gt;=$AD$127,AND($G99=1,$J99=2,GD$6=2),AND(GD$6=1,$N99&lt;&gt;1)),0,IF(GH99&lt;=120,GN99,IF(GD$4&lt;$AD$124,IF($F99=1,60/GF$4*GF$6,60/GF$4*GF$7),IF($F99=1,120/GF$4*GF$6,120/GF$4*GF$7)))),IF(OR($F99=3,$G99=2),IF(OR(AND(GD$4&gt;=$AD$119,$C99=2),AND(GD$4&gt;=$AF$119,$C99=1)),0,IF(GH99&lt;=60,GN99,60/GF$4*GF$7)),IF(AND($F99=2,$G99=1),GN99,0)))))</f>
        <v>0</v>
      </c>
      <c r="GQ99" s="57" t="str">
        <f t="shared" si="563"/>
        <v/>
      </c>
      <c r="GR99" s="57" t="str">
        <f t="shared" si="564"/>
        <v/>
      </c>
      <c r="GS99" s="713">
        <f>'org. Düngung 22'!BD98</f>
        <v>0</v>
      </c>
      <c r="GT99" s="57"/>
      <c r="GU99" s="57"/>
      <c r="GV99" s="57">
        <f t="shared" si="565"/>
        <v>0</v>
      </c>
      <c r="GW99" s="57">
        <f t="shared" si="741"/>
        <v>0</v>
      </c>
      <c r="GX99" s="57">
        <f t="shared" si="742"/>
        <v>0</v>
      </c>
      <c r="GY99" s="57">
        <f t="shared" si="743"/>
        <v>0</v>
      </c>
      <c r="GZ99" s="57">
        <f t="shared" si="744"/>
        <v>0</v>
      </c>
      <c r="HA99" s="1029">
        <f t="shared" si="566"/>
        <v>0</v>
      </c>
      <c r="HB99" s="57">
        <f t="shared" si="567"/>
        <v>0</v>
      </c>
      <c r="HC99" s="171" t="str">
        <f t="shared" si="568"/>
        <v/>
      </c>
      <c r="HD99" s="57">
        <f t="shared" si="745"/>
        <v>0</v>
      </c>
      <c r="HE99" s="57">
        <f>IF(OR(AND(GS$6=1,$L99=0),AND(GS$6=2,$K99=2,$G99=1)),0,IF(AND(GU$9=2,(OR($F99&gt;1,$K99=1,AND($L99=80,OR($N99=1,AND($N99=2,'#BerechnungDBE'!$AL90&gt;0)))))),IF(GS$4&gt;=$AD$126,0,HC99),IF(GU$9=3,IF(OR(GS$4&gt;=$AD$127,AND($G99=1,$J99=2,GS$6=2),AND(GS$6=1,$N99&lt;&gt;1)),0,IF(GW99&lt;=120,HC99,IF(GS$4&lt;$AD$124,IF($F99=1,60/GU$4*GU$6,60/GU$4*GU$7),IF($F99=1,120/GU$4*GU$6,120/GU$4*GU$7)))),IF(OR($F99=3,$G99=2),IF(OR(AND(GS$4&gt;=$AD$119,$C99=2),AND(GS$4&gt;=$AF$119,$C99=1)),0,IF(GW99&lt;=60,HC99,60/GU$4*GU$7)),IF(AND($F99=2,$G99=1),HC99,0)))))</f>
        <v>0</v>
      </c>
      <c r="HF99" s="57" t="str">
        <f t="shared" si="569"/>
        <v/>
      </c>
      <c r="HG99" s="57" t="str">
        <f t="shared" si="570"/>
        <v/>
      </c>
      <c r="HH99" s="713">
        <f>'org. Düngung 22'!BH98</f>
        <v>0</v>
      </c>
      <c r="HI99" s="57"/>
      <c r="HJ99" s="57"/>
      <c r="HK99" s="57">
        <f t="shared" si="571"/>
        <v>0</v>
      </c>
      <c r="HL99" s="57">
        <f t="shared" si="746"/>
        <v>0</v>
      </c>
      <c r="HM99" s="57">
        <f t="shared" si="747"/>
        <v>0</v>
      </c>
      <c r="HN99" s="57">
        <f t="shared" si="748"/>
        <v>0</v>
      </c>
      <c r="HO99" s="57">
        <f t="shared" si="749"/>
        <v>0</v>
      </c>
      <c r="HP99" s="1029">
        <f t="shared" si="572"/>
        <v>0</v>
      </c>
      <c r="HQ99" s="57">
        <f t="shared" si="573"/>
        <v>0</v>
      </c>
      <c r="HR99" s="171" t="str">
        <f t="shared" si="574"/>
        <v/>
      </c>
      <c r="HS99" s="57">
        <f t="shared" si="750"/>
        <v>0</v>
      </c>
      <c r="HT99" s="57">
        <f>IF(OR(AND(HH$6=1,$L99=0),AND(HH$6=2,$K99=2,$G99=1)),0,IF(AND(HJ$9=2,(OR($F99&gt;1,$K99=1,AND($L99=80,OR($N99=1,AND($N99=2,'#BerechnungDBE'!$AL90&gt;0)))))),IF(HH$4&gt;=$AD$126,0,HR99),IF(HJ$9=3,IF(OR(HH$4&gt;=$AD$127,AND($G99=1,$J99=2,HH$6=2),AND(HH$6=1,$N99&lt;&gt;1)),0,IF(HL99&lt;=120,HR99,IF(HH$4&lt;$AD$124,IF($F99=1,60/HJ$4*HJ$6,60/HJ$4*HJ$7),IF($F99=1,120/HJ$4*HJ$6,120/HJ$4*HJ$7)))),IF(OR($F99=3,$G99=2),IF(OR(AND(HH$4&gt;=$AD$119,$C99=2),AND(HH$4&gt;=$AF$119,$C99=1)),0,IF(HL99&lt;=60,HR99,60/HJ$4*HJ$7)),IF(AND($F99=2,$G99=1),HR99,0)))))</f>
        <v>0</v>
      </c>
      <c r="HU99" s="57" t="str">
        <f t="shared" si="575"/>
        <v/>
      </c>
      <c r="HV99" s="57" t="str">
        <f t="shared" si="576"/>
        <v/>
      </c>
      <c r="HW99" s="713">
        <f>'org. Düngung 22'!BL98</f>
        <v>0</v>
      </c>
      <c r="HX99" s="57"/>
      <c r="HY99" s="57"/>
      <c r="HZ99" s="57">
        <f t="shared" si="577"/>
        <v>0</v>
      </c>
      <c r="IA99" s="57">
        <f t="shared" si="751"/>
        <v>0</v>
      </c>
      <c r="IB99" s="57">
        <f t="shared" si="752"/>
        <v>0</v>
      </c>
      <c r="IC99" s="57">
        <f t="shared" si="753"/>
        <v>0</v>
      </c>
      <c r="ID99" s="57">
        <f t="shared" si="754"/>
        <v>0</v>
      </c>
      <c r="IE99" s="1029">
        <f t="shared" si="578"/>
        <v>0</v>
      </c>
      <c r="IF99" s="57">
        <f t="shared" si="579"/>
        <v>0</v>
      </c>
      <c r="IG99" s="171" t="str">
        <f t="shared" si="580"/>
        <v/>
      </c>
      <c r="IH99" s="57">
        <f t="shared" si="755"/>
        <v>0</v>
      </c>
      <c r="II99" s="57">
        <f>IF(OR(AND(HW$6=1,$L99=0),AND(HW$6=2,$K99=2,$G99=1)),0,IF(AND(HY$9=2,(OR($F99&gt;1,$K99=1,AND($L99=80,OR($N99=1,AND($N99=2,'#BerechnungDBE'!$AL90&gt;0)))))),IF(HW$4&gt;=$AD$126,0,IG99),IF(HY$9=3,IF(OR(HW$4&gt;=$AD$127,AND($G99=1,$J99=2,HW$6=2),AND(HW$6=1,$N99&lt;&gt;1)),0,IF(IA99&lt;=120,IG99,IF(HW$4&lt;$AD$124,IF($F99=1,60/HY$4*HY$6,60/HY$4*HY$7),IF($F99=1,120/HY$4*HY$6,120/HY$4*HY$7)))),IF(OR($F99=3,$G99=2),IF(OR(AND(HW$4&gt;=$AD$119,$C99=2),AND(HW$4&gt;=$AF$119,$C99=1)),0,IF(IA99&lt;=60,IG99,60/HY$4*HY$7)),IF(AND($F99=2,$G99=1),IG99,0)))))</f>
        <v>0</v>
      </c>
      <c r="IJ99" s="57" t="str">
        <f t="shared" si="581"/>
        <v/>
      </c>
      <c r="IK99" s="57" t="str">
        <f t="shared" si="582"/>
        <v/>
      </c>
      <c r="IL99" s="713">
        <f>'org. Düngung 22'!BP98</f>
        <v>0</v>
      </c>
      <c r="IM99" s="57"/>
      <c r="IN99" s="57"/>
      <c r="IO99" s="57">
        <f t="shared" si="583"/>
        <v>0</v>
      </c>
      <c r="IP99" s="57">
        <f t="shared" si="756"/>
        <v>0</v>
      </c>
      <c r="IQ99" s="57">
        <f t="shared" si="757"/>
        <v>0</v>
      </c>
      <c r="IR99" s="57">
        <f t="shared" si="758"/>
        <v>0</v>
      </c>
      <c r="IS99" s="57">
        <f t="shared" si="759"/>
        <v>0</v>
      </c>
      <c r="IT99" s="1029">
        <f t="shared" si="584"/>
        <v>0</v>
      </c>
      <c r="IU99" s="57">
        <f t="shared" si="585"/>
        <v>0</v>
      </c>
      <c r="IV99" s="171" t="str">
        <f t="shared" si="586"/>
        <v/>
      </c>
      <c r="IW99" s="57">
        <f t="shared" si="760"/>
        <v>0</v>
      </c>
      <c r="IX99" s="57">
        <f>IF(OR(AND(IL$6=1,$L99=0),AND(IL$6=2,$K99=2,$G99=1)),0,IF(AND(IN$9=2,(OR($F99&gt;1,$K99=1,AND($L99=80,OR($N99=1,AND($N99=2,'#BerechnungDBE'!$AL90&gt;0)))))),IF(IL$4&gt;=$AD$126,0,IV99),IF(IN$9=3,IF(OR(IL$4&gt;=$AD$127,AND($G99=1,$J99=2,IL$6=2),AND(IL$6=1,$N99&lt;&gt;1)),0,IF(IP99&lt;=120,IV99,IF(IL$4&lt;$AD$124,IF($F99=1,60/IN$4*IN$6,60/IN$4*IN$7),IF($F99=1,120/IN$4*IN$6,120/IN$4*IN$7)))),IF(OR($F99=3,$G99=2),IF(OR(AND(IL$4&gt;=$AD$119,$C99=2),AND(IL$4&gt;=$AF$119,$C99=1)),0,IF(IP99&lt;=60,IV99,60/IN$4*IN$7)),IF(AND($F99=2,$G99=1),IV99,0)))))</f>
        <v>0</v>
      </c>
      <c r="IY99" s="57" t="str">
        <f t="shared" si="587"/>
        <v/>
      </c>
      <c r="IZ99" s="57" t="str">
        <f t="shared" si="588"/>
        <v/>
      </c>
      <c r="JA99" s="713">
        <f>'org. Düngung 22'!BT98</f>
        <v>0</v>
      </c>
      <c r="JB99" s="57"/>
      <c r="JC99" s="57"/>
      <c r="JD99" s="57">
        <f t="shared" si="589"/>
        <v>0</v>
      </c>
      <c r="JE99" s="57">
        <f t="shared" si="761"/>
        <v>0</v>
      </c>
      <c r="JF99" s="57">
        <f t="shared" si="762"/>
        <v>0</v>
      </c>
      <c r="JG99" s="57">
        <f t="shared" si="763"/>
        <v>0</v>
      </c>
      <c r="JH99" s="57">
        <f t="shared" si="764"/>
        <v>0</v>
      </c>
      <c r="JI99" s="1029">
        <f t="shared" si="590"/>
        <v>0</v>
      </c>
      <c r="JJ99" s="57">
        <f t="shared" si="591"/>
        <v>0</v>
      </c>
      <c r="JK99" s="171" t="str">
        <f t="shared" si="592"/>
        <v/>
      </c>
      <c r="JL99" s="57">
        <f t="shared" si="765"/>
        <v>0</v>
      </c>
      <c r="JM99" s="57">
        <f>IF(OR(AND(JA$6=1,$L99=0),AND(JA$6=2,$K99=2,$G99=1)),0,IF(AND(JC$9=2,(OR($F99&gt;1,$K99=1,AND($L99=80,OR($N99=1,AND($N99=2,'#BerechnungDBE'!$AL90&gt;0)))))),IF(JA$4&gt;=$AD$126,0,JK99),IF(JC$9=3,IF(OR(JA$4&gt;=$AD$127,AND($G99=1,$J99=2,JA$6=2),AND(JA$6=1,$N99&lt;&gt;1)),0,IF(JE99&lt;=120,JK99,IF(JA$4&lt;$AD$124,IF($F99=1,60/JC$4*JC$6,60/JC$4*JC$7),IF($F99=1,120/JC$4*JC$6,120/JC$4*JC$7)))),IF(OR($F99=3,$G99=2),IF(OR(AND(JA$4&gt;=$AD$119,$C99=2),AND(JA$4&gt;=$AF$119,$C99=1)),0,IF(JE99&lt;=60,JK99,60/JC$4*JC$7)),IF(AND($F99=2,$G99=1),JK99,0)))))</f>
        <v>0</v>
      </c>
      <c r="JN99" s="57" t="str">
        <f t="shared" si="593"/>
        <v/>
      </c>
      <c r="JO99" s="57" t="str">
        <f t="shared" si="594"/>
        <v/>
      </c>
      <c r="JP99" s="713">
        <f>'org. Düngung 22'!BX98</f>
        <v>0</v>
      </c>
      <c r="JQ99" s="57"/>
      <c r="JR99" s="57"/>
      <c r="JS99" s="57">
        <f t="shared" si="595"/>
        <v>0</v>
      </c>
      <c r="JT99" s="57">
        <f t="shared" si="766"/>
        <v>0</v>
      </c>
      <c r="JU99" s="57">
        <f t="shared" si="767"/>
        <v>0</v>
      </c>
      <c r="JV99" s="57">
        <f t="shared" si="768"/>
        <v>0</v>
      </c>
      <c r="JW99" s="57">
        <f t="shared" si="769"/>
        <v>0</v>
      </c>
      <c r="JX99" s="1029">
        <f t="shared" si="596"/>
        <v>0</v>
      </c>
      <c r="JY99" s="57">
        <f t="shared" si="597"/>
        <v>0</v>
      </c>
      <c r="JZ99" s="171" t="str">
        <f t="shared" si="598"/>
        <v/>
      </c>
      <c r="KA99" s="57">
        <f t="shared" si="770"/>
        <v>0</v>
      </c>
      <c r="KB99" s="57">
        <f>IF(OR(AND(JP$6=1,$L99=0),AND(JP$6=2,$K99=2,$G99=1)),0,IF(AND(JR$9=2,(OR($F99&gt;1,$K99=1,AND($L99=80,OR($N99=1,AND($N99=2,'#BerechnungDBE'!$AL90&gt;0)))))),IF(JP$4&gt;=$AD$126,0,JZ99),IF(JR$9=3,IF(OR(JP$4&gt;=$AD$127,AND($G99=1,$J99=2,JP$6=2),AND(JP$6=1,$N99&lt;&gt;1)),0,IF(JT99&lt;=120,JZ99,IF(JP$4&lt;$AD$124,IF($F99=1,60/JR$4*JR$6,60/JR$4*JR$7),IF($F99=1,120/JR$4*JR$6,120/JR$4*JR$7)))),IF(OR($F99=3,$G99=2),IF(OR(AND(JP$4&gt;=$AD$119,$C99=2),AND(JP$4&gt;=$AF$119,$C99=1)),0,IF(JT99&lt;=60,JZ99,60/JR$4*JR$7)),IF(AND($F99=2,$G99=1),JZ99,0)))))</f>
        <v>0</v>
      </c>
      <c r="KC99" s="57" t="str">
        <f t="shared" si="599"/>
        <v/>
      </c>
      <c r="KD99" s="57" t="str">
        <f t="shared" si="600"/>
        <v/>
      </c>
      <c r="KE99" s="713">
        <f>'org. Düngung 22'!CB98</f>
        <v>0</v>
      </c>
      <c r="KF99" s="57"/>
      <c r="KG99" s="57"/>
      <c r="KH99" s="57">
        <f t="shared" si="601"/>
        <v>0</v>
      </c>
      <c r="KI99" s="57">
        <f t="shared" si="771"/>
        <v>0</v>
      </c>
      <c r="KJ99" s="57">
        <f t="shared" si="772"/>
        <v>0</v>
      </c>
      <c r="KK99" s="57">
        <f t="shared" si="773"/>
        <v>0</v>
      </c>
      <c r="KL99" s="57">
        <f t="shared" si="774"/>
        <v>0</v>
      </c>
      <c r="KM99" s="1029">
        <f t="shared" si="602"/>
        <v>0</v>
      </c>
      <c r="KN99" s="57">
        <f t="shared" si="603"/>
        <v>0</v>
      </c>
      <c r="KO99" s="171" t="str">
        <f t="shared" si="604"/>
        <v/>
      </c>
      <c r="KP99" s="57">
        <f t="shared" si="775"/>
        <v>0</v>
      </c>
      <c r="KQ99" s="57">
        <f>IF(OR(AND(KE$6=1,$L99=0),AND(KE$6=2,$K99=2,$G99=1)),0,IF(AND(KG$9=2,(OR($F99&gt;1,$K99=1,AND($L99=80,OR($N99=1,AND($N99=2,'#BerechnungDBE'!$AL90&gt;0)))))),IF(KE$4&gt;=$AD$126,0,KO99),IF(KG$9=3,IF(OR(KE$4&gt;=$AD$127,AND($G99=1,$J99=2,KE$6=2),AND(KE$6=1,$N99&lt;&gt;1)),0,IF(KI99&lt;=120,KO99,IF(KE$4&lt;$AD$124,IF($F99=1,60/KG$4*KG$6,60/KG$4*KG$7),IF($F99=1,120/KG$4*KG$6,120/KG$4*KG$7)))),IF(OR($F99=3,$G99=2),IF(OR(AND(KE$4&gt;=$AD$119,$C99=2),AND(KE$4&gt;=$AF$119,$C99=1)),0,IF(KI99&lt;=60,KO99,60/KG$4*KG$7)),IF(AND($F99=2,$G99=1),KO99,0)))))</f>
        <v>0</v>
      </c>
      <c r="KR99" s="57" t="str">
        <f t="shared" si="605"/>
        <v/>
      </c>
      <c r="KS99" s="57" t="str">
        <f t="shared" si="606"/>
        <v/>
      </c>
      <c r="KT99" s="713">
        <f>'org. Düngung 22'!CF98</f>
        <v>0</v>
      </c>
      <c r="KU99" s="57"/>
      <c r="KV99" s="57"/>
      <c r="KW99" s="57">
        <f t="shared" si="607"/>
        <v>0</v>
      </c>
      <c r="KX99" s="57">
        <f t="shared" si="776"/>
        <v>0</v>
      </c>
      <c r="KY99" s="57">
        <f t="shared" si="777"/>
        <v>0</v>
      </c>
      <c r="KZ99" s="57">
        <f t="shared" si="778"/>
        <v>0</v>
      </c>
      <c r="LA99" s="57">
        <f t="shared" si="779"/>
        <v>0</v>
      </c>
      <c r="LB99" s="1029">
        <f t="shared" si="608"/>
        <v>0</v>
      </c>
      <c r="LC99" s="57">
        <f t="shared" si="609"/>
        <v>0</v>
      </c>
      <c r="LD99" s="171" t="str">
        <f t="shared" si="610"/>
        <v/>
      </c>
      <c r="LE99" s="57">
        <f t="shared" si="780"/>
        <v>0</v>
      </c>
      <c r="LF99" s="57">
        <f>IF(OR(AND(KT$6=1,$L99=0),AND(KT$6=2,$K99=2,$G99=1)),0,IF(AND(KV$9=2,(OR($F99&gt;1,$K99=1,AND($L99=80,OR($N99=1,AND($N99=2,'#BerechnungDBE'!$AL90&gt;0)))))),IF(KT$4&gt;=$AD$126,0,LD99),IF(KV$9=3,IF(OR(KT$4&gt;=$AD$127,AND($G99=1,$J99=2,KT$6=2),AND(KT$6=1,$N99&lt;&gt;1)),0,IF(KX99&lt;=120,LD99,IF(KT$4&lt;$AD$124,IF($F99=1,60/KV$4*KV$6,60/KV$4*KV$7),IF($F99=1,120/KV$4*KV$6,120/KV$4*KV$7)))),IF(OR($F99=3,$G99=2),IF(OR(AND(KT$4&gt;=$AD$119,$C99=2),AND(KT$4&gt;=$AF$119,$C99=1)),0,IF(KX99&lt;=60,LD99,60/KV$4*KV$7)),IF(AND($F99=2,$G99=1),LD99,0)))))</f>
        <v>0</v>
      </c>
      <c r="LG99" s="57" t="str">
        <f t="shared" si="611"/>
        <v/>
      </c>
      <c r="LH99" s="57" t="str">
        <f t="shared" si="612"/>
        <v/>
      </c>
      <c r="LI99" s="713">
        <f>'org. Düngung 22'!CJ98</f>
        <v>0</v>
      </c>
      <c r="LJ99" s="57"/>
      <c r="LK99" s="57"/>
      <c r="LL99" s="57">
        <f t="shared" si="613"/>
        <v>0</v>
      </c>
      <c r="LM99" s="57">
        <f t="shared" si="781"/>
        <v>0</v>
      </c>
      <c r="LN99" s="57">
        <f t="shared" si="782"/>
        <v>0</v>
      </c>
      <c r="LO99" s="57">
        <f t="shared" si="783"/>
        <v>0</v>
      </c>
      <c r="LP99" s="57">
        <f t="shared" si="784"/>
        <v>0</v>
      </c>
      <c r="LQ99" s="1029">
        <f t="shared" si="614"/>
        <v>0</v>
      </c>
      <c r="LR99" s="57">
        <f t="shared" si="615"/>
        <v>0</v>
      </c>
      <c r="LS99" s="171" t="str">
        <f t="shared" si="616"/>
        <v/>
      </c>
      <c r="LT99" s="57">
        <f t="shared" si="785"/>
        <v>0</v>
      </c>
      <c r="LU99" s="57">
        <f>IF(OR(AND(LI$6=1,$L99=0),AND(LI$6=2,$K99=2,$G99=1)),0,IF(AND(LK$9=2,(OR($F99&gt;1,$K99=1,AND($L99=80,OR($N99=1,AND($N99=2,'#BerechnungDBE'!$AL90&gt;0)))))),IF(LI$4&gt;=$AD$126,0,LS99),IF(LK$9=3,IF(OR(LI$4&gt;=$AD$127,AND($G99=1,$J99=2,LI$6=2),AND(LI$6=1,$N99&lt;&gt;1)),0,IF(LM99&lt;=120,LS99,IF(LI$4&lt;$AD$124,IF($F99=1,60/LK$4*LK$6,60/LK$4*LK$7),IF($F99=1,120/LK$4*LK$6,120/LK$4*LK$7)))),IF(OR($F99=3,$G99=2),IF(OR(AND(LI$4&gt;=$AD$119,$C99=2),AND(LI$4&gt;=$AF$119,$C99=1)),0,IF(LM99&lt;=60,LS99,60/LK$4*LK$7)),IF(AND($F99=2,$G99=1),LS99,0)))))</f>
        <v>0</v>
      </c>
      <c r="LV99" s="57" t="str">
        <f t="shared" si="617"/>
        <v/>
      </c>
      <c r="LW99" s="57" t="str">
        <f t="shared" si="618"/>
        <v/>
      </c>
      <c r="LX99" s="713">
        <f>'org. Düngung 22'!CN98</f>
        <v>0</v>
      </c>
      <c r="LY99" s="57"/>
      <c r="LZ99" s="57"/>
      <c r="MA99" s="57">
        <f t="shared" si="619"/>
        <v>0</v>
      </c>
      <c r="MB99" s="57">
        <f t="shared" si="786"/>
        <v>0</v>
      </c>
      <c r="MC99" s="57">
        <f t="shared" si="787"/>
        <v>0</v>
      </c>
      <c r="MD99" s="57">
        <f t="shared" si="788"/>
        <v>0</v>
      </c>
      <c r="ME99" s="57">
        <f t="shared" si="789"/>
        <v>0</v>
      </c>
      <c r="MF99" s="1029">
        <f t="shared" si="620"/>
        <v>0</v>
      </c>
      <c r="MG99" s="57">
        <f t="shared" si="621"/>
        <v>0</v>
      </c>
      <c r="MH99" s="171" t="str">
        <f t="shared" si="622"/>
        <v/>
      </c>
      <c r="MI99" s="57">
        <f t="shared" si="790"/>
        <v>0</v>
      </c>
      <c r="MJ99" s="57">
        <f>IF(OR(AND(LX$6=1,$L99=0),AND(LX$6=2,$K99=2,$G99=1)),0,IF(AND(LZ$9=2,(OR($F99&gt;1,$K99=1,AND($L99=80,OR($N99=1,AND($N99=2,'#BerechnungDBE'!$AL90&gt;0)))))),IF(LX$4&gt;=$AD$126,0,MH99),IF(LZ$9=3,IF(OR(LX$4&gt;=$AD$127,AND($G99=1,$J99=2,LX$6=2),AND(LX$6=1,$N99&lt;&gt;1)),0,IF(MB99&lt;=120,MH99,IF(LX$4&lt;$AD$124,IF($F99=1,60/LZ$4*LZ$6,60/LZ$4*LZ$7),IF($F99=1,120/LZ$4*LZ$6,120/LZ$4*LZ$7)))),IF(OR($F99=3,$G99=2),IF(OR(AND(LX$4&gt;=$AD$119,$C99=2),AND(LX$4&gt;=$AF$119,$C99=1)),0,IF(MB99&lt;=60,MH99,60/LZ$4*LZ$7)),IF(AND($F99=2,$G99=1),MH99,0)))))</f>
        <v>0</v>
      </c>
      <c r="MK99" s="57" t="str">
        <f t="shared" si="623"/>
        <v/>
      </c>
      <c r="ML99" s="57" t="str">
        <f t="shared" si="624"/>
        <v/>
      </c>
      <c r="MM99" s="713">
        <f>'org. Düngung 22'!CR98</f>
        <v>0</v>
      </c>
      <c r="MN99" s="57"/>
      <c r="MO99" s="57"/>
      <c r="MP99" s="57">
        <f t="shared" si="625"/>
        <v>0</v>
      </c>
      <c r="MQ99" s="57">
        <f t="shared" si="791"/>
        <v>0</v>
      </c>
      <c r="MR99" s="57">
        <f t="shared" si="792"/>
        <v>0</v>
      </c>
      <c r="MS99" s="57">
        <f t="shared" si="793"/>
        <v>0</v>
      </c>
      <c r="MT99" s="57">
        <f t="shared" si="794"/>
        <v>0</v>
      </c>
      <c r="MU99" s="1029">
        <f t="shared" si="626"/>
        <v>0</v>
      </c>
      <c r="MV99" s="57">
        <f t="shared" si="627"/>
        <v>0</v>
      </c>
      <c r="MW99" s="171" t="str">
        <f t="shared" si="628"/>
        <v/>
      </c>
      <c r="MX99" s="57">
        <f t="shared" si="795"/>
        <v>0</v>
      </c>
      <c r="MY99" s="57">
        <f>IF(OR(AND(MM$6=1,$L99=0),AND(MM$6=2,$K99=2,$G99=1)),0,IF(AND(MO$9=2,(OR($F99&gt;1,$K99=1,AND($L99=80,OR($N99=1,AND($N99=2,'#BerechnungDBE'!$AL90&gt;0)))))),IF(MM$4&gt;=$AD$126,0,MW99),IF(MO$9=3,IF(OR(MM$4&gt;=$AD$127,AND($G99=1,$J99=2,MM$6=2),AND(MM$6=1,$N99&lt;&gt;1)),0,IF(MQ99&lt;=120,MW99,IF(MM$4&lt;$AD$124,IF($F99=1,60/MO$4*MO$6,60/MO$4*MO$7),IF($F99=1,120/MO$4*MO$6,120/MO$4*MO$7)))),IF(OR($F99=3,$G99=2),IF(OR(AND(MM$4&gt;=$AD$119,$C99=2),AND(MM$4&gt;=$AF$119,$C99=1)),0,IF(MQ99&lt;=60,MW99,60/MO$4*MO$7)),IF(AND($F99=2,$G99=1),MW99,0)))))</f>
        <v>0</v>
      </c>
      <c r="MZ99" s="57" t="str">
        <f t="shared" si="629"/>
        <v/>
      </c>
      <c r="NA99" s="57" t="str">
        <f t="shared" si="630"/>
        <v/>
      </c>
      <c r="NB99" s="713">
        <f>'org. Düngung 22'!CV98</f>
        <v>0</v>
      </c>
      <c r="NC99" s="57"/>
      <c r="ND99" s="57"/>
      <c r="NE99" s="57">
        <f t="shared" si="631"/>
        <v>0</v>
      </c>
      <c r="NF99" s="57">
        <f t="shared" si="796"/>
        <v>0</v>
      </c>
      <c r="NG99" s="57">
        <f t="shared" si="797"/>
        <v>0</v>
      </c>
      <c r="NH99" s="57">
        <f t="shared" si="798"/>
        <v>0</v>
      </c>
      <c r="NI99" s="57">
        <f t="shared" si="799"/>
        <v>0</v>
      </c>
      <c r="NJ99" s="1029">
        <f t="shared" si="632"/>
        <v>0</v>
      </c>
      <c r="NK99" s="57">
        <f t="shared" si="633"/>
        <v>0</v>
      </c>
      <c r="NL99" s="171" t="str">
        <f t="shared" si="634"/>
        <v/>
      </c>
      <c r="NM99" s="57">
        <f t="shared" si="800"/>
        <v>0</v>
      </c>
      <c r="NN99" s="57">
        <f>IF(OR(AND(NB$6=1,$L99=0),AND(NB$6=2,$K99=2,$G99=1)),0,IF(AND(ND$9=2,(OR($F99&gt;1,$K99=1,AND($L99=80,OR($N99=1,AND($N99=2,'#BerechnungDBE'!$AL90&gt;0)))))),IF(NB$4&gt;=$AD$126,0,NL99),IF(ND$9=3,IF(OR(NB$4&gt;=$AD$127,AND($G99=1,$J99=2,NB$6=2),AND(NB$6=1,$N99&lt;&gt;1)),0,IF(NF99&lt;=120,NL99,IF(NB$4&lt;$AD$124,IF($F99=1,60/ND$4*ND$6,60/ND$4*ND$7),IF($F99=1,120/ND$4*ND$6,120/ND$4*ND$7)))),IF(OR($F99=3,$G99=2),IF(OR(AND(NB$4&gt;=$AD$119,$C99=2),AND(NB$4&gt;=$AF$119,$C99=1)),0,IF(NF99&lt;=60,NL99,60/ND$4*ND$7)),IF(AND($F99=2,$G99=1),NL99,0)))))</f>
        <v>0</v>
      </c>
      <c r="NO99" s="57" t="str">
        <f t="shared" si="635"/>
        <v/>
      </c>
      <c r="NP99" s="57" t="str">
        <f t="shared" si="636"/>
        <v/>
      </c>
      <c r="NQ99" s="713">
        <f>'org. Düngung 22'!CZ98</f>
        <v>0</v>
      </c>
      <c r="NR99" s="57"/>
      <c r="NS99" s="57"/>
      <c r="NT99" s="57">
        <f t="shared" si="637"/>
        <v>0</v>
      </c>
      <c r="NU99" s="57">
        <f t="shared" si="801"/>
        <v>0</v>
      </c>
      <c r="NV99" s="57">
        <f t="shared" si="802"/>
        <v>0</v>
      </c>
      <c r="NW99" s="57">
        <f t="shared" si="803"/>
        <v>0</v>
      </c>
      <c r="NX99" s="57">
        <f t="shared" si="804"/>
        <v>0</v>
      </c>
      <c r="NY99" s="1029">
        <f t="shared" si="638"/>
        <v>0</v>
      </c>
      <c r="NZ99" s="57">
        <f t="shared" si="639"/>
        <v>0</v>
      </c>
      <c r="OA99" s="171" t="str">
        <f t="shared" si="640"/>
        <v/>
      </c>
      <c r="OB99" s="57">
        <f t="shared" si="805"/>
        <v>0</v>
      </c>
      <c r="OC99" s="57">
        <f>IF(OR(AND(NQ$6=1,$L99=0),AND(NQ$6=2,$K99=2,$G99=1)),0,IF(AND(NS$9=2,(OR($F99&gt;1,$K99=1,AND($L99=80,OR($N99=1,AND($N99=2,'#BerechnungDBE'!$AL90&gt;0)))))),IF(NQ$4&gt;=$AD$126,0,OA99),IF(NS$9=3,IF(OR(NQ$4&gt;=$AD$127,AND($G99=1,$J99=2,NQ$6=2),AND(NQ$6=1,$N99&lt;&gt;1)),0,IF(NU99&lt;=120,OA99,IF(NQ$4&lt;$AD$124,IF($F99=1,60/NS$4*NS$6,60/NS$4*NS$7),IF($F99=1,120/NS$4*NS$6,120/NS$4*NS$7)))),IF(OR($F99=3,$G99=2),IF(OR(AND(NQ$4&gt;=$AD$119,$C99=2),AND(NQ$4&gt;=$AF$119,$C99=1)),0,IF(NU99&lt;=60,OA99,60/NS$4*NS$7)),IF(AND($F99=2,$G99=1),OA99,0)))))</f>
        <v>0</v>
      </c>
      <c r="OD99" s="57" t="str">
        <f t="shared" si="641"/>
        <v/>
      </c>
      <c r="OE99" s="57" t="str">
        <f t="shared" si="642"/>
        <v/>
      </c>
      <c r="OF99" s="713">
        <f>'org. Düngung 22'!DD98</f>
        <v>0</v>
      </c>
      <c r="OG99" s="57"/>
      <c r="OH99" s="57"/>
      <c r="OI99" s="57">
        <f t="shared" si="643"/>
        <v>0</v>
      </c>
      <c r="OJ99" s="57">
        <f t="shared" si="806"/>
        <v>0</v>
      </c>
      <c r="OK99" s="57">
        <f t="shared" si="807"/>
        <v>0</v>
      </c>
      <c r="OL99" s="57">
        <f t="shared" si="808"/>
        <v>0</v>
      </c>
      <c r="OM99" s="57">
        <f t="shared" si="809"/>
        <v>0</v>
      </c>
      <c r="ON99" s="1029">
        <f t="shared" si="644"/>
        <v>0</v>
      </c>
      <c r="OO99" s="57">
        <f t="shared" si="645"/>
        <v>0</v>
      </c>
      <c r="OP99" s="171" t="str">
        <f t="shared" si="646"/>
        <v/>
      </c>
      <c r="OQ99" s="57">
        <f t="shared" si="810"/>
        <v>0</v>
      </c>
      <c r="OR99" s="57">
        <f>IF(OR(AND(OF$6=1,$L99=0),AND(OF$6=2,$K99=2,$G99=1)),0,IF(AND(OH$9=2,(OR($F99&gt;1,$K99=1,AND($L99=80,OR($N99=1,AND($N99=2,'#BerechnungDBE'!$AL90&gt;0)))))),IF(OF$4&gt;=$AD$126,0,OP99),IF(OH$9=3,IF(OR(OF$4&gt;=$AD$127,AND($G99=1,$J99=2,OF$6=2),AND(OF$6=1,$N99&lt;&gt;1)),0,IF(OJ99&lt;=120,OP99,IF(OF$4&lt;$AD$124,IF($F99=1,60/OH$4*OH$6,60/OH$4*OH$7),IF($F99=1,120/OH$4*OH$6,120/OH$4*OH$7)))),IF(OR($F99=3,$G99=2),IF(OR(AND(OF$4&gt;=$AD$119,$C99=2),AND(OF$4&gt;=$AF$119,$C99=1)),0,IF(OJ99&lt;=60,OP99,60/OH$4*OH$7)),IF(AND($F99=2,$G99=1),OP99,0)))))</f>
        <v>0</v>
      </c>
      <c r="OS99" s="57" t="str">
        <f t="shared" si="647"/>
        <v/>
      </c>
      <c r="OT99" s="57" t="str">
        <f t="shared" si="648"/>
        <v/>
      </c>
      <c r="OU99" s="713">
        <f>'org. Düngung 22'!DH98</f>
        <v>0</v>
      </c>
      <c r="OV99" s="57"/>
      <c r="OW99" s="57"/>
      <c r="OX99" s="57">
        <f t="shared" si="649"/>
        <v>0</v>
      </c>
      <c r="OY99" s="57">
        <f t="shared" si="811"/>
        <v>0</v>
      </c>
      <c r="OZ99" s="57">
        <f t="shared" si="812"/>
        <v>0</v>
      </c>
      <c r="PA99" s="57">
        <f t="shared" si="813"/>
        <v>0</v>
      </c>
      <c r="PB99" s="57">
        <f t="shared" si="814"/>
        <v>0</v>
      </c>
      <c r="PC99" s="1029">
        <f t="shared" si="650"/>
        <v>0</v>
      </c>
      <c r="PD99" s="57">
        <f t="shared" si="651"/>
        <v>0</v>
      </c>
      <c r="PE99" s="171" t="str">
        <f t="shared" si="652"/>
        <v/>
      </c>
      <c r="PF99" s="57">
        <f t="shared" si="815"/>
        <v>0</v>
      </c>
      <c r="PG99" s="57">
        <f>IF(OR(AND(OU$6=1,$L99=0),AND(OU$6=2,$K99=2,$G99=1)),0,IF(AND(OW$9=2,(OR($F99&gt;1,$K99=1,AND($L99=80,OR($N99=1,AND($N99=2,'#BerechnungDBE'!$AL90&gt;0)))))),IF(OU$4&gt;=$AD$126,0,PE99),IF(OW$9=3,IF(OR(OU$4&gt;=$AD$127,AND($G99=1,$J99=2,OU$6=2),AND(OU$6=1,$N99&lt;&gt;1)),0,IF(OY99&lt;=120,PE99,IF(OU$4&lt;$AD$124,IF($F99=1,60/OW$4*OW$6,60/OW$4*OW$7),IF($F99=1,120/OW$4*OW$6,120/OW$4*OW$7)))),IF(OR($F99=3,$G99=2),IF(OR(AND(OU$4&gt;=$AD$119,$C99=2),AND(OU$4&gt;=$AF$119,$C99=1)),0,IF(OY99&lt;=60,PE99,60/OW$4*OW$7)),IF(AND($F99=2,$G99=1),PE99,0)))))</f>
        <v>0</v>
      </c>
      <c r="PH99" s="57" t="str">
        <f t="shared" si="653"/>
        <v/>
      </c>
      <c r="PI99" s="57" t="str">
        <f t="shared" si="654"/>
        <v/>
      </c>
      <c r="PJ99" s="713">
        <f>'org. Düngung 22'!DL98</f>
        <v>0</v>
      </c>
      <c r="PK99" s="57"/>
      <c r="PL99" s="57"/>
      <c r="PM99" s="57">
        <f t="shared" si="655"/>
        <v>0</v>
      </c>
      <c r="PN99" s="57">
        <f t="shared" si="816"/>
        <v>0</v>
      </c>
      <c r="PO99" s="57">
        <f t="shared" si="817"/>
        <v>0</v>
      </c>
      <c r="PP99" s="57">
        <f t="shared" si="818"/>
        <v>0</v>
      </c>
      <c r="PQ99" s="57">
        <f t="shared" si="819"/>
        <v>0</v>
      </c>
      <c r="PR99" s="1029">
        <f t="shared" si="656"/>
        <v>0</v>
      </c>
      <c r="PS99" s="57">
        <f t="shared" si="657"/>
        <v>0</v>
      </c>
      <c r="PT99" s="171" t="str">
        <f t="shared" si="658"/>
        <v/>
      </c>
      <c r="PU99" s="57">
        <f t="shared" si="820"/>
        <v>0</v>
      </c>
      <c r="PV99" s="57">
        <f>IF(OR(AND(PJ$6=1,$L99=0),AND(PJ$6=2,$K99=2,$G99=1)),0,IF(AND(PL$9=2,(OR($F99&gt;1,$K99=1,AND($L99=80,OR($N99=1,AND($N99=2,'#BerechnungDBE'!$AL90&gt;0)))))),IF(PJ$4&gt;=$AD$126,0,PT99),IF(PL$9=3,IF(OR(PJ$4&gt;=$AD$127,AND($G99=1,$J99=2,PJ$6=2),AND(PJ$6=1,$N99&lt;&gt;1)),0,IF(PN99&lt;=120,PT99,IF(PJ$4&lt;$AD$124,IF($F99=1,60/PL$4*PL$6,60/PL$4*PL$7),IF($F99=1,120/PL$4*PL$6,120/PL$4*PL$7)))),IF(OR($F99=3,$G99=2),IF(OR(AND(PJ$4&gt;=$AD$119,$C99=2),AND(PJ$4&gt;=$AF$119,$C99=1)),0,IF(PN99&lt;=60,PT99,60/PL$4*PL$7)),IF(AND($F99=2,$G99=1),PT99,0)))))</f>
        <v>0</v>
      </c>
      <c r="PW99" s="57" t="str">
        <f t="shared" si="659"/>
        <v/>
      </c>
      <c r="PX99" s="57" t="str">
        <f t="shared" si="660"/>
        <v/>
      </c>
      <c r="PY99" s="713">
        <f>'org. Düngung 22'!DP98</f>
        <v>0</v>
      </c>
      <c r="PZ99" s="57"/>
      <c r="QA99" s="57"/>
      <c r="QB99" s="57">
        <f t="shared" si="661"/>
        <v>0</v>
      </c>
      <c r="QC99" s="57">
        <f t="shared" si="821"/>
        <v>0</v>
      </c>
      <c r="QD99" s="57">
        <f t="shared" si="822"/>
        <v>0</v>
      </c>
      <c r="QE99" s="57">
        <f t="shared" si="823"/>
        <v>0</v>
      </c>
      <c r="QF99" s="57">
        <f t="shared" si="824"/>
        <v>0</v>
      </c>
      <c r="QG99" s="1029">
        <f t="shared" si="662"/>
        <v>0</v>
      </c>
      <c r="QH99" s="57">
        <f t="shared" si="663"/>
        <v>0</v>
      </c>
      <c r="QI99" s="171" t="str">
        <f t="shared" si="664"/>
        <v/>
      </c>
      <c r="QJ99" s="57">
        <f t="shared" si="825"/>
        <v>0</v>
      </c>
      <c r="QK99" s="57">
        <f>IF(OR(AND(PY$6=1,$L99=0),AND(PY$6=2,$K99=2,$G99=1)),0,IF(AND(QA$9=2,(OR($F99&gt;1,$K99=1,AND($L99=80,OR($N99=1,AND($N99=2,'#BerechnungDBE'!$AL90&gt;0)))))),IF(PY$4&gt;=$AD$126,0,QI99),IF(QA$9=3,IF(OR(PY$4&gt;=$AD$127,AND($G99=1,$J99=2,PY$6=2),AND(PY$6=1,$N99&lt;&gt;1)),0,IF(QC99&lt;=120,QI99,IF(PY$4&lt;$AD$124,IF($F99=1,60/QA$4*QA$6,60/QA$4*QA$7),IF($F99=1,120/QA$4*QA$6,120/QA$4*QA$7)))),IF(OR($F99=3,$G99=2),IF(OR(AND(PY$4&gt;=$AD$119,$C99=2),AND(PY$4&gt;=$AF$119,$C99=1)),0,IF(QC99&lt;=60,QI99,60/QA$4*QA$7)),IF(AND($F99=2,$G99=1),QI99,0)))))</f>
        <v>0</v>
      </c>
      <c r="QL99" s="57" t="str">
        <f t="shared" si="665"/>
        <v/>
      </c>
      <c r="QM99" s="57" t="str">
        <f t="shared" si="666"/>
        <v/>
      </c>
      <c r="QN99" s="713">
        <f>'org. Düngung 22'!DT98</f>
        <v>0</v>
      </c>
      <c r="QO99" s="57"/>
      <c r="QP99" s="57"/>
      <c r="QQ99" s="57">
        <f t="shared" si="667"/>
        <v>0</v>
      </c>
      <c r="QR99" s="57">
        <f t="shared" si="826"/>
        <v>0</v>
      </c>
      <c r="QS99" s="57">
        <f t="shared" si="827"/>
        <v>0</v>
      </c>
      <c r="QT99" s="57">
        <f t="shared" si="828"/>
        <v>0</v>
      </c>
      <c r="QU99" s="57">
        <f t="shared" si="829"/>
        <v>0</v>
      </c>
      <c r="QV99" s="1029">
        <f t="shared" si="668"/>
        <v>0</v>
      </c>
      <c r="QW99" s="57">
        <f t="shared" si="669"/>
        <v>0</v>
      </c>
      <c r="QX99" s="171" t="str">
        <f t="shared" si="670"/>
        <v/>
      </c>
      <c r="QY99" s="57">
        <f t="shared" si="830"/>
        <v>0</v>
      </c>
      <c r="QZ99" s="57">
        <f>IF(OR(AND(QN$6=1,$L99=0),AND(QN$6=2,$K99=2,$G99=1)),0,IF(AND(QP$9=2,(OR($F99&gt;1,$K99=1,AND($L99=80,OR($N99=1,AND($N99=2,'#BerechnungDBE'!$AL90&gt;0)))))),IF(QN$4&gt;=$AD$126,0,QX99),IF(QP$9=3,IF(OR(QN$4&gt;=$AD$127,AND($G99=1,$J99=2,QN$6=2),AND(QN$6=1,$N99&lt;&gt;1)),0,IF(QR99&lt;=120,QX99,IF(QN$4&lt;$AD$124,IF($F99=1,60/QP$4*QP$6,60/QP$4*QP$7),IF($F99=1,120/QP$4*QP$6,120/QP$4*QP$7)))),IF(OR($F99=3,$G99=2),IF(OR(AND(QN$4&gt;=$AD$119,$C99=2),AND(QN$4&gt;=$AF$119,$C99=1)),0,IF(QR99&lt;=60,QX99,60/QP$4*QP$7)),IF(AND($F99=2,$G99=1),QX99,0)))))</f>
        <v>0</v>
      </c>
      <c r="RA99" s="57" t="str">
        <f t="shared" si="671"/>
        <v/>
      </c>
      <c r="RB99" s="57" t="str">
        <f t="shared" si="672"/>
        <v/>
      </c>
      <c r="RC99" s="713">
        <f>'org. Düngung 22'!DX98</f>
        <v>0</v>
      </c>
      <c r="RD99" s="57"/>
      <c r="RE99" s="57"/>
      <c r="RF99" s="57">
        <f t="shared" si="673"/>
        <v>0</v>
      </c>
      <c r="RG99" s="57">
        <f t="shared" si="831"/>
        <v>0</v>
      </c>
      <c r="RH99" s="57">
        <f t="shared" si="832"/>
        <v>0</v>
      </c>
      <c r="RI99" s="57">
        <f t="shared" si="833"/>
        <v>0</v>
      </c>
      <c r="RJ99" s="57">
        <f t="shared" si="834"/>
        <v>0</v>
      </c>
      <c r="RK99" s="1029">
        <f t="shared" si="674"/>
        <v>0</v>
      </c>
      <c r="RL99" s="57">
        <f t="shared" si="675"/>
        <v>0</v>
      </c>
      <c r="RM99" s="171" t="str">
        <f t="shared" si="676"/>
        <v/>
      </c>
      <c r="RN99" s="57">
        <f t="shared" si="835"/>
        <v>0</v>
      </c>
      <c r="RO99" s="57">
        <f>IF(OR(AND(RC$6=1,$L99=0),AND(RC$6=2,$K99=2,$G99=1)),0,IF(AND(RE$9=2,(OR($F99&gt;1,$K99=1,AND($L99=80,OR($N99=1,AND($N99=2,'#BerechnungDBE'!$AL90&gt;0)))))),IF(RC$4&gt;=$AD$126,0,RM99),IF(RE$9=3,IF(OR(RC$4&gt;=$AD$127,AND($G99=1,$J99=2,RC$6=2),AND(RC$6=1,$N99&lt;&gt;1)),0,IF(RG99&lt;=120,RM99,IF(RC$4&lt;$AD$124,IF($F99=1,60/RE$4*RE$6,60/RE$4*RE$7),IF($F99=1,120/RE$4*RE$6,120/RE$4*RE$7)))),IF(OR($F99=3,$G99=2),IF(OR(AND(RC$4&gt;=$AD$119,$C99=2),AND(RC$4&gt;=$AF$119,$C99=1)),0,IF(RG99&lt;=60,RM99,60/RE$4*RE$7)),IF(AND($F99=2,$G99=1),RM99,0)))))</f>
        <v>0</v>
      </c>
      <c r="RP99" s="57" t="str">
        <f t="shared" si="677"/>
        <v/>
      </c>
      <c r="RQ99" s="57" t="str">
        <f t="shared" si="678"/>
        <v/>
      </c>
      <c r="RS99" s="57" t="str">
        <f t="shared" si="836"/>
        <v/>
      </c>
      <c r="RT99" s="57" t="str">
        <f t="shared" si="679"/>
        <v/>
      </c>
      <c r="RU99" s="57" t="str">
        <f t="shared" si="680"/>
        <v/>
      </c>
      <c r="RV99" s="57" t="str">
        <f>IF(Z99&gt;'#BerechnungDBE'!BM90,$RV$9,"")</f>
        <v/>
      </c>
      <c r="RW99" s="57" t="str">
        <f>IF(AND(L99=70,AE99&gt;'#BerechnungDBE'!CQ90),$RW$9,"")</f>
        <v/>
      </c>
      <c r="RX99" s="57" t="str">
        <f>IF(OR('org. Düngung 22'!G98="--",'org. Düngung 22'!G98&lt;=170,'org. Düngung 22'!G98=""),"",$RX$9)</f>
        <v/>
      </c>
      <c r="RY99" s="57" t="str">
        <f>IF('org. Düngung 22'!K98&gt;120,'#orgDung'!$RY$9,"")</f>
        <v/>
      </c>
      <c r="RZ99" s="57" t="str">
        <f>IF('#BerechnungDBE'!P90&lt;4,"",IF(AND('#BerechnungDBE'!BZ90&gt;0,T99&gt;0),'#orgDung'!$RZ$9,""))</f>
        <v/>
      </c>
      <c r="SA99" s="57" t="str">
        <f t="shared" si="681"/>
        <v/>
      </c>
    </row>
    <row r="100" spans="1:495" s="875" customFormat="1" x14ac:dyDescent="0.2">
      <c r="A100" s="875">
        <f>'Flächen u. Kulturen'!A96</f>
        <v>87</v>
      </c>
      <c r="B100" s="367">
        <f>'#BerechnungDBE'!L91</f>
        <v>0</v>
      </c>
      <c r="C100" s="875">
        <f>'#BerechnungDBE'!R91</f>
        <v>1</v>
      </c>
      <c r="D100" s="875">
        <f>'#BerechnungDBE'!T91</f>
        <v>2</v>
      </c>
      <c r="E100" s="875" t="str">
        <f>'Flächen u. Kulturen'!E96</f>
        <v>x</v>
      </c>
      <c r="F100" s="52">
        <f>'#BerechnungDBE'!N91</f>
        <v>1</v>
      </c>
      <c r="G100" s="52">
        <f>'#BerechnungDBE'!O91</f>
        <v>1</v>
      </c>
      <c r="H100" s="875">
        <f>IF('Flächen u. Kulturen'!P96="",0,VLOOKUP('Flächen u. Kulturen'!P96,Kulturen[[HF]:[Berechnungsgruppe]],'#Frucht'!$H$1,FALSE))</f>
        <v>0</v>
      </c>
      <c r="I100" s="875">
        <f>IF('Flächen u. Kulturen'!J96="",0,VLOOKUP('Flächen u. Kulturen'!J96,Kulturen[[HF]:[Berechnungsgruppe]],'#Frucht'!$G$1,FALSE))</f>
        <v>90</v>
      </c>
      <c r="J100" s="505">
        <f t="shared" si="682"/>
        <v>2</v>
      </c>
      <c r="K100" s="505">
        <f>IF('Flächen u. Kulturen'!P96="",0,IF(VLOOKUP('Flächen u. Kulturen'!P96,Kulturen[[HF]:[Saat Winterungen]],'#Frucht'!$P$1,FALSE)&gt;0,1,2))</f>
        <v>2</v>
      </c>
      <c r="L100" s="875">
        <f>'#BerechnungDBE'!AF91</f>
        <v>0</v>
      </c>
      <c r="M100" s="875">
        <f>IF('Flächen u. Kulturen'!L96="",0,VLOOKUP('Flächen u. Kulturen'!L96,Nebenkultur[[Nebenkultur]:[Legum. Zwischenfr.]],'#Zweitfr'!$K$1,FALSE))</f>
        <v>0</v>
      </c>
      <c r="N100" s="875">
        <f>'#BerechnungDBE'!AG91</f>
        <v>0</v>
      </c>
      <c r="P100" s="57">
        <f t="shared" si="489"/>
        <v>0</v>
      </c>
      <c r="Q100" s="57">
        <f t="shared" si="490"/>
        <v>0</v>
      </c>
      <c r="R100" s="875">
        <f t="shared" si="491"/>
        <v>0</v>
      </c>
      <c r="S100" s="938" t="str">
        <f t="shared" si="683"/>
        <v/>
      </c>
      <c r="T100" s="875">
        <f t="shared" si="492"/>
        <v>0</v>
      </c>
      <c r="U100" s="875">
        <f t="shared" si="493"/>
        <v>0</v>
      </c>
      <c r="V100" s="875">
        <f t="shared" si="494"/>
        <v>0</v>
      </c>
      <c r="W100" s="875">
        <f t="shared" si="495"/>
        <v>0</v>
      </c>
      <c r="X100" s="875">
        <f t="shared" si="496"/>
        <v>0</v>
      </c>
      <c r="Y100" s="875">
        <f t="shared" si="837"/>
        <v>0</v>
      </c>
      <c r="Z100" s="875">
        <f t="shared" si="838"/>
        <v>0</v>
      </c>
      <c r="AA100" s="910">
        <f t="shared" si="497"/>
        <v>0</v>
      </c>
      <c r="AB100" s="57">
        <f t="shared" si="839"/>
        <v>0</v>
      </c>
      <c r="AC100" s="875">
        <f t="shared" si="498"/>
        <v>0</v>
      </c>
      <c r="AD100" s="875">
        <f t="shared" si="499"/>
        <v>0</v>
      </c>
      <c r="AE100" s="875">
        <f t="shared" si="500"/>
        <v>0</v>
      </c>
      <c r="AF100" s="875">
        <f t="shared" si="840"/>
        <v>0</v>
      </c>
      <c r="AG100" s="875">
        <f>'org. Düngung 22'!J99</f>
        <v>0</v>
      </c>
      <c r="AH100" s="875">
        <f>'org. Düngung 22'!K99</f>
        <v>0</v>
      </c>
      <c r="AJ100" s="713">
        <f>'org. Düngung 22'!L99</f>
        <v>0</v>
      </c>
      <c r="AK100" s="57"/>
      <c r="AL100" s="57"/>
      <c r="AM100" s="57">
        <f t="shared" si="684"/>
        <v>0</v>
      </c>
      <c r="AN100" s="57">
        <f t="shared" si="685"/>
        <v>0</v>
      </c>
      <c r="AO100" s="57">
        <f t="shared" si="686"/>
        <v>0</v>
      </c>
      <c r="AP100" s="57">
        <f t="shared" si="687"/>
        <v>0</v>
      </c>
      <c r="AQ100" s="57">
        <f t="shared" si="688"/>
        <v>0</v>
      </c>
      <c r="AR100" s="1029">
        <f t="shared" si="501"/>
        <v>0</v>
      </c>
      <c r="AS100" s="57">
        <f t="shared" si="502"/>
        <v>0</v>
      </c>
      <c r="AT100" s="171" t="str">
        <f t="shared" si="503"/>
        <v/>
      </c>
      <c r="AU100" s="57">
        <f t="shared" si="689"/>
        <v>0</v>
      </c>
      <c r="AV100" s="57">
        <f>IF(OR(AND(AJ$6=1,$L100=0),AND(AJ$6=2,$K100=2,$G100=1)),0,IF(AND(AL$9=2,(OR($F100&gt;1,$K100=1,AND($L100=80,OR($N100=1,AND($N100=2,'#BerechnungDBE'!$AL91&gt;0)))))),IF(AJ$4&gt;=$AD$126,0,AT100),IF(AL$9=3,IF(OR(AJ$4&gt;=$AD$127,AND($G100=1,$J100=2,AJ$6=2),AND(AJ$6=1,$N100&lt;&gt;1)),0,IF(AN100&lt;=120,AT100,IF(AJ$4&lt;$AD$124,IF($F100=1,60/AL$4*AL$6,60/AL$4*AL$7),IF($F100=1,120/AL$4*AL$6,120/AL$4*AL$7)))),IF(OR($F100=3,$G100=2),IF(OR(AND(AJ$4&gt;=$AD$119,$C100=2),AND(AJ$4&gt;=$AF$119,$C100=1)),0,IF(AN100&lt;=60,AT100,60/AL$4*AL$7)),IF(AND($F100=2,$G100=1),AT100,0)))))</f>
        <v>0</v>
      </c>
      <c r="AW100" s="57" t="str">
        <f t="shared" si="690"/>
        <v/>
      </c>
      <c r="AX100" s="57" t="str">
        <f t="shared" si="504"/>
        <v/>
      </c>
      <c r="AY100" s="713">
        <f>'org. Düngung 22'!P99</f>
        <v>0</v>
      </c>
      <c r="AZ100" s="57"/>
      <c r="BA100" s="57"/>
      <c r="BB100" s="57">
        <f t="shared" si="505"/>
        <v>0</v>
      </c>
      <c r="BC100" s="57">
        <f t="shared" si="691"/>
        <v>0</v>
      </c>
      <c r="BD100" s="57">
        <f t="shared" si="692"/>
        <v>0</v>
      </c>
      <c r="BE100" s="57">
        <f t="shared" si="693"/>
        <v>0</v>
      </c>
      <c r="BF100" s="57">
        <f t="shared" si="694"/>
        <v>0</v>
      </c>
      <c r="BG100" s="1029">
        <f t="shared" si="506"/>
        <v>0</v>
      </c>
      <c r="BH100" s="57">
        <f t="shared" si="507"/>
        <v>0</v>
      </c>
      <c r="BI100" s="171" t="str">
        <f t="shared" si="508"/>
        <v/>
      </c>
      <c r="BJ100" s="57">
        <f t="shared" si="695"/>
        <v>0</v>
      </c>
      <c r="BK100" s="57">
        <f>IF(OR(AND(AY$6=1,$L100=0),AND(AY$6=2,$K100=2,$G100=1)),0,IF(AND(BA$9=2,(OR($F100&gt;1,$K100=1,AND($L100=80,OR($N100=1,AND($N100=2,'#BerechnungDBE'!$AL91&gt;0)))))),IF(AY$4&gt;=$AD$126,0,BI100),IF(BA$9=3,IF(OR(AY$4&gt;=$AD$127,AND($G100=1,$J100=2,AY$6=2),AND(AY$6=1,$N100&lt;&gt;1)),0,IF(BC100&lt;=120,BI100,IF(AY$4&lt;$AD$124,IF($F100=1,60/BA$4*BA$6,60/BA$4*BA$7),IF($F100=1,120/BA$4*BA$6,120/BA$4*BA$7)))),IF(OR($F100=3,$G100=2),IF(OR(AND(AY$4&gt;=$AD$119,$C100=2),AND(AY$4&gt;=$AF$119,$C100=1)),0,IF(BC100&lt;=60,BI100,60/BA$4*BA$7)),IF(AND($F100=2,$G100=1),BI100,0)))))</f>
        <v>0</v>
      </c>
      <c r="BL100" s="57" t="str">
        <f t="shared" si="509"/>
        <v/>
      </c>
      <c r="BM100" s="57" t="str">
        <f t="shared" si="510"/>
        <v/>
      </c>
      <c r="BN100" s="713">
        <f>'org. Düngung 22'!T99</f>
        <v>0</v>
      </c>
      <c r="BO100" s="57"/>
      <c r="BP100" s="57"/>
      <c r="BQ100" s="57">
        <f t="shared" si="511"/>
        <v>0</v>
      </c>
      <c r="BR100" s="57">
        <f t="shared" si="696"/>
        <v>0</v>
      </c>
      <c r="BS100" s="57">
        <f t="shared" si="697"/>
        <v>0</v>
      </c>
      <c r="BT100" s="57">
        <f t="shared" si="698"/>
        <v>0</v>
      </c>
      <c r="BU100" s="57">
        <f t="shared" si="699"/>
        <v>0</v>
      </c>
      <c r="BV100" s="1029">
        <f t="shared" si="512"/>
        <v>0</v>
      </c>
      <c r="BW100" s="57">
        <f t="shared" si="513"/>
        <v>0</v>
      </c>
      <c r="BX100" s="171" t="str">
        <f t="shared" si="514"/>
        <v/>
      </c>
      <c r="BY100" s="57">
        <f t="shared" si="700"/>
        <v>0</v>
      </c>
      <c r="BZ100" s="57">
        <f>IF(OR(AND(BN$6=1,$L100=0),AND(BN$6=2,$K100=2,$G100=1)),0,IF(AND(BP$9=2,(OR($F100&gt;1,$K100=1,AND($L100=80,OR($N100=1,AND($N100=2,'#BerechnungDBE'!$AL91&gt;0)))))),IF(BN$4&gt;=$AD$126,0,BX100),IF(BP$9=3,IF(OR(BN$4&gt;=$AD$127,AND($G100=1,$J100=2,BN$6=2),AND(BN$6=1,$N100&lt;&gt;1)),0,IF(BR100&lt;=120,BX100,IF(BN$4&lt;$AD$124,IF($F100=1,60/BP$4*BP$6,60/BP$4*BP$7),IF($F100=1,120/BP$4*BP$6,120/BP$4*BP$7)))),IF(OR($F100=3,$G100=2),IF(OR(AND(BN$4&gt;=$AD$119,$C100=2),AND(BN$4&gt;=$AF$119,$C100=1)),0,IF(BR100&lt;=60,BX100,60/BP$4*BP$7)),IF(AND($F100=2,$G100=1),BX100,0)))))</f>
        <v>0</v>
      </c>
      <c r="CA100" s="57" t="str">
        <f t="shared" si="515"/>
        <v/>
      </c>
      <c r="CB100" s="57" t="str">
        <f t="shared" si="516"/>
        <v/>
      </c>
      <c r="CC100" s="713">
        <f>'org. Düngung 22'!X99</f>
        <v>0</v>
      </c>
      <c r="CD100" s="57"/>
      <c r="CE100" s="57"/>
      <c r="CF100" s="57">
        <f t="shared" si="517"/>
        <v>0</v>
      </c>
      <c r="CG100" s="57">
        <f t="shared" si="701"/>
        <v>0</v>
      </c>
      <c r="CH100" s="57">
        <f t="shared" si="702"/>
        <v>0</v>
      </c>
      <c r="CI100" s="57">
        <f t="shared" si="703"/>
        <v>0</v>
      </c>
      <c r="CJ100" s="57">
        <f t="shared" si="704"/>
        <v>0</v>
      </c>
      <c r="CK100" s="1029">
        <f t="shared" si="518"/>
        <v>0</v>
      </c>
      <c r="CL100" s="57">
        <f t="shared" si="519"/>
        <v>0</v>
      </c>
      <c r="CM100" s="171" t="str">
        <f t="shared" si="520"/>
        <v/>
      </c>
      <c r="CN100" s="57">
        <f t="shared" si="705"/>
        <v>0</v>
      </c>
      <c r="CO100" s="57">
        <f>IF(OR(AND(CC$6=1,$L100=0),AND(CC$6=2,$K100=2,$G100=1)),0,IF(AND(CE$9=2,(OR($F100&gt;1,$K100=1,AND($L100=80,OR($N100=1,AND($N100=2,'#BerechnungDBE'!$AL91&gt;0)))))),IF(CC$4&gt;=$AD$126,0,CM100),IF(CE$9=3,IF(OR(CC$4&gt;=$AD$127,AND($G100=1,$J100=2,CC$6=2),AND(CC$6=1,$N100&lt;&gt;1)),0,IF(CG100&lt;=120,CM100,IF(CC$4&lt;$AD$124,IF($F100=1,60/CE$4*CE$6,60/CE$4*CE$7),IF($F100=1,120/CE$4*CE$6,120/CE$4*CE$7)))),IF(OR($F100=3,$G100=2),IF(OR(AND(CC$4&gt;=$AD$119,$C100=2),AND(CC$4&gt;=$AF$119,$C100=1)),0,IF(CG100&lt;=60,CM100,60/CE$4*CE$7)),IF(AND($F100=2,$G100=1),CM100,0)))))</f>
        <v>0</v>
      </c>
      <c r="CP100" s="57" t="str">
        <f t="shared" si="521"/>
        <v/>
      </c>
      <c r="CQ100" s="57" t="str">
        <f t="shared" si="522"/>
        <v/>
      </c>
      <c r="CR100" s="713">
        <f>'org. Düngung 22'!AB99</f>
        <v>0</v>
      </c>
      <c r="CS100" s="57"/>
      <c r="CT100" s="57"/>
      <c r="CU100" s="57">
        <f t="shared" si="523"/>
        <v>0</v>
      </c>
      <c r="CV100" s="57">
        <f t="shared" si="706"/>
        <v>0</v>
      </c>
      <c r="CW100" s="57">
        <f t="shared" si="707"/>
        <v>0</v>
      </c>
      <c r="CX100" s="57">
        <f t="shared" si="708"/>
        <v>0</v>
      </c>
      <c r="CY100" s="57">
        <f t="shared" si="709"/>
        <v>0</v>
      </c>
      <c r="CZ100" s="1029">
        <f t="shared" si="524"/>
        <v>0</v>
      </c>
      <c r="DA100" s="57">
        <f t="shared" si="525"/>
        <v>0</v>
      </c>
      <c r="DB100" s="171" t="str">
        <f t="shared" si="526"/>
        <v/>
      </c>
      <c r="DC100" s="57">
        <f t="shared" si="710"/>
        <v>0</v>
      </c>
      <c r="DD100" s="57">
        <f>IF(OR(AND(CR$6=1,$L100=0),AND(CR$6=2,$K100=2,$G100=1)),0,IF(AND(CT$9=2,(OR($F100&gt;1,$K100=1,AND($L100=80,OR($N100=1,AND($N100=2,'#BerechnungDBE'!$AL91&gt;0)))))),IF(CR$4&gt;=$AD$126,0,DB100),IF(CT$9=3,IF(OR(CR$4&gt;=$AD$127,AND($G100=1,$J100=2,CR$6=2),AND(CR$6=1,$N100&lt;&gt;1)),0,IF(CV100&lt;=120,DB100,IF(CR$4&lt;$AD$124,IF($F100=1,60/CT$4*CT$6,60/CT$4*CT$7),IF($F100=1,120/CT$4*CT$6,120/CT$4*CT$7)))),IF(OR($F100=3,$G100=2),IF(OR(AND(CR$4&gt;=$AD$119,$C100=2),AND(CR$4&gt;=$AF$119,$C100=1)),0,IF(CV100&lt;=60,DB100,60/CT$4*CT$7)),IF(AND($F100=2,$G100=1),DB100,0)))))</f>
        <v>0</v>
      </c>
      <c r="DE100" s="57" t="str">
        <f t="shared" si="527"/>
        <v/>
      </c>
      <c r="DF100" s="57" t="str">
        <f t="shared" si="528"/>
        <v/>
      </c>
      <c r="DG100" s="713">
        <f>'org. Düngung 22'!AF99</f>
        <v>0</v>
      </c>
      <c r="DH100" s="57"/>
      <c r="DI100" s="57"/>
      <c r="DJ100" s="57">
        <f t="shared" si="529"/>
        <v>0</v>
      </c>
      <c r="DK100" s="57">
        <f t="shared" si="711"/>
        <v>0</v>
      </c>
      <c r="DL100" s="57">
        <f t="shared" si="712"/>
        <v>0</v>
      </c>
      <c r="DM100" s="57">
        <f t="shared" si="713"/>
        <v>0</v>
      </c>
      <c r="DN100" s="57">
        <f t="shared" si="714"/>
        <v>0</v>
      </c>
      <c r="DO100" s="1029">
        <f t="shared" si="530"/>
        <v>0</v>
      </c>
      <c r="DP100" s="57">
        <f t="shared" si="531"/>
        <v>0</v>
      </c>
      <c r="DQ100" s="171" t="str">
        <f t="shared" si="532"/>
        <v/>
      </c>
      <c r="DR100" s="57">
        <f t="shared" si="715"/>
        <v>0</v>
      </c>
      <c r="DS100" s="57">
        <f>IF(OR(AND(DG$6=1,$L100=0),AND(DG$6=2,$K100=2,$G100=1)),0,IF(AND(DI$9=2,(OR($F100&gt;1,$K100=1,AND($L100=80,OR($N100=1,AND($N100=2,'#BerechnungDBE'!$AL91&gt;0)))))),IF(DG$4&gt;=$AD$126,0,DQ100),IF(DI$9=3,IF(OR(DG$4&gt;=$AD$127,AND($G100=1,$J100=2,DG$6=2),AND(DG$6=1,$N100&lt;&gt;1)),0,IF(DK100&lt;=120,DQ100,IF(DG$4&lt;$AD$124,IF($F100=1,60/DI$4*DI$6,60/DI$4*DI$7),IF($F100=1,120/DI$4*DI$6,120/DI$4*DI$7)))),IF(OR($F100=3,$G100=2),IF(OR(AND(DG$4&gt;=$AD$119,$C100=2),AND(DG$4&gt;=$AF$119,$C100=1)),0,IF(DK100&lt;=60,DQ100,60/DI$4*DI$7)),IF(AND($F100=2,$G100=1),DQ100,0)))))</f>
        <v>0</v>
      </c>
      <c r="DT100" s="57" t="str">
        <f t="shared" si="533"/>
        <v/>
      </c>
      <c r="DU100" s="57" t="str">
        <f t="shared" si="534"/>
        <v/>
      </c>
      <c r="DV100" s="713">
        <f>'org. Düngung 22'!AJ99</f>
        <v>0</v>
      </c>
      <c r="DW100" s="57"/>
      <c r="DX100" s="57"/>
      <c r="DY100" s="57">
        <f t="shared" si="535"/>
        <v>0</v>
      </c>
      <c r="DZ100" s="57">
        <f t="shared" si="716"/>
        <v>0</v>
      </c>
      <c r="EA100" s="57">
        <f t="shared" si="717"/>
        <v>0</v>
      </c>
      <c r="EB100" s="57">
        <f t="shared" si="718"/>
        <v>0</v>
      </c>
      <c r="EC100" s="57">
        <f t="shared" si="719"/>
        <v>0</v>
      </c>
      <c r="ED100" s="1029">
        <f t="shared" si="536"/>
        <v>0</v>
      </c>
      <c r="EE100" s="57">
        <f t="shared" si="537"/>
        <v>0</v>
      </c>
      <c r="EF100" s="171" t="str">
        <f t="shared" si="538"/>
        <v/>
      </c>
      <c r="EG100" s="57">
        <f t="shared" si="720"/>
        <v>0</v>
      </c>
      <c r="EH100" s="57">
        <f>IF(OR(AND(DV$6=1,$L100=0),AND(DV$6=2,$K100=2,$G100=1)),0,IF(AND(DX$9=2,(OR($F100&gt;1,$K100=1,AND($L100=80,OR($N100=1,AND($N100=2,'#BerechnungDBE'!$AL91&gt;0)))))),IF(DV$4&gt;=$AD$126,0,EF100),IF(DX$9=3,IF(OR(DV$4&gt;=$AD$127,AND($G100=1,$J100=2,DV$6=2),AND(DV$6=1,$N100&lt;&gt;1)),0,IF(DZ100&lt;=120,EF100,IF(DV$4&lt;$AD$124,IF($F100=1,60/DX$4*DX$6,60/DX$4*DX$7),IF($F100=1,120/DX$4*DX$6,120/DX$4*DX$7)))),IF(OR($F100=3,$G100=2),IF(OR(AND(DV$4&gt;=$AD$119,$C100=2),AND(DV$4&gt;=$AF$119,$C100=1)),0,IF(DZ100&lt;=60,EF100,60/DX$4*DX$7)),IF(AND($F100=2,$G100=1),EF100,0)))))</f>
        <v>0</v>
      </c>
      <c r="EI100" s="57" t="str">
        <f t="shared" si="539"/>
        <v/>
      </c>
      <c r="EJ100" s="57" t="str">
        <f t="shared" si="540"/>
        <v/>
      </c>
      <c r="EK100" s="713">
        <f>'org. Düngung 22'!AN99</f>
        <v>0</v>
      </c>
      <c r="EL100" s="57"/>
      <c r="EM100" s="57"/>
      <c r="EN100" s="57">
        <f t="shared" si="541"/>
        <v>0</v>
      </c>
      <c r="EO100" s="57">
        <f t="shared" si="721"/>
        <v>0</v>
      </c>
      <c r="EP100" s="57">
        <f t="shared" si="722"/>
        <v>0</v>
      </c>
      <c r="EQ100" s="57">
        <f t="shared" si="723"/>
        <v>0</v>
      </c>
      <c r="ER100" s="57">
        <f t="shared" si="724"/>
        <v>0</v>
      </c>
      <c r="ES100" s="1029">
        <f t="shared" si="542"/>
        <v>0</v>
      </c>
      <c r="ET100" s="57">
        <f t="shared" si="543"/>
        <v>0</v>
      </c>
      <c r="EU100" s="171" t="str">
        <f t="shared" si="544"/>
        <v/>
      </c>
      <c r="EV100" s="57">
        <f t="shared" si="725"/>
        <v>0</v>
      </c>
      <c r="EW100" s="57">
        <f>IF(OR(AND(EK$6=1,$L100=0),AND(EK$6=2,$K100=2,$G100=1)),0,IF(AND(EM$9=2,(OR($F100&gt;1,$K100=1,AND($L100=80,OR($N100=1,AND($N100=2,'#BerechnungDBE'!$AL91&gt;0)))))),IF(EK$4&gt;=$AD$126,0,EU100),IF(EM$9=3,IF(OR(EK$4&gt;=$AD$127,AND($G100=1,$J100=2,EK$6=2),AND(EK$6=1,$N100&lt;&gt;1)),0,IF(EO100&lt;=120,EU100,IF(EK$4&lt;$AD$124,IF($F100=1,60/EM$4*EM$6,60/EM$4*EM$7),IF($F100=1,120/EM$4*EM$6,120/EM$4*EM$7)))),IF(OR($F100=3,$G100=2),IF(OR(AND(EK$4&gt;=$AD$119,$C100=2),AND(EK$4&gt;=$AF$119,$C100=1)),0,IF(EO100&lt;=60,EU100,60/EM$4*EM$7)),IF(AND($F100=2,$G100=1),EU100,0)))))</f>
        <v>0</v>
      </c>
      <c r="EX100" s="57" t="str">
        <f t="shared" si="545"/>
        <v/>
      </c>
      <c r="EY100" s="57" t="str">
        <f t="shared" si="546"/>
        <v/>
      </c>
      <c r="EZ100" s="713">
        <f>'org. Düngung 22'!AR99</f>
        <v>0</v>
      </c>
      <c r="FA100" s="57"/>
      <c r="FB100" s="57"/>
      <c r="FC100" s="57">
        <f t="shared" si="547"/>
        <v>0</v>
      </c>
      <c r="FD100" s="57">
        <f t="shared" si="726"/>
        <v>0</v>
      </c>
      <c r="FE100" s="57">
        <f t="shared" si="727"/>
        <v>0</v>
      </c>
      <c r="FF100" s="57">
        <f t="shared" si="728"/>
        <v>0</v>
      </c>
      <c r="FG100" s="57">
        <f t="shared" si="729"/>
        <v>0</v>
      </c>
      <c r="FH100" s="1029">
        <f t="shared" si="548"/>
        <v>0</v>
      </c>
      <c r="FI100" s="57">
        <f t="shared" si="549"/>
        <v>0</v>
      </c>
      <c r="FJ100" s="171" t="str">
        <f t="shared" si="550"/>
        <v/>
      </c>
      <c r="FK100" s="57">
        <f t="shared" si="730"/>
        <v>0</v>
      </c>
      <c r="FL100" s="57">
        <f>IF(OR(AND(EZ$6=1,$L100=0),AND(EZ$6=2,$K100=2,$G100=1)),0,IF(AND(FB$9=2,(OR($F100&gt;1,$K100=1,AND($L100=80,OR($N100=1,AND($N100=2,'#BerechnungDBE'!$AL91&gt;0)))))),IF(EZ$4&gt;=$AD$126,0,FJ100),IF(FB$9=3,IF(OR(EZ$4&gt;=$AD$127,AND($G100=1,$J100=2,EZ$6=2),AND(EZ$6=1,$N100&lt;&gt;1)),0,IF(FD100&lt;=120,FJ100,IF(EZ$4&lt;$AD$124,IF($F100=1,60/FB$4*FB$6,60/FB$4*FB$7),IF($F100=1,120/FB$4*FB$6,120/FB$4*FB$7)))),IF(OR($F100=3,$G100=2),IF(OR(AND(EZ$4&gt;=$AD$119,$C100=2),AND(EZ$4&gt;=$AF$119,$C100=1)),0,IF(FD100&lt;=60,FJ100,60/FB$4*FB$7)),IF(AND($F100=2,$G100=1),FJ100,0)))))</f>
        <v>0</v>
      </c>
      <c r="FM100" s="57" t="str">
        <f t="shared" si="551"/>
        <v/>
      </c>
      <c r="FN100" s="57" t="str">
        <f t="shared" si="552"/>
        <v/>
      </c>
      <c r="FO100" s="713">
        <f>'org. Düngung 22'!AV99</f>
        <v>0</v>
      </c>
      <c r="FP100" s="57"/>
      <c r="FQ100" s="57"/>
      <c r="FR100" s="57">
        <f t="shared" si="553"/>
        <v>0</v>
      </c>
      <c r="FS100" s="57">
        <f t="shared" si="731"/>
        <v>0</v>
      </c>
      <c r="FT100" s="57">
        <f t="shared" si="732"/>
        <v>0</v>
      </c>
      <c r="FU100" s="57">
        <f t="shared" si="733"/>
        <v>0</v>
      </c>
      <c r="FV100" s="57">
        <f t="shared" si="734"/>
        <v>0</v>
      </c>
      <c r="FW100" s="1029">
        <f t="shared" si="554"/>
        <v>0</v>
      </c>
      <c r="FX100" s="57">
        <f t="shared" si="555"/>
        <v>0</v>
      </c>
      <c r="FY100" s="171" t="str">
        <f t="shared" si="556"/>
        <v/>
      </c>
      <c r="FZ100" s="57">
        <f t="shared" si="735"/>
        <v>0</v>
      </c>
      <c r="GA100" s="57">
        <f>IF(OR(AND(FO$6=1,$L100=0),AND(FO$6=2,$K100=2,$G100=1)),0,IF(AND(FQ$9=2,(OR($F100&gt;1,$K100=1,AND($L100=80,OR($N100=1,AND($N100=2,'#BerechnungDBE'!$AL91&gt;0)))))),IF(FO$4&gt;=$AD$126,0,FY100),IF(FQ$9=3,IF(OR(FO$4&gt;=$AD$127,AND($G100=1,$J100=2,FO$6=2),AND(FO$6=1,$N100&lt;&gt;1)),0,IF(FS100&lt;=120,FY100,IF(FO$4&lt;$AD$124,IF($F100=1,60/FQ$4*FQ$6,60/FQ$4*FQ$7),IF($F100=1,120/FQ$4*FQ$6,120/FQ$4*FQ$7)))),IF(OR($F100=3,$G100=2),IF(OR(AND(FO$4&gt;=$AD$119,$C100=2),AND(FO$4&gt;=$AF$119,$C100=1)),0,IF(FS100&lt;=60,FY100,60/FQ$4*FQ$7)),IF(AND($F100=2,$G100=1),FY100,0)))))</f>
        <v>0</v>
      </c>
      <c r="GB100" s="57" t="str">
        <f t="shared" si="557"/>
        <v/>
      </c>
      <c r="GC100" s="57" t="str">
        <f t="shared" si="558"/>
        <v/>
      </c>
      <c r="GD100" s="713">
        <f>'org. Düngung 22'!AZ99</f>
        <v>0</v>
      </c>
      <c r="GE100" s="57"/>
      <c r="GF100" s="57"/>
      <c r="GG100" s="57">
        <f t="shared" si="559"/>
        <v>0</v>
      </c>
      <c r="GH100" s="57">
        <f t="shared" si="736"/>
        <v>0</v>
      </c>
      <c r="GI100" s="57">
        <f t="shared" si="737"/>
        <v>0</v>
      </c>
      <c r="GJ100" s="57">
        <f t="shared" si="738"/>
        <v>0</v>
      </c>
      <c r="GK100" s="57">
        <f t="shared" si="739"/>
        <v>0</v>
      </c>
      <c r="GL100" s="1029">
        <f t="shared" si="560"/>
        <v>0</v>
      </c>
      <c r="GM100" s="57">
        <f t="shared" si="561"/>
        <v>0</v>
      </c>
      <c r="GN100" s="171" t="str">
        <f t="shared" si="562"/>
        <v/>
      </c>
      <c r="GO100" s="57">
        <f t="shared" si="740"/>
        <v>0</v>
      </c>
      <c r="GP100" s="57">
        <f>IF(OR(AND(GD$6=1,$L100=0),AND(GD$6=2,$K100=2,$G100=1)),0,IF(AND(GF$9=2,(OR($F100&gt;1,$K100=1,AND($L100=80,OR($N100=1,AND($N100=2,'#BerechnungDBE'!$AL91&gt;0)))))),IF(GD$4&gt;=$AD$126,0,GN100),IF(GF$9=3,IF(OR(GD$4&gt;=$AD$127,AND($G100=1,$J100=2,GD$6=2),AND(GD$6=1,$N100&lt;&gt;1)),0,IF(GH100&lt;=120,GN100,IF(GD$4&lt;$AD$124,IF($F100=1,60/GF$4*GF$6,60/GF$4*GF$7),IF($F100=1,120/GF$4*GF$6,120/GF$4*GF$7)))),IF(OR($F100=3,$G100=2),IF(OR(AND(GD$4&gt;=$AD$119,$C100=2),AND(GD$4&gt;=$AF$119,$C100=1)),0,IF(GH100&lt;=60,GN100,60/GF$4*GF$7)),IF(AND($F100=2,$G100=1),GN100,0)))))</f>
        <v>0</v>
      </c>
      <c r="GQ100" s="57" t="str">
        <f t="shared" si="563"/>
        <v/>
      </c>
      <c r="GR100" s="57" t="str">
        <f t="shared" si="564"/>
        <v/>
      </c>
      <c r="GS100" s="713">
        <f>'org. Düngung 22'!BD99</f>
        <v>0</v>
      </c>
      <c r="GT100" s="57"/>
      <c r="GU100" s="57"/>
      <c r="GV100" s="57">
        <f t="shared" si="565"/>
        <v>0</v>
      </c>
      <c r="GW100" s="57">
        <f t="shared" si="741"/>
        <v>0</v>
      </c>
      <c r="GX100" s="57">
        <f t="shared" si="742"/>
        <v>0</v>
      </c>
      <c r="GY100" s="57">
        <f t="shared" si="743"/>
        <v>0</v>
      </c>
      <c r="GZ100" s="57">
        <f t="shared" si="744"/>
        <v>0</v>
      </c>
      <c r="HA100" s="1029">
        <f t="shared" si="566"/>
        <v>0</v>
      </c>
      <c r="HB100" s="57">
        <f t="shared" si="567"/>
        <v>0</v>
      </c>
      <c r="HC100" s="171" t="str">
        <f t="shared" si="568"/>
        <v/>
      </c>
      <c r="HD100" s="57">
        <f t="shared" si="745"/>
        <v>0</v>
      </c>
      <c r="HE100" s="57">
        <f>IF(OR(AND(GS$6=1,$L100=0),AND(GS$6=2,$K100=2,$G100=1)),0,IF(AND(GU$9=2,(OR($F100&gt;1,$K100=1,AND($L100=80,OR($N100=1,AND($N100=2,'#BerechnungDBE'!$AL91&gt;0)))))),IF(GS$4&gt;=$AD$126,0,HC100),IF(GU$9=3,IF(OR(GS$4&gt;=$AD$127,AND($G100=1,$J100=2,GS$6=2),AND(GS$6=1,$N100&lt;&gt;1)),0,IF(GW100&lt;=120,HC100,IF(GS$4&lt;$AD$124,IF($F100=1,60/GU$4*GU$6,60/GU$4*GU$7),IF($F100=1,120/GU$4*GU$6,120/GU$4*GU$7)))),IF(OR($F100=3,$G100=2),IF(OR(AND(GS$4&gt;=$AD$119,$C100=2),AND(GS$4&gt;=$AF$119,$C100=1)),0,IF(GW100&lt;=60,HC100,60/GU$4*GU$7)),IF(AND($F100=2,$G100=1),HC100,0)))))</f>
        <v>0</v>
      </c>
      <c r="HF100" s="57" t="str">
        <f t="shared" si="569"/>
        <v/>
      </c>
      <c r="HG100" s="57" t="str">
        <f t="shared" si="570"/>
        <v/>
      </c>
      <c r="HH100" s="713">
        <f>'org. Düngung 22'!BH99</f>
        <v>0</v>
      </c>
      <c r="HI100" s="57"/>
      <c r="HJ100" s="57"/>
      <c r="HK100" s="57">
        <f t="shared" si="571"/>
        <v>0</v>
      </c>
      <c r="HL100" s="57">
        <f t="shared" si="746"/>
        <v>0</v>
      </c>
      <c r="HM100" s="57">
        <f t="shared" si="747"/>
        <v>0</v>
      </c>
      <c r="HN100" s="57">
        <f t="shared" si="748"/>
        <v>0</v>
      </c>
      <c r="HO100" s="57">
        <f t="shared" si="749"/>
        <v>0</v>
      </c>
      <c r="HP100" s="1029">
        <f t="shared" si="572"/>
        <v>0</v>
      </c>
      <c r="HQ100" s="57">
        <f t="shared" si="573"/>
        <v>0</v>
      </c>
      <c r="HR100" s="171" t="str">
        <f t="shared" si="574"/>
        <v/>
      </c>
      <c r="HS100" s="57">
        <f t="shared" si="750"/>
        <v>0</v>
      </c>
      <c r="HT100" s="57">
        <f>IF(OR(AND(HH$6=1,$L100=0),AND(HH$6=2,$K100=2,$G100=1)),0,IF(AND(HJ$9=2,(OR($F100&gt;1,$K100=1,AND($L100=80,OR($N100=1,AND($N100=2,'#BerechnungDBE'!$AL91&gt;0)))))),IF(HH$4&gt;=$AD$126,0,HR100),IF(HJ$9=3,IF(OR(HH$4&gt;=$AD$127,AND($G100=1,$J100=2,HH$6=2),AND(HH$6=1,$N100&lt;&gt;1)),0,IF(HL100&lt;=120,HR100,IF(HH$4&lt;$AD$124,IF($F100=1,60/HJ$4*HJ$6,60/HJ$4*HJ$7),IF($F100=1,120/HJ$4*HJ$6,120/HJ$4*HJ$7)))),IF(OR($F100=3,$G100=2),IF(OR(AND(HH$4&gt;=$AD$119,$C100=2),AND(HH$4&gt;=$AF$119,$C100=1)),0,IF(HL100&lt;=60,HR100,60/HJ$4*HJ$7)),IF(AND($F100=2,$G100=1),HR100,0)))))</f>
        <v>0</v>
      </c>
      <c r="HU100" s="57" t="str">
        <f t="shared" si="575"/>
        <v/>
      </c>
      <c r="HV100" s="57" t="str">
        <f t="shared" si="576"/>
        <v/>
      </c>
      <c r="HW100" s="713">
        <f>'org. Düngung 22'!BL99</f>
        <v>0</v>
      </c>
      <c r="HX100" s="57"/>
      <c r="HY100" s="57"/>
      <c r="HZ100" s="57">
        <f t="shared" si="577"/>
        <v>0</v>
      </c>
      <c r="IA100" s="57">
        <f t="shared" si="751"/>
        <v>0</v>
      </c>
      <c r="IB100" s="57">
        <f t="shared" si="752"/>
        <v>0</v>
      </c>
      <c r="IC100" s="57">
        <f t="shared" si="753"/>
        <v>0</v>
      </c>
      <c r="ID100" s="57">
        <f t="shared" si="754"/>
        <v>0</v>
      </c>
      <c r="IE100" s="1029">
        <f t="shared" si="578"/>
        <v>0</v>
      </c>
      <c r="IF100" s="57">
        <f t="shared" si="579"/>
        <v>0</v>
      </c>
      <c r="IG100" s="171" t="str">
        <f t="shared" si="580"/>
        <v/>
      </c>
      <c r="IH100" s="57">
        <f t="shared" si="755"/>
        <v>0</v>
      </c>
      <c r="II100" s="57">
        <f>IF(OR(AND(HW$6=1,$L100=0),AND(HW$6=2,$K100=2,$G100=1)),0,IF(AND(HY$9=2,(OR($F100&gt;1,$K100=1,AND($L100=80,OR($N100=1,AND($N100=2,'#BerechnungDBE'!$AL91&gt;0)))))),IF(HW$4&gt;=$AD$126,0,IG100),IF(HY$9=3,IF(OR(HW$4&gt;=$AD$127,AND($G100=1,$J100=2,HW$6=2),AND(HW$6=1,$N100&lt;&gt;1)),0,IF(IA100&lt;=120,IG100,IF(HW$4&lt;$AD$124,IF($F100=1,60/HY$4*HY$6,60/HY$4*HY$7),IF($F100=1,120/HY$4*HY$6,120/HY$4*HY$7)))),IF(OR($F100=3,$G100=2),IF(OR(AND(HW$4&gt;=$AD$119,$C100=2),AND(HW$4&gt;=$AF$119,$C100=1)),0,IF(IA100&lt;=60,IG100,60/HY$4*HY$7)),IF(AND($F100=2,$G100=1),IG100,0)))))</f>
        <v>0</v>
      </c>
      <c r="IJ100" s="57" t="str">
        <f t="shared" si="581"/>
        <v/>
      </c>
      <c r="IK100" s="57" t="str">
        <f t="shared" si="582"/>
        <v/>
      </c>
      <c r="IL100" s="713">
        <f>'org. Düngung 22'!BP99</f>
        <v>0</v>
      </c>
      <c r="IM100" s="57"/>
      <c r="IN100" s="57"/>
      <c r="IO100" s="57">
        <f t="shared" si="583"/>
        <v>0</v>
      </c>
      <c r="IP100" s="57">
        <f t="shared" si="756"/>
        <v>0</v>
      </c>
      <c r="IQ100" s="57">
        <f t="shared" si="757"/>
        <v>0</v>
      </c>
      <c r="IR100" s="57">
        <f t="shared" si="758"/>
        <v>0</v>
      </c>
      <c r="IS100" s="57">
        <f t="shared" si="759"/>
        <v>0</v>
      </c>
      <c r="IT100" s="1029">
        <f t="shared" si="584"/>
        <v>0</v>
      </c>
      <c r="IU100" s="57">
        <f t="shared" si="585"/>
        <v>0</v>
      </c>
      <c r="IV100" s="171" t="str">
        <f t="shared" si="586"/>
        <v/>
      </c>
      <c r="IW100" s="57">
        <f t="shared" si="760"/>
        <v>0</v>
      </c>
      <c r="IX100" s="57">
        <f>IF(OR(AND(IL$6=1,$L100=0),AND(IL$6=2,$K100=2,$G100=1)),0,IF(AND(IN$9=2,(OR($F100&gt;1,$K100=1,AND($L100=80,OR($N100=1,AND($N100=2,'#BerechnungDBE'!$AL91&gt;0)))))),IF(IL$4&gt;=$AD$126,0,IV100),IF(IN$9=3,IF(OR(IL$4&gt;=$AD$127,AND($G100=1,$J100=2,IL$6=2),AND(IL$6=1,$N100&lt;&gt;1)),0,IF(IP100&lt;=120,IV100,IF(IL$4&lt;$AD$124,IF($F100=1,60/IN$4*IN$6,60/IN$4*IN$7),IF($F100=1,120/IN$4*IN$6,120/IN$4*IN$7)))),IF(OR($F100=3,$G100=2),IF(OR(AND(IL$4&gt;=$AD$119,$C100=2),AND(IL$4&gt;=$AF$119,$C100=1)),0,IF(IP100&lt;=60,IV100,60/IN$4*IN$7)),IF(AND($F100=2,$G100=1),IV100,0)))))</f>
        <v>0</v>
      </c>
      <c r="IY100" s="57" t="str">
        <f t="shared" si="587"/>
        <v/>
      </c>
      <c r="IZ100" s="57" t="str">
        <f t="shared" si="588"/>
        <v/>
      </c>
      <c r="JA100" s="713">
        <f>'org. Düngung 22'!BT99</f>
        <v>0</v>
      </c>
      <c r="JB100" s="57"/>
      <c r="JC100" s="57"/>
      <c r="JD100" s="57">
        <f t="shared" si="589"/>
        <v>0</v>
      </c>
      <c r="JE100" s="57">
        <f t="shared" si="761"/>
        <v>0</v>
      </c>
      <c r="JF100" s="57">
        <f t="shared" si="762"/>
        <v>0</v>
      </c>
      <c r="JG100" s="57">
        <f t="shared" si="763"/>
        <v>0</v>
      </c>
      <c r="JH100" s="57">
        <f t="shared" si="764"/>
        <v>0</v>
      </c>
      <c r="JI100" s="1029">
        <f t="shared" si="590"/>
        <v>0</v>
      </c>
      <c r="JJ100" s="57">
        <f t="shared" si="591"/>
        <v>0</v>
      </c>
      <c r="JK100" s="171" t="str">
        <f t="shared" si="592"/>
        <v/>
      </c>
      <c r="JL100" s="57">
        <f t="shared" si="765"/>
        <v>0</v>
      </c>
      <c r="JM100" s="57">
        <f>IF(OR(AND(JA$6=1,$L100=0),AND(JA$6=2,$K100=2,$G100=1)),0,IF(AND(JC$9=2,(OR($F100&gt;1,$K100=1,AND($L100=80,OR($N100=1,AND($N100=2,'#BerechnungDBE'!$AL91&gt;0)))))),IF(JA$4&gt;=$AD$126,0,JK100),IF(JC$9=3,IF(OR(JA$4&gt;=$AD$127,AND($G100=1,$J100=2,JA$6=2),AND(JA$6=1,$N100&lt;&gt;1)),0,IF(JE100&lt;=120,JK100,IF(JA$4&lt;$AD$124,IF($F100=1,60/JC$4*JC$6,60/JC$4*JC$7),IF($F100=1,120/JC$4*JC$6,120/JC$4*JC$7)))),IF(OR($F100=3,$G100=2),IF(OR(AND(JA$4&gt;=$AD$119,$C100=2),AND(JA$4&gt;=$AF$119,$C100=1)),0,IF(JE100&lt;=60,JK100,60/JC$4*JC$7)),IF(AND($F100=2,$G100=1),JK100,0)))))</f>
        <v>0</v>
      </c>
      <c r="JN100" s="57" t="str">
        <f t="shared" si="593"/>
        <v/>
      </c>
      <c r="JO100" s="57" t="str">
        <f t="shared" si="594"/>
        <v/>
      </c>
      <c r="JP100" s="713">
        <f>'org. Düngung 22'!BX99</f>
        <v>0</v>
      </c>
      <c r="JQ100" s="57"/>
      <c r="JR100" s="57"/>
      <c r="JS100" s="57">
        <f t="shared" si="595"/>
        <v>0</v>
      </c>
      <c r="JT100" s="57">
        <f t="shared" si="766"/>
        <v>0</v>
      </c>
      <c r="JU100" s="57">
        <f t="shared" si="767"/>
        <v>0</v>
      </c>
      <c r="JV100" s="57">
        <f t="shared" si="768"/>
        <v>0</v>
      </c>
      <c r="JW100" s="57">
        <f t="shared" si="769"/>
        <v>0</v>
      </c>
      <c r="JX100" s="1029">
        <f t="shared" si="596"/>
        <v>0</v>
      </c>
      <c r="JY100" s="57">
        <f t="shared" si="597"/>
        <v>0</v>
      </c>
      <c r="JZ100" s="171" t="str">
        <f t="shared" si="598"/>
        <v/>
      </c>
      <c r="KA100" s="57">
        <f t="shared" si="770"/>
        <v>0</v>
      </c>
      <c r="KB100" s="57">
        <f>IF(OR(AND(JP$6=1,$L100=0),AND(JP$6=2,$K100=2,$G100=1)),0,IF(AND(JR$9=2,(OR($F100&gt;1,$K100=1,AND($L100=80,OR($N100=1,AND($N100=2,'#BerechnungDBE'!$AL91&gt;0)))))),IF(JP$4&gt;=$AD$126,0,JZ100),IF(JR$9=3,IF(OR(JP$4&gt;=$AD$127,AND($G100=1,$J100=2,JP$6=2),AND(JP$6=1,$N100&lt;&gt;1)),0,IF(JT100&lt;=120,JZ100,IF(JP$4&lt;$AD$124,IF($F100=1,60/JR$4*JR$6,60/JR$4*JR$7),IF($F100=1,120/JR$4*JR$6,120/JR$4*JR$7)))),IF(OR($F100=3,$G100=2),IF(OR(AND(JP$4&gt;=$AD$119,$C100=2),AND(JP$4&gt;=$AF$119,$C100=1)),0,IF(JT100&lt;=60,JZ100,60/JR$4*JR$7)),IF(AND($F100=2,$G100=1),JZ100,0)))))</f>
        <v>0</v>
      </c>
      <c r="KC100" s="57" t="str">
        <f t="shared" si="599"/>
        <v/>
      </c>
      <c r="KD100" s="57" t="str">
        <f t="shared" si="600"/>
        <v/>
      </c>
      <c r="KE100" s="713">
        <f>'org. Düngung 22'!CB99</f>
        <v>0</v>
      </c>
      <c r="KF100" s="57"/>
      <c r="KG100" s="57"/>
      <c r="KH100" s="57">
        <f t="shared" si="601"/>
        <v>0</v>
      </c>
      <c r="KI100" s="57">
        <f t="shared" si="771"/>
        <v>0</v>
      </c>
      <c r="KJ100" s="57">
        <f t="shared" si="772"/>
        <v>0</v>
      </c>
      <c r="KK100" s="57">
        <f t="shared" si="773"/>
        <v>0</v>
      </c>
      <c r="KL100" s="57">
        <f t="shared" si="774"/>
        <v>0</v>
      </c>
      <c r="KM100" s="1029">
        <f t="shared" si="602"/>
        <v>0</v>
      </c>
      <c r="KN100" s="57">
        <f t="shared" si="603"/>
        <v>0</v>
      </c>
      <c r="KO100" s="171" t="str">
        <f t="shared" si="604"/>
        <v/>
      </c>
      <c r="KP100" s="57">
        <f t="shared" si="775"/>
        <v>0</v>
      </c>
      <c r="KQ100" s="57">
        <f>IF(OR(AND(KE$6=1,$L100=0),AND(KE$6=2,$K100=2,$G100=1)),0,IF(AND(KG$9=2,(OR($F100&gt;1,$K100=1,AND($L100=80,OR($N100=1,AND($N100=2,'#BerechnungDBE'!$AL91&gt;0)))))),IF(KE$4&gt;=$AD$126,0,KO100),IF(KG$9=3,IF(OR(KE$4&gt;=$AD$127,AND($G100=1,$J100=2,KE$6=2),AND(KE$6=1,$N100&lt;&gt;1)),0,IF(KI100&lt;=120,KO100,IF(KE$4&lt;$AD$124,IF($F100=1,60/KG$4*KG$6,60/KG$4*KG$7),IF($F100=1,120/KG$4*KG$6,120/KG$4*KG$7)))),IF(OR($F100=3,$G100=2),IF(OR(AND(KE$4&gt;=$AD$119,$C100=2),AND(KE$4&gt;=$AF$119,$C100=1)),0,IF(KI100&lt;=60,KO100,60/KG$4*KG$7)),IF(AND($F100=2,$G100=1),KO100,0)))))</f>
        <v>0</v>
      </c>
      <c r="KR100" s="57" t="str">
        <f t="shared" si="605"/>
        <v/>
      </c>
      <c r="KS100" s="57" t="str">
        <f t="shared" si="606"/>
        <v/>
      </c>
      <c r="KT100" s="713">
        <f>'org. Düngung 22'!CF99</f>
        <v>0</v>
      </c>
      <c r="KU100" s="57"/>
      <c r="KV100" s="57"/>
      <c r="KW100" s="57">
        <f t="shared" si="607"/>
        <v>0</v>
      </c>
      <c r="KX100" s="57">
        <f t="shared" si="776"/>
        <v>0</v>
      </c>
      <c r="KY100" s="57">
        <f t="shared" si="777"/>
        <v>0</v>
      </c>
      <c r="KZ100" s="57">
        <f t="shared" si="778"/>
        <v>0</v>
      </c>
      <c r="LA100" s="57">
        <f t="shared" si="779"/>
        <v>0</v>
      </c>
      <c r="LB100" s="1029">
        <f t="shared" si="608"/>
        <v>0</v>
      </c>
      <c r="LC100" s="57">
        <f t="shared" si="609"/>
        <v>0</v>
      </c>
      <c r="LD100" s="171" t="str">
        <f t="shared" si="610"/>
        <v/>
      </c>
      <c r="LE100" s="57">
        <f t="shared" si="780"/>
        <v>0</v>
      </c>
      <c r="LF100" s="57">
        <f>IF(OR(AND(KT$6=1,$L100=0),AND(KT$6=2,$K100=2,$G100=1)),0,IF(AND(KV$9=2,(OR($F100&gt;1,$K100=1,AND($L100=80,OR($N100=1,AND($N100=2,'#BerechnungDBE'!$AL91&gt;0)))))),IF(KT$4&gt;=$AD$126,0,LD100),IF(KV$9=3,IF(OR(KT$4&gt;=$AD$127,AND($G100=1,$J100=2,KT$6=2),AND(KT$6=1,$N100&lt;&gt;1)),0,IF(KX100&lt;=120,LD100,IF(KT$4&lt;$AD$124,IF($F100=1,60/KV$4*KV$6,60/KV$4*KV$7),IF($F100=1,120/KV$4*KV$6,120/KV$4*KV$7)))),IF(OR($F100=3,$G100=2),IF(OR(AND(KT$4&gt;=$AD$119,$C100=2),AND(KT$4&gt;=$AF$119,$C100=1)),0,IF(KX100&lt;=60,LD100,60/KV$4*KV$7)),IF(AND($F100=2,$G100=1),LD100,0)))))</f>
        <v>0</v>
      </c>
      <c r="LG100" s="57" t="str">
        <f t="shared" si="611"/>
        <v/>
      </c>
      <c r="LH100" s="57" t="str">
        <f t="shared" si="612"/>
        <v/>
      </c>
      <c r="LI100" s="713">
        <f>'org. Düngung 22'!CJ99</f>
        <v>0</v>
      </c>
      <c r="LJ100" s="57"/>
      <c r="LK100" s="57"/>
      <c r="LL100" s="57">
        <f t="shared" si="613"/>
        <v>0</v>
      </c>
      <c r="LM100" s="57">
        <f t="shared" si="781"/>
        <v>0</v>
      </c>
      <c r="LN100" s="57">
        <f t="shared" si="782"/>
        <v>0</v>
      </c>
      <c r="LO100" s="57">
        <f t="shared" si="783"/>
        <v>0</v>
      </c>
      <c r="LP100" s="57">
        <f t="shared" si="784"/>
        <v>0</v>
      </c>
      <c r="LQ100" s="1029">
        <f t="shared" si="614"/>
        <v>0</v>
      </c>
      <c r="LR100" s="57">
        <f t="shared" si="615"/>
        <v>0</v>
      </c>
      <c r="LS100" s="171" t="str">
        <f t="shared" si="616"/>
        <v/>
      </c>
      <c r="LT100" s="57">
        <f t="shared" si="785"/>
        <v>0</v>
      </c>
      <c r="LU100" s="57">
        <f>IF(OR(AND(LI$6=1,$L100=0),AND(LI$6=2,$K100=2,$G100=1)),0,IF(AND(LK$9=2,(OR($F100&gt;1,$K100=1,AND($L100=80,OR($N100=1,AND($N100=2,'#BerechnungDBE'!$AL91&gt;0)))))),IF(LI$4&gt;=$AD$126,0,LS100),IF(LK$9=3,IF(OR(LI$4&gt;=$AD$127,AND($G100=1,$J100=2,LI$6=2),AND(LI$6=1,$N100&lt;&gt;1)),0,IF(LM100&lt;=120,LS100,IF(LI$4&lt;$AD$124,IF($F100=1,60/LK$4*LK$6,60/LK$4*LK$7),IF($F100=1,120/LK$4*LK$6,120/LK$4*LK$7)))),IF(OR($F100=3,$G100=2),IF(OR(AND(LI$4&gt;=$AD$119,$C100=2),AND(LI$4&gt;=$AF$119,$C100=1)),0,IF(LM100&lt;=60,LS100,60/LK$4*LK$7)),IF(AND($F100=2,$G100=1),LS100,0)))))</f>
        <v>0</v>
      </c>
      <c r="LV100" s="57" t="str">
        <f t="shared" si="617"/>
        <v/>
      </c>
      <c r="LW100" s="57" t="str">
        <f t="shared" si="618"/>
        <v/>
      </c>
      <c r="LX100" s="713">
        <f>'org. Düngung 22'!CN99</f>
        <v>0</v>
      </c>
      <c r="LY100" s="57"/>
      <c r="LZ100" s="57"/>
      <c r="MA100" s="57">
        <f t="shared" si="619"/>
        <v>0</v>
      </c>
      <c r="MB100" s="57">
        <f t="shared" si="786"/>
        <v>0</v>
      </c>
      <c r="MC100" s="57">
        <f t="shared" si="787"/>
        <v>0</v>
      </c>
      <c r="MD100" s="57">
        <f t="shared" si="788"/>
        <v>0</v>
      </c>
      <c r="ME100" s="57">
        <f t="shared" si="789"/>
        <v>0</v>
      </c>
      <c r="MF100" s="1029">
        <f t="shared" si="620"/>
        <v>0</v>
      </c>
      <c r="MG100" s="57">
        <f t="shared" si="621"/>
        <v>0</v>
      </c>
      <c r="MH100" s="171" t="str">
        <f t="shared" si="622"/>
        <v/>
      </c>
      <c r="MI100" s="57">
        <f t="shared" si="790"/>
        <v>0</v>
      </c>
      <c r="MJ100" s="57">
        <f>IF(OR(AND(LX$6=1,$L100=0),AND(LX$6=2,$K100=2,$G100=1)),0,IF(AND(LZ$9=2,(OR($F100&gt;1,$K100=1,AND($L100=80,OR($N100=1,AND($N100=2,'#BerechnungDBE'!$AL91&gt;0)))))),IF(LX$4&gt;=$AD$126,0,MH100),IF(LZ$9=3,IF(OR(LX$4&gt;=$AD$127,AND($G100=1,$J100=2,LX$6=2),AND(LX$6=1,$N100&lt;&gt;1)),0,IF(MB100&lt;=120,MH100,IF(LX$4&lt;$AD$124,IF($F100=1,60/LZ$4*LZ$6,60/LZ$4*LZ$7),IF($F100=1,120/LZ$4*LZ$6,120/LZ$4*LZ$7)))),IF(OR($F100=3,$G100=2),IF(OR(AND(LX$4&gt;=$AD$119,$C100=2),AND(LX$4&gt;=$AF$119,$C100=1)),0,IF(MB100&lt;=60,MH100,60/LZ$4*LZ$7)),IF(AND($F100=2,$G100=1),MH100,0)))))</f>
        <v>0</v>
      </c>
      <c r="MK100" s="57" t="str">
        <f t="shared" si="623"/>
        <v/>
      </c>
      <c r="ML100" s="57" t="str">
        <f t="shared" si="624"/>
        <v/>
      </c>
      <c r="MM100" s="713">
        <f>'org. Düngung 22'!CR99</f>
        <v>0</v>
      </c>
      <c r="MN100" s="57"/>
      <c r="MO100" s="57"/>
      <c r="MP100" s="57">
        <f t="shared" si="625"/>
        <v>0</v>
      </c>
      <c r="MQ100" s="57">
        <f t="shared" si="791"/>
        <v>0</v>
      </c>
      <c r="MR100" s="57">
        <f t="shared" si="792"/>
        <v>0</v>
      </c>
      <c r="MS100" s="57">
        <f t="shared" si="793"/>
        <v>0</v>
      </c>
      <c r="MT100" s="57">
        <f t="shared" si="794"/>
        <v>0</v>
      </c>
      <c r="MU100" s="1029">
        <f t="shared" si="626"/>
        <v>0</v>
      </c>
      <c r="MV100" s="57">
        <f t="shared" si="627"/>
        <v>0</v>
      </c>
      <c r="MW100" s="171" t="str">
        <f t="shared" si="628"/>
        <v/>
      </c>
      <c r="MX100" s="57">
        <f t="shared" si="795"/>
        <v>0</v>
      </c>
      <c r="MY100" s="57">
        <f>IF(OR(AND(MM$6=1,$L100=0),AND(MM$6=2,$K100=2,$G100=1)),0,IF(AND(MO$9=2,(OR($F100&gt;1,$K100=1,AND($L100=80,OR($N100=1,AND($N100=2,'#BerechnungDBE'!$AL91&gt;0)))))),IF(MM$4&gt;=$AD$126,0,MW100),IF(MO$9=3,IF(OR(MM$4&gt;=$AD$127,AND($G100=1,$J100=2,MM$6=2),AND(MM$6=1,$N100&lt;&gt;1)),0,IF(MQ100&lt;=120,MW100,IF(MM$4&lt;$AD$124,IF($F100=1,60/MO$4*MO$6,60/MO$4*MO$7),IF($F100=1,120/MO$4*MO$6,120/MO$4*MO$7)))),IF(OR($F100=3,$G100=2),IF(OR(AND(MM$4&gt;=$AD$119,$C100=2),AND(MM$4&gt;=$AF$119,$C100=1)),0,IF(MQ100&lt;=60,MW100,60/MO$4*MO$7)),IF(AND($F100=2,$G100=1),MW100,0)))))</f>
        <v>0</v>
      </c>
      <c r="MZ100" s="57" t="str">
        <f t="shared" si="629"/>
        <v/>
      </c>
      <c r="NA100" s="57" t="str">
        <f t="shared" si="630"/>
        <v/>
      </c>
      <c r="NB100" s="713">
        <f>'org. Düngung 22'!CV99</f>
        <v>0</v>
      </c>
      <c r="NC100" s="57"/>
      <c r="ND100" s="57"/>
      <c r="NE100" s="57">
        <f t="shared" si="631"/>
        <v>0</v>
      </c>
      <c r="NF100" s="57">
        <f t="shared" si="796"/>
        <v>0</v>
      </c>
      <c r="NG100" s="57">
        <f t="shared" si="797"/>
        <v>0</v>
      </c>
      <c r="NH100" s="57">
        <f t="shared" si="798"/>
        <v>0</v>
      </c>
      <c r="NI100" s="57">
        <f t="shared" si="799"/>
        <v>0</v>
      </c>
      <c r="NJ100" s="1029">
        <f t="shared" si="632"/>
        <v>0</v>
      </c>
      <c r="NK100" s="57">
        <f t="shared" si="633"/>
        <v>0</v>
      </c>
      <c r="NL100" s="171" t="str">
        <f t="shared" si="634"/>
        <v/>
      </c>
      <c r="NM100" s="57">
        <f t="shared" si="800"/>
        <v>0</v>
      </c>
      <c r="NN100" s="57">
        <f>IF(OR(AND(NB$6=1,$L100=0),AND(NB$6=2,$K100=2,$G100=1)),0,IF(AND(ND$9=2,(OR($F100&gt;1,$K100=1,AND($L100=80,OR($N100=1,AND($N100=2,'#BerechnungDBE'!$AL91&gt;0)))))),IF(NB$4&gt;=$AD$126,0,NL100),IF(ND$9=3,IF(OR(NB$4&gt;=$AD$127,AND($G100=1,$J100=2,NB$6=2),AND(NB$6=1,$N100&lt;&gt;1)),0,IF(NF100&lt;=120,NL100,IF(NB$4&lt;$AD$124,IF($F100=1,60/ND$4*ND$6,60/ND$4*ND$7),IF($F100=1,120/ND$4*ND$6,120/ND$4*ND$7)))),IF(OR($F100=3,$G100=2),IF(OR(AND(NB$4&gt;=$AD$119,$C100=2),AND(NB$4&gt;=$AF$119,$C100=1)),0,IF(NF100&lt;=60,NL100,60/ND$4*ND$7)),IF(AND($F100=2,$G100=1),NL100,0)))))</f>
        <v>0</v>
      </c>
      <c r="NO100" s="57" t="str">
        <f t="shared" si="635"/>
        <v/>
      </c>
      <c r="NP100" s="57" t="str">
        <f t="shared" si="636"/>
        <v/>
      </c>
      <c r="NQ100" s="713">
        <f>'org. Düngung 22'!CZ99</f>
        <v>0</v>
      </c>
      <c r="NR100" s="57"/>
      <c r="NS100" s="57"/>
      <c r="NT100" s="57">
        <f t="shared" si="637"/>
        <v>0</v>
      </c>
      <c r="NU100" s="57">
        <f t="shared" si="801"/>
        <v>0</v>
      </c>
      <c r="NV100" s="57">
        <f t="shared" si="802"/>
        <v>0</v>
      </c>
      <c r="NW100" s="57">
        <f t="shared" si="803"/>
        <v>0</v>
      </c>
      <c r="NX100" s="57">
        <f t="shared" si="804"/>
        <v>0</v>
      </c>
      <c r="NY100" s="1029">
        <f t="shared" si="638"/>
        <v>0</v>
      </c>
      <c r="NZ100" s="57">
        <f t="shared" si="639"/>
        <v>0</v>
      </c>
      <c r="OA100" s="171" t="str">
        <f t="shared" si="640"/>
        <v/>
      </c>
      <c r="OB100" s="57">
        <f t="shared" si="805"/>
        <v>0</v>
      </c>
      <c r="OC100" s="57">
        <f>IF(OR(AND(NQ$6=1,$L100=0),AND(NQ$6=2,$K100=2,$G100=1)),0,IF(AND(NS$9=2,(OR($F100&gt;1,$K100=1,AND($L100=80,OR($N100=1,AND($N100=2,'#BerechnungDBE'!$AL91&gt;0)))))),IF(NQ$4&gt;=$AD$126,0,OA100),IF(NS$9=3,IF(OR(NQ$4&gt;=$AD$127,AND($G100=1,$J100=2,NQ$6=2),AND(NQ$6=1,$N100&lt;&gt;1)),0,IF(NU100&lt;=120,OA100,IF(NQ$4&lt;$AD$124,IF($F100=1,60/NS$4*NS$6,60/NS$4*NS$7),IF($F100=1,120/NS$4*NS$6,120/NS$4*NS$7)))),IF(OR($F100=3,$G100=2),IF(OR(AND(NQ$4&gt;=$AD$119,$C100=2),AND(NQ$4&gt;=$AF$119,$C100=1)),0,IF(NU100&lt;=60,OA100,60/NS$4*NS$7)),IF(AND($F100=2,$G100=1),OA100,0)))))</f>
        <v>0</v>
      </c>
      <c r="OD100" s="57" t="str">
        <f t="shared" si="641"/>
        <v/>
      </c>
      <c r="OE100" s="57" t="str">
        <f t="shared" si="642"/>
        <v/>
      </c>
      <c r="OF100" s="713">
        <f>'org. Düngung 22'!DD99</f>
        <v>0</v>
      </c>
      <c r="OG100" s="57"/>
      <c r="OH100" s="57"/>
      <c r="OI100" s="57">
        <f t="shared" si="643"/>
        <v>0</v>
      </c>
      <c r="OJ100" s="57">
        <f t="shared" si="806"/>
        <v>0</v>
      </c>
      <c r="OK100" s="57">
        <f t="shared" si="807"/>
        <v>0</v>
      </c>
      <c r="OL100" s="57">
        <f t="shared" si="808"/>
        <v>0</v>
      </c>
      <c r="OM100" s="57">
        <f t="shared" si="809"/>
        <v>0</v>
      </c>
      <c r="ON100" s="1029">
        <f t="shared" si="644"/>
        <v>0</v>
      </c>
      <c r="OO100" s="57">
        <f t="shared" si="645"/>
        <v>0</v>
      </c>
      <c r="OP100" s="171" t="str">
        <f t="shared" si="646"/>
        <v/>
      </c>
      <c r="OQ100" s="57">
        <f t="shared" si="810"/>
        <v>0</v>
      </c>
      <c r="OR100" s="57">
        <f>IF(OR(AND(OF$6=1,$L100=0),AND(OF$6=2,$K100=2,$G100=1)),0,IF(AND(OH$9=2,(OR($F100&gt;1,$K100=1,AND($L100=80,OR($N100=1,AND($N100=2,'#BerechnungDBE'!$AL91&gt;0)))))),IF(OF$4&gt;=$AD$126,0,OP100),IF(OH$9=3,IF(OR(OF$4&gt;=$AD$127,AND($G100=1,$J100=2,OF$6=2),AND(OF$6=1,$N100&lt;&gt;1)),0,IF(OJ100&lt;=120,OP100,IF(OF$4&lt;$AD$124,IF($F100=1,60/OH$4*OH$6,60/OH$4*OH$7),IF($F100=1,120/OH$4*OH$6,120/OH$4*OH$7)))),IF(OR($F100=3,$G100=2),IF(OR(AND(OF$4&gt;=$AD$119,$C100=2),AND(OF$4&gt;=$AF$119,$C100=1)),0,IF(OJ100&lt;=60,OP100,60/OH$4*OH$7)),IF(AND($F100=2,$G100=1),OP100,0)))))</f>
        <v>0</v>
      </c>
      <c r="OS100" s="57" t="str">
        <f t="shared" si="647"/>
        <v/>
      </c>
      <c r="OT100" s="57" t="str">
        <f t="shared" si="648"/>
        <v/>
      </c>
      <c r="OU100" s="713">
        <f>'org. Düngung 22'!DH99</f>
        <v>0</v>
      </c>
      <c r="OV100" s="57"/>
      <c r="OW100" s="57"/>
      <c r="OX100" s="57">
        <f t="shared" si="649"/>
        <v>0</v>
      </c>
      <c r="OY100" s="57">
        <f t="shared" si="811"/>
        <v>0</v>
      </c>
      <c r="OZ100" s="57">
        <f t="shared" si="812"/>
        <v>0</v>
      </c>
      <c r="PA100" s="57">
        <f t="shared" si="813"/>
        <v>0</v>
      </c>
      <c r="PB100" s="57">
        <f t="shared" si="814"/>
        <v>0</v>
      </c>
      <c r="PC100" s="1029">
        <f t="shared" si="650"/>
        <v>0</v>
      </c>
      <c r="PD100" s="57">
        <f t="shared" si="651"/>
        <v>0</v>
      </c>
      <c r="PE100" s="171" t="str">
        <f t="shared" si="652"/>
        <v/>
      </c>
      <c r="PF100" s="57">
        <f t="shared" si="815"/>
        <v>0</v>
      </c>
      <c r="PG100" s="57">
        <f>IF(OR(AND(OU$6=1,$L100=0),AND(OU$6=2,$K100=2,$G100=1)),0,IF(AND(OW$9=2,(OR($F100&gt;1,$K100=1,AND($L100=80,OR($N100=1,AND($N100=2,'#BerechnungDBE'!$AL91&gt;0)))))),IF(OU$4&gt;=$AD$126,0,PE100),IF(OW$9=3,IF(OR(OU$4&gt;=$AD$127,AND($G100=1,$J100=2,OU$6=2),AND(OU$6=1,$N100&lt;&gt;1)),0,IF(OY100&lt;=120,PE100,IF(OU$4&lt;$AD$124,IF($F100=1,60/OW$4*OW$6,60/OW$4*OW$7),IF($F100=1,120/OW$4*OW$6,120/OW$4*OW$7)))),IF(OR($F100=3,$G100=2),IF(OR(AND(OU$4&gt;=$AD$119,$C100=2),AND(OU$4&gt;=$AF$119,$C100=1)),0,IF(OY100&lt;=60,PE100,60/OW$4*OW$7)),IF(AND($F100=2,$G100=1),PE100,0)))))</f>
        <v>0</v>
      </c>
      <c r="PH100" s="57" t="str">
        <f t="shared" si="653"/>
        <v/>
      </c>
      <c r="PI100" s="57" t="str">
        <f t="shared" si="654"/>
        <v/>
      </c>
      <c r="PJ100" s="713">
        <f>'org. Düngung 22'!DL99</f>
        <v>0</v>
      </c>
      <c r="PK100" s="57"/>
      <c r="PL100" s="57"/>
      <c r="PM100" s="57">
        <f t="shared" si="655"/>
        <v>0</v>
      </c>
      <c r="PN100" s="57">
        <f t="shared" si="816"/>
        <v>0</v>
      </c>
      <c r="PO100" s="57">
        <f t="shared" si="817"/>
        <v>0</v>
      </c>
      <c r="PP100" s="57">
        <f t="shared" si="818"/>
        <v>0</v>
      </c>
      <c r="PQ100" s="57">
        <f t="shared" si="819"/>
        <v>0</v>
      </c>
      <c r="PR100" s="1029">
        <f t="shared" si="656"/>
        <v>0</v>
      </c>
      <c r="PS100" s="57">
        <f t="shared" si="657"/>
        <v>0</v>
      </c>
      <c r="PT100" s="171" t="str">
        <f t="shared" si="658"/>
        <v/>
      </c>
      <c r="PU100" s="57">
        <f t="shared" si="820"/>
        <v>0</v>
      </c>
      <c r="PV100" s="57">
        <f>IF(OR(AND(PJ$6=1,$L100=0),AND(PJ$6=2,$K100=2,$G100=1)),0,IF(AND(PL$9=2,(OR($F100&gt;1,$K100=1,AND($L100=80,OR($N100=1,AND($N100=2,'#BerechnungDBE'!$AL91&gt;0)))))),IF(PJ$4&gt;=$AD$126,0,PT100),IF(PL$9=3,IF(OR(PJ$4&gt;=$AD$127,AND($G100=1,$J100=2,PJ$6=2),AND(PJ$6=1,$N100&lt;&gt;1)),0,IF(PN100&lt;=120,PT100,IF(PJ$4&lt;$AD$124,IF($F100=1,60/PL$4*PL$6,60/PL$4*PL$7),IF($F100=1,120/PL$4*PL$6,120/PL$4*PL$7)))),IF(OR($F100=3,$G100=2),IF(OR(AND(PJ$4&gt;=$AD$119,$C100=2),AND(PJ$4&gt;=$AF$119,$C100=1)),0,IF(PN100&lt;=60,PT100,60/PL$4*PL$7)),IF(AND($F100=2,$G100=1),PT100,0)))))</f>
        <v>0</v>
      </c>
      <c r="PW100" s="57" t="str">
        <f t="shared" si="659"/>
        <v/>
      </c>
      <c r="PX100" s="57" t="str">
        <f t="shared" si="660"/>
        <v/>
      </c>
      <c r="PY100" s="713">
        <f>'org. Düngung 22'!DP99</f>
        <v>0</v>
      </c>
      <c r="PZ100" s="57"/>
      <c r="QA100" s="57"/>
      <c r="QB100" s="57">
        <f t="shared" si="661"/>
        <v>0</v>
      </c>
      <c r="QC100" s="57">
        <f t="shared" si="821"/>
        <v>0</v>
      </c>
      <c r="QD100" s="57">
        <f t="shared" si="822"/>
        <v>0</v>
      </c>
      <c r="QE100" s="57">
        <f t="shared" si="823"/>
        <v>0</v>
      </c>
      <c r="QF100" s="57">
        <f t="shared" si="824"/>
        <v>0</v>
      </c>
      <c r="QG100" s="1029">
        <f t="shared" si="662"/>
        <v>0</v>
      </c>
      <c r="QH100" s="57">
        <f t="shared" si="663"/>
        <v>0</v>
      </c>
      <c r="QI100" s="171" t="str">
        <f t="shared" si="664"/>
        <v/>
      </c>
      <c r="QJ100" s="57">
        <f t="shared" si="825"/>
        <v>0</v>
      </c>
      <c r="QK100" s="57">
        <f>IF(OR(AND(PY$6=1,$L100=0),AND(PY$6=2,$K100=2,$G100=1)),0,IF(AND(QA$9=2,(OR($F100&gt;1,$K100=1,AND($L100=80,OR($N100=1,AND($N100=2,'#BerechnungDBE'!$AL91&gt;0)))))),IF(PY$4&gt;=$AD$126,0,QI100),IF(QA$9=3,IF(OR(PY$4&gt;=$AD$127,AND($G100=1,$J100=2,PY$6=2),AND(PY$6=1,$N100&lt;&gt;1)),0,IF(QC100&lt;=120,QI100,IF(PY$4&lt;$AD$124,IF($F100=1,60/QA$4*QA$6,60/QA$4*QA$7),IF($F100=1,120/QA$4*QA$6,120/QA$4*QA$7)))),IF(OR($F100=3,$G100=2),IF(OR(AND(PY$4&gt;=$AD$119,$C100=2),AND(PY$4&gt;=$AF$119,$C100=1)),0,IF(QC100&lt;=60,QI100,60/QA$4*QA$7)),IF(AND($F100=2,$G100=1),QI100,0)))))</f>
        <v>0</v>
      </c>
      <c r="QL100" s="57" t="str">
        <f t="shared" si="665"/>
        <v/>
      </c>
      <c r="QM100" s="57" t="str">
        <f t="shared" si="666"/>
        <v/>
      </c>
      <c r="QN100" s="713">
        <f>'org. Düngung 22'!DT99</f>
        <v>0</v>
      </c>
      <c r="QO100" s="57"/>
      <c r="QP100" s="57"/>
      <c r="QQ100" s="57">
        <f t="shared" si="667"/>
        <v>0</v>
      </c>
      <c r="QR100" s="57">
        <f t="shared" si="826"/>
        <v>0</v>
      </c>
      <c r="QS100" s="57">
        <f t="shared" si="827"/>
        <v>0</v>
      </c>
      <c r="QT100" s="57">
        <f t="shared" si="828"/>
        <v>0</v>
      </c>
      <c r="QU100" s="57">
        <f t="shared" si="829"/>
        <v>0</v>
      </c>
      <c r="QV100" s="1029">
        <f t="shared" si="668"/>
        <v>0</v>
      </c>
      <c r="QW100" s="57">
        <f t="shared" si="669"/>
        <v>0</v>
      </c>
      <c r="QX100" s="171" t="str">
        <f t="shared" si="670"/>
        <v/>
      </c>
      <c r="QY100" s="57">
        <f t="shared" si="830"/>
        <v>0</v>
      </c>
      <c r="QZ100" s="57">
        <f>IF(OR(AND(QN$6=1,$L100=0),AND(QN$6=2,$K100=2,$G100=1)),0,IF(AND(QP$9=2,(OR($F100&gt;1,$K100=1,AND($L100=80,OR($N100=1,AND($N100=2,'#BerechnungDBE'!$AL91&gt;0)))))),IF(QN$4&gt;=$AD$126,0,QX100),IF(QP$9=3,IF(OR(QN$4&gt;=$AD$127,AND($G100=1,$J100=2,QN$6=2),AND(QN$6=1,$N100&lt;&gt;1)),0,IF(QR100&lt;=120,QX100,IF(QN$4&lt;$AD$124,IF($F100=1,60/QP$4*QP$6,60/QP$4*QP$7),IF($F100=1,120/QP$4*QP$6,120/QP$4*QP$7)))),IF(OR($F100=3,$G100=2),IF(OR(AND(QN$4&gt;=$AD$119,$C100=2),AND(QN$4&gt;=$AF$119,$C100=1)),0,IF(QR100&lt;=60,QX100,60/QP$4*QP$7)),IF(AND($F100=2,$G100=1),QX100,0)))))</f>
        <v>0</v>
      </c>
      <c r="RA100" s="57" t="str">
        <f t="shared" si="671"/>
        <v/>
      </c>
      <c r="RB100" s="57" t="str">
        <f t="shared" si="672"/>
        <v/>
      </c>
      <c r="RC100" s="713">
        <f>'org. Düngung 22'!DX99</f>
        <v>0</v>
      </c>
      <c r="RD100" s="57"/>
      <c r="RE100" s="57"/>
      <c r="RF100" s="57">
        <f t="shared" si="673"/>
        <v>0</v>
      </c>
      <c r="RG100" s="57">
        <f t="shared" si="831"/>
        <v>0</v>
      </c>
      <c r="RH100" s="57">
        <f t="shared" si="832"/>
        <v>0</v>
      </c>
      <c r="RI100" s="57">
        <f t="shared" si="833"/>
        <v>0</v>
      </c>
      <c r="RJ100" s="57">
        <f t="shared" si="834"/>
        <v>0</v>
      </c>
      <c r="RK100" s="1029">
        <f t="shared" si="674"/>
        <v>0</v>
      </c>
      <c r="RL100" s="57">
        <f t="shared" si="675"/>
        <v>0</v>
      </c>
      <c r="RM100" s="171" t="str">
        <f t="shared" si="676"/>
        <v/>
      </c>
      <c r="RN100" s="57">
        <f t="shared" si="835"/>
        <v>0</v>
      </c>
      <c r="RO100" s="57">
        <f>IF(OR(AND(RC$6=1,$L100=0),AND(RC$6=2,$K100=2,$G100=1)),0,IF(AND(RE$9=2,(OR($F100&gt;1,$K100=1,AND($L100=80,OR($N100=1,AND($N100=2,'#BerechnungDBE'!$AL91&gt;0)))))),IF(RC$4&gt;=$AD$126,0,RM100),IF(RE$9=3,IF(OR(RC$4&gt;=$AD$127,AND($G100=1,$J100=2,RC$6=2),AND(RC$6=1,$N100&lt;&gt;1)),0,IF(RG100&lt;=120,RM100,IF(RC$4&lt;$AD$124,IF($F100=1,60/RE$4*RE$6,60/RE$4*RE$7),IF($F100=1,120/RE$4*RE$6,120/RE$4*RE$7)))),IF(OR($F100=3,$G100=2),IF(OR(AND(RC$4&gt;=$AD$119,$C100=2),AND(RC$4&gt;=$AF$119,$C100=1)),0,IF(RG100&lt;=60,RM100,60/RE$4*RE$7)),IF(AND($F100=2,$G100=1),RM100,0)))))</f>
        <v>0</v>
      </c>
      <c r="RP100" s="57" t="str">
        <f t="shared" si="677"/>
        <v/>
      </c>
      <c r="RQ100" s="57" t="str">
        <f t="shared" si="678"/>
        <v/>
      </c>
      <c r="RS100" s="57" t="str">
        <f t="shared" si="836"/>
        <v/>
      </c>
      <c r="RT100" s="57" t="str">
        <f t="shared" si="679"/>
        <v/>
      </c>
      <c r="RU100" s="57" t="str">
        <f t="shared" si="680"/>
        <v/>
      </c>
      <c r="RV100" s="57" t="str">
        <f>IF(Z100&gt;'#BerechnungDBE'!BM91,$RV$9,"")</f>
        <v/>
      </c>
      <c r="RW100" s="57" t="str">
        <f>IF(AND(L100=70,AE100&gt;'#BerechnungDBE'!CQ91),$RW$9,"")</f>
        <v/>
      </c>
      <c r="RX100" s="57" t="str">
        <f>IF(OR('org. Düngung 22'!G99="--",'org. Düngung 22'!G99&lt;=170,'org. Düngung 22'!G99=""),"",$RX$9)</f>
        <v/>
      </c>
      <c r="RY100" s="57" t="str">
        <f>IF('org. Düngung 22'!K99&gt;120,'#orgDung'!$RY$9,"")</f>
        <v/>
      </c>
      <c r="RZ100" s="57" t="str">
        <f>IF('#BerechnungDBE'!P91&lt;4,"",IF(AND('#BerechnungDBE'!BZ91&gt;0,T100&gt;0),'#orgDung'!$RZ$9,""))</f>
        <v/>
      </c>
      <c r="SA100" s="57" t="str">
        <f t="shared" si="681"/>
        <v/>
      </c>
    </row>
    <row r="101" spans="1:495" s="875" customFormat="1" x14ac:dyDescent="0.2">
      <c r="A101" s="875">
        <f>'Flächen u. Kulturen'!A97</f>
        <v>88</v>
      </c>
      <c r="B101" s="367">
        <f>'#BerechnungDBE'!L92</f>
        <v>0</v>
      </c>
      <c r="C101" s="875">
        <f>'#BerechnungDBE'!R92</f>
        <v>1</v>
      </c>
      <c r="D101" s="875">
        <f>'#BerechnungDBE'!T92</f>
        <v>2</v>
      </c>
      <c r="E101" s="875" t="str">
        <f>'Flächen u. Kulturen'!E97</f>
        <v>x</v>
      </c>
      <c r="F101" s="52">
        <f>'#BerechnungDBE'!N92</f>
        <v>1</v>
      </c>
      <c r="G101" s="52">
        <f>'#BerechnungDBE'!O92</f>
        <v>1</v>
      </c>
      <c r="H101" s="875">
        <f>IF('Flächen u. Kulturen'!P97="",0,VLOOKUP('Flächen u. Kulturen'!P97,Kulturen[[HF]:[Berechnungsgruppe]],'#Frucht'!$H$1,FALSE))</f>
        <v>0</v>
      </c>
      <c r="I101" s="875">
        <f>IF('Flächen u. Kulturen'!J97="",0,VLOOKUP('Flächen u. Kulturen'!J97,Kulturen[[HF]:[Berechnungsgruppe]],'#Frucht'!$G$1,FALSE))</f>
        <v>90</v>
      </c>
      <c r="J101" s="505">
        <f t="shared" si="682"/>
        <v>2</v>
      </c>
      <c r="K101" s="505">
        <f>IF('Flächen u. Kulturen'!P97="",0,IF(VLOOKUP('Flächen u. Kulturen'!P97,Kulturen[[HF]:[Saat Winterungen]],'#Frucht'!$P$1,FALSE)&gt;0,1,2))</f>
        <v>2</v>
      </c>
      <c r="L101" s="875">
        <f>'#BerechnungDBE'!AF92</f>
        <v>0</v>
      </c>
      <c r="M101" s="875">
        <f>IF('Flächen u. Kulturen'!L97="",0,VLOOKUP('Flächen u. Kulturen'!L97,Nebenkultur[[Nebenkultur]:[Legum. Zwischenfr.]],'#Zweitfr'!$K$1,FALSE))</f>
        <v>0</v>
      </c>
      <c r="N101" s="875">
        <f>'#BerechnungDBE'!AG92</f>
        <v>0</v>
      </c>
      <c r="P101" s="57">
        <f t="shared" si="489"/>
        <v>0</v>
      </c>
      <c r="Q101" s="57">
        <f t="shared" si="490"/>
        <v>0</v>
      </c>
      <c r="R101" s="875">
        <f t="shared" si="491"/>
        <v>0</v>
      </c>
      <c r="S101" s="938" t="str">
        <f t="shared" si="683"/>
        <v/>
      </c>
      <c r="T101" s="875">
        <f t="shared" si="492"/>
        <v>0</v>
      </c>
      <c r="U101" s="875">
        <f t="shared" si="493"/>
        <v>0</v>
      </c>
      <c r="V101" s="875">
        <f t="shared" si="494"/>
        <v>0</v>
      </c>
      <c r="W101" s="875">
        <f t="shared" si="495"/>
        <v>0</v>
      </c>
      <c r="X101" s="875">
        <f t="shared" si="496"/>
        <v>0</v>
      </c>
      <c r="Y101" s="875">
        <f t="shared" si="837"/>
        <v>0</v>
      </c>
      <c r="Z101" s="875">
        <f t="shared" si="838"/>
        <v>0</v>
      </c>
      <c r="AA101" s="910">
        <f t="shared" si="497"/>
        <v>0</v>
      </c>
      <c r="AB101" s="57">
        <f t="shared" si="839"/>
        <v>0</v>
      </c>
      <c r="AC101" s="875">
        <f t="shared" si="498"/>
        <v>0</v>
      </c>
      <c r="AD101" s="875">
        <f t="shared" si="499"/>
        <v>0</v>
      </c>
      <c r="AE101" s="875">
        <f t="shared" si="500"/>
        <v>0</v>
      </c>
      <c r="AF101" s="875">
        <f t="shared" si="840"/>
        <v>0</v>
      </c>
      <c r="AG101" s="875">
        <f>'org. Düngung 22'!J100</f>
        <v>0</v>
      </c>
      <c r="AH101" s="875">
        <f>'org. Düngung 22'!K100</f>
        <v>0</v>
      </c>
      <c r="AJ101" s="713">
        <f>'org. Düngung 22'!L100</f>
        <v>0</v>
      </c>
      <c r="AK101" s="57"/>
      <c r="AL101" s="57"/>
      <c r="AM101" s="57">
        <f t="shared" si="684"/>
        <v>0</v>
      </c>
      <c r="AN101" s="57">
        <f t="shared" si="685"/>
        <v>0</v>
      </c>
      <c r="AO101" s="57">
        <f t="shared" si="686"/>
        <v>0</v>
      </c>
      <c r="AP101" s="57">
        <f t="shared" si="687"/>
        <v>0</v>
      </c>
      <c r="AQ101" s="57">
        <f t="shared" si="688"/>
        <v>0</v>
      </c>
      <c r="AR101" s="1029">
        <f t="shared" si="501"/>
        <v>0</v>
      </c>
      <c r="AS101" s="57">
        <f t="shared" si="502"/>
        <v>0</v>
      </c>
      <c r="AT101" s="171" t="str">
        <f t="shared" si="503"/>
        <v/>
      </c>
      <c r="AU101" s="57">
        <f t="shared" si="689"/>
        <v>0</v>
      </c>
      <c r="AV101" s="57">
        <f>IF(OR(AND(AJ$6=1,$L101=0),AND(AJ$6=2,$K101=2,$G101=1)),0,IF(AND(AL$9=2,(OR($F101&gt;1,$K101=1,AND($L101=80,OR($N101=1,AND($N101=2,'#BerechnungDBE'!$AL92&gt;0)))))),IF(AJ$4&gt;=$AD$126,0,AT101),IF(AL$9=3,IF(OR(AJ$4&gt;=$AD$127,AND($G101=1,$J101=2,AJ$6=2),AND(AJ$6=1,$N101&lt;&gt;1)),0,IF(AN101&lt;=120,AT101,IF(AJ$4&lt;$AD$124,IF($F101=1,60/AL$4*AL$6,60/AL$4*AL$7),IF($F101=1,120/AL$4*AL$6,120/AL$4*AL$7)))),IF(OR($F101=3,$G101=2),IF(OR(AND(AJ$4&gt;=$AD$119,$C101=2),AND(AJ$4&gt;=$AF$119,$C101=1)),0,IF(AN101&lt;=60,AT101,60/AL$4*AL$7)),IF(AND($F101=2,$G101=1),AT101,0)))))</f>
        <v>0</v>
      </c>
      <c r="AW101" s="57" t="str">
        <f t="shared" si="690"/>
        <v/>
      </c>
      <c r="AX101" s="57" t="str">
        <f t="shared" si="504"/>
        <v/>
      </c>
      <c r="AY101" s="713">
        <f>'org. Düngung 22'!P100</f>
        <v>0</v>
      </c>
      <c r="AZ101" s="57"/>
      <c r="BA101" s="57"/>
      <c r="BB101" s="57">
        <f t="shared" si="505"/>
        <v>0</v>
      </c>
      <c r="BC101" s="57">
        <f t="shared" si="691"/>
        <v>0</v>
      </c>
      <c r="BD101" s="57">
        <f t="shared" si="692"/>
        <v>0</v>
      </c>
      <c r="BE101" s="57">
        <f t="shared" si="693"/>
        <v>0</v>
      </c>
      <c r="BF101" s="57">
        <f t="shared" si="694"/>
        <v>0</v>
      </c>
      <c r="BG101" s="1029">
        <f t="shared" si="506"/>
        <v>0</v>
      </c>
      <c r="BH101" s="57">
        <f t="shared" si="507"/>
        <v>0</v>
      </c>
      <c r="BI101" s="171" t="str">
        <f t="shared" si="508"/>
        <v/>
      </c>
      <c r="BJ101" s="57">
        <f t="shared" si="695"/>
        <v>0</v>
      </c>
      <c r="BK101" s="57">
        <f>IF(OR(AND(AY$6=1,$L101=0),AND(AY$6=2,$K101=2,$G101=1)),0,IF(AND(BA$9=2,(OR($F101&gt;1,$K101=1,AND($L101=80,OR($N101=1,AND($N101=2,'#BerechnungDBE'!$AL92&gt;0)))))),IF(AY$4&gt;=$AD$126,0,BI101),IF(BA$9=3,IF(OR(AY$4&gt;=$AD$127,AND($G101=1,$J101=2,AY$6=2),AND(AY$6=1,$N101&lt;&gt;1)),0,IF(BC101&lt;=120,BI101,IF(AY$4&lt;$AD$124,IF($F101=1,60/BA$4*BA$6,60/BA$4*BA$7),IF($F101=1,120/BA$4*BA$6,120/BA$4*BA$7)))),IF(OR($F101=3,$G101=2),IF(OR(AND(AY$4&gt;=$AD$119,$C101=2),AND(AY$4&gt;=$AF$119,$C101=1)),0,IF(BC101&lt;=60,BI101,60/BA$4*BA$7)),IF(AND($F101=2,$G101=1),BI101,0)))))</f>
        <v>0</v>
      </c>
      <c r="BL101" s="57" t="str">
        <f t="shared" si="509"/>
        <v/>
      </c>
      <c r="BM101" s="57" t="str">
        <f t="shared" si="510"/>
        <v/>
      </c>
      <c r="BN101" s="713">
        <f>'org. Düngung 22'!T100</f>
        <v>0</v>
      </c>
      <c r="BO101" s="57"/>
      <c r="BP101" s="57"/>
      <c r="BQ101" s="57">
        <f t="shared" si="511"/>
        <v>0</v>
      </c>
      <c r="BR101" s="57">
        <f t="shared" si="696"/>
        <v>0</v>
      </c>
      <c r="BS101" s="57">
        <f t="shared" si="697"/>
        <v>0</v>
      </c>
      <c r="BT101" s="57">
        <f t="shared" si="698"/>
        <v>0</v>
      </c>
      <c r="BU101" s="57">
        <f t="shared" si="699"/>
        <v>0</v>
      </c>
      <c r="BV101" s="1029">
        <f t="shared" si="512"/>
        <v>0</v>
      </c>
      <c r="BW101" s="57">
        <f t="shared" si="513"/>
        <v>0</v>
      </c>
      <c r="BX101" s="171" t="str">
        <f t="shared" si="514"/>
        <v/>
      </c>
      <c r="BY101" s="57">
        <f t="shared" si="700"/>
        <v>0</v>
      </c>
      <c r="BZ101" s="57">
        <f>IF(OR(AND(BN$6=1,$L101=0),AND(BN$6=2,$K101=2,$G101=1)),0,IF(AND(BP$9=2,(OR($F101&gt;1,$K101=1,AND($L101=80,OR($N101=1,AND($N101=2,'#BerechnungDBE'!$AL92&gt;0)))))),IF(BN$4&gt;=$AD$126,0,BX101),IF(BP$9=3,IF(OR(BN$4&gt;=$AD$127,AND($G101=1,$J101=2,BN$6=2),AND(BN$6=1,$N101&lt;&gt;1)),0,IF(BR101&lt;=120,BX101,IF(BN$4&lt;$AD$124,IF($F101=1,60/BP$4*BP$6,60/BP$4*BP$7),IF($F101=1,120/BP$4*BP$6,120/BP$4*BP$7)))),IF(OR($F101=3,$G101=2),IF(OR(AND(BN$4&gt;=$AD$119,$C101=2),AND(BN$4&gt;=$AF$119,$C101=1)),0,IF(BR101&lt;=60,BX101,60/BP$4*BP$7)),IF(AND($F101=2,$G101=1),BX101,0)))))</f>
        <v>0</v>
      </c>
      <c r="CA101" s="57" t="str">
        <f t="shared" si="515"/>
        <v/>
      </c>
      <c r="CB101" s="57" t="str">
        <f t="shared" si="516"/>
        <v/>
      </c>
      <c r="CC101" s="713">
        <f>'org. Düngung 22'!X100</f>
        <v>0</v>
      </c>
      <c r="CD101" s="57"/>
      <c r="CE101" s="57"/>
      <c r="CF101" s="57">
        <f t="shared" si="517"/>
        <v>0</v>
      </c>
      <c r="CG101" s="57">
        <f t="shared" si="701"/>
        <v>0</v>
      </c>
      <c r="CH101" s="57">
        <f t="shared" si="702"/>
        <v>0</v>
      </c>
      <c r="CI101" s="57">
        <f t="shared" si="703"/>
        <v>0</v>
      </c>
      <c r="CJ101" s="57">
        <f t="shared" si="704"/>
        <v>0</v>
      </c>
      <c r="CK101" s="1029">
        <f t="shared" si="518"/>
        <v>0</v>
      </c>
      <c r="CL101" s="57">
        <f t="shared" si="519"/>
        <v>0</v>
      </c>
      <c r="CM101" s="171" t="str">
        <f t="shared" si="520"/>
        <v/>
      </c>
      <c r="CN101" s="57">
        <f t="shared" si="705"/>
        <v>0</v>
      </c>
      <c r="CO101" s="57">
        <f>IF(OR(AND(CC$6=1,$L101=0),AND(CC$6=2,$K101=2,$G101=1)),0,IF(AND(CE$9=2,(OR($F101&gt;1,$K101=1,AND($L101=80,OR($N101=1,AND($N101=2,'#BerechnungDBE'!$AL92&gt;0)))))),IF(CC$4&gt;=$AD$126,0,CM101),IF(CE$9=3,IF(OR(CC$4&gt;=$AD$127,AND($G101=1,$J101=2,CC$6=2),AND(CC$6=1,$N101&lt;&gt;1)),0,IF(CG101&lt;=120,CM101,IF(CC$4&lt;$AD$124,IF($F101=1,60/CE$4*CE$6,60/CE$4*CE$7),IF($F101=1,120/CE$4*CE$6,120/CE$4*CE$7)))),IF(OR($F101=3,$G101=2),IF(OR(AND(CC$4&gt;=$AD$119,$C101=2),AND(CC$4&gt;=$AF$119,$C101=1)),0,IF(CG101&lt;=60,CM101,60/CE$4*CE$7)),IF(AND($F101=2,$G101=1),CM101,0)))))</f>
        <v>0</v>
      </c>
      <c r="CP101" s="57" t="str">
        <f t="shared" si="521"/>
        <v/>
      </c>
      <c r="CQ101" s="57" t="str">
        <f t="shared" si="522"/>
        <v/>
      </c>
      <c r="CR101" s="713">
        <f>'org. Düngung 22'!AB100</f>
        <v>0</v>
      </c>
      <c r="CS101" s="57"/>
      <c r="CT101" s="57"/>
      <c r="CU101" s="57">
        <f t="shared" si="523"/>
        <v>0</v>
      </c>
      <c r="CV101" s="57">
        <f t="shared" si="706"/>
        <v>0</v>
      </c>
      <c r="CW101" s="57">
        <f t="shared" si="707"/>
        <v>0</v>
      </c>
      <c r="CX101" s="57">
        <f t="shared" si="708"/>
        <v>0</v>
      </c>
      <c r="CY101" s="57">
        <f t="shared" si="709"/>
        <v>0</v>
      </c>
      <c r="CZ101" s="1029">
        <f t="shared" si="524"/>
        <v>0</v>
      </c>
      <c r="DA101" s="57">
        <f t="shared" si="525"/>
        <v>0</v>
      </c>
      <c r="DB101" s="171" t="str">
        <f t="shared" si="526"/>
        <v/>
      </c>
      <c r="DC101" s="57">
        <f t="shared" si="710"/>
        <v>0</v>
      </c>
      <c r="DD101" s="57">
        <f>IF(OR(AND(CR$6=1,$L101=0),AND(CR$6=2,$K101=2,$G101=1)),0,IF(AND(CT$9=2,(OR($F101&gt;1,$K101=1,AND($L101=80,OR($N101=1,AND($N101=2,'#BerechnungDBE'!$AL92&gt;0)))))),IF(CR$4&gt;=$AD$126,0,DB101),IF(CT$9=3,IF(OR(CR$4&gt;=$AD$127,AND($G101=1,$J101=2,CR$6=2),AND(CR$6=1,$N101&lt;&gt;1)),0,IF(CV101&lt;=120,DB101,IF(CR$4&lt;$AD$124,IF($F101=1,60/CT$4*CT$6,60/CT$4*CT$7),IF($F101=1,120/CT$4*CT$6,120/CT$4*CT$7)))),IF(OR($F101=3,$G101=2),IF(OR(AND(CR$4&gt;=$AD$119,$C101=2),AND(CR$4&gt;=$AF$119,$C101=1)),0,IF(CV101&lt;=60,DB101,60/CT$4*CT$7)),IF(AND($F101=2,$G101=1),DB101,0)))))</f>
        <v>0</v>
      </c>
      <c r="DE101" s="57" t="str">
        <f t="shared" si="527"/>
        <v/>
      </c>
      <c r="DF101" s="57" t="str">
        <f t="shared" si="528"/>
        <v/>
      </c>
      <c r="DG101" s="713">
        <f>'org. Düngung 22'!AF100</f>
        <v>0</v>
      </c>
      <c r="DH101" s="57"/>
      <c r="DI101" s="57"/>
      <c r="DJ101" s="57">
        <f t="shared" si="529"/>
        <v>0</v>
      </c>
      <c r="DK101" s="57">
        <f t="shared" si="711"/>
        <v>0</v>
      </c>
      <c r="DL101" s="57">
        <f t="shared" si="712"/>
        <v>0</v>
      </c>
      <c r="DM101" s="57">
        <f t="shared" si="713"/>
        <v>0</v>
      </c>
      <c r="DN101" s="57">
        <f t="shared" si="714"/>
        <v>0</v>
      </c>
      <c r="DO101" s="1029">
        <f t="shared" si="530"/>
        <v>0</v>
      </c>
      <c r="DP101" s="57">
        <f t="shared" si="531"/>
        <v>0</v>
      </c>
      <c r="DQ101" s="171" t="str">
        <f t="shared" si="532"/>
        <v/>
      </c>
      <c r="DR101" s="57">
        <f t="shared" si="715"/>
        <v>0</v>
      </c>
      <c r="DS101" s="57">
        <f>IF(OR(AND(DG$6=1,$L101=0),AND(DG$6=2,$K101=2,$G101=1)),0,IF(AND(DI$9=2,(OR($F101&gt;1,$K101=1,AND($L101=80,OR($N101=1,AND($N101=2,'#BerechnungDBE'!$AL92&gt;0)))))),IF(DG$4&gt;=$AD$126,0,DQ101),IF(DI$9=3,IF(OR(DG$4&gt;=$AD$127,AND($G101=1,$J101=2,DG$6=2),AND(DG$6=1,$N101&lt;&gt;1)),0,IF(DK101&lt;=120,DQ101,IF(DG$4&lt;$AD$124,IF($F101=1,60/DI$4*DI$6,60/DI$4*DI$7),IF($F101=1,120/DI$4*DI$6,120/DI$4*DI$7)))),IF(OR($F101=3,$G101=2),IF(OR(AND(DG$4&gt;=$AD$119,$C101=2),AND(DG$4&gt;=$AF$119,$C101=1)),0,IF(DK101&lt;=60,DQ101,60/DI$4*DI$7)),IF(AND($F101=2,$G101=1),DQ101,0)))))</f>
        <v>0</v>
      </c>
      <c r="DT101" s="57" t="str">
        <f t="shared" si="533"/>
        <v/>
      </c>
      <c r="DU101" s="57" t="str">
        <f t="shared" si="534"/>
        <v/>
      </c>
      <c r="DV101" s="713">
        <f>'org. Düngung 22'!AJ100</f>
        <v>0</v>
      </c>
      <c r="DW101" s="57"/>
      <c r="DX101" s="57"/>
      <c r="DY101" s="57">
        <f t="shared" si="535"/>
        <v>0</v>
      </c>
      <c r="DZ101" s="57">
        <f t="shared" si="716"/>
        <v>0</v>
      </c>
      <c r="EA101" s="57">
        <f t="shared" si="717"/>
        <v>0</v>
      </c>
      <c r="EB101" s="57">
        <f t="shared" si="718"/>
        <v>0</v>
      </c>
      <c r="EC101" s="57">
        <f t="shared" si="719"/>
        <v>0</v>
      </c>
      <c r="ED101" s="1029">
        <f t="shared" si="536"/>
        <v>0</v>
      </c>
      <c r="EE101" s="57">
        <f t="shared" si="537"/>
        <v>0</v>
      </c>
      <c r="EF101" s="171" t="str">
        <f t="shared" si="538"/>
        <v/>
      </c>
      <c r="EG101" s="57">
        <f t="shared" si="720"/>
        <v>0</v>
      </c>
      <c r="EH101" s="57">
        <f>IF(OR(AND(DV$6=1,$L101=0),AND(DV$6=2,$K101=2,$G101=1)),0,IF(AND(DX$9=2,(OR($F101&gt;1,$K101=1,AND($L101=80,OR($N101=1,AND($N101=2,'#BerechnungDBE'!$AL92&gt;0)))))),IF(DV$4&gt;=$AD$126,0,EF101),IF(DX$9=3,IF(OR(DV$4&gt;=$AD$127,AND($G101=1,$J101=2,DV$6=2),AND(DV$6=1,$N101&lt;&gt;1)),0,IF(DZ101&lt;=120,EF101,IF(DV$4&lt;$AD$124,IF($F101=1,60/DX$4*DX$6,60/DX$4*DX$7),IF($F101=1,120/DX$4*DX$6,120/DX$4*DX$7)))),IF(OR($F101=3,$G101=2),IF(OR(AND(DV$4&gt;=$AD$119,$C101=2),AND(DV$4&gt;=$AF$119,$C101=1)),0,IF(DZ101&lt;=60,EF101,60/DX$4*DX$7)),IF(AND($F101=2,$G101=1),EF101,0)))))</f>
        <v>0</v>
      </c>
      <c r="EI101" s="57" t="str">
        <f t="shared" si="539"/>
        <v/>
      </c>
      <c r="EJ101" s="57" t="str">
        <f t="shared" si="540"/>
        <v/>
      </c>
      <c r="EK101" s="713">
        <f>'org. Düngung 22'!AN100</f>
        <v>0</v>
      </c>
      <c r="EL101" s="57"/>
      <c r="EM101" s="57"/>
      <c r="EN101" s="57">
        <f t="shared" si="541"/>
        <v>0</v>
      </c>
      <c r="EO101" s="57">
        <f t="shared" si="721"/>
        <v>0</v>
      </c>
      <c r="EP101" s="57">
        <f t="shared" si="722"/>
        <v>0</v>
      </c>
      <c r="EQ101" s="57">
        <f t="shared" si="723"/>
        <v>0</v>
      </c>
      <c r="ER101" s="57">
        <f t="shared" si="724"/>
        <v>0</v>
      </c>
      <c r="ES101" s="1029">
        <f t="shared" si="542"/>
        <v>0</v>
      </c>
      <c r="ET101" s="57">
        <f t="shared" si="543"/>
        <v>0</v>
      </c>
      <c r="EU101" s="171" t="str">
        <f t="shared" si="544"/>
        <v/>
      </c>
      <c r="EV101" s="57">
        <f t="shared" si="725"/>
        <v>0</v>
      </c>
      <c r="EW101" s="57">
        <f>IF(OR(AND(EK$6=1,$L101=0),AND(EK$6=2,$K101=2,$G101=1)),0,IF(AND(EM$9=2,(OR($F101&gt;1,$K101=1,AND($L101=80,OR($N101=1,AND($N101=2,'#BerechnungDBE'!$AL92&gt;0)))))),IF(EK$4&gt;=$AD$126,0,EU101),IF(EM$9=3,IF(OR(EK$4&gt;=$AD$127,AND($G101=1,$J101=2,EK$6=2),AND(EK$6=1,$N101&lt;&gt;1)),0,IF(EO101&lt;=120,EU101,IF(EK$4&lt;$AD$124,IF($F101=1,60/EM$4*EM$6,60/EM$4*EM$7),IF($F101=1,120/EM$4*EM$6,120/EM$4*EM$7)))),IF(OR($F101=3,$G101=2),IF(OR(AND(EK$4&gt;=$AD$119,$C101=2),AND(EK$4&gt;=$AF$119,$C101=1)),0,IF(EO101&lt;=60,EU101,60/EM$4*EM$7)),IF(AND($F101=2,$G101=1),EU101,0)))))</f>
        <v>0</v>
      </c>
      <c r="EX101" s="57" t="str">
        <f t="shared" si="545"/>
        <v/>
      </c>
      <c r="EY101" s="57" t="str">
        <f t="shared" si="546"/>
        <v/>
      </c>
      <c r="EZ101" s="713">
        <f>'org. Düngung 22'!AR100</f>
        <v>0</v>
      </c>
      <c r="FA101" s="57"/>
      <c r="FB101" s="57"/>
      <c r="FC101" s="57">
        <f t="shared" si="547"/>
        <v>0</v>
      </c>
      <c r="FD101" s="57">
        <f t="shared" si="726"/>
        <v>0</v>
      </c>
      <c r="FE101" s="57">
        <f t="shared" si="727"/>
        <v>0</v>
      </c>
      <c r="FF101" s="57">
        <f t="shared" si="728"/>
        <v>0</v>
      </c>
      <c r="FG101" s="57">
        <f t="shared" si="729"/>
        <v>0</v>
      </c>
      <c r="FH101" s="1029">
        <f t="shared" si="548"/>
        <v>0</v>
      </c>
      <c r="FI101" s="57">
        <f t="shared" si="549"/>
        <v>0</v>
      </c>
      <c r="FJ101" s="171" t="str">
        <f t="shared" si="550"/>
        <v/>
      </c>
      <c r="FK101" s="57">
        <f t="shared" si="730"/>
        <v>0</v>
      </c>
      <c r="FL101" s="57">
        <f>IF(OR(AND(EZ$6=1,$L101=0),AND(EZ$6=2,$K101=2,$G101=1)),0,IF(AND(FB$9=2,(OR($F101&gt;1,$K101=1,AND($L101=80,OR($N101=1,AND($N101=2,'#BerechnungDBE'!$AL92&gt;0)))))),IF(EZ$4&gt;=$AD$126,0,FJ101),IF(FB$9=3,IF(OR(EZ$4&gt;=$AD$127,AND($G101=1,$J101=2,EZ$6=2),AND(EZ$6=1,$N101&lt;&gt;1)),0,IF(FD101&lt;=120,FJ101,IF(EZ$4&lt;$AD$124,IF($F101=1,60/FB$4*FB$6,60/FB$4*FB$7),IF($F101=1,120/FB$4*FB$6,120/FB$4*FB$7)))),IF(OR($F101=3,$G101=2),IF(OR(AND(EZ$4&gt;=$AD$119,$C101=2),AND(EZ$4&gt;=$AF$119,$C101=1)),0,IF(FD101&lt;=60,FJ101,60/FB$4*FB$7)),IF(AND($F101=2,$G101=1),FJ101,0)))))</f>
        <v>0</v>
      </c>
      <c r="FM101" s="57" t="str">
        <f t="shared" si="551"/>
        <v/>
      </c>
      <c r="FN101" s="57" t="str">
        <f t="shared" si="552"/>
        <v/>
      </c>
      <c r="FO101" s="713">
        <f>'org. Düngung 22'!AV100</f>
        <v>0</v>
      </c>
      <c r="FP101" s="57"/>
      <c r="FQ101" s="57"/>
      <c r="FR101" s="57">
        <f t="shared" si="553"/>
        <v>0</v>
      </c>
      <c r="FS101" s="57">
        <f t="shared" si="731"/>
        <v>0</v>
      </c>
      <c r="FT101" s="57">
        <f t="shared" si="732"/>
        <v>0</v>
      </c>
      <c r="FU101" s="57">
        <f t="shared" si="733"/>
        <v>0</v>
      </c>
      <c r="FV101" s="57">
        <f t="shared" si="734"/>
        <v>0</v>
      </c>
      <c r="FW101" s="1029">
        <f t="shared" si="554"/>
        <v>0</v>
      </c>
      <c r="FX101" s="57">
        <f t="shared" si="555"/>
        <v>0</v>
      </c>
      <c r="FY101" s="171" t="str">
        <f t="shared" si="556"/>
        <v/>
      </c>
      <c r="FZ101" s="57">
        <f t="shared" si="735"/>
        <v>0</v>
      </c>
      <c r="GA101" s="57">
        <f>IF(OR(AND(FO$6=1,$L101=0),AND(FO$6=2,$K101=2,$G101=1)),0,IF(AND(FQ$9=2,(OR($F101&gt;1,$K101=1,AND($L101=80,OR($N101=1,AND($N101=2,'#BerechnungDBE'!$AL92&gt;0)))))),IF(FO$4&gt;=$AD$126,0,FY101),IF(FQ$9=3,IF(OR(FO$4&gt;=$AD$127,AND($G101=1,$J101=2,FO$6=2),AND(FO$6=1,$N101&lt;&gt;1)),0,IF(FS101&lt;=120,FY101,IF(FO$4&lt;$AD$124,IF($F101=1,60/FQ$4*FQ$6,60/FQ$4*FQ$7),IF($F101=1,120/FQ$4*FQ$6,120/FQ$4*FQ$7)))),IF(OR($F101=3,$G101=2),IF(OR(AND(FO$4&gt;=$AD$119,$C101=2),AND(FO$4&gt;=$AF$119,$C101=1)),0,IF(FS101&lt;=60,FY101,60/FQ$4*FQ$7)),IF(AND($F101=2,$G101=1),FY101,0)))))</f>
        <v>0</v>
      </c>
      <c r="GB101" s="57" t="str">
        <f t="shared" si="557"/>
        <v/>
      </c>
      <c r="GC101" s="57" t="str">
        <f t="shared" si="558"/>
        <v/>
      </c>
      <c r="GD101" s="713">
        <f>'org. Düngung 22'!AZ100</f>
        <v>0</v>
      </c>
      <c r="GE101" s="57"/>
      <c r="GF101" s="57"/>
      <c r="GG101" s="57">
        <f t="shared" si="559"/>
        <v>0</v>
      </c>
      <c r="GH101" s="57">
        <f t="shared" si="736"/>
        <v>0</v>
      </c>
      <c r="GI101" s="57">
        <f t="shared" si="737"/>
        <v>0</v>
      </c>
      <c r="GJ101" s="57">
        <f t="shared" si="738"/>
        <v>0</v>
      </c>
      <c r="GK101" s="57">
        <f t="shared" si="739"/>
        <v>0</v>
      </c>
      <c r="GL101" s="1029">
        <f t="shared" si="560"/>
        <v>0</v>
      </c>
      <c r="GM101" s="57">
        <f t="shared" si="561"/>
        <v>0</v>
      </c>
      <c r="GN101" s="171" t="str">
        <f t="shared" si="562"/>
        <v/>
      </c>
      <c r="GO101" s="57">
        <f t="shared" si="740"/>
        <v>0</v>
      </c>
      <c r="GP101" s="57">
        <f>IF(OR(AND(GD$6=1,$L101=0),AND(GD$6=2,$K101=2,$G101=1)),0,IF(AND(GF$9=2,(OR($F101&gt;1,$K101=1,AND($L101=80,OR($N101=1,AND($N101=2,'#BerechnungDBE'!$AL92&gt;0)))))),IF(GD$4&gt;=$AD$126,0,GN101),IF(GF$9=3,IF(OR(GD$4&gt;=$AD$127,AND($G101=1,$J101=2,GD$6=2),AND(GD$6=1,$N101&lt;&gt;1)),0,IF(GH101&lt;=120,GN101,IF(GD$4&lt;$AD$124,IF($F101=1,60/GF$4*GF$6,60/GF$4*GF$7),IF($F101=1,120/GF$4*GF$6,120/GF$4*GF$7)))),IF(OR($F101=3,$G101=2),IF(OR(AND(GD$4&gt;=$AD$119,$C101=2),AND(GD$4&gt;=$AF$119,$C101=1)),0,IF(GH101&lt;=60,GN101,60/GF$4*GF$7)),IF(AND($F101=2,$G101=1),GN101,0)))))</f>
        <v>0</v>
      </c>
      <c r="GQ101" s="57" t="str">
        <f t="shared" si="563"/>
        <v/>
      </c>
      <c r="GR101" s="57" t="str">
        <f t="shared" si="564"/>
        <v/>
      </c>
      <c r="GS101" s="713">
        <f>'org. Düngung 22'!BD100</f>
        <v>0</v>
      </c>
      <c r="GT101" s="57"/>
      <c r="GU101" s="57"/>
      <c r="GV101" s="57">
        <f t="shared" si="565"/>
        <v>0</v>
      </c>
      <c r="GW101" s="57">
        <f t="shared" si="741"/>
        <v>0</v>
      </c>
      <c r="GX101" s="57">
        <f t="shared" si="742"/>
        <v>0</v>
      </c>
      <c r="GY101" s="57">
        <f t="shared" si="743"/>
        <v>0</v>
      </c>
      <c r="GZ101" s="57">
        <f t="shared" si="744"/>
        <v>0</v>
      </c>
      <c r="HA101" s="1029">
        <f t="shared" si="566"/>
        <v>0</v>
      </c>
      <c r="HB101" s="57">
        <f t="shared" si="567"/>
        <v>0</v>
      </c>
      <c r="HC101" s="171" t="str">
        <f t="shared" si="568"/>
        <v/>
      </c>
      <c r="HD101" s="57">
        <f t="shared" si="745"/>
        <v>0</v>
      </c>
      <c r="HE101" s="57">
        <f>IF(OR(AND(GS$6=1,$L101=0),AND(GS$6=2,$K101=2,$G101=1)),0,IF(AND(GU$9=2,(OR($F101&gt;1,$K101=1,AND($L101=80,OR($N101=1,AND($N101=2,'#BerechnungDBE'!$AL92&gt;0)))))),IF(GS$4&gt;=$AD$126,0,HC101),IF(GU$9=3,IF(OR(GS$4&gt;=$AD$127,AND($G101=1,$J101=2,GS$6=2),AND(GS$6=1,$N101&lt;&gt;1)),0,IF(GW101&lt;=120,HC101,IF(GS$4&lt;$AD$124,IF($F101=1,60/GU$4*GU$6,60/GU$4*GU$7),IF($F101=1,120/GU$4*GU$6,120/GU$4*GU$7)))),IF(OR($F101=3,$G101=2),IF(OR(AND(GS$4&gt;=$AD$119,$C101=2),AND(GS$4&gt;=$AF$119,$C101=1)),0,IF(GW101&lt;=60,HC101,60/GU$4*GU$7)),IF(AND($F101=2,$G101=1),HC101,0)))))</f>
        <v>0</v>
      </c>
      <c r="HF101" s="57" t="str">
        <f t="shared" si="569"/>
        <v/>
      </c>
      <c r="HG101" s="57" t="str">
        <f t="shared" si="570"/>
        <v/>
      </c>
      <c r="HH101" s="713">
        <f>'org. Düngung 22'!BH100</f>
        <v>0</v>
      </c>
      <c r="HI101" s="57"/>
      <c r="HJ101" s="57"/>
      <c r="HK101" s="57">
        <f t="shared" si="571"/>
        <v>0</v>
      </c>
      <c r="HL101" s="57">
        <f t="shared" si="746"/>
        <v>0</v>
      </c>
      <c r="HM101" s="57">
        <f t="shared" si="747"/>
        <v>0</v>
      </c>
      <c r="HN101" s="57">
        <f t="shared" si="748"/>
        <v>0</v>
      </c>
      <c r="HO101" s="57">
        <f t="shared" si="749"/>
        <v>0</v>
      </c>
      <c r="HP101" s="1029">
        <f t="shared" si="572"/>
        <v>0</v>
      </c>
      <c r="HQ101" s="57">
        <f t="shared" si="573"/>
        <v>0</v>
      </c>
      <c r="HR101" s="171" t="str">
        <f t="shared" si="574"/>
        <v/>
      </c>
      <c r="HS101" s="57">
        <f t="shared" si="750"/>
        <v>0</v>
      </c>
      <c r="HT101" s="57">
        <f>IF(OR(AND(HH$6=1,$L101=0),AND(HH$6=2,$K101=2,$G101=1)),0,IF(AND(HJ$9=2,(OR($F101&gt;1,$K101=1,AND($L101=80,OR($N101=1,AND($N101=2,'#BerechnungDBE'!$AL92&gt;0)))))),IF(HH$4&gt;=$AD$126,0,HR101),IF(HJ$9=3,IF(OR(HH$4&gt;=$AD$127,AND($G101=1,$J101=2,HH$6=2),AND(HH$6=1,$N101&lt;&gt;1)),0,IF(HL101&lt;=120,HR101,IF(HH$4&lt;$AD$124,IF($F101=1,60/HJ$4*HJ$6,60/HJ$4*HJ$7),IF($F101=1,120/HJ$4*HJ$6,120/HJ$4*HJ$7)))),IF(OR($F101=3,$G101=2),IF(OR(AND(HH$4&gt;=$AD$119,$C101=2),AND(HH$4&gt;=$AF$119,$C101=1)),0,IF(HL101&lt;=60,HR101,60/HJ$4*HJ$7)),IF(AND($F101=2,$G101=1),HR101,0)))))</f>
        <v>0</v>
      </c>
      <c r="HU101" s="57" t="str">
        <f t="shared" si="575"/>
        <v/>
      </c>
      <c r="HV101" s="57" t="str">
        <f t="shared" si="576"/>
        <v/>
      </c>
      <c r="HW101" s="713">
        <f>'org. Düngung 22'!BL100</f>
        <v>0</v>
      </c>
      <c r="HX101" s="57"/>
      <c r="HY101" s="57"/>
      <c r="HZ101" s="57">
        <f t="shared" si="577"/>
        <v>0</v>
      </c>
      <c r="IA101" s="57">
        <f t="shared" si="751"/>
        <v>0</v>
      </c>
      <c r="IB101" s="57">
        <f t="shared" si="752"/>
        <v>0</v>
      </c>
      <c r="IC101" s="57">
        <f t="shared" si="753"/>
        <v>0</v>
      </c>
      <c r="ID101" s="57">
        <f t="shared" si="754"/>
        <v>0</v>
      </c>
      <c r="IE101" s="1029">
        <f t="shared" si="578"/>
        <v>0</v>
      </c>
      <c r="IF101" s="57">
        <f t="shared" si="579"/>
        <v>0</v>
      </c>
      <c r="IG101" s="171" t="str">
        <f t="shared" si="580"/>
        <v/>
      </c>
      <c r="IH101" s="57">
        <f t="shared" si="755"/>
        <v>0</v>
      </c>
      <c r="II101" s="57">
        <f>IF(OR(AND(HW$6=1,$L101=0),AND(HW$6=2,$K101=2,$G101=1)),0,IF(AND(HY$9=2,(OR($F101&gt;1,$K101=1,AND($L101=80,OR($N101=1,AND($N101=2,'#BerechnungDBE'!$AL92&gt;0)))))),IF(HW$4&gt;=$AD$126,0,IG101),IF(HY$9=3,IF(OR(HW$4&gt;=$AD$127,AND($G101=1,$J101=2,HW$6=2),AND(HW$6=1,$N101&lt;&gt;1)),0,IF(IA101&lt;=120,IG101,IF(HW$4&lt;$AD$124,IF($F101=1,60/HY$4*HY$6,60/HY$4*HY$7),IF($F101=1,120/HY$4*HY$6,120/HY$4*HY$7)))),IF(OR($F101=3,$G101=2),IF(OR(AND(HW$4&gt;=$AD$119,$C101=2),AND(HW$4&gt;=$AF$119,$C101=1)),0,IF(IA101&lt;=60,IG101,60/HY$4*HY$7)),IF(AND($F101=2,$G101=1),IG101,0)))))</f>
        <v>0</v>
      </c>
      <c r="IJ101" s="57" t="str">
        <f t="shared" si="581"/>
        <v/>
      </c>
      <c r="IK101" s="57" t="str">
        <f t="shared" si="582"/>
        <v/>
      </c>
      <c r="IL101" s="713">
        <f>'org. Düngung 22'!BP100</f>
        <v>0</v>
      </c>
      <c r="IM101" s="57"/>
      <c r="IN101" s="57"/>
      <c r="IO101" s="57">
        <f t="shared" si="583"/>
        <v>0</v>
      </c>
      <c r="IP101" s="57">
        <f t="shared" si="756"/>
        <v>0</v>
      </c>
      <c r="IQ101" s="57">
        <f t="shared" si="757"/>
        <v>0</v>
      </c>
      <c r="IR101" s="57">
        <f t="shared" si="758"/>
        <v>0</v>
      </c>
      <c r="IS101" s="57">
        <f t="shared" si="759"/>
        <v>0</v>
      </c>
      <c r="IT101" s="1029">
        <f t="shared" si="584"/>
        <v>0</v>
      </c>
      <c r="IU101" s="57">
        <f t="shared" si="585"/>
        <v>0</v>
      </c>
      <c r="IV101" s="171" t="str">
        <f t="shared" si="586"/>
        <v/>
      </c>
      <c r="IW101" s="57">
        <f t="shared" si="760"/>
        <v>0</v>
      </c>
      <c r="IX101" s="57">
        <f>IF(OR(AND(IL$6=1,$L101=0),AND(IL$6=2,$K101=2,$G101=1)),0,IF(AND(IN$9=2,(OR($F101&gt;1,$K101=1,AND($L101=80,OR($N101=1,AND($N101=2,'#BerechnungDBE'!$AL92&gt;0)))))),IF(IL$4&gt;=$AD$126,0,IV101),IF(IN$9=3,IF(OR(IL$4&gt;=$AD$127,AND($G101=1,$J101=2,IL$6=2),AND(IL$6=1,$N101&lt;&gt;1)),0,IF(IP101&lt;=120,IV101,IF(IL$4&lt;$AD$124,IF($F101=1,60/IN$4*IN$6,60/IN$4*IN$7),IF($F101=1,120/IN$4*IN$6,120/IN$4*IN$7)))),IF(OR($F101=3,$G101=2),IF(OR(AND(IL$4&gt;=$AD$119,$C101=2),AND(IL$4&gt;=$AF$119,$C101=1)),0,IF(IP101&lt;=60,IV101,60/IN$4*IN$7)),IF(AND($F101=2,$G101=1),IV101,0)))))</f>
        <v>0</v>
      </c>
      <c r="IY101" s="57" t="str">
        <f t="shared" si="587"/>
        <v/>
      </c>
      <c r="IZ101" s="57" t="str">
        <f t="shared" si="588"/>
        <v/>
      </c>
      <c r="JA101" s="713">
        <f>'org. Düngung 22'!BT100</f>
        <v>0</v>
      </c>
      <c r="JB101" s="57"/>
      <c r="JC101" s="57"/>
      <c r="JD101" s="57">
        <f t="shared" si="589"/>
        <v>0</v>
      </c>
      <c r="JE101" s="57">
        <f t="shared" si="761"/>
        <v>0</v>
      </c>
      <c r="JF101" s="57">
        <f t="shared" si="762"/>
        <v>0</v>
      </c>
      <c r="JG101" s="57">
        <f t="shared" si="763"/>
        <v>0</v>
      </c>
      <c r="JH101" s="57">
        <f t="shared" si="764"/>
        <v>0</v>
      </c>
      <c r="JI101" s="1029">
        <f t="shared" si="590"/>
        <v>0</v>
      </c>
      <c r="JJ101" s="57">
        <f t="shared" si="591"/>
        <v>0</v>
      </c>
      <c r="JK101" s="171" t="str">
        <f t="shared" si="592"/>
        <v/>
      </c>
      <c r="JL101" s="57">
        <f t="shared" si="765"/>
        <v>0</v>
      </c>
      <c r="JM101" s="57">
        <f>IF(OR(AND(JA$6=1,$L101=0),AND(JA$6=2,$K101=2,$G101=1)),0,IF(AND(JC$9=2,(OR($F101&gt;1,$K101=1,AND($L101=80,OR($N101=1,AND($N101=2,'#BerechnungDBE'!$AL92&gt;0)))))),IF(JA$4&gt;=$AD$126,0,JK101),IF(JC$9=3,IF(OR(JA$4&gt;=$AD$127,AND($G101=1,$J101=2,JA$6=2),AND(JA$6=1,$N101&lt;&gt;1)),0,IF(JE101&lt;=120,JK101,IF(JA$4&lt;$AD$124,IF($F101=1,60/JC$4*JC$6,60/JC$4*JC$7),IF($F101=1,120/JC$4*JC$6,120/JC$4*JC$7)))),IF(OR($F101=3,$G101=2),IF(OR(AND(JA$4&gt;=$AD$119,$C101=2),AND(JA$4&gt;=$AF$119,$C101=1)),0,IF(JE101&lt;=60,JK101,60/JC$4*JC$7)),IF(AND($F101=2,$G101=1),JK101,0)))))</f>
        <v>0</v>
      </c>
      <c r="JN101" s="57" t="str">
        <f t="shared" si="593"/>
        <v/>
      </c>
      <c r="JO101" s="57" t="str">
        <f t="shared" si="594"/>
        <v/>
      </c>
      <c r="JP101" s="713">
        <f>'org. Düngung 22'!BX100</f>
        <v>0</v>
      </c>
      <c r="JQ101" s="57"/>
      <c r="JR101" s="57"/>
      <c r="JS101" s="57">
        <f t="shared" si="595"/>
        <v>0</v>
      </c>
      <c r="JT101" s="57">
        <f t="shared" si="766"/>
        <v>0</v>
      </c>
      <c r="JU101" s="57">
        <f t="shared" si="767"/>
        <v>0</v>
      </c>
      <c r="JV101" s="57">
        <f t="shared" si="768"/>
        <v>0</v>
      </c>
      <c r="JW101" s="57">
        <f t="shared" si="769"/>
        <v>0</v>
      </c>
      <c r="JX101" s="1029">
        <f t="shared" si="596"/>
        <v>0</v>
      </c>
      <c r="JY101" s="57">
        <f t="shared" si="597"/>
        <v>0</v>
      </c>
      <c r="JZ101" s="171" t="str">
        <f t="shared" si="598"/>
        <v/>
      </c>
      <c r="KA101" s="57">
        <f t="shared" si="770"/>
        <v>0</v>
      </c>
      <c r="KB101" s="57">
        <f>IF(OR(AND(JP$6=1,$L101=0),AND(JP$6=2,$K101=2,$G101=1)),0,IF(AND(JR$9=2,(OR($F101&gt;1,$K101=1,AND($L101=80,OR($N101=1,AND($N101=2,'#BerechnungDBE'!$AL92&gt;0)))))),IF(JP$4&gt;=$AD$126,0,JZ101),IF(JR$9=3,IF(OR(JP$4&gt;=$AD$127,AND($G101=1,$J101=2,JP$6=2),AND(JP$6=1,$N101&lt;&gt;1)),0,IF(JT101&lt;=120,JZ101,IF(JP$4&lt;$AD$124,IF($F101=1,60/JR$4*JR$6,60/JR$4*JR$7),IF($F101=1,120/JR$4*JR$6,120/JR$4*JR$7)))),IF(OR($F101=3,$G101=2),IF(OR(AND(JP$4&gt;=$AD$119,$C101=2),AND(JP$4&gt;=$AF$119,$C101=1)),0,IF(JT101&lt;=60,JZ101,60/JR$4*JR$7)),IF(AND($F101=2,$G101=1),JZ101,0)))))</f>
        <v>0</v>
      </c>
      <c r="KC101" s="57" t="str">
        <f t="shared" si="599"/>
        <v/>
      </c>
      <c r="KD101" s="57" t="str">
        <f t="shared" si="600"/>
        <v/>
      </c>
      <c r="KE101" s="713">
        <f>'org. Düngung 22'!CB100</f>
        <v>0</v>
      </c>
      <c r="KF101" s="57"/>
      <c r="KG101" s="57"/>
      <c r="KH101" s="57">
        <f t="shared" si="601"/>
        <v>0</v>
      </c>
      <c r="KI101" s="57">
        <f t="shared" si="771"/>
        <v>0</v>
      </c>
      <c r="KJ101" s="57">
        <f t="shared" si="772"/>
        <v>0</v>
      </c>
      <c r="KK101" s="57">
        <f t="shared" si="773"/>
        <v>0</v>
      </c>
      <c r="KL101" s="57">
        <f t="shared" si="774"/>
        <v>0</v>
      </c>
      <c r="KM101" s="1029">
        <f t="shared" si="602"/>
        <v>0</v>
      </c>
      <c r="KN101" s="57">
        <f t="shared" si="603"/>
        <v>0</v>
      </c>
      <c r="KO101" s="171" t="str">
        <f t="shared" si="604"/>
        <v/>
      </c>
      <c r="KP101" s="57">
        <f t="shared" si="775"/>
        <v>0</v>
      </c>
      <c r="KQ101" s="57">
        <f>IF(OR(AND(KE$6=1,$L101=0),AND(KE$6=2,$K101=2,$G101=1)),0,IF(AND(KG$9=2,(OR($F101&gt;1,$K101=1,AND($L101=80,OR($N101=1,AND($N101=2,'#BerechnungDBE'!$AL92&gt;0)))))),IF(KE$4&gt;=$AD$126,0,KO101),IF(KG$9=3,IF(OR(KE$4&gt;=$AD$127,AND($G101=1,$J101=2,KE$6=2),AND(KE$6=1,$N101&lt;&gt;1)),0,IF(KI101&lt;=120,KO101,IF(KE$4&lt;$AD$124,IF($F101=1,60/KG$4*KG$6,60/KG$4*KG$7),IF($F101=1,120/KG$4*KG$6,120/KG$4*KG$7)))),IF(OR($F101=3,$G101=2),IF(OR(AND(KE$4&gt;=$AD$119,$C101=2),AND(KE$4&gt;=$AF$119,$C101=1)),0,IF(KI101&lt;=60,KO101,60/KG$4*KG$7)),IF(AND($F101=2,$G101=1),KO101,0)))))</f>
        <v>0</v>
      </c>
      <c r="KR101" s="57" t="str">
        <f t="shared" si="605"/>
        <v/>
      </c>
      <c r="KS101" s="57" t="str">
        <f t="shared" si="606"/>
        <v/>
      </c>
      <c r="KT101" s="713">
        <f>'org. Düngung 22'!CF100</f>
        <v>0</v>
      </c>
      <c r="KU101" s="57"/>
      <c r="KV101" s="57"/>
      <c r="KW101" s="57">
        <f t="shared" si="607"/>
        <v>0</v>
      </c>
      <c r="KX101" s="57">
        <f t="shared" si="776"/>
        <v>0</v>
      </c>
      <c r="KY101" s="57">
        <f t="shared" si="777"/>
        <v>0</v>
      </c>
      <c r="KZ101" s="57">
        <f t="shared" si="778"/>
        <v>0</v>
      </c>
      <c r="LA101" s="57">
        <f t="shared" si="779"/>
        <v>0</v>
      </c>
      <c r="LB101" s="1029">
        <f t="shared" si="608"/>
        <v>0</v>
      </c>
      <c r="LC101" s="57">
        <f t="shared" si="609"/>
        <v>0</v>
      </c>
      <c r="LD101" s="171" t="str">
        <f t="shared" si="610"/>
        <v/>
      </c>
      <c r="LE101" s="57">
        <f t="shared" si="780"/>
        <v>0</v>
      </c>
      <c r="LF101" s="57">
        <f>IF(OR(AND(KT$6=1,$L101=0),AND(KT$6=2,$K101=2,$G101=1)),0,IF(AND(KV$9=2,(OR($F101&gt;1,$K101=1,AND($L101=80,OR($N101=1,AND($N101=2,'#BerechnungDBE'!$AL92&gt;0)))))),IF(KT$4&gt;=$AD$126,0,LD101),IF(KV$9=3,IF(OR(KT$4&gt;=$AD$127,AND($G101=1,$J101=2,KT$6=2),AND(KT$6=1,$N101&lt;&gt;1)),0,IF(KX101&lt;=120,LD101,IF(KT$4&lt;$AD$124,IF($F101=1,60/KV$4*KV$6,60/KV$4*KV$7),IF($F101=1,120/KV$4*KV$6,120/KV$4*KV$7)))),IF(OR($F101=3,$G101=2),IF(OR(AND(KT$4&gt;=$AD$119,$C101=2),AND(KT$4&gt;=$AF$119,$C101=1)),0,IF(KX101&lt;=60,LD101,60/KV$4*KV$7)),IF(AND($F101=2,$G101=1),LD101,0)))))</f>
        <v>0</v>
      </c>
      <c r="LG101" s="57" t="str">
        <f t="shared" si="611"/>
        <v/>
      </c>
      <c r="LH101" s="57" t="str">
        <f t="shared" si="612"/>
        <v/>
      </c>
      <c r="LI101" s="713">
        <f>'org. Düngung 22'!CJ100</f>
        <v>0</v>
      </c>
      <c r="LJ101" s="57"/>
      <c r="LK101" s="57"/>
      <c r="LL101" s="57">
        <f t="shared" si="613"/>
        <v>0</v>
      </c>
      <c r="LM101" s="57">
        <f t="shared" si="781"/>
        <v>0</v>
      </c>
      <c r="LN101" s="57">
        <f t="shared" si="782"/>
        <v>0</v>
      </c>
      <c r="LO101" s="57">
        <f t="shared" si="783"/>
        <v>0</v>
      </c>
      <c r="LP101" s="57">
        <f t="shared" si="784"/>
        <v>0</v>
      </c>
      <c r="LQ101" s="1029">
        <f t="shared" si="614"/>
        <v>0</v>
      </c>
      <c r="LR101" s="57">
        <f t="shared" si="615"/>
        <v>0</v>
      </c>
      <c r="LS101" s="171" t="str">
        <f t="shared" si="616"/>
        <v/>
      </c>
      <c r="LT101" s="57">
        <f t="shared" si="785"/>
        <v>0</v>
      </c>
      <c r="LU101" s="57">
        <f>IF(OR(AND(LI$6=1,$L101=0),AND(LI$6=2,$K101=2,$G101=1)),0,IF(AND(LK$9=2,(OR($F101&gt;1,$K101=1,AND($L101=80,OR($N101=1,AND($N101=2,'#BerechnungDBE'!$AL92&gt;0)))))),IF(LI$4&gt;=$AD$126,0,LS101),IF(LK$9=3,IF(OR(LI$4&gt;=$AD$127,AND($G101=1,$J101=2,LI$6=2),AND(LI$6=1,$N101&lt;&gt;1)),0,IF(LM101&lt;=120,LS101,IF(LI$4&lt;$AD$124,IF($F101=1,60/LK$4*LK$6,60/LK$4*LK$7),IF($F101=1,120/LK$4*LK$6,120/LK$4*LK$7)))),IF(OR($F101=3,$G101=2),IF(OR(AND(LI$4&gt;=$AD$119,$C101=2),AND(LI$4&gt;=$AF$119,$C101=1)),0,IF(LM101&lt;=60,LS101,60/LK$4*LK$7)),IF(AND($F101=2,$G101=1),LS101,0)))))</f>
        <v>0</v>
      </c>
      <c r="LV101" s="57" t="str">
        <f t="shared" si="617"/>
        <v/>
      </c>
      <c r="LW101" s="57" t="str">
        <f t="shared" si="618"/>
        <v/>
      </c>
      <c r="LX101" s="713">
        <f>'org. Düngung 22'!CN100</f>
        <v>0</v>
      </c>
      <c r="LY101" s="57"/>
      <c r="LZ101" s="57"/>
      <c r="MA101" s="57">
        <f t="shared" si="619"/>
        <v>0</v>
      </c>
      <c r="MB101" s="57">
        <f t="shared" si="786"/>
        <v>0</v>
      </c>
      <c r="MC101" s="57">
        <f t="shared" si="787"/>
        <v>0</v>
      </c>
      <c r="MD101" s="57">
        <f t="shared" si="788"/>
        <v>0</v>
      </c>
      <c r="ME101" s="57">
        <f t="shared" si="789"/>
        <v>0</v>
      </c>
      <c r="MF101" s="1029">
        <f t="shared" si="620"/>
        <v>0</v>
      </c>
      <c r="MG101" s="57">
        <f t="shared" si="621"/>
        <v>0</v>
      </c>
      <c r="MH101" s="171" t="str">
        <f t="shared" si="622"/>
        <v/>
      </c>
      <c r="MI101" s="57">
        <f t="shared" si="790"/>
        <v>0</v>
      </c>
      <c r="MJ101" s="57">
        <f>IF(OR(AND(LX$6=1,$L101=0),AND(LX$6=2,$K101=2,$G101=1)),0,IF(AND(LZ$9=2,(OR($F101&gt;1,$K101=1,AND($L101=80,OR($N101=1,AND($N101=2,'#BerechnungDBE'!$AL92&gt;0)))))),IF(LX$4&gt;=$AD$126,0,MH101),IF(LZ$9=3,IF(OR(LX$4&gt;=$AD$127,AND($G101=1,$J101=2,LX$6=2),AND(LX$6=1,$N101&lt;&gt;1)),0,IF(MB101&lt;=120,MH101,IF(LX$4&lt;$AD$124,IF($F101=1,60/LZ$4*LZ$6,60/LZ$4*LZ$7),IF($F101=1,120/LZ$4*LZ$6,120/LZ$4*LZ$7)))),IF(OR($F101=3,$G101=2),IF(OR(AND(LX$4&gt;=$AD$119,$C101=2),AND(LX$4&gt;=$AF$119,$C101=1)),0,IF(MB101&lt;=60,MH101,60/LZ$4*LZ$7)),IF(AND($F101=2,$G101=1),MH101,0)))))</f>
        <v>0</v>
      </c>
      <c r="MK101" s="57" t="str">
        <f t="shared" si="623"/>
        <v/>
      </c>
      <c r="ML101" s="57" t="str">
        <f t="shared" si="624"/>
        <v/>
      </c>
      <c r="MM101" s="713">
        <f>'org. Düngung 22'!CR100</f>
        <v>0</v>
      </c>
      <c r="MN101" s="57"/>
      <c r="MO101" s="57"/>
      <c r="MP101" s="57">
        <f t="shared" si="625"/>
        <v>0</v>
      </c>
      <c r="MQ101" s="57">
        <f t="shared" si="791"/>
        <v>0</v>
      </c>
      <c r="MR101" s="57">
        <f t="shared" si="792"/>
        <v>0</v>
      </c>
      <c r="MS101" s="57">
        <f t="shared" si="793"/>
        <v>0</v>
      </c>
      <c r="MT101" s="57">
        <f t="shared" si="794"/>
        <v>0</v>
      </c>
      <c r="MU101" s="1029">
        <f t="shared" si="626"/>
        <v>0</v>
      </c>
      <c r="MV101" s="57">
        <f t="shared" si="627"/>
        <v>0</v>
      </c>
      <c r="MW101" s="171" t="str">
        <f t="shared" si="628"/>
        <v/>
      </c>
      <c r="MX101" s="57">
        <f t="shared" si="795"/>
        <v>0</v>
      </c>
      <c r="MY101" s="57">
        <f>IF(OR(AND(MM$6=1,$L101=0),AND(MM$6=2,$K101=2,$G101=1)),0,IF(AND(MO$9=2,(OR($F101&gt;1,$K101=1,AND($L101=80,OR($N101=1,AND($N101=2,'#BerechnungDBE'!$AL92&gt;0)))))),IF(MM$4&gt;=$AD$126,0,MW101),IF(MO$9=3,IF(OR(MM$4&gt;=$AD$127,AND($G101=1,$J101=2,MM$6=2),AND(MM$6=1,$N101&lt;&gt;1)),0,IF(MQ101&lt;=120,MW101,IF(MM$4&lt;$AD$124,IF($F101=1,60/MO$4*MO$6,60/MO$4*MO$7),IF($F101=1,120/MO$4*MO$6,120/MO$4*MO$7)))),IF(OR($F101=3,$G101=2),IF(OR(AND(MM$4&gt;=$AD$119,$C101=2),AND(MM$4&gt;=$AF$119,$C101=1)),0,IF(MQ101&lt;=60,MW101,60/MO$4*MO$7)),IF(AND($F101=2,$G101=1),MW101,0)))))</f>
        <v>0</v>
      </c>
      <c r="MZ101" s="57" t="str">
        <f t="shared" si="629"/>
        <v/>
      </c>
      <c r="NA101" s="57" t="str">
        <f t="shared" si="630"/>
        <v/>
      </c>
      <c r="NB101" s="713">
        <f>'org. Düngung 22'!CV100</f>
        <v>0</v>
      </c>
      <c r="NC101" s="57"/>
      <c r="ND101" s="57"/>
      <c r="NE101" s="57">
        <f t="shared" si="631"/>
        <v>0</v>
      </c>
      <c r="NF101" s="57">
        <f t="shared" si="796"/>
        <v>0</v>
      </c>
      <c r="NG101" s="57">
        <f t="shared" si="797"/>
        <v>0</v>
      </c>
      <c r="NH101" s="57">
        <f t="shared" si="798"/>
        <v>0</v>
      </c>
      <c r="NI101" s="57">
        <f t="shared" si="799"/>
        <v>0</v>
      </c>
      <c r="NJ101" s="1029">
        <f t="shared" si="632"/>
        <v>0</v>
      </c>
      <c r="NK101" s="57">
        <f t="shared" si="633"/>
        <v>0</v>
      </c>
      <c r="NL101" s="171" t="str">
        <f t="shared" si="634"/>
        <v/>
      </c>
      <c r="NM101" s="57">
        <f t="shared" si="800"/>
        <v>0</v>
      </c>
      <c r="NN101" s="57">
        <f>IF(OR(AND(NB$6=1,$L101=0),AND(NB$6=2,$K101=2,$G101=1)),0,IF(AND(ND$9=2,(OR($F101&gt;1,$K101=1,AND($L101=80,OR($N101=1,AND($N101=2,'#BerechnungDBE'!$AL92&gt;0)))))),IF(NB$4&gt;=$AD$126,0,NL101),IF(ND$9=3,IF(OR(NB$4&gt;=$AD$127,AND($G101=1,$J101=2,NB$6=2),AND(NB$6=1,$N101&lt;&gt;1)),0,IF(NF101&lt;=120,NL101,IF(NB$4&lt;$AD$124,IF($F101=1,60/ND$4*ND$6,60/ND$4*ND$7),IF($F101=1,120/ND$4*ND$6,120/ND$4*ND$7)))),IF(OR($F101=3,$G101=2),IF(OR(AND(NB$4&gt;=$AD$119,$C101=2),AND(NB$4&gt;=$AF$119,$C101=1)),0,IF(NF101&lt;=60,NL101,60/ND$4*ND$7)),IF(AND($F101=2,$G101=1),NL101,0)))))</f>
        <v>0</v>
      </c>
      <c r="NO101" s="57" t="str">
        <f t="shared" si="635"/>
        <v/>
      </c>
      <c r="NP101" s="57" t="str">
        <f t="shared" si="636"/>
        <v/>
      </c>
      <c r="NQ101" s="713">
        <f>'org. Düngung 22'!CZ100</f>
        <v>0</v>
      </c>
      <c r="NR101" s="57"/>
      <c r="NS101" s="57"/>
      <c r="NT101" s="57">
        <f t="shared" si="637"/>
        <v>0</v>
      </c>
      <c r="NU101" s="57">
        <f t="shared" si="801"/>
        <v>0</v>
      </c>
      <c r="NV101" s="57">
        <f t="shared" si="802"/>
        <v>0</v>
      </c>
      <c r="NW101" s="57">
        <f t="shared" si="803"/>
        <v>0</v>
      </c>
      <c r="NX101" s="57">
        <f t="shared" si="804"/>
        <v>0</v>
      </c>
      <c r="NY101" s="1029">
        <f t="shared" si="638"/>
        <v>0</v>
      </c>
      <c r="NZ101" s="57">
        <f t="shared" si="639"/>
        <v>0</v>
      </c>
      <c r="OA101" s="171" t="str">
        <f t="shared" si="640"/>
        <v/>
      </c>
      <c r="OB101" s="57">
        <f t="shared" si="805"/>
        <v>0</v>
      </c>
      <c r="OC101" s="57">
        <f>IF(OR(AND(NQ$6=1,$L101=0),AND(NQ$6=2,$K101=2,$G101=1)),0,IF(AND(NS$9=2,(OR($F101&gt;1,$K101=1,AND($L101=80,OR($N101=1,AND($N101=2,'#BerechnungDBE'!$AL92&gt;0)))))),IF(NQ$4&gt;=$AD$126,0,OA101),IF(NS$9=3,IF(OR(NQ$4&gt;=$AD$127,AND($G101=1,$J101=2,NQ$6=2),AND(NQ$6=1,$N101&lt;&gt;1)),0,IF(NU101&lt;=120,OA101,IF(NQ$4&lt;$AD$124,IF($F101=1,60/NS$4*NS$6,60/NS$4*NS$7),IF($F101=1,120/NS$4*NS$6,120/NS$4*NS$7)))),IF(OR($F101=3,$G101=2),IF(OR(AND(NQ$4&gt;=$AD$119,$C101=2),AND(NQ$4&gt;=$AF$119,$C101=1)),0,IF(NU101&lt;=60,OA101,60/NS$4*NS$7)),IF(AND($F101=2,$G101=1),OA101,0)))))</f>
        <v>0</v>
      </c>
      <c r="OD101" s="57" t="str">
        <f t="shared" si="641"/>
        <v/>
      </c>
      <c r="OE101" s="57" t="str">
        <f t="shared" si="642"/>
        <v/>
      </c>
      <c r="OF101" s="713">
        <f>'org. Düngung 22'!DD100</f>
        <v>0</v>
      </c>
      <c r="OG101" s="57"/>
      <c r="OH101" s="57"/>
      <c r="OI101" s="57">
        <f t="shared" si="643"/>
        <v>0</v>
      </c>
      <c r="OJ101" s="57">
        <f t="shared" si="806"/>
        <v>0</v>
      </c>
      <c r="OK101" s="57">
        <f t="shared" si="807"/>
        <v>0</v>
      </c>
      <c r="OL101" s="57">
        <f t="shared" si="808"/>
        <v>0</v>
      </c>
      <c r="OM101" s="57">
        <f t="shared" si="809"/>
        <v>0</v>
      </c>
      <c r="ON101" s="1029">
        <f t="shared" si="644"/>
        <v>0</v>
      </c>
      <c r="OO101" s="57">
        <f t="shared" si="645"/>
        <v>0</v>
      </c>
      <c r="OP101" s="171" t="str">
        <f t="shared" si="646"/>
        <v/>
      </c>
      <c r="OQ101" s="57">
        <f t="shared" si="810"/>
        <v>0</v>
      </c>
      <c r="OR101" s="57">
        <f>IF(OR(AND(OF$6=1,$L101=0),AND(OF$6=2,$K101=2,$G101=1)),0,IF(AND(OH$9=2,(OR($F101&gt;1,$K101=1,AND($L101=80,OR($N101=1,AND($N101=2,'#BerechnungDBE'!$AL92&gt;0)))))),IF(OF$4&gt;=$AD$126,0,OP101),IF(OH$9=3,IF(OR(OF$4&gt;=$AD$127,AND($G101=1,$J101=2,OF$6=2),AND(OF$6=1,$N101&lt;&gt;1)),0,IF(OJ101&lt;=120,OP101,IF(OF$4&lt;$AD$124,IF($F101=1,60/OH$4*OH$6,60/OH$4*OH$7),IF($F101=1,120/OH$4*OH$6,120/OH$4*OH$7)))),IF(OR($F101=3,$G101=2),IF(OR(AND(OF$4&gt;=$AD$119,$C101=2),AND(OF$4&gt;=$AF$119,$C101=1)),0,IF(OJ101&lt;=60,OP101,60/OH$4*OH$7)),IF(AND($F101=2,$G101=1),OP101,0)))))</f>
        <v>0</v>
      </c>
      <c r="OS101" s="57" t="str">
        <f t="shared" si="647"/>
        <v/>
      </c>
      <c r="OT101" s="57" t="str">
        <f t="shared" si="648"/>
        <v/>
      </c>
      <c r="OU101" s="713">
        <f>'org. Düngung 22'!DH100</f>
        <v>0</v>
      </c>
      <c r="OV101" s="57"/>
      <c r="OW101" s="57"/>
      <c r="OX101" s="57">
        <f t="shared" si="649"/>
        <v>0</v>
      </c>
      <c r="OY101" s="57">
        <f t="shared" si="811"/>
        <v>0</v>
      </c>
      <c r="OZ101" s="57">
        <f t="shared" si="812"/>
        <v>0</v>
      </c>
      <c r="PA101" s="57">
        <f t="shared" si="813"/>
        <v>0</v>
      </c>
      <c r="PB101" s="57">
        <f t="shared" si="814"/>
        <v>0</v>
      </c>
      <c r="PC101" s="1029">
        <f t="shared" si="650"/>
        <v>0</v>
      </c>
      <c r="PD101" s="57">
        <f t="shared" si="651"/>
        <v>0</v>
      </c>
      <c r="PE101" s="171" t="str">
        <f t="shared" si="652"/>
        <v/>
      </c>
      <c r="PF101" s="57">
        <f t="shared" si="815"/>
        <v>0</v>
      </c>
      <c r="PG101" s="57">
        <f>IF(OR(AND(OU$6=1,$L101=0),AND(OU$6=2,$K101=2,$G101=1)),0,IF(AND(OW$9=2,(OR($F101&gt;1,$K101=1,AND($L101=80,OR($N101=1,AND($N101=2,'#BerechnungDBE'!$AL92&gt;0)))))),IF(OU$4&gt;=$AD$126,0,PE101),IF(OW$9=3,IF(OR(OU$4&gt;=$AD$127,AND($G101=1,$J101=2,OU$6=2),AND(OU$6=1,$N101&lt;&gt;1)),0,IF(OY101&lt;=120,PE101,IF(OU$4&lt;$AD$124,IF($F101=1,60/OW$4*OW$6,60/OW$4*OW$7),IF($F101=1,120/OW$4*OW$6,120/OW$4*OW$7)))),IF(OR($F101=3,$G101=2),IF(OR(AND(OU$4&gt;=$AD$119,$C101=2),AND(OU$4&gt;=$AF$119,$C101=1)),0,IF(OY101&lt;=60,PE101,60/OW$4*OW$7)),IF(AND($F101=2,$G101=1),PE101,0)))))</f>
        <v>0</v>
      </c>
      <c r="PH101" s="57" t="str">
        <f t="shared" si="653"/>
        <v/>
      </c>
      <c r="PI101" s="57" t="str">
        <f t="shared" si="654"/>
        <v/>
      </c>
      <c r="PJ101" s="713">
        <f>'org. Düngung 22'!DL100</f>
        <v>0</v>
      </c>
      <c r="PK101" s="57"/>
      <c r="PL101" s="57"/>
      <c r="PM101" s="57">
        <f t="shared" si="655"/>
        <v>0</v>
      </c>
      <c r="PN101" s="57">
        <f t="shared" si="816"/>
        <v>0</v>
      </c>
      <c r="PO101" s="57">
        <f t="shared" si="817"/>
        <v>0</v>
      </c>
      <c r="PP101" s="57">
        <f t="shared" si="818"/>
        <v>0</v>
      </c>
      <c r="PQ101" s="57">
        <f t="shared" si="819"/>
        <v>0</v>
      </c>
      <c r="PR101" s="1029">
        <f t="shared" si="656"/>
        <v>0</v>
      </c>
      <c r="PS101" s="57">
        <f t="shared" si="657"/>
        <v>0</v>
      </c>
      <c r="PT101" s="171" t="str">
        <f t="shared" si="658"/>
        <v/>
      </c>
      <c r="PU101" s="57">
        <f t="shared" si="820"/>
        <v>0</v>
      </c>
      <c r="PV101" s="57">
        <f>IF(OR(AND(PJ$6=1,$L101=0),AND(PJ$6=2,$K101=2,$G101=1)),0,IF(AND(PL$9=2,(OR($F101&gt;1,$K101=1,AND($L101=80,OR($N101=1,AND($N101=2,'#BerechnungDBE'!$AL92&gt;0)))))),IF(PJ$4&gt;=$AD$126,0,PT101),IF(PL$9=3,IF(OR(PJ$4&gt;=$AD$127,AND($G101=1,$J101=2,PJ$6=2),AND(PJ$6=1,$N101&lt;&gt;1)),0,IF(PN101&lt;=120,PT101,IF(PJ$4&lt;$AD$124,IF($F101=1,60/PL$4*PL$6,60/PL$4*PL$7),IF($F101=1,120/PL$4*PL$6,120/PL$4*PL$7)))),IF(OR($F101=3,$G101=2),IF(OR(AND(PJ$4&gt;=$AD$119,$C101=2),AND(PJ$4&gt;=$AF$119,$C101=1)),0,IF(PN101&lt;=60,PT101,60/PL$4*PL$7)),IF(AND($F101=2,$G101=1),PT101,0)))))</f>
        <v>0</v>
      </c>
      <c r="PW101" s="57" t="str">
        <f t="shared" si="659"/>
        <v/>
      </c>
      <c r="PX101" s="57" t="str">
        <f t="shared" si="660"/>
        <v/>
      </c>
      <c r="PY101" s="713">
        <f>'org. Düngung 22'!DP100</f>
        <v>0</v>
      </c>
      <c r="PZ101" s="57"/>
      <c r="QA101" s="57"/>
      <c r="QB101" s="57">
        <f t="shared" si="661"/>
        <v>0</v>
      </c>
      <c r="QC101" s="57">
        <f t="shared" si="821"/>
        <v>0</v>
      </c>
      <c r="QD101" s="57">
        <f t="shared" si="822"/>
        <v>0</v>
      </c>
      <c r="QE101" s="57">
        <f t="shared" si="823"/>
        <v>0</v>
      </c>
      <c r="QF101" s="57">
        <f t="shared" si="824"/>
        <v>0</v>
      </c>
      <c r="QG101" s="1029">
        <f t="shared" si="662"/>
        <v>0</v>
      </c>
      <c r="QH101" s="57">
        <f t="shared" si="663"/>
        <v>0</v>
      </c>
      <c r="QI101" s="171" t="str">
        <f t="shared" si="664"/>
        <v/>
      </c>
      <c r="QJ101" s="57">
        <f t="shared" si="825"/>
        <v>0</v>
      </c>
      <c r="QK101" s="57">
        <f>IF(OR(AND(PY$6=1,$L101=0),AND(PY$6=2,$K101=2,$G101=1)),0,IF(AND(QA$9=2,(OR($F101&gt;1,$K101=1,AND($L101=80,OR($N101=1,AND($N101=2,'#BerechnungDBE'!$AL92&gt;0)))))),IF(PY$4&gt;=$AD$126,0,QI101),IF(QA$9=3,IF(OR(PY$4&gt;=$AD$127,AND($G101=1,$J101=2,PY$6=2),AND(PY$6=1,$N101&lt;&gt;1)),0,IF(QC101&lt;=120,QI101,IF(PY$4&lt;$AD$124,IF($F101=1,60/QA$4*QA$6,60/QA$4*QA$7),IF($F101=1,120/QA$4*QA$6,120/QA$4*QA$7)))),IF(OR($F101=3,$G101=2),IF(OR(AND(PY$4&gt;=$AD$119,$C101=2),AND(PY$4&gt;=$AF$119,$C101=1)),0,IF(QC101&lt;=60,QI101,60/QA$4*QA$7)),IF(AND($F101=2,$G101=1),QI101,0)))))</f>
        <v>0</v>
      </c>
      <c r="QL101" s="57" t="str">
        <f t="shared" si="665"/>
        <v/>
      </c>
      <c r="QM101" s="57" t="str">
        <f t="shared" si="666"/>
        <v/>
      </c>
      <c r="QN101" s="713">
        <f>'org. Düngung 22'!DT100</f>
        <v>0</v>
      </c>
      <c r="QO101" s="57"/>
      <c r="QP101" s="57"/>
      <c r="QQ101" s="57">
        <f t="shared" si="667"/>
        <v>0</v>
      </c>
      <c r="QR101" s="57">
        <f t="shared" si="826"/>
        <v>0</v>
      </c>
      <c r="QS101" s="57">
        <f t="shared" si="827"/>
        <v>0</v>
      </c>
      <c r="QT101" s="57">
        <f t="shared" si="828"/>
        <v>0</v>
      </c>
      <c r="QU101" s="57">
        <f t="shared" si="829"/>
        <v>0</v>
      </c>
      <c r="QV101" s="1029">
        <f t="shared" si="668"/>
        <v>0</v>
      </c>
      <c r="QW101" s="57">
        <f t="shared" si="669"/>
        <v>0</v>
      </c>
      <c r="QX101" s="171" t="str">
        <f t="shared" si="670"/>
        <v/>
      </c>
      <c r="QY101" s="57">
        <f t="shared" si="830"/>
        <v>0</v>
      </c>
      <c r="QZ101" s="57">
        <f>IF(OR(AND(QN$6=1,$L101=0),AND(QN$6=2,$K101=2,$G101=1)),0,IF(AND(QP$9=2,(OR($F101&gt;1,$K101=1,AND($L101=80,OR($N101=1,AND($N101=2,'#BerechnungDBE'!$AL92&gt;0)))))),IF(QN$4&gt;=$AD$126,0,QX101),IF(QP$9=3,IF(OR(QN$4&gt;=$AD$127,AND($G101=1,$J101=2,QN$6=2),AND(QN$6=1,$N101&lt;&gt;1)),0,IF(QR101&lt;=120,QX101,IF(QN$4&lt;$AD$124,IF($F101=1,60/QP$4*QP$6,60/QP$4*QP$7),IF($F101=1,120/QP$4*QP$6,120/QP$4*QP$7)))),IF(OR($F101=3,$G101=2),IF(OR(AND(QN$4&gt;=$AD$119,$C101=2),AND(QN$4&gt;=$AF$119,$C101=1)),0,IF(QR101&lt;=60,QX101,60/QP$4*QP$7)),IF(AND($F101=2,$G101=1),QX101,0)))))</f>
        <v>0</v>
      </c>
      <c r="RA101" s="57" t="str">
        <f t="shared" si="671"/>
        <v/>
      </c>
      <c r="RB101" s="57" t="str">
        <f t="shared" si="672"/>
        <v/>
      </c>
      <c r="RC101" s="713">
        <f>'org. Düngung 22'!DX100</f>
        <v>0</v>
      </c>
      <c r="RD101" s="57"/>
      <c r="RE101" s="57"/>
      <c r="RF101" s="57">
        <f t="shared" si="673"/>
        <v>0</v>
      </c>
      <c r="RG101" s="57">
        <f t="shared" si="831"/>
        <v>0</v>
      </c>
      <c r="RH101" s="57">
        <f t="shared" si="832"/>
        <v>0</v>
      </c>
      <c r="RI101" s="57">
        <f t="shared" si="833"/>
        <v>0</v>
      </c>
      <c r="RJ101" s="57">
        <f t="shared" si="834"/>
        <v>0</v>
      </c>
      <c r="RK101" s="1029">
        <f t="shared" si="674"/>
        <v>0</v>
      </c>
      <c r="RL101" s="57">
        <f t="shared" si="675"/>
        <v>0</v>
      </c>
      <c r="RM101" s="171" t="str">
        <f t="shared" si="676"/>
        <v/>
      </c>
      <c r="RN101" s="57">
        <f t="shared" si="835"/>
        <v>0</v>
      </c>
      <c r="RO101" s="57">
        <f>IF(OR(AND(RC$6=1,$L101=0),AND(RC$6=2,$K101=2,$G101=1)),0,IF(AND(RE$9=2,(OR($F101&gt;1,$K101=1,AND($L101=80,OR($N101=1,AND($N101=2,'#BerechnungDBE'!$AL92&gt;0)))))),IF(RC$4&gt;=$AD$126,0,RM101),IF(RE$9=3,IF(OR(RC$4&gt;=$AD$127,AND($G101=1,$J101=2,RC$6=2),AND(RC$6=1,$N101&lt;&gt;1)),0,IF(RG101&lt;=120,RM101,IF(RC$4&lt;$AD$124,IF($F101=1,60/RE$4*RE$6,60/RE$4*RE$7),IF($F101=1,120/RE$4*RE$6,120/RE$4*RE$7)))),IF(OR($F101=3,$G101=2),IF(OR(AND(RC$4&gt;=$AD$119,$C101=2),AND(RC$4&gt;=$AF$119,$C101=1)),0,IF(RG101&lt;=60,RM101,60/RE$4*RE$7)),IF(AND($F101=2,$G101=1),RM101,0)))))</f>
        <v>0</v>
      </c>
      <c r="RP101" s="57" t="str">
        <f t="shared" si="677"/>
        <v/>
      </c>
      <c r="RQ101" s="57" t="str">
        <f t="shared" si="678"/>
        <v/>
      </c>
      <c r="RS101" s="57" t="str">
        <f t="shared" si="836"/>
        <v/>
      </c>
      <c r="RT101" s="57" t="str">
        <f t="shared" si="679"/>
        <v/>
      </c>
      <c r="RU101" s="57" t="str">
        <f t="shared" si="680"/>
        <v/>
      </c>
      <c r="RV101" s="57" t="str">
        <f>IF(Z101&gt;'#BerechnungDBE'!BM92,$RV$9,"")</f>
        <v/>
      </c>
      <c r="RW101" s="57" t="str">
        <f>IF(AND(L101=70,AE101&gt;'#BerechnungDBE'!CQ92),$RW$9,"")</f>
        <v/>
      </c>
      <c r="RX101" s="57" t="str">
        <f>IF(OR('org. Düngung 22'!G100="--",'org. Düngung 22'!G100&lt;=170,'org. Düngung 22'!G100=""),"",$RX$9)</f>
        <v/>
      </c>
      <c r="RY101" s="57" t="str">
        <f>IF('org. Düngung 22'!K100&gt;120,'#orgDung'!$RY$9,"")</f>
        <v/>
      </c>
      <c r="RZ101" s="57" t="str">
        <f>IF('#BerechnungDBE'!P92&lt;4,"",IF(AND('#BerechnungDBE'!BZ92&gt;0,T101&gt;0),'#orgDung'!$RZ$9,""))</f>
        <v/>
      </c>
      <c r="SA101" s="57" t="str">
        <f t="shared" si="681"/>
        <v/>
      </c>
    </row>
    <row r="102" spans="1:495" s="875" customFormat="1" x14ac:dyDescent="0.2">
      <c r="A102" s="875">
        <f>'Flächen u. Kulturen'!A98</f>
        <v>89</v>
      </c>
      <c r="B102" s="367">
        <f>'#BerechnungDBE'!L93</f>
        <v>0</v>
      </c>
      <c r="C102" s="875">
        <f>'#BerechnungDBE'!R93</f>
        <v>1</v>
      </c>
      <c r="D102" s="875">
        <f>'#BerechnungDBE'!T93</f>
        <v>2</v>
      </c>
      <c r="E102" s="875" t="str">
        <f>'Flächen u. Kulturen'!E98</f>
        <v>x</v>
      </c>
      <c r="F102" s="52">
        <f>'#BerechnungDBE'!N93</f>
        <v>1</v>
      </c>
      <c r="G102" s="52">
        <f>'#BerechnungDBE'!O93</f>
        <v>1</v>
      </c>
      <c r="H102" s="875">
        <f>IF('Flächen u. Kulturen'!P98="",0,VLOOKUP('Flächen u. Kulturen'!P98,Kulturen[[HF]:[Berechnungsgruppe]],'#Frucht'!$H$1,FALSE))</f>
        <v>0</v>
      </c>
      <c r="I102" s="875">
        <f>IF('Flächen u. Kulturen'!J98="",0,VLOOKUP('Flächen u. Kulturen'!J98,Kulturen[[HF]:[Berechnungsgruppe]],'#Frucht'!$G$1,FALSE))</f>
        <v>90</v>
      </c>
      <c r="J102" s="505">
        <f t="shared" si="682"/>
        <v>2</v>
      </c>
      <c r="K102" s="505">
        <f>IF('Flächen u. Kulturen'!P98="",0,IF(VLOOKUP('Flächen u. Kulturen'!P98,Kulturen[[HF]:[Saat Winterungen]],'#Frucht'!$P$1,FALSE)&gt;0,1,2))</f>
        <v>2</v>
      </c>
      <c r="L102" s="875">
        <f>'#BerechnungDBE'!AF93</f>
        <v>0</v>
      </c>
      <c r="M102" s="875">
        <f>IF('Flächen u. Kulturen'!L98="",0,VLOOKUP('Flächen u. Kulturen'!L98,Nebenkultur[[Nebenkultur]:[Legum. Zwischenfr.]],'#Zweitfr'!$K$1,FALSE))</f>
        <v>0</v>
      </c>
      <c r="N102" s="875">
        <f>'#BerechnungDBE'!AG93</f>
        <v>0</v>
      </c>
      <c r="P102" s="57">
        <f t="shared" si="489"/>
        <v>0</v>
      </c>
      <c r="Q102" s="57">
        <f t="shared" si="490"/>
        <v>0</v>
      </c>
      <c r="R102" s="875">
        <f t="shared" si="491"/>
        <v>0</v>
      </c>
      <c r="S102" s="938" t="str">
        <f t="shared" si="683"/>
        <v/>
      </c>
      <c r="T102" s="875">
        <f t="shared" si="492"/>
        <v>0</v>
      </c>
      <c r="U102" s="875">
        <f t="shared" si="493"/>
        <v>0</v>
      </c>
      <c r="V102" s="875">
        <f t="shared" si="494"/>
        <v>0</v>
      </c>
      <c r="W102" s="875">
        <f t="shared" si="495"/>
        <v>0</v>
      </c>
      <c r="X102" s="875">
        <f t="shared" si="496"/>
        <v>0</v>
      </c>
      <c r="Y102" s="875">
        <f t="shared" si="837"/>
        <v>0</v>
      </c>
      <c r="Z102" s="875">
        <f t="shared" si="838"/>
        <v>0</v>
      </c>
      <c r="AA102" s="910">
        <f t="shared" si="497"/>
        <v>0</v>
      </c>
      <c r="AB102" s="57">
        <f t="shared" si="839"/>
        <v>0</v>
      </c>
      <c r="AC102" s="875">
        <f t="shared" si="498"/>
        <v>0</v>
      </c>
      <c r="AD102" s="875">
        <f t="shared" si="499"/>
        <v>0</v>
      </c>
      <c r="AE102" s="875">
        <f t="shared" si="500"/>
        <v>0</v>
      </c>
      <c r="AF102" s="875">
        <f t="shared" si="840"/>
        <v>0</v>
      </c>
      <c r="AG102" s="875">
        <f>'org. Düngung 22'!J101</f>
        <v>0</v>
      </c>
      <c r="AH102" s="875">
        <f>'org. Düngung 22'!K101</f>
        <v>0</v>
      </c>
      <c r="AJ102" s="713">
        <f>'org. Düngung 22'!L101</f>
        <v>0</v>
      </c>
      <c r="AK102" s="57"/>
      <c r="AL102" s="57"/>
      <c r="AM102" s="57">
        <f t="shared" si="684"/>
        <v>0</v>
      </c>
      <c r="AN102" s="57">
        <f t="shared" si="685"/>
        <v>0</v>
      </c>
      <c r="AO102" s="57">
        <f t="shared" si="686"/>
        <v>0</v>
      </c>
      <c r="AP102" s="57">
        <f t="shared" si="687"/>
        <v>0</v>
      </c>
      <c r="AQ102" s="57">
        <f t="shared" si="688"/>
        <v>0</v>
      </c>
      <c r="AR102" s="1029">
        <f t="shared" si="501"/>
        <v>0</v>
      </c>
      <c r="AS102" s="57">
        <f t="shared" si="502"/>
        <v>0</v>
      </c>
      <c r="AT102" s="171" t="str">
        <f t="shared" si="503"/>
        <v/>
      </c>
      <c r="AU102" s="57">
        <f t="shared" si="689"/>
        <v>0</v>
      </c>
      <c r="AV102" s="57">
        <f>IF(OR(AND(AJ$6=1,$L102=0),AND(AJ$6=2,$K102=2,$G102=1)),0,IF(AND(AL$9=2,(OR($F102&gt;1,$K102=1,AND($L102=80,OR($N102=1,AND($N102=2,'#BerechnungDBE'!$AL93&gt;0)))))),IF(AJ$4&gt;=$AD$126,0,AT102),IF(AL$9=3,IF(OR(AJ$4&gt;=$AD$127,AND($G102=1,$J102=2,AJ$6=2),AND(AJ$6=1,$N102&lt;&gt;1)),0,IF(AN102&lt;=120,AT102,IF(AJ$4&lt;$AD$124,IF($F102=1,60/AL$4*AL$6,60/AL$4*AL$7),IF($F102=1,120/AL$4*AL$6,120/AL$4*AL$7)))),IF(OR($F102=3,$G102=2),IF(OR(AND(AJ$4&gt;=$AD$119,$C102=2),AND(AJ$4&gt;=$AF$119,$C102=1)),0,IF(AN102&lt;=60,AT102,60/AL$4*AL$7)),IF(AND($F102=2,$G102=1),AT102,0)))))</f>
        <v>0</v>
      </c>
      <c r="AW102" s="57" t="str">
        <f t="shared" si="690"/>
        <v/>
      </c>
      <c r="AX102" s="57" t="str">
        <f t="shared" si="504"/>
        <v/>
      </c>
      <c r="AY102" s="713">
        <f>'org. Düngung 22'!P101</f>
        <v>0</v>
      </c>
      <c r="AZ102" s="57"/>
      <c r="BA102" s="57"/>
      <c r="BB102" s="57">
        <f t="shared" si="505"/>
        <v>0</v>
      </c>
      <c r="BC102" s="57">
        <f t="shared" si="691"/>
        <v>0</v>
      </c>
      <c r="BD102" s="57">
        <f t="shared" si="692"/>
        <v>0</v>
      </c>
      <c r="BE102" s="57">
        <f t="shared" si="693"/>
        <v>0</v>
      </c>
      <c r="BF102" s="57">
        <f t="shared" si="694"/>
        <v>0</v>
      </c>
      <c r="BG102" s="1029">
        <f t="shared" si="506"/>
        <v>0</v>
      </c>
      <c r="BH102" s="57">
        <f t="shared" si="507"/>
        <v>0</v>
      </c>
      <c r="BI102" s="171" t="str">
        <f t="shared" si="508"/>
        <v/>
      </c>
      <c r="BJ102" s="57">
        <f t="shared" si="695"/>
        <v>0</v>
      </c>
      <c r="BK102" s="57">
        <f>IF(OR(AND(AY$6=1,$L102=0),AND(AY$6=2,$K102=2,$G102=1)),0,IF(AND(BA$9=2,(OR($F102&gt;1,$K102=1,AND($L102=80,OR($N102=1,AND($N102=2,'#BerechnungDBE'!$AL93&gt;0)))))),IF(AY$4&gt;=$AD$126,0,BI102),IF(BA$9=3,IF(OR(AY$4&gt;=$AD$127,AND($G102=1,$J102=2,AY$6=2),AND(AY$6=1,$N102&lt;&gt;1)),0,IF(BC102&lt;=120,BI102,IF(AY$4&lt;$AD$124,IF($F102=1,60/BA$4*BA$6,60/BA$4*BA$7),IF($F102=1,120/BA$4*BA$6,120/BA$4*BA$7)))),IF(OR($F102=3,$G102=2),IF(OR(AND(AY$4&gt;=$AD$119,$C102=2),AND(AY$4&gt;=$AF$119,$C102=1)),0,IF(BC102&lt;=60,BI102,60/BA$4*BA$7)),IF(AND($F102=2,$G102=1),BI102,0)))))</f>
        <v>0</v>
      </c>
      <c r="BL102" s="57" t="str">
        <f t="shared" si="509"/>
        <v/>
      </c>
      <c r="BM102" s="57" t="str">
        <f t="shared" si="510"/>
        <v/>
      </c>
      <c r="BN102" s="713">
        <f>'org. Düngung 22'!T101</f>
        <v>0</v>
      </c>
      <c r="BO102" s="57"/>
      <c r="BP102" s="57"/>
      <c r="BQ102" s="57">
        <f t="shared" si="511"/>
        <v>0</v>
      </c>
      <c r="BR102" s="57">
        <f t="shared" si="696"/>
        <v>0</v>
      </c>
      <c r="BS102" s="57">
        <f t="shared" si="697"/>
        <v>0</v>
      </c>
      <c r="BT102" s="57">
        <f t="shared" si="698"/>
        <v>0</v>
      </c>
      <c r="BU102" s="57">
        <f t="shared" si="699"/>
        <v>0</v>
      </c>
      <c r="BV102" s="1029">
        <f t="shared" si="512"/>
        <v>0</v>
      </c>
      <c r="BW102" s="57">
        <f t="shared" si="513"/>
        <v>0</v>
      </c>
      <c r="BX102" s="171" t="str">
        <f t="shared" si="514"/>
        <v/>
      </c>
      <c r="BY102" s="57">
        <f t="shared" si="700"/>
        <v>0</v>
      </c>
      <c r="BZ102" s="57">
        <f>IF(OR(AND(BN$6=1,$L102=0),AND(BN$6=2,$K102=2,$G102=1)),0,IF(AND(BP$9=2,(OR($F102&gt;1,$K102=1,AND($L102=80,OR($N102=1,AND($N102=2,'#BerechnungDBE'!$AL93&gt;0)))))),IF(BN$4&gt;=$AD$126,0,BX102),IF(BP$9=3,IF(OR(BN$4&gt;=$AD$127,AND($G102=1,$J102=2,BN$6=2),AND(BN$6=1,$N102&lt;&gt;1)),0,IF(BR102&lt;=120,BX102,IF(BN$4&lt;$AD$124,IF($F102=1,60/BP$4*BP$6,60/BP$4*BP$7),IF($F102=1,120/BP$4*BP$6,120/BP$4*BP$7)))),IF(OR($F102=3,$G102=2),IF(OR(AND(BN$4&gt;=$AD$119,$C102=2),AND(BN$4&gt;=$AF$119,$C102=1)),0,IF(BR102&lt;=60,BX102,60/BP$4*BP$7)),IF(AND($F102=2,$G102=1),BX102,0)))))</f>
        <v>0</v>
      </c>
      <c r="CA102" s="57" t="str">
        <f t="shared" si="515"/>
        <v/>
      </c>
      <c r="CB102" s="57" t="str">
        <f t="shared" si="516"/>
        <v/>
      </c>
      <c r="CC102" s="713">
        <f>'org. Düngung 22'!X101</f>
        <v>0</v>
      </c>
      <c r="CD102" s="57"/>
      <c r="CE102" s="57"/>
      <c r="CF102" s="57">
        <f t="shared" si="517"/>
        <v>0</v>
      </c>
      <c r="CG102" s="57">
        <f t="shared" si="701"/>
        <v>0</v>
      </c>
      <c r="CH102" s="57">
        <f t="shared" si="702"/>
        <v>0</v>
      </c>
      <c r="CI102" s="57">
        <f t="shared" si="703"/>
        <v>0</v>
      </c>
      <c r="CJ102" s="57">
        <f t="shared" si="704"/>
        <v>0</v>
      </c>
      <c r="CK102" s="1029">
        <f t="shared" si="518"/>
        <v>0</v>
      </c>
      <c r="CL102" s="57">
        <f t="shared" si="519"/>
        <v>0</v>
      </c>
      <c r="CM102" s="171" t="str">
        <f t="shared" si="520"/>
        <v/>
      </c>
      <c r="CN102" s="57">
        <f t="shared" si="705"/>
        <v>0</v>
      </c>
      <c r="CO102" s="57">
        <f>IF(OR(AND(CC$6=1,$L102=0),AND(CC$6=2,$K102=2,$G102=1)),0,IF(AND(CE$9=2,(OR($F102&gt;1,$K102=1,AND($L102=80,OR($N102=1,AND($N102=2,'#BerechnungDBE'!$AL93&gt;0)))))),IF(CC$4&gt;=$AD$126,0,CM102),IF(CE$9=3,IF(OR(CC$4&gt;=$AD$127,AND($G102=1,$J102=2,CC$6=2),AND(CC$6=1,$N102&lt;&gt;1)),0,IF(CG102&lt;=120,CM102,IF(CC$4&lt;$AD$124,IF($F102=1,60/CE$4*CE$6,60/CE$4*CE$7),IF($F102=1,120/CE$4*CE$6,120/CE$4*CE$7)))),IF(OR($F102=3,$G102=2),IF(OR(AND(CC$4&gt;=$AD$119,$C102=2),AND(CC$4&gt;=$AF$119,$C102=1)),0,IF(CG102&lt;=60,CM102,60/CE$4*CE$7)),IF(AND($F102=2,$G102=1),CM102,0)))))</f>
        <v>0</v>
      </c>
      <c r="CP102" s="57" t="str">
        <f t="shared" si="521"/>
        <v/>
      </c>
      <c r="CQ102" s="57" t="str">
        <f t="shared" si="522"/>
        <v/>
      </c>
      <c r="CR102" s="713">
        <f>'org. Düngung 22'!AB101</f>
        <v>0</v>
      </c>
      <c r="CS102" s="57"/>
      <c r="CT102" s="57"/>
      <c r="CU102" s="57">
        <f t="shared" si="523"/>
        <v>0</v>
      </c>
      <c r="CV102" s="57">
        <f t="shared" si="706"/>
        <v>0</v>
      </c>
      <c r="CW102" s="57">
        <f t="shared" si="707"/>
        <v>0</v>
      </c>
      <c r="CX102" s="57">
        <f t="shared" si="708"/>
        <v>0</v>
      </c>
      <c r="CY102" s="57">
        <f t="shared" si="709"/>
        <v>0</v>
      </c>
      <c r="CZ102" s="1029">
        <f t="shared" si="524"/>
        <v>0</v>
      </c>
      <c r="DA102" s="57">
        <f t="shared" si="525"/>
        <v>0</v>
      </c>
      <c r="DB102" s="171" t="str">
        <f t="shared" si="526"/>
        <v/>
      </c>
      <c r="DC102" s="57">
        <f t="shared" si="710"/>
        <v>0</v>
      </c>
      <c r="DD102" s="57">
        <f>IF(OR(AND(CR$6=1,$L102=0),AND(CR$6=2,$K102=2,$G102=1)),0,IF(AND(CT$9=2,(OR($F102&gt;1,$K102=1,AND($L102=80,OR($N102=1,AND($N102=2,'#BerechnungDBE'!$AL93&gt;0)))))),IF(CR$4&gt;=$AD$126,0,DB102),IF(CT$9=3,IF(OR(CR$4&gt;=$AD$127,AND($G102=1,$J102=2,CR$6=2),AND(CR$6=1,$N102&lt;&gt;1)),0,IF(CV102&lt;=120,DB102,IF(CR$4&lt;$AD$124,IF($F102=1,60/CT$4*CT$6,60/CT$4*CT$7),IF($F102=1,120/CT$4*CT$6,120/CT$4*CT$7)))),IF(OR($F102=3,$G102=2),IF(OR(AND(CR$4&gt;=$AD$119,$C102=2),AND(CR$4&gt;=$AF$119,$C102=1)),0,IF(CV102&lt;=60,DB102,60/CT$4*CT$7)),IF(AND($F102=2,$G102=1),DB102,0)))))</f>
        <v>0</v>
      </c>
      <c r="DE102" s="57" t="str">
        <f t="shared" si="527"/>
        <v/>
      </c>
      <c r="DF102" s="57" t="str">
        <f t="shared" si="528"/>
        <v/>
      </c>
      <c r="DG102" s="713">
        <f>'org. Düngung 22'!AF101</f>
        <v>0</v>
      </c>
      <c r="DH102" s="57"/>
      <c r="DI102" s="57"/>
      <c r="DJ102" s="57">
        <f t="shared" si="529"/>
        <v>0</v>
      </c>
      <c r="DK102" s="57">
        <f t="shared" si="711"/>
        <v>0</v>
      </c>
      <c r="DL102" s="57">
        <f t="shared" si="712"/>
        <v>0</v>
      </c>
      <c r="DM102" s="57">
        <f t="shared" si="713"/>
        <v>0</v>
      </c>
      <c r="DN102" s="57">
        <f t="shared" si="714"/>
        <v>0</v>
      </c>
      <c r="DO102" s="1029">
        <f t="shared" si="530"/>
        <v>0</v>
      </c>
      <c r="DP102" s="57">
        <f t="shared" si="531"/>
        <v>0</v>
      </c>
      <c r="DQ102" s="171" t="str">
        <f t="shared" si="532"/>
        <v/>
      </c>
      <c r="DR102" s="57">
        <f t="shared" si="715"/>
        <v>0</v>
      </c>
      <c r="DS102" s="57">
        <f>IF(OR(AND(DG$6=1,$L102=0),AND(DG$6=2,$K102=2,$G102=1)),0,IF(AND(DI$9=2,(OR($F102&gt;1,$K102=1,AND($L102=80,OR($N102=1,AND($N102=2,'#BerechnungDBE'!$AL93&gt;0)))))),IF(DG$4&gt;=$AD$126,0,DQ102),IF(DI$9=3,IF(OR(DG$4&gt;=$AD$127,AND($G102=1,$J102=2,DG$6=2),AND(DG$6=1,$N102&lt;&gt;1)),0,IF(DK102&lt;=120,DQ102,IF(DG$4&lt;$AD$124,IF($F102=1,60/DI$4*DI$6,60/DI$4*DI$7),IF($F102=1,120/DI$4*DI$6,120/DI$4*DI$7)))),IF(OR($F102=3,$G102=2),IF(OR(AND(DG$4&gt;=$AD$119,$C102=2),AND(DG$4&gt;=$AF$119,$C102=1)),0,IF(DK102&lt;=60,DQ102,60/DI$4*DI$7)),IF(AND($F102=2,$G102=1),DQ102,0)))))</f>
        <v>0</v>
      </c>
      <c r="DT102" s="57" t="str">
        <f t="shared" si="533"/>
        <v/>
      </c>
      <c r="DU102" s="57" t="str">
        <f t="shared" si="534"/>
        <v/>
      </c>
      <c r="DV102" s="713">
        <f>'org. Düngung 22'!AJ101</f>
        <v>0</v>
      </c>
      <c r="DW102" s="57"/>
      <c r="DX102" s="57"/>
      <c r="DY102" s="57">
        <f t="shared" si="535"/>
        <v>0</v>
      </c>
      <c r="DZ102" s="57">
        <f t="shared" si="716"/>
        <v>0</v>
      </c>
      <c r="EA102" s="57">
        <f t="shared" si="717"/>
        <v>0</v>
      </c>
      <c r="EB102" s="57">
        <f t="shared" si="718"/>
        <v>0</v>
      </c>
      <c r="EC102" s="57">
        <f t="shared" si="719"/>
        <v>0</v>
      </c>
      <c r="ED102" s="1029">
        <f t="shared" si="536"/>
        <v>0</v>
      </c>
      <c r="EE102" s="57">
        <f t="shared" si="537"/>
        <v>0</v>
      </c>
      <c r="EF102" s="171" t="str">
        <f t="shared" si="538"/>
        <v/>
      </c>
      <c r="EG102" s="57">
        <f t="shared" si="720"/>
        <v>0</v>
      </c>
      <c r="EH102" s="57">
        <f>IF(OR(AND(DV$6=1,$L102=0),AND(DV$6=2,$K102=2,$G102=1)),0,IF(AND(DX$9=2,(OR($F102&gt;1,$K102=1,AND($L102=80,OR($N102=1,AND($N102=2,'#BerechnungDBE'!$AL93&gt;0)))))),IF(DV$4&gt;=$AD$126,0,EF102),IF(DX$9=3,IF(OR(DV$4&gt;=$AD$127,AND($G102=1,$J102=2,DV$6=2),AND(DV$6=1,$N102&lt;&gt;1)),0,IF(DZ102&lt;=120,EF102,IF(DV$4&lt;$AD$124,IF($F102=1,60/DX$4*DX$6,60/DX$4*DX$7),IF($F102=1,120/DX$4*DX$6,120/DX$4*DX$7)))),IF(OR($F102=3,$G102=2),IF(OR(AND(DV$4&gt;=$AD$119,$C102=2),AND(DV$4&gt;=$AF$119,$C102=1)),0,IF(DZ102&lt;=60,EF102,60/DX$4*DX$7)),IF(AND($F102=2,$G102=1),EF102,0)))))</f>
        <v>0</v>
      </c>
      <c r="EI102" s="57" t="str">
        <f t="shared" si="539"/>
        <v/>
      </c>
      <c r="EJ102" s="57" t="str">
        <f t="shared" si="540"/>
        <v/>
      </c>
      <c r="EK102" s="713">
        <f>'org. Düngung 22'!AN101</f>
        <v>0</v>
      </c>
      <c r="EL102" s="57"/>
      <c r="EM102" s="57"/>
      <c r="EN102" s="57">
        <f t="shared" si="541"/>
        <v>0</v>
      </c>
      <c r="EO102" s="57">
        <f t="shared" si="721"/>
        <v>0</v>
      </c>
      <c r="EP102" s="57">
        <f t="shared" si="722"/>
        <v>0</v>
      </c>
      <c r="EQ102" s="57">
        <f t="shared" si="723"/>
        <v>0</v>
      </c>
      <c r="ER102" s="57">
        <f t="shared" si="724"/>
        <v>0</v>
      </c>
      <c r="ES102" s="1029">
        <f t="shared" si="542"/>
        <v>0</v>
      </c>
      <c r="ET102" s="57">
        <f t="shared" si="543"/>
        <v>0</v>
      </c>
      <c r="EU102" s="171" t="str">
        <f t="shared" si="544"/>
        <v/>
      </c>
      <c r="EV102" s="57">
        <f t="shared" si="725"/>
        <v>0</v>
      </c>
      <c r="EW102" s="57">
        <f>IF(OR(AND(EK$6=1,$L102=0),AND(EK$6=2,$K102=2,$G102=1)),0,IF(AND(EM$9=2,(OR($F102&gt;1,$K102=1,AND($L102=80,OR($N102=1,AND($N102=2,'#BerechnungDBE'!$AL93&gt;0)))))),IF(EK$4&gt;=$AD$126,0,EU102),IF(EM$9=3,IF(OR(EK$4&gt;=$AD$127,AND($G102=1,$J102=2,EK$6=2),AND(EK$6=1,$N102&lt;&gt;1)),0,IF(EO102&lt;=120,EU102,IF(EK$4&lt;$AD$124,IF($F102=1,60/EM$4*EM$6,60/EM$4*EM$7),IF($F102=1,120/EM$4*EM$6,120/EM$4*EM$7)))),IF(OR($F102=3,$G102=2),IF(OR(AND(EK$4&gt;=$AD$119,$C102=2),AND(EK$4&gt;=$AF$119,$C102=1)),0,IF(EO102&lt;=60,EU102,60/EM$4*EM$7)),IF(AND($F102=2,$G102=1),EU102,0)))))</f>
        <v>0</v>
      </c>
      <c r="EX102" s="57" t="str">
        <f t="shared" si="545"/>
        <v/>
      </c>
      <c r="EY102" s="57" t="str">
        <f t="shared" si="546"/>
        <v/>
      </c>
      <c r="EZ102" s="713">
        <f>'org. Düngung 22'!AR101</f>
        <v>0</v>
      </c>
      <c r="FA102" s="57"/>
      <c r="FB102" s="57"/>
      <c r="FC102" s="57">
        <f t="shared" si="547"/>
        <v>0</v>
      </c>
      <c r="FD102" s="57">
        <f t="shared" si="726"/>
        <v>0</v>
      </c>
      <c r="FE102" s="57">
        <f t="shared" si="727"/>
        <v>0</v>
      </c>
      <c r="FF102" s="57">
        <f t="shared" si="728"/>
        <v>0</v>
      </c>
      <c r="FG102" s="57">
        <f t="shared" si="729"/>
        <v>0</v>
      </c>
      <c r="FH102" s="1029">
        <f t="shared" si="548"/>
        <v>0</v>
      </c>
      <c r="FI102" s="57">
        <f t="shared" si="549"/>
        <v>0</v>
      </c>
      <c r="FJ102" s="171" t="str">
        <f t="shared" si="550"/>
        <v/>
      </c>
      <c r="FK102" s="57">
        <f t="shared" si="730"/>
        <v>0</v>
      </c>
      <c r="FL102" s="57">
        <f>IF(OR(AND(EZ$6=1,$L102=0),AND(EZ$6=2,$K102=2,$G102=1)),0,IF(AND(FB$9=2,(OR($F102&gt;1,$K102=1,AND($L102=80,OR($N102=1,AND($N102=2,'#BerechnungDBE'!$AL93&gt;0)))))),IF(EZ$4&gt;=$AD$126,0,FJ102),IF(FB$9=3,IF(OR(EZ$4&gt;=$AD$127,AND($G102=1,$J102=2,EZ$6=2),AND(EZ$6=1,$N102&lt;&gt;1)),0,IF(FD102&lt;=120,FJ102,IF(EZ$4&lt;$AD$124,IF($F102=1,60/FB$4*FB$6,60/FB$4*FB$7),IF($F102=1,120/FB$4*FB$6,120/FB$4*FB$7)))),IF(OR($F102=3,$G102=2),IF(OR(AND(EZ$4&gt;=$AD$119,$C102=2),AND(EZ$4&gt;=$AF$119,$C102=1)),0,IF(FD102&lt;=60,FJ102,60/FB$4*FB$7)),IF(AND($F102=2,$G102=1),FJ102,0)))))</f>
        <v>0</v>
      </c>
      <c r="FM102" s="57" t="str">
        <f t="shared" si="551"/>
        <v/>
      </c>
      <c r="FN102" s="57" t="str">
        <f t="shared" si="552"/>
        <v/>
      </c>
      <c r="FO102" s="713">
        <f>'org. Düngung 22'!AV101</f>
        <v>0</v>
      </c>
      <c r="FP102" s="57"/>
      <c r="FQ102" s="57"/>
      <c r="FR102" s="57">
        <f t="shared" si="553"/>
        <v>0</v>
      </c>
      <c r="FS102" s="57">
        <f t="shared" si="731"/>
        <v>0</v>
      </c>
      <c r="FT102" s="57">
        <f t="shared" si="732"/>
        <v>0</v>
      </c>
      <c r="FU102" s="57">
        <f t="shared" si="733"/>
        <v>0</v>
      </c>
      <c r="FV102" s="57">
        <f t="shared" si="734"/>
        <v>0</v>
      </c>
      <c r="FW102" s="1029">
        <f t="shared" si="554"/>
        <v>0</v>
      </c>
      <c r="FX102" s="57">
        <f t="shared" si="555"/>
        <v>0</v>
      </c>
      <c r="FY102" s="171" t="str">
        <f t="shared" si="556"/>
        <v/>
      </c>
      <c r="FZ102" s="57">
        <f t="shared" si="735"/>
        <v>0</v>
      </c>
      <c r="GA102" s="57">
        <f>IF(OR(AND(FO$6=1,$L102=0),AND(FO$6=2,$K102=2,$G102=1)),0,IF(AND(FQ$9=2,(OR($F102&gt;1,$K102=1,AND($L102=80,OR($N102=1,AND($N102=2,'#BerechnungDBE'!$AL93&gt;0)))))),IF(FO$4&gt;=$AD$126,0,FY102),IF(FQ$9=3,IF(OR(FO$4&gt;=$AD$127,AND($G102=1,$J102=2,FO$6=2),AND(FO$6=1,$N102&lt;&gt;1)),0,IF(FS102&lt;=120,FY102,IF(FO$4&lt;$AD$124,IF($F102=1,60/FQ$4*FQ$6,60/FQ$4*FQ$7),IF($F102=1,120/FQ$4*FQ$6,120/FQ$4*FQ$7)))),IF(OR($F102=3,$G102=2),IF(OR(AND(FO$4&gt;=$AD$119,$C102=2),AND(FO$4&gt;=$AF$119,$C102=1)),0,IF(FS102&lt;=60,FY102,60/FQ$4*FQ$7)),IF(AND($F102=2,$G102=1),FY102,0)))))</f>
        <v>0</v>
      </c>
      <c r="GB102" s="57" t="str">
        <f t="shared" si="557"/>
        <v/>
      </c>
      <c r="GC102" s="57" t="str">
        <f t="shared" si="558"/>
        <v/>
      </c>
      <c r="GD102" s="713">
        <f>'org. Düngung 22'!AZ101</f>
        <v>0</v>
      </c>
      <c r="GE102" s="57"/>
      <c r="GF102" s="57"/>
      <c r="GG102" s="57">
        <f t="shared" si="559"/>
        <v>0</v>
      </c>
      <c r="GH102" s="57">
        <f t="shared" si="736"/>
        <v>0</v>
      </c>
      <c r="GI102" s="57">
        <f t="shared" si="737"/>
        <v>0</v>
      </c>
      <c r="GJ102" s="57">
        <f t="shared" si="738"/>
        <v>0</v>
      </c>
      <c r="GK102" s="57">
        <f t="shared" si="739"/>
        <v>0</v>
      </c>
      <c r="GL102" s="1029">
        <f t="shared" si="560"/>
        <v>0</v>
      </c>
      <c r="GM102" s="57">
        <f t="shared" si="561"/>
        <v>0</v>
      </c>
      <c r="GN102" s="171" t="str">
        <f t="shared" si="562"/>
        <v/>
      </c>
      <c r="GO102" s="57">
        <f t="shared" si="740"/>
        <v>0</v>
      </c>
      <c r="GP102" s="57">
        <f>IF(OR(AND(GD$6=1,$L102=0),AND(GD$6=2,$K102=2,$G102=1)),0,IF(AND(GF$9=2,(OR($F102&gt;1,$K102=1,AND($L102=80,OR($N102=1,AND($N102=2,'#BerechnungDBE'!$AL93&gt;0)))))),IF(GD$4&gt;=$AD$126,0,GN102),IF(GF$9=3,IF(OR(GD$4&gt;=$AD$127,AND($G102=1,$J102=2,GD$6=2),AND(GD$6=1,$N102&lt;&gt;1)),0,IF(GH102&lt;=120,GN102,IF(GD$4&lt;$AD$124,IF($F102=1,60/GF$4*GF$6,60/GF$4*GF$7),IF($F102=1,120/GF$4*GF$6,120/GF$4*GF$7)))),IF(OR($F102=3,$G102=2),IF(OR(AND(GD$4&gt;=$AD$119,$C102=2),AND(GD$4&gt;=$AF$119,$C102=1)),0,IF(GH102&lt;=60,GN102,60/GF$4*GF$7)),IF(AND($F102=2,$G102=1),GN102,0)))))</f>
        <v>0</v>
      </c>
      <c r="GQ102" s="57" t="str">
        <f t="shared" si="563"/>
        <v/>
      </c>
      <c r="GR102" s="57" t="str">
        <f t="shared" si="564"/>
        <v/>
      </c>
      <c r="GS102" s="713">
        <f>'org. Düngung 22'!BD101</f>
        <v>0</v>
      </c>
      <c r="GT102" s="57"/>
      <c r="GU102" s="57"/>
      <c r="GV102" s="57">
        <f t="shared" si="565"/>
        <v>0</v>
      </c>
      <c r="GW102" s="57">
        <f t="shared" si="741"/>
        <v>0</v>
      </c>
      <c r="GX102" s="57">
        <f t="shared" si="742"/>
        <v>0</v>
      </c>
      <c r="GY102" s="57">
        <f t="shared" si="743"/>
        <v>0</v>
      </c>
      <c r="GZ102" s="57">
        <f t="shared" si="744"/>
        <v>0</v>
      </c>
      <c r="HA102" s="1029">
        <f t="shared" si="566"/>
        <v>0</v>
      </c>
      <c r="HB102" s="57">
        <f t="shared" si="567"/>
        <v>0</v>
      </c>
      <c r="HC102" s="171" t="str">
        <f t="shared" si="568"/>
        <v/>
      </c>
      <c r="HD102" s="57">
        <f t="shared" si="745"/>
        <v>0</v>
      </c>
      <c r="HE102" s="57">
        <f>IF(OR(AND(GS$6=1,$L102=0),AND(GS$6=2,$K102=2,$G102=1)),0,IF(AND(GU$9=2,(OR($F102&gt;1,$K102=1,AND($L102=80,OR($N102=1,AND($N102=2,'#BerechnungDBE'!$AL93&gt;0)))))),IF(GS$4&gt;=$AD$126,0,HC102),IF(GU$9=3,IF(OR(GS$4&gt;=$AD$127,AND($G102=1,$J102=2,GS$6=2),AND(GS$6=1,$N102&lt;&gt;1)),0,IF(GW102&lt;=120,HC102,IF(GS$4&lt;$AD$124,IF($F102=1,60/GU$4*GU$6,60/GU$4*GU$7),IF($F102=1,120/GU$4*GU$6,120/GU$4*GU$7)))),IF(OR($F102=3,$G102=2),IF(OR(AND(GS$4&gt;=$AD$119,$C102=2),AND(GS$4&gt;=$AF$119,$C102=1)),0,IF(GW102&lt;=60,HC102,60/GU$4*GU$7)),IF(AND($F102=2,$G102=1),HC102,0)))))</f>
        <v>0</v>
      </c>
      <c r="HF102" s="57" t="str">
        <f t="shared" si="569"/>
        <v/>
      </c>
      <c r="HG102" s="57" t="str">
        <f t="shared" si="570"/>
        <v/>
      </c>
      <c r="HH102" s="713">
        <f>'org. Düngung 22'!BH101</f>
        <v>0</v>
      </c>
      <c r="HI102" s="57"/>
      <c r="HJ102" s="57"/>
      <c r="HK102" s="57">
        <f t="shared" si="571"/>
        <v>0</v>
      </c>
      <c r="HL102" s="57">
        <f t="shared" si="746"/>
        <v>0</v>
      </c>
      <c r="HM102" s="57">
        <f t="shared" si="747"/>
        <v>0</v>
      </c>
      <c r="HN102" s="57">
        <f t="shared" si="748"/>
        <v>0</v>
      </c>
      <c r="HO102" s="57">
        <f t="shared" si="749"/>
        <v>0</v>
      </c>
      <c r="HP102" s="1029">
        <f t="shared" si="572"/>
        <v>0</v>
      </c>
      <c r="HQ102" s="57">
        <f t="shared" si="573"/>
        <v>0</v>
      </c>
      <c r="HR102" s="171" t="str">
        <f t="shared" si="574"/>
        <v/>
      </c>
      <c r="HS102" s="57">
        <f t="shared" si="750"/>
        <v>0</v>
      </c>
      <c r="HT102" s="57">
        <f>IF(OR(AND(HH$6=1,$L102=0),AND(HH$6=2,$K102=2,$G102=1)),0,IF(AND(HJ$9=2,(OR($F102&gt;1,$K102=1,AND($L102=80,OR($N102=1,AND($N102=2,'#BerechnungDBE'!$AL93&gt;0)))))),IF(HH$4&gt;=$AD$126,0,HR102),IF(HJ$9=3,IF(OR(HH$4&gt;=$AD$127,AND($G102=1,$J102=2,HH$6=2),AND(HH$6=1,$N102&lt;&gt;1)),0,IF(HL102&lt;=120,HR102,IF(HH$4&lt;$AD$124,IF($F102=1,60/HJ$4*HJ$6,60/HJ$4*HJ$7),IF($F102=1,120/HJ$4*HJ$6,120/HJ$4*HJ$7)))),IF(OR($F102=3,$G102=2),IF(OR(AND(HH$4&gt;=$AD$119,$C102=2),AND(HH$4&gt;=$AF$119,$C102=1)),0,IF(HL102&lt;=60,HR102,60/HJ$4*HJ$7)),IF(AND($F102=2,$G102=1),HR102,0)))))</f>
        <v>0</v>
      </c>
      <c r="HU102" s="57" t="str">
        <f t="shared" si="575"/>
        <v/>
      </c>
      <c r="HV102" s="57" t="str">
        <f t="shared" si="576"/>
        <v/>
      </c>
      <c r="HW102" s="713">
        <f>'org. Düngung 22'!BL101</f>
        <v>0</v>
      </c>
      <c r="HX102" s="57"/>
      <c r="HY102" s="57"/>
      <c r="HZ102" s="57">
        <f t="shared" si="577"/>
        <v>0</v>
      </c>
      <c r="IA102" s="57">
        <f t="shared" si="751"/>
        <v>0</v>
      </c>
      <c r="IB102" s="57">
        <f t="shared" si="752"/>
        <v>0</v>
      </c>
      <c r="IC102" s="57">
        <f t="shared" si="753"/>
        <v>0</v>
      </c>
      <c r="ID102" s="57">
        <f t="shared" si="754"/>
        <v>0</v>
      </c>
      <c r="IE102" s="1029">
        <f t="shared" si="578"/>
        <v>0</v>
      </c>
      <c r="IF102" s="57">
        <f t="shared" si="579"/>
        <v>0</v>
      </c>
      <c r="IG102" s="171" t="str">
        <f t="shared" si="580"/>
        <v/>
      </c>
      <c r="IH102" s="57">
        <f t="shared" si="755"/>
        <v>0</v>
      </c>
      <c r="II102" s="57">
        <f>IF(OR(AND(HW$6=1,$L102=0),AND(HW$6=2,$K102=2,$G102=1)),0,IF(AND(HY$9=2,(OR($F102&gt;1,$K102=1,AND($L102=80,OR($N102=1,AND($N102=2,'#BerechnungDBE'!$AL93&gt;0)))))),IF(HW$4&gt;=$AD$126,0,IG102),IF(HY$9=3,IF(OR(HW$4&gt;=$AD$127,AND($G102=1,$J102=2,HW$6=2),AND(HW$6=1,$N102&lt;&gt;1)),0,IF(IA102&lt;=120,IG102,IF(HW$4&lt;$AD$124,IF($F102=1,60/HY$4*HY$6,60/HY$4*HY$7),IF($F102=1,120/HY$4*HY$6,120/HY$4*HY$7)))),IF(OR($F102=3,$G102=2),IF(OR(AND(HW$4&gt;=$AD$119,$C102=2),AND(HW$4&gt;=$AF$119,$C102=1)),0,IF(IA102&lt;=60,IG102,60/HY$4*HY$7)),IF(AND($F102=2,$G102=1),IG102,0)))))</f>
        <v>0</v>
      </c>
      <c r="IJ102" s="57" t="str">
        <f t="shared" si="581"/>
        <v/>
      </c>
      <c r="IK102" s="57" t="str">
        <f t="shared" si="582"/>
        <v/>
      </c>
      <c r="IL102" s="713">
        <f>'org. Düngung 22'!BP101</f>
        <v>0</v>
      </c>
      <c r="IM102" s="57"/>
      <c r="IN102" s="57"/>
      <c r="IO102" s="57">
        <f t="shared" si="583"/>
        <v>0</v>
      </c>
      <c r="IP102" s="57">
        <f t="shared" si="756"/>
        <v>0</v>
      </c>
      <c r="IQ102" s="57">
        <f t="shared" si="757"/>
        <v>0</v>
      </c>
      <c r="IR102" s="57">
        <f t="shared" si="758"/>
        <v>0</v>
      </c>
      <c r="IS102" s="57">
        <f t="shared" si="759"/>
        <v>0</v>
      </c>
      <c r="IT102" s="1029">
        <f t="shared" si="584"/>
        <v>0</v>
      </c>
      <c r="IU102" s="57">
        <f t="shared" si="585"/>
        <v>0</v>
      </c>
      <c r="IV102" s="171" t="str">
        <f t="shared" si="586"/>
        <v/>
      </c>
      <c r="IW102" s="57">
        <f t="shared" si="760"/>
        <v>0</v>
      </c>
      <c r="IX102" s="57">
        <f>IF(OR(AND(IL$6=1,$L102=0),AND(IL$6=2,$K102=2,$G102=1)),0,IF(AND(IN$9=2,(OR($F102&gt;1,$K102=1,AND($L102=80,OR($N102=1,AND($N102=2,'#BerechnungDBE'!$AL93&gt;0)))))),IF(IL$4&gt;=$AD$126,0,IV102),IF(IN$9=3,IF(OR(IL$4&gt;=$AD$127,AND($G102=1,$J102=2,IL$6=2),AND(IL$6=1,$N102&lt;&gt;1)),0,IF(IP102&lt;=120,IV102,IF(IL$4&lt;$AD$124,IF($F102=1,60/IN$4*IN$6,60/IN$4*IN$7),IF($F102=1,120/IN$4*IN$6,120/IN$4*IN$7)))),IF(OR($F102=3,$G102=2),IF(OR(AND(IL$4&gt;=$AD$119,$C102=2),AND(IL$4&gt;=$AF$119,$C102=1)),0,IF(IP102&lt;=60,IV102,60/IN$4*IN$7)),IF(AND($F102=2,$G102=1),IV102,0)))))</f>
        <v>0</v>
      </c>
      <c r="IY102" s="57" t="str">
        <f t="shared" si="587"/>
        <v/>
      </c>
      <c r="IZ102" s="57" t="str">
        <f t="shared" si="588"/>
        <v/>
      </c>
      <c r="JA102" s="713">
        <f>'org. Düngung 22'!BT101</f>
        <v>0</v>
      </c>
      <c r="JB102" s="57"/>
      <c r="JC102" s="57"/>
      <c r="JD102" s="57">
        <f t="shared" si="589"/>
        <v>0</v>
      </c>
      <c r="JE102" s="57">
        <f t="shared" si="761"/>
        <v>0</v>
      </c>
      <c r="JF102" s="57">
        <f t="shared" si="762"/>
        <v>0</v>
      </c>
      <c r="JG102" s="57">
        <f t="shared" si="763"/>
        <v>0</v>
      </c>
      <c r="JH102" s="57">
        <f t="shared" si="764"/>
        <v>0</v>
      </c>
      <c r="JI102" s="1029">
        <f t="shared" si="590"/>
        <v>0</v>
      </c>
      <c r="JJ102" s="57">
        <f t="shared" si="591"/>
        <v>0</v>
      </c>
      <c r="JK102" s="171" t="str">
        <f t="shared" si="592"/>
        <v/>
      </c>
      <c r="JL102" s="57">
        <f t="shared" si="765"/>
        <v>0</v>
      </c>
      <c r="JM102" s="57">
        <f>IF(OR(AND(JA$6=1,$L102=0),AND(JA$6=2,$K102=2,$G102=1)),0,IF(AND(JC$9=2,(OR($F102&gt;1,$K102=1,AND($L102=80,OR($N102=1,AND($N102=2,'#BerechnungDBE'!$AL93&gt;0)))))),IF(JA$4&gt;=$AD$126,0,JK102),IF(JC$9=3,IF(OR(JA$4&gt;=$AD$127,AND($G102=1,$J102=2,JA$6=2),AND(JA$6=1,$N102&lt;&gt;1)),0,IF(JE102&lt;=120,JK102,IF(JA$4&lt;$AD$124,IF($F102=1,60/JC$4*JC$6,60/JC$4*JC$7),IF($F102=1,120/JC$4*JC$6,120/JC$4*JC$7)))),IF(OR($F102=3,$G102=2),IF(OR(AND(JA$4&gt;=$AD$119,$C102=2),AND(JA$4&gt;=$AF$119,$C102=1)),0,IF(JE102&lt;=60,JK102,60/JC$4*JC$7)),IF(AND($F102=2,$G102=1),JK102,0)))))</f>
        <v>0</v>
      </c>
      <c r="JN102" s="57" t="str">
        <f t="shared" si="593"/>
        <v/>
      </c>
      <c r="JO102" s="57" t="str">
        <f t="shared" si="594"/>
        <v/>
      </c>
      <c r="JP102" s="713">
        <f>'org. Düngung 22'!BX101</f>
        <v>0</v>
      </c>
      <c r="JQ102" s="57"/>
      <c r="JR102" s="57"/>
      <c r="JS102" s="57">
        <f t="shared" si="595"/>
        <v>0</v>
      </c>
      <c r="JT102" s="57">
        <f t="shared" si="766"/>
        <v>0</v>
      </c>
      <c r="JU102" s="57">
        <f t="shared" si="767"/>
        <v>0</v>
      </c>
      <c r="JV102" s="57">
        <f t="shared" si="768"/>
        <v>0</v>
      </c>
      <c r="JW102" s="57">
        <f t="shared" si="769"/>
        <v>0</v>
      </c>
      <c r="JX102" s="1029">
        <f t="shared" si="596"/>
        <v>0</v>
      </c>
      <c r="JY102" s="57">
        <f t="shared" si="597"/>
        <v>0</v>
      </c>
      <c r="JZ102" s="171" t="str">
        <f t="shared" si="598"/>
        <v/>
      </c>
      <c r="KA102" s="57">
        <f t="shared" si="770"/>
        <v>0</v>
      </c>
      <c r="KB102" s="57">
        <f>IF(OR(AND(JP$6=1,$L102=0),AND(JP$6=2,$K102=2,$G102=1)),0,IF(AND(JR$9=2,(OR($F102&gt;1,$K102=1,AND($L102=80,OR($N102=1,AND($N102=2,'#BerechnungDBE'!$AL93&gt;0)))))),IF(JP$4&gt;=$AD$126,0,JZ102),IF(JR$9=3,IF(OR(JP$4&gt;=$AD$127,AND($G102=1,$J102=2,JP$6=2),AND(JP$6=1,$N102&lt;&gt;1)),0,IF(JT102&lt;=120,JZ102,IF(JP$4&lt;$AD$124,IF($F102=1,60/JR$4*JR$6,60/JR$4*JR$7),IF($F102=1,120/JR$4*JR$6,120/JR$4*JR$7)))),IF(OR($F102=3,$G102=2),IF(OR(AND(JP$4&gt;=$AD$119,$C102=2),AND(JP$4&gt;=$AF$119,$C102=1)),0,IF(JT102&lt;=60,JZ102,60/JR$4*JR$7)),IF(AND($F102=2,$G102=1),JZ102,0)))))</f>
        <v>0</v>
      </c>
      <c r="KC102" s="57" t="str">
        <f t="shared" si="599"/>
        <v/>
      </c>
      <c r="KD102" s="57" t="str">
        <f t="shared" si="600"/>
        <v/>
      </c>
      <c r="KE102" s="713">
        <f>'org. Düngung 22'!CB101</f>
        <v>0</v>
      </c>
      <c r="KF102" s="57"/>
      <c r="KG102" s="57"/>
      <c r="KH102" s="57">
        <f t="shared" si="601"/>
        <v>0</v>
      </c>
      <c r="KI102" s="57">
        <f t="shared" si="771"/>
        <v>0</v>
      </c>
      <c r="KJ102" s="57">
        <f t="shared" si="772"/>
        <v>0</v>
      </c>
      <c r="KK102" s="57">
        <f t="shared" si="773"/>
        <v>0</v>
      </c>
      <c r="KL102" s="57">
        <f t="shared" si="774"/>
        <v>0</v>
      </c>
      <c r="KM102" s="1029">
        <f t="shared" si="602"/>
        <v>0</v>
      </c>
      <c r="KN102" s="57">
        <f t="shared" si="603"/>
        <v>0</v>
      </c>
      <c r="KO102" s="171" t="str">
        <f t="shared" si="604"/>
        <v/>
      </c>
      <c r="KP102" s="57">
        <f t="shared" si="775"/>
        <v>0</v>
      </c>
      <c r="KQ102" s="57">
        <f>IF(OR(AND(KE$6=1,$L102=0),AND(KE$6=2,$K102=2,$G102=1)),0,IF(AND(KG$9=2,(OR($F102&gt;1,$K102=1,AND($L102=80,OR($N102=1,AND($N102=2,'#BerechnungDBE'!$AL93&gt;0)))))),IF(KE$4&gt;=$AD$126,0,KO102),IF(KG$9=3,IF(OR(KE$4&gt;=$AD$127,AND($G102=1,$J102=2,KE$6=2),AND(KE$6=1,$N102&lt;&gt;1)),0,IF(KI102&lt;=120,KO102,IF(KE$4&lt;$AD$124,IF($F102=1,60/KG$4*KG$6,60/KG$4*KG$7),IF($F102=1,120/KG$4*KG$6,120/KG$4*KG$7)))),IF(OR($F102=3,$G102=2),IF(OR(AND(KE$4&gt;=$AD$119,$C102=2),AND(KE$4&gt;=$AF$119,$C102=1)),0,IF(KI102&lt;=60,KO102,60/KG$4*KG$7)),IF(AND($F102=2,$G102=1),KO102,0)))))</f>
        <v>0</v>
      </c>
      <c r="KR102" s="57" t="str">
        <f t="shared" si="605"/>
        <v/>
      </c>
      <c r="KS102" s="57" t="str">
        <f t="shared" si="606"/>
        <v/>
      </c>
      <c r="KT102" s="713">
        <f>'org. Düngung 22'!CF101</f>
        <v>0</v>
      </c>
      <c r="KU102" s="57"/>
      <c r="KV102" s="57"/>
      <c r="KW102" s="57">
        <f t="shared" si="607"/>
        <v>0</v>
      </c>
      <c r="KX102" s="57">
        <f t="shared" si="776"/>
        <v>0</v>
      </c>
      <c r="KY102" s="57">
        <f t="shared" si="777"/>
        <v>0</v>
      </c>
      <c r="KZ102" s="57">
        <f t="shared" si="778"/>
        <v>0</v>
      </c>
      <c r="LA102" s="57">
        <f t="shared" si="779"/>
        <v>0</v>
      </c>
      <c r="LB102" s="1029">
        <f t="shared" si="608"/>
        <v>0</v>
      </c>
      <c r="LC102" s="57">
        <f t="shared" si="609"/>
        <v>0</v>
      </c>
      <c r="LD102" s="171" t="str">
        <f t="shared" si="610"/>
        <v/>
      </c>
      <c r="LE102" s="57">
        <f t="shared" si="780"/>
        <v>0</v>
      </c>
      <c r="LF102" s="57">
        <f>IF(OR(AND(KT$6=1,$L102=0),AND(KT$6=2,$K102=2,$G102=1)),0,IF(AND(KV$9=2,(OR($F102&gt;1,$K102=1,AND($L102=80,OR($N102=1,AND($N102=2,'#BerechnungDBE'!$AL93&gt;0)))))),IF(KT$4&gt;=$AD$126,0,LD102),IF(KV$9=3,IF(OR(KT$4&gt;=$AD$127,AND($G102=1,$J102=2,KT$6=2),AND(KT$6=1,$N102&lt;&gt;1)),0,IF(KX102&lt;=120,LD102,IF(KT$4&lt;$AD$124,IF($F102=1,60/KV$4*KV$6,60/KV$4*KV$7),IF($F102=1,120/KV$4*KV$6,120/KV$4*KV$7)))),IF(OR($F102=3,$G102=2),IF(OR(AND(KT$4&gt;=$AD$119,$C102=2),AND(KT$4&gt;=$AF$119,$C102=1)),0,IF(KX102&lt;=60,LD102,60/KV$4*KV$7)),IF(AND($F102=2,$G102=1),LD102,0)))))</f>
        <v>0</v>
      </c>
      <c r="LG102" s="57" t="str">
        <f t="shared" si="611"/>
        <v/>
      </c>
      <c r="LH102" s="57" t="str">
        <f t="shared" si="612"/>
        <v/>
      </c>
      <c r="LI102" s="713">
        <f>'org. Düngung 22'!CJ101</f>
        <v>0</v>
      </c>
      <c r="LJ102" s="57"/>
      <c r="LK102" s="57"/>
      <c r="LL102" s="57">
        <f t="shared" si="613"/>
        <v>0</v>
      </c>
      <c r="LM102" s="57">
        <f t="shared" si="781"/>
        <v>0</v>
      </c>
      <c r="LN102" s="57">
        <f t="shared" si="782"/>
        <v>0</v>
      </c>
      <c r="LO102" s="57">
        <f t="shared" si="783"/>
        <v>0</v>
      </c>
      <c r="LP102" s="57">
        <f t="shared" si="784"/>
        <v>0</v>
      </c>
      <c r="LQ102" s="1029">
        <f t="shared" si="614"/>
        <v>0</v>
      </c>
      <c r="LR102" s="57">
        <f t="shared" si="615"/>
        <v>0</v>
      </c>
      <c r="LS102" s="171" t="str">
        <f t="shared" si="616"/>
        <v/>
      </c>
      <c r="LT102" s="57">
        <f t="shared" si="785"/>
        <v>0</v>
      </c>
      <c r="LU102" s="57">
        <f>IF(OR(AND(LI$6=1,$L102=0),AND(LI$6=2,$K102=2,$G102=1)),0,IF(AND(LK$9=2,(OR($F102&gt;1,$K102=1,AND($L102=80,OR($N102=1,AND($N102=2,'#BerechnungDBE'!$AL93&gt;0)))))),IF(LI$4&gt;=$AD$126,0,LS102),IF(LK$9=3,IF(OR(LI$4&gt;=$AD$127,AND($G102=1,$J102=2,LI$6=2),AND(LI$6=1,$N102&lt;&gt;1)),0,IF(LM102&lt;=120,LS102,IF(LI$4&lt;$AD$124,IF($F102=1,60/LK$4*LK$6,60/LK$4*LK$7),IF($F102=1,120/LK$4*LK$6,120/LK$4*LK$7)))),IF(OR($F102=3,$G102=2),IF(OR(AND(LI$4&gt;=$AD$119,$C102=2),AND(LI$4&gt;=$AF$119,$C102=1)),0,IF(LM102&lt;=60,LS102,60/LK$4*LK$7)),IF(AND($F102=2,$G102=1),LS102,0)))))</f>
        <v>0</v>
      </c>
      <c r="LV102" s="57" t="str">
        <f t="shared" si="617"/>
        <v/>
      </c>
      <c r="LW102" s="57" t="str">
        <f t="shared" si="618"/>
        <v/>
      </c>
      <c r="LX102" s="713">
        <f>'org. Düngung 22'!CN101</f>
        <v>0</v>
      </c>
      <c r="LY102" s="57"/>
      <c r="LZ102" s="57"/>
      <c r="MA102" s="57">
        <f t="shared" si="619"/>
        <v>0</v>
      </c>
      <c r="MB102" s="57">
        <f t="shared" si="786"/>
        <v>0</v>
      </c>
      <c r="MC102" s="57">
        <f t="shared" si="787"/>
        <v>0</v>
      </c>
      <c r="MD102" s="57">
        <f t="shared" si="788"/>
        <v>0</v>
      </c>
      <c r="ME102" s="57">
        <f t="shared" si="789"/>
        <v>0</v>
      </c>
      <c r="MF102" s="1029">
        <f t="shared" si="620"/>
        <v>0</v>
      </c>
      <c r="MG102" s="57">
        <f t="shared" si="621"/>
        <v>0</v>
      </c>
      <c r="MH102" s="171" t="str">
        <f t="shared" si="622"/>
        <v/>
      </c>
      <c r="MI102" s="57">
        <f t="shared" si="790"/>
        <v>0</v>
      </c>
      <c r="MJ102" s="57">
        <f>IF(OR(AND(LX$6=1,$L102=0),AND(LX$6=2,$K102=2,$G102=1)),0,IF(AND(LZ$9=2,(OR($F102&gt;1,$K102=1,AND($L102=80,OR($N102=1,AND($N102=2,'#BerechnungDBE'!$AL93&gt;0)))))),IF(LX$4&gt;=$AD$126,0,MH102),IF(LZ$9=3,IF(OR(LX$4&gt;=$AD$127,AND($G102=1,$J102=2,LX$6=2),AND(LX$6=1,$N102&lt;&gt;1)),0,IF(MB102&lt;=120,MH102,IF(LX$4&lt;$AD$124,IF($F102=1,60/LZ$4*LZ$6,60/LZ$4*LZ$7),IF($F102=1,120/LZ$4*LZ$6,120/LZ$4*LZ$7)))),IF(OR($F102=3,$G102=2),IF(OR(AND(LX$4&gt;=$AD$119,$C102=2),AND(LX$4&gt;=$AF$119,$C102=1)),0,IF(MB102&lt;=60,MH102,60/LZ$4*LZ$7)),IF(AND($F102=2,$G102=1),MH102,0)))))</f>
        <v>0</v>
      </c>
      <c r="MK102" s="57" t="str">
        <f t="shared" si="623"/>
        <v/>
      </c>
      <c r="ML102" s="57" t="str">
        <f t="shared" si="624"/>
        <v/>
      </c>
      <c r="MM102" s="713">
        <f>'org. Düngung 22'!CR101</f>
        <v>0</v>
      </c>
      <c r="MN102" s="57"/>
      <c r="MO102" s="57"/>
      <c r="MP102" s="57">
        <f t="shared" si="625"/>
        <v>0</v>
      </c>
      <c r="MQ102" s="57">
        <f t="shared" si="791"/>
        <v>0</v>
      </c>
      <c r="MR102" s="57">
        <f t="shared" si="792"/>
        <v>0</v>
      </c>
      <c r="MS102" s="57">
        <f t="shared" si="793"/>
        <v>0</v>
      </c>
      <c r="MT102" s="57">
        <f t="shared" si="794"/>
        <v>0</v>
      </c>
      <c r="MU102" s="1029">
        <f t="shared" si="626"/>
        <v>0</v>
      </c>
      <c r="MV102" s="57">
        <f t="shared" si="627"/>
        <v>0</v>
      </c>
      <c r="MW102" s="171" t="str">
        <f t="shared" si="628"/>
        <v/>
      </c>
      <c r="MX102" s="57">
        <f t="shared" si="795"/>
        <v>0</v>
      </c>
      <c r="MY102" s="57">
        <f>IF(OR(AND(MM$6=1,$L102=0),AND(MM$6=2,$K102=2,$G102=1)),0,IF(AND(MO$9=2,(OR($F102&gt;1,$K102=1,AND($L102=80,OR($N102=1,AND($N102=2,'#BerechnungDBE'!$AL93&gt;0)))))),IF(MM$4&gt;=$AD$126,0,MW102),IF(MO$9=3,IF(OR(MM$4&gt;=$AD$127,AND($G102=1,$J102=2,MM$6=2),AND(MM$6=1,$N102&lt;&gt;1)),0,IF(MQ102&lt;=120,MW102,IF(MM$4&lt;$AD$124,IF($F102=1,60/MO$4*MO$6,60/MO$4*MO$7),IF($F102=1,120/MO$4*MO$6,120/MO$4*MO$7)))),IF(OR($F102=3,$G102=2),IF(OR(AND(MM$4&gt;=$AD$119,$C102=2),AND(MM$4&gt;=$AF$119,$C102=1)),0,IF(MQ102&lt;=60,MW102,60/MO$4*MO$7)),IF(AND($F102=2,$G102=1),MW102,0)))))</f>
        <v>0</v>
      </c>
      <c r="MZ102" s="57" t="str">
        <f t="shared" si="629"/>
        <v/>
      </c>
      <c r="NA102" s="57" t="str">
        <f t="shared" si="630"/>
        <v/>
      </c>
      <c r="NB102" s="713">
        <f>'org. Düngung 22'!CV101</f>
        <v>0</v>
      </c>
      <c r="NC102" s="57"/>
      <c r="ND102" s="57"/>
      <c r="NE102" s="57">
        <f t="shared" si="631"/>
        <v>0</v>
      </c>
      <c r="NF102" s="57">
        <f t="shared" si="796"/>
        <v>0</v>
      </c>
      <c r="NG102" s="57">
        <f t="shared" si="797"/>
        <v>0</v>
      </c>
      <c r="NH102" s="57">
        <f t="shared" si="798"/>
        <v>0</v>
      </c>
      <c r="NI102" s="57">
        <f t="shared" si="799"/>
        <v>0</v>
      </c>
      <c r="NJ102" s="1029">
        <f t="shared" si="632"/>
        <v>0</v>
      </c>
      <c r="NK102" s="57">
        <f t="shared" si="633"/>
        <v>0</v>
      </c>
      <c r="NL102" s="171" t="str">
        <f t="shared" si="634"/>
        <v/>
      </c>
      <c r="NM102" s="57">
        <f t="shared" si="800"/>
        <v>0</v>
      </c>
      <c r="NN102" s="57">
        <f>IF(OR(AND(NB$6=1,$L102=0),AND(NB$6=2,$K102=2,$G102=1)),0,IF(AND(ND$9=2,(OR($F102&gt;1,$K102=1,AND($L102=80,OR($N102=1,AND($N102=2,'#BerechnungDBE'!$AL93&gt;0)))))),IF(NB$4&gt;=$AD$126,0,NL102),IF(ND$9=3,IF(OR(NB$4&gt;=$AD$127,AND($G102=1,$J102=2,NB$6=2),AND(NB$6=1,$N102&lt;&gt;1)),0,IF(NF102&lt;=120,NL102,IF(NB$4&lt;$AD$124,IF($F102=1,60/ND$4*ND$6,60/ND$4*ND$7),IF($F102=1,120/ND$4*ND$6,120/ND$4*ND$7)))),IF(OR($F102=3,$G102=2),IF(OR(AND(NB$4&gt;=$AD$119,$C102=2),AND(NB$4&gt;=$AF$119,$C102=1)),0,IF(NF102&lt;=60,NL102,60/ND$4*ND$7)),IF(AND($F102=2,$G102=1),NL102,0)))))</f>
        <v>0</v>
      </c>
      <c r="NO102" s="57" t="str">
        <f t="shared" si="635"/>
        <v/>
      </c>
      <c r="NP102" s="57" t="str">
        <f t="shared" si="636"/>
        <v/>
      </c>
      <c r="NQ102" s="713">
        <f>'org. Düngung 22'!CZ101</f>
        <v>0</v>
      </c>
      <c r="NR102" s="57"/>
      <c r="NS102" s="57"/>
      <c r="NT102" s="57">
        <f t="shared" si="637"/>
        <v>0</v>
      </c>
      <c r="NU102" s="57">
        <f t="shared" si="801"/>
        <v>0</v>
      </c>
      <c r="NV102" s="57">
        <f t="shared" si="802"/>
        <v>0</v>
      </c>
      <c r="NW102" s="57">
        <f t="shared" si="803"/>
        <v>0</v>
      </c>
      <c r="NX102" s="57">
        <f t="shared" si="804"/>
        <v>0</v>
      </c>
      <c r="NY102" s="1029">
        <f t="shared" si="638"/>
        <v>0</v>
      </c>
      <c r="NZ102" s="57">
        <f t="shared" si="639"/>
        <v>0</v>
      </c>
      <c r="OA102" s="171" t="str">
        <f t="shared" si="640"/>
        <v/>
      </c>
      <c r="OB102" s="57">
        <f t="shared" si="805"/>
        <v>0</v>
      </c>
      <c r="OC102" s="57">
        <f>IF(OR(AND(NQ$6=1,$L102=0),AND(NQ$6=2,$K102=2,$G102=1)),0,IF(AND(NS$9=2,(OR($F102&gt;1,$K102=1,AND($L102=80,OR($N102=1,AND($N102=2,'#BerechnungDBE'!$AL93&gt;0)))))),IF(NQ$4&gt;=$AD$126,0,OA102),IF(NS$9=3,IF(OR(NQ$4&gt;=$AD$127,AND($G102=1,$J102=2,NQ$6=2),AND(NQ$6=1,$N102&lt;&gt;1)),0,IF(NU102&lt;=120,OA102,IF(NQ$4&lt;$AD$124,IF($F102=1,60/NS$4*NS$6,60/NS$4*NS$7),IF($F102=1,120/NS$4*NS$6,120/NS$4*NS$7)))),IF(OR($F102=3,$G102=2),IF(OR(AND(NQ$4&gt;=$AD$119,$C102=2),AND(NQ$4&gt;=$AF$119,$C102=1)),0,IF(NU102&lt;=60,OA102,60/NS$4*NS$7)),IF(AND($F102=2,$G102=1),OA102,0)))))</f>
        <v>0</v>
      </c>
      <c r="OD102" s="57" t="str">
        <f t="shared" si="641"/>
        <v/>
      </c>
      <c r="OE102" s="57" t="str">
        <f t="shared" si="642"/>
        <v/>
      </c>
      <c r="OF102" s="713">
        <f>'org. Düngung 22'!DD101</f>
        <v>0</v>
      </c>
      <c r="OG102" s="57"/>
      <c r="OH102" s="57"/>
      <c r="OI102" s="57">
        <f t="shared" si="643"/>
        <v>0</v>
      </c>
      <c r="OJ102" s="57">
        <f t="shared" si="806"/>
        <v>0</v>
      </c>
      <c r="OK102" s="57">
        <f t="shared" si="807"/>
        <v>0</v>
      </c>
      <c r="OL102" s="57">
        <f t="shared" si="808"/>
        <v>0</v>
      </c>
      <c r="OM102" s="57">
        <f t="shared" si="809"/>
        <v>0</v>
      </c>
      <c r="ON102" s="1029">
        <f t="shared" si="644"/>
        <v>0</v>
      </c>
      <c r="OO102" s="57">
        <f t="shared" si="645"/>
        <v>0</v>
      </c>
      <c r="OP102" s="171" t="str">
        <f t="shared" si="646"/>
        <v/>
      </c>
      <c r="OQ102" s="57">
        <f t="shared" si="810"/>
        <v>0</v>
      </c>
      <c r="OR102" s="57">
        <f>IF(OR(AND(OF$6=1,$L102=0),AND(OF$6=2,$K102=2,$G102=1)),0,IF(AND(OH$9=2,(OR($F102&gt;1,$K102=1,AND($L102=80,OR($N102=1,AND($N102=2,'#BerechnungDBE'!$AL93&gt;0)))))),IF(OF$4&gt;=$AD$126,0,OP102),IF(OH$9=3,IF(OR(OF$4&gt;=$AD$127,AND($G102=1,$J102=2,OF$6=2),AND(OF$6=1,$N102&lt;&gt;1)),0,IF(OJ102&lt;=120,OP102,IF(OF$4&lt;$AD$124,IF($F102=1,60/OH$4*OH$6,60/OH$4*OH$7),IF($F102=1,120/OH$4*OH$6,120/OH$4*OH$7)))),IF(OR($F102=3,$G102=2),IF(OR(AND(OF$4&gt;=$AD$119,$C102=2),AND(OF$4&gt;=$AF$119,$C102=1)),0,IF(OJ102&lt;=60,OP102,60/OH$4*OH$7)),IF(AND($F102=2,$G102=1),OP102,0)))))</f>
        <v>0</v>
      </c>
      <c r="OS102" s="57" t="str">
        <f t="shared" si="647"/>
        <v/>
      </c>
      <c r="OT102" s="57" t="str">
        <f t="shared" si="648"/>
        <v/>
      </c>
      <c r="OU102" s="713">
        <f>'org. Düngung 22'!DH101</f>
        <v>0</v>
      </c>
      <c r="OV102" s="57"/>
      <c r="OW102" s="57"/>
      <c r="OX102" s="57">
        <f t="shared" si="649"/>
        <v>0</v>
      </c>
      <c r="OY102" s="57">
        <f t="shared" si="811"/>
        <v>0</v>
      </c>
      <c r="OZ102" s="57">
        <f t="shared" si="812"/>
        <v>0</v>
      </c>
      <c r="PA102" s="57">
        <f t="shared" si="813"/>
        <v>0</v>
      </c>
      <c r="PB102" s="57">
        <f t="shared" si="814"/>
        <v>0</v>
      </c>
      <c r="PC102" s="1029">
        <f t="shared" si="650"/>
        <v>0</v>
      </c>
      <c r="PD102" s="57">
        <f t="shared" si="651"/>
        <v>0</v>
      </c>
      <c r="PE102" s="171" t="str">
        <f t="shared" si="652"/>
        <v/>
      </c>
      <c r="PF102" s="57">
        <f t="shared" si="815"/>
        <v>0</v>
      </c>
      <c r="PG102" s="57">
        <f>IF(OR(AND(OU$6=1,$L102=0),AND(OU$6=2,$K102=2,$G102=1)),0,IF(AND(OW$9=2,(OR($F102&gt;1,$K102=1,AND($L102=80,OR($N102=1,AND($N102=2,'#BerechnungDBE'!$AL93&gt;0)))))),IF(OU$4&gt;=$AD$126,0,PE102),IF(OW$9=3,IF(OR(OU$4&gt;=$AD$127,AND($G102=1,$J102=2,OU$6=2),AND(OU$6=1,$N102&lt;&gt;1)),0,IF(OY102&lt;=120,PE102,IF(OU$4&lt;$AD$124,IF($F102=1,60/OW$4*OW$6,60/OW$4*OW$7),IF($F102=1,120/OW$4*OW$6,120/OW$4*OW$7)))),IF(OR($F102=3,$G102=2),IF(OR(AND(OU$4&gt;=$AD$119,$C102=2),AND(OU$4&gt;=$AF$119,$C102=1)),0,IF(OY102&lt;=60,PE102,60/OW$4*OW$7)),IF(AND($F102=2,$G102=1),PE102,0)))))</f>
        <v>0</v>
      </c>
      <c r="PH102" s="57" t="str">
        <f t="shared" si="653"/>
        <v/>
      </c>
      <c r="PI102" s="57" t="str">
        <f t="shared" si="654"/>
        <v/>
      </c>
      <c r="PJ102" s="713">
        <f>'org. Düngung 22'!DL101</f>
        <v>0</v>
      </c>
      <c r="PK102" s="57"/>
      <c r="PL102" s="57"/>
      <c r="PM102" s="57">
        <f t="shared" si="655"/>
        <v>0</v>
      </c>
      <c r="PN102" s="57">
        <f t="shared" si="816"/>
        <v>0</v>
      </c>
      <c r="PO102" s="57">
        <f t="shared" si="817"/>
        <v>0</v>
      </c>
      <c r="PP102" s="57">
        <f t="shared" si="818"/>
        <v>0</v>
      </c>
      <c r="PQ102" s="57">
        <f t="shared" si="819"/>
        <v>0</v>
      </c>
      <c r="PR102" s="1029">
        <f t="shared" si="656"/>
        <v>0</v>
      </c>
      <c r="PS102" s="57">
        <f t="shared" si="657"/>
        <v>0</v>
      </c>
      <c r="PT102" s="171" t="str">
        <f t="shared" si="658"/>
        <v/>
      </c>
      <c r="PU102" s="57">
        <f t="shared" si="820"/>
        <v>0</v>
      </c>
      <c r="PV102" s="57">
        <f>IF(OR(AND(PJ$6=1,$L102=0),AND(PJ$6=2,$K102=2,$G102=1)),0,IF(AND(PL$9=2,(OR($F102&gt;1,$K102=1,AND($L102=80,OR($N102=1,AND($N102=2,'#BerechnungDBE'!$AL93&gt;0)))))),IF(PJ$4&gt;=$AD$126,0,PT102),IF(PL$9=3,IF(OR(PJ$4&gt;=$AD$127,AND($G102=1,$J102=2,PJ$6=2),AND(PJ$6=1,$N102&lt;&gt;1)),0,IF(PN102&lt;=120,PT102,IF(PJ$4&lt;$AD$124,IF($F102=1,60/PL$4*PL$6,60/PL$4*PL$7),IF($F102=1,120/PL$4*PL$6,120/PL$4*PL$7)))),IF(OR($F102=3,$G102=2),IF(OR(AND(PJ$4&gt;=$AD$119,$C102=2),AND(PJ$4&gt;=$AF$119,$C102=1)),0,IF(PN102&lt;=60,PT102,60/PL$4*PL$7)),IF(AND($F102=2,$G102=1),PT102,0)))))</f>
        <v>0</v>
      </c>
      <c r="PW102" s="57" t="str">
        <f t="shared" si="659"/>
        <v/>
      </c>
      <c r="PX102" s="57" t="str">
        <f t="shared" si="660"/>
        <v/>
      </c>
      <c r="PY102" s="713">
        <f>'org. Düngung 22'!DP101</f>
        <v>0</v>
      </c>
      <c r="PZ102" s="57"/>
      <c r="QA102" s="57"/>
      <c r="QB102" s="57">
        <f t="shared" si="661"/>
        <v>0</v>
      </c>
      <c r="QC102" s="57">
        <f t="shared" si="821"/>
        <v>0</v>
      </c>
      <c r="QD102" s="57">
        <f t="shared" si="822"/>
        <v>0</v>
      </c>
      <c r="QE102" s="57">
        <f t="shared" si="823"/>
        <v>0</v>
      </c>
      <c r="QF102" s="57">
        <f t="shared" si="824"/>
        <v>0</v>
      </c>
      <c r="QG102" s="1029">
        <f t="shared" si="662"/>
        <v>0</v>
      </c>
      <c r="QH102" s="57">
        <f t="shared" si="663"/>
        <v>0</v>
      </c>
      <c r="QI102" s="171" t="str">
        <f t="shared" si="664"/>
        <v/>
      </c>
      <c r="QJ102" s="57">
        <f t="shared" si="825"/>
        <v>0</v>
      </c>
      <c r="QK102" s="57">
        <f>IF(OR(AND(PY$6=1,$L102=0),AND(PY$6=2,$K102=2,$G102=1)),0,IF(AND(QA$9=2,(OR($F102&gt;1,$K102=1,AND($L102=80,OR($N102=1,AND($N102=2,'#BerechnungDBE'!$AL93&gt;0)))))),IF(PY$4&gt;=$AD$126,0,QI102),IF(QA$9=3,IF(OR(PY$4&gt;=$AD$127,AND($G102=1,$J102=2,PY$6=2),AND(PY$6=1,$N102&lt;&gt;1)),0,IF(QC102&lt;=120,QI102,IF(PY$4&lt;$AD$124,IF($F102=1,60/QA$4*QA$6,60/QA$4*QA$7),IF($F102=1,120/QA$4*QA$6,120/QA$4*QA$7)))),IF(OR($F102=3,$G102=2),IF(OR(AND(PY$4&gt;=$AD$119,$C102=2),AND(PY$4&gt;=$AF$119,$C102=1)),0,IF(QC102&lt;=60,QI102,60/QA$4*QA$7)),IF(AND($F102=2,$G102=1),QI102,0)))))</f>
        <v>0</v>
      </c>
      <c r="QL102" s="57" t="str">
        <f t="shared" si="665"/>
        <v/>
      </c>
      <c r="QM102" s="57" t="str">
        <f t="shared" si="666"/>
        <v/>
      </c>
      <c r="QN102" s="713">
        <f>'org. Düngung 22'!DT101</f>
        <v>0</v>
      </c>
      <c r="QO102" s="57"/>
      <c r="QP102" s="57"/>
      <c r="QQ102" s="57">
        <f t="shared" si="667"/>
        <v>0</v>
      </c>
      <c r="QR102" s="57">
        <f t="shared" si="826"/>
        <v>0</v>
      </c>
      <c r="QS102" s="57">
        <f t="shared" si="827"/>
        <v>0</v>
      </c>
      <c r="QT102" s="57">
        <f t="shared" si="828"/>
        <v>0</v>
      </c>
      <c r="QU102" s="57">
        <f t="shared" si="829"/>
        <v>0</v>
      </c>
      <c r="QV102" s="1029">
        <f t="shared" si="668"/>
        <v>0</v>
      </c>
      <c r="QW102" s="57">
        <f t="shared" si="669"/>
        <v>0</v>
      </c>
      <c r="QX102" s="171" t="str">
        <f t="shared" si="670"/>
        <v/>
      </c>
      <c r="QY102" s="57">
        <f t="shared" si="830"/>
        <v>0</v>
      </c>
      <c r="QZ102" s="57">
        <f>IF(OR(AND(QN$6=1,$L102=0),AND(QN$6=2,$K102=2,$G102=1)),0,IF(AND(QP$9=2,(OR($F102&gt;1,$K102=1,AND($L102=80,OR($N102=1,AND($N102=2,'#BerechnungDBE'!$AL93&gt;0)))))),IF(QN$4&gt;=$AD$126,0,QX102),IF(QP$9=3,IF(OR(QN$4&gt;=$AD$127,AND($G102=1,$J102=2,QN$6=2),AND(QN$6=1,$N102&lt;&gt;1)),0,IF(QR102&lt;=120,QX102,IF(QN$4&lt;$AD$124,IF($F102=1,60/QP$4*QP$6,60/QP$4*QP$7),IF($F102=1,120/QP$4*QP$6,120/QP$4*QP$7)))),IF(OR($F102=3,$G102=2),IF(OR(AND(QN$4&gt;=$AD$119,$C102=2),AND(QN$4&gt;=$AF$119,$C102=1)),0,IF(QR102&lt;=60,QX102,60/QP$4*QP$7)),IF(AND($F102=2,$G102=1),QX102,0)))))</f>
        <v>0</v>
      </c>
      <c r="RA102" s="57" t="str">
        <f t="shared" si="671"/>
        <v/>
      </c>
      <c r="RB102" s="57" t="str">
        <f t="shared" si="672"/>
        <v/>
      </c>
      <c r="RC102" s="713">
        <f>'org. Düngung 22'!DX101</f>
        <v>0</v>
      </c>
      <c r="RD102" s="57"/>
      <c r="RE102" s="57"/>
      <c r="RF102" s="57">
        <f t="shared" si="673"/>
        <v>0</v>
      </c>
      <c r="RG102" s="57">
        <f t="shared" si="831"/>
        <v>0</v>
      </c>
      <c r="RH102" s="57">
        <f t="shared" si="832"/>
        <v>0</v>
      </c>
      <c r="RI102" s="57">
        <f t="shared" si="833"/>
        <v>0</v>
      </c>
      <c r="RJ102" s="57">
        <f t="shared" si="834"/>
        <v>0</v>
      </c>
      <c r="RK102" s="1029">
        <f t="shared" si="674"/>
        <v>0</v>
      </c>
      <c r="RL102" s="57">
        <f t="shared" si="675"/>
        <v>0</v>
      </c>
      <c r="RM102" s="171" t="str">
        <f t="shared" si="676"/>
        <v/>
      </c>
      <c r="RN102" s="57">
        <f t="shared" si="835"/>
        <v>0</v>
      </c>
      <c r="RO102" s="57">
        <f>IF(OR(AND(RC$6=1,$L102=0),AND(RC$6=2,$K102=2,$G102=1)),0,IF(AND(RE$9=2,(OR($F102&gt;1,$K102=1,AND($L102=80,OR($N102=1,AND($N102=2,'#BerechnungDBE'!$AL93&gt;0)))))),IF(RC$4&gt;=$AD$126,0,RM102),IF(RE$9=3,IF(OR(RC$4&gt;=$AD$127,AND($G102=1,$J102=2,RC$6=2),AND(RC$6=1,$N102&lt;&gt;1)),0,IF(RG102&lt;=120,RM102,IF(RC$4&lt;$AD$124,IF($F102=1,60/RE$4*RE$6,60/RE$4*RE$7),IF($F102=1,120/RE$4*RE$6,120/RE$4*RE$7)))),IF(OR($F102=3,$G102=2),IF(OR(AND(RC$4&gt;=$AD$119,$C102=2),AND(RC$4&gt;=$AF$119,$C102=1)),0,IF(RG102&lt;=60,RM102,60/RE$4*RE$7)),IF(AND($F102=2,$G102=1),RM102,0)))))</f>
        <v>0</v>
      </c>
      <c r="RP102" s="57" t="str">
        <f t="shared" si="677"/>
        <v/>
      </c>
      <c r="RQ102" s="57" t="str">
        <f t="shared" si="678"/>
        <v/>
      </c>
      <c r="RS102" s="57" t="str">
        <f t="shared" si="836"/>
        <v/>
      </c>
      <c r="RT102" s="57" t="str">
        <f t="shared" si="679"/>
        <v/>
      </c>
      <c r="RU102" s="57" t="str">
        <f t="shared" si="680"/>
        <v/>
      </c>
      <c r="RV102" s="57" t="str">
        <f>IF(Z102&gt;'#BerechnungDBE'!BM93,$RV$9,"")</f>
        <v/>
      </c>
      <c r="RW102" s="57" t="str">
        <f>IF(AND(L102=70,AE102&gt;'#BerechnungDBE'!CQ93),$RW$9,"")</f>
        <v/>
      </c>
      <c r="RX102" s="57" t="str">
        <f>IF(OR('org. Düngung 22'!G101="--",'org. Düngung 22'!G101&lt;=170,'org. Düngung 22'!G101=""),"",$RX$9)</f>
        <v/>
      </c>
      <c r="RY102" s="57" t="str">
        <f>IF('org. Düngung 22'!K101&gt;120,'#orgDung'!$RY$9,"")</f>
        <v/>
      </c>
      <c r="RZ102" s="57" t="str">
        <f>IF('#BerechnungDBE'!P93&lt;4,"",IF(AND('#BerechnungDBE'!BZ93&gt;0,T102&gt;0),'#orgDung'!$RZ$9,""))</f>
        <v/>
      </c>
      <c r="SA102" s="57" t="str">
        <f t="shared" si="681"/>
        <v/>
      </c>
    </row>
    <row r="103" spans="1:495" s="875" customFormat="1" x14ac:dyDescent="0.2">
      <c r="A103" s="875">
        <f>'Flächen u. Kulturen'!A99</f>
        <v>90</v>
      </c>
      <c r="B103" s="367">
        <f>'#BerechnungDBE'!L94</f>
        <v>0</v>
      </c>
      <c r="C103" s="875">
        <f>'#BerechnungDBE'!R94</f>
        <v>1</v>
      </c>
      <c r="D103" s="875">
        <f>'#BerechnungDBE'!T94</f>
        <v>2</v>
      </c>
      <c r="E103" s="875" t="str">
        <f>'Flächen u. Kulturen'!E99</f>
        <v>x</v>
      </c>
      <c r="F103" s="52">
        <f>'#BerechnungDBE'!N94</f>
        <v>1</v>
      </c>
      <c r="G103" s="52">
        <f>'#BerechnungDBE'!O94</f>
        <v>1</v>
      </c>
      <c r="H103" s="875">
        <f>IF('Flächen u. Kulturen'!P99="",0,VLOOKUP('Flächen u. Kulturen'!P99,Kulturen[[HF]:[Berechnungsgruppe]],'#Frucht'!$H$1,FALSE))</f>
        <v>0</v>
      </c>
      <c r="I103" s="875">
        <f>IF('Flächen u. Kulturen'!J99="",0,VLOOKUP('Flächen u. Kulturen'!J99,Kulturen[[HF]:[Berechnungsgruppe]],'#Frucht'!$G$1,FALSE))</f>
        <v>90</v>
      </c>
      <c r="J103" s="505">
        <f t="shared" si="682"/>
        <v>2</v>
      </c>
      <c r="K103" s="505">
        <f>IF('Flächen u. Kulturen'!P99="",0,IF(VLOOKUP('Flächen u. Kulturen'!P99,Kulturen[[HF]:[Saat Winterungen]],'#Frucht'!$P$1,FALSE)&gt;0,1,2))</f>
        <v>2</v>
      </c>
      <c r="L103" s="875">
        <f>'#BerechnungDBE'!AF94</f>
        <v>0</v>
      </c>
      <c r="M103" s="875">
        <f>IF('Flächen u. Kulturen'!L99="",0,VLOOKUP('Flächen u. Kulturen'!L99,Nebenkultur[[Nebenkultur]:[Legum. Zwischenfr.]],'#Zweitfr'!$K$1,FALSE))</f>
        <v>0</v>
      </c>
      <c r="N103" s="875">
        <f>'#BerechnungDBE'!AG94</f>
        <v>0</v>
      </c>
      <c r="P103" s="57">
        <f t="shared" si="489"/>
        <v>0</v>
      </c>
      <c r="Q103" s="57">
        <f t="shared" si="490"/>
        <v>0</v>
      </c>
      <c r="R103" s="875">
        <f t="shared" si="491"/>
        <v>0</v>
      </c>
      <c r="S103" s="938" t="str">
        <f t="shared" si="683"/>
        <v/>
      </c>
      <c r="T103" s="875">
        <f t="shared" si="492"/>
        <v>0</v>
      </c>
      <c r="U103" s="875">
        <f t="shared" si="493"/>
        <v>0</v>
      </c>
      <c r="V103" s="875">
        <f t="shared" si="494"/>
        <v>0</v>
      </c>
      <c r="W103" s="875">
        <f t="shared" si="495"/>
        <v>0</v>
      </c>
      <c r="X103" s="875">
        <f t="shared" si="496"/>
        <v>0</v>
      </c>
      <c r="Y103" s="875">
        <f t="shared" si="837"/>
        <v>0</v>
      </c>
      <c r="Z103" s="875">
        <f t="shared" si="838"/>
        <v>0</v>
      </c>
      <c r="AA103" s="910">
        <f t="shared" si="497"/>
        <v>0</v>
      </c>
      <c r="AB103" s="57">
        <f t="shared" si="839"/>
        <v>0</v>
      </c>
      <c r="AC103" s="875">
        <f t="shared" si="498"/>
        <v>0</v>
      </c>
      <c r="AD103" s="875">
        <f t="shared" si="499"/>
        <v>0</v>
      </c>
      <c r="AE103" s="875">
        <f t="shared" si="500"/>
        <v>0</v>
      </c>
      <c r="AF103" s="875">
        <f t="shared" si="840"/>
        <v>0</v>
      </c>
      <c r="AG103" s="875">
        <f>'org. Düngung 22'!J102</f>
        <v>0</v>
      </c>
      <c r="AH103" s="875">
        <f>'org. Düngung 22'!K102</f>
        <v>0</v>
      </c>
      <c r="AJ103" s="713">
        <f>'org. Düngung 22'!L102</f>
        <v>0</v>
      </c>
      <c r="AK103" s="57"/>
      <c r="AL103" s="57"/>
      <c r="AM103" s="57">
        <f t="shared" si="684"/>
        <v>0</v>
      </c>
      <c r="AN103" s="57">
        <f t="shared" si="685"/>
        <v>0</v>
      </c>
      <c r="AO103" s="57">
        <f t="shared" si="686"/>
        <v>0</v>
      </c>
      <c r="AP103" s="57">
        <f t="shared" si="687"/>
        <v>0</v>
      </c>
      <c r="AQ103" s="57">
        <f t="shared" si="688"/>
        <v>0</v>
      </c>
      <c r="AR103" s="1029">
        <f t="shared" si="501"/>
        <v>0</v>
      </c>
      <c r="AS103" s="57">
        <f t="shared" si="502"/>
        <v>0</v>
      </c>
      <c r="AT103" s="171" t="str">
        <f t="shared" si="503"/>
        <v/>
      </c>
      <c r="AU103" s="57">
        <f t="shared" si="689"/>
        <v>0</v>
      </c>
      <c r="AV103" s="57">
        <f>IF(OR(AND(AJ$6=1,$L103=0),AND(AJ$6=2,$K103=2,$G103=1)),0,IF(AND(AL$9=2,(OR($F103&gt;1,$K103=1,AND($L103=80,OR($N103=1,AND($N103=2,'#BerechnungDBE'!$AL94&gt;0)))))),IF(AJ$4&gt;=$AD$126,0,AT103),IF(AL$9=3,IF(OR(AJ$4&gt;=$AD$127,AND($G103=1,$J103=2,AJ$6=2),AND(AJ$6=1,$N103&lt;&gt;1)),0,IF(AN103&lt;=120,AT103,IF(AJ$4&lt;$AD$124,IF($F103=1,60/AL$4*AL$6,60/AL$4*AL$7),IF($F103=1,120/AL$4*AL$6,120/AL$4*AL$7)))),IF(OR($F103=3,$G103=2),IF(OR(AND(AJ$4&gt;=$AD$119,$C103=2),AND(AJ$4&gt;=$AF$119,$C103=1)),0,IF(AN103&lt;=60,AT103,60/AL$4*AL$7)),IF(AND($F103=2,$G103=1),AT103,0)))))</f>
        <v>0</v>
      </c>
      <c r="AW103" s="57" t="str">
        <f t="shared" si="690"/>
        <v/>
      </c>
      <c r="AX103" s="57" t="str">
        <f t="shared" si="504"/>
        <v/>
      </c>
      <c r="AY103" s="713">
        <f>'org. Düngung 22'!P102</f>
        <v>0</v>
      </c>
      <c r="AZ103" s="57"/>
      <c r="BA103" s="57"/>
      <c r="BB103" s="57">
        <f t="shared" si="505"/>
        <v>0</v>
      </c>
      <c r="BC103" s="57">
        <f t="shared" si="691"/>
        <v>0</v>
      </c>
      <c r="BD103" s="57">
        <f t="shared" si="692"/>
        <v>0</v>
      </c>
      <c r="BE103" s="57">
        <f t="shared" si="693"/>
        <v>0</v>
      </c>
      <c r="BF103" s="57">
        <f t="shared" si="694"/>
        <v>0</v>
      </c>
      <c r="BG103" s="1029">
        <f t="shared" si="506"/>
        <v>0</v>
      </c>
      <c r="BH103" s="57">
        <f t="shared" si="507"/>
        <v>0</v>
      </c>
      <c r="BI103" s="171" t="str">
        <f t="shared" si="508"/>
        <v/>
      </c>
      <c r="BJ103" s="57">
        <f t="shared" si="695"/>
        <v>0</v>
      </c>
      <c r="BK103" s="57">
        <f>IF(OR(AND(AY$6=1,$L103=0),AND(AY$6=2,$K103=2,$G103=1)),0,IF(AND(BA$9=2,(OR($F103&gt;1,$K103=1,AND($L103=80,OR($N103=1,AND($N103=2,'#BerechnungDBE'!$AL94&gt;0)))))),IF(AY$4&gt;=$AD$126,0,BI103),IF(BA$9=3,IF(OR(AY$4&gt;=$AD$127,AND($G103=1,$J103=2,AY$6=2),AND(AY$6=1,$N103&lt;&gt;1)),0,IF(BC103&lt;=120,BI103,IF(AY$4&lt;$AD$124,IF($F103=1,60/BA$4*BA$6,60/BA$4*BA$7),IF($F103=1,120/BA$4*BA$6,120/BA$4*BA$7)))),IF(OR($F103=3,$G103=2),IF(OR(AND(AY$4&gt;=$AD$119,$C103=2),AND(AY$4&gt;=$AF$119,$C103=1)),0,IF(BC103&lt;=60,BI103,60/BA$4*BA$7)),IF(AND($F103=2,$G103=1),BI103,0)))))</f>
        <v>0</v>
      </c>
      <c r="BL103" s="57" t="str">
        <f t="shared" si="509"/>
        <v/>
      </c>
      <c r="BM103" s="57" t="str">
        <f t="shared" si="510"/>
        <v/>
      </c>
      <c r="BN103" s="713">
        <f>'org. Düngung 22'!T102</f>
        <v>0</v>
      </c>
      <c r="BO103" s="57"/>
      <c r="BP103" s="57"/>
      <c r="BQ103" s="57">
        <f t="shared" si="511"/>
        <v>0</v>
      </c>
      <c r="BR103" s="57">
        <f t="shared" si="696"/>
        <v>0</v>
      </c>
      <c r="BS103" s="57">
        <f t="shared" si="697"/>
        <v>0</v>
      </c>
      <c r="BT103" s="57">
        <f t="shared" si="698"/>
        <v>0</v>
      </c>
      <c r="BU103" s="57">
        <f t="shared" si="699"/>
        <v>0</v>
      </c>
      <c r="BV103" s="1029">
        <f t="shared" si="512"/>
        <v>0</v>
      </c>
      <c r="BW103" s="57">
        <f t="shared" si="513"/>
        <v>0</v>
      </c>
      <c r="BX103" s="171" t="str">
        <f t="shared" si="514"/>
        <v/>
      </c>
      <c r="BY103" s="57">
        <f t="shared" si="700"/>
        <v>0</v>
      </c>
      <c r="BZ103" s="57">
        <f>IF(OR(AND(BN$6=1,$L103=0),AND(BN$6=2,$K103=2,$G103=1)),0,IF(AND(BP$9=2,(OR($F103&gt;1,$K103=1,AND($L103=80,OR($N103=1,AND($N103=2,'#BerechnungDBE'!$AL94&gt;0)))))),IF(BN$4&gt;=$AD$126,0,BX103),IF(BP$9=3,IF(OR(BN$4&gt;=$AD$127,AND($G103=1,$J103=2,BN$6=2),AND(BN$6=1,$N103&lt;&gt;1)),0,IF(BR103&lt;=120,BX103,IF(BN$4&lt;$AD$124,IF($F103=1,60/BP$4*BP$6,60/BP$4*BP$7),IF($F103=1,120/BP$4*BP$6,120/BP$4*BP$7)))),IF(OR($F103=3,$G103=2),IF(OR(AND(BN$4&gt;=$AD$119,$C103=2),AND(BN$4&gt;=$AF$119,$C103=1)),0,IF(BR103&lt;=60,BX103,60/BP$4*BP$7)),IF(AND($F103=2,$G103=1),BX103,0)))))</f>
        <v>0</v>
      </c>
      <c r="CA103" s="57" t="str">
        <f t="shared" si="515"/>
        <v/>
      </c>
      <c r="CB103" s="57" t="str">
        <f t="shared" si="516"/>
        <v/>
      </c>
      <c r="CC103" s="713">
        <f>'org. Düngung 22'!X102</f>
        <v>0</v>
      </c>
      <c r="CD103" s="57"/>
      <c r="CE103" s="57"/>
      <c r="CF103" s="57">
        <f t="shared" si="517"/>
        <v>0</v>
      </c>
      <c r="CG103" s="57">
        <f t="shared" si="701"/>
        <v>0</v>
      </c>
      <c r="CH103" s="57">
        <f t="shared" si="702"/>
        <v>0</v>
      </c>
      <c r="CI103" s="57">
        <f t="shared" si="703"/>
        <v>0</v>
      </c>
      <c r="CJ103" s="57">
        <f t="shared" si="704"/>
        <v>0</v>
      </c>
      <c r="CK103" s="1029">
        <f t="shared" si="518"/>
        <v>0</v>
      </c>
      <c r="CL103" s="57">
        <f t="shared" si="519"/>
        <v>0</v>
      </c>
      <c r="CM103" s="171" t="str">
        <f t="shared" si="520"/>
        <v/>
      </c>
      <c r="CN103" s="57">
        <f t="shared" si="705"/>
        <v>0</v>
      </c>
      <c r="CO103" s="57">
        <f>IF(OR(AND(CC$6=1,$L103=0),AND(CC$6=2,$K103=2,$G103=1)),0,IF(AND(CE$9=2,(OR($F103&gt;1,$K103=1,AND($L103=80,OR($N103=1,AND($N103=2,'#BerechnungDBE'!$AL94&gt;0)))))),IF(CC$4&gt;=$AD$126,0,CM103),IF(CE$9=3,IF(OR(CC$4&gt;=$AD$127,AND($G103=1,$J103=2,CC$6=2),AND(CC$6=1,$N103&lt;&gt;1)),0,IF(CG103&lt;=120,CM103,IF(CC$4&lt;$AD$124,IF($F103=1,60/CE$4*CE$6,60/CE$4*CE$7),IF($F103=1,120/CE$4*CE$6,120/CE$4*CE$7)))),IF(OR($F103=3,$G103=2),IF(OR(AND(CC$4&gt;=$AD$119,$C103=2),AND(CC$4&gt;=$AF$119,$C103=1)),0,IF(CG103&lt;=60,CM103,60/CE$4*CE$7)),IF(AND($F103=2,$G103=1),CM103,0)))))</f>
        <v>0</v>
      </c>
      <c r="CP103" s="57" t="str">
        <f t="shared" si="521"/>
        <v/>
      </c>
      <c r="CQ103" s="57" t="str">
        <f t="shared" si="522"/>
        <v/>
      </c>
      <c r="CR103" s="713">
        <f>'org. Düngung 22'!AB102</f>
        <v>0</v>
      </c>
      <c r="CS103" s="57"/>
      <c r="CT103" s="57"/>
      <c r="CU103" s="57">
        <f t="shared" si="523"/>
        <v>0</v>
      </c>
      <c r="CV103" s="57">
        <f t="shared" si="706"/>
        <v>0</v>
      </c>
      <c r="CW103" s="57">
        <f t="shared" si="707"/>
        <v>0</v>
      </c>
      <c r="CX103" s="57">
        <f t="shared" si="708"/>
        <v>0</v>
      </c>
      <c r="CY103" s="57">
        <f t="shared" si="709"/>
        <v>0</v>
      </c>
      <c r="CZ103" s="1029">
        <f t="shared" si="524"/>
        <v>0</v>
      </c>
      <c r="DA103" s="57">
        <f t="shared" si="525"/>
        <v>0</v>
      </c>
      <c r="DB103" s="171" t="str">
        <f t="shared" si="526"/>
        <v/>
      </c>
      <c r="DC103" s="57">
        <f t="shared" si="710"/>
        <v>0</v>
      </c>
      <c r="DD103" s="57">
        <f>IF(OR(AND(CR$6=1,$L103=0),AND(CR$6=2,$K103=2,$G103=1)),0,IF(AND(CT$9=2,(OR($F103&gt;1,$K103=1,AND($L103=80,OR($N103=1,AND($N103=2,'#BerechnungDBE'!$AL94&gt;0)))))),IF(CR$4&gt;=$AD$126,0,DB103),IF(CT$9=3,IF(OR(CR$4&gt;=$AD$127,AND($G103=1,$J103=2,CR$6=2),AND(CR$6=1,$N103&lt;&gt;1)),0,IF(CV103&lt;=120,DB103,IF(CR$4&lt;$AD$124,IF($F103=1,60/CT$4*CT$6,60/CT$4*CT$7),IF($F103=1,120/CT$4*CT$6,120/CT$4*CT$7)))),IF(OR($F103=3,$G103=2),IF(OR(AND(CR$4&gt;=$AD$119,$C103=2),AND(CR$4&gt;=$AF$119,$C103=1)),0,IF(CV103&lt;=60,DB103,60/CT$4*CT$7)),IF(AND($F103=2,$G103=1),DB103,0)))))</f>
        <v>0</v>
      </c>
      <c r="DE103" s="57" t="str">
        <f t="shared" si="527"/>
        <v/>
      </c>
      <c r="DF103" s="57" t="str">
        <f t="shared" si="528"/>
        <v/>
      </c>
      <c r="DG103" s="713">
        <f>'org. Düngung 22'!AF102</f>
        <v>0</v>
      </c>
      <c r="DH103" s="57"/>
      <c r="DI103" s="57"/>
      <c r="DJ103" s="57">
        <f t="shared" si="529"/>
        <v>0</v>
      </c>
      <c r="DK103" s="57">
        <f t="shared" si="711"/>
        <v>0</v>
      </c>
      <c r="DL103" s="57">
        <f t="shared" si="712"/>
        <v>0</v>
      </c>
      <c r="DM103" s="57">
        <f t="shared" si="713"/>
        <v>0</v>
      </c>
      <c r="DN103" s="57">
        <f t="shared" si="714"/>
        <v>0</v>
      </c>
      <c r="DO103" s="1029">
        <f t="shared" si="530"/>
        <v>0</v>
      </c>
      <c r="DP103" s="57">
        <f t="shared" si="531"/>
        <v>0</v>
      </c>
      <c r="DQ103" s="171" t="str">
        <f t="shared" si="532"/>
        <v/>
      </c>
      <c r="DR103" s="57">
        <f t="shared" si="715"/>
        <v>0</v>
      </c>
      <c r="DS103" s="57">
        <f>IF(OR(AND(DG$6=1,$L103=0),AND(DG$6=2,$K103=2,$G103=1)),0,IF(AND(DI$9=2,(OR($F103&gt;1,$K103=1,AND($L103=80,OR($N103=1,AND($N103=2,'#BerechnungDBE'!$AL94&gt;0)))))),IF(DG$4&gt;=$AD$126,0,DQ103),IF(DI$9=3,IF(OR(DG$4&gt;=$AD$127,AND($G103=1,$J103=2,DG$6=2),AND(DG$6=1,$N103&lt;&gt;1)),0,IF(DK103&lt;=120,DQ103,IF(DG$4&lt;$AD$124,IF($F103=1,60/DI$4*DI$6,60/DI$4*DI$7),IF($F103=1,120/DI$4*DI$6,120/DI$4*DI$7)))),IF(OR($F103=3,$G103=2),IF(OR(AND(DG$4&gt;=$AD$119,$C103=2),AND(DG$4&gt;=$AF$119,$C103=1)),0,IF(DK103&lt;=60,DQ103,60/DI$4*DI$7)),IF(AND($F103=2,$G103=1),DQ103,0)))))</f>
        <v>0</v>
      </c>
      <c r="DT103" s="57" t="str">
        <f t="shared" si="533"/>
        <v/>
      </c>
      <c r="DU103" s="57" t="str">
        <f t="shared" si="534"/>
        <v/>
      </c>
      <c r="DV103" s="713">
        <f>'org. Düngung 22'!AJ102</f>
        <v>0</v>
      </c>
      <c r="DW103" s="57"/>
      <c r="DX103" s="57"/>
      <c r="DY103" s="57">
        <f t="shared" si="535"/>
        <v>0</v>
      </c>
      <c r="DZ103" s="57">
        <f t="shared" si="716"/>
        <v>0</v>
      </c>
      <c r="EA103" s="57">
        <f t="shared" si="717"/>
        <v>0</v>
      </c>
      <c r="EB103" s="57">
        <f t="shared" si="718"/>
        <v>0</v>
      </c>
      <c r="EC103" s="57">
        <f t="shared" si="719"/>
        <v>0</v>
      </c>
      <c r="ED103" s="1029">
        <f t="shared" si="536"/>
        <v>0</v>
      </c>
      <c r="EE103" s="57">
        <f t="shared" si="537"/>
        <v>0</v>
      </c>
      <c r="EF103" s="171" t="str">
        <f t="shared" si="538"/>
        <v/>
      </c>
      <c r="EG103" s="57">
        <f t="shared" si="720"/>
        <v>0</v>
      </c>
      <c r="EH103" s="57">
        <f>IF(OR(AND(DV$6=1,$L103=0),AND(DV$6=2,$K103=2,$G103=1)),0,IF(AND(DX$9=2,(OR($F103&gt;1,$K103=1,AND($L103=80,OR($N103=1,AND($N103=2,'#BerechnungDBE'!$AL94&gt;0)))))),IF(DV$4&gt;=$AD$126,0,EF103),IF(DX$9=3,IF(OR(DV$4&gt;=$AD$127,AND($G103=1,$J103=2,DV$6=2),AND(DV$6=1,$N103&lt;&gt;1)),0,IF(DZ103&lt;=120,EF103,IF(DV$4&lt;$AD$124,IF($F103=1,60/DX$4*DX$6,60/DX$4*DX$7),IF($F103=1,120/DX$4*DX$6,120/DX$4*DX$7)))),IF(OR($F103=3,$G103=2),IF(OR(AND(DV$4&gt;=$AD$119,$C103=2),AND(DV$4&gt;=$AF$119,$C103=1)),0,IF(DZ103&lt;=60,EF103,60/DX$4*DX$7)),IF(AND($F103=2,$G103=1),EF103,0)))))</f>
        <v>0</v>
      </c>
      <c r="EI103" s="57" t="str">
        <f t="shared" si="539"/>
        <v/>
      </c>
      <c r="EJ103" s="57" t="str">
        <f t="shared" si="540"/>
        <v/>
      </c>
      <c r="EK103" s="713">
        <f>'org. Düngung 22'!AN102</f>
        <v>0</v>
      </c>
      <c r="EL103" s="57"/>
      <c r="EM103" s="57"/>
      <c r="EN103" s="57">
        <f t="shared" si="541"/>
        <v>0</v>
      </c>
      <c r="EO103" s="57">
        <f t="shared" si="721"/>
        <v>0</v>
      </c>
      <c r="EP103" s="57">
        <f t="shared" si="722"/>
        <v>0</v>
      </c>
      <c r="EQ103" s="57">
        <f t="shared" si="723"/>
        <v>0</v>
      </c>
      <c r="ER103" s="57">
        <f t="shared" si="724"/>
        <v>0</v>
      </c>
      <c r="ES103" s="1029">
        <f t="shared" si="542"/>
        <v>0</v>
      </c>
      <c r="ET103" s="57">
        <f t="shared" si="543"/>
        <v>0</v>
      </c>
      <c r="EU103" s="171" t="str">
        <f t="shared" si="544"/>
        <v/>
      </c>
      <c r="EV103" s="57">
        <f t="shared" si="725"/>
        <v>0</v>
      </c>
      <c r="EW103" s="57">
        <f>IF(OR(AND(EK$6=1,$L103=0),AND(EK$6=2,$K103=2,$G103=1)),0,IF(AND(EM$9=2,(OR($F103&gt;1,$K103=1,AND($L103=80,OR($N103=1,AND($N103=2,'#BerechnungDBE'!$AL94&gt;0)))))),IF(EK$4&gt;=$AD$126,0,EU103),IF(EM$9=3,IF(OR(EK$4&gt;=$AD$127,AND($G103=1,$J103=2,EK$6=2),AND(EK$6=1,$N103&lt;&gt;1)),0,IF(EO103&lt;=120,EU103,IF(EK$4&lt;$AD$124,IF($F103=1,60/EM$4*EM$6,60/EM$4*EM$7),IF($F103=1,120/EM$4*EM$6,120/EM$4*EM$7)))),IF(OR($F103=3,$G103=2),IF(OR(AND(EK$4&gt;=$AD$119,$C103=2),AND(EK$4&gt;=$AF$119,$C103=1)),0,IF(EO103&lt;=60,EU103,60/EM$4*EM$7)),IF(AND($F103=2,$G103=1),EU103,0)))))</f>
        <v>0</v>
      </c>
      <c r="EX103" s="57" t="str">
        <f t="shared" si="545"/>
        <v/>
      </c>
      <c r="EY103" s="57" t="str">
        <f t="shared" si="546"/>
        <v/>
      </c>
      <c r="EZ103" s="713">
        <f>'org. Düngung 22'!AR102</f>
        <v>0</v>
      </c>
      <c r="FA103" s="57"/>
      <c r="FB103" s="57"/>
      <c r="FC103" s="57">
        <f t="shared" si="547"/>
        <v>0</v>
      </c>
      <c r="FD103" s="57">
        <f t="shared" si="726"/>
        <v>0</v>
      </c>
      <c r="FE103" s="57">
        <f t="shared" si="727"/>
        <v>0</v>
      </c>
      <c r="FF103" s="57">
        <f t="shared" si="728"/>
        <v>0</v>
      </c>
      <c r="FG103" s="57">
        <f t="shared" si="729"/>
        <v>0</v>
      </c>
      <c r="FH103" s="1029">
        <f t="shared" si="548"/>
        <v>0</v>
      </c>
      <c r="FI103" s="57">
        <f t="shared" si="549"/>
        <v>0</v>
      </c>
      <c r="FJ103" s="171" t="str">
        <f t="shared" si="550"/>
        <v/>
      </c>
      <c r="FK103" s="57">
        <f t="shared" si="730"/>
        <v>0</v>
      </c>
      <c r="FL103" s="57">
        <f>IF(OR(AND(EZ$6=1,$L103=0),AND(EZ$6=2,$K103=2,$G103=1)),0,IF(AND(FB$9=2,(OR($F103&gt;1,$K103=1,AND($L103=80,OR($N103=1,AND($N103=2,'#BerechnungDBE'!$AL94&gt;0)))))),IF(EZ$4&gt;=$AD$126,0,FJ103),IF(FB$9=3,IF(OR(EZ$4&gt;=$AD$127,AND($G103=1,$J103=2,EZ$6=2),AND(EZ$6=1,$N103&lt;&gt;1)),0,IF(FD103&lt;=120,FJ103,IF(EZ$4&lt;$AD$124,IF($F103=1,60/FB$4*FB$6,60/FB$4*FB$7),IF($F103=1,120/FB$4*FB$6,120/FB$4*FB$7)))),IF(OR($F103=3,$G103=2),IF(OR(AND(EZ$4&gt;=$AD$119,$C103=2),AND(EZ$4&gt;=$AF$119,$C103=1)),0,IF(FD103&lt;=60,FJ103,60/FB$4*FB$7)),IF(AND($F103=2,$G103=1),FJ103,0)))))</f>
        <v>0</v>
      </c>
      <c r="FM103" s="57" t="str">
        <f t="shared" si="551"/>
        <v/>
      </c>
      <c r="FN103" s="57" t="str">
        <f t="shared" si="552"/>
        <v/>
      </c>
      <c r="FO103" s="713">
        <f>'org. Düngung 22'!AV102</f>
        <v>0</v>
      </c>
      <c r="FP103" s="57"/>
      <c r="FQ103" s="57"/>
      <c r="FR103" s="57">
        <f t="shared" si="553"/>
        <v>0</v>
      </c>
      <c r="FS103" s="57">
        <f t="shared" si="731"/>
        <v>0</v>
      </c>
      <c r="FT103" s="57">
        <f t="shared" si="732"/>
        <v>0</v>
      </c>
      <c r="FU103" s="57">
        <f t="shared" si="733"/>
        <v>0</v>
      </c>
      <c r="FV103" s="57">
        <f t="shared" si="734"/>
        <v>0</v>
      </c>
      <c r="FW103" s="1029">
        <f t="shared" si="554"/>
        <v>0</v>
      </c>
      <c r="FX103" s="57">
        <f t="shared" si="555"/>
        <v>0</v>
      </c>
      <c r="FY103" s="171" t="str">
        <f t="shared" si="556"/>
        <v/>
      </c>
      <c r="FZ103" s="57">
        <f t="shared" si="735"/>
        <v>0</v>
      </c>
      <c r="GA103" s="57">
        <f>IF(OR(AND(FO$6=1,$L103=0),AND(FO$6=2,$K103=2,$G103=1)),0,IF(AND(FQ$9=2,(OR($F103&gt;1,$K103=1,AND($L103=80,OR($N103=1,AND($N103=2,'#BerechnungDBE'!$AL94&gt;0)))))),IF(FO$4&gt;=$AD$126,0,FY103),IF(FQ$9=3,IF(OR(FO$4&gt;=$AD$127,AND($G103=1,$J103=2,FO$6=2),AND(FO$6=1,$N103&lt;&gt;1)),0,IF(FS103&lt;=120,FY103,IF(FO$4&lt;$AD$124,IF($F103=1,60/FQ$4*FQ$6,60/FQ$4*FQ$7),IF($F103=1,120/FQ$4*FQ$6,120/FQ$4*FQ$7)))),IF(OR($F103=3,$G103=2),IF(OR(AND(FO$4&gt;=$AD$119,$C103=2),AND(FO$4&gt;=$AF$119,$C103=1)),0,IF(FS103&lt;=60,FY103,60/FQ$4*FQ$7)),IF(AND($F103=2,$G103=1),FY103,0)))))</f>
        <v>0</v>
      </c>
      <c r="GB103" s="57" t="str">
        <f t="shared" si="557"/>
        <v/>
      </c>
      <c r="GC103" s="57" t="str">
        <f t="shared" si="558"/>
        <v/>
      </c>
      <c r="GD103" s="713">
        <f>'org. Düngung 22'!AZ102</f>
        <v>0</v>
      </c>
      <c r="GE103" s="57"/>
      <c r="GF103" s="57"/>
      <c r="GG103" s="57">
        <f t="shared" si="559"/>
        <v>0</v>
      </c>
      <c r="GH103" s="57">
        <f t="shared" si="736"/>
        <v>0</v>
      </c>
      <c r="GI103" s="57">
        <f t="shared" si="737"/>
        <v>0</v>
      </c>
      <c r="GJ103" s="57">
        <f t="shared" si="738"/>
        <v>0</v>
      </c>
      <c r="GK103" s="57">
        <f t="shared" si="739"/>
        <v>0</v>
      </c>
      <c r="GL103" s="1029">
        <f t="shared" si="560"/>
        <v>0</v>
      </c>
      <c r="GM103" s="57">
        <f t="shared" si="561"/>
        <v>0</v>
      </c>
      <c r="GN103" s="171" t="str">
        <f t="shared" si="562"/>
        <v/>
      </c>
      <c r="GO103" s="57">
        <f t="shared" si="740"/>
        <v>0</v>
      </c>
      <c r="GP103" s="57">
        <f>IF(OR(AND(GD$6=1,$L103=0),AND(GD$6=2,$K103=2,$G103=1)),0,IF(AND(GF$9=2,(OR($F103&gt;1,$K103=1,AND($L103=80,OR($N103=1,AND($N103=2,'#BerechnungDBE'!$AL94&gt;0)))))),IF(GD$4&gt;=$AD$126,0,GN103),IF(GF$9=3,IF(OR(GD$4&gt;=$AD$127,AND($G103=1,$J103=2,GD$6=2),AND(GD$6=1,$N103&lt;&gt;1)),0,IF(GH103&lt;=120,GN103,IF(GD$4&lt;$AD$124,IF($F103=1,60/GF$4*GF$6,60/GF$4*GF$7),IF($F103=1,120/GF$4*GF$6,120/GF$4*GF$7)))),IF(OR($F103=3,$G103=2),IF(OR(AND(GD$4&gt;=$AD$119,$C103=2),AND(GD$4&gt;=$AF$119,$C103=1)),0,IF(GH103&lt;=60,GN103,60/GF$4*GF$7)),IF(AND($F103=2,$G103=1),GN103,0)))))</f>
        <v>0</v>
      </c>
      <c r="GQ103" s="57" t="str">
        <f t="shared" si="563"/>
        <v/>
      </c>
      <c r="GR103" s="57" t="str">
        <f t="shared" si="564"/>
        <v/>
      </c>
      <c r="GS103" s="713">
        <f>'org. Düngung 22'!BD102</f>
        <v>0</v>
      </c>
      <c r="GT103" s="57"/>
      <c r="GU103" s="57"/>
      <c r="GV103" s="57">
        <f t="shared" si="565"/>
        <v>0</v>
      </c>
      <c r="GW103" s="57">
        <f t="shared" si="741"/>
        <v>0</v>
      </c>
      <c r="GX103" s="57">
        <f t="shared" si="742"/>
        <v>0</v>
      </c>
      <c r="GY103" s="57">
        <f t="shared" si="743"/>
        <v>0</v>
      </c>
      <c r="GZ103" s="57">
        <f t="shared" si="744"/>
        <v>0</v>
      </c>
      <c r="HA103" s="1029">
        <f t="shared" si="566"/>
        <v>0</v>
      </c>
      <c r="HB103" s="57">
        <f t="shared" si="567"/>
        <v>0</v>
      </c>
      <c r="HC103" s="171" t="str">
        <f t="shared" si="568"/>
        <v/>
      </c>
      <c r="HD103" s="57">
        <f t="shared" si="745"/>
        <v>0</v>
      </c>
      <c r="HE103" s="57">
        <f>IF(OR(AND(GS$6=1,$L103=0),AND(GS$6=2,$K103=2,$G103=1)),0,IF(AND(GU$9=2,(OR($F103&gt;1,$K103=1,AND($L103=80,OR($N103=1,AND($N103=2,'#BerechnungDBE'!$AL94&gt;0)))))),IF(GS$4&gt;=$AD$126,0,HC103),IF(GU$9=3,IF(OR(GS$4&gt;=$AD$127,AND($G103=1,$J103=2,GS$6=2),AND(GS$6=1,$N103&lt;&gt;1)),0,IF(GW103&lt;=120,HC103,IF(GS$4&lt;$AD$124,IF($F103=1,60/GU$4*GU$6,60/GU$4*GU$7),IF($F103=1,120/GU$4*GU$6,120/GU$4*GU$7)))),IF(OR($F103=3,$G103=2),IF(OR(AND(GS$4&gt;=$AD$119,$C103=2),AND(GS$4&gt;=$AF$119,$C103=1)),0,IF(GW103&lt;=60,HC103,60/GU$4*GU$7)),IF(AND($F103=2,$G103=1),HC103,0)))))</f>
        <v>0</v>
      </c>
      <c r="HF103" s="57" t="str">
        <f t="shared" si="569"/>
        <v/>
      </c>
      <c r="HG103" s="57" t="str">
        <f t="shared" si="570"/>
        <v/>
      </c>
      <c r="HH103" s="713">
        <f>'org. Düngung 22'!BH102</f>
        <v>0</v>
      </c>
      <c r="HI103" s="57"/>
      <c r="HJ103" s="57"/>
      <c r="HK103" s="57">
        <f t="shared" si="571"/>
        <v>0</v>
      </c>
      <c r="HL103" s="57">
        <f t="shared" si="746"/>
        <v>0</v>
      </c>
      <c r="HM103" s="57">
        <f t="shared" si="747"/>
        <v>0</v>
      </c>
      <c r="HN103" s="57">
        <f t="shared" si="748"/>
        <v>0</v>
      </c>
      <c r="HO103" s="57">
        <f t="shared" si="749"/>
        <v>0</v>
      </c>
      <c r="HP103" s="1029">
        <f t="shared" si="572"/>
        <v>0</v>
      </c>
      <c r="HQ103" s="57">
        <f t="shared" si="573"/>
        <v>0</v>
      </c>
      <c r="HR103" s="171" t="str">
        <f t="shared" si="574"/>
        <v/>
      </c>
      <c r="HS103" s="57">
        <f t="shared" si="750"/>
        <v>0</v>
      </c>
      <c r="HT103" s="57">
        <f>IF(OR(AND(HH$6=1,$L103=0),AND(HH$6=2,$K103=2,$G103=1)),0,IF(AND(HJ$9=2,(OR($F103&gt;1,$K103=1,AND($L103=80,OR($N103=1,AND($N103=2,'#BerechnungDBE'!$AL94&gt;0)))))),IF(HH$4&gt;=$AD$126,0,HR103),IF(HJ$9=3,IF(OR(HH$4&gt;=$AD$127,AND($G103=1,$J103=2,HH$6=2),AND(HH$6=1,$N103&lt;&gt;1)),0,IF(HL103&lt;=120,HR103,IF(HH$4&lt;$AD$124,IF($F103=1,60/HJ$4*HJ$6,60/HJ$4*HJ$7),IF($F103=1,120/HJ$4*HJ$6,120/HJ$4*HJ$7)))),IF(OR($F103=3,$G103=2),IF(OR(AND(HH$4&gt;=$AD$119,$C103=2),AND(HH$4&gt;=$AF$119,$C103=1)),0,IF(HL103&lt;=60,HR103,60/HJ$4*HJ$7)),IF(AND($F103=2,$G103=1),HR103,0)))))</f>
        <v>0</v>
      </c>
      <c r="HU103" s="57" t="str">
        <f t="shared" si="575"/>
        <v/>
      </c>
      <c r="HV103" s="57" t="str">
        <f t="shared" si="576"/>
        <v/>
      </c>
      <c r="HW103" s="713">
        <f>'org. Düngung 22'!BL102</f>
        <v>0</v>
      </c>
      <c r="HX103" s="57"/>
      <c r="HY103" s="57"/>
      <c r="HZ103" s="57">
        <f t="shared" si="577"/>
        <v>0</v>
      </c>
      <c r="IA103" s="57">
        <f t="shared" si="751"/>
        <v>0</v>
      </c>
      <c r="IB103" s="57">
        <f t="shared" si="752"/>
        <v>0</v>
      </c>
      <c r="IC103" s="57">
        <f t="shared" si="753"/>
        <v>0</v>
      </c>
      <c r="ID103" s="57">
        <f t="shared" si="754"/>
        <v>0</v>
      </c>
      <c r="IE103" s="1029">
        <f t="shared" si="578"/>
        <v>0</v>
      </c>
      <c r="IF103" s="57">
        <f t="shared" si="579"/>
        <v>0</v>
      </c>
      <c r="IG103" s="171" t="str">
        <f t="shared" si="580"/>
        <v/>
      </c>
      <c r="IH103" s="57">
        <f t="shared" si="755"/>
        <v>0</v>
      </c>
      <c r="II103" s="57">
        <f>IF(OR(AND(HW$6=1,$L103=0),AND(HW$6=2,$K103=2,$G103=1)),0,IF(AND(HY$9=2,(OR($F103&gt;1,$K103=1,AND($L103=80,OR($N103=1,AND($N103=2,'#BerechnungDBE'!$AL94&gt;0)))))),IF(HW$4&gt;=$AD$126,0,IG103),IF(HY$9=3,IF(OR(HW$4&gt;=$AD$127,AND($G103=1,$J103=2,HW$6=2),AND(HW$6=1,$N103&lt;&gt;1)),0,IF(IA103&lt;=120,IG103,IF(HW$4&lt;$AD$124,IF($F103=1,60/HY$4*HY$6,60/HY$4*HY$7),IF($F103=1,120/HY$4*HY$6,120/HY$4*HY$7)))),IF(OR($F103=3,$G103=2),IF(OR(AND(HW$4&gt;=$AD$119,$C103=2),AND(HW$4&gt;=$AF$119,$C103=1)),0,IF(IA103&lt;=60,IG103,60/HY$4*HY$7)),IF(AND($F103=2,$G103=1),IG103,0)))))</f>
        <v>0</v>
      </c>
      <c r="IJ103" s="57" t="str">
        <f t="shared" si="581"/>
        <v/>
      </c>
      <c r="IK103" s="57" t="str">
        <f t="shared" si="582"/>
        <v/>
      </c>
      <c r="IL103" s="713">
        <f>'org. Düngung 22'!BP102</f>
        <v>0</v>
      </c>
      <c r="IM103" s="57"/>
      <c r="IN103" s="57"/>
      <c r="IO103" s="57">
        <f t="shared" si="583"/>
        <v>0</v>
      </c>
      <c r="IP103" s="57">
        <f t="shared" si="756"/>
        <v>0</v>
      </c>
      <c r="IQ103" s="57">
        <f t="shared" si="757"/>
        <v>0</v>
      </c>
      <c r="IR103" s="57">
        <f t="shared" si="758"/>
        <v>0</v>
      </c>
      <c r="IS103" s="57">
        <f t="shared" si="759"/>
        <v>0</v>
      </c>
      <c r="IT103" s="1029">
        <f t="shared" si="584"/>
        <v>0</v>
      </c>
      <c r="IU103" s="57">
        <f t="shared" si="585"/>
        <v>0</v>
      </c>
      <c r="IV103" s="171" t="str">
        <f t="shared" si="586"/>
        <v/>
      </c>
      <c r="IW103" s="57">
        <f t="shared" si="760"/>
        <v>0</v>
      </c>
      <c r="IX103" s="57">
        <f>IF(OR(AND(IL$6=1,$L103=0),AND(IL$6=2,$K103=2,$G103=1)),0,IF(AND(IN$9=2,(OR($F103&gt;1,$K103=1,AND($L103=80,OR($N103=1,AND($N103=2,'#BerechnungDBE'!$AL94&gt;0)))))),IF(IL$4&gt;=$AD$126,0,IV103),IF(IN$9=3,IF(OR(IL$4&gt;=$AD$127,AND($G103=1,$J103=2,IL$6=2),AND(IL$6=1,$N103&lt;&gt;1)),0,IF(IP103&lt;=120,IV103,IF(IL$4&lt;$AD$124,IF($F103=1,60/IN$4*IN$6,60/IN$4*IN$7),IF($F103=1,120/IN$4*IN$6,120/IN$4*IN$7)))),IF(OR($F103=3,$G103=2),IF(OR(AND(IL$4&gt;=$AD$119,$C103=2),AND(IL$4&gt;=$AF$119,$C103=1)),0,IF(IP103&lt;=60,IV103,60/IN$4*IN$7)),IF(AND($F103=2,$G103=1),IV103,0)))))</f>
        <v>0</v>
      </c>
      <c r="IY103" s="57" t="str">
        <f t="shared" si="587"/>
        <v/>
      </c>
      <c r="IZ103" s="57" t="str">
        <f t="shared" si="588"/>
        <v/>
      </c>
      <c r="JA103" s="713">
        <f>'org. Düngung 22'!BT102</f>
        <v>0</v>
      </c>
      <c r="JB103" s="57"/>
      <c r="JC103" s="57"/>
      <c r="JD103" s="57">
        <f t="shared" si="589"/>
        <v>0</v>
      </c>
      <c r="JE103" s="57">
        <f t="shared" si="761"/>
        <v>0</v>
      </c>
      <c r="JF103" s="57">
        <f t="shared" si="762"/>
        <v>0</v>
      </c>
      <c r="JG103" s="57">
        <f t="shared" si="763"/>
        <v>0</v>
      </c>
      <c r="JH103" s="57">
        <f t="shared" si="764"/>
        <v>0</v>
      </c>
      <c r="JI103" s="1029">
        <f t="shared" si="590"/>
        <v>0</v>
      </c>
      <c r="JJ103" s="57">
        <f t="shared" si="591"/>
        <v>0</v>
      </c>
      <c r="JK103" s="171" t="str">
        <f t="shared" si="592"/>
        <v/>
      </c>
      <c r="JL103" s="57">
        <f t="shared" si="765"/>
        <v>0</v>
      </c>
      <c r="JM103" s="57">
        <f>IF(OR(AND(JA$6=1,$L103=0),AND(JA$6=2,$K103=2,$G103=1)),0,IF(AND(JC$9=2,(OR($F103&gt;1,$K103=1,AND($L103=80,OR($N103=1,AND($N103=2,'#BerechnungDBE'!$AL94&gt;0)))))),IF(JA$4&gt;=$AD$126,0,JK103),IF(JC$9=3,IF(OR(JA$4&gt;=$AD$127,AND($G103=1,$J103=2,JA$6=2),AND(JA$6=1,$N103&lt;&gt;1)),0,IF(JE103&lt;=120,JK103,IF(JA$4&lt;$AD$124,IF($F103=1,60/JC$4*JC$6,60/JC$4*JC$7),IF($F103=1,120/JC$4*JC$6,120/JC$4*JC$7)))),IF(OR($F103=3,$G103=2),IF(OR(AND(JA$4&gt;=$AD$119,$C103=2),AND(JA$4&gt;=$AF$119,$C103=1)),0,IF(JE103&lt;=60,JK103,60/JC$4*JC$7)),IF(AND($F103=2,$G103=1),JK103,0)))))</f>
        <v>0</v>
      </c>
      <c r="JN103" s="57" t="str">
        <f t="shared" si="593"/>
        <v/>
      </c>
      <c r="JO103" s="57" t="str">
        <f t="shared" si="594"/>
        <v/>
      </c>
      <c r="JP103" s="713">
        <f>'org. Düngung 22'!BX102</f>
        <v>0</v>
      </c>
      <c r="JQ103" s="57"/>
      <c r="JR103" s="57"/>
      <c r="JS103" s="57">
        <f t="shared" si="595"/>
        <v>0</v>
      </c>
      <c r="JT103" s="57">
        <f t="shared" si="766"/>
        <v>0</v>
      </c>
      <c r="JU103" s="57">
        <f t="shared" si="767"/>
        <v>0</v>
      </c>
      <c r="JV103" s="57">
        <f t="shared" si="768"/>
        <v>0</v>
      </c>
      <c r="JW103" s="57">
        <f t="shared" si="769"/>
        <v>0</v>
      </c>
      <c r="JX103" s="1029">
        <f t="shared" si="596"/>
        <v>0</v>
      </c>
      <c r="JY103" s="57">
        <f t="shared" si="597"/>
        <v>0</v>
      </c>
      <c r="JZ103" s="171" t="str">
        <f t="shared" si="598"/>
        <v/>
      </c>
      <c r="KA103" s="57">
        <f t="shared" si="770"/>
        <v>0</v>
      </c>
      <c r="KB103" s="57">
        <f>IF(OR(AND(JP$6=1,$L103=0),AND(JP$6=2,$K103=2,$G103=1)),0,IF(AND(JR$9=2,(OR($F103&gt;1,$K103=1,AND($L103=80,OR($N103=1,AND($N103=2,'#BerechnungDBE'!$AL94&gt;0)))))),IF(JP$4&gt;=$AD$126,0,JZ103),IF(JR$9=3,IF(OR(JP$4&gt;=$AD$127,AND($G103=1,$J103=2,JP$6=2),AND(JP$6=1,$N103&lt;&gt;1)),0,IF(JT103&lt;=120,JZ103,IF(JP$4&lt;$AD$124,IF($F103=1,60/JR$4*JR$6,60/JR$4*JR$7),IF($F103=1,120/JR$4*JR$6,120/JR$4*JR$7)))),IF(OR($F103=3,$G103=2),IF(OR(AND(JP$4&gt;=$AD$119,$C103=2),AND(JP$4&gt;=$AF$119,$C103=1)),0,IF(JT103&lt;=60,JZ103,60/JR$4*JR$7)),IF(AND($F103=2,$G103=1),JZ103,0)))))</f>
        <v>0</v>
      </c>
      <c r="KC103" s="57" t="str">
        <f t="shared" si="599"/>
        <v/>
      </c>
      <c r="KD103" s="57" t="str">
        <f t="shared" si="600"/>
        <v/>
      </c>
      <c r="KE103" s="713">
        <f>'org. Düngung 22'!CB102</f>
        <v>0</v>
      </c>
      <c r="KF103" s="57"/>
      <c r="KG103" s="57"/>
      <c r="KH103" s="57">
        <f t="shared" si="601"/>
        <v>0</v>
      </c>
      <c r="KI103" s="57">
        <f t="shared" si="771"/>
        <v>0</v>
      </c>
      <c r="KJ103" s="57">
        <f t="shared" si="772"/>
        <v>0</v>
      </c>
      <c r="KK103" s="57">
        <f t="shared" si="773"/>
        <v>0</v>
      </c>
      <c r="KL103" s="57">
        <f t="shared" si="774"/>
        <v>0</v>
      </c>
      <c r="KM103" s="1029">
        <f t="shared" si="602"/>
        <v>0</v>
      </c>
      <c r="KN103" s="57">
        <f t="shared" si="603"/>
        <v>0</v>
      </c>
      <c r="KO103" s="171" t="str">
        <f t="shared" si="604"/>
        <v/>
      </c>
      <c r="KP103" s="57">
        <f t="shared" si="775"/>
        <v>0</v>
      </c>
      <c r="KQ103" s="57">
        <f>IF(OR(AND(KE$6=1,$L103=0),AND(KE$6=2,$K103=2,$G103=1)),0,IF(AND(KG$9=2,(OR($F103&gt;1,$K103=1,AND($L103=80,OR($N103=1,AND($N103=2,'#BerechnungDBE'!$AL94&gt;0)))))),IF(KE$4&gt;=$AD$126,0,KO103),IF(KG$9=3,IF(OR(KE$4&gt;=$AD$127,AND($G103=1,$J103=2,KE$6=2),AND(KE$6=1,$N103&lt;&gt;1)),0,IF(KI103&lt;=120,KO103,IF(KE$4&lt;$AD$124,IF($F103=1,60/KG$4*KG$6,60/KG$4*KG$7),IF($F103=1,120/KG$4*KG$6,120/KG$4*KG$7)))),IF(OR($F103=3,$G103=2),IF(OR(AND(KE$4&gt;=$AD$119,$C103=2),AND(KE$4&gt;=$AF$119,$C103=1)),0,IF(KI103&lt;=60,KO103,60/KG$4*KG$7)),IF(AND($F103=2,$G103=1),KO103,0)))))</f>
        <v>0</v>
      </c>
      <c r="KR103" s="57" t="str">
        <f t="shared" si="605"/>
        <v/>
      </c>
      <c r="KS103" s="57" t="str">
        <f t="shared" si="606"/>
        <v/>
      </c>
      <c r="KT103" s="713">
        <f>'org. Düngung 22'!CF102</f>
        <v>0</v>
      </c>
      <c r="KU103" s="57"/>
      <c r="KV103" s="57"/>
      <c r="KW103" s="57">
        <f t="shared" si="607"/>
        <v>0</v>
      </c>
      <c r="KX103" s="57">
        <f t="shared" si="776"/>
        <v>0</v>
      </c>
      <c r="KY103" s="57">
        <f t="shared" si="777"/>
        <v>0</v>
      </c>
      <c r="KZ103" s="57">
        <f t="shared" si="778"/>
        <v>0</v>
      </c>
      <c r="LA103" s="57">
        <f t="shared" si="779"/>
        <v>0</v>
      </c>
      <c r="LB103" s="1029">
        <f t="shared" si="608"/>
        <v>0</v>
      </c>
      <c r="LC103" s="57">
        <f t="shared" si="609"/>
        <v>0</v>
      </c>
      <c r="LD103" s="171" t="str">
        <f t="shared" si="610"/>
        <v/>
      </c>
      <c r="LE103" s="57">
        <f t="shared" si="780"/>
        <v>0</v>
      </c>
      <c r="LF103" s="57">
        <f>IF(OR(AND(KT$6=1,$L103=0),AND(KT$6=2,$K103=2,$G103=1)),0,IF(AND(KV$9=2,(OR($F103&gt;1,$K103=1,AND($L103=80,OR($N103=1,AND($N103=2,'#BerechnungDBE'!$AL94&gt;0)))))),IF(KT$4&gt;=$AD$126,0,LD103),IF(KV$9=3,IF(OR(KT$4&gt;=$AD$127,AND($G103=1,$J103=2,KT$6=2),AND(KT$6=1,$N103&lt;&gt;1)),0,IF(KX103&lt;=120,LD103,IF(KT$4&lt;$AD$124,IF($F103=1,60/KV$4*KV$6,60/KV$4*KV$7),IF($F103=1,120/KV$4*KV$6,120/KV$4*KV$7)))),IF(OR($F103=3,$G103=2),IF(OR(AND(KT$4&gt;=$AD$119,$C103=2),AND(KT$4&gt;=$AF$119,$C103=1)),0,IF(KX103&lt;=60,LD103,60/KV$4*KV$7)),IF(AND($F103=2,$G103=1),LD103,0)))))</f>
        <v>0</v>
      </c>
      <c r="LG103" s="57" t="str">
        <f t="shared" si="611"/>
        <v/>
      </c>
      <c r="LH103" s="57" t="str">
        <f t="shared" si="612"/>
        <v/>
      </c>
      <c r="LI103" s="713">
        <f>'org. Düngung 22'!CJ102</f>
        <v>0</v>
      </c>
      <c r="LJ103" s="57"/>
      <c r="LK103" s="57"/>
      <c r="LL103" s="57">
        <f t="shared" si="613"/>
        <v>0</v>
      </c>
      <c r="LM103" s="57">
        <f t="shared" si="781"/>
        <v>0</v>
      </c>
      <c r="LN103" s="57">
        <f t="shared" si="782"/>
        <v>0</v>
      </c>
      <c r="LO103" s="57">
        <f t="shared" si="783"/>
        <v>0</v>
      </c>
      <c r="LP103" s="57">
        <f t="shared" si="784"/>
        <v>0</v>
      </c>
      <c r="LQ103" s="1029">
        <f t="shared" si="614"/>
        <v>0</v>
      </c>
      <c r="LR103" s="57">
        <f t="shared" si="615"/>
        <v>0</v>
      </c>
      <c r="LS103" s="171" t="str">
        <f t="shared" si="616"/>
        <v/>
      </c>
      <c r="LT103" s="57">
        <f t="shared" si="785"/>
        <v>0</v>
      </c>
      <c r="LU103" s="57">
        <f>IF(OR(AND(LI$6=1,$L103=0),AND(LI$6=2,$K103=2,$G103=1)),0,IF(AND(LK$9=2,(OR($F103&gt;1,$K103=1,AND($L103=80,OR($N103=1,AND($N103=2,'#BerechnungDBE'!$AL94&gt;0)))))),IF(LI$4&gt;=$AD$126,0,LS103),IF(LK$9=3,IF(OR(LI$4&gt;=$AD$127,AND($G103=1,$J103=2,LI$6=2),AND(LI$6=1,$N103&lt;&gt;1)),0,IF(LM103&lt;=120,LS103,IF(LI$4&lt;$AD$124,IF($F103=1,60/LK$4*LK$6,60/LK$4*LK$7),IF($F103=1,120/LK$4*LK$6,120/LK$4*LK$7)))),IF(OR($F103=3,$G103=2),IF(OR(AND(LI$4&gt;=$AD$119,$C103=2),AND(LI$4&gt;=$AF$119,$C103=1)),0,IF(LM103&lt;=60,LS103,60/LK$4*LK$7)),IF(AND($F103=2,$G103=1),LS103,0)))))</f>
        <v>0</v>
      </c>
      <c r="LV103" s="57" t="str">
        <f t="shared" si="617"/>
        <v/>
      </c>
      <c r="LW103" s="57" t="str">
        <f t="shared" si="618"/>
        <v/>
      </c>
      <c r="LX103" s="713">
        <f>'org. Düngung 22'!CN102</f>
        <v>0</v>
      </c>
      <c r="LY103" s="57"/>
      <c r="LZ103" s="57"/>
      <c r="MA103" s="57">
        <f t="shared" si="619"/>
        <v>0</v>
      </c>
      <c r="MB103" s="57">
        <f t="shared" si="786"/>
        <v>0</v>
      </c>
      <c r="MC103" s="57">
        <f t="shared" si="787"/>
        <v>0</v>
      </c>
      <c r="MD103" s="57">
        <f t="shared" si="788"/>
        <v>0</v>
      </c>
      <c r="ME103" s="57">
        <f t="shared" si="789"/>
        <v>0</v>
      </c>
      <c r="MF103" s="1029">
        <f t="shared" si="620"/>
        <v>0</v>
      </c>
      <c r="MG103" s="57">
        <f t="shared" si="621"/>
        <v>0</v>
      </c>
      <c r="MH103" s="171" t="str">
        <f t="shared" si="622"/>
        <v/>
      </c>
      <c r="MI103" s="57">
        <f t="shared" si="790"/>
        <v>0</v>
      </c>
      <c r="MJ103" s="57">
        <f>IF(OR(AND(LX$6=1,$L103=0),AND(LX$6=2,$K103=2,$G103=1)),0,IF(AND(LZ$9=2,(OR($F103&gt;1,$K103=1,AND($L103=80,OR($N103=1,AND($N103=2,'#BerechnungDBE'!$AL94&gt;0)))))),IF(LX$4&gt;=$AD$126,0,MH103),IF(LZ$9=3,IF(OR(LX$4&gt;=$AD$127,AND($G103=1,$J103=2,LX$6=2),AND(LX$6=1,$N103&lt;&gt;1)),0,IF(MB103&lt;=120,MH103,IF(LX$4&lt;$AD$124,IF($F103=1,60/LZ$4*LZ$6,60/LZ$4*LZ$7),IF($F103=1,120/LZ$4*LZ$6,120/LZ$4*LZ$7)))),IF(OR($F103=3,$G103=2),IF(OR(AND(LX$4&gt;=$AD$119,$C103=2),AND(LX$4&gt;=$AF$119,$C103=1)),0,IF(MB103&lt;=60,MH103,60/LZ$4*LZ$7)),IF(AND($F103=2,$G103=1),MH103,0)))))</f>
        <v>0</v>
      </c>
      <c r="MK103" s="57" t="str">
        <f t="shared" si="623"/>
        <v/>
      </c>
      <c r="ML103" s="57" t="str">
        <f t="shared" si="624"/>
        <v/>
      </c>
      <c r="MM103" s="713">
        <f>'org. Düngung 22'!CR102</f>
        <v>0</v>
      </c>
      <c r="MN103" s="57"/>
      <c r="MO103" s="57"/>
      <c r="MP103" s="57">
        <f t="shared" si="625"/>
        <v>0</v>
      </c>
      <c r="MQ103" s="57">
        <f t="shared" si="791"/>
        <v>0</v>
      </c>
      <c r="MR103" s="57">
        <f t="shared" si="792"/>
        <v>0</v>
      </c>
      <c r="MS103" s="57">
        <f t="shared" si="793"/>
        <v>0</v>
      </c>
      <c r="MT103" s="57">
        <f t="shared" si="794"/>
        <v>0</v>
      </c>
      <c r="MU103" s="1029">
        <f t="shared" si="626"/>
        <v>0</v>
      </c>
      <c r="MV103" s="57">
        <f t="shared" si="627"/>
        <v>0</v>
      </c>
      <c r="MW103" s="171" t="str">
        <f t="shared" si="628"/>
        <v/>
      </c>
      <c r="MX103" s="57">
        <f t="shared" si="795"/>
        <v>0</v>
      </c>
      <c r="MY103" s="57">
        <f>IF(OR(AND(MM$6=1,$L103=0),AND(MM$6=2,$K103=2,$G103=1)),0,IF(AND(MO$9=2,(OR($F103&gt;1,$K103=1,AND($L103=80,OR($N103=1,AND($N103=2,'#BerechnungDBE'!$AL94&gt;0)))))),IF(MM$4&gt;=$AD$126,0,MW103),IF(MO$9=3,IF(OR(MM$4&gt;=$AD$127,AND($G103=1,$J103=2,MM$6=2),AND(MM$6=1,$N103&lt;&gt;1)),0,IF(MQ103&lt;=120,MW103,IF(MM$4&lt;$AD$124,IF($F103=1,60/MO$4*MO$6,60/MO$4*MO$7),IF($F103=1,120/MO$4*MO$6,120/MO$4*MO$7)))),IF(OR($F103=3,$G103=2),IF(OR(AND(MM$4&gt;=$AD$119,$C103=2),AND(MM$4&gt;=$AF$119,$C103=1)),0,IF(MQ103&lt;=60,MW103,60/MO$4*MO$7)),IF(AND($F103=2,$G103=1),MW103,0)))))</f>
        <v>0</v>
      </c>
      <c r="MZ103" s="57" t="str">
        <f t="shared" si="629"/>
        <v/>
      </c>
      <c r="NA103" s="57" t="str">
        <f t="shared" si="630"/>
        <v/>
      </c>
      <c r="NB103" s="713">
        <f>'org. Düngung 22'!CV102</f>
        <v>0</v>
      </c>
      <c r="NC103" s="57"/>
      <c r="ND103" s="57"/>
      <c r="NE103" s="57">
        <f t="shared" si="631"/>
        <v>0</v>
      </c>
      <c r="NF103" s="57">
        <f t="shared" si="796"/>
        <v>0</v>
      </c>
      <c r="NG103" s="57">
        <f t="shared" si="797"/>
        <v>0</v>
      </c>
      <c r="NH103" s="57">
        <f t="shared" si="798"/>
        <v>0</v>
      </c>
      <c r="NI103" s="57">
        <f t="shared" si="799"/>
        <v>0</v>
      </c>
      <c r="NJ103" s="1029">
        <f t="shared" si="632"/>
        <v>0</v>
      </c>
      <c r="NK103" s="57">
        <f t="shared" si="633"/>
        <v>0</v>
      </c>
      <c r="NL103" s="171" t="str">
        <f t="shared" si="634"/>
        <v/>
      </c>
      <c r="NM103" s="57">
        <f t="shared" si="800"/>
        <v>0</v>
      </c>
      <c r="NN103" s="57">
        <f>IF(OR(AND(NB$6=1,$L103=0),AND(NB$6=2,$K103=2,$G103=1)),0,IF(AND(ND$9=2,(OR($F103&gt;1,$K103=1,AND($L103=80,OR($N103=1,AND($N103=2,'#BerechnungDBE'!$AL94&gt;0)))))),IF(NB$4&gt;=$AD$126,0,NL103),IF(ND$9=3,IF(OR(NB$4&gt;=$AD$127,AND($G103=1,$J103=2,NB$6=2),AND(NB$6=1,$N103&lt;&gt;1)),0,IF(NF103&lt;=120,NL103,IF(NB$4&lt;$AD$124,IF($F103=1,60/ND$4*ND$6,60/ND$4*ND$7),IF($F103=1,120/ND$4*ND$6,120/ND$4*ND$7)))),IF(OR($F103=3,$G103=2),IF(OR(AND(NB$4&gt;=$AD$119,$C103=2),AND(NB$4&gt;=$AF$119,$C103=1)),0,IF(NF103&lt;=60,NL103,60/ND$4*ND$7)),IF(AND($F103=2,$G103=1),NL103,0)))))</f>
        <v>0</v>
      </c>
      <c r="NO103" s="57" t="str">
        <f t="shared" si="635"/>
        <v/>
      </c>
      <c r="NP103" s="57" t="str">
        <f t="shared" si="636"/>
        <v/>
      </c>
      <c r="NQ103" s="713">
        <f>'org. Düngung 22'!CZ102</f>
        <v>0</v>
      </c>
      <c r="NR103" s="57"/>
      <c r="NS103" s="57"/>
      <c r="NT103" s="57">
        <f t="shared" si="637"/>
        <v>0</v>
      </c>
      <c r="NU103" s="57">
        <f t="shared" si="801"/>
        <v>0</v>
      </c>
      <c r="NV103" s="57">
        <f t="shared" si="802"/>
        <v>0</v>
      </c>
      <c r="NW103" s="57">
        <f t="shared" si="803"/>
        <v>0</v>
      </c>
      <c r="NX103" s="57">
        <f t="shared" si="804"/>
        <v>0</v>
      </c>
      <c r="NY103" s="1029">
        <f t="shared" si="638"/>
        <v>0</v>
      </c>
      <c r="NZ103" s="57">
        <f t="shared" si="639"/>
        <v>0</v>
      </c>
      <c r="OA103" s="171" t="str">
        <f t="shared" si="640"/>
        <v/>
      </c>
      <c r="OB103" s="57">
        <f t="shared" si="805"/>
        <v>0</v>
      </c>
      <c r="OC103" s="57">
        <f>IF(OR(AND(NQ$6=1,$L103=0),AND(NQ$6=2,$K103=2,$G103=1)),0,IF(AND(NS$9=2,(OR($F103&gt;1,$K103=1,AND($L103=80,OR($N103=1,AND($N103=2,'#BerechnungDBE'!$AL94&gt;0)))))),IF(NQ$4&gt;=$AD$126,0,OA103),IF(NS$9=3,IF(OR(NQ$4&gt;=$AD$127,AND($G103=1,$J103=2,NQ$6=2),AND(NQ$6=1,$N103&lt;&gt;1)),0,IF(NU103&lt;=120,OA103,IF(NQ$4&lt;$AD$124,IF($F103=1,60/NS$4*NS$6,60/NS$4*NS$7),IF($F103=1,120/NS$4*NS$6,120/NS$4*NS$7)))),IF(OR($F103=3,$G103=2),IF(OR(AND(NQ$4&gt;=$AD$119,$C103=2),AND(NQ$4&gt;=$AF$119,$C103=1)),0,IF(NU103&lt;=60,OA103,60/NS$4*NS$7)),IF(AND($F103=2,$G103=1),OA103,0)))))</f>
        <v>0</v>
      </c>
      <c r="OD103" s="57" t="str">
        <f t="shared" si="641"/>
        <v/>
      </c>
      <c r="OE103" s="57" t="str">
        <f t="shared" si="642"/>
        <v/>
      </c>
      <c r="OF103" s="713">
        <f>'org. Düngung 22'!DD102</f>
        <v>0</v>
      </c>
      <c r="OG103" s="57"/>
      <c r="OH103" s="57"/>
      <c r="OI103" s="57">
        <f t="shared" si="643"/>
        <v>0</v>
      </c>
      <c r="OJ103" s="57">
        <f t="shared" si="806"/>
        <v>0</v>
      </c>
      <c r="OK103" s="57">
        <f t="shared" si="807"/>
        <v>0</v>
      </c>
      <c r="OL103" s="57">
        <f t="shared" si="808"/>
        <v>0</v>
      </c>
      <c r="OM103" s="57">
        <f t="shared" si="809"/>
        <v>0</v>
      </c>
      <c r="ON103" s="1029">
        <f t="shared" si="644"/>
        <v>0</v>
      </c>
      <c r="OO103" s="57">
        <f t="shared" si="645"/>
        <v>0</v>
      </c>
      <c r="OP103" s="171" t="str">
        <f t="shared" si="646"/>
        <v/>
      </c>
      <c r="OQ103" s="57">
        <f t="shared" si="810"/>
        <v>0</v>
      </c>
      <c r="OR103" s="57">
        <f>IF(OR(AND(OF$6=1,$L103=0),AND(OF$6=2,$K103=2,$G103=1)),0,IF(AND(OH$9=2,(OR($F103&gt;1,$K103=1,AND($L103=80,OR($N103=1,AND($N103=2,'#BerechnungDBE'!$AL94&gt;0)))))),IF(OF$4&gt;=$AD$126,0,OP103),IF(OH$9=3,IF(OR(OF$4&gt;=$AD$127,AND($G103=1,$J103=2,OF$6=2),AND(OF$6=1,$N103&lt;&gt;1)),0,IF(OJ103&lt;=120,OP103,IF(OF$4&lt;$AD$124,IF($F103=1,60/OH$4*OH$6,60/OH$4*OH$7),IF($F103=1,120/OH$4*OH$6,120/OH$4*OH$7)))),IF(OR($F103=3,$G103=2),IF(OR(AND(OF$4&gt;=$AD$119,$C103=2),AND(OF$4&gt;=$AF$119,$C103=1)),0,IF(OJ103&lt;=60,OP103,60/OH$4*OH$7)),IF(AND($F103=2,$G103=1),OP103,0)))))</f>
        <v>0</v>
      </c>
      <c r="OS103" s="57" t="str">
        <f t="shared" si="647"/>
        <v/>
      </c>
      <c r="OT103" s="57" t="str">
        <f t="shared" si="648"/>
        <v/>
      </c>
      <c r="OU103" s="713">
        <f>'org. Düngung 22'!DH102</f>
        <v>0</v>
      </c>
      <c r="OV103" s="57"/>
      <c r="OW103" s="57"/>
      <c r="OX103" s="57">
        <f t="shared" si="649"/>
        <v>0</v>
      </c>
      <c r="OY103" s="57">
        <f t="shared" si="811"/>
        <v>0</v>
      </c>
      <c r="OZ103" s="57">
        <f t="shared" si="812"/>
        <v>0</v>
      </c>
      <c r="PA103" s="57">
        <f t="shared" si="813"/>
        <v>0</v>
      </c>
      <c r="PB103" s="57">
        <f t="shared" si="814"/>
        <v>0</v>
      </c>
      <c r="PC103" s="1029">
        <f t="shared" si="650"/>
        <v>0</v>
      </c>
      <c r="PD103" s="57">
        <f t="shared" si="651"/>
        <v>0</v>
      </c>
      <c r="PE103" s="171" t="str">
        <f t="shared" si="652"/>
        <v/>
      </c>
      <c r="PF103" s="57">
        <f t="shared" si="815"/>
        <v>0</v>
      </c>
      <c r="PG103" s="57">
        <f>IF(OR(AND(OU$6=1,$L103=0),AND(OU$6=2,$K103=2,$G103=1)),0,IF(AND(OW$9=2,(OR($F103&gt;1,$K103=1,AND($L103=80,OR($N103=1,AND($N103=2,'#BerechnungDBE'!$AL94&gt;0)))))),IF(OU$4&gt;=$AD$126,0,PE103),IF(OW$9=3,IF(OR(OU$4&gt;=$AD$127,AND($G103=1,$J103=2,OU$6=2),AND(OU$6=1,$N103&lt;&gt;1)),0,IF(OY103&lt;=120,PE103,IF(OU$4&lt;$AD$124,IF($F103=1,60/OW$4*OW$6,60/OW$4*OW$7),IF($F103=1,120/OW$4*OW$6,120/OW$4*OW$7)))),IF(OR($F103=3,$G103=2),IF(OR(AND(OU$4&gt;=$AD$119,$C103=2),AND(OU$4&gt;=$AF$119,$C103=1)),0,IF(OY103&lt;=60,PE103,60/OW$4*OW$7)),IF(AND($F103=2,$G103=1),PE103,0)))))</f>
        <v>0</v>
      </c>
      <c r="PH103" s="57" t="str">
        <f t="shared" si="653"/>
        <v/>
      </c>
      <c r="PI103" s="57" t="str">
        <f t="shared" si="654"/>
        <v/>
      </c>
      <c r="PJ103" s="713">
        <f>'org. Düngung 22'!DL102</f>
        <v>0</v>
      </c>
      <c r="PK103" s="57"/>
      <c r="PL103" s="57"/>
      <c r="PM103" s="57">
        <f t="shared" si="655"/>
        <v>0</v>
      </c>
      <c r="PN103" s="57">
        <f t="shared" si="816"/>
        <v>0</v>
      </c>
      <c r="PO103" s="57">
        <f t="shared" si="817"/>
        <v>0</v>
      </c>
      <c r="PP103" s="57">
        <f t="shared" si="818"/>
        <v>0</v>
      </c>
      <c r="PQ103" s="57">
        <f t="shared" si="819"/>
        <v>0</v>
      </c>
      <c r="PR103" s="1029">
        <f t="shared" si="656"/>
        <v>0</v>
      </c>
      <c r="PS103" s="57">
        <f t="shared" si="657"/>
        <v>0</v>
      </c>
      <c r="PT103" s="171" t="str">
        <f t="shared" si="658"/>
        <v/>
      </c>
      <c r="PU103" s="57">
        <f t="shared" si="820"/>
        <v>0</v>
      </c>
      <c r="PV103" s="57">
        <f>IF(OR(AND(PJ$6=1,$L103=0),AND(PJ$6=2,$K103=2,$G103=1)),0,IF(AND(PL$9=2,(OR($F103&gt;1,$K103=1,AND($L103=80,OR($N103=1,AND($N103=2,'#BerechnungDBE'!$AL94&gt;0)))))),IF(PJ$4&gt;=$AD$126,0,PT103),IF(PL$9=3,IF(OR(PJ$4&gt;=$AD$127,AND($G103=1,$J103=2,PJ$6=2),AND(PJ$6=1,$N103&lt;&gt;1)),0,IF(PN103&lt;=120,PT103,IF(PJ$4&lt;$AD$124,IF($F103=1,60/PL$4*PL$6,60/PL$4*PL$7),IF($F103=1,120/PL$4*PL$6,120/PL$4*PL$7)))),IF(OR($F103=3,$G103=2),IF(OR(AND(PJ$4&gt;=$AD$119,$C103=2),AND(PJ$4&gt;=$AF$119,$C103=1)),0,IF(PN103&lt;=60,PT103,60/PL$4*PL$7)),IF(AND($F103=2,$G103=1),PT103,0)))))</f>
        <v>0</v>
      </c>
      <c r="PW103" s="57" t="str">
        <f t="shared" si="659"/>
        <v/>
      </c>
      <c r="PX103" s="57" t="str">
        <f t="shared" si="660"/>
        <v/>
      </c>
      <c r="PY103" s="713">
        <f>'org. Düngung 22'!DP102</f>
        <v>0</v>
      </c>
      <c r="PZ103" s="57"/>
      <c r="QA103" s="57"/>
      <c r="QB103" s="57">
        <f t="shared" si="661"/>
        <v>0</v>
      </c>
      <c r="QC103" s="57">
        <f t="shared" si="821"/>
        <v>0</v>
      </c>
      <c r="QD103" s="57">
        <f t="shared" si="822"/>
        <v>0</v>
      </c>
      <c r="QE103" s="57">
        <f t="shared" si="823"/>
        <v>0</v>
      </c>
      <c r="QF103" s="57">
        <f t="shared" si="824"/>
        <v>0</v>
      </c>
      <c r="QG103" s="1029">
        <f t="shared" si="662"/>
        <v>0</v>
      </c>
      <c r="QH103" s="57">
        <f t="shared" si="663"/>
        <v>0</v>
      </c>
      <c r="QI103" s="171" t="str">
        <f t="shared" si="664"/>
        <v/>
      </c>
      <c r="QJ103" s="57">
        <f t="shared" si="825"/>
        <v>0</v>
      </c>
      <c r="QK103" s="57">
        <f>IF(OR(AND(PY$6=1,$L103=0),AND(PY$6=2,$K103=2,$G103=1)),0,IF(AND(QA$9=2,(OR($F103&gt;1,$K103=1,AND($L103=80,OR($N103=1,AND($N103=2,'#BerechnungDBE'!$AL94&gt;0)))))),IF(PY$4&gt;=$AD$126,0,QI103),IF(QA$9=3,IF(OR(PY$4&gt;=$AD$127,AND($G103=1,$J103=2,PY$6=2),AND(PY$6=1,$N103&lt;&gt;1)),0,IF(QC103&lt;=120,QI103,IF(PY$4&lt;$AD$124,IF($F103=1,60/QA$4*QA$6,60/QA$4*QA$7),IF($F103=1,120/QA$4*QA$6,120/QA$4*QA$7)))),IF(OR($F103=3,$G103=2),IF(OR(AND(PY$4&gt;=$AD$119,$C103=2),AND(PY$4&gt;=$AF$119,$C103=1)),0,IF(QC103&lt;=60,QI103,60/QA$4*QA$7)),IF(AND($F103=2,$G103=1),QI103,0)))))</f>
        <v>0</v>
      </c>
      <c r="QL103" s="57" t="str">
        <f t="shared" si="665"/>
        <v/>
      </c>
      <c r="QM103" s="57" t="str">
        <f t="shared" si="666"/>
        <v/>
      </c>
      <c r="QN103" s="713">
        <f>'org. Düngung 22'!DT102</f>
        <v>0</v>
      </c>
      <c r="QO103" s="57"/>
      <c r="QP103" s="57"/>
      <c r="QQ103" s="57">
        <f t="shared" si="667"/>
        <v>0</v>
      </c>
      <c r="QR103" s="57">
        <f t="shared" si="826"/>
        <v>0</v>
      </c>
      <c r="QS103" s="57">
        <f t="shared" si="827"/>
        <v>0</v>
      </c>
      <c r="QT103" s="57">
        <f t="shared" si="828"/>
        <v>0</v>
      </c>
      <c r="QU103" s="57">
        <f t="shared" si="829"/>
        <v>0</v>
      </c>
      <c r="QV103" s="1029">
        <f t="shared" si="668"/>
        <v>0</v>
      </c>
      <c r="QW103" s="57">
        <f t="shared" si="669"/>
        <v>0</v>
      </c>
      <c r="QX103" s="171" t="str">
        <f t="shared" si="670"/>
        <v/>
      </c>
      <c r="QY103" s="57">
        <f t="shared" si="830"/>
        <v>0</v>
      </c>
      <c r="QZ103" s="57">
        <f>IF(OR(AND(QN$6=1,$L103=0),AND(QN$6=2,$K103=2,$G103=1)),0,IF(AND(QP$9=2,(OR($F103&gt;1,$K103=1,AND($L103=80,OR($N103=1,AND($N103=2,'#BerechnungDBE'!$AL94&gt;0)))))),IF(QN$4&gt;=$AD$126,0,QX103),IF(QP$9=3,IF(OR(QN$4&gt;=$AD$127,AND($G103=1,$J103=2,QN$6=2),AND(QN$6=1,$N103&lt;&gt;1)),0,IF(QR103&lt;=120,QX103,IF(QN$4&lt;$AD$124,IF($F103=1,60/QP$4*QP$6,60/QP$4*QP$7),IF($F103=1,120/QP$4*QP$6,120/QP$4*QP$7)))),IF(OR($F103=3,$G103=2),IF(OR(AND(QN$4&gt;=$AD$119,$C103=2),AND(QN$4&gt;=$AF$119,$C103=1)),0,IF(QR103&lt;=60,QX103,60/QP$4*QP$7)),IF(AND($F103=2,$G103=1),QX103,0)))))</f>
        <v>0</v>
      </c>
      <c r="RA103" s="57" t="str">
        <f t="shared" si="671"/>
        <v/>
      </c>
      <c r="RB103" s="57" t="str">
        <f t="shared" si="672"/>
        <v/>
      </c>
      <c r="RC103" s="713">
        <f>'org. Düngung 22'!DX102</f>
        <v>0</v>
      </c>
      <c r="RD103" s="57"/>
      <c r="RE103" s="57"/>
      <c r="RF103" s="57">
        <f t="shared" si="673"/>
        <v>0</v>
      </c>
      <c r="RG103" s="57">
        <f t="shared" si="831"/>
        <v>0</v>
      </c>
      <c r="RH103" s="57">
        <f t="shared" si="832"/>
        <v>0</v>
      </c>
      <c r="RI103" s="57">
        <f t="shared" si="833"/>
        <v>0</v>
      </c>
      <c r="RJ103" s="57">
        <f t="shared" si="834"/>
        <v>0</v>
      </c>
      <c r="RK103" s="1029">
        <f t="shared" si="674"/>
        <v>0</v>
      </c>
      <c r="RL103" s="57">
        <f t="shared" si="675"/>
        <v>0</v>
      </c>
      <c r="RM103" s="171" t="str">
        <f t="shared" si="676"/>
        <v/>
      </c>
      <c r="RN103" s="57">
        <f t="shared" si="835"/>
        <v>0</v>
      </c>
      <c r="RO103" s="57">
        <f>IF(OR(AND(RC$6=1,$L103=0),AND(RC$6=2,$K103=2,$G103=1)),0,IF(AND(RE$9=2,(OR($F103&gt;1,$K103=1,AND($L103=80,OR($N103=1,AND($N103=2,'#BerechnungDBE'!$AL94&gt;0)))))),IF(RC$4&gt;=$AD$126,0,RM103),IF(RE$9=3,IF(OR(RC$4&gt;=$AD$127,AND($G103=1,$J103=2,RC$6=2),AND(RC$6=1,$N103&lt;&gt;1)),0,IF(RG103&lt;=120,RM103,IF(RC$4&lt;$AD$124,IF($F103=1,60/RE$4*RE$6,60/RE$4*RE$7),IF($F103=1,120/RE$4*RE$6,120/RE$4*RE$7)))),IF(OR($F103=3,$G103=2),IF(OR(AND(RC$4&gt;=$AD$119,$C103=2),AND(RC$4&gt;=$AF$119,$C103=1)),0,IF(RG103&lt;=60,RM103,60/RE$4*RE$7)),IF(AND($F103=2,$G103=1),RM103,0)))))</f>
        <v>0</v>
      </c>
      <c r="RP103" s="57" t="str">
        <f t="shared" si="677"/>
        <v/>
      </c>
      <c r="RQ103" s="57" t="str">
        <f t="shared" si="678"/>
        <v/>
      </c>
      <c r="RS103" s="57" t="str">
        <f t="shared" si="836"/>
        <v/>
      </c>
      <c r="RT103" s="57" t="str">
        <f t="shared" si="679"/>
        <v/>
      </c>
      <c r="RU103" s="57" t="str">
        <f t="shared" si="680"/>
        <v/>
      </c>
      <c r="RV103" s="57" t="str">
        <f>IF(Z103&gt;'#BerechnungDBE'!BM94,$RV$9,"")</f>
        <v/>
      </c>
      <c r="RW103" s="57" t="str">
        <f>IF(AND(L103=70,AE103&gt;'#BerechnungDBE'!CQ94),$RW$9,"")</f>
        <v/>
      </c>
      <c r="RX103" s="57" t="str">
        <f>IF(OR('org. Düngung 22'!G102="--",'org. Düngung 22'!G102&lt;=170,'org. Düngung 22'!G102=""),"",$RX$9)</f>
        <v/>
      </c>
      <c r="RY103" s="57" t="str">
        <f>IF('org. Düngung 22'!K102&gt;120,'#orgDung'!$RY$9,"")</f>
        <v/>
      </c>
      <c r="RZ103" s="57" t="str">
        <f>IF('#BerechnungDBE'!P94&lt;4,"",IF(AND('#BerechnungDBE'!BZ94&gt;0,T103&gt;0),'#orgDung'!$RZ$9,""))</f>
        <v/>
      </c>
      <c r="SA103" s="57" t="str">
        <f t="shared" si="681"/>
        <v/>
      </c>
    </row>
    <row r="104" spans="1:495" s="875" customFormat="1" x14ac:dyDescent="0.2">
      <c r="A104" s="875">
        <f>'Flächen u. Kulturen'!A100</f>
        <v>91</v>
      </c>
      <c r="B104" s="367">
        <f>'#BerechnungDBE'!L95</f>
        <v>0</v>
      </c>
      <c r="C104" s="875">
        <f>'#BerechnungDBE'!R95</f>
        <v>1</v>
      </c>
      <c r="D104" s="875">
        <f>'#BerechnungDBE'!T95</f>
        <v>2</v>
      </c>
      <c r="E104" s="875" t="str">
        <f>'Flächen u. Kulturen'!E100</f>
        <v>x</v>
      </c>
      <c r="F104" s="52">
        <f>'#BerechnungDBE'!N95</f>
        <v>1</v>
      </c>
      <c r="G104" s="52">
        <f>'#BerechnungDBE'!O95</f>
        <v>1</v>
      </c>
      <c r="H104" s="875">
        <f>IF('Flächen u. Kulturen'!P100="",0,VLOOKUP('Flächen u. Kulturen'!P100,Kulturen[[HF]:[Berechnungsgruppe]],'#Frucht'!$H$1,FALSE))</f>
        <v>0</v>
      </c>
      <c r="I104" s="875">
        <f>IF('Flächen u. Kulturen'!J100="",0,VLOOKUP('Flächen u. Kulturen'!J100,Kulturen[[HF]:[Berechnungsgruppe]],'#Frucht'!$G$1,FALSE))</f>
        <v>90</v>
      </c>
      <c r="J104" s="505">
        <f t="shared" si="682"/>
        <v>2</v>
      </c>
      <c r="K104" s="505">
        <f>IF('Flächen u. Kulturen'!P100="",0,IF(VLOOKUP('Flächen u. Kulturen'!P100,Kulturen[[HF]:[Saat Winterungen]],'#Frucht'!$P$1,FALSE)&gt;0,1,2))</f>
        <v>2</v>
      </c>
      <c r="L104" s="875">
        <f>'#BerechnungDBE'!AF95</f>
        <v>0</v>
      </c>
      <c r="M104" s="875">
        <f>IF('Flächen u. Kulturen'!L100="",0,VLOOKUP('Flächen u. Kulturen'!L100,Nebenkultur[[Nebenkultur]:[Legum. Zwischenfr.]],'#Zweitfr'!$K$1,FALSE))</f>
        <v>0</v>
      </c>
      <c r="N104" s="875">
        <f>'#BerechnungDBE'!AG95</f>
        <v>0</v>
      </c>
      <c r="P104" s="57">
        <f t="shared" si="489"/>
        <v>0</v>
      </c>
      <c r="Q104" s="57">
        <f t="shared" si="490"/>
        <v>0</v>
      </c>
      <c r="R104" s="875">
        <f t="shared" si="491"/>
        <v>0</v>
      </c>
      <c r="S104" s="938" t="str">
        <f t="shared" si="683"/>
        <v/>
      </c>
      <c r="T104" s="875">
        <f t="shared" si="492"/>
        <v>0</v>
      </c>
      <c r="U104" s="875">
        <f t="shared" si="493"/>
        <v>0</v>
      </c>
      <c r="V104" s="875">
        <f t="shared" si="494"/>
        <v>0</v>
      </c>
      <c r="W104" s="875">
        <f t="shared" si="495"/>
        <v>0</v>
      </c>
      <c r="X104" s="875">
        <f t="shared" si="496"/>
        <v>0</v>
      </c>
      <c r="Y104" s="875">
        <f t="shared" si="837"/>
        <v>0</v>
      </c>
      <c r="Z104" s="875">
        <f t="shared" si="838"/>
        <v>0</v>
      </c>
      <c r="AA104" s="910">
        <f t="shared" si="497"/>
        <v>0</v>
      </c>
      <c r="AB104" s="57">
        <f t="shared" si="839"/>
        <v>0</v>
      </c>
      <c r="AC104" s="875">
        <f t="shared" si="498"/>
        <v>0</v>
      </c>
      <c r="AD104" s="875">
        <f t="shared" si="499"/>
        <v>0</v>
      </c>
      <c r="AE104" s="875">
        <f t="shared" si="500"/>
        <v>0</v>
      </c>
      <c r="AF104" s="875">
        <f t="shared" si="840"/>
        <v>0</v>
      </c>
      <c r="AG104" s="875">
        <f>'org. Düngung 22'!J103</f>
        <v>0</v>
      </c>
      <c r="AH104" s="875">
        <f>'org. Düngung 22'!K103</f>
        <v>0</v>
      </c>
      <c r="AJ104" s="713">
        <f>'org. Düngung 22'!L103</f>
        <v>0</v>
      </c>
      <c r="AK104" s="57"/>
      <c r="AL104" s="57"/>
      <c r="AM104" s="57">
        <f t="shared" si="684"/>
        <v>0</v>
      </c>
      <c r="AN104" s="57">
        <f t="shared" si="685"/>
        <v>0</v>
      </c>
      <c r="AO104" s="57">
        <f t="shared" si="686"/>
        <v>0</v>
      </c>
      <c r="AP104" s="57">
        <f t="shared" si="687"/>
        <v>0</v>
      </c>
      <c r="AQ104" s="57">
        <f t="shared" si="688"/>
        <v>0</v>
      </c>
      <c r="AR104" s="1029">
        <f t="shared" si="501"/>
        <v>0</v>
      </c>
      <c r="AS104" s="57">
        <f t="shared" si="502"/>
        <v>0</v>
      </c>
      <c r="AT104" s="171" t="str">
        <f t="shared" si="503"/>
        <v/>
      </c>
      <c r="AU104" s="57">
        <f t="shared" si="689"/>
        <v>0</v>
      </c>
      <c r="AV104" s="57">
        <f>IF(OR(AND(AJ$6=1,$L104=0),AND(AJ$6=2,$K104=2,$G104=1)),0,IF(AND(AL$9=2,(OR($F104&gt;1,$K104=1,AND($L104=80,OR($N104=1,AND($N104=2,'#BerechnungDBE'!$AL95&gt;0)))))),IF(AJ$4&gt;=$AD$126,0,AT104),IF(AL$9=3,IF(OR(AJ$4&gt;=$AD$127,AND($G104=1,$J104=2,AJ$6=2),AND(AJ$6=1,$N104&lt;&gt;1)),0,IF(AN104&lt;=120,AT104,IF(AJ$4&lt;$AD$124,IF($F104=1,60/AL$4*AL$6,60/AL$4*AL$7),IF($F104=1,120/AL$4*AL$6,120/AL$4*AL$7)))),IF(OR($F104=3,$G104=2),IF(OR(AND(AJ$4&gt;=$AD$119,$C104=2),AND(AJ$4&gt;=$AF$119,$C104=1)),0,IF(AN104&lt;=60,AT104,60/AL$4*AL$7)),IF(AND($F104=2,$G104=1),AT104,0)))))</f>
        <v>0</v>
      </c>
      <c r="AW104" s="57" t="str">
        <f t="shared" si="690"/>
        <v/>
      </c>
      <c r="AX104" s="57" t="str">
        <f t="shared" si="504"/>
        <v/>
      </c>
      <c r="AY104" s="713">
        <f>'org. Düngung 22'!P103</f>
        <v>0</v>
      </c>
      <c r="AZ104" s="57"/>
      <c r="BA104" s="57"/>
      <c r="BB104" s="57">
        <f t="shared" si="505"/>
        <v>0</v>
      </c>
      <c r="BC104" s="57">
        <f t="shared" si="691"/>
        <v>0</v>
      </c>
      <c r="BD104" s="57">
        <f t="shared" si="692"/>
        <v>0</v>
      </c>
      <c r="BE104" s="57">
        <f t="shared" si="693"/>
        <v>0</v>
      </c>
      <c r="BF104" s="57">
        <f t="shared" si="694"/>
        <v>0</v>
      </c>
      <c r="BG104" s="1029">
        <f t="shared" si="506"/>
        <v>0</v>
      </c>
      <c r="BH104" s="57">
        <f t="shared" si="507"/>
        <v>0</v>
      </c>
      <c r="BI104" s="171" t="str">
        <f t="shared" si="508"/>
        <v/>
      </c>
      <c r="BJ104" s="57">
        <f t="shared" si="695"/>
        <v>0</v>
      </c>
      <c r="BK104" s="57">
        <f>IF(OR(AND(AY$6=1,$L104=0),AND(AY$6=2,$K104=2,$G104=1)),0,IF(AND(BA$9=2,(OR($F104&gt;1,$K104=1,AND($L104=80,OR($N104=1,AND($N104=2,'#BerechnungDBE'!$AL95&gt;0)))))),IF(AY$4&gt;=$AD$126,0,BI104),IF(BA$9=3,IF(OR(AY$4&gt;=$AD$127,AND($G104=1,$J104=2,AY$6=2),AND(AY$6=1,$N104&lt;&gt;1)),0,IF(BC104&lt;=120,BI104,IF(AY$4&lt;$AD$124,IF($F104=1,60/BA$4*BA$6,60/BA$4*BA$7),IF($F104=1,120/BA$4*BA$6,120/BA$4*BA$7)))),IF(OR($F104=3,$G104=2),IF(OR(AND(AY$4&gt;=$AD$119,$C104=2),AND(AY$4&gt;=$AF$119,$C104=1)),0,IF(BC104&lt;=60,BI104,60/BA$4*BA$7)),IF(AND($F104=2,$G104=1),BI104,0)))))</f>
        <v>0</v>
      </c>
      <c r="BL104" s="57" t="str">
        <f t="shared" si="509"/>
        <v/>
      </c>
      <c r="BM104" s="57" t="str">
        <f t="shared" si="510"/>
        <v/>
      </c>
      <c r="BN104" s="713">
        <f>'org. Düngung 22'!T103</f>
        <v>0</v>
      </c>
      <c r="BO104" s="57"/>
      <c r="BP104" s="57"/>
      <c r="BQ104" s="57">
        <f t="shared" si="511"/>
        <v>0</v>
      </c>
      <c r="BR104" s="57">
        <f t="shared" si="696"/>
        <v>0</v>
      </c>
      <c r="BS104" s="57">
        <f t="shared" si="697"/>
        <v>0</v>
      </c>
      <c r="BT104" s="57">
        <f t="shared" si="698"/>
        <v>0</v>
      </c>
      <c r="BU104" s="57">
        <f t="shared" si="699"/>
        <v>0</v>
      </c>
      <c r="BV104" s="1029">
        <f t="shared" si="512"/>
        <v>0</v>
      </c>
      <c r="BW104" s="57">
        <f t="shared" si="513"/>
        <v>0</v>
      </c>
      <c r="BX104" s="171" t="str">
        <f t="shared" si="514"/>
        <v/>
      </c>
      <c r="BY104" s="57">
        <f t="shared" si="700"/>
        <v>0</v>
      </c>
      <c r="BZ104" s="57">
        <f>IF(OR(AND(BN$6=1,$L104=0),AND(BN$6=2,$K104=2,$G104=1)),0,IF(AND(BP$9=2,(OR($F104&gt;1,$K104=1,AND($L104=80,OR($N104=1,AND($N104=2,'#BerechnungDBE'!$AL95&gt;0)))))),IF(BN$4&gt;=$AD$126,0,BX104),IF(BP$9=3,IF(OR(BN$4&gt;=$AD$127,AND($G104=1,$J104=2,BN$6=2),AND(BN$6=1,$N104&lt;&gt;1)),0,IF(BR104&lt;=120,BX104,IF(BN$4&lt;$AD$124,IF($F104=1,60/BP$4*BP$6,60/BP$4*BP$7),IF($F104=1,120/BP$4*BP$6,120/BP$4*BP$7)))),IF(OR($F104=3,$G104=2),IF(OR(AND(BN$4&gt;=$AD$119,$C104=2),AND(BN$4&gt;=$AF$119,$C104=1)),0,IF(BR104&lt;=60,BX104,60/BP$4*BP$7)),IF(AND($F104=2,$G104=1),BX104,0)))))</f>
        <v>0</v>
      </c>
      <c r="CA104" s="57" t="str">
        <f t="shared" si="515"/>
        <v/>
      </c>
      <c r="CB104" s="57" t="str">
        <f t="shared" si="516"/>
        <v/>
      </c>
      <c r="CC104" s="713">
        <f>'org. Düngung 22'!X103</f>
        <v>0</v>
      </c>
      <c r="CD104" s="57"/>
      <c r="CE104" s="57"/>
      <c r="CF104" s="57">
        <f t="shared" si="517"/>
        <v>0</v>
      </c>
      <c r="CG104" s="57">
        <f t="shared" si="701"/>
        <v>0</v>
      </c>
      <c r="CH104" s="57">
        <f t="shared" si="702"/>
        <v>0</v>
      </c>
      <c r="CI104" s="57">
        <f t="shared" si="703"/>
        <v>0</v>
      </c>
      <c r="CJ104" s="57">
        <f t="shared" si="704"/>
        <v>0</v>
      </c>
      <c r="CK104" s="1029">
        <f t="shared" si="518"/>
        <v>0</v>
      </c>
      <c r="CL104" s="57">
        <f t="shared" si="519"/>
        <v>0</v>
      </c>
      <c r="CM104" s="171" t="str">
        <f t="shared" si="520"/>
        <v/>
      </c>
      <c r="CN104" s="57">
        <f t="shared" si="705"/>
        <v>0</v>
      </c>
      <c r="CO104" s="57">
        <f>IF(OR(AND(CC$6=1,$L104=0),AND(CC$6=2,$K104=2,$G104=1)),0,IF(AND(CE$9=2,(OR($F104&gt;1,$K104=1,AND($L104=80,OR($N104=1,AND($N104=2,'#BerechnungDBE'!$AL95&gt;0)))))),IF(CC$4&gt;=$AD$126,0,CM104),IF(CE$9=3,IF(OR(CC$4&gt;=$AD$127,AND($G104=1,$J104=2,CC$6=2),AND(CC$6=1,$N104&lt;&gt;1)),0,IF(CG104&lt;=120,CM104,IF(CC$4&lt;$AD$124,IF($F104=1,60/CE$4*CE$6,60/CE$4*CE$7),IF($F104=1,120/CE$4*CE$6,120/CE$4*CE$7)))),IF(OR($F104=3,$G104=2),IF(OR(AND(CC$4&gt;=$AD$119,$C104=2),AND(CC$4&gt;=$AF$119,$C104=1)),0,IF(CG104&lt;=60,CM104,60/CE$4*CE$7)),IF(AND($F104=2,$G104=1),CM104,0)))))</f>
        <v>0</v>
      </c>
      <c r="CP104" s="57" t="str">
        <f t="shared" si="521"/>
        <v/>
      </c>
      <c r="CQ104" s="57" t="str">
        <f t="shared" si="522"/>
        <v/>
      </c>
      <c r="CR104" s="713">
        <f>'org. Düngung 22'!AB103</f>
        <v>0</v>
      </c>
      <c r="CS104" s="57"/>
      <c r="CT104" s="57"/>
      <c r="CU104" s="57">
        <f t="shared" si="523"/>
        <v>0</v>
      </c>
      <c r="CV104" s="57">
        <f t="shared" si="706"/>
        <v>0</v>
      </c>
      <c r="CW104" s="57">
        <f t="shared" si="707"/>
        <v>0</v>
      </c>
      <c r="CX104" s="57">
        <f t="shared" si="708"/>
        <v>0</v>
      </c>
      <c r="CY104" s="57">
        <f t="shared" si="709"/>
        <v>0</v>
      </c>
      <c r="CZ104" s="1029">
        <f t="shared" si="524"/>
        <v>0</v>
      </c>
      <c r="DA104" s="57">
        <f t="shared" si="525"/>
        <v>0</v>
      </c>
      <c r="DB104" s="171" t="str">
        <f t="shared" si="526"/>
        <v/>
      </c>
      <c r="DC104" s="57">
        <f t="shared" si="710"/>
        <v>0</v>
      </c>
      <c r="DD104" s="57">
        <f>IF(OR(AND(CR$6=1,$L104=0),AND(CR$6=2,$K104=2,$G104=1)),0,IF(AND(CT$9=2,(OR($F104&gt;1,$K104=1,AND($L104=80,OR($N104=1,AND($N104=2,'#BerechnungDBE'!$AL95&gt;0)))))),IF(CR$4&gt;=$AD$126,0,DB104),IF(CT$9=3,IF(OR(CR$4&gt;=$AD$127,AND($G104=1,$J104=2,CR$6=2),AND(CR$6=1,$N104&lt;&gt;1)),0,IF(CV104&lt;=120,DB104,IF(CR$4&lt;$AD$124,IF($F104=1,60/CT$4*CT$6,60/CT$4*CT$7),IF($F104=1,120/CT$4*CT$6,120/CT$4*CT$7)))),IF(OR($F104=3,$G104=2),IF(OR(AND(CR$4&gt;=$AD$119,$C104=2),AND(CR$4&gt;=$AF$119,$C104=1)),0,IF(CV104&lt;=60,DB104,60/CT$4*CT$7)),IF(AND($F104=2,$G104=1),DB104,0)))))</f>
        <v>0</v>
      </c>
      <c r="DE104" s="57" t="str">
        <f t="shared" si="527"/>
        <v/>
      </c>
      <c r="DF104" s="57" t="str">
        <f t="shared" si="528"/>
        <v/>
      </c>
      <c r="DG104" s="713">
        <f>'org. Düngung 22'!AF103</f>
        <v>0</v>
      </c>
      <c r="DH104" s="57"/>
      <c r="DI104" s="57"/>
      <c r="DJ104" s="57">
        <f t="shared" si="529"/>
        <v>0</v>
      </c>
      <c r="DK104" s="57">
        <f t="shared" si="711"/>
        <v>0</v>
      </c>
      <c r="DL104" s="57">
        <f t="shared" si="712"/>
        <v>0</v>
      </c>
      <c r="DM104" s="57">
        <f t="shared" si="713"/>
        <v>0</v>
      </c>
      <c r="DN104" s="57">
        <f t="shared" si="714"/>
        <v>0</v>
      </c>
      <c r="DO104" s="1029">
        <f t="shared" si="530"/>
        <v>0</v>
      </c>
      <c r="DP104" s="57">
        <f t="shared" si="531"/>
        <v>0</v>
      </c>
      <c r="DQ104" s="171" t="str">
        <f t="shared" si="532"/>
        <v/>
      </c>
      <c r="DR104" s="57">
        <f t="shared" si="715"/>
        <v>0</v>
      </c>
      <c r="DS104" s="57">
        <f>IF(OR(AND(DG$6=1,$L104=0),AND(DG$6=2,$K104=2,$G104=1)),0,IF(AND(DI$9=2,(OR($F104&gt;1,$K104=1,AND($L104=80,OR($N104=1,AND($N104=2,'#BerechnungDBE'!$AL95&gt;0)))))),IF(DG$4&gt;=$AD$126,0,DQ104),IF(DI$9=3,IF(OR(DG$4&gt;=$AD$127,AND($G104=1,$J104=2,DG$6=2),AND(DG$6=1,$N104&lt;&gt;1)),0,IF(DK104&lt;=120,DQ104,IF(DG$4&lt;$AD$124,IF($F104=1,60/DI$4*DI$6,60/DI$4*DI$7),IF($F104=1,120/DI$4*DI$6,120/DI$4*DI$7)))),IF(OR($F104=3,$G104=2),IF(OR(AND(DG$4&gt;=$AD$119,$C104=2),AND(DG$4&gt;=$AF$119,$C104=1)),0,IF(DK104&lt;=60,DQ104,60/DI$4*DI$7)),IF(AND($F104=2,$G104=1),DQ104,0)))))</f>
        <v>0</v>
      </c>
      <c r="DT104" s="57" t="str">
        <f t="shared" si="533"/>
        <v/>
      </c>
      <c r="DU104" s="57" t="str">
        <f t="shared" si="534"/>
        <v/>
      </c>
      <c r="DV104" s="713">
        <f>'org. Düngung 22'!AJ103</f>
        <v>0</v>
      </c>
      <c r="DW104" s="57"/>
      <c r="DX104" s="57"/>
      <c r="DY104" s="57">
        <f t="shared" si="535"/>
        <v>0</v>
      </c>
      <c r="DZ104" s="57">
        <f t="shared" si="716"/>
        <v>0</v>
      </c>
      <c r="EA104" s="57">
        <f t="shared" si="717"/>
        <v>0</v>
      </c>
      <c r="EB104" s="57">
        <f t="shared" si="718"/>
        <v>0</v>
      </c>
      <c r="EC104" s="57">
        <f t="shared" si="719"/>
        <v>0</v>
      </c>
      <c r="ED104" s="1029">
        <f t="shared" si="536"/>
        <v>0</v>
      </c>
      <c r="EE104" s="57">
        <f t="shared" si="537"/>
        <v>0</v>
      </c>
      <c r="EF104" s="171" t="str">
        <f t="shared" si="538"/>
        <v/>
      </c>
      <c r="EG104" s="57">
        <f t="shared" si="720"/>
        <v>0</v>
      </c>
      <c r="EH104" s="57">
        <f>IF(OR(AND(DV$6=1,$L104=0),AND(DV$6=2,$K104=2,$G104=1)),0,IF(AND(DX$9=2,(OR($F104&gt;1,$K104=1,AND($L104=80,OR($N104=1,AND($N104=2,'#BerechnungDBE'!$AL95&gt;0)))))),IF(DV$4&gt;=$AD$126,0,EF104),IF(DX$9=3,IF(OR(DV$4&gt;=$AD$127,AND($G104=1,$J104=2,DV$6=2),AND(DV$6=1,$N104&lt;&gt;1)),0,IF(DZ104&lt;=120,EF104,IF(DV$4&lt;$AD$124,IF($F104=1,60/DX$4*DX$6,60/DX$4*DX$7),IF($F104=1,120/DX$4*DX$6,120/DX$4*DX$7)))),IF(OR($F104=3,$G104=2),IF(OR(AND(DV$4&gt;=$AD$119,$C104=2),AND(DV$4&gt;=$AF$119,$C104=1)),0,IF(DZ104&lt;=60,EF104,60/DX$4*DX$7)),IF(AND($F104=2,$G104=1),EF104,0)))))</f>
        <v>0</v>
      </c>
      <c r="EI104" s="57" t="str">
        <f t="shared" si="539"/>
        <v/>
      </c>
      <c r="EJ104" s="57" t="str">
        <f t="shared" si="540"/>
        <v/>
      </c>
      <c r="EK104" s="713">
        <f>'org. Düngung 22'!AN103</f>
        <v>0</v>
      </c>
      <c r="EL104" s="57"/>
      <c r="EM104" s="57"/>
      <c r="EN104" s="57">
        <f t="shared" si="541"/>
        <v>0</v>
      </c>
      <c r="EO104" s="57">
        <f t="shared" si="721"/>
        <v>0</v>
      </c>
      <c r="EP104" s="57">
        <f t="shared" si="722"/>
        <v>0</v>
      </c>
      <c r="EQ104" s="57">
        <f t="shared" si="723"/>
        <v>0</v>
      </c>
      <c r="ER104" s="57">
        <f t="shared" si="724"/>
        <v>0</v>
      </c>
      <c r="ES104" s="1029">
        <f t="shared" si="542"/>
        <v>0</v>
      </c>
      <c r="ET104" s="57">
        <f t="shared" si="543"/>
        <v>0</v>
      </c>
      <c r="EU104" s="171" t="str">
        <f t="shared" si="544"/>
        <v/>
      </c>
      <c r="EV104" s="57">
        <f t="shared" si="725"/>
        <v>0</v>
      </c>
      <c r="EW104" s="57">
        <f>IF(OR(AND(EK$6=1,$L104=0),AND(EK$6=2,$K104=2,$G104=1)),0,IF(AND(EM$9=2,(OR($F104&gt;1,$K104=1,AND($L104=80,OR($N104=1,AND($N104=2,'#BerechnungDBE'!$AL95&gt;0)))))),IF(EK$4&gt;=$AD$126,0,EU104),IF(EM$9=3,IF(OR(EK$4&gt;=$AD$127,AND($G104=1,$J104=2,EK$6=2),AND(EK$6=1,$N104&lt;&gt;1)),0,IF(EO104&lt;=120,EU104,IF(EK$4&lt;$AD$124,IF($F104=1,60/EM$4*EM$6,60/EM$4*EM$7),IF($F104=1,120/EM$4*EM$6,120/EM$4*EM$7)))),IF(OR($F104=3,$G104=2),IF(OR(AND(EK$4&gt;=$AD$119,$C104=2),AND(EK$4&gt;=$AF$119,$C104=1)),0,IF(EO104&lt;=60,EU104,60/EM$4*EM$7)),IF(AND($F104=2,$G104=1),EU104,0)))))</f>
        <v>0</v>
      </c>
      <c r="EX104" s="57" t="str">
        <f t="shared" si="545"/>
        <v/>
      </c>
      <c r="EY104" s="57" t="str">
        <f t="shared" si="546"/>
        <v/>
      </c>
      <c r="EZ104" s="713">
        <f>'org. Düngung 22'!AR103</f>
        <v>0</v>
      </c>
      <c r="FA104" s="57"/>
      <c r="FB104" s="57"/>
      <c r="FC104" s="57">
        <f t="shared" si="547"/>
        <v>0</v>
      </c>
      <c r="FD104" s="57">
        <f t="shared" si="726"/>
        <v>0</v>
      </c>
      <c r="FE104" s="57">
        <f t="shared" si="727"/>
        <v>0</v>
      </c>
      <c r="FF104" s="57">
        <f t="shared" si="728"/>
        <v>0</v>
      </c>
      <c r="FG104" s="57">
        <f t="shared" si="729"/>
        <v>0</v>
      </c>
      <c r="FH104" s="1029">
        <f t="shared" si="548"/>
        <v>0</v>
      </c>
      <c r="FI104" s="57">
        <f t="shared" si="549"/>
        <v>0</v>
      </c>
      <c r="FJ104" s="171" t="str">
        <f t="shared" si="550"/>
        <v/>
      </c>
      <c r="FK104" s="57">
        <f t="shared" si="730"/>
        <v>0</v>
      </c>
      <c r="FL104" s="57">
        <f>IF(OR(AND(EZ$6=1,$L104=0),AND(EZ$6=2,$K104=2,$G104=1)),0,IF(AND(FB$9=2,(OR($F104&gt;1,$K104=1,AND($L104=80,OR($N104=1,AND($N104=2,'#BerechnungDBE'!$AL95&gt;0)))))),IF(EZ$4&gt;=$AD$126,0,FJ104),IF(FB$9=3,IF(OR(EZ$4&gt;=$AD$127,AND($G104=1,$J104=2,EZ$6=2),AND(EZ$6=1,$N104&lt;&gt;1)),0,IF(FD104&lt;=120,FJ104,IF(EZ$4&lt;$AD$124,IF($F104=1,60/FB$4*FB$6,60/FB$4*FB$7),IF($F104=1,120/FB$4*FB$6,120/FB$4*FB$7)))),IF(OR($F104=3,$G104=2),IF(OR(AND(EZ$4&gt;=$AD$119,$C104=2),AND(EZ$4&gt;=$AF$119,$C104=1)),0,IF(FD104&lt;=60,FJ104,60/FB$4*FB$7)),IF(AND($F104=2,$G104=1),FJ104,0)))))</f>
        <v>0</v>
      </c>
      <c r="FM104" s="57" t="str">
        <f t="shared" si="551"/>
        <v/>
      </c>
      <c r="FN104" s="57" t="str">
        <f t="shared" si="552"/>
        <v/>
      </c>
      <c r="FO104" s="713">
        <f>'org. Düngung 22'!AV103</f>
        <v>0</v>
      </c>
      <c r="FP104" s="57"/>
      <c r="FQ104" s="57"/>
      <c r="FR104" s="57">
        <f t="shared" si="553"/>
        <v>0</v>
      </c>
      <c r="FS104" s="57">
        <f t="shared" si="731"/>
        <v>0</v>
      </c>
      <c r="FT104" s="57">
        <f t="shared" si="732"/>
        <v>0</v>
      </c>
      <c r="FU104" s="57">
        <f t="shared" si="733"/>
        <v>0</v>
      </c>
      <c r="FV104" s="57">
        <f t="shared" si="734"/>
        <v>0</v>
      </c>
      <c r="FW104" s="1029">
        <f t="shared" si="554"/>
        <v>0</v>
      </c>
      <c r="FX104" s="57">
        <f t="shared" si="555"/>
        <v>0</v>
      </c>
      <c r="FY104" s="171" t="str">
        <f t="shared" si="556"/>
        <v/>
      </c>
      <c r="FZ104" s="57">
        <f t="shared" si="735"/>
        <v>0</v>
      </c>
      <c r="GA104" s="57">
        <f>IF(OR(AND(FO$6=1,$L104=0),AND(FO$6=2,$K104=2,$G104=1)),0,IF(AND(FQ$9=2,(OR($F104&gt;1,$K104=1,AND($L104=80,OR($N104=1,AND($N104=2,'#BerechnungDBE'!$AL95&gt;0)))))),IF(FO$4&gt;=$AD$126,0,FY104),IF(FQ$9=3,IF(OR(FO$4&gt;=$AD$127,AND($G104=1,$J104=2,FO$6=2),AND(FO$6=1,$N104&lt;&gt;1)),0,IF(FS104&lt;=120,FY104,IF(FO$4&lt;$AD$124,IF($F104=1,60/FQ$4*FQ$6,60/FQ$4*FQ$7),IF($F104=1,120/FQ$4*FQ$6,120/FQ$4*FQ$7)))),IF(OR($F104=3,$G104=2),IF(OR(AND(FO$4&gt;=$AD$119,$C104=2),AND(FO$4&gt;=$AF$119,$C104=1)),0,IF(FS104&lt;=60,FY104,60/FQ$4*FQ$7)),IF(AND($F104=2,$G104=1),FY104,0)))))</f>
        <v>0</v>
      </c>
      <c r="GB104" s="57" t="str">
        <f t="shared" si="557"/>
        <v/>
      </c>
      <c r="GC104" s="57" t="str">
        <f t="shared" si="558"/>
        <v/>
      </c>
      <c r="GD104" s="713">
        <f>'org. Düngung 22'!AZ103</f>
        <v>0</v>
      </c>
      <c r="GE104" s="57"/>
      <c r="GF104" s="57"/>
      <c r="GG104" s="57">
        <f t="shared" si="559"/>
        <v>0</v>
      </c>
      <c r="GH104" s="57">
        <f t="shared" si="736"/>
        <v>0</v>
      </c>
      <c r="GI104" s="57">
        <f t="shared" si="737"/>
        <v>0</v>
      </c>
      <c r="GJ104" s="57">
        <f t="shared" si="738"/>
        <v>0</v>
      </c>
      <c r="GK104" s="57">
        <f t="shared" si="739"/>
        <v>0</v>
      </c>
      <c r="GL104" s="1029">
        <f t="shared" si="560"/>
        <v>0</v>
      </c>
      <c r="GM104" s="57">
        <f t="shared" si="561"/>
        <v>0</v>
      </c>
      <c r="GN104" s="171" t="str">
        <f t="shared" si="562"/>
        <v/>
      </c>
      <c r="GO104" s="57">
        <f t="shared" si="740"/>
        <v>0</v>
      </c>
      <c r="GP104" s="57">
        <f>IF(OR(AND(GD$6=1,$L104=0),AND(GD$6=2,$K104=2,$G104=1)),0,IF(AND(GF$9=2,(OR($F104&gt;1,$K104=1,AND($L104=80,OR($N104=1,AND($N104=2,'#BerechnungDBE'!$AL95&gt;0)))))),IF(GD$4&gt;=$AD$126,0,GN104),IF(GF$9=3,IF(OR(GD$4&gt;=$AD$127,AND($G104=1,$J104=2,GD$6=2),AND(GD$6=1,$N104&lt;&gt;1)),0,IF(GH104&lt;=120,GN104,IF(GD$4&lt;$AD$124,IF($F104=1,60/GF$4*GF$6,60/GF$4*GF$7),IF($F104=1,120/GF$4*GF$6,120/GF$4*GF$7)))),IF(OR($F104=3,$G104=2),IF(OR(AND(GD$4&gt;=$AD$119,$C104=2),AND(GD$4&gt;=$AF$119,$C104=1)),0,IF(GH104&lt;=60,GN104,60/GF$4*GF$7)),IF(AND($F104=2,$G104=1),GN104,0)))))</f>
        <v>0</v>
      </c>
      <c r="GQ104" s="57" t="str">
        <f t="shared" si="563"/>
        <v/>
      </c>
      <c r="GR104" s="57" t="str">
        <f t="shared" si="564"/>
        <v/>
      </c>
      <c r="GS104" s="713">
        <f>'org. Düngung 22'!BD103</f>
        <v>0</v>
      </c>
      <c r="GT104" s="57"/>
      <c r="GU104" s="57"/>
      <c r="GV104" s="57">
        <f t="shared" si="565"/>
        <v>0</v>
      </c>
      <c r="GW104" s="57">
        <f t="shared" si="741"/>
        <v>0</v>
      </c>
      <c r="GX104" s="57">
        <f t="shared" si="742"/>
        <v>0</v>
      </c>
      <c r="GY104" s="57">
        <f t="shared" si="743"/>
        <v>0</v>
      </c>
      <c r="GZ104" s="57">
        <f t="shared" si="744"/>
        <v>0</v>
      </c>
      <c r="HA104" s="1029">
        <f t="shared" si="566"/>
        <v>0</v>
      </c>
      <c r="HB104" s="57">
        <f t="shared" si="567"/>
        <v>0</v>
      </c>
      <c r="HC104" s="171" t="str">
        <f t="shared" si="568"/>
        <v/>
      </c>
      <c r="HD104" s="57">
        <f t="shared" si="745"/>
        <v>0</v>
      </c>
      <c r="HE104" s="57">
        <f>IF(OR(AND(GS$6=1,$L104=0),AND(GS$6=2,$K104=2,$G104=1)),0,IF(AND(GU$9=2,(OR($F104&gt;1,$K104=1,AND($L104=80,OR($N104=1,AND($N104=2,'#BerechnungDBE'!$AL95&gt;0)))))),IF(GS$4&gt;=$AD$126,0,HC104),IF(GU$9=3,IF(OR(GS$4&gt;=$AD$127,AND($G104=1,$J104=2,GS$6=2),AND(GS$6=1,$N104&lt;&gt;1)),0,IF(GW104&lt;=120,HC104,IF(GS$4&lt;$AD$124,IF($F104=1,60/GU$4*GU$6,60/GU$4*GU$7),IF($F104=1,120/GU$4*GU$6,120/GU$4*GU$7)))),IF(OR($F104=3,$G104=2),IF(OR(AND(GS$4&gt;=$AD$119,$C104=2),AND(GS$4&gt;=$AF$119,$C104=1)),0,IF(GW104&lt;=60,HC104,60/GU$4*GU$7)),IF(AND($F104=2,$G104=1),HC104,0)))))</f>
        <v>0</v>
      </c>
      <c r="HF104" s="57" t="str">
        <f t="shared" si="569"/>
        <v/>
      </c>
      <c r="HG104" s="57" t="str">
        <f t="shared" si="570"/>
        <v/>
      </c>
      <c r="HH104" s="713">
        <f>'org. Düngung 22'!BH103</f>
        <v>0</v>
      </c>
      <c r="HI104" s="57"/>
      <c r="HJ104" s="57"/>
      <c r="HK104" s="57">
        <f t="shared" si="571"/>
        <v>0</v>
      </c>
      <c r="HL104" s="57">
        <f t="shared" si="746"/>
        <v>0</v>
      </c>
      <c r="HM104" s="57">
        <f t="shared" si="747"/>
        <v>0</v>
      </c>
      <c r="HN104" s="57">
        <f t="shared" si="748"/>
        <v>0</v>
      </c>
      <c r="HO104" s="57">
        <f t="shared" si="749"/>
        <v>0</v>
      </c>
      <c r="HP104" s="1029">
        <f t="shared" si="572"/>
        <v>0</v>
      </c>
      <c r="HQ104" s="57">
        <f t="shared" si="573"/>
        <v>0</v>
      </c>
      <c r="HR104" s="171" t="str">
        <f t="shared" si="574"/>
        <v/>
      </c>
      <c r="HS104" s="57">
        <f t="shared" si="750"/>
        <v>0</v>
      </c>
      <c r="HT104" s="57">
        <f>IF(OR(AND(HH$6=1,$L104=0),AND(HH$6=2,$K104=2,$G104=1)),0,IF(AND(HJ$9=2,(OR($F104&gt;1,$K104=1,AND($L104=80,OR($N104=1,AND($N104=2,'#BerechnungDBE'!$AL95&gt;0)))))),IF(HH$4&gt;=$AD$126,0,HR104),IF(HJ$9=3,IF(OR(HH$4&gt;=$AD$127,AND($G104=1,$J104=2,HH$6=2),AND(HH$6=1,$N104&lt;&gt;1)),0,IF(HL104&lt;=120,HR104,IF(HH$4&lt;$AD$124,IF($F104=1,60/HJ$4*HJ$6,60/HJ$4*HJ$7),IF($F104=1,120/HJ$4*HJ$6,120/HJ$4*HJ$7)))),IF(OR($F104=3,$G104=2),IF(OR(AND(HH$4&gt;=$AD$119,$C104=2),AND(HH$4&gt;=$AF$119,$C104=1)),0,IF(HL104&lt;=60,HR104,60/HJ$4*HJ$7)),IF(AND($F104=2,$G104=1),HR104,0)))))</f>
        <v>0</v>
      </c>
      <c r="HU104" s="57" t="str">
        <f t="shared" si="575"/>
        <v/>
      </c>
      <c r="HV104" s="57" t="str">
        <f t="shared" si="576"/>
        <v/>
      </c>
      <c r="HW104" s="713">
        <f>'org. Düngung 22'!BL103</f>
        <v>0</v>
      </c>
      <c r="HX104" s="57"/>
      <c r="HY104" s="57"/>
      <c r="HZ104" s="57">
        <f t="shared" si="577"/>
        <v>0</v>
      </c>
      <c r="IA104" s="57">
        <f t="shared" si="751"/>
        <v>0</v>
      </c>
      <c r="IB104" s="57">
        <f t="shared" si="752"/>
        <v>0</v>
      </c>
      <c r="IC104" s="57">
        <f t="shared" si="753"/>
        <v>0</v>
      </c>
      <c r="ID104" s="57">
        <f t="shared" si="754"/>
        <v>0</v>
      </c>
      <c r="IE104" s="1029">
        <f t="shared" si="578"/>
        <v>0</v>
      </c>
      <c r="IF104" s="57">
        <f t="shared" si="579"/>
        <v>0</v>
      </c>
      <c r="IG104" s="171" t="str">
        <f t="shared" si="580"/>
        <v/>
      </c>
      <c r="IH104" s="57">
        <f t="shared" si="755"/>
        <v>0</v>
      </c>
      <c r="II104" s="57">
        <f>IF(OR(AND(HW$6=1,$L104=0),AND(HW$6=2,$K104=2,$G104=1)),0,IF(AND(HY$9=2,(OR($F104&gt;1,$K104=1,AND($L104=80,OR($N104=1,AND($N104=2,'#BerechnungDBE'!$AL95&gt;0)))))),IF(HW$4&gt;=$AD$126,0,IG104),IF(HY$9=3,IF(OR(HW$4&gt;=$AD$127,AND($G104=1,$J104=2,HW$6=2),AND(HW$6=1,$N104&lt;&gt;1)),0,IF(IA104&lt;=120,IG104,IF(HW$4&lt;$AD$124,IF($F104=1,60/HY$4*HY$6,60/HY$4*HY$7),IF($F104=1,120/HY$4*HY$6,120/HY$4*HY$7)))),IF(OR($F104=3,$G104=2),IF(OR(AND(HW$4&gt;=$AD$119,$C104=2),AND(HW$4&gt;=$AF$119,$C104=1)),0,IF(IA104&lt;=60,IG104,60/HY$4*HY$7)),IF(AND($F104=2,$G104=1),IG104,0)))))</f>
        <v>0</v>
      </c>
      <c r="IJ104" s="57" t="str">
        <f t="shared" si="581"/>
        <v/>
      </c>
      <c r="IK104" s="57" t="str">
        <f t="shared" si="582"/>
        <v/>
      </c>
      <c r="IL104" s="713">
        <f>'org. Düngung 22'!BP103</f>
        <v>0</v>
      </c>
      <c r="IM104" s="57"/>
      <c r="IN104" s="57"/>
      <c r="IO104" s="57">
        <f t="shared" si="583"/>
        <v>0</v>
      </c>
      <c r="IP104" s="57">
        <f t="shared" si="756"/>
        <v>0</v>
      </c>
      <c r="IQ104" s="57">
        <f t="shared" si="757"/>
        <v>0</v>
      </c>
      <c r="IR104" s="57">
        <f t="shared" si="758"/>
        <v>0</v>
      </c>
      <c r="IS104" s="57">
        <f t="shared" si="759"/>
        <v>0</v>
      </c>
      <c r="IT104" s="1029">
        <f t="shared" si="584"/>
        <v>0</v>
      </c>
      <c r="IU104" s="57">
        <f t="shared" si="585"/>
        <v>0</v>
      </c>
      <c r="IV104" s="171" t="str">
        <f t="shared" si="586"/>
        <v/>
      </c>
      <c r="IW104" s="57">
        <f t="shared" si="760"/>
        <v>0</v>
      </c>
      <c r="IX104" s="57">
        <f>IF(OR(AND(IL$6=1,$L104=0),AND(IL$6=2,$K104=2,$G104=1)),0,IF(AND(IN$9=2,(OR($F104&gt;1,$K104=1,AND($L104=80,OR($N104=1,AND($N104=2,'#BerechnungDBE'!$AL95&gt;0)))))),IF(IL$4&gt;=$AD$126,0,IV104),IF(IN$9=3,IF(OR(IL$4&gt;=$AD$127,AND($G104=1,$J104=2,IL$6=2),AND(IL$6=1,$N104&lt;&gt;1)),0,IF(IP104&lt;=120,IV104,IF(IL$4&lt;$AD$124,IF($F104=1,60/IN$4*IN$6,60/IN$4*IN$7),IF($F104=1,120/IN$4*IN$6,120/IN$4*IN$7)))),IF(OR($F104=3,$G104=2),IF(OR(AND(IL$4&gt;=$AD$119,$C104=2),AND(IL$4&gt;=$AF$119,$C104=1)),0,IF(IP104&lt;=60,IV104,60/IN$4*IN$7)),IF(AND($F104=2,$G104=1),IV104,0)))))</f>
        <v>0</v>
      </c>
      <c r="IY104" s="57" t="str">
        <f t="shared" si="587"/>
        <v/>
      </c>
      <c r="IZ104" s="57" t="str">
        <f t="shared" si="588"/>
        <v/>
      </c>
      <c r="JA104" s="713">
        <f>'org. Düngung 22'!BT103</f>
        <v>0</v>
      </c>
      <c r="JB104" s="57"/>
      <c r="JC104" s="57"/>
      <c r="JD104" s="57">
        <f t="shared" si="589"/>
        <v>0</v>
      </c>
      <c r="JE104" s="57">
        <f t="shared" si="761"/>
        <v>0</v>
      </c>
      <c r="JF104" s="57">
        <f t="shared" si="762"/>
        <v>0</v>
      </c>
      <c r="JG104" s="57">
        <f t="shared" si="763"/>
        <v>0</v>
      </c>
      <c r="JH104" s="57">
        <f t="shared" si="764"/>
        <v>0</v>
      </c>
      <c r="JI104" s="1029">
        <f t="shared" si="590"/>
        <v>0</v>
      </c>
      <c r="JJ104" s="57">
        <f t="shared" si="591"/>
        <v>0</v>
      </c>
      <c r="JK104" s="171" t="str">
        <f t="shared" si="592"/>
        <v/>
      </c>
      <c r="JL104" s="57">
        <f t="shared" si="765"/>
        <v>0</v>
      </c>
      <c r="JM104" s="57">
        <f>IF(OR(AND(JA$6=1,$L104=0),AND(JA$6=2,$K104=2,$G104=1)),0,IF(AND(JC$9=2,(OR($F104&gt;1,$K104=1,AND($L104=80,OR($N104=1,AND($N104=2,'#BerechnungDBE'!$AL95&gt;0)))))),IF(JA$4&gt;=$AD$126,0,JK104),IF(JC$9=3,IF(OR(JA$4&gt;=$AD$127,AND($G104=1,$J104=2,JA$6=2),AND(JA$6=1,$N104&lt;&gt;1)),0,IF(JE104&lt;=120,JK104,IF(JA$4&lt;$AD$124,IF($F104=1,60/JC$4*JC$6,60/JC$4*JC$7),IF($F104=1,120/JC$4*JC$6,120/JC$4*JC$7)))),IF(OR($F104=3,$G104=2),IF(OR(AND(JA$4&gt;=$AD$119,$C104=2),AND(JA$4&gt;=$AF$119,$C104=1)),0,IF(JE104&lt;=60,JK104,60/JC$4*JC$7)),IF(AND($F104=2,$G104=1),JK104,0)))))</f>
        <v>0</v>
      </c>
      <c r="JN104" s="57" t="str">
        <f t="shared" si="593"/>
        <v/>
      </c>
      <c r="JO104" s="57" t="str">
        <f t="shared" si="594"/>
        <v/>
      </c>
      <c r="JP104" s="713">
        <f>'org. Düngung 22'!BX103</f>
        <v>0</v>
      </c>
      <c r="JQ104" s="57"/>
      <c r="JR104" s="57"/>
      <c r="JS104" s="57">
        <f t="shared" si="595"/>
        <v>0</v>
      </c>
      <c r="JT104" s="57">
        <f t="shared" si="766"/>
        <v>0</v>
      </c>
      <c r="JU104" s="57">
        <f t="shared" si="767"/>
        <v>0</v>
      </c>
      <c r="JV104" s="57">
        <f t="shared" si="768"/>
        <v>0</v>
      </c>
      <c r="JW104" s="57">
        <f t="shared" si="769"/>
        <v>0</v>
      </c>
      <c r="JX104" s="1029">
        <f t="shared" si="596"/>
        <v>0</v>
      </c>
      <c r="JY104" s="57">
        <f t="shared" si="597"/>
        <v>0</v>
      </c>
      <c r="JZ104" s="171" t="str">
        <f t="shared" si="598"/>
        <v/>
      </c>
      <c r="KA104" s="57">
        <f t="shared" si="770"/>
        <v>0</v>
      </c>
      <c r="KB104" s="57">
        <f>IF(OR(AND(JP$6=1,$L104=0),AND(JP$6=2,$K104=2,$G104=1)),0,IF(AND(JR$9=2,(OR($F104&gt;1,$K104=1,AND($L104=80,OR($N104=1,AND($N104=2,'#BerechnungDBE'!$AL95&gt;0)))))),IF(JP$4&gt;=$AD$126,0,JZ104),IF(JR$9=3,IF(OR(JP$4&gt;=$AD$127,AND($G104=1,$J104=2,JP$6=2),AND(JP$6=1,$N104&lt;&gt;1)),0,IF(JT104&lt;=120,JZ104,IF(JP$4&lt;$AD$124,IF($F104=1,60/JR$4*JR$6,60/JR$4*JR$7),IF($F104=1,120/JR$4*JR$6,120/JR$4*JR$7)))),IF(OR($F104=3,$G104=2),IF(OR(AND(JP$4&gt;=$AD$119,$C104=2),AND(JP$4&gt;=$AF$119,$C104=1)),0,IF(JT104&lt;=60,JZ104,60/JR$4*JR$7)),IF(AND($F104=2,$G104=1),JZ104,0)))))</f>
        <v>0</v>
      </c>
      <c r="KC104" s="57" t="str">
        <f t="shared" si="599"/>
        <v/>
      </c>
      <c r="KD104" s="57" t="str">
        <f t="shared" si="600"/>
        <v/>
      </c>
      <c r="KE104" s="713">
        <f>'org. Düngung 22'!CB103</f>
        <v>0</v>
      </c>
      <c r="KF104" s="57"/>
      <c r="KG104" s="57"/>
      <c r="KH104" s="57">
        <f t="shared" si="601"/>
        <v>0</v>
      </c>
      <c r="KI104" s="57">
        <f t="shared" si="771"/>
        <v>0</v>
      </c>
      <c r="KJ104" s="57">
        <f t="shared" si="772"/>
        <v>0</v>
      </c>
      <c r="KK104" s="57">
        <f t="shared" si="773"/>
        <v>0</v>
      </c>
      <c r="KL104" s="57">
        <f t="shared" si="774"/>
        <v>0</v>
      </c>
      <c r="KM104" s="1029">
        <f t="shared" si="602"/>
        <v>0</v>
      </c>
      <c r="KN104" s="57">
        <f t="shared" si="603"/>
        <v>0</v>
      </c>
      <c r="KO104" s="171" t="str">
        <f t="shared" si="604"/>
        <v/>
      </c>
      <c r="KP104" s="57">
        <f t="shared" si="775"/>
        <v>0</v>
      </c>
      <c r="KQ104" s="57">
        <f>IF(OR(AND(KE$6=1,$L104=0),AND(KE$6=2,$K104=2,$G104=1)),0,IF(AND(KG$9=2,(OR($F104&gt;1,$K104=1,AND($L104=80,OR($N104=1,AND($N104=2,'#BerechnungDBE'!$AL95&gt;0)))))),IF(KE$4&gt;=$AD$126,0,KO104),IF(KG$9=3,IF(OR(KE$4&gt;=$AD$127,AND($G104=1,$J104=2,KE$6=2),AND(KE$6=1,$N104&lt;&gt;1)),0,IF(KI104&lt;=120,KO104,IF(KE$4&lt;$AD$124,IF($F104=1,60/KG$4*KG$6,60/KG$4*KG$7),IF($F104=1,120/KG$4*KG$6,120/KG$4*KG$7)))),IF(OR($F104=3,$G104=2),IF(OR(AND(KE$4&gt;=$AD$119,$C104=2),AND(KE$4&gt;=$AF$119,$C104=1)),0,IF(KI104&lt;=60,KO104,60/KG$4*KG$7)),IF(AND($F104=2,$G104=1),KO104,0)))))</f>
        <v>0</v>
      </c>
      <c r="KR104" s="57" t="str">
        <f t="shared" si="605"/>
        <v/>
      </c>
      <c r="KS104" s="57" t="str">
        <f t="shared" si="606"/>
        <v/>
      </c>
      <c r="KT104" s="713">
        <f>'org. Düngung 22'!CF103</f>
        <v>0</v>
      </c>
      <c r="KU104" s="57"/>
      <c r="KV104" s="57"/>
      <c r="KW104" s="57">
        <f t="shared" si="607"/>
        <v>0</v>
      </c>
      <c r="KX104" s="57">
        <f t="shared" si="776"/>
        <v>0</v>
      </c>
      <c r="KY104" s="57">
        <f t="shared" si="777"/>
        <v>0</v>
      </c>
      <c r="KZ104" s="57">
        <f t="shared" si="778"/>
        <v>0</v>
      </c>
      <c r="LA104" s="57">
        <f t="shared" si="779"/>
        <v>0</v>
      </c>
      <c r="LB104" s="1029">
        <f t="shared" si="608"/>
        <v>0</v>
      </c>
      <c r="LC104" s="57">
        <f t="shared" si="609"/>
        <v>0</v>
      </c>
      <c r="LD104" s="171" t="str">
        <f t="shared" si="610"/>
        <v/>
      </c>
      <c r="LE104" s="57">
        <f t="shared" si="780"/>
        <v>0</v>
      </c>
      <c r="LF104" s="57">
        <f>IF(OR(AND(KT$6=1,$L104=0),AND(KT$6=2,$K104=2,$G104=1)),0,IF(AND(KV$9=2,(OR($F104&gt;1,$K104=1,AND($L104=80,OR($N104=1,AND($N104=2,'#BerechnungDBE'!$AL95&gt;0)))))),IF(KT$4&gt;=$AD$126,0,LD104),IF(KV$9=3,IF(OR(KT$4&gt;=$AD$127,AND($G104=1,$J104=2,KT$6=2),AND(KT$6=1,$N104&lt;&gt;1)),0,IF(KX104&lt;=120,LD104,IF(KT$4&lt;$AD$124,IF($F104=1,60/KV$4*KV$6,60/KV$4*KV$7),IF($F104=1,120/KV$4*KV$6,120/KV$4*KV$7)))),IF(OR($F104=3,$G104=2),IF(OR(AND(KT$4&gt;=$AD$119,$C104=2),AND(KT$4&gt;=$AF$119,$C104=1)),0,IF(KX104&lt;=60,LD104,60/KV$4*KV$7)),IF(AND($F104=2,$G104=1),LD104,0)))))</f>
        <v>0</v>
      </c>
      <c r="LG104" s="57" t="str">
        <f t="shared" si="611"/>
        <v/>
      </c>
      <c r="LH104" s="57" t="str">
        <f t="shared" si="612"/>
        <v/>
      </c>
      <c r="LI104" s="713">
        <f>'org. Düngung 22'!CJ103</f>
        <v>0</v>
      </c>
      <c r="LJ104" s="57"/>
      <c r="LK104" s="57"/>
      <c r="LL104" s="57">
        <f t="shared" si="613"/>
        <v>0</v>
      </c>
      <c r="LM104" s="57">
        <f t="shared" si="781"/>
        <v>0</v>
      </c>
      <c r="LN104" s="57">
        <f t="shared" si="782"/>
        <v>0</v>
      </c>
      <c r="LO104" s="57">
        <f t="shared" si="783"/>
        <v>0</v>
      </c>
      <c r="LP104" s="57">
        <f t="shared" si="784"/>
        <v>0</v>
      </c>
      <c r="LQ104" s="1029">
        <f t="shared" si="614"/>
        <v>0</v>
      </c>
      <c r="LR104" s="57">
        <f t="shared" si="615"/>
        <v>0</v>
      </c>
      <c r="LS104" s="171" t="str">
        <f t="shared" si="616"/>
        <v/>
      </c>
      <c r="LT104" s="57">
        <f t="shared" si="785"/>
        <v>0</v>
      </c>
      <c r="LU104" s="57">
        <f>IF(OR(AND(LI$6=1,$L104=0),AND(LI$6=2,$K104=2,$G104=1)),0,IF(AND(LK$9=2,(OR($F104&gt;1,$K104=1,AND($L104=80,OR($N104=1,AND($N104=2,'#BerechnungDBE'!$AL95&gt;0)))))),IF(LI$4&gt;=$AD$126,0,LS104),IF(LK$9=3,IF(OR(LI$4&gt;=$AD$127,AND($G104=1,$J104=2,LI$6=2),AND(LI$6=1,$N104&lt;&gt;1)),0,IF(LM104&lt;=120,LS104,IF(LI$4&lt;$AD$124,IF($F104=1,60/LK$4*LK$6,60/LK$4*LK$7),IF($F104=1,120/LK$4*LK$6,120/LK$4*LK$7)))),IF(OR($F104=3,$G104=2),IF(OR(AND(LI$4&gt;=$AD$119,$C104=2),AND(LI$4&gt;=$AF$119,$C104=1)),0,IF(LM104&lt;=60,LS104,60/LK$4*LK$7)),IF(AND($F104=2,$G104=1),LS104,0)))))</f>
        <v>0</v>
      </c>
      <c r="LV104" s="57" t="str">
        <f t="shared" si="617"/>
        <v/>
      </c>
      <c r="LW104" s="57" t="str">
        <f t="shared" si="618"/>
        <v/>
      </c>
      <c r="LX104" s="713">
        <f>'org. Düngung 22'!CN103</f>
        <v>0</v>
      </c>
      <c r="LY104" s="57"/>
      <c r="LZ104" s="57"/>
      <c r="MA104" s="57">
        <f t="shared" si="619"/>
        <v>0</v>
      </c>
      <c r="MB104" s="57">
        <f t="shared" si="786"/>
        <v>0</v>
      </c>
      <c r="MC104" s="57">
        <f t="shared" si="787"/>
        <v>0</v>
      </c>
      <c r="MD104" s="57">
        <f t="shared" si="788"/>
        <v>0</v>
      </c>
      <c r="ME104" s="57">
        <f t="shared" si="789"/>
        <v>0</v>
      </c>
      <c r="MF104" s="1029">
        <f t="shared" si="620"/>
        <v>0</v>
      </c>
      <c r="MG104" s="57">
        <f t="shared" si="621"/>
        <v>0</v>
      </c>
      <c r="MH104" s="171" t="str">
        <f t="shared" si="622"/>
        <v/>
      </c>
      <c r="MI104" s="57">
        <f t="shared" si="790"/>
        <v>0</v>
      </c>
      <c r="MJ104" s="57">
        <f>IF(OR(AND(LX$6=1,$L104=0),AND(LX$6=2,$K104=2,$G104=1)),0,IF(AND(LZ$9=2,(OR($F104&gt;1,$K104=1,AND($L104=80,OR($N104=1,AND($N104=2,'#BerechnungDBE'!$AL95&gt;0)))))),IF(LX$4&gt;=$AD$126,0,MH104),IF(LZ$9=3,IF(OR(LX$4&gt;=$AD$127,AND($G104=1,$J104=2,LX$6=2),AND(LX$6=1,$N104&lt;&gt;1)),0,IF(MB104&lt;=120,MH104,IF(LX$4&lt;$AD$124,IF($F104=1,60/LZ$4*LZ$6,60/LZ$4*LZ$7),IF($F104=1,120/LZ$4*LZ$6,120/LZ$4*LZ$7)))),IF(OR($F104=3,$G104=2),IF(OR(AND(LX$4&gt;=$AD$119,$C104=2),AND(LX$4&gt;=$AF$119,$C104=1)),0,IF(MB104&lt;=60,MH104,60/LZ$4*LZ$7)),IF(AND($F104=2,$G104=1),MH104,0)))))</f>
        <v>0</v>
      </c>
      <c r="MK104" s="57" t="str">
        <f t="shared" si="623"/>
        <v/>
      </c>
      <c r="ML104" s="57" t="str">
        <f t="shared" si="624"/>
        <v/>
      </c>
      <c r="MM104" s="713">
        <f>'org. Düngung 22'!CR103</f>
        <v>0</v>
      </c>
      <c r="MN104" s="57"/>
      <c r="MO104" s="57"/>
      <c r="MP104" s="57">
        <f t="shared" si="625"/>
        <v>0</v>
      </c>
      <c r="MQ104" s="57">
        <f t="shared" si="791"/>
        <v>0</v>
      </c>
      <c r="MR104" s="57">
        <f t="shared" si="792"/>
        <v>0</v>
      </c>
      <c r="MS104" s="57">
        <f t="shared" si="793"/>
        <v>0</v>
      </c>
      <c r="MT104" s="57">
        <f t="shared" si="794"/>
        <v>0</v>
      </c>
      <c r="MU104" s="1029">
        <f t="shared" si="626"/>
        <v>0</v>
      </c>
      <c r="MV104" s="57">
        <f t="shared" si="627"/>
        <v>0</v>
      </c>
      <c r="MW104" s="171" t="str">
        <f t="shared" si="628"/>
        <v/>
      </c>
      <c r="MX104" s="57">
        <f t="shared" si="795"/>
        <v>0</v>
      </c>
      <c r="MY104" s="57">
        <f>IF(OR(AND(MM$6=1,$L104=0),AND(MM$6=2,$K104=2,$G104=1)),0,IF(AND(MO$9=2,(OR($F104&gt;1,$K104=1,AND($L104=80,OR($N104=1,AND($N104=2,'#BerechnungDBE'!$AL95&gt;0)))))),IF(MM$4&gt;=$AD$126,0,MW104),IF(MO$9=3,IF(OR(MM$4&gt;=$AD$127,AND($G104=1,$J104=2,MM$6=2),AND(MM$6=1,$N104&lt;&gt;1)),0,IF(MQ104&lt;=120,MW104,IF(MM$4&lt;$AD$124,IF($F104=1,60/MO$4*MO$6,60/MO$4*MO$7),IF($F104=1,120/MO$4*MO$6,120/MO$4*MO$7)))),IF(OR($F104=3,$G104=2),IF(OR(AND(MM$4&gt;=$AD$119,$C104=2),AND(MM$4&gt;=$AF$119,$C104=1)),0,IF(MQ104&lt;=60,MW104,60/MO$4*MO$7)),IF(AND($F104=2,$G104=1),MW104,0)))))</f>
        <v>0</v>
      </c>
      <c r="MZ104" s="57" t="str">
        <f t="shared" si="629"/>
        <v/>
      </c>
      <c r="NA104" s="57" t="str">
        <f t="shared" si="630"/>
        <v/>
      </c>
      <c r="NB104" s="713">
        <f>'org. Düngung 22'!CV103</f>
        <v>0</v>
      </c>
      <c r="NC104" s="57"/>
      <c r="ND104" s="57"/>
      <c r="NE104" s="57">
        <f t="shared" si="631"/>
        <v>0</v>
      </c>
      <c r="NF104" s="57">
        <f t="shared" si="796"/>
        <v>0</v>
      </c>
      <c r="NG104" s="57">
        <f t="shared" si="797"/>
        <v>0</v>
      </c>
      <c r="NH104" s="57">
        <f t="shared" si="798"/>
        <v>0</v>
      </c>
      <c r="NI104" s="57">
        <f t="shared" si="799"/>
        <v>0</v>
      </c>
      <c r="NJ104" s="1029">
        <f t="shared" si="632"/>
        <v>0</v>
      </c>
      <c r="NK104" s="57">
        <f t="shared" si="633"/>
        <v>0</v>
      </c>
      <c r="NL104" s="171" t="str">
        <f t="shared" si="634"/>
        <v/>
      </c>
      <c r="NM104" s="57">
        <f t="shared" si="800"/>
        <v>0</v>
      </c>
      <c r="NN104" s="57">
        <f>IF(OR(AND(NB$6=1,$L104=0),AND(NB$6=2,$K104=2,$G104=1)),0,IF(AND(ND$9=2,(OR($F104&gt;1,$K104=1,AND($L104=80,OR($N104=1,AND($N104=2,'#BerechnungDBE'!$AL95&gt;0)))))),IF(NB$4&gt;=$AD$126,0,NL104),IF(ND$9=3,IF(OR(NB$4&gt;=$AD$127,AND($G104=1,$J104=2,NB$6=2),AND(NB$6=1,$N104&lt;&gt;1)),0,IF(NF104&lt;=120,NL104,IF(NB$4&lt;$AD$124,IF($F104=1,60/ND$4*ND$6,60/ND$4*ND$7),IF($F104=1,120/ND$4*ND$6,120/ND$4*ND$7)))),IF(OR($F104=3,$G104=2),IF(OR(AND(NB$4&gt;=$AD$119,$C104=2),AND(NB$4&gt;=$AF$119,$C104=1)),0,IF(NF104&lt;=60,NL104,60/ND$4*ND$7)),IF(AND($F104=2,$G104=1),NL104,0)))))</f>
        <v>0</v>
      </c>
      <c r="NO104" s="57" t="str">
        <f t="shared" si="635"/>
        <v/>
      </c>
      <c r="NP104" s="57" t="str">
        <f t="shared" si="636"/>
        <v/>
      </c>
      <c r="NQ104" s="713">
        <f>'org. Düngung 22'!CZ103</f>
        <v>0</v>
      </c>
      <c r="NR104" s="57"/>
      <c r="NS104" s="57"/>
      <c r="NT104" s="57">
        <f t="shared" si="637"/>
        <v>0</v>
      </c>
      <c r="NU104" s="57">
        <f t="shared" si="801"/>
        <v>0</v>
      </c>
      <c r="NV104" s="57">
        <f t="shared" si="802"/>
        <v>0</v>
      </c>
      <c r="NW104" s="57">
        <f t="shared" si="803"/>
        <v>0</v>
      </c>
      <c r="NX104" s="57">
        <f t="shared" si="804"/>
        <v>0</v>
      </c>
      <c r="NY104" s="1029">
        <f t="shared" si="638"/>
        <v>0</v>
      </c>
      <c r="NZ104" s="57">
        <f t="shared" si="639"/>
        <v>0</v>
      </c>
      <c r="OA104" s="171" t="str">
        <f t="shared" si="640"/>
        <v/>
      </c>
      <c r="OB104" s="57">
        <f t="shared" si="805"/>
        <v>0</v>
      </c>
      <c r="OC104" s="57">
        <f>IF(OR(AND(NQ$6=1,$L104=0),AND(NQ$6=2,$K104=2,$G104=1)),0,IF(AND(NS$9=2,(OR($F104&gt;1,$K104=1,AND($L104=80,OR($N104=1,AND($N104=2,'#BerechnungDBE'!$AL95&gt;0)))))),IF(NQ$4&gt;=$AD$126,0,OA104),IF(NS$9=3,IF(OR(NQ$4&gt;=$AD$127,AND($G104=1,$J104=2,NQ$6=2),AND(NQ$6=1,$N104&lt;&gt;1)),0,IF(NU104&lt;=120,OA104,IF(NQ$4&lt;$AD$124,IF($F104=1,60/NS$4*NS$6,60/NS$4*NS$7),IF($F104=1,120/NS$4*NS$6,120/NS$4*NS$7)))),IF(OR($F104=3,$G104=2),IF(OR(AND(NQ$4&gt;=$AD$119,$C104=2),AND(NQ$4&gt;=$AF$119,$C104=1)),0,IF(NU104&lt;=60,OA104,60/NS$4*NS$7)),IF(AND($F104=2,$G104=1),OA104,0)))))</f>
        <v>0</v>
      </c>
      <c r="OD104" s="57" t="str">
        <f t="shared" si="641"/>
        <v/>
      </c>
      <c r="OE104" s="57" t="str">
        <f t="shared" si="642"/>
        <v/>
      </c>
      <c r="OF104" s="713">
        <f>'org. Düngung 22'!DD103</f>
        <v>0</v>
      </c>
      <c r="OG104" s="57"/>
      <c r="OH104" s="57"/>
      <c r="OI104" s="57">
        <f t="shared" si="643"/>
        <v>0</v>
      </c>
      <c r="OJ104" s="57">
        <f t="shared" si="806"/>
        <v>0</v>
      </c>
      <c r="OK104" s="57">
        <f t="shared" si="807"/>
        <v>0</v>
      </c>
      <c r="OL104" s="57">
        <f t="shared" si="808"/>
        <v>0</v>
      </c>
      <c r="OM104" s="57">
        <f t="shared" si="809"/>
        <v>0</v>
      </c>
      <c r="ON104" s="1029">
        <f t="shared" si="644"/>
        <v>0</v>
      </c>
      <c r="OO104" s="57">
        <f t="shared" si="645"/>
        <v>0</v>
      </c>
      <c r="OP104" s="171" t="str">
        <f t="shared" si="646"/>
        <v/>
      </c>
      <c r="OQ104" s="57">
        <f t="shared" si="810"/>
        <v>0</v>
      </c>
      <c r="OR104" s="57">
        <f>IF(OR(AND(OF$6=1,$L104=0),AND(OF$6=2,$K104=2,$G104=1)),0,IF(AND(OH$9=2,(OR($F104&gt;1,$K104=1,AND($L104=80,OR($N104=1,AND($N104=2,'#BerechnungDBE'!$AL95&gt;0)))))),IF(OF$4&gt;=$AD$126,0,OP104),IF(OH$9=3,IF(OR(OF$4&gt;=$AD$127,AND($G104=1,$J104=2,OF$6=2),AND(OF$6=1,$N104&lt;&gt;1)),0,IF(OJ104&lt;=120,OP104,IF(OF$4&lt;$AD$124,IF($F104=1,60/OH$4*OH$6,60/OH$4*OH$7),IF($F104=1,120/OH$4*OH$6,120/OH$4*OH$7)))),IF(OR($F104=3,$G104=2),IF(OR(AND(OF$4&gt;=$AD$119,$C104=2),AND(OF$4&gt;=$AF$119,$C104=1)),0,IF(OJ104&lt;=60,OP104,60/OH$4*OH$7)),IF(AND($F104=2,$G104=1),OP104,0)))))</f>
        <v>0</v>
      </c>
      <c r="OS104" s="57" t="str">
        <f t="shared" si="647"/>
        <v/>
      </c>
      <c r="OT104" s="57" t="str">
        <f t="shared" si="648"/>
        <v/>
      </c>
      <c r="OU104" s="713">
        <f>'org. Düngung 22'!DH103</f>
        <v>0</v>
      </c>
      <c r="OV104" s="57"/>
      <c r="OW104" s="57"/>
      <c r="OX104" s="57">
        <f t="shared" si="649"/>
        <v>0</v>
      </c>
      <c r="OY104" s="57">
        <f t="shared" si="811"/>
        <v>0</v>
      </c>
      <c r="OZ104" s="57">
        <f t="shared" si="812"/>
        <v>0</v>
      </c>
      <c r="PA104" s="57">
        <f t="shared" si="813"/>
        <v>0</v>
      </c>
      <c r="PB104" s="57">
        <f t="shared" si="814"/>
        <v>0</v>
      </c>
      <c r="PC104" s="1029">
        <f t="shared" si="650"/>
        <v>0</v>
      </c>
      <c r="PD104" s="57">
        <f t="shared" si="651"/>
        <v>0</v>
      </c>
      <c r="PE104" s="171" t="str">
        <f t="shared" si="652"/>
        <v/>
      </c>
      <c r="PF104" s="57">
        <f t="shared" si="815"/>
        <v>0</v>
      </c>
      <c r="PG104" s="57">
        <f>IF(OR(AND(OU$6=1,$L104=0),AND(OU$6=2,$K104=2,$G104=1)),0,IF(AND(OW$9=2,(OR($F104&gt;1,$K104=1,AND($L104=80,OR($N104=1,AND($N104=2,'#BerechnungDBE'!$AL95&gt;0)))))),IF(OU$4&gt;=$AD$126,0,PE104),IF(OW$9=3,IF(OR(OU$4&gt;=$AD$127,AND($G104=1,$J104=2,OU$6=2),AND(OU$6=1,$N104&lt;&gt;1)),0,IF(OY104&lt;=120,PE104,IF(OU$4&lt;$AD$124,IF($F104=1,60/OW$4*OW$6,60/OW$4*OW$7),IF($F104=1,120/OW$4*OW$6,120/OW$4*OW$7)))),IF(OR($F104=3,$G104=2),IF(OR(AND(OU$4&gt;=$AD$119,$C104=2),AND(OU$4&gt;=$AF$119,$C104=1)),0,IF(OY104&lt;=60,PE104,60/OW$4*OW$7)),IF(AND($F104=2,$G104=1),PE104,0)))))</f>
        <v>0</v>
      </c>
      <c r="PH104" s="57" t="str">
        <f t="shared" si="653"/>
        <v/>
      </c>
      <c r="PI104" s="57" t="str">
        <f t="shared" si="654"/>
        <v/>
      </c>
      <c r="PJ104" s="713">
        <f>'org. Düngung 22'!DL103</f>
        <v>0</v>
      </c>
      <c r="PK104" s="57"/>
      <c r="PL104" s="57"/>
      <c r="PM104" s="57">
        <f t="shared" si="655"/>
        <v>0</v>
      </c>
      <c r="PN104" s="57">
        <f t="shared" si="816"/>
        <v>0</v>
      </c>
      <c r="PO104" s="57">
        <f t="shared" si="817"/>
        <v>0</v>
      </c>
      <c r="PP104" s="57">
        <f t="shared" si="818"/>
        <v>0</v>
      </c>
      <c r="PQ104" s="57">
        <f t="shared" si="819"/>
        <v>0</v>
      </c>
      <c r="PR104" s="1029">
        <f t="shared" si="656"/>
        <v>0</v>
      </c>
      <c r="PS104" s="57">
        <f t="shared" si="657"/>
        <v>0</v>
      </c>
      <c r="PT104" s="171" t="str">
        <f t="shared" si="658"/>
        <v/>
      </c>
      <c r="PU104" s="57">
        <f t="shared" si="820"/>
        <v>0</v>
      </c>
      <c r="PV104" s="57">
        <f>IF(OR(AND(PJ$6=1,$L104=0),AND(PJ$6=2,$K104=2,$G104=1)),0,IF(AND(PL$9=2,(OR($F104&gt;1,$K104=1,AND($L104=80,OR($N104=1,AND($N104=2,'#BerechnungDBE'!$AL95&gt;0)))))),IF(PJ$4&gt;=$AD$126,0,PT104),IF(PL$9=3,IF(OR(PJ$4&gt;=$AD$127,AND($G104=1,$J104=2,PJ$6=2),AND(PJ$6=1,$N104&lt;&gt;1)),0,IF(PN104&lt;=120,PT104,IF(PJ$4&lt;$AD$124,IF($F104=1,60/PL$4*PL$6,60/PL$4*PL$7),IF($F104=1,120/PL$4*PL$6,120/PL$4*PL$7)))),IF(OR($F104=3,$G104=2),IF(OR(AND(PJ$4&gt;=$AD$119,$C104=2),AND(PJ$4&gt;=$AF$119,$C104=1)),0,IF(PN104&lt;=60,PT104,60/PL$4*PL$7)),IF(AND($F104=2,$G104=1),PT104,0)))))</f>
        <v>0</v>
      </c>
      <c r="PW104" s="57" t="str">
        <f t="shared" si="659"/>
        <v/>
      </c>
      <c r="PX104" s="57" t="str">
        <f t="shared" si="660"/>
        <v/>
      </c>
      <c r="PY104" s="713">
        <f>'org. Düngung 22'!DP103</f>
        <v>0</v>
      </c>
      <c r="PZ104" s="57"/>
      <c r="QA104" s="57"/>
      <c r="QB104" s="57">
        <f t="shared" si="661"/>
        <v>0</v>
      </c>
      <c r="QC104" s="57">
        <f t="shared" si="821"/>
        <v>0</v>
      </c>
      <c r="QD104" s="57">
        <f t="shared" si="822"/>
        <v>0</v>
      </c>
      <c r="QE104" s="57">
        <f t="shared" si="823"/>
        <v>0</v>
      </c>
      <c r="QF104" s="57">
        <f t="shared" si="824"/>
        <v>0</v>
      </c>
      <c r="QG104" s="1029">
        <f t="shared" si="662"/>
        <v>0</v>
      </c>
      <c r="QH104" s="57">
        <f t="shared" si="663"/>
        <v>0</v>
      </c>
      <c r="QI104" s="171" t="str">
        <f t="shared" si="664"/>
        <v/>
      </c>
      <c r="QJ104" s="57">
        <f t="shared" si="825"/>
        <v>0</v>
      </c>
      <c r="QK104" s="57">
        <f>IF(OR(AND(PY$6=1,$L104=0),AND(PY$6=2,$K104=2,$G104=1)),0,IF(AND(QA$9=2,(OR($F104&gt;1,$K104=1,AND($L104=80,OR($N104=1,AND($N104=2,'#BerechnungDBE'!$AL95&gt;0)))))),IF(PY$4&gt;=$AD$126,0,QI104),IF(QA$9=3,IF(OR(PY$4&gt;=$AD$127,AND($G104=1,$J104=2,PY$6=2),AND(PY$6=1,$N104&lt;&gt;1)),0,IF(QC104&lt;=120,QI104,IF(PY$4&lt;$AD$124,IF($F104=1,60/QA$4*QA$6,60/QA$4*QA$7),IF($F104=1,120/QA$4*QA$6,120/QA$4*QA$7)))),IF(OR($F104=3,$G104=2),IF(OR(AND(PY$4&gt;=$AD$119,$C104=2),AND(PY$4&gt;=$AF$119,$C104=1)),0,IF(QC104&lt;=60,QI104,60/QA$4*QA$7)),IF(AND($F104=2,$G104=1),QI104,0)))))</f>
        <v>0</v>
      </c>
      <c r="QL104" s="57" t="str">
        <f t="shared" si="665"/>
        <v/>
      </c>
      <c r="QM104" s="57" t="str">
        <f t="shared" si="666"/>
        <v/>
      </c>
      <c r="QN104" s="713">
        <f>'org. Düngung 22'!DT103</f>
        <v>0</v>
      </c>
      <c r="QO104" s="57"/>
      <c r="QP104" s="57"/>
      <c r="QQ104" s="57">
        <f t="shared" si="667"/>
        <v>0</v>
      </c>
      <c r="QR104" s="57">
        <f t="shared" si="826"/>
        <v>0</v>
      </c>
      <c r="QS104" s="57">
        <f t="shared" si="827"/>
        <v>0</v>
      </c>
      <c r="QT104" s="57">
        <f t="shared" si="828"/>
        <v>0</v>
      </c>
      <c r="QU104" s="57">
        <f t="shared" si="829"/>
        <v>0</v>
      </c>
      <c r="QV104" s="1029">
        <f t="shared" si="668"/>
        <v>0</v>
      </c>
      <c r="QW104" s="57">
        <f t="shared" si="669"/>
        <v>0</v>
      </c>
      <c r="QX104" s="171" t="str">
        <f t="shared" si="670"/>
        <v/>
      </c>
      <c r="QY104" s="57">
        <f t="shared" si="830"/>
        <v>0</v>
      </c>
      <c r="QZ104" s="57">
        <f>IF(OR(AND(QN$6=1,$L104=0),AND(QN$6=2,$K104=2,$G104=1)),0,IF(AND(QP$9=2,(OR($F104&gt;1,$K104=1,AND($L104=80,OR($N104=1,AND($N104=2,'#BerechnungDBE'!$AL95&gt;0)))))),IF(QN$4&gt;=$AD$126,0,QX104),IF(QP$9=3,IF(OR(QN$4&gt;=$AD$127,AND($G104=1,$J104=2,QN$6=2),AND(QN$6=1,$N104&lt;&gt;1)),0,IF(QR104&lt;=120,QX104,IF(QN$4&lt;$AD$124,IF($F104=1,60/QP$4*QP$6,60/QP$4*QP$7),IF($F104=1,120/QP$4*QP$6,120/QP$4*QP$7)))),IF(OR($F104=3,$G104=2),IF(OR(AND(QN$4&gt;=$AD$119,$C104=2),AND(QN$4&gt;=$AF$119,$C104=1)),0,IF(QR104&lt;=60,QX104,60/QP$4*QP$7)),IF(AND($F104=2,$G104=1),QX104,0)))))</f>
        <v>0</v>
      </c>
      <c r="RA104" s="57" t="str">
        <f t="shared" si="671"/>
        <v/>
      </c>
      <c r="RB104" s="57" t="str">
        <f t="shared" si="672"/>
        <v/>
      </c>
      <c r="RC104" s="713">
        <f>'org. Düngung 22'!DX103</f>
        <v>0</v>
      </c>
      <c r="RD104" s="57"/>
      <c r="RE104" s="57"/>
      <c r="RF104" s="57">
        <f t="shared" si="673"/>
        <v>0</v>
      </c>
      <c r="RG104" s="57">
        <f t="shared" si="831"/>
        <v>0</v>
      </c>
      <c r="RH104" s="57">
        <f t="shared" si="832"/>
        <v>0</v>
      </c>
      <c r="RI104" s="57">
        <f t="shared" si="833"/>
        <v>0</v>
      </c>
      <c r="RJ104" s="57">
        <f t="shared" si="834"/>
        <v>0</v>
      </c>
      <c r="RK104" s="1029">
        <f t="shared" si="674"/>
        <v>0</v>
      </c>
      <c r="RL104" s="57">
        <f t="shared" si="675"/>
        <v>0</v>
      </c>
      <c r="RM104" s="171" t="str">
        <f t="shared" si="676"/>
        <v/>
      </c>
      <c r="RN104" s="57">
        <f t="shared" si="835"/>
        <v>0</v>
      </c>
      <c r="RO104" s="57">
        <f>IF(OR(AND(RC$6=1,$L104=0),AND(RC$6=2,$K104=2,$G104=1)),0,IF(AND(RE$9=2,(OR($F104&gt;1,$K104=1,AND($L104=80,OR($N104=1,AND($N104=2,'#BerechnungDBE'!$AL95&gt;0)))))),IF(RC$4&gt;=$AD$126,0,RM104),IF(RE$9=3,IF(OR(RC$4&gt;=$AD$127,AND($G104=1,$J104=2,RC$6=2),AND(RC$6=1,$N104&lt;&gt;1)),0,IF(RG104&lt;=120,RM104,IF(RC$4&lt;$AD$124,IF($F104=1,60/RE$4*RE$6,60/RE$4*RE$7),IF($F104=1,120/RE$4*RE$6,120/RE$4*RE$7)))),IF(OR($F104=3,$G104=2),IF(OR(AND(RC$4&gt;=$AD$119,$C104=2),AND(RC$4&gt;=$AF$119,$C104=1)),0,IF(RG104&lt;=60,RM104,60/RE$4*RE$7)),IF(AND($F104=2,$G104=1),RM104,0)))))</f>
        <v>0</v>
      </c>
      <c r="RP104" s="57" t="str">
        <f t="shared" si="677"/>
        <v/>
      </c>
      <c r="RQ104" s="57" t="str">
        <f t="shared" si="678"/>
        <v/>
      </c>
      <c r="RS104" s="57" t="str">
        <f t="shared" si="836"/>
        <v/>
      </c>
      <c r="RT104" s="57" t="str">
        <f t="shared" si="679"/>
        <v/>
      </c>
      <c r="RU104" s="57" t="str">
        <f t="shared" si="680"/>
        <v/>
      </c>
      <c r="RV104" s="57" t="str">
        <f>IF(Z104&gt;'#BerechnungDBE'!BM95,$RV$9,"")</f>
        <v/>
      </c>
      <c r="RW104" s="57" t="str">
        <f>IF(AND(L104=70,AE104&gt;'#BerechnungDBE'!CQ95),$RW$9,"")</f>
        <v/>
      </c>
      <c r="RX104" s="57" t="str">
        <f>IF(OR('org. Düngung 22'!G103="--",'org. Düngung 22'!G103&lt;=170,'org. Düngung 22'!G103=""),"",$RX$9)</f>
        <v/>
      </c>
      <c r="RY104" s="57" t="str">
        <f>IF('org. Düngung 22'!K103&gt;120,'#orgDung'!$RY$9,"")</f>
        <v/>
      </c>
      <c r="RZ104" s="57" t="str">
        <f>IF('#BerechnungDBE'!P95&lt;4,"",IF(AND('#BerechnungDBE'!BZ95&gt;0,T104&gt;0),'#orgDung'!$RZ$9,""))</f>
        <v/>
      </c>
      <c r="SA104" s="57" t="str">
        <f t="shared" si="681"/>
        <v/>
      </c>
    </row>
    <row r="105" spans="1:495" s="875" customFormat="1" x14ac:dyDescent="0.2">
      <c r="A105" s="875">
        <f>'Flächen u. Kulturen'!A101</f>
        <v>92</v>
      </c>
      <c r="B105" s="367">
        <f>'#BerechnungDBE'!L96</f>
        <v>0</v>
      </c>
      <c r="C105" s="875">
        <f>'#BerechnungDBE'!R96</f>
        <v>1</v>
      </c>
      <c r="D105" s="875">
        <f>'#BerechnungDBE'!T96</f>
        <v>2</v>
      </c>
      <c r="E105" s="875" t="str">
        <f>'Flächen u. Kulturen'!E101</f>
        <v>x</v>
      </c>
      <c r="F105" s="52">
        <f>'#BerechnungDBE'!N96</f>
        <v>1</v>
      </c>
      <c r="G105" s="52">
        <f>'#BerechnungDBE'!O96</f>
        <v>1</v>
      </c>
      <c r="H105" s="875">
        <f>IF('Flächen u. Kulturen'!P101="",0,VLOOKUP('Flächen u. Kulturen'!P101,Kulturen[[HF]:[Berechnungsgruppe]],'#Frucht'!$H$1,FALSE))</f>
        <v>0</v>
      </c>
      <c r="I105" s="875">
        <f>IF('Flächen u. Kulturen'!J101="",0,VLOOKUP('Flächen u. Kulturen'!J101,Kulturen[[HF]:[Berechnungsgruppe]],'#Frucht'!$G$1,FALSE))</f>
        <v>90</v>
      </c>
      <c r="J105" s="505">
        <f t="shared" si="682"/>
        <v>2</v>
      </c>
      <c r="K105" s="505">
        <f>IF('Flächen u. Kulturen'!P101="",0,IF(VLOOKUP('Flächen u. Kulturen'!P101,Kulturen[[HF]:[Saat Winterungen]],'#Frucht'!$P$1,FALSE)&gt;0,1,2))</f>
        <v>2</v>
      </c>
      <c r="L105" s="875">
        <f>'#BerechnungDBE'!AF96</f>
        <v>0</v>
      </c>
      <c r="M105" s="875">
        <f>IF('Flächen u. Kulturen'!L101="",0,VLOOKUP('Flächen u. Kulturen'!L101,Nebenkultur[[Nebenkultur]:[Legum. Zwischenfr.]],'#Zweitfr'!$K$1,FALSE))</f>
        <v>0</v>
      </c>
      <c r="N105" s="875">
        <f>'#BerechnungDBE'!AG96</f>
        <v>0</v>
      </c>
      <c r="P105" s="57">
        <f t="shared" si="489"/>
        <v>0</v>
      </c>
      <c r="Q105" s="57">
        <f t="shared" si="490"/>
        <v>0</v>
      </c>
      <c r="R105" s="875">
        <f t="shared" si="491"/>
        <v>0</v>
      </c>
      <c r="S105" s="938" t="str">
        <f t="shared" si="683"/>
        <v/>
      </c>
      <c r="T105" s="875">
        <f t="shared" si="492"/>
        <v>0</v>
      </c>
      <c r="U105" s="875">
        <f t="shared" si="493"/>
        <v>0</v>
      </c>
      <c r="V105" s="875">
        <f t="shared" si="494"/>
        <v>0</v>
      </c>
      <c r="W105" s="875">
        <f t="shared" si="495"/>
        <v>0</v>
      </c>
      <c r="X105" s="875">
        <f t="shared" si="496"/>
        <v>0</v>
      </c>
      <c r="Y105" s="875">
        <f t="shared" si="837"/>
        <v>0</v>
      </c>
      <c r="Z105" s="875">
        <f t="shared" si="838"/>
        <v>0</v>
      </c>
      <c r="AA105" s="910">
        <f t="shared" si="497"/>
        <v>0</v>
      </c>
      <c r="AB105" s="57">
        <f t="shared" si="839"/>
        <v>0</v>
      </c>
      <c r="AC105" s="875">
        <f t="shared" si="498"/>
        <v>0</v>
      </c>
      <c r="AD105" s="875">
        <f t="shared" si="499"/>
        <v>0</v>
      </c>
      <c r="AE105" s="875">
        <f t="shared" si="500"/>
        <v>0</v>
      </c>
      <c r="AF105" s="875">
        <f t="shared" si="840"/>
        <v>0</v>
      </c>
      <c r="AG105" s="875">
        <f>'org. Düngung 22'!J104</f>
        <v>0</v>
      </c>
      <c r="AH105" s="875">
        <f>'org. Düngung 22'!K104</f>
        <v>0</v>
      </c>
      <c r="AJ105" s="713">
        <f>'org. Düngung 22'!L104</f>
        <v>0</v>
      </c>
      <c r="AK105" s="57"/>
      <c r="AL105" s="57"/>
      <c r="AM105" s="57">
        <f t="shared" si="684"/>
        <v>0</v>
      </c>
      <c r="AN105" s="57">
        <f t="shared" si="685"/>
        <v>0</v>
      </c>
      <c r="AO105" s="57">
        <f t="shared" si="686"/>
        <v>0</v>
      </c>
      <c r="AP105" s="57">
        <f t="shared" si="687"/>
        <v>0</v>
      </c>
      <c r="AQ105" s="57">
        <f t="shared" si="688"/>
        <v>0</v>
      </c>
      <c r="AR105" s="1029">
        <f t="shared" si="501"/>
        <v>0</v>
      </c>
      <c r="AS105" s="57">
        <f t="shared" si="502"/>
        <v>0</v>
      </c>
      <c r="AT105" s="171" t="str">
        <f t="shared" si="503"/>
        <v/>
      </c>
      <c r="AU105" s="57">
        <f t="shared" si="689"/>
        <v>0</v>
      </c>
      <c r="AV105" s="57">
        <f>IF(OR(AND(AJ$6=1,$L105=0),AND(AJ$6=2,$K105=2,$G105=1)),0,IF(AND(AL$9=2,(OR($F105&gt;1,$K105=1,AND($L105=80,OR($N105=1,AND($N105=2,'#BerechnungDBE'!$AL96&gt;0)))))),IF(AJ$4&gt;=$AD$126,0,AT105),IF(AL$9=3,IF(OR(AJ$4&gt;=$AD$127,AND($G105=1,$J105=2,AJ$6=2),AND(AJ$6=1,$N105&lt;&gt;1)),0,IF(AN105&lt;=120,AT105,IF(AJ$4&lt;$AD$124,IF($F105=1,60/AL$4*AL$6,60/AL$4*AL$7),IF($F105=1,120/AL$4*AL$6,120/AL$4*AL$7)))),IF(OR($F105=3,$G105=2),IF(OR(AND(AJ$4&gt;=$AD$119,$C105=2),AND(AJ$4&gt;=$AF$119,$C105=1)),0,IF(AN105&lt;=60,AT105,60/AL$4*AL$7)),IF(AND($F105=2,$G105=1),AT105,0)))))</f>
        <v>0</v>
      </c>
      <c r="AW105" s="57" t="str">
        <f t="shared" si="690"/>
        <v/>
      </c>
      <c r="AX105" s="57" t="str">
        <f t="shared" si="504"/>
        <v/>
      </c>
      <c r="AY105" s="713">
        <f>'org. Düngung 22'!P104</f>
        <v>0</v>
      </c>
      <c r="AZ105" s="57"/>
      <c r="BA105" s="57"/>
      <c r="BB105" s="57">
        <f t="shared" si="505"/>
        <v>0</v>
      </c>
      <c r="BC105" s="57">
        <f t="shared" si="691"/>
        <v>0</v>
      </c>
      <c r="BD105" s="57">
        <f t="shared" si="692"/>
        <v>0</v>
      </c>
      <c r="BE105" s="57">
        <f t="shared" si="693"/>
        <v>0</v>
      </c>
      <c r="BF105" s="57">
        <f t="shared" si="694"/>
        <v>0</v>
      </c>
      <c r="BG105" s="1029">
        <f t="shared" si="506"/>
        <v>0</v>
      </c>
      <c r="BH105" s="57">
        <f t="shared" si="507"/>
        <v>0</v>
      </c>
      <c r="BI105" s="171" t="str">
        <f t="shared" si="508"/>
        <v/>
      </c>
      <c r="BJ105" s="57">
        <f t="shared" si="695"/>
        <v>0</v>
      </c>
      <c r="BK105" s="57">
        <f>IF(OR(AND(AY$6=1,$L105=0),AND(AY$6=2,$K105=2,$G105=1)),0,IF(AND(BA$9=2,(OR($F105&gt;1,$K105=1,AND($L105=80,OR($N105=1,AND($N105=2,'#BerechnungDBE'!$AL96&gt;0)))))),IF(AY$4&gt;=$AD$126,0,BI105),IF(BA$9=3,IF(OR(AY$4&gt;=$AD$127,AND($G105=1,$J105=2,AY$6=2),AND(AY$6=1,$N105&lt;&gt;1)),0,IF(BC105&lt;=120,BI105,IF(AY$4&lt;$AD$124,IF($F105=1,60/BA$4*BA$6,60/BA$4*BA$7),IF($F105=1,120/BA$4*BA$6,120/BA$4*BA$7)))),IF(OR($F105=3,$G105=2),IF(OR(AND(AY$4&gt;=$AD$119,$C105=2),AND(AY$4&gt;=$AF$119,$C105=1)),0,IF(BC105&lt;=60,BI105,60/BA$4*BA$7)),IF(AND($F105=2,$G105=1),BI105,0)))))</f>
        <v>0</v>
      </c>
      <c r="BL105" s="57" t="str">
        <f t="shared" si="509"/>
        <v/>
      </c>
      <c r="BM105" s="57" t="str">
        <f t="shared" si="510"/>
        <v/>
      </c>
      <c r="BN105" s="713">
        <f>'org. Düngung 22'!T104</f>
        <v>0</v>
      </c>
      <c r="BO105" s="57"/>
      <c r="BP105" s="57"/>
      <c r="BQ105" s="57">
        <f t="shared" si="511"/>
        <v>0</v>
      </c>
      <c r="BR105" s="57">
        <f t="shared" si="696"/>
        <v>0</v>
      </c>
      <c r="BS105" s="57">
        <f t="shared" si="697"/>
        <v>0</v>
      </c>
      <c r="BT105" s="57">
        <f t="shared" si="698"/>
        <v>0</v>
      </c>
      <c r="BU105" s="57">
        <f t="shared" si="699"/>
        <v>0</v>
      </c>
      <c r="BV105" s="1029">
        <f t="shared" si="512"/>
        <v>0</v>
      </c>
      <c r="BW105" s="57">
        <f t="shared" si="513"/>
        <v>0</v>
      </c>
      <c r="BX105" s="171" t="str">
        <f t="shared" si="514"/>
        <v/>
      </c>
      <c r="BY105" s="57">
        <f t="shared" si="700"/>
        <v>0</v>
      </c>
      <c r="BZ105" s="57">
        <f>IF(OR(AND(BN$6=1,$L105=0),AND(BN$6=2,$K105=2,$G105=1)),0,IF(AND(BP$9=2,(OR($F105&gt;1,$K105=1,AND($L105=80,OR($N105=1,AND($N105=2,'#BerechnungDBE'!$AL96&gt;0)))))),IF(BN$4&gt;=$AD$126,0,BX105),IF(BP$9=3,IF(OR(BN$4&gt;=$AD$127,AND($G105=1,$J105=2,BN$6=2),AND(BN$6=1,$N105&lt;&gt;1)),0,IF(BR105&lt;=120,BX105,IF(BN$4&lt;$AD$124,IF($F105=1,60/BP$4*BP$6,60/BP$4*BP$7),IF($F105=1,120/BP$4*BP$6,120/BP$4*BP$7)))),IF(OR($F105=3,$G105=2),IF(OR(AND(BN$4&gt;=$AD$119,$C105=2),AND(BN$4&gt;=$AF$119,$C105=1)),0,IF(BR105&lt;=60,BX105,60/BP$4*BP$7)),IF(AND($F105=2,$G105=1),BX105,0)))))</f>
        <v>0</v>
      </c>
      <c r="CA105" s="57" t="str">
        <f t="shared" si="515"/>
        <v/>
      </c>
      <c r="CB105" s="57" t="str">
        <f t="shared" si="516"/>
        <v/>
      </c>
      <c r="CC105" s="713">
        <f>'org. Düngung 22'!X104</f>
        <v>0</v>
      </c>
      <c r="CD105" s="57"/>
      <c r="CE105" s="57"/>
      <c r="CF105" s="57">
        <f t="shared" si="517"/>
        <v>0</v>
      </c>
      <c r="CG105" s="57">
        <f t="shared" si="701"/>
        <v>0</v>
      </c>
      <c r="CH105" s="57">
        <f t="shared" si="702"/>
        <v>0</v>
      </c>
      <c r="CI105" s="57">
        <f t="shared" si="703"/>
        <v>0</v>
      </c>
      <c r="CJ105" s="57">
        <f t="shared" si="704"/>
        <v>0</v>
      </c>
      <c r="CK105" s="1029">
        <f t="shared" si="518"/>
        <v>0</v>
      </c>
      <c r="CL105" s="57">
        <f t="shared" si="519"/>
        <v>0</v>
      </c>
      <c r="CM105" s="171" t="str">
        <f t="shared" si="520"/>
        <v/>
      </c>
      <c r="CN105" s="57">
        <f t="shared" si="705"/>
        <v>0</v>
      </c>
      <c r="CO105" s="57">
        <f>IF(OR(AND(CC$6=1,$L105=0),AND(CC$6=2,$K105=2,$G105=1)),0,IF(AND(CE$9=2,(OR($F105&gt;1,$K105=1,AND($L105=80,OR($N105=1,AND($N105=2,'#BerechnungDBE'!$AL96&gt;0)))))),IF(CC$4&gt;=$AD$126,0,CM105),IF(CE$9=3,IF(OR(CC$4&gt;=$AD$127,AND($G105=1,$J105=2,CC$6=2),AND(CC$6=1,$N105&lt;&gt;1)),0,IF(CG105&lt;=120,CM105,IF(CC$4&lt;$AD$124,IF($F105=1,60/CE$4*CE$6,60/CE$4*CE$7),IF($F105=1,120/CE$4*CE$6,120/CE$4*CE$7)))),IF(OR($F105=3,$G105=2),IF(OR(AND(CC$4&gt;=$AD$119,$C105=2),AND(CC$4&gt;=$AF$119,$C105=1)),0,IF(CG105&lt;=60,CM105,60/CE$4*CE$7)),IF(AND($F105=2,$G105=1),CM105,0)))))</f>
        <v>0</v>
      </c>
      <c r="CP105" s="57" t="str">
        <f t="shared" si="521"/>
        <v/>
      </c>
      <c r="CQ105" s="57" t="str">
        <f t="shared" si="522"/>
        <v/>
      </c>
      <c r="CR105" s="713">
        <f>'org. Düngung 22'!AB104</f>
        <v>0</v>
      </c>
      <c r="CS105" s="57"/>
      <c r="CT105" s="57"/>
      <c r="CU105" s="57">
        <f t="shared" si="523"/>
        <v>0</v>
      </c>
      <c r="CV105" s="57">
        <f t="shared" si="706"/>
        <v>0</v>
      </c>
      <c r="CW105" s="57">
        <f t="shared" si="707"/>
        <v>0</v>
      </c>
      <c r="CX105" s="57">
        <f t="shared" si="708"/>
        <v>0</v>
      </c>
      <c r="CY105" s="57">
        <f t="shared" si="709"/>
        <v>0</v>
      </c>
      <c r="CZ105" s="1029">
        <f t="shared" si="524"/>
        <v>0</v>
      </c>
      <c r="DA105" s="57">
        <f t="shared" si="525"/>
        <v>0</v>
      </c>
      <c r="DB105" s="171" t="str">
        <f t="shared" si="526"/>
        <v/>
      </c>
      <c r="DC105" s="57">
        <f t="shared" si="710"/>
        <v>0</v>
      </c>
      <c r="DD105" s="57">
        <f>IF(OR(AND(CR$6=1,$L105=0),AND(CR$6=2,$K105=2,$G105=1)),0,IF(AND(CT$9=2,(OR($F105&gt;1,$K105=1,AND($L105=80,OR($N105=1,AND($N105=2,'#BerechnungDBE'!$AL96&gt;0)))))),IF(CR$4&gt;=$AD$126,0,DB105),IF(CT$9=3,IF(OR(CR$4&gt;=$AD$127,AND($G105=1,$J105=2,CR$6=2),AND(CR$6=1,$N105&lt;&gt;1)),0,IF(CV105&lt;=120,DB105,IF(CR$4&lt;$AD$124,IF($F105=1,60/CT$4*CT$6,60/CT$4*CT$7),IF($F105=1,120/CT$4*CT$6,120/CT$4*CT$7)))),IF(OR($F105=3,$G105=2),IF(OR(AND(CR$4&gt;=$AD$119,$C105=2),AND(CR$4&gt;=$AF$119,$C105=1)),0,IF(CV105&lt;=60,DB105,60/CT$4*CT$7)),IF(AND($F105=2,$G105=1),DB105,0)))))</f>
        <v>0</v>
      </c>
      <c r="DE105" s="57" t="str">
        <f t="shared" si="527"/>
        <v/>
      </c>
      <c r="DF105" s="57" t="str">
        <f t="shared" si="528"/>
        <v/>
      </c>
      <c r="DG105" s="713">
        <f>'org. Düngung 22'!AF104</f>
        <v>0</v>
      </c>
      <c r="DH105" s="57"/>
      <c r="DI105" s="57"/>
      <c r="DJ105" s="57">
        <f t="shared" si="529"/>
        <v>0</v>
      </c>
      <c r="DK105" s="57">
        <f t="shared" si="711"/>
        <v>0</v>
      </c>
      <c r="DL105" s="57">
        <f t="shared" si="712"/>
        <v>0</v>
      </c>
      <c r="DM105" s="57">
        <f t="shared" si="713"/>
        <v>0</v>
      </c>
      <c r="DN105" s="57">
        <f t="shared" si="714"/>
        <v>0</v>
      </c>
      <c r="DO105" s="1029">
        <f t="shared" si="530"/>
        <v>0</v>
      </c>
      <c r="DP105" s="57">
        <f t="shared" si="531"/>
        <v>0</v>
      </c>
      <c r="DQ105" s="171" t="str">
        <f t="shared" si="532"/>
        <v/>
      </c>
      <c r="DR105" s="57">
        <f t="shared" si="715"/>
        <v>0</v>
      </c>
      <c r="DS105" s="57">
        <f>IF(OR(AND(DG$6=1,$L105=0),AND(DG$6=2,$K105=2,$G105=1)),0,IF(AND(DI$9=2,(OR($F105&gt;1,$K105=1,AND($L105=80,OR($N105=1,AND($N105=2,'#BerechnungDBE'!$AL96&gt;0)))))),IF(DG$4&gt;=$AD$126,0,DQ105),IF(DI$9=3,IF(OR(DG$4&gt;=$AD$127,AND($G105=1,$J105=2,DG$6=2),AND(DG$6=1,$N105&lt;&gt;1)),0,IF(DK105&lt;=120,DQ105,IF(DG$4&lt;$AD$124,IF($F105=1,60/DI$4*DI$6,60/DI$4*DI$7),IF($F105=1,120/DI$4*DI$6,120/DI$4*DI$7)))),IF(OR($F105=3,$G105=2),IF(OR(AND(DG$4&gt;=$AD$119,$C105=2),AND(DG$4&gt;=$AF$119,$C105=1)),0,IF(DK105&lt;=60,DQ105,60/DI$4*DI$7)),IF(AND($F105=2,$G105=1),DQ105,0)))))</f>
        <v>0</v>
      </c>
      <c r="DT105" s="57" t="str">
        <f t="shared" si="533"/>
        <v/>
      </c>
      <c r="DU105" s="57" t="str">
        <f t="shared" si="534"/>
        <v/>
      </c>
      <c r="DV105" s="713">
        <f>'org. Düngung 22'!AJ104</f>
        <v>0</v>
      </c>
      <c r="DW105" s="57"/>
      <c r="DX105" s="57"/>
      <c r="DY105" s="57">
        <f t="shared" si="535"/>
        <v>0</v>
      </c>
      <c r="DZ105" s="57">
        <f t="shared" si="716"/>
        <v>0</v>
      </c>
      <c r="EA105" s="57">
        <f t="shared" si="717"/>
        <v>0</v>
      </c>
      <c r="EB105" s="57">
        <f t="shared" si="718"/>
        <v>0</v>
      </c>
      <c r="EC105" s="57">
        <f t="shared" si="719"/>
        <v>0</v>
      </c>
      <c r="ED105" s="1029">
        <f t="shared" si="536"/>
        <v>0</v>
      </c>
      <c r="EE105" s="57">
        <f t="shared" si="537"/>
        <v>0</v>
      </c>
      <c r="EF105" s="171" t="str">
        <f t="shared" si="538"/>
        <v/>
      </c>
      <c r="EG105" s="57">
        <f t="shared" si="720"/>
        <v>0</v>
      </c>
      <c r="EH105" s="57">
        <f>IF(OR(AND(DV$6=1,$L105=0),AND(DV$6=2,$K105=2,$G105=1)),0,IF(AND(DX$9=2,(OR($F105&gt;1,$K105=1,AND($L105=80,OR($N105=1,AND($N105=2,'#BerechnungDBE'!$AL96&gt;0)))))),IF(DV$4&gt;=$AD$126,0,EF105),IF(DX$9=3,IF(OR(DV$4&gt;=$AD$127,AND($G105=1,$J105=2,DV$6=2),AND(DV$6=1,$N105&lt;&gt;1)),0,IF(DZ105&lt;=120,EF105,IF(DV$4&lt;$AD$124,IF($F105=1,60/DX$4*DX$6,60/DX$4*DX$7),IF($F105=1,120/DX$4*DX$6,120/DX$4*DX$7)))),IF(OR($F105=3,$G105=2),IF(OR(AND(DV$4&gt;=$AD$119,$C105=2),AND(DV$4&gt;=$AF$119,$C105=1)),0,IF(DZ105&lt;=60,EF105,60/DX$4*DX$7)),IF(AND($F105=2,$G105=1),EF105,0)))))</f>
        <v>0</v>
      </c>
      <c r="EI105" s="57" t="str">
        <f t="shared" si="539"/>
        <v/>
      </c>
      <c r="EJ105" s="57" t="str">
        <f t="shared" si="540"/>
        <v/>
      </c>
      <c r="EK105" s="713">
        <f>'org. Düngung 22'!AN104</f>
        <v>0</v>
      </c>
      <c r="EL105" s="57"/>
      <c r="EM105" s="57"/>
      <c r="EN105" s="57">
        <f t="shared" si="541"/>
        <v>0</v>
      </c>
      <c r="EO105" s="57">
        <f t="shared" si="721"/>
        <v>0</v>
      </c>
      <c r="EP105" s="57">
        <f t="shared" si="722"/>
        <v>0</v>
      </c>
      <c r="EQ105" s="57">
        <f t="shared" si="723"/>
        <v>0</v>
      </c>
      <c r="ER105" s="57">
        <f t="shared" si="724"/>
        <v>0</v>
      </c>
      <c r="ES105" s="1029">
        <f t="shared" si="542"/>
        <v>0</v>
      </c>
      <c r="ET105" s="57">
        <f t="shared" si="543"/>
        <v>0</v>
      </c>
      <c r="EU105" s="171" t="str">
        <f t="shared" si="544"/>
        <v/>
      </c>
      <c r="EV105" s="57">
        <f t="shared" si="725"/>
        <v>0</v>
      </c>
      <c r="EW105" s="57">
        <f>IF(OR(AND(EK$6=1,$L105=0),AND(EK$6=2,$K105=2,$G105=1)),0,IF(AND(EM$9=2,(OR($F105&gt;1,$K105=1,AND($L105=80,OR($N105=1,AND($N105=2,'#BerechnungDBE'!$AL96&gt;0)))))),IF(EK$4&gt;=$AD$126,0,EU105),IF(EM$9=3,IF(OR(EK$4&gt;=$AD$127,AND($G105=1,$J105=2,EK$6=2),AND(EK$6=1,$N105&lt;&gt;1)),0,IF(EO105&lt;=120,EU105,IF(EK$4&lt;$AD$124,IF($F105=1,60/EM$4*EM$6,60/EM$4*EM$7),IF($F105=1,120/EM$4*EM$6,120/EM$4*EM$7)))),IF(OR($F105=3,$G105=2),IF(OR(AND(EK$4&gt;=$AD$119,$C105=2),AND(EK$4&gt;=$AF$119,$C105=1)),0,IF(EO105&lt;=60,EU105,60/EM$4*EM$7)),IF(AND($F105=2,$G105=1),EU105,0)))))</f>
        <v>0</v>
      </c>
      <c r="EX105" s="57" t="str">
        <f t="shared" si="545"/>
        <v/>
      </c>
      <c r="EY105" s="57" t="str">
        <f t="shared" si="546"/>
        <v/>
      </c>
      <c r="EZ105" s="713">
        <f>'org. Düngung 22'!AR104</f>
        <v>0</v>
      </c>
      <c r="FA105" s="57"/>
      <c r="FB105" s="57"/>
      <c r="FC105" s="57">
        <f t="shared" si="547"/>
        <v>0</v>
      </c>
      <c r="FD105" s="57">
        <f t="shared" si="726"/>
        <v>0</v>
      </c>
      <c r="FE105" s="57">
        <f t="shared" si="727"/>
        <v>0</v>
      </c>
      <c r="FF105" s="57">
        <f t="shared" si="728"/>
        <v>0</v>
      </c>
      <c r="FG105" s="57">
        <f t="shared" si="729"/>
        <v>0</v>
      </c>
      <c r="FH105" s="1029">
        <f t="shared" si="548"/>
        <v>0</v>
      </c>
      <c r="FI105" s="57">
        <f t="shared" si="549"/>
        <v>0</v>
      </c>
      <c r="FJ105" s="171" t="str">
        <f t="shared" si="550"/>
        <v/>
      </c>
      <c r="FK105" s="57">
        <f t="shared" si="730"/>
        <v>0</v>
      </c>
      <c r="FL105" s="57">
        <f>IF(OR(AND(EZ$6=1,$L105=0),AND(EZ$6=2,$K105=2,$G105=1)),0,IF(AND(FB$9=2,(OR($F105&gt;1,$K105=1,AND($L105=80,OR($N105=1,AND($N105=2,'#BerechnungDBE'!$AL96&gt;0)))))),IF(EZ$4&gt;=$AD$126,0,FJ105),IF(FB$9=3,IF(OR(EZ$4&gt;=$AD$127,AND($G105=1,$J105=2,EZ$6=2),AND(EZ$6=1,$N105&lt;&gt;1)),0,IF(FD105&lt;=120,FJ105,IF(EZ$4&lt;$AD$124,IF($F105=1,60/FB$4*FB$6,60/FB$4*FB$7),IF($F105=1,120/FB$4*FB$6,120/FB$4*FB$7)))),IF(OR($F105=3,$G105=2),IF(OR(AND(EZ$4&gt;=$AD$119,$C105=2),AND(EZ$4&gt;=$AF$119,$C105=1)),0,IF(FD105&lt;=60,FJ105,60/FB$4*FB$7)),IF(AND($F105=2,$G105=1),FJ105,0)))))</f>
        <v>0</v>
      </c>
      <c r="FM105" s="57" t="str">
        <f t="shared" si="551"/>
        <v/>
      </c>
      <c r="FN105" s="57" t="str">
        <f t="shared" si="552"/>
        <v/>
      </c>
      <c r="FO105" s="713">
        <f>'org. Düngung 22'!AV104</f>
        <v>0</v>
      </c>
      <c r="FP105" s="57"/>
      <c r="FQ105" s="57"/>
      <c r="FR105" s="57">
        <f t="shared" si="553"/>
        <v>0</v>
      </c>
      <c r="FS105" s="57">
        <f t="shared" si="731"/>
        <v>0</v>
      </c>
      <c r="FT105" s="57">
        <f t="shared" si="732"/>
        <v>0</v>
      </c>
      <c r="FU105" s="57">
        <f t="shared" si="733"/>
        <v>0</v>
      </c>
      <c r="FV105" s="57">
        <f t="shared" si="734"/>
        <v>0</v>
      </c>
      <c r="FW105" s="1029">
        <f t="shared" si="554"/>
        <v>0</v>
      </c>
      <c r="FX105" s="57">
        <f t="shared" si="555"/>
        <v>0</v>
      </c>
      <c r="FY105" s="171" t="str">
        <f t="shared" si="556"/>
        <v/>
      </c>
      <c r="FZ105" s="57">
        <f t="shared" si="735"/>
        <v>0</v>
      </c>
      <c r="GA105" s="57">
        <f>IF(OR(AND(FO$6=1,$L105=0),AND(FO$6=2,$K105=2,$G105=1)),0,IF(AND(FQ$9=2,(OR($F105&gt;1,$K105=1,AND($L105=80,OR($N105=1,AND($N105=2,'#BerechnungDBE'!$AL96&gt;0)))))),IF(FO$4&gt;=$AD$126,0,FY105),IF(FQ$9=3,IF(OR(FO$4&gt;=$AD$127,AND($G105=1,$J105=2,FO$6=2),AND(FO$6=1,$N105&lt;&gt;1)),0,IF(FS105&lt;=120,FY105,IF(FO$4&lt;$AD$124,IF($F105=1,60/FQ$4*FQ$6,60/FQ$4*FQ$7),IF($F105=1,120/FQ$4*FQ$6,120/FQ$4*FQ$7)))),IF(OR($F105=3,$G105=2),IF(OR(AND(FO$4&gt;=$AD$119,$C105=2),AND(FO$4&gt;=$AF$119,$C105=1)),0,IF(FS105&lt;=60,FY105,60/FQ$4*FQ$7)),IF(AND($F105=2,$G105=1),FY105,0)))))</f>
        <v>0</v>
      </c>
      <c r="GB105" s="57" t="str">
        <f t="shared" si="557"/>
        <v/>
      </c>
      <c r="GC105" s="57" t="str">
        <f t="shared" si="558"/>
        <v/>
      </c>
      <c r="GD105" s="713">
        <f>'org. Düngung 22'!AZ104</f>
        <v>0</v>
      </c>
      <c r="GE105" s="57"/>
      <c r="GF105" s="57"/>
      <c r="GG105" s="57">
        <f t="shared" si="559"/>
        <v>0</v>
      </c>
      <c r="GH105" s="57">
        <f t="shared" si="736"/>
        <v>0</v>
      </c>
      <c r="GI105" s="57">
        <f t="shared" si="737"/>
        <v>0</v>
      </c>
      <c r="GJ105" s="57">
        <f t="shared" si="738"/>
        <v>0</v>
      </c>
      <c r="GK105" s="57">
        <f t="shared" si="739"/>
        <v>0</v>
      </c>
      <c r="GL105" s="1029">
        <f t="shared" si="560"/>
        <v>0</v>
      </c>
      <c r="GM105" s="57">
        <f t="shared" si="561"/>
        <v>0</v>
      </c>
      <c r="GN105" s="171" t="str">
        <f t="shared" si="562"/>
        <v/>
      </c>
      <c r="GO105" s="57">
        <f t="shared" si="740"/>
        <v>0</v>
      </c>
      <c r="GP105" s="57">
        <f>IF(OR(AND(GD$6=1,$L105=0),AND(GD$6=2,$K105=2,$G105=1)),0,IF(AND(GF$9=2,(OR($F105&gt;1,$K105=1,AND($L105=80,OR($N105=1,AND($N105=2,'#BerechnungDBE'!$AL96&gt;0)))))),IF(GD$4&gt;=$AD$126,0,GN105),IF(GF$9=3,IF(OR(GD$4&gt;=$AD$127,AND($G105=1,$J105=2,GD$6=2),AND(GD$6=1,$N105&lt;&gt;1)),0,IF(GH105&lt;=120,GN105,IF(GD$4&lt;$AD$124,IF($F105=1,60/GF$4*GF$6,60/GF$4*GF$7),IF($F105=1,120/GF$4*GF$6,120/GF$4*GF$7)))),IF(OR($F105=3,$G105=2),IF(OR(AND(GD$4&gt;=$AD$119,$C105=2),AND(GD$4&gt;=$AF$119,$C105=1)),0,IF(GH105&lt;=60,GN105,60/GF$4*GF$7)),IF(AND($F105=2,$G105=1),GN105,0)))))</f>
        <v>0</v>
      </c>
      <c r="GQ105" s="57" t="str">
        <f t="shared" si="563"/>
        <v/>
      </c>
      <c r="GR105" s="57" t="str">
        <f t="shared" si="564"/>
        <v/>
      </c>
      <c r="GS105" s="713">
        <f>'org. Düngung 22'!BD104</f>
        <v>0</v>
      </c>
      <c r="GT105" s="57"/>
      <c r="GU105" s="57"/>
      <c r="GV105" s="57">
        <f t="shared" si="565"/>
        <v>0</v>
      </c>
      <c r="GW105" s="57">
        <f t="shared" si="741"/>
        <v>0</v>
      </c>
      <c r="GX105" s="57">
        <f t="shared" si="742"/>
        <v>0</v>
      </c>
      <c r="GY105" s="57">
        <f t="shared" si="743"/>
        <v>0</v>
      </c>
      <c r="GZ105" s="57">
        <f t="shared" si="744"/>
        <v>0</v>
      </c>
      <c r="HA105" s="1029">
        <f t="shared" si="566"/>
        <v>0</v>
      </c>
      <c r="HB105" s="57">
        <f t="shared" si="567"/>
        <v>0</v>
      </c>
      <c r="HC105" s="171" t="str">
        <f t="shared" si="568"/>
        <v/>
      </c>
      <c r="HD105" s="57">
        <f t="shared" si="745"/>
        <v>0</v>
      </c>
      <c r="HE105" s="57">
        <f>IF(OR(AND(GS$6=1,$L105=0),AND(GS$6=2,$K105=2,$G105=1)),0,IF(AND(GU$9=2,(OR($F105&gt;1,$K105=1,AND($L105=80,OR($N105=1,AND($N105=2,'#BerechnungDBE'!$AL96&gt;0)))))),IF(GS$4&gt;=$AD$126,0,HC105),IF(GU$9=3,IF(OR(GS$4&gt;=$AD$127,AND($G105=1,$J105=2,GS$6=2),AND(GS$6=1,$N105&lt;&gt;1)),0,IF(GW105&lt;=120,HC105,IF(GS$4&lt;$AD$124,IF($F105=1,60/GU$4*GU$6,60/GU$4*GU$7),IF($F105=1,120/GU$4*GU$6,120/GU$4*GU$7)))),IF(OR($F105=3,$G105=2),IF(OR(AND(GS$4&gt;=$AD$119,$C105=2),AND(GS$4&gt;=$AF$119,$C105=1)),0,IF(GW105&lt;=60,HC105,60/GU$4*GU$7)),IF(AND($F105=2,$G105=1),HC105,0)))))</f>
        <v>0</v>
      </c>
      <c r="HF105" s="57" t="str">
        <f t="shared" si="569"/>
        <v/>
      </c>
      <c r="HG105" s="57" t="str">
        <f t="shared" si="570"/>
        <v/>
      </c>
      <c r="HH105" s="713">
        <f>'org. Düngung 22'!BH104</f>
        <v>0</v>
      </c>
      <c r="HI105" s="57"/>
      <c r="HJ105" s="57"/>
      <c r="HK105" s="57">
        <f t="shared" si="571"/>
        <v>0</v>
      </c>
      <c r="HL105" s="57">
        <f t="shared" si="746"/>
        <v>0</v>
      </c>
      <c r="HM105" s="57">
        <f t="shared" si="747"/>
        <v>0</v>
      </c>
      <c r="HN105" s="57">
        <f t="shared" si="748"/>
        <v>0</v>
      </c>
      <c r="HO105" s="57">
        <f t="shared" si="749"/>
        <v>0</v>
      </c>
      <c r="HP105" s="1029">
        <f t="shared" si="572"/>
        <v>0</v>
      </c>
      <c r="HQ105" s="57">
        <f t="shared" si="573"/>
        <v>0</v>
      </c>
      <c r="HR105" s="171" t="str">
        <f t="shared" si="574"/>
        <v/>
      </c>
      <c r="HS105" s="57">
        <f t="shared" si="750"/>
        <v>0</v>
      </c>
      <c r="HT105" s="57">
        <f>IF(OR(AND(HH$6=1,$L105=0),AND(HH$6=2,$K105=2,$G105=1)),0,IF(AND(HJ$9=2,(OR($F105&gt;1,$K105=1,AND($L105=80,OR($N105=1,AND($N105=2,'#BerechnungDBE'!$AL96&gt;0)))))),IF(HH$4&gt;=$AD$126,0,HR105),IF(HJ$9=3,IF(OR(HH$4&gt;=$AD$127,AND($G105=1,$J105=2,HH$6=2),AND(HH$6=1,$N105&lt;&gt;1)),0,IF(HL105&lt;=120,HR105,IF(HH$4&lt;$AD$124,IF($F105=1,60/HJ$4*HJ$6,60/HJ$4*HJ$7),IF($F105=1,120/HJ$4*HJ$6,120/HJ$4*HJ$7)))),IF(OR($F105=3,$G105=2),IF(OR(AND(HH$4&gt;=$AD$119,$C105=2),AND(HH$4&gt;=$AF$119,$C105=1)),0,IF(HL105&lt;=60,HR105,60/HJ$4*HJ$7)),IF(AND($F105=2,$G105=1),HR105,0)))))</f>
        <v>0</v>
      </c>
      <c r="HU105" s="57" t="str">
        <f t="shared" si="575"/>
        <v/>
      </c>
      <c r="HV105" s="57" t="str">
        <f t="shared" si="576"/>
        <v/>
      </c>
      <c r="HW105" s="713">
        <f>'org. Düngung 22'!BL104</f>
        <v>0</v>
      </c>
      <c r="HX105" s="57"/>
      <c r="HY105" s="57"/>
      <c r="HZ105" s="57">
        <f t="shared" si="577"/>
        <v>0</v>
      </c>
      <c r="IA105" s="57">
        <f t="shared" si="751"/>
        <v>0</v>
      </c>
      <c r="IB105" s="57">
        <f t="shared" si="752"/>
        <v>0</v>
      </c>
      <c r="IC105" s="57">
        <f t="shared" si="753"/>
        <v>0</v>
      </c>
      <c r="ID105" s="57">
        <f t="shared" si="754"/>
        <v>0</v>
      </c>
      <c r="IE105" s="1029">
        <f t="shared" si="578"/>
        <v>0</v>
      </c>
      <c r="IF105" s="57">
        <f t="shared" si="579"/>
        <v>0</v>
      </c>
      <c r="IG105" s="171" t="str">
        <f t="shared" si="580"/>
        <v/>
      </c>
      <c r="IH105" s="57">
        <f t="shared" si="755"/>
        <v>0</v>
      </c>
      <c r="II105" s="57">
        <f>IF(OR(AND(HW$6=1,$L105=0),AND(HW$6=2,$K105=2,$G105=1)),0,IF(AND(HY$9=2,(OR($F105&gt;1,$K105=1,AND($L105=80,OR($N105=1,AND($N105=2,'#BerechnungDBE'!$AL96&gt;0)))))),IF(HW$4&gt;=$AD$126,0,IG105),IF(HY$9=3,IF(OR(HW$4&gt;=$AD$127,AND($G105=1,$J105=2,HW$6=2),AND(HW$6=1,$N105&lt;&gt;1)),0,IF(IA105&lt;=120,IG105,IF(HW$4&lt;$AD$124,IF($F105=1,60/HY$4*HY$6,60/HY$4*HY$7),IF($F105=1,120/HY$4*HY$6,120/HY$4*HY$7)))),IF(OR($F105=3,$G105=2),IF(OR(AND(HW$4&gt;=$AD$119,$C105=2),AND(HW$4&gt;=$AF$119,$C105=1)),0,IF(IA105&lt;=60,IG105,60/HY$4*HY$7)),IF(AND($F105=2,$G105=1),IG105,0)))))</f>
        <v>0</v>
      </c>
      <c r="IJ105" s="57" t="str">
        <f t="shared" si="581"/>
        <v/>
      </c>
      <c r="IK105" s="57" t="str">
        <f t="shared" si="582"/>
        <v/>
      </c>
      <c r="IL105" s="713">
        <f>'org. Düngung 22'!BP104</f>
        <v>0</v>
      </c>
      <c r="IM105" s="57"/>
      <c r="IN105" s="57"/>
      <c r="IO105" s="57">
        <f t="shared" si="583"/>
        <v>0</v>
      </c>
      <c r="IP105" s="57">
        <f t="shared" si="756"/>
        <v>0</v>
      </c>
      <c r="IQ105" s="57">
        <f t="shared" si="757"/>
        <v>0</v>
      </c>
      <c r="IR105" s="57">
        <f t="shared" si="758"/>
        <v>0</v>
      </c>
      <c r="IS105" s="57">
        <f t="shared" si="759"/>
        <v>0</v>
      </c>
      <c r="IT105" s="1029">
        <f t="shared" si="584"/>
        <v>0</v>
      </c>
      <c r="IU105" s="57">
        <f t="shared" si="585"/>
        <v>0</v>
      </c>
      <c r="IV105" s="171" t="str">
        <f t="shared" si="586"/>
        <v/>
      </c>
      <c r="IW105" s="57">
        <f t="shared" si="760"/>
        <v>0</v>
      </c>
      <c r="IX105" s="57">
        <f>IF(OR(AND(IL$6=1,$L105=0),AND(IL$6=2,$K105=2,$G105=1)),0,IF(AND(IN$9=2,(OR($F105&gt;1,$K105=1,AND($L105=80,OR($N105=1,AND($N105=2,'#BerechnungDBE'!$AL96&gt;0)))))),IF(IL$4&gt;=$AD$126,0,IV105),IF(IN$9=3,IF(OR(IL$4&gt;=$AD$127,AND($G105=1,$J105=2,IL$6=2),AND(IL$6=1,$N105&lt;&gt;1)),0,IF(IP105&lt;=120,IV105,IF(IL$4&lt;$AD$124,IF($F105=1,60/IN$4*IN$6,60/IN$4*IN$7),IF($F105=1,120/IN$4*IN$6,120/IN$4*IN$7)))),IF(OR($F105=3,$G105=2),IF(OR(AND(IL$4&gt;=$AD$119,$C105=2),AND(IL$4&gt;=$AF$119,$C105=1)),0,IF(IP105&lt;=60,IV105,60/IN$4*IN$7)),IF(AND($F105=2,$G105=1),IV105,0)))))</f>
        <v>0</v>
      </c>
      <c r="IY105" s="57" t="str">
        <f t="shared" si="587"/>
        <v/>
      </c>
      <c r="IZ105" s="57" t="str">
        <f t="shared" si="588"/>
        <v/>
      </c>
      <c r="JA105" s="713">
        <f>'org. Düngung 22'!BT104</f>
        <v>0</v>
      </c>
      <c r="JB105" s="57"/>
      <c r="JC105" s="57"/>
      <c r="JD105" s="57">
        <f t="shared" si="589"/>
        <v>0</v>
      </c>
      <c r="JE105" s="57">
        <f t="shared" si="761"/>
        <v>0</v>
      </c>
      <c r="JF105" s="57">
        <f t="shared" si="762"/>
        <v>0</v>
      </c>
      <c r="JG105" s="57">
        <f t="shared" si="763"/>
        <v>0</v>
      </c>
      <c r="JH105" s="57">
        <f t="shared" si="764"/>
        <v>0</v>
      </c>
      <c r="JI105" s="1029">
        <f t="shared" si="590"/>
        <v>0</v>
      </c>
      <c r="JJ105" s="57">
        <f t="shared" si="591"/>
        <v>0</v>
      </c>
      <c r="JK105" s="171" t="str">
        <f t="shared" si="592"/>
        <v/>
      </c>
      <c r="JL105" s="57">
        <f t="shared" si="765"/>
        <v>0</v>
      </c>
      <c r="JM105" s="57">
        <f>IF(OR(AND(JA$6=1,$L105=0),AND(JA$6=2,$K105=2,$G105=1)),0,IF(AND(JC$9=2,(OR($F105&gt;1,$K105=1,AND($L105=80,OR($N105=1,AND($N105=2,'#BerechnungDBE'!$AL96&gt;0)))))),IF(JA$4&gt;=$AD$126,0,JK105),IF(JC$9=3,IF(OR(JA$4&gt;=$AD$127,AND($G105=1,$J105=2,JA$6=2),AND(JA$6=1,$N105&lt;&gt;1)),0,IF(JE105&lt;=120,JK105,IF(JA$4&lt;$AD$124,IF($F105=1,60/JC$4*JC$6,60/JC$4*JC$7),IF($F105=1,120/JC$4*JC$6,120/JC$4*JC$7)))),IF(OR($F105=3,$G105=2),IF(OR(AND(JA$4&gt;=$AD$119,$C105=2),AND(JA$4&gt;=$AF$119,$C105=1)),0,IF(JE105&lt;=60,JK105,60/JC$4*JC$7)),IF(AND($F105=2,$G105=1),JK105,0)))))</f>
        <v>0</v>
      </c>
      <c r="JN105" s="57" t="str">
        <f t="shared" si="593"/>
        <v/>
      </c>
      <c r="JO105" s="57" t="str">
        <f t="shared" si="594"/>
        <v/>
      </c>
      <c r="JP105" s="713">
        <f>'org. Düngung 22'!BX104</f>
        <v>0</v>
      </c>
      <c r="JQ105" s="57"/>
      <c r="JR105" s="57"/>
      <c r="JS105" s="57">
        <f t="shared" si="595"/>
        <v>0</v>
      </c>
      <c r="JT105" s="57">
        <f t="shared" si="766"/>
        <v>0</v>
      </c>
      <c r="JU105" s="57">
        <f t="shared" si="767"/>
        <v>0</v>
      </c>
      <c r="JV105" s="57">
        <f t="shared" si="768"/>
        <v>0</v>
      </c>
      <c r="JW105" s="57">
        <f t="shared" si="769"/>
        <v>0</v>
      </c>
      <c r="JX105" s="1029">
        <f t="shared" si="596"/>
        <v>0</v>
      </c>
      <c r="JY105" s="57">
        <f t="shared" si="597"/>
        <v>0</v>
      </c>
      <c r="JZ105" s="171" t="str">
        <f t="shared" si="598"/>
        <v/>
      </c>
      <c r="KA105" s="57">
        <f t="shared" si="770"/>
        <v>0</v>
      </c>
      <c r="KB105" s="57">
        <f>IF(OR(AND(JP$6=1,$L105=0),AND(JP$6=2,$K105=2,$G105=1)),0,IF(AND(JR$9=2,(OR($F105&gt;1,$K105=1,AND($L105=80,OR($N105=1,AND($N105=2,'#BerechnungDBE'!$AL96&gt;0)))))),IF(JP$4&gt;=$AD$126,0,JZ105),IF(JR$9=3,IF(OR(JP$4&gt;=$AD$127,AND($G105=1,$J105=2,JP$6=2),AND(JP$6=1,$N105&lt;&gt;1)),0,IF(JT105&lt;=120,JZ105,IF(JP$4&lt;$AD$124,IF($F105=1,60/JR$4*JR$6,60/JR$4*JR$7),IF($F105=1,120/JR$4*JR$6,120/JR$4*JR$7)))),IF(OR($F105=3,$G105=2),IF(OR(AND(JP$4&gt;=$AD$119,$C105=2),AND(JP$4&gt;=$AF$119,$C105=1)),0,IF(JT105&lt;=60,JZ105,60/JR$4*JR$7)),IF(AND($F105=2,$G105=1),JZ105,0)))))</f>
        <v>0</v>
      </c>
      <c r="KC105" s="57" t="str">
        <f t="shared" si="599"/>
        <v/>
      </c>
      <c r="KD105" s="57" t="str">
        <f t="shared" si="600"/>
        <v/>
      </c>
      <c r="KE105" s="713">
        <f>'org. Düngung 22'!CB104</f>
        <v>0</v>
      </c>
      <c r="KF105" s="57"/>
      <c r="KG105" s="57"/>
      <c r="KH105" s="57">
        <f t="shared" si="601"/>
        <v>0</v>
      </c>
      <c r="KI105" s="57">
        <f t="shared" si="771"/>
        <v>0</v>
      </c>
      <c r="KJ105" s="57">
        <f t="shared" si="772"/>
        <v>0</v>
      </c>
      <c r="KK105" s="57">
        <f t="shared" si="773"/>
        <v>0</v>
      </c>
      <c r="KL105" s="57">
        <f t="shared" si="774"/>
        <v>0</v>
      </c>
      <c r="KM105" s="1029">
        <f t="shared" si="602"/>
        <v>0</v>
      </c>
      <c r="KN105" s="57">
        <f t="shared" si="603"/>
        <v>0</v>
      </c>
      <c r="KO105" s="171" t="str">
        <f t="shared" si="604"/>
        <v/>
      </c>
      <c r="KP105" s="57">
        <f t="shared" si="775"/>
        <v>0</v>
      </c>
      <c r="KQ105" s="57">
        <f>IF(OR(AND(KE$6=1,$L105=0),AND(KE$6=2,$K105=2,$G105=1)),0,IF(AND(KG$9=2,(OR($F105&gt;1,$K105=1,AND($L105=80,OR($N105=1,AND($N105=2,'#BerechnungDBE'!$AL96&gt;0)))))),IF(KE$4&gt;=$AD$126,0,KO105),IF(KG$9=3,IF(OR(KE$4&gt;=$AD$127,AND($G105=1,$J105=2,KE$6=2),AND(KE$6=1,$N105&lt;&gt;1)),0,IF(KI105&lt;=120,KO105,IF(KE$4&lt;$AD$124,IF($F105=1,60/KG$4*KG$6,60/KG$4*KG$7),IF($F105=1,120/KG$4*KG$6,120/KG$4*KG$7)))),IF(OR($F105=3,$G105=2),IF(OR(AND(KE$4&gt;=$AD$119,$C105=2),AND(KE$4&gt;=$AF$119,$C105=1)),0,IF(KI105&lt;=60,KO105,60/KG$4*KG$7)),IF(AND($F105=2,$G105=1),KO105,0)))))</f>
        <v>0</v>
      </c>
      <c r="KR105" s="57" t="str">
        <f t="shared" si="605"/>
        <v/>
      </c>
      <c r="KS105" s="57" t="str">
        <f t="shared" si="606"/>
        <v/>
      </c>
      <c r="KT105" s="713">
        <f>'org. Düngung 22'!CF104</f>
        <v>0</v>
      </c>
      <c r="KU105" s="57"/>
      <c r="KV105" s="57"/>
      <c r="KW105" s="57">
        <f t="shared" si="607"/>
        <v>0</v>
      </c>
      <c r="KX105" s="57">
        <f t="shared" si="776"/>
        <v>0</v>
      </c>
      <c r="KY105" s="57">
        <f t="shared" si="777"/>
        <v>0</v>
      </c>
      <c r="KZ105" s="57">
        <f t="shared" si="778"/>
        <v>0</v>
      </c>
      <c r="LA105" s="57">
        <f t="shared" si="779"/>
        <v>0</v>
      </c>
      <c r="LB105" s="1029">
        <f t="shared" si="608"/>
        <v>0</v>
      </c>
      <c r="LC105" s="57">
        <f t="shared" si="609"/>
        <v>0</v>
      </c>
      <c r="LD105" s="171" t="str">
        <f t="shared" si="610"/>
        <v/>
      </c>
      <c r="LE105" s="57">
        <f t="shared" si="780"/>
        <v>0</v>
      </c>
      <c r="LF105" s="57">
        <f>IF(OR(AND(KT$6=1,$L105=0),AND(KT$6=2,$K105=2,$G105=1)),0,IF(AND(KV$9=2,(OR($F105&gt;1,$K105=1,AND($L105=80,OR($N105=1,AND($N105=2,'#BerechnungDBE'!$AL96&gt;0)))))),IF(KT$4&gt;=$AD$126,0,LD105),IF(KV$9=3,IF(OR(KT$4&gt;=$AD$127,AND($G105=1,$J105=2,KT$6=2),AND(KT$6=1,$N105&lt;&gt;1)),0,IF(KX105&lt;=120,LD105,IF(KT$4&lt;$AD$124,IF($F105=1,60/KV$4*KV$6,60/KV$4*KV$7),IF($F105=1,120/KV$4*KV$6,120/KV$4*KV$7)))),IF(OR($F105=3,$G105=2),IF(OR(AND(KT$4&gt;=$AD$119,$C105=2),AND(KT$4&gt;=$AF$119,$C105=1)),0,IF(KX105&lt;=60,LD105,60/KV$4*KV$7)),IF(AND($F105=2,$G105=1),LD105,0)))))</f>
        <v>0</v>
      </c>
      <c r="LG105" s="57" t="str">
        <f t="shared" si="611"/>
        <v/>
      </c>
      <c r="LH105" s="57" t="str">
        <f t="shared" si="612"/>
        <v/>
      </c>
      <c r="LI105" s="713">
        <f>'org. Düngung 22'!CJ104</f>
        <v>0</v>
      </c>
      <c r="LJ105" s="57"/>
      <c r="LK105" s="57"/>
      <c r="LL105" s="57">
        <f t="shared" si="613"/>
        <v>0</v>
      </c>
      <c r="LM105" s="57">
        <f t="shared" si="781"/>
        <v>0</v>
      </c>
      <c r="LN105" s="57">
        <f t="shared" si="782"/>
        <v>0</v>
      </c>
      <c r="LO105" s="57">
        <f t="shared" si="783"/>
        <v>0</v>
      </c>
      <c r="LP105" s="57">
        <f t="shared" si="784"/>
        <v>0</v>
      </c>
      <c r="LQ105" s="1029">
        <f t="shared" si="614"/>
        <v>0</v>
      </c>
      <c r="LR105" s="57">
        <f t="shared" si="615"/>
        <v>0</v>
      </c>
      <c r="LS105" s="171" t="str">
        <f t="shared" si="616"/>
        <v/>
      </c>
      <c r="LT105" s="57">
        <f t="shared" si="785"/>
        <v>0</v>
      </c>
      <c r="LU105" s="57">
        <f>IF(OR(AND(LI$6=1,$L105=0),AND(LI$6=2,$K105=2,$G105=1)),0,IF(AND(LK$9=2,(OR($F105&gt;1,$K105=1,AND($L105=80,OR($N105=1,AND($N105=2,'#BerechnungDBE'!$AL96&gt;0)))))),IF(LI$4&gt;=$AD$126,0,LS105),IF(LK$9=3,IF(OR(LI$4&gt;=$AD$127,AND($G105=1,$J105=2,LI$6=2),AND(LI$6=1,$N105&lt;&gt;1)),0,IF(LM105&lt;=120,LS105,IF(LI$4&lt;$AD$124,IF($F105=1,60/LK$4*LK$6,60/LK$4*LK$7),IF($F105=1,120/LK$4*LK$6,120/LK$4*LK$7)))),IF(OR($F105=3,$G105=2),IF(OR(AND(LI$4&gt;=$AD$119,$C105=2),AND(LI$4&gt;=$AF$119,$C105=1)),0,IF(LM105&lt;=60,LS105,60/LK$4*LK$7)),IF(AND($F105=2,$G105=1),LS105,0)))))</f>
        <v>0</v>
      </c>
      <c r="LV105" s="57" t="str">
        <f t="shared" si="617"/>
        <v/>
      </c>
      <c r="LW105" s="57" t="str">
        <f t="shared" si="618"/>
        <v/>
      </c>
      <c r="LX105" s="713">
        <f>'org. Düngung 22'!CN104</f>
        <v>0</v>
      </c>
      <c r="LY105" s="57"/>
      <c r="LZ105" s="57"/>
      <c r="MA105" s="57">
        <f t="shared" si="619"/>
        <v>0</v>
      </c>
      <c r="MB105" s="57">
        <f t="shared" si="786"/>
        <v>0</v>
      </c>
      <c r="MC105" s="57">
        <f t="shared" si="787"/>
        <v>0</v>
      </c>
      <c r="MD105" s="57">
        <f t="shared" si="788"/>
        <v>0</v>
      </c>
      <c r="ME105" s="57">
        <f t="shared" si="789"/>
        <v>0</v>
      </c>
      <c r="MF105" s="1029">
        <f t="shared" si="620"/>
        <v>0</v>
      </c>
      <c r="MG105" s="57">
        <f t="shared" si="621"/>
        <v>0</v>
      </c>
      <c r="MH105" s="171" t="str">
        <f t="shared" si="622"/>
        <v/>
      </c>
      <c r="MI105" s="57">
        <f t="shared" si="790"/>
        <v>0</v>
      </c>
      <c r="MJ105" s="57">
        <f>IF(OR(AND(LX$6=1,$L105=0),AND(LX$6=2,$K105=2,$G105=1)),0,IF(AND(LZ$9=2,(OR($F105&gt;1,$K105=1,AND($L105=80,OR($N105=1,AND($N105=2,'#BerechnungDBE'!$AL96&gt;0)))))),IF(LX$4&gt;=$AD$126,0,MH105),IF(LZ$9=3,IF(OR(LX$4&gt;=$AD$127,AND($G105=1,$J105=2,LX$6=2),AND(LX$6=1,$N105&lt;&gt;1)),0,IF(MB105&lt;=120,MH105,IF(LX$4&lt;$AD$124,IF($F105=1,60/LZ$4*LZ$6,60/LZ$4*LZ$7),IF($F105=1,120/LZ$4*LZ$6,120/LZ$4*LZ$7)))),IF(OR($F105=3,$G105=2),IF(OR(AND(LX$4&gt;=$AD$119,$C105=2),AND(LX$4&gt;=$AF$119,$C105=1)),0,IF(MB105&lt;=60,MH105,60/LZ$4*LZ$7)),IF(AND($F105=2,$G105=1),MH105,0)))))</f>
        <v>0</v>
      </c>
      <c r="MK105" s="57" t="str">
        <f t="shared" si="623"/>
        <v/>
      </c>
      <c r="ML105" s="57" t="str">
        <f t="shared" si="624"/>
        <v/>
      </c>
      <c r="MM105" s="713">
        <f>'org. Düngung 22'!CR104</f>
        <v>0</v>
      </c>
      <c r="MN105" s="57"/>
      <c r="MO105" s="57"/>
      <c r="MP105" s="57">
        <f t="shared" si="625"/>
        <v>0</v>
      </c>
      <c r="MQ105" s="57">
        <f t="shared" si="791"/>
        <v>0</v>
      </c>
      <c r="MR105" s="57">
        <f t="shared" si="792"/>
        <v>0</v>
      </c>
      <c r="MS105" s="57">
        <f t="shared" si="793"/>
        <v>0</v>
      </c>
      <c r="MT105" s="57">
        <f t="shared" si="794"/>
        <v>0</v>
      </c>
      <c r="MU105" s="1029">
        <f t="shared" si="626"/>
        <v>0</v>
      </c>
      <c r="MV105" s="57">
        <f t="shared" si="627"/>
        <v>0</v>
      </c>
      <c r="MW105" s="171" t="str">
        <f t="shared" si="628"/>
        <v/>
      </c>
      <c r="MX105" s="57">
        <f t="shared" si="795"/>
        <v>0</v>
      </c>
      <c r="MY105" s="57">
        <f>IF(OR(AND(MM$6=1,$L105=0),AND(MM$6=2,$K105=2,$G105=1)),0,IF(AND(MO$9=2,(OR($F105&gt;1,$K105=1,AND($L105=80,OR($N105=1,AND($N105=2,'#BerechnungDBE'!$AL96&gt;0)))))),IF(MM$4&gt;=$AD$126,0,MW105),IF(MO$9=3,IF(OR(MM$4&gt;=$AD$127,AND($G105=1,$J105=2,MM$6=2),AND(MM$6=1,$N105&lt;&gt;1)),0,IF(MQ105&lt;=120,MW105,IF(MM$4&lt;$AD$124,IF($F105=1,60/MO$4*MO$6,60/MO$4*MO$7),IF($F105=1,120/MO$4*MO$6,120/MO$4*MO$7)))),IF(OR($F105=3,$G105=2),IF(OR(AND(MM$4&gt;=$AD$119,$C105=2),AND(MM$4&gt;=$AF$119,$C105=1)),0,IF(MQ105&lt;=60,MW105,60/MO$4*MO$7)),IF(AND($F105=2,$G105=1),MW105,0)))))</f>
        <v>0</v>
      </c>
      <c r="MZ105" s="57" t="str">
        <f t="shared" si="629"/>
        <v/>
      </c>
      <c r="NA105" s="57" t="str">
        <f t="shared" si="630"/>
        <v/>
      </c>
      <c r="NB105" s="713">
        <f>'org. Düngung 22'!CV104</f>
        <v>0</v>
      </c>
      <c r="NC105" s="57"/>
      <c r="ND105" s="57"/>
      <c r="NE105" s="57">
        <f t="shared" si="631"/>
        <v>0</v>
      </c>
      <c r="NF105" s="57">
        <f t="shared" si="796"/>
        <v>0</v>
      </c>
      <c r="NG105" s="57">
        <f t="shared" si="797"/>
        <v>0</v>
      </c>
      <c r="NH105" s="57">
        <f t="shared" si="798"/>
        <v>0</v>
      </c>
      <c r="NI105" s="57">
        <f t="shared" si="799"/>
        <v>0</v>
      </c>
      <c r="NJ105" s="1029">
        <f t="shared" si="632"/>
        <v>0</v>
      </c>
      <c r="NK105" s="57">
        <f t="shared" si="633"/>
        <v>0</v>
      </c>
      <c r="NL105" s="171" t="str">
        <f t="shared" si="634"/>
        <v/>
      </c>
      <c r="NM105" s="57">
        <f t="shared" si="800"/>
        <v>0</v>
      </c>
      <c r="NN105" s="57">
        <f>IF(OR(AND(NB$6=1,$L105=0),AND(NB$6=2,$K105=2,$G105=1)),0,IF(AND(ND$9=2,(OR($F105&gt;1,$K105=1,AND($L105=80,OR($N105=1,AND($N105=2,'#BerechnungDBE'!$AL96&gt;0)))))),IF(NB$4&gt;=$AD$126,0,NL105),IF(ND$9=3,IF(OR(NB$4&gt;=$AD$127,AND($G105=1,$J105=2,NB$6=2),AND(NB$6=1,$N105&lt;&gt;1)),0,IF(NF105&lt;=120,NL105,IF(NB$4&lt;$AD$124,IF($F105=1,60/ND$4*ND$6,60/ND$4*ND$7),IF($F105=1,120/ND$4*ND$6,120/ND$4*ND$7)))),IF(OR($F105=3,$G105=2),IF(OR(AND(NB$4&gt;=$AD$119,$C105=2),AND(NB$4&gt;=$AF$119,$C105=1)),0,IF(NF105&lt;=60,NL105,60/ND$4*ND$7)),IF(AND($F105=2,$G105=1),NL105,0)))))</f>
        <v>0</v>
      </c>
      <c r="NO105" s="57" t="str">
        <f t="shared" si="635"/>
        <v/>
      </c>
      <c r="NP105" s="57" t="str">
        <f t="shared" si="636"/>
        <v/>
      </c>
      <c r="NQ105" s="713">
        <f>'org. Düngung 22'!CZ104</f>
        <v>0</v>
      </c>
      <c r="NR105" s="57"/>
      <c r="NS105" s="57"/>
      <c r="NT105" s="57">
        <f t="shared" si="637"/>
        <v>0</v>
      </c>
      <c r="NU105" s="57">
        <f t="shared" si="801"/>
        <v>0</v>
      </c>
      <c r="NV105" s="57">
        <f t="shared" si="802"/>
        <v>0</v>
      </c>
      <c r="NW105" s="57">
        <f t="shared" si="803"/>
        <v>0</v>
      </c>
      <c r="NX105" s="57">
        <f t="shared" si="804"/>
        <v>0</v>
      </c>
      <c r="NY105" s="1029">
        <f t="shared" si="638"/>
        <v>0</v>
      </c>
      <c r="NZ105" s="57">
        <f t="shared" si="639"/>
        <v>0</v>
      </c>
      <c r="OA105" s="171" t="str">
        <f t="shared" si="640"/>
        <v/>
      </c>
      <c r="OB105" s="57">
        <f t="shared" si="805"/>
        <v>0</v>
      </c>
      <c r="OC105" s="57">
        <f>IF(OR(AND(NQ$6=1,$L105=0),AND(NQ$6=2,$K105=2,$G105=1)),0,IF(AND(NS$9=2,(OR($F105&gt;1,$K105=1,AND($L105=80,OR($N105=1,AND($N105=2,'#BerechnungDBE'!$AL96&gt;0)))))),IF(NQ$4&gt;=$AD$126,0,OA105),IF(NS$9=3,IF(OR(NQ$4&gt;=$AD$127,AND($G105=1,$J105=2,NQ$6=2),AND(NQ$6=1,$N105&lt;&gt;1)),0,IF(NU105&lt;=120,OA105,IF(NQ$4&lt;$AD$124,IF($F105=1,60/NS$4*NS$6,60/NS$4*NS$7),IF($F105=1,120/NS$4*NS$6,120/NS$4*NS$7)))),IF(OR($F105=3,$G105=2),IF(OR(AND(NQ$4&gt;=$AD$119,$C105=2),AND(NQ$4&gt;=$AF$119,$C105=1)),0,IF(NU105&lt;=60,OA105,60/NS$4*NS$7)),IF(AND($F105=2,$G105=1),OA105,0)))))</f>
        <v>0</v>
      </c>
      <c r="OD105" s="57" t="str">
        <f t="shared" si="641"/>
        <v/>
      </c>
      <c r="OE105" s="57" t="str">
        <f t="shared" si="642"/>
        <v/>
      </c>
      <c r="OF105" s="713">
        <f>'org. Düngung 22'!DD104</f>
        <v>0</v>
      </c>
      <c r="OG105" s="57"/>
      <c r="OH105" s="57"/>
      <c r="OI105" s="57">
        <f t="shared" si="643"/>
        <v>0</v>
      </c>
      <c r="OJ105" s="57">
        <f t="shared" si="806"/>
        <v>0</v>
      </c>
      <c r="OK105" s="57">
        <f t="shared" si="807"/>
        <v>0</v>
      </c>
      <c r="OL105" s="57">
        <f t="shared" si="808"/>
        <v>0</v>
      </c>
      <c r="OM105" s="57">
        <f t="shared" si="809"/>
        <v>0</v>
      </c>
      <c r="ON105" s="1029">
        <f t="shared" si="644"/>
        <v>0</v>
      </c>
      <c r="OO105" s="57">
        <f t="shared" si="645"/>
        <v>0</v>
      </c>
      <c r="OP105" s="171" t="str">
        <f t="shared" si="646"/>
        <v/>
      </c>
      <c r="OQ105" s="57">
        <f t="shared" si="810"/>
        <v>0</v>
      </c>
      <c r="OR105" s="57">
        <f>IF(OR(AND(OF$6=1,$L105=0),AND(OF$6=2,$K105=2,$G105=1)),0,IF(AND(OH$9=2,(OR($F105&gt;1,$K105=1,AND($L105=80,OR($N105=1,AND($N105=2,'#BerechnungDBE'!$AL96&gt;0)))))),IF(OF$4&gt;=$AD$126,0,OP105),IF(OH$9=3,IF(OR(OF$4&gt;=$AD$127,AND($G105=1,$J105=2,OF$6=2),AND(OF$6=1,$N105&lt;&gt;1)),0,IF(OJ105&lt;=120,OP105,IF(OF$4&lt;$AD$124,IF($F105=1,60/OH$4*OH$6,60/OH$4*OH$7),IF($F105=1,120/OH$4*OH$6,120/OH$4*OH$7)))),IF(OR($F105=3,$G105=2),IF(OR(AND(OF$4&gt;=$AD$119,$C105=2),AND(OF$4&gt;=$AF$119,$C105=1)),0,IF(OJ105&lt;=60,OP105,60/OH$4*OH$7)),IF(AND($F105=2,$G105=1),OP105,0)))))</f>
        <v>0</v>
      </c>
      <c r="OS105" s="57" t="str">
        <f t="shared" si="647"/>
        <v/>
      </c>
      <c r="OT105" s="57" t="str">
        <f t="shared" si="648"/>
        <v/>
      </c>
      <c r="OU105" s="713">
        <f>'org. Düngung 22'!DH104</f>
        <v>0</v>
      </c>
      <c r="OV105" s="57"/>
      <c r="OW105" s="57"/>
      <c r="OX105" s="57">
        <f t="shared" si="649"/>
        <v>0</v>
      </c>
      <c r="OY105" s="57">
        <f t="shared" si="811"/>
        <v>0</v>
      </c>
      <c r="OZ105" s="57">
        <f t="shared" si="812"/>
        <v>0</v>
      </c>
      <c r="PA105" s="57">
        <f t="shared" si="813"/>
        <v>0</v>
      </c>
      <c r="PB105" s="57">
        <f t="shared" si="814"/>
        <v>0</v>
      </c>
      <c r="PC105" s="1029">
        <f t="shared" si="650"/>
        <v>0</v>
      </c>
      <c r="PD105" s="57">
        <f t="shared" si="651"/>
        <v>0</v>
      </c>
      <c r="PE105" s="171" t="str">
        <f t="shared" si="652"/>
        <v/>
      </c>
      <c r="PF105" s="57">
        <f t="shared" si="815"/>
        <v>0</v>
      </c>
      <c r="PG105" s="57">
        <f>IF(OR(AND(OU$6=1,$L105=0),AND(OU$6=2,$K105=2,$G105=1)),0,IF(AND(OW$9=2,(OR($F105&gt;1,$K105=1,AND($L105=80,OR($N105=1,AND($N105=2,'#BerechnungDBE'!$AL96&gt;0)))))),IF(OU$4&gt;=$AD$126,0,PE105),IF(OW$9=3,IF(OR(OU$4&gt;=$AD$127,AND($G105=1,$J105=2,OU$6=2),AND(OU$6=1,$N105&lt;&gt;1)),0,IF(OY105&lt;=120,PE105,IF(OU$4&lt;$AD$124,IF($F105=1,60/OW$4*OW$6,60/OW$4*OW$7),IF($F105=1,120/OW$4*OW$6,120/OW$4*OW$7)))),IF(OR($F105=3,$G105=2),IF(OR(AND(OU$4&gt;=$AD$119,$C105=2),AND(OU$4&gt;=$AF$119,$C105=1)),0,IF(OY105&lt;=60,PE105,60/OW$4*OW$7)),IF(AND($F105=2,$G105=1),PE105,0)))))</f>
        <v>0</v>
      </c>
      <c r="PH105" s="57" t="str">
        <f t="shared" si="653"/>
        <v/>
      </c>
      <c r="PI105" s="57" t="str">
        <f t="shared" si="654"/>
        <v/>
      </c>
      <c r="PJ105" s="713">
        <f>'org. Düngung 22'!DL104</f>
        <v>0</v>
      </c>
      <c r="PK105" s="57"/>
      <c r="PL105" s="57"/>
      <c r="PM105" s="57">
        <f t="shared" si="655"/>
        <v>0</v>
      </c>
      <c r="PN105" s="57">
        <f t="shared" si="816"/>
        <v>0</v>
      </c>
      <c r="PO105" s="57">
        <f t="shared" si="817"/>
        <v>0</v>
      </c>
      <c r="PP105" s="57">
        <f t="shared" si="818"/>
        <v>0</v>
      </c>
      <c r="PQ105" s="57">
        <f t="shared" si="819"/>
        <v>0</v>
      </c>
      <c r="PR105" s="1029">
        <f t="shared" si="656"/>
        <v>0</v>
      </c>
      <c r="PS105" s="57">
        <f t="shared" si="657"/>
        <v>0</v>
      </c>
      <c r="PT105" s="171" t="str">
        <f t="shared" si="658"/>
        <v/>
      </c>
      <c r="PU105" s="57">
        <f t="shared" si="820"/>
        <v>0</v>
      </c>
      <c r="PV105" s="57">
        <f>IF(OR(AND(PJ$6=1,$L105=0),AND(PJ$6=2,$K105=2,$G105=1)),0,IF(AND(PL$9=2,(OR($F105&gt;1,$K105=1,AND($L105=80,OR($N105=1,AND($N105=2,'#BerechnungDBE'!$AL96&gt;0)))))),IF(PJ$4&gt;=$AD$126,0,PT105),IF(PL$9=3,IF(OR(PJ$4&gt;=$AD$127,AND($G105=1,$J105=2,PJ$6=2),AND(PJ$6=1,$N105&lt;&gt;1)),0,IF(PN105&lt;=120,PT105,IF(PJ$4&lt;$AD$124,IF($F105=1,60/PL$4*PL$6,60/PL$4*PL$7),IF($F105=1,120/PL$4*PL$6,120/PL$4*PL$7)))),IF(OR($F105=3,$G105=2),IF(OR(AND(PJ$4&gt;=$AD$119,$C105=2),AND(PJ$4&gt;=$AF$119,$C105=1)),0,IF(PN105&lt;=60,PT105,60/PL$4*PL$7)),IF(AND($F105=2,$G105=1),PT105,0)))))</f>
        <v>0</v>
      </c>
      <c r="PW105" s="57" t="str">
        <f t="shared" si="659"/>
        <v/>
      </c>
      <c r="PX105" s="57" t="str">
        <f t="shared" si="660"/>
        <v/>
      </c>
      <c r="PY105" s="713">
        <f>'org. Düngung 22'!DP104</f>
        <v>0</v>
      </c>
      <c r="PZ105" s="57"/>
      <c r="QA105" s="57"/>
      <c r="QB105" s="57">
        <f t="shared" si="661"/>
        <v>0</v>
      </c>
      <c r="QC105" s="57">
        <f t="shared" si="821"/>
        <v>0</v>
      </c>
      <c r="QD105" s="57">
        <f t="shared" si="822"/>
        <v>0</v>
      </c>
      <c r="QE105" s="57">
        <f t="shared" si="823"/>
        <v>0</v>
      </c>
      <c r="QF105" s="57">
        <f t="shared" si="824"/>
        <v>0</v>
      </c>
      <c r="QG105" s="1029">
        <f t="shared" si="662"/>
        <v>0</v>
      </c>
      <c r="QH105" s="57">
        <f t="shared" si="663"/>
        <v>0</v>
      </c>
      <c r="QI105" s="171" t="str">
        <f t="shared" si="664"/>
        <v/>
      </c>
      <c r="QJ105" s="57">
        <f t="shared" si="825"/>
        <v>0</v>
      </c>
      <c r="QK105" s="57">
        <f>IF(OR(AND(PY$6=1,$L105=0),AND(PY$6=2,$K105=2,$G105=1)),0,IF(AND(QA$9=2,(OR($F105&gt;1,$K105=1,AND($L105=80,OR($N105=1,AND($N105=2,'#BerechnungDBE'!$AL96&gt;0)))))),IF(PY$4&gt;=$AD$126,0,QI105),IF(QA$9=3,IF(OR(PY$4&gt;=$AD$127,AND($G105=1,$J105=2,PY$6=2),AND(PY$6=1,$N105&lt;&gt;1)),0,IF(QC105&lt;=120,QI105,IF(PY$4&lt;$AD$124,IF($F105=1,60/QA$4*QA$6,60/QA$4*QA$7),IF($F105=1,120/QA$4*QA$6,120/QA$4*QA$7)))),IF(OR($F105=3,$G105=2),IF(OR(AND(PY$4&gt;=$AD$119,$C105=2),AND(PY$4&gt;=$AF$119,$C105=1)),0,IF(QC105&lt;=60,QI105,60/QA$4*QA$7)),IF(AND($F105=2,$G105=1),QI105,0)))))</f>
        <v>0</v>
      </c>
      <c r="QL105" s="57" t="str">
        <f t="shared" si="665"/>
        <v/>
      </c>
      <c r="QM105" s="57" t="str">
        <f t="shared" si="666"/>
        <v/>
      </c>
      <c r="QN105" s="713">
        <f>'org. Düngung 22'!DT104</f>
        <v>0</v>
      </c>
      <c r="QO105" s="57"/>
      <c r="QP105" s="57"/>
      <c r="QQ105" s="57">
        <f t="shared" si="667"/>
        <v>0</v>
      </c>
      <c r="QR105" s="57">
        <f t="shared" si="826"/>
        <v>0</v>
      </c>
      <c r="QS105" s="57">
        <f t="shared" si="827"/>
        <v>0</v>
      </c>
      <c r="QT105" s="57">
        <f t="shared" si="828"/>
        <v>0</v>
      </c>
      <c r="QU105" s="57">
        <f t="shared" si="829"/>
        <v>0</v>
      </c>
      <c r="QV105" s="1029">
        <f t="shared" si="668"/>
        <v>0</v>
      </c>
      <c r="QW105" s="57">
        <f t="shared" si="669"/>
        <v>0</v>
      </c>
      <c r="QX105" s="171" t="str">
        <f t="shared" si="670"/>
        <v/>
      </c>
      <c r="QY105" s="57">
        <f t="shared" si="830"/>
        <v>0</v>
      </c>
      <c r="QZ105" s="57">
        <f>IF(OR(AND(QN$6=1,$L105=0),AND(QN$6=2,$K105=2,$G105=1)),0,IF(AND(QP$9=2,(OR($F105&gt;1,$K105=1,AND($L105=80,OR($N105=1,AND($N105=2,'#BerechnungDBE'!$AL96&gt;0)))))),IF(QN$4&gt;=$AD$126,0,QX105),IF(QP$9=3,IF(OR(QN$4&gt;=$AD$127,AND($G105=1,$J105=2,QN$6=2),AND(QN$6=1,$N105&lt;&gt;1)),0,IF(QR105&lt;=120,QX105,IF(QN$4&lt;$AD$124,IF($F105=1,60/QP$4*QP$6,60/QP$4*QP$7),IF($F105=1,120/QP$4*QP$6,120/QP$4*QP$7)))),IF(OR($F105=3,$G105=2),IF(OR(AND(QN$4&gt;=$AD$119,$C105=2),AND(QN$4&gt;=$AF$119,$C105=1)),0,IF(QR105&lt;=60,QX105,60/QP$4*QP$7)),IF(AND($F105=2,$G105=1),QX105,0)))))</f>
        <v>0</v>
      </c>
      <c r="RA105" s="57" t="str">
        <f t="shared" si="671"/>
        <v/>
      </c>
      <c r="RB105" s="57" t="str">
        <f t="shared" si="672"/>
        <v/>
      </c>
      <c r="RC105" s="713">
        <f>'org. Düngung 22'!DX104</f>
        <v>0</v>
      </c>
      <c r="RD105" s="57"/>
      <c r="RE105" s="57"/>
      <c r="RF105" s="57">
        <f t="shared" si="673"/>
        <v>0</v>
      </c>
      <c r="RG105" s="57">
        <f t="shared" si="831"/>
        <v>0</v>
      </c>
      <c r="RH105" s="57">
        <f t="shared" si="832"/>
        <v>0</v>
      </c>
      <c r="RI105" s="57">
        <f t="shared" si="833"/>
        <v>0</v>
      </c>
      <c r="RJ105" s="57">
        <f t="shared" si="834"/>
        <v>0</v>
      </c>
      <c r="RK105" s="1029">
        <f t="shared" si="674"/>
        <v>0</v>
      </c>
      <c r="RL105" s="57">
        <f t="shared" si="675"/>
        <v>0</v>
      </c>
      <c r="RM105" s="171" t="str">
        <f t="shared" si="676"/>
        <v/>
      </c>
      <c r="RN105" s="57">
        <f t="shared" si="835"/>
        <v>0</v>
      </c>
      <c r="RO105" s="57">
        <f>IF(OR(AND(RC$6=1,$L105=0),AND(RC$6=2,$K105=2,$G105=1)),0,IF(AND(RE$9=2,(OR($F105&gt;1,$K105=1,AND($L105=80,OR($N105=1,AND($N105=2,'#BerechnungDBE'!$AL96&gt;0)))))),IF(RC$4&gt;=$AD$126,0,RM105),IF(RE$9=3,IF(OR(RC$4&gt;=$AD$127,AND($G105=1,$J105=2,RC$6=2),AND(RC$6=1,$N105&lt;&gt;1)),0,IF(RG105&lt;=120,RM105,IF(RC$4&lt;$AD$124,IF($F105=1,60/RE$4*RE$6,60/RE$4*RE$7),IF($F105=1,120/RE$4*RE$6,120/RE$4*RE$7)))),IF(OR($F105=3,$G105=2),IF(OR(AND(RC$4&gt;=$AD$119,$C105=2),AND(RC$4&gt;=$AF$119,$C105=1)),0,IF(RG105&lt;=60,RM105,60/RE$4*RE$7)),IF(AND($F105=2,$G105=1),RM105,0)))))</f>
        <v>0</v>
      </c>
      <c r="RP105" s="57" t="str">
        <f t="shared" si="677"/>
        <v/>
      </c>
      <c r="RQ105" s="57" t="str">
        <f t="shared" si="678"/>
        <v/>
      </c>
      <c r="RS105" s="57" t="str">
        <f t="shared" si="836"/>
        <v/>
      </c>
      <c r="RT105" s="57" t="str">
        <f t="shared" si="679"/>
        <v/>
      </c>
      <c r="RU105" s="57" t="str">
        <f t="shared" si="680"/>
        <v/>
      </c>
      <c r="RV105" s="57" t="str">
        <f>IF(Z105&gt;'#BerechnungDBE'!BM96,$RV$9,"")</f>
        <v/>
      </c>
      <c r="RW105" s="57" t="str">
        <f>IF(AND(L105=70,AE105&gt;'#BerechnungDBE'!CQ96),$RW$9,"")</f>
        <v/>
      </c>
      <c r="RX105" s="57" t="str">
        <f>IF(OR('org. Düngung 22'!G104="--",'org. Düngung 22'!G104&lt;=170,'org. Düngung 22'!G104=""),"",$RX$9)</f>
        <v/>
      </c>
      <c r="RY105" s="57" t="str">
        <f>IF('org. Düngung 22'!K104&gt;120,'#orgDung'!$RY$9,"")</f>
        <v/>
      </c>
      <c r="RZ105" s="57" t="str">
        <f>IF('#BerechnungDBE'!P96&lt;4,"",IF(AND('#BerechnungDBE'!BZ96&gt;0,T105&gt;0),'#orgDung'!$RZ$9,""))</f>
        <v/>
      </c>
      <c r="SA105" s="57" t="str">
        <f t="shared" si="681"/>
        <v/>
      </c>
    </row>
    <row r="106" spans="1:495" s="875" customFormat="1" x14ac:dyDescent="0.2">
      <c r="A106" s="875">
        <f>'Flächen u. Kulturen'!A102</f>
        <v>93</v>
      </c>
      <c r="B106" s="367">
        <f>'#BerechnungDBE'!L97</f>
        <v>0</v>
      </c>
      <c r="C106" s="875">
        <f>'#BerechnungDBE'!R97</f>
        <v>1</v>
      </c>
      <c r="D106" s="875">
        <f>'#BerechnungDBE'!T97</f>
        <v>2</v>
      </c>
      <c r="E106" s="875" t="str">
        <f>'Flächen u. Kulturen'!E102</f>
        <v>x</v>
      </c>
      <c r="F106" s="52">
        <f>'#BerechnungDBE'!N97</f>
        <v>1</v>
      </c>
      <c r="G106" s="52">
        <f>'#BerechnungDBE'!O97</f>
        <v>1</v>
      </c>
      <c r="H106" s="875">
        <f>IF('Flächen u. Kulturen'!P102="",0,VLOOKUP('Flächen u. Kulturen'!P102,Kulturen[[HF]:[Berechnungsgruppe]],'#Frucht'!$H$1,FALSE))</f>
        <v>0</v>
      </c>
      <c r="I106" s="875">
        <f>IF('Flächen u. Kulturen'!J102="",0,VLOOKUP('Flächen u. Kulturen'!J102,Kulturen[[HF]:[Berechnungsgruppe]],'#Frucht'!$G$1,FALSE))</f>
        <v>90</v>
      </c>
      <c r="J106" s="505">
        <f t="shared" si="682"/>
        <v>2</v>
      </c>
      <c r="K106" s="505">
        <f>IF('Flächen u. Kulturen'!P102="",0,IF(VLOOKUP('Flächen u. Kulturen'!P102,Kulturen[[HF]:[Saat Winterungen]],'#Frucht'!$P$1,FALSE)&gt;0,1,2))</f>
        <v>2</v>
      </c>
      <c r="L106" s="875">
        <f>'#BerechnungDBE'!AF97</f>
        <v>0</v>
      </c>
      <c r="M106" s="875">
        <f>IF('Flächen u. Kulturen'!L102="",0,VLOOKUP('Flächen u. Kulturen'!L102,Nebenkultur[[Nebenkultur]:[Legum. Zwischenfr.]],'#Zweitfr'!$K$1,FALSE))</f>
        <v>0</v>
      </c>
      <c r="N106" s="875">
        <f>'#BerechnungDBE'!AG97</f>
        <v>0</v>
      </c>
      <c r="P106" s="57">
        <f t="shared" si="489"/>
        <v>0</v>
      </c>
      <c r="Q106" s="57">
        <f t="shared" si="490"/>
        <v>0</v>
      </c>
      <c r="R106" s="875">
        <f t="shared" si="491"/>
        <v>0</v>
      </c>
      <c r="S106" s="938" t="str">
        <f t="shared" si="683"/>
        <v/>
      </c>
      <c r="T106" s="875">
        <f t="shared" si="492"/>
        <v>0</v>
      </c>
      <c r="U106" s="875">
        <f t="shared" si="493"/>
        <v>0</v>
      </c>
      <c r="V106" s="875">
        <f t="shared" si="494"/>
        <v>0</v>
      </c>
      <c r="W106" s="875">
        <f t="shared" si="495"/>
        <v>0</v>
      </c>
      <c r="X106" s="875">
        <f t="shared" si="496"/>
        <v>0</v>
      </c>
      <c r="Y106" s="875">
        <f t="shared" si="837"/>
        <v>0</v>
      </c>
      <c r="Z106" s="875">
        <f t="shared" si="838"/>
        <v>0</v>
      </c>
      <c r="AA106" s="910">
        <f t="shared" si="497"/>
        <v>0</v>
      </c>
      <c r="AB106" s="57">
        <f t="shared" si="839"/>
        <v>0</v>
      </c>
      <c r="AC106" s="875">
        <f t="shared" si="498"/>
        <v>0</v>
      </c>
      <c r="AD106" s="875">
        <f t="shared" si="499"/>
        <v>0</v>
      </c>
      <c r="AE106" s="875">
        <f t="shared" si="500"/>
        <v>0</v>
      </c>
      <c r="AF106" s="875">
        <f t="shared" si="840"/>
        <v>0</v>
      </c>
      <c r="AG106" s="875">
        <f>'org. Düngung 22'!J105</f>
        <v>0</v>
      </c>
      <c r="AH106" s="875">
        <f>'org. Düngung 22'!K105</f>
        <v>0</v>
      </c>
      <c r="AJ106" s="713">
        <f>'org. Düngung 22'!L105</f>
        <v>0</v>
      </c>
      <c r="AK106" s="57"/>
      <c r="AL106" s="57"/>
      <c r="AM106" s="57">
        <f t="shared" si="684"/>
        <v>0</v>
      </c>
      <c r="AN106" s="57">
        <f t="shared" si="685"/>
        <v>0</v>
      </c>
      <c r="AO106" s="57">
        <f t="shared" si="686"/>
        <v>0</v>
      </c>
      <c r="AP106" s="57">
        <f t="shared" si="687"/>
        <v>0</v>
      </c>
      <c r="AQ106" s="57">
        <f t="shared" si="688"/>
        <v>0</v>
      </c>
      <c r="AR106" s="1029">
        <f t="shared" si="501"/>
        <v>0</v>
      </c>
      <c r="AS106" s="57">
        <f t="shared" si="502"/>
        <v>0</v>
      </c>
      <c r="AT106" s="171" t="str">
        <f t="shared" si="503"/>
        <v/>
      </c>
      <c r="AU106" s="57">
        <f t="shared" si="689"/>
        <v>0</v>
      </c>
      <c r="AV106" s="57">
        <f>IF(OR(AND(AJ$6=1,$L106=0),AND(AJ$6=2,$K106=2,$G106=1)),0,IF(AND(AL$9=2,(OR($F106&gt;1,$K106=1,AND($L106=80,OR($N106=1,AND($N106=2,'#BerechnungDBE'!$AL97&gt;0)))))),IF(AJ$4&gt;=$AD$126,0,AT106),IF(AL$9=3,IF(OR(AJ$4&gt;=$AD$127,AND($G106=1,$J106=2,AJ$6=2),AND(AJ$6=1,$N106&lt;&gt;1)),0,IF(AN106&lt;=120,AT106,IF(AJ$4&lt;$AD$124,IF($F106=1,60/AL$4*AL$6,60/AL$4*AL$7),IF($F106=1,120/AL$4*AL$6,120/AL$4*AL$7)))),IF(OR($F106=3,$G106=2),IF(OR(AND(AJ$4&gt;=$AD$119,$C106=2),AND(AJ$4&gt;=$AF$119,$C106=1)),0,IF(AN106&lt;=60,AT106,60/AL$4*AL$7)),IF(AND($F106=2,$G106=1),AT106,0)))))</f>
        <v>0</v>
      </c>
      <c r="AW106" s="57" t="str">
        <f t="shared" si="690"/>
        <v/>
      </c>
      <c r="AX106" s="57" t="str">
        <f t="shared" si="504"/>
        <v/>
      </c>
      <c r="AY106" s="713">
        <f>'org. Düngung 22'!P105</f>
        <v>0</v>
      </c>
      <c r="AZ106" s="57"/>
      <c r="BA106" s="57"/>
      <c r="BB106" s="57">
        <f t="shared" si="505"/>
        <v>0</v>
      </c>
      <c r="BC106" s="57">
        <f t="shared" si="691"/>
        <v>0</v>
      </c>
      <c r="BD106" s="57">
        <f t="shared" si="692"/>
        <v>0</v>
      </c>
      <c r="BE106" s="57">
        <f t="shared" si="693"/>
        <v>0</v>
      </c>
      <c r="BF106" s="57">
        <f t="shared" si="694"/>
        <v>0</v>
      </c>
      <c r="BG106" s="1029">
        <f t="shared" si="506"/>
        <v>0</v>
      </c>
      <c r="BH106" s="57">
        <f t="shared" si="507"/>
        <v>0</v>
      </c>
      <c r="BI106" s="171" t="str">
        <f t="shared" si="508"/>
        <v/>
      </c>
      <c r="BJ106" s="57">
        <f t="shared" si="695"/>
        <v>0</v>
      </c>
      <c r="BK106" s="57">
        <f>IF(OR(AND(AY$6=1,$L106=0),AND(AY$6=2,$K106=2,$G106=1)),0,IF(AND(BA$9=2,(OR($F106&gt;1,$K106=1,AND($L106=80,OR($N106=1,AND($N106=2,'#BerechnungDBE'!$AL97&gt;0)))))),IF(AY$4&gt;=$AD$126,0,BI106),IF(BA$9=3,IF(OR(AY$4&gt;=$AD$127,AND($G106=1,$J106=2,AY$6=2),AND(AY$6=1,$N106&lt;&gt;1)),0,IF(BC106&lt;=120,BI106,IF(AY$4&lt;$AD$124,IF($F106=1,60/BA$4*BA$6,60/BA$4*BA$7),IF($F106=1,120/BA$4*BA$6,120/BA$4*BA$7)))),IF(OR($F106=3,$G106=2),IF(OR(AND(AY$4&gt;=$AD$119,$C106=2),AND(AY$4&gt;=$AF$119,$C106=1)),0,IF(BC106&lt;=60,BI106,60/BA$4*BA$7)),IF(AND($F106=2,$G106=1),BI106,0)))))</f>
        <v>0</v>
      </c>
      <c r="BL106" s="57" t="str">
        <f t="shared" si="509"/>
        <v/>
      </c>
      <c r="BM106" s="57" t="str">
        <f t="shared" si="510"/>
        <v/>
      </c>
      <c r="BN106" s="713">
        <f>'org. Düngung 22'!T105</f>
        <v>0</v>
      </c>
      <c r="BO106" s="57"/>
      <c r="BP106" s="57"/>
      <c r="BQ106" s="57">
        <f t="shared" si="511"/>
        <v>0</v>
      </c>
      <c r="BR106" s="57">
        <f t="shared" si="696"/>
        <v>0</v>
      </c>
      <c r="BS106" s="57">
        <f t="shared" si="697"/>
        <v>0</v>
      </c>
      <c r="BT106" s="57">
        <f t="shared" si="698"/>
        <v>0</v>
      </c>
      <c r="BU106" s="57">
        <f t="shared" si="699"/>
        <v>0</v>
      </c>
      <c r="BV106" s="1029">
        <f t="shared" si="512"/>
        <v>0</v>
      </c>
      <c r="BW106" s="57">
        <f t="shared" si="513"/>
        <v>0</v>
      </c>
      <c r="BX106" s="171" t="str">
        <f t="shared" si="514"/>
        <v/>
      </c>
      <c r="BY106" s="57">
        <f t="shared" si="700"/>
        <v>0</v>
      </c>
      <c r="BZ106" s="57">
        <f>IF(OR(AND(BN$6=1,$L106=0),AND(BN$6=2,$K106=2,$G106=1)),0,IF(AND(BP$9=2,(OR($F106&gt;1,$K106=1,AND($L106=80,OR($N106=1,AND($N106=2,'#BerechnungDBE'!$AL97&gt;0)))))),IF(BN$4&gt;=$AD$126,0,BX106),IF(BP$9=3,IF(OR(BN$4&gt;=$AD$127,AND($G106=1,$J106=2,BN$6=2),AND(BN$6=1,$N106&lt;&gt;1)),0,IF(BR106&lt;=120,BX106,IF(BN$4&lt;$AD$124,IF($F106=1,60/BP$4*BP$6,60/BP$4*BP$7),IF($F106=1,120/BP$4*BP$6,120/BP$4*BP$7)))),IF(OR($F106=3,$G106=2),IF(OR(AND(BN$4&gt;=$AD$119,$C106=2),AND(BN$4&gt;=$AF$119,$C106=1)),0,IF(BR106&lt;=60,BX106,60/BP$4*BP$7)),IF(AND($F106=2,$G106=1),BX106,0)))))</f>
        <v>0</v>
      </c>
      <c r="CA106" s="57" t="str">
        <f t="shared" si="515"/>
        <v/>
      </c>
      <c r="CB106" s="57" t="str">
        <f t="shared" si="516"/>
        <v/>
      </c>
      <c r="CC106" s="713">
        <f>'org. Düngung 22'!X105</f>
        <v>0</v>
      </c>
      <c r="CD106" s="57"/>
      <c r="CE106" s="57"/>
      <c r="CF106" s="57">
        <f t="shared" si="517"/>
        <v>0</v>
      </c>
      <c r="CG106" s="57">
        <f t="shared" si="701"/>
        <v>0</v>
      </c>
      <c r="CH106" s="57">
        <f t="shared" si="702"/>
        <v>0</v>
      </c>
      <c r="CI106" s="57">
        <f t="shared" si="703"/>
        <v>0</v>
      </c>
      <c r="CJ106" s="57">
        <f t="shared" si="704"/>
        <v>0</v>
      </c>
      <c r="CK106" s="1029">
        <f t="shared" si="518"/>
        <v>0</v>
      </c>
      <c r="CL106" s="57">
        <f t="shared" si="519"/>
        <v>0</v>
      </c>
      <c r="CM106" s="171" t="str">
        <f t="shared" si="520"/>
        <v/>
      </c>
      <c r="CN106" s="57">
        <f t="shared" si="705"/>
        <v>0</v>
      </c>
      <c r="CO106" s="57">
        <f>IF(OR(AND(CC$6=1,$L106=0),AND(CC$6=2,$K106=2,$G106=1)),0,IF(AND(CE$9=2,(OR($F106&gt;1,$K106=1,AND($L106=80,OR($N106=1,AND($N106=2,'#BerechnungDBE'!$AL97&gt;0)))))),IF(CC$4&gt;=$AD$126,0,CM106),IF(CE$9=3,IF(OR(CC$4&gt;=$AD$127,AND($G106=1,$J106=2,CC$6=2),AND(CC$6=1,$N106&lt;&gt;1)),0,IF(CG106&lt;=120,CM106,IF(CC$4&lt;$AD$124,IF($F106=1,60/CE$4*CE$6,60/CE$4*CE$7),IF($F106=1,120/CE$4*CE$6,120/CE$4*CE$7)))),IF(OR($F106=3,$G106=2),IF(OR(AND(CC$4&gt;=$AD$119,$C106=2),AND(CC$4&gt;=$AF$119,$C106=1)),0,IF(CG106&lt;=60,CM106,60/CE$4*CE$7)),IF(AND($F106=2,$G106=1),CM106,0)))))</f>
        <v>0</v>
      </c>
      <c r="CP106" s="57" t="str">
        <f t="shared" si="521"/>
        <v/>
      </c>
      <c r="CQ106" s="57" t="str">
        <f t="shared" si="522"/>
        <v/>
      </c>
      <c r="CR106" s="713">
        <f>'org. Düngung 22'!AB105</f>
        <v>0</v>
      </c>
      <c r="CS106" s="57"/>
      <c r="CT106" s="57"/>
      <c r="CU106" s="57">
        <f t="shared" si="523"/>
        <v>0</v>
      </c>
      <c r="CV106" s="57">
        <f t="shared" si="706"/>
        <v>0</v>
      </c>
      <c r="CW106" s="57">
        <f t="shared" si="707"/>
        <v>0</v>
      </c>
      <c r="CX106" s="57">
        <f t="shared" si="708"/>
        <v>0</v>
      </c>
      <c r="CY106" s="57">
        <f t="shared" si="709"/>
        <v>0</v>
      </c>
      <c r="CZ106" s="1029">
        <f t="shared" si="524"/>
        <v>0</v>
      </c>
      <c r="DA106" s="57">
        <f t="shared" si="525"/>
        <v>0</v>
      </c>
      <c r="DB106" s="171" t="str">
        <f t="shared" si="526"/>
        <v/>
      </c>
      <c r="DC106" s="57">
        <f t="shared" si="710"/>
        <v>0</v>
      </c>
      <c r="DD106" s="57">
        <f>IF(OR(AND(CR$6=1,$L106=0),AND(CR$6=2,$K106=2,$G106=1)),0,IF(AND(CT$9=2,(OR($F106&gt;1,$K106=1,AND($L106=80,OR($N106=1,AND($N106=2,'#BerechnungDBE'!$AL97&gt;0)))))),IF(CR$4&gt;=$AD$126,0,DB106),IF(CT$9=3,IF(OR(CR$4&gt;=$AD$127,AND($G106=1,$J106=2,CR$6=2),AND(CR$6=1,$N106&lt;&gt;1)),0,IF(CV106&lt;=120,DB106,IF(CR$4&lt;$AD$124,IF($F106=1,60/CT$4*CT$6,60/CT$4*CT$7),IF($F106=1,120/CT$4*CT$6,120/CT$4*CT$7)))),IF(OR($F106=3,$G106=2),IF(OR(AND(CR$4&gt;=$AD$119,$C106=2),AND(CR$4&gt;=$AF$119,$C106=1)),0,IF(CV106&lt;=60,DB106,60/CT$4*CT$7)),IF(AND($F106=2,$G106=1),DB106,0)))))</f>
        <v>0</v>
      </c>
      <c r="DE106" s="57" t="str">
        <f t="shared" si="527"/>
        <v/>
      </c>
      <c r="DF106" s="57" t="str">
        <f t="shared" si="528"/>
        <v/>
      </c>
      <c r="DG106" s="713">
        <f>'org. Düngung 22'!AF105</f>
        <v>0</v>
      </c>
      <c r="DH106" s="57"/>
      <c r="DI106" s="57"/>
      <c r="DJ106" s="57">
        <f t="shared" si="529"/>
        <v>0</v>
      </c>
      <c r="DK106" s="57">
        <f t="shared" si="711"/>
        <v>0</v>
      </c>
      <c r="DL106" s="57">
        <f t="shared" si="712"/>
        <v>0</v>
      </c>
      <c r="DM106" s="57">
        <f t="shared" si="713"/>
        <v>0</v>
      </c>
      <c r="DN106" s="57">
        <f t="shared" si="714"/>
        <v>0</v>
      </c>
      <c r="DO106" s="1029">
        <f t="shared" si="530"/>
        <v>0</v>
      </c>
      <c r="DP106" s="57">
        <f t="shared" si="531"/>
        <v>0</v>
      </c>
      <c r="DQ106" s="171" t="str">
        <f t="shared" si="532"/>
        <v/>
      </c>
      <c r="DR106" s="57">
        <f t="shared" si="715"/>
        <v>0</v>
      </c>
      <c r="DS106" s="57">
        <f>IF(OR(AND(DG$6=1,$L106=0),AND(DG$6=2,$K106=2,$G106=1)),0,IF(AND(DI$9=2,(OR($F106&gt;1,$K106=1,AND($L106=80,OR($N106=1,AND($N106=2,'#BerechnungDBE'!$AL97&gt;0)))))),IF(DG$4&gt;=$AD$126,0,DQ106),IF(DI$9=3,IF(OR(DG$4&gt;=$AD$127,AND($G106=1,$J106=2,DG$6=2),AND(DG$6=1,$N106&lt;&gt;1)),0,IF(DK106&lt;=120,DQ106,IF(DG$4&lt;$AD$124,IF($F106=1,60/DI$4*DI$6,60/DI$4*DI$7),IF($F106=1,120/DI$4*DI$6,120/DI$4*DI$7)))),IF(OR($F106=3,$G106=2),IF(OR(AND(DG$4&gt;=$AD$119,$C106=2),AND(DG$4&gt;=$AF$119,$C106=1)),0,IF(DK106&lt;=60,DQ106,60/DI$4*DI$7)),IF(AND($F106=2,$G106=1),DQ106,0)))))</f>
        <v>0</v>
      </c>
      <c r="DT106" s="57" t="str">
        <f t="shared" si="533"/>
        <v/>
      </c>
      <c r="DU106" s="57" t="str">
        <f t="shared" si="534"/>
        <v/>
      </c>
      <c r="DV106" s="713">
        <f>'org. Düngung 22'!AJ105</f>
        <v>0</v>
      </c>
      <c r="DW106" s="57"/>
      <c r="DX106" s="57"/>
      <c r="DY106" s="57">
        <f t="shared" si="535"/>
        <v>0</v>
      </c>
      <c r="DZ106" s="57">
        <f t="shared" si="716"/>
        <v>0</v>
      </c>
      <c r="EA106" s="57">
        <f t="shared" si="717"/>
        <v>0</v>
      </c>
      <c r="EB106" s="57">
        <f t="shared" si="718"/>
        <v>0</v>
      </c>
      <c r="EC106" s="57">
        <f t="shared" si="719"/>
        <v>0</v>
      </c>
      <c r="ED106" s="1029">
        <f t="shared" si="536"/>
        <v>0</v>
      </c>
      <c r="EE106" s="57">
        <f t="shared" si="537"/>
        <v>0</v>
      </c>
      <c r="EF106" s="171" t="str">
        <f t="shared" si="538"/>
        <v/>
      </c>
      <c r="EG106" s="57">
        <f t="shared" si="720"/>
        <v>0</v>
      </c>
      <c r="EH106" s="57">
        <f>IF(OR(AND(DV$6=1,$L106=0),AND(DV$6=2,$K106=2,$G106=1)),0,IF(AND(DX$9=2,(OR($F106&gt;1,$K106=1,AND($L106=80,OR($N106=1,AND($N106=2,'#BerechnungDBE'!$AL97&gt;0)))))),IF(DV$4&gt;=$AD$126,0,EF106),IF(DX$9=3,IF(OR(DV$4&gt;=$AD$127,AND($G106=1,$J106=2,DV$6=2),AND(DV$6=1,$N106&lt;&gt;1)),0,IF(DZ106&lt;=120,EF106,IF(DV$4&lt;$AD$124,IF($F106=1,60/DX$4*DX$6,60/DX$4*DX$7),IF($F106=1,120/DX$4*DX$6,120/DX$4*DX$7)))),IF(OR($F106=3,$G106=2),IF(OR(AND(DV$4&gt;=$AD$119,$C106=2),AND(DV$4&gt;=$AF$119,$C106=1)),0,IF(DZ106&lt;=60,EF106,60/DX$4*DX$7)),IF(AND($F106=2,$G106=1),EF106,0)))))</f>
        <v>0</v>
      </c>
      <c r="EI106" s="57" t="str">
        <f t="shared" si="539"/>
        <v/>
      </c>
      <c r="EJ106" s="57" t="str">
        <f t="shared" si="540"/>
        <v/>
      </c>
      <c r="EK106" s="713">
        <f>'org. Düngung 22'!AN105</f>
        <v>0</v>
      </c>
      <c r="EL106" s="57"/>
      <c r="EM106" s="57"/>
      <c r="EN106" s="57">
        <f t="shared" si="541"/>
        <v>0</v>
      </c>
      <c r="EO106" s="57">
        <f t="shared" si="721"/>
        <v>0</v>
      </c>
      <c r="EP106" s="57">
        <f t="shared" si="722"/>
        <v>0</v>
      </c>
      <c r="EQ106" s="57">
        <f t="shared" si="723"/>
        <v>0</v>
      </c>
      <c r="ER106" s="57">
        <f t="shared" si="724"/>
        <v>0</v>
      </c>
      <c r="ES106" s="1029">
        <f t="shared" si="542"/>
        <v>0</v>
      </c>
      <c r="ET106" s="57">
        <f t="shared" si="543"/>
        <v>0</v>
      </c>
      <c r="EU106" s="171" t="str">
        <f t="shared" si="544"/>
        <v/>
      </c>
      <c r="EV106" s="57">
        <f t="shared" si="725"/>
        <v>0</v>
      </c>
      <c r="EW106" s="57">
        <f>IF(OR(AND(EK$6=1,$L106=0),AND(EK$6=2,$K106=2,$G106=1)),0,IF(AND(EM$9=2,(OR($F106&gt;1,$K106=1,AND($L106=80,OR($N106=1,AND($N106=2,'#BerechnungDBE'!$AL97&gt;0)))))),IF(EK$4&gt;=$AD$126,0,EU106),IF(EM$9=3,IF(OR(EK$4&gt;=$AD$127,AND($G106=1,$J106=2,EK$6=2),AND(EK$6=1,$N106&lt;&gt;1)),0,IF(EO106&lt;=120,EU106,IF(EK$4&lt;$AD$124,IF($F106=1,60/EM$4*EM$6,60/EM$4*EM$7),IF($F106=1,120/EM$4*EM$6,120/EM$4*EM$7)))),IF(OR($F106=3,$G106=2),IF(OR(AND(EK$4&gt;=$AD$119,$C106=2),AND(EK$4&gt;=$AF$119,$C106=1)),0,IF(EO106&lt;=60,EU106,60/EM$4*EM$7)),IF(AND($F106=2,$G106=1),EU106,0)))))</f>
        <v>0</v>
      </c>
      <c r="EX106" s="57" t="str">
        <f t="shared" si="545"/>
        <v/>
      </c>
      <c r="EY106" s="57" t="str">
        <f t="shared" si="546"/>
        <v/>
      </c>
      <c r="EZ106" s="713">
        <f>'org. Düngung 22'!AR105</f>
        <v>0</v>
      </c>
      <c r="FA106" s="57"/>
      <c r="FB106" s="57"/>
      <c r="FC106" s="57">
        <f t="shared" si="547"/>
        <v>0</v>
      </c>
      <c r="FD106" s="57">
        <f t="shared" si="726"/>
        <v>0</v>
      </c>
      <c r="FE106" s="57">
        <f t="shared" si="727"/>
        <v>0</v>
      </c>
      <c r="FF106" s="57">
        <f t="shared" si="728"/>
        <v>0</v>
      </c>
      <c r="FG106" s="57">
        <f t="shared" si="729"/>
        <v>0</v>
      </c>
      <c r="FH106" s="1029">
        <f t="shared" si="548"/>
        <v>0</v>
      </c>
      <c r="FI106" s="57">
        <f t="shared" si="549"/>
        <v>0</v>
      </c>
      <c r="FJ106" s="171" t="str">
        <f t="shared" si="550"/>
        <v/>
      </c>
      <c r="FK106" s="57">
        <f t="shared" si="730"/>
        <v>0</v>
      </c>
      <c r="FL106" s="57">
        <f>IF(OR(AND(EZ$6=1,$L106=0),AND(EZ$6=2,$K106=2,$G106=1)),0,IF(AND(FB$9=2,(OR($F106&gt;1,$K106=1,AND($L106=80,OR($N106=1,AND($N106=2,'#BerechnungDBE'!$AL97&gt;0)))))),IF(EZ$4&gt;=$AD$126,0,FJ106),IF(FB$9=3,IF(OR(EZ$4&gt;=$AD$127,AND($G106=1,$J106=2,EZ$6=2),AND(EZ$6=1,$N106&lt;&gt;1)),0,IF(FD106&lt;=120,FJ106,IF(EZ$4&lt;$AD$124,IF($F106=1,60/FB$4*FB$6,60/FB$4*FB$7),IF($F106=1,120/FB$4*FB$6,120/FB$4*FB$7)))),IF(OR($F106=3,$G106=2),IF(OR(AND(EZ$4&gt;=$AD$119,$C106=2),AND(EZ$4&gt;=$AF$119,$C106=1)),0,IF(FD106&lt;=60,FJ106,60/FB$4*FB$7)),IF(AND($F106=2,$G106=1),FJ106,0)))))</f>
        <v>0</v>
      </c>
      <c r="FM106" s="57" t="str">
        <f t="shared" si="551"/>
        <v/>
      </c>
      <c r="FN106" s="57" t="str">
        <f t="shared" si="552"/>
        <v/>
      </c>
      <c r="FO106" s="713">
        <f>'org. Düngung 22'!AV105</f>
        <v>0</v>
      </c>
      <c r="FP106" s="57"/>
      <c r="FQ106" s="57"/>
      <c r="FR106" s="57">
        <f t="shared" si="553"/>
        <v>0</v>
      </c>
      <c r="FS106" s="57">
        <f t="shared" si="731"/>
        <v>0</v>
      </c>
      <c r="FT106" s="57">
        <f t="shared" si="732"/>
        <v>0</v>
      </c>
      <c r="FU106" s="57">
        <f t="shared" si="733"/>
        <v>0</v>
      </c>
      <c r="FV106" s="57">
        <f t="shared" si="734"/>
        <v>0</v>
      </c>
      <c r="FW106" s="1029">
        <f t="shared" si="554"/>
        <v>0</v>
      </c>
      <c r="FX106" s="57">
        <f t="shared" si="555"/>
        <v>0</v>
      </c>
      <c r="FY106" s="171" t="str">
        <f t="shared" si="556"/>
        <v/>
      </c>
      <c r="FZ106" s="57">
        <f t="shared" si="735"/>
        <v>0</v>
      </c>
      <c r="GA106" s="57">
        <f>IF(OR(AND(FO$6=1,$L106=0),AND(FO$6=2,$K106=2,$G106=1)),0,IF(AND(FQ$9=2,(OR($F106&gt;1,$K106=1,AND($L106=80,OR($N106=1,AND($N106=2,'#BerechnungDBE'!$AL97&gt;0)))))),IF(FO$4&gt;=$AD$126,0,FY106),IF(FQ$9=3,IF(OR(FO$4&gt;=$AD$127,AND($G106=1,$J106=2,FO$6=2),AND(FO$6=1,$N106&lt;&gt;1)),0,IF(FS106&lt;=120,FY106,IF(FO$4&lt;$AD$124,IF($F106=1,60/FQ$4*FQ$6,60/FQ$4*FQ$7),IF($F106=1,120/FQ$4*FQ$6,120/FQ$4*FQ$7)))),IF(OR($F106=3,$G106=2),IF(OR(AND(FO$4&gt;=$AD$119,$C106=2),AND(FO$4&gt;=$AF$119,$C106=1)),0,IF(FS106&lt;=60,FY106,60/FQ$4*FQ$7)),IF(AND($F106=2,$G106=1),FY106,0)))))</f>
        <v>0</v>
      </c>
      <c r="GB106" s="57" t="str">
        <f t="shared" si="557"/>
        <v/>
      </c>
      <c r="GC106" s="57" t="str">
        <f t="shared" si="558"/>
        <v/>
      </c>
      <c r="GD106" s="713">
        <f>'org. Düngung 22'!AZ105</f>
        <v>0</v>
      </c>
      <c r="GE106" s="57"/>
      <c r="GF106" s="57"/>
      <c r="GG106" s="57">
        <f t="shared" si="559"/>
        <v>0</v>
      </c>
      <c r="GH106" s="57">
        <f t="shared" si="736"/>
        <v>0</v>
      </c>
      <c r="GI106" s="57">
        <f t="shared" si="737"/>
        <v>0</v>
      </c>
      <c r="GJ106" s="57">
        <f t="shared" si="738"/>
        <v>0</v>
      </c>
      <c r="GK106" s="57">
        <f t="shared" si="739"/>
        <v>0</v>
      </c>
      <c r="GL106" s="1029">
        <f t="shared" si="560"/>
        <v>0</v>
      </c>
      <c r="GM106" s="57">
        <f t="shared" si="561"/>
        <v>0</v>
      </c>
      <c r="GN106" s="171" t="str">
        <f t="shared" si="562"/>
        <v/>
      </c>
      <c r="GO106" s="57">
        <f t="shared" si="740"/>
        <v>0</v>
      </c>
      <c r="GP106" s="57">
        <f>IF(OR(AND(GD$6=1,$L106=0),AND(GD$6=2,$K106=2,$G106=1)),0,IF(AND(GF$9=2,(OR($F106&gt;1,$K106=1,AND($L106=80,OR($N106=1,AND($N106=2,'#BerechnungDBE'!$AL97&gt;0)))))),IF(GD$4&gt;=$AD$126,0,GN106),IF(GF$9=3,IF(OR(GD$4&gt;=$AD$127,AND($G106=1,$J106=2,GD$6=2),AND(GD$6=1,$N106&lt;&gt;1)),0,IF(GH106&lt;=120,GN106,IF(GD$4&lt;$AD$124,IF($F106=1,60/GF$4*GF$6,60/GF$4*GF$7),IF($F106=1,120/GF$4*GF$6,120/GF$4*GF$7)))),IF(OR($F106=3,$G106=2),IF(OR(AND(GD$4&gt;=$AD$119,$C106=2),AND(GD$4&gt;=$AF$119,$C106=1)),0,IF(GH106&lt;=60,GN106,60/GF$4*GF$7)),IF(AND($F106=2,$G106=1),GN106,0)))))</f>
        <v>0</v>
      </c>
      <c r="GQ106" s="57" t="str">
        <f t="shared" si="563"/>
        <v/>
      </c>
      <c r="GR106" s="57" t="str">
        <f t="shared" si="564"/>
        <v/>
      </c>
      <c r="GS106" s="713">
        <f>'org. Düngung 22'!BD105</f>
        <v>0</v>
      </c>
      <c r="GT106" s="57"/>
      <c r="GU106" s="57"/>
      <c r="GV106" s="57">
        <f t="shared" si="565"/>
        <v>0</v>
      </c>
      <c r="GW106" s="57">
        <f t="shared" si="741"/>
        <v>0</v>
      </c>
      <c r="GX106" s="57">
        <f t="shared" si="742"/>
        <v>0</v>
      </c>
      <c r="GY106" s="57">
        <f t="shared" si="743"/>
        <v>0</v>
      </c>
      <c r="GZ106" s="57">
        <f t="shared" si="744"/>
        <v>0</v>
      </c>
      <c r="HA106" s="1029">
        <f t="shared" si="566"/>
        <v>0</v>
      </c>
      <c r="HB106" s="57">
        <f t="shared" si="567"/>
        <v>0</v>
      </c>
      <c r="HC106" s="171" t="str">
        <f t="shared" si="568"/>
        <v/>
      </c>
      <c r="HD106" s="57">
        <f t="shared" si="745"/>
        <v>0</v>
      </c>
      <c r="HE106" s="57">
        <f>IF(OR(AND(GS$6=1,$L106=0),AND(GS$6=2,$K106=2,$G106=1)),0,IF(AND(GU$9=2,(OR($F106&gt;1,$K106=1,AND($L106=80,OR($N106=1,AND($N106=2,'#BerechnungDBE'!$AL97&gt;0)))))),IF(GS$4&gt;=$AD$126,0,HC106),IF(GU$9=3,IF(OR(GS$4&gt;=$AD$127,AND($G106=1,$J106=2,GS$6=2),AND(GS$6=1,$N106&lt;&gt;1)),0,IF(GW106&lt;=120,HC106,IF(GS$4&lt;$AD$124,IF($F106=1,60/GU$4*GU$6,60/GU$4*GU$7),IF($F106=1,120/GU$4*GU$6,120/GU$4*GU$7)))),IF(OR($F106=3,$G106=2),IF(OR(AND(GS$4&gt;=$AD$119,$C106=2),AND(GS$4&gt;=$AF$119,$C106=1)),0,IF(GW106&lt;=60,HC106,60/GU$4*GU$7)),IF(AND($F106=2,$G106=1),HC106,0)))))</f>
        <v>0</v>
      </c>
      <c r="HF106" s="57" t="str">
        <f t="shared" si="569"/>
        <v/>
      </c>
      <c r="HG106" s="57" t="str">
        <f t="shared" si="570"/>
        <v/>
      </c>
      <c r="HH106" s="713">
        <f>'org. Düngung 22'!BH105</f>
        <v>0</v>
      </c>
      <c r="HI106" s="57"/>
      <c r="HJ106" s="57"/>
      <c r="HK106" s="57">
        <f t="shared" si="571"/>
        <v>0</v>
      </c>
      <c r="HL106" s="57">
        <f t="shared" si="746"/>
        <v>0</v>
      </c>
      <c r="HM106" s="57">
        <f t="shared" si="747"/>
        <v>0</v>
      </c>
      <c r="HN106" s="57">
        <f t="shared" si="748"/>
        <v>0</v>
      </c>
      <c r="HO106" s="57">
        <f t="shared" si="749"/>
        <v>0</v>
      </c>
      <c r="HP106" s="1029">
        <f t="shared" si="572"/>
        <v>0</v>
      </c>
      <c r="HQ106" s="57">
        <f t="shared" si="573"/>
        <v>0</v>
      </c>
      <c r="HR106" s="171" t="str">
        <f t="shared" si="574"/>
        <v/>
      </c>
      <c r="HS106" s="57">
        <f t="shared" si="750"/>
        <v>0</v>
      </c>
      <c r="HT106" s="57">
        <f>IF(OR(AND(HH$6=1,$L106=0),AND(HH$6=2,$K106=2,$G106=1)),0,IF(AND(HJ$9=2,(OR($F106&gt;1,$K106=1,AND($L106=80,OR($N106=1,AND($N106=2,'#BerechnungDBE'!$AL97&gt;0)))))),IF(HH$4&gt;=$AD$126,0,HR106),IF(HJ$9=3,IF(OR(HH$4&gt;=$AD$127,AND($G106=1,$J106=2,HH$6=2),AND(HH$6=1,$N106&lt;&gt;1)),0,IF(HL106&lt;=120,HR106,IF(HH$4&lt;$AD$124,IF($F106=1,60/HJ$4*HJ$6,60/HJ$4*HJ$7),IF($F106=1,120/HJ$4*HJ$6,120/HJ$4*HJ$7)))),IF(OR($F106=3,$G106=2),IF(OR(AND(HH$4&gt;=$AD$119,$C106=2),AND(HH$4&gt;=$AF$119,$C106=1)),0,IF(HL106&lt;=60,HR106,60/HJ$4*HJ$7)),IF(AND($F106=2,$G106=1),HR106,0)))))</f>
        <v>0</v>
      </c>
      <c r="HU106" s="57" t="str">
        <f t="shared" si="575"/>
        <v/>
      </c>
      <c r="HV106" s="57" t="str">
        <f t="shared" si="576"/>
        <v/>
      </c>
      <c r="HW106" s="713">
        <f>'org. Düngung 22'!BL105</f>
        <v>0</v>
      </c>
      <c r="HX106" s="57"/>
      <c r="HY106" s="57"/>
      <c r="HZ106" s="57">
        <f t="shared" si="577"/>
        <v>0</v>
      </c>
      <c r="IA106" s="57">
        <f t="shared" si="751"/>
        <v>0</v>
      </c>
      <c r="IB106" s="57">
        <f t="shared" si="752"/>
        <v>0</v>
      </c>
      <c r="IC106" s="57">
        <f t="shared" si="753"/>
        <v>0</v>
      </c>
      <c r="ID106" s="57">
        <f t="shared" si="754"/>
        <v>0</v>
      </c>
      <c r="IE106" s="1029">
        <f t="shared" si="578"/>
        <v>0</v>
      </c>
      <c r="IF106" s="57">
        <f t="shared" si="579"/>
        <v>0</v>
      </c>
      <c r="IG106" s="171" t="str">
        <f t="shared" si="580"/>
        <v/>
      </c>
      <c r="IH106" s="57">
        <f t="shared" si="755"/>
        <v>0</v>
      </c>
      <c r="II106" s="57">
        <f>IF(OR(AND(HW$6=1,$L106=0),AND(HW$6=2,$K106=2,$G106=1)),0,IF(AND(HY$9=2,(OR($F106&gt;1,$K106=1,AND($L106=80,OR($N106=1,AND($N106=2,'#BerechnungDBE'!$AL97&gt;0)))))),IF(HW$4&gt;=$AD$126,0,IG106),IF(HY$9=3,IF(OR(HW$4&gt;=$AD$127,AND($G106=1,$J106=2,HW$6=2),AND(HW$6=1,$N106&lt;&gt;1)),0,IF(IA106&lt;=120,IG106,IF(HW$4&lt;$AD$124,IF($F106=1,60/HY$4*HY$6,60/HY$4*HY$7),IF($F106=1,120/HY$4*HY$6,120/HY$4*HY$7)))),IF(OR($F106=3,$G106=2),IF(OR(AND(HW$4&gt;=$AD$119,$C106=2),AND(HW$4&gt;=$AF$119,$C106=1)),0,IF(IA106&lt;=60,IG106,60/HY$4*HY$7)),IF(AND($F106=2,$G106=1),IG106,0)))))</f>
        <v>0</v>
      </c>
      <c r="IJ106" s="57" t="str">
        <f t="shared" si="581"/>
        <v/>
      </c>
      <c r="IK106" s="57" t="str">
        <f t="shared" si="582"/>
        <v/>
      </c>
      <c r="IL106" s="713">
        <f>'org. Düngung 22'!BP105</f>
        <v>0</v>
      </c>
      <c r="IM106" s="57"/>
      <c r="IN106" s="57"/>
      <c r="IO106" s="57">
        <f t="shared" si="583"/>
        <v>0</v>
      </c>
      <c r="IP106" s="57">
        <f t="shared" si="756"/>
        <v>0</v>
      </c>
      <c r="IQ106" s="57">
        <f t="shared" si="757"/>
        <v>0</v>
      </c>
      <c r="IR106" s="57">
        <f t="shared" si="758"/>
        <v>0</v>
      </c>
      <c r="IS106" s="57">
        <f t="shared" si="759"/>
        <v>0</v>
      </c>
      <c r="IT106" s="1029">
        <f t="shared" si="584"/>
        <v>0</v>
      </c>
      <c r="IU106" s="57">
        <f t="shared" si="585"/>
        <v>0</v>
      </c>
      <c r="IV106" s="171" t="str">
        <f t="shared" si="586"/>
        <v/>
      </c>
      <c r="IW106" s="57">
        <f t="shared" si="760"/>
        <v>0</v>
      </c>
      <c r="IX106" s="57">
        <f>IF(OR(AND(IL$6=1,$L106=0),AND(IL$6=2,$K106=2,$G106=1)),0,IF(AND(IN$9=2,(OR($F106&gt;1,$K106=1,AND($L106=80,OR($N106=1,AND($N106=2,'#BerechnungDBE'!$AL97&gt;0)))))),IF(IL$4&gt;=$AD$126,0,IV106),IF(IN$9=3,IF(OR(IL$4&gt;=$AD$127,AND($G106=1,$J106=2,IL$6=2),AND(IL$6=1,$N106&lt;&gt;1)),0,IF(IP106&lt;=120,IV106,IF(IL$4&lt;$AD$124,IF($F106=1,60/IN$4*IN$6,60/IN$4*IN$7),IF($F106=1,120/IN$4*IN$6,120/IN$4*IN$7)))),IF(OR($F106=3,$G106=2),IF(OR(AND(IL$4&gt;=$AD$119,$C106=2),AND(IL$4&gt;=$AF$119,$C106=1)),0,IF(IP106&lt;=60,IV106,60/IN$4*IN$7)),IF(AND($F106=2,$G106=1),IV106,0)))))</f>
        <v>0</v>
      </c>
      <c r="IY106" s="57" t="str">
        <f t="shared" si="587"/>
        <v/>
      </c>
      <c r="IZ106" s="57" t="str">
        <f t="shared" si="588"/>
        <v/>
      </c>
      <c r="JA106" s="713">
        <f>'org. Düngung 22'!BT105</f>
        <v>0</v>
      </c>
      <c r="JB106" s="57"/>
      <c r="JC106" s="57"/>
      <c r="JD106" s="57">
        <f t="shared" si="589"/>
        <v>0</v>
      </c>
      <c r="JE106" s="57">
        <f t="shared" si="761"/>
        <v>0</v>
      </c>
      <c r="JF106" s="57">
        <f t="shared" si="762"/>
        <v>0</v>
      </c>
      <c r="JG106" s="57">
        <f t="shared" si="763"/>
        <v>0</v>
      </c>
      <c r="JH106" s="57">
        <f t="shared" si="764"/>
        <v>0</v>
      </c>
      <c r="JI106" s="1029">
        <f t="shared" si="590"/>
        <v>0</v>
      </c>
      <c r="JJ106" s="57">
        <f t="shared" si="591"/>
        <v>0</v>
      </c>
      <c r="JK106" s="171" t="str">
        <f t="shared" si="592"/>
        <v/>
      </c>
      <c r="JL106" s="57">
        <f t="shared" si="765"/>
        <v>0</v>
      </c>
      <c r="JM106" s="57">
        <f>IF(OR(AND(JA$6=1,$L106=0),AND(JA$6=2,$K106=2,$G106=1)),0,IF(AND(JC$9=2,(OR($F106&gt;1,$K106=1,AND($L106=80,OR($N106=1,AND($N106=2,'#BerechnungDBE'!$AL97&gt;0)))))),IF(JA$4&gt;=$AD$126,0,JK106),IF(JC$9=3,IF(OR(JA$4&gt;=$AD$127,AND($G106=1,$J106=2,JA$6=2),AND(JA$6=1,$N106&lt;&gt;1)),0,IF(JE106&lt;=120,JK106,IF(JA$4&lt;$AD$124,IF($F106=1,60/JC$4*JC$6,60/JC$4*JC$7),IF($F106=1,120/JC$4*JC$6,120/JC$4*JC$7)))),IF(OR($F106=3,$G106=2),IF(OR(AND(JA$4&gt;=$AD$119,$C106=2),AND(JA$4&gt;=$AF$119,$C106=1)),0,IF(JE106&lt;=60,JK106,60/JC$4*JC$7)),IF(AND($F106=2,$G106=1),JK106,0)))))</f>
        <v>0</v>
      </c>
      <c r="JN106" s="57" t="str">
        <f t="shared" si="593"/>
        <v/>
      </c>
      <c r="JO106" s="57" t="str">
        <f t="shared" si="594"/>
        <v/>
      </c>
      <c r="JP106" s="713">
        <f>'org. Düngung 22'!BX105</f>
        <v>0</v>
      </c>
      <c r="JQ106" s="57"/>
      <c r="JR106" s="57"/>
      <c r="JS106" s="57">
        <f t="shared" si="595"/>
        <v>0</v>
      </c>
      <c r="JT106" s="57">
        <f t="shared" si="766"/>
        <v>0</v>
      </c>
      <c r="JU106" s="57">
        <f t="shared" si="767"/>
        <v>0</v>
      </c>
      <c r="JV106" s="57">
        <f t="shared" si="768"/>
        <v>0</v>
      </c>
      <c r="JW106" s="57">
        <f t="shared" si="769"/>
        <v>0</v>
      </c>
      <c r="JX106" s="1029">
        <f t="shared" si="596"/>
        <v>0</v>
      </c>
      <c r="JY106" s="57">
        <f t="shared" si="597"/>
        <v>0</v>
      </c>
      <c r="JZ106" s="171" t="str">
        <f t="shared" si="598"/>
        <v/>
      </c>
      <c r="KA106" s="57">
        <f t="shared" si="770"/>
        <v>0</v>
      </c>
      <c r="KB106" s="57">
        <f>IF(OR(AND(JP$6=1,$L106=0),AND(JP$6=2,$K106=2,$G106=1)),0,IF(AND(JR$9=2,(OR($F106&gt;1,$K106=1,AND($L106=80,OR($N106=1,AND($N106=2,'#BerechnungDBE'!$AL97&gt;0)))))),IF(JP$4&gt;=$AD$126,0,JZ106),IF(JR$9=3,IF(OR(JP$4&gt;=$AD$127,AND($G106=1,$J106=2,JP$6=2),AND(JP$6=1,$N106&lt;&gt;1)),0,IF(JT106&lt;=120,JZ106,IF(JP$4&lt;$AD$124,IF($F106=1,60/JR$4*JR$6,60/JR$4*JR$7),IF($F106=1,120/JR$4*JR$6,120/JR$4*JR$7)))),IF(OR($F106=3,$G106=2),IF(OR(AND(JP$4&gt;=$AD$119,$C106=2),AND(JP$4&gt;=$AF$119,$C106=1)),0,IF(JT106&lt;=60,JZ106,60/JR$4*JR$7)),IF(AND($F106=2,$G106=1),JZ106,0)))))</f>
        <v>0</v>
      </c>
      <c r="KC106" s="57" t="str">
        <f t="shared" si="599"/>
        <v/>
      </c>
      <c r="KD106" s="57" t="str">
        <f t="shared" si="600"/>
        <v/>
      </c>
      <c r="KE106" s="713">
        <f>'org. Düngung 22'!CB105</f>
        <v>0</v>
      </c>
      <c r="KF106" s="57"/>
      <c r="KG106" s="57"/>
      <c r="KH106" s="57">
        <f t="shared" si="601"/>
        <v>0</v>
      </c>
      <c r="KI106" s="57">
        <f t="shared" si="771"/>
        <v>0</v>
      </c>
      <c r="KJ106" s="57">
        <f t="shared" si="772"/>
        <v>0</v>
      </c>
      <c r="KK106" s="57">
        <f t="shared" si="773"/>
        <v>0</v>
      </c>
      <c r="KL106" s="57">
        <f t="shared" si="774"/>
        <v>0</v>
      </c>
      <c r="KM106" s="1029">
        <f t="shared" si="602"/>
        <v>0</v>
      </c>
      <c r="KN106" s="57">
        <f t="shared" si="603"/>
        <v>0</v>
      </c>
      <c r="KO106" s="171" t="str">
        <f t="shared" si="604"/>
        <v/>
      </c>
      <c r="KP106" s="57">
        <f t="shared" si="775"/>
        <v>0</v>
      </c>
      <c r="KQ106" s="57">
        <f>IF(OR(AND(KE$6=1,$L106=0),AND(KE$6=2,$K106=2,$G106=1)),0,IF(AND(KG$9=2,(OR($F106&gt;1,$K106=1,AND($L106=80,OR($N106=1,AND($N106=2,'#BerechnungDBE'!$AL97&gt;0)))))),IF(KE$4&gt;=$AD$126,0,KO106),IF(KG$9=3,IF(OR(KE$4&gt;=$AD$127,AND($G106=1,$J106=2,KE$6=2),AND(KE$6=1,$N106&lt;&gt;1)),0,IF(KI106&lt;=120,KO106,IF(KE$4&lt;$AD$124,IF($F106=1,60/KG$4*KG$6,60/KG$4*KG$7),IF($F106=1,120/KG$4*KG$6,120/KG$4*KG$7)))),IF(OR($F106=3,$G106=2),IF(OR(AND(KE$4&gt;=$AD$119,$C106=2),AND(KE$4&gt;=$AF$119,$C106=1)),0,IF(KI106&lt;=60,KO106,60/KG$4*KG$7)),IF(AND($F106=2,$G106=1),KO106,0)))))</f>
        <v>0</v>
      </c>
      <c r="KR106" s="57" t="str">
        <f t="shared" si="605"/>
        <v/>
      </c>
      <c r="KS106" s="57" t="str">
        <f t="shared" si="606"/>
        <v/>
      </c>
      <c r="KT106" s="713">
        <f>'org. Düngung 22'!CF105</f>
        <v>0</v>
      </c>
      <c r="KU106" s="57"/>
      <c r="KV106" s="57"/>
      <c r="KW106" s="57">
        <f t="shared" si="607"/>
        <v>0</v>
      </c>
      <c r="KX106" s="57">
        <f t="shared" si="776"/>
        <v>0</v>
      </c>
      <c r="KY106" s="57">
        <f t="shared" si="777"/>
        <v>0</v>
      </c>
      <c r="KZ106" s="57">
        <f t="shared" si="778"/>
        <v>0</v>
      </c>
      <c r="LA106" s="57">
        <f t="shared" si="779"/>
        <v>0</v>
      </c>
      <c r="LB106" s="1029">
        <f t="shared" si="608"/>
        <v>0</v>
      </c>
      <c r="LC106" s="57">
        <f t="shared" si="609"/>
        <v>0</v>
      </c>
      <c r="LD106" s="171" t="str">
        <f t="shared" si="610"/>
        <v/>
      </c>
      <c r="LE106" s="57">
        <f t="shared" si="780"/>
        <v>0</v>
      </c>
      <c r="LF106" s="57">
        <f>IF(OR(AND(KT$6=1,$L106=0),AND(KT$6=2,$K106=2,$G106=1)),0,IF(AND(KV$9=2,(OR($F106&gt;1,$K106=1,AND($L106=80,OR($N106=1,AND($N106=2,'#BerechnungDBE'!$AL97&gt;0)))))),IF(KT$4&gt;=$AD$126,0,LD106),IF(KV$9=3,IF(OR(KT$4&gt;=$AD$127,AND($G106=1,$J106=2,KT$6=2),AND(KT$6=1,$N106&lt;&gt;1)),0,IF(KX106&lt;=120,LD106,IF(KT$4&lt;$AD$124,IF($F106=1,60/KV$4*KV$6,60/KV$4*KV$7),IF($F106=1,120/KV$4*KV$6,120/KV$4*KV$7)))),IF(OR($F106=3,$G106=2),IF(OR(AND(KT$4&gt;=$AD$119,$C106=2),AND(KT$4&gt;=$AF$119,$C106=1)),0,IF(KX106&lt;=60,LD106,60/KV$4*KV$7)),IF(AND($F106=2,$G106=1),LD106,0)))))</f>
        <v>0</v>
      </c>
      <c r="LG106" s="57" t="str">
        <f t="shared" si="611"/>
        <v/>
      </c>
      <c r="LH106" s="57" t="str">
        <f t="shared" si="612"/>
        <v/>
      </c>
      <c r="LI106" s="713">
        <f>'org. Düngung 22'!CJ105</f>
        <v>0</v>
      </c>
      <c r="LJ106" s="57"/>
      <c r="LK106" s="57"/>
      <c r="LL106" s="57">
        <f t="shared" si="613"/>
        <v>0</v>
      </c>
      <c r="LM106" s="57">
        <f t="shared" si="781"/>
        <v>0</v>
      </c>
      <c r="LN106" s="57">
        <f t="shared" si="782"/>
        <v>0</v>
      </c>
      <c r="LO106" s="57">
        <f t="shared" si="783"/>
        <v>0</v>
      </c>
      <c r="LP106" s="57">
        <f t="shared" si="784"/>
        <v>0</v>
      </c>
      <c r="LQ106" s="1029">
        <f t="shared" si="614"/>
        <v>0</v>
      </c>
      <c r="LR106" s="57">
        <f t="shared" si="615"/>
        <v>0</v>
      </c>
      <c r="LS106" s="171" t="str">
        <f t="shared" si="616"/>
        <v/>
      </c>
      <c r="LT106" s="57">
        <f t="shared" si="785"/>
        <v>0</v>
      </c>
      <c r="LU106" s="57">
        <f>IF(OR(AND(LI$6=1,$L106=0),AND(LI$6=2,$K106=2,$G106=1)),0,IF(AND(LK$9=2,(OR($F106&gt;1,$K106=1,AND($L106=80,OR($N106=1,AND($N106=2,'#BerechnungDBE'!$AL97&gt;0)))))),IF(LI$4&gt;=$AD$126,0,LS106),IF(LK$9=3,IF(OR(LI$4&gt;=$AD$127,AND($G106=1,$J106=2,LI$6=2),AND(LI$6=1,$N106&lt;&gt;1)),0,IF(LM106&lt;=120,LS106,IF(LI$4&lt;$AD$124,IF($F106=1,60/LK$4*LK$6,60/LK$4*LK$7),IF($F106=1,120/LK$4*LK$6,120/LK$4*LK$7)))),IF(OR($F106=3,$G106=2),IF(OR(AND(LI$4&gt;=$AD$119,$C106=2),AND(LI$4&gt;=$AF$119,$C106=1)),0,IF(LM106&lt;=60,LS106,60/LK$4*LK$7)),IF(AND($F106=2,$G106=1),LS106,0)))))</f>
        <v>0</v>
      </c>
      <c r="LV106" s="57" t="str">
        <f t="shared" si="617"/>
        <v/>
      </c>
      <c r="LW106" s="57" t="str">
        <f t="shared" si="618"/>
        <v/>
      </c>
      <c r="LX106" s="713">
        <f>'org. Düngung 22'!CN105</f>
        <v>0</v>
      </c>
      <c r="LY106" s="57"/>
      <c r="LZ106" s="57"/>
      <c r="MA106" s="57">
        <f t="shared" si="619"/>
        <v>0</v>
      </c>
      <c r="MB106" s="57">
        <f t="shared" si="786"/>
        <v>0</v>
      </c>
      <c r="MC106" s="57">
        <f t="shared" si="787"/>
        <v>0</v>
      </c>
      <c r="MD106" s="57">
        <f t="shared" si="788"/>
        <v>0</v>
      </c>
      <c r="ME106" s="57">
        <f t="shared" si="789"/>
        <v>0</v>
      </c>
      <c r="MF106" s="1029">
        <f t="shared" si="620"/>
        <v>0</v>
      </c>
      <c r="MG106" s="57">
        <f t="shared" si="621"/>
        <v>0</v>
      </c>
      <c r="MH106" s="171" t="str">
        <f t="shared" si="622"/>
        <v/>
      </c>
      <c r="MI106" s="57">
        <f t="shared" si="790"/>
        <v>0</v>
      </c>
      <c r="MJ106" s="57">
        <f>IF(OR(AND(LX$6=1,$L106=0),AND(LX$6=2,$K106=2,$G106=1)),0,IF(AND(LZ$9=2,(OR($F106&gt;1,$K106=1,AND($L106=80,OR($N106=1,AND($N106=2,'#BerechnungDBE'!$AL97&gt;0)))))),IF(LX$4&gt;=$AD$126,0,MH106),IF(LZ$9=3,IF(OR(LX$4&gt;=$AD$127,AND($G106=1,$J106=2,LX$6=2),AND(LX$6=1,$N106&lt;&gt;1)),0,IF(MB106&lt;=120,MH106,IF(LX$4&lt;$AD$124,IF($F106=1,60/LZ$4*LZ$6,60/LZ$4*LZ$7),IF($F106=1,120/LZ$4*LZ$6,120/LZ$4*LZ$7)))),IF(OR($F106=3,$G106=2),IF(OR(AND(LX$4&gt;=$AD$119,$C106=2),AND(LX$4&gt;=$AF$119,$C106=1)),0,IF(MB106&lt;=60,MH106,60/LZ$4*LZ$7)),IF(AND($F106=2,$G106=1),MH106,0)))))</f>
        <v>0</v>
      </c>
      <c r="MK106" s="57" t="str">
        <f t="shared" si="623"/>
        <v/>
      </c>
      <c r="ML106" s="57" t="str">
        <f t="shared" si="624"/>
        <v/>
      </c>
      <c r="MM106" s="713">
        <f>'org. Düngung 22'!CR105</f>
        <v>0</v>
      </c>
      <c r="MN106" s="57"/>
      <c r="MO106" s="57"/>
      <c r="MP106" s="57">
        <f t="shared" si="625"/>
        <v>0</v>
      </c>
      <c r="MQ106" s="57">
        <f t="shared" si="791"/>
        <v>0</v>
      </c>
      <c r="MR106" s="57">
        <f t="shared" si="792"/>
        <v>0</v>
      </c>
      <c r="MS106" s="57">
        <f t="shared" si="793"/>
        <v>0</v>
      </c>
      <c r="MT106" s="57">
        <f t="shared" si="794"/>
        <v>0</v>
      </c>
      <c r="MU106" s="1029">
        <f t="shared" si="626"/>
        <v>0</v>
      </c>
      <c r="MV106" s="57">
        <f t="shared" si="627"/>
        <v>0</v>
      </c>
      <c r="MW106" s="171" t="str">
        <f t="shared" si="628"/>
        <v/>
      </c>
      <c r="MX106" s="57">
        <f t="shared" si="795"/>
        <v>0</v>
      </c>
      <c r="MY106" s="57">
        <f>IF(OR(AND(MM$6=1,$L106=0),AND(MM$6=2,$K106=2,$G106=1)),0,IF(AND(MO$9=2,(OR($F106&gt;1,$K106=1,AND($L106=80,OR($N106=1,AND($N106=2,'#BerechnungDBE'!$AL97&gt;0)))))),IF(MM$4&gt;=$AD$126,0,MW106),IF(MO$9=3,IF(OR(MM$4&gt;=$AD$127,AND($G106=1,$J106=2,MM$6=2),AND(MM$6=1,$N106&lt;&gt;1)),0,IF(MQ106&lt;=120,MW106,IF(MM$4&lt;$AD$124,IF($F106=1,60/MO$4*MO$6,60/MO$4*MO$7),IF($F106=1,120/MO$4*MO$6,120/MO$4*MO$7)))),IF(OR($F106=3,$G106=2),IF(OR(AND(MM$4&gt;=$AD$119,$C106=2),AND(MM$4&gt;=$AF$119,$C106=1)),0,IF(MQ106&lt;=60,MW106,60/MO$4*MO$7)),IF(AND($F106=2,$G106=1),MW106,0)))))</f>
        <v>0</v>
      </c>
      <c r="MZ106" s="57" t="str">
        <f t="shared" si="629"/>
        <v/>
      </c>
      <c r="NA106" s="57" t="str">
        <f t="shared" si="630"/>
        <v/>
      </c>
      <c r="NB106" s="713">
        <f>'org. Düngung 22'!CV105</f>
        <v>0</v>
      </c>
      <c r="NC106" s="57"/>
      <c r="ND106" s="57"/>
      <c r="NE106" s="57">
        <f t="shared" si="631"/>
        <v>0</v>
      </c>
      <c r="NF106" s="57">
        <f t="shared" si="796"/>
        <v>0</v>
      </c>
      <c r="NG106" s="57">
        <f t="shared" si="797"/>
        <v>0</v>
      </c>
      <c r="NH106" s="57">
        <f t="shared" si="798"/>
        <v>0</v>
      </c>
      <c r="NI106" s="57">
        <f t="shared" si="799"/>
        <v>0</v>
      </c>
      <c r="NJ106" s="1029">
        <f t="shared" si="632"/>
        <v>0</v>
      </c>
      <c r="NK106" s="57">
        <f t="shared" si="633"/>
        <v>0</v>
      </c>
      <c r="NL106" s="171" t="str">
        <f t="shared" si="634"/>
        <v/>
      </c>
      <c r="NM106" s="57">
        <f t="shared" si="800"/>
        <v>0</v>
      </c>
      <c r="NN106" s="57">
        <f>IF(OR(AND(NB$6=1,$L106=0),AND(NB$6=2,$K106=2,$G106=1)),0,IF(AND(ND$9=2,(OR($F106&gt;1,$K106=1,AND($L106=80,OR($N106=1,AND($N106=2,'#BerechnungDBE'!$AL97&gt;0)))))),IF(NB$4&gt;=$AD$126,0,NL106),IF(ND$9=3,IF(OR(NB$4&gt;=$AD$127,AND($G106=1,$J106=2,NB$6=2),AND(NB$6=1,$N106&lt;&gt;1)),0,IF(NF106&lt;=120,NL106,IF(NB$4&lt;$AD$124,IF($F106=1,60/ND$4*ND$6,60/ND$4*ND$7),IF($F106=1,120/ND$4*ND$6,120/ND$4*ND$7)))),IF(OR($F106=3,$G106=2),IF(OR(AND(NB$4&gt;=$AD$119,$C106=2),AND(NB$4&gt;=$AF$119,$C106=1)),0,IF(NF106&lt;=60,NL106,60/ND$4*ND$7)),IF(AND($F106=2,$G106=1),NL106,0)))))</f>
        <v>0</v>
      </c>
      <c r="NO106" s="57" t="str">
        <f t="shared" si="635"/>
        <v/>
      </c>
      <c r="NP106" s="57" t="str">
        <f t="shared" si="636"/>
        <v/>
      </c>
      <c r="NQ106" s="713">
        <f>'org. Düngung 22'!CZ105</f>
        <v>0</v>
      </c>
      <c r="NR106" s="57"/>
      <c r="NS106" s="57"/>
      <c r="NT106" s="57">
        <f t="shared" si="637"/>
        <v>0</v>
      </c>
      <c r="NU106" s="57">
        <f t="shared" si="801"/>
        <v>0</v>
      </c>
      <c r="NV106" s="57">
        <f t="shared" si="802"/>
        <v>0</v>
      </c>
      <c r="NW106" s="57">
        <f t="shared" si="803"/>
        <v>0</v>
      </c>
      <c r="NX106" s="57">
        <f t="shared" si="804"/>
        <v>0</v>
      </c>
      <c r="NY106" s="1029">
        <f t="shared" si="638"/>
        <v>0</v>
      </c>
      <c r="NZ106" s="57">
        <f t="shared" si="639"/>
        <v>0</v>
      </c>
      <c r="OA106" s="171" t="str">
        <f t="shared" si="640"/>
        <v/>
      </c>
      <c r="OB106" s="57">
        <f t="shared" si="805"/>
        <v>0</v>
      </c>
      <c r="OC106" s="57">
        <f>IF(OR(AND(NQ$6=1,$L106=0),AND(NQ$6=2,$K106=2,$G106=1)),0,IF(AND(NS$9=2,(OR($F106&gt;1,$K106=1,AND($L106=80,OR($N106=1,AND($N106=2,'#BerechnungDBE'!$AL97&gt;0)))))),IF(NQ$4&gt;=$AD$126,0,OA106),IF(NS$9=3,IF(OR(NQ$4&gt;=$AD$127,AND($G106=1,$J106=2,NQ$6=2),AND(NQ$6=1,$N106&lt;&gt;1)),0,IF(NU106&lt;=120,OA106,IF(NQ$4&lt;$AD$124,IF($F106=1,60/NS$4*NS$6,60/NS$4*NS$7),IF($F106=1,120/NS$4*NS$6,120/NS$4*NS$7)))),IF(OR($F106=3,$G106=2),IF(OR(AND(NQ$4&gt;=$AD$119,$C106=2),AND(NQ$4&gt;=$AF$119,$C106=1)),0,IF(NU106&lt;=60,OA106,60/NS$4*NS$7)),IF(AND($F106=2,$G106=1),OA106,0)))))</f>
        <v>0</v>
      </c>
      <c r="OD106" s="57" t="str">
        <f t="shared" si="641"/>
        <v/>
      </c>
      <c r="OE106" s="57" t="str">
        <f t="shared" si="642"/>
        <v/>
      </c>
      <c r="OF106" s="713">
        <f>'org. Düngung 22'!DD105</f>
        <v>0</v>
      </c>
      <c r="OG106" s="57"/>
      <c r="OH106" s="57"/>
      <c r="OI106" s="57">
        <f t="shared" si="643"/>
        <v>0</v>
      </c>
      <c r="OJ106" s="57">
        <f t="shared" si="806"/>
        <v>0</v>
      </c>
      <c r="OK106" s="57">
        <f t="shared" si="807"/>
        <v>0</v>
      </c>
      <c r="OL106" s="57">
        <f t="shared" si="808"/>
        <v>0</v>
      </c>
      <c r="OM106" s="57">
        <f t="shared" si="809"/>
        <v>0</v>
      </c>
      <c r="ON106" s="1029">
        <f t="shared" si="644"/>
        <v>0</v>
      </c>
      <c r="OO106" s="57">
        <f t="shared" si="645"/>
        <v>0</v>
      </c>
      <c r="OP106" s="171" t="str">
        <f t="shared" si="646"/>
        <v/>
      </c>
      <c r="OQ106" s="57">
        <f t="shared" si="810"/>
        <v>0</v>
      </c>
      <c r="OR106" s="57">
        <f>IF(OR(AND(OF$6=1,$L106=0),AND(OF$6=2,$K106=2,$G106=1)),0,IF(AND(OH$9=2,(OR($F106&gt;1,$K106=1,AND($L106=80,OR($N106=1,AND($N106=2,'#BerechnungDBE'!$AL97&gt;0)))))),IF(OF$4&gt;=$AD$126,0,OP106),IF(OH$9=3,IF(OR(OF$4&gt;=$AD$127,AND($G106=1,$J106=2,OF$6=2),AND(OF$6=1,$N106&lt;&gt;1)),0,IF(OJ106&lt;=120,OP106,IF(OF$4&lt;$AD$124,IF($F106=1,60/OH$4*OH$6,60/OH$4*OH$7),IF($F106=1,120/OH$4*OH$6,120/OH$4*OH$7)))),IF(OR($F106=3,$G106=2),IF(OR(AND(OF$4&gt;=$AD$119,$C106=2),AND(OF$4&gt;=$AF$119,$C106=1)),0,IF(OJ106&lt;=60,OP106,60/OH$4*OH$7)),IF(AND($F106=2,$G106=1),OP106,0)))))</f>
        <v>0</v>
      </c>
      <c r="OS106" s="57" t="str">
        <f t="shared" si="647"/>
        <v/>
      </c>
      <c r="OT106" s="57" t="str">
        <f t="shared" si="648"/>
        <v/>
      </c>
      <c r="OU106" s="713">
        <f>'org. Düngung 22'!DH105</f>
        <v>0</v>
      </c>
      <c r="OV106" s="57"/>
      <c r="OW106" s="57"/>
      <c r="OX106" s="57">
        <f t="shared" si="649"/>
        <v>0</v>
      </c>
      <c r="OY106" s="57">
        <f t="shared" si="811"/>
        <v>0</v>
      </c>
      <c r="OZ106" s="57">
        <f t="shared" si="812"/>
        <v>0</v>
      </c>
      <c r="PA106" s="57">
        <f t="shared" si="813"/>
        <v>0</v>
      </c>
      <c r="PB106" s="57">
        <f t="shared" si="814"/>
        <v>0</v>
      </c>
      <c r="PC106" s="1029">
        <f t="shared" si="650"/>
        <v>0</v>
      </c>
      <c r="PD106" s="57">
        <f t="shared" si="651"/>
        <v>0</v>
      </c>
      <c r="PE106" s="171" t="str">
        <f t="shared" si="652"/>
        <v/>
      </c>
      <c r="PF106" s="57">
        <f t="shared" si="815"/>
        <v>0</v>
      </c>
      <c r="PG106" s="57">
        <f>IF(OR(AND(OU$6=1,$L106=0),AND(OU$6=2,$K106=2,$G106=1)),0,IF(AND(OW$9=2,(OR($F106&gt;1,$K106=1,AND($L106=80,OR($N106=1,AND($N106=2,'#BerechnungDBE'!$AL97&gt;0)))))),IF(OU$4&gt;=$AD$126,0,PE106),IF(OW$9=3,IF(OR(OU$4&gt;=$AD$127,AND($G106=1,$J106=2,OU$6=2),AND(OU$6=1,$N106&lt;&gt;1)),0,IF(OY106&lt;=120,PE106,IF(OU$4&lt;$AD$124,IF($F106=1,60/OW$4*OW$6,60/OW$4*OW$7),IF($F106=1,120/OW$4*OW$6,120/OW$4*OW$7)))),IF(OR($F106=3,$G106=2),IF(OR(AND(OU$4&gt;=$AD$119,$C106=2),AND(OU$4&gt;=$AF$119,$C106=1)),0,IF(OY106&lt;=60,PE106,60/OW$4*OW$7)),IF(AND($F106=2,$G106=1),PE106,0)))))</f>
        <v>0</v>
      </c>
      <c r="PH106" s="57" t="str">
        <f t="shared" si="653"/>
        <v/>
      </c>
      <c r="PI106" s="57" t="str">
        <f t="shared" si="654"/>
        <v/>
      </c>
      <c r="PJ106" s="713">
        <f>'org. Düngung 22'!DL105</f>
        <v>0</v>
      </c>
      <c r="PK106" s="57"/>
      <c r="PL106" s="57"/>
      <c r="PM106" s="57">
        <f t="shared" si="655"/>
        <v>0</v>
      </c>
      <c r="PN106" s="57">
        <f t="shared" si="816"/>
        <v>0</v>
      </c>
      <c r="PO106" s="57">
        <f t="shared" si="817"/>
        <v>0</v>
      </c>
      <c r="PP106" s="57">
        <f t="shared" si="818"/>
        <v>0</v>
      </c>
      <c r="PQ106" s="57">
        <f t="shared" si="819"/>
        <v>0</v>
      </c>
      <c r="PR106" s="1029">
        <f t="shared" si="656"/>
        <v>0</v>
      </c>
      <c r="PS106" s="57">
        <f t="shared" si="657"/>
        <v>0</v>
      </c>
      <c r="PT106" s="171" t="str">
        <f t="shared" si="658"/>
        <v/>
      </c>
      <c r="PU106" s="57">
        <f t="shared" si="820"/>
        <v>0</v>
      </c>
      <c r="PV106" s="57">
        <f>IF(OR(AND(PJ$6=1,$L106=0),AND(PJ$6=2,$K106=2,$G106=1)),0,IF(AND(PL$9=2,(OR($F106&gt;1,$K106=1,AND($L106=80,OR($N106=1,AND($N106=2,'#BerechnungDBE'!$AL97&gt;0)))))),IF(PJ$4&gt;=$AD$126,0,PT106),IF(PL$9=3,IF(OR(PJ$4&gt;=$AD$127,AND($G106=1,$J106=2,PJ$6=2),AND(PJ$6=1,$N106&lt;&gt;1)),0,IF(PN106&lt;=120,PT106,IF(PJ$4&lt;$AD$124,IF($F106=1,60/PL$4*PL$6,60/PL$4*PL$7),IF($F106=1,120/PL$4*PL$6,120/PL$4*PL$7)))),IF(OR($F106=3,$G106=2),IF(OR(AND(PJ$4&gt;=$AD$119,$C106=2),AND(PJ$4&gt;=$AF$119,$C106=1)),0,IF(PN106&lt;=60,PT106,60/PL$4*PL$7)),IF(AND($F106=2,$G106=1),PT106,0)))))</f>
        <v>0</v>
      </c>
      <c r="PW106" s="57" t="str">
        <f t="shared" si="659"/>
        <v/>
      </c>
      <c r="PX106" s="57" t="str">
        <f t="shared" si="660"/>
        <v/>
      </c>
      <c r="PY106" s="713">
        <f>'org. Düngung 22'!DP105</f>
        <v>0</v>
      </c>
      <c r="PZ106" s="57"/>
      <c r="QA106" s="57"/>
      <c r="QB106" s="57">
        <f t="shared" si="661"/>
        <v>0</v>
      </c>
      <c r="QC106" s="57">
        <f t="shared" si="821"/>
        <v>0</v>
      </c>
      <c r="QD106" s="57">
        <f t="shared" si="822"/>
        <v>0</v>
      </c>
      <c r="QE106" s="57">
        <f t="shared" si="823"/>
        <v>0</v>
      </c>
      <c r="QF106" s="57">
        <f t="shared" si="824"/>
        <v>0</v>
      </c>
      <c r="QG106" s="1029">
        <f t="shared" si="662"/>
        <v>0</v>
      </c>
      <c r="QH106" s="57">
        <f t="shared" si="663"/>
        <v>0</v>
      </c>
      <c r="QI106" s="171" t="str">
        <f t="shared" si="664"/>
        <v/>
      </c>
      <c r="QJ106" s="57">
        <f t="shared" si="825"/>
        <v>0</v>
      </c>
      <c r="QK106" s="57">
        <f>IF(OR(AND(PY$6=1,$L106=0),AND(PY$6=2,$K106=2,$G106=1)),0,IF(AND(QA$9=2,(OR($F106&gt;1,$K106=1,AND($L106=80,OR($N106=1,AND($N106=2,'#BerechnungDBE'!$AL97&gt;0)))))),IF(PY$4&gt;=$AD$126,0,QI106),IF(QA$9=3,IF(OR(PY$4&gt;=$AD$127,AND($G106=1,$J106=2,PY$6=2),AND(PY$6=1,$N106&lt;&gt;1)),0,IF(QC106&lt;=120,QI106,IF(PY$4&lt;$AD$124,IF($F106=1,60/QA$4*QA$6,60/QA$4*QA$7),IF($F106=1,120/QA$4*QA$6,120/QA$4*QA$7)))),IF(OR($F106=3,$G106=2),IF(OR(AND(PY$4&gt;=$AD$119,$C106=2),AND(PY$4&gt;=$AF$119,$C106=1)),0,IF(QC106&lt;=60,QI106,60/QA$4*QA$7)),IF(AND($F106=2,$G106=1),QI106,0)))))</f>
        <v>0</v>
      </c>
      <c r="QL106" s="57" t="str">
        <f t="shared" si="665"/>
        <v/>
      </c>
      <c r="QM106" s="57" t="str">
        <f t="shared" si="666"/>
        <v/>
      </c>
      <c r="QN106" s="713">
        <f>'org. Düngung 22'!DT105</f>
        <v>0</v>
      </c>
      <c r="QO106" s="57"/>
      <c r="QP106" s="57"/>
      <c r="QQ106" s="57">
        <f t="shared" si="667"/>
        <v>0</v>
      </c>
      <c r="QR106" s="57">
        <f t="shared" si="826"/>
        <v>0</v>
      </c>
      <c r="QS106" s="57">
        <f t="shared" si="827"/>
        <v>0</v>
      </c>
      <c r="QT106" s="57">
        <f t="shared" si="828"/>
        <v>0</v>
      </c>
      <c r="QU106" s="57">
        <f t="shared" si="829"/>
        <v>0</v>
      </c>
      <c r="QV106" s="1029">
        <f t="shared" si="668"/>
        <v>0</v>
      </c>
      <c r="QW106" s="57">
        <f t="shared" si="669"/>
        <v>0</v>
      </c>
      <c r="QX106" s="171" t="str">
        <f t="shared" si="670"/>
        <v/>
      </c>
      <c r="QY106" s="57">
        <f t="shared" si="830"/>
        <v>0</v>
      </c>
      <c r="QZ106" s="57">
        <f>IF(OR(AND(QN$6=1,$L106=0),AND(QN$6=2,$K106=2,$G106=1)),0,IF(AND(QP$9=2,(OR($F106&gt;1,$K106=1,AND($L106=80,OR($N106=1,AND($N106=2,'#BerechnungDBE'!$AL97&gt;0)))))),IF(QN$4&gt;=$AD$126,0,QX106),IF(QP$9=3,IF(OR(QN$4&gt;=$AD$127,AND($G106=1,$J106=2,QN$6=2),AND(QN$6=1,$N106&lt;&gt;1)),0,IF(QR106&lt;=120,QX106,IF(QN$4&lt;$AD$124,IF($F106=1,60/QP$4*QP$6,60/QP$4*QP$7),IF($F106=1,120/QP$4*QP$6,120/QP$4*QP$7)))),IF(OR($F106=3,$G106=2),IF(OR(AND(QN$4&gt;=$AD$119,$C106=2),AND(QN$4&gt;=$AF$119,$C106=1)),0,IF(QR106&lt;=60,QX106,60/QP$4*QP$7)),IF(AND($F106=2,$G106=1),QX106,0)))))</f>
        <v>0</v>
      </c>
      <c r="RA106" s="57" t="str">
        <f t="shared" si="671"/>
        <v/>
      </c>
      <c r="RB106" s="57" t="str">
        <f t="shared" si="672"/>
        <v/>
      </c>
      <c r="RC106" s="713">
        <f>'org. Düngung 22'!DX105</f>
        <v>0</v>
      </c>
      <c r="RD106" s="57"/>
      <c r="RE106" s="57"/>
      <c r="RF106" s="57">
        <f t="shared" si="673"/>
        <v>0</v>
      </c>
      <c r="RG106" s="57">
        <f t="shared" si="831"/>
        <v>0</v>
      </c>
      <c r="RH106" s="57">
        <f t="shared" si="832"/>
        <v>0</v>
      </c>
      <c r="RI106" s="57">
        <f t="shared" si="833"/>
        <v>0</v>
      </c>
      <c r="RJ106" s="57">
        <f t="shared" si="834"/>
        <v>0</v>
      </c>
      <c r="RK106" s="1029">
        <f t="shared" si="674"/>
        <v>0</v>
      </c>
      <c r="RL106" s="57">
        <f t="shared" si="675"/>
        <v>0</v>
      </c>
      <c r="RM106" s="171" t="str">
        <f t="shared" si="676"/>
        <v/>
      </c>
      <c r="RN106" s="57">
        <f t="shared" si="835"/>
        <v>0</v>
      </c>
      <c r="RO106" s="57">
        <f>IF(OR(AND(RC$6=1,$L106=0),AND(RC$6=2,$K106=2,$G106=1)),0,IF(AND(RE$9=2,(OR($F106&gt;1,$K106=1,AND($L106=80,OR($N106=1,AND($N106=2,'#BerechnungDBE'!$AL97&gt;0)))))),IF(RC$4&gt;=$AD$126,0,RM106),IF(RE$9=3,IF(OR(RC$4&gt;=$AD$127,AND($G106=1,$J106=2,RC$6=2),AND(RC$6=1,$N106&lt;&gt;1)),0,IF(RG106&lt;=120,RM106,IF(RC$4&lt;$AD$124,IF($F106=1,60/RE$4*RE$6,60/RE$4*RE$7),IF($F106=1,120/RE$4*RE$6,120/RE$4*RE$7)))),IF(OR($F106=3,$G106=2),IF(OR(AND(RC$4&gt;=$AD$119,$C106=2),AND(RC$4&gt;=$AF$119,$C106=1)),0,IF(RG106&lt;=60,RM106,60/RE$4*RE$7)),IF(AND($F106=2,$G106=1),RM106,0)))))</f>
        <v>0</v>
      </c>
      <c r="RP106" s="57" t="str">
        <f t="shared" si="677"/>
        <v/>
      </c>
      <c r="RQ106" s="57" t="str">
        <f t="shared" si="678"/>
        <v/>
      </c>
      <c r="RS106" s="57" t="str">
        <f t="shared" si="836"/>
        <v/>
      </c>
      <c r="RT106" s="57" t="str">
        <f t="shared" si="679"/>
        <v/>
      </c>
      <c r="RU106" s="57" t="str">
        <f t="shared" si="680"/>
        <v/>
      </c>
      <c r="RV106" s="57" t="str">
        <f>IF(Z106&gt;'#BerechnungDBE'!BM97,$RV$9,"")</f>
        <v/>
      </c>
      <c r="RW106" s="57" t="str">
        <f>IF(AND(L106=70,AE106&gt;'#BerechnungDBE'!CQ97),$RW$9,"")</f>
        <v/>
      </c>
      <c r="RX106" s="57" t="str">
        <f>IF(OR('org. Düngung 22'!G105="--",'org. Düngung 22'!G105&lt;=170,'org. Düngung 22'!G105=""),"",$RX$9)</f>
        <v/>
      </c>
      <c r="RY106" s="57" t="str">
        <f>IF('org. Düngung 22'!K105&gt;120,'#orgDung'!$RY$9,"")</f>
        <v/>
      </c>
      <c r="RZ106" s="57" t="str">
        <f>IF('#BerechnungDBE'!P97&lt;4,"",IF(AND('#BerechnungDBE'!BZ97&gt;0,T106&gt;0),'#orgDung'!$RZ$9,""))</f>
        <v/>
      </c>
      <c r="SA106" s="57" t="str">
        <f t="shared" si="681"/>
        <v/>
      </c>
    </row>
    <row r="107" spans="1:495" s="875" customFormat="1" x14ac:dyDescent="0.2">
      <c r="A107" s="875">
        <f>'Flächen u. Kulturen'!A103</f>
        <v>94</v>
      </c>
      <c r="B107" s="367">
        <f>'#BerechnungDBE'!L98</f>
        <v>0</v>
      </c>
      <c r="C107" s="875">
        <f>'#BerechnungDBE'!R98</f>
        <v>1</v>
      </c>
      <c r="D107" s="875">
        <f>'#BerechnungDBE'!T98</f>
        <v>2</v>
      </c>
      <c r="E107" s="875" t="str">
        <f>'Flächen u. Kulturen'!E103</f>
        <v>x</v>
      </c>
      <c r="F107" s="52">
        <f>'#BerechnungDBE'!N98</f>
        <v>1</v>
      </c>
      <c r="G107" s="52">
        <f>'#BerechnungDBE'!O98</f>
        <v>1</v>
      </c>
      <c r="H107" s="875">
        <f>IF('Flächen u. Kulturen'!P103="",0,VLOOKUP('Flächen u. Kulturen'!P103,Kulturen[[HF]:[Berechnungsgruppe]],'#Frucht'!$H$1,FALSE))</f>
        <v>0</v>
      </c>
      <c r="I107" s="875">
        <f>IF('Flächen u. Kulturen'!J103="",0,VLOOKUP('Flächen u. Kulturen'!J103,Kulturen[[HF]:[Berechnungsgruppe]],'#Frucht'!$G$1,FALSE))</f>
        <v>90</v>
      </c>
      <c r="J107" s="505">
        <f t="shared" si="682"/>
        <v>2</v>
      </c>
      <c r="K107" s="505">
        <f>IF('Flächen u. Kulturen'!P103="",0,IF(VLOOKUP('Flächen u. Kulturen'!P103,Kulturen[[HF]:[Saat Winterungen]],'#Frucht'!$P$1,FALSE)&gt;0,1,2))</f>
        <v>2</v>
      </c>
      <c r="L107" s="875">
        <f>'#BerechnungDBE'!AF98</f>
        <v>0</v>
      </c>
      <c r="M107" s="875">
        <f>IF('Flächen u. Kulturen'!L103="",0,VLOOKUP('Flächen u. Kulturen'!L103,Nebenkultur[[Nebenkultur]:[Legum. Zwischenfr.]],'#Zweitfr'!$K$1,FALSE))</f>
        <v>0</v>
      </c>
      <c r="N107" s="875">
        <f>'#BerechnungDBE'!AG98</f>
        <v>0</v>
      </c>
      <c r="P107" s="57">
        <f t="shared" si="489"/>
        <v>0</v>
      </c>
      <c r="Q107" s="57">
        <f t="shared" si="490"/>
        <v>0</v>
      </c>
      <c r="R107" s="875">
        <f t="shared" si="491"/>
        <v>0</v>
      </c>
      <c r="S107" s="938" t="str">
        <f t="shared" si="683"/>
        <v/>
      </c>
      <c r="T107" s="875">
        <f t="shared" si="492"/>
        <v>0</v>
      </c>
      <c r="U107" s="875">
        <f t="shared" si="493"/>
        <v>0</v>
      </c>
      <c r="V107" s="875">
        <f t="shared" si="494"/>
        <v>0</v>
      </c>
      <c r="W107" s="875">
        <f t="shared" si="495"/>
        <v>0</v>
      </c>
      <c r="X107" s="875">
        <f t="shared" si="496"/>
        <v>0</v>
      </c>
      <c r="Y107" s="875">
        <f t="shared" si="837"/>
        <v>0</v>
      </c>
      <c r="Z107" s="875">
        <f t="shared" si="838"/>
        <v>0</v>
      </c>
      <c r="AA107" s="910">
        <f t="shared" si="497"/>
        <v>0</v>
      </c>
      <c r="AB107" s="57">
        <f t="shared" si="839"/>
        <v>0</v>
      </c>
      <c r="AC107" s="875">
        <f t="shared" si="498"/>
        <v>0</v>
      </c>
      <c r="AD107" s="875">
        <f t="shared" si="499"/>
        <v>0</v>
      </c>
      <c r="AE107" s="875">
        <f t="shared" si="500"/>
        <v>0</v>
      </c>
      <c r="AF107" s="875">
        <f t="shared" si="840"/>
        <v>0</v>
      </c>
      <c r="AG107" s="875">
        <f>'org. Düngung 22'!J106</f>
        <v>0</v>
      </c>
      <c r="AH107" s="875">
        <f>'org. Düngung 22'!K106</f>
        <v>0</v>
      </c>
      <c r="AJ107" s="713">
        <f>'org. Düngung 22'!L106</f>
        <v>0</v>
      </c>
      <c r="AK107" s="57"/>
      <c r="AL107" s="57"/>
      <c r="AM107" s="57">
        <f t="shared" si="684"/>
        <v>0</v>
      </c>
      <c r="AN107" s="57">
        <f t="shared" si="685"/>
        <v>0</v>
      </c>
      <c r="AO107" s="57">
        <f t="shared" si="686"/>
        <v>0</v>
      </c>
      <c r="AP107" s="57">
        <f t="shared" si="687"/>
        <v>0</v>
      </c>
      <c r="AQ107" s="57">
        <f t="shared" si="688"/>
        <v>0</v>
      </c>
      <c r="AR107" s="1029">
        <f t="shared" si="501"/>
        <v>0</v>
      </c>
      <c r="AS107" s="57">
        <f t="shared" si="502"/>
        <v>0</v>
      </c>
      <c r="AT107" s="171" t="str">
        <f t="shared" si="503"/>
        <v/>
      </c>
      <c r="AU107" s="57">
        <f t="shared" si="689"/>
        <v>0</v>
      </c>
      <c r="AV107" s="57">
        <f>IF(OR(AND(AJ$6=1,$L107=0),AND(AJ$6=2,$K107=2,$G107=1)),0,IF(AND(AL$9=2,(OR($F107&gt;1,$K107=1,AND($L107=80,OR($N107=1,AND($N107=2,'#BerechnungDBE'!$AL98&gt;0)))))),IF(AJ$4&gt;=$AD$126,0,AT107),IF(AL$9=3,IF(OR(AJ$4&gt;=$AD$127,AND($G107=1,$J107=2,AJ$6=2),AND(AJ$6=1,$N107&lt;&gt;1)),0,IF(AN107&lt;=120,AT107,IF(AJ$4&lt;$AD$124,IF($F107=1,60/AL$4*AL$6,60/AL$4*AL$7),IF($F107=1,120/AL$4*AL$6,120/AL$4*AL$7)))),IF(OR($F107=3,$G107=2),IF(OR(AND(AJ$4&gt;=$AD$119,$C107=2),AND(AJ$4&gt;=$AF$119,$C107=1)),0,IF(AN107&lt;=60,AT107,60/AL$4*AL$7)),IF(AND($F107=2,$G107=1),AT107,0)))))</f>
        <v>0</v>
      </c>
      <c r="AW107" s="57" t="str">
        <f t="shared" si="690"/>
        <v/>
      </c>
      <c r="AX107" s="57" t="str">
        <f t="shared" si="504"/>
        <v/>
      </c>
      <c r="AY107" s="713">
        <f>'org. Düngung 22'!P106</f>
        <v>0</v>
      </c>
      <c r="AZ107" s="57"/>
      <c r="BA107" s="57"/>
      <c r="BB107" s="57">
        <f t="shared" si="505"/>
        <v>0</v>
      </c>
      <c r="BC107" s="57">
        <f t="shared" si="691"/>
        <v>0</v>
      </c>
      <c r="BD107" s="57">
        <f t="shared" si="692"/>
        <v>0</v>
      </c>
      <c r="BE107" s="57">
        <f t="shared" si="693"/>
        <v>0</v>
      </c>
      <c r="BF107" s="57">
        <f t="shared" si="694"/>
        <v>0</v>
      </c>
      <c r="BG107" s="1029">
        <f t="shared" si="506"/>
        <v>0</v>
      </c>
      <c r="BH107" s="57">
        <f t="shared" si="507"/>
        <v>0</v>
      </c>
      <c r="BI107" s="171" t="str">
        <f t="shared" si="508"/>
        <v/>
      </c>
      <c r="BJ107" s="57">
        <f t="shared" si="695"/>
        <v>0</v>
      </c>
      <c r="BK107" s="57">
        <f>IF(OR(AND(AY$6=1,$L107=0),AND(AY$6=2,$K107=2,$G107=1)),0,IF(AND(BA$9=2,(OR($F107&gt;1,$K107=1,AND($L107=80,OR($N107=1,AND($N107=2,'#BerechnungDBE'!$AL98&gt;0)))))),IF(AY$4&gt;=$AD$126,0,BI107),IF(BA$9=3,IF(OR(AY$4&gt;=$AD$127,AND($G107=1,$J107=2,AY$6=2),AND(AY$6=1,$N107&lt;&gt;1)),0,IF(BC107&lt;=120,BI107,IF(AY$4&lt;$AD$124,IF($F107=1,60/BA$4*BA$6,60/BA$4*BA$7),IF($F107=1,120/BA$4*BA$6,120/BA$4*BA$7)))),IF(OR($F107=3,$G107=2),IF(OR(AND(AY$4&gt;=$AD$119,$C107=2),AND(AY$4&gt;=$AF$119,$C107=1)),0,IF(BC107&lt;=60,BI107,60/BA$4*BA$7)),IF(AND($F107=2,$G107=1),BI107,0)))))</f>
        <v>0</v>
      </c>
      <c r="BL107" s="57" t="str">
        <f t="shared" si="509"/>
        <v/>
      </c>
      <c r="BM107" s="57" t="str">
        <f t="shared" si="510"/>
        <v/>
      </c>
      <c r="BN107" s="713">
        <f>'org. Düngung 22'!T106</f>
        <v>0</v>
      </c>
      <c r="BO107" s="57"/>
      <c r="BP107" s="57"/>
      <c r="BQ107" s="57">
        <f t="shared" si="511"/>
        <v>0</v>
      </c>
      <c r="BR107" s="57">
        <f t="shared" si="696"/>
        <v>0</v>
      </c>
      <c r="BS107" s="57">
        <f t="shared" si="697"/>
        <v>0</v>
      </c>
      <c r="BT107" s="57">
        <f t="shared" si="698"/>
        <v>0</v>
      </c>
      <c r="BU107" s="57">
        <f t="shared" si="699"/>
        <v>0</v>
      </c>
      <c r="BV107" s="1029">
        <f t="shared" si="512"/>
        <v>0</v>
      </c>
      <c r="BW107" s="57">
        <f t="shared" si="513"/>
        <v>0</v>
      </c>
      <c r="BX107" s="171" t="str">
        <f t="shared" si="514"/>
        <v/>
      </c>
      <c r="BY107" s="57">
        <f t="shared" si="700"/>
        <v>0</v>
      </c>
      <c r="BZ107" s="57">
        <f>IF(OR(AND(BN$6=1,$L107=0),AND(BN$6=2,$K107=2,$G107=1)),0,IF(AND(BP$9=2,(OR($F107&gt;1,$K107=1,AND($L107=80,OR($N107=1,AND($N107=2,'#BerechnungDBE'!$AL98&gt;0)))))),IF(BN$4&gt;=$AD$126,0,BX107),IF(BP$9=3,IF(OR(BN$4&gt;=$AD$127,AND($G107=1,$J107=2,BN$6=2),AND(BN$6=1,$N107&lt;&gt;1)),0,IF(BR107&lt;=120,BX107,IF(BN$4&lt;$AD$124,IF($F107=1,60/BP$4*BP$6,60/BP$4*BP$7),IF($F107=1,120/BP$4*BP$6,120/BP$4*BP$7)))),IF(OR($F107=3,$G107=2),IF(OR(AND(BN$4&gt;=$AD$119,$C107=2),AND(BN$4&gt;=$AF$119,$C107=1)),0,IF(BR107&lt;=60,BX107,60/BP$4*BP$7)),IF(AND($F107=2,$G107=1),BX107,0)))))</f>
        <v>0</v>
      </c>
      <c r="CA107" s="57" t="str">
        <f t="shared" si="515"/>
        <v/>
      </c>
      <c r="CB107" s="57" t="str">
        <f t="shared" si="516"/>
        <v/>
      </c>
      <c r="CC107" s="713">
        <f>'org. Düngung 22'!X106</f>
        <v>0</v>
      </c>
      <c r="CD107" s="57"/>
      <c r="CE107" s="57"/>
      <c r="CF107" s="57">
        <f t="shared" si="517"/>
        <v>0</v>
      </c>
      <c r="CG107" s="57">
        <f t="shared" si="701"/>
        <v>0</v>
      </c>
      <c r="CH107" s="57">
        <f t="shared" si="702"/>
        <v>0</v>
      </c>
      <c r="CI107" s="57">
        <f t="shared" si="703"/>
        <v>0</v>
      </c>
      <c r="CJ107" s="57">
        <f t="shared" si="704"/>
        <v>0</v>
      </c>
      <c r="CK107" s="1029">
        <f t="shared" si="518"/>
        <v>0</v>
      </c>
      <c r="CL107" s="57">
        <f t="shared" si="519"/>
        <v>0</v>
      </c>
      <c r="CM107" s="171" t="str">
        <f t="shared" si="520"/>
        <v/>
      </c>
      <c r="CN107" s="57">
        <f t="shared" si="705"/>
        <v>0</v>
      </c>
      <c r="CO107" s="57">
        <f>IF(OR(AND(CC$6=1,$L107=0),AND(CC$6=2,$K107=2,$G107=1)),0,IF(AND(CE$9=2,(OR($F107&gt;1,$K107=1,AND($L107=80,OR($N107=1,AND($N107=2,'#BerechnungDBE'!$AL98&gt;0)))))),IF(CC$4&gt;=$AD$126,0,CM107),IF(CE$9=3,IF(OR(CC$4&gt;=$AD$127,AND($G107=1,$J107=2,CC$6=2),AND(CC$6=1,$N107&lt;&gt;1)),0,IF(CG107&lt;=120,CM107,IF(CC$4&lt;$AD$124,IF($F107=1,60/CE$4*CE$6,60/CE$4*CE$7),IF($F107=1,120/CE$4*CE$6,120/CE$4*CE$7)))),IF(OR($F107=3,$G107=2),IF(OR(AND(CC$4&gt;=$AD$119,$C107=2),AND(CC$4&gt;=$AF$119,$C107=1)),0,IF(CG107&lt;=60,CM107,60/CE$4*CE$7)),IF(AND($F107=2,$G107=1),CM107,0)))))</f>
        <v>0</v>
      </c>
      <c r="CP107" s="57" t="str">
        <f t="shared" si="521"/>
        <v/>
      </c>
      <c r="CQ107" s="57" t="str">
        <f t="shared" si="522"/>
        <v/>
      </c>
      <c r="CR107" s="713">
        <f>'org. Düngung 22'!AB106</f>
        <v>0</v>
      </c>
      <c r="CS107" s="57"/>
      <c r="CT107" s="57"/>
      <c r="CU107" s="57">
        <f t="shared" si="523"/>
        <v>0</v>
      </c>
      <c r="CV107" s="57">
        <f t="shared" si="706"/>
        <v>0</v>
      </c>
      <c r="CW107" s="57">
        <f t="shared" si="707"/>
        <v>0</v>
      </c>
      <c r="CX107" s="57">
        <f t="shared" si="708"/>
        <v>0</v>
      </c>
      <c r="CY107" s="57">
        <f t="shared" si="709"/>
        <v>0</v>
      </c>
      <c r="CZ107" s="1029">
        <f t="shared" si="524"/>
        <v>0</v>
      </c>
      <c r="DA107" s="57">
        <f t="shared" si="525"/>
        <v>0</v>
      </c>
      <c r="DB107" s="171" t="str">
        <f t="shared" si="526"/>
        <v/>
      </c>
      <c r="DC107" s="57">
        <f t="shared" si="710"/>
        <v>0</v>
      </c>
      <c r="DD107" s="57">
        <f>IF(OR(AND(CR$6=1,$L107=0),AND(CR$6=2,$K107=2,$G107=1)),0,IF(AND(CT$9=2,(OR($F107&gt;1,$K107=1,AND($L107=80,OR($N107=1,AND($N107=2,'#BerechnungDBE'!$AL98&gt;0)))))),IF(CR$4&gt;=$AD$126,0,DB107),IF(CT$9=3,IF(OR(CR$4&gt;=$AD$127,AND($G107=1,$J107=2,CR$6=2),AND(CR$6=1,$N107&lt;&gt;1)),0,IF(CV107&lt;=120,DB107,IF(CR$4&lt;$AD$124,IF($F107=1,60/CT$4*CT$6,60/CT$4*CT$7),IF($F107=1,120/CT$4*CT$6,120/CT$4*CT$7)))),IF(OR($F107=3,$G107=2),IF(OR(AND(CR$4&gt;=$AD$119,$C107=2),AND(CR$4&gt;=$AF$119,$C107=1)),0,IF(CV107&lt;=60,DB107,60/CT$4*CT$7)),IF(AND($F107=2,$G107=1),DB107,0)))))</f>
        <v>0</v>
      </c>
      <c r="DE107" s="57" t="str">
        <f t="shared" si="527"/>
        <v/>
      </c>
      <c r="DF107" s="57" t="str">
        <f t="shared" si="528"/>
        <v/>
      </c>
      <c r="DG107" s="713">
        <f>'org. Düngung 22'!AF106</f>
        <v>0</v>
      </c>
      <c r="DH107" s="57"/>
      <c r="DI107" s="57"/>
      <c r="DJ107" s="57">
        <f t="shared" si="529"/>
        <v>0</v>
      </c>
      <c r="DK107" s="57">
        <f t="shared" si="711"/>
        <v>0</v>
      </c>
      <c r="DL107" s="57">
        <f t="shared" si="712"/>
        <v>0</v>
      </c>
      <c r="DM107" s="57">
        <f t="shared" si="713"/>
        <v>0</v>
      </c>
      <c r="DN107" s="57">
        <f t="shared" si="714"/>
        <v>0</v>
      </c>
      <c r="DO107" s="1029">
        <f t="shared" si="530"/>
        <v>0</v>
      </c>
      <c r="DP107" s="57">
        <f t="shared" si="531"/>
        <v>0</v>
      </c>
      <c r="DQ107" s="171" t="str">
        <f t="shared" si="532"/>
        <v/>
      </c>
      <c r="DR107" s="57">
        <f t="shared" si="715"/>
        <v>0</v>
      </c>
      <c r="DS107" s="57">
        <f>IF(OR(AND(DG$6=1,$L107=0),AND(DG$6=2,$K107=2,$G107=1)),0,IF(AND(DI$9=2,(OR($F107&gt;1,$K107=1,AND($L107=80,OR($N107=1,AND($N107=2,'#BerechnungDBE'!$AL98&gt;0)))))),IF(DG$4&gt;=$AD$126,0,DQ107),IF(DI$9=3,IF(OR(DG$4&gt;=$AD$127,AND($G107=1,$J107=2,DG$6=2),AND(DG$6=1,$N107&lt;&gt;1)),0,IF(DK107&lt;=120,DQ107,IF(DG$4&lt;$AD$124,IF($F107=1,60/DI$4*DI$6,60/DI$4*DI$7),IF($F107=1,120/DI$4*DI$6,120/DI$4*DI$7)))),IF(OR($F107=3,$G107=2),IF(OR(AND(DG$4&gt;=$AD$119,$C107=2),AND(DG$4&gt;=$AF$119,$C107=1)),0,IF(DK107&lt;=60,DQ107,60/DI$4*DI$7)),IF(AND($F107=2,$G107=1),DQ107,0)))))</f>
        <v>0</v>
      </c>
      <c r="DT107" s="57" t="str">
        <f t="shared" si="533"/>
        <v/>
      </c>
      <c r="DU107" s="57" t="str">
        <f t="shared" si="534"/>
        <v/>
      </c>
      <c r="DV107" s="713">
        <f>'org. Düngung 22'!AJ106</f>
        <v>0</v>
      </c>
      <c r="DW107" s="57"/>
      <c r="DX107" s="57"/>
      <c r="DY107" s="57">
        <f t="shared" si="535"/>
        <v>0</v>
      </c>
      <c r="DZ107" s="57">
        <f t="shared" si="716"/>
        <v>0</v>
      </c>
      <c r="EA107" s="57">
        <f t="shared" si="717"/>
        <v>0</v>
      </c>
      <c r="EB107" s="57">
        <f t="shared" si="718"/>
        <v>0</v>
      </c>
      <c r="EC107" s="57">
        <f t="shared" si="719"/>
        <v>0</v>
      </c>
      <c r="ED107" s="1029">
        <f t="shared" si="536"/>
        <v>0</v>
      </c>
      <c r="EE107" s="57">
        <f t="shared" si="537"/>
        <v>0</v>
      </c>
      <c r="EF107" s="171" t="str">
        <f t="shared" si="538"/>
        <v/>
      </c>
      <c r="EG107" s="57">
        <f t="shared" si="720"/>
        <v>0</v>
      </c>
      <c r="EH107" s="57">
        <f>IF(OR(AND(DV$6=1,$L107=0),AND(DV$6=2,$K107=2,$G107=1)),0,IF(AND(DX$9=2,(OR($F107&gt;1,$K107=1,AND($L107=80,OR($N107=1,AND($N107=2,'#BerechnungDBE'!$AL98&gt;0)))))),IF(DV$4&gt;=$AD$126,0,EF107),IF(DX$9=3,IF(OR(DV$4&gt;=$AD$127,AND($G107=1,$J107=2,DV$6=2),AND(DV$6=1,$N107&lt;&gt;1)),0,IF(DZ107&lt;=120,EF107,IF(DV$4&lt;$AD$124,IF($F107=1,60/DX$4*DX$6,60/DX$4*DX$7),IF($F107=1,120/DX$4*DX$6,120/DX$4*DX$7)))),IF(OR($F107=3,$G107=2),IF(OR(AND(DV$4&gt;=$AD$119,$C107=2),AND(DV$4&gt;=$AF$119,$C107=1)),0,IF(DZ107&lt;=60,EF107,60/DX$4*DX$7)),IF(AND($F107=2,$G107=1),EF107,0)))))</f>
        <v>0</v>
      </c>
      <c r="EI107" s="57" t="str">
        <f t="shared" si="539"/>
        <v/>
      </c>
      <c r="EJ107" s="57" t="str">
        <f t="shared" si="540"/>
        <v/>
      </c>
      <c r="EK107" s="713">
        <f>'org. Düngung 22'!AN106</f>
        <v>0</v>
      </c>
      <c r="EL107" s="57"/>
      <c r="EM107" s="57"/>
      <c r="EN107" s="57">
        <f t="shared" si="541"/>
        <v>0</v>
      </c>
      <c r="EO107" s="57">
        <f t="shared" si="721"/>
        <v>0</v>
      </c>
      <c r="EP107" s="57">
        <f t="shared" si="722"/>
        <v>0</v>
      </c>
      <c r="EQ107" s="57">
        <f t="shared" si="723"/>
        <v>0</v>
      </c>
      <c r="ER107" s="57">
        <f t="shared" si="724"/>
        <v>0</v>
      </c>
      <c r="ES107" s="1029">
        <f t="shared" si="542"/>
        <v>0</v>
      </c>
      <c r="ET107" s="57">
        <f t="shared" si="543"/>
        <v>0</v>
      </c>
      <c r="EU107" s="171" t="str">
        <f t="shared" si="544"/>
        <v/>
      </c>
      <c r="EV107" s="57">
        <f t="shared" si="725"/>
        <v>0</v>
      </c>
      <c r="EW107" s="57">
        <f>IF(OR(AND(EK$6=1,$L107=0),AND(EK$6=2,$K107=2,$G107=1)),0,IF(AND(EM$9=2,(OR($F107&gt;1,$K107=1,AND($L107=80,OR($N107=1,AND($N107=2,'#BerechnungDBE'!$AL98&gt;0)))))),IF(EK$4&gt;=$AD$126,0,EU107),IF(EM$9=3,IF(OR(EK$4&gt;=$AD$127,AND($G107=1,$J107=2,EK$6=2),AND(EK$6=1,$N107&lt;&gt;1)),0,IF(EO107&lt;=120,EU107,IF(EK$4&lt;$AD$124,IF($F107=1,60/EM$4*EM$6,60/EM$4*EM$7),IF($F107=1,120/EM$4*EM$6,120/EM$4*EM$7)))),IF(OR($F107=3,$G107=2),IF(OR(AND(EK$4&gt;=$AD$119,$C107=2),AND(EK$4&gt;=$AF$119,$C107=1)),0,IF(EO107&lt;=60,EU107,60/EM$4*EM$7)),IF(AND($F107=2,$G107=1),EU107,0)))))</f>
        <v>0</v>
      </c>
      <c r="EX107" s="57" t="str">
        <f t="shared" si="545"/>
        <v/>
      </c>
      <c r="EY107" s="57" t="str">
        <f t="shared" si="546"/>
        <v/>
      </c>
      <c r="EZ107" s="713">
        <f>'org. Düngung 22'!AR106</f>
        <v>0</v>
      </c>
      <c r="FA107" s="57"/>
      <c r="FB107" s="57"/>
      <c r="FC107" s="57">
        <f t="shared" si="547"/>
        <v>0</v>
      </c>
      <c r="FD107" s="57">
        <f t="shared" si="726"/>
        <v>0</v>
      </c>
      <c r="FE107" s="57">
        <f t="shared" si="727"/>
        <v>0</v>
      </c>
      <c r="FF107" s="57">
        <f t="shared" si="728"/>
        <v>0</v>
      </c>
      <c r="FG107" s="57">
        <f t="shared" si="729"/>
        <v>0</v>
      </c>
      <c r="FH107" s="1029">
        <f t="shared" si="548"/>
        <v>0</v>
      </c>
      <c r="FI107" s="57">
        <f t="shared" si="549"/>
        <v>0</v>
      </c>
      <c r="FJ107" s="171" t="str">
        <f t="shared" si="550"/>
        <v/>
      </c>
      <c r="FK107" s="57">
        <f t="shared" si="730"/>
        <v>0</v>
      </c>
      <c r="FL107" s="57">
        <f>IF(OR(AND(EZ$6=1,$L107=0),AND(EZ$6=2,$K107=2,$G107=1)),0,IF(AND(FB$9=2,(OR($F107&gt;1,$K107=1,AND($L107=80,OR($N107=1,AND($N107=2,'#BerechnungDBE'!$AL98&gt;0)))))),IF(EZ$4&gt;=$AD$126,0,FJ107),IF(FB$9=3,IF(OR(EZ$4&gt;=$AD$127,AND($G107=1,$J107=2,EZ$6=2),AND(EZ$6=1,$N107&lt;&gt;1)),0,IF(FD107&lt;=120,FJ107,IF(EZ$4&lt;$AD$124,IF($F107=1,60/FB$4*FB$6,60/FB$4*FB$7),IF($F107=1,120/FB$4*FB$6,120/FB$4*FB$7)))),IF(OR($F107=3,$G107=2),IF(OR(AND(EZ$4&gt;=$AD$119,$C107=2),AND(EZ$4&gt;=$AF$119,$C107=1)),0,IF(FD107&lt;=60,FJ107,60/FB$4*FB$7)),IF(AND($F107=2,$G107=1),FJ107,0)))))</f>
        <v>0</v>
      </c>
      <c r="FM107" s="57" t="str">
        <f t="shared" si="551"/>
        <v/>
      </c>
      <c r="FN107" s="57" t="str">
        <f t="shared" si="552"/>
        <v/>
      </c>
      <c r="FO107" s="713">
        <f>'org. Düngung 22'!AV106</f>
        <v>0</v>
      </c>
      <c r="FP107" s="57"/>
      <c r="FQ107" s="57"/>
      <c r="FR107" s="57">
        <f t="shared" si="553"/>
        <v>0</v>
      </c>
      <c r="FS107" s="57">
        <f t="shared" si="731"/>
        <v>0</v>
      </c>
      <c r="FT107" s="57">
        <f t="shared" si="732"/>
        <v>0</v>
      </c>
      <c r="FU107" s="57">
        <f t="shared" si="733"/>
        <v>0</v>
      </c>
      <c r="FV107" s="57">
        <f t="shared" si="734"/>
        <v>0</v>
      </c>
      <c r="FW107" s="1029">
        <f t="shared" si="554"/>
        <v>0</v>
      </c>
      <c r="FX107" s="57">
        <f t="shared" si="555"/>
        <v>0</v>
      </c>
      <c r="FY107" s="171" t="str">
        <f t="shared" si="556"/>
        <v/>
      </c>
      <c r="FZ107" s="57">
        <f t="shared" si="735"/>
        <v>0</v>
      </c>
      <c r="GA107" s="57">
        <f>IF(OR(AND(FO$6=1,$L107=0),AND(FO$6=2,$K107=2,$G107=1)),0,IF(AND(FQ$9=2,(OR($F107&gt;1,$K107=1,AND($L107=80,OR($N107=1,AND($N107=2,'#BerechnungDBE'!$AL98&gt;0)))))),IF(FO$4&gt;=$AD$126,0,FY107),IF(FQ$9=3,IF(OR(FO$4&gt;=$AD$127,AND($G107=1,$J107=2,FO$6=2),AND(FO$6=1,$N107&lt;&gt;1)),0,IF(FS107&lt;=120,FY107,IF(FO$4&lt;$AD$124,IF($F107=1,60/FQ$4*FQ$6,60/FQ$4*FQ$7),IF($F107=1,120/FQ$4*FQ$6,120/FQ$4*FQ$7)))),IF(OR($F107=3,$G107=2),IF(OR(AND(FO$4&gt;=$AD$119,$C107=2),AND(FO$4&gt;=$AF$119,$C107=1)),0,IF(FS107&lt;=60,FY107,60/FQ$4*FQ$7)),IF(AND($F107=2,$G107=1),FY107,0)))))</f>
        <v>0</v>
      </c>
      <c r="GB107" s="57" t="str">
        <f t="shared" si="557"/>
        <v/>
      </c>
      <c r="GC107" s="57" t="str">
        <f t="shared" si="558"/>
        <v/>
      </c>
      <c r="GD107" s="713">
        <f>'org. Düngung 22'!AZ106</f>
        <v>0</v>
      </c>
      <c r="GE107" s="57"/>
      <c r="GF107" s="57"/>
      <c r="GG107" s="57">
        <f t="shared" si="559"/>
        <v>0</v>
      </c>
      <c r="GH107" s="57">
        <f t="shared" si="736"/>
        <v>0</v>
      </c>
      <c r="GI107" s="57">
        <f t="shared" si="737"/>
        <v>0</v>
      </c>
      <c r="GJ107" s="57">
        <f t="shared" si="738"/>
        <v>0</v>
      </c>
      <c r="GK107" s="57">
        <f t="shared" si="739"/>
        <v>0</v>
      </c>
      <c r="GL107" s="1029">
        <f t="shared" si="560"/>
        <v>0</v>
      </c>
      <c r="GM107" s="57">
        <f t="shared" si="561"/>
        <v>0</v>
      </c>
      <c r="GN107" s="171" t="str">
        <f t="shared" si="562"/>
        <v/>
      </c>
      <c r="GO107" s="57">
        <f t="shared" si="740"/>
        <v>0</v>
      </c>
      <c r="GP107" s="57">
        <f>IF(OR(AND(GD$6=1,$L107=0),AND(GD$6=2,$K107=2,$G107=1)),0,IF(AND(GF$9=2,(OR($F107&gt;1,$K107=1,AND($L107=80,OR($N107=1,AND($N107=2,'#BerechnungDBE'!$AL98&gt;0)))))),IF(GD$4&gt;=$AD$126,0,GN107),IF(GF$9=3,IF(OR(GD$4&gt;=$AD$127,AND($G107=1,$J107=2,GD$6=2),AND(GD$6=1,$N107&lt;&gt;1)),0,IF(GH107&lt;=120,GN107,IF(GD$4&lt;$AD$124,IF($F107=1,60/GF$4*GF$6,60/GF$4*GF$7),IF($F107=1,120/GF$4*GF$6,120/GF$4*GF$7)))),IF(OR($F107=3,$G107=2),IF(OR(AND(GD$4&gt;=$AD$119,$C107=2),AND(GD$4&gt;=$AF$119,$C107=1)),0,IF(GH107&lt;=60,GN107,60/GF$4*GF$7)),IF(AND($F107=2,$G107=1),GN107,0)))))</f>
        <v>0</v>
      </c>
      <c r="GQ107" s="57" t="str">
        <f t="shared" si="563"/>
        <v/>
      </c>
      <c r="GR107" s="57" t="str">
        <f t="shared" si="564"/>
        <v/>
      </c>
      <c r="GS107" s="713">
        <f>'org. Düngung 22'!BD106</f>
        <v>0</v>
      </c>
      <c r="GT107" s="57"/>
      <c r="GU107" s="57"/>
      <c r="GV107" s="57">
        <f t="shared" si="565"/>
        <v>0</v>
      </c>
      <c r="GW107" s="57">
        <f t="shared" si="741"/>
        <v>0</v>
      </c>
      <c r="GX107" s="57">
        <f t="shared" si="742"/>
        <v>0</v>
      </c>
      <c r="GY107" s="57">
        <f t="shared" si="743"/>
        <v>0</v>
      </c>
      <c r="GZ107" s="57">
        <f t="shared" si="744"/>
        <v>0</v>
      </c>
      <c r="HA107" s="1029">
        <f t="shared" si="566"/>
        <v>0</v>
      </c>
      <c r="HB107" s="57">
        <f t="shared" si="567"/>
        <v>0</v>
      </c>
      <c r="HC107" s="171" t="str">
        <f t="shared" si="568"/>
        <v/>
      </c>
      <c r="HD107" s="57">
        <f t="shared" si="745"/>
        <v>0</v>
      </c>
      <c r="HE107" s="57">
        <f>IF(OR(AND(GS$6=1,$L107=0),AND(GS$6=2,$K107=2,$G107=1)),0,IF(AND(GU$9=2,(OR($F107&gt;1,$K107=1,AND($L107=80,OR($N107=1,AND($N107=2,'#BerechnungDBE'!$AL98&gt;0)))))),IF(GS$4&gt;=$AD$126,0,HC107),IF(GU$9=3,IF(OR(GS$4&gt;=$AD$127,AND($G107=1,$J107=2,GS$6=2),AND(GS$6=1,$N107&lt;&gt;1)),0,IF(GW107&lt;=120,HC107,IF(GS$4&lt;$AD$124,IF($F107=1,60/GU$4*GU$6,60/GU$4*GU$7),IF($F107=1,120/GU$4*GU$6,120/GU$4*GU$7)))),IF(OR($F107=3,$G107=2),IF(OR(AND(GS$4&gt;=$AD$119,$C107=2),AND(GS$4&gt;=$AF$119,$C107=1)),0,IF(GW107&lt;=60,HC107,60/GU$4*GU$7)),IF(AND($F107=2,$G107=1),HC107,0)))))</f>
        <v>0</v>
      </c>
      <c r="HF107" s="57" t="str">
        <f t="shared" si="569"/>
        <v/>
      </c>
      <c r="HG107" s="57" t="str">
        <f t="shared" si="570"/>
        <v/>
      </c>
      <c r="HH107" s="713">
        <f>'org. Düngung 22'!BH106</f>
        <v>0</v>
      </c>
      <c r="HI107" s="57"/>
      <c r="HJ107" s="57"/>
      <c r="HK107" s="57">
        <f t="shared" si="571"/>
        <v>0</v>
      </c>
      <c r="HL107" s="57">
        <f t="shared" si="746"/>
        <v>0</v>
      </c>
      <c r="HM107" s="57">
        <f t="shared" si="747"/>
        <v>0</v>
      </c>
      <c r="HN107" s="57">
        <f t="shared" si="748"/>
        <v>0</v>
      </c>
      <c r="HO107" s="57">
        <f t="shared" si="749"/>
        <v>0</v>
      </c>
      <c r="HP107" s="1029">
        <f t="shared" si="572"/>
        <v>0</v>
      </c>
      <c r="HQ107" s="57">
        <f t="shared" si="573"/>
        <v>0</v>
      </c>
      <c r="HR107" s="171" t="str">
        <f t="shared" si="574"/>
        <v/>
      </c>
      <c r="HS107" s="57">
        <f t="shared" si="750"/>
        <v>0</v>
      </c>
      <c r="HT107" s="57">
        <f>IF(OR(AND(HH$6=1,$L107=0),AND(HH$6=2,$K107=2,$G107=1)),0,IF(AND(HJ$9=2,(OR($F107&gt;1,$K107=1,AND($L107=80,OR($N107=1,AND($N107=2,'#BerechnungDBE'!$AL98&gt;0)))))),IF(HH$4&gt;=$AD$126,0,HR107),IF(HJ$9=3,IF(OR(HH$4&gt;=$AD$127,AND($G107=1,$J107=2,HH$6=2),AND(HH$6=1,$N107&lt;&gt;1)),0,IF(HL107&lt;=120,HR107,IF(HH$4&lt;$AD$124,IF($F107=1,60/HJ$4*HJ$6,60/HJ$4*HJ$7),IF($F107=1,120/HJ$4*HJ$6,120/HJ$4*HJ$7)))),IF(OR($F107=3,$G107=2),IF(OR(AND(HH$4&gt;=$AD$119,$C107=2),AND(HH$4&gt;=$AF$119,$C107=1)),0,IF(HL107&lt;=60,HR107,60/HJ$4*HJ$7)),IF(AND($F107=2,$G107=1),HR107,0)))))</f>
        <v>0</v>
      </c>
      <c r="HU107" s="57" t="str">
        <f t="shared" si="575"/>
        <v/>
      </c>
      <c r="HV107" s="57" t="str">
        <f t="shared" si="576"/>
        <v/>
      </c>
      <c r="HW107" s="713">
        <f>'org. Düngung 22'!BL106</f>
        <v>0</v>
      </c>
      <c r="HX107" s="57"/>
      <c r="HY107" s="57"/>
      <c r="HZ107" s="57">
        <f t="shared" si="577"/>
        <v>0</v>
      </c>
      <c r="IA107" s="57">
        <f t="shared" si="751"/>
        <v>0</v>
      </c>
      <c r="IB107" s="57">
        <f t="shared" si="752"/>
        <v>0</v>
      </c>
      <c r="IC107" s="57">
        <f t="shared" si="753"/>
        <v>0</v>
      </c>
      <c r="ID107" s="57">
        <f t="shared" si="754"/>
        <v>0</v>
      </c>
      <c r="IE107" s="1029">
        <f t="shared" si="578"/>
        <v>0</v>
      </c>
      <c r="IF107" s="57">
        <f t="shared" si="579"/>
        <v>0</v>
      </c>
      <c r="IG107" s="171" t="str">
        <f t="shared" si="580"/>
        <v/>
      </c>
      <c r="IH107" s="57">
        <f t="shared" si="755"/>
        <v>0</v>
      </c>
      <c r="II107" s="57">
        <f>IF(OR(AND(HW$6=1,$L107=0),AND(HW$6=2,$K107=2,$G107=1)),0,IF(AND(HY$9=2,(OR($F107&gt;1,$K107=1,AND($L107=80,OR($N107=1,AND($N107=2,'#BerechnungDBE'!$AL98&gt;0)))))),IF(HW$4&gt;=$AD$126,0,IG107),IF(HY$9=3,IF(OR(HW$4&gt;=$AD$127,AND($G107=1,$J107=2,HW$6=2),AND(HW$6=1,$N107&lt;&gt;1)),0,IF(IA107&lt;=120,IG107,IF(HW$4&lt;$AD$124,IF($F107=1,60/HY$4*HY$6,60/HY$4*HY$7),IF($F107=1,120/HY$4*HY$6,120/HY$4*HY$7)))),IF(OR($F107=3,$G107=2),IF(OR(AND(HW$4&gt;=$AD$119,$C107=2),AND(HW$4&gt;=$AF$119,$C107=1)),0,IF(IA107&lt;=60,IG107,60/HY$4*HY$7)),IF(AND($F107=2,$G107=1),IG107,0)))))</f>
        <v>0</v>
      </c>
      <c r="IJ107" s="57" t="str">
        <f t="shared" si="581"/>
        <v/>
      </c>
      <c r="IK107" s="57" t="str">
        <f t="shared" si="582"/>
        <v/>
      </c>
      <c r="IL107" s="713">
        <f>'org. Düngung 22'!BP106</f>
        <v>0</v>
      </c>
      <c r="IM107" s="57"/>
      <c r="IN107" s="57"/>
      <c r="IO107" s="57">
        <f t="shared" si="583"/>
        <v>0</v>
      </c>
      <c r="IP107" s="57">
        <f t="shared" si="756"/>
        <v>0</v>
      </c>
      <c r="IQ107" s="57">
        <f t="shared" si="757"/>
        <v>0</v>
      </c>
      <c r="IR107" s="57">
        <f t="shared" si="758"/>
        <v>0</v>
      </c>
      <c r="IS107" s="57">
        <f t="shared" si="759"/>
        <v>0</v>
      </c>
      <c r="IT107" s="1029">
        <f t="shared" si="584"/>
        <v>0</v>
      </c>
      <c r="IU107" s="57">
        <f t="shared" si="585"/>
        <v>0</v>
      </c>
      <c r="IV107" s="171" t="str">
        <f t="shared" si="586"/>
        <v/>
      </c>
      <c r="IW107" s="57">
        <f t="shared" si="760"/>
        <v>0</v>
      </c>
      <c r="IX107" s="57">
        <f>IF(OR(AND(IL$6=1,$L107=0),AND(IL$6=2,$K107=2,$G107=1)),0,IF(AND(IN$9=2,(OR($F107&gt;1,$K107=1,AND($L107=80,OR($N107=1,AND($N107=2,'#BerechnungDBE'!$AL98&gt;0)))))),IF(IL$4&gt;=$AD$126,0,IV107),IF(IN$9=3,IF(OR(IL$4&gt;=$AD$127,AND($G107=1,$J107=2,IL$6=2),AND(IL$6=1,$N107&lt;&gt;1)),0,IF(IP107&lt;=120,IV107,IF(IL$4&lt;$AD$124,IF($F107=1,60/IN$4*IN$6,60/IN$4*IN$7),IF($F107=1,120/IN$4*IN$6,120/IN$4*IN$7)))),IF(OR($F107=3,$G107=2),IF(OR(AND(IL$4&gt;=$AD$119,$C107=2),AND(IL$4&gt;=$AF$119,$C107=1)),0,IF(IP107&lt;=60,IV107,60/IN$4*IN$7)),IF(AND($F107=2,$G107=1),IV107,0)))))</f>
        <v>0</v>
      </c>
      <c r="IY107" s="57" t="str">
        <f t="shared" si="587"/>
        <v/>
      </c>
      <c r="IZ107" s="57" t="str">
        <f t="shared" si="588"/>
        <v/>
      </c>
      <c r="JA107" s="713">
        <f>'org. Düngung 22'!BT106</f>
        <v>0</v>
      </c>
      <c r="JB107" s="57"/>
      <c r="JC107" s="57"/>
      <c r="JD107" s="57">
        <f t="shared" si="589"/>
        <v>0</v>
      </c>
      <c r="JE107" s="57">
        <f t="shared" si="761"/>
        <v>0</v>
      </c>
      <c r="JF107" s="57">
        <f t="shared" si="762"/>
        <v>0</v>
      </c>
      <c r="JG107" s="57">
        <f t="shared" si="763"/>
        <v>0</v>
      </c>
      <c r="JH107" s="57">
        <f t="shared" si="764"/>
        <v>0</v>
      </c>
      <c r="JI107" s="1029">
        <f t="shared" si="590"/>
        <v>0</v>
      </c>
      <c r="JJ107" s="57">
        <f t="shared" si="591"/>
        <v>0</v>
      </c>
      <c r="JK107" s="171" t="str">
        <f t="shared" si="592"/>
        <v/>
      </c>
      <c r="JL107" s="57">
        <f t="shared" si="765"/>
        <v>0</v>
      </c>
      <c r="JM107" s="57">
        <f>IF(OR(AND(JA$6=1,$L107=0),AND(JA$6=2,$K107=2,$G107=1)),0,IF(AND(JC$9=2,(OR($F107&gt;1,$K107=1,AND($L107=80,OR($N107=1,AND($N107=2,'#BerechnungDBE'!$AL98&gt;0)))))),IF(JA$4&gt;=$AD$126,0,JK107),IF(JC$9=3,IF(OR(JA$4&gt;=$AD$127,AND($G107=1,$J107=2,JA$6=2),AND(JA$6=1,$N107&lt;&gt;1)),0,IF(JE107&lt;=120,JK107,IF(JA$4&lt;$AD$124,IF($F107=1,60/JC$4*JC$6,60/JC$4*JC$7),IF($F107=1,120/JC$4*JC$6,120/JC$4*JC$7)))),IF(OR($F107=3,$G107=2),IF(OR(AND(JA$4&gt;=$AD$119,$C107=2),AND(JA$4&gt;=$AF$119,$C107=1)),0,IF(JE107&lt;=60,JK107,60/JC$4*JC$7)),IF(AND($F107=2,$G107=1),JK107,0)))))</f>
        <v>0</v>
      </c>
      <c r="JN107" s="57" t="str">
        <f t="shared" si="593"/>
        <v/>
      </c>
      <c r="JO107" s="57" t="str">
        <f t="shared" si="594"/>
        <v/>
      </c>
      <c r="JP107" s="713">
        <f>'org. Düngung 22'!BX106</f>
        <v>0</v>
      </c>
      <c r="JQ107" s="57"/>
      <c r="JR107" s="57"/>
      <c r="JS107" s="57">
        <f t="shared" si="595"/>
        <v>0</v>
      </c>
      <c r="JT107" s="57">
        <f t="shared" si="766"/>
        <v>0</v>
      </c>
      <c r="JU107" s="57">
        <f t="shared" si="767"/>
        <v>0</v>
      </c>
      <c r="JV107" s="57">
        <f t="shared" si="768"/>
        <v>0</v>
      </c>
      <c r="JW107" s="57">
        <f t="shared" si="769"/>
        <v>0</v>
      </c>
      <c r="JX107" s="1029">
        <f t="shared" si="596"/>
        <v>0</v>
      </c>
      <c r="JY107" s="57">
        <f t="shared" si="597"/>
        <v>0</v>
      </c>
      <c r="JZ107" s="171" t="str">
        <f t="shared" si="598"/>
        <v/>
      </c>
      <c r="KA107" s="57">
        <f t="shared" si="770"/>
        <v>0</v>
      </c>
      <c r="KB107" s="57">
        <f>IF(OR(AND(JP$6=1,$L107=0),AND(JP$6=2,$K107=2,$G107=1)),0,IF(AND(JR$9=2,(OR($F107&gt;1,$K107=1,AND($L107=80,OR($N107=1,AND($N107=2,'#BerechnungDBE'!$AL98&gt;0)))))),IF(JP$4&gt;=$AD$126,0,JZ107),IF(JR$9=3,IF(OR(JP$4&gt;=$AD$127,AND($G107=1,$J107=2,JP$6=2),AND(JP$6=1,$N107&lt;&gt;1)),0,IF(JT107&lt;=120,JZ107,IF(JP$4&lt;$AD$124,IF($F107=1,60/JR$4*JR$6,60/JR$4*JR$7),IF($F107=1,120/JR$4*JR$6,120/JR$4*JR$7)))),IF(OR($F107=3,$G107=2),IF(OR(AND(JP$4&gt;=$AD$119,$C107=2),AND(JP$4&gt;=$AF$119,$C107=1)),0,IF(JT107&lt;=60,JZ107,60/JR$4*JR$7)),IF(AND($F107=2,$G107=1),JZ107,0)))))</f>
        <v>0</v>
      </c>
      <c r="KC107" s="57" t="str">
        <f t="shared" si="599"/>
        <v/>
      </c>
      <c r="KD107" s="57" t="str">
        <f t="shared" si="600"/>
        <v/>
      </c>
      <c r="KE107" s="713">
        <f>'org. Düngung 22'!CB106</f>
        <v>0</v>
      </c>
      <c r="KF107" s="57"/>
      <c r="KG107" s="57"/>
      <c r="KH107" s="57">
        <f t="shared" si="601"/>
        <v>0</v>
      </c>
      <c r="KI107" s="57">
        <f t="shared" si="771"/>
        <v>0</v>
      </c>
      <c r="KJ107" s="57">
        <f t="shared" si="772"/>
        <v>0</v>
      </c>
      <c r="KK107" s="57">
        <f t="shared" si="773"/>
        <v>0</v>
      </c>
      <c r="KL107" s="57">
        <f t="shared" si="774"/>
        <v>0</v>
      </c>
      <c r="KM107" s="1029">
        <f t="shared" si="602"/>
        <v>0</v>
      </c>
      <c r="KN107" s="57">
        <f t="shared" si="603"/>
        <v>0</v>
      </c>
      <c r="KO107" s="171" t="str">
        <f t="shared" si="604"/>
        <v/>
      </c>
      <c r="KP107" s="57">
        <f t="shared" si="775"/>
        <v>0</v>
      </c>
      <c r="KQ107" s="57">
        <f>IF(OR(AND(KE$6=1,$L107=0),AND(KE$6=2,$K107=2,$G107=1)),0,IF(AND(KG$9=2,(OR($F107&gt;1,$K107=1,AND($L107=80,OR($N107=1,AND($N107=2,'#BerechnungDBE'!$AL98&gt;0)))))),IF(KE$4&gt;=$AD$126,0,KO107),IF(KG$9=3,IF(OR(KE$4&gt;=$AD$127,AND($G107=1,$J107=2,KE$6=2),AND(KE$6=1,$N107&lt;&gt;1)),0,IF(KI107&lt;=120,KO107,IF(KE$4&lt;$AD$124,IF($F107=1,60/KG$4*KG$6,60/KG$4*KG$7),IF($F107=1,120/KG$4*KG$6,120/KG$4*KG$7)))),IF(OR($F107=3,$G107=2),IF(OR(AND(KE$4&gt;=$AD$119,$C107=2),AND(KE$4&gt;=$AF$119,$C107=1)),0,IF(KI107&lt;=60,KO107,60/KG$4*KG$7)),IF(AND($F107=2,$G107=1),KO107,0)))))</f>
        <v>0</v>
      </c>
      <c r="KR107" s="57" t="str">
        <f t="shared" si="605"/>
        <v/>
      </c>
      <c r="KS107" s="57" t="str">
        <f t="shared" si="606"/>
        <v/>
      </c>
      <c r="KT107" s="713">
        <f>'org. Düngung 22'!CF106</f>
        <v>0</v>
      </c>
      <c r="KU107" s="57"/>
      <c r="KV107" s="57"/>
      <c r="KW107" s="57">
        <f t="shared" si="607"/>
        <v>0</v>
      </c>
      <c r="KX107" s="57">
        <f t="shared" si="776"/>
        <v>0</v>
      </c>
      <c r="KY107" s="57">
        <f t="shared" si="777"/>
        <v>0</v>
      </c>
      <c r="KZ107" s="57">
        <f t="shared" si="778"/>
        <v>0</v>
      </c>
      <c r="LA107" s="57">
        <f t="shared" si="779"/>
        <v>0</v>
      </c>
      <c r="LB107" s="1029">
        <f t="shared" si="608"/>
        <v>0</v>
      </c>
      <c r="LC107" s="57">
        <f t="shared" si="609"/>
        <v>0</v>
      </c>
      <c r="LD107" s="171" t="str">
        <f t="shared" si="610"/>
        <v/>
      </c>
      <c r="LE107" s="57">
        <f t="shared" si="780"/>
        <v>0</v>
      </c>
      <c r="LF107" s="57">
        <f>IF(OR(AND(KT$6=1,$L107=0),AND(KT$6=2,$K107=2,$G107=1)),0,IF(AND(KV$9=2,(OR($F107&gt;1,$K107=1,AND($L107=80,OR($N107=1,AND($N107=2,'#BerechnungDBE'!$AL98&gt;0)))))),IF(KT$4&gt;=$AD$126,0,LD107),IF(KV$9=3,IF(OR(KT$4&gt;=$AD$127,AND($G107=1,$J107=2,KT$6=2),AND(KT$6=1,$N107&lt;&gt;1)),0,IF(KX107&lt;=120,LD107,IF(KT$4&lt;$AD$124,IF($F107=1,60/KV$4*KV$6,60/KV$4*KV$7),IF($F107=1,120/KV$4*KV$6,120/KV$4*KV$7)))),IF(OR($F107=3,$G107=2),IF(OR(AND(KT$4&gt;=$AD$119,$C107=2),AND(KT$4&gt;=$AF$119,$C107=1)),0,IF(KX107&lt;=60,LD107,60/KV$4*KV$7)),IF(AND($F107=2,$G107=1),LD107,0)))))</f>
        <v>0</v>
      </c>
      <c r="LG107" s="57" t="str">
        <f t="shared" si="611"/>
        <v/>
      </c>
      <c r="LH107" s="57" t="str">
        <f t="shared" si="612"/>
        <v/>
      </c>
      <c r="LI107" s="713">
        <f>'org. Düngung 22'!CJ106</f>
        <v>0</v>
      </c>
      <c r="LJ107" s="57"/>
      <c r="LK107" s="57"/>
      <c r="LL107" s="57">
        <f t="shared" si="613"/>
        <v>0</v>
      </c>
      <c r="LM107" s="57">
        <f t="shared" si="781"/>
        <v>0</v>
      </c>
      <c r="LN107" s="57">
        <f t="shared" si="782"/>
        <v>0</v>
      </c>
      <c r="LO107" s="57">
        <f t="shared" si="783"/>
        <v>0</v>
      </c>
      <c r="LP107" s="57">
        <f t="shared" si="784"/>
        <v>0</v>
      </c>
      <c r="LQ107" s="1029">
        <f t="shared" si="614"/>
        <v>0</v>
      </c>
      <c r="LR107" s="57">
        <f t="shared" si="615"/>
        <v>0</v>
      </c>
      <c r="LS107" s="171" t="str">
        <f t="shared" si="616"/>
        <v/>
      </c>
      <c r="LT107" s="57">
        <f t="shared" si="785"/>
        <v>0</v>
      </c>
      <c r="LU107" s="57">
        <f>IF(OR(AND(LI$6=1,$L107=0),AND(LI$6=2,$K107=2,$G107=1)),0,IF(AND(LK$9=2,(OR($F107&gt;1,$K107=1,AND($L107=80,OR($N107=1,AND($N107=2,'#BerechnungDBE'!$AL98&gt;0)))))),IF(LI$4&gt;=$AD$126,0,LS107),IF(LK$9=3,IF(OR(LI$4&gt;=$AD$127,AND($G107=1,$J107=2,LI$6=2),AND(LI$6=1,$N107&lt;&gt;1)),0,IF(LM107&lt;=120,LS107,IF(LI$4&lt;$AD$124,IF($F107=1,60/LK$4*LK$6,60/LK$4*LK$7),IF($F107=1,120/LK$4*LK$6,120/LK$4*LK$7)))),IF(OR($F107=3,$G107=2),IF(OR(AND(LI$4&gt;=$AD$119,$C107=2),AND(LI$4&gt;=$AF$119,$C107=1)),0,IF(LM107&lt;=60,LS107,60/LK$4*LK$7)),IF(AND($F107=2,$G107=1),LS107,0)))))</f>
        <v>0</v>
      </c>
      <c r="LV107" s="57" t="str">
        <f t="shared" si="617"/>
        <v/>
      </c>
      <c r="LW107" s="57" t="str">
        <f t="shared" si="618"/>
        <v/>
      </c>
      <c r="LX107" s="713">
        <f>'org. Düngung 22'!CN106</f>
        <v>0</v>
      </c>
      <c r="LY107" s="57"/>
      <c r="LZ107" s="57"/>
      <c r="MA107" s="57">
        <f t="shared" si="619"/>
        <v>0</v>
      </c>
      <c r="MB107" s="57">
        <f t="shared" si="786"/>
        <v>0</v>
      </c>
      <c r="MC107" s="57">
        <f t="shared" si="787"/>
        <v>0</v>
      </c>
      <c r="MD107" s="57">
        <f t="shared" si="788"/>
        <v>0</v>
      </c>
      <c r="ME107" s="57">
        <f t="shared" si="789"/>
        <v>0</v>
      </c>
      <c r="MF107" s="1029">
        <f t="shared" si="620"/>
        <v>0</v>
      </c>
      <c r="MG107" s="57">
        <f t="shared" si="621"/>
        <v>0</v>
      </c>
      <c r="MH107" s="171" t="str">
        <f t="shared" si="622"/>
        <v/>
      </c>
      <c r="MI107" s="57">
        <f t="shared" si="790"/>
        <v>0</v>
      </c>
      <c r="MJ107" s="57">
        <f>IF(OR(AND(LX$6=1,$L107=0),AND(LX$6=2,$K107=2,$G107=1)),0,IF(AND(LZ$9=2,(OR($F107&gt;1,$K107=1,AND($L107=80,OR($N107=1,AND($N107=2,'#BerechnungDBE'!$AL98&gt;0)))))),IF(LX$4&gt;=$AD$126,0,MH107),IF(LZ$9=3,IF(OR(LX$4&gt;=$AD$127,AND($G107=1,$J107=2,LX$6=2),AND(LX$6=1,$N107&lt;&gt;1)),0,IF(MB107&lt;=120,MH107,IF(LX$4&lt;$AD$124,IF($F107=1,60/LZ$4*LZ$6,60/LZ$4*LZ$7),IF($F107=1,120/LZ$4*LZ$6,120/LZ$4*LZ$7)))),IF(OR($F107=3,$G107=2),IF(OR(AND(LX$4&gt;=$AD$119,$C107=2),AND(LX$4&gt;=$AF$119,$C107=1)),0,IF(MB107&lt;=60,MH107,60/LZ$4*LZ$7)),IF(AND($F107=2,$G107=1),MH107,0)))))</f>
        <v>0</v>
      </c>
      <c r="MK107" s="57" t="str">
        <f t="shared" si="623"/>
        <v/>
      </c>
      <c r="ML107" s="57" t="str">
        <f t="shared" si="624"/>
        <v/>
      </c>
      <c r="MM107" s="713">
        <f>'org. Düngung 22'!CR106</f>
        <v>0</v>
      </c>
      <c r="MN107" s="57"/>
      <c r="MO107" s="57"/>
      <c r="MP107" s="57">
        <f t="shared" si="625"/>
        <v>0</v>
      </c>
      <c r="MQ107" s="57">
        <f t="shared" si="791"/>
        <v>0</v>
      </c>
      <c r="MR107" s="57">
        <f t="shared" si="792"/>
        <v>0</v>
      </c>
      <c r="MS107" s="57">
        <f t="shared" si="793"/>
        <v>0</v>
      </c>
      <c r="MT107" s="57">
        <f t="shared" si="794"/>
        <v>0</v>
      </c>
      <c r="MU107" s="1029">
        <f t="shared" si="626"/>
        <v>0</v>
      </c>
      <c r="MV107" s="57">
        <f t="shared" si="627"/>
        <v>0</v>
      </c>
      <c r="MW107" s="171" t="str">
        <f t="shared" si="628"/>
        <v/>
      </c>
      <c r="MX107" s="57">
        <f t="shared" si="795"/>
        <v>0</v>
      </c>
      <c r="MY107" s="57">
        <f>IF(OR(AND(MM$6=1,$L107=0),AND(MM$6=2,$K107=2,$G107=1)),0,IF(AND(MO$9=2,(OR($F107&gt;1,$K107=1,AND($L107=80,OR($N107=1,AND($N107=2,'#BerechnungDBE'!$AL98&gt;0)))))),IF(MM$4&gt;=$AD$126,0,MW107),IF(MO$9=3,IF(OR(MM$4&gt;=$AD$127,AND($G107=1,$J107=2,MM$6=2),AND(MM$6=1,$N107&lt;&gt;1)),0,IF(MQ107&lt;=120,MW107,IF(MM$4&lt;$AD$124,IF($F107=1,60/MO$4*MO$6,60/MO$4*MO$7),IF($F107=1,120/MO$4*MO$6,120/MO$4*MO$7)))),IF(OR($F107=3,$G107=2),IF(OR(AND(MM$4&gt;=$AD$119,$C107=2),AND(MM$4&gt;=$AF$119,$C107=1)),0,IF(MQ107&lt;=60,MW107,60/MO$4*MO$7)),IF(AND($F107=2,$G107=1),MW107,0)))))</f>
        <v>0</v>
      </c>
      <c r="MZ107" s="57" t="str">
        <f t="shared" si="629"/>
        <v/>
      </c>
      <c r="NA107" s="57" t="str">
        <f t="shared" si="630"/>
        <v/>
      </c>
      <c r="NB107" s="713">
        <f>'org. Düngung 22'!CV106</f>
        <v>0</v>
      </c>
      <c r="NC107" s="57"/>
      <c r="ND107" s="57"/>
      <c r="NE107" s="57">
        <f t="shared" si="631"/>
        <v>0</v>
      </c>
      <c r="NF107" s="57">
        <f t="shared" si="796"/>
        <v>0</v>
      </c>
      <c r="NG107" s="57">
        <f t="shared" si="797"/>
        <v>0</v>
      </c>
      <c r="NH107" s="57">
        <f t="shared" si="798"/>
        <v>0</v>
      </c>
      <c r="NI107" s="57">
        <f t="shared" si="799"/>
        <v>0</v>
      </c>
      <c r="NJ107" s="1029">
        <f t="shared" si="632"/>
        <v>0</v>
      </c>
      <c r="NK107" s="57">
        <f t="shared" si="633"/>
        <v>0</v>
      </c>
      <c r="NL107" s="171" t="str">
        <f t="shared" si="634"/>
        <v/>
      </c>
      <c r="NM107" s="57">
        <f t="shared" si="800"/>
        <v>0</v>
      </c>
      <c r="NN107" s="57">
        <f>IF(OR(AND(NB$6=1,$L107=0),AND(NB$6=2,$K107=2,$G107=1)),0,IF(AND(ND$9=2,(OR($F107&gt;1,$K107=1,AND($L107=80,OR($N107=1,AND($N107=2,'#BerechnungDBE'!$AL98&gt;0)))))),IF(NB$4&gt;=$AD$126,0,NL107),IF(ND$9=3,IF(OR(NB$4&gt;=$AD$127,AND($G107=1,$J107=2,NB$6=2),AND(NB$6=1,$N107&lt;&gt;1)),0,IF(NF107&lt;=120,NL107,IF(NB$4&lt;$AD$124,IF($F107=1,60/ND$4*ND$6,60/ND$4*ND$7),IF($F107=1,120/ND$4*ND$6,120/ND$4*ND$7)))),IF(OR($F107=3,$G107=2),IF(OR(AND(NB$4&gt;=$AD$119,$C107=2),AND(NB$4&gt;=$AF$119,$C107=1)),0,IF(NF107&lt;=60,NL107,60/ND$4*ND$7)),IF(AND($F107=2,$G107=1),NL107,0)))))</f>
        <v>0</v>
      </c>
      <c r="NO107" s="57" t="str">
        <f t="shared" si="635"/>
        <v/>
      </c>
      <c r="NP107" s="57" t="str">
        <f t="shared" si="636"/>
        <v/>
      </c>
      <c r="NQ107" s="713">
        <f>'org. Düngung 22'!CZ106</f>
        <v>0</v>
      </c>
      <c r="NR107" s="57"/>
      <c r="NS107" s="57"/>
      <c r="NT107" s="57">
        <f t="shared" si="637"/>
        <v>0</v>
      </c>
      <c r="NU107" s="57">
        <f t="shared" si="801"/>
        <v>0</v>
      </c>
      <c r="NV107" s="57">
        <f t="shared" si="802"/>
        <v>0</v>
      </c>
      <c r="NW107" s="57">
        <f t="shared" si="803"/>
        <v>0</v>
      </c>
      <c r="NX107" s="57">
        <f t="shared" si="804"/>
        <v>0</v>
      </c>
      <c r="NY107" s="1029">
        <f t="shared" si="638"/>
        <v>0</v>
      </c>
      <c r="NZ107" s="57">
        <f t="shared" si="639"/>
        <v>0</v>
      </c>
      <c r="OA107" s="171" t="str">
        <f t="shared" si="640"/>
        <v/>
      </c>
      <c r="OB107" s="57">
        <f t="shared" si="805"/>
        <v>0</v>
      </c>
      <c r="OC107" s="57">
        <f>IF(OR(AND(NQ$6=1,$L107=0),AND(NQ$6=2,$K107=2,$G107=1)),0,IF(AND(NS$9=2,(OR($F107&gt;1,$K107=1,AND($L107=80,OR($N107=1,AND($N107=2,'#BerechnungDBE'!$AL98&gt;0)))))),IF(NQ$4&gt;=$AD$126,0,OA107),IF(NS$9=3,IF(OR(NQ$4&gt;=$AD$127,AND($G107=1,$J107=2,NQ$6=2),AND(NQ$6=1,$N107&lt;&gt;1)),0,IF(NU107&lt;=120,OA107,IF(NQ$4&lt;$AD$124,IF($F107=1,60/NS$4*NS$6,60/NS$4*NS$7),IF($F107=1,120/NS$4*NS$6,120/NS$4*NS$7)))),IF(OR($F107=3,$G107=2),IF(OR(AND(NQ$4&gt;=$AD$119,$C107=2),AND(NQ$4&gt;=$AF$119,$C107=1)),0,IF(NU107&lt;=60,OA107,60/NS$4*NS$7)),IF(AND($F107=2,$G107=1),OA107,0)))))</f>
        <v>0</v>
      </c>
      <c r="OD107" s="57" t="str">
        <f t="shared" si="641"/>
        <v/>
      </c>
      <c r="OE107" s="57" t="str">
        <f t="shared" si="642"/>
        <v/>
      </c>
      <c r="OF107" s="713">
        <f>'org. Düngung 22'!DD106</f>
        <v>0</v>
      </c>
      <c r="OG107" s="57"/>
      <c r="OH107" s="57"/>
      <c r="OI107" s="57">
        <f t="shared" si="643"/>
        <v>0</v>
      </c>
      <c r="OJ107" s="57">
        <f t="shared" si="806"/>
        <v>0</v>
      </c>
      <c r="OK107" s="57">
        <f t="shared" si="807"/>
        <v>0</v>
      </c>
      <c r="OL107" s="57">
        <f t="shared" si="808"/>
        <v>0</v>
      </c>
      <c r="OM107" s="57">
        <f t="shared" si="809"/>
        <v>0</v>
      </c>
      <c r="ON107" s="1029">
        <f t="shared" si="644"/>
        <v>0</v>
      </c>
      <c r="OO107" s="57">
        <f t="shared" si="645"/>
        <v>0</v>
      </c>
      <c r="OP107" s="171" t="str">
        <f t="shared" si="646"/>
        <v/>
      </c>
      <c r="OQ107" s="57">
        <f t="shared" si="810"/>
        <v>0</v>
      </c>
      <c r="OR107" s="57">
        <f>IF(OR(AND(OF$6=1,$L107=0),AND(OF$6=2,$K107=2,$G107=1)),0,IF(AND(OH$9=2,(OR($F107&gt;1,$K107=1,AND($L107=80,OR($N107=1,AND($N107=2,'#BerechnungDBE'!$AL98&gt;0)))))),IF(OF$4&gt;=$AD$126,0,OP107),IF(OH$9=3,IF(OR(OF$4&gt;=$AD$127,AND($G107=1,$J107=2,OF$6=2),AND(OF$6=1,$N107&lt;&gt;1)),0,IF(OJ107&lt;=120,OP107,IF(OF$4&lt;$AD$124,IF($F107=1,60/OH$4*OH$6,60/OH$4*OH$7),IF($F107=1,120/OH$4*OH$6,120/OH$4*OH$7)))),IF(OR($F107=3,$G107=2),IF(OR(AND(OF$4&gt;=$AD$119,$C107=2),AND(OF$4&gt;=$AF$119,$C107=1)),0,IF(OJ107&lt;=60,OP107,60/OH$4*OH$7)),IF(AND($F107=2,$G107=1),OP107,0)))))</f>
        <v>0</v>
      </c>
      <c r="OS107" s="57" t="str">
        <f t="shared" si="647"/>
        <v/>
      </c>
      <c r="OT107" s="57" t="str">
        <f t="shared" si="648"/>
        <v/>
      </c>
      <c r="OU107" s="713">
        <f>'org. Düngung 22'!DH106</f>
        <v>0</v>
      </c>
      <c r="OV107" s="57"/>
      <c r="OW107" s="57"/>
      <c r="OX107" s="57">
        <f t="shared" si="649"/>
        <v>0</v>
      </c>
      <c r="OY107" s="57">
        <f t="shared" si="811"/>
        <v>0</v>
      </c>
      <c r="OZ107" s="57">
        <f t="shared" si="812"/>
        <v>0</v>
      </c>
      <c r="PA107" s="57">
        <f t="shared" si="813"/>
        <v>0</v>
      </c>
      <c r="PB107" s="57">
        <f t="shared" si="814"/>
        <v>0</v>
      </c>
      <c r="PC107" s="1029">
        <f t="shared" si="650"/>
        <v>0</v>
      </c>
      <c r="PD107" s="57">
        <f t="shared" si="651"/>
        <v>0</v>
      </c>
      <c r="PE107" s="171" t="str">
        <f t="shared" si="652"/>
        <v/>
      </c>
      <c r="PF107" s="57">
        <f t="shared" si="815"/>
        <v>0</v>
      </c>
      <c r="PG107" s="57">
        <f>IF(OR(AND(OU$6=1,$L107=0),AND(OU$6=2,$K107=2,$G107=1)),0,IF(AND(OW$9=2,(OR($F107&gt;1,$K107=1,AND($L107=80,OR($N107=1,AND($N107=2,'#BerechnungDBE'!$AL98&gt;0)))))),IF(OU$4&gt;=$AD$126,0,PE107),IF(OW$9=3,IF(OR(OU$4&gt;=$AD$127,AND($G107=1,$J107=2,OU$6=2),AND(OU$6=1,$N107&lt;&gt;1)),0,IF(OY107&lt;=120,PE107,IF(OU$4&lt;$AD$124,IF($F107=1,60/OW$4*OW$6,60/OW$4*OW$7),IF($F107=1,120/OW$4*OW$6,120/OW$4*OW$7)))),IF(OR($F107=3,$G107=2),IF(OR(AND(OU$4&gt;=$AD$119,$C107=2),AND(OU$4&gt;=$AF$119,$C107=1)),0,IF(OY107&lt;=60,PE107,60/OW$4*OW$7)),IF(AND($F107=2,$G107=1),PE107,0)))))</f>
        <v>0</v>
      </c>
      <c r="PH107" s="57" t="str">
        <f t="shared" si="653"/>
        <v/>
      </c>
      <c r="PI107" s="57" t="str">
        <f t="shared" si="654"/>
        <v/>
      </c>
      <c r="PJ107" s="713">
        <f>'org. Düngung 22'!DL106</f>
        <v>0</v>
      </c>
      <c r="PK107" s="57"/>
      <c r="PL107" s="57"/>
      <c r="PM107" s="57">
        <f t="shared" si="655"/>
        <v>0</v>
      </c>
      <c r="PN107" s="57">
        <f t="shared" si="816"/>
        <v>0</v>
      </c>
      <c r="PO107" s="57">
        <f t="shared" si="817"/>
        <v>0</v>
      </c>
      <c r="PP107" s="57">
        <f t="shared" si="818"/>
        <v>0</v>
      </c>
      <c r="PQ107" s="57">
        <f t="shared" si="819"/>
        <v>0</v>
      </c>
      <c r="PR107" s="1029">
        <f t="shared" si="656"/>
        <v>0</v>
      </c>
      <c r="PS107" s="57">
        <f t="shared" si="657"/>
        <v>0</v>
      </c>
      <c r="PT107" s="171" t="str">
        <f t="shared" si="658"/>
        <v/>
      </c>
      <c r="PU107" s="57">
        <f t="shared" si="820"/>
        <v>0</v>
      </c>
      <c r="PV107" s="57">
        <f>IF(OR(AND(PJ$6=1,$L107=0),AND(PJ$6=2,$K107=2,$G107=1)),0,IF(AND(PL$9=2,(OR($F107&gt;1,$K107=1,AND($L107=80,OR($N107=1,AND($N107=2,'#BerechnungDBE'!$AL98&gt;0)))))),IF(PJ$4&gt;=$AD$126,0,PT107),IF(PL$9=3,IF(OR(PJ$4&gt;=$AD$127,AND($G107=1,$J107=2,PJ$6=2),AND(PJ$6=1,$N107&lt;&gt;1)),0,IF(PN107&lt;=120,PT107,IF(PJ$4&lt;$AD$124,IF($F107=1,60/PL$4*PL$6,60/PL$4*PL$7),IF($F107=1,120/PL$4*PL$6,120/PL$4*PL$7)))),IF(OR($F107=3,$G107=2),IF(OR(AND(PJ$4&gt;=$AD$119,$C107=2),AND(PJ$4&gt;=$AF$119,$C107=1)),0,IF(PN107&lt;=60,PT107,60/PL$4*PL$7)),IF(AND($F107=2,$G107=1),PT107,0)))))</f>
        <v>0</v>
      </c>
      <c r="PW107" s="57" t="str">
        <f t="shared" si="659"/>
        <v/>
      </c>
      <c r="PX107" s="57" t="str">
        <f t="shared" si="660"/>
        <v/>
      </c>
      <c r="PY107" s="713">
        <f>'org. Düngung 22'!DP106</f>
        <v>0</v>
      </c>
      <c r="PZ107" s="57"/>
      <c r="QA107" s="57"/>
      <c r="QB107" s="57">
        <f t="shared" si="661"/>
        <v>0</v>
      </c>
      <c r="QC107" s="57">
        <f t="shared" si="821"/>
        <v>0</v>
      </c>
      <c r="QD107" s="57">
        <f t="shared" si="822"/>
        <v>0</v>
      </c>
      <c r="QE107" s="57">
        <f t="shared" si="823"/>
        <v>0</v>
      </c>
      <c r="QF107" s="57">
        <f t="shared" si="824"/>
        <v>0</v>
      </c>
      <c r="QG107" s="1029">
        <f t="shared" si="662"/>
        <v>0</v>
      </c>
      <c r="QH107" s="57">
        <f t="shared" si="663"/>
        <v>0</v>
      </c>
      <c r="QI107" s="171" t="str">
        <f t="shared" si="664"/>
        <v/>
      </c>
      <c r="QJ107" s="57">
        <f t="shared" si="825"/>
        <v>0</v>
      </c>
      <c r="QK107" s="57">
        <f>IF(OR(AND(PY$6=1,$L107=0),AND(PY$6=2,$K107=2,$G107=1)),0,IF(AND(QA$9=2,(OR($F107&gt;1,$K107=1,AND($L107=80,OR($N107=1,AND($N107=2,'#BerechnungDBE'!$AL98&gt;0)))))),IF(PY$4&gt;=$AD$126,0,QI107),IF(QA$9=3,IF(OR(PY$4&gt;=$AD$127,AND($G107=1,$J107=2,PY$6=2),AND(PY$6=1,$N107&lt;&gt;1)),0,IF(QC107&lt;=120,QI107,IF(PY$4&lt;$AD$124,IF($F107=1,60/QA$4*QA$6,60/QA$4*QA$7),IF($F107=1,120/QA$4*QA$6,120/QA$4*QA$7)))),IF(OR($F107=3,$G107=2),IF(OR(AND(PY$4&gt;=$AD$119,$C107=2),AND(PY$4&gt;=$AF$119,$C107=1)),0,IF(QC107&lt;=60,QI107,60/QA$4*QA$7)),IF(AND($F107=2,$G107=1),QI107,0)))))</f>
        <v>0</v>
      </c>
      <c r="QL107" s="57" t="str">
        <f t="shared" si="665"/>
        <v/>
      </c>
      <c r="QM107" s="57" t="str">
        <f t="shared" si="666"/>
        <v/>
      </c>
      <c r="QN107" s="713">
        <f>'org. Düngung 22'!DT106</f>
        <v>0</v>
      </c>
      <c r="QO107" s="57"/>
      <c r="QP107" s="57"/>
      <c r="QQ107" s="57">
        <f t="shared" si="667"/>
        <v>0</v>
      </c>
      <c r="QR107" s="57">
        <f t="shared" si="826"/>
        <v>0</v>
      </c>
      <c r="QS107" s="57">
        <f t="shared" si="827"/>
        <v>0</v>
      </c>
      <c r="QT107" s="57">
        <f t="shared" si="828"/>
        <v>0</v>
      </c>
      <c r="QU107" s="57">
        <f t="shared" si="829"/>
        <v>0</v>
      </c>
      <c r="QV107" s="1029">
        <f t="shared" si="668"/>
        <v>0</v>
      </c>
      <c r="QW107" s="57">
        <f t="shared" si="669"/>
        <v>0</v>
      </c>
      <c r="QX107" s="171" t="str">
        <f t="shared" si="670"/>
        <v/>
      </c>
      <c r="QY107" s="57">
        <f t="shared" si="830"/>
        <v>0</v>
      </c>
      <c r="QZ107" s="57">
        <f>IF(OR(AND(QN$6=1,$L107=0),AND(QN$6=2,$K107=2,$G107=1)),0,IF(AND(QP$9=2,(OR($F107&gt;1,$K107=1,AND($L107=80,OR($N107=1,AND($N107=2,'#BerechnungDBE'!$AL98&gt;0)))))),IF(QN$4&gt;=$AD$126,0,QX107),IF(QP$9=3,IF(OR(QN$4&gt;=$AD$127,AND($G107=1,$J107=2,QN$6=2),AND(QN$6=1,$N107&lt;&gt;1)),0,IF(QR107&lt;=120,QX107,IF(QN$4&lt;$AD$124,IF($F107=1,60/QP$4*QP$6,60/QP$4*QP$7),IF($F107=1,120/QP$4*QP$6,120/QP$4*QP$7)))),IF(OR($F107=3,$G107=2),IF(OR(AND(QN$4&gt;=$AD$119,$C107=2),AND(QN$4&gt;=$AF$119,$C107=1)),0,IF(QR107&lt;=60,QX107,60/QP$4*QP$7)),IF(AND($F107=2,$G107=1),QX107,0)))))</f>
        <v>0</v>
      </c>
      <c r="RA107" s="57" t="str">
        <f t="shared" si="671"/>
        <v/>
      </c>
      <c r="RB107" s="57" t="str">
        <f t="shared" si="672"/>
        <v/>
      </c>
      <c r="RC107" s="713">
        <f>'org. Düngung 22'!DX106</f>
        <v>0</v>
      </c>
      <c r="RD107" s="57"/>
      <c r="RE107" s="57"/>
      <c r="RF107" s="57">
        <f t="shared" si="673"/>
        <v>0</v>
      </c>
      <c r="RG107" s="57">
        <f t="shared" si="831"/>
        <v>0</v>
      </c>
      <c r="RH107" s="57">
        <f t="shared" si="832"/>
        <v>0</v>
      </c>
      <c r="RI107" s="57">
        <f t="shared" si="833"/>
        <v>0</v>
      </c>
      <c r="RJ107" s="57">
        <f t="shared" si="834"/>
        <v>0</v>
      </c>
      <c r="RK107" s="1029">
        <f t="shared" si="674"/>
        <v>0</v>
      </c>
      <c r="RL107" s="57">
        <f t="shared" si="675"/>
        <v>0</v>
      </c>
      <c r="RM107" s="171" t="str">
        <f t="shared" si="676"/>
        <v/>
      </c>
      <c r="RN107" s="57">
        <f t="shared" si="835"/>
        <v>0</v>
      </c>
      <c r="RO107" s="57">
        <f>IF(OR(AND(RC$6=1,$L107=0),AND(RC$6=2,$K107=2,$G107=1)),0,IF(AND(RE$9=2,(OR($F107&gt;1,$K107=1,AND($L107=80,OR($N107=1,AND($N107=2,'#BerechnungDBE'!$AL98&gt;0)))))),IF(RC$4&gt;=$AD$126,0,RM107),IF(RE$9=3,IF(OR(RC$4&gt;=$AD$127,AND($G107=1,$J107=2,RC$6=2),AND(RC$6=1,$N107&lt;&gt;1)),0,IF(RG107&lt;=120,RM107,IF(RC$4&lt;$AD$124,IF($F107=1,60/RE$4*RE$6,60/RE$4*RE$7),IF($F107=1,120/RE$4*RE$6,120/RE$4*RE$7)))),IF(OR($F107=3,$G107=2),IF(OR(AND(RC$4&gt;=$AD$119,$C107=2),AND(RC$4&gt;=$AF$119,$C107=1)),0,IF(RG107&lt;=60,RM107,60/RE$4*RE$7)),IF(AND($F107=2,$G107=1),RM107,0)))))</f>
        <v>0</v>
      </c>
      <c r="RP107" s="57" t="str">
        <f t="shared" si="677"/>
        <v/>
      </c>
      <c r="RQ107" s="57" t="str">
        <f t="shared" si="678"/>
        <v/>
      </c>
      <c r="RS107" s="57" t="str">
        <f t="shared" si="836"/>
        <v/>
      </c>
      <c r="RT107" s="57" t="str">
        <f t="shared" si="679"/>
        <v/>
      </c>
      <c r="RU107" s="57" t="str">
        <f t="shared" si="680"/>
        <v/>
      </c>
      <c r="RV107" s="57" t="str">
        <f>IF(Z107&gt;'#BerechnungDBE'!BM98,$RV$9,"")</f>
        <v/>
      </c>
      <c r="RW107" s="57" t="str">
        <f>IF(AND(L107=70,AE107&gt;'#BerechnungDBE'!CQ98),$RW$9,"")</f>
        <v/>
      </c>
      <c r="RX107" s="57" t="str">
        <f>IF(OR('org. Düngung 22'!G106="--",'org. Düngung 22'!G106&lt;=170,'org. Düngung 22'!G106=""),"",$RX$9)</f>
        <v/>
      </c>
      <c r="RY107" s="57" t="str">
        <f>IF('org. Düngung 22'!K106&gt;120,'#orgDung'!$RY$9,"")</f>
        <v/>
      </c>
      <c r="RZ107" s="57" t="str">
        <f>IF('#BerechnungDBE'!P98&lt;4,"",IF(AND('#BerechnungDBE'!BZ98&gt;0,T107&gt;0),'#orgDung'!$RZ$9,""))</f>
        <v/>
      </c>
      <c r="SA107" s="57" t="str">
        <f t="shared" si="681"/>
        <v/>
      </c>
    </row>
    <row r="108" spans="1:495" s="875" customFormat="1" x14ac:dyDescent="0.2">
      <c r="A108" s="875">
        <f>'Flächen u. Kulturen'!A104</f>
        <v>95</v>
      </c>
      <c r="B108" s="367">
        <f>'#BerechnungDBE'!L99</f>
        <v>0</v>
      </c>
      <c r="C108" s="875">
        <f>'#BerechnungDBE'!R99</f>
        <v>1</v>
      </c>
      <c r="D108" s="875">
        <f>'#BerechnungDBE'!T99</f>
        <v>2</v>
      </c>
      <c r="E108" s="875" t="str">
        <f>'Flächen u. Kulturen'!E104</f>
        <v>x</v>
      </c>
      <c r="F108" s="52">
        <f>'#BerechnungDBE'!N99</f>
        <v>1</v>
      </c>
      <c r="G108" s="52">
        <f>'#BerechnungDBE'!O99</f>
        <v>1</v>
      </c>
      <c r="H108" s="875">
        <f>IF('Flächen u. Kulturen'!P104="",0,VLOOKUP('Flächen u. Kulturen'!P104,Kulturen[[HF]:[Berechnungsgruppe]],'#Frucht'!$H$1,FALSE))</f>
        <v>0</v>
      </c>
      <c r="I108" s="875">
        <f>IF('Flächen u. Kulturen'!J104="",0,VLOOKUP('Flächen u. Kulturen'!J104,Kulturen[[HF]:[Berechnungsgruppe]],'#Frucht'!$G$1,FALSE))</f>
        <v>90</v>
      </c>
      <c r="J108" s="505">
        <f t="shared" si="682"/>
        <v>2</v>
      </c>
      <c r="K108" s="505">
        <f>IF('Flächen u. Kulturen'!P104="",0,IF(VLOOKUP('Flächen u. Kulturen'!P104,Kulturen[[HF]:[Saat Winterungen]],'#Frucht'!$P$1,FALSE)&gt;0,1,2))</f>
        <v>2</v>
      </c>
      <c r="L108" s="875">
        <f>'#BerechnungDBE'!AF99</f>
        <v>0</v>
      </c>
      <c r="M108" s="875">
        <f>IF('Flächen u. Kulturen'!L104="",0,VLOOKUP('Flächen u. Kulturen'!L104,Nebenkultur[[Nebenkultur]:[Legum. Zwischenfr.]],'#Zweitfr'!$K$1,FALSE))</f>
        <v>0</v>
      </c>
      <c r="N108" s="875">
        <f>'#BerechnungDBE'!AG99</f>
        <v>0</v>
      </c>
      <c r="P108" s="57">
        <f t="shared" si="489"/>
        <v>0</v>
      </c>
      <c r="Q108" s="57">
        <f t="shared" si="490"/>
        <v>0</v>
      </c>
      <c r="R108" s="875">
        <f t="shared" si="491"/>
        <v>0</v>
      </c>
      <c r="S108" s="938" t="str">
        <f t="shared" si="683"/>
        <v/>
      </c>
      <c r="T108" s="875">
        <f t="shared" si="492"/>
        <v>0</v>
      </c>
      <c r="U108" s="875">
        <f t="shared" si="493"/>
        <v>0</v>
      </c>
      <c r="V108" s="875">
        <f t="shared" si="494"/>
        <v>0</v>
      </c>
      <c r="W108" s="875">
        <f t="shared" si="495"/>
        <v>0</v>
      </c>
      <c r="X108" s="875">
        <f t="shared" si="496"/>
        <v>0</v>
      </c>
      <c r="Y108" s="875">
        <f t="shared" si="837"/>
        <v>0</v>
      </c>
      <c r="Z108" s="875">
        <f t="shared" si="838"/>
        <v>0</v>
      </c>
      <c r="AA108" s="910">
        <f t="shared" si="497"/>
        <v>0</v>
      </c>
      <c r="AB108" s="57">
        <f t="shared" si="839"/>
        <v>0</v>
      </c>
      <c r="AC108" s="875">
        <f t="shared" si="498"/>
        <v>0</v>
      </c>
      <c r="AD108" s="875">
        <f t="shared" si="499"/>
        <v>0</v>
      </c>
      <c r="AE108" s="875">
        <f t="shared" si="500"/>
        <v>0</v>
      </c>
      <c r="AF108" s="875">
        <f t="shared" si="840"/>
        <v>0</v>
      </c>
      <c r="AG108" s="875">
        <f>'org. Düngung 22'!J107</f>
        <v>0</v>
      </c>
      <c r="AH108" s="875">
        <f>'org. Düngung 22'!K107</f>
        <v>0</v>
      </c>
      <c r="AJ108" s="713">
        <f>'org. Düngung 22'!L107</f>
        <v>0</v>
      </c>
      <c r="AK108" s="57"/>
      <c r="AL108" s="57"/>
      <c r="AM108" s="57">
        <f t="shared" si="684"/>
        <v>0</v>
      </c>
      <c r="AN108" s="57">
        <f t="shared" si="685"/>
        <v>0</v>
      </c>
      <c r="AO108" s="57">
        <f t="shared" si="686"/>
        <v>0</v>
      </c>
      <c r="AP108" s="57">
        <f t="shared" si="687"/>
        <v>0</v>
      </c>
      <c r="AQ108" s="57">
        <f t="shared" si="688"/>
        <v>0</v>
      </c>
      <c r="AR108" s="1029">
        <f t="shared" si="501"/>
        <v>0</v>
      </c>
      <c r="AS108" s="57">
        <f t="shared" si="502"/>
        <v>0</v>
      </c>
      <c r="AT108" s="171" t="str">
        <f t="shared" si="503"/>
        <v/>
      </c>
      <c r="AU108" s="57">
        <f t="shared" si="689"/>
        <v>0</v>
      </c>
      <c r="AV108" s="57">
        <f>IF(OR(AND(AJ$6=1,$L108=0),AND(AJ$6=2,$K108=2,$G108=1)),0,IF(AND(AL$9=2,(OR($F108&gt;1,$K108=1,AND($L108=80,OR($N108=1,AND($N108=2,'#BerechnungDBE'!$AL99&gt;0)))))),IF(AJ$4&gt;=$AD$126,0,AT108),IF(AL$9=3,IF(OR(AJ$4&gt;=$AD$127,AND($G108=1,$J108=2,AJ$6=2),AND(AJ$6=1,$N108&lt;&gt;1)),0,IF(AN108&lt;=120,AT108,IF(AJ$4&lt;$AD$124,IF($F108=1,60/AL$4*AL$6,60/AL$4*AL$7),IF($F108=1,120/AL$4*AL$6,120/AL$4*AL$7)))),IF(OR($F108=3,$G108=2),IF(OR(AND(AJ$4&gt;=$AD$119,$C108=2),AND(AJ$4&gt;=$AF$119,$C108=1)),0,IF(AN108&lt;=60,AT108,60/AL$4*AL$7)),IF(AND($F108=2,$G108=1),AT108,0)))))</f>
        <v>0</v>
      </c>
      <c r="AW108" s="57" t="str">
        <f t="shared" si="690"/>
        <v/>
      </c>
      <c r="AX108" s="57" t="str">
        <f t="shared" si="504"/>
        <v/>
      </c>
      <c r="AY108" s="713">
        <f>'org. Düngung 22'!P107</f>
        <v>0</v>
      </c>
      <c r="AZ108" s="57"/>
      <c r="BA108" s="57"/>
      <c r="BB108" s="57">
        <f t="shared" si="505"/>
        <v>0</v>
      </c>
      <c r="BC108" s="57">
        <f t="shared" si="691"/>
        <v>0</v>
      </c>
      <c r="BD108" s="57">
        <f t="shared" si="692"/>
        <v>0</v>
      </c>
      <c r="BE108" s="57">
        <f t="shared" si="693"/>
        <v>0</v>
      </c>
      <c r="BF108" s="57">
        <f t="shared" si="694"/>
        <v>0</v>
      </c>
      <c r="BG108" s="1029">
        <f t="shared" si="506"/>
        <v>0</v>
      </c>
      <c r="BH108" s="57">
        <f t="shared" si="507"/>
        <v>0</v>
      </c>
      <c r="BI108" s="171" t="str">
        <f t="shared" si="508"/>
        <v/>
      </c>
      <c r="BJ108" s="57">
        <f t="shared" si="695"/>
        <v>0</v>
      </c>
      <c r="BK108" s="57">
        <f>IF(OR(AND(AY$6=1,$L108=0),AND(AY$6=2,$K108=2,$G108=1)),0,IF(AND(BA$9=2,(OR($F108&gt;1,$K108=1,AND($L108=80,OR($N108=1,AND($N108=2,'#BerechnungDBE'!$AL99&gt;0)))))),IF(AY$4&gt;=$AD$126,0,BI108),IF(BA$9=3,IF(OR(AY$4&gt;=$AD$127,AND($G108=1,$J108=2,AY$6=2),AND(AY$6=1,$N108&lt;&gt;1)),0,IF(BC108&lt;=120,BI108,IF(AY$4&lt;$AD$124,IF($F108=1,60/BA$4*BA$6,60/BA$4*BA$7),IF($F108=1,120/BA$4*BA$6,120/BA$4*BA$7)))),IF(OR($F108=3,$G108=2),IF(OR(AND(AY$4&gt;=$AD$119,$C108=2),AND(AY$4&gt;=$AF$119,$C108=1)),0,IF(BC108&lt;=60,BI108,60/BA$4*BA$7)),IF(AND($F108=2,$G108=1),BI108,0)))))</f>
        <v>0</v>
      </c>
      <c r="BL108" s="57" t="str">
        <f t="shared" si="509"/>
        <v/>
      </c>
      <c r="BM108" s="57" t="str">
        <f t="shared" si="510"/>
        <v/>
      </c>
      <c r="BN108" s="713">
        <f>'org. Düngung 22'!T107</f>
        <v>0</v>
      </c>
      <c r="BO108" s="57"/>
      <c r="BP108" s="57"/>
      <c r="BQ108" s="57">
        <f t="shared" si="511"/>
        <v>0</v>
      </c>
      <c r="BR108" s="57">
        <f t="shared" si="696"/>
        <v>0</v>
      </c>
      <c r="BS108" s="57">
        <f t="shared" si="697"/>
        <v>0</v>
      </c>
      <c r="BT108" s="57">
        <f t="shared" si="698"/>
        <v>0</v>
      </c>
      <c r="BU108" s="57">
        <f t="shared" si="699"/>
        <v>0</v>
      </c>
      <c r="BV108" s="1029">
        <f t="shared" si="512"/>
        <v>0</v>
      </c>
      <c r="BW108" s="57">
        <f t="shared" si="513"/>
        <v>0</v>
      </c>
      <c r="BX108" s="171" t="str">
        <f t="shared" si="514"/>
        <v/>
      </c>
      <c r="BY108" s="57">
        <f t="shared" si="700"/>
        <v>0</v>
      </c>
      <c r="BZ108" s="57">
        <f>IF(OR(AND(BN$6=1,$L108=0),AND(BN$6=2,$K108=2,$G108=1)),0,IF(AND(BP$9=2,(OR($F108&gt;1,$K108=1,AND($L108=80,OR($N108=1,AND($N108=2,'#BerechnungDBE'!$AL99&gt;0)))))),IF(BN$4&gt;=$AD$126,0,BX108),IF(BP$9=3,IF(OR(BN$4&gt;=$AD$127,AND($G108=1,$J108=2,BN$6=2),AND(BN$6=1,$N108&lt;&gt;1)),0,IF(BR108&lt;=120,BX108,IF(BN$4&lt;$AD$124,IF($F108=1,60/BP$4*BP$6,60/BP$4*BP$7),IF($F108=1,120/BP$4*BP$6,120/BP$4*BP$7)))),IF(OR($F108=3,$G108=2),IF(OR(AND(BN$4&gt;=$AD$119,$C108=2),AND(BN$4&gt;=$AF$119,$C108=1)),0,IF(BR108&lt;=60,BX108,60/BP$4*BP$7)),IF(AND($F108=2,$G108=1),BX108,0)))))</f>
        <v>0</v>
      </c>
      <c r="CA108" s="57" t="str">
        <f t="shared" si="515"/>
        <v/>
      </c>
      <c r="CB108" s="57" t="str">
        <f t="shared" si="516"/>
        <v/>
      </c>
      <c r="CC108" s="713">
        <f>'org. Düngung 22'!X107</f>
        <v>0</v>
      </c>
      <c r="CD108" s="57"/>
      <c r="CE108" s="57"/>
      <c r="CF108" s="57">
        <f t="shared" si="517"/>
        <v>0</v>
      </c>
      <c r="CG108" s="57">
        <f t="shared" si="701"/>
        <v>0</v>
      </c>
      <c r="CH108" s="57">
        <f t="shared" si="702"/>
        <v>0</v>
      </c>
      <c r="CI108" s="57">
        <f t="shared" si="703"/>
        <v>0</v>
      </c>
      <c r="CJ108" s="57">
        <f t="shared" si="704"/>
        <v>0</v>
      </c>
      <c r="CK108" s="1029">
        <f t="shared" si="518"/>
        <v>0</v>
      </c>
      <c r="CL108" s="57">
        <f t="shared" si="519"/>
        <v>0</v>
      </c>
      <c r="CM108" s="171" t="str">
        <f t="shared" si="520"/>
        <v/>
      </c>
      <c r="CN108" s="57">
        <f t="shared" si="705"/>
        <v>0</v>
      </c>
      <c r="CO108" s="57">
        <f>IF(OR(AND(CC$6=1,$L108=0),AND(CC$6=2,$K108=2,$G108=1)),0,IF(AND(CE$9=2,(OR($F108&gt;1,$K108=1,AND($L108=80,OR($N108=1,AND($N108=2,'#BerechnungDBE'!$AL99&gt;0)))))),IF(CC$4&gt;=$AD$126,0,CM108),IF(CE$9=3,IF(OR(CC$4&gt;=$AD$127,AND($G108=1,$J108=2,CC$6=2),AND(CC$6=1,$N108&lt;&gt;1)),0,IF(CG108&lt;=120,CM108,IF(CC$4&lt;$AD$124,IF($F108=1,60/CE$4*CE$6,60/CE$4*CE$7),IF($F108=1,120/CE$4*CE$6,120/CE$4*CE$7)))),IF(OR($F108=3,$G108=2),IF(OR(AND(CC$4&gt;=$AD$119,$C108=2),AND(CC$4&gt;=$AF$119,$C108=1)),0,IF(CG108&lt;=60,CM108,60/CE$4*CE$7)),IF(AND($F108=2,$G108=1),CM108,0)))))</f>
        <v>0</v>
      </c>
      <c r="CP108" s="57" t="str">
        <f t="shared" si="521"/>
        <v/>
      </c>
      <c r="CQ108" s="57" t="str">
        <f t="shared" si="522"/>
        <v/>
      </c>
      <c r="CR108" s="713">
        <f>'org. Düngung 22'!AB107</f>
        <v>0</v>
      </c>
      <c r="CS108" s="57"/>
      <c r="CT108" s="57"/>
      <c r="CU108" s="57">
        <f t="shared" si="523"/>
        <v>0</v>
      </c>
      <c r="CV108" s="57">
        <f t="shared" si="706"/>
        <v>0</v>
      </c>
      <c r="CW108" s="57">
        <f t="shared" si="707"/>
        <v>0</v>
      </c>
      <c r="CX108" s="57">
        <f t="shared" si="708"/>
        <v>0</v>
      </c>
      <c r="CY108" s="57">
        <f t="shared" si="709"/>
        <v>0</v>
      </c>
      <c r="CZ108" s="1029">
        <f t="shared" si="524"/>
        <v>0</v>
      </c>
      <c r="DA108" s="57">
        <f t="shared" si="525"/>
        <v>0</v>
      </c>
      <c r="DB108" s="171" t="str">
        <f t="shared" si="526"/>
        <v/>
      </c>
      <c r="DC108" s="57">
        <f t="shared" si="710"/>
        <v>0</v>
      </c>
      <c r="DD108" s="57">
        <f>IF(OR(AND(CR$6=1,$L108=0),AND(CR$6=2,$K108=2,$G108=1)),0,IF(AND(CT$9=2,(OR($F108&gt;1,$K108=1,AND($L108=80,OR($N108=1,AND($N108=2,'#BerechnungDBE'!$AL99&gt;0)))))),IF(CR$4&gt;=$AD$126,0,DB108),IF(CT$9=3,IF(OR(CR$4&gt;=$AD$127,AND($G108=1,$J108=2,CR$6=2),AND(CR$6=1,$N108&lt;&gt;1)),0,IF(CV108&lt;=120,DB108,IF(CR$4&lt;$AD$124,IF($F108=1,60/CT$4*CT$6,60/CT$4*CT$7),IF($F108=1,120/CT$4*CT$6,120/CT$4*CT$7)))),IF(OR($F108=3,$G108=2),IF(OR(AND(CR$4&gt;=$AD$119,$C108=2),AND(CR$4&gt;=$AF$119,$C108=1)),0,IF(CV108&lt;=60,DB108,60/CT$4*CT$7)),IF(AND($F108=2,$G108=1),DB108,0)))))</f>
        <v>0</v>
      </c>
      <c r="DE108" s="57" t="str">
        <f t="shared" si="527"/>
        <v/>
      </c>
      <c r="DF108" s="57" t="str">
        <f t="shared" si="528"/>
        <v/>
      </c>
      <c r="DG108" s="713">
        <f>'org. Düngung 22'!AF107</f>
        <v>0</v>
      </c>
      <c r="DH108" s="57"/>
      <c r="DI108" s="57"/>
      <c r="DJ108" s="57">
        <f t="shared" si="529"/>
        <v>0</v>
      </c>
      <c r="DK108" s="57">
        <f t="shared" si="711"/>
        <v>0</v>
      </c>
      <c r="DL108" s="57">
        <f t="shared" si="712"/>
        <v>0</v>
      </c>
      <c r="DM108" s="57">
        <f t="shared" si="713"/>
        <v>0</v>
      </c>
      <c r="DN108" s="57">
        <f t="shared" si="714"/>
        <v>0</v>
      </c>
      <c r="DO108" s="1029">
        <f t="shared" si="530"/>
        <v>0</v>
      </c>
      <c r="DP108" s="57">
        <f t="shared" si="531"/>
        <v>0</v>
      </c>
      <c r="DQ108" s="171" t="str">
        <f t="shared" si="532"/>
        <v/>
      </c>
      <c r="DR108" s="57">
        <f t="shared" si="715"/>
        <v>0</v>
      </c>
      <c r="DS108" s="57">
        <f>IF(OR(AND(DG$6=1,$L108=0),AND(DG$6=2,$K108=2,$G108=1)),0,IF(AND(DI$9=2,(OR($F108&gt;1,$K108=1,AND($L108=80,OR($N108=1,AND($N108=2,'#BerechnungDBE'!$AL99&gt;0)))))),IF(DG$4&gt;=$AD$126,0,DQ108),IF(DI$9=3,IF(OR(DG$4&gt;=$AD$127,AND($G108=1,$J108=2,DG$6=2),AND(DG$6=1,$N108&lt;&gt;1)),0,IF(DK108&lt;=120,DQ108,IF(DG$4&lt;$AD$124,IF($F108=1,60/DI$4*DI$6,60/DI$4*DI$7),IF($F108=1,120/DI$4*DI$6,120/DI$4*DI$7)))),IF(OR($F108=3,$G108=2),IF(OR(AND(DG$4&gt;=$AD$119,$C108=2),AND(DG$4&gt;=$AF$119,$C108=1)),0,IF(DK108&lt;=60,DQ108,60/DI$4*DI$7)),IF(AND($F108=2,$G108=1),DQ108,0)))))</f>
        <v>0</v>
      </c>
      <c r="DT108" s="57" t="str">
        <f t="shared" si="533"/>
        <v/>
      </c>
      <c r="DU108" s="57" t="str">
        <f t="shared" si="534"/>
        <v/>
      </c>
      <c r="DV108" s="713">
        <f>'org. Düngung 22'!AJ107</f>
        <v>0</v>
      </c>
      <c r="DW108" s="57"/>
      <c r="DX108" s="57"/>
      <c r="DY108" s="57">
        <f t="shared" si="535"/>
        <v>0</v>
      </c>
      <c r="DZ108" s="57">
        <f t="shared" si="716"/>
        <v>0</v>
      </c>
      <c r="EA108" s="57">
        <f t="shared" si="717"/>
        <v>0</v>
      </c>
      <c r="EB108" s="57">
        <f t="shared" si="718"/>
        <v>0</v>
      </c>
      <c r="EC108" s="57">
        <f t="shared" si="719"/>
        <v>0</v>
      </c>
      <c r="ED108" s="1029">
        <f t="shared" si="536"/>
        <v>0</v>
      </c>
      <c r="EE108" s="57">
        <f t="shared" si="537"/>
        <v>0</v>
      </c>
      <c r="EF108" s="171" t="str">
        <f t="shared" si="538"/>
        <v/>
      </c>
      <c r="EG108" s="57">
        <f t="shared" si="720"/>
        <v>0</v>
      </c>
      <c r="EH108" s="57">
        <f>IF(OR(AND(DV$6=1,$L108=0),AND(DV$6=2,$K108=2,$G108=1)),0,IF(AND(DX$9=2,(OR($F108&gt;1,$K108=1,AND($L108=80,OR($N108=1,AND($N108=2,'#BerechnungDBE'!$AL99&gt;0)))))),IF(DV$4&gt;=$AD$126,0,EF108),IF(DX$9=3,IF(OR(DV$4&gt;=$AD$127,AND($G108=1,$J108=2,DV$6=2),AND(DV$6=1,$N108&lt;&gt;1)),0,IF(DZ108&lt;=120,EF108,IF(DV$4&lt;$AD$124,IF($F108=1,60/DX$4*DX$6,60/DX$4*DX$7),IF($F108=1,120/DX$4*DX$6,120/DX$4*DX$7)))),IF(OR($F108=3,$G108=2),IF(OR(AND(DV$4&gt;=$AD$119,$C108=2),AND(DV$4&gt;=$AF$119,$C108=1)),0,IF(DZ108&lt;=60,EF108,60/DX$4*DX$7)),IF(AND($F108=2,$G108=1),EF108,0)))))</f>
        <v>0</v>
      </c>
      <c r="EI108" s="57" t="str">
        <f t="shared" si="539"/>
        <v/>
      </c>
      <c r="EJ108" s="57" t="str">
        <f t="shared" si="540"/>
        <v/>
      </c>
      <c r="EK108" s="713">
        <f>'org. Düngung 22'!AN107</f>
        <v>0</v>
      </c>
      <c r="EL108" s="57"/>
      <c r="EM108" s="57"/>
      <c r="EN108" s="57">
        <f t="shared" si="541"/>
        <v>0</v>
      </c>
      <c r="EO108" s="57">
        <f t="shared" si="721"/>
        <v>0</v>
      </c>
      <c r="EP108" s="57">
        <f t="shared" si="722"/>
        <v>0</v>
      </c>
      <c r="EQ108" s="57">
        <f t="shared" si="723"/>
        <v>0</v>
      </c>
      <c r="ER108" s="57">
        <f t="shared" si="724"/>
        <v>0</v>
      </c>
      <c r="ES108" s="1029">
        <f t="shared" si="542"/>
        <v>0</v>
      </c>
      <c r="ET108" s="57">
        <f t="shared" si="543"/>
        <v>0</v>
      </c>
      <c r="EU108" s="171" t="str">
        <f t="shared" si="544"/>
        <v/>
      </c>
      <c r="EV108" s="57">
        <f t="shared" si="725"/>
        <v>0</v>
      </c>
      <c r="EW108" s="57">
        <f>IF(OR(AND(EK$6=1,$L108=0),AND(EK$6=2,$K108=2,$G108=1)),0,IF(AND(EM$9=2,(OR($F108&gt;1,$K108=1,AND($L108=80,OR($N108=1,AND($N108=2,'#BerechnungDBE'!$AL99&gt;0)))))),IF(EK$4&gt;=$AD$126,0,EU108),IF(EM$9=3,IF(OR(EK$4&gt;=$AD$127,AND($G108=1,$J108=2,EK$6=2),AND(EK$6=1,$N108&lt;&gt;1)),0,IF(EO108&lt;=120,EU108,IF(EK$4&lt;$AD$124,IF($F108=1,60/EM$4*EM$6,60/EM$4*EM$7),IF($F108=1,120/EM$4*EM$6,120/EM$4*EM$7)))),IF(OR($F108=3,$G108=2),IF(OR(AND(EK$4&gt;=$AD$119,$C108=2),AND(EK$4&gt;=$AF$119,$C108=1)),0,IF(EO108&lt;=60,EU108,60/EM$4*EM$7)),IF(AND($F108=2,$G108=1),EU108,0)))))</f>
        <v>0</v>
      </c>
      <c r="EX108" s="57" t="str">
        <f t="shared" si="545"/>
        <v/>
      </c>
      <c r="EY108" s="57" t="str">
        <f t="shared" si="546"/>
        <v/>
      </c>
      <c r="EZ108" s="713">
        <f>'org. Düngung 22'!AR107</f>
        <v>0</v>
      </c>
      <c r="FA108" s="57"/>
      <c r="FB108" s="57"/>
      <c r="FC108" s="57">
        <f t="shared" si="547"/>
        <v>0</v>
      </c>
      <c r="FD108" s="57">
        <f t="shared" si="726"/>
        <v>0</v>
      </c>
      <c r="FE108" s="57">
        <f t="shared" si="727"/>
        <v>0</v>
      </c>
      <c r="FF108" s="57">
        <f t="shared" si="728"/>
        <v>0</v>
      </c>
      <c r="FG108" s="57">
        <f t="shared" si="729"/>
        <v>0</v>
      </c>
      <c r="FH108" s="1029">
        <f t="shared" si="548"/>
        <v>0</v>
      </c>
      <c r="FI108" s="57">
        <f t="shared" si="549"/>
        <v>0</v>
      </c>
      <c r="FJ108" s="171" t="str">
        <f t="shared" si="550"/>
        <v/>
      </c>
      <c r="FK108" s="57">
        <f t="shared" si="730"/>
        <v>0</v>
      </c>
      <c r="FL108" s="57">
        <f>IF(OR(AND(EZ$6=1,$L108=0),AND(EZ$6=2,$K108=2,$G108=1)),0,IF(AND(FB$9=2,(OR($F108&gt;1,$K108=1,AND($L108=80,OR($N108=1,AND($N108=2,'#BerechnungDBE'!$AL99&gt;0)))))),IF(EZ$4&gt;=$AD$126,0,FJ108),IF(FB$9=3,IF(OR(EZ$4&gt;=$AD$127,AND($G108=1,$J108=2,EZ$6=2),AND(EZ$6=1,$N108&lt;&gt;1)),0,IF(FD108&lt;=120,FJ108,IF(EZ$4&lt;$AD$124,IF($F108=1,60/FB$4*FB$6,60/FB$4*FB$7),IF($F108=1,120/FB$4*FB$6,120/FB$4*FB$7)))),IF(OR($F108=3,$G108=2),IF(OR(AND(EZ$4&gt;=$AD$119,$C108=2),AND(EZ$4&gt;=$AF$119,$C108=1)),0,IF(FD108&lt;=60,FJ108,60/FB$4*FB$7)),IF(AND($F108=2,$G108=1),FJ108,0)))))</f>
        <v>0</v>
      </c>
      <c r="FM108" s="57" t="str">
        <f t="shared" si="551"/>
        <v/>
      </c>
      <c r="FN108" s="57" t="str">
        <f t="shared" si="552"/>
        <v/>
      </c>
      <c r="FO108" s="713">
        <f>'org. Düngung 22'!AV107</f>
        <v>0</v>
      </c>
      <c r="FP108" s="57"/>
      <c r="FQ108" s="57"/>
      <c r="FR108" s="57">
        <f t="shared" si="553"/>
        <v>0</v>
      </c>
      <c r="FS108" s="57">
        <f t="shared" si="731"/>
        <v>0</v>
      </c>
      <c r="FT108" s="57">
        <f t="shared" si="732"/>
        <v>0</v>
      </c>
      <c r="FU108" s="57">
        <f t="shared" si="733"/>
        <v>0</v>
      </c>
      <c r="FV108" s="57">
        <f t="shared" si="734"/>
        <v>0</v>
      </c>
      <c r="FW108" s="1029">
        <f t="shared" si="554"/>
        <v>0</v>
      </c>
      <c r="FX108" s="57">
        <f t="shared" si="555"/>
        <v>0</v>
      </c>
      <c r="FY108" s="171" t="str">
        <f t="shared" si="556"/>
        <v/>
      </c>
      <c r="FZ108" s="57">
        <f t="shared" si="735"/>
        <v>0</v>
      </c>
      <c r="GA108" s="57">
        <f>IF(OR(AND(FO$6=1,$L108=0),AND(FO$6=2,$K108=2,$G108=1)),0,IF(AND(FQ$9=2,(OR($F108&gt;1,$K108=1,AND($L108=80,OR($N108=1,AND($N108=2,'#BerechnungDBE'!$AL99&gt;0)))))),IF(FO$4&gt;=$AD$126,0,FY108),IF(FQ$9=3,IF(OR(FO$4&gt;=$AD$127,AND($G108=1,$J108=2,FO$6=2),AND(FO$6=1,$N108&lt;&gt;1)),0,IF(FS108&lt;=120,FY108,IF(FO$4&lt;$AD$124,IF($F108=1,60/FQ$4*FQ$6,60/FQ$4*FQ$7),IF($F108=1,120/FQ$4*FQ$6,120/FQ$4*FQ$7)))),IF(OR($F108=3,$G108=2),IF(OR(AND(FO$4&gt;=$AD$119,$C108=2),AND(FO$4&gt;=$AF$119,$C108=1)),0,IF(FS108&lt;=60,FY108,60/FQ$4*FQ$7)),IF(AND($F108=2,$G108=1),FY108,0)))))</f>
        <v>0</v>
      </c>
      <c r="GB108" s="57" t="str">
        <f t="shared" si="557"/>
        <v/>
      </c>
      <c r="GC108" s="57" t="str">
        <f t="shared" si="558"/>
        <v/>
      </c>
      <c r="GD108" s="713">
        <f>'org. Düngung 22'!AZ107</f>
        <v>0</v>
      </c>
      <c r="GE108" s="57"/>
      <c r="GF108" s="57"/>
      <c r="GG108" s="57">
        <f t="shared" si="559"/>
        <v>0</v>
      </c>
      <c r="GH108" s="57">
        <f t="shared" si="736"/>
        <v>0</v>
      </c>
      <c r="GI108" s="57">
        <f t="shared" si="737"/>
        <v>0</v>
      </c>
      <c r="GJ108" s="57">
        <f t="shared" si="738"/>
        <v>0</v>
      </c>
      <c r="GK108" s="57">
        <f t="shared" si="739"/>
        <v>0</v>
      </c>
      <c r="GL108" s="1029">
        <f t="shared" si="560"/>
        <v>0</v>
      </c>
      <c r="GM108" s="57">
        <f t="shared" si="561"/>
        <v>0</v>
      </c>
      <c r="GN108" s="171" t="str">
        <f t="shared" si="562"/>
        <v/>
      </c>
      <c r="GO108" s="57">
        <f t="shared" si="740"/>
        <v>0</v>
      </c>
      <c r="GP108" s="57">
        <f>IF(OR(AND(GD$6=1,$L108=0),AND(GD$6=2,$K108=2,$G108=1)),0,IF(AND(GF$9=2,(OR($F108&gt;1,$K108=1,AND($L108=80,OR($N108=1,AND($N108=2,'#BerechnungDBE'!$AL99&gt;0)))))),IF(GD$4&gt;=$AD$126,0,GN108),IF(GF$9=3,IF(OR(GD$4&gt;=$AD$127,AND($G108=1,$J108=2,GD$6=2),AND(GD$6=1,$N108&lt;&gt;1)),0,IF(GH108&lt;=120,GN108,IF(GD$4&lt;$AD$124,IF($F108=1,60/GF$4*GF$6,60/GF$4*GF$7),IF($F108=1,120/GF$4*GF$6,120/GF$4*GF$7)))),IF(OR($F108=3,$G108=2),IF(OR(AND(GD$4&gt;=$AD$119,$C108=2),AND(GD$4&gt;=$AF$119,$C108=1)),0,IF(GH108&lt;=60,GN108,60/GF$4*GF$7)),IF(AND($F108=2,$G108=1),GN108,0)))))</f>
        <v>0</v>
      </c>
      <c r="GQ108" s="57" t="str">
        <f t="shared" si="563"/>
        <v/>
      </c>
      <c r="GR108" s="57" t="str">
        <f t="shared" si="564"/>
        <v/>
      </c>
      <c r="GS108" s="713">
        <f>'org. Düngung 22'!BD107</f>
        <v>0</v>
      </c>
      <c r="GT108" s="57"/>
      <c r="GU108" s="57"/>
      <c r="GV108" s="57">
        <f t="shared" si="565"/>
        <v>0</v>
      </c>
      <c r="GW108" s="57">
        <f t="shared" si="741"/>
        <v>0</v>
      </c>
      <c r="GX108" s="57">
        <f t="shared" si="742"/>
        <v>0</v>
      </c>
      <c r="GY108" s="57">
        <f t="shared" si="743"/>
        <v>0</v>
      </c>
      <c r="GZ108" s="57">
        <f t="shared" si="744"/>
        <v>0</v>
      </c>
      <c r="HA108" s="1029">
        <f t="shared" si="566"/>
        <v>0</v>
      </c>
      <c r="HB108" s="57">
        <f t="shared" si="567"/>
        <v>0</v>
      </c>
      <c r="HC108" s="171" t="str">
        <f t="shared" si="568"/>
        <v/>
      </c>
      <c r="HD108" s="57">
        <f t="shared" si="745"/>
        <v>0</v>
      </c>
      <c r="HE108" s="57">
        <f>IF(OR(AND(GS$6=1,$L108=0),AND(GS$6=2,$K108=2,$G108=1)),0,IF(AND(GU$9=2,(OR($F108&gt;1,$K108=1,AND($L108=80,OR($N108=1,AND($N108=2,'#BerechnungDBE'!$AL99&gt;0)))))),IF(GS$4&gt;=$AD$126,0,HC108),IF(GU$9=3,IF(OR(GS$4&gt;=$AD$127,AND($G108=1,$J108=2,GS$6=2),AND(GS$6=1,$N108&lt;&gt;1)),0,IF(GW108&lt;=120,HC108,IF(GS$4&lt;$AD$124,IF($F108=1,60/GU$4*GU$6,60/GU$4*GU$7),IF($F108=1,120/GU$4*GU$6,120/GU$4*GU$7)))),IF(OR($F108=3,$G108=2),IF(OR(AND(GS$4&gt;=$AD$119,$C108=2),AND(GS$4&gt;=$AF$119,$C108=1)),0,IF(GW108&lt;=60,HC108,60/GU$4*GU$7)),IF(AND($F108=2,$G108=1),HC108,0)))))</f>
        <v>0</v>
      </c>
      <c r="HF108" s="57" t="str">
        <f t="shared" si="569"/>
        <v/>
      </c>
      <c r="HG108" s="57" t="str">
        <f t="shared" si="570"/>
        <v/>
      </c>
      <c r="HH108" s="713">
        <f>'org. Düngung 22'!BH107</f>
        <v>0</v>
      </c>
      <c r="HI108" s="57"/>
      <c r="HJ108" s="57"/>
      <c r="HK108" s="57">
        <f t="shared" si="571"/>
        <v>0</v>
      </c>
      <c r="HL108" s="57">
        <f t="shared" si="746"/>
        <v>0</v>
      </c>
      <c r="HM108" s="57">
        <f t="shared" si="747"/>
        <v>0</v>
      </c>
      <c r="HN108" s="57">
        <f t="shared" si="748"/>
        <v>0</v>
      </c>
      <c r="HO108" s="57">
        <f t="shared" si="749"/>
        <v>0</v>
      </c>
      <c r="HP108" s="1029">
        <f t="shared" si="572"/>
        <v>0</v>
      </c>
      <c r="HQ108" s="57">
        <f t="shared" si="573"/>
        <v>0</v>
      </c>
      <c r="HR108" s="171" t="str">
        <f t="shared" si="574"/>
        <v/>
      </c>
      <c r="HS108" s="57">
        <f t="shared" si="750"/>
        <v>0</v>
      </c>
      <c r="HT108" s="57">
        <f>IF(OR(AND(HH$6=1,$L108=0),AND(HH$6=2,$K108=2,$G108=1)),0,IF(AND(HJ$9=2,(OR($F108&gt;1,$K108=1,AND($L108=80,OR($N108=1,AND($N108=2,'#BerechnungDBE'!$AL99&gt;0)))))),IF(HH$4&gt;=$AD$126,0,HR108),IF(HJ$9=3,IF(OR(HH$4&gt;=$AD$127,AND($G108=1,$J108=2,HH$6=2),AND(HH$6=1,$N108&lt;&gt;1)),0,IF(HL108&lt;=120,HR108,IF(HH$4&lt;$AD$124,IF($F108=1,60/HJ$4*HJ$6,60/HJ$4*HJ$7),IF($F108=1,120/HJ$4*HJ$6,120/HJ$4*HJ$7)))),IF(OR($F108=3,$G108=2),IF(OR(AND(HH$4&gt;=$AD$119,$C108=2),AND(HH$4&gt;=$AF$119,$C108=1)),0,IF(HL108&lt;=60,HR108,60/HJ$4*HJ$7)),IF(AND($F108=2,$G108=1),HR108,0)))))</f>
        <v>0</v>
      </c>
      <c r="HU108" s="57" t="str">
        <f t="shared" si="575"/>
        <v/>
      </c>
      <c r="HV108" s="57" t="str">
        <f t="shared" si="576"/>
        <v/>
      </c>
      <c r="HW108" s="713">
        <f>'org. Düngung 22'!BL107</f>
        <v>0</v>
      </c>
      <c r="HX108" s="57"/>
      <c r="HY108" s="57"/>
      <c r="HZ108" s="57">
        <f t="shared" si="577"/>
        <v>0</v>
      </c>
      <c r="IA108" s="57">
        <f t="shared" si="751"/>
        <v>0</v>
      </c>
      <c r="IB108" s="57">
        <f t="shared" si="752"/>
        <v>0</v>
      </c>
      <c r="IC108" s="57">
        <f t="shared" si="753"/>
        <v>0</v>
      </c>
      <c r="ID108" s="57">
        <f t="shared" si="754"/>
        <v>0</v>
      </c>
      <c r="IE108" s="1029">
        <f t="shared" si="578"/>
        <v>0</v>
      </c>
      <c r="IF108" s="57">
        <f t="shared" si="579"/>
        <v>0</v>
      </c>
      <c r="IG108" s="171" t="str">
        <f t="shared" si="580"/>
        <v/>
      </c>
      <c r="IH108" s="57">
        <f t="shared" si="755"/>
        <v>0</v>
      </c>
      <c r="II108" s="57">
        <f>IF(OR(AND(HW$6=1,$L108=0),AND(HW$6=2,$K108=2,$G108=1)),0,IF(AND(HY$9=2,(OR($F108&gt;1,$K108=1,AND($L108=80,OR($N108=1,AND($N108=2,'#BerechnungDBE'!$AL99&gt;0)))))),IF(HW$4&gt;=$AD$126,0,IG108),IF(HY$9=3,IF(OR(HW$4&gt;=$AD$127,AND($G108=1,$J108=2,HW$6=2),AND(HW$6=1,$N108&lt;&gt;1)),0,IF(IA108&lt;=120,IG108,IF(HW$4&lt;$AD$124,IF($F108=1,60/HY$4*HY$6,60/HY$4*HY$7),IF($F108=1,120/HY$4*HY$6,120/HY$4*HY$7)))),IF(OR($F108=3,$G108=2),IF(OR(AND(HW$4&gt;=$AD$119,$C108=2),AND(HW$4&gt;=$AF$119,$C108=1)),0,IF(IA108&lt;=60,IG108,60/HY$4*HY$7)),IF(AND($F108=2,$G108=1),IG108,0)))))</f>
        <v>0</v>
      </c>
      <c r="IJ108" s="57" t="str">
        <f t="shared" si="581"/>
        <v/>
      </c>
      <c r="IK108" s="57" t="str">
        <f t="shared" si="582"/>
        <v/>
      </c>
      <c r="IL108" s="713">
        <f>'org. Düngung 22'!BP107</f>
        <v>0</v>
      </c>
      <c r="IM108" s="57"/>
      <c r="IN108" s="57"/>
      <c r="IO108" s="57">
        <f t="shared" si="583"/>
        <v>0</v>
      </c>
      <c r="IP108" s="57">
        <f t="shared" si="756"/>
        <v>0</v>
      </c>
      <c r="IQ108" s="57">
        <f t="shared" si="757"/>
        <v>0</v>
      </c>
      <c r="IR108" s="57">
        <f t="shared" si="758"/>
        <v>0</v>
      </c>
      <c r="IS108" s="57">
        <f t="shared" si="759"/>
        <v>0</v>
      </c>
      <c r="IT108" s="1029">
        <f t="shared" si="584"/>
        <v>0</v>
      </c>
      <c r="IU108" s="57">
        <f t="shared" si="585"/>
        <v>0</v>
      </c>
      <c r="IV108" s="171" t="str">
        <f t="shared" si="586"/>
        <v/>
      </c>
      <c r="IW108" s="57">
        <f t="shared" si="760"/>
        <v>0</v>
      </c>
      <c r="IX108" s="57">
        <f>IF(OR(AND(IL$6=1,$L108=0),AND(IL$6=2,$K108=2,$G108=1)),0,IF(AND(IN$9=2,(OR($F108&gt;1,$K108=1,AND($L108=80,OR($N108=1,AND($N108=2,'#BerechnungDBE'!$AL99&gt;0)))))),IF(IL$4&gt;=$AD$126,0,IV108),IF(IN$9=3,IF(OR(IL$4&gt;=$AD$127,AND($G108=1,$J108=2,IL$6=2),AND(IL$6=1,$N108&lt;&gt;1)),0,IF(IP108&lt;=120,IV108,IF(IL$4&lt;$AD$124,IF($F108=1,60/IN$4*IN$6,60/IN$4*IN$7),IF($F108=1,120/IN$4*IN$6,120/IN$4*IN$7)))),IF(OR($F108=3,$G108=2),IF(OR(AND(IL$4&gt;=$AD$119,$C108=2),AND(IL$4&gt;=$AF$119,$C108=1)),0,IF(IP108&lt;=60,IV108,60/IN$4*IN$7)),IF(AND($F108=2,$G108=1),IV108,0)))))</f>
        <v>0</v>
      </c>
      <c r="IY108" s="57" t="str">
        <f t="shared" si="587"/>
        <v/>
      </c>
      <c r="IZ108" s="57" t="str">
        <f t="shared" si="588"/>
        <v/>
      </c>
      <c r="JA108" s="713">
        <f>'org. Düngung 22'!BT107</f>
        <v>0</v>
      </c>
      <c r="JB108" s="57"/>
      <c r="JC108" s="57"/>
      <c r="JD108" s="57">
        <f t="shared" si="589"/>
        <v>0</v>
      </c>
      <c r="JE108" s="57">
        <f t="shared" si="761"/>
        <v>0</v>
      </c>
      <c r="JF108" s="57">
        <f t="shared" si="762"/>
        <v>0</v>
      </c>
      <c r="JG108" s="57">
        <f t="shared" si="763"/>
        <v>0</v>
      </c>
      <c r="JH108" s="57">
        <f t="shared" si="764"/>
        <v>0</v>
      </c>
      <c r="JI108" s="1029">
        <f t="shared" si="590"/>
        <v>0</v>
      </c>
      <c r="JJ108" s="57">
        <f t="shared" si="591"/>
        <v>0</v>
      </c>
      <c r="JK108" s="171" t="str">
        <f t="shared" si="592"/>
        <v/>
      </c>
      <c r="JL108" s="57">
        <f t="shared" si="765"/>
        <v>0</v>
      </c>
      <c r="JM108" s="57">
        <f>IF(OR(AND(JA$6=1,$L108=0),AND(JA$6=2,$K108=2,$G108=1)),0,IF(AND(JC$9=2,(OR($F108&gt;1,$K108=1,AND($L108=80,OR($N108=1,AND($N108=2,'#BerechnungDBE'!$AL99&gt;0)))))),IF(JA$4&gt;=$AD$126,0,JK108),IF(JC$9=3,IF(OR(JA$4&gt;=$AD$127,AND($G108=1,$J108=2,JA$6=2),AND(JA$6=1,$N108&lt;&gt;1)),0,IF(JE108&lt;=120,JK108,IF(JA$4&lt;$AD$124,IF($F108=1,60/JC$4*JC$6,60/JC$4*JC$7),IF($F108=1,120/JC$4*JC$6,120/JC$4*JC$7)))),IF(OR($F108=3,$G108=2),IF(OR(AND(JA$4&gt;=$AD$119,$C108=2),AND(JA$4&gt;=$AF$119,$C108=1)),0,IF(JE108&lt;=60,JK108,60/JC$4*JC$7)),IF(AND($F108=2,$G108=1),JK108,0)))))</f>
        <v>0</v>
      </c>
      <c r="JN108" s="57" t="str">
        <f t="shared" si="593"/>
        <v/>
      </c>
      <c r="JO108" s="57" t="str">
        <f t="shared" si="594"/>
        <v/>
      </c>
      <c r="JP108" s="713">
        <f>'org. Düngung 22'!BX107</f>
        <v>0</v>
      </c>
      <c r="JQ108" s="57"/>
      <c r="JR108" s="57"/>
      <c r="JS108" s="57">
        <f t="shared" si="595"/>
        <v>0</v>
      </c>
      <c r="JT108" s="57">
        <f t="shared" si="766"/>
        <v>0</v>
      </c>
      <c r="JU108" s="57">
        <f t="shared" si="767"/>
        <v>0</v>
      </c>
      <c r="JV108" s="57">
        <f t="shared" si="768"/>
        <v>0</v>
      </c>
      <c r="JW108" s="57">
        <f t="shared" si="769"/>
        <v>0</v>
      </c>
      <c r="JX108" s="1029">
        <f t="shared" si="596"/>
        <v>0</v>
      </c>
      <c r="JY108" s="57">
        <f t="shared" si="597"/>
        <v>0</v>
      </c>
      <c r="JZ108" s="171" t="str">
        <f t="shared" si="598"/>
        <v/>
      </c>
      <c r="KA108" s="57">
        <f t="shared" si="770"/>
        <v>0</v>
      </c>
      <c r="KB108" s="57">
        <f>IF(OR(AND(JP$6=1,$L108=0),AND(JP$6=2,$K108=2,$G108=1)),0,IF(AND(JR$9=2,(OR($F108&gt;1,$K108=1,AND($L108=80,OR($N108=1,AND($N108=2,'#BerechnungDBE'!$AL99&gt;0)))))),IF(JP$4&gt;=$AD$126,0,JZ108),IF(JR$9=3,IF(OR(JP$4&gt;=$AD$127,AND($G108=1,$J108=2,JP$6=2),AND(JP$6=1,$N108&lt;&gt;1)),0,IF(JT108&lt;=120,JZ108,IF(JP$4&lt;$AD$124,IF($F108=1,60/JR$4*JR$6,60/JR$4*JR$7),IF($F108=1,120/JR$4*JR$6,120/JR$4*JR$7)))),IF(OR($F108=3,$G108=2),IF(OR(AND(JP$4&gt;=$AD$119,$C108=2),AND(JP$4&gt;=$AF$119,$C108=1)),0,IF(JT108&lt;=60,JZ108,60/JR$4*JR$7)),IF(AND($F108=2,$G108=1),JZ108,0)))))</f>
        <v>0</v>
      </c>
      <c r="KC108" s="57" t="str">
        <f t="shared" si="599"/>
        <v/>
      </c>
      <c r="KD108" s="57" t="str">
        <f t="shared" si="600"/>
        <v/>
      </c>
      <c r="KE108" s="713">
        <f>'org. Düngung 22'!CB107</f>
        <v>0</v>
      </c>
      <c r="KF108" s="57"/>
      <c r="KG108" s="57"/>
      <c r="KH108" s="57">
        <f t="shared" si="601"/>
        <v>0</v>
      </c>
      <c r="KI108" s="57">
        <f t="shared" si="771"/>
        <v>0</v>
      </c>
      <c r="KJ108" s="57">
        <f t="shared" si="772"/>
        <v>0</v>
      </c>
      <c r="KK108" s="57">
        <f t="shared" si="773"/>
        <v>0</v>
      </c>
      <c r="KL108" s="57">
        <f t="shared" si="774"/>
        <v>0</v>
      </c>
      <c r="KM108" s="1029">
        <f t="shared" si="602"/>
        <v>0</v>
      </c>
      <c r="KN108" s="57">
        <f t="shared" si="603"/>
        <v>0</v>
      </c>
      <c r="KO108" s="171" t="str">
        <f t="shared" si="604"/>
        <v/>
      </c>
      <c r="KP108" s="57">
        <f t="shared" si="775"/>
        <v>0</v>
      </c>
      <c r="KQ108" s="57">
        <f>IF(OR(AND(KE$6=1,$L108=0),AND(KE$6=2,$K108=2,$G108=1)),0,IF(AND(KG$9=2,(OR($F108&gt;1,$K108=1,AND($L108=80,OR($N108=1,AND($N108=2,'#BerechnungDBE'!$AL99&gt;0)))))),IF(KE$4&gt;=$AD$126,0,KO108),IF(KG$9=3,IF(OR(KE$4&gt;=$AD$127,AND($G108=1,$J108=2,KE$6=2),AND(KE$6=1,$N108&lt;&gt;1)),0,IF(KI108&lt;=120,KO108,IF(KE$4&lt;$AD$124,IF($F108=1,60/KG$4*KG$6,60/KG$4*KG$7),IF($F108=1,120/KG$4*KG$6,120/KG$4*KG$7)))),IF(OR($F108=3,$G108=2),IF(OR(AND(KE$4&gt;=$AD$119,$C108=2),AND(KE$4&gt;=$AF$119,$C108=1)),0,IF(KI108&lt;=60,KO108,60/KG$4*KG$7)),IF(AND($F108=2,$G108=1),KO108,0)))))</f>
        <v>0</v>
      </c>
      <c r="KR108" s="57" t="str">
        <f t="shared" si="605"/>
        <v/>
      </c>
      <c r="KS108" s="57" t="str">
        <f t="shared" si="606"/>
        <v/>
      </c>
      <c r="KT108" s="713">
        <f>'org. Düngung 22'!CF107</f>
        <v>0</v>
      </c>
      <c r="KU108" s="57"/>
      <c r="KV108" s="57"/>
      <c r="KW108" s="57">
        <f t="shared" si="607"/>
        <v>0</v>
      </c>
      <c r="KX108" s="57">
        <f t="shared" si="776"/>
        <v>0</v>
      </c>
      <c r="KY108" s="57">
        <f t="shared" si="777"/>
        <v>0</v>
      </c>
      <c r="KZ108" s="57">
        <f t="shared" si="778"/>
        <v>0</v>
      </c>
      <c r="LA108" s="57">
        <f t="shared" si="779"/>
        <v>0</v>
      </c>
      <c r="LB108" s="1029">
        <f t="shared" si="608"/>
        <v>0</v>
      </c>
      <c r="LC108" s="57">
        <f t="shared" si="609"/>
        <v>0</v>
      </c>
      <c r="LD108" s="171" t="str">
        <f t="shared" si="610"/>
        <v/>
      </c>
      <c r="LE108" s="57">
        <f t="shared" si="780"/>
        <v>0</v>
      </c>
      <c r="LF108" s="57">
        <f>IF(OR(AND(KT$6=1,$L108=0),AND(KT$6=2,$K108=2,$G108=1)),0,IF(AND(KV$9=2,(OR($F108&gt;1,$K108=1,AND($L108=80,OR($N108=1,AND($N108=2,'#BerechnungDBE'!$AL99&gt;0)))))),IF(KT$4&gt;=$AD$126,0,LD108),IF(KV$9=3,IF(OR(KT$4&gt;=$AD$127,AND($G108=1,$J108=2,KT$6=2),AND(KT$6=1,$N108&lt;&gt;1)),0,IF(KX108&lt;=120,LD108,IF(KT$4&lt;$AD$124,IF($F108=1,60/KV$4*KV$6,60/KV$4*KV$7),IF($F108=1,120/KV$4*KV$6,120/KV$4*KV$7)))),IF(OR($F108=3,$G108=2),IF(OR(AND(KT$4&gt;=$AD$119,$C108=2),AND(KT$4&gt;=$AF$119,$C108=1)),0,IF(KX108&lt;=60,LD108,60/KV$4*KV$7)),IF(AND($F108=2,$G108=1),LD108,0)))))</f>
        <v>0</v>
      </c>
      <c r="LG108" s="57" t="str">
        <f t="shared" si="611"/>
        <v/>
      </c>
      <c r="LH108" s="57" t="str">
        <f t="shared" si="612"/>
        <v/>
      </c>
      <c r="LI108" s="713">
        <f>'org. Düngung 22'!CJ107</f>
        <v>0</v>
      </c>
      <c r="LJ108" s="57"/>
      <c r="LK108" s="57"/>
      <c r="LL108" s="57">
        <f t="shared" si="613"/>
        <v>0</v>
      </c>
      <c r="LM108" s="57">
        <f t="shared" si="781"/>
        <v>0</v>
      </c>
      <c r="LN108" s="57">
        <f t="shared" si="782"/>
        <v>0</v>
      </c>
      <c r="LO108" s="57">
        <f t="shared" si="783"/>
        <v>0</v>
      </c>
      <c r="LP108" s="57">
        <f t="shared" si="784"/>
        <v>0</v>
      </c>
      <c r="LQ108" s="1029">
        <f t="shared" si="614"/>
        <v>0</v>
      </c>
      <c r="LR108" s="57">
        <f t="shared" si="615"/>
        <v>0</v>
      </c>
      <c r="LS108" s="171" t="str">
        <f t="shared" si="616"/>
        <v/>
      </c>
      <c r="LT108" s="57">
        <f t="shared" si="785"/>
        <v>0</v>
      </c>
      <c r="LU108" s="57">
        <f>IF(OR(AND(LI$6=1,$L108=0),AND(LI$6=2,$K108=2,$G108=1)),0,IF(AND(LK$9=2,(OR($F108&gt;1,$K108=1,AND($L108=80,OR($N108=1,AND($N108=2,'#BerechnungDBE'!$AL99&gt;0)))))),IF(LI$4&gt;=$AD$126,0,LS108),IF(LK$9=3,IF(OR(LI$4&gt;=$AD$127,AND($G108=1,$J108=2,LI$6=2),AND(LI$6=1,$N108&lt;&gt;1)),0,IF(LM108&lt;=120,LS108,IF(LI$4&lt;$AD$124,IF($F108=1,60/LK$4*LK$6,60/LK$4*LK$7),IF($F108=1,120/LK$4*LK$6,120/LK$4*LK$7)))),IF(OR($F108=3,$G108=2),IF(OR(AND(LI$4&gt;=$AD$119,$C108=2),AND(LI$4&gt;=$AF$119,$C108=1)),0,IF(LM108&lt;=60,LS108,60/LK$4*LK$7)),IF(AND($F108=2,$G108=1),LS108,0)))))</f>
        <v>0</v>
      </c>
      <c r="LV108" s="57" t="str">
        <f t="shared" si="617"/>
        <v/>
      </c>
      <c r="LW108" s="57" t="str">
        <f t="shared" si="618"/>
        <v/>
      </c>
      <c r="LX108" s="713">
        <f>'org. Düngung 22'!CN107</f>
        <v>0</v>
      </c>
      <c r="LY108" s="57"/>
      <c r="LZ108" s="57"/>
      <c r="MA108" s="57">
        <f t="shared" si="619"/>
        <v>0</v>
      </c>
      <c r="MB108" s="57">
        <f t="shared" si="786"/>
        <v>0</v>
      </c>
      <c r="MC108" s="57">
        <f t="shared" si="787"/>
        <v>0</v>
      </c>
      <c r="MD108" s="57">
        <f t="shared" si="788"/>
        <v>0</v>
      </c>
      <c r="ME108" s="57">
        <f t="shared" si="789"/>
        <v>0</v>
      </c>
      <c r="MF108" s="1029">
        <f t="shared" si="620"/>
        <v>0</v>
      </c>
      <c r="MG108" s="57">
        <f t="shared" si="621"/>
        <v>0</v>
      </c>
      <c r="MH108" s="171" t="str">
        <f t="shared" si="622"/>
        <v/>
      </c>
      <c r="MI108" s="57">
        <f t="shared" si="790"/>
        <v>0</v>
      </c>
      <c r="MJ108" s="57">
        <f>IF(OR(AND(LX$6=1,$L108=0),AND(LX$6=2,$K108=2,$G108=1)),0,IF(AND(LZ$9=2,(OR($F108&gt;1,$K108=1,AND($L108=80,OR($N108=1,AND($N108=2,'#BerechnungDBE'!$AL99&gt;0)))))),IF(LX$4&gt;=$AD$126,0,MH108),IF(LZ$9=3,IF(OR(LX$4&gt;=$AD$127,AND($G108=1,$J108=2,LX$6=2),AND(LX$6=1,$N108&lt;&gt;1)),0,IF(MB108&lt;=120,MH108,IF(LX$4&lt;$AD$124,IF($F108=1,60/LZ$4*LZ$6,60/LZ$4*LZ$7),IF($F108=1,120/LZ$4*LZ$6,120/LZ$4*LZ$7)))),IF(OR($F108=3,$G108=2),IF(OR(AND(LX$4&gt;=$AD$119,$C108=2),AND(LX$4&gt;=$AF$119,$C108=1)),0,IF(MB108&lt;=60,MH108,60/LZ$4*LZ$7)),IF(AND($F108=2,$G108=1),MH108,0)))))</f>
        <v>0</v>
      </c>
      <c r="MK108" s="57" t="str">
        <f t="shared" si="623"/>
        <v/>
      </c>
      <c r="ML108" s="57" t="str">
        <f t="shared" si="624"/>
        <v/>
      </c>
      <c r="MM108" s="713">
        <f>'org. Düngung 22'!CR107</f>
        <v>0</v>
      </c>
      <c r="MN108" s="57"/>
      <c r="MO108" s="57"/>
      <c r="MP108" s="57">
        <f t="shared" si="625"/>
        <v>0</v>
      </c>
      <c r="MQ108" s="57">
        <f t="shared" si="791"/>
        <v>0</v>
      </c>
      <c r="MR108" s="57">
        <f t="shared" si="792"/>
        <v>0</v>
      </c>
      <c r="MS108" s="57">
        <f t="shared" si="793"/>
        <v>0</v>
      </c>
      <c r="MT108" s="57">
        <f t="shared" si="794"/>
        <v>0</v>
      </c>
      <c r="MU108" s="1029">
        <f t="shared" si="626"/>
        <v>0</v>
      </c>
      <c r="MV108" s="57">
        <f t="shared" si="627"/>
        <v>0</v>
      </c>
      <c r="MW108" s="171" t="str">
        <f t="shared" si="628"/>
        <v/>
      </c>
      <c r="MX108" s="57">
        <f t="shared" si="795"/>
        <v>0</v>
      </c>
      <c r="MY108" s="57">
        <f>IF(OR(AND(MM$6=1,$L108=0),AND(MM$6=2,$K108=2,$G108=1)),0,IF(AND(MO$9=2,(OR($F108&gt;1,$K108=1,AND($L108=80,OR($N108=1,AND($N108=2,'#BerechnungDBE'!$AL99&gt;0)))))),IF(MM$4&gt;=$AD$126,0,MW108),IF(MO$9=3,IF(OR(MM$4&gt;=$AD$127,AND($G108=1,$J108=2,MM$6=2),AND(MM$6=1,$N108&lt;&gt;1)),0,IF(MQ108&lt;=120,MW108,IF(MM$4&lt;$AD$124,IF($F108=1,60/MO$4*MO$6,60/MO$4*MO$7),IF($F108=1,120/MO$4*MO$6,120/MO$4*MO$7)))),IF(OR($F108=3,$G108=2),IF(OR(AND(MM$4&gt;=$AD$119,$C108=2),AND(MM$4&gt;=$AF$119,$C108=1)),0,IF(MQ108&lt;=60,MW108,60/MO$4*MO$7)),IF(AND($F108=2,$G108=1),MW108,0)))))</f>
        <v>0</v>
      </c>
      <c r="MZ108" s="57" t="str">
        <f t="shared" si="629"/>
        <v/>
      </c>
      <c r="NA108" s="57" t="str">
        <f t="shared" si="630"/>
        <v/>
      </c>
      <c r="NB108" s="713">
        <f>'org. Düngung 22'!CV107</f>
        <v>0</v>
      </c>
      <c r="NC108" s="57"/>
      <c r="ND108" s="57"/>
      <c r="NE108" s="57">
        <f t="shared" si="631"/>
        <v>0</v>
      </c>
      <c r="NF108" s="57">
        <f t="shared" si="796"/>
        <v>0</v>
      </c>
      <c r="NG108" s="57">
        <f t="shared" si="797"/>
        <v>0</v>
      </c>
      <c r="NH108" s="57">
        <f t="shared" si="798"/>
        <v>0</v>
      </c>
      <c r="NI108" s="57">
        <f t="shared" si="799"/>
        <v>0</v>
      </c>
      <c r="NJ108" s="1029">
        <f t="shared" si="632"/>
        <v>0</v>
      </c>
      <c r="NK108" s="57">
        <f t="shared" si="633"/>
        <v>0</v>
      </c>
      <c r="NL108" s="171" t="str">
        <f t="shared" si="634"/>
        <v/>
      </c>
      <c r="NM108" s="57">
        <f t="shared" si="800"/>
        <v>0</v>
      </c>
      <c r="NN108" s="57">
        <f>IF(OR(AND(NB$6=1,$L108=0),AND(NB$6=2,$K108=2,$G108=1)),0,IF(AND(ND$9=2,(OR($F108&gt;1,$K108=1,AND($L108=80,OR($N108=1,AND($N108=2,'#BerechnungDBE'!$AL99&gt;0)))))),IF(NB$4&gt;=$AD$126,0,NL108),IF(ND$9=3,IF(OR(NB$4&gt;=$AD$127,AND($G108=1,$J108=2,NB$6=2),AND(NB$6=1,$N108&lt;&gt;1)),0,IF(NF108&lt;=120,NL108,IF(NB$4&lt;$AD$124,IF($F108=1,60/ND$4*ND$6,60/ND$4*ND$7),IF($F108=1,120/ND$4*ND$6,120/ND$4*ND$7)))),IF(OR($F108=3,$G108=2),IF(OR(AND(NB$4&gt;=$AD$119,$C108=2),AND(NB$4&gt;=$AF$119,$C108=1)),0,IF(NF108&lt;=60,NL108,60/ND$4*ND$7)),IF(AND($F108=2,$G108=1),NL108,0)))))</f>
        <v>0</v>
      </c>
      <c r="NO108" s="57" t="str">
        <f t="shared" si="635"/>
        <v/>
      </c>
      <c r="NP108" s="57" t="str">
        <f t="shared" si="636"/>
        <v/>
      </c>
      <c r="NQ108" s="713">
        <f>'org. Düngung 22'!CZ107</f>
        <v>0</v>
      </c>
      <c r="NR108" s="57"/>
      <c r="NS108" s="57"/>
      <c r="NT108" s="57">
        <f t="shared" si="637"/>
        <v>0</v>
      </c>
      <c r="NU108" s="57">
        <f t="shared" si="801"/>
        <v>0</v>
      </c>
      <c r="NV108" s="57">
        <f t="shared" si="802"/>
        <v>0</v>
      </c>
      <c r="NW108" s="57">
        <f t="shared" si="803"/>
        <v>0</v>
      </c>
      <c r="NX108" s="57">
        <f t="shared" si="804"/>
        <v>0</v>
      </c>
      <c r="NY108" s="1029">
        <f t="shared" si="638"/>
        <v>0</v>
      </c>
      <c r="NZ108" s="57">
        <f t="shared" si="639"/>
        <v>0</v>
      </c>
      <c r="OA108" s="171" t="str">
        <f t="shared" si="640"/>
        <v/>
      </c>
      <c r="OB108" s="57">
        <f t="shared" si="805"/>
        <v>0</v>
      </c>
      <c r="OC108" s="57">
        <f>IF(OR(AND(NQ$6=1,$L108=0),AND(NQ$6=2,$K108=2,$G108=1)),0,IF(AND(NS$9=2,(OR($F108&gt;1,$K108=1,AND($L108=80,OR($N108=1,AND($N108=2,'#BerechnungDBE'!$AL99&gt;0)))))),IF(NQ$4&gt;=$AD$126,0,OA108),IF(NS$9=3,IF(OR(NQ$4&gt;=$AD$127,AND($G108=1,$J108=2,NQ$6=2),AND(NQ$6=1,$N108&lt;&gt;1)),0,IF(NU108&lt;=120,OA108,IF(NQ$4&lt;$AD$124,IF($F108=1,60/NS$4*NS$6,60/NS$4*NS$7),IF($F108=1,120/NS$4*NS$6,120/NS$4*NS$7)))),IF(OR($F108=3,$G108=2),IF(OR(AND(NQ$4&gt;=$AD$119,$C108=2),AND(NQ$4&gt;=$AF$119,$C108=1)),0,IF(NU108&lt;=60,OA108,60/NS$4*NS$7)),IF(AND($F108=2,$G108=1),OA108,0)))))</f>
        <v>0</v>
      </c>
      <c r="OD108" s="57" t="str">
        <f t="shared" si="641"/>
        <v/>
      </c>
      <c r="OE108" s="57" t="str">
        <f t="shared" si="642"/>
        <v/>
      </c>
      <c r="OF108" s="713">
        <f>'org. Düngung 22'!DD107</f>
        <v>0</v>
      </c>
      <c r="OG108" s="57"/>
      <c r="OH108" s="57"/>
      <c r="OI108" s="57">
        <f t="shared" si="643"/>
        <v>0</v>
      </c>
      <c r="OJ108" s="57">
        <f t="shared" si="806"/>
        <v>0</v>
      </c>
      <c r="OK108" s="57">
        <f t="shared" si="807"/>
        <v>0</v>
      </c>
      <c r="OL108" s="57">
        <f t="shared" si="808"/>
        <v>0</v>
      </c>
      <c r="OM108" s="57">
        <f t="shared" si="809"/>
        <v>0</v>
      </c>
      <c r="ON108" s="1029">
        <f t="shared" si="644"/>
        <v>0</v>
      </c>
      <c r="OO108" s="57">
        <f t="shared" si="645"/>
        <v>0</v>
      </c>
      <c r="OP108" s="171" t="str">
        <f t="shared" si="646"/>
        <v/>
      </c>
      <c r="OQ108" s="57">
        <f t="shared" si="810"/>
        <v>0</v>
      </c>
      <c r="OR108" s="57">
        <f>IF(OR(AND(OF$6=1,$L108=0),AND(OF$6=2,$K108=2,$G108=1)),0,IF(AND(OH$9=2,(OR($F108&gt;1,$K108=1,AND($L108=80,OR($N108=1,AND($N108=2,'#BerechnungDBE'!$AL99&gt;0)))))),IF(OF$4&gt;=$AD$126,0,OP108),IF(OH$9=3,IF(OR(OF$4&gt;=$AD$127,AND($G108=1,$J108=2,OF$6=2),AND(OF$6=1,$N108&lt;&gt;1)),0,IF(OJ108&lt;=120,OP108,IF(OF$4&lt;$AD$124,IF($F108=1,60/OH$4*OH$6,60/OH$4*OH$7),IF($F108=1,120/OH$4*OH$6,120/OH$4*OH$7)))),IF(OR($F108=3,$G108=2),IF(OR(AND(OF$4&gt;=$AD$119,$C108=2),AND(OF$4&gt;=$AF$119,$C108=1)),0,IF(OJ108&lt;=60,OP108,60/OH$4*OH$7)),IF(AND($F108=2,$G108=1),OP108,0)))))</f>
        <v>0</v>
      </c>
      <c r="OS108" s="57" t="str">
        <f t="shared" si="647"/>
        <v/>
      </c>
      <c r="OT108" s="57" t="str">
        <f t="shared" si="648"/>
        <v/>
      </c>
      <c r="OU108" s="713">
        <f>'org. Düngung 22'!DH107</f>
        <v>0</v>
      </c>
      <c r="OV108" s="57"/>
      <c r="OW108" s="57"/>
      <c r="OX108" s="57">
        <f t="shared" si="649"/>
        <v>0</v>
      </c>
      <c r="OY108" s="57">
        <f t="shared" si="811"/>
        <v>0</v>
      </c>
      <c r="OZ108" s="57">
        <f t="shared" si="812"/>
        <v>0</v>
      </c>
      <c r="PA108" s="57">
        <f t="shared" si="813"/>
        <v>0</v>
      </c>
      <c r="PB108" s="57">
        <f t="shared" si="814"/>
        <v>0</v>
      </c>
      <c r="PC108" s="1029">
        <f t="shared" si="650"/>
        <v>0</v>
      </c>
      <c r="PD108" s="57">
        <f t="shared" si="651"/>
        <v>0</v>
      </c>
      <c r="PE108" s="171" t="str">
        <f t="shared" si="652"/>
        <v/>
      </c>
      <c r="PF108" s="57">
        <f t="shared" si="815"/>
        <v>0</v>
      </c>
      <c r="PG108" s="57">
        <f>IF(OR(AND(OU$6=1,$L108=0),AND(OU$6=2,$K108=2,$G108=1)),0,IF(AND(OW$9=2,(OR($F108&gt;1,$K108=1,AND($L108=80,OR($N108=1,AND($N108=2,'#BerechnungDBE'!$AL99&gt;0)))))),IF(OU$4&gt;=$AD$126,0,PE108),IF(OW$9=3,IF(OR(OU$4&gt;=$AD$127,AND($G108=1,$J108=2,OU$6=2),AND(OU$6=1,$N108&lt;&gt;1)),0,IF(OY108&lt;=120,PE108,IF(OU$4&lt;$AD$124,IF($F108=1,60/OW$4*OW$6,60/OW$4*OW$7),IF($F108=1,120/OW$4*OW$6,120/OW$4*OW$7)))),IF(OR($F108=3,$G108=2),IF(OR(AND(OU$4&gt;=$AD$119,$C108=2),AND(OU$4&gt;=$AF$119,$C108=1)),0,IF(OY108&lt;=60,PE108,60/OW$4*OW$7)),IF(AND($F108=2,$G108=1),PE108,0)))))</f>
        <v>0</v>
      </c>
      <c r="PH108" s="57" t="str">
        <f t="shared" si="653"/>
        <v/>
      </c>
      <c r="PI108" s="57" t="str">
        <f t="shared" si="654"/>
        <v/>
      </c>
      <c r="PJ108" s="713">
        <f>'org. Düngung 22'!DL107</f>
        <v>0</v>
      </c>
      <c r="PK108" s="57"/>
      <c r="PL108" s="57"/>
      <c r="PM108" s="57">
        <f t="shared" si="655"/>
        <v>0</v>
      </c>
      <c r="PN108" s="57">
        <f t="shared" si="816"/>
        <v>0</v>
      </c>
      <c r="PO108" s="57">
        <f t="shared" si="817"/>
        <v>0</v>
      </c>
      <c r="PP108" s="57">
        <f t="shared" si="818"/>
        <v>0</v>
      </c>
      <c r="PQ108" s="57">
        <f t="shared" si="819"/>
        <v>0</v>
      </c>
      <c r="PR108" s="1029">
        <f t="shared" si="656"/>
        <v>0</v>
      </c>
      <c r="PS108" s="57">
        <f t="shared" si="657"/>
        <v>0</v>
      </c>
      <c r="PT108" s="171" t="str">
        <f t="shared" si="658"/>
        <v/>
      </c>
      <c r="PU108" s="57">
        <f t="shared" si="820"/>
        <v>0</v>
      </c>
      <c r="PV108" s="57">
        <f>IF(OR(AND(PJ$6=1,$L108=0),AND(PJ$6=2,$K108=2,$G108=1)),0,IF(AND(PL$9=2,(OR($F108&gt;1,$K108=1,AND($L108=80,OR($N108=1,AND($N108=2,'#BerechnungDBE'!$AL99&gt;0)))))),IF(PJ$4&gt;=$AD$126,0,PT108),IF(PL$9=3,IF(OR(PJ$4&gt;=$AD$127,AND($G108=1,$J108=2,PJ$6=2),AND(PJ$6=1,$N108&lt;&gt;1)),0,IF(PN108&lt;=120,PT108,IF(PJ$4&lt;$AD$124,IF($F108=1,60/PL$4*PL$6,60/PL$4*PL$7),IF($F108=1,120/PL$4*PL$6,120/PL$4*PL$7)))),IF(OR($F108=3,$G108=2),IF(OR(AND(PJ$4&gt;=$AD$119,$C108=2),AND(PJ$4&gt;=$AF$119,$C108=1)),0,IF(PN108&lt;=60,PT108,60/PL$4*PL$7)),IF(AND($F108=2,$G108=1),PT108,0)))))</f>
        <v>0</v>
      </c>
      <c r="PW108" s="57" t="str">
        <f t="shared" si="659"/>
        <v/>
      </c>
      <c r="PX108" s="57" t="str">
        <f t="shared" si="660"/>
        <v/>
      </c>
      <c r="PY108" s="713">
        <f>'org. Düngung 22'!DP107</f>
        <v>0</v>
      </c>
      <c r="PZ108" s="57"/>
      <c r="QA108" s="57"/>
      <c r="QB108" s="57">
        <f t="shared" si="661"/>
        <v>0</v>
      </c>
      <c r="QC108" s="57">
        <f t="shared" si="821"/>
        <v>0</v>
      </c>
      <c r="QD108" s="57">
        <f t="shared" si="822"/>
        <v>0</v>
      </c>
      <c r="QE108" s="57">
        <f t="shared" si="823"/>
        <v>0</v>
      </c>
      <c r="QF108" s="57">
        <f t="shared" si="824"/>
        <v>0</v>
      </c>
      <c r="QG108" s="1029">
        <f t="shared" si="662"/>
        <v>0</v>
      </c>
      <c r="QH108" s="57">
        <f t="shared" si="663"/>
        <v>0</v>
      </c>
      <c r="QI108" s="171" t="str">
        <f t="shared" si="664"/>
        <v/>
      </c>
      <c r="QJ108" s="57">
        <f t="shared" si="825"/>
        <v>0</v>
      </c>
      <c r="QK108" s="57">
        <f>IF(OR(AND(PY$6=1,$L108=0),AND(PY$6=2,$K108=2,$G108=1)),0,IF(AND(QA$9=2,(OR($F108&gt;1,$K108=1,AND($L108=80,OR($N108=1,AND($N108=2,'#BerechnungDBE'!$AL99&gt;0)))))),IF(PY$4&gt;=$AD$126,0,QI108),IF(QA$9=3,IF(OR(PY$4&gt;=$AD$127,AND($G108=1,$J108=2,PY$6=2),AND(PY$6=1,$N108&lt;&gt;1)),0,IF(QC108&lt;=120,QI108,IF(PY$4&lt;$AD$124,IF($F108=1,60/QA$4*QA$6,60/QA$4*QA$7),IF($F108=1,120/QA$4*QA$6,120/QA$4*QA$7)))),IF(OR($F108=3,$G108=2),IF(OR(AND(PY$4&gt;=$AD$119,$C108=2),AND(PY$4&gt;=$AF$119,$C108=1)),0,IF(QC108&lt;=60,QI108,60/QA$4*QA$7)),IF(AND($F108=2,$G108=1),QI108,0)))))</f>
        <v>0</v>
      </c>
      <c r="QL108" s="57" t="str">
        <f t="shared" si="665"/>
        <v/>
      </c>
      <c r="QM108" s="57" t="str">
        <f t="shared" si="666"/>
        <v/>
      </c>
      <c r="QN108" s="713">
        <f>'org. Düngung 22'!DT107</f>
        <v>0</v>
      </c>
      <c r="QO108" s="57"/>
      <c r="QP108" s="57"/>
      <c r="QQ108" s="57">
        <f t="shared" si="667"/>
        <v>0</v>
      </c>
      <c r="QR108" s="57">
        <f t="shared" si="826"/>
        <v>0</v>
      </c>
      <c r="QS108" s="57">
        <f t="shared" si="827"/>
        <v>0</v>
      </c>
      <c r="QT108" s="57">
        <f t="shared" si="828"/>
        <v>0</v>
      </c>
      <c r="QU108" s="57">
        <f t="shared" si="829"/>
        <v>0</v>
      </c>
      <c r="QV108" s="1029">
        <f t="shared" si="668"/>
        <v>0</v>
      </c>
      <c r="QW108" s="57">
        <f t="shared" si="669"/>
        <v>0</v>
      </c>
      <c r="QX108" s="171" t="str">
        <f t="shared" si="670"/>
        <v/>
      </c>
      <c r="QY108" s="57">
        <f t="shared" si="830"/>
        <v>0</v>
      </c>
      <c r="QZ108" s="57">
        <f>IF(OR(AND(QN$6=1,$L108=0),AND(QN$6=2,$K108=2,$G108=1)),0,IF(AND(QP$9=2,(OR($F108&gt;1,$K108=1,AND($L108=80,OR($N108=1,AND($N108=2,'#BerechnungDBE'!$AL99&gt;0)))))),IF(QN$4&gt;=$AD$126,0,QX108),IF(QP$9=3,IF(OR(QN$4&gt;=$AD$127,AND($G108=1,$J108=2,QN$6=2),AND(QN$6=1,$N108&lt;&gt;1)),0,IF(QR108&lt;=120,QX108,IF(QN$4&lt;$AD$124,IF($F108=1,60/QP$4*QP$6,60/QP$4*QP$7),IF($F108=1,120/QP$4*QP$6,120/QP$4*QP$7)))),IF(OR($F108=3,$G108=2),IF(OR(AND(QN$4&gt;=$AD$119,$C108=2),AND(QN$4&gt;=$AF$119,$C108=1)),0,IF(QR108&lt;=60,QX108,60/QP$4*QP$7)),IF(AND($F108=2,$G108=1),QX108,0)))))</f>
        <v>0</v>
      </c>
      <c r="RA108" s="57" t="str">
        <f t="shared" si="671"/>
        <v/>
      </c>
      <c r="RB108" s="57" t="str">
        <f t="shared" si="672"/>
        <v/>
      </c>
      <c r="RC108" s="713">
        <f>'org. Düngung 22'!DX107</f>
        <v>0</v>
      </c>
      <c r="RD108" s="57"/>
      <c r="RE108" s="57"/>
      <c r="RF108" s="57">
        <f t="shared" si="673"/>
        <v>0</v>
      </c>
      <c r="RG108" s="57">
        <f t="shared" si="831"/>
        <v>0</v>
      </c>
      <c r="RH108" s="57">
        <f t="shared" si="832"/>
        <v>0</v>
      </c>
      <c r="RI108" s="57">
        <f t="shared" si="833"/>
        <v>0</v>
      </c>
      <c r="RJ108" s="57">
        <f t="shared" si="834"/>
        <v>0</v>
      </c>
      <c r="RK108" s="1029">
        <f t="shared" si="674"/>
        <v>0</v>
      </c>
      <c r="RL108" s="57">
        <f t="shared" si="675"/>
        <v>0</v>
      </c>
      <c r="RM108" s="171" t="str">
        <f t="shared" si="676"/>
        <v/>
      </c>
      <c r="RN108" s="57">
        <f t="shared" si="835"/>
        <v>0</v>
      </c>
      <c r="RO108" s="57">
        <f>IF(OR(AND(RC$6=1,$L108=0),AND(RC$6=2,$K108=2,$G108=1)),0,IF(AND(RE$9=2,(OR($F108&gt;1,$K108=1,AND($L108=80,OR($N108=1,AND($N108=2,'#BerechnungDBE'!$AL99&gt;0)))))),IF(RC$4&gt;=$AD$126,0,RM108),IF(RE$9=3,IF(OR(RC$4&gt;=$AD$127,AND($G108=1,$J108=2,RC$6=2),AND(RC$6=1,$N108&lt;&gt;1)),0,IF(RG108&lt;=120,RM108,IF(RC$4&lt;$AD$124,IF($F108=1,60/RE$4*RE$6,60/RE$4*RE$7),IF($F108=1,120/RE$4*RE$6,120/RE$4*RE$7)))),IF(OR($F108=3,$G108=2),IF(OR(AND(RC$4&gt;=$AD$119,$C108=2),AND(RC$4&gt;=$AF$119,$C108=1)),0,IF(RG108&lt;=60,RM108,60/RE$4*RE$7)),IF(AND($F108=2,$G108=1),RM108,0)))))</f>
        <v>0</v>
      </c>
      <c r="RP108" s="57" t="str">
        <f t="shared" si="677"/>
        <v/>
      </c>
      <c r="RQ108" s="57" t="str">
        <f t="shared" si="678"/>
        <v/>
      </c>
      <c r="RS108" s="57" t="str">
        <f t="shared" si="836"/>
        <v/>
      </c>
      <c r="RT108" s="57" t="str">
        <f t="shared" si="679"/>
        <v/>
      </c>
      <c r="RU108" s="57" t="str">
        <f t="shared" si="680"/>
        <v/>
      </c>
      <c r="RV108" s="57" t="str">
        <f>IF(Z108&gt;'#BerechnungDBE'!BM99,$RV$9,"")</f>
        <v/>
      </c>
      <c r="RW108" s="57" t="str">
        <f>IF(AND(L108=70,AE108&gt;'#BerechnungDBE'!CQ99),$RW$9,"")</f>
        <v/>
      </c>
      <c r="RX108" s="57" t="str">
        <f>IF(OR('org. Düngung 22'!G107="--",'org. Düngung 22'!G107&lt;=170,'org. Düngung 22'!G107=""),"",$RX$9)</f>
        <v/>
      </c>
      <c r="RY108" s="57" t="str">
        <f>IF('org. Düngung 22'!K107&gt;120,'#orgDung'!$RY$9,"")</f>
        <v/>
      </c>
      <c r="RZ108" s="57" t="str">
        <f>IF('#BerechnungDBE'!P99&lt;4,"",IF(AND('#BerechnungDBE'!BZ99&gt;0,T108&gt;0),'#orgDung'!$RZ$9,""))</f>
        <v/>
      </c>
      <c r="SA108" s="57" t="str">
        <f t="shared" si="681"/>
        <v/>
      </c>
    </row>
    <row r="109" spans="1:495" s="875" customFormat="1" x14ac:dyDescent="0.2">
      <c r="A109" s="875">
        <f>'Flächen u. Kulturen'!A105</f>
        <v>96</v>
      </c>
      <c r="B109" s="367">
        <f>'#BerechnungDBE'!L100</f>
        <v>0</v>
      </c>
      <c r="C109" s="875">
        <f>'#BerechnungDBE'!R100</f>
        <v>1</v>
      </c>
      <c r="D109" s="875">
        <f>'#BerechnungDBE'!T100</f>
        <v>2</v>
      </c>
      <c r="E109" s="875" t="str">
        <f>'Flächen u. Kulturen'!E105</f>
        <v>x</v>
      </c>
      <c r="F109" s="52">
        <f>'#BerechnungDBE'!N100</f>
        <v>1</v>
      </c>
      <c r="G109" s="52">
        <f>'#BerechnungDBE'!O100</f>
        <v>1</v>
      </c>
      <c r="H109" s="875">
        <f>IF('Flächen u. Kulturen'!P105="",0,VLOOKUP('Flächen u. Kulturen'!P105,Kulturen[[HF]:[Berechnungsgruppe]],'#Frucht'!$H$1,FALSE))</f>
        <v>0</v>
      </c>
      <c r="I109" s="875">
        <f>IF('Flächen u. Kulturen'!J105="",0,VLOOKUP('Flächen u. Kulturen'!J105,Kulturen[[HF]:[Berechnungsgruppe]],'#Frucht'!$G$1,FALSE))</f>
        <v>90</v>
      </c>
      <c r="J109" s="505">
        <f t="shared" si="682"/>
        <v>2</v>
      </c>
      <c r="K109" s="505">
        <f>IF('Flächen u. Kulturen'!P105="",0,IF(VLOOKUP('Flächen u. Kulturen'!P105,Kulturen[[HF]:[Saat Winterungen]],'#Frucht'!$P$1,FALSE)&gt;0,1,2))</f>
        <v>2</v>
      </c>
      <c r="L109" s="875">
        <f>'#BerechnungDBE'!AF100</f>
        <v>0</v>
      </c>
      <c r="M109" s="875">
        <f>IF('Flächen u. Kulturen'!L105="",0,VLOOKUP('Flächen u. Kulturen'!L105,Nebenkultur[[Nebenkultur]:[Legum. Zwischenfr.]],'#Zweitfr'!$K$1,FALSE))</f>
        <v>0</v>
      </c>
      <c r="N109" s="875">
        <f>'#BerechnungDBE'!AG100</f>
        <v>0</v>
      </c>
      <c r="P109" s="57">
        <f t="shared" si="489"/>
        <v>0</v>
      </c>
      <c r="Q109" s="57">
        <f t="shared" si="490"/>
        <v>0</v>
      </c>
      <c r="R109" s="875">
        <f t="shared" si="491"/>
        <v>0</v>
      </c>
      <c r="S109" s="938" t="str">
        <f t="shared" si="683"/>
        <v/>
      </c>
      <c r="T109" s="875">
        <f t="shared" si="492"/>
        <v>0</v>
      </c>
      <c r="U109" s="875">
        <f t="shared" si="493"/>
        <v>0</v>
      </c>
      <c r="V109" s="875">
        <f t="shared" si="494"/>
        <v>0</v>
      </c>
      <c r="W109" s="875">
        <f t="shared" si="495"/>
        <v>0</v>
      </c>
      <c r="X109" s="875">
        <f t="shared" si="496"/>
        <v>0</v>
      </c>
      <c r="Y109" s="875">
        <f t="shared" si="837"/>
        <v>0</v>
      </c>
      <c r="Z109" s="875">
        <f t="shared" si="838"/>
        <v>0</v>
      </c>
      <c r="AA109" s="910">
        <f t="shared" si="497"/>
        <v>0</v>
      </c>
      <c r="AB109" s="57">
        <f t="shared" si="839"/>
        <v>0</v>
      </c>
      <c r="AC109" s="875">
        <f t="shared" si="498"/>
        <v>0</v>
      </c>
      <c r="AD109" s="875">
        <f t="shared" si="499"/>
        <v>0</v>
      </c>
      <c r="AE109" s="875">
        <f t="shared" si="500"/>
        <v>0</v>
      </c>
      <c r="AF109" s="875">
        <f t="shared" si="840"/>
        <v>0</v>
      </c>
      <c r="AG109" s="875">
        <f>'org. Düngung 22'!J108</f>
        <v>0</v>
      </c>
      <c r="AH109" s="875">
        <f>'org. Düngung 22'!K108</f>
        <v>0</v>
      </c>
      <c r="AJ109" s="713">
        <f>'org. Düngung 22'!L108</f>
        <v>0</v>
      </c>
      <c r="AK109" s="57"/>
      <c r="AL109" s="57"/>
      <c r="AM109" s="57">
        <f t="shared" si="684"/>
        <v>0</v>
      </c>
      <c r="AN109" s="57">
        <f t="shared" si="685"/>
        <v>0</v>
      </c>
      <c r="AO109" s="57">
        <f t="shared" si="686"/>
        <v>0</v>
      </c>
      <c r="AP109" s="57">
        <f t="shared" si="687"/>
        <v>0</v>
      </c>
      <c r="AQ109" s="57">
        <f t="shared" si="688"/>
        <v>0</v>
      </c>
      <c r="AR109" s="1029">
        <f t="shared" si="501"/>
        <v>0</v>
      </c>
      <c r="AS109" s="57">
        <f t="shared" si="502"/>
        <v>0</v>
      </c>
      <c r="AT109" s="171" t="str">
        <f t="shared" si="503"/>
        <v/>
      </c>
      <c r="AU109" s="57">
        <f t="shared" si="689"/>
        <v>0</v>
      </c>
      <c r="AV109" s="57">
        <f>IF(OR(AND(AJ$6=1,$L109=0),AND(AJ$6=2,$K109=2,$G109=1)),0,IF(AND(AL$9=2,(OR($F109&gt;1,$K109=1,AND($L109=80,OR($N109=1,AND($N109=2,'#BerechnungDBE'!$AL100&gt;0)))))),IF(AJ$4&gt;=$AD$126,0,AT109),IF(AL$9=3,IF(OR(AJ$4&gt;=$AD$127,AND($G109=1,$J109=2,AJ$6=2),AND(AJ$6=1,$N109&lt;&gt;1)),0,IF(AN109&lt;=120,AT109,IF(AJ$4&lt;$AD$124,IF($F109=1,60/AL$4*AL$6,60/AL$4*AL$7),IF($F109=1,120/AL$4*AL$6,120/AL$4*AL$7)))),IF(OR($F109=3,$G109=2),IF(OR(AND(AJ$4&gt;=$AD$119,$C109=2),AND(AJ$4&gt;=$AF$119,$C109=1)),0,IF(AN109&lt;=60,AT109,60/AL$4*AL$7)),IF(AND($F109=2,$G109=1),AT109,0)))))</f>
        <v>0</v>
      </c>
      <c r="AW109" s="57" t="str">
        <f t="shared" si="690"/>
        <v/>
      </c>
      <c r="AX109" s="57" t="str">
        <f t="shared" si="504"/>
        <v/>
      </c>
      <c r="AY109" s="713">
        <f>'org. Düngung 22'!P108</f>
        <v>0</v>
      </c>
      <c r="AZ109" s="57"/>
      <c r="BA109" s="57"/>
      <c r="BB109" s="57">
        <f t="shared" si="505"/>
        <v>0</v>
      </c>
      <c r="BC109" s="57">
        <f t="shared" si="691"/>
        <v>0</v>
      </c>
      <c r="BD109" s="57">
        <f t="shared" si="692"/>
        <v>0</v>
      </c>
      <c r="BE109" s="57">
        <f t="shared" si="693"/>
        <v>0</v>
      </c>
      <c r="BF109" s="57">
        <f t="shared" si="694"/>
        <v>0</v>
      </c>
      <c r="BG109" s="1029">
        <f t="shared" si="506"/>
        <v>0</v>
      </c>
      <c r="BH109" s="57">
        <f t="shared" si="507"/>
        <v>0</v>
      </c>
      <c r="BI109" s="171" t="str">
        <f t="shared" si="508"/>
        <v/>
      </c>
      <c r="BJ109" s="57">
        <f t="shared" si="695"/>
        <v>0</v>
      </c>
      <c r="BK109" s="57">
        <f>IF(OR(AND(AY$6=1,$L109=0),AND(AY$6=2,$K109=2,$G109=1)),0,IF(AND(BA$9=2,(OR($F109&gt;1,$K109=1,AND($L109=80,OR($N109=1,AND($N109=2,'#BerechnungDBE'!$AL100&gt;0)))))),IF(AY$4&gt;=$AD$126,0,BI109),IF(BA$9=3,IF(OR(AY$4&gt;=$AD$127,AND($G109=1,$J109=2,AY$6=2),AND(AY$6=1,$N109&lt;&gt;1)),0,IF(BC109&lt;=120,BI109,IF(AY$4&lt;$AD$124,IF($F109=1,60/BA$4*BA$6,60/BA$4*BA$7),IF($F109=1,120/BA$4*BA$6,120/BA$4*BA$7)))),IF(OR($F109=3,$G109=2),IF(OR(AND(AY$4&gt;=$AD$119,$C109=2),AND(AY$4&gt;=$AF$119,$C109=1)),0,IF(BC109&lt;=60,BI109,60/BA$4*BA$7)),IF(AND($F109=2,$G109=1),BI109,0)))))</f>
        <v>0</v>
      </c>
      <c r="BL109" s="57" t="str">
        <f t="shared" si="509"/>
        <v/>
      </c>
      <c r="BM109" s="57" t="str">
        <f t="shared" si="510"/>
        <v/>
      </c>
      <c r="BN109" s="713">
        <f>'org. Düngung 22'!T108</f>
        <v>0</v>
      </c>
      <c r="BO109" s="57"/>
      <c r="BP109" s="57"/>
      <c r="BQ109" s="57">
        <f t="shared" si="511"/>
        <v>0</v>
      </c>
      <c r="BR109" s="57">
        <f t="shared" si="696"/>
        <v>0</v>
      </c>
      <c r="BS109" s="57">
        <f t="shared" si="697"/>
        <v>0</v>
      </c>
      <c r="BT109" s="57">
        <f t="shared" si="698"/>
        <v>0</v>
      </c>
      <c r="BU109" s="57">
        <f t="shared" si="699"/>
        <v>0</v>
      </c>
      <c r="BV109" s="1029">
        <f t="shared" si="512"/>
        <v>0</v>
      </c>
      <c r="BW109" s="57">
        <f t="shared" si="513"/>
        <v>0</v>
      </c>
      <c r="BX109" s="171" t="str">
        <f t="shared" si="514"/>
        <v/>
      </c>
      <c r="BY109" s="57">
        <f t="shared" si="700"/>
        <v>0</v>
      </c>
      <c r="BZ109" s="57">
        <f>IF(OR(AND(BN$6=1,$L109=0),AND(BN$6=2,$K109=2,$G109=1)),0,IF(AND(BP$9=2,(OR($F109&gt;1,$K109=1,AND($L109=80,OR($N109=1,AND($N109=2,'#BerechnungDBE'!$AL100&gt;0)))))),IF(BN$4&gt;=$AD$126,0,BX109),IF(BP$9=3,IF(OR(BN$4&gt;=$AD$127,AND($G109=1,$J109=2,BN$6=2),AND(BN$6=1,$N109&lt;&gt;1)),0,IF(BR109&lt;=120,BX109,IF(BN$4&lt;$AD$124,IF($F109=1,60/BP$4*BP$6,60/BP$4*BP$7),IF($F109=1,120/BP$4*BP$6,120/BP$4*BP$7)))),IF(OR($F109=3,$G109=2),IF(OR(AND(BN$4&gt;=$AD$119,$C109=2),AND(BN$4&gt;=$AF$119,$C109=1)),0,IF(BR109&lt;=60,BX109,60/BP$4*BP$7)),IF(AND($F109=2,$G109=1),BX109,0)))))</f>
        <v>0</v>
      </c>
      <c r="CA109" s="57" t="str">
        <f t="shared" si="515"/>
        <v/>
      </c>
      <c r="CB109" s="57" t="str">
        <f t="shared" si="516"/>
        <v/>
      </c>
      <c r="CC109" s="713">
        <f>'org. Düngung 22'!X108</f>
        <v>0</v>
      </c>
      <c r="CD109" s="57"/>
      <c r="CE109" s="57"/>
      <c r="CF109" s="57">
        <f t="shared" si="517"/>
        <v>0</v>
      </c>
      <c r="CG109" s="57">
        <f t="shared" si="701"/>
        <v>0</v>
      </c>
      <c r="CH109" s="57">
        <f t="shared" si="702"/>
        <v>0</v>
      </c>
      <c r="CI109" s="57">
        <f t="shared" si="703"/>
        <v>0</v>
      </c>
      <c r="CJ109" s="57">
        <f t="shared" si="704"/>
        <v>0</v>
      </c>
      <c r="CK109" s="1029">
        <f t="shared" si="518"/>
        <v>0</v>
      </c>
      <c r="CL109" s="57">
        <f t="shared" si="519"/>
        <v>0</v>
      </c>
      <c r="CM109" s="171" t="str">
        <f t="shared" si="520"/>
        <v/>
      </c>
      <c r="CN109" s="57">
        <f t="shared" si="705"/>
        <v>0</v>
      </c>
      <c r="CO109" s="57">
        <f>IF(OR(AND(CC$6=1,$L109=0),AND(CC$6=2,$K109=2,$G109=1)),0,IF(AND(CE$9=2,(OR($F109&gt;1,$K109=1,AND($L109=80,OR($N109=1,AND($N109=2,'#BerechnungDBE'!$AL100&gt;0)))))),IF(CC$4&gt;=$AD$126,0,CM109),IF(CE$9=3,IF(OR(CC$4&gt;=$AD$127,AND($G109=1,$J109=2,CC$6=2),AND(CC$6=1,$N109&lt;&gt;1)),0,IF(CG109&lt;=120,CM109,IF(CC$4&lt;$AD$124,IF($F109=1,60/CE$4*CE$6,60/CE$4*CE$7),IF($F109=1,120/CE$4*CE$6,120/CE$4*CE$7)))),IF(OR($F109=3,$G109=2),IF(OR(AND(CC$4&gt;=$AD$119,$C109=2),AND(CC$4&gt;=$AF$119,$C109=1)),0,IF(CG109&lt;=60,CM109,60/CE$4*CE$7)),IF(AND($F109=2,$G109=1),CM109,0)))))</f>
        <v>0</v>
      </c>
      <c r="CP109" s="57" t="str">
        <f t="shared" si="521"/>
        <v/>
      </c>
      <c r="CQ109" s="57" t="str">
        <f t="shared" si="522"/>
        <v/>
      </c>
      <c r="CR109" s="713">
        <f>'org. Düngung 22'!AB108</f>
        <v>0</v>
      </c>
      <c r="CS109" s="57"/>
      <c r="CT109" s="57"/>
      <c r="CU109" s="57">
        <f t="shared" si="523"/>
        <v>0</v>
      </c>
      <c r="CV109" s="57">
        <f t="shared" si="706"/>
        <v>0</v>
      </c>
      <c r="CW109" s="57">
        <f t="shared" si="707"/>
        <v>0</v>
      </c>
      <c r="CX109" s="57">
        <f t="shared" si="708"/>
        <v>0</v>
      </c>
      <c r="CY109" s="57">
        <f t="shared" si="709"/>
        <v>0</v>
      </c>
      <c r="CZ109" s="1029">
        <f t="shared" si="524"/>
        <v>0</v>
      </c>
      <c r="DA109" s="57">
        <f t="shared" si="525"/>
        <v>0</v>
      </c>
      <c r="DB109" s="171" t="str">
        <f t="shared" si="526"/>
        <v/>
      </c>
      <c r="DC109" s="57">
        <f t="shared" si="710"/>
        <v>0</v>
      </c>
      <c r="DD109" s="57">
        <f>IF(OR(AND(CR$6=1,$L109=0),AND(CR$6=2,$K109=2,$G109=1)),0,IF(AND(CT$9=2,(OR($F109&gt;1,$K109=1,AND($L109=80,OR($N109=1,AND($N109=2,'#BerechnungDBE'!$AL100&gt;0)))))),IF(CR$4&gt;=$AD$126,0,DB109),IF(CT$9=3,IF(OR(CR$4&gt;=$AD$127,AND($G109=1,$J109=2,CR$6=2),AND(CR$6=1,$N109&lt;&gt;1)),0,IF(CV109&lt;=120,DB109,IF(CR$4&lt;$AD$124,IF($F109=1,60/CT$4*CT$6,60/CT$4*CT$7),IF($F109=1,120/CT$4*CT$6,120/CT$4*CT$7)))),IF(OR($F109=3,$G109=2),IF(OR(AND(CR$4&gt;=$AD$119,$C109=2),AND(CR$4&gt;=$AF$119,$C109=1)),0,IF(CV109&lt;=60,DB109,60/CT$4*CT$7)),IF(AND($F109=2,$G109=1),DB109,0)))))</f>
        <v>0</v>
      </c>
      <c r="DE109" s="57" t="str">
        <f t="shared" si="527"/>
        <v/>
      </c>
      <c r="DF109" s="57" t="str">
        <f t="shared" si="528"/>
        <v/>
      </c>
      <c r="DG109" s="713">
        <f>'org. Düngung 22'!AF108</f>
        <v>0</v>
      </c>
      <c r="DH109" s="57"/>
      <c r="DI109" s="57"/>
      <c r="DJ109" s="57">
        <f t="shared" si="529"/>
        <v>0</v>
      </c>
      <c r="DK109" s="57">
        <f t="shared" si="711"/>
        <v>0</v>
      </c>
      <c r="DL109" s="57">
        <f t="shared" si="712"/>
        <v>0</v>
      </c>
      <c r="DM109" s="57">
        <f t="shared" si="713"/>
        <v>0</v>
      </c>
      <c r="DN109" s="57">
        <f t="shared" si="714"/>
        <v>0</v>
      </c>
      <c r="DO109" s="1029">
        <f t="shared" si="530"/>
        <v>0</v>
      </c>
      <c r="DP109" s="57">
        <f t="shared" si="531"/>
        <v>0</v>
      </c>
      <c r="DQ109" s="171" t="str">
        <f t="shared" si="532"/>
        <v/>
      </c>
      <c r="DR109" s="57">
        <f t="shared" si="715"/>
        <v>0</v>
      </c>
      <c r="DS109" s="57">
        <f>IF(OR(AND(DG$6=1,$L109=0),AND(DG$6=2,$K109=2,$G109=1)),0,IF(AND(DI$9=2,(OR($F109&gt;1,$K109=1,AND($L109=80,OR($N109=1,AND($N109=2,'#BerechnungDBE'!$AL100&gt;0)))))),IF(DG$4&gt;=$AD$126,0,DQ109),IF(DI$9=3,IF(OR(DG$4&gt;=$AD$127,AND($G109=1,$J109=2,DG$6=2),AND(DG$6=1,$N109&lt;&gt;1)),0,IF(DK109&lt;=120,DQ109,IF(DG$4&lt;$AD$124,IF($F109=1,60/DI$4*DI$6,60/DI$4*DI$7),IF($F109=1,120/DI$4*DI$6,120/DI$4*DI$7)))),IF(OR($F109=3,$G109=2),IF(OR(AND(DG$4&gt;=$AD$119,$C109=2),AND(DG$4&gt;=$AF$119,$C109=1)),0,IF(DK109&lt;=60,DQ109,60/DI$4*DI$7)),IF(AND($F109=2,$G109=1),DQ109,0)))))</f>
        <v>0</v>
      </c>
      <c r="DT109" s="57" t="str">
        <f t="shared" si="533"/>
        <v/>
      </c>
      <c r="DU109" s="57" t="str">
        <f t="shared" si="534"/>
        <v/>
      </c>
      <c r="DV109" s="713">
        <f>'org. Düngung 22'!AJ108</f>
        <v>0</v>
      </c>
      <c r="DW109" s="57"/>
      <c r="DX109" s="57"/>
      <c r="DY109" s="57">
        <f t="shared" si="535"/>
        <v>0</v>
      </c>
      <c r="DZ109" s="57">
        <f t="shared" si="716"/>
        <v>0</v>
      </c>
      <c r="EA109" s="57">
        <f t="shared" si="717"/>
        <v>0</v>
      </c>
      <c r="EB109" s="57">
        <f t="shared" si="718"/>
        <v>0</v>
      </c>
      <c r="EC109" s="57">
        <f t="shared" si="719"/>
        <v>0</v>
      </c>
      <c r="ED109" s="1029">
        <f t="shared" si="536"/>
        <v>0</v>
      </c>
      <c r="EE109" s="57">
        <f t="shared" si="537"/>
        <v>0</v>
      </c>
      <c r="EF109" s="171" t="str">
        <f t="shared" si="538"/>
        <v/>
      </c>
      <c r="EG109" s="57">
        <f t="shared" si="720"/>
        <v>0</v>
      </c>
      <c r="EH109" s="57">
        <f>IF(OR(AND(DV$6=1,$L109=0),AND(DV$6=2,$K109=2,$G109=1)),0,IF(AND(DX$9=2,(OR($F109&gt;1,$K109=1,AND($L109=80,OR($N109=1,AND($N109=2,'#BerechnungDBE'!$AL100&gt;0)))))),IF(DV$4&gt;=$AD$126,0,EF109),IF(DX$9=3,IF(OR(DV$4&gt;=$AD$127,AND($G109=1,$J109=2,DV$6=2),AND(DV$6=1,$N109&lt;&gt;1)),0,IF(DZ109&lt;=120,EF109,IF(DV$4&lt;$AD$124,IF($F109=1,60/DX$4*DX$6,60/DX$4*DX$7),IF($F109=1,120/DX$4*DX$6,120/DX$4*DX$7)))),IF(OR($F109=3,$G109=2),IF(OR(AND(DV$4&gt;=$AD$119,$C109=2),AND(DV$4&gt;=$AF$119,$C109=1)),0,IF(DZ109&lt;=60,EF109,60/DX$4*DX$7)),IF(AND($F109=2,$G109=1),EF109,0)))))</f>
        <v>0</v>
      </c>
      <c r="EI109" s="57" t="str">
        <f t="shared" si="539"/>
        <v/>
      </c>
      <c r="EJ109" s="57" t="str">
        <f t="shared" si="540"/>
        <v/>
      </c>
      <c r="EK109" s="713">
        <f>'org. Düngung 22'!AN108</f>
        <v>0</v>
      </c>
      <c r="EL109" s="57"/>
      <c r="EM109" s="57"/>
      <c r="EN109" s="57">
        <f t="shared" si="541"/>
        <v>0</v>
      </c>
      <c r="EO109" s="57">
        <f t="shared" si="721"/>
        <v>0</v>
      </c>
      <c r="EP109" s="57">
        <f t="shared" si="722"/>
        <v>0</v>
      </c>
      <c r="EQ109" s="57">
        <f t="shared" si="723"/>
        <v>0</v>
      </c>
      <c r="ER109" s="57">
        <f t="shared" si="724"/>
        <v>0</v>
      </c>
      <c r="ES109" s="1029">
        <f t="shared" si="542"/>
        <v>0</v>
      </c>
      <c r="ET109" s="57">
        <f t="shared" si="543"/>
        <v>0</v>
      </c>
      <c r="EU109" s="171" t="str">
        <f t="shared" si="544"/>
        <v/>
      </c>
      <c r="EV109" s="57">
        <f t="shared" si="725"/>
        <v>0</v>
      </c>
      <c r="EW109" s="57">
        <f>IF(OR(AND(EK$6=1,$L109=0),AND(EK$6=2,$K109=2,$G109=1)),0,IF(AND(EM$9=2,(OR($F109&gt;1,$K109=1,AND($L109=80,OR($N109=1,AND($N109=2,'#BerechnungDBE'!$AL100&gt;0)))))),IF(EK$4&gt;=$AD$126,0,EU109),IF(EM$9=3,IF(OR(EK$4&gt;=$AD$127,AND($G109=1,$J109=2,EK$6=2),AND(EK$6=1,$N109&lt;&gt;1)),0,IF(EO109&lt;=120,EU109,IF(EK$4&lt;$AD$124,IF($F109=1,60/EM$4*EM$6,60/EM$4*EM$7),IF($F109=1,120/EM$4*EM$6,120/EM$4*EM$7)))),IF(OR($F109=3,$G109=2),IF(OR(AND(EK$4&gt;=$AD$119,$C109=2),AND(EK$4&gt;=$AF$119,$C109=1)),0,IF(EO109&lt;=60,EU109,60/EM$4*EM$7)),IF(AND($F109=2,$G109=1),EU109,0)))))</f>
        <v>0</v>
      </c>
      <c r="EX109" s="57" t="str">
        <f t="shared" si="545"/>
        <v/>
      </c>
      <c r="EY109" s="57" t="str">
        <f t="shared" si="546"/>
        <v/>
      </c>
      <c r="EZ109" s="713">
        <f>'org. Düngung 22'!AR108</f>
        <v>0</v>
      </c>
      <c r="FA109" s="57"/>
      <c r="FB109" s="57"/>
      <c r="FC109" s="57">
        <f t="shared" si="547"/>
        <v>0</v>
      </c>
      <c r="FD109" s="57">
        <f t="shared" si="726"/>
        <v>0</v>
      </c>
      <c r="FE109" s="57">
        <f t="shared" si="727"/>
        <v>0</v>
      </c>
      <c r="FF109" s="57">
        <f t="shared" si="728"/>
        <v>0</v>
      </c>
      <c r="FG109" s="57">
        <f t="shared" si="729"/>
        <v>0</v>
      </c>
      <c r="FH109" s="1029">
        <f t="shared" si="548"/>
        <v>0</v>
      </c>
      <c r="FI109" s="57">
        <f t="shared" si="549"/>
        <v>0</v>
      </c>
      <c r="FJ109" s="171" t="str">
        <f t="shared" si="550"/>
        <v/>
      </c>
      <c r="FK109" s="57">
        <f t="shared" si="730"/>
        <v>0</v>
      </c>
      <c r="FL109" s="57">
        <f>IF(OR(AND(EZ$6=1,$L109=0),AND(EZ$6=2,$K109=2,$G109=1)),0,IF(AND(FB$9=2,(OR($F109&gt;1,$K109=1,AND($L109=80,OR($N109=1,AND($N109=2,'#BerechnungDBE'!$AL100&gt;0)))))),IF(EZ$4&gt;=$AD$126,0,FJ109),IF(FB$9=3,IF(OR(EZ$4&gt;=$AD$127,AND($G109=1,$J109=2,EZ$6=2),AND(EZ$6=1,$N109&lt;&gt;1)),0,IF(FD109&lt;=120,FJ109,IF(EZ$4&lt;$AD$124,IF($F109=1,60/FB$4*FB$6,60/FB$4*FB$7),IF($F109=1,120/FB$4*FB$6,120/FB$4*FB$7)))),IF(OR($F109=3,$G109=2),IF(OR(AND(EZ$4&gt;=$AD$119,$C109=2),AND(EZ$4&gt;=$AF$119,$C109=1)),0,IF(FD109&lt;=60,FJ109,60/FB$4*FB$7)),IF(AND($F109=2,$G109=1),FJ109,0)))))</f>
        <v>0</v>
      </c>
      <c r="FM109" s="57" t="str">
        <f t="shared" si="551"/>
        <v/>
      </c>
      <c r="FN109" s="57" t="str">
        <f t="shared" si="552"/>
        <v/>
      </c>
      <c r="FO109" s="713">
        <f>'org. Düngung 22'!AV108</f>
        <v>0</v>
      </c>
      <c r="FP109" s="57"/>
      <c r="FQ109" s="57"/>
      <c r="FR109" s="57">
        <f t="shared" si="553"/>
        <v>0</v>
      </c>
      <c r="FS109" s="57">
        <f t="shared" si="731"/>
        <v>0</v>
      </c>
      <c r="FT109" s="57">
        <f t="shared" si="732"/>
        <v>0</v>
      </c>
      <c r="FU109" s="57">
        <f t="shared" si="733"/>
        <v>0</v>
      </c>
      <c r="FV109" s="57">
        <f t="shared" si="734"/>
        <v>0</v>
      </c>
      <c r="FW109" s="1029">
        <f t="shared" si="554"/>
        <v>0</v>
      </c>
      <c r="FX109" s="57">
        <f t="shared" si="555"/>
        <v>0</v>
      </c>
      <c r="FY109" s="171" t="str">
        <f t="shared" si="556"/>
        <v/>
      </c>
      <c r="FZ109" s="57">
        <f t="shared" si="735"/>
        <v>0</v>
      </c>
      <c r="GA109" s="57">
        <f>IF(OR(AND(FO$6=1,$L109=0),AND(FO$6=2,$K109=2,$G109=1)),0,IF(AND(FQ$9=2,(OR($F109&gt;1,$K109=1,AND($L109=80,OR($N109=1,AND($N109=2,'#BerechnungDBE'!$AL100&gt;0)))))),IF(FO$4&gt;=$AD$126,0,FY109),IF(FQ$9=3,IF(OR(FO$4&gt;=$AD$127,AND($G109=1,$J109=2,FO$6=2),AND(FO$6=1,$N109&lt;&gt;1)),0,IF(FS109&lt;=120,FY109,IF(FO$4&lt;$AD$124,IF($F109=1,60/FQ$4*FQ$6,60/FQ$4*FQ$7),IF($F109=1,120/FQ$4*FQ$6,120/FQ$4*FQ$7)))),IF(OR($F109=3,$G109=2),IF(OR(AND(FO$4&gt;=$AD$119,$C109=2),AND(FO$4&gt;=$AF$119,$C109=1)),0,IF(FS109&lt;=60,FY109,60/FQ$4*FQ$7)),IF(AND($F109=2,$G109=1),FY109,0)))))</f>
        <v>0</v>
      </c>
      <c r="GB109" s="57" t="str">
        <f t="shared" si="557"/>
        <v/>
      </c>
      <c r="GC109" s="57" t="str">
        <f t="shared" si="558"/>
        <v/>
      </c>
      <c r="GD109" s="713">
        <f>'org. Düngung 22'!AZ108</f>
        <v>0</v>
      </c>
      <c r="GE109" s="57"/>
      <c r="GF109" s="57"/>
      <c r="GG109" s="57">
        <f t="shared" si="559"/>
        <v>0</v>
      </c>
      <c r="GH109" s="57">
        <f t="shared" si="736"/>
        <v>0</v>
      </c>
      <c r="GI109" s="57">
        <f t="shared" si="737"/>
        <v>0</v>
      </c>
      <c r="GJ109" s="57">
        <f t="shared" si="738"/>
        <v>0</v>
      </c>
      <c r="GK109" s="57">
        <f t="shared" si="739"/>
        <v>0</v>
      </c>
      <c r="GL109" s="1029">
        <f t="shared" si="560"/>
        <v>0</v>
      </c>
      <c r="GM109" s="57">
        <f t="shared" si="561"/>
        <v>0</v>
      </c>
      <c r="GN109" s="171" t="str">
        <f t="shared" si="562"/>
        <v/>
      </c>
      <c r="GO109" s="57">
        <f t="shared" si="740"/>
        <v>0</v>
      </c>
      <c r="GP109" s="57">
        <f>IF(OR(AND(GD$6=1,$L109=0),AND(GD$6=2,$K109=2,$G109=1)),0,IF(AND(GF$9=2,(OR($F109&gt;1,$K109=1,AND($L109=80,OR($N109=1,AND($N109=2,'#BerechnungDBE'!$AL100&gt;0)))))),IF(GD$4&gt;=$AD$126,0,GN109),IF(GF$9=3,IF(OR(GD$4&gt;=$AD$127,AND($G109=1,$J109=2,GD$6=2),AND(GD$6=1,$N109&lt;&gt;1)),0,IF(GH109&lt;=120,GN109,IF(GD$4&lt;$AD$124,IF($F109=1,60/GF$4*GF$6,60/GF$4*GF$7),IF($F109=1,120/GF$4*GF$6,120/GF$4*GF$7)))),IF(OR($F109=3,$G109=2),IF(OR(AND(GD$4&gt;=$AD$119,$C109=2),AND(GD$4&gt;=$AF$119,$C109=1)),0,IF(GH109&lt;=60,GN109,60/GF$4*GF$7)),IF(AND($F109=2,$G109=1),GN109,0)))))</f>
        <v>0</v>
      </c>
      <c r="GQ109" s="57" t="str">
        <f t="shared" si="563"/>
        <v/>
      </c>
      <c r="GR109" s="57" t="str">
        <f t="shared" si="564"/>
        <v/>
      </c>
      <c r="GS109" s="713">
        <f>'org. Düngung 22'!BD108</f>
        <v>0</v>
      </c>
      <c r="GT109" s="57"/>
      <c r="GU109" s="57"/>
      <c r="GV109" s="57">
        <f t="shared" si="565"/>
        <v>0</v>
      </c>
      <c r="GW109" s="57">
        <f t="shared" si="741"/>
        <v>0</v>
      </c>
      <c r="GX109" s="57">
        <f t="shared" si="742"/>
        <v>0</v>
      </c>
      <c r="GY109" s="57">
        <f t="shared" si="743"/>
        <v>0</v>
      </c>
      <c r="GZ109" s="57">
        <f t="shared" si="744"/>
        <v>0</v>
      </c>
      <c r="HA109" s="1029">
        <f t="shared" si="566"/>
        <v>0</v>
      </c>
      <c r="HB109" s="57">
        <f t="shared" si="567"/>
        <v>0</v>
      </c>
      <c r="HC109" s="171" t="str">
        <f t="shared" si="568"/>
        <v/>
      </c>
      <c r="HD109" s="57">
        <f t="shared" si="745"/>
        <v>0</v>
      </c>
      <c r="HE109" s="57">
        <f>IF(OR(AND(GS$6=1,$L109=0),AND(GS$6=2,$K109=2,$G109=1)),0,IF(AND(GU$9=2,(OR($F109&gt;1,$K109=1,AND($L109=80,OR($N109=1,AND($N109=2,'#BerechnungDBE'!$AL100&gt;0)))))),IF(GS$4&gt;=$AD$126,0,HC109),IF(GU$9=3,IF(OR(GS$4&gt;=$AD$127,AND($G109=1,$J109=2,GS$6=2),AND(GS$6=1,$N109&lt;&gt;1)),0,IF(GW109&lt;=120,HC109,IF(GS$4&lt;$AD$124,IF($F109=1,60/GU$4*GU$6,60/GU$4*GU$7),IF($F109=1,120/GU$4*GU$6,120/GU$4*GU$7)))),IF(OR($F109=3,$G109=2),IF(OR(AND(GS$4&gt;=$AD$119,$C109=2),AND(GS$4&gt;=$AF$119,$C109=1)),0,IF(GW109&lt;=60,HC109,60/GU$4*GU$7)),IF(AND($F109=2,$G109=1),HC109,0)))))</f>
        <v>0</v>
      </c>
      <c r="HF109" s="57" t="str">
        <f t="shared" si="569"/>
        <v/>
      </c>
      <c r="HG109" s="57" t="str">
        <f t="shared" si="570"/>
        <v/>
      </c>
      <c r="HH109" s="713">
        <f>'org. Düngung 22'!BH108</f>
        <v>0</v>
      </c>
      <c r="HI109" s="57"/>
      <c r="HJ109" s="57"/>
      <c r="HK109" s="57">
        <f t="shared" si="571"/>
        <v>0</v>
      </c>
      <c r="HL109" s="57">
        <f t="shared" si="746"/>
        <v>0</v>
      </c>
      <c r="HM109" s="57">
        <f t="shared" si="747"/>
        <v>0</v>
      </c>
      <c r="HN109" s="57">
        <f t="shared" si="748"/>
        <v>0</v>
      </c>
      <c r="HO109" s="57">
        <f t="shared" si="749"/>
        <v>0</v>
      </c>
      <c r="HP109" s="1029">
        <f t="shared" si="572"/>
        <v>0</v>
      </c>
      <c r="HQ109" s="57">
        <f t="shared" si="573"/>
        <v>0</v>
      </c>
      <c r="HR109" s="171" t="str">
        <f t="shared" si="574"/>
        <v/>
      </c>
      <c r="HS109" s="57">
        <f t="shared" si="750"/>
        <v>0</v>
      </c>
      <c r="HT109" s="57">
        <f>IF(OR(AND(HH$6=1,$L109=0),AND(HH$6=2,$K109=2,$G109=1)),0,IF(AND(HJ$9=2,(OR($F109&gt;1,$K109=1,AND($L109=80,OR($N109=1,AND($N109=2,'#BerechnungDBE'!$AL100&gt;0)))))),IF(HH$4&gt;=$AD$126,0,HR109),IF(HJ$9=3,IF(OR(HH$4&gt;=$AD$127,AND($G109=1,$J109=2,HH$6=2),AND(HH$6=1,$N109&lt;&gt;1)),0,IF(HL109&lt;=120,HR109,IF(HH$4&lt;$AD$124,IF($F109=1,60/HJ$4*HJ$6,60/HJ$4*HJ$7),IF($F109=1,120/HJ$4*HJ$6,120/HJ$4*HJ$7)))),IF(OR($F109=3,$G109=2),IF(OR(AND(HH$4&gt;=$AD$119,$C109=2),AND(HH$4&gt;=$AF$119,$C109=1)),0,IF(HL109&lt;=60,HR109,60/HJ$4*HJ$7)),IF(AND($F109=2,$G109=1),HR109,0)))))</f>
        <v>0</v>
      </c>
      <c r="HU109" s="57" t="str">
        <f t="shared" si="575"/>
        <v/>
      </c>
      <c r="HV109" s="57" t="str">
        <f t="shared" si="576"/>
        <v/>
      </c>
      <c r="HW109" s="713">
        <f>'org. Düngung 22'!BL108</f>
        <v>0</v>
      </c>
      <c r="HX109" s="57"/>
      <c r="HY109" s="57"/>
      <c r="HZ109" s="57">
        <f t="shared" si="577"/>
        <v>0</v>
      </c>
      <c r="IA109" s="57">
        <f t="shared" si="751"/>
        <v>0</v>
      </c>
      <c r="IB109" s="57">
        <f t="shared" si="752"/>
        <v>0</v>
      </c>
      <c r="IC109" s="57">
        <f t="shared" si="753"/>
        <v>0</v>
      </c>
      <c r="ID109" s="57">
        <f t="shared" si="754"/>
        <v>0</v>
      </c>
      <c r="IE109" s="1029">
        <f t="shared" si="578"/>
        <v>0</v>
      </c>
      <c r="IF109" s="57">
        <f t="shared" si="579"/>
        <v>0</v>
      </c>
      <c r="IG109" s="171" t="str">
        <f t="shared" si="580"/>
        <v/>
      </c>
      <c r="IH109" s="57">
        <f t="shared" si="755"/>
        <v>0</v>
      </c>
      <c r="II109" s="57">
        <f>IF(OR(AND(HW$6=1,$L109=0),AND(HW$6=2,$K109=2,$G109=1)),0,IF(AND(HY$9=2,(OR($F109&gt;1,$K109=1,AND($L109=80,OR($N109=1,AND($N109=2,'#BerechnungDBE'!$AL100&gt;0)))))),IF(HW$4&gt;=$AD$126,0,IG109),IF(HY$9=3,IF(OR(HW$4&gt;=$AD$127,AND($G109=1,$J109=2,HW$6=2),AND(HW$6=1,$N109&lt;&gt;1)),0,IF(IA109&lt;=120,IG109,IF(HW$4&lt;$AD$124,IF($F109=1,60/HY$4*HY$6,60/HY$4*HY$7),IF($F109=1,120/HY$4*HY$6,120/HY$4*HY$7)))),IF(OR($F109=3,$G109=2),IF(OR(AND(HW$4&gt;=$AD$119,$C109=2),AND(HW$4&gt;=$AF$119,$C109=1)),0,IF(IA109&lt;=60,IG109,60/HY$4*HY$7)),IF(AND($F109=2,$G109=1),IG109,0)))))</f>
        <v>0</v>
      </c>
      <c r="IJ109" s="57" t="str">
        <f t="shared" si="581"/>
        <v/>
      </c>
      <c r="IK109" s="57" t="str">
        <f t="shared" si="582"/>
        <v/>
      </c>
      <c r="IL109" s="713">
        <f>'org. Düngung 22'!BP108</f>
        <v>0</v>
      </c>
      <c r="IM109" s="57"/>
      <c r="IN109" s="57"/>
      <c r="IO109" s="57">
        <f t="shared" si="583"/>
        <v>0</v>
      </c>
      <c r="IP109" s="57">
        <f t="shared" si="756"/>
        <v>0</v>
      </c>
      <c r="IQ109" s="57">
        <f t="shared" si="757"/>
        <v>0</v>
      </c>
      <c r="IR109" s="57">
        <f t="shared" si="758"/>
        <v>0</v>
      </c>
      <c r="IS109" s="57">
        <f t="shared" si="759"/>
        <v>0</v>
      </c>
      <c r="IT109" s="1029">
        <f t="shared" si="584"/>
        <v>0</v>
      </c>
      <c r="IU109" s="57">
        <f t="shared" si="585"/>
        <v>0</v>
      </c>
      <c r="IV109" s="171" t="str">
        <f t="shared" si="586"/>
        <v/>
      </c>
      <c r="IW109" s="57">
        <f t="shared" si="760"/>
        <v>0</v>
      </c>
      <c r="IX109" s="57">
        <f>IF(OR(AND(IL$6=1,$L109=0),AND(IL$6=2,$K109=2,$G109=1)),0,IF(AND(IN$9=2,(OR($F109&gt;1,$K109=1,AND($L109=80,OR($N109=1,AND($N109=2,'#BerechnungDBE'!$AL100&gt;0)))))),IF(IL$4&gt;=$AD$126,0,IV109),IF(IN$9=3,IF(OR(IL$4&gt;=$AD$127,AND($G109=1,$J109=2,IL$6=2),AND(IL$6=1,$N109&lt;&gt;1)),0,IF(IP109&lt;=120,IV109,IF(IL$4&lt;$AD$124,IF($F109=1,60/IN$4*IN$6,60/IN$4*IN$7),IF($F109=1,120/IN$4*IN$6,120/IN$4*IN$7)))),IF(OR($F109=3,$G109=2),IF(OR(AND(IL$4&gt;=$AD$119,$C109=2),AND(IL$4&gt;=$AF$119,$C109=1)),0,IF(IP109&lt;=60,IV109,60/IN$4*IN$7)),IF(AND($F109=2,$G109=1),IV109,0)))))</f>
        <v>0</v>
      </c>
      <c r="IY109" s="57" t="str">
        <f t="shared" si="587"/>
        <v/>
      </c>
      <c r="IZ109" s="57" t="str">
        <f t="shared" si="588"/>
        <v/>
      </c>
      <c r="JA109" s="713">
        <f>'org. Düngung 22'!BT108</f>
        <v>0</v>
      </c>
      <c r="JB109" s="57"/>
      <c r="JC109" s="57"/>
      <c r="JD109" s="57">
        <f t="shared" si="589"/>
        <v>0</v>
      </c>
      <c r="JE109" s="57">
        <f t="shared" si="761"/>
        <v>0</v>
      </c>
      <c r="JF109" s="57">
        <f t="shared" si="762"/>
        <v>0</v>
      </c>
      <c r="JG109" s="57">
        <f t="shared" si="763"/>
        <v>0</v>
      </c>
      <c r="JH109" s="57">
        <f t="shared" si="764"/>
        <v>0</v>
      </c>
      <c r="JI109" s="1029">
        <f t="shared" si="590"/>
        <v>0</v>
      </c>
      <c r="JJ109" s="57">
        <f t="shared" si="591"/>
        <v>0</v>
      </c>
      <c r="JK109" s="171" t="str">
        <f t="shared" si="592"/>
        <v/>
      </c>
      <c r="JL109" s="57">
        <f t="shared" si="765"/>
        <v>0</v>
      </c>
      <c r="JM109" s="57">
        <f>IF(OR(AND(JA$6=1,$L109=0),AND(JA$6=2,$K109=2,$G109=1)),0,IF(AND(JC$9=2,(OR($F109&gt;1,$K109=1,AND($L109=80,OR($N109=1,AND($N109=2,'#BerechnungDBE'!$AL100&gt;0)))))),IF(JA$4&gt;=$AD$126,0,JK109),IF(JC$9=3,IF(OR(JA$4&gt;=$AD$127,AND($G109=1,$J109=2,JA$6=2),AND(JA$6=1,$N109&lt;&gt;1)),0,IF(JE109&lt;=120,JK109,IF(JA$4&lt;$AD$124,IF($F109=1,60/JC$4*JC$6,60/JC$4*JC$7),IF($F109=1,120/JC$4*JC$6,120/JC$4*JC$7)))),IF(OR($F109=3,$G109=2),IF(OR(AND(JA$4&gt;=$AD$119,$C109=2),AND(JA$4&gt;=$AF$119,$C109=1)),0,IF(JE109&lt;=60,JK109,60/JC$4*JC$7)),IF(AND($F109=2,$G109=1),JK109,0)))))</f>
        <v>0</v>
      </c>
      <c r="JN109" s="57" t="str">
        <f t="shared" si="593"/>
        <v/>
      </c>
      <c r="JO109" s="57" t="str">
        <f t="shared" si="594"/>
        <v/>
      </c>
      <c r="JP109" s="713">
        <f>'org. Düngung 22'!BX108</f>
        <v>0</v>
      </c>
      <c r="JQ109" s="57"/>
      <c r="JR109" s="57"/>
      <c r="JS109" s="57">
        <f t="shared" si="595"/>
        <v>0</v>
      </c>
      <c r="JT109" s="57">
        <f t="shared" si="766"/>
        <v>0</v>
      </c>
      <c r="JU109" s="57">
        <f t="shared" si="767"/>
        <v>0</v>
      </c>
      <c r="JV109" s="57">
        <f t="shared" si="768"/>
        <v>0</v>
      </c>
      <c r="JW109" s="57">
        <f t="shared" si="769"/>
        <v>0</v>
      </c>
      <c r="JX109" s="1029">
        <f t="shared" si="596"/>
        <v>0</v>
      </c>
      <c r="JY109" s="57">
        <f t="shared" si="597"/>
        <v>0</v>
      </c>
      <c r="JZ109" s="171" t="str">
        <f t="shared" si="598"/>
        <v/>
      </c>
      <c r="KA109" s="57">
        <f t="shared" si="770"/>
        <v>0</v>
      </c>
      <c r="KB109" s="57">
        <f>IF(OR(AND(JP$6=1,$L109=0),AND(JP$6=2,$K109=2,$G109=1)),0,IF(AND(JR$9=2,(OR($F109&gt;1,$K109=1,AND($L109=80,OR($N109=1,AND($N109=2,'#BerechnungDBE'!$AL100&gt;0)))))),IF(JP$4&gt;=$AD$126,0,JZ109),IF(JR$9=3,IF(OR(JP$4&gt;=$AD$127,AND($G109=1,$J109=2,JP$6=2),AND(JP$6=1,$N109&lt;&gt;1)),0,IF(JT109&lt;=120,JZ109,IF(JP$4&lt;$AD$124,IF($F109=1,60/JR$4*JR$6,60/JR$4*JR$7),IF($F109=1,120/JR$4*JR$6,120/JR$4*JR$7)))),IF(OR($F109=3,$G109=2),IF(OR(AND(JP$4&gt;=$AD$119,$C109=2),AND(JP$4&gt;=$AF$119,$C109=1)),0,IF(JT109&lt;=60,JZ109,60/JR$4*JR$7)),IF(AND($F109=2,$G109=1),JZ109,0)))))</f>
        <v>0</v>
      </c>
      <c r="KC109" s="57" t="str">
        <f t="shared" si="599"/>
        <v/>
      </c>
      <c r="KD109" s="57" t="str">
        <f t="shared" si="600"/>
        <v/>
      </c>
      <c r="KE109" s="713">
        <f>'org. Düngung 22'!CB108</f>
        <v>0</v>
      </c>
      <c r="KF109" s="57"/>
      <c r="KG109" s="57"/>
      <c r="KH109" s="57">
        <f t="shared" si="601"/>
        <v>0</v>
      </c>
      <c r="KI109" s="57">
        <f t="shared" si="771"/>
        <v>0</v>
      </c>
      <c r="KJ109" s="57">
        <f t="shared" si="772"/>
        <v>0</v>
      </c>
      <c r="KK109" s="57">
        <f t="shared" si="773"/>
        <v>0</v>
      </c>
      <c r="KL109" s="57">
        <f t="shared" si="774"/>
        <v>0</v>
      </c>
      <c r="KM109" s="1029">
        <f t="shared" si="602"/>
        <v>0</v>
      </c>
      <c r="KN109" s="57">
        <f t="shared" si="603"/>
        <v>0</v>
      </c>
      <c r="KO109" s="171" t="str">
        <f t="shared" si="604"/>
        <v/>
      </c>
      <c r="KP109" s="57">
        <f t="shared" si="775"/>
        <v>0</v>
      </c>
      <c r="KQ109" s="57">
        <f>IF(OR(AND(KE$6=1,$L109=0),AND(KE$6=2,$K109=2,$G109=1)),0,IF(AND(KG$9=2,(OR($F109&gt;1,$K109=1,AND($L109=80,OR($N109=1,AND($N109=2,'#BerechnungDBE'!$AL100&gt;0)))))),IF(KE$4&gt;=$AD$126,0,KO109),IF(KG$9=3,IF(OR(KE$4&gt;=$AD$127,AND($G109=1,$J109=2,KE$6=2),AND(KE$6=1,$N109&lt;&gt;1)),0,IF(KI109&lt;=120,KO109,IF(KE$4&lt;$AD$124,IF($F109=1,60/KG$4*KG$6,60/KG$4*KG$7),IF($F109=1,120/KG$4*KG$6,120/KG$4*KG$7)))),IF(OR($F109=3,$G109=2),IF(OR(AND(KE$4&gt;=$AD$119,$C109=2),AND(KE$4&gt;=$AF$119,$C109=1)),0,IF(KI109&lt;=60,KO109,60/KG$4*KG$7)),IF(AND($F109=2,$G109=1),KO109,0)))))</f>
        <v>0</v>
      </c>
      <c r="KR109" s="57" t="str">
        <f t="shared" si="605"/>
        <v/>
      </c>
      <c r="KS109" s="57" t="str">
        <f t="shared" si="606"/>
        <v/>
      </c>
      <c r="KT109" s="713">
        <f>'org. Düngung 22'!CF108</f>
        <v>0</v>
      </c>
      <c r="KU109" s="57"/>
      <c r="KV109" s="57"/>
      <c r="KW109" s="57">
        <f t="shared" si="607"/>
        <v>0</v>
      </c>
      <c r="KX109" s="57">
        <f t="shared" si="776"/>
        <v>0</v>
      </c>
      <c r="KY109" s="57">
        <f t="shared" si="777"/>
        <v>0</v>
      </c>
      <c r="KZ109" s="57">
        <f t="shared" si="778"/>
        <v>0</v>
      </c>
      <c r="LA109" s="57">
        <f t="shared" si="779"/>
        <v>0</v>
      </c>
      <c r="LB109" s="1029">
        <f t="shared" si="608"/>
        <v>0</v>
      </c>
      <c r="LC109" s="57">
        <f t="shared" si="609"/>
        <v>0</v>
      </c>
      <c r="LD109" s="171" t="str">
        <f t="shared" si="610"/>
        <v/>
      </c>
      <c r="LE109" s="57">
        <f t="shared" si="780"/>
        <v>0</v>
      </c>
      <c r="LF109" s="57">
        <f>IF(OR(AND(KT$6=1,$L109=0),AND(KT$6=2,$K109=2,$G109=1)),0,IF(AND(KV$9=2,(OR($F109&gt;1,$K109=1,AND($L109=80,OR($N109=1,AND($N109=2,'#BerechnungDBE'!$AL100&gt;0)))))),IF(KT$4&gt;=$AD$126,0,LD109),IF(KV$9=3,IF(OR(KT$4&gt;=$AD$127,AND($G109=1,$J109=2,KT$6=2),AND(KT$6=1,$N109&lt;&gt;1)),0,IF(KX109&lt;=120,LD109,IF(KT$4&lt;$AD$124,IF($F109=1,60/KV$4*KV$6,60/KV$4*KV$7),IF($F109=1,120/KV$4*KV$6,120/KV$4*KV$7)))),IF(OR($F109=3,$G109=2),IF(OR(AND(KT$4&gt;=$AD$119,$C109=2),AND(KT$4&gt;=$AF$119,$C109=1)),0,IF(KX109&lt;=60,LD109,60/KV$4*KV$7)),IF(AND($F109=2,$G109=1),LD109,0)))))</f>
        <v>0</v>
      </c>
      <c r="LG109" s="57" t="str">
        <f t="shared" si="611"/>
        <v/>
      </c>
      <c r="LH109" s="57" t="str">
        <f t="shared" si="612"/>
        <v/>
      </c>
      <c r="LI109" s="713">
        <f>'org. Düngung 22'!CJ108</f>
        <v>0</v>
      </c>
      <c r="LJ109" s="57"/>
      <c r="LK109" s="57"/>
      <c r="LL109" s="57">
        <f t="shared" si="613"/>
        <v>0</v>
      </c>
      <c r="LM109" s="57">
        <f t="shared" si="781"/>
        <v>0</v>
      </c>
      <c r="LN109" s="57">
        <f t="shared" si="782"/>
        <v>0</v>
      </c>
      <c r="LO109" s="57">
        <f t="shared" si="783"/>
        <v>0</v>
      </c>
      <c r="LP109" s="57">
        <f t="shared" si="784"/>
        <v>0</v>
      </c>
      <c r="LQ109" s="1029">
        <f t="shared" si="614"/>
        <v>0</v>
      </c>
      <c r="LR109" s="57">
        <f t="shared" si="615"/>
        <v>0</v>
      </c>
      <c r="LS109" s="171" t="str">
        <f t="shared" si="616"/>
        <v/>
      </c>
      <c r="LT109" s="57">
        <f t="shared" si="785"/>
        <v>0</v>
      </c>
      <c r="LU109" s="57">
        <f>IF(OR(AND(LI$6=1,$L109=0),AND(LI$6=2,$K109=2,$G109=1)),0,IF(AND(LK$9=2,(OR($F109&gt;1,$K109=1,AND($L109=80,OR($N109=1,AND($N109=2,'#BerechnungDBE'!$AL100&gt;0)))))),IF(LI$4&gt;=$AD$126,0,LS109),IF(LK$9=3,IF(OR(LI$4&gt;=$AD$127,AND($G109=1,$J109=2,LI$6=2),AND(LI$6=1,$N109&lt;&gt;1)),0,IF(LM109&lt;=120,LS109,IF(LI$4&lt;$AD$124,IF($F109=1,60/LK$4*LK$6,60/LK$4*LK$7),IF($F109=1,120/LK$4*LK$6,120/LK$4*LK$7)))),IF(OR($F109=3,$G109=2),IF(OR(AND(LI$4&gt;=$AD$119,$C109=2),AND(LI$4&gt;=$AF$119,$C109=1)),0,IF(LM109&lt;=60,LS109,60/LK$4*LK$7)),IF(AND($F109=2,$G109=1),LS109,0)))))</f>
        <v>0</v>
      </c>
      <c r="LV109" s="57" t="str">
        <f t="shared" si="617"/>
        <v/>
      </c>
      <c r="LW109" s="57" t="str">
        <f t="shared" si="618"/>
        <v/>
      </c>
      <c r="LX109" s="713">
        <f>'org. Düngung 22'!CN108</f>
        <v>0</v>
      </c>
      <c r="LY109" s="57"/>
      <c r="LZ109" s="57"/>
      <c r="MA109" s="57">
        <f t="shared" si="619"/>
        <v>0</v>
      </c>
      <c r="MB109" s="57">
        <f t="shared" si="786"/>
        <v>0</v>
      </c>
      <c r="MC109" s="57">
        <f t="shared" si="787"/>
        <v>0</v>
      </c>
      <c r="MD109" s="57">
        <f t="shared" si="788"/>
        <v>0</v>
      </c>
      <c r="ME109" s="57">
        <f t="shared" si="789"/>
        <v>0</v>
      </c>
      <c r="MF109" s="1029">
        <f t="shared" si="620"/>
        <v>0</v>
      </c>
      <c r="MG109" s="57">
        <f t="shared" si="621"/>
        <v>0</v>
      </c>
      <c r="MH109" s="171" t="str">
        <f t="shared" si="622"/>
        <v/>
      </c>
      <c r="MI109" s="57">
        <f t="shared" si="790"/>
        <v>0</v>
      </c>
      <c r="MJ109" s="57">
        <f>IF(OR(AND(LX$6=1,$L109=0),AND(LX$6=2,$K109=2,$G109=1)),0,IF(AND(LZ$9=2,(OR($F109&gt;1,$K109=1,AND($L109=80,OR($N109=1,AND($N109=2,'#BerechnungDBE'!$AL100&gt;0)))))),IF(LX$4&gt;=$AD$126,0,MH109),IF(LZ$9=3,IF(OR(LX$4&gt;=$AD$127,AND($G109=1,$J109=2,LX$6=2),AND(LX$6=1,$N109&lt;&gt;1)),0,IF(MB109&lt;=120,MH109,IF(LX$4&lt;$AD$124,IF($F109=1,60/LZ$4*LZ$6,60/LZ$4*LZ$7),IF($F109=1,120/LZ$4*LZ$6,120/LZ$4*LZ$7)))),IF(OR($F109=3,$G109=2),IF(OR(AND(LX$4&gt;=$AD$119,$C109=2),AND(LX$4&gt;=$AF$119,$C109=1)),0,IF(MB109&lt;=60,MH109,60/LZ$4*LZ$7)),IF(AND($F109=2,$G109=1),MH109,0)))))</f>
        <v>0</v>
      </c>
      <c r="MK109" s="57" t="str">
        <f t="shared" si="623"/>
        <v/>
      </c>
      <c r="ML109" s="57" t="str">
        <f t="shared" si="624"/>
        <v/>
      </c>
      <c r="MM109" s="713">
        <f>'org. Düngung 22'!CR108</f>
        <v>0</v>
      </c>
      <c r="MN109" s="57"/>
      <c r="MO109" s="57"/>
      <c r="MP109" s="57">
        <f t="shared" si="625"/>
        <v>0</v>
      </c>
      <c r="MQ109" s="57">
        <f t="shared" si="791"/>
        <v>0</v>
      </c>
      <c r="MR109" s="57">
        <f t="shared" si="792"/>
        <v>0</v>
      </c>
      <c r="MS109" s="57">
        <f t="shared" si="793"/>
        <v>0</v>
      </c>
      <c r="MT109" s="57">
        <f t="shared" si="794"/>
        <v>0</v>
      </c>
      <c r="MU109" s="1029">
        <f t="shared" si="626"/>
        <v>0</v>
      </c>
      <c r="MV109" s="57">
        <f t="shared" si="627"/>
        <v>0</v>
      </c>
      <c r="MW109" s="171" t="str">
        <f t="shared" si="628"/>
        <v/>
      </c>
      <c r="MX109" s="57">
        <f t="shared" si="795"/>
        <v>0</v>
      </c>
      <c r="MY109" s="57">
        <f>IF(OR(AND(MM$6=1,$L109=0),AND(MM$6=2,$K109=2,$G109=1)),0,IF(AND(MO$9=2,(OR($F109&gt;1,$K109=1,AND($L109=80,OR($N109=1,AND($N109=2,'#BerechnungDBE'!$AL100&gt;0)))))),IF(MM$4&gt;=$AD$126,0,MW109),IF(MO$9=3,IF(OR(MM$4&gt;=$AD$127,AND($G109=1,$J109=2,MM$6=2),AND(MM$6=1,$N109&lt;&gt;1)),0,IF(MQ109&lt;=120,MW109,IF(MM$4&lt;$AD$124,IF($F109=1,60/MO$4*MO$6,60/MO$4*MO$7),IF($F109=1,120/MO$4*MO$6,120/MO$4*MO$7)))),IF(OR($F109=3,$G109=2),IF(OR(AND(MM$4&gt;=$AD$119,$C109=2),AND(MM$4&gt;=$AF$119,$C109=1)),0,IF(MQ109&lt;=60,MW109,60/MO$4*MO$7)),IF(AND($F109=2,$G109=1),MW109,0)))))</f>
        <v>0</v>
      </c>
      <c r="MZ109" s="57" t="str">
        <f t="shared" si="629"/>
        <v/>
      </c>
      <c r="NA109" s="57" t="str">
        <f t="shared" si="630"/>
        <v/>
      </c>
      <c r="NB109" s="713">
        <f>'org. Düngung 22'!CV108</f>
        <v>0</v>
      </c>
      <c r="NC109" s="57"/>
      <c r="ND109" s="57"/>
      <c r="NE109" s="57">
        <f t="shared" si="631"/>
        <v>0</v>
      </c>
      <c r="NF109" s="57">
        <f t="shared" si="796"/>
        <v>0</v>
      </c>
      <c r="NG109" s="57">
        <f t="shared" si="797"/>
        <v>0</v>
      </c>
      <c r="NH109" s="57">
        <f t="shared" si="798"/>
        <v>0</v>
      </c>
      <c r="NI109" s="57">
        <f t="shared" si="799"/>
        <v>0</v>
      </c>
      <c r="NJ109" s="1029">
        <f t="shared" si="632"/>
        <v>0</v>
      </c>
      <c r="NK109" s="57">
        <f t="shared" si="633"/>
        <v>0</v>
      </c>
      <c r="NL109" s="171" t="str">
        <f t="shared" si="634"/>
        <v/>
      </c>
      <c r="NM109" s="57">
        <f t="shared" si="800"/>
        <v>0</v>
      </c>
      <c r="NN109" s="57">
        <f>IF(OR(AND(NB$6=1,$L109=0),AND(NB$6=2,$K109=2,$G109=1)),0,IF(AND(ND$9=2,(OR($F109&gt;1,$K109=1,AND($L109=80,OR($N109=1,AND($N109=2,'#BerechnungDBE'!$AL100&gt;0)))))),IF(NB$4&gt;=$AD$126,0,NL109),IF(ND$9=3,IF(OR(NB$4&gt;=$AD$127,AND($G109=1,$J109=2,NB$6=2),AND(NB$6=1,$N109&lt;&gt;1)),0,IF(NF109&lt;=120,NL109,IF(NB$4&lt;$AD$124,IF($F109=1,60/ND$4*ND$6,60/ND$4*ND$7),IF($F109=1,120/ND$4*ND$6,120/ND$4*ND$7)))),IF(OR($F109=3,$G109=2),IF(OR(AND(NB$4&gt;=$AD$119,$C109=2),AND(NB$4&gt;=$AF$119,$C109=1)),0,IF(NF109&lt;=60,NL109,60/ND$4*ND$7)),IF(AND($F109=2,$G109=1),NL109,0)))))</f>
        <v>0</v>
      </c>
      <c r="NO109" s="57" t="str">
        <f t="shared" si="635"/>
        <v/>
      </c>
      <c r="NP109" s="57" t="str">
        <f t="shared" si="636"/>
        <v/>
      </c>
      <c r="NQ109" s="713">
        <f>'org. Düngung 22'!CZ108</f>
        <v>0</v>
      </c>
      <c r="NR109" s="57"/>
      <c r="NS109" s="57"/>
      <c r="NT109" s="57">
        <f t="shared" si="637"/>
        <v>0</v>
      </c>
      <c r="NU109" s="57">
        <f t="shared" si="801"/>
        <v>0</v>
      </c>
      <c r="NV109" s="57">
        <f t="shared" si="802"/>
        <v>0</v>
      </c>
      <c r="NW109" s="57">
        <f t="shared" si="803"/>
        <v>0</v>
      </c>
      <c r="NX109" s="57">
        <f t="shared" si="804"/>
        <v>0</v>
      </c>
      <c r="NY109" s="1029">
        <f t="shared" si="638"/>
        <v>0</v>
      </c>
      <c r="NZ109" s="57">
        <f t="shared" si="639"/>
        <v>0</v>
      </c>
      <c r="OA109" s="171" t="str">
        <f t="shared" si="640"/>
        <v/>
      </c>
      <c r="OB109" s="57">
        <f t="shared" si="805"/>
        <v>0</v>
      </c>
      <c r="OC109" s="57">
        <f>IF(OR(AND(NQ$6=1,$L109=0),AND(NQ$6=2,$K109=2,$G109=1)),0,IF(AND(NS$9=2,(OR($F109&gt;1,$K109=1,AND($L109=80,OR($N109=1,AND($N109=2,'#BerechnungDBE'!$AL100&gt;0)))))),IF(NQ$4&gt;=$AD$126,0,OA109),IF(NS$9=3,IF(OR(NQ$4&gt;=$AD$127,AND($G109=1,$J109=2,NQ$6=2),AND(NQ$6=1,$N109&lt;&gt;1)),0,IF(NU109&lt;=120,OA109,IF(NQ$4&lt;$AD$124,IF($F109=1,60/NS$4*NS$6,60/NS$4*NS$7),IF($F109=1,120/NS$4*NS$6,120/NS$4*NS$7)))),IF(OR($F109=3,$G109=2),IF(OR(AND(NQ$4&gt;=$AD$119,$C109=2),AND(NQ$4&gt;=$AF$119,$C109=1)),0,IF(NU109&lt;=60,OA109,60/NS$4*NS$7)),IF(AND($F109=2,$G109=1),OA109,0)))))</f>
        <v>0</v>
      </c>
      <c r="OD109" s="57" t="str">
        <f t="shared" si="641"/>
        <v/>
      </c>
      <c r="OE109" s="57" t="str">
        <f t="shared" si="642"/>
        <v/>
      </c>
      <c r="OF109" s="713">
        <f>'org. Düngung 22'!DD108</f>
        <v>0</v>
      </c>
      <c r="OG109" s="57"/>
      <c r="OH109" s="57"/>
      <c r="OI109" s="57">
        <f t="shared" si="643"/>
        <v>0</v>
      </c>
      <c r="OJ109" s="57">
        <f t="shared" si="806"/>
        <v>0</v>
      </c>
      <c r="OK109" s="57">
        <f t="shared" si="807"/>
        <v>0</v>
      </c>
      <c r="OL109" s="57">
        <f t="shared" si="808"/>
        <v>0</v>
      </c>
      <c r="OM109" s="57">
        <f t="shared" si="809"/>
        <v>0</v>
      </c>
      <c r="ON109" s="1029">
        <f t="shared" si="644"/>
        <v>0</v>
      </c>
      <c r="OO109" s="57">
        <f t="shared" si="645"/>
        <v>0</v>
      </c>
      <c r="OP109" s="171" t="str">
        <f t="shared" si="646"/>
        <v/>
      </c>
      <c r="OQ109" s="57">
        <f t="shared" si="810"/>
        <v>0</v>
      </c>
      <c r="OR109" s="57">
        <f>IF(OR(AND(OF$6=1,$L109=0),AND(OF$6=2,$K109=2,$G109=1)),0,IF(AND(OH$9=2,(OR($F109&gt;1,$K109=1,AND($L109=80,OR($N109=1,AND($N109=2,'#BerechnungDBE'!$AL100&gt;0)))))),IF(OF$4&gt;=$AD$126,0,OP109),IF(OH$9=3,IF(OR(OF$4&gt;=$AD$127,AND($G109=1,$J109=2,OF$6=2),AND(OF$6=1,$N109&lt;&gt;1)),0,IF(OJ109&lt;=120,OP109,IF(OF$4&lt;$AD$124,IF($F109=1,60/OH$4*OH$6,60/OH$4*OH$7),IF($F109=1,120/OH$4*OH$6,120/OH$4*OH$7)))),IF(OR($F109=3,$G109=2),IF(OR(AND(OF$4&gt;=$AD$119,$C109=2),AND(OF$4&gt;=$AF$119,$C109=1)),0,IF(OJ109&lt;=60,OP109,60/OH$4*OH$7)),IF(AND($F109=2,$G109=1),OP109,0)))))</f>
        <v>0</v>
      </c>
      <c r="OS109" s="57" t="str">
        <f t="shared" si="647"/>
        <v/>
      </c>
      <c r="OT109" s="57" t="str">
        <f t="shared" si="648"/>
        <v/>
      </c>
      <c r="OU109" s="713">
        <f>'org. Düngung 22'!DH108</f>
        <v>0</v>
      </c>
      <c r="OV109" s="57"/>
      <c r="OW109" s="57"/>
      <c r="OX109" s="57">
        <f t="shared" si="649"/>
        <v>0</v>
      </c>
      <c r="OY109" s="57">
        <f t="shared" si="811"/>
        <v>0</v>
      </c>
      <c r="OZ109" s="57">
        <f t="shared" si="812"/>
        <v>0</v>
      </c>
      <c r="PA109" s="57">
        <f t="shared" si="813"/>
        <v>0</v>
      </c>
      <c r="PB109" s="57">
        <f t="shared" si="814"/>
        <v>0</v>
      </c>
      <c r="PC109" s="1029">
        <f t="shared" si="650"/>
        <v>0</v>
      </c>
      <c r="PD109" s="57">
        <f t="shared" si="651"/>
        <v>0</v>
      </c>
      <c r="PE109" s="171" t="str">
        <f t="shared" si="652"/>
        <v/>
      </c>
      <c r="PF109" s="57">
        <f t="shared" si="815"/>
        <v>0</v>
      </c>
      <c r="PG109" s="57">
        <f>IF(OR(AND(OU$6=1,$L109=0),AND(OU$6=2,$K109=2,$G109=1)),0,IF(AND(OW$9=2,(OR($F109&gt;1,$K109=1,AND($L109=80,OR($N109=1,AND($N109=2,'#BerechnungDBE'!$AL100&gt;0)))))),IF(OU$4&gt;=$AD$126,0,PE109),IF(OW$9=3,IF(OR(OU$4&gt;=$AD$127,AND($G109=1,$J109=2,OU$6=2),AND(OU$6=1,$N109&lt;&gt;1)),0,IF(OY109&lt;=120,PE109,IF(OU$4&lt;$AD$124,IF($F109=1,60/OW$4*OW$6,60/OW$4*OW$7),IF($F109=1,120/OW$4*OW$6,120/OW$4*OW$7)))),IF(OR($F109=3,$G109=2),IF(OR(AND(OU$4&gt;=$AD$119,$C109=2),AND(OU$4&gt;=$AF$119,$C109=1)),0,IF(OY109&lt;=60,PE109,60/OW$4*OW$7)),IF(AND($F109=2,$G109=1),PE109,0)))))</f>
        <v>0</v>
      </c>
      <c r="PH109" s="57" t="str">
        <f t="shared" si="653"/>
        <v/>
      </c>
      <c r="PI109" s="57" t="str">
        <f t="shared" si="654"/>
        <v/>
      </c>
      <c r="PJ109" s="713">
        <f>'org. Düngung 22'!DL108</f>
        <v>0</v>
      </c>
      <c r="PK109" s="57"/>
      <c r="PL109" s="57"/>
      <c r="PM109" s="57">
        <f t="shared" si="655"/>
        <v>0</v>
      </c>
      <c r="PN109" s="57">
        <f t="shared" si="816"/>
        <v>0</v>
      </c>
      <c r="PO109" s="57">
        <f t="shared" si="817"/>
        <v>0</v>
      </c>
      <c r="PP109" s="57">
        <f t="shared" si="818"/>
        <v>0</v>
      </c>
      <c r="PQ109" s="57">
        <f t="shared" si="819"/>
        <v>0</v>
      </c>
      <c r="PR109" s="1029">
        <f t="shared" si="656"/>
        <v>0</v>
      </c>
      <c r="PS109" s="57">
        <f t="shared" si="657"/>
        <v>0</v>
      </c>
      <c r="PT109" s="171" t="str">
        <f t="shared" si="658"/>
        <v/>
      </c>
      <c r="PU109" s="57">
        <f t="shared" si="820"/>
        <v>0</v>
      </c>
      <c r="PV109" s="57">
        <f>IF(OR(AND(PJ$6=1,$L109=0),AND(PJ$6=2,$K109=2,$G109=1)),0,IF(AND(PL$9=2,(OR($F109&gt;1,$K109=1,AND($L109=80,OR($N109=1,AND($N109=2,'#BerechnungDBE'!$AL100&gt;0)))))),IF(PJ$4&gt;=$AD$126,0,PT109),IF(PL$9=3,IF(OR(PJ$4&gt;=$AD$127,AND($G109=1,$J109=2,PJ$6=2),AND(PJ$6=1,$N109&lt;&gt;1)),0,IF(PN109&lt;=120,PT109,IF(PJ$4&lt;$AD$124,IF($F109=1,60/PL$4*PL$6,60/PL$4*PL$7),IF($F109=1,120/PL$4*PL$6,120/PL$4*PL$7)))),IF(OR($F109=3,$G109=2),IF(OR(AND(PJ$4&gt;=$AD$119,$C109=2),AND(PJ$4&gt;=$AF$119,$C109=1)),0,IF(PN109&lt;=60,PT109,60/PL$4*PL$7)),IF(AND($F109=2,$G109=1),PT109,0)))))</f>
        <v>0</v>
      </c>
      <c r="PW109" s="57" t="str">
        <f t="shared" si="659"/>
        <v/>
      </c>
      <c r="PX109" s="57" t="str">
        <f t="shared" si="660"/>
        <v/>
      </c>
      <c r="PY109" s="713">
        <f>'org. Düngung 22'!DP108</f>
        <v>0</v>
      </c>
      <c r="PZ109" s="57"/>
      <c r="QA109" s="57"/>
      <c r="QB109" s="57">
        <f t="shared" si="661"/>
        <v>0</v>
      </c>
      <c r="QC109" s="57">
        <f t="shared" si="821"/>
        <v>0</v>
      </c>
      <c r="QD109" s="57">
        <f t="shared" si="822"/>
        <v>0</v>
      </c>
      <c r="QE109" s="57">
        <f t="shared" si="823"/>
        <v>0</v>
      </c>
      <c r="QF109" s="57">
        <f t="shared" si="824"/>
        <v>0</v>
      </c>
      <c r="QG109" s="1029">
        <f t="shared" si="662"/>
        <v>0</v>
      </c>
      <c r="QH109" s="57">
        <f t="shared" si="663"/>
        <v>0</v>
      </c>
      <c r="QI109" s="171" t="str">
        <f t="shared" si="664"/>
        <v/>
      </c>
      <c r="QJ109" s="57">
        <f t="shared" si="825"/>
        <v>0</v>
      </c>
      <c r="QK109" s="57">
        <f>IF(OR(AND(PY$6=1,$L109=0),AND(PY$6=2,$K109=2,$G109=1)),0,IF(AND(QA$9=2,(OR($F109&gt;1,$K109=1,AND($L109=80,OR($N109=1,AND($N109=2,'#BerechnungDBE'!$AL100&gt;0)))))),IF(PY$4&gt;=$AD$126,0,QI109),IF(QA$9=3,IF(OR(PY$4&gt;=$AD$127,AND($G109=1,$J109=2,PY$6=2),AND(PY$6=1,$N109&lt;&gt;1)),0,IF(QC109&lt;=120,QI109,IF(PY$4&lt;$AD$124,IF($F109=1,60/QA$4*QA$6,60/QA$4*QA$7),IF($F109=1,120/QA$4*QA$6,120/QA$4*QA$7)))),IF(OR($F109=3,$G109=2),IF(OR(AND(PY$4&gt;=$AD$119,$C109=2),AND(PY$4&gt;=$AF$119,$C109=1)),0,IF(QC109&lt;=60,QI109,60/QA$4*QA$7)),IF(AND($F109=2,$G109=1),QI109,0)))))</f>
        <v>0</v>
      </c>
      <c r="QL109" s="57" t="str">
        <f t="shared" si="665"/>
        <v/>
      </c>
      <c r="QM109" s="57" t="str">
        <f t="shared" si="666"/>
        <v/>
      </c>
      <c r="QN109" s="713">
        <f>'org. Düngung 22'!DT108</f>
        <v>0</v>
      </c>
      <c r="QO109" s="57"/>
      <c r="QP109" s="57"/>
      <c r="QQ109" s="57">
        <f t="shared" si="667"/>
        <v>0</v>
      </c>
      <c r="QR109" s="57">
        <f t="shared" si="826"/>
        <v>0</v>
      </c>
      <c r="QS109" s="57">
        <f t="shared" si="827"/>
        <v>0</v>
      </c>
      <c r="QT109" s="57">
        <f t="shared" si="828"/>
        <v>0</v>
      </c>
      <c r="QU109" s="57">
        <f t="shared" si="829"/>
        <v>0</v>
      </c>
      <c r="QV109" s="1029">
        <f t="shared" si="668"/>
        <v>0</v>
      </c>
      <c r="QW109" s="57">
        <f t="shared" si="669"/>
        <v>0</v>
      </c>
      <c r="QX109" s="171" t="str">
        <f t="shared" si="670"/>
        <v/>
      </c>
      <c r="QY109" s="57">
        <f t="shared" si="830"/>
        <v>0</v>
      </c>
      <c r="QZ109" s="57">
        <f>IF(OR(AND(QN$6=1,$L109=0),AND(QN$6=2,$K109=2,$G109=1)),0,IF(AND(QP$9=2,(OR($F109&gt;1,$K109=1,AND($L109=80,OR($N109=1,AND($N109=2,'#BerechnungDBE'!$AL100&gt;0)))))),IF(QN$4&gt;=$AD$126,0,QX109),IF(QP$9=3,IF(OR(QN$4&gt;=$AD$127,AND($G109=1,$J109=2,QN$6=2),AND(QN$6=1,$N109&lt;&gt;1)),0,IF(QR109&lt;=120,QX109,IF(QN$4&lt;$AD$124,IF($F109=1,60/QP$4*QP$6,60/QP$4*QP$7),IF($F109=1,120/QP$4*QP$6,120/QP$4*QP$7)))),IF(OR($F109=3,$G109=2),IF(OR(AND(QN$4&gt;=$AD$119,$C109=2),AND(QN$4&gt;=$AF$119,$C109=1)),0,IF(QR109&lt;=60,QX109,60/QP$4*QP$7)),IF(AND($F109=2,$G109=1),QX109,0)))))</f>
        <v>0</v>
      </c>
      <c r="RA109" s="57" t="str">
        <f t="shared" si="671"/>
        <v/>
      </c>
      <c r="RB109" s="57" t="str">
        <f t="shared" si="672"/>
        <v/>
      </c>
      <c r="RC109" s="713">
        <f>'org. Düngung 22'!DX108</f>
        <v>0</v>
      </c>
      <c r="RD109" s="57"/>
      <c r="RE109" s="57"/>
      <c r="RF109" s="57">
        <f t="shared" si="673"/>
        <v>0</v>
      </c>
      <c r="RG109" s="57">
        <f t="shared" si="831"/>
        <v>0</v>
      </c>
      <c r="RH109" s="57">
        <f t="shared" si="832"/>
        <v>0</v>
      </c>
      <c r="RI109" s="57">
        <f t="shared" si="833"/>
        <v>0</v>
      </c>
      <c r="RJ109" s="57">
        <f t="shared" si="834"/>
        <v>0</v>
      </c>
      <c r="RK109" s="1029">
        <f t="shared" si="674"/>
        <v>0</v>
      </c>
      <c r="RL109" s="57">
        <f t="shared" si="675"/>
        <v>0</v>
      </c>
      <c r="RM109" s="171" t="str">
        <f t="shared" si="676"/>
        <v/>
      </c>
      <c r="RN109" s="57">
        <f t="shared" si="835"/>
        <v>0</v>
      </c>
      <c r="RO109" s="57">
        <f>IF(OR(AND(RC$6=1,$L109=0),AND(RC$6=2,$K109=2,$G109=1)),0,IF(AND(RE$9=2,(OR($F109&gt;1,$K109=1,AND($L109=80,OR($N109=1,AND($N109=2,'#BerechnungDBE'!$AL100&gt;0)))))),IF(RC$4&gt;=$AD$126,0,RM109),IF(RE$9=3,IF(OR(RC$4&gt;=$AD$127,AND($G109=1,$J109=2,RC$6=2),AND(RC$6=1,$N109&lt;&gt;1)),0,IF(RG109&lt;=120,RM109,IF(RC$4&lt;$AD$124,IF($F109=1,60/RE$4*RE$6,60/RE$4*RE$7),IF($F109=1,120/RE$4*RE$6,120/RE$4*RE$7)))),IF(OR($F109=3,$G109=2),IF(OR(AND(RC$4&gt;=$AD$119,$C109=2),AND(RC$4&gt;=$AF$119,$C109=1)),0,IF(RG109&lt;=60,RM109,60/RE$4*RE$7)),IF(AND($F109=2,$G109=1),RM109,0)))))</f>
        <v>0</v>
      </c>
      <c r="RP109" s="57" t="str">
        <f t="shared" si="677"/>
        <v/>
      </c>
      <c r="RQ109" s="57" t="str">
        <f t="shared" si="678"/>
        <v/>
      </c>
      <c r="RS109" s="57" t="str">
        <f t="shared" si="836"/>
        <v/>
      </c>
      <c r="RT109" s="57" t="str">
        <f t="shared" si="679"/>
        <v/>
      </c>
      <c r="RU109" s="57" t="str">
        <f t="shared" si="680"/>
        <v/>
      </c>
      <c r="RV109" s="57" t="str">
        <f>IF(Z109&gt;'#BerechnungDBE'!BM100,$RV$9,"")</f>
        <v/>
      </c>
      <c r="RW109" s="57" t="str">
        <f>IF(AND(L109=70,AE109&gt;'#BerechnungDBE'!CQ100),$RW$9,"")</f>
        <v/>
      </c>
      <c r="RX109" s="57" t="str">
        <f>IF(OR('org. Düngung 22'!G108="--",'org. Düngung 22'!G108&lt;=170,'org. Düngung 22'!G108=""),"",$RX$9)</f>
        <v/>
      </c>
      <c r="RY109" s="57" t="str">
        <f>IF('org. Düngung 22'!K108&gt;120,'#orgDung'!$RY$9,"")</f>
        <v/>
      </c>
      <c r="RZ109" s="57" t="str">
        <f>IF('#BerechnungDBE'!P100&lt;4,"",IF(AND('#BerechnungDBE'!BZ100&gt;0,T109&gt;0),'#orgDung'!$RZ$9,""))</f>
        <v/>
      </c>
      <c r="SA109" s="57" t="str">
        <f t="shared" si="681"/>
        <v/>
      </c>
    </row>
    <row r="110" spans="1:495" s="875" customFormat="1" x14ac:dyDescent="0.2">
      <c r="A110" s="875">
        <f>'Flächen u. Kulturen'!A106</f>
        <v>97</v>
      </c>
      <c r="B110" s="367">
        <f>'#BerechnungDBE'!L101</f>
        <v>0</v>
      </c>
      <c r="C110" s="875">
        <f>'#BerechnungDBE'!R101</f>
        <v>1</v>
      </c>
      <c r="D110" s="875">
        <f>'#BerechnungDBE'!T101</f>
        <v>2</v>
      </c>
      <c r="E110" s="875" t="str">
        <f>'Flächen u. Kulturen'!E106</f>
        <v>x</v>
      </c>
      <c r="F110" s="52">
        <f>'#BerechnungDBE'!N101</f>
        <v>1</v>
      </c>
      <c r="G110" s="52">
        <f>'#BerechnungDBE'!O101</f>
        <v>1</v>
      </c>
      <c r="H110" s="875">
        <f>IF('Flächen u. Kulturen'!P106="",0,VLOOKUP('Flächen u. Kulturen'!P106,Kulturen[[HF]:[Berechnungsgruppe]],'#Frucht'!$H$1,FALSE))</f>
        <v>0</v>
      </c>
      <c r="I110" s="875">
        <f>IF('Flächen u. Kulturen'!J106="",0,VLOOKUP('Flächen u. Kulturen'!J106,Kulturen[[HF]:[Berechnungsgruppe]],'#Frucht'!$G$1,FALSE))</f>
        <v>90</v>
      </c>
      <c r="J110" s="505">
        <f t="shared" si="682"/>
        <v>2</v>
      </c>
      <c r="K110" s="505">
        <f>IF('Flächen u. Kulturen'!P106="",0,IF(VLOOKUP('Flächen u. Kulturen'!P106,Kulturen[[HF]:[Saat Winterungen]],'#Frucht'!$P$1,FALSE)&gt;0,1,2))</f>
        <v>2</v>
      </c>
      <c r="L110" s="875">
        <f>'#BerechnungDBE'!AF101</f>
        <v>0</v>
      </c>
      <c r="M110" s="875">
        <f>IF('Flächen u. Kulturen'!L106="",0,VLOOKUP('Flächen u. Kulturen'!L106,Nebenkultur[[Nebenkultur]:[Legum. Zwischenfr.]],'#Zweitfr'!$K$1,FALSE))</f>
        <v>0</v>
      </c>
      <c r="N110" s="875">
        <f>'#BerechnungDBE'!AG101</f>
        <v>0</v>
      </c>
      <c r="P110" s="57">
        <f t="shared" si="489"/>
        <v>0</v>
      </c>
      <c r="Q110" s="57">
        <f t="shared" si="490"/>
        <v>0</v>
      </c>
      <c r="R110" s="875">
        <f t="shared" si="491"/>
        <v>0</v>
      </c>
      <c r="S110" s="938" t="str">
        <f t="shared" si="683"/>
        <v/>
      </c>
      <c r="T110" s="875">
        <f t="shared" si="492"/>
        <v>0</v>
      </c>
      <c r="U110" s="875">
        <f t="shared" si="493"/>
        <v>0</v>
      </c>
      <c r="V110" s="875">
        <f t="shared" si="494"/>
        <v>0</v>
      </c>
      <c r="W110" s="875">
        <f t="shared" si="495"/>
        <v>0</v>
      </c>
      <c r="X110" s="875">
        <f t="shared" si="496"/>
        <v>0</v>
      </c>
      <c r="Y110" s="875">
        <f t="shared" si="837"/>
        <v>0</v>
      </c>
      <c r="Z110" s="875">
        <f t="shared" si="838"/>
        <v>0</v>
      </c>
      <c r="AA110" s="910">
        <f t="shared" si="497"/>
        <v>0</v>
      </c>
      <c r="AB110" s="57">
        <f t="shared" si="839"/>
        <v>0</v>
      </c>
      <c r="AC110" s="875">
        <f t="shared" si="498"/>
        <v>0</v>
      </c>
      <c r="AD110" s="875">
        <f t="shared" si="499"/>
        <v>0</v>
      </c>
      <c r="AE110" s="875">
        <f t="shared" si="500"/>
        <v>0</v>
      </c>
      <c r="AF110" s="875">
        <f t="shared" si="840"/>
        <v>0</v>
      </c>
      <c r="AG110" s="875">
        <f>'org. Düngung 22'!J109</f>
        <v>0</v>
      </c>
      <c r="AH110" s="875">
        <f>'org. Düngung 22'!K109</f>
        <v>0</v>
      </c>
      <c r="AJ110" s="713">
        <f>'org. Düngung 22'!L109</f>
        <v>0</v>
      </c>
      <c r="AK110" s="57"/>
      <c r="AL110" s="57"/>
      <c r="AM110" s="57">
        <f t="shared" si="684"/>
        <v>0</v>
      </c>
      <c r="AN110" s="57">
        <f t="shared" si="685"/>
        <v>0</v>
      </c>
      <c r="AO110" s="57">
        <f t="shared" si="686"/>
        <v>0</v>
      </c>
      <c r="AP110" s="57">
        <f t="shared" si="687"/>
        <v>0</v>
      </c>
      <c r="AQ110" s="57">
        <f t="shared" si="688"/>
        <v>0</v>
      </c>
      <c r="AR110" s="1029">
        <f t="shared" si="501"/>
        <v>0</v>
      </c>
      <c r="AS110" s="57">
        <f t="shared" si="502"/>
        <v>0</v>
      </c>
      <c r="AT110" s="171" t="str">
        <f t="shared" si="503"/>
        <v/>
      </c>
      <c r="AU110" s="57">
        <f t="shared" si="689"/>
        <v>0</v>
      </c>
      <c r="AV110" s="57">
        <f>IF(OR(AND(AJ$6=1,$L110=0),AND(AJ$6=2,$K110=2,$G110=1)),0,IF(AND(AL$9=2,(OR($F110&gt;1,$K110=1,AND($L110=80,OR($N110=1,AND($N110=2,'#BerechnungDBE'!$AL101&gt;0)))))),IF(AJ$4&gt;=$AD$126,0,AT110),IF(AL$9=3,IF(OR(AJ$4&gt;=$AD$127,AND($G110=1,$J110=2,AJ$6=2),AND(AJ$6=1,$N110&lt;&gt;1)),0,IF(AN110&lt;=120,AT110,IF(AJ$4&lt;$AD$124,IF($F110=1,60/AL$4*AL$6,60/AL$4*AL$7),IF($F110=1,120/AL$4*AL$6,120/AL$4*AL$7)))),IF(OR($F110=3,$G110=2),IF(OR(AND(AJ$4&gt;=$AD$119,$C110=2),AND(AJ$4&gt;=$AF$119,$C110=1)),0,IF(AN110&lt;=60,AT110,60/AL$4*AL$7)),IF(AND($F110=2,$G110=1),AT110,0)))))</f>
        <v>0</v>
      </c>
      <c r="AW110" s="57" t="str">
        <f t="shared" si="690"/>
        <v/>
      </c>
      <c r="AX110" s="57" t="str">
        <f t="shared" si="504"/>
        <v/>
      </c>
      <c r="AY110" s="713">
        <f>'org. Düngung 22'!P109</f>
        <v>0</v>
      </c>
      <c r="AZ110" s="57"/>
      <c r="BA110" s="57"/>
      <c r="BB110" s="57">
        <f t="shared" si="505"/>
        <v>0</v>
      </c>
      <c r="BC110" s="57">
        <f t="shared" si="691"/>
        <v>0</v>
      </c>
      <c r="BD110" s="57">
        <f t="shared" si="692"/>
        <v>0</v>
      </c>
      <c r="BE110" s="57">
        <f t="shared" si="693"/>
        <v>0</v>
      </c>
      <c r="BF110" s="57">
        <f t="shared" si="694"/>
        <v>0</v>
      </c>
      <c r="BG110" s="1029">
        <f t="shared" si="506"/>
        <v>0</v>
      </c>
      <c r="BH110" s="57">
        <f t="shared" si="507"/>
        <v>0</v>
      </c>
      <c r="BI110" s="171" t="str">
        <f t="shared" si="508"/>
        <v/>
      </c>
      <c r="BJ110" s="57">
        <f t="shared" si="695"/>
        <v>0</v>
      </c>
      <c r="BK110" s="57">
        <f>IF(OR(AND(AY$6=1,$L110=0),AND(AY$6=2,$K110=2,$G110=1)),0,IF(AND(BA$9=2,(OR($F110&gt;1,$K110=1,AND($L110=80,OR($N110=1,AND($N110=2,'#BerechnungDBE'!$AL101&gt;0)))))),IF(AY$4&gt;=$AD$126,0,BI110),IF(BA$9=3,IF(OR(AY$4&gt;=$AD$127,AND($G110=1,$J110=2,AY$6=2),AND(AY$6=1,$N110&lt;&gt;1)),0,IF(BC110&lt;=120,BI110,IF(AY$4&lt;$AD$124,IF($F110=1,60/BA$4*BA$6,60/BA$4*BA$7),IF($F110=1,120/BA$4*BA$6,120/BA$4*BA$7)))),IF(OR($F110=3,$G110=2),IF(OR(AND(AY$4&gt;=$AD$119,$C110=2),AND(AY$4&gt;=$AF$119,$C110=1)),0,IF(BC110&lt;=60,BI110,60/BA$4*BA$7)),IF(AND($F110=2,$G110=1),BI110,0)))))</f>
        <v>0</v>
      </c>
      <c r="BL110" s="57" t="str">
        <f t="shared" si="509"/>
        <v/>
      </c>
      <c r="BM110" s="57" t="str">
        <f t="shared" si="510"/>
        <v/>
      </c>
      <c r="BN110" s="713">
        <f>'org. Düngung 22'!T109</f>
        <v>0</v>
      </c>
      <c r="BO110" s="57"/>
      <c r="BP110" s="57"/>
      <c r="BQ110" s="57">
        <f t="shared" si="511"/>
        <v>0</v>
      </c>
      <c r="BR110" s="57">
        <f t="shared" si="696"/>
        <v>0</v>
      </c>
      <c r="BS110" s="57">
        <f t="shared" si="697"/>
        <v>0</v>
      </c>
      <c r="BT110" s="57">
        <f t="shared" si="698"/>
        <v>0</v>
      </c>
      <c r="BU110" s="57">
        <f t="shared" si="699"/>
        <v>0</v>
      </c>
      <c r="BV110" s="1029">
        <f t="shared" si="512"/>
        <v>0</v>
      </c>
      <c r="BW110" s="57">
        <f t="shared" si="513"/>
        <v>0</v>
      </c>
      <c r="BX110" s="171" t="str">
        <f t="shared" si="514"/>
        <v/>
      </c>
      <c r="BY110" s="57">
        <f t="shared" si="700"/>
        <v>0</v>
      </c>
      <c r="BZ110" s="57">
        <f>IF(OR(AND(BN$6=1,$L110=0),AND(BN$6=2,$K110=2,$G110=1)),0,IF(AND(BP$9=2,(OR($F110&gt;1,$K110=1,AND($L110=80,OR($N110=1,AND($N110=2,'#BerechnungDBE'!$AL101&gt;0)))))),IF(BN$4&gt;=$AD$126,0,BX110),IF(BP$9=3,IF(OR(BN$4&gt;=$AD$127,AND($G110=1,$J110=2,BN$6=2),AND(BN$6=1,$N110&lt;&gt;1)),0,IF(BR110&lt;=120,BX110,IF(BN$4&lt;$AD$124,IF($F110=1,60/BP$4*BP$6,60/BP$4*BP$7),IF($F110=1,120/BP$4*BP$6,120/BP$4*BP$7)))),IF(OR($F110=3,$G110=2),IF(OR(AND(BN$4&gt;=$AD$119,$C110=2),AND(BN$4&gt;=$AF$119,$C110=1)),0,IF(BR110&lt;=60,BX110,60/BP$4*BP$7)),IF(AND($F110=2,$G110=1),BX110,0)))))</f>
        <v>0</v>
      </c>
      <c r="CA110" s="57" t="str">
        <f t="shared" si="515"/>
        <v/>
      </c>
      <c r="CB110" s="57" t="str">
        <f t="shared" si="516"/>
        <v/>
      </c>
      <c r="CC110" s="713">
        <f>'org. Düngung 22'!X109</f>
        <v>0</v>
      </c>
      <c r="CD110" s="57"/>
      <c r="CE110" s="57"/>
      <c r="CF110" s="57">
        <f t="shared" si="517"/>
        <v>0</v>
      </c>
      <c r="CG110" s="57">
        <f t="shared" si="701"/>
        <v>0</v>
      </c>
      <c r="CH110" s="57">
        <f t="shared" si="702"/>
        <v>0</v>
      </c>
      <c r="CI110" s="57">
        <f t="shared" si="703"/>
        <v>0</v>
      </c>
      <c r="CJ110" s="57">
        <f t="shared" si="704"/>
        <v>0</v>
      </c>
      <c r="CK110" s="1029">
        <f t="shared" si="518"/>
        <v>0</v>
      </c>
      <c r="CL110" s="57">
        <f t="shared" si="519"/>
        <v>0</v>
      </c>
      <c r="CM110" s="171" t="str">
        <f t="shared" si="520"/>
        <v/>
      </c>
      <c r="CN110" s="57">
        <f t="shared" si="705"/>
        <v>0</v>
      </c>
      <c r="CO110" s="57">
        <f>IF(OR(AND(CC$6=1,$L110=0),AND(CC$6=2,$K110=2,$G110=1)),0,IF(AND(CE$9=2,(OR($F110&gt;1,$K110=1,AND($L110=80,OR($N110=1,AND($N110=2,'#BerechnungDBE'!$AL101&gt;0)))))),IF(CC$4&gt;=$AD$126,0,CM110),IF(CE$9=3,IF(OR(CC$4&gt;=$AD$127,AND($G110=1,$J110=2,CC$6=2),AND(CC$6=1,$N110&lt;&gt;1)),0,IF(CG110&lt;=120,CM110,IF(CC$4&lt;$AD$124,IF($F110=1,60/CE$4*CE$6,60/CE$4*CE$7),IF($F110=1,120/CE$4*CE$6,120/CE$4*CE$7)))),IF(OR($F110=3,$G110=2),IF(OR(AND(CC$4&gt;=$AD$119,$C110=2),AND(CC$4&gt;=$AF$119,$C110=1)),0,IF(CG110&lt;=60,CM110,60/CE$4*CE$7)),IF(AND($F110=2,$G110=1),CM110,0)))))</f>
        <v>0</v>
      </c>
      <c r="CP110" s="57" t="str">
        <f t="shared" si="521"/>
        <v/>
      </c>
      <c r="CQ110" s="57" t="str">
        <f t="shared" si="522"/>
        <v/>
      </c>
      <c r="CR110" s="713">
        <f>'org. Düngung 22'!AB109</f>
        <v>0</v>
      </c>
      <c r="CS110" s="57"/>
      <c r="CT110" s="57"/>
      <c r="CU110" s="57">
        <f t="shared" si="523"/>
        <v>0</v>
      </c>
      <c r="CV110" s="57">
        <f t="shared" si="706"/>
        <v>0</v>
      </c>
      <c r="CW110" s="57">
        <f t="shared" si="707"/>
        <v>0</v>
      </c>
      <c r="CX110" s="57">
        <f t="shared" si="708"/>
        <v>0</v>
      </c>
      <c r="CY110" s="57">
        <f t="shared" si="709"/>
        <v>0</v>
      </c>
      <c r="CZ110" s="1029">
        <f t="shared" si="524"/>
        <v>0</v>
      </c>
      <c r="DA110" s="57">
        <f t="shared" si="525"/>
        <v>0</v>
      </c>
      <c r="DB110" s="171" t="str">
        <f t="shared" si="526"/>
        <v/>
      </c>
      <c r="DC110" s="57">
        <f t="shared" si="710"/>
        <v>0</v>
      </c>
      <c r="DD110" s="57">
        <f>IF(OR(AND(CR$6=1,$L110=0),AND(CR$6=2,$K110=2,$G110=1)),0,IF(AND(CT$9=2,(OR($F110&gt;1,$K110=1,AND($L110=80,OR($N110=1,AND($N110=2,'#BerechnungDBE'!$AL101&gt;0)))))),IF(CR$4&gt;=$AD$126,0,DB110),IF(CT$9=3,IF(OR(CR$4&gt;=$AD$127,AND($G110=1,$J110=2,CR$6=2),AND(CR$6=1,$N110&lt;&gt;1)),0,IF(CV110&lt;=120,DB110,IF(CR$4&lt;$AD$124,IF($F110=1,60/CT$4*CT$6,60/CT$4*CT$7),IF($F110=1,120/CT$4*CT$6,120/CT$4*CT$7)))),IF(OR($F110=3,$G110=2),IF(OR(AND(CR$4&gt;=$AD$119,$C110=2),AND(CR$4&gt;=$AF$119,$C110=1)),0,IF(CV110&lt;=60,DB110,60/CT$4*CT$7)),IF(AND($F110=2,$G110=1),DB110,0)))))</f>
        <v>0</v>
      </c>
      <c r="DE110" s="57" t="str">
        <f t="shared" si="527"/>
        <v/>
      </c>
      <c r="DF110" s="57" t="str">
        <f t="shared" si="528"/>
        <v/>
      </c>
      <c r="DG110" s="713">
        <f>'org. Düngung 22'!AF109</f>
        <v>0</v>
      </c>
      <c r="DH110" s="57"/>
      <c r="DI110" s="57"/>
      <c r="DJ110" s="57">
        <f t="shared" si="529"/>
        <v>0</v>
      </c>
      <c r="DK110" s="57">
        <f t="shared" si="711"/>
        <v>0</v>
      </c>
      <c r="DL110" s="57">
        <f t="shared" si="712"/>
        <v>0</v>
      </c>
      <c r="DM110" s="57">
        <f t="shared" si="713"/>
        <v>0</v>
      </c>
      <c r="DN110" s="57">
        <f t="shared" si="714"/>
        <v>0</v>
      </c>
      <c r="DO110" s="1029">
        <f t="shared" si="530"/>
        <v>0</v>
      </c>
      <c r="DP110" s="57">
        <f t="shared" si="531"/>
        <v>0</v>
      </c>
      <c r="DQ110" s="171" t="str">
        <f t="shared" si="532"/>
        <v/>
      </c>
      <c r="DR110" s="57">
        <f t="shared" si="715"/>
        <v>0</v>
      </c>
      <c r="DS110" s="57">
        <f>IF(OR(AND(DG$6=1,$L110=0),AND(DG$6=2,$K110=2,$G110=1)),0,IF(AND(DI$9=2,(OR($F110&gt;1,$K110=1,AND($L110=80,OR($N110=1,AND($N110=2,'#BerechnungDBE'!$AL101&gt;0)))))),IF(DG$4&gt;=$AD$126,0,DQ110),IF(DI$9=3,IF(OR(DG$4&gt;=$AD$127,AND($G110=1,$J110=2,DG$6=2),AND(DG$6=1,$N110&lt;&gt;1)),0,IF(DK110&lt;=120,DQ110,IF(DG$4&lt;$AD$124,IF($F110=1,60/DI$4*DI$6,60/DI$4*DI$7),IF($F110=1,120/DI$4*DI$6,120/DI$4*DI$7)))),IF(OR($F110=3,$G110=2),IF(OR(AND(DG$4&gt;=$AD$119,$C110=2),AND(DG$4&gt;=$AF$119,$C110=1)),0,IF(DK110&lt;=60,DQ110,60/DI$4*DI$7)),IF(AND($F110=2,$G110=1),DQ110,0)))))</f>
        <v>0</v>
      </c>
      <c r="DT110" s="57" t="str">
        <f t="shared" si="533"/>
        <v/>
      </c>
      <c r="DU110" s="57" t="str">
        <f t="shared" si="534"/>
        <v/>
      </c>
      <c r="DV110" s="713">
        <f>'org. Düngung 22'!AJ109</f>
        <v>0</v>
      </c>
      <c r="DW110" s="57"/>
      <c r="DX110" s="57"/>
      <c r="DY110" s="57">
        <f t="shared" si="535"/>
        <v>0</v>
      </c>
      <c r="DZ110" s="57">
        <f t="shared" si="716"/>
        <v>0</v>
      </c>
      <c r="EA110" s="57">
        <f t="shared" si="717"/>
        <v>0</v>
      </c>
      <c r="EB110" s="57">
        <f t="shared" si="718"/>
        <v>0</v>
      </c>
      <c r="EC110" s="57">
        <f t="shared" si="719"/>
        <v>0</v>
      </c>
      <c r="ED110" s="1029">
        <f t="shared" si="536"/>
        <v>0</v>
      </c>
      <c r="EE110" s="57">
        <f t="shared" si="537"/>
        <v>0</v>
      </c>
      <c r="EF110" s="171" t="str">
        <f t="shared" si="538"/>
        <v/>
      </c>
      <c r="EG110" s="57">
        <f t="shared" si="720"/>
        <v>0</v>
      </c>
      <c r="EH110" s="57">
        <f>IF(OR(AND(DV$6=1,$L110=0),AND(DV$6=2,$K110=2,$G110=1)),0,IF(AND(DX$9=2,(OR($F110&gt;1,$K110=1,AND($L110=80,OR($N110=1,AND($N110=2,'#BerechnungDBE'!$AL101&gt;0)))))),IF(DV$4&gt;=$AD$126,0,EF110),IF(DX$9=3,IF(OR(DV$4&gt;=$AD$127,AND($G110=1,$J110=2,DV$6=2),AND(DV$6=1,$N110&lt;&gt;1)),0,IF(DZ110&lt;=120,EF110,IF(DV$4&lt;$AD$124,IF($F110=1,60/DX$4*DX$6,60/DX$4*DX$7),IF($F110=1,120/DX$4*DX$6,120/DX$4*DX$7)))),IF(OR($F110=3,$G110=2),IF(OR(AND(DV$4&gt;=$AD$119,$C110=2),AND(DV$4&gt;=$AF$119,$C110=1)),0,IF(DZ110&lt;=60,EF110,60/DX$4*DX$7)),IF(AND($F110=2,$G110=1),EF110,0)))))</f>
        <v>0</v>
      </c>
      <c r="EI110" s="57" t="str">
        <f t="shared" si="539"/>
        <v/>
      </c>
      <c r="EJ110" s="57" t="str">
        <f t="shared" si="540"/>
        <v/>
      </c>
      <c r="EK110" s="713">
        <f>'org. Düngung 22'!AN109</f>
        <v>0</v>
      </c>
      <c r="EL110" s="57"/>
      <c r="EM110" s="57"/>
      <c r="EN110" s="57">
        <f t="shared" si="541"/>
        <v>0</v>
      </c>
      <c r="EO110" s="57">
        <f t="shared" si="721"/>
        <v>0</v>
      </c>
      <c r="EP110" s="57">
        <f t="shared" si="722"/>
        <v>0</v>
      </c>
      <c r="EQ110" s="57">
        <f t="shared" si="723"/>
        <v>0</v>
      </c>
      <c r="ER110" s="57">
        <f t="shared" si="724"/>
        <v>0</v>
      </c>
      <c r="ES110" s="1029">
        <f t="shared" si="542"/>
        <v>0</v>
      </c>
      <c r="ET110" s="57">
        <f t="shared" si="543"/>
        <v>0</v>
      </c>
      <c r="EU110" s="171" t="str">
        <f t="shared" si="544"/>
        <v/>
      </c>
      <c r="EV110" s="57">
        <f t="shared" si="725"/>
        <v>0</v>
      </c>
      <c r="EW110" s="57">
        <f>IF(OR(AND(EK$6=1,$L110=0),AND(EK$6=2,$K110=2,$G110=1)),0,IF(AND(EM$9=2,(OR($F110&gt;1,$K110=1,AND($L110=80,OR($N110=1,AND($N110=2,'#BerechnungDBE'!$AL101&gt;0)))))),IF(EK$4&gt;=$AD$126,0,EU110),IF(EM$9=3,IF(OR(EK$4&gt;=$AD$127,AND($G110=1,$J110=2,EK$6=2),AND(EK$6=1,$N110&lt;&gt;1)),0,IF(EO110&lt;=120,EU110,IF(EK$4&lt;$AD$124,IF($F110=1,60/EM$4*EM$6,60/EM$4*EM$7),IF($F110=1,120/EM$4*EM$6,120/EM$4*EM$7)))),IF(OR($F110=3,$G110=2),IF(OR(AND(EK$4&gt;=$AD$119,$C110=2),AND(EK$4&gt;=$AF$119,$C110=1)),0,IF(EO110&lt;=60,EU110,60/EM$4*EM$7)),IF(AND($F110=2,$G110=1),EU110,0)))))</f>
        <v>0</v>
      </c>
      <c r="EX110" s="57" t="str">
        <f t="shared" si="545"/>
        <v/>
      </c>
      <c r="EY110" s="57" t="str">
        <f t="shared" si="546"/>
        <v/>
      </c>
      <c r="EZ110" s="713">
        <f>'org. Düngung 22'!AR109</f>
        <v>0</v>
      </c>
      <c r="FA110" s="57"/>
      <c r="FB110" s="57"/>
      <c r="FC110" s="57">
        <f t="shared" si="547"/>
        <v>0</v>
      </c>
      <c r="FD110" s="57">
        <f t="shared" si="726"/>
        <v>0</v>
      </c>
      <c r="FE110" s="57">
        <f t="shared" si="727"/>
        <v>0</v>
      </c>
      <c r="FF110" s="57">
        <f t="shared" si="728"/>
        <v>0</v>
      </c>
      <c r="FG110" s="57">
        <f t="shared" si="729"/>
        <v>0</v>
      </c>
      <c r="FH110" s="1029">
        <f t="shared" si="548"/>
        <v>0</v>
      </c>
      <c r="FI110" s="57">
        <f t="shared" si="549"/>
        <v>0</v>
      </c>
      <c r="FJ110" s="171" t="str">
        <f t="shared" si="550"/>
        <v/>
      </c>
      <c r="FK110" s="57">
        <f t="shared" si="730"/>
        <v>0</v>
      </c>
      <c r="FL110" s="57">
        <f>IF(OR(AND(EZ$6=1,$L110=0),AND(EZ$6=2,$K110=2,$G110=1)),0,IF(AND(FB$9=2,(OR($F110&gt;1,$K110=1,AND($L110=80,OR($N110=1,AND($N110=2,'#BerechnungDBE'!$AL101&gt;0)))))),IF(EZ$4&gt;=$AD$126,0,FJ110),IF(FB$9=3,IF(OR(EZ$4&gt;=$AD$127,AND($G110=1,$J110=2,EZ$6=2),AND(EZ$6=1,$N110&lt;&gt;1)),0,IF(FD110&lt;=120,FJ110,IF(EZ$4&lt;$AD$124,IF($F110=1,60/FB$4*FB$6,60/FB$4*FB$7),IF($F110=1,120/FB$4*FB$6,120/FB$4*FB$7)))),IF(OR($F110=3,$G110=2),IF(OR(AND(EZ$4&gt;=$AD$119,$C110=2),AND(EZ$4&gt;=$AF$119,$C110=1)),0,IF(FD110&lt;=60,FJ110,60/FB$4*FB$7)),IF(AND($F110=2,$G110=1),FJ110,0)))))</f>
        <v>0</v>
      </c>
      <c r="FM110" s="57" t="str">
        <f t="shared" si="551"/>
        <v/>
      </c>
      <c r="FN110" s="57" t="str">
        <f t="shared" si="552"/>
        <v/>
      </c>
      <c r="FO110" s="713">
        <f>'org. Düngung 22'!AV109</f>
        <v>0</v>
      </c>
      <c r="FP110" s="57"/>
      <c r="FQ110" s="57"/>
      <c r="FR110" s="57">
        <f t="shared" si="553"/>
        <v>0</v>
      </c>
      <c r="FS110" s="57">
        <f t="shared" si="731"/>
        <v>0</v>
      </c>
      <c r="FT110" s="57">
        <f t="shared" si="732"/>
        <v>0</v>
      </c>
      <c r="FU110" s="57">
        <f t="shared" si="733"/>
        <v>0</v>
      </c>
      <c r="FV110" s="57">
        <f t="shared" si="734"/>
        <v>0</v>
      </c>
      <c r="FW110" s="1029">
        <f t="shared" si="554"/>
        <v>0</v>
      </c>
      <c r="FX110" s="57">
        <f t="shared" si="555"/>
        <v>0</v>
      </c>
      <c r="FY110" s="171" t="str">
        <f t="shared" si="556"/>
        <v/>
      </c>
      <c r="FZ110" s="57">
        <f t="shared" si="735"/>
        <v>0</v>
      </c>
      <c r="GA110" s="57">
        <f>IF(OR(AND(FO$6=1,$L110=0),AND(FO$6=2,$K110=2,$G110=1)),0,IF(AND(FQ$9=2,(OR($F110&gt;1,$K110=1,AND($L110=80,OR($N110=1,AND($N110=2,'#BerechnungDBE'!$AL101&gt;0)))))),IF(FO$4&gt;=$AD$126,0,FY110),IF(FQ$9=3,IF(OR(FO$4&gt;=$AD$127,AND($G110=1,$J110=2,FO$6=2),AND(FO$6=1,$N110&lt;&gt;1)),0,IF(FS110&lt;=120,FY110,IF(FO$4&lt;$AD$124,IF($F110=1,60/FQ$4*FQ$6,60/FQ$4*FQ$7),IF($F110=1,120/FQ$4*FQ$6,120/FQ$4*FQ$7)))),IF(OR($F110=3,$G110=2),IF(OR(AND(FO$4&gt;=$AD$119,$C110=2),AND(FO$4&gt;=$AF$119,$C110=1)),0,IF(FS110&lt;=60,FY110,60/FQ$4*FQ$7)),IF(AND($F110=2,$G110=1),FY110,0)))))</f>
        <v>0</v>
      </c>
      <c r="GB110" s="57" t="str">
        <f t="shared" si="557"/>
        <v/>
      </c>
      <c r="GC110" s="57" t="str">
        <f t="shared" si="558"/>
        <v/>
      </c>
      <c r="GD110" s="713">
        <f>'org. Düngung 22'!AZ109</f>
        <v>0</v>
      </c>
      <c r="GE110" s="57"/>
      <c r="GF110" s="57"/>
      <c r="GG110" s="57">
        <f t="shared" si="559"/>
        <v>0</v>
      </c>
      <c r="GH110" s="57">
        <f t="shared" si="736"/>
        <v>0</v>
      </c>
      <c r="GI110" s="57">
        <f t="shared" si="737"/>
        <v>0</v>
      </c>
      <c r="GJ110" s="57">
        <f t="shared" si="738"/>
        <v>0</v>
      </c>
      <c r="GK110" s="57">
        <f t="shared" si="739"/>
        <v>0</v>
      </c>
      <c r="GL110" s="1029">
        <f t="shared" si="560"/>
        <v>0</v>
      </c>
      <c r="GM110" s="57">
        <f t="shared" si="561"/>
        <v>0</v>
      </c>
      <c r="GN110" s="171" t="str">
        <f t="shared" si="562"/>
        <v/>
      </c>
      <c r="GO110" s="57">
        <f t="shared" si="740"/>
        <v>0</v>
      </c>
      <c r="GP110" s="57">
        <f>IF(OR(AND(GD$6=1,$L110=0),AND(GD$6=2,$K110=2,$G110=1)),0,IF(AND(GF$9=2,(OR($F110&gt;1,$K110=1,AND($L110=80,OR($N110=1,AND($N110=2,'#BerechnungDBE'!$AL101&gt;0)))))),IF(GD$4&gt;=$AD$126,0,GN110),IF(GF$9=3,IF(OR(GD$4&gt;=$AD$127,AND($G110=1,$J110=2,GD$6=2),AND(GD$6=1,$N110&lt;&gt;1)),0,IF(GH110&lt;=120,GN110,IF(GD$4&lt;$AD$124,IF($F110=1,60/GF$4*GF$6,60/GF$4*GF$7),IF($F110=1,120/GF$4*GF$6,120/GF$4*GF$7)))),IF(OR($F110=3,$G110=2),IF(OR(AND(GD$4&gt;=$AD$119,$C110=2),AND(GD$4&gt;=$AF$119,$C110=1)),0,IF(GH110&lt;=60,GN110,60/GF$4*GF$7)),IF(AND($F110=2,$G110=1),GN110,0)))))</f>
        <v>0</v>
      </c>
      <c r="GQ110" s="57" t="str">
        <f t="shared" si="563"/>
        <v/>
      </c>
      <c r="GR110" s="57" t="str">
        <f t="shared" si="564"/>
        <v/>
      </c>
      <c r="GS110" s="713">
        <f>'org. Düngung 22'!BD109</f>
        <v>0</v>
      </c>
      <c r="GT110" s="57"/>
      <c r="GU110" s="57"/>
      <c r="GV110" s="57">
        <f t="shared" si="565"/>
        <v>0</v>
      </c>
      <c r="GW110" s="57">
        <f t="shared" si="741"/>
        <v>0</v>
      </c>
      <c r="GX110" s="57">
        <f t="shared" si="742"/>
        <v>0</v>
      </c>
      <c r="GY110" s="57">
        <f t="shared" si="743"/>
        <v>0</v>
      </c>
      <c r="GZ110" s="57">
        <f t="shared" si="744"/>
        <v>0</v>
      </c>
      <c r="HA110" s="1029">
        <f t="shared" si="566"/>
        <v>0</v>
      </c>
      <c r="HB110" s="57">
        <f t="shared" si="567"/>
        <v>0</v>
      </c>
      <c r="HC110" s="171" t="str">
        <f t="shared" si="568"/>
        <v/>
      </c>
      <c r="HD110" s="57">
        <f t="shared" si="745"/>
        <v>0</v>
      </c>
      <c r="HE110" s="57">
        <f>IF(OR(AND(GS$6=1,$L110=0),AND(GS$6=2,$K110=2,$G110=1)),0,IF(AND(GU$9=2,(OR($F110&gt;1,$K110=1,AND($L110=80,OR($N110=1,AND($N110=2,'#BerechnungDBE'!$AL101&gt;0)))))),IF(GS$4&gt;=$AD$126,0,HC110),IF(GU$9=3,IF(OR(GS$4&gt;=$AD$127,AND($G110=1,$J110=2,GS$6=2),AND(GS$6=1,$N110&lt;&gt;1)),0,IF(GW110&lt;=120,HC110,IF(GS$4&lt;$AD$124,IF($F110=1,60/GU$4*GU$6,60/GU$4*GU$7),IF($F110=1,120/GU$4*GU$6,120/GU$4*GU$7)))),IF(OR($F110=3,$G110=2),IF(OR(AND(GS$4&gt;=$AD$119,$C110=2),AND(GS$4&gt;=$AF$119,$C110=1)),0,IF(GW110&lt;=60,HC110,60/GU$4*GU$7)),IF(AND($F110=2,$G110=1),HC110,0)))))</f>
        <v>0</v>
      </c>
      <c r="HF110" s="57" t="str">
        <f t="shared" si="569"/>
        <v/>
      </c>
      <c r="HG110" s="57" t="str">
        <f t="shared" si="570"/>
        <v/>
      </c>
      <c r="HH110" s="713">
        <f>'org. Düngung 22'!BH109</f>
        <v>0</v>
      </c>
      <c r="HI110" s="57"/>
      <c r="HJ110" s="57"/>
      <c r="HK110" s="57">
        <f t="shared" si="571"/>
        <v>0</v>
      </c>
      <c r="HL110" s="57">
        <f t="shared" si="746"/>
        <v>0</v>
      </c>
      <c r="HM110" s="57">
        <f t="shared" si="747"/>
        <v>0</v>
      </c>
      <c r="HN110" s="57">
        <f t="shared" si="748"/>
        <v>0</v>
      </c>
      <c r="HO110" s="57">
        <f t="shared" si="749"/>
        <v>0</v>
      </c>
      <c r="HP110" s="1029">
        <f t="shared" si="572"/>
        <v>0</v>
      </c>
      <c r="HQ110" s="57">
        <f t="shared" si="573"/>
        <v>0</v>
      </c>
      <c r="HR110" s="171" t="str">
        <f t="shared" si="574"/>
        <v/>
      </c>
      <c r="HS110" s="57">
        <f t="shared" si="750"/>
        <v>0</v>
      </c>
      <c r="HT110" s="57">
        <f>IF(OR(AND(HH$6=1,$L110=0),AND(HH$6=2,$K110=2,$G110=1)),0,IF(AND(HJ$9=2,(OR($F110&gt;1,$K110=1,AND($L110=80,OR($N110=1,AND($N110=2,'#BerechnungDBE'!$AL101&gt;0)))))),IF(HH$4&gt;=$AD$126,0,HR110),IF(HJ$9=3,IF(OR(HH$4&gt;=$AD$127,AND($G110=1,$J110=2,HH$6=2),AND(HH$6=1,$N110&lt;&gt;1)),0,IF(HL110&lt;=120,HR110,IF(HH$4&lt;$AD$124,IF($F110=1,60/HJ$4*HJ$6,60/HJ$4*HJ$7),IF($F110=1,120/HJ$4*HJ$6,120/HJ$4*HJ$7)))),IF(OR($F110=3,$G110=2),IF(OR(AND(HH$4&gt;=$AD$119,$C110=2),AND(HH$4&gt;=$AF$119,$C110=1)),0,IF(HL110&lt;=60,HR110,60/HJ$4*HJ$7)),IF(AND($F110=2,$G110=1),HR110,0)))))</f>
        <v>0</v>
      </c>
      <c r="HU110" s="57" t="str">
        <f t="shared" si="575"/>
        <v/>
      </c>
      <c r="HV110" s="57" t="str">
        <f t="shared" si="576"/>
        <v/>
      </c>
      <c r="HW110" s="713">
        <f>'org. Düngung 22'!BL109</f>
        <v>0</v>
      </c>
      <c r="HX110" s="57"/>
      <c r="HY110" s="57"/>
      <c r="HZ110" s="57">
        <f t="shared" si="577"/>
        <v>0</v>
      </c>
      <c r="IA110" s="57">
        <f t="shared" si="751"/>
        <v>0</v>
      </c>
      <c r="IB110" s="57">
        <f t="shared" si="752"/>
        <v>0</v>
      </c>
      <c r="IC110" s="57">
        <f t="shared" si="753"/>
        <v>0</v>
      </c>
      <c r="ID110" s="57">
        <f t="shared" si="754"/>
        <v>0</v>
      </c>
      <c r="IE110" s="1029">
        <f t="shared" si="578"/>
        <v>0</v>
      </c>
      <c r="IF110" s="57">
        <f t="shared" si="579"/>
        <v>0</v>
      </c>
      <c r="IG110" s="171" t="str">
        <f t="shared" si="580"/>
        <v/>
      </c>
      <c r="IH110" s="57">
        <f t="shared" si="755"/>
        <v>0</v>
      </c>
      <c r="II110" s="57">
        <f>IF(OR(AND(HW$6=1,$L110=0),AND(HW$6=2,$K110=2,$G110=1)),0,IF(AND(HY$9=2,(OR($F110&gt;1,$K110=1,AND($L110=80,OR($N110=1,AND($N110=2,'#BerechnungDBE'!$AL101&gt;0)))))),IF(HW$4&gt;=$AD$126,0,IG110),IF(HY$9=3,IF(OR(HW$4&gt;=$AD$127,AND($G110=1,$J110=2,HW$6=2),AND(HW$6=1,$N110&lt;&gt;1)),0,IF(IA110&lt;=120,IG110,IF(HW$4&lt;$AD$124,IF($F110=1,60/HY$4*HY$6,60/HY$4*HY$7),IF($F110=1,120/HY$4*HY$6,120/HY$4*HY$7)))),IF(OR($F110=3,$G110=2),IF(OR(AND(HW$4&gt;=$AD$119,$C110=2),AND(HW$4&gt;=$AF$119,$C110=1)),0,IF(IA110&lt;=60,IG110,60/HY$4*HY$7)),IF(AND($F110=2,$G110=1),IG110,0)))))</f>
        <v>0</v>
      </c>
      <c r="IJ110" s="57" t="str">
        <f t="shared" si="581"/>
        <v/>
      </c>
      <c r="IK110" s="57" t="str">
        <f t="shared" si="582"/>
        <v/>
      </c>
      <c r="IL110" s="713">
        <f>'org. Düngung 22'!BP109</f>
        <v>0</v>
      </c>
      <c r="IM110" s="57"/>
      <c r="IN110" s="57"/>
      <c r="IO110" s="57">
        <f t="shared" si="583"/>
        <v>0</v>
      </c>
      <c r="IP110" s="57">
        <f t="shared" si="756"/>
        <v>0</v>
      </c>
      <c r="IQ110" s="57">
        <f t="shared" si="757"/>
        <v>0</v>
      </c>
      <c r="IR110" s="57">
        <f t="shared" si="758"/>
        <v>0</v>
      </c>
      <c r="IS110" s="57">
        <f t="shared" si="759"/>
        <v>0</v>
      </c>
      <c r="IT110" s="1029">
        <f t="shared" si="584"/>
        <v>0</v>
      </c>
      <c r="IU110" s="57">
        <f t="shared" si="585"/>
        <v>0</v>
      </c>
      <c r="IV110" s="171" t="str">
        <f t="shared" si="586"/>
        <v/>
      </c>
      <c r="IW110" s="57">
        <f t="shared" si="760"/>
        <v>0</v>
      </c>
      <c r="IX110" s="57">
        <f>IF(OR(AND(IL$6=1,$L110=0),AND(IL$6=2,$K110=2,$G110=1)),0,IF(AND(IN$9=2,(OR($F110&gt;1,$K110=1,AND($L110=80,OR($N110=1,AND($N110=2,'#BerechnungDBE'!$AL101&gt;0)))))),IF(IL$4&gt;=$AD$126,0,IV110),IF(IN$9=3,IF(OR(IL$4&gt;=$AD$127,AND($G110=1,$J110=2,IL$6=2),AND(IL$6=1,$N110&lt;&gt;1)),0,IF(IP110&lt;=120,IV110,IF(IL$4&lt;$AD$124,IF($F110=1,60/IN$4*IN$6,60/IN$4*IN$7),IF($F110=1,120/IN$4*IN$6,120/IN$4*IN$7)))),IF(OR($F110=3,$G110=2),IF(OR(AND(IL$4&gt;=$AD$119,$C110=2),AND(IL$4&gt;=$AF$119,$C110=1)),0,IF(IP110&lt;=60,IV110,60/IN$4*IN$7)),IF(AND($F110=2,$G110=1),IV110,0)))))</f>
        <v>0</v>
      </c>
      <c r="IY110" s="57" t="str">
        <f t="shared" si="587"/>
        <v/>
      </c>
      <c r="IZ110" s="57" t="str">
        <f t="shared" si="588"/>
        <v/>
      </c>
      <c r="JA110" s="713">
        <f>'org. Düngung 22'!BT109</f>
        <v>0</v>
      </c>
      <c r="JB110" s="57"/>
      <c r="JC110" s="57"/>
      <c r="JD110" s="57">
        <f t="shared" si="589"/>
        <v>0</v>
      </c>
      <c r="JE110" s="57">
        <f t="shared" si="761"/>
        <v>0</v>
      </c>
      <c r="JF110" s="57">
        <f t="shared" si="762"/>
        <v>0</v>
      </c>
      <c r="JG110" s="57">
        <f t="shared" si="763"/>
        <v>0</v>
      </c>
      <c r="JH110" s="57">
        <f t="shared" si="764"/>
        <v>0</v>
      </c>
      <c r="JI110" s="1029">
        <f t="shared" si="590"/>
        <v>0</v>
      </c>
      <c r="JJ110" s="57">
        <f t="shared" si="591"/>
        <v>0</v>
      </c>
      <c r="JK110" s="171" t="str">
        <f t="shared" si="592"/>
        <v/>
      </c>
      <c r="JL110" s="57">
        <f t="shared" si="765"/>
        <v>0</v>
      </c>
      <c r="JM110" s="57">
        <f>IF(OR(AND(JA$6=1,$L110=0),AND(JA$6=2,$K110=2,$G110=1)),0,IF(AND(JC$9=2,(OR($F110&gt;1,$K110=1,AND($L110=80,OR($N110=1,AND($N110=2,'#BerechnungDBE'!$AL101&gt;0)))))),IF(JA$4&gt;=$AD$126,0,JK110),IF(JC$9=3,IF(OR(JA$4&gt;=$AD$127,AND($G110=1,$J110=2,JA$6=2),AND(JA$6=1,$N110&lt;&gt;1)),0,IF(JE110&lt;=120,JK110,IF(JA$4&lt;$AD$124,IF($F110=1,60/JC$4*JC$6,60/JC$4*JC$7),IF($F110=1,120/JC$4*JC$6,120/JC$4*JC$7)))),IF(OR($F110=3,$G110=2),IF(OR(AND(JA$4&gt;=$AD$119,$C110=2),AND(JA$4&gt;=$AF$119,$C110=1)),0,IF(JE110&lt;=60,JK110,60/JC$4*JC$7)),IF(AND($F110=2,$G110=1),JK110,0)))))</f>
        <v>0</v>
      </c>
      <c r="JN110" s="57" t="str">
        <f t="shared" si="593"/>
        <v/>
      </c>
      <c r="JO110" s="57" t="str">
        <f t="shared" si="594"/>
        <v/>
      </c>
      <c r="JP110" s="713">
        <f>'org. Düngung 22'!BX109</f>
        <v>0</v>
      </c>
      <c r="JQ110" s="57"/>
      <c r="JR110" s="57"/>
      <c r="JS110" s="57">
        <f t="shared" si="595"/>
        <v>0</v>
      </c>
      <c r="JT110" s="57">
        <f t="shared" si="766"/>
        <v>0</v>
      </c>
      <c r="JU110" s="57">
        <f t="shared" si="767"/>
        <v>0</v>
      </c>
      <c r="JV110" s="57">
        <f t="shared" si="768"/>
        <v>0</v>
      </c>
      <c r="JW110" s="57">
        <f t="shared" si="769"/>
        <v>0</v>
      </c>
      <c r="JX110" s="1029">
        <f t="shared" si="596"/>
        <v>0</v>
      </c>
      <c r="JY110" s="57">
        <f t="shared" si="597"/>
        <v>0</v>
      </c>
      <c r="JZ110" s="171" t="str">
        <f t="shared" si="598"/>
        <v/>
      </c>
      <c r="KA110" s="57">
        <f t="shared" si="770"/>
        <v>0</v>
      </c>
      <c r="KB110" s="57">
        <f>IF(OR(AND(JP$6=1,$L110=0),AND(JP$6=2,$K110=2,$G110=1)),0,IF(AND(JR$9=2,(OR($F110&gt;1,$K110=1,AND($L110=80,OR($N110=1,AND($N110=2,'#BerechnungDBE'!$AL101&gt;0)))))),IF(JP$4&gt;=$AD$126,0,JZ110),IF(JR$9=3,IF(OR(JP$4&gt;=$AD$127,AND($G110=1,$J110=2,JP$6=2),AND(JP$6=1,$N110&lt;&gt;1)),0,IF(JT110&lt;=120,JZ110,IF(JP$4&lt;$AD$124,IF($F110=1,60/JR$4*JR$6,60/JR$4*JR$7),IF($F110=1,120/JR$4*JR$6,120/JR$4*JR$7)))),IF(OR($F110=3,$G110=2),IF(OR(AND(JP$4&gt;=$AD$119,$C110=2),AND(JP$4&gt;=$AF$119,$C110=1)),0,IF(JT110&lt;=60,JZ110,60/JR$4*JR$7)),IF(AND($F110=2,$G110=1),JZ110,0)))))</f>
        <v>0</v>
      </c>
      <c r="KC110" s="57" t="str">
        <f t="shared" si="599"/>
        <v/>
      </c>
      <c r="KD110" s="57" t="str">
        <f t="shared" si="600"/>
        <v/>
      </c>
      <c r="KE110" s="713">
        <f>'org. Düngung 22'!CB109</f>
        <v>0</v>
      </c>
      <c r="KF110" s="57"/>
      <c r="KG110" s="57"/>
      <c r="KH110" s="57">
        <f t="shared" si="601"/>
        <v>0</v>
      </c>
      <c r="KI110" s="57">
        <f t="shared" si="771"/>
        <v>0</v>
      </c>
      <c r="KJ110" s="57">
        <f t="shared" si="772"/>
        <v>0</v>
      </c>
      <c r="KK110" s="57">
        <f t="shared" si="773"/>
        <v>0</v>
      </c>
      <c r="KL110" s="57">
        <f t="shared" si="774"/>
        <v>0</v>
      </c>
      <c r="KM110" s="1029">
        <f t="shared" si="602"/>
        <v>0</v>
      </c>
      <c r="KN110" s="57">
        <f t="shared" si="603"/>
        <v>0</v>
      </c>
      <c r="KO110" s="171" t="str">
        <f t="shared" si="604"/>
        <v/>
      </c>
      <c r="KP110" s="57">
        <f t="shared" si="775"/>
        <v>0</v>
      </c>
      <c r="KQ110" s="57">
        <f>IF(OR(AND(KE$6=1,$L110=0),AND(KE$6=2,$K110=2,$G110=1)),0,IF(AND(KG$9=2,(OR($F110&gt;1,$K110=1,AND($L110=80,OR($N110=1,AND($N110=2,'#BerechnungDBE'!$AL101&gt;0)))))),IF(KE$4&gt;=$AD$126,0,KO110),IF(KG$9=3,IF(OR(KE$4&gt;=$AD$127,AND($G110=1,$J110=2,KE$6=2),AND(KE$6=1,$N110&lt;&gt;1)),0,IF(KI110&lt;=120,KO110,IF(KE$4&lt;$AD$124,IF($F110=1,60/KG$4*KG$6,60/KG$4*KG$7),IF($F110=1,120/KG$4*KG$6,120/KG$4*KG$7)))),IF(OR($F110=3,$G110=2),IF(OR(AND(KE$4&gt;=$AD$119,$C110=2),AND(KE$4&gt;=$AF$119,$C110=1)),0,IF(KI110&lt;=60,KO110,60/KG$4*KG$7)),IF(AND($F110=2,$G110=1),KO110,0)))))</f>
        <v>0</v>
      </c>
      <c r="KR110" s="57" t="str">
        <f t="shared" si="605"/>
        <v/>
      </c>
      <c r="KS110" s="57" t="str">
        <f t="shared" si="606"/>
        <v/>
      </c>
      <c r="KT110" s="713">
        <f>'org. Düngung 22'!CF109</f>
        <v>0</v>
      </c>
      <c r="KU110" s="57"/>
      <c r="KV110" s="57"/>
      <c r="KW110" s="57">
        <f t="shared" si="607"/>
        <v>0</v>
      </c>
      <c r="KX110" s="57">
        <f t="shared" si="776"/>
        <v>0</v>
      </c>
      <c r="KY110" s="57">
        <f t="shared" si="777"/>
        <v>0</v>
      </c>
      <c r="KZ110" s="57">
        <f t="shared" si="778"/>
        <v>0</v>
      </c>
      <c r="LA110" s="57">
        <f t="shared" si="779"/>
        <v>0</v>
      </c>
      <c r="LB110" s="1029">
        <f t="shared" si="608"/>
        <v>0</v>
      </c>
      <c r="LC110" s="57">
        <f t="shared" si="609"/>
        <v>0</v>
      </c>
      <c r="LD110" s="171" t="str">
        <f t="shared" si="610"/>
        <v/>
      </c>
      <c r="LE110" s="57">
        <f t="shared" si="780"/>
        <v>0</v>
      </c>
      <c r="LF110" s="57">
        <f>IF(OR(AND(KT$6=1,$L110=0),AND(KT$6=2,$K110=2,$G110=1)),0,IF(AND(KV$9=2,(OR($F110&gt;1,$K110=1,AND($L110=80,OR($N110=1,AND($N110=2,'#BerechnungDBE'!$AL101&gt;0)))))),IF(KT$4&gt;=$AD$126,0,LD110),IF(KV$9=3,IF(OR(KT$4&gt;=$AD$127,AND($G110=1,$J110=2,KT$6=2),AND(KT$6=1,$N110&lt;&gt;1)),0,IF(KX110&lt;=120,LD110,IF(KT$4&lt;$AD$124,IF($F110=1,60/KV$4*KV$6,60/KV$4*KV$7),IF($F110=1,120/KV$4*KV$6,120/KV$4*KV$7)))),IF(OR($F110=3,$G110=2),IF(OR(AND(KT$4&gt;=$AD$119,$C110=2),AND(KT$4&gt;=$AF$119,$C110=1)),0,IF(KX110&lt;=60,LD110,60/KV$4*KV$7)),IF(AND($F110=2,$G110=1),LD110,0)))))</f>
        <v>0</v>
      </c>
      <c r="LG110" s="57" t="str">
        <f t="shared" si="611"/>
        <v/>
      </c>
      <c r="LH110" s="57" t="str">
        <f t="shared" si="612"/>
        <v/>
      </c>
      <c r="LI110" s="713">
        <f>'org. Düngung 22'!CJ109</f>
        <v>0</v>
      </c>
      <c r="LJ110" s="57"/>
      <c r="LK110" s="57"/>
      <c r="LL110" s="57">
        <f t="shared" si="613"/>
        <v>0</v>
      </c>
      <c r="LM110" s="57">
        <f t="shared" si="781"/>
        <v>0</v>
      </c>
      <c r="LN110" s="57">
        <f t="shared" si="782"/>
        <v>0</v>
      </c>
      <c r="LO110" s="57">
        <f t="shared" si="783"/>
        <v>0</v>
      </c>
      <c r="LP110" s="57">
        <f t="shared" si="784"/>
        <v>0</v>
      </c>
      <c r="LQ110" s="1029">
        <f t="shared" si="614"/>
        <v>0</v>
      </c>
      <c r="LR110" s="57">
        <f t="shared" si="615"/>
        <v>0</v>
      </c>
      <c r="LS110" s="171" t="str">
        <f t="shared" si="616"/>
        <v/>
      </c>
      <c r="LT110" s="57">
        <f t="shared" si="785"/>
        <v>0</v>
      </c>
      <c r="LU110" s="57">
        <f>IF(OR(AND(LI$6=1,$L110=0),AND(LI$6=2,$K110=2,$G110=1)),0,IF(AND(LK$9=2,(OR($F110&gt;1,$K110=1,AND($L110=80,OR($N110=1,AND($N110=2,'#BerechnungDBE'!$AL101&gt;0)))))),IF(LI$4&gt;=$AD$126,0,LS110),IF(LK$9=3,IF(OR(LI$4&gt;=$AD$127,AND($G110=1,$J110=2,LI$6=2),AND(LI$6=1,$N110&lt;&gt;1)),0,IF(LM110&lt;=120,LS110,IF(LI$4&lt;$AD$124,IF($F110=1,60/LK$4*LK$6,60/LK$4*LK$7),IF($F110=1,120/LK$4*LK$6,120/LK$4*LK$7)))),IF(OR($F110=3,$G110=2),IF(OR(AND(LI$4&gt;=$AD$119,$C110=2),AND(LI$4&gt;=$AF$119,$C110=1)),0,IF(LM110&lt;=60,LS110,60/LK$4*LK$7)),IF(AND($F110=2,$G110=1),LS110,0)))))</f>
        <v>0</v>
      </c>
      <c r="LV110" s="57" t="str">
        <f t="shared" si="617"/>
        <v/>
      </c>
      <c r="LW110" s="57" t="str">
        <f t="shared" si="618"/>
        <v/>
      </c>
      <c r="LX110" s="713">
        <f>'org. Düngung 22'!CN109</f>
        <v>0</v>
      </c>
      <c r="LY110" s="57"/>
      <c r="LZ110" s="57"/>
      <c r="MA110" s="57">
        <f t="shared" si="619"/>
        <v>0</v>
      </c>
      <c r="MB110" s="57">
        <f t="shared" si="786"/>
        <v>0</v>
      </c>
      <c r="MC110" s="57">
        <f t="shared" si="787"/>
        <v>0</v>
      </c>
      <c r="MD110" s="57">
        <f t="shared" si="788"/>
        <v>0</v>
      </c>
      <c r="ME110" s="57">
        <f t="shared" si="789"/>
        <v>0</v>
      </c>
      <c r="MF110" s="1029">
        <f t="shared" si="620"/>
        <v>0</v>
      </c>
      <c r="MG110" s="57">
        <f t="shared" si="621"/>
        <v>0</v>
      </c>
      <c r="MH110" s="171" t="str">
        <f t="shared" si="622"/>
        <v/>
      </c>
      <c r="MI110" s="57">
        <f t="shared" si="790"/>
        <v>0</v>
      </c>
      <c r="MJ110" s="57">
        <f>IF(OR(AND(LX$6=1,$L110=0),AND(LX$6=2,$K110=2,$G110=1)),0,IF(AND(LZ$9=2,(OR($F110&gt;1,$K110=1,AND($L110=80,OR($N110=1,AND($N110=2,'#BerechnungDBE'!$AL101&gt;0)))))),IF(LX$4&gt;=$AD$126,0,MH110),IF(LZ$9=3,IF(OR(LX$4&gt;=$AD$127,AND($G110=1,$J110=2,LX$6=2),AND(LX$6=1,$N110&lt;&gt;1)),0,IF(MB110&lt;=120,MH110,IF(LX$4&lt;$AD$124,IF($F110=1,60/LZ$4*LZ$6,60/LZ$4*LZ$7),IF($F110=1,120/LZ$4*LZ$6,120/LZ$4*LZ$7)))),IF(OR($F110=3,$G110=2),IF(OR(AND(LX$4&gt;=$AD$119,$C110=2),AND(LX$4&gt;=$AF$119,$C110=1)),0,IF(MB110&lt;=60,MH110,60/LZ$4*LZ$7)),IF(AND($F110=2,$G110=1),MH110,0)))))</f>
        <v>0</v>
      </c>
      <c r="MK110" s="57" t="str">
        <f t="shared" si="623"/>
        <v/>
      </c>
      <c r="ML110" s="57" t="str">
        <f t="shared" si="624"/>
        <v/>
      </c>
      <c r="MM110" s="713">
        <f>'org. Düngung 22'!CR109</f>
        <v>0</v>
      </c>
      <c r="MN110" s="57"/>
      <c r="MO110" s="57"/>
      <c r="MP110" s="57">
        <f t="shared" si="625"/>
        <v>0</v>
      </c>
      <c r="MQ110" s="57">
        <f t="shared" si="791"/>
        <v>0</v>
      </c>
      <c r="MR110" s="57">
        <f t="shared" si="792"/>
        <v>0</v>
      </c>
      <c r="MS110" s="57">
        <f t="shared" si="793"/>
        <v>0</v>
      </c>
      <c r="MT110" s="57">
        <f t="shared" si="794"/>
        <v>0</v>
      </c>
      <c r="MU110" s="1029">
        <f t="shared" si="626"/>
        <v>0</v>
      </c>
      <c r="MV110" s="57">
        <f t="shared" si="627"/>
        <v>0</v>
      </c>
      <c r="MW110" s="171" t="str">
        <f t="shared" si="628"/>
        <v/>
      </c>
      <c r="MX110" s="57">
        <f t="shared" si="795"/>
        <v>0</v>
      </c>
      <c r="MY110" s="57">
        <f>IF(OR(AND(MM$6=1,$L110=0),AND(MM$6=2,$K110=2,$G110=1)),0,IF(AND(MO$9=2,(OR($F110&gt;1,$K110=1,AND($L110=80,OR($N110=1,AND($N110=2,'#BerechnungDBE'!$AL101&gt;0)))))),IF(MM$4&gt;=$AD$126,0,MW110),IF(MO$9=3,IF(OR(MM$4&gt;=$AD$127,AND($G110=1,$J110=2,MM$6=2),AND(MM$6=1,$N110&lt;&gt;1)),0,IF(MQ110&lt;=120,MW110,IF(MM$4&lt;$AD$124,IF($F110=1,60/MO$4*MO$6,60/MO$4*MO$7),IF($F110=1,120/MO$4*MO$6,120/MO$4*MO$7)))),IF(OR($F110=3,$G110=2),IF(OR(AND(MM$4&gt;=$AD$119,$C110=2),AND(MM$4&gt;=$AF$119,$C110=1)),0,IF(MQ110&lt;=60,MW110,60/MO$4*MO$7)),IF(AND($F110=2,$G110=1),MW110,0)))))</f>
        <v>0</v>
      </c>
      <c r="MZ110" s="57" t="str">
        <f t="shared" si="629"/>
        <v/>
      </c>
      <c r="NA110" s="57" t="str">
        <f t="shared" si="630"/>
        <v/>
      </c>
      <c r="NB110" s="713">
        <f>'org. Düngung 22'!CV109</f>
        <v>0</v>
      </c>
      <c r="NC110" s="57"/>
      <c r="ND110" s="57"/>
      <c r="NE110" s="57">
        <f t="shared" si="631"/>
        <v>0</v>
      </c>
      <c r="NF110" s="57">
        <f t="shared" si="796"/>
        <v>0</v>
      </c>
      <c r="NG110" s="57">
        <f t="shared" si="797"/>
        <v>0</v>
      </c>
      <c r="NH110" s="57">
        <f t="shared" si="798"/>
        <v>0</v>
      </c>
      <c r="NI110" s="57">
        <f t="shared" si="799"/>
        <v>0</v>
      </c>
      <c r="NJ110" s="1029">
        <f t="shared" si="632"/>
        <v>0</v>
      </c>
      <c r="NK110" s="57">
        <f t="shared" si="633"/>
        <v>0</v>
      </c>
      <c r="NL110" s="171" t="str">
        <f t="shared" si="634"/>
        <v/>
      </c>
      <c r="NM110" s="57">
        <f t="shared" si="800"/>
        <v>0</v>
      </c>
      <c r="NN110" s="57">
        <f>IF(OR(AND(NB$6=1,$L110=0),AND(NB$6=2,$K110=2,$G110=1)),0,IF(AND(ND$9=2,(OR($F110&gt;1,$K110=1,AND($L110=80,OR($N110=1,AND($N110=2,'#BerechnungDBE'!$AL101&gt;0)))))),IF(NB$4&gt;=$AD$126,0,NL110),IF(ND$9=3,IF(OR(NB$4&gt;=$AD$127,AND($G110=1,$J110=2,NB$6=2),AND(NB$6=1,$N110&lt;&gt;1)),0,IF(NF110&lt;=120,NL110,IF(NB$4&lt;$AD$124,IF($F110=1,60/ND$4*ND$6,60/ND$4*ND$7),IF($F110=1,120/ND$4*ND$6,120/ND$4*ND$7)))),IF(OR($F110=3,$G110=2),IF(OR(AND(NB$4&gt;=$AD$119,$C110=2),AND(NB$4&gt;=$AF$119,$C110=1)),0,IF(NF110&lt;=60,NL110,60/ND$4*ND$7)),IF(AND($F110=2,$G110=1),NL110,0)))))</f>
        <v>0</v>
      </c>
      <c r="NO110" s="57" t="str">
        <f t="shared" si="635"/>
        <v/>
      </c>
      <c r="NP110" s="57" t="str">
        <f t="shared" si="636"/>
        <v/>
      </c>
      <c r="NQ110" s="713">
        <f>'org. Düngung 22'!CZ109</f>
        <v>0</v>
      </c>
      <c r="NR110" s="57"/>
      <c r="NS110" s="57"/>
      <c r="NT110" s="57">
        <f t="shared" si="637"/>
        <v>0</v>
      </c>
      <c r="NU110" s="57">
        <f t="shared" si="801"/>
        <v>0</v>
      </c>
      <c r="NV110" s="57">
        <f t="shared" si="802"/>
        <v>0</v>
      </c>
      <c r="NW110" s="57">
        <f t="shared" si="803"/>
        <v>0</v>
      </c>
      <c r="NX110" s="57">
        <f t="shared" si="804"/>
        <v>0</v>
      </c>
      <c r="NY110" s="1029">
        <f t="shared" si="638"/>
        <v>0</v>
      </c>
      <c r="NZ110" s="57">
        <f t="shared" si="639"/>
        <v>0</v>
      </c>
      <c r="OA110" s="171" t="str">
        <f t="shared" si="640"/>
        <v/>
      </c>
      <c r="OB110" s="57">
        <f t="shared" si="805"/>
        <v>0</v>
      </c>
      <c r="OC110" s="57">
        <f>IF(OR(AND(NQ$6=1,$L110=0),AND(NQ$6=2,$K110=2,$G110=1)),0,IF(AND(NS$9=2,(OR($F110&gt;1,$K110=1,AND($L110=80,OR($N110=1,AND($N110=2,'#BerechnungDBE'!$AL101&gt;0)))))),IF(NQ$4&gt;=$AD$126,0,OA110),IF(NS$9=3,IF(OR(NQ$4&gt;=$AD$127,AND($G110=1,$J110=2,NQ$6=2),AND(NQ$6=1,$N110&lt;&gt;1)),0,IF(NU110&lt;=120,OA110,IF(NQ$4&lt;$AD$124,IF($F110=1,60/NS$4*NS$6,60/NS$4*NS$7),IF($F110=1,120/NS$4*NS$6,120/NS$4*NS$7)))),IF(OR($F110=3,$G110=2),IF(OR(AND(NQ$4&gt;=$AD$119,$C110=2),AND(NQ$4&gt;=$AF$119,$C110=1)),0,IF(NU110&lt;=60,OA110,60/NS$4*NS$7)),IF(AND($F110=2,$G110=1),OA110,0)))))</f>
        <v>0</v>
      </c>
      <c r="OD110" s="57" t="str">
        <f t="shared" si="641"/>
        <v/>
      </c>
      <c r="OE110" s="57" t="str">
        <f t="shared" si="642"/>
        <v/>
      </c>
      <c r="OF110" s="713">
        <f>'org. Düngung 22'!DD109</f>
        <v>0</v>
      </c>
      <c r="OG110" s="57"/>
      <c r="OH110" s="57"/>
      <c r="OI110" s="57">
        <f t="shared" si="643"/>
        <v>0</v>
      </c>
      <c r="OJ110" s="57">
        <f t="shared" si="806"/>
        <v>0</v>
      </c>
      <c r="OK110" s="57">
        <f t="shared" si="807"/>
        <v>0</v>
      </c>
      <c r="OL110" s="57">
        <f t="shared" si="808"/>
        <v>0</v>
      </c>
      <c r="OM110" s="57">
        <f t="shared" si="809"/>
        <v>0</v>
      </c>
      <c r="ON110" s="1029">
        <f t="shared" si="644"/>
        <v>0</v>
      </c>
      <c r="OO110" s="57">
        <f t="shared" si="645"/>
        <v>0</v>
      </c>
      <c r="OP110" s="171" t="str">
        <f t="shared" si="646"/>
        <v/>
      </c>
      <c r="OQ110" s="57">
        <f t="shared" si="810"/>
        <v>0</v>
      </c>
      <c r="OR110" s="57">
        <f>IF(OR(AND(OF$6=1,$L110=0),AND(OF$6=2,$K110=2,$G110=1)),0,IF(AND(OH$9=2,(OR($F110&gt;1,$K110=1,AND($L110=80,OR($N110=1,AND($N110=2,'#BerechnungDBE'!$AL101&gt;0)))))),IF(OF$4&gt;=$AD$126,0,OP110),IF(OH$9=3,IF(OR(OF$4&gt;=$AD$127,AND($G110=1,$J110=2,OF$6=2),AND(OF$6=1,$N110&lt;&gt;1)),0,IF(OJ110&lt;=120,OP110,IF(OF$4&lt;$AD$124,IF($F110=1,60/OH$4*OH$6,60/OH$4*OH$7),IF($F110=1,120/OH$4*OH$6,120/OH$4*OH$7)))),IF(OR($F110=3,$G110=2),IF(OR(AND(OF$4&gt;=$AD$119,$C110=2),AND(OF$4&gt;=$AF$119,$C110=1)),0,IF(OJ110&lt;=60,OP110,60/OH$4*OH$7)),IF(AND($F110=2,$G110=1),OP110,0)))))</f>
        <v>0</v>
      </c>
      <c r="OS110" s="57" t="str">
        <f t="shared" si="647"/>
        <v/>
      </c>
      <c r="OT110" s="57" t="str">
        <f t="shared" si="648"/>
        <v/>
      </c>
      <c r="OU110" s="713">
        <f>'org. Düngung 22'!DH109</f>
        <v>0</v>
      </c>
      <c r="OV110" s="57"/>
      <c r="OW110" s="57"/>
      <c r="OX110" s="57">
        <f t="shared" si="649"/>
        <v>0</v>
      </c>
      <c r="OY110" s="57">
        <f t="shared" si="811"/>
        <v>0</v>
      </c>
      <c r="OZ110" s="57">
        <f t="shared" si="812"/>
        <v>0</v>
      </c>
      <c r="PA110" s="57">
        <f t="shared" si="813"/>
        <v>0</v>
      </c>
      <c r="PB110" s="57">
        <f t="shared" si="814"/>
        <v>0</v>
      </c>
      <c r="PC110" s="1029">
        <f t="shared" si="650"/>
        <v>0</v>
      </c>
      <c r="PD110" s="57">
        <f t="shared" si="651"/>
        <v>0</v>
      </c>
      <c r="PE110" s="171" t="str">
        <f t="shared" si="652"/>
        <v/>
      </c>
      <c r="PF110" s="57">
        <f t="shared" si="815"/>
        <v>0</v>
      </c>
      <c r="PG110" s="57">
        <f>IF(OR(AND(OU$6=1,$L110=0),AND(OU$6=2,$K110=2,$G110=1)),0,IF(AND(OW$9=2,(OR($F110&gt;1,$K110=1,AND($L110=80,OR($N110=1,AND($N110=2,'#BerechnungDBE'!$AL101&gt;0)))))),IF(OU$4&gt;=$AD$126,0,PE110),IF(OW$9=3,IF(OR(OU$4&gt;=$AD$127,AND($G110=1,$J110=2,OU$6=2),AND(OU$6=1,$N110&lt;&gt;1)),0,IF(OY110&lt;=120,PE110,IF(OU$4&lt;$AD$124,IF($F110=1,60/OW$4*OW$6,60/OW$4*OW$7),IF($F110=1,120/OW$4*OW$6,120/OW$4*OW$7)))),IF(OR($F110=3,$G110=2),IF(OR(AND(OU$4&gt;=$AD$119,$C110=2),AND(OU$4&gt;=$AF$119,$C110=1)),0,IF(OY110&lt;=60,PE110,60/OW$4*OW$7)),IF(AND($F110=2,$G110=1),PE110,0)))))</f>
        <v>0</v>
      </c>
      <c r="PH110" s="57" t="str">
        <f t="shared" si="653"/>
        <v/>
      </c>
      <c r="PI110" s="57" t="str">
        <f t="shared" si="654"/>
        <v/>
      </c>
      <c r="PJ110" s="713">
        <f>'org. Düngung 22'!DL109</f>
        <v>0</v>
      </c>
      <c r="PK110" s="57"/>
      <c r="PL110" s="57"/>
      <c r="PM110" s="57">
        <f t="shared" si="655"/>
        <v>0</v>
      </c>
      <c r="PN110" s="57">
        <f t="shared" si="816"/>
        <v>0</v>
      </c>
      <c r="PO110" s="57">
        <f t="shared" si="817"/>
        <v>0</v>
      </c>
      <c r="PP110" s="57">
        <f t="shared" si="818"/>
        <v>0</v>
      </c>
      <c r="PQ110" s="57">
        <f t="shared" si="819"/>
        <v>0</v>
      </c>
      <c r="PR110" s="1029">
        <f t="shared" si="656"/>
        <v>0</v>
      </c>
      <c r="PS110" s="57">
        <f t="shared" si="657"/>
        <v>0</v>
      </c>
      <c r="PT110" s="171" t="str">
        <f t="shared" si="658"/>
        <v/>
      </c>
      <c r="PU110" s="57">
        <f t="shared" si="820"/>
        <v>0</v>
      </c>
      <c r="PV110" s="57">
        <f>IF(OR(AND(PJ$6=1,$L110=0),AND(PJ$6=2,$K110=2,$G110=1)),0,IF(AND(PL$9=2,(OR($F110&gt;1,$K110=1,AND($L110=80,OR($N110=1,AND($N110=2,'#BerechnungDBE'!$AL101&gt;0)))))),IF(PJ$4&gt;=$AD$126,0,PT110),IF(PL$9=3,IF(OR(PJ$4&gt;=$AD$127,AND($G110=1,$J110=2,PJ$6=2),AND(PJ$6=1,$N110&lt;&gt;1)),0,IF(PN110&lt;=120,PT110,IF(PJ$4&lt;$AD$124,IF($F110=1,60/PL$4*PL$6,60/PL$4*PL$7),IF($F110=1,120/PL$4*PL$6,120/PL$4*PL$7)))),IF(OR($F110=3,$G110=2),IF(OR(AND(PJ$4&gt;=$AD$119,$C110=2),AND(PJ$4&gt;=$AF$119,$C110=1)),0,IF(PN110&lt;=60,PT110,60/PL$4*PL$7)),IF(AND($F110=2,$G110=1),PT110,0)))))</f>
        <v>0</v>
      </c>
      <c r="PW110" s="57" t="str">
        <f t="shared" si="659"/>
        <v/>
      </c>
      <c r="PX110" s="57" t="str">
        <f t="shared" si="660"/>
        <v/>
      </c>
      <c r="PY110" s="713">
        <f>'org. Düngung 22'!DP109</f>
        <v>0</v>
      </c>
      <c r="PZ110" s="57"/>
      <c r="QA110" s="57"/>
      <c r="QB110" s="57">
        <f t="shared" si="661"/>
        <v>0</v>
      </c>
      <c r="QC110" s="57">
        <f t="shared" si="821"/>
        <v>0</v>
      </c>
      <c r="QD110" s="57">
        <f t="shared" si="822"/>
        <v>0</v>
      </c>
      <c r="QE110" s="57">
        <f t="shared" si="823"/>
        <v>0</v>
      </c>
      <c r="QF110" s="57">
        <f t="shared" si="824"/>
        <v>0</v>
      </c>
      <c r="QG110" s="1029">
        <f t="shared" si="662"/>
        <v>0</v>
      </c>
      <c r="QH110" s="57">
        <f t="shared" si="663"/>
        <v>0</v>
      </c>
      <c r="QI110" s="171" t="str">
        <f t="shared" si="664"/>
        <v/>
      </c>
      <c r="QJ110" s="57">
        <f t="shared" si="825"/>
        <v>0</v>
      </c>
      <c r="QK110" s="57">
        <f>IF(OR(AND(PY$6=1,$L110=0),AND(PY$6=2,$K110=2,$G110=1)),0,IF(AND(QA$9=2,(OR($F110&gt;1,$K110=1,AND($L110=80,OR($N110=1,AND($N110=2,'#BerechnungDBE'!$AL101&gt;0)))))),IF(PY$4&gt;=$AD$126,0,QI110),IF(QA$9=3,IF(OR(PY$4&gt;=$AD$127,AND($G110=1,$J110=2,PY$6=2),AND(PY$6=1,$N110&lt;&gt;1)),0,IF(QC110&lt;=120,QI110,IF(PY$4&lt;$AD$124,IF($F110=1,60/QA$4*QA$6,60/QA$4*QA$7),IF($F110=1,120/QA$4*QA$6,120/QA$4*QA$7)))),IF(OR($F110=3,$G110=2),IF(OR(AND(PY$4&gt;=$AD$119,$C110=2),AND(PY$4&gt;=$AF$119,$C110=1)),0,IF(QC110&lt;=60,QI110,60/QA$4*QA$7)),IF(AND($F110=2,$G110=1),QI110,0)))))</f>
        <v>0</v>
      </c>
      <c r="QL110" s="57" t="str">
        <f t="shared" si="665"/>
        <v/>
      </c>
      <c r="QM110" s="57" t="str">
        <f t="shared" si="666"/>
        <v/>
      </c>
      <c r="QN110" s="713">
        <f>'org. Düngung 22'!DT109</f>
        <v>0</v>
      </c>
      <c r="QO110" s="57"/>
      <c r="QP110" s="57"/>
      <c r="QQ110" s="57">
        <f t="shared" si="667"/>
        <v>0</v>
      </c>
      <c r="QR110" s="57">
        <f t="shared" si="826"/>
        <v>0</v>
      </c>
      <c r="QS110" s="57">
        <f t="shared" si="827"/>
        <v>0</v>
      </c>
      <c r="QT110" s="57">
        <f t="shared" si="828"/>
        <v>0</v>
      </c>
      <c r="QU110" s="57">
        <f t="shared" si="829"/>
        <v>0</v>
      </c>
      <c r="QV110" s="1029">
        <f t="shared" si="668"/>
        <v>0</v>
      </c>
      <c r="QW110" s="57">
        <f t="shared" si="669"/>
        <v>0</v>
      </c>
      <c r="QX110" s="171" t="str">
        <f t="shared" si="670"/>
        <v/>
      </c>
      <c r="QY110" s="57">
        <f t="shared" si="830"/>
        <v>0</v>
      </c>
      <c r="QZ110" s="57">
        <f>IF(OR(AND(QN$6=1,$L110=0),AND(QN$6=2,$K110=2,$G110=1)),0,IF(AND(QP$9=2,(OR($F110&gt;1,$K110=1,AND($L110=80,OR($N110=1,AND($N110=2,'#BerechnungDBE'!$AL101&gt;0)))))),IF(QN$4&gt;=$AD$126,0,QX110),IF(QP$9=3,IF(OR(QN$4&gt;=$AD$127,AND($G110=1,$J110=2,QN$6=2),AND(QN$6=1,$N110&lt;&gt;1)),0,IF(QR110&lt;=120,QX110,IF(QN$4&lt;$AD$124,IF($F110=1,60/QP$4*QP$6,60/QP$4*QP$7),IF($F110=1,120/QP$4*QP$6,120/QP$4*QP$7)))),IF(OR($F110=3,$G110=2),IF(OR(AND(QN$4&gt;=$AD$119,$C110=2),AND(QN$4&gt;=$AF$119,$C110=1)),0,IF(QR110&lt;=60,QX110,60/QP$4*QP$7)),IF(AND($F110=2,$G110=1),QX110,0)))))</f>
        <v>0</v>
      </c>
      <c r="RA110" s="57" t="str">
        <f t="shared" si="671"/>
        <v/>
      </c>
      <c r="RB110" s="57" t="str">
        <f t="shared" si="672"/>
        <v/>
      </c>
      <c r="RC110" s="713">
        <f>'org. Düngung 22'!DX109</f>
        <v>0</v>
      </c>
      <c r="RD110" s="57"/>
      <c r="RE110" s="57"/>
      <c r="RF110" s="57">
        <f t="shared" si="673"/>
        <v>0</v>
      </c>
      <c r="RG110" s="57">
        <f t="shared" si="831"/>
        <v>0</v>
      </c>
      <c r="RH110" s="57">
        <f t="shared" si="832"/>
        <v>0</v>
      </c>
      <c r="RI110" s="57">
        <f t="shared" si="833"/>
        <v>0</v>
      </c>
      <c r="RJ110" s="57">
        <f t="shared" si="834"/>
        <v>0</v>
      </c>
      <c r="RK110" s="1029">
        <f t="shared" si="674"/>
        <v>0</v>
      </c>
      <c r="RL110" s="57">
        <f t="shared" si="675"/>
        <v>0</v>
      </c>
      <c r="RM110" s="171" t="str">
        <f t="shared" si="676"/>
        <v/>
      </c>
      <c r="RN110" s="57">
        <f t="shared" si="835"/>
        <v>0</v>
      </c>
      <c r="RO110" s="57">
        <f>IF(OR(AND(RC$6=1,$L110=0),AND(RC$6=2,$K110=2,$G110=1)),0,IF(AND(RE$9=2,(OR($F110&gt;1,$K110=1,AND($L110=80,OR($N110=1,AND($N110=2,'#BerechnungDBE'!$AL101&gt;0)))))),IF(RC$4&gt;=$AD$126,0,RM110),IF(RE$9=3,IF(OR(RC$4&gt;=$AD$127,AND($G110=1,$J110=2,RC$6=2),AND(RC$6=1,$N110&lt;&gt;1)),0,IF(RG110&lt;=120,RM110,IF(RC$4&lt;$AD$124,IF($F110=1,60/RE$4*RE$6,60/RE$4*RE$7),IF($F110=1,120/RE$4*RE$6,120/RE$4*RE$7)))),IF(OR($F110=3,$G110=2),IF(OR(AND(RC$4&gt;=$AD$119,$C110=2),AND(RC$4&gt;=$AF$119,$C110=1)),0,IF(RG110&lt;=60,RM110,60/RE$4*RE$7)),IF(AND($F110=2,$G110=1),RM110,0)))))</f>
        <v>0</v>
      </c>
      <c r="RP110" s="57" t="str">
        <f t="shared" si="677"/>
        <v/>
      </c>
      <c r="RQ110" s="57" t="str">
        <f t="shared" si="678"/>
        <v/>
      </c>
      <c r="RS110" s="57" t="str">
        <f t="shared" si="836"/>
        <v/>
      </c>
      <c r="RT110" s="57" t="str">
        <f t="shared" si="679"/>
        <v/>
      </c>
      <c r="RU110" s="57" t="str">
        <f t="shared" si="680"/>
        <v/>
      </c>
      <c r="RV110" s="57" t="str">
        <f>IF(Z110&gt;'#BerechnungDBE'!BM101,$RV$9,"")</f>
        <v/>
      </c>
      <c r="RW110" s="57" t="str">
        <f>IF(AND(L110=70,AE110&gt;'#BerechnungDBE'!CQ101),$RW$9,"")</f>
        <v/>
      </c>
      <c r="RX110" s="57" t="str">
        <f>IF(OR('org. Düngung 22'!G109="--",'org. Düngung 22'!G109&lt;=170,'org. Düngung 22'!G109=""),"",$RX$9)</f>
        <v/>
      </c>
      <c r="RY110" s="57" t="str">
        <f>IF('org. Düngung 22'!K109&gt;120,'#orgDung'!$RY$9,"")</f>
        <v/>
      </c>
      <c r="RZ110" s="57" t="str">
        <f>IF('#BerechnungDBE'!P101&lt;4,"",IF(AND('#BerechnungDBE'!BZ101&gt;0,T110&gt;0),'#orgDung'!$RZ$9,""))</f>
        <v/>
      </c>
      <c r="SA110" s="57" t="str">
        <f t="shared" si="681"/>
        <v/>
      </c>
    </row>
    <row r="111" spans="1:495" s="875" customFormat="1" x14ac:dyDescent="0.2">
      <c r="A111" s="875">
        <f>'Flächen u. Kulturen'!A107</f>
        <v>98</v>
      </c>
      <c r="B111" s="367">
        <f>'#BerechnungDBE'!L102</f>
        <v>0</v>
      </c>
      <c r="C111" s="875">
        <f>'#BerechnungDBE'!R102</f>
        <v>1</v>
      </c>
      <c r="D111" s="875">
        <f>'#BerechnungDBE'!T102</f>
        <v>2</v>
      </c>
      <c r="E111" s="875" t="str">
        <f>'Flächen u. Kulturen'!E107</f>
        <v>x</v>
      </c>
      <c r="F111" s="52">
        <f>'#BerechnungDBE'!N102</f>
        <v>1</v>
      </c>
      <c r="G111" s="52">
        <f>'#BerechnungDBE'!O102</f>
        <v>1</v>
      </c>
      <c r="H111" s="875">
        <f>IF('Flächen u. Kulturen'!P107="",0,VLOOKUP('Flächen u. Kulturen'!P107,Kulturen[[HF]:[Berechnungsgruppe]],'#Frucht'!$H$1,FALSE))</f>
        <v>0</v>
      </c>
      <c r="I111" s="875">
        <f>IF('Flächen u. Kulturen'!J107="",0,VLOOKUP('Flächen u. Kulturen'!J107,Kulturen[[HF]:[Berechnungsgruppe]],'#Frucht'!$G$1,FALSE))</f>
        <v>90</v>
      </c>
      <c r="J111" s="505">
        <f t="shared" si="682"/>
        <v>2</v>
      </c>
      <c r="K111" s="505">
        <f>IF('Flächen u. Kulturen'!P107="",0,IF(VLOOKUP('Flächen u. Kulturen'!P107,Kulturen[[HF]:[Saat Winterungen]],'#Frucht'!$P$1,FALSE)&gt;0,1,2))</f>
        <v>2</v>
      </c>
      <c r="L111" s="875">
        <f>'#BerechnungDBE'!AF102</f>
        <v>0</v>
      </c>
      <c r="M111" s="875">
        <f>IF('Flächen u. Kulturen'!L107="",0,VLOOKUP('Flächen u. Kulturen'!L107,Nebenkultur[[Nebenkultur]:[Legum. Zwischenfr.]],'#Zweitfr'!$K$1,FALSE))</f>
        <v>0</v>
      </c>
      <c r="N111" s="875">
        <f>'#BerechnungDBE'!AG102</f>
        <v>0</v>
      </c>
      <c r="P111" s="57">
        <f t="shared" si="489"/>
        <v>0</v>
      </c>
      <c r="Q111" s="57">
        <f t="shared" si="490"/>
        <v>0</v>
      </c>
      <c r="R111" s="875">
        <f t="shared" si="491"/>
        <v>0</v>
      </c>
      <c r="S111" s="938" t="str">
        <f t="shared" si="683"/>
        <v/>
      </c>
      <c r="T111" s="875">
        <f t="shared" si="492"/>
        <v>0</v>
      </c>
      <c r="U111" s="875">
        <f t="shared" si="493"/>
        <v>0</v>
      </c>
      <c r="V111" s="875">
        <f t="shared" si="494"/>
        <v>0</v>
      </c>
      <c r="W111" s="875">
        <f t="shared" si="495"/>
        <v>0</v>
      </c>
      <c r="X111" s="875">
        <f t="shared" si="496"/>
        <v>0</v>
      </c>
      <c r="Y111" s="875">
        <f t="shared" si="837"/>
        <v>0</v>
      </c>
      <c r="Z111" s="875">
        <f t="shared" si="838"/>
        <v>0</v>
      </c>
      <c r="AA111" s="910">
        <f t="shared" si="497"/>
        <v>0</v>
      </c>
      <c r="AB111" s="57">
        <f t="shared" si="839"/>
        <v>0</v>
      </c>
      <c r="AC111" s="875">
        <f t="shared" si="498"/>
        <v>0</v>
      </c>
      <c r="AD111" s="875">
        <f t="shared" si="499"/>
        <v>0</v>
      </c>
      <c r="AE111" s="875">
        <f t="shared" si="500"/>
        <v>0</v>
      </c>
      <c r="AF111" s="875">
        <f t="shared" si="840"/>
        <v>0</v>
      </c>
      <c r="AG111" s="875">
        <f>'org. Düngung 22'!J110</f>
        <v>0</v>
      </c>
      <c r="AH111" s="875">
        <f>'org. Düngung 22'!K110</f>
        <v>0</v>
      </c>
      <c r="AJ111" s="713">
        <f>'org. Düngung 22'!L110</f>
        <v>0</v>
      </c>
      <c r="AK111" s="57"/>
      <c r="AL111" s="57"/>
      <c r="AM111" s="57">
        <f t="shared" si="684"/>
        <v>0</v>
      </c>
      <c r="AN111" s="57">
        <f t="shared" si="685"/>
        <v>0</v>
      </c>
      <c r="AO111" s="57">
        <f t="shared" si="686"/>
        <v>0</v>
      </c>
      <c r="AP111" s="57">
        <f t="shared" si="687"/>
        <v>0</v>
      </c>
      <c r="AQ111" s="57">
        <f t="shared" si="688"/>
        <v>0</v>
      </c>
      <c r="AR111" s="1029">
        <f t="shared" si="501"/>
        <v>0</v>
      </c>
      <c r="AS111" s="57">
        <f t="shared" si="502"/>
        <v>0</v>
      </c>
      <c r="AT111" s="171" t="str">
        <f t="shared" si="503"/>
        <v/>
      </c>
      <c r="AU111" s="57">
        <f t="shared" si="689"/>
        <v>0</v>
      </c>
      <c r="AV111" s="57">
        <f>IF(OR(AND(AJ$6=1,$L111=0),AND(AJ$6=2,$K111=2,$G111=1)),0,IF(AND(AL$9=2,(OR($F111&gt;1,$K111=1,AND($L111=80,OR($N111=1,AND($N111=2,'#BerechnungDBE'!$AL102&gt;0)))))),IF(AJ$4&gt;=$AD$126,0,AT111),IF(AL$9=3,IF(OR(AJ$4&gt;=$AD$127,AND($G111=1,$J111=2,AJ$6=2),AND(AJ$6=1,$N111&lt;&gt;1)),0,IF(AN111&lt;=120,AT111,IF(AJ$4&lt;$AD$124,IF($F111=1,60/AL$4*AL$6,60/AL$4*AL$7),IF($F111=1,120/AL$4*AL$6,120/AL$4*AL$7)))),IF(OR($F111=3,$G111=2),IF(OR(AND(AJ$4&gt;=$AD$119,$C111=2),AND(AJ$4&gt;=$AF$119,$C111=1)),0,IF(AN111&lt;=60,AT111,60/AL$4*AL$7)),IF(AND($F111=2,$G111=1),AT111,0)))))</f>
        <v>0</v>
      </c>
      <c r="AW111" s="57" t="str">
        <f t="shared" si="690"/>
        <v/>
      </c>
      <c r="AX111" s="57" t="str">
        <f t="shared" si="504"/>
        <v/>
      </c>
      <c r="AY111" s="713">
        <f>'org. Düngung 22'!P110</f>
        <v>0</v>
      </c>
      <c r="AZ111" s="57"/>
      <c r="BA111" s="57"/>
      <c r="BB111" s="57">
        <f t="shared" si="505"/>
        <v>0</v>
      </c>
      <c r="BC111" s="57">
        <f t="shared" si="691"/>
        <v>0</v>
      </c>
      <c r="BD111" s="57">
        <f t="shared" si="692"/>
        <v>0</v>
      </c>
      <c r="BE111" s="57">
        <f t="shared" si="693"/>
        <v>0</v>
      </c>
      <c r="BF111" s="57">
        <f t="shared" si="694"/>
        <v>0</v>
      </c>
      <c r="BG111" s="1029">
        <f t="shared" si="506"/>
        <v>0</v>
      </c>
      <c r="BH111" s="57">
        <f t="shared" si="507"/>
        <v>0</v>
      </c>
      <c r="BI111" s="171" t="str">
        <f t="shared" si="508"/>
        <v/>
      </c>
      <c r="BJ111" s="57">
        <f t="shared" si="695"/>
        <v>0</v>
      </c>
      <c r="BK111" s="57">
        <f>IF(OR(AND(AY$6=1,$L111=0),AND(AY$6=2,$K111=2,$G111=1)),0,IF(AND(BA$9=2,(OR($F111&gt;1,$K111=1,AND($L111=80,OR($N111=1,AND($N111=2,'#BerechnungDBE'!$AL102&gt;0)))))),IF(AY$4&gt;=$AD$126,0,BI111),IF(BA$9=3,IF(OR(AY$4&gt;=$AD$127,AND($G111=1,$J111=2,AY$6=2),AND(AY$6=1,$N111&lt;&gt;1)),0,IF(BC111&lt;=120,BI111,IF(AY$4&lt;$AD$124,IF($F111=1,60/BA$4*BA$6,60/BA$4*BA$7),IF($F111=1,120/BA$4*BA$6,120/BA$4*BA$7)))),IF(OR($F111=3,$G111=2),IF(OR(AND(AY$4&gt;=$AD$119,$C111=2),AND(AY$4&gt;=$AF$119,$C111=1)),0,IF(BC111&lt;=60,BI111,60/BA$4*BA$7)),IF(AND($F111=2,$G111=1),BI111,0)))))</f>
        <v>0</v>
      </c>
      <c r="BL111" s="57" t="str">
        <f t="shared" si="509"/>
        <v/>
      </c>
      <c r="BM111" s="57" t="str">
        <f t="shared" si="510"/>
        <v/>
      </c>
      <c r="BN111" s="713">
        <f>'org. Düngung 22'!T110</f>
        <v>0</v>
      </c>
      <c r="BO111" s="57"/>
      <c r="BP111" s="57"/>
      <c r="BQ111" s="57">
        <f t="shared" si="511"/>
        <v>0</v>
      </c>
      <c r="BR111" s="57">
        <f t="shared" si="696"/>
        <v>0</v>
      </c>
      <c r="BS111" s="57">
        <f t="shared" si="697"/>
        <v>0</v>
      </c>
      <c r="BT111" s="57">
        <f t="shared" si="698"/>
        <v>0</v>
      </c>
      <c r="BU111" s="57">
        <f t="shared" si="699"/>
        <v>0</v>
      </c>
      <c r="BV111" s="1029">
        <f t="shared" si="512"/>
        <v>0</v>
      </c>
      <c r="BW111" s="57">
        <f t="shared" si="513"/>
        <v>0</v>
      </c>
      <c r="BX111" s="171" t="str">
        <f t="shared" si="514"/>
        <v/>
      </c>
      <c r="BY111" s="57">
        <f t="shared" si="700"/>
        <v>0</v>
      </c>
      <c r="BZ111" s="57">
        <f>IF(OR(AND(BN$6=1,$L111=0),AND(BN$6=2,$K111=2,$G111=1)),0,IF(AND(BP$9=2,(OR($F111&gt;1,$K111=1,AND($L111=80,OR($N111=1,AND($N111=2,'#BerechnungDBE'!$AL102&gt;0)))))),IF(BN$4&gt;=$AD$126,0,BX111),IF(BP$9=3,IF(OR(BN$4&gt;=$AD$127,AND($G111=1,$J111=2,BN$6=2),AND(BN$6=1,$N111&lt;&gt;1)),0,IF(BR111&lt;=120,BX111,IF(BN$4&lt;$AD$124,IF($F111=1,60/BP$4*BP$6,60/BP$4*BP$7),IF($F111=1,120/BP$4*BP$6,120/BP$4*BP$7)))),IF(OR($F111=3,$G111=2),IF(OR(AND(BN$4&gt;=$AD$119,$C111=2),AND(BN$4&gt;=$AF$119,$C111=1)),0,IF(BR111&lt;=60,BX111,60/BP$4*BP$7)),IF(AND($F111=2,$G111=1),BX111,0)))))</f>
        <v>0</v>
      </c>
      <c r="CA111" s="57" t="str">
        <f t="shared" si="515"/>
        <v/>
      </c>
      <c r="CB111" s="57" t="str">
        <f t="shared" si="516"/>
        <v/>
      </c>
      <c r="CC111" s="713">
        <f>'org. Düngung 22'!X110</f>
        <v>0</v>
      </c>
      <c r="CD111" s="57"/>
      <c r="CE111" s="57"/>
      <c r="CF111" s="57">
        <f t="shared" si="517"/>
        <v>0</v>
      </c>
      <c r="CG111" s="57">
        <f t="shared" si="701"/>
        <v>0</v>
      </c>
      <c r="CH111" s="57">
        <f t="shared" si="702"/>
        <v>0</v>
      </c>
      <c r="CI111" s="57">
        <f t="shared" si="703"/>
        <v>0</v>
      </c>
      <c r="CJ111" s="57">
        <f t="shared" si="704"/>
        <v>0</v>
      </c>
      <c r="CK111" s="1029">
        <f t="shared" si="518"/>
        <v>0</v>
      </c>
      <c r="CL111" s="57">
        <f t="shared" si="519"/>
        <v>0</v>
      </c>
      <c r="CM111" s="171" t="str">
        <f t="shared" si="520"/>
        <v/>
      </c>
      <c r="CN111" s="57">
        <f t="shared" si="705"/>
        <v>0</v>
      </c>
      <c r="CO111" s="57">
        <f>IF(OR(AND(CC$6=1,$L111=0),AND(CC$6=2,$K111=2,$G111=1)),0,IF(AND(CE$9=2,(OR($F111&gt;1,$K111=1,AND($L111=80,OR($N111=1,AND($N111=2,'#BerechnungDBE'!$AL102&gt;0)))))),IF(CC$4&gt;=$AD$126,0,CM111),IF(CE$9=3,IF(OR(CC$4&gt;=$AD$127,AND($G111=1,$J111=2,CC$6=2),AND(CC$6=1,$N111&lt;&gt;1)),0,IF(CG111&lt;=120,CM111,IF(CC$4&lt;$AD$124,IF($F111=1,60/CE$4*CE$6,60/CE$4*CE$7),IF($F111=1,120/CE$4*CE$6,120/CE$4*CE$7)))),IF(OR($F111=3,$G111=2),IF(OR(AND(CC$4&gt;=$AD$119,$C111=2),AND(CC$4&gt;=$AF$119,$C111=1)),0,IF(CG111&lt;=60,CM111,60/CE$4*CE$7)),IF(AND($F111=2,$G111=1),CM111,0)))))</f>
        <v>0</v>
      </c>
      <c r="CP111" s="57" t="str">
        <f t="shared" si="521"/>
        <v/>
      </c>
      <c r="CQ111" s="57" t="str">
        <f t="shared" si="522"/>
        <v/>
      </c>
      <c r="CR111" s="713">
        <f>'org. Düngung 22'!AB110</f>
        <v>0</v>
      </c>
      <c r="CS111" s="57"/>
      <c r="CT111" s="57"/>
      <c r="CU111" s="57">
        <f t="shared" si="523"/>
        <v>0</v>
      </c>
      <c r="CV111" s="57">
        <f t="shared" si="706"/>
        <v>0</v>
      </c>
      <c r="CW111" s="57">
        <f t="shared" si="707"/>
        <v>0</v>
      </c>
      <c r="CX111" s="57">
        <f t="shared" si="708"/>
        <v>0</v>
      </c>
      <c r="CY111" s="57">
        <f t="shared" si="709"/>
        <v>0</v>
      </c>
      <c r="CZ111" s="1029">
        <f t="shared" si="524"/>
        <v>0</v>
      </c>
      <c r="DA111" s="57">
        <f t="shared" si="525"/>
        <v>0</v>
      </c>
      <c r="DB111" s="171" t="str">
        <f t="shared" si="526"/>
        <v/>
      </c>
      <c r="DC111" s="57">
        <f t="shared" si="710"/>
        <v>0</v>
      </c>
      <c r="DD111" s="57">
        <f>IF(OR(AND(CR$6=1,$L111=0),AND(CR$6=2,$K111=2,$G111=1)),0,IF(AND(CT$9=2,(OR($F111&gt;1,$K111=1,AND($L111=80,OR($N111=1,AND($N111=2,'#BerechnungDBE'!$AL102&gt;0)))))),IF(CR$4&gt;=$AD$126,0,DB111),IF(CT$9=3,IF(OR(CR$4&gt;=$AD$127,AND($G111=1,$J111=2,CR$6=2),AND(CR$6=1,$N111&lt;&gt;1)),0,IF(CV111&lt;=120,DB111,IF(CR$4&lt;$AD$124,IF($F111=1,60/CT$4*CT$6,60/CT$4*CT$7),IF($F111=1,120/CT$4*CT$6,120/CT$4*CT$7)))),IF(OR($F111=3,$G111=2),IF(OR(AND(CR$4&gt;=$AD$119,$C111=2),AND(CR$4&gt;=$AF$119,$C111=1)),0,IF(CV111&lt;=60,DB111,60/CT$4*CT$7)),IF(AND($F111=2,$G111=1),DB111,0)))))</f>
        <v>0</v>
      </c>
      <c r="DE111" s="57" t="str">
        <f t="shared" si="527"/>
        <v/>
      </c>
      <c r="DF111" s="57" t="str">
        <f t="shared" si="528"/>
        <v/>
      </c>
      <c r="DG111" s="713">
        <f>'org. Düngung 22'!AF110</f>
        <v>0</v>
      </c>
      <c r="DH111" s="57"/>
      <c r="DI111" s="57"/>
      <c r="DJ111" s="57">
        <f t="shared" si="529"/>
        <v>0</v>
      </c>
      <c r="DK111" s="57">
        <f t="shared" si="711"/>
        <v>0</v>
      </c>
      <c r="DL111" s="57">
        <f t="shared" si="712"/>
        <v>0</v>
      </c>
      <c r="DM111" s="57">
        <f t="shared" si="713"/>
        <v>0</v>
      </c>
      <c r="DN111" s="57">
        <f t="shared" si="714"/>
        <v>0</v>
      </c>
      <c r="DO111" s="1029">
        <f t="shared" si="530"/>
        <v>0</v>
      </c>
      <c r="DP111" s="57">
        <f t="shared" si="531"/>
        <v>0</v>
      </c>
      <c r="DQ111" s="171" t="str">
        <f t="shared" si="532"/>
        <v/>
      </c>
      <c r="DR111" s="57">
        <f t="shared" si="715"/>
        <v>0</v>
      </c>
      <c r="DS111" s="57">
        <f>IF(OR(AND(DG$6=1,$L111=0),AND(DG$6=2,$K111=2,$G111=1)),0,IF(AND(DI$9=2,(OR($F111&gt;1,$K111=1,AND($L111=80,OR($N111=1,AND($N111=2,'#BerechnungDBE'!$AL102&gt;0)))))),IF(DG$4&gt;=$AD$126,0,DQ111),IF(DI$9=3,IF(OR(DG$4&gt;=$AD$127,AND($G111=1,$J111=2,DG$6=2),AND(DG$6=1,$N111&lt;&gt;1)),0,IF(DK111&lt;=120,DQ111,IF(DG$4&lt;$AD$124,IF($F111=1,60/DI$4*DI$6,60/DI$4*DI$7),IF($F111=1,120/DI$4*DI$6,120/DI$4*DI$7)))),IF(OR($F111=3,$G111=2),IF(OR(AND(DG$4&gt;=$AD$119,$C111=2),AND(DG$4&gt;=$AF$119,$C111=1)),0,IF(DK111&lt;=60,DQ111,60/DI$4*DI$7)),IF(AND($F111=2,$G111=1),DQ111,0)))))</f>
        <v>0</v>
      </c>
      <c r="DT111" s="57" t="str">
        <f t="shared" si="533"/>
        <v/>
      </c>
      <c r="DU111" s="57" t="str">
        <f t="shared" si="534"/>
        <v/>
      </c>
      <c r="DV111" s="713">
        <f>'org. Düngung 22'!AJ110</f>
        <v>0</v>
      </c>
      <c r="DW111" s="57"/>
      <c r="DX111" s="57"/>
      <c r="DY111" s="57">
        <f t="shared" si="535"/>
        <v>0</v>
      </c>
      <c r="DZ111" s="57">
        <f t="shared" si="716"/>
        <v>0</v>
      </c>
      <c r="EA111" s="57">
        <f t="shared" si="717"/>
        <v>0</v>
      </c>
      <c r="EB111" s="57">
        <f t="shared" si="718"/>
        <v>0</v>
      </c>
      <c r="EC111" s="57">
        <f t="shared" si="719"/>
        <v>0</v>
      </c>
      <c r="ED111" s="1029">
        <f t="shared" si="536"/>
        <v>0</v>
      </c>
      <c r="EE111" s="57">
        <f t="shared" si="537"/>
        <v>0</v>
      </c>
      <c r="EF111" s="171" t="str">
        <f t="shared" si="538"/>
        <v/>
      </c>
      <c r="EG111" s="57">
        <f t="shared" si="720"/>
        <v>0</v>
      </c>
      <c r="EH111" s="57">
        <f>IF(OR(AND(DV$6=1,$L111=0),AND(DV$6=2,$K111=2,$G111=1)),0,IF(AND(DX$9=2,(OR($F111&gt;1,$K111=1,AND($L111=80,OR($N111=1,AND($N111=2,'#BerechnungDBE'!$AL102&gt;0)))))),IF(DV$4&gt;=$AD$126,0,EF111),IF(DX$9=3,IF(OR(DV$4&gt;=$AD$127,AND($G111=1,$J111=2,DV$6=2),AND(DV$6=1,$N111&lt;&gt;1)),0,IF(DZ111&lt;=120,EF111,IF(DV$4&lt;$AD$124,IF($F111=1,60/DX$4*DX$6,60/DX$4*DX$7),IF($F111=1,120/DX$4*DX$6,120/DX$4*DX$7)))),IF(OR($F111=3,$G111=2),IF(OR(AND(DV$4&gt;=$AD$119,$C111=2),AND(DV$4&gt;=$AF$119,$C111=1)),0,IF(DZ111&lt;=60,EF111,60/DX$4*DX$7)),IF(AND($F111=2,$G111=1),EF111,0)))))</f>
        <v>0</v>
      </c>
      <c r="EI111" s="57" t="str">
        <f t="shared" si="539"/>
        <v/>
      </c>
      <c r="EJ111" s="57" t="str">
        <f t="shared" si="540"/>
        <v/>
      </c>
      <c r="EK111" s="713">
        <f>'org. Düngung 22'!AN110</f>
        <v>0</v>
      </c>
      <c r="EL111" s="57"/>
      <c r="EM111" s="57"/>
      <c r="EN111" s="57">
        <f t="shared" si="541"/>
        <v>0</v>
      </c>
      <c r="EO111" s="57">
        <f t="shared" si="721"/>
        <v>0</v>
      </c>
      <c r="EP111" s="57">
        <f t="shared" si="722"/>
        <v>0</v>
      </c>
      <c r="EQ111" s="57">
        <f t="shared" si="723"/>
        <v>0</v>
      </c>
      <c r="ER111" s="57">
        <f t="shared" si="724"/>
        <v>0</v>
      </c>
      <c r="ES111" s="1029">
        <f t="shared" si="542"/>
        <v>0</v>
      </c>
      <c r="ET111" s="57">
        <f t="shared" si="543"/>
        <v>0</v>
      </c>
      <c r="EU111" s="171" t="str">
        <f t="shared" si="544"/>
        <v/>
      </c>
      <c r="EV111" s="57">
        <f t="shared" si="725"/>
        <v>0</v>
      </c>
      <c r="EW111" s="57">
        <f>IF(OR(AND(EK$6=1,$L111=0),AND(EK$6=2,$K111=2,$G111=1)),0,IF(AND(EM$9=2,(OR($F111&gt;1,$K111=1,AND($L111=80,OR($N111=1,AND($N111=2,'#BerechnungDBE'!$AL102&gt;0)))))),IF(EK$4&gt;=$AD$126,0,EU111),IF(EM$9=3,IF(OR(EK$4&gt;=$AD$127,AND($G111=1,$J111=2,EK$6=2),AND(EK$6=1,$N111&lt;&gt;1)),0,IF(EO111&lt;=120,EU111,IF(EK$4&lt;$AD$124,IF($F111=1,60/EM$4*EM$6,60/EM$4*EM$7),IF($F111=1,120/EM$4*EM$6,120/EM$4*EM$7)))),IF(OR($F111=3,$G111=2),IF(OR(AND(EK$4&gt;=$AD$119,$C111=2),AND(EK$4&gt;=$AF$119,$C111=1)),0,IF(EO111&lt;=60,EU111,60/EM$4*EM$7)),IF(AND($F111=2,$G111=1),EU111,0)))))</f>
        <v>0</v>
      </c>
      <c r="EX111" s="57" t="str">
        <f t="shared" si="545"/>
        <v/>
      </c>
      <c r="EY111" s="57" t="str">
        <f t="shared" si="546"/>
        <v/>
      </c>
      <c r="EZ111" s="713">
        <f>'org. Düngung 22'!AR110</f>
        <v>0</v>
      </c>
      <c r="FA111" s="57"/>
      <c r="FB111" s="57"/>
      <c r="FC111" s="57">
        <f t="shared" si="547"/>
        <v>0</v>
      </c>
      <c r="FD111" s="57">
        <f t="shared" si="726"/>
        <v>0</v>
      </c>
      <c r="FE111" s="57">
        <f t="shared" si="727"/>
        <v>0</v>
      </c>
      <c r="FF111" s="57">
        <f t="shared" si="728"/>
        <v>0</v>
      </c>
      <c r="FG111" s="57">
        <f t="shared" si="729"/>
        <v>0</v>
      </c>
      <c r="FH111" s="1029">
        <f t="shared" si="548"/>
        <v>0</v>
      </c>
      <c r="FI111" s="57">
        <f t="shared" si="549"/>
        <v>0</v>
      </c>
      <c r="FJ111" s="171" t="str">
        <f t="shared" si="550"/>
        <v/>
      </c>
      <c r="FK111" s="57">
        <f t="shared" si="730"/>
        <v>0</v>
      </c>
      <c r="FL111" s="57">
        <f>IF(OR(AND(EZ$6=1,$L111=0),AND(EZ$6=2,$K111=2,$G111=1)),0,IF(AND(FB$9=2,(OR($F111&gt;1,$K111=1,AND($L111=80,OR($N111=1,AND($N111=2,'#BerechnungDBE'!$AL102&gt;0)))))),IF(EZ$4&gt;=$AD$126,0,FJ111),IF(FB$9=3,IF(OR(EZ$4&gt;=$AD$127,AND($G111=1,$J111=2,EZ$6=2),AND(EZ$6=1,$N111&lt;&gt;1)),0,IF(FD111&lt;=120,FJ111,IF(EZ$4&lt;$AD$124,IF($F111=1,60/FB$4*FB$6,60/FB$4*FB$7),IF($F111=1,120/FB$4*FB$6,120/FB$4*FB$7)))),IF(OR($F111=3,$G111=2),IF(OR(AND(EZ$4&gt;=$AD$119,$C111=2),AND(EZ$4&gt;=$AF$119,$C111=1)),0,IF(FD111&lt;=60,FJ111,60/FB$4*FB$7)),IF(AND($F111=2,$G111=1),FJ111,0)))))</f>
        <v>0</v>
      </c>
      <c r="FM111" s="57" t="str">
        <f t="shared" si="551"/>
        <v/>
      </c>
      <c r="FN111" s="57" t="str">
        <f t="shared" si="552"/>
        <v/>
      </c>
      <c r="FO111" s="713">
        <f>'org. Düngung 22'!AV110</f>
        <v>0</v>
      </c>
      <c r="FP111" s="57"/>
      <c r="FQ111" s="57"/>
      <c r="FR111" s="57">
        <f t="shared" si="553"/>
        <v>0</v>
      </c>
      <c r="FS111" s="57">
        <f t="shared" si="731"/>
        <v>0</v>
      </c>
      <c r="FT111" s="57">
        <f t="shared" si="732"/>
        <v>0</v>
      </c>
      <c r="FU111" s="57">
        <f t="shared" si="733"/>
        <v>0</v>
      </c>
      <c r="FV111" s="57">
        <f t="shared" si="734"/>
        <v>0</v>
      </c>
      <c r="FW111" s="1029">
        <f t="shared" si="554"/>
        <v>0</v>
      </c>
      <c r="FX111" s="57">
        <f t="shared" si="555"/>
        <v>0</v>
      </c>
      <c r="FY111" s="171" t="str">
        <f t="shared" si="556"/>
        <v/>
      </c>
      <c r="FZ111" s="57">
        <f t="shared" si="735"/>
        <v>0</v>
      </c>
      <c r="GA111" s="57">
        <f>IF(OR(AND(FO$6=1,$L111=0),AND(FO$6=2,$K111=2,$G111=1)),0,IF(AND(FQ$9=2,(OR($F111&gt;1,$K111=1,AND($L111=80,OR($N111=1,AND($N111=2,'#BerechnungDBE'!$AL102&gt;0)))))),IF(FO$4&gt;=$AD$126,0,FY111),IF(FQ$9=3,IF(OR(FO$4&gt;=$AD$127,AND($G111=1,$J111=2,FO$6=2),AND(FO$6=1,$N111&lt;&gt;1)),0,IF(FS111&lt;=120,FY111,IF(FO$4&lt;$AD$124,IF($F111=1,60/FQ$4*FQ$6,60/FQ$4*FQ$7),IF($F111=1,120/FQ$4*FQ$6,120/FQ$4*FQ$7)))),IF(OR($F111=3,$G111=2),IF(OR(AND(FO$4&gt;=$AD$119,$C111=2),AND(FO$4&gt;=$AF$119,$C111=1)),0,IF(FS111&lt;=60,FY111,60/FQ$4*FQ$7)),IF(AND($F111=2,$G111=1),FY111,0)))))</f>
        <v>0</v>
      </c>
      <c r="GB111" s="57" t="str">
        <f t="shared" si="557"/>
        <v/>
      </c>
      <c r="GC111" s="57" t="str">
        <f t="shared" si="558"/>
        <v/>
      </c>
      <c r="GD111" s="713">
        <f>'org. Düngung 22'!AZ110</f>
        <v>0</v>
      </c>
      <c r="GE111" s="57"/>
      <c r="GF111" s="57"/>
      <c r="GG111" s="57">
        <f t="shared" si="559"/>
        <v>0</v>
      </c>
      <c r="GH111" s="57">
        <f t="shared" si="736"/>
        <v>0</v>
      </c>
      <c r="GI111" s="57">
        <f t="shared" si="737"/>
        <v>0</v>
      </c>
      <c r="GJ111" s="57">
        <f t="shared" si="738"/>
        <v>0</v>
      </c>
      <c r="GK111" s="57">
        <f t="shared" si="739"/>
        <v>0</v>
      </c>
      <c r="GL111" s="1029">
        <f t="shared" si="560"/>
        <v>0</v>
      </c>
      <c r="GM111" s="57">
        <f t="shared" si="561"/>
        <v>0</v>
      </c>
      <c r="GN111" s="171" t="str">
        <f t="shared" si="562"/>
        <v/>
      </c>
      <c r="GO111" s="57">
        <f t="shared" si="740"/>
        <v>0</v>
      </c>
      <c r="GP111" s="57">
        <f>IF(OR(AND(GD$6=1,$L111=0),AND(GD$6=2,$K111=2,$G111=1)),0,IF(AND(GF$9=2,(OR($F111&gt;1,$K111=1,AND($L111=80,OR($N111=1,AND($N111=2,'#BerechnungDBE'!$AL102&gt;0)))))),IF(GD$4&gt;=$AD$126,0,GN111),IF(GF$9=3,IF(OR(GD$4&gt;=$AD$127,AND($G111=1,$J111=2,GD$6=2),AND(GD$6=1,$N111&lt;&gt;1)),0,IF(GH111&lt;=120,GN111,IF(GD$4&lt;$AD$124,IF($F111=1,60/GF$4*GF$6,60/GF$4*GF$7),IF($F111=1,120/GF$4*GF$6,120/GF$4*GF$7)))),IF(OR($F111=3,$G111=2),IF(OR(AND(GD$4&gt;=$AD$119,$C111=2),AND(GD$4&gt;=$AF$119,$C111=1)),0,IF(GH111&lt;=60,GN111,60/GF$4*GF$7)),IF(AND($F111=2,$G111=1),GN111,0)))))</f>
        <v>0</v>
      </c>
      <c r="GQ111" s="57" t="str">
        <f t="shared" si="563"/>
        <v/>
      </c>
      <c r="GR111" s="57" t="str">
        <f t="shared" si="564"/>
        <v/>
      </c>
      <c r="GS111" s="713">
        <f>'org. Düngung 22'!BD110</f>
        <v>0</v>
      </c>
      <c r="GT111" s="57"/>
      <c r="GU111" s="57"/>
      <c r="GV111" s="57">
        <f t="shared" si="565"/>
        <v>0</v>
      </c>
      <c r="GW111" s="57">
        <f t="shared" si="741"/>
        <v>0</v>
      </c>
      <c r="GX111" s="57">
        <f t="shared" si="742"/>
        <v>0</v>
      </c>
      <c r="GY111" s="57">
        <f t="shared" si="743"/>
        <v>0</v>
      </c>
      <c r="GZ111" s="57">
        <f t="shared" si="744"/>
        <v>0</v>
      </c>
      <c r="HA111" s="1029">
        <f t="shared" si="566"/>
        <v>0</v>
      </c>
      <c r="HB111" s="57">
        <f t="shared" si="567"/>
        <v>0</v>
      </c>
      <c r="HC111" s="171" t="str">
        <f t="shared" si="568"/>
        <v/>
      </c>
      <c r="HD111" s="57">
        <f t="shared" si="745"/>
        <v>0</v>
      </c>
      <c r="HE111" s="57">
        <f>IF(OR(AND(GS$6=1,$L111=0),AND(GS$6=2,$K111=2,$G111=1)),0,IF(AND(GU$9=2,(OR($F111&gt;1,$K111=1,AND($L111=80,OR($N111=1,AND($N111=2,'#BerechnungDBE'!$AL102&gt;0)))))),IF(GS$4&gt;=$AD$126,0,HC111),IF(GU$9=3,IF(OR(GS$4&gt;=$AD$127,AND($G111=1,$J111=2,GS$6=2),AND(GS$6=1,$N111&lt;&gt;1)),0,IF(GW111&lt;=120,HC111,IF(GS$4&lt;$AD$124,IF($F111=1,60/GU$4*GU$6,60/GU$4*GU$7),IF($F111=1,120/GU$4*GU$6,120/GU$4*GU$7)))),IF(OR($F111=3,$G111=2),IF(OR(AND(GS$4&gt;=$AD$119,$C111=2),AND(GS$4&gt;=$AF$119,$C111=1)),0,IF(GW111&lt;=60,HC111,60/GU$4*GU$7)),IF(AND($F111=2,$G111=1),HC111,0)))))</f>
        <v>0</v>
      </c>
      <c r="HF111" s="57" t="str">
        <f t="shared" si="569"/>
        <v/>
      </c>
      <c r="HG111" s="57" t="str">
        <f t="shared" si="570"/>
        <v/>
      </c>
      <c r="HH111" s="713">
        <f>'org. Düngung 22'!BH110</f>
        <v>0</v>
      </c>
      <c r="HI111" s="57"/>
      <c r="HJ111" s="57"/>
      <c r="HK111" s="57">
        <f t="shared" si="571"/>
        <v>0</v>
      </c>
      <c r="HL111" s="57">
        <f t="shared" si="746"/>
        <v>0</v>
      </c>
      <c r="HM111" s="57">
        <f t="shared" si="747"/>
        <v>0</v>
      </c>
      <c r="HN111" s="57">
        <f t="shared" si="748"/>
        <v>0</v>
      </c>
      <c r="HO111" s="57">
        <f t="shared" si="749"/>
        <v>0</v>
      </c>
      <c r="HP111" s="1029">
        <f t="shared" si="572"/>
        <v>0</v>
      </c>
      <c r="HQ111" s="57">
        <f t="shared" si="573"/>
        <v>0</v>
      </c>
      <c r="HR111" s="171" t="str">
        <f t="shared" si="574"/>
        <v/>
      </c>
      <c r="HS111" s="57">
        <f t="shared" si="750"/>
        <v>0</v>
      </c>
      <c r="HT111" s="57">
        <f>IF(OR(AND(HH$6=1,$L111=0),AND(HH$6=2,$K111=2,$G111=1)),0,IF(AND(HJ$9=2,(OR($F111&gt;1,$K111=1,AND($L111=80,OR($N111=1,AND($N111=2,'#BerechnungDBE'!$AL102&gt;0)))))),IF(HH$4&gt;=$AD$126,0,HR111),IF(HJ$9=3,IF(OR(HH$4&gt;=$AD$127,AND($G111=1,$J111=2,HH$6=2),AND(HH$6=1,$N111&lt;&gt;1)),0,IF(HL111&lt;=120,HR111,IF(HH$4&lt;$AD$124,IF($F111=1,60/HJ$4*HJ$6,60/HJ$4*HJ$7),IF($F111=1,120/HJ$4*HJ$6,120/HJ$4*HJ$7)))),IF(OR($F111=3,$G111=2),IF(OR(AND(HH$4&gt;=$AD$119,$C111=2),AND(HH$4&gt;=$AF$119,$C111=1)),0,IF(HL111&lt;=60,HR111,60/HJ$4*HJ$7)),IF(AND($F111=2,$G111=1),HR111,0)))))</f>
        <v>0</v>
      </c>
      <c r="HU111" s="57" t="str">
        <f t="shared" si="575"/>
        <v/>
      </c>
      <c r="HV111" s="57" t="str">
        <f t="shared" si="576"/>
        <v/>
      </c>
      <c r="HW111" s="713">
        <f>'org. Düngung 22'!BL110</f>
        <v>0</v>
      </c>
      <c r="HX111" s="57"/>
      <c r="HY111" s="57"/>
      <c r="HZ111" s="57">
        <f t="shared" si="577"/>
        <v>0</v>
      </c>
      <c r="IA111" s="57">
        <f t="shared" si="751"/>
        <v>0</v>
      </c>
      <c r="IB111" s="57">
        <f t="shared" si="752"/>
        <v>0</v>
      </c>
      <c r="IC111" s="57">
        <f t="shared" si="753"/>
        <v>0</v>
      </c>
      <c r="ID111" s="57">
        <f t="shared" si="754"/>
        <v>0</v>
      </c>
      <c r="IE111" s="1029">
        <f t="shared" si="578"/>
        <v>0</v>
      </c>
      <c r="IF111" s="57">
        <f t="shared" si="579"/>
        <v>0</v>
      </c>
      <c r="IG111" s="171" t="str">
        <f t="shared" si="580"/>
        <v/>
      </c>
      <c r="IH111" s="57">
        <f t="shared" si="755"/>
        <v>0</v>
      </c>
      <c r="II111" s="57">
        <f>IF(OR(AND(HW$6=1,$L111=0),AND(HW$6=2,$K111=2,$G111=1)),0,IF(AND(HY$9=2,(OR($F111&gt;1,$K111=1,AND($L111=80,OR($N111=1,AND($N111=2,'#BerechnungDBE'!$AL102&gt;0)))))),IF(HW$4&gt;=$AD$126,0,IG111),IF(HY$9=3,IF(OR(HW$4&gt;=$AD$127,AND($G111=1,$J111=2,HW$6=2),AND(HW$6=1,$N111&lt;&gt;1)),0,IF(IA111&lt;=120,IG111,IF(HW$4&lt;$AD$124,IF($F111=1,60/HY$4*HY$6,60/HY$4*HY$7),IF($F111=1,120/HY$4*HY$6,120/HY$4*HY$7)))),IF(OR($F111=3,$G111=2),IF(OR(AND(HW$4&gt;=$AD$119,$C111=2),AND(HW$4&gt;=$AF$119,$C111=1)),0,IF(IA111&lt;=60,IG111,60/HY$4*HY$7)),IF(AND($F111=2,$G111=1),IG111,0)))))</f>
        <v>0</v>
      </c>
      <c r="IJ111" s="57" t="str">
        <f t="shared" si="581"/>
        <v/>
      </c>
      <c r="IK111" s="57" t="str">
        <f t="shared" si="582"/>
        <v/>
      </c>
      <c r="IL111" s="713">
        <f>'org. Düngung 22'!BP110</f>
        <v>0</v>
      </c>
      <c r="IM111" s="57"/>
      <c r="IN111" s="57"/>
      <c r="IO111" s="57">
        <f t="shared" si="583"/>
        <v>0</v>
      </c>
      <c r="IP111" s="57">
        <f t="shared" si="756"/>
        <v>0</v>
      </c>
      <c r="IQ111" s="57">
        <f t="shared" si="757"/>
        <v>0</v>
      </c>
      <c r="IR111" s="57">
        <f t="shared" si="758"/>
        <v>0</v>
      </c>
      <c r="IS111" s="57">
        <f t="shared" si="759"/>
        <v>0</v>
      </c>
      <c r="IT111" s="1029">
        <f t="shared" si="584"/>
        <v>0</v>
      </c>
      <c r="IU111" s="57">
        <f t="shared" si="585"/>
        <v>0</v>
      </c>
      <c r="IV111" s="171" t="str">
        <f t="shared" si="586"/>
        <v/>
      </c>
      <c r="IW111" s="57">
        <f t="shared" si="760"/>
        <v>0</v>
      </c>
      <c r="IX111" s="57">
        <f>IF(OR(AND(IL$6=1,$L111=0),AND(IL$6=2,$K111=2,$G111=1)),0,IF(AND(IN$9=2,(OR($F111&gt;1,$K111=1,AND($L111=80,OR($N111=1,AND($N111=2,'#BerechnungDBE'!$AL102&gt;0)))))),IF(IL$4&gt;=$AD$126,0,IV111),IF(IN$9=3,IF(OR(IL$4&gt;=$AD$127,AND($G111=1,$J111=2,IL$6=2),AND(IL$6=1,$N111&lt;&gt;1)),0,IF(IP111&lt;=120,IV111,IF(IL$4&lt;$AD$124,IF($F111=1,60/IN$4*IN$6,60/IN$4*IN$7),IF($F111=1,120/IN$4*IN$6,120/IN$4*IN$7)))),IF(OR($F111=3,$G111=2),IF(OR(AND(IL$4&gt;=$AD$119,$C111=2),AND(IL$4&gt;=$AF$119,$C111=1)),0,IF(IP111&lt;=60,IV111,60/IN$4*IN$7)),IF(AND($F111=2,$G111=1),IV111,0)))))</f>
        <v>0</v>
      </c>
      <c r="IY111" s="57" t="str">
        <f t="shared" si="587"/>
        <v/>
      </c>
      <c r="IZ111" s="57" t="str">
        <f t="shared" si="588"/>
        <v/>
      </c>
      <c r="JA111" s="713">
        <f>'org. Düngung 22'!BT110</f>
        <v>0</v>
      </c>
      <c r="JB111" s="57"/>
      <c r="JC111" s="57"/>
      <c r="JD111" s="57">
        <f t="shared" si="589"/>
        <v>0</v>
      </c>
      <c r="JE111" s="57">
        <f t="shared" si="761"/>
        <v>0</v>
      </c>
      <c r="JF111" s="57">
        <f t="shared" si="762"/>
        <v>0</v>
      </c>
      <c r="JG111" s="57">
        <f t="shared" si="763"/>
        <v>0</v>
      </c>
      <c r="JH111" s="57">
        <f t="shared" si="764"/>
        <v>0</v>
      </c>
      <c r="JI111" s="1029">
        <f t="shared" si="590"/>
        <v>0</v>
      </c>
      <c r="JJ111" s="57">
        <f t="shared" si="591"/>
        <v>0</v>
      </c>
      <c r="JK111" s="171" t="str">
        <f t="shared" si="592"/>
        <v/>
      </c>
      <c r="JL111" s="57">
        <f t="shared" si="765"/>
        <v>0</v>
      </c>
      <c r="JM111" s="57">
        <f>IF(OR(AND(JA$6=1,$L111=0),AND(JA$6=2,$K111=2,$G111=1)),0,IF(AND(JC$9=2,(OR($F111&gt;1,$K111=1,AND($L111=80,OR($N111=1,AND($N111=2,'#BerechnungDBE'!$AL102&gt;0)))))),IF(JA$4&gt;=$AD$126,0,JK111),IF(JC$9=3,IF(OR(JA$4&gt;=$AD$127,AND($G111=1,$J111=2,JA$6=2),AND(JA$6=1,$N111&lt;&gt;1)),0,IF(JE111&lt;=120,JK111,IF(JA$4&lt;$AD$124,IF($F111=1,60/JC$4*JC$6,60/JC$4*JC$7),IF($F111=1,120/JC$4*JC$6,120/JC$4*JC$7)))),IF(OR($F111=3,$G111=2),IF(OR(AND(JA$4&gt;=$AD$119,$C111=2),AND(JA$4&gt;=$AF$119,$C111=1)),0,IF(JE111&lt;=60,JK111,60/JC$4*JC$7)),IF(AND($F111=2,$G111=1),JK111,0)))))</f>
        <v>0</v>
      </c>
      <c r="JN111" s="57" t="str">
        <f t="shared" si="593"/>
        <v/>
      </c>
      <c r="JO111" s="57" t="str">
        <f t="shared" si="594"/>
        <v/>
      </c>
      <c r="JP111" s="713">
        <f>'org. Düngung 22'!BX110</f>
        <v>0</v>
      </c>
      <c r="JQ111" s="57"/>
      <c r="JR111" s="57"/>
      <c r="JS111" s="57">
        <f t="shared" si="595"/>
        <v>0</v>
      </c>
      <c r="JT111" s="57">
        <f t="shared" si="766"/>
        <v>0</v>
      </c>
      <c r="JU111" s="57">
        <f t="shared" si="767"/>
        <v>0</v>
      </c>
      <c r="JV111" s="57">
        <f t="shared" si="768"/>
        <v>0</v>
      </c>
      <c r="JW111" s="57">
        <f t="shared" si="769"/>
        <v>0</v>
      </c>
      <c r="JX111" s="1029">
        <f t="shared" si="596"/>
        <v>0</v>
      </c>
      <c r="JY111" s="57">
        <f t="shared" si="597"/>
        <v>0</v>
      </c>
      <c r="JZ111" s="171" t="str">
        <f t="shared" si="598"/>
        <v/>
      </c>
      <c r="KA111" s="57">
        <f t="shared" si="770"/>
        <v>0</v>
      </c>
      <c r="KB111" s="57">
        <f>IF(OR(AND(JP$6=1,$L111=0),AND(JP$6=2,$K111=2,$G111=1)),0,IF(AND(JR$9=2,(OR($F111&gt;1,$K111=1,AND($L111=80,OR($N111=1,AND($N111=2,'#BerechnungDBE'!$AL102&gt;0)))))),IF(JP$4&gt;=$AD$126,0,JZ111),IF(JR$9=3,IF(OR(JP$4&gt;=$AD$127,AND($G111=1,$J111=2,JP$6=2),AND(JP$6=1,$N111&lt;&gt;1)),0,IF(JT111&lt;=120,JZ111,IF(JP$4&lt;$AD$124,IF($F111=1,60/JR$4*JR$6,60/JR$4*JR$7),IF($F111=1,120/JR$4*JR$6,120/JR$4*JR$7)))),IF(OR($F111=3,$G111=2),IF(OR(AND(JP$4&gt;=$AD$119,$C111=2),AND(JP$4&gt;=$AF$119,$C111=1)),0,IF(JT111&lt;=60,JZ111,60/JR$4*JR$7)),IF(AND($F111=2,$G111=1),JZ111,0)))))</f>
        <v>0</v>
      </c>
      <c r="KC111" s="57" t="str">
        <f t="shared" si="599"/>
        <v/>
      </c>
      <c r="KD111" s="57" t="str">
        <f t="shared" si="600"/>
        <v/>
      </c>
      <c r="KE111" s="713">
        <f>'org. Düngung 22'!CB110</f>
        <v>0</v>
      </c>
      <c r="KF111" s="57"/>
      <c r="KG111" s="57"/>
      <c r="KH111" s="57">
        <f t="shared" si="601"/>
        <v>0</v>
      </c>
      <c r="KI111" s="57">
        <f t="shared" si="771"/>
        <v>0</v>
      </c>
      <c r="KJ111" s="57">
        <f t="shared" si="772"/>
        <v>0</v>
      </c>
      <c r="KK111" s="57">
        <f t="shared" si="773"/>
        <v>0</v>
      </c>
      <c r="KL111" s="57">
        <f t="shared" si="774"/>
        <v>0</v>
      </c>
      <c r="KM111" s="1029">
        <f t="shared" si="602"/>
        <v>0</v>
      </c>
      <c r="KN111" s="57">
        <f t="shared" si="603"/>
        <v>0</v>
      </c>
      <c r="KO111" s="171" t="str">
        <f t="shared" si="604"/>
        <v/>
      </c>
      <c r="KP111" s="57">
        <f t="shared" si="775"/>
        <v>0</v>
      </c>
      <c r="KQ111" s="57">
        <f>IF(OR(AND(KE$6=1,$L111=0),AND(KE$6=2,$K111=2,$G111=1)),0,IF(AND(KG$9=2,(OR($F111&gt;1,$K111=1,AND($L111=80,OR($N111=1,AND($N111=2,'#BerechnungDBE'!$AL102&gt;0)))))),IF(KE$4&gt;=$AD$126,0,KO111),IF(KG$9=3,IF(OR(KE$4&gt;=$AD$127,AND($G111=1,$J111=2,KE$6=2),AND(KE$6=1,$N111&lt;&gt;1)),0,IF(KI111&lt;=120,KO111,IF(KE$4&lt;$AD$124,IF($F111=1,60/KG$4*KG$6,60/KG$4*KG$7),IF($F111=1,120/KG$4*KG$6,120/KG$4*KG$7)))),IF(OR($F111=3,$G111=2),IF(OR(AND(KE$4&gt;=$AD$119,$C111=2),AND(KE$4&gt;=$AF$119,$C111=1)),0,IF(KI111&lt;=60,KO111,60/KG$4*KG$7)),IF(AND($F111=2,$G111=1),KO111,0)))))</f>
        <v>0</v>
      </c>
      <c r="KR111" s="57" t="str">
        <f t="shared" si="605"/>
        <v/>
      </c>
      <c r="KS111" s="57" t="str">
        <f t="shared" si="606"/>
        <v/>
      </c>
      <c r="KT111" s="713">
        <f>'org. Düngung 22'!CF110</f>
        <v>0</v>
      </c>
      <c r="KU111" s="57"/>
      <c r="KV111" s="57"/>
      <c r="KW111" s="57">
        <f t="shared" si="607"/>
        <v>0</v>
      </c>
      <c r="KX111" s="57">
        <f t="shared" si="776"/>
        <v>0</v>
      </c>
      <c r="KY111" s="57">
        <f t="shared" si="777"/>
        <v>0</v>
      </c>
      <c r="KZ111" s="57">
        <f t="shared" si="778"/>
        <v>0</v>
      </c>
      <c r="LA111" s="57">
        <f t="shared" si="779"/>
        <v>0</v>
      </c>
      <c r="LB111" s="1029">
        <f t="shared" si="608"/>
        <v>0</v>
      </c>
      <c r="LC111" s="57">
        <f t="shared" si="609"/>
        <v>0</v>
      </c>
      <c r="LD111" s="171" t="str">
        <f t="shared" si="610"/>
        <v/>
      </c>
      <c r="LE111" s="57">
        <f t="shared" si="780"/>
        <v>0</v>
      </c>
      <c r="LF111" s="57">
        <f>IF(OR(AND(KT$6=1,$L111=0),AND(KT$6=2,$K111=2,$G111=1)),0,IF(AND(KV$9=2,(OR($F111&gt;1,$K111=1,AND($L111=80,OR($N111=1,AND($N111=2,'#BerechnungDBE'!$AL102&gt;0)))))),IF(KT$4&gt;=$AD$126,0,LD111),IF(KV$9=3,IF(OR(KT$4&gt;=$AD$127,AND($G111=1,$J111=2,KT$6=2),AND(KT$6=1,$N111&lt;&gt;1)),0,IF(KX111&lt;=120,LD111,IF(KT$4&lt;$AD$124,IF($F111=1,60/KV$4*KV$6,60/KV$4*KV$7),IF($F111=1,120/KV$4*KV$6,120/KV$4*KV$7)))),IF(OR($F111=3,$G111=2),IF(OR(AND(KT$4&gt;=$AD$119,$C111=2),AND(KT$4&gt;=$AF$119,$C111=1)),0,IF(KX111&lt;=60,LD111,60/KV$4*KV$7)),IF(AND($F111=2,$G111=1),LD111,0)))))</f>
        <v>0</v>
      </c>
      <c r="LG111" s="57" t="str">
        <f t="shared" si="611"/>
        <v/>
      </c>
      <c r="LH111" s="57" t="str">
        <f t="shared" si="612"/>
        <v/>
      </c>
      <c r="LI111" s="713">
        <f>'org. Düngung 22'!CJ110</f>
        <v>0</v>
      </c>
      <c r="LJ111" s="57"/>
      <c r="LK111" s="57"/>
      <c r="LL111" s="57">
        <f t="shared" si="613"/>
        <v>0</v>
      </c>
      <c r="LM111" s="57">
        <f t="shared" si="781"/>
        <v>0</v>
      </c>
      <c r="LN111" s="57">
        <f t="shared" si="782"/>
        <v>0</v>
      </c>
      <c r="LO111" s="57">
        <f t="shared" si="783"/>
        <v>0</v>
      </c>
      <c r="LP111" s="57">
        <f t="shared" si="784"/>
        <v>0</v>
      </c>
      <c r="LQ111" s="1029">
        <f t="shared" si="614"/>
        <v>0</v>
      </c>
      <c r="LR111" s="57">
        <f t="shared" si="615"/>
        <v>0</v>
      </c>
      <c r="LS111" s="171" t="str">
        <f t="shared" si="616"/>
        <v/>
      </c>
      <c r="LT111" s="57">
        <f t="shared" si="785"/>
        <v>0</v>
      </c>
      <c r="LU111" s="57">
        <f>IF(OR(AND(LI$6=1,$L111=0),AND(LI$6=2,$K111=2,$G111=1)),0,IF(AND(LK$9=2,(OR($F111&gt;1,$K111=1,AND($L111=80,OR($N111=1,AND($N111=2,'#BerechnungDBE'!$AL102&gt;0)))))),IF(LI$4&gt;=$AD$126,0,LS111),IF(LK$9=3,IF(OR(LI$4&gt;=$AD$127,AND($G111=1,$J111=2,LI$6=2),AND(LI$6=1,$N111&lt;&gt;1)),0,IF(LM111&lt;=120,LS111,IF(LI$4&lt;$AD$124,IF($F111=1,60/LK$4*LK$6,60/LK$4*LK$7),IF($F111=1,120/LK$4*LK$6,120/LK$4*LK$7)))),IF(OR($F111=3,$G111=2),IF(OR(AND(LI$4&gt;=$AD$119,$C111=2),AND(LI$4&gt;=$AF$119,$C111=1)),0,IF(LM111&lt;=60,LS111,60/LK$4*LK$7)),IF(AND($F111=2,$G111=1),LS111,0)))))</f>
        <v>0</v>
      </c>
      <c r="LV111" s="57" t="str">
        <f t="shared" si="617"/>
        <v/>
      </c>
      <c r="LW111" s="57" t="str">
        <f t="shared" si="618"/>
        <v/>
      </c>
      <c r="LX111" s="713">
        <f>'org. Düngung 22'!CN110</f>
        <v>0</v>
      </c>
      <c r="LY111" s="57"/>
      <c r="LZ111" s="57"/>
      <c r="MA111" s="57">
        <f t="shared" si="619"/>
        <v>0</v>
      </c>
      <c r="MB111" s="57">
        <f t="shared" si="786"/>
        <v>0</v>
      </c>
      <c r="MC111" s="57">
        <f t="shared" si="787"/>
        <v>0</v>
      </c>
      <c r="MD111" s="57">
        <f t="shared" si="788"/>
        <v>0</v>
      </c>
      <c r="ME111" s="57">
        <f t="shared" si="789"/>
        <v>0</v>
      </c>
      <c r="MF111" s="1029">
        <f t="shared" si="620"/>
        <v>0</v>
      </c>
      <c r="MG111" s="57">
        <f t="shared" si="621"/>
        <v>0</v>
      </c>
      <c r="MH111" s="171" t="str">
        <f t="shared" si="622"/>
        <v/>
      </c>
      <c r="MI111" s="57">
        <f t="shared" si="790"/>
        <v>0</v>
      </c>
      <c r="MJ111" s="57">
        <f>IF(OR(AND(LX$6=1,$L111=0),AND(LX$6=2,$K111=2,$G111=1)),0,IF(AND(LZ$9=2,(OR($F111&gt;1,$K111=1,AND($L111=80,OR($N111=1,AND($N111=2,'#BerechnungDBE'!$AL102&gt;0)))))),IF(LX$4&gt;=$AD$126,0,MH111),IF(LZ$9=3,IF(OR(LX$4&gt;=$AD$127,AND($G111=1,$J111=2,LX$6=2),AND(LX$6=1,$N111&lt;&gt;1)),0,IF(MB111&lt;=120,MH111,IF(LX$4&lt;$AD$124,IF($F111=1,60/LZ$4*LZ$6,60/LZ$4*LZ$7),IF($F111=1,120/LZ$4*LZ$6,120/LZ$4*LZ$7)))),IF(OR($F111=3,$G111=2),IF(OR(AND(LX$4&gt;=$AD$119,$C111=2),AND(LX$4&gt;=$AF$119,$C111=1)),0,IF(MB111&lt;=60,MH111,60/LZ$4*LZ$7)),IF(AND($F111=2,$G111=1),MH111,0)))))</f>
        <v>0</v>
      </c>
      <c r="MK111" s="57" t="str">
        <f t="shared" si="623"/>
        <v/>
      </c>
      <c r="ML111" s="57" t="str">
        <f t="shared" si="624"/>
        <v/>
      </c>
      <c r="MM111" s="713">
        <f>'org. Düngung 22'!CR110</f>
        <v>0</v>
      </c>
      <c r="MN111" s="57"/>
      <c r="MO111" s="57"/>
      <c r="MP111" s="57">
        <f t="shared" si="625"/>
        <v>0</v>
      </c>
      <c r="MQ111" s="57">
        <f t="shared" si="791"/>
        <v>0</v>
      </c>
      <c r="MR111" s="57">
        <f t="shared" si="792"/>
        <v>0</v>
      </c>
      <c r="MS111" s="57">
        <f t="shared" si="793"/>
        <v>0</v>
      </c>
      <c r="MT111" s="57">
        <f t="shared" si="794"/>
        <v>0</v>
      </c>
      <c r="MU111" s="1029">
        <f t="shared" si="626"/>
        <v>0</v>
      </c>
      <c r="MV111" s="57">
        <f t="shared" si="627"/>
        <v>0</v>
      </c>
      <c r="MW111" s="171" t="str">
        <f t="shared" si="628"/>
        <v/>
      </c>
      <c r="MX111" s="57">
        <f t="shared" si="795"/>
        <v>0</v>
      </c>
      <c r="MY111" s="57">
        <f>IF(OR(AND(MM$6=1,$L111=0),AND(MM$6=2,$K111=2,$G111=1)),0,IF(AND(MO$9=2,(OR($F111&gt;1,$K111=1,AND($L111=80,OR($N111=1,AND($N111=2,'#BerechnungDBE'!$AL102&gt;0)))))),IF(MM$4&gt;=$AD$126,0,MW111),IF(MO$9=3,IF(OR(MM$4&gt;=$AD$127,AND($G111=1,$J111=2,MM$6=2),AND(MM$6=1,$N111&lt;&gt;1)),0,IF(MQ111&lt;=120,MW111,IF(MM$4&lt;$AD$124,IF($F111=1,60/MO$4*MO$6,60/MO$4*MO$7),IF($F111=1,120/MO$4*MO$6,120/MO$4*MO$7)))),IF(OR($F111=3,$G111=2),IF(OR(AND(MM$4&gt;=$AD$119,$C111=2),AND(MM$4&gt;=$AF$119,$C111=1)),0,IF(MQ111&lt;=60,MW111,60/MO$4*MO$7)),IF(AND($F111=2,$G111=1),MW111,0)))))</f>
        <v>0</v>
      </c>
      <c r="MZ111" s="57" t="str">
        <f t="shared" si="629"/>
        <v/>
      </c>
      <c r="NA111" s="57" t="str">
        <f t="shared" si="630"/>
        <v/>
      </c>
      <c r="NB111" s="713">
        <f>'org. Düngung 22'!CV110</f>
        <v>0</v>
      </c>
      <c r="NC111" s="57"/>
      <c r="ND111" s="57"/>
      <c r="NE111" s="57">
        <f t="shared" si="631"/>
        <v>0</v>
      </c>
      <c r="NF111" s="57">
        <f t="shared" si="796"/>
        <v>0</v>
      </c>
      <c r="NG111" s="57">
        <f t="shared" si="797"/>
        <v>0</v>
      </c>
      <c r="NH111" s="57">
        <f t="shared" si="798"/>
        <v>0</v>
      </c>
      <c r="NI111" s="57">
        <f t="shared" si="799"/>
        <v>0</v>
      </c>
      <c r="NJ111" s="1029">
        <f t="shared" si="632"/>
        <v>0</v>
      </c>
      <c r="NK111" s="57">
        <f t="shared" si="633"/>
        <v>0</v>
      </c>
      <c r="NL111" s="171" t="str">
        <f t="shared" si="634"/>
        <v/>
      </c>
      <c r="NM111" s="57">
        <f t="shared" si="800"/>
        <v>0</v>
      </c>
      <c r="NN111" s="57">
        <f>IF(OR(AND(NB$6=1,$L111=0),AND(NB$6=2,$K111=2,$G111=1)),0,IF(AND(ND$9=2,(OR($F111&gt;1,$K111=1,AND($L111=80,OR($N111=1,AND($N111=2,'#BerechnungDBE'!$AL102&gt;0)))))),IF(NB$4&gt;=$AD$126,0,NL111),IF(ND$9=3,IF(OR(NB$4&gt;=$AD$127,AND($G111=1,$J111=2,NB$6=2),AND(NB$6=1,$N111&lt;&gt;1)),0,IF(NF111&lt;=120,NL111,IF(NB$4&lt;$AD$124,IF($F111=1,60/ND$4*ND$6,60/ND$4*ND$7),IF($F111=1,120/ND$4*ND$6,120/ND$4*ND$7)))),IF(OR($F111=3,$G111=2),IF(OR(AND(NB$4&gt;=$AD$119,$C111=2),AND(NB$4&gt;=$AF$119,$C111=1)),0,IF(NF111&lt;=60,NL111,60/ND$4*ND$7)),IF(AND($F111=2,$G111=1),NL111,0)))))</f>
        <v>0</v>
      </c>
      <c r="NO111" s="57" t="str">
        <f t="shared" si="635"/>
        <v/>
      </c>
      <c r="NP111" s="57" t="str">
        <f t="shared" si="636"/>
        <v/>
      </c>
      <c r="NQ111" s="713">
        <f>'org. Düngung 22'!CZ110</f>
        <v>0</v>
      </c>
      <c r="NR111" s="57"/>
      <c r="NS111" s="57"/>
      <c r="NT111" s="57">
        <f t="shared" si="637"/>
        <v>0</v>
      </c>
      <c r="NU111" s="57">
        <f t="shared" si="801"/>
        <v>0</v>
      </c>
      <c r="NV111" s="57">
        <f t="shared" si="802"/>
        <v>0</v>
      </c>
      <c r="NW111" s="57">
        <f t="shared" si="803"/>
        <v>0</v>
      </c>
      <c r="NX111" s="57">
        <f t="shared" si="804"/>
        <v>0</v>
      </c>
      <c r="NY111" s="1029">
        <f t="shared" si="638"/>
        <v>0</v>
      </c>
      <c r="NZ111" s="57">
        <f t="shared" si="639"/>
        <v>0</v>
      </c>
      <c r="OA111" s="171" t="str">
        <f t="shared" si="640"/>
        <v/>
      </c>
      <c r="OB111" s="57">
        <f t="shared" si="805"/>
        <v>0</v>
      </c>
      <c r="OC111" s="57">
        <f>IF(OR(AND(NQ$6=1,$L111=0),AND(NQ$6=2,$K111=2,$G111=1)),0,IF(AND(NS$9=2,(OR($F111&gt;1,$K111=1,AND($L111=80,OR($N111=1,AND($N111=2,'#BerechnungDBE'!$AL102&gt;0)))))),IF(NQ$4&gt;=$AD$126,0,OA111),IF(NS$9=3,IF(OR(NQ$4&gt;=$AD$127,AND($G111=1,$J111=2,NQ$6=2),AND(NQ$6=1,$N111&lt;&gt;1)),0,IF(NU111&lt;=120,OA111,IF(NQ$4&lt;$AD$124,IF($F111=1,60/NS$4*NS$6,60/NS$4*NS$7),IF($F111=1,120/NS$4*NS$6,120/NS$4*NS$7)))),IF(OR($F111=3,$G111=2),IF(OR(AND(NQ$4&gt;=$AD$119,$C111=2),AND(NQ$4&gt;=$AF$119,$C111=1)),0,IF(NU111&lt;=60,OA111,60/NS$4*NS$7)),IF(AND($F111=2,$G111=1),OA111,0)))))</f>
        <v>0</v>
      </c>
      <c r="OD111" s="57" t="str">
        <f t="shared" si="641"/>
        <v/>
      </c>
      <c r="OE111" s="57" t="str">
        <f t="shared" si="642"/>
        <v/>
      </c>
      <c r="OF111" s="713">
        <f>'org. Düngung 22'!DD110</f>
        <v>0</v>
      </c>
      <c r="OG111" s="57"/>
      <c r="OH111" s="57"/>
      <c r="OI111" s="57">
        <f t="shared" si="643"/>
        <v>0</v>
      </c>
      <c r="OJ111" s="57">
        <f t="shared" si="806"/>
        <v>0</v>
      </c>
      <c r="OK111" s="57">
        <f t="shared" si="807"/>
        <v>0</v>
      </c>
      <c r="OL111" s="57">
        <f t="shared" si="808"/>
        <v>0</v>
      </c>
      <c r="OM111" s="57">
        <f t="shared" si="809"/>
        <v>0</v>
      </c>
      <c r="ON111" s="1029">
        <f t="shared" si="644"/>
        <v>0</v>
      </c>
      <c r="OO111" s="57">
        <f t="shared" si="645"/>
        <v>0</v>
      </c>
      <c r="OP111" s="171" t="str">
        <f t="shared" si="646"/>
        <v/>
      </c>
      <c r="OQ111" s="57">
        <f t="shared" si="810"/>
        <v>0</v>
      </c>
      <c r="OR111" s="57">
        <f>IF(OR(AND(OF$6=1,$L111=0),AND(OF$6=2,$K111=2,$G111=1)),0,IF(AND(OH$9=2,(OR($F111&gt;1,$K111=1,AND($L111=80,OR($N111=1,AND($N111=2,'#BerechnungDBE'!$AL102&gt;0)))))),IF(OF$4&gt;=$AD$126,0,OP111),IF(OH$9=3,IF(OR(OF$4&gt;=$AD$127,AND($G111=1,$J111=2,OF$6=2),AND(OF$6=1,$N111&lt;&gt;1)),0,IF(OJ111&lt;=120,OP111,IF(OF$4&lt;$AD$124,IF($F111=1,60/OH$4*OH$6,60/OH$4*OH$7),IF($F111=1,120/OH$4*OH$6,120/OH$4*OH$7)))),IF(OR($F111=3,$G111=2),IF(OR(AND(OF$4&gt;=$AD$119,$C111=2),AND(OF$4&gt;=$AF$119,$C111=1)),0,IF(OJ111&lt;=60,OP111,60/OH$4*OH$7)),IF(AND($F111=2,$G111=1),OP111,0)))))</f>
        <v>0</v>
      </c>
      <c r="OS111" s="57" t="str">
        <f t="shared" si="647"/>
        <v/>
      </c>
      <c r="OT111" s="57" t="str">
        <f t="shared" si="648"/>
        <v/>
      </c>
      <c r="OU111" s="713">
        <f>'org. Düngung 22'!DH110</f>
        <v>0</v>
      </c>
      <c r="OV111" s="57"/>
      <c r="OW111" s="57"/>
      <c r="OX111" s="57">
        <f t="shared" si="649"/>
        <v>0</v>
      </c>
      <c r="OY111" s="57">
        <f t="shared" si="811"/>
        <v>0</v>
      </c>
      <c r="OZ111" s="57">
        <f t="shared" si="812"/>
        <v>0</v>
      </c>
      <c r="PA111" s="57">
        <f t="shared" si="813"/>
        <v>0</v>
      </c>
      <c r="PB111" s="57">
        <f t="shared" si="814"/>
        <v>0</v>
      </c>
      <c r="PC111" s="1029">
        <f t="shared" si="650"/>
        <v>0</v>
      </c>
      <c r="PD111" s="57">
        <f t="shared" si="651"/>
        <v>0</v>
      </c>
      <c r="PE111" s="171" t="str">
        <f t="shared" si="652"/>
        <v/>
      </c>
      <c r="PF111" s="57">
        <f t="shared" si="815"/>
        <v>0</v>
      </c>
      <c r="PG111" s="57">
        <f>IF(OR(AND(OU$6=1,$L111=0),AND(OU$6=2,$K111=2,$G111=1)),0,IF(AND(OW$9=2,(OR($F111&gt;1,$K111=1,AND($L111=80,OR($N111=1,AND($N111=2,'#BerechnungDBE'!$AL102&gt;0)))))),IF(OU$4&gt;=$AD$126,0,PE111),IF(OW$9=3,IF(OR(OU$4&gt;=$AD$127,AND($G111=1,$J111=2,OU$6=2),AND(OU$6=1,$N111&lt;&gt;1)),0,IF(OY111&lt;=120,PE111,IF(OU$4&lt;$AD$124,IF($F111=1,60/OW$4*OW$6,60/OW$4*OW$7),IF($F111=1,120/OW$4*OW$6,120/OW$4*OW$7)))),IF(OR($F111=3,$G111=2),IF(OR(AND(OU$4&gt;=$AD$119,$C111=2),AND(OU$4&gt;=$AF$119,$C111=1)),0,IF(OY111&lt;=60,PE111,60/OW$4*OW$7)),IF(AND($F111=2,$G111=1),PE111,0)))))</f>
        <v>0</v>
      </c>
      <c r="PH111" s="57" t="str">
        <f t="shared" si="653"/>
        <v/>
      </c>
      <c r="PI111" s="57" t="str">
        <f t="shared" si="654"/>
        <v/>
      </c>
      <c r="PJ111" s="713">
        <f>'org. Düngung 22'!DL110</f>
        <v>0</v>
      </c>
      <c r="PK111" s="57"/>
      <c r="PL111" s="57"/>
      <c r="PM111" s="57">
        <f t="shared" si="655"/>
        <v>0</v>
      </c>
      <c r="PN111" s="57">
        <f t="shared" si="816"/>
        <v>0</v>
      </c>
      <c r="PO111" s="57">
        <f t="shared" si="817"/>
        <v>0</v>
      </c>
      <c r="PP111" s="57">
        <f t="shared" si="818"/>
        <v>0</v>
      </c>
      <c r="PQ111" s="57">
        <f t="shared" si="819"/>
        <v>0</v>
      </c>
      <c r="PR111" s="1029">
        <f t="shared" si="656"/>
        <v>0</v>
      </c>
      <c r="PS111" s="57">
        <f t="shared" si="657"/>
        <v>0</v>
      </c>
      <c r="PT111" s="171" t="str">
        <f t="shared" si="658"/>
        <v/>
      </c>
      <c r="PU111" s="57">
        <f t="shared" si="820"/>
        <v>0</v>
      </c>
      <c r="PV111" s="57">
        <f>IF(OR(AND(PJ$6=1,$L111=0),AND(PJ$6=2,$K111=2,$G111=1)),0,IF(AND(PL$9=2,(OR($F111&gt;1,$K111=1,AND($L111=80,OR($N111=1,AND($N111=2,'#BerechnungDBE'!$AL102&gt;0)))))),IF(PJ$4&gt;=$AD$126,0,PT111),IF(PL$9=3,IF(OR(PJ$4&gt;=$AD$127,AND($G111=1,$J111=2,PJ$6=2),AND(PJ$6=1,$N111&lt;&gt;1)),0,IF(PN111&lt;=120,PT111,IF(PJ$4&lt;$AD$124,IF($F111=1,60/PL$4*PL$6,60/PL$4*PL$7),IF($F111=1,120/PL$4*PL$6,120/PL$4*PL$7)))),IF(OR($F111=3,$G111=2),IF(OR(AND(PJ$4&gt;=$AD$119,$C111=2),AND(PJ$4&gt;=$AF$119,$C111=1)),0,IF(PN111&lt;=60,PT111,60/PL$4*PL$7)),IF(AND($F111=2,$G111=1),PT111,0)))))</f>
        <v>0</v>
      </c>
      <c r="PW111" s="57" t="str">
        <f t="shared" si="659"/>
        <v/>
      </c>
      <c r="PX111" s="57" t="str">
        <f t="shared" si="660"/>
        <v/>
      </c>
      <c r="PY111" s="713">
        <f>'org. Düngung 22'!DP110</f>
        <v>0</v>
      </c>
      <c r="PZ111" s="57"/>
      <c r="QA111" s="57"/>
      <c r="QB111" s="57">
        <f t="shared" si="661"/>
        <v>0</v>
      </c>
      <c r="QC111" s="57">
        <f t="shared" si="821"/>
        <v>0</v>
      </c>
      <c r="QD111" s="57">
        <f t="shared" si="822"/>
        <v>0</v>
      </c>
      <c r="QE111" s="57">
        <f t="shared" si="823"/>
        <v>0</v>
      </c>
      <c r="QF111" s="57">
        <f t="shared" si="824"/>
        <v>0</v>
      </c>
      <c r="QG111" s="1029">
        <f t="shared" si="662"/>
        <v>0</v>
      </c>
      <c r="QH111" s="57">
        <f t="shared" si="663"/>
        <v>0</v>
      </c>
      <c r="QI111" s="171" t="str">
        <f t="shared" si="664"/>
        <v/>
      </c>
      <c r="QJ111" s="57">
        <f t="shared" si="825"/>
        <v>0</v>
      </c>
      <c r="QK111" s="57">
        <f>IF(OR(AND(PY$6=1,$L111=0),AND(PY$6=2,$K111=2,$G111=1)),0,IF(AND(QA$9=2,(OR($F111&gt;1,$K111=1,AND($L111=80,OR($N111=1,AND($N111=2,'#BerechnungDBE'!$AL102&gt;0)))))),IF(PY$4&gt;=$AD$126,0,QI111),IF(QA$9=3,IF(OR(PY$4&gt;=$AD$127,AND($G111=1,$J111=2,PY$6=2),AND(PY$6=1,$N111&lt;&gt;1)),0,IF(QC111&lt;=120,QI111,IF(PY$4&lt;$AD$124,IF($F111=1,60/QA$4*QA$6,60/QA$4*QA$7),IF($F111=1,120/QA$4*QA$6,120/QA$4*QA$7)))),IF(OR($F111=3,$G111=2),IF(OR(AND(PY$4&gt;=$AD$119,$C111=2),AND(PY$4&gt;=$AF$119,$C111=1)),0,IF(QC111&lt;=60,QI111,60/QA$4*QA$7)),IF(AND($F111=2,$G111=1),QI111,0)))))</f>
        <v>0</v>
      </c>
      <c r="QL111" s="57" t="str">
        <f t="shared" si="665"/>
        <v/>
      </c>
      <c r="QM111" s="57" t="str">
        <f t="shared" si="666"/>
        <v/>
      </c>
      <c r="QN111" s="713">
        <f>'org. Düngung 22'!DT110</f>
        <v>0</v>
      </c>
      <c r="QO111" s="57"/>
      <c r="QP111" s="57"/>
      <c r="QQ111" s="57">
        <f t="shared" si="667"/>
        <v>0</v>
      </c>
      <c r="QR111" s="57">
        <f t="shared" si="826"/>
        <v>0</v>
      </c>
      <c r="QS111" s="57">
        <f t="shared" si="827"/>
        <v>0</v>
      </c>
      <c r="QT111" s="57">
        <f t="shared" si="828"/>
        <v>0</v>
      </c>
      <c r="QU111" s="57">
        <f t="shared" si="829"/>
        <v>0</v>
      </c>
      <c r="QV111" s="1029">
        <f t="shared" si="668"/>
        <v>0</v>
      </c>
      <c r="QW111" s="57">
        <f t="shared" si="669"/>
        <v>0</v>
      </c>
      <c r="QX111" s="171" t="str">
        <f t="shared" si="670"/>
        <v/>
      </c>
      <c r="QY111" s="57">
        <f t="shared" si="830"/>
        <v>0</v>
      </c>
      <c r="QZ111" s="57">
        <f>IF(OR(AND(QN$6=1,$L111=0),AND(QN$6=2,$K111=2,$G111=1)),0,IF(AND(QP$9=2,(OR($F111&gt;1,$K111=1,AND($L111=80,OR($N111=1,AND($N111=2,'#BerechnungDBE'!$AL102&gt;0)))))),IF(QN$4&gt;=$AD$126,0,QX111),IF(QP$9=3,IF(OR(QN$4&gt;=$AD$127,AND($G111=1,$J111=2,QN$6=2),AND(QN$6=1,$N111&lt;&gt;1)),0,IF(QR111&lt;=120,QX111,IF(QN$4&lt;$AD$124,IF($F111=1,60/QP$4*QP$6,60/QP$4*QP$7),IF($F111=1,120/QP$4*QP$6,120/QP$4*QP$7)))),IF(OR($F111=3,$G111=2),IF(OR(AND(QN$4&gt;=$AD$119,$C111=2),AND(QN$4&gt;=$AF$119,$C111=1)),0,IF(QR111&lt;=60,QX111,60/QP$4*QP$7)),IF(AND($F111=2,$G111=1),QX111,0)))))</f>
        <v>0</v>
      </c>
      <c r="RA111" s="57" t="str">
        <f t="shared" si="671"/>
        <v/>
      </c>
      <c r="RB111" s="57" t="str">
        <f t="shared" si="672"/>
        <v/>
      </c>
      <c r="RC111" s="713">
        <f>'org. Düngung 22'!DX110</f>
        <v>0</v>
      </c>
      <c r="RD111" s="57"/>
      <c r="RE111" s="57"/>
      <c r="RF111" s="57">
        <f t="shared" si="673"/>
        <v>0</v>
      </c>
      <c r="RG111" s="57">
        <f t="shared" si="831"/>
        <v>0</v>
      </c>
      <c r="RH111" s="57">
        <f t="shared" si="832"/>
        <v>0</v>
      </c>
      <c r="RI111" s="57">
        <f t="shared" si="833"/>
        <v>0</v>
      </c>
      <c r="RJ111" s="57">
        <f t="shared" si="834"/>
        <v>0</v>
      </c>
      <c r="RK111" s="1029">
        <f t="shared" si="674"/>
        <v>0</v>
      </c>
      <c r="RL111" s="57">
        <f t="shared" si="675"/>
        <v>0</v>
      </c>
      <c r="RM111" s="171" t="str">
        <f t="shared" si="676"/>
        <v/>
      </c>
      <c r="RN111" s="57">
        <f t="shared" si="835"/>
        <v>0</v>
      </c>
      <c r="RO111" s="57">
        <f>IF(OR(AND(RC$6=1,$L111=0),AND(RC$6=2,$K111=2,$G111=1)),0,IF(AND(RE$9=2,(OR($F111&gt;1,$K111=1,AND($L111=80,OR($N111=1,AND($N111=2,'#BerechnungDBE'!$AL102&gt;0)))))),IF(RC$4&gt;=$AD$126,0,RM111),IF(RE$9=3,IF(OR(RC$4&gt;=$AD$127,AND($G111=1,$J111=2,RC$6=2),AND(RC$6=1,$N111&lt;&gt;1)),0,IF(RG111&lt;=120,RM111,IF(RC$4&lt;$AD$124,IF($F111=1,60/RE$4*RE$6,60/RE$4*RE$7),IF($F111=1,120/RE$4*RE$6,120/RE$4*RE$7)))),IF(OR($F111=3,$G111=2),IF(OR(AND(RC$4&gt;=$AD$119,$C111=2),AND(RC$4&gt;=$AF$119,$C111=1)),0,IF(RG111&lt;=60,RM111,60/RE$4*RE$7)),IF(AND($F111=2,$G111=1),RM111,0)))))</f>
        <v>0</v>
      </c>
      <c r="RP111" s="57" t="str">
        <f t="shared" si="677"/>
        <v/>
      </c>
      <c r="RQ111" s="57" t="str">
        <f t="shared" si="678"/>
        <v/>
      </c>
      <c r="RS111" s="57" t="str">
        <f t="shared" si="836"/>
        <v/>
      </c>
      <c r="RT111" s="57" t="str">
        <f t="shared" si="679"/>
        <v/>
      </c>
      <c r="RU111" s="57" t="str">
        <f t="shared" si="680"/>
        <v/>
      </c>
      <c r="RV111" s="57" t="str">
        <f>IF(Z111&gt;'#BerechnungDBE'!BM102,$RV$9,"")</f>
        <v/>
      </c>
      <c r="RW111" s="57" t="str">
        <f>IF(AND(L111=70,AE111&gt;'#BerechnungDBE'!CQ102),$RW$9,"")</f>
        <v/>
      </c>
      <c r="RX111" s="57" t="str">
        <f>IF(OR('org. Düngung 22'!G110="--",'org. Düngung 22'!G110&lt;=170,'org. Düngung 22'!G110=""),"",$RX$9)</f>
        <v/>
      </c>
      <c r="RY111" s="57" t="str">
        <f>IF('org. Düngung 22'!K110&gt;120,'#orgDung'!$RY$9,"")</f>
        <v/>
      </c>
      <c r="RZ111" s="57" t="str">
        <f>IF('#BerechnungDBE'!P102&lt;4,"",IF(AND('#BerechnungDBE'!BZ102&gt;0,T111&gt;0),'#orgDung'!$RZ$9,""))</f>
        <v/>
      </c>
      <c r="SA111" s="57" t="str">
        <f t="shared" si="681"/>
        <v/>
      </c>
    </row>
    <row r="112" spans="1:495" s="875" customFormat="1" x14ac:dyDescent="0.2">
      <c r="A112" s="875">
        <f>'Flächen u. Kulturen'!A108</f>
        <v>99</v>
      </c>
      <c r="B112" s="367">
        <f>'#BerechnungDBE'!L103</f>
        <v>0</v>
      </c>
      <c r="C112" s="875">
        <f>'#BerechnungDBE'!R103</f>
        <v>1</v>
      </c>
      <c r="D112" s="875">
        <f>'#BerechnungDBE'!T103</f>
        <v>2</v>
      </c>
      <c r="E112" s="875" t="str">
        <f>'Flächen u. Kulturen'!E108</f>
        <v>x</v>
      </c>
      <c r="F112" s="52">
        <f>'#BerechnungDBE'!N103</f>
        <v>1</v>
      </c>
      <c r="G112" s="52">
        <f>'#BerechnungDBE'!O103</f>
        <v>1</v>
      </c>
      <c r="H112" s="875">
        <f>IF('Flächen u. Kulturen'!P108="",0,VLOOKUP('Flächen u. Kulturen'!P108,Kulturen[[HF]:[Berechnungsgruppe]],'#Frucht'!$H$1,FALSE))</f>
        <v>0</v>
      </c>
      <c r="I112" s="875">
        <f>IF('Flächen u. Kulturen'!J108="",0,VLOOKUP('Flächen u. Kulturen'!J108,Kulturen[[HF]:[Berechnungsgruppe]],'#Frucht'!$G$1,FALSE))</f>
        <v>90</v>
      </c>
      <c r="J112" s="505">
        <f t="shared" si="682"/>
        <v>2</v>
      </c>
      <c r="K112" s="505">
        <f>IF('Flächen u. Kulturen'!P108="",0,IF(VLOOKUP('Flächen u. Kulturen'!P108,Kulturen[[HF]:[Saat Winterungen]],'#Frucht'!$P$1,FALSE)&gt;0,1,2))</f>
        <v>2</v>
      </c>
      <c r="L112" s="875">
        <f>'#BerechnungDBE'!AF103</f>
        <v>0</v>
      </c>
      <c r="M112" s="875">
        <f>IF('Flächen u. Kulturen'!L108="",0,VLOOKUP('Flächen u. Kulturen'!L108,Nebenkultur[[Nebenkultur]:[Legum. Zwischenfr.]],'#Zweitfr'!$K$1,FALSE))</f>
        <v>0</v>
      </c>
      <c r="N112" s="875">
        <f>'#BerechnungDBE'!AG103</f>
        <v>0</v>
      </c>
      <c r="P112" s="57">
        <f t="shared" si="489"/>
        <v>0</v>
      </c>
      <c r="Q112" s="57">
        <f t="shared" si="490"/>
        <v>0</v>
      </c>
      <c r="R112" s="875">
        <f t="shared" si="491"/>
        <v>0</v>
      </c>
      <c r="S112" s="938" t="str">
        <f t="shared" si="683"/>
        <v/>
      </c>
      <c r="T112" s="875">
        <f t="shared" si="492"/>
        <v>0</v>
      </c>
      <c r="U112" s="875">
        <f t="shared" si="493"/>
        <v>0</v>
      </c>
      <c r="V112" s="875">
        <f t="shared" si="494"/>
        <v>0</v>
      </c>
      <c r="W112" s="875">
        <f t="shared" si="495"/>
        <v>0</v>
      </c>
      <c r="X112" s="875">
        <f t="shared" si="496"/>
        <v>0</v>
      </c>
      <c r="Y112" s="875">
        <f t="shared" si="837"/>
        <v>0</v>
      </c>
      <c r="Z112" s="875">
        <f t="shared" si="838"/>
        <v>0</v>
      </c>
      <c r="AA112" s="910">
        <f t="shared" si="497"/>
        <v>0</v>
      </c>
      <c r="AB112" s="57">
        <f t="shared" si="839"/>
        <v>0</v>
      </c>
      <c r="AC112" s="875">
        <f t="shared" si="498"/>
        <v>0</v>
      </c>
      <c r="AD112" s="875">
        <f t="shared" si="499"/>
        <v>0</v>
      </c>
      <c r="AE112" s="875">
        <f t="shared" si="500"/>
        <v>0</v>
      </c>
      <c r="AF112" s="875">
        <f t="shared" si="840"/>
        <v>0</v>
      </c>
      <c r="AG112" s="875">
        <f>'org. Düngung 22'!J111</f>
        <v>0</v>
      </c>
      <c r="AH112" s="875">
        <f>'org. Düngung 22'!K111</f>
        <v>0</v>
      </c>
      <c r="AJ112" s="713">
        <f>'org. Düngung 22'!L111</f>
        <v>0</v>
      </c>
      <c r="AK112" s="57"/>
      <c r="AL112" s="57"/>
      <c r="AM112" s="57">
        <f t="shared" si="684"/>
        <v>0</v>
      </c>
      <c r="AN112" s="57">
        <f t="shared" si="685"/>
        <v>0</v>
      </c>
      <c r="AO112" s="57">
        <f t="shared" si="686"/>
        <v>0</v>
      </c>
      <c r="AP112" s="57">
        <f t="shared" si="687"/>
        <v>0</v>
      </c>
      <c r="AQ112" s="57">
        <f t="shared" si="688"/>
        <v>0</v>
      </c>
      <c r="AR112" s="1029">
        <f t="shared" si="501"/>
        <v>0</v>
      </c>
      <c r="AS112" s="57">
        <f t="shared" si="502"/>
        <v>0</v>
      </c>
      <c r="AT112" s="171" t="str">
        <f t="shared" si="503"/>
        <v/>
      </c>
      <c r="AU112" s="57">
        <f t="shared" si="689"/>
        <v>0</v>
      </c>
      <c r="AV112" s="57">
        <f>IF(OR(AND(AJ$6=1,$L112=0),AND(AJ$6=2,$K112=2,$G112=1)),0,IF(AND(AL$9=2,(OR($F112&gt;1,$K112=1,AND($L112=80,OR($N112=1,AND($N112=2,'#BerechnungDBE'!$AL103&gt;0)))))),IF(AJ$4&gt;=$AD$126,0,AT112),IF(AL$9=3,IF(OR(AJ$4&gt;=$AD$127,AND($G112=1,$J112=2,AJ$6=2),AND(AJ$6=1,$N112&lt;&gt;1)),0,IF(AN112&lt;=120,AT112,IF(AJ$4&lt;$AD$124,IF($F112=1,60/AL$4*AL$6,60/AL$4*AL$7),IF($F112=1,120/AL$4*AL$6,120/AL$4*AL$7)))),IF(OR($F112=3,$G112=2),IF(OR(AND(AJ$4&gt;=$AD$119,$C112=2),AND(AJ$4&gt;=$AF$119,$C112=1)),0,IF(AN112&lt;=60,AT112,60/AL$4*AL$7)),IF(AND($F112=2,$G112=1),AT112,0)))))</f>
        <v>0</v>
      </c>
      <c r="AW112" s="57" t="str">
        <f t="shared" si="690"/>
        <v/>
      </c>
      <c r="AX112" s="57" t="str">
        <f t="shared" si="504"/>
        <v/>
      </c>
      <c r="AY112" s="713">
        <f>'org. Düngung 22'!P111</f>
        <v>0</v>
      </c>
      <c r="AZ112" s="57"/>
      <c r="BA112" s="57"/>
      <c r="BB112" s="57">
        <f t="shared" si="505"/>
        <v>0</v>
      </c>
      <c r="BC112" s="57">
        <f t="shared" si="691"/>
        <v>0</v>
      </c>
      <c r="BD112" s="57">
        <f t="shared" si="692"/>
        <v>0</v>
      </c>
      <c r="BE112" s="57">
        <f t="shared" si="693"/>
        <v>0</v>
      </c>
      <c r="BF112" s="57">
        <f t="shared" si="694"/>
        <v>0</v>
      </c>
      <c r="BG112" s="1029">
        <f t="shared" si="506"/>
        <v>0</v>
      </c>
      <c r="BH112" s="57">
        <f t="shared" si="507"/>
        <v>0</v>
      </c>
      <c r="BI112" s="171" t="str">
        <f t="shared" si="508"/>
        <v/>
      </c>
      <c r="BJ112" s="57">
        <f t="shared" si="695"/>
        <v>0</v>
      </c>
      <c r="BK112" s="57">
        <f>IF(OR(AND(AY$6=1,$L112=0),AND(AY$6=2,$K112=2,$G112=1)),0,IF(AND(BA$9=2,(OR($F112&gt;1,$K112=1,AND($L112=80,OR($N112=1,AND($N112=2,'#BerechnungDBE'!$AL103&gt;0)))))),IF(AY$4&gt;=$AD$126,0,BI112),IF(BA$9=3,IF(OR(AY$4&gt;=$AD$127,AND($G112=1,$J112=2,AY$6=2),AND(AY$6=1,$N112&lt;&gt;1)),0,IF(BC112&lt;=120,BI112,IF(AY$4&lt;$AD$124,IF($F112=1,60/BA$4*BA$6,60/BA$4*BA$7),IF($F112=1,120/BA$4*BA$6,120/BA$4*BA$7)))),IF(OR($F112=3,$G112=2),IF(OR(AND(AY$4&gt;=$AD$119,$C112=2),AND(AY$4&gt;=$AF$119,$C112=1)),0,IF(BC112&lt;=60,BI112,60/BA$4*BA$7)),IF(AND($F112=2,$G112=1),BI112,0)))))</f>
        <v>0</v>
      </c>
      <c r="BL112" s="57" t="str">
        <f t="shared" si="509"/>
        <v/>
      </c>
      <c r="BM112" s="57" t="str">
        <f t="shared" si="510"/>
        <v/>
      </c>
      <c r="BN112" s="713">
        <f>'org. Düngung 22'!T111</f>
        <v>0</v>
      </c>
      <c r="BO112" s="57"/>
      <c r="BP112" s="57"/>
      <c r="BQ112" s="57">
        <f t="shared" si="511"/>
        <v>0</v>
      </c>
      <c r="BR112" s="57">
        <f t="shared" si="696"/>
        <v>0</v>
      </c>
      <c r="BS112" s="57">
        <f t="shared" si="697"/>
        <v>0</v>
      </c>
      <c r="BT112" s="57">
        <f t="shared" si="698"/>
        <v>0</v>
      </c>
      <c r="BU112" s="57">
        <f t="shared" si="699"/>
        <v>0</v>
      </c>
      <c r="BV112" s="1029">
        <f t="shared" si="512"/>
        <v>0</v>
      </c>
      <c r="BW112" s="57">
        <f t="shared" si="513"/>
        <v>0</v>
      </c>
      <c r="BX112" s="171" t="str">
        <f t="shared" si="514"/>
        <v/>
      </c>
      <c r="BY112" s="57">
        <f t="shared" si="700"/>
        <v>0</v>
      </c>
      <c r="BZ112" s="57">
        <f>IF(OR(AND(BN$6=1,$L112=0),AND(BN$6=2,$K112=2,$G112=1)),0,IF(AND(BP$9=2,(OR($F112&gt;1,$K112=1,AND($L112=80,OR($N112=1,AND($N112=2,'#BerechnungDBE'!$AL103&gt;0)))))),IF(BN$4&gt;=$AD$126,0,BX112),IF(BP$9=3,IF(OR(BN$4&gt;=$AD$127,AND($G112=1,$J112=2,BN$6=2),AND(BN$6=1,$N112&lt;&gt;1)),0,IF(BR112&lt;=120,BX112,IF(BN$4&lt;$AD$124,IF($F112=1,60/BP$4*BP$6,60/BP$4*BP$7),IF($F112=1,120/BP$4*BP$6,120/BP$4*BP$7)))),IF(OR($F112=3,$G112=2),IF(OR(AND(BN$4&gt;=$AD$119,$C112=2),AND(BN$4&gt;=$AF$119,$C112=1)),0,IF(BR112&lt;=60,BX112,60/BP$4*BP$7)),IF(AND($F112=2,$G112=1),BX112,0)))))</f>
        <v>0</v>
      </c>
      <c r="CA112" s="57" t="str">
        <f t="shared" si="515"/>
        <v/>
      </c>
      <c r="CB112" s="57" t="str">
        <f t="shared" si="516"/>
        <v/>
      </c>
      <c r="CC112" s="713">
        <f>'org. Düngung 22'!X111</f>
        <v>0</v>
      </c>
      <c r="CD112" s="57"/>
      <c r="CE112" s="57"/>
      <c r="CF112" s="57">
        <f t="shared" si="517"/>
        <v>0</v>
      </c>
      <c r="CG112" s="57">
        <f t="shared" si="701"/>
        <v>0</v>
      </c>
      <c r="CH112" s="57">
        <f t="shared" si="702"/>
        <v>0</v>
      </c>
      <c r="CI112" s="57">
        <f t="shared" si="703"/>
        <v>0</v>
      </c>
      <c r="CJ112" s="57">
        <f t="shared" si="704"/>
        <v>0</v>
      </c>
      <c r="CK112" s="1029">
        <f t="shared" si="518"/>
        <v>0</v>
      </c>
      <c r="CL112" s="57">
        <f t="shared" si="519"/>
        <v>0</v>
      </c>
      <c r="CM112" s="171" t="str">
        <f t="shared" si="520"/>
        <v/>
      </c>
      <c r="CN112" s="57">
        <f t="shared" si="705"/>
        <v>0</v>
      </c>
      <c r="CO112" s="57">
        <f>IF(OR(AND(CC$6=1,$L112=0),AND(CC$6=2,$K112=2,$G112=1)),0,IF(AND(CE$9=2,(OR($F112&gt;1,$K112=1,AND($L112=80,OR($N112=1,AND($N112=2,'#BerechnungDBE'!$AL103&gt;0)))))),IF(CC$4&gt;=$AD$126,0,CM112),IF(CE$9=3,IF(OR(CC$4&gt;=$AD$127,AND($G112=1,$J112=2,CC$6=2),AND(CC$6=1,$N112&lt;&gt;1)),0,IF(CG112&lt;=120,CM112,IF(CC$4&lt;$AD$124,IF($F112=1,60/CE$4*CE$6,60/CE$4*CE$7),IF($F112=1,120/CE$4*CE$6,120/CE$4*CE$7)))),IF(OR($F112=3,$G112=2),IF(OR(AND(CC$4&gt;=$AD$119,$C112=2),AND(CC$4&gt;=$AF$119,$C112=1)),0,IF(CG112&lt;=60,CM112,60/CE$4*CE$7)),IF(AND($F112=2,$G112=1),CM112,0)))))</f>
        <v>0</v>
      </c>
      <c r="CP112" s="57" t="str">
        <f t="shared" si="521"/>
        <v/>
      </c>
      <c r="CQ112" s="57" t="str">
        <f t="shared" si="522"/>
        <v/>
      </c>
      <c r="CR112" s="713">
        <f>'org. Düngung 22'!AB111</f>
        <v>0</v>
      </c>
      <c r="CS112" s="57"/>
      <c r="CT112" s="57"/>
      <c r="CU112" s="57">
        <f t="shared" si="523"/>
        <v>0</v>
      </c>
      <c r="CV112" s="57">
        <f t="shared" si="706"/>
        <v>0</v>
      </c>
      <c r="CW112" s="57">
        <f t="shared" si="707"/>
        <v>0</v>
      </c>
      <c r="CX112" s="57">
        <f t="shared" si="708"/>
        <v>0</v>
      </c>
      <c r="CY112" s="57">
        <f t="shared" si="709"/>
        <v>0</v>
      </c>
      <c r="CZ112" s="1029">
        <f t="shared" si="524"/>
        <v>0</v>
      </c>
      <c r="DA112" s="57">
        <f t="shared" si="525"/>
        <v>0</v>
      </c>
      <c r="DB112" s="171" t="str">
        <f t="shared" si="526"/>
        <v/>
      </c>
      <c r="DC112" s="57">
        <f t="shared" si="710"/>
        <v>0</v>
      </c>
      <c r="DD112" s="57">
        <f>IF(OR(AND(CR$6=1,$L112=0),AND(CR$6=2,$K112=2,$G112=1)),0,IF(AND(CT$9=2,(OR($F112&gt;1,$K112=1,AND($L112=80,OR($N112=1,AND($N112=2,'#BerechnungDBE'!$AL103&gt;0)))))),IF(CR$4&gt;=$AD$126,0,DB112),IF(CT$9=3,IF(OR(CR$4&gt;=$AD$127,AND($G112=1,$J112=2,CR$6=2),AND(CR$6=1,$N112&lt;&gt;1)),0,IF(CV112&lt;=120,DB112,IF(CR$4&lt;$AD$124,IF($F112=1,60/CT$4*CT$6,60/CT$4*CT$7),IF($F112=1,120/CT$4*CT$6,120/CT$4*CT$7)))),IF(OR($F112=3,$G112=2),IF(OR(AND(CR$4&gt;=$AD$119,$C112=2),AND(CR$4&gt;=$AF$119,$C112=1)),0,IF(CV112&lt;=60,DB112,60/CT$4*CT$7)),IF(AND($F112=2,$G112=1),DB112,0)))))</f>
        <v>0</v>
      </c>
      <c r="DE112" s="57" t="str">
        <f t="shared" si="527"/>
        <v/>
      </c>
      <c r="DF112" s="57" t="str">
        <f t="shared" si="528"/>
        <v/>
      </c>
      <c r="DG112" s="713">
        <f>'org. Düngung 22'!AF111</f>
        <v>0</v>
      </c>
      <c r="DH112" s="57"/>
      <c r="DI112" s="57"/>
      <c r="DJ112" s="57">
        <f t="shared" si="529"/>
        <v>0</v>
      </c>
      <c r="DK112" s="57">
        <f t="shared" si="711"/>
        <v>0</v>
      </c>
      <c r="DL112" s="57">
        <f t="shared" si="712"/>
        <v>0</v>
      </c>
      <c r="DM112" s="57">
        <f t="shared" si="713"/>
        <v>0</v>
      </c>
      <c r="DN112" s="57">
        <f t="shared" si="714"/>
        <v>0</v>
      </c>
      <c r="DO112" s="1029">
        <f t="shared" si="530"/>
        <v>0</v>
      </c>
      <c r="DP112" s="57">
        <f t="shared" si="531"/>
        <v>0</v>
      </c>
      <c r="DQ112" s="171" t="str">
        <f t="shared" si="532"/>
        <v/>
      </c>
      <c r="DR112" s="57">
        <f t="shared" si="715"/>
        <v>0</v>
      </c>
      <c r="DS112" s="57">
        <f>IF(OR(AND(DG$6=1,$L112=0),AND(DG$6=2,$K112=2,$G112=1)),0,IF(AND(DI$9=2,(OR($F112&gt;1,$K112=1,AND($L112=80,OR($N112=1,AND($N112=2,'#BerechnungDBE'!$AL103&gt;0)))))),IF(DG$4&gt;=$AD$126,0,DQ112),IF(DI$9=3,IF(OR(DG$4&gt;=$AD$127,AND($G112=1,$J112=2,DG$6=2),AND(DG$6=1,$N112&lt;&gt;1)),0,IF(DK112&lt;=120,DQ112,IF(DG$4&lt;$AD$124,IF($F112=1,60/DI$4*DI$6,60/DI$4*DI$7),IF($F112=1,120/DI$4*DI$6,120/DI$4*DI$7)))),IF(OR($F112=3,$G112=2),IF(OR(AND(DG$4&gt;=$AD$119,$C112=2),AND(DG$4&gt;=$AF$119,$C112=1)),0,IF(DK112&lt;=60,DQ112,60/DI$4*DI$7)),IF(AND($F112=2,$G112=1),DQ112,0)))))</f>
        <v>0</v>
      </c>
      <c r="DT112" s="57" t="str">
        <f t="shared" si="533"/>
        <v/>
      </c>
      <c r="DU112" s="57" t="str">
        <f t="shared" si="534"/>
        <v/>
      </c>
      <c r="DV112" s="713">
        <f>'org. Düngung 22'!AJ111</f>
        <v>0</v>
      </c>
      <c r="DW112" s="57"/>
      <c r="DX112" s="57"/>
      <c r="DY112" s="57">
        <f t="shared" si="535"/>
        <v>0</v>
      </c>
      <c r="DZ112" s="57">
        <f t="shared" si="716"/>
        <v>0</v>
      </c>
      <c r="EA112" s="57">
        <f t="shared" si="717"/>
        <v>0</v>
      </c>
      <c r="EB112" s="57">
        <f t="shared" si="718"/>
        <v>0</v>
      </c>
      <c r="EC112" s="57">
        <f t="shared" si="719"/>
        <v>0</v>
      </c>
      <c r="ED112" s="1029">
        <f t="shared" si="536"/>
        <v>0</v>
      </c>
      <c r="EE112" s="57">
        <f t="shared" si="537"/>
        <v>0</v>
      </c>
      <c r="EF112" s="171" t="str">
        <f t="shared" si="538"/>
        <v/>
      </c>
      <c r="EG112" s="57">
        <f t="shared" si="720"/>
        <v>0</v>
      </c>
      <c r="EH112" s="57">
        <f>IF(OR(AND(DV$6=1,$L112=0),AND(DV$6=2,$K112=2,$G112=1)),0,IF(AND(DX$9=2,(OR($F112&gt;1,$K112=1,AND($L112=80,OR($N112=1,AND($N112=2,'#BerechnungDBE'!$AL103&gt;0)))))),IF(DV$4&gt;=$AD$126,0,EF112),IF(DX$9=3,IF(OR(DV$4&gt;=$AD$127,AND($G112=1,$J112=2,DV$6=2),AND(DV$6=1,$N112&lt;&gt;1)),0,IF(DZ112&lt;=120,EF112,IF(DV$4&lt;$AD$124,IF($F112=1,60/DX$4*DX$6,60/DX$4*DX$7),IF($F112=1,120/DX$4*DX$6,120/DX$4*DX$7)))),IF(OR($F112=3,$G112=2),IF(OR(AND(DV$4&gt;=$AD$119,$C112=2),AND(DV$4&gt;=$AF$119,$C112=1)),0,IF(DZ112&lt;=60,EF112,60/DX$4*DX$7)),IF(AND($F112=2,$G112=1),EF112,0)))))</f>
        <v>0</v>
      </c>
      <c r="EI112" s="57" t="str">
        <f t="shared" si="539"/>
        <v/>
      </c>
      <c r="EJ112" s="57" t="str">
        <f t="shared" si="540"/>
        <v/>
      </c>
      <c r="EK112" s="713">
        <f>'org. Düngung 22'!AN111</f>
        <v>0</v>
      </c>
      <c r="EL112" s="57"/>
      <c r="EM112" s="57"/>
      <c r="EN112" s="57">
        <f t="shared" si="541"/>
        <v>0</v>
      </c>
      <c r="EO112" s="57">
        <f t="shared" si="721"/>
        <v>0</v>
      </c>
      <c r="EP112" s="57">
        <f t="shared" si="722"/>
        <v>0</v>
      </c>
      <c r="EQ112" s="57">
        <f t="shared" si="723"/>
        <v>0</v>
      </c>
      <c r="ER112" s="57">
        <f t="shared" si="724"/>
        <v>0</v>
      </c>
      <c r="ES112" s="1029">
        <f t="shared" si="542"/>
        <v>0</v>
      </c>
      <c r="ET112" s="57">
        <f t="shared" si="543"/>
        <v>0</v>
      </c>
      <c r="EU112" s="171" t="str">
        <f t="shared" si="544"/>
        <v/>
      </c>
      <c r="EV112" s="57">
        <f t="shared" si="725"/>
        <v>0</v>
      </c>
      <c r="EW112" s="57">
        <f>IF(OR(AND(EK$6=1,$L112=0),AND(EK$6=2,$K112=2,$G112=1)),0,IF(AND(EM$9=2,(OR($F112&gt;1,$K112=1,AND($L112=80,OR($N112=1,AND($N112=2,'#BerechnungDBE'!$AL103&gt;0)))))),IF(EK$4&gt;=$AD$126,0,EU112),IF(EM$9=3,IF(OR(EK$4&gt;=$AD$127,AND($G112=1,$J112=2,EK$6=2),AND(EK$6=1,$N112&lt;&gt;1)),0,IF(EO112&lt;=120,EU112,IF(EK$4&lt;$AD$124,IF($F112=1,60/EM$4*EM$6,60/EM$4*EM$7),IF($F112=1,120/EM$4*EM$6,120/EM$4*EM$7)))),IF(OR($F112=3,$G112=2),IF(OR(AND(EK$4&gt;=$AD$119,$C112=2),AND(EK$4&gt;=$AF$119,$C112=1)),0,IF(EO112&lt;=60,EU112,60/EM$4*EM$7)),IF(AND($F112=2,$G112=1),EU112,0)))))</f>
        <v>0</v>
      </c>
      <c r="EX112" s="57" t="str">
        <f t="shared" si="545"/>
        <v/>
      </c>
      <c r="EY112" s="57" t="str">
        <f t="shared" si="546"/>
        <v/>
      </c>
      <c r="EZ112" s="713">
        <f>'org. Düngung 22'!AR111</f>
        <v>0</v>
      </c>
      <c r="FA112" s="57"/>
      <c r="FB112" s="57"/>
      <c r="FC112" s="57">
        <f t="shared" si="547"/>
        <v>0</v>
      </c>
      <c r="FD112" s="57">
        <f t="shared" si="726"/>
        <v>0</v>
      </c>
      <c r="FE112" s="57">
        <f t="shared" si="727"/>
        <v>0</v>
      </c>
      <c r="FF112" s="57">
        <f t="shared" si="728"/>
        <v>0</v>
      </c>
      <c r="FG112" s="57">
        <f t="shared" si="729"/>
        <v>0</v>
      </c>
      <c r="FH112" s="1029">
        <f t="shared" si="548"/>
        <v>0</v>
      </c>
      <c r="FI112" s="57">
        <f t="shared" si="549"/>
        <v>0</v>
      </c>
      <c r="FJ112" s="171" t="str">
        <f t="shared" si="550"/>
        <v/>
      </c>
      <c r="FK112" s="57">
        <f t="shared" si="730"/>
        <v>0</v>
      </c>
      <c r="FL112" s="57">
        <f>IF(OR(AND(EZ$6=1,$L112=0),AND(EZ$6=2,$K112=2,$G112=1)),0,IF(AND(FB$9=2,(OR($F112&gt;1,$K112=1,AND($L112=80,OR($N112=1,AND($N112=2,'#BerechnungDBE'!$AL103&gt;0)))))),IF(EZ$4&gt;=$AD$126,0,FJ112),IF(FB$9=3,IF(OR(EZ$4&gt;=$AD$127,AND($G112=1,$J112=2,EZ$6=2),AND(EZ$6=1,$N112&lt;&gt;1)),0,IF(FD112&lt;=120,FJ112,IF(EZ$4&lt;$AD$124,IF($F112=1,60/FB$4*FB$6,60/FB$4*FB$7),IF($F112=1,120/FB$4*FB$6,120/FB$4*FB$7)))),IF(OR($F112=3,$G112=2),IF(OR(AND(EZ$4&gt;=$AD$119,$C112=2),AND(EZ$4&gt;=$AF$119,$C112=1)),0,IF(FD112&lt;=60,FJ112,60/FB$4*FB$7)),IF(AND($F112=2,$G112=1),FJ112,0)))))</f>
        <v>0</v>
      </c>
      <c r="FM112" s="57" t="str">
        <f t="shared" si="551"/>
        <v/>
      </c>
      <c r="FN112" s="57" t="str">
        <f t="shared" si="552"/>
        <v/>
      </c>
      <c r="FO112" s="713">
        <f>'org. Düngung 22'!AV111</f>
        <v>0</v>
      </c>
      <c r="FP112" s="57"/>
      <c r="FQ112" s="57"/>
      <c r="FR112" s="57">
        <f t="shared" si="553"/>
        <v>0</v>
      </c>
      <c r="FS112" s="57">
        <f t="shared" si="731"/>
        <v>0</v>
      </c>
      <c r="FT112" s="57">
        <f t="shared" si="732"/>
        <v>0</v>
      </c>
      <c r="FU112" s="57">
        <f t="shared" si="733"/>
        <v>0</v>
      </c>
      <c r="FV112" s="57">
        <f t="shared" si="734"/>
        <v>0</v>
      </c>
      <c r="FW112" s="1029">
        <f t="shared" si="554"/>
        <v>0</v>
      </c>
      <c r="FX112" s="57">
        <f t="shared" si="555"/>
        <v>0</v>
      </c>
      <c r="FY112" s="171" t="str">
        <f t="shared" si="556"/>
        <v/>
      </c>
      <c r="FZ112" s="57">
        <f t="shared" si="735"/>
        <v>0</v>
      </c>
      <c r="GA112" s="57">
        <f>IF(OR(AND(FO$6=1,$L112=0),AND(FO$6=2,$K112=2,$G112=1)),0,IF(AND(FQ$9=2,(OR($F112&gt;1,$K112=1,AND($L112=80,OR($N112=1,AND($N112=2,'#BerechnungDBE'!$AL103&gt;0)))))),IF(FO$4&gt;=$AD$126,0,FY112),IF(FQ$9=3,IF(OR(FO$4&gt;=$AD$127,AND($G112=1,$J112=2,FO$6=2),AND(FO$6=1,$N112&lt;&gt;1)),0,IF(FS112&lt;=120,FY112,IF(FO$4&lt;$AD$124,IF($F112=1,60/FQ$4*FQ$6,60/FQ$4*FQ$7),IF($F112=1,120/FQ$4*FQ$6,120/FQ$4*FQ$7)))),IF(OR($F112=3,$G112=2),IF(OR(AND(FO$4&gt;=$AD$119,$C112=2),AND(FO$4&gt;=$AF$119,$C112=1)),0,IF(FS112&lt;=60,FY112,60/FQ$4*FQ$7)),IF(AND($F112=2,$G112=1),FY112,0)))))</f>
        <v>0</v>
      </c>
      <c r="GB112" s="57" t="str">
        <f t="shared" si="557"/>
        <v/>
      </c>
      <c r="GC112" s="57" t="str">
        <f t="shared" si="558"/>
        <v/>
      </c>
      <c r="GD112" s="713">
        <f>'org. Düngung 22'!AZ111</f>
        <v>0</v>
      </c>
      <c r="GE112" s="57"/>
      <c r="GF112" s="57"/>
      <c r="GG112" s="57">
        <f t="shared" si="559"/>
        <v>0</v>
      </c>
      <c r="GH112" s="57">
        <f t="shared" si="736"/>
        <v>0</v>
      </c>
      <c r="GI112" s="57">
        <f t="shared" si="737"/>
        <v>0</v>
      </c>
      <c r="GJ112" s="57">
        <f t="shared" si="738"/>
        <v>0</v>
      </c>
      <c r="GK112" s="57">
        <f t="shared" si="739"/>
        <v>0</v>
      </c>
      <c r="GL112" s="1029">
        <f t="shared" si="560"/>
        <v>0</v>
      </c>
      <c r="GM112" s="57">
        <f t="shared" si="561"/>
        <v>0</v>
      </c>
      <c r="GN112" s="171" t="str">
        <f t="shared" si="562"/>
        <v/>
      </c>
      <c r="GO112" s="57">
        <f t="shared" si="740"/>
        <v>0</v>
      </c>
      <c r="GP112" s="57">
        <f>IF(OR(AND(GD$6=1,$L112=0),AND(GD$6=2,$K112=2,$G112=1)),0,IF(AND(GF$9=2,(OR($F112&gt;1,$K112=1,AND($L112=80,OR($N112=1,AND($N112=2,'#BerechnungDBE'!$AL103&gt;0)))))),IF(GD$4&gt;=$AD$126,0,GN112),IF(GF$9=3,IF(OR(GD$4&gt;=$AD$127,AND($G112=1,$J112=2,GD$6=2),AND(GD$6=1,$N112&lt;&gt;1)),0,IF(GH112&lt;=120,GN112,IF(GD$4&lt;$AD$124,IF($F112=1,60/GF$4*GF$6,60/GF$4*GF$7),IF($F112=1,120/GF$4*GF$6,120/GF$4*GF$7)))),IF(OR($F112=3,$G112=2),IF(OR(AND(GD$4&gt;=$AD$119,$C112=2),AND(GD$4&gt;=$AF$119,$C112=1)),0,IF(GH112&lt;=60,GN112,60/GF$4*GF$7)),IF(AND($F112=2,$G112=1),GN112,0)))))</f>
        <v>0</v>
      </c>
      <c r="GQ112" s="57" t="str">
        <f t="shared" si="563"/>
        <v/>
      </c>
      <c r="GR112" s="57" t="str">
        <f t="shared" si="564"/>
        <v/>
      </c>
      <c r="GS112" s="713">
        <f>'org. Düngung 22'!BD111</f>
        <v>0</v>
      </c>
      <c r="GT112" s="57"/>
      <c r="GU112" s="57"/>
      <c r="GV112" s="57">
        <f t="shared" si="565"/>
        <v>0</v>
      </c>
      <c r="GW112" s="57">
        <f t="shared" si="741"/>
        <v>0</v>
      </c>
      <c r="GX112" s="57">
        <f t="shared" si="742"/>
        <v>0</v>
      </c>
      <c r="GY112" s="57">
        <f t="shared" si="743"/>
        <v>0</v>
      </c>
      <c r="GZ112" s="57">
        <f t="shared" si="744"/>
        <v>0</v>
      </c>
      <c r="HA112" s="1029">
        <f t="shared" si="566"/>
        <v>0</v>
      </c>
      <c r="HB112" s="57">
        <f t="shared" si="567"/>
        <v>0</v>
      </c>
      <c r="HC112" s="171" t="str">
        <f t="shared" si="568"/>
        <v/>
      </c>
      <c r="HD112" s="57">
        <f t="shared" si="745"/>
        <v>0</v>
      </c>
      <c r="HE112" s="57">
        <f>IF(OR(AND(GS$6=1,$L112=0),AND(GS$6=2,$K112=2,$G112=1)),0,IF(AND(GU$9=2,(OR($F112&gt;1,$K112=1,AND($L112=80,OR($N112=1,AND($N112=2,'#BerechnungDBE'!$AL103&gt;0)))))),IF(GS$4&gt;=$AD$126,0,HC112),IF(GU$9=3,IF(OR(GS$4&gt;=$AD$127,AND($G112=1,$J112=2,GS$6=2),AND(GS$6=1,$N112&lt;&gt;1)),0,IF(GW112&lt;=120,HC112,IF(GS$4&lt;$AD$124,IF($F112=1,60/GU$4*GU$6,60/GU$4*GU$7),IF($F112=1,120/GU$4*GU$6,120/GU$4*GU$7)))),IF(OR($F112=3,$G112=2),IF(OR(AND(GS$4&gt;=$AD$119,$C112=2),AND(GS$4&gt;=$AF$119,$C112=1)),0,IF(GW112&lt;=60,HC112,60/GU$4*GU$7)),IF(AND($F112=2,$G112=1),HC112,0)))))</f>
        <v>0</v>
      </c>
      <c r="HF112" s="57" t="str">
        <f t="shared" si="569"/>
        <v/>
      </c>
      <c r="HG112" s="57" t="str">
        <f t="shared" si="570"/>
        <v/>
      </c>
      <c r="HH112" s="713">
        <f>'org. Düngung 22'!BH111</f>
        <v>0</v>
      </c>
      <c r="HI112" s="57"/>
      <c r="HJ112" s="57"/>
      <c r="HK112" s="57">
        <f t="shared" si="571"/>
        <v>0</v>
      </c>
      <c r="HL112" s="57">
        <f t="shared" si="746"/>
        <v>0</v>
      </c>
      <c r="HM112" s="57">
        <f t="shared" si="747"/>
        <v>0</v>
      </c>
      <c r="HN112" s="57">
        <f t="shared" si="748"/>
        <v>0</v>
      </c>
      <c r="HO112" s="57">
        <f t="shared" si="749"/>
        <v>0</v>
      </c>
      <c r="HP112" s="1029">
        <f t="shared" si="572"/>
        <v>0</v>
      </c>
      <c r="HQ112" s="57">
        <f t="shared" si="573"/>
        <v>0</v>
      </c>
      <c r="HR112" s="171" t="str">
        <f t="shared" si="574"/>
        <v/>
      </c>
      <c r="HS112" s="57">
        <f t="shared" si="750"/>
        <v>0</v>
      </c>
      <c r="HT112" s="57">
        <f>IF(OR(AND(HH$6=1,$L112=0),AND(HH$6=2,$K112=2,$G112=1)),0,IF(AND(HJ$9=2,(OR($F112&gt;1,$K112=1,AND($L112=80,OR($N112=1,AND($N112=2,'#BerechnungDBE'!$AL103&gt;0)))))),IF(HH$4&gt;=$AD$126,0,HR112),IF(HJ$9=3,IF(OR(HH$4&gt;=$AD$127,AND($G112=1,$J112=2,HH$6=2),AND(HH$6=1,$N112&lt;&gt;1)),0,IF(HL112&lt;=120,HR112,IF(HH$4&lt;$AD$124,IF($F112=1,60/HJ$4*HJ$6,60/HJ$4*HJ$7),IF($F112=1,120/HJ$4*HJ$6,120/HJ$4*HJ$7)))),IF(OR($F112=3,$G112=2),IF(OR(AND(HH$4&gt;=$AD$119,$C112=2),AND(HH$4&gt;=$AF$119,$C112=1)),0,IF(HL112&lt;=60,HR112,60/HJ$4*HJ$7)),IF(AND($F112=2,$G112=1),HR112,0)))))</f>
        <v>0</v>
      </c>
      <c r="HU112" s="57" t="str">
        <f t="shared" si="575"/>
        <v/>
      </c>
      <c r="HV112" s="57" t="str">
        <f t="shared" si="576"/>
        <v/>
      </c>
      <c r="HW112" s="713">
        <f>'org. Düngung 22'!BL111</f>
        <v>0</v>
      </c>
      <c r="HX112" s="57"/>
      <c r="HY112" s="57"/>
      <c r="HZ112" s="57">
        <f t="shared" si="577"/>
        <v>0</v>
      </c>
      <c r="IA112" s="57">
        <f t="shared" si="751"/>
        <v>0</v>
      </c>
      <c r="IB112" s="57">
        <f t="shared" si="752"/>
        <v>0</v>
      </c>
      <c r="IC112" s="57">
        <f t="shared" si="753"/>
        <v>0</v>
      </c>
      <c r="ID112" s="57">
        <f t="shared" si="754"/>
        <v>0</v>
      </c>
      <c r="IE112" s="1029">
        <f t="shared" si="578"/>
        <v>0</v>
      </c>
      <c r="IF112" s="57">
        <f t="shared" si="579"/>
        <v>0</v>
      </c>
      <c r="IG112" s="171" t="str">
        <f t="shared" si="580"/>
        <v/>
      </c>
      <c r="IH112" s="57">
        <f t="shared" si="755"/>
        <v>0</v>
      </c>
      <c r="II112" s="57">
        <f>IF(OR(AND(HW$6=1,$L112=0),AND(HW$6=2,$K112=2,$G112=1)),0,IF(AND(HY$9=2,(OR($F112&gt;1,$K112=1,AND($L112=80,OR($N112=1,AND($N112=2,'#BerechnungDBE'!$AL103&gt;0)))))),IF(HW$4&gt;=$AD$126,0,IG112),IF(HY$9=3,IF(OR(HW$4&gt;=$AD$127,AND($G112=1,$J112=2,HW$6=2),AND(HW$6=1,$N112&lt;&gt;1)),0,IF(IA112&lt;=120,IG112,IF(HW$4&lt;$AD$124,IF($F112=1,60/HY$4*HY$6,60/HY$4*HY$7),IF($F112=1,120/HY$4*HY$6,120/HY$4*HY$7)))),IF(OR($F112=3,$G112=2),IF(OR(AND(HW$4&gt;=$AD$119,$C112=2),AND(HW$4&gt;=$AF$119,$C112=1)),0,IF(IA112&lt;=60,IG112,60/HY$4*HY$7)),IF(AND($F112=2,$G112=1),IG112,0)))))</f>
        <v>0</v>
      </c>
      <c r="IJ112" s="57" t="str">
        <f t="shared" si="581"/>
        <v/>
      </c>
      <c r="IK112" s="57" t="str">
        <f t="shared" si="582"/>
        <v/>
      </c>
      <c r="IL112" s="713">
        <f>'org. Düngung 22'!BP111</f>
        <v>0</v>
      </c>
      <c r="IM112" s="57"/>
      <c r="IN112" s="57"/>
      <c r="IO112" s="57">
        <f t="shared" si="583"/>
        <v>0</v>
      </c>
      <c r="IP112" s="57">
        <f t="shared" si="756"/>
        <v>0</v>
      </c>
      <c r="IQ112" s="57">
        <f t="shared" si="757"/>
        <v>0</v>
      </c>
      <c r="IR112" s="57">
        <f t="shared" si="758"/>
        <v>0</v>
      </c>
      <c r="IS112" s="57">
        <f t="shared" si="759"/>
        <v>0</v>
      </c>
      <c r="IT112" s="1029">
        <f t="shared" si="584"/>
        <v>0</v>
      </c>
      <c r="IU112" s="57">
        <f t="shared" si="585"/>
        <v>0</v>
      </c>
      <c r="IV112" s="171" t="str">
        <f t="shared" si="586"/>
        <v/>
      </c>
      <c r="IW112" s="57">
        <f t="shared" si="760"/>
        <v>0</v>
      </c>
      <c r="IX112" s="57">
        <f>IF(OR(AND(IL$6=1,$L112=0),AND(IL$6=2,$K112=2,$G112=1)),0,IF(AND(IN$9=2,(OR($F112&gt;1,$K112=1,AND($L112=80,OR($N112=1,AND($N112=2,'#BerechnungDBE'!$AL103&gt;0)))))),IF(IL$4&gt;=$AD$126,0,IV112),IF(IN$9=3,IF(OR(IL$4&gt;=$AD$127,AND($G112=1,$J112=2,IL$6=2),AND(IL$6=1,$N112&lt;&gt;1)),0,IF(IP112&lt;=120,IV112,IF(IL$4&lt;$AD$124,IF($F112=1,60/IN$4*IN$6,60/IN$4*IN$7),IF($F112=1,120/IN$4*IN$6,120/IN$4*IN$7)))),IF(OR($F112=3,$G112=2),IF(OR(AND(IL$4&gt;=$AD$119,$C112=2),AND(IL$4&gt;=$AF$119,$C112=1)),0,IF(IP112&lt;=60,IV112,60/IN$4*IN$7)),IF(AND($F112=2,$G112=1),IV112,0)))))</f>
        <v>0</v>
      </c>
      <c r="IY112" s="57" t="str">
        <f t="shared" si="587"/>
        <v/>
      </c>
      <c r="IZ112" s="57" t="str">
        <f t="shared" si="588"/>
        <v/>
      </c>
      <c r="JA112" s="713">
        <f>'org. Düngung 22'!BT111</f>
        <v>0</v>
      </c>
      <c r="JB112" s="57"/>
      <c r="JC112" s="57"/>
      <c r="JD112" s="57">
        <f t="shared" si="589"/>
        <v>0</v>
      </c>
      <c r="JE112" s="57">
        <f t="shared" si="761"/>
        <v>0</v>
      </c>
      <c r="JF112" s="57">
        <f t="shared" si="762"/>
        <v>0</v>
      </c>
      <c r="JG112" s="57">
        <f t="shared" si="763"/>
        <v>0</v>
      </c>
      <c r="JH112" s="57">
        <f t="shared" si="764"/>
        <v>0</v>
      </c>
      <c r="JI112" s="1029">
        <f t="shared" si="590"/>
        <v>0</v>
      </c>
      <c r="JJ112" s="57">
        <f t="shared" si="591"/>
        <v>0</v>
      </c>
      <c r="JK112" s="171" t="str">
        <f t="shared" si="592"/>
        <v/>
      </c>
      <c r="JL112" s="57">
        <f t="shared" si="765"/>
        <v>0</v>
      </c>
      <c r="JM112" s="57">
        <f>IF(OR(AND(JA$6=1,$L112=0),AND(JA$6=2,$K112=2,$G112=1)),0,IF(AND(JC$9=2,(OR($F112&gt;1,$K112=1,AND($L112=80,OR($N112=1,AND($N112=2,'#BerechnungDBE'!$AL103&gt;0)))))),IF(JA$4&gt;=$AD$126,0,JK112),IF(JC$9=3,IF(OR(JA$4&gt;=$AD$127,AND($G112=1,$J112=2,JA$6=2),AND(JA$6=1,$N112&lt;&gt;1)),0,IF(JE112&lt;=120,JK112,IF(JA$4&lt;$AD$124,IF($F112=1,60/JC$4*JC$6,60/JC$4*JC$7),IF($F112=1,120/JC$4*JC$6,120/JC$4*JC$7)))),IF(OR($F112=3,$G112=2),IF(OR(AND(JA$4&gt;=$AD$119,$C112=2),AND(JA$4&gt;=$AF$119,$C112=1)),0,IF(JE112&lt;=60,JK112,60/JC$4*JC$7)),IF(AND($F112=2,$G112=1),JK112,0)))))</f>
        <v>0</v>
      </c>
      <c r="JN112" s="57" t="str">
        <f t="shared" si="593"/>
        <v/>
      </c>
      <c r="JO112" s="57" t="str">
        <f t="shared" si="594"/>
        <v/>
      </c>
      <c r="JP112" s="713">
        <f>'org. Düngung 22'!BX111</f>
        <v>0</v>
      </c>
      <c r="JQ112" s="57"/>
      <c r="JR112" s="57"/>
      <c r="JS112" s="57">
        <f t="shared" si="595"/>
        <v>0</v>
      </c>
      <c r="JT112" s="57">
        <f t="shared" si="766"/>
        <v>0</v>
      </c>
      <c r="JU112" s="57">
        <f t="shared" si="767"/>
        <v>0</v>
      </c>
      <c r="JV112" s="57">
        <f t="shared" si="768"/>
        <v>0</v>
      </c>
      <c r="JW112" s="57">
        <f t="shared" si="769"/>
        <v>0</v>
      </c>
      <c r="JX112" s="1029">
        <f t="shared" si="596"/>
        <v>0</v>
      </c>
      <c r="JY112" s="57">
        <f t="shared" si="597"/>
        <v>0</v>
      </c>
      <c r="JZ112" s="171" t="str">
        <f t="shared" si="598"/>
        <v/>
      </c>
      <c r="KA112" s="57">
        <f t="shared" si="770"/>
        <v>0</v>
      </c>
      <c r="KB112" s="57">
        <f>IF(OR(AND(JP$6=1,$L112=0),AND(JP$6=2,$K112=2,$G112=1)),0,IF(AND(JR$9=2,(OR($F112&gt;1,$K112=1,AND($L112=80,OR($N112=1,AND($N112=2,'#BerechnungDBE'!$AL103&gt;0)))))),IF(JP$4&gt;=$AD$126,0,JZ112),IF(JR$9=3,IF(OR(JP$4&gt;=$AD$127,AND($G112=1,$J112=2,JP$6=2),AND(JP$6=1,$N112&lt;&gt;1)),0,IF(JT112&lt;=120,JZ112,IF(JP$4&lt;$AD$124,IF($F112=1,60/JR$4*JR$6,60/JR$4*JR$7),IF($F112=1,120/JR$4*JR$6,120/JR$4*JR$7)))),IF(OR($F112=3,$G112=2),IF(OR(AND(JP$4&gt;=$AD$119,$C112=2),AND(JP$4&gt;=$AF$119,$C112=1)),0,IF(JT112&lt;=60,JZ112,60/JR$4*JR$7)),IF(AND($F112=2,$G112=1),JZ112,0)))))</f>
        <v>0</v>
      </c>
      <c r="KC112" s="57" t="str">
        <f t="shared" si="599"/>
        <v/>
      </c>
      <c r="KD112" s="57" t="str">
        <f t="shared" si="600"/>
        <v/>
      </c>
      <c r="KE112" s="713">
        <f>'org. Düngung 22'!CB111</f>
        <v>0</v>
      </c>
      <c r="KF112" s="57"/>
      <c r="KG112" s="57"/>
      <c r="KH112" s="57">
        <f t="shared" si="601"/>
        <v>0</v>
      </c>
      <c r="KI112" s="57">
        <f t="shared" si="771"/>
        <v>0</v>
      </c>
      <c r="KJ112" s="57">
        <f t="shared" si="772"/>
        <v>0</v>
      </c>
      <c r="KK112" s="57">
        <f t="shared" si="773"/>
        <v>0</v>
      </c>
      <c r="KL112" s="57">
        <f t="shared" si="774"/>
        <v>0</v>
      </c>
      <c r="KM112" s="1029">
        <f t="shared" si="602"/>
        <v>0</v>
      </c>
      <c r="KN112" s="57">
        <f t="shared" si="603"/>
        <v>0</v>
      </c>
      <c r="KO112" s="171" t="str">
        <f t="shared" si="604"/>
        <v/>
      </c>
      <c r="KP112" s="57">
        <f t="shared" si="775"/>
        <v>0</v>
      </c>
      <c r="KQ112" s="57">
        <f>IF(OR(AND(KE$6=1,$L112=0),AND(KE$6=2,$K112=2,$G112=1)),0,IF(AND(KG$9=2,(OR($F112&gt;1,$K112=1,AND($L112=80,OR($N112=1,AND($N112=2,'#BerechnungDBE'!$AL103&gt;0)))))),IF(KE$4&gt;=$AD$126,0,KO112),IF(KG$9=3,IF(OR(KE$4&gt;=$AD$127,AND($G112=1,$J112=2,KE$6=2),AND(KE$6=1,$N112&lt;&gt;1)),0,IF(KI112&lt;=120,KO112,IF(KE$4&lt;$AD$124,IF($F112=1,60/KG$4*KG$6,60/KG$4*KG$7),IF($F112=1,120/KG$4*KG$6,120/KG$4*KG$7)))),IF(OR($F112=3,$G112=2),IF(OR(AND(KE$4&gt;=$AD$119,$C112=2),AND(KE$4&gt;=$AF$119,$C112=1)),0,IF(KI112&lt;=60,KO112,60/KG$4*KG$7)),IF(AND($F112=2,$G112=1),KO112,0)))))</f>
        <v>0</v>
      </c>
      <c r="KR112" s="57" t="str">
        <f t="shared" si="605"/>
        <v/>
      </c>
      <c r="KS112" s="57" t="str">
        <f t="shared" si="606"/>
        <v/>
      </c>
      <c r="KT112" s="713">
        <f>'org. Düngung 22'!CF111</f>
        <v>0</v>
      </c>
      <c r="KU112" s="57"/>
      <c r="KV112" s="57"/>
      <c r="KW112" s="57">
        <f t="shared" si="607"/>
        <v>0</v>
      </c>
      <c r="KX112" s="57">
        <f t="shared" si="776"/>
        <v>0</v>
      </c>
      <c r="KY112" s="57">
        <f t="shared" si="777"/>
        <v>0</v>
      </c>
      <c r="KZ112" s="57">
        <f t="shared" si="778"/>
        <v>0</v>
      </c>
      <c r="LA112" s="57">
        <f t="shared" si="779"/>
        <v>0</v>
      </c>
      <c r="LB112" s="1029">
        <f t="shared" si="608"/>
        <v>0</v>
      </c>
      <c r="LC112" s="57">
        <f t="shared" si="609"/>
        <v>0</v>
      </c>
      <c r="LD112" s="171" t="str">
        <f t="shared" si="610"/>
        <v/>
      </c>
      <c r="LE112" s="57">
        <f t="shared" si="780"/>
        <v>0</v>
      </c>
      <c r="LF112" s="57">
        <f>IF(OR(AND(KT$6=1,$L112=0),AND(KT$6=2,$K112=2,$G112=1)),0,IF(AND(KV$9=2,(OR($F112&gt;1,$K112=1,AND($L112=80,OR($N112=1,AND($N112=2,'#BerechnungDBE'!$AL103&gt;0)))))),IF(KT$4&gt;=$AD$126,0,LD112),IF(KV$9=3,IF(OR(KT$4&gt;=$AD$127,AND($G112=1,$J112=2,KT$6=2),AND(KT$6=1,$N112&lt;&gt;1)),0,IF(KX112&lt;=120,LD112,IF(KT$4&lt;$AD$124,IF($F112=1,60/KV$4*KV$6,60/KV$4*KV$7),IF($F112=1,120/KV$4*KV$6,120/KV$4*KV$7)))),IF(OR($F112=3,$G112=2),IF(OR(AND(KT$4&gt;=$AD$119,$C112=2),AND(KT$4&gt;=$AF$119,$C112=1)),0,IF(KX112&lt;=60,LD112,60/KV$4*KV$7)),IF(AND($F112=2,$G112=1),LD112,0)))))</f>
        <v>0</v>
      </c>
      <c r="LG112" s="57" t="str">
        <f t="shared" si="611"/>
        <v/>
      </c>
      <c r="LH112" s="57" t="str">
        <f t="shared" si="612"/>
        <v/>
      </c>
      <c r="LI112" s="713">
        <f>'org. Düngung 22'!CJ111</f>
        <v>0</v>
      </c>
      <c r="LJ112" s="57"/>
      <c r="LK112" s="57"/>
      <c r="LL112" s="57">
        <f t="shared" si="613"/>
        <v>0</v>
      </c>
      <c r="LM112" s="57">
        <f t="shared" si="781"/>
        <v>0</v>
      </c>
      <c r="LN112" s="57">
        <f t="shared" si="782"/>
        <v>0</v>
      </c>
      <c r="LO112" s="57">
        <f t="shared" si="783"/>
        <v>0</v>
      </c>
      <c r="LP112" s="57">
        <f t="shared" si="784"/>
        <v>0</v>
      </c>
      <c r="LQ112" s="1029">
        <f t="shared" si="614"/>
        <v>0</v>
      </c>
      <c r="LR112" s="57">
        <f t="shared" si="615"/>
        <v>0</v>
      </c>
      <c r="LS112" s="171" t="str">
        <f t="shared" si="616"/>
        <v/>
      </c>
      <c r="LT112" s="57">
        <f t="shared" si="785"/>
        <v>0</v>
      </c>
      <c r="LU112" s="57">
        <f>IF(OR(AND(LI$6=1,$L112=0),AND(LI$6=2,$K112=2,$G112=1)),0,IF(AND(LK$9=2,(OR($F112&gt;1,$K112=1,AND($L112=80,OR($N112=1,AND($N112=2,'#BerechnungDBE'!$AL103&gt;0)))))),IF(LI$4&gt;=$AD$126,0,LS112),IF(LK$9=3,IF(OR(LI$4&gt;=$AD$127,AND($G112=1,$J112=2,LI$6=2),AND(LI$6=1,$N112&lt;&gt;1)),0,IF(LM112&lt;=120,LS112,IF(LI$4&lt;$AD$124,IF($F112=1,60/LK$4*LK$6,60/LK$4*LK$7),IF($F112=1,120/LK$4*LK$6,120/LK$4*LK$7)))),IF(OR($F112=3,$G112=2),IF(OR(AND(LI$4&gt;=$AD$119,$C112=2),AND(LI$4&gt;=$AF$119,$C112=1)),0,IF(LM112&lt;=60,LS112,60/LK$4*LK$7)),IF(AND($F112=2,$G112=1),LS112,0)))))</f>
        <v>0</v>
      </c>
      <c r="LV112" s="57" t="str">
        <f t="shared" si="617"/>
        <v/>
      </c>
      <c r="LW112" s="57" t="str">
        <f t="shared" si="618"/>
        <v/>
      </c>
      <c r="LX112" s="713">
        <f>'org. Düngung 22'!CN111</f>
        <v>0</v>
      </c>
      <c r="LY112" s="57"/>
      <c r="LZ112" s="57"/>
      <c r="MA112" s="57">
        <f t="shared" si="619"/>
        <v>0</v>
      </c>
      <c r="MB112" s="57">
        <f t="shared" si="786"/>
        <v>0</v>
      </c>
      <c r="MC112" s="57">
        <f t="shared" si="787"/>
        <v>0</v>
      </c>
      <c r="MD112" s="57">
        <f t="shared" si="788"/>
        <v>0</v>
      </c>
      <c r="ME112" s="57">
        <f t="shared" si="789"/>
        <v>0</v>
      </c>
      <c r="MF112" s="1029">
        <f t="shared" si="620"/>
        <v>0</v>
      </c>
      <c r="MG112" s="57">
        <f t="shared" si="621"/>
        <v>0</v>
      </c>
      <c r="MH112" s="171" t="str">
        <f t="shared" si="622"/>
        <v/>
      </c>
      <c r="MI112" s="57">
        <f t="shared" si="790"/>
        <v>0</v>
      </c>
      <c r="MJ112" s="57">
        <f>IF(OR(AND(LX$6=1,$L112=0),AND(LX$6=2,$K112=2,$G112=1)),0,IF(AND(LZ$9=2,(OR($F112&gt;1,$K112=1,AND($L112=80,OR($N112=1,AND($N112=2,'#BerechnungDBE'!$AL103&gt;0)))))),IF(LX$4&gt;=$AD$126,0,MH112),IF(LZ$9=3,IF(OR(LX$4&gt;=$AD$127,AND($G112=1,$J112=2,LX$6=2),AND(LX$6=1,$N112&lt;&gt;1)),0,IF(MB112&lt;=120,MH112,IF(LX$4&lt;$AD$124,IF($F112=1,60/LZ$4*LZ$6,60/LZ$4*LZ$7),IF($F112=1,120/LZ$4*LZ$6,120/LZ$4*LZ$7)))),IF(OR($F112=3,$G112=2),IF(OR(AND(LX$4&gt;=$AD$119,$C112=2),AND(LX$4&gt;=$AF$119,$C112=1)),0,IF(MB112&lt;=60,MH112,60/LZ$4*LZ$7)),IF(AND($F112=2,$G112=1),MH112,0)))))</f>
        <v>0</v>
      </c>
      <c r="MK112" s="57" t="str">
        <f t="shared" si="623"/>
        <v/>
      </c>
      <c r="ML112" s="57" t="str">
        <f t="shared" si="624"/>
        <v/>
      </c>
      <c r="MM112" s="713">
        <f>'org. Düngung 22'!CR111</f>
        <v>0</v>
      </c>
      <c r="MN112" s="57"/>
      <c r="MO112" s="57"/>
      <c r="MP112" s="57">
        <f t="shared" si="625"/>
        <v>0</v>
      </c>
      <c r="MQ112" s="57">
        <f t="shared" si="791"/>
        <v>0</v>
      </c>
      <c r="MR112" s="57">
        <f t="shared" si="792"/>
        <v>0</v>
      </c>
      <c r="MS112" s="57">
        <f t="shared" si="793"/>
        <v>0</v>
      </c>
      <c r="MT112" s="57">
        <f t="shared" si="794"/>
        <v>0</v>
      </c>
      <c r="MU112" s="1029">
        <f t="shared" si="626"/>
        <v>0</v>
      </c>
      <c r="MV112" s="57">
        <f t="shared" si="627"/>
        <v>0</v>
      </c>
      <c r="MW112" s="171" t="str">
        <f t="shared" si="628"/>
        <v/>
      </c>
      <c r="MX112" s="57">
        <f t="shared" si="795"/>
        <v>0</v>
      </c>
      <c r="MY112" s="57">
        <f>IF(OR(AND(MM$6=1,$L112=0),AND(MM$6=2,$K112=2,$G112=1)),0,IF(AND(MO$9=2,(OR($F112&gt;1,$K112=1,AND($L112=80,OR($N112=1,AND($N112=2,'#BerechnungDBE'!$AL103&gt;0)))))),IF(MM$4&gt;=$AD$126,0,MW112),IF(MO$9=3,IF(OR(MM$4&gt;=$AD$127,AND($G112=1,$J112=2,MM$6=2),AND(MM$6=1,$N112&lt;&gt;1)),0,IF(MQ112&lt;=120,MW112,IF(MM$4&lt;$AD$124,IF($F112=1,60/MO$4*MO$6,60/MO$4*MO$7),IF($F112=1,120/MO$4*MO$6,120/MO$4*MO$7)))),IF(OR($F112=3,$G112=2),IF(OR(AND(MM$4&gt;=$AD$119,$C112=2),AND(MM$4&gt;=$AF$119,$C112=1)),0,IF(MQ112&lt;=60,MW112,60/MO$4*MO$7)),IF(AND($F112=2,$G112=1),MW112,0)))))</f>
        <v>0</v>
      </c>
      <c r="MZ112" s="57" t="str">
        <f t="shared" si="629"/>
        <v/>
      </c>
      <c r="NA112" s="57" t="str">
        <f t="shared" si="630"/>
        <v/>
      </c>
      <c r="NB112" s="713">
        <f>'org. Düngung 22'!CV111</f>
        <v>0</v>
      </c>
      <c r="NC112" s="57"/>
      <c r="ND112" s="57"/>
      <c r="NE112" s="57">
        <f t="shared" si="631"/>
        <v>0</v>
      </c>
      <c r="NF112" s="57">
        <f t="shared" si="796"/>
        <v>0</v>
      </c>
      <c r="NG112" s="57">
        <f t="shared" si="797"/>
        <v>0</v>
      </c>
      <c r="NH112" s="57">
        <f t="shared" si="798"/>
        <v>0</v>
      </c>
      <c r="NI112" s="57">
        <f t="shared" si="799"/>
        <v>0</v>
      </c>
      <c r="NJ112" s="1029">
        <f t="shared" si="632"/>
        <v>0</v>
      </c>
      <c r="NK112" s="57">
        <f t="shared" si="633"/>
        <v>0</v>
      </c>
      <c r="NL112" s="171" t="str">
        <f t="shared" si="634"/>
        <v/>
      </c>
      <c r="NM112" s="57">
        <f t="shared" si="800"/>
        <v>0</v>
      </c>
      <c r="NN112" s="57">
        <f>IF(OR(AND(NB$6=1,$L112=0),AND(NB$6=2,$K112=2,$G112=1)),0,IF(AND(ND$9=2,(OR($F112&gt;1,$K112=1,AND($L112=80,OR($N112=1,AND($N112=2,'#BerechnungDBE'!$AL103&gt;0)))))),IF(NB$4&gt;=$AD$126,0,NL112),IF(ND$9=3,IF(OR(NB$4&gt;=$AD$127,AND($G112=1,$J112=2,NB$6=2),AND(NB$6=1,$N112&lt;&gt;1)),0,IF(NF112&lt;=120,NL112,IF(NB$4&lt;$AD$124,IF($F112=1,60/ND$4*ND$6,60/ND$4*ND$7),IF($F112=1,120/ND$4*ND$6,120/ND$4*ND$7)))),IF(OR($F112=3,$G112=2),IF(OR(AND(NB$4&gt;=$AD$119,$C112=2),AND(NB$4&gt;=$AF$119,$C112=1)),0,IF(NF112&lt;=60,NL112,60/ND$4*ND$7)),IF(AND($F112=2,$G112=1),NL112,0)))))</f>
        <v>0</v>
      </c>
      <c r="NO112" s="57" t="str">
        <f t="shared" si="635"/>
        <v/>
      </c>
      <c r="NP112" s="57" t="str">
        <f t="shared" si="636"/>
        <v/>
      </c>
      <c r="NQ112" s="713">
        <f>'org. Düngung 22'!CZ111</f>
        <v>0</v>
      </c>
      <c r="NR112" s="57"/>
      <c r="NS112" s="57"/>
      <c r="NT112" s="57">
        <f t="shared" si="637"/>
        <v>0</v>
      </c>
      <c r="NU112" s="57">
        <f t="shared" si="801"/>
        <v>0</v>
      </c>
      <c r="NV112" s="57">
        <f t="shared" si="802"/>
        <v>0</v>
      </c>
      <c r="NW112" s="57">
        <f t="shared" si="803"/>
        <v>0</v>
      </c>
      <c r="NX112" s="57">
        <f t="shared" si="804"/>
        <v>0</v>
      </c>
      <c r="NY112" s="1029">
        <f t="shared" si="638"/>
        <v>0</v>
      </c>
      <c r="NZ112" s="57">
        <f t="shared" si="639"/>
        <v>0</v>
      </c>
      <c r="OA112" s="171" t="str">
        <f t="shared" si="640"/>
        <v/>
      </c>
      <c r="OB112" s="57">
        <f t="shared" si="805"/>
        <v>0</v>
      </c>
      <c r="OC112" s="57">
        <f>IF(OR(AND(NQ$6=1,$L112=0),AND(NQ$6=2,$K112=2,$G112=1)),0,IF(AND(NS$9=2,(OR($F112&gt;1,$K112=1,AND($L112=80,OR($N112=1,AND($N112=2,'#BerechnungDBE'!$AL103&gt;0)))))),IF(NQ$4&gt;=$AD$126,0,OA112),IF(NS$9=3,IF(OR(NQ$4&gt;=$AD$127,AND($G112=1,$J112=2,NQ$6=2),AND(NQ$6=1,$N112&lt;&gt;1)),0,IF(NU112&lt;=120,OA112,IF(NQ$4&lt;$AD$124,IF($F112=1,60/NS$4*NS$6,60/NS$4*NS$7),IF($F112=1,120/NS$4*NS$6,120/NS$4*NS$7)))),IF(OR($F112=3,$G112=2),IF(OR(AND(NQ$4&gt;=$AD$119,$C112=2),AND(NQ$4&gt;=$AF$119,$C112=1)),0,IF(NU112&lt;=60,OA112,60/NS$4*NS$7)),IF(AND($F112=2,$G112=1),OA112,0)))))</f>
        <v>0</v>
      </c>
      <c r="OD112" s="57" t="str">
        <f t="shared" si="641"/>
        <v/>
      </c>
      <c r="OE112" s="57" t="str">
        <f t="shared" si="642"/>
        <v/>
      </c>
      <c r="OF112" s="713">
        <f>'org. Düngung 22'!DD111</f>
        <v>0</v>
      </c>
      <c r="OG112" s="57"/>
      <c r="OH112" s="57"/>
      <c r="OI112" s="57">
        <f t="shared" si="643"/>
        <v>0</v>
      </c>
      <c r="OJ112" s="57">
        <f t="shared" si="806"/>
        <v>0</v>
      </c>
      <c r="OK112" s="57">
        <f t="shared" si="807"/>
        <v>0</v>
      </c>
      <c r="OL112" s="57">
        <f t="shared" si="808"/>
        <v>0</v>
      </c>
      <c r="OM112" s="57">
        <f t="shared" si="809"/>
        <v>0</v>
      </c>
      <c r="ON112" s="1029">
        <f t="shared" si="644"/>
        <v>0</v>
      </c>
      <c r="OO112" s="57">
        <f t="shared" si="645"/>
        <v>0</v>
      </c>
      <c r="OP112" s="171" t="str">
        <f t="shared" si="646"/>
        <v/>
      </c>
      <c r="OQ112" s="57">
        <f t="shared" si="810"/>
        <v>0</v>
      </c>
      <c r="OR112" s="57">
        <f>IF(OR(AND(OF$6=1,$L112=0),AND(OF$6=2,$K112=2,$G112=1)),0,IF(AND(OH$9=2,(OR($F112&gt;1,$K112=1,AND($L112=80,OR($N112=1,AND($N112=2,'#BerechnungDBE'!$AL103&gt;0)))))),IF(OF$4&gt;=$AD$126,0,OP112),IF(OH$9=3,IF(OR(OF$4&gt;=$AD$127,AND($G112=1,$J112=2,OF$6=2),AND(OF$6=1,$N112&lt;&gt;1)),0,IF(OJ112&lt;=120,OP112,IF(OF$4&lt;$AD$124,IF($F112=1,60/OH$4*OH$6,60/OH$4*OH$7),IF($F112=1,120/OH$4*OH$6,120/OH$4*OH$7)))),IF(OR($F112=3,$G112=2),IF(OR(AND(OF$4&gt;=$AD$119,$C112=2),AND(OF$4&gt;=$AF$119,$C112=1)),0,IF(OJ112&lt;=60,OP112,60/OH$4*OH$7)),IF(AND($F112=2,$G112=1),OP112,0)))))</f>
        <v>0</v>
      </c>
      <c r="OS112" s="57" t="str">
        <f t="shared" si="647"/>
        <v/>
      </c>
      <c r="OT112" s="57" t="str">
        <f t="shared" si="648"/>
        <v/>
      </c>
      <c r="OU112" s="713">
        <f>'org. Düngung 22'!DH111</f>
        <v>0</v>
      </c>
      <c r="OV112" s="57"/>
      <c r="OW112" s="57"/>
      <c r="OX112" s="57">
        <f t="shared" si="649"/>
        <v>0</v>
      </c>
      <c r="OY112" s="57">
        <f t="shared" si="811"/>
        <v>0</v>
      </c>
      <c r="OZ112" s="57">
        <f t="shared" si="812"/>
        <v>0</v>
      </c>
      <c r="PA112" s="57">
        <f t="shared" si="813"/>
        <v>0</v>
      </c>
      <c r="PB112" s="57">
        <f t="shared" si="814"/>
        <v>0</v>
      </c>
      <c r="PC112" s="1029">
        <f t="shared" si="650"/>
        <v>0</v>
      </c>
      <c r="PD112" s="57">
        <f t="shared" si="651"/>
        <v>0</v>
      </c>
      <c r="PE112" s="171" t="str">
        <f t="shared" si="652"/>
        <v/>
      </c>
      <c r="PF112" s="57">
        <f t="shared" si="815"/>
        <v>0</v>
      </c>
      <c r="PG112" s="57">
        <f>IF(OR(AND(OU$6=1,$L112=0),AND(OU$6=2,$K112=2,$G112=1)),0,IF(AND(OW$9=2,(OR($F112&gt;1,$K112=1,AND($L112=80,OR($N112=1,AND($N112=2,'#BerechnungDBE'!$AL103&gt;0)))))),IF(OU$4&gt;=$AD$126,0,PE112),IF(OW$9=3,IF(OR(OU$4&gt;=$AD$127,AND($G112=1,$J112=2,OU$6=2),AND(OU$6=1,$N112&lt;&gt;1)),0,IF(OY112&lt;=120,PE112,IF(OU$4&lt;$AD$124,IF($F112=1,60/OW$4*OW$6,60/OW$4*OW$7),IF($F112=1,120/OW$4*OW$6,120/OW$4*OW$7)))),IF(OR($F112=3,$G112=2),IF(OR(AND(OU$4&gt;=$AD$119,$C112=2),AND(OU$4&gt;=$AF$119,$C112=1)),0,IF(OY112&lt;=60,PE112,60/OW$4*OW$7)),IF(AND($F112=2,$G112=1),PE112,0)))))</f>
        <v>0</v>
      </c>
      <c r="PH112" s="57" t="str">
        <f t="shared" si="653"/>
        <v/>
      </c>
      <c r="PI112" s="57" t="str">
        <f t="shared" si="654"/>
        <v/>
      </c>
      <c r="PJ112" s="713">
        <f>'org. Düngung 22'!DL111</f>
        <v>0</v>
      </c>
      <c r="PK112" s="57"/>
      <c r="PL112" s="57"/>
      <c r="PM112" s="57">
        <f t="shared" si="655"/>
        <v>0</v>
      </c>
      <c r="PN112" s="57">
        <f t="shared" si="816"/>
        <v>0</v>
      </c>
      <c r="PO112" s="57">
        <f t="shared" si="817"/>
        <v>0</v>
      </c>
      <c r="PP112" s="57">
        <f t="shared" si="818"/>
        <v>0</v>
      </c>
      <c r="PQ112" s="57">
        <f t="shared" si="819"/>
        <v>0</v>
      </c>
      <c r="PR112" s="1029">
        <f t="shared" si="656"/>
        <v>0</v>
      </c>
      <c r="PS112" s="57">
        <f t="shared" si="657"/>
        <v>0</v>
      </c>
      <c r="PT112" s="171" t="str">
        <f t="shared" si="658"/>
        <v/>
      </c>
      <c r="PU112" s="57">
        <f t="shared" si="820"/>
        <v>0</v>
      </c>
      <c r="PV112" s="57">
        <f>IF(OR(AND(PJ$6=1,$L112=0),AND(PJ$6=2,$K112=2,$G112=1)),0,IF(AND(PL$9=2,(OR($F112&gt;1,$K112=1,AND($L112=80,OR($N112=1,AND($N112=2,'#BerechnungDBE'!$AL103&gt;0)))))),IF(PJ$4&gt;=$AD$126,0,PT112),IF(PL$9=3,IF(OR(PJ$4&gt;=$AD$127,AND($G112=1,$J112=2,PJ$6=2),AND(PJ$6=1,$N112&lt;&gt;1)),0,IF(PN112&lt;=120,PT112,IF(PJ$4&lt;$AD$124,IF($F112=1,60/PL$4*PL$6,60/PL$4*PL$7),IF($F112=1,120/PL$4*PL$6,120/PL$4*PL$7)))),IF(OR($F112=3,$G112=2),IF(OR(AND(PJ$4&gt;=$AD$119,$C112=2),AND(PJ$4&gt;=$AF$119,$C112=1)),0,IF(PN112&lt;=60,PT112,60/PL$4*PL$7)),IF(AND($F112=2,$G112=1),PT112,0)))))</f>
        <v>0</v>
      </c>
      <c r="PW112" s="57" t="str">
        <f t="shared" si="659"/>
        <v/>
      </c>
      <c r="PX112" s="57" t="str">
        <f t="shared" si="660"/>
        <v/>
      </c>
      <c r="PY112" s="713">
        <f>'org. Düngung 22'!DP111</f>
        <v>0</v>
      </c>
      <c r="PZ112" s="57"/>
      <c r="QA112" s="57"/>
      <c r="QB112" s="57">
        <f t="shared" si="661"/>
        <v>0</v>
      </c>
      <c r="QC112" s="57">
        <f t="shared" si="821"/>
        <v>0</v>
      </c>
      <c r="QD112" s="57">
        <f t="shared" si="822"/>
        <v>0</v>
      </c>
      <c r="QE112" s="57">
        <f t="shared" si="823"/>
        <v>0</v>
      </c>
      <c r="QF112" s="57">
        <f t="shared" si="824"/>
        <v>0</v>
      </c>
      <c r="QG112" s="1029">
        <f t="shared" si="662"/>
        <v>0</v>
      </c>
      <c r="QH112" s="57">
        <f t="shared" si="663"/>
        <v>0</v>
      </c>
      <c r="QI112" s="171" t="str">
        <f t="shared" si="664"/>
        <v/>
      </c>
      <c r="QJ112" s="57">
        <f t="shared" si="825"/>
        <v>0</v>
      </c>
      <c r="QK112" s="57">
        <f>IF(OR(AND(PY$6=1,$L112=0),AND(PY$6=2,$K112=2,$G112=1)),0,IF(AND(QA$9=2,(OR($F112&gt;1,$K112=1,AND($L112=80,OR($N112=1,AND($N112=2,'#BerechnungDBE'!$AL103&gt;0)))))),IF(PY$4&gt;=$AD$126,0,QI112),IF(QA$9=3,IF(OR(PY$4&gt;=$AD$127,AND($G112=1,$J112=2,PY$6=2),AND(PY$6=1,$N112&lt;&gt;1)),0,IF(QC112&lt;=120,QI112,IF(PY$4&lt;$AD$124,IF($F112=1,60/QA$4*QA$6,60/QA$4*QA$7),IF($F112=1,120/QA$4*QA$6,120/QA$4*QA$7)))),IF(OR($F112=3,$G112=2),IF(OR(AND(PY$4&gt;=$AD$119,$C112=2),AND(PY$4&gt;=$AF$119,$C112=1)),0,IF(QC112&lt;=60,QI112,60/QA$4*QA$7)),IF(AND($F112=2,$G112=1),QI112,0)))))</f>
        <v>0</v>
      </c>
      <c r="QL112" s="57" t="str">
        <f t="shared" si="665"/>
        <v/>
      </c>
      <c r="QM112" s="57" t="str">
        <f t="shared" si="666"/>
        <v/>
      </c>
      <c r="QN112" s="713">
        <f>'org. Düngung 22'!DT111</f>
        <v>0</v>
      </c>
      <c r="QO112" s="57"/>
      <c r="QP112" s="57"/>
      <c r="QQ112" s="57">
        <f t="shared" si="667"/>
        <v>0</v>
      </c>
      <c r="QR112" s="57">
        <f t="shared" si="826"/>
        <v>0</v>
      </c>
      <c r="QS112" s="57">
        <f t="shared" si="827"/>
        <v>0</v>
      </c>
      <c r="QT112" s="57">
        <f t="shared" si="828"/>
        <v>0</v>
      </c>
      <c r="QU112" s="57">
        <f t="shared" si="829"/>
        <v>0</v>
      </c>
      <c r="QV112" s="1029">
        <f t="shared" si="668"/>
        <v>0</v>
      </c>
      <c r="QW112" s="57">
        <f t="shared" si="669"/>
        <v>0</v>
      </c>
      <c r="QX112" s="171" t="str">
        <f t="shared" si="670"/>
        <v/>
      </c>
      <c r="QY112" s="57">
        <f t="shared" si="830"/>
        <v>0</v>
      </c>
      <c r="QZ112" s="57">
        <f>IF(OR(AND(QN$6=1,$L112=0),AND(QN$6=2,$K112=2,$G112=1)),0,IF(AND(QP$9=2,(OR($F112&gt;1,$K112=1,AND($L112=80,OR($N112=1,AND($N112=2,'#BerechnungDBE'!$AL103&gt;0)))))),IF(QN$4&gt;=$AD$126,0,QX112),IF(QP$9=3,IF(OR(QN$4&gt;=$AD$127,AND($G112=1,$J112=2,QN$6=2),AND(QN$6=1,$N112&lt;&gt;1)),0,IF(QR112&lt;=120,QX112,IF(QN$4&lt;$AD$124,IF($F112=1,60/QP$4*QP$6,60/QP$4*QP$7),IF($F112=1,120/QP$4*QP$6,120/QP$4*QP$7)))),IF(OR($F112=3,$G112=2),IF(OR(AND(QN$4&gt;=$AD$119,$C112=2),AND(QN$4&gt;=$AF$119,$C112=1)),0,IF(QR112&lt;=60,QX112,60/QP$4*QP$7)),IF(AND($F112=2,$G112=1),QX112,0)))))</f>
        <v>0</v>
      </c>
      <c r="RA112" s="57" t="str">
        <f t="shared" si="671"/>
        <v/>
      </c>
      <c r="RB112" s="57" t="str">
        <f t="shared" si="672"/>
        <v/>
      </c>
      <c r="RC112" s="713">
        <f>'org. Düngung 22'!DX111</f>
        <v>0</v>
      </c>
      <c r="RD112" s="57"/>
      <c r="RE112" s="57"/>
      <c r="RF112" s="57">
        <f t="shared" si="673"/>
        <v>0</v>
      </c>
      <c r="RG112" s="57">
        <f t="shared" si="831"/>
        <v>0</v>
      </c>
      <c r="RH112" s="57">
        <f t="shared" si="832"/>
        <v>0</v>
      </c>
      <c r="RI112" s="57">
        <f t="shared" si="833"/>
        <v>0</v>
      </c>
      <c r="RJ112" s="57">
        <f t="shared" si="834"/>
        <v>0</v>
      </c>
      <c r="RK112" s="1029">
        <f t="shared" si="674"/>
        <v>0</v>
      </c>
      <c r="RL112" s="57">
        <f t="shared" si="675"/>
        <v>0</v>
      </c>
      <c r="RM112" s="171" t="str">
        <f t="shared" si="676"/>
        <v/>
      </c>
      <c r="RN112" s="57">
        <f t="shared" si="835"/>
        <v>0</v>
      </c>
      <c r="RO112" s="57">
        <f>IF(OR(AND(RC$6=1,$L112=0),AND(RC$6=2,$K112=2,$G112=1)),0,IF(AND(RE$9=2,(OR($F112&gt;1,$K112=1,AND($L112=80,OR($N112=1,AND($N112=2,'#BerechnungDBE'!$AL103&gt;0)))))),IF(RC$4&gt;=$AD$126,0,RM112),IF(RE$9=3,IF(OR(RC$4&gt;=$AD$127,AND($G112=1,$J112=2,RC$6=2),AND(RC$6=1,$N112&lt;&gt;1)),0,IF(RG112&lt;=120,RM112,IF(RC$4&lt;$AD$124,IF($F112=1,60/RE$4*RE$6,60/RE$4*RE$7),IF($F112=1,120/RE$4*RE$6,120/RE$4*RE$7)))),IF(OR($F112=3,$G112=2),IF(OR(AND(RC$4&gt;=$AD$119,$C112=2),AND(RC$4&gt;=$AF$119,$C112=1)),0,IF(RG112&lt;=60,RM112,60/RE$4*RE$7)),IF(AND($F112=2,$G112=1),RM112,0)))))</f>
        <v>0</v>
      </c>
      <c r="RP112" s="57" t="str">
        <f t="shared" si="677"/>
        <v/>
      </c>
      <c r="RQ112" s="57" t="str">
        <f t="shared" si="678"/>
        <v/>
      </c>
      <c r="RS112" s="57" t="str">
        <f t="shared" si="836"/>
        <v/>
      </c>
      <c r="RT112" s="57" t="str">
        <f t="shared" si="679"/>
        <v/>
      </c>
      <c r="RU112" s="57" t="str">
        <f t="shared" si="680"/>
        <v/>
      </c>
      <c r="RV112" s="57" t="str">
        <f>IF(Z112&gt;'#BerechnungDBE'!BM103,$RV$9,"")</f>
        <v/>
      </c>
      <c r="RW112" s="57" t="str">
        <f>IF(AND(L112=70,AE112&gt;'#BerechnungDBE'!CQ103),$RW$9,"")</f>
        <v/>
      </c>
      <c r="RX112" s="57" t="str">
        <f>IF(OR('org. Düngung 22'!G111="--",'org. Düngung 22'!G111&lt;=170,'org. Düngung 22'!G111=""),"",$RX$9)</f>
        <v/>
      </c>
      <c r="RY112" s="57" t="str">
        <f>IF('org. Düngung 22'!K111&gt;120,'#orgDung'!$RY$9,"")</f>
        <v/>
      </c>
      <c r="RZ112" s="57" t="str">
        <f>IF('#BerechnungDBE'!P103&lt;4,"",IF(AND('#BerechnungDBE'!BZ103&gt;0,T112&gt;0),'#orgDung'!$RZ$9,""))</f>
        <v/>
      </c>
      <c r="SA112" s="57" t="str">
        <f t="shared" si="681"/>
        <v/>
      </c>
    </row>
    <row r="113" spans="1:495" s="875" customFormat="1" x14ac:dyDescent="0.2">
      <c r="A113" s="875">
        <f>'Flächen u. Kulturen'!A109</f>
        <v>100</v>
      </c>
      <c r="B113" s="367">
        <f>'#BerechnungDBE'!L104</f>
        <v>0</v>
      </c>
      <c r="C113" s="875">
        <f>'#BerechnungDBE'!R104</f>
        <v>1</v>
      </c>
      <c r="D113" s="875">
        <f>'#BerechnungDBE'!T104</f>
        <v>2</v>
      </c>
      <c r="E113" s="875" t="str">
        <f>'Flächen u. Kulturen'!E109</f>
        <v>x</v>
      </c>
      <c r="F113" s="52">
        <f>'#BerechnungDBE'!N104</f>
        <v>1</v>
      </c>
      <c r="G113" s="52">
        <f>'#BerechnungDBE'!O104</f>
        <v>1</v>
      </c>
      <c r="H113" s="875">
        <f>IF('Flächen u. Kulturen'!P109="",0,VLOOKUP('Flächen u. Kulturen'!P109,Kulturen[[HF]:[Berechnungsgruppe]],'#Frucht'!$H$1,FALSE))</f>
        <v>0</v>
      </c>
      <c r="I113" s="875">
        <f>IF('Flächen u. Kulturen'!J109="",0,VLOOKUP('Flächen u. Kulturen'!J109,Kulturen[[HF]:[Berechnungsgruppe]],'#Frucht'!$G$1,FALSE))</f>
        <v>90</v>
      </c>
      <c r="J113" s="505">
        <f t="shared" si="682"/>
        <v>2</v>
      </c>
      <c r="K113" s="505">
        <f>IF('Flächen u. Kulturen'!P109="",0,IF(VLOOKUP('Flächen u. Kulturen'!P109,Kulturen[[HF]:[Saat Winterungen]],'#Frucht'!$P$1,FALSE)&gt;0,1,2))</f>
        <v>2</v>
      </c>
      <c r="L113" s="875">
        <f>'#BerechnungDBE'!AF104</f>
        <v>0</v>
      </c>
      <c r="M113" s="875">
        <f>IF('Flächen u. Kulturen'!L109="",0,VLOOKUP('Flächen u. Kulturen'!L109,Nebenkultur[[Nebenkultur]:[Legum. Zwischenfr.]],'#Zweitfr'!$K$1,FALSE))</f>
        <v>0</v>
      </c>
      <c r="N113" s="875">
        <f>'#BerechnungDBE'!AG104</f>
        <v>0</v>
      </c>
      <c r="P113" s="57">
        <f t="shared" si="489"/>
        <v>0</v>
      </c>
      <c r="Q113" s="57">
        <f t="shared" si="490"/>
        <v>0</v>
      </c>
      <c r="R113" s="875">
        <f t="shared" si="491"/>
        <v>0</v>
      </c>
      <c r="S113" s="938" t="str">
        <f t="shared" si="683"/>
        <v/>
      </c>
      <c r="T113" s="875">
        <f t="shared" si="492"/>
        <v>0</v>
      </c>
      <c r="U113" s="875">
        <f t="shared" si="493"/>
        <v>0</v>
      </c>
      <c r="V113" s="875">
        <f t="shared" si="494"/>
        <v>0</v>
      </c>
      <c r="W113" s="875">
        <f t="shared" si="495"/>
        <v>0</v>
      </c>
      <c r="X113" s="875">
        <f t="shared" si="496"/>
        <v>0</v>
      </c>
      <c r="Y113" s="875">
        <f t="shared" si="837"/>
        <v>0</v>
      </c>
      <c r="Z113" s="875">
        <f t="shared" si="838"/>
        <v>0</v>
      </c>
      <c r="AA113" s="910">
        <f t="shared" si="497"/>
        <v>0</v>
      </c>
      <c r="AB113" s="57">
        <f t="shared" si="839"/>
        <v>0</v>
      </c>
      <c r="AC113" s="875">
        <f t="shared" si="498"/>
        <v>0</v>
      </c>
      <c r="AD113" s="875">
        <f t="shared" si="499"/>
        <v>0</v>
      </c>
      <c r="AE113" s="875">
        <f t="shared" si="500"/>
        <v>0</v>
      </c>
      <c r="AF113" s="875">
        <f t="shared" si="840"/>
        <v>0</v>
      </c>
      <c r="AG113" s="875">
        <f>'org. Düngung 22'!J112</f>
        <v>0</v>
      </c>
      <c r="AH113" s="875">
        <f>'org. Düngung 22'!K112</f>
        <v>0</v>
      </c>
      <c r="AJ113" s="713">
        <f>'org. Düngung 22'!L112</f>
        <v>0</v>
      </c>
      <c r="AK113" s="57"/>
      <c r="AL113" s="57"/>
      <c r="AM113" s="57">
        <f t="shared" si="684"/>
        <v>0</v>
      </c>
      <c r="AN113" s="57">
        <f t="shared" si="685"/>
        <v>0</v>
      </c>
      <c r="AO113" s="57">
        <f t="shared" si="686"/>
        <v>0</v>
      </c>
      <c r="AP113" s="57">
        <f t="shared" si="687"/>
        <v>0</v>
      </c>
      <c r="AQ113" s="57">
        <f t="shared" si="688"/>
        <v>0</v>
      </c>
      <c r="AR113" s="1029">
        <f t="shared" si="501"/>
        <v>0</v>
      </c>
      <c r="AS113" s="57">
        <f t="shared" si="502"/>
        <v>0</v>
      </c>
      <c r="AT113" s="171" t="str">
        <f t="shared" si="503"/>
        <v/>
      </c>
      <c r="AU113" s="57">
        <f t="shared" si="689"/>
        <v>0</v>
      </c>
      <c r="AV113" s="57">
        <f>IF(OR(AND(AJ$6=1,$L113=0),AND(AJ$6=2,$K113=2,$G113=1)),0,IF(AND(AL$9=2,(OR($F113&gt;1,$K113=1,AND($L113=80,OR($N113=1,AND($N113=2,'#BerechnungDBE'!$AL104&gt;0)))))),IF(AJ$4&gt;=$AD$126,0,AT113),IF(AL$9=3,IF(OR(AJ$4&gt;=$AD$127,AND($G113=1,$J113=2,AJ$6=2),AND(AJ$6=1,$N113&lt;&gt;1)),0,IF(AN113&lt;=120,AT113,IF(AJ$4&lt;$AD$124,IF($F113=1,60/AL$4*AL$6,60/AL$4*AL$7),IF($F113=1,120/AL$4*AL$6,120/AL$4*AL$7)))),IF(OR($F113=3,$G113=2),IF(OR(AND(AJ$4&gt;=$AD$119,$C113=2),AND(AJ$4&gt;=$AF$119,$C113=1)),0,IF(AN113&lt;=60,AT113,60/AL$4*AL$7)),IF(AND($F113=2,$G113=1),AT113,0)))))</f>
        <v>0</v>
      </c>
      <c r="AW113" s="57" t="str">
        <f t="shared" si="690"/>
        <v/>
      </c>
      <c r="AX113" s="57" t="str">
        <f t="shared" si="504"/>
        <v/>
      </c>
      <c r="AY113" s="713">
        <f>'org. Düngung 22'!P112</f>
        <v>0</v>
      </c>
      <c r="AZ113" s="57"/>
      <c r="BA113" s="57"/>
      <c r="BB113" s="57">
        <f t="shared" si="505"/>
        <v>0</v>
      </c>
      <c r="BC113" s="57">
        <f t="shared" si="691"/>
        <v>0</v>
      </c>
      <c r="BD113" s="57">
        <f t="shared" si="692"/>
        <v>0</v>
      </c>
      <c r="BE113" s="57">
        <f t="shared" si="693"/>
        <v>0</v>
      </c>
      <c r="BF113" s="57">
        <f t="shared" si="694"/>
        <v>0</v>
      </c>
      <c r="BG113" s="1029">
        <f t="shared" si="506"/>
        <v>0</v>
      </c>
      <c r="BH113" s="57">
        <f t="shared" si="507"/>
        <v>0</v>
      </c>
      <c r="BI113" s="171" t="str">
        <f t="shared" si="508"/>
        <v/>
      </c>
      <c r="BJ113" s="57">
        <f t="shared" si="695"/>
        <v>0</v>
      </c>
      <c r="BK113" s="57">
        <f>IF(OR(AND(AY$6=1,$L113=0),AND(AY$6=2,$K113=2,$G113=1)),0,IF(AND(BA$9=2,(OR($F113&gt;1,$K113=1,AND($L113=80,OR($N113=1,AND($N113=2,'#BerechnungDBE'!$AL104&gt;0)))))),IF(AY$4&gt;=$AD$126,0,BI113),IF(BA$9=3,IF(OR(AY$4&gt;=$AD$127,AND($G113=1,$J113=2,AY$6=2),AND(AY$6=1,$N113&lt;&gt;1)),0,IF(BC113&lt;=120,BI113,IF(AY$4&lt;$AD$124,IF($F113=1,60/BA$4*BA$6,60/BA$4*BA$7),IF($F113=1,120/BA$4*BA$6,120/BA$4*BA$7)))),IF(OR($F113=3,$G113=2),IF(OR(AND(AY$4&gt;=$AD$119,$C113=2),AND(AY$4&gt;=$AF$119,$C113=1)),0,IF(BC113&lt;=60,BI113,60/BA$4*BA$7)),IF(AND($F113=2,$G113=1),BI113,0)))))</f>
        <v>0</v>
      </c>
      <c r="BL113" s="57" t="str">
        <f t="shared" si="509"/>
        <v/>
      </c>
      <c r="BM113" s="57" t="str">
        <f t="shared" si="510"/>
        <v/>
      </c>
      <c r="BN113" s="713">
        <f>'org. Düngung 22'!T112</f>
        <v>0</v>
      </c>
      <c r="BO113" s="57"/>
      <c r="BP113" s="57"/>
      <c r="BQ113" s="57">
        <f t="shared" si="511"/>
        <v>0</v>
      </c>
      <c r="BR113" s="57">
        <f t="shared" si="696"/>
        <v>0</v>
      </c>
      <c r="BS113" s="57">
        <f t="shared" si="697"/>
        <v>0</v>
      </c>
      <c r="BT113" s="57">
        <f t="shared" si="698"/>
        <v>0</v>
      </c>
      <c r="BU113" s="57">
        <f t="shared" si="699"/>
        <v>0</v>
      </c>
      <c r="BV113" s="1029">
        <f t="shared" si="512"/>
        <v>0</v>
      </c>
      <c r="BW113" s="57">
        <f t="shared" si="513"/>
        <v>0</v>
      </c>
      <c r="BX113" s="171" t="str">
        <f t="shared" si="514"/>
        <v/>
      </c>
      <c r="BY113" s="57">
        <f t="shared" si="700"/>
        <v>0</v>
      </c>
      <c r="BZ113" s="57">
        <f>IF(OR(AND(BN$6=1,$L113=0),AND(BN$6=2,$K113=2,$G113=1)),0,IF(AND(BP$9=2,(OR($F113&gt;1,$K113=1,AND($L113=80,OR($N113=1,AND($N113=2,'#BerechnungDBE'!$AL104&gt;0)))))),IF(BN$4&gt;=$AD$126,0,BX113),IF(BP$9=3,IF(OR(BN$4&gt;=$AD$127,AND($G113=1,$J113=2,BN$6=2),AND(BN$6=1,$N113&lt;&gt;1)),0,IF(BR113&lt;=120,BX113,IF(BN$4&lt;$AD$124,IF($F113=1,60/BP$4*BP$6,60/BP$4*BP$7),IF($F113=1,120/BP$4*BP$6,120/BP$4*BP$7)))),IF(OR($F113=3,$G113=2),IF(OR(AND(BN$4&gt;=$AD$119,$C113=2),AND(BN$4&gt;=$AF$119,$C113=1)),0,IF(BR113&lt;=60,BX113,60/BP$4*BP$7)),IF(AND($F113=2,$G113=1),BX113,0)))))</f>
        <v>0</v>
      </c>
      <c r="CA113" s="57" t="str">
        <f t="shared" si="515"/>
        <v/>
      </c>
      <c r="CB113" s="57" t="str">
        <f t="shared" si="516"/>
        <v/>
      </c>
      <c r="CC113" s="713">
        <f>'org. Düngung 22'!X112</f>
        <v>0</v>
      </c>
      <c r="CD113" s="57"/>
      <c r="CE113" s="57"/>
      <c r="CF113" s="57">
        <f t="shared" si="517"/>
        <v>0</v>
      </c>
      <c r="CG113" s="57">
        <f t="shared" si="701"/>
        <v>0</v>
      </c>
      <c r="CH113" s="57">
        <f t="shared" si="702"/>
        <v>0</v>
      </c>
      <c r="CI113" s="57">
        <f t="shared" si="703"/>
        <v>0</v>
      </c>
      <c r="CJ113" s="57">
        <f t="shared" si="704"/>
        <v>0</v>
      </c>
      <c r="CK113" s="1029">
        <f t="shared" si="518"/>
        <v>0</v>
      </c>
      <c r="CL113" s="57">
        <f t="shared" si="519"/>
        <v>0</v>
      </c>
      <c r="CM113" s="171" t="str">
        <f t="shared" si="520"/>
        <v/>
      </c>
      <c r="CN113" s="57">
        <f t="shared" si="705"/>
        <v>0</v>
      </c>
      <c r="CO113" s="57">
        <f>IF(OR(AND(CC$6=1,$L113=0),AND(CC$6=2,$K113=2,$G113=1)),0,IF(AND(CE$9=2,(OR($F113&gt;1,$K113=1,AND($L113=80,OR($N113=1,AND($N113=2,'#BerechnungDBE'!$AL104&gt;0)))))),IF(CC$4&gt;=$AD$126,0,CM113),IF(CE$9=3,IF(OR(CC$4&gt;=$AD$127,AND($G113=1,$J113=2,CC$6=2),AND(CC$6=1,$N113&lt;&gt;1)),0,IF(CG113&lt;=120,CM113,IF(CC$4&lt;$AD$124,IF($F113=1,60/CE$4*CE$6,60/CE$4*CE$7),IF($F113=1,120/CE$4*CE$6,120/CE$4*CE$7)))),IF(OR($F113=3,$G113=2),IF(OR(AND(CC$4&gt;=$AD$119,$C113=2),AND(CC$4&gt;=$AF$119,$C113=1)),0,IF(CG113&lt;=60,CM113,60/CE$4*CE$7)),IF(AND($F113=2,$G113=1),CM113,0)))))</f>
        <v>0</v>
      </c>
      <c r="CP113" s="57" t="str">
        <f t="shared" si="521"/>
        <v/>
      </c>
      <c r="CQ113" s="57" t="str">
        <f t="shared" si="522"/>
        <v/>
      </c>
      <c r="CR113" s="713">
        <f>'org. Düngung 22'!AB112</f>
        <v>0</v>
      </c>
      <c r="CS113" s="57"/>
      <c r="CT113" s="57"/>
      <c r="CU113" s="57">
        <f t="shared" si="523"/>
        <v>0</v>
      </c>
      <c r="CV113" s="57">
        <f t="shared" si="706"/>
        <v>0</v>
      </c>
      <c r="CW113" s="57">
        <f t="shared" si="707"/>
        <v>0</v>
      </c>
      <c r="CX113" s="57">
        <f t="shared" si="708"/>
        <v>0</v>
      </c>
      <c r="CY113" s="57">
        <f t="shared" si="709"/>
        <v>0</v>
      </c>
      <c r="CZ113" s="1029">
        <f t="shared" si="524"/>
        <v>0</v>
      </c>
      <c r="DA113" s="57">
        <f t="shared" si="525"/>
        <v>0</v>
      </c>
      <c r="DB113" s="171" t="str">
        <f t="shared" si="526"/>
        <v/>
      </c>
      <c r="DC113" s="57">
        <f t="shared" si="710"/>
        <v>0</v>
      </c>
      <c r="DD113" s="57">
        <f>IF(OR(AND(CR$6=1,$L113=0),AND(CR$6=2,$K113=2,$G113=1)),0,IF(AND(CT$9=2,(OR($F113&gt;1,$K113=1,AND($L113=80,OR($N113=1,AND($N113=2,'#BerechnungDBE'!$AL104&gt;0)))))),IF(CR$4&gt;=$AD$126,0,DB113),IF(CT$9=3,IF(OR(CR$4&gt;=$AD$127,AND($G113=1,$J113=2,CR$6=2),AND(CR$6=1,$N113&lt;&gt;1)),0,IF(CV113&lt;=120,DB113,IF(CR$4&lt;$AD$124,IF($F113=1,60/CT$4*CT$6,60/CT$4*CT$7),IF($F113=1,120/CT$4*CT$6,120/CT$4*CT$7)))),IF(OR($F113=3,$G113=2),IF(OR(AND(CR$4&gt;=$AD$119,$C113=2),AND(CR$4&gt;=$AF$119,$C113=1)),0,IF(CV113&lt;=60,DB113,60/CT$4*CT$7)),IF(AND($F113=2,$G113=1),DB113,0)))))</f>
        <v>0</v>
      </c>
      <c r="DE113" s="57" t="str">
        <f t="shared" si="527"/>
        <v/>
      </c>
      <c r="DF113" s="57" t="str">
        <f t="shared" si="528"/>
        <v/>
      </c>
      <c r="DG113" s="713">
        <f>'org. Düngung 22'!AF112</f>
        <v>0</v>
      </c>
      <c r="DH113" s="57"/>
      <c r="DI113" s="57"/>
      <c r="DJ113" s="57">
        <f t="shared" si="529"/>
        <v>0</v>
      </c>
      <c r="DK113" s="57">
        <f t="shared" si="711"/>
        <v>0</v>
      </c>
      <c r="DL113" s="57">
        <f t="shared" si="712"/>
        <v>0</v>
      </c>
      <c r="DM113" s="57">
        <f t="shared" si="713"/>
        <v>0</v>
      </c>
      <c r="DN113" s="57">
        <f t="shared" si="714"/>
        <v>0</v>
      </c>
      <c r="DO113" s="1029">
        <f t="shared" si="530"/>
        <v>0</v>
      </c>
      <c r="DP113" s="57">
        <f t="shared" si="531"/>
        <v>0</v>
      </c>
      <c r="DQ113" s="171" t="str">
        <f t="shared" si="532"/>
        <v/>
      </c>
      <c r="DR113" s="57">
        <f t="shared" si="715"/>
        <v>0</v>
      </c>
      <c r="DS113" s="57">
        <f>IF(OR(AND(DG$6=1,$L113=0),AND(DG$6=2,$K113=2,$G113=1)),0,IF(AND(DI$9=2,(OR($F113&gt;1,$K113=1,AND($L113=80,OR($N113=1,AND($N113=2,'#BerechnungDBE'!$AL104&gt;0)))))),IF(DG$4&gt;=$AD$126,0,DQ113),IF(DI$9=3,IF(OR(DG$4&gt;=$AD$127,AND($G113=1,$J113=2,DG$6=2),AND(DG$6=1,$N113&lt;&gt;1)),0,IF(DK113&lt;=120,DQ113,IF(DG$4&lt;$AD$124,IF($F113=1,60/DI$4*DI$6,60/DI$4*DI$7),IF($F113=1,120/DI$4*DI$6,120/DI$4*DI$7)))),IF(OR($F113=3,$G113=2),IF(OR(AND(DG$4&gt;=$AD$119,$C113=2),AND(DG$4&gt;=$AF$119,$C113=1)),0,IF(DK113&lt;=60,DQ113,60/DI$4*DI$7)),IF(AND($F113=2,$G113=1),DQ113,0)))))</f>
        <v>0</v>
      </c>
      <c r="DT113" s="57" t="str">
        <f t="shared" si="533"/>
        <v/>
      </c>
      <c r="DU113" s="57" t="str">
        <f t="shared" si="534"/>
        <v/>
      </c>
      <c r="DV113" s="713">
        <f>'org. Düngung 22'!AJ112</f>
        <v>0</v>
      </c>
      <c r="DW113" s="57"/>
      <c r="DX113" s="57"/>
      <c r="DY113" s="57">
        <f t="shared" si="535"/>
        <v>0</v>
      </c>
      <c r="DZ113" s="57">
        <f t="shared" si="716"/>
        <v>0</v>
      </c>
      <c r="EA113" s="57">
        <f t="shared" si="717"/>
        <v>0</v>
      </c>
      <c r="EB113" s="57">
        <f t="shared" si="718"/>
        <v>0</v>
      </c>
      <c r="EC113" s="57">
        <f t="shared" si="719"/>
        <v>0</v>
      </c>
      <c r="ED113" s="1029">
        <f t="shared" si="536"/>
        <v>0</v>
      </c>
      <c r="EE113" s="57">
        <f t="shared" si="537"/>
        <v>0</v>
      </c>
      <c r="EF113" s="171" t="str">
        <f t="shared" si="538"/>
        <v/>
      </c>
      <c r="EG113" s="57">
        <f t="shared" si="720"/>
        <v>0</v>
      </c>
      <c r="EH113" s="57">
        <f>IF(OR(AND(DV$6=1,$L113=0),AND(DV$6=2,$K113=2,$G113=1)),0,IF(AND(DX$9=2,(OR($F113&gt;1,$K113=1,AND($L113=80,OR($N113=1,AND($N113=2,'#BerechnungDBE'!$AL104&gt;0)))))),IF(DV$4&gt;=$AD$126,0,EF113),IF(DX$9=3,IF(OR(DV$4&gt;=$AD$127,AND($G113=1,$J113=2,DV$6=2),AND(DV$6=1,$N113&lt;&gt;1)),0,IF(DZ113&lt;=120,EF113,IF(DV$4&lt;$AD$124,IF($F113=1,60/DX$4*DX$6,60/DX$4*DX$7),IF($F113=1,120/DX$4*DX$6,120/DX$4*DX$7)))),IF(OR($F113=3,$G113=2),IF(OR(AND(DV$4&gt;=$AD$119,$C113=2),AND(DV$4&gt;=$AF$119,$C113=1)),0,IF(DZ113&lt;=60,EF113,60/DX$4*DX$7)),IF(AND($F113=2,$G113=1),EF113,0)))))</f>
        <v>0</v>
      </c>
      <c r="EI113" s="57" t="str">
        <f t="shared" si="539"/>
        <v/>
      </c>
      <c r="EJ113" s="57" t="str">
        <f t="shared" si="540"/>
        <v/>
      </c>
      <c r="EK113" s="713">
        <f>'org. Düngung 22'!AN112</f>
        <v>0</v>
      </c>
      <c r="EL113" s="57"/>
      <c r="EM113" s="57"/>
      <c r="EN113" s="57">
        <f t="shared" si="541"/>
        <v>0</v>
      </c>
      <c r="EO113" s="57">
        <f t="shared" si="721"/>
        <v>0</v>
      </c>
      <c r="EP113" s="57">
        <f t="shared" si="722"/>
        <v>0</v>
      </c>
      <c r="EQ113" s="57">
        <f t="shared" si="723"/>
        <v>0</v>
      </c>
      <c r="ER113" s="57">
        <f t="shared" si="724"/>
        <v>0</v>
      </c>
      <c r="ES113" s="1029">
        <f t="shared" si="542"/>
        <v>0</v>
      </c>
      <c r="ET113" s="57">
        <f t="shared" si="543"/>
        <v>0</v>
      </c>
      <c r="EU113" s="171" t="str">
        <f t="shared" si="544"/>
        <v/>
      </c>
      <c r="EV113" s="57">
        <f t="shared" si="725"/>
        <v>0</v>
      </c>
      <c r="EW113" s="57">
        <f>IF(OR(AND(EK$6=1,$L113=0),AND(EK$6=2,$K113=2,$G113=1)),0,IF(AND(EM$9=2,(OR($F113&gt;1,$K113=1,AND($L113=80,OR($N113=1,AND($N113=2,'#BerechnungDBE'!$AL104&gt;0)))))),IF(EK$4&gt;=$AD$126,0,EU113),IF(EM$9=3,IF(OR(EK$4&gt;=$AD$127,AND($G113=1,$J113=2,EK$6=2),AND(EK$6=1,$N113&lt;&gt;1)),0,IF(EO113&lt;=120,EU113,IF(EK$4&lt;$AD$124,IF($F113=1,60/EM$4*EM$6,60/EM$4*EM$7),IF($F113=1,120/EM$4*EM$6,120/EM$4*EM$7)))),IF(OR($F113=3,$G113=2),IF(OR(AND(EK$4&gt;=$AD$119,$C113=2),AND(EK$4&gt;=$AF$119,$C113=1)),0,IF(EO113&lt;=60,EU113,60/EM$4*EM$7)),IF(AND($F113=2,$G113=1),EU113,0)))))</f>
        <v>0</v>
      </c>
      <c r="EX113" s="57" t="str">
        <f t="shared" si="545"/>
        <v/>
      </c>
      <c r="EY113" s="57" t="str">
        <f t="shared" si="546"/>
        <v/>
      </c>
      <c r="EZ113" s="713">
        <f>'org. Düngung 22'!AR112</f>
        <v>0</v>
      </c>
      <c r="FA113" s="57"/>
      <c r="FB113" s="57"/>
      <c r="FC113" s="57">
        <f t="shared" si="547"/>
        <v>0</v>
      </c>
      <c r="FD113" s="57">
        <f t="shared" si="726"/>
        <v>0</v>
      </c>
      <c r="FE113" s="57">
        <f t="shared" si="727"/>
        <v>0</v>
      </c>
      <c r="FF113" s="57">
        <f t="shared" si="728"/>
        <v>0</v>
      </c>
      <c r="FG113" s="57">
        <f t="shared" si="729"/>
        <v>0</v>
      </c>
      <c r="FH113" s="1029">
        <f t="shared" si="548"/>
        <v>0</v>
      </c>
      <c r="FI113" s="57">
        <f t="shared" si="549"/>
        <v>0</v>
      </c>
      <c r="FJ113" s="171" t="str">
        <f t="shared" si="550"/>
        <v/>
      </c>
      <c r="FK113" s="57">
        <f t="shared" si="730"/>
        <v>0</v>
      </c>
      <c r="FL113" s="57">
        <f>IF(OR(AND(EZ$6=1,$L113=0),AND(EZ$6=2,$K113=2,$G113=1)),0,IF(AND(FB$9=2,(OR($F113&gt;1,$K113=1,AND($L113=80,OR($N113=1,AND($N113=2,'#BerechnungDBE'!$AL104&gt;0)))))),IF(EZ$4&gt;=$AD$126,0,FJ113),IF(FB$9=3,IF(OR(EZ$4&gt;=$AD$127,AND($G113=1,$J113=2,EZ$6=2),AND(EZ$6=1,$N113&lt;&gt;1)),0,IF(FD113&lt;=120,FJ113,IF(EZ$4&lt;$AD$124,IF($F113=1,60/FB$4*FB$6,60/FB$4*FB$7),IF($F113=1,120/FB$4*FB$6,120/FB$4*FB$7)))),IF(OR($F113=3,$G113=2),IF(OR(AND(EZ$4&gt;=$AD$119,$C113=2),AND(EZ$4&gt;=$AF$119,$C113=1)),0,IF(FD113&lt;=60,FJ113,60/FB$4*FB$7)),IF(AND($F113=2,$G113=1),FJ113,0)))))</f>
        <v>0</v>
      </c>
      <c r="FM113" s="57" t="str">
        <f t="shared" si="551"/>
        <v/>
      </c>
      <c r="FN113" s="57" t="str">
        <f t="shared" si="552"/>
        <v/>
      </c>
      <c r="FO113" s="713">
        <f>'org. Düngung 22'!AV112</f>
        <v>0</v>
      </c>
      <c r="FP113" s="57"/>
      <c r="FQ113" s="57"/>
      <c r="FR113" s="57">
        <f t="shared" si="553"/>
        <v>0</v>
      </c>
      <c r="FS113" s="57">
        <f t="shared" si="731"/>
        <v>0</v>
      </c>
      <c r="FT113" s="57">
        <f t="shared" si="732"/>
        <v>0</v>
      </c>
      <c r="FU113" s="57">
        <f t="shared" si="733"/>
        <v>0</v>
      </c>
      <c r="FV113" s="57">
        <f t="shared" si="734"/>
        <v>0</v>
      </c>
      <c r="FW113" s="1029">
        <f t="shared" si="554"/>
        <v>0</v>
      </c>
      <c r="FX113" s="57">
        <f t="shared" si="555"/>
        <v>0</v>
      </c>
      <c r="FY113" s="171" t="str">
        <f t="shared" si="556"/>
        <v/>
      </c>
      <c r="FZ113" s="57">
        <f t="shared" si="735"/>
        <v>0</v>
      </c>
      <c r="GA113" s="57">
        <f>IF(OR(AND(FO$6=1,$L113=0),AND(FO$6=2,$K113=2,$G113=1)),0,IF(AND(FQ$9=2,(OR($F113&gt;1,$K113=1,AND($L113=80,OR($N113=1,AND($N113=2,'#BerechnungDBE'!$AL104&gt;0)))))),IF(FO$4&gt;=$AD$126,0,FY113),IF(FQ$9=3,IF(OR(FO$4&gt;=$AD$127,AND($G113=1,$J113=2,FO$6=2),AND(FO$6=1,$N113&lt;&gt;1)),0,IF(FS113&lt;=120,FY113,IF(FO$4&lt;$AD$124,IF($F113=1,60/FQ$4*FQ$6,60/FQ$4*FQ$7),IF($F113=1,120/FQ$4*FQ$6,120/FQ$4*FQ$7)))),IF(OR($F113=3,$G113=2),IF(OR(AND(FO$4&gt;=$AD$119,$C113=2),AND(FO$4&gt;=$AF$119,$C113=1)),0,IF(FS113&lt;=60,FY113,60/FQ$4*FQ$7)),IF(AND($F113=2,$G113=1),FY113,0)))))</f>
        <v>0</v>
      </c>
      <c r="GB113" s="57" t="str">
        <f t="shared" si="557"/>
        <v/>
      </c>
      <c r="GC113" s="57" t="str">
        <f t="shared" si="558"/>
        <v/>
      </c>
      <c r="GD113" s="713">
        <f>'org. Düngung 22'!AZ112</f>
        <v>0</v>
      </c>
      <c r="GE113" s="57"/>
      <c r="GF113" s="57"/>
      <c r="GG113" s="57">
        <f t="shared" si="559"/>
        <v>0</v>
      </c>
      <c r="GH113" s="57">
        <f t="shared" si="736"/>
        <v>0</v>
      </c>
      <c r="GI113" s="57">
        <f t="shared" si="737"/>
        <v>0</v>
      </c>
      <c r="GJ113" s="57">
        <f t="shared" si="738"/>
        <v>0</v>
      </c>
      <c r="GK113" s="57">
        <f t="shared" si="739"/>
        <v>0</v>
      </c>
      <c r="GL113" s="1029">
        <f t="shared" si="560"/>
        <v>0</v>
      </c>
      <c r="GM113" s="57">
        <f t="shared" si="561"/>
        <v>0</v>
      </c>
      <c r="GN113" s="171" t="str">
        <f t="shared" si="562"/>
        <v/>
      </c>
      <c r="GO113" s="57">
        <f t="shared" si="740"/>
        <v>0</v>
      </c>
      <c r="GP113" s="57">
        <f>IF(OR(AND(GD$6=1,$L113=0),AND(GD$6=2,$K113=2,$G113=1)),0,IF(AND(GF$9=2,(OR($F113&gt;1,$K113=1,AND($L113=80,OR($N113=1,AND($N113=2,'#BerechnungDBE'!$AL104&gt;0)))))),IF(GD$4&gt;=$AD$126,0,GN113),IF(GF$9=3,IF(OR(GD$4&gt;=$AD$127,AND($G113=1,$J113=2,GD$6=2),AND(GD$6=1,$N113&lt;&gt;1)),0,IF(GH113&lt;=120,GN113,IF(GD$4&lt;$AD$124,IF($F113=1,60/GF$4*GF$6,60/GF$4*GF$7),IF($F113=1,120/GF$4*GF$6,120/GF$4*GF$7)))),IF(OR($F113=3,$G113=2),IF(OR(AND(GD$4&gt;=$AD$119,$C113=2),AND(GD$4&gt;=$AF$119,$C113=1)),0,IF(GH113&lt;=60,GN113,60/GF$4*GF$7)),IF(AND($F113=2,$G113=1),GN113,0)))))</f>
        <v>0</v>
      </c>
      <c r="GQ113" s="57" t="str">
        <f t="shared" si="563"/>
        <v/>
      </c>
      <c r="GR113" s="57" t="str">
        <f t="shared" si="564"/>
        <v/>
      </c>
      <c r="GS113" s="713">
        <f>'org. Düngung 22'!BD112</f>
        <v>0</v>
      </c>
      <c r="GT113" s="57"/>
      <c r="GU113" s="57"/>
      <c r="GV113" s="57">
        <f t="shared" si="565"/>
        <v>0</v>
      </c>
      <c r="GW113" s="57">
        <f t="shared" si="741"/>
        <v>0</v>
      </c>
      <c r="GX113" s="57">
        <f t="shared" si="742"/>
        <v>0</v>
      </c>
      <c r="GY113" s="57">
        <f t="shared" si="743"/>
        <v>0</v>
      </c>
      <c r="GZ113" s="57">
        <f t="shared" si="744"/>
        <v>0</v>
      </c>
      <c r="HA113" s="1029">
        <f t="shared" si="566"/>
        <v>0</v>
      </c>
      <c r="HB113" s="57">
        <f t="shared" si="567"/>
        <v>0</v>
      </c>
      <c r="HC113" s="171" t="str">
        <f t="shared" si="568"/>
        <v/>
      </c>
      <c r="HD113" s="57">
        <f t="shared" si="745"/>
        <v>0</v>
      </c>
      <c r="HE113" s="57">
        <f>IF(OR(AND(GS$6=1,$L113=0),AND(GS$6=2,$K113=2,$G113=1)),0,IF(AND(GU$9=2,(OR($F113&gt;1,$K113=1,AND($L113=80,OR($N113=1,AND($N113=2,'#BerechnungDBE'!$AL104&gt;0)))))),IF(GS$4&gt;=$AD$126,0,HC113),IF(GU$9=3,IF(OR(GS$4&gt;=$AD$127,AND($G113=1,$J113=2,GS$6=2),AND(GS$6=1,$N113&lt;&gt;1)),0,IF(GW113&lt;=120,HC113,IF(GS$4&lt;$AD$124,IF($F113=1,60/GU$4*GU$6,60/GU$4*GU$7),IF($F113=1,120/GU$4*GU$6,120/GU$4*GU$7)))),IF(OR($F113=3,$G113=2),IF(OR(AND(GS$4&gt;=$AD$119,$C113=2),AND(GS$4&gt;=$AF$119,$C113=1)),0,IF(GW113&lt;=60,HC113,60/GU$4*GU$7)),IF(AND($F113=2,$G113=1),HC113,0)))))</f>
        <v>0</v>
      </c>
      <c r="HF113" s="57" t="str">
        <f t="shared" si="569"/>
        <v/>
      </c>
      <c r="HG113" s="57" t="str">
        <f t="shared" si="570"/>
        <v/>
      </c>
      <c r="HH113" s="713">
        <f>'org. Düngung 22'!BH112</f>
        <v>0</v>
      </c>
      <c r="HI113" s="57"/>
      <c r="HJ113" s="57"/>
      <c r="HK113" s="57">
        <f t="shared" si="571"/>
        <v>0</v>
      </c>
      <c r="HL113" s="57">
        <f t="shared" si="746"/>
        <v>0</v>
      </c>
      <c r="HM113" s="57">
        <f t="shared" si="747"/>
        <v>0</v>
      </c>
      <c r="HN113" s="57">
        <f t="shared" si="748"/>
        <v>0</v>
      </c>
      <c r="HO113" s="57">
        <f t="shared" si="749"/>
        <v>0</v>
      </c>
      <c r="HP113" s="1029">
        <f t="shared" si="572"/>
        <v>0</v>
      </c>
      <c r="HQ113" s="57">
        <f t="shared" si="573"/>
        <v>0</v>
      </c>
      <c r="HR113" s="171" t="str">
        <f t="shared" si="574"/>
        <v/>
      </c>
      <c r="HS113" s="57">
        <f t="shared" si="750"/>
        <v>0</v>
      </c>
      <c r="HT113" s="57">
        <f>IF(OR(AND(HH$6=1,$L113=0),AND(HH$6=2,$K113=2,$G113=1)),0,IF(AND(HJ$9=2,(OR($F113&gt;1,$K113=1,AND($L113=80,OR($N113=1,AND($N113=2,'#BerechnungDBE'!$AL104&gt;0)))))),IF(HH$4&gt;=$AD$126,0,HR113),IF(HJ$9=3,IF(OR(HH$4&gt;=$AD$127,AND($G113=1,$J113=2,HH$6=2),AND(HH$6=1,$N113&lt;&gt;1)),0,IF(HL113&lt;=120,HR113,IF(HH$4&lt;$AD$124,IF($F113=1,60/HJ$4*HJ$6,60/HJ$4*HJ$7),IF($F113=1,120/HJ$4*HJ$6,120/HJ$4*HJ$7)))),IF(OR($F113=3,$G113=2),IF(OR(AND(HH$4&gt;=$AD$119,$C113=2),AND(HH$4&gt;=$AF$119,$C113=1)),0,IF(HL113&lt;=60,HR113,60/HJ$4*HJ$7)),IF(AND($F113=2,$G113=1),HR113,0)))))</f>
        <v>0</v>
      </c>
      <c r="HU113" s="57" t="str">
        <f t="shared" si="575"/>
        <v/>
      </c>
      <c r="HV113" s="57" t="str">
        <f t="shared" si="576"/>
        <v/>
      </c>
      <c r="HW113" s="713">
        <f>'org. Düngung 22'!BL112</f>
        <v>0</v>
      </c>
      <c r="HX113" s="57"/>
      <c r="HY113" s="57"/>
      <c r="HZ113" s="57">
        <f t="shared" si="577"/>
        <v>0</v>
      </c>
      <c r="IA113" s="57">
        <f t="shared" si="751"/>
        <v>0</v>
      </c>
      <c r="IB113" s="57">
        <f t="shared" si="752"/>
        <v>0</v>
      </c>
      <c r="IC113" s="57">
        <f t="shared" si="753"/>
        <v>0</v>
      </c>
      <c r="ID113" s="57">
        <f t="shared" si="754"/>
        <v>0</v>
      </c>
      <c r="IE113" s="1029">
        <f t="shared" si="578"/>
        <v>0</v>
      </c>
      <c r="IF113" s="57">
        <f t="shared" si="579"/>
        <v>0</v>
      </c>
      <c r="IG113" s="171" t="str">
        <f t="shared" si="580"/>
        <v/>
      </c>
      <c r="IH113" s="57">
        <f t="shared" si="755"/>
        <v>0</v>
      </c>
      <c r="II113" s="57">
        <f>IF(OR(AND(HW$6=1,$L113=0),AND(HW$6=2,$K113=2,$G113=1)),0,IF(AND(HY$9=2,(OR($F113&gt;1,$K113=1,AND($L113=80,OR($N113=1,AND($N113=2,'#BerechnungDBE'!$AL104&gt;0)))))),IF(HW$4&gt;=$AD$126,0,IG113),IF(HY$9=3,IF(OR(HW$4&gt;=$AD$127,AND($G113=1,$J113=2,HW$6=2),AND(HW$6=1,$N113&lt;&gt;1)),0,IF(IA113&lt;=120,IG113,IF(HW$4&lt;$AD$124,IF($F113=1,60/HY$4*HY$6,60/HY$4*HY$7),IF($F113=1,120/HY$4*HY$6,120/HY$4*HY$7)))),IF(OR($F113=3,$G113=2),IF(OR(AND(HW$4&gt;=$AD$119,$C113=2),AND(HW$4&gt;=$AF$119,$C113=1)),0,IF(IA113&lt;=60,IG113,60/HY$4*HY$7)),IF(AND($F113=2,$G113=1),IG113,0)))))</f>
        <v>0</v>
      </c>
      <c r="IJ113" s="57" t="str">
        <f t="shared" si="581"/>
        <v/>
      </c>
      <c r="IK113" s="57" t="str">
        <f t="shared" si="582"/>
        <v/>
      </c>
      <c r="IL113" s="713">
        <f>'org. Düngung 22'!BP112</f>
        <v>0</v>
      </c>
      <c r="IM113" s="57"/>
      <c r="IN113" s="57"/>
      <c r="IO113" s="57">
        <f t="shared" si="583"/>
        <v>0</v>
      </c>
      <c r="IP113" s="57">
        <f t="shared" si="756"/>
        <v>0</v>
      </c>
      <c r="IQ113" s="57">
        <f t="shared" si="757"/>
        <v>0</v>
      </c>
      <c r="IR113" s="57">
        <f t="shared" si="758"/>
        <v>0</v>
      </c>
      <c r="IS113" s="57">
        <f t="shared" si="759"/>
        <v>0</v>
      </c>
      <c r="IT113" s="1029">
        <f t="shared" si="584"/>
        <v>0</v>
      </c>
      <c r="IU113" s="57">
        <f t="shared" si="585"/>
        <v>0</v>
      </c>
      <c r="IV113" s="171" t="str">
        <f t="shared" si="586"/>
        <v/>
      </c>
      <c r="IW113" s="57">
        <f t="shared" si="760"/>
        <v>0</v>
      </c>
      <c r="IX113" s="57">
        <f>IF(OR(AND(IL$6=1,$L113=0),AND(IL$6=2,$K113=2,$G113=1)),0,IF(AND(IN$9=2,(OR($F113&gt;1,$K113=1,AND($L113=80,OR($N113=1,AND($N113=2,'#BerechnungDBE'!$AL104&gt;0)))))),IF(IL$4&gt;=$AD$126,0,IV113),IF(IN$9=3,IF(OR(IL$4&gt;=$AD$127,AND($G113=1,$J113=2,IL$6=2),AND(IL$6=1,$N113&lt;&gt;1)),0,IF(IP113&lt;=120,IV113,IF(IL$4&lt;$AD$124,IF($F113=1,60/IN$4*IN$6,60/IN$4*IN$7),IF($F113=1,120/IN$4*IN$6,120/IN$4*IN$7)))),IF(OR($F113=3,$G113=2),IF(OR(AND(IL$4&gt;=$AD$119,$C113=2),AND(IL$4&gt;=$AF$119,$C113=1)),0,IF(IP113&lt;=60,IV113,60/IN$4*IN$7)),IF(AND($F113=2,$G113=1),IV113,0)))))</f>
        <v>0</v>
      </c>
      <c r="IY113" s="57" t="str">
        <f t="shared" si="587"/>
        <v/>
      </c>
      <c r="IZ113" s="57" t="str">
        <f t="shared" si="588"/>
        <v/>
      </c>
      <c r="JA113" s="713">
        <f>'org. Düngung 22'!BT112</f>
        <v>0</v>
      </c>
      <c r="JB113" s="57"/>
      <c r="JC113" s="57"/>
      <c r="JD113" s="57">
        <f t="shared" si="589"/>
        <v>0</v>
      </c>
      <c r="JE113" s="57">
        <f t="shared" si="761"/>
        <v>0</v>
      </c>
      <c r="JF113" s="57">
        <f t="shared" si="762"/>
        <v>0</v>
      </c>
      <c r="JG113" s="57">
        <f t="shared" si="763"/>
        <v>0</v>
      </c>
      <c r="JH113" s="57">
        <f t="shared" si="764"/>
        <v>0</v>
      </c>
      <c r="JI113" s="1029">
        <f t="shared" si="590"/>
        <v>0</v>
      </c>
      <c r="JJ113" s="57">
        <f t="shared" si="591"/>
        <v>0</v>
      </c>
      <c r="JK113" s="171" t="str">
        <f t="shared" si="592"/>
        <v/>
      </c>
      <c r="JL113" s="57">
        <f t="shared" si="765"/>
        <v>0</v>
      </c>
      <c r="JM113" s="57">
        <f>IF(OR(AND(JA$6=1,$L113=0),AND(JA$6=2,$K113=2,$G113=1)),0,IF(AND(JC$9=2,(OR($F113&gt;1,$K113=1,AND($L113=80,OR($N113=1,AND($N113=2,'#BerechnungDBE'!$AL104&gt;0)))))),IF(JA$4&gt;=$AD$126,0,JK113),IF(JC$9=3,IF(OR(JA$4&gt;=$AD$127,AND($G113=1,$J113=2,JA$6=2),AND(JA$6=1,$N113&lt;&gt;1)),0,IF(JE113&lt;=120,JK113,IF(JA$4&lt;$AD$124,IF($F113=1,60/JC$4*JC$6,60/JC$4*JC$7),IF($F113=1,120/JC$4*JC$6,120/JC$4*JC$7)))),IF(OR($F113=3,$G113=2),IF(OR(AND(JA$4&gt;=$AD$119,$C113=2),AND(JA$4&gt;=$AF$119,$C113=1)),0,IF(JE113&lt;=60,JK113,60/JC$4*JC$7)),IF(AND($F113=2,$G113=1),JK113,0)))))</f>
        <v>0</v>
      </c>
      <c r="JN113" s="57" t="str">
        <f t="shared" si="593"/>
        <v/>
      </c>
      <c r="JO113" s="57" t="str">
        <f t="shared" si="594"/>
        <v/>
      </c>
      <c r="JP113" s="713">
        <f>'org. Düngung 22'!BX112</f>
        <v>0</v>
      </c>
      <c r="JQ113" s="57"/>
      <c r="JR113" s="57"/>
      <c r="JS113" s="57">
        <f t="shared" si="595"/>
        <v>0</v>
      </c>
      <c r="JT113" s="57">
        <f t="shared" si="766"/>
        <v>0</v>
      </c>
      <c r="JU113" s="57">
        <f t="shared" si="767"/>
        <v>0</v>
      </c>
      <c r="JV113" s="57">
        <f t="shared" si="768"/>
        <v>0</v>
      </c>
      <c r="JW113" s="57">
        <f t="shared" si="769"/>
        <v>0</v>
      </c>
      <c r="JX113" s="1029">
        <f t="shared" si="596"/>
        <v>0</v>
      </c>
      <c r="JY113" s="57">
        <f t="shared" si="597"/>
        <v>0</v>
      </c>
      <c r="JZ113" s="171" t="str">
        <f t="shared" si="598"/>
        <v/>
      </c>
      <c r="KA113" s="57">
        <f t="shared" si="770"/>
        <v>0</v>
      </c>
      <c r="KB113" s="57">
        <f>IF(OR(AND(JP$6=1,$L113=0),AND(JP$6=2,$K113=2,$G113=1)),0,IF(AND(JR$9=2,(OR($F113&gt;1,$K113=1,AND($L113=80,OR($N113=1,AND($N113=2,'#BerechnungDBE'!$AL104&gt;0)))))),IF(JP$4&gt;=$AD$126,0,JZ113),IF(JR$9=3,IF(OR(JP$4&gt;=$AD$127,AND($G113=1,$J113=2,JP$6=2),AND(JP$6=1,$N113&lt;&gt;1)),0,IF(JT113&lt;=120,JZ113,IF(JP$4&lt;$AD$124,IF($F113=1,60/JR$4*JR$6,60/JR$4*JR$7),IF($F113=1,120/JR$4*JR$6,120/JR$4*JR$7)))),IF(OR($F113=3,$G113=2),IF(OR(AND(JP$4&gt;=$AD$119,$C113=2),AND(JP$4&gt;=$AF$119,$C113=1)),0,IF(JT113&lt;=60,JZ113,60/JR$4*JR$7)),IF(AND($F113=2,$G113=1),JZ113,0)))))</f>
        <v>0</v>
      </c>
      <c r="KC113" s="57" t="str">
        <f t="shared" si="599"/>
        <v/>
      </c>
      <c r="KD113" s="57" t="str">
        <f t="shared" si="600"/>
        <v/>
      </c>
      <c r="KE113" s="713">
        <f>'org. Düngung 22'!CB112</f>
        <v>0</v>
      </c>
      <c r="KF113" s="57"/>
      <c r="KG113" s="57"/>
      <c r="KH113" s="57">
        <f t="shared" si="601"/>
        <v>0</v>
      </c>
      <c r="KI113" s="57">
        <f t="shared" si="771"/>
        <v>0</v>
      </c>
      <c r="KJ113" s="57">
        <f t="shared" si="772"/>
        <v>0</v>
      </c>
      <c r="KK113" s="57">
        <f t="shared" si="773"/>
        <v>0</v>
      </c>
      <c r="KL113" s="57">
        <f t="shared" si="774"/>
        <v>0</v>
      </c>
      <c r="KM113" s="1029">
        <f t="shared" si="602"/>
        <v>0</v>
      </c>
      <c r="KN113" s="57">
        <f t="shared" si="603"/>
        <v>0</v>
      </c>
      <c r="KO113" s="171" t="str">
        <f t="shared" si="604"/>
        <v/>
      </c>
      <c r="KP113" s="57">
        <f t="shared" si="775"/>
        <v>0</v>
      </c>
      <c r="KQ113" s="57">
        <f>IF(OR(AND(KE$6=1,$L113=0),AND(KE$6=2,$K113=2,$G113=1)),0,IF(AND(KG$9=2,(OR($F113&gt;1,$K113=1,AND($L113=80,OR($N113=1,AND($N113=2,'#BerechnungDBE'!$AL104&gt;0)))))),IF(KE$4&gt;=$AD$126,0,KO113),IF(KG$9=3,IF(OR(KE$4&gt;=$AD$127,AND($G113=1,$J113=2,KE$6=2),AND(KE$6=1,$N113&lt;&gt;1)),0,IF(KI113&lt;=120,KO113,IF(KE$4&lt;$AD$124,IF($F113=1,60/KG$4*KG$6,60/KG$4*KG$7),IF($F113=1,120/KG$4*KG$6,120/KG$4*KG$7)))),IF(OR($F113=3,$G113=2),IF(OR(AND(KE$4&gt;=$AD$119,$C113=2),AND(KE$4&gt;=$AF$119,$C113=1)),0,IF(KI113&lt;=60,KO113,60/KG$4*KG$7)),IF(AND($F113=2,$G113=1),KO113,0)))))</f>
        <v>0</v>
      </c>
      <c r="KR113" s="57" t="str">
        <f t="shared" si="605"/>
        <v/>
      </c>
      <c r="KS113" s="57" t="str">
        <f t="shared" si="606"/>
        <v/>
      </c>
      <c r="KT113" s="713">
        <f>'org. Düngung 22'!CF112</f>
        <v>0</v>
      </c>
      <c r="KU113" s="57"/>
      <c r="KV113" s="57"/>
      <c r="KW113" s="57">
        <f t="shared" si="607"/>
        <v>0</v>
      </c>
      <c r="KX113" s="57">
        <f t="shared" si="776"/>
        <v>0</v>
      </c>
      <c r="KY113" s="57">
        <f t="shared" si="777"/>
        <v>0</v>
      </c>
      <c r="KZ113" s="57">
        <f t="shared" si="778"/>
        <v>0</v>
      </c>
      <c r="LA113" s="57">
        <f t="shared" si="779"/>
        <v>0</v>
      </c>
      <c r="LB113" s="1029">
        <f t="shared" si="608"/>
        <v>0</v>
      </c>
      <c r="LC113" s="57">
        <f t="shared" si="609"/>
        <v>0</v>
      </c>
      <c r="LD113" s="171" t="str">
        <f t="shared" si="610"/>
        <v/>
      </c>
      <c r="LE113" s="57">
        <f t="shared" si="780"/>
        <v>0</v>
      </c>
      <c r="LF113" s="57">
        <f>IF(OR(AND(KT$6=1,$L113=0),AND(KT$6=2,$K113=2,$G113=1)),0,IF(AND(KV$9=2,(OR($F113&gt;1,$K113=1,AND($L113=80,OR($N113=1,AND($N113=2,'#BerechnungDBE'!$AL104&gt;0)))))),IF(KT$4&gt;=$AD$126,0,LD113),IF(KV$9=3,IF(OR(KT$4&gt;=$AD$127,AND($G113=1,$J113=2,KT$6=2),AND(KT$6=1,$N113&lt;&gt;1)),0,IF(KX113&lt;=120,LD113,IF(KT$4&lt;$AD$124,IF($F113=1,60/KV$4*KV$6,60/KV$4*KV$7),IF($F113=1,120/KV$4*KV$6,120/KV$4*KV$7)))),IF(OR($F113=3,$G113=2),IF(OR(AND(KT$4&gt;=$AD$119,$C113=2),AND(KT$4&gt;=$AF$119,$C113=1)),0,IF(KX113&lt;=60,LD113,60/KV$4*KV$7)),IF(AND($F113=2,$G113=1),LD113,0)))))</f>
        <v>0</v>
      </c>
      <c r="LG113" s="57" t="str">
        <f t="shared" si="611"/>
        <v/>
      </c>
      <c r="LH113" s="57" t="str">
        <f t="shared" si="612"/>
        <v/>
      </c>
      <c r="LI113" s="713">
        <f>'org. Düngung 22'!CJ112</f>
        <v>0</v>
      </c>
      <c r="LJ113" s="57"/>
      <c r="LK113" s="57"/>
      <c r="LL113" s="57">
        <f t="shared" si="613"/>
        <v>0</v>
      </c>
      <c r="LM113" s="57">
        <f t="shared" si="781"/>
        <v>0</v>
      </c>
      <c r="LN113" s="57">
        <f t="shared" si="782"/>
        <v>0</v>
      </c>
      <c r="LO113" s="57">
        <f t="shared" si="783"/>
        <v>0</v>
      </c>
      <c r="LP113" s="57">
        <f t="shared" si="784"/>
        <v>0</v>
      </c>
      <c r="LQ113" s="1029">
        <f t="shared" si="614"/>
        <v>0</v>
      </c>
      <c r="LR113" s="57">
        <f t="shared" si="615"/>
        <v>0</v>
      </c>
      <c r="LS113" s="171" t="str">
        <f t="shared" si="616"/>
        <v/>
      </c>
      <c r="LT113" s="57">
        <f t="shared" si="785"/>
        <v>0</v>
      </c>
      <c r="LU113" s="57">
        <f>IF(OR(AND(LI$6=1,$L113=0),AND(LI$6=2,$K113=2,$G113=1)),0,IF(AND(LK$9=2,(OR($F113&gt;1,$K113=1,AND($L113=80,OR($N113=1,AND($N113=2,'#BerechnungDBE'!$AL104&gt;0)))))),IF(LI$4&gt;=$AD$126,0,LS113),IF(LK$9=3,IF(OR(LI$4&gt;=$AD$127,AND($G113=1,$J113=2,LI$6=2),AND(LI$6=1,$N113&lt;&gt;1)),0,IF(LM113&lt;=120,LS113,IF(LI$4&lt;$AD$124,IF($F113=1,60/LK$4*LK$6,60/LK$4*LK$7),IF($F113=1,120/LK$4*LK$6,120/LK$4*LK$7)))),IF(OR($F113=3,$G113=2),IF(OR(AND(LI$4&gt;=$AD$119,$C113=2),AND(LI$4&gt;=$AF$119,$C113=1)),0,IF(LM113&lt;=60,LS113,60/LK$4*LK$7)),IF(AND($F113=2,$G113=1),LS113,0)))))</f>
        <v>0</v>
      </c>
      <c r="LV113" s="57" t="str">
        <f t="shared" si="617"/>
        <v/>
      </c>
      <c r="LW113" s="57" t="str">
        <f t="shared" si="618"/>
        <v/>
      </c>
      <c r="LX113" s="713">
        <f>'org. Düngung 22'!CN112</f>
        <v>0</v>
      </c>
      <c r="LY113" s="57"/>
      <c r="LZ113" s="57"/>
      <c r="MA113" s="57">
        <f t="shared" si="619"/>
        <v>0</v>
      </c>
      <c r="MB113" s="57">
        <f t="shared" si="786"/>
        <v>0</v>
      </c>
      <c r="MC113" s="57">
        <f t="shared" si="787"/>
        <v>0</v>
      </c>
      <c r="MD113" s="57">
        <f t="shared" si="788"/>
        <v>0</v>
      </c>
      <c r="ME113" s="57">
        <f t="shared" si="789"/>
        <v>0</v>
      </c>
      <c r="MF113" s="1029">
        <f t="shared" si="620"/>
        <v>0</v>
      </c>
      <c r="MG113" s="57">
        <f t="shared" si="621"/>
        <v>0</v>
      </c>
      <c r="MH113" s="171" t="str">
        <f t="shared" si="622"/>
        <v/>
      </c>
      <c r="MI113" s="57">
        <f t="shared" si="790"/>
        <v>0</v>
      </c>
      <c r="MJ113" s="57">
        <f>IF(OR(AND(LX$6=1,$L113=0),AND(LX$6=2,$K113=2,$G113=1)),0,IF(AND(LZ$9=2,(OR($F113&gt;1,$K113=1,AND($L113=80,OR($N113=1,AND($N113=2,'#BerechnungDBE'!$AL104&gt;0)))))),IF(LX$4&gt;=$AD$126,0,MH113),IF(LZ$9=3,IF(OR(LX$4&gt;=$AD$127,AND($G113=1,$J113=2,LX$6=2),AND(LX$6=1,$N113&lt;&gt;1)),0,IF(MB113&lt;=120,MH113,IF(LX$4&lt;$AD$124,IF($F113=1,60/LZ$4*LZ$6,60/LZ$4*LZ$7),IF($F113=1,120/LZ$4*LZ$6,120/LZ$4*LZ$7)))),IF(OR($F113=3,$G113=2),IF(OR(AND(LX$4&gt;=$AD$119,$C113=2),AND(LX$4&gt;=$AF$119,$C113=1)),0,IF(MB113&lt;=60,MH113,60/LZ$4*LZ$7)),IF(AND($F113=2,$G113=1),MH113,0)))))</f>
        <v>0</v>
      </c>
      <c r="MK113" s="57" t="str">
        <f t="shared" si="623"/>
        <v/>
      </c>
      <c r="ML113" s="57" t="str">
        <f t="shared" si="624"/>
        <v/>
      </c>
      <c r="MM113" s="713">
        <f>'org. Düngung 22'!CR112</f>
        <v>0</v>
      </c>
      <c r="MN113" s="57"/>
      <c r="MO113" s="57"/>
      <c r="MP113" s="57">
        <f t="shared" si="625"/>
        <v>0</v>
      </c>
      <c r="MQ113" s="57">
        <f t="shared" si="791"/>
        <v>0</v>
      </c>
      <c r="MR113" s="57">
        <f t="shared" si="792"/>
        <v>0</v>
      </c>
      <c r="MS113" s="57">
        <f t="shared" si="793"/>
        <v>0</v>
      </c>
      <c r="MT113" s="57">
        <f t="shared" si="794"/>
        <v>0</v>
      </c>
      <c r="MU113" s="1029">
        <f t="shared" si="626"/>
        <v>0</v>
      </c>
      <c r="MV113" s="57">
        <f t="shared" si="627"/>
        <v>0</v>
      </c>
      <c r="MW113" s="171" t="str">
        <f t="shared" si="628"/>
        <v/>
      </c>
      <c r="MX113" s="57">
        <f t="shared" si="795"/>
        <v>0</v>
      </c>
      <c r="MY113" s="57">
        <f>IF(OR(AND(MM$6=1,$L113=0),AND(MM$6=2,$K113=2,$G113=1)),0,IF(AND(MO$9=2,(OR($F113&gt;1,$K113=1,AND($L113=80,OR($N113=1,AND($N113=2,'#BerechnungDBE'!$AL104&gt;0)))))),IF(MM$4&gt;=$AD$126,0,MW113),IF(MO$9=3,IF(OR(MM$4&gt;=$AD$127,AND($G113=1,$J113=2,MM$6=2),AND(MM$6=1,$N113&lt;&gt;1)),0,IF(MQ113&lt;=120,MW113,IF(MM$4&lt;$AD$124,IF($F113=1,60/MO$4*MO$6,60/MO$4*MO$7),IF($F113=1,120/MO$4*MO$6,120/MO$4*MO$7)))),IF(OR($F113=3,$G113=2),IF(OR(AND(MM$4&gt;=$AD$119,$C113=2),AND(MM$4&gt;=$AF$119,$C113=1)),0,IF(MQ113&lt;=60,MW113,60/MO$4*MO$7)),IF(AND($F113=2,$G113=1),MW113,0)))))</f>
        <v>0</v>
      </c>
      <c r="MZ113" s="57" t="str">
        <f t="shared" si="629"/>
        <v/>
      </c>
      <c r="NA113" s="57" t="str">
        <f t="shared" si="630"/>
        <v/>
      </c>
      <c r="NB113" s="713">
        <f>'org. Düngung 22'!CV112</f>
        <v>0</v>
      </c>
      <c r="NC113" s="57"/>
      <c r="ND113" s="57"/>
      <c r="NE113" s="57">
        <f t="shared" si="631"/>
        <v>0</v>
      </c>
      <c r="NF113" s="57">
        <f t="shared" si="796"/>
        <v>0</v>
      </c>
      <c r="NG113" s="57">
        <f t="shared" si="797"/>
        <v>0</v>
      </c>
      <c r="NH113" s="57">
        <f t="shared" si="798"/>
        <v>0</v>
      </c>
      <c r="NI113" s="57">
        <f t="shared" si="799"/>
        <v>0</v>
      </c>
      <c r="NJ113" s="1029">
        <f t="shared" si="632"/>
        <v>0</v>
      </c>
      <c r="NK113" s="57">
        <f t="shared" si="633"/>
        <v>0</v>
      </c>
      <c r="NL113" s="171" t="str">
        <f t="shared" si="634"/>
        <v/>
      </c>
      <c r="NM113" s="57">
        <f t="shared" si="800"/>
        <v>0</v>
      </c>
      <c r="NN113" s="57">
        <f>IF(OR(AND(NB$6=1,$L113=0),AND(NB$6=2,$K113=2,$G113=1)),0,IF(AND(ND$9=2,(OR($F113&gt;1,$K113=1,AND($L113=80,OR($N113=1,AND($N113=2,'#BerechnungDBE'!$AL104&gt;0)))))),IF(NB$4&gt;=$AD$126,0,NL113),IF(ND$9=3,IF(OR(NB$4&gt;=$AD$127,AND($G113=1,$J113=2,NB$6=2),AND(NB$6=1,$N113&lt;&gt;1)),0,IF(NF113&lt;=120,NL113,IF(NB$4&lt;$AD$124,IF($F113=1,60/ND$4*ND$6,60/ND$4*ND$7),IF($F113=1,120/ND$4*ND$6,120/ND$4*ND$7)))),IF(OR($F113=3,$G113=2),IF(OR(AND(NB$4&gt;=$AD$119,$C113=2),AND(NB$4&gt;=$AF$119,$C113=1)),0,IF(NF113&lt;=60,NL113,60/ND$4*ND$7)),IF(AND($F113=2,$G113=1),NL113,0)))))</f>
        <v>0</v>
      </c>
      <c r="NO113" s="57" t="str">
        <f t="shared" si="635"/>
        <v/>
      </c>
      <c r="NP113" s="57" t="str">
        <f t="shared" si="636"/>
        <v/>
      </c>
      <c r="NQ113" s="713">
        <f>'org. Düngung 22'!CZ112</f>
        <v>0</v>
      </c>
      <c r="NR113" s="57"/>
      <c r="NS113" s="57"/>
      <c r="NT113" s="57">
        <f t="shared" si="637"/>
        <v>0</v>
      </c>
      <c r="NU113" s="57">
        <f t="shared" si="801"/>
        <v>0</v>
      </c>
      <c r="NV113" s="57">
        <f t="shared" si="802"/>
        <v>0</v>
      </c>
      <c r="NW113" s="57">
        <f t="shared" si="803"/>
        <v>0</v>
      </c>
      <c r="NX113" s="57">
        <f t="shared" si="804"/>
        <v>0</v>
      </c>
      <c r="NY113" s="1029">
        <f t="shared" si="638"/>
        <v>0</v>
      </c>
      <c r="NZ113" s="57">
        <f t="shared" si="639"/>
        <v>0</v>
      </c>
      <c r="OA113" s="171" t="str">
        <f t="shared" si="640"/>
        <v/>
      </c>
      <c r="OB113" s="57">
        <f t="shared" si="805"/>
        <v>0</v>
      </c>
      <c r="OC113" s="57">
        <f>IF(OR(AND(NQ$6=1,$L113=0),AND(NQ$6=2,$K113=2,$G113=1)),0,IF(AND(NS$9=2,(OR($F113&gt;1,$K113=1,AND($L113=80,OR($N113=1,AND($N113=2,'#BerechnungDBE'!$AL104&gt;0)))))),IF(NQ$4&gt;=$AD$126,0,OA113),IF(NS$9=3,IF(OR(NQ$4&gt;=$AD$127,AND($G113=1,$J113=2,NQ$6=2),AND(NQ$6=1,$N113&lt;&gt;1)),0,IF(NU113&lt;=120,OA113,IF(NQ$4&lt;$AD$124,IF($F113=1,60/NS$4*NS$6,60/NS$4*NS$7),IF($F113=1,120/NS$4*NS$6,120/NS$4*NS$7)))),IF(OR($F113=3,$G113=2),IF(OR(AND(NQ$4&gt;=$AD$119,$C113=2),AND(NQ$4&gt;=$AF$119,$C113=1)),0,IF(NU113&lt;=60,OA113,60/NS$4*NS$7)),IF(AND($F113=2,$G113=1),OA113,0)))))</f>
        <v>0</v>
      </c>
      <c r="OD113" s="57" t="str">
        <f t="shared" si="641"/>
        <v/>
      </c>
      <c r="OE113" s="57" t="str">
        <f t="shared" si="642"/>
        <v/>
      </c>
      <c r="OF113" s="713">
        <f>'org. Düngung 22'!DD112</f>
        <v>0</v>
      </c>
      <c r="OG113" s="57"/>
      <c r="OH113" s="57"/>
      <c r="OI113" s="57">
        <f t="shared" si="643"/>
        <v>0</v>
      </c>
      <c r="OJ113" s="57">
        <f t="shared" si="806"/>
        <v>0</v>
      </c>
      <c r="OK113" s="57">
        <f t="shared" si="807"/>
        <v>0</v>
      </c>
      <c r="OL113" s="57">
        <f t="shared" si="808"/>
        <v>0</v>
      </c>
      <c r="OM113" s="57">
        <f t="shared" si="809"/>
        <v>0</v>
      </c>
      <c r="ON113" s="1029">
        <f t="shared" si="644"/>
        <v>0</v>
      </c>
      <c r="OO113" s="57">
        <f t="shared" si="645"/>
        <v>0</v>
      </c>
      <c r="OP113" s="171" t="str">
        <f t="shared" si="646"/>
        <v/>
      </c>
      <c r="OQ113" s="57">
        <f t="shared" si="810"/>
        <v>0</v>
      </c>
      <c r="OR113" s="57">
        <f>IF(OR(AND(OF$6=1,$L113=0),AND(OF$6=2,$K113=2,$G113=1)),0,IF(AND(OH$9=2,(OR($F113&gt;1,$K113=1,AND($L113=80,OR($N113=1,AND($N113=2,'#BerechnungDBE'!$AL104&gt;0)))))),IF(OF$4&gt;=$AD$126,0,OP113),IF(OH$9=3,IF(OR(OF$4&gt;=$AD$127,AND($G113=1,$J113=2,OF$6=2),AND(OF$6=1,$N113&lt;&gt;1)),0,IF(OJ113&lt;=120,OP113,IF(OF$4&lt;$AD$124,IF($F113=1,60/OH$4*OH$6,60/OH$4*OH$7),IF($F113=1,120/OH$4*OH$6,120/OH$4*OH$7)))),IF(OR($F113=3,$G113=2),IF(OR(AND(OF$4&gt;=$AD$119,$C113=2),AND(OF$4&gt;=$AF$119,$C113=1)),0,IF(OJ113&lt;=60,OP113,60/OH$4*OH$7)),IF(AND($F113=2,$G113=1),OP113,0)))))</f>
        <v>0</v>
      </c>
      <c r="OS113" s="57" t="str">
        <f t="shared" si="647"/>
        <v/>
      </c>
      <c r="OT113" s="57" t="str">
        <f t="shared" si="648"/>
        <v/>
      </c>
      <c r="OU113" s="713">
        <f>'org. Düngung 22'!DH112</f>
        <v>0</v>
      </c>
      <c r="OV113" s="57"/>
      <c r="OW113" s="57"/>
      <c r="OX113" s="57">
        <f t="shared" si="649"/>
        <v>0</v>
      </c>
      <c r="OY113" s="57">
        <f t="shared" si="811"/>
        <v>0</v>
      </c>
      <c r="OZ113" s="57">
        <f t="shared" si="812"/>
        <v>0</v>
      </c>
      <c r="PA113" s="57">
        <f t="shared" si="813"/>
        <v>0</v>
      </c>
      <c r="PB113" s="57">
        <f t="shared" si="814"/>
        <v>0</v>
      </c>
      <c r="PC113" s="1029">
        <f t="shared" si="650"/>
        <v>0</v>
      </c>
      <c r="PD113" s="57">
        <f t="shared" si="651"/>
        <v>0</v>
      </c>
      <c r="PE113" s="171" t="str">
        <f t="shared" si="652"/>
        <v/>
      </c>
      <c r="PF113" s="57">
        <f t="shared" si="815"/>
        <v>0</v>
      </c>
      <c r="PG113" s="57">
        <f>IF(OR(AND(OU$6=1,$L113=0),AND(OU$6=2,$K113=2,$G113=1)),0,IF(AND(OW$9=2,(OR($F113&gt;1,$K113=1,AND($L113=80,OR($N113=1,AND($N113=2,'#BerechnungDBE'!$AL104&gt;0)))))),IF(OU$4&gt;=$AD$126,0,PE113),IF(OW$9=3,IF(OR(OU$4&gt;=$AD$127,AND($G113=1,$J113=2,OU$6=2),AND(OU$6=1,$N113&lt;&gt;1)),0,IF(OY113&lt;=120,PE113,IF(OU$4&lt;$AD$124,IF($F113=1,60/OW$4*OW$6,60/OW$4*OW$7),IF($F113=1,120/OW$4*OW$6,120/OW$4*OW$7)))),IF(OR($F113=3,$G113=2),IF(OR(AND(OU$4&gt;=$AD$119,$C113=2),AND(OU$4&gt;=$AF$119,$C113=1)),0,IF(OY113&lt;=60,PE113,60/OW$4*OW$7)),IF(AND($F113=2,$G113=1),PE113,0)))))</f>
        <v>0</v>
      </c>
      <c r="PH113" s="57" t="str">
        <f t="shared" si="653"/>
        <v/>
      </c>
      <c r="PI113" s="57" t="str">
        <f t="shared" si="654"/>
        <v/>
      </c>
      <c r="PJ113" s="713">
        <f>'org. Düngung 22'!DL112</f>
        <v>0</v>
      </c>
      <c r="PK113" s="57"/>
      <c r="PL113" s="57"/>
      <c r="PM113" s="57">
        <f t="shared" si="655"/>
        <v>0</v>
      </c>
      <c r="PN113" s="57">
        <f t="shared" si="816"/>
        <v>0</v>
      </c>
      <c r="PO113" s="57">
        <f t="shared" si="817"/>
        <v>0</v>
      </c>
      <c r="PP113" s="57">
        <f t="shared" si="818"/>
        <v>0</v>
      </c>
      <c r="PQ113" s="57">
        <f t="shared" si="819"/>
        <v>0</v>
      </c>
      <c r="PR113" s="1029">
        <f t="shared" si="656"/>
        <v>0</v>
      </c>
      <c r="PS113" s="57">
        <f t="shared" si="657"/>
        <v>0</v>
      </c>
      <c r="PT113" s="171" t="str">
        <f t="shared" si="658"/>
        <v/>
      </c>
      <c r="PU113" s="57">
        <f t="shared" si="820"/>
        <v>0</v>
      </c>
      <c r="PV113" s="57">
        <f>IF(OR(AND(PJ$6=1,$L113=0),AND(PJ$6=2,$K113=2,$G113=1)),0,IF(AND(PL$9=2,(OR($F113&gt;1,$K113=1,AND($L113=80,OR($N113=1,AND($N113=2,'#BerechnungDBE'!$AL104&gt;0)))))),IF(PJ$4&gt;=$AD$126,0,PT113),IF(PL$9=3,IF(OR(PJ$4&gt;=$AD$127,AND($G113=1,$J113=2,PJ$6=2),AND(PJ$6=1,$N113&lt;&gt;1)),0,IF(PN113&lt;=120,PT113,IF(PJ$4&lt;$AD$124,IF($F113=1,60/PL$4*PL$6,60/PL$4*PL$7),IF($F113=1,120/PL$4*PL$6,120/PL$4*PL$7)))),IF(OR($F113=3,$G113=2),IF(OR(AND(PJ$4&gt;=$AD$119,$C113=2),AND(PJ$4&gt;=$AF$119,$C113=1)),0,IF(PN113&lt;=60,PT113,60/PL$4*PL$7)),IF(AND($F113=2,$G113=1),PT113,0)))))</f>
        <v>0</v>
      </c>
      <c r="PW113" s="57" t="str">
        <f t="shared" si="659"/>
        <v/>
      </c>
      <c r="PX113" s="57" t="str">
        <f t="shared" si="660"/>
        <v/>
      </c>
      <c r="PY113" s="713">
        <f>'org. Düngung 22'!DP112</f>
        <v>0</v>
      </c>
      <c r="PZ113" s="57"/>
      <c r="QA113" s="57"/>
      <c r="QB113" s="57">
        <f t="shared" si="661"/>
        <v>0</v>
      </c>
      <c r="QC113" s="57">
        <f t="shared" si="821"/>
        <v>0</v>
      </c>
      <c r="QD113" s="57">
        <f t="shared" si="822"/>
        <v>0</v>
      </c>
      <c r="QE113" s="57">
        <f t="shared" si="823"/>
        <v>0</v>
      </c>
      <c r="QF113" s="57">
        <f t="shared" si="824"/>
        <v>0</v>
      </c>
      <c r="QG113" s="1029">
        <f t="shared" si="662"/>
        <v>0</v>
      </c>
      <c r="QH113" s="57">
        <f t="shared" si="663"/>
        <v>0</v>
      </c>
      <c r="QI113" s="171" t="str">
        <f t="shared" si="664"/>
        <v/>
      </c>
      <c r="QJ113" s="57">
        <f t="shared" si="825"/>
        <v>0</v>
      </c>
      <c r="QK113" s="57">
        <f>IF(OR(AND(PY$6=1,$L113=0),AND(PY$6=2,$K113=2,$G113=1)),0,IF(AND(QA$9=2,(OR($F113&gt;1,$K113=1,AND($L113=80,OR($N113=1,AND($N113=2,'#BerechnungDBE'!$AL104&gt;0)))))),IF(PY$4&gt;=$AD$126,0,QI113),IF(QA$9=3,IF(OR(PY$4&gt;=$AD$127,AND($G113=1,$J113=2,PY$6=2),AND(PY$6=1,$N113&lt;&gt;1)),0,IF(QC113&lt;=120,QI113,IF(PY$4&lt;$AD$124,IF($F113=1,60/QA$4*QA$6,60/QA$4*QA$7),IF($F113=1,120/QA$4*QA$6,120/QA$4*QA$7)))),IF(OR($F113=3,$G113=2),IF(OR(AND(PY$4&gt;=$AD$119,$C113=2),AND(PY$4&gt;=$AF$119,$C113=1)),0,IF(QC113&lt;=60,QI113,60/QA$4*QA$7)),IF(AND($F113=2,$G113=1),QI113,0)))))</f>
        <v>0</v>
      </c>
      <c r="QL113" s="57" t="str">
        <f t="shared" si="665"/>
        <v/>
      </c>
      <c r="QM113" s="57" t="str">
        <f t="shared" si="666"/>
        <v/>
      </c>
      <c r="QN113" s="713">
        <f>'org. Düngung 22'!DT112</f>
        <v>0</v>
      </c>
      <c r="QO113" s="57"/>
      <c r="QP113" s="57"/>
      <c r="QQ113" s="57">
        <f t="shared" si="667"/>
        <v>0</v>
      </c>
      <c r="QR113" s="57">
        <f t="shared" si="826"/>
        <v>0</v>
      </c>
      <c r="QS113" s="57">
        <f t="shared" si="827"/>
        <v>0</v>
      </c>
      <c r="QT113" s="57">
        <f t="shared" si="828"/>
        <v>0</v>
      </c>
      <c r="QU113" s="57">
        <f t="shared" si="829"/>
        <v>0</v>
      </c>
      <c r="QV113" s="1029">
        <f t="shared" si="668"/>
        <v>0</v>
      </c>
      <c r="QW113" s="57">
        <f t="shared" si="669"/>
        <v>0</v>
      </c>
      <c r="QX113" s="171" t="str">
        <f t="shared" si="670"/>
        <v/>
      </c>
      <c r="QY113" s="57">
        <f t="shared" si="830"/>
        <v>0</v>
      </c>
      <c r="QZ113" s="57">
        <f>IF(OR(AND(QN$6=1,$L113=0),AND(QN$6=2,$K113=2,$G113=1)),0,IF(AND(QP$9=2,(OR($F113&gt;1,$K113=1,AND($L113=80,OR($N113=1,AND($N113=2,'#BerechnungDBE'!$AL104&gt;0)))))),IF(QN$4&gt;=$AD$126,0,QX113),IF(QP$9=3,IF(OR(QN$4&gt;=$AD$127,AND($G113=1,$J113=2,QN$6=2),AND(QN$6=1,$N113&lt;&gt;1)),0,IF(QR113&lt;=120,QX113,IF(QN$4&lt;$AD$124,IF($F113=1,60/QP$4*QP$6,60/QP$4*QP$7),IF($F113=1,120/QP$4*QP$6,120/QP$4*QP$7)))),IF(OR($F113=3,$G113=2),IF(OR(AND(QN$4&gt;=$AD$119,$C113=2),AND(QN$4&gt;=$AF$119,$C113=1)),0,IF(QR113&lt;=60,QX113,60/QP$4*QP$7)),IF(AND($F113=2,$G113=1),QX113,0)))))</f>
        <v>0</v>
      </c>
      <c r="RA113" s="57" t="str">
        <f t="shared" si="671"/>
        <v/>
      </c>
      <c r="RB113" s="57" t="str">
        <f t="shared" si="672"/>
        <v/>
      </c>
      <c r="RC113" s="713">
        <f>'org. Düngung 22'!DX112</f>
        <v>0</v>
      </c>
      <c r="RD113" s="57"/>
      <c r="RE113" s="57"/>
      <c r="RF113" s="57">
        <f t="shared" si="673"/>
        <v>0</v>
      </c>
      <c r="RG113" s="57">
        <f t="shared" si="831"/>
        <v>0</v>
      </c>
      <c r="RH113" s="57">
        <f t="shared" si="832"/>
        <v>0</v>
      </c>
      <c r="RI113" s="57">
        <f t="shared" si="833"/>
        <v>0</v>
      </c>
      <c r="RJ113" s="57">
        <f t="shared" si="834"/>
        <v>0</v>
      </c>
      <c r="RK113" s="1029">
        <f t="shared" si="674"/>
        <v>0</v>
      </c>
      <c r="RL113" s="57">
        <f t="shared" si="675"/>
        <v>0</v>
      </c>
      <c r="RM113" s="171" t="str">
        <f t="shared" si="676"/>
        <v/>
      </c>
      <c r="RN113" s="57">
        <f t="shared" si="835"/>
        <v>0</v>
      </c>
      <c r="RO113" s="57">
        <f>IF(OR(AND(RC$6=1,$L113=0),AND(RC$6=2,$K113=2,$G113=1)),0,IF(AND(RE$9=2,(OR($F113&gt;1,$K113=1,AND($L113=80,OR($N113=1,AND($N113=2,'#BerechnungDBE'!$AL104&gt;0)))))),IF(RC$4&gt;=$AD$126,0,RM113),IF(RE$9=3,IF(OR(RC$4&gt;=$AD$127,AND($G113=1,$J113=2,RC$6=2),AND(RC$6=1,$N113&lt;&gt;1)),0,IF(RG113&lt;=120,RM113,IF(RC$4&lt;$AD$124,IF($F113=1,60/RE$4*RE$6,60/RE$4*RE$7),IF($F113=1,120/RE$4*RE$6,120/RE$4*RE$7)))),IF(OR($F113=3,$G113=2),IF(OR(AND(RC$4&gt;=$AD$119,$C113=2),AND(RC$4&gt;=$AF$119,$C113=1)),0,IF(RG113&lt;=60,RM113,60/RE$4*RE$7)),IF(AND($F113=2,$G113=1),RM113,0)))))</f>
        <v>0</v>
      </c>
      <c r="RP113" s="57" t="str">
        <f t="shared" si="677"/>
        <v/>
      </c>
      <c r="RQ113" s="57" t="str">
        <f t="shared" si="678"/>
        <v/>
      </c>
      <c r="RS113" s="57" t="str">
        <f t="shared" si="836"/>
        <v/>
      </c>
      <c r="RT113" s="57" t="str">
        <f t="shared" si="679"/>
        <v/>
      </c>
      <c r="RU113" s="57" t="str">
        <f t="shared" si="680"/>
        <v/>
      </c>
      <c r="RV113" s="57" t="str">
        <f>IF(Z113&gt;'#BerechnungDBE'!BM104,$RV$9,"")</f>
        <v/>
      </c>
      <c r="RW113" s="57" t="str">
        <f>IF(AND(L113=70,AE113&gt;'#BerechnungDBE'!CQ104),$RW$9,"")</f>
        <v/>
      </c>
      <c r="RX113" s="57" t="str">
        <f>IF(OR('org. Düngung 22'!G112="--",'org. Düngung 22'!G112&lt;=170,'org. Düngung 22'!G112=""),"",$RX$9)</f>
        <v/>
      </c>
      <c r="RY113" s="57" t="str">
        <f>IF('org. Düngung 22'!K112&gt;120,'#orgDung'!$RY$9,"")</f>
        <v/>
      </c>
      <c r="RZ113" s="57" t="str">
        <f>IF('#BerechnungDBE'!P104&lt;4,"",IF(AND('#BerechnungDBE'!BZ104&gt;0,T113&gt;0),'#orgDung'!$RZ$9,""))</f>
        <v/>
      </c>
      <c r="SA113" s="57" t="str">
        <f t="shared" si="681"/>
        <v/>
      </c>
    </row>
    <row r="114" spans="1:495" x14ac:dyDescent="0.2">
      <c r="Q114" s="245">
        <f>SUM(Q14:Q113)</f>
        <v>0</v>
      </c>
      <c r="T114" s="683"/>
      <c r="U114"/>
      <c r="AD114" s="683"/>
      <c r="AG114"/>
      <c r="AI114" s="683"/>
      <c r="AJ114"/>
      <c r="AQ114" s="683"/>
      <c r="AR114"/>
      <c r="AZ114" s="938"/>
      <c r="BA114" s="938"/>
      <c r="BB114" s="938"/>
      <c r="BC114" s="938"/>
      <c r="BD114" s="938"/>
      <c r="BE114" s="938"/>
      <c r="BF114" s="938"/>
      <c r="BG114" s="938"/>
      <c r="BH114" s="938"/>
      <c r="BI114" s="938"/>
      <c r="BJ114" s="938"/>
      <c r="BK114" s="938"/>
      <c r="BL114" s="938"/>
      <c r="BM114" s="938"/>
      <c r="BN114" s="691"/>
      <c r="BO114" s="938"/>
      <c r="BP114" s="938"/>
      <c r="BQ114" s="938"/>
      <c r="BR114" s="938"/>
      <c r="BS114" s="938"/>
      <c r="BT114" s="938"/>
      <c r="BU114" s="938"/>
      <c r="BV114" s="938"/>
      <c r="BW114" s="938"/>
      <c r="BX114" s="938"/>
      <c r="BY114" s="938"/>
      <c r="BZ114" s="938"/>
      <c r="CA114" s="938"/>
      <c r="CB114" s="938"/>
      <c r="CD114" s="938"/>
      <c r="CE114" s="938"/>
      <c r="CF114" s="938"/>
      <c r="CG114" s="938"/>
      <c r="CH114" s="938"/>
      <c r="CI114" s="938"/>
      <c r="CJ114" s="938"/>
      <c r="CK114" s="938"/>
      <c r="CL114" s="938"/>
      <c r="CM114" s="938"/>
      <c r="CN114" s="938"/>
      <c r="CO114" s="938"/>
      <c r="CP114" s="938"/>
      <c r="CQ114" s="938"/>
      <c r="CS114" s="938"/>
      <c r="CT114" s="938"/>
      <c r="CU114" s="938"/>
      <c r="CV114" s="938"/>
      <c r="CW114" s="938"/>
      <c r="CX114" s="938"/>
      <c r="CY114" s="938"/>
      <c r="CZ114" s="938"/>
      <c r="DA114" s="938"/>
      <c r="DB114" s="938"/>
      <c r="DC114" s="938"/>
      <c r="DD114" s="938"/>
      <c r="DE114" s="938"/>
      <c r="DF114" s="938"/>
      <c r="DH114" s="938"/>
      <c r="DI114" s="938"/>
      <c r="DJ114" s="938"/>
      <c r="DK114" s="938"/>
      <c r="DL114" s="938"/>
      <c r="DM114" s="938"/>
      <c r="DN114" s="938"/>
      <c r="DO114" s="938"/>
      <c r="DP114" s="938"/>
      <c r="DQ114" s="938"/>
      <c r="DR114" s="938"/>
      <c r="DS114" s="938"/>
      <c r="DT114" s="938"/>
      <c r="DU114" s="938"/>
      <c r="DW114" s="938"/>
      <c r="DX114" s="938"/>
      <c r="DY114" s="938"/>
      <c r="DZ114" s="938"/>
      <c r="EA114" s="938"/>
      <c r="EB114" s="938"/>
      <c r="EC114" s="938"/>
      <c r="ED114" s="938"/>
      <c r="EE114" s="938"/>
      <c r="EF114" s="938"/>
      <c r="EG114" s="938"/>
      <c r="EH114" s="938"/>
      <c r="EI114" s="938"/>
      <c r="EJ114" s="938"/>
      <c r="EL114" s="938"/>
      <c r="EM114" s="938"/>
      <c r="EN114" s="938"/>
      <c r="EO114" s="938"/>
      <c r="EP114" s="938"/>
      <c r="EQ114" s="938"/>
      <c r="ER114" s="938"/>
      <c r="ES114" s="938"/>
      <c r="ET114" s="938"/>
      <c r="EU114" s="938"/>
      <c r="EV114" s="938"/>
      <c r="EW114" s="938"/>
      <c r="EX114" s="938"/>
      <c r="EY114" s="938"/>
      <c r="FA114" s="938"/>
      <c r="FB114" s="938"/>
      <c r="FC114" s="938"/>
      <c r="FD114" s="938"/>
      <c r="FE114" s="938"/>
      <c r="FF114" s="938"/>
      <c r="FG114" s="938"/>
      <c r="FH114" s="938"/>
      <c r="FI114" s="938"/>
      <c r="FJ114" s="938"/>
      <c r="FK114" s="938"/>
      <c r="FL114" s="938"/>
      <c r="FM114" s="938"/>
      <c r="FN114" s="938"/>
      <c r="FP114" s="938"/>
      <c r="FQ114" s="938"/>
      <c r="FR114" s="938"/>
      <c r="FS114" s="938"/>
      <c r="FT114" s="938"/>
      <c r="FU114" s="938"/>
      <c r="FV114" s="938"/>
      <c r="FW114" s="938"/>
      <c r="FX114" s="938"/>
      <c r="FY114" s="938"/>
      <c r="FZ114" s="938"/>
      <c r="GA114" s="938"/>
      <c r="GB114" s="938"/>
      <c r="GC114" s="938"/>
      <c r="GE114" s="938"/>
      <c r="GF114" s="938"/>
      <c r="GG114" s="938"/>
      <c r="GH114" s="938"/>
      <c r="GI114" s="938"/>
      <c r="GJ114" s="938"/>
      <c r="GK114" s="938"/>
      <c r="GL114" s="938"/>
      <c r="GM114" s="938"/>
      <c r="GN114" s="938"/>
      <c r="GO114" s="938"/>
      <c r="GP114" s="938"/>
      <c r="GQ114" s="938"/>
      <c r="GR114" s="938"/>
      <c r="GT114" s="938"/>
      <c r="GU114" s="938"/>
      <c r="GV114" s="938"/>
      <c r="GW114" s="938"/>
      <c r="GX114" s="938"/>
      <c r="GY114" s="938"/>
      <c r="GZ114" s="938"/>
      <c r="HA114" s="938"/>
      <c r="HB114" s="938"/>
      <c r="HC114" s="938"/>
      <c r="HD114" s="938"/>
      <c r="HE114" s="938"/>
      <c r="HF114" s="938"/>
      <c r="HG114" s="938"/>
      <c r="HI114" s="938"/>
      <c r="HJ114" s="938"/>
      <c r="HK114" s="938"/>
      <c r="HL114" s="938"/>
      <c r="HM114" s="938"/>
      <c r="HN114" s="938"/>
      <c r="HO114" s="938"/>
      <c r="HP114" s="938"/>
      <c r="HQ114" s="938"/>
      <c r="HR114" s="938"/>
      <c r="HS114" s="938"/>
      <c r="HT114" s="938"/>
      <c r="HU114" s="938"/>
      <c r="HV114" s="938"/>
      <c r="HX114" s="938"/>
      <c r="HY114" s="938"/>
      <c r="HZ114" s="938"/>
      <c r="IA114" s="938"/>
      <c r="IB114" s="938"/>
      <c r="IC114" s="938"/>
      <c r="ID114" s="938"/>
      <c r="IE114" s="938"/>
      <c r="IF114" s="938"/>
      <c r="IG114" s="938"/>
      <c r="IH114" s="938"/>
      <c r="II114" s="938"/>
      <c r="IJ114" s="938"/>
      <c r="IK114" s="938"/>
      <c r="IM114" s="938"/>
      <c r="IN114" s="938"/>
      <c r="IO114" s="938"/>
      <c r="IP114" s="938"/>
      <c r="IQ114" s="938"/>
      <c r="IR114" s="938"/>
      <c r="IS114" s="938"/>
      <c r="IT114" s="938"/>
      <c r="IU114" s="938"/>
      <c r="IV114" s="938"/>
      <c r="IW114" s="938"/>
      <c r="IX114" s="938"/>
      <c r="IY114" s="938"/>
      <c r="IZ114" s="938"/>
      <c r="JB114" s="938"/>
      <c r="JC114" s="938"/>
      <c r="JD114" s="938"/>
      <c r="JE114" s="938"/>
      <c r="JF114" s="938"/>
      <c r="JG114" s="938"/>
      <c r="JH114" s="938"/>
      <c r="JI114" s="938"/>
      <c r="JJ114" s="938"/>
      <c r="JK114" s="938"/>
      <c r="JL114" s="938"/>
      <c r="JM114" s="938"/>
      <c r="JN114" s="938"/>
      <c r="JO114" s="938"/>
      <c r="JQ114" s="938"/>
      <c r="JR114" s="938"/>
      <c r="JS114" s="938"/>
      <c r="JT114" s="938"/>
      <c r="JU114" s="938"/>
      <c r="JV114" s="938"/>
      <c r="JW114" s="938"/>
      <c r="JX114" s="938"/>
      <c r="JY114" s="938"/>
      <c r="JZ114" s="938"/>
      <c r="KA114" s="938"/>
      <c r="KB114" s="938"/>
      <c r="KC114" s="938"/>
      <c r="KD114" s="938"/>
      <c r="KF114" s="938"/>
      <c r="KG114" s="938"/>
      <c r="KH114" s="938"/>
      <c r="KI114" s="938"/>
      <c r="KJ114" s="938"/>
      <c r="KK114" s="938"/>
      <c r="KL114" s="938"/>
      <c r="KM114" s="938"/>
      <c r="KN114" s="938"/>
      <c r="KO114" s="938"/>
      <c r="KP114" s="938"/>
      <c r="KQ114" s="938"/>
      <c r="KR114" s="938"/>
      <c r="KS114" s="938"/>
      <c r="KU114" s="938"/>
      <c r="KV114" s="938"/>
      <c r="KW114" s="938"/>
      <c r="KX114" s="938"/>
      <c r="KY114" s="938"/>
      <c r="KZ114" s="938"/>
      <c r="LA114" s="938"/>
      <c r="LB114" s="938"/>
      <c r="LC114" s="938"/>
      <c r="LD114" s="938"/>
      <c r="LE114" s="938"/>
      <c r="LF114" s="938"/>
      <c r="LG114" s="938"/>
      <c r="LH114" s="938"/>
      <c r="LJ114" s="938"/>
      <c r="LK114" s="938"/>
      <c r="LL114" s="938"/>
      <c r="LM114" s="938"/>
      <c r="LN114" s="938"/>
      <c r="LO114" s="938"/>
      <c r="LP114" s="938"/>
      <c r="LQ114" s="938"/>
      <c r="LR114" s="938"/>
      <c r="LS114" s="938"/>
      <c r="LT114" s="938"/>
      <c r="LU114" s="938"/>
      <c r="LV114" s="938"/>
      <c r="LW114" s="938"/>
      <c r="LY114" s="938"/>
      <c r="LZ114" s="938"/>
      <c r="MA114" s="938"/>
      <c r="MB114" s="938"/>
      <c r="MC114" s="938"/>
      <c r="MD114" s="938"/>
      <c r="ME114" s="938"/>
      <c r="MF114" s="938"/>
      <c r="MG114" s="938"/>
      <c r="MH114" s="938"/>
      <c r="MI114" s="938"/>
      <c r="MJ114" s="938"/>
      <c r="MK114" s="938"/>
      <c r="ML114" s="938"/>
      <c r="MN114" s="938"/>
      <c r="MO114" s="938"/>
      <c r="MP114" s="938"/>
      <c r="MQ114" s="938"/>
      <c r="MR114" s="938"/>
      <c r="MS114" s="938"/>
      <c r="MT114" s="938"/>
      <c r="MU114" s="938"/>
      <c r="MV114" s="938"/>
      <c r="MW114" s="938"/>
      <c r="MX114" s="938"/>
      <c r="MY114" s="938"/>
      <c r="MZ114" s="938"/>
      <c r="NA114" s="938"/>
      <c r="NC114" s="938"/>
      <c r="ND114" s="938"/>
      <c r="NE114" s="938"/>
      <c r="NF114" s="938"/>
      <c r="NG114" s="938"/>
      <c r="NH114" s="938"/>
      <c r="NI114" s="938"/>
      <c r="NJ114" s="938"/>
      <c r="NK114" s="938"/>
      <c r="NL114" s="938"/>
      <c r="NM114" s="938"/>
      <c r="NN114" s="938"/>
      <c r="NO114" s="938"/>
      <c r="NP114" s="938"/>
      <c r="NR114" s="938"/>
      <c r="NS114" s="938"/>
      <c r="NT114" s="938"/>
      <c r="NU114" s="938"/>
      <c r="NV114" s="938"/>
      <c r="NW114" s="938"/>
      <c r="NX114" s="938"/>
      <c r="NY114" s="938"/>
      <c r="NZ114" s="938"/>
      <c r="OA114" s="938"/>
      <c r="OB114" s="938"/>
      <c r="OC114" s="938"/>
      <c r="OD114" s="938"/>
      <c r="OE114" s="938"/>
      <c r="OG114" s="938"/>
      <c r="OH114" s="938"/>
      <c r="OI114" s="938"/>
      <c r="OJ114" s="938"/>
      <c r="OK114" s="938"/>
      <c r="OL114" s="938"/>
      <c r="OM114" s="938"/>
      <c r="ON114" s="938"/>
      <c r="OO114" s="938"/>
      <c r="OP114" s="938"/>
      <c r="OQ114" s="938"/>
      <c r="OR114" s="938"/>
      <c r="OS114" s="938"/>
      <c r="OT114" s="938"/>
      <c r="OV114" s="938"/>
      <c r="OW114" s="938"/>
      <c r="OX114" s="938"/>
      <c r="OY114" s="938"/>
      <c r="OZ114" s="938"/>
      <c r="PA114" s="938"/>
      <c r="PB114" s="938"/>
      <c r="PC114" s="938"/>
      <c r="PD114" s="938"/>
      <c r="PE114" s="938"/>
      <c r="PF114" s="938"/>
      <c r="PG114" s="938"/>
      <c r="PH114" s="938"/>
      <c r="PI114" s="938"/>
      <c r="PK114" s="938"/>
      <c r="PL114" s="938"/>
      <c r="PM114" s="938"/>
      <c r="PN114" s="938"/>
      <c r="PO114" s="938"/>
      <c r="PP114" s="938"/>
      <c r="PQ114" s="938"/>
      <c r="PR114" s="938"/>
      <c r="PS114" s="938"/>
      <c r="PT114" s="938"/>
      <c r="PU114" s="938"/>
      <c r="PV114" s="938"/>
      <c r="PW114" s="938"/>
      <c r="PX114" s="938"/>
      <c r="PZ114" s="938"/>
      <c r="QA114" s="938"/>
      <c r="QB114" s="938"/>
      <c r="QC114" s="938"/>
      <c r="QD114" s="938"/>
      <c r="QE114" s="938"/>
      <c r="QF114" s="938"/>
      <c r="QG114" s="938"/>
      <c r="QH114" s="938"/>
      <c r="QI114" s="938"/>
      <c r="QJ114" s="938"/>
      <c r="QK114" s="938"/>
      <c r="QL114" s="938"/>
      <c r="QM114" s="938"/>
      <c r="QO114" s="938"/>
      <c r="QP114" s="938"/>
      <c r="QQ114" s="938"/>
      <c r="QR114" s="938"/>
      <c r="QS114" s="938"/>
      <c r="QT114" s="938"/>
      <c r="QU114" s="938"/>
      <c r="QV114" s="938"/>
      <c r="QW114" s="938"/>
      <c r="QX114" s="938"/>
      <c r="QY114" s="938"/>
      <c r="QZ114" s="938"/>
      <c r="RA114" s="938"/>
      <c r="RB114" s="938"/>
      <c r="RD114" s="938"/>
      <c r="RE114" s="938"/>
      <c r="RF114" s="938"/>
      <c r="RG114" s="938"/>
      <c r="RH114" s="938"/>
      <c r="RI114" s="938"/>
      <c r="RJ114" s="938"/>
      <c r="RK114" s="938"/>
      <c r="RL114" s="938"/>
      <c r="RM114" s="938"/>
      <c r="RN114" s="938"/>
      <c r="RO114" s="938"/>
      <c r="RP114" s="938"/>
      <c r="RQ114" s="938"/>
    </row>
    <row r="115" spans="1:495" x14ac:dyDescent="0.2">
      <c r="T115" s="683"/>
      <c r="U115"/>
      <c r="AD115" s="683"/>
      <c r="AG115"/>
      <c r="AI115" s="692" t="s">
        <v>1385</v>
      </c>
      <c r="AK115">
        <f>SUM(AJ14:AJ113)</f>
        <v>0</v>
      </c>
      <c r="AQ115" s="683"/>
      <c r="AR115"/>
      <c r="AZ115" s="938">
        <f>SUM(AY14:AY113)</f>
        <v>0</v>
      </c>
      <c r="BA115" s="938"/>
      <c r="BB115" s="938"/>
      <c r="BC115" s="938"/>
      <c r="BD115" s="938"/>
      <c r="BE115" s="938"/>
      <c r="BF115" s="938"/>
      <c r="BG115" s="938"/>
      <c r="BH115" s="938"/>
      <c r="BI115" s="938"/>
      <c r="BJ115" s="938"/>
      <c r="BK115" s="938"/>
      <c r="BL115" s="938"/>
      <c r="BM115" s="938"/>
      <c r="BN115" s="691"/>
      <c r="BO115" s="938">
        <f>SUM(BN14:BN113)</f>
        <v>0</v>
      </c>
      <c r="BP115" s="938"/>
      <c r="BQ115" s="938"/>
      <c r="BR115" s="938"/>
      <c r="BS115" s="938"/>
      <c r="BT115" s="938"/>
      <c r="BU115" s="938"/>
      <c r="BV115" s="938"/>
      <c r="BW115" s="938"/>
      <c r="BX115" s="938"/>
      <c r="BY115" s="938"/>
      <c r="BZ115" s="938"/>
      <c r="CA115" s="938"/>
      <c r="CB115" s="938"/>
      <c r="CD115" s="938">
        <f>SUM(CC14:CC113)</f>
        <v>0</v>
      </c>
      <c r="CE115" s="938"/>
      <c r="CF115" s="938"/>
      <c r="CG115" s="938"/>
      <c r="CH115" s="938"/>
      <c r="CI115" s="938"/>
      <c r="CJ115" s="938"/>
      <c r="CK115" s="938"/>
      <c r="CL115" s="938"/>
      <c r="CM115" s="938"/>
      <c r="CN115" s="938"/>
      <c r="CO115" s="938"/>
      <c r="CP115" s="938"/>
      <c r="CQ115" s="938"/>
      <c r="CS115" s="938">
        <f>SUM(CR14:CR113)</f>
        <v>0</v>
      </c>
      <c r="CT115" s="938"/>
      <c r="CU115" s="938"/>
      <c r="CV115" s="938"/>
      <c r="CW115" s="938"/>
      <c r="CX115" s="938"/>
      <c r="CY115" s="938"/>
      <c r="CZ115" s="938"/>
      <c r="DA115" s="938"/>
      <c r="DB115" s="938"/>
      <c r="DC115" s="938"/>
      <c r="DD115" s="938"/>
      <c r="DE115" s="938"/>
      <c r="DF115" s="938"/>
      <c r="DH115" s="938">
        <f>SUM(DG14:DG113)</f>
        <v>0</v>
      </c>
      <c r="DI115" s="938"/>
      <c r="DJ115" s="938"/>
      <c r="DK115" s="938"/>
      <c r="DL115" s="938"/>
      <c r="DM115" s="938"/>
      <c r="DN115" s="938"/>
      <c r="DO115" s="938"/>
      <c r="DP115" s="938"/>
      <c r="DQ115" s="938"/>
      <c r="DR115" s="938"/>
      <c r="DS115" s="938"/>
      <c r="DT115" s="938"/>
      <c r="DU115" s="938"/>
      <c r="DW115" s="938">
        <f>SUM(DV14:DV113)</f>
        <v>0</v>
      </c>
      <c r="DX115" s="938"/>
      <c r="DY115" s="938"/>
      <c r="DZ115" s="938"/>
      <c r="EA115" s="938"/>
      <c r="EB115" s="938"/>
      <c r="EC115" s="938"/>
      <c r="ED115" s="938"/>
      <c r="EE115" s="938"/>
      <c r="EF115" s="938"/>
      <c r="EG115" s="938"/>
      <c r="EH115" s="938"/>
      <c r="EI115" s="938"/>
      <c r="EJ115" s="938"/>
      <c r="EL115" s="938">
        <f>SUM(EK14:EK113)</f>
        <v>0</v>
      </c>
      <c r="EM115" s="938"/>
      <c r="EN115" s="938"/>
      <c r="EO115" s="938"/>
      <c r="EP115" s="938"/>
      <c r="EQ115" s="938"/>
      <c r="ER115" s="938"/>
      <c r="ES115" s="938"/>
      <c r="ET115" s="938"/>
      <c r="EU115" s="938"/>
      <c r="EV115" s="938"/>
      <c r="EW115" s="938"/>
      <c r="EX115" s="938"/>
      <c r="EY115" s="938"/>
      <c r="FA115" s="938">
        <f>SUM(EZ14:EZ113)</f>
        <v>0</v>
      </c>
      <c r="FB115" s="938"/>
      <c r="FC115" s="938"/>
      <c r="FD115" s="938"/>
      <c r="FE115" s="938"/>
      <c r="FF115" s="938"/>
      <c r="FG115" s="938"/>
      <c r="FH115" s="938"/>
      <c r="FI115" s="938"/>
      <c r="FJ115" s="938"/>
      <c r="FK115" s="938"/>
      <c r="FL115" s="938"/>
      <c r="FM115" s="938"/>
      <c r="FN115" s="938"/>
      <c r="FP115" s="938">
        <f>SUM(FO14:FO113)</f>
        <v>0</v>
      </c>
      <c r="FQ115" s="938"/>
      <c r="FR115" s="938"/>
      <c r="FS115" s="938"/>
      <c r="FT115" s="938"/>
      <c r="FU115" s="938"/>
      <c r="FV115" s="938"/>
      <c r="FW115" s="938"/>
      <c r="FX115" s="938"/>
      <c r="FY115" s="938"/>
      <c r="FZ115" s="938"/>
      <c r="GA115" s="938"/>
      <c r="GB115" s="938"/>
      <c r="GC115" s="938"/>
      <c r="GE115" s="938">
        <f>SUM(GD14:GD113)</f>
        <v>0</v>
      </c>
      <c r="GF115" s="938"/>
      <c r="GG115" s="938"/>
      <c r="GH115" s="938"/>
      <c r="GI115" s="938"/>
      <c r="GJ115" s="938"/>
      <c r="GK115" s="938"/>
      <c r="GL115" s="938"/>
      <c r="GM115" s="938"/>
      <c r="GN115" s="938"/>
      <c r="GO115" s="938"/>
      <c r="GP115" s="938"/>
      <c r="GQ115" s="938"/>
      <c r="GR115" s="938"/>
      <c r="GT115" s="938">
        <f>SUM(GS14:GS113)</f>
        <v>0</v>
      </c>
      <c r="GU115" s="938"/>
      <c r="GV115" s="938"/>
      <c r="GW115" s="938"/>
      <c r="GX115" s="938"/>
      <c r="GY115" s="938"/>
      <c r="GZ115" s="938"/>
      <c r="HA115" s="938"/>
      <c r="HB115" s="938"/>
      <c r="HC115" s="938"/>
      <c r="HD115" s="938"/>
      <c r="HE115" s="938"/>
      <c r="HF115" s="938"/>
      <c r="HG115" s="938"/>
      <c r="HI115" s="938">
        <f>SUM(HH14:HH113)</f>
        <v>0</v>
      </c>
      <c r="HJ115" s="938"/>
      <c r="HK115" s="938"/>
      <c r="HL115" s="938"/>
      <c r="HM115" s="938"/>
      <c r="HN115" s="938"/>
      <c r="HO115" s="938"/>
      <c r="HP115" s="938"/>
      <c r="HQ115" s="938"/>
      <c r="HR115" s="938"/>
      <c r="HS115" s="938"/>
      <c r="HT115" s="938"/>
      <c r="HU115" s="938"/>
      <c r="HV115" s="938"/>
      <c r="HX115" s="938">
        <f>SUM(HW14:HW113)</f>
        <v>0</v>
      </c>
      <c r="HY115" s="938"/>
      <c r="HZ115" s="938"/>
      <c r="IA115" s="938"/>
      <c r="IB115" s="938"/>
      <c r="IC115" s="938"/>
      <c r="ID115" s="938"/>
      <c r="IE115" s="938"/>
      <c r="IF115" s="938"/>
      <c r="IG115" s="938"/>
      <c r="IH115" s="938"/>
      <c r="II115" s="938"/>
      <c r="IJ115" s="938"/>
      <c r="IK115" s="938"/>
      <c r="IM115" s="938">
        <f>SUM(IL14:IL113)</f>
        <v>0</v>
      </c>
      <c r="IN115" s="938"/>
      <c r="IO115" s="938"/>
      <c r="IP115" s="938"/>
      <c r="IQ115" s="938"/>
      <c r="IR115" s="938"/>
      <c r="IS115" s="938"/>
      <c r="IT115" s="938"/>
      <c r="IU115" s="938"/>
      <c r="IV115" s="938"/>
      <c r="IW115" s="938"/>
      <c r="IX115" s="938"/>
      <c r="IY115" s="938"/>
      <c r="IZ115" s="938"/>
      <c r="JB115" s="938">
        <f>SUM(JA14:JA113)</f>
        <v>0</v>
      </c>
      <c r="JC115" s="938"/>
      <c r="JD115" s="938"/>
      <c r="JE115" s="938"/>
      <c r="JF115" s="938"/>
      <c r="JG115" s="938"/>
      <c r="JH115" s="938"/>
      <c r="JI115" s="938"/>
      <c r="JJ115" s="938"/>
      <c r="JK115" s="938"/>
      <c r="JL115" s="938"/>
      <c r="JM115" s="938"/>
      <c r="JN115" s="938"/>
      <c r="JO115" s="938"/>
      <c r="JQ115" s="938">
        <f>SUM(JP14:JP113)</f>
        <v>0</v>
      </c>
      <c r="JR115" s="938"/>
      <c r="JS115" s="938"/>
      <c r="JT115" s="938"/>
      <c r="JU115" s="938"/>
      <c r="JV115" s="938"/>
      <c r="JW115" s="938"/>
      <c r="JX115" s="938"/>
      <c r="JY115" s="938"/>
      <c r="JZ115" s="938"/>
      <c r="KA115" s="938"/>
      <c r="KB115" s="938"/>
      <c r="KC115" s="938"/>
      <c r="KD115" s="938"/>
      <c r="KF115" s="938">
        <f>SUM(KE14:KE113)</f>
        <v>0</v>
      </c>
      <c r="KG115" s="938"/>
      <c r="KH115" s="938"/>
      <c r="KI115" s="938"/>
      <c r="KJ115" s="938"/>
      <c r="KK115" s="938"/>
      <c r="KL115" s="938"/>
      <c r="KM115" s="938"/>
      <c r="KN115" s="938"/>
      <c r="KO115" s="938"/>
      <c r="KP115" s="938"/>
      <c r="KQ115" s="938"/>
      <c r="KR115" s="938"/>
      <c r="KS115" s="938"/>
      <c r="KU115" s="938">
        <f>SUM(KT14:KT113)</f>
        <v>0</v>
      </c>
      <c r="KV115" s="938"/>
      <c r="KW115" s="938"/>
      <c r="KX115" s="938"/>
      <c r="KY115" s="938"/>
      <c r="KZ115" s="938"/>
      <c r="LA115" s="938"/>
      <c r="LB115" s="938"/>
      <c r="LC115" s="938"/>
      <c r="LD115" s="938"/>
      <c r="LE115" s="938"/>
      <c r="LF115" s="938"/>
      <c r="LG115" s="938"/>
      <c r="LH115" s="938"/>
      <c r="LJ115" s="938">
        <f>SUM(LI14:LI113)</f>
        <v>0</v>
      </c>
      <c r="LK115" s="938"/>
      <c r="LL115" s="938"/>
      <c r="LM115" s="938"/>
      <c r="LN115" s="938"/>
      <c r="LO115" s="938"/>
      <c r="LP115" s="938"/>
      <c r="LQ115" s="938"/>
      <c r="LR115" s="938"/>
      <c r="LS115" s="938"/>
      <c r="LT115" s="938"/>
      <c r="LU115" s="938"/>
      <c r="LV115" s="938"/>
      <c r="LW115" s="938"/>
      <c r="LY115" s="938">
        <f>SUM(LX14:LX113)</f>
        <v>0</v>
      </c>
      <c r="LZ115" s="938"/>
      <c r="MA115" s="938"/>
      <c r="MB115" s="938"/>
      <c r="MC115" s="938"/>
      <c r="MD115" s="938"/>
      <c r="ME115" s="938"/>
      <c r="MF115" s="938"/>
      <c r="MG115" s="938"/>
      <c r="MH115" s="938"/>
      <c r="MI115" s="938"/>
      <c r="MJ115" s="938"/>
      <c r="MK115" s="938"/>
      <c r="ML115" s="938"/>
      <c r="MN115" s="938">
        <f>SUM(MM14:MM113)</f>
        <v>0</v>
      </c>
      <c r="MO115" s="938"/>
      <c r="MP115" s="938"/>
      <c r="MQ115" s="938"/>
      <c r="MR115" s="938"/>
      <c r="MS115" s="938"/>
      <c r="MT115" s="938"/>
      <c r="MU115" s="938"/>
      <c r="MV115" s="938"/>
      <c r="MW115" s="938"/>
      <c r="MX115" s="938"/>
      <c r="MY115" s="938"/>
      <c r="MZ115" s="938"/>
      <c r="NA115" s="938"/>
      <c r="NC115" s="938">
        <f>SUM(NB14:NB113)</f>
        <v>0</v>
      </c>
      <c r="ND115" s="938"/>
      <c r="NE115" s="938"/>
      <c r="NF115" s="938"/>
      <c r="NG115" s="938"/>
      <c r="NH115" s="938"/>
      <c r="NI115" s="938"/>
      <c r="NJ115" s="938"/>
      <c r="NK115" s="938"/>
      <c r="NL115" s="938"/>
      <c r="NM115" s="938"/>
      <c r="NN115" s="938"/>
      <c r="NO115" s="938"/>
      <c r="NP115" s="938"/>
      <c r="NR115" s="938">
        <f>SUM(NQ14:NQ113)</f>
        <v>0</v>
      </c>
      <c r="NS115" s="938"/>
      <c r="NT115" s="938"/>
      <c r="NU115" s="938"/>
      <c r="NV115" s="938"/>
      <c r="NW115" s="938"/>
      <c r="NX115" s="938"/>
      <c r="NY115" s="938"/>
      <c r="NZ115" s="938"/>
      <c r="OA115" s="938"/>
      <c r="OB115" s="938"/>
      <c r="OC115" s="938"/>
      <c r="OD115" s="938"/>
      <c r="OE115" s="938"/>
      <c r="OG115" s="938">
        <f>SUM(OF14:OF113)</f>
        <v>0</v>
      </c>
      <c r="OH115" s="938"/>
      <c r="OI115" s="938"/>
      <c r="OJ115" s="938"/>
      <c r="OK115" s="938"/>
      <c r="OL115" s="938"/>
      <c r="OM115" s="938"/>
      <c r="ON115" s="938"/>
      <c r="OO115" s="938"/>
      <c r="OP115" s="938"/>
      <c r="OQ115" s="938"/>
      <c r="OR115" s="938"/>
      <c r="OS115" s="938"/>
      <c r="OT115" s="938"/>
      <c r="OV115" s="938">
        <f>SUM(OU14:OU113)</f>
        <v>0</v>
      </c>
      <c r="OW115" s="938"/>
      <c r="OX115" s="938"/>
      <c r="OY115" s="938"/>
      <c r="OZ115" s="938"/>
      <c r="PA115" s="938"/>
      <c r="PB115" s="938"/>
      <c r="PC115" s="938"/>
      <c r="PD115" s="938"/>
      <c r="PE115" s="938"/>
      <c r="PF115" s="938"/>
      <c r="PG115" s="938"/>
      <c r="PH115" s="938"/>
      <c r="PI115" s="938"/>
      <c r="PK115" s="938">
        <f>SUM(PJ14:PJ113)</f>
        <v>0</v>
      </c>
      <c r="PL115" s="938"/>
      <c r="PM115" s="938"/>
      <c r="PN115" s="938"/>
      <c r="PO115" s="938"/>
      <c r="PP115" s="938"/>
      <c r="PQ115" s="938"/>
      <c r="PR115" s="938"/>
      <c r="PS115" s="938"/>
      <c r="PT115" s="938"/>
      <c r="PU115" s="938"/>
      <c r="PV115" s="938"/>
      <c r="PW115" s="938"/>
      <c r="PX115" s="938"/>
      <c r="PZ115" s="938">
        <f>SUM(PY14:PY113)</f>
        <v>0</v>
      </c>
      <c r="QA115" s="938"/>
      <c r="QB115" s="938"/>
      <c r="QC115" s="938"/>
      <c r="QD115" s="938"/>
      <c r="QE115" s="938"/>
      <c r="QF115" s="938"/>
      <c r="QG115" s="938"/>
      <c r="QH115" s="938"/>
      <c r="QI115" s="938"/>
      <c r="QJ115" s="938"/>
      <c r="QK115" s="938"/>
      <c r="QL115" s="938"/>
      <c r="QM115" s="938"/>
      <c r="QO115" s="938">
        <f>SUM(QN14:QN113)</f>
        <v>0</v>
      </c>
      <c r="QP115" s="938"/>
      <c r="QQ115" s="938"/>
      <c r="QR115" s="938"/>
      <c r="QS115" s="938"/>
      <c r="QT115" s="938"/>
      <c r="QU115" s="938"/>
      <c r="QV115" s="938"/>
      <c r="QW115" s="938"/>
      <c r="QX115" s="938"/>
      <c r="QY115" s="938"/>
      <c r="QZ115" s="938"/>
      <c r="RA115" s="938"/>
      <c r="RB115" s="938"/>
      <c r="RD115" s="938">
        <f>SUM(RC14:RC113)</f>
        <v>0</v>
      </c>
      <c r="RE115" s="938"/>
      <c r="RF115" s="938"/>
      <c r="RG115" s="938"/>
      <c r="RH115" s="938"/>
      <c r="RI115" s="938"/>
      <c r="RJ115" s="938"/>
      <c r="RK115" s="938"/>
      <c r="RL115" s="938"/>
      <c r="RM115" s="938"/>
      <c r="RN115" s="938"/>
      <c r="RO115" s="938"/>
      <c r="RP115" s="938"/>
      <c r="RQ115" s="938"/>
    </row>
    <row r="116" spans="1:495" x14ac:dyDescent="0.2">
      <c r="T116" s="683"/>
      <c r="U116"/>
      <c r="AD116" s="683"/>
      <c r="AG116"/>
      <c r="AI116" s="683"/>
      <c r="AJ116"/>
      <c r="AQ116" s="683"/>
      <c r="AR116"/>
      <c r="AZ116" s="938"/>
      <c r="BA116" s="938"/>
      <c r="BB116" s="938"/>
      <c r="BC116" s="938"/>
      <c r="BD116" s="938"/>
      <c r="BE116" s="938"/>
      <c r="BF116" s="938"/>
      <c r="BG116" s="938"/>
      <c r="BH116" s="938"/>
      <c r="BI116" s="938"/>
      <c r="BJ116" s="938"/>
      <c r="BK116" s="938"/>
      <c r="BL116" s="938"/>
      <c r="BM116" s="938"/>
      <c r="BN116" s="691"/>
      <c r="BO116" s="938"/>
      <c r="BP116" s="938"/>
      <c r="BQ116" s="938"/>
      <c r="BR116" s="938"/>
      <c r="BS116" s="938"/>
      <c r="BT116" s="938"/>
      <c r="BU116" s="938"/>
      <c r="BV116" s="938"/>
      <c r="BW116" s="938"/>
      <c r="BX116" s="938"/>
      <c r="BY116" s="938"/>
      <c r="BZ116" s="938"/>
      <c r="CA116" s="938"/>
      <c r="CB116" s="938"/>
      <c r="CD116" s="938"/>
      <c r="CE116" s="938"/>
      <c r="CF116" s="938"/>
      <c r="CG116" s="938"/>
      <c r="CH116" s="938"/>
      <c r="CI116" s="938"/>
      <c r="CJ116" s="938"/>
      <c r="CK116" s="938"/>
      <c r="CL116" s="938"/>
      <c r="CM116" s="938"/>
      <c r="CN116" s="938"/>
      <c r="CO116" s="938"/>
      <c r="CP116" s="938"/>
      <c r="CQ116" s="938"/>
      <c r="CS116" s="938"/>
      <c r="CT116" s="938"/>
      <c r="CU116" s="938"/>
      <c r="CV116" s="938"/>
      <c r="CW116" s="938"/>
      <c r="CX116" s="938"/>
      <c r="CY116" s="938"/>
      <c r="CZ116" s="938"/>
      <c r="DA116" s="938"/>
      <c r="DB116" s="938"/>
      <c r="DC116" s="938"/>
      <c r="DD116" s="938"/>
      <c r="DE116" s="938"/>
      <c r="DF116" s="938"/>
      <c r="DH116" s="938"/>
      <c r="DI116" s="938"/>
      <c r="DJ116" s="938"/>
      <c r="DK116" s="938"/>
      <c r="DL116" s="938"/>
      <c r="DM116" s="938"/>
      <c r="DN116" s="938"/>
      <c r="DO116" s="938"/>
      <c r="DP116" s="938"/>
      <c r="DQ116" s="938"/>
      <c r="DR116" s="938"/>
      <c r="DS116" s="938"/>
      <c r="DT116" s="938"/>
      <c r="DU116" s="938"/>
      <c r="DW116" s="938"/>
      <c r="DX116" s="938"/>
      <c r="DY116" s="938"/>
      <c r="DZ116" s="938"/>
      <c r="EA116" s="938"/>
      <c r="EB116" s="938"/>
      <c r="EC116" s="938"/>
      <c r="ED116" s="938"/>
      <c r="EE116" s="938"/>
      <c r="EF116" s="938"/>
      <c r="EG116" s="938"/>
      <c r="EH116" s="938"/>
      <c r="EI116" s="938"/>
      <c r="EJ116" s="938"/>
      <c r="EL116" s="938"/>
      <c r="EM116" s="938"/>
      <c r="EN116" s="938"/>
      <c r="EO116" s="938"/>
      <c r="EP116" s="938"/>
      <c r="EQ116" s="938"/>
      <c r="ER116" s="938"/>
      <c r="ES116" s="938"/>
      <c r="ET116" s="938"/>
      <c r="EU116" s="938"/>
      <c r="EV116" s="938"/>
      <c r="EW116" s="938"/>
      <c r="EX116" s="938"/>
      <c r="EY116" s="938"/>
      <c r="FA116" s="938"/>
      <c r="FB116" s="938"/>
      <c r="FC116" s="938"/>
      <c r="FD116" s="938"/>
      <c r="FE116" s="938"/>
      <c r="FF116" s="938"/>
      <c r="FG116" s="938"/>
      <c r="FH116" s="938"/>
      <c r="FI116" s="938"/>
      <c r="FJ116" s="938"/>
      <c r="FK116" s="938"/>
      <c r="FL116" s="938"/>
      <c r="FM116" s="938"/>
      <c r="FN116" s="938"/>
      <c r="FP116" s="938"/>
      <c r="FQ116" s="938"/>
      <c r="FR116" s="938"/>
      <c r="FS116" s="938"/>
      <c r="FT116" s="938"/>
      <c r="FU116" s="938"/>
      <c r="FV116" s="938"/>
      <c r="FW116" s="938"/>
      <c r="FX116" s="938"/>
      <c r="FY116" s="938"/>
      <c r="FZ116" s="938"/>
      <c r="GA116" s="938"/>
      <c r="GB116" s="938"/>
      <c r="GC116" s="938"/>
      <c r="GE116" s="938"/>
      <c r="GF116" s="938"/>
      <c r="GG116" s="938"/>
      <c r="GH116" s="938"/>
      <c r="GI116" s="938"/>
      <c r="GJ116" s="938"/>
      <c r="GK116" s="938"/>
      <c r="GL116" s="938"/>
      <c r="GM116" s="938"/>
      <c r="GN116" s="938"/>
      <c r="GO116" s="938"/>
      <c r="GP116" s="938"/>
      <c r="GQ116" s="938"/>
      <c r="GR116" s="938"/>
      <c r="GT116" s="938"/>
      <c r="GU116" s="938"/>
      <c r="GV116" s="938"/>
      <c r="GW116" s="938"/>
      <c r="GX116" s="938"/>
      <c r="GY116" s="938"/>
      <c r="GZ116" s="938"/>
      <c r="HA116" s="938"/>
      <c r="HB116" s="938"/>
      <c r="HC116" s="938"/>
      <c r="HD116" s="938"/>
      <c r="HE116" s="938"/>
      <c r="HF116" s="938"/>
      <c r="HG116" s="938"/>
      <c r="HI116" s="938"/>
      <c r="HJ116" s="938"/>
      <c r="HK116" s="938"/>
      <c r="HL116" s="938"/>
      <c r="HM116" s="938"/>
      <c r="HN116" s="938"/>
      <c r="HO116" s="938"/>
      <c r="HP116" s="938"/>
      <c r="HQ116" s="938"/>
      <c r="HR116" s="938"/>
      <c r="HS116" s="938"/>
      <c r="HT116" s="938"/>
      <c r="HU116" s="938"/>
      <c r="HV116" s="938"/>
      <c r="HX116" s="938"/>
      <c r="HY116" s="938"/>
      <c r="HZ116" s="938"/>
      <c r="IA116" s="938"/>
      <c r="IB116" s="938"/>
      <c r="IC116" s="938"/>
      <c r="ID116" s="938"/>
      <c r="IE116" s="938"/>
      <c r="IF116" s="938"/>
      <c r="IG116" s="938"/>
      <c r="IH116" s="938"/>
      <c r="II116" s="938"/>
      <c r="IJ116" s="938"/>
      <c r="IK116" s="938"/>
      <c r="IM116" s="938"/>
      <c r="IN116" s="938"/>
      <c r="IO116" s="938"/>
      <c r="IP116" s="938"/>
      <c r="IQ116" s="938"/>
      <c r="IR116" s="938"/>
      <c r="IS116" s="938"/>
      <c r="IT116" s="938"/>
      <c r="IU116" s="938"/>
      <c r="IV116" s="938"/>
      <c r="IW116" s="938"/>
      <c r="IX116" s="938"/>
      <c r="IY116" s="938"/>
      <c r="IZ116" s="938"/>
      <c r="JB116" s="938"/>
      <c r="JC116" s="938"/>
      <c r="JD116" s="938"/>
      <c r="JE116" s="938"/>
      <c r="JF116" s="938"/>
      <c r="JG116" s="938"/>
      <c r="JH116" s="938"/>
      <c r="JI116" s="938"/>
      <c r="JJ116" s="938"/>
      <c r="JK116" s="938"/>
      <c r="JL116" s="938"/>
      <c r="JM116" s="938"/>
      <c r="JN116" s="938"/>
      <c r="JO116" s="938"/>
      <c r="JQ116" s="938"/>
      <c r="JR116" s="938"/>
      <c r="JS116" s="938"/>
      <c r="JT116" s="938"/>
      <c r="JU116" s="938"/>
      <c r="JV116" s="938"/>
      <c r="JW116" s="938"/>
      <c r="JX116" s="938"/>
      <c r="JY116" s="938"/>
      <c r="JZ116" s="938"/>
      <c r="KA116" s="938"/>
      <c r="KB116" s="938"/>
      <c r="KC116" s="938"/>
      <c r="KD116" s="938"/>
      <c r="KF116" s="938"/>
      <c r="KG116" s="938"/>
      <c r="KH116" s="938"/>
      <c r="KI116" s="938"/>
      <c r="KJ116" s="938"/>
      <c r="KK116" s="938"/>
      <c r="KL116" s="938"/>
      <c r="KM116" s="938"/>
      <c r="KN116" s="938"/>
      <c r="KO116" s="938"/>
      <c r="KP116" s="938"/>
      <c r="KQ116" s="938"/>
      <c r="KR116" s="938"/>
      <c r="KS116" s="938"/>
      <c r="KU116" s="938"/>
      <c r="KV116" s="938"/>
      <c r="KW116" s="938"/>
      <c r="KX116" s="938"/>
      <c r="KY116" s="938"/>
      <c r="KZ116" s="938"/>
      <c r="LA116" s="938"/>
      <c r="LB116" s="938"/>
      <c r="LC116" s="938"/>
      <c r="LD116" s="938"/>
      <c r="LE116" s="938"/>
      <c r="LF116" s="938"/>
      <c r="LG116" s="938"/>
      <c r="LH116" s="938"/>
      <c r="LJ116" s="938"/>
      <c r="LK116" s="938"/>
      <c r="LL116" s="938"/>
      <c r="LM116" s="938"/>
      <c r="LN116" s="938"/>
      <c r="LO116" s="938"/>
      <c r="LP116" s="938"/>
      <c r="LQ116" s="938"/>
      <c r="LR116" s="938"/>
      <c r="LS116" s="938"/>
      <c r="LT116" s="938"/>
      <c r="LU116" s="938"/>
      <c r="LV116" s="938"/>
      <c r="LW116" s="938"/>
      <c r="LY116" s="938"/>
      <c r="LZ116" s="938"/>
      <c r="MA116" s="938"/>
      <c r="MB116" s="938"/>
      <c r="MC116" s="938"/>
      <c r="MD116" s="938"/>
      <c r="ME116" s="938"/>
      <c r="MF116" s="938"/>
      <c r="MG116" s="938"/>
      <c r="MH116" s="938"/>
      <c r="MI116" s="938"/>
      <c r="MJ116" s="938"/>
      <c r="MK116" s="938"/>
      <c r="ML116" s="938"/>
      <c r="MN116" s="938"/>
      <c r="MO116" s="938"/>
      <c r="MP116" s="938"/>
      <c r="MQ116" s="938"/>
      <c r="MR116" s="938"/>
      <c r="MS116" s="938"/>
      <c r="MT116" s="938"/>
      <c r="MU116" s="938"/>
      <c r="MV116" s="938"/>
      <c r="MW116" s="938"/>
      <c r="MX116" s="938"/>
      <c r="MY116" s="938"/>
      <c r="MZ116" s="938"/>
      <c r="NA116" s="938"/>
      <c r="NC116" s="938"/>
      <c r="ND116" s="938"/>
      <c r="NE116" s="938"/>
      <c r="NF116" s="938"/>
      <c r="NG116" s="938"/>
      <c r="NH116" s="938"/>
      <c r="NI116" s="938"/>
      <c r="NJ116" s="938"/>
      <c r="NK116" s="938"/>
      <c r="NL116" s="938"/>
      <c r="NM116" s="938"/>
      <c r="NN116" s="938"/>
      <c r="NO116" s="938"/>
      <c r="NP116" s="938"/>
      <c r="NR116" s="938"/>
      <c r="NS116" s="938"/>
      <c r="NT116" s="938"/>
      <c r="NU116" s="938"/>
      <c r="NV116" s="938"/>
      <c r="NW116" s="938"/>
      <c r="NX116" s="938"/>
      <c r="NY116" s="938"/>
      <c r="NZ116" s="938"/>
      <c r="OA116" s="938"/>
      <c r="OB116" s="938"/>
      <c r="OC116" s="938"/>
      <c r="OD116" s="938"/>
      <c r="OE116" s="938"/>
      <c r="OG116" s="938"/>
      <c r="OH116" s="938"/>
      <c r="OI116" s="938"/>
      <c r="OJ116" s="938"/>
      <c r="OK116" s="938"/>
      <c r="OL116" s="938"/>
      <c r="OM116" s="938"/>
      <c r="ON116" s="938"/>
      <c r="OO116" s="938"/>
      <c r="OP116" s="938"/>
      <c r="OQ116" s="938"/>
      <c r="OR116" s="938"/>
      <c r="OS116" s="938"/>
      <c r="OT116" s="938"/>
      <c r="OV116" s="938"/>
      <c r="OW116" s="938"/>
      <c r="OX116" s="938"/>
      <c r="OY116" s="938"/>
      <c r="OZ116" s="938"/>
      <c r="PA116" s="938"/>
      <c r="PB116" s="938"/>
      <c r="PC116" s="938"/>
      <c r="PD116" s="938"/>
      <c r="PE116" s="938"/>
      <c r="PF116" s="938"/>
      <c r="PG116" s="938"/>
      <c r="PH116" s="938"/>
      <c r="PI116" s="938"/>
      <c r="PK116" s="938"/>
      <c r="PL116" s="938"/>
      <c r="PM116" s="938"/>
      <c r="PN116" s="938"/>
      <c r="PO116" s="938"/>
      <c r="PP116" s="938"/>
      <c r="PQ116" s="938"/>
      <c r="PR116" s="938"/>
      <c r="PS116" s="938"/>
      <c r="PT116" s="938"/>
      <c r="PU116" s="938"/>
      <c r="PV116" s="938"/>
      <c r="PW116" s="938"/>
      <c r="PX116" s="938"/>
      <c r="PZ116" s="938"/>
      <c r="QA116" s="938"/>
      <c r="QB116" s="938"/>
      <c r="QC116" s="938"/>
      <c r="QD116" s="938"/>
      <c r="QE116" s="938"/>
      <c r="QF116" s="938"/>
      <c r="QG116" s="938"/>
      <c r="QH116" s="938"/>
      <c r="QI116" s="938"/>
      <c r="QJ116" s="938"/>
      <c r="QK116" s="938"/>
      <c r="QL116" s="938"/>
      <c r="QM116" s="938"/>
      <c r="QO116" s="938"/>
      <c r="QP116" s="938"/>
      <c r="QQ116" s="938"/>
      <c r="QR116" s="938"/>
      <c r="QS116" s="938"/>
      <c r="QT116" s="938"/>
      <c r="QU116" s="938"/>
      <c r="QV116" s="938"/>
      <c r="QW116" s="938"/>
      <c r="QX116" s="938"/>
      <c r="QY116" s="938"/>
      <c r="QZ116" s="938"/>
      <c r="RA116" s="938"/>
      <c r="RB116" s="938"/>
      <c r="RD116" s="938"/>
      <c r="RE116" s="938"/>
      <c r="RF116" s="938"/>
      <c r="RG116" s="938"/>
      <c r="RH116" s="938"/>
      <c r="RI116" s="938"/>
      <c r="RJ116" s="938"/>
      <c r="RK116" s="938"/>
      <c r="RL116" s="938"/>
      <c r="RM116" s="938"/>
      <c r="RN116" s="938"/>
      <c r="RO116" s="938"/>
      <c r="RP116" s="938"/>
      <c r="RQ116" s="938"/>
    </row>
    <row r="117" spans="1:495" s="930" customFormat="1" x14ac:dyDescent="0.2">
      <c r="S117" s="938"/>
      <c r="AA117" s="474"/>
      <c r="AB117" s="581"/>
      <c r="AC117" s="581"/>
      <c r="AD117" s="1652" t="s">
        <v>1631</v>
      </c>
      <c r="AE117" s="1652"/>
      <c r="AF117" s="882" t="s">
        <v>1634</v>
      </c>
      <c r="AI117" s="882" t="s">
        <v>1630</v>
      </c>
      <c r="AJ117" s="930">
        <v>5</v>
      </c>
      <c r="AK117" s="930" t="str">
        <f>IF(AJ6=1,IF(AL9&gt;1,SUMIFS(AJ14:AJ113,AN14:AN113,"&gt;120",$C$14:$C$113,1,$L$14:$L$113,80,'#BerechnungDBE'!$AH$5:$AH$104,"&lt;&gt;4"),SUMIFS(AJ14:AJ113,$C$14:$C$113,1,$L$14:$L$113,80,'#BerechnungDBE'!$AH$5:$AH$104,"&lt;&gt;4")),"")</f>
        <v/>
      </c>
      <c r="AL117" s="938" t="str">
        <f>IF(OR(AK117="",AK117&lt;0.001),"",$AJ$117)</f>
        <v/>
      </c>
      <c r="AZ117" s="938" t="str">
        <f>IF(AY6=1,IF(BA9&gt;1,SUMIFS(AY14:AY113,BC14:BC113,"&gt;120",$C$14:$C$113,1,$L$14:$L$113,80,'#BerechnungDBE'!$AH$5:$AH$104,"&lt;&gt;4"),SUMIFS(AY14:AY113,$C$14:$C$113,1,$L$14:$L$113,80,'#BerechnungDBE'!$AH$5:$AH$104,"&lt;&gt;4")),"")</f>
        <v/>
      </c>
      <c r="BA117" s="938" t="str">
        <f>IF(OR(AZ117="",AZ117&lt;0.001),"",$AJ$117)</f>
        <v/>
      </c>
      <c r="BB117" s="938"/>
      <c r="BC117" s="938"/>
      <c r="BD117" s="938"/>
      <c r="BE117" s="938"/>
      <c r="BF117" s="938"/>
      <c r="BG117" s="938"/>
      <c r="BH117" s="938"/>
      <c r="BI117" s="938"/>
      <c r="BJ117" s="938"/>
      <c r="BK117" s="938"/>
      <c r="BL117" s="938"/>
      <c r="BM117" s="938"/>
      <c r="BO117" s="938" t="str">
        <f>IF(BN6=1,IF(BP9&gt;1,SUMIFS(BN14:BN113,BR14:BR113,"&gt;120",$C$14:$C$113,1,$L$14:$L$113,80,'#BerechnungDBE'!$AH$5:$AH$104,"&lt;&gt;4"),SUMIFS(BN14:BN113,$C$14:$C$113,1,$L$14:$L$113,80,'#BerechnungDBE'!$AH$5:$AH$104,"&lt;&gt;4")),"")</f>
        <v/>
      </c>
      <c r="BP117" s="938" t="str">
        <f>IF(OR(BO117="",BO117&lt;0.001),"",$AJ$117)</f>
        <v/>
      </c>
      <c r="BQ117" s="938"/>
      <c r="BR117" s="938"/>
      <c r="BS117" s="938"/>
      <c r="BT117" s="938"/>
      <c r="BU117" s="938"/>
      <c r="BV117" s="938"/>
      <c r="BW117" s="938"/>
      <c r="BX117" s="938"/>
      <c r="BY117" s="938"/>
      <c r="BZ117" s="938"/>
      <c r="CA117" s="938"/>
      <c r="CB117" s="938"/>
      <c r="CD117" s="938" t="str">
        <f>IF(CC6=1,IF(CE9&gt;1,SUMIFS(CC14:CC113,CG14:CG113,"&gt;120",$C$14:$C$113,1,$L$14:$L$113,80,'#BerechnungDBE'!$AH$5:$AH$104,"&lt;&gt;4"),SUMIFS(CC14:CC113,$C$14:$C$113,1,$L$14:$L$113,80,'#BerechnungDBE'!$AH$5:$AH$104,"&lt;&gt;4")),"")</f>
        <v/>
      </c>
      <c r="CE117" s="938" t="str">
        <f>IF(OR(CD117="",CD117&lt;0.001),"",$AJ$117)</f>
        <v/>
      </c>
      <c r="CF117" s="938"/>
      <c r="CG117" s="938"/>
      <c r="CH117" s="938"/>
      <c r="CI117" s="938"/>
      <c r="CJ117" s="938"/>
      <c r="CK117" s="938"/>
      <c r="CL117" s="938"/>
      <c r="CM117" s="938"/>
      <c r="CN117" s="938"/>
      <c r="CO117" s="938"/>
      <c r="CP117" s="938"/>
      <c r="CQ117" s="938"/>
      <c r="CS117" s="938" t="str">
        <f>IF(CR6=1,IF(CT9&gt;1,SUMIFS(CR14:CR113,CV14:CV113,"&gt;120",$C$14:$C$113,1,$L$14:$L$113,80,'#BerechnungDBE'!$AH$5:$AH$104,"&lt;&gt;4"),SUMIFS(CR14:CR113,$C$14:$C$113,1,$L$14:$L$113,80,'#BerechnungDBE'!$AH$5:$AH$104,"&lt;&gt;4")),"")</f>
        <v/>
      </c>
      <c r="CT117" s="938" t="str">
        <f>IF(OR(CS117="",CS117&lt;0.001),"",$AJ$117)</f>
        <v/>
      </c>
      <c r="CU117" s="938"/>
      <c r="CV117" s="938"/>
      <c r="CW117" s="938"/>
      <c r="CX117" s="938"/>
      <c r="CY117" s="938"/>
      <c r="CZ117" s="938"/>
      <c r="DA117" s="938"/>
      <c r="DB117" s="938"/>
      <c r="DC117" s="938"/>
      <c r="DD117" s="938"/>
      <c r="DE117" s="938"/>
      <c r="DF117" s="938"/>
      <c r="DH117" s="938" t="str">
        <f>IF(DG6=1,IF(DI9&gt;1,SUMIFS(DG14:DG113,DK14:DK113,"&gt;120",$C$14:$C$113,1,$L$14:$L$113,80,'#BerechnungDBE'!$AH$5:$AH$104,"&lt;&gt;4"),SUMIFS(DG14:DG113,$C$14:$C$113,1,$L$14:$L$113,80,'#BerechnungDBE'!$AH$5:$AH$104,"&lt;&gt;4")),"")</f>
        <v/>
      </c>
      <c r="DI117" s="938" t="str">
        <f>IF(OR(DH117="",DH117&lt;0.001),"",$AJ$117)</f>
        <v/>
      </c>
      <c r="DJ117" s="938"/>
      <c r="DK117" s="938"/>
      <c r="DL117" s="938"/>
      <c r="DM117" s="938"/>
      <c r="DN117" s="938"/>
      <c r="DO117" s="938"/>
      <c r="DP117" s="938"/>
      <c r="DQ117" s="938"/>
      <c r="DR117" s="938"/>
      <c r="DS117" s="938"/>
      <c r="DT117" s="938"/>
      <c r="DU117" s="938"/>
      <c r="DW117" s="938" t="str">
        <f>IF(DV6=1,IF(DX9&gt;1,SUMIFS(DV14:DV113,DZ14:DZ113,"&gt;120",$C$14:$C$113,1,$L$14:$L$113,80,'#BerechnungDBE'!$AH$5:$AH$104,"&lt;&gt;4"),SUMIFS(DV14:DV113,$C$14:$C$113,1,$L$14:$L$113,80,'#BerechnungDBE'!$AH$5:$AH$104,"&lt;&gt;4")),"")</f>
        <v/>
      </c>
      <c r="DX117" s="938" t="str">
        <f>IF(OR(DW117="",DW117&lt;0.001),"",$AJ$117)</f>
        <v/>
      </c>
      <c r="DY117" s="938"/>
      <c r="DZ117" s="938"/>
      <c r="EA117" s="938"/>
      <c r="EB117" s="938"/>
      <c r="EC117" s="938"/>
      <c r="ED117" s="938"/>
      <c r="EE117" s="938"/>
      <c r="EF117" s="938"/>
      <c r="EG117" s="938"/>
      <c r="EH117" s="938"/>
      <c r="EI117" s="938"/>
      <c r="EJ117" s="938"/>
      <c r="EL117" s="938" t="str">
        <f>IF(EK6=1,IF(EM9&gt;1,SUMIFS(EK14:EK113,EO14:EO113,"&gt;120",$C$14:$C$113,1,$L$14:$L$113,80,'#BerechnungDBE'!$AH$5:$AH$104,"&lt;&gt;4"),SUMIFS(EK14:EK113,$C$14:$C$113,1,$L$14:$L$113,80,'#BerechnungDBE'!$AH$5:$AH$104,"&lt;&gt;4")),"")</f>
        <v/>
      </c>
      <c r="EM117" s="938" t="str">
        <f>IF(OR(EL117="",EL117&lt;0.001),"",$AJ$117)</f>
        <v/>
      </c>
      <c r="EN117" s="938"/>
      <c r="EO117" s="938"/>
      <c r="EP117" s="938"/>
      <c r="EQ117" s="938"/>
      <c r="ER117" s="938"/>
      <c r="ES117" s="938"/>
      <c r="ET117" s="938"/>
      <c r="EU117" s="938"/>
      <c r="EV117" s="938"/>
      <c r="EW117" s="938"/>
      <c r="EX117" s="938"/>
      <c r="EY117" s="938"/>
      <c r="FA117" s="938" t="str">
        <f>IF(EZ6=1,IF(FB9&gt;1,SUMIFS(EZ14:EZ113,FD14:FD113,"&gt;120",$C$14:$C$113,1,$L$14:$L$113,80,'#BerechnungDBE'!$AH$5:$AH$104,"&lt;&gt;4"),SUMIFS(EZ14:EZ113,$C$14:$C$113,1,$L$14:$L$113,80,'#BerechnungDBE'!$AH$5:$AH$104,"&lt;&gt;4")),"")</f>
        <v/>
      </c>
      <c r="FB117" s="938" t="str">
        <f>IF(OR(FA117="",FA117&lt;0.001),"",$AJ$117)</f>
        <v/>
      </c>
      <c r="FC117" s="938"/>
      <c r="FD117" s="938"/>
      <c r="FE117" s="938"/>
      <c r="FF117" s="938"/>
      <c r="FG117" s="938"/>
      <c r="FH117" s="938"/>
      <c r="FI117" s="938"/>
      <c r="FJ117" s="938"/>
      <c r="FK117" s="938"/>
      <c r="FL117" s="938"/>
      <c r="FM117" s="938"/>
      <c r="FN117" s="938"/>
      <c r="FP117" s="938" t="str">
        <f>IF(FO6=1,IF(FQ9&gt;1,SUMIFS(FO14:FO113,FS14:FS113,"&gt;120",$C$14:$C$113,1,$L$14:$L$113,80,'#BerechnungDBE'!$AH$5:$AH$104,"&lt;&gt;4"),SUMIFS(FO14:FO113,$C$14:$C$113,1,$L$14:$L$113,80,'#BerechnungDBE'!$AH$5:$AH$104,"&lt;&gt;4")),"")</f>
        <v/>
      </c>
      <c r="FQ117" s="938" t="str">
        <f>IF(OR(FP117="",FP117&lt;0.001),"",$AJ$117)</f>
        <v/>
      </c>
      <c r="FR117" s="938"/>
      <c r="FS117" s="938"/>
      <c r="FT117" s="938"/>
      <c r="FU117" s="938"/>
      <c r="FV117" s="938"/>
      <c r="FW117" s="938"/>
      <c r="FX117" s="938"/>
      <c r="FY117" s="938"/>
      <c r="FZ117" s="938"/>
      <c r="GA117" s="938"/>
      <c r="GB117" s="938"/>
      <c r="GC117" s="938"/>
      <c r="GE117" s="938" t="str">
        <f>IF(GD6=1,IF(GF9&gt;1,SUMIFS(GD14:GD113,GH14:GH113,"&gt;120",$C$14:$C$113,1,$L$14:$L$113,80,'#BerechnungDBE'!$AH$5:$AH$104,"&lt;&gt;4"),SUMIFS(GD14:GD113,$C$14:$C$113,1,$L$14:$L$113,80,'#BerechnungDBE'!$AH$5:$AH$104,"&lt;&gt;4")),"")</f>
        <v/>
      </c>
      <c r="GF117" s="938" t="str">
        <f>IF(OR(GE117="",GE117&lt;0.001),"",$AJ$117)</f>
        <v/>
      </c>
      <c r="GG117" s="938"/>
      <c r="GH117" s="938"/>
      <c r="GI117" s="938"/>
      <c r="GJ117" s="938"/>
      <c r="GK117" s="938"/>
      <c r="GL117" s="938"/>
      <c r="GM117" s="938"/>
      <c r="GN117" s="938"/>
      <c r="GO117" s="938"/>
      <c r="GP117" s="938"/>
      <c r="GQ117" s="938"/>
      <c r="GR117" s="938"/>
      <c r="GT117" s="938" t="str">
        <f>IF(GS6=1,IF(GU9&gt;1,SUMIFS(GS14:GS113,GW14:GW113,"&gt;120",$C$14:$C$113,1,$L$14:$L$113,80,'#BerechnungDBE'!$AH$5:$AH$104,"&lt;&gt;4"),SUMIFS(GS14:GS113,$C$14:$C$113,1,$L$14:$L$113,80,'#BerechnungDBE'!$AH$5:$AH$104,"&lt;&gt;4")),"")</f>
        <v/>
      </c>
      <c r="GU117" s="938" t="str">
        <f>IF(OR(GT117="",GT117&lt;0.001),"",$AJ$117)</f>
        <v/>
      </c>
      <c r="GV117" s="938"/>
      <c r="GW117" s="938"/>
      <c r="GX117" s="938"/>
      <c r="GY117" s="938"/>
      <c r="GZ117" s="938"/>
      <c r="HA117" s="938"/>
      <c r="HB117" s="938"/>
      <c r="HC117" s="938"/>
      <c r="HD117" s="938"/>
      <c r="HE117" s="938"/>
      <c r="HF117" s="938"/>
      <c r="HG117" s="938"/>
      <c r="HI117" s="938" t="str">
        <f>IF(HH6=1,IF(HJ9&gt;1,SUMIFS(HH14:HH113,HL14:HL113,"&gt;120",$C$14:$C$113,1,$L$14:$L$113,80,'#BerechnungDBE'!$AH$5:$AH$104,"&lt;&gt;4"),SUMIFS(HH14:HH113,$C$14:$C$113,1,$L$14:$L$113,80,'#BerechnungDBE'!$AH$5:$AH$104,"&lt;&gt;4")),"")</f>
        <v/>
      </c>
      <c r="HJ117" s="938" t="str">
        <f>IF(OR(HI117="",HI117&lt;0.001),"",$AJ$117)</f>
        <v/>
      </c>
      <c r="HK117" s="938"/>
      <c r="HL117" s="938"/>
      <c r="HM117" s="938"/>
      <c r="HN117" s="938"/>
      <c r="HO117" s="938"/>
      <c r="HP117" s="938"/>
      <c r="HQ117" s="938"/>
      <c r="HR117" s="938"/>
      <c r="HS117" s="938"/>
      <c r="HT117" s="938"/>
      <c r="HU117" s="938"/>
      <c r="HV117" s="938"/>
      <c r="HX117" s="938" t="str">
        <f>IF(HW6=1,IF(HY9&gt;1,SUMIFS(HW14:HW113,IA14:IA113,"&gt;120",$C$14:$C$113,1,$L$14:$L$113,80,'#BerechnungDBE'!$AH$5:$AH$104,"&lt;&gt;4"),SUMIFS(HW14:HW113,$C$14:$C$113,1,$L$14:$L$113,80,'#BerechnungDBE'!$AH$5:$AH$104,"&lt;&gt;4")),"")</f>
        <v/>
      </c>
      <c r="HY117" s="938" t="str">
        <f>IF(OR(HX117="",HX117&lt;0.001),"",$AJ$117)</f>
        <v/>
      </c>
      <c r="HZ117" s="938"/>
      <c r="IA117" s="938"/>
      <c r="IB117" s="938"/>
      <c r="IC117" s="938"/>
      <c r="ID117" s="938"/>
      <c r="IE117" s="938"/>
      <c r="IF117" s="938"/>
      <c r="IG117" s="938"/>
      <c r="IH117" s="938"/>
      <c r="II117" s="938"/>
      <c r="IJ117" s="938"/>
      <c r="IK117" s="938"/>
      <c r="IM117" s="938" t="str">
        <f>IF(IL6=1,IF(IN9&gt;1,SUMIFS(IL14:IL113,IP14:IP113,"&gt;120",$C$14:$C$113,1,$L$14:$L$113,80,'#BerechnungDBE'!$AH$5:$AH$104,"&lt;&gt;4"),SUMIFS(IL14:IL113,$C$14:$C$113,1,$L$14:$L$113,80,'#BerechnungDBE'!$AH$5:$AH$104,"&lt;&gt;4")),"")</f>
        <v/>
      </c>
      <c r="IN117" s="938" t="str">
        <f>IF(OR(IM117="",IM117&lt;0.001),"",$AJ$117)</f>
        <v/>
      </c>
      <c r="IO117" s="938"/>
      <c r="IP117" s="938"/>
      <c r="IQ117" s="938"/>
      <c r="IR117" s="938"/>
      <c r="IS117" s="938"/>
      <c r="IT117" s="938"/>
      <c r="IU117" s="938"/>
      <c r="IV117" s="938"/>
      <c r="IW117" s="938"/>
      <c r="IX117" s="938"/>
      <c r="IY117" s="938"/>
      <c r="IZ117" s="938"/>
      <c r="JB117" s="938" t="str">
        <f>IF(JA6=1,IF(JC9&gt;1,SUMIFS(JA14:JA113,JE14:JE113,"&gt;120",$C$14:$C$113,1,$L$14:$L$113,80,'#BerechnungDBE'!$AH$5:$AH$104,"&lt;&gt;4"),SUMIFS(JA14:JA113,$C$14:$C$113,1,$L$14:$L$113,80,'#BerechnungDBE'!$AH$5:$AH$104,"&lt;&gt;4")),"")</f>
        <v/>
      </c>
      <c r="JC117" s="938" t="str">
        <f>IF(OR(JB117="",JB117&lt;0.001),"",$AJ$117)</f>
        <v/>
      </c>
      <c r="JD117" s="938"/>
      <c r="JE117" s="938"/>
      <c r="JF117" s="938"/>
      <c r="JG117" s="938"/>
      <c r="JH117" s="938"/>
      <c r="JI117" s="938"/>
      <c r="JJ117" s="938"/>
      <c r="JK117" s="938"/>
      <c r="JL117" s="938"/>
      <c r="JM117" s="938"/>
      <c r="JN117" s="938"/>
      <c r="JO117" s="938"/>
      <c r="JQ117" s="938" t="str">
        <f>IF(JP6=1,IF(JR9&gt;1,SUMIFS(JP14:JP113,JT14:JT113,"&gt;120",$C$14:$C$113,1,$L$14:$L$113,80,'#BerechnungDBE'!$AH$5:$AH$104,"&lt;&gt;4"),SUMIFS(JP14:JP113,$C$14:$C$113,1,$L$14:$L$113,80,'#BerechnungDBE'!$AH$5:$AH$104,"&lt;&gt;4")),"")</f>
        <v/>
      </c>
      <c r="JR117" s="938" t="str">
        <f>IF(OR(JQ117="",JQ117&lt;0.001),"",$AJ$117)</f>
        <v/>
      </c>
      <c r="JS117" s="938"/>
      <c r="JT117" s="938"/>
      <c r="JU117" s="938"/>
      <c r="JV117" s="938"/>
      <c r="JW117" s="938"/>
      <c r="JX117" s="938"/>
      <c r="JY117" s="938"/>
      <c r="JZ117" s="938"/>
      <c r="KA117" s="938"/>
      <c r="KB117" s="938"/>
      <c r="KC117" s="938"/>
      <c r="KD117" s="938"/>
      <c r="KF117" s="938" t="str">
        <f>IF(KE6=1,IF(KG9&gt;1,SUMIFS(KE14:KE113,KI14:KI113,"&gt;120",$C$14:$C$113,1,$L$14:$L$113,80,'#BerechnungDBE'!$AH$5:$AH$104,"&lt;&gt;4"),SUMIFS(KE14:KE113,$C$14:$C$113,1,$L$14:$L$113,80,'#BerechnungDBE'!$AH$5:$AH$104,"&lt;&gt;4")),"")</f>
        <v/>
      </c>
      <c r="KG117" s="938" t="str">
        <f>IF(OR(KF117="",KF117&lt;0.001),"",$AJ$117)</f>
        <v/>
      </c>
      <c r="KH117" s="938"/>
      <c r="KI117" s="938"/>
      <c r="KJ117" s="938"/>
      <c r="KK117" s="938"/>
      <c r="KL117" s="938"/>
      <c r="KM117" s="938"/>
      <c r="KN117" s="938"/>
      <c r="KO117" s="938"/>
      <c r="KP117" s="938"/>
      <c r="KQ117" s="938"/>
      <c r="KR117" s="938"/>
      <c r="KS117" s="938"/>
      <c r="KU117" s="938" t="str">
        <f>IF(KT6=1,IF(KV9&gt;1,SUMIFS(KT14:KT113,KX14:KX113,"&gt;120",$C$14:$C$113,1,$L$14:$L$113,80,'#BerechnungDBE'!$AH$5:$AH$104,"&lt;&gt;4"),SUMIFS(KT14:KT113,$C$14:$C$113,1,$L$14:$L$113,80,'#BerechnungDBE'!$AH$5:$AH$104,"&lt;&gt;4")),"")</f>
        <v/>
      </c>
      <c r="KV117" s="938" t="str">
        <f>IF(OR(KU117="",KU117&lt;0.001),"",$AJ$117)</f>
        <v/>
      </c>
      <c r="KW117" s="938"/>
      <c r="KX117" s="938"/>
      <c r="KY117" s="938"/>
      <c r="KZ117" s="938"/>
      <c r="LA117" s="938"/>
      <c r="LB117" s="938"/>
      <c r="LC117" s="938"/>
      <c r="LD117" s="938"/>
      <c r="LE117" s="938"/>
      <c r="LF117" s="938"/>
      <c r="LG117" s="938"/>
      <c r="LH117" s="938"/>
      <c r="LJ117" s="938" t="str">
        <f>IF(LI6=1,IF(LK9&gt;1,SUMIFS(LI14:LI113,LM14:LM113,"&gt;120",$C$14:$C$113,1,$L$14:$L$113,80,'#BerechnungDBE'!$AH$5:$AH$104,"&lt;&gt;4"),SUMIFS(LI14:LI113,$C$14:$C$113,1,$L$14:$L$113,80,'#BerechnungDBE'!$AH$5:$AH$104,"&lt;&gt;4")),"")</f>
        <v/>
      </c>
      <c r="LK117" s="938" t="str">
        <f>IF(OR(LJ117="",LJ117&lt;0.001),"",$AJ$117)</f>
        <v/>
      </c>
      <c r="LL117" s="938"/>
      <c r="LM117" s="938"/>
      <c r="LN117" s="938"/>
      <c r="LO117" s="938"/>
      <c r="LP117" s="938"/>
      <c r="LQ117" s="938"/>
      <c r="LR117" s="938"/>
      <c r="LS117" s="938"/>
      <c r="LT117" s="938"/>
      <c r="LU117" s="938"/>
      <c r="LV117" s="938"/>
      <c r="LW117" s="938"/>
      <c r="LY117" s="938" t="str">
        <f>IF(LX6=1,IF(LZ9&gt;1,SUMIFS(LX14:LX113,MB14:MB113,"&gt;120",$C$14:$C$113,1,$L$14:$L$113,80,'#BerechnungDBE'!$AH$5:$AH$104,"&lt;&gt;4"),SUMIFS(LX14:LX113,$C$14:$C$113,1,$L$14:$L$113,80,'#BerechnungDBE'!$AH$5:$AH$104,"&lt;&gt;4")),"")</f>
        <v/>
      </c>
      <c r="LZ117" s="938" t="str">
        <f>IF(OR(LY117="",LY117&lt;0.001),"",$AJ$117)</f>
        <v/>
      </c>
      <c r="MA117" s="938"/>
      <c r="MB117" s="938"/>
      <c r="MC117" s="938"/>
      <c r="MD117" s="938"/>
      <c r="ME117" s="938"/>
      <c r="MF117" s="938"/>
      <c r="MG117" s="938"/>
      <c r="MH117" s="938"/>
      <c r="MI117" s="938"/>
      <c r="MJ117" s="938"/>
      <c r="MK117" s="938"/>
      <c r="ML117" s="938"/>
      <c r="MN117" s="938" t="str">
        <f>IF(MM6=1,IF(MO9&gt;1,SUMIFS(MM14:MM113,MQ14:MQ113,"&gt;120",$C$14:$C$113,1,$L$14:$L$113,80,'#BerechnungDBE'!$AH$5:$AH$104,"&lt;&gt;4"),SUMIFS(MM14:MM113,$C$14:$C$113,1,$L$14:$L$113,80,'#BerechnungDBE'!$AH$5:$AH$104,"&lt;&gt;4")),"")</f>
        <v/>
      </c>
      <c r="MO117" s="938" t="str">
        <f>IF(OR(MN117="",MN117&lt;0.001),"",$AJ$117)</f>
        <v/>
      </c>
      <c r="MP117" s="938"/>
      <c r="MQ117" s="938"/>
      <c r="MR117" s="938"/>
      <c r="MS117" s="938"/>
      <c r="MT117" s="938"/>
      <c r="MU117" s="938"/>
      <c r="MV117" s="938"/>
      <c r="MW117" s="938"/>
      <c r="MX117" s="938"/>
      <c r="MY117" s="938"/>
      <c r="MZ117" s="938"/>
      <c r="NA117" s="938"/>
      <c r="NC117" s="938" t="str">
        <f>IF(NB6=1,IF(ND9&gt;1,SUMIFS(NB14:NB113,NF14:NF113,"&gt;120",$C$14:$C$113,1,$L$14:$L$113,80,'#BerechnungDBE'!$AH$5:$AH$104,"&lt;&gt;4"),SUMIFS(NB14:NB113,$C$14:$C$113,1,$L$14:$L$113,80,'#BerechnungDBE'!$AH$5:$AH$104,"&lt;&gt;4")),"")</f>
        <v/>
      </c>
      <c r="ND117" s="938" t="str">
        <f>IF(OR(NC117="",NC117&lt;0.001),"",$AJ$117)</f>
        <v/>
      </c>
      <c r="NE117" s="938"/>
      <c r="NF117" s="938"/>
      <c r="NG117" s="938"/>
      <c r="NH117" s="938"/>
      <c r="NI117" s="938"/>
      <c r="NJ117" s="938"/>
      <c r="NK117" s="938"/>
      <c r="NL117" s="938"/>
      <c r="NM117" s="938"/>
      <c r="NN117" s="938"/>
      <c r="NO117" s="938"/>
      <c r="NP117" s="938"/>
      <c r="NR117" s="938" t="str">
        <f>IF(NQ6=1,IF(NS9&gt;1,SUMIFS(NQ14:NQ113,NU14:NU113,"&gt;120",$C$14:$C$113,1,$L$14:$L$113,80,'#BerechnungDBE'!$AH$5:$AH$104,"&lt;&gt;4"),SUMIFS(NQ14:NQ113,$C$14:$C$113,1,$L$14:$L$113,80,'#BerechnungDBE'!$AH$5:$AH$104,"&lt;&gt;4")),"")</f>
        <v/>
      </c>
      <c r="NS117" s="938" t="str">
        <f>IF(OR(NR117="",NR117&lt;0.001),"",$AJ$117)</f>
        <v/>
      </c>
      <c r="NT117" s="938"/>
      <c r="NU117" s="938"/>
      <c r="NV117" s="938"/>
      <c r="NW117" s="938"/>
      <c r="NX117" s="938"/>
      <c r="NY117" s="938"/>
      <c r="NZ117" s="938"/>
      <c r="OA117" s="938"/>
      <c r="OB117" s="938"/>
      <c r="OC117" s="938"/>
      <c r="OD117" s="938"/>
      <c r="OE117" s="938"/>
      <c r="OG117" s="938" t="str">
        <f>IF(OF6=1,IF(OH9&gt;1,SUMIFS(OF14:OF113,OJ14:OJ113,"&gt;120",$C$14:$C$113,1,$L$14:$L$113,80,'#BerechnungDBE'!$AH$5:$AH$104,"&lt;&gt;4"),SUMIFS(OF14:OF113,$C$14:$C$113,1,$L$14:$L$113,80,'#BerechnungDBE'!$AH$5:$AH$104,"&lt;&gt;4")),"")</f>
        <v/>
      </c>
      <c r="OH117" s="938" t="str">
        <f>IF(OR(OG117="",OG117&lt;0.001),"",$AJ$117)</f>
        <v/>
      </c>
      <c r="OI117" s="938"/>
      <c r="OJ117" s="938"/>
      <c r="OK117" s="938"/>
      <c r="OL117" s="938"/>
      <c r="OM117" s="938"/>
      <c r="ON117" s="938"/>
      <c r="OO117" s="938"/>
      <c r="OP117" s="938"/>
      <c r="OQ117" s="938"/>
      <c r="OR117" s="938"/>
      <c r="OS117" s="938"/>
      <c r="OT117" s="938"/>
      <c r="OV117" s="938" t="str">
        <f>IF(OU6=1,IF(OW9&gt;1,SUMIFS(OU14:OU113,OY14:OY113,"&gt;120",$C$14:$C$113,1,$L$14:$L$113,80,'#BerechnungDBE'!$AH$5:$AH$104,"&lt;&gt;4"),SUMIFS(OU14:OU113,$C$14:$C$113,1,$L$14:$L$113,80,'#BerechnungDBE'!$AH$5:$AH$104,"&lt;&gt;4")),"")</f>
        <v/>
      </c>
      <c r="OW117" s="938" t="str">
        <f>IF(OR(OV117="",OV117&lt;0.001),"",$AJ$117)</f>
        <v/>
      </c>
      <c r="OX117" s="938"/>
      <c r="OY117" s="938"/>
      <c r="OZ117" s="938"/>
      <c r="PA117" s="938"/>
      <c r="PB117" s="938"/>
      <c r="PC117" s="938"/>
      <c r="PD117" s="938"/>
      <c r="PE117" s="938"/>
      <c r="PF117" s="938"/>
      <c r="PG117" s="938"/>
      <c r="PH117" s="938"/>
      <c r="PI117" s="938"/>
      <c r="PK117" s="938" t="str">
        <f>IF(PJ6=1,IF(PL9&gt;1,SUMIFS(PJ14:PJ113,PN14:PN113,"&gt;120",$C$14:$C$113,1,$L$14:$L$113,80,'#BerechnungDBE'!$AH$5:$AH$104,"&lt;&gt;4"),SUMIFS(PJ14:PJ113,$C$14:$C$113,1,$L$14:$L$113,80,'#BerechnungDBE'!$AH$5:$AH$104,"&lt;&gt;4")),"")</f>
        <v/>
      </c>
      <c r="PL117" s="938" t="str">
        <f>IF(OR(PK117="",PK117&lt;0.001),"",$AJ$117)</f>
        <v/>
      </c>
      <c r="PM117" s="938"/>
      <c r="PN117" s="938"/>
      <c r="PO117" s="938"/>
      <c r="PP117" s="938"/>
      <c r="PQ117" s="938"/>
      <c r="PR117" s="938"/>
      <c r="PS117" s="938"/>
      <c r="PT117" s="938"/>
      <c r="PU117" s="938"/>
      <c r="PV117" s="938"/>
      <c r="PW117" s="938"/>
      <c r="PX117" s="938"/>
      <c r="PZ117" s="938" t="str">
        <f>IF(PY6=1,IF(QA9&gt;1,SUMIFS(PY14:PY113,QC14:QC113,"&gt;120",$C$14:$C$113,1,$L$14:$L$113,80,'#BerechnungDBE'!$AH$5:$AH$104,"&lt;&gt;4"),SUMIFS(PY14:PY113,$C$14:$C$113,1,$L$14:$L$113,80,'#BerechnungDBE'!$AH$5:$AH$104,"&lt;&gt;4")),"")</f>
        <v/>
      </c>
      <c r="QA117" s="938" t="str">
        <f>IF(OR(PZ117="",PZ117&lt;0.001),"",$AJ$117)</f>
        <v/>
      </c>
      <c r="QB117" s="938"/>
      <c r="QC117" s="938"/>
      <c r="QD117" s="938"/>
      <c r="QE117" s="938"/>
      <c r="QF117" s="938"/>
      <c r="QG117" s="938"/>
      <c r="QH117" s="938"/>
      <c r="QI117" s="938"/>
      <c r="QJ117" s="938"/>
      <c r="QK117" s="938"/>
      <c r="QL117" s="938"/>
      <c r="QM117" s="938"/>
      <c r="QO117" s="938" t="str">
        <f>IF(QN6=1,IF(QP9&gt;1,SUMIFS(QN14:QN113,QR14:QR113,"&gt;120",$C$14:$C$113,1,$L$14:$L$113,80,'#BerechnungDBE'!$AH$5:$AH$104,"&lt;&gt;4"),SUMIFS(QN14:QN113,$C$14:$C$113,1,$L$14:$L$113,80,'#BerechnungDBE'!$AH$5:$AH$104,"&lt;&gt;4")),"")</f>
        <v/>
      </c>
      <c r="QP117" s="938" t="str">
        <f>IF(OR(QO117="",QO117&lt;0.001),"",$AJ$117)</f>
        <v/>
      </c>
      <c r="QQ117" s="938"/>
      <c r="QR117" s="938"/>
      <c r="QS117" s="938"/>
      <c r="QT117" s="938"/>
      <c r="QU117" s="938"/>
      <c r="QV117" s="938"/>
      <c r="QW117" s="938"/>
      <c r="QX117" s="938"/>
      <c r="QY117" s="938"/>
      <c r="QZ117" s="938"/>
      <c r="RA117" s="938"/>
      <c r="RB117" s="938"/>
      <c r="RD117" s="938" t="str">
        <f>IF(RC6=1,IF(RE9&gt;1,SUMIFS(RC14:RC113,RG14:RG113,"&gt;120",$C$14:$C$113,1,$L$14:$L$113,80,'#BerechnungDBE'!$AH$5:$AH$104,"&lt;&gt;4"),SUMIFS(RC14:RC113,$C$14:$C$113,1,$L$14:$L$113,80,'#BerechnungDBE'!$AH$5:$AH$104,"&lt;&gt;4")),"")</f>
        <v/>
      </c>
      <c r="RE117" s="938" t="str">
        <f>IF(OR(RD117="",RD117&lt;0.001),"",$AJ$117)</f>
        <v/>
      </c>
      <c r="RF117" s="938"/>
      <c r="RG117" s="938"/>
      <c r="RH117" s="938"/>
      <c r="RI117" s="938"/>
      <c r="RJ117" s="938"/>
      <c r="RK117" s="938"/>
      <c r="RL117" s="938"/>
      <c r="RM117" s="938"/>
      <c r="RN117" s="938"/>
      <c r="RO117" s="938"/>
      <c r="RP117" s="938"/>
      <c r="RQ117" s="938"/>
    </row>
    <row r="118" spans="1:495" s="930" customFormat="1" x14ac:dyDescent="0.2">
      <c r="S118" s="938"/>
      <c r="AA118" s="474"/>
      <c r="AB118" s="256"/>
      <c r="AC118" s="256"/>
      <c r="AD118" s="256" t="s">
        <v>1632</v>
      </c>
      <c r="AE118" s="944" t="s">
        <v>1633</v>
      </c>
      <c r="AI118" s="882" t="s">
        <v>1041</v>
      </c>
      <c r="AJ118" s="930">
        <v>11</v>
      </c>
      <c r="AK118" s="256" t="str">
        <f>IF(AJ6&gt;1,"",IF(AL$9=1,IF(AND(AJ4&gt;=$AD$123,AJ4&lt;=$AE$123),SUMIF($L$14:$L$113,70,AJ14:AJ113),0),IF(AL9=2,IF(AND(AJ4&gt;=$AD$126,AJ4&lt;=$AE$126),SUMIF($L$14:$L$113,70,AJ14:AJ113),IF(AND(AJ4&gt;=$AF$126,AJ4&lt;=$AG$126),SUMIFS(AJ14:AJ113,$L$14:$L$113,70,$C$14:$C$113,1),0)),IF(AND(AJ4&gt;=$AD$127,AJ4&lt;=$AE$127),SUMIF($L$14:$L$113,70,AJ14:AJ113),0))))</f>
        <v/>
      </c>
      <c r="AL118" s="930" t="str">
        <f>IF(OR(AK118="",AK118&lt;0.001),"",$AJ$118)</f>
        <v/>
      </c>
      <c r="AZ118" s="256" t="str">
        <f>IF(AY6&gt;1,"",IF(BA$9=1,IF(AND(AY4&gt;=$AD$123,AY4&lt;=$AE$123),SUMIF($L$14:$L$113,70,AY14:AY113),0),IF(BA9=2,IF(AND(AY4&gt;=$AD$126,AY4&lt;=$AE$126),SUMIF($L$14:$L$113,70,AY14:AY113),IF(AND(AY4&gt;=$AF$126,AY4&lt;=$AG$126),SUMIFS(AY14:AY113,$L$14:$L$113,70,$C$14:$C$113,1),0)),IF(AND(AY4&gt;=$AD$127,AY4&lt;=$AE$127),SUMIF($L$14:$L$113,70,AY14:AY113),0))))</f>
        <v/>
      </c>
      <c r="BA118" s="938" t="str">
        <f>IF(OR(AZ118="",AZ118&lt;0.001),"",$AJ$118)</f>
        <v/>
      </c>
      <c r="BB118" s="938"/>
      <c r="BC118" s="938"/>
      <c r="BD118" s="938"/>
      <c r="BE118" s="938"/>
      <c r="BF118" s="938"/>
      <c r="BG118" s="938"/>
      <c r="BH118" s="938"/>
      <c r="BI118" s="938"/>
      <c r="BJ118" s="938"/>
      <c r="BK118" s="938"/>
      <c r="BL118" s="938"/>
      <c r="BM118" s="938"/>
      <c r="BO118" s="256" t="str">
        <f>IF(BN6&gt;1,"",IF(BP$9=1,IF(AND(BN4&gt;=$AD$123,BN4&lt;=$AE$123),SUMIF($L$14:$L$113,70,BN14:BN113),0),IF(BP9=2,IF(AND(BN4&gt;=$AD$126,BN4&lt;=$AE$126),SUMIF($L$14:$L$113,70,BN14:BN113),IF(AND(BN4&gt;=$AF$126,BN4&lt;=$AG$126),SUMIFS(BN14:BN113,$L$14:$L$113,70,$C$14:$C$113,1),0)),IF(AND(BN4&gt;=$AD$127,BN4&lt;=$AE$127),SUMIF($L$14:$L$113,70,BN14:BN113),0))))</f>
        <v/>
      </c>
      <c r="BP118" s="938" t="str">
        <f>IF(OR(BO118="",BO118&lt;0.001),"",$AJ$118)</f>
        <v/>
      </c>
      <c r="BQ118" s="938"/>
      <c r="BR118" s="938"/>
      <c r="BS118" s="938"/>
      <c r="BT118" s="938"/>
      <c r="BU118" s="938"/>
      <c r="BV118" s="938"/>
      <c r="BW118" s="938"/>
      <c r="BX118" s="938"/>
      <c r="BY118" s="938"/>
      <c r="BZ118" s="938"/>
      <c r="CA118" s="938"/>
      <c r="CB118" s="938"/>
      <c r="CD118" s="256" t="str">
        <f>IF(CC6&gt;1,"",IF(CE$9=1,IF(AND(CC4&gt;=$AD$123,CC4&lt;=$AE$123),SUMIF($L$14:$L$113,70,CC14:CC113),0),IF(CE9=2,IF(AND(CC4&gt;=$AD$126,CC4&lt;=$AE$126),SUMIF($L$14:$L$113,70,CC14:CC113),IF(AND(CC4&gt;=$AF$126,CC4&lt;=$AG$126),SUMIFS(CC14:CC113,$L$14:$L$113,70,$C$14:$C$113,1),0)),IF(AND(CC4&gt;=$AD$127,CC4&lt;=$AE$127),SUMIF($L$14:$L$113,70,CC14:CC113),0))))</f>
        <v/>
      </c>
      <c r="CE118" s="938" t="str">
        <f>IF(OR(CD118="",CD118&lt;0.001),"",$AJ$118)</f>
        <v/>
      </c>
      <c r="CF118" s="938"/>
      <c r="CG118" s="938"/>
      <c r="CH118" s="938"/>
      <c r="CI118" s="938"/>
      <c r="CJ118" s="938"/>
      <c r="CK118" s="938"/>
      <c r="CL118" s="938"/>
      <c r="CM118" s="938"/>
      <c r="CN118" s="938"/>
      <c r="CO118" s="938"/>
      <c r="CP118" s="938"/>
      <c r="CQ118" s="938"/>
      <c r="CS118" s="256" t="str">
        <f>IF(CR6&gt;1,"",IF(CT$9=1,IF(AND(CR4&gt;=$AD$123,CR4&lt;=$AE$123),SUMIF($L$14:$L$113,70,CR14:CR113),0),IF(CT9=2,IF(AND(CR4&gt;=$AD$126,CR4&lt;=$AE$126),SUMIF($L$14:$L$113,70,CR14:CR113),IF(AND(CR4&gt;=$AF$126,CR4&lt;=$AG$126),SUMIFS(CR14:CR113,$L$14:$L$113,70,$C$14:$C$113,1),0)),IF(AND(CR4&gt;=$AD$127,CR4&lt;=$AE$127),SUMIF($L$14:$L$113,70,CR14:CR113),0))))</f>
        <v/>
      </c>
      <c r="CT118" s="938" t="str">
        <f>IF(OR(CS118="",CS118&lt;0.001),"",$AJ$118)</f>
        <v/>
      </c>
      <c r="CU118" s="938"/>
      <c r="CV118" s="938"/>
      <c r="CW118" s="938"/>
      <c r="CX118" s="938"/>
      <c r="CY118" s="938"/>
      <c r="CZ118" s="938"/>
      <c r="DA118" s="938"/>
      <c r="DB118" s="938"/>
      <c r="DC118" s="938"/>
      <c r="DD118" s="938"/>
      <c r="DE118" s="938"/>
      <c r="DF118" s="938"/>
      <c r="DH118" s="256" t="str">
        <f>IF(DG6&gt;1,"",IF(DI$9=1,IF(AND(DG4&gt;=$AD$123,DG4&lt;=$AE$123),SUMIF($L$14:$L$113,70,DG14:DG113),0),IF(DI9=2,IF(AND(DG4&gt;=$AD$126,DG4&lt;=$AE$126),SUMIF($L$14:$L$113,70,DG14:DG113),IF(AND(DG4&gt;=$AF$126,DG4&lt;=$AG$126),SUMIFS(DG14:DG113,$L$14:$L$113,70,$C$14:$C$113,1),0)),IF(AND(DG4&gt;=$AD$127,DG4&lt;=$AE$127),SUMIF($L$14:$L$113,70,DG14:DG113),0))))</f>
        <v/>
      </c>
      <c r="DI118" s="938" t="str">
        <f>IF(OR(DH118="",DH118&lt;0.001),"",$AJ$118)</f>
        <v/>
      </c>
      <c r="DJ118" s="938"/>
      <c r="DK118" s="938"/>
      <c r="DL118" s="938"/>
      <c r="DM118" s="938"/>
      <c r="DN118" s="938"/>
      <c r="DO118" s="938"/>
      <c r="DP118" s="938"/>
      <c r="DQ118" s="938"/>
      <c r="DR118" s="938"/>
      <c r="DS118" s="938"/>
      <c r="DT118" s="938"/>
      <c r="DU118" s="938"/>
      <c r="DW118" s="256" t="str">
        <f>IF(DV6&gt;1,"",IF(DX$9=1,IF(AND(DV4&gt;=$AD$123,DV4&lt;=$AE$123),SUMIF($L$14:$L$113,70,DV14:DV113),0),IF(DX9=2,IF(AND(DV4&gt;=$AD$126,DV4&lt;=$AE$126),SUMIF($L$14:$L$113,70,DV14:DV113),IF(AND(DV4&gt;=$AF$126,DV4&lt;=$AG$126),SUMIFS(DV14:DV113,$L$14:$L$113,70,$C$14:$C$113,1),0)),IF(AND(DV4&gt;=$AD$127,DV4&lt;=$AE$127),SUMIF($L$14:$L$113,70,DV14:DV113),0))))</f>
        <v/>
      </c>
      <c r="DX118" s="938" t="str">
        <f>IF(OR(DW118="",DW118&lt;0.001),"",$AJ$118)</f>
        <v/>
      </c>
      <c r="DY118" s="938"/>
      <c r="DZ118" s="938"/>
      <c r="EA118" s="938"/>
      <c r="EB118" s="938"/>
      <c r="EC118" s="938"/>
      <c r="ED118" s="938"/>
      <c r="EE118" s="938"/>
      <c r="EF118" s="938"/>
      <c r="EG118" s="938"/>
      <c r="EH118" s="938"/>
      <c r="EI118" s="938"/>
      <c r="EJ118" s="938"/>
      <c r="EL118" s="256" t="str">
        <f>IF(EK6&gt;1,"",IF(EM$9=1,IF(AND(EK4&gt;=$AD$123,EK4&lt;=$AE$123),SUMIF($L$14:$L$113,70,EK14:EK113),0),IF(EM9=2,IF(AND(EK4&gt;=$AD$126,EK4&lt;=$AE$126),SUMIF($L$14:$L$113,70,EK14:EK113),IF(AND(EK4&gt;=$AF$126,EK4&lt;=$AG$126),SUMIFS(EK14:EK113,$L$14:$L$113,70,$C$14:$C$113,1),0)),IF(AND(EK4&gt;=$AD$127,EK4&lt;=$AE$127),SUMIF($L$14:$L$113,70,EK14:EK113),0))))</f>
        <v/>
      </c>
      <c r="EM118" s="938" t="str">
        <f>IF(OR(EL118="",EL118&lt;0.001),"",$AJ$118)</f>
        <v/>
      </c>
      <c r="EN118" s="938"/>
      <c r="EO118" s="938"/>
      <c r="EP118" s="938"/>
      <c r="EQ118" s="938"/>
      <c r="ER118" s="938"/>
      <c r="ES118" s="938"/>
      <c r="ET118" s="938"/>
      <c r="EU118" s="938"/>
      <c r="EV118" s="938"/>
      <c r="EW118" s="938"/>
      <c r="EX118" s="938"/>
      <c r="EY118" s="938"/>
      <c r="FA118" s="256" t="str">
        <f>IF(EZ6&gt;1,"",IF(FB$9=1,IF(AND(EZ4&gt;=$AD$123,EZ4&lt;=$AE$123),SUMIF($L$14:$L$113,70,EZ14:EZ113),0),IF(FB9=2,IF(AND(EZ4&gt;=$AD$126,EZ4&lt;=$AE$126),SUMIF($L$14:$L$113,70,EZ14:EZ113),IF(AND(EZ4&gt;=$AF$126,EZ4&lt;=$AG$126),SUMIFS(EZ14:EZ113,$L$14:$L$113,70,$C$14:$C$113,1),0)),IF(AND(EZ4&gt;=$AD$127,EZ4&lt;=$AE$127),SUMIF($L$14:$L$113,70,EZ14:EZ113),0))))</f>
        <v/>
      </c>
      <c r="FB118" s="938" t="str">
        <f>IF(OR(FA118="",FA118&lt;0.001),"",$AJ$118)</f>
        <v/>
      </c>
      <c r="FC118" s="938"/>
      <c r="FD118" s="938"/>
      <c r="FE118" s="938"/>
      <c r="FF118" s="938"/>
      <c r="FG118" s="938"/>
      <c r="FH118" s="938"/>
      <c r="FI118" s="938"/>
      <c r="FJ118" s="938"/>
      <c r="FK118" s="938"/>
      <c r="FL118" s="938"/>
      <c r="FM118" s="938"/>
      <c r="FN118" s="938"/>
      <c r="FP118" s="256" t="str">
        <f>IF(FO6&gt;1,"",IF(FQ$9=1,IF(AND(FO4&gt;=$AD$123,FO4&lt;=$AE$123),SUMIF($L$14:$L$113,70,FO14:FO113),0),IF(FQ9=2,IF(AND(FO4&gt;=$AD$126,FO4&lt;=$AE$126),SUMIF($L$14:$L$113,70,FO14:FO113),IF(AND(FO4&gt;=$AF$126,FO4&lt;=$AG$126),SUMIFS(FO14:FO113,$L$14:$L$113,70,$C$14:$C$113,1),0)),IF(AND(FO4&gt;=$AD$127,FO4&lt;=$AE$127),SUMIF($L$14:$L$113,70,FO14:FO113),0))))</f>
        <v/>
      </c>
      <c r="FQ118" s="938" t="str">
        <f>IF(OR(FP118="",FP118&lt;0.001),"",$AJ$118)</f>
        <v/>
      </c>
      <c r="FR118" s="938"/>
      <c r="FS118" s="938"/>
      <c r="FT118" s="938"/>
      <c r="FU118" s="938"/>
      <c r="FV118" s="938"/>
      <c r="FW118" s="938"/>
      <c r="FX118" s="938"/>
      <c r="FY118" s="938"/>
      <c r="FZ118" s="938"/>
      <c r="GA118" s="938"/>
      <c r="GB118" s="938"/>
      <c r="GC118" s="938"/>
      <c r="GE118" s="256" t="str">
        <f>IF(GD6&gt;1,"",IF(GF$9=1,IF(AND(GD4&gt;=$AD$123,GD4&lt;=$AE$123),SUMIF($L$14:$L$113,70,GD14:GD113),0),IF(GF9=2,IF(AND(GD4&gt;=$AD$126,GD4&lt;=$AE$126),SUMIF($L$14:$L$113,70,GD14:GD113),IF(AND(GD4&gt;=$AF$126,GD4&lt;=$AG$126),SUMIFS(GD14:GD113,$L$14:$L$113,70,$C$14:$C$113,1),0)),IF(AND(GD4&gt;=$AD$127,GD4&lt;=$AE$127),SUMIF($L$14:$L$113,70,GD14:GD113),0))))</f>
        <v/>
      </c>
      <c r="GF118" s="938" t="str">
        <f>IF(OR(GE118="",GE118&lt;0.001),"",$AJ$118)</f>
        <v/>
      </c>
      <c r="GG118" s="938"/>
      <c r="GH118" s="938"/>
      <c r="GI118" s="938"/>
      <c r="GJ118" s="938"/>
      <c r="GK118" s="938"/>
      <c r="GL118" s="938"/>
      <c r="GM118" s="938"/>
      <c r="GN118" s="938"/>
      <c r="GO118" s="938"/>
      <c r="GP118" s="938"/>
      <c r="GQ118" s="938"/>
      <c r="GR118" s="938"/>
      <c r="GT118" s="256" t="str">
        <f>IF(GS6&gt;1,"",IF(GU$9=1,IF(AND(GS4&gt;=$AD$123,GS4&lt;=$AE$123),SUMIF($L$14:$L$113,70,GS14:GS113),0),IF(GU9=2,IF(AND(GS4&gt;=$AD$126,GS4&lt;=$AE$126),SUMIF($L$14:$L$113,70,GS14:GS113),IF(AND(GS4&gt;=$AF$126,GS4&lt;=$AG$126),SUMIFS(GS14:GS113,$L$14:$L$113,70,$C$14:$C$113,1),0)),IF(AND(GS4&gt;=$AD$127,GS4&lt;=$AE$127),SUMIF($L$14:$L$113,70,GS14:GS113),0))))</f>
        <v/>
      </c>
      <c r="GU118" s="938" t="str">
        <f>IF(OR(GT118="",GT118&lt;0.001),"",$AJ$118)</f>
        <v/>
      </c>
      <c r="GV118" s="938"/>
      <c r="GW118" s="938"/>
      <c r="GX118" s="938"/>
      <c r="GY118" s="938"/>
      <c r="GZ118" s="938"/>
      <c r="HA118" s="938"/>
      <c r="HB118" s="938"/>
      <c r="HC118" s="938"/>
      <c r="HD118" s="938"/>
      <c r="HE118" s="938"/>
      <c r="HF118" s="938"/>
      <c r="HG118" s="938"/>
      <c r="HI118" s="256" t="str">
        <f>IF(HH6&gt;1,"",IF(HJ$9=1,IF(AND(HH4&gt;=$AD$123,HH4&lt;=$AE$123),SUMIF($L$14:$L$113,70,HH14:HH113),0),IF(HJ9=2,IF(AND(HH4&gt;=$AD$126,HH4&lt;=$AE$126),SUMIF($L$14:$L$113,70,HH14:HH113),IF(AND(HH4&gt;=$AF$126,HH4&lt;=$AG$126),SUMIFS(HH14:HH113,$L$14:$L$113,70,$C$14:$C$113,1),0)),IF(AND(HH4&gt;=$AD$127,HH4&lt;=$AE$127),SUMIF($L$14:$L$113,70,HH14:HH113),0))))</f>
        <v/>
      </c>
      <c r="HJ118" s="938" t="str">
        <f>IF(OR(HI118="",HI118&lt;0.001),"",$AJ$118)</f>
        <v/>
      </c>
      <c r="HK118" s="938"/>
      <c r="HL118" s="938"/>
      <c r="HM118" s="938"/>
      <c r="HN118" s="938"/>
      <c r="HO118" s="938"/>
      <c r="HP118" s="938"/>
      <c r="HQ118" s="938"/>
      <c r="HR118" s="938"/>
      <c r="HS118" s="938"/>
      <c r="HT118" s="938"/>
      <c r="HU118" s="938"/>
      <c r="HV118" s="938"/>
      <c r="HX118" s="256" t="str">
        <f>IF(HW6&gt;1,"",IF(HY$9=1,IF(AND(HW4&gt;=$AD$123,HW4&lt;=$AE$123),SUMIF($L$14:$L$113,70,HW14:HW113),0),IF(HY9=2,IF(AND(HW4&gt;=$AD$126,HW4&lt;=$AE$126),SUMIF($L$14:$L$113,70,HW14:HW113),IF(AND(HW4&gt;=$AF$126,HW4&lt;=$AG$126),SUMIFS(HW14:HW113,$L$14:$L$113,70,$C$14:$C$113,1),0)),IF(AND(HW4&gt;=$AD$127,HW4&lt;=$AE$127),SUMIF($L$14:$L$113,70,HW14:HW113),0))))</f>
        <v/>
      </c>
      <c r="HY118" s="938" t="str">
        <f>IF(OR(HX118="",HX118&lt;0.001),"",$AJ$118)</f>
        <v/>
      </c>
      <c r="HZ118" s="938"/>
      <c r="IA118" s="938"/>
      <c r="IB118" s="938"/>
      <c r="IC118" s="938"/>
      <c r="ID118" s="938"/>
      <c r="IE118" s="938"/>
      <c r="IF118" s="938"/>
      <c r="IG118" s="938"/>
      <c r="IH118" s="938"/>
      <c r="II118" s="938"/>
      <c r="IJ118" s="938"/>
      <c r="IK118" s="938"/>
      <c r="IM118" s="256" t="str">
        <f>IF(IL6&gt;1,"",IF(IN$9=1,IF(AND(IL4&gt;=$AD$123,IL4&lt;=$AE$123),SUMIF($L$14:$L$113,70,IL14:IL113),0),IF(IN9=2,IF(AND(IL4&gt;=$AD$126,IL4&lt;=$AE$126),SUMIF($L$14:$L$113,70,IL14:IL113),IF(AND(IL4&gt;=$AF$126,IL4&lt;=$AG$126),SUMIFS(IL14:IL113,$L$14:$L$113,70,$C$14:$C$113,1),0)),IF(AND(IL4&gt;=$AD$127,IL4&lt;=$AE$127),SUMIF($L$14:$L$113,70,IL14:IL113),0))))</f>
        <v/>
      </c>
      <c r="IN118" s="938" t="str">
        <f>IF(OR(IM118="",IM118&lt;0.001),"",$AJ$118)</f>
        <v/>
      </c>
      <c r="IO118" s="938"/>
      <c r="IP118" s="938"/>
      <c r="IQ118" s="938"/>
      <c r="IR118" s="938"/>
      <c r="IS118" s="938"/>
      <c r="IT118" s="938"/>
      <c r="IU118" s="938"/>
      <c r="IV118" s="938"/>
      <c r="IW118" s="938"/>
      <c r="IX118" s="938"/>
      <c r="IY118" s="938"/>
      <c r="IZ118" s="938"/>
      <c r="JB118" s="256" t="str">
        <f>IF(JA6&gt;1,"",IF(JC$9=1,IF(AND(JA4&gt;=$AD$123,JA4&lt;=$AE$123),SUMIF($L$14:$L$113,70,JA14:JA113),0),IF(JC9=2,IF(AND(JA4&gt;=$AD$126,JA4&lt;=$AE$126),SUMIF($L$14:$L$113,70,JA14:JA113),IF(AND(JA4&gt;=$AF$126,JA4&lt;=$AG$126),SUMIFS(JA14:JA113,$L$14:$L$113,70,$C$14:$C$113,1),0)),IF(AND(JA4&gt;=$AD$127,JA4&lt;=$AE$127),SUMIF($L$14:$L$113,70,JA14:JA113),0))))</f>
        <v/>
      </c>
      <c r="JC118" s="938" t="str">
        <f>IF(OR(JB118="",JB118&lt;0.001),"",$AJ$118)</f>
        <v/>
      </c>
      <c r="JD118" s="938"/>
      <c r="JE118" s="938"/>
      <c r="JF118" s="938"/>
      <c r="JG118" s="938"/>
      <c r="JH118" s="938"/>
      <c r="JI118" s="938"/>
      <c r="JJ118" s="938"/>
      <c r="JK118" s="938"/>
      <c r="JL118" s="938"/>
      <c r="JM118" s="938"/>
      <c r="JN118" s="938"/>
      <c r="JO118" s="938"/>
      <c r="JQ118" s="256" t="str">
        <f>IF(JP6&gt;1,"",IF(JR$9=1,IF(AND(JP4&gt;=$AD$123,JP4&lt;=$AE$123),SUMIF($L$14:$L$113,70,JP14:JP113),0),IF(JR9=2,IF(AND(JP4&gt;=$AD$126,JP4&lt;=$AE$126),SUMIF($L$14:$L$113,70,JP14:JP113),IF(AND(JP4&gt;=$AF$126,JP4&lt;=$AG$126),SUMIFS(JP14:JP113,$L$14:$L$113,70,$C$14:$C$113,1),0)),IF(AND(JP4&gt;=$AD$127,JP4&lt;=$AE$127),SUMIF($L$14:$L$113,70,JP14:JP113),0))))</f>
        <v/>
      </c>
      <c r="JR118" s="938" t="str">
        <f>IF(OR(JQ118="",JQ118&lt;0.001),"",$AJ$118)</f>
        <v/>
      </c>
      <c r="JS118" s="938"/>
      <c r="JT118" s="938"/>
      <c r="JU118" s="938"/>
      <c r="JV118" s="938"/>
      <c r="JW118" s="938"/>
      <c r="JX118" s="938"/>
      <c r="JY118" s="938"/>
      <c r="JZ118" s="938"/>
      <c r="KA118" s="938"/>
      <c r="KB118" s="938"/>
      <c r="KC118" s="938"/>
      <c r="KD118" s="938"/>
      <c r="KF118" s="256" t="str">
        <f>IF(KE6&gt;1,"",IF(KG$9=1,IF(AND(KE4&gt;=$AD$123,KE4&lt;=$AE$123),SUMIF($L$14:$L$113,70,KE14:KE113),0),IF(KG9=2,IF(AND(KE4&gt;=$AD$126,KE4&lt;=$AE$126),SUMIF($L$14:$L$113,70,KE14:KE113),IF(AND(KE4&gt;=$AF$126,KE4&lt;=$AG$126),SUMIFS(KE14:KE113,$L$14:$L$113,70,$C$14:$C$113,1),0)),IF(AND(KE4&gt;=$AD$127,KE4&lt;=$AE$127),SUMIF($L$14:$L$113,70,KE14:KE113),0))))</f>
        <v/>
      </c>
      <c r="KG118" s="938" t="str">
        <f>IF(OR(KF118="",KF118&lt;0.001),"",$AJ$118)</f>
        <v/>
      </c>
      <c r="KH118" s="938"/>
      <c r="KI118" s="938"/>
      <c r="KJ118" s="938"/>
      <c r="KK118" s="938"/>
      <c r="KL118" s="938"/>
      <c r="KM118" s="938"/>
      <c r="KN118" s="938"/>
      <c r="KO118" s="938"/>
      <c r="KP118" s="938"/>
      <c r="KQ118" s="938"/>
      <c r="KR118" s="938"/>
      <c r="KS118" s="938"/>
      <c r="KU118" s="256" t="str">
        <f>IF(KT6&gt;1,"",IF(KV$9=1,IF(AND(KT4&gt;=$AD$123,KT4&lt;=$AE$123),SUMIF($L$14:$L$113,70,KT14:KT113),0),IF(KV9=2,IF(AND(KT4&gt;=$AD$126,KT4&lt;=$AE$126),SUMIF($L$14:$L$113,70,KT14:KT113),IF(AND(KT4&gt;=$AF$126,KT4&lt;=$AG$126),SUMIFS(KT14:KT113,$L$14:$L$113,70,$C$14:$C$113,1),0)),IF(AND(KT4&gt;=$AD$127,KT4&lt;=$AE$127),SUMIF($L$14:$L$113,70,KT14:KT113),0))))</f>
        <v/>
      </c>
      <c r="KV118" s="938" t="str">
        <f>IF(OR(KU118="",KU118&lt;0.001),"",$AJ$118)</f>
        <v/>
      </c>
      <c r="KW118" s="938"/>
      <c r="KX118" s="938"/>
      <c r="KY118" s="938"/>
      <c r="KZ118" s="938"/>
      <c r="LA118" s="938"/>
      <c r="LB118" s="938"/>
      <c r="LC118" s="938"/>
      <c r="LD118" s="938"/>
      <c r="LE118" s="938"/>
      <c r="LF118" s="938"/>
      <c r="LG118" s="938"/>
      <c r="LH118" s="938"/>
      <c r="LJ118" s="256" t="str">
        <f>IF(LI6&gt;1,"",IF(LK$9=1,IF(AND(LI4&gt;=$AD$123,LI4&lt;=$AE$123),SUMIF($L$14:$L$113,70,LI14:LI113),0),IF(LK9=2,IF(AND(LI4&gt;=$AD$126,LI4&lt;=$AE$126),SUMIF($L$14:$L$113,70,LI14:LI113),IF(AND(LI4&gt;=$AF$126,LI4&lt;=$AG$126),SUMIFS(LI14:LI113,$L$14:$L$113,70,$C$14:$C$113,1),0)),IF(AND(LI4&gt;=$AD$127,LI4&lt;=$AE$127),SUMIF($L$14:$L$113,70,LI14:LI113),0))))</f>
        <v/>
      </c>
      <c r="LK118" s="938" t="str">
        <f>IF(OR(LJ118="",LJ118&lt;0.001),"",$AJ$118)</f>
        <v/>
      </c>
      <c r="LL118" s="938"/>
      <c r="LM118" s="938"/>
      <c r="LN118" s="938"/>
      <c r="LO118" s="938"/>
      <c r="LP118" s="938"/>
      <c r="LQ118" s="938"/>
      <c r="LR118" s="938"/>
      <c r="LS118" s="938"/>
      <c r="LT118" s="938"/>
      <c r="LU118" s="938"/>
      <c r="LV118" s="938"/>
      <c r="LW118" s="938"/>
      <c r="LY118" s="256" t="str">
        <f>IF(LX6&gt;1,"",IF(LZ$9=1,IF(AND(LX4&gt;=$AD$123,LX4&lt;=$AE$123),SUMIF($L$14:$L$113,70,LX14:LX113),0),IF(LZ9=2,IF(AND(LX4&gt;=$AD$126,LX4&lt;=$AE$126),SUMIF($L$14:$L$113,70,LX14:LX113),IF(AND(LX4&gt;=$AF$126,LX4&lt;=$AG$126),SUMIFS(LX14:LX113,$L$14:$L$113,70,$C$14:$C$113,1),0)),IF(AND(LX4&gt;=$AD$127,LX4&lt;=$AE$127),SUMIF($L$14:$L$113,70,LX14:LX113),0))))</f>
        <v/>
      </c>
      <c r="LZ118" s="938" t="str">
        <f>IF(OR(LY118="",LY118&lt;0.001),"",$AJ$118)</f>
        <v/>
      </c>
      <c r="MA118" s="938"/>
      <c r="MB118" s="938"/>
      <c r="MC118" s="938"/>
      <c r="MD118" s="938"/>
      <c r="ME118" s="938"/>
      <c r="MF118" s="938"/>
      <c r="MG118" s="938"/>
      <c r="MH118" s="938"/>
      <c r="MI118" s="938"/>
      <c r="MJ118" s="938"/>
      <c r="MK118" s="938"/>
      <c r="ML118" s="938"/>
      <c r="MN118" s="256" t="str">
        <f>IF(MM6&gt;1,"",IF(MO$9=1,IF(AND(MM4&gt;=$AD$123,MM4&lt;=$AE$123),SUMIF($L$14:$L$113,70,MM14:MM113),0),IF(MO9=2,IF(AND(MM4&gt;=$AD$126,MM4&lt;=$AE$126),SUMIF($L$14:$L$113,70,MM14:MM113),IF(AND(MM4&gt;=$AF$126,MM4&lt;=$AG$126),SUMIFS(MM14:MM113,$L$14:$L$113,70,$C$14:$C$113,1),0)),IF(AND(MM4&gt;=$AD$127,MM4&lt;=$AE$127),SUMIF($L$14:$L$113,70,MM14:MM113),0))))</f>
        <v/>
      </c>
      <c r="MO118" s="938" t="str">
        <f>IF(OR(MN118="",MN118&lt;0.001),"",$AJ$118)</f>
        <v/>
      </c>
      <c r="MP118" s="938"/>
      <c r="MQ118" s="938"/>
      <c r="MR118" s="938"/>
      <c r="MS118" s="938"/>
      <c r="MT118" s="938"/>
      <c r="MU118" s="938"/>
      <c r="MV118" s="938"/>
      <c r="MW118" s="938"/>
      <c r="MX118" s="938"/>
      <c r="MY118" s="938"/>
      <c r="MZ118" s="938"/>
      <c r="NA118" s="938"/>
      <c r="NC118" s="256" t="str">
        <f>IF(NB6&gt;1,"",IF(ND$9=1,IF(AND(NB4&gt;=$AD$123,NB4&lt;=$AE$123),SUMIF($L$14:$L$113,70,NB14:NB113),0),IF(ND9=2,IF(AND(NB4&gt;=$AD$126,NB4&lt;=$AE$126),SUMIF($L$14:$L$113,70,NB14:NB113),IF(AND(NB4&gt;=$AF$126,NB4&lt;=$AG$126),SUMIFS(NB14:NB113,$L$14:$L$113,70,$C$14:$C$113,1),0)),IF(AND(NB4&gt;=$AD$127,NB4&lt;=$AE$127),SUMIF($L$14:$L$113,70,NB14:NB113),0))))</f>
        <v/>
      </c>
      <c r="ND118" s="938" t="str">
        <f>IF(OR(NC118="",NC118&lt;0.001),"",$AJ$118)</f>
        <v/>
      </c>
      <c r="NE118" s="938"/>
      <c r="NF118" s="938"/>
      <c r="NG118" s="938"/>
      <c r="NH118" s="938"/>
      <c r="NI118" s="938"/>
      <c r="NJ118" s="938"/>
      <c r="NK118" s="938"/>
      <c r="NL118" s="938"/>
      <c r="NM118" s="938"/>
      <c r="NN118" s="938"/>
      <c r="NO118" s="938"/>
      <c r="NP118" s="938"/>
      <c r="NR118" s="256" t="str">
        <f>IF(NQ6&gt;1,"",IF(NS$9=1,IF(AND(NQ4&gt;=$AD$123,NQ4&lt;=$AE$123),SUMIF($L$14:$L$113,70,NQ14:NQ113),0),IF(NS9=2,IF(AND(NQ4&gt;=$AD$126,NQ4&lt;=$AE$126),SUMIF($L$14:$L$113,70,NQ14:NQ113),IF(AND(NQ4&gt;=$AF$126,NQ4&lt;=$AG$126),SUMIFS(NQ14:NQ113,$L$14:$L$113,70,$C$14:$C$113,1),0)),IF(AND(NQ4&gt;=$AD$127,NQ4&lt;=$AE$127),SUMIF($L$14:$L$113,70,NQ14:NQ113),0))))</f>
        <v/>
      </c>
      <c r="NS118" s="938" t="str">
        <f>IF(OR(NR118="",NR118&lt;0.001),"",$AJ$118)</f>
        <v/>
      </c>
      <c r="NT118" s="938"/>
      <c r="NU118" s="938"/>
      <c r="NV118" s="938"/>
      <c r="NW118" s="938"/>
      <c r="NX118" s="938"/>
      <c r="NY118" s="938"/>
      <c r="NZ118" s="938"/>
      <c r="OA118" s="938"/>
      <c r="OB118" s="938"/>
      <c r="OC118" s="938"/>
      <c r="OD118" s="938"/>
      <c r="OE118" s="938"/>
      <c r="OG118" s="256" t="str">
        <f>IF(OF6&gt;1,"",IF(OH$9=1,IF(AND(OF4&gt;=$AD$123,OF4&lt;=$AE$123),SUMIF($L$14:$L$113,70,OF14:OF113),0),IF(OH9=2,IF(AND(OF4&gt;=$AD$126,OF4&lt;=$AE$126),SUMIF($L$14:$L$113,70,OF14:OF113),IF(AND(OF4&gt;=$AF$126,OF4&lt;=$AG$126),SUMIFS(OF14:OF113,$L$14:$L$113,70,$C$14:$C$113,1),0)),IF(AND(OF4&gt;=$AD$127,OF4&lt;=$AE$127),SUMIF($L$14:$L$113,70,OF14:OF113),0))))</f>
        <v/>
      </c>
      <c r="OH118" s="938" t="str">
        <f>IF(OR(OG118="",OG118&lt;0.001),"",$AJ$118)</f>
        <v/>
      </c>
      <c r="OI118" s="938"/>
      <c r="OJ118" s="938"/>
      <c r="OK118" s="938"/>
      <c r="OL118" s="938"/>
      <c r="OM118" s="938"/>
      <c r="ON118" s="938"/>
      <c r="OO118" s="938"/>
      <c r="OP118" s="938"/>
      <c r="OQ118" s="938"/>
      <c r="OR118" s="938"/>
      <c r="OS118" s="938"/>
      <c r="OT118" s="938"/>
      <c r="OV118" s="256" t="str">
        <f>IF(OU6&gt;1,"",IF(OW$9=1,IF(AND(OU4&gt;=$AD$123,OU4&lt;=$AE$123),SUMIF($L$14:$L$113,70,OU14:OU113),0),IF(OW9=2,IF(AND(OU4&gt;=$AD$126,OU4&lt;=$AE$126),SUMIF($L$14:$L$113,70,OU14:OU113),IF(AND(OU4&gt;=$AF$126,OU4&lt;=$AG$126),SUMIFS(OU14:OU113,$L$14:$L$113,70,$C$14:$C$113,1),0)),IF(AND(OU4&gt;=$AD$127,OU4&lt;=$AE$127),SUMIF($L$14:$L$113,70,OU14:OU113),0))))</f>
        <v/>
      </c>
      <c r="OW118" s="938" t="str">
        <f>IF(OR(OV118="",OV118&lt;0.001),"",$AJ$118)</f>
        <v/>
      </c>
      <c r="OX118" s="938"/>
      <c r="OY118" s="938"/>
      <c r="OZ118" s="938"/>
      <c r="PA118" s="938"/>
      <c r="PB118" s="938"/>
      <c r="PC118" s="938"/>
      <c r="PD118" s="938"/>
      <c r="PE118" s="938"/>
      <c r="PF118" s="938"/>
      <c r="PG118" s="938"/>
      <c r="PH118" s="938"/>
      <c r="PI118" s="938"/>
      <c r="PK118" s="256" t="str">
        <f>IF(PJ6&gt;1,"",IF(PL$9=1,IF(AND(PJ4&gt;=$AD$123,PJ4&lt;=$AE$123),SUMIF($L$14:$L$113,70,PJ14:PJ113),0),IF(PL9=2,IF(AND(PJ4&gt;=$AD$126,PJ4&lt;=$AE$126),SUMIF($L$14:$L$113,70,PJ14:PJ113),IF(AND(PJ4&gt;=$AF$126,PJ4&lt;=$AG$126),SUMIFS(PJ14:PJ113,$L$14:$L$113,70,$C$14:$C$113,1),0)),IF(AND(PJ4&gt;=$AD$127,PJ4&lt;=$AE$127),SUMIF($L$14:$L$113,70,PJ14:PJ113),0))))</f>
        <v/>
      </c>
      <c r="PL118" s="938" t="str">
        <f>IF(OR(PK118="",PK118&lt;0.001),"",$AJ$118)</f>
        <v/>
      </c>
      <c r="PM118" s="938"/>
      <c r="PN118" s="938"/>
      <c r="PO118" s="938"/>
      <c r="PP118" s="938"/>
      <c r="PQ118" s="938"/>
      <c r="PR118" s="938"/>
      <c r="PS118" s="938"/>
      <c r="PT118" s="938"/>
      <c r="PU118" s="938"/>
      <c r="PV118" s="938"/>
      <c r="PW118" s="938"/>
      <c r="PX118" s="938"/>
      <c r="PZ118" s="256" t="str">
        <f>IF(PY6&gt;1,"",IF(QA$9=1,IF(AND(PY4&gt;=$AD$123,PY4&lt;=$AE$123),SUMIF($L$14:$L$113,70,PY14:PY113),0),IF(QA9=2,IF(AND(PY4&gt;=$AD$126,PY4&lt;=$AE$126),SUMIF($L$14:$L$113,70,PY14:PY113),IF(AND(PY4&gt;=$AF$126,PY4&lt;=$AG$126),SUMIFS(PY14:PY113,$L$14:$L$113,70,$C$14:$C$113,1),0)),IF(AND(PY4&gt;=$AD$127,PY4&lt;=$AE$127),SUMIF($L$14:$L$113,70,PY14:PY113),0))))</f>
        <v/>
      </c>
      <c r="QA118" s="938" t="str">
        <f>IF(OR(PZ118="",PZ118&lt;0.001),"",$AJ$118)</f>
        <v/>
      </c>
      <c r="QB118" s="938"/>
      <c r="QC118" s="938"/>
      <c r="QD118" s="938"/>
      <c r="QE118" s="938"/>
      <c r="QF118" s="938"/>
      <c r="QG118" s="938"/>
      <c r="QH118" s="938"/>
      <c r="QI118" s="938"/>
      <c r="QJ118" s="938"/>
      <c r="QK118" s="938"/>
      <c r="QL118" s="938"/>
      <c r="QM118" s="938"/>
      <c r="QO118" s="256" t="str">
        <f>IF(QN6&gt;1,"",IF(QP$9=1,IF(AND(QN4&gt;=$AD$123,QN4&lt;=$AE$123),SUMIF($L$14:$L$113,70,QN14:QN113),0),IF(QP9=2,IF(AND(QN4&gt;=$AD$126,QN4&lt;=$AE$126),SUMIF($L$14:$L$113,70,QN14:QN113),IF(AND(QN4&gt;=$AF$126,QN4&lt;=$AG$126),SUMIFS(QN14:QN113,$L$14:$L$113,70,$C$14:$C$113,1),0)),IF(AND(QN4&gt;=$AD$127,QN4&lt;=$AE$127),SUMIF($L$14:$L$113,70,QN14:QN113),0))))</f>
        <v/>
      </c>
      <c r="QP118" s="938" t="str">
        <f>IF(OR(QO118="",QO118&lt;0.001),"",$AJ$118)</f>
        <v/>
      </c>
      <c r="QQ118" s="938"/>
      <c r="QR118" s="938"/>
      <c r="QS118" s="938"/>
      <c r="QT118" s="938"/>
      <c r="QU118" s="938"/>
      <c r="QV118" s="938"/>
      <c r="QW118" s="938"/>
      <c r="QX118" s="938"/>
      <c r="QY118" s="938"/>
      <c r="QZ118" s="938"/>
      <c r="RA118" s="938"/>
      <c r="RB118" s="938"/>
      <c r="RD118" s="256" t="str">
        <f>IF(RC6&gt;1,"",IF(RE$9=1,IF(AND(RC4&gt;=$AD$123,RC4&lt;=$AE$123),SUMIF($L$14:$L$113,70,RC14:RC113),0),IF(RE9=2,IF(AND(RC4&gt;=$AD$126,RC4&lt;=$AE$126),SUMIF($L$14:$L$113,70,RC14:RC113),IF(AND(RC4&gt;=$AF$126,RC4&lt;=$AG$126),SUMIFS(RC14:RC113,$L$14:$L$113,70,$C$14:$C$113,1),0)),IF(AND(RC4&gt;=$AD$127,RC4&lt;=$AE$127),SUMIF($L$14:$L$113,70,RC14:RC113),0))))</f>
        <v/>
      </c>
      <c r="RE118" s="938" t="str">
        <f>IF(OR(RD118="",RD118&lt;0.001),"",$AJ$118)</f>
        <v/>
      </c>
      <c r="RF118" s="938"/>
      <c r="RG118" s="938"/>
      <c r="RH118" s="938"/>
      <c r="RI118" s="938"/>
      <c r="RJ118" s="938"/>
      <c r="RK118" s="938"/>
      <c r="RL118" s="938"/>
      <c r="RM118" s="938"/>
      <c r="RN118" s="938"/>
      <c r="RO118" s="938"/>
      <c r="RP118" s="938"/>
      <c r="RQ118" s="938"/>
    </row>
    <row r="119" spans="1:495" s="930" customFormat="1" x14ac:dyDescent="0.2">
      <c r="S119" s="938"/>
      <c r="AA119" s="256" t="s">
        <v>339</v>
      </c>
      <c r="AB119" s="945"/>
      <c r="AC119" s="945"/>
      <c r="AD119" s="945">
        <v>44529</v>
      </c>
      <c r="AE119" s="945">
        <v>44592</v>
      </c>
      <c r="AF119" s="34">
        <v>44498</v>
      </c>
      <c r="AG119" s="34">
        <v>44592</v>
      </c>
      <c r="AJ119" s="930">
        <v>12</v>
      </c>
      <c r="AK119" s="930" t="str">
        <f>IF(AJ4=0,"",IF(OR(AJ6&lt;3,AJ4&lt;$AD$130),"",IF(AL9=2,IF(AJ4&lt;=$AG$126,AK115,0),IF(AJ4&lt;=$AG$121,AK115,0))))</f>
        <v/>
      </c>
      <c r="AL119" s="938" t="str">
        <f>IF(OR(AK119="",AK119&lt;0.001),"",$AJ$119)</f>
        <v/>
      </c>
      <c r="AZ119" s="938" t="str">
        <f>IF(AY4=0,"",IF(OR(AY6&lt;3,AY4&lt;$AD$130),"",IF(BA9=2,IF(AY4&lt;=$AG$126,AZ115,0),IF(AY4&lt;=$AG$121,AZ115,0))))</f>
        <v/>
      </c>
      <c r="BA119" s="938" t="str">
        <f>IF(OR(AZ119="",AZ119&lt;0.001),"",$AJ$119)</f>
        <v/>
      </c>
      <c r="BB119" s="938"/>
      <c r="BC119" s="938"/>
      <c r="BD119" s="938"/>
      <c r="BE119" s="938"/>
      <c r="BF119" s="938"/>
      <c r="BG119" s="938"/>
      <c r="BH119" s="938"/>
      <c r="BI119" s="938"/>
      <c r="BJ119" s="938"/>
      <c r="BK119" s="938"/>
      <c r="BL119" s="938"/>
      <c r="BM119" s="938"/>
      <c r="BO119" s="938" t="str">
        <f>IF(BN4=0,"",IF(OR(BN6&lt;3,BN4&lt;$AD$130),"",IF(BP9=2,IF(BN4&lt;=$AG$126,BO115,0),IF(BN4&lt;=$AG$121,BO115,0))))</f>
        <v/>
      </c>
      <c r="BP119" s="938" t="str">
        <f>IF(OR(BO119="",BO119&lt;0.001),"",$AJ$119)</f>
        <v/>
      </c>
      <c r="BQ119" s="938"/>
      <c r="BR119" s="938"/>
      <c r="BS119" s="938"/>
      <c r="BT119" s="938"/>
      <c r="BU119" s="938"/>
      <c r="BV119" s="938"/>
      <c r="BW119" s="938"/>
      <c r="BX119" s="938"/>
      <c r="BY119" s="938"/>
      <c r="BZ119" s="938"/>
      <c r="CA119" s="938"/>
      <c r="CB119" s="938"/>
      <c r="CD119" s="938" t="str">
        <f>IF(CC4=0,"",IF(OR(CC6&lt;3,CC4&lt;$AD$130),"",IF(CE9=2,IF(CC4&lt;=$AG$126,CD115,0),IF(CC4&lt;=$AG$121,CD115,0))))</f>
        <v/>
      </c>
      <c r="CE119" s="938" t="str">
        <f>IF(OR(CD119="",CD119&lt;0.001),"",$AJ$119)</f>
        <v/>
      </c>
      <c r="CF119" s="938"/>
      <c r="CG119" s="938"/>
      <c r="CH119" s="938"/>
      <c r="CI119" s="938"/>
      <c r="CJ119" s="938"/>
      <c r="CK119" s="938"/>
      <c r="CL119" s="938"/>
      <c r="CM119" s="938"/>
      <c r="CN119" s="938"/>
      <c r="CO119" s="938"/>
      <c r="CP119" s="938"/>
      <c r="CQ119" s="938"/>
      <c r="CS119" s="938" t="str">
        <f>IF(CR4=0,"",IF(OR(CR6&lt;3,CR4&lt;$AD$130),"",IF(CT9=2,IF(CR4&lt;=$AG$126,CS115,0),IF(CR4&lt;=$AG$121,CS115,0))))</f>
        <v/>
      </c>
      <c r="CT119" s="938" t="str">
        <f>IF(OR(CS119="",CS119&lt;0.001),"",$AJ$119)</f>
        <v/>
      </c>
      <c r="CU119" s="938"/>
      <c r="CV119" s="938"/>
      <c r="CW119" s="938"/>
      <c r="CX119" s="938"/>
      <c r="CY119" s="938"/>
      <c r="CZ119" s="938"/>
      <c r="DA119" s="938"/>
      <c r="DB119" s="938"/>
      <c r="DC119" s="938"/>
      <c r="DD119" s="938"/>
      <c r="DE119" s="938"/>
      <c r="DF119" s="938"/>
      <c r="DH119" s="938" t="str">
        <f>IF(DG4=0,"",IF(OR(DG6&lt;3,DG4&lt;$AD$130),"",IF(DI9=2,IF(DG4&lt;=$AG$126,DH115,0),IF(DG4&lt;=$AG$121,DH115,0))))</f>
        <v/>
      </c>
      <c r="DI119" s="938" t="str">
        <f>IF(OR(DH119="",DH119&lt;0.001),"",$AJ$119)</f>
        <v/>
      </c>
      <c r="DJ119" s="938"/>
      <c r="DK119" s="938"/>
      <c r="DL119" s="938"/>
      <c r="DM119" s="938"/>
      <c r="DN119" s="938"/>
      <c r="DO119" s="938"/>
      <c r="DP119" s="938"/>
      <c r="DQ119" s="938"/>
      <c r="DR119" s="938"/>
      <c r="DS119" s="938"/>
      <c r="DT119" s="938"/>
      <c r="DU119" s="938"/>
      <c r="DW119" s="938" t="str">
        <f>IF(DV4=0,"",IF(OR(DV6&lt;3,DV4&lt;$AD$130),"",IF(DX9=2,IF(DV4&lt;=$AG$126,DW115,0),IF(DV4&lt;=$AG$121,DW115,0))))</f>
        <v/>
      </c>
      <c r="DX119" s="938" t="str">
        <f>IF(OR(DW119="",DW119&lt;0.001),"",$AJ$119)</f>
        <v/>
      </c>
      <c r="DY119" s="938"/>
      <c r="DZ119" s="938"/>
      <c r="EA119" s="938"/>
      <c r="EB119" s="938"/>
      <c r="EC119" s="938"/>
      <c r="ED119" s="938"/>
      <c r="EE119" s="938"/>
      <c r="EF119" s="938"/>
      <c r="EG119" s="938"/>
      <c r="EH119" s="938"/>
      <c r="EI119" s="938"/>
      <c r="EJ119" s="938"/>
      <c r="EL119" s="938" t="str">
        <f>IF(EK4=0,"",IF(OR(EK6&lt;3,EK4&lt;$AD$130),"",IF(EM9=2,IF(EK4&lt;=$AG$126,EL115,0),IF(EK4&lt;=$AG$121,EL115,0))))</f>
        <v/>
      </c>
      <c r="EM119" s="938" t="str">
        <f>IF(OR(EL119="",EL119&lt;0.001),"",$AJ$119)</f>
        <v/>
      </c>
      <c r="EN119" s="938"/>
      <c r="EO119" s="938"/>
      <c r="EP119" s="938"/>
      <c r="EQ119" s="938"/>
      <c r="ER119" s="938"/>
      <c r="ES119" s="938"/>
      <c r="ET119" s="938"/>
      <c r="EU119" s="938"/>
      <c r="EV119" s="938"/>
      <c r="EW119" s="938"/>
      <c r="EX119" s="938"/>
      <c r="EY119" s="938"/>
      <c r="FA119" s="938" t="str">
        <f>IF(EZ4=0,"",IF(OR(EZ6&lt;3,EZ4&lt;$AD$130),"",IF(FB9=2,IF(EZ4&lt;=$AG$126,FA115,0),IF(EZ4&lt;=$AG$121,FA115,0))))</f>
        <v/>
      </c>
      <c r="FB119" s="938" t="str">
        <f>IF(OR(FA119="",FA119&lt;0.001),"",$AJ$119)</f>
        <v/>
      </c>
      <c r="FC119" s="938"/>
      <c r="FD119" s="938"/>
      <c r="FE119" s="938"/>
      <c r="FF119" s="938"/>
      <c r="FG119" s="938"/>
      <c r="FH119" s="938"/>
      <c r="FI119" s="938"/>
      <c r="FJ119" s="938"/>
      <c r="FK119" s="938"/>
      <c r="FL119" s="938"/>
      <c r="FM119" s="938"/>
      <c r="FN119" s="938"/>
      <c r="FP119" s="938" t="str">
        <f>IF(FO4=0,"",IF(OR(FO6&lt;3,FO4&lt;$AD$130),"",IF(FQ9=2,IF(FO4&lt;=$AG$126,FP115,0),IF(FO4&lt;=$AG$121,FP115,0))))</f>
        <v/>
      </c>
      <c r="FQ119" s="938" t="str">
        <f>IF(OR(FP119="",FP119&lt;0.001),"",$AJ$119)</f>
        <v/>
      </c>
      <c r="FR119" s="938"/>
      <c r="FS119" s="938"/>
      <c r="FT119" s="938"/>
      <c r="FU119" s="938"/>
      <c r="FV119" s="938"/>
      <c r="FW119" s="938"/>
      <c r="FX119" s="938"/>
      <c r="FY119" s="938"/>
      <c r="FZ119" s="938"/>
      <c r="GA119" s="938"/>
      <c r="GB119" s="938"/>
      <c r="GC119" s="938"/>
      <c r="GE119" s="938" t="str">
        <f>IF(GD4=0,"",IF(OR(GD6&lt;3,GD4&lt;$AD$130),"",IF(GF9=2,IF(GD4&lt;=$AG$126,GE115,0),IF(GD4&lt;=$AG$121,GE115,0))))</f>
        <v/>
      </c>
      <c r="GF119" s="938" t="str">
        <f>IF(OR(GE119="",GE119&lt;0.001),"",$AJ$119)</f>
        <v/>
      </c>
      <c r="GG119" s="938"/>
      <c r="GH119" s="938"/>
      <c r="GI119" s="938"/>
      <c r="GJ119" s="938"/>
      <c r="GK119" s="938"/>
      <c r="GL119" s="938"/>
      <c r="GM119" s="938"/>
      <c r="GN119" s="938"/>
      <c r="GO119" s="938"/>
      <c r="GP119" s="938"/>
      <c r="GQ119" s="938"/>
      <c r="GR119" s="938"/>
      <c r="GT119" s="938" t="str">
        <f>IF(GS4=0,"",IF(OR(GS6&lt;3,GS4&lt;$AD$130),"",IF(GU9=2,IF(GS4&lt;=$AG$126,GT115,0),IF(GS4&lt;=$AG$121,GT115,0))))</f>
        <v/>
      </c>
      <c r="GU119" s="938" t="str">
        <f>IF(OR(GT119="",GT119&lt;0.001),"",$AJ$119)</f>
        <v/>
      </c>
      <c r="GV119" s="938"/>
      <c r="GW119" s="938"/>
      <c r="GX119" s="938"/>
      <c r="GY119" s="938"/>
      <c r="GZ119" s="938"/>
      <c r="HA119" s="938"/>
      <c r="HB119" s="938"/>
      <c r="HC119" s="938"/>
      <c r="HD119" s="938"/>
      <c r="HE119" s="938"/>
      <c r="HF119" s="938"/>
      <c r="HG119" s="938"/>
      <c r="HI119" s="938" t="str">
        <f>IF(HH4=0,"",IF(OR(HH6&lt;3,HH4&lt;$AD$130),"",IF(HJ9=2,IF(HH4&lt;=$AG$126,HI115,0),IF(HH4&lt;=$AG$121,HI115,0))))</f>
        <v/>
      </c>
      <c r="HJ119" s="938" t="str">
        <f>IF(OR(HI119="",HI119&lt;0.001),"",$AJ$119)</f>
        <v/>
      </c>
      <c r="HK119" s="938"/>
      <c r="HL119" s="938"/>
      <c r="HM119" s="938"/>
      <c r="HN119" s="938"/>
      <c r="HO119" s="938"/>
      <c r="HP119" s="938"/>
      <c r="HQ119" s="938"/>
      <c r="HR119" s="938"/>
      <c r="HS119" s="938"/>
      <c r="HT119" s="938"/>
      <c r="HU119" s="938"/>
      <c r="HV119" s="938"/>
      <c r="HX119" s="938" t="str">
        <f>IF(HW4=0,"",IF(OR(HW6&lt;3,HW4&lt;$AD$130),"",IF(HY9=2,IF(HW4&lt;=$AG$126,HX115,0),IF(HW4&lt;=$AG$121,HX115,0))))</f>
        <v/>
      </c>
      <c r="HY119" s="938" t="str">
        <f>IF(OR(HX119="",HX119&lt;0.001),"",$AJ$119)</f>
        <v/>
      </c>
      <c r="HZ119" s="938"/>
      <c r="IA119" s="938"/>
      <c r="IB119" s="938"/>
      <c r="IC119" s="938"/>
      <c r="ID119" s="938"/>
      <c r="IE119" s="938"/>
      <c r="IF119" s="938"/>
      <c r="IG119" s="938"/>
      <c r="IH119" s="938"/>
      <c r="II119" s="938"/>
      <c r="IJ119" s="938"/>
      <c r="IK119" s="938"/>
      <c r="IM119" s="938" t="str">
        <f>IF(IL4=0,"",IF(OR(IL6&lt;3,IL4&lt;$AD$130),"",IF(IN9=2,IF(IL4&lt;=$AG$126,IM115,0),IF(IL4&lt;=$AG$121,IM115,0))))</f>
        <v/>
      </c>
      <c r="IN119" s="938" t="str">
        <f>IF(OR(IM119="",IM119&lt;0.001),"",$AJ$119)</f>
        <v/>
      </c>
      <c r="IO119" s="938"/>
      <c r="IP119" s="938"/>
      <c r="IQ119" s="938"/>
      <c r="IR119" s="938"/>
      <c r="IS119" s="938"/>
      <c r="IT119" s="938"/>
      <c r="IU119" s="938"/>
      <c r="IV119" s="938"/>
      <c r="IW119" s="938"/>
      <c r="IX119" s="938"/>
      <c r="IY119" s="938"/>
      <c r="IZ119" s="938"/>
      <c r="JB119" s="938" t="str">
        <f>IF(JA4=0,"",IF(OR(JA6&lt;3,JA4&lt;$AD$130),"",IF(JC9=2,IF(JA4&lt;=$AG$126,JB115,0),IF(JA4&lt;=$AG$121,JB115,0))))</f>
        <v/>
      </c>
      <c r="JC119" s="938" t="str">
        <f>IF(OR(JB119="",JB119&lt;0.001),"",$AJ$119)</f>
        <v/>
      </c>
      <c r="JD119" s="938"/>
      <c r="JE119" s="938"/>
      <c r="JF119" s="938"/>
      <c r="JG119" s="938"/>
      <c r="JH119" s="938"/>
      <c r="JI119" s="938"/>
      <c r="JJ119" s="938"/>
      <c r="JK119" s="938"/>
      <c r="JL119" s="938"/>
      <c r="JM119" s="938"/>
      <c r="JN119" s="938"/>
      <c r="JO119" s="938"/>
      <c r="JQ119" s="938" t="str">
        <f>IF(JP4=0,"",IF(OR(JP6&lt;3,JP4&lt;$AD$130),"",IF(JR9=2,IF(JP4&lt;=$AG$126,JQ115,0),IF(JP4&lt;=$AG$121,JQ115,0))))</f>
        <v/>
      </c>
      <c r="JR119" s="938" t="str">
        <f>IF(OR(JQ119="",JQ119&lt;0.001),"",$AJ$119)</f>
        <v/>
      </c>
      <c r="JS119" s="938"/>
      <c r="JT119" s="938"/>
      <c r="JU119" s="938"/>
      <c r="JV119" s="938"/>
      <c r="JW119" s="938"/>
      <c r="JX119" s="938"/>
      <c r="JY119" s="938"/>
      <c r="JZ119" s="938"/>
      <c r="KA119" s="938"/>
      <c r="KB119" s="938"/>
      <c r="KC119" s="938"/>
      <c r="KD119" s="938"/>
      <c r="KF119" s="938" t="str">
        <f>IF(KE4=0,"",IF(OR(KE6&lt;3,KE4&lt;$AD$130),"",IF(KG9=2,IF(KE4&lt;=$AG$126,KF115,0),IF(KE4&lt;=$AG$121,KF115,0))))</f>
        <v/>
      </c>
      <c r="KG119" s="938" t="str">
        <f>IF(OR(KF119="",KF119&lt;0.001),"",$AJ$119)</f>
        <v/>
      </c>
      <c r="KH119" s="938"/>
      <c r="KI119" s="938"/>
      <c r="KJ119" s="938"/>
      <c r="KK119" s="938"/>
      <c r="KL119" s="938"/>
      <c r="KM119" s="938"/>
      <c r="KN119" s="938"/>
      <c r="KO119" s="938"/>
      <c r="KP119" s="938"/>
      <c r="KQ119" s="938"/>
      <c r="KR119" s="938"/>
      <c r="KS119" s="938"/>
      <c r="KU119" s="938" t="str">
        <f>IF(KT4=0,"",IF(OR(KT6&lt;3,KT4&lt;$AD$130),"",IF(KV9=2,IF(KT4&lt;=$AG$126,KU115,0),IF(KT4&lt;=$AG$121,KU115,0))))</f>
        <v/>
      </c>
      <c r="KV119" s="938" t="str">
        <f>IF(OR(KU119="",KU119&lt;0.001),"",$AJ$119)</f>
        <v/>
      </c>
      <c r="KW119" s="938"/>
      <c r="KX119" s="938"/>
      <c r="KY119" s="938"/>
      <c r="KZ119" s="938"/>
      <c r="LA119" s="938"/>
      <c r="LB119" s="938"/>
      <c r="LC119" s="938"/>
      <c r="LD119" s="938"/>
      <c r="LE119" s="938"/>
      <c r="LF119" s="938"/>
      <c r="LG119" s="938"/>
      <c r="LH119" s="938"/>
      <c r="LJ119" s="938" t="str">
        <f>IF(LI4=0,"",IF(OR(LI6&lt;3,LI4&lt;$AD$130),"",IF(LK9=2,IF(LI4&lt;=$AG$126,LJ115,0),IF(LI4&lt;=$AG$121,LJ115,0))))</f>
        <v/>
      </c>
      <c r="LK119" s="938" t="str">
        <f>IF(OR(LJ119="",LJ119&lt;0.001),"",$AJ$119)</f>
        <v/>
      </c>
      <c r="LL119" s="938"/>
      <c r="LM119" s="938"/>
      <c r="LN119" s="938"/>
      <c r="LO119" s="938"/>
      <c r="LP119" s="938"/>
      <c r="LQ119" s="938"/>
      <c r="LR119" s="938"/>
      <c r="LS119" s="938"/>
      <c r="LT119" s="938"/>
      <c r="LU119" s="938"/>
      <c r="LV119" s="938"/>
      <c r="LW119" s="938"/>
      <c r="LY119" s="938" t="str">
        <f>IF(LX4=0,"",IF(OR(LX6&lt;3,LX4&lt;$AD$130),"",IF(LZ9=2,IF(LX4&lt;=$AG$126,LY115,0),IF(LX4&lt;=$AG$121,LY115,0))))</f>
        <v/>
      </c>
      <c r="LZ119" s="938" t="str">
        <f>IF(OR(LY119="",LY119&lt;0.001),"",$AJ$119)</f>
        <v/>
      </c>
      <c r="MA119" s="938"/>
      <c r="MB119" s="938"/>
      <c r="MC119" s="938"/>
      <c r="MD119" s="938"/>
      <c r="ME119" s="938"/>
      <c r="MF119" s="938"/>
      <c r="MG119" s="938"/>
      <c r="MH119" s="938"/>
      <c r="MI119" s="938"/>
      <c r="MJ119" s="938"/>
      <c r="MK119" s="938"/>
      <c r="ML119" s="938"/>
      <c r="MN119" s="938" t="str">
        <f>IF(MM4=0,"",IF(OR(MM6&lt;3,MM4&lt;$AD$130),"",IF(MO9=2,IF(MM4&lt;=$AG$126,MN115,0),IF(MM4&lt;=$AG$121,MN115,0))))</f>
        <v/>
      </c>
      <c r="MO119" s="938" t="str">
        <f>IF(OR(MN119="",MN119&lt;0.001),"",$AJ$119)</f>
        <v/>
      </c>
      <c r="MP119" s="938"/>
      <c r="MQ119" s="938"/>
      <c r="MR119" s="938"/>
      <c r="MS119" s="938"/>
      <c r="MT119" s="938"/>
      <c r="MU119" s="938"/>
      <c r="MV119" s="938"/>
      <c r="MW119" s="938"/>
      <c r="MX119" s="938"/>
      <c r="MY119" s="938"/>
      <c r="MZ119" s="938"/>
      <c r="NA119" s="938"/>
      <c r="NC119" s="938" t="str">
        <f>IF(NB4=0,"",IF(OR(NB6&lt;3,NB4&lt;$AD$130),"",IF(ND9=2,IF(NB4&lt;=$AG$126,NC115,0),IF(NB4&lt;=$AG$121,NC115,0))))</f>
        <v/>
      </c>
      <c r="ND119" s="938" t="str">
        <f>IF(OR(NC119="",NC119&lt;0.001),"",$AJ$119)</f>
        <v/>
      </c>
      <c r="NE119" s="938"/>
      <c r="NF119" s="938"/>
      <c r="NG119" s="938"/>
      <c r="NH119" s="938"/>
      <c r="NI119" s="938"/>
      <c r="NJ119" s="938"/>
      <c r="NK119" s="938"/>
      <c r="NL119" s="938"/>
      <c r="NM119" s="938"/>
      <c r="NN119" s="938"/>
      <c r="NO119" s="938"/>
      <c r="NP119" s="938"/>
      <c r="NR119" s="938" t="str">
        <f>IF(NQ4=0,"",IF(OR(NQ6&lt;3,NQ4&lt;$AD$130),"",IF(NS9=2,IF(NQ4&lt;=$AG$126,NR115,0),IF(NQ4&lt;=$AG$121,NR115,0))))</f>
        <v/>
      </c>
      <c r="NS119" s="938" t="str">
        <f>IF(OR(NR119="",NR119&lt;0.001),"",$AJ$119)</f>
        <v/>
      </c>
      <c r="NT119" s="938"/>
      <c r="NU119" s="938"/>
      <c r="NV119" s="938"/>
      <c r="NW119" s="938"/>
      <c r="NX119" s="938"/>
      <c r="NY119" s="938"/>
      <c r="NZ119" s="938"/>
      <c r="OA119" s="938"/>
      <c r="OB119" s="938"/>
      <c r="OC119" s="938"/>
      <c r="OD119" s="938"/>
      <c r="OE119" s="938"/>
      <c r="OG119" s="938" t="str">
        <f>IF(OF4=0,"",IF(OR(OF6&lt;3,OF4&lt;$AD$130),"",IF(OH9=2,IF(OF4&lt;=$AG$126,OG115,0),IF(OF4&lt;=$AG$121,OG115,0))))</f>
        <v/>
      </c>
      <c r="OH119" s="938" t="str">
        <f>IF(OR(OG119="",OG119&lt;0.001),"",$AJ$119)</f>
        <v/>
      </c>
      <c r="OI119" s="938"/>
      <c r="OJ119" s="938"/>
      <c r="OK119" s="938"/>
      <c r="OL119" s="938"/>
      <c r="OM119" s="938"/>
      <c r="ON119" s="938"/>
      <c r="OO119" s="938"/>
      <c r="OP119" s="938"/>
      <c r="OQ119" s="938"/>
      <c r="OR119" s="938"/>
      <c r="OS119" s="938"/>
      <c r="OT119" s="938"/>
      <c r="OV119" s="938" t="str">
        <f>IF(OU4=0,"",IF(OR(OU6&lt;3,OU4&lt;$AD$130),"",IF(OW9=2,IF(OU4&lt;=$AG$126,OV115,0),IF(OU4&lt;=$AG$121,OV115,0))))</f>
        <v/>
      </c>
      <c r="OW119" s="938" t="str">
        <f>IF(OR(OV119="",OV119&lt;0.001),"",$AJ$119)</f>
        <v/>
      </c>
      <c r="OX119" s="938"/>
      <c r="OY119" s="938"/>
      <c r="OZ119" s="938"/>
      <c r="PA119" s="938"/>
      <c r="PB119" s="938"/>
      <c r="PC119" s="938"/>
      <c r="PD119" s="938"/>
      <c r="PE119" s="938"/>
      <c r="PF119" s="938"/>
      <c r="PG119" s="938"/>
      <c r="PH119" s="938"/>
      <c r="PI119" s="938"/>
      <c r="PK119" s="938" t="str">
        <f>IF(PJ4=0,"",IF(OR(PJ6&lt;3,PJ4&lt;$AD$130),"",IF(PL9=2,IF(PJ4&lt;=$AG$126,PK115,0),IF(PJ4&lt;=$AG$121,PK115,0))))</f>
        <v/>
      </c>
      <c r="PL119" s="938" t="str">
        <f>IF(OR(PK119="",PK119&lt;0.001),"",$AJ$119)</f>
        <v/>
      </c>
      <c r="PM119" s="938"/>
      <c r="PN119" s="938"/>
      <c r="PO119" s="938"/>
      <c r="PP119" s="938"/>
      <c r="PQ119" s="938"/>
      <c r="PR119" s="938"/>
      <c r="PS119" s="938"/>
      <c r="PT119" s="938"/>
      <c r="PU119" s="938"/>
      <c r="PV119" s="938"/>
      <c r="PW119" s="938"/>
      <c r="PX119" s="938"/>
      <c r="PZ119" s="938" t="str">
        <f>IF(PY4=0,"",IF(OR(PY6&lt;3,PY4&lt;$AD$130),"",IF(QA9=2,IF(PY4&lt;=$AG$126,PZ115,0),IF(PY4&lt;=$AG$121,PZ115,0))))</f>
        <v/>
      </c>
      <c r="QA119" s="938" t="str">
        <f>IF(OR(PZ119="",PZ119&lt;0.001),"",$AJ$119)</f>
        <v/>
      </c>
      <c r="QB119" s="938"/>
      <c r="QC119" s="938"/>
      <c r="QD119" s="938"/>
      <c r="QE119" s="938"/>
      <c r="QF119" s="938"/>
      <c r="QG119" s="938"/>
      <c r="QH119" s="938"/>
      <c r="QI119" s="938"/>
      <c r="QJ119" s="938"/>
      <c r="QK119" s="938"/>
      <c r="QL119" s="938"/>
      <c r="QM119" s="938"/>
      <c r="QO119" s="938" t="str">
        <f>IF(QN4=0,"",IF(OR(QN6&lt;3,QN4&lt;$AD$130),"",IF(QP9=2,IF(QN4&lt;=$AG$126,QO115,0),IF(QN4&lt;=$AG$121,QO115,0))))</f>
        <v/>
      </c>
      <c r="QP119" s="938" t="str">
        <f>IF(OR(QO119="",QO119&lt;0.001),"",$AJ$119)</f>
        <v/>
      </c>
      <c r="QQ119" s="938"/>
      <c r="QR119" s="938"/>
      <c r="QS119" s="938"/>
      <c r="QT119" s="938"/>
      <c r="QU119" s="938"/>
      <c r="QV119" s="938"/>
      <c r="QW119" s="938"/>
      <c r="QX119" s="938"/>
      <c r="QY119" s="938"/>
      <c r="QZ119" s="938"/>
      <c r="RA119" s="938"/>
      <c r="RB119" s="938"/>
      <c r="RD119" s="938" t="str">
        <f>IF(RC4=0,"",IF(OR(RC6&lt;3,RC4&lt;$AD$130),"",IF(RE9=2,IF(RC4&lt;=$AG$126,RD115,0),IF(RC4&lt;=$AG$121,RD115,0))))</f>
        <v/>
      </c>
      <c r="RE119" s="938" t="str">
        <f>IF(OR(RD119="",RD119&lt;0.001),"",$AJ$119)</f>
        <v/>
      </c>
      <c r="RF119" s="938"/>
      <c r="RG119" s="938"/>
      <c r="RH119" s="938"/>
      <c r="RI119" s="938"/>
      <c r="RJ119" s="938"/>
      <c r="RK119" s="938"/>
      <c r="RL119" s="938"/>
      <c r="RM119" s="938"/>
      <c r="RN119" s="938"/>
      <c r="RO119" s="938"/>
      <c r="RP119" s="938"/>
      <c r="RQ119" s="938"/>
    </row>
    <row r="120" spans="1:495" s="930" customFormat="1" x14ac:dyDescent="0.2">
      <c r="S120" s="938"/>
      <c r="AA120" s="256" t="s">
        <v>336</v>
      </c>
      <c r="AB120" s="945"/>
      <c r="AC120" s="945"/>
      <c r="AD120" s="945">
        <v>44529</v>
      </c>
      <c r="AE120" s="945">
        <v>44592</v>
      </c>
      <c r="AF120" s="34">
        <v>44498</v>
      </c>
      <c r="AG120" s="34">
        <v>44592</v>
      </c>
      <c r="AJ120" s="930">
        <v>13</v>
      </c>
      <c r="AK120" s="930" t="str">
        <f>IF(AND(AJ6=1,AJ4&gt;$AD$130),SUMIFS(AJ14:AJ113,$L$14:$L$113,70,'#BerechnungDBE'!$AI$5:$AI$104,2),"")</f>
        <v/>
      </c>
      <c r="AL120" s="938" t="str">
        <f>IF(OR(AK120="",AK120&lt;0.001),"",$AJ$120)</f>
        <v/>
      </c>
      <c r="AZ120" s="938" t="str">
        <f>IF(AND(AY6=1,AY4&gt;$AD$130),SUMIFS(AY14:AY113,$L$14:$L$113,70,'#BerechnungDBE'!$AI$5:$AI$104,2),"")</f>
        <v/>
      </c>
      <c r="BA120" s="938" t="str">
        <f>IF(OR(AZ120="",AZ120&lt;0.001),"",$AJ$120)</f>
        <v/>
      </c>
      <c r="BB120" s="938"/>
      <c r="BC120" s="938"/>
      <c r="BD120" s="938"/>
      <c r="BE120" s="938"/>
      <c r="BF120" s="938"/>
      <c r="BG120" s="938"/>
      <c r="BH120" s="938"/>
      <c r="BI120" s="938"/>
      <c r="BJ120" s="938"/>
      <c r="BK120" s="938"/>
      <c r="BL120" s="938"/>
      <c r="BM120" s="938"/>
      <c r="BO120" s="938" t="str">
        <f>IF(AND(BN6=1,BN4&gt;$AD$130),SUMIFS(BN14:BN113,$L$14:$L$113,70,'#BerechnungDBE'!$AI$5:$AI$104,2),"")</f>
        <v/>
      </c>
      <c r="BP120" s="938" t="str">
        <f>IF(OR(BO120="",BO120&lt;0.001),"",$AJ$120)</f>
        <v/>
      </c>
      <c r="BQ120" s="938"/>
      <c r="BR120" s="938"/>
      <c r="BS120" s="938"/>
      <c r="BT120" s="938"/>
      <c r="BU120" s="938"/>
      <c r="BV120" s="938"/>
      <c r="BW120" s="938"/>
      <c r="BX120" s="938"/>
      <c r="BY120" s="938"/>
      <c r="BZ120" s="938"/>
      <c r="CA120" s="938"/>
      <c r="CB120" s="938"/>
      <c r="CD120" s="938" t="str">
        <f>IF(AND(CC6=1,CC4&gt;$AD$130),SUMIFS(CC14:CC113,$L$14:$L$113,70,'#BerechnungDBE'!$AI$5:$AI$104,2),"")</f>
        <v/>
      </c>
      <c r="CE120" s="938" t="str">
        <f>IF(OR(CD120="",CD120&lt;0.001),"",$AJ$120)</f>
        <v/>
      </c>
      <c r="CF120" s="938"/>
      <c r="CG120" s="938"/>
      <c r="CH120" s="938"/>
      <c r="CI120" s="938"/>
      <c r="CJ120" s="938"/>
      <c r="CK120" s="938"/>
      <c r="CL120" s="938"/>
      <c r="CM120" s="938"/>
      <c r="CN120" s="938"/>
      <c r="CO120" s="938"/>
      <c r="CP120" s="938"/>
      <c r="CQ120" s="938"/>
      <c r="CS120" s="938" t="str">
        <f>IF(AND(CR6=1,CR4&gt;$AD$130),SUMIFS(CR14:CR113,$L$14:$L$113,70,'#BerechnungDBE'!$AI$5:$AI$104,2),"")</f>
        <v/>
      </c>
      <c r="CT120" s="938" t="str">
        <f>IF(OR(CS120="",CS120&lt;0.001),"",$AJ$120)</f>
        <v/>
      </c>
      <c r="CU120" s="938"/>
      <c r="CV120" s="938"/>
      <c r="CW120" s="938"/>
      <c r="CX120" s="938"/>
      <c r="CY120" s="938"/>
      <c r="CZ120" s="938"/>
      <c r="DA120" s="938"/>
      <c r="DB120" s="938"/>
      <c r="DC120" s="938"/>
      <c r="DD120" s="938"/>
      <c r="DE120" s="938"/>
      <c r="DF120" s="938"/>
      <c r="DH120" s="938" t="str">
        <f>IF(AND(DG6=1,DG4&gt;$AD$130),SUMIFS(DG14:DG113,$L$14:$L$113,70,'#BerechnungDBE'!$AI$5:$AI$104,2),"")</f>
        <v/>
      </c>
      <c r="DI120" s="938" t="str">
        <f>IF(OR(DH120="",DH120&lt;0.001),"",$AJ$120)</f>
        <v/>
      </c>
      <c r="DJ120" s="938"/>
      <c r="DK120" s="938"/>
      <c r="DL120" s="938"/>
      <c r="DM120" s="938"/>
      <c r="DN120" s="938"/>
      <c r="DO120" s="938"/>
      <c r="DP120" s="938"/>
      <c r="DQ120" s="938"/>
      <c r="DR120" s="938"/>
      <c r="DS120" s="938"/>
      <c r="DT120" s="938"/>
      <c r="DU120" s="938"/>
      <c r="DW120" s="938" t="str">
        <f>IF(AND(DV6=1,DV4&gt;$AD$130),SUMIFS(DV14:DV113,$L$14:$L$113,70,'#BerechnungDBE'!$AI$5:$AI$104,2),"")</f>
        <v/>
      </c>
      <c r="DX120" s="938" t="str">
        <f>IF(OR(DW120="",DW120&lt;0.001),"",$AJ$120)</f>
        <v/>
      </c>
      <c r="DY120" s="938"/>
      <c r="DZ120" s="938"/>
      <c r="EA120" s="938"/>
      <c r="EB120" s="938"/>
      <c r="EC120" s="938"/>
      <c r="ED120" s="938"/>
      <c r="EE120" s="938"/>
      <c r="EF120" s="938"/>
      <c r="EG120" s="938"/>
      <c r="EH120" s="938"/>
      <c r="EI120" s="938"/>
      <c r="EJ120" s="938"/>
      <c r="EL120" s="938" t="str">
        <f>IF(AND(EK6=1,EK4&gt;$AD$130),SUMIFS(EK14:EK113,$L$14:$L$113,70,'#BerechnungDBE'!$AI$5:$AI$104,2),"")</f>
        <v/>
      </c>
      <c r="EM120" s="938" t="str">
        <f>IF(OR(EL120="",EL120&lt;0.001),"",$AJ$120)</f>
        <v/>
      </c>
      <c r="EN120" s="938"/>
      <c r="EO120" s="938"/>
      <c r="EP120" s="938"/>
      <c r="EQ120" s="938"/>
      <c r="ER120" s="938"/>
      <c r="ES120" s="938"/>
      <c r="ET120" s="938"/>
      <c r="EU120" s="938"/>
      <c r="EV120" s="938"/>
      <c r="EW120" s="938"/>
      <c r="EX120" s="938"/>
      <c r="EY120" s="938"/>
      <c r="FA120" s="938" t="str">
        <f>IF(AND(EZ6=1,EZ4&gt;$AD$130),SUMIFS(EZ14:EZ113,$L$14:$L$113,70,'#BerechnungDBE'!$AI$5:$AI$104,2),"")</f>
        <v/>
      </c>
      <c r="FB120" s="938" t="str">
        <f>IF(OR(FA120="",FA120&lt;0.001),"",$AJ$120)</f>
        <v/>
      </c>
      <c r="FC120" s="938"/>
      <c r="FD120" s="938"/>
      <c r="FE120" s="938"/>
      <c r="FF120" s="938"/>
      <c r="FG120" s="938"/>
      <c r="FH120" s="938"/>
      <c r="FI120" s="938"/>
      <c r="FJ120" s="938"/>
      <c r="FK120" s="938"/>
      <c r="FL120" s="938"/>
      <c r="FM120" s="938"/>
      <c r="FN120" s="938"/>
      <c r="FP120" s="938" t="str">
        <f>IF(AND(FO6=1,FO4&gt;$AD$130),SUMIFS(FO14:FO113,$L$14:$L$113,70,'#BerechnungDBE'!$AI$5:$AI$104,2),"")</f>
        <v/>
      </c>
      <c r="FQ120" s="938" t="str">
        <f>IF(OR(FP120="",FP120&lt;0.001),"",$AJ$120)</f>
        <v/>
      </c>
      <c r="FR120" s="938"/>
      <c r="FS120" s="938"/>
      <c r="FT120" s="938"/>
      <c r="FU120" s="938"/>
      <c r="FV120" s="938"/>
      <c r="FW120" s="938"/>
      <c r="FX120" s="938"/>
      <c r="FY120" s="938"/>
      <c r="FZ120" s="938"/>
      <c r="GA120" s="938"/>
      <c r="GB120" s="938"/>
      <c r="GC120" s="938"/>
      <c r="GE120" s="938" t="str">
        <f>IF(AND(GD6=1,GD4&gt;$AD$130),SUMIFS(GD14:GD113,$L$14:$L$113,70,'#BerechnungDBE'!$AI$5:$AI$104,2),"")</f>
        <v/>
      </c>
      <c r="GF120" s="938" t="str">
        <f>IF(OR(GE120="",GE120&lt;0.001),"",$AJ$120)</f>
        <v/>
      </c>
      <c r="GG120" s="938"/>
      <c r="GH120" s="938"/>
      <c r="GI120" s="938"/>
      <c r="GJ120" s="938"/>
      <c r="GK120" s="938"/>
      <c r="GL120" s="938"/>
      <c r="GM120" s="938"/>
      <c r="GN120" s="938"/>
      <c r="GO120" s="938"/>
      <c r="GP120" s="938"/>
      <c r="GQ120" s="938"/>
      <c r="GR120" s="938"/>
      <c r="GT120" s="938" t="str">
        <f>IF(AND(GS6=1,GS4&gt;$AD$130),SUMIFS(GS14:GS113,$L$14:$L$113,70,'#BerechnungDBE'!$AI$5:$AI$104,2),"")</f>
        <v/>
      </c>
      <c r="GU120" s="938" t="str">
        <f>IF(OR(GT120="",GT120&lt;0.001),"",$AJ$120)</f>
        <v/>
      </c>
      <c r="GV120" s="938"/>
      <c r="GW120" s="938"/>
      <c r="GX120" s="938"/>
      <c r="GY120" s="938"/>
      <c r="GZ120" s="938"/>
      <c r="HA120" s="938"/>
      <c r="HB120" s="938"/>
      <c r="HC120" s="938"/>
      <c r="HD120" s="938"/>
      <c r="HE120" s="938"/>
      <c r="HF120" s="938"/>
      <c r="HG120" s="938"/>
      <c r="HI120" s="938" t="str">
        <f>IF(AND(HH6=1,HH4&gt;$AD$130),SUMIFS(HH14:HH113,$L$14:$L$113,70,'#BerechnungDBE'!$AI$5:$AI$104,2),"")</f>
        <v/>
      </c>
      <c r="HJ120" s="938" t="str">
        <f>IF(OR(HI120="",HI120&lt;0.001),"",$AJ$120)</f>
        <v/>
      </c>
      <c r="HK120" s="938"/>
      <c r="HL120" s="938"/>
      <c r="HM120" s="938"/>
      <c r="HN120" s="938"/>
      <c r="HO120" s="938"/>
      <c r="HP120" s="938"/>
      <c r="HQ120" s="938"/>
      <c r="HR120" s="938"/>
      <c r="HS120" s="938"/>
      <c r="HT120" s="938"/>
      <c r="HU120" s="938"/>
      <c r="HV120" s="938"/>
      <c r="HX120" s="938" t="str">
        <f>IF(AND(HW6=1,HW4&gt;$AD$130),SUMIFS(HW14:HW113,$L$14:$L$113,70,'#BerechnungDBE'!$AI$5:$AI$104,2),"")</f>
        <v/>
      </c>
      <c r="HY120" s="938" t="str">
        <f>IF(OR(HX120="",HX120&lt;0.001),"",$AJ$120)</f>
        <v/>
      </c>
      <c r="HZ120" s="938"/>
      <c r="IA120" s="938"/>
      <c r="IB120" s="938"/>
      <c r="IC120" s="938"/>
      <c r="ID120" s="938"/>
      <c r="IE120" s="938"/>
      <c r="IF120" s="938"/>
      <c r="IG120" s="938"/>
      <c r="IH120" s="938"/>
      <c r="II120" s="938"/>
      <c r="IJ120" s="938"/>
      <c r="IK120" s="938"/>
      <c r="IM120" s="938" t="str">
        <f>IF(AND(IL6=1,IL4&gt;$AD$130),SUMIFS(IL14:IL113,$L$14:$L$113,70,'#BerechnungDBE'!$AI$5:$AI$104,2),"")</f>
        <v/>
      </c>
      <c r="IN120" s="938" t="str">
        <f>IF(OR(IM120="",IM120&lt;0.001),"",$AJ$120)</f>
        <v/>
      </c>
      <c r="IO120" s="938"/>
      <c r="IP120" s="938"/>
      <c r="IQ120" s="938"/>
      <c r="IR120" s="938"/>
      <c r="IS120" s="938"/>
      <c r="IT120" s="938"/>
      <c r="IU120" s="938"/>
      <c r="IV120" s="938"/>
      <c r="IW120" s="938"/>
      <c r="IX120" s="938"/>
      <c r="IY120" s="938"/>
      <c r="IZ120" s="938"/>
      <c r="JB120" s="938" t="str">
        <f>IF(AND(JA6=1,JA4&gt;$AD$130),SUMIFS(JA14:JA113,$L$14:$L$113,70,'#BerechnungDBE'!$AI$5:$AI$104,2),"")</f>
        <v/>
      </c>
      <c r="JC120" s="938" t="str">
        <f>IF(OR(JB120="",JB120&lt;0.001),"",$AJ$120)</f>
        <v/>
      </c>
      <c r="JD120" s="938"/>
      <c r="JE120" s="938"/>
      <c r="JF120" s="938"/>
      <c r="JG120" s="938"/>
      <c r="JH120" s="938"/>
      <c r="JI120" s="938"/>
      <c r="JJ120" s="938"/>
      <c r="JK120" s="938"/>
      <c r="JL120" s="938"/>
      <c r="JM120" s="938"/>
      <c r="JN120" s="938"/>
      <c r="JO120" s="938"/>
      <c r="JQ120" s="938" t="str">
        <f>IF(AND(JP6=1,JP4&gt;$AD$130),SUMIFS(JP14:JP113,$L$14:$L$113,70,'#BerechnungDBE'!$AI$5:$AI$104,2),"")</f>
        <v/>
      </c>
      <c r="JR120" s="938" t="str">
        <f>IF(OR(JQ120="",JQ120&lt;0.001),"",$AJ$120)</f>
        <v/>
      </c>
      <c r="JS120" s="938"/>
      <c r="JT120" s="938"/>
      <c r="JU120" s="938"/>
      <c r="JV120" s="938"/>
      <c r="JW120" s="938"/>
      <c r="JX120" s="938"/>
      <c r="JY120" s="938"/>
      <c r="JZ120" s="938"/>
      <c r="KA120" s="938"/>
      <c r="KB120" s="938"/>
      <c r="KC120" s="938"/>
      <c r="KD120" s="938"/>
      <c r="KF120" s="938" t="str">
        <f>IF(AND(KE6=1,KE4&gt;$AD$130),SUMIFS(KE14:KE113,$L$14:$L$113,70,'#BerechnungDBE'!$AI$5:$AI$104,2),"")</f>
        <v/>
      </c>
      <c r="KG120" s="938" t="str">
        <f>IF(OR(KF120="",KF120&lt;0.001),"",$AJ$120)</f>
        <v/>
      </c>
      <c r="KH120" s="938"/>
      <c r="KI120" s="938"/>
      <c r="KJ120" s="938"/>
      <c r="KK120" s="938"/>
      <c r="KL120" s="938"/>
      <c r="KM120" s="938"/>
      <c r="KN120" s="938"/>
      <c r="KO120" s="938"/>
      <c r="KP120" s="938"/>
      <c r="KQ120" s="938"/>
      <c r="KR120" s="938"/>
      <c r="KS120" s="938"/>
      <c r="KU120" s="938" t="str">
        <f>IF(AND(KT6=1,KT4&gt;$AD$130),SUMIFS(KT14:KT113,$L$14:$L$113,70,'#BerechnungDBE'!$AI$5:$AI$104,2),"")</f>
        <v/>
      </c>
      <c r="KV120" s="938" t="str">
        <f>IF(OR(KU120="",KU120&lt;0.001),"",$AJ$120)</f>
        <v/>
      </c>
      <c r="KW120" s="938"/>
      <c r="KX120" s="938"/>
      <c r="KY120" s="938"/>
      <c r="KZ120" s="938"/>
      <c r="LA120" s="938"/>
      <c r="LB120" s="938"/>
      <c r="LC120" s="938"/>
      <c r="LD120" s="938"/>
      <c r="LE120" s="938"/>
      <c r="LF120" s="938"/>
      <c r="LG120" s="938"/>
      <c r="LH120" s="938"/>
      <c r="LJ120" s="938" t="str">
        <f>IF(AND(LI6=1,LI4&gt;$AD$130),SUMIFS(LI14:LI113,$L$14:$L$113,70,'#BerechnungDBE'!$AI$5:$AI$104,2),"")</f>
        <v/>
      </c>
      <c r="LK120" s="938" t="str">
        <f>IF(OR(LJ120="",LJ120&lt;0.001),"",$AJ$120)</f>
        <v/>
      </c>
      <c r="LL120" s="938"/>
      <c r="LM120" s="938"/>
      <c r="LN120" s="938"/>
      <c r="LO120" s="938"/>
      <c r="LP120" s="938"/>
      <c r="LQ120" s="938"/>
      <c r="LR120" s="938"/>
      <c r="LS120" s="938"/>
      <c r="LT120" s="938"/>
      <c r="LU120" s="938"/>
      <c r="LV120" s="938"/>
      <c r="LW120" s="938"/>
      <c r="LY120" s="938" t="str">
        <f>IF(AND(LX6=1,LX4&gt;$AD$130),SUMIFS(LX14:LX113,$L$14:$L$113,70,'#BerechnungDBE'!$AI$5:$AI$104,2),"")</f>
        <v/>
      </c>
      <c r="LZ120" s="938" t="str">
        <f>IF(OR(LY120="",LY120&lt;0.001),"",$AJ$120)</f>
        <v/>
      </c>
      <c r="MA120" s="938"/>
      <c r="MB120" s="938"/>
      <c r="MC120" s="938"/>
      <c r="MD120" s="938"/>
      <c r="ME120" s="938"/>
      <c r="MF120" s="938"/>
      <c r="MG120" s="938"/>
      <c r="MH120" s="938"/>
      <c r="MI120" s="938"/>
      <c r="MJ120" s="938"/>
      <c r="MK120" s="938"/>
      <c r="ML120" s="938"/>
      <c r="MN120" s="938" t="str">
        <f>IF(AND(MM6=1,MM4&gt;$AD$130),SUMIFS(MM14:MM113,$L$14:$L$113,70,'#BerechnungDBE'!$AI$5:$AI$104,2),"")</f>
        <v/>
      </c>
      <c r="MO120" s="938" t="str">
        <f>IF(OR(MN120="",MN120&lt;0.001),"",$AJ$120)</f>
        <v/>
      </c>
      <c r="MP120" s="938"/>
      <c r="MQ120" s="938"/>
      <c r="MR120" s="938"/>
      <c r="MS120" s="938"/>
      <c r="MT120" s="938"/>
      <c r="MU120" s="938"/>
      <c r="MV120" s="938"/>
      <c r="MW120" s="938"/>
      <c r="MX120" s="938"/>
      <c r="MY120" s="938"/>
      <c r="MZ120" s="938"/>
      <c r="NA120" s="938"/>
      <c r="NC120" s="938" t="str">
        <f>IF(AND(NB6=1,NB4&gt;$AD$130),SUMIFS(NB14:NB113,$L$14:$L$113,70,'#BerechnungDBE'!$AI$5:$AI$104,2),"")</f>
        <v/>
      </c>
      <c r="ND120" s="938" t="str">
        <f>IF(OR(NC120="",NC120&lt;0.001),"",$AJ$120)</f>
        <v/>
      </c>
      <c r="NE120" s="938"/>
      <c r="NF120" s="938"/>
      <c r="NG120" s="938"/>
      <c r="NH120" s="938"/>
      <c r="NI120" s="938"/>
      <c r="NJ120" s="938"/>
      <c r="NK120" s="938"/>
      <c r="NL120" s="938"/>
      <c r="NM120" s="938"/>
      <c r="NN120" s="938"/>
      <c r="NO120" s="938"/>
      <c r="NP120" s="938"/>
      <c r="NR120" s="938" t="str">
        <f>IF(AND(NQ6=1,NQ4&gt;$AD$130),SUMIFS(NQ14:NQ113,$L$14:$L$113,70,'#BerechnungDBE'!$AI$5:$AI$104,2),"")</f>
        <v/>
      </c>
      <c r="NS120" s="938" t="str">
        <f>IF(OR(NR120="",NR120&lt;0.001),"",$AJ$120)</f>
        <v/>
      </c>
      <c r="NT120" s="938"/>
      <c r="NU120" s="938"/>
      <c r="NV120" s="938"/>
      <c r="NW120" s="938"/>
      <c r="NX120" s="938"/>
      <c r="NY120" s="938"/>
      <c r="NZ120" s="938"/>
      <c r="OA120" s="938"/>
      <c r="OB120" s="938"/>
      <c r="OC120" s="938"/>
      <c r="OD120" s="938"/>
      <c r="OE120" s="938"/>
      <c r="OG120" s="938" t="str">
        <f>IF(AND(OF6=1,OF4&gt;$AD$130),SUMIFS(OF14:OF113,$L$14:$L$113,70,'#BerechnungDBE'!$AI$5:$AI$104,2),"")</f>
        <v/>
      </c>
      <c r="OH120" s="938" t="str">
        <f>IF(OR(OG120="",OG120&lt;0.001),"",$AJ$120)</f>
        <v/>
      </c>
      <c r="OI120" s="938"/>
      <c r="OJ120" s="938"/>
      <c r="OK120" s="938"/>
      <c r="OL120" s="938"/>
      <c r="OM120" s="938"/>
      <c r="ON120" s="938"/>
      <c r="OO120" s="938"/>
      <c r="OP120" s="938"/>
      <c r="OQ120" s="938"/>
      <c r="OR120" s="938"/>
      <c r="OS120" s="938"/>
      <c r="OT120" s="938"/>
      <c r="OV120" s="938" t="str">
        <f>IF(AND(OU6=1,OU4&gt;$AD$130),SUMIFS(OU14:OU113,$L$14:$L$113,70,'#BerechnungDBE'!$AI$5:$AI$104,2),"")</f>
        <v/>
      </c>
      <c r="OW120" s="938" t="str">
        <f>IF(OR(OV120="",OV120&lt;0.001),"",$AJ$120)</f>
        <v/>
      </c>
      <c r="OX120" s="938"/>
      <c r="OY120" s="938"/>
      <c r="OZ120" s="938"/>
      <c r="PA120" s="938"/>
      <c r="PB120" s="938"/>
      <c r="PC120" s="938"/>
      <c r="PD120" s="938"/>
      <c r="PE120" s="938"/>
      <c r="PF120" s="938"/>
      <c r="PG120" s="938"/>
      <c r="PH120" s="938"/>
      <c r="PI120" s="938"/>
      <c r="PK120" s="938" t="str">
        <f>IF(AND(PJ6=1,PJ4&gt;$AD$130),SUMIFS(PJ14:PJ113,$L$14:$L$113,70,'#BerechnungDBE'!$AI$5:$AI$104,2),"")</f>
        <v/>
      </c>
      <c r="PL120" s="938" t="str">
        <f>IF(OR(PK120="",PK120&lt;0.001),"",$AJ$120)</f>
        <v/>
      </c>
      <c r="PM120" s="938"/>
      <c r="PN120" s="938"/>
      <c r="PO120" s="938"/>
      <c r="PP120" s="938"/>
      <c r="PQ120" s="938"/>
      <c r="PR120" s="938"/>
      <c r="PS120" s="938"/>
      <c r="PT120" s="938"/>
      <c r="PU120" s="938"/>
      <c r="PV120" s="938"/>
      <c r="PW120" s="938"/>
      <c r="PX120" s="938"/>
      <c r="PZ120" s="938" t="str">
        <f>IF(AND(PY6=1,PY4&gt;$AD$130),SUMIFS(PY14:PY113,$L$14:$L$113,70,'#BerechnungDBE'!$AI$5:$AI$104,2),"")</f>
        <v/>
      </c>
      <c r="QA120" s="938" t="str">
        <f>IF(OR(PZ120="",PZ120&lt;0.001),"",$AJ$120)</f>
        <v/>
      </c>
      <c r="QB120" s="938"/>
      <c r="QC120" s="938"/>
      <c r="QD120" s="938"/>
      <c r="QE120" s="938"/>
      <c r="QF120" s="938"/>
      <c r="QG120" s="938"/>
      <c r="QH120" s="938"/>
      <c r="QI120" s="938"/>
      <c r="QJ120" s="938"/>
      <c r="QK120" s="938"/>
      <c r="QL120" s="938"/>
      <c r="QM120" s="938"/>
      <c r="QO120" s="938" t="str">
        <f>IF(AND(QN6=1,QN4&gt;$AD$130),SUMIFS(QN14:QN113,$L$14:$L$113,70,'#BerechnungDBE'!$AI$5:$AI$104,2),"")</f>
        <v/>
      </c>
      <c r="QP120" s="938" t="str">
        <f>IF(OR(QO120="",QO120&lt;0.001),"",$AJ$120)</f>
        <v/>
      </c>
      <c r="QQ120" s="938"/>
      <c r="QR120" s="938"/>
      <c r="QS120" s="938"/>
      <c r="QT120" s="938"/>
      <c r="QU120" s="938"/>
      <c r="QV120" s="938"/>
      <c r="QW120" s="938"/>
      <c r="QX120" s="938"/>
      <c r="QY120" s="938"/>
      <c r="QZ120" s="938"/>
      <c r="RA120" s="938"/>
      <c r="RB120" s="938"/>
      <c r="RD120" s="938" t="str">
        <f>IF(AND(RC6=1,RC4&gt;$AD$130),SUMIFS(RC14:RC113,$L$14:$L$113,70,'#BerechnungDBE'!$AI$5:$AI$104,2),"")</f>
        <v/>
      </c>
      <c r="RE120" s="938" t="str">
        <f>IF(OR(RD120="",RD120&lt;0.001),"",$AJ$120)</f>
        <v/>
      </c>
      <c r="RF120" s="938"/>
      <c r="RG120" s="938"/>
      <c r="RH120" s="938"/>
      <c r="RI120" s="938"/>
      <c r="RJ120" s="938"/>
      <c r="RK120" s="938"/>
      <c r="RL120" s="938"/>
      <c r="RM120" s="938"/>
      <c r="RN120" s="938"/>
      <c r="RO120" s="938"/>
      <c r="RP120" s="938"/>
      <c r="RQ120" s="938"/>
    </row>
    <row r="121" spans="1:495" s="930" customFormat="1" x14ac:dyDescent="0.2">
      <c r="S121" s="938"/>
      <c r="AA121" s="256" t="s">
        <v>337</v>
      </c>
      <c r="AB121" s="474"/>
      <c r="AC121" s="474"/>
      <c r="AD121" s="474"/>
      <c r="AE121" s="945">
        <v>44592</v>
      </c>
      <c r="AG121" s="34">
        <v>44592</v>
      </c>
      <c r="AZ121" s="938"/>
      <c r="BA121" s="938"/>
      <c r="BB121" s="938"/>
      <c r="BC121" s="938"/>
      <c r="BD121" s="938"/>
      <c r="BE121" s="938"/>
      <c r="BF121" s="938"/>
      <c r="BG121" s="938"/>
      <c r="BH121" s="938"/>
      <c r="BI121" s="938"/>
      <c r="BJ121" s="938"/>
      <c r="BK121" s="938"/>
      <c r="BL121" s="938"/>
      <c r="BM121" s="938"/>
      <c r="BO121" s="938"/>
      <c r="BP121" s="938"/>
      <c r="BQ121" s="938"/>
      <c r="BR121" s="938"/>
      <c r="BS121" s="938"/>
      <c r="BT121" s="938"/>
      <c r="BU121" s="938"/>
      <c r="BV121" s="938"/>
      <c r="BW121" s="938"/>
      <c r="BX121" s="938"/>
      <c r="BY121" s="938"/>
      <c r="BZ121" s="938"/>
      <c r="CA121" s="938"/>
      <c r="CB121" s="938"/>
      <c r="CD121" s="938"/>
      <c r="CE121" s="938"/>
      <c r="CF121" s="938"/>
      <c r="CG121" s="938"/>
      <c r="CH121" s="938"/>
      <c r="CI121" s="938"/>
      <c r="CJ121" s="938"/>
      <c r="CK121" s="938"/>
      <c r="CL121" s="938"/>
      <c r="CM121" s="938"/>
      <c r="CN121" s="938"/>
      <c r="CO121" s="938"/>
      <c r="CP121" s="938"/>
      <c r="CQ121" s="938"/>
      <c r="CS121" s="938"/>
      <c r="CT121" s="938"/>
      <c r="CU121" s="938"/>
      <c r="CV121" s="938"/>
      <c r="CW121" s="938"/>
      <c r="CX121" s="938"/>
      <c r="CY121" s="938"/>
      <c r="CZ121" s="938"/>
      <c r="DA121" s="938"/>
      <c r="DB121" s="938"/>
      <c r="DC121" s="938"/>
      <c r="DD121" s="938"/>
      <c r="DE121" s="938"/>
      <c r="DF121" s="938"/>
      <c r="DH121" s="938"/>
      <c r="DI121" s="938"/>
      <c r="DJ121" s="938"/>
      <c r="DK121" s="938"/>
      <c r="DL121" s="938"/>
      <c r="DM121" s="938"/>
      <c r="DN121" s="938"/>
      <c r="DO121" s="938"/>
      <c r="DP121" s="938"/>
      <c r="DQ121" s="938"/>
      <c r="DR121" s="938"/>
      <c r="DS121" s="938"/>
      <c r="DT121" s="938"/>
      <c r="DU121" s="938"/>
      <c r="DW121" s="938"/>
      <c r="DX121" s="938"/>
      <c r="DY121" s="938"/>
      <c r="DZ121" s="938"/>
      <c r="EA121" s="938"/>
      <c r="EB121" s="938"/>
      <c r="EC121" s="938"/>
      <c r="ED121" s="938"/>
      <c r="EE121" s="938"/>
      <c r="EF121" s="938"/>
      <c r="EG121" s="938"/>
      <c r="EH121" s="938"/>
      <c r="EI121" s="938"/>
      <c r="EJ121" s="938"/>
      <c r="EL121" s="938"/>
      <c r="EM121" s="938"/>
      <c r="EN121" s="938"/>
      <c r="EO121" s="938"/>
      <c r="EP121" s="938"/>
      <c r="EQ121" s="938"/>
      <c r="ER121" s="938"/>
      <c r="ES121" s="938"/>
      <c r="ET121" s="938"/>
      <c r="EU121" s="938"/>
      <c r="EV121" s="938"/>
      <c r="EW121" s="938"/>
      <c r="EX121" s="938"/>
      <c r="EY121" s="938"/>
      <c r="FA121" s="938"/>
      <c r="FB121" s="938"/>
      <c r="FC121" s="938"/>
      <c r="FD121" s="938"/>
      <c r="FE121" s="938"/>
      <c r="FF121" s="938"/>
      <c r="FG121" s="938"/>
      <c r="FH121" s="938"/>
      <c r="FI121" s="938"/>
      <c r="FJ121" s="938"/>
      <c r="FK121" s="938"/>
      <c r="FL121" s="938"/>
      <c r="FM121" s="938"/>
      <c r="FN121" s="938"/>
      <c r="FP121" s="938"/>
      <c r="FQ121" s="938"/>
      <c r="FR121" s="938"/>
      <c r="FS121" s="938"/>
      <c r="FT121" s="938"/>
      <c r="FU121" s="938"/>
      <c r="FV121" s="938"/>
      <c r="FW121" s="938"/>
      <c r="FX121" s="938"/>
      <c r="FY121" s="938"/>
      <c r="FZ121" s="938"/>
      <c r="GA121" s="938"/>
      <c r="GB121" s="938"/>
      <c r="GC121" s="938"/>
      <c r="GE121" s="938"/>
      <c r="GF121" s="938"/>
      <c r="GG121" s="938"/>
      <c r="GH121" s="938"/>
      <c r="GI121" s="938"/>
      <c r="GJ121" s="938"/>
      <c r="GK121" s="938"/>
      <c r="GL121" s="938"/>
      <c r="GM121" s="938"/>
      <c r="GN121" s="938"/>
      <c r="GO121" s="938"/>
      <c r="GP121" s="938"/>
      <c r="GQ121" s="938"/>
      <c r="GR121" s="938"/>
      <c r="GT121" s="938"/>
      <c r="GU121" s="938"/>
      <c r="GV121" s="938"/>
      <c r="GW121" s="938"/>
      <c r="GX121" s="938"/>
      <c r="GY121" s="938"/>
      <c r="GZ121" s="938"/>
      <c r="HA121" s="938"/>
      <c r="HB121" s="938"/>
      <c r="HC121" s="938"/>
      <c r="HD121" s="938"/>
      <c r="HE121" s="938"/>
      <c r="HF121" s="938"/>
      <c r="HG121" s="938"/>
      <c r="HI121" s="938"/>
      <c r="HJ121" s="938"/>
      <c r="HK121" s="938"/>
      <c r="HL121" s="938"/>
      <c r="HM121" s="938"/>
      <c r="HN121" s="938"/>
      <c r="HO121" s="938"/>
      <c r="HP121" s="938"/>
      <c r="HQ121" s="938"/>
      <c r="HR121" s="938"/>
      <c r="HS121" s="938"/>
      <c r="HT121" s="938"/>
      <c r="HU121" s="938"/>
      <c r="HV121" s="938"/>
      <c r="HX121" s="938"/>
      <c r="HY121" s="938"/>
      <c r="HZ121" s="938"/>
      <c r="IA121" s="938"/>
      <c r="IB121" s="938"/>
      <c r="IC121" s="938"/>
      <c r="ID121" s="938"/>
      <c r="IE121" s="938"/>
      <c r="IF121" s="938"/>
      <c r="IG121" s="938"/>
      <c r="IH121" s="938"/>
      <c r="II121" s="938"/>
      <c r="IJ121" s="938"/>
      <c r="IK121" s="938"/>
      <c r="IM121" s="938"/>
      <c r="IN121" s="938"/>
      <c r="IO121" s="938"/>
      <c r="IP121" s="938"/>
      <c r="IQ121" s="938"/>
      <c r="IR121" s="938"/>
      <c r="IS121" s="938"/>
      <c r="IT121" s="938"/>
      <c r="IU121" s="938"/>
      <c r="IV121" s="938"/>
      <c r="IW121" s="938"/>
      <c r="IX121" s="938"/>
      <c r="IY121" s="938"/>
      <c r="IZ121" s="938"/>
      <c r="JB121" s="938"/>
      <c r="JC121" s="938"/>
      <c r="JD121" s="938"/>
      <c r="JE121" s="938"/>
      <c r="JF121" s="938"/>
      <c r="JG121" s="938"/>
      <c r="JH121" s="938"/>
      <c r="JI121" s="938"/>
      <c r="JJ121" s="938"/>
      <c r="JK121" s="938"/>
      <c r="JL121" s="938"/>
      <c r="JM121" s="938"/>
      <c r="JN121" s="938"/>
      <c r="JO121" s="938"/>
      <c r="JQ121" s="938"/>
      <c r="JR121" s="938"/>
      <c r="JS121" s="938"/>
      <c r="JT121" s="938"/>
      <c r="JU121" s="938"/>
      <c r="JV121" s="938"/>
      <c r="JW121" s="938"/>
      <c r="JX121" s="938"/>
      <c r="JY121" s="938"/>
      <c r="JZ121" s="938"/>
      <c r="KA121" s="938"/>
      <c r="KB121" s="938"/>
      <c r="KC121" s="938"/>
      <c r="KD121" s="938"/>
      <c r="KF121" s="938"/>
      <c r="KG121" s="938"/>
      <c r="KH121" s="938"/>
      <c r="KI121" s="938"/>
      <c r="KJ121" s="938"/>
      <c r="KK121" s="938"/>
      <c r="KL121" s="938"/>
      <c r="KM121" s="938"/>
      <c r="KN121" s="938"/>
      <c r="KO121" s="938"/>
      <c r="KP121" s="938"/>
      <c r="KQ121" s="938"/>
      <c r="KR121" s="938"/>
      <c r="KS121" s="938"/>
      <c r="KU121" s="938"/>
      <c r="KV121" s="938"/>
      <c r="KW121" s="938"/>
      <c r="KX121" s="938"/>
      <c r="KY121" s="938"/>
      <c r="KZ121" s="938"/>
      <c r="LA121" s="938"/>
      <c r="LB121" s="938"/>
      <c r="LC121" s="938"/>
      <c r="LD121" s="938"/>
      <c r="LE121" s="938"/>
      <c r="LF121" s="938"/>
      <c r="LG121" s="938"/>
      <c r="LH121" s="938"/>
      <c r="LJ121" s="938"/>
      <c r="LK121" s="938"/>
      <c r="LL121" s="938"/>
      <c r="LM121" s="938"/>
      <c r="LN121" s="938"/>
      <c r="LO121" s="938"/>
      <c r="LP121" s="938"/>
      <c r="LQ121" s="938"/>
      <c r="LR121" s="938"/>
      <c r="LS121" s="938"/>
      <c r="LT121" s="938"/>
      <c r="LU121" s="938"/>
      <c r="LV121" s="938"/>
      <c r="LW121" s="938"/>
      <c r="LY121" s="938"/>
      <c r="LZ121" s="938"/>
      <c r="MA121" s="938"/>
      <c r="MB121" s="938"/>
      <c r="MC121" s="938"/>
      <c r="MD121" s="938"/>
      <c r="ME121" s="938"/>
      <c r="MF121" s="938"/>
      <c r="MG121" s="938"/>
      <c r="MH121" s="938"/>
      <c r="MI121" s="938"/>
      <c r="MJ121" s="938"/>
      <c r="MK121" s="938"/>
      <c r="ML121" s="938"/>
      <c r="MN121" s="938"/>
      <c r="MO121" s="938"/>
      <c r="MP121" s="938"/>
      <c r="MQ121" s="938"/>
      <c r="MR121" s="938"/>
      <c r="MS121" s="938"/>
      <c r="MT121" s="938"/>
      <c r="MU121" s="938"/>
      <c r="MV121" s="938"/>
      <c r="MW121" s="938"/>
      <c r="MX121" s="938"/>
      <c r="MY121" s="938"/>
      <c r="MZ121" s="938"/>
      <c r="NA121" s="938"/>
      <c r="NC121" s="938"/>
      <c r="ND121" s="938"/>
      <c r="NE121" s="938"/>
      <c r="NF121" s="938"/>
      <c r="NG121" s="938"/>
      <c r="NH121" s="938"/>
      <c r="NI121" s="938"/>
      <c r="NJ121" s="938"/>
      <c r="NK121" s="938"/>
      <c r="NL121" s="938"/>
      <c r="NM121" s="938"/>
      <c r="NN121" s="938"/>
      <c r="NO121" s="938"/>
      <c r="NP121" s="938"/>
      <c r="NR121" s="938"/>
      <c r="NS121" s="938"/>
      <c r="NT121" s="938"/>
      <c r="NU121" s="938"/>
      <c r="NV121" s="938"/>
      <c r="NW121" s="938"/>
      <c r="NX121" s="938"/>
      <c r="NY121" s="938"/>
      <c r="NZ121" s="938"/>
      <c r="OA121" s="938"/>
      <c r="OB121" s="938"/>
      <c r="OC121" s="938"/>
      <c r="OD121" s="938"/>
      <c r="OE121" s="938"/>
      <c r="OG121" s="938"/>
      <c r="OH121" s="938"/>
      <c r="OI121" s="938"/>
      <c r="OJ121" s="938"/>
      <c r="OK121" s="938"/>
      <c r="OL121" s="938"/>
      <c r="OM121" s="938"/>
      <c r="ON121" s="938"/>
      <c r="OO121" s="938"/>
      <c r="OP121" s="938"/>
      <c r="OQ121" s="938"/>
      <c r="OR121" s="938"/>
      <c r="OS121" s="938"/>
      <c r="OT121" s="938"/>
      <c r="OV121" s="938"/>
      <c r="OW121" s="938"/>
      <c r="OX121" s="938"/>
      <c r="OY121" s="938"/>
      <c r="OZ121" s="938"/>
      <c r="PA121" s="938"/>
      <c r="PB121" s="938"/>
      <c r="PC121" s="938"/>
      <c r="PD121" s="938"/>
      <c r="PE121" s="938"/>
      <c r="PF121" s="938"/>
      <c r="PG121" s="938"/>
      <c r="PH121" s="938"/>
      <c r="PI121" s="938"/>
      <c r="PK121" s="938"/>
      <c r="PL121" s="938"/>
      <c r="PM121" s="938"/>
      <c r="PN121" s="938"/>
      <c r="PO121" s="938"/>
      <c r="PP121" s="938"/>
      <c r="PQ121" s="938"/>
      <c r="PR121" s="938"/>
      <c r="PS121" s="938"/>
      <c r="PT121" s="938"/>
      <c r="PU121" s="938"/>
      <c r="PV121" s="938"/>
      <c r="PW121" s="938"/>
      <c r="PX121" s="938"/>
      <c r="PZ121" s="938"/>
      <c r="QA121" s="938"/>
      <c r="QB121" s="938"/>
      <c r="QC121" s="938"/>
      <c r="QD121" s="938"/>
      <c r="QE121" s="938"/>
      <c r="QF121" s="938"/>
      <c r="QG121" s="938"/>
      <c r="QH121" s="938"/>
      <c r="QI121" s="938"/>
      <c r="QJ121" s="938"/>
      <c r="QK121" s="938"/>
      <c r="QL121" s="938"/>
      <c r="QM121" s="938"/>
      <c r="QO121" s="938"/>
      <c r="QP121" s="938"/>
      <c r="QQ121" s="938"/>
      <c r="QR121" s="938"/>
      <c r="QS121" s="938"/>
      <c r="QT121" s="938"/>
      <c r="QU121" s="938"/>
      <c r="QV121" s="938"/>
      <c r="QW121" s="938"/>
      <c r="QX121" s="938"/>
      <c r="QY121" s="938"/>
      <c r="QZ121" s="938"/>
      <c r="RA121" s="938"/>
      <c r="RB121" s="938"/>
      <c r="RD121" s="938"/>
      <c r="RE121" s="938"/>
      <c r="RF121" s="938"/>
      <c r="RG121" s="938"/>
      <c r="RH121" s="938"/>
      <c r="RI121" s="938"/>
      <c r="RJ121" s="938"/>
      <c r="RK121" s="938"/>
      <c r="RL121" s="938"/>
      <c r="RM121" s="938"/>
      <c r="RN121" s="938"/>
      <c r="RO121" s="938"/>
      <c r="RP121" s="938"/>
      <c r="RQ121" s="938"/>
    </row>
    <row r="122" spans="1:495" s="930" customFormat="1" x14ac:dyDescent="0.2">
      <c r="S122" s="938"/>
      <c r="AA122" s="256" t="s">
        <v>338</v>
      </c>
      <c r="AB122" s="945"/>
      <c r="AC122" s="945"/>
      <c r="AD122" s="945">
        <v>44471</v>
      </c>
      <c r="AE122" s="945"/>
      <c r="AF122" s="34">
        <v>44471</v>
      </c>
      <c r="AJ122" s="930" t="s">
        <v>1647</v>
      </c>
      <c r="AK122" s="930">
        <f>COUNTIF('#Boden'!$G$27:$G$28,'#orgDung'!AJ7)</f>
        <v>1</v>
      </c>
      <c r="AZ122" s="938">
        <f>COUNTIF('#Boden'!$G$27:$G$28,'#orgDung'!AY7)</f>
        <v>1</v>
      </c>
      <c r="BA122" s="938"/>
      <c r="BB122" s="938"/>
      <c r="BC122" s="938"/>
      <c r="BD122" s="938"/>
      <c r="BE122" s="938"/>
      <c r="BF122" s="938"/>
      <c r="BG122" s="938"/>
      <c r="BH122" s="938"/>
      <c r="BI122" s="938"/>
      <c r="BJ122" s="938"/>
      <c r="BK122" s="938"/>
      <c r="BL122" s="938"/>
      <c r="BM122" s="938"/>
      <c r="BO122" s="938">
        <f>COUNTIF('#Boden'!$G$27:$G$28,'#orgDung'!BN7)</f>
        <v>1</v>
      </c>
      <c r="BP122" s="938"/>
      <c r="BQ122" s="938"/>
      <c r="BR122" s="938"/>
      <c r="BS122" s="938"/>
      <c r="BT122" s="938"/>
      <c r="BU122" s="938"/>
      <c r="BV122" s="938"/>
      <c r="BW122" s="938"/>
      <c r="BX122" s="938"/>
      <c r="BY122" s="938"/>
      <c r="BZ122" s="938"/>
      <c r="CA122" s="938"/>
      <c r="CB122" s="938"/>
      <c r="CD122" s="938">
        <f>COUNTIF('#Boden'!$G$27:$G$28,'#orgDung'!CC7)</f>
        <v>1</v>
      </c>
      <c r="CE122" s="938"/>
      <c r="CF122" s="938"/>
      <c r="CG122" s="938"/>
      <c r="CH122" s="938"/>
      <c r="CI122" s="938"/>
      <c r="CJ122" s="938"/>
      <c r="CK122" s="938"/>
      <c r="CL122" s="938"/>
      <c r="CM122" s="938"/>
      <c r="CN122" s="938"/>
      <c r="CO122" s="938"/>
      <c r="CP122" s="938"/>
      <c r="CQ122" s="938"/>
      <c r="CS122" s="938">
        <f>COUNTIF('#Boden'!$G$27:$G$28,'#orgDung'!CR7)</f>
        <v>1</v>
      </c>
      <c r="CT122" s="938"/>
      <c r="CU122" s="938"/>
      <c r="CV122" s="938"/>
      <c r="CW122" s="938"/>
      <c r="CX122" s="938"/>
      <c r="CY122" s="938"/>
      <c r="CZ122" s="938"/>
      <c r="DA122" s="938"/>
      <c r="DB122" s="938"/>
      <c r="DC122" s="938"/>
      <c r="DD122" s="938"/>
      <c r="DE122" s="938"/>
      <c r="DF122" s="938"/>
      <c r="DH122" s="938">
        <f>COUNTIF('#Boden'!$G$27:$G$28,'#orgDung'!DG7)</f>
        <v>1</v>
      </c>
      <c r="DI122" s="938"/>
      <c r="DJ122" s="938"/>
      <c r="DK122" s="938"/>
      <c r="DL122" s="938"/>
      <c r="DM122" s="938"/>
      <c r="DN122" s="938"/>
      <c r="DO122" s="938"/>
      <c r="DP122" s="938"/>
      <c r="DQ122" s="938"/>
      <c r="DR122" s="938"/>
      <c r="DS122" s="938"/>
      <c r="DT122" s="938"/>
      <c r="DU122" s="938"/>
      <c r="DW122" s="938">
        <f>COUNTIF('#Boden'!$G$27:$G$28,'#orgDung'!DV7)</f>
        <v>1</v>
      </c>
      <c r="DX122" s="938"/>
      <c r="DY122" s="938"/>
      <c r="DZ122" s="938"/>
      <c r="EA122" s="938"/>
      <c r="EB122" s="938"/>
      <c r="EC122" s="938"/>
      <c r="ED122" s="938"/>
      <c r="EE122" s="938"/>
      <c r="EF122" s="938"/>
      <c r="EG122" s="938"/>
      <c r="EH122" s="938"/>
      <c r="EI122" s="938"/>
      <c r="EJ122" s="938"/>
      <c r="EL122" s="938">
        <f>COUNTIF('#Boden'!$G$27:$G$28,'#orgDung'!EK7)</f>
        <v>1</v>
      </c>
      <c r="EM122" s="938"/>
      <c r="EN122" s="938"/>
      <c r="EO122" s="938"/>
      <c r="EP122" s="938"/>
      <c r="EQ122" s="938"/>
      <c r="ER122" s="938"/>
      <c r="ES122" s="938"/>
      <c r="ET122" s="938"/>
      <c r="EU122" s="938"/>
      <c r="EV122" s="938"/>
      <c r="EW122" s="938"/>
      <c r="EX122" s="938"/>
      <c r="EY122" s="938"/>
      <c r="FA122" s="938">
        <f>COUNTIF('#Boden'!$G$27:$G$28,'#orgDung'!EZ7)</f>
        <v>1</v>
      </c>
      <c r="FB122" s="938"/>
      <c r="FC122" s="938"/>
      <c r="FD122" s="938"/>
      <c r="FE122" s="938"/>
      <c r="FF122" s="938"/>
      <c r="FG122" s="938"/>
      <c r="FH122" s="938"/>
      <c r="FI122" s="938"/>
      <c r="FJ122" s="938"/>
      <c r="FK122" s="938"/>
      <c r="FL122" s="938"/>
      <c r="FM122" s="938"/>
      <c r="FN122" s="938"/>
      <c r="FP122" s="938">
        <f>COUNTIF('#Boden'!$G$27:$G$28,'#orgDung'!FO7)</f>
        <v>1</v>
      </c>
      <c r="FQ122" s="938"/>
      <c r="FR122" s="938"/>
      <c r="FS122" s="938"/>
      <c r="FT122" s="938"/>
      <c r="FU122" s="938"/>
      <c r="FV122" s="938"/>
      <c r="FW122" s="938"/>
      <c r="FX122" s="938"/>
      <c r="FY122" s="938"/>
      <c r="FZ122" s="938"/>
      <c r="GA122" s="938"/>
      <c r="GB122" s="938"/>
      <c r="GC122" s="938"/>
      <c r="GE122" s="938">
        <f>COUNTIF('#Boden'!$G$27:$G$28,'#orgDung'!GD7)</f>
        <v>1</v>
      </c>
      <c r="GF122" s="938"/>
      <c r="GG122" s="938"/>
      <c r="GH122" s="938"/>
      <c r="GI122" s="938"/>
      <c r="GJ122" s="938"/>
      <c r="GK122" s="938"/>
      <c r="GL122" s="938"/>
      <c r="GM122" s="938"/>
      <c r="GN122" s="938"/>
      <c r="GO122" s="938"/>
      <c r="GP122" s="938"/>
      <c r="GQ122" s="938"/>
      <c r="GR122" s="938"/>
      <c r="GT122" s="938">
        <f>COUNTIF('#Boden'!$G$27:$G$28,'#orgDung'!GS7)</f>
        <v>1</v>
      </c>
      <c r="GU122" s="938"/>
      <c r="GV122" s="938"/>
      <c r="GW122" s="938"/>
      <c r="GX122" s="938"/>
      <c r="GY122" s="938"/>
      <c r="GZ122" s="938"/>
      <c r="HA122" s="938"/>
      <c r="HB122" s="938"/>
      <c r="HC122" s="938"/>
      <c r="HD122" s="938"/>
      <c r="HE122" s="938"/>
      <c r="HF122" s="938"/>
      <c r="HG122" s="938"/>
      <c r="HI122" s="938">
        <f>COUNTIF('#Boden'!$G$27:$G$28,'#orgDung'!HH7)</f>
        <v>1</v>
      </c>
      <c r="HJ122" s="938"/>
      <c r="HK122" s="938"/>
      <c r="HL122" s="938"/>
      <c r="HM122" s="938"/>
      <c r="HN122" s="938"/>
      <c r="HO122" s="938"/>
      <c r="HP122" s="938"/>
      <c r="HQ122" s="938"/>
      <c r="HR122" s="938"/>
      <c r="HS122" s="938"/>
      <c r="HT122" s="938"/>
      <c r="HU122" s="938"/>
      <c r="HV122" s="938"/>
      <c r="HX122" s="938">
        <f>COUNTIF('#Boden'!$G$27:$G$28,'#orgDung'!HW7)</f>
        <v>1</v>
      </c>
      <c r="HY122" s="938"/>
      <c r="HZ122" s="938"/>
      <c r="IA122" s="938"/>
      <c r="IB122" s="938"/>
      <c r="IC122" s="938"/>
      <c r="ID122" s="938"/>
      <c r="IE122" s="938"/>
      <c r="IF122" s="938"/>
      <c r="IG122" s="938"/>
      <c r="IH122" s="938"/>
      <c r="II122" s="938"/>
      <c r="IJ122" s="938"/>
      <c r="IK122" s="938"/>
      <c r="IM122" s="938">
        <f>COUNTIF('#Boden'!$G$27:$G$28,'#orgDung'!IL7)</f>
        <v>1</v>
      </c>
      <c r="IN122" s="938"/>
      <c r="IO122" s="938"/>
      <c r="IP122" s="938"/>
      <c r="IQ122" s="938"/>
      <c r="IR122" s="938"/>
      <c r="IS122" s="938"/>
      <c r="IT122" s="938"/>
      <c r="IU122" s="938"/>
      <c r="IV122" s="938"/>
      <c r="IW122" s="938"/>
      <c r="IX122" s="938"/>
      <c r="IY122" s="938"/>
      <c r="IZ122" s="938"/>
      <c r="JB122" s="938">
        <f>COUNTIF('#Boden'!$G$27:$G$28,'#orgDung'!JA7)</f>
        <v>1</v>
      </c>
      <c r="JC122" s="938"/>
      <c r="JD122" s="938"/>
      <c r="JE122" s="938"/>
      <c r="JF122" s="938"/>
      <c r="JG122" s="938"/>
      <c r="JH122" s="938"/>
      <c r="JI122" s="938"/>
      <c r="JJ122" s="938"/>
      <c r="JK122" s="938"/>
      <c r="JL122" s="938"/>
      <c r="JM122" s="938"/>
      <c r="JN122" s="938"/>
      <c r="JO122" s="938"/>
      <c r="JQ122" s="938">
        <f>COUNTIF('#Boden'!$G$27:$G$28,'#orgDung'!JP7)</f>
        <v>1</v>
      </c>
      <c r="JR122" s="938"/>
      <c r="JS122" s="938"/>
      <c r="JT122" s="938"/>
      <c r="JU122" s="938"/>
      <c r="JV122" s="938"/>
      <c r="JW122" s="938"/>
      <c r="JX122" s="938"/>
      <c r="JY122" s="938"/>
      <c r="JZ122" s="938"/>
      <c r="KA122" s="938"/>
      <c r="KB122" s="938"/>
      <c r="KC122" s="938"/>
      <c r="KD122" s="938"/>
      <c r="KF122" s="938">
        <f>COUNTIF('#Boden'!$G$27:$G$28,'#orgDung'!KE7)</f>
        <v>1</v>
      </c>
      <c r="KG122" s="938"/>
      <c r="KH122" s="938"/>
      <c r="KI122" s="938"/>
      <c r="KJ122" s="938"/>
      <c r="KK122" s="938"/>
      <c r="KL122" s="938"/>
      <c r="KM122" s="938"/>
      <c r="KN122" s="938"/>
      <c r="KO122" s="938"/>
      <c r="KP122" s="938"/>
      <c r="KQ122" s="938"/>
      <c r="KR122" s="938"/>
      <c r="KS122" s="938"/>
      <c r="KU122" s="938">
        <f>COUNTIF('#Boden'!$G$27:$G$28,'#orgDung'!KT7)</f>
        <v>1</v>
      </c>
      <c r="KV122" s="938"/>
      <c r="KW122" s="938"/>
      <c r="KX122" s="938"/>
      <c r="KY122" s="938"/>
      <c r="KZ122" s="938"/>
      <c r="LA122" s="938"/>
      <c r="LB122" s="938"/>
      <c r="LC122" s="938"/>
      <c r="LD122" s="938"/>
      <c r="LE122" s="938"/>
      <c r="LF122" s="938"/>
      <c r="LG122" s="938"/>
      <c r="LH122" s="938"/>
      <c r="LJ122" s="938">
        <f>COUNTIF('#Boden'!$G$27:$G$28,'#orgDung'!LI7)</f>
        <v>1</v>
      </c>
      <c r="LK122" s="938"/>
      <c r="LL122" s="938"/>
      <c r="LM122" s="938"/>
      <c r="LN122" s="938"/>
      <c r="LO122" s="938"/>
      <c r="LP122" s="938"/>
      <c r="LQ122" s="938"/>
      <c r="LR122" s="938"/>
      <c r="LS122" s="938"/>
      <c r="LT122" s="938"/>
      <c r="LU122" s="938"/>
      <c r="LV122" s="938"/>
      <c r="LW122" s="938"/>
      <c r="LY122" s="938">
        <f>COUNTIF('#Boden'!$G$27:$G$28,'#orgDung'!LX7)</f>
        <v>1</v>
      </c>
      <c r="LZ122" s="938"/>
      <c r="MA122" s="938"/>
      <c r="MB122" s="938"/>
      <c r="MC122" s="938"/>
      <c r="MD122" s="938"/>
      <c r="ME122" s="938"/>
      <c r="MF122" s="938"/>
      <c r="MG122" s="938"/>
      <c r="MH122" s="938"/>
      <c r="MI122" s="938"/>
      <c r="MJ122" s="938"/>
      <c r="MK122" s="938"/>
      <c r="ML122" s="938"/>
      <c r="MN122" s="938">
        <f>COUNTIF('#Boden'!$G$27:$G$28,'#orgDung'!MM7)</f>
        <v>1</v>
      </c>
      <c r="MO122" s="938"/>
      <c r="MP122" s="938"/>
      <c r="MQ122" s="938"/>
      <c r="MR122" s="938"/>
      <c r="MS122" s="938"/>
      <c r="MT122" s="938"/>
      <c r="MU122" s="938"/>
      <c r="MV122" s="938"/>
      <c r="MW122" s="938"/>
      <c r="MX122" s="938"/>
      <c r="MY122" s="938"/>
      <c r="MZ122" s="938"/>
      <c r="NA122" s="938"/>
      <c r="NC122" s="938">
        <f>COUNTIF('#Boden'!$G$27:$G$28,'#orgDung'!NB7)</f>
        <v>1</v>
      </c>
      <c r="ND122" s="938"/>
      <c r="NE122" s="938"/>
      <c r="NF122" s="938"/>
      <c r="NG122" s="938"/>
      <c r="NH122" s="938"/>
      <c r="NI122" s="938"/>
      <c r="NJ122" s="938"/>
      <c r="NK122" s="938"/>
      <c r="NL122" s="938"/>
      <c r="NM122" s="938"/>
      <c r="NN122" s="938"/>
      <c r="NO122" s="938"/>
      <c r="NP122" s="938"/>
      <c r="NR122" s="938">
        <f>COUNTIF('#Boden'!$G$27:$G$28,'#orgDung'!NQ7)</f>
        <v>1</v>
      </c>
      <c r="NS122" s="938"/>
      <c r="NT122" s="938"/>
      <c r="NU122" s="938"/>
      <c r="NV122" s="938"/>
      <c r="NW122" s="938"/>
      <c r="NX122" s="938"/>
      <c r="NY122" s="938"/>
      <c r="NZ122" s="938"/>
      <c r="OA122" s="938"/>
      <c r="OB122" s="938"/>
      <c r="OC122" s="938"/>
      <c r="OD122" s="938"/>
      <c r="OE122" s="938"/>
      <c r="OG122" s="938">
        <f>COUNTIF('#Boden'!$G$27:$G$28,'#orgDung'!OF7)</f>
        <v>1</v>
      </c>
      <c r="OH122" s="938"/>
      <c r="OI122" s="938"/>
      <c r="OJ122" s="938"/>
      <c r="OK122" s="938"/>
      <c r="OL122" s="938"/>
      <c r="OM122" s="938"/>
      <c r="ON122" s="938"/>
      <c r="OO122" s="938"/>
      <c r="OP122" s="938"/>
      <c r="OQ122" s="938"/>
      <c r="OR122" s="938"/>
      <c r="OS122" s="938"/>
      <c r="OT122" s="938"/>
      <c r="OV122" s="938">
        <f>COUNTIF('#Boden'!$G$27:$G$28,'#orgDung'!OU7)</f>
        <v>1</v>
      </c>
      <c r="OW122" s="938"/>
      <c r="OX122" s="938"/>
      <c r="OY122" s="938"/>
      <c r="OZ122" s="938"/>
      <c r="PA122" s="938"/>
      <c r="PB122" s="938"/>
      <c r="PC122" s="938"/>
      <c r="PD122" s="938"/>
      <c r="PE122" s="938"/>
      <c r="PF122" s="938"/>
      <c r="PG122" s="938"/>
      <c r="PH122" s="938"/>
      <c r="PI122" s="938"/>
      <c r="PK122" s="938">
        <f>COUNTIF('#Boden'!$G$27:$G$28,'#orgDung'!PJ7)</f>
        <v>1</v>
      </c>
      <c r="PL122" s="938"/>
      <c r="PM122" s="938"/>
      <c r="PN122" s="938"/>
      <c r="PO122" s="938"/>
      <c r="PP122" s="938"/>
      <c r="PQ122" s="938"/>
      <c r="PR122" s="938"/>
      <c r="PS122" s="938"/>
      <c r="PT122" s="938"/>
      <c r="PU122" s="938"/>
      <c r="PV122" s="938"/>
      <c r="PW122" s="938"/>
      <c r="PX122" s="938"/>
      <c r="PZ122" s="938">
        <f>COUNTIF('#Boden'!$G$27:$G$28,'#orgDung'!PY7)</f>
        <v>1</v>
      </c>
      <c r="QA122" s="938"/>
      <c r="QB122" s="938"/>
      <c r="QC122" s="938"/>
      <c r="QD122" s="938"/>
      <c r="QE122" s="938"/>
      <c r="QF122" s="938"/>
      <c r="QG122" s="938"/>
      <c r="QH122" s="938"/>
      <c r="QI122" s="938"/>
      <c r="QJ122" s="938"/>
      <c r="QK122" s="938"/>
      <c r="QL122" s="938"/>
      <c r="QM122" s="938"/>
      <c r="QO122" s="938">
        <f>COUNTIF('#Boden'!$G$27:$G$28,'#orgDung'!QN7)</f>
        <v>1</v>
      </c>
      <c r="QP122" s="938"/>
      <c r="QQ122" s="938"/>
      <c r="QR122" s="938"/>
      <c r="QS122" s="938"/>
      <c r="QT122" s="938"/>
      <c r="QU122" s="938"/>
      <c r="QV122" s="938"/>
      <c r="QW122" s="938"/>
      <c r="QX122" s="938"/>
      <c r="QY122" s="938"/>
      <c r="QZ122" s="938"/>
      <c r="RA122" s="938"/>
      <c r="RB122" s="938"/>
      <c r="RD122" s="938">
        <f>COUNTIF('#Boden'!$G$27:$G$28,'#orgDung'!RC7)</f>
        <v>1</v>
      </c>
      <c r="RE122" s="938"/>
      <c r="RF122" s="938"/>
      <c r="RG122" s="938"/>
      <c r="RH122" s="938"/>
      <c r="RI122" s="938"/>
      <c r="RJ122" s="938"/>
      <c r="RK122" s="938"/>
      <c r="RL122" s="938"/>
      <c r="RM122" s="938"/>
      <c r="RN122" s="938"/>
      <c r="RO122" s="938"/>
      <c r="RP122" s="938"/>
      <c r="RQ122" s="938"/>
    </row>
    <row r="123" spans="1:495" s="930" customFormat="1" x14ac:dyDescent="0.2">
      <c r="S123" s="938"/>
      <c r="AA123" s="256" t="s">
        <v>350</v>
      </c>
      <c r="AB123" s="945"/>
      <c r="AC123" s="945"/>
      <c r="AD123" s="945">
        <v>44471</v>
      </c>
      <c r="AE123" s="945">
        <v>44592</v>
      </c>
      <c r="AF123" s="945">
        <v>44471</v>
      </c>
      <c r="AG123" s="945">
        <v>44592</v>
      </c>
      <c r="AI123" s="930" t="s">
        <v>344</v>
      </c>
      <c r="AJ123" s="946">
        <v>1</v>
      </c>
      <c r="AK123" s="930">
        <f>IF(OR(AK122=0,AJ5='#org22'!$C$7,AJ5='#Boden'!$G$50,AJ7=0,AJ6=0,AND(AJ4=0,AJ7='#Boden'!$G$28)),AK115,"")</f>
        <v>0</v>
      </c>
      <c r="AL123" s="938" t="str">
        <f>IF(OR(AK123="",AK123&lt;0.001),"",$AJ$123)</f>
        <v/>
      </c>
      <c r="AZ123" s="938">
        <f>IF(OR(AZ122=0,AY5='#org22'!$C$7,AY5='#Boden'!$G$50,AY7=0,AY6=0,AND(AY4=0,AY7='#Boden'!$G$28)),AZ115,"")</f>
        <v>0</v>
      </c>
      <c r="BA123" s="938" t="str">
        <f>IF(OR(AZ123="",AZ123&lt;0.001),"",$AJ$123)</f>
        <v/>
      </c>
      <c r="BB123" s="938"/>
      <c r="BC123" s="938"/>
      <c r="BD123" s="938"/>
      <c r="BE123" s="938"/>
      <c r="BF123" s="938"/>
      <c r="BG123" s="938"/>
      <c r="BH123" s="938"/>
      <c r="BI123" s="938"/>
      <c r="BJ123" s="938"/>
      <c r="BK123" s="938"/>
      <c r="BL123" s="938"/>
      <c r="BM123" s="938"/>
      <c r="BO123" s="938">
        <f>IF(OR(BO122=0,BN5='#org22'!$C$7,BN5='#Boden'!$G$50,BN7=0,BN6=0,AND(BN4=0,BN7='#Boden'!$G$28)),BO115,"")</f>
        <v>0</v>
      </c>
      <c r="BP123" s="938" t="str">
        <f>IF(OR(BO123="",BO123&lt;0.001),"",$AJ$123)</f>
        <v/>
      </c>
      <c r="BQ123" s="938"/>
      <c r="BR123" s="938"/>
      <c r="BS123" s="938"/>
      <c r="BT123" s="938"/>
      <c r="BU123" s="938"/>
      <c r="BV123" s="938"/>
      <c r="BW123" s="938"/>
      <c r="BX123" s="938"/>
      <c r="BY123" s="938"/>
      <c r="BZ123" s="938"/>
      <c r="CA123" s="938"/>
      <c r="CB123" s="938"/>
      <c r="CD123" s="938">
        <f>IF(OR(CD122=0,CC5='#org22'!$C$7,CC5='#Boden'!$G$50,CC7=0,CC6=0,AND(CC4=0,CC7='#Boden'!$G$28)),CD115,"")</f>
        <v>0</v>
      </c>
      <c r="CE123" s="938" t="str">
        <f>IF(OR(CD123="",CD123&lt;0.001),"",$AJ$123)</f>
        <v/>
      </c>
      <c r="CF123" s="938"/>
      <c r="CG123" s="938"/>
      <c r="CH123" s="938"/>
      <c r="CI123" s="938"/>
      <c r="CJ123" s="938"/>
      <c r="CK123" s="938"/>
      <c r="CL123" s="938"/>
      <c r="CM123" s="938"/>
      <c r="CN123" s="938"/>
      <c r="CO123" s="938"/>
      <c r="CP123" s="938"/>
      <c r="CQ123" s="938"/>
      <c r="CS123" s="938">
        <f>IF(OR(CS122=0,CR5='#org22'!$C$7,CR5='#Boden'!$G$50,CR7=0,CR6=0,AND(CR4=0,CR7='#Boden'!$G$28)),CS115,"")</f>
        <v>0</v>
      </c>
      <c r="CT123" s="938" t="str">
        <f>IF(OR(CS123="",CS123&lt;0.001),"",$AJ$123)</f>
        <v/>
      </c>
      <c r="CU123" s="938"/>
      <c r="CV123" s="938"/>
      <c r="CW123" s="938"/>
      <c r="CX123" s="938"/>
      <c r="CY123" s="938"/>
      <c r="CZ123" s="938"/>
      <c r="DA123" s="938"/>
      <c r="DB123" s="938"/>
      <c r="DC123" s="938"/>
      <c r="DD123" s="938"/>
      <c r="DE123" s="938"/>
      <c r="DF123" s="938"/>
      <c r="DH123" s="938">
        <f>IF(OR(DH122=0,DG5='#org22'!$C$7,DG5='#Boden'!$G$50,DG7=0,DG6=0,AND(DG4=0,DG7='#Boden'!$G$28)),DH115,"")</f>
        <v>0</v>
      </c>
      <c r="DI123" s="938" t="str">
        <f>IF(OR(DH123="",DH123&lt;0.001),"",$AJ$123)</f>
        <v/>
      </c>
      <c r="DJ123" s="938"/>
      <c r="DK123" s="938"/>
      <c r="DL123" s="938"/>
      <c r="DM123" s="938"/>
      <c r="DN123" s="938"/>
      <c r="DO123" s="938"/>
      <c r="DP123" s="938"/>
      <c r="DQ123" s="938"/>
      <c r="DR123" s="938"/>
      <c r="DS123" s="938"/>
      <c r="DT123" s="938"/>
      <c r="DU123" s="938"/>
      <c r="DW123" s="938">
        <f>IF(OR(DW122=0,DV5='#org22'!$C$7,DV5='#Boden'!$G$50,DV7=0,DV6=0,AND(DV4=0,DV7='#Boden'!$G$28)),DW115,"")</f>
        <v>0</v>
      </c>
      <c r="DX123" s="938" t="str">
        <f>IF(OR(DW123="",DW123&lt;0.001),"",$AJ$123)</f>
        <v/>
      </c>
      <c r="DY123" s="938"/>
      <c r="DZ123" s="938"/>
      <c r="EA123" s="938"/>
      <c r="EB123" s="938"/>
      <c r="EC123" s="938"/>
      <c r="ED123" s="938"/>
      <c r="EE123" s="938"/>
      <c r="EF123" s="938"/>
      <c r="EG123" s="938"/>
      <c r="EH123" s="938"/>
      <c r="EI123" s="938"/>
      <c r="EJ123" s="938"/>
      <c r="EL123" s="938">
        <f>IF(OR(EL122=0,EK5='#org22'!$C$7,EK5='#Boden'!$G$50,EK7=0,EK6=0,AND(EK4=0,EK7='#Boden'!$G$28)),EL115,"")</f>
        <v>0</v>
      </c>
      <c r="EM123" s="938" t="str">
        <f>IF(OR(EL123="",EL123&lt;0.001),"",$AJ$123)</f>
        <v/>
      </c>
      <c r="EN123" s="938"/>
      <c r="EO123" s="938"/>
      <c r="EP123" s="938"/>
      <c r="EQ123" s="938"/>
      <c r="ER123" s="938"/>
      <c r="ES123" s="938"/>
      <c r="ET123" s="938"/>
      <c r="EU123" s="938"/>
      <c r="EV123" s="938"/>
      <c r="EW123" s="938"/>
      <c r="EX123" s="938"/>
      <c r="EY123" s="938"/>
      <c r="FA123" s="938">
        <f>IF(OR(FA122=0,EZ5='#org22'!$C$7,EZ5='#Boden'!$G$50,EZ7=0,EZ6=0,AND(EZ4=0,EZ7='#Boden'!$G$28)),FA115,"")</f>
        <v>0</v>
      </c>
      <c r="FB123" s="938" t="str">
        <f>IF(OR(FA123="",FA123&lt;0.001),"",$AJ$123)</f>
        <v/>
      </c>
      <c r="FC123" s="938"/>
      <c r="FD123" s="938"/>
      <c r="FE123" s="938"/>
      <c r="FF123" s="938"/>
      <c r="FG123" s="938"/>
      <c r="FH123" s="938"/>
      <c r="FI123" s="938"/>
      <c r="FJ123" s="938"/>
      <c r="FK123" s="938"/>
      <c r="FL123" s="938"/>
      <c r="FM123" s="938"/>
      <c r="FN123" s="938"/>
      <c r="FP123" s="938">
        <f>IF(OR(FP122=0,FO5='#org22'!$C$7,FO5='#Boden'!$G$50,FO7=0,FO6=0,AND(FO4=0,FO7='#Boden'!$G$28)),FP115,"")</f>
        <v>0</v>
      </c>
      <c r="FQ123" s="938" t="str">
        <f>IF(OR(FP123="",FP123&lt;0.001),"",$AJ$123)</f>
        <v/>
      </c>
      <c r="FR123" s="938"/>
      <c r="FS123" s="938"/>
      <c r="FT123" s="938"/>
      <c r="FU123" s="938"/>
      <c r="FV123" s="938"/>
      <c r="FW123" s="938"/>
      <c r="FX123" s="938"/>
      <c r="FY123" s="938"/>
      <c r="FZ123" s="938"/>
      <c r="GA123" s="938"/>
      <c r="GB123" s="938"/>
      <c r="GC123" s="938"/>
      <c r="GE123" s="938">
        <f>IF(OR(GE122=0,GD5='#org22'!$C$7,GD5='#Boden'!$G$50,GD7=0,GD6=0,AND(GD4=0,GD7='#Boden'!$G$28)),GE115,"")</f>
        <v>0</v>
      </c>
      <c r="GF123" s="938" t="str">
        <f>IF(OR(GE123="",GE123&lt;0.001),"",$AJ$123)</f>
        <v/>
      </c>
      <c r="GG123" s="938"/>
      <c r="GH123" s="938"/>
      <c r="GI123" s="938"/>
      <c r="GJ123" s="938"/>
      <c r="GK123" s="938"/>
      <c r="GL123" s="938"/>
      <c r="GM123" s="938"/>
      <c r="GN123" s="938"/>
      <c r="GO123" s="938"/>
      <c r="GP123" s="938"/>
      <c r="GQ123" s="938"/>
      <c r="GR123" s="938"/>
      <c r="GT123" s="938">
        <f>IF(OR(GT122=0,GS5='#org22'!$C$7,GS5='#Boden'!$G$50,GS7=0,GS6=0,AND(GS4=0,GS7='#Boden'!$G$28)),GT115,"")</f>
        <v>0</v>
      </c>
      <c r="GU123" s="938" t="str">
        <f>IF(OR(GT123="",GT123&lt;0.001),"",$AJ$123)</f>
        <v/>
      </c>
      <c r="GV123" s="938"/>
      <c r="GW123" s="938"/>
      <c r="GX123" s="938"/>
      <c r="GY123" s="938"/>
      <c r="GZ123" s="938"/>
      <c r="HA123" s="938"/>
      <c r="HB123" s="938"/>
      <c r="HC123" s="938"/>
      <c r="HD123" s="938"/>
      <c r="HE123" s="938"/>
      <c r="HF123" s="938"/>
      <c r="HG123" s="938"/>
      <c r="HI123" s="938">
        <f>IF(OR(HI122=0,HH5='#org22'!$C$7,HH5='#Boden'!$G$50,HH7=0,HH6=0,AND(HH4=0,HH7='#Boden'!$G$28)),HI115,"")</f>
        <v>0</v>
      </c>
      <c r="HJ123" s="938" t="str">
        <f>IF(OR(HI123="",HI123&lt;0.001),"",$AJ$123)</f>
        <v/>
      </c>
      <c r="HK123" s="938"/>
      <c r="HL123" s="938"/>
      <c r="HM123" s="938"/>
      <c r="HN123" s="938"/>
      <c r="HO123" s="938"/>
      <c r="HP123" s="938"/>
      <c r="HQ123" s="938"/>
      <c r="HR123" s="938"/>
      <c r="HS123" s="938"/>
      <c r="HT123" s="938"/>
      <c r="HU123" s="938"/>
      <c r="HV123" s="938"/>
      <c r="HX123" s="938">
        <f>IF(OR(HX122=0,HW5='#org22'!$C$7,HW5='#Boden'!$G$50,HW7=0,HW6=0,AND(HW4=0,HW7='#Boden'!$G$28)),HX115,"")</f>
        <v>0</v>
      </c>
      <c r="HY123" s="938" t="str">
        <f>IF(OR(HX123="",HX123&lt;0.001),"",$AJ$123)</f>
        <v/>
      </c>
      <c r="HZ123" s="938"/>
      <c r="IA123" s="938"/>
      <c r="IB123" s="938"/>
      <c r="IC123" s="938"/>
      <c r="ID123" s="938"/>
      <c r="IE123" s="938"/>
      <c r="IF123" s="938"/>
      <c r="IG123" s="938"/>
      <c r="IH123" s="938"/>
      <c r="II123" s="938"/>
      <c r="IJ123" s="938"/>
      <c r="IK123" s="938"/>
      <c r="IM123" s="938">
        <f>IF(OR(IM122=0,IL5='#org22'!$C$7,IL5='#Boden'!$G$50,IL7=0,IL6=0,AND(IL4=0,IL7='#Boden'!$G$28)),IM115,"")</f>
        <v>0</v>
      </c>
      <c r="IN123" s="938" t="str">
        <f>IF(OR(IM123="",IM123&lt;0.001),"",$AJ$123)</f>
        <v/>
      </c>
      <c r="IO123" s="938"/>
      <c r="IP123" s="938"/>
      <c r="IQ123" s="938"/>
      <c r="IR123" s="938"/>
      <c r="IS123" s="938"/>
      <c r="IT123" s="938"/>
      <c r="IU123" s="938"/>
      <c r="IV123" s="938"/>
      <c r="IW123" s="938"/>
      <c r="IX123" s="938"/>
      <c r="IY123" s="938"/>
      <c r="IZ123" s="938"/>
      <c r="JB123" s="938">
        <f>IF(OR(JB122=0,JA5='#org22'!$C$7,JA5='#Boden'!$G$50,JA7=0,JA6=0,AND(JA4=0,JA7='#Boden'!$G$28)),JB115,"")</f>
        <v>0</v>
      </c>
      <c r="JC123" s="938" t="str">
        <f>IF(OR(JB123="",JB123&lt;0.001),"",$AJ$123)</f>
        <v/>
      </c>
      <c r="JD123" s="938"/>
      <c r="JE123" s="938"/>
      <c r="JF123" s="938"/>
      <c r="JG123" s="938"/>
      <c r="JH123" s="938"/>
      <c r="JI123" s="938"/>
      <c r="JJ123" s="938"/>
      <c r="JK123" s="938"/>
      <c r="JL123" s="938"/>
      <c r="JM123" s="938"/>
      <c r="JN123" s="938"/>
      <c r="JO123" s="938"/>
      <c r="JQ123" s="938">
        <f>IF(OR(JQ122=0,JP5='#org22'!$C$7,JP5='#Boden'!$G$50,JP7=0,JP6=0,AND(JP4=0,JP7='#Boden'!$G$28)),JQ115,"")</f>
        <v>0</v>
      </c>
      <c r="JR123" s="938" t="str">
        <f>IF(OR(JQ123="",JQ123&lt;0.001),"",$AJ$123)</f>
        <v/>
      </c>
      <c r="JS123" s="938"/>
      <c r="JT123" s="938"/>
      <c r="JU123" s="938"/>
      <c r="JV123" s="938"/>
      <c r="JW123" s="938"/>
      <c r="JX123" s="938"/>
      <c r="JY123" s="938"/>
      <c r="JZ123" s="938"/>
      <c r="KA123" s="938"/>
      <c r="KB123" s="938"/>
      <c r="KC123" s="938"/>
      <c r="KD123" s="938"/>
      <c r="KF123" s="938">
        <f>IF(OR(KF122=0,KE5='#org22'!$C$7,KE5='#Boden'!$G$50,KE7=0,KE6=0,AND(KE4=0,KE7='#Boden'!$G$28)),KF115,"")</f>
        <v>0</v>
      </c>
      <c r="KG123" s="938" t="str">
        <f>IF(OR(KF123="",KF123&lt;0.001),"",$AJ$123)</f>
        <v/>
      </c>
      <c r="KH123" s="938"/>
      <c r="KI123" s="938"/>
      <c r="KJ123" s="938"/>
      <c r="KK123" s="938"/>
      <c r="KL123" s="938"/>
      <c r="KM123" s="938"/>
      <c r="KN123" s="938"/>
      <c r="KO123" s="938"/>
      <c r="KP123" s="938"/>
      <c r="KQ123" s="938"/>
      <c r="KR123" s="938"/>
      <c r="KS123" s="938"/>
      <c r="KU123" s="938">
        <f>IF(OR(KU122=0,KT5='#org22'!$C$7,KT5='#Boden'!$G$50,KT7=0,KT6=0,AND(KT4=0,KT7='#Boden'!$G$28)),KU115,"")</f>
        <v>0</v>
      </c>
      <c r="KV123" s="938" t="str">
        <f>IF(OR(KU123="",KU123&lt;0.001),"",$AJ$123)</f>
        <v/>
      </c>
      <c r="KW123" s="938"/>
      <c r="KX123" s="938"/>
      <c r="KY123" s="938"/>
      <c r="KZ123" s="938"/>
      <c r="LA123" s="938"/>
      <c r="LB123" s="938"/>
      <c r="LC123" s="938"/>
      <c r="LD123" s="938"/>
      <c r="LE123" s="938"/>
      <c r="LF123" s="938"/>
      <c r="LG123" s="938"/>
      <c r="LH123" s="938"/>
      <c r="LJ123" s="938">
        <f>IF(OR(LJ122=0,LI5='#org22'!$C$7,LI5='#Boden'!$G$50,LI7=0,LI6=0,AND(LI4=0,LI7='#Boden'!$G$28)),LJ115,"")</f>
        <v>0</v>
      </c>
      <c r="LK123" s="938" t="str">
        <f>IF(OR(LJ123="",LJ123&lt;0.001),"",$AJ$123)</f>
        <v/>
      </c>
      <c r="LL123" s="938"/>
      <c r="LM123" s="938"/>
      <c r="LN123" s="938"/>
      <c r="LO123" s="938"/>
      <c r="LP123" s="938"/>
      <c r="LQ123" s="938"/>
      <c r="LR123" s="938"/>
      <c r="LS123" s="938"/>
      <c r="LT123" s="938"/>
      <c r="LU123" s="938"/>
      <c r="LV123" s="938"/>
      <c r="LW123" s="938"/>
      <c r="LY123" s="938">
        <f>IF(OR(LY122=0,LX5='#org22'!$C$7,LX5='#Boden'!$G$50,LX7=0,LX6=0,AND(LX4=0,LX7='#Boden'!$G$28)),LY115,"")</f>
        <v>0</v>
      </c>
      <c r="LZ123" s="938" t="str">
        <f>IF(OR(LY123="",LY123&lt;0.001),"",$AJ$123)</f>
        <v/>
      </c>
      <c r="MA123" s="938"/>
      <c r="MB123" s="938"/>
      <c r="MC123" s="938"/>
      <c r="MD123" s="938"/>
      <c r="ME123" s="938"/>
      <c r="MF123" s="938"/>
      <c r="MG123" s="938"/>
      <c r="MH123" s="938"/>
      <c r="MI123" s="938"/>
      <c r="MJ123" s="938"/>
      <c r="MK123" s="938"/>
      <c r="ML123" s="938"/>
      <c r="MN123" s="938">
        <f>IF(OR(MN122=0,MM5='#org22'!$C$7,MM5='#Boden'!$G$50,MM7=0,MM6=0,AND(MM4=0,MM7='#Boden'!$G$28)),MN115,"")</f>
        <v>0</v>
      </c>
      <c r="MO123" s="938" t="str">
        <f>IF(OR(MN123="",MN123&lt;0.001),"",$AJ$123)</f>
        <v/>
      </c>
      <c r="MP123" s="938"/>
      <c r="MQ123" s="938"/>
      <c r="MR123" s="938"/>
      <c r="MS123" s="938"/>
      <c r="MT123" s="938"/>
      <c r="MU123" s="938"/>
      <c r="MV123" s="938"/>
      <c r="MW123" s="938"/>
      <c r="MX123" s="938"/>
      <c r="MY123" s="938"/>
      <c r="MZ123" s="938"/>
      <c r="NA123" s="938"/>
      <c r="NC123" s="938">
        <f>IF(OR(NC122=0,NB5='#org22'!$C$7,NB5='#Boden'!$G$50,NB7=0,NB6=0,AND(NB4=0,NB7='#Boden'!$G$28)),NC115,"")</f>
        <v>0</v>
      </c>
      <c r="ND123" s="938" t="str">
        <f>IF(OR(NC123="",NC123&lt;0.001),"",$AJ$123)</f>
        <v/>
      </c>
      <c r="NE123" s="938"/>
      <c r="NF123" s="938"/>
      <c r="NG123" s="938"/>
      <c r="NH123" s="938"/>
      <c r="NI123" s="938"/>
      <c r="NJ123" s="938"/>
      <c r="NK123" s="938"/>
      <c r="NL123" s="938"/>
      <c r="NM123" s="938"/>
      <c r="NN123" s="938"/>
      <c r="NO123" s="938"/>
      <c r="NP123" s="938"/>
      <c r="NR123" s="938">
        <f>IF(OR(NR122=0,NQ5='#org22'!$C$7,NQ5='#Boden'!$G$50,NQ7=0,NQ6=0,AND(NQ4=0,NQ7='#Boden'!$G$28)),NR115,"")</f>
        <v>0</v>
      </c>
      <c r="NS123" s="938" t="str">
        <f>IF(OR(NR123="",NR123&lt;0.001),"",$AJ$123)</f>
        <v/>
      </c>
      <c r="NT123" s="938"/>
      <c r="NU123" s="938"/>
      <c r="NV123" s="938"/>
      <c r="NW123" s="938"/>
      <c r="NX123" s="938"/>
      <c r="NY123" s="938"/>
      <c r="NZ123" s="938"/>
      <c r="OA123" s="938"/>
      <c r="OB123" s="938"/>
      <c r="OC123" s="938"/>
      <c r="OD123" s="938"/>
      <c r="OE123" s="938"/>
      <c r="OG123" s="938">
        <f>IF(OR(OG122=0,OF5='#org22'!$C$7,OF5='#Boden'!$G$50,OF7=0,OF6=0,AND(OF4=0,OF7='#Boden'!$G$28)),OG115,"")</f>
        <v>0</v>
      </c>
      <c r="OH123" s="938" t="str">
        <f>IF(OR(OG123="",OG123&lt;0.001),"",$AJ$123)</f>
        <v/>
      </c>
      <c r="OI123" s="938"/>
      <c r="OJ123" s="938"/>
      <c r="OK123" s="938"/>
      <c r="OL123" s="938"/>
      <c r="OM123" s="938"/>
      <c r="ON123" s="938"/>
      <c r="OO123" s="938"/>
      <c r="OP123" s="938"/>
      <c r="OQ123" s="938"/>
      <c r="OR123" s="938"/>
      <c r="OS123" s="938"/>
      <c r="OT123" s="938"/>
      <c r="OV123" s="938">
        <f>IF(OR(OV122=0,OU5='#org22'!$C$7,OU5='#Boden'!$G$50,OU7=0,OU6=0,AND(OU4=0,OU7='#Boden'!$G$28)),OV115,"")</f>
        <v>0</v>
      </c>
      <c r="OW123" s="938" t="str">
        <f>IF(OR(OV123="",OV123&lt;0.001),"",$AJ$123)</f>
        <v/>
      </c>
      <c r="OX123" s="938"/>
      <c r="OY123" s="938"/>
      <c r="OZ123" s="938"/>
      <c r="PA123" s="938"/>
      <c r="PB123" s="938"/>
      <c r="PC123" s="938"/>
      <c r="PD123" s="938"/>
      <c r="PE123" s="938"/>
      <c r="PF123" s="938"/>
      <c r="PG123" s="938"/>
      <c r="PH123" s="938"/>
      <c r="PI123" s="938"/>
      <c r="PK123" s="938">
        <f>IF(OR(PK122=0,PJ5='#org22'!$C$7,PJ5='#Boden'!$G$50,PJ7=0,PJ6=0,AND(PJ4=0,PJ7='#Boden'!$G$28)),PK115,"")</f>
        <v>0</v>
      </c>
      <c r="PL123" s="938" t="str">
        <f>IF(OR(PK123="",PK123&lt;0.001),"",$AJ$123)</f>
        <v/>
      </c>
      <c r="PM123" s="938"/>
      <c r="PN123" s="938"/>
      <c r="PO123" s="938"/>
      <c r="PP123" s="938"/>
      <c r="PQ123" s="938"/>
      <c r="PR123" s="938"/>
      <c r="PS123" s="938"/>
      <c r="PT123" s="938"/>
      <c r="PU123" s="938"/>
      <c r="PV123" s="938"/>
      <c r="PW123" s="938"/>
      <c r="PX123" s="938"/>
      <c r="PZ123" s="938">
        <f>IF(OR(PZ122=0,PY5='#org22'!$C$7,PY5='#Boden'!$G$50,PY7=0,PY6=0,AND(PY4=0,PY7='#Boden'!$G$28)),PZ115,"")</f>
        <v>0</v>
      </c>
      <c r="QA123" s="938" t="str">
        <f>IF(OR(PZ123="",PZ123&lt;0.001),"",$AJ$123)</f>
        <v/>
      </c>
      <c r="QB123" s="938"/>
      <c r="QC123" s="938"/>
      <c r="QD123" s="938"/>
      <c r="QE123" s="938"/>
      <c r="QF123" s="938"/>
      <c r="QG123" s="938"/>
      <c r="QH123" s="938"/>
      <c r="QI123" s="938"/>
      <c r="QJ123" s="938"/>
      <c r="QK123" s="938"/>
      <c r="QL123" s="938"/>
      <c r="QM123" s="938"/>
      <c r="QO123" s="938">
        <f>IF(OR(QO122=0,QN5='#org22'!$C$7,QN5='#Boden'!$G$50,QN7=0,QN6=0,AND(QN4=0,QN7='#Boden'!$G$28)),QO115,"")</f>
        <v>0</v>
      </c>
      <c r="QP123" s="938" t="str">
        <f>IF(OR(QO123="",QO123&lt;0.001),"",$AJ$123)</f>
        <v/>
      </c>
      <c r="QQ123" s="938"/>
      <c r="QR123" s="938"/>
      <c r="QS123" s="938"/>
      <c r="QT123" s="938"/>
      <c r="QU123" s="938"/>
      <c r="QV123" s="938"/>
      <c r="QW123" s="938"/>
      <c r="QX123" s="938"/>
      <c r="QY123" s="938"/>
      <c r="QZ123" s="938"/>
      <c r="RA123" s="938"/>
      <c r="RB123" s="938"/>
      <c r="RD123" s="938">
        <f>IF(OR(RD122=0,RC5='#org22'!$C$7,RC5='#Boden'!$G$50,RC7=0,RC6=0,AND(RC4=0,RC7='#Boden'!$G$28)),RD115,"")</f>
        <v>0</v>
      </c>
      <c r="RE123" s="938" t="str">
        <f>IF(OR(RD123="",RD123&lt;0.001),"",$AJ$123)</f>
        <v/>
      </c>
      <c r="RF123" s="938"/>
      <c r="RG123" s="938"/>
      <c r="RH123" s="938"/>
      <c r="RI123" s="938"/>
      <c r="RJ123" s="938"/>
      <c r="RK123" s="938"/>
      <c r="RL123" s="938"/>
      <c r="RM123" s="938"/>
      <c r="RN123" s="938"/>
      <c r="RO123" s="938"/>
      <c r="RP123" s="938"/>
      <c r="RQ123" s="938"/>
    </row>
    <row r="124" spans="1:495" s="930" customFormat="1" x14ac:dyDescent="0.2">
      <c r="S124" s="938"/>
      <c r="AA124" s="256" t="s">
        <v>1636</v>
      </c>
      <c r="AB124" s="945"/>
      <c r="AC124" s="945"/>
      <c r="AD124" s="945">
        <v>44471</v>
      </c>
      <c r="AE124" s="945">
        <v>44592</v>
      </c>
      <c r="AF124" s="945">
        <v>44471</v>
      </c>
      <c r="AG124" s="945">
        <v>44592</v>
      </c>
      <c r="AJ124" s="946">
        <v>2</v>
      </c>
      <c r="AK124" s="930" t="str">
        <f>IF(LEFT(AJ5,2)=" +",AK115,"")</f>
        <v/>
      </c>
      <c r="AL124" s="938" t="str">
        <f>IF(OR(AK124="",AK124&lt;0.001),"",$AJ$124)</f>
        <v/>
      </c>
      <c r="AZ124" s="938" t="str">
        <f>IF(LEFT(AY5,2)=" +",AZ115,"")</f>
        <v/>
      </c>
      <c r="BA124" s="938" t="str">
        <f>IF(OR(AZ124="",AZ124&lt;0.001),"",$AJ$124)</f>
        <v/>
      </c>
      <c r="BB124" s="938"/>
      <c r="BC124" s="938"/>
      <c r="BD124" s="938"/>
      <c r="BE124" s="938"/>
      <c r="BF124" s="938"/>
      <c r="BG124" s="938"/>
      <c r="BH124" s="938"/>
      <c r="BI124" s="938"/>
      <c r="BJ124" s="938"/>
      <c r="BK124" s="938"/>
      <c r="BL124" s="938"/>
      <c r="BM124" s="938"/>
      <c r="BO124" s="938" t="str">
        <f>IF(LEFT(BN5,2)=" +",BO115,"")</f>
        <v/>
      </c>
      <c r="BP124" s="938" t="str">
        <f>IF(OR(BO124="",BO124&lt;0.001),"",$AJ$124)</f>
        <v/>
      </c>
      <c r="BQ124" s="938"/>
      <c r="BR124" s="938"/>
      <c r="BS124" s="938"/>
      <c r="BT124" s="938"/>
      <c r="BU124" s="938"/>
      <c r="BV124" s="938"/>
      <c r="BW124" s="938"/>
      <c r="BX124" s="938"/>
      <c r="BY124" s="938"/>
      <c r="BZ124" s="938"/>
      <c r="CA124" s="938"/>
      <c r="CB124" s="938"/>
      <c r="CD124" s="938" t="str">
        <f>IF(LEFT(CC5,2)=" +",CD115,"")</f>
        <v/>
      </c>
      <c r="CE124" s="938" t="str">
        <f>IF(OR(CD124="",CD124&lt;0.001),"",$AJ$124)</f>
        <v/>
      </c>
      <c r="CF124" s="938"/>
      <c r="CG124" s="938"/>
      <c r="CH124" s="938"/>
      <c r="CI124" s="938"/>
      <c r="CJ124" s="938"/>
      <c r="CK124" s="938"/>
      <c r="CL124" s="938"/>
      <c r="CM124" s="938"/>
      <c r="CN124" s="938"/>
      <c r="CO124" s="938"/>
      <c r="CP124" s="938"/>
      <c r="CQ124" s="938"/>
      <c r="CS124" s="938" t="str">
        <f>IF(LEFT(CR5,2)=" +",CS115,"")</f>
        <v/>
      </c>
      <c r="CT124" s="938" t="str">
        <f>IF(OR(CS124="",CS124&lt;0.001),"",$AJ$124)</f>
        <v/>
      </c>
      <c r="CU124" s="938"/>
      <c r="CV124" s="938"/>
      <c r="CW124" s="938"/>
      <c r="CX124" s="938"/>
      <c r="CY124" s="938"/>
      <c r="CZ124" s="938"/>
      <c r="DA124" s="938"/>
      <c r="DB124" s="938"/>
      <c r="DC124" s="938"/>
      <c r="DD124" s="938"/>
      <c r="DE124" s="938"/>
      <c r="DF124" s="938"/>
      <c r="DH124" s="938" t="str">
        <f>IF(LEFT(DG5,2)=" +",DH115,"")</f>
        <v/>
      </c>
      <c r="DI124" s="938" t="str">
        <f>IF(OR(DH124="",DH124&lt;0.001),"",$AJ$124)</f>
        <v/>
      </c>
      <c r="DJ124" s="938"/>
      <c r="DK124" s="938"/>
      <c r="DL124" s="938"/>
      <c r="DM124" s="938"/>
      <c r="DN124" s="938"/>
      <c r="DO124" s="938"/>
      <c r="DP124" s="938"/>
      <c r="DQ124" s="938"/>
      <c r="DR124" s="938"/>
      <c r="DS124" s="938"/>
      <c r="DT124" s="938"/>
      <c r="DU124" s="938"/>
      <c r="DW124" s="938" t="str">
        <f>IF(LEFT(DV5,2)=" +",DW115,"")</f>
        <v/>
      </c>
      <c r="DX124" s="938" t="str">
        <f>IF(OR(DW124="",DW124&lt;0.001),"",$AJ$124)</f>
        <v/>
      </c>
      <c r="DY124" s="938"/>
      <c r="DZ124" s="938"/>
      <c r="EA124" s="938"/>
      <c r="EB124" s="938"/>
      <c r="EC124" s="938"/>
      <c r="ED124" s="938"/>
      <c r="EE124" s="938"/>
      <c r="EF124" s="938"/>
      <c r="EG124" s="938"/>
      <c r="EH124" s="938"/>
      <c r="EI124" s="938"/>
      <c r="EJ124" s="938"/>
      <c r="EL124" s="938" t="str">
        <f>IF(LEFT(EK5,2)=" +",EL115,"")</f>
        <v/>
      </c>
      <c r="EM124" s="938" t="str">
        <f>IF(OR(EL124="",EL124&lt;0.001),"",$AJ$124)</f>
        <v/>
      </c>
      <c r="EN124" s="938"/>
      <c r="EO124" s="938"/>
      <c r="EP124" s="938"/>
      <c r="EQ124" s="938"/>
      <c r="ER124" s="938"/>
      <c r="ES124" s="938"/>
      <c r="ET124" s="938"/>
      <c r="EU124" s="938"/>
      <c r="EV124" s="938"/>
      <c r="EW124" s="938"/>
      <c r="EX124" s="938"/>
      <c r="EY124" s="938"/>
      <c r="FA124" s="938" t="str">
        <f>IF(LEFT(EZ5,2)=" +",FA115,"")</f>
        <v/>
      </c>
      <c r="FB124" s="938" t="str">
        <f>IF(OR(FA124="",FA124&lt;0.001),"",$AJ$124)</f>
        <v/>
      </c>
      <c r="FC124" s="938"/>
      <c r="FD124" s="938"/>
      <c r="FE124" s="938"/>
      <c r="FF124" s="938"/>
      <c r="FG124" s="938"/>
      <c r="FH124" s="938"/>
      <c r="FI124" s="938"/>
      <c r="FJ124" s="938"/>
      <c r="FK124" s="938"/>
      <c r="FL124" s="938"/>
      <c r="FM124" s="938"/>
      <c r="FN124" s="938"/>
      <c r="FP124" s="938" t="str">
        <f>IF(LEFT(FO5,2)=" +",FP115,"")</f>
        <v/>
      </c>
      <c r="FQ124" s="938" t="str">
        <f>IF(OR(FP124="",FP124&lt;0.001),"",$AJ$124)</f>
        <v/>
      </c>
      <c r="FR124" s="938"/>
      <c r="FS124" s="938"/>
      <c r="FT124" s="938"/>
      <c r="FU124" s="938"/>
      <c r="FV124" s="938"/>
      <c r="FW124" s="938"/>
      <c r="FX124" s="938"/>
      <c r="FY124" s="938"/>
      <c r="FZ124" s="938"/>
      <c r="GA124" s="938"/>
      <c r="GB124" s="938"/>
      <c r="GC124" s="938"/>
      <c r="GE124" s="938" t="str">
        <f>IF(LEFT(GD5,2)=" +",GE115,"")</f>
        <v/>
      </c>
      <c r="GF124" s="938" t="str">
        <f>IF(OR(GE124="",GE124&lt;0.001),"",$AJ$124)</f>
        <v/>
      </c>
      <c r="GG124" s="938"/>
      <c r="GH124" s="938"/>
      <c r="GI124" s="938"/>
      <c r="GJ124" s="938"/>
      <c r="GK124" s="938"/>
      <c r="GL124" s="938"/>
      <c r="GM124" s="938"/>
      <c r="GN124" s="938"/>
      <c r="GO124" s="938"/>
      <c r="GP124" s="938"/>
      <c r="GQ124" s="938"/>
      <c r="GR124" s="938"/>
      <c r="GT124" s="938" t="str">
        <f>IF(LEFT(GS5,2)=" +",GT115,"")</f>
        <v/>
      </c>
      <c r="GU124" s="938" t="str">
        <f>IF(OR(GT124="",GT124&lt;0.001),"",$AJ$124)</f>
        <v/>
      </c>
      <c r="GV124" s="938"/>
      <c r="GW124" s="938"/>
      <c r="GX124" s="938"/>
      <c r="GY124" s="938"/>
      <c r="GZ124" s="938"/>
      <c r="HA124" s="938"/>
      <c r="HB124" s="938"/>
      <c r="HC124" s="938"/>
      <c r="HD124" s="938"/>
      <c r="HE124" s="938"/>
      <c r="HF124" s="938"/>
      <c r="HG124" s="938"/>
      <c r="HI124" s="938" t="str">
        <f>IF(LEFT(HH5,2)=" +",HI115,"")</f>
        <v/>
      </c>
      <c r="HJ124" s="938" t="str">
        <f>IF(OR(HI124="",HI124&lt;0.001),"",$AJ$124)</f>
        <v/>
      </c>
      <c r="HK124" s="938"/>
      <c r="HL124" s="938"/>
      <c r="HM124" s="938"/>
      <c r="HN124" s="938"/>
      <c r="HO124" s="938"/>
      <c r="HP124" s="938"/>
      <c r="HQ124" s="938"/>
      <c r="HR124" s="938"/>
      <c r="HS124" s="938"/>
      <c r="HT124" s="938"/>
      <c r="HU124" s="938"/>
      <c r="HV124" s="938"/>
      <c r="HX124" s="938" t="str">
        <f>IF(LEFT(HW5,2)=" +",HX115,"")</f>
        <v/>
      </c>
      <c r="HY124" s="938" t="str">
        <f>IF(OR(HX124="",HX124&lt;0.001),"",$AJ$124)</f>
        <v/>
      </c>
      <c r="HZ124" s="938"/>
      <c r="IA124" s="938"/>
      <c r="IB124" s="938"/>
      <c r="IC124" s="938"/>
      <c r="ID124" s="938"/>
      <c r="IE124" s="938"/>
      <c r="IF124" s="938"/>
      <c r="IG124" s="938"/>
      <c r="IH124" s="938"/>
      <c r="II124" s="938"/>
      <c r="IJ124" s="938"/>
      <c r="IK124" s="938"/>
      <c r="IM124" s="938" t="str">
        <f>IF(LEFT(IL5,2)=" +",IM115,"")</f>
        <v/>
      </c>
      <c r="IN124" s="938" t="str">
        <f>IF(OR(IM124="",IM124&lt;0.001),"",$AJ$124)</f>
        <v/>
      </c>
      <c r="IO124" s="938"/>
      <c r="IP124" s="938"/>
      <c r="IQ124" s="938"/>
      <c r="IR124" s="938"/>
      <c r="IS124" s="938"/>
      <c r="IT124" s="938"/>
      <c r="IU124" s="938"/>
      <c r="IV124" s="938"/>
      <c r="IW124" s="938"/>
      <c r="IX124" s="938"/>
      <c r="IY124" s="938"/>
      <c r="IZ124" s="938"/>
      <c r="JB124" s="938" t="str">
        <f>IF(LEFT(JA5,2)=" +",JB115,"")</f>
        <v/>
      </c>
      <c r="JC124" s="938" t="str">
        <f>IF(OR(JB124="",JB124&lt;0.001),"",$AJ$124)</f>
        <v/>
      </c>
      <c r="JD124" s="938"/>
      <c r="JE124" s="938"/>
      <c r="JF124" s="938"/>
      <c r="JG124" s="938"/>
      <c r="JH124" s="938"/>
      <c r="JI124" s="938"/>
      <c r="JJ124" s="938"/>
      <c r="JK124" s="938"/>
      <c r="JL124" s="938"/>
      <c r="JM124" s="938"/>
      <c r="JN124" s="938"/>
      <c r="JO124" s="938"/>
      <c r="JQ124" s="938" t="str">
        <f>IF(LEFT(JP5,2)=" +",JQ115,"")</f>
        <v/>
      </c>
      <c r="JR124" s="938" t="str">
        <f>IF(OR(JQ124="",JQ124&lt;0.001),"",$AJ$124)</f>
        <v/>
      </c>
      <c r="JS124" s="938"/>
      <c r="JT124" s="938"/>
      <c r="JU124" s="938"/>
      <c r="JV124" s="938"/>
      <c r="JW124" s="938"/>
      <c r="JX124" s="938"/>
      <c r="JY124" s="938"/>
      <c r="JZ124" s="938"/>
      <c r="KA124" s="938"/>
      <c r="KB124" s="938"/>
      <c r="KC124" s="938"/>
      <c r="KD124" s="938"/>
      <c r="KF124" s="938" t="str">
        <f>IF(LEFT(KE5,2)=" +",KF115,"")</f>
        <v/>
      </c>
      <c r="KG124" s="938" t="str">
        <f>IF(OR(KF124="",KF124&lt;0.001),"",$AJ$124)</f>
        <v/>
      </c>
      <c r="KH124" s="938"/>
      <c r="KI124" s="938"/>
      <c r="KJ124" s="938"/>
      <c r="KK124" s="938"/>
      <c r="KL124" s="938"/>
      <c r="KM124" s="938"/>
      <c r="KN124" s="938"/>
      <c r="KO124" s="938"/>
      <c r="KP124" s="938"/>
      <c r="KQ124" s="938"/>
      <c r="KR124" s="938"/>
      <c r="KS124" s="938"/>
      <c r="KU124" s="938" t="str">
        <f>IF(LEFT(KT5,2)=" +",KU115,"")</f>
        <v/>
      </c>
      <c r="KV124" s="938" t="str">
        <f>IF(OR(KU124="",KU124&lt;0.001),"",$AJ$124)</f>
        <v/>
      </c>
      <c r="KW124" s="938"/>
      <c r="KX124" s="938"/>
      <c r="KY124" s="938"/>
      <c r="KZ124" s="938"/>
      <c r="LA124" s="938"/>
      <c r="LB124" s="938"/>
      <c r="LC124" s="938"/>
      <c r="LD124" s="938"/>
      <c r="LE124" s="938"/>
      <c r="LF124" s="938"/>
      <c r="LG124" s="938"/>
      <c r="LH124" s="938"/>
      <c r="LJ124" s="938" t="str">
        <f>IF(LEFT(LI5,2)=" +",LJ115,"")</f>
        <v/>
      </c>
      <c r="LK124" s="938" t="str">
        <f>IF(OR(LJ124="",LJ124&lt;0.001),"",$AJ$124)</f>
        <v/>
      </c>
      <c r="LL124" s="938"/>
      <c r="LM124" s="938"/>
      <c r="LN124" s="938"/>
      <c r="LO124" s="938"/>
      <c r="LP124" s="938"/>
      <c r="LQ124" s="938"/>
      <c r="LR124" s="938"/>
      <c r="LS124" s="938"/>
      <c r="LT124" s="938"/>
      <c r="LU124" s="938"/>
      <c r="LV124" s="938"/>
      <c r="LW124" s="938"/>
      <c r="LY124" s="938" t="str">
        <f>IF(LEFT(LX5,2)=" +",LY115,"")</f>
        <v/>
      </c>
      <c r="LZ124" s="938" t="str">
        <f>IF(OR(LY124="",LY124&lt;0.001),"",$AJ$124)</f>
        <v/>
      </c>
      <c r="MA124" s="938"/>
      <c r="MB124" s="938"/>
      <c r="MC124" s="938"/>
      <c r="MD124" s="938"/>
      <c r="ME124" s="938"/>
      <c r="MF124" s="938"/>
      <c r="MG124" s="938"/>
      <c r="MH124" s="938"/>
      <c r="MI124" s="938"/>
      <c r="MJ124" s="938"/>
      <c r="MK124" s="938"/>
      <c r="ML124" s="938"/>
      <c r="MN124" s="938" t="str">
        <f>IF(LEFT(MM5,2)=" +",MN115,"")</f>
        <v/>
      </c>
      <c r="MO124" s="938" t="str">
        <f>IF(OR(MN124="",MN124&lt;0.001),"",$AJ$124)</f>
        <v/>
      </c>
      <c r="MP124" s="938"/>
      <c r="MQ124" s="938"/>
      <c r="MR124" s="938"/>
      <c r="MS124" s="938"/>
      <c r="MT124" s="938"/>
      <c r="MU124" s="938"/>
      <c r="MV124" s="938"/>
      <c r="MW124" s="938"/>
      <c r="MX124" s="938"/>
      <c r="MY124" s="938"/>
      <c r="MZ124" s="938"/>
      <c r="NA124" s="938"/>
      <c r="NC124" s="938" t="str">
        <f>IF(LEFT(NB5,2)=" +",NC115,"")</f>
        <v/>
      </c>
      <c r="ND124" s="938" t="str">
        <f>IF(OR(NC124="",NC124&lt;0.001),"",$AJ$124)</f>
        <v/>
      </c>
      <c r="NE124" s="938"/>
      <c r="NF124" s="938"/>
      <c r="NG124" s="938"/>
      <c r="NH124" s="938"/>
      <c r="NI124" s="938"/>
      <c r="NJ124" s="938"/>
      <c r="NK124" s="938"/>
      <c r="NL124" s="938"/>
      <c r="NM124" s="938"/>
      <c r="NN124" s="938"/>
      <c r="NO124" s="938"/>
      <c r="NP124" s="938"/>
      <c r="NR124" s="938" t="str">
        <f>IF(LEFT(NQ5,2)=" +",NR115,"")</f>
        <v/>
      </c>
      <c r="NS124" s="938" t="str">
        <f>IF(OR(NR124="",NR124&lt;0.001),"",$AJ$124)</f>
        <v/>
      </c>
      <c r="NT124" s="938"/>
      <c r="NU124" s="938"/>
      <c r="NV124" s="938"/>
      <c r="NW124" s="938"/>
      <c r="NX124" s="938"/>
      <c r="NY124" s="938"/>
      <c r="NZ124" s="938"/>
      <c r="OA124" s="938"/>
      <c r="OB124" s="938"/>
      <c r="OC124" s="938"/>
      <c r="OD124" s="938"/>
      <c r="OE124" s="938"/>
      <c r="OG124" s="938" t="str">
        <f>IF(LEFT(OF5,2)=" +",OG115,"")</f>
        <v/>
      </c>
      <c r="OH124" s="938" t="str">
        <f>IF(OR(OG124="",OG124&lt;0.001),"",$AJ$124)</f>
        <v/>
      </c>
      <c r="OI124" s="938"/>
      <c r="OJ124" s="938"/>
      <c r="OK124" s="938"/>
      <c r="OL124" s="938"/>
      <c r="OM124" s="938"/>
      <c r="ON124" s="938"/>
      <c r="OO124" s="938"/>
      <c r="OP124" s="938"/>
      <c r="OQ124" s="938"/>
      <c r="OR124" s="938"/>
      <c r="OS124" s="938"/>
      <c r="OT124" s="938"/>
      <c r="OV124" s="938" t="str">
        <f>IF(LEFT(OU5,2)=" +",OV115,"")</f>
        <v/>
      </c>
      <c r="OW124" s="938" t="str">
        <f>IF(OR(OV124="",OV124&lt;0.001),"",$AJ$124)</f>
        <v/>
      </c>
      <c r="OX124" s="938"/>
      <c r="OY124" s="938"/>
      <c r="OZ124" s="938"/>
      <c r="PA124" s="938"/>
      <c r="PB124" s="938"/>
      <c r="PC124" s="938"/>
      <c r="PD124" s="938"/>
      <c r="PE124" s="938"/>
      <c r="PF124" s="938"/>
      <c r="PG124" s="938"/>
      <c r="PH124" s="938"/>
      <c r="PI124" s="938"/>
      <c r="PK124" s="938" t="str">
        <f>IF(LEFT(PJ5,2)=" +",PK115,"")</f>
        <v/>
      </c>
      <c r="PL124" s="938" t="str">
        <f>IF(OR(PK124="",PK124&lt;0.001),"",$AJ$124)</f>
        <v/>
      </c>
      <c r="PM124" s="938"/>
      <c r="PN124" s="938"/>
      <c r="PO124" s="938"/>
      <c r="PP124" s="938"/>
      <c r="PQ124" s="938"/>
      <c r="PR124" s="938"/>
      <c r="PS124" s="938"/>
      <c r="PT124" s="938"/>
      <c r="PU124" s="938"/>
      <c r="PV124" s="938"/>
      <c r="PW124" s="938"/>
      <c r="PX124" s="938"/>
      <c r="PZ124" s="938" t="str">
        <f>IF(LEFT(PY5,2)=" +",PZ115,"")</f>
        <v/>
      </c>
      <c r="QA124" s="938" t="str">
        <f>IF(OR(PZ124="",PZ124&lt;0.001),"",$AJ$124)</f>
        <v/>
      </c>
      <c r="QB124" s="938"/>
      <c r="QC124" s="938"/>
      <c r="QD124" s="938"/>
      <c r="QE124" s="938"/>
      <c r="QF124" s="938"/>
      <c r="QG124" s="938"/>
      <c r="QH124" s="938"/>
      <c r="QI124" s="938"/>
      <c r="QJ124" s="938"/>
      <c r="QK124" s="938"/>
      <c r="QL124" s="938"/>
      <c r="QM124" s="938"/>
      <c r="QO124" s="938" t="str">
        <f>IF(LEFT(QN5,2)=" +",QO115,"")</f>
        <v/>
      </c>
      <c r="QP124" s="938" t="str">
        <f>IF(OR(QO124="",QO124&lt;0.001),"",$AJ$124)</f>
        <v/>
      </c>
      <c r="QQ124" s="938"/>
      <c r="QR124" s="938"/>
      <c r="QS124" s="938"/>
      <c r="QT124" s="938"/>
      <c r="QU124" s="938"/>
      <c r="QV124" s="938"/>
      <c r="QW124" s="938"/>
      <c r="QX124" s="938"/>
      <c r="QY124" s="938"/>
      <c r="QZ124" s="938"/>
      <c r="RA124" s="938"/>
      <c r="RB124" s="938"/>
      <c r="RD124" s="938" t="str">
        <f>IF(LEFT(RC5,2)=" +",RD115,"")</f>
        <v/>
      </c>
      <c r="RE124" s="938" t="str">
        <f>IF(OR(RD124="",RD124&lt;0.001),"",$AJ$124)</f>
        <v/>
      </c>
      <c r="RF124" s="938"/>
      <c r="RG124" s="938"/>
      <c r="RH124" s="938"/>
      <c r="RI124" s="938"/>
      <c r="RJ124" s="938"/>
      <c r="RK124" s="938"/>
      <c r="RL124" s="938"/>
      <c r="RM124" s="938"/>
      <c r="RN124" s="938"/>
      <c r="RO124" s="938"/>
      <c r="RP124" s="938"/>
      <c r="RQ124" s="938"/>
    </row>
    <row r="125" spans="1:495" s="930" customFormat="1" x14ac:dyDescent="0.2">
      <c r="S125" s="938"/>
      <c r="AA125" s="256" t="s">
        <v>1635</v>
      </c>
      <c r="AB125" s="945"/>
      <c r="AC125" s="945"/>
      <c r="AD125" s="945">
        <v>44471</v>
      </c>
      <c r="AE125" s="945">
        <v>44592</v>
      </c>
      <c r="AF125" s="945"/>
      <c r="AG125" s="34">
        <v>44592</v>
      </c>
      <c r="AJ125" s="930">
        <v>14</v>
      </c>
      <c r="AK125" s="930" t="str">
        <f>IF(AJ4=0,"",IF(OR(AND(AJ6=2,AJ4&gt;$AD$130),AND(AJ6=3,AJ4&lt;$AD$130),AND(AJ6=1,AJ4&gt;$AD$131)),AK115,""))</f>
        <v/>
      </c>
      <c r="AL125" s="938" t="str">
        <f>IF(OR(AK125="",AK125&lt;0.001),"",$AJ$125)</f>
        <v/>
      </c>
      <c r="AZ125" s="938" t="str">
        <f>IF(AY4=0,"",IF(OR(AND(AY6=2,AY4&gt;$AD$130),AND(AY6=3,AY4&lt;$AD$130)),AZ115,""))</f>
        <v/>
      </c>
      <c r="BA125" s="938" t="str">
        <f>IF(OR(AZ125="",AZ125&lt;0.001),"",$AJ$125)</f>
        <v/>
      </c>
      <c r="BB125" s="938"/>
      <c r="BC125" s="938"/>
      <c r="BD125" s="938"/>
      <c r="BE125" s="938"/>
      <c r="BF125" s="938"/>
      <c r="BG125" s="938"/>
      <c r="BH125" s="938"/>
      <c r="BI125" s="938"/>
      <c r="BJ125" s="938"/>
      <c r="BK125" s="938"/>
      <c r="BL125" s="938"/>
      <c r="BM125" s="938"/>
      <c r="BO125" s="938" t="str">
        <f>IF(BN4=0,"",IF(OR(AND(BN6=2,BN4&gt;$AD$130),AND(BN6=3,BN4&lt;$AD$130)),BO115,""))</f>
        <v/>
      </c>
      <c r="BP125" s="938" t="str">
        <f>IF(OR(BO125="",BO125&lt;0.001),"",$AJ$125)</f>
        <v/>
      </c>
      <c r="BQ125" s="938"/>
      <c r="BR125" s="938"/>
      <c r="BS125" s="938"/>
      <c r="BT125" s="938"/>
      <c r="BU125" s="938"/>
      <c r="BV125" s="938"/>
      <c r="BW125" s="938"/>
      <c r="BX125" s="938"/>
      <c r="BY125" s="938"/>
      <c r="BZ125" s="938"/>
      <c r="CA125" s="938"/>
      <c r="CB125" s="938"/>
      <c r="CD125" s="938" t="str">
        <f>IF(CC4=0,"",IF(OR(AND(CC6=2,CC4&gt;$AD$130),AND(CC6=3,CC4&lt;$AD$130)),CD115,""))</f>
        <v/>
      </c>
      <c r="CE125" s="938" t="str">
        <f>IF(OR(CD125="",CD125&lt;0.001),"",$AJ$125)</f>
        <v/>
      </c>
      <c r="CF125" s="938"/>
      <c r="CG125" s="938"/>
      <c r="CH125" s="938"/>
      <c r="CI125" s="938"/>
      <c r="CJ125" s="938"/>
      <c r="CK125" s="938"/>
      <c r="CL125" s="938"/>
      <c r="CM125" s="938"/>
      <c r="CN125" s="938"/>
      <c r="CO125" s="938"/>
      <c r="CP125" s="938"/>
      <c r="CQ125" s="938"/>
      <c r="CS125" s="938" t="str">
        <f>IF(CR4=0,"",IF(OR(AND(CR6=2,CR4&gt;$AD$130),AND(CR6=3,CR4&lt;$AD$130)),CS115,""))</f>
        <v/>
      </c>
      <c r="CT125" s="938" t="str">
        <f>IF(OR(CS125="",CS125&lt;0.001),"",$AJ$125)</f>
        <v/>
      </c>
      <c r="CU125" s="938"/>
      <c r="CV125" s="938"/>
      <c r="CW125" s="938"/>
      <c r="CX125" s="938"/>
      <c r="CY125" s="938"/>
      <c r="CZ125" s="938"/>
      <c r="DA125" s="938"/>
      <c r="DB125" s="938"/>
      <c r="DC125" s="938"/>
      <c r="DD125" s="938"/>
      <c r="DE125" s="938"/>
      <c r="DF125" s="938"/>
      <c r="DH125" s="938" t="str">
        <f>IF(DG4=0,"",IF(OR(AND(DG6=2,DG4&gt;$AD$130),AND(DG6=3,DG4&lt;$AD$130)),DH115,""))</f>
        <v/>
      </c>
      <c r="DI125" s="938" t="str">
        <f>IF(OR(DH125="",DH125&lt;0.001),"",$AJ$125)</f>
        <v/>
      </c>
      <c r="DJ125" s="938"/>
      <c r="DK125" s="938"/>
      <c r="DL125" s="938"/>
      <c r="DM125" s="938"/>
      <c r="DN125" s="938"/>
      <c r="DO125" s="938"/>
      <c r="DP125" s="938"/>
      <c r="DQ125" s="938"/>
      <c r="DR125" s="938"/>
      <c r="DS125" s="938"/>
      <c r="DT125" s="938"/>
      <c r="DU125" s="938"/>
      <c r="DW125" s="938" t="str">
        <f>IF(DV4=0,"",IF(OR(AND(DV6=2,DV4&gt;$AD$130),AND(DV6=3,DV4&lt;$AD$130)),DW115,""))</f>
        <v/>
      </c>
      <c r="DX125" s="938" t="str">
        <f>IF(OR(DW125="",DW125&lt;0.001),"",$AJ$125)</f>
        <v/>
      </c>
      <c r="DY125" s="938"/>
      <c r="DZ125" s="938"/>
      <c r="EA125" s="938"/>
      <c r="EB125" s="938"/>
      <c r="EC125" s="938"/>
      <c r="ED125" s="938"/>
      <c r="EE125" s="938"/>
      <c r="EF125" s="938"/>
      <c r="EG125" s="938"/>
      <c r="EH125" s="938"/>
      <c r="EI125" s="938"/>
      <c r="EJ125" s="938"/>
      <c r="EL125" s="938" t="str">
        <f>IF(EK4=0,"",IF(OR(AND(EK6=2,EK4&gt;$AD$130),AND(EK6=3,EK4&lt;$AD$130)),EL115,""))</f>
        <v/>
      </c>
      <c r="EM125" s="938" t="str">
        <f>IF(OR(EL125="",EL125&lt;0.001),"",$AJ$125)</f>
        <v/>
      </c>
      <c r="EN125" s="938"/>
      <c r="EO125" s="938"/>
      <c r="EP125" s="938"/>
      <c r="EQ125" s="938"/>
      <c r="ER125" s="938"/>
      <c r="ES125" s="938"/>
      <c r="ET125" s="938"/>
      <c r="EU125" s="938"/>
      <c r="EV125" s="938"/>
      <c r="EW125" s="938"/>
      <c r="EX125" s="938"/>
      <c r="EY125" s="938"/>
      <c r="FA125" s="938" t="str">
        <f>IF(EZ4=0,"",IF(OR(AND(EZ6=2,EZ4&gt;$AD$130),AND(EZ6=3,EZ4&lt;$AD$130)),FA115,""))</f>
        <v/>
      </c>
      <c r="FB125" s="938" t="str">
        <f>IF(OR(FA125="",FA125&lt;0.001),"",$AJ$125)</f>
        <v/>
      </c>
      <c r="FC125" s="938"/>
      <c r="FD125" s="938"/>
      <c r="FE125" s="938"/>
      <c r="FF125" s="938"/>
      <c r="FG125" s="938"/>
      <c r="FH125" s="938"/>
      <c r="FI125" s="938"/>
      <c r="FJ125" s="938"/>
      <c r="FK125" s="938"/>
      <c r="FL125" s="938"/>
      <c r="FM125" s="938"/>
      <c r="FN125" s="938"/>
      <c r="FP125" s="938" t="str">
        <f>IF(FO4=0,"",IF(OR(AND(FO6=2,FO4&gt;$AD$130),AND(FO6=3,FO4&lt;$AD$130)),FP115,""))</f>
        <v/>
      </c>
      <c r="FQ125" s="938" t="str">
        <f>IF(OR(FP125="",FP125&lt;0.001),"",$AJ$125)</f>
        <v/>
      </c>
      <c r="FR125" s="938"/>
      <c r="FS125" s="938"/>
      <c r="FT125" s="938"/>
      <c r="FU125" s="938"/>
      <c r="FV125" s="938"/>
      <c r="FW125" s="938"/>
      <c r="FX125" s="938"/>
      <c r="FY125" s="938"/>
      <c r="FZ125" s="938"/>
      <c r="GA125" s="938"/>
      <c r="GB125" s="938"/>
      <c r="GC125" s="938"/>
      <c r="GE125" s="938" t="str">
        <f>IF(GD4=0,"",IF(OR(AND(GD6=2,GD4&gt;$AD$130),AND(GD6=3,GD4&lt;$AD$130)),GE115,""))</f>
        <v/>
      </c>
      <c r="GF125" s="938" t="str">
        <f>IF(OR(GE125="",GE125&lt;0.001),"",$AJ$125)</f>
        <v/>
      </c>
      <c r="GG125" s="938"/>
      <c r="GH125" s="938"/>
      <c r="GI125" s="938"/>
      <c r="GJ125" s="938"/>
      <c r="GK125" s="938"/>
      <c r="GL125" s="938"/>
      <c r="GM125" s="938"/>
      <c r="GN125" s="938"/>
      <c r="GO125" s="938"/>
      <c r="GP125" s="938"/>
      <c r="GQ125" s="938"/>
      <c r="GR125" s="938"/>
      <c r="GT125" s="938" t="str">
        <f>IF(GS4=0,"",IF(OR(AND(GS6=2,GS4&gt;$AD$130),AND(GS6=3,GS4&lt;$AD$130)),GT115,""))</f>
        <v/>
      </c>
      <c r="GU125" s="938" t="str">
        <f>IF(OR(GT125="",GT125&lt;0.001),"",$AJ$125)</f>
        <v/>
      </c>
      <c r="GV125" s="938"/>
      <c r="GW125" s="938"/>
      <c r="GX125" s="938"/>
      <c r="GY125" s="938"/>
      <c r="GZ125" s="938"/>
      <c r="HA125" s="938"/>
      <c r="HB125" s="938"/>
      <c r="HC125" s="938"/>
      <c r="HD125" s="938"/>
      <c r="HE125" s="938"/>
      <c r="HF125" s="938"/>
      <c r="HG125" s="938"/>
      <c r="HI125" s="938" t="str">
        <f>IF(HH4=0,"",IF(OR(AND(HH6=2,HH4&gt;$AD$130),AND(HH6=3,HH4&lt;$AD$130)),HI115,""))</f>
        <v/>
      </c>
      <c r="HJ125" s="938" t="str">
        <f>IF(OR(HI125="",HI125&lt;0.001),"",$AJ$125)</f>
        <v/>
      </c>
      <c r="HK125" s="938"/>
      <c r="HL125" s="938"/>
      <c r="HM125" s="938"/>
      <c r="HN125" s="938"/>
      <c r="HO125" s="938"/>
      <c r="HP125" s="938"/>
      <c r="HQ125" s="938"/>
      <c r="HR125" s="938"/>
      <c r="HS125" s="938"/>
      <c r="HT125" s="938"/>
      <c r="HU125" s="938"/>
      <c r="HV125" s="938"/>
      <c r="HX125" s="938" t="str">
        <f>IF(HW4=0,"",IF(OR(AND(HW6=2,HW4&gt;$AD$130),AND(HW6=3,HW4&lt;$AD$130)),HX115,""))</f>
        <v/>
      </c>
      <c r="HY125" s="938" t="str">
        <f>IF(OR(HX125="",HX125&lt;0.001),"",$AJ$125)</f>
        <v/>
      </c>
      <c r="HZ125" s="938"/>
      <c r="IA125" s="938"/>
      <c r="IB125" s="938"/>
      <c r="IC125" s="938"/>
      <c r="ID125" s="938"/>
      <c r="IE125" s="938"/>
      <c r="IF125" s="938"/>
      <c r="IG125" s="938"/>
      <c r="IH125" s="938"/>
      <c r="II125" s="938"/>
      <c r="IJ125" s="938"/>
      <c r="IK125" s="938"/>
      <c r="IM125" s="938" t="str">
        <f>IF(IL4=0,"",IF(OR(AND(IL6=2,IL4&gt;$AD$130),AND(IL6=3,IL4&lt;$AD$130)),IM115,""))</f>
        <v/>
      </c>
      <c r="IN125" s="938" t="str">
        <f>IF(OR(IM125="",IM125&lt;0.001),"",$AJ$125)</f>
        <v/>
      </c>
      <c r="IO125" s="938"/>
      <c r="IP125" s="938"/>
      <c r="IQ125" s="938"/>
      <c r="IR125" s="938"/>
      <c r="IS125" s="938"/>
      <c r="IT125" s="938"/>
      <c r="IU125" s="938"/>
      <c r="IV125" s="938"/>
      <c r="IW125" s="938"/>
      <c r="IX125" s="938"/>
      <c r="IY125" s="938"/>
      <c r="IZ125" s="938"/>
      <c r="JB125" s="938" t="str">
        <f>IF(JA4=0,"",IF(OR(AND(JA6=2,JA4&gt;$AD$130),AND(JA6=3,JA4&lt;$AD$130)),JB115,""))</f>
        <v/>
      </c>
      <c r="JC125" s="938" t="str">
        <f>IF(OR(JB125="",JB125&lt;0.001),"",$AJ$125)</f>
        <v/>
      </c>
      <c r="JD125" s="938"/>
      <c r="JE125" s="938"/>
      <c r="JF125" s="938"/>
      <c r="JG125" s="938"/>
      <c r="JH125" s="938"/>
      <c r="JI125" s="938"/>
      <c r="JJ125" s="938"/>
      <c r="JK125" s="938"/>
      <c r="JL125" s="938"/>
      <c r="JM125" s="938"/>
      <c r="JN125" s="938"/>
      <c r="JO125" s="938"/>
      <c r="JQ125" s="938" t="str">
        <f>IF(JP4=0,"",IF(OR(AND(JP6=2,JP4&gt;$AD$130),AND(JP6=3,JP4&lt;$AD$130)),JQ115,""))</f>
        <v/>
      </c>
      <c r="JR125" s="938" t="str">
        <f>IF(OR(JQ125="",JQ125&lt;0.001),"",$AJ$125)</f>
        <v/>
      </c>
      <c r="JS125" s="938"/>
      <c r="JT125" s="938"/>
      <c r="JU125" s="938"/>
      <c r="JV125" s="938"/>
      <c r="JW125" s="938"/>
      <c r="JX125" s="938"/>
      <c r="JY125" s="938"/>
      <c r="JZ125" s="938"/>
      <c r="KA125" s="938"/>
      <c r="KB125" s="938"/>
      <c r="KC125" s="938"/>
      <c r="KD125" s="938"/>
      <c r="KF125" s="938" t="str">
        <f>IF(KE4=0,"",IF(OR(AND(KE6=2,KE4&gt;$AD$130),AND(KE6=3,KE4&lt;$AD$130)),KF115,""))</f>
        <v/>
      </c>
      <c r="KG125" s="938" t="str">
        <f>IF(OR(KF125="",KF125&lt;0.001),"",$AJ$125)</f>
        <v/>
      </c>
      <c r="KH125" s="938"/>
      <c r="KI125" s="938"/>
      <c r="KJ125" s="938"/>
      <c r="KK125" s="938"/>
      <c r="KL125" s="938"/>
      <c r="KM125" s="938"/>
      <c r="KN125" s="938"/>
      <c r="KO125" s="938"/>
      <c r="KP125" s="938"/>
      <c r="KQ125" s="938"/>
      <c r="KR125" s="938"/>
      <c r="KS125" s="938"/>
      <c r="KU125" s="938" t="str">
        <f>IF(KT4=0,"",IF(OR(AND(KT6=2,KT4&gt;$AD$130),AND(KT6=3,KT4&lt;$AD$130)),KU115,""))</f>
        <v/>
      </c>
      <c r="KV125" s="938" t="str">
        <f>IF(OR(KU125="",KU125&lt;0.001),"",$AJ$125)</f>
        <v/>
      </c>
      <c r="KW125" s="938"/>
      <c r="KX125" s="938"/>
      <c r="KY125" s="938"/>
      <c r="KZ125" s="938"/>
      <c r="LA125" s="938"/>
      <c r="LB125" s="938"/>
      <c r="LC125" s="938"/>
      <c r="LD125" s="938"/>
      <c r="LE125" s="938"/>
      <c r="LF125" s="938"/>
      <c r="LG125" s="938"/>
      <c r="LH125" s="938"/>
      <c r="LJ125" s="938" t="str">
        <f>IF(LI4=0,"",IF(OR(AND(LI6=2,LI4&gt;$AD$130),AND(LI6=3,LI4&lt;$AD$130)),LJ115,""))</f>
        <v/>
      </c>
      <c r="LK125" s="938" t="str">
        <f>IF(OR(LJ125="",LJ125&lt;0.001),"",$AJ$125)</f>
        <v/>
      </c>
      <c r="LL125" s="938"/>
      <c r="LM125" s="938"/>
      <c r="LN125" s="938"/>
      <c r="LO125" s="938"/>
      <c r="LP125" s="938"/>
      <c r="LQ125" s="938"/>
      <c r="LR125" s="938"/>
      <c r="LS125" s="938"/>
      <c r="LT125" s="938"/>
      <c r="LU125" s="938"/>
      <c r="LV125" s="938"/>
      <c r="LW125" s="938"/>
      <c r="LY125" s="938" t="str">
        <f>IF(LX4=0,"",IF(OR(AND(LX6=2,LX4&gt;$AD$130),AND(LX6=3,LX4&lt;$AD$130)),LY115,""))</f>
        <v/>
      </c>
      <c r="LZ125" s="938" t="str">
        <f>IF(OR(LY125="",LY125&lt;0.001),"",$AJ$125)</f>
        <v/>
      </c>
      <c r="MA125" s="938"/>
      <c r="MB125" s="938"/>
      <c r="MC125" s="938"/>
      <c r="MD125" s="938"/>
      <c r="ME125" s="938"/>
      <c r="MF125" s="938"/>
      <c r="MG125" s="938"/>
      <c r="MH125" s="938"/>
      <c r="MI125" s="938"/>
      <c r="MJ125" s="938"/>
      <c r="MK125" s="938"/>
      <c r="ML125" s="938"/>
      <c r="MN125" s="938" t="str">
        <f>IF(MM4=0,"",IF(OR(AND(MM6=2,MM4&gt;$AD$130),AND(MM6=3,MM4&lt;$AD$130)),MN115,""))</f>
        <v/>
      </c>
      <c r="MO125" s="938" t="str">
        <f>IF(OR(MN125="",MN125&lt;0.001),"",$AJ$125)</f>
        <v/>
      </c>
      <c r="MP125" s="938"/>
      <c r="MQ125" s="938"/>
      <c r="MR125" s="938"/>
      <c r="MS125" s="938"/>
      <c r="MT125" s="938"/>
      <c r="MU125" s="938"/>
      <c r="MV125" s="938"/>
      <c r="MW125" s="938"/>
      <c r="MX125" s="938"/>
      <c r="MY125" s="938"/>
      <c r="MZ125" s="938"/>
      <c r="NA125" s="938"/>
      <c r="NC125" s="938" t="str">
        <f>IF(NB4=0,"",IF(OR(AND(NB6=2,NB4&gt;$AD$130),AND(NB6=3,NB4&lt;$AD$130)),NC115,""))</f>
        <v/>
      </c>
      <c r="ND125" s="938" t="str">
        <f>IF(OR(NC125="",NC125&lt;0.001),"",$AJ$125)</f>
        <v/>
      </c>
      <c r="NE125" s="938"/>
      <c r="NF125" s="938"/>
      <c r="NG125" s="938"/>
      <c r="NH125" s="938"/>
      <c r="NI125" s="938"/>
      <c r="NJ125" s="938"/>
      <c r="NK125" s="938"/>
      <c r="NL125" s="938"/>
      <c r="NM125" s="938"/>
      <c r="NN125" s="938"/>
      <c r="NO125" s="938"/>
      <c r="NP125" s="938"/>
      <c r="NR125" s="938" t="str">
        <f>IF(NQ4=0,"",IF(OR(AND(NQ6=2,NQ4&gt;$AD$130),AND(NQ6=3,NQ4&lt;$AD$130)),NR115,""))</f>
        <v/>
      </c>
      <c r="NS125" s="938" t="str">
        <f>IF(OR(NR125="",NR125&lt;0.001),"",$AJ$125)</f>
        <v/>
      </c>
      <c r="NT125" s="938"/>
      <c r="NU125" s="938"/>
      <c r="NV125" s="938"/>
      <c r="NW125" s="938"/>
      <c r="NX125" s="938"/>
      <c r="NY125" s="938"/>
      <c r="NZ125" s="938"/>
      <c r="OA125" s="938"/>
      <c r="OB125" s="938"/>
      <c r="OC125" s="938"/>
      <c r="OD125" s="938"/>
      <c r="OE125" s="938"/>
      <c r="OG125" s="938" t="str">
        <f>IF(OF4=0,"",IF(OR(AND(OF6=2,OF4&gt;$AD$130),AND(OF6=3,OF4&lt;$AD$130)),OG115,""))</f>
        <v/>
      </c>
      <c r="OH125" s="938" t="str">
        <f>IF(OR(OG125="",OG125&lt;0.001),"",$AJ$125)</f>
        <v/>
      </c>
      <c r="OI125" s="938"/>
      <c r="OJ125" s="938"/>
      <c r="OK125" s="938"/>
      <c r="OL125" s="938"/>
      <c r="OM125" s="938"/>
      <c r="ON125" s="938"/>
      <c r="OO125" s="938"/>
      <c r="OP125" s="938"/>
      <c r="OQ125" s="938"/>
      <c r="OR125" s="938"/>
      <c r="OS125" s="938"/>
      <c r="OT125" s="938"/>
      <c r="OV125" s="938" t="str">
        <f>IF(OU4=0,"",IF(OR(AND(OU6=2,OU4&gt;$AD$130),AND(OU6=3,OU4&lt;$AD$130)),OV115,""))</f>
        <v/>
      </c>
      <c r="OW125" s="938" t="str">
        <f>IF(OR(OV125="",OV125&lt;0.001),"",$AJ$125)</f>
        <v/>
      </c>
      <c r="OX125" s="938"/>
      <c r="OY125" s="938"/>
      <c r="OZ125" s="938"/>
      <c r="PA125" s="938"/>
      <c r="PB125" s="938"/>
      <c r="PC125" s="938"/>
      <c r="PD125" s="938"/>
      <c r="PE125" s="938"/>
      <c r="PF125" s="938"/>
      <c r="PG125" s="938"/>
      <c r="PH125" s="938"/>
      <c r="PI125" s="938"/>
      <c r="PK125" s="938" t="str">
        <f>IF(PJ4=0,"",IF(OR(AND(PJ6=2,PJ4&gt;$AD$130),AND(PJ6=3,PJ4&lt;$AD$130)),PK115,""))</f>
        <v/>
      </c>
      <c r="PL125" s="938" t="str">
        <f>IF(OR(PK125="",PK125&lt;0.001),"",$AJ$125)</f>
        <v/>
      </c>
      <c r="PM125" s="938"/>
      <c r="PN125" s="938"/>
      <c r="PO125" s="938"/>
      <c r="PP125" s="938"/>
      <c r="PQ125" s="938"/>
      <c r="PR125" s="938"/>
      <c r="PS125" s="938"/>
      <c r="PT125" s="938"/>
      <c r="PU125" s="938"/>
      <c r="PV125" s="938"/>
      <c r="PW125" s="938"/>
      <c r="PX125" s="938"/>
      <c r="PZ125" s="938" t="str">
        <f>IF(PY4=0,"",IF(OR(AND(PY6=2,PY4&gt;$AD$130),AND(PY6=3,PY4&lt;$AD$130)),PZ115,""))</f>
        <v/>
      </c>
      <c r="QA125" s="938" t="str">
        <f>IF(OR(PZ125="",PZ125&lt;0.001),"",$AJ$125)</f>
        <v/>
      </c>
      <c r="QB125" s="938"/>
      <c r="QC125" s="938"/>
      <c r="QD125" s="938"/>
      <c r="QE125" s="938"/>
      <c r="QF125" s="938"/>
      <c r="QG125" s="938"/>
      <c r="QH125" s="938"/>
      <c r="QI125" s="938"/>
      <c r="QJ125" s="938"/>
      <c r="QK125" s="938"/>
      <c r="QL125" s="938"/>
      <c r="QM125" s="938"/>
      <c r="QO125" s="938" t="str">
        <f>IF(QN4=0,"",IF(OR(AND(QN6=2,QN4&gt;$AD$130),AND(QN6=3,QN4&lt;$AD$130)),QO115,""))</f>
        <v/>
      </c>
      <c r="QP125" s="938" t="str">
        <f>IF(OR(QO125="",QO125&lt;0.001),"",$AJ$125)</f>
        <v/>
      </c>
      <c r="QQ125" s="938"/>
      <c r="QR125" s="938"/>
      <c r="QS125" s="938"/>
      <c r="QT125" s="938"/>
      <c r="QU125" s="938"/>
      <c r="QV125" s="938"/>
      <c r="QW125" s="938"/>
      <c r="QX125" s="938"/>
      <c r="QY125" s="938"/>
      <c r="QZ125" s="938"/>
      <c r="RA125" s="938"/>
      <c r="RB125" s="938"/>
      <c r="RD125" s="938" t="str">
        <f>IF(RC4=0,"",IF(OR(AND(RC6=2,RC4&gt;$AD$130),AND(RC6=3,RC4&lt;$AD$130)),RD115,""))</f>
        <v/>
      </c>
      <c r="RE125" s="938" t="str">
        <f>IF(OR(RD125="",RD125&lt;0.001),"",$AJ$125)</f>
        <v/>
      </c>
      <c r="RF125" s="938"/>
      <c r="RG125" s="938"/>
      <c r="RH125" s="938"/>
      <c r="RI125" s="938"/>
      <c r="RJ125" s="938"/>
      <c r="RK125" s="938"/>
      <c r="RL125" s="938"/>
      <c r="RM125" s="938"/>
      <c r="RN125" s="938"/>
      <c r="RO125" s="938"/>
      <c r="RP125" s="938"/>
      <c r="RQ125" s="938"/>
    </row>
    <row r="126" spans="1:495" s="930" customFormat="1" x14ac:dyDescent="0.2">
      <c r="S126" s="938"/>
      <c r="AA126" s="256" t="s">
        <v>340</v>
      </c>
      <c r="AB126" s="945"/>
      <c r="AC126" s="945"/>
      <c r="AD126" s="945">
        <v>44532</v>
      </c>
      <c r="AE126" s="945">
        <v>44576</v>
      </c>
      <c r="AF126" s="945">
        <v>44501</v>
      </c>
      <c r="AG126" s="945">
        <v>44576</v>
      </c>
      <c r="AZ126" s="938"/>
      <c r="BA126" s="938"/>
      <c r="BB126" s="938"/>
      <c r="BC126" s="938"/>
      <c r="BD126" s="938"/>
      <c r="BE126" s="938"/>
      <c r="BF126" s="938"/>
      <c r="BG126" s="938"/>
      <c r="BH126" s="938"/>
      <c r="BI126" s="938"/>
      <c r="BJ126" s="938"/>
      <c r="BK126" s="938"/>
      <c r="BL126" s="938"/>
      <c r="BM126" s="938"/>
      <c r="BO126" s="938"/>
      <c r="BP126" s="938"/>
      <c r="BQ126" s="938"/>
      <c r="BR126" s="938"/>
      <c r="BS126" s="938"/>
      <c r="BT126" s="938"/>
      <c r="BU126" s="938"/>
      <c r="BV126" s="938"/>
      <c r="BW126" s="938"/>
      <c r="BX126" s="938"/>
      <c r="BY126" s="938"/>
      <c r="BZ126" s="938"/>
      <c r="CA126" s="938"/>
      <c r="CB126" s="938"/>
      <c r="CD126" s="938"/>
      <c r="CE126" s="938"/>
      <c r="CF126" s="938"/>
      <c r="CG126" s="938"/>
      <c r="CH126" s="938"/>
      <c r="CI126" s="938"/>
      <c r="CJ126" s="938"/>
      <c r="CK126" s="938"/>
      <c r="CL126" s="938"/>
      <c r="CM126" s="938"/>
      <c r="CN126" s="938"/>
      <c r="CO126" s="938"/>
      <c r="CP126" s="938"/>
      <c r="CQ126" s="938"/>
      <c r="CS126" s="938"/>
      <c r="CT126" s="938"/>
      <c r="CU126" s="938"/>
      <c r="CV126" s="938"/>
      <c r="CW126" s="938"/>
      <c r="CX126" s="938"/>
      <c r="CY126" s="938"/>
      <c r="CZ126" s="938"/>
      <c r="DA126" s="938"/>
      <c r="DB126" s="938"/>
      <c r="DC126" s="938"/>
      <c r="DD126" s="938"/>
      <c r="DE126" s="938"/>
      <c r="DF126" s="938"/>
      <c r="DH126" s="938"/>
      <c r="DI126" s="938"/>
      <c r="DJ126" s="938"/>
      <c r="DK126" s="938"/>
      <c r="DL126" s="938"/>
      <c r="DM126" s="938"/>
      <c r="DN126" s="938"/>
      <c r="DO126" s="938"/>
      <c r="DP126" s="938"/>
      <c r="DQ126" s="938"/>
      <c r="DR126" s="938"/>
      <c r="DS126" s="938"/>
      <c r="DT126" s="938"/>
      <c r="DU126" s="938"/>
      <c r="DW126" s="938"/>
      <c r="DX126" s="938"/>
      <c r="DY126" s="938"/>
      <c r="DZ126" s="938"/>
      <c r="EA126" s="938"/>
      <c r="EB126" s="938"/>
      <c r="EC126" s="938"/>
      <c r="ED126" s="938"/>
      <c r="EE126" s="938"/>
      <c r="EF126" s="938"/>
      <c r="EG126" s="938"/>
      <c r="EH126" s="938"/>
      <c r="EI126" s="938"/>
      <c r="EJ126" s="938"/>
      <c r="EL126" s="938"/>
      <c r="EM126" s="938"/>
      <c r="EN126" s="938"/>
      <c r="EO126" s="938"/>
      <c r="EP126" s="938"/>
      <c r="EQ126" s="938"/>
      <c r="ER126" s="938"/>
      <c r="ES126" s="938"/>
      <c r="ET126" s="938"/>
      <c r="EU126" s="938"/>
      <c r="EV126" s="938"/>
      <c r="EW126" s="938"/>
      <c r="EX126" s="938"/>
      <c r="EY126" s="938"/>
      <c r="FA126" s="938"/>
      <c r="FB126" s="938"/>
      <c r="FC126" s="938"/>
      <c r="FD126" s="938"/>
      <c r="FE126" s="938"/>
      <c r="FF126" s="938"/>
      <c r="FG126" s="938"/>
      <c r="FH126" s="938"/>
      <c r="FI126" s="938"/>
      <c r="FJ126" s="938"/>
      <c r="FK126" s="938"/>
      <c r="FL126" s="938"/>
      <c r="FM126" s="938"/>
      <c r="FN126" s="938"/>
      <c r="FP126" s="938"/>
      <c r="FQ126" s="938"/>
      <c r="FR126" s="938"/>
      <c r="FS126" s="938"/>
      <c r="FT126" s="938"/>
      <c r="FU126" s="938"/>
      <c r="FV126" s="938"/>
      <c r="FW126" s="938"/>
      <c r="FX126" s="938"/>
      <c r="FY126" s="938"/>
      <c r="FZ126" s="938"/>
      <c r="GA126" s="938"/>
      <c r="GB126" s="938"/>
      <c r="GC126" s="938"/>
      <c r="GE126" s="938"/>
      <c r="GF126" s="938"/>
      <c r="GG126" s="938"/>
      <c r="GH126" s="938"/>
      <c r="GI126" s="938"/>
      <c r="GJ126" s="938"/>
      <c r="GK126" s="938"/>
      <c r="GL126" s="938"/>
      <c r="GM126" s="938"/>
      <c r="GN126" s="938"/>
      <c r="GO126" s="938"/>
      <c r="GP126" s="938"/>
      <c r="GQ126" s="938"/>
      <c r="GR126" s="938"/>
      <c r="GT126" s="938"/>
      <c r="GU126" s="938"/>
      <c r="GV126" s="938"/>
      <c r="GW126" s="938"/>
      <c r="GX126" s="938"/>
      <c r="GY126" s="938"/>
      <c r="GZ126" s="938"/>
      <c r="HA126" s="938"/>
      <c r="HB126" s="938"/>
      <c r="HC126" s="938"/>
      <c r="HD126" s="938"/>
      <c r="HE126" s="938"/>
      <c r="HF126" s="938"/>
      <c r="HG126" s="938"/>
      <c r="HI126" s="938"/>
      <c r="HJ126" s="938"/>
      <c r="HK126" s="938"/>
      <c r="HL126" s="938"/>
      <c r="HM126" s="938"/>
      <c r="HN126" s="938"/>
      <c r="HO126" s="938"/>
      <c r="HP126" s="938"/>
      <c r="HQ126" s="938"/>
      <c r="HR126" s="938"/>
      <c r="HS126" s="938"/>
      <c r="HT126" s="938"/>
      <c r="HU126" s="938"/>
      <c r="HV126" s="938"/>
      <c r="HX126" s="938"/>
      <c r="HY126" s="938"/>
      <c r="HZ126" s="938"/>
      <c r="IA126" s="938"/>
      <c r="IB126" s="938"/>
      <c r="IC126" s="938"/>
      <c r="ID126" s="938"/>
      <c r="IE126" s="938"/>
      <c r="IF126" s="938"/>
      <c r="IG126" s="938"/>
      <c r="IH126" s="938"/>
      <c r="II126" s="938"/>
      <c r="IJ126" s="938"/>
      <c r="IK126" s="938"/>
      <c r="IM126" s="938"/>
      <c r="IN126" s="938"/>
      <c r="IO126" s="938"/>
      <c r="IP126" s="938"/>
      <c r="IQ126" s="938"/>
      <c r="IR126" s="938"/>
      <c r="IS126" s="938"/>
      <c r="IT126" s="938"/>
      <c r="IU126" s="938"/>
      <c r="IV126" s="938"/>
      <c r="IW126" s="938"/>
      <c r="IX126" s="938"/>
      <c r="IY126" s="938"/>
      <c r="IZ126" s="938"/>
      <c r="JB126" s="938"/>
      <c r="JC126" s="938"/>
      <c r="JD126" s="938"/>
      <c r="JE126" s="938"/>
      <c r="JF126" s="938"/>
      <c r="JG126" s="938"/>
      <c r="JH126" s="938"/>
      <c r="JI126" s="938"/>
      <c r="JJ126" s="938"/>
      <c r="JK126" s="938"/>
      <c r="JL126" s="938"/>
      <c r="JM126" s="938"/>
      <c r="JN126" s="938"/>
      <c r="JO126" s="938"/>
      <c r="JQ126" s="938"/>
      <c r="JR126" s="938"/>
      <c r="JS126" s="938"/>
      <c r="JT126" s="938"/>
      <c r="JU126" s="938"/>
      <c r="JV126" s="938"/>
      <c r="JW126" s="938"/>
      <c r="JX126" s="938"/>
      <c r="JY126" s="938"/>
      <c r="JZ126" s="938"/>
      <c r="KA126" s="938"/>
      <c r="KB126" s="938"/>
      <c r="KC126" s="938"/>
      <c r="KD126" s="938"/>
      <c r="KF126" s="938"/>
      <c r="KG126" s="938"/>
      <c r="KH126" s="938"/>
      <c r="KI126" s="938"/>
      <c r="KJ126" s="938"/>
      <c r="KK126" s="938"/>
      <c r="KL126" s="938"/>
      <c r="KM126" s="938"/>
      <c r="KN126" s="938"/>
      <c r="KO126" s="938"/>
      <c r="KP126" s="938"/>
      <c r="KQ126" s="938"/>
      <c r="KR126" s="938"/>
      <c r="KS126" s="938"/>
      <c r="KU126" s="938"/>
      <c r="KV126" s="938"/>
      <c r="KW126" s="938"/>
      <c r="KX126" s="938"/>
      <c r="KY126" s="938"/>
      <c r="KZ126" s="938"/>
      <c r="LA126" s="938"/>
      <c r="LB126" s="938"/>
      <c r="LC126" s="938"/>
      <c r="LD126" s="938"/>
      <c r="LE126" s="938"/>
      <c r="LF126" s="938"/>
      <c r="LG126" s="938"/>
      <c r="LH126" s="938"/>
      <c r="LJ126" s="938"/>
      <c r="LK126" s="938"/>
      <c r="LL126" s="938"/>
      <c r="LM126" s="938"/>
      <c r="LN126" s="938"/>
      <c r="LO126" s="938"/>
      <c r="LP126" s="938"/>
      <c r="LQ126" s="938"/>
      <c r="LR126" s="938"/>
      <c r="LS126" s="938"/>
      <c r="LT126" s="938"/>
      <c r="LU126" s="938"/>
      <c r="LV126" s="938"/>
      <c r="LW126" s="938"/>
      <c r="LY126" s="938"/>
      <c r="LZ126" s="938"/>
      <c r="MA126" s="938"/>
      <c r="MB126" s="938"/>
      <c r="MC126" s="938"/>
      <c r="MD126" s="938"/>
      <c r="ME126" s="938"/>
      <c r="MF126" s="938"/>
      <c r="MG126" s="938"/>
      <c r="MH126" s="938"/>
      <c r="MI126" s="938"/>
      <c r="MJ126" s="938"/>
      <c r="MK126" s="938"/>
      <c r="ML126" s="938"/>
      <c r="MN126" s="938"/>
      <c r="MO126" s="938"/>
      <c r="MP126" s="938"/>
      <c r="MQ126" s="938"/>
      <c r="MR126" s="938"/>
      <c r="MS126" s="938"/>
      <c r="MT126" s="938"/>
      <c r="MU126" s="938"/>
      <c r="MV126" s="938"/>
      <c r="MW126" s="938"/>
      <c r="MX126" s="938"/>
      <c r="MY126" s="938"/>
      <c r="MZ126" s="938"/>
      <c r="NA126" s="938"/>
      <c r="NC126" s="938"/>
      <c r="ND126" s="938"/>
      <c r="NE126" s="938"/>
      <c r="NF126" s="938"/>
      <c r="NG126" s="938"/>
      <c r="NH126" s="938"/>
      <c r="NI126" s="938"/>
      <c r="NJ126" s="938"/>
      <c r="NK126" s="938"/>
      <c r="NL126" s="938"/>
      <c r="NM126" s="938"/>
      <c r="NN126" s="938"/>
      <c r="NO126" s="938"/>
      <c r="NP126" s="938"/>
      <c r="NR126" s="938"/>
      <c r="NS126" s="938"/>
      <c r="NT126" s="938"/>
      <c r="NU126" s="938"/>
      <c r="NV126" s="938"/>
      <c r="NW126" s="938"/>
      <c r="NX126" s="938"/>
      <c r="NY126" s="938"/>
      <c r="NZ126" s="938"/>
      <c r="OA126" s="938"/>
      <c r="OB126" s="938"/>
      <c r="OC126" s="938"/>
      <c r="OD126" s="938"/>
      <c r="OE126" s="938"/>
      <c r="OG126" s="938"/>
      <c r="OH126" s="938"/>
      <c r="OI126" s="938"/>
      <c r="OJ126" s="938"/>
      <c r="OK126" s="938"/>
      <c r="OL126" s="938"/>
      <c r="OM126" s="938"/>
      <c r="ON126" s="938"/>
      <c r="OO126" s="938"/>
      <c r="OP126" s="938"/>
      <c r="OQ126" s="938"/>
      <c r="OR126" s="938"/>
      <c r="OS126" s="938"/>
      <c r="OT126" s="938"/>
      <c r="OV126" s="938"/>
      <c r="OW126" s="938"/>
      <c r="OX126" s="938"/>
      <c r="OY126" s="938"/>
      <c r="OZ126" s="938"/>
      <c r="PA126" s="938"/>
      <c r="PB126" s="938"/>
      <c r="PC126" s="938"/>
      <c r="PD126" s="938"/>
      <c r="PE126" s="938"/>
      <c r="PF126" s="938"/>
      <c r="PG126" s="938"/>
      <c r="PH126" s="938"/>
      <c r="PI126" s="938"/>
      <c r="PK126" s="938"/>
      <c r="PL126" s="938"/>
      <c r="PM126" s="938"/>
      <c r="PN126" s="938"/>
      <c r="PO126" s="938"/>
      <c r="PP126" s="938"/>
      <c r="PQ126" s="938"/>
      <c r="PR126" s="938"/>
      <c r="PS126" s="938"/>
      <c r="PT126" s="938"/>
      <c r="PU126" s="938"/>
      <c r="PV126" s="938"/>
      <c r="PW126" s="938"/>
      <c r="PX126" s="938"/>
      <c r="PZ126" s="938"/>
      <c r="QA126" s="938"/>
      <c r="QB126" s="938"/>
      <c r="QC126" s="938"/>
      <c r="QD126" s="938"/>
      <c r="QE126" s="938"/>
      <c r="QF126" s="938"/>
      <c r="QG126" s="938"/>
      <c r="QH126" s="938"/>
      <c r="QI126" s="938"/>
      <c r="QJ126" s="938"/>
      <c r="QK126" s="938"/>
      <c r="QL126" s="938"/>
      <c r="QM126" s="938"/>
      <c r="QO126" s="938"/>
      <c r="QP126" s="938"/>
      <c r="QQ126" s="938"/>
      <c r="QR126" s="938"/>
      <c r="QS126" s="938"/>
      <c r="QT126" s="938"/>
      <c r="QU126" s="938"/>
      <c r="QV126" s="938"/>
      <c r="QW126" s="938"/>
      <c r="QX126" s="938"/>
      <c r="QY126" s="938"/>
      <c r="QZ126" s="938"/>
      <c r="RA126" s="938"/>
      <c r="RB126" s="938"/>
      <c r="RD126" s="938"/>
      <c r="RE126" s="938"/>
      <c r="RF126" s="938"/>
      <c r="RG126" s="938"/>
      <c r="RH126" s="938"/>
      <c r="RI126" s="938"/>
      <c r="RJ126" s="938"/>
      <c r="RK126" s="938"/>
      <c r="RL126" s="938"/>
      <c r="RM126" s="938"/>
      <c r="RN126" s="938"/>
      <c r="RO126" s="938"/>
      <c r="RP126" s="938"/>
      <c r="RQ126" s="938"/>
    </row>
    <row r="127" spans="1:495" s="930" customFormat="1" x14ac:dyDescent="0.2">
      <c r="S127" s="938"/>
      <c r="AA127" s="256" t="s">
        <v>1637</v>
      </c>
      <c r="AB127" s="945"/>
      <c r="AC127" s="945"/>
      <c r="AD127" s="34">
        <v>44501</v>
      </c>
      <c r="AE127" s="945">
        <v>44592</v>
      </c>
      <c r="AF127" s="945">
        <v>44501</v>
      </c>
      <c r="AG127" s="945">
        <v>44592</v>
      </c>
      <c r="AH127" s="930" t="s">
        <v>1649</v>
      </c>
      <c r="AI127" s="930">
        <f>SUM(AL127:XFD127)</f>
        <v>0</v>
      </c>
      <c r="AL127" s="930">
        <f>COUNT(AL123:AL125)</f>
        <v>0</v>
      </c>
      <c r="AZ127" s="938"/>
      <c r="BA127" s="938">
        <f>COUNT(BA123:BA125)</f>
        <v>0</v>
      </c>
      <c r="BB127" s="938"/>
      <c r="BC127" s="938"/>
      <c r="BD127" s="938"/>
      <c r="BE127" s="938"/>
      <c r="BF127" s="938"/>
      <c r="BG127" s="938"/>
      <c r="BH127" s="938"/>
      <c r="BI127" s="938"/>
      <c r="BJ127" s="938"/>
      <c r="BK127" s="938"/>
      <c r="BL127" s="938"/>
      <c r="BM127" s="938"/>
      <c r="BO127" s="938"/>
      <c r="BP127" s="938">
        <f>COUNT(BP123:BP125)</f>
        <v>0</v>
      </c>
      <c r="BQ127" s="938"/>
      <c r="BR127" s="938"/>
      <c r="BS127" s="938"/>
      <c r="BT127" s="938"/>
      <c r="BU127" s="938"/>
      <c r="BV127" s="938"/>
      <c r="BW127" s="938"/>
      <c r="BX127" s="938"/>
      <c r="BY127" s="938"/>
      <c r="BZ127" s="938"/>
      <c r="CA127" s="938"/>
      <c r="CB127" s="938"/>
      <c r="CD127" s="938"/>
      <c r="CE127" s="938">
        <f>COUNT(CE123:CE125)</f>
        <v>0</v>
      </c>
      <c r="CF127" s="938"/>
      <c r="CG127" s="938"/>
      <c r="CH127" s="938"/>
      <c r="CI127" s="938"/>
      <c r="CJ127" s="938"/>
      <c r="CK127" s="938"/>
      <c r="CL127" s="938"/>
      <c r="CM127" s="938"/>
      <c r="CN127" s="938"/>
      <c r="CO127" s="938"/>
      <c r="CP127" s="938"/>
      <c r="CQ127" s="938"/>
      <c r="CS127" s="938"/>
      <c r="CT127" s="938">
        <f>COUNT(CT123:CT125)</f>
        <v>0</v>
      </c>
      <c r="CU127" s="938"/>
      <c r="CV127" s="938"/>
      <c r="CW127" s="938"/>
      <c r="CX127" s="938"/>
      <c r="CY127" s="938"/>
      <c r="CZ127" s="938"/>
      <c r="DA127" s="938"/>
      <c r="DB127" s="938"/>
      <c r="DC127" s="938"/>
      <c r="DD127" s="938"/>
      <c r="DE127" s="938"/>
      <c r="DF127" s="938"/>
      <c r="DH127" s="938"/>
      <c r="DI127" s="938">
        <f>COUNT(DI123:DI125)</f>
        <v>0</v>
      </c>
      <c r="DJ127" s="938"/>
      <c r="DK127" s="938"/>
      <c r="DL127" s="938"/>
      <c r="DM127" s="938"/>
      <c r="DN127" s="938"/>
      <c r="DO127" s="938"/>
      <c r="DP127" s="938"/>
      <c r="DQ127" s="938"/>
      <c r="DR127" s="938"/>
      <c r="DS127" s="938"/>
      <c r="DT127" s="938"/>
      <c r="DU127" s="938"/>
      <c r="DW127" s="938"/>
      <c r="DX127" s="938">
        <f>COUNT(DX123:DX125)</f>
        <v>0</v>
      </c>
      <c r="DY127" s="938"/>
      <c r="DZ127" s="938"/>
      <c r="EA127" s="938"/>
      <c r="EB127" s="938"/>
      <c r="EC127" s="938"/>
      <c r="ED127" s="938"/>
      <c r="EE127" s="938"/>
      <c r="EF127" s="938"/>
      <c r="EG127" s="938"/>
      <c r="EH127" s="938"/>
      <c r="EI127" s="938"/>
      <c r="EJ127" s="938"/>
      <c r="EL127" s="938"/>
      <c r="EM127" s="938">
        <f>COUNT(EM123:EM125)</f>
        <v>0</v>
      </c>
      <c r="EN127" s="938"/>
      <c r="EO127" s="938"/>
      <c r="EP127" s="938"/>
      <c r="EQ127" s="938"/>
      <c r="ER127" s="938"/>
      <c r="ES127" s="938"/>
      <c r="ET127" s="938"/>
      <c r="EU127" s="938"/>
      <c r="EV127" s="938"/>
      <c r="EW127" s="938"/>
      <c r="EX127" s="938"/>
      <c r="EY127" s="938"/>
      <c r="FA127" s="938"/>
      <c r="FB127" s="938">
        <f>COUNT(FB123:FB125)</f>
        <v>0</v>
      </c>
      <c r="FC127" s="938"/>
      <c r="FD127" s="938"/>
      <c r="FE127" s="938"/>
      <c r="FF127" s="938"/>
      <c r="FG127" s="938"/>
      <c r="FH127" s="938"/>
      <c r="FI127" s="938"/>
      <c r="FJ127" s="938"/>
      <c r="FK127" s="938"/>
      <c r="FL127" s="938"/>
      <c r="FM127" s="938"/>
      <c r="FN127" s="938"/>
      <c r="FP127" s="938"/>
      <c r="FQ127" s="938">
        <f>COUNT(FQ123:FQ125)</f>
        <v>0</v>
      </c>
      <c r="FR127" s="938"/>
      <c r="FS127" s="938"/>
      <c r="FT127" s="938"/>
      <c r="FU127" s="938"/>
      <c r="FV127" s="938"/>
      <c r="FW127" s="938"/>
      <c r="FX127" s="938"/>
      <c r="FY127" s="938"/>
      <c r="FZ127" s="938"/>
      <c r="GA127" s="938"/>
      <c r="GB127" s="938"/>
      <c r="GC127" s="938"/>
      <c r="GE127" s="938"/>
      <c r="GF127" s="938">
        <f>COUNT(GF123:GF125)</f>
        <v>0</v>
      </c>
      <c r="GG127" s="938"/>
      <c r="GH127" s="938"/>
      <c r="GI127" s="938"/>
      <c r="GJ127" s="938"/>
      <c r="GK127" s="938"/>
      <c r="GL127" s="938"/>
      <c r="GM127" s="938"/>
      <c r="GN127" s="938"/>
      <c r="GO127" s="938"/>
      <c r="GP127" s="938"/>
      <c r="GQ127" s="938"/>
      <c r="GR127" s="938"/>
      <c r="GT127" s="938"/>
      <c r="GU127" s="938">
        <f>COUNT(GU123:GU125)</f>
        <v>0</v>
      </c>
      <c r="GV127" s="938"/>
      <c r="GW127" s="938"/>
      <c r="GX127" s="938"/>
      <c r="GY127" s="938"/>
      <c r="GZ127" s="938"/>
      <c r="HA127" s="938"/>
      <c r="HB127" s="938"/>
      <c r="HC127" s="938"/>
      <c r="HD127" s="938"/>
      <c r="HE127" s="938"/>
      <c r="HF127" s="938"/>
      <c r="HG127" s="938"/>
      <c r="HI127" s="938"/>
      <c r="HJ127" s="938">
        <f>COUNT(HJ123:HJ125)</f>
        <v>0</v>
      </c>
      <c r="HK127" s="938"/>
      <c r="HL127" s="938"/>
      <c r="HM127" s="938"/>
      <c r="HN127" s="938"/>
      <c r="HO127" s="938"/>
      <c r="HP127" s="938"/>
      <c r="HQ127" s="938"/>
      <c r="HR127" s="938"/>
      <c r="HS127" s="938"/>
      <c r="HT127" s="938"/>
      <c r="HU127" s="938"/>
      <c r="HV127" s="938"/>
      <c r="HX127" s="938"/>
      <c r="HY127" s="938">
        <f>COUNT(HY123:HY125)</f>
        <v>0</v>
      </c>
      <c r="HZ127" s="938"/>
      <c r="IA127" s="938"/>
      <c r="IB127" s="938"/>
      <c r="IC127" s="938"/>
      <c r="ID127" s="938"/>
      <c r="IE127" s="938"/>
      <c r="IF127" s="938"/>
      <c r="IG127" s="938"/>
      <c r="IH127" s="938"/>
      <c r="II127" s="938"/>
      <c r="IJ127" s="938"/>
      <c r="IK127" s="938"/>
      <c r="IM127" s="938"/>
      <c r="IN127" s="938">
        <f>COUNT(IN123:IN125)</f>
        <v>0</v>
      </c>
      <c r="IO127" s="938"/>
      <c r="IP127" s="938"/>
      <c r="IQ127" s="938"/>
      <c r="IR127" s="938"/>
      <c r="IS127" s="938"/>
      <c r="IT127" s="938"/>
      <c r="IU127" s="938"/>
      <c r="IV127" s="938"/>
      <c r="IW127" s="938"/>
      <c r="IX127" s="938"/>
      <c r="IY127" s="938"/>
      <c r="IZ127" s="938"/>
      <c r="JB127" s="938"/>
      <c r="JC127" s="938">
        <f>COUNT(JC123:JC125)</f>
        <v>0</v>
      </c>
      <c r="JD127" s="938"/>
      <c r="JE127" s="938"/>
      <c r="JF127" s="938"/>
      <c r="JG127" s="938"/>
      <c r="JH127" s="938"/>
      <c r="JI127" s="938"/>
      <c r="JJ127" s="938"/>
      <c r="JK127" s="938"/>
      <c r="JL127" s="938"/>
      <c r="JM127" s="938"/>
      <c r="JN127" s="938"/>
      <c r="JO127" s="938"/>
      <c r="JQ127" s="938"/>
      <c r="JR127" s="938">
        <f>COUNT(JR123:JR125)</f>
        <v>0</v>
      </c>
      <c r="JS127" s="938"/>
      <c r="JT127" s="938"/>
      <c r="JU127" s="938"/>
      <c r="JV127" s="938"/>
      <c r="JW127" s="938"/>
      <c r="JX127" s="938"/>
      <c r="JY127" s="938"/>
      <c r="JZ127" s="938"/>
      <c r="KA127" s="938"/>
      <c r="KB127" s="938"/>
      <c r="KC127" s="938"/>
      <c r="KD127" s="938"/>
      <c r="KF127" s="938"/>
      <c r="KG127" s="938">
        <f>COUNT(KG123:KG125)</f>
        <v>0</v>
      </c>
      <c r="KH127" s="938"/>
      <c r="KI127" s="938"/>
      <c r="KJ127" s="938"/>
      <c r="KK127" s="938"/>
      <c r="KL127" s="938"/>
      <c r="KM127" s="938"/>
      <c r="KN127" s="938"/>
      <c r="KO127" s="938"/>
      <c r="KP127" s="938"/>
      <c r="KQ127" s="938"/>
      <c r="KR127" s="938"/>
      <c r="KS127" s="938"/>
      <c r="KU127" s="938"/>
      <c r="KV127" s="938">
        <f>COUNT(KV123:KV125)</f>
        <v>0</v>
      </c>
      <c r="KW127" s="938"/>
      <c r="KX127" s="938"/>
      <c r="KY127" s="938"/>
      <c r="KZ127" s="938"/>
      <c r="LA127" s="938"/>
      <c r="LB127" s="938"/>
      <c r="LC127" s="938"/>
      <c r="LD127" s="938"/>
      <c r="LE127" s="938"/>
      <c r="LF127" s="938"/>
      <c r="LG127" s="938"/>
      <c r="LH127" s="938"/>
      <c r="LJ127" s="938"/>
      <c r="LK127" s="938">
        <f>COUNT(LK123:LK125)</f>
        <v>0</v>
      </c>
      <c r="LL127" s="938"/>
      <c r="LM127" s="938"/>
      <c r="LN127" s="938"/>
      <c r="LO127" s="938"/>
      <c r="LP127" s="938"/>
      <c r="LQ127" s="938"/>
      <c r="LR127" s="938"/>
      <c r="LS127" s="938"/>
      <c r="LT127" s="938"/>
      <c r="LU127" s="938"/>
      <c r="LV127" s="938"/>
      <c r="LW127" s="938"/>
      <c r="LY127" s="938"/>
      <c r="LZ127" s="938">
        <f>COUNT(LZ123:LZ125)</f>
        <v>0</v>
      </c>
      <c r="MA127" s="938"/>
      <c r="MB127" s="938"/>
      <c r="MC127" s="938"/>
      <c r="MD127" s="938"/>
      <c r="ME127" s="938"/>
      <c r="MF127" s="938"/>
      <c r="MG127" s="938"/>
      <c r="MH127" s="938"/>
      <c r="MI127" s="938"/>
      <c r="MJ127" s="938"/>
      <c r="MK127" s="938"/>
      <c r="ML127" s="938"/>
      <c r="MN127" s="938"/>
      <c r="MO127" s="938">
        <f>COUNT(MO123:MO125)</f>
        <v>0</v>
      </c>
      <c r="MP127" s="938"/>
      <c r="MQ127" s="938"/>
      <c r="MR127" s="938"/>
      <c r="MS127" s="938"/>
      <c r="MT127" s="938"/>
      <c r="MU127" s="938"/>
      <c r="MV127" s="938"/>
      <c r="MW127" s="938"/>
      <c r="MX127" s="938"/>
      <c r="MY127" s="938"/>
      <c r="MZ127" s="938"/>
      <c r="NA127" s="938"/>
      <c r="NC127" s="938"/>
      <c r="ND127" s="938">
        <f>COUNT(ND123:ND125)</f>
        <v>0</v>
      </c>
      <c r="NE127" s="938"/>
      <c r="NF127" s="938"/>
      <c r="NG127" s="938"/>
      <c r="NH127" s="938"/>
      <c r="NI127" s="938"/>
      <c r="NJ127" s="938"/>
      <c r="NK127" s="938"/>
      <c r="NL127" s="938"/>
      <c r="NM127" s="938"/>
      <c r="NN127" s="938"/>
      <c r="NO127" s="938"/>
      <c r="NP127" s="938"/>
      <c r="NR127" s="938"/>
      <c r="NS127" s="938">
        <f>COUNT(NS123:NS125)</f>
        <v>0</v>
      </c>
      <c r="NT127" s="938"/>
      <c r="NU127" s="938"/>
      <c r="NV127" s="938"/>
      <c r="NW127" s="938"/>
      <c r="NX127" s="938"/>
      <c r="NY127" s="938"/>
      <c r="NZ127" s="938"/>
      <c r="OA127" s="938"/>
      <c r="OB127" s="938"/>
      <c r="OC127" s="938"/>
      <c r="OD127" s="938"/>
      <c r="OE127" s="938"/>
      <c r="OG127" s="938"/>
      <c r="OH127" s="938">
        <f>COUNT(OH123:OH125)</f>
        <v>0</v>
      </c>
      <c r="OI127" s="938"/>
      <c r="OJ127" s="938"/>
      <c r="OK127" s="938"/>
      <c r="OL127" s="938"/>
      <c r="OM127" s="938"/>
      <c r="ON127" s="938"/>
      <c r="OO127" s="938"/>
      <c r="OP127" s="938"/>
      <c r="OQ127" s="938"/>
      <c r="OR127" s="938"/>
      <c r="OS127" s="938"/>
      <c r="OT127" s="938"/>
      <c r="OV127" s="938"/>
      <c r="OW127" s="938">
        <f>COUNT(OW123:OW125)</f>
        <v>0</v>
      </c>
      <c r="OX127" s="938"/>
      <c r="OY127" s="938"/>
      <c r="OZ127" s="938"/>
      <c r="PA127" s="938"/>
      <c r="PB127" s="938"/>
      <c r="PC127" s="938"/>
      <c r="PD127" s="938"/>
      <c r="PE127" s="938"/>
      <c r="PF127" s="938"/>
      <c r="PG127" s="938"/>
      <c r="PH127" s="938"/>
      <c r="PI127" s="938"/>
      <c r="PK127" s="938"/>
      <c r="PL127" s="938">
        <f>COUNT(PL123:PL125)</f>
        <v>0</v>
      </c>
      <c r="PM127" s="938"/>
      <c r="PN127" s="938"/>
      <c r="PO127" s="938"/>
      <c r="PP127" s="938"/>
      <c r="PQ127" s="938"/>
      <c r="PR127" s="938"/>
      <c r="PS127" s="938"/>
      <c r="PT127" s="938"/>
      <c r="PU127" s="938"/>
      <c r="PV127" s="938"/>
      <c r="PW127" s="938"/>
      <c r="PX127" s="938"/>
      <c r="PZ127" s="938"/>
      <c r="QA127" s="938">
        <f>COUNT(QA123:QA125)</f>
        <v>0</v>
      </c>
      <c r="QB127" s="938"/>
      <c r="QC127" s="938"/>
      <c r="QD127" s="938"/>
      <c r="QE127" s="938"/>
      <c r="QF127" s="938"/>
      <c r="QG127" s="938"/>
      <c r="QH127" s="938"/>
      <c r="QI127" s="938"/>
      <c r="QJ127" s="938"/>
      <c r="QK127" s="938"/>
      <c r="QL127" s="938"/>
      <c r="QM127" s="938"/>
      <c r="QO127" s="938"/>
      <c r="QP127" s="938">
        <f>COUNT(QP123:QP125)</f>
        <v>0</v>
      </c>
      <c r="QQ127" s="938"/>
      <c r="QR127" s="938"/>
      <c r="QS127" s="938"/>
      <c r="QT127" s="938"/>
      <c r="QU127" s="938"/>
      <c r="QV127" s="938"/>
      <c r="QW127" s="938"/>
      <c r="QX127" s="938"/>
      <c r="QY127" s="938"/>
      <c r="QZ127" s="938"/>
      <c r="RA127" s="938"/>
      <c r="RB127" s="938"/>
      <c r="RD127" s="938"/>
      <c r="RE127" s="938">
        <f>COUNT(RE123:RE125)</f>
        <v>0</v>
      </c>
      <c r="RF127" s="938"/>
      <c r="RG127" s="938"/>
      <c r="RH127" s="938"/>
      <c r="RI127" s="938"/>
      <c r="RJ127" s="938"/>
      <c r="RK127" s="938"/>
      <c r="RL127" s="938"/>
      <c r="RM127" s="938"/>
      <c r="RN127" s="938"/>
      <c r="RO127" s="938"/>
      <c r="RP127" s="938"/>
      <c r="RQ127" s="938"/>
    </row>
    <row r="128" spans="1:495" s="930" customFormat="1" x14ac:dyDescent="0.2">
      <c r="S128" s="938"/>
      <c r="AA128" s="256" t="s">
        <v>342</v>
      </c>
      <c r="AB128" s="947"/>
      <c r="AC128" s="947"/>
      <c r="AD128" s="947">
        <v>44532</v>
      </c>
      <c r="AE128" s="947">
        <v>44576</v>
      </c>
      <c r="AH128" s="930" t="s">
        <v>1823</v>
      </c>
      <c r="AI128" s="930">
        <f>SUM(AL128:XFD128)</f>
        <v>0</v>
      </c>
      <c r="AL128" s="930">
        <f>COUNT(AL117:AL120)</f>
        <v>0</v>
      </c>
      <c r="AZ128" s="938"/>
      <c r="BA128" s="938">
        <f>COUNT(BA117:BA120)</f>
        <v>0</v>
      </c>
      <c r="BB128" s="938"/>
      <c r="BC128" s="938"/>
      <c r="BD128" s="938"/>
      <c r="BE128" s="938"/>
      <c r="BF128" s="938"/>
      <c r="BG128" s="938"/>
      <c r="BH128" s="938"/>
      <c r="BI128" s="938"/>
      <c r="BJ128" s="938"/>
      <c r="BK128" s="938"/>
      <c r="BL128" s="938"/>
      <c r="BM128" s="938"/>
      <c r="BO128" s="938"/>
      <c r="BP128" s="938">
        <f>COUNT(BP117:BP120)</f>
        <v>0</v>
      </c>
      <c r="BQ128" s="938"/>
      <c r="BR128" s="938"/>
      <c r="BS128" s="938"/>
      <c r="BT128" s="938"/>
      <c r="BU128" s="938"/>
      <c r="BV128" s="938"/>
      <c r="BW128" s="938"/>
      <c r="BX128" s="938"/>
      <c r="BY128" s="938"/>
      <c r="BZ128" s="938"/>
      <c r="CA128" s="938"/>
      <c r="CB128" s="938"/>
      <c r="CD128" s="938"/>
      <c r="CE128" s="938">
        <f>COUNT(CE117:CE120)</f>
        <v>0</v>
      </c>
      <c r="CF128" s="938"/>
      <c r="CG128" s="938"/>
      <c r="CH128" s="938"/>
      <c r="CI128" s="938"/>
      <c r="CJ128" s="938"/>
      <c r="CK128" s="938"/>
      <c r="CL128" s="938"/>
      <c r="CM128" s="938"/>
      <c r="CN128" s="938"/>
      <c r="CO128" s="938"/>
      <c r="CP128" s="938"/>
      <c r="CQ128" s="938"/>
      <c r="CS128" s="938"/>
      <c r="CT128" s="938">
        <f>COUNT(CT117:CT120)</f>
        <v>0</v>
      </c>
      <c r="CU128" s="938"/>
      <c r="CV128" s="938"/>
      <c r="CW128" s="938"/>
      <c r="CX128" s="938"/>
      <c r="CY128" s="938"/>
      <c r="CZ128" s="938"/>
      <c r="DA128" s="938"/>
      <c r="DB128" s="938"/>
      <c r="DC128" s="938"/>
      <c r="DD128" s="938"/>
      <c r="DE128" s="938"/>
      <c r="DF128" s="938"/>
      <c r="DH128" s="938"/>
      <c r="DI128" s="938">
        <f>COUNT(DI117:DI120)</f>
        <v>0</v>
      </c>
      <c r="DJ128" s="938"/>
      <c r="DK128" s="938"/>
      <c r="DL128" s="938"/>
      <c r="DM128" s="938"/>
      <c r="DN128" s="938"/>
      <c r="DO128" s="938"/>
      <c r="DP128" s="938"/>
      <c r="DQ128" s="938"/>
      <c r="DR128" s="938"/>
      <c r="DS128" s="938"/>
      <c r="DT128" s="938"/>
      <c r="DU128" s="938"/>
      <c r="DW128" s="938"/>
      <c r="DX128" s="938">
        <f>COUNT(DX117:DX120)</f>
        <v>0</v>
      </c>
      <c r="DY128" s="938"/>
      <c r="DZ128" s="938"/>
      <c r="EA128" s="938"/>
      <c r="EB128" s="938"/>
      <c r="EC128" s="938"/>
      <c r="ED128" s="938"/>
      <c r="EE128" s="938"/>
      <c r="EF128" s="938"/>
      <c r="EG128" s="938"/>
      <c r="EH128" s="938"/>
      <c r="EI128" s="938"/>
      <c r="EJ128" s="938"/>
      <c r="EL128" s="938"/>
      <c r="EM128" s="938">
        <f>COUNT(EM117:EM120)</f>
        <v>0</v>
      </c>
      <c r="EN128" s="938"/>
      <c r="EO128" s="938"/>
      <c r="EP128" s="938"/>
      <c r="EQ128" s="938"/>
      <c r="ER128" s="938"/>
      <c r="ES128" s="938"/>
      <c r="ET128" s="938"/>
      <c r="EU128" s="938"/>
      <c r="EV128" s="938"/>
      <c r="EW128" s="938"/>
      <c r="EX128" s="938"/>
      <c r="EY128" s="938"/>
      <c r="FA128" s="938"/>
      <c r="FB128" s="938">
        <f>COUNT(FB117:FB120)</f>
        <v>0</v>
      </c>
      <c r="FC128" s="938"/>
      <c r="FD128" s="938"/>
      <c r="FE128" s="938"/>
      <c r="FF128" s="938"/>
      <c r="FG128" s="938"/>
      <c r="FH128" s="938"/>
      <c r="FI128" s="938"/>
      <c r="FJ128" s="938"/>
      <c r="FK128" s="938"/>
      <c r="FL128" s="938"/>
      <c r="FM128" s="938"/>
      <c r="FN128" s="938"/>
      <c r="FP128" s="938"/>
      <c r="FQ128" s="938">
        <f>COUNT(FQ117:FQ120)</f>
        <v>0</v>
      </c>
      <c r="FR128" s="938"/>
      <c r="FS128" s="938"/>
      <c r="FT128" s="938"/>
      <c r="FU128" s="938"/>
      <c r="FV128" s="938"/>
      <c r="FW128" s="938"/>
      <c r="FX128" s="938"/>
      <c r="FY128" s="938"/>
      <c r="FZ128" s="938"/>
      <c r="GA128" s="938"/>
      <c r="GB128" s="938"/>
      <c r="GC128" s="938"/>
      <c r="GE128" s="938"/>
      <c r="GF128" s="938">
        <f>COUNT(GF117:GF120)</f>
        <v>0</v>
      </c>
      <c r="GG128" s="938"/>
      <c r="GH128" s="938"/>
      <c r="GI128" s="938"/>
      <c r="GJ128" s="938"/>
      <c r="GK128" s="938"/>
      <c r="GL128" s="938"/>
      <c r="GM128" s="938"/>
      <c r="GN128" s="938"/>
      <c r="GO128" s="938"/>
      <c r="GP128" s="938"/>
      <c r="GQ128" s="938"/>
      <c r="GR128" s="938"/>
      <c r="GT128" s="938"/>
      <c r="GU128" s="938">
        <f>COUNT(GU117:GU120)</f>
        <v>0</v>
      </c>
      <c r="GV128" s="938"/>
      <c r="GW128" s="938"/>
      <c r="GX128" s="938"/>
      <c r="GY128" s="938"/>
      <c r="GZ128" s="938"/>
      <c r="HA128" s="938"/>
      <c r="HB128" s="938"/>
      <c r="HC128" s="938"/>
      <c r="HD128" s="938"/>
      <c r="HE128" s="938"/>
      <c r="HF128" s="938"/>
      <c r="HG128" s="938"/>
      <c r="HI128" s="938"/>
      <c r="HJ128" s="938">
        <f>COUNT(HJ117:HJ120)</f>
        <v>0</v>
      </c>
      <c r="HK128" s="938"/>
      <c r="HL128" s="938"/>
      <c r="HM128" s="938"/>
      <c r="HN128" s="938"/>
      <c r="HO128" s="938"/>
      <c r="HP128" s="938"/>
      <c r="HQ128" s="938"/>
      <c r="HR128" s="938"/>
      <c r="HS128" s="938"/>
      <c r="HT128" s="938"/>
      <c r="HU128" s="938"/>
      <c r="HV128" s="938"/>
      <c r="HX128" s="938"/>
      <c r="HY128" s="938">
        <f>COUNT(HY117:HY120)</f>
        <v>0</v>
      </c>
      <c r="HZ128" s="938"/>
      <c r="IA128" s="938"/>
      <c r="IB128" s="938"/>
      <c r="IC128" s="938"/>
      <c r="ID128" s="938"/>
      <c r="IE128" s="938"/>
      <c r="IF128" s="938"/>
      <c r="IG128" s="938"/>
      <c r="IH128" s="938"/>
      <c r="II128" s="938"/>
      <c r="IJ128" s="938"/>
      <c r="IK128" s="938"/>
      <c r="IM128" s="938"/>
      <c r="IN128" s="938">
        <f>COUNT(IN117:IN120)</f>
        <v>0</v>
      </c>
      <c r="IO128" s="938"/>
      <c r="IP128" s="938"/>
      <c r="IQ128" s="938"/>
      <c r="IR128" s="938"/>
      <c r="IS128" s="938"/>
      <c r="IT128" s="938"/>
      <c r="IU128" s="938"/>
      <c r="IV128" s="938"/>
      <c r="IW128" s="938"/>
      <c r="IX128" s="938"/>
      <c r="IY128" s="938"/>
      <c r="IZ128" s="938"/>
      <c r="JB128" s="938"/>
      <c r="JC128" s="938">
        <f>COUNT(JC117:JC120)</f>
        <v>0</v>
      </c>
      <c r="JD128" s="938"/>
      <c r="JE128" s="938"/>
      <c r="JF128" s="938"/>
      <c r="JG128" s="938"/>
      <c r="JH128" s="938"/>
      <c r="JI128" s="938"/>
      <c r="JJ128" s="938"/>
      <c r="JK128" s="938"/>
      <c r="JL128" s="938"/>
      <c r="JM128" s="938"/>
      <c r="JN128" s="938"/>
      <c r="JO128" s="938"/>
      <c r="JQ128" s="938"/>
      <c r="JR128" s="938">
        <f>COUNT(JR117:JR120)</f>
        <v>0</v>
      </c>
      <c r="JS128" s="938"/>
      <c r="JT128" s="938"/>
      <c r="JU128" s="938"/>
      <c r="JV128" s="938"/>
      <c r="JW128" s="938"/>
      <c r="JX128" s="938"/>
      <c r="JY128" s="938"/>
      <c r="JZ128" s="938"/>
      <c r="KA128" s="938"/>
      <c r="KB128" s="938"/>
      <c r="KC128" s="938"/>
      <c r="KD128" s="938"/>
      <c r="KF128" s="938"/>
      <c r="KG128" s="938">
        <f>COUNT(KG117:KG120)</f>
        <v>0</v>
      </c>
      <c r="KH128" s="938"/>
      <c r="KI128" s="938"/>
      <c r="KJ128" s="938"/>
      <c r="KK128" s="938"/>
      <c r="KL128" s="938"/>
      <c r="KM128" s="938"/>
      <c r="KN128" s="938"/>
      <c r="KO128" s="938"/>
      <c r="KP128" s="938"/>
      <c r="KQ128" s="938"/>
      <c r="KR128" s="938"/>
      <c r="KS128" s="938"/>
      <c r="KU128" s="938"/>
      <c r="KV128" s="938">
        <f>COUNT(KV117:KV120)</f>
        <v>0</v>
      </c>
      <c r="KW128" s="938"/>
      <c r="KX128" s="938"/>
      <c r="KY128" s="938"/>
      <c r="KZ128" s="938"/>
      <c r="LA128" s="938"/>
      <c r="LB128" s="938"/>
      <c r="LC128" s="938"/>
      <c r="LD128" s="938"/>
      <c r="LE128" s="938"/>
      <c r="LF128" s="938"/>
      <c r="LG128" s="938"/>
      <c r="LH128" s="938"/>
      <c r="LJ128" s="938"/>
      <c r="LK128" s="938">
        <f>COUNT(LK117:LK120)</f>
        <v>0</v>
      </c>
      <c r="LL128" s="938"/>
      <c r="LM128" s="938"/>
      <c r="LN128" s="938"/>
      <c r="LO128" s="938"/>
      <c r="LP128" s="938"/>
      <c r="LQ128" s="938"/>
      <c r="LR128" s="938"/>
      <c r="LS128" s="938"/>
      <c r="LT128" s="938"/>
      <c r="LU128" s="938"/>
      <c r="LV128" s="938"/>
      <c r="LW128" s="938"/>
      <c r="LY128" s="938"/>
      <c r="LZ128" s="938">
        <f>COUNT(LZ117:LZ120)</f>
        <v>0</v>
      </c>
      <c r="MA128" s="938"/>
      <c r="MB128" s="938"/>
      <c r="MC128" s="938"/>
      <c r="MD128" s="938"/>
      <c r="ME128" s="938"/>
      <c r="MF128" s="938"/>
      <c r="MG128" s="938"/>
      <c r="MH128" s="938"/>
      <c r="MI128" s="938"/>
      <c r="MJ128" s="938"/>
      <c r="MK128" s="938"/>
      <c r="ML128" s="938"/>
      <c r="MN128" s="938"/>
      <c r="MO128" s="938">
        <f>COUNT(MO117:MO120)</f>
        <v>0</v>
      </c>
      <c r="MP128" s="938"/>
      <c r="MQ128" s="938"/>
      <c r="MR128" s="938"/>
      <c r="MS128" s="938"/>
      <c r="MT128" s="938"/>
      <c r="MU128" s="938"/>
      <c r="MV128" s="938"/>
      <c r="MW128" s="938"/>
      <c r="MX128" s="938"/>
      <c r="MY128" s="938"/>
      <c r="MZ128" s="938"/>
      <c r="NA128" s="938"/>
      <c r="NC128" s="938"/>
      <c r="ND128" s="938">
        <f>COUNT(ND117:ND120)</f>
        <v>0</v>
      </c>
      <c r="NE128" s="938"/>
      <c r="NF128" s="938"/>
      <c r="NG128" s="938"/>
      <c r="NH128" s="938"/>
      <c r="NI128" s="938"/>
      <c r="NJ128" s="938"/>
      <c r="NK128" s="938"/>
      <c r="NL128" s="938"/>
      <c r="NM128" s="938"/>
      <c r="NN128" s="938"/>
      <c r="NO128" s="938"/>
      <c r="NP128" s="938"/>
      <c r="NR128" s="938"/>
      <c r="NS128" s="938">
        <f>COUNT(NS117:NS120)</f>
        <v>0</v>
      </c>
      <c r="NT128" s="938"/>
      <c r="NU128" s="938"/>
      <c r="NV128" s="938"/>
      <c r="NW128" s="938"/>
      <c r="NX128" s="938"/>
      <c r="NY128" s="938"/>
      <c r="NZ128" s="938"/>
      <c r="OA128" s="938"/>
      <c r="OB128" s="938"/>
      <c r="OC128" s="938"/>
      <c r="OD128" s="938"/>
      <c r="OE128" s="938"/>
      <c r="OG128" s="938"/>
      <c r="OH128" s="938">
        <f>COUNT(OH117:OH120)</f>
        <v>0</v>
      </c>
      <c r="OI128" s="938"/>
      <c r="OJ128" s="938"/>
      <c r="OK128" s="938"/>
      <c r="OL128" s="938"/>
      <c r="OM128" s="938"/>
      <c r="ON128" s="938"/>
      <c r="OO128" s="938"/>
      <c r="OP128" s="938"/>
      <c r="OQ128" s="938"/>
      <c r="OR128" s="938"/>
      <c r="OS128" s="938"/>
      <c r="OT128" s="938"/>
      <c r="OV128" s="938"/>
      <c r="OW128" s="938">
        <f>COUNT(OW117:OW120)</f>
        <v>0</v>
      </c>
      <c r="OX128" s="938"/>
      <c r="OY128" s="938"/>
      <c r="OZ128" s="938"/>
      <c r="PA128" s="938"/>
      <c r="PB128" s="938"/>
      <c r="PC128" s="938"/>
      <c r="PD128" s="938"/>
      <c r="PE128" s="938"/>
      <c r="PF128" s="938"/>
      <c r="PG128" s="938"/>
      <c r="PH128" s="938"/>
      <c r="PI128" s="938"/>
      <c r="PK128" s="938"/>
      <c r="PL128" s="938">
        <f>COUNT(PL117:PL120)</f>
        <v>0</v>
      </c>
      <c r="PM128" s="938"/>
      <c r="PN128" s="938"/>
      <c r="PO128" s="938"/>
      <c r="PP128" s="938"/>
      <c r="PQ128" s="938"/>
      <c r="PR128" s="938"/>
      <c r="PS128" s="938"/>
      <c r="PT128" s="938"/>
      <c r="PU128" s="938"/>
      <c r="PV128" s="938"/>
      <c r="PW128" s="938"/>
      <c r="PX128" s="938"/>
      <c r="PZ128" s="938"/>
      <c r="QA128" s="938">
        <f>COUNT(QA117:QA120)</f>
        <v>0</v>
      </c>
      <c r="QB128" s="938"/>
      <c r="QC128" s="938"/>
      <c r="QD128" s="938"/>
      <c r="QE128" s="938"/>
      <c r="QF128" s="938"/>
      <c r="QG128" s="938"/>
      <c r="QH128" s="938"/>
      <c r="QI128" s="938"/>
      <c r="QJ128" s="938"/>
      <c r="QK128" s="938"/>
      <c r="QL128" s="938"/>
      <c r="QM128" s="938"/>
      <c r="QO128" s="938"/>
      <c r="QP128" s="938">
        <f>COUNT(QP117:QP120)</f>
        <v>0</v>
      </c>
      <c r="QQ128" s="938"/>
      <c r="QR128" s="938"/>
      <c r="QS128" s="938"/>
      <c r="QT128" s="938"/>
      <c r="QU128" s="938"/>
      <c r="QV128" s="938"/>
      <c r="QW128" s="938"/>
      <c r="QX128" s="938"/>
      <c r="QY128" s="938"/>
      <c r="QZ128" s="938"/>
      <c r="RA128" s="938"/>
      <c r="RB128" s="938"/>
      <c r="RD128" s="938"/>
      <c r="RE128" s="938">
        <f>COUNT(RE117:RE120)</f>
        <v>0</v>
      </c>
      <c r="RF128" s="938"/>
      <c r="RG128" s="938"/>
      <c r="RH128" s="938"/>
      <c r="RI128" s="938"/>
      <c r="RJ128" s="938"/>
      <c r="RK128" s="938"/>
      <c r="RL128" s="938"/>
      <c r="RM128" s="938"/>
      <c r="RN128" s="938"/>
      <c r="RO128" s="938"/>
      <c r="RP128" s="938"/>
      <c r="RQ128" s="938"/>
      <c r="RS128" s="930">
        <f>COUNTIFS($E$14:$E$113,"x",RS14:RS113,RS9)</f>
        <v>0</v>
      </c>
      <c r="RT128" s="938">
        <f t="shared" ref="RT128:RY128" si="841">COUNTIFS($E$14:$E$113,"x",RT14:RT113,RT9)</f>
        <v>0</v>
      </c>
      <c r="RU128" s="938">
        <f t="shared" si="841"/>
        <v>0</v>
      </c>
      <c r="RV128" s="938">
        <f>COUNTIFS($E$14:$E$113,"x",RV14:RV113,RV9)</f>
        <v>0</v>
      </c>
      <c r="RW128" s="938">
        <f t="shared" si="841"/>
        <v>0</v>
      </c>
      <c r="RX128" s="938">
        <f t="shared" si="841"/>
        <v>0</v>
      </c>
      <c r="RY128" s="938">
        <f t="shared" si="841"/>
        <v>0</v>
      </c>
      <c r="RZ128" s="938"/>
    </row>
    <row r="129" spans="1:485" s="930" customFormat="1" x14ac:dyDescent="0.2">
      <c r="S129" s="938"/>
      <c r="AZ129" s="938"/>
      <c r="BA129" s="938"/>
      <c r="BB129" s="938"/>
      <c r="BC129" s="938"/>
      <c r="BD129" s="938"/>
      <c r="BE129" s="938"/>
      <c r="BF129" s="938"/>
      <c r="BG129" s="938"/>
      <c r="BH129" s="938"/>
      <c r="BI129" s="938"/>
      <c r="BJ129" s="938"/>
      <c r="BK129" s="938"/>
      <c r="BL129" s="938"/>
      <c r="BM129" s="938"/>
      <c r="BO129" s="938"/>
      <c r="BP129" s="938"/>
      <c r="BQ129" s="938"/>
      <c r="BR129" s="938"/>
      <c r="BS129" s="938"/>
      <c r="BT129" s="938"/>
      <c r="BU129" s="938"/>
      <c r="BV129" s="938"/>
      <c r="BW129" s="938"/>
      <c r="BX129" s="938"/>
      <c r="BY129" s="938"/>
      <c r="BZ129" s="938"/>
      <c r="CA129" s="938"/>
      <c r="CB129" s="938"/>
      <c r="CD129" s="938"/>
      <c r="CE129" s="938"/>
      <c r="CF129" s="938"/>
      <c r="CG129" s="938"/>
      <c r="CH129" s="938"/>
      <c r="CI129" s="938"/>
      <c r="CJ129" s="938"/>
      <c r="CK129" s="938"/>
      <c r="CL129" s="938"/>
      <c r="CM129" s="938"/>
      <c r="CN129" s="938"/>
      <c r="CO129" s="938"/>
      <c r="CP129" s="938"/>
      <c r="CQ129" s="938"/>
      <c r="CS129" s="938"/>
      <c r="CT129" s="938"/>
      <c r="CU129" s="938"/>
      <c r="CV129" s="938"/>
      <c r="CW129" s="938"/>
      <c r="CX129" s="938"/>
      <c r="CY129" s="938"/>
      <c r="CZ129" s="938"/>
      <c r="DA129" s="938"/>
      <c r="DB129" s="938"/>
      <c r="DC129" s="938"/>
      <c r="DD129" s="938"/>
      <c r="DE129" s="938"/>
      <c r="DF129" s="938"/>
      <c r="DH129" s="938"/>
      <c r="DI129" s="938"/>
      <c r="DJ129" s="938"/>
      <c r="DK129" s="938"/>
      <c r="DL129" s="938"/>
      <c r="DM129" s="938"/>
      <c r="DN129" s="938"/>
      <c r="DO129" s="938"/>
      <c r="DP129" s="938"/>
      <c r="DQ129" s="938"/>
      <c r="DR129" s="938"/>
      <c r="DS129" s="938"/>
      <c r="DT129" s="938"/>
      <c r="DU129" s="938"/>
      <c r="DW129" s="938"/>
      <c r="DX129" s="938"/>
      <c r="DY129" s="938"/>
      <c r="DZ129" s="938"/>
      <c r="EA129" s="938"/>
      <c r="EB129" s="938"/>
      <c r="EC129" s="938"/>
      <c r="ED129" s="938"/>
      <c r="EE129" s="938"/>
      <c r="EF129" s="938"/>
      <c r="EG129" s="938"/>
      <c r="EH129" s="938"/>
      <c r="EI129" s="938"/>
      <c r="EJ129" s="938"/>
      <c r="EL129" s="938"/>
      <c r="EM129" s="938"/>
      <c r="EN129" s="938"/>
      <c r="EO129" s="938"/>
      <c r="EP129" s="938"/>
      <c r="EQ129" s="938"/>
      <c r="ER129" s="938"/>
      <c r="ES129" s="938"/>
      <c r="ET129" s="938"/>
      <c r="EU129" s="938"/>
      <c r="EV129" s="938"/>
      <c r="EW129" s="938"/>
      <c r="EX129" s="938"/>
      <c r="EY129" s="938"/>
      <c r="FA129" s="938"/>
      <c r="FB129" s="938"/>
      <c r="FC129" s="938"/>
      <c r="FD129" s="938"/>
      <c r="FE129" s="938"/>
      <c r="FF129" s="938"/>
      <c r="FG129" s="938"/>
      <c r="FH129" s="938"/>
      <c r="FI129" s="938"/>
      <c r="FJ129" s="938"/>
      <c r="FK129" s="938"/>
      <c r="FL129" s="938"/>
      <c r="FM129" s="938"/>
      <c r="FN129" s="938"/>
      <c r="FP129" s="938"/>
      <c r="FQ129" s="938"/>
      <c r="FR129" s="938"/>
      <c r="FS129" s="938"/>
      <c r="FT129" s="938"/>
      <c r="FU129" s="938"/>
      <c r="FV129" s="938"/>
      <c r="FW129" s="938"/>
      <c r="FX129" s="938"/>
      <c r="FY129" s="938"/>
      <c r="FZ129" s="938"/>
      <c r="GA129" s="938"/>
      <c r="GB129" s="938"/>
      <c r="GC129" s="938"/>
      <c r="GE129" s="938"/>
      <c r="GF129" s="938"/>
      <c r="GG129" s="938"/>
      <c r="GH129" s="938"/>
      <c r="GI129" s="938"/>
      <c r="GJ129" s="938"/>
      <c r="GK129" s="938"/>
      <c r="GL129" s="938"/>
      <c r="GM129" s="938"/>
      <c r="GN129" s="938"/>
      <c r="GO129" s="938"/>
      <c r="GP129" s="938"/>
      <c r="GQ129" s="938"/>
      <c r="GR129" s="938"/>
      <c r="GT129" s="938"/>
      <c r="GU129" s="938"/>
      <c r="GV129" s="938"/>
      <c r="GW129" s="938"/>
      <c r="GX129" s="938"/>
      <c r="GY129" s="938"/>
      <c r="GZ129" s="938"/>
      <c r="HA129" s="938"/>
      <c r="HB129" s="938"/>
      <c r="HC129" s="938"/>
      <c r="HD129" s="938"/>
      <c r="HE129" s="938"/>
      <c r="HF129" s="938"/>
      <c r="HG129" s="938"/>
      <c r="HI129" s="938"/>
      <c r="HJ129" s="938"/>
      <c r="HK129" s="938"/>
      <c r="HL129" s="938"/>
      <c r="HM129" s="938"/>
      <c r="HN129" s="938"/>
      <c r="HO129" s="938"/>
      <c r="HP129" s="938"/>
      <c r="HQ129" s="938"/>
      <c r="HR129" s="938"/>
      <c r="HS129" s="938"/>
      <c r="HT129" s="938"/>
      <c r="HU129" s="938"/>
      <c r="HV129" s="938"/>
      <c r="HX129" s="938"/>
      <c r="HY129" s="938"/>
      <c r="HZ129" s="938"/>
      <c r="IA129" s="938"/>
      <c r="IB129" s="938"/>
      <c r="IC129" s="938"/>
      <c r="ID129" s="938"/>
      <c r="IE129" s="938"/>
      <c r="IF129" s="938"/>
      <c r="IG129" s="938"/>
      <c r="IH129" s="938"/>
      <c r="II129" s="938"/>
      <c r="IJ129" s="938"/>
      <c r="IK129" s="938"/>
      <c r="IM129" s="938"/>
      <c r="IN129" s="938"/>
      <c r="IO129" s="938"/>
      <c r="IP129" s="938"/>
      <c r="IQ129" s="938"/>
      <c r="IR129" s="938"/>
      <c r="IS129" s="938"/>
      <c r="IT129" s="938"/>
      <c r="IU129" s="938"/>
      <c r="IV129" s="938"/>
      <c r="IW129" s="938"/>
      <c r="IX129" s="938"/>
      <c r="IY129" s="938"/>
      <c r="IZ129" s="938"/>
      <c r="JB129" s="938"/>
      <c r="JC129" s="938"/>
      <c r="JD129" s="938"/>
      <c r="JE129" s="938"/>
      <c r="JF129" s="938"/>
      <c r="JG129" s="938"/>
      <c r="JH129" s="938"/>
      <c r="JI129" s="938"/>
      <c r="JJ129" s="938"/>
      <c r="JK129" s="938"/>
      <c r="JL129" s="938"/>
      <c r="JM129" s="938"/>
      <c r="JN129" s="938"/>
      <c r="JO129" s="938"/>
      <c r="JQ129" s="938"/>
      <c r="JR129" s="938"/>
      <c r="JS129" s="938"/>
      <c r="JT129" s="938"/>
      <c r="JU129" s="938"/>
      <c r="JV129" s="938"/>
      <c r="JW129" s="938"/>
      <c r="JX129" s="938"/>
      <c r="JY129" s="938"/>
      <c r="JZ129" s="938"/>
      <c r="KA129" s="938"/>
      <c r="KB129" s="938"/>
      <c r="KC129" s="938"/>
      <c r="KD129" s="938"/>
      <c r="KF129" s="938"/>
      <c r="KG129" s="938"/>
      <c r="KH129" s="938"/>
      <c r="KI129" s="938"/>
      <c r="KJ129" s="938"/>
      <c r="KK129" s="938"/>
      <c r="KL129" s="938"/>
      <c r="KM129" s="938"/>
      <c r="KN129" s="938"/>
      <c r="KO129" s="938"/>
      <c r="KP129" s="938"/>
      <c r="KQ129" s="938"/>
      <c r="KR129" s="938"/>
      <c r="KS129" s="938"/>
      <c r="KU129" s="938"/>
      <c r="KV129" s="938"/>
      <c r="KW129" s="938"/>
      <c r="KX129" s="938"/>
      <c r="KY129" s="938"/>
      <c r="KZ129" s="938"/>
      <c r="LA129" s="938"/>
      <c r="LB129" s="938"/>
      <c r="LC129" s="938"/>
      <c r="LD129" s="938"/>
      <c r="LE129" s="938"/>
      <c r="LF129" s="938"/>
      <c r="LG129" s="938"/>
      <c r="LH129" s="938"/>
      <c r="LJ129" s="938"/>
      <c r="LK129" s="938"/>
      <c r="LL129" s="938"/>
      <c r="LM129" s="938"/>
      <c r="LN129" s="938"/>
      <c r="LO129" s="938"/>
      <c r="LP129" s="938"/>
      <c r="LQ129" s="938"/>
      <c r="LR129" s="938"/>
      <c r="LS129" s="938"/>
      <c r="LT129" s="938"/>
      <c r="LU129" s="938"/>
      <c r="LV129" s="938"/>
      <c r="LW129" s="938"/>
      <c r="LY129" s="938"/>
      <c r="LZ129" s="938"/>
      <c r="MA129" s="938"/>
      <c r="MB129" s="938"/>
      <c r="MC129" s="938"/>
      <c r="MD129" s="938"/>
      <c r="ME129" s="938"/>
      <c r="MF129" s="938"/>
      <c r="MG129" s="938"/>
      <c r="MH129" s="938"/>
      <c r="MI129" s="938"/>
      <c r="MJ129" s="938"/>
      <c r="MK129" s="938"/>
      <c r="ML129" s="938"/>
      <c r="MN129" s="938"/>
      <c r="MO129" s="938"/>
      <c r="MP129" s="938"/>
      <c r="MQ129" s="938"/>
      <c r="MR129" s="938"/>
      <c r="MS129" s="938"/>
      <c r="MT129" s="938"/>
      <c r="MU129" s="938"/>
      <c r="MV129" s="938"/>
      <c r="MW129" s="938"/>
      <c r="MX129" s="938"/>
      <c r="MY129" s="938"/>
      <c r="MZ129" s="938"/>
      <c r="NA129" s="938"/>
      <c r="NC129" s="938"/>
      <c r="ND129" s="938"/>
      <c r="NE129" s="938"/>
      <c r="NF129" s="938"/>
      <c r="NG129" s="938"/>
      <c r="NH129" s="938"/>
      <c r="NI129" s="938"/>
      <c r="NJ129" s="938"/>
      <c r="NK129" s="938"/>
      <c r="NL129" s="938"/>
      <c r="NM129" s="938"/>
      <c r="NN129" s="938"/>
      <c r="NO129" s="938"/>
      <c r="NP129" s="938"/>
      <c r="NR129" s="938"/>
      <c r="NS129" s="938"/>
      <c r="NT129" s="938"/>
      <c r="NU129" s="938"/>
      <c r="NV129" s="938"/>
      <c r="NW129" s="938"/>
      <c r="NX129" s="938"/>
      <c r="NY129" s="938"/>
      <c r="NZ129" s="938"/>
      <c r="OA129" s="938"/>
      <c r="OB129" s="938"/>
      <c r="OC129" s="938"/>
      <c r="OD129" s="938"/>
      <c r="OE129" s="938"/>
      <c r="OG129" s="938"/>
      <c r="OH129" s="938"/>
      <c r="OI129" s="938"/>
      <c r="OJ129" s="938"/>
      <c r="OK129" s="938"/>
      <c r="OL129" s="938"/>
      <c r="OM129" s="938"/>
      <c r="ON129" s="938"/>
      <c r="OO129" s="938"/>
      <c r="OP129" s="938"/>
      <c r="OQ129" s="938"/>
      <c r="OR129" s="938"/>
      <c r="OS129" s="938"/>
      <c r="OT129" s="938"/>
      <c r="OV129" s="938"/>
      <c r="OW129" s="938"/>
      <c r="OX129" s="938"/>
      <c r="OY129" s="938"/>
      <c r="OZ129" s="938"/>
      <c r="PA129" s="938"/>
      <c r="PB129" s="938"/>
      <c r="PC129" s="938"/>
      <c r="PD129" s="938"/>
      <c r="PE129" s="938"/>
      <c r="PF129" s="938"/>
      <c r="PG129" s="938"/>
      <c r="PH129" s="938"/>
      <c r="PI129" s="938"/>
      <c r="PK129" s="938"/>
      <c r="PL129" s="938"/>
      <c r="PM129" s="938"/>
      <c r="PN129" s="938"/>
      <c r="PO129" s="938"/>
      <c r="PP129" s="938"/>
      <c r="PQ129" s="938"/>
      <c r="PR129" s="938"/>
      <c r="PS129" s="938"/>
      <c r="PT129" s="938"/>
      <c r="PU129" s="938"/>
      <c r="PV129" s="938"/>
      <c r="PW129" s="938"/>
      <c r="PX129" s="938"/>
      <c r="PZ129" s="938"/>
      <c r="QA129" s="938"/>
      <c r="QB129" s="938"/>
      <c r="QC129" s="938"/>
      <c r="QD129" s="938"/>
      <c r="QE129" s="938"/>
      <c r="QF129" s="938"/>
      <c r="QG129" s="938"/>
      <c r="QH129" s="938"/>
      <c r="QI129" s="938"/>
      <c r="QJ129" s="938"/>
      <c r="QK129" s="938"/>
      <c r="QL129" s="938"/>
      <c r="QM129" s="938"/>
      <c r="QO129" s="938"/>
      <c r="QP129" s="938"/>
      <c r="QQ129" s="938"/>
      <c r="QR129" s="938"/>
      <c r="QS129" s="938"/>
      <c r="QT129" s="938"/>
      <c r="QU129" s="938"/>
      <c r="QV129" s="938"/>
      <c r="QW129" s="938"/>
      <c r="QX129" s="938"/>
      <c r="QY129" s="938"/>
      <c r="QZ129" s="938"/>
      <c r="RA129" s="938"/>
      <c r="RB129" s="938"/>
      <c r="RD129" s="938"/>
      <c r="RE129" s="938"/>
      <c r="RF129" s="938"/>
      <c r="RG129" s="938"/>
      <c r="RH129" s="938"/>
      <c r="RI129" s="938"/>
      <c r="RJ129" s="938"/>
      <c r="RK129" s="938"/>
      <c r="RL129" s="938"/>
      <c r="RM129" s="938"/>
      <c r="RN129" s="938"/>
      <c r="RO129" s="938"/>
      <c r="RP129" s="938"/>
      <c r="RQ129" s="938"/>
    </row>
    <row r="130" spans="1:485" s="930" customFormat="1" x14ac:dyDescent="0.2">
      <c r="S130" s="938"/>
      <c r="AA130" s="256" t="s">
        <v>1648</v>
      </c>
      <c r="AD130" s="34">
        <v>44561</v>
      </c>
      <c r="AZ130" s="938"/>
      <c r="BA130" s="938"/>
      <c r="BB130" s="938"/>
      <c r="BC130" s="938"/>
      <c r="BD130" s="938"/>
      <c r="BE130" s="938"/>
      <c r="BF130" s="938"/>
      <c r="BG130" s="938"/>
      <c r="BH130" s="938"/>
      <c r="BI130" s="938"/>
      <c r="BJ130" s="938"/>
      <c r="BK130" s="938"/>
      <c r="BL130" s="938"/>
      <c r="BM130" s="938"/>
      <c r="BO130" s="938"/>
      <c r="BP130" s="938"/>
      <c r="BQ130" s="938"/>
      <c r="BR130" s="938"/>
      <c r="BS130" s="938"/>
      <c r="BT130" s="938"/>
      <c r="BU130" s="938"/>
      <c r="BV130" s="938"/>
      <c r="BW130" s="938"/>
      <c r="BX130" s="938"/>
      <c r="BY130" s="938"/>
      <c r="BZ130" s="938"/>
      <c r="CA130" s="938"/>
      <c r="CB130" s="938"/>
      <c r="CD130" s="938"/>
      <c r="CE130" s="938"/>
      <c r="CF130" s="938"/>
      <c r="CG130" s="938"/>
      <c r="CH130" s="938"/>
      <c r="CI130" s="938"/>
      <c r="CJ130" s="938"/>
      <c r="CK130" s="938"/>
      <c r="CL130" s="938"/>
      <c r="CM130" s="938"/>
      <c r="CN130" s="938"/>
      <c r="CO130" s="938"/>
      <c r="CP130" s="938"/>
      <c r="CQ130" s="938"/>
      <c r="CS130" s="938"/>
      <c r="CT130" s="938"/>
      <c r="CU130" s="938"/>
      <c r="CV130" s="938"/>
      <c r="CW130" s="938"/>
      <c r="CX130" s="938"/>
      <c r="CY130" s="938"/>
      <c r="CZ130" s="938"/>
      <c r="DA130" s="938"/>
      <c r="DB130" s="938"/>
      <c r="DC130" s="938"/>
      <c r="DD130" s="938"/>
      <c r="DE130" s="938"/>
      <c r="DF130" s="938"/>
      <c r="DH130" s="938"/>
      <c r="DI130" s="938"/>
      <c r="DJ130" s="938"/>
      <c r="DK130" s="938"/>
      <c r="DL130" s="938"/>
      <c r="DM130" s="938"/>
      <c r="DN130" s="938"/>
      <c r="DO130" s="938"/>
      <c r="DP130" s="938"/>
      <c r="DQ130" s="938"/>
      <c r="DR130" s="938"/>
      <c r="DS130" s="938"/>
      <c r="DT130" s="938"/>
      <c r="DU130" s="938"/>
      <c r="DW130" s="938"/>
      <c r="DX130" s="938"/>
      <c r="DY130" s="938"/>
      <c r="DZ130" s="938"/>
      <c r="EA130" s="938"/>
      <c r="EB130" s="938"/>
      <c r="EC130" s="938"/>
      <c r="ED130" s="938"/>
      <c r="EE130" s="938"/>
      <c r="EF130" s="938"/>
      <c r="EG130" s="938"/>
      <c r="EH130" s="938"/>
      <c r="EI130" s="938"/>
      <c r="EJ130" s="938"/>
      <c r="EL130" s="938"/>
      <c r="EM130" s="938"/>
      <c r="EN130" s="938"/>
      <c r="EO130" s="938"/>
      <c r="EP130" s="938"/>
      <c r="EQ130" s="938"/>
      <c r="ER130" s="938"/>
      <c r="ES130" s="938"/>
      <c r="ET130" s="938"/>
      <c r="EU130" s="938"/>
      <c r="EV130" s="938"/>
      <c r="EW130" s="938"/>
      <c r="EX130" s="938"/>
      <c r="EY130" s="938"/>
      <c r="FA130" s="938"/>
      <c r="FB130" s="938"/>
      <c r="FC130" s="938"/>
      <c r="FD130" s="938"/>
      <c r="FE130" s="938"/>
      <c r="FF130" s="938"/>
      <c r="FG130" s="938"/>
      <c r="FH130" s="938"/>
      <c r="FI130" s="938"/>
      <c r="FJ130" s="938"/>
      <c r="FK130" s="938"/>
      <c r="FL130" s="938"/>
      <c r="FM130" s="938"/>
      <c r="FN130" s="938"/>
      <c r="FP130" s="938"/>
      <c r="FQ130" s="938"/>
      <c r="FR130" s="938"/>
      <c r="FS130" s="938"/>
      <c r="FT130" s="938"/>
      <c r="FU130" s="938"/>
      <c r="FV130" s="938"/>
      <c r="FW130" s="938"/>
      <c r="FX130" s="938"/>
      <c r="FY130" s="938"/>
      <c r="FZ130" s="938"/>
      <c r="GA130" s="938"/>
      <c r="GB130" s="938"/>
      <c r="GC130" s="938"/>
      <c r="GE130" s="938"/>
      <c r="GF130" s="938"/>
      <c r="GG130" s="938"/>
      <c r="GH130" s="938"/>
      <c r="GI130" s="938"/>
      <c r="GJ130" s="938"/>
      <c r="GK130" s="938"/>
      <c r="GL130" s="938"/>
      <c r="GM130" s="938"/>
      <c r="GN130" s="938"/>
      <c r="GO130" s="938"/>
      <c r="GP130" s="938"/>
      <c r="GQ130" s="938"/>
      <c r="GR130" s="938"/>
      <c r="GT130" s="938"/>
      <c r="GU130" s="938"/>
      <c r="GV130" s="938"/>
      <c r="GW130" s="938"/>
      <c r="GX130" s="938"/>
      <c r="GY130" s="938"/>
      <c r="GZ130" s="938"/>
      <c r="HA130" s="938"/>
      <c r="HB130" s="938"/>
      <c r="HC130" s="938"/>
      <c r="HD130" s="938"/>
      <c r="HE130" s="938"/>
      <c r="HF130" s="938"/>
      <c r="HG130" s="938"/>
      <c r="HI130" s="938"/>
      <c r="HJ130" s="938"/>
      <c r="HK130" s="938"/>
      <c r="HL130" s="938"/>
      <c r="HM130" s="938"/>
      <c r="HN130" s="938"/>
      <c r="HO130" s="938"/>
      <c r="HP130" s="938"/>
      <c r="HQ130" s="938"/>
      <c r="HR130" s="938"/>
      <c r="HS130" s="938"/>
      <c r="HT130" s="938"/>
      <c r="HU130" s="938"/>
      <c r="HV130" s="938"/>
      <c r="HX130" s="938"/>
      <c r="HY130" s="938"/>
      <c r="HZ130" s="938"/>
      <c r="IA130" s="938"/>
      <c r="IB130" s="938"/>
      <c r="IC130" s="938"/>
      <c r="ID130" s="938"/>
      <c r="IE130" s="938"/>
      <c r="IF130" s="938"/>
      <c r="IG130" s="938"/>
      <c r="IH130" s="938"/>
      <c r="II130" s="938"/>
      <c r="IJ130" s="938"/>
      <c r="IK130" s="938"/>
      <c r="IM130" s="938"/>
      <c r="IN130" s="938"/>
      <c r="IO130" s="938"/>
      <c r="IP130" s="938"/>
      <c r="IQ130" s="938"/>
      <c r="IR130" s="938"/>
      <c r="IS130" s="938"/>
      <c r="IT130" s="938"/>
      <c r="IU130" s="938"/>
      <c r="IV130" s="938"/>
      <c r="IW130" s="938"/>
      <c r="IX130" s="938"/>
      <c r="IY130" s="938"/>
      <c r="IZ130" s="938"/>
      <c r="JB130" s="938"/>
      <c r="JC130" s="938"/>
      <c r="JD130" s="938"/>
      <c r="JE130" s="938"/>
      <c r="JF130" s="938"/>
      <c r="JG130" s="938"/>
      <c r="JH130" s="938"/>
      <c r="JI130" s="938"/>
      <c r="JJ130" s="938"/>
      <c r="JK130" s="938"/>
      <c r="JL130" s="938"/>
      <c r="JM130" s="938"/>
      <c r="JN130" s="938"/>
      <c r="JO130" s="938"/>
      <c r="JQ130" s="938"/>
      <c r="JR130" s="938"/>
      <c r="JS130" s="938"/>
      <c r="JT130" s="938"/>
      <c r="JU130" s="938"/>
      <c r="JV130" s="938"/>
      <c r="JW130" s="938"/>
      <c r="JX130" s="938"/>
      <c r="JY130" s="938"/>
      <c r="JZ130" s="938"/>
      <c r="KA130" s="938"/>
      <c r="KB130" s="938"/>
      <c r="KC130" s="938"/>
      <c r="KD130" s="938"/>
      <c r="KF130" s="938"/>
      <c r="KG130" s="938"/>
      <c r="KH130" s="938"/>
      <c r="KI130" s="938"/>
      <c r="KJ130" s="938"/>
      <c r="KK130" s="938"/>
      <c r="KL130" s="938"/>
      <c r="KM130" s="938"/>
      <c r="KN130" s="938"/>
      <c r="KO130" s="938"/>
      <c r="KP130" s="938"/>
      <c r="KQ130" s="938"/>
      <c r="KR130" s="938"/>
      <c r="KS130" s="938"/>
      <c r="KU130" s="938"/>
      <c r="KV130" s="938"/>
      <c r="KW130" s="938"/>
      <c r="KX130" s="938"/>
      <c r="KY130" s="938"/>
      <c r="KZ130" s="938"/>
      <c r="LA130" s="938"/>
      <c r="LB130" s="938"/>
      <c r="LC130" s="938"/>
      <c r="LD130" s="938"/>
      <c r="LE130" s="938"/>
      <c r="LF130" s="938"/>
      <c r="LG130" s="938"/>
      <c r="LH130" s="938"/>
      <c r="LJ130" s="938"/>
      <c r="LK130" s="938"/>
      <c r="LL130" s="938"/>
      <c r="LM130" s="938"/>
      <c r="LN130" s="938"/>
      <c r="LO130" s="938"/>
      <c r="LP130" s="938"/>
      <c r="LQ130" s="938"/>
      <c r="LR130" s="938"/>
      <c r="LS130" s="938"/>
      <c r="LT130" s="938"/>
      <c r="LU130" s="938"/>
      <c r="LV130" s="938"/>
      <c r="LW130" s="938"/>
      <c r="LY130" s="938"/>
      <c r="LZ130" s="938"/>
      <c r="MA130" s="938"/>
      <c r="MB130" s="938"/>
      <c r="MC130" s="938"/>
      <c r="MD130" s="938"/>
      <c r="ME130" s="938"/>
      <c r="MF130" s="938"/>
      <c r="MG130" s="938"/>
      <c r="MH130" s="938"/>
      <c r="MI130" s="938"/>
      <c r="MJ130" s="938"/>
      <c r="MK130" s="938"/>
      <c r="ML130" s="938"/>
      <c r="MN130" s="938"/>
      <c r="MO130" s="938"/>
      <c r="MP130" s="938"/>
      <c r="MQ130" s="938"/>
      <c r="MR130" s="938"/>
      <c r="MS130" s="938"/>
      <c r="MT130" s="938"/>
      <c r="MU130" s="938"/>
      <c r="MV130" s="938"/>
      <c r="MW130" s="938"/>
      <c r="MX130" s="938"/>
      <c r="MY130" s="938"/>
      <c r="MZ130" s="938"/>
      <c r="NA130" s="938"/>
      <c r="NC130" s="938"/>
      <c r="ND130" s="938"/>
      <c r="NE130" s="938"/>
      <c r="NF130" s="938"/>
      <c r="NG130" s="938"/>
      <c r="NH130" s="938"/>
      <c r="NI130" s="938"/>
      <c r="NJ130" s="938"/>
      <c r="NK130" s="938"/>
      <c r="NL130" s="938"/>
      <c r="NM130" s="938"/>
      <c r="NN130" s="938"/>
      <c r="NO130" s="938"/>
      <c r="NP130" s="938"/>
      <c r="NR130" s="938"/>
      <c r="NS130" s="938"/>
      <c r="NT130" s="938"/>
      <c r="NU130" s="938"/>
      <c r="NV130" s="938"/>
      <c r="NW130" s="938"/>
      <c r="NX130" s="938"/>
      <c r="NY130" s="938"/>
      <c r="NZ130" s="938"/>
      <c r="OA130" s="938"/>
      <c r="OB130" s="938"/>
      <c r="OC130" s="938"/>
      <c r="OD130" s="938"/>
      <c r="OE130" s="938"/>
      <c r="OG130" s="938"/>
      <c r="OH130" s="938"/>
      <c r="OI130" s="938"/>
      <c r="OJ130" s="938"/>
      <c r="OK130" s="938"/>
      <c r="OL130" s="938"/>
      <c r="OM130" s="938"/>
      <c r="ON130" s="938"/>
      <c r="OO130" s="938"/>
      <c r="OP130" s="938"/>
      <c r="OQ130" s="938"/>
      <c r="OR130" s="938"/>
      <c r="OS130" s="938"/>
      <c r="OT130" s="938"/>
      <c r="OV130" s="938"/>
      <c r="OW130" s="938"/>
      <c r="OX130" s="938"/>
      <c r="OY130" s="938"/>
      <c r="OZ130" s="938"/>
      <c r="PA130" s="938"/>
      <c r="PB130" s="938"/>
      <c r="PC130" s="938"/>
      <c r="PD130" s="938"/>
      <c r="PE130" s="938"/>
      <c r="PF130" s="938"/>
      <c r="PG130" s="938"/>
      <c r="PH130" s="938"/>
      <c r="PI130" s="938"/>
      <c r="PK130" s="938"/>
      <c r="PL130" s="938"/>
      <c r="PM130" s="938"/>
      <c r="PN130" s="938"/>
      <c r="PO130" s="938"/>
      <c r="PP130" s="938"/>
      <c r="PQ130" s="938"/>
      <c r="PR130" s="938"/>
      <c r="PS130" s="938"/>
      <c r="PT130" s="938"/>
      <c r="PU130" s="938"/>
      <c r="PV130" s="938"/>
      <c r="PW130" s="938"/>
      <c r="PX130" s="938"/>
      <c r="PZ130" s="938"/>
      <c r="QA130" s="938"/>
      <c r="QB130" s="938"/>
      <c r="QC130" s="938"/>
      <c r="QD130" s="938"/>
      <c r="QE130" s="938"/>
      <c r="QF130" s="938"/>
      <c r="QG130" s="938"/>
      <c r="QH130" s="938"/>
      <c r="QI130" s="938"/>
      <c r="QJ130" s="938"/>
      <c r="QK130" s="938"/>
      <c r="QL130" s="938"/>
      <c r="QM130" s="938"/>
      <c r="QO130" s="938"/>
      <c r="QP130" s="938"/>
      <c r="QQ130" s="938"/>
      <c r="QR130" s="938"/>
      <c r="QS130" s="938"/>
      <c r="QT130" s="938"/>
      <c r="QU130" s="938"/>
      <c r="QV130" s="938"/>
      <c r="QW130" s="938"/>
      <c r="QX130" s="938"/>
      <c r="QY130" s="938"/>
      <c r="QZ130" s="938"/>
      <c r="RA130" s="938"/>
      <c r="RB130" s="938"/>
      <c r="RD130" s="938"/>
      <c r="RE130" s="938"/>
      <c r="RF130" s="938"/>
      <c r="RG130" s="938"/>
      <c r="RH130" s="938"/>
      <c r="RI130" s="938"/>
      <c r="RJ130" s="938"/>
      <c r="RK130" s="938"/>
      <c r="RL130" s="938"/>
      <c r="RM130" s="938"/>
      <c r="RN130" s="938"/>
      <c r="RO130" s="938"/>
      <c r="RP130" s="938"/>
      <c r="RQ130" s="938"/>
    </row>
    <row r="131" spans="1:485" s="930" customFormat="1" x14ac:dyDescent="0.2">
      <c r="S131" s="938"/>
      <c r="AA131" s="256" t="s">
        <v>1828</v>
      </c>
      <c r="AB131" s="943"/>
      <c r="AC131" s="943"/>
      <c r="AD131" s="1355">
        <v>44734</v>
      </c>
      <c r="AE131" s="1354"/>
      <c r="AF131" s="882"/>
      <c r="AG131" s="938"/>
      <c r="AZ131" s="938"/>
      <c r="BA131" s="938"/>
      <c r="BB131" s="938"/>
      <c r="BC131" s="938"/>
      <c r="BD131" s="938"/>
      <c r="BE131" s="938"/>
      <c r="BF131" s="938"/>
      <c r="BG131" s="938"/>
      <c r="BH131" s="938"/>
      <c r="BI131" s="938"/>
      <c r="BJ131" s="938"/>
      <c r="BK131" s="938"/>
      <c r="BL131" s="938"/>
      <c r="BM131" s="938"/>
      <c r="BO131" s="938"/>
      <c r="BP131" s="938"/>
      <c r="BQ131" s="938"/>
      <c r="BR131" s="938"/>
      <c r="BS131" s="938"/>
      <c r="BT131" s="938"/>
      <c r="BU131" s="938"/>
      <c r="BV131" s="938"/>
      <c r="BW131" s="938"/>
      <c r="BX131" s="938"/>
      <c r="BY131" s="938"/>
      <c r="BZ131" s="938"/>
      <c r="CA131" s="938"/>
      <c r="CB131" s="938"/>
      <c r="CD131" s="938"/>
      <c r="CE131" s="938"/>
      <c r="CF131" s="938"/>
      <c r="CG131" s="938"/>
      <c r="CH131" s="938"/>
      <c r="CI131" s="938"/>
      <c r="CJ131" s="938"/>
      <c r="CK131" s="938"/>
      <c r="CL131" s="938"/>
      <c r="CM131" s="938"/>
      <c r="CN131" s="938"/>
      <c r="CO131" s="938"/>
      <c r="CP131" s="938"/>
      <c r="CQ131" s="938"/>
      <c r="CS131" s="938"/>
      <c r="CT131" s="938"/>
      <c r="CU131" s="938"/>
      <c r="CV131" s="938"/>
      <c r="CW131" s="938"/>
      <c r="CX131" s="938"/>
      <c r="CY131" s="938"/>
      <c r="CZ131" s="938"/>
      <c r="DA131" s="938"/>
      <c r="DB131" s="938"/>
      <c r="DC131" s="938"/>
      <c r="DD131" s="938"/>
      <c r="DE131" s="938"/>
      <c r="DF131" s="938"/>
      <c r="DH131" s="938"/>
      <c r="DI131" s="938"/>
      <c r="DJ131" s="938"/>
      <c r="DK131" s="938"/>
      <c r="DL131" s="938"/>
      <c r="DM131" s="938"/>
      <c r="DN131" s="938"/>
      <c r="DO131" s="938"/>
      <c r="DP131" s="938"/>
      <c r="DQ131" s="938"/>
      <c r="DR131" s="938"/>
      <c r="DS131" s="938"/>
      <c r="DT131" s="938"/>
      <c r="DU131" s="938"/>
      <c r="DW131" s="938"/>
      <c r="DX131" s="938"/>
      <c r="DY131" s="938"/>
      <c r="DZ131" s="938"/>
      <c r="EA131" s="938"/>
      <c r="EB131" s="938"/>
      <c r="EC131" s="938"/>
      <c r="ED131" s="938"/>
      <c r="EE131" s="938"/>
      <c r="EF131" s="938"/>
      <c r="EG131" s="938"/>
      <c r="EH131" s="938"/>
      <c r="EI131" s="938"/>
      <c r="EJ131" s="938"/>
      <c r="EL131" s="938"/>
      <c r="EM131" s="938"/>
      <c r="EN131" s="938"/>
      <c r="EO131" s="938"/>
      <c r="EP131" s="938"/>
      <c r="EQ131" s="938"/>
      <c r="ER131" s="938"/>
      <c r="ES131" s="938"/>
      <c r="ET131" s="938"/>
      <c r="EU131" s="938"/>
      <c r="EV131" s="938"/>
      <c r="EW131" s="938"/>
      <c r="EX131" s="938"/>
      <c r="EY131" s="938"/>
      <c r="FA131" s="938"/>
      <c r="FB131" s="938"/>
      <c r="FC131" s="938"/>
      <c r="FD131" s="938"/>
      <c r="FE131" s="938"/>
      <c r="FF131" s="938"/>
      <c r="FG131" s="938"/>
      <c r="FH131" s="938"/>
      <c r="FI131" s="938"/>
      <c r="FJ131" s="938"/>
      <c r="FK131" s="938"/>
      <c r="FL131" s="938"/>
      <c r="FM131" s="938"/>
      <c r="FN131" s="938"/>
      <c r="FP131" s="938"/>
      <c r="FQ131" s="938"/>
      <c r="FR131" s="938"/>
      <c r="FS131" s="938"/>
      <c r="FT131" s="938"/>
      <c r="FU131" s="938"/>
      <c r="FV131" s="938"/>
      <c r="FW131" s="938"/>
      <c r="FX131" s="938"/>
      <c r="FY131" s="938"/>
      <c r="FZ131" s="938"/>
      <c r="GA131" s="938"/>
      <c r="GB131" s="938"/>
      <c r="GC131" s="938"/>
      <c r="GE131" s="938"/>
      <c r="GF131" s="938"/>
      <c r="GG131" s="938"/>
      <c r="GH131" s="938"/>
      <c r="GI131" s="938"/>
      <c r="GJ131" s="938"/>
      <c r="GK131" s="938"/>
      <c r="GL131" s="938"/>
      <c r="GM131" s="938"/>
      <c r="GN131" s="938"/>
      <c r="GO131" s="938"/>
      <c r="GP131" s="938"/>
      <c r="GQ131" s="938"/>
      <c r="GR131" s="938"/>
      <c r="GT131" s="938"/>
      <c r="GU131" s="938"/>
      <c r="GV131" s="938"/>
      <c r="GW131" s="938"/>
      <c r="GX131" s="938"/>
      <c r="GY131" s="938"/>
      <c r="GZ131" s="938"/>
      <c r="HA131" s="938"/>
      <c r="HB131" s="938"/>
      <c r="HC131" s="938"/>
      <c r="HD131" s="938"/>
      <c r="HE131" s="938"/>
      <c r="HF131" s="938"/>
      <c r="HG131" s="938"/>
      <c r="HI131" s="938"/>
      <c r="HJ131" s="938"/>
      <c r="HK131" s="938"/>
      <c r="HL131" s="938"/>
      <c r="HM131" s="938"/>
      <c r="HN131" s="938"/>
      <c r="HO131" s="938"/>
      <c r="HP131" s="938"/>
      <c r="HQ131" s="938"/>
      <c r="HR131" s="938"/>
      <c r="HS131" s="938"/>
      <c r="HT131" s="938"/>
      <c r="HU131" s="938"/>
      <c r="HV131" s="938"/>
      <c r="HX131" s="938"/>
      <c r="HY131" s="938"/>
      <c r="HZ131" s="938"/>
      <c r="IA131" s="938"/>
      <c r="IB131" s="938"/>
      <c r="IC131" s="938"/>
      <c r="ID131" s="938"/>
      <c r="IE131" s="938"/>
      <c r="IF131" s="938"/>
      <c r="IG131" s="938"/>
      <c r="IH131" s="938"/>
      <c r="II131" s="938"/>
      <c r="IJ131" s="938"/>
      <c r="IK131" s="938"/>
      <c r="IM131" s="938"/>
      <c r="IN131" s="938"/>
      <c r="IO131" s="938"/>
      <c r="IP131" s="938"/>
      <c r="IQ131" s="938"/>
      <c r="IR131" s="938"/>
      <c r="IS131" s="938"/>
      <c r="IT131" s="938"/>
      <c r="IU131" s="938"/>
      <c r="IV131" s="938"/>
      <c r="IW131" s="938"/>
      <c r="IX131" s="938"/>
      <c r="IY131" s="938"/>
      <c r="IZ131" s="938"/>
      <c r="JB131" s="938"/>
      <c r="JC131" s="938"/>
      <c r="JD131" s="938"/>
      <c r="JE131" s="938"/>
      <c r="JF131" s="938"/>
      <c r="JG131" s="938"/>
      <c r="JH131" s="938"/>
      <c r="JI131" s="938"/>
      <c r="JJ131" s="938"/>
      <c r="JK131" s="938"/>
      <c r="JL131" s="938"/>
      <c r="JM131" s="938"/>
      <c r="JN131" s="938"/>
      <c r="JO131" s="938"/>
      <c r="JQ131" s="938"/>
      <c r="JR131" s="938"/>
      <c r="JS131" s="938"/>
      <c r="JT131" s="938"/>
      <c r="JU131" s="938"/>
      <c r="JV131" s="938"/>
      <c r="JW131" s="938"/>
      <c r="JX131" s="938"/>
      <c r="JY131" s="938"/>
      <c r="JZ131" s="938"/>
      <c r="KA131" s="938"/>
      <c r="KB131" s="938"/>
      <c r="KC131" s="938"/>
      <c r="KD131" s="938"/>
      <c r="KF131" s="938"/>
      <c r="KG131" s="938"/>
      <c r="KH131" s="938"/>
      <c r="KI131" s="938"/>
      <c r="KJ131" s="938"/>
      <c r="KK131" s="938"/>
      <c r="KL131" s="938"/>
      <c r="KM131" s="938"/>
      <c r="KN131" s="938"/>
      <c r="KO131" s="938"/>
      <c r="KP131" s="938"/>
      <c r="KQ131" s="938"/>
      <c r="KR131" s="938"/>
      <c r="KS131" s="938"/>
      <c r="KU131" s="938"/>
      <c r="KV131" s="938"/>
      <c r="KW131" s="938"/>
      <c r="KX131" s="938"/>
      <c r="KY131" s="938"/>
      <c r="KZ131" s="938"/>
      <c r="LA131" s="938"/>
      <c r="LB131" s="938"/>
      <c r="LC131" s="938"/>
      <c r="LD131" s="938"/>
      <c r="LE131" s="938"/>
      <c r="LF131" s="938"/>
      <c r="LG131" s="938"/>
      <c r="LH131" s="938"/>
      <c r="LJ131" s="938"/>
      <c r="LK131" s="938"/>
      <c r="LL131" s="938"/>
      <c r="LM131" s="938"/>
      <c r="LN131" s="938"/>
      <c r="LO131" s="938"/>
      <c r="LP131" s="938"/>
      <c r="LQ131" s="938"/>
      <c r="LR131" s="938"/>
      <c r="LS131" s="938"/>
      <c r="LT131" s="938"/>
      <c r="LU131" s="938"/>
      <c r="LV131" s="938"/>
      <c r="LW131" s="938"/>
      <c r="LY131" s="938"/>
      <c r="LZ131" s="938"/>
      <c r="MA131" s="938"/>
      <c r="MB131" s="938"/>
      <c r="MC131" s="938"/>
      <c r="MD131" s="938"/>
      <c r="ME131" s="938"/>
      <c r="MF131" s="938"/>
      <c r="MG131" s="938"/>
      <c r="MH131" s="938"/>
      <c r="MI131" s="938"/>
      <c r="MJ131" s="938"/>
      <c r="MK131" s="938"/>
      <c r="ML131" s="938"/>
      <c r="MN131" s="938"/>
      <c r="MO131" s="938"/>
      <c r="MP131" s="938"/>
      <c r="MQ131" s="938"/>
      <c r="MR131" s="938"/>
      <c r="MS131" s="938"/>
      <c r="MT131" s="938"/>
      <c r="MU131" s="938"/>
      <c r="MV131" s="938"/>
      <c r="MW131" s="938"/>
      <c r="MX131" s="938"/>
      <c r="MY131" s="938"/>
      <c r="MZ131" s="938"/>
      <c r="NA131" s="938"/>
      <c r="NC131" s="938"/>
      <c r="ND131" s="938"/>
      <c r="NE131" s="938"/>
      <c r="NF131" s="938"/>
      <c r="NG131" s="938"/>
      <c r="NH131" s="938"/>
      <c r="NI131" s="938"/>
      <c r="NJ131" s="938"/>
      <c r="NK131" s="938"/>
      <c r="NL131" s="938"/>
      <c r="NM131" s="938"/>
      <c r="NN131" s="938"/>
      <c r="NO131" s="938"/>
      <c r="NP131" s="938"/>
      <c r="NR131" s="938"/>
      <c r="NS131" s="938"/>
      <c r="NT131" s="938"/>
      <c r="NU131" s="938"/>
      <c r="NV131" s="938"/>
      <c r="NW131" s="938"/>
      <c r="NX131" s="938"/>
      <c r="NY131" s="938"/>
      <c r="NZ131" s="938"/>
      <c r="OA131" s="938"/>
      <c r="OB131" s="938"/>
      <c r="OC131" s="938"/>
      <c r="OD131" s="938"/>
      <c r="OE131" s="938"/>
      <c r="OG131" s="938"/>
      <c r="OH131" s="938"/>
      <c r="OI131" s="938"/>
      <c r="OJ131" s="938"/>
      <c r="OK131" s="938"/>
      <c r="OL131" s="938"/>
      <c r="OM131" s="938"/>
      <c r="ON131" s="938"/>
      <c r="OO131" s="938"/>
      <c r="OP131" s="938"/>
      <c r="OQ131" s="938"/>
      <c r="OR131" s="938"/>
      <c r="OS131" s="938"/>
      <c r="OT131" s="938"/>
      <c r="OV131" s="938"/>
      <c r="OW131" s="938"/>
      <c r="OX131" s="938"/>
      <c r="OY131" s="938"/>
      <c r="OZ131" s="938"/>
      <c r="PA131" s="938"/>
      <c r="PB131" s="938"/>
      <c r="PC131" s="938"/>
      <c r="PD131" s="938"/>
      <c r="PE131" s="938"/>
      <c r="PF131" s="938"/>
      <c r="PG131" s="938"/>
      <c r="PH131" s="938"/>
      <c r="PI131" s="938"/>
      <c r="PK131" s="938"/>
      <c r="PL131" s="938"/>
      <c r="PM131" s="938"/>
      <c r="PN131" s="938"/>
      <c r="PO131" s="938"/>
      <c r="PP131" s="938"/>
      <c r="PQ131" s="938"/>
      <c r="PR131" s="938"/>
      <c r="PS131" s="938"/>
      <c r="PT131" s="938"/>
      <c r="PU131" s="938"/>
      <c r="PV131" s="938"/>
      <c r="PW131" s="938"/>
      <c r="PX131" s="938"/>
      <c r="PZ131" s="938"/>
      <c r="QA131" s="938"/>
      <c r="QB131" s="938"/>
      <c r="QC131" s="938"/>
      <c r="QD131" s="938"/>
      <c r="QE131" s="938"/>
      <c r="QF131" s="938"/>
      <c r="QG131" s="938"/>
      <c r="QH131" s="938"/>
      <c r="QI131" s="938"/>
      <c r="QJ131" s="938"/>
      <c r="QK131" s="938"/>
      <c r="QL131" s="938"/>
      <c r="QM131" s="938"/>
      <c r="QO131" s="938"/>
      <c r="QP131" s="938"/>
      <c r="QQ131" s="938"/>
      <c r="QR131" s="938"/>
      <c r="QS131" s="938"/>
      <c r="QT131" s="938"/>
      <c r="QU131" s="938"/>
      <c r="QV131" s="938"/>
      <c r="QW131" s="938"/>
      <c r="QX131" s="938"/>
      <c r="QY131" s="938"/>
      <c r="QZ131" s="938"/>
      <c r="RA131" s="938"/>
      <c r="RB131" s="938"/>
      <c r="RD131" s="938"/>
      <c r="RE131" s="938"/>
      <c r="RF131" s="938"/>
      <c r="RG131" s="938"/>
      <c r="RH131" s="938"/>
      <c r="RI131" s="938"/>
      <c r="RJ131" s="938"/>
      <c r="RK131" s="938"/>
      <c r="RL131" s="938"/>
      <c r="RM131" s="938"/>
      <c r="RN131" s="938"/>
      <c r="RO131" s="938"/>
      <c r="RP131" s="938"/>
      <c r="RQ131" s="938"/>
    </row>
    <row r="132" spans="1:485" x14ac:dyDescent="0.2">
      <c r="A132" s="685" t="s">
        <v>1355</v>
      </c>
    </row>
    <row r="133" spans="1:485" x14ac:dyDescent="0.2">
      <c r="A133" s="685" t="s">
        <v>1353</v>
      </c>
      <c r="C133" s="34">
        <v>44471</v>
      </c>
      <c r="AE133"/>
      <c r="AF133" s="691">
        <v>1</v>
      </c>
      <c r="AG133" s="70">
        <f>COLUMN(AG133)-COLUMN($AF$133)+1</f>
        <v>2</v>
      </c>
      <c r="AH133" s="70">
        <f>COLUMN(AH133)-COLUMN($AF$133)+1</f>
        <v>3</v>
      </c>
    </row>
    <row r="134" spans="1:485" x14ac:dyDescent="0.2">
      <c r="A134" s="685" t="s">
        <v>1354</v>
      </c>
      <c r="AC134" t="s">
        <v>1415</v>
      </c>
      <c r="AE134"/>
      <c r="AF134" s="691"/>
      <c r="AG134" s="683" t="s">
        <v>1412</v>
      </c>
      <c r="AH134" t="s">
        <v>1410</v>
      </c>
      <c r="AK134" s="716" t="s">
        <v>191</v>
      </c>
      <c r="AL134" s="716" t="s">
        <v>171</v>
      </c>
      <c r="AZ134" s="882" t="s">
        <v>191</v>
      </c>
      <c r="BA134" s="882" t="s">
        <v>171</v>
      </c>
      <c r="BO134" s="882" t="s">
        <v>191</v>
      </c>
      <c r="BP134" s="882" t="s">
        <v>171</v>
      </c>
      <c r="CD134" s="882" t="s">
        <v>191</v>
      </c>
      <c r="CE134" s="882" t="s">
        <v>171</v>
      </c>
      <c r="CS134" s="882" t="s">
        <v>191</v>
      </c>
      <c r="CT134" s="882" t="s">
        <v>171</v>
      </c>
      <c r="DH134" s="882" t="s">
        <v>191</v>
      </c>
      <c r="DI134" s="882" t="s">
        <v>171</v>
      </c>
      <c r="DW134" s="882" t="s">
        <v>191</v>
      </c>
      <c r="DX134" s="882" t="s">
        <v>171</v>
      </c>
      <c r="EL134" s="882" t="s">
        <v>191</v>
      </c>
      <c r="EM134" s="882" t="s">
        <v>171</v>
      </c>
      <c r="FA134" s="882" t="s">
        <v>191</v>
      </c>
      <c r="FB134" s="882" t="s">
        <v>171</v>
      </c>
      <c r="FP134" s="882" t="s">
        <v>191</v>
      </c>
      <c r="FQ134" s="882" t="s">
        <v>171</v>
      </c>
      <c r="GE134" s="882" t="s">
        <v>191</v>
      </c>
      <c r="GF134" s="882" t="s">
        <v>171</v>
      </c>
      <c r="GT134" s="882" t="s">
        <v>191</v>
      </c>
      <c r="GU134" s="882" t="s">
        <v>171</v>
      </c>
      <c r="HI134" s="882" t="s">
        <v>191</v>
      </c>
      <c r="HJ134" s="882" t="s">
        <v>171</v>
      </c>
      <c r="HX134" s="882" t="s">
        <v>191</v>
      </c>
      <c r="HY134" s="882" t="s">
        <v>171</v>
      </c>
      <c r="IM134" s="882" t="s">
        <v>191</v>
      </c>
      <c r="IN134" s="882" t="s">
        <v>171</v>
      </c>
      <c r="JB134" s="882" t="s">
        <v>191</v>
      </c>
      <c r="JC134" s="882" t="s">
        <v>171</v>
      </c>
      <c r="JQ134" s="882" t="s">
        <v>191</v>
      </c>
      <c r="JR134" s="882" t="s">
        <v>171</v>
      </c>
      <c r="KF134" s="882" t="s">
        <v>191</v>
      </c>
      <c r="KG134" s="882" t="s">
        <v>171</v>
      </c>
      <c r="KU134" s="882" t="s">
        <v>191</v>
      </c>
      <c r="KV134" s="882" t="s">
        <v>171</v>
      </c>
      <c r="LJ134" s="882" t="s">
        <v>191</v>
      </c>
      <c r="LK134" s="882" t="s">
        <v>171</v>
      </c>
      <c r="LY134" s="882" t="s">
        <v>191</v>
      </c>
      <c r="LZ134" s="882" t="s">
        <v>171</v>
      </c>
      <c r="MN134" s="882" t="s">
        <v>191</v>
      </c>
      <c r="MO134" s="882" t="s">
        <v>171</v>
      </c>
      <c r="NC134" s="882" t="s">
        <v>191</v>
      </c>
      <c r="ND134" s="882" t="s">
        <v>171</v>
      </c>
      <c r="NR134" s="882" t="s">
        <v>191</v>
      </c>
      <c r="NS134" s="882" t="s">
        <v>171</v>
      </c>
      <c r="OG134" s="882" t="s">
        <v>191</v>
      </c>
      <c r="OH134" s="882" t="s">
        <v>171</v>
      </c>
      <c r="OV134" s="882" t="s">
        <v>191</v>
      </c>
      <c r="OW134" s="882" t="s">
        <v>171</v>
      </c>
      <c r="PK134" s="882" t="s">
        <v>191</v>
      </c>
      <c r="PL134" s="882" t="s">
        <v>171</v>
      </c>
      <c r="PZ134" s="882" t="s">
        <v>191</v>
      </c>
      <c r="QA134" s="882" t="s">
        <v>171</v>
      </c>
      <c r="QO134" s="882" t="s">
        <v>191</v>
      </c>
      <c r="QP134" s="882" t="s">
        <v>171</v>
      </c>
      <c r="RD134" s="882" t="s">
        <v>191</v>
      </c>
      <c r="RE134" s="882" t="s">
        <v>171</v>
      </c>
    </row>
    <row r="135" spans="1:485" x14ac:dyDescent="0.2">
      <c r="AB135" s="714" t="str">
        <f t="shared" ref="AB135:AB166" si="842">IF(LARGE($AC$135:$AC$198,AE135)=0,"",VLOOKUP(LARGE($AC$135:$AC$198,AE135),$AC$135:$AH$198,4,FALSE))</f>
        <v/>
      </c>
      <c r="AC135" s="714">
        <f t="shared" ref="AC135:AC166" si="843">IF(AG135&gt;0,AG135+AD135,0)</f>
        <v>0</v>
      </c>
      <c r="AD135" s="714">
        <v>1.0000000000000001E-5</v>
      </c>
      <c r="AE135">
        <v>1</v>
      </c>
      <c r="AF135" t="str" cm="1">
        <f t="array" ref="AF135:AF188">Tab_org21[Dünger]</f>
        <v xml:space="preserve"> --</v>
      </c>
      <c r="AG135" s="683">
        <f t="shared" ref="AG135:AG166" si="844">SUMIF($AJ$134:$XFD$134,"ges",AJ135:XFD135)</f>
        <v>0</v>
      </c>
      <c r="AH135" s="714">
        <f t="shared" ref="AH135:AH166" si="845">SUMIF($AJ$134:$XFD$134,"rot",AJ135:XFD135)</f>
        <v>0</v>
      </c>
      <c r="AK135">
        <f t="shared" ref="AK135:AK166" si="846">IF(AJ$5=$AF135,SUMIF($E$14:$E$113,"x",AM$14:AM$113)," ")</f>
        <v>0</v>
      </c>
      <c r="AL135" s="714">
        <f t="shared" ref="AL135:AL166" si="847">IF(AJ$5=$AF135,SUMIFS(AM$14:AM$113,$C$14:$C$113,1,$E$14:$E$113,"x")," ")</f>
        <v>0</v>
      </c>
      <c r="AZ135" s="938">
        <f t="shared" ref="AZ135:AZ166" si="848">IF(AY$5=$AF135,SUMIF($E$14:$E$113,"x",BB$14:BB$113)," ")</f>
        <v>0</v>
      </c>
      <c r="BA135" s="938">
        <f t="shared" ref="BA135:BA166" si="849">IF(AY$5=$AF135,SUMIFS(BB$14:BB$113,$C$14:$C$113,1,$E$14:$E$113,"x")," ")</f>
        <v>0</v>
      </c>
      <c r="BO135" s="938">
        <f t="shared" ref="BO135:BO166" si="850">IF(BN$5=$AF135,SUMIF($E$14:$E$113,"x",BQ$14:BQ$113)," ")</f>
        <v>0</v>
      </c>
      <c r="BP135" s="938">
        <f t="shared" ref="BP135:BP166" si="851">IF(BN$5=$AF135,SUMIFS(BQ$14:BQ$113,$C$14:$C$113,1,$E$14:$E$113,"x")," ")</f>
        <v>0</v>
      </c>
      <c r="CD135" s="938">
        <f t="shared" ref="CD135:CD166" si="852">IF(CC$5=$AF135,SUMIF($E$14:$E$113,"x",CF$14:CF$113)," ")</f>
        <v>0</v>
      </c>
      <c r="CE135" s="938">
        <f t="shared" ref="CE135:CE166" si="853">IF(CC$5=$AF135,SUMIFS(CF$14:CF$113,$C$14:$C$113,1,$E$14:$E$113,"x")," ")</f>
        <v>0</v>
      </c>
      <c r="CS135" s="938">
        <f t="shared" ref="CS135:CS166" si="854">IF(CR$5=$AF135,SUMIF($E$14:$E$113,"x",CU$14:CU$113)," ")</f>
        <v>0</v>
      </c>
      <c r="CT135" s="938">
        <f t="shared" ref="CT135:CT166" si="855">IF(CR$5=$AF135,SUMIFS(CU$14:CU$113,$C$14:$C$113,1,$E$14:$E$113,"x")," ")</f>
        <v>0</v>
      </c>
      <c r="DH135" s="938">
        <f t="shared" ref="DH135:DH166" si="856">IF(DG$5=$AF135,SUMIF($E$14:$E$113,"x",DJ$14:DJ$113)," ")</f>
        <v>0</v>
      </c>
      <c r="DI135" s="938">
        <f t="shared" ref="DI135:DI166" si="857">IF(DG$5=$AF135,SUMIFS(DJ$14:DJ$113,$C$14:$C$113,1,$E$14:$E$113,"x")," ")</f>
        <v>0</v>
      </c>
      <c r="DW135" s="938">
        <f t="shared" ref="DW135:DW166" si="858">IF(DV$5=$AF135,SUMIF($E$14:$E$113,"x",DY$14:DY$113)," ")</f>
        <v>0</v>
      </c>
      <c r="DX135" s="938">
        <f t="shared" ref="DX135:DX166" si="859">IF(DV$5=$AF135,SUMIFS(DY$14:DY$113,$C$14:$C$113,1,$E$14:$E$113,"x")," ")</f>
        <v>0</v>
      </c>
      <c r="EL135" s="938">
        <f t="shared" ref="EL135:EL166" si="860">IF(EK$5=$AF135,SUMIF($E$14:$E$113,"x",EN$14:EN$113)," ")</f>
        <v>0</v>
      </c>
      <c r="EM135" s="938">
        <f t="shared" ref="EM135:EM166" si="861">IF(EK$5=$AF135,SUMIFS(EN$14:EN$113,$C$14:$C$113,1,$E$14:$E$113,"x")," ")</f>
        <v>0</v>
      </c>
      <c r="FA135" s="938">
        <f t="shared" ref="FA135:FA166" si="862">IF(EZ$5=$AF135,SUMIF($E$14:$E$113,"x",FC$14:FC$113)," ")</f>
        <v>0</v>
      </c>
      <c r="FB135" s="938">
        <f t="shared" ref="FB135:FB166" si="863">IF(EZ$5=$AF135,SUMIFS(FC$14:FC$113,$C$14:$C$113,1,$E$14:$E$113,"x")," ")</f>
        <v>0</v>
      </c>
      <c r="FP135" s="938">
        <f t="shared" ref="FP135:FP166" si="864">IF(FO$5=$AF135,SUMIF($E$14:$E$113,"x",FR$14:FR$113)," ")</f>
        <v>0</v>
      </c>
      <c r="FQ135" s="938">
        <f t="shared" ref="FQ135:FQ166" si="865">IF(FO$5=$AF135,SUMIFS(FR$14:FR$113,$C$14:$C$113,1,$E$14:$E$113,"x")," ")</f>
        <v>0</v>
      </c>
      <c r="GE135" s="938">
        <f t="shared" ref="GE135:GE166" si="866">IF(GD$5=$AF135,SUMIF($E$14:$E$113,"x",GG$14:GG$113)," ")</f>
        <v>0</v>
      </c>
      <c r="GF135" s="938">
        <f t="shared" ref="GF135:GF166" si="867">IF(GD$5=$AF135,SUMIFS(GG$14:GG$113,$C$14:$C$113,1,$E$14:$E$113,"x")," ")</f>
        <v>0</v>
      </c>
      <c r="GT135" s="938">
        <f t="shared" ref="GT135:GT166" si="868">IF(GS$5=$AF135,SUMIF($E$14:$E$113,"x",GV$14:GV$113)," ")</f>
        <v>0</v>
      </c>
      <c r="GU135" s="938">
        <f t="shared" ref="GU135:GU166" si="869">IF(GS$5=$AF135,SUMIFS(GV$14:GV$113,$C$14:$C$113,1,$E$14:$E$113,"x")," ")</f>
        <v>0</v>
      </c>
      <c r="HI135" s="938">
        <f t="shared" ref="HI135:HI166" si="870">IF(HH$5=$AF135,SUMIF($E$14:$E$113,"x",HK$14:HK$113)," ")</f>
        <v>0</v>
      </c>
      <c r="HJ135" s="938">
        <f t="shared" ref="HJ135:HJ166" si="871">IF(HH$5=$AF135,SUMIFS(HK$14:HK$113,$C$14:$C$113,1,$E$14:$E$113,"x")," ")</f>
        <v>0</v>
      </c>
      <c r="HX135" s="938">
        <f t="shared" ref="HX135:HX166" si="872">IF(HW$5=$AF135,SUMIF($E$14:$E$113,"x",HZ$14:HZ$113)," ")</f>
        <v>0</v>
      </c>
      <c r="HY135" s="938">
        <f t="shared" ref="HY135:HY166" si="873">IF(HW$5=$AF135,SUMIFS(HZ$14:HZ$113,$C$14:$C$113,1,$E$14:$E$113,"x")," ")</f>
        <v>0</v>
      </c>
      <c r="IM135" s="938">
        <f t="shared" ref="IM135:IM166" si="874">IF(IL$5=$AF135,SUMIF($E$14:$E$113,"x",IO$14:IO$113)," ")</f>
        <v>0</v>
      </c>
      <c r="IN135" s="938">
        <f t="shared" ref="IN135:IN166" si="875">IF(IL$5=$AF135,SUMIFS(IO$14:IO$113,$C$14:$C$113,1,$E$14:$E$113,"x")," ")</f>
        <v>0</v>
      </c>
      <c r="JB135" s="938">
        <f t="shared" ref="JB135:JB166" si="876">IF(JA$5=$AF135,SUMIF($E$14:$E$113,"x",JD$14:JD$113)," ")</f>
        <v>0</v>
      </c>
      <c r="JC135" s="938">
        <f t="shared" ref="JC135:JC166" si="877">IF(JA$5=$AF135,SUMIFS(JD$14:JD$113,$C$14:$C$113,1,$E$14:$E$113,"x")," ")</f>
        <v>0</v>
      </c>
      <c r="JQ135" s="938">
        <f t="shared" ref="JQ135:JQ166" si="878">IF(JP$5=$AF135,SUMIF($E$14:$E$113,"x",JS$14:JS$113)," ")</f>
        <v>0</v>
      </c>
      <c r="JR135" s="938">
        <f t="shared" ref="JR135:JR166" si="879">IF(JP$5=$AF135,SUMIFS(JS$14:JS$113,$C$14:$C$113,1,$E$14:$E$113,"x")," ")</f>
        <v>0</v>
      </c>
      <c r="KF135" s="938">
        <f t="shared" ref="KF135:KF166" si="880">IF(KE$5=$AF135,SUMIF($E$14:$E$113,"x",KH$14:KH$113)," ")</f>
        <v>0</v>
      </c>
      <c r="KG135" s="938">
        <f t="shared" ref="KG135:KG166" si="881">IF(KE$5=$AF135,SUMIFS(KH$14:KH$113,$C$14:$C$113,1,$E$14:$E$113,"x")," ")</f>
        <v>0</v>
      </c>
      <c r="KU135" s="938">
        <f t="shared" ref="KU135:KU166" si="882">IF(KT$5=$AF135,SUMIF($E$14:$E$113,"x",KW$14:KW$113)," ")</f>
        <v>0</v>
      </c>
      <c r="KV135" s="938">
        <f t="shared" ref="KV135:KV166" si="883">IF(KT$5=$AF135,SUMIFS(KW$14:KW$113,$C$14:$C$113,1,$E$14:$E$113,"x")," ")</f>
        <v>0</v>
      </c>
      <c r="LJ135" s="938">
        <f t="shared" ref="LJ135:LJ166" si="884">IF(LI$5=$AF135,SUMIF($E$14:$E$113,"x",LL$14:LL$113)," ")</f>
        <v>0</v>
      </c>
      <c r="LK135" s="938">
        <f t="shared" ref="LK135:LK166" si="885">IF(LI$5=$AF135,SUMIFS(LL$14:LL$113,$C$14:$C$113,1,$E$14:$E$113,"x")," ")</f>
        <v>0</v>
      </c>
      <c r="LY135" s="938">
        <f t="shared" ref="LY135:LY166" si="886">IF(LX$5=$AF135,SUMIF($E$14:$E$113,"x",MA$14:MA$113)," ")</f>
        <v>0</v>
      </c>
      <c r="LZ135" s="938">
        <f t="shared" ref="LZ135:LZ166" si="887">IF(LX$5=$AF135,SUMIFS(MA$14:MA$113,$C$14:$C$113,1,$E$14:$E$113,"x")," ")</f>
        <v>0</v>
      </c>
      <c r="MN135" s="938">
        <f t="shared" ref="MN135:MN166" si="888">IF(MM$5=$AF135,SUMIF($E$14:$E$113,"x",MP$14:MP$113)," ")</f>
        <v>0</v>
      </c>
      <c r="MO135" s="938">
        <f t="shared" ref="MO135:MO166" si="889">IF(MM$5=$AF135,SUMIFS(MP$14:MP$113,$C$14:$C$113,1,$E$14:$E$113,"x")," ")</f>
        <v>0</v>
      </c>
      <c r="NC135" s="938">
        <f t="shared" ref="NC135:NC166" si="890">IF(NB$5=$AF135,SUMIF($E$14:$E$113,"x",NE$14:NE$113)," ")</f>
        <v>0</v>
      </c>
      <c r="ND135" s="938">
        <f t="shared" ref="ND135:ND166" si="891">IF(NB$5=$AF135,SUMIFS(NE$14:NE$113,$C$14:$C$113,1,$E$14:$E$113,"x")," ")</f>
        <v>0</v>
      </c>
      <c r="NR135" s="938">
        <f t="shared" ref="NR135:NR166" si="892">IF(NQ$5=$AF135,SUMIF($E$14:$E$113,"x",NT$14:NT$113)," ")</f>
        <v>0</v>
      </c>
      <c r="NS135" s="938">
        <f t="shared" ref="NS135:NS166" si="893">IF(NQ$5=$AF135,SUMIFS(NT$14:NT$113,$C$14:$C$113,1,$E$14:$E$113,"x")," ")</f>
        <v>0</v>
      </c>
      <c r="OG135" s="938">
        <f t="shared" ref="OG135:OG166" si="894">IF(OF$5=$AF135,SUMIF($E$14:$E$113,"x",OI$14:OI$113)," ")</f>
        <v>0</v>
      </c>
      <c r="OH135" s="938">
        <f t="shared" ref="OH135:OH166" si="895">IF(OF$5=$AF135,SUMIFS(OI$14:OI$113,$C$14:$C$113,1,$E$14:$E$113,"x")," ")</f>
        <v>0</v>
      </c>
      <c r="OV135" s="938">
        <f t="shared" ref="OV135:OV166" si="896">IF(OU$5=$AF135,SUMIF($E$14:$E$113,"x",OX$14:OX$113)," ")</f>
        <v>0</v>
      </c>
      <c r="OW135" s="938">
        <f t="shared" ref="OW135:OW166" si="897">IF(OU$5=$AF135,SUMIFS(OX$14:OX$113,$C$14:$C$113,1,$E$14:$E$113,"x")," ")</f>
        <v>0</v>
      </c>
      <c r="PK135" s="938">
        <f t="shared" ref="PK135:PK166" si="898">IF(PJ$5=$AF135,SUMIF($E$14:$E$113,"x",PM$14:PM$113)," ")</f>
        <v>0</v>
      </c>
      <c r="PL135" s="938">
        <f t="shared" ref="PL135:PL166" si="899">IF(PJ$5=$AF135,SUMIFS(PM$14:PM$113,$C$14:$C$113,1,$E$14:$E$113,"x")," ")</f>
        <v>0</v>
      </c>
      <c r="PZ135" s="938">
        <f t="shared" ref="PZ135:PZ166" si="900">IF(PY$5=$AF135,SUMIF($E$14:$E$113,"x",QB$14:QB$113)," ")</f>
        <v>0</v>
      </c>
      <c r="QA135" s="938">
        <f t="shared" ref="QA135:QA166" si="901">IF(PY$5=$AF135,SUMIFS(QB$14:QB$113,$C$14:$C$113,1,$E$14:$E$113,"x")," ")</f>
        <v>0</v>
      </c>
      <c r="QO135" s="938">
        <f t="shared" ref="QO135:QO166" si="902">IF(QN$5=$AF135,SUMIF($E$14:$E$113,"x",QQ$14:QQ$113)," ")</f>
        <v>0</v>
      </c>
      <c r="QP135" s="938">
        <f t="shared" ref="QP135:QP166" si="903">IF(QN$5=$AF135,SUMIFS(QQ$14:QQ$113,$C$14:$C$113,1,$E$14:$E$113,"x")," ")</f>
        <v>0</v>
      </c>
      <c r="RD135" s="938">
        <f t="shared" ref="RD135:RD166" si="904">IF(RC$5=$AF135,SUMIF($E$14:$E$113,"x",RF$14:RF$113)," ")</f>
        <v>0</v>
      </c>
      <c r="RE135" s="938">
        <f t="shared" ref="RE135:RE166" si="905">IF(RC$5=$AF135,SUMIFS(RF$14:RF$113,$C$14:$C$113,1,$E$14:$E$113,"x")," ")</f>
        <v>0</v>
      </c>
    </row>
    <row r="136" spans="1:485" x14ac:dyDescent="0.2">
      <c r="AB136" s="836" t="str">
        <f t="shared" si="842"/>
        <v/>
      </c>
      <c r="AC136" s="714">
        <f t="shared" si="843"/>
        <v>0</v>
      </c>
      <c r="AD136" s="714">
        <v>2.0000000000000002E-5</v>
      </c>
      <c r="AE136">
        <v>2</v>
      </c>
      <c r="AF136" t="str">
        <v xml:space="preserve"> +eigene+</v>
      </c>
      <c r="AG136" s="714">
        <f t="shared" si="844"/>
        <v>0</v>
      </c>
      <c r="AH136" s="714">
        <f t="shared" si="845"/>
        <v>0</v>
      </c>
      <c r="AK136" s="938" t="str">
        <f t="shared" si="846"/>
        <v xml:space="preserve"> </v>
      </c>
      <c r="AL136" s="938" t="str">
        <f t="shared" si="847"/>
        <v xml:space="preserve"> </v>
      </c>
      <c r="AZ136" s="938" t="str">
        <f t="shared" si="848"/>
        <v xml:space="preserve"> </v>
      </c>
      <c r="BA136" s="938" t="str">
        <f t="shared" si="849"/>
        <v xml:space="preserve"> </v>
      </c>
      <c r="BO136" s="938" t="str">
        <f t="shared" si="850"/>
        <v xml:space="preserve"> </v>
      </c>
      <c r="BP136" s="938" t="str">
        <f t="shared" si="851"/>
        <v xml:space="preserve"> </v>
      </c>
      <c r="CD136" s="938" t="str">
        <f t="shared" si="852"/>
        <v xml:space="preserve"> </v>
      </c>
      <c r="CE136" s="938" t="str">
        <f t="shared" si="853"/>
        <v xml:space="preserve"> </v>
      </c>
      <c r="CS136" s="938" t="str">
        <f t="shared" si="854"/>
        <v xml:space="preserve"> </v>
      </c>
      <c r="CT136" s="938" t="str">
        <f t="shared" si="855"/>
        <v xml:space="preserve"> </v>
      </c>
      <c r="DH136" s="938" t="str">
        <f t="shared" si="856"/>
        <v xml:space="preserve"> </v>
      </c>
      <c r="DI136" s="938" t="str">
        <f t="shared" si="857"/>
        <v xml:space="preserve"> </v>
      </c>
      <c r="DW136" s="938" t="str">
        <f t="shared" si="858"/>
        <v xml:space="preserve"> </v>
      </c>
      <c r="DX136" s="938" t="str">
        <f t="shared" si="859"/>
        <v xml:space="preserve"> </v>
      </c>
      <c r="EL136" s="938" t="str">
        <f t="shared" si="860"/>
        <v xml:space="preserve"> </v>
      </c>
      <c r="EM136" s="938" t="str">
        <f t="shared" si="861"/>
        <v xml:space="preserve"> </v>
      </c>
      <c r="FA136" s="938" t="str">
        <f t="shared" si="862"/>
        <v xml:space="preserve"> </v>
      </c>
      <c r="FB136" s="938" t="str">
        <f t="shared" si="863"/>
        <v xml:space="preserve"> </v>
      </c>
      <c r="FP136" s="938" t="str">
        <f t="shared" si="864"/>
        <v xml:space="preserve"> </v>
      </c>
      <c r="FQ136" s="938" t="str">
        <f t="shared" si="865"/>
        <v xml:space="preserve"> </v>
      </c>
      <c r="GE136" s="938" t="str">
        <f t="shared" si="866"/>
        <v xml:space="preserve"> </v>
      </c>
      <c r="GF136" s="938" t="str">
        <f t="shared" si="867"/>
        <v xml:space="preserve"> </v>
      </c>
      <c r="GT136" s="938" t="str">
        <f t="shared" si="868"/>
        <v xml:space="preserve"> </v>
      </c>
      <c r="GU136" s="938" t="str">
        <f t="shared" si="869"/>
        <v xml:space="preserve"> </v>
      </c>
      <c r="HI136" s="938" t="str">
        <f t="shared" si="870"/>
        <v xml:space="preserve"> </v>
      </c>
      <c r="HJ136" s="938" t="str">
        <f t="shared" si="871"/>
        <v xml:space="preserve"> </v>
      </c>
      <c r="HX136" s="938" t="str">
        <f t="shared" si="872"/>
        <v xml:space="preserve"> </v>
      </c>
      <c r="HY136" s="938" t="str">
        <f t="shared" si="873"/>
        <v xml:space="preserve"> </v>
      </c>
      <c r="IM136" s="938" t="str">
        <f t="shared" si="874"/>
        <v xml:space="preserve"> </v>
      </c>
      <c r="IN136" s="938" t="str">
        <f t="shared" si="875"/>
        <v xml:space="preserve"> </v>
      </c>
      <c r="JB136" s="938" t="str">
        <f t="shared" si="876"/>
        <v xml:space="preserve"> </v>
      </c>
      <c r="JC136" s="938" t="str">
        <f t="shared" si="877"/>
        <v xml:space="preserve"> </v>
      </c>
      <c r="JQ136" s="938" t="str">
        <f t="shared" si="878"/>
        <v xml:space="preserve"> </v>
      </c>
      <c r="JR136" s="938" t="str">
        <f t="shared" si="879"/>
        <v xml:space="preserve"> </v>
      </c>
      <c r="KF136" s="938" t="str">
        <f t="shared" si="880"/>
        <v xml:space="preserve"> </v>
      </c>
      <c r="KG136" s="938" t="str">
        <f t="shared" si="881"/>
        <v xml:space="preserve"> </v>
      </c>
      <c r="KU136" s="938" t="str">
        <f t="shared" si="882"/>
        <v xml:space="preserve"> </v>
      </c>
      <c r="KV136" s="938" t="str">
        <f t="shared" si="883"/>
        <v xml:space="preserve"> </v>
      </c>
      <c r="LJ136" s="938" t="str">
        <f t="shared" si="884"/>
        <v xml:space="preserve"> </v>
      </c>
      <c r="LK136" s="938" t="str">
        <f t="shared" si="885"/>
        <v xml:space="preserve"> </v>
      </c>
      <c r="LY136" s="938" t="str">
        <f t="shared" si="886"/>
        <v xml:space="preserve"> </v>
      </c>
      <c r="LZ136" s="938" t="str">
        <f t="shared" si="887"/>
        <v xml:space="preserve"> </v>
      </c>
      <c r="MN136" s="938" t="str">
        <f t="shared" si="888"/>
        <v xml:space="preserve"> </v>
      </c>
      <c r="MO136" s="938" t="str">
        <f t="shared" si="889"/>
        <v xml:space="preserve"> </v>
      </c>
      <c r="NC136" s="938" t="str">
        <f t="shared" si="890"/>
        <v xml:space="preserve"> </v>
      </c>
      <c r="ND136" s="938" t="str">
        <f t="shared" si="891"/>
        <v xml:space="preserve"> </v>
      </c>
      <c r="NR136" s="938" t="str">
        <f t="shared" si="892"/>
        <v xml:space="preserve"> </v>
      </c>
      <c r="NS136" s="938" t="str">
        <f t="shared" si="893"/>
        <v xml:space="preserve"> </v>
      </c>
      <c r="OG136" s="938" t="str">
        <f t="shared" si="894"/>
        <v xml:space="preserve"> </v>
      </c>
      <c r="OH136" s="938" t="str">
        <f t="shared" si="895"/>
        <v xml:space="preserve"> </v>
      </c>
      <c r="OV136" s="938" t="str">
        <f t="shared" si="896"/>
        <v xml:space="preserve"> </v>
      </c>
      <c r="OW136" s="938" t="str">
        <f t="shared" si="897"/>
        <v xml:space="preserve"> </v>
      </c>
      <c r="PK136" s="938" t="str">
        <f t="shared" si="898"/>
        <v xml:space="preserve"> </v>
      </c>
      <c r="PL136" s="938" t="str">
        <f t="shared" si="899"/>
        <v xml:space="preserve"> </v>
      </c>
      <c r="PZ136" s="938" t="str">
        <f t="shared" si="900"/>
        <v xml:space="preserve"> </v>
      </c>
      <c r="QA136" s="938" t="str">
        <f t="shared" si="901"/>
        <v xml:space="preserve"> </v>
      </c>
      <c r="QO136" s="938" t="str">
        <f t="shared" si="902"/>
        <v xml:space="preserve"> </v>
      </c>
      <c r="QP136" s="938" t="str">
        <f t="shared" si="903"/>
        <v xml:space="preserve"> </v>
      </c>
      <c r="RD136" s="938" t="str">
        <f t="shared" si="904"/>
        <v xml:space="preserve"> </v>
      </c>
      <c r="RE136" s="938" t="str">
        <f t="shared" si="905"/>
        <v xml:space="preserve"> </v>
      </c>
    </row>
    <row r="137" spans="1:485" x14ac:dyDescent="0.2">
      <c r="AB137" s="836" t="str">
        <f t="shared" si="842"/>
        <v/>
      </c>
      <c r="AC137" s="714">
        <f t="shared" si="843"/>
        <v>0</v>
      </c>
      <c r="AD137" s="714">
        <v>3.0000000000000001E-5</v>
      </c>
      <c r="AE137" s="714">
        <v>3</v>
      </c>
      <c r="AF137" t="str">
        <v>#</v>
      </c>
      <c r="AG137" s="714">
        <f t="shared" si="844"/>
        <v>0</v>
      </c>
      <c r="AH137" s="714">
        <f t="shared" si="845"/>
        <v>0</v>
      </c>
      <c r="AK137" s="938" t="str">
        <f t="shared" si="846"/>
        <v xml:space="preserve"> </v>
      </c>
      <c r="AL137" s="938" t="str">
        <f t="shared" si="847"/>
        <v xml:space="preserve"> </v>
      </c>
      <c r="AZ137" s="938" t="str">
        <f t="shared" si="848"/>
        <v xml:space="preserve"> </v>
      </c>
      <c r="BA137" s="938" t="str">
        <f t="shared" si="849"/>
        <v xml:space="preserve"> </v>
      </c>
      <c r="BO137" s="938" t="str">
        <f t="shared" si="850"/>
        <v xml:space="preserve"> </v>
      </c>
      <c r="BP137" s="938" t="str">
        <f t="shared" si="851"/>
        <v xml:space="preserve"> </v>
      </c>
      <c r="CD137" s="938" t="str">
        <f t="shared" si="852"/>
        <v xml:space="preserve"> </v>
      </c>
      <c r="CE137" s="938" t="str">
        <f t="shared" si="853"/>
        <v xml:space="preserve"> </v>
      </c>
      <c r="CS137" s="938" t="str">
        <f t="shared" si="854"/>
        <v xml:space="preserve"> </v>
      </c>
      <c r="CT137" s="938" t="str">
        <f t="shared" si="855"/>
        <v xml:space="preserve"> </v>
      </c>
      <c r="DH137" s="938" t="str">
        <f t="shared" si="856"/>
        <v xml:space="preserve"> </v>
      </c>
      <c r="DI137" s="938" t="str">
        <f t="shared" si="857"/>
        <v xml:space="preserve"> </v>
      </c>
      <c r="DW137" s="938" t="str">
        <f t="shared" si="858"/>
        <v xml:space="preserve"> </v>
      </c>
      <c r="DX137" s="938" t="str">
        <f t="shared" si="859"/>
        <v xml:space="preserve"> </v>
      </c>
      <c r="EL137" s="938" t="str">
        <f t="shared" si="860"/>
        <v xml:space="preserve"> </v>
      </c>
      <c r="EM137" s="938" t="str">
        <f t="shared" si="861"/>
        <v xml:space="preserve"> </v>
      </c>
      <c r="FA137" s="938" t="str">
        <f t="shared" si="862"/>
        <v xml:space="preserve"> </v>
      </c>
      <c r="FB137" s="938" t="str">
        <f t="shared" si="863"/>
        <v xml:space="preserve"> </v>
      </c>
      <c r="FP137" s="938" t="str">
        <f t="shared" si="864"/>
        <v xml:space="preserve"> </v>
      </c>
      <c r="FQ137" s="938" t="str">
        <f t="shared" si="865"/>
        <v xml:space="preserve"> </v>
      </c>
      <c r="GE137" s="938" t="str">
        <f t="shared" si="866"/>
        <v xml:space="preserve"> </v>
      </c>
      <c r="GF137" s="938" t="str">
        <f t="shared" si="867"/>
        <v xml:space="preserve"> </v>
      </c>
      <c r="GT137" s="938" t="str">
        <f t="shared" si="868"/>
        <v xml:space="preserve"> </v>
      </c>
      <c r="GU137" s="938" t="str">
        <f t="shared" si="869"/>
        <v xml:space="preserve"> </v>
      </c>
      <c r="HI137" s="938" t="str">
        <f t="shared" si="870"/>
        <v xml:space="preserve"> </v>
      </c>
      <c r="HJ137" s="938" t="str">
        <f t="shared" si="871"/>
        <v xml:space="preserve"> </v>
      </c>
      <c r="HX137" s="938" t="str">
        <f t="shared" si="872"/>
        <v xml:space="preserve"> </v>
      </c>
      <c r="HY137" s="938" t="str">
        <f t="shared" si="873"/>
        <v xml:space="preserve"> </v>
      </c>
      <c r="IM137" s="938" t="str">
        <f t="shared" si="874"/>
        <v xml:space="preserve"> </v>
      </c>
      <c r="IN137" s="938" t="str">
        <f t="shared" si="875"/>
        <v xml:space="preserve"> </v>
      </c>
      <c r="JB137" s="938" t="str">
        <f t="shared" si="876"/>
        <v xml:space="preserve"> </v>
      </c>
      <c r="JC137" s="938" t="str">
        <f t="shared" si="877"/>
        <v xml:space="preserve"> </v>
      </c>
      <c r="JQ137" s="938" t="str">
        <f t="shared" si="878"/>
        <v xml:space="preserve"> </v>
      </c>
      <c r="JR137" s="938" t="str">
        <f t="shared" si="879"/>
        <v xml:space="preserve"> </v>
      </c>
      <c r="KF137" s="938" t="str">
        <f t="shared" si="880"/>
        <v xml:space="preserve"> </v>
      </c>
      <c r="KG137" s="938" t="str">
        <f t="shared" si="881"/>
        <v xml:space="preserve"> </v>
      </c>
      <c r="KU137" s="938" t="str">
        <f t="shared" si="882"/>
        <v xml:space="preserve"> </v>
      </c>
      <c r="KV137" s="938" t="str">
        <f t="shared" si="883"/>
        <v xml:space="preserve"> </v>
      </c>
      <c r="LJ137" s="938" t="str">
        <f t="shared" si="884"/>
        <v xml:space="preserve"> </v>
      </c>
      <c r="LK137" s="938" t="str">
        <f t="shared" si="885"/>
        <v xml:space="preserve"> </v>
      </c>
      <c r="LY137" s="938" t="str">
        <f t="shared" si="886"/>
        <v xml:space="preserve"> </v>
      </c>
      <c r="LZ137" s="938" t="str">
        <f t="shared" si="887"/>
        <v xml:space="preserve"> </v>
      </c>
      <c r="MN137" s="938" t="str">
        <f t="shared" si="888"/>
        <v xml:space="preserve"> </v>
      </c>
      <c r="MO137" s="938" t="str">
        <f t="shared" si="889"/>
        <v xml:space="preserve"> </v>
      </c>
      <c r="NC137" s="938" t="str">
        <f t="shared" si="890"/>
        <v xml:space="preserve"> </v>
      </c>
      <c r="ND137" s="938" t="str">
        <f t="shared" si="891"/>
        <v xml:space="preserve"> </v>
      </c>
      <c r="NR137" s="938" t="str">
        <f t="shared" si="892"/>
        <v xml:space="preserve"> </v>
      </c>
      <c r="NS137" s="938" t="str">
        <f t="shared" si="893"/>
        <v xml:space="preserve"> </v>
      </c>
      <c r="OG137" s="938" t="str">
        <f t="shared" si="894"/>
        <v xml:space="preserve"> </v>
      </c>
      <c r="OH137" s="938" t="str">
        <f t="shared" si="895"/>
        <v xml:space="preserve"> </v>
      </c>
      <c r="OV137" s="938" t="str">
        <f t="shared" si="896"/>
        <v xml:space="preserve"> </v>
      </c>
      <c r="OW137" s="938" t="str">
        <f t="shared" si="897"/>
        <v xml:space="preserve"> </v>
      </c>
      <c r="PK137" s="938" t="str">
        <f t="shared" si="898"/>
        <v xml:space="preserve"> </v>
      </c>
      <c r="PL137" s="938" t="str">
        <f t="shared" si="899"/>
        <v xml:space="preserve"> </v>
      </c>
      <c r="PZ137" s="938" t="str">
        <f t="shared" si="900"/>
        <v xml:space="preserve"> </v>
      </c>
      <c r="QA137" s="938" t="str">
        <f t="shared" si="901"/>
        <v xml:space="preserve"> </v>
      </c>
      <c r="QO137" s="938" t="str">
        <f t="shared" si="902"/>
        <v xml:space="preserve"> </v>
      </c>
      <c r="QP137" s="938" t="str">
        <f t="shared" si="903"/>
        <v xml:space="preserve"> </v>
      </c>
      <c r="RD137" s="938" t="str">
        <f t="shared" si="904"/>
        <v xml:space="preserve"> </v>
      </c>
      <c r="RE137" s="938" t="str">
        <f t="shared" si="905"/>
        <v xml:space="preserve"> </v>
      </c>
    </row>
    <row r="138" spans="1:485" x14ac:dyDescent="0.2">
      <c r="C138" s="508"/>
      <c r="D138" s="508"/>
      <c r="E138" s="508"/>
      <c r="F138" s="508"/>
      <c r="G138" s="508"/>
      <c r="H138" s="508"/>
      <c r="I138" s="508"/>
      <c r="J138" s="508"/>
      <c r="K138" s="508"/>
      <c r="L138" s="508"/>
      <c r="M138" s="508"/>
      <c r="N138" s="508"/>
      <c r="O138" s="508"/>
      <c r="P138" s="508"/>
      <c r="Q138" s="508"/>
      <c r="R138" s="508"/>
      <c r="S138" s="508"/>
      <c r="T138" s="618"/>
      <c r="AB138" s="836" t="str">
        <f t="shared" si="842"/>
        <v/>
      </c>
      <c r="AC138" s="714">
        <f t="shared" si="843"/>
        <v>0</v>
      </c>
      <c r="AD138" s="714">
        <v>4.0000000000000003E-5</v>
      </c>
      <c r="AE138" s="714">
        <v>4</v>
      </c>
      <c r="AF138" t="str">
        <v>#</v>
      </c>
      <c r="AG138" s="714">
        <f t="shared" si="844"/>
        <v>0</v>
      </c>
      <c r="AH138" s="714">
        <f t="shared" si="845"/>
        <v>0</v>
      </c>
      <c r="AK138" s="938" t="str">
        <f t="shared" si="846"/>
        <v xml:space="preserve"> </v>
      </c>
      <c r="AL138" s="938" t="str">
        <f t="shared" si="847"/>
        <v xml:space="preserve"> </v>
      </c>
      <c r="AZ138" s="938" t="str">
        <f t="shared" si="848"/>
        <v xml:space="preserve"> </v>
      </c>
      <c r="BA138" s="938" t="str">
        <f t="shared" si="849"/>
        <v xml:space="preserve"> </v>
      </c>
      <c r="BO138" s="938" t="str">
        <f t="shared" si="850"/>
        <v xml:space="preserve"> </v>
      </c>
      <c r="BP138" s="938" t="str">
        <f t="shared" si="851"/>
        <v xml:space="preserve"> </v>
      </c>
      <c r="CD138" s="938" t="str">
        <f t="shared" si="852"/>
        <v xml:space="preserve"> </v>
      </c>
      <c r="CE138" s="938" t="str">
        <f t="shared" si="853"/>
        <v xml:space="preserve"> </v>
      </c>
      <c r="CS138" s="938" t="str">
        <f t="shared" si="854"/>
        <v xml:space="preserve"> </v>
      </c>
      <c r="CT138" s="938" t="str">
        <f t="shared" si="855"/>
        <v xml:space="preserve"> </v>
      </c>
      <c r="DH138" s="938" t="str">
        <f t="shared" si="856"/>
        <v xml:space="preserve"> </v>
      </c>
      <c r="DI138" s="938" t="str">
        <f t="shared" si="857"/>
        <v xml:space="preserve"> </v>
      </c>
      <c r="DW138" s="938" t="str">
        <f t="shared" si="858"/>
        <v xml:space="preserve"> </v>
      </c>
      <c r="DX138" s="938" t="str">
        <f t="shared" si="859"/>
        <v xml:space="preserve"> </v>
      </c>
      <c r="EL138" s="938" t="str">
        <f t="shared" si="860"/>
        <v xml:space="preserve"> </v>
      </c>
      <c r="EM138" s="938" t="str">
        <f t="shared" si="861"/>
        <v xml:space="preserve"> </v>
      </c>
      <c r="FA138" s="938" t="str">
        <f t="shared" si="862"/>
        <v xml:space="preserve"> </v>
      </c>
      <c r="FB138" s="938" t="str">
        <f t="shared" si="863"/>
        <v xml:space="preserve"> </v>
      </c>
      <c r="FP138" s="938" t="str">
        <f t="shared" si="864"/>
        <v xml:space="preserve"> </v>
      </c>
      <c r="FQ138" s="938" t="str">
        <f t="shared" si="865"/>
        <v xml:space="preserve"> </v>
      </c>
      <c r="GE138" s="938" t="str">
        <f t="shared" si="866"/>
        <v xml:space="preserve"> </v>
      </c>
      <c r="GF138" s="938" t="str">
        <f t="shared" si="867"/>
        <v xml:space="preserve"> </v>
      </c>
      <c r="GT138" s="938" t="str">
        <f t="shared" si="868"/>
        <v xml:space="preserve"> </v>
      </c>
      <c r="GU138" s="938" t="str">
        <f t="shared" si="869"/>
        <v xml:space="preserve"> </v>
      </c>
      <c r="HI138" s="938" t="str">
        <f t="shared" si="870"/>
        <v xml:space="preserve"> </v>
      </c>
      <c r="HJ138" s="938" t="str">
        <f t="shared" si="871"/>
        <v xml:space="preserve"> </v>
      </c>
      <c r="HX138" s="938" t="str">
        <f t="shared" si="872"/>
        <v xml:space="preserve"> </v>
      </c>
      <c r="HY138" s="938" t="str">
        <f t="shared" si="873"/>
        <v xml:space="preserve"> </v>
      </c>
      <c r="IM138" s="938" t="str">
        <f t="shared" si="874"/>
        <v xml:space="preserve"> </v>
      </c>
      <c r="IN138" s="938" t="str">
        <f t="shared" si="875"/>
        <v xml:space="preserve"> </v>
      </c>
      <c r="JB138" s="938" t="str">
        <f t="shared" si="876"/>
        <v xml:space="preserve"> </v>
      </c>
      <c r="JC138" s="938" t="str">
        <f t="shared" si="877"/>
        <v xml:space="preserve"> </v>
      </c>
      <c r="JQ138" s="938" t="str">
        <f t="shared" si="878"/>
        <v xml:space="preserve"> </v>
      </c>
      <c r="JR138" s="938" t="str">
        <f t="shared" si="879"/>
        <v xml:space="preserve"> </v>
      </c>
      <c r="KF138" s="938" t="str">
        <f t="shared" si="880"/>
        <v xml:space="preserve"> </v>
      </c>
      <c r="KG138" s="938" t="str">
        <f t="shared" si="881"/>
        <v xml:space="preserve"> </v>
      </c>
      <c r="KU138" s="938" t="str">
        <f t="shared" si="882"/>
        <v xml:space="preserve"> </v>
      </c>
      <c r="KV138" s="938" t="str">
        <f t="shared" si="883"/>
        <v xml:space="preserve"> </v>
      </c>
      <c r="LJ138" s="938" t="str">
        <f t="shared" si="884"/>
        <v xml:space="preserve"> </v>
      </c>
      <c r="LK138" s="938" t="str">
        <f t="shared" si="885"/>
        <v xml:space="preserve"> </v>
      </c>
      <c r="LY138" s="938" t="str">
        <f t="shared" si="886"/>
        <v xml:space="preserve"> </v>
      </c>
      <c r="LZ138" s="938" t="str">
        <f t="shared" si="887"/>
        <v xml:space="preserve"> </v>
      </c>
      <c r="MN138" s="938" t="str">
        <f t="shared" si="888"/>
        <v xml:space="preserve"> </v>
      </c>
      <c r="MO138" s="938" t="str">
        <f t="shared" si="889"/>
        <v xml:space="preserve"> </v>
      </c>
      <c r="NC138" s="938" t="str">
        <f t="shared" si="890"/>
        <v xml:space="preserve"> </v>
      </c>
      <c r="ND138" s="938" t="str">
        <f t="shared" si="891"/>
        <v xml:space="preserve"> </v>
      </c>
      <c r="NR138" s="938" t="str">
        <f t="shared" si="892"/>
        <v xml:space="preserve"> </v>
      </c>
      <c r="NS138" s="938" t="str">
        <f t="shared" si="893"/>
        <v xml:space="preserve"> </v>
      </c>
      <c r="OG138" s="938" t="str">
        <f t="shared" si="894"/>
        <v xml:space="preserve"> </v>
      </c>
      <c r="OH138" s="938" t="str">
        <f t="shared" si="895"/>
        <v xml:space="preserve"> </v>
      </c>
      <c r="OV138" s="938" t="str">
        <f t="shared" si="896"/>
        <v xml:space="preserve"> </v>
      </c>
      <c r="OW138" s="938" t="str">
        <f t="shared" si="897"/>
        <v xml:space="preserve"> </v>
      </c>
      <c r="PK138" s="938" t="str">
        <f t="shared" si="898"/>
        <v xml:space="preserve"> </v>
      </c>
      <c r="PL138" s="938" t="str">
        <f t="shared" si="899"/>
        <v xml:space="preserve"> </v>
      </c>
      <c r="PZ138" s="938" t="str">
        <f t="shared" si="900"/>
        <v xml:space="preserve"> </v>
      </c>
      <c r="QA138" s="938" t="str">
        <f t="shared" si="901"/>
        <v xml:space="preserve"> </v>
      </c>
      <c r="QO138" s="938" t="str">
        <f t="shared" si="902"/>
        <v xml:space="preserve"> </v>
      </c>
      <c r="QP138" s="938" t="str">
        <f t="shared" si="903"/>
        <v xml:space="preserve"> </v>
      </c>
      <c r="RD138" s="938" t="str">
        <f t="shared" si="904"/>
        <v xml:space="preserve"> </v>
      </c>
      <c r="RE138" s="938" t="str">
        <f t="shared" si="905"/>
        <v xml:space="preserve"> </v>
      </c>
    </row>
    <row r="139" spans="1:485" x14ac:dyDescent="0.2">
      <c r="C139" s="474"/>
      <c r="D139" s="474"/>
      <c r="E139" s="476"/>
      <c r="F139" s="474"/>
      <c r="G139" s="474"/>
      <c r="H139" s="474"/>
      <c r="I139" s="474"/>
      <c r="J139" s="474"/>
      <c r="K139" s="474"/>
      <c r="L139" s="474"/>
      <c r="M139" s="474"/>
      <c r="N139" s="474"/>
      <c r="O139" s="474"/>
      <c r="P139" s="474"/>
      <c r="Q139" s="474"/>
      <c r="R139" s="474"/>
      <c r="S139" s="474"/>
      <c r="T139" s="300"/>
      <c r="AB139" s="836" t="str">
        <f t="shared" si="842"/>
        <v/>
      </c>
      <c r="AC139" s="714">
        <f t="shared" si="843"/>
        <v>0</v>
      </c>
      <c r="AD139" s="714">
        <v>5.0000000000000002E-5</v>
      </c>
      <c r="AE139" s="714">
        <v>5</v>
      </c>
      <c r="AF139" t="str">
        <v>#</v>
      </c>
      <c r="AG139" s="714">
        <f t="shared" si="844"/>
        <v>0</v>
      </c>
      <c r="AH139" s="714">
        <f t="shared" si="845"/>
        <v>0</v>
      </c>
      <c r="AK139" s="938" t="str">
        <f t="shared" si="846"/>
        <v xml:space="preserve"> </v>
      </c>
      <c r="AL139" s="938" t="str">
        <f t="shared" si="847"/>
        <v xml:space="preserve"> </v>
      </c>
      <c r="AZ139" s="938" t="str">
        <f t="shared" si="848"/>
        <v xml:space="preserve"> </v>
      </c>
      <c r="BA139" s="938" t="str">
        <f t="shared" si="849"/>
        <v xml:space="preserve"> </v>
      </c>
      <c r="BO139" s="938" t="str">
        <f t="shared" si="850"/>
        <v xml:space="preserve"> </v>
      </c>
      <c r="BP139" s="938" t="str">
        <f t="shared" si="851"/>
        <v xml:space="preserve"> </v>
      </c>
      <c r="CD139" s="938" t="str">
        <f t="shared" si="852"/>
        <v xml:space="preserve"> </v>
      </c>
      <c r="CE139" s="938" t="str">
        <f t="shared" si="853"/>
        <v xml:space="preserve"> </v>
      </c>
      <c r="CS139" s="938" t="str">
        <f t="shared" si="854"/>
        <v xml:space="preserve"> </v>
      </c>
      <c r="CT139" s="938" t="str">
        <f t="shared" si="855"/>
        <v xml:space="preserve"> </v>
      </c>
      <c r="DH139" s="938" t="str">
        <f t="shared" si="856"/>
        <v xml:space="preserve"> </v>
      </c>
      <c r="DI139" s="938" t="str">
        <f t="shared" si="857"/>
        <v xml:space="preserve"> </v>
      </c>
      <c r="DW139" s="938" t="str">
        <f t="shared" si="858"/>
        <v xml:space="preserve"> </v>
      </c>
      <c r="DX139" s="938" t="str">
        <f t="shared" si="859"/>
        <v xml:space="preserve"> </v>
      </c>
      <c r="EL139" s="938" t="str">
        <f t="shared" si="860"/>
        <v xml:space="preserve"> </v>
      </c>
      <c r="EM139" s="938" t="str">
        <f t="shared" si="861"/>
        <v xml:space="preserve"> </v>
      </c>
      <c r="FA139" s="938" t="str">
        <f t="shared" si="862"/>
        <v xml:space="preserve"> </v>
      </c>
      <c r="FB139" s="938" t="str">
        <f t="shared" si="863"/>
        <v xml:space="preserve"> </v>
      </c>
      <c r="FP139" s="938" t="str">
        <f t="shared" si="864"/>
        <v xml:space="preserve"> </v>
      </c>
      <c r="FQ139" s="938" t="str">
        <f t="shared" si="865"/>
        <v xml:space="preserve"> </v>
      </c>
      <c r="GE139" s="938" t="str">
        <f t="shared" si="866"/>
        <v xml:space="preserve"> </v>
      </c>
      <c r="GF139" s="938" t="str">
        <f t="shared" si="867"/>
        <v xml:space="preserve"> </v>
      </c>
      <c r="GT139" s="938" t="str">
        <f t="shared" si="868"/>
        <v xml:space="preserve"> </v>
      </c>
      <c r="GU139" s="938" t="str">
        <f t="shared" si="869"/>
        <v xml:space="preserve"> </v>
      </c>
      <c r="HI139" s="938" t="str">
        <f t="shared" si="870"/>
        <v xml:space="preserve"> </v>
      </c>
      <c r="HJ139" s="938" t="str">
        <f t="shared" si="871"/>
        <v xml:space="preserve"> </v>
      </c>
      <c r="HX139" s="938" t="str">
        <f t="shared" si="872"/>
        <v xml:space="preserve"> </v>
      </c>
      <c r="HY139" s="938" t="str">
        <f t="shared" si="873"/>
        <v xml:space="preserve"> </v>
      </c>
      <c r="IM139" s="938" t="str">
        <f t="shared" si="874"/>
        <v xml:space="preserve"> </v>
      </c>
      <c r="IN139" s="938" t="str">
        <f t="shared" si="875"/>
        <v xml:space="preserve"> </v>
      </c>
      <c r="JB139" s="938" t="str">
        <f t="shared" si="876"/>
        <v xml:space="preserve"> </v>
      </c>
      <c r="JC139" s="938" t="str">
        <f t="shared" si="877"/>
        <v xml:space="preserve"> </v>
      </c>
      <c r="JQ139" s="938" t="str">
        <f t="shared" si="878"/>
        <v xml:space="preserve"> </v>
      </c>
      <c r="JR139" s="938" t="str">
        <f t="shared" si="879"/>
        <v xml:space="preserve"> </v>
      </c>
      <c r="KF139" s="938" t="str">
        <f t="shared" si="880"/>
        <v xml:space="preserve"> </v>
      </c>
      <c r="KG139" s="938" t="str">
        <f t="shared" si="881"/>
        <v xml:space="preserve"> </v>
      </c>
      <c r="KU139" s="938" t="str">
        <f t="shared" si="882"/>
        <v xml:space="preserve"> </v>
      </c>
      <c r="KV139" s="938" t="str">
        <f t="shared" si="883"/>
        <v xml:space="preserve"> </v>
      </c>
      <c r="LJ139" s="938" t="str">
        <f t="shared" si="884"/>
        <v xml:space="preserve"> </v>
      </c>
      <c r="LK139" s="938" t="str">
        <f t="shared" si="885"/>
        <v xml:space="preserve"> </v>
      </c>
      <c r="LY139" s="938" t="str">
        <f t="shared" si="886"/>
        <v xml:space="preserve"> </v>
      </c>
      <c r="LZ139" s="938" t="str">
        <f t="shared" si="887"/>
        <v xml:space="preserve"> </v>
      </c>
      <c r="MN139" s="938" t="str">
        <f t="shared" si="888"/>
        <v xml:space="preserve"> </v>
      </c>
      <c r="MO139" s="938" t="str">
        <f t="shared" si="889"/>
        <v xml:space="preserve"> </v>
      </c>
      <c r="NC139" s="938" t="str">
        <f t="shared" si="890"/>
        <v xml:space="preserve"> </v>
      </c>
      <c r="ND139" s="938" t="str">
        <f t="shared" si="891"/>
        <v xml:space="preserve"> </v>
      </c>
      <c r="NR139" s="938" t="str">
        <f t="shared" si="892"/>
        <v xml:space="preserve"> </v>
      </c>
      <c r="NS139" s="938" t="str">
        <f t="shared" si="893"/>
        <v xml:space="preserve"> </v>
      </c>
      <c r="OG139" s="938" t="str">
        <f t="shared" si="894"/>
        <v xml:space="preserve"> </v>
      </c>
      <c r="OH139" s="938" t="str">
        <f t="shared" si="895"/>
        <v xml:space="preserve"> </v>
      </c>
      <c r="OV139" s="938" t="str">
        <f t="shared" si="896"/>
        <v xml:space="preserve"> </v>
      </c>
      <c r="OW139" s="938" t="str">
        <f t="shared" si="897"/>
        <v xml:space="preserve"> </v>
      </c>
      <c r="PK139" s="938" t="str">
        <f t="shared" si="898"/>
        <v xml:space="preserve"> </v>
      </c>
      <c r="PL139" s="938" t="str">
        <f t="shared" si="899"/>
        <v xml:space="preserve"> </v>
      </c>
      <c r="PZ139" s="938" t="str">
        <f t="shared" si="900"/>
        <v xml:space="preserve"> </v>
      </c>
      <c r="QA139" s="938" t="str">
        <f t="shared" si="901"/>
        <v xml:space="preserve"> </v>
      </c>
      <c r="QO139" s="938" t="str">
        <f t="shared" si="902"/>
        <v xml:space="preserve"> </v>
      </c>
      <c r="QP139" s="938" t="str">
        <f t="shared" si="903"/>
        <v xml:space="preserve"> </v>
      </c>
      <c r="RD139" s="938" t="str">
        <f t="shared" si="904"/>
        <v xml:space="preserve"> </v>
      </c>
      <c r="RE139" s="938" t="str">
        <f t="shared" si="905"/>
        <v xml:space="preserve"> </v>
      </c>
    </row>
    <row r="140" spans="1:485" x14ac:dyDescent="0.2">
      <c r="C140" s="256"/>
      <c r="D140" s="256"/>
      <c r="E140" s="256"/>
      <c r="F140" s="256"/>
      <c r="G140" s="256"/>
      <c r="H140" s="256"/>
      <c r="I140" s="256"/>
      <c r="J140" s="256"/>
      <c r="K140" s="256"/>
      <c r="L140" s="256"/>
      <c r="M140" s="256"/>
      <c r="N140" s="256"/>
      <c r="O140" s="256"/>
      <c r="P140" s="474"/>
      <c r="Q140" s="474"/>
      <c r="R140" s="474"/>
      <c r="S140" s="474"/>
      <c r="T140" s="300"/>
      <c r="AB140" s="836" t="str">
        <f t="shared" si="842"/>
        <v/>
      </c>
      <c r="AC140" s="714">
        <f t="shared" si="843"/>
        <v>0</v>
      </c>
      <c r="AD140" s="714">
        <v>6.0000000000000002E-5</v>
      </c>
      <c r="AE140" s="714">
        <v>6</v>
      </c>
      <c r="AF140" t="str">
        <v>#</v>
      </c>
      <c r="AG140" s="714">
        <f t="shared" si="844"/>
        <v>0</v>
      </c>
      <c r="AH140" s="714">
        <f t="shared" si="845"/>
        <v>0</v>
      </c>
      <c r="AK140" s="938" t="str">
        <f t="shared" si="846"/>
        <v xml:space="preserve"> </v>
      </c>
      <c r="AL140" s="938" t="str">
        <f t="shared" si="847"/>
        <v xml:space="preserve"> </v>
      </c>
      <c r="AZ140" s="938" t="str">
        <f t="shared" si="848"/>
        <v xml:space="preserve"> </v>
      </c>
      <c r="BA140" s="938" t="str">
        <f t="shared" si="849"/>
        <v xml:space="preserve"> </v>
      </c>
      <c r="BO140" s="938" t="str">
        <f t="shared" si="850"/>
        <v xml:space="preserve"> </v>
      </c>
      <c r="BP140" s="938" t="str">
        <f t="shared" si="851"/>
        <v xml:space="preserve"> </v>
      </c>
      <c r="CD140" s="938" t="str">
        <f t="shared" si="852"/>
        <v xml:space="preserve"> </v>
      </c>
      <c r="CE140" s="938" t="str">
        <f t="shared" si="853"/>
        <v xml:space="preserve"> </v>
      </c>
      <c r="CS140" s="938" t="str">
        <f t="shared" si="854"/>
        <v xml:space="preserve"> </v>
      </c>
      <c r="CT140" s="938" t="str">
        <f t="shared" si="855"/>
        <v xml:space="preserve"> </v>
      </c>
      <c r="DH140" s="938" t="str">
        <f t="shared" si="856"/>
        <v xml:space="preserve"> </v>
      </c>
      <c r="DI140" s="938" t="str">
        <f t="shared" si="857"/>
        <v xml:space="preserve"> </v>
      </c>
      <c r="DW140" s="938" t="str">
        <f t="shared" si="858"/>
        <v xml:space="preserve"> </v>
      </c>
      <c r="DX140" s="938" t="str">
        <f t="shared" si="859"/>
        <v xml:space="preserve"> </v>
      </c>
      <c r="EL140" s="938" t="str">
        <f t="shared" si="860"/>
        <v xml:space="preserve"> </v>
      </c>
      <c r="EM140" s="938" t="str">
        <f t="shared" si="861"/>
        <v xml:space="preserve"> </v>
      </c>
      <c r="FA140" s="938" t="str">
        <f t="shared" si="862"/>
        <v xml:space="preserve"> </v>
      </c>
      <c r="FB140" s="938" t="str">
        <f t="shared" si="863"/>
        <v xml:space="preserve"> </v>
      </c>
      <c r="FP140" s="938" t="str">
        <f t="shared" si="864"/>
        <v xml:space="preserve"> </v>
      </c>
      <c r="FQ140" s="938" t="str">
        <f t="shared" si="865"/>
        <v xml:space="preserve"> </v>
      </c>
      <c r="GE140" s="938" t="str">
        <f t="shared" si="866"/>
        <v xml:space="preserve"> </v>
      </c>
      <c r="GF140" s="938" t="str">
        <f t="shared" si="867"/>
        <v xml:space="preserve"> </v>
      </c>
      <c r="GT140" s="938" t="str">
        <f t="shared" si="868"/>
        <v xml:space="preserve"> </v>
      </c>
      <c r="GU140" s="938" t="str">
        <f t="shared" si="869"/>
        <v xml:space="preserve"> </v>
      </c>
      <c r="HI140" s="938" t="str">
        <f t="shared" si="870"/>
        <v xml:space="preserve"> </v>
      </c>
      <c r="HJ140" s="938" t="str">
        <f t="shared" si="871"/>
        <v xml:space="preserve"> </v>
      </c>
      <c r="HX140" s="938" t="str">
        <f t="shared" si="872"/>
        <v xml:space="preserve"> </v>
      </c>
      <c r="HY140" s="938" t="str">
        <f t="shared" si="873"/>
        <v xml:space="preserve"> </v>
      </c>
      <c r="IM140" s="938" t="str">
        <f t="shared" si="874"/>
        <v xml:space="preserve"> </v>
      </c>
      <c r="IN140" s="938" t="str">
        <f t="shared" si="875"/>
        <v xml:space="preserve"> </v>
      </c>
      <c r="JB140" s="938" t="str">
        <f t="shared" si="876"/>
        <v xml:space="preserve"> </v>
      </c>
      <c r="JC140" s="938" t="str">
        <f t="shared" si="877"/>
        <v xml:space="preserve"> </v>
      </c>
      <c r="JQ140" s="938" t="str">
        <f t="shared" si="878"/>
        <v xml:space="preserve"> </v>
      </c>
      <c r="JR140" s="938" t="str">
        <f t="shared" si="879"/>
        <v xml:space="preserve"> </v>
      </c>
      <c r="KF140" s="938" t="str">
        <f t="shared" si="880"/>
        <v xml:space="preserve"> </v>
      </c>
      <c r="KG140" s="938" t="str">
        <f t="shared" si="881"/>
        <v xml:space="preserve"> </v>
      </c>
      <c r="KU140" s="938" t="str">
        <f t="shared" si="882"/>
        <v xml:space="preserve"> </v>
      </c>
      <c r="KV140" s="938" t="str">
        <f t="shared" si="883"/>
        <v xml:space="preserve"> </v>
      </c>
      <c r="LJ140" s="938" t="str">
        <f t="shared" si="884"/>
        <v xml:space="preserve"> </v>
      </c>
      <c r="LK140" s="938" t="str">
        <f t="shared" si="885"/>
        <v xml:space="preserve"> </v>
      </c>
      <c r="LY140" s="938" t="str">
        <f t="shared" si="886"/>
        <v xml:space="preserve"> </v>
      </c>
      <c r="LZ140" s="938" t="str">
        <f t="shared" si="887"/>
        <v xml:space="preserve"> </v>
      </c>
      <c r="MN140" s="938" t="str">
        <f t="shared" si="888"/>
        <v xml:space="preserve"> </v>
      </c>
      <c r="MO140" s="938" t="str">
        <f t="shared" si="889"/>
        <v xml:space="preserve"> </v>
      </c>
      <c r="NC140" s="938" t="str">
        <f t="shared" si="890"/>
        <v xml:space="preserve"> </v>
      </c>
      <c r="ND140" s="938" t="str">
        <f t="shared" si="891"/>
        <v xml:space="preserve"> </v>
      </c>
      <c r="NR140" s="938" t="str">
        <f t="shared" si="892"/>
        <v xml:space="preserve"> </v>
      </c>
      <c r="NS140" s="938" t="str">
        <f t="shared" si="893"/>
        <v xml:space="preserve"> </v>
      </c>
      <c r="OG140" s="938" t="str">
        <f t="shared" si="894"/>
        <v xml:space="preserve"> </v>
      </c>
      <c r="OH140" s="938" t="str">
        <f t="shared" si="895"/>
        <v xml:space="preserve"> </v>
      </c>
      <c r="OV140" s="938" t="str">
        <f t="shared" si="896"/>
        <v xml:space="preserve"> </v>
      </c>
      <c r="OW140" s="938" t="str">
        <f t="shared" si="897"/>
        <v xml:space="preserve"> </v>
      </c>
      <c r="PK140" s="938" t="str">
        <f t="shared" si="898"/>
        <v xml:space="preserve"> </v>
      </c>
      <c r="PL140" s="938" t="str">
        <f t="shared" si="899"/>
        <v xml:space="preserve"> </v>
      </c>
      <c r="PZ140" s="938" t="str">
        <f t="shared" si="900"/>
        <v xml:space="preserve"> </v>
      </c>
      <c r="QA140" s="938" t="str">
        <f t="shared" si="901"/>
        <v xml:space="preserve"> </v>
      </c>
      <c r="QO140" s="938" t="str">
        <f t="shared" si="902"/>
        <v xml:space="preserve"> </v>
      </c>
      <c r="QP140" s="938" t="str">
        <f t="shared" si="903"/>
        <v xml:space="preserve"> </v>
      </c>
      <c r="RD140" s="938" t="str">
        <f t="shared" si="904"/>
        <v xml:space="preserve"> </v>
      </c>
      <c r="RE140" s="938" t="str">
        <f t="shared" si="905"/>
        <v xml:space="preserve"> </v>
      </c>
    </row>
    <row r="141" spans="1:485" x14ac:dyDescent="0.2">
      <c r="C141" s="474"/>
      <c r="D141" s="474"/>
      <c r="E141" s="474"/>
      <c r="F141" s="474"/>
      <c r="G141" s="474"/>
      <c r="H141" s="474"/>
      <c r="I141" s="474"/>
      <c r="J141" s="474"/>
      <c r="K141" s="474"/>
      <c r="L141" s="474"/>
      <c r="M141" s="474"/>
      <c r="N141" s="474"/>
      <c r="O141" s="474"/>
      <c r="P141" s="474"/>
      <c r="Q141" s="474"/>
      <c r="R141" s="474"/>
      <c r="S141" s="474"/>
      <c r="T141" s="300"/>
      <c r="AB141" s="836" t="str">
        <f t="shared" si="842"/>
        <v/>
      </c>
      <c r="AC141" s="714">
        <f t="shared" si="843"/>
        <v>0</v>
      </c>
      <c r="AD141" s="714">
        <v>6.9999999999999994E-5</v>
      </c>
      <c r="AE141" s="714">
        <v>7</v>
      </c>
      <c r="AF141" t="str">
        <v>#</v>
      </c>
      <c r="AG141" s="714">
        <f t="shared" si="844"/>
        <v>0</v>
      </c>
      <c r="AH141" s="714">
        <f t="shared" si="845"/>
        <v>0</v>
      </c>
      <c r="AK141" s="938" t="str">
        <f t="shared" si="846"/>
        <v xml:space="preserve"> </v>
      </c>
      <c r="AL141" s="938" t="str">
        <f t="shared" si="847"/>
        <v xml:space="preserve"> </v>
      </c>
      <c r="AZ141" s="938" t="str">
        <f t="shared" si="848"/>
        <v xml:space="preserve"> </v>
      </c>
      <c r="BA141" s="938" t="str">
        <f t="shared" si="849"/>
        <v xml:space="preserve"> </v>
      </c>
      <c r="BO141" s="938" t="str">
        <f t="shared" si="850"/>
        <v xml:space="preserve"> </v>
      </c>
      <c r="BP141" s="938" t="str">
        <f t="shared" si="851"/>
        <v xml:space="preserve"> </v>
      </c>
      <c r="CD141" s="938" t="str">
        <f t="shared" si="852"/>
        <v xml:space="preserve"> </v>
      </c>
      <c r="CE141" s="938" t="str">
        <f t="shared" si="853"/>
        <v xml:space="preserve"> </v>
      </c>
      <c r="CS141" s="938" t="str">
        <f t="shared" si="854"/>
        <v xml:space="preserve"> </v>
      </c>
      <c r="CT141" s="938" t="str">
        <f t="shared" si="855"/>
        <v xml:space="preserve"> </v>
      </c>
      <c r="DH141" s="938" t="str">
        <f t="shared" si="856"/>
        <v xml:space="preserve"> </v>
      </c>
      <c r="DI141" s="938" t="str">
        <f t="shared" si="857"/>
        <v xml:space="preserve"> </v>
      </c>
      <c r="DW141" s="938" t="str">
        <f t="shared" si="858"/>
        <v xml:space="preserve"> </v>
      </c>
      <c r="DX141" s="938" t="str">
        <f t="shared" si="859"/>
        <v xml:space="preserve"> </v>
      </c>
      <c r="EL141" s="938" t="str">
        <f t="shared" si="860"/>
        <v xml:space="preserve"> </v>
      </c>
      <c r="EM141" s="938" t="str">
        <f t="shared" si="861"/>
        <v xml:space="preserve"> </v>
      </c>
      <c r="FA141" s="938" t="str">
        <f t="shared" si="862"/>
        <v xml:space="preserve"> </v>
      </c>
      <c r="FB141" s="938" t="str">
        <f t="shared" si="863"/>
        <v xml:space="preserve"> </v>
      </c>
      <c r="FP141" s="938" t="str">
        <f t="shared" si="864"/>
        <v xml:space="preserve"> </v>
      </c>
      <c r="FQ141" s="938" t="str">
        <f t="shared" si="865"/>
        <v xml:space="preserve"> </v>
      </c>
      <c r="GE141" s="938" t="str">
        <f t="shared" si="866"/>
        <v xml:space="preserve"> </v>
      </c>
      <c r="GF141" s="938" t="str">
        <f t="shared" si="867"/>
        <v xml:space="preserve"> </v>
      </c>
      <c r="GT141" s="938" t="str">
        <f t="shared" si="868"/>
        <v xml:space="preserve"> </v>
      </c>
      <c r="GU141" s="938" t="str">
        <f t="shared" si="869"/>
        <v xml:space="preserve"> </v>
      </c>
      <c r="HI141" s="938" t="str">
        <f t="shared" si="870"/>
        <v xml:space="preserve"> </v>
      </c>
      <c r="HJ141" s="938" t="str">
        <f t="shared" si="871"/>
        <v xml:space="preserve"> </v>
      </c>
      <c r="HX141" s="938" t="str">
        <f t="shared" si="872"/>
        <v xml:space="preserve"> </v>
      </c>
      <c r="HY141" s="938" t="str">
        <f t="shared" si="873"/>
        <v xml:space="preserve"> </v>
      </c>
      <c r="IM141" s="938" t="str">
        <f t="shared" si="874"/>
        <v xml:space="preserve"> </v>
      </c>
      <c r="IN141" s="938" t="str">
        <f t="shared" si="875"/>
        <v xml:space="preserve"> </v>
      </c>
      <c r="JB141" s="938" t="str">
        <f t="shared" si="876"/>
        <v xml:space="preserve"> </v>
      </c>
      <c r="JC141" s="938" t="str">
        <f t="shared" si="877"/>
        <v xml:space="preserve"> </v>
      </c>
      <c r="JQ141" s="938" t="str">
        <f t="shared" si="878"/>
        <v xml:space="preserve"> </v>
      </c>
      <c r="JR141" s="938" t="str">
        <f t="shared" si="879"/>
        <v xml:space="preserve"> </v>
      </c>
      <c r="KF141" s="938" t="str">
        <f t="shared" si="880"/>
        <v xml:space="preserve"> </v>
      </c>
      <c r="KG141" s="938" t="str">
        <f t="shared" si="881"/>
        <v xml:space="preserve"> </v>
      </c>
      <c r="KU141" s="938" t="str">
        <f t="shared" si="882"/>
        <v xml:space="preserve"> </v>
      </c>
      <c r="KV141" s="938" t="str">
        <f t="shared" si="883"/>
        <v xml:space="preserve"> </v>
      </c>
      <c r="LJ141" s="938" t="str">
        <f t="shared" si="884"/>
        <v xml:space="preserve"> </v>
      </c>
      <c r="LK141" s="938" t="str">
        <f t="shared" si="885"/>
        <v xml:space="preserve"> </v>
      </c>
      <c r="LY141" s="938" t="str">
        <f t="shared" si="886"/>
        <v xml:space="preserve"> </v>
      </c>
      <c r="LZ141" s="938" t="str">
        <f t="shared" si="887"/>
        <v xml:space="preserve"> </v>
      </c>
      <c r="MN141" s="938" t="str">
        <f t="shared" si="888"/>
        <v xml:space="preserve"> </v>
      </c>
      <c r="MO141" s="938" t="str">
        <f t="shared" si="889"/>
        <v xml:space="preserve"> </v>
      </c>
      <c r="NC141" s="938" t="str">
        <f t="shared" si="890"/>
        <v xml:space="preserve"> </v>
      </c>
      <c r="ND141" s="938" t="str">
        <f t="shared" si="891"/>
        <v xml:space="preserve"> </v>
      </c>
      <c r="NR141" s="938" t="str">
        <f t="shared" si="892"/>
        <v xml:space="preserve"> </v>
      </c>
      <c r="NS141" s="938" t="str">
        <f t="shared" si="893"/>
        <v xml:space="preserve"> </v>
      </c>
      <c r="OG141" s="938" t="str">
        <f t="shared" si="894"/>
        <v xml:space="preserve"> </v>
      </c>
      <c r="OH141" s="938" t="str">
        <f t="shared" si="895"/>
        <v xml:space="preserve"> </v>
      </c>
      <c r="OV141" s="938" t="str">
        <f t="shared" si="896"/>
        <v xml:space="preserve"> </v>
      </c>
      <c r="OW141" s="938" t="str">
        <f t="shared" si="897"/>
        <v xml:space="preserve"> </v>
      </c>
      <c r="PK141" s="938" t="str">
        <f t="shared" si="898"/>
        <v xml:space="preserve"> </v>
      </c>
      <c r="PL141" s="938" t="str">
        <f t="shared" si="899"/>
        <v xml:space="preserve"> </v>
      </c>
      <c r="PZ141" s="938" t="str">
        <f t="shared" si="900"/>
        <v xml:space="preserve"> </v>
      </c>
      <c r="QA141" s="938" t="str">
        <f t="shared" si="901"/>
        <v xml:space="preserve"> </v>
      </c>
      <c r="QO141" s="938" t="str">
        <f t="shared" si="902"/>
        <v xml:space="preserve"> </v>
      </c>
      <c r="QP141" s="938" t="str">
        <f t="shared" si="903"/>
        <v xml:space="preserve"> </v>
      </c>
      <c r="RD141" s="938" t="str">
        <f t="shared" si="904"/>
        <v xml:space="preserve"> </v>
      </c>
      <c r="RE141" s="938" t="str">
        <f t="shared" si="905"/>
        <v xml:space="preserve"> </v>
      </c>
    </row>
    <row r="142" spans="1:485" x14ac:dyDescent="0.2">
      <c r="C142" s="474"/>
      <c r="D142" s="474"/>
      <c r="E142" s="474"/>
      <c r="F142" s="474"/>
      <c r="G142" s="474"/>
      <c r="H142" s="474"/>
      <c r="I142" s="474"/>
      <c r="J142" s="474"/>
      <c r="K142" s="474"/>
      <c r="L142" s="474"/>
      <c r="M142" s="474"/>
      <c r="N142" s="474"/>
      <c r="O142" s="474"/>
      <c r="P142" s="474"/>
      <c r="Q142" s="474"/>
      <c r="R142" s="474"/>
      <c r="S142" s="474"/>
      <c r="T142" s="300"/>
      <c r="AB142" s="836" t="str">
        <f t="shared" si="842"/>
        <v/>
      </c>
      <c r="AC142" s="714">
        <f t="shared" si="843"/>
        <v>0</v>
      </c>
      <c r="AD142" s="714">
        <v>8.0000000000000007E-5</v>
      </c>
      <c r="AE142" s="714">
        <v>8</v>
      </c>
      <c r="AF142" t="str">
        <v>#</v>
      </c>
      <c r="AG142" s="714">
        <f t="shared" si="844"/>
        <v>0</v>
      </c>
      <c r="AH142" s="714">
        <f t="shared" si="845"/>
        <v>0</v>
      </c>
      <c r="AK142" s="938" t="str">
        <f t="shared" si="846"/>
        <v xml:space="preserve"> </v>
      </c>
      <c r="AL142" s="938" t="str">
        <f t="shared" si="847"/>
        <v xml:space="preserve"> </v>
      </c>
      <c r="AZ142" s="938" t="str">
        <f t="shared" si="848"/>
        <v xml:space="preserve"> </v>
      </c>
      <c r="BA142" s="938" t="str">
        <f t="shared" si="849"/>
        <v xml:space="preserve"> </v>
      </c>
      <c r="BO142" s="938" t="str">
        <f t="shared" si="850"/>
        <v xml:space="preserve"> </v>
      </c>
      <c r="BP142" s="938" t="str">
        <f t="shared" si="851"/>
        <v xml:space="preserve"> </v>
      </c>
      <c r="CD142" s="938" t="str">
        <f t="shared" si="852"/>
        <v xml:space="preserve"> </v>
      </c>
      <c r="CE142" s="938" t="str">
        <f t="shared" si="853"/>
        <v xml:space="preserve"> </v>
      </c>
      <c r="CS142" s="938" t="str">
        <f t="shared" si="854"/>
        <v xml:space="preserve"> </v>
      </c>
      <c r="CT142" s="938" t="str">
        <f t="shared" si="855"/>
        <v xml:space="preserve"> </v>
      </c>
      <c r="DH142" s="938" t="str">
        <f t="shared" si="856"/>
        <v xml:space="preserve"> </v>
      </c>
      <c r="DI142" s="938" t="str">
        <f t="shared" si="857"/>
        <v xml:space="preserve"> </v>
      </c>
      <c r="DW142" s="938" t="str">
        <f t="shared" si="858"/>
        <v xml:space="preserve"> </v>
      </c>
      <c r="DX142" s="938" t="str">
        <f t="shared" si="859"/>
        <v xml:space="preserve"> </v>
      </c>
      <c r="EL142" s="938" t="str">
        <f t="shared" si="860"/>
        <v xml:space="preserve"> </v>
      </c>
      <c r="EM142" s="938" t="str">
        <f t="shared" si="861"/>
        <v xml:space="preserve"> </v>
      </c>
      <c r="FA142" s="938" t="str">
        <f t="shared" si="862"/>
        <v xml:space="preserve"> </v>
      </c>
      <c r="FB142" s="938" t="str">
        <f t="shared" si="863"/>
        <v xml:space="preserve"> </v>
      </c>
      <c r="FP142" s="938" t="str">
        <f t="shared" si="864"/>
        <v xml:space="preserve"> </v>
      </c>
      <c r="FQ142" s="938" t="str">
        <f t="shared" si="865"/>
        <v xml:space="preserve"> </v>
      </c>
      <c r="GE142" s="938" t="str">
        <f t="shared" si="866"/>
        <v xml:space="preserve"> </v>
      </c>
      <c r="GF142" s="938" t="str">
        <f t="shared" si="867"/>
        <v xml:space="preserve"> </v>
      </c>
      <c r="GT142" s="938" t="str">
        <f t="shared" si="868"/>
        <v xml:space="preserve"> </v>
      </c>
      <c r="GU142" s="938" t="str">
        <f t="shared" si="869"/>
        <v xml:space="preserve"> </v>
      </c>
      <c r="HI142" s="938" t="str">
        <f t="shared" si="870"/>
        <v xml:space="preserve"> </v>
      </c>
      <c r="HJ142" s="938" t="str">
        <f t="shared" si="871"/>
        <v xml:space="preserve"> </v>
      </c>
      <c r="HX142" s="938" t="str">
        <f t="shared" si="872"/>
        <v xml:space="preserve"> </v>
      </c>
      <c r="HY142" s="938" t="str">
        <f t="shared" si="873"/>
        <v xml:space="preserve"> </v>
      </c>
      <c r="IM142" s="938" t="str">
        <f t="shared" si="874"/>
        <v xml:space="preserve"> </v>
      </c>
      <c r="IN142" s="938" t="str">
        <f t="shared" si="875"/>
        <v xml:space="preserve"> </v>
      </c>
      <c r="JB142" s="938" t="str">
        <f t="shared" si="876"/>
        <v xml:space="preserve"> </v>
      </c>
      <c r="JC142" s="938" t="str">
        <f t="shared" si="877"/>
        <v xml:space="preserve"> </v>
      </c>
      <c r="JQ142" s="938" t="str">
        <f t="shared" si="878"/>
        <v xml:space="preserve"> </v>
      </c>
      <c r="JR142" s="938" t="str">
        <f t="shared" si="879"/>
        <v xml:space="preserve"> </v>
      </c>
      <c r="KF142" s="938" t="str">
        <f t="shared" si="880"/>
        <v xml:space="preserve"> </v>
      </c>
      <c r="KG142" s="938" t="str">
        <f t="shared" si="881"/>
        <v xml:space="preserve"> </v>
      </c>
      <c r="KU142" s="938" t="str">
        <f t="shared" si="882"/>
        <v xml:space="preserve"> </v>
      </c>
      <c r="KV142" s="938" t="str">
        <f t="shared" si="883"/>
        <v xml:space="preserve"> </v>
      </c>
      <c r="LJ142" s="938" t="str">
        <f t="shared" si="884"/>
        <v xml:space="preserve"> </v>
      </c>
      <c r="LK142" s="938" t="str">
        <f t="shared" si="885"/>
        <v xml:space="preserve"> </v>
      </c>
      <c r="LY142" s="938" t="str">
        <f t="shared" si="886"/>
        <v xml:space="preserve"> </v>
      </c>
      <c r="LZ142" s="938" t="str">
        <f t="shared" si="887"/>
        <v xml:space="preserve"> </v>
      </c>
      <c r="MN142" s="938" t="str">
        <f t="shared" si="888"/>
        <v xml:space="preserve"> </v>
      </c>
      <c r="MO142" s="938" t="str">
        <f t="shared" si="889"/>
        <v xml:space="preserve"> </v>
      </c>
      <c r="NC142" s="938" t="str">
        <f t="shared" si="890"/>
        <v xml:space="preserve"> </v>
      </c>
      <c r="ND142" s="938" t="str">
        <f t="shared" si="891"/>
        <v xml:space="preserve"> </v>
      </c>
      <c r="NR142" s="938" t="str">
        <f t="shared" si="892"/>
        <v xml:space="preserve"> </v>
      </c>
      <c r="NS142" s="938" t="str">
        <f t="shared" si="893"/>
        <v xml:space="preserve"> </v>
      </c>
      <c r="OG142" s="938" t="str">
        <f t="shared" si="894"/>
        <v xml:space="preserve"> </v>
      </c>
      <c r="OH142" s="938" t="str">
        <f t="shared" si="895"/>
        <v xml:space="preserve"> </v>
      </c>
      <c r="OV142" s="938" t="str">
        <f t="shared" si="896"/>
        <v xml:space="preserve"> </v>
      </c>
      <c r="OW142" s="938" t="str">
        <f t="shared" si="897"/>
        <v xml:space="preserve"> </v>
      </c>
      <c r="PK142" s="938" t="str">
        <f t="shared" si="898"/>
        <v xml:space="preserve"> </v>
      </c>
      <c r="PL142" s="938" t="str">
        <f t="shared" si="899"/>
        <v xml:space="preserve"> </v>
      </c>
      <c r="PZ142" s="938" t="str">
        <f t="shared" si="900"/>
        <v xml:space="preserve"> </v>
      </c>
      <c r="QA142" s="938" t="str">
        <f t="shared" si="901"/>
        <v xml:space="preserve"> </v>
      </c>
      <c r="QO142" s="938" t="str">
        <f t="shared" si="902"/>
        <v xml:space="preserve"> </v>
      </c>
      <c r="QP142" s="938" t="str">
        <f t="shared" si="903"/>
        <v xml:space="preserve"> </v>
      </c>
      <c r="RD142" s="938" t="str">
        <f t="shared" si="904"/>
        <v xml:space="preserve"> </v>
      </c>
      <c r="RE142" s="938" t="str">
        <f t="shared" si="905"/>
        <v xml:space="preserve"> </v>
      </c>
    </row>
    <row r="143" spans="1:485" x14ac:dyDescent="0.2">
      <c r="C143" s="474"/>
      <c r="D143" s="474"/>
      <c r="E143" s="474"/>
      <c r="F143" s="474"/>
      <c r="G143" s="474"/>
      <c r="H143" s="474"/>
      <c r="I143" s="474"/>
      <c r="J143" s="474"/>
      <c r="K143" s="474"/>
      <c r="L143" s="474"/>
      <c r="M143" s="474"/>
      <c r="N143" s="474"/>
      <c r="O143" s="474"/>
      <c r="P143" s="474"/>
      <c r="Q143" s="474"/>
      <c r="R143" s="474"/>
      <c r="S143" s="474"/>
      <c r="T143" s="300"/>
      <c r="AB143" s="836" t="str">
        <f t="shared" si="842"/>
        <v/>
      </c>
      <c r="AC143" s="714">
        <f t="shared" si="843"/>
        <v>0</v>
      </c>
      <c r="AD143" s="714">
        <v>9.0000000000000006E-5</v>
      </c>
      <c r="AE143" s="714">
        <v>9</v>
      </c>
      <c r="AF143" t="str">
        <v>#</v>
      </c>
      <c r="AG143" s="714">
        <f t="shared" si="844"/>
        <v>0</v>
      </c>
      <c r="AH143" s="714">
        <f t="shared" si="845"/>
        <v>0</v>
      </c>
      <c r="AK143" s="938" t="str">
        <f t="shared" si="846"/>
        <v xml:space="preserve"> </v>
      </c>
      <c r="AL143" s="938" t="str">
        <f t="shared" si="847"/>
        <v xml:space="preserve"> </v>
      </c>
      <c r="AZ143" s="938" t="str">
        <f t="shared" si="848"/>
        <v xml:space="preserve"> </v>
      </c>
      <c r="BA143" s="938" t="str">
        <f t="shared" si="849"/>
        <v xml:space="preserve"> </v>
      </c>
      <c r="BO143" s="938" t="str">
        <f t="shared" si="850"/>
        <v xml:space="preserve"> </v>
      </c>
      <c r="BP143" s="938" t="str">
        <f t="shared" si="851"/>
        <v xml:space="preserve"> </v>
      </c>
      <c r="CD143" s="938" t="str">
        <f t="shared" si="852"/>
        <v xml:space="preserve"> </v>
      </c>
      <c r="CE143" s="938" t="str">
        <f t="shared" si="853"/>
        <v xml:space="preserve"> </v>
      </c>
      <c r="CS143" s="938" t="str">
        <f t="shared" si="854"/>
        <v xml:space="preserve"> </v>
      </c>
      <c r="CT143" s="938" t="str">
        <f t="shared" si="855"/>
        <v xml:space="preserve"> </v>
      </c>
      <c r="DH143" s="938" t="str">
        <f t="shared" si="856"/>
        <v xml:space="preserve"> </v>
      </c>
      <c r="DI143" s="938" t="str">
        <f t="shared" si="857"/>
        <v xml:space="preserve"> </v>
      </c>
      <c r="DW143" s="938" t="str">
        <f t="shared" si="858"/>
        <v xml:space="preserve"> </v>
      </c>
      <c r="DX143" s="938" t="str">
        <f t="shared" si="859"/>
        <v xml:space="preserve"> </v>
      </c>
      <c r="EL143" s="938" t="str">
        <f t="shared" si="860"/>
        <v xml:space="preserve"> </v>
      </c>
      <c r="EM143" s="938" t="str">
        <f t="shared" si="861"/>
        <v xml:space="preserve"> </v>
      </c>
      <c r="FA143" s="938" t="str">
        <f t="shared" si="862"/>
        <v xml:space="preserve"> </v>
      </c>
      <c r="FB143" s="938" t="str">
        <f t="shared" si="863"/>
        <v xml:space="preserve"> </v>
      </c>
      <c r="FP143" s="938" t="str">
        <f t="shared" si="864"/>
        <v xml:space="preserve"> </v>
      </c>
      <c r="FQ143" s="938" t="str">
        <f t="shared" si="865"/>
        <v xml:space="preserve"> </v>
      </c>
      <c r="GE143" s="938" t="str">
        <f t="shared" si="866"/>
        <v xml:space="preserve"> </v>
      </c>
      <c r="GF143" s="938" t="str">
        <f t="shared" si="867"/>
        <v xml:space="preserve"> </v>
      </c>
      <c r="GT143" s="938" t="str">
        <f t="shared" si="868"/>
        <v xml:space="preserve"> </v>
      </c>
      <c r="GU143" s="938" t="str">
        <f t="shared" si="869"/>
        <v xml:space="preserve"> </v>
      </c>
      <c r="HI143" s="938" t="str">
        <f t="shared" si="870"/>
        <v xml:space="preserve"> </v>
      </c>
      <c r="HJ143" s="938" t="str">
        <f t="shared" si="871"/>
        <v xml:space="preserve"> </v>
      </c>
      <c r="HX143" s="938" t="str">
        <f t="shared" si="872"/>
        <v xml:space="preserve"> </v>
      </c>
      <c r="HY143" s="938" t="str">
        <f t="shared" si="873"/>
        <v xml:space="preserve"> </v>
      </c>
      <c r="IM143" s="938" t="str">
        <f t="shared" si="874"/>
        <v xml:space="preserve"> </v>
      </c>
      <c r="IN143" s="938" t="str">
        <f t="shared" si="875"/>
        <v xml:space="preserve"> </v>
      </c>
      <c r="JB143" s="938" t="str">
        <f t="shared" si="876"/>
        <v xml:space="preserve"> </v>
      </c>
      <c r="JC143" s="938" t="str">
        <f t="shared" si="877"/>
        <v xml:space="preserve"> </v>
      </c>
      <c r="JQ143" s="938" t="str">
        <f t="shared" si="878"/>
        <v xml:space="preserve"> </v>
      </c>
      <c r="JR143" s="938" t="str">
        <f t="shared" si="879"/>
        <v xml:space="preserve"> </v>
      </c>
      <c r="KF143" s="938" t="str">
        <f t="shared" si="880"/>
        <v xml:space="preserve"> </v>
      </c>
      <c r="KG143" s="938" t="str">
        <f t="shared" si="881"/>
        <v xml:space="preserve"> </v>
      </c>
      <c r="KU143" s="938" t="str">
        <f t="shared" si="882"/>
        <v xml:space="preserve"> </v>
      </c>
      <c r="KV143" s="938" t="str">
        <f t="shared" si="883"/>
        <v xml:space="preserve"> </v>
      </c>
      <c r="LJ143" s="938" t="str">
        <f t="shared" si="884"/>
        <v xml:space="preserve"> </v>
      </c>
      <c r="LK143" s="938" t="str">
        <f t="shared" si="885"/>
        <v xml:space="preserve"> </v>
      </c>
      <c r="LY143" s="938" t="str">
        <f t="shared" si="886"/>
        <v xml:space="preserve"> </v>
      </c>
      <c r="LZ143" s="938" t="str">
        <f t="shared" si="887"/>
        <v xml:space="preserve"> </v>
      </c>
      <c r="MN143" s="938" t="str">
        <f t="shared" si="888"/>
        <v xml:space="preserve"> </v>
      </c>
      <c r="MO143" s="938" t="str">
        <f t="shared" si="889"/>
        <v xml:space="preserve"> </v>
      </c>
      <c r="NC143" s="938" t="str">
        <f t="shared" si="890"/>
        <v xml:space="preserve"> </v>
      </c>
      <c r="ND143" s="938" t="str">
        <f t="shared" si="891"/>
        <v xml:space="preserve"> </v>
      </c>
      <c r="NR143" s="938" t="str">
        <f t="shared" si="892"/>
        <v xml:space="preserve"> </v>
      </c>
      <c r="NS143" s="938" t="str">
        <f t="shared" si="893"/>
        <v xml:space="preserve"> </v>
      </c>
      <c r="OG143" s="938" t="str">
        <f t="shared" si="894"/>
        <v xml:space="preserve"> </v>
      </c>
      <c r="OH143" s="938" t="str">
        <f t="shared" si="895"/>
        <v xml:space="preserve"> </v>
      </c>
      <c r="OV143" s="938" t="str">
        <f t="shared" si="896"/>
        <v xml:space="preserve"> </v>
      </c>
      <c r="OW143" s="938" t="str">
        <f t="shared" si="897"/>
        <v xml:space="preserve"> </v>
      </c>
      <c r="PK143" s="938" t="str">
        <f t="shared" si="898"/>
        <v xml:space="preserve"> </v>
      </c>
      <c r="PL143" s="938" t="str">
        <f t="shared" si="899"/>
        <v xml:space="preserve"> </v>
      </c>
      <c r="PZ143" s="938" t="str">
        <f t="shared" si="900"/>
        <v xml:space="preserve"> </v>
      </c>
      <c r="QA143" s="938" t="str">
        <f t="shared" si="901"/>
        <v xml:space="preserve"> </v>
      </c>
      <c r="QO143" s="938" t="str">
        <f t="shared" si="902"/>
        <v xml:space="preserve"> </v>
      </c>
      <c r="QP143" s="938" t="str">
        <f t="shared" si="903"/>
        <v xml:space="preserve"> </v>
      </c>
      <c r="RD143" s="938" t="str">
        <f t="shared" si="904"/>
        <v xml:space="preserve"> </v>
      </c>
      <c r="RE143" s="938" t="str">
        <f t="shared" si="905"/>
        <v xml:space="preserve"> </v>
      </c>
    </row>
    <row r="144" spans="1:485" x14ac:dyDescent="0.2">
      <c r="C144" s="475"/>
      <c r="D144" s="475"/>
      <c r="E144" s="475"/>
      <c r="F144" s="474"/>
      <c r="G144" s="474"/>
      <c r="H144" s="474"/>
      <c r="I144" s="474"/>
      <c r="J144" s="474"/>
      <c r="K144" s="474"/>
      <c r="L144" s="474"/>
      <c r="M144" s="474"/>
      <c r="N144" s="474"/>
      <c r="O144" s="474"/>
      <c r="P144" s="474"/>
      <c r="Q144" s="474"/>
      <c r="R144" s="474"/>
      <c r="S144" s="474"/>
      <c r="T144" s="300"/>
      <c r="AB144" s="836" t="str">
        <f t="shared" si="842"/>
        <v/>
      </c>
      <c r="AC144" s="714">
        <f t="shared" si="843"/>
        <v>0</v>
      </c>
      <c r="AD144" s="714">
        <v>1E-4</v>
      </c>
      <c r="AE144" s="714">
        <v>10</v>
      </c>
      <c r="AF144" t="str">
        <v>#</v>
      </c>
      <c r="AG144" s="714">
        <f t="shared" si="844"/>
        <v>0</v>
      </c>
      <c r="AH144" s="714">
        <f t="shared" si="845"/>
        <v>0</v>
      </c>
      <c r="AK144" s="938" t="str">
        <f t="shared" si="846"/>
        <v xml:space="preserve"> </v>
      </c>
      <c r="AL144" s="938" t="str">
        <f t="shared" si="847"/>
        <v xml:space="preserve"> </v>
      </c>
      <c r="AZ144" s="938" t="str">
        <f t="shared" si="848"/>
        <v xml:space="preserve"> </v>
      </c>
      <c r="BA144" s="938" t="str">
        <f t="shared" si="849"/>
        <v xml:space="preserve"> </v>
      </c>
      <c r="BO144" s="938" t="str">
        <f t="shared" si="850"/>
        <v xml:space="preserve"> </v>
      </c>
      <c r="BP144" s="938" t="str">
        <f t="shared" si="851"/>
        <v xml:space="preserve"> </v>
      </c>
      <c r="CD144" s="938" t="str">
        <f t="shared" si="852"/>
        <v xml:space="preserve"> </v>
      </c>
      <c r="CE144" s="938" t="str">
        <f t="shared" si="853"/>
        <v xml:space="preserve"> </v>
      </c>
      <c r="CS144" s="938" t="str">
        <f t="shared" si="854"/>
        <v xml:space="preserve"> </v>
      </c>
      <c r="CT144" s="938" t="str">
        <f t="shared" si="855"/>
        <v xml:space="preserve"> </v>
      </c>
      <c r="DH144" s="938" t="str">
        <f t="shared" si="856"/>
        <v xml:space="preserve"> </v>
      </c>
      <c r="DI144" s="938" t="str">
        <f t="shared" si="857"/>
        <v xml:space="preserve"> </v>
      </c>
      <c r="DW144" s="938" t="str">
        <f t="shared" si="858"/>
        <v xml:space="preserve"> </v>
      </c>
      <c r="DX144" s="938" t="str">
        <f t="shared" si="859"/>
        <v xml:space="preserve"> </v>
      </c>
      <c r="EL144" s="938" t="str">
        <f t="shared" si="860"/>
        <v xml:space="preserve"> </v>
      </c>
      <c r="EM144" s="938" t="str">
        <f t="shared" si="861"/>
        <v xml:space="preserve"> </v>
      </c>
      <c r="FA144" s="938" t="str">
        <f t="shared" si="862"/>
        <v xml:space="preserve"> </v>
      </c>
      <c r="FB144" s="938" t="str">
        <f t="shared" si="863"/>
        <v xml:space="preserve"> </v>
      </c>
      <c r="FP144" s="938" t="str">
        <f t="shared" si="864"/>
        <v xml:space="preserve"> </v>
      </c>
      <c r="FQ144" s="938" t="str">
        <f t="shared" si="865"/>
        <v xml:space="preserve"> </v>
      </c>
      <c r="GE144" s="938" t="str">
        <f t="shared" si="866"/>
        <v xml:space="preserve"> </v>
      </c>
      <c r="GF144" s="938" t="str">
        <f t="shared" si="867"/>
        <v xml:space="preserve"> </v>
      </c>
      <c r="GT144" s="938" t="str">
        <f t="shared" si="868"/>
        <v xml:space="preserve"> </v>
      </c>
      <c r="GU144" s="938" t="str">
        <f t="shared" si="869"/>
        <v xml:space="preserve"> </v>
      </c>
      <c r="HI144" s="938" t="str">
        <f t="shared" si="870"/>
        <v xml:space="preserve"> </v>
      </c>
      <c r="HJ144" s="938" t="str">
        <f t="shared" si="871"/>
        <v xml:space="preserve"> </v>
      </c>
      <c r="HX144" s="938" t="str">
        <f t="shared" si="872"/>
        <v xml:space="preserve"> </v>
      </c>
      <c r="HY144" s="938" t="str">
        <f t="shared" si="873"/>
        <v xml:space="preserve"> </v>
      </c>
      <c r="IM144" s="938" t="str">
        <f t="shared" si="874"/>
        <v xml:space="preserve"> </v>
      </c>
      <c r="IN144" s="938" t="str">
        <f t="shared" si="875"/>
        <v xml:space="preserve"> </v>
      </c>
      <c r="JB144" s="938" t="str">
        <f t="shared" si="876"/>
        <v xml:space="preserve"> </v>
      </c>
      <c r="JC144" s="938" t="str">
        <f t="shared" si="877"/>
        <v xml:space="preserve"> </v>
      </c>
      <c r="JQ144" s="938" t="str">
        <f t="shared" si="878"/>
        <v xml:space="preserve"> </v>
      </c>
      <c r="JR144" s="938" t="str">
        <f t="shared" si="879"/>
        <v xml:space="preserve"> </v>
      </c>
      <c r="KF144" s="938" t="str">
        <f t="shared" si="880"/>
        <v xml:space="preserve"> </v>
      </c>
      <c r="KG144" s="938" t="str">
        <f t="shared" si="881"/>
        <v xml:space="preserve"> </v>
      </c>
      <c r="KU144" s="938" t="str">
        <f t="shared" si="882"/>
        <v xml:space="preserve"> </v>
      </c>
      <c r="KV144" s="938" t="str">
        <f t="shared" si="883"/>
        <v xml:space="preserve"> </v>
      </c>
      <c r="LJ144" s="938" t="str">
        <f t="shared" si="884"/>
        <v xml:space="preserve"> </v>
      </c>
      <c r="LK144" s="938" t="str">
        <f t="shared" si="885"/>
        <v xml:space="preserve"> </v>
      </c>
      <c r="LY144" s="938" t="str">
        <f t="shared" si="886"/>
        <v xml:space="preserve"> </v>
      </c>
      <c r="LZ144" s="938" t="str">
        <f t="shared" si="887"/>
        <v xml:space="preserve"> </v>
      </c>
      <c r="MN144" s="938" t="str">
        <f t="shared" si="888"/>
        <v xml:space="preserve"> </v>
      </c>
      <c r="MO144" s="938" t="str">
        <f t="shared" si="889"/>
        <v xml:space="preserve"> </v>
      </c>
      <c r="NC144" s="938" t="str">
        <f t="shared" si="890"/>
        <v xml:space="preserve"> </v>
      </c>
      <c r="ND144" s="938" t="str">
        <f t="shared" si="891"/>
        <v xml:space="preserve"> </v>
      </c>
      <c r="NR144" s="938" t="str">
        <f t="shared" si="892"/>
        <v xml:space="preserve"> </v>
      </c>
      <c r="NS144" s="938" t="str">
        <f t="shared" si="893"/>
        <v xml:space="preserve"> </v>
      </c>
      <c r="OG144" s="938" t="str">
        <f t="shared" si="894"/>
        <v xml:space="preserve"> </v>
      </c>
      <c r="OH144" s="938" t="str">
        <f t="shared" si="895"/>
        <v xml:space="preserve"> </v>
      </c>
      <c r="OV144" s="938" t="str">
        <f t="shared" si="896"/>
        <v xml:space="preserve"> </v>
      </c>
      <c r="OW144" s="938" t="str">
        <f t="shared" si="897"/>
        <v xml:space="preserve"> </v>
      </c>
      <c r="PK144" s="938" t="str">
        <f t="shared" si="898"/>
        <v xml:space="preserve"> </v>
      </c>
      <c r="PL144" s="938" t="str">
        <f t="shared" si="899"/>
        <v xml:space="preserve"> </v>
      </c>
      <c r="PZ144" s="938" t="str">
        <f t="shared" si="900"/>
        <v xml:space="preserve"> </v>
      </c>
      <c r="QA144" s="938" t="str">
        <f t="shared" si="901"/>
        <v xml:space="preserve"> </v>
      </c>
      <c r="QO144" s="938" t="str">
        <f t="shared" si="902"/>
        <v xml:space="preserve"> </v>
      </c>
      <c r="QP144" s="938" t="str">
        <f t="shared" si="903"/>
        <v xml:space="preserve"> </v>
      </c>
      <c r="RD144" s="938" t="str">
        <f t="shared" si="904"/>
        <v xml:space="preserve"> </v>
      </c>
      <c r="RE144" s="938" t="str">
        <f t="shared" si="905"/>
        <v xml:space="preserve"> </v>
      </c>
    </row>
    <row r="145" spans="3:473" x14ac:dyDescent="0.2">
      <c r="C145" s="474"/>
      <c r="D145" s="474"/>
      <c r="E145" s="474"/>
      <c r="F145" s="474"/>
      <c r="G145" s="474"/>
      <c r="H145" s="474"/>
      <c r="I145" s="474"/>
      <c r="J145" s="474"/>
      <c r="K145" s="474"/>
      <c r="L145" s="474"/>
      <c r="M145" s="474"/>
      <c r="N145" s="474"/>
      <c r="O145" s="474"/>
      <c r="P145" s="474"/>
      <c r="Q145" s="474"/>
      <c r="R145" s="474"/>
      <c r="S145" s="474"/>
      <c r="T145" s="300"/>
      <c r="AB145" s="836" t="str">
        <f t="shared" si="842"/>
        <v/>
      </c>
      <c r="AC145" s="714">
        <f t="shared" si="843"/>
        <v>0</v>
      </c>
      <c r="AD145" s="714">
        <v>1.1E-4</v>
      </c>
      <c r="AE145" s="714">
        <v>11</v>
      </c>
      <c r="AF145" t="str">
        <v>#</v>
      </c>
      <c r="AG145" s="714">
        <f t="shared" si="844"/>
        <v>0</v>
      </c>
      <c r="AH145" s="714">
        <f t="shared" si="845"/>
        <v>0</v>
      </c>
      <c r="AK145" s="938" t="str">
        <f t="shared" si="846"/>
        <v xml:space="preserve"> </v>
      </c>
      <c r="AL145" s="938" t="str">
        <f t="shared" si="847"/>
        <v xml:space="preserve"> </v>
      </c>
      <c r="AZ145" s="938" t="str">
        <f t="shared" si="848"/>
        <v xml:space="preserve"> </v>
      </c>
      <c r="BA145" s="938" t="str">
        <f t="shared" si="849"/>
        <v xml:space="preserve"> </v>
      </c>
      <c r="BO145" s="938" t="str">
        <f t="shared" si="850"/>
        <v xml:space="preserve"> </v>
      </c>
      <c r="BP145" s="938" t="str">
        <f t="shared" si="851"/>
        <v xml:space="preserve"> </v>
      </c>
      <c r="CD145" s="938" t="str">
        <f t="shared" si="852"/>
        <v xml:space="preserve"> </v>
      </c>
      <c r="CE145" s="938" t="str">
        <f t="shared" si="853"/>
        <v xml:space="preserve"> </v>
      </c>
      <c r="CS145" s="938" t="str">
        <f t="shared" si="854"/>
        <v xml:space="preserve"> </v>
      </c>
      <c r="CT145" s="938" t="str">
        <f t="shared" si="855"/>
        <v xml:space="preserve"> </v>
      </c>
      <c r="DH145" s="938" t="str">
        <f t="shared" si="856"/>
        <v xml:space="preserve"> </v>
      </c>
      <c r="DI145" s="938" t="str">
        <f t="shared" si="857"/>
        <v xml:space="preserve"> </v>
      </c>
      <c r="DW145" s="938" t="str">
        <f t="shared" si="858"/>
        <v xml:space="preserve"> </v>
      </c>
      <c r="DX145" s="938" t="str">
        <f t="shared" si="859"/>
        <v xml:space="preserve"> </v>
      </c>
      <c r="EL145" s="938" t="str">
        <f t="shared" si="860"/>
        <v xml:space="preserve"> </v>
      </c>
      <c r="EM145" s="938" t="str">
        <f t="shared" si="861"/>
        <v xml:space="preserve"> </v>
      </c>
      <c r="FA145" s="938" t="str">
        <f t="shared" si="862"/>
        <v xml:space="preserve"> </v>
      </c>
      <c r="FB145" s="938" t="str">
        <f t="shared" si="863"/>
        <v xml:space="preserve"> </v>
      </c>
      <c r="FP145" s="938" t="str">
        <f t="shared" si="864"/>
        <v xml:space="preserve"> </v>
      </c>
      <c r="FQ145" s="938" t="str">
        <f t="shared" si="865"/>
        <v xml:space="preserve"> </v>
      </c>
      <c r="GE145" s="938" t="str">
        <f t="shared" si="866"/>
        <v xml:space="preserve"> </v>
      </c>
      <c r="GF145" s="938" t="str">
        <f t="shared" si="867"/>
        <v xml:space="preserve"> </v>
      </c>
      <c r="GT145" s="938" t="str">
        <f t="shared" si="868"/>
        <v xml:space="preserve"> </v>
      </c>
      <c r="GU145" s="938" t="str">
        <f t="shared" si="869"/>
        <v xml:space="preserve"> </v>
      </c>
      <c r="HI145" s="938" t="str">
        <f t="shared" si="870"/>
        <v xml:space="preserve"> </v>
      </c>
      <c r="HJ145" s="938" t="str">
        <f t="shared" si="871"/>
        <v xml:space="preserve"> </v>
      </c>
      <c r="HX145" s="938" t="str">
        <f t="shared" si="872"/>
        <v xml:space="preserve"> </v>
      </c>
      <c r="HY145" s="938" t="str">
        <f t="shared" si="873"/>
        <v xml:space="preserve"> </v>
      </c>
      <c r="IM145" s="938" t="str">
        <f t="shared" si="874"/>
        <v xml:space="preserve"> </v>
      </c>
      <c r="IN145" s="938" t="str">
        <f t="shared" si="875"/>
        <v xml:space="preserve"> </v>
      </c>
      <c r="JB145" s="938" t="str">
        <f t="shared" si="876"/>
        <v xml:space="preserve"> </v>
      </c>
      <c r="JC145" s="938" t="str">
        <f t="shared" si="877"/>
        <v xml:space="preserve"> </v>
      </c>
      <c r="JQ145" s="938" t="str">
        <f t="shared" si="878"/>
        <v xml:space="preserve"> </v>
      </c>
      <c r="JR145" s="938" t="str">
        <f t="shared" si="879"/>
        <v xml:space="preserve"> </v>
      </c>
      <c r="KF145" s="938" t="str">
        <f t="shared" si="880"/>
        <v xml:space="preserve"> </v>
      </c>
      <c r="KG145" s="938" t="str">
        <f t="shared" si="881"/>
        <v xml:space="preserve"> </v>
      </c>
      <c r="KU145" s="938" t="str">
        <f t="shared" si="882"/>
        <v xml:space="preserve"> </v>
      </c>
      <c r="KV145" s="938" t="str">
        <f t="shared" si="883"/>
        <v xml:space="preserve"> </v>
      </c>
      <c r="LJ145" s="938" t="str">
        <f t="shared" si="884"/>
        <v xml:space="preserve"> </v>
      </c>
      <c r="LK145" s="938" t="str">
        <f t="shared" si="885"/>
        <v xml:space="preserve"> </v>
      </c>
      <c r="LY145" s="938" t="str">
        <f t="shared" si="886"/>
        <v xml:space="preserve"> </v>
      </c>
      <c r="LZ145" s="938" t="str">
        <f t="shared" si="887"/>
        <v xml:space="preserve"> </v>
      </c>
      <c r="MN145" s="938" t="str">
        <f t="shared" si="888"/>
        <v xml:space="preserve"> </v>
      </c>
      <c r="MO145" s="938" t="str">
        <f t="shared" si="889"/>
        <v xml:space="preserve"> </v>
      </c>
      <c r="NC145" s="938" t="str">
        <f t="shared" si="890"/>
        <v xml:space="preserve"> </v>
      </c>
      <c r="ND145" s="938" t="str">
        <f t="shared" si="891"/>
        <v xml:space="preserve"> </v>
      </c>
      <c r="NR145" s="938" t="str">
        <f t="shared" si="892"/>
        <v xml:space="preserve"> </v>
      </c>
      <c r="NS145" s="938" t="str">
        <f t="shared" si="893"/>
        <v xml:space="preserve"> </v>
      </c>
      <c r="OG145" s="938" t="str">
        <f t="shared" si="894"/>
        <v xml:space="preserve"> </v>
      </c>
      <c r="OH145" s="938" t="str">
        <f t="shared" si="895"/>
        <v xml:space="preserve"> </v>
      </c>
      <c r="OV145" s="938" t="str">
        <f t="shared" si="896"/>
        <v xml:space="preserve"> </v>
      </c>
      <c r="OW145" s="938" t="str">
        <f t="shared" si="897"/>
        <v xml:space="preserve"> </v>
      </c>
      <c r="PK145" s="938" t="str">
        <f t="shared" si="898"/>
        <v xml:space="preserve"> </v>
      </c>
      <c r="PL145" s="938" t="str">
        <f t="shared" si="899"/>
        <v xml:space="preserve"> </v>
      </c>
      <c r="PZ145" s="938" t="str">
        <f t="shared" si="900"/>
        <v xml:space="preserve"> </v>
      </c>
      <c r="QA145" s="938" t="str">
        <f t="shared" si="901"/>
        <v xml:space="preserve"> </v>
      </c>
      <c r="QO145" s="938" t="str">
        <f t="shared" si="902"/>
        <v xml:space="preserve"> </v>
      </c>
      <c r="QP145" s="938" t="str">
        <f t="shared" si="903"/>
        <v xml:space="preserve"> </v>
      </c>
      <c r="RD145" s="938" t="str">
        <f t="shared" si="904"/>
        <v xml:space="preserve"> </v>
      </c>
      <c r="RE145" s="938" t="str">
        <f t="shared" si="905"/>
        <v xml:space="preserve"> </v>
      </c>
    </row>
    <row r="146" spans="3:473" x14ac:dyDescent="0.2">
      <c r="C146" s="474"/>
      <c r="D146" s="474"/>
      <c r="E146" s="474"/>
      <c r="F146" s="474"/>
      <c r="G146" s="474"/>
      <c r="H146" s="474"/>
      <c r="I146" s="474"/>
      <c r="J146" s="474"/>
      <c r="K146" s="474"/>
      <c r="L146" s="474"/>
      <c r="M146" s="474"/>
      <c r="N146" s="474"/>
      <c r="O146" s="256"/>
      <c r="P146" s="256"/>
      <c r="Q146" s="256"/>
      <c r="R146" s="256"/>
      <c r="S146" s="256"/>
      <c r="T146" s="361"/>
      <c r="AB146" s="836" t="str">
        <f t="shared" si="842"/>
        <v/>
      </c>
      <c r="AC146" s="714">
        <f t="shared" si="843"/>
        <v>0</v>
      </c>
      <c r="AD146" s="714">
        <v>1.2E-4</v>
      </c>
      <c r="AE146" s="714">
        <v>12</v>
      </c>
      <c r="AF146" t="str">
        <v>#</v>
      </c>
      <c r="AG146" s="714">
        <f t="shared" si="844"/>
        <v>0</v>
      </c>
      <c r="AH146" s="714">
        <f t="shared" si="845"/>
        <v>0</v>
      </c>
      <c r="AK146" s="938" t="str">
        <f t="shared" si="846"/>
        <v xml:space="preserve"> </v>
      </c>
      <c r="AL146" s="938" t="str">
        <f t="shared" si="847"/>
        <v xml:space="preserve"> </v>
      </c>
      <c r="AZ146" s="938" t="str">
        <f t="shared" si="848"/>
        <v xml:space="preserve"> </v>
      </c>
      <c r="BA146" s="938" t="str">
        <f t="shared" si="849"/>
        <v xml:space="preserve"> </v>
      </c>
      <c r="BO146" s="938" t="str">
        <f t="shared" si="850"/>
        <v xml:space="preserve"> </v>
      </c>
      <c r="BP146" s="938" t="str">
        <f t="shared" si="851"/>
        <v xml:space="preserve"> </v>
      </c>
      <c r="CD146" s="938" t="str">
        <f t="shared" si="852"/>
        <v xml:space="preserve"> </v>
      </c>
      <c r="CE146" s="938" t="str">
        <f t="shared" si="853"/>
        <v xml:space="preserve"> </v>
      </c>
      <c r="CS146" s="938" t="str">
        <f t="shared" si="854"/>
        <v xml:space="preserve"> </v>
      </c>
      <c r="CT146" s="938" t="str">
        <f t="shared" si="855"/>
        <v xml:space="preserve"> </v>
      </c>
      <c r="DH146" s="938" t="str">
        <f t="shared" si="856"/>
        <v xml:space="preserve"> </v>
      </c>
      <c r="DI146" s="938" t="str">
        <f t="shared" si="857"/>
        <v xml:space="preserve"> </v>
      </c>
      <c r="DW146" s="938" t="str">
        <f t="shared" si="858"/>
        <v xml:space="preserve"> </v>
      </c>
      <c r="DX146" s="938" t="str">
        <f t="shared" si="859"/>
        <v xml:space="preserve"> </v>
      </c>
      <c r="EL146" s="938" t="str">
        <f t="shared" si="860"/>
        <v xml:space="preserve"> </v>
      </c>
      <c r="EM146" s="938" t="str">
        <f t="shared" si="861"/>
        <v xml:space="preserve"> </v>
      </c>
      <c r="FA146" s="938" t="str">
        <f t="shared" si="862"/>
        <v xml:space="preserve"> </v>
      </c>
      <c r="FB146" s="938" t="str">
        <f t="shared" si="863"/>
        <v xml:space="preserve"> </v>
      </c>
      <c r="FP146" s="938" t="str">
        <f t="shared" si="864"/>
        <v xml:space="preserve"> </v>
      </c>
      <c r="FQ146" s="938" t="str">
        <f t="shared" si="865"/>
        <v xml:space="preserve"> </v>
      </c>
      <c r="GE146" s="938" t="str">
        <f t="shared" si="866"/>
        <v xml:space="preserve"> </v>
      </c>
      <c r="GF146" s="938" t="str">
        <f t="shared" si="867"/>
        <v xml:space="preserve"> </v>
      </c>
      <c r="GT146" s="938" t="str">
        <f t="shared" si="868"/>
        <v xml:space="preserve"> </v>
      </c>
      <c r="GU146" s="938" t="str">
        <f t="shared" si="869"/>
        <v xml:space="preserve"> </v>
      </c>
      <c r="HI146" s="938" t="str">
        <f t="shared" si="870"/>
        <v xml:space="preserve"> </v>
      </c>
      <c r="HJ146" s="938" t="str">
        <f t="shared" si="871"/>
        <v xml:space="preserve"> </v>
      </c>
      <c r="HX146" s="938" t="str">
        <f t="shared" si="872"/>
        <v xml:space="preserve"> </v>
      </c>
      <c r="HY146" s="938" t="str">
        <f t="shared" si="873"/>
        <v xml:space="preserve"> </v>
      </c>
      <c r="IM146" s="938" t="str">
        <f t="shared" si="874"/>
        <v xml:space="preserve"> </v>
      </c>
      <c r="IN146" s="938" t="str">
        <f t="shared" si="875"/>
        <v xml:space="preserve"> </v>
      </c>
      <c r="JB146" s="938" t="str">
        <f t="shared" si="876"/>
        <v xml:space="preserve"> </v>
      </c>
      <c r="JC146" s="938" t="str">
        <f t="shared" si="877"/>
        <v xml:space="preserve"> </v>
      </c>
      <c r="JQ146" s="938" t="str">
        <f t="shared" si="878"/>
        <v xml:space="preserve"> </v>
      </c>
      <c r="JR146" s="938" t="str">
        <f t="shared" si="879"/>
        <v xml:space="preserve"> </v>
      </c>
      <c r="KF146" s="938" t="str">
        <f t="shared" si="880"/>
        <v xml:space="preserve"> </v>
      </c>
      <c r="KG146" s="938" t="str">
        <f t="shared" si="881"/>
        <v xml:space="preserve"> </v>
      </c>
      <c r="KU146" s="938" t="str">
        <f t="shared" si="882"/>
        <v xml:space="preserve"> </v>
      </c>
      <c r="KV146" s="938" t="str">
        <f t="shared" si="883"/>
        <v xml:space="preserve"> </v>
      </c>
      <c r="LJ146" s="938" t="str">
        <f t="shared" si="884"/>
        <v xml:space="preserve"> </v>
      </c>
      <c r="LK146" s="938" t="str">
        <f t="shared" si="885"/>
        <v xml:space="preserve"> </v>
      </c>
      <c r="LY146" s="938" t="str">
        <f t="shared" si="886"/>
        <v xml:space="preserve"> </v>
      </c>
      <c r="LZ146" s="938" t="str">
        <f t="shared" si="887"/>
        <v xml:space="preserve"> </v>
      </c>
      <c r="MN146" s="938" t="str">
        <f t="shared" si="888"/>
        <v xml:space="preserve"> </v>
      </c>
      <c r="MO146" s="938" t="str">
        <f t="shared" si="889"/>
        <v xml:space="preserve"> </v>
      </c>
      <c r="NC146" s="938" t="str">
        <f t="shared" si="890"/>
        <v xml:space="preserve"> </v>
      </c>
      <c r="ND146" s="938" t="str">
        <f t="shared" si="891"/>
        <v xml:space="preserve"> </v>
      </c>
      <c r="NR146" s="938" t="str">
        <f t="shared" si="892"/>
        <v xml:space="preserve"> </v>
      </c>
      <c r="NS146" s="938" t="str">
        <f t="shared" si="893"/>
        <v xml:space="preserve"> </v>
      </c>
      <c r="OG146" s="938" t="str">
        <f t="shared" si="894"/>
        <v xml:space="preserve"> </v>
      </c>
      <c r="OH146" s="938" t="str">
        <f t="shared" si="895"/>
        <v xml:space="preserve"> </v>
      </c>
      <c r="OV146" s="938" t="str">
        <f t="shared" si="896"/>
        <v xml:space="preserve"> </v>
      </c>
      <c r="OW146" s="938" t="str">
        <f t="shared" si="897"/>
        <v xml:space="preserve"> </v>
      </c>
      <c r="PK146" s="938" t="str">
        <f t="shared" si="898"/>
        <v xml:space="preserve"> </v>
      </c>
      <c r="PL146" s="938" t="str">
        <f t="shared" si="899"/>
        <v xml:space="preserve"> </v>
      </c>
      <c r="PZ146" s="938" t="str">
        <f t="shared" si="900"/>
        <v xml:space="preserve"> </v>
      </c>
      <c r="QA146" s="938" t="str">
        <f t="shared" si="901"/>
        <v xml:space="preserve"> </v>
      </c>
      <c r="QO146" s="938" t="str">
        <f t="shared" si="902"/>
        <v xml:space="preserve"> </v>
      </c>
      <c r="QP146" s="938" t="str">
        <f t="shared" si="903"/>
        <v xml:space="preserve"> </v>
      </c>
      <c r="RD146" s="938" t="str">
        <f t="shared" si="904"/>
        <v xml:space="preserve"> </v>
      </c>
      <c r="RE146" s="938" t="str">
        <f t="shared" si="905"/>
        <v xml:space="preserve"> </v>
      </c>
    </row>
    <row r="147" spans="3:473" x14ac:dyDescent="0.2">
      <c r="C147" s="474"/>
      <c r="D147" s="474"/>
      <c r="E147" s="474"/>
      <c r="F147" s="474"/>
      <c r="G147" s="474"/>
      <c r="H147" s="474"/>
      <c r="I147" s="474"/>
      <c r="J147" s="474"/>
      <c r="K147" s="474"/>
      <c r="L147" s="474"/>
      <c r="M147" s="474"/>
      <c r="N147" s="474"/>
      <c r="O147" s="474"/>
      <c r="P147" s="474"/>
      <c r="Q147" s="474"/>
      <c r="R147" s="474"/>
      <c r="S147" s="474"/>
      <c r="T147" s="300"/>
      <c r="AB147" s="836" t="str">
        <f t="shared" si="842"/>
        <v/>
      </c>
      <c r="AC147" s="714">
        <f t="shared" si="843"/>
        <v>0</v>
      </c>
      <c r="AD147" s="714">
        <v>1.2999999999999999E-4</v>
      </c>
      <c r="AE147" s="714">
        <v>13</v>
      </c>
      <c r="AF147" t="str">
        <v xml:space="preserve"> ++Vorlage++</v>
      </c>
      <c r="AG147" s="714">
        <f t="shared" si="844"/>
        <v>0</v>
      </c>
      <c r="AH147" s="714">
        <f t="shared" si="845"/>
        <v>0</v>
      </c>
      <c r="AK147" s="938" t="str">
        <f t="shared" si="846"/>
        <v xml:space="preserve"> </v>
      </c>
      <c r="AL147" s="938" t="str">
        <f t="shared" si="847"/>
        <v xml:space="preserve"> </v>
      </c>
      <c r="AZ147" s="938" t="str">
        <f t="shared" si="848"/>
        <v xml:space="preserve"> </v>
      </c>
      <c r="BA147" s="938" t="str">
        <f t="shared" si="849"/>
        <v xml:space="preserve"> </v>
      </c>
      <c r="BO147" s="938" t="str">
        <f t="shared" si="850"/>
        <v xml:space="preserve"> </v>
      </c>
      <c r="BP147" s="938" t="str">
        <f t="shared" si="851"/>
        <v xml:space="preserve"> </v>
      </c>
      <c r="CD147" s="938" t="str">
        <f t="shared" si="852"/>
        <v xml:space="preserve"> </v>
      </c>
      <c r="CE147" s="938" t="str">
        <f t="shared" si="853"/>
        <v xml:space="preserve"> </v>
      </c>
      <c r="CS147" s="938" t="str">
        <f t="shared" si="854"/>
        <v xml:space="preserve"> </v>
      </c>
      <c r="CT147" s="938" t="str">
        <f t="shared" si="855"/>
        <v xml:space="preserve"> </v>
      </c>
      <c r="DH147" s="938" t="str">
        <f t="shared" si="856"/>
        <v xml:space="preserve"> </v>
      </c>
      <c r="DI147" s="938" t="str">
        <f t="shared" si="857"/>
        <v xml:space="preserve"> </v>
      </c>
      <c r="DW147" s="938" t="str">
        <f t="shared" si="858"/>
        <v xml:space="preserve"> </v>
      </c>
      <c r="DX147" s="938" t="str">
        <f t="shared" si="859"/>
        <v xml:space="preserve"> </v>
      </c>
      <c r="EL147" s="938" t="str">
        <f t="shared" si="860"/>
        <v xml:space="preserve"> </v>
      </c>
      <c r="EM147" s="938" t="str">
        <f t="shared" si="861"/>
        <v xml:space="preserve"> </v>
      </c>
      <c r="FA147" s="938" t="str">
        <f t="shared" si="862"/>
        <v xml:space="preserve"> </v>
      </c>
      <c r="FB147" s="938" t="str">
        <f t="shared" si="863"/>
        <v xml:space="preserve"> </v>
      </c>
      <c r="FP147" s="938" t="str">
        <f t="shared" si="864"/>
        <v xml:space="preserve"> </v>
      </c>
      <c r="FQ147" s="938" t="str">
        <f t="shared" si="865"/>
        <v xml:space="preserve"> </v>
      </c>
      <c r="GE147" s="938" t="str">
        <f t="shared" si="866"/>
        <v xml:space="preserve"> </v>
      </c>
      <c r="GF147" s="938" t="str">
        <f t="shared" si="867"/>
        <v xml:space="preserve"> </v>
      </c>
      <c r="GT147" s="938" t="str">
        <f t="shared" si="868"/>
        <v xml:space="preserve"> </v>
      </c>
      <c r="GU147" s="938" t="str">
        <f t="shared" si="869"/>
        <v xml:space="preserve"> </v>
      </c>
      <c r="HI147" s="938" t="str">
        <f t="shared" si="870"/>
        <v xml:space="preserve"> </v>
      </c>
      <c r="HJ147" s="938" t="str">
        <f t="shared" si="871"/>
        <v xml:space="preserve"> </v>
      </c>
      <c r="HX147" s="938" t="str">
        <f t="shared" si="872"/>
        <v xml:space="preserve"> </v>
      </c>
      <c r="HY147" s="938" t="str">
        <f t="shared" si="873"/>
        <v xml:space="preserve"> </v>
      </c>
      <c r="IM147" s="938" t="str">
        <f t="shared" si="874"/>
        <v xml:space="preserve"> </v>
      </c>
      <c r="IN147" s="938" t="str">
        <f t="shared" si="875"/>
        <v xml:space="preserve"> </v>
      </c>
      <c r="JB147" s="938" t="str">
        <f t="shared" si="876"/>
        <v xml:space="preserve"> </v>
      </c>
      <c r="JC147" s="938" t="str">
        <f t="shared" si="877"/>
        <v xml:space="preserve"> </v>
      </c>
      <c r="JQ147" s="938" t="str">
        <f t="shared" si="878"/>
        <v xml:space="preserve"> </v>
      </c>
      <c r="JR147" s="938" t="str">
        <f t="shared" si="879"/>
        <v xml:space="preserve"> </v>
      </c>
      <c r="KF147" s="938" t="str">
        <f t="shared" si="880"/>
        <v xml:space="preserve"> </v>
      </c>
      <c r="KG147" s="938" t="str">
        <f t="shared" si="881"/>
        <v xml:space="preserve"> </v>
      </c>
      <c r="KU147" s="938" t="str">
        <f t="shared" si="882"/>
        <v xml:space="preserve"> </v>
      </c>
      <c r="KV147" s="938" t="str">
        <f t="shared" si="883"/>
        <v xml:space="preserve"> </v>
      </c>
      <c r="LJ147" s="938" t="str">
        <f t="shared" si="884"/>
        <v xml:space="preserve"> </v>
      </c>
      <c r="LK147" s="938" t="str">
        <f t="shared" si="885"/>
        <v xml:space="preserve"> </v>
      </c>
      <c r="LY147" s="938" t="str">
        <f t="shared" si="886"/>
        <v xml:space="preserve"> </v>
      </c>
      <c r="LZ147" s="938" t="str">
        <f t="shared" si="887"/>
        <v xml:space="preserve"> </v>
      </c>
      <c r="MN147" s="938" t="str">
        <f t="shared" si="888"/>
        <v xml:space="preserve"> </v>
      </c>
      <c r="MO147" s="938" t="str">
        <f t="shared" si="889"/>
        <v xml:space="preserve"> </v>
      </c>
      <c r="NC147" s="938" t="str">
        <f t="shared" si="890"/>
        <v xml:space="preserve"> </v>
      </c>
      <c r="ND147" s="938" t="str">
        <f t="shared" si="891"/>
        <v xml:space="preserve"> </v>
      </c>
      <c r="NR147" s="938" t="str">
        <f t="shared" si="892"/>
        <v xml:space="preserve"> </v>
      </c>
      <c r="NS147" s="938" t="str">
        <f t="shared" si="893"/>
        <v xml:space="preserve"> </v>
      </c>
      <c r="OG147" s="938" t="str">
        <f t="shared" si="894"/>
        <v xml:space="preserve"> </v>
      </c>
      <c r="OH147" s="938" t="str">
        <f t="shared" si="895"/>
        <v xml:space="preserve"> </v>
      </c>
      <c r="OV147" s="938" t="str">
        <f t="shared" si="896"/>
        <v xml:space="preserve"> </v>
      </c>
      <c r="OW147" s="938" t="str">
        <f t="shared" si="897"/>
        <v xml:space="preserve"> </v>
      </c>
      <c r="PK147" s="938" t="str">
        <f t="shared" si="898"/>
        <v xml:space="preserve"> </v>
      </c>
      <c r="PL147" s="938" t="str">
        <f t="shared" si="899"/>
        <v xml:space="preserve"> </v>
      </c>
      <c r="PZ147" s="938" t="str">
        <f t="shared" si="900"/>
        <v xml:space="preserve"> </v>
      </c>
      <c r="QA147" s="938" t="str">
        <f t="shared" si="901"/>
        <v xml:space="preserve"> </v>
      </c>
      <c r="QO147" s="938" t="str">
        <f t="shared" si="902"/>
        <v xml:space="preserve"> </v>
      </c>
      <c r="QP147" s="938" t="str">
        <f t="shared" si="903"/>
        <v xml:space="preserve"> </v>
      </c>
      <c r="RD147" s="938" t="str">
        <f t="shared" si="904"/>
        <v xml:space="preserve"> </v>
      </c>
      <c r="RE147" s="938" t="str">
        <f t="shared" si="905"/>
        <v xml:space="preserve"> </v>
      </c>
    </row>
    <row r="148" spans="3:473" x14ac:dyDescent="0.2">
      <c r="C148" s="256"/>
      <c r="D148" s="474"/>
      <c r="E148" s="474"/>
      <c r="F148" s="474"/>
      <c r="G148" s="474"/>
      <c r="H148" s="474"/>
      <c r="I148" s="474"/>
      <c r="J148" s="474"/>
      <c r="K148" s="474"/>
      <c r="L148" s="474"/>
      <c r="M148" s="474"/>
      <c r="N148" s="474"/>
      <c r="O148" s="474"/>
      <c r="P148" s="474"/>
      <c r="Q148" s="474"/>
      <c r="R148" s="474"/>
      <c r="S148" s="474"/>
      <c r="T148" s="300"/>
      <c r="AB148" s="836" t="str">
        <f t="shared" si="842"/>
        <v/>
      </c>
      <c r="AC148" s="714">
        <f t="shared" si="843"/>
        <v>0</v>
      </c>
      <c r="AD148" s="714">
        <v>1.3999999999999999E-4</v>
      </c>
      <c r="AE148" s="714">
        <v>14</v>
      </c>
      <c r="AF148" t="str">
        <v xml:space="preserve"> +Rind+</v>
      </c>
      <c r="AG148" s="714">
        <f t="shared" si="844"/>
        <v>0</v>
      </c>
      <c r="AH148" s="714">
        <f t="shared" si="845"/>
        <v>0</v>
      </c>
      <c r="AK148" s="938" t="str">
        <f t="shared" si="846"/>
        <v xml:space="preserve"> </v>
      </c>
      <c r="AL148" s="938" t="str">
        <f t="shared" si="847"/>
        <v xml:space="preserve"> </v>
      </c>
      <c r="AZ148" s="938" t="str">
        <f t="shared" si="848"/>
        <v xml:space="preserve"> </v>
      </c>
      <c r="BA148" s="938" t="str">
        <f t="shared" si="849"/>
        <v xml:space="preserve"> </v>
      </c>
      <c r="BO148" s="938" t="str">
        <f t="shared" si="850"/>
        <v xml:space="preserve"> </v>
      </c>
      <c r="BP148" s="938" t="str">
        <f t="shared" si="851"/>
        <v xml:space="preserve"> </v>
      </c>
      <c r="CD148" s="938" t="str">
        <f t="shared" si="852"/>
        <v xml:space="preserve"> </v>
      </c>
      <c r="CE148" s="938" t="str">
        <f t="shared" si="853"/>
        <v xml:space="preserve"> </v>
      </c>
      <c r="CS148" s="938" t="str">
        <f t="shared" si="854"/>
        <v xml:space="preserve"> </v>
      </c>
      <c r="CT148" s="938" t="str">
        <f t="shared" si="855"/>
        <v xml:space="preserve"> </v>
      </c>
      <c r="DH148" s="938" t="str">
        <f t="shared" si="856"/>
        <v xml:space="preserve"> </v>
      </c>
      <c r="DI148" s="938" t="str">
        <f t="shared" si="857"/>
        <v xml:space="preserve"> </v>
      </c>
      <c r="DW148" s="938" t="str">
        <f t="shared" si="858"/>
        <v xml:space="preserve"> </v>
      </c>
      <c r="DX148" s="938" t="str">
        <f t="shared" si="859"/>
        <v xml:space="preserve"> </v>
      </c>
      <c r="EL148" s="938" t="str">
        <f t="shared" si="860"/>
        <v xml:space="preserve"> </v>
      </c>
      <c r="EM148" s="938" t="str">
        <f t="shared" si="861"/>
        <v xml:space="preserve"> </v>
      </c>
      <c r="FA148" s="938" t="str">
        <f t="shared" si="862"/>
        <v xml:space="preserve"> </v>
      </c>
      <c r="FB148" s="938" t="str">
        <f t="shared" si="863"/>
        <v xml:space="preserve"> </v>
      </c>
      <c r="FP148" s="938" t="str">
        <f t="shared" si="864"/>
        <v xml:space="preserve"> </v>
      </c>
      <c r="FQ148" s="938" t="str">
        <f t="shared" si="865"/>
        <v xml:space="preserve"> </v>
      </c>
      <c r="GE148" s="938" t="str">
        <f t="shared" si="866"/>
        <v xml:space="preserve"> </v>
      </c>
      <c r="GF148" s="938" t="str">
        <f t="shared" si="867"/>
        <v xml:space="preserve"> </v>
      </c>
      <c r="GT148" s="938" t="str">
        <f t="shared" si="868"/>
        <v xml:space="preserve"> </v>
      </c>
      <c r="GU148" s="938" t="str">
        <f t="shared" si="869"/>
        <v xml:space="preserve"> </v>
      </c>
      <c r="HI148" s="938" t="str">
        <f t="shared" si="870"/>
        <v xml:space="preserve"> </v>
      </c>
      <c r="HJ148" s="938" t="str">
        <f t="shared" si="871"/>
        <v xml:space="preserve"> </v>
      </c>
      <c r="HX148" s="938" t="str">
        <f t="shared" si="872"/>
        <v xml:space="preserve"> </v>
      </c>
      <c r="HY148" s="938" t="str">
        <f t="shared" si="873"/>
        <v xml:space="preserve"> </v>
      </c>
      <c r="IM148" s="938" t="str">
        <f t="shared" si="874"/>
        <v xml:space="preserve"> </v>
      </c>
      <c r="IN148" s="938" t="str">
        <f t="shared" si="875"/>
        <v xml:space="preserve"> </v>
      </c>
      <c r="JB148" s="938" t="str">
        <f t="shared" si="876"/>
        <v xml:space="preserve"> </v>
      </c>
      <c r="JC148" s="938" t="str">
        <f t="shared" si="877"/>
        <v xml:space="preserve"> </v>
      </c>
      <c r="JQ148" s="938" t="str">
        <f t="shared" si="878"/>
        <v xml:space="preserve"> </v>
      </c>
      <c r="JR148" s="938" t="str">
        <f t="shared" si="879"/>
        <v xml:space="preserve"> </v>
      </c>
      <c r="KF148" s="938" t="str">
        <f t="shared" si="880"/>
        <v xml:space="preserve"> </v>
      </c>
      <c r="KG148" s="938" t="str">
        <f t="shared" si="881"/>
        <v xml:space="preserve"> </v>
      </c>
      <c r="KU148" s="938" t="str">
        <f t="shared" si="882"/>
        <v xml:space="preserve"> </v>
      </c>
      <c r="KV148" s="938" t="str">
        <f t="shared" si="883"/>
        <v xml:space="preserve"> </v>
      </c>
      <c r="LJ148" s="938" t="str">
        <f t="shared" si="884"/>
        <v xml:space="preserve"> </v>
      </c>
      <c r="LK148" s="938" t="str">
        <f t="shared" si="885"/>
        <v xml:space="preserve"> </v>
      </c>
      <c r="LY148" s="938" t="str">
        <f t="shared" si="886"/>
        <v xml:space="preserve"> </v>
      </c>
      <c r="LZ148" s="938" t="str">
        <f t="shared" si="887"/>
        <v xml:space="preserve"> </v>
      </c>
      <c r="MN148" s="938" t="str">
        <f t="shared" si="888"/>
        <v xml:space="preserve"> </v>
      </c>
      <c r="MO148" s="938" t="str">
        <f t="shared" si="889"/>
        <v xml:space="preserve"> </v>
      </c>
      <c r="NC148" s="938" t="str">
        <f t="shared" si="890"/>
        <v xml:space="preserve"> </v>
      </c>
      <c r="ND148" s="938" t="str">
        <f t="shared" si="891"/>
        <v xml:space="preserve"> </v>
      </c>
      <c r="NR148" s="938" t="str">
        <f t="shared" si="892"/>
        <v xml:space="preserve"> </v>
      </c>
      <c r="NS148" s="938" t="str">
        <f t="shared" si="893"/>
        <v xml:space="preserve"> </v>
      </c>
      <c r="OG148" s="938" t="str">
        <f t="shared" si="894"/>
        <v xml:space="preserve"> </v>
      </c>
      <c r="OH148" s="938" t="str">
        <f t="shared" si="895"/>
        <v xml:space="preserve"> </v>
      </c>
      <c r="OV148" s="938" t="str">
        <f t="shared" si="896"/>
        <v xml:space="preserve"> </v>
      </c>
      <c r="OW148" s="938" t="str">
        <f t="shared" si="897"/>
        <v xml:space="preserve"> </v>
      </c>
      <c r="PK148" s="938" t="str">
        <f t="shared" si="898"/>
        <v xml:space="preserve"> </v>
      </c>
      <c r="PL148" s="938" t="str">
        <f t="shared" si="899"/>
        <v xml:space="preserve"> </v>
      </c>
      <c r="PZ148" s="938" t="str">
        <f t="shared" si="900"/>
        <v xml:space="preserve"> </v>
      </c>
      <c r="QA148" s="938" t="str">
        <f t="shared" si="901"/>
        <v xml:space="preserve"> </v>
      </c>
      <c r="QO148" s="938" t="str">
        <f t="shared" si="902"/>
        <v xml:space="preserve"> </v>
      </c>
      <c r="QP148" s="938" t="str">
        <f t="shared" si="903"/>
        <v xml:space="preserve"> </v>
      </c>
      <c r="RD148" s="938" t="str">
        <f t="shared" si="904"/>
        <v xml:space="preserve"> </v>
      </c>
      <c r="RE148" s="938" t="str">
        <f t="shared" si="905"/>
        <v xml:space="preserve"> </v>
      </c>
    </row>
    <row r="149" spans="3:473" x14ac:dyDescent="0.2">
      <c r="C149" s="474"/>
      <c r="D149" s="474"/>
      <c r="E149" s="474"/>
      <c r="F149" s="474"/>
      <c r="G149" s="474"/>
      <c r="H149" s="474"/>
      <c r="I149" s="474"/>
      <c r="J149" s="474"/>
      <c r="K149" s="474"/>
      <c r="L149" s="474"/>
      <c r="M149" s="474"/>
      <c r="N149" s="474"/>
      <c r="O149" s="474"/>
      <c r="P149" s="474"/>
      <c r="Q149" s="474"/>
      <c r="R149" s="474"/>
      <c r="S149" s="474"/>
      <c r="T149" s="300"/>
      <c r="AB149" s="836" t="str">
        <f t="shared" si="842"/>
        <v/>
      </c>
      <c r="AC149" s="714">
        <f t="shared" si="843"/>
        <v>0</v>
      </c>
      <c r="AD149" s="714">
        <v>1.4999999999999999E-4</v>
      </c>
      <c r="AE149" s="714">
        <v>15</v>
      </c>
      <c r="AF149" t="str">
        <v>RG110</v>
      </c>
      <c r="AG149" s="714">
        <f t="shared" si="844"/>
        <v>0</v>
      </c>
      <c r="AH149" s="714">
        <f t="shared" si="845"/>
        <v>0</v>
      </c>
      <c r="AK149" s="938" t="str">
        <f t="shared" si="846"/>
        <v xml:space="preserve"> </v>
      </c>
      <c r="AL149" s="938" t="str">
        <f t="shared" si="847"/>
        <v xml:space="preserve"> </v>
      </c>
      <c r="AZ149" s="938" t="str">
        <f t="shared" si="848"/>
        <v xml:space="preserve"> </v>
      </c>
      <c r="BA149" s="938" t="str">
        <f t="shared" si="849"/>
        <v xml:space="preserve"> </v>
      </c>
      <c r="BO149" s="938" t="str">
        <f t="shared" si="850"/>
        <v xml:space="preserve"> </v>
      </c>
      <c r="BP149" s="938" t="str">
        <f t="shared" si="851"/>
        <v xml:space="preserve"> </v>
      </c>
      <c r="CD149" s="938" t="str">
        <f t="shared" si="852"/>
        <v xml:space="preserve"> </v>
      </c>
      <c r="CE149" s="938" t="str">
        <f t="shared" si="853"/>
        <v xml:space="preserve"> </v>
      </c>
      <c r="CS149" s="938" t="str">
        <f t="shared" si="854"/>
        <v xml:space="preserve"> </v>
      </c>
      <c r="CT149" s="938" t="str">
        <f t="shared" si="855"/>
        <v xml:space="preserve"> </v>
      </c>
      <c r="DH149" s="938" t="str">
        <f t="shared" si="856"/>
        <v xml:space="preserve"> </v>
      </c>
      <c r="DI149" s="938" t="str">
        <f t="shared" si="857"/>
        <v xml:space="preserve"> </v>
      </c>
      <c r="DW149" s="938" t="str">
        <f t="shared" si="858"/>
        <v xml:space="preserve"> </v>
      </c>
      <c r="DX149" s="938" t="str">
        <f t="shared" si="859"/>
        <v xml:space="preserve"> </v>
      </c>
      <c r="EL149" s="938" t="str">
        <f t="shared" si="860"/>
        <v xml:space="preserve"> </v>
      </c>
      <c r="EM149" s="938" t="str">
        <f t="shared" si="861"/>
        <v xml:space="preserve"> </v>
      </c>
      <c r="FA149" s="938" t="str">
        <f t="shared" si="862"/>
        <v xml:space="preserve"> </v>
      </c>
      <c r="FB149" s="938" t="str">
        <f t="shared" si="863"/>
        <v xml:space="preserve"> </v>
      </c>
      <c r="FP149" s="938" t="str">
        <f t="shared" si="864"/>
        <v xml:space="preserve"> </v>
      </c>
      <c r="FQ149" s="938" t="str">
        <f t="shared" si="865"/>
        <v xml:space="preserve"> </v>
      </c>
      <c r="GE149" s="938" t="str">
        <f t="shared" si="866"/>
        <v xml:space="preserve"> </v>
      </c>
      <c r="GF149" s="938" t="str">
        <f t="shared" si="867"/>
        <v xml:space="preserve"> </v>
      </c>
      <c r="GT149" s="938" t="str">
        <f t="shared" si="868"/>
        <v xml:space="preserve"> </v>
      </c>
      <c r="GU149" s="938" t="str">
        <f t="shared" si="869"/>
        <v xml:space="preserve"> </v>
      </c>
      <c r="HI149" s="938" t="str">
        <f t="shared" si="870"/>
        <v xml:space="preserve"> </v>
      </c>
      <c r="HJ149" s="938" t="str">
        <f t="shared" si="871"/>
        <v xml:space="preserve"> </v>
      </c>
      <c r="HX149" s="938" t="str">
        <f t="shared" si="872"/>
        <v xml:space="preserve"> </v>
      </c>
      <c r="HY149" s="938" t="str">
        <f t="shared" si="873"/>
        <v xml:space="preserve"> </v>
      </c>
      <c r="IM149" s="938" t="str">
        <f t="shared" si="874"/>
        <v xml:space="preserve"> </v>
      </c>
      <c r="IN149" s="938" t="str">
        <f t="shared" si="875"/>
        <v xml:space="preserve"> </v>
      </c>
      <c r="JB149" s="938" t="str">
        <f t="shared" si="876"/>
        <v xml:space="preserve"> </v>
      </c>
      <c r="JC149" s="938" t="str">
        <f t="shared" si="877"/>
        <v xml:space="preserve"> </v>
      </c>
      <c r="JQ149" s="938" t="str">
        <f t="shared" si="878"/>
        <v xml:space="preserve"> </v>
      </c>
      <c r="JR149" s="938" t="str">
        <f t="shared" si="879"/>
        <v xml:space="preserve"> </v>
      </c>
      <c r="KF149" s="938" t="str">
        <f t="shared" si="880"/>
        <v xml:space="preserve"> </v>
      </c>
      <c r="KG149" s="938" t="str">
        <f t="shared" si="881"/>
        <v xml:space="preserve"> </v>
      </c>
      <c r="KU149" s="938" t="str">
        <f t="shared" si="882"/>
        <v xml:space="preserve"> </v>
      </c>
      <c r="KV149" s="938" t="str">
        <f t="shared" si="883"/>
        <v xml:space="preserve"> </v>
      </c>
      <c r="LJ149" s="938" t="str">
        <f t="shared" si="884"/>
        <v xml:space="preserve"> </v>
      </c>
      <c r="LK149" s="938" t="str">
        <f t="shared" si="885"/>
        <v xml:space="preserve"> </v>
      </c>
      <c r="LY149" s="938" t="str">
        <f t="shared" si="886"/>
        <v xml:space="preserve"> </v>
      </c>
      <c r="LZ149" s="938" t="str">
        <f t="shared" si="887"/>
        <v xml:space="preserve"> </v>
      </c>
      <c r="MN149" s="938" t="str">
        <f t="shared" si="888"/>
        <v xml:space="preserve"> </v>
      </c>
      <c r="MO149" s="938" t="str">
        <f t="shared" si="889"/>
        <v xml:space="preserve"> </v>
      </c>
      <c r="NC149" s="938" t="str">
        <f t="shared" si="890"/>
        <v xml:space="preserve"> </v>
      </c>
      <c r="ND149" s="938" t="str">
        <f t="shared" si="891"/>
        <v xml:space="preserve"> </v>
      </c>
      <c r="NR149" s="938" t="str">
        <f t="shared" si="892"/>
        <v xml:space="preserve"> </v>
      </c>
      <c r="NS149" s="938" t="str">
        <f t="shared" si="893"/>
        <v xml:space="preserve"> </v>
      </c>
      <c r="OG149" s="938" t="str">
        <f t="shared" si="894"/>
        <v xml:space="preserve"> </v>
      </c>
      <c r="OH149" s="938" t="str">
        <f t="shared" si="895"/>
        <v xml:space="preserve"> </v>
      </c>
      <c r="OV149" s="938" t="str">
        <f t="shared" si="896"/>
        <v xml:space="preserve"> </v>
      </c>
      <c r="OW149" s="938" t="str">
        <f t="shared" si="897"/>
        <v xml:space="preserve"> </v>
      </c>
      <c r="PK149" s="938" t="str">
        <f t="shared" si="898"/>
        <v xml:space="preserve"> </v>
      </c>
      <c r="PL149" s="938" t="str">
        <f t="shared" si="899"/>
        <v xml:space="preserve"> </v>
      </c>
      <c r="PZ149" s="938" t="str">
        <f t="shared" si="900"/>
        <v xml:space="preserve"> </v>
      </c>
      <c r="QA149" s="938" t="str">
        <f t="shared" si="901"/>
        <v xml:space="preserve"> </v>
      </c>
      <c r="QO149" s="938" t="str">
        <f t="shared" si="902"/>
        <v xml:space="preserve"> </v>
      </c>
      <c r="QP149" s="938" t="str">
        <f t="shared" si="903"/>
        <v xml:space="preserve"> </v>
      </c>
      <c r="RD149" s="938" t="str">
        <f t="shared" si="904"/>
        <v xml:space="preserve"> </v>
      </c>
      <c r="RE149" s="938" t="str">
        <f t="shared" si="905"/>
        <v xml:space="preserve"> </v>
      </c>
    </row>
    <row r="150" spans="3:473" x14ac:dyDescent="0.2">
      <c r="C150" s="475"/>
      <c r="D150" s="475"/>
      <c r="E150" s="475"/>
      <c r="F150" s="474"/>
      <c r="G150" s="474"/>
      <c r="H150" s="474"/>
      <c r="I150" s="474"/>
      <c r="J150" s="474"/>
      <c r="K150" s="474"/>
      <c r="L150" s="474"/>
      <c r="M150" s="474"/>
      <c r="N150" s="474"/>
      <c r="O150" s="474"/>
      <c r="P150" s="474"/>
      <c r="Q150" s="474"/>
      <c r="R150" s="474"/>
      <c r="S150" s="474"/>
      <c r="T150" s="300"/>
      <c r="AB150" s="836" t="str">
        <f t="shared" si="842"/>
        <v/>
      </c>
      <c r="AC150" s="714">
        <f t="shared" si="843"/>
        <v>0</v>
      </c>
      <c r="AD150" s="714">
        <v>1.6000000000000001E-4</v>
      </c>
      <c r="AE150" s="714">
        <v>16</v>
      </c>
      <c r="AF150" t="str">
        <v>RG120</v>
      </c>
      <c r="AG150" s="714">
        <f t="shared" si="844"/>
        <v>0</v>
      </c>
      <c r="AH150" s="714">
        <f t="shared" si="845"/>
        <v>0</v>
      </c>
      <c r="AK150" s="938" t="str">
        <f t="shared" si="846"/>
        <v xml:space="preserve"> </v>
      </c>
      <c r="AL150" s="938" t="str">
        <f t="shared" si="847"/>
        <v xml:space="preserve"> </v>
      </c>
      <c r="AZ150" s="938" t="str">
        <f t="shared" si="848"/>
        <v xml:space="preserve"> </v>
      </c>
      <c r="BA150" s="938" t="str">
        <f t="shared" si="849"/>
        <v xml:space="preserve"> </v>
      </c>
      <c r="BO150" s="938" t="str">
        <f t="shared" si="850"/>
        <v xml:space="preserve"> </v>
      </c>
      <c r="BP150" s="938" t="str">
        <f t="shared" si="851"/>
        <v xml:space="preserve"> </v>
      </c>
      <c r="CD150" s="938" t="str">
        <f t="shared" si="852"/>
        <v xml:space="preserve"> </v>
      </c>
      <c r="CE150" s="938" t="str">
        <f t="shared" si="853"/>
        <v xml:space="preserve"> </v>
      </c>
      <c r="CS150" s="938" t="str">
        <f t="shared" si="854"/>
        <v xml:space="preserve"> </v>
      </c>
      <c r="CT150" s="938" t="str">
        <f t="shared" si="855"/>
        <v xml:space="preserve"> </v>
      </c>
      <c r="DH150" s="938" t="str">
        <f t="shared" si="856"/>
        <v xml:space="preserve"> </v>
      </c>
      <c r="DI150" s="938" t="str">
        <f t="shared" si="857"/>
        <v xml:space="preserve"> </v>
      </c>
      <c r="DW150" s="938" t="str">
        <f t="shared" si="858"/>
        <v xml:space="preserve"> </v>
      </c>
      <c r="DX150" s="938" t="str">
        <f t="shared" si="859"/>
        <v xml:space="preserve"> </v>
      </c>
      <c r="EL150" s="938" t="str">
        <f t="shared" si="860"/>
        <v xml:space="preserve"> </v>
      </c>
      <c r="EM150" s="938" t="str">
        <f t="shared" si="861"/>
        <v xml:space="preserve"> </v>
      </c>
      <c r="FA150" s="938" t="str">
        <f t="shared" si="862"/>
        <v xml:space="preserve"> </v>
      </c>
      <c r="FB150" s="938" t="str">
        <f t="shared" si="863"/>
        <v xml:space="preserve"> </v>
      </c>
      <c r="FP150" s="938" t="str">
        <f t="shared" si="864"/>
        <v xml:space="preserve"> </v>
      </c>
      <c r="FQ150" s="938" t="str">
        <f t="shared" si="865"/>
        <v xml:space="preserve"> </v>
      </c>
      <c r="GE150" s="938" t="str">
        <f t="shared" si="866"/>
        <v xml:space="preserve"> </v>
      </c>
      <c r="GF150" s="938" t="str">
        <f t="shared" si="867"/>
        <v xml:space="preserve"> </v>
      </c>
      <c r="GT150" s="938" t="str">
        <f t="shared" si="868"/>
        <v xml:space="preserve"> </v>
      </c>
      <c r="GU150" s="938" t="str">
        <f t="shared" si="869"/>
        <v xml:space="preserve"> </v>
      </c>
      <c r="HI150" s="938" t="str">
        <f t="shared" si="870"/>
        <v xml:space="preserve"> </v>
      </c>
      <c r="HJ150" s="938" t="str">
        <f t="shared" si="871"/>
        <v xml:space="preserve"> </v>
      </c>
      <c r="HX150" s="938" t="str">
        <f t="shared" si="872"/>
        <v xml:space="preserve"> </v>
      </c>
      <c r="HY150" s="938" t="str">
        <f t="shared" si="873"/>
        <v xml:space="preserve"> </v>
      </c>
      <c r="IM150" s="938" t="str">
        <f t="shared" si="874"/>
        <v xml:space="preserve"> </v>
      </c>
      <c r="IN150" s="938" t="str">
        <f t="shared" si="875"/>
        <v xml:space="preserve"> </v>
      </c>
      <c r="JB150" s="938" t="str">
        <f t="shared" si="876"/>
        <v xml:space="preserve"> </v>
      </c>
      <c r="JC150" s="938" t="str">
        <f t="shared" si="877"/>
        <v xml:space="preserve"> </v>
      </c>
      <c r="JQ150" s="938" t="str">
        <f t="shared" si="878"/>
        <v xml:space="preserve"> </v>
      </c>
      <c r="JR150" s="938" t="str">
        <f t="shared" si="879"/>
        <v xml:space="preserve"> </v>
      </c>
      <c r="KF150" s="938" t="str">
        <f t="shared" si="880"/>
        <v xml:space="preserve"> </v>
      </c>
      <c r="KG150" s="938" t="str">
        <f t="shared" si="881"/>
        <v xml:space="preserve"> </v>
      </c>
      <c r="KU150" s="938" t="str">
        <f t="shared" si="882"/>
        <v xml:space="preserve"> </v>
      </c>
      <c r="KV150" s="938" t="str">
        <f t="shared" si="883"/>
        <v xml:space="preserve"> </v>
      </c>
      <c r="LJ150" s="938" t="str">
        <f t="shared" si="884"/>
        <v xml:space="preserve"> </v>
      </c>
      <c r="LK150" s="938" t="str">
        <f t="shared" si="885"/>
        <v xml:space="preserve"> </v>
      </c>
      <c r="LY150" s="938" t="str">
        <f t="shared" si="886"/>
        <v xml:space="preserve"> </v>
      </c>
      <c r="LZ150" s="938" t="str">
        <f t="shared" si="887"/>
        <v xml:space="preserve"> </v>
      </c>
      <c r="MN150" s="938" t="str">
        <f t="shared" si="888"/>
        <v xml:space="preserve"> </v>
      </c>
      <c r="MO150" s="938" t="str">
        <f t="shared" si="889"/>
        <v xml:space="preserve"> </v>
      </c>
      <c r="NC150" s="938" t="str">
        <f t="shared" si="890"/>
        <v xml:space="preserve"> </v>
      </c>
      <c r="ND150" s="938" t="str">
        <f t="shared" si="891"/>
        <v xml:space="preserve"> </v>
      </c>
      <c r="NR150" s="938" t="str">
        <f t="shared" si="892"/>
        <v xml:space="preserve"> </v>
      </c>
      <c r="NS150" s="938" t="str">
        <f t="shared" si="893"/>
        <v xml:space="preserve"> </v>
      </c>
      <c r="OG150" s="938" t="str">
        <f t="shared" si="894"/>
        <v xml:space="preserve"> </v>
      </c>
      <c r="OH150" s="938" t="str">
        <f t="shared" si="895"/>
        <v xml:space="preserve"> </v>
      </c>
      <c r="OV150" s="938" t="str">
        <f t="shared" si="896"/>
        <v xml:space="preserve"> </v>
      </c>
      <c r="OW150" s="938" t="str">
        <f t="shared" si="897"/>
        <v xml:space="preserve"> </v>
      </c>
      <c r="PK150" s="938" t="str">
        <f t="shared" si="898"/>
        <v xml:space="preserve"> </v>
      </c>
      <c r="PL150" s="938" t="str">
        <f t="shared" si="899"/>
        <v xml:space="preserve"> </v>
      </c>
      <c r="PZ150" s="938" t="str">
        <f t="shared" si="900"/>
        <v xml:space="preserve"> </v>
      </c>
      <c r="QA150" s="938" t="str">
        <f t="shared" si="901"/>
        <v xml:space="preserve"> </v>
      </c>
      <c r="QO150" s="938" t="str">
        <f t="shared" si="902"/>
        <v xml:space="preserve"> </v>
      </c>
      <c r="QP150" s="938" t="str">
        <f t="shared" si="903"/>
        <v xml:space="preserve"> </v>
      </c>
      <c r="RD150" s="938" t="str">
        <f t="shared" si="904"/>
        <v xml:space="preserve"> </v>
      </c>
      <c r="RE150" s="938" t="str">
        <f t="shared" si="905"/>
        <v xml:space="preserve"> </v>
      </c>
    </row>
    <row r="151" spans="3:473" x14ac:dyDescent="0.2">
      <c r="C151" s="477"/>
      <c r="D151" s="477"/>
      <c r="E151" s="738"/>
      <c r="F151" s="477"/>
      <c r="G151" s="477"/>
      <c r="H151" s="477"/>
      <c r="I151" s="477"/>
      <c r="J151" s="477"/>
      <c r="K151" s="477"/>
      <c r="L151" s="477"/>
      <c r="M151" s="477"/>
      <c r="N151" s="477"/>
      <c r="O151" s="477"/>
      <c r="P151" s="477"/>
      <c r="Q151" s="477"/>
      <c r="R151" s="477"/>
      <c r="S151" s="477"/>
      <c r="T151" s="418"/>
      <c r="AB151" s="836" t="str">
        <f t="shared" si="842"/>
        <v/>
      </c>
      <c r="AC151" s="714">
        <f t="shared" si="843"/>
        <v>0</v>
      </c>
      <c r="AD151" s="714">
        <v>1.7000000000000001E-4</v>
      </c>
      <c r="AE151" s="714">
        <v>17</v>
      </c>
      <c r="AF151" t="str">
        <v>RG140</v>
      </c>
      <c r="AG151" s="714">
        <f t="shared" si="844"/>
        <v>0</v>
      </c>
      <c r="AH151" s="714">
        <f t="shared" si="845"/>
        <v>0</v>
      </c>
      <c r="AK151" s="938" t="str">
        <f t="shared" si="846"/>
        <v xml:space="preserve"> </v>
      </c>
      <c r="AL151" s="938" t="str">
        <f t="shared" si="847"/>
        <v xml:space="preserve"> </v>
      </c>
      <c r="AZ151" s="938" t="str">
        <f t="shared" si="848"/>
        <v xml:space="preserve"> </v>
      </c>
      <c r="BA151" s="938" t="str">
        <f t="shared" si="849"/>
        <v xml:space="preserve"> </v>
      </c>
      <c r="BO151" s="938" t="str">
        <f t="shared" si="850"/>
        <v xml:space="preserve"> </v>
      </c>
      <c r="BP151" s="938" t="str">
        <f t="shared" si="851"/>
        <v xml:space="preserve"> </v>
      </c>
      <c r="CD151" s="938" t="str">
        <f t="shared" si="852"/>
        <v xml:space="preserve"> </v>
      </c>
      <c r="CE151" s="938" t="str">
        <f t="shared" si="853"/>
        <v xml:space="preserve"> </v>
      </c>
      <c r="CS151" s="938" t="str">
        <f t="shared" si="854"/>
        <v xml:space="preserve"> </v>
      </c>
      <c r="CT151" s="938" t="str">
        <f t="shared" si="855"/>
        <v xml:space="preserve"> </v>
      </c>
      <c r="DH151" s="938" t="str">
        <f t="shared" si="856"/>
        <v xml:space="preserve"> </v>
      </c>
      <c r="DI151" s="938" t="str">
        <f t="shared" si="857"/>
        <v xml:space="preserve"> </v>
      </c>
      <c r="DW151" s="938" t="str">
        <f t="shared" si="858"/>
        <v xml:space="preserve"> </v>
      </c>
      <c r="DX151" s="938" t="str">
        <f t="shared" si="859"/>
        <v xml:space="preserve"> </v>
      </c>
      <c r="EL151" s="938" t="str">
        <f t="shared" si="860"/>
        <v xml:space="preserve"> </v>
      </c>
      <c r="EM151" s="938" t="str">
        <f t="shared" si="861"/>
        <v xml:space="preserve"> </v>
      </c>
      <c r="FA151" s="938" t="str">
        <f t="shared" si="862"/>
        <v xml:space="preserve"> </v>
      </c>
      <c r="FB151" s="938" t="str">
        <f t="shared" si="863"/>
        <v xml:space="preserve"> </v>
      </c>
      <c r="FP151" s="938" t="str">
        <f t="shared" si="864"/>
        <v xml:space="preserve"> </v>
      </c>
      <c r="FQ151" s="938" t="str">
        <f t="shared" si="865"/>
        <v xml:space="preserve"> </v>
      </c>
      <c r="GE151" s="938" t="str">
        <f t="shared" si="866"/>
        <v xml:space="preserve"> </v>
      </c>
      <c r="GF151" s="938" t="str">
        <f t="shared" si="867"/>
        <v xml:space="preserve"> </v>
      </c>
      <c r="GT151" s="938" t="str">
        <f t="shared" si="868"/>
        <v xml:space="preserve"> </v>
      </c>
      <c r="GU151" s="938" t="str">
        <f t="shared" si="869"/>
        <v xml:space="preserve"> </v>
      </c>
      <c r="HI151" s="938" t="str">
        <f t="shared" si="870"/>
        <v xml:space="preserve"> </v>
      </c>
      <c r="HJ151" s="938" t="str">
        <f t="shared" si="871"/>
        <v xml:space="preserve"> </v>
      </c>
      <c r="HX151" s="938" t="str">
        <f t="shared" si="872"/>
        <v xml:space="preserve"> </v>
      </c>
      <c r="HY151" s="938" t="str">
        <f t="shared" si="873"/>
        <v xml:space="preserve"> </v>
      </c>
      <c r="IM151" s="938" t="str">
        <f t="shared" si="874"/>
        <v xml:space="preserve"> </v>
      </c>
      <c r="IN151" s="938" t="str">
        <f t="shared" si="875"/>
        <v xml:space="preserve"> </v>
      </c>
      <c r="JB151" s="938" t="str">
        <f t="shared" si="876"/>
        <v xml:space="preserve"> </v>
      </c>
      <c r="JC151" s="938" t="str">
        <f t="shared" si="877"/>
        <v xml:space="preserve"> </v>
      </c>
      <c r="JQ151" s="938" t="str">
        <f t="shared" si="878"/>
        <v xml:space="preserve"> </v>
      </c>
      <c r="JR151" s="938" t="str">
        <f t="shared" si="879"/>
        <v xml:space="preserve"> </v>
      </c>
      <c r="KF151" s="938" t="str">
        <f t="shared" si="880"/>
        <v xml:space="preserve"> </v>
      </c>
      <c r="KG151" s="938" t="str">
        <f t="shared" si="881"/>
        <v xml:space="preserve"> </v>
      </c>
      <c r="KU151" s="938" t="str">
        <f t="shared" si="882"/>
        <v xml:space="preserve"> </v>
      </c>
      <c r="KV151" s="938" t="str">
        <f t="shared" si="883"/>
        <v xml:space="preserve"> </v>
      </c>
      <c r="LJ151" s="938" t="str">
        <f t="shared" si="884"/>
        <v xml:space="preserve"> </v>
      </c>
      <c r="LK151" s="938" t="str">
        <f t="shared" si="885"/>
        <v xml:space="preserve"> </v>
      </c>
      <c r="LY151" s="938" t="str">
        <f t="shared" si="886"/>
        <v xml:space="preserve"> </v>
      </c>
      <c r="LZ151" s="938" t="str">
        <f t="shared" si="887"/>
        <v xml:space="preserve"> </v>
      </c>
      <c r="MN151" s="938" t="str">
        <f t="shared" si="888"/>
        <v xml:space="preserve"> </v>
      </c>
      <c r="MO151" s="938" t="str">
        <f t="shared" si="889"/>
        <v xml:space="preserve"> </v>
      </c>
      <c r="NC151" s="938" t="str">
        <f t="shared" si="890"/>
        <v xml:space="preserve"> </v>
      </c>
      <c r="ND151" s="938" t="str">
        <f t="shared" si="891"/>
        <v xml:space="preserve"> </v>
      </c>
      <c r="NR151" s="938" t="str">
        <f t="shared" si="892"/>
        <v xml:space="preserve"> </v>
      </c>
      <c r="NS151" s="938" t="str">
        <f t="shared" si="893"/>
        <v xml:space="preserve"> </v>
      </c>
      <c r="OG151" s="938" t="str">
        <f t="shared" si="894"/>
        <v xml:space="preserve"> </v>
      </c>
      <c r="OH151" s="938" t="str">
        <f t="shared" si="895"/>
        <v xml:space="preserve"> </v>
      </c>
      <c r="OV151" s="938" t="str">
        <f t="shared" si="896"/>
        <v xml:space="preserve"> </v>
      </c>
      <c r="OW151" s="938" t="str">
        <f t="shared" si="897"/>
        <v xml:space="preserve"> </v>
      </c>
      <c r="PK151" s="938" t="str">
        <f t="shared" si="898"/>
        <v xml:space="preserve"> </v>
      </c>
      <c r="PL151" s="938" t="str">
        <f t="shared" si="899"/>
        <v xml:space="preserve"> </v>
      </c>
      <c r="PZ151" s="938" t="str">
        <f t="shared" si="900"/>
        <v xml:space="preserve"> </v>
      </c>
      <c r="QA151" s="938" t="str">
        <f t="shared" si="901"/>
        <v xml:space="preserve"> </v>
      </c>
      <c r="QO151" s="938" t="str">
        <f t="shared" si="902"/>
        <v xml:space="preserve"> </v>
      </c>
      <c r="QP151" s="938" t="str">
        <f t="shared" si="903"/>
        <v xml:space="preserve"> </v>
      </c>
      <c r="RD151" s="938" t="str">
        <f t="shared" si="904"/>
        <v xml:space="preserve"> </v>
      </c>
      <c r="RE151" s="938" t="str">
        <f t="shared" si="905"/>
        <v xml:space="preserve"> </v>
      </c>
    </row>
    <row r="152" spans="3:473" x14ac:dyDescent="0.2">
      <c r="C152" s="477"/>
      <c r="D152" s="477"/>
      <c r="E152" s="738"/>
      <c r="F152" s="477"/>
      <c r="G152" s="477"/>
      <c r="H152" s="477"/>
      <c r="I152" s="477"/>
      <c r="J152" s="477"/>
      <c r="K152" s="477"/>
      <c r="L152" s="477"/>
      <c r="M152" s="477"/>
      <c r="N152" s="477"/>
      <c r="O152" s="477"/>
      <c r="P152" s="477"/>
      <c r="Q152" s="477"/>
      <c r="R152" s="477"/>
      <c r="S152" s="477"/>
      <c r="T152" s="418"/>
      <c r="AB152" s="836" t="str">
        <f t="shared" si="842"/>
        <v/>
      </c>
      <c r="AC152" s="714">
        <f t="shared" si="843"/>
        <v>0</v>
      </c>
      <c r="AD152" s="714">
        <v>1.8000000000000001E-4</v>
      </c>
      <c r="AE152" s="714">
        <v>18</v>
      </c>
      <c r="AF152" t="str">
        <v>RG150</v>
      </c>
      <c r="AG152" s="714">
        <f t="shared" si="844"/>
        <v>0</v>
      </c>
      <c r="AH152" s="714">
        <f t="shared" si="845"/>
        <v>0</v>
      </c>
      <c r="AK152" s="938" t="str">
        <f t="shared" si="846"/>
        <v xml:space="preserve"> </v>
      </c>
      <c r="AL152" s="938" t="str">
        <f t="shared" si="847"/>
        <v xml:space="preserve"> </v>
      </c>
      <c r="AZ152" s="938" t="str">
        <f t="shared" si="848"/>
        <v xml:space="preserve"> </v>
      </c>
      <c r="BA152" s="938" t="str">
        <f t="shared" si="849"/>
        <v xml:space="preserve"> </v>
      </c>
      <c r="BO152" s="938" t="str">
        <f t="shared" si="850"/>
        <v xml:space="preserve"> </v>
      </c>
      <c r="BP152" s="938" t="str">
        <f t="shared" si="851"/>
        <v xml:space="preserve"> </v>
      </c>
      <c r="CD152" s="938" t="str">
        <f t="shared" si="852"/>
        <v xml:space="preserve"> </v>
      </c>
      <c r="CE152" s="938" t="str">
        <f t="shared" si="853"/>
        <v xml:space="preserve"> </v>
      </c>
      <c r="CS152" s="938" t="str">
        <f t="shared" si="854"/>
        <v xml:space="preserve"> </v>
      </c>
      <c r="CT152" s="938" t="str">
        <f t="shared" si="855"/>
        <v xml:space="preserve"> </v>
      </c>
      <c r="DH152" s="938" t="str">
        <f t="shared" si="856"/>
        <v xml:space="preserve"> </v>
      </c>
      <c r="DI152" s="938" t="str">
        <f t="shared" si="857"/>
        <v xml:space="preserve"> </v>
      </c>
      <c r="DW152" s="938" t="str">
        <f t="shared" si="858"/>
        <v xml:space="preserve"> </v>
      </c>
      <c r="DX152" s="938" t="str">
        <f t="shared" si="859"/>
        <v xml:space="preserve"> </v>
      </c>
      <c r="EL152" s="938" t="str">
        <f t="shared" si="860"/>
        <v xml:space="preserve"> </v>
      </c>
      <c r="EM152" s="938" t="str">
        <f t="shared" si="861"/>
        <v xml:space="preserve"> </v>
      </c>
      <c r="FA152" s="938" t="str">
        <f t="shared" si="862"/>
        <v xml:space="preserve"> </v>
      </c>
      <c r="FB152" s="938" t="str">
        <f t="shared" si="863"/>
        <v xml:space="preserve"> </v>
      </c>
      <c r="FP152" s="938" t="str">
        <f t="shared" si="864"/>
        <v xml:space="preserve"> </v>
      </c>
      <c r="FQ152" s="938" t="str">
        <f t="shared" si="865"/>
        <v xml:space="preserve"> </v>
      </c>
      <c r="GE152" s="938" t="str">
        <f t="shared" si="866"/>
        <v xml:space="preserve"> </v>
      </c>
      <c r="GF152" s="938" t="str">
        <f t="shared" si="867"/>
        <v xml:space="preserve"> </v>
      </c>
      <c r="GT152" s="938" t="str">
        <f t="shared" si="868"/>
        <v xml:space="preserve"> </v>
      </c>
      <c r="GU152" s="938" t="str">
        <f t="shared" si="869"/>
        <v xml:space="preserve"> </v>
      </c>
      <c r="HI152" s="938" t="str">
        <f t="shared" si="870"/>
        <v xml:space="preserve"> </v>
      </c>
      <c r="HJ152" s="938" t="str">
        <f t="shared" si="871"/>
        <v xml:space="preserve"> </v>
      </c>
      <c r="HX152" s="938" t="str">
        <f t="shared" si="872"/>
        <v xml:space="preserve"> </v>
      </c>
      <c r="HY152" s="938" t="str">
        <f t="shared" si="873"/>
        <v xml:space="preserve"> </v>
      </c>
      <c r="IM152" s="938" t="str">
        <f t="shared" si="874"/>
        <v xml:space="preserve"> </v>
      </c>
      <c r="IN152" s="938" t="str">
        <f t="shared" si="875"/>
        <v xml:space="preserve"> </v>
      </c>
      <c r="JB152" s="938" t="str">
        <f t="shared" si="876"/>
        <v xml:space="preserve"> </v>
      </c>
      <c r="JC152" s="938" t="str">
        <f t="shared" si="877"/>
        <v xml:space="preserve"> </v>
      </c>
      <c r="JQ152" s="938" t="str">
        <f t="shared" si="878"/>
        <v xml:space="preserve"> </v>
      </c>
      <c r="JR152" s="938" t="str">
        <f t="shared" si="879"/>
        <v xml:space="preserve"> </v>
      </c>
      <c r="KF152" s="938" t="str">
        <f t="shared" si="880"/>
        <v xml:space="preserve"> </v>
      </c>
      <c r="KG152" s="938" t="str">
        <f t="shared" si="881"/>
        <v xml:space="preserve"> </v>
      </c>
      <c r="KU152" s="938" t="str">
        <f t="shared" si="882"/>
        <v xml:space="preserve"> </v>
      </c>
      <c r="KV152" s="938" t="str">
        <f t="shared" si="883"/>
        <v xml:space="preserve"> </v>
      </c>
      <c r="LJ152" s="938" t="str">
        <f t="shared" si="884"/>
        <v xml:space="preserve"> </v>
      </c>
      <c r="LK152" s="938" t="str">
        <f t="shared" si="885"/>
        <v xml:space="preserve"> </v>
      </c>
      <c r="LY152" s="938" t="str">
        <f t="shared" si="886"/>
        <v xml:space="preserve"> </v>
      </c>
      <c r="LZ152" s="938" t="str">
        <f t="shared" si="887"/>
        <v xml:space="preserve"> </v>
      </c>
      <c r="MN152" s="938" t="str">
        <f t="shared" si="888"/>
        <v xml:space="preserve"> </v>
      </c>
      <c r="MO152" s="938" t="str">
        <f t="shared" si="889"/>
        <v xml:space="preserve"> </v>
      </c>
      <c r="NC152" s="938" t="str">
        <f t="shared" si="890"/>
        <v xml:space="preserve"> </v>
      </c>
      <c r="ND152" s="938" t="str">
        <f t="shared" si="891"/>
        <v xml:space="preserve"> </v>
      </c>
      <c r="NR152" s="938" t="str">
        <f t="shared" si="892"/>
        <v xml:space="preserve"> </v>
      </c>
      <c r="NS152" s="938" t="str">
        <f t="shared" si="893"/>
        <v xml:space="preserve"> </v>
      </c>
      <c r="OG152" s="938" t="str">
        <f t="shared" si="894"/>
        <v xml:space="preserve"> </v>
      </c>
      <c r="OH152" s="938" t="str">
        <f t="shared" si="895"/>
        <v xml:space="preserve"> </v>
      </c>
      <c r="OV152" s="938" t="str">
        <f t="shared" si="896"/>
        <v xml:space="preserve"> </v>
      </c>
      <c r="OW152" s="938" t="str">
        <f t="shared" si="897"/>
        <v xml:space="preserve"> </v>
      </c>
      <c r="PK152" s="938" t="str">
        <f t="shared" si="898"/>
        <v xml:space="preserve"> </v>
      </c>
      <c r="PL152" s="938" t="str">
        <f t="shared" si="899"/>
        <v xml:space="preserve"> </v>
      </c>
      <c r="PZ152" s="938" t="str">
        <f t="shared" si="900"/>
        <v xml:space="preserve"> </v>
      </c>
      <c r="QA152" s="938" t="str">
        <f t="shared" si="901"/>
        <v xml:space="preserve"> </v>
      </c>
      <c r="QO152" s="938" t="str">
        <f t="shared" si="902"/>
        <v xml:space="preserve"> </v>
      </c>
      <c r="QP152" s="938" t="str">
        <f t="shared" si="903"/>
        <v xml:space="preserve"> </v>
      </c>
      <c r="RD152" s="938" t="str">
        <f t="shared" si="904"/>
        <v xml:space="preserve"> </v>
      </c>
      <c r="RE152" s="938" t="str">
        <f t="shared" si="905"/>
        <v xml:space="preserve"> </v>
      </c>
    </row>
    <row r="153" spans="3:473" x14ac:dyDescent="0.2">
      <c r="C153" s="477"/>
      <c r="D153" s="477"/>
      <c r="E153" s="738"/>
      <c r="F153" s="477"/>
      <c r="G153" s="477"/>
      <c r="H153" s="477"/>
      <c r="I153" s="477"/>
      <c r="J153" s="477"/>
      <c r="K153" s="477"/>
      <c r="L153" s="477"/>
      <c r="M153" s="477"/>
      <c r="N153" s="477"/>
      <c r="O153" s="477"/>
      <c r="P153" s="477"/>
      <c r="Q153" s="477"/>
      <c r="R153" s="477"/>
      <c r="S153" s="477"/>
      <c r="T153" s="418"/>
      <c r="AB153" s="836" t="str">
        <f t="shared" si="842"/>
        <v/>
      </c>
      <c r="AC153" s="714">
        <f t="shared" si="843"/>
        <v>0</v>
      </c>
      <c r="AD153" s="714">
        <v>1.9000000000000001E-4</v>
      </c>
      <c r="AE153" s="714">
        <v>19</v>
      </c>
      <c r="AF153" t="str">
        <v>RG160</v>
      </c>
      <c r="AG153" s="714">
        <f t="shared" si="844"/>
        <v>0</v>
      </c>
      <c r="AH153" s="714">
        <f t="shared" si="845"/>
        <v>0</v>
      </c>
      <c r="AK153" s="938" t="str">
        <f t="shared" si="846"/>
        <v xml:space="preserve"> </v>
      </c>
      <c r="AL153" s="938" t="str">
        <f t="shared" si="847"/>
        <v xml:space="preserve"> </v>
      </c>
      <c r="AZ153" s="938" t="str">
        <f t="shared" si="848"/>
        <v xml:space="preserve"> </v>
      </c>
      <c r="BA153" s="938" t="str">
        <f t="shared" si="849"/>
        <v xml:space="preserve"> </v>
      </c>
      <c r="BO153" s="938" t="str">
        <f t="shared" si="850"/>
        <v xml:space="preserve"> </v>
      </c>
      <c r="BP153" s="938" t="str">
        <f t="shared" si="851"/>
        <v xml:space="preserve"> </v>
      </c>
      <c r="CD153" s="938" t="str">
        <f t="shared" si="852"/>
        <v xml:space="preserve"> </v>
      </c>
      <c r="CE153" s="938" t="str">
        <f t="shared" si="853"/>
        <v xml:space="preserve"> </v>
      </c>
      <c r="CS153" s="938" t="str">
        <f t="shared" si="854"/>
        <v xml:space="preserve"> </v>
      </c>
      <c r="CT153" s="938" t="str">
        <f t="shared" si="855"/>
        <v xml:space="preserve"> </v>
      </c>
      <c r="DH153" s="938" t="str">
        <f t="shared" si="856"/>
        <v xml:space="preserve"> </v>
      </c>
      <c r="DI153" s="938" t="str">
        <f t="shared" si="857"/>
        <v xml:space="preserve"> </v>
      </c>
      <c r="DW153" s="938" t="str">
        <f t="shared" si="858"/>
        <v xml:space="preserve"> </v>
      </c>
      <c r="DX153" s="938" t="str">
        <f t="shared" si="859"/>
        <v xml:space="preserve"> </v>
      </c>
      <c r="EL153" s="938" t="str">
        <f t="shared" si="860"/>
        <v xml:space="preserve"> </v>
      </c>
      <c r="EM153" s="938" t="str">
        <f t="shared" si="861"/>
        <v xml:space="preserve"> </v>
      </c>
      <c r="FA153" s="938" t="str">
        <f t="shared" si="862"/>
        <v xml:space="preserve"> </v>
      </c>
      <c r="FB153" s="938" t="str">
        <f t="shared" si="863"/>
        <v xml:space="preserve"> </v>
      </c>
      <c r="FP153" s="938" t="str">
        <f t="shared" si="864"/>
        <v xml:space="preserve"> </v>
      </c>
      <c r="FQ153" s="938" t="str">
        <f t="shared" si="865"/>
        <v xml:space="preserve"> </v>
      </c>
      <c r="GE153" s="938" t="str">
        <f t="shared" si="866"/>
        <v xml:space="preserve"> </v>
      </c>
      <c r="GF153" s="938" t="str">
        <f t="shared" si="867"/>
        <v xml:space="preserve"> </v>
      </c>
      <c r="GT153" s="938" t="str">
        <f t="shared" si="868"/>
        <v xml:space="preserve"> </v>
      </c>
      <c r="GU153" s="938" t="str">
        <f t="shared" si="869"/>
        <v xml:space="preserve"> </v>
      </c>
      <c r="HI153" s="938" t="str">
        <f t="shared" si="870"/>
        <v xml:space="preserve"> </v>
      </c>
      <c r="HJ153" s="938" t="str">
        <f t="shared" si="871"/>
        <v xml:space="preserve"> </v>
      </c>
      <c r="HX153" s="938" t="str">
        <f t="shared" si="872"/>
        <v xml:space="preserve"> </v>
      </c>
      <c r="HY153" s="938" t="str">
        <f t="shared" si="873"/>
        <v xml:space="preserve"> </v>
      </c>
      <c r="IM153" s="938" t="str">
        <f t="shared" si="874"/>
        <v xml:space="preserve"> </v>
      </c>
      <c r="IN153" s="938" t="str">
        <f t="shared" si="875"/>
        <v xml:space="preserve"> </v>
      </c>
      <c r="JB153" s="938" t="str">
        <f t="shared" si="876"/>
        <v xml:space="preserve"> </v>
      </c>
      <c r="JC153" s="938" t="str">
        <f t="shared" si="877"/>
        <v xml:space="preserve"> </v>
      </c>
      <c r="JQ153" s="938" t="str">
        <f t="shared" si="878"/>
        <v xml:space="preserve"> </v>
      </c>
      <c r="JR153" s="938" t="str">
        <f t="shared" si="879"/>
        <v xml:space="preserve"> </v>
      </c>
      <c r="KF153" s="938" t="str">
        <f t="shared" si="880"/>
        <v xml:space="preserve"> </v>
      </c>
      <c r="KG153" s="938" t="str">
        <f t="shared" si="881"/>
        <v xml:space="preserve"> </v>
      </c>
      <c r="KU153" s="938" t="str">
        <f t="shared" si="882"/>
        <v xml:space="preserve"> </v>
      </c>
      <c r="KV153" s="938" t="str">
        <f t="shared" si="883"/>
        <v xml:space="preserve"> </v>
      </c>
      <c r="LJ153" s="938" t="str">
        <f t="shared" si="884"/>
        <v xml:space="preserve"> </v>
      </c>
      <c r="LK153" s="938" t="str">
        <f t="shared" si="885"/>
        <v xml:space="preserve"> </v>
      </c>
      <c r="LY153" s="938" t="str">
        <f t="shared" si="886"/>
        <v xml:space="preserve"> </v>
      </c>
      <c r="LZ153" s="938" t="str">
        <f t="shared" si="887"/>
        <v xml:space="preserve"> </v>
      </c>
      <c r="MN153" s="938" t="str">
        <f t="shared" si="888"/>
        <v xml:space="preserve"> </v>
      </c>
      <c r="MO153" s="938" t="str">
        <f t="shared" si="889"/>
        <v xml:space="preserve"> </v>
      </c>
      <c r="NC153" s="938" t="str">
        <f t="shared" si="890"/>
        <v xml:space="preserve"> </v>
      </c>
      <c r="ND153" s="938" t="str">
        <f t="shared" si="891"/>
        <v xml:space="preserve"> </v>
      </c>
      <c r="NR153" s="938" t="str">
        <f t="shared" si="892"/>
        <v xml:space="preserve"> </v>
      </c>
      <c r="NS153" s="938" t="str">
        <f t="shared" si="893"/>
        <v xml:space="preserve"> </v>
      </c>
      <c r="OG153" s="938" t="str">
        <f t="shared" si="894"/>
        <v xml:space="preserve"> </v>
      </c>
      <c r="OH153" s="938" t="str">
        <f t="shared" si="895"/>
        <v xml:space="preserve"> </v>
      </c>
      <c r="OV153" s="938" t="str">
        <f t="shared" si="896"/>
        <v xml:space="preserve"> </v>
      </c>
      <c r="OW153" s="938" t="str">
        <f t="shared" si="897"/>
        <v xml:space="preserve"> </v>
      </c>
      <c r="PK153" s="938" t="str">
        <f t="shared" si="898"/>
        <v xml:space="preserve"> </v>
      </c>
      <c r="PL153" s="938" t="str">
        <f t="shared" si="899"/>
        <v xml:space="preserve"> </v>
      </c>
      <c r="PZ153" s="938" t="str">
        <f t="shared" si="900"/>
        <v xml:space="preserve"> </v>
      </c>
      <c r="QA153" s="938" t="str">
        <f t="shared" si="901"/>
        <v xml:space="preserve"> </v>
      </c>
      <c r="QO153" s="938" t="str">
        <f t="shared" si="902"/>
        <v xml:space="preserve"> </v>
      </c>
      <c r="QP153" s="938" t="str">
        <f t="shared" si="903"/>
        <v xml:space="preserve"> </v>
      </c>
      <c r="RD153" s="938" t="str">
        <f t="shared" si="904"/>
        <v xml:space="preserve"> </v>
      </c>
      <c r="RE153" s="938" t="str">
        <f t="shared" si="905"/>
        <v xml:space="preserve"> </v>
      </c>
    </row>
    <row r="154" spans="3:473" x14ac:dyDescent="0.2">
      <c r="C154" s="477"/>
      <c r="D154" s="477"/>
      <c r="E154" s="738"/>
      <c r="F154" s="477"/>
      <c r="G154" s="477"/>
      <c r="H154" s="477"/>
      <c r="I154" s="477"/>
      <c r="J154" s="477"/>
      <c r="K154" s="477"/>
      <c r="L154" s="477"/>
      <c r="M154" s="477"/>
      <c r="N154" s="477"/>
      <c r="O154" s="477"/>
      <c r="P154" s="477"/>
      <c r="Q154" s="477"/>
      <c r="R154" s="477"/>
      <c r="S154" s="477"/>
      <c r="T154" s="418"/>
      <c r="AB154" s="836" t="str">
        <f t="shared" si="842"/>
        <v/>
      </c>
      <c r="AC154" s="714">
        <f t="shared" si="843"/>
        <v>0</v>
      </c>
      <c r="AD154" s="714">
        <v>2.0000000000000001E-4</v>
      </c>
      <c r="AE154" s="714">
        <v>20</v>
      </c>
      <c r="AF154" t="str">
        <v>RM170</v>
      </c>
      <c r="AG154" s="714">
        <f t="shared" si="844"/>
        <v>0</v>
      </c>
      <c r="AH154" s="714">
        <f t="shared" si="845"/>
        <v>0</v>
      </c>
      <c r="AK154" s="938" t="str">
        <f t="shared" si="846"/>
        <v xml:space="preserve"> </v>
      </c>
      <c r="AL154" s="938" t="str">
        <f t="shared" si="847"/>
        <v xml:space="preserve"> </v>
      </c>
      <c r="AZ154" s="938" t="str">
        <f t="shared" si="848"/>
        <v xml:space="preserve"> </v>
      </c>
      <c r="BA154" s="938" t="str">
        <f t="shared" si="849"/>
        <v xml:space="preserve"> </v>
      </c>
      <c r="BO154" s="938" t="str">
        <f t="shared" si="850"/>
        <v xml:space="preserve"> </v>
      </c>
      <c r="BP154" s="938" t="str">
        <f t="shared" si="851"/>
        <v xml:space="preserve"> </v>
      </c>
      <c r="CD154" s="938" t="str">
        <f t="shared" si="852"/>
        <v xml:space="preserve"> </v>
      </c>
      <c r="CE154" s="938" t="str">
        <f t="shared" si="853"/>
        <v xml:space="preserve"> </v>
      </c>
      <c r="CS154" s="938" t="str">
        <f t="shared" si="854"/>
        <v xml:space="preserve"> </v>
      </c>
      <c r="CT154" s="938" t="str">
        <f t="shared" si="855"/>
        <v xml:space="preserve"> </v>
      </c>
      <c r="DH154" s="938" t="str">
        <f t="shared" si="856"/>
        <v xml:space="preserve"> </v>
      </c>
      <c r="DI154" s="938" t="str">
        <f t="shared" si="857"/>
        <v xml:space="preserve"> </v>
      </c>
      <c r="DW154" s="938" t="str">
        <f t="shared" si="858"/>
        <v xml:space="preserve"> </v>
      </c>
      <c r="DX154" s="938" t="str">
        <f t="shared" si="859"/>
        <v xml:space="preserve"> </v>
      </c>
      <c r="EL154" s="938" t="str">
        <f t="shared" si="860"/>
        <v xml:space="preserve"> </v>
      </c>
      <c r="EM154" s="938" t="str">
        <f t="shared" si="861"/>
        <v xml:space="preserve"> </v>
      </c>
      <c r="FA154" s="938" t="str">
        <f t="shared" si="862"/>
        <v xml:space="preserve"> </v>
      </c>
      <c r="FB154" s="938" t="str">
        <f t="shared" si="863"/>
        <v xml:space="preserve"> </v>
      </c>
      <c r="FP154" s="938" t="str">
        <f t="shared" si="864"/>
        <v xml:space="preserve"> </v>
      </c>
      <c r="FQ154" s="938" t="str">
        <f t="shared" si="865"/>
        <v xml:space="preserve"> </v>
      </c>
      <c r="GE154" s="938" t="str">
        <f t="shared" si="866"/>
        <v xml:space="preserve"> </v>
      </c>
      <c r="GF154" s="938" t="str">
        <f t="shared" si="867"/>
        <v xml:space="preserve"> </v>
      </c>
      <c r="GT154" s="938" t="str">
        <f t="shared" si="868"/>
        <v xml:space="preserve"> </v>
      </c>
      <c r="GU154" s="938" t="str">
        <f t="shared" si="869"/>
        <v xml:space="preserve"> </v>
      </c>
      <c r="HI154" s="938" t="str">
        <f t="shared" si="870"/>
        <v xml:space="preserve"> </v>
      </c>
      <c r="HJ154" s="938" t="str">
        <f t="shared" si="871"/>
        <v xml:space="preserve"> </v>
      </c>
      <c r="HX154" s="938" t="str">
        <f t="shared" si="872"/>
        <v xml:space="preserve"> </v>
      </c>
      <c r="HY154" s="938" t="str">
        <f t="shared" si="873"/>
        <v xml:space="preserve"> </v>
      </c>
      <c r="IM154" s="938" t="str">
        <f t="shared" si="874"/>
        <v xml:space="preserve"> </v>
      </c>
      <c r="IN154" s="938" t="str">
        <f t="shared" si="875"/>
        <v xml:space="preserve"> </v>
      </c>
      <c r="JB154" s="938" t="str">
        <f t="shared" si="876"/>
        <v xml:space="preserve"> </v>
      </c>
      <c r="JC154" s="938" t="str">
        <f t="shared" si="877"/>
        <v xml:space="preserve"> </v>
      </c>
      <c r="JQ154" s="938" t="str">
        <f t="shared" si="878"/>
        <v xml:space="preserve"> </v>
      </c>
      <c r="JR154" s="938" t="str">
        <f t="shared" si="879"/>
        <v xml:space="preserve"> </v>
      </c>
      <c r="KF154" s="938" t="str">
        <f t="shared" si="880"/>
        <v xml:space="preserve"> </v>
      </c>
      <c r="KG154" s="938" t="str">
        <f t="shared" si="881"/>
        <v xml:space="preserve"> </v>
      </c>
      <c r="KU154" s="938" t="str">
        <f t="shared" si="882"/>
        <v xml:space="preserve"> </v>
      </c>
      <c r="KV154" s="938" t="str">
        <f t="shared" si="883"/>
        <v xml:space="preserve"> </v>
      </c>
      <c r="LJ154" s="938" t="str">
        <f t="shared" si="884"/>
        <v xml:space="preserve"> </v>
      </c>
      <c r="LK154" s="938" t="str">
        <f t="shared" si="885"/>
        <v xml:space="preserve"> </v>
      </c>
      <c r="LY154" s="938" t="str">
        <f t="shared" si="886"/>
        <v xml:space="preserve"> </v>
      </c>
      <c r="LZ154" s="938" t="str">
        <f t="shared" si="887"/>
        <v xml:space="preserve"> </v>
      </c>
      <c r="MN154" s="938" t="str">
        <f t="shared" si="888"/>
        <v xml:space="preserve"> </v>
      </c>
      <c r="MO154" s="938" t="str">
        <f t="shared" si="889"/>
        <v xml:space="preserve"> </v>
      </c>
      <c r="NC154" s="938" t="str">
        <f t="shared" si="890"/>
        <v xml:space="preserve"> </v>
      </c>
      <c r="ND154" s="938" t="str">
        <f t="shared" si="891"/>
        <v xml:space="preserve"> </v>
      </c>
      <c r="NR154" s="938" t="str">
        <f t="shared" si="892"/>
        <v xml:space="preserve"> </v>
      </c>
      <c r="NS154" s="938" t="str">
        <f t="shared" si="893"/>
        <v xml:space="preserve"> </v>
      </c>
      <c r="OG154" s="938" t="str">
        <f t="shared" si="894"/>
        <v xml:space="preserve"> </v>
      </c>
      <c r="OH154" s="938" t="str">
        <f t="shared" si="895"/>
        <v xml:space="preserve"> </v>
      </c>
      <c r="OV154" s="938" t="str">
        <f t="shared" si="896"/>
        <v xml:space="preserve"> </v>
      </c>
      <c r="OW154" s="938" t="str">
        <f t="shared" si="897"/>
        <v xml:space="preserve"> </v>
      </c>
      <c r="PK154" s="938" t="str">
        <f t="shared" si="898"/>
        <v xml:space="preserve"> </v>
      </c>
      <c r="PL154" s="938" t="str">
        <f t="shared" si="899"/>
        <v xml:space="preserve"> </v>
      </c>
      <c r="PZ154" s="938" t="str">
        <f t="shared" si="900"/>
        <v xml:space="preserve"> </v>
      </c>
      <c r="QA154" s="938" t="str">
        <f t="shared" si="901"/>
        <v xml:space="preserve"> </v>
      </c>
      <c r="QO154" s="938" t="str">
        <f t="shared" si="902"/>
        <v xml:space="preserve"> </v>
      </c>
      <c r="QP154" s="938" t="str">
        <f t="shared" si="903"/>
        <v xml:space="preserve"> </v>
      </c>
      <c r="RD154" s="938" t="str">
        <f t="shared" si="904"/>
        <v xml:space="preserve"> </v>
      </c>
      <c r="RE154" s="938" t="str">
        <f t="shared" si="905"/>
        <v xml:space="preserve"> </v>
      </c>
    </row>
    <row r="155" spans="3:473" x14ac:dyDescent="0.2">
      <c r="C155" s="477"/>
      <c r="D155" s="477"/>
      <c r="E155" s="738"/>
      <c r="F155" s="477"/>
      <c r="G155" s="477"/>
      <c r="H155" s="477"/>
      <c r="I155" s="477"/>
      <c r="J155" s="477"/>
      <c r="K155" s="477"/>
      <c r="L155" s="477"/>
      <c r="M155" s="477"/>
      <c r="N155" s="477"/>
      <c r="O155" s="477"/>
      <c r="P155" s="477"/>
      <c r="Q155" s="477"/>
      <c r="R155" s="477"/>
      <c r="S155" s="477"/>
      <c r="T155" s="418"/>
      <c r="AB155" s="836" t="str">
        <f t="shared" si="842"/>
        <v/>
      </c>
      <c r="AC155" s="714">
        <f t="shared" si="843"/>
        <v>0</v>
      </c>
      <c r="AD155" s="714">
        <v>2.1000000000000001E-4</v>
      </c>
      <c r="AE155" s="714">
        <v>21</v>
      </c>
      <c r="AF155" t="str">
        <v>RM180</v>
      </c>
      <c r="AG155" s="714">
        <f t="shared" si="844"/>
        <v>0</v>
      </c>
      <c r="AH155" s="714">
        <f t="shared" si="845"/>
        <v>0</v>
      </c>
      <c r="AK155" s="938" t="str">
        <f t="shared" si="846"/>
        <v xml:space="preserve"> </v>
      </c>
      <c r="AL155" s="938" t="str">
        <f t="shared" si="847"/>
        <v xml:space="preserve"> </v>
      </c>
      <c r="AZ155" s="938" t="str">
        <f t="shared" si="848"/>
        <v xml:space="preserve"> </v>
      </c>
      <c r="BA155" s="938" t="str">
        <f t="shared" si="849"/>
        <v xml:space="preserve"> </v>
      </c>
      <c r="BO155" s="938" t="str">
        <f t="shared" si="850"/>
        <v xml:space="preserve"> </v>
      </c>
      <c r="BP155" s="938" t="str">
        <f t="shared" si="851"/>
        <v xml:space="preserve"> </v>
      </c>
      <c r="CD155" s="938" t="str">
        <f t="shared" si="852"/>
        <v xml:space="preserve"> </v>
      </c>
      <c r="CE155" s="938" t="str">
        <f t="shared" si="853"/>
        <v xml:space="preserve"> </v>
      </c>
      <c r="CS155" s="938" t="str">
        <f t="shared" si="854"/>
        <v xml:space="preserve"> </v>
      </c>
      <c r="CT155" s="938" t="str">
        <f t="shared" si="855"/>
        <v xml:space="preserve"> </v>
      </c>
      <c r="DH155" s="938" t="str">
        <f t="shared" si="856"/>
        <v xml:space="preserve"> </v>
      </c>
      <c r="DI155" s="938" t="str">
        <f t="shared" si="857"/>
        <v xml:space="preserve"> </v>
      </c>
      <c r="DW155" s="938" t="str">
        <f t="shared" si="858"/>
        <v xml:space="preserve"> </v>
      </c>
      <c r="DX155" s="938" t="str">
        <f t="shared" si="859"/>
        <v xml:space="preserve"> </v>
      </c>
      <c r="EL155" s="938" t="str">
        <f t="shared" si="860"/>
        <v xml:space="preserve"> </v>
      </c>
      <c r="EM155" s="938" t="str">
        <f t="shared" si="861"/>
        <v xml:space="preserve"> </v>
      </c>
      <c r="FA155" s="938" t="str">
        <f t="shared" si="862"/>
        <v xml:space="preserve"> </v>
      </c>
      <c r="FB155" s="938" t="str">
        <f t="shared" si="863"/>
        <v xml:space="preserve"> </v>
      </c>
      <c r="FP155" s="938" t="str">
        <f t="shared" si="864"/>
        <v xml:space="preserve"> </v>
      </c>
      <c r="FQ155" s="938" t="str">
        <f t="shared" si="865"/>
        <v xml:space="preserve"> </v>
      </c>
      <c r="GE155" s="938" t="str">
        <f t="shared" si="866"/>
        <v xml:space="preserve"> </v>
      </c>
      <c r="GF155" s="938" t="str">
        <f t="shared" si="867"/>
        <v xml:space="preserve"> </v>
      </c>
      <c r="GT155" s="938" t="str">
        <f t="shared" si="868"/>
        <v xml:space="preserve"> </v>
      </c>
      <c r="GU155" s="938" t="str">
        <f t="shared" si="869"/>
        <v xml:space="preserve"> </v>
      </c>
      <c r="HI155" s="938" t="str">
        <f t="shared" si="870"/>
        <v xml:space="preserve"> </v>
      </c>
      <c r="HJ155" s="938" t="str">
        <f t="shared" si="871"/>
        <v xml:space="preserve"> </v>
      </c>
      <c r="HX155" s="938" t="str">
        <f t="shared" si="872"/>
        <v xml:space="preserve"> </v>
      </c>
      <c r="HY155" s="938" t="str">
        <f t="shared" si="873"/>
        <v xml:space="preserve"> </v>
      </c>
      <c r="IM155" s="938" t="str">
        <f t="shared" si="874"/>
        <v xml:space="preserve"> </v>
      </c>
      <c r="IN155" s="938" t="str">
        <f t="shared" si="875"/>
        <v xml:space="preserve"> </v>
      </c>
      <c r="JB155" s="938" t="str">
        <f t="shared" si="876"/>
        <v xml:space="preserve"> </v>
      </c>
      <c r="JC155" s="938" t="str">
        <f t="shared" si="877"/>
        <v xml:space="preserve"> </v>
      </c>
      <c r="JQ155" s="938" t="str">
        <f t="shared" si="878"/>
        <v xml:space="preserve"> </v>
      </c>
      <c r="JR155" s="938" t="str">
        <f t="shared" si="879"/>
        <v xml:space="preserve"> </v>
      </c>
      <c r="KF155" s="938" t="str">
        <f t="shared" si="880"/>
        <v xml:space="preserve"> </v>
      </c>
      <c r="KG155" s="938" t="str">
        <f t="shared" si="881"/>
        <v xml:space="preserve"> </v>
      </c>
      <c r="KU155" s="938" t="str">
        <f t="shared" si="882"/>
        <v xml:space="preserve"> </v>
      </c>
      <c r="KV155" s="938" t="str">
        <f t="shared" si="883"/>
        <v xml:space="preserve"> </v>
      </c>
      <c r="LJ155" s="938" t="str">
        <f t="shared" si="884"/>
        <v xml:space="preserve"> </v>
      </c>
      <c r="LK155" s="938" t="str">
        <f t="shared" si="885"/>
        <v xml:space="preserve"> </v>
      </c>
      <c r="LY155" s="938" t="str">
        <f t="shared" si="886"/>
        <v xml:space="preserve"> </v>
      </c>
      <c r="LZ155" s="938" t="str">
        <f t="shared" si="887"/>
        <v xml:space="preserve"> </v>
      </c>
      <c r="MN155" s="938" t="str">
        <f t="shared" si="888"/>
        <v xml:space="preserve"> </v>
      </c>
      <c r="MO155" s="938" t="str">
        <f t="shared" si="889"/>
        <v xml:space="preserve"> </v>
      </c>
      <c r="NC155" s="938" t="str">
        <f t="shared" si="890"/>
        <v xml:space="preserve"> </v>
      </c>
      <c r="ND155" s="938" t="str">
        <f t="shared" si="891"/>
        <v xml:space="preserve"> </v>
      </c>
      <c r="NR155" s="938" t="str">
        <f t="shared" si="892"/>
        <v xml:space="preserve"> </v>
      </c>
      <c r="NS155" s="938" t="str">
        <f t="shared" si="893"/>
        <v xml:space="preserve"> </v>
      </c>
      <c r="OG155" s="938" t="str">
        <f t="shared" si="894"/>
        <v xml:space="preserve"> </v>
      </c>
      <c r="OH155" s="938" t="str">
        <f t="shared" si="895"/>
        <v xml:space="preserve"> </v>
      </c>
      <c r="OV155" s="938" t="str">
        <f t="shared" si="896"/>
        <v xml:space="preserve"> </v>
      </c>
      <c r="OW155" s="938" t="str">
        <f t="shared" si="897"/>
        <v xml:space="preserve"> </v>
      </c>
      <c r="PK155" s="938" t="str">
        <f t="shared" si="898"/>
        <v xml:space="preserve"> </v>
      </c>
      <c r="PL155" s="938" t="str">
        <f t="shared" si="899"/>
        <v xml:space="preserve"> </v>
      </c>
      <c r="PZ155" s="938" t="str">
        <f t="shared" si="900"/>
        <v xml:space="preserve"> </v>
      </c>
      <c r="QA155" s="938" t="str">
        <f t="shared" si="901"/>
        <v xml:space="preserve"> </v>
      </c>
      <c r="QO155" s="938" t="str">
        <f t="shared" si="902"/>
        <v xml:space="preserve"> </v>
      </c>
      <c r="QP155" s="938" t="str">
        <f t="shared" si="903"/>
        <v xml:space="preserve"> </v>
      </c>
      <c r="RD155" s="938" t="str">
        <f t="shared" si="904"/>
        <v xml:space="preserve"> </v>
      </c>
      <c r="RE155" s="938" t="str">
        <f t="shared" si="905"/>
        <v xml:space="preserve"> </v>
      </c>
    </row>
    <row r="156" spans="3:473" x14ac:dyDescent="0.2">
      <c r="C156" s="477"/>
      <c r="D156" s="477"/>
      <c r="E156" s="738"/>
      <c r="F156" s="477"/>
      <c r="G156" s="477"/>
      <c r="H156" s="477"/>
      <c r="I156" s="477"/>
      <c r="J156" s="477"/>
      <c r="K156" s="477"/>
      <c r="L156" s="477"/>
      <c r="M156" s="477"/>
      <c r="N156" s="477"/>
      <c r="O156" s="477"/>
      <c r="P156" s="477"/>
      <c r="Q156" s="477"/>
      <c r="R156" s="477"/>
      <c r="S156" s="477"/>
      <c r="T156" s="418"/>
      <c r="AB156" s="836" t="str">
        <f t="shared" si="842"/>
        <v/>
      </c>
      <c r="AC156" s="714">
        <f t="shared" si="843"/>
        <v>0</v>
      </c>
      <c r="AD156" s="714">
        <v>2.2000000000000001E-4</v>
      </c>
      <c r="AE156" s="714">
        <v>22</v>
      </c>
      <c r="AF156" t="str">
        <v>RJ190</v>
      </c>
      <c r="AG156" s="714">
        <f t="shared" si="844"/>
        <v>0</v>
      </c>
      <c r="AH156" s="714">
        <f t="shared" si="845"/>
        <v>0</v>
      </c>
      <c r="AK156" s="938" t="str">
        <f t="shared" si="846"/>
        <v xml:space="preserve"> </v>
      </c>
      <c r="AL156" s="938" t="str">
        <f t="shared" si="847"/>
        <v xml:space="preserve"> </v>
      </c>
      <c r="AZ156" s="938" t="str">
        <f t="shared" si="848"/>
        <v xml:space="preserve"> </v>
      </c>
      <c r="BA156" s="938" t="str">
        <f t="shared" si="849"/>
        <v xml:space="preserve"> </v>
      </c>
      <c r="BO156" s="938" t="str">
        <f t="shared" si="850"/>
        <v xml:space="preserve"> </v>
      </c>
      <c r="BP156" s="938" t="str">
        <f t="shared" si="851"/>
        <v xml:space="preserve"> </v>
      </c>
      <c r="CD156" s="938" t="str">
        <f t="shared" si="852"/>
        <v xml:space="preserve"> </v>
      </c>
      <c r="CE156" s="938" t="str">
        <f t="shared" si="853"/>
        <v xml:space="preserve"> </v>
      </c>
      <c r="CS156" s="938" t="str">
        <f t="shared" si="854"/>
        <v xml:space="preserve"> </v>
      </c>
      <c r="CT156" s="938" t="str">
        <f t="shared" si="855"/>
        <v xml:space="preserve"> </v>
      </c>
      <c r="DH156" s="938" t="str">
        <f t="shared" si="856"/>
        <v xml:space="preserve"> </v>
      </c>
      <c r="DI156" s="938" t="str">
        <f t="shared" si="857"/>
        <v xml:space="preserve"> </v>
      </c>
      <c r="DW156" s="938" t="str">
        <f t="shared" si="858"/>
        <v xml:space="preserve"> </v>
      </c>
      <c r="DX156" s="938" t="str">
        <f t="shared" si="859"/>
        <v xml:space="preserve"> </v>
      </c>
      <c r="EL156" s="938" t="str">
        <f t="shared" si="860"/>
        <v xml:space="preserve"> </v>
      </c>
      <c r="EM156" s="938" t="str">
        <f t="shared" si="861"/>
        <v xml:space="preserve"> </v>
      </c>
      <c r="FA156" s="938" t="str">
        <f t="shared" si="862"/>
        <v xml:space="preserve"> </v>
      </c>
      <c r="FB156" s="938" t="str">
        <f t="shared" si="863"/>
        <v xml:space="preserve"> </v>
      </c>
      <c r="FP156" s="938" t="str">
        <f t="shared" si="864"/>
        <v xml:space="preserve"> </v>
      </c>
      <c r="FQ156" s="938" t="str">
        <f t="shared" si="865"/>
        <v xml:space="preserve"> </v>
      </c>
      <c r="GE156" s="938" t="str">
        <f t="shared" si="866"/>
        <v xml:space="preserve"> </v>
      </c>
      <c r="GF156" s="938" t="str">
        <f t="shared" si="867"/>
        <v xml:space="preserve"> </v>
      </c>
      <c r="GT156" s="938" t="str">
        <f t="shared" si="868"/>
        <v xml:space="preserve"> </v>
      </c>
      <c r="GU156" s="938" t="str">
        <f t="shared" si="869"/>
        <v xml:space="preserve"> </v>
      </c>
      <c r="HI156" s="938" t="str">
        <f t="shared" si="870"/>
        <v xml:space="preserve"> </v>
      </c>
      <c r="HJ156" s="938" t="str">
        <f t="shared" si="871"/>
        <v xml:space="preserve"> </v>
      </c>
      <c r="HX156" s="938" t="str">
        <f t="shared" si="872"/>
        <v xml:space="preserve"> </v>
      </c>
      <c r="HY156" s="938" t="str">
        <f t="shared" si="873"/>
        <v xml:space="preserve"> </v>
      </c>
      <c r="IM156" s="938" t="str">
        <f t="shared" si="874"/>
        <v xml:space="preserve"> </v>
      </c>
      <c r="IN156" s="938" t="str">
        <f t="shared" si="875"/>
        <v xml:space="preserve"> </v>
      </c>
      <c r="JB156" s="938" t="str">
        <f t="shared" si="876"/>
        <v xml:space="preserve"> </v>
      </c>
      <c r="JC156" s="938" t="str">
        <f t="shared" si="877"/>
        <v xml:space="preserve"> </v>
      </c>
      <c r="JQ156" s="938" t="str">
        <f t="shared" si="878"/>
        <v xml:space="preserve"> </v>
      </c>
      <c r="JR156" s="938" t="str">
        <f t="shared" si="879"/>
        <v xml:space="preserve"> </v>
      </c>
      <c r="KF156" s="938" t="str">
        <f t="shared" si="880"/>
        <v xml:space="preserve"> </v>
      </c>
      <c r="KG156" s="938" t="str">
        <f t="shared" si="881"/>
        <v xml:space="preserve"> </v>
      </c>
      <c r="KU156" s="938" t="str">
        <f t="shared" si="882"/>
        <v xml:space="preserve"> </v>
      </c>
      <c r="KV156" s="938" t="str">
        <f t="shared" si="883"/>
        <v xml:space="preserve"> </v>
      </c>
      <c r="LJ156" s="938" t="str">
        <f t="shared" si="884"/>
        <v xml:space="preserve"> </v>
      </c>
      <c r="LK156" s="938" t="str">
        <f t="shared" si="885"/>
        <v xml:space="preserve"> </v>
      </c>
      <c r="LY156" s="938" t="str">
        <f t="shared" si="886"/>
        <v xml:space="preserve"> </v>
      </c>
      <c r="LZ156" s="938" t="str">
        <f t="shared" si="887"/>
        <v xml:space="preserve"> </v>
      </c>
      <c r="MN156" s="938" t="str">
        <f t="shared" si="888"/>
        <v xml:space="preserve"> </v>
      </c>
      <c r="MO156" s="938" t="str">
        <f t="shared" si="889"/>
        <v xml:space="preserve"> </v>
      </c>
      <c r="NC156" s="938" t="str">
        <f t="shared" si="890"/>
        <v xml:space="preserve"> </v>
      </c>
      <c r="ND156" s="938" t="str">
        <f t="shared" si="891"/>
        <v xml:space="preserve"> </v>
      </c>
      <c r="NR156" s="938" t="str">
        <f t="shared" si="892"/>
        <v xml:space="preserve"> </v>
      </c>
      <c r="NS156" s="938" t="str">
        <f t="shared" si="893"/>
        <v xml:space="preserve"> </v>
      </c>
      <c r="OG156" s="938" t="str">
        <f t="shared" si="894"/>
        <v xml:space="preserve"> </v>
      </c>
      <c r="OH156" s="938" t="str">
        <f t="shared" si="895"/>
        <v xml:space="preserve"> </v>
      </c>
      <c r="OV156" s="938" t="str">
        <f t="shared" si="896"/>
        <v xml:space="preserve"> </v>
      </c>
      <c r="OW156" s="938" t="str">
        <f t="shared" si="897"/>
        <v xml:space="preserve"> </v>
      </c>
      <c r="PK156" s="938" t="str">
        <f t="shared" si="898"/>
        <v xml:space="preserve"> </v>
      </c>
      <c r="PL156" s="938" t="str">
        <f t="shared" si="899"/>
        <v xml:space="preserve"> </v>
      </c>
      <c r="PZ156" s="938" t="str">
        <f t="shared" si="900"/>
        <v xml:space="preserve"> </v>
      </c>
      <c r="QA156" s="938" t="str">
        <f t="shared" si="901"/>
        <v xml:space="preserve"> </v>
      </c>
      <c r="QO156" s="938" t="str">
        <f t="shared" si="902"/>
        <v xml:space="preserve"> </v>
      </c>
      <c r="QP156" s="938" t="str">
        <f t="shared" si="903"/>
        <v xml:space="preserve"> </v>
      </c>
      <c r="RD156" s="938" t="str">
        <f t="shared" si="904"/>
        <v xml:space="preserve"> </v>
      </c>
      <c r="RE156" s="938" t="str">
        <f t="shared" si="905"/>
        <v xml:space="preserve"> </v>
      </c>
    </row>
    <row r="157" spans="3:473" x14ac:dyDescent="0.2">
      <c r="C157" s="300"/>
      <c r="D157" s="300"/>
      <c r="E157" s="300"/>
      <c r="F157" s="300"/>
      <c r="G157" s="300"/>
      <c r="H157" s="300"/>
      <c r="I157" s="300"/>
      <c r="J157" s="300"/>
      <c r="K157" s="300"/>
      <c r="L157" s="300"/>
      <c r="M157" s="300"/>
      <c r="N157" s="300"/>
      <c r="O157" s="300"/>
      <c r="P157" s="300"/>
      <c r="Q157" s="300"/>
      <c r="R157" s="300"/>
      <c r="S157" s="300"/>
      <c r="T157" s="300"/>
      <c r="AB157" s="836" t="str">
        <f t="shared" si="842"/>
        <v/>
      </c>
      <c r="AC157" s="714">
        <f t="shared" si="843"/>
        <v>0</v>
      </c>
      <c r="AD157" s="714">
        <v>2.3000000000000001E-4</v>
      </c>
      <c r="AE157" s="714">
        <v>23</v>
      </c>
      <c r="AF157" t="str">
        <v xml:space="preserve"> +Schw.+</v>
      </c>
      <c r="AG157" s="714">
        <f t="shared" si="844"/>
        <v>0</v>
      </c>
      <c r="AH157" s="714">
        <f t="shared" si="845"/>
        <v>0</v>
      </c>
      <c r="AK157" s="938" t="str">
        <f t="shared" si="846"/>
        <v xml:space="preserve"> </v>
      </c>
      <c r="AL157" s="938" t="str">
        <f t="shared" si="847"/>
        <v xml:space="preserve"> </v>
      </c>
      <c r="AZ157" s="938" t="str">
        <f t="shared" si="848"/>
        <v xml:space="preserve"> </v>
      </c>
      <c r="BA157" s="938" t="str">
        <f t="shared" si="849"/>
        <v xml:space="preserve"> </v>
      </c>
      <c r="BO157" s="938" t="str">
        <f t="shared" si="850"/>
        <v xml:space="preserve"> </v>
      </c>
      <c r="BP157" s="938" t="str">
        <f t="shared" si="851"/>
        <v xml:space="preserve"> </v>
      </c>
      <c r="CD157" s="938" t="str">
        <f t="shared" si="852"/>
        <v xml:space="preserve"> </v>
      </c>
      <c r="CE157" s="938" t="str">
        <f t="shared" si="853"/>
        <v xml:space="preserve"> </v>
      </c>
      <c r="CS157" s="938" t="str">
        <f t="shared" si="854"/>
        <v xml:space="preserve"> </v>
      </c>
      <c r="CT157" s="938" t="str">
        <f t="shared" si="855"/>
        <v xml:space="preserve"> </v>
      </c>
      <c r="DH157" s="938" t="str">
        <f t="shared" si="856"/>
        <v xml:space="preserve"> </v>
      </c>
      <c r="DI157" s="938" t="str">
        <f t="shared" si="857"/>
        <v xml:space="preserve"> </v>
      </c>
      <c r="DW157" s="938" t="str">
        <f t="shared" si="858"/>
        <v xml:space="preserve"> </v>
      </c>
      <c r="DX157" s="938" t="str">
        <f t="shared" si="859"/>
        <v xml:space="preserve"> </v>
      </c>
      <c r="EL157" s="938" t="str">
        <f t="shared" si="860"/>
        <v xml:space="preserve"> </v>
      </c>
      <c r="EM157" s="938" t="str">
        <f t="shared" si="861"/>
        <v xml:space="preserve"> </v>
      </c>
      <c r="FA157" s="938" t="str">
        <f t="shared" si="862"/>
        <v xml:space="preserve"> </v>
      </c>
      <c r="FB157" s="938" t="str">
        <f t="shared" si="863"/>
        <v xml:space="preserve"> </v>
      </c>
      <c r="FP157" s="938" t="str">
        <f t="shared" si="864"/>
        <v xml:space="preserve"> </v>
      </c>
      <c r="FQ157" s="938" t="str">
        <f t="shared" si="865"/>
        <v xml:space="preserve"> </v>
      </c>
      <c r="GE157" s="938" t="str">
        <f t="shared" si="866"/>
        <v xml:space="preserve"> </v>
      </c>
      <c r="GF157" s="938" t="str">
        <f t="shared" si="867"/>
        <v xml:space="preserve"> </v>
      </c>
      <c r="GT157" s="938" t="str">
        <f t="shared" si="868"/>
        <v xml:space="preserve"> </v>
      </c>
      <c r="GU157" s="938" t="str">
        <f t="shared" si="869"/>
        <v xml:space="preserve"> </v>
      </c>
      <c r="HI157" s="938" t="str">
        <f t="shared" si="870"/>
        <v xml:space="preserve"> </v>
      </c>
      <c r="HJ157" s="938" t="str">
        <f t="shared" si="871"/>
        <v xml:space="preserve"> </v>
      </c>
      <c r="HX157" s="938" t="str">
        <f t="shared" si="872"/>
        <v xml:space="preserve"> </v>
      </c>
      <c r="HY157" s="938" t="str">
        <f t="shared" si="873"/>
        <v xml:space="preserve"> </v>
      </c>
      <c r="IM157" s="938" t="str">
        <f t="shared" si="874"/>
        <v xml:space="preserve"> </v>
      </c>
      <c r="IN157" s="938" t="str">
        <f t="shared" si="875"/>
        <v xml:space="preserve"> </v>
      </c>
      <c r="JB157" s="938" t="str">
        <f t="shared" si="876"/>
        <v xml:space="preserve"> </v>
      </c>
      <c r="JC157" s="938" t="str">
        <f t="shared" si="877"/>
        <v xml:space="preserve"> </v>
      </c>
      <c r="JQ157" s="938" t="str">
        <f t="shared" si="878"/>
        <v xml:space="preserve"> </v>
      </c>
      <c r="JR157" s="938" t="str">
        <f t="shared" si="879"/>
        <v xml:space="preserve"> </v>
      </c>
      <c r="KF157" s="938" t="str">
        <f t="shared" si="880"/>
        <v xml:space="preserve"> </v>
      </c>
      <c r="KG157" s="938" t="str">
        <f t="shared" si="881"/>
        <v xml:space="preserve"> </v>
      </c>
      <c r="KU157" s="938" t="str">
        <f t="shared" si="882"/>
        <v xml:space="preserve"> </v>
      </c>
      <c r="KV157" s="938" t="str">
        <f t="shared" si="883"/>
        <v xml:space="preserve"> </v>
      </c>
      <c r="LJ157" s="938" t="str">
        <f t="shared" si="884"/>
        <v xml:space="preserve"> </v>
      </c>
      <c r="LK157" s="938" t="str">
        <f t="shared" si="885"/>
        <v xml:space="preserve"> </v>
      </c>
      <c r="LY157" s="938" t="str">
        <f t="shared" si="886"/>
        <v xml:space="preserve"> </v>
      </c>
      <c r="LZ157" s="938" t="str">
        <f t="shared" si="887"/>
        <v xml:space="preserve"> </v>
      </c>
      <c r="MN157" s="938" t="str">
        <f t="shared" si="888"/>
        <v xml:space="preserve"> </v>
      </c>
      <c r="MO157" s="938" t="str">
        <f t="shared" si="889"/>
        <v xml:space="preserve"> </v>
      </c>
      <c r="NC157" s="938" t="str">
        <f t="shared" si="890"/>
        <v xml:space="preserve"> </v>
      </c>
      <c r="ND157" s="938" t="str">
        <f t="shared" si="891"/>
        <v xml:space="preserve"> </v>
      </c>
      <c r="NR157" s="938" t="str">
        <f t="shared" si="892"/>
        <v xml:space="preserve"> </v>
      </c>
      <c r="NS157" s="938" t="str">
        <f t="shared" si="893"/>
        <v xml:space="preserve"> </v>
      </c>
      <c r="OG157" s="938" t="str">
        <f t="shared" si="894"/>
        <v xml:space="preserve"> </v>
      </c>
      <c r="OH157" s="938" t="str">
        <f t="shared" si="895"/>
        <v xml:space="preserve"> </v>
      </c>
      <c r="OV157" s="938" t="str">
        <f t="shared" si="896"/>
        <v xml:space="preserve"> </v>
      </c>
      <c r="OW157" s="938" t="str">
        <f t="shared" si="897"/>
        <v xml:space="preserve"> </v>
      </c>
      <c r="PK157" s="938" t="str">
        <f t="shared" si="898"/>
        <v xml:space="preserve"> </v>
      </c>
      <c r="PL157" s="938" t="str">
        <f t="shared" si="899"/>
        <v xml:space="preserve"> </v>
      </c>
      <c r="PZ157" s="938" t="str">
        <f t="shared" si="900"/>
        <v xml:space="preserve"> </v>
      </c>
      <c r="QA157" s="938" t="str">
        <f t="shared" si="901"/>
        <v xml:space="preserve"> </v>
      </c>
      <c r="QO157" s="938" t="str">
        <f t="shared" si="902"/>
        <v xml:space="preserve"> </v>
      </c>
      <c r="QP157" s="938" t="str">
        <f t="shared" si="903"/>
        <v xml:space="preserve"> </v>
      </c>
      <c r="RD157" s="938" t="str">
        <f t="shared" si="904"/>
        <v xml:space="preserve"> </v>
      </c>
      <c r="RE157" s="938" t="str">
        <f t="shared" si="905"/>
        <v xml:space="preserve"> </v>
      </c>
    </row>
    <row r="158" spans="3:473" x14ac:dyDescent="0.2">
      <c r="AB158" s="836" t="str">
        <f t="shared" si="842"/>
        <v/>
      </c>
      <c r="AC158" s="714">
        <f t="shared" si="843"/>
        <v>0</v>
      </c>
      <c r="AD158" s="714">
        <v>2.4000000000000001E-4</v>
      </c>
      <c r="AE158" s="714">
        <v>24</v>
      </c>
      <c r="AF158" t="str">
        <v>SG210</v>
      </c>
      <c r="AG158" s="714">
        <f t="shared" si="844"/>
        <v>0</v>
      </c>
      <c r="AH158" s="714">
        <f t="shared" si="845"/>
        <v>0</v>
      </c>
      <c r="AK158" s="938" t="str">
        <f t="shared" si="846"/>
        <v xml:space="preserve"> </v>
      </c>
      <c r="AL158" s="938" t="str">
        <f t="shared" si="847"/>
        <v xml:space="preserve"> </v>
      </c>
      <c r="AZ158" s="938" t="str">
        <f t="shared" si="848"/>
        <v xml:space="preserve"> </v>
      </c>
      <c r="BA158" s="938" t="str">
        <f t="shared" si="849"/>
        <v xml:space="preserve"> </v>
      </c>
      <c r="BO158" s="938" t="str">
        <f t="shared" si="850"/>
        <v xml:space="preserve"> </v>
      </c>
      <c r="BP158" s="938" t="str">
        <f t="shared" si="851"/>
        <v xml:space="preserve"> </v>
      </c>
      <c r="CD158" s="938" t="str">
        <f t="shared" si="852"/>
        <v xml:space="preserve"> </v>
      </c>
      <c r="CE158" s="938" t="str">
        <f t="shared" si="853"/>
        <v xml:space="preserve"> </v>
      </c>
      <c r="CS158" s="938" t="str">
        <f t="shared" si="854"/>
        <v xml:space="preserve"> </v>
      </c>
      <c r="CT158" s="938" t="str">
        <f t="shared" si="855"/>
        <v xml:space="preserve"> </v>
      </c>
      <c r="DH158" s="938" t="str">
        <f t="shared" si="856"/>
        <v xml:space="preserve"> </v>
      </c>
      <c r="DI158" s="938" t="str">
        <f t="shared" si="857"/>
        <v xml:space="preserve"> </v>
      </c>
      <c r="DW158" s="938" t="str">
        <f t="shared" si="858"/>
        <v xml:space="preserve"> </v>
      </c>
      <c r="DX158" s="938" t="str">
        <f t="shared" si="859"/>
        <v xml:space="preserve"> </v>
      </c>
      <c r="EL158" s="938" t="str">
        <f t="shared" si="860"/>
        <v xml:space="preserve"> </v>
      </c>
      <c r="EM158" s="938" t="str">
        <f t="shared" si="861"/>
        <v xml:space="preserve"> </v>
      </c>
      <c r="FA158" s="938" t="str">
        <f t="shared" si="862"/>
        <v xml:space="preserve"> </v>
      </c>
      <c r="FB158" s="938" t="str">
        <f t="shared" si="863"/>
        <v xml:space="preserve"> </v>
      </c>
      <c r="FP158" s="938" t="str">
        <f t="shared" si="864"/>
        <v xml:space="preserve"> </v>
      </c>
      <c r="FQ158" s="938" t="str">
        <f t="shared" si="865"/>
        <v xml:space="preserve"> </v>
      </c>
      <c r="GE158" s="938" t="str">
        <f t="shared" si="866"/>
        <v xml:space="preserve"> </v>
      </c>
      <c r="GF158" s="938" t="str">
        <f t="shared" si="867"/>
        <v xml:space="preserve"> </v>
      </c>
      <c r="GT158" s="938" t="str">
        <f t="shared" si="868"/>
        <v xml:space="preserve"> </v>
      </c>
      <c r="GU158" s="938" t="str">
        <f t="shared" si="869"/>
        <v xml:space="preserve"> </v>
      </c>
      <c r="HI158" s="938" t="str">
        <f t="shared" si="870"/>
        <v xml:space="preserve"> </v>
      </c>
      <c r="HJ158" s="938" t="str">
        <f t="shared" si="871"/>
        <v xml:space="preserve"> </v>
      </c>
      <c r="HX158" s="938" t="str">
        <f t="shared" si="872"/>
        <v xml:space="preserve"> </v>
      </c>
      <c r="HY158" s="938" t="str">
        <f t="shared" si="873"/>
        <v xml:space="preserve"> </v>
      </c>
      <c r="IM158" s="938" t="str">
        <f t="shared" si="874"/>
        <v xml:space="preserve"> </v>
      </c>
      <c r="IN158" s="938" t="str">
        <f t="shared" si="875"/>
        <v xml:space="preserve"> </v>
      </c>
      <c r="JB158" s="938" t="str">
        <f t="shared" si="876"/>
        <v xml:space="preserve"> </v>
      </c>
      <c r="JC158" s="938" t="str">
        <f t="shared" si="877"/>
        <v xml:space="preserve"> </v>
      </c>
      <c r="JQ158" s="938" t="str">
        <f t="shared" si="878"/>
        <v xml:space="preserve"> </v>
      </c>
      <c r="JR158" s="938" t="str">
        <f t="shared" si="879"/>
        <v xml:space="preserve"> </v>
      </c>
      <c r="KF158" s="938" t="str">
        <f t="shared" si="880"/>
        <v xml:space="preserve"> </v>
      </c>
      <c r="KG158" s="938" t="str">
        <f t="shared" si="881"/>
        <v xml:space="preserve"> </v>
      </c>
      <c r="KU158" s="938" t="str">
        <f t="shared" si="882"/>
        <v xml:space="preserve"> </v>
      </c>
      <c r="KV158" s="938" t="str">
        <f t="shared" si="883"/>
        <v xml:space="preserve"> </v>
      </c>
      <c r="LJ158" s="938" t="str">
        <f t="shared" si="884"/>
        <v xml:space="preserve"> </v>
      </c>
      <c r="LK158" s="938" t="str">
        <f t="shared" si="885"/>
        <v xml:space="preserve"> </v>
      </c>
      <c r="LY158" s="938" t="str">
        <f t="shared" si="886"/>
        <v xml:space="preserve"> </v>
      </c>
      <c r="LZ158" s="938" t="str">
        <f t="shared" si="887"/>
        <v xml:space="preserve"> </v>
      </c>
      <c r="MN158" s="938" t="str">
        <f t="shared" si="888"/>
        <v xml:space="preserve"> </v>
      </c>
      <c r="MO158" s="938" t="str">
        <f t="shared" si="889"/>
        <v xml:space="preserve"> </v>
      </c>
      <c r="NC158" s="938" t="str">
        <f t="shared" si="890"/>
        <v xml:space="preserve"> </v>
      </c>
      <c r="ND158" s="938" t="str">
        <f t="shared" si="891"/>
        <v xml:space="preserve"> </v>
      </c>
      <c r="NR158" s="938" t="str">
        <f t="shared" si="892"/>
        <v xml:space="preserve"> </v>
      </c>
      <c r="NS158" s="938" t="str">
        <f t="shared" si="893"/>
        <v xml:space="preserve"> </v>
      </c>
      <c r="OG158" s="938" t="str">
        <f t="shared" si="894"/>
        <v xml:space="preserve"> </v>
      </c>
      <c r="OH158" s="938" t="str">
        <f t="shared" si="895"/>
        <v xml:space="preserve"> </v>
      </c>
      <c r="OV158" s="938" t="str">
        <f t="shared" si="896"/>
        <v xml:space="preserve"> </v>
      </c>
      <c r="OW158" s="938" t="str">
        <f t="shared" si="897"/>
        <v xml:space="preserve"> </v>
      </c>
      <c r="PK158" s="938" t="str">
        <f t="shared" si="898"/>
        <v xml:space="preserve"> </v>
      </c>
      <c r="PL158" s="938" t="str">
        <f t="shared" si="899"/>
        <v xml:space="preserve"> </v>
      </c>
      <c r="PZ158" s="938" t="str">
        <f t="shared" si="900"/>
        <v xml:space="preserve"> </v>
      </c>
      <c r="QA158" s="938" t="str">
        <f t="shared" si="901"/>
        <v xml:space="preserve"> </v>
      </c>
      <c r="QO158" s="938" t="str">
        <f t="shared" si="902"/>
        <v xml:space="preserve"> </v>
      </c>
      <c r="QP158" s="938" t="str">
        <f t="shared" si="903"/>
        <v xml:space="preserve"> </v>
      </c>
      <c r="RD158" s="938" t="str">
        <f t="shared" si="904"/>
        <v xml:space="preserve"> </v>
      </c>
      <c r="RE158" s="938" t="str">
        <f t="shared" si="905"/>
        <v xml:space="preserve"> </v>
      </c>
    </row>
    <row r="159" spans="3:473" x14ac:dyDescent="0.2">
      <c r="AB159" s="836" t="str">
        <f t="shared" si="842"/>
        <v/>
      </c>
      <c r="AC159" s="714">
        <f t="shared" si="843"/>
        <v>0</v>
      </c>
      <c r="AD159" s="714">
        <v>2.5000000000000001E-4</v>
      </c>
      <c r="AE159" s="714">
        <v>25</v>
      </c>
      <c r="AF159" t="str">
        <v>SG220</v>
      </c>
      <c r="AG159" s="714">
        <f t="shared" si="844"/>
        <v>0</v>
      </c>
      <c r="AH159" s="714">
        <f t="shared" si="845"/>
        <v>0</v>
      </c>
      <c r="AK159" s="938" t="str">
        <f t="shared" si="846"/>
        <v xml:space="preserve"> </v>
      </c>
      <c r="AL159" s="938" t="str">
        <f t="shared" si="847"/>
        <v xml:space="preserve"> </v>
      </c>
      <c r="AZ159" s="938" t="str">
        <f t="shared" si="848"/>
        <v xml:space="preserve"> </v>
      </c>
      <c r="BA159" s="938" t="str">
        <f t="shared" si="849"/>
        <v xml:space="preserve"> </v>
      </c>
      <c r="BO159" s="938" t="str">
        <f t="shared" si="850"/>
        <v xml:space="preserve"> </v>
      </c>
      <c r="BP159" s="938" t="str">
        <f t="shared" si="851"/>
        <v xml:space="preserve"> </v>
      </c>
      <c r="CD159" s="938" t="str">
        <f t="shared" si="852"/>
        <v xml:space="preserve"> </v>
      </c>
      <c r="CE159" s="938" t="str">
        <f t="shared" si="853"/>
        <v xml:space="preserve"> </v>
      </c>
      <c r="CS159" s="938" t="str">
        <f t="shared" si="854"/>
        <v xml:space="preserve"> </v>
      </c>
      <c r="CT159" s="938" t="str">
        <f t="shared" si="855"/>
        <v xml:space="preserve"> </v>
      </c>
      <c r="DH159" s="938" t="str">
        <f t="shared" si="856"/>
        <v xml:space="preserve"> </v>
      </c>
      <c r="DI159" s="938" t="str">
        <f t="shared" si="857"/>
        <v xml:space="preserve"> </v>
      </c>
      <c r="DW159" s="938" t="str">
        <f t="shared" si="858"/>
        <v xml:space="preserve"> </v>
      </c>
      <c r="DX159" s="938" t="str">
        <f t="shared" si="859"/>
        <v xml:space="preserve"> </v>
      </c>
      <c r="EL159" s="938" t="str">
        <f t="shared" si="860"/>
        <v xml:space="preserve"> </v>
      </c>
      <c r="EM159" s="938" t="str">
        <f t="shared" si="861"/>
        <v xml:space="preserve"> </v>
      </c>
      <c r="FA159" s="938" t="str">
        <f t="shared" si="862"/>
        <v xml:space="preserve"> </v>
      </c>
      <c r="FB159" s="938" t="str">
        <f t="shared" si="863"/>
        <v xml:space="preserve"> </v>
      </c>
      <c r="FP159" s="938" t="str">
        <f t="shared" si="864"/>
        <v xml:space="preserve"> </v>
      </c>
      <c r="FQ159" s="938" t="str">
        <f t="shared" si="865"/>
        <v xml:space="preserve"> </v>
      </c>
      <c r="GE159" s="938" t="str">
        <f t="shared" si="866"/>
        <v xml:space="preserve"> </v>
      </c>
      <c r="GF159" s="938" t="str">
        <f t="shared" si="867"/>
        <v xml:space="preserve"> </v>
      </c>
      <c r="GT159" s="938" t="str">
        <f t="shared" si="868"/>
        <v xml:space="preserve"> </v>
      </c>
      <c r="GU159" s="938" t="str">
        <f t="shared" si="869"/>
        <v xml:space="preserve"> </v>
      </c>
      <c r="HI159" s="938" t="str">
        <f t="shared" si="870"/>
        <v xml:space="preserve"> </v>
      </c>
      <c r="HJ159" s="938" t="str">
        <f t="shared" si="871"/>
        <v xml:space="preserve"> </v>
      </c>
      <c r="HX159" s="938" t="str">
        <f t="shared" si="872"/>
        <v xml:space="preserve"> </v>
      </c>
      <c r="HY159" s="938" t="str">
        <f t="shared" si="873"/>
        <v xml:space="preserve"> </v>
      </c>
      <c r="IM159" s="938" t="str">
        <f t="shared" si="874"/>
        <v xml:space="preserve"> </v>
      </c>
      <c r="IN159" s="938" t="str">
        <f t="shared" si="875"/>
        <v xml:space="preserve"> </v>
      </c>
      <c r="JB159" s="938" t="str">
        <f t="shared" si="876"/>
        <v xml:space="preserve"> </v>
      </c>
      <c r="JC159" s="938" t="str">
        <f t="shared" si="877"/>
        <v xml:space="preserve"> </v>
      </c>
      <c r="JQ159" s="938" t="str">
        <f t="shared" si="878"/>
        <v xml:space="preserve"> </v>
      </c>
      <c r="JR159" s="938" t="str">
        <f t="shared" si="879"/>
        <v xml:space="preserve"> </v>
      </c>
      <c r="KF159" s="938" t="str">
        <f t="shared" si="880"/>
        <v xml:space="preserve"> </v>
      </c>
      <c r="KG159" s="938" t="str">
        <f t="shared" si="881"/>
        <v xml:space="preserve"> </v>
      </c>
      <c r="KU159" s="938" t="str">
        <f t="shared" si="882"/>
        <v xml:space="preserve"> </v>
      </c>
      <c r="KV159" s="938" t="str">
        <f t="shared" si="883"/>
        <v xml:space="preserve"> </v>
      </c>
      <c r="LJ159" s="938" t="str">
        <f t="shared" si="884"/>
        <v xml:space="preserve"> </v>
      </c>
      <c r="LK159" s="938" t="str">
        <f t="shared" si="885"/>
        <v xml:space="preserve"> </v>
      </c>
      <c r="LY159" s="938" t="str">
        <f t="shared" si="886"/>
        <v xml:space="preserve"> </v>
      </c>
      <c r="LZ159" s="938" t="str">
        <f t="shared" si="887"/>
        <v xml:space="preserve"> </v>
      </c>
      <c r="MN159" s="938" t="str">
        <f t="shared" si="888"/>
        <v xml:space="preserve"> </v>
      </c>
      <c r="MO159" s="938" t="str">
        <f t="shared" si="889"/>
        <v xml:space="preserve"> </v>
      </c>
      <c r="NC159" s="938" t="str">
        <f t="shared" si="890"/>
        <v xml:space="preserve"> </v>
      </c>
      <c r="ND159" s="938" t="str">
        <f t="shared" si="891"/>
        <v xml:space="preserve"> </v>
      </c>
      <c r="NR159" s="938" t="str">
        <f t="shared" si="892"/>
        <v xml:space="preserve"> </v>
      </c>
      <c r="NS159" s="938" t="str">
        <f t="shared" si="893"/>
        <v xml:space="preserve"> </v>
      </c>
      <c r="OG159" s="938" t="str">
        <f t="shared" si="894"/>
        <v xml:space="preserve"> </v>
      </c>
      <c r="OH159" s="938" t="str">
        <f t="shared" si="895"/>
        <v xml:space="preserve"> </v>
      </c>
      <c r="OV159" s="938" t="str">
        <f t="shared" si="896"/>
        <v xml:space="preserve"> </v>
      </c>
      <c r="OW159" s="938" t="str">
        <f t="shared" si="897"/>
        <v xml:space="preserve"> </v>
      </c>
      <c r="PK159" s="938" t="str">
        <f t="shared" si="898"/>
        <v xml:space="preserve"> </v>
      </c>
      <c r="PL159" s="938" t="str">
        <f t="shared" si="899"/>
        <v xml:space="preserve"> </v>
      </c>
      <c r="PZ159" s="938" t="str">
        <f t="shared" si="900"/>
        <v xml:space="preserve"> </v>
      </c>
      <c r="QA159" s="938" t="str">
        <f t="shared" si="901"/>
        <v xml:space="preserve"> </v>
      </c>
      <c r="QO159" s="938" t="str">
        <f t="shared" si="902"/>
        <v xml:space="preserve"> </v>
      </c>
      <c r="QP159" s="938" t="str">
        <f t="shared" si="903"/>
        <v xml:space="preserve"> </v>
      </c>
      <c r="RD159" s="938" t="str">
        <f t="shared" si="904"/>
        <v xml:space="preserve"> </v>
      </c>
      <c r="RE159" s="938" t="str">
        <f t="shared" si="905"/>
        <v xml:space="preserve"> </v>
      </c>
    </row>
    <row r="160" spans="3:473" x14ac:dyDescent="0.2">
      <c r="AB160" s="836" t="str">
        <f t="shared" si="842"/>
        <v/>
      </c>
      <c r="AC160" s="714">
        <f t="shared" si="843"/>
        <v>0</v>
      </c>
      <c r="AD160" s="714">
        <v>2.5999999999999998E-4</v>
      </c>
      <c r="AE160" s="714">
        <v>26</v>
      </c>
      <c r="AF160" t="str">
        <v>SG230</v>
      </c>
      <c r="AG160" s="714">
        <f t="shared" si="844"/>
        <v>0</v>
      </c>
      <c r="AH160" s="714">
        <f t="shared" si="845"/>
        <v>0</v>
      </c>
      <c r="AK160" s="938" t="str">
        <f t="shared" si="846"/>
        <v xml:space="preserve"> </v>
      </c>
      <c r="AL160" s="938" t="str">
        <f t="shared" si="847"/>
        <v xml:space="preserve"> </v>
      </c>
      <c r="AZ160" s="938" t="str">
        <f t="shared" si="848"/>
        <v xml:space="preserve"> </v>
      </c>
      <c r="BA160" s="938" t="str">
        <f t="shared" si="849"/>
        <v xml:space="preserve"> </v>
      </c>
      <c r="BO160" s="938" t="str">
        <f t="shared" si="850"/>
        <v xml:space="preserve"> </v>
      </c>
      <c r="BP160" s="938" t="str">
        <f t="shared" si="851"/>
        <v xml:space="preserve"> </v>
      </c>
      <c r="CD160" s="938" t="str">
        <f t="shared" si="852"/>
        <v xml:space="preserve"> </v>
      </c>
      <c r="CE160" s="938" t="str">
        <f t="shared" si="853"/>
        <v xml:space="preserve"> </v>
      </c>
      <c r="CS160" s="938" t="str">
        <f t="shared" si="854"/>
        <v xml:space="preserve"> </v>
      </c>
      <c r="CT160" s="938" t="str">
        <f t="shared" si="855"/>
        <v xml:space="preserve"> </v>
      </c>
      <c r="DH160" s="938" t="str">
        <f t="shared" si="856"/>
        <v xml:space="preserve"> </v>
      </c>
      <c r="DI160" s="938" t="str">
        <f t="shared" si="857"/>
        <v xml:space="preserve"> </v>
      </c>
      <c r="DW160" s="938" t="str">
        <f t="shared" si="858"/>
        <v xml:space="preserve"> </v>
      </c>
      <c r="DX160" s="938" t="str">
        <f t="shared" si="859"/>
        <v xml:space="preserve"> </v>
      </c>
      <c r="EL160" s="938" t="str">
        <f t="shared" si="860"/>
        <v xml:space="preserve"> </v>
      </c>
      <c r="EM160" s="938" t="str">
        <f t="shared" si="861"/>
        <v xml:space="preserve"> </v>
      </c>
      <c r="FA160" s="938" t="str">
        <f t="shared" si="862"/>
        <v xml:space="preserve"> </v>
      </c>
      <c r="FB160" s="938" t="str">
        <f t="shared" si="863"/>
        <v xml:space="preserve"> </v>
      </c>
      <c r="FP160" s="938" t="str">
        <f t="shared" si="864"/>
        <v xml:space="preserve"> </v>
      </c>
      <c r="FQ160" s="938" t="str">
        <f t="shared" si="865"/>
        <v xml:space="preserve"> </v>
      </c>
      <c r="GE160" s="938" t="str">
        <f t="shared" si="866"/>
        <v xml:space="preserve"> </v>
      </c>
      <c r="GF160" s="938" t="str">
        <f t="shared" si="867"/>
        <v xml:space="preserve"> </v>
      </c>
      <c r="GT160" s="938" t="str">
        <f t="shared" si="868"/>
        <v xml:space="preserve"> </v>
      </c>
      <c r="GU160" s="938" t="str">
        <f t="shared" si="869"/>
        <v xml:space="preserve"> </v>
      </c>
      <c r="HI160" s="938" t="str">
        <f t="shared" si="870"/>
        <v xml:space="preserve"> </v>
      </c>
      <c r="HJ160" s="938" t="str">
        <f t="shared" si="871"/>
        <v xml:space="preserve"> </v>
      </c>
      <c r="HX160" s="938" t="str">
        <f t="shared" si="872"/>
        <v xml:space="preserve"> </v>
      </c>
      <c r="HY160" s="938" t="str">
        <f t="shared" si="873"/>
        <v xml:space="preserve"> </v>
      </c>
      <c r="IM160" s="938" t="str">
        <f t="shared" si="874"/>
        <v xml:space="preserve"> </v>
      </c>
      <c r="IN160" s="938" t="str">
        <f t="shared" si="875"/>
        <v xml:space="preserve"> </v>
      </c>
      <c r="JB160" s="938" t="str">
        <f t="shared" si="876"/>
        <v xml:space="preserve"> </v>
      </c>
      <c r="JC160" s="938" t="str">
        <f t="shared" si="877"/>
        <v xml:space="preserve"> </v>
      </c>
      <c r="JQ160" s="938" t="str">
        <f t="shared" si="878"/>
        <v xml:space="preserve"> </v>
      </c>
      <c r="JR160" s="938" t="str">
        <f t="shared" si="879"/>
        <v xml:space="preserve"> </v>
      </c>
      <c r="KF160" s="938" t="str">
        <f t="shared" si="880"/>
        <v xml:space="preserve"> </v>
      </c>
      <c r="KG160" s="938" t="str">
        <f t="shared" si="881"/>
        <v xml:space="preserve"> </v>
      </c>
      <c r="KU160" s="938" t="str">
        <f t="shared" si="882"/>
        <v xml:space="preserve"> </v>
      </c>
      <c r="KV160" s="938" t="str">
        <f t="shared" si="883"/>
        <v xml:space="preserve"> </v>
      </c>
      <c r="LJ160" s="938" t="str">
        <f t="shared" si="884"/>
        <v xml:space="preserve"> </v>
      </c>
      <c r="LK160" s="938" t="str">
        <f t="shared" si="885"/>
        <v xml:space="preserve"> </v>
      </c>
      <c r="LY160" s="938" t="str">
        <f t="shared" si="886"/>
        <v xml:space="preserve"> </v>
      </c>
      <c r="LZ160" s="938" t="str">
        <f t="shared" si="887"/>
        <v xml:space="preserve"> </v>
      </c>
      <c r="MN160" s="938" t="str">
        <f t="shared" si="888"/>
        <v xml:space="preserve"> </v>
      </c>
      <c r="MO160" s="938" t="str">
        <f t="shared" si="889"/>
        <v xml:space="preserve"> </v>
      </c>
      <c r="NC160" s="938" t="str">
        <f t="shared" si="890"/>
        <v xml:space="preserve"> </v>
      </c>
      <c r="ND160" s="938" t="str">
        <f t="shared" si="891"/>
        <v xml:space="preserve"> </v>
      </c>
      <c r="NR160" s="938" t="str">
        <f t="shared" si="892"/>
        <v xml:space="preserve"> </v>
      </c>
      <c r="NS160" s="938" t="str">
        <f t="shared" si="893"/>
        <v xml:space="preserve"> </v>
      </c>
      <c r="OG160" s="938" t="str">
        <f t="shared" si="894"/>
        <v xml:space="preserve"> </v>
      </c>
      <c r="OH160" s="938" t="str">
        <f t="shared" si="895"/>
        <v xml:space="preserve"> </v>
      </c>
      <c r="OV160" s="938" t="str">
        <f t="shared" si="896"/>
        <v xml:space="preserve"> </v>
      </c>
      <c r="OW160" s="938" t="str">
        <f t="shared" si="897"/>
        <v xml:space="preserve"> </v>
      </c>
      <c r="PK160" s="938" t="str">
        <f t="shared" si="898"/>
        <v xml:space="preserve"> </v>
      </c>
      <c r="PL160" s="938" t="str">
        <f t="shared" si="899"/>
        <v xml:space="preserve"> </v>
      </c>
      <c r="PZ160" s="938" t="str">
        <f t="shared" si="900"/>
        <v xml:space="preserve"> </v>
      </c>
      <c r="QA160" s="938" t="str">
        <f t="shared" si="901"/>
        <v xml:space="preserve"> </v>
      </c>
      <c r="QO160" s="938" t="str">
        <f t="shared" si="902"/>
        <v xml:space="preserve"> </v>
      </c>
      <c r="QP160" s="938" t="str">
        <f t="shared" si="903"/>
        <v xml:space="preserve"> </v>
      </c>
      <c r="RD160" s="938" t="str">
        <f t="shared" si="904"/>
        <v xml:space="preserve"> </v>
      </c>
      <c r="RE160" s="938" t="str">
        <f t="shared" si="905"/>
        <v xml:space="preserve"> </v>
      </c>
    </row>
    <row r="161" spans="28:473" x14ac:dyDescent="0.2">
      <c r="AB161" s="836" t="str">
        <f t="shared" si="842"/>
        <v/>
      </c>
      <c r="AC161" s="714">
        <f t="shared" si="843"/>
        <v>0</v>
      </c>
      <c r="AD161" s="714">
        <v>2.7E-4</v>
      </c>
      <c r="AE161" s="714">
        <v>27</v>
      </c>
      <c r="AF161" t="str">
        <v>SG240</v>
      </c>
      <c r="AG161" s="714">
        <f t="shared" si="844"/>
        <v>0</v>
      </c>
      <c r="AH161" s="714">
        <f t="shared" si="845"/>
        <v>0</v>
      </c>
      <c r="AK161" s="938" t="str">
        <f t="shared" si="846"/>
        <v xml:space="preserve"> </v>
      </c>
      <c r="AL161" s="938" t="str">
        <f t="shared" si="847"/>
        <v xml:space="preserve"> </v>
      </c>
      <c r="AZ161" s="938" t="str">
        <f t="shared" si="848"/>
        <v xml:space="preserve"> </v>
      </c>
      <c r="BA161" s="938" t="str">
        <f t="shared" si="849"/>
        <v xml:space="preserve"> </v>
      </c>
      <c r="BO161" s="938" t="str">
        <f t="shared" si="850"/>
        <v xml:space="preserve"> </v>
      </c>
      <c r="BP161" s="938" t="str">
        <f t="shared" si="851"/>
        <v xml:space="preserve"> </v>
      </c>
      <c r="CD161" s="938" t="str">
        <f t="shared" si="852"/>
        <v xml:space="preserve"> </v>
      </c>
      <c r="CE161" s="938" t="str">
        <f t="shared" si="853"/>
        <v xml:space="preserve"> </v>
      </c>
      <c r="CS161" s="938" t="str">
        <f t="shared" si="854"/>
        <v xml:space="preserve"> </v>
      </c>
      <c r="CT161" s="938" t="str">
        <f t="shared" si="855"/>
        <v xml:space="preserve"> </v>
      </c>
      <c r="DH161" s="938" t="str">
        <f t="shared" si="856"/>
        <v xml:space="preserve"> </v>
      </c>
      <c r="DI161" s="938" t="str">
        <f t="shared" si="857"/>
        <v xml:space="preserve"> </v>
      </c>
      <c r="DW161" s="938" t="str">
        <f t="shared" si="858"/>
        <v xml:space="preserve"> </v>
      </c>
      <c r="DX161" s="938" t="str">
        <f t="shared" si="859"/>
        <v xml:space="preserve"> </v>
      </c>
      <c r="EL161" s="938" t="str">
        <f t="shared" si="860"/>
        <v xml:space="preserve"> </v>
      </c>
      <c r="EM161" s="938" t="str">
        <f t="shared" si="861"/>
        <v xml:space="preserve"> </v>
      </c>
      <c r="FA161" s="938" t="str">
        <f t="shared" si="862"/>
        <v xml:space="preserve"> </v>
      </c>
      <c r="FB161" s="938" t="str">
        <f t="shared" si="863"/>
        <v xml:space="preserve"> </v>
      </c>
      <c r="FP161" s="938" t="str">
        <f t="shared" si="864"/>
        <v xml:space="preserve"> </v>
      </c>
      <c r="FQ161" s="938" t="str">
        <f t="shared" si="865"/>
        <v xml:space="preserve"> </v>
      </c>
      <c r="GE161" s="938" t="str">
        <f t="shared" si="866"/>
        <v xml:space="preserve"> </v>
      </c>
      <c r="GF161" s="938" t="str">
        <f t="shared" si="867"/>
        <v xml:space="preserve"> </v>
      </c>
      <c r="GT161" s="938" t="str">
        <f t="shared" si="868"/>
        <v xml:space="preserve"> </v>
      </c>
      <c r="GU161" s="938" t="str">
        <f t="shared" si="869"/>
        <v xml:space="preserve"> </v>
      </c>
      <c r="HI161" s="938" t="str">
        <f t="shared" si="870"/>
        <v xml:space="preserve"> </v>
      </c>
      <c r="HJ161" s="938" t="str">
        <f t="shared" si="871"/>
        <v xml:space="preserve"> </v>
      </c>
      <c r="HX161" s="938" t="str">
        <f t="shared" si="872"/>
        <v xml:space="preserve"> </v>
      </c>
      <c r="HY161" s="938" t="str">
        <f t="shared" si="873"/>
        <v xml:space="preserve"> </v>
      </c>
      <c r="IM161" s="938" t="str">
        <f t="shared" si="874"/>
        <v xml:space="preserve"> </v>
      </c>
      <c r="IN161" s="938" t="str">
        <f t="shared" si="875"/>
        <v xml:space="preserve"> </v>
      </c>
      <c r="JB161" s="938" t="str">
        <f t="shared" si="876"/>
        <v xml:space="preserve"> </v>
      </c>
      <c r="JC161" s="938" t="str">
        <f t="shared" si="877"/>
        <v xml:space="preserve"> </v>
      </c>
      <c r="JQ161" s="938" t="str">
        <f t="shared" si="878"/>
        <v xml:space="preserve"> </v>
      </c>
      <c r="JR161" s="938" t="str">
        <f t="shared" si="879"/>
        <v xml:space="preserve"> </v>
      </c>
      <c r="KF161" s="938" t="str">
        <f t="shared" si="880"/>
        <v xml:space="preserve"> </v>
      </c>
      <c r="KG161" s="938" t="str">
        <f t="shared" si="881"/>
        <v xml:space="preserve"> </v>
      </c>
      <c r="KU161" s="938" t="str">
        <f t="shared" si="882"/>
        <v xml:space="preserve"> </v>
      </c>
      <c r="KV161" s="938" t="str">
        <f t="shared" si="883"/>
        <v xml:space="preserve"> </v>
      </c>
      <c r="LJ161" s="938" t="str">
        <f t="shared" si="884"/>
        <v xml:space="preserve"> </v>
      </c>
      <c r="LK161" s="938" t="str">
        <f t="shared" si="885"/>
        <v xml:space="preserve"> </v>
      </c>
      <c r="LY161" s="938" t="str">
        <f t="shared" si="886"/>
        <v xml:space="preserve"> </v>
      </c>
      <c r="LZ161" s="938" t="str">
        <f t="shared" si="887"/>
        <v xml:space="preserve"> </v>
      </c>
      <c r="MN161" s="938" t="str">
        <f t="shared" si="888"/>
        <v xml:space="preserve"> </v>
      </c>
      <c r="MO161" s="938" t="str">
        <f t="shared" si="889"/>
        <v xml:space="preserve"> </v>
      </c>
      <c r="NC161" s="938" t="str">
        <f t="shared" si="890"/>
        <v xml:space="preserve"> </v>
      </c>
      <c r="ND161" s="938" t="str">
        <f t="shared" si="891"/>
        <v xml:space="preserve"> </v>
      </c>
      <c r="NR161" s="938" t="str">
        <f t="shared" si="892"/>
        <v xml:space="preserve"> </v>
      </c>
      <c r="NS161" s="938" t="str">
        <f t="shared" si="893"/>
        <v xml:space="preserve"> </v>
      </c>
      <c r="OG161" s="938" t="str">
        <f t="shared" si="894"/>
        <v xml:space="preserve"> </v>
      </c>
      <c r="OH161" s="938" t="str">
        <f t="shared" si="895"/>
        <v xml:space="preserve"> </v>
      </c>
      <c r="OV161" s="938" t="str">
        <f t="shared" si="896"/>
        <v xml:space="preserve"> </v>
      </c>
      <c r="OW161" s="938" t="str">
        <f t="shared" si="897"/>
        <v xml:space="preserve"> </v>
      </c>
      <c r="PK161" s="938" t="str">
        <f t="shared" si="898"/>
        <v xml:space="preserve"> </v>
      </c>
      <c r="PL161" s="938" t="str">
        <f t="shared" si="899"/>
        <v xml:space="preserve"> </v>
      </c>
      <c r="PZ161" s="938" t="str">
        <f t="shared" si="900"/>
        <v xml:space="preserve"> </v>
      </c>
      <c r="QA161" s="938" t="str">
        <f t="shared" si="901"/>
        <v xml:space="preserve"> </v>
      </c>
      <c r="QO161" s="938" t="str">
        <f t="shared" si="902"/>
        <v xml:space="preserve"> </v>
      </c>
      <c r="QP161" s="938" t="str">
        <f t="shared" si="903"/>
        <v xml:space="preserve"> </v>
      </c>
      <c r="RD161" s="938" t="str">
        <f t="shared" si="904"/>
        <v xml:space="preserve"> </v>
      </c>
      <c r="RE161" s="938" t="str">
        <f t="shared" si="905"/>
        <v xml:space="preserve"> </v>
      </c>
    </row>
    <row r="162" spans="28:473" x14ac:dyDescent="0.2">
      <c r="AB162" s="836" t="str">
        <f t="shared" si="842"/>
        <v/>
      </c>
      <c r="AC162" s="714">
        <f t="shared" si="843"/>
        <v>0</v>
      </c>
      <c r="AD162" s="714">
        <v>2.7999999999999998E-4</v>
      </c>
      <c r="AE162" s="714">
        <v>28</v>
      </c>
      <c r="AF162" t="str">
        <v>SG250</v>
      </c>
      <c r="AG162" s="714">
        <f t="shared" si="844"/>
        <v>0</v>
      </c>
      <c r="AH162" s="714">
        <f t="shared" si="845"/>
        <v>0</v>
      </c>
      <c r="AK162" s="938" t="str">
        <f t="shared" si="846"/>
        <v xml:space="preserve"> </v>
      </c>
      <c r="AL162" s="938" t="str">
        <f t="shared" si="847"/>
        <v xml:space="preserve"> </v>
      </c>
      <c r="AZ162" s="938" t="str">
        <f t="shared" si="848"/>
        <v xml:space="preserve"> </v>
      </c>
      <c r="BA162" s="938" t="str">
        <f t="shared" si="849"/>
        <v xml:space="preserve"> </v>
      </c>
      <c r="BO162" s="938" t="str">
        <f t="shared" si="850"/>
        <v xml:space="preserve"> </v>
      </c>
      <c r="BP162" s="938" t="str">
        <f t="shared" si="851"/>
        <v xml:space="preserve"> </v>
      </c>
      <c r="CD162" s="938" t="str">
        <f t="shared" si="852"/>
        <v xml:space="preserve"> </v>
      </c>
      <c r="CE162" s="938" t="str">
        <f t="shared" si="853"/>
        <v xml:space="preserve"> </v>
      </c>
      <c r="CS162" s="938" t="str">
        <f t="shared" si="854"/>
        <v xml:space="preserve"> </v>
      </c>
      <c r="CT162" s="938" t="str">
        <f t="shared" si="855"/>
        <v xml:space="preserve"> </v>
      </c>
      <c r="DH162" s="938" t="str">
        <f t="shared" si="856"/>
        <v xml:space="preserve"> </v>
      </c>
      <c r="DI162" s="938" t="str">
        <f t="shared" si="857"/>
        <v xml:space="preserve"> </v>
      </c>
      <c r="DW162" s="938" t="str">
        <f t="shared" si="858"/>
        <v xml:space="preserve"> </v>
      </c>
      <c r="DX162" s="938" t="str">
        <f t="shared" si="859"/>
        <v xml:space="preserve"> </v>
      </c>
      <c r="EL162" s="938" t="str">
        <f t="shared" si="860"/>
        <v xml:space="preserve"> </v>
      </c>
      <c r="EM162" s="938" t="str">
        <f t="shared" si="861"/>
        <v xml:space="preserve"> </v>
      </c>
      <c r="FA162" s="938" t="str">
        <f t="shared" si="862"/>
        <v xml:space="preserve"> </v>
      </c>
      <c r="FB162" s="938" t="str">
        <f t="shared" si="863"/>
        <v xml:space="preserve"> </v>
      </c>
      <c r="FP162" s="938" t="str">
        <f t="shared" si="864"/>
        <v xml:space="preserve"> </v>
      </c>
      <c r="FQ162" s="938" t="str">
        <f t="shared" si="865"/>
        <v xml:space="preserve"> </v>
      </c>
      <c r="GE162" s="938" t="str">
        <f t="shared" si="866"/>
        <v xml:space="preserve"> </v>
      </c>
      <c r="GF162" s="938" t="str">
        <f t="shared" si="867"/>
        <v xml:space="preserve"> </v>
      </c>
      <c r="GT162" s="938" t="str">
        <f t="shared" si="868"/>
        <v xml:space="preserve"> </v>
      </c>
      <c r="GU162" s="938" t="str">
        <f t="shared" si="869"/>
        <v xml:space="preserve"> </v>
      </c>
      <c r="HI162" s="938" t="str">
        <f t="shared" si="870"/>
        <v xml:space="preserve"> </v>
      </c>
      <c r="HJ162" s="938" t="str">
        <f t="shared" si="871"/>
        <v xml:space="preserve"> </v>
      </c>
      <c r="HX162" s="938" t="str">
        <f t="shared" si="872"/>
        <v xml:space="preserve"> </v>
      </c>
      <c r="HY162" s="938" t="str">
        <f t="shared" si="873"/>
        <v xml:space="preserve"> </v>
      </c>
      <c r="IM162" s="938" t="str">
        <f t="shared" si="874"/>
        <v xml:space="preserve"> </v>
      </c>
      <c r="IN162" s="938" t="str">
        <f t="shared" si="875"/>
        <v xml:space="preserve"> </v>
      </c>
      <c r="JB162" s="938" t="str">
        <f t="shared" si="876"/>
        <v xml:space="preserve"> </v>
      </c>
      <c r="JC162" s="938" t="str">
        <f t="shared" si="877"/>
        <v xml:space="preserve"> </v>
      </c>
      <c r="JQ162" s="938" t="str">
        <f t="shared" si="878"/>
        <v xml:space="preserve"> </v>
      </c>
      <c r="JR162" s="938" t="str">
        <f t="shared" si="879"/>
        <v xml:space="preserve"> </v>
      </c>
      <c r="KF162" s="938" t="str">
        <f t="shared" si="880"/>
        <v xml:space="preserve"> </v>
      </c>
      <c r="KG162" s="938" t="str">
        <f t="shared" si="881"/>
        <v xml:space="preserve"> </v>
      </c>
      <c r="KU162" s="938" t="str">
        <f t="shared" si="882"/>
        <v xml:space="preserve"> </v>
      </c>
      <c r="KV162" s="938" t="str">
        <f t="shared" si="883"/>
        <v xml:space="preserve"> </v>
      </c>
      <c r="LJ162" s="938" t="str">
        <f t="shared" si="884"/>
        <v xml:space="preserve"> </v>
      </c>
      <c r="LK162" s="938" t="str">
        <f t="shared" si="885"/>
        <v xml:space="preserve"> </v>
      </c>
      <c r="LY162" s="938" t="str">
        <f t="shared" si="886"/>
        <v xml:space="preserve"> </v>
      </c>
      <c r="LZ162" s="938" t="str">
        <f t="shared" si="887"/>
        <v xml:space="preserve"> </v>
      </c>
      <c r="MN162" s="938" t="str">
        <f t="shared" si="888"/>
        <v xml:space="preserve"> </v>
      </c>
      <c r="MO162" s="938" t="str">
        <f t="shared" si="889"/>
        <v xml:space="preserve"> </v>
      </c>
      <c r="NC162" s="938" t="str">
        <f t="shared" si="890"/>
        <v xml:space="preserve"> </v>
      </c>
      <c r="ND162" s="938" t="str">
        <f t="shared" si="891"/>
        <v xml:space="preserve"> </v>
      </c>
      <c r="NR162" s="938" t="str">
        <f t="shared" si="892"/>
        <v xml:space="preserve"> </v>
      </c>
      <c r="NS162" s="938" t="str">
        <f t="shared" si="893"/>
        <v xml:space="preserve"> </v>
      </c>
      <c r="OG162" s="938" t="str">
        <f t="shared" si="894"/>
        <v xml:space="preserve"> </v>
      </c>
      <c r="OH162" s="938" t="str">
        <f t="shared" si="895"/>
        <v xml:space="preserve"> </v>
      </c>
      <c r="OV162" s="938" t="str">
        <f t="shared" si="896"/>
        <v xml:space="preserve"> </v>
      </c>
      <c r="OW162" s="938" t="str">
        <f t="shared" si="897"/>
        <v xml:space="preserve"> </v>
      </c>
      <c r="PK162" s="938" t="str">
        <f t="shared" si="898"/>
        <v xml:space="preserve"> </v>
      </c>
      <c r="PL162" s="938" t="str">
        <f t="shared" si="899"/>
        <v xml:space="preserve"> </v>
      </c>
      <c r="PZ162" s="938" t="str">
        <f t="shared" si="900"/>
        <v xml:space="preserve"> </v>
      </c>
      <c r="QA162" s="938" t="str">
        <f t="shared" si="901"/>
        <v xml:space="preserve"> </v>
      </c>
      <c r="QO162" s="938" t="str">
        <f t="shared" si="902"/>
        <v xml:space="preserve"> </v>
      </c>
      <c r="QP162" s="938" t="str">
        <f t="shared" si="903"/>
        <v xml:space="preserve"> </v>
      </c>
      <c r="RD162" s="938" t="str">
        <f t="shared" si="904"/>
        <v xml:space="preserve"> </v>
      </c>
      <c r="RE162" s="938" t="str">
        <f t="shared" si="905"/>
        <v xml:space="preserve"> </v>
      </c>
    </row>
    <row r="163" spans="28:473" x14ac:dyDescent="0.2">
      <c r="AB163" s="836" t="str">
        <f t="shared" si="842"/>
        <v/>
      </c>
      <c r="AC163" s="714">
        <f t="shared" si="843"/>
        <v>0</v>
      </c>
      <c r="AD163" s="714">
        <v>2.9E-4</v>
      </c>
      <c r="AE163" s="714">
        <v>29</v>
      </c>
      <c r="AF163" t="str">
        <v>SG260</v>
      </c>
      <c r="AG163" s="714">
        <f t="shared" si="844"/>
        <v>0</v>
      </c>
      <c r="AH163" s="714">
        <f t="shared" si="845"/>
        <v>0</v>
      </c>
      <c r="AK163" s="938" t="str">
        <f t="shared" si="846"/>
        <v xml:space="preserve"> </v>
      </c>
      <c r="AL163" s="938" t="str">
        <f t="shared" si="847"/>
        <v xml:space="preserve"> </v>
      </c>
      <c r="AZ163" s="938" t="str">
        <f t="shared" si="848"/>
        <v xml:space="preserve"> </v>
      </c>
      <c r="BA163" s="938" t="str">
        <f t="shared" si="849"/>
        <v xml:space="preserve"> </v>
      </c>
      <c r="BO163" s="938" t="str">
        <f t="shared" si="850"/>
        <v xml:space="preserve"> </v>
      </c>
      <c r="BP163" s="938" t="str">
        <f t="shared" si="851"/>
        <v xml:space="preserve"> </v>
      </c>
      <c r="CD163" s="938" t="str">
        <f t="shared" si="852"/>
        <v xml:space="preserve"> </v>
      </c>
      <c r="CE163" s="938" t="str">
        <f t="shared" si="853"/>
        <v xml:space="preserve"> </v>
      </c>
      <c r="CS163" s="938" t="str">
        <f t="shared" si="854"/>
        <v xml:space="preserve"> </v>
      </c>
      <c r="CT163" s="938" t="str">
        <f t="shared" si="855"/>
        <v xml:space="preserve"> </v>
      </c>
      <c r="DH163" s="938" t="str">
        <f t="shared" si="856"/>
        <v xml:space="preserve"> </v>
      </c>
      <c r="DI163" s="938" t="str">
        <f t="shared" si="857"/>
        <v xml:space="preserve"> </v>
      </c>
      <c r="DW163" s="938" t="str">
        <f t="shared" si="858"/>
        <v xml:space="preserve"> </v>
      </c>
      <c r="DX163" s="938" t="str">
        <f t="shared" si="859"/>
        <v xml:space="preserve"> </v>
      </c>
      <c r="EL163" s="938" t="str">
        <f t="shared" si="860"/>
        <v xml:space="preserve"> </v>
      </c>
      <c r="EM163" s="938" t="str">
        <f t="shared" si="861"/>
        <v xml:space="preserve"> </v>
      </c>
      <c r="FA163" s="938" t="str">
        <f t="shared" si="862"/>
        <v xml:space="preserve"> </v>
      </c>
      <c r="FB163" s="938" t="str">
        <f t="shared" si="863"/>
        <v xml:space="preserve"> </v>
      </c>
      <c r="FP163" s="938" t="str">
        <f t="shared" si="864"/>
        <v xml:space="preserve"> </v>
      </c>
      <c r="FQ163" s="938" t="str">
        <f t="shared" si="865"/>
        <v xml:space="preserve"> </v>
      </c>
      <c r="GE163" s="938" t="str">
        <f t="shared" si="866"/>
        <v xml:space="preserve"> </v>
      </c>
      <c r="GF163" s="938" t="str">
        <f t="shared" si="867"/>
        <v xml:space="preserve"> </v>
      </c>
      <c r="GT163" s="938" t="str">
        <f t="shared" si="868"/>
        <v xml:space="preserve"> </v>
      </c>
      <c r="GU163" s="938" t="str">
        <f t="shared" si="869"/>
        <v xml:space="preserve"> </v>
      </c>
      <c r="HI163" s="938" t="str">
        <f t="shared" si="870"/>
        <v xml:space="preserve"> </v>
      </c>
      <c r="HJ163" s="938" t="str">
        <f t="shared" si="871"/>
        <v xml:space="preserve"> </v>
      </c>
      <c r="HX163" s="938" t="str">
        <f t="shared" si="872"/>
        <v xml:space="preserve"> </v>
      </c>
      <c r="HY163" s="938" t="str">
        <f t="shared" si="873"/>
        <v xml:space="preserve"> </v>
      </c>
      <c r="IM163" s="938" t="str">
        <f t="shared" si="874"/>
        <v xml:space="preserve"> </v>
      </c>
      <c r="IN163" s="938" t="str">
        <f t="shared" si="875"/>
        <v xml:space="preserve"> </v>
      </c>
      <c r="JB163" s="938" t="str">
        <f t="shared" si="876"/>
        <v xml:space="preserve"> </v>
      </c>
      <c r="JC163" s="938" t="str">
        <f t="shared" si="877"/>
        <v xml:space="preserve"> </v>
      </c>
      <c r="JQ163" s="938" t="str">
        <f t="shared" si="878"/>
        <v xml:space="preserve"> </v>
      </c>
      <c r="JR163" s="938" t="str">
        <f t="shared" si="879"/>
        <v xml:space="preserve"> </v>
      </c>
      <c r="KF163" s="938" t="str">
        <f t="shared" si="880"/>
        <v xml:space="preserve"> </v>
      </c>
      <c r="KG163" s="938" t="str">
        <f t="shared" si="881"/>
        <v xml:space="preserve"> </v>
      </c>
      <c r="KU163" s="938" t="str">
        <f t="shared" si="882"/>
        <v xml:space="preserve"> </v>
      </c>
      <c r="KV163" s="938" t="str">
        <f t="shared" si="883"/>
        <v xml:space="preserve"> </v>
      </c>
      <c r="LJ163" s="938" t="str">
        <f t="shared" si="884"/>
        <v xml:space="preserve"> </v>
      </c>
      <c r="LK163" s="938" t="str">
        <f t="shared" si="885"/>
        <v xml:space="preserve"> </v>
      </c>
      <c r="LY163" s="938" t="str">
        <f t="shared" si="886"/>
        <v xml:space="preserve"> </v>
      </c>
      <c r="LZ163" s="938" t="str">
        <f t="shared" si="887"/>
        <v xml:space="preserve"> </v>
      </c>
      <c r="MN163" s="938" t="str">
        <f t="shared" si="888"/>
        <v xml:space="preserve"> </v>
      </c>
      <c r="MO163" s="938" t="str">
        <f t="shared" si="889"/>
        <v xml:space="preserve"> </v>
      </c>
      <c r="NC163" s="938" t="str">
        <f t="shared" si="890"/>
        <v xml:space="preserve"> </v>
      </c>
      <c r="ND163" s="938" t="str">
        <f t="shared" si="891"/>
        <v xml:space="preserve"> </v>
      </c>
      <c r="NR163" s="938" t="str">
        <f t="shared" si="892"/>
        <v xml:space="preserve"> </v>
      </c>
      <c r="NS163" s="938" t="str">
        <f t="shared" si="893"/>
        <v xml:space="preserve"> </v>
      </c>
      <c r="OG163" s="938" t="str">
        <f t="shared" si="894"/>
        <v xml:space="preserve"> </v>
      </c>
      <c r="OH163" s="938" t="str">
        <f t="shared" si="895"/>
        <v xml:space="preserve"> </v>
      </c>
      <c r="OV163" s="938" t="str">
        <f t="shared" si="896"/>
        <v xml:space="preserve"> </v>
      </c>
      <c r="OW163" s="938" t="str">
        <f t="shared" si="897"/>
        <v xml:space="preserve"> </v>
      </c>
      <c r="PK163" s="938" t="str">
        <f t="shared" si="898"/>
        <v xml:space="preserve"> </v>
      </c>
      <c r="PL163" s="938" t="str">
        <f t="shared" si="899"/>
        <v xml:space="preserve"> </v>
      </c>
      <c r="PZ163" s="938" t="str">
        <f t="shared" si="900"/>
        <v xml:space="preserve"> </v>
      </c>
      <c r="QA163" s="938" t="str">
        <f t="shared" si="901"/>
        <v xml:space="preserve"> </v>
      </c>
      <c r="QO163" s="938" t="str">
        <f t="shared" si="902"/>
        <v xml:space="preserve"> </v>
      </c>
      <c r="QP163" s="938" t="str">
        <f t="shared" si="903"/>
        <v xml:space="preserve"> </v>
      </c>
      <c r="RD163" s="938" t="str">
        <f t="shared" si="904"/>
        <v xml:space="preserve"> </v>
      </c>
      <c r="RE163" s="938" t="str">
        <f t="shared" si="905"/>
        <v xml:space="preserve"> </v>
      </c>
    </row>
    <row r="164" spans="28:473" x14ac:dyDescent="0.2">
      <c r="AB164" s="836" t="str">
        <f t="shared" si="842"/>
        <v/>
      </c>
      <c r="AC164" s="714">
        <f t="shared" si="843"/>
        <v>0</v>
      </c>
      <c r="AD164" s="714">
        <v>2.9999999999999997E-4</v>
      </c>
      <c r="AE164" s="714">
        <v>30</v>
      </c>
      <c r="AF164" t="str">
        <v>SM270</v>
      </c>
      <c r="AG164" s="714">
        <f t="shared" si="844"/>
        <v>0</v>
      </c>
      <c r="AH164" s="714">
        <f t="shared" si="845"/>
        <v>0</v>
      </c>
      <c r="AK164" s="938" t="str">
        <f t="shared" si="846"/>
        <v xml:space="preserve"> </v>
      </c>
      <c r="AL164" s="938" t="str">
        <f t="shared" si="847"/>
        <v xml:space="preserve"> </v>
      </c>
      <c r="AZ164" s="938" t="str">
        <f t="shared" si="848"/>
        <v xml:space="preserve"> </v>
      </c>
      <c r="BA164" s="938" t="str">
        <f t="shared" si="849"/>
        <v xml:space="preserve"> </v>
      </c>
      <c r="BO164" s="938" t="str">
        <f t="shared" si="850"/>
        <v xml:space="preserve"> </v>
      </c>
      <c r="BP164" s="938" t="str">
        <f t="shared" si="851"/>
        <v xml:space="preserve"> </v>
      </c>
      <c r="CD164" s="938" t="str">
        <f t="shared" si="852"/>
        <v xml:space="preserve"> </v>
      </c>
      <c r="CE164" s="938" t="str">
        <f t="shared" si="853"/>
        <v xml:space="preserve"> </v>
      </c>
      <c r="CS164" s="938" t="str">
        <f t="shared" si="854"/>
        <v xml:space="preserve"> </v>
      </c>
      <c r="CT164" s="938" t="str">
        <f t="shared" si="855"/>
        <v xml:space="preserve"> </v>
      </c>
      <c r="DH164" s="938" t="str">
        <f t="shared" si="856"/>
        <v xml:space="preserve"> </v>
      </c>
      <c r="DI164" s="938" t="str">
        <f t="shared" si="857"/>
        <v xml:space="preserve"> </v>
      </c>
      <c r="DW164" s="938" t="str">
        <f t="shared" si="858"/>
        <v xml:space="preserve"> </v>
      </c>
      <c r="DX164" s="938" t="str">
        <f t="shared" si="859"/>
        <v xml:space="preserve"> </v>
      </c>
      <c r="EL164" s="938" t="str">
        <f t="shared" si="860"/>
        <v xml:space="preserve"> </v>
      </c>
      <c r="EM164" s="938" t="str">
        <f t="shared" si="861"/>
        <v xml:space="preserve"> </v>
      </c>
      <c r="FA164" s="938" t="str">
        <f t="shared" si="862"/>
        <v xml:space="preserve"> </v>
      </c>
      <c r="FB164" s="938" t="str">
        <f t="shared" si="863"/>
        <v xml:space="preserve"> </v>
      </c>
      <c r="FP164" s="938" t="str">
        <f t="shared" si="864"/>
        <v xml:space="preserve"> </v>
      </c>
      <c r="FQ164" s="938" t="str">
        <f t="shared" si="865"/>
        <v xml:space="preserve"> </v>
      </c>
      <c r="GE164" s="938" t="str">
        <f t="shared" si="866"/>
        <v xml:space="preserve"> </v>
      </c>
      <c r="GF164" s="938" t="str">
        <f t="shared" si="867"/>
        <v xml:space="preserve"> </v>
      </c>
      <c r="GT164" s="938" t="str">
        <f t="shared" si="868"/>
        <v xml:space="preserve"> </v>
      </c>
      <c r="GU164" s="938" t="str">
        <f t="shared" si="869"/>
        <v xml:space="preserve"> </v>
      </c>
      <c r="HI164" s="938" t="str">
        <f t="shared" si="870"/>
        <v xml:space="preserve"> </v>
      </c>
      <c r="HJ164" s="938" t="str">
        <f t="shared" si="871"/>
        <v xml:space="preserve"> </v>
      </c>
      <c r="HX164" s="938" t="str">
        <f t="shared" si="872"/>
        <v xml:space="preserve"> </v>
      </c>
      <c r="HY164" s="938" t="str">
        <f t="shared" si="873"/>
        <v xml:space="preserve"> </v>
      </c>
      <c r="IM164" s="938" t="str">
        <f t="shared" si="874"/>
        <v xml:space="preserve"> </v>
      </c>
      <c r="IN164" s="938" t="str">
        <f t="shared" si="875"/>
        <v xml:space="preserve"> </v>
      </c>
      <c r="JB164" s="938" t="str">
        <f t="shared" si="876"/>
        <v xml:space="preserve"> </v>
      </c>
      <c r="JC164" s="938" t="str">
        <f t="shared" si="877"/>
        <v xml:space="preserve"> </v>
      </c>
      <c r="JQ164" s="938" t="str">
        <f t="shared" si="878"/>
        <v xml:space="preserve"> </v>
      </c>
      <c r="JR164" s="938" t="str">
        <f t="shared" si="879"/>
        <v xml:space="preserve"> </v>
      </c>
      <c r="KF164" s="938" t="str">
        <f t="shared" si="880"/>
        <v xml:space="preserve"> </v>
      </c>
      <c r="KG164" s="938" t="str">
        <f t="shared" si="881"/>
        <v xml:space="preserve"> </v>
      </c>
      <c r="KU164" s="938" t="str">
        <f t="shared" si="882"/>
        <v xml:space="preserve"> </v>
      </c>
      <c r="KV164" s="938" t="str">
        <f t="shared" si="883"/>
        <v xml:space="preserve"> </v>
      </c>
      <c r="LJ164" s="938" t="str">
        <f t="shared" si="884"/>
        <v xml:space="preserve"> </v>
      </c>
      <c r="LK164" s="938" t="str">
        <f t="shared" si="885"/>
        <v xml:space="preserve"> </v>
      </c>
      <c r="LY164" s="938" t="str">
        <f t="shared" si="886"/>
        <v xml:space="preserve"> </v>
      </c>
      <c r="LZ164" s="938" t="str">
        <f t="shared" si="887"/>
        <v xml:space="preserve"> </v>
      </c>
      <c r="MN164" s="938" t="str">
        <f t="shared" si="888"/>
        <v xml:space="preserve"> </v>
      </c>
      <c r="MO164" s="938" t="str">
        <f t="shared" si="889"/>
        <v xml:space="preserve"> </v>
      </c>
      <c r="NC164" s="938" t="str">
        <f t="shared" si="890"/>
        <v xml:space="preserve"> </v>
      </c>
      <c r="ND164" s="938" t="str">
        <f t="shared" si="891"/>
        <v xml:space="preserve"> </v>
      </c>
      <c r="NR164" s="938" t="str">
        <f t="shared" si="892"/>
        <v xml:space="preserve"> </v>
      </c>
      <c r="NS164" s="938" t="str">
        <f t="shared" si="893"/>
        <v xml:space="preserve"> </v>
      </c>
      <c r="OG164" s="938" t="str">
        <f t="shared" si="894"/>
        <v xml:space="preserve"> </v>
      </c>
      <c r="OH164" s="938" t="str">
        <f t="shared" si="895"/>
        <v xml:space="preserve"> </v>
      </c>
      <c r="OV164" s="938" t="str">
        <f t="shared" si="896"/>
        <v xml:space="preserve"> </v>
      </c>
      <c r="OW164" s="938" t="str">
        <f t="shared" si="897"/>
        <v xml:space="preserve"> </v>
      </c>
      <c r="PK164" s="938" t="str">
        <f t="shared" si="898"/>
        <v xml:space="preserve"> </v>
      </c>
      <c r="PL164" s="938" t="str">
        <f t="shared" si="899"/>
        <v xml:space="preserve"> </v>
      </c>
      <c r="PZ164" s="938" t="str">
        <f t="shared" si="900"/>
        <v xml:space="preserve"> </v>
      </c>
      <c r="QA164" s="938" t="str">
        <f t="shared" si="901"/>
        <v xml:space="preserve"> </v>
      </c>
      <c r="QO164" s="938" t="str">
        <f t="shared" si="902"/>
        <v xml:space="preserve"> </v>
      </c>
      <c r="QP164" s="938" t="str">
        <f t="shared" si="903"/>
        <v xml:space="preserve"> </v>
      </c>
      <c r="RD164" s="938" t="str">
        <f t="shared" si="904"/>
        <v xml:space="preserve"> </v>
      </c>
      <c r="RE164" s="938" t="str">
        <f t="shared" si="905"/>
        <v xml:space="preserve"> </v>
      </c>
    </row>
    <row r="165" spans="28:473" x14ac:dyDescent="0.2">
      <c r="AB165" s="836" t="str">
        <f t="shared" si="842"/>
        <v/>
      </c>
      <c r="AC165" s="714">
        <f t="shared" si="843"/>
        <v>0</v>
      </c>
      <c r="AD165" s="714">
        <v>3.1E-4</v>
      </c>
      <c r="AE165" s="714">
        <v>31</v>
      </c>
      <c r="AF165" t="str">
        <v>SM290</v>
      </c>
      <c r="AG165" s="714">
        <f t="shared" si="844"/>
        <v>0</v>
      </c>
      <c r="AH165" s="714">
        <f t="shared" si="845"/>
        <v>0</v>
      </c>
      <c r="AK165" s="938" t="str">
        <f t="shared" si="846"/>
        <v xml:space="preserve"> </v>
      </c>
      <c r="AL165" s="938" t="str">
        <f t="shared" si="847"/>
        <v xml:space="preserve"> </v>
      </c>
      <c r="AZ165" s="938" t="str">
        <f t="shared" si="848"/>
        <v xml:space="preserve"> </v>
      </c>
      <c r="BA165" s="938" t="str">
        <f t="shared" si="849"/>
        <v xml:space="preserve"> </v>
      </c>
      <c r="BO165" s="938" t="str">
        <f t="shared" si="850"/>
        <v xml:space="preserve"> </v>
      </c>
      <c r="BP165" s="938" t="str">
        <f t="shared" si="851"/>
        <v xml:space="preserve"> </v>
      </c>
      <c r="CD165" s="938" t="str">
        <f t="shared" si="852"/>
        <v xml:space="preserve"> </v>
      </c>
      <c r="CE165" s="938" t="str">
        <f t="shared" si="853"/>
        <v xml:space="preserve"> </v>
      </c>
      <c r="CS165" s="938" t="str">
        <f t="shared" si="854"/>
        <v xml:space="preserve"> </v>
      </c>
      <c r="CT165" s="938" t="str">
        <f t="shared" si="855"/>
        <v xml:space="preserve"> </v>
      </c>
      <c r="DH165" s="938" t="str">
        <f t="shared" si="856"/>
        <v xml:space="preserve"> </v>
      </c>
      <c r="DI165" s="938" t="str">
        <f t="shared" si="857"/>
        <v xml:space="preserve"> </v>
      </c>
      <c r="DW165" s="938" t="str">
        <f t="shared" si="858"/>
        <v xml:space="preserve"> </v>
      </c>
      <c r="DX165" s="938" t="str">
        <f t="shared" si="859"/>
        <v xml:space="preserve"> </v>
      </c>
      <c r="EL165" s="938" t="str">
        <f t="shared" si="860"/>
        <v xml:space="preserve"> </v>
      </c>
      <c r="EM165" s="938" t="str">
        <f t="shared" si="861"/>
        <v xml:space="preserve"> </v>
      </c>
      <c r="FA165" s="938" t="str">
        <f t="shared" si="862"/>
        <v xml:space="preserve"> </v>
      </c>
      <c r="FB165" s="938" t="str">
        <f t="shared" si="863"/>
        <v xml:space="preserve"> </v>
      </c>
      <c r="FP165" s="938" t="str">
        <f t="shared" si="864"/>
        <v xml:space="preserve"> </v>
      </c>
      <c r="FQ165" s="938" t="str">
        <f t="shared" si="865"/>
        <v xml:space="preserve"> </v>
      </c>
      <c r="GE165" s="938" t="str">
        <f t="shared" si="866"/>
        <v xml:space="preserve"> </v>
      </c>
      <c r="GF165" s="938" t="str">
        <f t="shared" si="867"/>
        <v xml:space="preserve"> </v>
      </c>
      <c r="GT165" s="938" t="str">
        <f t="shared" si="868"/>
        <v xml:space="preserve"> </v>
      </c>
      <c r="GU165" s="938" t="str">
        <f t="shared" si="869"/>
        <v xml:space="preserve"> </v>
      </c>
      <c r="HI165" s="938" t="str">
        <f t="shared" si="870"/>
        <v xml:space="preserve"> </v>
      </c>
      <c r="HJ165" s="938" t="str">
        <f t="shared" si="871"/>
        <v xml:space="preserve"> </v>
      </c>
      <c r="HX165" s="938" t="str">
        <f t="shared" si="872"/>
        <v xml:space="preserve"> </v>
      </c>
      <c r="HY165" s="938" t="str">
        <f t="shared" si="873"/>
        <v xml:space="preserve"> </v>
      </c>
      <c r="IM165" s="938" t="str">
        <f t="shared" si="874"/>
        <v xml:space="preserve"> </v>
      </c>
      <c r="IN165" s="938" t="str">
        <f t="shared" si="875"/>
        <v xml:space="preserve"> </v>
      </c>
      <c r="JB165" s="938" t="str">
        <f t="shared" si="876"/>
        <v xml:space="preserve"> </v>
      </c>
      <c r="JC165" s="938" t="str">
        <f t="shared" si="877"/>
        <v xml:space="preserve"> </v>
      </c>
      <c r="JQ165" s="938" t="str">
        <f t="shared" si="878"/>
        <v xml:space="preserve"> </v>
      </c>
      <c r="JR165" s="938" t="str">
        <f t="shared" si="879"/>
        <v xml:space="preserve"> </v>
      </c>
      <c r="KF165" s="938" t="str">
        <f t="shared" si="880"/>
        <v xml:space="preserve"> </v>
      </c>
      <c r="KG165" s="938" t="str">
        <f t="shared" si="881"/>
        <v xml:space="preserve"> </v>
      </c>
      <c r="KU165" s="938" t="str">
        <f t="shared" si="882"/>
        <v xml:space="preserve"> </v>
      </c>
      <c r="KV165" s="938" t="str">
        <f t="shared" si="883"/>
        <v xml:space="preserve"> </v>
      </c>
      <c r="LJ165" s="938" t="str">
        <f t="shared" si="884"/>
        <v xml:space="preserve"> </v>
      </c>
      <c r="LK165" s="938" t="str">
        <f t="shared" si="885"/>
        <v xml:space="preserve"> </v>
      </c>
      <c r="LY165" s="938" t="str">
        <f t="shared" si="886"/>
        <v xml:space="preserve"> </v>
      </c>
      <c r="LZ165" s="938" t="str">
        <f t="shared" si="887"/>
        <v xml:space="preserve"> </v>
      </c>
      <c r="MN165" s="938" t="str">
        <f t="shared" si="888"/>
        <v xml:space="preserve"> </v>
      </c>
      <c r="MO165" s="938" t="str">
        <f t="shared" si="889"/>
        <v xml:space="preserve"> </v>
      </c>
      <c r="NC165" s="938" t="str">
        <f t="shared" si="890"/>
        <v xml:space="preserve"> </v>
      </c>
      <c r="ND165" s="938" t="str">
        <f t="shared" si="891"/>
        <v xml:space="preserve"> </v>
      </c>
      <c r="NR165" s="938" t="str">
        <f t="shared" si="892"/>
        <v xml:space="preserve"> </v>
      </c>
      <c r="NS165" s="938" t="str">
        <f t="shared" si="893"/>
        <v xml:space="preserve"> </v>
      </c>
      <c r="OG165" s="938" t="str">
        <f t="shared" si="894"/>
        <v xml:space="preserve"> </v>
      </c>
      <c r="OH165" s="938" t="str">
        <f t="shared" si="895"/>
        <v xml:space="preserve"> </v>
      </c>
      <c r="OV165" s="938" t="str">
        <f t="shared" si="896"/>
        <v xml:space="preserve"> </v>
      </c>
      <c r="OW165" s="938" t="str">
        <f t="shared" si="897"/>
        <v xml:space="preserve"> </v>
      </c>
      <c r="PK165" s="938" t="str">
        <f t="shared" si="898"/>
        <v xml:space="preserve"> </v>
      </c>
      <c r="PL165" s="938" t="str">
        <f t="shared" si="899"/>
        <v xml:space="preserve"> </v>
      </c>
      <c r="PZ165" s="938" t="str">
        <f t="shared" si="900"/>
        <v xml:space="preserve"> </v>
      </c>
      <c r="QA165" s="938" t="str">
        <f t="shared" si="901"/>
        <v xml:space="preserve"> </v>
      </c>
      <c r="QO165" s="938" t="str">
        <f t="shared" si="902"/>
        <v xml:space="preserve"> </v>
      </c>
      <c r="QP165" s="938" t="str">
        <f t="shared" si="903"/>
        <v xml:space="preserve"> </v>
      </c>
      <c r="RD165" s="938" t="str">
        <f t="shared" si="904"/>
        <v xml:space="preserve"> </v>
      </c>
      <c r="RE165" s="938" t="str">
        <f t="shared" si="905"/>
        <v xml:space="preserve"> </v>
      </c>
    </row>
    <row r="166" spans="28:473" x14ac:dyDescent="0.2">
      <c r="AB166" s="836" t="str">
        <f t="shared" si="842"/>
        <v/>
      </c>
      <c r="AC166" s="714">
        <f t="shared" si="843"/>
        <v>0</v>
      </c>
      <c r="AD166" s="714">
        <v>3.2000000000000003E-4</v>
      </c>
      <c r="AE166" s="714">
        <v>32</v>
      </c>
      <c r="AF166" t="str">
        <v>SJ280</v>
      </c>
      <c r="AG166" s="714">
        <f t="shared" si="844"/>
        <v>0</v>
      </c>
      <c r="AH166" s="714">
        <f t="shared" si="845"/>
        <v>0</v>
      </c>
      <c r="AK166" s="938" t="str">
        <f t="shared" si="846"/>
        <v xml:space="preserve"> </v>
      </c>
      <c r="AL166" s="938" t="str">
        <f t="shared" si="847"/>
        <v xml:space="preserve"> </v>
      </c>
      <c r="AZ166" s="938" t="str">
        <f t="shared" si="848"/>
        <v xml:space="preserve"> </v>
      </c>
      <c r="BA166" s="938" t="str">
        <f t="shared" si="849"/>
        <v xml:space="preserve"> </v>
      </c>
      <c r="BO166" s="938" t="str">
        <f t="shared" si="850"/>
        <v xml:space="preserve"> </v>
      </c>
      <c r="BP166" s="938" t="str">
        <f t="shared" si="851"/>
        <v xml:space="preserve"> </v>
      </c>
      <c r="CD166" s="938" t="str">
        <f t="shared" si="852"/>
        <v xml:space="preserve"> </v>
      </c>
      <c r="CE166" s="938" t="str">
        <f t="shared" si="853"/>
        <v xml:space="preserve"> </v>
      </c>
      <c r="CS166" s="938" t="str">
        <f t="shared" si="854"/>
        <v xml:space="preserve"> </v>
      </c>
      <c r="CT166" s="938" t="str">
        <f t="shared" si="855"/>
        <v xml:space="preserve"> </v>
      </c>
      <c r="DH166" s="938" t="str">
        <f t="shared" si="856"/>
        <v xml:space="preserve"> </v>
      </c>
      <c r="DI166" s="938" t="str">
        <f t="shared" si="857"/>
        <v xml:space="preserve"> </v>
      </c>
      <c r="DW166" s="938" t="str">
        <f t="shared" si="858"/>
        <v xml:space="preserve"> </v>
      </c>
      <c r="DX166" s="938" t="str">
        <f t="shared" si="859"/>
        <v xml:space="preserve"> </v>
      </c>
      <c r="EL166" s="938" t="str">
        <f t="shared" si="860"/>
        <v xml:space="preserve"> </v>
      </c>
      <c r="EM166" s="938" t="str">
        <f t="shared" si="861"/>
        <v xml:space="preserve"> </v>
      </c>
      <c r="FA166" s="938" t="str">
        <f t="shared" si="862"/>
        <v xml:space="preserve"> </v>
      </c>
      <c r="FB166" s="938" t="str">
        <f t="shared" si="863"/>
        <v xml:space="preserve"> </v>
      </c>
      <c r="FP166" s="938" t="str">
        <f t="shared" si="864"/>
        <v xml:space="preserve"> </v>
      </c>
      <c r="FQ166" s="938" t="str">
        <f t="shared" si="865"/>
        <v xml:space="preserve"> </v>
      </c>
      <c r="GE166" s="938" t="str">
        <f t="shared" si="866"/>
        <v xml:space="preserve"> </v>
      </c>
      <c r="GF166" s="938" t="str">
        <f t="shared" si="867"/>
        <v xml:space="preserve"> </v>
      </c>
      <c r="GT166" s="938" t="str">
        <f t="shared" si="868"/>
        <v xml:space="preserve"> </v>
      </c>
      <c r="GU166" s="938" t="str">
        <f t="shared" si="869"/>
        <v xml:space="preserve"> </v>
      </c>
      <c r="HI166" s="938" t="str">
        <f t="shared" si="870"/>
        <v xml:space="preserve"> </v>
      </c>
      <c r="HJ166" s="938" t="str">
        <f t="shared" si="871"/>
        <v xml:space="preserve"> </v>
      </c>
      <c r="HX166" s="938" t="str">
        <f t="shared" si="872"/>
        <v xml:space="preserve"> </v>
      </c>
      <c r="HY166" s="938" t="str">
        <f t="shared" si="873"/>
        <v xml:space="preserve"> </v>
      </c>
      <c r="IM166" s="938" t="str">
        <f t="shared" si="874"/>
        <v xml:space="preserve"> </v>
      </c>
      <c r="IN166" s="938" t="str">
        <f t="shared" si="875"/>
        <v xml:space="preserve"> </v>
      </c>
      <c r="JB166" s="938" t="str">
        <f t="shared" si="876"/>
        <v xml:space="preserve"> </v>
      </c>
      <c r="JC166" s="938" t="str">
        <f t="shared" si="877"/>
        <v xml:space="preserve"> </v>
      </c>
      <c r="JQ166" s="938" t="str">
        <f t="shared" si="878"/>
        <v xml:space="preserve"> </v>
      </c>
      <c r="JR166" s="938" t="str">
        <f t="shared" si="879"/>
        <v xml:space="preserve"> </v>
      </c>
      <c r="KF166" s="938" t="str">
        <f t="shared" si="880"/>
        <v xml:space="preserve"> </v>
      </c>
      <c r="KG166" s="938" t="str">
        <f t="shared" si="881"/>
        <v xml:space="preserve"> </v>
      </c>
      <c r="KU166" s="938" t="str">
        <f t="shared" si="882"/>
        <v xml:space="preserve"> </v>
      </c>
      <c r="KV166" s="938" t="str">
        <f t="shared" si="883"/>
        <v xml:space="preserve"> </v>
      </c>
      <c r="LJ166" s="938" t="str">
        <f t="shared" si="884"/>
        <v xml:space="preserve"> </v>
      </c>
      <c r="LK166" s="938" t="str">
        <f t="shared" si="885"/>
        <v xml:space="preserve"> </v>
      </c>
      <c r="LY166" s="938" t="str">
        <f t="shared" si="886"/>
        <v xml:space="preserve"> </v>
      </c>
      <c r="LZ166" s="938" t="str">
        <f t="shared" si="887"/>
        <v xml:space="preserve"> </v>
      </c>
      <c r="MN166" s="938" t="str">
        <f t="shared" si="888"/>
        <v xml:space="preserve"> </v>
      </c>
      <c r="MO166" s="938" t="str">
        <f t="shared" si="889"/>
        <v xml:space="preserve"> </v>
      </c>
      <c r="NC166" s="938" t="str">
        <f t="shared" si="890"/>
        <v xml:space="preserve"> </v>
      </c>
      <c r="ND166" s="938" t="str">
        <f t="shared" si="891"/>
        <v xml:space="preserve"> </v>
      </c>
      <c r="NR166" s="938" t="str">
        <f t="shared" si="892"/>
        <v xml:space="preserve"> </v>
      </c>
      <c r="NS166" s="938" t="str">
        <f t="shared" si="893"/>
        <v xml:space="preserve"> </v>
      </c>
      <c r="OG166" s="938" t="str">
        <f t="shared" si="894"/>
        <v xml:space="preserve"> </v>
      </c>
      <c r="OH166" s="938" t="str">
        <f t="shared" si="895"/>
        <v xml:space="preserve"> </v>
      </c>
      <c r="OV166" s="938" t="str">
        <f t="shared" si="896"/>
        <v xml:space="preserve"> </v>
      </c>
      <c r="OW166" s="938" t="str">
        <f t="shared" si="897"/>
        <v xml:space="preserve"> </v>
      </c>
      <c r="PK166" s="938" t="str">
        <f t="shared" si="898"/>
        <v xml:space="preserve"> </v>
      </c>
      <c r="PL166" s="938" t="str">
        <f t="shared" si="899"/>
        <v xml:space="preserve"> </v>
      </c>
      <c r="PZ166" s="938" t="str">
        <f t="shared" si="900"/>
        <v xml:space="preserve"> </v>
      </c>
      <c r="QA166" s="938" t="str">
        <f t="shared" si="901"/>
        <v xml:space="preserve"> </v>
      </c>
      <c r="QO166" s="938" t="str">
        <f t="shared" si="902"/>
        <v xml:space="preserve"> </v>
      </c>
      <c r="QP166" s="938" t="str">
        <f t="shared" si="903"/>
        <v xml:space="preserve"> </v>
      </c>
      <c r="RD166" s="938" t="str">
        <f t="shared" si="904"/>
        <v xml:space="preserve"> </v>
      </c>
      <c r="RE166" s="938" t="str">
        <f t="shared" si="905"/>
        <v xml:space="preserve"> </v>
      </c>
    </row>
    <row r="167" spans="28:473" x14ac:dyDescent="0.2">
      <c r="AB167" s="836" t="str">
        <f t="shared" ref="AB167:AB187" si="906">IF(LARGE($AC$135:$AC$198,AE167)=0,"",VLOOKUP(LARGE($AC$135:$AC$198,AE167),$AC$135:$AH$198,4,FALSE))</f>
        <v/>
      </c>
      <c r="AC167" s="714">
        <f t="shared" ref="AC167:AC187" si="907">IF(AG167&gt;0,AG167+AD167,0)</f>
        <v>0</v>
      </c>
      <c r="AD167" s="714">
        <v>3.3E-4</v>
      </c>
      <c r="AE167" s="714">
        <v>33</v>
      </c>
      <c r="AF167" t="str">
        <v xml:space="preserve"> +Gefl.+</v>
      </c>
      <c r="AG167" s="714">
        <f t="shared" ref="AG167:AG187" si="908">SUMIF($AJ$134:$XFD$134,"ges",AJ167:XFD167)</f>
        <v>0</v>
      </c>
      <c r="AH167" s="714">
        <f t="shared" ref="AH167:AH187" si="909">SUMIF($AJ$134:$XFD$134,"rot",AJ167:XFD167)</f>
        <v>0</v>
      </c>
      <c r="AK167" s="938" t="str">
        <f t="shared" ref="AK167:AK187" si="910">IF(AJ$5=$AF167,SUMIF($E$14:$E$113,"x",AM$14:AM$113)," ")</f>
        <v xml:space="preserve"> </v>
      </c>
      <c r="AL167" s="938" t="str">
        <f t="shared" ref="AL167:AL187" si="911">IF(AJ$5=$AF167,SUMIFS(AM$14:AM$113,$C$14:$C$113,1,$E$14:$E$113,"x")," ")</f>
        <v xml:space="preserve"> </v>
      </c>
      <c r="AZ167" s="938" t="str">
        <f t="shared" ref="AZ167:AZ187" si="912">IF(AY$5=$AF167,SUMIF($E$14:$E$113,"x",BB$14:BB$113)," ")</f>
        <v xml:space="preserve"> </v>
      </c>
      <c r="BA167" s="938" t="str">
        <f t="shared" ref="BA167:BA187" si="913">IF(AY$5=$AF167,SUMIFS(BB$14:BB$113,$C$14:$C$113,1,$E$14:$E$113,"x")," ")</f>
        <v xml:space="preserve"> </v>
      </c>
      <c r="BO167" s="938" t="str">
        <f t="shared" ref="BO167:BO187" si="914">IF(BN$5=$AF167,SUMIF($E$14:$E$113,"x",BQ$14:BQ$113)," ")</f>
        <v xml:space="preserve"> </v>
      </c>
      <c r="BP167" s="938" t="str">
        <f t="shared" ref="BP167:BP187" si="915">IF(BN$5=$AF167,SUMIFS(BQ$14:BQ$113,$C$14:$C$113,1,$E$14:$E$113,"x")," ")</f>
        <v xml:space="preserve"> </v>
      </c>
      <c r="CD167" s="938" t="str">
        <f t="shared" ref="CD167:CD187" si="916">IF(CC$5=$AF167,SUMIF($E$14:$E$113,"x",CF$14:CF$113)," ")</f>
        <v xml:space="preserve"> </v>
      </c>
      <c r="CE167" s="938" t="str">
        <f t="shared" ref="CE167:CE187" si="917">IF(CC$5=$AF167,SUMIFS(CF$14:CF$113,$C$14:$C$113,1,$E$14:$E$113,"x")," ")</f>
        <v xml:space="preserve"> </v>
      </c>
      <c r="CS167" s="938" t="str">
        <f t="shared" ref="CS167:CS187" si="918">IF(CR$5=$AF167,SUMIF($E$14:$E$113,"x",CU$14:CU$113)," ")</f>
        <v xml:space="preserve"> </v>
      </c>
      <c r="CT167" s="938" t="str">
        <f t="shared" ref="CT167:CT187" si="919">IF(CR$5=$AF167,SUMIFS(CU$14:CU$113,$C$14:$C$113,1,$E$14:$E$113,"x")," ")</f>
        <v xml:space="preserve"> </v>
      </c>
      <c r="DH167" s="938" t="str">
        <f t="shared" ref="DH167:DH187" si="920">IF(DG$5=$AF167,SUMIF($E$14:$E$113,"x",DJ$14:DJ$113)," ")</f>
        <v xml:space="preserve"> </v>
      </c>
      <c r="DI167" s="938" t="str">
        <f t="shared" ref="DI167:DI187" si="921">IF(DG$5=$AF167,SUMIFS(DJ$14:DJ$113,$C$14:$C$113,1,$E$14:$E$113,"x")," ")</f>
        <v xml:space="preserve"> </v>
      </c>
      <c r="DW167" s="938" t="str">
        <f t="shared" ref="DW167:DW187" si="922">IF(DV$5=$AF167,SUMIF($E$14:$E$113,"x",DY$14:DY$113)," ")</f>
        <v xml:space="preserve"> </v>
      </c>
      <c r="DX167" s="938" t="str">
        <f t="shared" ref="DX167:DX187" si="923">IF(DV$5=$AF167,SUMIFS(DY$14:DY$113,$C$14:$C$113,1,$E$14:$E$113,"x")," ")</f>
        <v xml:space="preserve"> </v>
      </c>
      <c r="EL167" s="938" t="str">
        <f t="shared" ref="EL167:EL187" si="924">IF(EK$5=$AF167,SUMIF($E$14:$E$113,"x",EN$14:EN$113)," ")</f>
        <v xml:space="preserve"> </v>
      </c>
      <c r="EM167" s="938" t="str">
        <f t="shared" ref="EM167:EM187" si="925">IF(EK$5=$AF167,SUMIFS(EN$14:EN$113,$C$14:$C$113,1,$E$14:$E$113,"x")," ")</f>
        <v xml:space="preserve"> </v>
      </c>
      <c r="FA167" s="938" t="str">
        <f t="shared" ref="FA167:FA187" si="926">IF(EZ$5=$AF167,SUMIF($E$14:$E$113,"x",FC$14:FC$113)," ")</f>
        <v xml:space="preserve"> </v>
      </c>
      <c r="FB167" s="938" t="str">
        <f t="shared" ref="FB167:FB187" si="927">IF(EZ$5=$AF167,SUMIFS(FC$14:FC$113,$C$14:$C$113,1,$E$14:$E$113,"x")," ")</f>
        <v xml:space="preserve"> </v>
      </c>
      <c r="FP167" s="938" t="str">
        <f t="shared" ref="FP167:FP187" si="928">IF(FO$5=$AF167,SUMIF($E$14:$E$113,"x",FR$14:FR$113)," ")</f>
        <v xml:space="preserve"> </v>
      </c>
      <c r="FQ167" s="938" t="str">
        <f t="shared" ref="FQ167:FQ187" si="929">IF(FO$5=$AF167,SUMIFS(FR$14:FR$113,$C$14:$C$113,1,$E$14:$E$113,"x")," ")</f>
        <v xml:space="preserve"> </v>
      </c>
      <c r="GE167" s="938" t="str">
        <f t="shared" ref="GE167:GE187" si="930">IF(GD$5=$AF167,SUMIF($E$14:$E$113,"x",GG$14:GG$113)," ")</f>
        <v xml:space="preserve"> </v>
      </c>
      <c r="GF167" s="938" t="str">
        <f t="shared" ref="GF167:GF187" si="931">IF(GD$5=$AF167,SUMIFS(GG$14:GG$113,$C$14:$C$113,1,$E$14:$E$113,"x")," ")</f>
        <v xml:space="preserve"> </v>
      </c>
      <c r="GT167" s="938" t="str">
        <f t="shared" ref="GT167:GT187" si="932">IF(GS$5=$AF167,SUMIF($E$14:$E$113,"x",GV$14:GV$113)," ")</f>
        <v xml:space="preserve"> </v>
      </c>
      <c r="GU167" s="938" t="str">
        <f t="shared" ref="GU167:GU187" si="933">IF(GS$5=$AF167,SUMIFS(GV$14:GV$113,$C$14:$C$113,1,$E$14:$E$113,"x")," ")</f>
        <v xml:space="preserve"> </v>
      </c>
      <c r="HI167" s="938" t="str">
        <f t="shared" ref="HI167:HI187" si="934">IF(HH$5=$AF167,SUMIF($E$14:$E$113,"x",HK$14:HK$113)," ")</f>
        <v xml:space="preserve"> </v>
      </c>
      <c r="HJ167" s="938" t="str">
        <f t="shared" ref="HJ167:HJ187" si="935">IF(HH$5=$AF167,SUMIFS(HK$14:HK$113,$C$14:$C$113,1,$E$14:$E$113,"x")," ")</f>
        <v xml:space="preserve"> </v>
      </c>
      <c r="HX167" s="938" t="str">
        <f t="shared" ref="HX167:HX187" si="936">IF(HW$5=$AF167,SUMIF($E$14:$E$113,"x",HZ$14:HZ$113)," ")</f>
        <v xml:space="preserve"> </v>
      </c>
      <c r="HY167" s="938" t="str">
        <f t="shared" ref="HY167:HY187" si="937">IF(HW$5=$AF167,SUMIFS(HZ$14:HZ$113,$C$14:$C$113,1,$E$14:$E$113,"x")," ")</f>
        <v xml:space="preserve"> </v>
      </c>
      <c r="IM167" s="938" t="str">
        <f t="shared" ref="IM167:IM187" si="938">IF(IL$5=$AF167,SUMIF($E$14:$E$113,"x",IO$14:IO$113)," ")</f>
        <v xml:space="preserve"> </v>
      </c>
      <c r="IN167" s="938" t="str">
        <f t="shared" ref="IN167:IN187" si="939">IF(IL$5=$AF167,SUMIFS(IO$14:IO$113,$C$14:$C$113,1,$E$14:$E$113,"x")," ")</f>
        <v xml:space="preserve"> </v>
      </c>
      <c r="JB167" s="938" t="str">
        <f t="shared" ref="JB167:JB187" si="940">IF(JA$5=$AF167,SUMIF($E$14:$E$113,"x",JD$14:JD$113)," ")</f>
        <v xml:space="preserve"> </v>
      </c>
      <c r="JC167" s="938" t="str">
        <f t="shared" ref="JC167:JC187" si="941">IF(JA$5=$AF167,SUMIFS(JD$14:JD$113,$C$14:$C$113,1,$E$14:$E$113,"x")," ")</f>
        <v xml:space="preserve"> </v>
      </c>
      <c r="JQ167" s="938" t="str">
        <f t="shared" ref="JQ167:JQ187" si="942">IF(JP$5=$AF167,SUMIF($E$14:$E$113,"x",JS$14:JS$113)," ")</f>
        <v xml:space="preserve"> </v>
      </c>
      <c r="JR167" s="938" t="str">
        <f t="shared" ref="JR167:JR187" si="943">IF(JP$5=$AF167,SUMIFS(JS$14:JS$113,$C$14:$C$113,1,$E$14:$E$113,"x")," ")</f>
        <v xml:space="preserve"> </v>
      </c>
      <c r="KF167" s="938" t="str">
        <f t="shared" ref="KF167:KF187" si="944">IF(KE$5=$AF167,SUMIF($E$14:$E$113,"x",KH$14:KH$113)," ")</f>
        <v xml:space="preserve"> </v>
      </c>
      <c r="KG167" s="938" t="str">
        <f t="shared" ref="KG167:KG187" si="945">IF(KE$5=$AF167,SUMIFS(KH$14:KH$113,$C$14:$C$113,1,$E$14:$E$113,"x")," ")</f>
        <v xml:space="preserve"> </v>
      </c>
      <c r="KU167" s="938" t="str">
        <f t="shared" ref="KU167:KU187" si="946">IF(KT$5=$AF167,SUMIF($E$14:$E$113,"x",KW$14:KW$113)," ")</f>
        <v xml:space="preserve"> </v>
      </c>
      <c r="KV167" s="938" t="str">
        <f t="shared" ref="KV167:KV187" si="947">IF(KT$5=$AF167,SUMIFS(KW$14:KW$113,$C$14:$C$113,1,$E$14:$E$113,"x")," ")</f>
        <v xml:space="preserve"> </v>
      </c>
      <c r="LJ167" s="938" t="str">
        <f t="shared" ref="LJ167:LJ187" si="948">IF(LI$5=$AF167,SUMIF($E$14:$E$113,"x",LL$14:LL$113)," ")</f>
        <v xml:space="preserve"> </v>
      </c>
      <c r="LK167" s="938" t="str">
        <f t="shared" ref="LK167:LK187" si="949">IF(LI$5=$AF167,SUMIFS(LL$14:LL$113,$C$14:$C$113,1,$E$14:$E$113,"x")," ")</f>
        <v xml:space="preserve"> </v>
      </c>
      <c r="LY167" s="938" t="str">
        <f t="shared" ref="LY167:LY187" si="950">IF(LX$5=$AF167,SUMIF($E$14:$E$113,"x",MA$14:MA$113)," ")</f>
        <v xml:space="preserve"> </v>
      </c>
      <c r="LZ167" s="938" t="str">
        <f t="shared" ref="LZ167:LZ187" si="951">IF(LX$5=$AF167,SUMIFS(MA$14:MA$113,$C$14:$C$113,1,$E$14:$E$113,"x")," ")</f>
        <v xml:space="preserve"> </v>
      </c>
      <c r="MN167" s="938" t="str">
        <f t="shared" ref="MN167:MN187" si="952">IF(MM$5=$AF167,SUMIF($E$14:$E$113,"x",MP$14:MP$113)," ")</f>
        <v xml:space="preserve"> </v>
      </c>
      <c r="MO167" s="938" t="str">
        <f t="shared" ref="MO167:MO187" si="953">IF(MM$5=$AF167,SUMIFS(MP$14:MP$113,$C$14:$C$113,1,$E$14:$E$113,"x")," ")</f>
        <v xml:space="preserve"> </v>
      </c>
      <c r="NC167" s="938" t="str">
        <f t="shared" ref="NC167:NC187" si="954">IF(NB$5=$AF167,SUMIF($E$14:$E$113,"x",NE$14:NE$113)," ")</f>
        <v xml:space="preserve"> </v>
      </c>
      <c r="ND167" s="938" t="str">
        <f t="shared" ref="ND167:ND187" si="955">IF(NB$5=$AF167,SUMIFS(NE$14:NE$113,$C$14:$C$113,1,$E$14:$E$113,"x")," ")</f>
        <v xml:space="preserve"> </v>
      </c>
      <c r="NR167" s="938" t="str">
        <f t="shared" ref="NR167:NR187" si="956">IF(NQ$5=$AF167,SUMIF($E$14:$E$113,"x",NT$14:NT$113)," ")</f>
        <v xml:space="preserve"> </v>
      </c>
      <c r="NS167" s="938" t="str">
        <f t="shared" ref="NS167:NS187" si="957">IF(NQ$5=$AF167,SUMIFS(NT$14:NT$113,$C$14:$C$113,1,$E$14:$E$113,"x")," ")</f>
        <v xml:space="preserve"> </v>
      </c>
      <c r="OG167" s="938" t="str">
        <f t="shared" ref="OG167:OG187" si="958">IF(OF$5=$AF167,SUMIF($E$14:$E$113,"x",OI$14:OI$113)," ")</f>
        <v xml:space="preserve"> </v>
      </c>
      <c r="OH167" s="938" t="str">
        <f t="shared" ref="OH167:OH187" si="959">IF(OF$5=$AF167,SUMIFS(OI$14:OI$113,$C$14:$C$113,1,$E$14:$E$113,"x")," ")</f>
        <v xml:space="preserve"> </v>
      </c>
      <c r="OV167" s="938" t="str">
        <f t="shared" ref="OV167:OV187" si="960">IF(OU$5=$AF167,SUMIF($E$14:$E$113,"x",OX$14:OX$113)," ")</f>
        <v xml:space="preserve"> </v>
      </c>
      <c r="OW167" s="938" t="str">
        <f t="shared" ref="OW167:OW187" si="961">IF(OU$5=$AF167,SUMIFS(OX$14:OX$113,$C$14:$C$113,1,$E$14:$E$113,"x")," ")</f>
        <v xml:space="preserve"> </v>
      </c>
      <c r="PK167" s="938" t="str">
        <f t="shared" ref="PK167:PK187" si="962">IF(PJ$5=$AF167,SUMIF($E$14:$E$113,"x",PM$14:PM$113)," ")</f>
        <v xml:space="preserve"> </v>
      </c>
      <c r="PL167" s="938" t="str">
        <f t="shared" ref="PL167:PL187" si="963">IF(PJ$5=$AF167,SUMIFS(PM$14:PM$113,$C$14:$C$113,1,$E$14:$E$113,"x")," ")</f>
        <v xml:space="preserve"> </v>
      </c>
      <c r="PZ167" s="938" t="str">
        <f t="shared" ref="PZ167:PZ187" si="964">IF(PY$5=$AF167,SUMIF($E$14:$E$113,"x",QB$14:QB$113)," ")</f>
        <v xml:space="preserve"> </v>
      </c>
      <c r="QA167" s="938" t="str">
        <f t="shared" ref="QA167:QA187" si="965">IF(PY$5=$AF167,SUMIFS(QB$14:QB$113,$C$14:$C$113,1,$E$14:$E$113,"x")," ")</f>
        <v xml:space="preserve"> </v>
      </c>
      <c r="QO167" s="938" t="str">
        <f t="shared" ref="QO167:QO187" si="966">IF(QN$5=$AF167,SUMIF($E$14:$E$113,"x",QQ$14:QQ$113)," ")</f>
        <v xml:space="preserve"> </v>
      </c>
      <c r="QP167" s="938" t="str">
        <f t="shared" ref="QP167:QP187" si="967">IF(QN$5=$AF167,SUMIFS(QQ$14:QQ$113,$C$14:$C$113,1,$E$14:$E$113,"x")," ")</f>
        <v xml:space="preserve"> </v>
      </c>
      <c r="RD167" s="938" t="str">
        <f t="shared" ref="RD167:RD187" si="968">IF(RC$5=$AF167,SUMIF($E$14:$E$113,"x",RF$14:RF$113)," ")</f>
        <v xml:space="preserve"> </v>
      </c>
      <c r="RE167" s="938" t="str">
        <f t="shared" ref="RE167:RE187" si="969">IF(RC$5=$AF167,SUMIFS(RF$14:RF$113,$C$14:$C$113,1,$E$14:$E$113,"x")," ")</f>
        <v xml:space="preserve"> </v>
      </c>
    </row>
    <row r="168" spans="28:473" x14ac:dyDescent="0.2">
      <c r="AB168" s="836" t="str">
        <f t="shared" si="906"/>
        <v/>
      </c>
      <c r="AC168" s="714">
        <f t="shared" si="907"/>
        <v>0</v>
      </c>
      <c r="AD168" s="714">
        <v>3.4000000000000002E-4</v>
      </c>
      <c r="AE168" s="714">
        <v>34</v>
      </c>
      <c r="AF168" t="str">
        <v>GM310</v>
      </c>
      <c r="AG168" s="714">
        <f t="shared" si="908"/>
        <v>0</v>
      </c>
      <c r="AH168" s="714">
        <f t="shared" si="909"/>
        <v>0</v>
      </c>
      <c r="AK168" s="938" t="str">
        <f t="shared" si="910"/>
        <v xml:space="preserve"> </v>
      </c>
      <c r="AL168" s="938" t="str">
        <f t="shared" si="911"/>
        <v xml:space="preserve"> </v>
      </c>
      <c r="AZ168" s="938" t="str">
        <f t="shared" si="912"/>
        <v xml:space="preserve"> </v>
      </c>
      <c r="BA168" s="938" t="str">
        <f t="shared" si="913"/>
        <v xml:space="preserve"> </v>
      </c>
      <c r="BO168" s="938" t="str">
        <f t="shared" si="914"/>
        <v xml:space="preserve"> </v>
      </c>
      <c r="BP168" s="938" t="str">
        <f t="shared" si="915"/>
        <v xml:space="preserve"> </v>
      </c>
      <c r="CD168" s="938" t="str">
        <f t="shared" si="916"/>
        <v xml:space="preserve"> </v>
      </c>
      <c r="CE168" s="938" t="str">
        <f t="shared" si="917"/>
        <v xml:space="preserve"> </v>
      </c>
      <c r="CS168" s="938" t="str">
        <f t="shared" si="918"/>
        <v xml:space="preserve"> </v>
      </c>
      <c r="CT168" s="938" t="str">
        <f t="shared" si="919"/>
        <v xml:space="preserve"> </v>
      </c>
      <c r="DH168" s="938" t="str">
        <f t="shared" si="920"/>
        <v xml:space="preserve"> </v>
      </c>
      <c r="DI168" s="938" t="str">
        <f t="shared" si="921"/>
        <v xml:space="preserve"> </v>
      </c>
      <c r="DW168" s="938" t="str">
        <f t="shared" si="922"/>
        <v xml:space="preserve"> </v>
      </c>
      <c r="DX168" s="938" t="str">
        <f t="shared" si="923"/>
        <v xml:space="preserve"> </v>
      </c>
      <c r="EL168" s="938" t="str">
        <f t="shared" si="924"/>
        <v xml:space="preserve"> </v>
      </c>
      <c r="EM168" s="938" t="str">
        <f t="shared" si="925"/>
        <v xml:space="preserve"> </v>
      </c>
      <c r="FA168" s="938" t="str">
        <f t="shared" si="926"/>
        <v xml:space="preserve"> </v>
      </c>
      <c r="FB168" s="938" t="str">
        <f t="shared" si="927"/>
        <v xml:space="preserve"> </v>
      </c>
      <c r="FP168" s="938" t="str">
        <f t="shared" si="928"/>
        <v xml:space="preserve"> </v>
      </c>
      <c r="FQ168" s="938" t="str">
        <f t="shared" si="929"/>
        <v xml:space="preserve"> </v>
      </c>
      <c r="GE168" s="938" t="str">
        <f t="shared" si="930"/>
        <v xml:space="preserve"> </v>
      </c>
      <c r="GF168" s="938" t="str">
        <f t="shared" si="931"/>
        <v xml:space="preserve"> </v>
      </c>
      <c r="GT168" s="938" t="str">
        <f t="shared" si="932"/>
        <v xml:space="preserve"> </v>
      </c>
      <c r="GU168" s="938" t="str">
        <f t="shared" si="933"/>
        <v xml:space="preserve"> </v>
      </c>
      <c r="HI168" s="938" t="str">
        <f t="shared" si="934"/>
        <v xml:space="preserve"> </v>
      </c>
      <c r="HJ168" s="938" t="str">
        <f t="shared" si="935"/>
        <v xml:space="preserve"> </v>
      </c>
      <c r="HX168" s="938" t="str">
        <f t="shared" si="936"/>
        <v xml:space="preserve"> </v>
      </c>
      <c r="HY168" s="938" t="str">
        <f t="shared" si="937"/>
        <v xml:space="preserve"> </v>
      </c>
      <c r="IM168" s="938" t="str">
        <f t="shared" si="938"/>
        <v xml:space="preserve"> </v>
      </c>
      <c r="IN168" s="938" t="str">
        <f t="shared" si="939"/>
        <v xml:space="preserve"> </v>
      </c>
      <c r="JB168" s="938" t="str">
        <f t="shared" si="940"/>
        <v xml:space="preserve"> </v>
      </c>
      <c r="JC168" s="938" t="str">
        <f t="shared" si="941"/>
        <v xml:space="preserve"> </v>
      </c>
      <c r="JQ168" s="938" t="str">
        <f t="shared" si="942"/>
        <v xml:space="preserve"> </v>
      </c>
      <c r="JR168" s="938" t="str">
        <f t="shared" si="943"/>
        <v xml:space="preserve"> </v>
      </c>
      <c r="KF168" s="938" t="str">
        <f t="shared" si="944"/>
        <v xml:space="preserve"> </v>
      </c>
      <c r="KG168" s="938" t="str">
        <f t="shared" si="945"/>
        <v xml:space="preserve"> </v>
      </c>
      <c r="KU168" s="938" t="str">
        <f t="shared" si="946"/>
        <v xml:space="preserve"> </v>
      </c>
      <c r="KV168" s="938" t="str">
        <f t="shared" si="947"/>
        <v xml:space="preserve"> </v>
      </c>
      <c r="LJ168" s="938" t="str">
        <f t="shared" si="948"/>
        <v xml:space="preserve"> </v>
      </c>
      <c r="LK168" s="938" t="str">
        <f t="shared" si="949"/>
        <v xml:space="preserve"> </v>
      </c>
      <c r="LY168" s="938" t="str">
        <f t="shared" si="950"/>
        <v xml:space="preserve"> </v>
      </c>
      <c r="LZ168" s="938" t="str">
        <f t="shared" si="951"/>
        <v xml:space="preserve"> </v>
      </c>
      <c r="MN168" s="938" t="str">
        <f t="shared" si="952"/>
        <v xml:space="preserve"> </v>
      </c>
      <c r="MO168" s="938" t="str">
        <f t="shared" si="953"/>
        <v xml:space="preserve"> </v>
      </c>
      <c r="NC168" s="938" t="str">
        <f t="shared" si="954"/>
        <v xml:space="preserve"> </v>
      </c>
      <c r="ND168" s="938" t="str">
        <f t="shared" si="955"/>
        <v xml:space="preserve"> </v>
      </c>
      <c r="NR168" s="938" t="str">
        <f t="shared" si="956"/>
        <v xml:space="preserve"> </v>
      </c>
      <c r="NS168" s="938" t="str">
        <f t="shared" si="957"/>
        <v xml:space="preserve"> </v>
      </c>
      <c r="OG168" s="938" t="str">
        <f t="shared" si="958"/>
        <v xml:space="preserve"> </v>
      </c>
      <c r="OH168" s="938" t="str">
        <f t="shared" si="959"/>
        <v xml:space="preserve"> </v>
      </c>
      <c r="OV168" s="938" t="str">
        <f t="shared" si="960"/>
        <v xml:space="preserve"> </v>
      </c>
      <c r="OW168" s="938" t="str">
        <f t="shared" si="961"/>
        <v xml:space="preserve"> </v>
      </c>
      <c r="PK168" s="938" t="str">
        <f t="shared" si="962"/>
        <v xml:space="preserve"> </v>
      </c>
      <c r="PL168" s="938" t="str">
        <f t="shared" si="963"/>
        <v xml:space="preserve"> </v>
      </c>
      <c r="PZ168" s="938" t="str">
        <f t="shared" si="964"/>
        <v xml:space="preserve"> </v>
      </c>
      <c r="QA168" s="938" t="str">
        <f t="shared" si="965"/>
        <v xml:space="preserve"> </v>
      </c>
      <c r="QO168" s="938" t="str">
        <f t="shared" si="966"/>
        <v xml:space="preserve"> </v>
      </c>
      <c r="QP168" s="938" t="str">
        <f t="shared" si="967"/>
        <v xml:space="preserve"> </v>
      </c>
      <c r="RD168" s="938" t="str">
        <f t="shared" si="968"/>
        <v xml:space="preserve"> </v>
      </c>
      <c r="RE168" s="938" t="str">
        <f t="shared" si="969"/>
        <v xml:space="preserve"> </v>
      </c>
    </row>
    <row r="169" spans="28:473" x14ac:dyDescent="0.2">
      <c r="AB169" s="836" t="str">
        <f t="shared" si="906"/>
        <v/>
      </c>
      <c r="AC169" s="714">
        <f t="shared" si="907"/>
        <v>0</v>
      </c>
      <c r="AD169" s="714">
        <v>3.5E-4</v>
      </c>
      <c r="AE169" s="714">
        <v>35</v>
      </c>
      <c r="AF169" t="str">
        <v>GG320</v>
      </c>
      <c r="AG169" s="714">
        <f t="shared" si="908"/>
        <v>0</v>
      </c>
      <c r="AH169" s="714">
        <f t="shared" si="909"/>
        <v>0</v>
      </c>
      <c r="AK169" s="938" t="str">
        <f t="shared" si="910"/>
        <v xml:space="preserve"> </v>
      </c>
      <c r="AL169" s="938" t="str">
        <f t="shared" si="911"/>
        <v xml:space="preserve"> </v>
      </c>
      <c r="AZ169" s="938" t="str">
        <f t="shared" si="912"/>
        <v xml:space="preserve"> </v>
      </c>
      <c r="BA169" s="938" t="str">
        <f t="shared" si="913"/>
        <v xml:space="preserve"> </v>
      </c>
      <c r="BO169" s="938" t="str">
        <f t="shared" si="914"/>
        <v xml:space="preserve"> </v>
      </c>
      <c r="BP169" s="938" t="str">
        <f t="shared" si="915"/>
        <v xml:space="preserve"> </v>
      </c>
      <c r="CD169" s="938" t="str">
        <f t="shared" si="916"/>
        <v xml:space="preserve"> </v>
      </c>
      <c r="CE169" s="938" t="str">
        <f t="shared" si="917"/>
        <v xml:space="preserve"> </v>
      </c>
      <c r="CS169" s="938" t="str">
        <f t="shared" si="918"/>
        <v xml:space="preserve"> </v>
      </c>
      <c r="CT169" s="938" t="str">
        <f t="shared" si="919"/>
        <v xml:space="preserve"> </v>
      </c>
      <c r="DH169" s="938" t="str">
        <f t="shared" si="920"/>
        <v xml:space="preserve"> </v>
      </c>
      <c r="DI169" s="938" t="str">
        <f t="shared" si="921"/>
        <v xml:space="preserve"> </v>
      </c>
      <c r="DW169" s="938" t="str">
        <f t="shared" si="922"/>
        <v xml:space="preserve"> </v>
      </c>
      <c r="DX169" s="938" t="str">
        <f t="shared" si="923"/>
        <v xml:space="preserve"> </v>
      </c>
      <c r="EL169" s="938" t="str">
        <f t="shared" si="924"/>
        <v xml:space="preserve"> </v>
      </c>
      <c r="EM169" s="938" t="str">
        <f t="shared" si="925"/>
        <v xml:space="preserve"> </v>
      </c>
      <c r="FA169" s="938" t="str">
        <f t="shared" si="926"/>
        <v xml:space="preserve"> </v>
      </c>
      <c r="FB169" s="938" t="str">
        <f t="shared" si="927"/>
        <v xml:space="preserve"> </v>
      </c>
      <c r="FP169" s="938" t="str">
        <f t="shared" si="928"/>
        <v xml:space="preserve"> </v>
      </c>
      <c r="FQ169" s="938" t="str">
        <f t="shared" si="929"/>
        <v xml:space="preserve"> </v>
      </c>
      <c r="GE169" s="938" t="str">
        <f t="shared" si="930"/>
        <v xml:space="preserve"> </v>
      </c>
      <c r="GF169" s="938" t="str">
        <f t="shared" si="931"/>
        <v xml:space="preserve"> </v>
      </c>
      <c r="GT169" s="938" t="str">
        <f t="shared" si="932"/>
        <v xml:space="preserve"> </v>
      </c>
      <c r="GU169" s="938" t="str">
        <f t="shared" si="933"/>
        <v xml:space="preserve"> </v>
      </c>
      <c r="HI169" s="938" t="str">
        <f t="shared" si="934"/>
        <v xml:space="preserve"> </v>
      </c>
      <c r="HJ169" s="938" t="str">
        <f t="shared" si="935"/>
        <v xml:space="preserve"> </v>
      </c>
      <c r="HX169" s="938" t="str">
        <f t="shared" si="936"/>
        <v xml:space="preserve"> </v>
      </c>
      <c r="HY169" s="938" t="str">
        <f t="shared" si="937"/>
        <v xml:space="preserve"> </v>
      </c>
      <c r="IM169" s="938" t="str">
        <f t="shared" si="938"/>
        <v xml:space="preserve"> </v>
      </c>
      <c r="IN169" s="938" t="str">
        <f t="shared" si="939"/>
        <v xml:space="preserve"> </v>
      </c>
      <c r="JB169" s="938" t="str">
        <f t="shared" si="940"/>
        <v xml:space="preserve"> </v>
      </c>
      <c r="JC169" s="938" t="str">
        <f t="shared" si="941"/>
        <v xml:space="preserve"> </v>
      </c>
      <c r="JQ169" s="938" t="str">
        <f t="shared" si="942"/>
        <v xml:space="preserve"> </v>
      </c>
      <c r="JR169" s="938" t="str">
        <f t="shared" si="943"/>
        <v xml:space="preserve"> </v>
      </c>
      <c r="KF169" s="938" t="str">
        <f t="shared" si="944"/>
        <v xml:space="preserve"> </v>
      </c>
      <c r="KG169" s="938" t="str">
        <f t="shared" si="945"/>
        <v xml:space="preserve"> </v>
      </c>
      <c r="KU169" s="938" t="str">
        <f t="shared" si="946"/>
        <v xml:space="preserve"> </v>
      </c>
      <c r="KV169" s="938" t="str">
        <f t="shared" si="947"/>
        <v xml:space="preserve"> </v>
      </c>
      <c r="LJ169" s="938" t="str">
        <f t="shared" si="948"/>
        <v xml:space="preserve"> </v>
      </c>
      <c r="LK169" s="938" t="str">
        <f t="shared" si="949"/>
        <v xml:space="preserve"> </v>
      </c>
      <c r="LY169" s="938" t="str">
        <f t="shared" si="950"/>
        <v xml:space="preserve"> </v>
      </c>
      <c r="LZ169" s="938" t="str">
        <f t="shared" si="951"/>
        <v xml:space="preserve"> </v>
      </c>
      <c r="MN169" s="938" t="str">
        <f t="shared" si="952"/>
        <v xml:space="preserve"> </v>
      </c>
      <c r="MO169" s="938" t="str">
        <f t="shared" si="953"/>
        <v xml:space="preserve"> </v>
      </c>
      <c r="NC169" s="938" t="str">
        <f t="shared" si="954"/>
        <v xml:space="preserve"> </v>
      </c>
      <c r="ND169" s="938" t="str">
        <f t="shared" si="955"/>
        <v xml:space="preserve"> </v>
      </c>
      <c r="NR169" s="938" t="str">
        <f t="shared" si="956"/>
        <v xml:space="preserve"> </v>
      </c>
      <c r="NS169" s="938" t="str">
        <f t="shared" si="957"/>
        <v xml:space="preserve"> </v>
      </c>
      <c r="OG169" s="938" t="str">
        <f t="shared" si="958"/>
        <v xml:space="preserve"> </v>
      </c>
      <c r="OH169" s="938" t="str">
        <f t="shared" si="959"/>
        <v xml:space="preserve"> </v>
      </c>
      <c r="OV169" s="938" t="str">
        <f t="shared" si="960"/>
        <v xml:space="preserve"> </v>
      </c>
      <c r="OW169" s="938" t="str">
        <f t="shared" si="961"/>
        <v xml:space="preserve"> </v>
      </c>
      <c r="PK169" s="938" t="str">
        <f t="shared" si="962"/>
        <v xml:space="preserve"> </v>
      </c>
      <c r="PL169" s="938" t="str">
        <f t="shared" si="963"/>
        <v xml:space="preserve"> </v>
      </c>
      <c r="PZ169" s="938" t="str">
        <f t="shared" si="964"/>
        <v xml:space="preserve"> </v>
      </c>
      <c r="QA169" s="938" t="str">
        <f t="shared" si="965"/>
        <v xml:space="preserve"> </v>
      </c>
      <c r="QO169" s="938" t="str">
        <f t="shared" si="966"/>
        <v xml:space="preserve"> </v>
      </c>
      <c r="QP169" s="938" t="str">
        <f t="shared" si="967"/>
        <v xml:space="preserve"> </v>
      </c>
      <c r="RD169" s="938" t="str">
        <f t="shared" si="968"/>
        <v xml:space="preserve"> </v>
      </c>
      <c r="RE169" s="938" t="str">
        <f t="shared" si="969"/>
        <v xml:space="preserve"> </v>
      </c>
    </row>
    <row r="170" spans="28:473" x14ac:dyDescent="0.2">
      <c r="AB170" s="836" t="str">
        <f t="shared" si="906"/>
        <v/>
      </c>
      <c r="AC170" s="714">
        <f t="shared" si="907"/>
        <v>0</v>
      </c>
      <c r="AD170" s="714">
        <v>3.6000000000000002E-4</v>
      </c>
      <c r="AE170" s="714">
        <v>36</v>
      </c>
      <c r="AF170" t="str">
        <v>GM330</v>
      </c>
      <c r="AG170" s="714">
        <f t="shared" si="908"/>
        <v>0</v>
      </c>
      <c r="AH170" s="714">
        <f t="shared" si="909"/>
        <v>0</v>
      </c>
      <c r="AK170" s="938" t="str">
        <f t="shared" si="910"/>
        <v xml:space="preserve"> </v>
      </c>
      <c r="AL170" s="938" t="str">
        <f t="shared" si="911"/>
        <v xml:space="preserve"> </v>
      </c>
      <c r="AZ170" s="938" t="str">
        <f t="shared" si="912"/>
        <v xml:space="preserve"> </v>
      </c>
      <c r="BA170" s="938" t="str">
        <f t="shared" si="913"/>
        <v xml:space="preserve"> </v>
      </c>
      <c r="BO170" s="938" t="str">
        <f t="shared" si="914"/>
        <v xml:space="preserve"> </v>
      </c>
      <c r="BP170" s="938" t="str">
        <f t="shared" si="915"/>
        <v xml:space="preserve"> </v>
      </c>
      <c r="CD170" s="938" t="str">
        <f t="shared" si="916"/>
        <v xml:space="preserve"> </v>
      </c>
      <c r="CE170" s="938" t="str">
        <f t="shared" si="917"/>
        <v xml:space="preserve"> </v>
      </c>
      <c r="CS170" s="938" t="str">
        <f t="shared" si="918"/>
        <v xml:space="preserve"> </v>
      </c>
      <c r="CT170" s="938" t="str">
        <f t="shared" si="919"/>
        <v xml:space="preserve"> </v>
      </c>
      <c r="DH170" s="938" t="str">
        <f t="shared" si="920"/>
        <v xml:space="preserve"> </v>
      </c>
      <c r="DI170" s="938" t="str">
        <f t="shared" si="921"/>
        <v xml:space="preserve"> </v>
      </c>
      <c r="DW170" s="938" t="str">
        <f t="shared" si="922"/>
        <v xml:space="preserve"> </v>
      </c>
      <c r="DX170" s="938" t="str">
        <f t="shared" si="923"/>
        <v xml:space="preserve"> </v>
      </c>
      <c r="EL170" s="938" t="str">
        <f t="shared" si="924"/>
        <v xml:space="preserve"> </v>
      </c>
      <c r="EM170" s="938" t="str">
        <f t="shared" si="925"/>
        <v xml:space="preserve"> </v>
      </c>
      <c r="FA170" s="938" t="str">
        <f t="shared" si="926"/>
        <v xml:space="preserve"> </v>
      </c>
      <c r="FB170" s="938" t="str">
        <f t="shared" si="927"/>
        <v xml:space="preserve"> </v>
      </c>
      <c r="FP170" s="938" t="str">
        <f t="shared" si="928"/>
        <v xml:space="preserve"> </v>
      </c>
      <c r="FQ170" s="938" t="str">
        <f t="shared" si="929"/>
        <v xml:space="preserve"> </v>
      </c>
      <c r="GE170" s="938" t="str">
        <f t="shared" si="930"/>
        <v xml:space="preserve"> </v>
      </c>
      <c r="GF170" s="938" t="str">
        <f t="shared" si="931"/>
        <v xml:space="preserve"> </v>
      </c>
      <c r="GT170" s="938" t="str">
        <f t="shared" si="932"/>
        <v xml:space="preserve"> </v>
      </c>
      <c r="GU170" s="938" t="str">
        <f t="shared" si="933"/>
        <v xml:space="preserve"> </v>
      </c>
      <c r="HI170" s="938" t="str">
        <f t="shared" si="934"/>
        <v xml:space="preserve"> </v>
      </c>
      <c r="HJ170" s="938" t="str">
        <f t="shared" si="935"/>
        <v xml:space="preserve"> </v>
      </c>
      <c r="HX170" s="938" t="str">
        <f t="shared" si="936"/>
        <v xml:space="preserve"> </v>
      </c>
      <c r="HY170" s="938" t="str">
        <f t="shared" si="937"/>
        <v xml:space="preserve"> </v>
      </c>
      <c r="IM170" s="938" t="str">
        <f t="shared" si="938"/>
        <v xml:space="preserve"> </v>
      </c>
      <c r="IN170" s="938" t="str">
        <f t="shared" si="939"/>
        <v xml:space="preserve"> </v>
      </c>
      <c r="JB170" s="938" t="str">
        <f t="shared" si="940"/>
        <v xml:space="preserve"> </v>
      </c>
      <c r="JC170" s="938" t="str">
        <f t="shared" si="941"/>
        <v xml:space="preserve"> </v>
      </c>
      <c r="JQ170" s="938" t="str">
        <f t="shared" si="942"/>
        <v xml:space="preserve"> </v>
      </c>
      <c r="JR170" s="938" t="str">
        <f t="shared" si="943"/>
        <v xml:space="preserve"> </v>
      </c>
      <c r="KF170" s="938" t="str">
        <f t="shared" si="944"/>
        <v xml:space="preserve"> </v>
      </c>
      <c r="KG170" s="938" t="str">
        <f t="shared" si="945"/>
        <v xml:space="preserve"> </v>
      </c>
      <c r="KU170" s="938" t="str">
        <f t="shared" si="946"/>
        <v xml:space="preserve"> </v>
      </c>
      <c r="KV170" s="938" t="str">
        <f t="shared" si="947"/>
        <v xml:space="preserve"> </v>
      </c>
      <c r="LJ170" s="938" t="str">
        <f t="shared" si="948"/>
        <v xml:space="preserve"> </v>
      </c>
      <c r="LK170" s="938" t="str">
        <f t="shared" si="949"/>
        <v xml:space="preserve"> </v>
      </c>
      <c r="LY170" s="938" t="str">
        <f t="shared" si="950"/>
        <v xml:space="preserve"> </v>
      </c>
      <c r="LZ170" s="938" t="str">
        <f t="shared" si="951"/>
        <v xml:space="preserve"> </v>
      </c>
      <c r="MN170" s="938" t="str">
        <f t="shared" si="952"/>
        <v xml:space="preserve"> </v>
      </c>
      <c r="MO170" s="938" t="str">
        <f t="shared" si="953"/>
        <v xml:space="preserve"> </v>
      </c>
      <c r="NC170" s="938" t="str">
        <f t="shared" si="954"/>
        <v xml:space="preserve"> </v>
      </c>
      <c r="ND170" s="938" t="str">
        <f t="shared" si="955"/>
        <v xml:space="preserve"> </v>
      </c>
      <c r="NR170" s="938" t="str">
        <f t="shared" si="956"/>
        <v xml:space="preserve"> </v>
      </c>
      <c r="NS170" s="938" t="str">
        <f t="shared" si="957"/>
        <v xml:space="preserve"> </v>
      </c>
      <c r="OG170" s="938" t="str">
        <f t="shared" si="958"/>
        <v xml:space="preserve"> </v>
      </c>
      <c r="OH170" s="938" t="str">
        <f t="shared" si="959"/>
        <v xml:space="preserve"> </v>
      </c>
      <c r="OV170" s="938" t="str">
        <f t="shared" si="960"/>
        <v xml:space="preserve"> </v>
      </c>
      <c r="OW170" s="938" t="str">
        <f t="shared" si="961"/>
        <v xml:space="preserve"> </v>
      </c>
      <c r="PK170" s="938" t="str">
        <f t="shared" si="962"/>
        <v xml:space="preserve"> </v>
      </c>
      <c r="PL170" s="938" t="str">
        <f t="shared" si="963"/>
        <v xml:space="preserve"> </v>
      </c>
      <c r="PZ170" s="938" t="str">
        <f t="shared" si="964"/>
        <v xml:space="preserve"> </v>
      </c>
      <c r="QA170" s="938" t="str">
        <f t="shared" si="965"/>
        <v xml:space="preserve"> </v>
      </c>
      <c r="QO170" s="938" t="str">
        <f t="shared" si="966"/>
        <v xml:space="preserve"> </v>
      </c>
      <c r="QP170" s="938" t="str">
        <f t="shared" si="967"/>
        <v xml:space="preserve"> </v>
      </c>
      <c r="RD170" s="938" t="str">
        <f t="shared" si="968"/>
        <v xml:space="preserve"> </v>
      </c>
      <c r="RE170" s="938" t="str">
        <f t="shared" si="969"/>
        <v xml:space="preserve"> </v>
      </c>
    </row>
    <row r="171" spans="28:473" x14ac:dyDescent="0.2">
      <c r="AB171" s="836" t="str">
        <f t="shared" si="906"/>
        <v/>
      </c>
      <c r="AC171" s="714">
        <f t="shared" si="907"/>
        <v>0</v>
      </c>
      <c r="AD171" s="714">
        <v>3.6999999999999999E-4</v>
      </c>
      <c r="AE171" s="714">
        <v>37</v>
      </c>
      <c r="AF171" t="str">
        <v>GM340</v>
      </c>
      <c r="AG171" s="714">
        <f t="shared" si="908"/>
        <v>0</v>
      </c>
      <c r="AH171" s="714">
        <f t="shared" si="909"/>
        <v>0</v>
      </c>
      <c r="AK171" s="938" t="str">
        <f t="shared" si="910"/>
        <v xml:space="preserve"> </v>
      </c>
      <c r="AL171" s="938" t="str">
        <f t="shared" si="911"/>
        <v xml:space="preserve"> </v>
      </c>
      <c r="AZ171" s="938" t="str">
        <f t="shared" si="912"/>
        <v xml:space="preserve"> </v>
      </c>
      <c r="BA171" s="938" t="str">
        <f t="shared" si="913"/>
        <v xml:space="preserve"> </v>
      </c>
      <c r="BO171" s="938" t="str">
        <f t="shared" si="914"/>
        <v xml:space="preserve"> </v>
      </c>
      <c r="BP171" s="938" t="str">
        <f t="shared" si="915"/>
        <v xml:space="preserve"> </v>
      </c>
      <c r="CD171" s="938" t="str">
        <f t="shared" si="916"/>
        <v xml:space="preserve"> </v>
      </c>
      <c r="CE171" s="938" t="str">
        <f t="shared" si="917"/>
        <v xml:space="preserve"> </v>
      </c>
      <c r="CS171" s="938" t="str">
        <f t="shared" si="918"/>
        <v xml:space="preserve"> </v>
      </c>
      <c r="CT171" s="938" t="str">
        <f t="shared" si="919"/>
        <v xml:space="preserve"> </v>
      </c>
      <c r="DH171" s="938" t="str">
        <f t="shared" si="920"/>
        <v xml:space="preserve"> </v>
      </c>
      <c r="DI171" s="938" t="str">
        <f t="shared" si="921"/>
        <v xml:space="preserve"> </v>
      </c>
      <c r="DW171" s="938" t="str">
        <f t="shared" si="922"/>
        <v xml:space="preserve"> </v>
      </c>
      <c r="DX171" s="938" t="str">
        <f t="shared" si="923"/>
        <v xml:space="preserve"> </v>
      </c>
      <c r="EL171" s="938" t="str">
        <f t="shared" si="924"/>
        <v xml:space="preserve"> </v>
      </c>
      <c r="EM171" s="938" t="str">
        <f t="shared" si="925"/>
        <v xml:space="preserve"> </v>
      </c>
      <c r="FA171" s="938" t="str">
        <f t="shared" si="926"/>
        <v xml:space="preserve"> </v>
      </c>
      <c r="FB171" s="938" t="str">
        <f t="shared" si="927"/>
        <v xml:space="preserve"> </v>
      </c>
      <c r="FP171" s="938" t="str">
        <f t="shared" si="928"/>
        <v xml:space="preserve"> </v>
      </c>
      <c r="FQ171" s="938" t="str">
        <f t="shared" si="929"/>
        <v xml:space="preserve"> </v>
      </c>
      <c r="GE171" s="938" t="str">
        <f t="shared" si="930"/>
        <v xml:space="preserve"> </v>
      </c>
      <c r="GF171" s="938" t="str">
        <f t="shared" si="931"/>
        <v xml:space="preserve"> </v>
      </c>
      <c r="GT171" s="938" t="str">
        <f t="shared" si="932"/>
        <v xml:space="preserve"> </v>
      </c>
      <c r="GU171" s="938" t="str">
        <f t="shared" si="933"/>
        <v xml:space="preserve"> </v>
      </c>
      <c r="HI171" s="938" t="str">
        <f t="shared" si="934"/>
        <v xml:space="preserve"> </v>
      </c>
      <c r="HJ171" s="938" t="str">
        <f t="shared" si="935"/>
        <v xml:space="preserve"> </v>
      </c>
      <c r="HX171" s="938" t="str">
        <f t="shared" si="936"/>
        <v xml:space="preserve"> </v>
      </c>
      <c r="HY171" s="938" t="str">
        <f t="shared" si="937"/>
        <v xml:space="preserve"> </v>
      </c>
      <c r="IM171" s="938" t="str">
        <f t="shared" si="938"/>
        <v xml:space="preserve"> </v>
      </c>
      <c r="IN171" s="938" t="str">
        <f t="shared" si="939"/>
        <v xml:space="preserve"> </v>
      </c>
      <c r="JB171" s="938" t="str">
        <f t="shared" si="940"/>
        <v xml:space="preserve"> </v>
      </c>
      <c r="JC171" s="938" t="str">
        <f t="shared" si="941"/>
        <v xml:space="preserve"> </v>
      </c>
      <c r="JQ171" s="938" t="str">
        <f t="shared" si="942"/>
        <v xml:space="preserve"> </v>
      </c>
      <c r="JR171" s="938" t="str">
        <f t="shared" si="943"/>
        <v xml:space="preserve"> </v>
      </c>
      <c r="KF171" s="938" t="str">
        <f t="shared" si="944"/>
        <v xml:space="preserve"> </v>
      </c>
      <c r="KG171" s="938" t="str">
        <f t="shared" si="945"/>
        <v xml:space="preserve"> </v>
      </c>
      <c r="KU171" s="938" t="str">
        <f t="shared" si="946"/>
        <v xml:space="preserve"> </v>
      </c>
      <c r="KV171" s="938" t="str">
        <f t="shared" si="947"/>
        <v xml:space="preserve"> </v>
      </c>
      <c r="LJ171" s="938" t="str">
        <f t="shared" si="948"/>
        <v xml:space="preserve"> </v>
      </c>
      <c r="LK171" s="938" t="str">
        <f t="shared" si="949"/>
        <v xml:space="preserve"> </v>
      </c>
      <c r="LY171" s="938" t="str">
        <f t="shared" si="950"/>
        <v xml:space="preserve"> </v>
      </c>
      <c r="LZ171" s="938" t="str">
        <f t="shared" si="951"/>
        <v xml:space="preserve"> </v>
      </c>
      <c r="MN171" s="938" t="str">
        <f t="shared" si="952"/>
        <v xml:space="preserve"> </v>
      </c>
      <c r="MO171" s="938" t="str">
        <f t="shared" si="953"/>
        <v xml:space="preserve"> </v>
      </c>
      <c r="NC171" s="938" t="str">
        <f t="shared" si="954"/>
        <v xml:space="preserve"> </v>
      </c>
      <c r="ND171" s="938" t="str">
        <f t="shared" si="955"/>
        <v xml:space="preserve"> </v>
      </c>
      <c r="NR171" s="938" t="str">
        <f t="shared" si="956"/>
        <v xml:space="preserve"> </v>
      </c>
      <c r="NS171" s="938" t="str">
        <f t="shared" si="957"/>
        <v xml:space="preserve"> </v>
      </c>
      <c r="OG171" s="938" t="str">
        <f t="shared" si="958"/>
        <v xml:space="preserve"> </v>
      </c>
      <c r="OH171" s="938" t="str">
        <f t="shared" si="959"/>
        <v xml:space="preserve"> </v>
      </c>
      <c r="OV171" s="938" t="str">
        <f t="shared" si="960"/>
        <v xml:space="preserve"> </v>
      </c>
      <c r="OW171" s="938" t="str">
        <f t="shared" si="961"/>
        <v xml:space="preserve"> </v>
      </c>
      <c r="PK171" s="938" t="str">
        <f t="shared" si="962"/>
        <v xml:space="preserve"> </v>
      </c>
      <c r="PL171" s="938" t="str">
        <f t="shared" si="963"/>
        <v xml:space="preserve"> </v>
      </c>
      <c r="PZ171" s="938" t="str">
        <f t="shared" si="964"/>
        <v xml:space="preserve"> </v>
      </c>
      <c r="QA171" s="938" t="str">
        <f t="shared" si="965"/>
        <v xml:space="preserve"> </v>
      </c>
      <c r="QO171" s="938" t="str">
        <f t="shared" si="966"/>
        <v xml:space="preserve"> </v>
      </c>
      <c r="QP171" s="938" t="str">
        <f t="shared" si="967"/>
        <v xml:space="preserve"> </v>
      </c>
      <c r="RD171" s="938" t="str">
        <f t="shared" si="968"/>
        <v xml:space="preserve"> </v>
      </c>
      <c r="RE171" s="938" t="str">
        <f t="shared" si="969"/>
        <v xml:space="preserve"> </v>
      </c>
    </row>
    <row r="172" spans="28:473" x14ac:dyDescent="0.2">
      <c r="AB172" s="836" t="str">
        <f t="shared" si="906"/>
        <v/>
      </c>
      <c r="AC172" s="714">
        <f t="shared" si="907"/>
        <v>0</v>
      </c>
      <c r="AD172" s="714">
        <v>3.8000000000000002E-4</v>
      </c>
      <c r="AE172" s="714">
        <v>38</v>
      </c>
      <c r="AF172" t="str">
        <v>GM350</v>
      </c>
      <c r="AG172" s="714">
        <f t="shared" si="908"/>
        <v>0</v>
      </c>
      <c r="AH172" s="714">
        <f t="shared" si="909"/>
        <v>0</v>
      </c>
      <c r="AK172" s="938" t="str">
        <f t="shared" si="910"/>
        <v xml:space="preserve"> </v>
      </c>
      <c r="AL172" s="938" t="str">
        <f t="shared" si="911"/>
        <v xml:space="preserve"> </v>
      </c>
      <c r="AZ172" s="938" t="str">
        <f t="shared" si="912"/>
        <v xml:space="preserve"> </v>
      </c>
      <c r="BA172" s="938" t="str">
        <f t="shared" si="913"/>
        <v xml:space="preserve"> </v>
      </c>
      <c r="BO172" s="938" t="str">
        <f t="shared" si="914"/>
        <v xml:space="preserve"> </v>
      </c>
      <c r="BP172" s="938" t="str">
        <f t="shared" si="915"/>
        <v xml:space="preserve"> </v>
      </c>
      <c r="CD172" s="938" t="str">
        <f t="shared" si="916"/>
        <v xml:space="preserve"> </v>
      </c>
      <c r="CE172" s="938" t="str">
        <f t="shared" si="917"/>
        <v xml:space="preserve"> </v>
      </c>
      <c r="CS172" s="938" t="str">
        <f t="shared" si="918"/>
        <v xml:space="preserve"> </v>
      </c>
      <c r="CT172" s="938" t="str">
        <f t="shared" si="919"/>
        <v xml:space="preserve"> </v>
      </c>
      <c r="DH172" s="938" t="str">
        <f t="shared" si="920"/>
        <v xml:space="preserve"> </v>
      </c>
      <c r="DI172" s="938" t="str">
        <f t="shared" si="921"/>
        <v xml:space="preserve"> </v>
      </c>
      <c r="DW172" s="938" t="str">
        <f t="shared" si="922"/>
        <v xml:space="preserve"> </v>
      </c>
      <c r="DX172" s="938" t="str">
        <f t="shared" si="923"/>
        <v xml:space="preserve"> </v>
      </c>
      <c r="EL172" s="938" t="str">
        <f t="shared" si="924"/>
        <v xml:space="preserve"> </v>
      </c>
      <c r="EM172" s="938" t="str">
        <f t="shared" si="925"/>
        <v xml:space="preserve"> </v>
      </c>
      <c r="FA172" s="938" t="str">
        <f t="shared" si="926"/>
        <v xml:space="preserve"> </v>
      </c>
      <c r="FB172" s="938" t="str">
        <f t="shared" si="927"/>
        <v xml:space="preserve"> </v>
      </c>
      <c r="FP172" s="938" t="str">
        <f t="shared" si="928"/>
        <v xml:space="preserve"> </v>
      </c>
      <c r="FQ172" s="938" t="str">
        <f t="shared" si="929"/>
        <v xml:space="preserve"> </v>
      </c>
      <c r="GE172" s="938" t="str">
        <f t="shared" si="930"/>
        <v xml:space="preserve"> </v>
      </c>
      <c r="GF172" s="938" t="str">
        <f t="shared" si="931"/>
        <v xml:space="preserve"> </v>
      </c>
      <c r="GT172" s="938" t="str">
        <f t="shared" si="932"/>
        <v xml:space="preserve"> </v>
      </c>
      <c r="GU172" s="938" t="str">
        <f t="shared" si="933"/>
        <v xml:space="preserve"> </v>
      </c>
      <c r="HI172" s="938" t="str">
        <f t="shared" si="934"/>
        <v xml:space="preserve"> </v>
      </c>
      <c r="HJ172" s="938" t="str">
        <f t="shared" si="935"/>
        <v xml:space="preserve"> </v>
      </c>
      <c r="HX172" s="938" t="str">
        <f t="shared" si="936"/>
        <v xml:space="preserve"> </v>
      </c>
      <c r="HY172" s="938" t="str">
        <f t="shared" si="937"/>
        <v xml:space="preserve"> </v>
      </c>
      <c r="IM172" s="938" t="str">
        <f t="shared" si="938"/>
        <v xml:space="preserve"> </v>
      </c>
      <c r="IN172" s="938" t="str">
        <f t="shared" si="939"/>
        <v xml:space="preserve"> </v>
      </c>
      <c r="JB172" s="938" t="str">
        <f t="shared" si="940"/>
        <v xml:space="preserve"> </v>
      </c>
      <c r="JC172" s="938" t="str">
        <f t="shared" si="941"/>
        <v xml:space="preserve"> </v>
      </c>
      <c r="JQ172" s="938" t="str">
        <f t="shared" si="942"/>
        <v xml:space="preserve"> </v>
      </c>
      <c r="JR172" s="938" t="str">
        <f t="shared" si="943"/>
        <v xml:space="preserve"> </v>
      </c>
      <c r="KF172" s="938" t="str">
        <f t="shared" si="944"/>
        <v xml:space="preserve"> </v>
      </c>
      <c r="KG172" s="938" t="str">
        <f t="shared" si="945"/>
        <v xml:space="preserve"> </v>
      </c>
      <c r="KU172" s="938" t="str">
        <f t="shared" si="946"/>
        <v xml:space="preserve"> </v>
      </c>
      <c r="KV172" s="938" t="str">
        <f t="shared" si="947"/>
        <v xml:space="preserve"> </v>
      </c>
      <c r="LJ172" s="938" t="str">
        <f t="shared" si="948"/>
        <v xml:space="preserve"> </v>
      </c>
      <c r="LK172" s="938" t="str">
        <f t="shared" si="949"/>
        <v xml:space="preserve"> </v>
      </c>
      <c r="LY172" s="938" t="str">
        <f t="shared" si="950"/>
        <v xml:space="preserve"> </v>
      </c>
      <c r="LZ172" s="938" t="str">
        <f t="shared" si="951"/>
        <v xml:space="preserve"> </v>
      </c>
      <c r="MN172" s="938" t="str">
        <f t="shared" si="952"/>
        <v xml:space="preserve"> </v>
      </c>
      <c r="MO172" s="938" t="str">
        <f t="shared" si="953"/>
        <v xml:space="preserve"> </v>
      </c>
      <c r="NC172" s="938" t="str">
        <f t="shared" si="954"/>
        <v xml:space="preserve"> </v>
      </c>
      <c r="ND172" s="938" t="str">
        <f t="shared" si="955"/>
        <v xml:space="preserve"> </v>
      </c>
      <c r="NR172" s="938" t="str">
        <f t="shared" si="956"/>
        <v xml:space="preserve"> </v>
      </c>
      <c r="NS172" s="938" t="str">
        <f t="shared" si="957"/>
        <v xml:space="preserve"> </v>
      </c>
      <c r="OG172" s="938" t="str">
        <f t="shared" si="958"/>
        <v xml:space="preserve"> </v>
      </c>
      <c r="OH172" s="938" t="str">
        <f t="shared" si="959"/>
        <v xml:space="preserve"> </v>
      </c>
      <c r="OV172" s="938" t="str">
        <f t="shared" si="960"/>
        <v xml:space="preserve"> </v>
      </c>
      <c r="OW172" s="938" t="str">
        <f t="shared" si="961"/>
        <v xml:space="preserve"> </v>
      </c>
      <c r="PK172" s="938" t="str">
        <f t="shared" si="962"/>
        <v xml:space="preserve"> </v>
      </c>
      <c r="PL172" s="938" t="str">
        <f t="shared" si="963"/>
        <v xml:space="preserve"> </v>
      </c>
      <c r="PZ172" s="938" t="str">
        <f t="shared" si="964"/>
        <v xml:space="preserve"> </v>
      </c>
      <c r="QA172" s="938" t="str">
        <f t="shared" si="965"/>
        <v xml:space="preserve"> </v>
      </c>
      <c r="QO172" s="938" t="str">
        <f t="shared" si="966"/>
        <v xml:space="preserve"> </v>
      </c>
      <c r="QP172" s="938" t="str">
        <f t="shared" si="967"/>
        <v xml:space="preserve"> </v>
      </c>
      <c r="RD172" s="938" t="str">
        <f t="shared" si="968"/>
        <v xml:space="preserve"> </v>
      </c>
      <c r="RE172" s="938" t="str">
        <f t="shared" si="969"/>
        <v xml:space="preserve"> </v>
      </c>
    </row>
    <row r="173" spans="28:473" x14ac:dyDescent="0.2">
      <c r="AB173" s="836" t="str">
        <f t="shared" si="906"/>
        <v/>
      </c>
      <c r="AC173" s="714">
        <f t="shared" si="907"/>
        <v>0</v>
      </c>
      <c r="AD173" s="714">
        <v>3.8999999999999999E-4</v>
      </c>
      <c r="AE173" s="714">
        <v>39</v>
      </c>
      <c r="AF173" t="str">
        <v>GM360</v>
      </c>
      <c r="AG173" s="714">
        <f t="shared" si="908"/>
        <v>0</v>
      </c>
      <c r="AH173" s="714">
        <f t="shared" si="909"/>
        <v>0</v>
      </c>
      <c r="AK173" s="938" t="str">
        <f t="shared" si="910"/>
        <v xml:space="preserve"> </v>
      </c>
      <c r="AL173" s="938" t="str">
        <f t="shared" si="911"/>
        <v xml:space="preserve"> </v>
      </c>
      <c r="AZ173" s="938" t="str">
        <f t="shared" si="912"/>
        <v xml:space="preserve"> </v>
      </c>
      <c r="BA173" s="938" t="str">
        <f t="shared" si="913"/>
        <v xml:space="preserve"> </v>
      </c>
      <c r="BO173" s="938" t="str">
        <f t="shared" si="914"/>
        <v xml:space="preserve"> </v>
      </c>
      <c r="BP173" s="938" t="str">
        <f t="shared" si="915"/>
        <v xml:space="preserve"> </v>
      </c>
      <c r="CD173" s="938" t="str">
        <f t="shared" si="916"/>
        <v xml:space="preserve"> </v>
      </c>
      <c r="CE173" s="938" t="str">
        <f t="shared" si="917"/>
        <v xml:space="preserve"> </v>
      </c>
      <c r="CS173" s="938" t="str">
        <f t="shared" si="918"/>
        <v xml:space="preserve"> </v>
      </c>
      <c r="CT173" s="938" t="str">
        <f t="shared" si="919"/>
        <v xml:space="preserve"> </v>
      </c>
      <c r="DH173" s="938" t="str">
        <f t="shared" si="920"/>
        <v xml:space="preserve"> </v>
      </c>
      <c r="DI173" s="938" t="str">
        <f t="shared" si="921"/>
        <v xml:space="preserve"> </v>
      </c>
      <c r="DW173" s="938" t="str">
        <f t="shared" si="922"/>
        <v xml:space="preserve"> </v>
      </c>
      <c r="DX173" s="938" t="str">
        <f t="shared" si="923"/>
        <v xml:space="preserve"> </v>
      </c>
      <c r="EL173" s="938" t="str">
        <f t="shared" si="924"/>
        <v xml:space="preserve"> </v>
      </c>
      <c r="EM173" s="938" t="str">
        <f t="shared" si="925"/>
        <v xml:space="preserve"> </v>
      </c>
      <c r="FA173" s="938" t="str">
        <f t="shared" si="926"/>
        <v xml:space="preserve"> </v>
      </c>
      <c r="FB173" s="938" t="str">
        <f t="shared" si="927"/>
        <v xml:space="preserve"> </v>
      </c>
      <c r="FP173" s="938" t="str">
        <f t="shared" si="928"/>
        <v xml:space="preserve"> </v>
      </c>
      <c r="FQ173" s="938" t="str">
        <f t="shared" si="929"/>
        <v xml:space="preserve"> </v>
      </c>
      <c r="GE173" s="938" t="str">
        <f t="shared" si="930"/>
        <v xml:space="preserve"> </v>
      </c>
      <c r="GF173" s="938" t="str">
        <f t="shared" si="931"/>
        <v xml:space="preserve"> </v>
      </c>
      <c r="GT173" s="938" t="str">
        <f t="shared" si="932"/>
        <v xml:space="preserve"> </v>
      </c>
      <c r="GU173" s="938" t="str">
        <f t="shared" si="933"/>
        <v xml:space="preserve"> </v>
      </c>
      <c r="HI173" s="938" t="str">
        <f t="shared" si="934"/>
        <v xml:space="preserve"> </v>
      </c>
      <c r="HJ173" s="938" t="str">
        <f t="shared" si="935"/>
        <v xml:space="preserve"> </v>
      </c>
      <c r="HX173" s="938" t="str">
        <f t="shared" si="936"/>
        <v xml:space="preserve"> </v>
      </c>
      <c r="HY173" s="938" t="str">
        <f t="shared" si="937"/>
        <v xml:space="preserve"> </v>
      </c>
      <c r="IM173" s="938" t="str">
        <f t="shared" si="938"/>
        <v xml:space="preserve"> </v>
      </c>
      <c r="IN173" s="938" t="str">
        <f t="shared" si="939"/>
        <v xml:space="preserve"> </v>
      </c>
      <c r="JB173" s="938" t="str">
        <f t="shared" si="940"/>
        <v xml:space="preserve"> </v>
      </c>
      <c r="JC173" s="938" t="str">
        <f t="shared" si="941"/>
        <v xml:space="preserve"> </v>
      </c>
      <c r="JQ173" s="938" t="str">
        <f t="shared" si="942"/>
        <v xml:space="preserve"> </v>
      </c>
      <c r="JR173" s="938" t="str">
        <f t="shared" si="943"/>
        <v xml:space="preserve"> </v>
      </c>
      <c r="KF173" s="938" t="str">
        <f t="shared" si="944"/>
        <v xml:space="preserve"> </v>
      </c>
      <c r="KG173" s="938" t="str">
        <f t="shared" si="945"/>
        <v xml:space="preserve"> </v>
      </c>
      <c r="KU173" s="938" t="str">
        <f t="shared" si="946"/>
        <v xml:space="preserve"> </v>
      </c>
      <c r="KV173" s="938" t="str">
        <f t="shared" si="947"/>
        <v xml:space="preserve"> </v>
      </c>
      <c r="LJ173" s="938" t="str">
        <f t="shared" si="948"/>
        <v xml:space="preserve"> </v>
      </c>
      <c r="LK173" s="938" t="str">
        <f t="shared" si="949"/>
        <v xml:space="preserve"> </v>
      </c>
      <c r="LY173" s="938" t="str">
        <f t="shared" si="950"/>
        <v xml:space="preserve"> </v>
      </c>
      <c r="LZ173" s="938" t="str">
        <f t="shared" si="951"/>
        <v xml:space="preserve"> </v>
      </c>
      <c r="MN173" s="938" t="str">
        <f t="shared" si="952"/>
        <v xml:space="preserve"> </v>
      </c>
      <c r="MO173" s="938" t="str">
        <f t="shared" si="953"/>
        <v xml:space="preserve"> </v>
      </c>
      <c r="NC173" s="938" t="str">
        <f t="shared" si="954"/>
        <v xml:space="preserve"> </v>
      </c>
      <c r="ND173" s="938" t="str">
        <f t="shared" si="955"/>
        <v xml:space="preserve"> </v>
      </c>
      <c r="NR173" s="938" t="str">
        <f t="shared" si="956"/>
        <v xml:space="preserve"> </v>
      </c>
      <c r="NS173" s="938" t="str">
        <f t="shared" si="957"/>
        <v xml:space="preserve"> </v>
      </c>
      <c r="OG173" s="938" t="str">
        <f t="shared" si="958"/>
        <v xml:space="preserve"> </v>
      </c>
      <c r="OH173" s="938" t="str">
        <f t="shared" si="959"/>
        <v xml:space="preserve"> </v>
      </c>
      <c r="OV173" s="938" t="str">
        <f t="shared" si="960"/>
        <v xml:space="preserve"> </v>
      </c>
      <c r="OW173" s="938" t="str">
        <f t="shared" si="961"/>
        <v xml:space="preserve"> </v>
      </c>
      <c r="PK173" s="938" t="str">
        <f t="shared" si="962"/>
        <v xml:space="preserve"> </v>
      </c>
      <c r="PL173" s="938" t="str">
        <f t="shared" si="963"/>
        <v xml:space="preserve"> </v>
      </c>
      <c r="PZ173" s="938" t="str">
        <f t="shared" si="964"/>
        <v xml:space="preserve"> </v>
      </c>
      <c r="QA173" s="938" t="str">
        <f t="shared" si="965"/>
        <v xml:space="preserve"> </v>
      </c>
      <c r="QO173" s="938" t="str">
        <f t="shared" si="966"/>
        <v xml:space="preserve"> </v>
      </c>
      <c r="QP173" s="938" t="str">
        <f t="shared" si="967"/>
        <v xml:space="preserve"> </v>
      </c>
      <c r="RD173" s="938" t="str">
        <f t="shared" si="968"/>
        <v xml:space="preserve"> </v>
      </c>
      <c r="RE173" s="938" t="str">
        <f t="shared" si="969"/>
        <v xml:space="preserve"> </v>
      </c>
    </row>
    <row r="174" spans="28:473" x14ac:dyDescent="0.2">
      <c r="AB174" s="836" t="str">
        <f t="shared" si="906"/>
        <v/>
      </c>
      <c r="AC174" s="714">
        <f t="shared" si="907"/>
        <v>0</v>
      </c>
      <c r="AD174" s="714">
        <v>4.0000000000000002E-4</v>
      </c>
      <c r="AE174" s="714">
        <v>40</v>
      </c>
      <c r="AF174" t="str">
        <v xml:space="preserve"> +s.Tier+</v>
      </c>
      <c r="AG174" s="714">
        <f t="shared" si="908"/>
        <v>0</v>
      </c>
      <c r="AH174" s="714">
        <f t="shared" si="909"/>
        <v>0</v>
      </c>
      <c r="AK174" s="938" t="str">
        <f t="shared" si="910"/>
        <v xml:space="preserve"> </v>
      </c>
      <c r="AL174" s="938" t="str">
        <f t="shared" si="911"/>
        <v xml:space="preserve"> </v>
      </c>
      <c r="AZ174" s="938" t="str">
        <f t="shared" si="912"/>
        <v xml:space="preserve"> </v>
      </c>
      <c r="BA174" s="938" t="str">
        <f t="shared" si="913"/>
        <v xml:space="preserve"> </v>
      </c>
      <c r="BO174" s="938" t="str">
        <f t="shared" si="914"/>
        <v xml:space="preserve"> </v>
      </c>
      <c r="BP174" s="938" t="str">
        <f t="shared" si="915"/>
        <v xml:space="preserve"> </v>
      </c>
      <c r="CD174" s="938" t="str">
        <f t="shared" si="916"/>
        <v xml:space="preserve"> </v>
      </c>
      <c r="CE174" s="938" t="str">
        <f t="shared" si="917"/>
        <v xml:space="preserve"> </v>
      </c>
      <c r="CS174" s="938" t="str">
        <f t="shared" si="918"/>
        <v xml:space="preserve"> </v>
      </c>
      <c r="CT174" s="938" t="str">
        <f t="shared" si="919"/>
        <v xml:space="preserve"> </v>
      </c>
      <c r="DH174" s="938" t="str">
        <f t="shared" si="920"/>
        <v xml:space="preserve"> </v>
      </c>
      <c r="DI174" s="938" t="str">
        <f t="shared" si="921"/>
        <v xml:space="preserve"> </v>
      </c>
      <c r="DW174" s="938" t="str">
        <f t="shared" si="922"/>
        <v xml:space="preserve"> </v>
      </c>
      <c r="DX174" s="938" t="str">
        <f t="shared" si="923"/>
        <v xml:space="preserve"> </v>
      </c>
      <c r="EL174" s="938" t="str">
        <f t="shared" si="924"/>
        <v xml:space="preserve"> </v>
      </c>
      <c r="EM174" s="938" t="str">
        <f t="shared" si="925"/>
        <v xml:space="preserve"> </v>
      </c>
      <c r="FA174" s="938" t="str">
        <f t="shared" si="926"/>
        <v xml:space="preserve"> </v>
      </c>
      <c r="FB174" s="938" t="str">
        <f t="shared" si="927"/>
        <v xml:space="preserve"> </v>
      </c>
      <c r="FP174" s="938" t="str">
        <f t="shared" si="928"/>
        <v xml:space="preserve"> </v>
      </c>
      <c r="FQ174" s="938" t="str">
        <f t="shared" si="929"/>
        <v xml:space="preserve"> </v>
      </c>
      <c r="GE174" s="938" t="str">
        <f t="shared" si="930"/>
        <v xml:space="preserve"> </v>
      </c>
      <c r="GF174" s="938" t="str">
        <f t="shared" si="931"/>
        <v xml:space="preserve"> </v>
      </c>
      <c r="GT174" s="938" t="str">
        <f t="shared" si="932"/>
        <v xml:space="preserve"> </v>
      </c>
      <c r="GU174" s="938" t="str">
        <f t="shared" si="933"/>
        <v xml:space="preserve"> </v>
      </c>
      <c r="HI174" s="938" t="str">
        <f t="shared" si="934"/>
        <v xml:space="preserve"> </v>
      </c>
      <c r="HJ174" s="938" t="str">
        <f t="shared" si="935"/>
        <v xml:space="preserve"> </v>
      </c>
      <c r="HX174" s="938" t="str">
        <f t="shared" si="936"/>
        <v xml:space="preserve"> </v>
      </c>
      <c r="HY174" s="938" t="str">
        <f t="shared" si="937"/>
        <v xml:space="preserve"> </v>
      </c>
      <c r="IM174" s="938" t="str">
        <f t="shared" si="938"/>
        <v xml:space="preserve"> </v>
      </c>
      <c r="IN174" s="938" t="str">
        <f t="shared" si="939"/>
        <v xml:space="preserve"> </v>
      </c>
      <c r="JB174" s="938" t="str">
        <f t="shared" si="940"/>
        <v xml:space="preserve"> </v>
      </c>
      <c r="JC174" s="938" t="str">
        <f t="shared" si="941"/>
        <v xml:space="preserve"> </v>
      </c>
      <c r="JQ174" s="938" t="str">
        <f t="shared" si="942"/>
        <v xml:space="preserve"> </v>
      </c>
      <c r="JR174" s="938" t="str">
        <f t="shared" si="943"/>
        <v xml:space="preserve"> </v>
      </c>
      <c r="KF174" s="938" t="str">
        <f t="shared" si="944"/>
        <v xml:space="preserve"> </v>
      </c>
      <c r="KG174" s="938" t="str">
        <f t="shared" si="945"/>
        <v xml:space="preserve"> </v>
      </c>
      <c r="KU174" s="938" t="str">
        <f t="shared" si="946"/>
        <v xml:space="preserve"> </v>
      </c>
      <c r="KV174" s="938" t="str">
        <f t="shared" si="947"/>
        <v xml:space="preserve"> </v>
      </c>
      <c r="LJ174" s="938" t="str">
        <f t="shared" si="948"/>
        <v xml:space="preserve"> </v>
      </c>
      <c r="LK174" s="938" t="str">
        <f t="shared" si="949"/>
        <v xml:space="preserve"> </v>
      </c>
      <c r="LY174" s="938" t="str">
        <f t="shared" si="950"/>
        <v xml:space="preserve"> </v>
      </c>
      <c r="LZ174" s="938" t="str">
        <f t="shared" si="951"/>
        <v xml:space="preserve"> </v>
      </c>
      <c r="MN174" s="938" t="str">
        <f t="shared" si="952"/>
        <v xml:space="preserve"> </v>
      </c>
      <c r="MO174" s="938" t="str">
        <f t="shared" si="953"/>
        <v xml:space="preserve"> </v>
      </c>
      <c r="NC174" s="938" t="str">
        <f t="shared" si="954"/>
        <v xml:space="preserve"> </v>
      </c>
      <c r="ND174" s="938" t="str">
        <f t="shared" si="955"/>
        <v xml:space="preserve"> </v>
      </c>
      <c r="NR174" s="938" t="str">
        <f t="shared" si="956"/>
        <v xml:space="preserve"> </v>
      </c>
      <c r="NS174" s="938" t="str">
        <f t="shared" si="957"/>
        <v xml:space="preserve"> </v>
      </c>
      <c r="OG174" s="938" t="str">
        <f t="shared" si="958"/>
        <v xml:space="preserve"> </v>
      </c>
      <c r="OH174" s="938" t="str">
        <f t="shared" si="959"/>
        <v xml:space="preserve"> </v>
      </c>
      <c r="OV174" s="938" t="str">
        <f t="shared" si="960"/>
        <v xml:space="preserve"> </v>
      </c>
      <c r="OW174" s="938" t="str">
        <f t="shared" si="961"/>
        <v xml:space="preserve"> </v>
      </c>
      <c r="PK174" s="938" t="str">
        <f t="shared" si="962"/>
        <v xml:space="preserve"> </v>
      </c>
      <c r="PL174" s="938" t="str">
        <f t="shared" si="963"/>
        <v xml:space="preserve"> </v>
      </c>
      <c r="PZ174" s="938" t="str">
        <f t="shared" si="964"/>
        <v xml:space="preserve"> </v>
      </c>
      <c r="QA174" s="938" t="str">
        <f t="shared" si="965"/>
        <v xml:space="preserve"> </v>
      </c>
      <c r="QO174" s="938" t="str">
        <f t="shared" si="966"/>
        <v xml:space="preserve"> </v>
      </c>
      <c r="QP174" s="938" t="str">
        <f t="shared" si="967"/>
        <v xml:space="preserve"> </v>
      </c>
      <c r="RD174" s="938" t="str">
        <f t="shared" si="968"/>
        <v xml:space="preserve"> </v>
      </c>
      <c r="RE174" s="938" t="str">
        <f t="shared" si="969"/>
        <v xml:space="preserve"> </v>
      </c>
    </row>
    <row r="175" spans="28:473" x14ac:dyDescent="0.2">
      <c r="AB175" s="836" t="str">
        <f t="shared" si="906"/>
        <v/>
      </c>
      <c r="AC175" s="714">
        <f t="shared" si="907"/>
        <v>0</v>
      </c>
      <c r="AD175" s="714">
        <v>4.0999999999999999E-4</v>
      </c>
      <c r="AE175" s="714">
        <v>41</v>
      </c>
      <c r="AF175" t="str">
        <v>AM410</v>
      </c>
      <c r="AG175" s="714">
        <f t="shared" si="908"/>
        <v>0</v>
      </c>
      <c r="AH175" s="714">
        <f t="shared" si="909"/>
        <v>0</v>
      </c>
      <c r="AK175" s="938" t="str">
        <f t="shared" si="910"/>
        <v xml:space="preserve"> </v>
      </c>
      <c r="AL175" s="938" t="str">
        <f t="shared" si="911"/>
        <v xml:space="preserve"> </v>
      </c>
      <c r="AZ175" s="938" t="str">
        <f t="shared" si="912"/>
        <v xml:space="preserve"> </v>
      </c>
      <c r="BA175" s="938" t="str">
        <f t="shared" si="913"/>
        <v xml:space="preserve"> </v>
      </c>
      <c r="BO175" s="938" t="str">
        <f t="shared" si="914"/>
        <v xml:space="preserve"> </v>
      </c>
      <c r="BP175" s="938" t="str">
        <f t="shared" si="915"/>
        <v xml:space="preserve"> </v>
      </c>
      <c r="CD175" s="938" t="str">
        <f t="shared" si="916"/>
        <v xml:space="preserve"> </v>
      </c>
      <c r="CE175" s="938" t="str">
        <f t="shared" si="917"/>
        <v xml:space="preserve"> </v>
      </c>
      <c r="CS175" s="938" t="str">
        <f t="shared" si="918"/>
        <v xml:space="preserve"> </v>
      </c>
      <c r="CT175" s="938" t="str">
        <f t="shared" si="919"/>
        <v xml:space="preserve"> </v>
      </c>
      <c r="DH175" s="938" t="str">
        <f t="shared" si="920"/>
        <v xml:space="preserve"> </v>
      </c>
      <c r="DI175" s="938" t="str">
        <f t="shared" si="921"/>
        <v xml:space="preserve"> </v>
      </c>
      <c r="DW175" s="938" t="str">
        <f t="shared" si="922"/>
        <v xml:space="preserve"> </v>
      </c>
      <c r="DX175" s="938" t="str">
        <f t="shared" si="923"/>
        <v xml:space="preserve"> </v>
      </c>
      <c r="EL175" s="938" t="str">
        <f t="shared" si="924"/>
        <v xml:space="preserve"> </v>
      </c>
      <c r="EM175" s="938" t="str">
        <f t="shared" si="925"/>
        <v xml:space="preserve"> </v>
      </c>
      <c r="FA175" s="938" t="str">
        <f t="shared" si="926"/>
        <v xml:space="preserve"> </v>
      </c>
      <c r="FB175" s="938" t="str">
        <f t="shared" si="927"/>
        <v xml:space="preserve"> </v>
      </c>
      <c r="FP175" s="938" t="str">
        <f t="shared" si="928"/>
        <v xml:space="preserve"> </v>
      </c>
      <c r="FQ175" s="938" t="str">
        <f t="shared" si="929"/>
        <v xml:space="preserve"> </v>
      </c>
      <c r="GE175" s="938" t="str">
        <f t="shared" si="930"/>
        <v xml:space="preserve"> </v>
      </c>
      <c r="GF175" s="938" t="str">
        <f t="shared" si="931"/>
        <v xml:space="preserve"> </v>
      </c>
      <c r="GT175" s="938" t="str">
        <f t="shared" si="932"/>
        <v xml:space="preserve"> </v>
      </c>
      <c r="GU175" s="938" t="str">
        <f t="shared" si="933"/>
        <v xml:space="preserve"> </v>
      </c>
      <c r="HI175" s="938" t="str">
        <f t="shared" si="934"/>
        <v xml:space="preserve"> </v>
      </c>
      <c r="HJ175" s="938" t="str">
        <f t="shared" si="935"/>
        <v xml:space="preserve"> </v>
      </c>
      <c r="HX175" s="938" t="str">
        <f t="shared" si="936"/>
        <v xml:space="preserve"> </v>
      </c>
      <c r="HY175" s="938" t="str">
        <f t="shared" si="937"/>
        <v xml:space="preserve"> </v>
      </c>
      <c r="IM175" s="938" t="str">
        <f t="shared" si="938"/>
        <v xml:space="preserve"> </v>
      </c>
      <c r="IN175" s="938" t="str">
        <f t="shared" si="939"/>
        <v xml:space="preserve"> </v>
      </c>
      <c r="JB175" s="938" t="str">
        <f t="shared" si="940"/>
        <v xml:space="preserve"> </v>
      </c>
      <c r="JC175" s="938" t="str">
        <f t="shared" si="941"/>
        <v xml:space="preserve"> </v>
      </c>
      <c r="JQ175" s="938" t="str">
        <f t="shared" si="942"/>
        <v xml:space="preserve"> </v>
      </c>
      <c r="JR175" s="938" t="str">
        <f t="shared" si="943"/>
        <v xml:space="preserve"> </v>
      </c>
      <c r="KF175" s="938" t="str">
        <f t="shared" si="944"/>
        <v xml:space="preserve"> </v>
      </c>
      <c r="KG175" s="938" t="str">
        <f t="shared" si="945"/>
        <v xml:space="preserve"> </v>
      </c>
      <c r="KU175" s="938" t="str">
        <f t="shared" si="946"/>
        <v xml:space="preserve"> </v>
      </c>
      <c r="KV175" s="938" t="str">
        <f t="shared" si="947"/>
        <v xml:space="preserve"> </v>
      </c>
      <c r="LJ175" s="938" t="str">
        <f t="shared" si="948"/>
        <v xml:space="preserve"> </v>
      </c>
      <c r="LK175" s="938" t="str">
        <f t="shared" si="949"/>
        <v xml:space="preserve"> </v>
      </c>
      <c r="LY175" s="938" t="str">
        <f t="shared" si="950"/>
        <v xml:space="preserve"> </v>
      </c>
      <c r="LZ175" s="938" t="str">
        <f t="shared" si="951"/>
        <v xml:space="preserve"> </v>
      </c>
      <c r="MN175" s="938" t="str">
        <f t="shared" si="952"/>
        <v xml:space="preserve"> </v>
      </c>
      <c r="MO175" s="938" t="str">
        <f t="shared" si="953"/>
        <v xml:space="preserve"> </v>
      </c>
      <c r="NC175" s="938" t="str">
        <f t="shared" si="954"/>
        <v xml:space="preserve"> </v>
      </c>
      <c r="ND175" s="938" t="str">
        <f t="shared" si="955"/>
        <v xml:space="preserve"> </v>
      </c>
      <c r="NR175" s="938" t="str">
        <f t="shared" si="956"/>
        <v xml:space="preserve"> </v>
      </c>
      <c r="NS175" s="938" t="str">
        <f t="shared" si="957"/>
        <v xml:space="preserve"> </v>
      </c>
      <c r="OG175" s="938" t="str">
        <f t="shared" si="958"/>
        <v xml:space="preserve"> </v>
      </c>
      <c r="OH175" s="938" t="str">
        <f t="shared" si="959"/>
        <v xml:space="preserve"> </v>
      </c>
      <c r="OV175" s="938" t="str">
        <f t="shared" si="960"/>
        <v xml:space="preserve"> </v>
      </c>
      <c r="OW175" s="938" t="str">
        <f t="shared" si="961"/>
        <v xml:space="preserve"> </v>
      </c>
      <c r="PK175" s="938" t="str">
        <f t="shared" si="962"/>
        <v xml:space="preserve"> </v>
      </c>
      <c r="PL175" s="938" t="str">
        <f t="shared" si="963"/>
        <v xml:space="preserve"> </v>
      </c>
      <c r="PZ175" s="938" t="str">
        <f t="shared" si="964"/>
        <v xml:space="preserve"> </v>
      </c>
      <c r="QA175" s="938" t="str">
        <f t="shared" si="965"/>
        <v xml:space="preserve"> </v>
      </c>
      <c r="QO175" s="938" t="str">
        <f t="shared" si="966"/>
        <v xml:space="preserve"> </v>
      </c>
      <c r="QP175" s="938" t="str">
        <f t="shared" si="967"/>
        <v xml:space="preserve"> </v>
      </c>
      <c r="RD175" s="938" t="str">
        <f t="shared" si="968"/>
        <v xml:space="preserve"> </v>
      </c>
      <c r="RE175" s="938" t="str">
        <f t="shared" si="969"/>
        <v xml:space="preserve"> </v>
      </c>
    </row>
    <row r="176" spans="28:473" x14ac:dyDescent="0.2">
      <c r="AB176" s="836" t="str">
        <f t="shared" si="906"/>
        <v/>
      </c>
      <c r="AC176" s="714">
        <f t="shared" si="907"/>
        <v>0</v>
      </c>
      <c r="AD176" s="714">
        <v>4.2000000000000002E-4</v>
      </c>
      <c r="AE176" s="714">
        <v>42</v>
      </c>
      <c r="AF176" t="str">
        <v>AM420</v>
      </c>
      <c r="AG176" s="714">
        <f t="shared" si="908"/>
        <v>0</v>
      </c>
      <c r="AH176" s="714">
        <f t="shared" si="909"/>
        <v>0</v>
      </c>
      <c r="AK176" s="938" t="str">
        <f t="shared" si="910"/>
        <v xml:space="preserve"> </v>
      </c>
      <c r="AL176" s="938" t="str">
        <f t="shared" si="911"/>
        <v xml:space="preserve"> </v>
      </c>
      <c r="AZ176" s="938" t="str">
        <f t="shared" si="912"/>
        <v xml:space="preserve"> </v>
      </c>
      <c r="BA176" s="938" t="str">
        <f t="shared" si="913"/>
        <v xml:space="preserve"> </v>
      </c>
      <c r="BO176" s="938" t="str">
        <f t="shared" si="914"/>
        <v xml:space="preserve"> </v>
      </c>
      <c r="BP176" s="938" t="str">
        <f t="shared" si="915"/>
        <v xml:space="preserve"> </v>
      </c>
      <c r="CD176" s="938" t="str">
        <f t="shared" si="916"/>
        <v xml:space="preserve"> </v>
      </c>
      <c r="CE176" s="938" t="str">
        <f t="shared" si="917"/>
        <v xml:space="preserve"> </v>
      </c>
      <c r="CS176" s="938" t="str">
        <f t="shared" si="918"/>
        <v xml:space="preserve"> </v>
      </c>
      <c r="CT176" s="938" t="str">
        <f t="shared" si="919"/>
        <v xml:space="preserve"> </v>
      </c>
      <c r="DH176" s="938" t="str">
        <f t="shared" si="920"/>
        <v xml:space="preserve"> </v>
      </c>
      <c r="DI176" s="938" t="str">
        <f t="shared" si="921"/>
        <v xml:space="preserve"> </v>
      </c>
      <c r="DW176" s="938" t="str">
        <f t="shared" si="922"/>
        <v xml:space="preserve"> </v>
      </c>
      <c r="DX176" s="938" t="str">
        <f t="shared" si="923"/>
        <v xml:space="preserve"> </v>
      </c>
      <c r="EL176" s="938" t="str">
        <f t="shared" si="924"/>
        <v xml:space="preserve"> </v>
      </c>
      <c r="EM176" s="938" t="str">
        <f t="shared" si="925"/>
        <v xml:space="preserve"> </v>
      </c>
      <c r="FA176" s="938" t="str">
        <f t="shared" si="926"/>
        <v xml:space="preserve"> </v>
      </c>
      <c r="FB176" s="938" t="str">
        <f t="shared" si="927"/>
        <v xml:space="preserve"> </v>
      </c>
      <c r="FP176" s="938" t="str">
        <f t="shared" si="928"/>
        <v xml:space="preserve"> </v>
      </c>
      <c r="FQ176" s="938" t="str">
        <f t="shared" si="929"/>
        <v xml:space="preserve"> </v>
      </c>
      <c r="GE176" s="938" t="str">
        <f t="shared" si="930"/>
        <v xml:space="preserve"> </v>
      </c>
      <c r="GF176" s="938" t="str">
        <f t="shared" si="931"/>
        <v xml:space="preserve"> </v>
      </c>
      <c r="GT176" s="938" t="str">
        <f t="shared" si="932"/>
        <v xml:space="preserve"> </v>
      </c>
      <c r="GU176" s="938" t="str">
        <f t="shared" si="933"/>
        <v xml:space="preserve"> </v>
      </c>
      <c r="HI176" s="938" t="str">
        <f t="shared" si="934"/>
        <v xml:space="preserve"> </v>
      </c>
      <c r="HJ176" s="938" t="str">
        <f t="shared" si="935"/>
        <v xml:space="preserve"> </v>
      </c>
      <c r="HX176" s="938" t="str">
        <f t="shared" si="936"/>
        <v xml:space="preserve"> </v>
      </c>
      <c r="HY176" s="938" t="str">
        <f t="shared" si="937"/>
        <v xml:space="preserve"> </v>
      </c>
      <c r="IM176" s="938" t="str">
        <f t="shared" si="938"/>
        <v xml:space="preserve"> </v>
      </c>
      <c r="IN176" s="938" t="str">
        <f t="shared" si="939"/>
        <v xml:space="preserve"> </v>
      </c>
      <c r="JB176" s="938" t="str">
        <f t="shared" si="940"/>
        <v xml:space="preserve"> </v>
      </c>
      <c r="JC176" s="938" t="str">
        <f t="shared" si="941"/>
        <v xml:space="preserve"> </v>
      </c>
      <c r="JQ176" s="938" t="str">
        <f t="shared" si="942"/>
        <v xml:space="preserve"> </v>
      </c>
      <c r="JR176" s="938" t="str">
        <f t="shared" si="943"/>
        <v xml:space="preserve"> </v>
      </c>
      <c r="KF176" s="938" t="str">
        <f t="shared" si="944"/>
        <v xml:space="preserve"> </v>
      </c>
      <c r="KG176" s="938" t="str">
        <f t="shared" si="945"/>
        <v xml:space="preserve"> </v>
      </c>
      <c r="KU176" s="938" t="str">
        <f t="shared" si="946"/>
        <v xml:space="preserve"> </v>
      </c>
      <c r="KV176" s="938" t="str">
        <f t="shared" si="947"/>
        <v xml:space="preserve"> </v>
      </c>
      <c r="LJ176" s="938" t="str">
        <f t="shared" si="948"/>
        <v xml:space="preserve"> </v>
      </c>
      <c r="LK176" s="938" t="str">
        <f t="shared" si="949"/>
        <v xml:space="preserve"> </v>
      </c>
      <c r="LY176" s="938" t="str">
        <f t="shared" si="950"/>
        <v xml:space="preserve"> </v>
      </c>
      <c r="LZ176" s="938" t="str">
        <f t="shared" si="951"/>
        <v xml:space="preserve"> </v>
      </c>
      <c r="MN176" s="938" t="str">
        <f t="shared" si="952"/>
        <v xml:space="preserve"> </v>
      </c>
      <c r="MO176" s="938" t="str">
        <f t="shared" si="953"/>
        <v xml:space="preserve"> </v>
      </c>
      <c r="NC176" s="938" t="str">
        <f t="shared" si="954"/>
        <v xml:space="preserve"> </v>
      </c>
      <c r="ND176" s="938" t="str">
        <f t="shared" si="955"/>
        <v xml:space="preserve"> </v>
      </c>
      <c r="NR176" s="938" t="str">
        <f t="shared" si="956"/>
        <v xml:space="preserve"> </v>
      </c>
      <c r="NS176" s="938" t="str">
        <f t="shared" si="957"/>
        <v xml:space="preserve"> </v>
      </c>
      <c r="OG176" s="938" t="str">
        <f t="shared" si="958"/>
        <v xml:space="preserve"> </v>
      </c>
      <c r="OH176" s="938" t="str">
        <f t="shared" si="959"/>
        <v xml:space="preserve"> </v>
      </c>
      <c r="OV176" s="938" t="str">
        <f t="shared" si="960"/>
        <v xml:space="preserve"> </v>
      </c>
      <c r="OW176" s="938" t="str">
        <f t="shared" si="961"/>
        <v xml:space="preserve"> </v>
      </c>
      <c r="PK176" s="938" t="str">
        <f t="shared" si="962"/>
        <v xml:space="preserve"> </v>
      </c>
      <c r="PL176" s="938" t="str">
        <f t="shared" si="963"/>
        <v xml:space="preserve"> </v>
      </c>
      <c r="PZ176" s="938" t="str">
        <f t="shared" si="964"/>
        <v xml:space="preserve"> </v>
      </c>
      <c r="QA176" s="938" t="str">
        <f t="shared" si="965"/>
        <v xml:space="preserve"> </v>
      </c>
      <c r="QO176" s="938" t="str">
        <f t="shared" si="966"/>
        <v xml:space="preserve"> </v>
      </c>
      <c r="QP176" s="938" t="str">
        <f t="shared" si="967"/>
        <v xml:space="preserve"> </v>
      </c>
      <c r="RD176" s="938" t="str">
        <f t="shared" si="968"/>
        <v xml:space="preserve"> </v>
      </c>
      <c r="RE176" s="938" t="str">
        <f t="shared" si="969"/>
        <v xml:space="preserve"> </v>
      </c>
    </row>
    <row r="177" spans="28:473" x14ac:dyDescent="0.2">
      <c r="AB177" s="836" t="str">
        <f t="shared" si="906"/>
        <v/>
      </c>
      <c r="AC177" s="714">
        <f t="shared" si="907"/>
        <v>0</v>
      </c>
      <c r="AD177" s="714">
        <v>4.2999999999999999E-4</v>
      </c>
      <c r="AE177" s="714">
        <v>43</v>
      </c>
      <c r="AF177" t="str">
        <v>AM430</v>
      </c>
      <c r="AG177" s="714">
        <f t="shared" si="908"/>
        <v>0</v>
      </c>
      <c r="AH177" s="714">
        <f t="shared" si="909"/>
        <v>0</v>
      </c>
      <c r="AK177" s="938" t="str">
        <f t="shared" si="910"/>
        <v xml:space="preserve"> </v>
      </c>
      <c r="AL177" s="938" t="str">
        <f t="shared" si="911"/>
        <v xml:space="preserve"> </v>
      </c>
      <c r="AZ177" s="938" t="str">
        <f t="shared" si="912"/>
        <v xml:space="preserve"> </v>
      </c>
      <c r="BA177" s="938" t="str">
        <f t="shared" si="913"/>
        <v xml:space="preserve"> </v>
      </c>
      <c r="BO177" s="938" t="str">
        <f t="shared" si="914"/>
        <v xml:space="preserve"> </v>
      </c>
      <c r="BP177" s="938" t="str">
        <f t="shared" si="915"/>
        <v xml:space="preserve"> </v>
      </c>
      <c r="CD177" s="938" t="str">
        <f t="shared" si="916"/>
        <v xml:space="preserve"> </v>
      </c>
      <c r="CE177" s="938" t="str">
        <f t="shared" si="917"/>
        <v xml:space="preserve"> </v>
      </c>
      <c r="CS177" s="938" t="str">
        <f t="shared" si="918"/>
        <v xml:space="preserve"> </v>
      </c>
      <c r="CT177" s="938" t="str">
        <f t="shared" si="919"/>
        <v xml:space="preserve"> </v>
      </c>
      <c r="DH177" s="938" t="str">
        <f t="shared" si="920"/>
        <v xml:space="preserve"> </v>
      </c>
      <c r="DI177" s="938" t="str">
        <f t="shared" si="921"/>
        <v xml:space="preserve"> </v>
      </c>
      <c r="DW177" s="938" t="str">
        <f t="shared" si="922"/>
        <v xml:space="preserve"> </v>
      </c>
      <c r="DX177" s="938" t="str">
        <f t="shared" si="923"/>
        <v xml:space="preserve"> </v>
      </c>
      <c r="EL177" s="938" t="str">
        <f t="shared" si="924"/>
        <v xml:space="preserve"> </v>
      </c>
      <c r="EM177" s="938" t="str">
        <f t="shared" si="925"/>
        <v xml:space="preserve"> </v>
      </c>
      <c r="FA177" s="938" t="str">
        <f t="shared" si="926"/>
        <v xml:space="preserve"> </v>
      </c>
      <c r="FB177" s="938" t="str">
        <f t="shared" si="927"/>
        <v xml:space="preserve"> </v>
      </c>
      <c r="FP177" s="938" t="str">
        <f t="shared" si="928"/>
        <v xml:space="preserve"> </v>
      </c>
      <c r="FQ177" s="938" t="str">
        <f t="shared" si="929"/>
        <v xml:space="preserve"> </v>
      </c>
      <c r="GE177" s="938" t="str">
        <f t="shared" si="930"/>
        <v xml:space="preserve"> </v>
      </c>
      <c r="GF177" s="938" t="str">
        <f t="shared" si="931"/>
        <v xml:space="preserve"> </v>
      </c>
      <c r="GT177" s="938" t="str">
        <f t="shared" si="932"/>
        <v xml:space="preserve"> </v>
      </c>
      <c r="GU177" s="938" t="str">
        <f t="shared" si="933"/>
        <v xml:space="preserve"> </v>
      </c>
      <c r="HI177" s="938" t="str">
        <f t="shared" si="934"/>
        <v xml:space="preserve"> </v>
      </c>
      <c r="HJ177" s="938" t="str">
        <f t="shared" si="935"/>
        <v xml:space="preserve"> </v>
      </c>
      <c r="HX177" s="938" t="str">
        <f t="shared" si="936"/>
        <v xml:space="preserve"> </v>
      </c>
      <c r="HY177" s="938" t="str">
        <f t="shared" si="937"/>
        <v xml:space="preserve"> </v>
      </c>
      <c r="IM177" s="938" t="str">
        <f t="shared" si="938"/>
        <v xml:space="preserve"> </v>
      </c>
      <c r="IN177" s="938" t="str">
        <f t="shared" si="939"/>
        <v xml:space="preserve"> </v>
      </c>
      <c r="JB177" s="938" t="str">
        <f t="shared" si="940"/>
        <v xml:space="preserve"> </v>
      </c>
      <c r="JC177" s="938" t="str">
        <f t="shared" si="941"/>
        <v xml:space="preserve"> </v>
      </c>
      <c r="JQ177" s="938" t="str">
        <f t="shared" si="942"/>
        <v xml:space="preserve"> </v>
      </c>
      <c r="JR177" s="938" t="str">
        <f t="shared" si="943"/>
        <v xml:space="preserve"> </v>
      </c>
      <c r="KF177" s="938" t="str">
        <f t="shared" si="944"/>
        <v xml:space="preserve"> </v>
      </c>
      <c r="KG177" s="938" t="str">
        <f t="shared" si="945"/>
        <v xml:space="preserve"> </v>
      </c>
      <c r="KU177" s="938" t="str">
        <f t="shared" si="946"/>
        <v xml:space="preserve"> </v>
      </c>
      <c r="KV177" s="938" t="str">
        <f t="shared" si="947"/>
        <v xml:space="preserve"> </v>
      </c>
      <c r="LJ177" s="938" t="str">
        <f t="shared" si="948"/>
        <v xml:space="preserve"> </v>
      </c>
      <c r="LK177" s="938" t="str">
        <f t="shared" si="949"/>
        <v xml:space="preserve"> </v>
      </c>
      <c r="LY177" s="938" t="str">
        <f t="shared" si="950"/>
        <v xml:space="preserve"> </v>
      </c>
      <c r="LZ177" s="938" t="str">
        <f t="shared" si="951"/>
        <v xml:space="preserve"> </v>
      </c>
      <c r="MN177" s="938" t="str">
        <f t="shared" si="952"/>
        <v xml:space="preserve"> </v>
      </c>
      <c r="MO177" s="938" t="str">
        <f t="shared" si="953"/>
        <v xml:space="preserve"> </v>
      </c>
      <c r="NC177" s="938" t="str">
        <f t="shared" si="954"/>
        <v xml:space="preserve"> </v>
      </c>
      <c r="ND177" s="938" t="str">
        <f t="shared" si="955"/>
        <v xml:space="preserve"> </v>
      </c>
      <c r="NR177" s="938" t="str">
        <f t="shared" si="956"/>
        <v xml:space="preserve"> </v>
      </c>
      <c r="NS177" s="938" t="str">
        <f t="shared" si="957"/>
        <v xml:space="preserve"> </v>
      </c>
      <c r="OG177" s="938" t="str">
        <f t="shared" si="958"/>
        <v xml:space="preserve"> </v>
      </c>
      <c r="OH177" s="938" t="str">
        <f t="shared" si="959"/>
        <v xml:space="preserve"> </v>
      </c>
      <c r="OV177" s="938" t="str">
        <f t="shared" si="960"/>
        <v xml:space="preserve"> </v>
      </c>
      <c r="OW177" s="938" t="str">
        <f t="shared" si="961"/>
        <v xml:space="preserve"> </v>
      </c>
      <c r="PK177" s="938" t="str">
        <f t="shared" si="962"/>
        <v xml:space="preserve"> </v>
      </c>
      <c r="PL177" s="938" t="str">
        <f t="shared" si="963"/>
        <v xml:space="preserve"> </v>
      </c>
      <c r="PZ177" s="938" t="str">
        <f t="shared" si="964"/>
        <v xml:space="preserve"> </v>
      </c>
      <c r="QA177" s="938" t="str">
        <f t="shared" si="965"/>
        <v xml:space="preserve"> </v>
      </c>
      <c r="QO177" s="938" t="str">
        <f t="shared" si="966"/>
        <v xml:space="preserve"> </v>
      </c>
      <c r="QP177" s="938" t="str">
        <f t="shared" si="967"/>
        <v xml:space="preserve"> </v>
      </c>
      <c r="RD177" s="938" t="str">
        <f t="shared" si="968"/>
        <v xml:space="preserve"> </v>
      </c>
      <c r="RE177" s="938" t="str">
        <f t="shared" si="969"/>
        <v xml:space="preserve"> </v>
      </c>
    </row>
    <row r="178" spans="28:473" x14ac:dyDescent="0.2">
      <c r="AB178" s="836" t="str">
        <f t="shared" si="906"/>
        <v/>
      </c>
      <c r="AC178" s="714">
        <f t="shared" si="907"/>
        <v>0</v>
      </c>
      <c r="AD178" s="714">
        <v>4.4000000000000002E-4</v>
      </c>
      <c r="AE178" s="714">
        <v>44</v>
      </c>
      <c r="AF178" t="str">
        <v xml:space="preserve"> +s.Pfl.+</v>
      </c>
      <c r="AG178" s="714">
        <f t="shared" si="908"/>
        <v>0</v>
      </c>
      <c r="AH178" s="714">
        <f t="shared" si="909"/>
        <v>0</v>
      </c>
      <c r="AK178" s="938" t="str">
        <f t="shared" si="910"/>
        <v xml:space="preserve"> </v>
      </c>
      <c r="AL178" s="938" t="str">
        <f t="shared" si="911"/>
        <v xml:space="preserve"> </v>
      </c>
      <c r="AZ178" s="938" t="str">
        <f t="shared" si="912"/>
        <v xml:space="preserve"> </v>
      </c>
      <c r="BA178" s="938" t="str">
        <f t="shared" si="913"/>
        <v xml:space="preserve"> </v>
      </c>
      <c r="BO178" s="938" t="str">
        <f t="shared" si="914"/>
        <v xml:space="preserve"> </v>
      </c>
      <c r="BP178" s="938" t="str">
        <f t="shared" si="915"/>
        <v xml:space="preserve"> </v>
      </c>
      <c r="CD178" s="938" t="str">
        <f t="shared" si="916"/>
        <v xml:space="preserve"> </v>
      </c>
      <c r="CE178" s="938" t="str">
        <f t="shared" si="917"/>
        <v xml:space="preserve"> </v>
      </c>
      <c r="CS178" s="938" t="str">
        <f t="shared" si="918"/>
        <v xml:space="preserve"> </v>
      </c>
      <c r="CT178" s="938" t="str">
        <f t="shared" si="919"/>
        <v xml:space="preserve"> </v>
      </c>
      <c r="DH178" s="938" t="str">
        <f t="shared" si="920"/>
        <v xml:space="preserve"> </v>
      </c>
      <c r="DI178" s="938" t="str">
        <f t="shared" si="921"/>
        <v xml:space="preserve"> </v>
      </c>
      <c r="DW178" s="938" t="str">
        <f t="shared" si="922"/>
        <v xml:space="preserve"> </v>
      </c>
      <c r="DX178" s="938" t="str">
        <f t="shared" si="923"/>
        <v xml:space="preserve"> </v>
      </c>
      <c r="EL178" s="938" t="str">
        <f t="shared" si="924"/>
        <v xml:space="preserve"> </v>
      </c>
      <c r="EM178" s="938" t="str">
        <f t="shared" si="925"/>
        <v xml:space="preserve"> </v>
      </c>
      <c r="FA178" s="938" t="str">
        <f t="shared" si="926"/>
        <v xml:space="preserve"> </v>
      </c>
      <c r="FB178" s="938" t="str">
        <f t="shared" si="927"/>
        <v xml:space="preserve"> </v>
      </c>
      <c r="FP178" s="938" t="str">
        <f t="shared" si="928"/>
        <v xml:space="preserve"> </v>
      </c>
      <c r="FQ178" s="938" t="str">
        <f t="shared" si="929"/>
        <v xml:space="preserve"> </v>
      </c>
      <c r="GE178" s="938" t="str">
        <f t="shared" si="930"/>
        <v xml:space="preserve"> </v>
      </c>
      <c r="GF178" s="938" t="str">
        <f t="shared" si="931"/>
        <v xml:space="preserve"> </v>
      </c>
      <c r="GT178" s="938" t="str">
        <f t="shared" si="932"/>
        <v xml:space="preserve"> </v>
      </c>
      <c r="GU178" s="938" t="str">
        <f t="shared" si="933"/>
        <v xml:space="preserve"> </v>
      </c>
      <c r="HI178" s="938" t="str">
        <f t="shared" si="934"/>
        <v xml:space="preserve"> </v>
      </c>
      <c r="HJ178" s="938" t="str">
        <f t="shared" si="935"/>
        <v xml:space="preserve"> </v>
      </c>
      <c r="HX178" s="938" t="str">
        <f t="shared" si="936"/>
        <v xml:space="preserve"> </v>
      </c>
      <c r="HY178" s="938" t="str">
        <f t="shared" si="937"/>
        <v xml:space="preserve"> </v>
      </c>
      <c r="IM178" s="938" t="str">
        <f t="shared" si="938"/>
        <v xml:space="preserve"> </v>
      </c>
      <c r="IN178" s="938" t="str">
        <f t="shared" si="939"/>
        <v xml:space="preserve"> </v>
      </c>
      <c r="JB178" s="938" t="str">
        <f t="shared" si="940"/>
        <v xml:space="preserve"> </v>
      </c>
      <c r="JC178" s="938" t="str">
        <f t="shared" si="941"/>
        <v xml:space="preserve"> </v>
      </c>
      <c r="JQ178" s="938" t="str">
        <f t="shared" si="942"/>
        <v xml:space="preserve"> </v>
      </c>
      <c r="JR178" s="938" t="str">
        <f t="shared" si="943"/>
        <v xml:space="preserve"> </v>
      </c>
      <c r="KF178" s="938" t="str">
        <f t="shared" si="944"/>
        <v xml:space="preserve"> </v>
      </c>
      <c r="KG178" s="938" t="str">
        <f t="shared" si="945"/>
        <v xml:space="preserve"> </v>
      </c>
      <c r="KU178" s="938" t="str">
        <f t="shared" si="946"/>
        <v xml:space="preserve"> </v>
      </c>
      <c r="KV178" s="938" t="str">
        <f t="shared" si="947"/>
        <v xml:space="preserve"> </v>
      </c>
      <c r="LJ178" s="938" t="str">
        <f t="shared" si="948"/>
        <v xml:space="preserve"> </v>
      </c>
      <c r="LK178" s="938" t="str">
        <f t="shared" si="949"/>
        <v xml:space="preserve"> </v>
      </c>
      <c r="LY178" s="938" t="str">
        <f t="shared" si="950"/>
        <v xml:space="preserve"> </v>
      </c>
      <c r="LZ178" s="938" t="str">
        <f t="shared" si="951"/>
        <v xml:space="preserve"> </v>
      </c>
      <c r="MN178" s="938" t="str">
        <f t="shared" si="952"/>
        <v xml:space="preserve"> </v>
      </c>
      <c r="MO178" s="938" t="str">
        <f t="shared" si="953"/>
        <v xml:space="preserve"> </v>
      </c>
      <c r="NC178" s="938" t="str">
        <f t="shared" si="954"/>
        <v xml:space="preserve"> </v>
      </c>
      <c r="ND178" s="938" t="str">
        <f t="shared" si="955"/>
        <v xml:space="preserve"> </v>
      </c>
      <c r="NR178" s="938" t="str">
        <f t="shared" si="956"/>
        <v xml:space="preserve"> </v>
      </c>
      <c r="NS178" s="938" t="str">
        <f t="shared" si="957"/>
        <v xml:space="preserve"> </v>
      </c>
      <c r="OG178" s="938" t="str">
        <f t="shared" si="958"/>
        <v xml:space="preserve"> </v>
      </c>
      <c r="OH178" s="938" t="str">
        <f t="shared" si="959"/>
        <v xml:space="preserve"> </v>
      </c>
      <c r="OV178" s="938" t="str">
        <f t="shared" si="960"/>
        <v xml:space="preserve"> </v>
      </c>
      <c r="OW178" s="938" t="str">
        <f t="shared" si="961"/>
        <v xml:space="preserve"> </v>
      </c>
      <c r="PK178" s="938" t="str">
        <f t="shared" si="962"/>
        <v xml:space="preserve"> </v>
      </c>
      <c r="PL178" s="938" t="str">
        <f t="shared" si="963"/>
        <v xml:space="preserve"> </v>
      </c>
      <c r="PZ178" s="938" t="str">
        <f t="shared" si="964"/>
        <v xml:space="preserve"> </v>
      </c>
      <c r="QA178" s="938" t="str">
        <f t="shared" si="965"/>
        <v xml:space="preserve"> </v>
      </c>
      <c r="QO178" s="938" t="str">
        <f t="shared" si="966"/>
        <v xml:space="preserve"> </v>
      </c>
      <c r="QP178" s="938" t="str">
        <f t="shared" si="967"/>
        <v xml:space="preserve"> </v>
      </c>
      <c r="RD178" s="938" t="str">
        <f t="shared" si="968"/>
        <v xml:space="preserve"> </v>
      </c>
      <c r="RE178" s="938" t="str">
        <f t="shared" si="969"/>
        <v xml:space="preserve"> </v>
      </c>
    </row>
    <row r="179" spans="28:473" x14ac:dyDescent="0.2">
      <c r="AB179" s="836" t="str">
        <f t="shared" si="906"/>
        <v/>
      </c>
      <c r="AC179" s="714">
        <f t="shared" si="907"/>
        <v>0</v>
      </c>
      <c r="AD179" s="714">
        <v>4.4999999999999999E-4</v>
      </c>
      <c r="AE179" s="714">
        <v>45</v>
      </c>
      <c r="AF179" t="str">
        <v>STRO-G1</v>
      </c>
      <c r="AG179" s="714">
        <f t="shared" si="908"/>
        <v>0</v>
      </c>
      <c r="AH179" s="714">
        <f t="shared" si="909"/>
        <v>0</v>
      </c>
      <c r="AK179" s="938" t="str">
        <f t="shared" si="910"/>
        <v xml:space="preserve"> </v>
      </c>
      <c r="AL179" s="938" t="str">
        <f t="shared" si="911"/>
        <v xml:space="preserve"> </v>
      </c>
      <c r="AZ179" s="938" t="str">
        <f t="shared" si="912"/>
        <v xml:space="preserve"> </v>
      </c>
      <c r="BA179" s="938" t="str">
        <f t="shared" si="913"/>
        <v xml:space="preserve"> </v>
      </c>
      <c r="BO179" s="938" t="str">
        <f t="shared" si="914"/>
        <v xml:space="preserve"> </v>
      </c>
      <c r="BP179" s="938" t="str">
        <f t="shared" si="915"/>
        <v xml:space="preserve"> </v>
      </c>
      <c r="CD179" s="938" t="str">
        <f t="shared" si="916"/>
        <v xml:space="preserve"> </v>
      </c>
      <c r="CE179" s="938" t="str">
        <f t="shared" si="917"/>
        <v xml:space="preserve"> </v>
      </c>
      <c r="CS179" s="938" t="str">
        <f t="shared" si="918"/>
        <v xml:space="preserve"> </v>
      </c>
      <c r="CT179" s="938" t="str">
        <f t="shared" si="919"/>
        <v xml:space="preserve"> </v>
      </c>
      <c r="DH179" s="938" t="str">
        <f t="shared" si="920"/>
        <v xml:space="preserve"> </v>
      </c>
      <c r="DI179" s="938" t="str">
        <f t="shared" si="921"/>
        <v xml:space="preserve"> </v>
      </c>
      <c r="DW179" s="938" t="str">
        <f t="shared" si="922"/>
        <v xml:space="preserve"> </v>
      </c>
      <c r="DX179" s="938" t="str">
        <f t="shared" si="923"/>
        <v xml:space="preserve"> </v>
      </c>
      <c r="EL179" s="938" t="str">
        <f t="shared" si="924"/>
        <v xml:space="preserve"> </v>
      </c>
      <c r="EM179" s="938" t="str">
        <f t="shared" si="925"/>
        <v xml:space="preserve"> </v>
      </c>
      <c r="FA179" s="938" t="str">
        <f t="shared" si="926"/>
        <v xml:space="preserve"> </v>
      </c>
      <c r="FB179" s="938" t="str">
        <f t="shared" si="927"/>
        <v xml:space="preserve"> </v>
      </c>
      <c r="FP179" s="938" t="str">
        <f t="shared" si="928"/>
        <v xml:space="preserve"> </v>
      </c>
      <c r="FQ179" s="938" t="str">
        <f t="shared" si="929"/>
        <v xml:space="preserve"> </v>
      </c>
      <c r="GE179" s="938" t="str">
        <f t="shared" si="930"/>
        <v xml:space="preserve"> </v>
      </c>
      <c r="GF179" s="938" t="str">
        <f t="shared" si="931"/>
        <v xml:space="preserve"> </v>
      </c>
      <c r="GT179" s="938" t="str">
        <f t="shared" si="932"/>
        <v xml:space="preserve"> </v>
      </c>
      <c r="GU179" s="938" t="str">
        <f t="shared" si="933"/>
        <v xml:space="preserve"> </v>
      </c>
      <c r="HI179" s="938" t="str">
        <f t="shared" si="934"/>
        <v xml:space="preserve"> </v>
      </c>
      <c r="HJ179" s="938" t="str">
        <f t="shared" si="935"/>
        <v xml:space="preserve"> </v>
      </c>
      <c r="HX179" s="938" t="str">
        <f t="shared" si="936"/>
        <v xml:space="preserve"> </v>
      </c>
      <c r="HY179" s="938" t="str">
        <f t="shared" si="937"/>
        <v xml:space="preserve"> </v>
      </c>
      <c r="IM179" s="938" t="str">
        <f t="shared" si="938"/>
        <v xml:space="preserve"> </v>
      </c>
      <c r="IN179" s="938" t="str">
        <f t="shared" si="939"/>
        <v xml:space="preserve"> </v>
      </c>
      <c r="JB179" s="938" t="str">
        <f t="shared" si="940"/>
        <v xml:space="preserve"> </v>
      </c>
      <c r="JC179" s="938" t="str">
        <f t="shared" si="941"/>
        <v xml:space="preserve"> </v>
      </c>
      <c r="JQ179" s="938" t="str">
        <f t="shared" si="942"/>
        <v xml:space="preserve"> </v>
      </c>
      <c r="JR179" s="938" t="str">
        <f t="shared" si="943"/>
        <v xml:space="preserve"> </v>
      </c>
      <c r="KF179" s="938" t="str">
        <f t="shared" si="944"/>
        <v xml:space="preserve"> </v>
      </c>
      <c r="KG179" s="938" t="str">
        <f t="shared" si="945"/>
        <v xml:space="preserve"> </v>
      </c>
      <c r="KU179" s="938" t="str">
        <f t="shared" si="946"/>
        <v xml:space="preserve"> </v>
      </c>
      <c r="KV179" s="938" t="str">
        <f t="shared" si="947"/>
        <v xml:space="preserve"> </v>
      </c>
      <c r="LJ179" s="938" t="str">
        <f t="shared" si="948"/>
        <v xml:space="preserve"> </v>
      </c>
      <c r="LK179" s="938" t="str">
        <f t="shared" si="949"/>
        <v xml:space="preserve"> </v>
      </c>
      <c r="LY179" s="938" t="str">
        <f t="shared" si="950"/>
        <v xml:space="preserve"> </v>
      </c>
      <c r="LZ179" s="938" t="str">
        <f t="shared" si="951"/>
        <v xml:space="preserve"> </v>
      </c>
      <c r="MN179" s="938" t="str">
        <f t="shared" si="952"/>
        <v xml:space="preserve"> </v>
      </c>
      <c r="MO179" s="938" t="str">
        <f t="shared" si="953"/>
        <v xml:space="preserve"> </v>
      </c>
      <c r="NC179" s="938" t="str">
        <f t="shared" si="954"/>
        <v xml:space="preserve"> </v>
      </c>
      <c r="ND179" s="938" t="str">
        <f t="shared" si="955"/>
        <v xml:space="preserve"> </v>
      </c>
      <c r="NR179" s="938" t="str">
        <f t="shared" si="956"/>
        <v xml:space="preserve"> </v>
      </c>
      <c r="NS179" s="938" t="str">
        <f t="shared" si="957"/>
        <v xml:space="preserve"> </v>
      </c>
      <c r="OG179" s="938" t="str">
        <f t="shared" si="958"/>
        <v xml:space="preserve"> </v>
      </c>
      <c r="OH179" s="938" t="str">
        <f t="shared" si="959"/>
        <v xml:space="preserve"> </v>
      </c>
      <c r="OV179" s="938" t="str">
        <f t="shared" si="960"/>
        <v xml:space="preserve"> </v>
      </c>
      <c r="OW179" s="938" t="str">
        <f t="shared" si="961"/>
        <v xml:space="preserve"> </v>
      </c>
      <c r="PK179" s="938" t="str">
        <f t="shared" si="962"/>
        <v xml:space="preserve"> </v>
      </c>
      <c r="PL179" s="938" t="str">
        <f t="shared" si="963"/>
        <v xml:space="preserve"> </v>
      </c>
      <c r="PZ179" s="938" t="str">
        <f t="shared" si="964"/>
        <v xml:space="preserve"> </v>
      </c>
      <c r="QA179" s="938" t="str">
        <f t="shared" si="965"/>
        <v xml:space="preserve"> </v>
      </c>
      <c r="QO179" s="938" t="str">
        <f t="shared" si="966"/>
        <v xml:space="preserve"> </v>
      </c>
      <c r="QP179" s="938" t="str">
        <f t="shared" si="967"/>
        <v xml:space="preserve"> </v>
      </c>
      <c r="RD179" s="938" t="str">
        <f t="shared" si="968"/>
        <v xml:space="preserve"> </v>
      </c>
      <c r="RE179" s="938" t="str">
        <f t="shared" si="969"/>
        <v xml:space="preserve"> </v>
      </c>
    </row>
    <row r="180" spans="28:473" x14ac:dyDescent="0.2">
      <c r="AB180" s="836" t="str">
        <f t="shared" si="906"/>
        <v/>
      </c>
      <c r="AC180" s="714">
        <f t="shared" si="907"/>
        <v>0</v>
      </c>
      <c r="AD180" s="714">
        <v>4.6000000000000001E-4</v>
      </c>
      <c r="AE180" s="714">
        <v>46</v>
      </c>
      <c r="AF180" t="str">
        <v>STRO-H1</v>
      </c>
      <c r="AG180" s="714">
        <f t="shared" si="908"/>
        <v>0</v>
      </c>
      <c r="AH180" s="714">
        <f t="shared" si="909"/>
        <v>0</v>
      </c>
      <c r="AK180" s="938" t="str">
        <f t="shared" si="910"/>
        <v xml:space="preserve"> </v>
      </c>
      <c r="AL180" s="938" t="str">
        <f t="shared" si="911"/>
        <v xml:space="preserve"> </v>
      </c>
      <c r="AZ180" s="938" t="str">
        <f t="shared" si="912"/>
        <v xml:space="preserve"> </v>
      </c>
      <c r="BA180" s="938" t="str">
        <f t="shared" si="913"/>
        <v xml:space="preserve"> </v>
      </c>
      <c r="BO180" s="938" t="str">
        <f t="shared" si="914"/>
        <v xml:space="preserve"> </v>
      </c>
      <c r="BP180" s="938" t="str">
        <f t="shared" si="915"/>
        <v xml:space="preserve"> </v>
      </c>
      <c r="CD180" s="938" t="str">
        <f t="shared" si="916"/>
        <v xml:space="preserve"> </v>
      </c>
      <c r="CE180" s="938" t="str">
        <f t="shared" si="917"/>
        <v xml:space="preserve"> </v>
      </c>
      <c r="CS180" s="938" t="str">
        <f t="shared" si="918"/>
        <v xml:space="preserve"> </v>
      </c>
      <c r="CT180" s="938" t="str">
        <f t="shared" si="919"/>
        <v xml:space="preserve"> </v>
      </c>
      <c r="DH180" s="938" t="str">
        <f t="shared" si="920"/>
        <v xml:space="preserve"> </v>
      </c>
      <c r="DI180" s="938" t="str">
        <f t="shared" si="921"/>
        <v xml:space="preserve"> </v>
      </c>
      <c r="DW180" s="938" t="str">
        <f t="shared" si="922"/>
        <v xml:space="preserve"> </v>
      </c>
      <c r="DX180" s="938" t="str">
        <f t="shared" si="923"/>
        <v xml:space="preserve"> </v>
      </c>
      <c r="EL180" s="938" t="str">
        <f t="shared" si="924"/>
        <v xml:space="preserve"> </v>
      </c>
      <c r="EM180" s="938" t="str">
        <f t="shared" si="925"/>
        <v xml:space="preserve"> </v>
      </c>
      <c r="FA180" s="938" t="str">
        <f t="shared" si="926"/>
        <v xml:space="preserve"> </v>
      </c>
      <c r="FB180" s="938" t="str">
        <f t="shared" si="927"/>
        <v xml:space="preserve"> </v>
      </c>
      <c r="FP180" s="938" t="str">
        <f t="shared" si="928"/>
        <v xml:space="preserve"> </v>
      </c>
      <c r="FQ180" s="938" t="str">
        <f t="shared" si="929"/>
        <v xml:space="preserve"> </v>
      </c>
      <c r="GE180" s="938" t="str">
        <f t="shared" si="930"/>
        <v xml:space="preserve"> </v>
      </c>
      <c r="GF180" s="938" t="str">
        <f t="shared" si="931"/>
        <v xml:space="preserve"> </v>
      </c>
      <c r="GT180" s="938" t="str">
        <f t="shared" si="932"/>
        <v xml:space="preserve"> </v>
      </c>
      <c r="GU180" s="938" t="str">
        <f t="shared" si="933"/>
        <v xml:space="preserve"> </v>
      </c>
      <c r="HI180" s="938" t="str">
        <f t="shared" si="934"/>
        <v xml:space="preserve"> </v>
      </c>
      <c r="HJ180" s="938" t="str">
        <f t="shared" si="935"/>
        <v xml:space="preserve"> </v>
      </c>
      <c r="HX180" s="938" t="str">
        <f t="shared" si="936"/>
        <v xml:space="preserve"> </v>
      </c>
      <c r="HY180" s="938" t="str">
        <f t="shared" si="937"/>
        <v xml:space="preserve"> </v>
      </c>
      <c r="IM180" s="938" t="str">
        <f t="shared" si="938"/>
        <v xml:space="preserve"> </v>
      </c>
      <c r="IN180" s="938" t="str">
        <f t="shared" si="939"/>
        <v xml:space="preserve"> </v>
      </c>
      <c r="JB180" s="938" t="str">
        <f t="shared" si="940"/>
        <v xml:space="preserve"> </v>
      </c>
      <c r="JC180" s="938" t="str">
        <f t="shared" si="941"/>
        <v xml:space="preserve"> </v>
      </c>
      <c r="JQ180" s="938" t="str">
        <f t="shared" si="942"/>
        <v xml:space="preserve"> </v>
      </c>
      <c r="JR180" s="938" t="str">
        <f t="shared" si="943"/>
        <v xml:space="preserve"> </v>
      </c>
      <c r="KF180" s="938" t="str">
        <f t="shared" si="944"/>
        <v xml:space="preserve"> </v>
      </c>
      <c r="KG180" s="938" t="str">
        <f t="shared" si="945"/>
        <v xml:space="preserve"> </v>
      </c>
      <c r="KU180" s="938" t="str">
        <f t="shared" si="946"/>
        <v xml:space="preserve"> </v>
      </c>
      <c r="KV180" s="938" t="str">
        <f t="shared" si="947"/>
        <v xml:space="preserve"> </v>
      </c>
      <c r="LJ180" s="938" t="str">
        <f t="shared" si="948"/>
        <v xml:space="preserve"> </v>
      </c>
      <c r="LK180" s="938" t="str">
        <f t="shared" si="949"/>
        <v xml:space="preserve"> </v>
      </c>
      <c r="LY180" s="938" t="str">
        <f t="shared" si="950"/>
        <v xml:space="preserve"> </v>
      </c>
      <c r="LZ180" s="938" t="str">
        <f t="shared" si="951"/>
        <v xml:space="preserve"> </v>
      </c>
      <c r="MN180" s="938" t="str">
        <f t="shared" si="952"/>
        <v xml:space="preserve"> </v>
      </c>
      <c r="MO180" s="938" t="str">
        <f t="shared" si="953"/>
        <v xml:space="preserve"> </v>
      </c>
      <c r="NC180" s="938" t="str">
        <f t="shared" si="954"/>
        <v xml:space="preserve"> </v>
      </c>
      <c r="ND180" s="938" t="str">
        <f t="shared" si="955"/>
        <v xml:space="preserve"> </v>
      </c>
      <c r="NR180" s="938" t="str">
        <f t="shared" si="956"/>
        <v xml:space="preserve"> </v>
      </c>
      <c r="NS180" s="938" t="str">
        <f t="shared" si="957"/>
        <v xml:space="preserve"> </v>
      </c>
      <c r="OG180" s="938" t="str">
        <f t="shared" si="958"/>
        <v xml:space="preserve"> </v>
      </c>
      <c r="OH180" s="938" t="str">
        <f t="shared" si="959"/>
        <v xml:space="preserve"> </v>
      </c>
      <c r="OV180" s="938" t="str">
        <f t="shared" si="960"/>
        <v xml:space="preserve"> </v>
      </c>
      <c r="OW180" s="938" t="str">
        <f t="shared" si="961"/>
        <v xml:space="preserve"> </v>
      </c>
      <c r="PK180" s="938" t="str">
        <f t="shared" si="962"/>
        <v xml:space="preserve"> </v>
      </c>
      <c r="PL180" s="938" t="str">
        <f t="shared" si="963"/>
        <v xml:space="preserve"> </v>
      </c>
      <c r="PZ180" s="938" t="str">
        <f t="shared" si="964"/>
        <v xml:space="preserve"> </v>
      </c>
      <c r="QA180" s="938" t="str">
        <f t="shared" si="965"/>
        <v xml:space="preserve"> </v>
      </c>
      <c r="QO180" s="938" t="str">
        <f t="shared" si="966"/>
        <v xml:space="preserve"> </v>
      </c>
      <c r="QP180" s="938" t="str">
        <f t="shared" si="967"/>
        <v xml:space="preserve"> </v>
      </c>
      <c r="RD180" s="938" t="str">
        <f t="shared" si="968"/>
        <v xml:space="preserve"> </v>
      </c>
      <c r="RE180" s="938" t="str">
        <f t="shared" si="969"/>
        <v xml:space="preserve"> </v>
      </c>
    </row>
    <row r="181" spans="28:473" x14ac:dyDescent="0.2">
      <c r="AB181" s="836" t="str">
        <f t="shared" si="906"/>
        <v/>
      </c>
      <c r="AC181" s="714">
        <f t="shared" si="907"/>
        <v>0</v>
      </c>
      <c r="AD181" s="714">
        <v>4.6999999999999999E-4</v>
      </c>
      <c r="AE181" s="714">
        <v>47</v>
      </c>
      <c r="AF181" t="str">
        <v>STRO-R1</v>
      </c>
      <c r="AG181" s="714">
        <f t="shared" si="908"/>
        <v>0</v>
      </c>
      <c r="AH181" s="714">
        <f t="shared" si="909"/>
        <v>0</v>
      </c>
      <c r="AK181" s="938" t="str">
        <f t="shared" si="910"/>
        <v xml:space="preserve"> </v>
      </c>
      <c r="AL181" s="938" t="str">
        <f t="shared" si="911"/>
        <v xml:space="preserve"> </v>
      </c>
      <c r="AZ181" s="938" t="str">
        <f t="shared" si="912"/>
        <v xml:space="preserve"> </v>
      </c>
      <c r="BA181" s="938" t="str">
        <f t="shared" si="913"/>
        <v xml:space="preserve"> </v>
      </c>
      <c r="BO181" s="938" t="str">
        <f t="shared" si="914"/>
        <v xml:space="preserve"> </v>
      </c>
      <c r="BP181" s="938" t="str">
        <f t="shared" si="915"/>
        <v xml:space="preserve"> </v>
      </c>
      <c r="CD181" s="938" t="str">
        <f t="shared" si="916"/>
        <v xml:space="preserve"> </v>
      </c>
      <c r="CE181" s="938" t="str">
        <f t="shared" si="917"/>
        <v xml:space="preserve"> </v>
      </c>
      <c r="CS181" s="938" t="str">
        <f t="shared" si="918"/>
        <v xml:space="preserve"> </v>
      </c>
      <c r="CT181" s="938" t="str">
        <f t="shared" si="919"/>
        <v xml:space="preserve"> </v>
      </c>
      <c r="DH181" s="938" t="str">
        <f t="shared" si="920"/>
        <v xml:space="preserve"> </v>
      </c>
      <c r="DI181" s="938" t="str">
        <f t="shared" si="921"/>
        <v xml:space="preserve"> </v>
      </c>
      <c r="DW181" s="938" t="str">
        <f t="shared" si="922"/>
        <v xml:space="preserve"> </v>
      </c>
      <c r="DX181" s="938" t="str">
        <f t="shared" si="923"/>
        <v xml:space="preserve"> </v>
      </c>
      <c r="EL181" s="938" t="str">
        <f t="shared" si="924"/>
        <v xml:space="preserve"> </v>
      </c>
      <c r="EM181" s="938" t="str">
        <f t="shared" si="925"/>
        <v xml:space="preserve"> </v>
      </c>
      <c r="FA181" s="938" t="str">
        <f t="shared" si="926"/>
        <v xml:space="preserve"> </v>
      </c>
      <c r="FB181" s="938" t="str">
        <f t="shared" si="927"/>
        <v xml:space="preserve"> </v>
      </c>
      <c r="FP181" s="938" t="str">
        <f t="shared" si="928"/>
        <v xml:space="preserve"> </v>
      </c>
      <c r="FQ181" s="938" t="str">
        <f t="shared" si="929"/>
        <v xml:space="preserve"> </v>
      </c>
      <c r="GE181" s="938" t="str">
        <f t="shared" si="930"/>
        <v xml:space="preserve"> </v>
      </c>
      <c r="GF181" s="938" t="str">
        <f t="shared" si="931"/>
        <v xml:space="preserve"> </v>
      </c>
      <c r="GT181" s="938" t="str">
        <f t="shared" si="932"/>
        <v xml:space="preserve"> </v>
      </c>
      <c r="GU181" s="938" t="str">
        <f t="shared" si="933"/>
        <v xml:space="preserve"> </v>
      </c>
      <c r="HI181" s="938" t="str">
        <f t="shared" si="934"/>
        <v xml:space="preserve"> </v>
      </c>
      <c r="HJ181" s="938" t="str">
        <f t="shared" si="935"/>
        <v xml:space="preserve"> </v>
      </c>
      <c r="HX181" s="938" t="str">
        <f t="shared" si="936"/>
        <v xml:space="preserve"> </v>
      </c>
      <c r="HY181" s="938" t="str">
        <f t="shared" si="937"/>
        <v xml:space="preserve"> </v>
      </c>
      <c r="IM181" s="938" t="str">
        <f t="shared" si="938"/>
        <v xml:space="preserve"> </v>
      </c>
      <c r="IN181" s="938" t="str">
        <f t="shared" si="939"/>
        <v xml:space="preserve"> </v>
      </c>
      <c r="JB181" s="938" t="str">
        <f t="shared" si="940"/>
        <v xml:space="preserve"> </v>
      </c>
      <c r="JC181" s="938" t="str">
        <f t="shared" si="941"/>
        <v xml:space="preserve"> </v>
      </c>
      <c r="JQ181" s="938" t="str">
        <f t="shared" si="942"/>
        <v xml:space="preserve"> </v>
      </c>
      <c r="JR181" s="938" t="str">
        <f t="shared" si="943"/>
        <v xml:space="preserve"> </v>
      </c>
      <c r="KF181" s="938" t="str">
        <f t="shared" si="944"/>
        <v xml:space="preserve"> </v>
      </c>
      <c r="KG181" s="938" t="str">
        <f t="shared" si="945"/>
        <v xml:space="preserve"> </v>
      </c>
      <c r="KU181" s="938" t="str">
        <f t="shared" si="946"/>
        <v xml:space="preserve"> </v>
      </c>
      <c r="KV181" s="938" t="str">
        <f t="shared" si="947"/>
        <v xml:space="preserve"> </v>
      </c>
      <c r="LJ181" s="938" t="str">
        <f t="shared" si="948"/>
        <v xml:space="preserve"> </v>
      </c>
      <c r="LK181" s="938" t="str">
        <f t="shared" si="949"/>
        <v xml:space="preserve"> </v>
      </c>
      <c r="LY181" s="938" t="str">
        <f t="shared" si="950"/>
        <v xml:space="preserve"> </v>
      </c>
      <c r="LZ181" s="938" t="str">
        <f t="shared" si="951"/>
        <v xml:space="preserve"> </v>
      </c>
      <c r="MN181" s="938" t="str">
        <f t="shared" si="952"/>
        <v xml:space="preserve"> </v>
      </c>
      <c r="MO181" s="938" t="str">
        <f t="shared" si="953"/>
        <v xml:space="preserve"> </v>
      </c>
      <c r="NC181" s="938" t="str">
        <f t="shared" si="954"/>
        <v xml:space="preserve"> </v>
      </c>
      <c r="ND181" s="938" t="str">
        <f t="shared" si="955"/>
        <v xml:space="preserve"> </v>
      </c>
      <c r="NR181" s="938" t="str">
        <f t="shared" si="956"/>
        <v xml:space="preserve"> </v>
      </c>
      <c r="NS181" s="938" t="str">
        <f t="shared" si="957"/>
        <v xml:space="preserve"> </v>
      </c>
      <c r="OG181" s="938" t="str">
        <f t="shared" si="958"/>
        <v xml:space="preserve"> </v>
      </c>
      <c r="OH181" s="938" t="str">
        <f t="shared" si="959"/>
        <v xml:space="preserve"> </v>
      </c>
      <c r="OV181" s="938" t="str">
        <f t="shared" si="960"/>
        <v xml:space="preserve"> </v>
      </c>
      <c r="OW181" s="938" t="str">
        <f t="shared" si="961"/>
        <v xml:space="preserve"> </v>
      </c>
      <c r="PK181" s="938" t="str">
        <f t="shared" si="962"/>
        <v xml:space="preserve"> </v>
      </c>
      <c r="PL181" s="938" t="str">
        <f t="shared" si="963"/>
        <v xml:space="preserve"> </v>
      </c>
      <c r="PZ181" s="938" t="str">
        <f t="shared" si="964"/>
        <v xml:space="preserve"> </v>
      </c>
      <c r="QA181" s="938" t="str">
        <f t="shared" si="965"/>
        <v xml:space="preserve"> </v>
      </c>
      <c r="QO181" s="938" t="str">
        <f t="shared" si="966"/>
        <v xml:space="preserve"> </v>
      </c>
      <c r="QP181" s="938" t="str">
        <f t="shared" si="967"/>
        <v xml:space="preserve"> </v>
      </c>
      <c r="RD181" s="938" t="str">
        <f t="shared" si="968"/>
        <v xml:space="preserve"> </v>
      </c>
      <c r="RE181" s="938" t="str">
        <f t="shared" si="969"/>
        <v xml:space="preserve"> </v>
      </c>
    </row>
    <row r="182" spans="28:473" x14ac:dyDescent="0.2">
      <c r="AB182" s="836" t="str">
        <f t="shared" si="906"/>
        <v/>
      </c>
      <c r="AC182" s="714">
        <f t="shared" si="907"/>
        <v>0</v>
      </c>
      <c r="AD182" s="714">
        <v>4.8000000000000001E-4</v>
      </c>
      <c r="AE182" s="714">
        <v>48</v>
      </c>
      <c r="AF182" t="str">
        <v>STRO-W1</v>
      </c>
      <c r="AG182" s="714">
        <f t="shared" si="908"/>
        <v>0</v>
      </c>
      <c r="AH182" s="714">
        <f t="shared" si="909"/>
        <v>0</v>
      </c>
      <c r="AK182" s="938" t="str">
        <f t="shared" si="910"/>
        <v xml:space="preserve"> </v>
      </c>
      <c r="AL182" s="938" t="str">
        <f t="shared" si="911"/>
        <v xml:space="preserve"> </v>
      </c>
      <c r="AZ182" s="938" t="str">
        <f t="shared" si="912"/>
        <v xml:space="preserve"> </v>
      </c>
      <c r="BA182" s="938" t="str">
        <f t="shared" si="913"/>
        <v xml:space="preserve"> </v>
      </c>
      <c r="BO182" s="938" t="str">
        <f t="shared" si="914"/>
        <v xml:space="preserve"> </v>
      </c>
      <c r="BP182" s="938" t="str">
        <f t="shared" si="915"/>
        <v xml:space="preserve"> </v>
      </c>
      <c r="CD182" s="938" t="str">
        <f t="shared" si="916"/>
        <v xml:space="preserve"> </v>
      </c>
      <c r="CE182" s="938" t="str">
        <f t="shared" si="917"/>
        <v xml:space="preserve"> </v>
      </c>
      <c r="CS182" s="938" t="str">
        <f t="shared" si="918"/>
        <v xml:space="preserve"> </v>
      </c>
      <c r="CT182" s="938" t="str">
        <f t="shared" si="919"/>
        <v xml:space="preserve"> </v>
      </c>
      <c r="DH182" s="938" t="str">
        <f t="shared" si="920"/>
        <v xml:space="preserve"> </v>
      </c>
      <c r="DI182" s="938" t="str">
        <f t="shared" si="921"/>
        <v xml:space="preserve"> </v>
      </c>
      <c r="DW182" s="938" t="str">
        <f t="shared" si="922"/>
        <v xml:space="preserve"> </v>
      </c>
      <c r="DX182" s="938" t="str">
        <f t="shared" si="923"/>
        <v xml:space="preserve"> </v>
      </c>
      <c r="EL182" s="938" t="str">
        <f t="shared" si="924"/>
        <v xml:space="preserve"> </v>
      </c>
      <c r="EM182" s="938" t="str">
        <f t="shared" si="925"/>
        <v xml:space="preserve"> </v>
      </c>
      <c r="FA182" s="938" t="str">
        <f t="shared" si="926"/>
        <v xml:space="preserve"> </v>
      </c>
      <c r="FB182" s="938" t="str">
        <f t="shared" si="927"/>
        <v xml:space="preserve"> </v>
      </c>
      <c r="FP182" s="938" t="str">
        <f t="shared" si="928"/>
        <v xml:space="preserve"> </v>
      </c>
      <c r="FQ182" s="938" t="str">
        <f t="shared" si="929"/>
        <v xml:space="preserve"> </v>
      </c>
      <c r="GE182" s="938" t="str">
        <f t="shared" si="930"/>
        <v xml:space="preserve"> </v>
      </c>
      <c r="GF182" s="938" t="str">
        <f t="shared" si="931"/>
        <v xml:space="preserve"> </v>
      </c>
      <c r="GT182" s="938" t="str">
        <f t="shared" si="932"/>
        <v xml:space="preserve"> </v>
      </c>
      <c r="GU182" s="938" t="str">
        <f t="shared" si="933"/>
        <v xml:space="preserve"> </v>
      </c>
      <c r="HI182" s="938" t="str">
        <f t="shared" si="934"/>
        <v xml:space="preserve"> </v>
      </c>
      <c r="HJ182" s="938" t="str">
        <f t="shared" si="935"/>
        <v xml:space="preserve"> </v>
      </c>
      <c r="HX182" s="938" t="str">
        <f t="shared" si="936"/>
        <v xml:space="preserve"> </v>
      </c>
      <c r="HY182" s="938" t="str">
        <f t="shared" si="937"/>
        <v xml:space="preserve"> </v>
      </c>
      <c r="IM182" s="938" t="str">
        <f t="shared" si="938"/>
        <v xml:space="preserve"> </v>
      </c>
      <c r="IN182" s="938" t="str">
        <f t="shared" si="939"/>
        <v xml:space="preserve"> </v>
      </c>
      <c r="JB182" s="938" t="str">
        <f t="shared" si="940"/>
        <v xml:space="preserve"> </v>
      </c>
      <c r="JC182" s="938" t="str">
        <f t="shared" si="941"/>
        <v xml:space="preserve"> </v>
      </c>
      <c r="JQ182" s="938" t="str">
        <f t="shared" si="942"/>
        <v xml:space="preserve"> </v>
      </c>
      <c r="JR182" s="938" t="str">
        <f t="shared" si="943"/>
        <v xml:space="preserve"> </v>
      </c>
      <c r="KF182" s="938" t="str">
        <f t="shared" si="944"/>
        <v xml:space="preserve"> </v>
      </c>
      <c r="KG182" s="938" t="str">
        <f t="shared" si="945"/>
        <v xml:space="preserve"> </v>
      </c>
      <c r="KU182" s="938" t="str">
        <f t="shared" si="946"/>
        <v xml:space="preserve"> </v>
      </c>
      <c r="KV182" s="938" t="str">
        <f t="shared" si="947"/>
        <v xml:space="preserve"> </v>
      </c>
      <c r="LJ182" s="938" t="str">
        <f t="shared" si="948"/>
        <v xml:space="preserve"> </v>
      </c>
      <c r="LK182" s="938" t="str">
        <f t="shared" si="949"/>
        <v xml:space="preserve"> </v>
      </c>
      <c r="LY182" s="938" t="str">
        <f t="shared" si="950"/>
        <v xml:space="preserve"> </v>
      </c>
      <c r="LZ182" s="938" t="str">
        <f t="shared" si="951"/>
        <v xml:space="preserve"> </v>
      </c>
      <c r="MN182" s="938" t="str">
        <f t="shared" si="952"/>
        <v xml:space="preserve"> </v>
      </c>
      <c r="MO182" s="938" t="str">
        <f t="shared" si="953"/>
        <v xml:space="preserve"> </v>
      </c>
      <c r="NC182" s="938" t="str">
        <f t="shared" si="954"/>
        <v xml:space="preserve"> </v>
      </c>
      <c r="ND182" s="938" t="str">
        <f t="shared" si="955"/>
        <v xml:space="preserve"> </v>
      </c>
      <c r="NR182" s="938" t="str">
        <f t="shared" si="956"/>
        <v xml:space="preserve"> </v>
      </c>
      <c r="NS182" s="938" t="str">
        <f t="shared" si="957"/>
        <v xml:space="preserve"> </v>
      </c>
      <c r="OG182" s="938" t="str">
        <f t="shared" si="958"/>
        <v xml:space="preserve"> </v>
      </c>
      <c r="OH182" s="938" t="str">
        <f t="shared" si="959"/>
        <v xml:space="preserve"> </v>
      </c>
      <c r="OV182" s="938" t="str">
        <f t="shared" si="960"/>
        <v xml:space="preserve"> </v>
      </c>
      <c r="OW182" s="938" t="str">
        <f t="shared" si="961"/>
        <v xml:space="preserve"> </v>
      </c>
      <c r="PK182" s="938" t="str">
        <f t="shared" si="962"/>
        <v xml:space="preserve"> </v>
      </c>
      <c r="PL182" s="938" t="str">
        <f t="shared" si="963"/>
        <v xml:space="preserve"> </v>
      </c>
      <c r="PZ182" s="938" t="str">
        <f t="shared" si="964"/>
        <v xml:space="preserve"> </v>
      </c>
      <c r="QA182" s="938" t="str">
        <f t="shared" si="965"/>
        <v xml:space="preserve"> </v>
      </c>
      <c r="QO182" s="938" t="str">
        <f t="shared" si="966"/>
        <v xml:space="preserve"> </v>
      </c>
      <c r="QP182" s="938" t="str">
        <f t="shared" si="967"/>
        <v xml:space="preserve"> </v>
      </c>
      <c r="RD182" s="938" t="str">
        <f t="shared" si="968"/>
        <v xml:space="preserve"> </v>
      </c>
      <c r="RE182" s="938" t="str">
        <f t="shared" si="969"/>
        <v xml:space="preserve"> </v>
      </c>
    </row>
    <row r="183" spans="28:473" x14ac:dyDescent="0.2">
      <c r="AB183" s="836" t="str">
        <f t="shared" si="906"/>
        <v/>
      </c>
      <c r="AC183" s="714">
        <f t="shared" si="907"/>
        <v>0</v>
      </c>
      <c r="AD183" s="714">
        <v>4.8999999999999998E-4</v>
      </c>
      <c r="AE183" s="714">
        <v>49</v>
      </c>
      <c r="AF183" t="str">
        <v>STRO-M1</v>
      </c>
      <c r="AG183" s="714">
        <f t="shared" si="908"/>
        <v>0</v>
      </c>
      <c r="AH183" s="714">
        <f t="shared" si="909"/>
        <v>0</v>
      </c>
      <c r="AK183" s="938" t="str">
        <f t="shared" si="910"/>
        <v xml:space="preserve"> </v>
      </c>
      <c r="AL183" s="938" t="str">
        <f t="shared" si="911"/>
        <v xml:space="preserve"> </v>
      </c>
      <c r="AZ183" s="938" t="str">
        <f t="shared" si="912"/>
        <v xml:space="preserve"> </v>
      </c>
      <c r="BA183" s="938" t="str">
        <f t="shared" si="913"/>
        <v xml:space="preserve"> </v>
      </c>
      <c r="BO183" s="938" t="str">
        <f t="shared" si="914"/>
        <v xml:space="preserve"> </v>
      </c>
      <c r="BP183" s="938" t="str">
        <f t="shared" si="915"/>
        <v xml:space="preserve"> </v>
      </c>
      <c r="CD183" s="938" t="str">
        <f t="shared" si="916"/>
        <v xml:space="preserve"> </v>
      </c>
      <c r="CE183" s="938" t="str">
        <f t="shared" si="917"/>
        <v xml:space="preserve"> </v>
      </c>
      <c r="CS183" s="938" t="str">
        <f t="shared" si="918"/>
        <v xml:space="preserve"> </v>
      </c>
      <c r="CT183" s="938" t="str">
        <f t="shared" si="919"/>
        <v xml:space="preserve"> </v>
      </c>
      <c r="DH183" s="938" t="str">
        <f t="shared" si="920"/>
        <v xml:space="preserve"> </v>
      </c>
      <c r="DI183" s="938" t="str">
        <f t="shared" si="921"/>
        <v xml:space="preserve"> </v>
      </c>
      <c r="DW183" s="938" t="str">
        <f t="shared" si="922"/>
        <v xml:space="preserve"> </v>
      </c>
      <c r="DX183" s="938" t="str">
        <f t="shared" si="923"/>
        <v xml:space="preserve"> </v>
      </c>
      <c r="EL183" s="938" t="str">
        <f t="shared" si="924"/>
        <v xml:space="preserve"> </v>
      </c>
      <c r="EM183" s="938" t="str">
        <f t="shared" si="925"/>
        <v xml:space="preserve"> </v>
      </c>
      <c r="FA183" s="938" t="str">
        <f t="shared" si="926"/>
        <v xml:space="preserve"> </v>
      </c>
      <c r="FB183" s="938" t="str">
        <f t="shared" si="927"/>
        <v xml:space="preserve"> </v>
      </c>
      <c r="FP183" s="938" t="str">
        <f t="shared" si="928"/>
        <v xml:space="preserve"> </v>
      </c>
      <c r="FQ183" s="938" t="str">
        <f t="shared" si="929"/>
        <v xml:space="preserve"> </v>
      </c>
      <c r="GE183" s="938" t="str">
        <f t="shared" si="930"/>
        <v xml:space="preserve"> </v>
      </c>
      <c r="GF183" s="938" t="str">
        <f t="shared" si="931"/>
        <v xml:space="preserve"> </v>
      </c>
      <c r="GT183" s="938" t="str">
        <f t="shared" si="932"/>
        <v xml:space="preserve"> </v>
      </c>
      <c r="GU183" s="938" t="str">
        <f t="shared" si="933"/>
        <v xml:space="preserve"> </v>
      </c>
      <c r="HI183" s="938" t="str">
        <f t="shared" si="934"/>
        <v xml:space="preserve"> </v>
      </c>
      <c r="HJ183" s="938" t="str">
        <f t="shared" si="935"/>
        <v xml:space="preserve"> </v>
      </c>
      <c r="HX183" s="938" t="str">
        <f t="shared" si="936"/>
        <v xml:space="preserve"> </v>
      </c>
      <c r="HY183" s="938" t="str">
        <f t="shared" si="937"/>
        <v xml:space="preserve"> </v>
      </c>
      <c r="IM183" s="938" t="str">
        <f t="shared" si="938"/>
        <v xml:space="preserve"> </v>
      </c>
      <c r="IN183" s="938" t="str">
        <f t="shared" si="939"/>
        <v xml:space="preserve"> </v>
      </c>
      <c r="JB183" s="938" t="str">
        <f t="shared" si="940"/>
        <v xml:space="preserve"> </v>
      </c>
      <c r="JC183" s="938" t="str">
        <f t="shared" si="941"/>
        <v xml:space="preserve"> </v>
      </c>
      <c r="JQ183" s="938" t="str">
        <f t="shared" si="942"/>
        <v xml:space="preserve"> </v>
      </c>
      <c r="JR183" s="938" t="str">
        <f t="shared" si="943"/>
        <v xml:space="preserve"> </v>
      </c>
      <c r="KF183" s="938" t="str">
        <f t="shared" si="944"/>
        <v xml:space="preserve"> </v>
      </c>
      <c r="KG183" s="938" t="str">
        <f t="shared" si="945"/>
        <v xml:space="preserve"> </v>
      </c>
      <c r="KU183" s="938" t="str">
        <f t="shared" si="946"/>
        <v xml:space="preserve"> </v>
      </c>
      <c r="KV183" s="938" t="str">
        <f t="shared" si="947"/>
        <v xml:space="preserve"> </v>
      </c>
      <c r="LJ183" s="938" t="str">
        <f t="shared" si="948"/>
        <v xml:space="preserve"> </v>
      </c>
      <c r="LK183" s="938" t="str">
        <f t="shared" si="949"/>
        <v xml:space="preserve"> </v>
      </c>
      <c r="LY183" s="938" t="str">
        <f t="shared" si="950"/>
        <v xml:space="preserve"> </v>
      </c>
      <c r="LZ183" s="938" t="str">
        <f t="shared" si="951"/>
        <v xml:space="preserve"> </v>
      </c>
      <c r="MN183" s="938" t="str">
        <f t="shared" si="952"/>
        <v xml:space="preserve"> </v>
      </c>
      <c r="MO183" s="938" t="str">
        <f t="shared" si="953"/>
        <v xml:space="preserve"> </v>
      </c>
      <c r="NC183" s="938" t="str">
        <f t="shared" si="954"/>
        <v xml:space="preserve"> </v>
      </c>
      <c r="ND183" s="938" t="str">
        <f t="shared" si="955"/>
        <v xml:space="preserve"> </v>
      </c>
      <c r="NR183" s="938" t="str">
        <f t="shared" si="956"/>
        <v xml:space="preserve"> </v>
      </c>
      <c r="NS183" s="938" t="str">
        <f t="shared" si="957"/>
        <v xml:space="preserve"> </v>
      </c>
      <c r="OG183" s="938" t="str">
        <f t="shared" si="958"/>
        <v xml:space="preserve"> </v>
      </c>
      <c r="OH183" s="938" t="str">
        <f t="shared" si="959"/>
        <v xml:space="preserve"> </v>
      </c>
      <c r="OV183" s="938" t="str">
        <f t="shared" si="960"/>
        <v xml:space="preserve"> </v>
      </c>
      <c r="OW183" s="938" t="str">
        <f t="shared" si="961"/>
        <v xml:space="preserve"> </v>
      </c>
      <c r="PK183" s="938" t="str">
        <f t="shared" si="962"/>
        <v xml:space="preserve"> </v>
      </c>
      <c r="PL183" s="938" t="str">
        <f t="shared" si="963"/>
        <v xml:space="preserve"> </v>
      </c>
      <c r="PZ183" s="938" t="str">
        <f t="shared" si="964"/>
        <v xml:space="preserve"> </v>
      </c>
      <c r="QA183" s="938" t="str">
        <f t="shared" si="965"/>
        <v xml:space="preserve"> </v>
      </c>
      <c r="QO183" s="938" t="str">
        <f t="shared" si="966"/>
        <v xml:space="preserve"> </v>
      </c>
      <c r="QP183" s="938" t="str">
        <f t="shared" si="967"/>
        <v xml:space="preserve"> </v>
      </c>
      <c r="RD183" s="938" t="str">
        <f t="shared" si="968"/>
        <v xml:space="preserve"> </v>
      </c>
      <c r="RE183" s="938" t="str">
        <f t="shared" si="969"/>
        <v xml:space="preserve"> </v>
      </c>
    </row>
    <row r="184" spans="28:473" x14ac:dyDescent="0.2">
      <c r="AB184" s="836" t="str">
        <f t="shared" si="906"/>
        <v/>
      </c>
      <c r="AC184" s="714">
        <f t="shared" si="907"/>
        <v>0</v>
      </c>
      <c r="AD184" s="714">
        <v>5.0000000000000001E-4</v>
      </c>
      <c r="AE184" s="714">
        <v>50</v>
      </c>
      <c r="AF184" t="str">
        <v>STREU1</v>
      </c>
      <c r="AG184" s="714">
        <f t="shared" si="908"/>
        <v>0</v>
      </c>
      <c r="AH184" s="714">
        <f t="shared" si="909"/>
        <v>0</v>
      </c>
      <c r="AK184" s="938" t="str">
        <f t="shared" si="910"/>
        <v xml:space="preserve"> </v>
      </c>
      <c r="AL184" s="938" t="str">
        <f t="shared" si="911"/>
        <v xml:space="preserve"> </v>
      </c>
      <c r="AZ184" s="938" t="str">
        <f t="shared" si="912"/>
        <v xml:space="preserve"> </v>
      </c>
      <c r="BA184" s="938" t="str">
        <f t="shared" si="913"/>
        <v xml:space="preserve"> </v>
      </c>
      <c r="BO184" s="938" t="str">
        <f t="shared" si="914"/>
        <v xml:space="preserve"> </v>
      </c>
      <c r="BP184" s="938" t="str">
        <f t="shared" si="915"/>
        <v xml:space="preserve"> </v>
      </c>
      <c r="CD184" s="938" t="str">
        <f t="shared" si="916"/>
        <v xml:space="preserve"> </v>
      </c>
      <c r="CE184" s="938" t="str">
        <f t="shared" si="917"/>
        <v xml:space="preserve"> </v>
      </c>
      <c r="CS184" s="938" t="str">
        <f t="shared" si="918"/>
        <v xml:space="preserve"> </v>
      </c>
      <c r="CT184" s="938" t="str">
        <f t="shared" si="919"/>
        <v xml:space="preserve"> </v>
      </c>
      <c r="DH184" s="938" t="str">
        <f t="shared" si="920"/>
        <v xml:space="preserve"> </v>
      </c>
      <c r="DI184" s="938" t="str">
        <f t="shared" si="921"/>
        <v xml:space="preserve"> </v>
      </c>
      <c r="DW184" s="938" t="str">
        <f t="shared" si="922"/>
        <v xml:space="preserve"> </v>
      </c>
      <c r="DX184" s="938" t="str">
        <f t="shared" si="923"/>
        <v xml:space="preserve"> </v>
      </c>
      <c r="EL184" s="938" t="str">
        <f t="shared" si="924"/>
        <v xml:space="preserve"> </v>
      </c>
      <c r="EM184" s="938" t="str">
        <f t="shared" si="925"/>
        <v xml:space="preserve"> </v>
      </c>
      <c r="FA184" s="938" t="str">
        <f t="shared" si="926"/>
        <v xml:space="preserve"> </v>
      </c>
      <c r="FB184" s="938" t="str">
        <f t="shared" si="927"/>
        <v xml:space="preserve"> </v>
      </c>
      <c r="FP184" s="938" t="str">
        <f t="shared" si="928"/>
        <v xml:space="preserve"> </v>
      </c>
      <c r="FQ184" s="938" t="str">
        <f t="shared" si="929"/>
        <v xml:space="preserve"> </v>
      </c>
      <c r="GE184" s="938" t="str">
        <f t="shared" si="930"/>
        <v xml:space="preserve"> </v>
      </c>
      <c r="GF184" s="938" t="str">
        <f t="shared" si="931"/>
        <v xml:space="preserve"> </v>
      </c>
      <c r="GT184" s="938" t="str">
        <f t="shared" si="932"/>
        <v xml:space="preserve"> </v>
      </c>
      <c r="GU184" s="938" t="str">
        <f t="shared" si="933"/>
        <v xml:space="preserve"> </v>
      </c>
      <c r="HI184" s="938" t="str">
        <f t="shared" si="934"/>
        <v xml:space="preserve"> </v>
      </c>
      <c r="HJ184" s="938" t="str">
        <f t="shared" si="935"/>
        <v xml:space="preserve"> </v>
      </c>
      <c r="HX184" s="938" t="str">
        <f t="shared" si="936"/>
        <v xml:space="preserve"> </v>
      </c>
      <c r="HY184" s="938" t="str">
        <f t="shared" si="937"/>
        <v xml:space="preserve"> </v>
      </c>
      <c r="IM184" s="938" t="str">
        <f t="shared" si="938"/>
        <v xml:space="preserve"> </v>
      </c>
      <c r="IN184" s="938" t="str">
        <f t="shared" si="939"/>
        <v xml:space="preserve"> </v>
      </c>
      <c r="JB184" s="938" t="str">
        <f t="shared" si="940"/>
        <v xml:space="preserve"> </v>
      </c>
      <c r="JC184" s="938" t="str">
        <f t="shared" si="941"/>
        <v xml:space="preserve"> </v>
      </c>
      <c r="JQ184" s="938" t="str">
        <f t="shared" si="942"/>
        <v xml:space="preserve"> </v>
      </c>
      <c r="JR184" s="938" t="str">
        <f t="shared" si="943"/>
        <v xml:space="preserve"> </v>
      </c>
      <c r="KF184" s="938" t="str">
        <f t="shared" si="944"/>
        <v xml:space="preserve"> </v>
      </c>
      <c r="KG184" s="938" t="str">
        <f t="shared" si="945"/>
        <v xml:space="preserve"> </v>
      </c>
      <c r="KU184" s="938" t="str">
        <f t="shared" si="946"/>
        <v xml:space="preserve"> </v>
      </c>
      <c r="KV184" s="938" t="str">
        <f t="shared" si="947"/>
        <v xml:space="preserve"> </v>
      </c>
      <c r="LJ184" s="938" t="str">
        <f t="shared" si="948"/>
        <v xml:space="preserve"> </v>
      </c>
      <c r="LK184" s="938" t="str">
        <f t="shared" si="949"/>
        <v xml:space="preserve"> </v>
      </c>
      <c r="LY184" s="938" t="str">
        <f t="shared" si="950"/>
        <v xml:space="preserve"> </v>
      </c>
      <c r="LZ184" s="938" t="str">
        <f t="shared" si="951"/>
        <v xml:space="preserve"> </v>
      </c>
      <c r="MN184" s="938" t="str">
        <f t="shared" si="952"/>
        <v xml:space="preserve"> </v>
      </c>
      <c r="MO184" s="938" t="str">
        <f t="shared" si="953"/>
        <v xml:space="preserve"> </v>
      </c>
      <c r="NC184" s="938" t="str">
        <f t="shared" si="954"/>
        <v xml:space="preserve"> </v>
      </c>
      <c r="ND184" s="938" t="str">
        <f t="shared" si="955"/>
        <v xml:space="preserve"> </v>
      </c>
      <c r="NR184" s="938" t="str">
        <f t="shared" si="956"/>
        <v xml:space="preserve"> </v>
      </c>
      <c r="NS184" s="938" t="str">
        <f t="shared" si="957"/>
        <v xml:space="preserve"> </v>
      </c>
      <c r="OG184" s="938" t="str">
        <f t="shared" si="958"/>
        <v xml:space="preserve"> </v>
      </c>
      <c r="OH184" s="938" t="str">
        <f t="shared" si="959"/>
        <v xml:space="preserve"> </v>
      </c>
      <c r="OV184" s="938" t="str">
        <f t="shared" si="960"/>
        <v xml:space="preserve"> </v>
      </c>
      <c r="OW184" s="938" t="str">
        <f t="shared" si="961"/>
        <v xml:space="preserve"> </v>
      </c>
      <c r="PK184" s="938" t="str">
        <f t="shared" si="962"/>
        <v xml:space="preserve"> </v>
      </c>
      <c r="PL184" s="938" t="str">
        <f t="shared" si="963"/>
        <v xml:space="preserve"> </v>
      </c>
      <c r="PZ184" s="938" t="str">
        <f t="shared" si="964"/>
        <v xml:space="preserve"> </v>
      </c>
      <c r="QA184" s="938" t="str">
        <f t="shared" si="965"/>
        <v xml:space="preserve"> </v>
      </c>
      <c r="QO184" s="938" t="str">
        <f t="shared" si="966"/>
        <v xml:space="preserve"> </v>
      </c>
      <c r="QP184" s="938" t="str">
        <f t="shared" si="967"/>
        <v xml:space="preserve"> </v>
      </c>
      <c r="RD184" s="938" t="str">
        <f t="shared" si="968"/>
        <v xml:space="preserve"> </v>
      </c>
      <c r="RE184" s="938" t="str">
        <f t="shared" si="969"/>
        <v xml:space="preserve"> </v>
      </c>
    </row>
    <row r="185" spans="28:473" x14ac:dyDescent="0.2">
      <c r="AB185" s="836" t="str">
        <f t="shared" si="906"/>
        <v/>
      </c>
      <c r="AC185" s="714">
        <f t="shared" si="907"/>
        <v>0</v>
      </c>
      <c r="AD185" s="714">
        <v>5.1000000000000004E-4</v>
      </c>
      <c r="AE185" s="714">
        <v>51</v>
      </c>
      <c r="AF185" t="str">
        <v>P840</v>
      </c>
      <c r="AG185" s="714">
        <f t="shared" si="908"/>
        <v>0</v>
      </c>
      <c r="AH185" s="714">
        <f t="shared" si="909"/>
        <v>0</v>
      </c>
      <c r="AK185" s="938" t="str">
        <f t="shared" si="910"/>
        <v xml:space="preserve"> </v>
      </c>
      <c r="AL185" s="938" t="str">
        <f t="shared" si="911"/>
        <v xml:space="preserve"> </v>
      </c>
      <c r="AZ185" s="938" t="str">
        <f t="shared" si="912"/>
        <v xml:space="preserve"> </v>
      </c>
      <c r="BA185" s="938" t="str">
        <f t="shared" si="913"/>
        <v xml:space="preserve"> </v>
      </c>
      <c r="BO185" s="938" t="str">
        <f t="shared" si="914"/>
        <v xml:space="preserve"> </v>
      </c>
      <c r="BP185" s="938" t="str">
        <f t="shared" si="915"/>
        <v xml:space="preserve"> </v>
      </c>
      <c r="CD185" s="938" t="str">
        <f t="shared" si="916"/>
        <v xml:space="preserve"> </v>
      </c>
      <c r="CE185" s="938" t="str">
        <f t="shared" si="917"/>
        <v xml:space="preserve"> </v>
      </c>
      <c r="CS185" s="938" t="str">
        <f t="shared" si="918"/>
        <v xml:space="preserve"> </v>
      </c>
      <c r="CT185" s="938" t="str">
        <f t="shared" si="919"/>
        <v xml:space="preserve"> </v>
      </c>
      <c r="DH185" s="938" t="str">
        <f t="shared" si="920"/>
        <v xml:space="preserve"> </v>
      </c>
      <c r="DI185" s="938" t="str">
        <f t="shared" si="921"/>
        <v xml:space="preserve"> </v>
      </c>
      <c r="DW185" s="938" t="str">
        <f t="shared" si="922"/>
        <v xml:space="preserve"> </v>
      </c>
      <c r="DX185" s="938" t="str">
        <f t="shared" si="923"/>
        <v xml:space="preserve"> </v>
      </c>
      <c r="EL185" s="938" t="str">
        <f t="shared" si="924"/>
        <v xml:space="preserve"> </v>
      </c>
      <c r="EM185" s="938" t="str">
        <f t="shared" si="925"/>
        <v xml:space="preserve"> </v>
      </c>
      <c r="FA185" s="938" t="str">
        <f t="shared" si="926"/>
        <v xml:space="preserve"> </v>
      </c>
      <c r="FB185" s="938" t="str">
        <f t="shared" si="927"/>
        <v xml:space="preserve"> </v>
      </c>
      <c r="FP185" s="938" t="str">
        <f t="shared" si="928"/>
        <v xml:space="preserve"> </v>
      </c>
      <c r="FQ185" s="938" t="str">
        <f t="shared" si="929"/>
        <v xml:space="preserve"> </v>
      </c>
      <c r="GE185" s="938" t="str">
        <f t="shared" si="930"/>
        <v xml:space="preserve"> </v>
      </c>
      <c r="GF185" s="938" t="str">
        <f t="shared" si="931"/>
        <v xml:space="preserve"> </v>
      </c>
      <c r="GT185" s="938" t="str">
        <f t="shared" si="932"/>
        <v xml:space="preserve"> </v>
      </c>
      <c r="GU185" s="938" t="str">
        <f t="shared" si="933"/>
        <v xml:space="preserve"> </v>
      </c>
      <c r="HI185" s="938" t="str">
        <f t="shared" si="934"/>
        <v xml:space="preserve"> </v>
      </c>
      <c r="HJ185" s="938" t="str">
        <f t="shared" si="935"/>
        <v xml:space="preserve"> </v>
      </c>
      <c r="HX185" s="938" t="str">
        <f t="shared" si="936"/>
        <v xml:space="preserve"> </v>
      </c>
      <c r="HY185" s="938" t="str">
        <f t="shared" si="937"/>
        <v xml:space="preserve"> </v>
      </c>
      <c r="IM185" s="938" t="str">
        <f t="shared" si="938"/>
        <v xml:space="preserve"> </v>
      </c>
      <c r="IN185" s="938" t="str">
        <f t="shared" si="939"/>
        <v xml:space="preserve"> </v>
      </c>
      <c r="JB185" s="938" t="str">
        <f t="shared" si="940"/>
        <v xml:space="preserve"> </v>
      </c>
      <c r="JC185" s="938" t="str">
        <f t="shared" si="941"/>
        <v xml:space="preserve"> </v>
      </c>
      <c r="JQ185" s="938" t="str">
        <f t="shared" si="942"/>
        <v xml:space="preserve"> </v>
      </c>
      <c r="JR185" s="938" t="str">
        <f t="shared" si="943"/>
        <v xml:space="preserve"> </v>
      </c>
      <c r="KF185" s="938" t="str">
        <f t="shared" si="944"/>
        <v xml:space="preserve"> </v>
      </c>
      <c r="KG185" s="938" t="str">
        <f t="shared" si="945"/>
        <v xml:space="preserve"> </v>
      </c>
      <c r="KU185" s="938" t="str">
        <f t="shared" si="946"/>
        <v xml:space="preserve"> </v>
      </c>
      <c r="KV185" s="938" t="str">
        <f t="shared" si="947"/>
        <v xml:space="preserve"> </v>
      </c>
      <c r="LJ185" s="938" t="str">
        <f t="shared" si="948"/>
        <v xml:space="preserve"> </v>
      </c>
      <c r="LK185" s="938" t="str">
        <f t="shared" si="949"/>
        <v xml:space="preserve"> </v>
      </c>
      <c r="LY185" s="938" t="str">
        <f t="shared" si="950"/>
        <v xml:space="preserve"> </v>
      </c>
      <c r="LZ185" s="938" t="str">
        <f t="shared" si="951"/>
        <v xml:space="preserve"> </v>
      </c>
      <c r="MN185" s="938" t="str">
        <f t="shared" si="952"/>
        <v xml:space="preserve"> </v>
      </c>
      <c r="MO185" s="938" t="str">
        <f t="shared" si="953"/>
        <v xml:space="preserve"> </v>
      </c>
      <c r="NC185" s="938" t="str">
        <f t="shared" si="954"/>
        <v xml:space="preserve"> </v>
      </c>
      <c r="ND185" s="938" t="str">
        <f t="shared" si="955"/>
        <v xml:space="preserve"> </v>
      </c>
      <c r="NR185" s="938" t="str">
        <f t="shared" si="956"/>
        <v xml:space="preserve"> </v>
      </c>
      <c r="NS185" s="938" t="str">
        <f t="shared" si="957"/>
        <v xml:space="preserve"> </v>
      </c>
      <c r="OG185" s="938" t="str">
        <f t="shared" si="958"/>
        <v xml:space="preserve"> </v>
      </c>
      <c r="OH185" s="938" t="str">
        <f t="shared" si="959"/>
        <v xml:space="preserve"> </v>
      </c>
      <c r="OV185" s="938" t="str">
        <f t="shared" si="960"/>
        <v xml:space="preserve"> </v>
      </c>
      <c r="OW185" s="938" t="str">
        <f t="shared" si="961"/>
        <v xml:space="preserve"> </v>
      </c>
      <c r="PK185" s="938" t="str">
        <f t="shared" si="962"/>
        <v xml:space="preserve"> </v>
      </c>
      <c r="PL185" s="938" t="str">
        <f t="shared" si="963"/>
        <v xml:space="preserve"> </v>
      </c>
      <c r="PZ185" s="938" t="str">
        <f t="shared" si="964"/>
        <v xml:space="preserve"> </v>
      </c>
      <c r="QA185" s="938" t="str">
        <f t="shared" si="965"/>
        <v xml:space="preserve"> </v>
      </c>
      <c r="QO185" s="938" t="str">
        <f t="shared" si="966"/>
        <v xml:space="preserve"> </v>
      </c>
      <c r="QP185" s="938" t="str">
        <f t="shared" si="967"/>
        <v xml:space="preserve"> </v>
      </c>
      <c r="RD185" s="938" t="str">
        <f t="shared" si="968"/>
        <v xml:space="preserve"> </v>
      </c>
      <c r="RE185" s="938" t="str">
        <f t="shared" si="969"/>
        <v xml:space="preserve"> </v>
      </c>
    </row>
    <row r="186" spans="28:473" x14ac:dyDescent="0.2">
      <c r="AB186" s="836" t="str">
        <f t="shared" si="906"/>
        <v/>
      </c>
      <c r="AC186" s="714">
        <f t="shared" si="907"/>
        <v>0</v>
      </c>
      <c r="AD186" s="714">
        <v>5.1999999999999995E-4</v>
      </c>
      <c r="AE186" s="714">
        <v>52</v>
      </c>
      <c r="AF186" t="str">
        <v>HEILGEW-F</v>
      </c>
      <c r="AG186" s="714">
        <f t="shared" si="908"/>
        <v>0</v>
      </c>
      <c r="AH186" s="714">
        <f t="shared" si="909"/>
        <v>0</v>
      </c>
      <c r="AK186" s="938" t="str">
        <f t="shared" si="910"/>
        <v xml:space="preserve"> </v>
      </c>
      <c r="AL186" s="938" t="str">
        <f t="shared" si="911"/>
        <v xml:space="preserve"> </v>
      </c>
      <c r="AZ186" s="938" t="str">
        <f t="shared" si="912"/>
        <v xml:space="preserve"> </v>
      </c>
      <c r="BA186" s="938" t="str">
        <f t="shared" si="913"/>
        <v xml:space="preserve"> </v>
      </c>
      <c r="BO186" s="938" t="str">
        <f t="shared" si="914"/>
        <v xml:space="preserve"> </v>
      </c>
      <c r="BP186" s="938" t="str">
        <f t="shared" si="915"/>
        <v xml:space="preserve"> </v>
      </c>
      <c r="CD186" s="938" t="str">
        <f t="shared" si="916"/>
        <v xml:space="preserve"> </v>
      </c>
      <c r="CE186" s="938" t="str">
        <f t="shared" si="917"/>
        <v xml:space="preserve"> </v>
      </c>
      <c r="CS186" s="938" t="str">
        <f t="shared" si="918"/>
        <v xml:space="preserve"> </v>
      </c>
      <c r="CT186" s="938" t="str">
        <f t="shared" si="919"/>
        <v xml:space="preserve"> </v>
      </c>
      <c r="DH186" s="938" t="str">
        <f t="shared" si="920"/>
        <v xml:space="preserve"> </v>
      </c>
      <c r="DI186" s="938" t="str">
        <f t="shared" si="921"/>
        <v xml:space="preserve"> </v>
      </c>
      <c r="DW186" s="938" t="str">
        <f t="shared" si="922"/>
        <v xml:space="preserve"> </v>
      </c>
      <c r="DX186" s="938" t="str">
        <f t="shared" si="923"/>
        <v xml:space="preserve"> </v>
      </c>
      <c r="EL186" s="938" t="str">
        <f t="shared" si="924"/>
        <v xml:space="preserve"> </v>
      </c>
      <c r="EM186" s="938" t="str">
        <f t="shared" si="925"/>
        <v xml:space="preserve"> </v>
      </c>
      <c r="FA186" s="938" t="str">
        <f t="shared" si="926"/>
        <v xml:space="preserve"> </v>
      </c>
      <c r="FB186" s="938" t="str">
        <f t="shared" si="927"/>
        <v xml:space="preserve"> </v>
      </c>
      <c r="FP186" s="938" t="str">
        <f t="shared" si="928"/>
        <v xml:space="preserve"> </v>
      </c>
      <c r="FQ186" s="938" t="str">
        <f t="shared" si="929"/>
        <v xml:space="preserve"> </v>
      </c>
      <c r="GE186" s="938" t="str">
        <f t="shared" si="930"/>
        <v xml:space="preserve"> </v>
      </c>
      <c r="GF186" s="938" t="str">
        <f t="shared" si="931"/>
        <v xml:space="preserve"> </v>
      </c>
      <c r="GT186" s="938" t="str">
        <f t="shared" si="932"/>
        <v xml:space="preserve"> </v>
      </c>
      <c r="GU186" s="938" t="str">
        <f t="shared" si="933"/>
        <v xml:space="preserve"> </v>
      </c>
      <c r="HI186" s="938" t="str">
        <f t="shared" si="934"/>
        <v xml:space="preserve"> </v>
      </c>
      <c r="HJ186" s="938" t="str">
        <f t="shared" si="935"/>
        <v xml:space="preserve"> </v>
      </c>
      <c r="HX186" s="938" t="str">
        <f t="shared" si="936"/>
        <v xml:space="preserve"> </v>
      </c>
      <c r="HY186" s="938" t="str">
        <f t="shared" si="937"/>
        <v xml:space="preserve"> </v>
      </c>
      <c r="IM186" s="938" t="str">
        <f t="shared" si="938"/>
        <v xml:space="preserve"> </v>
      </c>
      <c r="IN186" s="938" t="str">
        <f t="shared" si="939"/>
        <v xml:space="preserve"> </v>
      </c>
      <c r="JB186" s="938" t="str">
        <f t="shared" si="940"/>
        <v xml:space="preserve"> </v>
      </c>
      <c r="JC186" s="938" t="str">
        <f t="shared" si="941"/>
        <v xml:space="preserve"> </v>
      </c>
      <c r="JQ186" s="938" t="str">
        <f t="shared" si="942"/>
        <v xml:space="preserve"> </v>
      </c>
      <c r="JR186" s="938" t="str">
        <f t="shared" si="943"/>
        <v xml:space="preserve"> </v>
      </c>
      <c r="KF186" s="938" t="str">
        <f t="shared" si="944"/>
        <v xml:space="preserve"> </v>
      </c>
      <c r="KG186" s="938" t="str">
        <f t="shared" si="945"/>
        <v xml:space="preserve"> </v>
      </c>
      <c r="KU186" s="938" t="str">
        <f t="shared" si="946"/>
        <v xml:space="preserve"> </v>
      </c>
      <c r="KV186" s="938" t="str">
        <f t="shared" si="947"/>
        <v xml:space="preserve"> </v>
      </c>
      <c r="LJ186" s="938" t="str">
        <f t="shared" si="948"/>
        <v xml:space="preserve"> </v>
      </c>
      <c r="LK186" s="938" t="str">
        <f t="shared" si="949"/>
        <v xml:space="preserve"> </v>
      </c>
      <c r="LY186" s="938" t="str">
        <f t="shared" si="950"/>
        <v xml:space="preserve"> </v>
      </c>
      <c r="LZ186" s="938" t="str">
        <f t="shared" si="951"/>
        <v xml:space="preserve"> </v>
      </c>
      <c r="MN186" s="938" t="str">
        <f t="shared" si="952"/>
        <v xml:space="preserve"> </v>
      </c>
      <c r="MO186" s="938" t="str">
        <f t="shared" si="953"/>
        <v xml:space="preserve"> </v>
      </c>
      <c r="NC186" s="938" t="str">
        <f t="shared" si="954"/>
        <v xml:space="preserve"> </v>
      </c>
      <c r="ND186" s="938" t="str">
        <f t="shared" si="955"/>
        <v xml:space="preserve"> </v>
      </c>
      <c r="NR186" s="938" t="str">
        <f t="shared" si="956"/>
        <v xml:space="preserve"> </v>
      </c>
      <c r="NS186" s="938" t="str">
        <f t="shared" si="957"/>
        <v xml:space="preserve"> </v>
      </c>
      <c r="OG186" s="938" t="str">
        <f t="shared" si="958"/>
        <v xml:space="preserve"> </v>
      </c>
      <c r="OH186" s="938" t="str">
        <f t="shared" si="959"/>
        <v xml:space="preserve"> </v>
      </c>
      <c r="OV186" s="938" t="str">
        <f t="shared" si="960"/>
        <v xml:space="preserve"> </v>
      </c>
      <c r="OW186" s="938" t="str">
        <f t="shared" si="961"/>
        <v xml:space="preserve"> </v>
      </c>
      <c r="PK186" s="938" t="str">
        <f t="shared" si="962"/>
        <v xml:space="preserve"> </v>
      </c>
      <c r="PL186" s="938" t="str">
        <f t="shared" si="963"/>
        <v xml:space="preserve"> </v>
      </c>
      <c r="PZ186" s="938" t="str">
        <f t="shared" si="964"/>
        <v xml:space="preserve"> </v>
      </c>
      <c r="QA186" s="938" t="str">
        <f t="shared" si="965"/>
        <v xml:space="preserve"> </v>
      </c>
      <c r="QO186" s="938" t="str">
        <f t="shared" si="966"/>
        <v xml:space="preserve"> </v>
      </c>
      <c r="QP186" s="938" t="str">
        <f t="shared" si="967"/>
        <v xml:space="preserve"> </v>
      </c>
      <c r="RD186" s="938" t="str">
        <f t="shared" si="968"/>
        <v xml:space="preserve"> </v>
      </c>
      <c r="RE186" s="938" t="str">
        <f t="shared" si="969"/>
        <v xml:space="preserve"> </v>
      </c>
    </row>
    <row r="187" spans="28:473" x14ac:dyDescent="0.2">
      <c r="AB187" s="836" t="str">
        <f t="shared" si="906"/>
        <v/>
      </c>
      <c r="AC187" s="714">
        <f t="shared" si="907"/>
        <v>0</v>
      </c>
      <c r="AD187" s="714">
        <v>5.2999999999999998E-4</v>
      </c>
      <c r="AE187" s="714">
        <v>53</v>
      </c>
      <c r="AF187" t="str">
        <v>HOPFR1</v>
      </c>
      <c r="AG187" s="714">
        <f t="shared" si="908"/>
        <v>0</v>
      </c>
      <c r="AH187" s="714">
        <f t="shared" si="909"/>
        <v>0</v>
      </c>
      <c r="AK187" s="938" t="str">
        <f t="shared" si="910"/>
        <v xml:space="preserve"> </v>
      </c>
      <c r="AL187" s="938" t="str">
        <f t="shared" si="911"/>
        <v xml:space="preserve"> </v>
      </c>
      <c r="AZ187" s="938" t="str">
        <f t="shared" si="912"/>
        <v xml:space="preserve"> </v>
      </c>
      <c r="BA187" s="938" t="str">
        <f t="shared" si="913"/>
        <v xml:space="preserve"> </v>
      </c>
      <c r="BO187" s="938" t="str">
        <f t="shared" si="914"/>
        <v xml:space="preserve"> </v>
      </c>
      <c r="BP187" s="938" t="str">
        <f t="shared" si="915"/>
        <v xml:space="preserve"> </v>
      </c>
      <c r="CD187" s="938" t="str">
        <f t="shared" si="916"/>
        <v xml:space="preserve"> </v>
      </c>
      <c r="CE187" s="938" t="str">
        <f t="shared" si="917"/>
        <v xml:space="preserve"> </v>
      </c>
      <c r="CS187" s="938" t="str">
        <f t="shared" si="918"/>
        <v xml:space="preserve"> </v>
      </c>
      <c r="CT187" s="938" t="str">
        <f t="shared" si="919"/>
        <v xml:space="preserve"> </v>
      </c>
      <c r="DH187" s="938" t="str">
        <f t="shared" si="920"/>
        <v xml:space="preserve"> </v>
      </c>
      <c r="DI187" s="938" t="str">
        <f t="shared" si="921"/>
        <v xml:space="preserve"> </v>
      </c>
      <c r="DW187" s="938" t="str">
        <f t="shared" si="922"/>
        <v xml:space="preserve"> </v>
      </c>
      <c r="DX187" s="938" t="str">
        <f t="shared" si="923"/>
        <v xml:space="preserve"> </v>
      </c>
      <c r="EL187" s="938" t="str">
        <f t="shared" si="924"/>
        <v xml:space="preserve"> </v>
      </c>
      <c r="EM187" s="938" t="str">
        <f t="shared" si="925"/>
        <v xml:space="preserve"> </v>
      </c>
      <c r="FA187" s="938" t="str">
        <f t="shared" si="926"/>
        <v xml:space="preserve"> </v>
      </c>
      <c r="FB187" s="938" t="str">
        <f t="shared" si="927"/>
        <v xml:space="preserve"> </v>
      </c>
      <c r="FP187" s="938" t="str">
        <f t="shared" si="928"/>
        <v xml:space="preserve"> </v>
      </c>
      <c r="FQ187" s="938" t="str">
        <f t="shared" si="929"/>
        <v xml:space="preserve"> </v>
      </c>
      <c r="GE187" s="938" t="str">
        <f t="shared" si="930"/>
        <v xml:space="preserve"> </v>
      </c>
      <c r="GF187" s="938" t="str">
        <f t="shared" si="931"/>
        <v xml:space="preserve"> </v>
      </c>
      <c r="GT187" s="938" t="str">
        <f t="shared" si="932"/>
        <v xml:space="preserve"> </v>
      </c>
      <c r="GU187" s="938" t="str">
        <f t="shared" si="933"/>
        <v xml:space="preserve"> </v>
      </c>
      <c r="HI187" s="938" t="str">
        <f t="shared" si="934"/>
        <v xml:space="preserve"> </v>
      </c>
      <c r="HJ187" s="938" t="str">
        <f t="shared" si="935"/>
        <v xml:space="preserve"> </v>
      </c>
      <c r="HX187" s="938" t="str">
        <f t="shared" si="936"/>
        <v xml:space="preserve"> </v>
      </c>
      <c r="HY187" s="938" t="str">
        <f t="shared" si="937"/>
        <v xml:space="preserve"> </v>
      </c>
      <c r="IM187" s="938" t="str">
        <f t="shared" si="938"/>
        <v xml:space="preserve"> </v>
      </c>
      <c r="IN187" s="938" t="str">
        <f t="shared" si="939"/>
        <v xml:space="preserve"> </v>
      </c>
      <c r="JB187" s="938" t="str">
        <f t="shared" si="940"/>
        <v xml:space="preserve"> </v>
      </c>
      <c r="JC187" s="938" t="str">
        <f t="shared" si="941"/>
        <v xml:space="preserve"> </v>
      </c>
      <c r="JQ187" s="938" t="str">
        <f t="shared" si="942"/>
        <v xml:space="preserve"> </v>
      </c>
      <c r="JR187" s="938" t="str">
        <f t="shared" si="943"/>
        <v xml:space="preserve"> </v>
      </c>
      <c r="KF187" s="938" t="str">
        <f t="shared" si="944"/>
        <v xml:space="preserve"> </v>
      </c>
      <c r="KG187" s="938" t="str">
        <f t="shared" si="945"/>
        <v xml:space="preserve"> </v>
      </c>
      <c r="KU187" s="938" t="str">
        <f t="shared" si="946"/>
        <v xml:space="preserve"> </v>
      </c>
      <c r="KV187" s="938" t="str">
        <f t="shared" si="947"/>
        <v xml:space="preserve"> </v>
      </c>
      <c r="LJ187" s="938" t="str">
        <f t="shared" si="948"/>
        <v xml:space="preserve"> </v>
      </c>
      <c r="LK187" s="938" t="str">
        <f t="shared" si="949"/>
        <v xml:space="preserve"> </v>
      </c>
      <c r="LY187" s="938" t="str">
        <f t="shared" si="950"/>
        <v xml:space="preserve"> </v>
      </c>
      <c r="LZ187" s="938" t="str">
        <f t="shared" si="951"/>
        <v xml:space="preserve"> </v>
      </c>
      <c r="MN187" s="938" t="str">
        <f t="shared" si="952"/>
        <v xml:space="preserve"> </v>
      </c>
      <c r="MO187" s="938" t="str">
        <f t="shared" si="953"/>
        <v xml:space="preserve"> </v>
      </c>
      <c r="NC187" s="938" t="str">
        <f t="shared" si="954"/>
        <v xml:space="preserve"> </v>
      </c>
      <c r="ND187" s="938" t="str">
        <f t="shared" si="955"/>
        <v xml:space="preserve"> </v>
      </c>
      <c r="NR187" s="938" t="str">
        <f t="shared" si="956"/>
        <v xml:space="preserve"> </v>
      </c>
      <c r="NS187" s="938" t="str">
        <f t="shared" si="957"/>
        <v xml:space="preserve"> </v>
      </c>
      <c r="OG187" s="938" t="str">
        <f t="shared" si="958"/>
        <v xml:space="preserve"> </v>
      </c>
      <c r="OH187" s="938" t="str">
        <f t="shared" si="959"/>
        <v xml:space="preserve"> </v>
      </c>
      <c r="OV187" s="938" t="str">
        <f t="shared" si="960"/>
        <v xml:space="preserve"> </v>
      </c>
      <c r="OW187" s="938" t="str">
        <f t="shared" si="961"/>
        <v xml:space="preserve"> </v>
      </c>
      <c r="PK187" s="938" t="str">
        <f t="shared" si="962"/>
        <v xml:space="preserve"> </v>
      </c>
      <c r="PL187" s="938" t="str">
        <f t="shared" si="963"/>
        <v xml:space="preserve"> </v>
      </c>
      <c r="PZ187" s="938" t="str">
        <f t="shared" si="964"/>
        <v xml:space="preserve"> </v>
      </c>
      <c r="QA187" s="938" t="str">
        <f t="shared" si="965"/>
        <v xml:space="preserve"> </v>
      </c>
      <c r="QO187" s="938" t="str">
        <f t="shared" si="966"/>
        <v xml:space="preserve"> </v>
      </c>
      <c r="QP187" s="938" t="str">
        <f t="shared" si="967"/>
        <v xml:space="preserve"> </v>
      </c>
      <c r="RD187" s="938" t="str">
        <f t="shared" si="968"/>
        <v xml:space="preserve"> </v>
      </c>
      <c r="RE187" s="938" t="str">
        <f t="shared" si="969"/>
        <v xml:space="preserve"> </v>
      </c>
    </row>
    <row r="188" spans="28:473" x14ac:dyDescent="0.2">
      <c r="AE188"/>
      <c r="AF188" s="691" t="str">
        <v>Weitere s. Vorauswahl</v>
      </c>
      <c r="AZ188" s="938"/>
      <c r="BA188" s="938"/>
      <c r="BO188" s="938"/>
      <c r="BP188" s="938"/>
      <c r="CD188" s="938"/>
      <c r="CE188" s="938"/>
      <c r="CS188" s="938"/>
      <c r="CT188" s="938"/>
      <c r="DH188" s="938"/>
      <c r="DI188" s="938"/>
      <c r="DW188" s="938"/>
      <c r="DX188" s="938"/>
      <c r="EL188" s="938"/>
      <c r="EM188" s="938"/>
      <c r="FA188" s="938"/>
      <c r="FB188" s="938"/>
      <c r="FP188" s="938"/>
      <c r="FQ188" s="938"/>
      <c r="GE188" s="938"/>
      <c r="GF188" s="938"/>
      <c r="GT188" s="938"/>
      <c r="GU188" s="938"/>
      <c r="HI188" s="938"/>
      <c r="HJ188" s="938"/>
      <c r="HX188" s="938"/>
      <c r="HY188" s="938"/>
      <c r="IM188" s="938"/>
      <c r="IN188" s="938"/>
      <c r="JB188" s="938"/>
      <c r="JC188" s="938"/>
      <c r="JQ188" s="938"/>
      <c r="JR188" s="938"/>
      <c r="KF188" s="938"/>
      <c r="KG188" s="938"/>
      <c r="KU188" s="938"/>
      <c r="KV188" s="938"/>
      <c r="LJ188" s="938"/>
      <c r="LK188" s="938"/>
      <c r="LY188" s="938"/>
      <c r="LZ188" s="938"/>
      <c r="MN188" s="938"/>
      <c r="MO188" s="938"/>
      <c r="NC188" s="938"/>
      <c r="ND188" s="938"/>
      <c r="NR188" s="938"/>
      <c r="NS188" s="938"/>
      <c r="OG188" s="938"/>
      <c r="OH188" s="938"/>
      <c r="OV188" s="938"/>
      <c r="OW188" s="938"/>
      <c r="PK188" s="938"/>
      <c r="PL188" s="938"/>
      <c r="PZ188" s="938"/>
      <c r="QA188" s="938"/>
      <c r="QO188" s="938"/>
      <c r="QP188" s="938"/>
      <c r="RD188" s="938"/>
      <c r="RE188" s="938"/>
    </row>
  </sheetData>
  <mergeCells count="1">
    <mergeCell ref="AD117:AE117"/>
  </mergeCells>
  <phoneticPr fontId="65" type="noConversion"/>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F8F896"/>
  </sheetPr>
  <dimension ref="A1:CU119"/>
  <sheetViews>
    <sheetView showGridLines="0" workbookViewId="0">
      <pane xSplit="6" ySplit="11" topLeftCell="G12" activePane="bottomRight" state="frozen"/>
      <selection activeCell="C8" sqref="C8:E8"/>
      <selection pane="topRight" activeCell="C8" sqref="C8:E8"/>
      <selection pane="bottomLeft" activeCell="C8" sqref="C8:E8"/>
      <selection pane="bottomRight" activeCell="H5" sqref="H5:J5"/>
    </sheetView>
  </sheetViews>
  <sheetFormatPr baseColWidth="10" defaultColWidth="11.42578125" defaultRowHeight="15.95" customHeight="1" x14ac:dyDescent="0.2"/>
  <cols>
    <col min="1" max="1" width="3.7109375" style="300" customWidth="1"/>
    <col min="2" max="2" width="21.7109375" style="300" customWidth="1"/>
    <col min="3" max="3" width="6.5703125" style="300" customWidth="1"/>
    <col min="4" max="4" width="3.140625" style="300" customWidth="1"/>
    <col min="5" max="5" width="4.7109375" style="300" customWidth="1"/>
    <col min="6" max="6" width="21.5703125" style="300" customWidth="1"/>
    <col min="7" max="7" width="12.28515625" style="300" customWidth="1"/>
    <col min="8" max="8" width="5.7109375" style="300" customWidth="1"/>
    <col min="9" max="10" width="3.85546875" style="300" customWidth="1"/>
    <col min="11" max="11" width="5.7109375" style="300" customWidth="1"/>
    <col min="12" max="13" width="3.85546875" style="300" customWidth="1"/>
    <col min="14" max="14" width="5.7109375" style="300" customWidth="1"/>
    <col min="15" max="16" width="3.85546875" style="300" customWidth="1"/>
    <col min="17" max="17" width="5.7109375" style="300" customWidth="1"/>
    <col min="18" max="19" width="3.85546875" style="300" customWidth="1"/>
    <col min="20" max="20" width="5.7109375" style="300" customWidth="1"/>
    <col min="21" max="22" width="3.85546875" style="300" customWidth="1"/>
    <col min="23" max="23" width="5.7109375" style="300" customWidth="1"/>
    <col min="24" max="25" width="3.85546875" style="300" customWidth="1"/>
    <col min="26" max="26" width="5.7109375" style="300" customWidth="1"/>
    <col min="27" max="28" width="3.85546875" style="300" customWidth="1"/>
    <col min="29" max="29" width="5.7109375" style="300" customWidth="1"/>
    <col min="30" max="31" width="3.85546875" style="300" customWidth="1"/>
    <col min="32" max="32" width="5.7109375" style="300" customWidth="1"/>
    <col min="33" max="34" width="3.85546875" style="300" customWidth="1"/>
    <col min="35" max="35" width="5.7109375" style="300" customWidth="1"/>
    <col min="36" max="37" width="3.85546875" style="300" customWidth="1"/>
    <col min="38" max="38" width="5.7109375" style="300" customWidth="1"/>
    <col min="39" max="40" width="3.85546875" style="300" customWidth="1"/>
    <col min="41" max="41" width="5.7109375" style="300" customWidth="1"/>
    <col min="42" max="43" width="3.85546875" style="300" customWidth="1"/>
    <col min="44" max="44" width="5.7109375" style="300" customWidth="1"/>
    <col min="45" max="46" width="3.85546875" style="300" customWidth="1"/>
    <col min="47" max="47" width="5.7109375" style="300" customWidth="1"/>
    <col min="48" max="49" width="3.85546875" style="300" customWidth="1"/>
    <col min="50" max="50" width="5.7109375" style="300" customWidth="1"/>
    <col min="51" max="52" width="3.85546875" style="300" customWidth="1"/>
    <col min="53" max="53" width="5.7109375" style="300" customWidth="1"/>
    <col min="54" max="55" width="3.85546875" style="300" customWidth="1"/>
    <col min="56" max="56" width="5.7109375" style="300" customWidth="1"/>
    <col min="57" max="58" width="3.85546875" style="300" customWidth="1"/>
    <col min="59" max="59" width="5.7109375" style="300" customWidth="1"/>
    <col min="60" max="61" width="3.85546875" style="300" customWidth="1"/>
    <col min="62" max="62" width="5.7109375" style="300" customWidth="1"/>
    <col min="63" max="64" width="3.85546875" style="300" customWidth="1"/>
    <col min="65" max="65" width="5.7109375" style="300" customWidth="1"/>
    <col min="66" max="67" width="3.85546875" style="300" customWidth="1"/>
    <col min="68" max="68" width="5.7109375" style="300" customWidth="1"/>
    <col min="69" max="70" width="3.85546875" style="300" customWidth="1"/>
    <col min="71" max="71" width="5.7109375" style="300" customWidth="1"/>
    <col min="72" max="73" width="3.85546875" style="300" customWidth="1"/>
    <col min="74" max="74" width="5.7109375" style="300" customWidth="1"/>
    <col min="75" max="76" width="3.85546875" style="300" customWidth="1"/>
    <col min="77" max="77" width="5.7109375" style="300" customWidth="1"/>
    <col min="78" max="79" width="3.85546875" style="300" customWidth="1"/>
    <col min="80" max="80" width="5.7109375" style="300" customWidth="1"/>
    <col min="81" max="82" width="3.85546875" style="300" customWidth="1"/>
    <col min="83" max="83" width="5.7109375" style="300" customWidth="1"/>
    <col min="84" max="85" width="3.85546875" style="300" customWidth="1"/>
    <col min="86" max="86" width="5.7109375" style="300" customWidth="1"/>
    <col min="87" max="88" width="3.85546875" style="300" customWidth="1"/>
    <col min="89" max="89" width="5.7109375" style="300" customWidth="1"/>
    <col min="90" max="91" width="3.85546875" style="300" customWidth="1"/>
    <col min="92" max="92" width="5.7109375" style="300" customWidth="1"/>
    <col min="93" max="94" width="3.85546875" style="300" customWidth="1"/>
    <col min="95" max="95" width="5.7109375" style="300" customWidth="1"/>
    <col min="96" max="97" width="3.85546875" style="300" customWidth="1"/>
    <col min="98" max="16384" width="11.42578125" style="300"/>
  </cols>
  <sheetData>
    <row r="1" spans="1:99" s="252" customFormat="1" ht="20.100000000000001" customHeight="1" x14ac:dyDescent="0.3">
      <c r="A1" s="1043"/>
      <c r="B1" s="1654" t="s">
        <v>1129</v>
      </c>
      <c r="C1" s="1654"/>
      <c r="D1" s="1654"/>
      <c r="E1" s="1654"/>
      <c r="F1" s="1654"/>
      <c r="G1" s="1041"/>
      <c r="H1" s="432"/>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78"/>
      <c r="AY1" s="878"/>
      <c r="AZ1" s="878"/>
      <c r="BA1" s="878"/>
      <c r="BB1" s="878"/>
      <c r="BC1" s="878"/>
      <c r="BD1" s="878"/>
      <c r="BE1" s="878"/>
      <c r="BF1" s="878"/>
      <c r="BG1" s="878"/>
      <c r="BH1" s="878"/>
      <c r="BI1" s="878"/>
      <c r="BJ1" s="878"/>
      <c r="BK1" s="878"/>
      <c r="BL1" s="878"/>
      <c r="BM1" s="878"/>
      <c r="BN1" s="878"/>
      <c r="BO1" s="878"/>
      <c r="BP1" s="878"/>
      <c r="BQ1" s="878"/>
      <c r="BR1" s="878"/>
      <c r="BS1" s="878"/>
      <c r="BT1" s="878"/>
      <c r="BU1" s="878"/>
      <c r="BV1" s="878"/>
      <c r="BW1" s="878"/>
      <c r="BX1" s="878"/>
      <c r="BY1" s="878"/>
      <c r="BZ1" s="878"/>
      <c r="CA1" s="878"/>
      <c r="CB1" s="878"/>
      <c r="CC1" s="878"/>
      <c r="CD1" s="878"/>
      <c r="CE1" s="878"/>
      <c r="CF1" s="878"/>
      <c r="CG1" s="878"/>
      <c r="CH1" s="878"/>
      <c r="CI1" s="878"/>
      <c r="CJ1" s="878"/>
      <c r="CK1" s="878"/>
      <c r="CL1" s="878"/>
      <c r="CM1" s="878"/>
      <c r="CN1" s="878"/>
      <c r="CO1" s="878"/>
      <c r="CP1" s="878"/>
      <c r="CQ1" s="878"/>
      <c r="CR1" s="878"/>
      <c r="CS1" s="878"/>
    </row>
    <row r="2" spans="1:99" s="478" customFormat="1" ht="15" customHeight="1" x14ac:dyDescent="0.2">
      <c r="A2" s="1043"/>
      <c r="B2" s="1043"/>
      <c r="C2" s="1041"/>
      <c r="D2" s="1043"/>
      <c r="E2" s="1043"/>
      <c r="F2" s="1202" t="s">
        <v>1620</v>
      </c>
      <c r="G2" s="1203"/>
      <c r="H2" s="1613" t="str">
        <f>IF('#minDung'!V121=0,"",TRIM(CONCATENATE('#minDung'!$S$114," ",'#minDung'!V114," ",'#minDung'!V115," ",'#minDung'!V116)))</f>
        <v/>
      </c>
      <c r="I2" s="1613"/>
      <c r="J2" s="1613"/>
      <c r="K2" s="1613" t="str">
        <f>IF('#minDung'!AE121=0,"",TRIM(CONCATENATE('#minDung'!$S$114," ",'#minDung'!AE114," ",'#minDung'!AE115," ",'#minDung'!AE116)))</f>
        <v/>
      </c>
      <c r="L2" s="1613"/>
      <c r="M2" s="1613"/>
      <c r="N2" s="1613" t="str">
        <f>IF('#minDung'!AN121=0,"",TRIM(CONCATENATE('#minDung'!$S$114," ",'#minDung'!AN114," ",'#minDung'!AN115," ",'#minDung'!AN116)))</f>
        <v/>
      </c>
      <c r="O2" s="1613"/>
      <c r="P2" s="1613"/>
      <c r="Q2" s="1613" t="str">
        <f>IF('#minDung'!AW121=0,"",TRIM(CONCATENATE('#minDung'!$S$114," ",'#minDung'!AW114," ",'#minDung'!AW115," ",'#minDung'!AW116)))</f>
        <v/>
      </c>
      <c r="R2" s="1613"/>
      <c r="S2" s="1613"/>
      <c r="T2" s="1613" t="str">
        <f>IF('#minDung'!BF121=0,"",TRIM(CONCATENATE('#minDung'!$S$114," ",'#minDung'!BF114," ",'#minDung'!BF115," ",'#minDung'!BF116)))</f>
        <v/>
      </c>
      <c r="U2" s="1613"/>
      <c r="V2" s="1613"/>
      <c r="W2" s="1613" t="str">
        <f>IF('#minDung'!BO121=0,"",TRIM(CONCATENATE('#minDung'!$S$114," ",'#minDung'!BO114," ",'#minDung'!BO115," ",'#minDung'!BO116)))</f>
        <v/>
      </c>
      <c r="X2" s="1613"/>
      <c r="Y2" s="1613"/>
      <c r="Z2" s="1613" t="str">
        <f>IF('#minDung'!BX121=0,"",TRIM(CONCATENATE('#minDung'!$S$114," ",'#minDung'!BX114," ",'#minDung'!BX115," ",'#minDung'!BX116)))</f>
        <v/>
      </c>
      <c r="AA2" s="1613"/>
      <c r="AB2" s="1613"/>
      <c r="AC2" s="1613" t="str">
        <f>IF('#minDung'!CG121=0,"",TRIM(CONCATENATE('#minDung'!$S$114," ",'#minDung'!CG114," ",'#minDung'!CG115," ",'#minDung'!CG116)))</f>
        <v/>
      </c>
      <c r="AD2" s="1613"/>
      <c r="AE2" s="1613"/>
      <c r="AF2" s="1613" t="str">
        <f>IF('#minDung'!CP121=0,"",TRIM(CONCATENATE('#minDung'!$S$114," ",'#minDung'!CP114," ",'#minDung'!CP115," ",'#minDung'!CP116)))</f>
        <v/>
      </c>
      <c r="AG2" s="1613"/>
      <c r="AH2" s="1613"/>
      <c r="AI2" s="1613" t="str">
        <f>IF('#minDung'!CY121=0,"",TRIM(CONCATENATE('#minDung'!$S$114," ",'#minDung'!CY114," ",'#minDung'!CY115," ",'#minDung'!CY116)))</f>
        <v/>
      </c>
      <c r="AJ2" s="1613"/>
      <c r="AK2" s="1613"/>
      <c r="AL2" s="1613" t="str">
        <f>IF('#minDung'!DH121=0,"",TRIM(CONCATENATE('#minDung'!$S$114," ",'#minDung'!DH114," ",'#minDung'!DH115," ",'#minDung'!DH116)))</f>
        <v/>
      </c>
      <c r="AM2" s="1613"/>
      <c r="AN2" s="1613"/>
      <c r="AO2" s="1613" t="str">
        <f>IF('#minDung'!DQ121=0,"",TRIM(CONCATENATE('#minDung'!$S$114," ",'#minDung'!DQ114," ",'#minDung'!DQ115," ",'#minDung'!DQ116)))</f>
        <v/>
      </c>
      <c r="AP2" s="1613"/>
      <c r="AQ2" s="1613"/>
      <c r="AR2" s="1613" t="str">
        <f>IF('#minDung'!DZ121=0,"",TRIM(CONCATENATE('#minDung'!$S$114," ",'#minDung'!DZ114," ",'#minDung'!DZ115," ",'#minDung'!DZ116)))</f>
        <v/>
      </c>
      <c r="AS2" s="1613"/>
      <c r="AT2" s="1613"/>
      <c r="AU2" s="1613" t="str">
        <f>IF('#minDung'!EI121=0,"",TRIM(CONCATENATE('#minDung'!$S$114," ",'#minDung'!EI114," ",'#minDung'!EI115," ",'#minDung'!EI116)))</f>
        <v/>
      </c>
      <c r="AV2" s="1613"/>
      <c r="AW2" s="1613"/>
      <c r="AX2" s="1613" t="str">
        <f>IF('#minDung'!ER121=0,"",TRIM(CONCATENATE('#minDung'!$S$114," ",'#minDung'!ER114," ",'#minDung'!ER115," ",'#minDung'!ER116)))</f>
        <v/>
      </c>
      <c r="AY2" s="1613"/>
      <c r="AZ2" s="1613"/>
      <c r="BA2" s="1613" t="str">
        <f>IF('#minDung'!FA121=0,"",TRIM(CONCATENATE('#minDung'!$S$114," ",'#minDung'!FA114," ",'#minDung'!FA115," ",'#minDung'!FA116)))</f>
        <v/>
      </c>
      <c r="BB2" s="1613"/>
      <c r="BC2" s="1613"/>
      <c r="BD2" s="1613" t="str">
        <f>IF('#minDung'!FJ121=0,"",TRIM(CONCATENATE('#minDung'!$S$114," ",'#minDung'!FJ114," ",'#minDung'!FJ115," ",'#minDung'!FJ116)))</f>
        <v/>
      </c>
      <c r="BE2" s="1613"/>
      <c r="BF2" s="1613"/>
      <c r="BG2" s="1613" t="str">
        <f>IF('#minDung'!FS121=0,"",TRIM(CONCATENATE('#minDung'!$S$114," ",'#minDung'!FS114," ",'#minDung'!FS115," ",'#minDung'!FS116)))</f>
        <v/>
      </c>
      <c r="BH2" s="1613"/>
      <c r="BI2" s="1613"/>
      <c r="BJ2" s="1613" t="str">
        <f>IF('#minDung'!GB121=0,"",TRIM(CONCATENATE('#minDung'!$S$114," ",'#minDung'!GB114," ",'#minDung'!GB115," ",'#minDung'!GB116)))</f>
        <v/>
      </c>
      <c r="BK2" s="1613"/>
      <c r="BL2" s="1613"/>
      <c r="BM2" s="1613" t="str">
        <f>IF('#minDung'!GK121=0,"",TRIM(CONCATENATE('#minDung'!$S$114," ",'#minDung'!GK114," ",'#minDung'!GK115," ",'#minDung'!GK116)))</f>
        <v/>
      </c>
      <c r="BN2" s="1613"/>
      <c r="BO2" s="1613"/>
      <c r="BP2" s="1613" t="str">
        <f>IF('#minDung'!GT121=0,"",TRIM(CONCATENATE('#minDung'!$S$114," ",'#minDung'!GT114," ",'#minDung'!GT115," ",'#minDung'!GT116)))</f>
        <v/>
      </c>
      <c r="BQ2" s="1613"/>
      <c r="BR2" s="1613"/>
      <c r="BS2" s="1613" t="str">
        <f>IF('#minDung'!HC121=0,"",TRIM(CONCATENATE('#minDung'!$S$114," ",'#minDung'!HC114," ",'#minDung'!HC115," ",'#minDung'!HC116)))</f>
        <v/>
      </c>
      <c r="BT2" s="1613"/>
      <c r="BU2" s="1613"/>
      <c r="BV2" s="1613" t="str">
        <f>IF('#minDung'!HL121=0,"",TRIM(CONCATENATE('#minDung'!$S$114," ",'#minDung'!HL114," ",'#minDung'!HL115," ",'#minDung'!HL116)))</f>
        <v/>
      </c>
      <c r="BW2" s="1613"/>
      <c r="BX2" s="1613"/>
      <c r="BY2" s="1613" t="str">
        <f>IF('#minDung'!HU121=0,"",TRIM(CONCATENATE('#minDung'!$S$114," ",'#minDung'!HU114," ",'#minDung'!HU115," ",'#minDung'!HU116)))</f>
        <v/>
      </c>
      <c r="BZ2" s="1613"/>
      <c r="CA2" s="1613"/>
      <c r="CB2" s="1613" t="str">
        <f>IF('#minDung'!ID121=0,"",TRIM(CONCATENATE('#minDung'!$S$114," ",'#minDung'!ID114," ",'#minDung'!ID115," ",'#minDung'!ID116)))</f>
        <v/>
      </c>
      <c r="CC2" s="1613"/>
      <c r="CD2" s="1613"/>
      <c r="CE2" s="1613" t="str">
        <f>IF('#minDung'!IM121=0,"",TRIM(CONCATENATE('#minDung'!$S$114," ",'#minDung'!IM114," ",'#minDung'!IM115," ",'#minDung'!IM116)))</f>
        <v/>
      </c>
      <c r="CF2" s="1613"/>
      <c r="CG2" s="1613"/>
      <c r="CH2" s="1613" t="str">
        <f>IF('#minDung'!IV121=0,"",TRIM(CONCATENATE('#minDung'!$S$114," ",'#minDung'!IV114," ",'#minDung'!IV115," ",'#minDung'!IV116)))</f>
        <v/>
      </c>
      <c r="CI2" s="1613"/>
      <c r="CJ2" s="1613"/>
      <c r="CK2" s="1613" t="str">
        <f>IF('#minDung'!JE121=0,"",TRIM(CONCATENATE('#minDung'!$S$114," ",'#minDung'!JE114," ",'#minDung'!JE115," ",'#minDung'!JE116)))</f>
        <v/>
      </c>
      <c r="CL2" s="1613"/>
      <c r="CM2" s="1613"/>
      <c r="CN2" s="1613" t="str">
        <f>IF('#minDung'!JN121=0,"",TRIM(CONCATENATE('#minDung'!$S$114," ",'#minDung'!JN114," ",'#minDung'!JN115," ",'#minDung'!JN116)))</f>
        <v/>
      </c>
      <c r="CO2" s="1613"/>
      <c r="CP2" s="1613"/>
      <c r="CQ2" s="1613" t="str">
        <f>IF('#minDung'!JW121=0,"",TRIM(CONCATENATE('#minDung'!$S$114," ",'#minDung'!JW114," ",'#minDung'!JW115," ",'#minDung'!JW116)))</f>
        <v/>
      </c>
      <c r="CR2" s="1613"/>
      <c r="CS2" s="1613"/>
    </row>
    <row r="3" spans="1:99" customFormat="1" ht="15" customHeight="1" x14ac:dyDescent="0.2">
      <c r="A3" s="1041"/>
      <c r="B3" s="1041"/>
      <c r="C3" s="1041"/>
      <c r="D3" s="1041"/>
      <c r="E3" s="1041"/>
      <c r="F3" s="1041"/>
      <c r="G3" s="1041"/>
      <c r="H3" s="1614" t="str">
        <f>IF('#minDung'!V122=0,"",CONCATENATE('#minDung'!$S$118," ",'#minDung'!V118))</f>
        <v/>
      </c>
      <c r="I3" s="1614"/>
      <c r="J3" s="1614"/>
      <c r="K3" s="1614" t="str">
        <f>IF('#minDung'!AE122=0,"",CONCATENATE('#minDung'!$S$118," ",'#minDung'!AE118))</f>
        <v/>
      </c>
      <c r="L3" s="1614"/>
      <c r="M3" s="1614"/>
      <c r="N3" s="1614" t="str">
        <f>IF('#minDung'!AN122=0,"",CONCATENATE('#minDung'!$S$118," ",'#minDung'!AN118))</f>
        <v/>
      </c>
      <c r="O3" s="1614"/>
      <c r="P3" s="1614"/>
      <c r="Q3" s="1614" t="str">
        <f>IF('#minDung'!AW122=0,"",CONCATENATE('#minDung'!$S$118," ",'#minDung'!AW118))</f>
        <v/>
      </c>
      <c r="R3" s="1614"/>
      <c r="S3" s="1614"/>
      <c r="T3" s="1614" t="str">
        <f>IF('#minDung'!BF122=0,"",CONCATENATE('#minDung'!$S$118," ",'#minDung'!BF118))</f>
        <v/>
      </c>
      <c r="U3" s="1614"/>
      <c r="V3" s="1614"/>
      <c r="W3" s="1614" t="str">
        <f>IF('#minDung'!BO122=0,"",CONCATENATE('#minDung'!$S$118," ",'#minDung'!BO118))</f>
        <v/>
      </c>
      <c r="X3" s="1614"/>
      <c r="Y3" s="1614"/>
      <c r="Z3" s="1614" t="str">
        <f>IF('#minDung'!BX122=0,"",CONCATENATE('#minDung'!$S$118," ",'#minDung'!BX118))</f>
        <v/>
      </c>
      <c r="AA3" s="1614"/>
      <c r="AB3" s="1614"/>
      <c r="AC3" s="1614" t="str">
        <f>IF('#minDung'!CG122=0,"",CONCATENATE('#minDung'!$S$118," ",'#minDung'!CG118))</f>
        <v/>
      </c>
      <c r="AD3" s="1614"/>
      <c r="AE3" s="1614"/>
      <c r="AF3" s="1614" t="str">
        <f>IF('#minDung'!CP122=0,"",CONCATENATE('#minDung'!$S$118," ",'#minDung'!CP118))</f>
        <v/>
      </c>
      <c r="AG3" s="1614"/>
      <c r="AH3" s="1614"/>
      <c r="AI3" s="1614" t="str">
        <f>IF('#minDung'!CY122=0,"",CONCATENATE('#minDung'!$S$118," ",'#minDung'!CY118))</f>
        <v/>
      </c>
      <c r="AJ3" s="1614"/>
      <c r="AK3" s="1614"/>
      <c r="AL3" s="1614" t="str">
        <f>IF('#minDung'!DH122=0,"",CONCATENATE('#minDung'!$S$118," ",'#minDung'!DH118))</f>
        <v/>
      </c>
      <c r="AM3" s="1614"/>
      <c r="AN3" s="1614"/>
      <c r="AO3" s="1614" t="str">
        <f>IF('#minDung'!DQ122=0,"",CONCATENATE('#minDung'!$S$118," ",'#minDung'!DQ118))</f>
        <v/>
      </c>
      <c r="AP3" s="1614"/>
      <c r="AQ3" s="1614"/>
      <c r="AR3" s="1614" t="str">
        <f>IF('#minDung'!DZ122=0,"",CONCATENATE('#minDung'!$S$118," ",'#minDung'!DZ118))</f>
        <v/>
      </c>
      <c r="AS3" s="1614"/>
      <c r="AT3" s="1614"/>
      <c r="AU3" s="1614" t="str">
        <f>IF('#minDung'!EI122=0,"",CONCATENATE('#minDung'!$S$118," ",'#minDung'!EI118))</f>
        <v/>
      </c>
      <c r="AV3" s="1614"/>
      <c r="AW3" s="1614"/>
      <c r="AX3" s="1614" t="str">
        <f>IF('#minDung'!ER122=0,"",CONCATENATE('#minDung'!$S$118," ",'#minDung'!ER118))</f>
        <v/>
      </c>
      <c r="AY3" s="1614"/>
      <c r="AZ3" s="1614"/>
      <c r="BA3" s="1614" t="str">
        <f>IF('#minDung'!FA122=0,"",CONCATENATE('#minDung'!$S$118," ",'#minDung'!FA118))</f>
        <v/>
      </c>
      <c r="BB3" s="1614"/>
      <c r="BC3" s="1614"/>
      <c r="BD3" s="1614" t="str">
        <f>IF('#minDung'!FJ122=0,"",CONCATENATE('#minDung'!$S$118," ",'#minDung'!FJ118))</f>
        <v/>
      </c>
      <c r="BE3" s="1614"/>
      <c r="BF3" s="1614"/>
      <c r="BG3" s="1614" t="str">
        <f>IF('#minDung'!FS122=0,"",CONCATENATE('#minDung'!$S$118," ",'#minDung'!FS118))</f>
        <v/>
      </c>
      <c r="BH3" s="1614"/>
      <c r="BI3" s="1614"/>
      <c r="BJ3" s="1614" t="str">
        <f>IF('#minDung'!GB122=0,"",CONCATENATE('#minDung'!$S$118," ",'#minDung'!GB118))</f>
        <v/>
      </c>
      <c r="BK3" s="1614"/>
      <c r="BL3" s="1614"/>
      <c r="BM3" s="1614" t="str">
        <f>IF('#minDung'!GK122=0,"",CONCATENATE('#minDung'!$S$118," ",'#minDung'!GK118))</f>
        <v/>
      </c>
      <c r="BN3" s="1614"/>
      <c r="BO3" s="1614"/>
      <c r="BP3" s="1614" t="str">
        <f>IF('#minDung'!GT122=0,"",CONCATENATE('#minDung'!$S$118," ",'#minDung'!GT118))</f>
        <v/>
      </c>
      <c r="BQ3" s="1614"/>
      <c r="BR3" s="1614"/>
      <c r="BS3" s="1614" t="str">
        <f>IF('#minDung'!HC122=0,"",CONCATENATE('#minDung'!$S$118," ",'#minDung'!HC118))</f>
        <v/>
      </c>
      <c r="BT3" s="1614"/>
      <c r="BU3" s="1614"/>
      <c r="BV3" s="1614" t="str">
        <f>IF('#minDung'!HL122=0,"",CONCATENATE('#minDung'!$S$118," ",'#minDung'!HL118))</f>
        <v/>
      </c>
      <c r="BW3" s="1614"/>
      <c r="BX3" s="1614"/>
      <c r="BY3" s="1614" t="str">
        <f>IF('#minDung'!HU122=0,"",CONCATENATE('#minDung'!$S$118," ",'#minDung'!HU118))</f>
        <v/>
      </c>
      <c r="BZ3" s="1614"/>
      <c r="CA3" s="1614"/>
      <c r="CB3" s="1614" t="str">
        <f>IF('#minDung'!ID122=0,"",CONCATENATE('#minDung'!$S$118," ",'#minDung'!ID118))</f>
        <v/>
      </c>
      <c r="CC3" s="1614"/>
      <c r="CD3" s="1614"/>
      <c r="CE3" s="1614" t="str">
        <f>IF('#minDung'!IM122=0,"",CONCATENATE('#minDung'!$S$118," ",'#minDung'!IM118))</f>
        <v/>
      </c>
      <c r="CF3" s="1614"/>
      <c r="CG3" s="1614"/>
      <c r="CH3" s="1614" t="str">
        <f>IF('#minDung'!IV122=0,"",CONCATENATE('#minDung'!$S$118," ",'#minDung'!IV118))</f>
        <v/>
      </c>
      <c r="CI3" s="1614"/>
      <c r="CJ3" s="1614"/>
      <c r="CK3" s="1614" t="str">
        <f>IF('#minDung'!JE122=0,"",CONCATENATE('#minDung'!$S$118," ",'#minDung'!JE118))</f>
        <v/>
      </c>
      <c r="CL3" s="1614"/>
      <c r="CM3" s="1614"/>
      <c r="CN3" s="1614" t="str">
        <f>IF('#minDung'!JN122=0,"",CONCATENATE('#minDung'!$S$118," ",'#minDung'!JN118))</f>
        <v/>
      </c>
      <c r="CO3" s="1614"/>
      <c r="CP3" s="1614"/>
      <c r="CQ3" s="1614" t="str">
        <f>IF('#minDung'!JW122=0,"",CONCATENATE('#minDung'!$S$118," ",'#minDung'!JW118))</f>
        <v/>
      </c>
      <c r="CR3" s="1614"/>
      <c r="CS3" s="1614"/>
    </row>
    <row r="4" spans="1:99" customFormat="1" ht="15" customHeight="1" x14ac:dyDescent="0.2">
      <c r="A4" s="1204"/>
      <c r="B4" s="1177" t="s">
        <v>1056</v>
      </c>
      <c r="C4" s="1136" t="str">
        <f>IF(Betrieb!C8="","Bitte in ''Betrieb'' eintragen",CONCATENATE(Betrieb!B8,Betrieb!C8))</f>
        <v>Bitte in ''Betrieb'' eintragen</v>
      </c>
      <c r="D4" s="1136"/>
      <c r="E4" s="1136"/>
      <c r="F4" s="1041"/>
      <c r="G4" s="1041"/>
      <c r="H4" s="1664" t="s">
        <v>93</v>
      </c>
      <c r="I4" s="1664"/>
      <c r="J4" s="1664"/>
      <c r="K4" s="1664" t="s">
        <v>93</v>
      </c>
      <c r="L4" s="1664"/>
      <c r="M4" s="1664"/>
      <c r="N4" s="1664" t="s">
        <v>93</v>
      </c>
      <c r="O4" s="1664"/>
      <c r="P4" s="1664"/>
      <c r="Q4" s="1664" t="s">
        <v>93</v>
      </c>
      <c r="R4" s="1664"/>
      <c r="S4" s="1664"/>
      <c r="T4" s="1664" t="s">
        <v>93</v>
      </c>
      <c r="U4" s="1664"/>
      <c r="V4" s="1664"/>
      <c r="W4" s="1664" t="s">
        <v>93</v>
      </c>
      <c r="X4" s="1664"/>
      <c r="Y4" s="1664"/>
      <c r="Z4" s="1664" t="s">
        <v>93</v>
      </c>
      <c r="AA4" s="1664"/>
      <c r="AB4" s="1664"/>
      <c r="AC4" s="1664" t="s">
        <v>93</v>
      </c>
      <c r="AD4" s="1664"/>
      <c r="AE4" s="1664"/>
      <c r="AF4" s="1664" t="s">
        <v>93</v>
      </c>
      <c r="AG4" s="1664"/>
      <c r="AH4" s="1664"/>
      <c r="AI4" s="1664" t="s">
        <v>93</v>
      </c>
      <c r="AJ4" s="1664"/>
      <c r="AK4" s="1664"/>
      <c r="AL4" s="1664" t="s">
        <v>93</v>
      </c>
      <c r="AM4" s="1664"/>
      <c r="AN4" s="1664"/>
      <c r="AO4" s="1664" t="s">
        <v>93</v>
      </c>
      <c r="AP4" s="1664"/>
      <c r="AQ4" s="1664"/>
      <c r="AR4" s="1664" t="s">
        <v>93</v>
      </c>
      <c r="AS4" s="1664"/>
      <c r="AT4" s="1664"/>
      <c r="AU4" s="1664" t="s">
        <v>93</v>
      </c>
      <c r="AV4" s="1664"/>
      <c r="AW4" s="1664"/>
      <c r="AX4" s="1664" t="s">
        <v>93</v>
      </c>
      <c r="AY4" s="1664"/>
      <c r="AZ4" s="1664"/>
      <c r="BA4" s="1664" t="s">
        <v>93</v>
      </c>
      <c r="BB4" s="1664"/>
      <c r="BC4" s="1664"/>
      <c r="BD4" s="1664" t="s">
        <v>93</v>
      </c>
      <c r="BE4" s="1664"/>
      <c r="BF4" s="1664"/>
      <c r="BG4" s="1664" t="s">
        <v>93</v>
      </c>
      <c r="BH4" s="1664"/>
      <c r="BI4" s="1664"/>
      <c r="BJ4" s="1664" t="s">
        <v>93</v>
      </c>
      <c r="BK4" s="1664"/>
      <c r="BL4" s="1664"/>
      <c r="BM4" s="1664" t="s">
        <v>93</v>
      </c>
      <c r="BN4" s="1664"/>
      <c r="BO4" s="1664"/>
      <c r="BP4" s="1664" t="s">
        <v>93</v>
      </c>
      <c r="BQ4" s="1664"/>
      <c r="BR4" s="1664"/>
      <c r="BS4" s="1664" t="s">
        <v>93</v>
      </c>
      <c r="BT4" s="1664"/>
      <c r="BU4" s="1664"/>
      <c r="BV4" s="1664" t="s">
        <v>93</v>
      </c>
      <c r="BW4" s="1664"/>
      <c r="BX4" s="1664"/>
      <c r="BY4" s="1664" t="s">
        <v>93</v>
      </c>
      <c r="BZ4" s="1664"/>
      <c r="CA4" s="1664"/>
      <c r="CB4" s="1664" t="s">
        <v>93</v>
      </c>
      <c r="CC4" s="1664"/>
      <c r="CD4" s="1664"/>
      <c r="CE4" s="1664" t="s">
        <v>93</v>
      </c>
      <c r="CF4" s="1664"/>
      <c r="CG4" s="1664"/>
      <c r="CH4" s="1664" t="s">
        <v>93</v>
      </c>
      <c r="CI4" s="1664"/>
      <c r="CJ4" s="1664"/>
      <c r="CK4" s="1664" t="s">
        <v>93</v>
      </c>
      <c r="CL4" s="1664"/>
      <c r="CM4" s="1664"/>
      <c r="CN4" s="1664" t="s">
        <v>93</v>
      </c>
      <c r="CO4" s="1664"/>
      <c r="CP4" s="1664"/>
      <c r="CQ4" s="1664" t="s">
        <v>93</v>
      </c>
      <c r="CR4" s="1664"/>
      <c r="CS4" s="1664"/>
    </row>
    <row r="5" spans="1:99" customFormat="1" ht="15.95" customHeight="1" x14ac:dyDescent="0.2">
      <c r="A5" s="1041"/>
      <c r="B5" s="1177" t="s">
        <v>64</v>
      </c>
      <c r="C5" s="1136" t="str">
        <f>IF(Betrieb!B9="","Bitte in ''Betrieb'' eintragen",Betrieb!B9)</f>
        <v>Bitte in ''Betrieb'' eintragen</v>
      </c>
      <c r="D5" s="1136"/>
      <c r="E5" s="1136"/>
      <c r="F5" s="1041"/>
      <c r="G5" s="1172"/>
      <c r="H5" s="1637"/>
      <c r="I5" s="1638"/>
      <c r="J5" s="1639"/>
      <c r="K5" s="1637"/>
      <c r="L5" s="1638"/>
      <c r="M5" s="1639"/>
      <c r="N5" s="1637"/>
      <c r="O5" s="1638"/>
      <c r="P5" s="1639"/>
      <c r="Q5" s="1637"/>
      <c r="R5" s="1638"/>
      <c r="S5" s="1639"/>
      <c r="T5" s="1637"/>
      <c r="U5" s="1638"/>
      <c r="V5" s="1639"/>
      <c r="W5" s="1637"/>
      <c r="X5" s="1638"/>
      <c r="Y5" s="1639"/>
      <c r="Z5" s="1637"/>
      <c r="AA5" s="1638"/>
      <c r="AB5" s="1639"/>
      <c r="AC5" s="1637"/>
      <c r="AD5" s="1638"/>
      <c r="AE5" s="1639"/>
      <c r="AF5" s="1637"/>
      <c r="AG5" s="1638"/>
      <c r="AH5" s="1639"/>
      <c r="AI5" s="1637"/>
      <c r="AJ5" s="1638"/>
      <c r="AK5" s="1639"/>
      <c r="AL5" s="1637"/>
      <c r="AM5" s="1638"/>
      <c r="AN5" s="1639"/>
      <c r="AO5" s="1637"/>
      <c r="AP5" s="1638"/>
      <c r="AQ5" s="1639"/>
      <c r="AR5" s="1637"/>
      <c r="AS5" s="1638"/>
      <c r="AT5" s="1639"/>
      <c r="AU5" s="1637"/>
      <c r="AV5" s="1638"/>
      <c r="AW5" s="1639"/>
      <c r="AX5" s="1637"/>
      <c r="AY5" s="1638"/>
      <c r="AZ5" s="1639"/>
      <c r="BA5" s="1637"/>
      <c r="BB5" s="1638"/>
      <c r="BC5" s="1639"/>
      <c r="BD5" s="1637"/>
      <c r="BE5" s="1638"/>
      <c r="BF5" s="1639"/>
      <c r="BG5" s="1637"/>
      <c r="BH5" s="1638"/>
      <c r="BI5" s="1639"/>
      <c r="BJ5" s="1637"/>
      <c r="BK5" s="1638"/>
      <c r="BL5" s="1639"/>
      <c r="BM5" s="1637"/>
      <c r="BN5" s="1638"/>
      <c r="BO5" s="1639"/>
      <c r="BP5" s="1637"/>
      <c r="BQ5" s="1638"/>
      <c r="BR5" s="1639"/>
      <c r="BS5" s="1637"/>
      <c r="BT5" s="1638"/>
      <c r="BU5" s="1639"/>
      <c r="BV5" s="1637"/>
      <c r="BW5" s="1638"/>
      <c r="BX5" s="1639"/>
      <c r="BY5" s="1637"/>
      <c r="BZ5" s="1638"/>
      <c r="CA5" s="1639"/>
      <c r="CB5" s="1637"/>
      <c r="CC5" s="1638"/>
      <c r="CD5" s="1639"/>
      <c r="CE5" s="1637"/>
      <c r="CF5" s="1638"/>
      <c r="CG5" s="1639"/>
      <c r="CH5" s="1637"/>
      <c r="CI5" s="1638"/>
      <c r="CJ5" s="1639"/>
      <c r="CK5" s="1637"/>
      <c r="CL5" s="1638"/>
      <c r="CM5" s="1639"/>
      <c r="CN5" s="1637"/>
      <c r="CO5" s="1638"/>
      <c r="CP5" s="1639"/>
      <c r="CQ5" s="1637"/>
      <c r="CR5" s="1638"/>
      <c r="CS5" s="1638"/>
      <c r="CT5" s="170"/>
    </row>
    <row r="6" spans="1:99" customFormat="1" ht="15.95" customHeight="1" x14ac:dyDescent="0.2">
      <c r="A6" s="1204"/>
      <c r="B6" s="1189" t="s">
        <v>1050</v>
      </c>
      <c r="C6" s="1625">
        <f ca="1">TODAY()</f>
        <v>44551</v>
      </c>
      <c r="D6" s="1625"/>
      <c r="E6" s="1625"/>
      <c r="F6" s="1041"/>
      <c r="G6" s="1043"/>
      <c r="H6" s="1658" t="s">
        <v>195</v>
      </c>
      <c r="I6" s="1659"/>
      <c r="J6" s="1660"/>
      <c r="K6" s="1658" t="s">
        <v>195</v>
      </c>
      <c r="L6" s="1659"/>
      <c r="M6" s="1660"/>
      <c r="N6" s="1658" t="s">
        <v>195</v>
      </c>
      <c r="O6" s="1659"/>
      <c r="P6" s="1660"/>
      <c r="Q6" s="1658" t="s">
        <v>195</v>
      </c>
      <c r="R6" s="1659"/>
      <c r="S6" s="1660"/>
      <c r="T6" s="1658" t="s">
        <v>195</v>
      </c>
      <c r="U6" s="1659"/>
      <c r="V6" s="1660"/>
      <c r="W6" s="1658" t="s">
        <v>195</v>
      </c>
      <c r="X6" s="1659"/>
      <c r="Y6" s="1660"/>
      <c r="Z6" s="1658" t="s">
        <v>195</v>
      </c>
      <c r="AA6" s="1659"/>
      <c r="AB6" s="1660"/>
      <c r="AC6" s="1658" t="s">
        <v>195</v>
      </c>
      <c r="AD6" s="1659"/>
      <c r="AE6" s="1660"/>
      <c r="AF6" s="1658" t="s">
        <v>195</v>
      </c>
      <c r="AG6" s="1659"/>
      <c r="AH6" s="1660"/>
      <c r="AI6" s="1658" t="s">
        <v>195</v>
      </c>
      <c r="AJ6" s="1659"/>
      <c r="AK6" s="1660"/>
      <c r="AL6" s="1658" t="s">
        <v>195</v>
      </c>
      <c r="AM6" s="1659"/>
      <c r="AN6" s="1660"/>
      <c r="AO6" s="1658" t="s">
        <v>195</v>
      </c>
      <c r="AP6" s="1659"/>
      <c r="AQ6" s="1660"/>
      <c r="AR6" s="1658" t="s">
        <v>195</v>
      </c>
      <c r="AS6" s="1659"/>
      <c r="AT6" s="1660"/>
      <c r="AU6" s="1658" t="s">
        <v>195</v>
      </c>
      <c r="AV6" s="1659"/>
      <c r="AW6" s="1660"/>
      <c r="AX6" s="1658" t="s">
        <v>195</v>
      </c>
      <c r="AY6" s="1659"/>
      <c r="AZ6" s="1660"/>
      <c r="BA6" s="1658" t="s">
        <v>195</v>
      </c>
      <c r="BB6" s="1659"/>
      <c r="BC6" s="1660"/>
      <c r="BD6" s="1658" t="s">
        <v>195</v>
      </c>
      <c r="BE6" s="1659"/>
      <c r="BF6" s="1660"/>
      <c r="BG6" s="1658" t="s">
        <v>195</v>
      </c>
      <c r="BH6" s="1659"/>
      <c r="BI6" s="1660"/>
      <c r="BJ6" s="1658" t="s">
        <v>195</v>
      </c>
      <c r="BK6" s="1659"/>
      <c r="BL6" s="1660"/>
      <c r="BM6" s="1658" t="s">
        <v>195</v>
      </c>
      <c r="BN6" s="1659"/>
      <c r="BO6" s="1660"/>
      <c r="BP6" s="1658" t="s">
        <v>195</v>
      </c>
      <c r="BQ6" s="1659"/>
      <c r="BR6" s="1660"/>
      <c r="BS6" s="1658" t="s">
        <v>195</v>
      </c>
      <c r="BT6" s="1659"/>
      <c r="BU6" s="1660"/>
      <c r="BV6" s="1658" t="s">
        <v>195</v>
      </c>
      <c r="BW6" s="1659"/>
      <c r="BX6" s="1660"/>
      <c r="BY6" s="1658" t="s">
        <v>195</v>
      </c>
      <c r="BZ6" s="1659"/>
      <c r="CA6" s="1660"/>
      <c r="CB6" s="1658" t="s">
        <v>195</v>
      </c>
      <c r="CC6" s="1659"/>
      <c r="CD6" s="1660"/>
      <c r="CE6" s="1658" t="s">
        <v>195</v>
      </c>
      <c r="CF6" s="1659"/>
      <c r="CG6" s="1660"/>
      <c r="CH6" s="1658" t="s">
        <v>195</v>
      </c>
      <c r="CI6" s="1659"/>
      <c r="CJ6" s="1660"/>
      <c r="CK6" s="1658" t="s">
        <v>195</v>
      </c>
      <c r="CL6" s="1659"/>
      <c r="CM6" s="1660"/>
      <c r="CN6" s="1658" t="s">
        <v>195</v>
      </c>
      <c r="CO6" s="1659"/>
      <c r="CP6" s="1660"/>
      <c r="CQ6" s="1658" t="s">
        <v>195</v>
      </c>
      <c r="CR6" s="1659"/>
      <c r="CS6" s="1660"/>
      <c r="CT6" s="170"/>
    </row>
    <row r="7" spans="1:99" customFormat="1" ht="15.95" customHeight="1" x14ac:dyDescent="0.2">
      <c r="A7" s="1041"/>
      <c r="B7" s="1041"/>
      <c r="C7" s="1041"/>
      <c r="D7" s="1041"/>
      <c r="E7" s="1041"/>
      <c r="F7" s="1041"/>
      <c r="G7" s="1041"/>
      <c r="H7" s="1661" t="s">
        <v>60</v>
      </c>
      <c r="I7" s="1662"/>
      <c r="J7" s="1663"/>
      <c r="K7" s="1661" t="s">
        <v>60</v>
      </c>
      <c r="L7" s="1662"/>
      <c r="M7" s="1663"/>
      <c r="N7" s="1661" t="s">
        <v>60</v>
      </c>
      <c r="O7" s="1662"/>
      <c r="P7" s="1663"/>
      <c r="Q7" s="1661" t="s">
        <v>60</v>
      </c>
      <c r="R7" s="1662"/>
      <c r="S7" s="1663"/>
      <c r="T7" s="1661" t="s">
        <v>60</v>
      </c>
      <c r="U7" s="1662"/>
      <c r="V7" s="1663"/>
      <c r="W7" s="1661" t="s">
        <v>60</v>
      </c>
      <c r="X7" s="1662"/>
      <c r="Y7" s="1663"/>
      <c r="Z7" s="1661" t="s">
        <v>60</v>
      </c>
      <c r="AA7" s="1662"/>
      <c r="AB7" s="1663"/>
      <c r="AC7" s="1661" t="s">
        <v>60</v>
      </c>
      <c r="AD7" s="1662"/>
      <c r="AE7" s="1663"/>
      <c r="AF7" s="1661" t="s">
        <v>60</v>
      </c>
      <c r="AG7" s="1662"/>
      <c r="AH7" s="1663"/>
      <c r="AI7" s="1661" t="s">
        <v>60</v>
      </c>
      <c r="AJ7" s="1662"/>
      <c r="AK7" s="1663"/>
      <c r="AL7" s="1661" t="s">
        <v>60</v>
      </c>
      <c r="AM7" s="1662"/>
      <c r="AN7" s="1663"/>
      <c r="AO7" s="1661" t="s">
        <v>60</v>
      </c>
      <c r="AP7" s="1662"/>
      <c r="AQ7" s="1663"/>
      <c r="AR7" s="1661" t="s">
        <v>60</v>
      </c>
      <c r="AS7" s="1662"/>
      <c r="AT7" s="1663"/>
      <c r="AU7" s="1661" t="s">
        <v>60</v>
      </c>
      <c r="AV7" s="1662"/>
      <c r="AW7" s="1663"/>
      <c r="AX7" s="1661" t="s">
        <v>60</v>
      </c>
      <c r="AY7" s="1662"/>
      <c r="AZ7" s="1663"/>
      <c r="BA7" s="1661" t="s">
        <v>60</v>
      </c>
      <c r="BB7" s="1662"/>
      <c r="BC7" s="1663"/>
      <c r="BD7" s="1661" t="s">
        <v>60</v>
      </c>
      <c r="BE7" s="1662"/>
      <c r="BF7" s="1663"/>
      <c r="BG7" s="1661" t="s">
        <v>60</v>
      </c>
      <c r="BH7" s="1662"/>
      <c r="BI7" s="1663"/>
      <c r="BJ7" s="1661" t="s">
        <v>60</v>
      </c>
      <c r="BK7" s="1662"/>
      <c r="BL7" s="1663"/>
      <c r="BM7" s="1661" t="s">
        <v>60</v>
      </c>
      <c r="BN7" s="1662"/>
      <c r="BO7" s="1663"/>
      <c r="BP7" s="1661" t="s">
        <v>60</v>
      </c>
      <c r="BQ7" s="1662"/>
      <c r="BR7" s="1663"/>
      <c r="BS7" s="1661" t="s">
        <v>60</v>
      </c>
      <c r="BT7" s="1662"/>
      <c r="BU7" s="1663"/>
      <c r="BV7" s="1661" t="s">
        <v>60</v>
      </c>
      <c r="BW7" s="1662"/>
      <c r="BX7" s="1663"/>
      <c r="BY7" s="1661" t="s">
        <v>60</v>
      </c>
      <c r="BZ7" s="1662"/>
      <c r="CA7" s="1663"/>
      <c r="CB7" s="1661" t="s">
        <v>60</v>
      </c>
      <c r="CC7" s="1662"/>
      <c r="CD7" s="1663"/>
      <c r="CE7" s="1661" t="s">
        <v>60</v>
      </c>
      <c r="CF7" s="1662"/>
      <c r="CG7" s="1663"/>
      <c r="CH7" s="1661" t="s">
        <v>60</v>
      </c>
      <c r="CI7" s="1662"/>
      <c r="CJ7" s="1663"/>
      <c r="CK7" s="1661" t="s">
        <v>60</v>
      </c>
      <c r="CL7" s="1662"/>
      <c r="CM7" s="1663"/>
      <c r="CN7" s="1661" t="s">
        <v>60</v>
      </c>
      <c r="CO7" s="1662"/>
      <c r="CP7" s="1663"/>
      <c r="CQ7" s="1661" t="s">
        <v>60</v>
      </c>
      <c r="CR7" s="1662"/>
      <c r="CS7" s="1662"/>
      <c r="CT7" s="170"/>
    </row>
    <row r="8" spans="1:99" customFormat="1" ht="15.95" customHeight="1" x14ac:dyDescent="0.2">
      <c r="A8" s="1615" t="s">
        <v>84</v>
      </c>
      <c r="B8" s="1618" t="s">
        <v>101</v>
      </c>
      <c r="C8" s="1621" t="s">
        <v>1052</v>
      </c>
      <c r="D8" s="1622" t="s">
        <v>120</v>
      </c>
      <c r="E8" s="1622" t="s">
        <v>1111</v>
      </c>
      <c r="F8" s="1626" t="s">
        <v>1615</v>
      </c>
      <c r="G8" s="1626" t="s">
        <v>1104</v>
      </c>
      <c r="H8" s="1646" t="s">
        <v>1126</v>
      </c>
      <c r="I8" s="1647"/>
      <c r="J8" s="1648"/>
      <c r="K8" s="1646" t="s">
        <v>1126</v>
      </c>
      <c r="L8" s="1647"/>
      <c r="M8" s="1648"/>
      <c r="N8" s="1646" t="s">
        <v>1126</v>
      </c>
      <c r="O8" s="1647"/>
      <c r="P8" s="1648"/>
      <c r="Q8" s="1646" t="s">
        <v>1126</v>
      </c>
      <c r="R8" s="1647"/>
      <c r="S8" s="1648"/>
      <c r="T8" s="1646" t="s">
        <v>1126</v>
      </c>
      <c r="U8" s="1647"/>
      <c r="V8" s="1648"/>
      <c r="W8" s="1646" t="s">
        <v>1126</v>
      </c>
      <c r="X8" s="1647"/>
      <c r="Y8" s="1648"/>
      <c r="Z8" s="1646" t="s">
        <v>1126</v>
      </c>
      <c r="AA8" s="1647"/>
      <c r="AB8" s="1648"/>
      <c r="AC8" s="1646" t="s">
        <v>1126</v>
      </c>
      <c r="AD8" s="1647"/>
      <c r="AE8" s="1648"/>
      <c r="AF8" s="1646" t="s">
        <v>1126</v>
      </c>
      <c r="AG8" s="1647"/>
      <c r="AH8" s="1648"/>
      <c r="AI8" s="1646" t="s">
        <v>1126</v>
      </c>
      <c r="AJ8" s="1647"/>
      <c r="AK8" s="1648"/>
      <c r="AL8" s="1646" t="s">
        <v>1126</v>
      </c>
      <c r="AM8" s="1647"/>
      <c r="AN8" s="1648"/>
      <c r="AO8" s="1646" t="s">
        <v>1126</v>
      </c>
      <c r="AP8" s="1647"/>
      <c r="AQ8" s="1648"/>
      <c r="AR8" s="1646" t="s">
        <v>1126</v>
      </c>
      <c r="AS8" s="1647"/>
      <c r="AT8" s="1648"/>
      <c r="AU8" s="1646" t="s">
        <v>1126</v>
      </c>
      <c r="AV8" s="1647"/>
      <c r="AW8" s="1648"/>
      <c r="AX8" s="1646" t="s">
        <v>1126</v>
      </c>
      <c r="AY8" s="1647"/>
      <c r="AZ8" s="1648"/>
      <c r="BA8" s="1646" t="s">
        <v>1126</v>
      </c>
      <c r="BB8" s="1647"/>
      <c r="BC8" s="1648"/>
      <c r="BD8" s="1646" t="s">
        <v>1126</v>
      </c>
      <c r="BE8" s="1647"/>
      <c r="BF8" s="1648"/>
      <c r="BG8" s="1646" t="s">
        <v>1126</v>
      </c>
      <c r="BH8" s="1647"/>
      <c r="BI8" s="1648"/>
      <c r="BJ8" s="1646" t="s">
        <v>1126</v>
      </c>
      <c r="BK8" s="1647"/>
      <c r="BL8" s="1648"/>
      <c r="BM8" s="1646" t="s">
        <v>1126</v>
      </c>
      <c r="BN8" s="1647"/>
      <c r="BO8" s="1648"/>
      <c r="BP8" s="1646" t="s">
        <v>1126</v>
      </c>
      <c r="BQ8" s="1647"/>
      <c r="BR8" s="1648"/>
      <c r="BS8" s="1646" t="s">
        <v>1126</v>
      </c>
      <c r="BT8" s="1647"/>
      <c r="BU8" s="1648"/>
      <c r="BV8" s="1646" t="s">
        <v>1126</v>
      </c>
      <c r="BW8" s="1647"/>
      <c r="BX8" s="1648"/>
      <c r="BY8" s="1646" t="s">
        <v>1126</v>
      </c>
      <c r="BZ8" s="1647"/>
      <c r="CA8" s="1648"/>
      <c r="CB8" s="1646" t="s">
        <v>1126</v>
      </c>
      <c r="CC8" s="1647"/>
      <c r="CD8" s="1648"/>
      <c r="CE8" s="1646" t="s">
        <v>1126</v>
      </c>
      <c r="CF8" s="1647"/>
      <c r="CG8" s="1648"/>
      <c r="CH8" s="1646" t="s">
        <v>1126</v>
      </c>
      <c r="CI8" s="1647"/>
      <c r="CJ8" s="1648"/>
      <c r="CK8" s="1646" t="s">
        <v>1126</v>
      </c>
      <c r="CL8" s="1647"/>
      <c r="CM8" s="1648"/>
      <c r="CN8" s="1646" t="s">
        <v>1126</v>
      </c>
      <c r="CO8" s="1647"/>
      <c r="CP8" s="1648"/>
      <c r="CQ8" s="1646" t="s">
        <v>1126</v>
      </c>
      <c r="CR8" s="1647"/>
      <c r="CS8" s="1648"/>
      <c r="CT8" s="170"/>
    </row>
    <row r="9" spans="1:99" customFormat="1" ht="15.95" customHeight="1" x14ac:dyDescent="0.2">
      <c r="A9" s="1616"/>
      <c r="B9" s="1619"/>
      <c r="C9" s="1621"/>
      <c r="D9" s="1623"/>
      <c r="E9" s="1623"/>
      <c r="F9" s="1627"/>
      <c r="G9" s="1627"/>
      <c r="H9" s="1649" t="s">
        <v>705</v>
      </c>
      <c r="I9" s="1650"/>
      <c r="J9" s="1651"/>
      <c r="K9" s="1649" t="s">
        <v>834</v>
      </c>
      <c r="L9" s="1650"/>
      <c r="M9" s="1651"/>
      <c r="N9" s="1649" t="s">
        <v>705</v>
      </c>
      <c r="O9" s="1650"/>
      <c r="P9" s="1651"/>
      <c r="Q9" s="1649" t="s">
        <v>705</v>
      </c>
      <c r="R9" s="1650"/>
      <c r="S9" s="1651"/>
      <c r="T9" s="1649" t="s">
        <v>705</v>
      </c>
      <c r="U9" s="1650"/>
      <c r="V9" s="1651"/>
      <c r="W9" s="1649" t="s">
        <v>705</v>
      </c>
      <c r="X9" s="1650"/>
      <c r="Y9" s="1651"/>
      <c r="Z9" s="1649" t="s">
        <v>705</v>
      </c>
      <c r="AA9" s="1650"/>
      <c r="AB9" s="1651"/>
      <c r="AC9" s="1649" t="s">
        <v>705</v>
      </c>
      <c r="AD9" s="1650"/>
      <c r="AE9" s="1651"/>
      <c r="AF9" s="1649" t="s">
        <v>705</v>
      </c>
      <c r="AG9" s="1650"/>
      <c r="AH9" s="1651"/>
      <c r="AI9" s="1649" t="s">
        <v>705</v>
      </c>
      <c r="AJ9" s="1650"/>
      <c r="AK9" s="1651"/>
      <c r="AL9" s="1649" t="s">
        <v>705</v>
      </c>
      <c r="AM9" s="1650"/>
      <c r="AN9" s="1651"/>
      <c r="AO9" s="1649" t="s">
        <v>705</v>
      </c>
      <c r="AP9" s="1650"/>
      <c r="AQ9" s="1651"/>
      <c r="AR9" s="1649" t="s">
        <v>705</v>
      </c>
      <c r="AS9" s="1650"/>
      <c r="AT9" s="1651"/>
      <c r="AU9" s="1649" t="s">
        <v>705</v>
      </c>
      <c r="AV9" s="1650"/>
      <c r="AW9" s="1651"/>
      <c r="AX9" s="1649" t="s">
        <v>705</v>
      </c>
      <c r="AY9" s="1650"/>
      <c r="AZ9" s="1651"/>
      <c r="BA9" s="1649" t="s">
        <v>705</v>
      </c>
      <c r="BB9" s="1650"/>
      <c r="BC9" s="1651"/>
      <c r="BD9" s="1649" t="s">
        <v>705</v>
      </c>
      <c r="BE9" s="1650"/>
      <c r="BF9" s="1651"/>
      <c r="BG9" s="1649" t="s">
        <v>705</v>
      </c>
      <c r="BH9" s="1650"/>
      <c r="BI9" s="1651"/>
      <c r="BJ9" s="1649" t="s">
        <v>705</v>
      </c>
      <c r="BK9" s="1650"/>
      <c r="BL9" s="1651"/>
      <c r="BM9" s="1649" t="s">
        <v>705</v>
      </c>
      <c r="BN9" s="1650"/>
      <c r="BO9" s="1651"/>
      <c r="BP9" s="1649" t="s">
        <v>705</v>
      </c>
      <c r="BQ9" s="1650"/>
      <c r="BR9" s="1651"/>
      <c r="BS9" s="1649" t="s">
        <v>705</v>
      </c>
      <c r="BT9" s="1650"/>
      <c r="BU9" s="1651"/>
      <c r="BV9" s="1649" t="s">
        <v>705</v>
      </c>
      <c r="BW9" s="1650"/>
      <c r="BX9" s="1651"/>
      <c r="BY9" s="1649" t="s">
        <v>705</v>
      </c>
      <c r="BZ9" s="1650"/>
      <c r="CA9" s="1651"/>
      <c r="CB9" s="1649" t="s">
        <v>705</v>
      </c>
      <c r="CC9" s="1650"/>
      <c r="CD9" s="1651"/>
      <c r="CE9" s="1649" t="s">
        <v>705</v>
      </c>
      <c r="CF9" s="1650"/>
      <c r="CG9" s="1651"/>
      <c r="CH9" s="1649" t="s">
        <v>705</v>
      </c>
      <c r="CI9" s="1650"/>
      <c r="CJ9" s="1651"/>
      <c r="CK9" s="1649" t="s">
        <v>705</v>
      </c>
      <c r="CL9" s="1650"/>
      <c r="CM9" s="1651"/>
      <c r="CN9" s="1649" t="s">
        <v>705</v>
      </c>
      <c r="CO9" s="1650"/>
      <c r="CP9" s="1651"/>
      <c r="CQ9" s="1649" t="s">
        <v>705</v>
      </c>
      <c r="CR9" s="1650"/>
      <c r="CS9" s="1651"/>
      <c r="CT9" s="170"/>
    </row>
    <row r="10" spans="1:99" customFormat="1" ht="15.95" customHeight="1" x14ac:dyDescent="0.2">
      <c r="A10" s="1616"/>
      <c r="B10" s="1619"/>
      <c r="C10" s="1621"/>
      <c r="D10" s="1623"/>
      <c r="E10" s="1623"/>
      <c r="F10" s="1627"/>
      <c r="G10" s="1627"/>
      <c r="H10" s="1655" t="s">
        <v>266</v>
      </c>
      <c r="I10" s="1656"/>
      <c r="J10" s="1657"/>
      <c r="K10" s="1655" t="s">
        <v>266</v>
      </c>
      <c r="L10" s="1656"/>
      <c r="M10" s="1657"/>
      <c r="N10" s="1655" t="s">
        <v>266</v>
      </c>
      <c r="O10" s="1656"/>
      <c r="P10" s="1657"/>
      <c r="Q10" s="1655" t="s">
        <v>266</v>
      </c>
      <c r="R10" s="1656"/>
      <c r="S10" s="1657"/>
      <c r="T10" s="1655" t="s">
        <v>266</v>
      </c>
      <c r="U10" s="1656"/>
      <c r="V10" s="1657"/>
      <c r="W10" s="1655" t="s">
        <v>266</v>
      </c>
      <c r="X10" s="1656"/>
      <c r="Y10" s="1657"/>
      <c r="Z10" s="1655" t="s">
        <v>266</v>
      </c>
      <c r="AA10" s="1656"/>
      <c r="AB10" s="1657"/>
      <c r="AC10" s="1655" t="s">
        <v>266</v>
      </c>
      <c r="AD10" s="1656"/>
      <c r="AE10" s="1657"/>
      <c r="AF10" s="1655" t="s">
        <v>266</v>
      </c>
      <c r="AG10" s="1656"/>
      <c r="AH10" s="1657"/>
      <c r="AI10" s="1655" t="s">
        <v>266</v>
      </c>
      <c r="AJ10" s="1656"/>
      <c r="AK10" s="1657"/>
      <c r="AL10" s="1655" t="s">
        <v>266</v>
      </c>
      <c r="AM10" s="1656"/>
      <c r="AN10" s="1657"/>
      <c r="AO10" s="1655" t="s">
        <v>266</v>
      </c>
      <c r="AP10" s="1656"/>
      <c r="AQ10" s="1657"/>
      <c r="AR10" s="1655" t="s">
        <v>266</v>
      </c>
      <c r="AS10" s="1656"/>
      <c r="AT10" s="1657"/>
      <c r="AU10" s="1655" t="s">
        <v>266</v>
      </c>
      <c r="AV10" s="1656"/>
      <c r="AW10" s="1657"/>
      <c r="AX10" s="1655" t="s">
        <v>266</v>
      </c>
      <c r="AY10" s="1656"/>
      <c r="AZ10" s="1657"/>
      <c r="BA10" s="1655" t="s">
        <v>266</v>
      </c>
      <c r="BB10" s="1656"/>
      <c r="BC10" s="1657"/>
      <c r="BD10" s="1655" t="s">
        <v>266</v>
      </c>
      <c r="BE10" s="1656"/>
      <c r="BF10" s="1657"/>
      <c r="BG10" s="1655" t="s">
        <v>266</v>
      </c>
      <c r="BH10" s="1656"/>
      <c r="BI10" s="1657"/>
      <c r="BJ10" s="1655" t="s">
        <v>266</v>
      </c>
      <c r="BK10" s="1656"/>
      <c r="BL10" s="1657"/>
      <c r="BM10" s="1655" t="s">
        <v>266</v>
      </c>
      <c r="BN10" s="1656"/>
      <c r="BO10" s="1657"/>
      <c r="BP10" s="1655" t="s">
        <v>266</v>
      </c>
      <c r="BQ10" s="1656"/>
      <c r="BR10" s="1657"/>
      <c r="BS10" s="1655" t="s">
        <v>266</v>
      </c>
      <c r="BT10" s="1656"/>
      <c r="BU10" s="1657"/>
      <c r="BV10" s="1655" t="s">
        <v>266</v>
      </c>
      <c r="BW10" s="1656"/>
      <c r="BX10" s="1657"/>
      <c r="BY10" s="1655" t="s">
        <v>266</v>
      </c>
      <c r="BZ10" s="1656"/>
      <c r="CA10" s="1657"/>
      <c r="CB10" s="1655" t="s">
        <v>266</v>
      </c>
      <c r="CC10" s="1656"/>
      <c r="CD10" s="1657"/>
      <c r="CE10" s="1655" t="s">
        <v>266</v>
      </c>
      <c r="CF10" s="1656"/>
      <c r="CG10" s="1657"/>
      <c r="CH10" s="1655" t="s">
        <v>266</v>
      </c>
      <c r="CI10" s="1656"/>
      <c r="CJ10" s="1657"/>
      <c r="CK10" s="1655" t="s">
        <v>266</v>
      </c>
      <c r="CL10" s="1656"/>
      <c r="CM10" s="1657"/>
      <c r="CN10" s="1655" t="s">
        <v>266</v>
      </c>
      <c r="CO10" s="1656"/>
      <c r="CP10" s="1657"/>
      <c r="CQ10" s="1655" t="s">
        <v>266</v>
      </c>
      <c r="CR10" s="1656"/>
      <c r="CS10" s="1656"/>
      <c r="CT10" s="170"/>
    </row>
    <row r="11" spans="1:99" s="88" customFormat="1" ht="15.95" customHeight="1" x14ac:dyDescent="0.2">
      <c r="A11" s="1617"/>
      <c r="B11" s="1620"/>
      <c r="C11" s="1621"/>
      <c r="D11" s="1624"/>
      <c r="E11" s="1624"/>
      <c r="F11" s="1628"/>
      <c r="G11" s="1628"/>
      <c r="H11" s="897" t="s">
        <v>1566</v>
      </c>
      <c r="I11" s="898" t="s">
        <v>12</v>
      </c>
      <c r="J11" s="895" t="s">
        <v>1524</v>
      </c>
      <c r="K11" s="897" t="s">
        <v>1566</v>
      </c>
      <c r="L11" s="898" t="s">
        <v>12</v>
      </c>
      <c r="M11" s="895" t="s">
        <v>1524</v>
      </c>
      <c r="N11" s="897" t="s">
        <v>1566</v>
      </c>
      <c r="O11" s="898" t="s">
        <v>12</v>
      </c>
      <c r="P11" s="895" t="s">
        <v>1524</v>
      </c>
      <c r="Q11" s="897" t="s">
        <v>1566</v>
      </c>
      <c r="R11" s="898" t="s">
        <v>12</v>
      </c>
      <c r="S11" s="895" t="s">
        <v>1524</v>
      </c>
      <c r="T11" s="897" t="s">
        <v>1566</v>
      </c>
      <c r="U11" s="898" t="s">
        <v>12</v>
      </c>
      <c r="V11" s="895" t="s">
        <v>1524</v>
      </c>
      <c r="W11" s="897" t="s">
        <v>1566</v>
      </c>
      <c r="X11" s="898" t="s">
        <v>12</v>
      </c>
      <c r="Y11" s="895" t="s">
        <v>1524</v>
      </c>
      <c r="Z11" s="897" t="s">
        <v>1566</v>
      </c>
      <c r="AA11" s="898" t="s">
        <v>12</v>
      </c>
      <c r="AB11" s="895" t="s">
        <v>1524</v>
      </c>
      <c r="AC11" s="897" t="s">
        <v>1566</v>
      </c>
      <c r="AD11" s="898" t="s">
        <v>12</v>
      </c>
      <c r="AE11" s="895" t="s">
        <v>1524</v>
      </c>
      <c r="AF11" s="897" t="s">
        <v>1566</v>
      </c>
      <c r="AG11" s="898" t="s">
        <v>12</v>
      </c>
      <c r="AH11" s="895" t="s">
        <v>1524</v>
      </c>
      <c r="AI11" s="897" t="s">
        <v>1566</v>
      </c>
      <c r="AJ11" s="898" t="s">
        <v>12</v>
      </c>
      <c r="AK11" s="895" t="s">
        <v>1524</v>
      </c>
      <c r="AL11" s="897" t="s">
        <v>1566</v>
      </c>
      <c r="AM11" s="898" t="s">
        <v>12</v>
      </c>
      <c r="AN11" s="895" t="s">
        <v>1524</v>
      </c>
      <c r="AO11" s="897" t="s">
        <v>1566</v>
      </c>
      <c r="AP11" s="898" t="s">
        <v>12</v>
      </c>
      <c r="AQ11" s="895" t="s">
        <v>1524</v>
      </c>
      <c r="AR11" s="897" t="s">
        <v>1566</v>
      </c>
      <c r="AS11" s="898" t="s">
        <v>12</v>
      </c>
      <c r="AT11" s="895" t="s">
        <v>1524</v>
      </c>
      <c r="AU11" s="897" t="s">
        <v>1566</v>
      </c>
      <c r="AV11" s="898" t="s">
        <v>12</v>
      </c>
      <c r="AW11" s="895" t="s">
        <v>1524</v>
      </c>
      <c r="AX11" s="897" t="s">
        <v>1566</v>
      </c>
      <c r="AY11" s="898" t="s">
        <v>12</v>
      </c>
      <c r="AZ11" s="895" t="s">
        <v>1524</v>
      </c>
      <c r="BA11" s="897" t="s">
        <v>1566</v>
      </c>
      <c r="BB11" s="898" t="s">
        <v>12</v>
      </c>
      <c r="BC11" s="895" t="s">
        <v>1524</v>
      </c>
      <c r="BD11" s="897" t="s">
        <v>1566</v>
      </c>
      <c r="BE11" s="898" t="s">
        <v>12</v>
      </c>
      <c r="BF11" s="895" t="s">
        <v>1524</v>
      </c>
      <c r="BG11" s="897" t="s">
        <v>1566</v>
      </c>
      <c r="BH11" s="898" t="s">
        <v>12</v>
      </c>
      <c r="BI11" s="895" t="s">
        <v>1524</v>
      </c>
      <c r="BJ11" s="897" t="s">
        <v>1566</v>
      </c>
      <c r="BK11" s="898" t="s">
        <v>12</v>
      </c>
      <c r="BL11" s="895" t="s">
        <v>1524</v>
      </c>
      <c r="BM11" s="897" t="s">
        <v>1566</v>
      </c>
      <c r="BN11" s="898" t="s">
        <v>12</v>
      </c>
      <c r="BO11" s="895" t="s">
        <v>1524</v>
      </c>
      <c r="BP11" s="897" t="s">
        <v>1566</v>
      </c>
      <c r="BQ11" s="898" t="s">
        <v>12</v>
      </c>
      <c r="BR11" s="895" t="s">
        <v>1524</v>
      </c>
      <c r="BS11" s="897" t="s">
        <v>1566</v>
      </c>
      <c r="BT11" s="898" t="s">
        <v>12</v>
      </c>
      <c r="BU11" s="895" t="s">
        <v>1524</v>
      </c>
      <c r="BV11" s="897" t="s">
        <v>1566</v>
      </c>
      <c r="BW11" s="898" t="s">
        <v>12</v>
      </c>
      <c r="BX11" s="895" t="s">
        <v>1524</v>
      </c>
      <c r="BY11" s="897" t="s">
        <v>1566</v>
      </c>
      <c r="BZ11" s="898" t="s">
        <v>12</v>
      </c>
      <c r="CA11" s="895" t="s">
        <v>1524</v>
      </c>
      <c r="CB11" s="897" t="s">
        <v>1566</v>
      </c>
      <c r="CC11" s="898" t="s">
        <v>12</v>
      </c>
      <c r="CD11" s="895" t="s">
        <v>1524</v>
      </c>
      <c r="CE11" s="897" t="s">
        <v>1566</v>
      </c>
      <c r="CF11" s="898" t="s">
        <v>12</v>
      </c>
      <c r="CG11" s="895" t="s">
        <v>1524</v>
      </c>
      <c r="CH11" s="897" t="s">
        <v>1566</v>
      </c>
      <c r="CI11" s="898" t="s">
        <v>12</v>
      </c>
      <c r="CJ11" s="895" t="s">
        <v>1524</v>
      </c>
      <c r="CK11" s="897" t="s">
        <v>1566</v>
      </c>
      <c r="CL11" s="898" t="s">
        <v>12</v>
      </c>
      <c r="CM11" s="895" t="s">
        <v>1524</v>
      </c>
      <c r="CN11" s="897" t="s">
        <v>1566</v>
      </c>
      <c r="CO11" s="898" t="s">
        <v>12</v>
      </c>
      <c r="CP11" s="895" t="s">
        <v>1524</v>
      </c>
      <c r="CQ11" s="897" t="s">
        <v>1566</v>
      </c>
      <c r="CR11" s="898" t="s">
        <v>12</v>
      </c>
      <c r="CS11" s="948" t="s">
        <v>1524</v>
      </c>
      <c r="CT11" s="949"/>
      <c r="CU11" s="129"/>
    </row>
    <row r="12" spans="1:99" customFormat="1" ht="15" customHeight="1" x14ac:dyDescent="0.2">
      <c r="A12" s="1205">
        <f>'Flächen u. Kulturen'!A10</f>
        <v>1</v>
      </c>
      <c r="B12" s="1205" t="str">
        <f>+'org. Düngung 22'!B13</f>
        <v/>
      </c>
      <c r="C12" s="1206" t="str">
        <f>'org. Düngung 22'!C13</f>
        <v/>
      </c>
      <c r="D12" s="1197" t="str">
        <f>'org. Düngung 22'!D13</f>
        <v/>
      </c>
      <c r="E12" s="1207" t="str">
        <f>'org. Düngung 22'!E13</f>
        <v/>
      </c>
      <c r="F12" s="1199" t="str">
        <f>'org. Düngung 22'!F13</f>
        <v/>
      </c>
      <c r="G12" s="1201" t="str">
        <f>IF(C12="","",IF(COUNT('#minDung'!KF11:KJ11)=0,"OK",TRIM(CONCATENATE('#minDung'!KF11," ",'#minDung'!KG11," ",'#minDung'!KH11," ",'#minDung'!KI11," ",'#minDung'!KJ11))))</f>
        <v/>
      </c>
      <c r="H12" s="1025"/>
      <c r="I12" s="1026" t="str">
        <f>IF(H12="","",'#minDung'!X11)</f>
        <v/>
      </c>
      <c r="J12" s="1026" t="str">
        <f>IF(I12="","",'#minDung'!Y11)</f>
        <v/>
      </c>
      <c r="K12" s="1025"/>
      <c r="L12" s="1026" t="str">
        <f>IF(K12="","",'#minDung'!AG11)</f>
        <v/>
      </c>
      <c r="M12" s="1026" t="str">
        <f>IF(L12="","",'#minDung'!AH11)</f>
        <v/>
      </c>
      <c r="N12" s="1025"/>
      <c r="O12" s="1026" t="str">
        <f>IF(N12="","",'#minDung'!AP11)</f>
        <v/>
      </c>
      <c r="P12" s="1026" t="str">
        <f>IF(O12="","",'#minDung'!AQ11)</f>
        <v/>
      </c>
      <c r="Q12" s="1025"/>
      <c r="R12" s="1026" t="str">
        <f>IF(Q12="","",'#minDung'!AY11)</f>
        <v/>
      </c>
      <c r="S12" s="1026" t="str">
        <f>IF(R12="","",'#minDung'!AZ11)</f>
        <v/>
      </c>
      <c r="T12" s="1025"/>
      <c r="U12" s="1026" t="str">
        <f>IF(T12="","",'#minDung'!BH11)</f>
        <v/>
      </c>
      <c r="V12" s="1026" t="str">
        <f>IF(U12="","",'#minDung'!BI11)</f>
        <v/>
      </c>
      <c r="W12" s="1025"/>
      <c r="X12" s="1026" t="str">
        <f>IF(W12="","",'#minDung'!BQ11)</f>
        <v/>
      </c>
      <c r="Y12" s="1026" t="str">
        <f>IF(X12="","",'#minDung'!BR11)</f>
        <v/>
      </c>
      <c r="Z12" s="1025"/>
      <c r="AA12" s="1026" t="str">
        <f>IF(Z12="","",'#minDung'!BZ11)</f>
        <v/>
      </c>
      <c r="AB12" s="1026" t="str">
        <f>IF(AA12="","",'#minDung'!CA11)</f>
        <v/>
      </c>
      <c r="AC12" s="1025"/>
      <c r="AD12" s="1026" t="str">
        <f>IF(AC12="","",'#minDung'!CI11)</f>
        <v/>
      </c>
      <c r="AE12" s="1026" t="str">
        <f>IF(AD12="","",'#minDung'!CJ11)</f>
        <v/>
      </c>
      <c r="AF12" s="1025"/>
      <c r="AG12" s="1026" t="str">
        <f>IF(AF12="","",'#minDung'!CR11)</f>
        <v/>
      </c>
      <c r="AH12" s="1026" t="str">
        <f>IF(AG12="","",'#minDung'!CS11)</f>
        <v/>
      </c>
      <c r="AI12" s="1025"/>
      <c r="AJ12" s="1026" t="str">
        <f>IF(AI12="","",'#minDung'!DA11)</f>
        <v/>
      </c>
      <c r="AK12" s="1026" t="str">
        <f>IF(AJ12="","",'#minDung'!DB11)</f>
        <v/>
      </c>
      <c r="AL12" s="1025"/>
      <c r="AM12" s="1026" t="str">
        <f>IF(AL12="","",'#minDung'!DJ11)</f>
        <v/>
      </c>
      <c r="AN12" s="1026" t="str">
        <f>IF(AM12="","",'#minDung'!DK11)</f>
        <v/>
      </c>
      <c r="AO12" s="1025"/>
      <c r="AP12" s="1026" t="str">
        <f>IF(AO12="","",'#minDung'!DS11)</f>
        <v/>
      </c>
      <c r="AQ12" s="1026" t="str">
        <f>IF(AP12="","",'#minDung'!DT11)</f>
        <v/>
      </c>
      <c r="AR12" s="1025"/>
      <c r="AS12" s="1026" t="str">
        <f>IF(AR12="","",'#minDung'!EB11)</f>
        <v/>
      </c>
      <c r="AT12" s="1026" t="str">
        <f>IF(AS12="","",'#minDung'!EC11)</f>
        <v/>
      </c>
      <c r="AU12" s="1025"/>
      <c r="AV12" s="1026" t="str">
        <f>IF(AU12="","",'#minDung'!EK11)</f>
        <v/>
      </c>
      <c r="AW12" s="1026" t="str">
        <f>IF(AV12="","",'#minDung'!EL11)</f>
        <v/>
      </c>
      <c r="AX12" s="1025"/>
      <c r="AY12" s="1026" t="str">
        <f>IF(AX12="","",'#minDung'!ET11)</f>
        <v/>
      </c>
      <c r="AZ12" s="1026" t="str">
        <f>IF(AY12="","",'#minDung'!EU11)</f>
        <v/>
      </c>
      <c r="BA12" s="1025"/>
      <c r="BB12" s="1026" t="str">
        <f>IF(BA12="","",'#minDung'!FC11)</f>
        <v/>
      </c>
      <c r="BC12" s="1026" t="str">
        <f>IF(BB12="","",'#minDung'!FD11)</f>
        <v/>
      </c>
      <c r="BD12" s="1025"/>
      <c r="BE12" s="1026" t="str">
        <f>IF(BD12="","",'#minDung'!FL11)</f>
        <v/>
      </c>
      <c r="BF12" s="1026" t="str">
        <f>IF(BE12="","",'#minDung'!FM11)</f>
        <v/>
      </c>
      <c r="BG12" s="1025"/>
      <c r="BH12" s="1026" t="str">
        <f>IF(BG12="","",'#minDung'!FU11)</f>
        <v/>
      </c>
      <c r="BI12" s="1026" t="str">
        <f>IF(BH12="","",'#minDung'!FV11)</f>
        <v/>
      </c>
      <c r="BJ12" s="1025"/>
      <c r="BK12" s="1026" t="str">
        <f>IF(BJ12="","",'#minDung'!GD11)</f>
        <v/>
      </c>
      <c r="BL12" s="1026" t="str">
        <f>IF(BK12="","",'#minDung'!GE11)</f>
        <v/>
      </c>
      <c r="BM12" s="1025"/>
      <c r="BN12" s="1026" t="str">
        <f>IF(BM12="","",'#minDung'!GM11)</f>
        <v/>
      </c>
      <c r="BO12" s="1026" t="str">
        <f>IF(BN12="","",'#minDung'!GN11)</f>
        <v/>
      </c>
      <c r="BP12" s="1025"/>
      <c r="BQ12" s="1026" t="str">
        <f>IF(BP12="","",'#minDung'!GV11)</f>
        <v/>
      </c>
      <c r="BR12" s="1026" t="str">
        <f>IF(BQ12="","",'#minDung'!GW11)</f>
        <v/>
      </c>
      <c r="BS12" s="1025"/>
      <c r="BT12" s="1026" t="str">
        <f>IF(BS12="","",'#minDung'!HE11)</f>
        <v/>
      </c>
      <c r="BU12" s="1026" t="str">
        <f>IF(BT12="","",'#minDung'!HF11)</f>
        <v/>
      </c>
      <c r="BV12" s="1025"/>
      <c r="BW12" s="1026" t="str">
        <f>IF(BV12="","",'#minDung'!HN11)</f>
        <v/>
      </c>
      <c r="BX12" s="1026" t="str">
        <f>IF(BW12="","",'#minDung'!HO11)</f>
        <v/>
      </c>
      <c r="BY12" s="1025"/>
      <c r="BZ12" s="1026" t="str">
        <f>IF(BY12="","",'#minDung'!HW11)</f>
        <v/>
      </c>
      <c r="CA12" s="1026" t="str">
        <f>IF(BZ12="","",'#minDung'!HX11)</f>
        <v/>
      </c>
      <c r="CB12" s="1025"/>
      <c r="CC12" s="1026" t="str">
        <f>IF(CB12="","",'#minDung'!IF11)</f>
        <v/>
      </c>
      <c r="CD12" s="1026" t="str">
        <f>IF(CC12="","",'#minDung'!IG11)</f>
        <v/>
      </c>
      <c r="CE12" s="1025"/>
      <c r="CF12" s="1026" t="str">
        <f>IF(CE12="","",'#minDung'!IO11)</f>
        <v/>
      </c>
      <c r="CG12" s="1026" t="str">
        <f>IF(CF12="","",'#minDung'!IP11)</f>
        <v/>
      </c>
      <c r="CH12" s="1025"/>
      <c r="CI12" s="1026" t="str">
        <f>IF(CH12="","",'#minDung'!IX11)</f>
        <v/>
      </c>
      <c r="CJ12" s="1026" t="str">
        <f>IF(CI12="","",'#minDung'!IY11)</f>
        <v/>
      </c>
      <c r="CK12" s="1025"/>
      <c r="CL12" s="1026" t="str">
        <f>IF(CK12="","",'#minDung'!JG11)</f>
        <v/>
      </c>
      <c r="CM12" s="1026" t="str">
        <f>IF(CL12="","",'#minDung'!JH11)</f>
        <v/>
      </c>
      <c r="CN12" s="1025"/>
      <c r="CO12" s="1026" t="str">
        <f>IF(CN12="","",'#minDung'!JP11)</f>
        <v/>
      </c>
      <c r="CP12" s="1026" t="str">
        <f>IF(CO12="","",'#minDung'!JQ11)</f>
        <v/>
      </c>
      <c r="CQ12" s="1025"/>
      <c r="CR12" s="1026" t="str">
        <f>IF(CQ12="","",'#minDung'!JY11)</f>
        <v/>
      </c>
      <c r="CS12" s="1030" t="str">
        <f>IF(CR12="","",'#minDung'!JZ11)</f>
        <v/>
      </c>
      <c r="CT12" s="170"/>
      <c r="CU12" s="46"/>
    </row>
    <row r="13" spans="1:99" customFormat="1" ht="15" customHeight="1" x14ac:dyDescent="0.2">
      <c r="A13" s="1205">
        <f>'Flächen u. Kulturen'!A11</f>
        <v>2</v>
      </c>
      <c r="B13" s="1205" t="str">
        <f>+'org. Düngung 22'!B14</f>
        <v/>
      </c>
      <c r="C13" s="1206" t="str">
        <f>'org. Düngung 22'!C14</f>
        <v/>
      </c>
      <c r="D13" s="1197" t="str">
        <f>'org. Düngung 22'!D14</f>
        <v/>
      </c>
      <c r="E13" s="1207" t="str">
        <f>'org. Düngung 22'!E14</f>
        <v/>
      </c>
      <c r="F13" s="1199" t="str">
        <f>'org. Düngung 22'!F14</f>
        <v/>
      </c>
      <c r="G13" s="1201" t="str">
        <f>IF(C13="","",IF(COUNT('#minDung'!KF12:KJ12)=0,"OK",TRIM(CONCATENATE('#minDung'!KF12," ",'#minDung'!KG12," ",'#minDung'!KH12," ",'#minDung'!KI12," ",'#minDung'!KJ12))))</f>
        <v/>
      </c>
      <c r="H13" s="1025"/>
      <c r="I13" s="1026" t="str">
        <f>IF(H13="","",'#minDung'!X12)</f>
        <v/>
      </c>
      <c r="J13" s="1026" t="str">
        <f>IF(I13="","",'#minDung'!Y12)</f>
        <v/>
      </c>
      <c r="K13" s="1025"/>
      <c r="L13" s="1026" t="str">
        <f>IF(K13="","",'#minDung'!AG12)</f>
        <v/>
      </c>
      <c r="M13" s="1026" t="str">
        <f>IF(L13="","",'#minDung'!AH12)</f>
        <v/>
      </c>
      <c r="N13" s="1025"/>
      <c r="O13" s="1026" t="str">
        <f>IF(N13="","",'#minDung'!AP12)</f>
        <v/>
      </c>
      <c r="P13" s="1026" t="str">
        <f>IF(O13="","",'#minDung'!AQ12)</f>
        <v/>
      </c>
      <c r="Q13" s="1025"/>
      <c r="R13" s="1026" t="str">
        <f>IF(Q13="","",'#minDung'!AY12)</f>
        <v/>
      </c>
      <c r="S13" s="1026" t="str">
        <f>IF(R13="","",'#minDung'!AZ12)</f>
        <v/>
      </c>
      <c r="T13" s="1025"/>
      <c r="U13" s="1026" t="str">
        <f>IF(T13="","",'#minDung'!BH12)</f>
        <v/>
      </c>
      <c r="V13" s="1026" t="str">
        <f>IF(U13="","",'#minDung'!BI12)</f>
        <v/>
      </c>
      <c r="W13" s="1025"/>
      <c r="X13" s="1026" t="str">
        <f>IF(W13="","",'#minDung'!BQ12)</f>
        <v/>
      </c>
      <c r="Y13" s="1026" t="str">
        <f>IF(X13="","",'#minDung'!BR12)</f>
        <v/>
      </c>
      <c r="Z13" s="1025"/>
      <c r="AA13" s="1026" t="str">
        <f>IF(Z13="","",'#minDung'!BZ12)</f>
        <v/>
      </c>
      <c r="AB13" s="1026" t="str">
        <f>IF(AA13="","",'#minDung'!CA12)</f>
        <v/>
      </c>
      <c r="AC13" s="1025"/>
      <c r="AD13" s="1026" t="str">
        <f>IF(AC13="","",'#minDung'!CI12)</f>
        <v/>
      </c>
      <c r="AE13" s="1026" t="str">
        <f>IF(AD13="","",'#minDung'!CJ12)</f>
        <v/>
      </c>
      <c r="AF13" s="1025"/>
      <c r="AG13" s="1026" t="str">
        <f>IF(AF13="","",'#minDung'!CR12)</f>
        <v/>
      </c>
      <c r="AH13" s="1026" t="str">
        <f>IF(AG13="","",'#minDung'!CS12)</f>
        <v/>
      </c>
      <c r="AI13" s="1025"/>
      <c r="AJ13" s="1026" t="str">
        <f>IF(AI13="","",'#minDung'!DA12)</f>
        <v/>
      </c>
      <c r="AK13" s="1026" t="str">
        <f>IF(AJ13="","",'#minDung'!DB12)</f>
        <v/>
      </c>
      <c r="AL13" s="1025"/>
      <c r="AM13" s="1026" t="str">
        <f>IF(AL13="","",'#minDung'!DJ12)</f>
        <v/>
      </c>
      <c r="AN13" s="1026" t="str">
        <f>IF(AM13="","",'#minDung'!DK12)</f>
        <v/>
      </c>
      <c r="AO13" s="1025"/>
      <c r="AP13" s="1026" t="str">
        <f>IF(AO13="","",'#minDung'!DS12)</f>
        <v/>
      </c>
      <c r="AQ13" s="1026" t="str">
        <f>IF(AP13="","",'#minDung'!DT12)</f>
        <v/>
      </c>
      <c r="AR13" s="1025"/>
      <c r="AS13" s="1026" t="str">
        <f>IF(AR13="","",'#minDung'!EB12)</f>
        <v/>
      </c>
      <c r="AT13" s="1026" t="str">
        <f>IF(AS13="","",'#minDung'!EC12)</f>
        <v/>
      </c>
      <c r="AU13" s="1025"/>
      <c r="AV13" s="1026" t="str">
        <f>IF(AU13="","",'#minDung'!EK12)</f>
        <v/>
      </c>
      <c r="AW13" s="1026" t="str">
        <f>IF(AV13="","",'#minDung'!EL12)</f>
        <v/>
      </c>
      <c r="AX13" s="1025"/>
      <c r="AY13" s="1026" t="str">
        <f>IF(AX13="","",'#minDung'!ET12)</f>
        <v/>
      </c>
      <c r="AZ13" s="1026" t="str">
        <f>IF(AY13="","",'#minDung'!EU12)</f>
        <v/>
      </c>
      <c r="BA13" s="1025"/>
      <c r="BB13" s="1026" t="str">
        <f>IF(BA13="","",'#minDung'!FC12)</f>
        <v/>
      </c>
      <c r="BC13" s="1026" t="str">
        <f>IF(BB13="","",'#minDung'!FD12)</f>
        <v/>
      </c>
      <c r="BD13" s="1025"/>
      <c r="BE13" s="1026" t="str">
        <f>IF(BD13="","",'#minDung'!FL12)</f>
        <v/>
      </c>
      <c r="BF13" s="1026" t="str">
        <f>IF(BE13="","",'#minDung'!FM12)</f>
        <v/>
      </c>
      <c r="BG13" s="1025"/>
      <c r="BH13" s="1026" t="str">
        <f>IF(BG13="","",'#minDung'!FU12)</f>
        <v/>
      </c>
      <c r="BI13" s="1026" t="str">
        <f>IF(BH13="","",'#minDung'!FV12)</f>
        <v/>
      </c>
      <c r="BJ13" s="1025"/>
      <c r="BK13" s="1026" t="str">
        <f>IF(BJ13="","",'#minDung'!GD12)</f>
        <v/>
      </c>
      <c r="BL13" s="1026" t="str">
        <f>IF(BK13="","",'#minDung'!GE12)</f>
        <v/>
      </c>
      <c r="BM13" s="1025"/>
      <c r="BN13" s="1026" t="str">
        <f>IF(BM13="","",'#minDung'!GM12)</f>
        <v/>
      </c>
      <c r="BO13" s="1026" t="str">
        <f>IF(BN13="","",'#minDung'!GN12)</f>
        <v/>
      </c>
      <c r="BP13" s="1025"/>
      <c r="BQ13" s="1026" t="str">
        <f>IF(BP13="","",'#minDung'!GV12)</f>
        <v/>
      </c>
      <c r="BR13" s="1026" t="str">
        <f>IF(BQ13="","",'#minDung'!GW12)</f>
        <v/>
      </c>
      <c r="BS13" s="1025"/>
      <c r="BT13" s="1026" t="str">
        <f>IF(BS13="","",'#minDung'!HE12)</f>
        <v/>
      </c>
      <c r="BU13" s="1026" t="str">
        <f>IF(BT13="","",'#minDung'!HF12)</f>
        <v/>
      </c>
      <c r="BV13" s="1025"/>
      <c r="BW13" s="1026" t="str">
        <f>IF(BV13="","",'#minDung'!HN12)</f>
        <v/>
      </c>
      <c r="BX13" s="1026" t="str">
        <f>IF(BW13="","",'#minDung'!HO12)</f>
        <v/>
      </c>
      <c r="BY13" s="1025"/>
      <c r="BZ13" s="1026" t="str">
        <f>IF(BY13="","",'#minDung'!HW12)</f>
        <v/>
      </c>
      <c r="CA13" s="1026" t="str">
        <f>IF(BZ13="","",'#minDung'!HX12)</f>
        <v/>
      </c>
      <c r="CB13" s="1025"/>
      <c r="CC13" s="1026" t="str">
        <f>IF(CB13="","",'#minDung'!IF12)</f>
        <v/>
      </c>
      <c r="CD13" s="1026" t="str">
        <f>IF(CC13="","",'#minDung'!IG12)</f>
        <v/>
      </c>
      <c r="CE13" s="1025"/>
      <c r="CF13" s="1026" t="str">
        <f>IF(CE13="","",'#minDung'!IO12)</f>
        <v/>
      </c>
      <c r="CG13" s="1026" t="str">
        <f>IF(CF13="","",'#minDung'!IP12)</f>
        <v/>
      </c>
      <c r="CH13" s="1025"/>
      <c r="CI13" s="1026" t="str">
        <f>IF(CH13="","",'#minDung'!IX12)</f>
        <v/>
      </c>
      <c r="CJ13" s="1026" t="str">
        <f>IF(CI13="","",'#minDung'!IY12)</f>
        <v/>
      </c>
      <c r="CK13" s="1025"/>
      <c r="CL13" s="1026" t="str">
        <f>IF(CK13="","",'#minDung'!JG12)</f>
        <v/>
      </c>
      <c r="CM13" s="1026" t="str">
        <f>IF(CL13="","",'#minDung'!JH12)</f>
        <v/>
      </c>
      <c r="CN13" s="1025"/>
      <c r="CO13" s="1026" t="str">
        <f>IF(CN13="","",'#minDung'!JP12)</f>
        <v/>
      </c>
      <c r="CP13" s="1026" t="str">
        <f>IF(CO13="","",'#minDung'!JQ12)</f>
        <v/>
      </c>
      <c r="CQ13" s="1025"/>
      <c r="CR13" s="1026" t="str">
        <f>IF(CQ13="","",'#minDung'!JY12)</f>
        <v/>
      </c>
      <c r="CS13" s="1030" t="str">
        <f>IF(CR13="","",'#minDung'!JZ12)</f>
        <v/>
      </c>
      <c r="CT13" s="170"/>
    </row>
    <row r="14" spans="1:99" customFormat="1" ht="15" customHeight="1" x14ac:dyDescent="0.2">
      <c r="A14" s="1205">
        <f>'Flächen u. Kulturen'!A12</f>
        <v>3</v>
      </c>
      <c r="B14" s="1205" t="str">
        <f>+'org. Düngung 22'!B15</f>
        <v/>
      </c>
      <c r="C14" s="1206" t="str">
        <f>'org. Düngung 22'!C15</f>
        <v/>
      </c>
      <c r="D14" s="1197" t="str">
        <f>'org. Düngung 22'!D15</f>
        <v/>
      </c>
      <c r="E14" s="1207" t="str">
        <f>'org. Düngung 22'!E15</f>
        <v/>
      </c>
      <c r="F14" s="1199" t="str">
        <f>'org. Düngung 22'!F15</f>
        <v/>
      </c>
      <c r="G14" s="1201" t="str">
        <f>IF(C14="","",IF(COUNT('#minDung'!KF13:KJ13)=0,"OK",TRIM(CONCATENATE('#minDung'!KF13," ",'#minDung'!KG13," ",'#minDung'!KH13," ",'#minDung'!KI13," ",'#minDung'!KJ13))))</f>
        <v/>
      </c>
      <c r="H14" s="1025"/>
      <c r="I14" s="1026" t="str">
        <f>IF(H14="","",'#minDung'!X13)</f>
        <v/>
      </c>
      <c r="J14" s="1026" t="str">
        <f>IF(I14="","",'#minDung'!Y13)</f>
        <v/>
      </c>
      <c r="K14" s="1025"/>
      <c r="L14" s="1026" t="str">
        <f>IF(K14="","",'#minDung'!AG13)</f>
        <v/>
      </c>
      <c r="M14" s="1026" t="str">
        <f>IF(L14="","",'#minDung'!AH13)</f>
        <v/>
      </c>
      <c r="N14" s="1025"/>
      <c r="O14" s="1026" t="str">
        <f>IF(N14="","",'#minDung'!AP13)</f>
        <v/>
      </c>
      <c r="P14" s="1026" t="str">
        <f>IF(O14="","",'#minDung'!AQ13)</f>
        <v/>
      </c>
      <c r="Q14" s="1025"/>
      <c r="R14" s="1026" t="str">
        <f>IF(Q14="","",'#minDung'!AY13)</f>
        <v/>
      </c>
      <c r="S14" s="1026" t="str">
        <f>IF(R14="","",'#minDung'!AZ13)</f>
        <v/>
      </c>
      <c r="T14" s="1025"/>
      <c r="U14" s="1026" t="str">
        <f>IF(T14="","",'#minDung'!BH13)</f>
        <v/>
      </c>
      <c r="V14" s="1026" t="str">
        <f>IF(U14="","",'#minDung'!BI13)</f>
        <v/>
      </c>
      <c r="W14" s="1025"/>
      <c r="X14" s="1026" t="str">
        <f>IF(W14="","",'#minDung'!BQ13)</f>
        <v/>
      </c>
      <c r="Y14" s="1026" t="str">
        <f>IF(X14="","",'#minDung'!BR13)</f>
        <v/>
      </c>
      <c r="Z14" s="1025"/>
      <c r="AA14" s="1026" t="str">
        <f>IF(Z14="","",'#minDung'!BZ13)</f>
        <v/>
      </c>
      <c r="AB14" s="1026" t="str">
        <f>IF(AA14="","",'#minDung'!CA13)</f>
        <v/>
      </c>
      <c r="AC14" s="1025"/>
      <c r="AD14" s="1026" t="str">
        <f>IF(AC14="","",'#minDung'!CI13)</f>
        <v/>
      </c>
      <c r="AE14" s="1026" t="str">
        <f>IF(AD14="","",'#minDung'!CJ13)</f>
        <v/>
      </c>
      <c r="AF14" s="1025"/>
      <c r="AG14" s="1026" t="str">
        <f>IF(AF14="","",'#minDung'!CR13)</f>
        <v/>
      </c>
      <c r="AH14" s="1026" t="str">
        <f>IF(AG14="","",'#minDung'!CS13)</f>
        <v/>
      </c>
      <c r="AI14" s="1025"/>
      <c r="AJ14" s="1026" t="str">
        <f>IF(AI14="","",'#minDung'!DA13)</f>
        <v/>
      </c>
      <c r="AK14" s="1026" t="str">
        <f>IF(AJ14="","",'#minDung'!DB13)</f>
        <v/>
      </c>
      <c r="AL14" s="1025"/>
      <c r="AM14" s="1026" t="str">
        <f>IF(AL14="","",'#minDung'!DJ13)</f>
        <v/>
      </c>
      <c r="AN14" s="1026" t="str">
        <f>IF(AM14="","",'#minDung'!DK13)</f>
        <v/>
      </c>
      <c r="AO14" s="1025"/>
      <c r="AP14" s="1026" t="str">
        <f>IF(AO14="","",'#minDung'!DS13)</f>
        <v/>
      </c>
      <c r="AQ14" s="1026" t="str">
        <f>IF(AP14="","",'#minDung'!DT13)</f>
        <v/>
      </c>
      <c r="AR14" s="1025"/>
      <c r="AS14" s="1026" t="str">
        <f>IF(AR14="","",'#minDung'!EB13)</f>
        <v/>
      </c>
      <c r="AT14" s="1026" t="str">
        <f>IF(AS14="","",'#minDung'!EC13)</f>
        <v/>
      </c>
      <c r="AU14" s="1025"/>
      <c r="AV14" s="1026" t="str">
        <f>IF(AU14="","",'#minDung'!EK13)</f>
        <v/>
      </c>
      <c r="AW14" s="1026" t="str">
        <f>IF(AV14="","",'#minDung'!EL13)</f>
        <v/>
      </c>
      <c r="AX14" s="1025"/>
      <c r="AY14" s="1026" t="str">
        <f>IF(AX14="","",'#minDung'!ET13)</f>
        <v/>
      </c>
      <c r="AZ14" s="1026" t="str">
        <f>IF(AY14="","",'#minDung'!EU13)</f>
        <v/>
      </c>
      <c r="BA14" s="1025"/>
      <c r="BB14" s="1026" t="str">
        <f>IF(BA14="","",'#minDung'!FC13)</f>
        <v/>
      </c>
      <c r="BC14" s="1026" t="str">
        <f>IF(BB14="","",'#minDung'!FD13)</f>
        <v/>
      </c>
      <c r="BD14" s="1025"/>
      <c r="BE14" s="1026" t="str">
        <f>IF(BD14="","",'#minDung'!FL13)</f>
        <v/>
      </c>
      <c r="BF14" s="1026" t="str">
        <f>IF(BE14="","",'#minDung'!FM13)</f>
        <v/>
      </c>
      <c r="BG14" s="1025"/>
      <c r="BH14" s="1026" t="str">
        <f>IF(BG14="","",'#minDung'!FU13)</f>
        <v/>
      </c>
      <c r="BI14" s="1026" t="str">
        <f>IF(BH14="","",'#minDung'!FV13)</f>
        <v/>
      </c>
      <c r="BJ14" s="1025"/>
      <c r="BK14" s="1026" t="str">
        <f>IF(BJ14="","",'#minDung'!GD13)</f>
        <v/>
      </c>
      <c r="BL14" s="1026" t="str">
        <f>IF(BK14="","",'#minDung'!GE13)</f>
        <v/>
      </c>
      <c r="BM14" s="1025"/>
      <c r="BN14" s="1026" t="str">
        <f>IF(BM14="","",'#minDung'!GM13)</f>
        <v/>
      </c>
      <c r="BO14" s="1026" t="str">
        <f>IF(BN14="","",'#minDung'!GN13)</f>
        <v/>
      </c>
      <c r="BP14" s="1025"/>
      <c r="BQ14" s="1026" t="str">
        <f>IF(BP14="","",'#minDung'!GV13)</f>
        <v/>
      </c>
      <c r="BR14" s="1026" t="str">
        <f>IF(BQ14="","",'#minDung'!GW13)</f>
        <v/>
      </c>
      <c r="BS14" s="1025"/>
      <c r="BT14" s="1026" t="str">
        <f>IF(BS14="","",'#minDung'!HE13)</f>
        <v/>
      </c>
      <c r="BU14" s="1026" t="str">
        <f>IF(BT14="","",'#minDung'!HF13)</f>
        <v/>
      </c>
      <c r="BV14" s="1025"/>
      <c r="BW14" s="1026" t="str">
        <f>IF(BV14="","",'#minDung'!HN13)</f>
        <v/>
      </c>
      <c r="BX14" s="1026" t="str">
        <f>IF(BW14="","",'#minDung'!HO13)</f>
        <v/>
      </c>
      <c r="BY14" s="1025"/>
      <c r="BZ14" s="1026" t="str">
        <f>IF(BY14="","",'#minDung'!HW13)</f>
        <v/>
      </c>
      <c r="CA14" s="1026" t="str">
        <f>IF(BZ14="","",'#minDung'!HX13)</f>
        <v/>
      </c>
      <c r="CB14" s="1025"/>
      <c r="CC14" s="1026" t="str">
        <f>IF(CB14="","",'#minDung'!IF13)</f>
        <v/>
      </c>
      <c r="CD14" s="1026" t="str">
        <f>IF(CC14="","",'#minDung'!IG13)</f>
        <v/>
      </c>
      <c r="CE14" s="1025"/>
      <c r="CF14" s="1026" t="str">
        <f>IF(CE14="","",'#minDung'!IO13)</f>
        <v/>
      </c>
      <c r="CG14" s="1026" t="str">
        <f>IF(CF14="","",'#minDung'!IP13)</f>
        <v/>
      </c>
      <c r="CH14" s="1025"/>
      <c r="CI14" s="1026" t="str">
        <f>IF(CH14="","",'#minDung'!IX13)</f>
        <v/>
      </c>
      <c r="CJ14" s="1026" t="str">
        <f>IF(CI14="","",'#minDung'!IY13)</f>
        <v/>
      </c>
      <c r="CK14" s="1025"/>
      <c r="CL14" s="1026" t="str">
        <f>IF(CK14="","",'#minDung'!JG13)</f>
        <v/>
      </c>
      <c r="CM14" s="1026" t="str">
        <f>IF(CL14="","",'#minDung'!JH13)</f>
        <v/>
      </c>
      <c r="CN14" s="1025"/>
      <c r="CO14" s="1026" t="str">
        <f>IF(CN14="","",'#minDung'!JP13)</f>
        <v/>
      </c>
      <c r="CP14" s="1026" t="str">
        <f>IF(CO14="","",'#minDung'!JQ13)</f>
        <v/>
      </c>
      <c r="CQ14" s="1025"/>
      <c r="CR14" s="1026" t="str">
        <f>IF(CQ14="","",'#minDung'!JY13)</f>
        <v/>
      </c>
      <c r="CS14" s="1030" t="str">
        <f>IF(CR14="","",'#minDung'!JZ13)</f>
        <v/>
      </c>
      <c r="CT14" s="170"/>
    </row>
    <row r="15" spans="1:99" customFormat="1" ht="15" customHeight="1" x14ac:dyDescent="0.2">
      <c r="A15" s="1205">
        <f>'Flächen u. Kulturen'!A13</f>
        <v>4</v>
      </c>
      <c r="B15" s="1205" t="str">
        <f>+'org. Düngung 22'!B16</f>
        <v/>
      </c>
      <c r="C15" s="1206" t="str">
        <f>'org. Düngung 22'!C16</f>
        <v/>
      </c>
      <c r="D15" s="1197" t="str">
        <f>'org. Düngung 22'!D16</f>
        <v/>
      </c>
      <c r="E15" s="1207" t="str">
        <f>'org. Düngung 22'!E16</f>
        <v/>
      </c>
      <c r="F15" s="1199" t="str">
        <f>'org. Düngung 22'!F16</f>
        <v/>
      </c>
      <c r="G15" s="1201" t="str">
        <f>IF(C15="","",IF(COUNT('#minDung'!KF14:KJ14)=0,"OK",TRIM(CONCATENATE('#minDung'!KF14," ",'#minDung'!KG14," ",'#minDung'!KH14," ",'#minDung'!KI14," ",'#minDung'!KJ14))))</f>
        <v/>
      </c>
      <c r="H15" s="1025"/>
      <c r="I15" s="1026" t="str">
        <f>IF(H15="","",'#minDung'!X14)</f>
        <v/>
      </c>
      <c r="J15" s="1026" t="str">
        <f>IF(I15="","",'#minDung'!Y14)</f>
        <v/>
      </c>
      <c r="K15" s="1025"/>
      <c r="L15" s="1026" t="str">
        <f>IF(K15="","",'#minDung'!AG14)</f>
        <v/>
      </c>
      <c r="M15" s="1026" t="str">
        <f>IF(L15="","",'#minDung'!AH14)</f>
        <v/>
      </c>
      <c r="N15" s="1025"/>
      <c r="O15" s="1026" t="str">
        <f>IF(N15="","",'#minDung'!AP14)</f>
        <v/>
      </c>
      <c r="P15" s="1026" t="str">
        <f>IF(O15="","",'#minDung'!AQ14)</f>
        <v/>
      </c>
      <c r="Q15" s="1025"/>
      <c r="R15" s="1026" t="str">
        <f>IF(Q15="","",'#minDung'!AY14)</f>
        <v/>
      </c>
      <c r="S15" s="1026" t="str">
        <f>IF(R15="","",'#minDung'!AZ14)</f>
        <v/>
      </c>
      <c r="T15" s="1025"/>
      <c r="U15" s="1026" t="str">
        <f>IF(T15="","",'#minDung'!BH14)</f>
        <v/>
      </c>
      <c r="V15" s="1026" t="str">
        <f>IF(U15="","",'#minDung'!BI14)</f>
        <v/>
      </c>
      <c r="W15" s="1025"/>
      <c r="X15" s="1026" t="str">
        <f>IF(W15="","",'#minDung'!BQ14)</f>
        <v/>
      </c>
      <c r="Y15" s="1026" t="str">
        <f>IF(X15="","",'#minDung'!BR14)</f>
        <v/>
      </c>
      <c r="Z15" s="1025"/>
      <c r="AA15" s="1026" t="str">
        <f>IF(Z15="","",'#minDung'!BZ14)</f>
        <v/>
      </c>
      <c r="AB15" s="1026" t="str">
        <f>IF(AA15="","",'#minDung'!CA14)</f>
        <v/>
      </c>
      <c r="AC15" s="1025"/>
      <c r="AD15" s="1026" t="str">
        <f>IF(AC15="","",'#minDung'!CI14)</f>
        <v/>
      </c>
      <c r="AE15" s="1026" t="str">
        <f>IF(AD15="","",'#minDung'!CJ14)</f>
        <v/>
      </c>
      <c r="AF15" s="1025"/>
      <c r="AG15" s="1026" t="str">
        <f>IF(AF15="","",'#minDung'!CR14)</f>
        <v/>
      </c>
      <c r="AH15" s="1026" t="str">
        <f>IF(AG15="","",'#minDung'!CS14)</f>
        <v/>
      </c>
      <c r="AI15" s="1025"/>
      <c r="AJ15" s="1026" t="str">
        <f>IF(AI15="","",'#minDung'!DA14)</f>
        <v/>
      </c>
      <c r="AK15" s="1026" t="str">
        <f>IF(AJ15="","",'#minDung'!DB14)</f>
        <v/>
      </c>
      <c r="AL15" s="1025"/>
      <c r="AM15" s="1026" t="str">
        <f>IF(AL15="","",'#minDung'!DJ14)</f>
        <v/>
      </c>
      <c r="AN15" s="1026" t="str">
        <f>IF(AM15="","",'#minDung'!DK14)</f>
        <v/>
      </c>
      <c r="AO15" s="1025"/>
      <c r="AP15" s="1026" t="str">
        <f>IF(AO15="","",'#minDung'!DS14)</f>
        <v/>
      </c>
      <c r="AQ15" s="1026" t="str">
        <f>IF(AP15="","",'#minDung'!DT14)</f>
        <v/>
      </c>
      <c r="AR15" s="1025"/>
      <c r="AS15" s="1026" t="str">
        <f>IF(AR15="","",'#minDung'!EB14)</f>
        <v/>
      </c>
      <c r="AT15" s="1026" t="str">
        <f>IF(AS15="","",'#minDung'!EC14)</f>
        <v/>
      </c>
      <c r="AU15" s="1025"/>
      <c r="AV15" s="1026" t="str">
        <f>IF(AU15="","",'#minDung'!EK14)</f>
        <v/>
      </c>
      <c r="AW15" s="1026" t="str">
        <f>IF(AV15="","",'#minDung'!EL14)</f>
        <v/>
      </c>
      <c r="AX15" s="1025"/>
      <c r="AY15" s="1026" t="str">
        <f>IF(AX15="","",'#minDung'!ET14)</f>
        <v/>
      </c>
      <c r="AZ15" s="1026" t="str">
        <f>IF(AY15="","",'#minDung'!EU14)</f>
        <v/>
      </c>
      <c r="BA15" s="1025"/>
      <c r="BB15" s="1026" t="str">
        <f>IF(BA15="","",'#minDung'!FC14)</f>
        <v/>
      </c>
      <c r="BC15" s="1026" t="str">
        <f>IF(BB15="","",'#minDung'!FD14)</f>
        <v/>
      </c>
      <c r="BD15" s="1025"/>
      <c r="BE15" s="1026" t="str">
        <f>IF(BD15="","",'#minDung'!FL14)</f>
        <v/>
      </c>
      <c r="BF15" s="1026" t="str">
        <f>IF(BE15="","",'#minDung'!FM14)</f>
        <v/>
      </c>
      <c r="BG15" s="1025"/>
      <c r="BH15" s="1026" t="str">
        <f>IF(BG15="","",'#minDung'!FU14)</f>
        <v/>
      </c>
      <c r="BI15" s="1026" t="str">
        <f>IF(BH15="","",'#minDung'!FV14)</f>
        <v/>
      </c>
      <c r="BJ15" s="1025"/>
      <c r="BK15" s="1026" t="str">
        <f>IF(BJ15="","",'#minDung'!GD14)</f>
        <v/>
      </c>
      <c r="BL15" s="1026" t="str">
        <f>IF(BK15="","",'#minDung'!GE14)</f>
        <v/>
      </c>
      <c r="BM15" s="1025"/>
      <c r="BN15" s="1026" t="str">
        <f>IF(BM15="","",'#minDung'!GM14)</f>
        <v/>
      </c>
      <c r="BO15" s="1026" t="str">
        <f>IF(BN15="","",'#minDung'!GN14)</f>
        <v/>
      </c>
      <c r="BP15" s="1025"/>
      <c r="BQ15" s="1026" t="str">
        <f>IF(BP15="","",'#minDung'!GV14)</f>
        <v/>
      </c>
      <c r="BR15" s="1026" t="str">
        <f>IF(BQ15="","",'#minDung'!GW14)</f>
        <v/>
      </c>
      <c r="BS15" s="1025"/>
      <c r="BT15" s="1026" t="str">
        <f>IF(BS15="","",'#minDung'!HE14)</f>
        <v/>
      </c>
      <c r="BU15" s="1026" t="str">
        <f>IF(BT15="","",'#minDung'!HF14)</f>
        <v/>
      </c>
      <c r="BV15" s="1025"/>
      <c r="BW15" s="1026" t="str">
        <f>IF(BV15="","",'#minDung'!HN14)</f>
        <v/>
      </c>
      <c r="BX15" s="1026" t="str">
        <f>IF(BW15="","",'#minDung'!HO14)</f>
        <v/>
      </c>
      <c r="BY15" s="1025"/>
      <c r="BZ15" s="1026" t="str">
        <f>IF(BY15="","",'#minDung'!HW14)</f>
        <v/>
      </c>
      <c r="CA15" s="1026" t="str">
        <f>IF(BZ15="","",'#minDung'!HX14)</f>
        <v/>
      </c>
      <c r="CB15" s="1025"/>
      <c r="CC15" s="1026" t="str">
        <f>IF(CB15="","",'#minDung'!IF14)</f>
        <v/>
      </c>
      <c r="CD15" s="1026" t="str">
        <f>IF(CC15="","",'#minDung'!IG14)</f>
        <v/>
      </c>
      <c r="CE15" s="1025"/>
      <c r="CF15" s="1026" t="str">
        <f>IF(CE15="","",'#minDung'!IO14)</f>
        <v/>
      </c>
      <c r="CG15" s="1026" t="str">
        <f>IF(CF15="","",'#minDung'!IP14)</f>
        <v/>
      </c>
      <c r="CH15" s="1025"/>
      <c r="CI15" s="1026" t="str">
        <f>IF(CH15="","",'#minDung'!IX14)</f>
        <v/>
      </c>
      <c r="CJ15" s="1026" t="str">
        <f>IF(CI15="","",'#minDung'!IY14)</f>
        <v/>
      </c>
      <c r="CK15" s="1025"/>
      <c r="CL15" s="1026" t="str">
        <f>IF(CK15="","",'#minDung'!JG14)</f>
        <v/>
      </c>
      <c r="CM15" s="1026" t="str">
        <f>IF(CL15="","",'#minDung'!JH14)</f>
        <v/>
      </c>
      <c r="CN15" s="1025"/>
      <c r="CO15" s="1026" t="str">
        <f>IF(CN15="","",'#minDung'!JP14)</f>
        <v/>
      </c>
      <c r="CP15" s="1026" t="str">
        <f>IF(CO15="","",'#minDung'!JQ14)</f>
        <v/>
      </c>
      <c r="CQ15" s="1025"/>
      <c r="CR15" s="1026" t="str">
        <f>IF(CQ15="","",'#minDung'!JY14)</f>
        <v/>
      </c>
      <c r="CS15" s="1030" t="str">
        <f>IF(CR15="","",'#minDung'!JZ14)</f>
        <v/>
      </c>
      <c r="CT15" s="170"/>
    </row>
    <row r="16" spans="1:99" s="294" customFormat="1" ht="15" customHeight="1" x14ac:dyDescent="0.2">
      <c r="A16" s="1205">
        <f>'Flächen u. Kulturen'!A14</f>
        <v>5</v>
      </c>
      <c r="B16" s="1205" t="str">
        <f>+'org. Düngung 22'!B17</f>
        <v/>
      </c>
      <c r="C16" s="1206" t="str">
        <f>'org. Düngung 22'!C17</f>
        <v/>
      </c>
      <c r="D16" s="1197" t="str">
        <f>'org. Düngung 22'!D17</f>
        <v/>
      </c>
      <c r="E16" s="1207" t="str">
        <f>'org. Düngung 22'!E17</f>
        <v/>
      </c>
      <c r="F16" s="1199" t="str">
        <f>'org. Düngung 22'!F17</f>
        <v/>
      </c>
      <c r="G16" s="1201" t="str">
        <f>IF(C16="","",IF(COUNT('#minDung'!KF15:KJ15)=0,"OK",TRIM(CONCATENATE('#minDung'!KF15," ",'#minDung'!KG15," ",'#minDung'!KH15," ",'#minDung'!KI15," ",'#minDung'!KJ15))))</f>
        <v/>
      </c>
      <c r="H16" s="1025"/>
      <c r="I16" s="1026" t="str">
        <f>IF(H16="","",'#minDung'!X15)</f>
        <v/>
      </c>
      <c r="J16" s="1026" t="str">
        <f>IF(I16="","",'#minDung'!Y15)</f>
        <v/>
      </c>
      <c r="K16" s="1025"/>
      <c r="L16" s="1026" t="str">
        <f>IF(K16="","",'#minDung'!AG15)</f>
        <v/>
      </c>
      <c r="M16" s="1026" t="str">
        <f>IF(L16="","",'#minDung'!AH15)</f>
        <v/>
      </c>
      <c r="N16" s="1025"/>
      <c r="O16" s="1026" t="str">
        <f>IF(N16="","",'#minDung'!AP15)</f>
        <v/>
      </c>
      <c r="P16" s="1026" t="str">
        <f>IF(O16="","",'#minDung'!AQ15)</f>
        <v/>
      </c>
      <c r="Q16" s="1025"/>
      <c r="R16" s="1026" t="str">
        <f>IF(Q16="","",'#minDung'!AY15)</f>
        <v/>
      </c>
      <c r="S16" s="1026" t="str">
        <f>IF(R16="","",'#minDung'!AZ15)</f>
        <v/>
      </c>
      <c r="T16" s="1025"/>
      <c r="U16" s="1026" t="str">
        <f>IF(T16="","",'#minDung'!BH15)</f>
        <v/>
      </c>
      <c r="V16" s="1026" t="str">
        <f>IF(U16="","",'#minDung'!BI15)</f>
        <v/>
      </c>
      <c r="W16" s="1025"/>
      <c r="X16" s="1026" t="str">
        <f>IF(W16="","",'#minDung'!BQ15)</f>
        <v/>
      </c>
      <c r="Y16" s="1026" t="str">
        <f>IF(X16="","",'#minDung'!BR15)</f>
        <v/>
      </c>
      <c r="Z16" s="1025"/>
      <c r="AA16" s="1026" t="str">
        <f>IF(Z16="","",'#minDung'!BZ15)</f>
        <v/>
      </c>
      <c r="AB16" s="1026" t="str">
        <f>IF(AA16="","",'#minDung'!CA15)</f>
        <v/>
      </c>
      <c r="AC16" s="1025"/>
      <c r="AD16" s="1026" t="str">
        <f>IF(AC16="","",'#minDung'!CI15)</f>
        <v/>
      </c>
      <c r="AE16" s="1026" t="str">
        <f>IF(AD16="","",'#minDung'!CJ15)</f>
        <v/>
      </c>
      <c r="AF16" s="1025"/>
      <c r="AG16" s="1026" t="str">
        <f>IF(AF16="","",'#minDung'!CR15)</f>
        <v/>
      </c>
      <c r="AH16" s="1026" t="str">
        <f>IF(AG16="","",'#minDung'!CS15)</f>
        <v/>
      </c>
      <c r="AI16" s="1025"/>
      <c r="AJ16" s="1026" t="str">
        <f>IF(AI16="","",'#minDung'!DA15)</f>
        <v/>
      </c>
      <c r="AK16" s="1026" t="str">
        <f>IF(AJ16="","",'#minDung'!DB15)</f>
        <v/>
      </c>
      <c r="AL16" s="1025"/>
      <c r="AM16" s="1026" t="str">
        <f>IF(AL16="","",'#minDung'!DJ15)</f>
        <v/>
      </c>
      <c r="AN16" s="1026" t="str">
        <f>IF(AM16="","",'#minDung'!DK15)</f>
        <v/>
      </c>
      <c r="AO16" s="1025"/>
      <c r="AP16" s="1026" t="str">
        <f>IF(AO16="","",'#minDung'!DS15)</f>
        <v/>
      </c>
      <c r="AQ16" s="1026" t="str">
        <f>IF(AP16="","",'#minDung'!DT15)</f>
        <v/>
      </c>
      <c r="AR16" s="1025"/>
      <c r="AS16" s="1026" t="str">
        <f>IF(AR16="","",'#minDung'!EB15)</f>
        <v/>
      </c>
      <c r="AT16" s="1026" t="str">
        <f>IF(AS16="","",'#minDung'!EC15)</f>
        <v/>
      </c>
      <c r="AU16" s="1025"/>
      <c r="AV16" s="1026" t="str">
        <f>IF(AU16="","",'#minDung'!EK15)</f>
        <v/>
      </c>
      <c r="AW16" s="1026" t="str">
        <f>IF(AV16="","",'#minDung'!EL15)</f>
        <v/>
      </c>
      <c r="AX16" s="1025"/>
      <c r="AY16" s="1026" t="str">
        <f>IF(AX16="","",'#minDung'!ET15)</f>
        <v/>
      </c>
      <c r="AZ16" s="1026" t="str">
        <f>IF(AY16="","",'#minDung'!EU15)</f>
        <v/>
      </c>
      <c r="BA16" s="1025"/>
      <c r="BB16" s="1026" t="str">
        <f>IF(BA16="","",'#minDung'!FC15)</f>
        <v/>
      </c>
      <c r="BC16" s="1026" t="str">
        <f>IF(BB16="","",'#minDung'!FD15)</f>
        <v/>
      </c>
      <c r="BD16" s="1025"/>
      <c r="BE16" s="1026" t="str">
        <f>IF(BD16="","",'#minDung'!FL15)</f>
        <v/>
      </c>
      <c r="BF16" s="1026" t="str">
        <f>IF(BE16="","",'#minDung'!FM15)</f>
        <v/>
      </c>
      <c r="BG16" s="1025"/>
      <c r="BH16" s="1026" t="str">
        <f>IF(BG16="","",'#minDung'!FU15)</f>
        <v/>
      </c>
      <c r="BI16" s="1026" t="str">
        <f>IF(BH16="","",'#minDung'!FV15)</f>
        <v/>
      </c>
      <c r="BJ16" s="1025"/>
      <c r="BK16" s="1026" t="str">
        <f>IF(BJ16="","",'#minDung'!GD15)</f>
        <v/>
      </c>
      <c r="BL16" s="1026" t="str">
        <f>IF(BK16="","",'#minDung'!GE15)</f>
        <v/>
      </c>
      <c r="BM16" s="1025"/>
      <c r="BN16" s="1026" t="str">
        <f>IF(BM16="","",'#minDung'!GM15)</f>
        <v/>
      </c>
      <c r="BO16" s="1026" t="str">
        <f>IF(BN16="","",'#minDung'!GN15)</f>
        <v/>
      </c>
      <c r="BP16" s="1025"/>
      <c r="BQ16" s="1026" t="str">
        <f>IF(BP16="","",'#minDung'!GV15)</f>
        <v/>
      </c>
      <c r="BR16" s="1026" t="str">
        <f>IF(BQ16="","",'#minDung'!GW15)</f>
        <v/>
      </c>
      <c r="BS16" s="1025"/>
      <c r="BT16" s="1026" t="str">
        <f>IF(BS16="","",'#minDung'!HE15)</f>
        <v/>
      </c>
      <c r="BU16" s="1026" t="str">
        <f>IF(BT16="","",'#minDung'!HF15)</f>
        <v/>
      </c>
      <c r="BV16" s="1025"/>
      <c r="BW16" s="1026" t="str">
        <f>IF(BV16="","",'#minDung'!HN15)</f>
        <v/>
      </c>
      <c r="BX16" s="1026" t="str">
        <f>IF(BW16="","",'#minDung'!HO15)</f>
        <v/>
      </c>
      <c r="BY16" s="1025"/>
      <c r="BZ16" s="1026" t="str">
        <f>IF(BY16="","",'#minDung'!HW15)</f>
        <v/>
      </c>
      <c r="CA16" s="1026" t="str">
        <f>IF(BZ16="","",'#minDung'!HX15)</f>
        <v/>
      </c>
      <c r="CB16" s="1025"/>
      <c r="CC16" s="1026" t="str">
        <f>IF(CB16="","",'#minDung'!IF15)</f>
        <v/>
      </c>
      <c r="CD16" s="1026" t="str">
        <f>IF(CC16="","",'#minDung'!IG15)</f>
        <v/>
      </c>
      <c r="CE16" s="1025"/>
      <c r="CF16" s="1026" t="str">
        <f>IF(CE16="","",'#minDung'!IO15)</f>
        <v/>
      </c>
      <c r="CG16" s="1026" t="str">
        <f>IF(CF16="","",'#minDung'!IP15)</f>
        <v/>
      </c>
      <c r="CH16" s="1025"/>
      <c r="CI16" s="1026" t="str">
        <f>IF(CH16="","",'#minDung'!IX15)</f>
        <v/>
      </c>
      <c r="CJ16" s="1026" t="str">
        <f>IF(CI16="","",'#minDung'!IY15)</f>
        <v/>
      </c>
      <c r="CK16" s="1025"/>
      <c r="CL16" s="1026" t="str">
        <f>IF(CK16="","",'#minDung'!JG15)</f>
        <v/>
      </c>
      <c r="CM16" s="1026" t="str">
        <f>IF(CL16="","",'#minDung'!JH15)</f>
        <v/>
      </c>
      <c r="CN16" s="1025"/>
      <c r="CO16" s="1026" t="str">
        <f>IF(CN16="","",'#minDung'!JP15)</f>
        <v/>
      </c>
      <c r="CP16" s="1026" t="str">
        <f>IF(CO16="","",'#minDung'!JQ15)</f>
        <v/>
      </c>
      <c r="CQ16" s="1025"/>
      <c r="CR16" s="1026" t="str">
        <f>IF(CQ16="","",'#minDung'!JY15)</f>
        <v/>
      </c>
      <c r="CS16" s="1030" t="str">
        <f>IF(CR16="","",'#minDung'!JZ15)</f>
        <v/>
      </c>
      <c r="CT16" s="170"/>
    </row>
    <row r="17" spans="1:98" s="875" customFormat="1" ht="15" customHeight="1" x14ac:dyDescent="0.2">
      <c r="A17" s="1205">
        <f>'Flächen u. Kulturen'!A15</f>
        <v>6</v>
      </c>
      <c r="B17" s="1205" t="str">
        <f>+'org. Düngung 22'!B18</f>
        <v/>
      </c>
      <c r="C17" s="1206" t="str">
        <f>'org. Düngung 22'!C18</f>
        <v/>
      </c>
      <c r="D17" s="1197" t="str">
        <f>'org. Düngung 22'!D18</f>
        <v/>
      </c>
      <c r="E17" s="1207" t="str">
        <f>'org. Düngung 22'!E18</f>
        <v/>
      </c>
      <c r="F17" s="1199" t="str">
        <f>'org. Düngung 22'!F18</f>
        <v/>
      </c>
      <c r="G17" s="1201" t="str">
        <f>IF(C17="","",IF(COUNT('#minDung'!KF16:KJ16)=0,"OK",TRIM(CONCATENATE('#minDung'!KF16," ",'#minDung'!KG16," ",'#minDung'!KH16," ",'#minDung'!KI16," ",'#minDung'!KJ16))))</f>
        <v/>
      </c>
      <c r="H17" s="1025"/>
      <c r="I17" s="1026" t="str">
        <f>IF(H17="","",'#minDung'!X16)</f>
        <v/>
      </c>
      <c r="J17" s="1026" t="str">
        <f>IF(I17="","",'#minDung'!Y16)</f>
        <v/>
      </c>
      <c r="K17" s="1025"/>
      <c r="L17" s="1026" t="str">
        <f>IF(K17="","",'#minDung'!AG16)</f>
        <v/>
      </c>
      <c r="M17" s="1026" t="str">
        <f>IF(L17="","",'#minDung'!AH16)</f>
        <v/>
      </c>
      <c r="N17" s="1025"/>
      <c r="O17" s="1026" t="str">
        <f>IF(N17="","",'#minDung'!AP16)</f>
        <v/>
      </c>
      <c r="P17" s="1026" t="str">
        <f>IF(O17="","",'#minDung'!AQ16)</f>
        <v/>
      </c>
      <c r="Q17" s="1025"/>
      <c r="R17" s="1026" t="str">
        <f>IF(Q17="","",'#minDung'!AY16)</f>
        <v/>
      </c>
      <c r="S17" s="1026" t="str">
        <f>IF(R17="","",'#minDung'!AZ16)</f>
        <v/>
      </c>
      <c r="T17" s="1025"/>
      <c r="U17" s="1026" t="str">
        <f>IF(T17="","",'#minDung'!BH16)</f>
        <v/>
      </c>
      <c r="V17" s="1026" t="str">
        <f>IF(U17="","",'#minDung'!BI16)</f>
        <v/>
      </c>
      <c r="W17" s="1025"/>
      <c r="X17" s="1026" t="str">
        <f>IF(W17="","",'#minDung'!BQ16)</f>
        <v/>
      </c>
      <c r="Y17" s="1026" t="str">
        <f>IF(X17="","",'#minDung'!BR16)</f>
        <v/>
      </c>
      <c r="Z17" s="1025"/>
      <c r="AA17" s="1026" t="str">
        <f>IF(Z17="","",'#minDung'!BZ16)</f>
        <v/>
      </c>
      <c r="AB17" s="1026" t="str">
        <f>IF(AA17="","",'#minDung'!CA16)</f>
        <v/>
      </c>
      <c r="AC17" s="1025"/>
      <c r="AD17" s="1026" t="str">
        <f>IF(AC17="","",'#minDung'!CI16)</f>
        <v/>
      </c>
      <c r="AE17" s="1026" t="str">
        <f>IF(AD17="","",'#minDung'!CJ16)</f>
        <v/>
      </c>
      <c r="AF17" s="1025"/>
      <c r="AG17" s="1026" t="str">
        <f>IF(AF17="","",'#minDung'!CR16)</f>
        <v/>
      </c>
      <c r="AH17" s="1026" t="str">
        <f>IF(AG17="","",'#minDung'!CS16)</f>
        <v/>
      </c>
      <c r="AI17" s="1025"/>
      <c r="AJ17" s="1026" t="str">
        <f>IF(AI17="","",'#minDung'!DA16)</f>
        <v/>
      </c>
      <c r="AK17" s="1026" t="str">
        <f>IF(AJ17="","",'#minDung'!DB16)</f>
        <v/>
      </c>
      <c r="AL17" s="1025"/>
      <c r="AM17" s="1026" t="str">
        <f>IF(AL17="","",'#minDung'!DJ16)</f>
        <v/>
      </c>
      <c r="AN17" s="1026" t="str">
        <f>IF(AM17="","",'#minDung'!DK16)</f>
        <v/>
      </c>
      <c r="AO17" s="1025"/>
      <c r="AP17" s="1026" t="str">
        <f>IF(AO17="","",'#minDung'!DS16)</f>
        <v/>
      </c>
      <c r="AQ17" s="1026" t="str">
        <f>IF(AP17="","",'#minDung'!DT16)</f>
        <v/>
      </c>
      <c r="AR17" s="1025"/>
      <c r="AS17" s="1026" t="str">
        <f>IF(AR17="","",'#minDung'!EB16)</f>
        <v/>
      </c>
      <c r="AT17" s="1026" t="str">
        <f>IF(AS17="","",'#minDung'!EC16)</f>
        <v/>
      </c>
      <c r="AU17" s="1025"/>
      <c r="AV17" s="1026" t="str">
        <f>IF(AU17="","",'#minDung'!EK16)</f>
        <v/>
      </c>
      <c r="AW17" s="1026" t="str">
        <f>IF(AV17="","",'#minDung'!EL16)</f>
        <v/>
      </c>
      <c r="AX17" s="1025"/>
      <c r="AY17" s="1026" t="str">
        <f>IF(AX17="","",'#minDung'!ET16)</f>
        <v/>
      </c>
      <c r="AZ17" s="1026" t="str">
        <f>IF(AY17="","",'#minDung'!EU16)</f>
        <v/>
      </c>
      <c r="BA17" s="1025"/>
      <c r="BB17" s="1026" t="str">
        <f>IF(BA17="","",'#minDung'!FC16)</f>
        <v/>
      </c>
      <c r="BC17" s="1026" t="str">
        <f>IF(BB17="","",'#minDung'!FD16)</f>
        <v/>
      </c>
      <c r="BD17" s="1025"/>
      <c r="BE17" s="1026" t="str">
        <f>IF(BD17="","",'#minDung'!FL16)</f>
        <v/>
      </c>
      <c r="BF17" s="1026" t="str">
        <f>IF(BE17="","",'#minDung'!FM16)</f>
        <v/>
      </c>
      <c r="BG17" s="1025"/>
      <c r="BH17" s="1026" t="str">
        <f>IF(BG17="","",'#minDung'!FU16)</f>
        <v/>
      </c>
      <c r="BI17" s="1026" t="str">
        <f>IF(BH17="","",'#minDung'!FV16)</f>
        <v/>
      </c>
      <c r="BJ17" s="1025"/>
      <c r="BK17" s="1026" t="str">
        <f>IF(BJ17="","",'#minDung'!GD16)</f>
        <v/>
      </c>
      <c r="BL17" s="1026" t="str">
        <f>IF(BK17="","",'#minDung'!GE16)</f>
        <v/>
      </c>
      <c r="BM17" s="1025"/>
      <c r="BN17" s="1026" t="str">
        <f>IF(BM17="","",'#minDung'!GM16)</f>
        <v/>
      </c>
      <c r="BO17" s="1026" t="str">
        <f>IF(BN17="","",'#minDung'!GN16)</f>
        <v/>
      </c>
      <c r="BP17" s="1025"/>
      <c r="BQ17" s="1026" t="str">
        <f>IF(BP17="","",'#minDung'!GV16)</f>
        <v/>
      </c>
      <c r="BR17" s="1026" t="str">
        <f>IF(BQ17="","",'#minDung'!GW16)</f>
        <v/>
      </c>
      <c r="BS17" s="1025"/>
      <c r="BT17" s="1026" t="str">
        <f>IF(BS17="","",'#minDung'!HE16)</f>
        <v/>
      </c>
      <c r="BU17" s="1026" t="str">
        <f>IF(BT17="","",'#minDung'!HF16)</f>
        <v/>
      </c>
      <c r="BV17" s="1025"/>
      <c r="BW17" s="1026" t="str">
        <f>IF(BV17="","",'#minDung'!HN16)</f>
        <v/>
      </c>
      <c r="BX17" s="1026" t="str">
        <f>IF(BW17="","",'#minDung'!HO16)</f>
        <v/>
      </c>
      <c r="BY17" s="1025"/>
      <c r="BZ17" s="1026" t="str">
        <f>IF(BY17="","",'#minDung'!HW16)</f>
        <v/>
      </c>
      <c r="CA17" s="1026" t="str">
        <f>IF(BZ17="","",'#minDung'!HX16)</f>
        <v/>
      </c>
      <c r="CB17" s="1025"/>
      <c r="CC17" s="1026" t="str">
        <f>IF(CB17="","",'#minDung'!IF16)</f>
        <v/>
      </c>
      <c r="CD17" s="1026" t="str">
        <f>IF(CC17="","",'#minDung'!IG16)</f>
        <v/>
      </c>
      <c r="CE17" s="1025"/>
      <c r="CF17" s="1026" t="str">
        <f>IF(CE17="","",'#minDung'!IO16)</f>
        <v/>
      </c>
      <c r="CG17" s="1026" t="str">
        <f>IF(CF17="","",'#minDung'!IP16)</f>
        <v/>
      </c>
      <c r="CH17" s="1025"/>
      <c r="CI17" s="1026" t="str">
        <f>IF(CH17="","",'#minDung'!IX16)</f>
        <v/>
      </c>
      <c r="CJ17" s="1026" t="str">
        <f>IF(CI17="","",'#minDung'!IY16)</f>
        <v/>
      </c>
      <c r="CK17" s="1025"/>
      <c r="CL17" s="1026" t="str">
        <f>IF(CK17="","",'#minDung'!JG16)</f>
        <v/>
      </c>
      <c r="CM17" s="1026" t="str">
        <f>IF(CL17="","",'#minDung'!JH16)</f>
        <v/>
      </c>
      <c r="CN17" s="1025"/>
      <c r="CO17" s="1026" t="str">
        <f>IF(CN17="","",'#minDung'!JP16)</f>
        <v/>
      </c>
      <c r="CP17" s="1026" t="str">
        <f>IF(CO17="","",'#minDung'!JQ16)</f>
        <v/>
      </c>
      <c r="CQ17" s="1025"/>
      <c r="CR17" s="1026" t="str">
        <f>IF(CQ17="","",'#minDung'!JY16)</f>
        <v/>
      </c>
      <c r="CS17" s="1030" t="str">
        <f>IF(CR17="","",'#minDung'!JZ16)</f>
        <v/>
      </c>
      <c r="CT17" s="170"/>
    </row>
    <row r="18" spans="1:98" s="875" customFormat="1" ht="15" customHeight="1" x14ac:dyDescent="0.2">
      <c r="A18" s="1205">
        <f>'Flächen u. Kulturen'!A16</f>
        <v>7</v>
      </c>
      <c r="B18" s="1205" t="str">
        <f>+'org. Düngung 22'!B19</f>
        <v/>
      </c>
      <c r="C18" s="1206" t="str">
        <f>'org. Düngung 22'!C19</f>
        <v/>
      </c>
      <c r="D18" s="1197" t="str">
        <f>'org. Düngung 22'!D19</f>
        <v/>
      </c>
      <c r="E18" s="1207" t="str">
        <f>'org. Düngung 22'!E19</f>
        <v/>
      </c>
      <c r="F18" s="1199" t="str">
        <f>'org. Düngung 22'!F19</f>
        <v/>
      </c>
      <c r="G18" s="1201" t="str">
        <f>IF(C18="","",IF(COUNT('#minDung'!KF17:KJ17)=0,"OK",TRIM(CONCATENATE('#minDung'!KF17," ",'#minDung'!KG17," ",'#minDung'!KH17," ",'#minDung'!KI17," ",'#minDung'!KJ17))))</f>
        <v/>
      </c>
      <c r="H18" s="1025"/>
      <c r="I18" s="1026" t="str">
        <f>IF(H18="","",'#minDung'!X17)</f>
        <v/>
      </c>
      <c r="J18" s="1026" t="str">
        <f>IF(I18="","",'#minDung'!Y17)</f>
        <v/>
      </c>
      <c r="K18" s="1025"/>
      <c r="L18" s="1026" t="str">
        <f>IF(K18="","",'#minDung'!AG17)</f>
        <v/>
      </c>
      <c r="M18" s="1026" t="str">
        <f>IF(L18="","",'#minDung'!AH17)</f>
        <v/>
      </c>
      <c r="N18" s="1025"/>
      <c r="O18" s="1026" t="str">
        <f>IF(N18="","",'#minDung'!AP17)</f>
        <v/>
      </c>
      <c r="P18" s="1026" t="str">
        <f>IF(O18="","",'#minDung'!AQ17)</f>
        <v/>
      </c>
      <c r="Q18" s="1025"/>
      <c r="R18" s="1026" t="str">
        <f>IF(Q18="","",'#minDung'!AY17)</f>
        <v/>
      </c>
      <c r="S18" s="1026" t="str">
        <f>IF(R18="","",'#minDung'!AZ17)</f>
        <v/>
      </c>
      <c r="T18" s="1025"/>
      <c r="U18" s="1026" t="str">
        <f>IF(T18="","",'#minDung'!BH17)</f>
        <v/>
      </c>
      <c r="V18" s="1026" t="str">
        <f>IF(U18="","",'#minDung'!BI17)</f>
        <v/>
      </c>
      <c r="W18" s="1025"/>
      <c r="X18" s="1026" t="str">
        <f>IF(W18="","",'#minDung'!BQ17)</f>
        <v/>
      </c>
      <c r="Y18" s="1026" t="str">
        <f>IF(X18="","",'#minDung'!BR17)</f>
        <v/>
      </c>
      <c r="Z18" s="1025"/>
      <c r="AA18" s="1026" t="str">
        <f>IF(Z18="","",'#minDung'!BZ17)</f>
        <v/>
      </c>
      <c r="AB18" s="1026" t="str">
        <f>IF(AA18="","",'#minDung'!CA17)</f>
        <v/>
      </c>
      <c r="AC18" s="1025"/>
      <c r="AD18" s="1026" t="str">
        <f>IF(AC18="","",'#minDung'!CI17)</f>
        <v/>
      </c>
      <c r="AE18" s="1026" t="str">
        <f>IF(AD18="","",'#minDung'!CJ17)</f>
        <v/>
      </c>
      <c r="AF18" s="1025"/>
      <c r="AG18" s="1026" t="str">
        <f>IF(AF18="","",'#minDung'!CR17)</f>
        <v/>
      </c>
      <c r="AH18" s="1026" t="str">
        <f>IF(AG18="","",'#minDung'!CS17)</f>
        <v/>
      </c>
      <c r="AI18" s="1025"/>
      <c r="AJ18" s="1026" t="str">
        <f>IF(AI18="","",'#minDung'!DA17)</f>
        <v/>
      </c>
      <c r="AK18" s="1026" t="str">
        <f>IF(AJ18="","",'#minDung'!DB17)</f>
        <v/>
      </c>
      <c r="AL18" s="1025"/>
      <c r="AM18" s="1026" t="str">
        <f>IF(AL18="","",'#minDung'!DJ17)</f>
        <v/>
      </c>
      <c r="AN18" s="1026" t="str">
        <f>IF(AM18="","",'#minDung'!DK17)</f>
        <v/>
      </c>
      <c r="AO18" s="1025"/>
      <c r="AP18" s="1026" t="str">
        <f>IF(AO18="","",'#minDung'!DS17)</f>
        <v/>
      </c>
      <c r="AQ18" s="1026" t="str">
        <f>IF(AP18="","",'#minDung'!DT17)</f>
        <v/>
      </c>
      <c r="AR18" s="1025"/>
      <c r="AS18" s="1026" t="str">
        <f>IF(AR18="","",'#minDung'!EB17)</f>
        <v/>
      </c>
      <c r="AT18" s="1026" t="str">
        <f>IF(AS18="","",'#minDung'!EC17)</f>
        <v/>
      </c>
      <c r="AU18" s="1025"/>
      <c r="AV18" s="1026" t="str">
        <f>IF(AU18="","",'#minDung'!EK17)</f>
        <v/>
      </c>
      <c r="AW18" s="1026" t="str">
        <f>IF(AV18="","",'#minDung'!EL17)</f>
        <v/>
      </c>
      <c r="AX18" s="1025"/>
      <c r="AY18" s="1026" t="str">
        <f>IF(AX18="","",'#minDung'!ET17)</f>
        <v/>
      </c>
      <c r="AZ18" s="1026" t="str">
        <f>IF(AY18="","",'#minDung'!EU17)</f>
        <v/>
      </c>
      <c r="BA18" s="1025"/>
      <c r="BB18" s="1026" t="str">
        <f>IF(BA18="","",'#minDung'!FC17)</f>
        <v/>
      </c>
      <c r="BC18" s="1026" t="str">
        <f>IF(BB18="","",'#minDung'!FD17)</f>
        <v/>
      </c>
      <c r="BD18" s="1025"/>
      <c r="BE18" s="1026" t="str">
        <f>IF(BD18="","",'#minDung'!FL17)</f>
        <v/>
      </c>
      <c r="BF18" s="1026" t="str">
        <f>IF(BE18="","",'#minDung'!FM17)</f>
        <v/>
      </c>
      <c r="BG18" s="1025"/>
      <c r="BH18" s="1026" t="str">
        <f>IF(BG18="","",'#minDung'!FU17)</f>
        <v/>
      </c>
      <c r="BI18" s="1026" t="str">
        <f>IF(BH18="","",'#minDung'!FV17)</f>
        <v/>
      </c>
      <c r="BJ18" s="1025"/>
      <c r="BK18" s="1026" t="str">
        <f>IF(BJ18="","",'#minDung'!GD17)</f>
        <v/>
      </c>
      <c r="BL18" s="1026" t="str">
        <f>IF(BK18="","",'#minDung'!GE17)</f>
        <v/>
      </c>
      <c r="BM18" s="1025"/>
      <c r="BN18" s="1026" t="str">
        <f>IF(BM18="","",'#minDung'!GM17)</f>
        <v/>
      </c>
      <c r="BO18" s="1026" t="str">
        <f>IF(BN18="","",'#minDung'!GN17)</f>
        <v/>
      </c>
      <c r="BP18" s="1025"/>
      <c r="BQ18" s="1026" t="str">
        <f>IF(BP18="","",'#minDung'!GV17)</f>
        <v/>
      </c>
      <c r="BR18" s="1026" t="str">
        <f>IF(BQ18="","",'#minDung'!GW17)</f>
        <v/>
      </c>
      <c r="BS18" s="1025"/>
      <c r="BT18" s="1026" t="str">
        <f>IF(BS18="","",'#minDung'!HE17)</f>
        <v/>
      </c>
      <c r="BU18" s="1026" t="str">
        <f>IF(BT18="","",'#minDung'!HF17)</f>
        <v/>
      </c>
      <c r="BV18" s="1025"/>
      <c r="BW18" s="1026" t="str">
        <f>IF(BV18="","",'#minDung'!HN17)</f>
        <v/>
      </c>
      <c r="BX18" s="1026" t="str">
        <f>IF(BW18="","",'#minDung'!HO17)</f>
        <v/>
      </c>
      <c r="BY18" s="1025"/>
      <c r="BZ18" s="1026" t="str">
        <f>IF(BY18="","",'#minDung'!HW17)</f>
        <v/>
      </c>
      <c r="CA18" s="1026" t="str">
        <f>IF(BZ18="","",'#minDung'!HX17)</f>
        <v/>
      </c>
      <c r="CB18" s="1025"/>
      <c r="CC18" s="1026" t="str">
        <f>IF(CB18="","",'#minDung'!IF17)</f>
        <v/>
      </c>
      <c r="CD18" s="1026" t="str">
        <f>IF(CC18="","",'#minDung'!IG17)</f>
        <v/>
      </c>
      <c r="CE18" s="1025"/>
      <c r="CF18" s="1026" t="str">
        <f>IF(CE18="","",'#minDung'!IO17)</f>
        <v/>
      </c>
      <c r="CG18" s="1026" t="str">
        <f>IF(CF18="","",'#minDung'!IP17)</f>
        <v/>
      </c>
      <c r="CH18" s="1025"/>
      <c r="CI18" s="1026" t="str">
        <f>IF(CH18="","",'#minDung'!IX17)</f>
        <v/>
      </c>
      <c r="CJ18" s="1026" t="str">
        <f>IF(CI18="","",'#minDung'!IY17)</f>
        <v/>
      </c>
      <c r="CK18" s="1025"/>
      <c r="CL18" s="1026" t="str">
        <f>IF(CK18="","",'#minDung'!JG17)</f>
        <v/>
      </c>
      <c r="CM18" s="1026" t="str">
        <f>IF(CL18="","",'#minDung'!JH17)</f>
        <v/>
      </c>
      <c r="CN18" s="1025"/>
      <c r="CO18" s="1026" t="str">
        <f>IF(CN18="","",'#minDung'!JP17)</f>
        <v/>
      </c>
      <c r="CP18" s="1026" t="str">
        <f>IF(CO18="","",'#minDung'!JQ17)</f>
        <v/>
      </c>
      <c r="CQ18" s="1025"/>
      <c r="CR18" s="1026" t="str">
        <f>IF(CQ18="","",'#minDung'!JY17)</f>
        <v/>
      </c>
      <c r="CS18" s="1030" t="str">
        <f>IF(CR18="","",'#minDung'!JZ17)</f>
        <v/>
      </c>
      <c r="CT18" s="170"/>
    </row>
    <row r="19" spans="1:98" s="875" customFormat="1" ht="15" customHeight="1" x14ac:dyDescent="0.2">
      <c r="A19" s="1205">
        <f>'Flächen u. Kulturen'!A17</f>
        <v>8</v>
      </c>
      <c r="B19" s="1205" t="str">
        <f>+'org. Düngung 22'!B20</f>
        <v/>
      </c>
      <c r="C19" s="1206" t="str">
        <f>'org. Düngung 22'!C20</f>
        <v/>
      </c>
      <c r="D19" s="1197" t="str">
        <f>'org. Düngung 22'!D20</f>
        <v/>
      </c>
      <c r="E19" s="1207" t="str">
        <f>'org. Düngung 22'!E20</f>
        <v/>
      </c>
      <c r="F19" s="1199" t="str">
        <f>'org. Düngung 22'!F20</f>
        <v/>
      </c>
      <c r="G19" s="1201" t="str">
        <f>IF(C19="","",IF(COUNT('#minDung'!KF18:KJ18)=0,"OK",TRIM(CONCATENATE('#minDung'!KF18," ",'#minDung'!KG18," ",'#minDung'!KH18," ",'#minDung'!KI18," ",'#minDung'!KJ18))))</f>
        <v/>
      </c>
      <c r="H19" s="1025"/>
      <c r="I19" s="1026" t="str">
        <f>IF(H19="","",'#minDung'!X18)</f>
        <v/>
      </c>
      <c r="J19" s="1026" t="str">
        <f>IF(I19="","",'#minDung'!Y18)</f>
        <v/>
      </c>
      <c r="K19" s="1025"/>
      <c r="L19" s="1026" t="str">
        <f>IF(K19="","",'#minDung'!AG18)</f>
        <v/>
      </c>
      <c r="M19" s="1026" t="str">
        <f>IF(L19="","",'#minDung'!AH18)</f>
        <v/>
      </c>
      <c r="N19" s="1025"/>
      <c r="O19" s="1026" t="str">
        <f>IF(N19="","",'#minDung'!AP18)</f>
        <v/>
      </c>
      <c r="P19" s="1026" t="str">
        <f>IF(O19="","",'#minDung'!AQ18)</f>
        <v/>
      </c>
      <c r="Q19" s="1025"/>
      <c r="R19" s="1026" t="str">
        <f>IF(Q19="","",'#minDung'!AY18)</f>
        <v/>
      </c>
      <c r="S19" s="1026" t="str">
        <f>IF(R19="","",'#minDung'!AZ18)</f>
        <v/>
      </c>
      <c r="T19" s="1025"/>
      <c r="U19" s="1026" t="str">
        <f>IF(T19="","",'#minDung'!BH18)</f>
        <v/>
      </c>
      <c r="V19" s="1026" t="str">
        <f>IF(U19="","",'#minDung'!BI18)</f>
        <v/>
      </c>
      <c r="W19" s="1025"/>
      <c r="X19" s="1026" t="str">
        <f>IF(W19="","",'#minDung'!BQ18)</f>
        <v/>
      </c>
      <c r="Y19" s="1026" t="str">
        <f>IF(X19="","",'#minDung'!BR18)</f>
        <v/>
      </c>
      <c r="Z19" s="1025"/>
      <c r="AA19" s="1026" t="str">
        <f>IF(Z19="","",'#minDung'!BZ18)</f>
        <v/>
      </c>
      <c r="AB19" s="1026" t="str">
        <f>IF(AA19="","",'#minDung'!CA18)</f>
        <v/>
      </c>
      <c r="AC19" s="1025"/>
      <c r="AD19" s="1026" t="str">
        <f>IF(AC19="","",'#minDung'!CI18)</f>
        <v/>
      </c>
      <c r="AE19" s="1026" t="str">
        <f>IF(AD19="","",'#minDung'!CJ18)</f>
        <v/>
      </c>
      <c r="AF19" s="1025"/>
      <c r="AG19" s="1026" t="str">
        <f>IF(AF19="","",'#minDung'!CR18)</f>
        <v/>
      </c>
      <c r="AH19" s="1026" t="str">
        <f>IF(AG19="","",'#minDung'!CS18)</f>
        <v/>
      </c>
      <c r="AI19" s="1025"/>
      <c r="AJ19" s="1026" t="str">
        <f>IF(AI19="","",'#minDung'!DA18)</f>
        <v/>
      </c>
      <c r="AK19" s="1026" t="str">
        <f>IF(AJ19="","",'#minDung'!DB18)</f>
        <v/>
      </c>
      <c r="AL19" s="1025"/>
      <c r="AM19" s="1026" t="str">
        <f>IF(AL19="","",'#minDung'!DJ18)</f>
        <v/>
      </c>
      <c r="AN19" s="1026" t="str">
        <f>IF(AM19="","",'#minDung'!DK18)</f>
        <v/>
      </c>
      <c r="AO19" s="1025"/>
      <c r="AP19" s="1026" t="str">
        <f>IF(AO19="","",'#minDung'!DS18)</f>
        <v/>
      </c>
      <c r="AQ19" s="1026" t="str">
        <f>IF(AP19="","",'#minDung'!DT18)</f>
        <v/>
      </c>
      <c r="AR19" s="1025"/>
      <c r="AS19" s="1026" t="str">
        <f>IF(AR19="","",'#minDung'!EB18)</f>
        <v/>
      </c>
      <c r="AT19" s="1026" t="str">
        <f>IF(AS19="","",'#minDung'!EC18)</f>
        <v/>
      </c>
      <c r="AU19" s="1025"/>
      <c r="AV19" s="1026" t="str">
        <f>IF(AU19="","",'#minDung'!EK18)</f>
        <v/>
      </c>
      <c r="AW19" s="1026" t="str">
        <f>IF(AV19="","",'#minDung'!EL18)</f>
        <v/>
      </c>
      <c r="AX19" s="1025"/>
      <c r="AY19" s="1026" t="str">
        <f>IF(AX19="","",'#minDung'!ET18)</f>
        <v/>
      </c>
      <c r="AZ19" s="1026" t="str">
        <f>IF(AY19="","",'#minDung'!EU18)</f>
        <v/>
      </c>
      <c r="BA19" s="1025"/>
      <c r="BB19" s="1026" t="str">
        <f>IF(BA19="","",'#minDung'!FC18)</f>
        <v/>
      </c>
      <c r="BC19" s="1026" t="str">
        <f>IF(BB19="","",'#minDung'!FD18)</f>
        <v/>
      </c>
      <c r="BD19" s="1025"/>
      <c r="BE19" s="1026" t="str">
        <f>IF(BD19="","",'#minDung'!FL18)</f>
        <v/>
      </c>
      <c r="BF19" s="1026" t="str">
        <f>IF(BE19="","",'#minDung'!FM18)</f>
        <v/>
      </c>
      <c r="BG19" s="1025"/>
      <c r="BH19" s="1026" t="str">
        <f>IF(BG19="","",'#minDung'!FU18)</f>
        <v/>
      </c>
      <c r="BI19" s="1026" t="str">
        <f>IF(BH19="","",'#minDung'!FV18)</f>
        <v/>
      </c>
      <c r="BJ19" s="1025"/>
      <c r="BK19" s="1026" t="str">
        <f>IF(BJ19="","",'#minDung'!GD18)</f>
        <v/>
      </c>
      <c r="BL19" s="1026" t="str">
        <f>IF(BK19="","",'#minDung'!GE18)</f>
        <v/>
      </c>
      <c r="BM19" s="1025"/>
      <c r="BN19" s="1026" t="str">
        <f>IF(BM19="","",'#minDung'!GM18)</f>
        <v/>
      </c>
      <c r="BO19" s="1026" t="str">
        <f>IF(BN19="","",'#minDung'!GN18)</f>
        <v/>
      </c>
      <c r="BP19" s="1025"/>
      <c r="BQ19" s="1026" t="str">
        <f>IF(BP19="","",'#minDung'!GV18)</f>
        <v/>
      </c>
      <c r="BR19" s="1026" t="str">
        <f>IF(BQ19="","",'#minDung'!GW18)</f>
        <v/>
      </c>
      <c r="BS19" s="1025"/>
      <c r="BT19" s="1026" t="str">
        <f>IF(BS19="","",'#minDung'!HE18)</f>
        <v/>
      </c>
      <c r="BU19" s="1026" t="str">
        <f>IF(BT19="","",'#minDung'!HF18)</f>
        <v/>
      </c>
      <c r="BV19" s="1025"/>
      <c r="BW19" s="1026" t="str">
        <f>IF(BV19="","",'#minDung'!HN18)</f>
        <v/>
      </c>
      <c r="BX19" s="1026" t="str">
        <f>IF(BW19="","",'#minDung'!HO18)</f>
        <v/>
      </c>
      <c r="BY19" s="1025"/>
      <c r="BZ19" s="1026" t="str">
        <f>IF(BY19="","",'#minDung'!HW18)</f>
        <v/>
      </c>
      <c r="CA19" s="1026" t="str">
        <f>IF(BZ19="","",'#minDung'!HX18)</f>
        <v/>
      </c>
      <c r="CB19" s="1025"/>
      <c r="CC19" s="1026" t="str">
        <f>IF(CB19="","",'#minDung'!IF18)</f>
        <v/>
      </c>
      <c r="CD19" s="1026" t="str">
        <f>IF(CC19="","",'#minDung'!IG18)</f>
        <v/>
      </c>
      <c r="CE19" s="1025"/>
      <c r="CF19" s="1026" t="str">
        <f>IF(CE19="","",'#minDung'!IO18)</f>
        <v/>
      </c>
      <c r="CG19" s="1026" t="str">
        <f>IF(CF19="","",'#minDung'!IP18)</f>
        <v/>
      </c>
      <c r="CH19" s="1025"/>
      <c r="CI19" s="1026" t="str">
        <f>IF(CH19="","",'#minDung'!IX18)</f>
        <v/>
      </c>
      <c r="CJ19" s="1026" t="str">
        <f>IF(CI19="","",'#minDung'!IY18)</f>
        <v/>
      </c>
      <c r="CK19" s="1025"/>
      <c r="CL19" s="1026" t="str">
        <f>IF(CK19="","",'#minDung'!JG18)</f>
        <v/>
      </c>
      <c r="CM19" s="1026" t="str">
        <f>IF(CL19="","",'#minDung'!JH18)</f>
        <v/>
      </c>
      <c r="CN19" s="1025"/>
      <c r="CO19" s="1026" t="str">
        <f>IF(CN19="","",'#minDung'!JP18)</f>
        <v/>
      </c>
      <c r="CP19" s="1026" t="str">
        <f>IF(CO19="","",'#minDung'!JQ18)</f>
        <v/>
      </c>
      <c r="CQ19" s="1025"/>
      <c r="CR19" s="1026" t="str">
        <f>IF(CQ19="","",'#minDung'!JY18)</f>
        <v/>
      </c>
      <c r="CS19" s="1030" t="str">
        <f>IF(CR19="","",'#minDung'!JZ18)</f>
        <v/>
      </c>
      <c r="CT19" s="170"/>
    </row>
    <row r="20" spans="1:98" s="875" customFormat="1" ht="15" customHeight="1" x14ac:dyDescent="0.2">
      <c r="A20" s="1205">
        <f>'Flächen u. Kulturen'!A18</f>
        <v>9</v>
      </c>
      <c r="B20" s="1205" t="str">
        <f>+'org. Düngung 22'!B21</f>
        <v/>
      </c>
      <c r="C20" s="1206" t="str">
        <f>'org. Düngung 22'!C21</f>
        <v/>
      </c>
      <c r="D20" s="1197" t="str">
        <f>'org. Düngung 22'!D21</f>
        <v/>
      </c>
      <c r="E20" s="1207" t="str">
        <f>'org. Düngung 22'!E21</f>
        <v/>
      </c>
      <c r="F20" s="1199" t="str">
        <f>'org. Düngung 22'!F21</f>
        <v/>
      </c>
      <c r="G20" s="1201" t="str">
        <f>IF(C20="","",IF(COUNT('#minDung'!KF19:KJ19)=0,"OK",TRIM(CONCATENATE('#minDung'!KF19," ",'#minDung'!KG19," ",'#minDung'!KH19," ",'#minDung'!KI19," ",'#minDung'!KJ19))))</f>
        <v/>
      </c>
      <c r="H20" s="1025"/>
      <c r="I20" s="1026" t="str">
        <f>IF(H20="","",'#minDung'!X19)</f>
        <v/>
      </c>
      <c r="J20" s="1026" t="str">
        <f>IF(I20="","",'#minDung'!Y19)</f>
        <v/>
      </c>
      <c r="K20" s="1025"/>
      <c r="L20" s="1026" t="str">
        <f>IF(K20="","",'#minDung'!AG19)</f>
        <v/>
      </c>
      <c r="M20" s="1026" t="str">
        <f>IF(L20="","",'#minDung'!AH19)</f>
        <v/>
      </c>
      <c r="N20" s="1025"/>
      <c r="O20" s="1026" t="str">
        <f>IF(N20="","",'#minDung'!AP19)</f>
        <v/>
      </c>
      <c r="P20" s="1026" t="str">
        <f>IF(O20="","",'#minDung'!AQ19)</f>
        <v/>
      </c>
      <c r="Q20" s="1025"/>
      <c r="R20" s="1026" t="str">
        <f>IF(Q20="","",'#minDung'!AY19)</f>
        <v/>
      </c>
      <c r="S20" s="1026" t="str">
        <f>IF(R20="","",'#minDung'!AZ19)</f>
        <v/>
      </c>
      <c r="T20" s="1025"/>
      <c r="U20" s="1026" t="str">
        <f>IF(T20="","",'#minDung'!BH19)</f>
        <v/>
      </c>
      <c r="V20" s="1026" t="str">
        <f>IF(U20="","",'#minDung'!BI19)</f>
        <v/>
      </c>
      <c r="W20" s="1025"/>
      <c r="X20" s="1026" t="str">
        <f>IF(W20="","",'#minDung'!BQ19)</f>
        <v/>
      </c>
      <c r="Y20" s="1026" t="str">
        <f>IF(X20="","",'#minDung'!BR19)</f>
        <v/>
      </c>
      <c r="Z20" s="1025"/>
      <c r="AA20" s="1026" t="str">
        <f>IF(Z20="","",'#minDung'!BZ19)</f>
        <v/>
      </c>
      <c r="AB20" s="1026" t="str">
        <f>IF(AA20="","",'#minDung'!CA19)</f>
        <v/>
      </c>
      <c r="AC20" s="1025"/>
      <c r="AD20" s="1026" t="str">
        <f>IF(AC20="","",'#minDung'!CI19)</f>
        <v/>
      </c>
      <c r="AE20" s="1026" t="str">
        <f>IF(AD20="","",'#minDung'!CJ19)</f>
        <v/>
      </c>
      <c r="AF20" s="1025"/>
      <c r="AG20" s="1026" t="str">
        <f>IF(AF20="","",'#minDung'!CR19)</f>
        <v/>
      </c>
      <c r="AH20" s="1026" t="str">
        <f>IF(AG20="","",'#minDung'!CS19)</f>
        <v/>
      </c>
      <c r="AI20" s="1025"/>
      <c r="AJ20" s="1026" t="str">
        <f>IF(AI20="","",'#minDung'!DA19)</f>
        <v/>
      </c>
      <c r="AK20" s="1026" t="str">
        <f>IF(AJ20="","",'#minDung'!DB19)</f>
        <v/>
      </c>
      <c r="AL20" s="1025"/>
      <c r="AM20" s="1026" t="str">
        <f>IF(AL20="","",'#minDung'!DJ19)</f>
        <v/>
      </c>
      <c r="AN20" s="1026" t="str">
        <f>IF(AM20="","",'#minDung'!DK19)</f>
        <v/>
      </c>
      <c r="AO20" s="1025"/>
      <c r="AP20" s="1026" t="str">
        <f>IF(AO20="","",'#minDung'!DS19)</f>
        <v/>
      </c>
      <c r="AQ20" s="1026" t="str">
        <f>IF(AP20="","",'#minDung'!DT19)</f>
        <v/>
      </c>
      <c r="AR20" s="1025"/>
      <c r="AS20" s="1026" t="str">
        <f>IF(AR20="","",'#minDung'!EB19)</f>
        <v/>
      </c>
      <c r="AT20" s="1026" t="str">
        <f>IF(AS20="","",'#minDung'!EC19)</f>
        <v/>
      </c>
      <c r="AU20" s="1025"/>
      <c r="AV20" s="1026" t="str">
        <f>IF(AU20="","",'#minDung'!EK19)</f>
        <v/>
      </c>
      <c r="AW20" s="1026" t="str">
        <f>IF(AV20="","",'#minDung'!EL19)</f>
        <v/>
      </c>
      <c r="AX20" s="1025"/>
      <c r="AY20" s="1026" t="str">
        <f>IF(AX20="","",'#minDung'!ET19)</f>
        <v/>
      </c>
      <c r="AZ20" s="1026" t="str">
        <f>IF(AY20="","",'#minDung'!EU19)</f>
        <v/>
      </c>
      <c r="BA20" s="1025"/>
      <c r="BB20" s="1026" t="str">
        <f>IF(BA20="","",'#minDung'!FC19)</f>
        <v/>
      </c>
      <c r="BC20" s="1026" t="str">
        <f>IF(BB20="","",'#minDung'!FD19)</f>
        <v/>
      </c>
      <c r="BD20" s="1025"/>
      <c r="BE20" s="1026" t="str">
        <f>IF(BD20="","",'#minDung'!FL19)</f>
        <v/>
      </c>
      <c r="BF20" s="1026" t="str">
        <f>IF(BE20="","",'#minDung'!FM19)</f>
        <v/>
      </c>
      <c r="BG20" s="1025"/>
      <c r="BH20" s="1026" t="str">
        <f>IF(BG20="","",'#minDung'!FU19)</f>
        <v/>
      </c>
      <c r="BI20" s="1026" t="str">
        <f>IF(BH20="","",'#minDung'!FV19)</f>
        <v/>
      </c>
      <c r="BJ20" s="1025"/>
      <c r="BK20" s="1026" t="str">
        <f>IF(BJ20="","",'#minDung'!GD19)</f>
        <v/>
      </c>
      <c r="BL20" s="1026" t="str">
        <f>IF(BK20="","",'#minDung'!GE19)</f>
        <v/>
      </c>
      <c r="BM20" s="1025"/>
      <c r="BN20" s="1026" t="str">
        <f>IF(BM20="","",'#minDung'!GM19)</f>
        <v/>
      </c>
      <c r="BO20" s="1026" t="str">
        <f>IF(BN20="","",'#minDung'!GN19)</f>
        <v/>
      </c>
      <c r="BP20" s="1025"/>
      <c r="BQ20" s="1026" t="str">
        <f>IF(BP20="","",'#minDung'!GV19)</f>
        <v/>
      </c>
      <c r="BR20" s="1026" t="str">
        <f>IF(BQ20="","",'#minDung'!GW19)</f>
        <v/>
      </c>
      <c r="BS20" s="1025"/>
      <c r="BT20" s="1026" t="str">
        <f>IF(BS20="","",'#minDung'!HE19)</f>
        <v/>
      </c>
      <c r="BU20" s="1026" t="str">
        <f>IF(BT20="","",'#minDung'!HF19)</f>
        <v/>
      </c>
      <c r="BV20" s="1025"/>
      <c r="BW20" s="1026" t="str">
        <f>IF(BV20="","",'#minDung'!HN19)</f>
        <v/>
      </c>
      <c r="BX20" s="1026" t="str">
        <f>IF(BW20="","",'#minDung'!HO19)</f>
        <v/>
      </c>
      <c r="BY20" s="1025"/>
      <c r="BZ20" s="1026" t="str">
        <f>IF(BY20="","",'#minDung'!HW19)</f>
        <v/>
      </c>
      <c r="CA20" s="1026" t="str">
        <f>IF(BZ20="","",'#minDung'!HX19)</f>
        <v/>
      </c>
      <c r="CB20" s="1025"/>
      <c r="CC20" s="1026" t="str">
        <f>IF(CB20="","",'#minDung'!IF19)</f>
        <v/>
      </c>
      <c r="CD20" s="1026" t="str">
        <f>IF(CC20="","",'#minDung'!IG19)</f>
        <v/>
      </c>
      <c r="CE20" s="1025"/>
      <c r="CF20" s="1026" t="str">
        <f>IF(CE20="","",'#minDung'!IO19)</f>
        <v/>
      </c>
      <c r="CG20" s="1026" t="str">
        <f>IF(CF20="","",'#minDung'!IP19)</f>
        <v/>
      </c>
      <c r="CH20" s="1025"/>
      <c r="CI20" s="1026" t="str">
        <f>IF(CH20="","",'#minDung'!IX19)</f>
        <v/>
      </c>
      <c r="CJ20" s="1026" t="str">
        <f>IF(CI20="","",'#minDung'!IY19)</f>
        <v/>
      </c>
      <c r="CK20" s="1025"/>
      <c r="CL20" s="1026" t="str">
        <f>IF(CK20="","",'#minDung'!JG19)</f>
        <v/>
      </c>
      <c r="CM20" s="1026" t="str">
        <f>IF(CL20="","",'#minDung'!JH19)</f>
        <v/>
      </c>
      <c r="CN20" s="1025"/>
      <c r="CO20" s="1026" t="str">
        <f>IF(CN20="","",'#minDung'!JP19)</f>
        <v/>
      </c>
      <c r="CP20" s="1026" t="str">
        <f>IF(CO20="","",'#minDung'!JQ19)</f>
        <v/>
      </c>
      <c r="CQ20" s="1025"/>
      <c r="CR20" s="1026" t="str">
        <f>IF(CQ20="","",'#minDung'!JY19)</f>
        <v/>
      </c>
      <c r="CS20" s="1030" t="str">
        <f>IF(CR20="","",'#minDung'!JZ19)</f>
        <v/>
      </c>
      <c r="CT20" s="170"/>
    </row>
    <row r="21" spans="1:98" s="875" customFormat="1" ht="15" customHeight="1" x14ac:dyDescent="0.2">
      <c r="A21" s="1205">
        <f>'Flächen u. Kulturen'!A19</f>
        <v>10</v>
      </c>
      <c r="B21" s="1205" t="str">
        <f>+'org. Düngung 22'!B22</f>
        <v/>
      </c>
      <c r="C21" s="1206" t="str">
        <f>'org. Düngung 22'!C22</f>
        <v/>
      </c>
      <c r="D21" s="1197" t="str">
        <f>'org. Düngung 22'!D22</f>
        <v/>
      </c>
      <c r="E21" s="1207" t="str">
        <f>'org. Düngung 22'!E22</f>
        <v/>
      </c>
      <c r="F21" s="1199" t="str">
        <f>'org. Düngung 22'!F22</f>
        <v/>
      </c>
      <c r="G21" s="1201" t="str">
        <f>IF(C21="","",IF(COUNT('#minDung'!KF20:KJ20)=0,"OK",TRIM(CONCATENATE('#minDung'!KF20," ",'#minDung'!KG20," ",'#minDung'!KH20," ",'#minDung'!KI20," ",'#minDung'!KJ20))))</f>
        <v/>
      </c>
      <c r="H21" s="1025"/>
      <c r="I21" s="1026" t="str">
        <f>IF(H21="","",'#minDung'!X20)</f>
        <v/>
      </c>
      <c r="J21" s="1026" t="str">
        <f>IF(I21="","",'#minDung'!Y20)</f>
        <v/>
      </c>
      <c r="K21" s="1025"/>
      <c r="L21" s="1026" t="str">
        <f>IF(K21="","",'#minDung'!AG20)</f>
        <v/>
      </c>
      <c r="M21" s="1026" t="str">
        <f>IF(L21="","",'#minDung'!AH20)</f>
        <v/>
      </c>
      <c r="N21" s="1025"/>
      <c r="O21" s="1026" t="str">
        <f>IF(N21="","",'#minDung'!AP20)</f>
        <v/>
      </c>
      <c r="P21" s="1026" t="str">
        <f>IF(O21="","",'#minDung'!AQ20)</f>
        <v/>
      </c>
      <c r="Q21" s="1025"/>
      <c r="R21" s="1026" t="str">
        <f>IF(Q21="","",'#minDung'!AY20)</f>
        <v/>
      </c>
      <c r="S21" s="1026" t="str">
        <f>IF(R21="","",'#minDung'!AZ20)</f>
        <v/>
      </c>
      <c r="T21" s="1025"/>
      <c r="U21" s="1026" t="str">
        <f>IF(T21="","",'#minDung'!BH20)</f>
        <v/>
      </c>
      <c r="V21" s="1026" t="str">
        <f>IF(U21="","",'#minDung'!BI20)</f>
        <v/>
      </c>
      <c r="W21" s="1025"/>
      <c r="X21" s="1026" t="str">
        <f>IF(W21="","",'#minDung'!BQ20)</f>
        <v/>
      </c>
      <c r="Y21" s="1026" t="str">
        <f>IF(X21="","",'#minDung'!BR20)</f>
        <v/>
      </c>
      <c r="Z21" s="1025"/>
      <c r="AA21" s="1026" t="str">
        <f>IF(Z21="","",'#minDung'!BZ20)</f>
        <v/>
      </c>
      <c r="AB21" s="1026" t="str">
        <f>IF(AA21="","",'#minDung'!CA20)</f>
        <v/>
      </c>
      <c r="AC21" s="1025"/>
      <c r="AD21" s="1026" t="str">
        <f>IF(AC21="","",'#minDung'!CI20)</f>
        <v/>
      </c>
      <c r="AE21" s="1026" t="str">
        <f>IF(AD21="","",'#minDung'!CJ20)</f>
        <v/>
      </c>
      <c r="AF21" s="1025"/>
      <c r="AG21" s="1026" t="str">
        <f>IF(AF21="","",'#minDung'!CR20)</f>
        <v/>
      </c>
      <c r="AH21" s="1026" t="str">
        <f>IF(AG21="","",'#minDung'!CS20)</f>
        <v/>
      </c>
      <c r="AI21" s="1025"/>
      <c r="AJ21" s="1026" t="str">
        <f>IF(AI21="","",'#minDung'!DA20)</f>
        <v/>
      </c>
      <c r="AK21" s="1026" t="str">
        <f>IF(AJ21="","",'#minDung'!DB20)</f>
        <v/>
      </c>
      <c r="AL21" s="1025"/>
      <c r="AM21" s="1026" t="str">
        <f>IF(AL21="","",'#minDung'!DJ20)</f>
        <v/>
      </c>
      <c r="AN21" s="1026" t="str">
        <f>IF(AM21="","",'#minDung'!DK20)</f>
        <v/>
      </c>
      <c r="AO21" s="1025"/>
      <c r="AP21" s="1026" t="str">
        <f>IF(AO21="","",'#minDung'!DS20)</f>
        <v/>
      </c>
      <c r="AQ21" s="1026" t="str">
        <f>IF(AP21="","",'#minDung'!DT20)</f>
        <v/>
      </c>
      <c r="AR21" s="1025"/>
      <c r="AS21" s="1026" t="str">
        <f>IF(AR21="","",'#minDung'!EB20)</f>
        <v/>
      </c>
      <c r="AT21" s="1026" t="str">
        <f>IF(AS21="","",'#minDung'!EC20)</f>
        <v/>
      </c>
      <c r="AU21" s="1025"/>
      <c r="AV21" s="1026" t="str">
        <f>IF(AU21="","",'#minDung'!EK20)</f>
        <v/>
      </c>
      <c r="AW21" s="1026" t="str">
        <f>IF(AV21="","",'#minDung'!EL20)</f>
        <v/>
      </c>
      <c r="AX21" s="1025"/>
      <c r="AY21" s="1026" t="str">
        <f>IF(AX21="","",'#minDung'!ET20)</f>
        <v/>
      </c>
      <c r="AZ21" s="1026" t="str">
        <f>IF(AY21="","",'#minDung'!EU20)</f>
        <v/>
      </c>
      <c r="BA21" s="1025"/>
      <c r="BB21" s="1026" t="str">
        <f>IF(BA21="","",'#minDung'!FC20)</f>
        <v/>
      </c>
      <c r="BC21" s="1026" t="str">
        <f>IF(BB21="","",'#minDung'!FD20)</f>
        <v/>
      </c>
      <c r="BD21" s="1025"/>
      <c r="BE21" s="1026" t="str">
        <f>IF(BD21="","",'#minDung'!FL20)</f>
        <v/>
      </c>
      <c r="BF21" s="1026" t="str">
        <f>IF(BE21="","",'#minDung'!FM20)</f>
        <v/>
      </c>
      <c r="BG21" s="1025"/>
      <c r="BH21" s="1026" t="str">
        <f>IF(BG21="","",'#minDung'!FU20)</f>
        <v/>
      </c>
      <c r="BI21" s="1026" t="str">
        <f>IF(BH21="","",'#minDung'!FV20)</f>
        <v/>
      </c>
      <c r="BJ21" s="1025"/>
      <c r="BK21" s="1026" t="str">
        <f>IF(BJ21="","",'#minDung'!GD20)</f>
        <v/>
      </c>
      <c r="BL21" s="1026" t="str">
        <f>IF(BK21="","",'#minDung'!GE20)</f>
        <v/>
      </c>
      <c r="BM21" s="1025"/>
      <c r="BN21" s="1026" t="str">
        <f>IF(BM21="","",'#minDung'!GM20)</f>
        <v/>
      </c>
      <c r="BO21" s="1026" t="str">
        <f>IF(BN21="","",'#minDung'!GN20)</f>
        <v/>
      </c>
      <c r="BP21" s="1025"/>
      <c r="BQ21" s="1026" t="str">
        <f>IF(BP21="","",'#minDung'!GV20)</f>
        <v/>
      </c>
      <c r="BR21" s="1026" t="str">
        <f>IF(BQ21="","",'#minDung'!GW20)</f>
        <v/>
      </c>
      <c r="BS21" s="1025"/>
      <c r="BT21" s="1026" t="str">
        <f>IF(BS21="","",'#minDung'!HE20)</f>
        <v/>
      </c>
      <c r="BU21" s="1026" t="str">
        <f>IF(BT21="","",'#minDung'!HF20)</f>
        <v/>
      </c>
      <c r="BV21" s="1025"/>
      <c r="BW21" s="1026" t="str">
        <f>IF(BV21="","",'#minDung'!HN20)</f>
        <v/>
      </c>
      <c r="BX21" s="1026" t="str">
        <f>IF(BW21="","",'#minDung'!HO20)</f>
        <v/>
      </c>
      <c r="BY21" s="1025"/>
      <c r="BZ21" s="1026" t="str">
        <f>IF(BY21="","",'#minDung'!HW20)</f>
        <v/>
      </c>
      <c r="CA21" s="1026" t="str">
        <f>IF(BZ21="","",'#minDung'!HX20)</f>
        <v/>
      </c>
      <c r="CB21" s="1025"/>
      <c r="CC21" s="1026" t="str">
        <f>IF(CB21="","",'#minDung'!IF20)</f>
        <v/>
      </c>
      <c r="CD21" s="1026" t="str">
        <f>IF(CC21="","",'#minDung'!IG20)</f>
        <v/>
      </c>
      <c r="CE21" s="1025"/>
      <c r="CF21" s="1026" t="str">
        <f>IF(CE21="","",'#minDung'!IO20)</f>
        <v/>
      </c>
      <c r="CG21" s="1026" t="str">
        <f>IF(CF21="","",'#minDung'!IP20)</f>
        <v/>
      </c>
      <c r="CH21" s="1025"/>
      <c r="CI21" s="1026" t="str">
        <f>IF(CH21="","",'#minDung'!IX20)</f>
        <v/>
      </c>
      <c r="CJ21" s="1026" t="str">
        <f>IF(CI21="","",'#minDung'!IY20)</f>
        <v/>
      </c>
      <c r="CK21" s="1025"/>
      <c r="CL21" s="1026" t="str">
        <f>IF(CK21="","",'#minDung'!JG20)</f>
        <v/>
      </c>
      <c r="CM21" s="1026" t="str">
        <f>IF(CL21="","",'#minDung'!JH20)</f>
        <v/>
      </c>
      <c r="CN21" s="1025"/>
      <c r="CO21" s="1026" t="str">
        <f>IF(CN21="","",'#minDung'!JP20)</f>
        <v/>
      </c>
      <c r="CP21" s="1026" t="str">
        <f>IF(CO21="","",'#minDung'!JQ20)</f>
        <v/>
      </c>
      <c r="CQ21" s="1025"/>
      <c r="CR21" s="1026" t="str">
        <f>IF(CQ21="","",'#minDung'!JY20)</f>
        <v/>
      </c>
      <c r="CS21" s="1030" t="str">
        <f>IF(CR21="","",'#minDung'!JZ20)</f>
        <v/>
      </c>
      <c r="CT21" s="170"/>
    </row>
    <row r="22" spans="1:98" s="875" customFormat="1" ht="15" customHeight="1" x14ac:dyDescent="0.2">
      <c r="A22" s="1205">
        <f>'Flächen u. Kulturen'!A20</f>
        <v>11</v>
      </c>
      <c r="B22" s="1205" t="str">
        <f>+'org. Düngung 22'!B23</f>
        <v/>
      </c>
      <c r="C22" s="1206" t="str">
        <f>'org. Düngung 22'!C23</f>
        <v/>
      </c>
      <c r="D22" s="1197" t="str">
        <f>'org. Düngung 22'!D23</f>
        <v/>
      </c>
      <c r="E22" s="1207" t="str">
        <f>'org. Düngung 22'!E23</f>
        <v/>
      </c>
      <c r="F22" s="1199" t="str">
        <f>'org. Düngung 22'!F23</f>
        <v/>
      </c>
      <c r="G22" s="1201" t="str">
        <f>IF(C22="","",IF(COUNT('#minDung'!KF21:KJ21)=0,"OK",TRIM(CONCATENATE('#minDung'!KF21," ",'#minDung'!KG21," ",'#minDung'!KH21," ",'#minDung'!KI21," ",'#minDung'!KJ21))))</f>
        <v/>
      </c>
      <c r="H22" s="1025"/>
      <c r="I22" s="1026" t="str">
        <f>IF(H22="","",'#minDung'!X21)</f>
        <v/>
      </c>
      <c r="J22" s="1026" t="str">
        <f>IF(I22="","",'#minDung'!Y21)</f>
        <v/>
      </c>
      <c r="K22" s="1025"/>
      <c r="L22" s="1026" t="str">
        <f>IF(K22="","",'#minDung'!AG21)</f>
        <v/>
      </c>
      <c r="M22" s="1026" t="str">
        <f>IF(L22="","",'#minDung'!AH21)</f>
        <v/>
      </c>
      <c r="N22" s="1025"/>
      <c r="O22" s="1026" t="str">
        <f>IF(N22="","",'#minDung'!AP21)</f>
        <v/>
      </c>
      <c r="P22" s="1026" t="str">
        <f>IF(O22="","",'#minDung'!AQ21)</f>
        <v/>
      </c>
      <c r="Q22" s="1025"/>
      <c r="R22" s="1026" t="str">
        <f>IF(Q22="","",'#minDung'!AY21)</f>
        <v/>
      </c>
      <c r="S22" s="1026" t="str">
        <f>IF(R22="","",'#minDung'!AZ21)</f>
        <v/>
      </c>
      <c r="T22" s="1025"/>
      <c r="U22" s="1026" t="str">
        <f>IF(T22="","",'#minDung'!BH21)</f>
        <v/>
      </c>
      <c r="V22" s="1026" t="str">
        <f>IF(U22="","",'#minDung'!BI21)</f>
        <v/>
      </c>
      <c r="W22" s="1025"/>
      <c r="X22" s="1026" t="str">
        <f>IF(W22="","",'#minDung'!BQ21)</f>
        <v/>
      </c>
      <c r="Y22" s="1026" t="str">
        <f>IF(X22="","",'#minDung'!BR21)</f>
        <v/>
      </c>
      <c r="Z22" s="1025"/>
      <c r="AA22" s="1026" t="str">
        <f>IF(Z22="","",'#minDung'!BZ21)</f>
        <v/>
      </c>
      <c r="AB22" s="1026" t="str">
        <f>IF(AA22="","",'#minDung'!CA21)</f>
        <v/>
      </c>
      <c r="AC22" s="1025"/>
      <c r="AD22" s="1026" t="str">
        <f>IF(AC22="","",'#minDung'!CI21)</f>
        <v/>
      </c>
      <c r="AE22" s="1026" t="str">
        <f>IF(AD22="","",'#minDung'!CJ21)</f>
        <v/>
      </c>
      <c r="AF22" s="1025"/>
      <c r="AG22" s="1026" t="str">
        <f>IF(AF22="","",'#minDung'!CR21)</f>
        <v/>
      </c>
      <c r="AH22" s="1026" t="str">
        <f>IF(AG22="","",'#minDung'!CS21)</f>
        <v/>
      </c>
      <c r="AI22" s="1025"/>
      <c r="AJ22" s="1026" t="str">
        <f>IF(AI22="","",'#minDung'!DA21)</f>
        <v/>
      </c>
      <c r="AK22" s="1026" t="str">
        <f>IF(AJ22="","",'#minDung'!DB21)</f>
        <v/>
      </c>
      <c r="AL22" s="1025"/>
      <c r="AM22" s="1026" t="str">
        <f>IF(AL22="","",'#minDung'!DJ21)</f>
        <v/>
      </c>
      <c r="AN22" s="1026" t="str">
        <f>IF(AM22="","",'#minDung'!DK21)</f>
        <v/>
      </c>
      <c r="AO22" s="1025"/>
      <c r="AP22" s="1026" t="str">
        <f>IF(AO22="","",'#minDung'!DS21)</f>
        <v/>
      </c>
      <c r="AQ22" s="1026" t="str">
        <f>IF(AP22="","",'#minDung'!DT21)</f>
        <v/>
      </c>
      <c r="AR22" s="1025"/>
      <c r="AS22" s="1026" t="str">
        <f>IF(AR22="","",'#minDung'!EB21)</f>
        <v/>
      </c>
      <c r="AT22" s="1026" t="str">
        <f>IF(AS22="","",'#minDung'!EC21)</f>
        <v/>
      </c>
      <c r="AU22" s="1025"/>
      <c r="AV22" s="1026" t="str">
        <f>IF(AU22="","",'#minDung'!EK21)</f>
        <v/>
      </c>
      <c r="AW22" s="1026" t="str">
        <f>IF(AV22="","",'#minDung'!EL21)</f>
        <v/>
      </c>
      <c r="AX22" s="1025"/>
      <c r="AY22" s="1026" t="str">
        <f>IF(AX22="","",'#minDung'!ET21)</f>
        <v/>
      </c>
      <c r="AZ22" s="1026" t="str">
        <f>IF(AY22="","",'#minDung'!EU21)</f>
        <v/>
      </c>
      <c r="BA22" s="1025"/>
      <c r="BB22" s="1026" t="str">
        <f>IF(BA22="","",'#minDung'!FC21)</f>
        <v/>
      </c>
      <c r="BC22" s="1026" t="str">
        <f>IF(BB22="","",'#minDung'!FD21)</f>
        <v/>
      </c>
      <c r="BD22" s="1025"/>
      <c r="BE22" s="1026" t="str">
        <f>IF(BD22="","",'#minDung'!FL21)</f>
        <v/>
      </c>
      <c r="BF22" s="1026" t="str">
        <f>IF(BE22="","",'#minDung'!FM21)</f>
        <v/>
      </c>
      <c r="BG22" s="1025"/>
      <c r="BH22" s="1026" t="str">
        <f>IF(BG22="","",'#minDung'!FU21)</f>
        <v/>
      </c>
      <c r="BI22" s="1026" t="str">
        <f>IF(BH22="","",'#minDung'!FV21)</f>
        <v/>
      </c>
      <c r="BJ22" s="1025"/>
      <c r="BK22" s="1026" t="str">
        <f>IF(BJ22="","",'#minDung'!GD21)</f>
        <v/>
      </c>
      <c r="BL22" s="1026" t="str">
        <f>IF(BK22="","",'#minDung'!GE21)</f>
        <v/>
      </c>
      <c r="BM22" s="1025"/>
      <c r="BN22" s="1026" t="str">
        <f>IF(BM22="","",'#minDung'!GM21)</f>
        <v/>
      </c>
      <c r="BO22" s="1026" t="str">
        <f>IF(BN22="","",'#minDung'!GN21)</f>
        <v/>
      </c>
      <c r="BP22" s="1025"/>
      <c r="BQ22" s="1026" t="str">
        <f>IF(BP22="","",'#minDung'!GV21)</f>
        <v/>
      </c>
      <c r="BR22" s="1026" t="str">
        <f>IF(BQ22="","",'#minDung'!GW21)</f>
        <v/>
      </c>
      <c r="BS22" s="1025"/>
      <c r="BT22" s="1026" t="str">
        <f>IF(BS22="","",'#minDung'!HE21)</f>
        <v/>
      </c>
      <c r="BU22" s="1026" t="str">
        <f>IF(BT22="","",'#minDung'!HF21)</f>
        <v/>
      </c>
      <c r="BV22" s="1025"/>
      <c r="BW22" s="1026" t="str">
        <f>IF(BV22="","",'#minDung'!HN21)</f>
        <v/>
      </c>
      <c r="BX22" s="1026" t="str">
        <f>IF(BW22="","",'#minDung'!HO21)</f>
        <v/>
      </c>
      <c r="BY22" s="1025"/>
      <c r="BZ22" s="1026" t="str">
        <f>IF(BY22="","",'#minDung'!HW21)</f>
        <v/>
      </c>
      <c r="CA22" s="1026" t="str">
        <f>IF(BZ22="","",'#minDung'!HX21)</f>
        <v/>
      </c>
      <c r="CB22" s="1025"/>
      <c r="CC22" s="1026" t="str">
        <f>IF(CB22="","",'#minDung'!IF21)</f>
        <v/>
      </c>
      <c r="CD22" s="1026" t="str">
        <f>IF(CC22="","",'#minDung'!IG21)</f>
        <v/>
      </c>
      <c r="CE22" s="1025"/>
      <c r="CF22" s="1026" t="str">
        <f>IF(CE22="","",'#minDung'!IO21)</f>
        <v/>
      </c>
      <c r="CG22" s="1026" t="str">
        <f>IF(CF22="","",'#minDung'!IP21)</f>
        <v/>
      </c>
      <c r="CH22" s="1025"/>
      <c r="CI22" s="1026" t="str">
        <f>IF(CH22="","",'#minDung'!IX21)</f>
        <v/>
      </c>
      <c r="CJ22" s="1026" t="str">
        <f>IF(CI22="","",'#minDung'!IY21)</f>
        <v/>
      </c>
      <c r="CK22" s="1025"/>
      <c r="CL22" s="1026" t="str">
        <f>IF(CK22="","",'#minDung'!JG21)</f>
        <v/>
      </c>
      <c r="CM22" s="1026" t="str">
        <f>IF(CL22="","",'#minDung'!JH21)</f>
        <v/>
      </c>
      <c r="CN22" s="1025"/>
      <c r="CO22" s="1026" t="str">
        <f>IF(CN22="","",'#minDung'!JP21)</f>
        <v/>
      </c>
      <c r="CP22" s="1026" t="str">
        <f>IF(CO22="","",'#minDung'!JQ21)</f>
        <v/>
      </c>
      <c r="CQ22" s="1025"/>
      <c r="CR22" s="1026" t="str">
        <f>IF(CQ22="","",'#minDung'!JY21)</f>
        <v/>
      </c>
      <c r="CS22" s="1030" t="str">
        <f>IF(CR22="","",'#minDung'!JZ21)</f>
        <v/>
      </c>
      <c r="CT22" s="170"/>
    </row>
    <row r="23" spans="1:98" s="875" customFormat="1" ht="15" customHeight="1" x14ac:dyDescent="0.2">
      <c r="A23" s="1205">
        <f>'Flächen u. Kulturen'!A21</f>
        <v>12</v>
      </c>
      <c r="B23" s="1205" t="str">
        <f>+'org. Düngung 22'!B24</f>
        <v/>
      </c>
      <c r="C23" s="1206" t="str">
        <f>'org. Düngung 22'!C24</f>
        <v/>
      </c>
      <c r="D23" s="1197" t="str">
        <f>'org. Düngung 22'!D24</f>
        <v/>
      </c>
      <c r="E23" s="1207" t="str">
        <f>'org. Düngung 22'!E24</f>
        <v/>
      </c>
      <c r="F23" s="1199" t="str">
        <f>'org. Düngung 22'!F24</f>
        <v/>
      </c>
      <c r="G23" s="1201" t="str">
        <f>IF(C23="","",IF(COUNT('#minDung'!KF22:KJ22)=0,"OK",TRIM(CONCATENATE('#minDung'!KF22," ",'#minDung'!KG22," ",'#minDung'!KH22," ",'#minDung'!KI22," ",'#minDung'!KJ22))))</f>
        <v/>
      </c>
      <c r="H23" s="1025"/>
      <c r="I23" s="1026" t="str">
        <f>IF(H23="","",'#minDung'!X22)</f>
        <v/>
      </c>
      <c r="J23" s="1026" t="str">
        <f>IF(I23="","",'#minDung'!Y22)</f>
        <v/>
      </c>
      <c r="K23" s="1025"/>
      <c r="L23" s="1026" t="str">
        <f>IF(K23="","",'#minDung'!AG22)</f>
        <v/>
      </c>
      <c r="M23" s="1026" t="str">
        <f>IF(L23="","",'#minDung'!AH22)</f>
        <v/>
      </c>
      <c r="N23" s="1025"/>
      <c r="O23" s="1026" t="str">
        <f>IF(N23="","",'#minDung'!AP22)</f>
        <v/>
      </c>
      <c r="P23" s="1026" t="str">
        <f>IF(O23="","",'#minDung'!AQ22)</f>
        <v/>
      </c>
      <c r="Q23" s="1025"/>
      <c r="R23" s="1026" t="str">
        <f>IF(Q23="","",'#minDung'!AY22)</f>
        <v/>
      </c>
      <c r="S23" s="1026" t="str">
        <f>IF(R23="","",'#minDung'!AZ22)</f>
        <v/>
      </c>
      <c r="T23" s="1025"/>
      <c r="U23" s="1026" t="str">
        <f>IF(T23="","",'#minDung'!BH22)</f>
        <v/>
      </c>
      <c r="V23" s="1026" t="str">
        <f>IF(U23="","",'#minDung'!BI22)</f>
        <v/>
      </c>
      <c r="W23" s="1025"/>
      <c r="X23" s="1026" t="str">
        <f>IF(W23="","",'#minDung'!BQ22)</f>
        <v/>
      </c>
      <c r="Y23" s="1026" t="str">
        <f>IF(X23="","",'#minDung'!BR22)</f>
        <v/>
      </c>
      <c r="Z23" s="1025"/>
      <c r="AA23" s="1026" t="str">
        <f>IF(Z23="","",'#minDung'!BZ22)</f>
        <v/>
      </c>
      <c r="AB23" s="1026" t="str">
        <f>IF(AA23="","",'#minDung'!CA22)</f>
        <v/>
      </c>
      <c r="AC23" s="1025"/>
      <c r="AD23" s="1026" t="str">
        <f>IF(AC23="","",'#minDung'!CI22)</f>
        <v/>
      </c>
      <c r="AE23" s="1026" t="str">
        <f>IF(AD23="","",'#minDung'!CJ22)</f>
        <v/>
      </c>
      <c r="AF23" s="1025"/>
      <c r="AG23" s="1026" t="str">
        <f>IF(AF23="","",'#minDung'!CR22)</f>
        <v/>
      </c>
      <c r="AH23" s="1026" t="str">
        <f>IF(AG23="","",'#minDung'!CS22)</f>
        <v/>
      </c>
      <c r="AI23" s="1025"/>
      <c r="AJ23" s="1026" t="str">
        <f>IF(AI23="","",'#minDung'!DA22)</f>
        <v/>
      </c>
      <c r="AK23" s="1026" t="str">
        <f>IF(AJ23="","",'#minDung'!DB22)</f>
        <v/>
      </c>
      <c r="AL23" s="1025"/>
      <c r="AM23" s="1026" t="str">
        <f>IF(AL23="","",'#minDung'!DJ22)</f>
        <v/>
      </c>
      <c r="AN23" s="1026" t="str">
        <f>IF(AM23="","",'#minDung'!DK22)</f>
        <v/>
      </c>
      <c r="AO23" s="1025"/>
      <c r="AP23" s="1026" t="str">
        <f>IF(AO23="","",'#minDung'!DS22)</f>
        <v/>
      </c>
      <c r="AQ23" s="1026" t="str">
        <f>IF(AP23="","",'#minDung'!DT22)</f>
        <v/>
      </c>
      <c r="AR23" s="1025"/>
      <c r="AS23" s="1026" t="str">
        <f>IF(AR23="","",'#minDung'!EB22)</f>
        <v/>
      </c>
      <c r="AT23" s="1026" t="str">
        <f>IF(AS23="","",'#minDung'!EC22)</f>
        <v/>
      </c>
      <c r="AU23" s="1025"/>
      <c r="AV23" s="1026" t="str">
        <f>IF(AU23="","",'#minDung'!EK22)</f>
        <v/>
      </c>
      <c r="AW23" s="1026" t="str">
        <f>IF(AV23="","",'#minDung'!EL22)</f>
        <v/>
      </c>
      <c r="AX23" s="1025"/>
      <c r="AY23" s="1026" t="str">
        <f>IF(AX23="","",'#minDung'!ET22)</f>
        <v/>
      </c>
      <c r="AZ23" s="1026" t="str">
        <f>IF(AY23="","",'#minDung'!EU22)</f>
        <v/>
      </c>
      <c r="BA23" s="1025"/>
      <c r="BB23" s="1026" t="str">
        <f>IF(BA23="","",'#minDung'!FC22)</f>
        <v/>
      </c>
      <c r="BC23" s="1026" t="str">
        <f>IF(BB23="","",'#minDung'!FD22)</f>
        <v/>
      </c>
      <c r="BD23" s="1025"/>
      <c r="BE23" s="1026" t="str">
        <f>IF(BD23="","",'#minDung'!FL22)</f>
        <v/>
      </c>
      <c r="BF23" s="1026" t="str">
        <f>IF(BE23="","",'#minDung'!FM22)</f>
        <v/>
      </c>
      <c r="BG23" s="1025"/>
      <c r="BH23" s="1026" t="str">
        <f>IF(BG23="","",'#minDung'!FU22)</f>
        <v/>
      </c>
      <c r="BI23" s="1026" t="str">
        <f>IF(BH23="","",'#minDung'!FV22)</f>
        <v/>
      </c>
      <c r="BJ23" s="1025"/>
      <c r="BK23" s="1026" t="str">
        <f>IF(BJ23="","",'#minDung'!GD22)</f>
        <v/>
      </c>
      <c r="BL23" s="1026" t="str">
        <f>IF(BK23="","",'#minDung'!GE22)</f>
        <v/>
      </c>
      <c r="BM23" s="1025"/>
      <c r="BN23" s="1026" t="str">
        <f>IF(BM23="","",'#minDung'!GM22)</f>
        <v/>
      </c>
      <c r="BO23" s="1026" t="str">
        <f>IF(BN23="","",'#minDung'!GN22)</f>
        <v/>
      </c>
      <c r="BP23" s="1025"/>
      <c r="BQ23" s="1026" t="str">
        <f>IF(BP23="","",'#minDung'!GV22)</f>
        <v/>
      </c>
      <c r="BR23" s="1026" t="str">
        <f>IF(BQ23="","",'#minDung'!GW22)</f>
        <v/>
      </c>
      <c r="BS23" s="1025"/>
      <c r="BT23" s="1026" t="str">
        <f>IF(BS23="","",'#minDung'!HE22)</f>
        <v/>
      </c>
      <c r="BU23" s="1026" t="str">
        <f>IF(BT23="","",'#minDung'!HF22)</f>
        <v/>
      </c>
      <c r="BV23" s="1025"/>
      <c r="BW23" s="1026" t="str">
        <f>IF(BV23="","",'#minDung'!HN22)</f>
        <v/>
      </c>
      <c r="BX23" s="1026" t="str">
        <f>IF(BW23="","",'#minDung'!HO22)</f>
        <v/>
      </c>
      <c r="BY23" s="1025"/>
      <c r="BZ23" s="1026" t="str">
        <f>IF(BY23="","",'#minDung'!HW22)</f>
        <v/>
      </c>
      <c r="CA23" s="1026" t="str">
        <f>IF(BZ23="","",'#minDung'!HX22)</f>
        <v/>
      </c>
      <c r="CB23" s="1025"/>
      <c r="CC23" s="1026" t="str">
        <f>IF(CB23="","",'#minDung'!IF22)</f>
        <v/>
      </c>
      <c r="CD23" s="1026" t="str">
        <f>IF(CC23="","",'#minDung'!IG22)</f>
        <v/>
      </c>
      <c r="CE23" s="1025"/>
      <c r="CF23" s="1026" t="str">
        <f>IF(CE23="","",'#minDung'!IO22)</f>
        <v/>
      </c>
      <c r="CG23" s="1026" t="str">
        <f>IF(CF23="","",'#minDung'!IP22)</f>
        <v/>
      </c>
      <c r="CH23" s="1025"/>
      <c r="CI23" s="1026" t="str">
        <f>IF(CH23="","",'#minDung'!IX22)</f>
        <v/>
      </c>
      <c r="CJ23" s="1026" t="str">
        <f>IF(CI23="","",'#minDung'!IY22)</f>
        <v/>
      </c>
      <c r="CK23" s="1025"/>
      <c r="CL23" s="1026" t="str">
        <f>IF(CK23="","",'#minDung'!JG22)</f>
        <v/>
      </c>
      <c r="CM23" s="1026" t="str">
        <f>IF(CL23="","",'#minDung'!JH22)</f>
        <v/>
      </c>
      <c r="CN23" s="1025"/>
      <c r="CO23" s="1026" t="str">
        <f>IF(CN23="","",'#minDung'!JP22)</f>
        <v/>
      </c>
      <c r="CP23" s="1026" t="str">
        <f>IF(CO23="","",'#minDung'!JQ22)</f>
        <v/>
      </c>
      <c r="CQ23" s="1025"/>
      <c r="CR23" s="1026" t="str">
        <f>IF(CQ23="","",'#minDung'!JY22)</f>
        <v/>
      </c>
      <c r="CS23" s="1030" t="str">
        <f>IF(CR23="","",'#minDung'!JZ22)</f>
        <v/>
      </c>
      <c r="CT23" s="170"/>
    </row>
    <row r="24" spans="1:98" s="875" customFormat="1" ht="15" customHeight="1" x14ac:dyDescent="0.2">
      <c r="A24" s="1205">
        <f>'Flächen u. Kulturen'!A22</f>
        <v>13</v>
      </c>
      <c r="B24" s="1205" t="str">
        <f>+'org. Düngung 22'!B25</f>
        <v/>
      </c>
      <c r="C24" s="1206" t="str">
        <f>'org. Düngung 22'!C25</f>
        <v/>
      </c>
      <c r="D24" s="1197" t="str">
        <f>'org. Düngung 22'!D25</f>
        <v/>
      </c>
      <c r="E24" s="1207" t="str">
        <f>'org. Düngung 22'!E25</f>
        <v/>
      </c>
      <c r="F24" s="1199" t="str">
        <f>'org. Düngung 22'!F25</f>
        <v/>
      </c>
      <c r="G24" s="1201" t="str">
        <f>IF(C24="","",IF(COUNT('#minDung'!KF23:KJ23)=0,"OK",TRIM(CONCATENATE('#minDung'!KF23," ",'#minDung'!KG23," ",'#minDung'!KH23," ",'#minDung'!KI23," ",'#minDung'!KJ23))))</f>
        <v/>
      </c>
      <c r="H24" s="1025"/>
      <c r="I24" s="1026" t="str">
        <f>IF(H24="","",'#minDung'!X23)</f>
        <v/>
      </c>
      <c r="J24" s="1026" t="str">
        <f>IF(I24="","",'#minDung'!Y23)</f>
        <v/>
      </c>
      <c r="K24" s="1025"/>
      <c r="L24" s="1026" t="str">
        <f>IF(K24="","",'#minDung'!AG23)</f>
        <v/>
      </c>
      <c r="M24" s="1026" t="str">
        <f>IF(L24="","",'#minDung'!AH23)</f>
        <v/>
      </c>
      <c r="N24" s="1025"/>
      <c r="O24" s="1026" t="str">
        <f>IF(N24="","",'#minDung'!AP23)</f>
        <v/>
      </c>
      <c r="P24" s="1026" t="str">
        <f>IF(O24="","",'#minDung'!AQ23)</f>
        <v/>
      </c>
      <c r="Q24" s="1025"/>
      <c r="R24" s="1026" t="str">
        <f>IF(Q24="","",'#minDung'!AY23)</f>
        <v/>
      </c>
      <c r="S24" s="1026" t="str">
        <f>IF(R24="","",'#minDung'!AZ23)</f>
        <v/>
      </c>
      <c r="T24" s="1025"/>
      <c r="U24" s="1026" t="str">
        <f>IF(T24="","",'#minDung'!BH23)</f>
        <v/>
      </c>
      <c r="V24" s="1026" t="str">
        <f>IF(U24="","",'#minDung'!BI23)</f>
        <v/>
      </c>
      <c r="W24" s="1025"/>
      <c r="X24" s="1026" t="str">
        <f>IF(W24="","",'#minDung'!BQ23)</f>
        <v/>
      </c>
      <c r="Y24" s="1026" t="str">
        <f>IF(X24="","",'#minDung'!BR23)</f>
        <v/>
      </c>
      <c r="Z24" s="1025"/>
      <c r="AA24" s="1026" t="str">
        <f>IF(Z24="","",'#minDung'!BZ23)</f>
        <v/>
      </c>
      <c r="AB24" s="1026" t="str">
        <f>IF(AA24="","",'#minDung'!CA23)</f>
        <v/>
      </c>
      <c r="AC24" s="1025"/>
      <c r="AD24" s="1026" t="str">
        <f>IF(AC24="","",'#minDung'!CI23)</f>
        <v/>
      </c>
      <c r="AE24" s="1026" t="str">
        <f>IF(AD24="","",'#minDung'!CJ23)</f>
        <v/>
      </c>
      <c r="AF24" s="1025"/>
      <c r="AG24" s="1026" t="str">
        <f>IF(AF24="","",'#minDung'!CR23)</f>
        <v/>
      </c>
      <c r="AH24" s="1026" t="str">
        <f>IF(AG24="","",'#minDung'!CS23)</f>
        <v/>
      </c>
      <c r="AI24" s="1025"/>
      <c r="AJ24" s="1026" t="str">
        <f>IF(AI24="","",'#minDung'!DA23)</f>
        <v/>
      </c>
      <c r="AK24" s="1026" t="str">
        <f>IF(AJ24="","",'#minDung'!DB23)</f>
        <v/>
      </c>
      <c r="AL24" s="1025"/>
      <c r="AM24" s="1026" t="str">
        <f>IF(AL24="","",'#minDung'!DJ23)</f>
        <v/>
      </c>
      <c r="AN24" s="1026" t="str">
        <f>IF(AM24="","",'#minDung'!DK23)</f>
        <v/>
      </c>
      <c r="AO24" s="1025"/>
      <c r="AP24" s="1026" t="str">
        <f>IF(AO24="","",'#minDung'!DS23)</f>
        <v/>
      </c>
      <c r="AQ24" s="1026" t="str">
        <f>IF(AP24="","",'#minDung'!DT23)</f>
        <v/>
      </c>
      <c r="AR24" s="1025"/>
      <c r="AS24" s="1026" t="str">
        <f>IF(AR24="","",'#minDung'!EB23)</f>
        <v/>
      </c>
      <c r="AT24" s="1026" t="str">
        <f>IF(AS24="","",'#minDung'!EC23)</f>
        <v/>
      </c>
      <c r="AU24" s="1025"/>
      <c r="AV24" s="1026" t="str">
        <f>IF(AU24="","",'#minDung'!EK23)</f>
        <v/>
      </c>
      <c r="AW24" s="1026" t="str">
        <f>IF(AV24="","",'#minDung'!EL23)</f>
        <v/>
      </c>
      <c r="AX24" s="1025"/>
      <c r="AY24" s="1026" t="str">
        <f>IF(AX24="","",'#minDung'!ET23)</f>
        <v/>
      </c>
      <c r="AZ24" s="1026" t="str">
        <f>IF(AY24="","",'#minDung'!EU23)</f>
        <v/>
      </c>
      <c r="BA24" s="1025"/>
      <c r="BB24" s="1026" t="str">
        <f>IF(BA24="","",'#minDung'!FC23)</f>
        <v/>
      </c>
      <c r="BC24" s="1026" t="str">
        <f>IF(BB24="","",'#minDung'!FD23)</f>
        <v/>
      </c>
      <c r="BD24" s="1025"/>
      <c r="BE24" s="1026" t="str">
        <f>IF(BD24="","",'#minDung'!FL23)</f>
        <v/>
      </c>
      <c r="BF24" s="1026" t="str">
        <f>IF(BE24="","",'#minDung'!FM23)</f>
        <v/>
      </c>
      <c r="BG24" s="1025"/>
      <c r="BH24" s="1026" t="str">
        <f>IF(BG24="","",'#minDung'!FU23)</f>
        <v/>
      </c>
      <c r="BI24" s="1026" t="str">
        <f>IF(BH24="","",'#minDung'!FV23)</f>
        <v/>
      </c>
      <c r="BJ24" s="1025"/>
      <c r="BK24" s="1026" t="str">
        <f>IF(BJ24="","",'#minDung'!GD23)</f>
        <v/>
      </c>
      <c r="BL24" s="1026" t="str">
        <f>IF(BK24="","",'#minDung'!GE23)</f>
        <v/>
      </c>
      <c r="BM24" s="1025"/>
      <c r="BN24" s="1026" t="str">
        <f>IF(BM24="","",'#minDung'!GM23)</f>
        <v/>
      </c>
      <c r="BO24" s="1026" t="str">
        <f>IF(BN24="","",'#minDung'!GN23)</f>
        <v/>
      </c>
      <c r="BP24" s="1025"/>
      <c r="BQ24" s="1026" t="str">
        <f>IF(BP24="","",'#minDung'!GV23)</f>
        <v/>
      </c>
      <c r="BR24" s="1026" t="str">
        <f>IF(BQ24="","",'#minDung'!GW23)</f>
        <v/>
      </c>
      <c r="BS24" s="1025"/>
      <c r="BT24" s="1026" t="str">
        <f>IF(BS24="","",'#minDung'!HE23)</f>
        <v/>
      </c>
      <c r="BU24" s="1026" t="str">
        <f>IF(BT24="","",'#minDung'!HF23)</f>
        <v/>
      </c>
      <c r="BV24" s="1025"/>
      <c r="BW24" s="1026" t="str">
        <f>IF(BV24="","",'#minDung'!HN23)</f>
        <v/>
      </c>
      <c r="BX24" s="1026" t="str">
        <f>IF(BW24="","",'#minDung'!HO23)</f>
        <v/>
      </c>
      <c r="BY24" s="1025"/>
      <c r="BZ24" s="1026" t="str">
        <f>IF(BY24="","",'#minDung'!HW23)</f>
        <v/>
      </c>
      <c r="CA24" s="1026" t="str">
        <f>IF(BZ24="","",'#minDung'!HX23)</f>
        <v/>
      </c>
      <c r="CB24" s="1025"/>
      <c r="CC24" s="1026" t="str">
        <f>IF(CB24="","",'#minDung'!IF23)</f>
        <v/>
      </c>
      <c r="CD24" s="1026" t="str">
        <f>IF(CC24="","",'#minDung'!IG23)</f>
        <v/>
      </c>
      <c r="CE24" s="1025"/>
      <c r="CF24" s="1026" t="str">
        <f>IF(CE24="","",'#minDung'!IO23)</f>
        <v/>
      </c>
      <c r="CG24" s="1026" t="str">
        <f>IF(CF24="","",'#minDung'!IP23)</f>
        <v/>
      </c>
      <c r="CH24" s="1025"/>
      <c r="CI24" s="1026" t="str">
        <f>IF(CH24="","",'#minDung'!IX23)</f>
        <v/>
      </c>
      <c r="CJ24" s="1026" t="str">
        <f>IF(CI24="","",'#minDung'!IY23)</f>
        <v/>
      </c>
      <c r="CK24" s="1025"/>
      <c r="CL24" s="1026" t="str">
        <f>IF(CK24="","",'#minDung'!JG23)</f>
        <v/>
      </c>
      <c r="CM24" s="1026" t="str">
        <f>IF(CL24="","",'#minDung'!JH23)</f>
        <v/>
      </c>
      <c r="CN24" s="1025"/>
      <c r="CO24" s="1026" t="str">
        <f>IF(CN24="","",'#minDung'!JP23)</f>
        <v/>
      </c>
      <c r="CP24" s="1026" t="str">
        <f>IF(CO24="","",'#minDung'!JQ23)</f>
        <v/>
      </c>
      <c r="CQ24" s="1025"/>
      <c r="CR24" s="1026" t="str">
        <f>IF(CQ24="","",'#minDung'!JY23)</f>
        <v/>
      </c>
      <c r="CS24" s="1030" t="str">
        <f>IF(CR24="","",'#minDung'!JZ23)</f>
        <v/>
      </c>
      <c r="CT24" s="170"/>
    </row>
    <row r="25" spans="1:98" s="875" customFormat="1" ht="15" customHeight="1" x14ac:dyDescent="0.2">
      <c r="A25" s="1205">
        <f>'Flächen u. Kulturen'!A23</f>
        <v>14</v>
      </c>
      <c r="B25" s="1205" t="str">
        <f>+'org. Düngung 22'!B26</f>
        <v/>
      </c>
      <c r="C25" s="1206" t="str">
        <f>'org. Düngung 22'!C26</f>
        <v/>
      </c>
      <c r="D25" s="1197" t="str">
        <f>'org. Düngung 22'!D26</f>
        <v/>
      </c>
      <c r="E25" s="1207" t="str">
        <f>'org. Düngung 22'!E26</f>
        <v/>
      </c>
      <c r="F25" s="1199" t="str">
        <f>'org. Düngung 22'!F26</f>
        <v/>
      </c>
      <c r="G25" s="1201" t="str">
        <f>IF(C25="","",IF(COUNT('#minDung'!KF24:KJ24)=0,"OK",TRIM(CONCATENATE('#minDung'!KF24," ",'#minDung'!KG24," ",'#minDung'!KH24," ",'#minDung'!KI24," ",'#minDung'!KJ24))))</f>
        <v/>
      </c>
      <c r="H25" s="1025"/>
      <c r="I25" s="1026" t="str">
        <f>IF(H25="","",'#minDung'!X24)</f>
        <v/>
      </c>
      <c r="J25" s="1026" t="str">
        <f>IF(I25="","",'#minDung'!Y24)</f>
        <v/>
      </c>
      <c r="K25" s="1025"/>
      <c r="L25" s="1026" t="str">
        <f>IF(K25="","",'#minDung'!AG24)</f>
        <v/>
      </c>
      <c r="M25" s="1026" t="str">
        <f>IF(L25="","",'#minDung'!AH24)</f>
        <v/>
      </c>
      <c r="N25" s="1025"/>
      <c r="O25" s="1026" t="str">
        <f>IF(N25="","",'#minDung'!AP24)</f>
        <v/>
      </c>
      <c r="P25" s="1026" t="str">
        <f>IF(O25="","",'#minDung'!AQ24)</f>
        <v/>
      </c>
      <c r="Q25" s="1025"/>
      <c r="R25" s="1026" t="str">
        <f>IF(Q25="","",'#minDung'!AY24)</f>
        <v/>
      </c>
      <c r="S25" s="1026" t="str">
        <f>IF(R25="","",'#minDung'!AZ24)</f>
        <v/>
      </c>
      <c r="T25" s="1025"/>
      <c r="U25" s="1026" t="str">
        <f>IF(T25="","",'#minDung'!BH24)</f>
        <v/>
      </c>
      <c r="V25" s="1026" t="str">
        <f>IF(U25="","",'#minDung'!BI24)</f>
        <v/>
      </c>
      <c r="W25" s="1025"/>
      <c r="X25" s="1026" t="str">
        <f>IF(W25="","",'#minDung'!BQ24)</f>
        <v/>
      </c>
      <c r="Y25" s="1026" t="str">
        <f>IF(X25="","",'#minDung'!BR24)</f>
        <v/>
      </c>
      <c r="Z25" s="1025"/>
      <c r="AA25" s="1026" t="str">
        <f>IF(Z25="","",'#minDung'!BZ24)</f>
        <v/>
      </c>
      <c r="AB25" s="1026" t="str">
        <f>IF(AA25="","",'#minDung'!CA24)</f>
        <v/>
      </c>
      <c r="AC25" s="1025"/>
      <c r="AD25" s="1026" t="str">
        <f>IF(AC25="","",'#minDung'!CI24)</f>
        <v/>
      </c>
      <c r="AE25" s="1026" t="str">
        <f>IF(AD25="","",'#minDung'!CJ24)</f>
        <v/>
      </c>
      <c r="AF25" s="1025"/>
      <c r="AG25" s="1026" t="str">
        <f>IF(AF25="","",'#minDung'!CR24)</f>
        <v/>
      </c>
      <c r="AH25" s="1026" t="str">
        <f>IF(AG25="","",'#minDung'!CS24)</f>
        <v/>
      </c>
      <c r="AI25" s="1025"/>
      <c r="AJ25" s="1026" t="str">
        <f>IF(AI25="","",'#minDung'!DA24)</f>
        <v/>
      </c>
      <c r="AK25" s="1026" t="str">
        <f>IF(AJ25="","",'#minDung'!DB24)</f>
        <v/>
      </c>
      <c r="AL25" s="1025"/>
      <c r="AM25" s="1026" t="str">
        <f>IF(AL25="","",'#minDung'!DJ24)</f>
        <v/>
      </c>
      <c r="AN25" s="1026" t="str">
        <f>IF(AM25="","",'#minDung'!DK24)</f>
        <v/>
      </c>
      <c r="AO25" s="1025"/>
      <c r="AP25" s="1026" t="str">
        <f>IF(AO25="","",'#minDung'!DS24)</f>
        <v/>
      </c>
      <c r="AQ25" s="1026" t="str">
        <f>IF(AP25="","",'#minDung'!DT24)</f>
        <v/>
      </c>
      <c r="AR25" s="1025"/>
      <c r="AS25" s="1026" t="str">
        <f>IF(AR25="","",'#minDung'!EB24)</f>
        <v/>
      </c>
      <c r="AT25" s="1026" t="str">
        <f>IF(AS25="","",'#minDung'!EC24)</f>
        <v/>
      </c>
      <c r="AU25" s="1025"/>
      <c r="AV25" s="1026" t="str">
        <f>IF(AU25="","",'#minDung'!EK24)</f>
        <v/>
      </c>
      <c r="AW25" s="1026" t="str">
        <f>IF(AV25="","",'#minDung'!EL24)</f>
        <v/>
      </c>
      <c r="AX25" s="1025"/>
      <c r="AY25" s="1026" t="str">
        <f>IF(AX25="","",'#minDung'!ET24)</f>
        <v/>
      </c>
      <c r="AZ25" s="1026" t="str">
        <f>IF(AY25="","",'#minDung'!EU24)</f>
        <v/>
      </c>
      <c r="BA25" s="1025"/>
      <c r="BB25" s="1026" t="str">
        <f>IF(BA25="","",'#minDung'!FC24)</f>
        <v/>
      </c>
      <c r="BC25" s="1026" t="str">
        <f>IF(BB25="","",'#minDung'!FD24)</f>
        <v/>
      </c>
      <c r="BD25" s="1025"/>
      <c r="BE25" s="1026" t="str">
        <f>IF(BD25="","",'#minDung'!FL24)</f>
        <v/>
      </c>
      <c r="BF25" s="1026" t="str">
        <f>IF(BE25="","",'#minDung'!FM24)</f>
        <v/>
      </c>
      <c r="BG25" s="1025"/>
      <c r="BH25" s="1026" t="str">
        <f>IF(BG25="","",'#minDung'!FU24)</f>
        <v/>
      </c>
      <c r="BI25" s="1026" t="str">
        <f>IF(BH25="","",'#minDung'!FV24)</f>
        <v/>
      </c>
      <c r="BJ25" s="1025"/>
      <c r="BK25" s="1026" t="str">
        <f>IF(BJ25="","",'#minDung'!GD24)</f>
        <v/>
      </c>
      <c r="BL25" s="1026" t="str">
        <f>IF(BK25="","",'#minDung'!GE24)</f>
        <v/>
      </c>
      <c r="BM25" s="1025"/>
      <c r="BN25" s="1026" t="str">
        <f>IF(BM25="","",'#minDung'!GM24)</f>
        <v/>
      </c>
      <c r="BO25" s="1026" t="str">
        <f>IF(BN25="","",'#minDung'!GN24)</f>
        <v/>
      </c>
      <c r="BP25" s="1025"/>
      <c r="BQ25" s="1026" t="str">
        <f>IF(BP25="","",'#minDung'!GV24)</f>
        <v/>
      </c>
      <c r="BR25" s="1026" t="str">
        <f>IF(BQ25="","",'#minDung'!GW24)</f>
        <v/>
      </c>
      <c r="BS25" s="1025"/>
      <c r="BT25" s="1026" t="str">
        <f>IF(BS25="","",'#minDung'!HE24)</f>
        <v/>
      </c>
      <c r="BU25" s="1026" t="str">
        <f>IF(BT25="","",'#minDung'!HF24)</f>
        <v/>
      </c>
      <c r="BV25" s="1025"/>
      <c r="BW25" s="1026" t="str">
        <f>IF(BV25="","",'#minDung'!HN24)</f>
        <v/>
      </c>
      <c r="BX25" s="1026" t="str">
        <f>IF(BW25="","",'#minDung'!HO24)</f>
        <v/>
      </c>
      <c r="BY25" s="1025"/>
      <c r="BZ25" s="1026" t="str">
        <f>IF(BY25="","",'#minDung'!HW24)</f>
        <v/>
      </c>
      <c r="CA25" s="1026" t="str">
        <f>IF(BZ25="","",'#minDung'!HX24)</f>
        <v/>
      </c>
      <c r="CB25" s="1025"/>
      <c r="CC25" s="1026" t="str">
        <f>IF(CB25="","",'#minDung'!IF24)</f>
        <v/>
      </c>
      <c r="CD25" s="1026" t="str">
        <f>IF(CC25="","",'#minDung'!IG24)</f>
        <v/>
      </c>
      <c r="CE25" s="1025"/>
      <c r="CF25" s="1026" t="str">
        <f>IF(CE25="","",'#minDung'!IO24)</f>
        <v/>
      </c>
      <c r="CG25" s="1026" t="str">
        <f>IF(CF25="","",'#minDung'!IP24)</f>
        <v/>
      </c>
      <c r="CH25" s="1025"/>
      <c r="CI25" s="1026" t="str">
        <f>IF(CH25="","",'#minDung'!IX24)</f>
        <v/>
      </c>
      <c r="CJ25" s="1026" t="str">
        <f>IF(CI25="","",'#minDung'!IY24)</f>
        <v/>
      </c>
      <c r="CK25" s="1025"/>
      <c r="CL25" s="1026" t="str">
        <f>IF(CK25="","",'#minDung'!JG24)</f>
        <v/>
      </c>
      <c r="CM25" s="1026" t="str">
        <f>IF(CL25="","",'#minDung'!JH24)</f>
        <v/>
      </c>
      <c r="CN25" s="1025"/>
      <c r="CO25" s="1026" t="str">
        <f>IF(CN25="","",'#minDung'!JP24)</f>
        <v/>
      </c>
      <c r="CP25" s="1026" t="str">
        <f>IF(CO25="","",'#minDung'!JQ24)</f>
        <v/>
      </c>
      <c r="CQ25" s="1025"/>
      <c r="CR25" s="1026" t="str">
        <f>IF(CQ25="","",'#minDung'!JY24)</f>
        <v/>
      </c>
      <c r="CS25" s="1030" t="str">
        <f>IF(CR25="","",'#minDung'!JZ24)</f>
        <v/>
      </c>
      <c r="CT25" s="170"/>
    </row>
    <row r="26" spans="1:98" s="875" customFormat="1" ht="15" customHeight="1" x14ac:dyDescent="0.2">
      <c r="A26" s="1205">
        <f>'Flächen u. Kulturen'!A24</f>
        <v>15</v>
      </c>
      <c r="B26" s="1205" t="str">
        <f>+'org. Düngung 22'!B27</f>
        <v/>
      </c>
      <c r="C26" s="1206" t="str">
        <f>'org. Düngung 22'!C27</f>
        <v/>
      </c>
      <c r="D26" s="1197" t="str">
        <f>'org. Düngung 22'!D27</f>
        <v/>
      </c>
      <c r="E26" s="1207" t="str">
        <f>'org. Düngung 22'!E27</f>
        <v/>
      </c>
      <c r="F26" s="1199" t="str">
        <f>'org. Düngung 22'!F27</f>
        <v/>
      </c>
      <c r="G26" s="1201" t="str">
        <f>IF(C26="","",IF(COUNT('#minDung'!KF25:KJ25)=0,"OK",TRIM(CONCATENATE('#minDung'!KF25," ",'#minDung'!KG25," ",'#minDung'!KH25," ",'#minDung'!KI25," ",'#minDung'!KJ25))))</f>
        <v/>
      </c>
      <c r="H26" s="1025"/>
      <c r="I26" s="1026" t="str">
        <f>IF(H26="","",'#minDung'!X25)</f>
        <v/>
      </c>
      <c r="J26" s="1026" t="str">
        <f>IF(I26="","",'#minDung'!Y25)</f>
        <v/>
      </c>
      <c r="K26" s="1025"/>
      <c r="L26" s="1026" t="str">
        <f>IF(K26="","",'#minDung'!AG25)</f>
        <v/>
      </c>
      <c r="M26" s="1026" t="str">
        <f>IF(L26="","",'#minDung'!AH25)</f>
        <v/>
      </c>
      <c r="N26" s="1025"/>
      <c r="O26" s="1026" t="str">
        <f>IF(N26="","",'#minDung'!AP25)</f>
        <v/>
      </c>
      <c r="P26" s="1026" t="str">
        <f>IF(O26="","",'#minDung'!AQ25)</f>
        <v/>
      </c>
      <c r="Q26" s="1025"/>
      <c r="R26" s="1026" t="str">
        <f>IF(Q26="","",'#minDung'!AY25)</f>
        <v/>
      </c>
      <c r="S26" s="1026" t="str">
        <f>IF(R26="","",'#minDung'!AZ25)</f>
        <v/>
      </c>
      <c r="T26" s="1025"/>
      <c r="U26" s="1026" t="str">
        <f>IF(T26="","",'#minDung'!BH25)</f>
        <v/>
      </c>
      <c r="V26" s="1026" t="str">
        <f>IF(U26="","",'#minDung'!BI25)</f>
        <v/>
      </c>
      <c r="W26" s="1025"/>
      <c r="X26" s="1026" t="str">
        <f>IF(W26="","",'#minDung'!BQ25)</f>
        <v/>
      </c>
      <c r="Y26" s="1026" t="str">
        <f>IF(X26="","",'#minDung'!BR25)</f>
        <v/>
      </c>
      <c r="Z26" s="1025"/>
      <c r="AA26" s="1026" t="str">
        <f>IF(Z26="","",'#minDung'!BZ25)</f>
        <v/>
      </c>
      <c r="AB26" s="1026" t="str">
        <f>IF(AA26="","",'#minDung'!CA25)</f>
        <v/>
      </c>
      <c r="AC26" s="1025"/>
      <c r="AD26" s="1026" t="str">
        <f>IF(AC26="","",'#minDung'!CI25)</f>
        <v/>
      </c>
      <c r="AE26" s="1026" t="str">
        <f>IF(AD26="","",'#minDung'!CJ25)</f>
        <v/>
      </c>
      <c r="AF26" s="1025"/>
      <c r="AG26" s="1026" t="str">
        <f>IF(AF26="","",'#minDung'!CR25)</f>
        <v/>
      </c>
      <c r="AH26" s="1026" t="str">
        <f>IF(AG26="","",'#minDung'!CS25)</f>
        <v/>
      </c>
      <c r="AI26" s="1025"/>
      <c r="AJ26" s="1026" t="str">
        <f>IF(AI26="","",'#minDung'!DA25)</f>
        <v/>
      </c>
      <c r="AK26" s="1026" t="str">
        <f>IF(AJ26="","",'#minDung'!DB25)</f>
        <v/>
      </c>
      <c r="AL26" s="1025"/>
      <c r="AM26" s="1026" t="str">
        <f>IF(AL26="","",'#minDung'!DJ25)</f>
        <v/>
      </c>
      <c r="AN26" s="1026" t="str">
        <f>IF(AM26="","",'#minDung'!DK25)</f>
        <v/>
      </c>
      <c r="AO26" s="1025"/>
      <c r="AP26" s="1026" t="str">
        <f>IF(AO26="","",'#minDung'!DS25)</f>
        <v/>
      </c>
      <c r="AQ26" s="1026" t="str">
        <f>IF(AP26="","",'#minDung'!DT25)</f>
        <v/>
      </c>
      <c r="AR26" s="1025"/>
      <c r="AS26" s="1026" t="str">
        <f>IF(AR26="","",'#minDung'!EB25)</f>
        <v/>
      </c>
      <c r="AT26" s="1026" t="str">
        <f>IF(AS26="","",'#minDung'!EC25)</f>
        <v/>
      </c>
      <c r="AU26" s="1025"/>
      <c r="AV26" s="1026" t="str">
        <f>IF(AU26="","",'#minDung'!EK25)</f>
        <v/>
      </c>
      <c r="AW26" s="1026" t="str">
        <f>IF(AV26="","",'#minDung'!EL25)</f>
        <v/>
      </c>
      <c r="AX26" s="1025"/>
      <c r="AY26" s="1026" t="str">
        <f>IF(AX26="","",'#minDung'!ET25)</f>
        <v/>
      </c>
      <c r="AZ26" s="1026" t="str">
        <f>IF(AY26="","",'#minDung'!EU25)</f>
        <v/>
      </c>
      <c r="BA26" s="1025"/>
      <c r="BB26" s="1026" t="str">
        <f>IF(BA26="","",'#minDung'!FC25)</f>
        <v/>
      </c>
      <c r="BC26" s="1026" t="str">
        <f>IF(BB26="","",'#minDung'!FD25)</f>
        <v/>
      </c>
      <c r="BD26" s="1025"/>
      <c r="BE26" s="1026" t="str">
        <f>IF(BD26="","",'#minDung'!FL25)</f>
        <v/>
      </c>
      <c r="BF26" s="1026" t="str">
        <f>IF(BE26="","",'#minDung'!FM25)</f>
        <v/>
      </c>
      <c r="BG26" s="1025"/>
      <c r="BH26" s="1026" t="str">
        <f>IF(BG26="","",'#minDung'!FU25)</f>
        <v/>
      </c>
      <c r="BI26" s="1026" t="str">
        <f>IF(BH26="","",'#minDung'!FV25)</f>
        <v/>
      </c>
      <c r="BJ26" s="1025"/>
      <c r="BK26" s="1026" t="str">
        <f>IF(BJ26="","",'#minDung'!GD25)</f>
        <v/>
      </c>
      <c r="BL26" s="1026" t="str">
        <f>IF(BK26="","",'#minDung'!GE25)</f>
        <v/>
      </c>
      <c r="BM26" s="1025"/>
      <c r="BN26" s="1026" t="str">
        <f>IF(BM26="","",'#minDung'!GM25)</f>
        <v/>
      </c>
      <c r="BO26" s="1026" t="str">
        <f>IF(BN26="","",'#minDung'!GN25)</f>
        <v/>
      </c>
      <c r="BP26" s="1025"/>
      <c r="BQ26" s="1026" t="str">
        <f>IF(BP26="","",'#minDung'!GV25)</f>
        <v/>
      </c>
      <c r="BR26" s="1026" t="str">
        <f>IF(BQ26="","",'#minDung'!GW25)</f>
        <v/>
      </c>
      <c r="BS26" s="1025"/>
      <c r="BT26" s="1026" t="str">
        <f>IF(BS26="","",'#minDung'!HE25)</f>
        <v/>
      </c>
      <c r="BU26" s="1026" t="str">
        <f>IF(BT26="","",'#minDung'!HF25)</f>
        <v/>
      </c>
      <c r="BV26" s="1025"/>
      <c r="BW26" s="1026" t="str">
        <f>IF(BV26="","",'#minDung'!HN25)</f>
        <v/>
      </c>
      <c r="BX26" s="1026" t="str">
        <f>IF(BW26="","",'#minDung'!HO25)</f>
        <v/>
      </c>
      <c r="BY26" s="1025"/>
      <c r="BZ26" s="1026" t="str">
        <f>IF(BY26="","",'#minDung'!HW25)</f>
        <v/>
      </c>
      <c r="CA26" s="1026" t="str">
        <f>IF(BZ26="","",'#minDung'!HX25)</f>
        <v/>
      </c>
      <c r="CB26" s="1025"/>
      <c r="CC26" s="1026" t="str">
        <f>IF(CB26="","",'#minDung'!IF25)</f>
        <v/>
      </c>
      <c r="CD26" s="1026" t="str">
        <f>IF(CC26="","",'#minDung'!IG25)</f>
        <v/>
      </c>
      <c r="CE26" s="1025"/>
      <c r="CF26" s="1026" t="str">
        <f>IF(CE26="","",'#minDung'!IO25)</f>
        <v/>
      </c>
      <c r="CG26" s="1026" t="str">
        <f>IF(CF26="","",'#minDung'!IP25)</f>
        <v/>
      </c>
      <c r="CH26" s="1025"/>
      <c r="CI26" s="1026" t="str">
        <f>IF(CH26="","",'#minDung'!IX25)</f>
        <v/>
      </c>
      <c r="CJ26" s="1026" t="str">
        <f>IF(CI26="","",'#minDung'!IY25)</f>
        <v/>
      </c>
      <c r="CK26" s="1025"/>
      <c r="CL26" s="1026" t="str">
        <f>IF(CK26="","",'#minDung'!JG25)</f>
        <v/>
      </c>
      <c r="CM26" s="1026" t="str">
        <f>IF(CL26="","",'#minDung'!JH25)</f>
        <v/>
      </c>
      <c r="CN26" s="1025"/>
      <c r="CO26" s="1026" t="str">
        <f>IF(CN26="","",'#minDung'!JP25)</f>
        <v/>
      </c>
      <c r="CP26" s="1026" t="str">
        <f>IF(CO26="","",'#minDung'!JQ25)</f>
        <v/>
      </c>
      <c r="CQ26" s="1025"/>
      <c r="CR26" s="1026" t="str">
        <f>IF(CQ26="","",'#minDung'!JY25)</f>
        <v/>
      </c>
      <c r="CS26" s="1030" t="str">
        <f>IF(CR26="","",'#minDung'!JZ25)</f>
        <v/>
      </c>
      <c r="CT26" s="170"/>
    </row>
    <row r="27" spans="1:98" s="875" customFormat="1" ht="15" customHeight="1" x14ac:dyDescent="0.2">
      <c r="A27" s="1205">
        <f>'Flächen u. Kulturen'!A25</f>
        <v>16</v>
      </c>
      <c r="B27" s="1205" t="str">
        <f>+'org. Düngung 22'!B28</f>
        <v/>
      </c>
      <c r="C27" s="1206" t="str">
        <f>'org. Düngung 22'!C28</f>
        <v/>
      </c>
      <c r="D27" s="1197" t="str">
        <f>'org. Düngung 22'!D28</f>
        <v/>
      </c>
      <c r="E27" s="1207" t="str">
        <f>'org. Düngung 22'!E28</f>
        <v/>
      </c>
      <c r="F27" s="1199" t="str">
        <f>'org. Düngung 22'!F28</f>
        <v/>
      </c>
      <c r="G27" s="1201" t="str">
        <f>IF(C27="","",IF(COUNT('#minDung'!KF26:KJ26)=0,"OK",TRIM(CONCATENATE('#minDung'!KF26," ",'#minDung'!KG26," ",'#minDung'!KH26," ",'#minDung'!KI26," ",'#minDung'!KJ26))))</f>
        <v/>
      </c>
      <c r="H27" s="1025"/>
      <c r="I27" s="1026" t="str">
        <f>IF(H27="","",'#minDung'!X26)</f>
        <v/>
      </c>
      <c r="J27" s="1026" t="str">
        <f>IF(I27="","",'#minDung'!Y26)</f>
        <v/>
      </c>
      <c r="K27" s="1025"/>
      <c r="L27" s="1026" t="str">
        <f>IF(K27="","",'#minDung'!AG26)</f>
        <v/>
      </c>
      <c r="M27" s="1026" t="str">
        <f>IF(L27="","",'#minDung'!AH26)</f>
        <v/>
      </c>
      <c r="N27" s="1025"/>
      <c r="O27" s="1026" t="str">
        <f>IF(N27="","",'#minDung'!AP26)</f>
        <v/>
      </c>
      <c r="P27" s="1026" t="str">
        <f>IF(O27="","",'#minDung'!AQ26)</f>
        <v/>
      </c>
      <c r="Q27" s="1025"/>
      <c r="R27" s="1026" t="str">
        <f>IF(Q27="","",'#minDung'!AY26)</f>
        <v/>
      </c>
      <c r="S27" s="1026" t="str">
        <f>IF(R27="","",'#minDung'!AZ26)</f>
        <v/>
      </c>
      <c r="T27" s="1025"/>
      <c r="U27" s="1026" t="str">
        <f>IF(T27="","",'#minDung'!BH26)</f>
        <v/>
      </c>
      <c r="V27" s="1026" t="str">
        <f>IF(U27="","",'#minDung'!BI26)</f>
        <v/>
      </c>
      <c r="W27" s="1025"/>
      <c r="X27" s="1026" t="str">
        <f>IF(W27="","",'#minDung'!BQ26)</f>
        <v/>
      </c>
      <c r="Y27" s="1026" t="str">
        <f>IF(X27="","",'#minDung'!BR26)</f>
        <v/>
      </c>
      <c r="Z27" s="1025"/>
      <c r="AA27" s="1026" t="str">
        <f>IF(Z27="","",'#minDung'!BZ26)</f>
        <v/>
      </c>
      <c r="AB27" s="1026" t="str">
        <f>IF(AA27="","",'#minDung'!CA26)</f>
        <v/>
      </c>
      <c r="AC27" s="1025"/>
      <c r="AD27" s="1026" t="str">
        <f>IF(AC27="","",'#minDung'!CI26)</f>
        <v/>
      </c>
      <c r="AE27" s="1026" t="str">
        <f>IF(AD27="","",'#minDung'!CJ26)</f>
        <v/>
      </c>
      <c r="AF27" s="1025"/>
      <c r="AG27" s="1026" t="str">
        <f>IF(AF27="","",'#minDung'!CR26)</f>
        <v/>
      </c>
      <c r="AH27" s="1026" t="str">
        <f>IF(AG27="","",'#minDung'!CS26)</f>
        <v/>
      </c>
      <c r="AI27" s="1025"/>
      <c r="AJ27" s="1026" t="str">
        <f>IF(AI27="","",'#minDung'!DA26)</f>
        <v/>
      </c>
      <c r="AK27" s="1026" t="str">
        <f>IF(AJ27="","",'#minDung'!DB26)</f>
        <v/>
      </c>
      <c r="AL27" s="1025"/>
      <c r="AM27" s="1026" t="str">
        <f>IF(AL27="","",'#minDung'!DJ26)</f>
        <v/>
      </c>
      <c r="AN27" s="1026" t="str">
        <f>IF(AM27="","",'#minDung'!DK26)</f>
        <v/>
      </c>
      <c r="AO27" s="1025"/>
      <c r="AP27" s="1026" t="str">
        <f>IF(AO27="","",'#minDung'!DS26)</f>
        <v/>
      </c>
      <c r="AQ27" s="1026" t="str">
        <f>IF(AP27="","",'#minDung'!DT26)</f>
        <v/>
      </c>
      <c r="AR27" s="1025"/>
      <c r="AS27" s="1026" t="str">
        <f>IF(AR27="","",'#minDung'!EB26)</f>
        <v/>
      </c>
      <c r="AT27" s="1026" t="str">
        <f>IF(AS27="","",'#minDung'!EC26)</f>
        <v/>
      </c>
      <c r="AU27" s="1025"/>
      <c r="AV27" s="1026" t="str">
        <f>IF(AU27="","",'#minDung'!EK26)</f>
        <v/>
      </c>
      <c r="AW27" s="1026" t="str">
        <f>IF(AV27="","",'#minDung'!EL26)</f>
        <v/>
      </c>
      <c r="AX27" s="1025"/>
      <c r="AY27" s="1026" t="str">
        <f>IF(AX27="","",'#minDung'!ET26)</f>
        <v/>
      </c>
      <c r="AZ27" s="1026" t="str">
        <f>IF(AY27="","",'#minDung'!EU26)</f>
        <v/>
      </c>
      <c r="BA27" s="1025"/>
      <c r="BB27" s="1026" t="str">
        <f>IF(BA27="","",'#minDung'!FC26)</f>
        <v/>
      </c>
      <c r="BC27" s="1026" t="str">
        <f>IF(BB27="","",'#minDung'!FD26)</f>
        <v/>
      </c>
      <c r="BD27" s="1025"/>
      <c r="BE27" s="1026" t="str">
        <f>IF(BD27="","",'#minDung'!FL26)</f>
        <v/>
      </c>
      <c r="BF27" s="1026" t="str">
        <f>IF(BE27="","",'#minDung'!FM26)</f>
        <v/>
      </c>
      <c r="BG27" s="1025"/>
      <c r="BH27" s="1026" t="str">
        <f>IF(BG27="","",'#minDung'!FU26)</f>
        <v/>
      </c>
      <c r="BI27" s="1026" t="str">
        <f>IF(BH27="","",'#minDung'!FV26)</f>
        <v/>
      </c>
      <c r="BJ27" s="1025"/>
      <c r="BK27" s="1026" t="str">
        <f>IF(BJ27="","",'#minDung'!GD26)</f>
        <v/>
      </c>
      <c r="BL27" s="1026" t="str">
        <f>IF(BK27="","",'#minDung'!GE26)</f>
        <v/>
      </c>
      <c r="BM27" s="1025"/>
      <c r="BN27" s="1026" t="str">
        <f>IF(BM27="","",'#minDung'!GM26)</f>
        <v/>
      </c>
      <c r="BO27" s="1026" t="str">
        <f>IF(BN27="","",'#minDung'!GN26)</f>
        <v/>
      </c>
      <c r="BP27" s="1025"/>
      <c r="BQ27" s="1026" t="str">
        <f>IF(BP27="","",'#minDung'!GV26)</f>
        <v/>
      </c>
      <c r="BR27" s="1026" t="str">
        <f>IF(BQ27="","",'#minDung'!GW26)</f>
        <v/>
      </c>
      <c r="BS27" s="1025"/>
      <c r="BT27" s="1026" t="str">
        <f>IF(BS27="","",'#minDung'!HE26)</f>
        <v/>
      </c>
      <c r="BU27" s="1026" t="str">
        <f>IF(BT27="","",'#minDung'!HF26)</f>
        <v/>
      </c>
      <c r="BV27" s="1025"/>
      <c r="BW27" s="1026" t="str">
        <f>IF(BV27="","",'#minDung'!HN26)</f>
        <v/>
      </c>
      <c r="BX27" s="1026" t="str">
        <f>IF(BW27="","",'#minDung'!HO26)</f>
        <v/>
      </c>
      <c r="BY27" s="1025"/>
      <c r="BZ27" s="1026" t="str">
        <f>IF(BY27="","",'#minDung'!HW26)</f>
        <v/>
      </c>
      <c r="CA27" s="1026" t="str">
        <f>IF(BZ27="","",'#minDung'!HX26)</f>
        <v/>
      </c>
      <c r="CB27" s="1025"/>
      <c r="CC27" s="1026" t="str">
        <f>IF(CB27="","",'#minDung'!IF26)</f>
        <v/>
      </c>
      <c r="CD27" s="1026" t="str">
        <f>IF(CC27="","",'#minDung'!IG26)</f>
        <v/>
      </c>
      <c r="CE27" s="1025"/>
      <c r="CF27" s="1026" t="str">
        <f>IF(CE27="","",'#minDung'!IO26)</f>
        <v/>
      </c>
      <c r="CG27" s="1026" t="str">
        <f>IF(CF27="","",'#minDung'!IP26)</f>
        <v/>
      </c>
      <c r="CH27" s="1025"/>
      <c r="CI27" s="1026" t="str">
        <f>IF(CH27="","",'#minDung'!IX26)</f>
        <v/>
      </c>
      <c r="CJ27" s="1026" t="str">
        <f>IF(CI27="","",'#minDung'!IY26)</f>
        <v/>
      </c>
      <c r="CK27" s="1025"/>
      <c r="CL27" s="1026" t="str">
        <f>IF(CK27="","",'#minDung'!JG26)</f>
        <v/>
      </c>
      <c r="CM27" s="1026" t="str">
        <f>IF(CL27="","",'#minDung'!JH26)</f>
        <v/>
      </c>
      <c r="CN27" s="1025"/>
      <c r="CO27" s="1026" t="str">
        <f>IF(CN27="","",'#minDung'!JP26)</f>
        <v/>
      </c>
      <c r="CP27" s="1026" t="str">
        <f>IF(CO27="","",'#minDung'!JQ26)</f>
        <v/>
      </c>
      <c r="CQ27" s="1025"/>
      <c r="CR27" s="1026" t="str">
        <f>IF(CQ27="","",'#minDung'!JY26)</f>
        <v/>
      </c>
      <c r="CS27" s="1030" t="str">
        <f>IF(CR27="","",'#minDung'!JZ26)</f>
        <v/>
      </c>
      <c r="CT27" s="170"/>
    </row>
    <row r="28" spans="1:98" s="875" customFormat="1" ht="15" customHeight="1" x14ac:dyDescent="0.2">
      <c r="A28" s="1205">
        <f>'Flächen u. Kulturen'!A26</f>
        <v>17</v>
      </c>
      <c r="B28" s="1205" t="str">
        <f>+'org. Düngung 22'!B29</f>
        <v/>
      </c>
      <c r="C28" s="1206" t="str">
        <f>'org. Düngung 22'!C29</f>
        <v/>
      </c>
      <c r="D28" s="1197" t="str">
        <f>'org. Düngung 22'!D29</f>
        <v/>
      </c>
      <c r="E28" s="1207" t="str">
        <f>'org. Düngung 22'!E29</f>
        <v/>
      </c>
      <c r="F28" s="1199" t="str">
        <f>'org. Düngung 22'!F29</f>
        <v/>
      </c>
      <c r="G28" s="1201" t="str">
        <f>IF(C28="","",IF(COUNT('#minDung'!KF27:KJ27)=0,"OK",TRIM(CONCATENATE('#minDung'!KF27," ",'#minDung'!KG27," ",'#minDung'!KH27," ",'#minDung'!KI27," ",'#minDung'!KJ27))))</f>
        <v/>
      </c>
      <c r="H28" s="1025"/>
      <c r="I28" s="1026" t="str">
        <f>IF(H28="","",'#minDung'!X27)</f>
        <v/>
      </c>
      <c r="J28" s="1026" t="str">
        <f>IF(I28="","",'#minDung'!Y27)</f>
        <v/>
      </c>
      <c r="K28" s="1025"/>
      <c r="L28" s="1026" t="str">
        <f>IF(K28="","",'#minDung'!AG27)</f>
        <v/>
      </c>
      <c r="M28" s="1026" t="str">
        <f>IF(L28="","",'#minDung'!AH27)</f>
        <v/>
      </c>
      <c r="N28" s="1025"/>
      <c r="O28" s="1026" t="str">
        <f>IF(N28="","",'#minDung'!AP27)</f>
        <v/>
      </c>
      <c r="P28" s="1026" t="str">
        <f>IF(O28="","",'#minDung'!AQ27)</f>
        <v/>
      </c>
      <c r="Q28" s="1025"/>
      <c r="R28" s="1026" t="str">
        <f>IF(Q28="","",'#minDung'!AY27)</f>
        <v/>
      </c>
      <c r="S28" s="1026" t="str">
        <f>IF(R28="","",'#minDung'!AZ27)</f>
        <v/>
      </c>
      <c r="T28" s="1025"/>
      <c r="U28" s="1026" t="str">
        <f>IF(T28="","",'#minDung'!BH27)</f>
        <v/>
      </c>
      <c r="V28" s="1026" t="str">
        <f>IF(U28="","",'#minDung'!BI27)</f>
        <v/>
      </c>
      <c r="W28" s="1025"/>
      <c r="X28" s="1026" t="str">
        <f>IF(W28="","",'#minDung'!BQ27)</f>
        <v/>
      </c>
      <c r="Y28" s="1026" t="str">
        <f>IF(X28="","",'#minDung'!BR27)</f>
        <v/>
      </c>
      <c r="Z28" s="1025"/>
      <c r="AA28" s="1026" t="str">
        <f>IF(Z28="","",'#minDung'!BZ27)</f>
        <v/>
      </c>
      <c r="AB28" s="1026" t="str">
        <f>IF(AA28="","",'#minDung'!CA27)</f>
        <v/>
      </c>
      <c r="AC28" s="1025"/>
      <c r="AD28" s="1026" t="str">
        <f>IF(AC28="","",'#minDung'!CI27)</f>
        <v/>
      </c>
      <c r="AE28" s="1026" t="str">
        <f>IF(AD28="","",'#minDung'!CJ27)</f>
        <v/>
      </c>
      <c r="AF28" s="1025"/>
      <c r="AG28" s="1026" t="str">
        <f>IF(AF28="","",'#minDung'!CR27)</f>
        <v/>
      </c>
      <c r="AH28" s="1026" t="str">
        <f>IF(AG28="","",'#minDung'!CS27)</f>
        <v/>
      </c>
      <c r="AI28" s="1025"/>
      <c r="AJ28" s="1026" t="str">
        <f>IF(AI28="","",'#minDung'!DA27)</f>
        <v/>
      </c>
      <c r="AK28" s="1026" t="str">
        <f>IF(AJ28="","",'#minDung'!DB27)</f>
        <v/>
      </c>
      <c r="AL28" s="1025"/>
      <c r="AM28" s="1026" t="str">
        <f>IF(AL28="","",'#minDung'!DJ27)</f>
        <v/>
      </c>
      <c r="AN28" s="1026" t="str">
        <f>IF(AM28="","",'#minDung'!DK27)</f>
        <v/>
      </c>
      <c r="AO28" s="1025"/>
      <c r="AP28" s="1026" t="str">
        <f>IF(AO28="","",'#minDung'!DS27)</f>
        <v/>
      </c>
      <c r="AQ28" s="1026" t="str">
        <f>IF(AP28="","",'#minDung'!DT27)</f>
        <v/>
      </c>
      <c r="AR28" s="1025"/>
      <c r="AS28" s="1026" t="str">
        <f>IF(AR28="","",'#minDung'!EB27)</f>
        <v/>
      </c>
      <c r="AT28" s="1026" t="str">
        <f>IF(AS28="","",'#minDung'!EC27)</f>
        <v/>
      </c>
      <c r="AU28" s="1025"/>
      <c r="AV28" s="1026" t="str">
        <f>IF(AU28="","",'#minDung'!EK27)</f>
        <v/>
      </c>
      <c r="AW28" s="1026" t="str">
        <f>IF(AV28="","",'#minDung'!EL27)</f>
        <v/>
      </c>
      <c r="AX28" s="1025"/>
      <c r="AY28" s="1026" t="str">
        <f>IF(AX28="","",'#minDung'!ET27)</f>
        <v/>
      </c>
      <c r="AZ28" s="1026" t="str">
        <f>IF(AY28="","",'#minDung'!EU27)</f>
        <v/>
      </c>
      <c r="BA28" s="1025"/>
      <c r="BB28" s="1026" t="str">
        <f>IF(BA28="","",'#minDung'!FC27)</f>
        <v/>
      </c>
      <c r="BC28" s="1026" t="str">
        <f>IF(BB28="","",'#minDung'!FD27)</f>
        <v/>
      </c>
      <c r="BD28" s="1025"/>
      <c r="BE28" s="1026" t="str">
        <f>IF(BD28="","",'#minDung'!FL27)</f>
        <v/>
      </c>
      <c r="BF28" s="1026" t="str">
        <f>IF(BE28="","",'#minDung'!FM27)</f>
        <v/>
      </c>
      <c r="BG28" s="1025"/>
      <c r="BH28" s="1026" t="str">
        <f>IF(BG28="","",'#minDung'!FU27)</f>
        <v/>
      </c>
      <c r="BI28" s="1026" t="str">
        <f>IF(BH28="","",'#minDung'!FV27)</f>
        <v/>
      </c>
      <c r="BJ28" s="1025"/>
      <c r="BK28" s="1026" t="str">
        <f>IF(BJ28="","",'#minDung'!GD27)</f>
        <v/>
      </c>
      <c r="BL28" s="1026" t="str">
        <f>IF(BK28="","",'#minDung'!GE27)</f>
        <v/>
      </c>
      <c r="BM28" s="1025"/>
      <c r="BN28" s="1026" t="str">
        <f>IF(BM28="","",'#minDung'!GM27)</f>
        <v/>
      </c>
      <c r="BO28" s="1026" t="str">
        <f>IF(BN28="","",'#minDung'!GN27)</f>
        <v/>
      </c>
      <c r="BP28" s="1025"/>
      <c r="BQ28" s="1026" t="str">
        <f>IF(BP28="","",'#minDung'!GV27)</f>
        <v/>
      </c>
      <c r="BR28" s="1026" t="str">
        <f>IF(BQ28="","",'#minDung'!GW27)</f>
        <v/>
      </c>
      <c r="BS28" s="1025"/>
      <c r="BT28" s="1026" t="str">
        <f>IF(BS28="","",'#minDung'!HE27)</f>
        <v/>
      </c>
      <c r="BU28" s="1026" t="str">
        <f>IF(BT28="","",'#minDung'!HF27)</f>
        <v/>
      </c>
      <c r="BV28" s="1025"/>
      <c r="BW28" s="1026" t="str">
        <f>IF(BV28="","",'#minDung'!HN27)</f>
        <v/>
      </c>
      <c r="BX28" s="1026" t="str">
        <f>IF(BW28="","",'#minDung'!HO27)</f>
        <v/>
      </c>
      <c r="BY28" s="1025"/>
      <c r="BZ28" s="1026" t="str">
        <f>IF(BY28="","",'#minDung'!HW27)</f>
        <v/>
      </c>
      <c r="CA28" s="1026" t="str">
        <f>IF(BZ28="","",'#minDung'!HX27)</f>
        <v/>
      </c>
      <c r="CB28" s="1025"/>
      <c r="CC28" s="1026" t="str">
        <f>IF(CB28="","",'#minDung'!IF27)</f>
        <v/>
      </c>
      <c r="CD28" s="1026" t="str">
        <f>IF(CC28="","",'#minDung'!IG27)</f>
        <v/>
      </c>
      <c r="CE28" s="1025"/>
      <c r="CF28" s="1026" t="str">
        <f>IF(CE28="","",'#minDung'!IO27)</f>
        <v/>
      </c>
      <c r="CG28" s="1026" t="str">
        <f>IF(CF28="","",'#minDung'!IP27)</f>
        <v/>
      </c>
      <c r="CH28" s="1025"/>
      <c r="CI28" s="1026" t="str">
        <f>IF(CH28="","",'#minDung'!IX27)</f>
        <v/>
      </c>
      <c r="CJ28" s="1026" t="str">
        <f>IF(CI28="","",'#minDung'!IY27)</f>
        <v/>
      </c>
      <c r="CK28" s="1025"/>
      <c r="CL28" s="1026" t="str">
        <f>IF(CK28="","",'#minDung'!JG27)</f>
        <v/>
      </c>
      <c r="CM28" s="1026" t="str">
        <f>IF(CL28="","",'#minDung'!JH27)</f>
        <v/>
      </c>
      <c r="CN28" s="1025"/>
      <c r="CO28" s="1026" t="str">
        <f>IF(CN28="","",'#minDung'!JP27)</f>
        <v/>
      </c>
      <c r="CP28" s="1026" t="str">
        <f>IF(CO28="","",'#minDung'!JQ27)</f>
        <v/>
      </c>
      <c r="CQ28" s="1025"/>
      <c r="CR28" s="1026" t="str">
        <f>IF(CQ28="","",'#minDung'!JY27)</f>
        <v/>
      </c>
      <c r="CS28" s="1030" t="str">
        <f>IF(CR28="","",'#minDung'!JZ27)</f>
        <v/>
      </c>
      <c r="CT28" s="170"/>
    </row>
    <row r="29" spans="1:98" s="875" customFormat="1" ht="15" customHeight="1" x14ac:dyDescent="0.2">
      <c r="A29" s="1205">
        <f>'Flächen u. Kulturen'!A27</f>
        <v>18</v>
      </c>
      <c r="B29" s="1205" t="str">
        <f>+'org. Düngung 22'!B30</f>
        <v/>
      </c>
      <c r="C29" s="1206" t="str">
        <f>'org. Düngung 22'!C30</f>
        <v/>
      </c>
      <c r="D29" s="1197" t="str">
        <f>'org. Düngung 22'!D30</f>
        <v/>
      </c>
      <c r="E29" s="1207" t="str">
        <f>'org. Düngung 22'!E30</f>
        <v/>
      </c>
      <c r="F29" s="1199" t="str">
        <f>'org. Düngung 22'!F30</f>
        <v/>
      </c>
      <c r="G29" s="1201" t="str">
        <f>IF(C29="","",IF(COUNT('#minDung'!KF28:KJ28)=0,"OK",TRIM(CONCATENATE('#minDung'!KF28," ",'#minDung'!KG28," ",'#minDung'!KH28," ",'#minDung'!KI28," ",'#minDung'!KJ28))))</f>
        <v/>
      </c>
      <c r="H29" s="1025"/>
      <c r="I29" s="1026" t="str">
        <f>IF(H29="","",'#minDung'!X28)</f>
        <v/>
      </c>
      <c r="J29" s="1026" t="str">
        <f>IF(I29="","",'#minDung'!Y28)</f>
        <v/>
      </c>
      <c r="K29" s="1025"/>
      <c r="L29" s="1026" t="str">
        <f>IF(K29="","",'#minDung'!AG28)</f>
        <v/>
      </c>
      <c r="M29" s="1026" t="str">
        <f>IF(L29="","",'#minDung'!AH28)</f>
        <v/>
      </c>
      <c r="N29" s="1025"/>
      <c r="O29" s="1026" t="str">
        <f>IF(N29="","",'#minDung'!AP28)</f>
        <v/>
      </c>
      <c r="P29" s="1026" t="str">
        <f>IF(O29="","",'#minDung'!AQ28)</f>
        <v/>
      </c>
      <c r="Q29" s="1025"/>
      <c r="R29" s="1026" t="str">
        <f>IF(Q29="","",'#minDung'!AY28)</f>
        <v/>
      </c>
      <c r="S29" s="1026" t="str">
        <f>IF(R29="","",'#minDung'!AZ28)</f>
        <v/>
      </c>
      <c r="T29" s="1025"/>
      <c r="U29" s="1026" t="str">
        <f>IF(T29="","",'#minDung'!BH28)</f>
        <v/>
      </c>
      <c r="V29" s="1026" t="str">
        <f>IF(U29="","",'#minDung'!BI28)</f>
        <v/>
      </c>
      <c r="W29" s="1025"/>
      <c r="X29" s="1026" t="str">
        <f>IF(W29="","",'#minDung'!BQ28)</f>
        <v/>
      </c>
      <c r="Y29" s="1026" t="str">
        <f>IF(X29="","",'#minDung'!BR28)</f>
        <v/>
      </c>
      <c r="Z29" s="1025"/>
      <c r="AA29" s="1026" t="str">
        <f>IF(Z29="","",'#minDung'!BZ28)</f>
        <v/>
      </c>
      <c r="AB29" s="1026" t="str">
        <f>IF(AA29="","",'#minDung'!CA28)</f>
        <v/>
      </c>
      <c r="AC29" s="1025"/>
      <c r="AD29" s="1026" t="str">
        <f>IF(AC29="","",'#minDung'!CI28)</f>
        <v/>
      </c>
      <c r="AE29" s="1026" t="str">
        <f>IF(AD29="","",'#minDung'!CJ28)</f>
        <v/>
      </c>
      <c r="AF29" s="1025"/>
      <c r="AG29" s="1026" t="str">
        <f>IF(AF29="","",'#minDung'!CR28)</f>
        <v/>
      </c>
      <c r="AH29" s="1026" t="str">
        <f>IF(AG29="","",'#minDung'!CS28)</f>
        <v/>
      </c>
      <c r="AI29" s="1025"/>
      <c r="AJ29" s="1026" t="str">
        <f>IF(AI29="","",'#minDung'!DA28)</f>
        <v/>
      </c>
      <c r="AK29" s="1026" t="str">
        <f>IF(AJ29="","",'#minDung'!DB28)</f>
        <v/>
      </c>
      <c r="AL29" s="1025"/>
      <c r="AM29" s="1026" t="str">
        <f>IF(AL29="","",'#minDung'!DJ28)</f>
        <v/>
      </c>
      <c r="AN29" s="1026" t="str">
        <f>IF(AM29="","",'#minDung'!DK28)</f>
        <v/>
      </c>
      <c r="AO29" s="1025"/>
      <c r="AP29" s="1026" t="str">
        <f>IF(AO29="","",'#minDung'!DS28)</f>
        <v/>
      </c>
      <c r="AQ29" s="1026" t="str">
        <f>IF(AP29="","",'#minDung'!DT28)</f>
        <v/>
      </c>
      <c r="AR29" s="1025"/>
      <c r="AS29" s="1026" t="str">
        <f>IF(AR29="","",'#minDung'!EB28)</f>
        <v/>
      </c>
      <c r="AT29" s="1026" t="str">
        <f>IF(AS29="","",'#minDung'!EC28)</f>
        <v/>
      </c>
      <c r="AU29" s="1025"/>
      <c r="AV29" s="1026" t="str">
        <f>IF(AU29="","",'#minDung'!EK28)</f>
        <v/>
      </c>
      <c r="AW29" s="1026" t="str">
        <f>IF(AV29="","",'#minDung'!EL28)</f>
        <v/>
      </c>
      <c r="AX29" s="1025"/>
      <c r="AY29" s="1026" t="str">
        <f>IF(AX29="","",'#minDung'!ET28)</f>
        <v/>
      </c>
      <c r="AZ29" s="1026" t="str">
        <f>IF(AY29="","",'#minDung'!EU28)</f>
        <v/>
      </c>
      <c r="BA29" s="1025"/>
      <c r="BB29" s="1026" t="str">
        <f>IF(BA29="","",'#minDung'!FC28)</f>
        <v/>
      </c>
      <c r="BC29" s="1026" t="str">
        <f>IF(BB29="","",'#minDung'!FD28)</f>
        <v/>
      </c>
      <c r="BD29" s="1025"/>
      <c r="BE29" s="1026" t="str">
        <f>IF(BD29="","",'#minDung'!FL28)</f>
        <v/>
      </c>
      <c r="BF29" s="1026" t="str">
        <f>IF(BE29="","",'#minDung'!FM28)</f>
        <v/>
      </c>
      <c r="BG29" s="1025"/>
      <c r="BH29" s="1026" t="str">
        <f>IF(BG29="","",'#minDung'!FU28)</f>
        <v/>
      </c>
      <c r="BI29" s="1026" t="str">
        <f>IF(BH29="","",'#minDung'!FV28)</f>
        <v/>
      </c>
      <c r="BJ29" s="1025"/>
      <c r="BK29" s="1026" t="str">
        <f>IF(BJ29="","",'#minDung'!GD28)</f>
        <v/>
      </c>
      <c r="BL29" s="1026" t="str">
        <f>IF(BK29="","",'#minDung'!GE28)</f>
        <v/>
      </c>
      <c r="BM29" s="1025"/>
      <c r="BN29" s="1026" t="str">
        <f>IF(BM29="","",'#minDung'!GM28)</f>
        <v/>
      </c>
      <c r="BO29" s="1026" t="str">
        <f>IF(BN29="","",'#minDung'!GN28)</f>
        <v/>
      </c>
      <c r="BP29" s="1025"/>
      <c r="BQ29" s="1026" t="str">
        <f>IF(BP29="","",'#minDung'!GV28)</f>
        <v/>
      </c>
      <c r="BR29" s="1026" t="str">
        <f>IF(BQ29="","",'#minDung'!GW28)</f>
        <v/>
      </c>
      <c r="BS29" s="1025"/>
      <c r="BT29" s="1026" t="str">
        <f>IF(BS29="","",'#minDung'!HE28)</f>
        <v/>
      </c>
      <c r="BU29" s="1026" t="str">
        <f>IF(BT29="","",'#minDung'!HF28)</f>
        <v/>
      </c>
      <c r="BV29" s="1025"/>
      <c r="BW29" s="1026" t="str">
        <f>IF(BV29="","",'#minDung'!HN28)</f>
        <v/>
      </c>
      <c r="BX29" s="1026" t="str">
        <f>IF(BW29="","",'#minDung'!HO28)</f>
        <v/>
      </c>
      <c r="BY29" s="1025"/>
      <c r="BZ29" s="1026" t="str">
        <f>IF(BY29="","",'#minDung'!HW28)</f>
        <v/>
      </c>
      <c r="CA29" s="1026" t="str">
        <f>IF(BZ29="","",'#minDung'!HX28)</f>
        <v/>
      </c>
      <c r="CB29" s="1025"/>
      <c r="CC29" s="1026" t="str">
        <f>IF(CB29="","",'#minDung'!IF28)</f>
        <v/>
      </c>
      <c r="CD29" s="1026" t="str">
        <f>IF(CC29="","",'#minDung'!IG28)</f>
        <v/>
      </c>
      <c r="CE29" s="1025"/>
      <c r="CF29" s="1026" t="str">
        <f>IF(CE29="","",'#minDung'!IO28)</f>
        <v/>
      </c>
      <c r="CG29" s="1026" t="str">
        <f>IF(CF29="","",'#minDung'!IP28)</f>
        <v/>
      </c>
      <c r="CH29" s="1025"/>
      <c r="CI29" s="1026" t="str">
        <f>IF(CH29="","",'#minDung'!IX28)</f>
        <v/>
      </c>
      <c r="CJ29" s="1026" t="str">
        <f>IF(CI29="","",'#minDung'!IY28)</f>
        <v/>
      </c>
      <c r="CK29" s="1025"/>
      <c r="CL29" s="1026" t="str">
        <f>IF(CK29="","",'#minDung'!JG28)</f>
        <v/>
      </c>
      <c r="CM29" s="1026" t="str">
        <f>IF(CL29="","",'#minDung'!JH28)</f>
        <v/>
      </c>
      <c r="CN29" s="1025"/>
      <c r="CO29" s="1026" t="str">
        <f>IF(CN29="","",'#minDung'!JP28)</f>
        <v/>
      </c>
      <c r="CP29" s="1026" t="str">
        <f>IF(CO29="","",'#minDung'!JQ28)</f>
        <v/>
      </c>
      <c r="CQ29" s="1025"/>
      <c r="CR29" s="1026" t="str">
        <f>IF(CQ29="","",'#minDung'!JY28)</f>
        <v/>
      </c>
      <c r="CS29" s="1030" t="str">
        <f>IF(CR29="","",'#minDung'!JZ28)</f>
        <v/>
      </c>
      <c r="CT29" s="170"/>
    </row>
    <row r="30" spans="1:98" s="875" customFormat="1" ht="15" customHeight="1" x14ac:dyDescent="0.2">
      <c r="A30" s="1205">
        <f>'Flächen u. Kulturen'!A28</f>
        <v>19</v>
      </c>
      <c r="B30" s="1205" t="str">
        <f>+'org. Düngung 22'!B31</f>
        <v/>
      </c>
      <c r="C30" s="1206" t="str">
        <f>'org. Düngung 22'!C31</f>
        <v/>
      </c>
      <c r="D30" s="1197" t="str">
        <f>'org. Düngung 22'!D31</f>
        <v/>
      </c>
      <c r="E30" s="1207" t="str">
        <f>'org. Düngung 22'!E31</f>
        <v/>
      </c>
      <c r="F30" s="1199" t="str">
        <f>'org. Düngung 22'!F31</f>
        <v/>
      </c>
      <c r="G30" s="1201" t="str">
        <f>IF(C30="","",IF(COUNT('#minDung'!KF29:KJ29)=0,"OK",TRIM(CONCATENATE('#minDung'!KF29," ",'#minDung'!KG29," ",'#minDung'!KH29," ",'#minDung'!KI29," ",'#minDung'!KJ29))))</f>
        <v/>
      </c>
      <c r="H30" s="1025"/>
      <c r="I30" s="1026" t="str">
        <f>IF(H30="","",'#minDung'!X29)</f>
        <v/>
      </c>
      <c r="J30" s="1026" t="str">
        <f>IF(I30="","",'#minDung'!Y29)</f>
        <v/>
      </c>
      <c r="K30" s="1025"/>
      <c r="L30" s="1026" t="str">
        <f>IF(K30="","",'#minDung'!AG29)</f>
        <v/>
      </c>
      <c r="M30" s="1026" t="str">
        <f>IF(L30="","",'#minDung'!AH29)</f>
        <v/>
      </c>
      <c r="N30" s="1025"/>
      <c r="O30" s="1026" t="str">
        <f>IF(N30="","",'#minDung'!AP29)</f>
        <v/>
      </c>
      <c r="P30" s="1026" t="str">
        <f>IF(O30="","",'#minDung'!AQ29)</f>
        <v/>
      </c>
      <c r="Q30" s="1025"/>
      <c r="R30" s="1026" t="str">
        <f>IF(Q30="","",'#minDung'!AY29)</f>
        <v/>
      </c>
      <c r="S30" s="1026" t="str">
        <f>IF(R30="","",'#minDung'!AZ29)</f>
        <v/>
      </c>
      <c r="T30" s="1025"/>
      <c r="U30" s="1026" t="str">
        <f>IF(T30="","",'#minDung'!BH29)</f>
        <v/>
      </c>
      <c r="V30" s="1026" t="str">
        <f>IF(U30="","",'#minDung'!BI29)</f>
        <v/>
      </c>
      <c r="W30" s="1025"/>
      <c r="X30" s="1026" t="str">
        <f>IF(W30="","",'#minDung'!BQ29)</f>
        <v/>
      </c>
      <c r="Y30" s="1026" t="str">
        <f>IF(X30="","",'#minDung'!BR29)</f>
        <v/>
      </c>
      <c r="Z30" s="1025"/>
      <c r="AA30" s="1026" t="str">
        <f>IF(Z30="","",'#minDung'!BZ29)</f>
        <v/>
      </c>
      <c r="AB30" s="1026" t="str">
        <f>IF(AA30="","",'#minDung'!CA29)</f>
        <v/>
      </c>
      <c r="AC30" s="1025"/>
      <c r="AD30" s="1026" t="str">
        <f>IF(AC30="","",'#minDung'!CI29)</f>
        <v/>
      </c>
      <c r="AE30" s="1026" t="str">
        <f>IF(AD30="","",'#minDung'!CJ29)</f>
        <v/>
      </c>
      <c r="AF30" s="1025"/>
      <c r="AG30" s="1026" t="str">
        <f>IF(AF30="","",'#minDung'!CR29)</f>
        <v/>
      </c>
      <c r="AH30" s="1026" t="str">
        <f>IF(AG30="","",'#minDung'!CS29)</f>
        <v/>
      </c>
      <c r="AI30" s="1025"/>
      <c r="AJ30" s="1026" t="str">
        <f>IF(AI30="","",'#minDung'!DA29)</f>
        <v/>
      </c>
      <c r="AK30" s="1026" t="str">
        <f>IF(AJ30="","",'#minDung'!DB29)</f>
        <v/>
      </c>
      <c r="AL30" s="1025"/>
      <c r="AM30" s="1026" t="str">
        <f>IF(AL30="","",'#minDung'!DJ29)</f>
        <v/>
      </c>
      <c r="AN30" s="1026" t="str">
        <f>IF(AM30="","",'#minDung'!DK29)</f>
        <v/>
      </c>
      <c r="AO30" s="1025"/>
      <c r="AP30" s="1026" t="str">
        <f>IF(AO30="","",'#minDung'!DS29)</f>
        <v/>
      </c>
      <c r="AQ30" s="1026" t="str">
        <f>IF(AP30="","",'#minDung'!DT29)</f>
        <v/>
      </c>
      <c r="AR30" s="1025"/>
      <c r="AS30" s="1026" t="str">
        <f>IF(AR30="","",'#minDung'!EB29)</f>
        <v/>
      </c>
      <c r="AT30" s="1026" t="str">
        <f>IF(AS30="","",'#minDung'!EC29)</f>
        <v/>
      </c>
      <c r="AU30" s="1025"/>
      <c r="AV30" s="1026" t="str">
        <f>IF(AU30="","",'#minDung'!EK29)</f>
        <v/>
      </c>
      <c r="AW30" s="1026" t="str">
        <f>IF(AV30="","",'#minDung'!EL29)</f>
        <v/>
      </c>
      <c r="AX30" s="1025"/>
      <c r="AY30" s="1026" t="str">
        <f>IF(AX30="","",'#minDung'!ET29)</f>
        <v/>
      </c>
      <c r="AZ30" s="1026" t="str">
        <f>IF(AY30="","",'#minDung'!EU29)</f>
        <v/>
      </c>
      <c r="BA30" s="1025"/>
      <c r="BB30" s="1026" t="str">
        <f>IF(BA30="","",'#minDung'!FC29)</f>
        <v/>
      </c>
      <c r="BC30" s="1026" t="str">
        <f>IF(BB30="","",'#minDung'!FD29)</f>
        <v/>
      </c>
      <c r="BD30" s="1025"/>
      <c r="BE30" s="1026" t="str">
        <f>IF(BD30="","",'#minDung'!FL29)</f>
        <v/>
      </c>
      <c r="BF30" s="1026" t="str">
        <f>IF(BE30="","",'#minDung'!FM29)</f>
        <v/>
      </c>
      <c r="BG30" s="1025"/>
      <c r="BH30" s="1026" t="str">
        <f>IF(BG30="","",'#minDung'!FU29)</f>
        <v/>
      </c>
      <c r="BI30" s="1026" t="str">
        <f>IF(BH30="","",'#minDung'!FV29)</f>
        <v/>
      </c>
      <c r="BJ30" s="1025"/>
      <c r="BK30" s="1026" t="str">
        <f>IF(BJ30="","",'#minDung'!GD29)</f>
        <v/>
      </c>
      <c r="BL30" s="1026" t="str">
        <f>IF(BK30="","",'#minDung'!GE29)</f>
        <v/>
      </c>
      <c r="BM30" s="1025"/>
      <c r="BN30" s="1026" t="str">
        <f>IF(BM30="","",'#minDung'!GM29)</f>
        <v/>
      </c>
      <c r="BO30" s="1026" t="str">
        <f>IF(BN30="","",'#minDung'!GN29)</f>
        <v/>
      </c>
      <c r="BP30" s="1025"/>
      <c r="BQ30" s="1026" t="str">
        <f>IF(BP30="","",'#minDung'!GV29)</f>
        <v/>
      </c>
      <c r="BR30" s="1026" t="str">
        <f>IF(BQ30="","",'#minDung'!GW29)</f>
        <v/>
      </c>
      <c r="BS30" s="1025"/>
      <c r="BT30" s="1026" t="str">
        <f>IF(BS30="","",'#minDung'!HE29)</f>
        <v/>
      </c>
      <c r="BU30" s="1026" t="str">
        <f>IF(BT30="","",'#minDung'!HF29)</f>
        <v/>
      </c>
      <c r="BV30" s="1025"/>
      <c r="BW30" s="1026" t="str">
        <f>IF(BV30="","",'#minDung'!HN29)</f>
        <v/>
      </c>
      <c r="BX30" s="1026" t="str">
        <f>IF(BW30="","",'#minDung'!HO29)</f>
        <v/>
      </c>
      <c r="BY30" s="1025"/>
      <c r="BZ30" s="1026" t="str">
        <f>IF(BY30="","",'#minDung'!HW29)</f>
        <v/>
      </c>
      <c r="CA30" s="1026" t="str">
        <f>IF(BZ30="","",'#minDung'!HX29)</f>
        <v/>
      </c>
      <c r="CB30" s="1025"/>
      <c r="CC30" s="1026" t="str">
        <f>IF(CB30="","",'#minDung'!IF29)</f>
        <v/>
      </c>
      <c r="CD30" s="1026" t="str">
        <f>IF(CC30="","",'#minDung'!IG29)</f>
        <v/>
      </c>
      <c r="CE30" s="1025"/>
      <c r="CF30" s="1026" t="str">
        <f>IF(CE30="","",'#minDung'!IO29)</f>
        <v/>
      </c>
      <c r="CG30" s="1026" t="str">
        <f>IF(CF30="","",'#minDung'!IP29)</f>
        <v/>
      </c>
      <c r="CH30" s="1025"/>
      <c r="CI30" s="1026" t="str">
        <f>IF(CH30="","",'#minDung'!IX29)</f>
        <v/>
      </c>
      <c r="CJ30" s="1026" t="str">
        <f>IF(CI30="","",'#minDung'!IY29)</f>
        <v/>
      </c>
      <c r="CK30" s="1025"/>
      <c r="CL30" s="1026" t="str">
        <f>IF(CK30="","",'#minDung'!JG29)</f>
        <v/>
      </c>
      <c r="CM30" s="1026" t="str">
        <f>IF(CL30="","",'#minDung'!JH29)</f>
        <v/>
      </c>
      <c r="CN30" s="1025"/>
      <c r="CO30" s="1026" t="str">
        <f>IF(CN30="","",'#minDung'!JP29)</f>
        <v/>
      </c>
      <c r="CP30" s="1026" t="str">
        <f>IF(CO30="","",'#minDung'!JQ29)</f>
        <v/>
      </c>
      <c r="CQ30" s="1025"/>
      <c r="CR30" s="1026" t="str">
        <f>IF(CQ30="","",'#minDung'!JY29)</f>
        <v/>
      </c>
      <c r="CS30" s="1030" t="str">
        <f>IF(CR30="","",'#minDung'!JZ29)</f>
        <v/>
      </c>
      <c r="CT30" s="170"/>
    </row>
    <row r="31" spans="1:98" s="875" customFormat="1" ht="15" customHeight="1" x14ac:dyDescent="0.2">
      <c r="A31" s="1205">
        <f>'Flächen u. Kulturen'!A29</f>
        <v>20</v>
      </c>
      <c r="B31" s="1205" t="str">
        <f>+'org. Düngung 22'!B32</f>
        <v/>
      </c>
      <c r="C31" s="1206" t="str">
        <f>'org. Düngung 22'!C32</f>
        <v/>
      </c>
      <c r="D31" s="1197" t="str">
        <f>'org. Düngung 22'!D32</f>
        <v/>
      </c>
      <c r="E31" s="1207" t="str">
        <f>'org. Düngung 22'!E32</f>
        <v/>
      </c>
      <c r="F31" s="1199" t="str">
        <f>'org. Düngung 22'!F32</f>
        <v/>
      </c>
      <c r="G31" s="1201" t="str">
        <f>IF(C31="","",IF(COUNT('#minDung'!KF30:KJ30)=0,"OK",TRIM(CONCATENATE('#minDung'!KF30," ",'#minDung'!KG30," ",'#minDung'!KH30," ",'#minDung'!KI30," ",'#minDung'!KJ30))))</f>
        <v/>
      </c>
      <c r="H31" s="1025"/>
      <c r="I31" s="1026" t="str">
        <f>IF(H31="","",'#minDung'!X30)</f>
        <v/>
      </c>
      <c r="J31" s="1026" t="str">
        <f>IF(I31="","",'#minDung'!Y30)</f>
        <v/>
      </c>
      <c r="K31" s="1025"/>
      <c r="L31" s="1026" t="str">
        <f>IF(K31="","",'#minDung'!AG30)</f>
        <v/>
      </c>
      <c r="M31" s="1026" t="str">
        <f>IF(L31="","",'#minDung'!AH30)</f>
        <v/>
      </c>
      <c r="N31" s="1025"/>
      <c r="O31" s="1026" t="str">
        <f>IF(N31="","",'#minDung'!AP30)</f>
        <v/>
      </c>
      <c r="P31" s="1026" t="str">
        <f>IF(O31="","",'#minDung'!AQ30)</f>
        <v/>
      </c>
      <c r="Q31" s="1025"/>
      <c r="R31" s="1026" t="str">
        <f>IF(Q31="","",'#minDung'!AY30)</f>
        <v/>
      </c>
      <c r="S31" s="1026" t="str">
        <f>IF(R31="","",'#minDung'!AZ30)</f>
        <v/>
      </c>
      <c r="T31" s="1025"/>
      <c r="U31" s="1026" t="str">
        <f>IF(T31="","",'#minDung'!BH30)</f>
        <v/>
      </c>
      <c r="V31" s="1026" t="str">
        <f>IF(U31="","",'#minDung'!BI30)</f>
        <v/>
      </c>
      <c r="W31" s="1025"/>
      <c r="X31" s="1026" t="str">
        <f>IF(W31="","",'#minDung'!BQ30)</f>
        <v/>
      </c>
      <c r="Y31" s="1026" t="str">
        <f>IF(X31="","",'#minDung'!BR30)</f>
        <v/>
      </c>
      <c r="Z31" s="1025"/>
      <c r="AA31" s="1026" t="str">
        <f>IF(Z31="","",'#minDung'!BZ30)</f>
        <v/>
      </c>
      <c r="AB31" s="1026" t="str">
        <f>IF(AA31="","",'#minDung'!CA30)</f>
        <v/>
      </c>
      <c r="AC31" s="1025"/>
      <c r="AD31" s="1026" t="str">
        <f>IF(AC31="","",'#minDung'!CI30)</f>
        <v/>
      </c>
      <c r="AE31" s="1026" t="str">
        <f>IF(AD31="","",'#minDung'!CJ30)</f>
        <v/>
      </c>
      <c r="AF31" s="1025"/>
      <c r="AG31" s="1026" t="str">
        <f>IF(AF31="","",'#minDung'!CR30)</f>
        <v/>
      </c>
      <c r="AH31" s="1026" t="str">
        <f>IF(AG31="","",'#minDung'!CS30)</f>
        <v/>
      </c>
      <c r="AI31" s="1025"/>
      <c r="AJ31" s="1026" t="str">
        <f>IF(AI31="","",'#minDung'!DA30)</f>
        <v/>
      </c>
      <c r="AK31" s="1026" t="str">
        <f>IF(AJ31="","",'#minDung'!DB30)</f>
        <v/>
      </c>
      <c r="AL31" s="1025"/>
      <c r="AM31" s="1026" t="str">
        <f>IF(AL31="","",'#minDung'!DJ30)</f>
        <v/>
      </c>
      <c r="AN31" s="1026" t="str">
        <f>IF(AM31="","",'#minDung'!DK30)</f>
        <v/>
      </c>
      <c r="AO31" s="1025"/>
      <c r="AP31" s="1026" t="str">
        <f>IF(AO31="","",'#minDung'!DS30)</f>
        <v/>
      </c>
      <c r="AQ31" s="1026" t="str">
        <f>IF(AP31="","",'#minDung'!DT30)</f>
        <v/>
      </c>
      <c r="AR31" s="1025"/>
      <c r="AS31" s="1026" t="str">
        <f>IF(AR31="","",'#minDung'!EB30)</f>
        <v/>
      </c>
      <c r="AT31" s="1026" t="str">
        <f>IF(AS31="","",'#minDung'!EC30)</f>
        <v/>
      </c>
      <c r="AU31" s="1025"/>
      <c r="AV31" s="1026" t="str">
        <f>IF(AU31="","",'#minDung'!EK30)</f>
        <v/>
      </c>
      <c r="AW31" s="1026" t="str">
        <f>IF(AV31="","",'#minDung'!EL30)</f>
        <v/>
      </c>
      <c r="AX31" s="1025"/>
      <c r="AY31" s="1026" t="str">
        <f>IF(AX31="","",'#minDung'!ET30)</f>
        <v/>
      </c>
      <c r="AZ31" s="1026" t="str">
        <f>IF(AY31="","",'#minDung'!EU30)</f>
        <v/>
      </c>
      <c r="BA31" s="1025"/>
      <c r="BB31" s="1026" t="str">
        <f>IF(BA31="","",'#minDung'!FC30)</f>
        <v/>
      </c>
      <c r="BC31" s="1026" t="str">
        <f>IF(BB31="","",'#minDung'!FD30)</f>
        <v/>
      </c>
      <c r="BD31" s="1025"/>
      <c r="BE31" s="1026" t="str">
        <f>IF(BD31="","",'#minDung'!FL30)</f>
        <v/>
      </c>
      <c r="BF31" s="1026" t="str">
        <f>IF(BE31="","",'#minDung'!FM30)</f>
        <v/>
      </c>
      <c r="BG31" s="1025"/>
      <c r="BH31" s="1026" t="str">
        <f>IF(BG31="","",'#minDung'!FU30)</f>
        <v/>
      </c>
      <c r="BI31" s="1026" t="str">
        <f>IF(BH31="","",'#minDung'!FV30)</f>
        <v/>
      </c>
      <c r="BJ31" s="1025"/>
      <c r="BK31" s="1026" t="str">
        <f>IF(BJ31="","",'#minDung'!GD30)</f>
        <v/>
      </c>
      <c r="BL31" s="1026" t="str">
        <f>IF(BK31="","",'#minDung'!GE30)</f>
        <v/>
      </c>
      <c r="BM31" s="1025"/>
      <c r="BN31" s="1026" t="str">
        <f>IF(BM31="","",'#minDung'!GM30)</f>
        <v/>
      </c>
      <c r="BO31" s="1026" t="str">
        <f>IF(BN31="","",'#minDung'!GN30)</f>
        <v/>
      </c>
      <c r="BP31" s="1025"/>
      <c r="BQ31" s="1026" t="str">
        <f>IF(BP31="","",'#minDung'!GV30)</f>
        <v/>
      </c>
      <c r="BR31" s="1026" t="str">
        <f>IF(BQ31="","",'#minDung'!GW30)</f>
        <v/>
      </c>
      <c r="BS31" s="1025"/>
      <c r="BT31" s="1026" t="str">
        <f>IF(BS31="","",'#minDung'!HE30)</f>
        <v/>
      </c>
      <c r="BU31" s="1026" t="str">
        <f>IF(BT31="","",'#minDung'!HF30)</f>
        <v/>
      </c>
      <c r="BV31" s="1025"/>
      <c r="BW31" s="1026" t="str">
        <f>IF(BV31="","",'#minDung'!HN30)</f>
        <v/>
      </c>
      <c r="BX31" s="1026" t="str">
        <f>IF(BW31="","",'#minDung'!HO30)</f>
        <v/>
      </c>
      <c r="BY31" s="1025"/>
      <c r="BZ31" s="1026" t="str">
        <f>IF(BY31="","",'#minDung'!HW30)</f>
        <v/>
      </c>
      <c r="CA31" s="1026" t="str">
        <f>IF(BZ31="","",'#minDung'!HX30)</f>
        <v/>
      </c>
      <c r="CB31" s="1025"/>
      <c r="CC31" s="1026" t="str">
        <f>IF(CB31="","",'#minDung'!IF30)</f>
        <v/>
      </c>
      <c r="CD31" s="1026" t="str">
        <f>IF(CC31="","",'#minDung'!IG30)</f>
        <v/>
      </c>
      <c r="CE31" s="1025"/>
      <c r="CF31" s="1026" t="str">
        <f>IF(CE31="","",'#minDung'!IO30)</f>
        <v/>
      </c>
      <c r="CG31" s="1026" t="str">
        <f>IF(CF31="","",'#minDung'!IP30)</f>
        <v/>
      </c>
      <c r="CH31" s="1025"/>
      <c r="CI31" s="1026" t="str">
        <f>IF(CH31="","",'#minDung'!IX30)</f>
        <v/>
      </c>
      <c r="CJ31" s="1026" t="str">
        <f>IF(CI31="","",'#minDung'!IY30)</f>
        <v/>
      </c>
      <c r="CK31" s="1025"/>
      <c r="CL31" s="1026" t="str">
        <f>IF(CK31="","",'#minDung'!JG30)</f>
        <v/>
      </c>
      <c r="CM31" s="1026" t="str">
        <f>IF(CL31="","",'#minDung'!JH30)</f>
        <v/>
      </c>
      <c r="CN31" s="1025"/>
      <c r="CO31" s="1026" t="str">
        <f>IF(CN31="","",'#minDung'!JP30)</f>
        <v/>
      </c>
      <c r="CP31" s="1026" t="str">
        <f>IF(CO31="","",'#minDung'!JQ30)</f>
        <v/>
      </c>
      <c r="CQ31" s="1025"/>
      <c r="CR31" s="1026" t="str">
        <f>IF(CQ31="","",'#minDung'!JY30)</f>
        <v/>
      </c>
      <c r="CS31" s="1030" t="str">
        <f>IF(CR31="","",'#minDung'!JZ30)</f>
        <v/>
      </c>
      <c r="CT31" s="170"/>
    </row>
    <row r="32" spans="1:98" s="875" customFormat="1" ht="15" customHeight="1" x14ac:dyDescent="0.2">
      <c r="A32" s="1205">
        <f>'Flächen u. Kulturen'!A30</f>
        <v>21</v>
      </c>
      <c r="B32" s="1205" t="str">
        <f>+'org. Düngung 22'!B33</f>
        <v/>
      </c>
      <c r="C32" s="1206" t="str">
        <f>'org. Düngung 22'!C33</f>
        <v/>
      </c>
      <c r="D32" s="1197" t="str">
        <f>'org. Düngung 22'!D33</f>
        <v/>
      </c>
      <c r="E32" s="1207" t="str">
        <f>'org. Düngung 22'!E33</f>
        <v/>
      </c>
      <c r="F32" s="1199" t="str">
        <f>'org. Düngung 22'!F33</f>
        <v/>
      </c>
      <c r="G32" s="1201" t="str">
        <f>IF(C32="","",IF(COUNT('#minDung'!KF31:KJ31)=0,"OK",TRIM(CONCATENATE('#minDung'!KF31," ",'#minDung'!KG31," ",'#minDung'!KH31," ",'#minDung'!KI31," ",'#minDung'!KJ31))))</f>
        <v/>
      </c>
      <c r="H32" s="1025"/>
      <c r="I32" s="1026" t="str">
        <f>IF(H32="","",'#minDung'!X31)</f>
        <v/>
      </c>
      <c r="J32" s="1026" t="str">
        <f>IF(I32="","",'#minDung'!Y31)</f>
        <v/>
      </c>
      <c r="K32" s="1025"/>
      <c r="L32" s="1026" t="str">
        <f>IF(K32="","",'#minDung'!AG31)</f>
        <v/>
      </c>
      <c r="M32" s="1026" t="str">
        <f>IF(L32="","",'#minDung'!AH31)</f>
        <v/>
      </c>
      <c r="N32" s="1025"/>
      <c r="O32" s="1026" t="str">
        <f>IF(N32="","",'#minDung'!AP31)</f>
        <v/>
      </c>
      <c r="P32" s="1026" t="str">
        <f>IF(O32="","",'#minDung'!AQ31)</f>
        <v/>
      </c>
      <c r="Q32" s="1025"/>
      <c r="R32" s="1026" t="str">
        <f>IF(Q32="","",'#minDung'!AY31)</f>
        <v/>
      </c>
      <c r="S32" s="1026" t="str">
        <f>IF(R32="","",'#minDung'!AZ31)</f>
        <v/>
      </c>
      <c r="T32" s="1025"/>
      <c r="U32" s="1026" t="str">
        <f>IF(T32="","",'#minDung'!BH31)</f>
        <v/>
      </c>
      <c r="V32" s="1026" t="str">
        <f>IF(U32="","",'#minDung'!BI31)</f>
        <v/>
      </c>
      <c r="W32" s="1025"/>
      <c r="X32" s="1026" t="str">
        <f>IF(W32="","",'#minDung'!BQ31)</f>
        <v/>
      </c>
      <c r="Y32" s="1026" t="str">
        <f>IF(X32="","",'#minDung'!BR31)</f>
        <v/>
      </c>
      <c r="Z32" s="1025"/>
      <c r="AA32" s="1026" t="str">
        <f>IF(Z32="","",'#minDung'!BZ31)</f>
        <v/>
      </c>
      <c r="AB32" s="1026" t="str">
        <f>IF(AA32="","",'#minDung'!CA31)</f>
        <v/>
      </c>
      <c r="AC32" s="1025"/>
      <c r="AD32" s="1026" t="str">
        <f>IF(AC32="","",'#minDung'!CI31)</f>
        <v/>
      </c>
      <c r="AE32" s="1026" t="str">
        <f>IF(AD32="","",'#minDung'!CJ31)</f>
        <v/>
      </c>
      <c r="AF32" s="1025"/>
      <c r="AG32" s="1026" t="str">
        <f>IF(AF32="","",'#minDung'!CR31)</f>
        <v/>
      </c>
      <c r="AH32" s="1026" t="str">
        <f>IF(AG32="","",'#minDung'!CS31)</f>
        <v/>
      </c>
      <c r="AI32" s="1025"/>
      <c r="AJ32" s="1026" t="str">
        <f>IF(AI32="","",'#minDung'!DA31)</f>
        <v/>
      </c>
      <c r="AK32" s="1026" t="str">
        <f>IF(AJ32="","",'#minDung'!DB31)</f>
        <v/>
      </c>
      <c r="AL32" s="1025"/>
      <c r="AM32" s="1026" t="str">
        <f>IF(AL32="","",'#minDung'!DJ31)</f>
        <v/>
      </c>
      <c r="AN32" s="1026" t="str">
        <f>IF(AM32="","",'#minDung'!DK31)</f>
        <v/>
      </c>
      <c r="AO32" s="1025"/>
      <c r="AP32" s="1026" t="str">
        <f>IF(AO32="","",'#minDung'!DS31)</f>
        <v/>
      </c>
      <c r="AQ32" s="1026" t="str">
        <f>IF(AP32="","",'#minDung'!DT31)</f>
        <v/>
      </c>
      <c r="AR32" s="1025"/>
      <c r="AS32" s="1026" t="str">
        <f>IF(AR32="","",'#minDung'!EB31)</f>
        <v/>
      </c>
      <c r="AT32" s="1026" t="str">
        <f>IF(AS32="","",'#minDung'!EC31)</f>
        <v/>
      </c>
      <c r="AU32" s="1025"/>
      <c r="AV32" s="1026" t="str">
        <f>IF(AU32="","",'#minDung'!EK31)</f>
        <v/>
      </c>
      <c r="AW32" s="1026" t="str">
        <f>IF(AV32="","",'#minDung'!EL31)</f>
        <v/>
      </c>
      <c r="AX32" s="1025"/>
      <c r="AY32" s="1026" t="str">
        <f>IF(AX32="","",'#minDung'!ET31)</f>
        <v/>
      </c>
      <c r="AZ32" s="1026" t="str">
        <f>IF(AY32="","",'#minDung'!EU31)</f>
        <v/>
      </c>
      <c r="BA32" s="1025"/>
      <c r="BB32" s="1026" t="str">
        <f>IF(BA32="","",'#minDung'!FC31)</f>
        <v/>
      </c>
      <c r="BC32" s="1026" t="str">
        <f>IF(BB32="","",'#minDung'!FD31)</f>
        <v/>
      </c>
      <c r="BD32" s="1025"/>
      <c r="BE32" s="1026" t="str">
        <f>IF(BD32="","",'#minDung'!FL31)</f>
        <v/>
      </c>
      <c r="BF32" s="1026" t="str">
        <f>IF(BE32="","",'#minDung'!FM31)</f>
        <v/>
      </c>
      <c r="BG32" s="1025"/>
      <c r="BH32" s="1026" t="str">
        <f>IF(BG32="","",'#minDung'!FU31)</f>
        <v/>
      </c>
      <c r="BI32" s="1026" t="str">
        <f>IF(BH32="","",'#minDung'!FV31)</f>
        <v/>
      </c>
      <c r="BJ32" s="1025"/>
      <c r="BK32" s="1026" t="str">
        <f>IF(BJ32="","",'#minDung'!GD31)</f>
        <v/>
      </c>
      <c r="BL32" s="1026" t="str">
        <f>IF(BK32="","",'#minDung'!GE31)</f>
        <v/>
      </c>
      <c r="BM32" s="1025"/>
      <c r="BN32" s="1026" t="str">
        <f>IF(BM32="","",'#minDung'!GM31)</f>
        <v/>
      </c>
      <c r="BO32" s="1026" t="str">
        <f>IF(BN32="","",'#minDung'!GN31)</f>
        <v/>
      </c>
      <c r="BP32" s="1025"/>
      <c r="BQ32" s="1026" t="str">
        <f>IF(BP32="","",'#minDung'!GV31)</f>
        <v/>
      </c>
      <c r="BR32" s="1026" t="str">
        <f>IF(BQ32="","",'#minDung'!GW31)</f>
        <v/>
      </c>
      <c r="BS32" s="1025"/>
      <c r="BT32" s="1026" t="str">
        <f>IF(BS32="","",'#minDung'!HE31)</f>
        <v/>
      </c>
      <c r="BU32" s="1026" t="str">
        <f>IF(BT32="","",'#minDung'!HF31)</f>
        <v/>
      </c>
      <c r="BV32" s="1025"/>
      <c r="BW32" s="1026" t="str">
        <f>IF(BV32="","",'#minDung'!HN31)</f>
        <v/>
      </c>
      <c r="BX32" s="1026" t="str">
        <f>IF(BW32="","",'#minDung'!HO31)</f>
        <v/>
      </c>
      <c r="BY32" s="1025"/>
      <c r="BZ32" s="1026" t="str">
        <f>IF(BY32="","",'#minDung'!HW31)</f>
        <v/>
      </c>
      <c r="CA32" s="1026" t="str">
        <f>IF(BZ32="","",'#minDung'!HX31)</f>
        <v/>
      </c>
      <c r="CB32" s="1025"/>
      <c r="CC32" s="1026" t="str">
        <f>IF(CB32="","",'#minDung'!IF31)</f>
        <v/>
      </c>
      <c r="CD32" s="1026" t="str">
        <f>IF(CC32="","",'#minDung'!IG31)</f>
        <v/>
      </c>
      <c r="CE32" s="1025"/>
      <c r="CF32" s="1026" t="str">
        <f>IF(CE32="","",'#minDung'!IO31)</f>
        <v/>
      </c>
      <c r="CG32" s="1026" t="str">
        <f>IF(CF32="","",'#minDung'!IP31)</f>
        <v/>
      </c>
      <c r="CH32" s="1025"/>
      <c r="CI32" s="1026" t="str">
        <f>IF(CH32="","",'#minDung'!IX31)</f>
        <v/>
      </c>
      <c r="CJ32" s="1026" t="str">
        <f>IF(CI32="","",'#minDung'!IY31)</f>
        <v/>
      </c>
      <c r="CK32" s="1025"/>
      <c r="CL32" s="1026" t="str">
        <f>IF(CK32="","",'#minDung'!JG31)</f>
        <v/>
      </c>
      <c r="CM32" s="1026" t="str">
        <f>IF(CL32="","",'#minDung'!JH31)</f>
        <v/>
      </c>
      <c r="CN32" s="1025"/>
      <c r="CO32" s="1026" t="str">
        <f>IF(CN32="","",'#minDung'!JP31)</f>
        <v/>
      </c>
      <c r="CP32" s="1026" t="str">
        <f>IF(CO32="","",'#minDung'!JQ31)</f>
        <v/>
      </c>
      <c r="CQ32" s="1025"/>
      <c r="CR32" s="1026" t="str">
        <f>IF(CQ32="","",'#minDung'!JY31)</f>
        <v/>
      </c>
      <c r="CS32" s="1030" t="str">
        <f>IF(CR32="","",'#minDung'!JZ31)</f>
        <v/>
      </c>
      <c r="CT32" s="170"/>
    </row>
    <row r="33" spans="1:98" s="875" customFormat="1" ht="15" customHeight="1" x14ac:dyDescent="0.2">
      <c r="A33" s="1205">
        <f>'Flächen u. Kulturen'!A31</f>
        <v>22</v>
      </c>
      <c r="B33" s="1205" t="str">
        <f>+'org. Düngung 22'!B34</f>
        <v/>
      </c>
      <c r="C33" s="1206" t="str">
        <f>'org. Düngung 22'!C34</f>
        <v/>
      </c>
      <c r="D33" s="1197" t="str">
        <f>'org. Düngung 22'!D34</f>
        <v/>
      </c>
      <c r="E33" s="1207" t="str">
        <f>'org. Düngung 22'!E34</f>
        <v/>
      </c>
      <c r="F33" s="1199" t="str">
        <f>'org. Düngung 22'!F34</f>
        <v/>
      </c>
      <c r="G33" s="1201" t="str">
        <f>IF(C33="","",IF(COUNT('#minDung'!KF32:KJ32)=0,"OK",TRIM(CONCATENATE('#minDung'!KF32," ",'#minDung'!KG32," ",'#minDung'!KH32," ",'#minDung'!KI32," ",'#minDung'!KJ32))))</f>
        <v/>
      </c>
      <c r="H33" s="1025"/>
      <c r="I33" s="1026" t="str">
        <f>IF(H33="","",'#minDung'!X32)</f>
        <v/>
      </c>
      <c r="J33" s="1026" t="str">
        <f>IF(I33="","",'#minDung'!Y32)</f>
        <v/>
      </c>
      <c r="K33" s="1025"/>
      <c r="L33" s="1026" t="str">
        <f>IF(K33="","",'#minDung'!AG32)</f>
        <v/>
      </c>
      <c r="M33" s="1026" t="str">
        <f>IF(L33="","",'#minDung'!AH32)</f>
        <v/>
      </c>
      <c r="N33" s="1025"/>
      <c r="O33" s="1026" t="str">
        <f>IF(N33="","",'#minDung'!AP32)</f>
        <v/>
      </c>
      <c r="P33" s="1026" t="str">
        <f>IF(O33="","",'#minDung'!AQ32)</f>
        <v/>
      </c>
      <c r="Q33" s="1025"/>
      <c r="R33" s="1026" t="str">
        <f>IF(Q33="","",'#minDung'!AY32)</f>
        <v/>
      </c>
      <c r="S33" s="1026" t="str">
        <f>IF(R33="","",'#minDung'!AZ32)</f>
        <v/>
      </c>
      <c r="T33" s="1025"/>
      <c r="U33" s="1026" t="str">
        <f>IF(T33="","",'#minDung'!BH32)</f>
        <v/>
      </c>
      <c r="V33" s="1026" t="str">
        <f>IF(U33="","",'#minDung'!BI32)</f>
        <v/>
      </c>
      <c r="W33" s="1025"/>
      <c r="X33" s="1026" t="str">
        <f>IF(W33="","",'#minDung'!BQ32)</f>
        <v/>
      </c>
      <c r="Y33" s="1026" t="str">
        <f>IF(X33="","",'#minDung'!BR32)</f>
        <v/>
      </c>
      <c r="Z33" s="1025"/>
      <c r="AA33" s="1026" t="str">
        <f>IF(Z33="","",'#minDung'!BZ32)</f>
        <v/>
      </c>
      <c r="AB33" s="1026" t="str">
        <f>IF(AA33="","",'#minDung'!CA32)</f>
        <v/>
      </c>
      <c r="AC33" s="1025"/>
      <c r="AD33" s="1026" t="str">
        <f>IF(AC33="","",'#minDung'!CI32)</f>
        <v/>
      </c>
      <c r="AE33" s="1026" t="str">
        <f>IF(AD33="","",'#minDung'!CJ32)</f>
        <v/>
      </c>
      <c r="AF33" s="1025"/>
      <c r="AG33" s="1026" t="str">
        <f>IF(AF33="","",'#minDung'!CR32)</f>
        <v/>
      </c>
      <c r="AH33" s="1026" t="str">
        <f>IF(AG33="","",'#minDung'!CS32)</f>
        <v/>
      </c>
      <c r="AI33" s="1025"/>
      <c r="AJ33" s="1026" t="str">
        <f>IF(AI33="","",'#minDung'!DA32)</f>
        <v/>
      </c>
      <c r="AK33" s="1026" t="str">
        <f>IF(AJ33="","",'#minDung'!DB32)</f>
        <v/>
      </c>
      <c r="AL33" s="1025"/>
      <c r="AM33" s="1026" t="str">
        <f>IF(AL33="","",'#minDung'!DJ32)</f>
        <v/>
      </c>
      <c r="AN33" s="1026" t="str">
        <f>IF(AM33="","",'#minDung'!DK32)</f>
        <v/>
      </c>
      <c r="AO33" s="1025"/>
      <c r="AP33" s="1026" t="str">
        <f>IF(AO33="","",'#minDung'!DS32)</f>
        <v/>
      </c>
      <c r="AQ33" s="1026" t="str">
        <f>IF(AP33="","",'#minDung'!DT32)</f>
        <v/>
      </c>
      <c r="AR33" s="1025"/>
      <c r="AS33" s="1026" t="str">
        <f>IF(AR33="","",'#minDung'!EB32)</f>
        <v/>
      </c>
      <c r="AT33" s="1026" t="str">
        <f>IF(AS33="","",'#minDung'!EC32)</f>
        <v/>
      </c>
      <c r="AU33" s="1025"/>
      <c r="AV33" s="1026" t="str">
        <f>IF(AU33="","",'#minDung'!EK32)</f>
        <v/>
      </c>
      <c r="AW33" s="1026" t="str">
        <f>IF(AV33="","",'#minDung'!EL32)</f>
        <v/>
      </c>
      <c r="AX33" s="1025"/>
      <c r="AY33" s="1026" t="str">
        <f>IF(AX33="","",'#minDung'!ET32)</f>
        <v/>
      </c>
      <c r="AZ33" s="1026" t="str">
        <f>IF(AY33="","",'#minDung'!EU32)</f>
        <v/>
      </c>
      <c r="BA33" s="1025"/>
      <c r="BB33" s="1026" t="str">
        <f>IF(BA33="","",'#minDung'!FC32)</f>
        <v/>
      </c>
      <c r="BC33" s="1026" t="str">
        <f>IF(BB33="","",'#minDung'!FD32)</f>
        <v/>
      </c>
      <c r="BD33" s="1025"/>
      <c r="BE33" s="1026" t="str">
        <f>IF(BD33="","",'#minDung'!FL32)</f>
        <v/>
      </c>
      <c r="BF33" s="1026" t="str">
        <f>IF(BE33="","",'#minDung'!FM32)</f>
        <v/>
      </c>
      <c r="BG33" s="1025"/>
      <c r="BH33" s="1026" t="str">
        <f>IF(BG33="","",'#minDung'!FU32)</f>
        <v/>
      </c>
      <c r="BI33" s="1026" t="str">
        <f>IF(BH33="","",'#minDung'!FV32)</f>
        <v/>
      </c>
      <c r="BJ33" s="1025"/>
      <c r="BK33" s="1026" t="str">
        <f>IF(BJ33="","",'#minDung'!GD32)</f>
        <v/>
      </c>
      <c r="BL33" s="1026" t="str">
        <f>IF(BK33="","",'#minDung'!GE32)</f>
        <v/>
      </c>
      <c r="BM33" s="1025"/>
      <c r="BN33" s="1026" t="str">
        <f>IF(BM33="","",'#minDung'!GM32)</f>
        <v/>
      </c>
      <c r="BO33" s="1026" t="str">
        <f>IF(BN33="","",'#minDung'!GN32)</f>
        <v/>
      </c>
      <c r="BP33" s="1025"/>
      <c r="BQ33" s="1026" t="str">
        <f>IF(BP33="","",'#minDung'!GV32)</f>
        <v/>
      </c>
      <c r="BR33" s="1026" t="str">
        <f>IF(BQ33="","",'#minDung'!GW32)</f>
        <v/>
      </c>
      <c r="BS33" s="1025"/>
      <c r="BT33" s="1026" t="str">
        <f>IF(BS33="","",'#minDung'!HE32)</f>
        <v/>
      </c>
      <c r="BU33" s="1026" t="str">
        <f>IF(BT33="","",'#minDung'!HF32)</f>
        <v/>
      </c>
      <c r="BV33" s="1025"/>
      <c r="BW33" s="1026" t="str">
        <f>IF(BV33="","",'#minDung'!HN32)</f>
        <v/>
      </c>
      <c r="BX33" s="1026" t="str">
        <f>IF(BW33="","",'#minDung'!HO32)</f>
        <v/>
      </c>
      <c r="BY33" s="1025"/>
      <c r="BZ33" s="1026" t="str">
        <f>IF(BY33="","",'#minDung'!HW32)</f>
        <v/>
      </c>
      <c r="CA33" s="1026" t="str">
        <f>IF(BZ33="","",'#minDung'!HX32)</f>
        <v/>
      </c>
      <c r="CB33" s="1025"/>
      <c r="CC33" s="1026" t="str">
        <f>IF(CB33="","",'#minDung'!IF32)</f>
        <v/>
      </c>
      <c r="CD33" s="1026" t="str">
        <f>IF(CC33="","",'#minDung'!IG32)</f>
        <v/>
      </c>
      <c r="CE33" s="1025"/>
      <c r="CF33" s="1026" t="str">
        <f>IF(CE33="","",'#minDung'!IO32)</f>
        <v/>
      </c>
      <c r="CG33" s="1026" t="str">
        <f>IF(CF33="","",'#minDung'!IP32)</f>
        <v/>
      </c>
      <c r="CH33" s="1025"/>
      <c r="CI33" s="1026" t="str">
        <f>IF(CH33="","",'#minDung'!IX32)</f>
        <v/>
      </c>
      <c r="CJ33" s="1026" t="str">
        <f>IF(CI33="","",'#minDung'!IY32)</f>
        <v/>
      </c>
      <c r="CK33" s="1025"/>
      <c r="CL33" s="1026" t="str">
        <f>IF(CK33="","",'#minDung'!JG32)</f>
        <v/>
      </c>
      <c r="CM33" s="1026" t="str">
        <f>IF(CL33="","",'#minDung'!JH32)</f>
        <v/>
      </c>
      <c r="CN33" s="1025"/>
      <c r="CO33" s="1026" t="str">
        <f>IF(CN33="","",'#minDung'!JP32)</f>
        <v/>
      </c>
      <c r="CP33" s="1026" t="str">
        <f>IF(CO33="","",'#minDung'!JQ32)</f>
        <v/>
      </c>
      <c r="CQ33" s="1025"/>
      <c r="CR33" s="1026" t="str">
        <f>IF(CQ33="","",'#minDung'!JY32)</f>
        <v/>
      </c>
      <c r="CS33" s="1030" t="str">
        <f>IF(CR33="","",'#minDung'!JZ32)</f>
        <v/>
      </c>
      <c r="CT33" s="170"/>
    </row>
    <row r="34" spans="1:98" s="875" customFormat="1" ht="15" customHeight="1" x14ac:dyDescent="0.2">
      <c r="A34" s="1205">
        <f>'Flächen u. Kulturen'!A32</f>
        <v>23</v>
      </c>
      <c r="B34" s="1205" t="str">
        <f>+'org. Düngung 22'!B35</f>
        <v/>
      </c>
      <c r="C34" s="1206" t="str">
        <f>'org. Düngung 22'!C35</f>
        <v/>
      </c>
      <c r="D34" s="1197" t="str">
        <f>'org. Düngung 22'!D35</f>
        <v/>
      </c>
      <c r="E34" s="1207" t="str">
        <f>'org. Düngung 22'!E35</f>
        <v/>
      </c>
      <c r="F34" s="1199" t="str">
        <f>'org. Düngung 22'!F35</f>
        <v/>
      </c>
      <c r="G34" s="1201" t="str">
        <f>IF(C34="","",IF(COUNT('#minDung'!KF33:KJ33)=0,"OK",TRIM(CONCATENATE('#minDung'!KF33," ",'#minDung'!KG33," ",'#minDung'!KH33," ",'#minDung'!KI33," ",'#minDung'!KJ33))))</f>
        <v/>
      </c>
      <c r="H34" s="1025"/>
      <c r="I34" s="1026" t="str">
        <f>IF(H34="","",'#minDung'!X33)</f>
        <v/>
      </c>
      <c r="J34" s="1026" t="str">
        <f>IF(I34="","",'#minDung'!Y33)</f>
        <v/>
      </c>
      <c r="K34" s="1025"/>
      <c r="L34" s="1026" t="str">
        <f>IF(K34="","",'#minDung'!AG33)</f>
        <v/>
      </c>
      <c r="M34" s="1026" t="str">
        <f>IF(L34="","",'#minDung'!AH33)</f>
        <v/>
      </c>
      <c r="N34" s="1025"/>
      <c r="O34" s="1026" t="str">
        <f>IF(N34="","",'#minDung'!AP33)</f>
        <v/>
      </c>
      <c r="P34" s="1026" t="str">
        <f>IF(O34="","",'#minDung'!AQ33)</f>
        <v/>
      </c>
      <c r="Q34" s="1025"/>
      <c r="R34" s="1026" t="str">
        <f>IF(Q34="","",'#minDung'!AY33)</f>
        <v/>
      </c>
      <c r="S34" s="1026" t="str">
        <f>IF(R34="","",'#minDung'!AZ33)</f>
        <v/>
      </c>
      <c r="T34" s="1025"/>
      <c r="U34" s="1026" t="str">
        <f>IF(T34="","",'#minDung'!BH33)</f>
        <v/>
      </c>
      <c r="V34" s="1026" t="str">
        <f>IF(U34="","",'#minDung'!BI33)</f>
        <v/>
      </c>
      <c r="W34" s="1025"/>
      <c r="X34" s="1026" t="str">
        <f>IF(W34="","",'#minDung'!BQ33)</f>
        <v/>
      </c>
      <c r="Y34" s="1026" t="str">
        <f>IF(X34="","",'#minDung'!BR33)</f>
        <v/>
      </c>
      <c r="Z34" s="1025"/>
      <c r="AA34" s="1026" t="str">
        <f>IF(Z34="","",'#minDung'!BZ33)</f>
        <v/>
      </c>
      <c r="AB34" s="1026" t="str">
        <f>IF(AA34="","",'#minDung'!CA33)</f>
        <v/>
      </c>
      <c r="AC34" s="1025"/>
      <c r="AD34" s="1026" t="str">
        <f>IF(AC34="","",'#minDung'!CI33)</f>
        <v/>
      </c>
      <c r="AE34" s="1026" t="str">
        <f>IF(AD34="","",'#minDung'!CJ33)</f>
        <v/>
      </c>
      <c r="AF34" s="1025"/>
      <c r="AG34" s="1026" t="str">
        <f>IF(AF34="","",'#minDung'!CR33)</f>
        <v/>
      </c>
      <c r="AH34" s="1026" t="str">
        <f>IF(AG34="","",'#minDung'!CS33)</f>
        <v/>
      </c>
      <c r="AI34" s="1025"/>
      <c r="AJ34" s="1026" t="str">
        <f>IF(AI34="","",'#minDung'!DA33)</f>
        <v/>
      </c>
      <c r="AK34" s="1026" t="str">
        <f>IF(AJ34="","",'#minDung'!DB33)</f>
        <v/>
      </c>
      <c r="AL34" s="1025"/>
      <c r="AM34" s="1026" t="str">
        <f>IF(AL34="","",'#minDung'!DJ33)</f>
        <v/>
      </c>
      <c r="AN34" s="1026" t="str">
        <f>IF(AM34="","",'#minDung'!DK33)</f>
        <v/>
      </c>
      <c r="AO34" s="1025"/>
      <c r="AP34" s="1026" t="str">
        <f>IF(AO34="","",'#minDung'!DS33)</f>
        <v/>
      </c>
      <c r="AQ34" s="1026" t="str">
        <f>IF(AP34="","",'#minDung'!DT33)</f>
        <v/>
      </c>
      <c r="AR34" s="1025"/>
      <c r="AS34" s="1026" t="str">
        <f>IF(AR34="","",'#minDung'!EB33)</f>
        <v/>
      </c>
      <c r="AT34" s="1026" t="str">
        <f>IF(AS34="","",'#minDung'!EC33)</f>
        <v/>
      </c>
      <c r="AU34" s="1025"/>
      <c r="AV34" s="1026" t="str">
        <f>IF(AU34="","",'#minDung'!EK33)</f>
        <v/>
      </c>
      <c r="AW34" s="1026" t="str">
        <f>IF(AV34="","",'#minDung'!EL33)</f>
        <v/>
      </c>
      <c r="AX34" s="1025"/>
      <c r="AY34" s="1026" t="str">
        <f>IF(AX34="","",'#minDung'!ET33)</f>
        <v/>
      </c>
      <c r="AZ34" s="1026" t="str">
        <f>IF(AY34="","",'#minDung'!EU33)</f>
        <v/>
      </c>
      <c r="BA34" s="1025"/>
      <c r="BB34" s="1026" t="str">
        <f>IF(BA34="","",'#minDung'!FC33)</f>
        <v/>
      </c>
      <c r="BC34" s="1026" t="str">
        <f>IF(BB34="","",'#minDung'!FD33)</f>
        <v/>
      </c>
      <c r="BD34" s="1025"/>
      <c r="BE34" s="1026" t="str">
        <f>IF(BD34="","",'#minDung'!FL33)</f>
        <v/>
      </c>
      <c r="BF34" s="1026" t="str">
        <f>IF(BE34="","",'#minDung'!FM33)</f>
        <v/>
      </c>
      <c r="BG34" s="1025"/>
      <c r="BH34" s="1026" t="str">
        <f>IF(BG34="","",'#minDung'!FU33)</f>
        <v/>
      </c>
      <c r="BI34" s="1026" t="str">
        <f>IF(BH34="","",'#minDung'!FV33)</f>
        <v/>
      </c>
      <c r="BJ34" s="1025"/>
      <c r="BK34" s="1026" t="str">
        <f>IF(BJ34="","",'#minDung'!GD33)</f>
        <v/>
      </c>
      <c r="BL34" s="1026" t="str">
        <f>IF(BK34="","",'#minDung'!GE33)</f>
        <v/>
      </c>
      <c r="BM34" s="1025"/>
      <c r="BN34" s="1026" t="str">
        <f>IF(BM34="","",'#minDung'!GM33)</f>
        <v/>
      </c>
      <c r="BO34" s="1026" t="str">
        <f>IF(BN34="","",'#minDung'!GN33)</f>
        <v/>
      </c>
      <c r="BP34" s="1025"/>
      <c r="BQ34" s="1026" t="str">
        <f>IF(BP34="","",'#minDung'!GV33)</f>
        <v/>
      </c>
      <c r="BR34" s="1026" t="str">
        <f>IF(BQ34="","",'#minDung'!GW33)</f>
        <v/>
      </c>
      <c r="BS34" s="1025"/>
      <c r="BT34" s="1026" t="str">
        <f>IF(BS34="","",'#minDung'!HE33)</f>
        <v/>
      </c>
      <c r="BU34" s="1026" t="str">
        <f>IF(BT34="","",'#minDung'!HF33)</f>
        <v/>
      </c>
      <c r="BV34" s="1025"/>
      <c r="BW34" s="1026" t="str">
        <f>IF(BV34="","",'#minDung'!HN33)</f>
        <v/>
      </c>
      <c r="BX34" s="1026" t="str">
        <f>IF(BW34="","",'#minDung'!HO33)</f>
        <v/>
      </c>
      <c r="BY34" s="1025"/>
      <c r="BZ34" s="1026" t="str">
        <f>IF(BY34="","",'#minDung'!HW33)</f>
        <v/>
      </c>
      <c r="CA34" s="1026" t="str">
        <f>IF(BZ34="","",'#minDung'!HX33)</f>
        <v/>
      </c>
      <c r="CB34" s="1025"/>
      <c r="CC34" s="1026" t="str">
        <f>IF(CB34="","",'#minDung'!IF33)</f>
        <v/>
      </c>
      <c r="CD34" s="1026" t="str">
        <f>IF(CC34="","",'#minDung'!IG33)</f>
        <v/>
      </c>
      <c r="CE34" s="1025"/>
      <c r="CF34" s="1026" t="str">
        <f>IF(CE34="","",'#minDung'!IO33)</f>
        <v/>
      </c>
      <c r="CG34" s="1026" t="str">
        <f>IF(CF34="","",'#minDung'!IP33)</f>
        <v/>
      </c>
      <c r="CH34" s="1025"/>
      <c r="CI34" s="1026" t="str">
        <f>IF(CH34="","",'#minDung'!IX33)</f>
        <v/>
      </c>
      <c r="CJ34" s="1026" t="str">
        <f>IF(CI34="","",'#minDung'!IY33)</f>
        <v/>
      </c>
      <c r="CK34" s="1025"/>
      <c r="CL34" s="1026" t="str">
        <f>IF(CK34="","",'#minDung'!JG33)</f>
        <v/>
      </c>
      <c r="CM34" s="1026" t="str">
        <f>IF(CL34="","",'#minDung'!JH33)</f>
        <v/>
      </c>
      <c r="CN34" s="1025"/>
      <c r="CO34" s="1026" t="str">
        <f>IF(CN34="","",'#minDung'!JP33)</f>
        <v/>
      </c>
      <c r="CP34" s="1026" t="str">
        <f>IF(CO34="","",'#minDung'!JQ33)</f>
        <v/>
      </c>
      <c r="CQ34" s="1025"/>
      <c r="CR34" s="1026" t="str">
        <f>IF(CQ34="","",'#minDung'!JY33)</f>
        <v/>
      </c>
      <c r="CS34" s="1030" t="str">
        <f>IF(CR34="","",'#minDung'!JZ33)</f>
        <v/>
      </c>
      <c r="CT34" s="170"/>
    </row>
    <row r="35" spans="1:98" s="875" customFormat="1" ht="15" customHeight="1" x14ac:dyDescent="0.2">
      <c r="A35" s="1205">
        <f>'Flächen u. Kulturen'!A33</f>
        <v>24</v>
      </c>
      <c r="B35" s="1205" t="str">
        <f>+'org. Düngung 22'!B36</f>
        <v/>
      </c>
      <c r="C35" s="1206" t="str">
        <f>'org. Düngung 22'!C36</f>
        <v/>
      </c>
      <c r="D35" s="1197" t="str">
        <f>'org. Düngung 22'!D36</f>
        <v/>
      </c>
      <c r="E35" s="1207" t="str">
        <f>'org. Düngung 22'!E36</f>
        <v/>
      </c>
      <c r="F35" s="1199" t="str">
        <f>'org. Düngung 22'!F36</f>
        <v/>
      </c>
      <c r="G35" s="1201" t="str">
        <f>IF(C35="","",IF(COUNT('#minDung'!KF34:KJ34)=0,"OK",TRIM(CONCATENATE('#minDung'!KF34," ",'#minDung'!KG34," ",'#minDung'!KH34," ",'#minDung'!KI34," ",'#minDung'!KJ34))))</f>
        <v/>
      </c>
      <c r="H35" s="1025"/>
      <c r="I35" s="1026" t="str">
        <f>IF(H35="","",'#minDung'!X34)</f>
        <v/>
      </c>
      <c r="J35" s="1026" t="str">
        <f>IF(I35="","",'#minDung'!Y34)</f>
        <v/>
      </c>
      <c r="K35" s="1025"/>
      <c r="L35" s="1026" t="str">
        <f>IF(K35="","",'#minDung'!AG34)</f>
        <v/>
      </c>
      <c r="M35" s="1026" t="str">
        <f>IF(L35="","",'#minDung'!AH34)</f>
        <v/>
      </c>
      <c r="N35" s="1025"/>
      <c r="O35" s="1026" t="str">
        <f>IF(N35="","",'#minDung'!AP34)</f>
        <v/>
      </c>
      <c r="P35" s="1026" t="str">
        <f>IF(O35="","",'#minDung'!AQ34)</f>
        <v/>
      </c>
      <c r="Q35" s="1025"/>
      <c r="R35" s="1026" t="str">
        <f>IF(Q35="","",'#minDung'!AY34)</f>
        <v/>
      </c>
      <c r="S35" s="1026" t="str">
        <f>IF(R35="","",'#minDung'!AZ34)</f>
        <v/>
      </c>
      <c r="T35" s="1025"/>
      <c r="U35" s="1026" t="str">
        <f>IF(T35="","",'#minDung'!BH34)</f>
        <v/>
      </c>
      <c r="V35" s="1026" t="str">
        <f>IF(U35="","",'#minDung'!BI34)</f>
        <v/>
      </c>
      <c r="W35" s="1025"/>
      <c r="X35" s="1026" t="str">
        <f>IF(W35="","",'#minDung'!BQ34)</f>
        <v/>
      </c>
      <c r="Y35" s="1026" t="str">
        <f>IF(X35="","",'#minDung'!BR34)</f>
        <v/>
      </c>
      <c r="Z35" s="1025"/>
      <c r="AA35" s="1026" t="str">
        <f>IF(Z35="","",'#minDung'!BZ34)</f>
        <v/>
      </c>
      <c r="AB35" s="1026" t="str">
        <f>IF(AA35="","",'#minDung'!CA34)</f>
        <v/>
      </c>
      <c r="AC35" s="1025"/>
      <c r="AD35" s="1026" t="str">
        <f>IF(AC35="","",'#minDung'!CI34)</f>
        <v/>
      </c>
      <c r="AE35" s="1026" t="str">
        <f>IF(AD35="","",'#minDung'!CJ34)</f>
        <v/>
      </c>
      <c r="AF35" s="1025"/>
      <c r="AG35" s="1026" t="str">
        <f>IF(AF35="","",'#minDung'!CR34)</f>
        <v/>
      </c>
      <c r="AH35" s="1026" t="str">
        <f>IF(AG35="","",'#minDung'!CS34)</f>
        <v/>
      </c>
      <c r="AI35" s="1025"/>
      <c r="AJ35" s="1026" t="str">
        <f>IF(AI35="","",'#minDung'!DA34)</f>
        <v/>
      </c>
      <c r="AK35" s="1026" t="str">
        <f>IF(AJ35="","",'#minDung'!DB34)</f>
        <v/>
      </c>
      <c r="AL35" s="1025"/>
      <c r="AM35" s="1026" t="str">
        <f>IF(AL35="","",'#minDung'!DJ34)</f>
        <v/>
      </c>
      <c r="AN35" s="1026" t="str">
        <f>IF(AM35="","",'#minDung'!DK34)</f>
        <v/>
      </c>
      <c r="AO35" s="1025"/>
      <c r="AP35" s="1026" t="str">
        <f>IF(AO35="","",'#minDung'!DS34)</f>
        <v/>
      </c>
      <c r="AQ35" s="1026" t="str">
        <f>IF(AP35="","",'#minDung'!DT34)</f>
        <v/>
      </c>
      <c r="AR35" s="1025"/>
      <c r="AS35" s="1026" t="str">
        <f>IF(AR35="","",'#minDung'!EB34)</f>
        <v/>
      </c>
      <c r="AT35" s="1026" t="str">
        <f>IF(AS35="","",'#minDung'!EC34)</f>
        <v/>
      </c>
      <c r="AU35" s="1025"/>
      <c r="AV35" s="1026" t="str">
        <f>IF(AU35="","",'#minDung'!EK34)</f>
        <v/>
      </c>
      <c r="AW35" s="1026" t="str">
        <f>IF(AV35="","",'#minDung'!EL34)</f>
        <v/>
      </c>
      <c r="AX35" s="1025"/>
      <c r="AY35" s="1026" t="str">
        <f>IF(AX35="","",'#minDung'!ET34)</f>
        <v/>
      </c>
      <c r="AZ35" s="1026" t="str">
        <f>IF(AY35="","",'#minDung'!EU34)</f>
        <v/>
      </c>
      <c r="BA35" s="1025"/>
      <c r="BB35" s="1026" t="str">
        <f>IF(BA35="","",'#minDung'!FC34)</f>
        <v/>
      </c>
      <c r="BC35" s="1026" t="str">
        <f>IF(BB35="","",'#minDung'!FD34)</f>
        <v/>
      </c>
      <c r="BD35" s="1025"/>
      <c r="BE35" s="1026" t="str">
        <f>IF(BD35="","",'#minDung'!FL34)</f>
        <v/>
      </c>
      <c r="BF35" s="1026" t="str">
        <f>IF(BE35="","",'#minDung'!FM34)</f>
        <v/>
      </c>
      <c r="BG35" s="1025"/>
      <c r="BH35" s="1026" t="str">
        <f>IF(BG35="","",'#minDung'!FU34)</f>
        <v/>
      </c>
      <c r="BI35" s="1026" t="str">
        <f>IF(BH35="","",'#minDung'!FV34)</f>
        <v/>
      </c>
      <c r="BJ35" s="1025"/>
      <c r="BK35" s="1026" t="str">
        <f>IF(BJ35="","",'#minDung'!GD34)</f>
        <v/>
      </c>
      <c r="BL35" s="1026" t="str">
        <f>IF(BK35="","",'#minDung'!GE34)</f>
        <v/>
      </c>
      <c r="BM35" s="1025"/>
      <c r="BN35" s="1026" t="str">
        <f>IF(BM35="","",'#minDung'!GM34)</f>
        <v/>
      </c>
      <c r="BO35" s="1026" t="str">
        <f>IF(BN35="","",'#minDung'!GN34)</f>
        <v/>
      </c>
      <c r="BP35" s="1025"/>
      <c r="BQ35" s="1026" t="str">
        <f>IF(BP35="","",'#minDung'!GV34)</f>
        <v/>
      </c>
      <c r="BR35" s="1026" t="str">
        <f>IF(BQ35="","",'#minDung'!GW34)</f>
        <v/>
      </c>
      <c r="BS35" s="1025"/>
      <c r="BT35" s="1026" t="str">
        <f>IF(BS35="","",'#minDung'!HE34)</f>
        <v/>
      </c>
      <c r="BU35" s="1026" t="str">
        <f>IF(BT35="","",'#minDung'!HF34)</f>
        <v/>
      </c>
      <c r="BV35" s="1025"/>
      <c r="BW35" s="1026" t="str">
        <f>IF(BV35="","",'#minDung'!HN34)</f>
        <v/>
      </c>
      <c r="BX35" s="1026" t="str">
        <f>IF(BW35="","",'#minDung'!HO34)</f>
        <v/>
      </c>
      <c r="BY35" s="1025"/>
      <c r="BZ35" s="1026" t="str">
        <f>IF(BY35="","",'#minDung'!HW34)</f>
        <v/>
      </c>
      <c r="CA35" s="1026" t="str">
        <f>IF(BZ35="","",'#minDung'!HX34)</f>
        <v/>
      </c>
      <c r="CB35" s="1025"/>
      <c r="CC35" s="1026" t="str">
        <f>IF(CB35="","",'#minDung'!IF34)</f>
        <v/>
      </c>
      <c r="CD35" s="1026" t="str">
        <f>IF(CC35="","",'#minDung'!IG34)</f>
        <v/>
      </c>
      <c r="CE35" s="1025"/>
      <c r="CF35" s="1026" t="str">
        <f>IF(CE35="","",'#minDung'!IO34)</f>
        <v/>
      </c>
      <c r="CG35" s="1026" t="str">
        <f>IF(CF35="","",'#minDung'!IP34)</f>
        <v/>
      </c>
      <c r="CH35" s="1025"/>
      <c r="CI35" s="1026" t="str">
        <f>IF(CH35="","",'#minDung'!IX34)</f>
        <v/>
      </c>
      <c r="CJ35" s="1026" t="str">
        <f>IF(CI35="","",'#minDung'!IY34)</f>
        <v/>
      </c>
      <c r="CK35" s="1025"/>
      <c r="CL35" s="1026" t="str">
        <f>IF(CK35="","",'#minDung'!JG34)</f>
        <v/>
      </c>
      <c r="CM35" s="1026" t="str">
        <f>IF(CL35="","",'#minDung'!JH34)</f>
        <v/>
      </c>
      <c r="CN35" s="1025"/>
      <c r="CO35" s="1026" t="str">
        <f>IF(CN35="","",'#minDung'!JP34)</f>
        <v/>
      </c>
      <c r="CP35" s="1026" t="str">
        <f>IF(CO35="","",'#minDung'!JQ34)</f>
        <v/>
      </c>
      <c r="CQ35" s="1025"/>
      <c r="CR35" s="1026" t="str">
        <f>IF(CQ35="","",'#minDung'!JY34)</f>
        <v/>
      </c>
      <c r="CS35" s="1030" t="str">
        <f>IF(CR35="","",'#minDung'!JZ34)</f>
        <v/>
      </c>
      <c r="CT35" s="170"/>
    </row>
    <row r="36" spans="1:98" s="875" customFormat="1" ht="15" customHeight="1" x14ac:dyDescent="0.2">
      <c r="A36" s="1205">
        <f>'Flächen u. Kulturen'!A34</f>
        <v>25</v>
      </c>
      <c r="B36" s="1205" t="str">
        <f>+'org. Düngung 22'!B37</f>
        <v/>
      </c>
      <c r="C36" s="1206" t="str">
        <f>'org. Düngung 22'!C37</f>
        <v/>
      </c>
      <c r="D36" s="1197" t="str">
        <f>'org. Düngung 22'!D37</f>
        <v/>
      </c>
      <c r="E36" s="1207" t="str">
        <f>'org. Düngung 22'!E37</f>
        <v/>
      </c>
      <c r="F36" s="1199" t="str">
        <f>'org. Düngung 22'!F37</f>
        <v/>
      </c>
      <c r="G36" s="1201" t="str">
        <f>IF(C36="","",IF(COUNT('#minDung'!KF35:KJ35)=0,"OK",TRIM(CONCATENATE('#minDung'!KF35," ",'#minDung'!KG35," ",'#minDung'!KH35," ",'#minDung'!KI35," ",'#minDung'!KJ35))))</f>
        <v/>
      </c>
      <c r="H36" s="1025"/>
      <c r="I36" s="1026" t="str">
        <f>IF(H36="","",'#minDung'!X35)</f>
        <v/>
      </c>
      <c r="J36" s="1026" t="str">
        <f>IF(I36="","",'#minDung'!Y35)</f>
        <v/>
      </c>
      <c r="K36" s="1025"/>
      <c r="L36" s="1026" t="str">
        <f>IF(K36="","",'#minDung'!AG35)</f>
        <v/>
      </c>
      <c r="M36" s="1026" t="str">
        <f>IF(L36="","",'#minDung'!AH35)</f>
        <v/>
      </c>
      <c r="N36" s="1025"/>
      <c r="O36" s="1026" t="str">
        <f>IF(N36="","",'#minDung'!AP35)</f>
        <v/>
      </c>
      <c r="P36" s="1026" t="str">
        <f>IF(O36="","",'#minDung'!AQ35)</f>
        <v/>
      </c>
      <c r="Q36" s="1025"/>
      <c r="R36" s="1026" t="str">
        <f>IF(Q36="","",'#minDung'!AY35)</f>
        <v/>
      </c>
      <c r="S36" s="1026" t="str">
        <f>IF(R36="","",'#minDung'!AZ35)</f>
        <v/>
      </c>
      <c r="T36" s="1025"/>
      <c r="U36" s="1026" t="str">
        <f>IF(T36="","",'#minDung'!BH35)</f>
        <v/>
      </c>
      <c r="V36" s="1026" t="str">
        <f>IF(U36="","",'#minDung'!BI35)</f>
        <v/>
      </c>
      <c r="W36" s="1025"/>
      <c r="X36" s="1026" t="str">
        <f>IF(W36="","",'#minDung'!BQ35)</f>
        <v/>
      </c>
      <c r="Y36" s="1026" t="str">
        <f>IF(X36="","",'#minDung'!BR35)</f>
        <v/>
      </c>
      <c r="Z36" s="1025"/>
      <c r="AA36" s="1026" t="str">
        <f>IF(Z36="","",'#minDung'!BZ35)</f>
        <v/>
      </c>
      <c r="AB36" s="1026" t="str">
        <f>IF(AA36="","",'#minDung'!CA35)</f>
        <v/>
      </c>
      <c r="AC36" s="1025"/>
      <c r="AD36" s="1026" t="str">
        <f>IF(AC36="","",'#minDung'!CI35)</f>
        <v/>
      </c>
      <c r="AE36" s="1026" t="str">
        <f>IF(AD36="","",'#minDung'!CJ35)</f>
        <v/>
      </c>
      <c r="AF36" s="1025"/>
      <c r="AG36" s="1026" t="str">
        <f>IF(AF36="","",'#minDung'!CR35)</f>
        <v/>
      </c>
      <c r="AH36" s="1026" t="str">
        <f>IF(AG36="","",'#minDung'!CS35)</f>
        <v/>
      </c>
      <c r="AI36" s="1025"/>
      <c r="AJ36" s="1026" t="str">
        <f>IF(AI36="","",'#minDung'!DA35)</f>
        <v/>
      </c>
      <c r="AK36" s="1026" t="str">
        <f>IF(AJ36="","",'#minDung'!DB35)</f>
        <v/>
      </c>
      <c r="AL36" s="1025"/>
      <c r="AM36" s="1026" t="str">
        <f>IF(AL36="","",'#minDung'!DJ35)</f>
        <v/>
      </c>
      <c r="AN36" s="1026" t="str">
        <f>IF(AM36="","",'#minDung'!DK35)</f>
        <v/>
      </c>
      <c r="AO36" s="1025"/>
      <c r="AP36" s="1026" t="str">
        <f>IF(AO36="","",'#minDung'!DS35)</f>
        <v/>
      </c>
      <c r="AQ36" s="1026" t="str">
        <f>IF(AP36="","",'#minDung'!DT35)</f>
        <v/>
      </c>
      <c r="AR36" s="1025"/>
      <c r="AS36" s="1026" t="str">
        <f>IF(AR36="","",'#minDung'!EB35)</f>
        <v/>
      </c>
      <c r="AT36" s="1026" t="str">
        <f>IF(AS36="","",'#minDung'!EC35)</f>
        <v/>
      </c>
      <c r="AU36" s="1025"/>
      <c r="AV36" s="1026" t="str">
        <f>IF(AU36="","",'#minDung'!EK35)</f>
        <v/>
      </c>
      <c r="AW36" s="1026" t="str">
        <f>IF(AV36="","",'#minDung'!EL35)</f>
        <v/>
      </c>
      <c r="AX36" s="1025"/>
      <c r="AY36" s="1026" t="str">
        <f>IF(AX36="","",'#minDung'!ET35)</f>
        <v/>
      </c>
      <c r="AZ36" s="1026" t="str">
        <f>IF(AY36="","",'#minDung'!EU35)</f>
        <v/>
      </c>
      <c r="BA36" s="1025"/>
      <c r="BB36" s="1026" t="str">
        <f>IF(BA36="","",'#minDung'!FC35)</f>
        <v/>
      </c>
      <c r="BC36" s="1026" t="str">
        <f>IF(BB36="","",'#minDung'!FD35)</f>
        <v/>
      </c>
      <c r="BD36" s="1025"/>
      <c r="BE36" s="1026" t="str">
        <f>IF(BD36="","",'#minDung'!FL35)</f>
        <v/>
      </c>
      <c r="BF36" s="1026" t="str">
        <f>IF(BE36="","",'#minDung'!FM35)</f>
        <v/>
      </c>
      <c r="BG36" s="1025"/>
      <c r="BH36" s="1026" t="str">
        <f>IF(BG36="","",'#minDung'!FU35)</f>
        <v/>
      </c>
      <c r="BI36" s="1026" t="str">
        <f>IF(BH36="","",'#minDung'!FV35)</f>
        <v/>
      </c>
      <c r="BJ36" s="1025"/>
      <c r="BK36" s="1026" t="str">
        <f>IF(BJ36="","",'#minDung'!GD35)</f>
        <v/>
      </c>
      <c r="BL36" s="1026" t="str">
        <f>IF(BK36="","",'#minDung'!GE35)</f>
        <v/>
      </c>
      <c r="BM36" s="1025"/>
      <c r="BN36" s="1026" t="str">
        <f>IF(BM36="","",'#minDung'!GM35)</f>
        <v/>
      </c>
      <c r="BO36" s="1026" t="str">
        <f>IF(BN36="","",'#minDung'!GN35)</f>
        <v/>
      </c>
      <c r="BP36" s="1025"/>
      <c r="BQ36" s="1026" t="str">
        <f>IF(BP36="","",'#minDung'!GV35)</f>
        <v/>
      </c>
      <c r="BR36" s="1026" t="str">
        <f>IF(BQ36="","",'#minDung'!GW35)</f>
        <v/>
      </c>
      <c r="BS36" s="1025"/>
      <c r="BT36" s="1026" t="str">
        <f>IF(BS36="","",'#minDung'!HE35)</f>
        <v/>
      </c>
      <c r="BU36" s="1026" t="str">
        <f>IF(BT36="","",'#minDung'!HF35)</f>
        <v/>
      </c>
      <c r="BV36" s="1025"/>
      <c r="BW36" s="1026" t="str">
        <f>IF(BV36="","",'#minDung'!HN35)</f>
        <v/>
      </c>
      <c r="BX36" s="1026" t="str">
        <f>IF(BW36="","",'#minDung'!HO35)</f>
        <v/>
      </c>
      <c r="BY36" s="1025"/>
      <c r="BZ36" s="1026" t="str">
        <f>IF(BY36="","",'#minDung'!HW35)</f>
        <v/>
      </c>
      <c r="CA36" s="1026" t="str">
        <f>IF(BZ36="","",'#minDung'!HX35)</f>
        <v/>
      </c>
      <c r="CB36" s="1025"/>
      <c r="CC36" s="1026" t="str">
        <f>IF(CB36="","",'#minDung'!IF35)</f>
        <v/>
      </c>
      <c r="CD36" s="1026" t="str">
        <f>IF(CC36="","",'#minDung'!IG35)</f>
        <v/>
      </c>
      <c r="CE36" s="1025"/>
      <c r="CF36" s="1026" t="str">
        <f>IF(CE36="","",'#minDung'!IO35)</f>
        <v/>
      </c>
      <c r="CG36" s="1026" t="str">
        <f>IF(CF36="","",'#minDung'!IP35)</f>
        <v/>
      </c>
      <c r="CH36" s="1025"/>
      <c r="CI36" s="1026" t="str">
        <f>IF(CH36="","",'#minDung'!IX35)</f>
        <v/>
      </c>
      <c r="CJ36" s="1026" t="str">
        <f>IF(CI36="","",'#minDung'!IY35)</f>
        <v/>
      </c>
      <c r="CK36" s="1025"/>
      <c r="CL36" s="1026" t="str">
        <f>IF(CK36="","",'#minDung'!JG35)</f>
        <v/>
      </c>
      <c r="CM36" s="1026" t="str">
        <f>IF(CL36="","",'#minDung'!JH35)</f>
        <v/>
      </c>
      <c r="CN36" s="1025"/>
      <c r="CO36" s="1026" t="str">
        <f>IF(CN36="","",'#minDung'!JP35)</f>
        <v/>
      </c>
      <c r="CP36" s="1026" t="str">
        <f>IF(CO36="","",'#minDung'!JQ35)</f>
        <v/>
      </c>
      <c r="CQ36" s="1025"/>
      <c r="CR36" s="1026" t="str">
        <f>IF(CQ36="","",'#minDung'!JY35)</f>
        <v/>
      </c>
      <c r="CS36" s="1030" t="str">
        <f>IF(CR36="","",'#minDung'!JZ35)</f>
        <v/>
      </c>
      <c r="CT36" s="170"/>
    </row>
    <row r="37" spans="1:98" s="875" customFormat="1" ht="15" customHeight="1" x14ac:dyDescent="0.2">
      <c r="A37" s="1205">
        <f>'Flächen u. Kulturen'!A35</f>
        <v>26</v>
      </c>
      <c r="B37" s="1205" t="str">
        <f>+'org. Düngung 22'!B38</f>
        <v/>
      </c>
      <c r="C37" s="1206" t="str">
        <f>'org. Düngung 22'!C38</f>
        <v/>
      </c>
      <c r="D37" s="1197" t="str">
        <f>'org. Düngung 22'!D38</f>
        <v/>
      </c>
      <c r="E37" s="1207" t="str">
        <f>'org. Düngung 22'!E38</f>
        <v/>
      </c>
      <c r="F37" s="1199" t="str">
        <f>'org. Düngung 22'!F38</f>
        <v/>
      </c>
      <c r="G37" s="1201" t="str">
        <f>IF(C37="","",IF(COUNT('#minDung'!KF36:KJ36)=0,"OK",TRIM(CONCATENATE('#minDung'!KF36," ",'#minDung'!KG36," ",'#minDung'!KH36," ",'#minDung'!KI36," ",'#minDung'!KJ36))))</f>
        <v/>
      </c>
      <c r="H37" s="1025"/>
      <c r="I37" s="1026" t="str">
        <f>IF(H37="","",'#minDung'!X36)</f>
        <v/>
      </c>
      <c r="J37" s="1026" t="str">
        <f>IF(I37="","",'#minDung'!Y36)</f>
        <v/>
      </c>
      <c r="K37" s="1025"/>
      <c r="L37" s="1026" t="str">
        <f>IF(K37="","",'#minDung'!AG36)</f>
        <v/>
      </c>
      <c r="M37" s="1026" t="str">
        <f>IF(L37="","",'#minDung'!AH36)</f>
        <v/>
      </c>
      <c r="N37" s="1025"/>
      <c r="O37" s="1026" t="str">
        <f>IF(N37="","",'#minDung'!AP36)</f>
        <v/>
      </c>
      <c r="P37" s="1026" t="str">
        <f>IF(O37="","",'#minDung'!AQ36)</f>
        <v/>
      </c>
      <c r="Q37" s="1025"/>
      <c r="R37" s="1026" t="str">
        <f>IF(Q37="","",'#minDung'!AY36)</f>
        <v/>
      </c>
      <c r="S37" s="1026" t="str">
        <f>IF(R37="","",'#minDung'!AZ36)</f>
        <v/>
      </c>
      <c r="T37" s="1025"/>
      <c r="U37" s="1026" t="str">
        <f>IF(T37="","",'#minDung'!BH36)</f>
        <v/>
      </c>
      <c r="V37" s="1026" t="str">
        <f>IF(U37="","",'#minDung'!BI36)</f>
        <v/>
      </c>
      <c r="W37" s="1025"/>
      <c r="X37" s="1026" t="str">
        <f>IF(W37="","",'#minDung'!BQ36)</f>
        <v/>
      </c>
      <c r="Y37" s="1026" t="str">
        <f>IF(X37="","",'#minDung'!BR36)</f>
        <v/>
      </c>
      <c r="Z37" s="1025"/>
      <c r="AA37" s="1026" t="str">
        <f>IF(Z37="","",'#minDung'!BZ36)</f>
        <v/>
      </c>
      <c r="AB37" s="1026" t="str">
        <f>IF(AA37="","",'#minDung'!CA36)</f>
        <v/>
      </c>
      <c r="AC37" s="1025"/>
      <c r="AD37" s="1026" t="str">
        <f>IF(AC37="","",'#minDung'!CI36)</f>
        <v/>
      </c>
      <c r="AE37" s="1026" t="str">
        <f>IF(AD37="","",'#minDung'!CJ36)</f>
        <v/>
      </c>
      <c r="AF37" s="1025"/>
      <c r="AG37" s="1026" t="str">
        <f>IF(AF37="","",'#minDung'!CR36)</f>
        <v/>
      </c>
      <c r="AH37" s="1026" t="str">
        <f>IF(AG37="","",'#minDung'!CS36)</f>
        <v/>
      </c>
      <c r="AI37" s="1025"/>
      <c r="AJ37" s="1026" t="str">
        <f>IF(AI37="","",'#minDung'!DA36)</f>
        <v/>
      </c>
      <c r="AK37" s="1026" t="str">
        <f>IF(AJ37="","",'#minDung'!DB36)</f>
        <v/>
      </c>
      <c r="AL37" s="1025"/>
      <c r="AM37" s="1026" t="str">
        <f>IF(AL37="","",'#minDung'!DJ36)</f>
        <v/>
      </c>
      <c r="AN37" s="1026" t="str">
        <f>IF(AM37="","",'#minDung'!DK36)</f>
        <v/>
      </c>
      <c r="AO37" s="1025"/>
      <c r="AP37" s="1026" t="str">
        <f>IF(AO37="","",'#minDung'!DS36)</f>
        <v/>
      </c>
      <c r="AQ37" s="1026" t="str">
        <f>IF(AP37="","",'#minDung'!DT36)</f>
        <v/>
      </c>
      <c r="AR37" s="1025"/>
      <c r="AS37" s="1026" t="str">
        <f>IF(AR37="","",'#minDung'!EB36)</f>
        <v/>
      </c>
      <c r="AT37" s="1026" t="str">
        <f>IF(AS37="","",'#minDung'!EC36)</f>
        <v/>
      </c>
      <c r="AU37" s="1025"/>
      <c r="AV37" s="1026" t="str">
        <f>IF(AU37="","",'#minDung'!EK36)</f>
        <v/>
      </c>
      <c r="AW37" s="1026" t="str">
        <f>IF(AV37="","",'#minDung'!EL36)</f>
        <v/>
      </c>
      <c r="AX37" s="1025"/>
      <c r="AY37" s="1026" t="str">
        <f>IF(AX37="","",'#minDung'!ET36)</f>
        <v/>
      </c>
      <c r="AZ37" s="1026" t="str">
        <f>IF(AY37="","",'#minDung'!EU36)</f>
        <v/>
      </c>
      <c r="BA37" s="1025"/>
      <c r="BB37" s="1026" t="str">
        <f>IF(BA37="","",'#minDung'!FC36)</f>
        <v/>
      </c>
      <c r="BC37" s="1026" t="str">
        <f>IF(BB37="","",'#minDung'!FD36)</f>
        <v/>
      </c>
      <c r="BD37" s="1025"/>
      <c r="BE37" s="1026" t="str">
        <f>IF(BD37="","",'#minDung'!FL36)</f>
        <v/>
      </c>
      <c r="BF37" s="1026" t="str">
        <f>IF(BE37="","",'#minDung'!FM36)</f>
        <v/>
      </c>
      <c r="BG37" s="1025"/>
      <c r="BH37" s="1026" t="str">
        <f>IF(BG37="","",'#minDung'!FU36)</f>
        <v/>
      </c>
      <c r="BI37" s="1026" t="str">
        <f>IF(BH37="","",'#minDung'!FV36)</f>
        <v/>
      </c>
      <c r="BJ37" s="1025"/>
      <c r="BK37" s="1026" t="str">
        <f>IF(BJ37="","",'#minDung'!GD36)</f>
        <v/>
      </c>
      <c r="BL37" s="1026" t="str">
        <f>IF(BK37="","",'#minDung'!GE36)</f>
        <v/>
      </c>
      <c r="BM37" s="1025"/>
      <c r="BN37" s="1026" t="str">
        <f>IF(BM37="","",'#minDung'!GM36)</f>
        <v/>
      </c>
      <c r="BO37" s="1026" t="str">
        <f>IF(BN37="","",'#minDung'!GN36)</f>
        <v/>
      </c>
      <c r="BP37" s="1025"/>
      <c r="BQ37" s="1026" t="str">
        <f>IF(BP37="","",'#minDung'!GV36)</f>
        <v/>
      </c>
      <c r="BR37" s="1026" t="str">
        <f>IF(BQ37="","",'#minDung'!GW36)</f>
        <v/>
      </c>
      <c r="BS37" s="1025"/>
      <c r="BT37" s="1026" t="str">
        <f>IF(BS37="","",'#minDung'!HE36)</f>
        <v/>
      </c>
      <c r="BU37" s="1026" t="str">
        <f>IF(BT37="","",'#minDung'!HF36)</f>
        <v/>
      </c>
      <c r="BV37" s="1025"/>
      <c r="BW37" s="1026" t="str">
        <f>IF(BV37="","",'#minDung'!HN36)</f>
        <v/>
      </c>
      <c r="BX37" s="1026" t="str">
        <f>IF(BW37="","",'#minDung'!HO36)</f>
        <v/>
      </c>
      <c r="BY37" s="1025"/>
      <c r="BZ37" s="1026" t="str">
        <f>IF(BY37="","",'#minDung'!HW36)</f>
        <v/>
      </c>
      <c r="CA37" s="1026" t="str">
        <f>IF(BZ37="","",'#minDung'!HX36)</f>
        <v/>
      </c>
      <c r="CB37" s="1025"/>
      <c r="CC37" s="1026" t="str">
        <f>IF(CB37="","",'#minDung'!IF36)</f>
        <v/>
      </c>
      <c r="CD37" s="1026" t="str">
        <f>IF(CC37="","",'#minDung'!IG36)</f>
        <v/>
      </c>
      <c r="CE37" s="1025"/>
      <c r="CF37" s="1026" t="str">
        <f>IF(CE37="","",'#minDung'!IO36)</f>
        <v/>
      </c>
      <c r="CG37" s="1026" t="str">
        <f>IF(CF37="","",'#minDung'!IP36)</f>
        <v/>
      </c>
      <c r="CH37" s="1025"/>
      <c r="CI37" s="1026" t="str">
        <f>IF(CH37="","",'#minDung'!IX36)</f>
        <v/>
      </c>
      <c r="CJ37" s="1026" t="str">
        <f>IF(CI37="","",'#minDung'!IY36)</f>
        <v/>
      </c>
      <c r="CK37" s="1025"/>
      <c r="CL37" s="1026" t="str">
        <f>IF(CK37="","",'#minDung'!JG36)</f>
        <v/>
      </c>
      <c r="CM37" s="1026" t="str">
        <f>IF(CL37="","",'#minDung'!JH36)</f>
        <v/>
      </c>
      <c r="CN37" s="1025"/>
      <c r="CO37" s="1026" t="str">
        <f>IF(CN37="","",'#minDung'!JP36)</f>
        <v/>
      </c>
      <c r="CP37" s="1026" t="str">
        <f>IF(CO37="","",'#minDung'!JQ36)</f>
        <v/>
      </c>
      <c r="CQ37" s="1025"/>
      <c r="CR37" s="1026" t="str">
        <f>IF(CQ37="","",'#minDung'!JY36)</f>
        <v/>
      </c>
      <c r="CS37" s="1030" t="str">
        <f>IF(CR37="","",'#minDung'!JZ36)</f>
        <v/>
      </c>
      <c r="CT37" s="170"/>
    </row>
    <row r="38" spans="1:98" s="875" customFormat="1" ht="15" customHeight="1" x14ac:dyDescent="0.2">
      <c r="A38" s="1205">
        <f>'Flächen u. Kulturen'!A36</f>
        <v>27</v>
      </c>
      <c r="B38" s="1205" t="str">
        <f>+'org. Düngung 22'!B39</f>
        <v/>
      </c>
      <c r="C38" s="1206" t="str">
        <f>'org. Düngung 22'!C39</f>
        <v/>
      </c>
      <c r="D38" s="1197" t="str">
        <f>'org. Düngung 22'!D39</f>
        <v/>
      </c>
      <c r="E38" s="1207" t="str">
        <f>'org. Düngung 22'!E39</f>
        <v/>
      </c>
      <c r="F38" s="1199" t="str">
        <f>'org. Düngung 22'!F39</f>
        <v/>
      </c>
      <c r="G38" s="1201" t="str">
        <f>IF(C38="","",IF(COUNT('#minDung'!KF37:KJ37)=0,"OK",TRIM(CONCATENATE('#minDung'!KF37," ",'#minDung'!KG37," ",'#minDung'!KH37," ",'#minDung'!KI37," ",'#minDung'!KJ37))))</f>
        <v/>
      </c>
      <c r="H38" s="1025"/>
      <c r="I38" s="1026" t="str">
        <f>IF(H38="","",'#minDung'!X37)</f>
        <v/>
      </c>
      <c r="J38" s="1026" t="str">
        <f>IF(I38="","",'#minDung'!Y37)</f>
        <v/>
      </c>
      <c r="K38" s="1025"/>
      <c r="L38" s="1026" t="str">
        <f>IF(K38="","",'#minDung'!AG37)</f>
        <v/>
      </c>
      <c r="M38" s="1026" t="str">
        <f>IF(L38="","",'#minDung'!AH37)</f>
        <v/>
      </c>
      <c r="N38" s="1025"/>
      <c r="O38" s="1026" t="str">
        <f>IF(N38="","",'#minDung'!AP37)</f>
        <v/>
      </c>
      <c r="P38" s="1026" t="str">
        <f>IF(O38="","",'#minDung'!AQ37)</f>
        <v/>
      </c>
      <c r="Q38" s="1025"/>
      <c r="R38" s="1026" t="str">
        <f>IF(Q38="","",'#minDung'!AY37)</f>
        <v/>
      </c>
      <c r="S38" s="1026" t="str">
        <f>IF(R38="","",'#minDung'!AZ37)</f>
        <v/>
      </c>
      <c r="T38" s="1025"/>
      <c r="U38" s="1026" t="str">
        <f>IF(T38="","",'#minDung'!BH37)</f>
        <v/>
      </c>
      <c r="V38" s="1026" t="str">
        <f>IF(U38="","",'#minDung'!BI37)</f>
        <v/>
      </c>
      <c r="W38" s="1025"/>
      <c r="X38" s="1026" t="str">
        <f>IF(W38="","",'#minDung'!BQ37)</f>
        <v/>
      </c>
      <c r="Y38" s="1026" t="str">
        <f>IF(X38="","",'#minDung'!BR37)</f>
        <v/>
      </c>
      <c r="Z38" s="1025"/>
      <c r="AA38" s="1026" t="str">
        <f>IF(Z38="","",'#minDung'!BZ37)</f>
        <v/>
      </c>
      <c r="AB38" s="1026" t="str">
        <f>IF(AA38="","",'#minDung'!CA37)</f>
        <v/>
      </c>
      <c r="AC38" s="1025"/>
      <c r="AD38" s="1026" t="str">
        <f>IF(AC38="","",'#minDung'!CI37)</f>
        <v/>
      </c>
      <c r="AE38" s="1026" t="str">
        <f>IF(AD38="","",'#minDung'!CJ37)</f>
        <v/>
      </c>
      <c r="AF38" s="1025"/>
      <c r="AG38" s="1026" t="str">
        <f>IF(AF38="","",'#minDung'!CR37)</f>
        <v/>
      </c>
      <c r="AH38" s="1026" t="str">
        <f>IF(AG38="","",'#minDung'!CS37)</f>
        <v/>
      </c>
      <c r="AI38" s="1025"/>
      <c r="AJ38" s="1026" t="str">
        <f>IF(AI38="","",'#minDung'!DA37)</f>
        <v/>
      </c>
      <c r="AK38" s="1026" t="str">
        <f>IF(AJ38="","",'#minDung'!DB37)</f>
        <v/>
      </c>
      <c r="AL38" s="1025"/>
      <c r="AM38" s="1026" t="str">
        <f>IF(AL38="","",'#minDung'!DJ37)</f>
        <v/>
      </c>
      <c r="AN38" s="1026" t="str">
        <f>IF(AM38="","",'#minDung'!DK37)</f>
        <v/>
      </c>
      <c r="AO38" s="1025"/>
      <c r="AP38" s="1026" t="str">
        <f>IF(AO38="","",'#minDung'!DS37)</f>
        <v/>
      </c>
      <c r="AQ38" s="1026" t="str">
        <f>IF(AP38="","",'#minDung'!DT37)</f>
        <v/>
      </c>
      <c r="AR38" s="1025"/>
      <c r="AS38" s="1026" t="str">
        <f>IF(AR38="","",'#minDung'!EB37)</f>
        <v/>
      </c>
      <c r="AT38" s="1026" t="str">
        <f>IF(AS38="","",'#minDung'!EC37)</f>
        <v/>
      </c>
      <c r="AU38" s="1025"/>
      <c r="AV38" s="1026" t="str">
        <f>IF(AU38="","",'#minDung'!EK37)</f>
        <v/>
      </c>
      <c r="AW38" s="1026" t="str">
        <f>IF(AV38="","",'#minDung'!EL37)</f>
        <v/>
      </c>
      <c r="AX38" s="1025"/>
      <c r="AY38" s="1026" t="str">
        <f>IF(AX38="","",'#minDung'!ET37)</f>
        <v/>
      </c>
      <c r="AZ38" s="1026" t="str">
        <f>IF(AY38="","",'#minDung'!EU37)</f>
        <v/>
      </c>
      <c r="BA38" s="1025"/>
      <c r="BB38" s="1026" t="str">
        <f>IF(BA38="","",'#minDung'!FC37)</f>
        <v/>
      </c>
      <c r="BC38" s="1026" t="str">
        <f>IF(BB38="","",'#minDung'!FD37)</f>
        <v/>
      </c>
      <c r="BD38" s="1025"/>
      <c r="BE38" s="1026" t="str">
        <f>IF(BD38="","",'#minDung'!FL37)</f>
        <v/>
      </c>
      <c r="BF38" s="1026" t="str">
        <f>IF(BE38="","",'#minDung'!FM37)</f>
        <v/>
      </c>
      <c r="BG38" s="1025"/>
      <c r="BH38" s="1026" t="str">
        <f>IF(BG38="","",'#minDung'!FU37)</f>
        <v/>
      </c>
      <c r="BI38" s="1026" t="str">
        <f>IF(BH38="","",'#minDung'!FV37)</f>
        <v/>
      </c>
      <c r="BJ38" s="1025"/>
      <c r="BK38" s="1026" t="str">
        <f>IF(BJ38="","",'#minDung'!GD37)</f>
        <v/>
      </c>
      <c r="BL38" s="1026" t="str">
        <f>IF(BK38="","",'#minDung'!GE37)</f>
        <v/>
      </c>
      <c r="BM38" s="1025"/>
      <c r="BN38" s="1026" t="str">
        <f>IF(BM38="","",'#minDung'!GM37)</f>
        <v/>
      </c>
      <c r="BO38" s="1026" t="str">
        <f>IF(BN38="","",'#minDung'!GN37)</f>
        <v/>
      </c>
      <c r="BP38" s="1025"/>
      <c r="BQ38" s="1026" t="str">
        <f>IF(BP38="","",'#minDung'!GV37)</f>
        <v/>
      </c>
      <c r="BR38" s="1026" t="str">
        <f>IF(BQ38="","",'#minDung'!GW37)</f>
        <v/>
      </c>
      <c r="BS38" s="1025"/>
      <c r="BT38" s="1026" t="str">
        <f>IF(BS38="","",'#minDung'!HE37)</f>
        <v/>
      </c>
      <c r="BU38" s="1026" t="str">
        <f>IF(BT38="","",'#minDung'!HF37)</f>
        <v/>
      </c>
      <c r="BV38" s="1025"/>
      <c r="BW38" s="1026" t="str">
        <f>IF(BV38="","",'#minDung'!HN37)</f>
        <v/>
      </c>
      <c r="BX38" s="1026" t="str">
        <f>IF(BW38="","",'#minDung'!HO37)</f>
        <v/>
      </c>
      <c r="BY38" s="1025"/>
      <c r="BZ38" s="1026" t="str">
        <f>IF(BY38="","",'#minDung'!HW37)</f>
        <v/>
      </c>
      <c r="CA38" s="1026" t="str">
        <f>IF(BZ38="","",'#minDung'!HX37)</f>
        <v/>
      </c>
      <c r="CB38" s="1025"/>
      <c r="CC38" s="1026" t="str">
        <f>IF(CB38="","",'#minDung'!IF37)</f>
        <v/>
      </c>
      <c r="CD38" s="1026" t="str">
        <f>IF(CC38="","",'#minDung'!IG37)</f>
        <v/>
      </c>
      <c r="CE38" s="1025"/>
      <c r="CF38" s="1026" t="str">
        <f>IF(CE38="","",'#minDung'!IO37)</f>
        <v/>
      </c>
      <c r="CG38" s="1026" t="str">
        <f>IF(CF38="","",'#minDung'!IP37)</f>
        <v/>
      </c>
      <c r="CH38" s="1025"/>
      <c r="CI38" s="1026" t="str">
        <f>IF(CH38="","",'#minDung'!IX37)</f>
        <v/>
      </c>
      <c r="CJ38" s="1026" t="str">
        <f>IF(CI38="","",'#minDung'!IY37)</f>
        <v/>
      </c>
      <c r="CK38" s="1025"/>
      <c r="CL38" s="1026" t="str">
        <f>IF(CK38="","",'#minDung'!JG37)</f>
        <v/>
      </c>
      <c r="CM38" s="1026" t="str">
        <f>IF(CL38="","",'#minDung'!JH37)</f>
        <v/>
      </c>
      <c r="CN38" s="1025"/>
      <c r="CO38" s="1026" t="str">
        <f>IF(CN38="","",'#minDung'!JP37)</f>
        <v/>
      </c>
      <c r="CP38" s="1026" t="str">
        <f>IF(CO38="","",'#minDung'!JQ37)</f>
        <v/>
      </c>
      <c r="CQ38" s="1025"/>
      <c r="CR38" s="1026" t="str">
        <f>IF(CQ38="","",'#minDung'!JY37)</f>
        <v/>
      </c>
      <c r="CS38" s="1030" t="str">
        <f>IF(CR38="","",'#minDung'!JZ37)</f>
        <v/>
      </c>
      <c r="CT38" s="170"/>
    </row>
    <row r="39" spans="1:98" s="875" customFormat="1" ht="15" customHeight="1" x14ac:dyDescent="0.2">
      <c r="A39" s="1205">
        <f>'Flächen u. Kulturen'!A37</f>
        <v>28</v>
      </c>
      <c r="B39" s="1205" t="str">
        <f>+'org. Düngung 22'!B40</f>
        <v/>
      </c>
      <c r="C39" s="1206" t="str">
        <f>'org. Düngung 22'!C40</f>
        <v/>
      </c>
      <c r="D39" s="1197" t="str">
        <f>'org. Düngung 22'!D40</f>
        <v/>
      </c>
      <c r="E39" s="1207" t="str">
        <f>'org. Düngung 22'!E40</f>
        <v/>
      </c>
      <c r="F39" s="1199" t="str">
        <f>'org. Düngung 22'!F40</f>
        <v/>
      </c>
      <c r="G39" s="1201" t="str">
        <f>IF(C39="","",IF(COUNT('#minDung'!KF38:KJ38)=0,"OK",TRIM(CONCATENATE('#minDung'!KF38," ",'#minDung'!KG38," ",'#minDung'!KH38," ",'#minDung'!KI38," ",'#minDung'!KJ38))))</f>
        <v/>
      </c>
      <c r="H39" s="1025"/>
      <c r="I39" s="1026" t="str">
        <f>IF(H39="","",'#minDung'!X38)</f>
        <v/>
      </c>
      <c r="J39" s="1026" t="str">
        <f>IF(I39="","",'#minDung'!Y38)</f>
        <v/>
      </c>
      <c r="K39" s="1025"/>
      <c r="L39" s="1026" t="str">
        <f>IF(K39="","",'#minDung'!AG38)</f>
        <v/>
      </c>
      <c r="M39" s="1026" t="str">
        <f>IF(L39="","",'#minDung'!AH38)</f>
        <v/>
      </c>
      <c r="N39" s="1025"/>
      <c r="O39" s="1026" t="str">
        <f>IF(N39="","",'#minDung'!AP38)</f>
        <v/>
      </c>
      <c r="P39" s="1026" t="str">
        <f>IF(O39="","",'#minDung'!AQ38)</f>
        <v/>
      </c>
      <c r="Q39" s="1025"/>
      <c r="R39" s="1026" t="str">
        <f>IF(Q39="","",'#minDung'!AY38)</f>
        <v/>
      </c>
      <c r="S39" s="1026" t="str">
        <f>IF(R39="","",'#minDung'!AZ38)</f>
        <v/>
      </c>
      <c r="T39" s="1025"/>
      <c r="U39" s="1026" t="str">
        <f>IF(T39="","",'#minDung'!BH38)</f>
        <v/>
      </c>
      <c r="V39" s="1026" t="str">
        <f>IF(U39="","",'#minDung'!BI38)</f>
        <v/>
      </c>
      <c r="W39" s="1025"/>
      <c r="X39" s="1026" t="str">
        <f>IF(W39="","",'#minDung'!BQ38)</f>
        <v/>
      </c>
      <c r="Y39" s="1026" t="str">
        <f>IF(X39="","",'#minDung'!BR38)</f>
        <v/>
      </c>
      <c r="Z39" s="1025"/>
      <c r="AA39" s="1026" t="str">
        <f>IF(Z39="","",'#minDung'!BZ38)</f>
        <v/>
      </c>
      <c r="AB39" s="1026" t="str">
        <f>IF(AA39="","",'#minDung'!CA38)</f>
        <v/>
      </c>
      <c r="AC39" s="1025"/>
      <c r="AD39" s="1026" t="str">
        <f>IF(AC39="","",'#minDung'!CI38)</f>
        <v/>
      </c>
      <c r="AE39" s="1026" t="str">
        <f>IF(AD39="","",'#minDung'!CJ38)</f>
        <v/>
      </c>
      <c r="AF39" s="1025"/>
      <c r="AG39" s="1026" t="str">
        <f>IF(AF39="","",'#minDung'!CR38)</f>
        <v/>
      </c>
      <c r="AH39" s="1026" t="str">
        <f>IF(AG39="","",'#minDung'!CS38)</f>
        <v/>
      </c>
      <c r="AI39" s="1025"/>
      <c r="AJ39" s="1026" t="str">
        <f>IF(AI39="","",'#minDung'!DA38)</f>
        <v/>
      </c>
      <c r="AK39" s="1026" t="str">
        <f>IF(AJ39="","",'#minDung'!DB38)</f>
        <v/>
      </c>
      <c r="AL39" s="1025"/>
      <c r="AM39" s="1026" t="str">
        <f>IF(AL39="","",'#minDung'!DJ38)</f>
        <v/>
      </c>
      <c r="AN39" s="1026" t="str">
        <f>IF(AM39="","",'#minDung'!DK38)</f>
        <v/>
      </c>
      <c r="AO39" s="1025"/>
      <c r="AP39" s="1026" t="str">
        <f>IF(AO39="","",'#minDung'!DS38)</f>
        <v/>
      </c>
      <c r="AQ39" s="1026" t="str">
        <f>IF(AP39="","",'#minDung'!DT38)</f>
        <v/>
      </c>
      <c r="AR39" s="1025"/>
      <c r="AS39" s="1026" t="str">
        <f>IF(AR39="","",'#minDung'!EB38)</f>
        <v/>
      </c>
      <c r="AT39" s="1026" t="str">
        <f>IF(AS39="","",'#minDung'!EC38)</f>
        <v/>
      </c>
      <c r="AU39" s="1025"/>
      <c r="AV39" s="1026" t="str">
        <f>IF(AU39="","",'#minDung'!EK38)</f>
        <v/>
      </c>
      <c r="AW39" s="1026" t="str">
        <f>IF(AV39="","",'#minDung'!EL38)</f>
        <v/>
      </c>
      <c r="AX39" s="1025"/>
      <c r="AY39" s="1026" t="str">
        <f>IF(AX39="","",'#minDung'!ET38)</f>
        <v/>
      </c>
      <c r="AZ39" s="1026" t="str">
        <f>IF(AY39="","",'#minDung'!EU38)</f>
        <v/>
      </c>
      <c r="BA39" s="1025"/>
      <c r="BB39" s="1026" t="str">
        <f>IF(BA39="","",'#minDung'!FC38)</f>
        <v/>
      </c>
      <c r="BC39" s="1026" t="str">
        <f>IF(BB39="","",'#minDung'!FD38)</f>
        <v/>
      </c>
      <c r="BD39" s="1025"/>
      <c r="BE39" s="1026" t="str">
        <f>IF(BD39="","",'#minDung'!FL38)</f>
        <v/>
      </c>
      <c r="BF39" s="1026" t="str">
        <f>IF(BE39="","",'#minDung'!FM38)</f>
        <v/>
      </c>
      <c r="BG39" s="1025"/>
      <c r="BH39" s="1026" t="str">
        <f>IF(BG39="","",'#minDung'!FU38)</f>
        <v/>
      </c>
      <c r="BI39" s="1026" t="str">
        <f>IF(BH39="","",'#minDung'!FV38)</f>
        <v/>
      </c>
      <c r="BJ39" s="1025"/>
      <c r="BK39" s="1026" t="str">
        <f>IF(BJ39="","",'#minDung'!GD38)</f>
        <v/>
      </c>
      <c r="BL39" s="1026" t="str">
        <f>IF(BK39="","",'#minDung'!GE38)</f>
        <v/>
      </c>
      <c r="BM39" s="1025"/>
      <c r="BN39" s="1026" t="str">
        <f>IF(BM39="","",'#minDung'!GM38)</f>
        <v/>
      </c>
      <c r="BO39" s="1026" t="str">
        <f>IF(BN39="","",'#minDung'!GN38)</f>
        <v/>
      </c>
      <c r="BP39" s="1025"/>
      <c r="BQ39" s="1026" t="str">
        <f>IF(BP39="","",'#minDung'!GV38)</f>
        <v/>
      </c>
      <c r="BR39" s="1026" t="str">
        <f>IF(BQ39="","",'#minDung'!GW38)</f>
        <v/>
      </c>
      <c r="BS39" s="1025"/>
      <c r="BT39" s="1026" t="str">
        <f>IF(BS39="","",'#minDung'!HE38)</f>
        <v/>
      </c>
      <c r="BU39" s="1026" t="str">
        <f>IF(BT39="","",'#minDung'!HF38)</f>
        <v/>
      </c>
      <c r="BV39" s="1025"/>
      <c r="BW39" s="1026" t="str">
        <f>IF(BV39="","",'#minDung'!HN38)</f>
        <v/>
      </c>
      <c r="BX39" s="1026" t="str">
        <f>IF(BW39="","",'#minDung'!HO38)</f>
        <v/>
      </c>
      <c r="BY39" s="1025"/>
      <c r="BZ39" s="1026" t="str">
        <f>IF(BY39="","",'#minDung'!HW38)</f>
        <v/>
      </c>
      <c r="CA39" s="1026" t="str">
        <f>IF(BZ39="","",'#minDung'!HX38)</f>
        <v/>
      </c>
      <c r="CB39" s="1025"/>
      <c r="CC39" s="1026" t="str">
        <f>IF(CB39="","",'#minDung'!IF38)</f>
        <v/>
      </c>
      <c r="CD39" s="1026" t="str">
        <f>IF(CC39="","",'#minDung'!IG38)</f>
        <v/>
      </c>
      <c r="CE39" s="1025"/>
      <c r="CF39" s="1026" t="str">
        <f>IF(CE39="","",'#minDung'!IO38)</f>
        <v/>
      </c>
      <c r="CG39" s="1026" t="str">
        <f>IF(CF39="","",'#minDung'!IP38)</f>
        <v/>
      </c>
      <c r="CH39" s="1025"/>
      <c r="CI39" s="1026" t="str">
        <f>IF(CH39="","",'#minDung'!IX38)</f>
        <v/>
      </c>
      <c r="CJ39" s="1026" t="str">
        <f>IF(CI39="","",'#minDung'!IY38)</f>
        <v/>
      </c>
      <c r="CK39" s="1025"/>
      <c r="CL39" s="1026" t="str">
        <f>IF(CK39="","",'#minDung'!JG38)</f>
        <v/>
      </c>
      <c r="CM39" s="1026" t="str">
        <f>IF(CL39="","",'#minDung'!JH38)</f>
        <v/>
      </c>
      <c r="CN39" s="1025"/>
      <c r="CO39" s="1026" t="str">
        <f>IF(CN39="","",'#minDung'!JP38)</f>
        <v/>
      </c>
      <c r="CP39" s="1026" t="str">
        <f>IF(CO39="","",'#minDung'!JQ38)</f>
        <v/>
      </c>
      <c r="CQ39" s="1025"/>
      <c r="CR39" s="1026" t="str">
        <f>IF(CQ39="","",'#minDung'!JY38)</f>
        <v/>
      </c>
      <c r="CS39" s="1030" t="str">
        <f>IF(CR39="","",'#minDung'!JZ38)</f>
        <v/>
      </c>
      <c r="CT39" s="170"/>
    </row>
    <row r="40" spans="1:98" s="875" customFormat="1" ht="15" customHeight="1" x14ac:dyDescent="0.2">
      <c r="A40" s="1205">
        <f>'Flächen u. Kulturen'!A38</f>
        <v>29</v>
      </c>
      <c r="B40" s="1205" t="str">
        <f>+'org. Düngung 22'!B41</f>
        <v/>
      </c>
      <c r="C40" s="1206" t="str">
        <f>'org. Düngung 22'!C41</f>
        <v/>
      </c>
      <c r="D40" s="1197" t="str">
        <f>'org. Düngung 22'!D41</f>
        <v/>
      </c>
      <c r="E40" s="1207" t="str">
        <f>'org. Düngung 22'!E41</f>
        <v/>
      </c>
      <c r="F40" s="1199" t="str">
        <f>'org. Düngung 22'!F41</f>
        <v/>
      </c>
      <c r="G40" s="1201" t="str">
        <f>IF(C40="","",IF(COUNT('#minDung'!KF39:KJ39)=0,"OK",TRIM(CONCATENATE('#minDung'!KF39," ",'#minDung'!KG39," ",'#minDung'!KH39," ",'#minDung'!KI39," ",'#minDung'!KJ39))))</f>
        <v/>
      </c>
      <c r="H40" s="1025"/>
      <c r="I40" s="1026" t="str">
        <f>IF(H40="","",'#minDung'!X39)</f>
        <v/>
      </c>
      <c r="J40" s="1026" t="str">
        <f>IF(I40="","",'#minDung'!Y39)</f>
        <v/>
      </c>
      <c r="K40" s="1025"/>
      <c r="L40" s="1026" t="str">
        <f>IF(K40="","",'#minDung'!AG39)</f>
        <v/>
      </c>
      <c r="M40" s="1026" t="str">
        <f>IF(L40="","",'#minDung'!AH39)</f>
        <v/>
      </c>
      <c r="N40" s="1025"/>
      <c r="O40" s="1026" t="str">
        <f>IF(N40="","",'#minDung'!AP39)</f>
        <v/>
      </c>
      <c r="P40" s="1026" t="str">
        <f>IF(O40="","",'#minDung'!AQ39)</f>
        <v/>
      </c>
      <c r="Q40" s="1025"/>
      <c r="R40" s="1026" t="str">
        <f>IF(Q40="","",'#minDung'!AY39)</f>
        <v/>
      </c>
      <c r="S40" s="1026" t="str">
        <f>IF(R40="","",'#minDung'!AZ39)</f>
        <v/>
      </c>
      <c r="T40" s="1025"/>
      <c r="U40" s="1026" t="str">
        <f>IF(T40="","",'#minDung'!BH39)</f>
        <v/>
      </c>
      <c r="V40" s="1026" t="str">
        <f>IF(U40="","",'#minDung'!BI39)</f>
        <v/>
      </c>
      <c r="W40" s="1025"/>
      <c r="X40" s="1026" t="str">
        <f>IF(W40="","",'#minDung'!BQ39)</f>
        <v/>
      </c>
      <c r="Y40" s="1026" t="str">
        <f>IF(X40="","",'#minDung'!BR39)</f>
        <v/>
      </c>
      <c r="Z40" s="1025"/>
      <c r="AA40" s="1026" t="str">
        <f>IF(Z40="","",'#minDung'!BZ39)</f>
        <v/>
      </c>
      <c r="AB40" s="1026" t="str">
        <f>IF(AA40="","",'#minDung'!CA39)</f>
        <v/>
      </c>
      <c r="AC40" s="1025"/>
      <c r="AD40" s="1026" t="str">
        <f>IF(AC40="","",'#minDung'!CI39)</f>
        <v/>
      </c>
      <c r="AE40" s="1026" t="str">
        <f>IF(AD40="","",'#minDung'!CJ39)</f>
        <v/>
      </c>
      <c r="AF40" s="1025"/>
      <c r="AG40" s="1026" t="str">
        <f>IF(AF40="","",'#minDung'!CR39)</f>
        <v/>
      </c>
      <c r="AH40" s="1026" t="str">
        <f>IF(AG40="","",'#minDung'!CS39)</f>
        <v/>
      </c>
      <c r="AI40" s="1025"/>
      <c r="AJ40" s="1026" t="str">
        <f>IF(AI40="","",'#minDung'!DA39)</f>
        <v/>
      </c>
      <c r="AK40" s="1026" t="str">
        <f>IF(AJ40="","",'#minDung'!DB39)</f>
        <v/>
      </c>
      <c r="AL40" s="1025"/>
      <c r="AM40" s="1026" t="str">
        <f>IF(AL40="","",'#minDung'!DJ39)</f>
        <v/>
      </c>
      <c r="AN40" s="1026" t="str">
        <f>IF(AM40="","",'#minDung'!DK39)</f>
        <v/>
      </c>
      <c r="AO40" s="1025"/>
      <c r="AP40" s="1026" t="str">
        <f>IF(AO40="","",'#minDung'!DS39)</f>
        <v/>
      </c>
      <c r="AQ40" s="1026" t="str">
        <f>IF(AP40="","",'#minDung'!DT39)</f>
        <v/>
      </c>
      <c r="AR40" s="1025"/>
      <c r="AS40" s="1026" t="str">
        <f>IF(AR40="","",'#minDung'!EB39)</f>
        <v/>
      </c>
      <c r="AT40" s="1026" t="str">
        <f>IF(AS40="","",'#minDung'!EC39)</f>
        <v/>
      </c>
      <c r="AU40" s="1025"/>
      <c r="AV40" s="1026" t="str">
        <f>IF(AU40="","",'#minDung'!EK39)</f>
        <v/>
      </c>
      <c r="AW40" s="1026" t="str">
        <f>IF(AV40="","",'#minDung'!EL39)</f>
        <v/>
      </c>
      <c r="AX40" s="1025"/>
      <c r="AY40" s="1026" t="str">
        <f>IF(AX40="","",'#minDung'!ET39)</f>
        <v/>
      </c>
      <c r="AZ40" s="1026" t="str">
        <f>IF(AY40="","",'#minDung'!EU39)</f>
        <v/>
      </c>
      <c r="BA40" s="1025"/>
      <c r="BB40" s="1026" t="str">
        <f>IF(BA40="","",'#minDung'!FC39)</f>
        <v/>
      </c>
      <c r="BC40" s="1026" t="str">
        <f>IF(BB40="","",'#minDung'!FD39)</f>
        <v/>
      </c>
      <c r="BD40" s="1025"/>
      <c r="BE40" s="1026" t="str">
        <f>IF(BD40="","",'#minDung'!FL39)</f>
        <v/>
      </c>
      <c r="BF40" s="1026" t="str">
        <f>IF(BE40="","",'#minDung'!FM39)</f>
        <v/>
      </c>
      <c r="BG40" s="1025"/>
      <c r="BH40" s="1026" t="str">
        <f>IF(BG40="","",'#minDung'!FU39)</f>
        <v/>
      </c>
      <c r="BI40" s="1026" t="str">
        <f>IF(BH40="","",'#minDung'!FV39)</f>
        <v/>
      </c>
      <c r="BJ40" s="1025"/>
      <c r="BK40" s="1026" t="str">
        <f>IF(BJ40="","",'#minDung'!GD39)</f>
        <v/>
      </c>
      <c r="BL40" s="1026" t="str">
        <f>IF(BK40="","",'#minDung'!GE39)</f>
        <v/>
      </c>
      <c r="BM40" s="1025"/>
      <c r="BN40" s="1026" t="str">
        <f>IF(BM40="","",'#minDung'!GM39)</f>
        <v/>
      </c>
      <c r="BO40" s="1026" t="str">
        <f>IF(BN40="","",'#minDung'!GN39)</f>
        <v/>
      </c>
      <c r="BP40" s="1025"/>
      <c r="BQ40" s="1026" t="str">
        <f>IF(BP40="","",'#minDung'!GV39)</f>
        <v/>
      </c>
      <c r="BR40" s="1026" t="str">
        <f>IF(BQ40="","",'#minDung'!GW39)</f>
        <v/>
      </c>
      <c r="BS40" s="1025"/>
      <c r="BT40" s="1026" t="str">
        <f>IF(BS40="","",'#minDung'!HE39)</f>
        <v/>
      </c>
      <c r="BU40" s="1026" t="str">
        <f>IF(BT40="","",'#minDung'!HF39)</f>
        <v/>
      </c>
      <c r="BV40" s="1025"/>
      <c r="BW40" s="1026" t="str">
        <f>IF(BV40="","",'#minDung'!HN39)</f>
        <v/>
      </c>
      <c r="BX40" s="1026" t="str">
        <f>IF(BW40="","",'#minDung'!HO39)</f>
        <v/>
      </c>
      <c r="BY40" s="1025"/>
      <c r="BZ40" s="1026" t="str">
        <f>IF(BY40="","",'#minDung'!HW39)</f>
        <v/>
      </c>
      <c r="CA40" s="1026" t="str">
        <f>IF(BZ40="","",'#minDung'!HX39)</f>
        <v/>
      </c>
      <c r="CB40" s="1025"/>
      <c r="CC40" s="1026" t="str">
        <f>IF(CB40="","",'#minDung'!IF39)</f>
        <v/>
      </c>
      <c r="CD40" s="1026" t="str">
        <f>IF(CC40="","",'#minDung'!IG39)</f>
        <v/>
      </c>
      <c r="CE40" s="1025"/>
      <c r="CF40" s="1026" t="str">
        <f>IF(CE40="","",'#minDung'!IO39)</f>
        <v/>
      </c>
      <c r="CG40" s="1026" t="str">
        <f>IF(CF40="","",'#minDung'!IP39)</f>
        <v/>
      </c>
      <c r="CH40" s="1025"/>
      <c r="CI40" s="1026" t="str">
        <f>IF(CH40="","",'#minDung'!IX39)</f>
        <v/>
      </c>
      <c r="CJ40" s="1026" t="str">
        <f>IF(CI40="","",'#minDung'!IY39)</f>
        <v/>
      </c>
      <c r="CK40" s="1025"/>
      <c r="CL40" s="1026" t="str">
        <f>IF(CK40="","",'#minDung'!JG39)</f>
        <v/>
      </c>
      <c r="CM40" s="1026" t="str">
        <f>IF(CL40="","",'#minDung'!JH39)</f>
        <v/>
      </c>
      <c r="CN40" s="1025"/>
      <c r="CO40" s="1026" t="str">
        <f>IF(CN40="","",'#minDung'!JP39)</f>
        <v/>
      </c>
      <c r="CP40" s="1026" t="str">
        <f>IF(CO40="","",'#minDung'!JQ39)</f>
        <v/>
      </c>
      <c r="CQ40" s="1025"/>
      <c r="CR40" s="1026" t="str">
        <f>IF(CQ40="","",'#minDung'!JY39)</f>
        <v/>
      </c>
      <c r="CS40" s="1030" t="str">
        <f>IF(CR40="","",'#minDung'!JZ39)</f>
        <v/>
      </c>
      <c r="CT40" s="170"/>
    </row>
    <row r="41" spans="1:98" s="875" customFormat="1" ht="15" customHeight="1" x14ac:dyDescent="0.2">
      <c r="A41" s="1205">
        <f>'Flächen u. Kulturen'!A39</f>
        <v>30</v>
      </c>
      <c r="B41" s="1205" t="str">
        <f>+'org. Düngung 22'!B42</f>
        <v/>
      </c>
      <c r="C41" s="1206" t="str">
        <f>'org. Düngung 22'!C42</f>
        <v/>
      </c>
      <c r="D41" s="1197" t="str">
        <f>'org. Düngung 22'!D42</f>
        <v/>
      </c>
      <c r="E41" s="1207" t="str">
        <f>'org. Düngung 22'!E42</f>
        <v/>
      </c>
      <c r="F41" s="1199" t="str">
        <f>'org. Düngung 22'!F42</f>
        <v/>
      </c>
      <c r="G41" s="1201" t="str">
        <f>IF(C41="","",IF(COUNT('#minDung'!KF40:KJ40)=0,"OK",TRIM(CONCATENATE('#minDung'!KF40," ",'#minDung'!KG40," ",'#minDung'!KH40," ",'#minDung'!KI40," ",'#minDung'!KJ40))))</f>
        <v/>
      </c>
      <c r="H41" s="1025"/>
      <c r="I41" s="1026" t="str">
        <f>IF(H41="","",'#minDung'!X40)</f>
        <v/>
      </c>
      <c r="J41" s="1026" t="str">
        <f>IF(I41="","",'#minDung'!Y40)</f>
        <v/>
      </c>
      <c r="K41" s="1025"/>
      <c r="L41" s="1026" t="str">
        <f>IF(K41="","",'#minDung'!AG40)</f>
        <v/>
      </c>
      <c r="M41" s="1026" t="str">
        <f>IF(L41="","",'#minDung'!AH40)</f>
        <v/>
      </c>
      <c r="N41" s="1025"/>
      <c r="O41" s="1026" t="str">
        <f>IF(N41="","",'#minDung'!AP40)</f>
        <v/>
      </c>
      <c r="P41" s="1026" t="str">
        <f>IF(O41="","",'#minDung'!AQ40)</f>
        <v/>
      </c>
      <c r="Q41" s="1025"/>
      <c r="R41" s="1026" t="str">
        <f>IF(Q41="","",'#minDung'!AY40)</f>
        <v/>
      </c>
      <c r="S41" s="1026" t="str">
        <f>IF(R41="","",'#minDung'!AZ40)</f>
        <v/>
      </c>
      <c r="T41" s="1025"/>
      <c r="U41" s="1026" t="str">
        <f>IF(T41="","",'#minDung'!BH40)</f>
        <v/>
      </c>
      <c r="V41" s="1026" t="str">
        <f>IF(U41="","",'#minDung'!BI40)</f>
        <v/>
      </c>
      <c r="W41" s="1025"/>
      <c r="X41" s="1026" t="str">
        <f>IF(W41="","",'#minDung'!BQ40)</f>
        <v/>
      </c>
      <c r="Y41" s="1026" t="str">
        <f>IF(X41="","",'#minDung'!BR40)</f>
        <v/>
      </c>
      <c r="Z41" s="1025"/>
      <c r="AA41" s="1026" t="str">
        <f>IF(Z41="","",'#minDung'!BZ40)</f>
        <v/>
      </c>
      <c r="AB41" s="1026" t="str">
        <f>IF(AA41="","",'#minDung'!CA40)</f>
        <v/>
      </c>
      <c r="AC41" s="1025"/>
      <c r="AD41" s="1026" t="str">
        <f>IF(AC41="","",'#minDung'!CI40)</f>
        <v/>
      </c>
      <c r="AE41" s="1026" t="str">
        <f>IF(AD41="","",'#minDung'!CJ40)</f>
        <v/>
      </c>
      <c r="AF41" s="1025"/>
      <c r="AG41" s="1026" t="str">
        <f>IF(AF41="","",'#minDung'!CR40)</f>
        <v/>
      </c>
      <c r="AH41" s="1026" t="str">
        <f>IF(AG41="","",'#minDung'!CS40)</f>
        <v/>
      </c>
      <c r="AI41" s="1025"/>
      <c r="AJ41" s="1026" t="str">
        <f>IF(AI41="","",'#minDung'!DA40)</f>
        <v/>
      </c>
      <c r="AK41" s="1026" t="str">
        <f>IF(AJ41="","",'#minDung'!DB40)</f>
        <v/>
      </c>
      <c r="AL41" s="1025"/>
      <c r="AM41" s="1026" t="str">
        <f>IF(AL41="","",'#minDung'!DJ40)</f>
        <v/>
      </c>
      <c r="AN41" s="1026" t="str">
        <f>IF(AM41="","",'#minDung'!DK40)</f>
        <v/>
      </c>
      <c r="AO41" s="1025"/>
      <c r="AP41" s="1026" t="str">
        <f>IF(AO41="","",'#minDung'!DS40)</f>
        <v/>
      </c>
      <c r="AQ41" s="1026" t="str">
        <f>IF(AP41="","",'#minDung'!DT40)</f>
        <v/>
      </c>
      <c r="AR41" s="1025"/>
      <c r="AS41" s="1026" t="str">
        <f>IF(AR41="","",'#minDung'!EB40)</f>
        <v/>
      </c>
      <c r="AT41" s="1026" t="str">
        <f>IF(AS41="","",'#minDung'!EC40)</f>
        <v/>
      </c>
      <c r="AU41" s="1025"/>
      <c r="AV41" s="1026" t="str">
        <f>IF(AU41="","",'#minDung'!EK40)</f>
        <v/>
      </c>
      <c r="AW41" s="1026" t="str">
        <f>IF(AV41="","",'#minDung'!EL40)</f>
        <v/>
      </c>
      <c r="AX41" s="1025"/>
      <c r="AY41" s="1026" t="str">
        <f>IF(AX41="","",'#minDung'!ET40)</f>
        <v/>
      </c>
      <c r="AZ41" s="1026" t="str">
        <f>IF(AY41="","",'#minDung'!EU40)</f>
        <v/>
      </c>
      <c r="BA41" s="1025"/>
      <c r="BB41" s="1026" t="str">
        <f>IF(BA41="","",'#minDung'!FC40)</f>
        <v/>
      </c>
      <c r="BC41" s="1026" t="str">
        <f>IF(BB41="","",'#minDung'!FD40)</f>
        <v/>
      </c>
      <c r="BD41" s="1025"/>
      <c r="BE41" s="1026" t="str">
        <f>IF(BD41="","",'#minDung'!FL40)</f>
        <v/>
      </c>
      <c r="BF41" s="1026" t="str">
        <f>IF(BE41="","",'#minDung'!FM40)</f>
        <v/>
      </c>
      <c r="BG41" s="1025"/>
      <c r="BH41" s="1026" t="str">
        <f>IF(BG41="","",'#minDung'!FU40)</f>
        <v/>
      </c>
      <c r="BI41" s="1026" t="str">
        <f>IF(BH41="","",'#minDung'!FV40)</f>
        <v/>
      </c>
      <c r="BJ41" s="1025"/>
      <c r="BK41" s="1026" t="str">
        <f>IF(BJ41="","",'#minDung'!GD40)</f>
        <v/>
      </c>
      <c r="BL41" s="1026" t="str">
        <f>IF(BK41="","",'#minDung'!GE40)</f>
        <v/>
      </c>
      <c r="BM41" s="1025"/>
      <c r="BN41" s="1026" t="str">
        <f>IF(BM41="","",'#minDung'!GM40)</f>
        <v/>
      </c>
      <c r="BO41" s="1026" t="str">
        <f>IF(BN41="","",'#minDung'!GN40)</f>
        <v/>
      </c>
      <c r="BP41" s="1025"/>
      <c r="BQ41" s="1026" t="str">
        <f>IF(BP41="","",'#minDung'!GV40)</f>
        <v/>
      </c>
      <c r="BR41" s="1026" t="str">
        <f>IF(BQ41="","",'#minDung'!GW40)</f>
        <v/>
      </c>
      <c r="BS41" s="1025"/>
      <c r="BT41" s="1026" t="str">
        <f>IF(BS41="","",'#minDung'!HE40)</f>
        <v/>
      </c>
      <c r="BU41" s="1026" t="str">
        <f>IF(BT41="","",'#minDung'!HF40)</f>
        <v/>
      </c>
      <c r="BV41" s="1025"/>
      <c r="BW41" s="1026" t="str">
        <f>IF(BV41="","",'#minDung'!HN40)</f>
        <v/>
      </c>
      <c r="BX41" s="1026" t="str">
        <f>IF(BW41="","",'#minDung'!HO40)</f>
        <v/>
      </c>
      <c r="BY41" s="1025"/>
      <c r="BZ41" s="1026" t="str">
        <f>IF(BY41="","",'#minDung'!HW40)</f>
        <v/>
      </c>
      <c r="CA41" s="1026" t="str">
        <f>IF(BZ41="","",'#minDung'!HX40)</f>
        <v/>
      </c>
      <c r="CB41" s="1025"/>
      <c r="CC41" s="1026" t="str">
        <f>IF(CB41="","",'#minDung'!IF40)</f>
        <v/>
      </c>
      <c r="CD41" s="1026" t="str">
        <f>IF(CC41="","",'#minDung'!IG40)</f>
        <v/>
      </c>
      <c r="CE41" s="1025"/>
      <c r="CF41" s="1026" t="str">
        <f>IF(CE41="","",'#minDung'!IO40)</f>
        <v/>
      </c>
      <c r="CG41" s="1026" t="str">
        <f>IF(CF41="","",'#minDung'!IP40)</f>
        <v/>
      </c>
      <c r="CH41" s="1025"/>
      <c r="CI41" s="1026" t="str">
        <f>IF(CH41="","",'#minDung'!IX40)</f>
        <v/>
      </c>
      <c r="CJ41" s="1026" t="str">
        <f>IF(CI41="","",'#minDung'!IY40)</f>
        <v/>
      </c>
      <c r="CK41" s="1025"/>
      <c r="CL41" s="1026" t="str">
        <f>IF(CK41="","",'#minDung'!JG40)</f>
        <v/>
      </c>
      <c r="CM41" s="1026" t="str">
        <f>IF(CL41="","",'#minDung'!JH40)</f>
        <v/>
      </c>
      <c r="CN41" s="1025"/>
      <c r="CO41" s="1026" t="str">
        <f>IF(CN41="","",'#minDung'!JP40)</f>
        <v/>
      </c>
      <c r="CP41" s="1026" t="str">
        <f>IF(CO41="","",'#minDung'!JQ40)</f>
        <v/>
      </c>
      <c r="CQ41" s="1025"/>
      <c r="CR41" s="1026" t="str">
        <f>IF(CQ41="","",'#minDung'!JY40)</f>
        <v/>
      </c>
      <c r="CS41" s="1030" t="str">
        <f>IF(CR41="","",'#minDung'!JZ40)</f>
        <v/>
      </c>
      <c r="CT41" s="170"/>
    </row>
    <row r="42" spans="1:98" s="875" customFormat="1" ht="15" customHeight="1" x14ac:dyDescent="0.2">
      <c r="A42" s="1205">
        <f>'Flächen u. Kulturen'!A40</f>
        <v>31</v>
      </c>
      <c r="B42" s="1205" t="str">
        <f>+'org. Düngung 22'!B43</f>
        <v/>
      </c>
      <c r="C42" s="1206" t="str">
        <f>'org. Düngung 22'!C43</f>
        <v/>
      </c>
      <c r="D42" s="1197" t="str">
        <f>'org. Düngung 22'!D43</f>
        <v/>
      </c>
      <c r="E42" s="1207" t="str">
        <f>'org. Düngung 22'!E43</f>
        <v/>
      </c>
      <c r="F42" s="1199" t="str">
        <f>'org. Düngung 22'!F43</f>
        <v/>
      </c>
      <c r="G42" s="1201" t="str">
        <f>IF(C42="","",IF(COUNT('#minDung'!KF41:KJ41)=0,"OK",TRIM(CONCATENATE('#minDung'!KF41," ",'#minDung'!KG41," ",'#minDung'!KH41," ",'#minDung'!KI41," ",'#minDung'!KJ41))))</f>
        <v/>
      </c>
      <c r="H42" s="1025"/>
      <c r="I42" s="1026" t="str">
        <f>IF(H42="","",'#minDung'!X41)</f>
        <v/>
      </c>
      <c r="J42" s="1026" t="str">
        <f>IF(I42="","",'#minDung'!Y41)</f>
        <v/>
      </c>
      <c r="K42" s="1025"/>
      <c r="L42" s="1026" t="str">
        <f>IF(K42="","",'#minDung'!AG41)</f>
        <v/>
      </c>
      <c r="M42" s="1026" t="str">
        <f>IF(L42="","",'#minDung'!AH41)</f>
        <v/>
      </c>
      <c r="N42" s="1025"/>
      <c r="O42" s="1026" t="str">
        <f>IF(N42="","",'#minDung'!AP41)</f>
        <v/>
      </c>
      <c r="P42" s="1026" t="str">
        <f>IF(O42="","",'#minDung'!AQ41)</f>
        <v/>
      </c>
      <c r="Q42" s="1025"/>
      <c r="R42" s="1026" t="str">
        <f>IF(Q42="","",'#minDung'!AY41)</f>
        <v/>
      </c>
      <c r="S42" s="1026" t="str">
        <f>IF(R42="","",'#minDung'!AZ41)</f>
        <v/>
      </c>
      <c r="T42" s="1025"/>
      <c r="U42" s="1026" t="str">
        <f>IF(T42="","",'#minDung'!BH41)</f>
        <v/>
      </c>
      <c r="V42" s="1026" t="str">
        <f>IF(U42="","",'#minDung'!BI41)</f>
        <v/>
      </c>
      <c r="W42" s="1025"/>
      <c r="X42" s="1026" t="str">
        <f>IF(W42="","",'#minDung'!BQ41)</f>
        <v/>
      </c>
      <c r="Y42" s="1026" t="str">
        <f>IF(X42="","",'#minDung'!BR41)</f>
        <v/>
      </c>
      <c r="Z42" s="1025"/>
      <c r="AA42" s="1026" t="str">
        <f>IF(Z42="","",'#minDung'!BZ41)</f>
        <v/>
      </c>
      <c r="AB42" s="1026" t="str">
        <f>IF(AA42="","",'#minDung'!CA41)</f>
        <v/>
      </c>
      <c r="AC42" s="1025"/>
      <c r="AD42" s="1026" t="str">
        <f>IF(AC42="","",'#minDung'!CI41)</f>
        <v/>
      </c>
      <c r="AE42" s="1026" t="str">
        <f>IF(AD42="","",'#minDung'!CJ41)</f>
        <v/>
      </c>
      <c r="AF42" s="1025"/>
      <c r="AG42" s="1026" t="str">
        <f>IF(AF42="","",'#minDung'!CR41)</f>
        <v/>
      </c>
      <c r="AH42" s="1026" t="str">
        <f>IF(AG42="","",'#minDung'!CS41)</f>
        <v/>
      </c>
      <c r="AI42" s="1025"/>
      <c r="AJ42" s="1026" t="str">
        <f>IF(AI42="","",'#minDung'!DA41)</f>
        <v/>
      </c>
      <c r="AK42" s="1026" t="str">
        <f>IF(AJ42="","",'#minDung'!DB41)</f>
        <v/>
      </c>
      <c r="AL42" s="1025"/>
      <c r="AM42" s="1026" t="str">
        <f>IF(AL42="","",'#minDung'!DJ41)</f>
        <v/>
      </c>
      <c r="AN42" s="1026" t="str">
        <f>IF(AM42="","",'#minDung'!DK41)</f>
        <v/>
      </c>
      <c r="AO42" s="1025"/>
      <c r="AP42" s="1026" t="str">
        <f>IF(AO42="","",'#minDung'!DS41)</f>
        <v/>
      </c>
      <c r="AQ42" s="1026" t="str">
        <f>IF(AP42="","",'#minDung'!DT41)</f>
        <v/>
      </c>
      <c r="AR42" s="1025"/>
      <c r="AS42" s="1026" t="str">
        <f>IF(AR42="","",'#minDung'!EB41)</f>
        <v/>
      </c>
      <c r="AT42" s="1026" t="str">
        <f>IF(AS42="","",'#minDung'!EC41)</f>
        <v/>
      </c>
      <c r="AU42" s="1025"/>
      <c r="AV42" s="1026" t="str">
        <f>IF(AU42="","",'#minDung'!EK41)</f>
        <v/>
      </c>
      <c r="AW42" s="1026" t="str">
        <f>IF(AV42="","",'#minDung'!EL41)</f>
        <v/>
      </c>
      <c r="AX42" s="1025"/>
      <c r="AY42" s="1026" t="str">
        <f>IF(AX42="","",'#minDung'!ET41)</f>
        <v/>
      </c>
      <c r="AZ42" s="1026" t="str">
        <f>IF(AY42="","",'#minDung'!EU41)</f>
        <v/>
      </c>
      <c r="BA42" s="1025"/>
      <c r="BB42" s="1026" t="str">
        <f>IF(BA42="","",'#minDung'!FC41)</f>
        <v/>
      </c>
      <c r="BC42" s="1026" t="str">
        <f>IF(BB42="","",'#minDung'!FD41)</f>
        <v/>
      </c>
      <c r="BD42" s="1025"/>
      <c r="BE42" s="1026" t="str">
        <f>IF(BD42="","",'#minDung'!FL41)</f>
        <v/>
      </c>
      <c r="BF42" s="1026" t="str">
        <f>IF(BE42="","",'#minDung'!FM41)</f>
        <v/>
      </c>
      <c r="BG42" s="1025"/>
      <c r="BH42" s="1026" t="str">
        <f>IF(BG42="","",'#minDung'!FU41)</f>
        <v/>
      </c>
      <c r="BI42" s="1026" t="str">
        <f>IF(BH42="","",'#minDung'!FV41)</f>
        <v/>
      </c>
      <c r="BJ42" s="1025"/>
      <c r="BK42" s="1026" t="str">
        <f>IF(BJ42="","",'#minDung'!GD41)</f>
        <v/>
      </c>
      <c r="BL42" s="1026" t="str">
        <f>IF(BK42="","",'#minDung'!GE41)</f>
        <v/>
      </c>
      <c r="BM42" s="1025"/>
      <c r="BN42" s="1026" t="str">
        <f>IF(BM42="","",'#minDung'!GM41)</f>
        <v/>
      </c>
      <c r="BO42" s="1026" t="str">
        <f>IF(BN42="","",'#minDung'!GN41)</f>
        <v/>
      </c>
      <c r="BP42" s="1025"/>
      <c r="BQ42" s="1026" t="str">
        <f>IF(BP42="","",'#minDung'!GV41)</f>
        <v/>
      </c>
      <c r="BR42" s="1026" t="str">
        <f>IF(BQ42="","",'#minDung'!GW41)</f>
        <v/>
      </c>
      <c r="BS42" s="1025"/>
      <c r="BT42" s="1026" t="str">
        <f>IF(BS42="","",'#minDung'!HE41)</f>
        <v/>
      </c>
      <c r="BU42" s="1026" t="str">
        <f>IF(BT42="","",'#minDung'!HF41)</f>
        <v/>
      </c>
      <c r="BV42" s="1025"/>
      <c r="BW42" s="1026" t="str">
        <f>IF(BV42="","",'#minDung'!HN41)</f>
        <v/>
      </c>
      <c r="BX42" s="1026" t="str">
        <f>IF(BW42="","",'#minDung'!HO41)</f>
        <v/>
      </c>
      <c r="BY42" s="1025"/>
      <c r="BZ42" s="1026" t="str">
        <f>IF(BY42="","",'#minDung'!HW41)</f>
        <v/>
      </c>
      <c r="CA42" s="1026" t="str">
        <f>IF(BZ42="","",'#minDung'!HX41)</f>
        <v/>
      </c>
      <c r="CB42" s="1025"/>
      <c r="CC42" s="1026" t="str">
        <f>IF(CB42="","",'#minDung'!IF41)</f>
        <v/>
      </c>
      <c r="CD42" s="1026" t="str">
        <f>IF(CC42="","",'#minDung'!IG41)</f>
        <v/>
      </c>
      <c r="CE42" s="1025"/>
      <c r="CF42" s="1026" t="str">
        <f>IF(CE42="","",'#minDung'!IO41)</f>
        <v/>
      </c>
      <c r="CG42" s="1026" t="str">
        <f>IF(CF42="","",'#minDung'!IP41)</f>
        <v/>
      </c>
      <c r="CH42" s="1025"/>
      <c r="CI42" s="1026" t="str">
        <f>IF(CH42="","",'#minDung'!IX41)</f>
        <v/>
      </c>
      <c r="CJ42" s="1026" t="str">
        <f>IF(CI42="","",'#minDung'!IY41)</f>
        <v/>
      </c>
      <c r="CK42" s="1025"/>
      <c r="CL42" s="1026" t="str">
        <f>IF(CK42="","",'#minDung'!JG41)</f>
        <v/>
      </c>
      <c r="CM42" s="1026" t="str">
        <f>IF(CL42="","",'#minDung'!JH41)</f>
        <v/>
      </c>
      <c r="CN42" s="1025"/>
      <c r="CO42" s="1026" t="str">
        <f>IF(CN42="","",'#minDung'!JP41)</f>
        <v/>
      </c>
      <c r="CP42" s="1026" t="str">
        <f>IF(CO42="","",'#minDung'!JQ41)</f>
        <v/>
      </c>
      <c r="CQ42" s="1025"/>
      <c r="CR42" s="1026" t="str">
        <f>IF(CQ42="","",'#minDung'!JY41)</f>
        <v/>
      </c>
      <c r="CS42" s="1030" t="str">
        <f>IF(CR42="","",'#minDung'!JZ41)</f>
        <v/>
      </c>
      <c r="CT42" s="170"/>
    </row>
    <row r="43" spans="1:98" s="875" customFormat="1" ht="15" customHeight="1" x14ac:dyDescent="0.2">
      <c r="A43" s="1205">
        <f>'Flächen u. Kulturen'!A41</f>
        <v>32</v>
      </c>
      <c r="B43" s="1205" t="str">
        <f>+'org. Düngung 22'!B44</f>
        <v/>
      </c>
      <c r="C43" s="1206" t="str">
        <f>'org. Düngung 22'!C44</f>
        <v/>
      </c>
      <c r="D43" s="1197" t="str">
        <f>'org. Düngung 22'!D44</f>
        <v/>
      </c>
      <c r="E43" s="1207" t="str">
        <f>'org. Düngung 22'!E44</f>
        <v/>
      </c>
      <c r="F43" s="1199" t="str">
        <f>'org. Düngung 22'!F44</f>
        <v/>
      </c>
      <c r="G43" s="1201" t="str">
        <f>IF(C43="","",IF(COUNT('#minDung'!KF42:KJ42)=0,"OK",TRIM(CONCATENATE('#minDung'!KF42," ",'#minDung'!KG42," ",'#minDung'!KH42," ",'#minDung'!KI42," ",'#minDung'!KJ42))))</f>
        <v/>
      </c>
      <c r="H43" s="1025"/>
      <c r="I43" s="1026" t="str">
        <f>IF(H43="","",'#minDung'!X42)</f>
        <v/>
      </c>
      <c r="J43" s="1026" t="str">
        <f>IF(I43="","",'#minDung'!Y42)</f>
        <v/>
      </c>
      <c r="K43" s="1025"/>
      <c r="L43" s="1026" t="str">
        <f>IF(K43="","",'#minDung'!AG42)</f>
        <v/>
      </c>
      <c r="M43" s="1026" t="str">
        <f>IF(L43="","",'#minDung'!AH42)</f>
        <v/>
      </c>
      <c r="N43" s="1025"/>
      <c r="O43" s="1026" t="str">
        <f>IF(N43="","",'#minDung'!AP42)</f>
        <v/>
      </c>
      <c r="P43" s="1026" t="str">
        <f>IF(O43="","",'#minDung'!AQ42)</f>
        <v/>
      </c>
      <c r="Q43" s="1025"/>
      <c r="R43" s="1026" t="str">
        <f>IF(Q43="","",'#minDung'!AY42)</f>
        <v/>
      </c>
      <c r="S43" s="1026" t="str">
        <f>IF(R43="","",'#minDung'!AZ42)</f>
        <v/>
      </c>
      <c r="T43" s="1025"/>
      <c r="U43" s="1026" t="str">
        <f>IF(T43="","",'#minDung'!BH42)</f>
        <v/>
      </c>
      <c r="V43" s="1026" t="str">
        <f>IF(U43="","",'#minDung'!BI42)</f>
        <v/>
      </c>
      <c r="W43" s="1025"/>
      <c r="X43" s="1026" t="str">
        <f>IF(W43="","",'#minDung'!BQ42)</f>
        <v/>
      </c>
      <c r="Y43" s="1026" t="str">
        <f>IF(X43="","",'#minDung'!BR42)</f>
        <v/>
      </c>
      <c r="Z43" s="1025"/>
      <c r="AA43" s="1026" t="str">
        <f>IF(Z43="","",'#minDung'!BZ42)</f>
        <v/>
      </c>
      <c r="AB43" s="1026" t="str">
        <f>IF(AA43="","",'#minDung'!CA42)</f>
        <v/>
      </c>
      <c r="AC43" s="1025"/>
      <c r="AD43" s="1026" t="str">
        <f>IF(AC43="","",'#minDung'!CI42)</f>
        <v/>
      </c>
      <c r="AE43" s="1026" t="str">
        <f>IF(AD43="","",'#minDung'!CJ42)</f>
        <v/>
      </c>
      <c r="AF43" s="1025"/>
      <c r="AG43" s="1026" t="str">
        <f>IF(AF43="","",'#minDung'!CR42)</f>
        <v/>
      </c>
      <c r="AH43" s="1026" t="str">
        <f>IF(AG43="","",'#minDung'!CS42)</f>
        <v/>
      </c>
      <c r="AI43" s="1025"/>
      <c r="AJ43" s="1026" t="str">
        <f>IF(AI43="","",'#minDung'!DA42)</f>
        <v/>
      </c>
      <c r="AK43" s="1026" t="str">
        <f>IF(AJ43="","",'#minDung'!DB42)</f>
        <v/>
      </c>
      <c r="AL43" s="1025"/>
      <c r="AM43" s="1026" t="str">
        <f>IF(AL43="","",'#minDung'!DJ42)</f>
        <v/>
      </c>
      <c r="AN43" s="1026" t="str">
        <f>IF(AM43="","",'#minDung'!DK42)</f>
        <v/>
      </c>
      <c r="AO43" s="1025"/>
      <c r="AP43" s="1026" t="str">
        <f>IF(AO43="","",'#minDung'!DS42)</f>
        <v/>
      </c>
      <c r="AQ43" s="1026" t="str">
        <f>IF(AP43="","",'#minDung'!DT42)</f>
        <v/>
      </c>
      <c r="AR43" s="1025"/>
      <c r="AS43" s="1026" t="str">
        <f>IF(AR43="","",'#minDung'!EB42)</f>
        <v/>
      </c>
      <c r="AT43" s="1026" t="str">
        <f>IF(AS43="","",'#minDung'!EC42)</f>
        <v/>
      </c>
      <c r="AU43" s="1025"/>
      <c r="AV43" s="1026" t="str">
        <f>IF(AU43="","",'#minDung'!EK42)</f>
        <v/>
      </c>
      <c r="AW43" s="1026" t="str">
        <f>IF(AV43="","",'#minDung'!EL42)</f>
        <v/>
      </c>
      <c r="AX43" s="1025"/>
      <c r="AY43" s="1026" t="str">
        <f>IF(AX43="","",'#minDung'!ET42)</f>
        <v/>
      </c>
      <c r="AZ43" s="1026" t="str">
        <f>IF(AY43="","",'#minDung'!EU42)</f>
        <v/>
      </c>
      <c r="BA43" s="1025"/>
      <c r="BB43" s="1026" t="str">
        <f>IF(BA43="","",'#minDung'!FC42)</f>
        <v/>
      </c>
      <c r="BC43" s="1026" t="str">
        <f>IF(BB43="","",'#minDung'!FD42)</f>
        <v/>
      </c>
      <c r="BD43" s="1025"/>
      <c r="BE43" s="1026" t="str">
        <f>IF(BD43="","",'#minDung'!FL42)</f>
        <v/>
      </c>
      <c r="BF43" s="1026" t="str">
        <f>IF(BE43="","",'#minDung'!FM42)</f>
        <v/>
      </c>
      <c r="BG43" s="1025"/>
      <c r="BH43" s="1026" t="str">
        <f>IF(BG43="","",'#minDung'!FU42)</f>
        <v/>
      </c>
      <c r="BI43" s="1026" t="str">
        <f>IF(BH43="","",'#minDung'!FV42)</f>
        <v/>
      </c>
      <c r="BJ43" s="1025"/>
      <c r="BK43" s="1026" t="str">
        <f>IF(BJ43="","",'#minDung'!GD42)</f>
        <v/>
      </c>
      <c r="BL43" s="1026" t="str">
        <f>IF(BK43="","",'#minDung'!GE42)</f>
        <v/>
      </c>
      <c r="BM43" s="1025"/>
      <c r="BN43" s="1026" t="str">
        <f>IF(BM43="","",'#minDung'!GM42)</f>
        <v/>
      </c>
      <c r="BO43" s="1026" t="str">
        <f>IF(BN43="","",'#minDung'!GN42)</f>
        <v/>
      </c>
      <c r="BP43" s="1025"/>
      <c r="BQ43" s="1026" t="str">
        <f>IF(BP43="","",'#minDung'!GV42)</f>
        <v/>
      </c>
      <c r="BR43" s="1026" t="str">
        <f>IF(BQ43="","",'#minDung'!GW42)</f>
        <v/>
      </c>
      <c r="BS43" s="1025"/>
      <c r="BT43" s="1026" t="str">
        <f>IF(BS43="","",'#minDung'!HE42)</f>
        <v/>
      </c>
      <c r="BU43" s="1026" t="str">
        <f>IF(BT43="","",'#minDung'!HF42)</f>
        <v/>
      </c>
      <c r="BV43" s="1025"/>
      <c r="BW43" s="1026" t="str">
        <f>IF(BV43="","",'#minDung'!HN42)</f>
        <v/>
      </c>
      <c r="BX43" s="1026" t="str">
        <f>IF(BW43="","",'#minDung'!HO42)</f>
        <v/>
      </c>
      <c r="BY43" s="1025"/>
      <c r="BZ43" s="1026" t="str">
        <f>IF(BY43="","",'#minDung'!HW42)</f>
        <v/>
      </c>
      <c r="CA43" s="1026" t="str">
        <f>IF(BZ43="","",'#minDung'!HX42)</f>
        <v/>
      </c>
      <c r="CB43" s="1025"/>
      <c r="CC43" s="1026" t="str">
        <f>IF(CB43="","",'#minDung'!IF42)</f>
        <v/>
      </c>
      <c r="CD43" s="1026" t="str">
        <f>IF(CC43="","",'#minDung'!IG42)</f>
        <v/>
      </c>
      <c r="CE43" s="1025"/>
      <c r="CF43" s="1026" t="str">
        <f>IF(CE43="","",'#minDung'!IO42)</f>
        <v/>
      </c>
      <c r="CG43" s="1026" t="str">
        <f>IF(CF43="","",'#minDung'!IP42)</f>
        <v/>
      </c>
      <c r="CH43" s="1025"/>
      <c r="CI43" s="1026" t="str">
        <f>IF(CH43="","",'#minDung'!IX42)</f>
        <v/>
      </c>
      <c r="CJ43" s="1026" t="str">
        <f>IF(CI43="","",'#minDung'!IY42)</f>
        <v/>
      </c>
      <c r="CK43" s="1025"/>
      <c r="CL43" s="1026" t="str">
        <f>IF(CK43="","",'#minDung'!JG42)</f>
        <v/>
      </c>
      <c r="CM43" s="1026" t="str">
        <f>IF(CL43="","",'#minDung'!JH42)</f>
        <v/>
      </c>
      <c r="CN43" s="1025"/>
      <c r="CO43" s="1026" t="str">
        <f>IF(CN43="","",'#minDung'!JP42)</f>
        <v/>
      </c>
      <c r="CP43" s="1026" t="str">
        <f>IF(CO43="","",'#minDung'!JQ42)</f>
        <v/>
      </c>
      <c r="CQ43" s="1025"/>
      <c r="CR43" s="1026" t="str">
        <f>IF(CQ43="","",'#minDung'!JY42)</f>
        <v/>
      </c>
      <c r="CS43" s="1030" t="str">
        <f>IF(CR43="","",'#minDung'!JZ42)</f>
        <v/>
      </c>
      <c r="CT43" s="170"/>
    </row>
    <row r="44" spans="1:98" s="875" customFormat="1" ht="15" customHeight="1" x14ac:dyDescent="0.2">
      <c r="A44" s="1205">
        <f>'Flächen u. Kulturen'!A42</f>
        <v>33</v>
      </c>
      <c r="B44" s="1205" t="str">
        <f>+'org. Düngung 22'!B45</f>
        <v/>
      </c>
      <c r="C44" s="1206" t="str">
        <f>'org. Düngung 22'!C45</f>
        <v/>
      </c>
      <c r="D44" s="1197" t="str">
        <f>'org. Düngung 22'!D45</f>
        <v/>
      </c>
      <c r="E44" s="1207" t="str">
        <f>'org. Düngung 22'!E45</f>
        <v/>
      </c>
      <c r="F44" s="1199" t="str">
        <f>'org. Düngung 22'!F45</f>
        <v/>
      </c>
      <c r="G44" s="1201" t="str">
        <f>IF(C44="","",IF(COUNT('#minDung'!KF43:KJ43)=0,"OK",TRIM(CONCATENATE('#minDung'!KF43," ",'#minDung'!KG43," ",'#minDung'!KH43," ",'#minDung'!KI43," ",'#minDung'!KJ43))))</f>
        <v/>
      </c>
      <c r="H44" s="1025"/>
      <c r="I44" s="1026" t="str">
        <f>IF(H44="","",'#minDung'!X43)</f>
        <v/>
      </c>
      <c r="J44" s="1026" t="str">
        <f>IF(I44="","",'#minDung'!Y43)</f>
        <v/>
      </c>
      <c r="K44" s="1025"/>
      <c r="L44" s="1026" t="str">
        <f>IF(K44="","",'#minDung'!AG43)</f>
        <v/>
      </c>
      <c r="M44" s="1026" t="str">
        <f>IF(L44="","",'#minDung'!AH43)</f>
        <v/>
      </c>
      <c r="N44" s="1025"/>
      <c r="O44" s="1026" t="str">
        <f>IF(N44="","",'#minDung'!AP43)</f>
        <v/>
      </c>
      <c r="P44" s="1026" t="str">
        <f>IF(O44="","",'#minDung'!AQ43)</f>
        <v/>
      </c>
      <c r="Q44" s="1025"/>
      <c r="R44" s="1026" t="str">
        <f>IF(Q44="","",'#minDung'!AY43)</f>
        <v/>
      </c>
      <c r="S44" s="1026" t="str">
        <f>IF(R44="","",'#minDung'!AZ43)</f>
        <v/>
      </c>
      <c r="T44" s="1025"/>
      <c r="U44" s="1026" t="str">
        <f>IF(T44="","",'#minDung'!BH43)</f>
        <v/>
      </c>
      <c r="V44" s="1026" t="str">
        <f>IF(U44="","",'#minDung'!BI43)</f>
        <v/>
      </c>
      <c r="W44" s="1025"/>
      <c r="X44" s="1026" t="str">
        <f>IF(W44="","",'#minDung'!BQ43)</f>
        <v/>
      </c>
      <c r="Y44" s="1026" t="str">
        <f>IF(X44="","",'#minDung'!BR43)</f>
        <v/>
      </c>
      <c r="Z44" s="1025"/>
      <c r="AA44" s="1026" t="str">
        <f>IF(Z44="","",'#minDung'!BZ43)</f>
        <v/>
      </c>
      <c r="AB44" s="1026" t="str">
        <f>IF(AA44="","",'#minDung'!CA43)</f>
        <v/>
      </c>
      <c r="AC44" s="1025"/>
      <c r="AD44" s="1026" t="str">
        <f>IF(AC44="","",'#minDung'!CI43)</f>
        <v/>
      </c>
      <c r="AE44" s="1026" t="str">
        <f>IF(AD44="","",'#minDung'!CJ43)</f>
        <v/>
      </c>
      <c r="AF44" s="1025"/>
      <c r="AG44" s="1026" t="str">
        <f>IF(AF44="","",'#minDung'!CR43)</f>
        <v/>
      </c>
      <c r="AH44" s="1026" t="str">
        <f>IF(AG44="","",'#minDung'!CS43)</f>
        <v/>
      </c>
      <c r="AI44" s="1025"/>
      <c r="AJ44" s="1026" t="str">
        <f>IF(AI44="","",'#minDung'!DA43)</f>
        <v/>
      </c>
      <c r="AK44" s="1026" t="str">
        <f>IF(AJ44="","",'#minDung'!DB43)</f>
        <v/>
      </c>
      <c r="AL44" s="1025"/>
      <c r="AM44" s="1026" t="str">
        <f>IF(AL44="","",'#minDung'!DJ43)</f>
        <v/>
      </c>
      <c r="AN44" s="1026" t="str">
        <f>IF(AM44="","",'#minDung'!DK43)</f>
        <v/>
      </c>
      <c r="AO44" s="1025"/>
      <c r="AP44" s="1026" t="str">
        <f>IF(AO44="","",'#minDung'!DS43)</f>
        <v/>
      </c>
      <c r="AQ44" s="1026" t="str">
        <f>IF(AP44="","",'#minDung'!DT43)</f>
        <v/>
      </c>
      <c r="AR44" s="1025"/>
      <c r="AS44" s="1026" t="str">
        <f>IF(AR44="","",'#minDung'!EB43)</f>
        <v/>
      </c>
      <c r="AT44" s="1026" t="str">
        <f>IF(AS44="","",'#minDung'!EC43)</f>
        <v/>
      </c>
      <c r="AU44" s="1025"/>
      <c r="AV44" s="1026" t="str">
        <f>IF(AU44="","",'#minDung'!EK43)</f>
        <v/>
      </c>
      <c r="AW44" s="1026" t="str">
        <f>IF(AV44="","",'#minDung'!EL43)</f>
        <v/>
      </c>
      <c r="AX44" s="1025"/>
      <c r="AY44" s="1026" t="str">
        <f>IF(AX44="","",'#minDung'!ET43)</f>
        <v/>
      </c>
      <c r="AZ44" s="1026" t="str">
        <f>IF(AY44="","",'#minDung'!EU43)</f>
        <v/>
      </c>
      <c r="BA44" s="1025"/>
      <c r="BB44" s="1026" t="str">
        <f>IF(BA44="","",'#minDung'!FC43)</f>
        <v/>
      </c>
      <c r="BC44" s="1026" t="str">
        <f>IF(BB44="","",'#minDung'!FD43)</f>
        <v/>
      </c>
      <c r="BD44" s="1025"/>
      <c r="BE44" s="1026" t="str">
        <f>IF(BD44="","",'#minDung'!FL43)</f>
        <v/>
      </c>
      <c r="BF44" s="1026" t="str">
        <f>IF(BE44="","",'#minDung'!FM43)</f>
        <v/>
      </c>
      <c r="BG44" s="1025"/>
      <c r="BH44" s="1026" t="str">
        <f>IF(BG44="","",'#minDung'!FU43)</f>
        <v/>
      </c>
      <c r="BI44" s="1026" t="str">
        <f>IF(BH44="","",'#minDung'!FV43)</f>
        <v/>
      </c>
      <c r="BJ44" s="1025"/>
      <c r="BK44" s="1026" t="str">
        <f>IF(BJ44="","",'#minDung'!GD43)</f>
        <v/>
      </c>
      <c r="BL44" s="1026" t="str">
        <f>IF(BK44="","",'#minDung'!GE43)</f>
        <v/>
      </c>
      <c r="BM44" s="1025"/>
      <c r="BN44" s="1026" t="str">
        <f>IF(BM44="","",'#minDung'!GM43)</f>
        <v/>
      </c>
      <c r="BO44" s="1026" t="str">
        <f>IF(BN44="","",'#minDung'!GN43)</f>
        <v/>
      </c>
      <c r="BP44" s="1025"/>
      <c r="BQ44" s="1026" t="str">
        <f>IF(BP44="","",'#minDung'!GV43)</f>
        <v/>
      </c>
      <c r="BR44" s="1026" t="str">
        <f>IF(BQ44="","",'#minDung'!GW43)</f>
        <v/>
      </c>
      <c r="BS44" s="1025"/>
      <c r="BT44" s="1026" t="str">
        <f>IF(BS44="","",'#minDung'!HE43)</f>
        <v/>
      </c>
      <c r="BU44" s="1026" t="str">
        <f>IF(BT44="","",'#minDung'!HF43)</f>
        <v/>
      </c>
      <c r="BV44" s="1025"/>
      <c r="BW44" s="1026" t="str">
        <f>IF(BV44="","",'#minDung'!HN43)</f>
        <v/>
      </c>
      <c r="BX44" s="1026" t="str">
        <f>IF(BW44="","",'#minDung'!HO43)</f>
        <v/>
      </c>
      <c r="BY44" s="1025"/>
      <c r="BZ44" s="1026" t="str">
        <f>IF(BY44="","",'#minDung'!HW43)</f>
        <v/>
      </c>
      <c r="CA44" s="1026" t="str">
        <f>IF(BZ44="","",'#minDung'!HX43)</f>
        <v/>
      </c>
      <c r="CB44" s="1025"/>
      <c r="CC44" s="1026" t="str">
        <f>IF(CB44="","",'#minDung'!IF43)</f>
        <v/>
      </c>
      <c r="CD44" s="1026" t="str">
        <f>IF(CC44="","",'#minDung'!IG43)</f>
        <v/>
      </c>
      <c r="CE44" s="1025"/>
      <c r="CF44" s="1026" t="str">
        <f>IF(CE44="","",'#minDung'!IO43)</f>
        <v/>
      </c>
      <c r="CG44" s="1026" t="str">
        <f>IF(CF44="","",'#minDung'!IP43)</f>
        <v/>
      </c>
      <c r="CH44" s="1025"/>
      <c r="CI44" s="1026" t="str">
        <f>IF(CH44="","",'#minDung'!IX43)</f>
        <v/>
      </c>
      <c r="CJ44" s="1026" t="str">
        <f>IF(CI44="","",'#minDung'!IY43)</f>
        <v/>
      </c>
      <c r="CK44" s="1025"/>
      <c r="CL44" s="1026" t="str">
        <f>IF(CK44="","",'#minDung'!JG43)</f>
        <v/>
      </c>
      <c r="CM44" s="1026" t="str">
        <f>IF(CL44="","",'#minDung'!JH43)</f>
        <v/>
      </c>
      <c r="CN44" s="1025"/>
      <c r="CO44" s="1026" t="str">
        <f>IF(CN44="","",'#minDung'!JP43)</f>
        <v/>
      </c>
      <c r="CP44" s="1026" t="str">
        <f>IF(CO44="","",'#minDung'!JQ43)</f>
        <v/>
      </c>
      <c r="CQ44" s="1025"/>
      <c r="CR44" s="1026" t="str">
        <f>IF(CQ44="","",'#minDung'!JY43)</f>
        <v/>
      </c>
      <c r="CS44" s="1030" t="str">
        <f>IF(CR44="","",'#minDung'!JZ43)</f>
        <v/>
      </c>
      <c r="CT44" s="170"/>
    </row>
    <row r="45" spans="1:98" s="875" customFormat="1" ht="15" customHeight="1" x14ac:dyDescent="0.2">
      <c r="A45" s="1205">
        <f>'Flächen u. Kulturen'!A43</f>
        <v>34</v>
      </c>
      <c r="B45" s="1205" t="str">
        <f>+'org. Düngung 22'!B46</f>
        <v/>
      </c>
      <c r="C45" s="1206" t="str">
        <f>'org. Düngung 22'!C46</f>
        <v/>
      </c>
      <c r="D45" s="1197" t="str">
        <f>'org. Düngung 22'!D46</f>
        <v/>
      </c>
      <c r="E45" s="1207" t="str">
        <f>'org. Düngung 22'!E46</f>
        <v/>
      </c>
      <c r="F45" s="1199" t="str">
        <f>'org. Düngung 22'!F46</f>
        <v/>
      </c>
      <c r="G45" s="1201" t="str">
        <f>IF(C45="","",IF(COUNT('#minDung'!KF44:KJ44)=0,"OK",TRIM(CONCATENATE('#minDung'!KF44," ",'#minDung'!KG44," ",'#minDung'!KH44," ",'#minDung'!KI44," ",'#minDung'!KJ44))))</f>
        <v/>
      </c>
      <c r="H45" s="1025"/>
      <c r="I45" s="1026" t="str">
        <f>IF(H45="","",'#minDung'!X44)</f>
        <v/>
      </c>
      <c r="J45" s="1026" t="str">
        <f>IF(I45="","",'#minDung'!Y44)</f>
        <v/>
      </c>
      <c r="K45" s="1025"/>
      <c r="L45" s="1026" t="str">
        <f>IF(K45="","",'#minDung'!AG44)</f>
        <v/>
      </c>
      <c r="M45" s="1026" t="str">
        <f>IF(L45="","",'#minDung'!AH44)</f>
        <v/>
      </c>
      <c r="N45" s="1025"/>
      <c r="O45" s="1026" t="str">
        <f>IF(N45="","",'#minDung'!AP44)</f>
        <v/>
      </c>
      <c r="P45" s="1026" t="str">
        <f>IF(O45="","",'#minDung'!AQ44)</f>
        <v/>
      </c>
      <c r="Q45" s="1025"/>
      <c r="R45" s="1026" t="str">
        <f>IF(Q45="","",'#minDung'!AY44)</f>
        <v/>
      </c>
      <c r="S45" s="1026" t="str">
        <f>IF(R45="","",'#minDung'!AZ44)</f>
        <v/>
      </c>
      <c r="T45" s="1025"/>
      <c r="U45" s="1026" t="str">
        <f>IF(T45="","",'#minDung'!BH44)</f>
        <v/>
      </c>
      <c r="V45" s="1026" t="str">
        <f>IF(U45="","",'#minDung'!BI44)</f>
        <v/>
      </c>
      <c r="W45" s="1025"/>
      <c r="X45" s="1026" t="str">
        <f>IF(W45="","",'#minDung'!BQ44)</f>
        <v/>
      </c>
      <c r="Y45" s="1026" t="str">
        <f>IF(X45="","",'#minDung'!BR44)</f>
        <v/>
      </c>
      <c r="Z45" s="1025"/>
      <c r="AA45" s="1026" t="str">
        <f>IF(Z45="","",'#minDung'!BZ44)</f>
        <v/>
      </c>
      <c r="AB45" s="1026" t="str">
        <f>IF(AA45="","",'#minDung'!CA44)</f>
        <v/>
      </c>
      <c r="AC45" s="1025"/>
      <c r="AD45" s="1026" t="str">
        <f>IF(AC45="","",'#minDung'!CI44)</f>
        <v/>
      </c>
      <c r="AE45" s="1026" t="str">
        <f>IF(AD45="","",'#minDung'!CJ44)</f>
        <v/>
      </c>
      <c r="AF45" s="1025"/>
      <c r="AG45" s="1026" t="str">
        <f>IF(AF45="","",'#minDung'!CR44)</f>
        <v/>
      </c>
      <c r="AH45" s="1026" t="str">
        <f>IF(AG45="","",'#minDung'!CS44)</f>
        <v/>
      </c>
      <c r="AI45" s="1025"/>
      <c r="AJ45" s="1026" t="str">
        <f>IF(AI45="","",'#minDung'!DA44)</f>
        <v/>
      </c>
      <c r="AK45" s="1026" t="str">
        <f>IF(AJ45="","",'#minDung'!DB44)</f>
        <v/>
      </c>
      <c r="AL45" s="1025"/>
      <c r="AM45" s="1026" t="str">
        <f>IF(AL45="","",'#minDung'!DJ44)</f>
        <v/>
      </c>
      <c r="AN45" s="1026" t="str">
        <f>IF(AM45="","",'#minDung'!DK44)</f>
        <v/>
      </c>
      <c r="AO45" s="1025"/>
      <c r="AP45" s="1026" t="str">
        <f>IF(AO45="","",'#minDung'!DS44)</f>
        <v/>
      </c>
      <c r="AQ45" s="1026" t="str">
        <f>IF(AP45="","",'#minDung'!DT44)</f>
        <v/>
      </c>
      <c r="AR45" s="1025"/>
      <c r="AS45" s="1026" t="str">
        <f>IF(AR45="","",'#minDung'!EB44)</f>
        <v/>
      </c>
      <c r="AT45" s="1026" t="str">
        <f>IF(AS45="","",'#minDung'!EC44)</f>
        <v/>
      </c>
      <c r="AU45" s="1025"/>
      <c r="AV45" s="1026" t="str">
        <f>IF(AU45="","",'#minDung'!EK44)</f>
        <v/>
      </c>
      <c r="AW45" s="1026" t="str">
        <f>IF(AV45="","",'#minDung'!EL44)</f>
        <v/>
      </c>
      <c r="AX45" s="1025"/>
      <c r="AY45" s="1026" t="str">
        <f>IF(AX45="","",'#minDung'!ET44)</f>
        <v/>
      </c>
      <c r="AZ45" s="1026" t="str">
        <f>IF(AY45="","",'#minDung'!EU44)</f>
        <v/>
      </c>
      <c r="BA45" s="1025"/>
      <c r="BB45" s="1026" t="str">
        <f>IF(BA45="","",'#minDung'!FC44)</f>
        <v/>
      </c>
      <c r="BC45" s="1026" t="str">
        <f>IF(BB45="","",'#minDung'!FD44)</f>
        <v/>
      </c>
      <c r="BD45" s="1025"/>
      <c r="BE45" s="1026" t="str">
        <f>IF(BD45="","",'#minDung'!FL44)</f>
        <v/>
      </c>
      <c r="BF45" s="1026" t="str">
        <f>IF(BE45="","",'#minDung'!FM44)</f>
        <v/>
      </c>
      <c r="BG45" s="1025"/>
      <c r="BH45" s="1026" t="str">
        <f>IF(BG45="","",'#minDung'!FU44)</f>
        <v/>
      </c>
      <c r="BI45" s="1026" t="str">
        <f>IF(BH45="","",'#minDung'!FV44)</f>
        <v/>
      </c>
      <c r="BJ45" s="1025"/>
      <c r="BK45" s="1026" t="str">
        <f>IF(BJ45="","",'#minDung'!GD44)</f>
        <v/>
      </c>
      <c r="BL45" s="1026" t="str">
        <f>IF(BK45="","",'#minDung'!GE44)</f>
        <v/>
      </c>
      <c r="BM45" s="1025"/>
      <c r="BN45" s="1026" t="str">
        <f>IF(BM45="","",'#minDung'!GM44)</f>
        <v/>
      </c>
      <c r="BO45" s="1026" t="str">
        <f>IF(BN45="","",'#minDung'!GN44)</f>
        <v/>
      </c>
      <c r="BP45" s="1025"/>
      <c r="BQ45" s="1026" t="str">
        <f>IF(BP45="","",'#minDung'!GV44)</f>
        <v/>
      </c>
      <c r="BR45" s="1026" t="str">
        <f>IF(BQ45="","",'#minDung'!GW44)</f>
        <v/>
      </c>
      <c r="BS45" s="1025"/>
      <c r="BT45" s="1026" t="str">
        <f>IF(BS45="","",'#minDung'!HE44)</f>
        <v/>
      </c>
      <c r="BU45" s="1026" t="str">
        <f>IF(BT45="","",'#minDung'!HF44)</f>
        <v/>
      </c>
      <c r="BV45" s="1025"/>
      <c r="BW45" s="1026" t="str">
        <f>IF(BV45="","",'#minDung'!HN44)</f>
        <v/>
      </c>
      <c r="BX45" s="1026" t="str">
        <f>IF(BW45="","",'#minDung'!HO44)</f>
        <v/>
      </c>
      <c r="BY45" s="1025"/>
      <c r="BZ45" s="1026" t="str">
        <f>IF(BY45="","",'#minDung'!HW44)</f>
        <v/>
      </c>
      <c r="CA45" s="1026" t="str">
        <f>IF(BZ45="","",'#minDung'!HX44)</f>
        <v/>
      </c>
      <c r="CB45" s="1025"/>
      <c r="CC45" s="1026" t="str">
        <f>IF(CB45="","",'#minDung'!IF44)</f>
        <v/>
      </c>
      <c r="CD45" s="1026" t="str">
        <f>IF(CC45="","",'#minDung'!IG44)</f>
        <v/>
      </c>
      <c r="CE45" s="1025"/>
      <c r="CF45" s="1026" t="str">
        <f>IF(CE45="","",'#minDung'!IO44)</f>
        <v/>
      </c>
      <c r="CG45" s="1026" t="str">
        <f>IF(CF45="","",'#minDung'!IP44)</f>
        <v/>
      </c>
      <c r="CH45" s="1025"/>
      <c r="CI45" s="1026" t="str">
        <f>IF(CH45="","",'#minDung'!IX44)</f>
        <v/>
      </c>
      <c r="CJ45" s="1026" t="str">
        <f>IF(CI45="","",'#minDung'!IY44)</f>
        <v/>
      </c>
      <c r="CK45" s="1025"/>
      <c r="CL45" s="1026" t="str">
        <f>IF(CK45="","",'#minDung'!JG44)</f>
        <v/>
      </c>
      <c r="CM45" s="1026" t="str">
        <f>IF(CL45="","",'#minDung'!JH44)</f>
        <v/>
      </c>
      <c r="CN45" s="1025"/>
      <c r="CO45" s="1026" t="str">
        <f>IF(CN45="","",'#minDung'!JP44)</f>
        <v/>
      </c>
      <c r="CP45" s="1026" t="str">
        <f>IF(CO45="","",'#minDung'!JQ44)</f>
        <v/>
      </c>
      <c r="CQ45" s="1025"/>
      <c r="CR45" s="1026" t="str">
        <f>IF(CQ45="","",'#minDung'!JY44)</f>
        <v/>
      </c>
      <c r="CS45" s="1030" t="str">
        <f>IF(CR45="","",'#minDung'!JZ44)</f>
        <v/>
      </c>
      <c r="CT45" s="170"/>
    </row>
    <row r="46" spans="1:98" s="875" customFormat="1" ht="15" customHeight="1" x14ac:dyDescent="0.2">
      <c r="A46" s="1205">
        <f>'Flächen u. Kulturen'!A44</f>
        <v>35</v>
      </c>
      <c r="B46" s="1205" t="str">
        <f>+'org. Düngung 22'!B47</f>
        <v/>
      </c>
      <c r="C46" s="1206" t="str">
        <f>'org. Düngung 22'!C47</f>
        <v/>
      </c>
      <c r="D46" s="1197" t="str">
        <f>'org. Düngung 22'!D47</f>
        <v/>
      </c>
      <c r="E46" s="1207" t="str">
        <f>'org. Düngung 22'!E47</f>
        <v/>
      </c>
      <c r="F46" s="1199" t="str">
        <f>'org. Düngung 22'!F47</f>
        <v/>
      </c>
      <c r="G46" s="1201" t="str">
        <f>IF(C46="","",IF(COUNT('#minDung'!KF45:KJ45)=0,"OK",TRIM(CONCATENATE('#minDung'!KF45," ",'#minDung'!KG45," ",'#minDung'!KH45," ",'#minDung'!KI45," ",'#minDung'!KJ45))))</f>
        <v/>
      </c>
      <c r="H46" s="1025"/>
      <c r="I46" s="1026" t="str">
        <f>IF(H46="","",'#minDung'!X45)</f>
        <v/>
      </c>
      <c r="J46" s="1026" t="str">
        <f>IF(I46="","",'#minDung'!Y45)</f>
        <v/>
      </c>
      <c r="K46" s="1025"/>
      <c r="L46" s="1026" t="str">
        <f>IF(K46="","",'#minDung'!AG45)</f>
        <v/>
      </c>
      <c r="M46" s="1026" t="str">
        <f>IF(L46="","",'#minDung'!AH45)</f>
        <v/>
      </c>
      <c r="N46" s="1025"/>
      <c r="O46" s="1026" t="str">
        <f>IF(N46="","",'#minDung'!AP45)</f>
        <v/>
      </c>
      <c r="P46" s="1026" t="str">
        <f>IF(O46="","",'#minDung'!AQ45)</f>
        <v/>
      </c>
      <c r="Q46" s="1025"/>
      <c r="R46" s="1026" t="str">
        <f>IF(Q46="","",'#minDung'!AY45)</f>
        <v/>
      </c>
      <c r="S46" s="1026" t="str">
        <f>IF(R46="","",'#minDung'!AZ45)</f>
        <v/>
      </c>
      <c r="T46" s="1025"/>
      <c r="U46" s="1026" t="str">
        <f>IF(T46="","",'#minDung'!BH45)</f>
        <v/>
      </c>
      <c r="V46" s="1026" t="str">
        <f>IF(U46="","",'#minDung'!BI45)</f>
        <v/>
      </c>
      <c r="W46" s="1025"/>
      <c r="X46" s="1026" t="str">
        <f>IF(W46="","",'#minDung'!BQ45)</f>
        <v/>
      </c>
      <c r="Y46" s="1026" t="str">
        <f>IF(X46="","",'#minDung'!BR45)</f>
        <v/>
      </c>
      <c r="Z46" s="1025"/>
      <c r="AA46" s="1026" t="str">
        <f>IF(Z46="","",'#minDung'!BZ45)</f>
        <v/>
      </c>
      <c r="AB46" s="1026" t="str">
        <f>IF(AA46="","",'#minDung'!CA45)</f>
        <v/>
      </c>
      <c r="AC46" s="1025"/>
      <c r="AD46" s="1026" t="str">
        <f>IF(AC46="","",'#minDung'!CI45)</f>
        <v/>
      </c>
      <c r="AE46" s="1026" t="str">
        <f>IF(AD46="","",'#minDung'!CJ45)</f>
        <v/>
      </c>
      <c r="AF46" s="1025"/>
      <c r="AG46" s="1026" t="str">
        <f>IF(AF46="","",'#minDung'!CR45)</f>
        <v/>
      </c>
      <c r="AH46" s="1026" t="str">
        <f>IF(AG46="","",'#minDung'!CS45)</f>
        <v/>
      </c>
      <c r="AI46" s="1025"/>
      <c r="AJ46" s="1026" t="str">
        <f>IF(AI46="","",'#minDung'!DA45)</f>
        <v/>
      </c>
      <c r="AK46" s="1026" t="str">
        <f>IF(AJ46="","",'#minDung'!DB45)</f>
        <v/>
      </c>
      <c r="AL46" s="1025"/>
      <c r="AM46" s="1026" t="str">
        <f>IF(AL46="","",'#minDung'!DJ45)</f>
        <v/>
      </c>
      <c r="AN46" s="1026" t="str">
        <f>IF(AM46="","",'#minDung'!DK45)</f>
        <v/>
      </c>
      <c r="AO46" s="1025"/>
      <c r="AP46" s="1026" t="str">
        <f>IF(AO46="","",'#minDung'!DS45)</f>
        <v/>
      </c>
      <c r="AQ46" s="1026" t="str">
        <f>IF(AP46="","",'#minDung'!DT45)</f>
        <v/>
      </c>
      <c r="AR46" s="1025"/>
      <c r="AS46" s="1026" t="str">
        <f>IF(AR46="","",'#minDung'!EB45)</f>
        <v/>
      </c>
      <c r="AT46" s="1026" t="str">
        <f>IF(AS46="","",'#minDung'!EC45)</f>
        <v/>
      </c>
      <c r="AU46" s="1025"/>
      <c r="AV46" s="1026" t="str">
        <f>IF(AU46="","",'#minDung'!EK45)</f>
        <v/>
      </c>
      <c r="AW46" s="1026" t="str">
        <f>IF(AV46="","",'#minDung'!EL45)</f>
        <v/>
      </c>
      <c r="AX46" s="1025"/>
      <c r="AY46" s="1026" t="str">
        <f>IF(AX46="","",'#minDung'!ET45)</f>
        <v/>
      </c>
      <c r="AZ46" s="1026" t="str">
        <f>IF(AY46="","",'#minDung'!EU45)</f>
        <v/>
      </c>
      <c r="BA46" s="1025"/>
      <c r="BB46" s="1026" t="str">
        <f>IF(BA46="","",'#minDung'!FC45)</f>
        <v/>
      </c>
      <c r="BC46" s="1026" t="str">
        <f>IF(BB46="","",'#minDung'!FD45)</f>
        <v/>
      </c>
      <c r="BD46" s="1025"/>
      <c r="BE46" s="1026" t="str">
        <f>IF(BD46="","",'#minDung'!FL45)</f>
        <v/>
      </c>
      <c r="BF46" s="1026" t="str">
        <f>IF(BE46="","",'#minDung'!FM45)</f>
        <v/>
      </c>
      <c r="BG46" s="1025"/>
      <c r="BH46" s="1026" t="str">
        <f>IF(BG46="","",'#minDung'!FU45)</f>
        <v/>
      </c>
      <c r="BI46" s="1026" t="str">
        <f>IF(BH46="","",'#minDung'!FV45)</f>
        <v/>
      </c>
      <c r="BJ46" s="1025"/>
      <c r="BK46" s="1026" t="str">
        <f>IF(BJ46="","",'#minDung'!GD45)</f>
        <v/>
      </c>
      <c r="BL46" s="1026" t="str">
        <f>IF(BK46="","",'#minDung'!GE45)</f>
        <v/>
      </c>
      <c r="BM46" s="1025"/>
      <c r="BN46" s="1026" t="str">
        <f>IF(BM46="","",'#minDung'!GM45)</f>
        <v/>
      </c>
      <c r="BO46" s="1026" t="str">
        <f>IF(BN46="","",'#minDung'!GN45)</f>
        <v/>
      </c>
      <c r="BP46" s="1025"/>
      <c r="BQ46" s="1026" t="str">
        <f>IF(BP46="","",'#minDung'!GV45)</f>
        <v/>
      </c>
      <c r="BR46" s="1026" t="str">
        <f>IF(BQ46="","",'#minDung'!GW45)</f>
        <v/>
      </c>
      <c r="BS46" s="1025"/>
      <c r="BT46" s="1026" t="str">
        <f>IF(BS46="","",'#minDung'!HE45)</f>
        <v/>
      </c>
      <c r="BU46" s="1026" t="str">
        <f>IF(BT46="","",'#minDung'!HF45)</f>
        <v/>
      </c>
      <c r="BV46" s="1025"/>
      <c r="BW46" s="1026" t="str">
        <f>IF(BV46="","",'#minDung'!HN45)</f>
        <v/>
      </c>
      <c r="BX46" s="1026" t="str">
        <f>IF(BW46="","",'#minDung'!HO45)</f>
        <v/>
      </c>
      <c r="BY46" s="1025"/>
      <c r="BZ46" s="1026" t="str">
        <f>IF(BY46="","",'#minDung'!HW45)</f>
        <v/>
      </c>
      <c r="CA46" s="1026" t="str">
        <f>IF(BZ46="","",'#minDung'!HX45)</f>
        <v/>
      </c>
      <c r="CB46" s="1025"/>
      <c r="CC46" s="1026" t="str">
        <f>IF(CB46="","",'#minDung'!IF45)</f>
        <v/>
      </c>
      <c r="CD46" s="1026" t="str">
        <f>IF(CC46="","",'#minDung'!IG45)</f>
        <v/>
      </c>
      <c r="CE46" s="1025"/>
      <c r="CF46" s="1026" t="str">
        <f>IF(CE46="","",'#minDung'!IO45)</f>
        <v/>
      </c>
      <c r="CG46" s="1026" t="str">
        <f>IF(CF46="","",'#minDung'!IP45)</f>
        <v/>
      </c>
      <c r="CH46" s="1025"/>
      <c r="CI46" s="1026" t="str">
        <f>IF(CH46="","",'#minDung'!IX45)</f>
        <v/>
      </c>
      <c r="CJ46" s="1026" t="str">
        <f>IF(CI46="","",'#minDung'!IY45)</f>
        <v/>
      </c>
      <c r="CK46" s="1025"/>
      <c r="CL46" s="1026" t="str">
        <f>IF(CK46="","",'#minDung'!JG45)</f>
        <v/>
      </c>
      <c r="CM46" s="1026" t="str">
        <f>IF(CL46="","",'#minDung'!JH45)</f>
        <v/>
      </c>
      <c r="CN46" s="1025"/>
      <c r="CO46" s="1026" t="str">
        <f>IF(CN46="","",'#minDung'!JP45)</f>
        <v/>
      </c>
      <c r="CP46" s="1026" t="str">
        <f>IF(CO46="","",'#minDung'!JQ45)</f>
        <v/>
      </c>
      <c r="CQ46" s="1025"/>
      <c r="CR46" s="1026" t="str">
        <f>IF(CQ46="","",'#minDung'!JY45)</f>
        <v/>
      </c>
      <c r="CS46" s="1030" t="str">
        <f>IF(CR46="","",'#minDung'!JZ45)</f>
        <v/>
      </c>
      <c r="CT46" s="170"/>
    </row>
    <row r="47" spans="1:98" s="875" customFormat="1" ht="15" customHeight="1" x14ac:dyDescent="0.2">
      <c r="A47" s="1205">
        <f>'Flächen u. Kulturen'!A45</f>
        <v>36</v>
      </c>
      <c r="B47" s="1205" t="str">
        <f>+'org. Düngung 22'!B48</f>
        <v/>
      </c>
      <c r="C47" s="1206" t="str">
        <f>'org. Düngung 22'!C48</f>
        <v/>
      </c>
      <c r="D47" s="1197" t="str">
        <f>'org. Düngung 22'!D48</f>
        <v/>
      </c>
      <c r="E47" s="1207" t="str">
        <f>'org. Düngung 22'!E48</f>
        <v/>
      </c>
      <c r="F47" s="1199" t="str">
        <f>'org. Düngung 22'!F48</f>
        <v/>
      </c>
      <c r="G47" s="1201" t="str">
        <f>IF(C47="","",IF(COUNT('#minDung'!KF46:KJ46)=0,"OK",TRIM(CONCATENATE('#minDung'!KF46," ",'#minDung'!KG46," ",'#minDung'!KH46," ",'#minDung'!KI46," ",'#minDung'!KJ46))))</f>
        <v/>
      </c>
      <c r="H47" s="1025"/>
      <c r="I47" s="1026" t="str">
        <f>IF(H47="","",'#minDung'!X46)</f>
        <v/>
      </c>
      <c r="J47" s="1026" t="str">
        <f>IF(I47="","",'#minDung'!Y46)</f>
        <v/>
      </c>
      <c r="K47" s="1025"/>
      <c r="L47" s="1026" t="str">
        <f>IF(K47="","",'#minDung'!AG46)</f>
        <v/>
      </c>
      <c r="M47" s="1026" t="str">
        <f>IF(L47="","",'#minDung'!AH46)</f>
        <v/>
      </c>
      <c r="N47" s="1025"/>
      <c r="O47" s="1026" t="str">
        <f>IF(N47="","",'#minDung'!AP46)</f>
        <v/>
      </c>
      <c r="P47" s="1026" t="str">
        <f>IF(O47="","",'#minDung'!AQ46)</f>
        <v/>
      </c>
      <c r="Q47" s="1025"/>
      <c r="R47" s="1026" t="str">
        <f>IF(Q47="","",'#minDung'!AY46)</f>
        <v/>
      </c>
      <c r="S47" s="1026" t="str">
        <f>IF(R47="","",'#minDung'!AZ46)</f>
        <v/>
      </c>
      <c r="T47" s="1025"/>
      <c r="U47" s="1026" t="str">
        <f>IF(T47="","",'#minDung'!BH46)</f>
        <v/>
      </c>
      <c r="V47" s="1026" t="str">
        <f>IF(U47="","",'#minDung'!BI46)</f>
        <v/>
      </c>
      <c r="W47" s="1025"/>
      <c r="X47" s="1026" t="str">
        <f>IF(W47="","",'#minDung'!BQ46)</f>
        <v/>
      </c>
      <c r="Y47" s="1026" t="str">
        <f>IF(X47="","",'#minDung'!BR46)</f>
        <v/>
      </c>
      <c r="Z47" s="1025"/>
      <c r="AA47" s="1026" t="str">
        <f>IF(Z47="","",'#minDung'!BZ46)</f>
        <v/>
      </c>
      <c r="AB47" s="1026" t="str">
        <f>IF(AA47="","",'#minDung'!CA46)</f>
        <v/>
      </c>
      <c r="AC47" s="1025"/>
      <c r="AD47" s="1026" t="str">
        <f>IF(AC47="","",'#minDung'!CI46)</f>
        <v/>
      </c>
      <c r="AE47" s="1026" t="str">
        <f>IF(AD47="","",'#minDung'!CJ46)</f>
        <v/>
      </c>
      <c r="AF47" s="1025"/>
      <c r="AG47" s="1026" t="str">
        <f>IF(AF47="","",'#minDung'!CR46)</f>
        <v/>
      </c>
      <c r="AH47" s="1026" t="str">
        <f>IF(AG47="","",'#minDung'!CS46)</f>
        <v/>
      </c>
      <c r="AI47" s="1025"/>
      <c r="AJ47" s="1026" t="str">
        <f>IF(AI47="","",'#minDung'!DA46)</f>
        <v/>
      </c>
      <c r="AK47" s="1026" t="str">
        <f>IF(AJ47="","",'#minDung'!DB46)</f>
        <v/>
      </c>
      <c r="AL47" s="1025"/>
      <c r="AM47" s="1026" t="str">
        <f>IF(AL47="","",'#minDung'!DJ46)</f>
        <v/>
      </c>
      <c r="AN47" s="1026" t="str">
        <f>IF(AM47="","",'#minDung'!DK46)</f>
        <v/>
      </c>
      <c r="AO47" s="1025"/>
      <c r="AP47" s="1026" t="str">
        <f>IF(AO47="","",'#minDung'!DS46)</f>
        <v/>
      </c>
      <c r="AQ47" s="1026" t="str">
        <f>IF(AP47="","",'#minDung'!DT46)</f>
        <v/>
      </c>
      <c r="AR47" s="1025"/>
      <c r="AS47" s="1026" t="str">
        <f>IF(AR47="","",'#minDung'!EB46)</f>
        <v/>
      </c>
      <c r="AT47" s="1026" t="str">
        <f>IF(AS47="","",'#minDung'!EC46)</f>
        <v/>
      </c>
      <c r="AU47" s="1025"/>
      <c r="AV47" s="1026" t="str">
        <f>IF(AU47="","",'#minDung'!EK46)</f>
        <v/>
      </c>
      <c r="AW47" s="1026" t="str">
        <f>IF(AV47="","",'#minDung'!EL46)</f>
        <v/>
      </c>
      <c r="AX47" s="1025"/>
      <c r="AY47" s="1026" t="str">
        <f>IF(AX47="","",'#minDung'!ET46)</f>
        <v/>
      </c>
      <c r="AZ47" s="1026" t="str">
        <f>IF(AY47="","",'#minDung'!EU46)</f>
        <v/>
      </c>
      <c r="BA47" s="1025"/>
      <c r="BB47" s="1026" t="str">
        <f>IF(BA47="","",'#minDung'!FC46)</f>
        <v/>
      </c>
      <c r="BC47" s="1026" t="str">
        <f>IF(BB47="","",'#minDung'!FD46)</f>
        <v/>
      </c>
      <c r="BD47" s="1025"/>
      <c r="BE47" s="1026" t="str">
        <f>IF(BD47="","",'#minDung'!FL46)</f>
        <v/>
      </c>
      <c r="BF47" s="1026" t="str">
        <f>IF(BE47="","",'#minDung'!FM46)</f>
        <v/>
      </c>
      <c r="BG47" s="1025"/>
      <c r="BH47" s="1026" t="str">
        <f>IF(BG47="","",'#minDung'!FU46)</f>
        <v/>
      </c>
      <c r="BI47" s="1026" t="str">
        <f>IF(BH47="","",'#minDung'!FV46)</f>
        <v/>
      </c>
      <c r="BJ47" s="1025"/>
      <c r="BK47" s="1026" t="str">
        <f>IF(BJ47="","",'#minDung'!GD46)</f>
        <v/>
      </c>
      <c r="BL47" s="1026" t="str">
        <f>IF(BK47="","",'#minDung'!GE46)</f>
        <v/>
      </c>
      <c r="BM47" s="1025"/>
      <c r="BN47" s="1026" t="str">
        <f>IF(BM47="","",'#minDung'!GM46)</f>
        <v/>
      </c>
      <c r="BO47" s="1026" t="str">
        <f>IF(BN47="","",'#minDung'!GN46)</f>
        <v/>
      </c>
      <c r="BP47" s="1025"/>
      <c r="BQ47" s="1026" t="str">
        <f>IF(BP47="","",'#minDung'!GV46)</f>
        <v/>
      </c>
      <c r="BR47" s="1026" t="str">
        <f>IF(BQ47="","",'#minDung'!GW46)</f>
        <v/>
      </c>
      <c r="BS47" s="1025"/>
      <c r="BT47" s="1026" t="str">
        <f>IF(BS47="","",'#minDung'!HE46)</f>
        <v/>
      </c>
      <c r="BU47" s="1026" t="str">
        <f>IF(BT47="","",'#minDung'!HF46)</f>
        <v/>
      </c>
      <c r="BV47" s="1025"/>
      <c r="BW47" s="1026" t="str">
        <f>IF(BV47="","",'#minDung'!HN46)</f>
        <v/>
      </c>
      <c r="BX47" s="1026" t="str">
        <f>IF(BW47="","",'#minDung'!HO46)</f>
        <v/>
      </c>
      <c r="BY47" s="1025"/>
      <c r="BZ47" s="1026" t="str">
        <f>IF(BY47="","",'#minDung'!HW46)</f>
        <v/>
      </c>
      <c r="CA47" s="1026" t="str">
        <f>IF(BZ47="","",'#minDung'!HX46)</f>
        <v/>
      </c>
      <c r="CB47" s="1025"/>
      <c r="CC47" s="1026" t="str">
        <f>IF(CB47="","",'#minDung'!IF46)</f>
        <v/>
      </c>
      <c r="CD47" s="1026" t="str">
        <f>IF(CC47="","",'#minDung'!IG46)</f>
        <v/>
      </c>
      <c r="CE47" s="1025"/>
      <c r="CF47" s="1026" t="str">
        <f>IF(CE47="","",'#minDung'!IO46)</f>
        <v/>
      </c>
      <c r="CG47" s="1026" t="str">
        <f>IF(CF47="","",'#minDung'!IP46)</f>
        <v/>
      </c>
      <c r="CH47" s="1025"/>
      <c r="CI47" s="1026" t="str">
        <f>IF(CH47="","",'#minDung'!IX46)</f>
        <v/>
      </c>
      <c r="CJ47" s="1026" t="str">
        <f>IF(CI47="","",'#minDung'!IY46)</f>
        <v/>
      </c>
      <c r="CK47" s="1025"/>
      <c r="CL47" s="1026" t="str">
        <f>IF(CK47="","",'#minDung'!JG46)</f>
        <v/>
      </c>
      <c r="CM47" s="1026" t="str">
        <f>IF(CL47="","",'#minDung'!JH46)</f>
        <v/>
      </c>
      <c r="CN47" s="1025"/>
      <c r="CO47" s="1026" t="str">
        <f>IF(CN47="","",'#minDung'!JP46)</f>
        <v/>
      </c>
      <c r="CP47" s="1026" t="str">
        <f>IF(CO47="","",'#minDung'!JQ46)</f>
        <v/>
      </c>
      <c r="CQ47" s="1025"/>
      <c r="CR47" s="1026" t="str">
        <f>IF(CQ47="","",'#minDung'!JY46)</f>
        <v/>
      </c>
      <c r="CS47" s="1030" t="str">
        <f>IF(CR47="","",'#minDung'!JZ46)</f>
        <v/>
      </c>
      <c r="CT47" s="170"/>
    </row>
    <row r="48" spans="1:98" s="875" customFormat="1" ht="15" customHeight="1" x14ac:dyDescent="0.2">
      <c r="A48" s="1205">
        <f>'Flächen u. Kulturen'!A46</f>
        <v>37</v>
      </c>
      <c r="B48" s="1205" t="str">
        <f>+'org. Düngung 22'!B49</f>
        <v/>
      </c>
      <c r="C48" s="1206" t="str">
        <f>'org. Düngung 22'!C49</f>
        <v/>
      </c>
      <c r="D48" s="1197" t="str">
        <f>'org. Düngung 22'!D49</f>
        <v/>
      </c>
      <c r="E48" s="1207" t="str">
        <f>'org. Düngung 22'!E49</f>
        <v/>
      </c>
      <c r="F48" s="1199" t="str">
        <f>'org. Düngung 22'!F49</f>
        <v/>
      </c>
      <c r="G48" s="1201" t="str">
        <f>IF(C48="","",IF(COUNT('#minDung'!KF47:KJ47)=0,"OK",TRIM(CONCATENATE('#minDung'!KF47," ",'#minDung'!KG47," ",'#minDung'!KH47," ",'#minDung'!KI47," ",'#minDung'!KJ47))))</f>
        <v/>
      </c>
      <c r="H48" s="1025"/>
      <c r="I48" s="1026" t="str">
        <f>IF(H48="","",'#minDung'!X47)</f>
        <v/>
      </c>
      <c r="J48" s="1026" t="str">
        <f>IF(I48="","",'#minDung'!Y47)</f>
        <v/>
      </c>
      <c r="K48" s="1025"/>
      <c r="L48" s="1026" t="str">
        <f>IF(K48="","",'#minDung'!AG47)</f>
        <v/>
      </c>
      <c r="M48" s="1026" t="str">
        <f>IF(L48="","",'#minDung'!AH47)</f>
        <v/>
      </c>
      <c r="N48" s="1025"/>
      <c r="O48" s="1026" t="str">
        <f>IF(N48="","",'#minDung'!AP47)</f>
        <v/>
      </c>
      <c r="P48" s="1026" t="str">
        <f>IF(O48="","",'#minDung'!AQ47)</f>
        <v/>
      </c>
      <c r="Q48" s="1025"/>
      <c r="R48" s="1026" t="str">
        <f>IF(Q48="","",'#minDung'!AY47)</f>
        <v/>
      </c>
      <c r="S48" s="1026" t="str">
        <f>IF(R48="","",'#minDung'!AZ47)</f>
        <v/>
      </c>
      <c r="T48" s="1025"/>
      <c r="U48" s="1026" t="str">
        <f>IF(T48="","",'#minDung'!BH47)</f>
        <v/>
      </c>
      <c r="V48" s="1026" t="str">
        <f>IF(U48="","",'#minDung'!BI47)</f>
        <v/>
      </c>
      <c r="W48" s="1025"/>
      <c r="X48" s="1026" t="str">
        <f>IF(W48="","",'#minDung'!BQ47)</f>
        <v/>
      </c>
      <c r="Y48" s="1026" t="str">
        <f>IF(X48="","",'#minDung'!BR47)</f>
        <v/>
      </c>
      <c r="Z48" s="1025"/>
      <c r="AA48" s="1026" t="str">
        <f>IF(Z48="","",'#minDung'!BZ47)</f>
        <v/>
      </c>
      <c r="AB48" s="1026" t="str">
        <f>IF(AA48="","",'#minDung'!CA47)</f>
        <v/>
      </c>
      <c r="AC48" s="1025"/>
      <c r="AD48" s="1026" t="str">
        <f>IF(AC48="","",'#minDung'!CI47)</f>
        <v/>
      </c>
      <c r="AE48" s="1026" t="str">
        <f>IF(AD48="","",'#minDung'!CJ47)</f>
        <v/>
      </c>
      <c r="AF48" s="1025"/>
      <c r="AG48" s="1026" t="str">
        <f>IF(AF48="","",'#minDung'!CR47)</f>
        <v/>
      </c>
      <c r="AH48" s="1026" t="str">
        <f>IF(AG48="","",'#minDung'!CS47)</f>
        <v/>
      </c>
      <c r="AI48" s="1025"/>
      <c r="AJ48" s="1026" t="str">
        <f>IF(AI48="","",'#minDung'!DA47)</f>
        <v/>
      </c>
      <c r="AK48" s="1026" t="str">
        <f>IF(AJ48="","",'#minDung'!DB47)</f>
        <v/>
      </c>
      <c r="AL48" s="1025"/>
      <c r="AM48" s="1026" t="str">
        <f>IF(AL48="","",'#minDung'!DJ47)</f>
        <v/>
      </c>
      <c r="AN48" s="1026" t="str">
        <f>IF(AM48="","",'#minDung'!DK47)</f>
        <v/>
      </c>
      <c r="AO48" s="1025"/>
      <c r="AP48" s="1026" t="str">
        <f>IF(AO48="","",'#minDung'!DS47)</f>
        <v/>
      </c>
      <c r="AQ48" s="1026" t="str">
        <f>IF(AP48="","",'#minDung'!DT47)</f>
        <v/>
      </c>
      <c r="AR48" s="1025"/>
      <c r="AS48" s="1026" t="str">
        <f>IF(AR48="","",'#minDung'!EB47)</f>
        <v/>
      </c>
      <c r="AT48" s="1026" t="str">
        <f>IF(AS48="","",'#minDung'!EC47)</f>
        <v/>
      </c>
      <c r="AU48" s="1025"/>
      <c r="AV48" s="1026" t="str">
        <f>IF(AU48="","",'#minDung'!EK47)</f>
        <v/>
      </c>
      <c r="AW48" s="1026" t="str">
        <f>IF(AV48="","",'#minDung'!EL47)</f>
        <v/>
      </c>
      <c r="AX48" s="1025"/>
      <c r="AY48" s="1026" t="str">
        <f>IF(AX48="","",'#minDung'!ET47)</f>
        <v/>
      </c>
      <c r="AZ48" s="1026" t="str">
        <f>IF(AY48="","",'#minDung'!EU47)</f>
        <v/>
      </c>
      <c r="BA48" s="1025"/>
      <c r="BB48" s="1026" t="str">
        <f>IF(BA48="","",'#minDung'!FC47)</f>
        <v/>
      </c>
      <c r="BC48" s="1026" t="str">
        <f>IF(BB48="","",'#minDung'!FD47)</f>
        <v/>
      </c>
      <c r="BD48" s="1025"/>
      <c r="BE48" s="1026" t="str">
        <f>IF(BD48="","",'#minDung'!FL47)</f>
        <v/>
      </c>
      <c r="BF48" s="1026" t="str">
        <f>IF(BE48="","",'#minDung'!FM47)</f>
        <v/>
      </c>
      <c r="BG48" s="1025"/>
      <c r="BH48" s="1026" t="str">
        <f>IF(BG48="","",'#minDung'!FU47)</f>
        <v/>
      </c>
      <c r="BI48" s="1026" t="str">
        <f>IF(BH48="","",'#minDung'!FV47)</f>
        <v/>
      </c>
      <c r="BJ48" s="1025"/>
      <c r="BK48" s="1026" t="str">
        <f>IF(BJ48="","",'#minDung'!GD47)</f>
        <v/>
      </c>
      <c r="BL48" s="1026" t="str">
        <f>IF(BK48="","",'#minDung'!GE47)</f>
        <v/>
      </c>
      <c r="BM48" s="1025"/>
      <c r="BN48" s="1026" t="str">
        <f>IF(BM48="","",'#minDung'!GM47)</f>
        <v/>
      </c>
      <c r="BO48" s="1026" t="str">
        <f>IF(BN48="","",'#minDung'!GN47)</f>
        <v/>
      </c>
      <c r="BP48" s="1025"/>
      <c r="BQ48" s="1026" t="str">
        <f>IF(BP48="","",'#minDung'!GV47)</f>
        <v/>
      </c>
      <c r="BR48" s="1026" t="str">
        <f>IF(BQ48="","",'#minDung'!GW47)</f>
        <v/>
      </c>
      <c r="BS48" s="1025"/>
      <c r="BT48" s="1026" t="str">
        <f>IF(BS48="","",'#minDung'!HE47)</f>
        <v/>
      </c>
      <c r="BU48" s="1026" t="str">
        <f>IF(BT48="","",'#minDung'!HF47)</f>
        <v/>
      </c>
      <c r="BV48" s="1025"/>
      <c r="BW48" s="1026" t="str">
        <f>IF(BV48="","",'#minDung'!HN47)</f>
        <v/>
      </c>
      <c r="BX48" s="1026" t="str">
        <f>IF(BW48="","",'#minDung'!HO47)</f>
        <v/>
      </c>
      <c r="BY48" s="1025"/>
      <c r="BZ48" s="1026" t="str">
        <f>IF(BY48="","",'#minDung'!HW47)</f>
        <v/>
      </c>
      <c r="CA48" s="1026" t="str">
        <f>IF(BZ48="","",'#minDung'!HX47)</f>
        <v/>
      </c>
      <c r="CB48" s="1025"/>
      <c r="CC48" s="1026" t="str">
        <f>IF(CB48="","",'#minDung'!IF47)</f>
        <v/>
      </c>
      <c r="CD48" s="1026" t="str">
        <f>IF(CC48="","",'#minDung'!IG47)</f>
        <v/>
      </c>
      <c r="CE48" s="1025"/>
      <c r="CF48" s="1026" t="str">
        <f>IF(CE48="","",'#minDung'!IO47)</f>
        <v/>
      </c>
      <c r="CG48" s="1026" t="str">
        <f>IF(CF48="","",'#minDung'!IP47)</f>
        <v/>
      </c>
      <c r="CH48" s="1025"/>
      <c r="CI48" s="1026" t="str">
        <f>IF(CH48="","",'#minDung'!IX47)</f>
        <v/>
      </c>
      <c r="CJ48" s="1026" t="str">
        <f>IF(CI48="","",'#minDung'!IY47)</f>
        <v/>
      </c>
      <c r="CK48" s="1025"/>
      <c r="CL48" s="1026" t="str">
        <f>IF(CK48="","",'#minDung'!JG47)</f>
        <v/>
      </c>
      <c r="CM48" s="1026" t="str">
        <f>IF(CL48="","",'#minDung'!JH47)</f>
        <v/>
      </c>
      <c r="CN48" s="1025"/>
      <c r="CO48" s="1026" t="str">
        <f>IF(CN48="","",'#minDung'!JP47)</f>
        <v/>
      </c>
      <c r="CP48" s="1026" t="str">
        <f>IF(CO48="","",'#minDung'!JQ47)</f>
        <v/>
      </c>
      <c r="CQ48" s="1025"/>
      <c r="CR48" s="1026" t="str">
        <f>IF(CQ48="","",'#minDung'!JY47)</f>
        <v/>
      </c>
      <c r="CS48" s="1030" t="str">
        <f>IF(CR48="","",'#minDung'!JZ47)</f>
        <v/>
      </c>
      <c r="CT48" s="170"/>
    </row>
    <row r="49" spans="1:98" s="875" customFormat="1" ht="15" customHeight="1" x14ac:dyDescent="0.2">
      <c r="A49" s="1205">
        <f>'Flächen u. Kulturen'!A47</f>
        <v>38</v>
      </c>
      <c r="B49" s="1205" t="str">
        <f>+'org. Düngung 22'!B50</f>
        <v/>
      </c>
      <c r="C49" s="1206" t="str">
        <f>'org. Düngung 22'!C50</f>
        <v/>
      </c>
      <c r="D49" s="1197" t="str">
        <f>'org. Düngung 22'!D50</f>
        <v/>
      </c>
      <c r="E49" s="1207" t="str">
        <f>'org. Düngung 22'!E50</f>
        <v/>
      </c>
      <c r="F49" s="1199" t="str">
        <f>'org. Düngung 22'!F50</f>
        <v/>
      </c>
      <c r="G49" s="1201" t="str">
        <f>IF(C49="","",IF(COUNT('#minDung'!KF48:KJ48)=0,"OK",TRIM(CONCATENATE('#minDung'!KF48," ",'#minDung'!KG48," ",'#minDung'!KH48," ",'#minDung'!KI48," ",'#minDung'!KJ48))))</f>
        <v/>
      </c>
      <c r="H49" s="1025"/>
      <c r="I49" s="1026" t="str">
        <f>IF(H49="","",'#minDung'!X48)</f>
        <v/>
      </c>
      <c r="J49" s="1026" t="str">
        <f>IF(I49="","",'#minDung'!Y48)</f>
        <v/>
      </c>
      <c r="K49" s="1025"/>
      <c r="L49" s="1026" t="str">
        <f>IF(K49="","",'#minDung'!AG48)</f>
        <v/>
      </c>
      <c r="M49" s="1026" t="str">
        <f>IF(L49="","",'#minDung'!AH48)</f>
        <v/>
      </c>
      <c r="N49" s="1025"/>
      <c r="O49" s="1026" t="str">
        <f>IF(N49="","",'#minDung'!AP48)</f>
        <v/>
      </c>
      <c r="P49" s="1026" t="str">
        <f>IF(O49="","",'#minDung'!AQ48)</f>
        <v/>
      </c>
      <c r="Q49" s="1025"/>
      <c r="R49" s="1026" t="str">
        <f>IF(Q49="","",'#minDung'!AY48)</f>
        <v/>
      </c>
      <c r="S49" s="1026" t="str">
        <f>IF(R49="","",'#minDung'!AZ48)</f>
        <v/>
      </c>
      <c r="T49" s="1025"/>
      <c r="U49" s="1026" t="str">
        <f>IF(T49="","",'#minDung'!BH48)</f>
        <v/>
      </c>
      <c r="V49" s="1026" t="str">
        <f>IF(U49="","",'#minDung'!BI48)</f>
        <v/>
      </c>
      <c r="W49" s="1025"/>
      <c r="X49" s="1026" t="str">
        <f>IF(W49="","",'#minDung'!BQ48)</f>
        <v/>
      </c>
      <c r="Y49" s="1026" t="str">
        <f>IF(X49="","",'#minDung'!BR48)</f>
        <v/>
      </c>
      <c r="Z49" s="1025"/>
      <c r="AA49" s="1026" t="str">
        <f>IF(Z49="","",'#minDung'!BZ48)</f>
        <v/>
      </c>
      <c r="AB49" s="1026" t="str">
        <f>IF(AA49="","",'#minDung'!CA48)</f>
        <v/>
      </c>
      <c r="AC49" s="1025"/>
      <c r="AD49" s="1026" t="str">
        <f>IF(AC49="","",'#minDung'!CI48)</f>
        <v/>
      </c>
      <c r="AE49" s="1026" t="str">
        <f>IF(AD49="","",'#minDung'!CJ48)</f>
        <v/>
      </c>
      <c r="AF49" s="1025"/>
      <c r="AG49" s="1026" t="str">
        <f>IF(AF49="","",'#minDung'!CR48)</f>
        <v/>
      </c>
      <c r="AH49" s="1026" t="str">
        <f>IF(AG49="","",'#minDung'!CS48)</f>
        <v/>
      </c>
      <c r="AI49" s="1025"/>
      <c r="AJ49" s="1026" t="str">
        <f>IF(AI49="","",'#minDung'!DA48)</f>
        <v/>
      </c>
      <c r="AK49" s="1026" t="str">
        <f>IF(AJ49="","",'#minDung'!DB48)</f>
        <v/>
      </c>
      <c r="AL49" s="1025"/>
      <c r="AM49" s="1026" t="str">
        <f>IF(AL49="","",'#minDung'!DJ48)</f>
        <v/>
      </c>
      <c r="AN49" s="1026" t="str">
        <f>IF(AM49="","",'#minDung'!DK48)</f>
        <v/>
      </c>
      <c r="AO49" s="1025"/>
      <c r="AP49" s="1026" t="str">
        <f>IF(AO49="","",'#minDung'!DS48)</f>
        <v/>
      </c>
      <c r="AQ49" s="1026" t="str">
        <f>IF(AP49="","",'#minDung'!DT48)</f>
        <v/>
      </c>
      <c r="AR49" s="1025"/>
      <c r="AS49" s="1026" t="str">
        <f>IF(AR49="","",'#minDung'!EB48)</f>
        <v/>
      </c>
      <c r="AT49" s="1026" t="str">
        <f>IF(AS49="","",'#minDung'!EC48)</f>
        <v/>
      </c>
      <c r="AU49" s="1025"/>
      <c r="AV49" s="1026" t="str">
        <f>IF(AU49="","",'#minDung'!EK48)</f>
        <v/>
      </c>
      <c r="AW49" s="1026" t="str">
        <f>IF(AV49="","",'#minDung'!EL48)</f>
        <v/>
      </c>
      <c r="AX49" s="1025"/>
      <c r="AY49" s="1026" t="str">
        <f>IF(AX49="","",'#minDung'!ET48)</f>
        <v/>
      </c>
      <c r="AZ49" s="1026" t="str">
        <f>IF(AY49="","",'#minDung'!EU48)</f>
        <v/>
      </c>
      <c r="BA49" s="1025"/>
      <c r="BB49" s="1026" t="str">
        <f>IF(BA49="","",'#minDung'!FC48)</f>
        <v/>
      </c>
      <c r="BC49" s="1026" t="str">
        <f>IF(BB49="","",'#minDung'!FD48)</f>
        <v/>
      </c>
      <c r="BD49" s="1025"/>
      <c r="BE49" s="1026" t="str">
        <f>IF(BD49="","",'#minDung'!FL48)</f>
        <v/>
      </c>
      <c r="BF49" s="1026" t="str">
        <f>IF(BE49="","",'#minDung'!FM48)</f>
        <v/>
      </c>
      <c r="BG49" s="1025"/>
      <c r="BH49" s="1026" t="str">
        <f>IF(BG49="","",'#minDung'!FU48)</f>
        <v/>
      </c>
      <c r="BI49" s="1026" t="str">
        <f>IF(BH49="","",'#minDung'!FV48)</f>
        <v/>
      </c>
      <c r="BJ49" s="1025"/>
      <c r="BK49" s="1026" t="str">
        <f>IF(BJ49="","",'#minDung'!GD48)</f>
        <v/>
      </c>
      <c r="BL49" s="1026" t="str">
        <f>IF(BK49="","",'#minDung'!GE48)</f>
        <v/>
      </c>
      <c r="BM49" s="1025"/>
      <c r="BN49" s="1026" t="str">
        <f>IF(BM49="","",'#minDung'!GM48)</f>
        <v/>
      </c>
      <c r="BO49" s="1026" t="str">
        <f>IF(BN49="","",'#minDung'!GN48)</f>
        <v/>
      </c>
      <c r="BP49" s="1025"/>
      <c r="BQ49" s="1026" t="str">
        <f>IF(BP49="","",'#minDung'!GV48)</f>
        <v/>
      </c>
      <c r="BR49" s="1026" t="str">
        <f>IF(BQ49="","",'#minDung'!GW48)</f>
        <v/>
      </c>
      <c r="BS49" s="1025"/>
      <c r="BT49" s="1026" t="str">
        <f>IF(BS49="","",'#minDung'!HE48)</f>
        <v/>
      </c>
      <c r="BU49" s="1026" t="str">
        <f>IF(BT49="","",'#minDung'!HF48)</f>
        <v/>
      </c>
      <c r="BV49" s="1025"/>
      <c r="BW49" s="1026" t="str">
        <f>IF(BV49="","",'#minDung'!HN48)</f>
        <v/>
      </c>
      <c r="BX49" s="1026" t="str">
        <f>IF(BW49="","",'#minDung'!HO48)</f>
        <v/>
      </c>
      <c r="BY49" s="1025"/>
      <c r="BZ49" s="1026" t="str">
        <f>IF(BY49="","",'#minDung'!HW48)</f>
        <v/>
      </c>
      <c r="CA49" s="1026" t="str">
        <f>IF(BZ49="","",'#minDung'!HX48)</f>
        <v/>
      </c>
      <c r="CB49" s="1025"/>
      <c r="CC49" s="1026" t="str">
        <f>IF(CB49="","",'#minDung'!IF48)</f>
        <v/>
      </c>
      <c r="CD49" s="1026" t="str">
        <f>IF(CC49="","",'#minDung'!IG48)</f>
        <v/>
      </c>
      <c r="CE49" s="1025"/>
      <c r="CF49" s="1026" t="str">
        <f>IF(CE49="","",'#minDung'!IO48)</f>
        <v/>
      </c>
      <c r="CG49" s="1026" t="str">
        <f>IF(CF49="","",'#minDung'!IP48)</f>
        <v/>
      </c>
      <c r="CH49" s="1025"/>
      <c r="CI49" s="1026" t="str">
        <f>IF(CH49="","",'#minDung'!IX48)</f>
        <v/>
      </c>
      <c r="CJ49" s="1026" t="str">
        <f>IF(CI49="","",'#minDung'!IY48)</f>
        <v/>
      </c>
      <c r="CK49" s="1025"/>
      <c r="CL49" s="1026" t="str">
        <f>IF(CK49="","",'#minDung'!JG48)</f>
        <v/>
      </c>
      <c r="CM49" s="1026" t="str">
        <f>IF(CL49="","",'#minDung'!JH48)</f>
        <v/>
      </c>
      <c r="CN49" s="1025"/>
      <c r="CO49" s="1026" t="str">
        <f>IF(CN49="","",'#minDung'!JP48)</f>
        <v/>
      </c>
      <c r="CP49" s="1026" t="str">
        <f>IF(CO49="","",'#minDung'!JQ48)</f>
        <v/>
      </c>
      <c r="CQ49" s="1025"/>
      <c r="CR49" s="1026" t="str">
        <f>IF(CQ49="","",'#minDung'!JY48)</f>
        <v/>
      </c>
      <c r="CS49" s="1030" t="str">
        <f>IF(CR49="","",'#minDung'!JZ48)</f>
        <v/>
      </c>
      <c r="CT49" s="170"/>
    </row>
    <row r="50" spans="1:98" s="875" customFormat="1" ht="15" customHeight="1" x14ac:dyDescent="0.2">
      <c r="A50" s="1205">
        <f>'Flächen u. Kulturen'!A48</f>
        <v>39</v>
      </c>
      <c r="B50" s="1205" t="str">
        <f>+'org. Düngung 22'!B51</f>
        <v/>
      </c>
      <c r="C50" s="1206" t="str">
        <f>'org. Düngung 22'!C51</f>
        <v/>
      </c>
      <c r="D50" s="1197" t="str">
        <f>'org. Düngung 22'!D51</f>
        <v/>
      </c>
      <c r="E50" s="1207" t="str">
        <f>'org. Düngung 22'!E51</f>
        <v/>
      </c>
      <c r="F50" s="1199" t="str">
        <f>'org. Düngung 22'!F51</f>
        <v/>
      </c>
      <c r="G50" s="1201" t="str">
        <f>IF(C50="","",IF(COUNT('#minDung'!KF49:KJ49)=0,"OK",TRIM(CONCATENATE('#minDung'!KF49," ",'#minDung'!KG49," ",'#minDung'!KH49," ",'#minDung'!KI49," ",'#minDung'!KJ49))))</f>
        <v/>
      </c>
      <c r="H50" s="1025"/>
      <c r="I50" s="1026" t="str">
        <f>IF(H50="","",'#minDung'!X49)</f>
        <v/>
      </c>
      <c r="J50" s="1026" t="str">
        <f>IF(I50="","",'#minDung'!Y49)</f>
        <v/>
      </c>
      <c r="K50" s="1025"/>
      <c r="L50" s="1026" t="str">
        <f>IF(K50="","",'#minDung'!AG49)</f>
        <v/>
      </c>
      <c r="M50" s="1026" t="str">
        <f>IF(L50="","",'#minDung'!AH49)</f>
        <v/>
      </c>
      <c r="N50" s="1025"/>
      <c r="O50" s="1026" t="str">
        <f>IF(N50="","",'#minDung'!AP49)</f>
        <v/>
      </c>
      <c r="P50" s="1026" t="str">
        <f>IF(O50="","",'#minDung'!AQ49)</f>
        <v/>
      </c>
      <c r="Q50" s="1025"/>
      <c r="R50" s="1026" t="str">
        <f>IF(Q50="","",'#minDung'!AY49)</f>
        <v/>
      </c>
      <c r="S50" s="1026" t="str">
        <f>IF(R50="","",'#minDung'!AZ49)</f>
        <v/>
      </c>
      <c r="T50" s="1025"/>
      <c r="U50" s="1026" t="str">
        <f>IF(T50="","",'#minDung'!BH49)</f>
        <v/>
      </c>
      <c r="V50" s="1026" t="str">
        <f>IF(U50="","",'#minDung'!BI49)</f>
        <v/>
      </c>
      <c r="W50" s="1025"/>
      <c r="X50" s="1026" t="str">
        <f>IF(W50="","",'#minDung'!BQ49)</f>
        <v/>
      </c>
      <c r="Y50" s="1026" t="str">
        <f>IF(X50="","",'#minDung'!BR49)</f>
        <v/>
      </c>
      <c r="Z50" s="1025"/>
      <c r="AA50" s="1026" t="str">
        <f>IF(Z50="","",'#minDung'!BZ49)</f>
        <v/>
      </c>
      <c r="AB50" s="1026" t="str">
        <f>IF(AA50="","",'#minDung'!CA49)</f>
        <v/>
      </c>
      <c r="AC50" s="1025"/>
      <c r="AD50" s="1026" t="str">
        <f>IF(AC50="","",'#minDung'!CI49)</f>
        <v/>
      </c>
      <c r="AE50" s="1026" t="str">
        <f>IF(AD50="","",'#minDung'!CJ49)</f>
        <v/>
      </c>
      <c r="AF50" s="1025"/>
      <c r="AG50" s="1026" t="str">
        <f>IF(AF50="","",'#minDung'!CR49)</f>
        <v/>
      </c>
      <c r="AH50" s="1026" t="str">
        <f>IF(AG50="","",'#minDung'!CS49)</f>
        <v/>
      </c>
      <c r="AI50" s="1025"/>
      <c r="AJ50" s="1026" t="str">
        <f>IF(AI50="","",'#minDung'!DA49)</f>
        <v/>
      </c>
      <c r="AK50" s="1026" t="str">
        <f>IF(AJ50="","",'#minDung'!DB49)</f>
        <v/>
      </c>
      <c r="AL50" s="1025"/>
      <c r="AM50" s="1026" t="str">
        <f>IF(AL50="","",'#minDung'!DJ49)</f>
        <v/>
      </c>
      <c r="AN50" s="1026" t="str">
        <f>IF(AM50="","",'#minDung'!DK49)</f>
        <v/>
      </c>
      <c r="AO50" s="1025"/>
      <c r="AP50" s="1026" t="str">
        <f>IF(AO50="","",'#minDung'!DS49)</f>
        <v/>
      </c>
      <c r="AQ50" s="1026" t="str">
        <f>IF(AP50="","",'#minDung'!DT49)</f>
        <v/>
      </c>
      <c r="AR50" s="1025"/>
      <c r="AS50" s="1026" t="str">
        <f>IF(AR50="","",'#minDung'!EB49)</f>
        <v/>
      </c>
      <c r="AT50" s="1026" t="str">
        <f>IF(AS50="","",'#minDung'!EC49)</f>
        <v/>
      </c>
      <c r="AU50" s="1025"/>
      <c r="AV50" s="1026" t="str">
        <f>IF(AU50="","",'#minDung'!EK49)</f>
        <v/>
      </c>
      <c r="AW50" s="1026" t="str">
        <f>IF(AV50="","",'#minDung'!EL49)</f>
        <v/>
      </c>
      <c r="AX50" s="1025"/>
      <c r="AY50" s="1026" t="str">
        <f>IF(AX50="","",'#minDung'!ET49)</f>
        <v/>
      </c>
      <c r="AZ50" s="1026" t="str">
        <f>IF(AY50="","",'#minDung'!EU49)</f>
        <v/>
      </c>
      <c r="BA50" s="1025"/>
      <c r="BB50" s="1026" t="str">
        <f>IF(BA50="","",'#minDung'!FC49)</f>
        <v/>
      </c>
      <c r="BC50" s="1026" t="str">
        <f>IF(BB50="","",'#minDung'!FD49)</f>
        <v/>
      </c>
      <c r="BD50" s="1025"/>
      <c r="BE50" s="1026" t="str">
        <f>IF(BD50="","",'#minDung'!FL49)</f>
        <v/>
      </c>
      <c r="BF50" s="1026" t="str">
        <f>IF(BE50="","",'#minDung'!FM49)</f>
        <v/>
      </c>
      <c r="BG50" s="1025"/>
      <c r="BH50" s="1026" t="str">
        <f>IF(BG50="","",'#minDung'!FU49)</f>
        <v/>
      </c>
      <c r="BI50" s="1026" t="str">
        <f>IF(BH50="","",'#minDung'!FV49)</f>
        <v/>
      </c>
      <c r="BJ50" s="1025"/>
      <c r="BK50" s="1026" t="str">
        <f>IF(BJ50="","",'#minDung'!GD49)</f>
        <v/>
      </c>
      <c r="BL50" s="1026" t="str">
        <f>IF(BK50="","",'#minDung'!GE49)</f>
        <v/>
      </c>
      <c r="BM50" s="1025"/>
      <c r="BN50" s="1026" t="str">
        <f>IF(BM50="","",'#minDung'!GM49)</f>
        <v/>
      </c>
      <c r="BO50" s="1026" t="str">
        <f>IF(BN50="","",'#minDung'!GN49)</f>
        <v/>
      </c>
      <c r="BP50" s="1025"/>
      <c r="BQ50" s="1026" t="str">
        <f>IF(BP50="","",'#minDung'!GV49)</f>
        <v/>
      </c>
      <c r="BR50" s="1026" t="str">
        <f>IF(BQ50="","",'#minDung'!GW49)</f>
        <v/>
      </c>
      <c r="BS50" s="1025"/>
      <c r="BT50" s="1026" t="str">
        <f>IF(BS50="","",'#minDung'!HE49)</f>
        <v/>
      </c>
      <c r="BU50" s="1026" t="str">
        <f>IF(BT50="","",'#minDung'!HF49)</f>
        <v/>
      </c>
      <c r="BV50" s="1025"/>
      <c r="BW50" s="1026" t="str">
        <f>IF(BV50="","",'#minDung'!HN49)</f>
        <v/>
      </c>
      <c r="BX50" s="1026" t="str">
        <f>IF(BW50="","",'#minDung'!HO49)</f>
        <v/>
      </c>
      <c r="BY50" s="1025"/>
      <c r="BZ50" s="1026" t="str">
        <f>IF(BY50="","",'#minDung'!HW49)</f>
        <v/>
      </c>
      <c r="CA50" s="1026" t="str">
        <f>IF(BZ50="","",'#minDung'!HX49)</f>
        <v/>
      </c>
      <c r="CB50" s="1025"/>
      <c r="CC50" s="1026" t="str">
        <f>IF(CB50="","",'#minDung'!IF49)</f>
        <v/>
      </c>
      <c r="CD50" s="1026" t="str">
        <f>IF(CC50="","",'#minDung'!IG49)</f>
        <v/>
      </c>
      <c r="CE50" s="1025"/>
      <c r="CF50" s="1026" t="str">
        <f>IF(CE50="","",'#minDung'!IO49)</f>
        <v/>
      </c>
      <c r="CG50" s="1026" t="str">
        <f>IF(CF50="","",'#minDung'!IP49)</f>
        <v/>
      </c>
      <c r="CH50" s="1025"/>
      <c r="CI50" s="1026" t="str">
        <f>IF(CH50="","",'#minDung'!IX49)</f>
        <v/>
      </c>
      <c r="CJ50" s="1026" t="str">
        <f>IF(CI50="","",'#minDung'!IY49)</f>
        <v/>
      </c>
      <c r="CK50" s="1025"/>
      <c r="CL50" s="1026" t="str">
        <f>IF(CK50="","",'#minDung'!JG49)</f>
        <v/>
      </c>
      <c r="CM50" s="1026" t="str">
        <f>IF(CL50="","",'#minDung'!JH49)</f>
        <v/>
      </c>
      <c r="CN50" s="1025"/>
      <c r="CO50" s="1026" t="str">
        <f>IF(CN50="","",'#minDung'!JP49)</f>
        <v/>
      </c>
      <c r="CP50" s="1026" t="str">
        <f>IF(CO50="","",'#minDung'!JQ49)</f>
        <v/>
      </c>
      <c r="CQ50" s="1025"/>
      <c r="CR50" s="1026" t="str">
        <f>IF(CQ50="","",'#minDung'!JY49)</f>
        <v/>
      </c>
      <c r="CS50" s="1030" t="str">
        <f>IF(CR50="","",'#minDung'!JZ49)</f>
        <v/>
      </c>
      <c r="CT50" s="170"/>
    </row>
    <row r="51" spans="1:98" s="875" customFormat="1" ht="15" customHeight="1" x14ac:dyDescent="0.2">
      <c r="A51" s="1205">
        <f>'Flächen u. Kulturen'!A49</f>
        <v>40</v>
      </c>
      <c r="B51" s="1205" t="str">
        <f>+'org. Düngung 22'!B52</f>
        <v/>
      </c>
      <c r="C51" s="1206" t="str">
        <f>'org. Düngung 22'!C52</f>
        <v/>
      </c>
      <c r="D51" s="1197" t="str">
        <f>'org. Düngung 22'!D52</f>
        <v/>
      </c>
      <c r="E51" s="1207" t="str">
        <f>'org. Düngung 22'!E52</f>
        <v/>
      </c>
      <c r="F51" s="1199" t="str">
        <f>'org. Düngung 22'!F52</f>
        <v/>
      </c>
      <c r="G51" s="1201" t="str">
        <f>IF(C51="","",IF(COUNT('#minDung'!KF50:KJ50)=0,"OK",TRIM(CONCATENATE('#minDung'!KF50," ",'#minDung'!KG50," ",'#minDung'!KH50," ",'#minDung'!KI50," ",'#minDung'!KJ50))))</f>
        <v/>
      </c>
      <c r="H51" s="1025"/>
      <c r="I51" s="1026" t="str">
        <f>IF(H51="","",'#minDung'!X50)</f>
        <v/>
      </c>
      <c r="J51" s="1026" t="str">
        <f>IF(I51="","",'#minDung'!Y50)</f>
        <v/>
      </c>
      <c r="K51" s="1025"/>
      <c r="L51" s="1026" t="str">
        <f>IF(K51="","",'#minDung'!AG50)</f>
        <v/>
      </c>
      <c r="M51" s="1026" t="str">
        <f>IF(L51="","",'#minDung'!AH50)</f>
        <v/>
      </c>
      <c r="N51" s="1025"/>
      <c r="O51" s="1026" t="str">
        <f>IF(N51="","",'#minDung'!AP50)</f>
        <v/>
      </c>
      <c r="P51" s="1026" t="str">
        <f>IF(O51="","",'#minDung'!AQ50)</f>
        <v/>
      </c>
      <c r="Q51" s="1025"/>
      <c r="R51" s="1026" t="str">
        <f>IF(Q51="","",'#minDung'!AY50)</f>
        <v/>
      </c>
      <c r="S51" s="1026" t="str">
        <f>IF(R51="","",'#minDung'!AZ50)</f>
        <v/>
      </c>
      <c r="T51" s="1025"/>
      <c r="U51" s="1026" t="str">
        <f>IF(T51="","",'#minDung'!BH50)</f>
        <v/>
      </c>
      <c r="V51" s="1026" t="str">
        <f>IF(U51="","",'#minDung'!BI50)</f>
        <v/>
      </c>
      <c r="W51" s="1025"/>
      <c r="X51" s="1026" t="str">
        <f>IF(W51="","",'#minDung'!BQ50)</f>
        <v/>
      </c>
      <c r="Y51" s="1026" t="str">
        <f>IF(X51="","",'#minDung'!BR50)</f>
        <v/>
      </c>
      <c r="Z51" s="1025"/>
      <c r="AA51" s="1026" t="str">
        <f>IF(Z51="","",'#minDung'!BZ50)</f>
        <v/>
      </c>
      <c r="AB51" s="1026" t="str">
        <f>IF(AA51="","",'#minDung'!CA50)</f>
        <v/>
      </c>
      <c r="AC51" s="1025"/>
      <c r="AD51" s="1026" t="str">
        <f>IF(AC51="","",'#minDung'!CI50)</f>
        <v/>
      </c>
      <c r="AE51" s="1026" t="str">
        <f>IF(AD51="","",'#minDung'!CJ50)</f>
        <v/>
      </c>
      <c r="AF51" s="1025"/>
      <c r="AG51" s="1026" t="str">
        <f>IF(AF51="","",'#minDung'!CR50)</f>
        <v/>
      </c>
      <c r="AH51" s="1026" t="str">
        <f>IF(AG51="","",'#minDung'!CS50)</f>
        <v/>
      </c>
      <c r="AI51" s="1025"/>
      <c r="AJ51" s="1026" t="str">
        <f>IF(AI51="","",'#minDung'!DA50)</f>
        <v/>
      </c>
      <c r="AK51" s="1026" t="str">
        <f>IF(AJ51="","",'#minDung'!DB50)</f>
        <v/>
      </c>
      <c r="AL51" s="1025"/>
      <c r="AM51" s="1026" t="str">
        <f>IF(AL51="","",'#minDung'!DJ50)</f>
        <v/>
      </c>
      <c r="AN51" s="1026" t="str">
        <f>IF(AM51="","",'#minDung'!DK50)</f>
        <v/>
      </c>
      <c r="AO51" s="1025"/>
      <c r="AP51" s="1026" t="str">
        <f>IF(AO51="","",'#minDung'!DS50)</f>
        <v/>
      </c>
      <c r="AQ51" s="1026" t="str">
        <f>IF(AP51="","",'#minDung'!DT50)</f>
        <v/>
      </c>
      <c r="AR51" s="1025"/>
      <c r="AS51" s="1026" t="str">
        <f>IF(AR51="","",'#minDung'!EB50)</f>
        <v/>
      </c>
      <c r="AT51" s="1026" t="str">
        <f>IF(AS51="","",'#minDung'!EC50)</f>
        <v/>
      </c>
      <c r="AU51" s="1025"/>
      <c r="AV51" s="1026" t="str">
        <f>IF(AU51="","",'#minDung'!EK50)</f>
        <v/>
      </c>
      <c r="AW51" s="1026" t="str">
        <f>IF(AV51="","",'#minDung'!EL50)</f>
        <v/>
      </c>
      <c r="AX51" s="1025"/>
      <c r="AY51" s="1026" t="str">
        <f>IF(AX51="","",'#minDung'!ET50)</f>
        <v/>
      </c>
      <c r="AZ51" s="1026" t="str">
        <f>IF(AY51="","",'#minDung'!EU50)</f>
        <v/>
      </c>
      <c r="BA51" s="1025"/>
      <c r="BB51" s="1026" t="str">
        <f>IF(BA51="","",'#minDung'!FC50)</f>
        <v/>
      </c>
      <c r="BC51" s="1026" t="str">
        <f>IF(BB51="","",'#minDung'!FD50)</f>
        <v/>
      </c>
      <c r="BD51" s="1025"/>
      <c r="BE51" s="1026" t="str">
        <f>IF(BD51="","",'#minDung'!FL50)</f>
        <v/>
      </c>
      <c r="BF51" s="1026" t="str">
        <f>IF(BE51="","",'#minDung'!FM50)</f>
        <v/>
      </c>
      <c r="BG51" s="1025"/>
      <c r="BH51" s="1026" t="str">
        <f>IF(BG51="","",'#minDung'!FU50)</f>
        <v/>
      </c>
      <c r="BI51" s="1026" t="str">
        <f>IF(BH51="","",'#minDung'!FV50)</f>
        <v/>
      </c>
      <c r="BJ51" s="1025"/>
      <c r="BK51" s="1026" t="str">
        <f>IF(BJ51="","",'#minDung'!GD50)</f>
        <v/>
      </c>
      <c r="BL51" s="1026" t="str">
        <f>IF(BK51="","",'#minDung'!GE50)</f>
        <v/>
      </c>
      <c r="BM51" s="1025"/>
      <c r="BN51" s="1026" t="str">
        <f>IF(BM51="","",'#minDung'!GM50)</f>
        <v/>
      </c>
      <c r="BO51" s="1026" t="str">
        <f>IF(BN51="","",'#minDung'!GN50)</f>
        <v/>
      </c>
      <c r="BP51" s="1025"/>
      <c r="BQ51" s="1026" t="str">
        <f>IF(BP51="","",'#minDung'!GV50)</f>
        <v/>
      </c>
      <c r="BR51" s="1026" t="str">
        <f>IF(BQ51="","",'#minDung'!GW50)</f>
        <v/>
      </c>
      <c r="BS51" s="1025"/>
      <c r="BT51" s="1026" t="str">
        <f>IF(BS51="","",'#minDung'!HE50)</f>
        <v/>
      </c>
      <c r="BU51" s="1026" t="str">
        <f>IF(BT51="","",'#minDung'!HF50)</f>
        <v/>
      </c>
      <c r="BV51" s="1025"/>
      <c r="BW51" s="1026" t="str">
        <f>IF(BV51="","",'#minDung'!HN50)</f>
        <v/>
      </c>
      <c r="BX51" s="1026" t="str">
        <f>IF(BW51="","",'#minDung'!HO50)</f>
        <v/>
      </c>
      <c r="BY51" s="1025"/>
      <c r="BZ51" s="1026" t="str">
        <f>IF(BY51="","",'#minDung'!HW50)</f>
        <v/>
      </c>
      <c r="CA51" s="1026" t="str">
        <f>IF(BZ51="","",'#minDung'!HX50)</f>
        <v/>
      </c>
      <c r="CB51" s="1025"/>
      <c r="CC51" s="1026" t="str">
        <f>IF(CB51="","",'#minDung'!IF50)</f>
        <v/>
      </c>
      <c r="CD51" s="1026" t="str">
        <f>IF(CC51="","",'#minDung'!IG50)</f>
        <v/>
      </c>
      <c r="CE51" s="1025"/>
      <c r="CF51" s="1026" t="str">
        <f>IF(CE51="","",'#minDung'!IO50)</f>
        <v/>
      </c>
      <c r="CG51" s="1026" t="str">
        <f>IF(CF51="","",'#minDung'!IP50)</f>
        <v/>
      </c>
      <c r="CH51" s="1025"/>
      <c r="CI51" s="1026" t="str">
        <f>IF(CH51="","",'#minDung'!IX50)</f>
        <v/>
      </c>
      <c r="CJ51" s="1026" t="str">
        <f>IF(CI51="","",'#minDung'!IY50)</f>
        <v/>
      </c>
      <c r="CK51" s="1025"/>
      <c r="CL51" s="1026" t="str">
        <f>IF(CK51="","",'#minDung'!JG50)</f>
        <v/>
      </c>
      <c r="CM51" s="1026" t="str">
        <f>IF(CL51="","",'#minDung'!JH50)</f>
        <v/>
      </c>
      <c r="CN51" s="1025"/>
      <c r="CO51" s="1026" t="str">
        <f>IF(CN51="","",'#minDung'!JP50)</f>
        <v/>
      </c>
      <c r="CP51" s="1026" t="str">
        <f>IF(CO51="","",'#minDung'!JQ50)</f>
        <v/>
      </c>
      <c r="CQ51" s="1025"/>
      <c r="CR51" s="1026" t="str">
        <f>IF(CQ51="","",'#minDung'!JY50)</f>
        <v/>
      </c>
      <c r="CS51" s="1030" t="str">
        <f>IF(CR51="","",'#minDung'!JZ50)</f>
        <v/>
      </c>
      <c r="CT51" s="170"/>
    </row>
    <row r="52" spans="1:98" s="875" customFormat="1" ht="15" customHeight="1" x14ac:dyDescent="0.2">
      <c r="A52" s="1205">
        <f>'Flächen u. Kulturen'!A50</f>
        <v>41</v>
      </c>
      <c r="B52" s="1205" t="str">
        <f>+'org. Düngung 22'!B53</f>
        <v/>
      </c>
      <c r="C52" s="1206" t="str">
        <f>'org. Düngung 22'!C53</f>
        <v/>
      </c>
      <c r="D52" s="1197" t="str">
        <f>'org. Düngung 22'!D53</f>
        <v/>
      </c>
      <c r="E52" s="1207" t="str">
        <f>'org. Düngung 22'!E53</f>
        <v/>
      </c>
      <c r="F52" s="1199" t="str">
        <f>'org. Düngung 22'!F53</f>
        <v/>
      </c>
      <c r="G52" s="1201" t="str">
        <f>IF(C52="","",IF(COUNT('#minDung'!KF51:KJ51)=0,"OK",TRIM(CONCATENATE('#minDung'!KF51," ",'#minDung'!KG51," ",'#minDung'!KH51," ",'#minDung'!KI51," ",'#minDung'!KJ51))))</f>
        <v/>
      </c>
      <c r="H52" s="1025"/>
      <c r="I52" s="1026" t="str">
        <f>IF(H52="","",'#minDung'!X51)</f>
        <v/>
      </c>
      <c r="J52" s="1026" t="str">
        <f>IF(I52="","",'#minDung'!Y51)</f>
        <v/>
      </c>
      <c r="K52" s="1025"/>
      <c r="L52" s="1026" t="str">
        <f>IF(K52="","",'#minDung'!AG51)</f>
        <v/>
      </c>
      <c r="M52" s="1026" t="str">
        <f>IF(L52="","",'#minDung'!AH51)</f>
        <v/>
      </c>
      <c r="N52" s="1025"/>
      <c r="O52" s="1026" t="str">
        <f>IF(N52="","",'#minDung'!AP51)</f>
        <v/>
      </c>
      <c r="P52" s="1026" t="str">
        <f>IF(O52="","",'#minDung'!AQ51)</f>
        <v/>
      </c>
      <c r="Q52" s="1025"/>
      <c r="R52" s="1026" t="str">
        <f>IF(Q52="","",'#minDung'!AY51)</f>
        <v/>
      </c>
      <c r="S52" s="1026" t="str">
        <f>IF(R52="","",'#minDung'!AZ51)</f>
        <v/>
      </c>
      <c r="T52" s="1025"/>
      <c r="U52" s="1026" t="str">
        <f>IF(T52="","",'#minDung'!BH51)</f>
        <v/>
      </c>
      <c r="V52" s="1026" t="str">
        <f>IF(U52="","",'#minDung'!BI51)</f>
        <v/>
      </c>
      <c r="W52" s="1025"/>
      <c r="X52" s="1026" t="str">
        <f>IF(W52="","",'#minDung'!BQ51)</f>
        <v/>
      </c>
      <c r="Y52" s="1026" t="str">
        <f>IF(X52="","",'#minDung'!BR51)</f>
        <v/>
      </c>
      <c r="Z52" s="1025"/>
      <c r="AA52" s="1026" t="str">
        <f>IF(Z52="","",'#minDung'!BZ51)</f>
        <v/>
      </c>
      <c r="AB52" s="1026" t="str">
        <f>IF(AA52="","",'#minDung'!CA51)</f>
        <v/>
      </c>
      <c r="AC52" s="1025"/>
      <c r="AD52" s="1026" t="str">
        <f>IF(AC52="","",'#minDung'!CI51)</f>
        <v/>
      </c>
      <c r="AE52" s="1026" t="str">
        <f>IF(AD52="","",'#minDung'!CJ51)</f>
        <v/>
      </c>
      <c r="AF52" s="1025"/>
      <c r="AG52" s="1026" t="str">
        <f>IF(AF52="","",'#minDung'!CR51)</f>
        <v/>
      </c>
      <c r="AH52" s="1026" t="str">
        <f>IF(AG52="","",'#minDung'!CS51)</f>
        <v/>
      </c>
      <c r="AI52" s="1025"/>
      <c r="AJ52" s="1026" t="str">
        <f>IF(AI52="","",'#minDung'!DA51)</f>
        <v/>
      </c>
      <c r="AK52" s="1026" t="str">
        <f>IF(AJ52="","",'#minDung'!DB51)</f>
        <v/>
      </c>
      <c r="AL52" s="1025"/>
      <c r="AM52" s="1026" t="str">
        <f>IF(AL52="","",'#minDung'!DJ51)</f>
        <v/>
      </c>
      <c r="AN52" s="1026" t="str">
        <f>IF(AM52="","",'#minDung'!DK51)</f>
        <v/>
      </c>
      <c r="AO52" s="1025"/>
      <c r="AP52" s="1026" t="str">
        <f>IF(AO52="","",'#minDung'!DS51)</f>
        <v/>
      </c>
      <c r="AQ52" s="1026" t="str">
        <f>IF(AP52="","",'#minDung'!DT51)</f>
        <v/>
      </c>
      <c r="AR52" s="1025"/>
      <c r="AS52" s="1026" t="str">
        <f>IF(AR52="","",'#minDung'!EB51)</f>
        <v/>
      </c>
      <c r="AT52" s="1026" t="str">
        <f>IF(AS52="","",'#minDung'!EC51)</f>
        <v/>
      </c>
      <c r="AU52" s="1025"/>
      <c r="AV52" s="1026" t="str">
        <f>IF(AU52="","",'#minDung'!EK51)</f>
        <v/>
      </c>
      <c r="AW52" s="1026" t="str">
        <f>IF(AV52="","",'#minDung'!EL51)</f>
        <v/>
      </c>
      <c r="AX52" s="1025"/>
      <c r="AY52" s="1026" t="str">
        <f>IF(AX52="","",'#minDung'!ET51)</f>
        <v/>
      </c>
      <c r="AZ52" s="1026" t="str">
        <f>IF(AY52="","",'#minDung'!EU51)</f>
        <v/>
      </c>
      <c r="BA52" s="1025"/>
      <c r="BB52" s="1026" t="str">
        <f>IF(BA52="","",'#minDung'!FC51)</f>
        <v/>
      </c>
      <c r="BC52" s="1026" t="str">
        <f>IF(BB52="","",'#minDung'!FD51)</f>
        <v/>
      </c>
      <c r="BD52" s="1025"/>
      <c r="BE52" s="1026" t="str">
        <f>IF(BD52="","",'#minDung'!FL51)</f>
        <v/>
      </c>
      <c r="BF52" s="1026" t="str">
        <f>IF(BE52="","",'#minDung'!FM51)</f>
        <v/>
      </c>
      <c r="BG52" s="1025"/>
      <c r="BH52" s="1026" t="str">
        <f>IF(BG52="","",'#minDung'!FU51)</f>
        <v/>
      </c>
      <c r="BI52" s="1026" t="str">
        <f>IF(BH52="","",'#minDung'!FV51)</f>
        <v/>
      </c>
      <c r="BJ52" s="1025"/>
      <c r="BK52" s="1026" t="str">
        <f>IF(BJ52="","",'#minDung'!GD51)</f>
        <v/>
      </c>
      <c r="BL52" s="1026" t="str">
        <f>IF(BK52="","",'#minDung'!GE51)</f>
        <v/>
      </c>
      <c r="BM52" s="1025"/>
      <c r="BN52" s="1026" t="str">
        <f>IF(BM52="","",'#minDung'!GM51)</f>
        <v/>
      </c>
      <c r="BO52" s="1026" t="str">
        <f>IF(BN52="","",'#minDung'!GN51)</f>
        <v/>
      </c>
      <c r="BP52" s="1025"/>
      <c r="BQ52" s="1026" t="str">
        <f>IF(BP52="","",'#minDung'!GV51)</f>
        <v/>
      </c>
      <c r="BR52" s="1026" t="str">
        <f>IF(BQ52="","",'#minDung'!GW51)</f>
        <v/>
      </c>
      <c r="BS52" s="1025"/>
      <c r="BT52" s="1026" t="str">
        <f>IF(BS52="","",'#minDung'!HE51)</f>
        <v/>
      </c>
      <c r="BU52" s="1026" t="str">
        <f>IF(BT52="","",'#minDung'!HF51)</f>
        <v/>
      </c>
      <c r="BV52" s="1025"/>
      <c r="BW52" s="1026" t="str">
        <f>IF(BV52="","",'#minDung'!HN51)</f>
        <v/>
      </c>
      <c r="BX52" s="1026" t="str">
        <f>IF(BW52="","",'#minDung'!HO51)</f>
        <v/>
      </c>
      <c r="BY52" s="1025"/>
      <c r="BZ52" s="1026" t="str">
        <f>IF(BY52="","",'#minDung'!HW51)</f>
        <v/>
      </c>
      <c r="CA52" s="1026" t="str">
        <f>IF(BZ52="","",'#minDung'!HX51)</f>
        <v/>
      </c>
      <c r="CB52" s="1025"/>
      <c r="CC52" s="1026" t="str">
        <f>IF(CB52="","",'#minDung'!IF51)</f>
        <v/>
      </c>
      <c r="CD52" s="1026" t="str">
        <f>IF(CC52="","",'#minDung'!IG51)</f>
        <v/>
      </c>
      <c r="CE52" s="1025"/>
      <c r="CF52" s="1026" t="str">
        <f>IF(CE52="","",'#minDung'!IO51)</f>
        <v/>
      </c>
      <c r="CG52" s="1026" t="str">
        <f>IF(CF52="","",'#minDung'!IP51)</f>
        <v/>
      </c>
      <c r="CH52" s="1025"/>
      <c r="CI52" s="1026" t="str">
        <f>IF(CH52="","",'#minDung'!IX51)</f>
        <v/>
      </c>
      <c r="CJ52" s="1026" t="str">
        <f>IF(CI52="","",'#minDung'!IY51)</f>
        <v/>
      </c>
      <c r="CK52" s="1025"/>
      <c r="CL52" s="1026" t="str">
        <f>IF(CK52="","",'#minDung'!JG51)</f>
        <v/>
      </c>
      <c r="CM52" s="1026" t="str">
        <f>IF(CL52="","",'#minDung'!JH51)</f>
        <v/>
      </c>
      <c r="CN52" s="1025"/>
      <c r="CO52" s="1026" t="str">
        <f>IF(CN52="","",'#minDung'!JP51)</f>
        <v/>
      </c>
      <c r="CP52" s="1026" t="str">
        <f>IF(CO52="","",'#minDung'!JQ51)</f>
        <v/>
      </c>
      <c r="CQ52" s="1025"/>
      <c r="CR52" s="1026" t="str">
        <f>IF(CQ52="","",'#minDung'!JY51)</f>
        <v/>
      </c>
      <c r="CS52" s="1030" t="str">
        <f>IF(CR52="","",'#minDung'!JZ51)</f>
        <v/>
      </c>
      <c r="CT52" s="170"/>
    </row>
    <row r="53" spans="1:98" s="875" customFormat="1" ht="15" customHeight="1" x14ac:dyDescent="0.2">
      <c r="A53" s="1205">
        <f>'Flächen u. Kulturen'!A51</f>
        <v>42</v>
      </c>
      <c r="B53" s="1205" t="str">
        <f>+'org. Düngung 22'!B54</f>
        <v/>
      </c>
      <c r="C53" s="1206" t="str">
        <f>'org. Düngung 22'!C54</f>
        <v/>
      </c>
      <c r="D53" s="1197" t="str">
        <f>'org. Düngung 22'!D54</f>
        <v/>
      </c>
      <c r="E53" s="1207" t="str">
        <f>'org. Düngung 22'!E54</f>
        <v/>
      </c>
      <c r="F53" s="1199" t="str">
        <f>'org. Düngung 22'!F54</f>
        <v/>
      </c>
      <c r="G53" s="1201" t="str">
        <f>IF(C53="","",IF(COUNT('#minDung'!KF52:KJ52)=0,"OK",TRIM(CONCATENATE('#minDung'!KF52," ",'#minDung'!KG52," ",'#minDung'!KH52," ",'#minDung'!KI52," ",'#minDung'!KJ52))))</f>
        <v/>
      </c>
      <c r="H53" s="1025"/>
      <c r="I53" s="1026" t="str">
        <f>IF(H53="","",'#minDung'!X52)</f>
        <v/>
      </c>
      <c r="J53" s="1026" t="str">
        <f>IF(I53="","",'#minDung'!Y52)</f>
        <v/>
      </c>
      <c r="K53" s="1025"/>
      <c r="L53" s="1026" t="str">
        <f>IF(K53="","",'#minDung'!AG52)</f>
        <v/>
      </c>
      <c r="M53" s="1026" t="str">
        <f>IF(L53="","",'#minDung'!AH52)</f>
        <v/>
      </c>
      <c r="N53" s="1025"/>
      <c r="O53" s="1026" t="str">
        <f>IF(N53="","",'#minDung'!AP52)</f>
        <v/>
      </c>
      <c r="P53" s="1026" t="str">
        <f>IF(O53="","",'#minDung'!AQ52)</f>
        <v/>
      </c>
      <c r="Q53" s="1025"/>
      <c r="R53" s="1026" t="str">
        <f>IF(Q53="","",'#minDung'!AY52)</f>
        <v/>
      </c>
      <c r="S53" s="1026" t="str">
        <f>IF(R53="","",'#minDung'!AZ52)</f>
        <v/>
      </c>
      <c r="T53" s="1025"/>
      <c r="U53" s="1026" t="str">
        <f>IF(T53="","",'#minDung'!BH52)</f>
        <v/>
      </c>
      <c r="V53" s="1026" t="str">
        <f>IF(U53="","",'#minDung'!BI52)</f>
        <v/>
      </c>
      <c r="W53" s="1025"/>
      <c r="X53" s="1026" t="str">
        <f>IF(W53="","",'#minDung'!BQ52)</f>
        <v/>
      </c>
      <c r="Y53" s="1026" t="str">
        <f>IF(X53="","",'#minDung'!BR52)</f>
        <v/>
      </c>
      <c r="Z53" s="1025"/>
      <c r="AA53" s="1026" t="str">
        <f>IF(Z53="","",'#minDung'!BZ52)</f>
        <v/>
      </c>
      <c r="AB53" s="1026" t="str">
        <f>IF(AA53="","",'#minDung'!CA52)</f>
        <v/>
      </c>
      <c r="AC53" s="1025"/>
      <c r="AD53" s="1026" t="str">
        <f>IF(AC53="","",'#minDung'!CI52)</f>
        <v/>
      </c>
      <c r="AE53" s="1026" t="str">
        <f>IF(AD53="","",'#minDung'!CJ52)</f>
        <v/>
      </c>
      <c r="AF53" s="1025"/>
      <c r="AG53" s="1026" t="str">
        <f>IF(AF53="","",'#minDung'!CR52)</f>
        <v/>
      </c>
      <c r="AH53" s="1026" t="str">
        <f>IF(AG53="","",'#minDung'!CS52)</f>
        <v/>
      </c>
      <c r="AI53" s="1025"/>
      <c r="AJ53" s="1026" t="str">
        <f>IF(AI53="","",'#minDung'!DA52)</f>
        <v/>
      </c>
      <c r="AK53" s="1026" t="str">
        <f>IF(AJ53="","",'#minDung'!DB52)</f>
        <v/>
      </c>
      <c r="AL53" s="1025"/>
      <c r="AM53" s="1026" t="str">
        <f>IF(AL53="","",'#minDung'!DJ52)</f>
        <v/>
      </c>
      <c r="AN53" s="1026" t="str">
        <f>IF(AM53="","",'#minDung'!DK52)</f>
        <v/>
      </c>
      <c r="AO53" s="1025"/>
      <c r="AP53" s="1026" t="str">
        <f>IF(AO53="","",'#minDung'!DS52)</f>
        <v/>
      </c>
      <c r="AQ53" s="1026" t="str">
        <f>IF(AP53="","",'#minDung'!DT52)</f>
        <v/>
      </c>
      <c r="AR53" s="1025"/>
      <c r="AS53" s="1026" t="str">
        <f>IF(AR53="","",'#minDung'!EB52)</f>
        <v/>
      </c>
      <c r="AT53" s="1026" t="str">
        <f>IF(AS53="","",'#minDung'!EC52)</f>
        <v/>
      </c>
      <c r="AU53" s="1025"/>
      <c r="AV53" s="1026" t="str">
        <f>IF(AU53="","",'#minDung'!EK52)</f>
        <v/>
      </c>
      <c r="AW53" s="1026" t="str">
        <f>IF(AV53="","",'#minDung'!EL52)</f>
        <v/>
      </c>
      <c r="AX53" s="1025"/>
      <c r="AY53" s="1026" t="str">
        <f>IF(AX53="","",'#minDung'!ET52)</f>
        <v/>
      </c>
      <c r="AZ53" s="1026" t="str">
        <f>IF(AY53="","",'#minDung'!EU52)</f>
        <v/>
      </c>
      <c r="BA53" s="1025"/>
      <c r="BB53" s="1026" t="str">
        <f>IF(BA53="","",'#minDung'!FC52)</f>
        <v/>
      </c>
      <c r="BC53" s="1026" t="str">
        <f>IF(BB53="","",'#minDung'!FD52)</f>
        <v/>
      </c>
      <c r="BD53" s="1025"/>
      <c r="BE53" s="1026" t="str">
        <f>IF(BD53="","",'#minDung'!FL52)</f>
        <v/>
      </c>
      <c r="BF53" s="1026" t="str">
        <f>IF(BE53="","",'#minDung'!FM52)</f>
        <v/>
      </c>
      <c r="BG53" s="1025"/>
      <c r="BH53" s="1026" t="str">
        <f>IF(BG53="","",'#minDung'!FU52)</f>
        <v/>
      </c>
      <c r="BI53" s="1026" t="str">
        <f>IF(BH53="","",'#minDung'!FV52)</f>
        <v/>
      </c>
      <c r="BJ53" s="1025"/>
      <c r="BK53" s="1026" t="str">
        <f>IF(BJ53="","",'#minDung'!GD52)</f>
        <v/>
      </c>
      <c r="BL53" s="1026" t="str">
        <f>IF(BK53="","",'#minDung'!GE52)</f>
        <v/>
      </c>
      <c r="BM53" s="1025"/>
      <c r="BN53" s="1026" t="str">
        <f>IF(BM53="","",'#minDung'!GM52)</f>
        <v/>
      </c>
      <c r="BO53" s="1026" t="str">
        <f>IF(BN53="","",'#minDung'!GN52)</f>
        <v/>
      </c>
      <c r="BP53" s="1025"/>
      <c r="BQ53" s="1026" t="str">
        <f>IF(BP53="","",'#minDung'!GV52)</f>
        <v/>
      </c>
      <c r="BR53" s="1026" t="str">
        <f>IF(BQ53="","",'#minDung'!GW52)</f>
        <v/>
      </c>
      <c r="BS53" s="1025"/>
      <c r="BT53" s="1026" t="str">
        <f>IF(BS53="","",'#minDung'!HE52)</f>
        <v/>
      </c>
      <c r="BU53" s="1026" t="str">
        <f>IF(BT53="","",'#minDung'!HF52)</f>
        <v/>
      </c>
      <c r="BV53" s="1025"/>
      <c r="BW53" s="1026" t="str">
        <f>IF(BV53="","",'#minDung'!HN52)</f>
        <v/>
      </c>
      <c r="BX53" s="1026" t="str">
        <f>IF(BW53="","",'#minDung'!HO52)</f>
        <v/>
      </c>
      <c r="BY53" s="1025"/>
      <c r="BZ53" s="1026" t="str">
        <f>IF(BY53="","",'#minDung'!HW52)</f>
        <v/>
      </c>
      <c r="CA53" s="1026" t="str">
        <f>IF(BZ53="","",'#minDung'!HX52)</f>
        <v/>
      </c>
      <c r="CB53" s="1025"/>
      <c r="CC53" s="1026" t="str">
        <f>IF(CB53="","",'#minDung'!IF52)</f>
        <v/>
      </c>
      <c r="CD53" s="1026" t="str">
        <f>IF(CC53="","",'#minDung'!IG52)</f>
        <v/>
      </c>
      <c r="CE53" s="1025"/>
      <c r="CF53" s="1026" t="str">
        <f>IF(CE53="","",'#minDung'!IO52)</f>
        <v/>
      </c>
      <c r="CG53" s="1026" t="str">
        <f>IF(CF53="","",'#minDung'!IP52)</f>
        <v/>
      </c>
      <c r="CH53" s="1025"/>
      <c r="CI53" s="1026" t="str">
        <f>IF(CH53="","",'#minDung'!IX52)</f>
        <v/>
      </c>
      <c r="CJ53" s="1026" t="str">
        <f>IF(CI53="","",'#minDung'!IY52)</f>
        <v/>
      </c>
      <c r="CK53" s="1025"/>
      <c r="CL53" s="1026" t="str">
        <f>IF(CK53="","",'#minDung'!JG52)</f>
        <v/>
      </c>
      <c r="CM53" s="1026" t="str">
        <f>IF(CL53="","",'#minDung'!JH52)</f>
        <v/>
      </c>
      <c r="CN53" s="1025"/>
      <c r="CO53" s="1026" t="str">
        <f>IF(CN53="","",'#minDung'!JP52)</f>
        <v/>
      </c>
      <c r="CP53" s="1026" t="str">
        <f>IF(CO53="","",'#minDung'!JQ52)</f>
        <v/>
      </c>
      <c r="CQ53" s="1025"/>
      <c r="CR53" s="1026" t="str">
        <f>IF(CQ53="","",'#minDung'!JY52)</f>
        <v/>
      </c>
      <c r="CS53" s="1030" t="str">
        <f>IF(CR53="","",'#minDung'!JZ52)</f>
        <v/>
      </c>
      <c r="CT53" s="170"/>
    </row>
    <row r="54" spans="1:98" s="875" customFormat="1" ht="15" customHeight="1" x14ac:dyDescent="0.2">
      <c r="A54" s="1205">
        <f>'Flächen u. Kulturen'!A52</f>
        <v>43</v>
      </c>
      <c r="B54" s="1205" t="str">
        <f>+'org. Düngung 22'!B55</f>
        <v/>
      </c>
      <c r="C54" s="1206" t="str">
        <f>'org. Düngung 22'!C55</f>
        <v/>
      </c>
      <c r="D54" s="1197" t="str">
        <f>'org. Düngung 22'!D55</f>
        <v/>
      </c>
      <c r="E54" s="1207" t="str">
        <f>'org. Düngung 22'!E55</f>
        <v/>
      </c>
      <c r="F54" s="1199" t="str">
        <f>'org. Düngung 22'!F55</f>
        <v/>
      </c>
      <c r="G54" s="1201" t="str">
        <f>IF(C54="","",IF(COUNT('#minDung'!KF53:KJ53)=0,"OK",TRIM(CONCATENATE('#minDung'!KF53," ",'#minDung'!KG53," ",'#minDung'!KH53," ",'#minDung'!KI53," ",'#minDung'!KJ53))))</f>
        <v/>
      </c>
      <c r="H54" s="1025"/>
      <c r="I54" s="1026" t="str">
        <f>IF(H54="","",'#minDung'!X53)</f>
        <v/>
      </c>
      <c r="J54" s="1026" t="str">
        <f>IF(I54="","",'#minDung'!Y53)</f>
        <v/>
      </c>
      <c r="K54" s="1025"/>
      <c r="L54" s="1026" t="str">
        <f>IF(K54="","",'#minDung'!AG53)</f>
        <v/>
      </c>
      <c r="M54" s="1026" t="str">
        <f>IF(L54="","",'#minDung'!AH53)</f>
        <v/>
      </c>
      <c r="N54" s="1025"/>
      <c r="O54" s="1026" t="str">
        <f>IF(N54="","",'#minDung'!AP53)</f>
        <v/>
      </c>
      <c r="P54" s="1026" t="str">
        <f>IF(O54="","",'#minDung'!AQ53)</f>
        <v/>
      </c>
      <c r="Q54" s="1025"/>
      <c r="R54" s="1026" t="str">
        <f>IF(Q54="","",'#minDung'!AY53)</f>
        <v/>
      </c>
      <c r="S54" s="1026" t="str">
        <f>IF(R54="","",'#minDung'!AZ53)</f>
        <v/>
      </c>
      <c r="T54" s="1025"/>
      <c r="U54" s="1026" t="str">
        <f>IF(T54="","",'#minDung'!BH53)</f>
        <v/>
      </c>
      <c r="V54" s="1026" t="str">
        <f>IF(U54="","",'#minDung'!BI53)</f>
        <v/>
      </c>
      <c r="W54" s="1025"/>
      <c r="X54" s="1026" t="str">
        <f>IF(W54="","",'#minDung'!BQ53)</f>
        <v/>
      </c>
      <c r="Y54" s="1026" t="str">
        <f>IF(X54="","",'#minDung'!BR53)</f>
        <v/>
      </c>
      <c r="Z54" s="1025"/>
      <c r="AA54" s="1026" t="str">
        <f>IF(Z54="","",'#minDung'!BZ53)</f>
        <v/>
      </c>
      <c r="AB54" s="1026" t="str">
        <f>IF(AA54="","",'#minDung'!CA53)</f>
        <v/>
      </c>
      <c r="AC54" s="1025"/>
      <c r="AD54" s="1026" t="str">
        <f>IF(AC54="","",'#minDung'!CI53)</f>
        <v/>
      </c>
      <c r="AE54" s="1026" t="str">
        <f>IF(AD54="","",'#minDung'!CJ53)</f>
        <v/>
      </c>
      <c r="AF54" s="1025"/>
      <c r="AG54" s="1026" t="str">
        <f>IF(AF54="","",'#minDung'!CR53)</f>
        <v/>
      </c>
      <c r="AH54" s="1026" t="str">
        <f>IF(AG54="","",'#minDung'!CS53)</f>
        <v/>
      </c>
      <c r="AI54" s="1025"/>
      <c r="AJ54" s="1026" t="str">
        <f>IF(AI54="","",'#minDung'!DA53)</f>
        <v/>
      </c>
      <c r="AK54" s="1026" t="str">
        <f>IF(AJ54="","",'#minDung'!DB53)</f>
        <v/>
      </c>
      <c r="AL54" s="1025"/>
      <c r="AM54" s="1026" t="str">
        <f>IF(AL54="","",'#minDung'!DJ53)</f>
        <v/>
      </c>
      <c r="AN54" s="1026" t="str">
        <f>IF(AM54="","",'#minDung'!DK53)</f>
        <v/>
      </c>
      <c r="AO54" s="1025"/>
      <c r="AP54" s="1026" t="str">
        <f>IF(AO54="","",'#minDung'!DS53)</f>
        <v/>
      </c>
      <c r="AQ54" s="1026" t="str">
        <f>IF(AP54="","",'#minDung'!DT53)</f>
        <v/>
      </c>
      <c r="AR54" s="1025"/>
      <c r="AS54" s="1026" t="str">
        <f>IF(AR54="","",'#minDung'!EB53)</f>
        <v/>
      </c>
      <c r="AT54" s="1026" t="str">
        <f>IF(AS54="","",'#minDung'!EC53)</f>
        <v/>
      </c>
      <c r="AU54" s="1025"/>
      <c r="AV54" s="1026" t="str">
        <f>IF(AU54="","",'#minDung'!EK53)</f>
        <v/>
      </c>
      <c r="AW54" s="1026" t="str">
        <f>IF(AV54="","",'#minDung'!EL53)</f>
        <v/>
      </c>
      <c r="AX54" s="1025"/>
      <c r="AY54" s="1026" t="str">
        <f>IF(AX54="","",'#minDung'!ET53)</f>
        <v/>
      </c>
      <c r="AZ54" s="1026" t="str">
        <f>IF(AY54="","",'#minDung'!EU53)</f>
        <v/>
      </c>
      <c r="BA54" s="1025"/>
      <c r="BB54" s="1026" t="str">
        <f>IF(BA54="","",'#minDung'!FC53)</f>
        <v/>
      </c>
      <c r="BC54" s="1026" t="str">
        <f>IF(BB54="","",'#minDung'!FD53)</f>
        <v/>
      </c>
      <c r="BD54" s="1025"/>
      <c r="BE54" s="1026" t="str">
        <f>IF(BD54="","",'#minDung'!FL53)</f>
        <v/>
      </c>
      <c r="BF54" s="1026" t="str">
        <f>IF(BE54="","",'#minDung'!FM53)</f>
        <v/>
      </c>
      <c r="BG54" s="1025"/>
      <c r="BH54" s="1026" t="str">
        <f>IF(BG54="","",'#minDung'!FU53)</f>
        <v/>
      </c>
      <c r="BI54" s="1026" t="str">
        <f>IF(BH54="","",'#minDung'!FV53)</f>
        <v/>
      </c>
      <c r="BJ54" s="1025"/>
      <c r="BK54" s="1026" t="str">
        <f>IF(BJ54="","",'#minDung'!GD53)</f>
        <v/>
      </c>
      <c r="BL54" s="1026" t="str">
        <f>IF(BK54="","",'#minDung'!GE53)</f>
        <v/>
      </c>
      <c r="BM54" s="1025"/>
      <c r="BN54" s="1026" t="str">
        <f>IF(BM54="","",'#minDung'!GM53)</f>
        <v/>
      </c>
      <c r="BO54" s="1026" t="str">
        <f>IF(BN54="","",'#minDung'!GN53)</f>
        <v/>
      </c>
      <c r="BP54" s="1025"/>
      <c r="BQ54" s="1026" t="str">
        <f>IF(BP54="","",'#minDung'!GV53)</f>
        <v/>
      </c>
      <c r="BR54" s="1026" t="str">
        <f>IF(BQ54="","",'#minDung'!GW53)</f>
        <v/>
      </c>
      <c r="BS54" s="1025"/>
      <c r="BT54" s="1026" t="str">
        <f>IF(BS54="","",'#minDung'!HE53)</f>
        <v/>
      </c>
      <c r="BU54" s="1026" t="str">
        <f>IF(BT54="","",'#minDung'!HF53)</f>
        <v/>
      </c>
      <c r="BV54" s="1025"/>
      <c r="BW54" s="1026" t="str">
        <f>IF(BV54="","",'#minDung'!HN53)</f>
        <v/>
      </c>
      <c r="BX54" s="1026" t="str">
        <f>IF(BW54="","",'#minDung'!HO53)</f>
        <v/>
      </c>
      <c r="BY54" s="1025"/>
      <c r="BZ54" s="1026" t="str">
        <f>IF(BY54="","",'#minDung'!HW53)</f>
        <v/>
      </c>
      <c r="CA54" s="1026" t="str">
        <f>IF(BZ54="","",'#minDung'!HX53)</f>
        <v/>
      </c>
      <c r="CB54" s="1025"/>
      <c r="CC54" s="1026" t="str">
        <f>IF(CB54="","",'#minDung'!IF53)</f>
        <v/>
      </c>
      <c r="CD54" s="1026" t="str">
        <f>IF(CC54="","",'#minDung'!IG53)</f>
        <v/>
      </c>
      <c r="CE54" s="1025"/>
      <c r="CF54" s="1026" t="str">
        <f>IF(CE54="","",'#minDung'!IO53)</f>
        <v/>
      </c>
      <c r="CG54" s="1026" t="str">
        <f>IF(CF54="","",'#minDung'!IP53)</f>
        <v/>
      </c>
      <c r="CH54" s="1025"/>
      <c r="CI54" s="1026" t="str">
        <f>IF(CH54="","",'#minDung'!IX53)</f>
        <v/>
      </c>
      <c r="CJ54" s="1026" t="str">
        <f>IF(CI54="","",'#minDung'!IY53)</f>
        <v/>
      </c>
      <c r="CK54" s="1025"/>
      <c r="CL54" s="1026" t="str">
        <f>IF(CK54="","",'#minDung'!JG53)</f>
        <v/>
      </c>
      <c r="CM54" s="1026" t="str">
        <f>IF(CL54="","",'#minDung'!JH53)</f>
        <v/>
      </c>
      <c r="CN54" s="1025"/>
      <c r="CO54" s="1026" t="str">
        <f>IF(CN54="","",'#minDung'!JP53)</f>
        <v/>
      </c>
      <c r="CP54" s="1026" t="str">
        <f>IF(CO54="","",'#minDung'!JQ53)</f>
        <v/>
      </c>
      <c r="CQ54" s="1025"/>
      <c r="CR54" s="1026" t="str">
        <f>IF(CQ54="","",'#minDung'!JY53)</f>
        <v/>
      </c>
      <c r="CS54" s="1030" t="str">
        <f>IF(CR54="","",'#minDung'!JZ53)</f>
        <v/>
      </c>
      <c r="CT54" s="170"/>
    </row>
    <row r="55" spans="1:98" s="875" customFormat="1" ht="15" customHeight="1" x14ac:dyDescent="0.2">
      <c r="A55" s="1205">
        <f>'Flächen u. Kulturen'!A53</f>
        <v>44</v>
      </c>
      <c r="B55" s="1205" t="str">
        <f>+'org. Düngung 22'!B56</f>
        <v/>
      </c>
      <c r="C55" s="1206" t="str">
        <f>'org. Düngung 22'!C56</f>
        <v/>
      </c>
      <c r="D55" s="1197" t="str">
        <f>'org. Düngung 22'!D56</f>
        <v/>
      </c>
      <c r="E55" s="1207" t="str">
        <f>'org. Düngung 22'!E56</f>
        <v/>
      </c>
      <c r="F55" s="1199" t="str">
        <f>'org. Düngung 22'!F56</f>
        <v/>
      </c>
      <c r="G55" s="1201" t="str">
        <f>IF(C55="","",IF(COUNT('#minDung'!KF54:KJ54)=0,"OK",TRIM(CONCATENATE('#minDung'!KF54," ",'#minDung'!KG54," ",'#minDung'!KH54," ",'#minDung'!KI54," ",'#minDung'!KJ54))))</f>
        <v/>
      </c>
      <c r="H55" s="1025"/>
      <c r="I55" s="1026" t="str">
        <f>IF(H55="","",'#minDung'!X54)</f>
        <v/>
      </c>
      <c r="J55" s="1026" t="str">
        <f>IF(I55="","",'#minDung'!Y54)</f>
        <v/>
      </c>
      <c r="K55" s="1025"/>
      <c r="L55" s="1026" t="str">
        <f>IF(K55="","",'#minDung'!AG54)</f>
        <v/>
      </c>
      <c r="M55" s="1026" t="str">
        <f>IF(L55="","",'#minDung'!AH54)</f>
        <v/>
      </c>
      <c r="N55" s="1025"/>
      <c r="O55" s="1026" t="str">
        <f>IF(N55="","",'#minDung'!AP54)</f>
        <v/>
      </c>
      <c r="P55" s="1026" t="str">
        <f>IF(O55="","",'#minDung'!AQ54)</f>
        <v/>
      </c>
      <c r="Q55" s="1025"/>
      <c r="R55" s="1026" t="str">
        <f>IF(Q55="","",'#minDung'!AY54)</f>
        <v/>
      </c>
      <c r="S55" s="1026" t="str">
        <f>IF(R55="","",'#minDung'!AZ54)</f>
        <v/>
      </c>
      <c r="T55" s="1025"/>
      <c r="U55" s="1026" t="str">
        <f>IF(T55="","",'#minDung'!BH54)</f>
        <v/>
      </c>
      <c r="V55" s="1026" t="str">
        <f>IF(U55="","",'#minDung'!BI54)</f>
        <v/>
      </c>
      <c r="W55" s="1025"/>
      <c r="X55" s="1026" t="str">
        <f>IF(W55="","",'#minDung'!BQ54)</f>
        <v/>
      </c>
      <c r="Y55" s="1026" t="str">
        <f>IF(X55="","",'#minDung'!BR54)</f>
        <v/>
      </c>
      <c r="Z55" s="1025"/>
      <c r="AA55" s="1026" t="str">
        <f>IF(Z55="","",'#minDung'!BZ54)</f>
        <v/>
      </c>
      <c r="AB55" s="1026" t="str">
        <f>IF(AA55="","",'#minDung'!CA54)</f>
        <v/>
      </c>
      <c r="AC55" s="1025"/>
      <c r="AD55" s="1026" t="str">
        <f>IF(AC55="","",'#minDung'!CI54)</f>
        <v/>
      </c>
      <c r="AE55" s="1026" t="str">
        <f>IF(AD55="","",'#minDung'!CJ54)</f>
        <v/>
      </c>
      <c r="AF55" s="1025"/>
      <c r="AG55" s="1026" t="str">
        <f>IF(AF55="","",'#minDung'!CR54)</f>
        <v/>
      </c>
      <c r="AH55" s="1026" t="str">
        <f>IF(AG55="","",'#minDung'!CS54)</f>
        <v/>
      </c>
      <c r="AI55" s="1025"/>
      <c r="AJ55" s="1026" t="str">
        <f>IF(AI55="","",'#minDung'!DA54)</f>
        <v/>
      </c>
      <c r="AK55" s="1026" t="str">
        <f>IF(AJ55="","",'#minDung'!DB54)</f>
        <v/>
      </c>
      <c r="AL55" s="1025"/>
      <c r="AM55" s="1026" t="str">
        <f>IF(AL55="","",'#minDung'!DJ54)</f>
        <v/>
      </c>
      <c r="AN55" s="1026" t="str">
        <f>IF(AM55="","",'#minDung'!DK54)</f>
        <v/>
      </c>
      <c r="AO55" s="1025"/>
      <c r="AP55" s="1026" t="str">
        <f>IF(AO55="","",'#minDung'!DS54)</f>
        <v/>
      </c>
      <c r="AQ55" s="1026" t="str">
        <f>IF(AP55="","",'#minDung'!DT54)</f>
        <v/>
      </c>
      <c r="AR55" s="1025"/>
      <c r="AS55" s="1026" t="str">
        <f>IF(AR55="","",'#minDung'!EB54)</f>
        <v/>
      </c>
      <c r="AT55" s="1026" t="str">
        <f>IF(AS55="","",'#minDung'!EC54)</f>
        <v/>
      </c>
      <c r="AU55" s="1025"/>
      <c r="AV55" s="1026" t="str">
        <f>IF(AU55="","",'#minDung'!EK54)</f>
        <v/>
      </c>
      <c r="AW55" s="1026" t="str">
        <f>IF(AV55="","",'#minDung'!EL54)</f>
        <v/>
      </c>
      <c r="AX55" s="1025"/>
      <c r="AY55" s="1026" t="str">
        <f>IF(AX55="","",'#minDung'!ET54)</f>
        <v/>
      </c>
      <c r="AZ55" s="1026" t="str">
        <f>IF(AY55="","",'#minDung'!EU54)</f>
        <v/>
      </c>
      <c r="BA55" s="1025"/>
      <c r="BB55" s="1026" t="str">
        <f>IF(BA55="","",'#minDung'!FC54)</f>
        <v/>
      </c>
      <c r="BC55" s="1026" t="str">
        <f>IF(BB55="","",'#minDung'!FD54)</f>
        <v/>
      </c>
      <c r="BD55" s="1025"/>
      <c r="BE55" s="1026" t="str">
        <f>IF(BD55="","",'#minDung'!FL54)</f>
        <v/>
      </c>
      <c r="BF55" s="1026" t="str">
        <f>IF(BE55="","",'#minDung'!FM54)</f>
        <v/>
      </c>
      <c r="BG55" s="1025"/>
      <c r="BH55" s="1026" t="str">
        <f>IF(BG55="","",'#minDung'!FU54)</f>
        <v/>
      </c>
      <c r="BI55" s="1026" t="str">
        <f>IF(BH55="","",'#minDung'!FV54)</f>
        <v/>
      </c>
      <c r="BJ55" s="1025"/>
      <c r="BK55" s="1026" t="str">
        <f>IF(BJ55="","",'#minDung'!GD54)</f>
        <v/>
      </c>
      <c r="BL55" s="1026" t="str">
        <f>IF(BK55="","",'#minDung'!GE54)</f>
        <v/>
      </c>
      <c r="BM55" s="1025"/>
      <c r="BN55" s="1026" t="str">
        <f>IF(BM55="","",'#minDung'!GM54)</f>
        <v/>
      </c>
      <c r="BO55" s="1026" t="str">
        <f>IF(BN55="","",'#minDung'!GN54)</f>
        <v/>
      </c>
      <c r="BP55" s="1025"/>
      <c r="BQ55" s="1026" t="str">
        <f>IF(BP55="","",'#minDung'!GV54)</f>
        <v/>
      </c>
      <c r="BR55" s="1026" t="str">
        <f>IF(BQ55="","",'#minDung'!GW54)</f>
        <v/>
      </c>
      <c r="BS55" s="1025"/>
      <c r="BT55" s="1026" t="str">
        <f>IF(BS55="","",'#minDung'!HE54)</f>
        <v/>
      </c>
      <c r="BU55" s="1026" t="str">
        <f>IF(BT55="","",'#minDung'!HF54)</f>
        <v/>
      </c>
      <c r="BV55" s="1025"/>
      <c r="BW55" s="1026" t="str">
        <f>IF(BV55="","",'#minDung'!HN54)</f>
        <v/>
      </c>
      <c r="BX55" s="1026" t="str">
        <f>IF(BW55="","",'#minDung'!HO54)</f>
        <v/>
      </c>
      <c r="BY55" s="1025"/>
      <c r="BZ55" s="1026" t="str">
        <f>IF(BY55="","",'#minDung'!HW54)</f>
        <v/>
      </c>
      <c r="CA55" s="1026" t="str">
        <f>IF(BZ55="","",'#minDung'!HX54)</f>
        <v/>
      </c>
      <c r="CB55" s="1025"/>
      <c r="CC55" s="1026" t="str">
        <f>IF(CB55="","",'#minDung'!IF54)</f>
        <v/>
      </c>
      <c r="CD55" s="1026" t="str">
        <f>IF(CC55="","",'#minDung'!IG54)</f>
        <v/>
      </c>
      <c r="CE55" s="1025"/>
      <c r="CF55" s="1026" t="str">
        <f>IF(CE55="","",'#minDung'!IO54)</f>
        <v/>
      </c>
      <c r="CG55" s="1026" t="str">
        <f>IF(CF55="","",'#minDung'!IP54)</f>
        <v/>
      </c>
      <c r="CH55" s="1025"/>
      <c r="CI55" s="1026" t="str">
        <f>IF(CH55="","",'#minDung'!IX54)</f>
        <v/>
      </c>
      <c r="CJ55" s="1026" t="str">
        <f>IF(CI55="","",'#minDung'!IY54)</f>
        <v/>
      </c>
      <c r="CK55" s="1025"/>
      <c r="CL55" s="1026" t="str">
        <f>IF(CK55="","",'#minDung'!JG54)</f>
        <v/>
      </c>
      <c r="CM55" s="1026" t="str">
        <f>IF(CL55="","",'#minDung'!JH54)</f>
        <v/>
      </c>
      <c r="CN55" s="1025"/>
      <c r="CO55" s="1026" t="str">
        <f>IF(CN55="","",'#minDung'!JP54)</f>
        <v/>
      </c>
      <c r="CP55" s="1026" t="str">
        <f>IF(CO55="","",'#minDung'!JQ54)</f>
        <v/>
      </c>
      <c r="CQ55" s="1025"/>
      <c r="CR55" s="1026" t="str">
        <f>IF(CQ55="","",'#minDung'!JY54)</f>
        <v/>
      </c>
      <c r="CS55" s="1030" t="str">
        <f>IF(CR55="","",'#minDung'!JZ54)</f>
        <v/>
      </c>
      <c r="CT55" s="170"/>
    </row>
    <row r="56" spans="1:98" s="875" customFormat="1" ht="15" customHeight="1" x14ac:dyDescent="0.2">
      <c r="A56" s="1205">
        <f>'Flächen u. Kulturen'!A54</f>
        <v>45</v>
      </c>
      <c r="B56" s="1205" t="str">
        <f>+'org. Düngung 22'!B57</f>
        <v/>
      </c>
      <c r="C56" s="1206" t="str">
        <f>'org. Düngung 22'!C57</f>
        <v/>
      </c>
      <c r="D56" s="1197" t="str">
        <f>'org. Düngung 22'!D57</f>
        <v/>
      </c>
      <c r="E56" s="1207" t="str">
        <f>'org. Düngung 22'!E57</f>
        <v/>
      </c>
      <c r="F56" s="1199" t="str">
        <f>'org. Düngung 22'!F57</f>
        <v/>
      </c>
      <c r="G56" s="1201" t="str">
        <f>IF(C56="","",IF(COUNT('#minDung'!KF55:KJ55)=0,"OK",TRIM(CONCATENATE('#minDung'!KF55," ",'#minDung'!KG55," ",'#minDung'!KH55," ",'#minDung'!KI55," ",'#minDung'!KJ55))))</f>
        <v/>
      </c>
      <c r="H56" s="1025"/>
      <c r="I56" s="1026" t="str">
        <f>IF(H56="","",'#minDung'!X55)</f>
        <v/>
      </c>
      <c r="J56" s="1026" t="str">
        <f>IF(I56="","",'#minDung'!Y55)</f>
        <v/>
      </c>
      <c r="K56" s="1025"/>
      <c r="L56" s="1026" t="str">
        <f>IF(K56="","",'#minDung'!AG55)</f>
        <v/>
      </c>
      <c r="M56" s="1026" t="str">
        <f>IF(L56="","",'#minDung'!AH55)</f>
        <v/>
      </c>
      <c r="N56" s="1025"/>
      <c r="O56" s="1026" t="str">
        <f>IF(N56="","",'#minDung'!AP55)</f>
        <v/>
      </c>
      <c r="P56" s="1026" t="str">
        <f>IF(O56="","",'#minDung'!AQ55)</f>
        <v/>
      </c>
      <c r="Q56" s="1025"/>
      <c r="R56" s="1026" t="str">
        <f>IF(Q56="","",'#minDung'!AY55)</f>
        <v/>
      </c>
      <c r="S56" s="1026" t="str">
        <f>IF(R56="","",'#minDung'!AZ55)</f>
        <v/>
      </c>
      <c r="T56" s="1025"/>
      <c r="U56" s="1026" t="str">
        <f>IF(T56="","",'#minDung'!BH55)</f>
        <v/>
      </c>
      <c r="V56" s="1026" t="str">
        <f>IF(U56="","",'#minDung'!BI55)</f>
        <v/>
      </c>
      <c r="W56" s="1025"/>
      <c r="X56" s="1026" t="str">
        <f>IF(W56="","",'#minDung'!BQ55)</f>
        <v/>
      </c>
      <c r="Y56" s="1026" t="str">
        <f>IF(X56="","",'#minDung'!BR55)</f>
        <v/>
      </c>
      <c r="Z56" s="1025"/>
      <c r="AA56" s="1026" t="str">
        <f>IF(Z56="","",'#minDung'!BZ55)</f>
        <v/>
      </c>
      <c r="AB56" s="1026" t="str">
        <f>IF(AA56="","",'#minDung'!CA55)</f>
        <v/>
      </c>
      <c r="AC56" s="1025"/>
      <c r="AD56" s="1026" t="str">
        <f>IF(AC56="","",'#minDung'!CI55)</f>
        <v/>
      </c>
      <c r="AE56" s="1026" t="str">
        <f>IF(AD56="","",'#minDung'!CJ55)</f>
        <v/>
      </c>
      <c r="AF56" s="1025"/>
      <c r="AG56" s="1026" t="str">
        <f>IF(AF56="","",'#minDung'!CR55)</f>
        <v/>
      </c>
      <c r="AH56" s="1026" t="str">
        <f>IF(AG56="","",'#minDung'!CS55)</f>
        <v/>
      </c>
      <c r="AI56" s="1025"/>
      <c r="AJ56" s="1026" t="str">
        <f>IF(AI56="","",'#minDung'!DA55)</f>
        <v/>
      </c>
      <c r="AK56" s="1026" t="str">
        <f>IF(AJ56="","",'#minDung'!DB55)</f>
        <v/>
      </c>
      <c r="AL56" s="1025"/>
      <c r="AM56" s="1026" t="str">
        <f>IF(AL56="","",'#minDung'!DJ55)</f>
        <v/>
      </c>
      <c r="AN56" s="1026" t="str">
        <f>IF(AM56="","",'#minDung'!DK55)</f>
        <v/>
      </c>
      <c r="AO56" s="1025"/>
      <c r="AP56" s="1026" t="str">
        <f>IF(AO56="","",'#minDung'!DS55)</f>
        <v/>
      </c>
      <c r="AQ56" s="1026" t="str">
        <f>IF(AP56="","",'#minDung'!DT55)</f>
        <v/>
      </c>
      <c r="AR56" s="1025"/>
      <c r="AS56" s="1026" t="str">
        <f>IF(AR56="","",'#minDung'!EB55)</f>
        <v/>
      </c>
      <c r="AT56" s="1026" t="str">
        <f>IF(AS56="","",'#minDung'!EC55)</f>
        <v/>
      </c>
      <c r="AU56" s="1025"/>
      <c r="AV56" s="1026" t="str">
        <f>IF(AU56="","",'#minDung'!EK55)</f>
        <v/>
      </c>
      <c r="AW56" s="1026" t="str">
        <f>IF(AV56="","",'#minDung'!EL55)</f>
        <v/>
      </c>
      <c r="AX56" s="1025"/>
      <c r="AY56" s="1026" t="str">
        <f>IF(AX56="","",'#minDung'!ET55)</f>
        <v/>
      </c>
      <c r="AZ56" s="1026" t="str">
        <f>IF(AY56="","",'#minDung'!EU55)</f>
        <v/>
      </c>
      <c r="BA56" s="1025"/>
      <c r="BB56" s="1026" t="str">
        <f>IF(BA56="","",'#minDung'!FC55)</f>
        <v/>
      </c>
      <c r="BC56" s="1026" t="str">
        <f>IF(BB56="","",'#minDung'!FD55)</f>
        <v/>
      </c>
      <c r="BD56" s="1025"/>
      <c r="BE56" s="1026" t="str">
        <f>IF(BD56="","",'#minDung'!FL55)</f>
        <v/>
      </c>
      <c r="BF56" s="1026" t="str">
        <f>IF(BE56="","",'#minDung'!FM55)</f>
        <v/>
      </c>
      <c r="BG56" s="1025"/>
      <c r="BH56" s="1026" t="str">
        <f>IF(BG56="","",'#minDung'!FU55)</f>
        <v/>
      </c>
      <c r="BI56" s="1026" t="str">
        <f>IF(BH56="","",'#minDung'!FV55)</f>
        <v/>
      </c>
      <c r="BJ56" s="1025"/>
      <c r="BK56" s="1026" t="str">
        <f>IF(BJ56="","",'#minDung'!GD55)</f>
        <v/>
      </c>
      <c r="BL56" s="1026" t="str">
        <f>IF(BK56="","",'#minDung'!GE55)</f>
        <v/>
      </c>
      <c r="BM56" s="1025"/>
      <c r="BN56" s="1026" t="str">
        <f>IF(BM56="","",'#minDung'!GM55)</f>
        <v/>
      </c>
      <c r="BO56" s="1026" t="str">
        <f>IF(BN56="","",'#minDung'!GN55)</f>
        <v/>
      </c>
      <c r="BP56" s="1025"/>
      <c r="BQ56" s="1026" t="str">
        <f>IF(BP56="","",'#minDung'!GV55)</f>
        <v/>
      </c>
      <c r="BR56" s="1026" t="str">
        <f>IF(BQ56="","",'#minDung'!GW55)</f>
        <v/>
      </c>
      <c r="BS56" s="1025"/>
      <c r="BT56" s="1026" t="str">
        <f>IF(BS56="","",'#minDung'!HE55)</f>
        <v/>
      </c>
      <c r="BU56" s="1026" t="str">
        <f>IF(BT56="","",'#minDung'!HF55)</f>
        <v/>
      </c>
      <c r="BV56" s="1025"/>
      <c r="BW56" s="1026" t="str">
        <f>IF(BV56="","",'#minDung'!HN55)</f>
        <v/>
      </c>
      <c r="BX56" s="1026" t="str">
        <f>IF(BW56="","",'#minDung'!HO55)</f>
        <v/>
      </c>
      <c r="BY56" s="1025"/>
      <c r="BZ56" s="1026" t="str">
        <f>IF(BY56="","",'#minDung'!HW55)</f>
        <v/>
      </c>
      <c r="CA56" s="1026" t="str">
        <f>IF(BZ56="","",'#minDung'!HX55)</f>
        <v/>
      </c>
      <c r="CB56" s="1025"/>
      <c r="CC56" s="1026" t="str">
        <f>IF(CB56="","",'#minDung'!IF55)</f>
        <v/>
      </c>
      <c r="CD56" s="1026" t="str">
        <f>IF(CC56="","",'#minDung'!IG55)</f>
        <v/>
      </c>
      <c r="CE56" s="1025"/>
      <c r="CF56" s="1026" t="str">
        <f>IF(CE56="","",'#minDung'!IO55)</f>
        <v/>
      </c>
      <c r="CG56" s="1026" t="str">
        <f>IF(CF56="","",'#minDung'!IP55)</f>
        <v/>
      </c>
      <c r="CH56" s="1025"/>
      <c r="CI56" s="1026" t="str">
        <f>IF(CH56="","",'#minDung'!IX55)</f>
        <v/>
      </c>
      <c r="CJ56" s="1026" t="str">
        <f>IF(CI56="","",'#minDung'!IY55)</f>
        <v/>
      </c>
      <c r="CK56" s="1025"/>
      <c r="CL56" s="1026" t="str">
        <f>IF(CK56="","",'#minDung'!JG55)</f>
        <v/>
      </c>
      <c r="CM56" s="1026" t="str">
        <f>IF(CL56="","",'#minDung'!JH55)</f>
        <v/>
      </c>
      <c r="CN56" s="1025"/>
      <c r="CO56" s="1026" t="str">
        <f>IF(CN56="","",'#minDung'!JP55)</f>
        <v/>
      </c>
      <c r="CP56" s="1026" t="str">
        <f>IF(CO56="","",'#minDung'!JQ55)</f>
        <v/>
      </c>
      <c r="CQ56" s="1025"/>
      <c r="CR56" s="1026" t="str">
        <f>IF(CQ56="","",'#minDung'!JY55)</f>
        <v/>
      </c>
      <c r="CS56" s="1030" t="str">
        <f>IF(CR56="","",'#minDung'!JZ55)</f>
        <v/>
      </c>
      <c r="CT56" s="170"/>
    </row>
    <row r="57" spans="1:98" s="875" customFormat="1" ht="15" customHeight="1" x14ac:dyDescent="0.2">
      <c r="A57" s="1205">
        <f>'Flächen u. Kulturen'!A55</f>
        <v>46</v>
      </c>
      <c r="B57" s="1205" t="str">
        <f>+'org. Düngung 22'!B58</f>
        <v/>
      </c>
      <c r="C57" s="1206" t="str">
        <f>'org. Düngung 22'!C58</f>
        <v/>
      </c>
      <c r="D57" s="1197" t="str">
        <f>'org. Düngung 22'!D58</f>
        <v/>
      </c>
      <c r="E57" s="1207" t="str">
        <f>'org. Düngung 22'!E58</f>
        <v/>
      </c>
      <c r="F57" s="1199" t="str">
        <f>'org. Düngung 22'!F58</f>
        <v/>
      </c>
      <c r="G57" s="1201" t="str">
        <f>IF(C57="","",IF(COUNT('#minDung'!KF56:KJ56)=0,"OK",TRIM(CONCATENATE('#minDung'!KF56," ",'#minDung'!KG56," ",'#minDung'!KH56," ",'#minDung'!KI56," ",'#minDung'!KJ56))))</f>
        <v/>
      </c>
      <c r="H57" s="1025"/>
      <c r="I57" s="1026" t="str">
        <f>IF(H57="","",'#minDung'!X56)</f>
        <v/>
      </c>
      <c r="J57" s="1026" t="str">
        <f>IF(I57="","",'#minDung'!Y56)</f>
        <v/>
      </c>
      <c r="K57" s="1025"/>
      <c r="L57" s="1026" t="str">
        <f>IF(K57="","",'#minDung'!AG56)</f>
        <v/>
      </c>
      <c r="M57" s="1026" t="str">
        <f>IF(L57="","",'#minDung'!AH56)</f>
        <v/>
      </c>
      <c r="N57" s="1025"/>
      <c r="O57" s="1026" t="str">
        <f>IF(N57="","",'#minDung'!AP56)</f>
        <v/>
      </c>
      <c r="P57" s="1026" t="str">
        <f>IF(O57="","",'#minDung'!AQ56)</f>
        <v/>
      </c>
      <c r="Q57" s="1025"/>
      <c r="R57" s="1026" t="str">
        <f>IF(Q57="","",'#minDung'!AY56)</f>
        <v/>
      </c>
      <c r="S57" s="1026" t="str">
        <f>IF(R57="","",'#minDung'!AZ56)</f>
        <v/>
      </c>
      <c r="T57" s="1025"/>
      <c r="U57" s="1026" t="str">
        <f>IF(T57="","",'#minDung'!BH56)</f>
        <v/>
      </c>
      <c r="V57" s="1026" t="str">
        <f>IF(U57="","",'#minDung'!BI56)</f>
        <v/>
      </c>
      <c r="W57" s="1025"/>
      <c r="X57" s="1026" t="str">
        <f>IF(W57="","",'#minDung'!BQ56)</f>
        <v/>
      </c>
      <c r="Y57" s="1026" t="str">
        <f>IF(X57="","",'#minDung'!BR56)</f>
        <v/>
      </c>
      <c r="Z57" s="1025"/>
      <c r="AA57" s="1026" t="str">
        <f>IF(Z57="","",'#minDung'!BZ56)</f>
        <v/>
      </c>
      <c r="AB57" s="1026" t="str">
        <f>IF(AA57="","",'#minDung'!CA56)</f>
        <v/>
      </c>
      <c r="AC57" s="1025"/>
      <c r="AD57" s="1026" t="str">
        <f>IF(AC57="","",'#minDung'!CI56)</f>
        <v/>
      </c>
      <c r="AE57" s="1026" t="str">
        <f>IF(AD57="","",'#minDung'!CJ56)</f>
        <v/>
      </c>
      <c r="AF57" s="1025"/>
      <c r="AG57" s="1026" t="str">
        <f>IF(AF57="","",'#minDung'!CR56)</f>
        <v/>
      </c>
      <c r="AH57" s="1026" t="str">
        <f>IF(AG57="","",'#minDung'!CS56)</f>
        <v/>
      </c>
      <c r="AI57" s="1025"/>
      <c r="AJ57" s="1026" t="str">
        <f>IF(AI57="","",'#minDung'!DA56)</f>
        <v/>
      </c>
      <c r="AK57" s="1026" t="str">
        <f>IF(AJ57="","",'#minDung'!DB56)</f>
        <v/>
      </c>
      <c r="AL57" s="1025"/>
      <c r="AM57" s="1026" t="str">
        <f>IF(AL57="","",'#minDung'!DJ56)</f>
        <v/>
      </c>
      <c r="AN57" s="1026" t="str">
        <f>IF(AM57="","",'#minDung'!DK56)</f>
        <v/>
      </c>
      <c r="AO57" s="1025"/>
      <c r="AP57" s="1026" t="str">
        <f>IF(AO57="","",'#minDung'!DS56)</f>
        <v/>
      </c>
      <c r="AQ57" s="1026" t="str">
        <f>IF(AP57="","",'#minDung'!DT56)</f>
        <v/>
      </c>
      <c r="AR57" s="1025"/>
      <c r="AS57" s="1026" t="str">
        <f>IF(AR57="","",'#minDung'!EB56)</f>
        <v/>
      </c>
      <c r="AT57" s="1026" t="str">
        <f>IF(AS57="","",'#minDung'!EC56)</f>
        <v/>
      </c>
      <c r="AU57" s="1025"/>
      <c r="AV57" s="1026" t="str">
        <f>IF(AU57="","",'#minDung'!EK56)</f>
        <v/>
      </c>
      <c r="AW57" s="1026" t="str">
        <f>IF(AV57="","",'#minDung'!EL56)</f>
        <v/>
      </c>
      <c r="AX57" s="1025"/>
      <c r="AY57" s="1026" t="str">
        <f>IF(AX57="","",'#minDung'!ET56)</f>
        <v/>
      </c>
      <c r="AZ57" s="1026" t="str">
        <f>IF(AY57="","",'#minDung'!EU56)</f>
        <v/>
      </c>
      <c r="BA57" s="1025"/>
      <c r="BB57" s="1026" t="str">
        <f>IF(BA57="","",'#minDung'!FC56)</f>
        <v/>
      </c>
      <c r="BC57" s="1026" t="str">
        <f>IF(BB57="","",'#minDung'!FD56)</f>
        <v/>
      </c>
      <c r="BD57" s="1025"/>
      <c r="BE57" s="1026" t="str">
        <f>IF(BD57="","",'#minDung'!FL56)</f>
        <v/>
      </c>
      <c r="BF57" s="1026" t="str">
        <f>IF(BE57="","",'#minDung'!FM56)</f>
        <v/>
      </c>
      <c r="BG57" s="1025"/>
      <c r="BH57" s="1026" t="str">
        <f>IF(BG57="","",'#minDung'!FU56)</f>
        <v/>
      </c>
      <c r="BI57" s="1026" t="str">
        <f>IF(BH57="","",'#minDung'!FV56)</f>
        <v/>
      </c>
      <c r="BJ57" s="1025"/>
      <c r="BK57" s="1026" t="str">
        <f>IF(BJ57="","",'#minDung'!GD56)</f>
        <v/>
      </c>
      <c r="BL57" s="1026" t="str">
        <f>IF(BK57="","",'#minDung'!GE56)</f>
        <v/>
      </c>
      <c r="BM57" s="1025"/>
      <c r="BN57" s="1026" t="str">
        <f>IF(BM57="","",'#minDung'!GM56)</f>
        <v/>
      </c>
      <c r="BO57" s="1026" t="str">
        <f>IF(BN57="","",'#minDung'!GN56)</f>
        <v/>
      </c>
      <c r="BP57" s="1025"/>
      <c r="BQ57" s="1026" t="str">
        <f>IF(BP57="","",'#minDung'!GV56)</f>
        <v/>
      </c>
      <c r="BR57" s="1026" t="str">
        <f>IF(BQ57="","",'#minDung'!GW56)</f>
        <v/>
      </c>
      <c r="BS57" s="1025"/>
      <c r="BT57" s="1026" t="str">
        <f>IF(BS57="","",'#minDung'!HE56)</f>
        <v/>
      </c>
      <c r="BU57" s="1026" t="str">
        <f>IF(BT57="","",'#minDung'!HF56)</f>
        <v/>
      </c>
      <c r="BV57" s="1025"/>
      <c r="BW57" s="1026" t="str">
        <f>IF(BV57="","",'#minDung'!HN56)</f>
        <v/>
      </c>
      <c r="BX57" s="1026" t="str">
        <f>IF(BW57="","",'#minDung'!HO56)</f>
        <v/>
      </c>
      <c r="BY57" s="1025"/>
      <c r="BZ57" s="1026" t="str">
        <f>IF(BY57="","",'#minDung'!HW56)</f>
        <v/>
      </c>
      <c r="CA57" s="1026" t="str">
        <f>IF(BZ57="","",'#minDung'!HX56)</f>
        <v/>
      </c>
      <c r="CB57" s="1025"/>
      <c r="CC57" s="1026" t="str">
        <f>IF(CB57="","",'#minDung'!IF56)</f>
        <v/>
      </c>
      <c r="CD57" s="1026" t="str">
        <f>IF(CC57="","",'#minDung'!IG56)</f>
        <v/>
      </c>
      <c r="CE57" s="1025"/>
      <c r="CF57" s="1026" t="str">
        <f>IF(CE57="","",'#minDung'!IO56)</f>
        <v/>
      </c>
      <c r="CG57" s="1026" t="str">
        <f>IF(CF57="","",'#minDung'!IP56)</f>
        <v/>
      </c>
      <c r="CH57" s="1025"/>
      <c r="CI57" s="1026" t="str">
        <f>IF(CH57="","",'#minDung'!IX56)</f>
        <v/>
      </c>
      <c r="CJ57" s="1026" t="str">
        <f>IF(CI57="","",'#minDung'!IY56)</f>
        <v/>
      </c>
      <c r="CK57" s="1025"/>
      <c r="CL57" s="1026" t="str">
        <f>IF(CK57="","",'#minDung'!JG56)</f>
        <v/>
      </c>
      <c r="CM57" s="1026" t="str">
        <f>IF(CL57="","",'#minDung'!JH56)</f>
        <v/>
      </c>
      <c r="CN57" s="1025"/>
      <c r="CO57" s="1026" t="str">
        <f>IF(CN57="","",'#minDung'!JP56)</f>
        <v/>
      </c>
      <c r="CP57" s="1026" t="str">
        <f>IF(CO57="","",'#minDung'!JQ56)</f>
        <v/>
      </c>
      <c r="CQ57" s="1025"/>
      <c r="CR57" s="1026" t="str">
        <f>IF(CQ57="","",'#minDung'!JY56)</f>
        <v/>
      </c>
      <c r="CS57" s="1030" t="str">
        <f>IF(CR57="","",'#minDung'!JZ56)</f>
        <v/>
      </c>
      <c r="CT57" s="170"/>
    </row>
    <row r="58" spans="1:98" s="875" customFormat="1" ht="15" customHeight="1" x14ac:dyDescent="0.2">
      <c r="A58" s="1205">
        <f>'Flächen u. Kulturen'!A56</f>
        <v>47</v>
      </c>
      <c r="B58" s="1205" t="str">
        <f>+'org. Düngung 22'!B59</f>
        <v/>
      </c>
      <c r="C58" s="1206" t="str">
        <f>'org. Düngung 22'!C59</f>
        <v/>
      </c>
      <c r="D58" s="1197" t="str">
        <f>'org. Düngung 22'!D59</f>
        <v/>
      </c>
      <c r="E58" s="1207" t="str">
        <f>'org. Düngung 22'!E59</f>
        <v/>
      </c>
      <c r="F58" s="1199" t="str">
        <f>'org. Düngung 22'!F59</f>
        <v/>
      </c>
      <c r="G58" s="1201" t="str">
        <f>IF(C58="","",IF(COUNT('#minDung'!KF57:KJ57)=0,"OK",TRIM(CONCATENATE('#minDung'!KF57," ",'#minDung'!KG57," ",'#minDung'!KH57," ",'#minDung'!KI57," ",'#minDung'!KJ57))))</f>
        <v/>
      </c>
      <c r="H58" s="1025"/>
      <c r="I58" s="1026" t="str">
        <f>IF(H58="","",'#minDung'!X57)</f>
        <v/>
      </c>
      <c r="J58" s="1026" t="str">
        <f>IF(I58="","",'#minDung'!Y57)</f>
        <v/>
      </c>
      <c r="K58" s="1025"/>
      <c r="L58" s="1026" t="str">
        <f>IF(K58="","",'#minDung'!AG57)</f>
        <v/>
      </c>
      <c r="M58" s="1026" t="str">
        <f>IF(L58="","",'#minDung'!AH57)</f>
        <v/>
      </c>
      <c r="N58" s="1025"/>
      <c r="O58" s="1026" t="str">
        <f>IF(N58="","",'#minDung'!AP57)</f>
        <v/>
      </c>
      <c r="P58" s="1026" t="str">
        <f>IF(O58="","",'#minDung'!AQ57)</f>
        <v/>
      </c>
      <c r="Q58" s="1025"/>
      <c r="R58" s="1026" t="str">
        <f>IF(Q58="","",'#minDung'!AY57)</f>
        <v/>
      </c>
      <c r="S58" s="1026" t="str">
        <f>IF(R58="","",'#minDung'!AZ57)</f>
        <v/>
      </c>
      <c r="T58" s="1025"/>
      <c r="U58" s="1026" t="str">
        <f>IF(T58="","",'#minDung'!BH57)</f>
        <v/>
      </c>
      <c r="V58" s="1026" t="str">
        <f>IF(U58="","",'#minDung'!BI57)</f>
        <v/>
      </c>
      <c r="W58" s="1025"/>
      <c r="X58" s="1026" t="str">
        <f>IF(W58="","",'#minDung'!BQ57)</f>
        <v/>
      </c>
      <c r="Y58" s="1026" t="str">
        <f>IF(X58="","",'#minDung'!BR57)</f>
        <v/>
      </c>
      <c r="Z58" s="1025"/>
      <c r="AA58" s="1026" t="str">
        <f>IF(Z58="","",'#minDung'!BZ57)</f>
        <v/>
      </c>
      <c r="AB58" s="1026" t="str">
        <f>IF(AA58="","",'#minDung'!CA57)</f>
        <v/>
      </c>
      <c r="AC58" s="1025"/>
      <c r="AD58" s="1026" t="str">
        <f>IF(AC58="","",'#minDung'!CI57)</f>
        <v/>
      </c>
      <c r="AE58" s="1026" t="str">
        <f>IF(AD58="","",'#minDung'!CJ57)</f>
        <v/>
      </c>
      <c r="AF58" s="1025"/>
      <c r="AG58" s="1026" t="str">
        <f>IF(AF58="","",'#minDung'!CR57)</f>
        <v/>
      </c>
      <c r="AH58" s="1026" t="str">
        <f>IF(AG58="","",'#minDung'!CS57)</f>
        <v/>
      </c>
      <c r="AI58" s="1025"/>
      <c r="AJ58" s="1026" t="str">
        <f>IF(AI58="","",'#minDung'!DA57)</f>
        <v/>
      </c>
      <c r="AK58" s="1026" t="str">
        <f>IF(AJ58="","",'#minDung'!DB57)</f>
        <v/>
      </c>
      <c r="AL58" s="1025"/>
      <c r="AM58" s="1026" t="str">
        <f>IF(AL58="","",'#minDung'!DJ57)</f>
        <v/>
      </c>
      <c r="AN58" s="1026" t="str">
        <f>IF(AM58="","",'#minDung'!DK57)</f>
        <v/>
      </c>
      <c r="AO58" s="1025"/>
      <c r="AP58" s="1026" t="str">
        <f>IF(AO58="","",'#minDung'!DS57)</f>
        <v/>
      </c>
      <c r="AQ58" s="1026" t="str">
        <f>IF(AP58="","",'#minDung'!DT57)</f>
        <v/>
      </c>
      <c r="AR58" s="1025"/>
      <c r="AS58" s="1026" t="str">
        <f>IF(AR58="","",'#minDung'!EB57)</f>
        <v/>
      </c>
      <c r="AT58" s="1026" t="str">
        <f>IF(AS58="","",'#minDung'!EC57)</f>
        <v/>
      </c>
      <c r="AU58" s="1025"/>
      <c r="AV58" s="1026" t="str">
        <f>IF(AU58="","",'#minDung'!EK57)</f>
        <v/>
      </c>
      <c r="AW58" s="1026" t="str">
        <f>IF(AV58="","",'#minDung'!EL57)</f>
        <v/>
      </c>
      <c r="AX58" s="1025"/>
      <c r="AY58" s="1026" t="str">
        <f>IF(AX58="","",'#minDung'!ET57)</f>
        <v/>
      </c>
      <c r="AZ58" s="1026" t="str">
        <f>IF(AY58="","",'#minDung'!EU57)</f>
        <v/>
      </c>
      <c r="BA58" s="1025"/>
      <c r="BB58" s="1026" t="str">
        <f>IF(BA58="","",'#minDung'!FC57)</f>
        <v/>
      </c>
      <c r="BC58" s="1026" t="str">
        <f>IF(BB58="","",'#minDung'!FD57)</f>
        <v/>
      </c>
      <c r="BD58" s="1025"/>
      <c r="BE58" s="1026" t="str">
        <f>IF(BD58="","",'#minDung'!FL57)</f>
        <v/>
      </c>
      <c r="BF58" s="1026" t="str">
        <f>IF(BE58="","",'#minDung'!FM57)</f>
        <v/>
      </c>
      <c r="BG58" s="1025"/>
      <c r="BH58" s="1026" t="str">
        <f>IF(BG58="","",'#minDung'!FU57)</f>
        <v/>
      </c>
      <c r="BI58" s="1026" t="str">
        <f>IF(BH58="","",'#minDung'!FV57)</f>
        <v/>
      </c>
      <c r="BJ58" s="1025"/>
      <c r="BK58" s="1026" t="str">
        <f>IF(BJ58="","",'#minDung'!GD57)</f>
        <v/>
      </c>
      <c r="BL58" s="1026" t="str">
        <f>IF(BK58="","",'#minDung'!GE57)</f>
        <v/>
      </c>
      <c r="BM58" s="1025"/>
      <c r="BN58" s="1026" t="str">
        <f>IF(BM58="","",'#minDung'!GM57)</f>
        <v/>
      </c>
      <c r="BO58" s="1026" t="str">
        <f>IF(BN58="","",'#minDung'!GN57)</f>
        <v/>
      </c>
      <c r="BP58" s="1025"/>
      <c r="BQ58" s="1026" t="str">
        <f>IF(BP58="","",'#minDung'!GV57)</f>
        <v/>
      </c>
      <c r="BR58" s="1026" t="str">
        <f>IF(BQ58="","",'#minDung'!GW57)</f>
        <v/>
      </c>
      <c r="BS58" s="1025"/>
      <c r="BT58" s="1026" t="str">
        <f>IF(BS58="","",'#minDung'!HE57)</f>
        <v/>
      </c>
      <c r="BU58" s="1026" t="str">
        <f>IF(BT58="","",'#minDung'!HF57)</f>
        <v/>
      </c>
      <c r="BV58" s="1025"/>
      <c r="BW58" s="1026" t="str">
        <f>IF(BV58="","",'#minDung'!HN57)</f>
        <v/>
      </c>
      <c r="BX58" s="1026" t="str">
        <f>IF(BW58="","",'#minDung'!HO57)</f>
        <v/>
      </c>
      <c r="BY58" s="1025"/>
      <c r="BZ58" s="1026" t="str">
        <f>IF(BY58="","",'#minDung'!HW57)</f>
        <v/>
      </c>
      <c r="CA58" s="1026" t="str">
        <f>IF(BZ58="","",'#minDung'!HX57)</f>
        <v/>
      </c>
      <c r="CB58" s="1025"/>
      <c r="CC58" s="1026" t="str">
        <f>IF(CB58="","",'#minDung'!IF57)</f>
        <v/>
      </c>
      <c r="CD58" s="1026" t="str">
        <f>IF(CC58="","",'#minDung'!IG57)</f>
        <v/>
      </c>
      <c r="CE58" s="1025"/>
      <c r="CF58" s="1026" t="str">
        <f>IF(CE58="","",'#minDung'!IO57)</f>
        <v/>
      </c>
      <c r="CG58" s="1026" t="str">
        <f>IF(CF58="","",'#minDung'!IP57)</f>
        <v/>
      </c>
      <c r="CH58" s="1025"/>
      <c r="CI58" s="1026" t="str">
        <f>IF(CH58="","",'#minDung'!IX57)</f>
        <v/>
      </c>
      <c r="CJ58" s="1026" t="str">
        <f>IF(CI58="","",'#minDung'!IY57)</f>
        <v/>
      </c>
      <c r="CK58" s="1025"/>
      <c r="CL58" s="1026" t="str">
        <f>IF(CK58="","",'#minDung'!JG57)</f>
        <v/>
      </c>
      <c r="CM58" s="1026" t="str">
        <f>IF(CL58="","",'#minDung'!JH57)</f>
        <v/>
      </c>
      <c r="CN58" s="1025"/>
      <c r="CO58" s="1026" t="str">
        <f>IF(CN58="","",'#minDung'!JP57)</f>
        <v/>
      </c>
      <c r="CP58" s="1026" t="str">
        <f>IF(CO58="","",'#minDung'!JQ57)</f>
        <v/>
      </c>
      <c r="CQ58" s="1025"/>
      <c r="CR58" s="1026" t="str">
        <f>IF(CQ58="","",'#minDung'!JY57)</f>
        <v/>
      </c>
      <c r="CS58" s="1030" t="str">
        <f>IF(CR58="","",'#minDung'!JZ57)</f>
        <v/>
      </c>
      <c r="CT58" s="170"/>
    </row>
    <row r="59" spans="1:98" s="875" customFormat="1" ht="15" customHeight="1" x14ac:dyDescent="0.2">
      <c r="A59" s="1205">
        <f>'Flächen u. Kulturen'!A57</f>
        <v>48</v>
      </c>
      <c r="B59" s="1205" t="str">
        <f>+'org. Düngung 22'!B60</f>
        <v/>
      </c>
      <c r="C59" s="1206" t="str">
        <f>'org. Düngung 22'!C60</f>
        <v/>
      </c>
      <c r="D59" s="1197" t="str">
        <f>'org. Düngung 22'!D60</f>
        <v/>
      </c>
      <c r="E59" s="1207" t="str">
        <f>'org. Düngung 22'!E60</f>
        <v/>
      </c>
      <c r="F59" s="1199" t="str">
        <f>'org. Düngung 22'!F60</f>
        <v/>
      </c>
      <c r="G59" s="1201" t="str">
        <f>IF(C59="","",IF(COUNT('#minDung'!KF58:KJ58)=0,"OK",TRIM(CONCATENATE('#minDung'!KF58," ",'#minDung'!KG58," ",'#minDung'!KH58," ",'#minDung'!KI58," ",'#minDung'!KJ58))))</f>
        <v/>
      </c>
      <c r="H59" s="1025"/>
      <c r="I59" s="1026" t="str">
        <f>IF(H59="","",'#minDung'!X58)</f>
        <v/>
      </c>
      <c r="J59" s="1026" t="str">
        <f>IF(I59="","",'#minDung'!Y58)</f>
        <v/>
      </c>
      <c r="K59" s="1025"/>
      <c r="L59" s="1026" t="str">
        <f>IF(K59="","",'#minDung'!AG58)</f>
        <v/>
      </c>
      <c r="M59" s="1026" t="str">
        <f>IF(L59="","",'#minDung'!AH58)</f>
        <v/>
      </c>
      <c r="N59" s="1025"/>
      <c r="O59" s="1026" t="str">
        <f>IF(N59="","",'#minDung'!AP58)</f>
        <v/>
      </c>
      <c r="P59" s="1026" t="str">
        <f>IF(O59="","",'#minDung'!AQ58)</f>
        <v/>
      </c>
      <c r="Q59" s="1025"/>
      <c r="R59" s="1026" t="str">
        <f>IF(Q59="","",'#minDung'!AY58)</f>
        <v/>
      </c>
      <c r="S59" s="1026" t="str">
        <f>IF(R59="","",'#minDung'!AZ58)</f>
        <v/>
      </c>
      <c r="T59" s="1025"/>
      <c r="U59" s="1026" t="str">
        <f>IF(T59="","",'#minDung'!BH58)</f>
        <v/>
      </c>
      <c r="V59" s="1026" t="str">
        <f>IF(U59="","",'#minDung'!BI58)</f>
        <v/>
      </c>
      <c r="W59" s="1025"/>
      <c r="X59" s="1026" t="str">
        <f>IF(W59="","",'#minDung'!BQ58)</f>
        <v/>
      </c>
      <c r="Y59" s="1026" t="str">
        <f>IF(X59="","",'#minDung'!BR58)</f>
        <v/>
      </c>
      <c r="Z59" s="1025"/>
      <c r="AA59" s="1026" t="str">
        <f>IF(Z59="","",'#minDung'!BZ58)</f>
        <v/>
      </c>
      <c r="AB59" s="1026" t="str">
        <f>IF(AA59="","",'#minDung'!CA58)</f>
        <v/>
      </c>
      <c r="AC59" s="1025"/>
      <c r="AD59" s="1026" t="str">
        <f>IF(AC59="","",'#minDung'!CI58)</f>
        <v/>
      </c>
      <c r="AE59" s="1026" t="str">
        <f>IF(AD59="","",'#minDung'!CJ58)</f>
        <v/>
      </c>
      <c r="AF59" s="1025"/>
      <c r="AG59" s="1026" t="str">
        <f>IF(AF59="","",'#minDung'!CR58)</f>
        <v/>
      </c>
      <c r="AH59" s="1026" t="str">
        <f>IF(AG59="","",'#minDung'!CS58)</f>
        <v/>
      </c>
      <c r="AI59" s="1025"/>
      <c r="AJ59" s="1026" t="str">
        <f>IF(AI59="","",'#minDung'!DA58)</f>
        <v/>
      </c>
      <c r="AK59" s="1026" t="str">
        <f>IF(AJ59="","",'#minDung'!DB58)</f>
        <v/>
      </c>
      <c r="AL59" s="1025"/>
      <c r="AM59" s="1026" t="str">
        <f>IF(AL59="","",'#minDung'!DJ58)</f>
        <v/>
      </c>
      <c r="AN59" s="1026" t="str">
        <f>IF(AM59="","",'#minDung'!DK58)</f>
        <v/>
      </c>
      <c r="AO59" s="1025"/>
      <c r="AP59" s="1026" t="str">
        <f>IF(AO59="","",'#minDung'!DS58)</f>
        <v/>
      </c>
      <c r="AQ59" s="1026" t="str">
        <f>IF(AP59="","",'#minDung'!DT58)</f>
        <v/>
      </c>
      <c r="AR59" s="1025"/>
      <c r="AS59" s="1026" t="str">
        <f>IF(AR59="","",'#minDung'!EB58)</f>
        <v/>
      </c>
      <c r="AT59" s="1026" t="str">
        <f>IF(AS59="","",'#minDung'!EC58)</f>
        <v/>
      </c>
      <c r="AU59" s="1025"/>
      <c r="AV59" s="1026" t="str">
        <f>IF(AU59="","",'#minDung'!EK58)</f>
        <v/>
      </c>
      <c r="AW59" s="1026" t="str">
        <f>IF(AV59="","",'#minDung'!EL58)</f>
        <v/>
      </c>
      <c r="AX59" s="1025"/>
      <c r="AY59" s="1026" t="str">
        <f>IF(AX59="","",'#minDung'!ET58)</f>
        <v/>
      </c>
      <c r="AZ59" s="1026" t="str">
        <f>IF(AY59="","",'#minDung'!EU58)</f>
        <v/>
      </c>
      <c r="BA59" s="1025"/>
      <c r="BB59" s="1026" t="str">
        <f>IF(BA59="","",'#minDung'!FC58)</f>
        <v/>
      </c>
      <c r="BC59" s="1026" t="str">
        <f>IF(BB59="","",'#minDung'!FD58)</f>
        <v/>
      </c>
      <c r="BD59" s="1025"/>
      <c r="BE59" s="1026" t="str">
        <f>IF(BD59="","",'#minDung'!FL58)</f>
        <v/>
      </c>
      <c r="BF59" s="1026" t="str">
        <f>IF(BE59="","",'#minDung'!FM58)</f>
        <v/>
      </c>
      <c r="BG59" s="1025"/>
      <c r="BH59" s="1026" t="str">
        <f>IF(BG59="","",'#minDung'!FU58)</f>
        <v/>
      </c>
      <c r="BI59" s="1026" t="str">
        <f>IF(BH59="","",'#minDung'!FV58)</f>
        <v/>
      </c>
      <c r="BJ59" s="1025"/>
      <c r="BK59" s="1026" t="str">
        <f>IF(BJ59="","",'#minDung'!GD58)</f>
        <v/>
      </c>
      <c r="BL59" s="1026" t="str">
        <f>IF(BK59="","",'#minDung'!GE58)</f>
        <v/>
      </c>
      <c r="BM59" s="1025"/>
      <c r="BN59" s="1026" t="str">
        <f>IF(BM59="","",'#minDung'!GM58)</f>
        <v/>
      </c>
      <c r="BO59" s="1026" t="str">
        <f>IF(BN59="","",'#minDung'!GN58)</f>
        <v/>
      </c>
      <c r="BP59" s="1025"/>
      <c r="BQ59" s="1026" t="str">
        <f>IF(BP59="","",'#minDung'!GV58)</f>
        <v/>
      </c>
      <c r="BR59" s="1026" t="str">
        <f>IF(BQ59="","",'#minDung'!GW58)</f>
        <v/>
      </c>
      <c r="BS59" s="1025"/>
      <c r="BT59" s="1026" t="str">
        <f>IF(BS59="","",'#minDung'!HE58)</f>
        <v/>
      </c>
      <c r="BU59" s="1026" t="str">
        <f>IF(BT59="","",'#minDung'!HF58)</f>
        <v/>
      </c>
      <c r="BV59" s="1025"/>
      <c r="BW59" s="1026" t="str">
        <f>IF(BV59="","",'#minDung'!HN58)</f>
        <v/>
      </c>
      <c r="BX59" s="1026" t="str">
        <f>IF(BW59="","",'#minDung'!HO58)</f>
        <v/>
      </c>
      <c r="BY59" s="1025"/>
      <c r="BZ59" s="1026" t="str">
        <f>IF(BY59="","",'#minDung'!HW58)</f>
        <v/>
      </c>
      <c r="CA59" s="1026" t="str">
        <f>IF(BZ59="","",'#minDung'!HX58)</f>
        <v/>
      </c>
      <c r="CB59" s="1025"/>
      <c r="CC59" s="1026" t="str">
        <f>IF(CB59="","",'#minDung'!IF58)</f>
        <v/>
      </c>
      <c r="CD59" s="1026" t="str">
        <f>IF(CC59="","",'#minDung'!IG58)</f>
        <v/>
      </c>
      <c r="CE59" s="1025"/>
      <c r="CF59" s="1026" t="str">
        <f>IF(CE59="","",'#minDung'!IO58)</f>
        <v/>
      </c>
      <c r="CG59" s="1026" t="str">
        <f>IF(CF59="","",'#minDung'!IP58)</f>
        <v/>
      </c>
      <c r="CH59" s="1025"/>
      <c r="CI59" s="1026" t="str">
        <f>IF(CH59="","",'#minDung'!IX58)</f>
        <v/>
      </c>
      <c r="CJ59" s="1026" t="str">
        <f>IF(CI59="","",'#minDung'!IY58)</f>
        <v/>
      </c>
      <c r="CK59" s="1025"/>
      <c r="CL59" s="1026" t="str">
        <f>IF(CK59="","",'#minDung'!JG58)</f>
        <v/>
      </c>
      <c r="CM59" s="1026" t="str">
        <f>IF(CL59="","",'#minDung'!JH58)</f>
        <v/>
      </c>
      <c r="CN59" s="1025"/>
      <c r="CO59" s="1026" t="str">
        <f>IF(CN59="","",'#minDung'!JP58)</f>
        <v/>
      </c>
      <c r="CP59" s="1026" t="str">
        <f>IF(CO59="","",'#minDung'!JQ58)</f>
        <v/>
      </c>
      <c r="CQ59" s="1025"/>
      <c r="CR59" s="1026" t="str">
        <f>IF(CQ59="","",'#minDung'!JY58)</f>
        <v/>
      </c>
      <c r="CS59" s="1030" t="str">
        <f>IF(CR59="","",'#minDung'!JZ58)</f>
        <v/>
      </c>
      <c r="CT59" s="170"/>
    </row>
    <row r="60" spans="1:98" s="875" customFormat="1" ht="15" customHeight="1" x14ac:dyDescent="0.2">
      <c r="A60" s="1205">
        <f>'Flächen u. Kulturen'!A58</f>
        <v>49</v>
      </c>
      <c r="B60" s="1205" t="str">
        <f>+'org. Düngung 22'!B61</f>
        <v/>
      </c>
      <c r="C60" s="1206" t="str">
        <f>'org. Düngung 22'!C61</f>
        <v/>
      </c>
      <c r="D60" s="1197" t="str">
        <f>'org. Düngung 22'!D61</f>
        <v/>
      </c>
      <c r="E60" s="1207" t="str">
        <f>'org. Düngung 22'!E61</f>
        <v/>
      </c>
      <c r="F60" s="1199" t="str">
        <f>'org. Düngung 22'!F61</f>
        <v/>
      </c>
      <c r="G60" s="1201" t="str">
        <f>IF(C60="","",IF(COUNT('#minDung'!KF59:KJ59)=0,"OK",TRIM(CONCATENATE('#minDung'!KF59," ",'#minDung'!KG59," ",'#minDung'!KH59," ",'#minDung'!KI59," ",'#minDung'!KJ59))))</f>
        <v/>
      </c>
      <c r="H60" s="1025"/>
      <c r="I60" s="1026" t="str">
        <f>IF(H60="","",'#minDung'!X59)</f>
        <v/>
      </c>
      <c r="J60" s="1026" t="str">
        <f>IF(I60="","",'#minDung'!Y59)</f>
        <v/>
      </c>
      <c r="K60" s="1025"/>
      <c r="L60" s="1026" t="str">
        <f>IF(K60="","",'#minDung'!AG59)</f>
        <v/>
      </c>
      <c r="M60" s="1026" t="str">
        <f>IF(L60="","",'#minDung'!AH59)</f>
        <v/>
      </c>
      <c r="N60" s="1025"/>
      <c r="O60" s="1026" t="str">
        <f>IF(N60="","",'#minDung'!AP59)</f>
        <v/>
      </c>
      <c r="P60" s="1026" t="str">
        <f>IF(O60="","",'#minDung'!AQ59)</f>
        <v/>
      </c>
      <c r="Q60" s="1025"/>
      <c r="R60" s="1026" t="str">
        <f>IF(Q60="","",'#minDung'!AY59)</f>
        <v/>
      </c>
      <c r="S60" s="1026" t="str">
        <f>IF(R60="","",'#minDung'!AZ59)</f>
        <v/>
      </c>
      <c r="T60" s="1025"/>
      <c r="U60" s="1026" t="str">
        <f>IF(T60="","",'#minDung'!BH59)</f>
        <v/>
      </c>
      <c r="V60" s="1026" t="str">
        <f>IF(U60="","",'#minDung'!BI59)</f>
        <v/>
      </c>
      <c r="W60" s="1025"/>
      <c r="X60" s="1026" t="str">
        <f>IF(W60="","",'#minDung'!BQ59)</f>
        <v/>
      </c>
      <c r="Y60" s="1026" t="str">
        <f>IF(X60="","",'#minDung'!BR59)</f>
        <v/>
      </c>
      <c r="Z60" s="1025"/>
      <c r="AA60" s="1026" t="str">
        <f>IF(Z60="","",'#minDung'!BZ59)</f>
        <v/>
      </c>
      <c r="AB60" s="1026" t="str">
        <f>IF(AA60="","",'#minDung'!CA59)</f>
        <v/>
      </c>
      <c r="AC60" s="1025"/>
      <c r="AD60" s="1026" t="str">
        <f>IF(AC60="","",'#minDung'!CI59)</f>
        <v/>
      </c>
      <c r="AE60" s="1026" t="str">
        <f>IF(AD60="","",'#minDung'!CJ59)</f>
        <v/>
      </c>
      <c r="AF60" s="1025"/>
      <c r="AG60" s="1026" t="str">
        <f>IF(AF60="","",'#minDung'!CR59)</f>
        <v/>
      </c>
      <c r="AH60" s="1026" t="str">
        <f>IF(AG60="","",'#minDung'!CS59)</f>
        <v/>
      </c>
      <c r="AI60" s="1025"/>
      <c r="AJ60" s="1026" t="str">
        <f>IF(AI60="","",'#minDung'!DA59)</f>
        <v/>
      </c>
      <c r="AK60" s="1026" t="str">
        <f>IF(AJ60="","",'#minDung'!DB59)</f>
        <v/>
      </c>
      <c r="AL60" s="1025"/>
      <c r="AM60" s="1026" t="str">
        <f>IF(AL60="","",'#minDung'!DJ59)</f>
        <v/>
      </c>
      <c r="AN60" s="1026" t="str">
        <f>IF(AM60="","",'#minDung'!DK59)</f>
        <v/>
      </c>
      <c r="AO60" s="1025"/>
      <c r="AP60" s="1026" t="str">
        <f>IF(AO60="","",'#minDung'!DS59)</f>
        <v/>
      </c>
      <c r="AQ60" s="1026" t="str">
        <f>IF(AP60="","",'#minDung'!DT59)</f>
        <v/>
      </c>
      <c r="AR60" s="1025"/>
      <c r="AS60" s="1026" t="str">
        <f>IF(AR60="","",'#minDung'!EB59)</f>
        <v/>
      </c>
      <c r="AT60" s="1026" t="str">
        <f>IF(AS60="","",'#minDung'!EC59)</f>
        <v/>
      </c>
      <c r="AU60" s="1025"/>
      <c r="AV60" s="1026" t="str">
        <f>IF(AU60="","",'#minDung'!EK59)</f>
        <v/>
      </c>
      <c r="AW60" s="1026" t="str">
        <f>IF(AV60="","",'#minDung'!EL59)</f>
        <v/>
      </c>
      <c r="AX60" s="1025"/>
      <c r="AY60" s="1026" t="str">
        <f>IF(AX60="","",'#minDung'!ET59)</f>
        <v/>
      </c>
      <c r="AZ60" s="1026" t="str">
        <f>IF(AY60="","",'#minDung'!EU59)</f>
        <v/>
      </c>
      <c r="BA60" s="1025"/>
      <c r="BB60" s="1026" t="str">
        <f>IF(BA60="","",'#minDung'!FC59)</f>
        <v/>
      </c>
      <c r="BC60" s="1026" t="str">
        <f>IF(BB60="","",'#minDung'!FD59)</f>
        <v/>
      </c>
      <c r="BD60" s="1025"/>
      <c r="BE60" s="1026" t="str">
        <f>IF(BD60="","",'#minDung'!FL59)</f>
        <v/>
      </c>
      <c r="BF60" s="1026" t="str">
        <f>IF(BE60="","",'#minDung'!FM59)</f>
        <v/>
      </c>
      <c r="BG60" s="1025"/>
      <c r="BH60" s="1026" t="str">
        <f>IF(BG60="","",'#minDung'!FU59)</f>
        <v/>
      </c>
      <c r="BI60" s="1026" t="str">
        <f>IF(BH60="","",'#minDung'!FV59)</f>
        <v/>
      </c>
      <c r="BJ60" s="1025"/>
      <c r="BK60" s="1026" t="str">
        <f>IF(BJ60="","",'#minDung'!GD59)</f>
        <v/>
      </c>
      <c r="BL60" s="1026" t="str">
        <f>IF(BK60="","",'#minDung'!GE59)</f>
        <v/>
      </c>
      <c r="BM60" s="1025"/>
      <c r="BN60" s="1026" t="str">
        <f>IF(BM60="","",'#minDung'!GM59)</f>
        <v/>
      </c>
      <c r="BO60" s="1026" t="str">
        <f>IF(BN60="","",'#minDung'!GN59)</f>
        <v/>
      </c>
      <c r="BP60" s="1025"/>
      <c r="BQ60" s="1026" t="str">
        <f>IF(BP60="","",'#minDung'!GV59)</f>
        <v/>
      </c>
      <c r="BR60" s="1026" t="str">
        <f>IF(BQ60="","",'#minDung'!GW59)</f>
        <v/>
      </c>
      <c r="BS60" s="1025"/>
      <c r="BT60" s="1026" t="str">
        <f>IF(BS60="","",'#minDung'!HE59)</f>
        <v/>
      </c>
      <c r="BU60" s="1026" t="str">
        <f>IF(BT60="","",'#minDung'!HF59)</f>
        <v/>
      </c>
      <c r="BV60" s="1025"/>
      <c r="BW60" s="1026" t="str">
        <f>IF(BV60="","",'#minDung'!HN59)</f>
        <v/>
      </c>
      <c r="BX60" s="1026" t="str">
        <f>IF(BW60="","",'#minDung'!HO59)</f>
        <v/>
      </c>
      <c r="BY60" s="1025"/>
      <c r="BZ60" s="1026" t="str">
        <f>IF(BY60="","",'#minDung'!HW59)</f>
        <v/>
      </c>
      <c r="CA60" s="1026" t="str">
        <f>IF(BZ60="","",'#minDung'!HX59)</f>
        <v/>
      </c>
      <c r="CB60" s="1025"/>
      <c r="CC60" s="1026" t="str">
        <f>IF(CB60="","",'#minDung'!IF59)</f>
        <v/>
      </c>
      <c r="CD60" s="1026" t="str">
        <f>IF(CC60="","",'#minDung'!IG59)</f>
        <v/>
      </c>
      <c r="CE60" s="1025"/>
      <c r="CF60" s="1026" t="str">
        <f>IF(CE60="","",'#minDung'!IO59)</f>
        <v/>
      </c>
      <c r="CG60" s="1026" t="str">
        <f>IF(CF60="","",'#minDung'!IP59)</f>
        <v/>
      </c>
      <c r="CH60" s="1025"/>
      <c r="CI60" s="1026" t="str">
        <f>IF(CH60="","",'#minDung'!IX59)</f>
        <v/>
      </c>
      <c r="CJ60" s="1026" t="str">
        <f>IF(CI60="","",'#minDung'!IY59)</f>
        <v/>
      </c>
      <c r="CK60" s="1025"/>
      <c r="CL60" s="1026" t="str">
        <f>IF(CK60="","",'#minDung'!JG59)</f>
        <v/>
      </c>
      <c r="CM60" s="1026" t="str">
        <f>IF(CL60="","",'#minDung'!JH59)</f>
        <v/>
      </c>
      <c r="CN60" s="1025"/>
      <c r="CO60" s="1026" t="str">
        <f>IF(CN60="","",'#minDung'!JP59)</f>
        <v/>
      </c>
      <c r="CP60" s="1026" t="str">
        <f>IF(CO60="","",'#minDung'!JQ59)</f>
        <v/>
      </c>
      <c r="CQ60" s="1025"/>
      <c r="CR60" s="1026" t="str">
        <f>IF(CQ60="","",'#minDung'!JY59)</f>
        <v/>
      </c>
      <c r="CS60" s="1030" t="str">
        <f>IF(CR60="","",'#minDung'!JZ59)</f>
        <v/>
      </c>
      <c r="CT60" s="170"/>
    </row>
    <row r="61" spans="1:98" s="875" customFormat="1" ht="15" customHeight="1" x14ac:dyDescent="0.2">
      <c r="A61" s="1205">
        <f>'Flächen u. Kulturen'!A59</f>
        <v>50</v>
      </c>
      <c r="B61" s="1205" t="str">
        <f>+'org. Düngung 22'!B62</f>
        <v/>
      </c>
      <c r="C61" s="1206" t="str">
        <f>'org. Düngung 22'!C62</f>
        <v/>
      </c>
      <c r="D61" s="1197" t="str">
        <f>'org. Düngung 22'!D62</f>
        <v/>
      </c>
      <c r="E61" s="1207" t="str">
        <f>'org. Düngung 22'!E62</f>
        <v/>
      </c>
      <c r="F61" s="1199" t="str">
        <f>'org. Düngung 22'!F62</f>
        <v/>
      </c>
      <c r="G61" s="1201" t="str">
        <f>IF(C61="","",IF(COUNT('#minDung'!KF60:KJ60)=0,"OK",TRIM(CONCATENATE('#minDung'!KF60," ",'#minDung'!KG60," ",'#minDung'!KH60," ",'#minDung'!KI60," ",'#minDung'!KJ60))))</f>
        <v/>
      </c>
      <c r="H61" s="1025"/>
      <c r="I61" s="1026" t="str">
        <f>IF(H61="","",'#minDung'!X60)</f>
        <v/>
      </c>
      <c r="J61" s="1026" t="str">
        <f>IF(I61="","",'#minDung'!Y60)</f>
        <v/>
      </c>
      <c r="K61" s="1025"/>
      <c r="L61" s="1026" t="str">
        <f>IF(K61="","",'#minDung'!AG60)</f>
        <v/>
      </c>
      <c r="M61" s="1026" t="str">
        <f>IF(L61="","",'#minDung'!AH60)</f>
        <v/>
      </c>
      <c r="N61" s="1025"/>
      <c r="O61" s="1026" t="str">
        <f>IF(N61="","",'#minDung'!AP60)</f>
        <v/>
      </c>
      <c r="P61" s="1026" t="str">
        <f>IF(O61="","",'#minDung'!AQ60)</f>
        <v/>
      </c>
      <c r="Q61" s="1025"/>
      <c r="R61" s="1026" t="str">
        <f>IF(Q61="","",'#minDung'!AY60)</f>
        <v/>
      </c>
      <c r="S61" s="1026" t="str">
        <f>IF(R61="","",'#minDung'!AZ60)</f>
        <v/>
      </c>
      <c r="T61" s="1025"/>
      <c r="U61" s="1026" t="str">
        <f>IF(T61="","",'#minDung'!BH60)</f>
        <v/>
      </c>
      <c r="V61" s="1026" t="str">
        <f>IF(U61="","",'#minDung'!BI60)</f>
        <v/>
      </c>
      <c r="W61" s="1025"/>
      <c r="X61" s="1026" t="str">
        <f>IF(W61="","",'#minDung'!BQ60)</f>
        <v/>
      </c>
      <c r="Y61" s="1026" t="str">
        <f>IF(X61="","",'#minDung'!BR60)</f>
        <v/>
      </c>
      <c r="Z61" s="1025"/>
      <c r="AA61" s="1026" t="str">
        <f>IF(Z61="","",'#minDung'!BZ60)</f>
        <v/>
      </c>
      <c r="AB61" s="1026" t="str">
        <f>IF(AA61="","",'#minDung'!CA60)</f>
        <v/>
      </c>
      <c r="AC61" s="1025"/>
      <c r="AD61" s="1026" t="str">
        <f>IF(AC61="","",'#minDung'!CI60)</f>
        <v/>
      </c>
      <c r="AE61" s="1026" t="str">
        <f>IF(AD61="","",'#minDung'!CJ60)</f>
        <v/>
      </c>
      <c r="AF61" s="1025"/>
      <c r="AG61" s="1026" t="str">
        <f>IF(AF61="","",'#minDung'!CR60)</f>
        <v/>
      </c>
      <c r="AH61" s="1026" t="str">
        <f>IF(AG61="","",'#minDung'!CS60)</f>
        <v/>
      </c>
      <c r="AI61" s="1025"/>
      <c r="AJ61" s="1026" t="str">
        <f>IF(AI61="","",'#minDung'!DA60)</f>
        <v/>
      </c>
      <c r="AK61" s="1026" t="str">
        <f>IF(AJ61="","",'#minDung'!DB60)</f>
        <v/>
      </c>
      <c r="AL61" s="1025"/>
      <c r="AM61" s="1026" t="str">
        <f>IF(AL61="","",'#minDung'!DJ60)</f>
        <v/>
      </c>
      <c r="AN61" s="1026" t="str">
        <f>IF(AM61="","",'#minDung'!DK60)</f>
        <v/>
      </c>
      <c r="AO61" s="1025"/>
      <c r="AP61" s="1026" t="str">
        <f>IF(AO61="","",'#minDung'!DS60)</f>
        <v/>
      </c>
      <c r="AQ61" s="1026" t="str">
        <f>IF(AP61="","",'#minDung'!DT60)</f>
        <v/>
      </c>
      <c r="AR61" s="1025"/>
      <c r="AS61" s="1026" t="str">
        <f>IF(AR61="","",'#minDung'!EB60)</f>
        <v/>
      </c>
      <c r="AT61" s="1026" t="str">
        <f>IF(AS61="","",'#minDung'!EC60)</f>
        <v/>
      </c>
      <c r="AU61" s="1025"/>
      <c r="AV61" s="1026" t="str">
        <f>IF(AU61="","",'#minDung'!EK60)</f>
        <v/>
      </c>
      <c r="AW61" s="1026" t="str">
        <f>IF(AV61="","",'#minDung'!EL60)</f>
        <v/>
      </c>
      <c r="AX61" s="1025"/>
      <c r="AY61" s="1026" t="str">
        <f>IF(AX61="","",'#minDung'!ET60)</f>
        <v/>
      </c>
      <c r="AZ61" s="1026" t="str">
        <f>IF(AY61="","",'#minDung'!EU60)</f>
        <v/>
      </c>
      <c r="BA61" s="1025"/>
      <c r="BB61" s="1026" t="str">
        <f>IF(BA61="","",'#minDung'!FC60)</f>
        <v/>
      </c>
      <c r="BC61" s="1026" t="str">
        <f>IF(BB61="","",'#minDung'!FD60)</f>
        <v/>
      </c>
      <c r="BD61" s="1025"/>
      <c r="BE61" s="1026" t="str">
        <f>IF(BD61="","",'#minDung'!FL60)</f>
        <v/>
      </c>
      <c r="BF61" s="1026" t="str">
        <f>IF(BE61="","",'#minDung'!FM60)</f>
        <v/>
      </c>
      <c r="BG61" s="1025"/>
      <c r="BH61" s="1026" t="str">
        <f>IF(BG61="","",'#minDung'!FU60)</f>
        <v/>
      </c>
      <c r="BI61" s="1026" t="str">
        <f>IF(BH61="","",'#minDung'!FV60)</f>
        <v/>
      </c>
      <c r="BJ61" s="1025"/>
      <c r="BK61" s="1026" t="str">
        <f>IF(BJ61="","",'#minDung'!GD60)</f>
        <v/>
      </c>
      <c r="BL61" s="1026" t="str">
        <f>IF(BK61="","",'#minDung'!GE60)</f>
        <v/>
      </c>
      <c r="BM61" s="1025"/>
      <c r="BN61" s="1026" t="str">
        <f>IF(BM61="","",'#minDung'!GM60)</f>
        <v/>
      </c>
      <c r="BO61" s="1026" t="str">
        <f>IF(BN61="","",'#minDung'!GN60)</f>
        <v/>
      </c>
      <c r="BP61" s="1025"/>
      <c r="BQ61" s="1026" t="str">
        <f>IF(BP61="","",'#minDung'!GV60)</f>
        <v/>
      </c>
      <c r="BR61" s="1026" t="str">
        <f>IF(BQ61="","",'#minDung'!GW60)</f>
        <v/>
      </c>
      <c r="BS61" s="1025"/>
      <c r="BT61" s="1026" t="str">
        <f>IF(BS61="","",'#minDung'!HE60)</f>
        <v/>
      </c>
      <c r="BU61" s="1026" t="str">
        <f>IF(BT61="","",'#minDung'!HF60)</f>
        <v/>
      </c>
      <c r="BV61" s="1025"/>
      <c r="BW61" s="1026" t="str">
        <f>IF(BV61="","",'#minDung'!HN60)</f>
        <v/>
      </c>
      <c r="BX61" s="1026" t="str">
        <f>IF(BW61="","",'#minDung'!HO60)</f>
        <v/>
      </c>
      <c r="BY61" s="1025"/>
      <c r="BZ61" s="1026" t="str">
        <f>IF(BY61="","",'#minDung'!HW60)</f>
        <v/>
      </c>
      <c r="CA61" s="1026" t="str">
        <f>IF(BZ61="","",'#minDung'!HX60)</f>
        <v/>
      </c>
      <c r="CB61" s="1025"/>
      <c r="CC61" s="1026" t="str">
        <f>IF(CB61="","",'#minDung'!IF60)</f>
        <v/>
      </c>
      <c r="CD61" s="1026" t="str">
        <f>IF(CC61="","",'#minDung'!IG60)</f>
        <v/>
      </c>
      <c r="CE61" s="1025"/>
      <c r="CF61" s="1026" t="str">
        <f>IF(CE61="","",'#minDung'!IO60)</f>
        <v/>
      </c>
      <c r="CG61" s="1026" t="str">
        <f>IF(CF61="","",'#minDung'!IP60)</f>
        <v/>
      </c>
      <c r="CH61" s="1025"/>
      <c r="CI61" s="1026" t="str">
        <f>IF(CH61="","",'#minDung'!IX60)</f>
        <v/>
      </c>
      <c r="CJ61" s="1026" t="str">
        <f>IF(CI61="","",'#minDung'!IY60)</f>
        <v/>
      </c>
      <c r="CK61" s="1025"/>
      <c r="CL61" s="1026" t="str">
        <f>IF(CK61="","",'#minDung'!JG60)</f>
        <v/>
      </c>
      <c r="CM61" s="1026" t="str">
        <f>IF(CL61="","",'#minDung'!JH60)</f>
        <v/>
      </c>
      <c r="CN61" s="1025"/>
      <c r="CO61" s="1026" t="str">
        <f>IF(CN61="","",'#minDung'!JP60)</f>
        <v/>
      </c>
      <c r="CP61" s="1026" t="str">
        <f>IF(CO61="","",'#minDung'!JQ60)</f>
        <v/>
      </c>
      <c r="CQ61" s="1025"/>
      <c r="CR61" s="1026" t="str">
        <f>IF(CQ61="","",'#minDung'!JY60)</f>
        <v/>
      </c>
      <c r="CS61" s="1030" t="str">
        <f>IF(CR61="","",'#minDung'!JZ60)</f>
        <v/>
      </c>
      <c r="CT61" s="170"/>
    </row>
    <row r="62" spans="1:98" s="875" customFormat="1" ht="15" customHeight="1" x14ac:dyDescent="0.2">
      <c r="A62" s="1205">
        <f>'Flächen u. Kulturen'!A60</f>
        <v>51</v>
      </c>
      <c r="B62" s="1205" t="str">
        <f>+'org. Düngung 22'!B63</f>
        <v/>
      </c>
      <c r="C62" s="1206" t="str">
        <f>'org. Düngung 22'!C63</f>
        <v/>
      </c>
      <c r="D62" s="1197" t="str">
        <f>'org. Düngung 22'!D63</f>
        <v/>
      </c>
      <c r="E62" s="1207" t="str">
        <f>'org. Düngung 22'!E63</f>
        <v/>
      </c>
      <c r="F62" s="1199" t="str">
        <f>'org. Düngung 22'!F63</f>
        <v/>
      </c>
      <c r="G62" s="1201" t="str">
        <f>IF(C62="","",IF(COUNT('#minDung'!KF61:KJ61)=0,"OK",TRIM(CONCATENATE('#minDung'!KF61," ",'#minDung'!KG61," ",'#minDung'!KH61," ",'#minDung'!KI61," ",'#minDung'!KJ61))))</f>
        <v/>
      </c>
      <c r="H62" s="1025"/>
      <c r="I62" s="1026" t="str">
        <f>IF(H62="","",'#minDung'!X61)</f>
        <v/>
      </c>
      <c r="J62" s="1026" t="str">
        <f>IF(I62="","",'#minDung'!Y61)</f>
        <v/>
      </c>
      <c r="K62" s="1025"/>
      <c r="L62" s="1026" t="str">
        <f>IF(K62="","",'#minDung'!AG61)</f>
        <v/>
      </c>
      <c r="M62" s="1026" t="str">
        <f>IF(L62="","",'#minDung'!AH61)</f>
        <v/>
      </c>
      <c r="N62" s="1025"/>
      <c r="O62" s="1026" t="str">
        <f>IF(N62="","",'#minDung'!AP61)</f>
        <v/>
      </c>
      <c r="P62" s="1026" t="str">
        <f>IF(O62="","",'#minDung'!AQ61)</f>
        <v/>
      </c>
      <c r="Q62" s="1025"/>
      <c r="R62" s="1026" t="str">
        <f>IF(Q62="","",'#minDung'!AY61)</f>
        <v/>
      </c>
      <c r="S62" s="1026" t="str">
        <f>IF(R62="","",'#minDung'!AZ61)</f>
        <v/>
      </c>
      <c r="T62" s="1025"/>
      <c r="U62" s="1026" t="str">
        <f>IF(T62="","",'#minDung'!BH61)</f>
        <v/>
      </c>
      <c r="V62" s="1026" t="str">
        <f>IF(U62="","",'#minDung'!BI61)</f>
        <v/>
      </c>
      <c r="W62" s="1025"/>
      <c r="X62" s="1026" t="str">
        <f>IF(W62="","",'#minDung'!BQ61)</f>
        <v/>
      </c>
      <c r="Y62" s="1026" t="str">
        <f>IF(X62="","",'#minDung'!BR61)</f>
        <v/>
      </c>
      <c r="Z62" s="1025"/>
      <c r="AA62" s="1026" t="str">
        <f>IF(Z62="","",'#minDung'!BZ61)</f>
        <v/>
      </c>
      <c r="AB62" s="1026" t="str">
        <f>IF(AA62="","",'#minDung'!CA61)</f>
        <v/>
      </c>
      <c r="AC62" s="1025"/>
      <c r="AD62" s="1026" t="str">
        <f>IF(AC62="","",'#minDung'!CI61)</f>
        <v/>
      </c>
      <c r="AE62" s="1026" t="str">
        <f>IF(AD62="","",'#minDung'!CJ61)</f>
        <v/>
      </c>
      <c r="AF62" s="1025"/>
      <c r="AG62" s="1026" t="str">
        <f>IF(AF62="","",'#minDung'!CR61)</f>
        <v/>
      </c>
      <c r="AH62" s="1026" t="str">
        <f>IF(AG62="","",'#minDung'!CS61)</f>
        <v/>
      </c>
      <c r="AI62" s="1025"/>
      <c r="AJ62" s="1026" t="str">
        <f>IF(AI62="","",'#minDung'!DA61)</f>
        <v/>
      </c>
      <c r="AK62" s="1026" t="str">
        <f>IF(AJ62="","",'#minDung'!DB61)</f>
        <v/>
      </c>
      <c r="AL62" s="1025"/>
      <c r="AM62" s="1026" t="str">
        <f>IF(AL62="","",'#minDung'!DJ61)</f>
        <v/>
      </c>
      <c r="AN62" s="1026" t="str">
        <f>IF(AM62="","",'#minDung'!DK61)</f>
        <v/>
      </c>
      <c r="AO62" s="1025"/>
      <c r="AP62" s="1026" t="str">
        <f>IF(AO62="","",'#minDung'!DS61)</f>
        <v/>
      </c>
      <c r="AQ62" s="1026" t="str">
        <f>IF(AP62="","",'#minDung'!DT61)</f>
        <v/>
      </c>
      <c r="AR62" s="1025"/>
      <c r="AS62" s="1026" t="str">
        <f>IF(AR62="","",'#minDung'!EB61)</f>
        <v/>
      </c>
      <c r="AT62" s="1026" t="str">
        <f>IF(AS62="","",'#minDung'!EC61)</f>
        <v/>
      </c>
      <c r="AU62" s="1025"/>
      <c r="AV62" s="1026" t="str">
        <f>IF(AU62="","",'#minDung'!EK61)</f>
        <v/>
      </c>
      <c r="AW62" s="1026" t="str">
        <f>IF(AV62="","",'#minDung'!EL61)</f>
        <v/>
      </c>
      <c r="AX62" s="1025"/>
      <c r="AY62" s="1026" t="str">
        <f>IF(AX62="","",'#minDung'!ET61)</f>
        <v/>
      </c>
      <c r="AZ62" s="1026" t="str">
        <f>IF(AY62="","",'#minDung'!EU61)</f>
        <v/>
      </c>
      <c r="BA62" s="1025"/>
      <c r="BB62" s="1026" t="str">
        <f>IF(BA62="","",'#minDung'!FC61)</f>
        <v/>
      </c>
      <c r="BC62" s="1026" t="str">
        <f>IF(BB62="","",'#minDung'!FD61)</f>
        <v/>
      </c>
      <c r="BD62" s="1025"/>
      <c r="BE62" s="1026" t="str">
        <f>IF(BD62="","",'#minDung'!FL61)</f>
        <v/>
      </c>
      <c r="BF62" s="1026" t="str">
        <f>IF(BE62="","",'#minDung'!FM61)</f>
        <v/>
      </c>
      <c r="BG62" s="1025"/>
      <c r="BH62" s="1026" t="str">
        <f>IF(BG62="","",'#minDung'!FU61)</f>
        <v/>
      </c>
      <c r="BI62" s="1026" t="str">
        <f>IF(BH62="","",'#minDung'!FV61)</f>
        <v/>
      </c>
      <c r="BJ62" s="1025"/>
      <c r="BK62" s="1026" t="str">
        <f>IF(BJ62="","",'#minDung'!GD61)</f>
        <v/>
      </c>
      <c r="BL62" s="1026" t="str">
        <f>IF(BK62="","",'#minDung'!GE61)</f>
        <v/>
      </c>
      <c r="BM62" s="1025"/>
      <c r="BN62" s="1026" t="str">
        <f>IF(BM62="","",'#minDung'!GM61)</f>
        <v/>
      </c>
      <c r="BO62" s="1026" t="str">
        <f>IF(BN62="","",'#minDung'!GN61)</f>
        <v/>
      </c>
      <c r="BP62" s="1025"/>
      <c r="BQ62" s="1026" t="str">
        <f>IF(BP62="","",'#minDung'!GV61)</f>
        <v/>
      </c>
      <c r="BR62" s="1026" t="str">
        <f>IF(BQ62="","",'#minDung'!GW61)</f>
        <v/>
      </c>
      <c r="BS62" s="1025"/>
      <c r="BT62" s="1026" t="str">
        <f>IF(BS62="","",'#minDung'!HE61)</f>
        <v/>
      </c>
      <c r="BU62" s="1026" t="str">
        <f>IF(BT62="","",'#minDung'!HF61)</f>
        <v/>
      </c>
      <c r="BV62" s="1025"/>
      <c r="BW62" s="1026" t="str">
        <f>IF(BV62="","",'#minDung'!HN61)</f>
        <v/>
      </c>
      <c r="BX62" s="1026" t="str">
        <f>IF(BW62="","",'#minDung'!HO61)</f>
        <v/>
      </c>
      <c r="BY62" s="1025"/>
      <c r="BZ62" s="1026" t="str">
        <f>IF(BY62="","",'#minDung'!HW61)</f>
        <v/>
      </c>
      <c r="CA62" s="1026" t="str">
        <f>IF(BZ62="","",'#minDung'!HX61)</f>
        <v/>
      </c>
      <c r="CB62" s="1025"/>
      <c r="CC62" s="1026" t="str">
        <f>IF(CB62="","",'#minDung'!IF61)</f>
        <v/>
      </c>
      <c r="CD62" s="1026" t="str">
        <f>IF(CC62="","",'#minDung'!IG61)</f>
        <v/>
      </c>
      <c r="CE62" s="1025"/>
      <c r="CF62" s="1026" t="str">
        <f>IF(CE62="","",'#minDung'!IO61)</f>
        <v/>
      </c>
      <c r="CG62" s="1026" t="str">
        <f>IF(CF62="","",'#minDung'!IP61)</f>
        <v/>
      </c>
      <c r="CH62" s="1025"/>
      <c r="CI62" s="1026" t="str">
        <f>IF(CH62="","",'#minDung'!IX61)</f>
        <v/>
      </c>
      <c r="CJ62" s="1026" t="str">
        <f>IF(CI62="","",'#minDung'!IY61)</f>
        <v/>
      </c>
      <c r="CK62" s="1025"/>
      <c r="CL62" s="1026" t="str">
        <f>IF(CK62="","",'#minDung'!JG61)</f>
        <v/>
      </c>
      <c r="CM62" s="1026" t="str">
        <f>IF(CL62="","",'#minDung'!JH61)</f>
        <v/>
      </c>
      <c r="CN62" s="1025"/>
      <c r="CO62" s="1026" t="str">
        <f>IF(CN62="","",'#minDung'!JP61)</f>
        <v/>
      </c>
      <c r="CP62" s="1026" t="str">
        <f>IF(CO62="","",'#minDung'!JQ61)</f>
        <v/>
      </c>
      <c r="CQ62" s="1025"/>
      <c r="CR62" s="1026" t="str">
        <f>IF(CQ62="","",'#minDung'!JY61)</f>
        <v/>
      </c>
      <c r="CS62" s="1030" t="str">
        <f>IF(CR62="","",'#minDung'!JZ61)</f>
        <v/>
      </c>
      <c r="CT62" s="170"/>
    </row>
    <row r="63" spans="1:98" s="875" customFormat="1" ht="15" customHeight="1" x14ac:dyDescent="0.2">
      <c r="A63" s="1205">
        <f>'Flächen u. Kulturen'!A61</f>
        <v>52</v>
      </c>
      <c r="B63" s="1205" t="str">
        <f>+'org. Düngung 22'!B64</f>
        <v/>
      </c>
      <c r="C63" s="1206" t="str">
        <f>'org. Düngung 22'!C64</f>
        <v/>
      </c>
      <c r="D63" s="1197" t="str">
        <f>'org. Düngung 22'!D64</f>
        <v/>
      </c>
      <c r="E63" s="1207" t="str">
        <f>'org. Düngung 22'!E64</f>
        <v/>
      </c>
      <c r="F63" s="1199" t="str">
        <f>'org. Düngung 22'!F64</f>
        <v/>
      </c>
      <c r="G63" s="1201" t="str">
        <f>IF(C63="","",IF(COUNT('#minDung'!KF62:KJ62)=0,"OK",TRIM(CONCATENATE('#minDung'!KF62," ",'#minDung'!KG62," ",'#minDung'!KH62," ",'#minDung'!KI62," ",'#minDung'!KJ62))))</f>
        <v/>
      </c>
      <c r="H63" s="1025"/>
      <c r="I63" s="1026" t="str">
        <f>IF(H63="","",'#minDung'!X62)</f>
        <v/>
      </c>
      <c r="J63" s="1026" t="str">
        <f>IF(I63="","",'#minDung'!Y62)</f>
        <v/>
      </c>
      <c r="K63" s="1025"/>
      <c r="L63" s="1026" t="str">
        <f>IF(K63="","",'#minDung'!AG62)</f>
        <v/>
      </c>
      <c r="M63" s="1026" t="str">
        <f>IF(L63="","",'#minDung'!AH62)</f>
        <v/>
      </c>
      <c r="N63" s="1025"/>
      <c r="O63" s="1026" t="str">
        <f>IF(N63="","",'#minDung'!AP62)</f>
        <v/>
      </c>
      <c r="P63" s="1026" t="str">
        <f>IF(O63="","",'#minDung'!AQ62)</f>
        <v/>
      </c>
      <c r="Q63" s="1025"/>
      <c r="R63" s="1026" t="str">
        <f>IF(Q63="","",'#minDung'!AY62)</f>
        <v/>
      </c>
      <c r="S63" s="1026" t="str">
        <f>IF(R63="","",'#minDung'!AZ62)</f>
        <v/>
      </c>
      <c r="T63" s="1025"/>
      <c r="U63" s="1026" t="str">
        <f>IF(T63="","",'#minDung'!BH62)</f>
        <v/>
      </c>
      <c r="V63" s="1026" t="str">
        <f>IF(U63="","",'#minDung'!BI62)</f>
        <v/>
      </c>
      <c r="W63" s="1025"/>
      <c r="X63" s="1026" t="str">
        <f>IF(W63="","",'#minDung'!BQ62)</f>
        <v/>
      </c>
      <c r="Y63" s="1026" t="str">
        <f>IF(X63="","",'#minDung'!BR62)</f>
        <v/>
      </c>
      <c r="Z63" s="1025"/>
      <c r="AA63" s="1026" t="str">
        <f>IF(Z63="","",'#minDung'!BZ62)</f>
        <v/>
      </c>
      <c r="AB63" s="1026" t="str">
        <f>IF(AA63="","",'#minDung'!CA62)</f>
        <v/>
      </c>
      <c r="AC63" s="1025"/>
      <c r="AD63" s="1026" t="str">
        <f>IF(AC63="","",'#minDung'!CI62)</f>
        <v/>
      </c>
      <c r="AE63" s="1026" t="str">
        <f>IF(AD63="","",'#minDung'!CJ62)</f>
        <v/>
      </c>
      <c r="AF63" s="1025"/>
      <c r="AG63" s="1026" t="str">
        <f>IF(AF63="","",'#minDung'!CR62)</f>
        <v/>
      </c>
      <c r="AH63" s="1026" t="str">
        <f>IF(AG63="","",'#minDung'!CS62)</f>
        <v/>
      </c>
      <c r="AI63" s="1025"/>
      <c r="AJ63" s="1026" t="str">
        <f>IF(AI63="","",'#minDung'!DA62)</f>
        <v/>
      </c>
      <c r="AK63" s="1026" t="str">
        <f>IF(AJ63="","",'#minDung'!DB62)</f>
        <v/>
      </c>
      <c r="AL63" s="1025"/>
      <c r="AM63" s="1026" t="str">
        <f>IF(AL63="","",'#minDung'!DJ62)</f>
        <v/>
      </c>
      <c r="AN63" s="1026" t="str">
        <f>IF(AM63="","",'#minDung'!DK62)</f>
        <v/>
      </c>
      <c r="AO63" s="1025"/>
      <c r="AP63" s="1026" t="str">
        <f>IF(AO63="","",'#minDung'!DS62)</f>
        <v/>
      </c>
      <c r="AQ63" s="1026" t="str">
        <f>IF(AP63="","",'#minDung'!DT62)</f>
        <v/>
      </c>
      <c r="AR63" s="1025"/>
      <c r="AS63" s="1026" t="str">
        <f>IF(AR63="","",'#minDung'!EB62)</f>
        <v/>
      </c>
      <c r="AT63" s="1026" t="str">
        <f>IF(AS63="","",'#minDung'!EC62)</f>
        <v/>
      </c>
      <c r="AU63" s="1025"/>
      <c r="AV63" s="1026" t="str">
        <f>IF(AU63="","",'#minDung'!EK62)</f>
        <v/>
      </c>
      <c r="AW63" s="1026" t="str">
        <f>IF(AV63="","",'#minDung'!EL62)</f>
        <v/>
      </c>
      <c r="AX63" s="1025"/>
      <c r="AY63" s="1026" t="str">
        <f>IF(AX63="","",'#minDung'!ET62)</f>
        <v/>
      </c>
      <c r="AZ63" s="1026" t="str">
        <f>IF(AY63="","",'#minDung'!EU62)</f>
        <v/>
      </c>
      <c r="BA63" s="1025"/>
      <c r="BB63" s="1026" t="str">
        <f>IF(BA63="","",'#minDung'!FC62)</f>
        <v/>
      </c>
      <c r="BC63" s="1026" t="str">
        <f>IF(BB63="","",'#minDung'!FD62)</f>
        <v/>
      </c>
      <c r="BD63" s="1025"/>
      <c r="BE63" s="1026" t="str">
        <f>IF(BD63="","",'#minDung'!FL62)</f>
        <v/>
      </c>
      <c r="BF63" s="1026" t="str">
        <f>IF(BE63="","",'#minDung'!FM62)</f>
        <v/>
      </c>
      <c r="BG63" s="1025"/>
      <c r="BH63" s="1026" t="str">
        <f>IF(BG63="","",'#minDung'!FU62)</f>
        <v/>
      </c>
      <c r="BI63" s="1026" t="str">
        <f>IF(BH63="","",'#minDung'!FV62)</f>
        <v/>
      </c>
      <c r="BJ63" s="1025"/>
      <c r="BK63" s="1026" t="str">
        <f>IF(BJ63="","",'#minDung'!GD62)</f>
        <v/>
      </c>
      <c r="BL63" s="1026" t="str">
        <f>IF(BK63="","",'#minDung'!GE62)</f>
        <v/>
      </c>
      <c r="BM63" s="1025"/>
      <c r="BN63" s="1026" t="str">
        <f>IF(BM63="","",'#minDung'!GM62)</f>
        <v/>
      </c>
      <c r="BO63" s="1026" t="str">
        <f>IF(BN63="","",'#minDung'!GN62)</f>
        <v/>
      </c>
      <c r="BP63" s="1025"/>
      <c r="BQ63" s="1026" t="str">
        <f>IF(BP63="","",'#minDung'!GV62)</f>
        <v/>
      </c>
      <c r="BR63" s="1026" t="str">
        <f>IF(BQ63="","",'#minDung'!GW62)</f>
        <v/>
      </c>
      <c r="BS63" s="1025"/>
      <c r="BT63" s="1026" t="str">
        <f>IF(BS63="","",'#minDung'!HE62)</f>
        <v/>
      </c>
      <c r="BU63" s="1026" t="str">
        <f>IF(BT63="","",'#minDung'!HF62)</f>
        <v/>
      </c>
      <c r="BV63" s="1025"/>
      <c r="BW63" s="1026" t="str">
        <f>IF(BV63="","",'#minDung'!HN62)</f>
        <v/>
      </c>
      <c r="BX63" s="1026" t="str">
        <f>IF(BW63="","",'#minDung'!HO62)</f>
        <v/>
      </c>
      <c r="BY63" s="1025"/>
      <c r="BZ63" s="1026" t="str">
        <f>IF(BY63="","",'#minDung'!HW62)</f>
        <v/>
      </c>
      <c r="CA63" s="1026" t="str">
        <f>IF(BZ63="","",'#minDung'!HX62)</f>
        <v/>
      </c>
      <c r="CB63" s="1025"/>
      <c r="CC63" s="1026" t="str">
        <f>IF(CB63="","",'#minDung'!IF62)</f>
        <v/>
      </c>
      <c r="CD63" s="1026" t="str">
        <f>IF(CC63="","",'#minDung'!IG62)</f>
        <v/>
      </c>
      <c r="CE63" s="1025"/>
      <c r="CF63" s="1026" t="str">
        <f>IF(CE63="","",'#minDung'!IO62)</f>
        <v/>
      </c>
      <c r="CG63" s="1026" t="str">
        <f>IF(CF63="","",'#minDung'!IP62)</f>
        <v/>
      </c>
      <c r="CH63" s="1025"/>
      <c r="CI63" s="1026" t="str">
        <f>IF(CH63="","",'#minDung'!IX62)</f>
        <v/>
      </c>
      <c r="CJ63" s="1026" t="str">
        <f>IF(CI63="","",'#minDung'!IY62)</f>
        <v/>
      </c>
      <c r="CK63" s="1025"/>
      <c r="CL63" s="1026" t="str">
        <f>IF(CK63="","",'#minDung'!JG62)</f>
        <v/>
      </c>
      <c r="CM63" s="1026" t="str">
        <f>IF(CL63="","",'#minDung'!JH62)</f>
        <v/>
      </c>
      <c r="CN63" s="1025"/>
      <c r="CO63" s="1026" t="str">
        <f>IF(CN63="","",'#minDung'!JP62)</f>
        <v/>
      </c>
      <c r="CP63" s="1026" t="str">
        <f>IF(CO63="","",'#minDung'!JQ62)</f>
        <v/>
      </c>
      <c r="CQ63" s="1025"/>
      <c r="CR63" s="1026" t="str">
        <f>IF(CQ63="","",'#minDung'!JY62)</f>
        <v/>
      </c>
      <c r="CS63" s="1030" t="str">
        <f>IF(CR63="","",'#minDung'!JZ62)</f>
        <v/>
      </c>
      <c r="CT63" s="170"/>
    </row>
    <row r="64" spans="1:98" s="875" customFormat="1" ht="15" customHeight="1" x14ac:dyDescent="0.2">
      <c r="A64" s="1205">
        <f>'Flächen u. Kulturen'!A62</f>
        <v>53</v>
      </c>
      <c r="B64" s="1205" t="str">
        <f>+'org. Düngung 22'!B65</f>
        <v/>
      </c>
      <c r="C64" s="1206" t="str">
        <f>'org. Düngung 22'!C65</f>
        <v/>
      </c>
      <c r="D64" s="1197" t="str">
        <f>'org. Düngung 22'!D65</f>
        <v/>
      </c>
      <c r="E64" s="1207" t="str">
        <f>'org. Düngung 22'!E65</f>
        <v/>
      </c>
      <c r="F64" s="1199" t="str">
        <f>'org. Düngung 22'!F65</f>
        <v/>
      </c>
      <c r="G64" s="1201" t="str">
        <f>IF(C64="","",IF(COUNT('#minDung'!KF63:KJ63)=0,"OK",TRIM(CONCATENATE('#minDung'!KF63," ",'#minDung'!KG63," ",'#minDung'!KH63," ",'#minDung'!KI63," ",'#minDung'!KJ63))))</f>
        <v/>
      </c>
      <c r="H64" s="1025"/>
      <c r="I64" s="1026" t="str">
        <f>IF(H64="","",'#minDung'!X63)</f>
        <v/>
      </c>
      <c r="J64" s="1026" t="str">
        <f>IF(I64="","",'#minDung'!Y63)</f>
        <v/>
      </c>
      <c r="K64" s="1025"/>
      <c r="L64" s="1026" t="str">
        <f>IF(K64="","",'#minDung'!AG63)</f>
        <v/>
      </c>
      <c r="M64" s="1026" t="str">
        <f>IF(L64="","",'#minDung'!AH63)</f>
        <v/>
      </c>
      <c r="N64" s="1025"/>
      <c r="O64" s="1026" t="str">
        <f>IF(N64="","",'#minDung'!AP63)</f>
        <v/>
      </c>
      <c r="P64" s="1026" t="str">
        <f>IF(O64="","",'#minDung'!AQ63)</f>
        <v/>
      </c>
      <c r="Q64" s="1025"/>
      <c r="R64" s="1026" t="str">
        <f>IF(Q64="","",'#minDung'!AY63)</f>
        <v/>
      </c>
      <c r="S64" s="1026" t="str">
        <f>IF(R64="","",'#minDung'!AZ63)</f>
        <v/>
      </c>
      <c r="T64" s="1025"/>
      <c r="U64" s="1026" t="str">
        <f>IF(T64="","",'#minDung'!BH63)</f>
        <v/>
      </c>
      <c r="V64" s="1026" t="str">
        <f>IF(U64="","",'#minDung'!BI63)</f>
        <v/>
      </c>
      <c r="W64" s="1025"/>
      <c r="X64" s="1026" t="str">
        <f>IF(W64="","",'#minDung'!BQ63)</f>
        <v/>
      </c>
      <c r="Y64" s="1026" t="str">
        <f>IF(X64="","",'#minDung'!BR63)</f>
        <v/>
      </c>
      <c r="Z64" s="1025"/>
      <c r="AA64" s="1026" t="str">
        <f>IF(Z64="","",'#minDung'!BZ63)</f>
        <v/>
      </c>
      <c r="AB64" s="1026" t="str">
        <f>IF(AA64="","",'#minDung'!CA63)</f>
        <v/>
      </c>
      <c r="AC64" s="1025"/>
      <c r="AD64" s="1026" t="str">
        <f>IF(AC64="","",'#minDung'!CI63)</f>
        <v/>
      </c>
      <c r="AE64" s="1026" t="str">
        <f>IF(AD64="","",'#minDung'!CJ63)</f>
        <v/>
      </c>
      <c r="AF64" s="1025"/>
      <c r="AG64" s="1026" t="str">
        <f>IF(AF64="","",'#minDung'!CR63)</f>
        <v/>
      </c>
      <c r="AH64" s="1026" t="str">
        <f>IF(AG64="","",'#minDung'!CS63)</f>
        <v/>
      </c>
      <c r="AI64" s="1025"/>
      <c r="AJ64" s="1026" t="str">
        <f>IF(AI64="","",'#minDung'!DA63)</f>
        <v/>
      </c>
      <c r="AK64" s="1026" t="str">
        <f>IF(AJ64="","",'#minDung'!DB63)</f>
        <v/>
      </c>
      <c r="AL64" s="1025"/>
      <c r="AM64" s="1026" t="str">
        <f>IF(AL64="","",'#minDung'!DJ63)</f>
        <v/>
      </c>
      <c r="AN64" s="1026" t="str">
        <f>IF(AM64="","",'#minDung'!DK63)</f>
        <v/>
      </c>
      <c r="AO64" s="1025"/>
      <c r="AP64" s="1026" t="str">
        <f>IF(AO64="","",'#minDung'!DS63)</f>
        <v/>
      </c>
      <c r="AQ64" s="1026" t="str">
        <f>IF(AP64="","",'#minDung'!DT63)</f>
        <v/>
      </c>
      <c r="AR64" s="1025"/>
      <c r="AS64" s="1026" t="str">
        <f>IF(AR64="","",'#minDung'!EB63)</f>
        <v/>
      </c>
      <c r="AT64" s="1026" t="str">
        <f>IF(AS64="","",'#minDung'!EC63)</f>
        <v/>
      </c>
      <c r="AU64" s="1025"/>
      <c r="AV64" s="1026" t="str">
        <f>IF(AU64="","",'#minDung'!EK63)</f>
        <v/>
      </c>
      <c r="AW64" s="1026" t="str">
        <f>IF(AV64="","",'#minDung'!EL63)</f>
        <v/>
      </c>
      <c r="AX64" s="1025"/>
      <c r="AY64" s="1026" t="str">
        <f>IF(AX64="","",'#minDung'!ET63)</f>
        <v/>
      </c>
      <c r="AZ64" s="1026" t="str">
        <f>IF(AY64="","",'#minDung'!EU63)</f>
        <v/>
      </c>
      <c r="BA64" s="1025"/>
      <c r="BB64" s="1026" t="str">
        <f>IF(BA64="","",'#minDung'!FC63)</f>
        <v/>
      </c>
      <c r="BC64" s="1026" t="str">
        <f>IF(BB64="","",'#minDung'!FD63)</f>
        <v/>
      </c>
      <c r="BD64" s="1025"/>
      <c r="BE64" s="1026" t="str">
        <f>IF(BD64="","",'#minDung'!FL63)</f>
        <v/>
      </c>
      <c r="BF64" s="1026" t="str">
        <f>IF(BE64="","",'#minDung'!FM63)</f>
        <v/>
      </c>
      <c r="BG64" s="1025"/>
      <c r="BH64" s="1026" t="str">
        <f>IF(BG64="","",'#minDung'!FU63)</f>
        <v/>
      </c>
      <c r="BI64" s="1026" t="str">
        <f>IF(BH64="","",'#minDung'!FV63)</f>
        <v/>
      </c>
      <c r="BJ64" s="1025"/>
      <c r="BK64" s="1026" t="str">
        <f>IF(BJ64="","",'#minDung'!GD63)</f>
        <v/>
      </c>
      <c r="BL64" s="1026" t="str">
        <f>IF(BK64="","",'#minDung'!GE63)</f>
        <v/>
      </c>
      <c r="BM64" s="1025"/>
      <c r="BN64" s="1026" t="str">
        <f>IF(BM64="","",'#minDung'!GM63)</f>
        <v/>
      </c>
      <c r="BO64" s="1026" t="str">
        <f>IF(BN64="","",'#minDung'!GN63)</f>
        <v/>
      </c>
      <c r="BP64" s="1025"/>
      <c r="BQ64" s="1026" t="str">
        <f>IF(BP64="","",'#minDung'!GV63)</f>
        <v/>
      </c>
      <c r="BR64" s="1026" t="str">
        <f>IF(BQ64="","",'#minDung'!GW63)</f>
        <v/>
      </c>
      <c r="BS64" s="1025"/>
      <c r="BT64" s="1026" t="str">
        <f>IF(BS64="","",'#minDung'!HE63)</f>
        <v/>
      </c>
      <c r="BU64" s="1026" t="str">
        <f>IF(BT64="","",'#minDung'!HF63)</f>
        <v/>
      </c>
      <c r="BV64" s="1025"/>
      <c r="BW64" s="1026" t="str">
        <f>IF(BV64="","",'#minDung'!HN63)</f>
        <v/>
      </c>
      <c r="BX64" s="1026" t="str">
        <f>IF(BW64="","",'#minDung'!HO63)</f>
        <v/>
      </c>
      <c r="BY64" s="1025"/>
      <c r="BZ64" s="1026" t="str">
        <f>IF(BY64="","",'#minDung'!HW63)</f>
        <v/>
      </c>
      <c r="CA64" s="1026" t="str">
        <f>IF(BZ64="","",'#minDung'!HX63)</f>
        <v/>
      </c>
      <c r="CB64" s="1025"/>
      <c r="CC64" s="1026" t="str">
        <f>IF(CB64="","",'#minDung'!IF63)</f>
        <v/>
      </c>
      <c r="CD64" s="1026" t="str">
        <f>IF(CC64="","",'#minDung'!IG63)</f>
        <v/>
      </c>
      <c r="CE64" s="1025"/>
      <c r="CF64" s="1026" t="str">
        <f>IF(CE64="","",'#minDung'!IO63)</f>
        <v/>
      </c>
      <c r="CG64" s="1026" t="str">
        <f>IF(CF64="","",'#minDung'!IP63)</f>
        <v/>
      </c>
      <c r="CH64" s="1025"/>
      <c r="CI64" s="1026" t="str">
        <f>IF(CH64="","",'#minDung'!IX63)</f>
        <v/>
      </c>
      <c r="CJ64" s="1026" t="str">
        <f>IF(CI64="","",'#minDung'!IY63)</f>
        <v/>
      </c>
      <c r="CK64" s="1025"/>
      <c r="CL64" s="1026" t="str">
        <f>IF(CK64="","",'#minDung'!JG63)</f>
        <v/>
      </c>
      <c r="CM64" s="1026" t="str">
        <f>IF(CL64="","",'#minDung'!JH63)</f>
        <v/>
      </c>
      <c r="CN64" s="1025"/>
      <c r="CO64" s="1026" t="str">
        <f>IF(CN64="","",'#minDung'!JP63)</f>
        <v/>
      </c>
      <c r="CP64" s="1026" t="str">
        <f>IF(CO64="","",'#minDung'!JQ63)</f>
        <v/>
      </c>
      <c r="CQ64" s="1025"/>
      <c r="CR64" s="1026" t="str">
        <f>IF(CQ64="","",'#minDung'!JY63)</f>
        <v/>
      </c>
      <c r="CS64" s="1030" t="str">
        <f>IF(CR64="","",'#minDung'!JZ63)</f>
        <v/>
      </c>
      <c r="CT64" s="170"/>
    </row>
    <row r="65" spans="1:98" s="875" customFormat="1" ht="15" customHeight="1" x14ac:dyDescent="0.2">
      <c r="A65" s="1205">
        <f>'Flächen u. Kulturen'!A63</f>
        <v>54</v>
      </c>
      <c r="B65" s="1205" t="str">
        <f>+'org. Düngung 22'!B66</f>
        <v/>
      </c>
      <c r="C65" s="1206" t="str">
        <f>'org. Düngung 22'!C66</f>
        <v/>
      </c>
      <c r="D65" s="1197" t="str">
        <f>'org. Düngung 22'!D66</f>
        <v/>
      </c>
      <c r="E65" s="1207" t="str">
        <f>'org. Düngung 22'!E66</f>
        <v/>
      </c>
      <c r="F65" s="1199" t="str">
        <f>'org. Düngung 22'!F66</f>
        <v/>
      </c>
      <c r="G65" s="1201" t="str">
        <f>IF(C65="","",IF(COUNT('#minDung'!KF64:KJ64)=0,"OK",TRIM(CONCATENATE('#minDung'!KF64," ",'#minDung'!KG64," ",'#minDung'!KH64," ",'#minDung'!KI64," ",'#minDung'!KJ64))))</f>
        <v/>
      </c>
      <c r="H65" s="1025"/>
      <c r="I65" s="1026" t="str">
        <f>IF(H65="","",'#minDung'!X64)</f>
        <v/>
      </c>
      <c r="J65" s="1026" t="str">
        <f>IF(I65="","",'#minDung'!Y64)</f>
        <v/>
      </c>
      <c r="K65" s="1025"/>
      <c r="L65" s="1026" t="str">
        <f>IF(K65="","",'#minDung'!AG64)</f>
        <v/>
      </c>
      <c r="M65" s="1026" t="str">
        <f>IF(L65="","",'#minDung'!AH64)</f>
        <v/>
      </c>
      <c r="N65" s="1025"/>
      <c r="O65" s="1026" t="str">
        <f>IF(N65="","",'#minDung'!AP64)</f>
        <v/>
      </c>
      <c r="P65" s="1026" t="str">
        <f>IF(O65="","",'#minDung'!AQ64)</f>
        <v/>
      </c>
      <c r="Q65" s="1025"/>
      <c r="R65" s="1026" t="str">
        <f>IF(Q65="","",'#minDung'!AY64)</f>
        <v/>
      </c>
      <c r="S65" s="1026" t="str">
        <f>IF(R65="","",'#minDung'!AZ64)</f>
        <v/>
      </c>
      <c r="T65" s="1025"/>
      <c r="U65" s="1026" t="str">
        <f>IF(T65="","",'#minDung'!BH64)</f>
        <v/>
      </c>
      <c r="V65" s="1026" t="str">
        <f>IF(U65="","",'#minDung'!BI64)</f>
        <v/>
      </c>
      <c r="W65" s="1025"/>
      <c r="X65" s="1026" t="str">
        <f>IF(W65="","",'#minDung'!BQ64)</f>
        <v/>
      </c>
      <c r="Y65" s="1026" t="str">
        <f>IF(X65="","",'#minDung'!BR64)</f>
        <v/>
      </c>
      <c r="Z65" s="1025"/>
      <c r="AA65" s="1026" t="str">
        <f>IF(Z65="","",'#minDung'!BZ64)</f>
        <v/>
      </c>
      <c r="AB65" s="1026" t="str">
        <f>IF(AA65="","",'#minDung'!CA64)</f>
        <v/>
      </c>
      <c r="AC65" s="1025"/>
      <c r="AD65" s="1026" t="str">
        <f>IF(AC65="","",'#minDung'!CI64)</f>
        <v/>
      </c>
      <c r="AE65" s="1026" t="str">
        <f>IF(AD65="","",'#minDung'!CJ64)</f>
        <v/>
      </c>
      <c r="AF65" s="1025"/>
      <c r="AG65" s="1026" t="str">
        <f>IF(AF65="","",'#minDung'!CR64)</f>
        <v/>
      </c>
      <c r="AH65" s="1026" t="str">
        <f>IF(AG65="","",'#minDung'!CS64)</f>
        <v/>
      </c>
      <c r="AI65" s="1025"/>
      <c r="AJ65" s="1026" t="str">
        <f>IF(AI65="","",'#minDung'!DA64)</f>
        <v/>
      </c>
      <c r="AK65" s="1026" t="str">
        <f>IF(AJ65="","",'#minDung'!DB64)</f>
        <v/>
      </c>
      <c r="AL65" s="1025"/>
      <c r="AM65" s="1026" t="str">
        <f>IF(AL65="","",'#minDung'!DJ64)</f>
        <v/>
      </c>
      <c r="AN65" s="1026" t="str">
        <f>IF(AM65="","",'#minDung'!DK64)</f>
        <v/>
      </c>
      <c r="AO65" s="1025"/>
      <c r="AP65" s="1026" t="str">
        <f>IF(AO65="","",'#minDung'!DS64)</f>
        <v/>
      </c>
      <c r="AQ65" s="1026" t="str">
        <f>IF(AP65="","",'#minDung'!DT64)</f>
        <v/>
      </c>
      <c r="AR65" s="1025"/>
      <c r="AS65" s="1026" t="str">
        <f>IF(AR65="","",'#minDung'!EB64)</f>
        <v/>
      </c>
      <c r="AT65" s="1026" t="str">
        <f>IF(AS65="","",'#minDung'!EC64)</f>
        <v/>
      </c>
      <c r="AU65" s="1025"/>
      <c r="AV65" s="1026" t="str">
        <f>IF(AU65="","",'#minDung'!EK64)</f>
        <v/>
      </c>
      <c r="AW65" s="1026" t="str">
        <f>IF(AV65="","",'#minDung'!EL64)</f>
        <v/>
      </c>
      <c r="AX65" s="1025"/>
      <c r="AY65" s="1026" t="str">
        <f>IF(AX65="","",'#minDung'!ET64)</f>
        <v/>
      </c>
      <c r="AZ65" s="1026" t="str">
        <f>IF(AY65="","",'#minDung'!EU64)</f>
        <v/>
      </c>
      <c r="BA65" s="1025"/>
      <c r="BB65" s="1026" t="str">
        <f>IF(BA65="","",'#minDung'!FC64)</f>
        <v/>
      </c>
      <c r="BC65" s="1026" t="str">
        <f>IF(BB65="","",'#minDung'!FD64)</f>
        <v/>
      </c>
      <c r="BD65" s="1025"/>
      <c r="BE65" s="1026" t="str">
        <f>IF(BD65="","",'#minDung'!FL64)</f>
        <v/>
      </c>
      <c r="BF65" s="1026" t="str">
        <f>IF(BE65="","",'#minDung'!FM64)</f>
        <v/>
      </c>
      <c r="BG65" s="1025"/>
      <c r="BH65" s="1026" t="str">
        <f>IF(BG65="","",'#minDung'!FU64)</f>
        <v/>
      </c>
      <c r="BI65" s="1026" t="str">
        <f>IF(BH65="","",'#minDung'!FV64)</f>
        <v/>
      </c>
      <c r="BJ65" s="1025"/>
      <c r="BK65" s="1026" t="str">
        <f>IF(BJ65="","",'#minDung'!GD64)</f>
        <v/>
      </c>
      <c r="BL65" s="1026" t="str">
        <f>IF(BK65="","",'#minDung'!GE64)</f>
        <v/>
      </c>
      <c r="BM65" s="1025"/>
      <c r="BN65" s="1026" t="str">
        <f>IF(BM65="","",'#minDung'!GM64)</f>
        <v/>
      </c>
      <c r="BO65" s="1026" t="str">
        <f>IF(BN65="","",'#minDung'!GN64)</f>
        <v/>
      </c>
      <c r="BP65" s="1025"/>
      <c r="BQ65" s="1026" t="str">
        <f>IF(BP65="","",'#minDung'!GV64)</f>
        <v/>
      </c>
      <c r="BR65" s="1026" t="str">
        <f>IF(BQ65="","",'#minDung'!GW64)</f>
        <v/>
      </c>
      <c r="BS65" s="1025"/>
      <c r="BT65" s="1026" t="str">
        <f>IF(BS65="","",'#minDung'!HE64)</f>
        <v/>
      </c>
      <c r="BU65" s="1026" t="str">
        <f>IF(BT65="","",'#minDung'!HF64)</f>
        <v/>
      </c>
      <c r="BV65" s="1025"/>
      <c r="BW65" s="1026" t="str">
        <f>IF(BV65="","",'#minDung'!HN64)</f>
        <v/>
      </c>
      <c r="BX65" s="1026" t="str">
        <f>IF(BW65="","",'#minDung'!HO64)</f>
        <v/>
      </c>
      <c r="BY65" s="1025"/>
      <c r="BZ65" s="1026" t="str">
        <f>IF(BY65="","",'#minDung'!HW64)</f>
        <v/>
      </c>
      <c r="CA65" s="1026" t="str">
        <f>IF(BZ65="","",'#minDung'!HX64)</f>
        <v/>
      </c>
      <c r="CB65" s="1025"/>
      <c r="CC65" s="1026" t="str">
        <f>IF(CB65="","",'#minDung'!IF64)</f>
        <v/>
      </c>
      <c r="CD65" s="1026" t="str">
        <f>IF(CC65="","",'#minDung'!IG64)</f>
        <v/>
      </c>
      <c r="CE65" s="1025"/>
      <c r="CF65" s="1026" t="str">
        <f>IF(CE65="","",'#minDung'!IO64)</f>
        <v/>
      </c>
      <c r="CG65" s="1026" t="str">
        <f>IF(CF65="","",'#minDung'!IP64)</f>
        <v/>
      </c>
      <c r="CH65" s="1025"/>
      <c r="CI65" s="1026" t="str">
        <f>IF(CH65="","",'#minDung'!IX64)</f>
        <v/>
      </c>
      <c r="CJ65" s="1026" t="str">
        <f>IF(CI65="","",'#minDung'!IY64)</f>
        <v/>
      </c>
      <c r="CK65" s="1025"/>
      <c r="CL65" s="1026" t="str">
        <f>IF(CK65="","",'#minDung'!JG64)</f>
        <v/>
      </c>
      <c r="CM65" s="1026" t="str">
        <f>IF(CL65="","",'#minDung'!JH64)</f>
        <v/>
      </c>
      <c r="CN65" s="1025"/>
      <c r="CO65" s="1026" t="str">
        <f>IF(CN65="","",'#minDung'!JP64)</f>
        <v/>
      </c>
      <c r="CP65" s="1026" t="str">
        <f>IF(CO65="","",'#minDung'!JQ64)</f>
        <v/>
      </c>
      <c r="CQ65" s="1025"/>
      <c r="CR65" s="1026" t="str">
        <f>IF(CQ65="","",'#minDung'!JY64)</f>
        <v/>
      </c>
      <c r="CS65" s="1030" t="str">
        <f>IF(CR65="","",'#minDung'!JZ64)</f>
        <v/>
      </c>
      <c r="CT65" s="170"/>
    </row>
    <row r="66" spans="1:98" s="875" customFormat="1" ht="15" customHeight="1" x14ac:dyDescent="0.2">
      <c r="A66" s="1205">
        <f>'Flächen u. Kulturen'!A64</f>
        <v>55</v>
      </c>
      <c r="B66" s="1205" t="str">
        <f>+'org. Düngung 22'!B67</f>
        <v/>
      </c>
      <c r="C66" s="1206" t="str">
        <f>'org. Düngung 22'!C67</f>
        <v/>
      </c>
      <c r="D66" s="1197" t="str">
        <f>'org. Düngung 22'!D67</f>
        <v/>
      </c>
      <c r="E66" s="1207" t="str">
        <f>'org. Düngung 22'!E67</f>
        <v/>
      </c>
      <c r="F66" s="1199" t="str">
        <f>'org. Düngung 22'!F67</f>
        <v/>
      </c>
      <c r="G66" s="1201" t="str">
        <f>IF(C66="","",IF(COUNT('#minDung'!KF65:KJ65)=0,"OK",TRIM(CONCATENATE('#minDung'!KF65," ",'#minDung'!KG65," ",'#minDung'!KH65," ",'#minDung'!KI65," ",'#minDung'!KJ65))))</f>
        <v/>
      </c>
      <c r="H66" s="1025"/>
      <c r="I66" s="1026" t="str">
        <f>IF(H66="","",'#minDung'!X65)</f>
        <v/>
      </c>
      <c r="J66" s="1026" t="str">
        <f>IF(I66="","",'#minDung'!Y65)</f>
        <v/>
      </c>
      <c r="K66" s="1025"/>
      <c r="L66" s="1026" t="str">
        <f>IF(K66="","",'#minDung'!AG65)</f>
        <v/>
      </c>
      <c r="M66" s="1026" t="str">
        <f>IF(L66="","",'#minDung'!AH65)</f>
        <v/>
      </c>
      <c r="N66" s="1025"/>
      <c r="O66" s="1026" t="str">
        <f>IF(N66="","",'#minDung'!AP65)</f>
        <v/>
      </c>
      <c r="P66" s="1026" t="str">
        <f>IF(O66="","",'#minDung'!AQ65)</f>
        <v/>
      </c>
      <c r="Q66" s="1025"/>
      <c r="R66" s="1026" t="str">
        <f>IF(Q66="","",'#minDung'!AY65)</f>
        <v/>
      </c>
      <c r="S66" s="1026" t="str">
        <f>IF(R66="","",'#minDung'!AZ65)</f>
        <v/>
      </c>
      <c r="T66" s="1025"/>
      <c r="U66" s="1026" t="str">
        <f>IF(T66="","",'#minDung'!BH65)</f>
        <v/>
      </c>
      <c r="V66" s="1026" t="str">
        <f>IF(U66="","",'#minDung'!BI65)</f>
        <v/>
      </c>
      <c r="W66" s="1025"/>
      <c r="X66" s="1026" t="str">
        <f>IF(W66="","",'#minDung'!BQ65)</f>
        <v/>
      </c>
      <c r="Y66" s="1026" t="str">
        <f>IF(X66="","",'#minDung'!BR65)</f>
        <v/>
      </c>
      <c r="Z66" s="1025"/>
      <c r="AA66" s="1026" t="str">
        <f>IF(Z66="","",'#minDung'!BZ65)</f>
        <v/>
      </c>
      <c r="AB66" s="1026" t="str">
        <f>IF(AA66="","",'#minDung'!CA65)</f>
        <v/>
      </c>
      <c r="AC66" s="1025"/>
      <c r="AD66" s="1026" t="str">
        <f>IF(AC66="","",'#minDung'!CI65)</f>
        <v/>
      </c>
      <c r="AE66" s="1026" t="str">
        <f>IF(AD66="","",'#minDung'!CJ65)</f>
        <v/>
      </c>
      <c r="AF66" s="1025"/>
      <c r="AG66" s="1026" t="str">
        <f>IF(AF66="","",'#minDung'!CR65)</f>
        <v/>
      </c>
      <c r="AH66" s="1026" t="str">
        <f>IF(AG66="","",'#minDung'!CS65)</f>
        <v/>
      </c>
      <c r="AI66" s="1025"/>
      <c r="AJ66" s="1026" t="str">
        <f>IF(AI66="","",'#minDung'!DA65)</f>
        <v/>
      </c>
      <c r="AK66" s="1026" t="str">
        <f>IF(AJ66="","",'#minDung'!DB65)</f>
        <v/>
      </c>
      <c r="AL66" s="1025"/>
      <c r="AM66" s="1026" t="str">
        <f>IF(AL66="","",'#minDung'!DJ65)</f>
        <v/>
      </c>
      <c r="AN66" s="1026" t="str">
        <f>IF(AM66="","",'#minDung'!DK65)</f>
        <v/>
      </c>
      <c r="AO66" s="1025"/>
      <c r="AP66" s="1026" t="str">
        <f>IF(AO66="","",'#minDung'!DS65)</f>
        <v/>
      </c>
      <c r="AQ66" s="1026" t="str">
        <f>IF(AP66="","",'#minDung'!DT65)</f>
        <v/>
      </c>
      <c r="AR66" s="1025"/>
      <c r="AS66" s="1026" t="str">
        <f>IF(AR66="","",'#minDung'!EB65)</f>
        <v/>
      </c>
      <c r="AT66" s="1026" t="str">
        <f>IF(AS66="","",'#minDung'!EC65)</f>
        <v/>
      </c>
      <c r="AU66" s="1025"/>
      <c r="AV66" s="1026" t="str">
        <f>IF(AU66="","",'#minDung'!EK65)</f>
        <v/>
      </c>
      <c r="AW66" s="1026" t="str">
        <f>IF(AV66="","",'#minDung'!EL65)</f>
        <v/>
      </c>
      <c r="AX66" s="1025"/>
      <c r="AY66" s="1026" t="str">
        <f>IF(AX66="","",'#minDung'!ET65)</f>
        <v/>
      </c>
      <c r="AZ66" s="1026" t="str">
        <f>IF(AY66="","",'#minDung'!EU65)</f>
        <v/>
      </c>
      <c r="BA66" s="1025"/>
      <c r="BB66" s="1026" t="str">
        <f>IF(BA66="","",'#minDung'!FC65)</f>
        <v/>
      </c>
      <c r="BC66" s="1026" t="str">
        <f>IF(BB66="","",'#minDung'!FD65)</f>
        <v/>
      </c>
      <c r="BD66" s="1025"/>
      <c r="BE66" s="1026" t="str">
        <f>IF(BD66="","",'#minDung'!FL65)</f>
        <v/>
      </c>
      <c r="BF66" s="1026" t="str">
        <f>IF(BE66="","",'#minDung'!FM65)</f>
        <v/>
      </c>
      <c r="BG66" s="1025"/>
      <c r="BH66" s="1026" t="str">
        <f>IF(BG66="","",'#minDung'!FU65)</f>
        <v/>
      </c>
      <c r="BI66" s="1026" t="str">
        <f>IF(BH66="","",'#minDung'!FV65)</f>
        <v/>
      </c>
      <c r="BJ66" s="1025"/>
      <c r="BK66" s="1026" t="str">
        <f>IF(BJ66="","",'#minDung'!GD65)</f>
        <v/>
      </c>
      <c r="BL66" s="1026" t="str">
        <f>IF(BK66="","",'#minDung'!GE65)</f>
        <v/>
      </c>
      <c r="BM66" s="1025"/>
      <c r="BN66" s="1026" t="str">
        <f>IF(BM66="","",'#minDung'!GM65)</f>
        <v/>
      </c>
      <c r="BO66" s="1026" t="str">
        <f>IF(BN66="","",'#minDung'!GN65)</f>
        <v/>
      </c>
      <c r="BP66" s="1025"/>
      <c r="BQ66" s="1026" t="str">
        <f>IF(BP66="","",'#minDung'!GV65)</f>
        <v/>
      </c>
      <c r="BR66" s="1026" t="str">
        <f>IF(BQ66="","",'#minDung'!GW65)</f>
        <v/>
      </c>
      <c r="BS66" s="1025"/>
      <c r="BT66" s="1026" t="str">
        <f>IF(BS66="","",'#minDung'!HE65)</f>
        <v/>
      </c>
      <c r="BU66" s="1026" t="str">
        <f>IF(BT66="","",'#minDung'!HF65)</f>
        <v/>
      </c>
      <c r="BV66" s="1025"/>
      <c r="BW66" s="1026" t="str">
        <f>IF(BV66="","",'#minDung'!HN65)</f>
        <v/>
      </c>
      <c r="BX66" s="1026" t="str">
        <f>IF(BW66="","",'#minDung'!HO65)</f>
        <v/>
      </c>
      <c r="BY66" s="1025"/>
      <c r="BZ66" s="1026" t="str">
        <f>IF(BY66="","",'#minDung'!HW65)</f>
        <v/>
      </c>
      <c r="CA66" s="1026" t="str">
        <f>IF(BZ66="","",'#minDung'!HX65)</f>
        <v/>
      </c>
      <c r="CB66" s="1025"/>
      <c r="CC66" s="1026" t="str">
        <f>IF(CB66="","",'#minDung'!IF65)</f>
        <v/>
      </c>
      <c r="CD66" s="1026" t="str">
        <f>IF(CC66="","",'#minDung'!IG65)</f>
        <v/>
      </c>
      <c r="CE66" s="1025"/>
      <c r="CF66" s="1026" t="str">
        <f>IF(CE66="","",'#minDung'!IO65)</f>
        <v/>
      </c>
      <c r="CG66" s="1026" t="str">
        <f>IF(CF66="","",'#minDung'!IP65)</f>
        <v/>
      </c>
      <c r="CH66" s="1025"/>
      <c r="CI66" s="1026" t="str">
        <f>IF(CH66="","",'#minDung'!IX65)</f>
        <v/>
      </c>
      <c r="CJ66" s="1026" t="str">
        <f>IF(CI66="","",'#minDung'!IY65)</f>
        <v/>
      </c>
      <c r="CK66" s="1025"/>
      <c r="CL66" s="1026" t="str">
        <f>IF(CK66="","",'#minDung'!JG65)</f>
        <v/>
      </c>
      <c r="CM66" s="1026" t="str">
        <f>IF(CL66="","",'#minDung'!JH65)</f>
        <v/>
      </c>
      <c r="CN66" s="1025"/>
      <c r="CO66" s="1026" t="str">
        <f>IF(CN66="","",'#minDung'!JP65)</f>
        <v/>
      </c>
      <c r="CP66" s="1026" t="str">
        <f>IF(CO66="","",'#minDung'!JQ65)</f>
        <v/>
      </c>
      <c r="CQ66" s="1025"/>
      <c r="CR66" s="1026" t="str">
        <f>IF(CQ66="","",'#minDung'!JY65)</f>
        <v/>
      </c>
      <c r="CS66" s="1030" t="str">
        <f>IF(CR66="","",'#minDung'!JZ65)</f>
        <v/>
      </c>
      <c r="CT66" s="170"/>
    </row>
    <row r="67" spans="1:98" s="875" customFormat="1" ht="15" customHeight="1" x14ac:dyDescent="0.2">
      <c r="A67" s="1205">
        <f>'Flächen u. Kulturen'!A65</f>
        <v>56</v>
      </c>
      <c r="B67" s="1205" t="str">
        <f>+'org. Düngung 22'!B68</f>
        <v/>
      </c>
      <c r="C67" s="1206" t="str">
        <f>'org. Düngung 22'!C68</f>
        <v/>
      </c>
      <c r="D67" s="1197" t="str">
        <f>'org. Düngung 22'!D68</f>
        <v/>
      </c>
      <c r="E67" s="1207" t="str">
        <f>'org. Düngung 22'!E68</f>
        <v/>
      </c>
      <c r="F67" s="1199" t="str">
        <f>'org. Düngung 22'!F68</f>
        <v/>
      </c>
      <c r="G67" s="1201" t="str">
        <f>IF(C67="","",IF(COUNT('#minDung'!KF66:KJ66)=0,"OK",TRIM(CONCATENATE('#minDung'!KF66," ",'#minDung'!KG66," ",'#minDung'!KH66," ",'#minDung'!KI66," ",'#minDung'!KJ66))))</f>
        <v/>
      </c>
      <c r="H67" s="1025"/>
      <c r="I67" s="1026" t="str">
        <f>IF(H67="","",'#minDung'!X66)</f>
        <v/>
      </c>
      <c r="J67" s="1026" t="str">
        <f>IF(I67="","",'#minDung'!Y66)</f>
        <v/>
      </c>
      <c r="K67" s="1025"/>
      <c r="L67" s="1026" t="str">
        <f>IF(K67="","",'#minDung'!AG66)</f>
        <v/>
      </c>
      <c r="M67" s="1026" t="str">
        <f>IF(L67="","",'#minDung'!AH66)</f>
        <v/>
      </c>
      <c r="N67" s="1025"/>
      <c r="O67" s="1026" t="str">
        <f>IF(N67="","",'#minDung'!AP66)</f>
        <v/>
      </c>
      <c r="P67" s="1026" t="str">
        <f>IF(O67="","",'#minDung'!AQ66)</f>
        <v/>
      </c>
      <c r="Q67" s="1025"/>
      <c r="R67" s="1026" t="str">
        <f>IF(Q67="","",'#minDung'!AY66)</f>
        <v/>
      </c>
      <c r="S67" s="1026" t="str">
        <f>IF(R67="","",'#minDung'!AZ66)</f>
        <v/>
      </c>
      <c r="T67" s="1025"/>
      <c r="U67" s="1026" t="str">
        <f>IF(T67="","",'#minDung'!BH66)</f>
        <v/>
      </c>
      <c r="V67" s="1026" t="str">
        <f>IF(U67="","",'#minDung'!BI66)</f>
        <v/>
      </c>
      <c r="W67" s="1025"/>
      <c r="X67" s="1026" t="str">
        <f>IF(W67="","",'#minDung'!BQ66)</f>
        <v/>
      </c>
      <c r="Y67" s="1026" t="str">
        <f>IF(X67="","",'#minDung'!BR66)</f>
        <v/>
      </c>
      <c r="Z67" s="1025"/>
      <c r="AA67" s="1026" t="str">
        <f>IF(Z67="","",'#minDung'!BZ66)</f>
        <v/>
      </c>
      <c r="AB67" s="1026" t="str">
        <f>IF(AA67="","",'#minDung'!CA66)</f>
        <v/>
      </c>
      <c r="AC67" s="1025"/>
      <c r="AD67" s="1026" t="str">
        <f>IF(AC67="","",'#minDung'!CI66)</f>
        <v/>
      </c>
      <c r="AE67" s="1026" t="str">
        <f>IF(AD67="","",'#minDung'!CJ66)</f>
        <v/>
      </c>
      <c r="AF67" s="1025"/>
      <c r="AG67" s="1026" t="str">
        <f>IF(AF67="","",'#minDung'!CR66)</f>
        <v/>
      </c>
      <c r="AH67" s="1026" t="str">
        <f>IF(AG67="","",'#minDung'!CS66)</f>
        <v/>
      </c>
      <c r="AI67" s="1025"/>
      <c r="AJ67" s="1026" t="str">
        <f>IF(AI67="","",'#minDung'!DA66)</f>
        <v/>
      </c>
      <c r="AK67" s="1026" t="str">
        <f>IF(AJ67="","",'#minDung'!DB66)</f>
        <v/>
      </c>
      <c r="AL67" s="1025"/>
      <c r="AM67" s="1026" t="str">
        <f>IF(AL67="","",'#minDung'!DJ66)</f>
        <v/>
      </c>
      <c r="AN67" s="1026" t="str">
        <f>IF(AM67="","",'#minDung'!DK66)</f>
        <v/>
      </c>
      <c r="AO67" s="1025"/>
      <c r="AP67" s="1026" t="str">
        <f>IF(AO67="","",'#minDung'!DS66)</f>
        <v/>
      </c>
      <c r="AQ67" s="1026" t="str">
        <f>IF(AP67="","",'#minDung'!DT66)</f>
        <v/>
      </c>
      <c r="AR67" s="1025"/>
      <c r="AS67" s="1026" t="str">
        <f>IF(AR67="","",'#minDung'!EB66)</f>
        <v/>
      </c>
      <c r="AT67" s="1026" t="str">
        <f>IF(AS67="","",'#minDung'!EC66)</f>
        <v/>
      </c>
      <c r="AU67" s="1025"/>
      <c r="AV67" s="1026" t="str">
        <f>IF(AU67="","",'#minDung'!EK66)</f>
        <v/>
      </c>
      <c r="AW67" s="1026" t="str">
        <f>IF(AV67="","",'#minDung'!EL66)</f>
        <v/>
      </c>
      <c r="AX67" s="1025"/>
      <c r="AY67" s="1026" t="str">
        <f>IF(AX67="","",'#minDung'!ET66)</f>
        <v/>
      </c>
      <c r="AZ67" s="1026" t="str">
        <f>IF(AY67="","",'#minDung'!EU66)</f>
        <v/>
      </c>
      <c r="BA67" s="1025"/>
      <c r="BB67" s="1026" t="str">
        <f>IF(BA67="","",'#minDung'!FC66)</f>
        <v/>
      </c>
      <c r="BC67" s="1026" t="str">
        <f>IF(BB67="","",'#minDung'!FD66)</f>
        <v/>
      </c>
      <c r="BD67" s="1025"/>
      <c r="BE67" s="1026" t="str">
        <f>IF(BD67="","",'#minDung'!FL66)</f>
        <v/>
      </c>
      <c r="BF67" s="1026" t="str">
        <f>IF(BE67="","",'#minDung'!FM66)</f>
        <v/>
      </c>
      <c r="BG67" s="1025"/>
      <c r="BH67" s="1026" t="str">
        <f>IF(BG67="","",'#minDung'!FU66)</f>
        <v/>
      </c>
      <c r="BI67" s="1026" t="str">
        <f>IF(BH67="","",'#minDung'!FV66)</f>
        <v/>
      </c>
      <c r="BJ67" s="1025"/>
      <c r="BK67" s="1026" t="str">
        <f>IF(BJ67="","",'#minDung'!GD66)</f>
        <v/>
      </c>
      <c r="BL67" s="1026" t="str">
        <f>IF(BK67="","",'#minDung'!GE66)</f>
        <v/>
      </c>
      <c r="BM67" s="1025"/>
      <c r="BN67" s="1026" t="str">
        <f>IF(BM67="","",'#minDung'!GM66)</f>
        <v/>
      </c>
      <c r="BO67" s="1026" t="str">
        <f>IF(BN67="","",'#minDung'!GN66)</f>
        <v/>
      </c>
      <c r="BP67" s="1025"/>
      <c r="BQ67" s="1026" t="str">
        <f>IF(BP67="","",'#minDung'!GV66)</f>
        <v/>
      </c>
      <c r="BR67" s="1026" t="str">
        <f>IF(BQ67="","",'#minDung'!GW66)</f>
        <v/>
      </c>
      <c r="BS67" s="1025"/>
      <c r="BT67" s="1026" t="str">
        <f>IF(BS67="","",'#minDung'!HE66)</f>
        <v/>
      </c>
      <c r="BU67" s="1026" t="str">
        <f>IF(BT67="","",'#minDung'!HF66)</f>
        <v/>
      </c>
      <c r="BV67" s="1025"/>
      <c r="BW67" s="1026" t="str">
        <f>IF(BV67="","",'#minDung'!HN66)</f>
        <v/>
      </c>
      <c r="BX67" s="1026" t="str">
        <f>IF(BW67="","",'#minDung'!HO66)</f>
        <v/>
      </c>
      <c r="BY67" s="1025"/>
      <c r="BZ67" s="1026" t="str">
        <f>IF(BY67="","",'#minDung'!HW66)</f>
        <v/>
      </c>
      <c r="CA67" s="1026" t="str">
        <f>IF(BZ67="","",'#minDung'!HX66)</f>
        <v/>
      </c>
      <c r="CB67" s="1025"/>
      <c r="CC67" s="1026" t="str">
        <f>IF(CB67="","",'#minDung'!IF66)</f>
        <v/>
      </c>
      <c r="CD67" s="1026" t="str">
        <f>IF(CC67="","",'#minDung'!IG66)</f>
        <v/>
      </c>
      <c r="CE67" s="1025"/>
      <c r="CF67" s="1026" t="str">
        <f>IF(CE67="","",'#minDung'!IO66)</f>
        <v/>
      </c>
      <c r="CG67" s="1026" t="str">
        <f>IF(CF67="","",'#minDung'!IP66)</f>
        <v/>
      </c>
      <c r="CH67" s="1025"/>
      <c r="CI67" s="1026" t="str">
        <f>IF(CH67="","",'#minDung'!IX66)</f>
        <v/>
      </c>
      <c r="CJ67" s="1026" t="str">
        <f>IF(CI67="","",'#minDung'!IY66)</f>
        <v/>
      </c>
      <c r="CK67" s="1025"/>
      <c r="CL67" s="1026" t="str">
        <f>IF(CK67="","",'#minDung'!JG66)</f>
        <v/>
      </c>
      <c r="CM67" s="1026" t="str">
        <f>IF(CL67="","",'#minDung'!JH66)</f>
        <v/>
      </c>
      <c r="CN67" s="1025"/>
      <c r="CO67" s="1026" t="str">
        <f>IF(CN67="","",'#minDung'!JP66)</f>
        <v/>
      </c>
      <c r="CP67" s="1026" t="str">
        <f>IF(CO67="","",'#minDung'!JQ66)</f>
        <v/>
      </c>
      <c r="CQ67" s="1025"/>
      <c r="CR67" s="1026" t="str">
        <f>IF(CQ67="","",'#minDung'!JY66)</f>
        <v/>
      </c>
      <c r="CS67" s="1030" t="str">
        <f>IF(CR67="","",'#minDung'!JZ66)</f>
        <v/>
      </c>
      <c r="CT67" s="170"/>
    </row>
    <row r="68" spans="1:98" s="875" customFormat="1" ht="15" customHeight="1" x14ac:dyDescent="0.2">
      <c r="A68" s="1205">
        <f>'Flächen u. Kulturen'!A66</f>
        <v>57</v>
      </c>
      <c r="B68" s="1205" t="str">
        <f>+'org. Düngung 22'!B69</f>
        <v/>
      </c>
      <c r="C68" s="1206" t="str">
        <f>'org. Düngung 22'!C69</f>
        <v/>
      </c>
      <c r="D68" s="1197" t="str">
        <f>'org. Düngung 22'!D69</f>
        <v/>
      </c>
      <c r="E68" s="1207" t="str">
        <f>'org. Düngung 22'!E69</f>
        <v/>
      </c>
      <c r="F68" s="1199" t="str">
        <f>'org. Düngung 22'!F69</f>
        <v/>
      </c>
      <c r="G68" s="1201" t="str">
        <f>IF(C68="","",IF(COUNT('#minDung'!KF67:KJ67)=0,"OK",TRIM(CONCATENATE('#minDung'!KF67," ",'#minDung'!KG67," ",'#minDung'!KH67," ",'#minDung'!KI67," ",'#minDung'!KJ67))))</f>
        <v/>
      </c>
      <c r="H68" s="1025"/>
      <c r="I68" s="1026" t="str">
        <f>IF(H68="","",'#minDung'!X67)</f>
        <v/>
      </c>
      <c r="J68" s="1026" t="str">
        <f>IF(I68="","",'#minDung'!Y67)</f>
        <v/>
      </c>
      <c r="K68" s="1025"/>
      <c r="L68" s="1026" t="str">
        <f>IF(K68="","",'#minDung'!AG67)</f>
        <v/>
      </c>
      <c r="M68" s="1026" t="str">
        <f>IF(L68="","",'#minDung'!AH67)</f>
        <v/>
      </c>
      <c r="N68" s="1025"/>
      <c r="O68" s="1026" t="str">
        <f>IF(N68="","",'#minDung'!AP67)</f>
        <v/>
      </c>
      <c r="P68" s="1026" t="str">
        <f>IF(O68="","",'#minDung'!AQ67)</f>
        <v/>
      </c>
      <c r="Q68" s="1025"/>
      <c r="R68" s="1026" t="str">
        <f>IF(Q68="","",'#minDung'!AY67)</f>
        <v/>
      </c>
      <c r="S68" s="1026" t="str">
        <f>IF(R68="","",'#minDung'!AZ67)</f>
        <v/>
      </c>
      <c r="T68" s="1025"/>
      <c r="U68" s="1026" t="str">
        <f>IF(T68="","",'#minDung'!BH67)</f>
        <v/>
      </c>
      <c r="V68" s="1026" t="str">
        <f>IF(U68="","",'#minDung'!BI67)</f>
        <v/>
      </c>
      <c r="W68" s="1025"/>
      <c r="X68" s="1026" t="str">
        <f>IF(W68="","",'#minDung'!BQ67)</f>
        <v/>
      </c>
      <c r="Y68" s="1026" t="str">
        <f>IF(X68="","",'#minDung'!BR67)</f>
        <v/>
      </c>
      <c r="Z68" s="1025"/>
      <c r="AA68" s="1026" t="str">
        <f>IF(Z68="","",'#minDung'!BZ67)</f>
        <v/>
      </c>
      <c r="AB68" s="1026" t="str">
        <f>IF(AA68="","",'#minDung'!CA67)</f>
        <v/>
      </c>
      <c r="AC68" s="1025"/>
      <c r="AD68" s="1026" t="str">
        <f>IF(AC68="","",'#minDung'!CI67)</f>
        <v/>
      </c>
      <c r="AE68" s="1026" t="str">
        <f>IF(AD68="","",'#minDung'!CJ67)</f>
        <v/>
      </c>
      <c r="AF68" s="1025"/>
      <c r="AG68" s="1026" t="str">
        <f>IF(AF68="","",'#minDung'!CR67)</f>
        <v/>
      </c>
      <c r="AH68" s="1026" t="str">
        <f>IF(AG68="","",'#minDung'!CS67)</f>
        <v/>
      </c>
      <c r="AI68" s="1025"/>
      <c r="AJ68" s="1026" t="str">
        <f>IF(AI68="","",'#minDung'!DA67)</f>
        <v/>
      </c>
      <c r="AK68" s="1026" t="str">
        <f>IF(AJ68="","",'#minDung'!DB67)</f>
        <v/>
      </c>
      <c r="AL68" s="1025"/>
      <c r="AM68" s="1026" t="str">
        <f>IF(AL68="","",'#minDung'!DJ67)</f>
        <v/>
      </c>
      <c r="AN68" s="1026" t="str">
        <f>IF(AM68="","",'#minDung'!DK67)</f>
        <v/>
      </c>
      <c r="AO68" s="1025"/>
      <c r="AP68" s="1026" t="str">
        <f>IF(AO68="","",'#minDung'!DS67)</f>
        <v/>
      </c>
      <c r="AQ68" s="1026" t="str">
        <f>IF(AP68="","",'#minDung'!DT67)</f>
        <v/>
      </c>
      <c r="AR68" s="1025"/>
      <c r="AS68" s="1026" t="str">
        <f>IF(AR68="","",'#minDung'!EB67)</f>
        <v/>
      </c>
      <c r="AT68" s="1026" t="str">
        <f>IF(AS68="","",'#minDung'!EC67)</f>
        <v/>
      </c>
      <c r="AU68" s="1025"/>
      <c r="AV68" s="1026" t="str">
        <f>IF(AU68="","",'#minDung'!EK67)</f>
        <v/>
      </c>
      <c r="AW68" s="1026" t="str">
        <f>IF(AV68="","",'#minDung'!EL67)</f>
        <v/>
      </c>
      <c r="AX68" s="1025"/>
      <c r="AY68" s="1026" t="str">
        <f>IF(AX68="","",'#minDung'!ET67)</f>
        <v/>
      </c>
      <c r="AZ68" s="1026" t="str">
        <f>IF(AY68="","",'#minDung'!EU67)</f>
        <v/>
      </c>
      <c r="BA68" s="1025"/>
      <c r="BB68" s="1026" t="str">
        <f>IF(BA68="","",'#minDung'!FC67)</f>
        <v/>
      </c>
      <c r="BC68" s="1026" t="str">
        <f>IF(BB68="","",'#minDung'!FD67)</f>
        <v/>
      </c>
      <c r="BD68" s="1025"/>
      <c r="BE68" s="1026" t="str">
        <f>IF(BD68="","",'#minDung'!FL67)</f>
        <v/>
      </c>
      <c r="BF68" s="1026" t="str">
        <f>IF(BE68="","",'#minDung'!FM67)</f>
        <v/>
      </c>
      <c r="BG68" s="1025"/>
      <c r="BH68" s="1026" t="str">
        <f>IF(BG68="","",'#minDung'!FU67)</f>
        <v/>
      </c>
      <c r="BI68" s="1026" t="str">
        <f>IF(BH68="","",'#minDung'!FV67)</f>
        <v/>
      </c>
      <c r="BJ68" s="1025"/>
      <c r="BK68" s="1026" t="str">
        <f>IF(BJ68="","",'#minDung'!GD67)</f>
        <v/>
      </c>
      <c r="BL68" s="1026" t="str">
        <f>IF(BK68="","",'#minDung'!GE67)</f>
        <v/>
      </c>
      <c r="BM68" s="1025"/>
      <c r="BN68" s="1026" t="str">
        <f>IF(BM68="","",'#minDung'!GM67)</f>
        <v/>
      </c>
      <c r="BO68" s="1026" t="str">
        <f>IF(BN68="","",'#minDung'!GN67)</f>
        <v/>
      </c>
      <c r="BP68" s="1025"/>
      <c r="BQ68" s="1026" t="str">
        <f>IF(BP68="","",'#minDung'!GV67)</f>
        <v/>
      </c>
      <c r="BR68" s="1026" t="str">
        <f>IF(BQ68="","",'#minDung'!GW67)</f>
        <v/>
      </c>
      <c r="BS68" s="1025"/>
      <c r="BT68" s="1026" t="str">
        <f>IF(BS68="","",'#minDung'!HE67)</f>
        <v/>
      </c>
      <c r="BU68" s="1026" t="str">
        <f>IF(BT68="","",'#minDung'!HF67)</f>
        <v/>
      </c>
      <c r="BV68" s="1025"/>
      <c r="BW68" s="1026" t="str">
        <f>IF(BV68="","",'#minDung'!HN67)</f>
        <v/>
      </c>
      <c r="BX68" s="1026" t="str">
        <f>IF(BW68="","",'#minDung'!HO67)</f>
        <v/>
      </c>
      <c r="BY68" s="1025"/>
      <c r="BZ68" s="1026" t="str">
        <f>IF(BY68="","",'#minDung'!HW67)</f>
        <v/>
      </c>
      <c r="CA68" s="1026" t="str">
        <f>IF(BZ68="","",'#minDung'!HX67)</f>
        <v/>
      </c>
      <c r="CB68" s="1025"/>
      <c r="CC68" s="1026" t="str">
        <f>IF(CB68="","",'#minDung'!IF67)</f>
        <v/>
      </c>
      <c r="CD68" s="1026" t="str">
        <f>IF(CC68="","",'#minDung'!IG67)</f>
        <v/>
      </c>
      <c r="CE68" s="1025"/>
      <c r="CF68" s="1026" t="str">
        <f>IF(CE68="","",'#minDung'!IO67)</f>
        <v/>
      </c>
      <c r="CG68" s="1026" t="str">
        <f>IF(CF68="","",'#minDung'!IP67)</f>
        <v/>
      </c>
      <c r="CH68" s="1025"/>
      <c r="CI68" s="1026" t="str">
        <f>IF(CH68="","",'#minDung'!IX67)</f>
        <v/>
      </c>
      <c r="CJ68" s="1026" t="str">
        <f>IF(CI68="","",'#minDung'!IY67)</f>
        <v/>
      </c>
      <c r="CK68" s="1025"/>
      <c r="CL68" s="1026" t="str">
        <f>IF(CK68="","",'#minDung'!JG67)</f>
        <v/>
      </c>
      <c r="CM68" s="1026" t="str">
        <f>IF(CL68="","",'#minDung'!JH67)</f>
        <v/>
      </c>
      <c r="CN68" s="1025"/>
      <c r="CO68" s="1026" t="str">
        <f>IF(CN68="","",'#minDung'!JP67)</f>
        <v/>
      </c>
      <c r="CP68" s="1026" t="str">
        <f>IF(CO68="","",'#minDung'!JQ67)</f>
        <v/>
      </c>
      <c r="CQ68" s="1025"/>
      <c r="CR68" s="1026" t="str">
        <f>IF(CQ68="","",'#minDung'!JY67)</f>
        <v/>
      </c>
      <c r="CS68" s="1030" t="str">
        <f>IF(CR68="","",'#minDung'!JZ67)</f>
        <v/>
      </c>
      <c r="CT68" s="170"/>
    </row>
    <row r="69" spans="1:98" s="875" customFormat="1" ht="15" customHeight="1" x14ac:dyDescent="0.2">
      <c r="A69" s="1205">
        <f>'Flächen u. Kulturen'!A67</f>
        <v>58</v>
      </c>
      <c r="B69" s="1205" t="str">
        <f>+'org. Düngung 22'!B70</f>
        <v/>
      </c>
      <c r="C69" s="1206" t="str">
        <f>'org. Düngung 22'!C70</f>
        <v/>
      </c>
      <c r="D69" s="1197" t="str">
        <f>'org. Düngung 22'!D70</f>
        <v/>
      </c>
      <c r="E69" s="1207" t="str">
        <f>'org. Düngung 22'!E70</f>
        <v/>
      </c>
      <c r="F69" s="1199" t="str">
        <f>'org. Düngung 22'!F70</f>
        <v/>
      </c>
      <c r="G69" s="1201" t="str">
        <f>IF(C69="","",IF(COUNT('#minDung'!KF68:KJ68)=0,"OK",TRIM(CONCATENATE('#minDung'!KF68," ",'#minDung'!KG68," ",'#minDung'!KH68," ",'#minDung'!KI68," ",'#minDung'!KJ68))))</f>
        <v/>
      </c>
      <c r="H69" s="1025"/>
      <c r="I69" s="1026" t="str">
        <f>IF(H69="","",'#minDung'!X68)</f>
        <v/>
      </c>
      <c r="J69" s="1026" t="str">
        <f>IF(I69="","",'#minDung'!Y68)</f>
        <v/>
      </c>
      <c r="K69" s="1025"/>
      <c r="L69" s="1026" t="str">
        <f>IF(K69="","",'#minDung'!AG68)</f>
        <v/>
      </c>
      <c r="M69" s="1026" t="str">
        <f>IF(L69="","",'#minDung'!AH68)</f>
        <v/>
      </c>
      <c r="N69" s="1025"/>
      <c r="O69" s="1026" t="str">
        <f>IF(N69="","",'#minDung'!AP68)</f>
        <v/>
      </c>
      <c r="P69" s="1026" t="str">
        <f>IF(O69="","",'#minDung'!AQ68)</f>
        <v/>
      </c>
      <c r="Q69" s="1025"/>
      <c r="R69" s="1026" t="str">
        <f>IF(Q69="","",'#minDung'!AY68)</f>
        <v/>
      </c>
      <c r="S69" s="1026" t="str">
        <f>IF(R69="","",'#minDung'!AZ68)</f>
        <v/>
      </c>
      <c r="T69" s="1025"/>
      <c r="U69" s="1026" t="str">
        <f>IF(T69="","",'#minDung'!BH68)</f>
        <v/>
      </c>
      <c r="V69" s="1026" t="str">
        <f>IF(U69="","",'#minDung'!BI68)</f>
        <v/>
      </c>
      <c r="W69" s="1025"/>
      <c r="X69" s="1026" t="str">
        <f>IF(W69="","",'#minDung'!BQ68)</f>
        <v/>
      </c>
      <c r="Y69" s="1026" t="str">
        <f>IF(X69="","",'#minDung'!BR68)</f>
        <v/>
      </c>
      <c r="Z69" s="1025"/>
      <c r="AA69" s="1026" t="str">
        <f>IF(Z69="","",'#minDung'!BZ68)</f>
        <v/>
      </c>
      <c r="AB69" s="1026" t="str">
        <f>IF(AA69="","",'#minDung'!CA68)</f>
        <v/>
      </c>
      <c r="AC69" s="1025"/>
      <c r="AD69" s="1026" t="str">
        <f>IF(AC69="","",'#minDung'!CI68)</f>
        <v/>
      </c>
      <c r="AE69" s="1026" t="str">
        <f>IF(AD69="","",'#minDung'!CJ68)</f>
        <v/>
      </c>
      <c r="AF69" s="1025"/>
      <c r="AG69" s="1026" t="str">
        <f>IF(AF69="","",'#minDung'!CR68)</f>
        <v/>
      </c>
      <c r="AH69" s="1026" t="str">
        <f>IF(AG69="","",'#minDung'!CS68)</f>
        <v/>
      </c>
      <c r="AI69" s="1025"/>
      <c r="AJ69" s="1026" t="str">
        <f>IF(AI69="","",'#minDung'!DA68)</f>
        <v/>
      </c>
      <c r="AK69" s="1026" t="str">
        <f>IF(AJ69="","",'#minDung'!DB68)</f>
        <v/>
      </c>
      <c r="AL69" s="1025"/>
      <c r="AM69" s="1026" t="str">
        <f>IF(AL69="","",'#minDung'!DJ68)</f>
        <v/>
      </c>
      <c r="AN69" s="1026" t="str">
        <f>IF(AM69="","",'#minDung'!DK68)</f>
        <v/>
      </c>
      <c r="AO69" s="1025"/>
      <c r="AP69" s="1026" t="str">
        <f>IF(AO69="","",'#minDung'!DS68)</f>
        <v/>
      </c>
      <c r="AQ69" s="1026" t="str">
        <f>IF(AP69="","",'#minDung'!DT68)</f>
        <v/>
      </c>
      <c r="AR69" s="1025"/>
      <c r="AS69" s="1026" t="str">
        <f>IF(AR69="","",'#minDung'!EB68)</f>
        <v/>
      </c>
      <c r="AT69" s="1026" t="str">
        <f>IF(AS69="","",'#minDung'!EC68)</f>
        <v/>
      </c>
      <c r="AU69" s="1025"/>
      <c r="AV69" s="1026" t="str">
        <f>IF(AU69="","",'#minDung'!EK68)</f>
        <v/>
      </c>
      <c r="AW69" s="1026" t="str">
        <f>IF(AV69="","",'#minDung'!EL68)</f>
        <v/>
      </c>
      <c r="AX69" s="1025"/>
      <c r="AY69" s="1026" t="str">
        <f>IF(AX69="","",'#minDung'!ET68)</f>
        <v/>
      </c>
      <c r="AZ69" s="1026" t="str">
        <f>IF(AY69="","",'#minDung'!EU68)</f>
        <v/>
      </c>
      <c r="BA69" s="1025"/>
      <c r="BB69" s="1026" t="str">
        <f>IF(BA69="","",'#minDung'!FC68)</f>
        <v/>
      </c>
      <c r="BC69" s="1026" t="str">
        <f>IF(BB69="","",'#minDung'!FD68)</f>
        <v/>
      </c>
      <c r="BD69" s="1025"/>
      <c r="BE69" s="1026" t="str">
        <f>IF(BD69="","",'#minDung'!FL68)</f>
        <v/>
      </c>
      <c r="BF69" s="1026" t="str">
        <f>IF(BE69="","",'#minDung'!FM68)</f>
        <v/>
      </c>
      <c r="BG69" s="1025"/>
      <c r="BH69" s="1026" t="str">
        <f>IF(BG69="","",'#minDung'!FU68)</f>
        <v/>
      </c>
      <c r="BI69" s="1026" t="str">
        <f>IF(BH69="","",'#minDung'!FV68)</f>
        <v/>
      </c>
      <c r="BJ69" s="1025"/>
      <c r="BK69" s="1026" t="str">
        <f>IF(BJ69="","",'#minDung'!GD68)</f>
        <v/>
      </c>
      <c r="BL69" s="1026" t="str">
        <f>IF(BK69="","",'#minDung'!GE68)</f>
        <v/>
      </c>
      <c r="BM69" s="1025"/>
      <c r="BN69" s="1026" t="str">
        <f>IF(BM69="","",'#minDung'!GM68)</f>
        <v/>
      </c>
      <c r="BO69" s="1026" t="str">
        <f>IF(BN69="","",'#minDung'!GN68)</f>
        <v/>
      </c>
      <c r="BP69" s="1025"/>
      <c r="BQ69" s="1026" t="str">
        <f>IF(BP69="","",'#minDung'!GV68)</f>
        <v/>
      </c>
      <c r="BR69" s="1026" t="str">
        <f>IF(BQ69="","",'#minDung'!GW68)</f>
        <v/>
      </c>
      <c r="BS69" s="1025"/>
      <c r="BT69" s="1026" t="str">
        <f>IF(BS69="","",'#minDung'!HE68)</f>
        <v/>
      </c>
      <c r="BU69" s="1026" t="str">
        <f>IF(BT69="","",'#minDung'!HF68)</f>
        <v/>
      </c>
      <c r="BV69" s="1025"/>
      <c r="BW69" s="1026" t="str">
        <f>IF(BV69="","",'#minDung'!HN68)</f>
        <v/>
      </c>
      <c r="BX69" s="1026" t="str">
        <f>IF(BW69="","",'#minDung'!HO68)</f>
        <v/>
      </c>
      <c r="BY69" s="1025"/>
      <c r="BZ69" s="1026" t="str">
        <f>IF(BY69="","",'#minDung'!HW68)</f>
        <v/>
      </c>
      <c r="CA69" s="1026" t="str">
        <f>IF(BZ69="","",'#minDung'!HX68)</f>
        <v/>
      </c>
      <c r="CB69" s="1025"/>
      <c r="CC69" s="1026" t="str">
        <f>IF(CB69="","",'#minDung'!IF68)</f>
        <v/>
      </c>
      <c r="CD69" s="1026" t="str">
        <f>IF(CC69="","",'#minDung'!IG68)</f>
        <v/>
      </c>
      <c r="CE69" s="1025"/>
      <c r="CF69" s="1026" t="str">
        <f>IF(CE69="","",'#minDung'!IO68)</f>
        <v/>
      </c>
      <c r="CG69" s="1026" t="str">
        <f>IF(CF69="","",'#minDung'!IP68)</f>
        <v/>
      </c>
      <c r="CH69" s="1025"/>
      <c r="CI69" s="1026" t="str">
        <f>IF(CH69="","",'#minDung'!IX68)</f>
        <v/>
      </c>
      <c r="CJ69" s="1026" t="str">
        <f>IF(CI69="","",'#minDung'!IY68)</f>
        <v/>
      </c>
      <c r="CK69" s="1025"/>
      <c r="CL69" s="1026" t="str">
        <f>IF(CK69="","",'#minDung'!JG68)</f>
        <v/>
      </c>
      <c r="CM69" s="1026" t="str">
        <f>IF(CL69="","",'#minDung'!JH68)</f>
        <v/>
      </c>
      <c r="CN69" s="1025"/>
      <c r="CO69" s="1026" t="str">
        <f>IF(CN69="","",'#minDung'!JP68)</f>
        <v/>
      </c>
      <c r="CP69" s="1026" t="str">
        <f>IF(CO69="","",'#minDung'!JQ68)</f>
        <v/>
      </c>
      <c r="CQ69" s="1025"/>
      <c r="CR69" s="1026" t="str">
        <f>IF(CQ69="","",'#minDung'!JY68)</f>
        <v/>
      </c>
      <c r="CS69" s="1030" t="str">
        <f>IF(CR69="","",'#minDung'!JZ68)</f>
        <v/>
      </c>
      <c r="CT69" s="170"/>
    </row>
    <row r="70" spans="1:98" s="875" customFormat="1" ht="15" customHeight="1" x14ac:dyDescent="0.2">
      <c r="A70" s="1205">
        <f>'Flächen u. Kulturen'!A68</f>
        <v>59</v>
      </c>
      <c r="B70" s="1205" t="str">
        <f>+'org. Düngung 22'!B71</f>
        <v/>
      </c>
      <c r="C70" s="1206" t="str">
        <f>'org. Düngung 22'!C71</f>
        <v/>
      </c>
      <c r="D70" s="1197" t="str">
        <f>'org. Düngung 22'!D71</f>
        <v/>
      </c>
      <c r="E70" s="1207" t="str">
        <f>'org. Düngung 22'!E71</f>
        <v/>
      </c>
      <c r="F70" s="1199" t="str">
        <f>'org. Düngung 22'!F71</f>
        <v/>
      </c>
      <c r="G70" s="1201" t="str">
        <f>IF(C70="","",IF(COUNT('#minDung'!KF69:KJ69)=0,"OK",TRIM(CONCATENATE('#minDung'!KF69," ",'#minDung'!KG69," ",'#minDung'!KH69," ",'#minDung'!KI69," ",'#minDung'!KJ69))))</f>
        <v/>
      </c>
      <c r="H70" s="1025"/>
      <c r="I70" s="1026" t="str">
        <f>IF(H70="","",'#minDung'!X69)</f>
        <v/>
      </c>
      <c r="J70" s="1026" t="str">
        <f>IF(I70="","",'#minDung'!Y69)</f>
        <v/>
      </c>
      <c r="K70" s="1025"/>
      <c r="L70" s="1026" t="str">
        <f>IF(K70="","",'#minDung'!AG69)</f>
        <v/>
      </c>
      <c r="M70" s="1026" t="str">
        <f>IF(L70="","",'#minDung'!AH69)</f>
        <v/>
      </c>
      <c r="N70" s="1025"/>
      <c r="O70" s="1026" t="str">
        <f>IF(N70="","",'#minDung'!AP69)</f>
        <v/>
      </c>
      <c r="P70" s="1026" t="str">
        <f>IF(O70="","",'#minDung'!AQ69)</f>
        <v/>
      </c>
      <c r="Q70" s="1025"/>
      <c r="R70" s="1026" t="str">
        <f>IF(Q70="","",'#minDung'!AY69)</f>
        <v/>
      </c>
      <c r="S70" s="1026" t="str">
        <f>IF(R70="","",'#minDung'!AZ69)</f>
        <v/>
      </c>
      <c r="T70" s="1025"/>
      <c r="U70" s="1026" t="str">
        <f>IF(T70="","",'#minDung'!BH69)</f>
        <v/>
      </c>
      <c r="V70" s="1026" t="str">
        <f>IF(U70="","",'#minDung'!BI69)</f>
        <v/>
      </c>
      <c r="W70" s="1025"/>
      <c r="X70" s="1026" t="str">
        <f>IF(W70="","",'#minDung'!BQ69)</f>
        <v/>
      </c>
      <c r="Y70" s="1026" t="str">
        <f>IF(X70="","",'#minDung'!BR69)</f>
        <v/>
      </c>
      <c r="Z70" s="1025"/>
      <c r="AA70" s="1026" t="str">
        <f>IF(Z70="","",'#minDung'!BZ69)</f>
        <v/>
      </c>
      <c r="AB70" s="1026" t="str">
        <f>IF(AA70="","",'#minDung'!CA69)</f>
        <v/>
      </c>
      <c r="AC70" s="1025"/>
      <c r="AD70" s="1026" t="str">
        <f>IF(AC70="","",'#minDung'!CI69)</f>
        <v/>
      </c>
      <c r="AE70" s="1026" t="str">
        <f>IF(AD70="","",'#minDung'!CJ69)</f>
        <v/>
      </c>
      <c r="AF70" s="1025"/>
      <c r="AG70" s="1026" t="str">
        <f>IF(AF70="","",'#minDung'!CR69)</f>
        <v/>
      </c>
      <c r="AH70" s="1026" t="str">
        <f>IF(AG70="","",'#minDung'!CS69)</f>
        <v/>
      </c>
      <c r="AI70" s="1025"/>
      <c r="AJ70" s="1026" t="str">
        <f>IF(AI70="","",'#minDung'!DA69)</f>
        <v/>
      </c>
      <c r="AK70" s="1026" t="str">
        <f>IF(AJ70="","",'#minDung'!DB69)</f>
        <v/>
      </c>
      <c r="AL70" s="1025"/>
      <c r="AM70" s="1026" t="str">
        <f>IF(AL70="","",'#minDung'!DJ69)</f>
        <v/>
      </c>
      <c r="AN70" s="1026" t="str">
        <f>IF(AM70="","",'#minDung'!DK69)</f>
        <v/>
      </c>
      <c r="AO70" s="1025"/>
      <c r="AP70" s="1026" t="str">
        <f>IF(AO70="","",'#minDung'!DS69)</f>
        <v/>
      </c>
      <c r="AQ70" s="1026" t="str">
        <f>IF(AP70="","",'#minDung'!DT69)</f>
        <v/>
      </c>
      <c r="AR70" s="1025"/>
      <c r="AS70" s="1026" t="str">
        <f>IF(AR70="","",'#minDung'!EB69)</f>
        <v/>
      </c>
      <c r="AT70" s="1026" t="str">
        <f>IF(AS70="","",'#minDung'!EC69)</f>
        <v/>
      </c>
      <c r="AU70" s="1025"/>
      <c r="AV70" s="1026" t="str">
        <f>IF(AU70="","",'#minDung'!EK69)</f>
        <v/>
      </c>
      <c r="AW70" s="1026" t="str">
        <f>IF(AV70="","",'#minDung'!EL69)</f>
        <v/>
      </c>
      <c r="AX70" s="1025"/>
      <c r="AY70" s="1026" t="str">
        <f>IF(AX70="","",'#minDung'!ET69)</f>
        <v/>
      </c>
      <c r="AZ70" s="1026" t="str">
        <f>IF(AY70="","",'#minDung'!EU69)</f>
        <v/>
      </c>
      <c r="BA70" s="1025"/>
      <c r="BB70" s="1026" t="str">
        <f>IF(BA70="","",'#minDung'!FC69)</f>
        <v/>
      </c>
      <c r="BC70" s="1026" t="str">
        <f>IF(BB70="","",'#minDung'!FD69)</f>
        <v/>
      </c>
      <c r="BD70" s="1025"/>
      <c r="BE70" s="1026" t="str">
        <f>IF(BD70="","",'#minDung'!FL69)</f>
        <v/>
      </c>
      <c r="BF70" s="1026" t="str">
        <f>IF(BE70="","",'#minDung'!FM69)</f>
        <v/>
      </c>
      <c r="BG70" s="1025"/>
      <c r="BH70" s="1026" t="str">
        <f>IF(BG70="","",'#minDung'!FU69)</f>
        <v/>
      </c>
      <c r="BI70" s="1026" t="str">
        <f>IF(BH70="","",'#minDung'!FV69)</f>
        <v/>
      </c>
      <c r="BJ70" s="1025"/>
      <c r="BK70" s="1026" t="str">
        <f>IF(BJ70="","",'#minDung'!GD69)</f>
        <v/>
      </c>
      <c r="BL70" s="1026" t="str">
        <f>IF(BK70="","",'#minDung'!GE69)</f>
        <v/>
      </c>
      <c r="BM70" s="1025"/>
      <c r="BN70" s="1026" t="str">
        <f>IF(BM70="","",'#minDung'!GM69)</f>
        <v/>
      </c>
      <c r="BO70" s="1026" t="str">
        <f>IF(BN70="","",'#minDung'!GN69)</f>
        <v/>
      </c>
      <c r="BP70" s="1025"/>
      <c r="BQ70" s="1026" t="str">
        <f>IF(BP70="","",'#minDung'!GV69)</f>
        <v/>
      </c>
      <c r="BR70" s="1026" t="str">
        <f>IF(BQ70="","",'#minDung'!GW69)</f>
        <v/>
      </c>
      <c r="BS70" s="1025"/>
      <c r="BT70" s="1026" t="str">
        <f>IF(BS70="","",'#minDung'!HE69)</f>
        <v/>
      </c>
      <c r="BU70" s="1026" t="str">
        <f>IF(BT70="","",'#minDung'!HF69)</f>
        <v/>
      </c>
      <c r="BV70" s="1025"/>
      <c r="BW70" s="1026" t="str">
        <f>IF(BV70="","",'#minDung'!HN69)</f>
        <v/>
      </c>
      <c r="BX70" s="1026" t="str">
        <f>IF(BW70="","",'#minDung'!HO69)</f>
        <v/>
      </c>
      <c r="BY70" s="1025"/>
      <c r="BZ70" s="1026" t="str">
        <f>IF(BY70="","",'#minDung'!HW69)</f>
        <v/>
      </c>
      <c r="CA70" s="1026" t="str">
        <f>IF(BZ70="","",'#minDung'!HX69)</f>
        <v/>
      </c>
      <c r="CB70" s="1025"/>
      <c r="CC70" s="1026" t="str">
        <f>IF(CB70="","",'#minDung'!IF69)</f>
        <v/>
      </c>
      <c r="CD70" s="1026" t="str">
        <f>IF(CC70="","",'#minDung'!IG69)</f>
        <v/>
      </c>
      <c r="CE70" s="1025"/>
      <c r="CF70" s="1026" t="str">
        <f>IF(CE70="","",'#minDung'!IO69)</f>
        <v/>
      </c>
      <c r="CG70" s="1026" t="str">
        <f>IF(CF70="","",'#minDung'!IP69)</f>
        <v/>
      </c>
      <c r="CH70" s="1025"/>
      <c r="CI70" s="1026" t="str">
        <f>IF(CH70="","",'#minDung'!IX69)</f>
        <v/>
      </c>
      <c r="CJ70" s="1026" t="str">
        <f>IF(CI70="","",'#minDung'!IY69)</f>
        <v/>
      </c>
      <c r="CK70" s="1025"/>
      <c r="CL70" s="1026" t="str">
        <f>IF(CK70="","",'#minDung'!JG69)</f>
        <v/>
      </c>
      <c r="CM70" s="1026" t="str">
        <f>IF(CL70="","",'#minDung'!JH69)</f>
        <v/>
      </c>
      <c r="CN70" s="1025"/>
      <c r="CO70" s="1026" t="str">
        <f>IF(CN70="","",'#minDung'!JP69)</f>
        <v/>
      </c>
      <c r="CP70" s="1026" t="str">
        <f>IF(CO70="","",'#minDung'!JQ69)</f>
        <v/>
      </c>
      <c r="CQ70" s="1025"/>
      <c r="CR70" s="1026" t="str">
        <f>IF(CQ70="","",'#minDung'!JY69)</f>
        <v/>
      </c>
      <c r="CS70" s="1030" t="str">
        <f>IF(CR70="","",'#minDung'!JZ69)</f>
        <v/>
      </c>
      <c r="CT70" s="170"/>
    </row>
    <row r="71" spans="1:98" s="875" customFormat="1" ht="15" customHeight="1" x14ac:dyDescent="0.2">
      <c r="A71" s="1205">
        <f>'Flächen u. Kulturen'!A69</f>
        <v>60</v>
      </c>
      <c r="B71" s="1205" t="str">
        <f>+'org. Düngung 22'!B72</f>
        <v/>
      </c>
      <c r="C71" s="1206" t="str">
        <f>'org. Düngung 22'!C72</f>
        <v/>
      </c>
      <c r="D71" s="1197" t="str">
        <f>'org. Düngung 22'!D72</f>
        <v/>
      </c>
      <c r="E71" s="1207" t="str">
        <f>'org. Düngung 22'!E72</f>
        <v/>
      </c>
      <c r="F71" s="1199" t="str">
        <f>'org. Düngung 22'!F72</f>
        <v/>
      </c>
      <c r="G71" s="1201" t="str">
        <f>IF(C71="","",IF(COUNT('#minDung'!KF70:KJ70)=0,"OK",TRIM(CONCATENATE('#minDung'!KF70," ",'#minDung'!KG70," ",'#minDung'!KH70," ",'#minDung'!KI70," ",'#minDung'!KJ70))))</f>
        <v/>
      </c>
      <c r="H71" s="1025"/>
      <c r="I71" s="1026" t="str">
        <f>IF(H71="","",'#minDung'!X70)</f>
        <v/>
      </c>
      <c r="J71" s="1026" t="str">
        <f>IF(I71="","",'#minDung'!Y70)</f>
        <v/>
      </c>
      <c r="K71" s="1025"/>
      <c r="L71" s="1026" t="str">
        <f>IF(K71="","",'#minDung'!AG70)</f>
        <v/>
      </c>
      <c r="M71" s="1026" t="str">
        <f>IF(L71="","",'#minDung'!AH70)</f>
        <v/>
      </c>
      <c r="N71" s="1025"/>
      <c r="O71" s="1026" t="str">
        <f>IF(N71="","",'#minDung'!AP70)</f>
        <v/>
      </c>
      <c r="P71" s="1026" t="str">
        <f>IF(O71="","",'#minDung'!AQ70)</f>
        <v/>
      </c>
      <c r="Q71" s="1025"/>
      <c r="R71" s="1026" t="str">
        <f>IF(Q71="","",'#minDung'!AY70)</f>
        <v/>
      </c>
      <c r="S71" s="1026" t="str">
        <f>IF(R71="","",'#minDung'!AZ70)</f>
        <v/>
      </c>
      <c r="T71" s="1025"/>
      <c r="U71" s="1026" t="str">
        <f>IF(T71="","",'#minDung'!BH70)</f>
        <v/>
      </c>
      <c r="V71" s="1026" t="str">
        <f>IF(U71="","",'#minDung'!BI70)</f>
        <v/>
      </c>
      <c r="W71" s="1025"/>
      <c r="X71" s="1026" t="str">
        <f>IF(W71="","",'#minDung'!BQ70)</f>
        <v/>
      </c>
      <c r="Y71" s="1026" t="str">
        <f>IF(X71="","",'#minDung'!BR70)</f>
        <v/>
      </c>
      <c r="Z71" s="1025"/>
      <c r="AA71" s="1026" t="str">
        <f>IF(Z71="","",'#minDung'!BZ70)</f>
        <v/>
      </c>
      <c r="AB71" s="1026" t="str">
        <f>IF(AA71="","",'#minDung'!CA70)</f>
        <v/>
      </c>
      <c r="AC71" s="1025"/>
      <c r="AD71" s="1026" t="str">
        <f>IF(AC71="","",'#minDung'!CI70)</f>
        <v/>
      </c>
      <c r="AE71" s="1026" t="str">
        <f>IF(AD71="","",'#minDung'!CJ70)</f>
        <v/>
      </c>
      <c r="AF71" s="1025"/>
      <c r="AG71" s="1026" t="str">
        <f>IF(AF71="","",'#minDung'!CR70)</f>
        <v/>
      </c>
      <c r="AH71" s="1026" t="str">
        <f>IF(AG71="","",'#minDung'!CS70)</f>
        <v/>
      </c>
      <c r="AI71" s="1025"/>
      <c r="AJ71" s="1026" t="str">
        <f>IF(AI71="","",'#minDung'!DA70)</f>
        <v/>
      </c>
      <c r="AK71" s="1026" t="str">
        <f>IF(AJ71="","",'#minDung'!DB70)</f>
        <v/>
      </c>
      <c r="AL71" s="1025"/>
      <c r="AM71" s="1026" t="str">
        <f>IF(AL71="","",'#minDung'!DJ70)</f>
        <v/>
      </c>
      <c r="AN71" s="1026" t="str">
        <f>IF(AM71="","",'#minDung'!DK70)</f>
        <v/>
      </c>
      <c r="AO71" s="1025"/>
      <c r="AP71" s="1026" t="str">
        <f>IF(AO71="","",'#minDung'!DS70)</f>
        <v/>
      </c>
      <c r="AQ71" s="1026" t="str">
        <f>IF(AP71="","",'#minDung'!DT70)</f>
        <v/>
      </c>
      <c r="AR71" s="1025"/>
      <c r="AS71" s="1026" t="str">
        <f>IF(AR71="","",'#minDung'!EB70)</f>
        <v/>
      </c>
      <c r="AT71" s="1026" t="str">
        <f>IF(AS71="","",'#minDung'!EC70)</f>
        <v/>
      </c>
      <c r="AU71" s="1025"/>
      <c r="AV71" s="1026" t="str">
        <f>IF(AU71="","",'#minDung'!EK70)</f>
        <v/>
      </c>
      <c r="AW71" s="1026" t="str">
        <f>IF(AV71="","",'#minDung'!EL70)</f>
        <v/>
      </c>
      <c r="AX71" s="1025"/>
      <c r="AY71" s="1026" t="str">
        <f>IF(AX71="","",'#minDung'!ET70)</f>
        <v/>
      </c>
      <c r="AZ71" s="1026" t="str">
        <f>IF(AY71="","",'#minDung'!EU70)</f>
        <v/>
      </c>
      <c r="BA71" s="1025"/>
      <c r="BB71" s="1026" t="str">
        <f>IF(BA71="","",'#minDung'!FC70)</f>
        <v/>
      </c>
      <c r="BC71" s="1026" t="str">
        <f>IF(BB71="","",'#minDung'!FD70)</f>
        <v/>
      </c>
      <c r="BD71" s="1025"/>
      <c r="BE71" s="1026" t="str">
        <f>IF(BD71="","",'#minDung'!FL70)</f>
        <v/>
      </c>
      <c r="BF71" s="1026" t="str">
        <f>IF(BE71="","",'#minDung'!FM70)</f>
        <v/>
      </c>
      <c r="BG71" s="1025"/>
      <c r="BH71" s="1026" t="str">
        <f>IF(BG71="","",'#minDung'!FU70)</f>
        <v/>
      </c>
      <c r="BI71" s="1026" t="str">
        <f>IF(BH71="","",'#minDung'!FV70)</f>
        <v/>
      </c>
      <c r="BJ71" s="1025"/>
      <c r="BK71" s="1026" t="str">
        <f>IF(BJ71="","",'#minDung'!GD70)</f>
        <v/>
      </c>
      <c r="BL71" s="1026" t="str">
        <f>IF(BK71="","",'#minDung'!GE70)</f>
        <v/>
      </c>
      <c r="BM71" s="1025"/>
      <c r="BN71" s="1026" t="str">
        <f>IF(BM71="","",'#minDung'!GM70)</f>
        <v/>
      </c>
      <c r="BO71" s="1026" t="str">
        <f>IF(BN71="","",'#minDung'!GN70)</f>
        <v/>
      </c>
      <c r="BP71" s="1025"/>
      <c r="BQ71" s="1026" t="str">
        <f>IF(BP71="","",'#minDung'!GV70)</f>
        <v/>
      </c>
      <c r="BR71" s="1026" t="str">
        <f>IF(BQ71="","",'#minDung'!GW70)</f>
        <v/>
      </c>
      <c r="BS71" s="1025"/>
      <c r="BT71" s="1026" t="str">
        <f>IF(BS71="","",'#minDung'!HE70)</f>
        <v/>
      </c>
      <c r="BU71" s="1026" t="str">
        <f>IF(BT71="","",'#minDung'!HF70)</f>
        <v/>
      </c>
      <c r="BV71" s="1025"/>
      <c r="BW71" s="1026" t="str">
        <f>IF(BV71="","",'#minDung'!HN70)</f>
        <v/>
      </c>
      <c r="BX71" s="1026" t="str">
        <f>IF(BW71="","",'#minDung'!HO70)</f>
        <v/>
      </c>
      <c r="BY71" s="1025"/>
      <c r="BZ71" s="1026" t="str">
        <f>IF(BY71="","",'#minDung'!HW70)</f>
        <v/>
      </c>
      <c r="CA71" s="1026" t="str">
        <f>IF(BZ71="","",'#minDung'!HX70)</f>
        <v/>
      </c>
      <c r="CB71" s="1025"/>
      <c r="CC71" s="1026" t="str">
        <f>IF(CB71="","",'#minDung'!IF70)</f>
        <v/>
      </c>
      <c r="CD71" s="1026" t="str">
        <f>IF(CC71="","",'#minDung'!IG70)</f>
        <v/>
      </c>
      <c r="CE71" s="1025"/>
      <c r="CF71" s="1026" t="str">
        <f>IF(CE71="","",'#minDung'!IO70)</f>
        <v/>
      </c>
      <c r="CG71" s="1026" t="str">
        <f>IF(CF71="","",'#minDung'!IP70)</f>
        <v/>
      </c>
      <c r="CH71" s="1025"/>
      <c r="CI71" s="1026" t="str">
        <f>IF(CH71="","",'#minDung'!IX70)</f>
        <v/>
      </c>
      <c r="CJ71" s="1026" t="str">
        <f>IF(CI71="","",'#minDung'!IY70)</f>
        <v/>
      </c>
      <c r="CK71" s="1025"/>
      <c r="CL71" s="1026" t="str">
        <f>IF(CK71="","",'#minDung'!JG70)</f>
        <v/>
      </c>
      <c r="CM71" s="1026" t="str">
        <f>IF(CL71="","",'#minDung'!JH70)</f>
        <v/>
      </c>
      <c r="CN71" s="1025"/>
      <c r="CO71" s="1026" t="str">
        <f>IF(CN71="","",'#minDung'!JP70)</f>
        <v/>
      </c>
      <c r="CP71" s="1026" t="str">
        <f>IF(CO71="","",'#minDung'!JQ70)</f>
        <v/>
      </c>
      <c r="CQ71" s="1025"/>
      <c r="CR71" s="1026" t="str">
        <f>IF(CQ71="","",'#minDung'!JY70)</f>
        <v/>
      </c>
      <c r="CS71" s="1030" t="str">
        <f>IF(CR71="","",'#minDung'!JZ70)</f>
        <v/>
      </c>
      <c r="CT71" s="170"/>
    </row>
    <row r="72" spans="1:98" s="875" customFormat="1" ht="15" customHeight="1" x14ac:dyDescent="0.2">
      <c r="A72" s="1205">
        <f>'Flächen u. Kulturen'!A70</f>
        <v>61</v>
      </c>
      <c r="B72" s="1205" t="str">
        <f>+'org. Düngung 22'!B73</f>
        <v/>
      </c>
      <c r="C72" s="1206" t="str">
        <f>'org. Düngung 22'!C73</f>
        <v/>
      </c>
      <c r="D72" s="1197" t="str">
        <f>'org. Düngung 22'!D73</f>
        <v/>
      </c>
      <c r="E72" s="1207" t="str">
        <f>'org. Düngung 22'!E73</f>
        <v/>
      </c>
      <c r="F72" s="1199" t="str">
        <f>'org. Düngung 22'!F73</f>
        <v/>
      </c>
      <c r="G72" s="1201" t="str">
        <f>IF(C72="","",IF(COUNT('#minDung'!KF71:KJ71)=0,"OK",TRIM(CONCATENATE('#minDung'!KF71," ",'#minDung'!KG71," ",'#minDung'!KH71," ",'#minDung'!KI71," ",'#minDung'!KJ71))))</f>
        <v/>
      </c>
      <c r="H72" s="1025"/>
      <c r="I72" s="1026" t="str">
        <f>IF(H72="","",'#minDung'!X71)</f>
        <v/>
      </c>
      <c r="J72" s="1026" t="str">
        <f>IF(I72="","",'#minDung'!Y71)</f>
        <v/>
      </c>
      <c r="K72" s="1025"/>
      <c r="L72" s="1026" t="str">
        <f>IF(K72="","",'#minDung'!AG71)</f>
        <v/>
      </c>
      <c r="M72" s="1026" t="str">
        <f>IF(L72="","",'#minDung'!AH71)</f>
        <v/>
      </c>
      <c r="N72" s="1025"/>
      <c r="O72" s="1026" t="str">
        <f>IF(N72="","",'#minDung'!AP71)</f>
        <v/>
      </c>
      <c r="P72" s="1026" t="str">
        <f>IF(O72="","",'#minDung'!AQ71)</f>
        <v/>
      </c>
      <c r="Q72" s="1025"/>
      <c r="R72" s="1026" t="str">
        <f>IF(Q72="","",'#minDung'!AY71)</f>
        <v/>
      </c>
      <c r="S72" s="1026" t="str">
        <f>IF(R72="","",'#minDung'!AZ71)</f>
        <v/>
      </c>
      <c r="T72" s="1025"/>
      <c r="U72" s="1026" t="str">
        <f>IF(T72="","",'#minDung'!BH71)</f>
        <v/>
      </c>
      <c r="V72" s="1026" t="str">
        <f>IF(U72="","",'#minDung'!BI71)</f>
        <v/>
      </c>
      <c r="W72" s="1025"/>
      <c r="X72" s="1026" t="str">
        <f>IF(W72="","",'#minDung'!BQ71)</f>
        <v/>
      </c>
      <c r="Y72" s="1026" t="str">
        <f>IF(X72="","",'#minDung'!BR71)</f>
        <v/>
      </c>
      <c r="Z72" s="1025"/>
      <c r="AA72" s="1026" t="str">
        <f>IF(Z72="","",'#minDung'!BZ71)</f>
        <v/>
      </c>
      <c r="AB72" s="1026" t="str">
        <f>IF(AA72="","",'#minDung'!CA71)</f>
        <v/>
      </c>
      <c r="AC72" s="1025"/>
      <c r="AD72" s="1026" t="str">
        <f>IF(AC72="","",'#minDung'!CI71)</f>
        <v/>
      </c>
      <c r="AE72" s="1026" t="str">
        <f>IF(AD72="","",'#minDung'!CJ71)</f>
        <v/>
      </c>
      <c r="AF72" s="1025"/>
      <c r="AG72" s="1026" t="str">
        <f>IF(AF72="","",'#minDung'!CR71)</f>
        <v/>
      </c>
      <c r="AH72" s="1026" t="str">
        <f>IF(AG72="","",'#minDung'!CS71)</f>
        <v/>
      </c>
      <c r="AI72" s="1025"/>
      <c r="AJ72" s="1026" t="str">
        <f>IF(AI72="","",'#minDung'!DA71)</f>
        <v/>
      </c>
      <c r="AK72" s="1026" t="str">
        <f>IF(AJ72="","",'#minDung'!DB71)</f>
        <v/>
      </c>
      <c r="AL72" s="1025"/>
      <c r="AM72" s="1026" t="str">
        <f>IF(AL72="","",'#minDung'!DJ71)</f>
        <v/>
      </c>
      <c r="AN72" s="1026" t="str">
        <f>IF(AM72="","",'#minDung'!DK71)</f>
        <v/>
      </c>
      <c r="AO72" s="1025"/>
      <c r="AP72" s="1026" t="str">
        <f>IF(AO72="","",'#minDung'!DS71)</f>
        <v/>
      </c>
      <c r="AQ72" s="1026" t="str">
        <f>IF(AP72="","",'#minDung'!DT71)</f>
        <v/>
      </c>
      <c r="AR72" s="1025"/>
      <c r="AS72" s="1026" t="str">
        <f>IF(AR72="","",'#minDung'!EB71)</f>
        <v/>
      </c>
      <c r="AT72" s="1026" t="str">
        <f>IF(AS72="","",'#minDung'!EC71)</f>
        <v/>
      </c>
      <c r="AU72" s="1025"/>
      <c r="AV72" s="1026" t="str">
        <f>IF(AU72="","",'#minDung'!EK71)</f>
        <v/>
      </c>
      <c r="AW72" s="1026" t="str">
        <f>IF(AV72="","",'#minDung'!EL71)</f>
        <v/>
      </c>
      <c r="AX72" s="1025"/>
      <c r="AY72" s="1026" t="str">
        <f>IF(AX72="","",'#minDung'!ET71)</f>
        <v/>
      </c>
      <c r="AZ72" s="1026" t="str">
        <f>IF(AY72="","",'#minDung'!EU71)</f>
        <v/>
      </c>
      <c r="BA72" s="1025"/>
      <c r="BB72" s="1026" t="str">
        <f>IF(BA72="","",'#minDung'!FC71)</f>
        <v/>
      </c>
      <c r="BC72" s="1026" t="str">
        <f>IF(BB72="","",'#minDung'!FD71)</f>
        <v/>
      </c>
      <c r="BD72" s="1025"/>
      <c r="BE72" s="1026" t="str">
        <f>IF(BD72="","",'#minDung'!FL71)</f>
        <v/>
      </c>
      <c r="BF72" s="1026" t="str">
        <f>IF(BE72="","",'#minDung'!FM71)</f>
        <v/>
      </c>
      <c r="BG72" s="1025"/>
      <c r="BH72" s="1026" t="str">
        <f>IF(BG72="","",'#minDung'!FU71)</f>
        <v/>
      </c>
      <c r="BI72" s="1026" t="str">
        <f>IF(BH72="","",'#minDung'!FV71)</f>
        <v/>
      </c>
      <c r="BJ72" s="1025"/>
      <c r="BK72" s="1026" t="str">
        <f>IF(BJ72="","",'#minDung'!GD71)</f>
        <v/>
      </c>
      <c r="BL72" s="1026" t="str">
        <f>IF(BK72="","",'#minDung'!GE71)</f>
        <v/>
      </c>
      <c r="BM72" s="1025"/>
      <c r="BN72" s="1026" t="str">
        <f>IF(BM72="","",'#minDung'!GM71)</f>
        <v/>
      </c>
      <c r="BO72" s="1026" t="str">
        <f>IF(BN72="","",'#minDung'!GN71)</f>
        <v/>
      </c>
      <c r="BP72" s="1025"/>
      <c r="BQ72" s="1026" t="str">
        <f>IF(BP72="","",'#minDung'!GV71)</f>
        <v/>
      </c>
      <c r="BR72" s="1026" t="str">
        <f>IF(BQ72="","",'#minDung'!GW71)</f>
        <v/>
      </c>
      <c r="BS72" s="1025"/>
      <c r="BT72" s="1026" t="str">
        <f>IF(BS72="","",'#minDung'!HE71)</f>
        <v/>
      </c>
      <c r="BU72" s="1026" t="str">
        <f>IF(BT72="","",'#minDung'!HF71)</f>
        <v/>
      </c>
      <c r="BV72" s="1025"/>
      <c r="BW72" s="1026" t="str">
        <f>IF(BV72="","",'#minDung'!HN71)</f>
        <v/>
      </c>
      <c r="BX72" s="1026" t="str">
        <f>IF(BW72="","",'#minDung'!HO71)</f>
        <v/>
      </c>
      <c r="BY72" s="1025"/>
      <c r="BZ72" s="1026" t="str">
        <f>IF(BY72="","",'#minDung'!HW71)</f>
        <v/>
      </c>
      <c r="CA72" s="1026" t="str">
        <f>IF(BZ72="","",'#minDung'!HX71)</f>
        <v/>
      </c>
      <c r="CB72" s="1025"/>
      <c r="CC72" s="1026" t="str">
        <f>IF(CB72="","",'#minDung'!IF71)</f>
        <v/>
      </c>
      <c r="CD72" s="1026" t="str">
        <f>IF(CC72="","",'#minDung'!IG71)</f>
        <v/>
      </c>
      <c r="CE72" s="1025"/>
      <c r="CF72" s="1026" t="str">
        <f>IF(CE72="","",'#minDung'!IO71)</f>
        <v/>
      </c>
      <c r="CG72" s="1026" t="str">
        <f>IF(CF72="","",'#minDung'!IP71)</f>
        <v/>
      </c>
      <c r="CH72" s="1025"/>
      <c r="CI72" s="1026" t="str">
        <f>IF(CH72="","",'#minDung'!IX71)</f>
        <v/>
      </c>
      <c r="CJ72" s="1026" t="str">
        <f>IF(CI72="","",'#minDung'!IY71)</f>
        <v/>
      </c>
      <c r="CK72" s="1025"/>
      <c r="CL72" s="1026" t="str">
        <f>IF(CK72="","",'#minDung'!JG71)</f>
        <v/>
      </c>
      <c r="CM72" s="1026" t="str">
        <f>IF(CL72="","",'#minDung'!JH71)</f>
        <v/>
      </c>
      <c r="CN72" s="1025"/>
      <c r="CO72" s="1026" t="str">
        <f>IF(CN72="","",'#minDung'!JP71)</f>
        <v/>
      </c>
      <c r="CP72" s="1026" t="str">
        <f>IF(CO72="","",'#minDung'!JQ71)</f>
        <v/>
      </c>
      <c r="CQ72" s="1025"/>
      <c r="CR72" s="1026" t="str">
        <f>IF(CQ72="","",'#minDung'!JY71)</f>
        <v/>
      </c>
      <c r="CS72" s="1030" t="str">
        <f>IF(CR72="","",'#minDung'!JZ71)</f>
        <v/>
      </c>
      <c r="CT72" s="170"/>
    </row>
    <row r="73" spans="1:98" s="875" customFormat="1" ht="15" customHeight="1" x14ac:dyDescent="0.2">
      <c r="A73" s="1205">
        <f>'Flächen u. Kulturen'!A71</f>
        <v>62</v>
      </c>
      <c r="B73" s="1205" t="str">
        <f>+'org. Düngung 22'!B74</f>
        <v/>
      </c>
      <c r="C73" s="1206" t="str">
        <f>'org. Düngung 22'!C74</f>
        <v/>
      </c>
      <c r="D73" s="1197" t="str">
        <f>'org. Düngung 22'!D74</f>
        <v/>
      </c>
      <c r="E73" s="1207" t="str">
        <f>'org. Düngung 22'!E74</f>
        <v/>
      </c>
      <c r="F73" s="1199" t="str">
        <f>'org. Düngung 22'!F74</f>
        <v/>
      </c>
      <c r="G73" s="1201" t="str">
        <f>IF(C73="","",IF(COUNT('#minDung'!KF72:KJ72)=0,"OK",TRIM(CONCATENATE('#minDung'!KF72," ",'#minDung'!KG72," ",'#minDung'!KH72," ",'#minDung'!KI72," ",'#minDung'!KJ72))))</f>
        <v/>
      </c>
      <c r="H73" s="1025"/>
      <c r="I73" s="1026" t="str">
        <f>IF(H73="","",'#minDung'!X72)</f>
        <v/>
      </c>
      <c r="J73" s="1026" t="str">
        <f>IF(I73="","",'#minDung'!Y72)</f>
        <v/>
      </c>
      <c r="K73" s="1025"/>
      <c r="L73" s="1026" t="str">
        <f>IF(K73="","",'#minDung'!AG72)</f>
        <v/>
      </c>
      <c r="M73" s="1026" t="str">
        <f>IF(L73="","",'#minDung'!AH72)</f>
        <v/>
      </c>
      <c r="N73" s="1025"/>
      <c r="O73" s="1026" t="str">
        <f>IF(N73="","",'#minDung'!AP72)</f>
        <v/>
      </c>
      <c r="P73" s="1026" t="str">
        <f>IF(O73="","",'#minDung'!AQ72)</f>
        <v/>
      </c>
      <c r="Q73" s="1025"/>
      <c r="R73" s="1026" t="str">
        <f>IF(Q73="","",'#minDung'!AY72)</f>
        <v/>
      </c>
      <c r="S73" s="1026" t="str">
        <f>IF(R73="","",'#minDung'!AZ72)</f>
        <v/>
      </c>
      <c r="T73" s="1025"/>
      <c r="U73" s="1026" t="str">
        <f>IF(T73="","",'#minDung'!BH72)</f>
        <v/>
      </c>
      <c r="V73" s="1026" t="str">
        <f>IF(U73="","",'#minDung'!BI72)</f>
        <v/>
      </c>
      <c r="W73" s="1025"/>
      <c r="X73" s="1026" t="str">
        <f>IF(W73="","",'#minDung'!BQ72)</f>
        <v/>
      </c>
      <c r="Y73" s="1026" t="str">
        <f>IF(X73="","",'#minDung'!BR72)</f>
        <v/>
      </c>
      <c r="Z73" s="1025"/>
      <c r="AA73" s="1026" t="str">
        <f>IF(Z73="","",'#minDung'!BZ72)</f>
        <v/>
      </c>
      <c r="AB73" s="1026" t="str">
        <f>IF(AA73="","",'#minDung'!CA72)</f>
        <v/>
      </c>
      <c r="AC73" s="1025"/>
      <c r="AD73" s="1026" t="str">
        <f>IF(AC73="","",'#minDung'!CI72)</f>
        <v/>
      </c>
      <c r="AE73" s="1026" t="str">
        <f>IF(AD73="","",'#minDung'!CJ72)</f>
        <v/>
      </c>
      <c r="AF73" s="1025"/>
      <c r="AG73" s="1026" t="str">
        <f>IF(AF73="","",'#minDung'!CR72)</f>
        <v/>
      </c>
      <c r="AH73" s="1026" t="str">
        <f>IF(AG73="","",'#minDung'!CS72)</f>
        <v/>
      </c>
      <c r="AI73" s="1025"/>
      <c r="AJ73" s="1026" t="str">
        <f>IF(AI73="","",'#minDung'!DA72)</f>
        <v/>
      </c>
      <c r="AK73" s="1026" t="str">
        <f>IF(AJ73="","",'#minDung'!DB72)</f>
        <v/>
      </c>
      <c r="AL73" s="1025"/>
      <c r="AM73" s="1026" t="str">
        <f>IF(AL73="","",'#minDung'!DJ72)</f>
        <v/>
      </c>
      <c r="AN73" s="1026" t="str">
        <f>IF(AM73="","",'#minDung'!DK72)</f>
        <v/>
      </c>
      <c r="AO73" s="1025"/>
      <c r="AP73" s="1026" t="str">
        <f>IF(AO73="","",'#minDung'!DS72)</f>
        <v/>
      </c>
      <c r="AQ73" s="1026" t="str">
        <f>IF(AP73="","",'#minDung'!DT72)</f>
        <v/>
      </c>
      <c r="AR73" s="1025"/>
      <c r="AS73" s="1026" t="str">
        <f>IF(AR73="","",'#minDung'!EB72)</f>
        <v/>
      </c>
      <c r="AT73" s="1026" t="str">
        <f>IF(AS73="","",'#minDung'!EC72)</f>
        <v/>
      </c>
      <c r="AU73" s="1025"/>
      <c r="AV73" s="1026" t="str">
        <f>IF(AU73="","",'#minDung'!EK72)</f>
        <v/>
      </c>
      <c r="AW73" s="1026" t="str">
        <f>IF(AV73="","",'#minDung'!EL72)</f>
        <v/>
      </c>
      <c r="AX73" s="1025"/>
      <c r="AY73" s="1026" t="str">
        <f>IF(AX73="","",'#minDung'!ET72)</f>
        <v/>
      </c>
      <c r="AZ73" s="1026" t="str">
        <f>IF(AY73="","",'#minDung'!EU72)</f>
        <v/>
      </c>
      <c r="BA73" s="1025"/>
      <c r="BB73" s="1026" t="str">
        <f>IF(BA73="","",'#minDung'!FC72)</f>
        <v/>
      </c>
      <c r="BC73" s="1026" t="str">
        <f>IF(BB73="","",'#minDung'!FD72)</f>
        <v/>
      </c>
      <c r="BD73" s="1025"/>
      <c r="BE73" s="1026" t="str">
        <f>IF(BD73="","",'#minDung'!FL72)</f>
        <v/>
      </c>
      <c r="BF73" s="1026" t="str">
        <f>IF(BE73="","",'#minDung'!FM72)</f>
        <v/>
      </c>
      <c r="BG73" s="1025"/>
      <c r="BH73" s="1026" t="str">
        <f>IF(BG73="","",'#minDung'!FU72)</f>
        <v/>
      </c>
      <c r="BI73" s="1026" t="str">
        <f>IF(BH73="","",'#minDung'!FV72)</f>
        <v/>
      </c>
      <c r="BJ73" s="1025"/>
      <c r="BK73" s="1026" t="str">
        <f>IF(BJ73="","",'#minDung'!GD72)</f>
        <v/>
      </c>
      <c r="BL73" s="1026" t="str">
        <f>IF(BK73="","",'#minDung'!GE72)</f>
        <v/>
      </c>
      <c r="BM73" s="1025"/>
      <c r="BN73" s="1026" t="str">
        <f>IF(BM73="","",'#minDung'!GM72)</f>
        <v/>
      </c>
      <c r="BO73" s="1026" t="str">
        <f>IF(BN73="","",'#minDung'!GN72)</f>
        <v/>
      </c>
      <c r="BP73" s="1025"/>
      <c r="BQ73" s="1026" t="str">
        <f>IF(BP73="","",'#minDung'!GV72)</f>
        <v/>
      </c>
      <c r="BR73" s="1026" t="str">
        <f>IF(BQ73="","",'#minDung'!GW72)</f>
        <v/>
      </c>
      <c r="BS73" s="1025"/>
      <c r="BT73" s="1026" t="str">
        <f>IF(BS73="","",'#minDung'!HE72)</f>
        <v/>
      </c>
      <c r="BU73" s="1026" t="str">
        <f>IF(BT73="","",'#minDung'!HF72)</f>
        <v/>
      </c>
      <c r="BV73" s="1025"/>
      <c r="BW73" s="1026" t="str">
        <f>IF(BV73="","",'#minDung'!HN72)</f>
        <v/>
      </c>
      <c r="BX73" s="1026" t="str">
        <f>IF(BW73="","",'#minDung'!HO72)</f>
        <v/>
      </c>
      <c r="BY73" s="1025"/>
      <c r="BZ73" s="1026" t="str">
        <f>IF(BY73="","",'#minDung'!HW72)</f>
        <v/>
      </c>
      <c r="CA73" s="1026" t="str">
        <f>IF(BZ73="","",'#minDung'!HX72)</f>
        <v/>
      </c>
      <c r="CB73" s="1025"/>
      <c r="CC73" s="1026" t="str">
        <f>IF(CB73="","",'#minDung'!IF72)</f>
        <v/>
      </c>
      <c r="CD73" s="1026" t="str">
        <f>IF(CC73="","",'#minDung'!IG72)</f>
        <v/>
      </c>
      <c r="CE73" s="1025"/>
      <c r="CF73" s="1026" t="str">
        <f>IF(CE73="","",'#minDung'!IO72)</f>
        <v/>
      </c>
      <c r="CG73" s="1026" t="str">
        <f>IF(CF73="","",'#minDung'!IP72)</f>
        <v/>
      </c>
      <c r="CH73" s="1025"/>
      <c r="CI73" s="1026" t="str">
        <f>IF(CH73="","",'#minDung'!IX72)</f>
        <v/>
      </c>
      <c r="CJ73" s="1026" t="str">
        <f>IF(CI73="","",'#minDung'!IY72)</f>
        <v/>
      </c>
      <c r="CK73" s="1025"/>
      <c r="CL73" s="1026" t="str">
        <f>IF(CK73="","",'#minDung'!JG72)</f>
        <v/>
      </c>
      <c r="CM73" s="1026" t="str">
        <f>IF(CL73="","",'#minDung'!JH72)</f>
        <v/>
      </c>
      <c r="CN73" s="1025"/>
      <c r="CO73" s="1026" t="str">
        <f>IF(CN73="","",'#minDung'!JP72)</f>
        <v/>
      </c>
      <c r="CP73" s="1026" t="str">
        <f>IF(CO73="","",'#minDung'!JQ72)</f>
        <v/>
      </c>
      <c r="CQ73" s="1025"/>
      <c r="CR73" s="1026" t="str">
        <f>IF(CQ73="","",'#minDung'!JY72)</f>
        <v/>
      </c>
      <c r="CS73" s="1030" t="str">
        <f>IF(CR73="","",'#minDung'!JZ72)</f>
        <v/>
      </c>
      <c r="CT73" s="170"/>
    </row>
    <row r="74" spans="1:98" s="875" customFormat="1" ht="15" customHeight="1" x14ac:dyDescent="0.2">
      <c r="A74" s="1205">
        <f>'Flächen u. Kulturen'!A72</f>
        <v>63</v>
      </c>
      <c r="B74" s="1205" t="str">
        <f>+'org. Düngung 22'!B75</f>
        <v/>
      </c>
      <c r="C74" s="1206" t="str">
        <f>'org. Düngung 22'!C75</f>
        <v/>
      </c>
      <c r="D74" s="1197" t="str">
        <f>'org. Düngung 22'!D75</f>
        <v/>
      </c>
      <c r="E74" s="1207" t="str">
        <f>'org. Düngung 22'!E75</f>
        <v/>
      </c>
      <c r="F74" s="1199" t="str">
        <f>'org. Düngung 22'!F75</f>
        <v/>
      </c>
      <c r="G74" s="1201" t="str">
        <f>IF(C74="","",IF(COUNT('#minDung'!KF73:KJ73)=0,"OK",TRIM(CONCATENATE('#minDung'!KF73," ",'#minDung'!KG73," ",'#minDung'!KH73," ",'#minDung'!KI73," ",'#minDung'!KJ73))))</f>
        <v/>
      </c>
      <c r="H74" s="1025"/>
      <c r="I74" s="1026" t="str">
        <f>IF(H74="","",'#minDung'!X73)</f>
        <v/>
      </c>
      <c r="J74" s="1026" t="str">
        <f>IF(I74="","",'#minDung'!Y73)</f>
        <v/>
      </c>
      <c r="K74" s="1025"/>
      <c r="L74" s="1026" t="str">
        <f>IF(K74="","",'#minDung'!AG73)</f>
        <v/>
      </c>
      <c r="M74" s="1026" t="str">
        <f>IF(L74="","",'#minDung'!AH73)</f>
        <v/>
      </c>
      <c r="N74" s="1025"/>
      <c r="O74" s="1026" t="str">
        <f>IF(N74="","",'#minDung'!AP73)</f>
        <v/>
      </c>
      <c r="P74" s="1026" t="str">
        <f>IF(O74="","",'#minDung'!AQ73)</f>
        <v/>
      </c>
      <c r="Q74" s="1025"/>
      <c r="R74" s="1026" t="str">
        <f>IF(Q74="","",'#minDung'!AY73)</f>
        <v/>
      </c>
      <c r="S74" s="1026" t="str">
        <f>IF(R74="","",'#minDung'!AZ73)</f>
        <v/>
      </c>
      <c r="T74" s="1025"/>
      <c r="U74" s="1026" t="str">
        <f>IF(T74="","",'#minDung'!BH73)</f>
        <v/>
      </c>
      <c r="V74" s="1026" t="str">
        <f>IF(U74="","",'#minDung'!BI73)</f>
        <v/>
      </c>
      <c r="W74" s="1025"/>
      <c r="X74" s="1026" t="str">
        <f>IF(W74="","",'#minDung'!BQ73)</f>
        <v/>
      </c>
      <c r="Y74" s="1026" t="str">
        <f>IF(X74="","",'#minDung'!BR73)</f>
        <v/>
      </c>
      <c r="Z74" s="1025"/>
      <c r="AA74" s="1026" t="str">
        <f>IF(Z74="","",'#minDung'!BZ73)</f>
        <v/>
      </c>
      <c r="AB74" s="1026" t="str">
        <f>IF(AA74="","",'#minDung'!CA73)</f>
        <v/>
      </c>
      <c r="AC74" s="1025"/>
      <c r="AD74" s="1026" t="str">
        <f>IF(AC74="","",'#minDung'!CI73)</f>
        <v/>
      </c>
      <c r="AE74" s="1026" t="str">
        <f>IF(AD74="","",'#minDung'!CJ73)</f>
        <v/>
      </c>
      <c r="AF74" s="1025"/>
      <c r="AG74" s="1026" t="str">
        <f>IF(AF74="","",'#minDung'!CR73)</f>
        <v/>
      </c>
      <c r="AH74" s="1026" t="str">
        <f>IF(AG74="","",'#minDung'!CS73)</f>
        <v/>
      </c>
      <c r="AI74" s="1025"/>
      <c r="AJ74" s="1026" t="str">
        <f>IF(AI74="","",'#minDung'!DA73)</f>
        <v/>
      </c>
      <c r="AK74" s="1026" t="str">
        <f>IF(AJ74="","",'#minDung'!DB73)</f>
        <v/>
      </c>
      <c r="AL74" s="1025"/>
      <c r="AM74" s="1026" t="str">
        <f>IF(AL74="","",'#minDung'!DJ73)</f>
        <v/>
      </c>
      <c r="AN74" s="1026" t="str">
        <f>IF(AM74="","",'#minDung'!DK73)</f>
        <v/>
      </c>
      <c r="AO74" s="1025"/>
      <c r="AP74" s="1026" t="str">
        <f>IF(AO74="","",'#minDung'!DS73)</f>
        <v/>
      </c>
      <c r="AQ74" s="1026" t="str">
        <f>IF(AP74="","",'#minDung'!DT73)</f>
        <v/>
      </c>
      <c r="AR74" s="1025"/>
      <c r="AS74" s="1026" t="str">
        <f>IF(AR74="","",'#minDung'!EB73)</f>
        <v/>
      </c>
      <c r="AT74" s="1026" t="str">
        <f>IF(AS74="","",'#minDung'!EC73)</f>
        <v/>
      </c>
      <c r="AU74" s="1025"/>
      <c r="AV74" s="1026" t="str">
        <f>IF(AU74="","",'#minDung'!EK73)</f>
        <v/>
      </c>
      <c r="AW74" s="1026" t="str">
        <f>IF(AV74="","",'#minDung'!EL73)</f>
        <v/>
      </c>
      <c r="AX74" s="1025"/>
      <c r="AY74" s="1026" t="str">
        <f>IF(AX74="","",'#minDung'!ET73)</f>
        <v/>
      </c>
      <c r="AZ74" s="1026" t="str">
        <f>IF(AY74="","",'#minDung'!EU73)</f>
        <v/>
      </c>
      <c r="BA74" s="1025"/>
      <c r="BB74" s="1026" t="str">
        <f>IF(BA74="","",'#minDung'!FC73)</f>
        <v/>
      </c>
      <c r="BC74" s="1026" t="str">
        <f>IF(BB74="","",'#minDung'!FD73)</f>
        <v/>
      </c>
      <c r="BD74" s="1025"/>
      <c r="BE74" s="1026" t="str">
        <f>IF(BD74="","",'#minDung'!FL73)</f>
        <v/>
      </c>
      <c r="BF74" s="1026" t="str">
        <f>IF(BE74="","",'#minDung'!FM73)</f>
        <v/>
      </c>
      <c r="BG74" s="1025"/>
      <c r="BH74" s="1026" t="str">
        <f>IF(BG74="","",'#minDung'!FU73)</f>
        <v/>
      </c>
      <c r="BI74" s="1026" t="str">
        <f>IF(BH74="","",'#minDung'!FV73)</f>
        <v/>
      </c>
      <c r="BJ74" s="1025"/>
      <c r="BK74" s="1026" t="str">
        <f>IF(BJ74="","",'#minDung'!GD73)</f>
        <v/>
      </c>
      <c r="BL74" s="1026" t="str">
        <f>IF(BK74="","",'#minDung'!GE73)</f>
        <v/>
      </c>
      <c r="BM74" s="1025"/>
      <c r="BN74" s="1026" t="str">
        <f>IF(BM74="","",'#minDung'!GM73)</f>
        <v/>
      </c>
      <c r="BO74" s="1026" t="str">
        <f>IF(BN74="","",'#minDung'!GN73)</f>
        <v/>
      </c>
      <c r="BP74" s="1025"/>
      <c r="BQ74" s="1026" t="str">
        <f>IF(BP74="","",'#minDung'!GV73)</f>
        <v/>
      </c>
      <c r="BR74" s="1026" t="str">
        <f>IF(BQ74="","",'#minDung'!GW73)</f>
        <v/>
      </c>
      <c r="BS74" s="1025"/>
      <c r="BT74" s="1026" t="str">
        <f>IF(BS74="","",'#minDung'!HE73)</f>
        <v/>
      </c>
      <c r="BU74" s="1026" t="str">
        <f>IF(BT74="","",'#minDung'!HF73)</f>
        <v/>
      </c>
      <c r="BV74" s="1025"/>
      <c r="BW74" s="1026" t="str">
        <f>IF(BV74="","",'#minDung'!HN73)</f>
        <v/>
      </c>
      <c r="BX74" s="1026" t="str">
        <f>IF(BW74="","",'#minDung'!HO73)</f>
        <v/>
      </c>
      <c r="BY74" s="1025"/>
      <c r="BZ74" s="1026" t="str">
        <f>IF(BY74="","",'#minDung'!HW73)</f>
        <v/>
      </c>
      <c r="CA74" s="1026" t="str">
        <f>IF(BZ74="","",'#minDung'!HX73)</f>
        <v/>
      </c>
      <c r="CB74" s="1025"/>
      <c r="CC74" s="1026" t="str">
        <f>IF(CB74="","",'#minDung'!IF73)</f>
        <v/>
      </c>
      <c r="CD74" s="1026" t="str">
        <f>IF(CC74="","",'#minDung'!IG73)</f>
        <v/>
      </c>
      <c r="CE74" s="1025"/>
      <c r="CF74" s="1026" t="str">
        <f>IF(CE74="","",'#minDung'!IO73)</f>
        <v/>
      </c>
      <c r="CG74" s="1026" t="str">
        <f>IF(CF74="","",'#minDung'!IP73)</f>
        <v/>
      </c>
      <c r="CH74" s="1025"/>
      <c r="CI74" s="1026" t="str">
        <f>IF(CH74="","",'#minDung'!IX73)</f>
        <v/>
      </c>
      <c r="CJ74" s="1026" t="str">
        <f>IF(CI74="","",'#minDung'!IY73)</f>
        <v/>
      </c>
      <c r="CK74" s="1025"/>
      <c r="CL74" s="1026" t="str">
        <f>IF(CK74="","",'#minDung'!JG73)</f>
        <v/>
      </c>
      <c r="CM74" s="1026" t="str">
        <f>IF(CL74="","",'#minDung'!JH73)</f>
        <v/>
      </c>
      <c r="CN74" s="1025"/>
      <c r="CO74" s="1026" t="str">
        <f>IF(CN74="","",'#minDung'!JP73)</f>
        <v/>
      </c>
      <c r="CP74" s="1026" t="str">
        <f>IF(CO74="","",'#minDung'!JQ73)</f>
        <v/>
      </c>
      <c r="CQ74" s="1025"/>
      <c r="CR74" s="1026" t="str">
        <f>IF(CQ74="","",'#minDung'!JY73)</f>
        <v/>
      </c>
      <c r="CS74" s="1030" t="str">
        <f>IF(CR74="","",'#minDung'!JZ73)</f>
        <v/>
      </c>
      <c r="CT74" s="170"/>
    </row>
    <row r="75" spans="1:98" s="875" customFormat="1" ht="15" customHeight="1" x14ac:dyDescent="0.2">
      <c r="A75" s="1205">
        <f>'Flächen u. Kulturen'!A73</f>
        <v>64</v>
      </c>
      <c r="B75" s="1205" t="str">
        <f>+'org. Düngung 22'!B76</f>
        <v/>
      </c>
      <c r="C75" s="1206" t="str">
        <f>'org. Düngung 22'!C76</f>
        <v/>
      </c>
      <c r="D75" s="1197" t="str">
        <f>'org. Düngung 22'!D76</f>
        <v/>
      </c>
      <c r="E75" s="1207" t="str">
        <f>'org. Düngung 22'!E76</f>
        <v/>
      </c>
      <c r="F75" s="1199" t="str">
        <f>'org. Düngung 22'!F76</f>
        <v/>
      </c>
      <c r="G75" s="1201" t="str">
        <f>IF(C75="","",IF(COUNT('#minDung'!KF74:KJ74)=0,"OK",TRIM(CONCATENATE('#minDung'!KF74," ",'#minDung'!KG74," ",'#minDung'!KH74," ",'#minDung'!KI74," ",'#minDung'!KJ74))))</f>
        <v/>
      </c>
      <c r="H75" s="1025"/>
      <c r="I75" s="1026" t="str">
        <f>IF(H75="","",'#minDung'!X74)</f>
        <v/>
      </c>
      <c r="J75" s="1026" t="str">
        <f>IF(I75="","",'#minDung'!Y74)</f>
        <v/>
      </c>
      <c r="K75" s="1025"/>
      <c r="L75" s="1026" t="str">
        <f>IF(K75="","",'#minDung'!AG74)</f>
        <v/>
      </c>
      <c r="M75" s="1026" t="str">
        <f>IF(L75="","",'#minDung'!AH74)</f>
        <v/>
      </c>
      <c r="N75" s="1025"/>
      <c r="O75" s="1026" t="str">
        <f>IF(N75="","",'#minDung'!AP74)</f>
        <v/>
      </c>
      <c r="P75" s="1026" t="str">
        <f>IF(O75="","",'#minDung'!AQ74)</f>
        <v/>
      </c>
      <c r="Q75" s="1025"/>
      <c r="R75" s="1026" t="str">
        <f>IF(Q75="","",'#minDung'!AY74)</f>
        <v/>
      </c>
      <c r="S75" s="1026" t="str">
        <f>IF(R75="","",'#minDung'!AZ74)</f>
        <v/>
      </c>
      <c r="T75" s="1025"/>
      <c r="U75" s="1026" t="str">
        <f>IF(T75="","",'#minDung'!BH74)</f>
        <v/>
      </c>
      <c r="V75" s="1026" t="str">
        <f>IF(U75="","",'#minDung'!BI74)</f>
        <v/>
      </c>
      <c r="W75" s="1025"/>
      <c r="X75" s="1026" t="str">
        <f>IF(W75="","",'#minDung'!BQ74)</f>
        <v/>
      </c>
      <c r="Y75" s="1026" t="str">
        <f>IF(X75="","",'#minDung'!BR74)</f>
        <v/>
      </c>
      <c r="Z75" s="1025"/>
      <c r="AA75" s="1026" t="str">
        <f>IF(Z75="","",'#minDung'!BZ74)</f>
        <v/>
      </c>
      <c r="AB75" s="1026" t="str">
        <f>IF(AA75="","",'#minDung'!CA74)</f>
        <v/>
      </c>
      <c r="AC75" s="1025"/>
      <c r="AD75" s="1026" t="str">
        <f>IF(AC75="","",'#minDung'!CI74)</f>
        <v/>
      </c>
      <c r="AE75" s="1026" t="str">
        <f>IF(AD75="","",'#minDung'!CJ74)</f>
        <v/>
      </c>
      <c r="AF75" s="1025"/>
      <c r="AG75" s="1026" t="str">
        <f>IF(AF75="","",'#minDung'!CR74)</f>
        <v/>
      </c>
      <c r="AH75" s="1026" t="str">
        <f>IF(AG75="","",'#minDung'!CS74)</f>
        <v/>
      </c>
      <c r="AI75" s="1025"/>
      <c r="AJ75" s="1026" t="str">
        <f>IF(AI75="","",'#minDung'!DA74)</f>
        <v/>
      </c>
      <c r="AK75" s="1026" t="str">
        <f>IF(AJ75="","",'#minDung'!DB74)</f>
        <v/>
      </c>
      <c r="AL75" s="1025"/>
      <c r="AM75" s="1026" t="str">
        <f>IF(AL75="","",'#minDung'!DJ74)</f>
        <v/>
      </c>
      <c r="AN75" s="1026" t="str">
        <f>IF(AM75="","",'#minDung'!DK74)</f>
        <v/>
      </c>
      <c r="AO75" s="1025"/>
      <c r="AP75" s="1026" t="str">
        <f>IF(AO75="","",'#minDung'!DS74)</f>
        <v/>
      </c>
      <c r="AQ75" s="1026" t="str">
        <f>IF(AP75="","",'#minDung'!DT74)</f>
        <v/>
      </c>
      <c r="AR75" s="1025"/>
      <c r="AS75" s="1026" t="str">
        <f>IF(AR75="","",'#minDung'!EB74)</f>
        <v/>
      </c>
      <c r="AT75" s="1026" t="str">
        <f>IF(AS75="","",'#minDung'!EC74)</f>
        <v/>
      </c>
      <c r="AU75" s="1025"/>
      <c r="AV75" s="1026" t="str">
        <f>IF(AU75="","",'#minDung'!EK74)</f>
        <v/>
      </c>
      <c r="AW75" s="1026" t="str">
        <f>IF(AV75="","",'#minDung'!EL74)</f>
        <v/>
      </c>
      <c r="AX75" s="1025"/>
      <c r="AY75" s="1026" t="str">
        <f>IF(AX75="","",'#minDung'!ET74)</f>
        <v/>
      </c>
      <c r="AZ75" s="1026" t="str">
        <f>IF(AY75="","",'#minDung'!EU74)</f>
        <v/>
      </c>
      <c r="BA75" s="1025"/>
      <c r="BB75" s="1026" t="str">
        <f>IF(BA75="","",'#minDung'!FC74)</f>
        <v/>
      </c>
      <c r="BC75" s="1026" t="str">
        <f>IF(BB75="","",'#minDung'!FD74)</f>
        <v/>
      </c>
      <c r="BD75" s="1025"/>
      <c r="BE75" s="1026" t="str">
        <f>IF(BD75="","",'#minDung'!FL74)</f>
        <v/>
      </c>
      <c r="BF75" s="1026" t="str">
        <f>IF(BE75="","",'#minDung'!FM74)</f>
        <v/>
      </c>
      <c r="BG75" s="1025"/>
      <c r="BH75" s="1026" t="str">
        <f>IF(BG75="","",'#minDung'!FU74)</f>
        <v/>
      </c>
      <c r="BI75" s="1026" t="str">
        <f>IF(BH75="","",'#minDung'!FV74)</f>
        <v/>
      </c>
      <c r="BJ75" s="1025"/>
      <c r="BK75" s="1026" t="str">
        <f>IF(BJ75="","",'#minDung'!GD74)</f>
        <v/>
      </c>
      <c r="BL75" s="1026" t="str">
        <f>IF(BK75="","",'#minDung'!GE74)</f>
        <v/>
      </c>
      <c r="BM75" s="1025"/>
      <c r="BN75" s="1026" t="str">
        <f>IF(BM75="","",'#minDung'!GM74)</f>
        <v/>
      </c>
      <c r="BO75" s="1026" t="str">
        <f>IF(BN75="","",'#minDung'!GN74)</f>
        <v/>
      </c>
      <c r="BP75" s="1025"/>
      <c r="BQ75" s="1026" t="str">
        <f>IF(BP75="","",'#minDung'!GV74)</f>
        <v/>
      </c>
      <c r="BR75" s="1026" t="str">
        <f>IF(BQ75="","",'#minDung'!GW74)</f>
        <v/>
      </c>
      <c r="BS75" s="1025"/>
      <c r="BT75" s="1026" t="str">
        <f>IF(BS75="","",'#minDung'!HE74)</f>
        <v/>
      </c>
      <c r="BU75" s="1026" t="str">
        <f>IF(BT75="","",'#minDung'!HF74)</f>
        <v/>
      </c>
      <c r="BV75" s="1025"/>
      <c r="BW75" s="1026" t="str">
        <f>IF(BV75="","",'#minDung'!HN74)</f>
        <v/>
      </c>
      <c r="BX75" s="1026" t="str">
        <f>IF(BW75="","",'#minDung'!HO74)</f>
        <v/>
      </c>
      <c r="BY75" s="1025"/>
      <c r="BZ75" s="1026" t="str">
        <f>IF(BY75="","",'#minDung'!HW74)</f>
        <v/>
      </c>
      <c r="CA75" s="1026" t="str">
        <f>IF(BZ75="","",'#minDung'!HX74)</f>
        <v/>
      </c>
      <c r="CB75" s="1025"/>
      <c r="CC75" s="1026" t="str">
        <f>IF(CB75="","",'#minDung'!IF74)</f>
        <v/>
      </c>
      <c r="CD75" s="1026" t="str">
        <f>IF(CC75="","",'#minDung'!IG74)</f>
        <v/>
      </c>
      <c r="CE75" s="1025"/>
      <c r="CF75" s="1026" t="str">
        <f>IF(CE75="","",'#minDung'!IO74)</f>
        <v/>
      </c>
      <c r="CG75" s="1026" t="str">
        <f>IF(CF75="","",'#minDung'!IP74)</f>
        <v/>
      </c>
      <c r="CH75" s="1025"/>
      <c r="CI75" s="1026" t="str">
        <f>IF(CH75="","",'#minDung'!IX74)</f>
        <v/>
      </c>
      <c r="CJ75" s="1026" t="str">
        <f>IF(CI75="","",'#minDung'!IY74)</f>
        <v/>
      </c>
      <c r="CK75" s="1025"/>
      <c r="CL75" s="1026" t="str">
        <f>IF(CK75="","",'#minDung'!JG74)</f>
        <v/>
      </c>
      <c r="CM75" s="1026" t="str">
        <f>IF(CL75="","",'#minDung'!JH74)</f>
        <v/>
      </c>
      <c r="CN75" s="1025"/>
      <c r="CO75" s="1026" t="str">
        <f>IF(CN75="","",'#minDung'!JP74)</f>
        <v/>
      </c>
      <c r="CP75" s="1026" t="str">
        <f>IF(CO75="","",'#minDung'!JQ74)</f>
        <v/>
      </c>
      <c r="CQ75" s="1025"/>
      <c r="CR75" s="1026" t="str">
        <f>IF(CQ75="","",'#minDung'!JY74)</f>
        <v/>
      </c>
      <c r="CS75" s="1030" t="str">
        <f>IF(CR75="","",'#minDung'!JZ74)</f>
        <v/>
      </c>
      <c r="CT75" s="170"/>
    </row>
    <row r="76" spans="1:98" s="875" customFormat="1" ht="15" customHeight="1" x14ac:dyDescent="0.2">
      <c r="A76" s="1205">
        <f>'Flächen u. Kulturen'!A74</f>
        <v>65</v>
      </c>
      <c r="B76" s="1205" t="str">
        <f>+'org. Düngung 22'!B77</f>
        <v/>
      </c>
      <c r="C76" s="1206" t="str">
        <f>'org. Düngung 22'!C77</f>
        <v/>
      </c>
      <c r="D76" s="1197" t="str">
        <f>'org. Düngung 22'!D77</f>
        <v/>
      </c>
      <c r="E76" s="1207" t="str">
        <f>'org. Düngung 22'!E77</f>
        <v/>
      </c>
      <c r="F76" s="1199" t="str">
        <f>'org. Düngung 22'!F77</f>
        <v/>
      </c>
      <c r="G76" s="1201" t="str">
        <f>IF(C76="","",IF(COUNT('#minDung'!KF75:KJ75)=0,"OK",TRIM(CONCATENATE('#minDung'!KF75," ",'#minDung'!KG75," ",'#minDung'!KH75," ",'#minDung'!KI75," ",'#minDung'!KJ75))))</f>
        <v/>
      </c>
      <c r="H76" s="1025"/>
      <c r="I76" s="1026" t="str">
        <f>IF(H76="","",'#minDung'!X75)</f>
        <v/>
      </c>
      <c r="J76" s="1026" t="str">
        <f>IF(I76="","",'#minDung'!Y75)</f>
        <v/>
      </c>
      <c r="K76" s="1025"/>
      <c r="L76" s="1026" t="str">
        <f>IF(K76="","",'#minDung'!AG75)</f>
        <v/>
      </c>
      <c r="M76" s="1026" t="str">
        <f>IF(L76="","",'#minDung'!AH75)</f>
        <v/>
      </c>
      <c r="N76" s="1025"/>
      <c r="O76" s="1026" t="str">
        <f>IF(N76="","",'#minDung'!AP75)</f>
        <v/>
      </c>
      <c r="P76" s="1026" t="str">
        <f>IF(O76="","",'#minDung'!AQ75)</f>
        <v/>
      </c>
      <c r="Q76" s="1025"/>
      <c r="R76" s="1026" t="str">
        <f>IF(Q76="","",'#minDung'!AY75)</f>
        <v/>
      </c>
      <c r="S76" s="1026" t="str">
        <f>IF(R76="","",'#minDung'!AZ75)</f>
        <v/>
      </c>
      <c r="T76" s="1025"/>
      <c r="U76" s="1026" t="str">
        <f>IF(T76="","",'#minDung'!BH75)</f>
        <v/>
      </c>
      <c r="V76" s="1026" t="str">
        <f>IF(U76="","",'#minDung'!BI75)</f>
        <v/>
      </c>
      <c r="W76" s="1025"/>
      <c r="X76" s="1026" t="str">
        <f>IF(W76="","",'#minDung'!BQ75)</f>
        <v/>
      </c>
      <c r="Y76" s="1026" t="str">
        <f>IF(X76="","",'#minDung'!BR75)</f>
        <v/>
      </c>
      <c r="Z76" s="1025"/>
      <c r="AA76" s="1026" t="str">
        <f>IF(Z76="","",'#minDung'!BZ75)</f>
        <v/>
      </c>
      <c r="AB76" s="1026" t="str">
        <f>IF(AA76="","",'#minDung'!CA75)</f>
        <v/>
      </c>
      <c r="AC76" s="1025"/>
      <c r="AD76" s="1026" t="str">
        <f>IF(AC76="","",'#minDung'!CI75)</f>
        <v/>
      </c>
      <c r="AE76" s="1026" t="str">
        <f>IF(AD76="","",'#minDung'!CJ75)</f>
        <v/>
      </c>
      <c r="AF76" s="1025"/>
      <c r="AG76" s="1026" t="str">
        <f>IF(AF76="","",'#minDung'!CR75)</f>
        <v/>
      </c>
      <c r="AH76" s="1026" t="str">
        <f>IF(AG76="","",'#minDung'!CS75)</f>
        <v/>
      </c>
      <c r="AI76" s="1025"/>
      <c r="AJ76" s="1026" t="str">
        <f>IF(AI76="","",'#minDung'!DA75)</f>
        <v/>
      </c>
      <c r="AK76" s="1026" t="str">
        <f>IF(AJ76="","",'#minDung'!DB75)</f>
        <v/>
      </c>
      <c r="AL76" s="1025"/>
      <c r="AM76" s="1026" t="str">
        <f>IF(AL76="","",'#minDung'!DJ75)</f>
        <v/>
      </c>
      <c r="AN76" s="1026" t="str">
        <f>IF(AM76="","",'#minDung'!DK75)</f>
        <v/>
      </c>
      <c r="AO76" s="1025"/>
      <c r="AP76" s="1026" t="str">
        <f>IF(AO76="","",'#minDung'!DS75)</f>
        <v/>
      </c>
      <c r="AQ76" s="1026" t="str">
        <f>IF(AP76="","",'#minDung'!DT75)</f>
        <v/>
      </c>
      <c r="AR76" s="1025"/>
      <c r="AS76" s="1026" t="str">
        <f>IF(AR76="","",'#minDung'!EB75)</f>
        <v/>
      </c>
      <c r="AT76" s="1026" t="str">
        <f>IF(AS76="","",'#minDung'!EC75)</f>
        <v/>
      </c>
      <c r="AU76" s="1025"/>
      <c r="AV76" s="1026" t="str">
        <f>IF(AU76="","",'#minDung'!EK75)</f>
        <v/>
      </c>
      <c r="AW76" s="1026" t="str">
        <f>IF(AV76="","",'#minDung'!EL75)</f>
        <v/>
      </c>
      <c r="AX76" s="1025"/>
      <c r="AY76" s="1026" t="str">
        <f>IF(AX76="","",'#minDung'!ET75)</f>
        <v/>
      </c>
      <c r="AZ76" s="1026" t="str">
        <f>IF(AY76="","",'#minDung'!EU75)</f>
        <v/>
      </c>
      <c r="BA76" s="1025"/>
      <c r="BB76" s="1026" t="str">
        <f>IF(BA76="","",'#minDung'!FC75)</f>
        <v/>
      </c>
      <c r="BC76" s="1026" t="str">
        <f>IF(BB76="","",'#minDung'!FD75)</f>
        <v/>
      </c>
      <c r="BD76" s="1025"/>
      <c r="BE76" s="1026" t="str">
        <f>IF(BD76="","",'#minDung'!FL75)</f>
        <v/>
      </c>
      <c r="BF76" s="1026" t="str">
        <f>IF(BE76="","",'#minDung'!FM75)</f>
        <v/>
      </c>
      <c r="BG76" s="1025"/>
      <c r="BH76" s="1026" t="str">
        <f>IF(BG76="","",'#minDung'!FU75)</f>
        <v/>
      </c>
      <c r="BI76" s="1026" t="str">
        <f>IF(BH76="","",'#minDung'!FV75)</f>
        <v/>
      </c>
      <c r="BJ76" s="1025"/>
      <c r="BK76" s="1026" t="str">
        <f>IF(BJ76="","",'#minDung'!GD75)</f>
        <v/>
      </c>
      <c r="BL76" s="1026" t="str">
        <f>IF(BK76="","",'#minDung'!GE75)</f>
        <v/>
      </c>
      <c r="BM76" s="1025"/>
      <c r="BN76" s="1026" t="str">
        <f>IF(BM76="","",'#minDung'!GM75)</f>
        <v/>
      </c>
      <c r="BO76" s="1026" t="str">
        <f>IF(BN76="","",'#minDung'!GN75)</f>
        <v/>
      </c>
      <c r="BP76" s="1025"/>
      <c r="BQ76" s="1026" t="str">
        <f>IF(BP76="","",'#minDung'!GV75)</f>
        <v/>
      </c>
      <c r="BR76" s="1026" t="str">
        <f>IF(BQ76="","",'#minDung'!GW75)</f>
        <v/>
      </c>
      <c r="BS76" s="1025"/>
      <c r="BT76" s="1026" t="str">
        <f>IF(BS76="","",'#minDung'!HE75)</f>
        <v/>
      </c>
      <c r="BU76" s="1026" t="str">
        <f>IF(BT76="","",'#minDung'!HF75)</f>
        <v/>
      </c>
      <c r="BV76" s="1025"/>
      <c r="BW76" s="1026" t="str">
        <f>IF(BV76="","",'#minDung'!HN75)</f>
        <v/>
      </c>
      <c r="BX76" s="1026" t="str">
        <f>IF(BW76="","",'#minDung'!HO75)</f>
        <v/>
      </c>
      <c r="BY76" s="1025"/>
      <c r="BZ76" s="1026" t="str">
        <f>IF(BY76="","",'#minDung'!HW75)</f>
        <v/>
      </c>
      <c r="CA76" s="1026" t="str">
        <f>IF(BZ76="","",'#minDung'!HX75)</f>
        <v/>
      </c>
      <c r="CB76" s="1025"/>
      <c r="CC76" s="1026" t="str">
        <f>IF(CB76="","",'#minDung'!IF75)</f>
        <v/>
      </c>
      <c r="CD76" s="1026" t="str">
        <f>IF(CC76="","",'#minDung'!IG75)</f>
        <v/>
      </c>
      <c r="CE76" s="1025"/>
      <c r="CF76" s="1026" t="str">
        <f>IF(CE76="","",'#minDung'!IO75)</f>
        <v/>
      </c>
      <c r="CG76" s="1026" t="str">
        <f>IF(CF76="","",'#minDung'!IP75)</f>
        <v/>
      </c>
      <c r="CH76" s="1025"/>
      <c r="CI76" s="1026" t="str">
        <f>IF(CH76="","",'#minDung'!IX75)</f>
        <v/>
      </c>
      <c r="CJ76" s="1026" t="str">
        <f>IF(CI76="","",'#minDung'!IY75)</f>
        <v/>
      </c>
      <c r="CK76" s="1025"/>
      <c r="CL76" s="1026" t="str">
        <f>IF(CK76="","",'#minDung'!JG75)</f>
        <v/>
      </c>
      <c r="CM76" s="1026" t="str">
        <f>IF(CL76="","",'#minDung'!JH75)</f>
        <v/>
      </c>
      <c r="CN76" s="1025"/>
      <c r="CO76" s="1026" t="str">
        <f>IF(CN76="","",'#minDung'!JP75)</f>
        <v/>
      </c>
      <c r="CP76" s="1026" t="str">
        <f>IF(CO76="","",'#minDung'!JQ75)</f>
        <v/>
      </c>
      <c r="CQ76" s="1025"/>
      <c r="CR76" s="1026" t="str">
        <f>IF(CQ76="","",'#minDung'!JY75)</f>
        <v/>
      </c>
      <c r="CS76" s="1030" t="str">
        <f>IF(CR76="","",'#minDung'!JZ75)</f>
        <v/>
      </c>
      <c r="CT76" s="170"/>
    </row>
    <row r="77" spans="1:98" s="875" customFormat="1" ht="15" customHeight="1" x14ac:dyDescent="0.2">
      <c r="A77" s="1205">
        <f>'Flächen u. Kulturen'!A75</f>
        <v>66</v>
      </c>
      <c r="B77" s="1205" t="str">
        <f>+'org. Düngung 22'!B78</f>
        <v/>
      </c>
      <c r="C77" s="1206" t="str">
        <f>'org. Düngung 22'!C78</f>
        <v/>
      </c>
      <c r="D77" s="1197" t="str">
        <f>'org. Düngung 22'!D78</f>
        <v/>
      </c>
      <c r="E77" s="1207" t="str">
        <f>'org. Düngung 22'!E78</f>
        <v/>
      </c>
      <c r="F77" s="1199" t="str">
        <f>'org. Düngung 22'!F78</f>
        <v/>
      </c>
      <c r="G77" s="1201" t="str">
        <f>IF(C77="","",IF(COUNT('#minDung'!KF76:KJ76)=0,"OK",TRIM(CONCATENATE('#minDung'!KF76," ",'#minDung'!KG76," ",'#minDung'!KH76," ",'#minDung'!KI76," ",'#minDung'!KJ76))))</f>
        <v/>
      </c>
      <c r="H77" s="1025"/>
      <c r="I77" s="1026" t="str">
        <f>IF(H77="","",'#minDung'!X76)</f>
        <v/>
      </c>
      <c r="J77" s="1026" t="str">
        <f>IF(I77="","",'#minDung'!Y76)</f>
        <v/>
      </c>
      <c r="K77" s="1025"/>
      <c r="L77" s="1026" t="str">
        <f>IF(K77="","",'#minDung'!AG76)</f>
        <v/>
      </c>
      <c r="M77" s="1026" t="str">
        <f>IF(L77="","",'#minDung'!AH76)</f>
        <v/>
      </c>
      <c r="N77" s="1025"/>
      <c r="O77" s="1026" t="str">
        <f>IF(N77="","",'#minDung'!AP76)</f>
        <v/>
      </c>
      <c r="P77" s="1026" t="str">
        <f>IF(O77="","",'#minDung'!AQ76)</f>
        <v/>
      </c>
      <c r="Q77" s="1025"/>
      <c r="R77" s="1026" t="str">
        <f>IF(Q77="","",'#minDung'!AY76)</f>
        <v/>
      </c>
      <c r="S77" s="1026" t="str">
        <f>IF(R77="","",'#minDung'!AZ76)</f>
        <v/>
      </c>
      <c r="T77" s="1025"/>
      <c r="U77" s="1026" t="str">
        <f>IF(T77="","",'#minDung'!BH76)</f>
        <v/>
      </c>
      <c r="V77" s="1026" t="str">
        <f>IF(U77="","",'#minDung'!BI76)</f>
        <v/>
      </c>
      <c r="W77" s="1025"/>
      <c r="X77" s="1026" t="str">
        <f>IF(W77="","",'#minDung'!BQ76)</f>
        <v/>
      </c>
      <c r="Y77" s="1026" t="str">
        <f>IF(X77="","",'#minDung'!BR76)</f>
        <v/>
      </c>
      <c r="Z77" s="1025"/>
      <c r="AA77" s="1026" t="str">
        <f>IF(Z77="","",'#minDung'!BZ76)</f>
        <v/>
      </c>
      <c r="AB77" s="1026" t="str">
        <f>IF(AA77="","",'#minDung'!CA76)</f>
        <v/>
      </c>
      <c r="AC77" s="1025"/>
      <c r="AD77" s="1026" t="str">
        <f>IF(AC77="","",'#minDung'!CI76)</f>
        <v/>
      </c>
      <c r="AE77" s="1026" t="str">
        <f>IF(AD77="","",'#minDung'!CJ76)</f>
        <v/>
      </c>
      <c r="AF77" s="1025"/>
      <c r="AG77" s="1026" t="str">
        <f>IF(AF77="","",'#minDung'!CR76)</f>
        <v/>
      </c>
      <c r="AH77" s="1026" t="str">
        <f>IF(AG77="","",'#minDung'!CS76)</f>
        <v/>
      </c>
      <c r="AI77" s="1025"/>
      <c r="AJ77" s="1026" t="str">
        <f>IF(AI77="","",'#minDung'!DA76)</f>
        <v/>
      </c>
      <c r="AK77" s="1026" t="str">
        <f>IF(AJ77="","",'#minDung'!DB76)</f>
        <v/>
      </c>
      <c r="AL77" s="1025"/>
      <c r="AM77" s="1026" t="str">
        <f>IF(AL77="","",'#minDung'!DJ76)</f>
        <v/>
      </c>
      <c r="AN77" s="1026" t="str">
        <f>IF(AM77="","",'#minDung'!DK76)</f>
        <v/>
      </c>
      <c r="AO77" s="1025"/>
      <c r="AP77" s="1026" t="str">
        <f>IF(AO77="","",'#minDung'!DS76)</f>
        <v/>
      </c>
      <c r="AQ77" s="1026" t="str">
        <f>IF(AP77="","",'#minDung'!DT76)</f>
        <v/>
      </c>
      <c r="AR77" s="1025"/>
      <c r="AS77" s="1026" t="str">
        <f>IF(AR77="","",'#minDung'!EB76)</f>
        <v/>
      </c>
      <c r="AT77" s="1026" t="str">
        <f>IF(AS77="","",'#minDung'!EC76)</f>
        <v/>
      </c>
      <c r="AU77" s="1025"/>
      <c r="AV77" s="1026" t="str">
        <f>IF(AU77="","",'#minDung'!EK76)</f>
        <v/>
      </c>
      <c r="AW77" s="1026" t="str">
        <f>IF(AV77="","",'#minDung'!EL76)</f>
        <v/>
      </c>
      <c r="AX77" s="1025"/>
      <c r="AY77" s="1026" t="str">
        <f>IF(AX77="","",'#minDung'!ET76)</f>
        <v/>
      </c>
      <c r="AZ77" s="1026" t="str">
        <f>IF(AY77="","",'#minDung'!EU76)</f>
        <v/>
      </c>
      <c r="BA77" s="1025"/>
      <c r="BB77" s="1026" t="str">
        <f>IF(BA77="","",'#minDung'!FC76)</f>
        <v/>
      </c>
      <c r="BC77" s="1026" t="str">
        <f>IF(BB77="","",'#minDung'!FD76)</f>
        <v/>
      </c>
      <c r="BD77" s="1025"/>
      <c r="BE77" s="1026" t="str">
        <f>IF(BD77="","",'#minDung'!FL76)</f>
        <v/>
      </c>
      <c r="BF77" s="1026" t="str">
        <f>IF(BE77="","",'#minDung'!FM76)</f>
        <v/>
      </c>
      <c r="BG77" s="1025"/>
      <c r="BH77" s="1026" t="str">
        <f>IF(BG77="","",'#minDung'!FU76)</f>
        <v/>
      </c>
      <c r="BI77" s="1026" t="str">
        <f>IF(BH77="","",'#minDung'!FV76)</f>
        <v/>
      </c>
      <c r="BJ77" s="1025"/>
      <c r="BK77" s="1026" t="str">
        <f>IF(BJ77="","",'#minDung'!GD76)</f>
        <v/>
      </c>
      <c r="BL77" s="1026" t="str">
        <f>IF(BK77="","",'#minDung'!GE76)</f>
        <v/>
      </c>
      <c r="BM77" s="1025"/>
      <c r="BN77" s="1026" t="str">
        <f>IF(BM77="","",'#minDung'!GM76)</f>
        <v/>
      </c>
      <c r="BO77" s="1026" t="str">
        <f>IF(BN77="","",'#minDung'!GN76)</f>
        <v/>
      </c>
      <c r="BP77" s="1025"/>
      <c r="BQ77" s="1026" t="str">
        <f>IF(BP77="","",'#minDung'!GV76)</f>
        <v/>
      </c>
      <c r="BR77" s="1026" t="str">
        <f>IF(BQ77="","",'#minDung'!GW76)</f>
        <v/>
      </c>
      <c r="BS77" s="1025"/>
      <c r="BT77" s="1026" t="str">
        <f>IF(BS77="","",'#minDung'!HE76)</f>
        <v/>
      </c>
      <c r="BU77" s="1026" t="str">
        <f>IF(BT77="","",'#minDung'!HF76)</f>
        <v/>
      </c>
      <c r="BV77" s="1025"/>
      <c r="BW77" s="1026" t="str">
        <f>IF(BV77="","",'#minDung'!HN76)</f>
        <v/>
      </c>
      <c r="BX77" s="1026" t="str">
        <f>IF(BW77="","",'#minDung'!HO76)</f>
        <v/>
      </c>
      <c r="BY77" s="1025"/>
      <c r="BZ77" s="1026" t="str">
        <f>IF(BY77="","",'#minDung'!HW76)</f>
        <v/>
      </c>
      <c r="CA77" s="1026" t="str">
        <f>IF(BZ77="","",'#minDung'!HX76)</f>
        <v/>
      </c>
      <c r="CB77" s="1025"/>
      <c r="CC77" s="1026" t="str">
        <f>IF(CB77="","",'#minDung'!IF76)</f>
        <v/>
      </c>
      <c r="CD77" s="1026" t="str">
        <f>IF(CC77="","",'#minDung'!IG76)</f>
        <v/>
      </c>
      <c r="CE77" s="1025"/>
      <c r="CF77" s="1026" t="str">
        <f>IF(CE77="","",'#minDung'!IO76)</f>
        <v/>
      </c>
      <c r="CG77" s="1026" t="str">
        <f>IF(CF77="","",'#minDung'!IP76)</f>
        <v/>
      </c>
      <c r="CH77" s="1025"/>
      <c r="CI77" s="1026" t="str">
        <f>IF(CH77="","",'#minDung'!IX76)</f>
        <v/>
      </c>
      <c r="CJ77" s="1026" t="str">
        <f>IF(CI77="","",'#minDung'!IY76)</f>
        <v/>
      </c>
      <c r="CK77" s="1025"/>
      <c r="CL77" s="1026" t="str">
        <f>IF(CK77="","",'#minDung'!JG76)</f>
        <v/>
      </c>
      <c r="CM77" s="1026" t="str">
        <f>IF(CL77="","",'#minDung'!JH76)</f>
        <v/>
      </c>
      <c r="CN77" s="1025"/>
      <c r="CO77" s="1026" t="str">
        <f>IF(CN77="","",'#minDung'!JP76)</f>
        <v/>
      </c>
      <c r="CP77" s="1026" t="str">
        <f>IF(CO77="","",'#minDung'!JQ76)</f>
        <v/>
      </c>
      <c r="CQ77" s="1025"/>
      <c r="CR77" s="1026" t="str">
        <f>IF(CQ77="","",'#minDung'!JY76)</f>
        <v/>
      </c>
      <c r="CS77" s="1030" t="str">
        <f>IF(CR77="","",'#minDung'!JZ76)</f>
        <v/>
      </c>
      <c r="CT77" s="170"/>
    </row>
    <row r="78" spans="1:98" s="875" customFormat="1" ht="15" customHeight="1" x14ac:dyDescent="0.2">
      <c r="A78" s="1205">
        <f>'Flächen u. Kulturen'!A76</f>
        <v>67</v>
      </c>
      <c r="B78" s="1205" t="str">
        <f>+'org. Düngung 22'!B79</f>
        <v/>
      </c>
      <c r="C78" s="1206" t="str">
        <f>'org. Düngung 22'!C79</f>
        <v/>
      </c>
      <c r="D78" s="1197" t="str">
        <f>'org. Düngung 22'!D79</f>
        <v/>
      </c>
      <c r="E78" s="1207" t="str">
        <f>'org. Düngung 22'!E79</f>
        <v/>
      </c>
      <c r="F78" s="1199" t="str">
        <f>'org. Düngung 22'!F79</f>
        <v/>
      </c>
      <c r="G78" s="1201" t="str">
        <f>IF(C78="","",IF(COUNT('#minDung'!KF77:KJ77)=0,"OK",TRIM(CONCATENATE('#minDung'!KF77," ",'#minDung'!KG77," ",'#minDung'!KH77," ",'#minDung'!KI77," ",'#minDung'!KJ77))))</f>
        <v/>
      </c>
      <c r="H78" s="1025"/>
      <c r="I78" s="1026" t="str">
        <f>IF(H78="","",'#minDung'!X77)</f>
        <v/>
      </c>
      <c r="J78" s="1026" t="str">
        <f>IF(I78="","",'#minDung'!Y77)</f>
        <v/>
      </c>
      <c r="K78" s="1025"/>
      <c r="L78" s="1026" t="str">
        <f>IF(K78="","",'#minDung'!AG77)</f>
        <v/>
      </c>
      <c r="M78" s="1026" t="str">
        <f>IF(L78="","",'#minDung'!AH77)</f>
        <v/>
      </c>
      <c r="N78" s="1025"/>
      <c r="O78" s="1026" t="str">
        <f>IF(N78="","",'#minDung'!AP77)</f>
        <v/>
      </c>
      <c r="P78" s="1026" t="str">
        <f>IF(O78="","",'#minDung'!AQ77)</f>
        <v/>
      </c>
      <c r="Q78" s="1025"/>
      <c r="R78" s="1026" t="str">
        <f>IF(Q78="","",'#minDung'!AY77)</f>
        <v/>
      </c>
      <c r="S78" s="1026" t="str">
        <f>IF(R78="","",'#minDung'!AZ77)</f>
        <v/>
      </c>
      <c r="T78" s="1025"/>
      <c r="U78" s="1026" t="str">
        <f>IF(T78="","",'#minDung'!BH77)</f>
        <v/>
      </c>
      <c r="V78" s="1026" t="str">
        <f>IF(U78="","",'#minDung'!BI77)</f>
        <v/>
      </c>
      <c r="W78" s="1025"/>
      <c r="X78" s="1026" t="str">
        <f>IF(W78="","",'#minDung'!BQ77)</f>
        <v/>
      </c>
      <c r="Y78" s="1026" t="str">
        <f>IF(X78="","",'#minDung'!BR77)</f>
        <v/>
      </c>
      <c r="Z78" s="1025"/>
      <c r="AA78" s="1026" t="str">
        <f>IF(Z78="","",'#minDung'!BZ77)</f>
        <v/>
      </c>
      <c r="AB78" s="1026" t="str">
        <f>IF(AA78="","",'#minDung'!CA77)</f>
        <v/>
      </c>
      <c r="AC78" s="1025"/>
      <c r="AD78" s="1026" t="str">
        <f>IF(AC78="","",'#minDung'!CI77)</f>
        <v/>
      </c>
      <c r="AE78" s="1026" t="str">
        <f>IF(AD78="","",'#minDung'!CJ77)</f>
        <v/>
      </c>
      <c r="AF78" s="1025"/>
      <c r="AG78" s="1026" t="str">
        <f>IF(AF78="","",'#minDung'!CR77)</f>
        <v/>
      </c>
      <c r="AH78" s="1026" t="str">
        <f>IF(AG78="","",'#minDung'!CS77)</f>
        <v/>
      </c>
      <c r="AI78" s="1025"/>
      <c r="AJ78" s="1026" t="str">
        <f>IF(AI78="","",'#minDung'!DA77)</f>
        <v/>
      </c>
      <c r="AK78" s="1026" t="str">
        <f>IF(AJ78="","",'#minDung'!DB77)</f>
        <v/>
      </c>
      <c r="AL78" s="1025"/>
      <c r="AM78" s="1026" t="str">
        <f>IF(AL78="","",'#minDung'!DJ77)</f>
        <v/>
      </c>
      <c r="AN78" s="1026" t="str">
        <f>IF(AM78="","",'#minDung'!DK77)</f>
        <v/>
      </c>
      <c r="AO78" s="1025"/>
      <c r="AP78" s="1026" t="str">
        <f>IF(AO78="","",'#minDung'!DS77)</f>
        <v/>
      </c>
      <c r="AQ78" s="1026" t="str">
        <f>IF(AP78="","",'#minDung'!DT77)</f>
        <v/>
      </c>
      <c r="AR78" s="1025"/>
      <c r="AS78" s="1026" t="str">
        <f>IF(AR78="","",'#minDung'!EB77)</f>
        <v/>
      </c>
      <c r="AT78" s="1026" t="str">
        <f>IF(AS78="","",'#minDung'!EC77)</f>
        <v/>
      </c>
      <c r="AU78" s="1025"/>
      <c r="AV78" s="1026" t="str">
        <f>IF(AU78="","",'#minDung'!EK77)</f>
        <v/>
      </c>
      <c r="AW78" s="1026" t="str">
        <f>IF(AV78="","",'#minDung'!EL77)</f>
        <v/>
      </c>
      <c r="AX78" s="1025"/>
      <c r="AY78" s="1026" t="str">
        <f>IF(AX78="","",'#minDung'!ET77)</f>
        <v/>
      </c>
      <c r="AZ78" s="1026" t="str">
        <f>IF(AY78="","",'#minDung'!EU77)</f>
        <v/>
      </c>
      <c r="BA78" s="1025"/>
      <c r="BB78" s="1026" t="str">
        <f>IF(BA78="","",'#minDung'!FC77)</f>
        <v/>
      </c>
      <c r="BC78" s="1026" t="str">
        <f>IF(BB78="","",'#minDung'!FD77)</f>
        <v/>
      </c>
      <c r="BD78" s="1025"/>
      <c r="BE78" s="1026" t="str">
        <f>IF(BD78="","",'#minDung'!FL77)</f>
        <v/>
      </c>
      <c r="BF78" s="1026" t="str">
        <f>IF(BE78="","",'#minDung'!FM77)</f>
        <v/>
      </c>
      <c r="BG78" s="1025"/>
      <c r="BH78" s="1026" t="str">
        <f>IF(BG78="","",'#minDung'!FU77)</f>
        <v/>
      </c>
      <c r="BI78" s="1026" t="str">
        <f>IF(BH78="","",'#minDung'!FV77)</f>
        <v/>
      </c>
      <c r="BJ78" s="1025"/>
      <c r="BK78" s="1026" t="str">
        <f>IF(BJ78="","",'#minDung'!GD77)</f>
        <v/>
      </c>
      <c r="BL78" s="1026" t="str">
        <f>IF(BK78="","",'#minDung'!GE77)</f>
        <v/>
      </c>
      <c r="BM78" s="1025"/>
      <c r="BN78" s="1026" t="str">
        <f>IF(BM78="","",'#minDung'!GM77)</f>
        <v/>
      </c>
      <c r="BO78" s="1026" t="str">
        <f>IF(BN78="","",'#minDung'!GN77)</f>
        <v/>
      </c>
      <c r="BP78" s="1025"/>
      <c r="BQ78" s="1026" t="str">
        <f>IF(BP78="","",'#minDung'!GV77)</f>
        <v/>
      </c>
      <c r="BR78" s="1026" t="str">
        <f>IF(BQ78="","",'#minDung'!GW77)</f>
        <v/>
      </c>
      <c r="BS78" s="1025"/>
      <c r="BT78" s="1026" t="str">
        <f>IF(BS78="","",'#minDung'!HE77)</f>
        <v/>
      </c>
      <c r="BU78" s="1026" t="str">
        <f>IF(BT78="","",'#minDung'!HF77)</f>
        <v/>
      </c>
      <c r="BV78" s="1025"/>
      <c r="BW78" s="1026" t="str">
        <f>IF(BV78="","",'#minDung'!HN77)</f>
        <v/>
      </c>
      <c r="BX78" s="1026" t="str">
        <f>IF(BW78="","",'#minDung'!HO77)</f>
        <v/>
      </c>
      <c r="BY78" s="1025"/>
      <c r="BZ78" s="1026" t="str">
        <f>IF(BY78="","",'#minDung'!HW77)</f>
        <v/>
      </c>
      <c r="CA78" s="1026" t="str">
        <f>IF(BZ78="","",'#minDung'!HX77)</f>
        <v/>
      </c>
      <c r="CB78" s="1025"/>
      <c r="CC78" s="1026" t="str">
        <f>IF(CB78="","",'#minDung'!IF77)</f>
        <v/>
      </c>
      <c r="CD78" s="1026" t="str">
        <f>IF(CC78="","",'#minDung'!IG77)</f>
        <v/>
      </c>
      <c r="CE78" s="1025"/>
      <c r="CF78" s="1026" t="str">
        <f>IF(CE78="","",'#minDung'!IO77)</f>
        <v/>
      </c>
      <c r="CG78" s="1026" t="str">
        <f>IF(CF78="","",'#minDung'!IP77)</f>
        <v/>
      </c>
      <c r="CH78" s="1025"/>
      <c r="CI78" s="1026" t="str">
        <f>IF(CH78="","",'#minDung'!IX77)</f>
        <v/>
      </c>
      <c r="CJ78" s="1026" t="str">
        <f>IF(CI78="","",'#minDung'!IY77)</f>
        <v/>
      </c>
      <c r="CK78" s="1025"/>
      <c r="CL78" s="1026" t="str">
        <f>IF(CK78="","",'#minDung'!JG77)</f>
        <v/>
      </c>
      <c r="CM78" s="1026" t="str">
        <f>IF(CL78="","",'#minDung'!JH77)</f>
        <v/>
      </c>
      <c r="CN78" s="1025"/>
      <c r="CO78" s="1026" t="str">
        <f>IF(CN78="","",'#minDung'!JP77)</f>
        <v/>
      </c>
      <c r="CP78" s="1026" t="str">
        <f>IF(CO78="","",'#minDung'!JQ77)</f>
        <v/>
      </c>
      <c r="CQ78" s="1025"/>
      <c r="CR78" s="1026" t="str">
        <f>IF(CQ78="","",'#minDung'!JY77)</f>
        <v/>
      </c>
      <c r="CS78" s="1030" t="str">
        <f>IF(CR78="","",'#minDung'!JZ77)</f>
        <v/>
      </c>
      <c r="CT78" s="170"/>
    </row>
    <row r="79" spans="1:98" s="875" customFormat="1" ht="15" customHeight="1" x14ac:dyDescent="0.2">
      <c r="A79" s="1205">
        <f>'Flächen u. Kulturen'!A77</f>
        <v>68</v>
      </c>
      <c r="B79" s="1205" t="str">
        <f>+'org. Düngung 22'!B80</f>
        <v/>
      </c>
      <c r="C79" s="1206" t="str">
        <f>'org. Düngung 22'!C80</f>
        <v/>
      </c>
      <c r="D79" s="1197" t="str">
        <f>'org. Düngung 22'!D80</f>
        <v/>
      </c>
      <c r="E79" s="1207" t="str">
        <f>'org. Düngung 22'!E80</f>
        <v/>
      </c>
      <c r="F79" s="1199" t="str">
        <f>'org. Düngung 22'!F80</f>
        <v/>
      </c>
      <c r="G79" s="1201" t="str">
        <f>IF(C79="","",IF(COUNT('#minDung'!KF78:KJ78)=0,"OK",TRIM(CONCATENATE('#minDung'!KF78," ",'#minDung'!KG78," ",'#minDung'!KH78," ",'#minDung'!KI78," ",'#minDung'!KJ78))))</f>
        <v/>
      </c>
      <c r="H79" s="1025"/>
      <c r="I79" s="1026" t="str">
        <f>IF(H79="","",'#minDung'!X78)</f>
        <v/>
      </c>
      <c r="J79" s="1026" t="str">
        <f>IF(I79="","",'#minDung'!Y78)</f>
        <v/>
      </c>
      <c r="K79" s="1025"/>
      <c r="L79" s="1026" t="str">
        <f>IF(K79="","",'#minDung'!AG78)</f>
        <v/>
      </c>
      <c r="M79" s="1026" t="str">
        <f>IF(L79="","",'#minDung'!AH78)</f>
        <v/>
      </c>
      <c r="N79" s="1025"/>
      <c r="O79" s="1026" t="str">
        <f>IF(N79="","",'#minDung'!AP78)</f>
        <v/>
      </c>
      <c r="P79" s="1026" t="str">
        <f>IF(O79="","",'#minDung'!AQ78)</f>
        <v/>
      </c>
      <c r="Q79" s="1025"/>
      <c r="R79" s="1026" t="str">
        <f>IF(Q79="","",'#minDung'!AY78)</f>
        <v/>
      </c>
      <c r="S79" s="1026" t="str">
        <f>IF(R79="","",'#minDung'!AZ78)</f>
        <v/>
      </c>
      <c r="T79" s="1025"/>
      <c r="U79" s="1026" t="str">
        <f>IF(T79="","",'#minDung'!BH78)</f>
        <v/>
      </c>
      <c r="V79" s="1026" t="str">
        <f>IF(U79="","",'#minDung'!BI78)</f>
        <v/>
      </c>
      <c r="W79" s="1025"/>
      <c r="X79" s="1026" t="str">
        <f>IF(W79="","",'#minDung'!BQ78)</f>
        <v/>
      </c>
      <c r="Y79" s="1026" t="str">
        <f>IF(X79="","",'#minDung'!BR78)</f>
        <v/>
      </c>
      <c r="Z79" s="1025"/>
      <c r="AA79" s="1026" t="str">
        <f>IF(Z79="","",'#minDung'!BZ78)</f>
        <v/>
      </c>
      <c r="AB79" s="1026" t="str">
        <f>IF(AA79="","",'#minDung'!CA78)</f>
        <v/>
      </c>
      <c r="AC79" s="1025"/>
      <c r="AD79" s="1026" t="str">
        <f>IF(AC79="","",'#minDung'!CI78)</f>
        <v/>
      </c>
      <c r="AE79" s="1026" t="str">
        <f>IF(AD79="","",'#minDung'!CJ78)</f>
        <v/>
      </c>
      <c r="AF79" s="1025"/>
      <c r="AG79" s="1026" t="str">
        <f>IF(AF79="","",'#minDung'!CR78)</f>
        <v/>
      </c>
      <c r="AH79" s="1026" t="str">
        <f>IF(AG79="","",'#minDung'!CS78)</f>
        <v/>
      </c>
      <c r="AI79" s="1025"/>
      <c r="AJ79" s="1026" t="str">
        <f>IF(AI79="","",'#minDung'!DA78)</f>
        <v/>
      </c>
      <c r="AK79" s="1026" t="str">
        <f>IF(AJ79="","",'#minDung'!DB78)</f>
        <v/>
      </c>
      <c r="AL79" s="1025"/>
      <c r="AM79" s="1026" t="str">
        <f>IF(AL79="","",'#minDung'!DJ78)</f>
        <v/>
      </c>
      <c r="AN79" s="1026" t="str">
        <f>IF(AM79="","",'#minDung'!DK78)</f>
        <v/>
      </c>
      <c r="AO79" s="1025"/>
      <c r="AP79" s="1026" t="str">
        <f>IF(AO79="","",'#minDung'!DS78)</f>
        <v/>
      </c>
      <c r="AQ79" s="1026" t="str">
        <f>IF(AP79="","",'#minDung'!DT78)</f>
        <v/>
      </c>
      <c r="AR79" s="1025"/>
      <c r="AS79" s="1026" t="str">
        <f>IF(AR79="","",'#minDung'!EB78)</f>
        <v/>
      </c>
      <c r="AT79" s="1026" t="str">
        <f>IF(AS79="","",'#minDung'!EC78)</f>
        <v/>
      </c>
      <c r="AU79" s="1025"/>
      <c r="AV79" s="1026" t="str">
        <f>IF(AU79="","",'#minDung'!EK78)</f>
        <v/>
      </c>
      <c r="AW79" s="1026" t="str">
        <f>IF(AV79="","",'#minDung'!EL78)</f>
        <v/>
      </c>
      <c r="AX79" s="1025"/>
      <c r="AY79" s="1026" t="str">
        <f>IF(AX79="","",'#minDung'!ET78)</f>
        <v/>
      </c>
      <c r="AZ79" s="1026" t="str">
        <f>IF(AY79="","",'#minDung'!EU78)</f>
        <v/>
      </c>
      <c r="BA79" s="1025"/>
      <c r="BB79" s="1026" t="str">
        <f>IF(BA79="","",'#minDung'!FC78)</f>
        <v/>
      </c>
      <c r="BC79" s="1026" t="str">
        <f>IF(BB79="","",'#minDung'!FD78)</f>
        <v/>
      </c>
      <c r="BD79" s="1025"/>
      <c r="BE79" s="1026" t="str">
        <f>IF(BD79="","",'#minDung'!FL78)</f>
        <v/>
      </c>
      <c r="BF79" s="1026" t="str">
        <f>IF(BE79="","",'#minDung'!FM78)</f>
        <v/>
      </c>
      <c r="BG79" s="1025"/>
      <c r="BH79" s="1026" t="str">
        <f>IF(BG79="","",'#minDung'!FU78)</f>
        <v/>
      </c>
      <c r="BI79" s="1026" t="str">
        <f>IF(BH79="","",'#minDung'!FV78)</f>
        <v/>
      </c>
      <c r="BJ79" s="1025"/>
      <c r="BK79" s="1026" t="str">
        <f>IF(BJ79="","",'#minDung'!GD78)</f>
        <v/>
      </c>
      <c r="BL79" s="1026" t="str">
        <f>IF(BK79="","",'#minDung'!GE78)</f>
        <v/>
      </c>
      <c r="BM79" s="1025"/>
      <c r="BN79" s="1026" t="str">
        <f>IF(BM79="","",'#minDung'!GM78)</f>
        <v/>
      </c>
      <c r="BO79" s="1026" t="str">
        <f>IF(BN79="","",'#minDung'!GN78)</f>
        <v/>
      </c>
      <c r="BP79" s="1025"/>
      <c r="BQ79" s="1026" t="str">
        <f>IF(BP79="","",'#minDung'!GV78)</f>
        <v/>
      </c>
      <c r="BR79" s="1026" t="str">
        <f>IF(BQ79="","",'#minDung'!GW78)</f>
        <v/>
      </c>
      <c r="BS79" s="1025"/>
      <c r="BT79" s="1026" t="str">
        <f>IF(BS79="","",'#minDung'!HE78)</f>
        <v/>
      </c>
      <c r="BU79" s="1026" t="str">
        <f>IF(BT79="","",'#minDung'!HF78)</f>
        <v/>
      </c>
      <c r="BV79" s="1025"/>
      <c r="BW79" s="1026" t="str">
        <f>IF(BV79="","",'#minDung'!HN78)</f>
        <v/>
      </c>
      <c r="BX79" s="1026" t="str">
        <f>IF(BW79="","",'#minDung'!HO78)</f>
        <v/>
      </c>
      <c r="BY79" s="1025"/>
      <c r="BZ79" s="1026" t="str">
        <f>IF(BY79="","",'#minDung'!HW78)</f>
        <v/>
      </c>
      <c r="CA79" s="1026" t="str">
        <f>IF(BZ79="","",'#minDung'!HX78)</f>
        <v/>
      </c>
      <c r="CB79" s="1025"/>
      <c r="CC79" s="1026" t="str">
        <f>IF(CB79="","",'#minDung'!IF78)</f>
        <v/>
      </c>
      <c r="CD79" s="1026" t="str">
        <f>IF(CC79="","",'#minDung'!IG78)</f>
        <v/>
      </c>
      <c r="CE79" s="1025"/>
      <c r="CF79" s="1026" t="str">
        <f>IF(CE79="","",'#minDung'!IO78)</f>
        <v/>
      </c>
      <c r="CG79" s="1026" t="str">
        <f>IF(CF79="","",'#minDung'!IP78)</f>
        <v/>
      </c>
      <c r="CH79" s="1025"/>
      <c r="CI79" s="1026" t="str">
        <f>IF(CH79="","",'#minDung'!IX78)</f>
        <v/>
      </c>
      <c r="CJ79" s="1026" t="str">
        <f>IF(CI79="","",'#minDung'!IY78)</f>
        <v/>
      </c>
      <c r="CK79" s="1025"/>
      <c r="CL79" s="1026" t="str">
        <f>IF(CK79="","",'#minDung'!JG78)</f>
        <v/>
      </c>
      <c r="CM79" s="1026" t="str">
        <f>IF(CL79="","",'#minDung'!JH78)</f>
        <v/>
      </c>
      <c r="CN79" s="1025"/>
      <c r="CO79" s="1026" t="str">
        <f>IF(CN79="","",'#minDung'!JP78)</f>
        <v/>
      </c>
      <c r="CP79" s="1026" t="str">
        <f>IF(CO79="","",'#minDung'!JQ78)</f>
        <v/>
      </c>
      <c r="CQ79" s="1025"/>
      <c r="CR79" s="1026" t="str">
        <f>IF(CQ79="","",'#minDung'!JY78)</f>
        <v/>
      </c>
      <c r="CS79" s="1030" t="str">
        <f>IF(CR79="","",'#minDung'!JZ78)</f>
        <v/>
      </c>
      <c r="CT79" s="170"/>
    </row>
    <row r="80" spans="1:98" s="875" customFormat="1" ht="15" customHeight="1" x14ac:dyDescent="0.2">
      <c r="A80" s="1205">
        <f>'Flächen u. Kulturen'!A78</f>
        <v>69</v>
      </c>
      <c r="B80" s="1205" t="str">
        <f>+'org. Düngung 22'!B81</f>
        <v/>
      </c>
      <c r="C80" s="1206" t="str">
        <f>'org. Düngung 22'!C81</f>
        <v/>
      </c>
      <c r="D80" s="1197" t="str">
        <f>'org. Düngung 22'!D81</f>
        <v/>
      </c>
      <c r="E80" s="1207" t="str">
        <f>'org. Düngung 22'!E81</f>
        <v/>
      </c>
      <c r="F80" s="1199" t="str">
        <f>'org. Düngung 22'!F81</f>
        <v/>
      </c>
      <c r="G80" s="1201" t="str">
        <f>IF(C80="","",IF(COUNT('#minDung'!KF79:KJ79)=0,"OK",TRIM(CONCATENATE('#minDung'!KF79," ",'#minDung'!KG79," ",'#minDung'!KH79," ",'#minDung'!KI79," ",'#minDung'!KJ79))))</f>
        <v/>
      </c>
      <c r="H80" s="1025"/>
      <c r="I80" s="1026" t="str">
        <f>IF(H80="","",'#minDung'!X79)</f>
        <v/>
      </c>
      <c r="J80" s="1026" t="str">
        <f>IF(I80="","",'#minDung'!Y79)</f>
        <v/>
      </c>
      <c r="K80" s="1025"/>
      <c r="L80" s="1026" t="str">
        <f>IF(K80="","",'#minDung'!AG79)</f>
        <v/>
      </c>
      <c r="M80" s="1026" t="str">
        <f>IF(L80="","",'#minDung'!AH79)</f>
        <v/>
      </c>
      <c r="N80" s="1025"/>
      <c r="O80" s="1026" t="str">
        <f>IF(N80="","",'#minDung'!AP79)</f>
        <v/>
      </c>
      <c r="P80" s="1026" t="str">
        <f>IF(O80="","",'#minDung'!AQ79)</f>
        <v/>
      </c>
      <c r="Q80" s="1025"/>
      <c r="R80" s="1026" t="str">
        <f>IF(Q80="","",'#minDung'!AY79)</f>
        <v/>
      </c>
      <c r="S80" s="1026" t="str">
        <f>IF(R80="","",'#minDung'!AZ79)</f>
        <v/>
      </c>
      <c r="T80" s="1025"/>
      <c r="U80" s="1026" t="str">
        <f>IF(T80="","",'#minDung'!BH79)</f>
        <v/>
      </c>
      <c r="V80" s="1026" t="str">
        <f>IF(U80="","",'#minDung'!BI79)</f>
        <v/>
      </c>
      <c r="W80" s="1025"/>
      <c r="X80" s="1026" t="str">
        <f>IF(W80="","",'#minDung'!BQ79)</f>
        <v/>
      </c>
      <c r="Y80" s="1026" t="str">
        <f>IF(X80="","",'#minDung'!BR79)</f>
        <v/>
      </c>
      <c r="Z80" s="1025"/>
      <c r="AA80" s="1026" t="str">
        <f>IF(Z80="","",'#minDung'!BZ79)</f>
        <v/>
      </c>
      <c r="AB80" s="1026" t="str">
        <f>IF(AA80="","",'#minDung'!CA79)</f>
        <v/>
      </c>
      <c r="AC80" s="1025"/>
      <c r="AD80" s="1026" t="str">
        <f>IF(AC80="","",'#minDung'!CI79)</f>
        <v/>
      </c>
      <c r="AE80" s="1026" t="str">
        <f>IF(AD80="","",'#minDung'!CJ79)</f>
        <v/>
      </c>
      <c r="AF80" s="1025"/>
      <c r="AG80" s="1026" t="str">
        <f>IF(AF80="","",'#minDung'!CR79)</f>
        <v/>
      </c>
      <c r="AH80" s="1026" t="str">
        <f>IF(AG80="","",'#minDung'!CS79)</f>
        <v/>
      </c>
      <c r="AI80" s="1025"/>
      <c r="AJ80" s="1026" t="str">
        <f>IF(AI80="","",'#minDung'!DA79)</f>
        <v/>
      </c>
      <c r="AK80" s="1026" t="str">
        <f>IF(AJ80="","",'#minDung'!DB79)</f>
        <v/>
      </c>
      <c r="AL80" s="1025"/>
      <c r="AM80" s="1026" t="str">
        <f>IF(AL80="","",'#minDung'!DJ79)</f>
        <v/>
      </c>
      <c r="AN80" s="1026" t="str">
        <f>IF(AM80="","",'#minDung'!DK79)</f>
        <v/>
      </c>
      <c r="AO80" s="1025"/>
      <c r="AP80" s="1026" t="str">
        <f>IF(AO80="","",'#minDung'!DS79)</f>
        <v/>
      </c>
      <c r="AQ80" s="1026" t="str">
        <f>IF(AP80="","",'#minDung'!DT79)</f>
        <v/>
      </c>
      <c r="AR80" s="1025"/>
      <c r="AS80" s="1026" t="str">
        <f>IF(AR80="","",'#minDung'!EB79)</f>
        <v/>
      </c>
      <c r="AT80" s="1026" t="str">
        <f>IF(AS80="","",'#minDung'!EC79)</f>
        <v/>
      </c>
      <c r="AU80" s="1025"/>
      <c r="AV80" s="1026" t="str">
        <f>IF(AU80="","",'#minDung'!EK79)</f>
        <v/>
      </c>
      <c r="AW80" s="1026" t="str">
        <f>IF(AV80="","",'#minDung'!EL79)</f>
        <v/>
      </c>
      <c r="AX80" s="1025"/>
      <c r="AY80" s="1026" t="str">
        <f>IF(AX80="","",'#minDung'!ET79)</f>
        <v/>
      </c>
      <c r="AZ80" s="1026" t="str">
        <f>IF(AY80="","",'#minDung'!EU79)</f>
        <v/>
      </c>
      <c r="BA80" s="1025"/>
      <c r="BB80" s="1026" t="str">
        <f>IF(BA80="","",'#minDung'!FC79)</f>
        <v/>
      </c>
      <c r="BC80" s="1026" t="str">
        <f>IF(BB80="","",'#minDung'!FD79)</f>
        <v/>
      </c>
      <c r="BD80" s="1025"/>
      <c r="BE80" s="1026" t="str">
        <f>IF(BD80="","",'#minDung'!FL79)</f>
        <v/>
      </c>
      <c r="BF80" s="1026" t="str">
        <f>IF(BE80="","",'#minDung'!FM79)</f>
        <v/>
      </c>
      <c r="BG80" s="1025"/>
      <c r="BH80" s="1026" t="str">
        <f>IF(BG80="","",'#minDung'!FU79)</f>
        <v/>
      </c>
      <c r="BI80" s="1026" t="str">
        <f>IF(BH80="","",'#minDung'!FV79)</f>
        <v/>
      </c>
      <c r="BJ80" s="1025"/>
      <c r="BK80" s="1026" t="str">
        <f>IF(BJ80="","",'#minDung'!GD79)</f>
        <v/>
      </c>
      <c r="BL80" s="1026" t="str">
        <f>IF(BK80="","",'#minDung'!GE79)</f>
        <v/>
      </c>
      <c r="BM80" s="1025"/>
      <c r="BN80" s="1026" t="str">
        <f>IF(BM80="","",'#minDung'!GM79)</f>
        <v/>
      </c>
      <c r="BO80" s="1026" t="str">
        <f>IF(BN80="","",'#minDung'!GN79)</f>
        <v/>
      </c>
      <c r="BP80" s="1025"/>
      <c r="BQ80" s="1026" t="str">
        <f>IF(BP80="","",'#minDung'!GV79)</f>
        <v/>
      </c>
      <c r="BR80" s="1026" t="str">
        <f>IF(BQ80="","",'#minDung'!GW79)</f>
        <v/>
      </c>
      <c r="BS80" s="1025"/>
      <c r="BT80" s="1026" t="str">
        <f>IF(BS80="","",'#minDung'!HE79)</f>
        <v/>
      </c>
      <c r="BU80" s="1026" t="str">
        <f>IF(BT80="","",'#minDung'!HF79)</f>
        <v/>
      </c>
      <c r="BV80" s="1025"/>
      <c r="BW80" s="1026" t="str">
        <f>IF(BV80="","",'#minDung'!HN79)</f>
        <v/>
      </c>
      <c r="BX80" s="1026" t="str">
        <f>IF(BW80="","",'#minDung'!HO79)</f>
        <v/>
      </c>
      <c r="BY80" s="1025"/>
      <c r="BZ80" s="1026" t="str">
        <f>IF(BY80="","",'#minDung'!HW79)</f>
        <v/>
      </c>
      <c r="CA80" s="1026" t="str">
        <f>IF(BZ80="","",'#minDung'!HX79)</f>
        <v/>
      </c>
      <c r="CB80" s="1025"/>
      <c r="CC80" s="1026" t="str">
        <f>IF(CB80="","",'#minDung'!IF79)</f>
        <v/>
      </c>
      <c r="CD80" s="1026" t="str">
        <f>IF(CC80="","",'#minDung'!IG79)</f>
        <v/>
      </c>
      <c r="CE80" s="1025"/>
      <c r="CF80" s="1026" t="str">
        <f>IF(CE80="","",'#minDung'!IO79)</f>
        <v/>
      </c>
      <c r="CG80" s="1026" t="str">
        <f>IF(CF80="","",'#minDung'!IP79)</f>
        <v/>
      </c>
      <c r="CH80" s="1025"/>
      <c r="CI80" s="1026" t="str">
        <f>IF(CH80="","",'#minDung'!IX79)</f>
        <v/>
      </c>
      <c r="CJ80" s="1026" t="str">
        <f>IF(CI80="","",'#minDung'!IY79)</f>
        <v/>
      </c>
      <c r="CK80" s="1025"/>
      <c r="CL80" s="1026" t="str">
        <f>IF(CK80="","",'#minDung'!JG79)</f>
        <v/>
      </c>
      <c r="CM80" s="1026" t="str">
        <f>IF(CL80="","",'#minDung'!JH79)</f>
        <v/>
      </c>
      <c r="CN80" s="1025"/>
      <c r="CO80" s="1026" t="str">
        <f>IF(CN80="","",'#minDung'!JP79)</f>
        <v/>
      </c>
      <c r="CP80" s="1026" t="str">
        <f>IF(CO80="","",'#minDung'!JQ79)</f>
        <v/>
      </c>
      <c r="CQ80" s="1025"/>
      <c r="CR80" s="1026" t="str">
        <f>IF(CQ80="","",'#minDung'!JY79)</f>
        <v/>
      </c>
      <c r="CS80" s="1030" t="str">
        <f>IF(CR80="","",'#minDung'!JZ79)</f>
        <v/>
      </c>
      <c r="CT80" s="170"/>
    </row>
    <row r="81" spans="1:98" s="875" customFormat="1" ht="15" customHeight="1" x14ac:dyDescent="0.2">
      <c r="A81" s="1205">
        <f>'Flächen u. Kulturen'!A79</f>
        <v>70</v>
      </c>
      <c r="B81" s="1205" t="str">
        <f>+'org. Düngung 22'!B82</f>
        <v/>
      </c>
      <c r="C81" s="1206" t="str">
        <f>'org. Düngung 22'!C82</f>
        <v/>
      </c>
      <c r="D81" s="1197" t="str">
        <f>'org. Düngung 22'!D82</f>
        <v/>
      </c>
      <c r="E81" s="1207" t="str">
        <f>'org. Düngung 22'!E82</f>
        <v/>
      </c>
      <c r="F81" s="1199" t="str">
        <f>'org. Düngung 22'!F82</f>
        <v/>
      </c>
      <c r="G81" s="1201" t="str">
        <f>IF(C81="","",IF(COUNT('#minDung'!KF80:KJ80)=0,"OK",TRIM(CONCATENATE('#minDung'!KF80," ",'#minDung'!KG80," ",'#minDung'!KH80," ",'#minDung'!KI80," ",'#minDung'!KJ80))))</f>
        <v/>
      </c>
      <c r="H81" s="1025"/>
      <c r="I81" s="1026" t="str">
        <f>IF(H81="","",'#minDung'!X80)</f>
        <v/>
      </c>
      <c r="J81" s="1026" t="str">
        <f>IF(I81="","",'#minDung'!Y80)</f>
        <v/>
      </c>
      <c r="K81" s="1025"/>
      <c r="L81" s="1026" t="str">
        <f>IF(K81="","",'#minDung'!AG80)</f>
        <v/>
      </c>
      <c r="M81" s="1026" t="str">
        <f>IF(L81="","",'#minDung'!AH80)</f>
        <v/>
      </c>
      <c r="N81" s="1025"/>
      <c r="O81" s="1026" t="str">
        <f>IF(N81="","",'#minDung'!AP80)</f>
        <v/>
      </c>
      <c r="P81" s="1026" t="str">
        <f>IF(O81="","",'#minDung'!AQ80)</f>
        <v/>
      </c>
      <c r="Q81" s="1025"/>
      <c r="R81" s="1026" t="str">
        <f>IF(Q81="","",'#minDung'!AY80)</f>
        <v/>
      </c>
      <c r="S81" s="1026" t="str">
        <f>IF(R81="","",'#minDung'!AZ80)</f>
        <v/>
      </c>
      <c r="T81" s="1025"/>
      <c r="U81" s="1026" t="str">
        <f>IF(T81="","",'#minDung'!BH80)</f>
        <v/>
      </c>
      <c r="V81" s="1026" t="str">
        <f>IF(U81="","",'#minDung'!BI80)</f>
        <v/>
      </c>
      <c r="W81" s="1025"/>
      <c r="X81" s="1026" t="str">
        <f>IF(W81="","",'#minDung'!BQ80)</f>
        <v/>
      </c>
      <c r="Y81" s="1026" t="str">
        <f>IF(X81="","",'#minDung'!BR80)</f>
        <v/>
      </c>
      <c r="Z81" s="1025"/>
      <c r="AA81" s="1026" t="str">
        <f>IF(Z81="","",'#minDung'!BZ80)</f>
        <v/>
      </c>
      <c r="AB81" s="1026" t="str">
        <f>IF(AA81="","",'#minDung'!CA80)</f>
        <v/>
      </c>
      <c r="AC81" s="1025"/>
      <c r="AD81" s="1026" t="str">
        <f>IF(AC81="","",'#minDung'!CI80)</f>
        <v/>
      </c>
      <c r="AE81" s="1026" t="str">
        <f>IF(AD81="","",'#minDung'!CJ80)</f>
        <v/>
      </c>
      <c r="AF81" s="1025"/>
      <c r="AG81" s="1026" t="str">
        <f>IF(AF81="","",'#minDung'!CR80)</f>
        <v/>
      </c>
      <c r="AH81" s="1026" t="str">
        <f>IF(AG81="","",'#minDung'!CS80)</f>
        <v/>
      </c>
      <c r="AI81" s="1025"/>
      <c r="AJ81" s="1026" t="str">
        <f>IF(AI81="","",'#minDung'!DA80)</f>
        <v/>
      </c>
      <c r="AK81" s="1026" t="str">
        <f>IF(AJ81="","",'#minDung'!DB80)</f>
        <v/>
      </c>
      <c r="AL81" s="1025"/>
      <c r="AM81" s="1026" t="str">
        <f>IF(AL81="","",'#minDung'!DJ80)</f>
        <v/>
      </c>
      <c r="AN81" s="1026" t="str">
        <f>IF(AM81="","",'#minDung'!DK80)</f>
        <v/>
      </c>
      <c r="AO81" s="1025"/>
      <c r="AP81" s="1026" t="str">
        <f>IF(AO81="","",'#minDung'!DS80)</f>
        <v/>
      </c>
      <c r="AQ81" s="1026" t="str">
        <f>IF(AP81="","",'#minDung'!DT80)</f>
        <v/>
      </c>
      <c r="AR81" s="1025"/>
      <c r="AS81" s="1026" t="str">
        <f>IF(AR81="","",'#minDung'!EB80)</f>
        <v/>
      </c>
      <c r="AT81" s="1026" t="str">
        <f>IF(AS81="","",'#minDung'!EC80)</f>
        <v/>
      </c>
      <c r="AU81" s="1025"/>
      <c r="AV81" s="1026" t="str">
        <f>IF(AU81="","",'#minDung'!EK80)</f>
        <v/>
      </c>
      <c r="AW81" s="1026" t="str">
        <f>IF(AV81="","",'#minDung'!EL80)</f>
        <v/>
      </c>
      <c r="AX81" s="1025"/>
      <c r="AY81" s="1026" t="str">
        <f>IF(AX81="","",'#minDung'!ET80)</f>
        <v/>
      </c>
      <c r="AZ81" s="1026" t="str">
        <f>IF(AY81="","",'#minDung'!EU80)</f>
        <v/>
      </c>
      <c r="BA81" s="1025"/>
      <c r="BB81" s="1026" t="str">
        <f>IF(BA81="","",'#minDung'!FC80)</f>
        <v/>
      </c>
      <c r="BC81" s="1026" t="str">
        <f>IF(BB81="","",'#minDung'!FD80)</f>
        <v/>
      </c>
      <c r="BD81" s="1025"/>
      <c r="BE81" s="1026" t="str">
        <f>IF(BD81="","",'#minDung'!FL80)</f>
        <v/>
      </c>
      <c r="BF81" s="1026" t="str">
        <f>IF(BE81="","",'#minDung'!FM80)</f>
        <v/>
      </c>
      <c r="BG81" s="1025"/>
      <c r="BH81" s="1026" t="str">
        <f>IF(BG81="","",'#minDung'!FU80)</f>
        <v/>
      </c>
      <c r="BI81" s="1026" t="str">
        <f>IF(BH81="","",'#minDung'!FV80)</f>
        <v/>
      </c>
      <c r="BJ81" s="1025"/>
      <c r="BK81" s="1026" t="str">
        <f>IF(BJ81="","",'#minDung'!GD80)</f>
        <v/>
      </c>
      <c r="BL81" s="1026" t="str">
        <f>IF(BK81="","",'#minDung'!GE80)</f>
        <v/>
      </c>
      <c r="BM81" s="1025"/>
      <c r="BN81" s="1026" t="str">
        <f>IF(BM81="","",'#minDung'!GM80)</f>
        <v/>
      </c>
      <c r="BO81" s="1026" t="str">
        <f>IF(BN81="","",'#minDung'!GN80)</f>
        <v/>
      </c>
      <c r="BP81" s="1025"/>
      <c r="BQ81" s="1026" t="str">
        <f>IF(BP81="","",'#minDung'!GV80)</f>
        <v/>
      </c>
      <c r="BR81" s="1026" t="str">
        <f>IF(BQ81="","",'#minDung'!GW80)</f>
        <v/>
      </c>
      <c r="BS81" s="1025"/>
      <c r="BT81" s="1026" t="str">
        <f>IF(BS81="","",'#minDung'!HE80)</f>
        <v/>
      </c>
      <c r="BU81" s="1026" t="str">
        <f>IF(BT81="","",'#minDung'!HF80)</f>
        <v/>
      </c>
      <c r="BV81" s="1025"/>
      <c r="BW81" s="1026" t="str">
        <f>IF(BV81="","",'#minDung'!HN80)</f>
        <v/>
      </c>
      <c r="BX81" s="1026" t="str">
        <f>IF(BW81="","",'#minDung'!HO80)</f>
        <v/>
      </c>
      <c r="BY81" s="1025"/>
      <c r="BZ81" s="1026" t="str">
        <f>IF(BY81="","",'#minDung'!HW80)</f>
        <v/>
      </c>
      <c r="CA81" s="1026" t="str">
        <f>IF(BZ81="","",'#minDung'!HX80)</f>
        <v/>
      </c>
      <c r="CB81" s="1025"/>
      <c r="CC81" s="1026" t="str">
        <f>IF(CB81="","",'#minDung'!IF80)</f>
        <v/>
      </c>
      <c r="CD81" s="1026" t="str">
        <f>IF(CC81="","",'#minDung'!IG80)</f>
        <v/>
      </c>
      <c r="CE81" s="1025"/>
      <c r="CF81" s="1026" t="str">
        <f>IF(CE81="","",'#minDung'!IO80)</f>
        <v/>
      </c>
      <c r="CG81" s="1026" t="str">
        <f>IF(CF81="","",'#minDung'!IP80)</f>
        <v/>
      </c>
      <c r="CH81" s="1025"/>
      <c r="CI81" s="1026" t="str">
        <f>IF(CH81="","",'#minDung'!IX80)</f>
        <v/>
      </c>
      <c r="CJ81" s="1026" t="str">
        <f>IF(CI81="","",'#minDung'!IY80)</f>
        <v/>
      </c>
      <c r="CK81" s="1025"/>
      <c r="CL81" s="1026" t="str">
        <f>IF(CK81="","",'#minDung'!JG80)</f>
        <v/>
      </c>
      <c r="CM81" s="1026" t="str">
        <f>IF(CL81="","",'#minDung'!JH80)</f>
        <v/>
      </c>
      <c r="CN81" s="1025"/>
      <c r="CO81" s="1026" t="str">
        <f>IF(CN81="","",'#minDung'!JP80)</f>
        <v/>
      </c>
      <c r="CP81" s="1026" t="str">
        <f>IF(CO81="","",'#minDung'!JQ80)</f>
        <v/>
      </c>
      <c r="CQ81" s="1025"/>
      <c r="CR81" s="1026" t="str">
        <f>IF(CQ81="","",'#minDung'!JY80)</f>
        <v/>
      </c>
      <c r="CS81" s="1030" t="str">
        <f>IF(CR81="","",'#minDung'!JZ80)</f>
        <v/>
      </c>
      <c r="CT81" s="170"/>
    </row>
    <row r="82" spans="1:98" s="875" customFormat="1" ht="15" customHeight="1" x14ac:dyDescent="0.2">
      <c r="A82" s="1205">
        <f>'Flächen u. Kulturen'!A80</f>
        <v>71</v>
      </c>
      <c r="B82" s="1205" t="str">
        <f>+'org. Düngung 22'!B83</f>
        <v/>
      </c>
      <c r="C82" s="1206" t="str">
        <f>'org. Düngung 22'!C83</f>
        <v/>
      </c>
      <c r="D82" s="1197" t="str">
        <f>'org. Düngung 22'!D83</f>
        <v/>
      </c>
      <c r="E82" s="1207" t="str">
        <f>'org. Düngung 22'!E83</f>
        <v/>
      </c>
      <c r="F82" s="1199" t="str">
        <f>'org. Düngung 22'!F83</f>
        <v/>
      </c>
      <c r="G82" s="1201" t="str">
        <f>IF(C82="","",IF(COUNT('#minDung'!KF81:KJ81)=0,"OK",TRIM(CONCATENATE('#minDung'!KF81," ",'#minDung'!KG81," ",'#minDung'!KH81," ",'#minDung'!KI81," ",'#minDung'!KJ81))))</f>
        <v/>
      </c>
      <c r="H82" s="1025"/>
      <c r="I82" s="1026" t="str">
        <f>IF(H82="","",'#minDung'!X81)</f>
        <v/>
      </c>
      <c r="J82" s="1026" t="str">
        <f>IF(I82="","",'#minDung'!Y81)</f>
        <v/>
      </c>
      <c r="K82" s="1025"/>
      <c r="L82" s="1026" t="str">
        <f>IF(K82="","",'#minDung'!AG81)</f>
        <v/>
      </c>
      <c r="M82" s="1026" t="str">
        <f>IF(L82="","",'#minDung'!AH81)</f>
        <v/>
      </c>
      <c r="N82" s="1025"/>
      <c r="O82" s="1026" t="str">
        <f>IF(N82="","",'#minDung'!AP81)</f>
        <v/>
      </c>
      <c r="P82" s="1026" t="str">
        <f>IF(O82="","",'#minDung'!AQ81)</f>
        <v/>
      </c>
      <c r="Q82" s="1025"/>
      <c r="R82" s="1026" t="str">
        <f>IF(Q82="","",'#minDung'!AY81)</f>
        <v/>
      </c>
      <c r="S82" s="1026" t="str">
        <f>IF(R82="","",'#minDung'!AZ81)</f>
        <v/>
      </c>
      <c r="T82" s="1025"/>
      <c r="U82" s="1026" t="str">
        <f>IF(T82="","",'#minDung'!BH81)</f>
        <v/>
      </c>
      <c r="V82" s="1026" t="str">
        <f>IF(U82="","",'#minDung'!BI81)</f>
        <v/>
      </c>
      <c r="W82" s="1025"/>
      <c r="X82" s="1026" t="str">
        <f>IF(W82="","",'#minDung'!BQ81)</f>
        <v/>
      </c>
      <c r="Y82" s="1026" t="str">
        <f>IF(X82="","",'#minDung'!BR81)</f>
        <v/>
      </c>
      <c r="Z82" s="1025"/>
      <c r="AA82" s="1026" t="str">
        <f>IF(Z82="","",'#minDung'!BZ81)</f>
        <v/>
      </c>
      <c r="AB82" s="1026" t="str">
        <f>IF(AA82="","",'#minDung'!CA81)</f>
        <v/>
      </c>
      <c r="AC82" s="1025"/>
      <c r="AD82" s="1026" t="str">
        <f>IF(AC82="","",'#minDung'!CI81)</f>
        <v/>
      </c>
      <c r="AE82" s="1026" t="str">
        <f>IF(AD82="","",'#minDung'!CJ81)</f>
        <v/>
      </c>
      <c r="AF82" s="1025"/>
      <c r="AG82" s="1026" t="str">
        <f>IF(AF82="","",'#minDung'!CR81)</f>
        <v/>
      </c>
      <c r="AH82" s="1026" t="str">
        <f>IF(AG82="","",'#minDung'!CS81)</f>
        <v/>
      </c>
      <c r="AI82" s="1025"/>
      <c r="AJ82" s="1026" t="str">
        <f>IF(AI82="","",'#minDung'!DA81)</f>
        <v/>
      </c>
      <c r="AK82" s="1026" t="str">
        <f>IF(AJ82="","",'#minDung'!DB81)</f>
        <v/>
      </c>
      <c r="AL82" s="1025"/>
      <c r="AM82" s="1026" t="str">
        <f>IF(AL82="","",'#minDung'!DJ81)</f>
        <v/>
      </c>
      <c r="AN82" s="1026" t="str">
        <f>IF(AM82="","",'#minDung'!DK81)</f>
        <v/>
      </c>
      <c r="AO82" s="1025"/>
      <c r="AP82" s="1026" t="str">
        <f>IF(AO82="","",'#minDung'!DS81)</f>
        <v/>
      </c>
      <c r="AQ82" s="1026" t="str">
        <f>IF(AP82="","",'#minDung'!DT81)</f>
        <v/>
      </c>
      <c r="AR82" s="1025"/>
      <c r="AS82" s="1026" t="str">
        <f>IF(AR82="","",'#minDung'!EB81)</f>
        <v/>
      </c>
      <c r="AT82" s="1026" t="str">
        <f>IF(AS82="","",'#minDung'!EC81)</f>
        <v/>
      </c>
      <c r="AU82" s="1025"/>
      <c r="AV82" s="1026" t="str">
        <f>IF(AU82="","",'#minDung'!EK81)</f>
        <v/>
      </c>
      <c r="AW82" s="1026" t="str">
        <f>IF(AV82="","",'#minDung'!EL81)</f>
        <v/>
      </c>
      <c r="AX82" s="1025"/>
      <c r="AY82" s="1026" t="str">
        <f>IF(AX82="","",'#minDung'!ET81)</f>
        <v/>
      </c>
      <c r="AZ82" s="1026" t="str">
        <f>IF(AY82="","",'#minDung'!EU81)</f>
        <v/>
      </c>
      <c r="BA82" s="1025"/>
      <c r="BB82" s="1026" t="str">
        <f>IF(BA82="","",'#minDung'!FC81)</f>
        <v/>
      </c>
      <c r="BC82" s="1026" t="str">
        <f>IF(BB82="","",'#minDung'!FD81)</f>
        <v/>
      </c>
      <c r="BD82" s="1025"/>
      <c r="BE82" s="1026" t="str">
        <f>IF(BD82="","",'#minDung'!FL81)</f>
        <v/>
      </c>
      <c r="BF82" s="1026" t="str">
        <f>IF(BE82="","",'#minDung'!FM81)</f>
        <v/>
      </c>
      <c r="BG82" s="1025"/>
      <c r="BH82" s="1026" t="str">
        <f>IF(BG82="","",'#minDung'!FU81)</f>
        <v/>
      </c>
      <c r="BI82" s="1026" t="str">
        <f>IF(BH82="","",'#minDung'!FV81)</f>
        <v/>
      </c>
      <c r="BJ82" s="1025"/>
      <c r="BK82" s="1026" t="str">
        <f>IF(BJ82="","",'#minDung'!GD81)</f>
        <v/>
      </c>
      <c r="BL82" s="1026" t="str">
        <f>IF(BK82="","",'#minDung'!GE81)</f>
        <v/>
      </c>
      <c r="BM82" s="1025"/>
      <c r="BN82" s="1026" t="str">
        <f>IF(BM82="","",'#minDung'!GM81)</f>
        <v/>
      </c>
      <c r="BO82" s="1026" t="str">
        <f>IF(BN82="","",'#minDung'!GN81)</f>
        <v/>
      </c>
      <c r="BP82" s="1025"/>
      <c r="BQ82" s="1026" t="str">
        <f>IF(BP82="","",'#minDung'!GV81)</f>
        <v/>
      </c>
      <c r="BR82" s="1026" t="str">
        <f>IF(BQ82="","",'#minDung'!GW81)</f>
        <v/>
      </c>
      <c r="BS82" s="1025"/>
      <c r="BT82" s="1026" t="str">
        <f>IF(BS82="","",'#minDung'!HE81)</f>
        <v/>
      </c>
      <c r="BU82" s="1026" t="str">
        <f>IF(BT82="","",'#minDung'!HF81)</f>
        <v/>
      </c>
      <c r="BV82" s="1025"/>
      <c r="BW82" s="1026" t="str">
        <f>IF(BV82="","",'#minDung'!HN81)</f>
        <v/>
      </c>
      <c r="BX82" s="1026" t="str">
        <f>IF(BW82="","",'#minDung'!HO81)</f>
        <v/>
      </c>
      <c r="BY82" s="1025"/>
      <c r="BZ82" s="1026" t="str">
        <f>IF(BY82="","",'#minDung'!HW81)</f>
        <v/>
      </c>
      <c r="CA82" s="1026" t="str">
        <f>IF(BZ82="","",'#minDung'!HX81)</f>
        <v/>
      </c>
      <c r="CB82" s="1025"/>
      <c r="CC82" s="1026" t="str">
        <f>IF(CB82="","",'#minDung'!IF81)</f>
        <v/>
      </c>
      <c r="CD82" s="1026" t="str">
        <f>IF(CC82="","",'#minDung'!IG81)</f>
        <v/>
      </c>
      <c r="CE82" s="1025"/>
      <c r="CF82" s="1026" t="str">
        <f>IF(CE82="","",'#minDung'!IO81)</f>
        <v/>
      </c>
      <c r="CG82" s="1026" t="str">
        <f>IF(CF82="","",'#minDung'!IP81)</f>
        <v/>
      </c>
      <c r="CH82" s="1025"/>
      <c r="CI82" s="1026" t="str">
        <f>IF(CH82="","",'#minDung'!IX81)</f>
        <v/>
      </c>
      <c r="CJ82" s="1026" t="str">
        <f>IF(CI82="","",'#minDung'!IY81)</f>
        <v/>
      </c>
      <c r="CK82" s="1025"/>
      <c r="CL82" s="1026" t="str">
        <f>IF(CK82="","",'#minDung'!JG81)</f>
        <v/>
      </c>
      <c r="CM82" s="1026" t="str">
        <f>IF(CL82="","",'#minDung'!JH81)</f>
        <v/>
      </c>
      <c r="CN82" s="1025"/>
      <c r="CO82" s="1026" t="str">
        <f>IF(CN82="","",'#minDung'!JP81)</f>
        <v/>
      </c>
      <c r="CP82" s="1026" t="str">
        <f>IF(CO82="","",'#minDung'!JQ81)</f>
        <v/>
      </c>
      <c r="CQ82" s="1025"/>
      <c r="CR82" s="1026" t="str">
        <f>IF(CQ82="","",'#minDung'!JY81)</f>
        <v/>
      </c>
      <c r="CS82" s="1030" t="str">
        <f>IF(CR82="","",'#minDung'!JZ81)</f>
        <v/>
      </c>
      <c r="CT82" s="170"/>
    </row>
    <row r="83" spans="1:98" s="875" customFormat="1" ht="15" customHeight="1" x14ac:dyDescent="0.2">
      <c r="A83" s="1205">
        <f>'Flächen u. Kulturen'!A81</f>
        <v>72</v>
      </c>
      <c r="B83" s="1205" t="str">
        <f>+'org. Düngung 22'!B84</f>
        <v/>
      </c>
      <c r="C83" s="1206" t="str">
        <f>'org. Düngung 22'!C84</f>
        <v/>
      </c>
      <c r="D83" s="1197" t="str">
        <f>'org. Düngung 22'!D84</f>
        <v/>
      </c>
      <c r="E83" s="1207" t="str">
        <f>'org. Düngung 22'!E84</f>
        <v/>
      </c>
      <c r="F83" s="1199" t="str">
        <f>'org. Düngung 22'!F84</f>
        <v/>
      </c>
      <c r="G83" s="1201" t="str">
        <f>IF(C83="","",IF(COUNT('#minDung'!KF82:KJ82)=0,"OK",TRIM(CONCATENATE('#minDung'!KF82," ",'#minDung'!KG82," ",'#minDung'!KH82," ",'#minDung'!KI82," ",'#minDung'!KJ82))))</f>
        <v/>
      </c>
      <c r="H83" s="1025"/>
      <c r="I83" s="1026" t="str">
        <f>IF(H83="","",'#minDung'!X82)</f>
        <v/>
      </c>
      <c r="J83" s="1026" t="str">
        <f>IF(I83="","",'#minDung'!Y82)</f>
        <v/>
      </c>
      <c r="K83" s="1025"/>
      <c r="L83" s="1026" t="str">
        <f>IF(K83="","",'#minDung'!AG82)</f>
        <v/>
      </c>
      <c r="M83" s="1026" t="str">
        <f>IF(L83="","",'#minDung'!AH82)</f>
        <v/>
      </c>
      <c r="N83" s="1025"/>
      <c r="O83" s="1026" t="str">
        <f>IF(N83="","",'#minDung'!AP82)</f>
        <v/>
      </c>
      <c r="P83" s="1026" t="str">
        <f>IF(O83="","",'#minDung'!AQ82)</f>
        <v/>
      </c>
      <c r="Q83" s="1025"/>
      <c r="R83" s="1026" t="str">
        <f>IF(Q83="","",'#minDung'!AY82)</f>
        <v/>
      </c>
      <c r="S83" s="1026" t="str">
        <f>IF(R83="","",'#minDung'!AZ82)</f>
        <v/>
      </c>
      <c r="T83" s="1025"/>
      <c r="U83" s="1026" t="str">
        <f>IF(T83="","",'#minDung'!BH82)</f>
        <v/>
      </c>
      <c r="V83" s="1026" t="str">
        <f>IF(U83="","",'#minDung'!BI82)</f>
        <v/>
      </c>
      <c r="W83" s="1025"/>
      <c r="X83" s="1026" t="str">
        <f>IF(W83="","",'#minDung'!BQ82)</f>
        <v/>
      </c>
      <c r="Y83" s="1026" t="str">
        <f>IF(X83="","",'#minDung'!BR82)</f>
        <v/>
      </c>
      <c r="Z83" s="1025"/>
      <c r="AA83" s="1026" t="str">
        <f>IF(Z83="","",'#minDung'!BZ82)</f>
        <v/>
      </c>
      <c r="AB83" s="1026" t="str">
        <f>IF(AA83="","",'#minDung'!CA82)</f>
        <v/>
      </c>
      <c r="AC83" s="1025"/>
      <c r="AD83" s="1026" t="str">
        <f>IF(AC83="","",'#minDung'!CI82)</f>
        <v/>
      </c>
      <c r="AE83" s="1026" t="str">
        <f>IF(AD83="","",'#minDung'!CJ82)</f>
        <v/>
      </c>
      <c r="AF83" s="1025"/>
      <c r="AG83" s="1026" t="str">
        <f>IF(AF83="","",'#minDung'!CR82)</f>
        <v/>
      </c>
      <c r="AH83" s="1026" t="str">
        <f>IF(AG83="","",'#minDung'!CS82)</f>
        <v/>
      </c>
      <c r="AI83" s="1025"/>
      <c r="AJ83" s="1026" t="str">
        <f>IF(AI83="","",'#minDung'!DA82)</f>
        <v/>
      </c>
      <c r="AK83" s="1026" t="str">
        <f>IF(AJ83="","",'#minDung'!DB82)</f>
        <v/>
      </c>
      <c r="AL83" s="1025"/>
      <c r="AM83" s="1026" t="str">
        <f>IF(AL83="","",'#minDung'!DJ82)</f>
        <v/>
      </c>
      <c r="AN83" s="1026" t="str">
        <f>IF(AM83="","",'#minDung'!DK82)</f>
        <v/>
      </c>
      <c r="AO83" s="1025"/>
      <c r="AP83" s="1026" t="str">
        <f>IF(AO83="","",'#minDung'!DS82)</f>
        <v/>
      </c>
      <c r="AQ83" s="1026" t="str">
        <f>IF(AP83="","",'#minDung'!DT82)</f>
        <v/>
      </c>
      <c r="AR83" s="1025"/>
      <c r="AS83" s="1026" t="str">
        <f>IF(AR83="","",'#minDung'!EB82)</f>
        <v/>
      </c>
      <c r="AT83" s="1026" t="str">
        <f>IF(AS83="","",'#minDung'!EC82)</f>
        <v/>
      </c>
      <c r="AU83" s="1025"/>
      <c r="AV83" s="1026" t="str">
        <f>IF(AU83="","",'#minDung'!EK82)</f>
        <v/>
      </c>
      <c r="AW83" s="1026" t="str">
        <f>IF(AV83="","",'#minDung'!EL82)</f>
        <v/>
      </c>
      <c r="AX83" s="1025"/>
      <c r="AY83" s="1026" t="str">
        <f>IF(AX83="","",'#minDung'!ET82)</f>
        <v/>
      </c>
      <c r="AZ83" s="1026" t="str">
        <f>IF(AY83="","",'#minDung'!EU82)</f>
        <v/>
      </c>
      <c r="BA83" s="1025"/>
      <c r="BB83" s="1026" t="str">
        <f>IF(BA83="","",'#minDung'!FC82)</f>
        <v/>
      </c>
      <c r="BC83" s="1026" t="str">
        <f>IF(BB83="","",'#minDung'!FD82)</f>
        <v/>
      </c>
      <c r="BD83" s="1025"/>
      <c r="BE83" s="1026" t="str">
        <f>IF(BD83="","",'#minDung'!FL82)</f>
        <v/>
      </c>
      <c r="BF83" s="1026" t="str">
        <f>IF(BE83="","",'#minDung'!FM82)</f>
        <v/>
      </c>
      <c r="BG83" s="1025"/>
      <c r="BH83" s="1026" t="str">
        <f>IF(BG83="","",'#minDung'!FU82)</f>
        <v/>
      </c>
      <c r="BI83" s="1026" t="str">
        <f>IF(BH83="","",'#minDung'!FV82)</f>
        <v/>
      </c>
      <c r="BJ83" s="1025"/>
      <c r="BK83" s="1026" t="str">
        <f>IF(BJ83="","",'#minDung'!GD82)</f>
        <v/>
      </c>
      <c r="BL83" s="1026" t="str">
        <f>IF(BK83="","",'#minDung'!GE82)</f>
        <v/>
      </c>
      <c r="BM83" s="1025"/>
      <c r="BN83" s="1026" t="str">
        <f>IF(BM83="","",'#minDung'!GM82)</f>
        <v/>
      </c>
      <c r="BO83" s="1026" t="str">
        <f>IF(BN83="","",'#minDung'!GN82)</f>
        <v/>
      </c>
      <c r="BP83" s="1025"/>
      <c r="BQ83" s="1026" t="str">
        <f>IF(BP83="","",'#minDung'!GV82)</f>
        <v/>
      </c>
      <c r="BR83" s="1026" t="str">
        <f>IF(BQ83="","",'#minDung'!GW82)</f>
        <v/>
      </c>
      <c r="BS83" s="1025"/>
      <c r="BT83" s="1026" t="str">
        <f>IF(BS83="","",'#minDung'!HE82)</f>
        <v/>
      </c>
      <c r="BU83" s="1026" t="str">
        <f>IF(BT83="","",'#minDung'!HF82)</f>
        <v/>
      </c>
      <c r="BV83" s="1025"/>
      <c r="BW83" s="1026" t="str">
        <f>IF(BV83="","",'#minDung'!HN82)</f>
        <v/>
      </c>
      <c r="BX83" s="1026" t="str">
        <f>IF(BW83="","",'#minDung'!HO82)</f>
        <v/>
      </c>
      <c r="BY83" s="1025"/>
      <c r="BZ83" s="1026" t="str">
        <f>IF(BY83="","",'#minDung'!HW82)</f>
        <v/>
      </c>
      <c r="CA83" s="1026" t="str">
        <f>IF(BZ83="","",'#minDung'!HX82)</f>
        <v/>
      </c>
      <c r="CB83" s="1025"/>
      <c r="CC83" s="1026" t="str">
        <f>IF(CB83="","",'#minDung'!IF82)</f>
        <v/>
      </c>
      <c r="CD83" s="1026" t="str">
        <f>IF(CC83="","",'#minDung'!IG82)</f>
        <v/>
      </c>
      <c r="CE83" s="1025"/>
      <c r="CF83" s="1026" t="str">
        <f>IF(CE83="","",'#minDung'!IO82)</f>
        <v/>
      </c>
      <c r="CG83" s="1026" t="str">
        <f>IF(CF83="","",'#minDung'!IP82)</f>
        <v/>
      </c>
      <c r="CH83" s="1025"/>
      <c r="CI83" s="1026" t="str">
        <f>IF(CH83="","",'#minDung'!IX82)</f>
        <v/>
      </c>
      <c r="CJ83" s="1026" t="str">
        <f>IF(CI83="","",'#minDung'!IY82)</f>
        <v/>
      </c>
      <c r="CK83" s="1025"/>
      <c r="CL83" s="1026" t="str">
        <f>IF(CK83="","",'#minDung'!JG82)</f>
        <v/>
      </c>
      <c r="CM83" s="1026" t="str">
        <f>IF(CL83="","",'#minDung'!JH82)</f>
        <v/>
      </c>
      <c r="CN83" s="1025"/>
      <c r="CO83" s="1026" t="str">
        <f>IF(CN83="","",'#minDung'!JP82)</f>
        <v/>
      </c>
      <c r="CP83" s="1026" t="str">
        <f>IF(CO83="","",'#minDung'!JQ82)</f>
        <v/>
      </c>
      <c r="CQ83" s="1025"/>
      <c r="CR83" s="1026" t="str">
        <f>IF(CQ83="","",'#minDung'!JY82)</f>
        <v/>
      </c>
      <c r="CS83" s="1030" t="str">
        <f>IF(CR83="","",'#minDung'!JZ82)</f>
        <v/>
      </c>
      <c r="CT83" s="170"/>
    </row>
    <row r="84" spans="1:98" s="875" customFormat="1" ht="15" customHeight="1" x14ac:dyDescent="0.2">
      <c r="A84" s="1205">
        <f>'Flächen u. Kulturen'!A82</f>
        <v>73</v>
      </c>
      <c r="B84" s="1205" t="str">
        <f>+'org. Düngung 22'!B85</f>
        <v/>
      </c>
      <c r="C84" s="1206" t="str">
        <f>'org. Düngung 22'!C85</f>
        <v/>
      </c>
      <c r="D84" s="1197" t="str">
        <f>'org. Düngung 22'!D85</f>
        <v/>
      </c>
      <c r="E84" s="1207" t="str">
        <f>'org. Düngung 22'!E85</f>
        <v/>
      </c>
      <c r="F84" s="1199" t="str">
        <f>'org. Düngung 22'!F85</f>
        <v/>
      </c>
      <c r="G84" s="1201" t="str">
        <f>IF(C84="","",IF(COUNT('#minDung'!KF83:KJ83)=0,"OK",TRIM(CONCATENATE('#minDung'!KF83," ",'#minDung'!KG83," ",'#minDung'!KH83," ",'#minDung'!KI83," ",'#minDung'!KJ83))))</f>
        <v/>
      </c>
      <c r="H84" s="1025"/>
      <c r="I84" s="1026" t="str">
        <f>IF(H84="","",'#minDung'!X83)</f>
        <v/>
      </c>
      <c r="J84" s="1026" t="str">
        <f>IF(I84="","",'#minDung'!Y83)</f>
        <v/>
      </c>
      <c r="K84" s="1025"/>
      <c r="L84" s="1026" t="str">
        <f>IF(K84="","",'#minDung'!AG83)</f>
        <v/>
      </c>
      <c r="M84" s="1026" t="str">
        <f>IF(L84="","",'#minDung'!AH83)</f>
        <v/>
      </c>
      <c r="N84" s="1025"/>
      <c r="O84" s="1026" t="str">
        <f>IF(N84="","",'#minDung'!AP83)</f>
        <v/>
      </c>
      <c r="P84" s="1026" t="str">
        <f>IF(O84="","",'#minDung'!AQ83)</f>
        <v/>
      </c>
      <c r="Q84" s="1025"/>
      <c r="R84" s="1026" t="str">
        <f>IF(Q84="","",'#minDung'!AY83)</f>
        <v/>
      </c>
      <c r="S84" s="1026" t="str">
        <f>IF(R84="","",'#minDung'!AZ83)</f>
        <v/>
      </c>
      <c r="T84" s="1025"/>
      <c r="U84" s="1026" t="str">
        <f>IF(T84="","",'#minDung'!BH83)</f>
        <v/>
      </c>
      <c r="V84" s="1026" t="str">
        <f>IF(U84="","",'#minDung'!BI83)</f>
        <v/>
      </c>
      <c r="W84" s="1025"/>
      <c r="X84" s="1026" t="str">
        <f>IF(W84="","",'#minDung'!BQ83)</f>
        <v/>
      </c>
      <c r="Y84" s="1026" t="str">
        <f>IF(X84="","",'#minDung'!BR83)</f>
        <v/>
      </c>
      <c r="Z84" s="1025"/>
      <c r="AA84" s="1026" t="str">
        <f>IF(Z84="","",'#minDung'!BZ83)</f>
        <v/>
      </c>
      <c r="AB84" s="1026" t="str">
        <f>IF(AA84="","",'#minDung'!CA83)</f>
        <v/>
      </c>
      <c r="AC84" s="1025"/>
      <c r="AD84" s="1026" t="str">
        <f>IF(AC84="","",'#minDung'!CI83)</f>
        <v/>
      </c>
      <c r="AE84" s="1026" t="str">
        <f>IF(AD84="","",'#minDung'!CJ83)</f>
        <v/>
      </c>
      <c r="AF84" s="1025"/>
      <c r="AG84" s="1026" t="str">
        <f>IF(AF84="","",'#minDung'!CR83)</f>
        <v/>
      </c>
      <c r="AH84" s="1026" t="str">
        <f>IF(AG84="","",'#minDung'!CS83)</f>
        <v/>
      </c>
      <c r="AI84" s="1025"/>
      <c r="AJ84" s="1026" t="str">
        <f>IF(AI84="","",'#minDung'!DA83)</f>
        <v/>
      </c>
      <c r="AK84" s="1026" t="str">
        <f>IF(AJ84="","",'#minDung'!DB83)</f>
        <v/>
      </c>
      <c r="AL84" s="1025"/>
      <c r="AM84" s="1026" t="str">
        <f>IF(AL84="","",'#minDung'!DJ83)</f>
        <v/>
      </c>
      <c r="AN84" s="1026" t="str">
        <f>IF(AM84="","",'#minDung'!DK83)</f>
        <v/>
      </c>
      <c r="AO84" s="1025"/>
      <c r="AP84" s="1026" t="str">
        <f>IF(AO84="","",'#minDung'!DS83)</f>
        <v/>
      </c>
      <c r="AQ84" s="1026" t="str">
        <f>IF(AP84="","",'#minDung'!DT83)</f>
        <v/>
      </c>
      <c r="AR84" s="1025"/>
      <c r="AS84" s="1026" t="str">
        <f>IF(AR84="","",'#minDung'!EB83)</f>
        <v/>
      </c>
      <c r="AT84" s="1026" t="str">
        <f>IF(AS84="","",'#minDung'!EC83)</f>
        <v/>
      </c>
      <c r="AU84" s="1025"/>
      <c r="AV84" s="1026" t="str">
        <f>IF(AU84="","",'#minDung'!EK83)</f>
        <v/>
      </c>
      <c r="AW84" s="1026" t="str">
        <f>IF(AV84="","",'#minDung'!EL83)</f>
        <v/>
      </c>
      <c r="AX84" s="1025"/>
      <c r="AY84" s="1026" t="str">
        <f>IF(AX84="","",'#minDung'!ET83)</f>
        <v/>
      </c>
      <c r="AZ84" s="1026" t="str">
        <f>IF(AY84="","",'#minDung'!EU83)</f>
        <v/>
      </c>
      <c r="BA84" s="1025"/>
      <c r="BB84" s="1026" t="str">
        <f>IF(BA84="","",'#minDung'!FC83)</f>
        <v/>
      </c>
      <c r="BC84" s="1026" t="str">
        <f>IF(BB84="","",'#minDung'!FD83)</f>
        <v/>
      </c>
      <c r="BD84" s="1025"/>
      <c r="BE84" s="1026" t="str">
        <f>IF(BD84="","",'#minDung'!FL83)</f>
        <v/>
      </c>
      <c r="BF84" s="1026" t="str">
        <f>IF(BE84="","",'#minDung'!FM83)</f>
        <v/>
      </c>
      <c r="BG84" s="1025"/>
      <c r="BH84" s="1026" t="str">
        <f>IF(BG84="","",'#minDung'!FU83)</f>
        <v/>
      </c>
      <c r="BI84" s="1026" t="str">
        <f>IF(BH84="","",'#minDung'!FV83)</f>
        <v/>
      </c>
      <c r="BJ84" s="1025"/>
      <c r="BK84" s="1026" t="str">
        <f>IF(BJ84="","",'#minDung'!GD83)</f>
        <v/>
      </c>
      <c r="BL84" s="1026" t="str">
        <f>IF(BK84="","",'#minDung'!GE83)</f>
        <v/>
      </c>
      <c r="BM84" s="1025"/>
      <c r="BN84" s="1026" t="str">
        <f>IF(BM84="","",'#minDung'!GM83)</f>
        <v/>
      </c>
      <c r="BO84" s="1026" t="str">
        <f>IF(BN84="","",'#minDung'!GN83)</f>
        <v/>
      </c>
      <c r="BP84" s="1025"/>
      <c r="BQ84" s="1026" t="str">
        <f>IF(BP84="","",'#minDung'!GV83)</f>
        <v/>
      </c>
      <c r="BR84" s="1026" t="str">
        <f>IF(BQ84="","",'#minDung'!GW83)</f>
        <v/>
      </c>
      <c r="BS84" s="1025"/>
      <c r="BT84" s="1026" t="str">
        <f>IF(BS84="","",'#minDung'!HE83)</f>
        <v/>
      </c>
      <c r="BU84" s="1026" t="str">
        <f>IF(BT84="","",'#minDung'!HF83)</f>
        <v/>
      </c>
      <c r="BV84" s="1025"/>
      <c r="BW84" s="1026" t="str">
        <f>IF(BV84="","",'#minDung'!HN83)</f>
        <v/>
      </c>
      <c r="BX84" s="1026" t="str">
        <f>IF(BW84="","",'#minDung'!HO83)</f>
        <v/>
      </c>
      <c r="BY84" s="1025"/>
      <c r="BZ84" s="1026" t="str">
        <f>IF(BY84="","",'#minDung'!HW83)</f>
        <v/>
      </c>
      <c r="CA84" s="1026" t="str">
        <f>IF(BZ84="","",'#minDung'!HX83)</f>
        <v/>
      </c>
      <c r="CB84" s="1025"/>
      <c r="CC84" s="1026" t="str">
        <f>IF(CB84="","",'#minDung'!IF83)</f>
        <v/>
      </c>
      <c r="CD84" s="1026" t="str">
        <f>IF(CC84="","",'#minDung'!IG83)</f>
        <v/>
      </c>
      <c r="CE84" s="1025"/>
      <c r="CF84" s="1026" t="str">
        <f>IF(CE84="","",'#minDung'!IO83)</f>
        <v/>
      </c>
      <c r="CG84" s="1026" t="str">
        <f>IF(CF84="","",'#minDung'!IP83)</f>
        <v/>
      </c>
      <c r="CH84" s="1025"/>
      <c r="CI84" s="1026" t="str">
        <f>IF(CH84="","",'#minDung'!IX83)</f>
        <v/>
      </c>
      <c r="CJ84" s="1026" t="str">
        <f>IF(CI84="","",'#minDung'!IY83)</f>
        <v/>
      </c>
      <c r="CK84" s="1025"/>
      <c r="CL84" s="1026" t="str">
        <f>IF(CK84="","",'#minDung'!JG83)</f>
        <v/>
      </c>
      <c r="CM84" s="1026" t="str">
        <f>IF(CL84="","",'#minDung'!JH83)</f>
        <v/>
      </c>
      <c r="CN84" s="1025"/>
      <c r="CO84" s="1026" t="str">
        <f>IF(CN84="","",'#minDung'!JP83)</f>
        <v/>
      </c>
      <c r="CP84" s="1026" t="str">
        <f>IF(CO84="","",'#minDung'!JQ83)</f>
        <v/>
      </c>
      <c r="CQ84" s="1025"/>
      <c r="CR84" s="1026" t="str">
        <f>IF(CQ84="","",'#minDung'!JY83)</f>
        <v/>
      </c>
      <c r="CS84" s="1030" t="str">
        <f>IF(CR84="","",'#minDung'!JZ83)</f>
        <v/>
      </c>
      <c r="CT84" s="170"/>
    </row>
    <row r="85" spans="1:98" s="875" customFormat="1" ht="15" customHeight="1" x14ac:dyDescent="0.2">
      <c r="A85" s="1205">
        <f>'Flächen u. Kulturen'!A83</f>
        <v>74</v>
      </c>
      <c r="B85" s="1205" t="str">
        <f>+'org. Düngung 22'!B86</f>
        <v/>
      </c>
      <c r="C85" s="1206" t="str">
        <f>'org. Düngung 22'!C86</f>
        <v/>
      </c>
      <c r="D85" s="1197" t="str">
        <f>'org. Düngung 22'!D86</f>
        <v/>
      </c>
      <c r="E85" s="1207" t="str">
        <f>'org. Düngung 22'!E86</f>
        <v/>
      </c>
      <c r="F85" s="1199" t="str">
        <f>'org. Düngung 22'!F86</f>
        <v/>
      </c>
      <c r="G85" s="1201" t="str">
        <f>IF(C85="","",IF(COUNT('#minDung'!KF84:KJ84)=0,"OK",TRIM(CONCATENATE('#minDung'!KF84," ",'#minDung'!KG84," ",'#minDung'!KH84," ",'#minDung'!KI84," ",'#minDung'!KJ84))))</f>
        <v/>
      </c>
      <c r="H85" s="1025"/>
      <c r="I85" s="1026" t="str">
        <f>IF(H85="","",'#minDung'!X84)</f>
        <v/>
      </c>
      <c r="J85" s="1026" t="str">
        <f>IF(I85="","",'#minDung'!Y84)</f>
        <v/>
      </c>
      <c r="K85" s="1025"/>
      <c r="L85" s="1026" t="str">
        <f>IF(K85="","",'#minDung'!AG84)</f>
        <v/>
      </c>
      <c r="M85" s="1026" t="str">
        <f>IF(L85="","",'#minDung'!AH84)</f>
        <v/>
      </c>
      <c r="N85" s="1025"/>
      <c r="O85" s="1026" t="str">
        <f>IF(N85="","",'#minDung'!AP84)</f>
        <v/>
      </c>
      <c r="P85" s="1026" t="str">
        <f>IF(O85="","",'#minDung'!AQ84)</f>
        <v/>
      </c>
      <c r="Q85" s="1025"/>
      <c r="R85" s="1026" t="str">
        <f>IF(Q85="","",'#minDung'!AY84)</f>
        <v/>
      </c>
      <c r="S85" s="1026" t="str">
        <f>IF(R85="","",'#minDung'!AZ84)</f>
        <v/>
      </c>
      <c r="T85" s="1025"/>
      <c r="U85" s="1026" t="str">
        <f>IF(T85="","",'#minDung'!BH84)</f>
        <v/>
      </c>
      <c r="V85" s="1026" t="str">
        <f>IF(U85="","",'#minDung'!BI84)</f>
        <v/>
      </c>
      <c r="W85" s="1025"/>
      <c r="X85" s="1026" t="str">
        <f>IF(W85="","",'#minDung'!BQ84)</f>
        <v/>
      </c>
      <c r="Y85" s="1026" t="str">
        <f>IF(X85="","",'#minDung'!BR84)</f>
        <v/>
      </c>
      <c r="Z85" s="1025"/>
      <c r="AA85" s="1026" t="str">
        <f>IF(Z85="","",'#minDung'!BZ84)</f>
        <v/>
      </c>
      <c r="AB85" s="1026" t="str">
        <f>IF(AA85="","",'#minDung'!CA84)</f>
        <v/>
      </c>
      <c r="AC85" s="1025"/>
      <c r="AD85" s="1026" t="str">
        <f>IF(AC85="","",'#minDung'!CI84)</f>
        <v/>
      </c>
      <c r="AE85" s="1026" t="str">
        <f>IF(AD85="","",'#minDung'!CJ84)</f>
        <v/>
      </c>
      <c r="AF85" s="1025"/>
      <c r="AG85" s="1026" t="str">
        <f>IF(AF85="","",'#minDung'!CR84)</f>
        <v/>
      </c>
      <c r="AH85" s="1026" t="str">
        <f>IF(AG85="","",'#minDung'!CS84)</f>
        <v/>
      </c>
      <c r="AI85" s="1025"/>
      <c r="AJ85" s="1026" t="str">
        <f>IF(AI85="","",'#minDung'!DA84)</f>
        <v/>
      </c>
      <c r="AK85" s="1026" t="str">
        <f>IF(AJ85="","",'#minDung'!DB84)</f>
        <v/>
      </c>
      <c r="AL85" s="1025"/>
      <c r="AM85" s="1026" t="str">
        <f>IF(AL85="","",'#minDung'!DJ84)</f>
        <v/>
      </c>
      <c r="AN85" s="1026" t="str">
        <f>IF(AM85="","",'#minDung'!DK84)</f>
        <v/>
      </c>
      <c r="AO85" s="1025"/>
      <c r="AP85" s="1026" t="str">
        <f>IF(AO85="","",'#minDung'!DS84)</f>
        <v/>
      </c>
      <c r="AQ85" s="1026" t="str">
        <f>IF(AP85="","",'#minDung'!DT84)</f>
        <v/>
      </c>
      <c r="AR85" s="1025"/>
      <c r="AS85" s="1026" t="str">
        <f>IF(AR85="","",'#minDung'!EB84)</f>
        <v/>
      </c>
      <c r="AT85" s="1026" t="str">
        <f>IF(AS85="","",'#minDung'!EC84)</f>
        <v/>
      </c>
      <c r="AU85" s="1025"/>
      <c r="AV85" s="1026" t="str">
        <f>IF(AU85="","",'#minDung'!EK84)</f>
        <v/>
      </c>
      <c r="AW85" s="1026" t="str">
        <f>IF(AV85="","",'#minDung'!EL84)</f>
        <v/>
      </c>
      <c r="AX85" s="1025"/>
      <c r="AY85" s="1026" t="str">
        <f>IF(AX85="","",'#minDung'!ET84)</f>
        <v/>
      </c>
      <c r="AZ85" s="1026" t="str">
        <f>IF(AY85="","",'#minDung'!EU84)</f>
        <v/>
      </c>
      <c r="BA85" s="1025"/>
      <c r="BB85" s="1026" t="str">
        <f>IF(BA85="","",'#minDung'!FC84)</f>
        <v/>
      </c>
      <c r="BC85" s="1026" t="str">
        <f>IF(BB85="","",'#minDung'!FD84)</f>
        <v/>
      </c>
      <c r="BD85" s="1025"/>
      <c r="BE85" s="1026" t="str">
        <f>IF(BD85="","",'#minDung'!FL84)</f>
        <v/>
      </c>
      <c r="BF85" s="1026" t="str">
        <f>IF(BE85="","",'#minDung'!FM84)</f>
        <v/>
      </c>
      <c r="BG85" s="1025"/>
      <c r="BH85" s="1026" t="str">
        <f>IF(BG85="","",'#minDung'!FU84)</f>
        <v/>
      </c>
      <c r="BI85" s="1026" t="str">
        <f>IF(BH85="","",'#minDung'!FV84)</f>
        <v/>
      </c>
      <c r="BJ85" s="1025"/>
      <c r="BK85" s="1026" t="str">
        <f>IF(BJ85="","",'#minDung'!GD84)</f>
        <v/>
      </c>
      <c r="BL85" s="1026" t="str">
        <f>IF(BK85="","",'#minDung'!GE84)</f>
        <v/>
      </c>
      <c r="BM85" s="1025"/>
      <c r="BN85" s="1026" t="str">
        <f>IF(BM85="","",'#minDung'!GM84)</f>
        <v/>
      </c>
      <c r="BO85" s="1026" t="str">
        <f>IF(BN85="","",'#minDung'!GN84)</f>
        <v/>
      </c>
      <c r="BP85" s="1025"/>
      <c r="BQ85" s="1026" t="str">
        <f>IF(BP85="","",'#minDung'!GV84)</f>
        <v/>
      </c>
      <c r="BR85" s="1026" t="str">
        <f>IF(BQ85="","",'#minDung'!GW84)</f>
        <v/>
      </c>
      <c r="BS85" s="1025"/>
      <c r="BT85" s="1026" t="str">
        <f>IF(BS85="","",'#minDung'!HE84)</f>
        <v/>
      </c>
      <c r="BU85" s="1026" t="str">
        <f>IF(BT85="","",'#minDung'!HF84)</f>
        <v/>
      </c>
      <c r="BV85" s="1025"/>
      <c r="BW85" s="1026" t="str">
        <f>IF(BV85="","",'#minDung'!HN84)</f>
        <v/>
      </c>
      <c r="BX85" s="1026" t="str">
        <f>IF(BW85="","",'#minDung'!HO84)</f>
        <v/>
      </c>
      <c r="BY85" s="1025"/>
      <c r="BZ85" s="1026" t="str">
        <f>IF(BY85="","",'#minDung'!HW84)</f>
        <v/>
      </c>
      <c r="CA85" s="1026" t="str">
        <f>IF(BZ85="","",'#minDung'!HX84)</f>
        <v/>
      </c>
      <c r="CB85" s="1025"/>
      <c r="CC85" s="1026" t="str">
        <f>IF(CB85="","",'#minDung'!IF84)</f>
        <v/>
      </c>
      <c r="CD85" s="1026" t="str">
        <f>IF(CC85="","",'#minDung'!IG84)</f>
        <v/>
      </c>
      <c r="CE85" s="1025"/>
      <c r="CF85" s="1026" t="str">
        <f>IF(CE85="","",'#minDung'!IO84)</f>
        <v/>
      </c>
      <c r="CG85" s="1026" t="str">
        <f>IF(CF85="","",'#minDung'!IP84)</f>
        <v/>
      </c>
      <c r="CH85" s="1025"/>
      <c r="CI85" s="1026" t="str">
        <f>IF(CH85="","",'#minDung'!IX84)</f>
        <v/>
      </c>
      <c r="CJ85" s="1026" t="str">
        <f>IF(CI85="","",'#minDung'!IY84)</f>
        <v/>
      </c>
      <c r="CK85" s="1025"/>
      <c r="CL85" s="1026" t="str">
        <f>IF(CK85="","",'#minDung'!JG84)</f>
        <v/>
      </c>
      <c r="CM85" s="1026" t="str">
        <f>IF(CL85="","",'#minDung'!JH84)</f>
        <v/>
      </c>
      <c r="CN85" s="1025"/>
      <c r="CO85" s="1026" t="str">
        <f>IF(CN85="","",'#minDung'!JP84)</f>
        <v/>
      </c>
      <c r="CP85" s="1026" t="str">
        <f>IF(CO85="","",'#minDung'!JQ84)</f>
        <v/>
      </c>
      <c r="CQ85" s="1025"/>
      <c r="CR85" s="1026" t="str">
        <f>IF(CQ85="","",'#minDung'!JY84)</f>
        <v/>
      </c>
      <c r="CS85" s="1030" t="str">
        <f>IF(CR85="","",'#minDung'!JZ84)</f>
        <v/>
      </c>
      <c r="CT85" s="170"/>
    </row>
    <row r="86" spans="1:98" s="875" customFormat="1" ht="15" customHeight="1" x14ac:dyDescent="0.2">
      <c r="A86" s="1205">
        <f>'Flächen u. Kulturen'!A84</f>
        <v>75</v>
      </c>
      <c r="B86" s="1205" t="str">
        <f>+'org. Düngung 22'!B87</f>
        <v/>
      </c>
      <c r="C86" s="1206" t="str">
        <f>'org. Düngung 22'!C87</f>
        <v/>
      </c>
      <c r="D86" s="1197" t="str">
        <f>'org. Düngung 22'!D87</f>
        <v/>
      </c>
      <c r="E86" s="1207" t="str">
        <f>'org. Düngung 22'!E87</f>
        <v/>
      </c>
      <c r="F86" s="1199" t="str">
        <f>'org. Düngung 22'!F87</f>
        <v/>
      </c>
      <c r="G86" s="1201" t="str">
        <f>IF(C86="","",IF(COUNT('#minDung'!KF85:KJ85)=0,"OK",TRIM(CONCATENATE('#minDung'!KF85," ",'#minDung'!KG85," ",'#minDung'!KH85," ",'#minDung'!KI85," ",'#minDung'!KJ85))))</f>
        <v/>
      </c>
      <c r="H86" s="1025"/>
      <c r="I86" s="1026" t="str">
        <f>IF(H86="","",'#minDung'!X85)</f>
        <v/>
      </c>
      <c r="J86" s="1026" t="str">
        <f>IF(I86="","",'#minDung'!Y85)</f>
        <v/>
      </c>
      <c r="K86" s="1025"/>
      <c r="L86" s="1026" t="str">
        <f>IF(K86="","",'#minDung'!AG85)</f>
        <v/>
      </c>
      <c r="M86" s="1026" t="str">
        <f>IF(L86="","",'#minDung'!AH85)</f>
        <v/>
      </c>
      <c r="N86" s="1025"/>
      <c r="O86" s="1026" t="str">
        <f>IF(N86="","",'#minDung'!AP85)</f>
        <v/>
      </c>
      <c r="P86" s="1026" t="str">
        <f>IF(O86="","",'#minDung'!AQ85)</f>
        <v/>
      </c>
      <c r="Q86" s="1025"/>
      <c r="R86" s="1026" t="str">
        <f>IF(Q86="","",'#minDung'!AY85)</f>
        <v/>
      </c>
      <c r="S86" s="1026" t="str">
        <f>IF(R86="","",'#minDung'!AZ85)</f>
        <v/>
      </c>
      <c r="T86" s="1025"/>
      <c r="U86" s="1026" t="str">
        <f>IF(T86="","",'#minDung'!BH85)</f>
        <v/>
      </c>
      <c r="V86" s="1026" t="str">
        <f>IF(U86="","",'#minDung'!BI85)</f>
        <v/>
      </c>
      <c r="W86" s="1025"/>
      <c r="X86" s="1026" t="str">
        <f>IF(W86="","",'#minDung'!BQ85)</f>
        <v/>
      </c>
      <c r="Y86" s="1026" t="str">
        <f>IF(X86="","",'#minDung'!BR85)</f>
        <v/>
      </c>
      <c r="Z86" s="1025"/>
      <c r="AA86" s="1026" t="str">
        <f>IF(Z86="","",'#minDung'!BZ85)</f>
        <v/>
      </c>
      <c r="AB86" s="1026" t="str">
        <f>IF(AA86="","",'#minDung'!CA85)</f>
        <v/>
      </c>
      <c r="AC86" s="1025"/>
      <c r="AD86" s="1026" t="str">
        <f>IF(AC86="","",'#minDung'!CI85)</f>
        <v/>
      </c>
      <c r="AE86" s="1026" t="str">
        <f>IF(AD86="","",'#minDung'!CJ85)</f>
        <v/>
      </c>
      <c r="AF86" s="1025"/>
      <c r="AG86" s="1026" t="str">
        <f>IF(AF86="","",'#minDung'!CR85)</f>
        <v/>
      </c>
      <c r="AH86" s="1026" t="str">
        <f>IF(AG86="","",'#minDung'!CS85)</f>
        <v/>
      </c>
      <c r="AI86" s="1025"/>
      <c r="AJ86" s="1026" t="str">
        <f>IF(AI86="","",'#minDung'!DA85)</f>
        <v/>
      </c>
      <c r="AK86" s="1026" t="str">
        <f>IF(AJ86="","",'#minDung'!DB85)</f>
        <v/>
      </c>
      <c r="AL86" s="1025"/>
      <c r="AM86" s="1026" t="str">
        <f>IF(AL86="","",'#minDung'!DJ85)</f>
        <v/>
      </c>
      <c r="AN86" s="1026" t="str">
        <f>IF(AM86="","",'#minDung'!DK85)</f>
        <v/>
      </c>
      <c r="AO86" s="1025"/>
      <c r="AP86" s="1026" t="str">
        <f>IF(AO86="","",'#minDung'!DS85)</f>
        <v/>
      </c>
      <c r="AQ86" s="1026" t="str">
        <f>IF(AP86="","",'#minDung'!DT85)</f>
        <v/>
      </c>
      <c r="AR86" s="1025"/>
      <c r="AS86" s="1026" t="str">
        <f>IF(AR86="","",'#minDung'!EB85)</f>
        <v/>
      </c>
      <c r="AT86" s="1026" t="str">
        <f>IF(AS86="","",'#minDung'!EC85)</f>
        <v/>
      </c>
      <c r="AU86" s="1025"/>
      <c r="AV86" s="1026" t="str">
        <f>IF(AU86="","",'#minDung'!EK85)</f>
        <v/>
      </c>
      <c r="AW86" s="1026" t="str">
        <f>IF(AV86="","",'#minDung'!EL85)</f>
        <v/>
      </c>
      <c r="AX86" s="1025"/>
      <c r="AY86" s="1026" t="str">
        <f>IF(AX86="","",'#minDung'!ET85)</f>
        <v/>
      </c>
      <c r="AZ86" s="1026" t="str">
        <f>IF(AY86="","",'#minDung'!EU85)</f>
        <v/>
      </c>
      <c r="BA86" s="1025"/>
      <c r="BB86" s="1026" t="str">
        <f>IF(BA86="","",'#minDung'!FC85)</f>
        <v/>
      </c>
      <c r="BC86" s="1026" t="str">
        <f>IF(BB86="","",'#minDung'!FD85)</f>
        <v/>
      </c>
      <c r="BD86" s="1025"/>
      <c r="BE86" s="1026" t="str">
        <f>IF(BD86="","",'#minDung'!FL85)</f>
        <v/>
      </c>
      <c r="BF86" s="1026" t="str">
        <f>IF(BE86="","",'#minDung'!FM85)</f>
        <v/>
      </c>
      <c r="BG86" s="1025"/>
      <c r="BH86" s="1026" t="str">
        <f>IF(BG86="","",'#minDung'!FU85)</f>
        <v/>
      </c>
      <c r="BI86" s="1026" t="str">
        <f>IF(BH86="","",'#minDung'!FV85)</f>
        <v/>
      </c>
      <c r="BJ86" s="1025"/>
      <c r="BK86" s="1026" t="str">
        <f>IF(BJ86="","",'#minDung'!GD85)</f>
        <v/>
      </c>
      <c r="BL86" s="1026" t="str">
        <f>IF(BK86="","",'#minDung'!GE85)</f>
        <v/>
      </c>
      <c r="BM86" s="1025"/>
      <c r="BN86" s="1026" t="str">
        <f>IF(BM86="","",'#minDung'!GM85)</f>
        <v/>
      </c>
      <c r="BO86" s="1026" t="str">
        <f>IF(BN86="","",'#minDung'!GN85)</f>
        <v/>
      </c>
      <c r="BP86" s="1025"/>
      <c r="BQ86" s="1026" t="str">
        <f>IF(BP86="","",'#minDung'!GV85)</f>
        <v/>
      </c>
      <c r="BR86" s="1026" t="str">
        <f>IF(BQ86="","",'#minDung'!GW85)</f>
        <v/>
      </c>
      <c r="BS86" s="1025"/>
      <c r="BT86" s="1026" t="str">
        <f>IF(BS86="","",'#minDung'!HE85)</f>
        <v/>
      </c>
      <c r="BU86" s="1026" t="str">
        <f>IF(BT86="","",'#minDung'!HF85)</f>
        <v/>
      </c>
      <c r="BV86" s="1025"/>
      <c r="BW86" s="1026" t="str">
        <f>IF(BV86="","",'#minDung'!HN85)</f>
        <v/>
      </c>
      <c r="BX86" s="1026" t="str">
        <f>IF(BW86="","",'#minDung'!HO85)</f>
        <v/>
      </c>
      <c r="BY86" s="1025"/>
      <c r="BZ86" s="1026" t="str">
        <f>IF(BY86="","",'#minDung'!HW85)</f>
        <v/>
      </c>
      <c r="CA86" s="1026" t="str">
        <f>IF(BZ86="","",'#minDung'!HX85)</f>
        <v/>
      </c>
      <c r="CB86" s="1025"/>
      <c r="CC86" s="1026" t="str">
        <f>IF(CB86="","",'#minDung'!IF85)</f>
        <v/>
      </c>
      <c r="CD86" s="1026" t="str">
        <f>IF(CC86="","",'#minDung'!IG85)</f>
        <v/>
      </c>
      <c r="CE86" s="1025"/>
      <c r="CF86" s="1026" t="str">
        <f>IF(CE86="","",'#minDung'!IO85)</f>
        <v/>
      </c>
      <c r="CG86" s="1026" t="str">
        <f>IF(CF86="","",'#minDung'!IP85)</f>
        <v/>
      </c>
      <c r="CH86" s="1025"/>
      <c r="CI86" s="1026" t="str">
        <f>IF(CH86="","",'#minDung'!IX85)</f>
        <v/>
      </c>
      <c r="CJ86" s="1026" t="str">
        <f>IF(CI86="","",'#minDung'!IY85)</f>
        <v/>
      </c>
      <c r="CK86" s="1025"/>
      <c r="CL86" s="1026" t="str">
        <f>IF(CK86="","",'#minDung'!JG85)</f>
        <v/>
      </c>
      <c r="CM86" s="1026" t="str">
        <f>IF(CL86="","",'#minDung'!JH85)</f>
        <v/>
      </c>
      <c r="CN86" s="1025"/>
      <c r="CO86" s="1026" t="str">
        <f>IF(CN86="","",'#minDung'!JP85)</f>
        <v/>
      </c>
      <c r="CP86" s="1026" t="str">
        <f>IF(CO86="","",'#minDung'!JQ85)</f>
        <v/>
      </c>
      <c r="CQ86" s="1025"/>
      <c r="CR86" s="1026" t="str">
        <f>IF(CQ86="","",'#minDung'!JY85)</f>
        <v/>
      </c>
      <c r="CS86" s="1030" t="str">
        <f>IF(CR86="","",'#minDung'!JZ85)</f>
        <v/>
      </c>
      <c r="CT86" s="170"/>
    </row>
    <row r="87" spans="1:98" s="875" customFormat="1" ht="15" customHeight="1" x14ac:dyDescent="0.2">
      <c r="A87" s="1205">
        <f>'Flächen u. Kulturen'!A85</f>
        <v>76</v>
      </c>
      <c r="B87" s="1205" t="str">
        <f>+'org. Düngung 22'!B88</f>
        <v/>
      </c>
      <c r="C87" s="1206" t="str">
        <f>'org. Düngung 22'!C88</f>
        <v/>
      </c>
      <c r="D87" s="1197" t="str">
        <f>'org. Düngung 22'!D88</f>
        <v/>
      </c>
      <c r="E87" s="1207" t="str">
        <f>'org. Düngung 22'!E88</f>
        <v/>
      </c>
      <c r="F87" s="1199" t="str">
        <f>'org. Düngung 22'!F88</f>
        <v/>
      </c>
      <c r="G87" s="1201" t="str">
        <f>IF(C87="","",IF(COUNT('#minDung'!KF86:KJ86)=0,"OK",TRIM(CONCATENATE('#minDung'!KF86," ",'#minDung'!KG86," ",'#minDung'!KH86," ",'#minDung'!KI86," ",'#minDung'!KJ86))))</f>
        <v/>
      </c>
      <c r="H87" s="1025"/>
      <c r="I87" s="1026" t="str">
        <f>IF(H87="","",'#minDung'!X86)</f>
        <v/>
      </c>
      <c r="J87" s="1026" t="str">
        <f>IF(I87="","",'#minDung'!Y86)</f>
        <v/>
      </c>
      <c r="K87" s="1025"/>
      <c r="L87" s="1026" t="str">
        <f>IF(K87="","",'#minDung'!AG86)</f>
        <v/>
      </c>
      <c r="M87" s="1026" t="str">
        <f>IF(L87="","",'#minDung'!AH86)</f>
        <v/>
      </c>
      <c r="N87" s="1025"/>
      <c r="O87" s="1026" t="str">
        <f>IF(N87="","",'#minDung'!AP86)</f>
        <v/>
      </c>
      <c r="P87" s="1026" t="str">
        <f>IF(O87="","",'#minDung'!AQ86)</f>
        <v/>
      </c>
      <c r="Q87" s="1025"/>
      <c r="R87" s="1026" t="str">
        <f>IF(Q87="","",'#minDung'!AY86)</f>
        <v/>
      </c>
      <c r="S87" s="1026" t="str">
        <f>IF(R87="","",'#minDung'!AZ86)</f>
        <v/>
      </c>
      <c r="T87" s="1025"/>
      <c r="U87" s="1026" t="str">
        <f>IF(T87="","",'#minDung'!BH86)</f>
        <v/>
      </c>
      <c r="V87" s="1026" t="str">
        <f>IF(U87="","",'#minDung'!BI86)</f>
        <v/>
      </c>
      <c r="W87" s="1025"/>
      <c r="X87" s="1026" t="str">
        <f>IF(W87="","",'#minDung'!BQ86)</f>
        <v/>
      </c>
      <c r="Y87" s="1026" t="str">
        <f>IF(X87="","",'#minDung'!BR86)</f>
        <v/>
      </c>
      <c r="Z87" s="1025"/>
      <c r="AA87" s="1026" t="str">
        <f>IF(Z87="","",'#minDung'!BZ86)</f>
        <v/>
      </c>
      <c r="AB87" s="1026" t="str">
        <f>IF(AA87="","",'#minDung'!CA86)</f>
        <v/>
      </c>
      <c r="AC87" s="1025"/>
      <c r="AD87" s="1026" t="str">
        <f>IF(AC87="","",'#minDung'!CI86)</f>
        <v/>
      </c>
      <c r="AE87" s="1026" t="str">
        <f>IF(AD87="","",'#minDung'!CJ86)</f>
        <v/>
      </c>
      <c r="AF87" s="1025"/>
      <c r="AG87" s="1026" t="str">
        <f>IF(AF87="","",'#minDung'!CR86)</f>
        <v/>
      </c>
      <c r="AH87" s="1026" t="str">
        <f>IF(AG87="","",'#minDung'!CS86)</f>
        <v/>
      </c>
      <c r="AI87" s="1025"/>
      <c r="AJ87" s="1026" t="str">
        <f>IF(AI87="","",'#minDung'!DA86)</f>
        <v/>
      </c>
      <c r="AK87" s="1026" t="str">
        <f>IF(AJ87="","",'#minDung'!DB86)</f>
        <v/>
      </c>
      <c r="AL87" s="1025"/>
      <c r="AM87" s="1026" t="str">
        <f>IF(AL87="","",'#minDung'!DJ86)</f>
        <v/>
      </c>
      <c r="AN87" s="1026" t="str">
        <f>IF(AM87="","",'#minDung'!DK86)</f>
        <v/>
      </c>
      <c r="AO87" s="1025"/>
      <c r="AP87" s="1026" t="str">
        <f>IF(AO87="","",'#minDung'!DS86)</f>
        <v/>
      </c>
      <c r="AQ87" s="1026" t="str">
        <f>IF(AP87="","",'#minDung'!DT86)</f>
        <v/>
      </c>
      <c r="AR87" s="1025"/>
      <c r="AS87" s="1026" t="str">
        <f>IF(AR87="","",'#minDung'!EB86)</f>
        <v/>
      </c>
      <c r="AT87" s="1026" t="str">
        <f>IF(AS87="","",'#minDung'!EC86)</f>
        <v/>
      </c>
      <c r="AU87" s="1025"/>
      <c r="AV87" s="1026" t="str">
        <f>IF(AU87="","",'#minDung'!EK86)</f>
        <v/>
      </c>
      <c r="AW87" s="1026" t="str">
        <f>IF(AV87="","",'#minDung'!EL86)</f>
        <v/>
      </c>
      <c r="AX87" s="1025"/>
      <c r="AY87" s="1026" t="str">
        <f>IF(AX87="","",'#minDung'!ET86)</f>
        <v/>
      </c>
      <c r="AZ87" s="1026" t="str">
        <f>IF(AY87="","",'#minDung'!EU86)</f>
        <v/>
      </c>
      <c r="BA87" s="1025"/>
      <c r="BB87" s="1026" t="str">
        <f>IF(BA87="","",'#minDung'!FC86)</f>
        <v/>
      </c>
      <c r="BC87" s="1026" t="str">
        <f>IF(BB87="","",'#minDung'!FD86)</f>
        <v/>
      </c>
      <c r="BD87" s="1025"/>
      <c r="BE87" s="1026" t="str">
        <f>IF(BD87="","",'#minDung'!FL86)</f>
        <v/>
      </c>
      <c r="BF87" s="1026" t="str">
        <f>IF(BE87="","",'#minDung'!FM86)</f>
        <v/>
      </c>
      <c r="BG87" s="1025"/>
      <c r="BH87" s="1026" t="str">
        <f>IF(BG87="","",'#minDung'!FU86)</f>
        <v/>
      </c>
      <c r="BI87" s="1026" t="str">
        <f>IF(BH87="","",'#minDung'!FV86)</f>
        <v/>
      </c>
      <c r="BJ87" s="1025"/>
      <c r="BK87" s="1026" t="str">
        <f>IF(BJ87="","",'#minDung'!GD86)</f>
        <v/>
      </c>
      <c r="BL87" s="1026" t="str">
        <f>IF(BK87="","",'#minDung'!GE86)</f>
        <v/>
      </c>
      <c r="BM87" s="1025"/>
      <c r="BN87" s="1026" t="str">
        <f>IF(BM87="","",'#minDung'!GM86)</f>
        <v/>
      </c>
      <c r="BO87" s="1026" t="str">
        <f>IF(BN87="","",'#minDung'!GN86)</f>
        <v/>
      </c>
      <c r="BP87" s="1025"/>
      <c r="BQ87" s="1026" t="str">
        <f>IF(BP87="","",'#minDung'!GV86)</f>
        <v/>
      </c>
      <c r="BR87" s="1026" t="str">
        <f>IF(BQ87="","",'#minDung'!GW86)</f>
        <v/>
      </c>
      <c r="BS87" s="1025"/>
      <c r="BT87" s="1026" t="str">
        <f>IF(BS87="","",'#minDung'!HE86)</f>
        <v/>
      </c>
      <c r="BU87" s="1026" t="str">
        <f>IF(BT87="","",'#minDung'!HF86)</f>
        <v/>
      </c>
      <c r="BV87" s="1025"/>
      <c r="BW87" s="1026" t="str">
        <f>IF(BV87="","",'#minDung'!HN86)</f>
        <v/>
      </c>
      <c r="BX87" s="1026" t="str">
        <f>IF(BW87="","",'#minDung'!HO86)</f>
        <v/>
      </c>
      <c r="BY87" s="1025"/>
      <c r="BZ87" s="1026" t="str">
        <f>IF(BY87="","",'#minDung'!HW86)</f>
        <v/>
      </c>
      <c r="CA87" s="1026" t="str">
        <f>IF(BZ87="","",'#minDung'!HX86)</f>
        <v/>
      </c>
      <c r="CB87" s="1025"/>
      <c r="CC87" s="1026" t="str">
        <f>IF(CB87="","",'#minDung'!IF86)</f>
        <v/>
      </c>
      <c r="CD87" s="1026" t="str">
        <f>IF(CC87="","",'#minDung'!IG86)</f>
        <v/>
      </c>
      <c r="CE87" s="1025"/>
      <c r="CF87" s="1026" t="str">
        <f>IF(CE87="","",'#minDung'!IO86)</f>
        <v/>
      </c>
      <c r="CG87" s="1026" t="str">
        <f>IF(CF87="","",'#minDung'!IP86)</f>
        <v/>
      </c>
      <c r="CH87" s="1025"/>
      <c r="CI87" s="1026" t="str">
        <f>IF(CH87="","",'#minDung'!IX86)</f>
        <v/>
      </c>
      <c r="CJ87" s="1026" t="str">
        <f>IF(CI87="","",'#minDung'!IY86)</f>
        <v/>
      </c>
      <c r="CK87" s="1025"/>
      <c r="CL87" s="1026" t="str">
        <f>IF(CK87="","",'#minDung'!JG86)</f>
        <v/>
      </c>
      <c r="CM87" s="1026" t="str">
        <f>IF(CL87="","",'#minDung'!JH86)</f>
        <v/>
      </c>
      <c r="CN87" s="1025"/>
      <c r="CO87" s="1026" t="str">
        <f>IF(CN87="","",'#minDung'!JP86)</f>
        <v/>
      </c>
      <c r="CP87" s="1026" t="str">
        <f>IF(CO87="","",'#minDung'!JQ86)</f>
        <v/>
      </c>
      <c r="CQ87" s="1025"/>
      <c r="CR87" s="1026" t="str">
        <f>IF(CQ87="","",'#minDung'!JY86)</f>
        <v/>
      </c>
      <c r="CS87" s="1030" t="str">
        <f>IF(CR87="","",'#minDung'!JZ86)</f>
        <v/>
      </c>
      <c r="CT87" s="170"/>
    </row>
    <row r="88" spans="1:98" s="875" customFormat="1" ht="15" customHeight="1" x14ac:dyDescent="0.2">
      <c r="A88" s="1205">
        <f>'Flächen u. Kulturen'!A86</f>
        <v>77</v>
      </c>
      <c r="B88" s="1205" t="str">
        <f>+'org. Düngung 22'!B89</f>
        <v/>
      </c>
      <c r="C88" s="1206" t="str">
        <f>'org. Düngung 22'!C89</f>
        <v/>
      </c>
      <c r="D88" s="1197" t="str">
        <f>'org. Düngung 22'!D89</f>
        <v/>
      </c>
      <c r="E88" s="1207" t="str">
        <f>'org. Düngung 22'!E89</f>
        <v/>
      </c>
      <c r="F88" s="1199" t="str">
        <f>'org. Düngung 22'!F89</f>
        <v/>
      </c>
      <c r="G88" s="1201" t="str">
        <f>IF(C88="","",IF(COUNT('#minDung'!KF87:KJ87)=0,"OK",TRIM(CONCATENATE('#minDung'!KF87," ",'#minDung'!KG87," ",'#minDung'!KH87," ",'#minDung'!KI87," ",'#minDung'!KJ87))))</f>
        <v/>
      </c>
      <c r="H88" s="1025"/>
      <c r="I88" s="1026" t="str">
        <f>IF(H88="","",'#minDung'!X87)</f>
        <v/>
      </c>
      <c r="J88" s="1026" t="str">
        <f>IF(I88="","",'#minDung'!Y87)</f>
        <v/>
      </c>
      <c r="K88" s="1025"/>
      <c r="L88" s="1026" t="str">
        <f>IF(K88="","",'#minDung'!AG87)</f>
        <v/>
      </c>
      <c r="M88" s="1026" t="str">
        <f>IF(L88="","",'#minDung'!AH87)</f>
        <v/>
      </c>
      <c r="N88" s="1025"/>
      <c r="O88" s="1026" t="str">
        <f>IF(N88="","",'#minDung'!AP87)</f>
        <v/>
      </c>
      <c r="P88" s="1026" t="str">
        <f>IF(O88="","",'#minDung'!AQ87)</f>
        <v/>
      </c>
      <c r="Q88" s="1025"/>
      <c r="R88" s="1026" t="str">
        <f>IF(Q88="","",'#minDung'!AY87)</f>
        <v/>
      </c>
      <c r="S88" s="1026" t="str">
        <f>IF(R88="","",'#minDung'!AZ87)</f>
        <v/>
      </c>
      <c r="T88" s="1025"/>
      <c r="U88" s="1026" t="str">
        <f>IF(T88="","",'#minDung'!BH87)</f>
        <v/>
      </c>
      <c r="V88" s="1026" t="str">
        <f>IF(U88="","",'#minDung'!BI87)</f>
        <v/>
      </c>
      <c r="W88" s="1025"/>
      <c r="X88" s="1026" t="str">
        <f>IF(W88="","",'#minDung'!BQ87)</f>
        <v/>
      </c>
      <c r="Y88" s="1026" t="str">
        <f>IF(X88="","",'#minDung'!BR87)</f>
        <v/>
      </c>
      <c r="Z88" s="1025"/>
      <c r="AA88" s="1026" t="str">
        <f>IF(Z88="","",'#minDung'!BZ87)</f>
        <v/>
      </c>
      <c r="AB88" s="1026" t="str">
        <f>IF(AA88="","",'#minDung'!CA87)</f>
        <v/>
      </c>
      <c r="AC88" s="1025"/>
      <c r="AD88" s="1026" t="str">
        <f>IF(AC88="","",'#minDung'!CI87)</f>
        <v/>
      </c>
      <c r="AE88" s="1026" t="str">
        <f>IF(AD88="","",'#minDung'!CJ87)</f>
        <v/>
      </c>
      <c r="AF88" s="1025"/>
      <c r="AG88" s="1026" t="str">
        <f>IF(AF88="","",'#minDung'!CR87)</f>
        <v/>
      </c>
      <c r="AH88" s="1026" t="str">
        <f>IF(AG88="","",'#minDung'!CS87)</f>
        <v/>
      </c>
      <c r="AI88" s="1025"/>
      <c r="AJ88" s="1026" t="str">
        <f>IF(AI88="","",'#minDung'!DA87)</f>
        <v/>
      </c>
      <c r="AK88" s="1026" t="str">
        <f>IF(AJ88="","",'#minDung'!DB87)</f>
        <v/>
      </c>
      <c r="AL88" s="1025"/>
      <c r="AM88" s="1026" t="str">
        <f>IF(AL88="","",'#minDung'!DJ87)</f>
        <v/>
      </c>
      <c r="AN88" s="1026" t="str">
        <f>IF(AM88="","",'#minDung'!DK87)</f>
        <v/>
      </c>
      <c r="AO88" s="1025"/>
      <c r="AP88" s="1026" t="str">
        <f>IF(AO88="","",'#minDung'!DS87)</f>
        <v/>
      </c>
      <c r="AQ88" s="1026" t="str">
        <f>IF(AP88="","",'#minDung'!DT87)</f>
        <v/>
      </c>
      <c r="AR88" s="1025"/>
      <c r="AS88" s="1026" t="str">
        <f>IF(AR88="","",'#minDung'!EB87)</f>
        <v/>
      </c>
      <c r="AT88" s="1026" t="str">
        <f>IF(AS88="","",'#minDung'!EC87)</f>
        <v/>
      </c>
      <c r="AU88" s="1025"/>
      <c r="AV88" s="1026" t="str">
        <f>IF(AU88="","",'#minDung'!EK87)</f>
        <v/>
      </c>
      <c r="AW88" s="1026" t="str">
        <f>IF(AV88="","",'#minDung'!EL87)</f>
        <v/>
      </c>
      <c r="AX88" s="1025"/>
      <c r="AY88" s="1026" t="str">
        <f>IF(AX88="","",'#minDung'!ET87)</f>
        <v/>
      </c>
      <c r="AZ88" s="1026" t="str">
        <f>IF(AY88="","",'#minDung'!EU87)</f>
        <v/>
      </c>
      <c r="BA88" s="1025"/>
      <c r="BB88" s="1026" t="str">
        <f>IF(BA88="","",'#minDung'!FC87)</f>
        <v/>
      </c>
      <c r="BC88" s="1026" t="str">
        <f>IF(BB88="","",'#minDung'!FD87)</f>
        <v/>
      </c>
      <c r="BD88" s="1025"/>
      <c r="BE88" s="1026" t="str">
        <f>IF(BD88="","",'#minDung'!FL87)</f>
        <v/>
      </c>
      <c r="BF88" s="1026" t="str">
        <f>IF(BE88="","",'#minDung'!FM87)</f>
        <v/>
      </c>
      <c r="BG88" s="1025"/>
      <c r="BH88" s="1026" t="str">
        <f>IF(BG88="","",'#minDung'!FU87)</f>
        <v/>
      </c>
      <c r="BI88" s="1026" t="str">
        <f>IF(BH88="","",'#minDung'!FV87)</f>
        <v/>
      </c>
      <c r="BJ88" s="1025"/>
      <c r="BK88" s="1026" t="str">
        <f>IF(BJ88="","",'#minDung'!GD87)</f>
        <v/>
      </c>
      <c r="BL88" s="1026" t="str">
        <f>IF(BK88="","",'#minDung'!GE87)</f>
        <v/>
      </c>
      <c r="BM88" s="1025"/>
      <c r="BN88" s="1026" t="str">
        <f>IF(BM88="","",'#minDung'!GM87)</f>
        <v/>
      </c>
      <c r="BO88" s="1026" t="str">
        <f>IF(BN88="","",'#minDung'!GN87)</f>
        <v/>
      </c>
      <c r="BP88" s="1025"/>
      <c r="BQ88" s="1026" t="str">
        <f>IF(BP88="","",'#minDung'!GV87)</f>
        <v/>
      </c>
      <c r="BR88" s="1026" t="str">
        <f>IF(BQ88="","",'#minDung'!GW87)</f>
        <v/>
      </c>
      <c r="BS88" s="1025"/>
      <c r="BT88" s="1026" t="str">
        <f>IF(BS88="","",'#minDung'!HE87)</f>
        <v/>
      </c>
      <c r="BU88" s="1026" t="str">
        <f>IF(BT88="","",'#minDung'!HF87)</f>
        <v/>
      </c>
      <c r="BV88" s="1025"/>
      <c r="BW88" s="1026" t="str">
        <f>IF(BV88="","",'#minDung'!HN87)</f>
        <v/>
      </c>
      <c r="BX88" s="1026" t="str">
        <f>IF(BW88="","",'#minDung'!HO87)</f>
        <v/>
      </c>
      <c r="BY88" s="1025"/>
      <c r="BZ88" s="1026" t="str">
        <f>IF(BY88="","",'#minDung'!HW87)</f>
        <v/>
      </c>
      <c r="CA88" s="1026" t="str">
        <f>IF(BZ88="","",'#minDung'!HX87)</f>
        <v/>
      </c>
      <c r="CB88" s="1025"/>
      <c r="CC88" s="1026" t="str">
        <f>IF(CB88="","",'#minDung'!IF87)</f>
        <v/>
      </c>
      <c r="CD88" s="1026" t="str">
        <f>IF(CC88="","",'#minDung'!IG87)</f>
        <v/>
      </c>
      <c r="CE88" s="1025"/>
      <c r="CF88" s="1026" t="str">
        <f>IF(CE88="","",'#minDung'!IO87)</f>
        <v/>
      </c>
      <c r="CG88" s="1026" t="str">
        <f>IF(CF88="","",'#minDung'!IP87)</f>
        <v/>
      </c>
      <c r="CH88" s="1025"/>
      <c r="CI88" s="1026" t="str">
        <f>IF(CH88="","",'#minDung'!IX87)</f>
        <v/>
      </c>
      <c r="CJ88" s="1026" t="str">
        <f>IF(CI88="","",'#minDung'!IY87)</f>
        <v/>
      </c>
      <c r="CK88" s="1025"/>
      <c r="CL88" s="1026" t="str">
        <f>IF(CK88="","",'#minDung'!JG87)</f>
        <v/>
      </c>
      <c r="CM88" s="1026" t="str">
        <f>IF(CL88="","",'#minDung'!JH87)</f>
        <v/>
      </c>
      <c r="CN88" s="1025"/>
      <c r="CO88" s="1026" t="str">
        <f>IF(CN88="","",'#minDung'!JP87)</f>
        <v/>
      </c>
      <c r="CP88" s="1026" t="str">
        <f>IF(CO88="","",'#minDung'!JQ87)</f>
        <v/>
      </c>
      <c r="CQ88" s="1025"/>
      <c r="CR88" s="1026" t="str">
        <f>IF(CQ88="","",'#minDung'!JY87)</f>
        <v/>
      </c>
      <c r="CS88" s="1030" t="str">
        <f>IF(CR88="","",'#minDung'!JZ87)</f>
        <v/>
      </c>
      <c r="CT88" s="170"/>
    </row>
    <row r="89" spans="1:98" s="875" customFormat="1" ht="15" customHeight="1" x14ac:dyDescent="0.2">
      <c r="A89" s="1205">
        <f>'Flächen u. Kulturen'!A87</f>
        <v>78</v>
      </c>
      <c r="B89" s="1205" t="str">
        <f>+'org. Düngung 22'!B90</f>
        <v/>
      </c>
      <c r="C89" s="1206" t="str">
        <f>'org. Düngung 22'!C90</f>
        <v/>
      </c>
      <c r="D89" s="1197" t="str">
        <f>'org. Düngung 22'!D90</f>
        <v/>
      </c>
      <c r="E89" s="1207" t="str">
        <f>'org. Düngung 22'!E90</f>
        <v/>
      </c>
      <c r="F89" s="1199" t="str">
        <f>'org. Düngung 22'!F90</f>
        <v/>
      </c>
      <c r="G89" s="1201" t="str">
        <f>IF(C89="","",IF(COUNT('#minDung'!KF88:KJ88)=0,"OK",TRIM(CONCATENATE('#minDung'!KF88," ",'#minDung'!KG88," ",'#minDung'!KH88," ",'#minDung'!KI88," ",'#minDung'!KJ88))))</f>
        <v/>
      </c>
      <c r="H89" s="1025"/>
      <c r="I89" s="1026" t="str">
        <f>IF(H89="","",'#minDung'!X88)</f>
        <v/>
      </c>
      <c r="J89" s="1026" t="str">
        <f>IF(I89="","",'#minDung'!Y88)</f>
        <v/>
      </c>
      <c r="K89" s="1025"/>
      <c r="L89" s="1026" t="str">
        <f>IF(K89="","",'#minDung'!AG88)</f>
        <v/>
      </c>
      <c r="M89" s="1026" t="str">
        <f>IF(L89="","",'#minDung'!AH88)</f>
        <v/>
      </c>
      <c r="N89" s="1025"/>
      <c r="O89" s="1026" t="str">
        <f>IF(N89="","",'#minDung'!AP88)</f>
        <v/>
      </c>
      <c r="P89" s="1026" t="str">
        <f>IF(O89="","",'#minDung'!AQ88)</f>
        <v/>
      </c>
      <c r="Q89" s="1025"/>
      <c r="R89" s="1026" t="str">
        <f>IF(Q89="","",'#minDung'!AY88)</f>
        <v/>
      </c>
      <c r="S89" s="1026" t="str">
        <f>IF(R89="","",'#minDung'!AZ88)</f>
        <v/>
      </c>
      <c r="T89" s="1025"/>
      <c r="U89" s="1026" t="str">
        <f>IF(T89="","",'#minDung'!BH88)</f>
        <v/>
      </c>
      <c r="V89" s="1026" t="str">
        <f>IF(U89="","",'#minDung'!BI88)</f>
        <v/>
      </c>
      <c r="W89" s="1025"/>
      <c r="X89" s="1026" t="str">
        <f>IF(W89="","",'#minDung'!BQ88)</f>
        <v/>
      </c>
      <c r="Y89" s="1026" t="str">
        <f>IF(X89="","",'#minDung'!BR88)</f>
        <v/>
      </c>
      <c r="Z89" s="1025"/>
      <c r="AA89" s="1026" t="str">
        <f>IF(Z89="","",'#minDung'!BZ88)</f>
        <v/>
      </c>
      <c r="AB89" s="1026" t="str">
        <f>IF(AA89="","",'#minDung'!CA88)</f>
        <v/>
      </c>
      <c r="AC89" s="1025"/>
      <c r="AD89" s="1026" t="str">
        <f>IF(AC89="","",'#minDung'!CI88)</f>
        <v/>
      </c>
      <c r="AE89" s="1026" t="str">
        <f>IF(AD89="","",'#minDung'!CJ88)</f>
        <v/>
      </c>
      <c r="AF89" s="1025"/>
      <c r="AG89" s="1026" t="str">
        <f>IF(AF89="","",'#minDung'!CR88)</f>
        <v/>
      </c>
      <c r="AH89" s="1026" t="str">
        <f>IF(AG89="","",'#minDung'!CS88)</f>
        <v/>
      </c>
      <c r="AI89" s="1025"/>
      <c r="AJ89" s="1026" t="str">
        <f>IF(AI89="","",'#minDung'!DA88)</f>
        <v/>
      </c>
      <c r="AK89" s="1026" t="str">
        <f>IF(AJ89="","",'#minDung'!DB88)</f>
        <v/>
      </c>
      <c r="AL89" s="1025"/>
      <c r="AM89" s="1026" t="str">
        <f>IF(AL89="","",'#minDung'!DJ88)</f>
        <v/>
      </c>
      <c r="AN89" s="1026" t="str">
        <f>IF(AM89="","",'#minDung'!DK88)</f>
        <v/>
      </c>
      <c r="AO89" s="1025"/>
      <c r="AP89" s="1026" t="str">
        <f>IF(AO89="","",'#minDung'!DS88)</f>
        <v/>
      </c>
      <c r="AQ89" s="1026" t="str">
        <f>IF(AP89="","",'#minDung'!DT88)</f>
        <v/>
      </c>
      <c r="AR89" s="1025"/>
      <c r="AS89" s="1026" t="str">
        <f>IF(AR89="","",'#minDung'!EB88)</f>
        <v/>
      </c>
      <c r="AT89" s="1026" t="str">
        <f>IF(AS89="","",'#minDung'!EC88)</f>
        <v/>
      </c>
      <c r="AU89" s="1025"/>
      <c r="AV89" s="1026" t="str">
        <f>IF(AU89="","",'#minDung'!EK88)</f>
        <v/>
      </c>
      <c r="AW89" s="1026" t="str">
        <f>IF(AV89="","",'#minDung'!EL88)</f>
        <v/>
      </c>
      <c r="AX89" s="1025"/>
      <c r="AY89" s="1026" t="str">
        <f>IF(AX89="","",'#minDung'!ET88)</f>
        <v/>
      </c>
      <c r="AZ89" s="1026" t="str">
        <f>IF(AY89="","",'#minDung'!EU88)</f>
        <v/>
      </c>
      <c r="BA89" s="1025"/>
      <c r="BB89" s="1026" t="str">
        <f>IF(BA89="","",'#minDung'!FC88)</f>
        <v/>
      </c>
      <c r="BC89" s="1026" t="str">
        <f>IF(BB89="","",'#minDung'!FD88)</f>
        <v/>
      </c>
      <c r="BD89" s="1025"/>
      <c r="BE89" s="1026" t="str">
        <f>IF(BD89="","",'#minDung'!FL88)</f>
        <v/>
      </c>
      <c r="BF89" s="1026" t="str">
        <f>IF(BE89="","",'#minDung'!FM88)</f>
        <v/>
      </c>
      <c r="BG89" s="1025"/>
      <c r="BH89" s="1026" t="str">
        <f>IF(BG89="","",'#minDung'!FU88)</f>
        <v/>
      </c>
      <c r="BI89" s="1026" t="str">
        <f>IF(BH89="","",'#minDung'!FV88)</f>
        <v/>
      </c>
      <c r="BJ89" s="1025"/>
      <c r="BK89" s="1026" t="str">
        <f>IF(BJ89="","",'#minDung'!GD88)</f>
        <v/>
      </c>
      <c r="BL89" s="1026" t="str">
        <f>IF(BK89="","",'#minDung'!GE88)</f>
        <v/>
      </c>
      <c r="BM89" s="1025"/>
      <c r="BN89" s="1026" t="str">
        <f>IF(BM89="","",'#minDung'!GM88)</f>
        <v/>
      </c>
      <c r="BO89" s="1026" t="str">
        <f>IF(BN89="","",'#minDung'!GN88)</f>
        <v/>
      </c>
      <c r="BP89" s="1025"/>
      <c r="BQ89" s="1026" t="str">
        <f>IF(BP89="","",'#minDung'!GV88)</f>
        <v/>
      </c>
      <c r="BR89" s="1026" t="str">
        <f>IF(BQ89="","",'#minDung'!GW88)</f>
        <v/>
      </c>
      <c r="BS89" s="1025"/>
      <c r="BT89" s="1026" t="str">
        <f>IF(BS89="","",'#minDung'!HE88)</f>
        <v/>
      </c>
      <c r="BU89" s="1026" t="str">
        <f>IF(BT89="","",'#minDung'!HF88)</f>
        <v/>
      </c>
      <c r="BV89" s="1025"/>
      <c r="BW89" s="1026" t="str">
        <f>IF(BV89="","",'#minDung'!HN88)</f>
        <v/>
      </c>
      <c r="BX89" s="1026" t="str">
        <f>IF(BW89="","",'#minDung'!HO88)</f>
        <v/>
      </c>
      <c r="BY89" s="1025"/>
      <c r="BZ89" s="1026" t="str">
        <f>IF(BY89="","",'#minDung'!HW88)</f>
        <v/>
      </c>
      <c r="CA89" s="1026" t="str">
        <f>IF(BZ89="","",'#minDung'!HX88)</f>
        <v/>
      </c>
      <c r="CB89" s="1025"/>
      <c r="CC89" s="1026" t="str">
        <f>IF(CB89="","",'#minDung'!IF88)</f>
        <v/>
      </c>
      <c r="CD89" s="1026" t="str">
        <f>IF(CC89="","",'#minDung'!IG88)</f>
        <v/>
      </c>
      <c r="CE89" s="1025"/>
      <c r="CF89" s="1026" t="str">
        <f>IF(CE89="","",'#minDung'!IO88)</f>
        <v/>
      </c>
      <c r="CG89" s="1026" t="str">
        <f>IF(CF89="","",'#minDung'!IP88)</f>
        <v/>
      </c>
      <c r="CH89" s="1025"/>
      <c r="CI89" s="1026" t="str">
        <f>IF(CH89="","",'#minDung'!IX88)</f>
        <v/>
      </c>
      <c r="CJ89" s="1026" t="str">
        <f>IF(CI89="","",'#minDung'!IY88)</f>
        <v/>
      </c>
      <c r="CK89" s="1025"/>
      <c r="CL89" s="1026" t="str">
        <f>IF(CK89="","",'#minDung'!JG88)</f>
        <v/>
      </c>
      <c r="CM89" s="1026" t="str">
        <f>IF(CL89="","",'#minDung'!JH88)</f>
        <v/>
      </c>
      <c r="CN89" s="1025"/>
      <c r="CO89" s="1026" t="str">
        <f>IF(CN89="","",'#minDung'!JP88)</f>
        <v/>
      </c>
      <c r="CP89" s="1026" t="str">
        <f>IF(CO89="","",'#minDung'!JQ88)</f>
        <v/>
      </c>
      <c r="CQ89" s="1025"/>
      <c r="CR89" s="1026" t="str">
        <f>IF(CQ89="","",'#minDung'!JY88)</f>
        <v/>
      </c>
      <c r="CS89" s="1030" t="str">
        <f>IF(CR89="","",'#minDung'!JZ88)</f>
        <v/>
      </c>
      <c r="CT89" s="170"/>
    </row>
    <row r="90" spans="1:98" s="875" customFormat="1" ht="15" customHeight="1" x14ac:dyDescent="0.2">
      <c r="A90" s="1205">
        <f>'Flächen u. Kulturen'!A88</f>
        <v>79</v>
      </c>
      <c r="B90" s="1205" t="str">
        <f>+'org. Düngung 22'!B91</f>
        <v/>
      </c>
      <c r="C90" s="1206" t="str">
        <f>'org. Düngung 22'!C91</f>
        <v/>
      </c>
      <c r="D90" s="1197" t="str">
        <f>'org. Düngung 22'!D91</f>
        <v/>
      </c>
      <c r="E90" s="1207" t="str">
        <f>'org. Düngung 22'!E91</f>
        <v/>
      </c>
      <c r="F90" s="1199" t="str">
        <f>'org. Düngung 22'!F91</f>
        <v/>
      </c>
      <c r="G90" s="1201" t="str">
        <f>IF(C90="","",IF(COUNT('#minDung'!KF89:KJ89)=0,"OK",TRIM(CONCATENATE('#minDung'!KF89," ",'#minDung'!KG89," ",'#minDung'!KH89," ",'#minDung'!KI89," ",'#minDung'!KJ89))))</f>
        <v/>
      </c>
      <c r="H90" s="1025"/>
      <c r="I90" s="1026" t="str">
        <f>IF(H90="","",'#minDung'!X89)</f>
        <v/>
      </c>
      <c r="J90" s="1026" t="str">
        <f>IF(I90="","",'#minDung'!Y89)</f>
        <v/>
      </c>
      <c r="K90" s="1025"/>
      <c r="L90" s="1026" t="str">
        <f>IF(K90="","",'#minDung'!AG89)</f>
        <v/>
      </c>
      <c r="M90" s="1026" t="str">
        <f>IF(L90="","",'#minDung'!AH89)</f>
        <v/>
      </c>
      <c r="N90" s="1025"/>
      <c r="O90" s="1026" t="str">
        <f>IF(N90="","",'#minDung'!AP89)</f>
        <v/>
      </c>
      <c r="P90" s="1026" t="str">
        <f>IF(O90="","",'#minDung'!AQ89)</f>
        <v/>
      </c>
      <c r="Q90" s="1025"/>
      <c r="R90" s="1026" t="str">
        <f>IF(Q90="","",'#minDung'!AY89)</f>
        <v/>
      </c>
      <c r="S90" s="1026" t="str">
        <f>IF(R90="","",'#minDung'!AZ89)</f>
        <v/>
      </c>
      <c r="T90" s="1025"/>
      <c r="U90" s="1026" t="str">
        <f>IF(T90="","",'#minDung'!BH89)</f>
        <v/>
      </c>
      <c r="V90" s="1026" t="str">
        <f>IF(U90="","",'#minDung'!BI89)</f>
        <v/>
      </c>
      <c r="W90" s="1025"/>
      <c r="X90" s="1026" t="str">
        <f>IF(W90="","",'#minDung'!BQ89)</f>
        <v/>
      </c>
      <c r="Y90" s="1026" t="str">
        <f>IF(X90="","",'#minDung'!BR89)</f>
        <v/>
      </c>
      <c r="Z90" s="1025"/>
      <c r="AA90" s="1026" t="str">
        <f>IF(Z90="","",'#minDung'!BZ89)</f>
        <v/>
      </c>
      <c r="AB90" s="1026" t="str">
        <f>IF(AA90="","",'#minDung'!CA89)</f>
        <v/>
      </c>
      <c r="AC90" s="1025"/>
      <c r="AD90" s="1026" t="str">
        <f>IF(AC90="","",'#minDung'!CI89)</f>
        <v/>
      </c>
      <c r="AE90" s="1026" t="str">
        <f>IF(AD90="","",'#minDung'!CJ89)</f>
        <v/>
      </c>
      <c r="AF90" s="1025"/>
      <c r="AG90" s="1026" t="str">
        <f>IF(AF90="","",'#minDung'!CR89)</f>
        <v/>
      </c>
      <c r="AH90" s="1026" t="str">
        <f>IF(AG90="","",'#minDung'!CS89)</f>
        <v/>
      </c>
      <c r="AI90" s="1025"/>
      <c r="AJ90" s="1026" t="str">
        <f>IF(AI90="","",'#minDung'!DA89)</f>
        <v/>
      </c>
      <c r="AK90" s="1026" t="str">
        <f>IF(AJ90="","",'#minDung'!DB89)</f>
        <v/>
      </c>
      <c r="AL90" s="1025"/>
      <c r="AM90" s="1026" t="str">
        <f>IF(AL90="","",'#minDung'!DJ89)</f>
        <v/>
      </c>
      <c r="AN90" s="1026" t="str">
        <f>IF(AM90="","",'#minDung'!DK89)</f>
        <v/>
      </c>
      <c r="AO90" s="1025"/>
      <c r="AP90" s="1026" t="str">
        <f>IF(AO90="","",'#minDung'!DS89)</f>
        <v/>
      </c>
      <c r="AQ90" s="1026" t="str">
        <f>IF(AP90="","",'#minDung'!DT89)</f>
        <v/>
      </c>
      <c r="AR90" s="1025"/>
      <c r="AS90" s="1026" t="str">
        <f>IF(AR90="","",'#minDung'!EB89)</f>
        <v/>
      </c>
      <c r="AT90" s="1026" t="str">
        <f>IF(AS90="","",'#minDung'!EC89)</f>
        <v/>
      </c>
      <c r="AU90" s="1025"/>
      <c r="AV90" s="1026" t="str">
        <f>IF(AU90="","",'#minDung'!EK89)</f>
        <v/>
      </c>
      <c r="AW90" s="1026" t="str">
        <f>IF(AV90="","",'#minDung'!EL89)</f>
        <v/>
      </c>
      <c r="AX90" s="1025"/>
      <c r="AY90" s="1026" t="str">
        <f>IF(AX90="","",'#minDung'!ET89)</f>
        <v/>
      </c>
      <c r="AZ90" s="1026" t="str">
        <f>IF(AY90="","",'#minDung'!EU89)</f>
        <v/>
      </c>
      <c r="BA90" s="1025"/>
      <c r="BB90" s="1026" t="str">
        <f>IF(BA90="","",'#minDung'!FC89)</f>
        <v/>
      </c>
      <c r="BC90" s="1026" t="str">
        <f>IF(BB90="","",'#minDung'!FD89)</f>
        <v/>
      </c>
      <c r="BD90" s="1025"/>
      <c r="BE90" s="1026" t="str">
        <f>IF(BD90="","",'#minDung'!FL89)</f>
        <v/>
      </c>
      <c r="BF90" s="1026" t="str">
        <f>IF(BE90="","",'#minDung'!FM89)</f>
        <v/>
      </c>
      <c r="BG90" s="1025"/>
      <c r="BH90" s="1026" t="str">
        <f>IF(BG90="","",'#minDung'!FU89)</f>
        <v/>
      </c>
      <c r="BI90" s="1026" t="str">
        <f>IF(BH90="","",'#minDung'!FV89)</f>
        <v/>
      </c>
      <c r="BJ90" s="1025"/>
      <c r="BK90" s="1026" t="str">
        <f>IF(BJ90="","",'#minDung'!GD89)</f>
        <v/>
      </c>
      <c r="BL90" s="1026" t="str">
        <f>IF(BK90="","",'#minDung'!GE89)</f>
        <v/>
      </c>
      <c r="BM90" s="1025"/>
      <c r="BN90" s="1026" t="str">
        <f>IF(BM90="","",'#minDung'!GM89)</f>
        <v/>
      </c>
      <c r="BO90" s="1026" t="str">
        <f>IF(BN90="","",'#minDung'!GN89)</f>
        <v/>
      </c>
      <c r="BP90" s="1025"/>
      <c r="BQ90" s="1026" t="str">
        <f>IF(BP90="","",'#minDung'!GV89)</f>
        <v/>
      </c>
      <c r="BR90" s="1026" t="str">
        <f>IF(BQ90="","",'#minDung'!GW89)</f>
        <v/>
      </c>
      <c r="BS90" s="1025"/>
      <c r="BT90" s="1026" t="str">
        <f>IF(BS90="","",'#minDung'!HE89)</f>
        <v/>
      </c>
      <c r="BU90" s="1026" t="str">
        <f>IF(BT90="","",'#minDung'!HF89)</f>
        <v/>
      </c>
      <c r="BV90" s="1025"/>
      <c r="BW90" s="1026" t="str">
        <f>IF(BV90="","",'#minDung'!HN89)</f>
        <v/>
      </c>
      <c r="BX90" s="1026" t="str">
        <f>IF(BW90="","",'#minDung'!HO89)</f>
        <v/>
      </c>
      <c r="BY90" s="1025"/>
      <c r="BZ90" s="1026" t="str">
        <f>IF(BY90="","",'#minDung'!HW89)</f>
        <v/>
      </c>
      <c r="CA90" s="1026" t="str">
        <f>IF(BZ90="","",'#minDung'!HX89)</f>
        <v/>
      </c>
      <c r="CB90" s="1025"/>
      <c r="CC90" s="1026" t="str">
        <f>IF(CB90="","",'#minDung'!IF89)</f>
        <v/>
      </c>
      <c r="CD90" s="1026" t="str">
        <f>IF(CC90="","",'#minDung'!IG89)</f>
        <v/>
      </c>
      <c r="CE90" s="1025"/>
      <c r="CF90" s="1026" t="str">
        <f>IF(CE90="","",'#minDung'!IO89)</f>
        <v/>
      </c>
      <c r="CG90" s="1026" t="str">
        <f>IF(CF90="","",'#minDung'!IP89)</f>
        <v/>
      </c>
      <c r="CH90" s="1025"/>
      <c r="CI90" s="1026" t="str">
        <f>IF(CH90="","",'#minDung'!IX89)</f>
        <v/>
      </c>
      <c r="CJ90" s="1026" t="str">
        <f>IF(CI90="","",'#minDung'!IY89)</f>
        <v/>
      </c>
      <c r="CK90" s="1025"/>
      <c r="CL90" s="1026" t="str">
        <f>IF(CK90="","",'#minDung'!JG89)</f>
        <v/>
      </c>
      <c r="CM90" s="1026" t="str">
        <f>IF(CL90="","",'#minDung'!JH89)</f>
        <v/>
      </c>
      <c r="CN90" s="1025"/>
      <c r="CO90" s="1026" t="str">
        <f>IF(CN90="","",'#minDung'!JP89)</f>
        <v/>
      </c>
      <c r="CP90" s="1026" t="str">
        <f>IF(CO90="","",'#minDung'!JQ89)</f>
        <v/>
      </c>
      <c r="CQ90" s="1025"/>
      <c r="CR90" s="1026" t="str">
        <f>IF(CQ90="","",'#minDung'!JY89)</f>
        <v/>
      </c>
      <c r="CS90" s="1030" t="str">
        <f>IF(CR90="","",'#minDung'!JZ89)</f>
        <v/>
      </c>
      <c r="CT90" s="170"/>
    </row>
    <row r="91" spans="1:98" s="875" customFormat="1" ht="15" customHeight="1" x14ac:dyDescent="0.2">
      <c r="A91" s="1205">
        <f>'Flächen u. Kulturen'!A89</f>
        <v>80</v>
      </c>
      <c r="B91" s="1205" t="str">
        <f>+'org. Düngung 22'!B92</f>
        <v/>
      </c>
      <c r="C91" s="1206" t="str">
        <f>'org. Düngung 22'!C92</f>
        <v/>
      </c>
      <c r="D91" s="1197" t="str">
        <f>'org. Düngung 22'!D92</f>
        <v/>
      </c>
      <c r="E91" s="1207" t="str">
        <f>'org. Düngung 22'!E92</f>
        <v/>
      </c>
      <c r="F91" s="1199" t="str">
        <f>'org. Düngung 22'!F92</f>
        <v/>
      </c>
      <c r="G91" s="1201" t="str">
        <f>IF(C91="","",IF(COUNT('#minDung'!KF90:KJ90)=0,"OK",TRIM(CONCATENATE('#minDung'!KF90," ",'#minDung'!KG90," ",'#minDung'!KH90," ",'#minDung'!KI90," ",'#minDung'!KJ90))))</f>
        <v/>
      </c>
      <c r="H91" s="1025"/>
      <c r="I91" s="1026" t="str">
        <f>IF(H91="","",'#minDung'!X90)</f>
        <v/>
      </c>
      <c r="J91" s="1026" t="str">
        <f>IF(I91="","",'#minDung'!Y90)</f>
        <v/>
      </c>
      <c r="K91" s="1025"/>
      <c r="L91" s="1026" t="str">
        <f>IF(K91="","",'#minDung'!AG90)</f>
        <v/>
      </c>
      <c r="M91" s="1026" t="str">
        <f>IF(L91="","",'#minDung'!AH90)</f>
        <v/>
      </c>
      <c r="N91" s="1025"/>
      <c r="O91" s="1026" t="str">
        <f>IF(N91="","",'#minDung'!AP90)</f>
        <v/>
      </c>
      <c r="P91" s="1026" t="str">
        <f>IF(O91="","",'#minDung'!AQ90)</f>
        <v/>
      </c>
      <c r="Q91" s="1025"/>
      <c r="R91" s="1026" t="str">
        <f>IF(Q91="","",'#minDung'!AY90)</f>
        <v/>
      </c>
      <c r="S91" s="1026" t="str">
        <f>IF(R91="","",'#minDung'!AZ90)</f>
        <v/>
      </c>
      <c r="T91" s="1025"/>
      <c r="U91" s="1026" t="str">
        <f>IF(T91="","",'#minDung'!BH90)</f>
        <v/>
      </c>
      <c r="V91" s="1026" t="str">
        <f>IF(U91="","",'#minDung'!BI90)</f>
        <v/>
      </c>
      <c r="W91" s="1025"/>
      <c r="X91" s="1026" t="str">
        <f>IF(W91="","",'#minDung'!BQ90)</f>
        <v/>
      </c>
      <c r="Y91" s="1026" t="str">
        <f>IF(X91="","",'#minDung'!BR90)</f>
        <v/>
      </c>
      <c r="Z91" s="1025"/>
      <c r="AA91" s="1026" t="str">
        <f>IF(Z91="","",'#minDung'!BZ90)</f>
        <v/>
      </c>
      <c r="AB91" s="1026" t="str">
        <f>IF(AA91="","",'#minDung'!CA90)</f>
        <v/>
      </c>
      <c r="AC91" s="1025"/>
      <c r="AD91" s="1026" t="str">
        <f>IF(AC91="","",'#minDung'!CI90)</f>
        <v/>
      </c>
      <c r="AE91" s="1026" t="str">
        <f>IF(AD91="","",'#minDung'!CJ90)</f>
        <v/>
      </c>
      <c r="AF91" s="1025"/>
      <c r="AG91" s="1026" t="str">
        <f>IF(AF91="","",'#minDung'!CR90)</f>
        <v/>
      </c>
      <c r="AH91" s="1026" t="str">
        <f>IF(AG91="","",'#minDung'!CS90)</f>
        <v/>
      </c>
      <c r="AI91" s="1025"/>
      <c r="AJ91" s="1026" t="str">
        <f>IF(AI91="","",'#minDung'!DA90)</f>
        <v/>
      </c>
      <c r="AK91" s="1026" t="str">
        <f>IF(AJ91="","",'#minDung'!DB90)</f>
        <v/>
      </c>
      <c r="AL91" s="1025"/>
      <c r="AM91" s="1026" t="str">
        <f>IF(AL91="","",'#minDung'!DJ90)</f>
        <v/>
      </c>
      <c r="AN91" s="1026" t="str">
        <f>IF(AM91="","",'#minDung'!DK90)</f>
        <v/>
      </c>
      <c r="AO91" s="1025"/>
      <c r="AP91" s="1026" t="str">
        <f>IF(AO91="","",'#minDung'!DS90)</f>
        <v/>
      </c>
      <c r="AQ91" s="1026" t="str">
        <f>IF(AP91="","",'#minDung'!DT90)</f>
        <v/>
      </c>
      <c r="AR91" s="1025"/>
      <c r="AS91" s="1026" t="str">
        <f>IF(AR91="","",'#minDung'!EB90)</f>
        <v/>
      </c>
      <c r="AT91" s="1026" t="str">
        <f>IF(AS91="","",'#minDung'!EC90)</f>
        <v/>
      </c>
      <c r="AU91" s="1025"/>
      <c r="AV91" s="1026" t="str">
        <f>IF(AU91="","",'#minDung'!EK90)</f>
        <v/>
      </c>
      <c r="AW91" s="1026" t="str">
        <f>IF(AV91="","",'#minDung'!EL90)</f>
        <v/>
      </c>
      <c r="AX91" s="1025"/>
      <c r="AY91" s="1026" t="str">
        <f>IF(AX91="","",'#minDung'!ET90)</f>
        <v/>
      </c>
      <c r="AZ91" s="1026" t="str">
        <f>IF(AY91="","",'#minDung'!EU90)</f>
        <v/>
      </c>
      <c r="BA91" s="1025"/>
      <c r="BB91" s="1026" t="str">
        <f>IF(BA91="","",'#minDung'!FC90)</f>
        <v/>
      </c>
      <c r="BC91" s="1026" t="str">
        <f>IF(BB91="","",'#minDung'!FD90)</f>
        <v/>
      </c>
      <c r="BD91" s="1025"/>
      <c r="BE91" s="1026" t="str">
        <f>IF(BD91="","",'#minDung'!FL90)</f>
        <v/>
      </c>
      <c r="BF91" s="1026" t="str">
        <f>IF(BE91="","",'#minDung'!FM90)</f>
        <v/>
      </c>
      <c r="BG91" s="1025"/>
      <c r="BH91" s="1026" t="str">
        <f>IF(BG91="","",'#minDung'!FU90)</f>
        <v/>
      </c>
      <c r="BI91" s="1026" t="str">
        <f>IF(BH91="","",'#minDung'!FV90)</f>
        <v/>
      </c>
      <c r="BJ91" s="1025"/>
      <c r="BK91" s="1026" t="str">
        <f>IF(BJ91="","",'#minDung'!GD90)</f>
        <v/>
      </c>
      <c r="BL91" s="1026" t="str">
        <f>IF(BK91="","",'#minDung'!GE90)</f>
        <v/>
      </c>
      <c r="BM91" s="1025"/>
      <c r="BN91" s="1026" t="str">
        <f>IF(BM91="","",'#minDung'!GM90)</f>
        <v/>
      </c>
      <c r="BO91" s="1026" t="str">
        <f>IF(BN91="","",'#minDung'!GN90)</f>
        <v/>
      </c>
      <c r="BP91" s="1025"/>
      <c r="BQ91" s="1026" t="str">
        <f>IF(BP91="","",'#minDung'!GV90)</f>
        <v/>
      </c>
      <c r="BR91" s="1026" t="str">
        <f>IF(BQ91="","",'#minDung'!GW90)</f>
        <v/>
      </c>
      <c r="BS91" s="1025"/>
      <c r="BT91" s="1026" t="str">
        <f>IF(BS91="","",'#minDung'!HE90)</f>
        <v/>
      </c>
      <c r="BU91" s="1026" t="str">
        <f>IF(BT91="","",'#minDung'!HF90)</f>
        <v/>
      </c>
      <c r="BV91" s="1025"/>
      <c r="BW91" s="1026" t="str">
        <f>IF(BV91="","",'#minDung'!HN90)</f>
        <v/>
      </c>
      <c r="BX91" s="1026" t="str">
        <f>IF(BW91="","",'#minDung'!HO90)</f>
        <v/>
      </c>
      <c r="BY91" s="1025"/>
      <c r="BZ91" s="1026" t="str">
        <f>IF(BY91="","",'#minDung'!HW90)</f>
        <v/>
      </c>
      <c r="CA91" s="1026" t="str">
        <f>IF(BZ91="","",'#minDung'!HX90)</f>
        <v/>
      </c>
      <c r="CB91" s="1025"/>
      <c r="CC91" s="1026" t="str">
        <f>IF(CB91="","",'#minDung'!IF90)</f>
        <v/>
      </c>
      <c r="CD91" s="1026" t="str">
        <f>IF(CC91="","",'#minDung'!IG90)</f>
        <v/>
      </c>
      <c r="CE91" s="1025"/>
      <c r="CF91" s="1026" t="str">
        <f>IF(CE91="","",'#minDung'!IO90)</f>
        <v/>
      </c>
      <c r="CG91" s="1026" t="str">
        <f>IF(CF91="","",'#minDung'!IP90)</f>
        <v/>
      </c>
      <c r="CH91" s="1025"/>
      <c r="CI91" s="1026" t="str">
        <f>IF(CH91="","",'#minDung'!IX90)</f>
        <v/>
      </c>
      <c r="CJ91" s="1026" t="str">
        <f>IF(CI91="","",'#minDung'!IY90)</f>
        <v/>
      </c>
      <c r="CK91" s="1025"/>
      <c r="CL91" s="1026" t="str">
        <f>IF(CK91="","",'#minDung'!JG90)</f>
        <v/>
      </c>
      <c r="CM91" s="1026" t="str">
        <f>IF(CL91="","",'#minDung'!JH90)</f>
        <v/>
      </c>
      <c r="CN91" s="1025"/>
      <c r="CO91" s="1026" t="str">
        <f>IF(CN91="","",'#minDung'!JP90)</f>
        <v/>
      </c>
      <c r="CP91" s="1026" t="str">
        <f>IF(CO91="","",'#minDung'!JQ90)</f>
        <v/>
      </c>
      <c r="CQ91" s="1025"/>
      <c r="CR91" s="1026" t="str">
        <f>IF(CQ91="","",'#minDung'!JY90)</f>
        <v/>
      </c>
      <c r="CS91" s="1030" t="str">
        <f>IF(CR91="","",'#minDung'!JZ90)</f>
        <v/>
      </c>
      <c r="CT91" s="170"/>
    </row>
    <row r="92" spans="1:98" s="875" customFormat="1" ht="15" customHeight="1" x14ac:dyDescent="0.2">
      <c r="A92" s="1205">
        <f>'Flächen u. Kulturen'!A90</f>
        <v>81</v>
      </c>
      <c r="B92" s="1205" t="str">
        <f>+'org. Düngung 22'!B93</f>
        <v/>
      </c>
      <c r="C92" s="1206" t="str">
        <f>'org. Düngung 22'!C93</f>
        <v/>
      </c>
      <c r="D92" s="1197" t="str">
        <f>'org. Düngung 22'!D93</f>
        <v/>
      </c>
      <c r="E92" s="1207" t="str">
        <f>'org. Düngung 22'!E93</f>
        <v/>
      </c>
      <c r="F92" s="1199" t="str">
        <f>'org. Düngung 22'!F93</f>
        <v/>
      </c>
      <c r="G92" s="1201" t="str">
        <f>IF(C92="","",IF(COUNT('#minDung'!KF91:KJ91)=0,"OK",TRIM(CONCATENATE('#minDung'!KF91," ",'#minDung'!KG91," ",'#minDung'!KH91," ",'#minDung'!KI91," ",'#minDung'!KJ91))))</f>
        <v/>
      </c>
      <c r="H92" s="1025"/>
      <c r="I92" s="1026" t="str">
        <f>IF(H92="","",'#minDung'!X91)</f>
        <v/>
      </c>
      <c r="J92" s="1026" t="str">
        <f>IF(I92="","",'#minDung'!Y91)</f>
        <v/>
      </c>
      <c r="K92" s="1025"/>
      <c r="L92" s="1026" t="str">
        <f>IF(K92="","",'#minDung'!AG91)</f>
        <v/>
      </c>
      <c r="M92" s="1026" t="str">
        <f>IF(L92="","",'#minDung'!AH91)</f>
        <v/>
      </c>
      <c r="N92" s="1025"/>
      <c r="O92" s="1026" t="str">
        <f>IF(N92="","",'#minDung'!AP91)</f>
        <v/>
      </c>
      <c r="P92" s="1026" t="str">
        <f>IF(O92="","",'#minDung'!AQ91)</f>
        <v/>
      </c>
      <c r="Q92" s="1025"/>
      <c r="R92" s="1026" t="str">
        <f>IF(Q92="","",'#minDung'!AY91)</f>
        <v/>
      </c>
      <c r="S92" s="1026" t="str">
        <f>IF(R92="","",'#minDung'!AZ91)</f>
        <v/>
      </c>
      <c r="T92" s="1025"/>
      <c r="U92" s="1026" t="str">
        <f>IF(T92="","",'#minDung'!BH91)</f>
        <v/>
      </c>
      <c r="V92" s="1026" t="str">
        <f>IF(U92="","",'#minDung'!BI91)</f>
        <v/>
      </c>
      <c r="W92" s="1025"/>
      <c r="X92" s="1026" t="str">
        <f>IF(W92="","",'#minDung'!BQ91)</f>
        <v/>
      </c>
      <c r="Y92" s="1026" t="str">
        <f>IF(X92="","",'#minDung'!BR91)</f>
        <v/>
      </c>
      <c r="Z92" s="1025"/>
      <c r="AA92" s="1026" t="str">
        <f>IF(Z92="","",'#minDung'!BZ91)</f>
        <v/>
      </c>
      <c r="AB92" s="1026" t="str">
        <f>IF(AA92="","",'#minDung'!CA91)</f>
        <v/>
      </c>
      <c r="AC92" s="1025"/>
      <c r="AD92" s="1026" t="str">
        <f>IF(AC92="","",'#minDung'!CI91)</f>
        <v/>
      </c>
      <c r="AE92" s="1026" t="str">
        <f>IF(AD92="","",'#minDung'!CJ91)</f>
        <v/>
      </c>
      <c r="AF92" s="1025"/>
      <c r="AG92" s="1026" t="str">
        <f>IF(AF92="","",'#minDung'!CR91)</f>
        <v/>
      </c>
      <c r="AH92" s="1026" t="str">
        <f>IF(AG92="","",'#minDung'!CS91)</f>
        <v/>
      </c>
      <c r="AI92" s="1025"/>
      <c r="AJ92" s="1026" t="str">
        <f>IF(AI92="","",'#minDung'!DA91)</f>
        <v/>
      </c>
      <c r="AK92" s="1026" t="str">
        <f>IF(AJ92="","",'#minDung'!DB91)</f>
        <v/>
      </c>
      <c r="AL92" s="1025"/>
      <c r="AM92" s="1026" t="str">
        <f>IF(AL92="","",'#minDung'!DJ91)</f>
        <v/>
      </c>
      <c r="AN92" s="1026" t="str">
        <f>IF(AM92="","",'#minDung'!DK91)</f>
        <v/>
      </c>
      <c r="AO92" s="1025"/>
      <c r="AP92" s="1026" t="str">
        <f>IF(AO92="","",'#minDung'!DS91)</f>
        <v/>
      </c>
      <c r="AQ92" s="1026" t="str">
        <f>IF(AP92="","",'#minDung'!DT91)</f>
        <v/>
      </c>
      <c r="AR92" s="1025"/>
      <c r="AS92" s="1026" t="str">
        <f>IF(AR92="","",'#minDung'!EB91)</f>
        <v/>
      </c>
      <c r="AT92" s="1026" t="str">
        <f>IF(AS92="","",'#minDung'!EC91)</f>
        <v/>
      </c>
      <c r="AU92" s="1025"/>
      <c r="AV92" s="1026" t="str">
        <f>IF(AU92="","",'#minDung'!EK91)</f>
        <v/>
      </c>
      <c r="AW92" s="1026" t="str">
        <f>IF(AV92="","",'#minDung'!EL91)</f>
        <v/>
      </c>
      <c r="AX92" s="1025"/>
      <c r="AY92" s="1026" t="str">
        <f>IF(AX92="","",'#minDung'!ET91)</f>
        <v/>
      </c>
      <c r="AZ92" s="1026" t="str">
        <f>IF(AY92="","",'#minDung'!EU91)</f>
        <v/>
      </c>
      <c r="BA92" s="1025"/>
      <c r="BB92" s="1026" t="str">
        <f>IF(BA92="","",'#minDung'!FC91)</f>
        <v/>
      </c>
      <c r="BC92" s="1026" t="str">
        <f>IF(BB92="","",'#minDung'!FD91)</f>
        <v/>
      </c>
      <c r="BD92" s="1025"/>
      <c r="BE92" s="1026" t="str">
        <f>IF(BD92="","",'#minDung'!FL91)</f>
        <v/>
      </c>
      <c r="BF92" s="1026" t="str">
        <f>IF(BE92="","",'#minDung'!FM91)</f>
        <v/>
      </c>
      <c r="BG92" s="1025"/>
      <c r="BH92" s="1026" t="str">
        <f>IF(BG92="","",'#minDung'!FU91)</f>
        <v/>
      </c>
      <c r="BI92" s="1026" t="str">
        <f>IF(BH92="","",'#minDung'!FV91)</f>
        <v/>
      </c>
      <c r="BJ92" s="1025"/>
      <c r="BK92" s="1026" t="str">
        <f>IF(BJ92="","",'#minDung'!GD91)</f>
        <v/>
      </c>
      <c r="BL92" s="1026" t="str">
        <f>IF(BK92="","",'#minDung'!GE91)</f>
        <v/>
      </c>
      <c r="BM92" s="1025"/>
      <c r="BN92" s="1026" t="str">
        <f>IF(BM92="","",'#minDung'!GM91)</f>
        <v/>
      </c>
      <c r="BO92" s="1026" t="str">
        <f>IF(BN92="","",'#minDung'!GN91)</f>
        <v/>
      </c>
      <c r="BP92" s="1025"/>
      <c r="BQ92" s="1026" t="str">
        <f>IF(BP92="","",'#minDung'!GV91)</f>
        <v/>
      </c>
      <c r="BR92" s="1026" t="str">
        <f>IF(BQ92="","",'#minDung'!GW91)</f>
        <v/>
      </c>
      <c r="BS92" s="1025"/>
      <c r="BT92" s="1026" t="str">
        <f>IF(BS92="","",'#minDung'!HE91)</f>
        <v/>
      </c>
      <c r="BU92" s="1026" t="str">
        <f>IF(BT92="","",'#minDung'!HF91)</f>
        <v/>
      </c>
      <c r="BV92" s="1025"/>
      <c r="BW92" s="1026" t="str">
        <f>IF(BV92="","",'#minDung'!HN91)</f>
        <v/>
      </c>
      <c r="BX92" s="1026" t="str">
        <f>IF(BW92="","",'#minDung'!HO91)</f>
        <v/>
      </c>
      <c r="BY92" s="1025"/>
      <c r="BZ92" s="1026" t="str">
        <f>IF(BY92="","",'#minDung'!HW91)</f>
        <v/>
      </c>
      <c r="CA92" s="1026" t="str">
        <f>IF(BZ92="","",'#minDung'!HX91)</f>
        <v/>
      </c>
      <c r="CB92" s="1025"/>
      <c r="CC92" s="1026" t="str">
        <f>IF(CB92="","",'#minDung'!IF91)</f>
        <v/>
      </c>
      <c r="CD92" s="1026" t="str">
        <f>IF(CC92="","",'#minDung'!IG91)</f>
        <v/>
      </c>
      <c r="CE92" s="1025"/>
      <c r="CF92" s="1026" t="str">
        <f>IF(CE92="","",'#minDung'!IO91)</f>
        <v/>
      </c>
      <c r="CG92" s="1026" t="str">
        <f>IF(CF92="","",'#minDung'!IP91)</f>
        <v/>
      </c>
      <c r="CH92" s="1025"/>
      <c r="CI92" s="1026" t="str">
        <f>IF(CH92="","",'#minDung'!IX91)</f>
        <v/>
      </c>
      <c r="CJ92" s="1026" t="str">
        <f>IF(CI92="","",'#minDung'!IY91)</f>
        <v/>
      </c>
      <c r="CK92" s="1025"/>
      <c r="CL92" s="1026" t="str">
        <f>IF(CK92="","",'#minDung'!JG91)</f>
        <v/>
      </c>
      <c r="CM92" s="1026" t="str">
        <f>IF(CL92="","",'#minDung'!JH91)</f>
        <v/>
      </c>
      <c r="CN92" s="1025"/>
      <c r="CO92" s="1026" t="str">
        <f>IF(CN92="","",'#minDung'!JP91)</f>
        <v/>
      </c>
      <c r="CP92" s="1026" t="str">
        <f>IF(CO92="","",'#minDung'!JQ91)</f>
        <v/>
      </c>
      <c r="CQ92" s="1025"/>
      <c r="CR92" s="1026" t="str">
        <f>IF(CQ92="","",'#minDung'!JY91)</f>
        <v/>
      </c>
      <c r="CS92" s="1030" t="str">
        <f>IF(CR92="","",'#minDung'!JZ91)</f>
        <v/>
      </c>
      <c r="CT92" s="170"/>
    </row>
    <row r="93" spans="1:98" s="875" customFormat="1" ht="15" customHeight="1" x14ac:dyDescent="0.2">
      <c r="A93" s="1205">
        <f>'Flächen u. Kulturen'!A91</f>
        <v>82</v>
      </c>
      <c r="B93" s="1205" t="str">
        <f>+'org. Düngung 22'!B94</f>
        <v/>
      </c>
      <c r="C93" s="1206" t="str">
        <f>'org. Düngung 22'!C94</f>
        <v/>
      </c>
      <c r="D93" s="1197" t="str">
        <f>'org. Düngung 22'!D94</f>
        <v/>
      </c>
      <c r="E93" s="1207" t="str">
        <f>'org. Düngung 22'!E94</f>
        <v/>
      </c>
      <c r="F93" s="1199" t="str">
        <f>'org. Düngung 22'!F94</f>
        <v/>
      </c>
      <c r="G93" s="1201" t="str">
        <f>IF(C93="","",IF(COUNT('#minDung'!KF92:KJ92)=0,"OK",TRIM(CONCATENATE('#minDung'!KF92," ",'#minDung'!KG92," ",'#minDung'!KH92," ",'#minDung'!KI92," ",'#minDung'!KJ92))))</f>
        <v/>
      </c>
      <c r="H93" s="1025"/>
      <c r="I93" s="1026" t="str">
        <f>IF(H93="","",'#minDung'!X92)</f>
        <v/>
      </c>
      <c r="J93" s="1026" t="str">
        <f>IF(I93="","",'#minDung'!Y92)</f>
        <v/>
      </c>
      <c r="K93" s="1025"/>
      <c r="L93" s="1026" t="str">
        <f>IF(K93="","",'#minDung'!AG92)</f>
        <v/>
      </c>
      <c r="M93" s="1026" t="str">
        <f>IF(L93="","",'#minDung'!AH92)</f>
        <v/>
      </c>
      <c r="N93" s="1025"/>
      <c r="O93" s="1026" t="str">
        <f>IF(N93="","",'#minDung'!AP92)</f>
        <v/>
      </c>
      <c r="P93" s="1026" t="str">
        <f>IF(O93="","",'#minDung'!AQ92)</f>
        <v/>
      </c>
      <c r="Q93" s="1025"/>
      <c r="R93" s="1026" t="str">
        <f>IF(Q93="","",'#minDung'!AY92)</f>
        <v/>
      </c>
      <c r="S93" s="1026" t="str">
        <f>IF(R93="","",'#minDung'!AZ92)</f>
        <v/>
      </c>
      <c r="T93" s="1025"/>
      <c r="U93" s="1026" t="str">
        <f>IF(T93="","",'#minDung'!BH92)</f>
        <v/>
      </c>
      <c r="V93" s="1026" t="str">
        <f>IF(U93="","",'#minDung'!BI92)</f>
        <v/>
      </c>
      <c r="W93" s="1025"/>
      <c r="X93" s="1026" t="str">
        <f>IF(W93="","",'#minDung'!BQ92)</f>
        <v/>
      </c>
      <c r="Y93" s="1026" t="str">
        <f>IF(X93="","",'#minDung'!BR92)</f>
        <v/>
      </c>
      <c r="Z93" s="1025"/>
      <c r="AA93" s="1026" t="str">
        <f>IF(Z93="","",'#minDung'!BZ92)</f>
        <v/>
      </c>
      <c r="AB93" s="1026" t="str">
        <f>IF(AA93="","",'#minDung'!CA92)</f>
        <v/>
      </c>
      <c r="AC93" s="1025"/>
      <c r="AD93" s="1026" t="str">
        <f>IF(AC93="","",'#minDung'!CI92)</f>
        <v/>
      </c>
      <c r="AE93" s="1026" t="str">
        <f>IF(AD93="","",'#minDung'!CJ92)</f>
        <v/>
      </c>
      <c r="AF93" s="1025"/>
      <c r="AG93" s="1026" t="str">
        <f>IF(AF93="","",'#minDung'!CR92)</f>
        <v/>
      </c>
      <c r="AH93" s="1026" t="str">
        <f>IF(AG93="","",'#minDung'!CS92)</f>
        <v/>
      </c>
      <c r="AI93" s="1025"/>
      <c r="AJ93" s="1026" t="str">
        <f>IF(AI93="","",'#minDung'!DA92)</f>
        <v/>
      </c>
      <c r="AK93" s="1026" t="str">
        <f>IF(AJ93="","",'#minDung'!DB92)</f>
        <v/>
      </c>
      <c r="AL93" s="1025"/>
      <c r="AM93" s="1026" t="str">
        <f>IF(AL93="","",'#minDung'!DJ92)</f>
        <v/>
      </c>
      <c r="AN93" s="1026" t="str">
        <f>IF(AM93="","",'#minDung'!DK92)</f>
        <v/>
      </c>
      <c r="AO93" s="1025"/>
      <c r="AP93" s="1026" t="str">
        <f>IF(AO93="","",'#minDung'!DS92)</f>
        <v/>
      </c>
      <c r="AQ93" s="1026" t="str">
        <f>IF(AP93="","",'#minDung'!DT92)</f>
        <v/>
      </c>
      <c r="AR93" s="1025"/>
      <c r="AS93" s="1026" t="str">
        <f>IF(AR93="","",'#minDung'!EB92)</f>
        <v/>
      </c>
      <c r="AT93" s="1026" t="str">
        <f>IF(AS93="","",'#minDung'!EC92)</f>
        <v/>
      </c>
      <c r="AU93" s="1025"/>
      <c r="AV93" s="1026" t="str">
        <f>IF(AU93="","",'#minDung'!EK92)</f>
        <v/>
      </c>
      <c r="AW93" s="1026" t="str">
        <f>IF(AV93="","",'#minDung'!EL92)</f>
        <v/>
      </c>
      <c r="AX93" s="1025"/>
      <c r="AY93" s="1026" t="str">
        <f>IF(AX93="","",'#minDung'!ET92)</f>
        <v/>
      </c>
      <c r="AZ93" s="1026" t="str">
        <f>IF(AY93="","",'#minDung'!EU92)</f>
        <v/>
      </c>
      <c r="BA93" s="1025"/>
      <c r="BB93" s="1026" t="str">
        <f>IF(BA93="","",'#minDung'!FC92)</f>
        <v/>
      </c>
      <c r="BC93" s="1026" t="str">
        <f>IF(BB93="","",'#minDung'!FD92)</f>
        <v/>
      </c>
      <c r="BD93" s="1025"/>
      <c r="BE93" s="1026" t="str">
        <f>IF(BD93="","",'#minDung'!FL92)</f>
        <v/>
      </c>
      <c r="BF93" s="1026" t="str">
        <f>IF(BE93="","",'#minDung'!FM92)</f>
        <v/>
      </c>
      <c r="BG93" s="1025"/>
      <c r="BH93" s="1026" t="str">
        <f>IF(BG93="","",'#minDung'!FU92)</f>
        <v/>
      </c>
      <c r="BI93" s="1026" t="str">
        <f>IF(BH93="","",'#minDung'!FV92)</f>
        <v/>
      </c>
      <c r="BJ93" s="1025"/>
      <c r="BK93" s="1026" t="str">
        <f>IF(BJ93="","",'#minDung'!GD92)</f>
        <v/>
      </c>
      <c r="BL93" s="1026" t="str">
        <f>IF(BK93="","",'#minDung'!GE92)</f>
        <v/>
      </c>
      <c r="BM93" s="1025"/>
      <c r="BN93" s="1026" t="str">
        <f>IF(BM93="","",'#minDung'!GM92)</f>
        <v/>
      </c>
      <c r="BO93" s="1026" t="str">
        <f>IF(BN93="","",'#minDung'!GN92)</f>
        <v/>
      </c>
      <c r="BP93" s="1025"/>
      <c r="BQ93" s="1026" t="str">
        <f>IF(BP93="","",'#minDung'!GV92)</f>
        <v/>
      </c>
      <c r="BR93" s="1026" t="str">
        <f>IF(BQ93="","",'#minDung'!GW92)</f>
        <v/>
      </c>
      <c r="BS93" s="1025"/>
      <c r="BT93" s="1026" t="str">
        <f>IF(BS93="","",'#minDung'!HE92)</f>
        <v/>
      </c>
      <c r="BU93" s="1026" t="str">
        <f>IF(BT93="","",'#minDung'!HF92)</f>
        <v/>
      </c>
      <c r="BV93" s="1025"/>
      <c r="BW93" s="1026" t="str">
        <f>IF(BV93="","",'#minDung'!HN92)</f>
        <v/>
      </c>
      <c r="BX93" s="1026" t="str">
        <f>IF(BW93="","",'#minDung'!HO92)</f>
        <v/>
      </c>
      <c r="BY93" s="1025"/>
      <c r="BZ93" s="1026" t="str">
        <f>IF(BY93="","",'#minDung'!HW92)</f>
        <v/>
      </c>
      <c r="CA93" s="1026" t="str">
        <f>IF(BZ93="","",'#minDung'!HX92)</f>
        <v/>
      </c>
      <c r="CB93" s="1025"/>
      <c r="CC93" s="1026" t="str">
        <f>IF(CB93="","",'#minDung'!IF92)</f>
        <v/>
      </c>
      <c r="CD93" s="1026" t="str">
        <f>IF(CC93="","",'#minDung'!IG92)</f>
        <v/>
      </c>
      <c r="CE93" s="1025"/>
      <c r="CF93" s="1026" t="str">
        <f>IF(CE93="","",'#minDung'!IO92)</f>
        <v/>
      </c>
      <c r="CG93" s="1026" t="str">
        <f>IF(CF93="","",'#minDung'!IP92)</f>
        <v/>
      </c>
      <c r="CH93" s="1025"/>
      <c r="CI93" s="1026" t="str">
        <f>IF(CH93="","",'#minDung'!IX92)</f>
        <v/>
      </c>
      <c r="CJ93" s="1026" t="str">
        <f>IF(CI93="","",'#minDung'!IY92)</f>
        <v/>
      </c>
      <c r="CK93" s="1025"/>
      <c r="CL93" s="1026" t="str">
        <f>IF(CK93="","",'#minDung'!JG92)</f>
        <v/>
      </c>
      <c r="CM93" s="1026" t="str">
        <f>IF(CL93="","",'#minDung'!JH92)</f>
        <v/>
      </c>
      <c r="CN93" s="1025"/>
      <c r="CO93" s="1026" t="str">
        <f>IF(CN93="","",'#minDung'!JP92)</f>
        <v/>
      </c>
      <c r="CP93" s="1026" t="str">
        <f>IF(CO93="","",'#minDung'!JQ92)</f>
        <v/>
      </c>
      <c r="CQ93" s="1025"/>
      <c r="CR93" s="1026" t="str">
        <f>IF(CQ93="","",'#minDung'!JY92)</f>
        <v/>
      </c>
      <c r="CS93" s="1030" t="str">
        <f>IF(CR93="","",'#minDung'!JZ92)</f>
        <v/>
      </c>
      <c r="CT93" s="170"/>
    </row>
    <row r="94" spans="1:98" s="875" customFormat="1" ht="15" customHeight="1" x14ac:dyDescent="0.2">
      <c r="A94" s="1205">
        <f>'Flächen u. Kulturen'!A92</f>
        <v>83</v>
      </c>
      <c r="B94" s="1205" t="str">
        <f>+'org. Düngung 22'!B95</f>
        <v/>
      </c>
      <c r="C94" s="1206" t="str">
        <f>'org. Düngung 22'!C95</f>
        <v/>
      </c>
      <c r="D94" s="1197" t="str">
        <f>'org. Düngung 22'!D95</f>
        <v/>
      </c>
      <c r="E94" s="1207" t="str">
        <f>'org. Düngung 22'!E95</f>
        <v/>
      </c>
      <c r="F94" s="1199" t="str">
        <f>'org. Düngung 22'!F95</f>
        <v/>
      </c>
      <c r="G94" s="1201" t="str">
        <f>IF(C94="","",IF(COUNT('#minDung'!KF93:KJ93)=0,"OK",TRIM(CONCATENATE('#minDung'!KF93," ",'#minDung'!KG93," ",'#minDung'!KH93," ",'#minDung'!KI93," ",'#minDung'!KJ93))))</f>
        <v/>
      </c>
      <c r="H94" s="1025"/>
      <c r="I94" s="1026" t="str">
        <f>IF(H94="","",'#minDung'!X93)</f>
        <v/>
      </c>
      <c r="J94" s="1026" t="str">
        <f>IF(I94="","",'#minDung'!Y93)</f>
        <v/>
      </c>
      <c r="K94" s="1025"/>
      <c r="L94" s="1026" t="str">
        <f>IF(K94="","",'#minDung'!AG93)</f>
        <v/>
      </c>
      <c r="M94" s="1026" t="str">
        <f>IF(L94="","",'#minDung'!AH93)</f>
        <v/>
      </c>
      <c r="N94" s="1025"/>
      <c r="O94" s="1026" t="str">
        <f>IF(N94="","",'#minDung'!AP93)</f>
        <v/>
      </c>
      <c r="P94" s="1026" t="str">
        <f>IF(O94="","",'#minDung'!AQ93)</f>
        <v/>
      </c>
      <c r="Q94" s="1025"/>
      <c r="R94" s="1026" t="str">
        <f>IF(Q94="","",'#minDung'!AY93)</f>
        <v/>
      </c>
      <c r="S94" s="1026" t="str">
        <f>IF(R94="","",'#minDung'!AZ93)</f>
        <v/>
      </c>
      <c r="T94" s="1025"/>
      <c r="U94" s="1026" t="str">
        <f>IF(T94="","",'#minDung'!BH93)</f>
        <v/>
      </c>
      <c r="V94" s="1026" t="str">
        <f>IF(U94="","",'#minDung'!BI93)</f>
        <v/>
      </c>
      <c r="W94" s="1025"/>
      <c r="X94" s="1026" t="str">
        <f>IF(W94="","",'#minDung'!BQ93)</f>
        <v/>
      </c>
      <c r="Y94" s="1026" t="str">
        <f>IF(X94="","",'#minDung'!BR93)</f>
        <v/>
      </c>
      <c r="Z94" s="1025"/>
      <c r="AA94" s="1026" t="str">
        <f>IF(Z94="","",'#minDung'!BZ93)</f>
        <v/>
      </c>
      <c r="AB94" s="1026" t="str">
        <f>IF(AA94="","",'#minDung'!CA93)</f>
        <v/>
      </c>
      <c r="AC94" s="1025"/>
      <c r="AD94" s="1026" t="str">
        <f>IF(AC94="","",'#minDung'!CI93)</f>
        <v/>
      </c>
      <c r="AE94" s="1026" t="str">
        <f>IF(AD94="","",'#minDung'!CJ93)</f>
        <v/>
      </c>
      <c r="AF94" s="1025"/>
      <c r="AG94" s="1026" t="str">
        <f>IF(AF94="","",'#minDung'!CR93)</f>
        <v/>
      </c>
      <c r="AH94" s="1026" t="str">
        <f>IF(AG94="","",'#minDung'!CS93)</f>
        <v/>
      </c>
      <c r="AI94" s="1025"/>
      <c r="AJ94" s="1026" t="str">
        <f>IF(AI94="","",'#minDung'!DA93)</f>
        <v/>
      </c>
      <c r="AK94" s="1026" t="str">
        <f>IF(AJ94="","",'#minDung'!DB93)</f>
        <v/>
      </c>
      <c r="AL94" s="1025"/>
      <c r="AM94" s="1026" t="str">
        <f>IF(AL94="","",'#minDung'!DJ93)</f>
        <v/>
      </c>
      <c r="AN94" s="1026" t="str">
        <f>IF(AM94="","",'#minDung'!DK93)</f>
        <v/>
      </c>
      <c r="AO94" s="1025"/>
      <c r="AP94" s="1026" t="str">
        <f>IF(AO94="","",'#minDung'!DS93)</f>
        <v/>
      </c>
      <c r="AQ94" s="1026" t="str">
        <f>IF(AP94="","",'#minDung'!DT93)</f>
        <v/>
      </c>
      <c r="AR94" s="1025"/>
      <c r="AS94" s="1026" t="str">
        <f>IF(AR94="","",'#minDung'!EB93)</f>
        <v/>
      </c>
      <c r="AT94" s="1026" t="str">
        <f>IF(AS94="","",'#minDung'!EC93)</f>
        <v/>
      </c>
      <c r="AU94" s="1025"/>
      <c r="AV94" s="1026" t="str">
        <f>IF(AU94="","",'#minDung'!EK93)</f>
        <v/>
      </c>
      <c r="AW94" s="1026" t="str">
        <f>IF(AV94="","",'#minDung'!EL93)</f>
        <v/>
      </c>
      <c r="AX94" s="1025"/>
      <c r="AY94" s="1026" t="str">
        <f>IF(AX94="","",'#minDung'!ET93)</f>
        <v/>
      </c>
      <c r="AZ94" s="1026" t="str">
        <f>IF(AY94="","",'#minDung'!EU93)</f>
        <v/>
      </c>
      <c r="BA94" s="1025"/>
      <c r="BB94" s="1026" t="str">
        <f>IF(BA94="","",'#minDung'!FC93)</f>
        <v/>
      </c>
      <c r="BC94" s="1026" t="str">
        <f>IF(BB94="","",'#minDung'!FD93)</f>
        <v/>
      </c>
      <c r="BD94" s="1025"/>
      <c r="BE94" s="1026" t="str">
        <f>IF(BD94="","",'#minDung'!FL93)</f>
        <v/>
      </c>
      <c r="BF94" s="1026" t="str">
        <f>IF(BE94="","",'#minDung'!FM93)</f>
        <v/>
      </c>
      <c r="BG94" s="1025"/>
      <c r="BH94" s="1026" t="str">
        <f>IF(BG94="","",'#minDung'!FU93)</f>
        <v/>
      </c>
      <c r="BI94" s="1026" t="str">
        <f>IF(BH94="","",'#minDung'!FV93)</f>
        <v/>
      </c>
      <c r="BJ94" s="1025"/>
      <c r="BK94" s="1026" t="str">
        <f>IF(BJ94="","",'#minDung'!GD93)</f>
        <v/>
      </c>
      <c r="BL94" s="1026" t="str">
        <f>IF(BK94="","",'#minDung'!GE93)</f>
        <v/>
      </c>
      <c r="BM94" s="1025"/>
      <c r="BN94" s="1026" t="str">
        <f>IF(BM94="","",'#minDung'!GM93)</f>
        <v/>
      </c>
      <c r="BO94" s="1026" t="str">
        <f>IF(BN94="","",'#minDung'!GN93)</f>
        <v/>
      </c>
      <c r="BP94" s="1025"/>
      <c r="BQ94" s="1026" t="str">
        <f>IF(BP94="","",'#minDung'!GV93)</f>
        <v/>
      </c>
      <c r="BR94" s="1026" t="str">
        <f>IF(BQ94="","",'#minDung'!GW93)</f>
        <v/>
      </c>
      <c r="BS94" s="1025"/>
      <c r="BT94" s="1026" t="str">
        <f>IF(BS94="","",'#minDung'!HE93)</f>
        <v/>
      </c>
      <c r="BU94" s="1026" t="str">
        <f>IF(BT94="","",'#minDung'!HF93)</f>
        <v/>
      </c>
      <c r="BV94" s="1025"/>
      <c r="BW94" s="1026" t="str">
        <f>IF(BV94="","",'#minDung'!HN93)</f>
        <v/>
      </c>
      <c r="BX94" s="1026" t="str">
        <f>IF(BW94="","",'#minDung'!HO93)</f>
        <v/>
      </c>
      <c r="BY94" s="1025"/>
      <c r="BZ94" s="1026" t="str">
        <f>IF(BY94="","",'#minDung'!HW93)</f>
        <v/>
      </c>
      <c r="CA94" s="1026" t="str">
        <f>IF(BZ94="","",'#minDung'!HX93)</f>
        <v/>
      </c>
      <c r="CB94" s="1025"/>
      <c r="CC94" s="1026" t="str">
        <f>IF(CB94="","",'#minDung'!IF93)</f>
        <v/>
      </c>
      <c r="CD94" s="1026" t="str">
        <f>IF(CC94="","",'#minDung'!IG93)</f>
        <v/>
      </c>
      <c r="CE94" s="1025"/>
      <c r="CF94" s="1026" t="str">
        <f>IF(CE94="","",'#minDung'!IO93)</f>
        <v/>
      </c>
      <c r="CG94" s="1026" t="str">
        <f>IF(CF94="","",'#minDung'!IP93)</f>
        <v/>
      </c>
      <c r="CH94" s="1025"/>
      <c r="CI94" s="1026" t="str">
        <f>IF(CH94="","",'#minDung'!IX93)</f>
        <v/>
      </c>
      <c r="CJ94" s="1026" t="str">
        <f>IF(CI94="","",'#minDung'!IY93)</f>
        <v/>
      </c>
      <c r="CK94" s="1025"/>
      <c r="CL94" s="1026" t="str">
        <f>IF(CK94="","",'#minDung'!JG93)</f>
        <v/>
      </c>
      <c r="CM94" s="1026" t="str">
        <f>IF(CL94="","",'#minDung'!JH93)</f>
        <v/>
      </c>
      <c r="CN94" s="1025"/>
      <c r="CO94" s="1026" t="str">
        <f>IF(CN94="","",'#minDung'!JP93)</f>
        <v/>
      </c>
      <c r="CP94" s="1026" t="str">
        <f>IF(CO94="","",'#minDung'!JQ93)</f>
        <v/>
      </c>
      <c r="CQ94" s="1025"/>
      <c r="CR94" s="1026" t="str">
        <f>IF(CQ94="","",'#minDung'!JY93)</f>
        <v/>
      </c>
      <c r="CS94" s="1030" t="str">
        <f>IF(CR94="","",'#minDung'!JZ93)</f>
        <v/>
      </c>
      <c r="CT94" s="170"/>
    </row>
    <row r="95" spans="1:98" s="875" customFormat="1" ht="15" customHeight="1" x14ac:dyDescent="0.2">
      <c r="A95" s="1205">
        <f>'Flächen u. Kulturen'!A93</f>
        <v>84</v>
      </c>
      <c r="B95" s="1205" t="str">
        <f>+'org. Düngung 22'!B96</f>
        <v/>
      </c>
      <c r="C95" s="1206" t="str">
        <f>'org. Düngung 22'!C96</f>
        <v/>
      </c>
      <c r="D95" s="1197" t="str">
        <f>'org. Düngung 22'!D96</f>
        <v/>
      </c>
      <c r="E95" s="1207" t="str">
        <f>'org. Düngung 22'!E96</f>
        <v/>
      </c>
      <c r="F95" s="1199" t="str">
        <f>'org. Düngung 22'!F96</f>
        <v/>
      </c>
      <c r="G95" s="1201" t="str">
        <f>IF(C95="","",IF(COUNT('#minDung'!KF94:KJ94)=0,"OK",TRIM(CONCATENATE('#minDung'!KF94," ",'#minDung'!KG94," ",'#minDung'!KH94," ",'#minDung'!KI94," ",'#minDung'!KJ94))))</f>
        <v/>
      </c>
      <c r="H95" s="1025"/>
      <c r="I95" s="1026" t="str">
        <f>IF(H95="","",'#minDung'!X94)</f>
        <v/>
      </c>
      <c r="J95" s="1026" t="str">
        <f>IF(I95="","",'#minDung'!Y94)</f>
        <v/>
      </c>
      <c r="K95" s="1025"/>
      <c r="L95" s="1026" t="str">
        <f>IF(K95="","",'#minDung'!AG94)</f>
        <v/>
      </c>
      <c r="M95" s="1026" t="str">
        <f>IF(L95="","",'#minDung'!AH94)</f>
        <v/>
      </c>
      <c r="N95" s="1025"/>
      <c r="O95" s="1026" t="str">
        <f>IF(N95="","",'#minDung'!AP94)</f>
        <v/>
      </c>
      <c r="P95" s="1026" t="str">
        <f>IF(O95="","",'#minDung'!AQ94)</f>
        <v/>
      </c>
      <c r="Q95" s="1025"/>
      <c r="R95" s="1026" t="str">
        <f>IF(Q95="","",'#minDung'!AY94)</f>
        <v/>
      </c>
      <c r="S95" s="1026" t="str">
        <f>IF(R95="","",'#minDung'!AZ94)</f>
        <v/>
      </c>
      <c r="T95" s="1025"/>
      <c r="U95" s="1026" t="str">
        <f>IF(T95="","",'#minDung'!BH94)</f>
        <v/>
      </c>
      <c r="V95" s="1026" t="str">
        <f>IF(U95="","",'#minDung'!BI94)</f>
        <v/>
      </c>
      <c r="W95" s="1025"/>
      <c r="X95" s="1026" t="str">
        <f>IF(W95="","",'#minDung'!BQ94)</f>
        <v/>
      </c>
      <c r="Y95" s="1026" t="str">
        <f>IF(X95="","",'#minDung'!BR94)</f>
        <v/>
      </c>
      <c r="Z95" s="1025"/>
      <c r="AA95" s="1026" t="str">
        <f>IF(Z95="","",'#minDung'!BZ94)</f>
        <v/>
      </c>
      <c r="AB95" s="1026" t="str">
        <f>IF(AA95="","",'#minDung'!CA94)</f>
        <v/>
      </c>
      <c r="AC95" s="1025"/>
      <c r="AD95" s="1026" t="str">
        <f>IF(AC95="","",'#minDung'!CI94)</f>
        <v/>
      </c>
      <c r="AE95" s="1026" t="str">
        <f>IF(AD95="","",'#minDung'!CJ94)</f>
        <v/>
      </c>
      <c r="AF95" s="1025"/>
      <c r="AG95" s="1026" t="str">
        <f>IF(AF95="","",'#minDung'!CR94)</f>
        <v/>
      </c>
      <c r="AH95" s="1026" t="str">
        <f>IF(AG95="","",'#minDung'!CS94)</f>
        <v/>
      </c>
      <c r="AI95" s="1025"/>
      <c r="AJ95" s="1026" t="str">
        <f>IF(AI95="","",'#minDung'!DA94)</f>
        <v/>
      </c>
      <c r="AK95" s="1026" t="str">
        <f>IF(AJ95="","",'#minDung'!DB94)</f>
        <v/>
      </c>
      <c r="AL95" s="1025"/>
      <c r="AM95" s="1026" t="str">
        <f>IF(AL95="","",'#minDung'!DJ94)</f>
        <v/>
      </c>
      <c r="AN95" s="1026" t="str">
        <f>IF(AM95="","",'#minDung'!DK94)</f>
        <v/>
      </c>
      <c r="AO95" s="1025"/>
      <c r="AP95" s="1026" t="str">
        <f>IF(AO95="","",'#minDung'!DS94)</f>
        <v/>
      </c>
      <c r="AQ95" s="1026" t="str">
        <f>IF(AP95="","",'#minDung'!DT94)</f>
        <v/>
      </c>
      <c r="AR95" s="1025"/>
      <c r="AS95" s="1026" t="str">
        <f>IF(AR95="","",'#minDung'!EB94)</f>
        <v/>
      </c>
      <c r="AT95" s="1026" t="str">
        <f>IF(AS95="","",'#minDung'!EC94)</f>
        <v/>
      </c>
      <c r="AU95" s="1025"/>
      <c r="AV95" s="1026" t="str">
        <f>IF(AU95="","",'#minDung'!EK94)</f>
        <v/>
      </c>
      <c r="AW95" s="1026" t="str">
        <f>IF(AV95="","",'#minDung'!EL94)</f>
        <v/>
      </c>
      <c r="AX95" s="1025"/>
      <c r="AY95" s="1026" t="str">
        <f>IF(AX95="","",'#minDung'!ET94)</f>
        <v/>
      </c>
      <c r="AZ95" s="1026" t="str">
        <f>IF(AY95="","",'#minDung'!EU94)</f>
        <v/>
      </c>
      <c r="BA95" s="1025"/>
      <c r="BB95" s="1026" t="str">
        <f>IF(BA95="","",'#minDung'!FC94)</f>
        <v/>
      </c>
      <c r="BC95" s="1026" t="str">
        <f>IF(BB95="","",'#minDung'!FD94)</f>
        <v/>
      </c>
      <c r="BD95" s="1025"/>
      <c r="BE95" s="1026" t="str">
        <f>IF(BD95="","",'#minDung'!FL94)</f>
        <v/>
      </c>
      <c r="BF95" s="1026" t="str">
        <f>IF(BE95="","",'#minDung'!FM94)</f>
        <v/>
      </c>
      <c r="BG95" s="1025"/>
      <c r="BH95" s="1026" t="str">
        <f>IF(BG95="","",'#minDung'!FU94)</f>
        <v/>
      </c>
      <c r="BI95" s="1026" t="str">
        <f>IF(BH95="","",'#minDung'!FV94)</f>
        <v/>
      </c>
      <c r="BJ95" s="1025"/>
      <c r="BK95" s="1026" t="str">
        <f>IF(BJ95="","",'#minDung'!GD94)</f>
        <v/>
      </c>
      <c r="BL95" s="1026" t="str">
        <f>IF(BK95="","",'#minDung'!GE94)</f>
        <v/>
      </c>
      <c r="BM95" s="1025"/>
      <c r="BN95" s="1026" t="str">
        <f>IF(BM95="","",'#minDung'!GM94)</f>
        <v/>
      </c>
      <c r="BO95" s="1026" t="str">
        <f>IF(BN95="","",'#minDung'!GN94)</f>
        <v/>
      </c>
      <c r="BP95" s="1025"/>
      <c r="BQ95" s="1026" t="str">
        <f>IF(BP95="","",'#minDung'!GV94)</f>
        <v/>
      </c>
      <c r="BR95" s="1026" t="str">
        <f>IF(BQ95="","",'#minDung'!GW94)</f>
        <v/>
      </c>
      <c r="BS95" s="1025"/>
      <c r="BT95" s="1026" t="str">
        <f>IF(BS95="","",'#minDung'!HE94)</f>
        <v/>
      </c>
      <c r="BU95" s="1026" t="str">
        <f>IF(BT95="","",'#minDung'!HF94)</f>
        <v/>
      </c>
      <c r="BV95" s="1025"/>
      <c r="BW95" s="1026" t="str">
        <f>IF(BV95="","",'#minDung'!HN94)</f>
        <v/>
      </c>
      <c r="BX95" s="1026" t="str">
        <f>IF(BW95="","",'#minDung'!HO94)</f>
        <v/>
      </c>
      <c r="BY95" s="1025"/>
      <c r="BZ95" s="1026" t="str">
        <f>IF(BY95="","",'#minDung'!HW94)</f>
        <v/>
      </c>
      <c r="CA95" s="1026" t="str">
        <f>IF(BZ95="","",'#minDung'!HX94)</f>
        <v/>
      </c>
      <c r="CB95" s="1025"/>
      <c r="CC95" s="1026" t="str">
        <f>IF(CB95="","",'#minDung'!IF94)</f>
        <v/>
      </c>
      <c r="CD95" s="1026" t="str">
        <f>IF(CC95="","",'#minDung'!IG94)</f>
        <v/>
      </c>
      <c r="CE95" s="1025"/>
      <c r="CF95" s="1026" t="str">
        <f>IF(CE95="","",'#minDung'!IO94)</f>
        <v/>
      </c>
      <c r="CG95" s="1026" t="str">
        <f>IF(CF95="","",'#minDung'!IP94)</f>
        <v/>
      </c>
      <c r="CH95" s="1025"/>
      <c r="CI95" s="1026" t="str">
        <f>IF(CH95="","",'#minDung'!IX94)</f>
        <v/>
      </c>
      <c r="CJ95" s="1026" t="str">
        <f>IF(CI95="","",'#minDung'!IY94)</f>
        <v/>
      </c>
      <c r="CK95" s="1025"/>
      <c r="CL95" s="1026" t="str">
        <f>IF(CK95="","",'#minDung'!JG94)</f>
        <v/>
      </c>
      <c r="CM95" s="1026" t="str">
        <f>IF(CL95="","",'#minDung'!JH94)</f>
        <v/>
      </c>
      <c r="CN95" s="1025"/>
      <c r="CO95" s="1026" t="str">
        <f>IF(CN95="","",'#minDung'!JP94)</f>
        <v/>
      </c>
      <c r="CP95" s="1026" t="str">
        <f>IF(CO95="","",'#minDung'!JQ94)</f>
        <v/>
      </c>
      <c r="CQ95" s="1025"/>
      <c r="CR95" s="1026" t="str">
        <f>IF(CQ95="","",'#minDung'!JY94)</f>
        <v/>
      </c>
      <c r="CS95" s="1030" t="str">
        <f>IF(CR95="","",'#minDung'!JZ94)</f>
        <v/>
      </c>
      <c r="CT95" s="170"/>
    </row>
    <row r="96" spans="1:98" s="875" customFormat="1" ht="15" customHeight="1" x14ac:dyDescent="0.2">
      <c r="A96" s="1205">
        <f>'Flächen u. Kulturen'!A94</f>
        <v>85</v>
      </c>
      <c r="B96" s="1205" t="str">
        <f>+'org. Düngung 22'!B97</f>
        <v/>
      </c>
      <c r="C96" s="1206" t="str">
        <f>'org. Düngung 22'!C97</f>
        <v/>
      </c>
      <c r="D96" s="1197" t="str">
        <f>'org. Düngung 22'!D97</f>
        <v/>
      </c>
      <c r="E96" s="1207" t="str">
        <f>'org. Düngung 22'!E97</f>
        <v/>
      </c>
      <c r="F96" s="1199" t="str">
        <f>'org. Düngung 22'!F97</f>
        <v/>
      </c>
      <c r="G96" s="1201" t="str">
        <f>IF(C96="","",IF(COUNT('#minDung'!KF95:KJ95)=0,"OK",TRIM(CONCATENATE('#minDung'!KF95," ",'#minDung'!KG95," ",'#minDung'!KH95," ",'#minDung'!KI95," ",'#minDung'!KJ95))))</f>
        <v/>
      </c>
      <c r="H96" s="1025"/>
      <c r="I96" s="1026" t="str">
        <f>IF(H96="","",'#minDung'!X95)</f>
        <v/>
      </c>
      <c r="J96" s="1026" t="str">
        <f>IF(I96="","",'#minDung'!Y95)</f>
        <v/>
      </c>
      <c r="K96" s="1025"/>
      <c r="L96" s="1026" t="str">
        <f>IF(K96="","",'#minDung'!AG95)</f>
        <v/>
      </c>
      <c r="M96" s="1026" t="str">
        <f>IF(L96="","",'#minDung'!AH95)</f>
        <v/>
      </c>
      <c r="N96" s="1025"/>
      <c r="O96" s="1026" t="str">
        <f>IF(N96="","",'#minDung'!AP95)</f>
        <v/>
      </c>
      <c r="P96" s="1026" t="str">
        <f>IF(O96="","",'#minDung'!AQ95)</f>
        <v/>
      </c>
      <c r="Q96" s="1025"/>
      <c r="R96" s="1026" t="str">
        <f>IF(Q96="","",'#minDung'!AY95)</f>
        <v/>
      </c>
      <c r="S96" s="1026" t="str">
        <f>IF(R96="","",'#minDung'!AZ95)</f>
        <v/>
      </c>
      <c r="T96" s="1025"/>
      <c r="U96" s="1026" t="str">
        <f>IF(T96="","",'#minDung'!BH95)</f>
        <v/>
      </c>
      <c r="V96" s="1026" t="str">
        <f>IF(U96="","",'#minDung'!BI95)</f>
        <v/>
      </c>
      <c r="W96" s="1025"/>
      <c r="X96" s="1026" t="str">
        <f>IF(W96="","",'#minDung'!BQ95)</f>
        <v/>
      </c>
      <c r="Y96" s="1026" t="str">
        <f>IF(X96="","",'#minDung'!BR95)</f>
        <v/>
      </c>
      <c r="Z96" s="1025"/>
      <c r="AA96" s="1026" t="str">
        <f>IF(Z96="","",'#minDung'!BZ95)</f>
        <v/>
      </c>
      <c r="AB96" s="1026" t="str">
        <f>IF(AA96="","",'#minDung'!CA95)</f>
        <v/>
      </c>
      <c r="AC96" s="1025"/>
      <c r="AD96" s="1026" t="str">
        <f>IF(AC96="","",'#minDung'!CI95)</f>
        <v/>
      </c>
      <c r="AE96" s="1026" t="str">
        <f>IF(AD96="","",'#minDung'!CJ95)</f>
        <v/>
      </c>
      <c r="AF96" s="1025"/>
      <c r="AG96" s="1026" t="str">
        <f>IF(AF96="","",'#minDung'!CR95)</f>
        <v/>
      </c>
      <c r="AH96" s="1026" t="str">
        <f>IF(AG96="","",'#minDung'!CS95)</f>
        <v/>
      </c>
      <c r="AI96" s="1025"/>
      <c r="AJ96" s="1026" t="str">
        <f>IF(AI96="","",'#minDung'!DA95)</f>
        <v/>
      </c>
      <c r="AK96" s="1026" t="str">
        <f>IF(AJ96="","",'#minDung'!DB95)</f>
        <v/>
      </c>
      <c r="AL96" s="1025"/>
      <c r="AM96" s="1026" t="str">
        <f>IF(AL96="","",'#minDung'!DJ95)</f>
        <v/>
      </c>
      <c r="AN96" s="1026" t="str">
        <f>IF(AM96="","",'#minDung'!DK95)</f>
        <v/>
      </c>
      <c r="AO96" s="1025"/>
      <c r="AP96" s="1026" t="str">
        <f>IF(AO96="","",'#minDung'!DS95)</f>
        <v/>
      </c>
      <c r="AQ96" s="1026" t="str">
        <f>IF(AP96="","",'#minDung'!DT95)</f>
        <v/>
      </c>
      <c r="AR96" s="1025"/>
      <c r="AS96" s="1026" t="str">
        <f>IF(AR96="","",'#minDung'!EB95)</f>
        <v/>
      </c>
      <c r="AT96" s="1026" t="str">
        <f>IF(AS96="","",'#minDung'!EC95)</f>
        <v/>
      </c>
      <c r="AU96" s="1025"/>
      <c r="AV96" s="1026" t="str">
        <f>IF(AU96="","",'#minDung'!EK95)</f>
        <v/>
      </c>
      <c r="AW96" s="1026" t="str">
        <f>IF(AV96="","",'#minDung'!EL95)</f>
        <v/>
      </c>
      <c r="AX96" s="1025"/>
      <c r="AY96" s="1026" t="str">
        <f>IF(AX96="","",'#minDung'!ET95)</f>
        <v/>
      </c>
      <c r="AZ96" s="1026" t="str">
        <f>IF(AY96="","",'#minDung'!EU95)</f>
        <v/>
      </c>
      <c r="BA96" s="1025"/>
      <c r="BB96" s="1026" t="str">
        <f>IF(BA96="","",'#minDung'!FC95)</f>
        <v/>
      </c>
      <c r="BC96" s="1026" t="str">
        <f>IF(BB96="","",'#minDung'!FD95)</f>
        <v/>
      </c>
      <c r="BD96" s="1025"/>
      <c r="BE96" s="1026" t="str">
        <f>IF(BD96="","",'#minDung'!FL95)</f>
        <v/>
      </c>
      <c r="BF96" s="1026" t="str">
        <f>IF(BE96="","",'#minDung'!FM95)</f>
        <v/>
      </c>
      <c r="BG96" s="1025"/>
      <c r="BH96" s="1026" t="str">
        <f>IF(BG96="","",'#minDung'!FU95)</f>
        <v/>
      </c>
      <c r="BI96" s="1026" t="str">
        <f>IF(BH96="","",'#minDung'!FV95)</f>
        <v/>
      </c>
      <c r="BJ96" s="1025"/>
      <c r="BK96" s="1026" t="str">
        <f>IF(BJ96="","",'#minDung'!GD95)</f>
        <v/>
      </c>
      <c r="BL96" s="1026" t="str">
        <f>IF(BK96="","",'#minDung'!GE95)</f>
        <v/>
      </c>
      <c r="BM96" s="1025"/>
      <c r="BN96" s="1026" t="str">
        <f>IF(BM96="","",'#minDung'!GM95)</f>
        <v/>
      </c>
      <c r="BO96" s="1026" t="str">
        <f>IF(BN96="","",'#minDung'!GN95)</f>
        <v/>
      </c>
      <c r="BP96" s="1025"/>
      <c r="BQ96" s="1026" t="str">
        <f>IF(BP96="","",'#minDung'!GV95)</f>
        <v/>
      </c>
      <c r="BR96" s="1026" t="str">
        <f>IF(BQ96="","",'#minDung'!GW95)</f>
        <v/>
      </c>
      <c r="BS96" s="1025"/>
      <c r="BT96" s="1026" t="str">
        <f>IF(BS96="","",'#minDung'!HE95)</f>
        <v/>
      </c>
      <c r="BU96" s="1026" t="str">
        <f>IF(BT96="","",'#minDung'!HF95)</f>
        <v/>
      </c>
      <c r="BV96" s="1025"/>
      <c r="BW96" s="1026" t="str">
        <f>IF(BV96="","",'#minDung'!HN95)</f>
        <v/>
      </c>
      <c r="BX96" s="1026" t="str">
        <f>IF(BW96="","",'#minDung'!HO95)</f>
        <v/>
      </c>
      <c r="BY96" s="1025"/>
      <c r="BZ96" s="1026" t="str">
        <f>IF(BY96="","",'#minDung'!HW95)</f>
        <v/>
      </c>
      <c r="CA96" s="1026" t="str">
        <f>IF(BZ96="","",'#minDung'!HX95)</f>
        <v/>
      </c>
      <c r="CB96" s="1025"/>
      <c r="CC96" s="1026" t="str">
        <f>IF(CB96="","",'#minDung'!IF95)</f>
        <v/>
      </c>
      <c r="CD96" s="1026" t="str">
        <f>IF(CC96="","",'#minDung'!IG95)</f>
        <v/>
      </c>
      <c r="CE96" s="1025"/>
      <c r="CF96" s="1026" t="str">
        <f>IF(CE96="","",'#minDung'!IO95)</f>
        <v/>
      </c>
      <c r="CG96" s="1026" t="str">
        <f>IF(CF96="","",'#minDung'!IP95)</f>
        <v/>
      </c>
      <c r="CH96" s="1025"/>
      <c r="CI96" s="1026" t="str">
        <f>IF(CH96="","",'#minDung'!IX95)</f>
        <v/>
      </c>
      <c r="CJ96" s="1026" t="str">
        <f>IF(CI96="","",'#minDung'!IY95)</f>
        <v/>
      </c>
      <c r="CK96" s="1025"/>
      <c r="CL96" s="1026" t="str">
        <f>IF(CK96="","",'#minDung'!JG95)</f>
        <v/>
      </c>
      <c r="CM96" s="1026" t="str">
        <f>IF(CL96="","",'#minDung'!JH95)</f>
        <v/>
      </c>
      <c r="CN96" s="1025"/>
      <c r="CO96" s="1026" t="str">
        <f>IF(CN96="","",'#minDung'!JP95)</f>
        <v/>
      </c>
      <c r="CP96" s="1026" t="str">
        <f>IF(CO96="","",'#minDung'!JQ95)</f>
        <v/>
      </c>
      <c r="CQ96" s="1025"/>
      <c r="CR96" s="1026" t="str">
        <f>IF(CQ96="","",'#minDung'!JY95)</f>
        <v/>
      </c>
      <c r="CS96" s="1030" t="str">
        <f>IF(CR96="","",'#minDung'!JZ95)</f>
        <v/>
      </c>
      <c r="CT96" s="170"/>
    </row>
    <row r="97" spans="1:98" s="875" customFormat="1" ht="15" customHeight="1" x14ac:dyDescent="0.2">
      <c r="A97" s="1205">
        <f>'Flächen u. Kulturen'!A95</f>
        <v>86</v>
      </c>
      <c r="B97" s="1205" t="str">
        <f>+'org. Düngung 22'!B98</f>
        <v/>
      </c>
      <c r="C97" s="1206" t="str">
        <f>'org. Düngung 22'!C98</f>
        <v/>
      </c>
      <c r="D97" s="1197" t="str">
        <f>'org. Düngung 22'!D98</f>
        <v/>
      </c>
      <c r="E97" s="1207" t="str">
        <f>'org. Düngung 22'!E98</f>
        <v/>
      </c>
      <c r="F97" s="1199" t="str">
        <f>'org. Düngung 22'!F98</f>
        <v/>
      </c>
      <c r="G97" s="1201" t="str">
        <f>IF(C97="","",IF(COUNT('#minDung'!KF96:KJ96)=0,"OK",TRIM(CONCATENATE('#minDung'!KF96," ",'#minDung'!KG96," ",'#minDung'!KH96," ",'#minDung'!KI96," ",'#minDung'!KJ96))))</f>
        <v/>
      </c>
      <c r="H97" s="1025"/>
      <c r="I97" s="1026" t="str">
        <f>IF(H97="","",'#minDung'!X96)</f>
        <v/>
      </c>
      <c r="J97" s="1026" t="str">
        <f>IF(I97="","",'#minDung'!Y96)</f>
        <v/>
      </c>
      <c r="K97" s="1025"/>
      <c r="L97" s="1026" t="str">
        <f>IF(K97="","",'#minDung'!AG96)</f>
        <v/>
      </c>
      <c r="M97" s="1026" t="str">
        <f>IF(L97="","",'#minDung'!AH96)</f>
        <v/>
      </c>
      <c r="N97" s="1025"/>
      <c r="O97" s="1026" t="str">
        <f>IF(N97="","",'#minDung'!AP96)</f>
        <v/>
      </c>
      <c r="P97" s="1026" t="str">
        <f>IF(O97="","",'#minDung'!AQ96)</f>
        <v/>
      </c>
      <c r="Q97" s="1025"/>
      <c r="R97" s="1026" t="str">
        <f>IF(Q97="","",'#minDung'!AY96)</f>
        <v/>
      </c>
      <c r="S97" s="1026" t="str">
        <f>IF(R97="","",'#minDung'!AZ96)</f>
        <v/>
      </c>
      <c r="T97" s="1025"/>
      <c r="U97" s="1026" t="str">
        <f>IF(T97="","",'#minDung'!BH96)</f>
        <v/>
      </c>
      <c r="V97" s="1026" t="str">
        <f>IF(U97="","",'#minDung'!BI96)</f>
        <v/>
      </c>
      <c r="W97" s="1025"/>
      <c r="X97" s="1026" t="str">
        <f>IF(W97="","",'#minDung'!BQ96)</f>
        <v/>
      </c>
      <c r="Y97" s="1026" t="str">
        <f>IF(X97="","",'#minDung'!BR96)</f>
        <v/>
      </c>
      <c r="Z97" s="1025"/>
      <c r="AA97" s="1026" t="str">
        <f>IF(Z97="","",'#minDung'!BZ96)</f>
        <v/>
      </c>
      <c r="AB97" s="1026" t="str">
        <f>IF(AA97="","",'#minDung'!CA96)</f>
        <v/>
      </c>
      <c r="AC97" s="1025"/>
      <c r="AD97" s="1026" t="str">
        <f>IF(AC97="","",'#minDung'!CI96)</f>
        <v/>
      </c>
      <c r="AE97" s="1026" t="str">
        <f>IF(AD97="","",'#minDung'!CJ96)</f>
        <v/>
      </c>
      <c r="AF97" s="1025"/>
      <c r="AG97" s="1026" t="str">
        <f>IF(AF97="","",'#minDung'!CR96)</f>
        <v/>
      </c>
      <c r="AH97" s="1026" t="str">
        <f>IF(AG97="","",'#minDung'!CS96)</f>
        <v/>
      </c>
      <c r="AI97" s="1025"/>
      <c r="AJ97" s="1026" t="str">
        <f>IF(AI97="","",'#minDung'!DA96)</f>
        <v/>
      </c>
      <c r="AK97" s="1026" t="str">
        <f>IF(AJ97="","",'#minDung'!DB96)</f>
        <v/>
      </c>
      <c r="AL97" s="1025"/>
      <c r="AM97" s="1026" t="str">
        <f>IF(AL97="","",'#minDung'!DJ96)</f>
        <v/>
      </c>
      <c r="AN97" s="1026" t="str">
        <f>IF(AM97="","",'#minDung'!DK96)</f>
        <v/>
      </c>
      <c r="AO97" s="1025"/>
      <c r="AP97" s="1026" t="str">
        <f>IF(AO97="","",'#minDung'!DS96)</f>
        <v/>
      </c>
      <c r="AQ97" s="1026" t="str">
        <f>IF(AP97="","",'#minDung'!DT96)</f>
        <v/>
      </c>
      <c r="AR97" s="1025"/>
      <c r="AS97" s="1026" t="str">
        <f>IF(AR97="","",'#minDung'!EB96)</f>
        <v/>
      </c>
      <c r="AT97" s="1026" t="str">
        <f>IF(AS97="","",'#minDung'!EC96)</f>
        <v/>
      </c>
      <c r="AU97" s="1025"/>
      <c r="AV97" s="1026" t="str">
        <f>IF(AU97="","",'#minDung'!EK96)</f>
        <v/>
      </c>
      <c r="AW97" s="1026" t="str">
        <f>IF(AV97="","",'#minDung'!EL96)</f>
        <v/>
      </c>
      <c r="AX97" s="1025"/>
      <c r="AY97" s="1026" t="str">
        <f>IF(AX97="","",'#minDung'!ET96)</f>
        <v/>
      </c>
      <c r="AZ97" s="1026" t="str">
        <f>IF(AY97="","",'#minDung'!EU96)</f>
        <v/>
      </c>
      <c r="BA97" s="1025"/>
      <c r="BB97" s="1026" t="str">
        <f>IF(BA97="","",'#minDung'!FC96)</f>
        <v/>
      </c>
      <c r="BC97" s="1026" t="str">
        <f>IF(BB97="","",'#minDung'!FD96)</f>
        <v/>
      </c>
      <c r="BD97" s="1025"/>
      <c r="BE97" s="1026" t="str">
        <f>IF(BD97="","",'#minDung'!FL96)</f>
        <v/>
      </c>
      <c r="BF97" s="1026" t="str">
        <f>IF(BE97="","",'#minDung'!FM96)</f>
        <v/>
      </c>
      <c r="BG97" s="1025"/>
      <c r="BH97" s="1026" t="str">
        <f>IF(BG97="","",'#minDung'!FU96)</f>
        <v/>
      </c>
      <c r="BI97" s="1026" t="str">
        <f>IF(BH97="","",'#minDung'!FV96)</f>
        <v/>
      </c>
      <c r="BJ97" s="1025"/>
      <c r="BK97" s="1026" t="str">
        <f>IF(BJ97="","",'#minDung'!GD96)</f>
        <v/>
      </c>
      <c r="BL97" s="1026" t="str">
        <f>IF(BK97="","",'#minDung'!GE96)</f>
        <v/>
      </c>
      <c r="BM97" s="1025"/>
      <c r="BN97" s="1026" t="str">
        <f>IF(BM97="","",'#minDung'!GM96)</f>
        <v/>
      </c>
      <c r="BO97" s="1026" t="str">
        <f>IF(BN97="","",'#minDung'!GN96)</f>
        <v/>
      </c>
      <c r="BP97" s="1025"/>
      <c r="BQ97" s="1026" t="str">
        <f>IF(BP97="","",'#minDung'!GV96)</f>
        <v/>
      </c>
      <c r="BR97" s="1026" t="str">
        <f>IF(BQ97="","",'#minDung'!GW96)</f>
        <v/>
      </c>
      <c r="BS97" s="1025"/>
      <c r="BT97" s="1026" t="str">
        <f>IF(BS97="","",'#minDung'!HE96)</f>
        <v/>
      </c>
      <c r="BU97" s="1026" t="str">
        <f>IF(BT97="","",'#minDung'!HF96)</f>
        <v/>
      </c>
      <c r="BV97" s="1025"/>
      <c r="BW97" s="1026" t="str">
        <f>IF(BV97="","",'#minDung'!HN96)</f>
        <v/>
      </c>
      <c r="BX97" s="1026" t="str">
        <f>IF(BW97="","",'#minDung'!HO96)</f>
        <v/>
      </c>
      <c r="BY97" s="1025"/>
      <c r="BZ97" s="1026" t="str">
        <f>IF(BY97="","",'#minDung'!HW96)</f>
        <v/>
      </c>
      <c r="CA97" s="1026" t="str">
        <f>IF(BZ97="","",'#minDung'!HX96)</f>
        <v/>
      </c>
      <c r="CB97" s="1025"/>
      <c r="CC97" s="1026" t="str">
        <f>IF(CB97="","",'#minDung'!IF96)</f>
        <v/>
      </c>
      <c r="CD97" s="1026" t="str">
        <f>IF(CC97="","",'#minDung'!IG96)</f>
        <v/>
      </c>
      <c r="CE97" s="1025"/>
      <c r="CF97" s="1026" t="str">
        <f>IF(CE97="","",'#minDung'!IO96)</f>
        <v/>
      </c>
      <c r="CG97" s="1026" t="str">
        <f>IF(CF97="","",'#minDung'!IP96)</f>
        <v/>
      </c>
      <c r="CH97" s="1025"/>
      <c r="CI97" s="1026" t="str">
        <f>IF(CH97="","",'#minDung'!IX96)</f>
        <v/>
      </c>
      <c r="CJ97" s="1026" t="str">
        <f>IF(CI97="","",'#minDung'!IY96)</f>
        <v/>
      </c>
      <c r="CK97" s="1025"/>
      <c r="CL97" s="1026" t="str">
        <f>IF(CK97="","",'#minDung'!JG96)</f>
        <v/>
      </c>
      <c r="CM97" s="1026" t="str">
        <f>IF(CL97="","",'#minDung'!JH96)</f>
        <v/>
      </c>
      <c r="CN97" s="1025"/>
      <c r="CO97" s="1026" t="str">
        <f>IF(CN97="","",'#minDung'!JP96)</f>
        <v/>
      </c>
      <c r="CP97" s="1026" t="str">
        <f>IF(CO97="","",'#minDung'!JQ96)</f>
        <v/>
      </c>
      <c r="CQ97" s="1025"/>
      <c r="CR97" s="1026" t="str">
        <f>IF(CQ97="","",'#minDung'!JY96)</f>
        <v/>
      </c>
      <c r="CS97" s="1030" t="str">
        <f>IF(CR97="","",'#minDung'!JZ96)</f>
        <v/>
      </c>
      <c r="CT97" s="170"/>
    </row>
    <row r="98" spans="1:98" s="875" customFormat="1" ht="15" customHeight="1" x14ac:dyDescent="0.2">
      <c r="A98" s="1205">
        <f>'Flächen u. Kulturen'!A96</f>
        <v>87</v>
      </c>
      <c r="B98" s="1205" t="str">
        <f>+'org. Düngung 22'!B99</f>
        <v/>
      </c>
      <c r="C98" s="1206" t="str">
        <f>'org. Düngung 22'!C99</f>
        <v/>
      </c>
      <c r="D98" s="1197" t="str">
        <f>'org. Düngung 22'!D99</f>
        <v/>
      </c>
      <c r="E98" s="1207" t="str">
        <f>'org. Düngung 22'!E99</f>
        <v/>
      </c>
      <c r="F98" s="1199" t="str">
        <f>'org. Düngung 22'!F99</f>
        <v/>
      </c>
      <c r="G98" s="1201" t="str">
        <f>IF(C98="","",IF(COUNT('#minDung'!KF97:KJ97)=0,"OK",TRIM(CONCATENATE('#minDung'!KF97," ",'#minDung'!KG97," ",'#minDung'!KH97," ",'#minDung'!KI97," ",'#minDung'!KJ97))))</f>
        <v/>
      </c>
      <c r="H98" s="1025"/>
      <c r="I98" s="1026" t="str">
        <f>IF(H98="","",'#minDung'!X97)</f>
        <v/>
      </c>
      <c r="J98" s="1026" t="str">
        <f>IF(I98="","",'#minDung'!Y97)</f>
        <v/>
      </c>
      <c r="K98" s="1025"/>
      <c r="L98" s="1026" t="str">
        <f>IF(K98="","",'#minDung'!AG97)</f>
        <v/>
      </c>
      <c r="M98" s="1026" t="str">
        <f>IF(L98="","",'#minDung'!AH97)</f>
        <v/>
      </c>
      <c r="N98" s="1025"/>
      <c r="O98" s="1026" t="str">
        <f>IF(N98="","",'#minDung'!AP97)</f>
        <v/>
      </c>
      <c r="P98" s="1026" t="str">
        <f>IF(O98="","",'#minDung'!AQ97)</f>
        <v/>
      </c>
      <c r="Q98" s="1025"/>
      <c r="R98" s="1026" t="str">
        <f>IF(Q98="","",'#minDung'!AY97)</f>
        <v/>
      </c>
      <c r="S98" s="1026" t="str">
        <f>IF(R98="","",'#minDung'!AZ97)</f>
        <v/>
      </c>
      <c r="T98" s="1025"/>
      <c r="U98" s="1026" t="str">
        <f>IF(T98="","",'#minDung'!BH97)</f>
        <v/>
      </c>
      <c r="V98" s="1026" t="str">
        <f>IF(U98="","",'#minDung'!BI97)</f>
        <v/>
      </c>
      <c r="W98" s="1025"/>
      <c r="X98" s="1026" t="str">
        <f>IF(W98="","",'#minDung'!BQ97)</f>
        <v/>
      </c>
      <c r="Y98" s="1026" t="str">
        <f>IF(X98="","",'#minDung'!BR97)</f>
        <v/>
      </c>
      <c r="Z98" s="1025"/>
      <c r="AA98" s="1026" t="str">
        <f>IF(Z98="","",'#minDung'!BZ97)</f>
        <v/>
      </c>
      <c r="AB98" s="1026" t="str">
        <f>IF(AA98="","",'#minDung'!CA97)</f>
        <v/>
      </c>
      <c r="AC98" s="1025"/>
      <c r="AD98" s="1026" t="str">
        <f>IF(AC98="","",'#minDung'!CI97)</f>
        <v/>
      </c>
      <c r="AE98" s="1026" t="str">
        <f>IF(AD98="","",'#minDung'!CJ97)</f>
        <v/>
      </c>
      <c r="AF98" s="1025"/>
      <c r="AG98" s="1026" t="str">
        <f>IF(AF98="","",'#minDung'!CR97)</f>
        <v/>
      </c>
      <c r="AH98" s="1026" t="str">
        <f>IF(AG98="","",'#minDung'!CS97)</f>
        <v/>
      </c>
      <c r="AI98" s="1025"/>
      <c r="AJ98" s="1026" t="str">
        <f>IF(AI98="","",'#minDung'!DA97)</f>
        <v/>
      </c>
      <c r="AK98" s="1026" t="str">
        <f>IF(AJ98="","",'#minDung'!DB97)</f>
        <v/>
      </c>
      <c r="AL98" s="1025"/>
      <c r="AM98" s="1026" t="str">
        <f>IF(AL98="","",'#minDung'!DJ97)</f>
        <v/>
      </c>
      <c r="AN98" s="1026" t="str">
        <f>IF(AM98="","",'#minDung'!DK97)</f>
        <v/>
      </c>
      <c r="AO98" s="1025"/>
      <c r="AP98" s="1026" t="str">
        <f>IF(AO98="","",'#minDung'!DS97)</f>
        <v/>
      </c>
      <c r="AQ98" s="1026" t="str">
        <f>IF(AP98="","",'#minDung'!DT97)</f>
        <v/>
      </c>
      <c r="AR98" s="1025"/>
      <c r="AS98" s="1026" t="str">
        <f>IF(AR98="","",'#minDung'!EB97)</f>
        <v/>
      </c>
      <c r="AT98" s="1026" t="str">
        <f>IF(AS98="","",'#minDung'!EC97)</f>
        <v/>
      </c>
      <c r="AU98" s="1025"/>
      <c r="AV98" s="1026" t="str">
        <f>IF(AU98="","",'#minDung'!EK97)</f>
        <v/>
      </c>
      <c r="AW98" s="1026" t="str">
        <f>IF(AV98="","",'#minDung'!EL97)</f>
        <v/>
      </c>
      <c r="AX98" s="1025"/>
      <c r="AY98" s="1026" t="str">
        <f>IF(AX98="","",'#minDung'!ET97)</f>
        <v/>
      </c>
      <c r="AZ98" s="1026" t="str">
        <f>IF(AY98="","",'#minDung'!EU97)</f>
        <v/>
      </c>
      <c r="BA98" s="1025"/>
      <c r="BB98" s="1026" t="str">
        <f>IF(BA98="","",'#minDung'!FC97)</f>
        <v/>
      </c>
      <c r="BC98" s="1026" t="str">
        <f>IF(BB98="","",'#minDung'!FD97)</f>
        <v/>
      </c>
      <c r="BD98" s="1025"/>
      <c r="BE98" s="1026" t="str">
        <f>IF(BD98="","",'#minDung'!FL97)</f>
        <v/>
      </c>
      <c r="BF98" s="1026" t="str">
        <f>IF(BE98="","",'#minDung'!FM97)</f>
        <v/>
      </c>
      <c r="BG98" s="1025"/>
      <c r="BH98" s="1026" t="str">
        <f>IF(BG98="","",'#minDung'!FU97)</f>
        <v/>
      </c>
      <c r="BI98" s="1026" t="str">
        <f>IF(BH98="","",'#minDung'!FV97)</f>
        <v/>
      </c>
      <c r="BJ98" s="1025"/>
      <c r="BK98" s="1026" t="str">
        <f>IF(BJ98="","",'#minDung'!GD97)</f>
        <v/>
      </c>
      <c r="BL98" s="1026" t="str">
        <f>IF(BK98="","",'#minDung'!GE97)</f>
        <v/>
      </c>
      <c r="BM98" s="1025"/>
      <c r="BN98" s="1026" t="str">
        <f>IF(BM98="","",'#minDung'!GM97)</f>
        <v/>
      </c>
      <c r="BO98" s="1026" t="str">
        <f>IF(BN98="","",'#minDung'!GN97)</f>
        <v/>
      </c>
      <c r="BP98" s="1025"/>
      <c r="BQ98" s="1026" t="str">
        <f>IF(BP98="","",'#minDung'!GV97)</f>
        <v/>
      </c>
      <c r="BR98" s="1026" t="str">
        <f>IF(BQ98="","",'#minDung'!GW97)</f>
        <v/>
      </c>
      <c r="BS98" s="1025"/>
      <c r="BT98" s="1026" t="str">
        <f>IF(BS98="","",'#minDung'!HE97)</f>
        <v/>
      </c>
      <c r="BU98" s="1026" t="str">
        <f>IF(BT98="","",'#minDung'!HF97)</f>
        <v/>
      </c>
      <c r="BV98" s="1025"/>
      <c r="BW98" s="1026" t="str">
        <f>IF(BV98="","",'#minDung'!HN97)</f>
        <v/>
      </c>
      <c r="BX98" s="1026" t="str">
        <f>IF(BW98="","",'#minDung'!HO97)</f>
        <v/>
      </c>
      <c r="BY98" s="1025"/>
      <c r="BZ98" s="1026" t="str">
        <f>IF(BY98="","",'#minDung'!HW97)</f>
        <v/>
      </c>
      <c r="CA98" s="1026" t="str">
        <f>IF(BZ98="","",'#minDung'!HX97)</f>
        <v/>
      </c>
      <c r="CB98" s="1025"/>
      <c r="CC98" s="1026" t="str">
        <f>IF(CB98="","",'#minDung'!IF97)</f>
        <v/>
      </c>
      <c r="CD98" s="1026" t="str">
        <f>IF(CC98="","",'#minDung'!IG97)</f>
        <v/>
      </c>
      <c r="CE98" s="1025"/>
      <c r="CF98" s="1026" t="str">
        <f>IF(CE98="","",'#minDung'!IO97)</f>
        <v/>
      </c>
      <c r="CG98" s="1026" t="str">
        <f>IF(CF98="","",'#minDung'!IP97)</f>
        <v/>
      </c>
      <c r="CH98" s="1025"/>
      <c r="CI98" s="1026" t="str">
        <f>IF(CH98="","",'#minDung'!IX97)</f>
        <v/>
      </c>
      <c r="CJ98" s="1026" t="str">
        <f>IF(CI98="","",'#minDung'!IY97)</f>
        <v/>
      </c>
      <c r="CK98" s="1025"/>
      <c r="CL98" s="1026" t="str">
        <f>IF(CK98="","",'#minDung'!JG97)</f>
        <v/>
      </c>
      <c r="CM98" s="1026" t="str">
        <f>IF(CL98="","",'#minDung'!JH97)</f>
        <v/>
      </c>
      <c r="CN98" s="1025"/>
      <c r="CO98" s="1026" t="str">
        <f>IF(CN98="","",'#minDung'!JP97)</f>
        <v/>
      </c>
      <c r="CP98" s="1026" t="str">
        <f>IF(CO98="","",'#minDung'!JQ97)</f>
        <v/>
      </c>
      <c r="CQ98" s="1025"/>
      <c r="CR98" s="1026" t="str">
        <f>IF(CQ98="","",'#minDung'!JY97)</f>
        <v/>
      </c>
      <c r="CS98" s="1030" t="str">
        <f>IF(CR98="","",'#minDung'!JZ97)</f>
        <v/>
      </c>
      <c r="CT98" s="170"/>
    </row>
    <row r="99" spans="1:98" s="875" customFormat="1" ht="15" customHeight="1" x14ac:dyDescent="0.2">
      <c r="A99" s="1205">
        <f>'Flächen u. Kulturen'!A97</f>
        <v>88</v>
      </c>
      <c r="B99" s="1205" t="str">
        <f>+'org. Düngung 22'!B100</f>
        <v/>
      </c>
      <c r="C99" s="1206" t="str">
        <f>'org. Düngung 22'!C100</f>
        <v/>
      </c>
      <c r="D99" s="1197" t="str">
        <f>'org. Düngung 22'!D100</f>
        <v/>
      </c>
      <c r="E99" s="1207" t="str">
        <f>'org. Düngung 22'!E100</f>
        <v/>
      </c>
      <c r="F99" s="1199" t="str">
        <f>'org. Düngung 22'!F100</f>
        <v/>
      </c>
      <c r="G99" s="1201" t="str">
        <f>IF(C99="","",IF(COUNT('#minDung'!KF98:KJ98)=0,"OK",TRIM(CONCATENATE('#minDung'!KF98," ",'#minDung'!KG98," ",'#minDung'!KH98," ",'#minDung'!KI98," ",'#minDung'!KJ98))))</f>
        <v/>
      </c>
      <c r="H99" s="1025"/>
      <c r="I99" s="1026" t="str">
        <f>IF(H99="","",'#minDung'!X98)</f>
        <v/>
      </c>
      <c r="J99" s="1026" t="str">
        <f>IF(I99="","",'#minDung'!Y98)</f>
        <v/>
      </c>
      <c r="K99" s="1025"/>
      <c r="L99" s="1026" t="str">
        <f>IF(K99="","",'#minDung'!AG98)</f>
        <v/>
      </c>
      <c r="M99" s="1026" t="str">
        <f>IF(L99="","",'#minDung'!AH98)</f>
        <v/>
      </c>
      <c r="N99" s="1025"/>
      <c r="O99" s="1026" t="str">
        <f>IF(N99="","",'#minDung'!AP98)</f>
        <v/>
      </c>
      <c r="P99" s="1026" t="str">
        <f>IF(O99="","",'#minDung'!AQ98)</f>
        <v/>
      </c>
      <c r="Q99" s="1025"/>
      <c r="R99" s="1026" t="str">
        <f>IF(Q99="","",'#minDung'!AY98)</f>
        <v/>
      </c>
      <c r="S99" s="1026" t="str">
        <f>IF(R99="","",'#minDung'!AZ98)</f>
        <v/>
      </c>
      <c r="T99" s="1025"/>
      <c r="U99" s="1026" t="str">
        <f>IF(T99="","",'#minDung'!BH98)</f>
        <v/>
      </c>
      <c r="V99" s="1026" t="str">
        <f>IF(U99="","",'#minDung'!BI98)</f>
        <v/>
      </c>
      <c r="W99" s="1025"/>
      <c r="X99" s="1026" t="str">
        <f>IF(W99="","",'#minDung'!BQ98)</f>
        <v/>
      </c>
      <c r="Y99" s="1026" t="str">
        <f>IF(X99="","",'#minDung'!BR98)</f>
        <v/>
      </c>
      <c r="Z99" s="1025"/>
      <c r="AA99" s="1026" t="str">
        <f>IF(Z99="","",'#minDung'!BZ98)</f>
        <v/>
      </c>
      <c r="AB99" s="1026" t="str">
        <f>IF(AA99="","",'#minDung'!CA98)</f>
        <v/>
      </c>
      <c r="AC99" s="1025"/>
      <c r="AD99" s="1026" t="str">
        <f>IF(AC99="","",'#minDung'!CI98)</f>
        <v/>
      </c>
      <c r="AE99" s="1026" t="str">
        <f>IF(AD99="","",'#minDung'!CJ98)</f>
        <v/>
      </c>
      <c r="AF99" s="1025"/>
      <c r="AG99" s="1026" t="str">
        <f>IF(AF99="","",'#minDung'!CR98)</f>
        <v/>
      </c>
      <c r="AH99" s="1026" t="str">
        <f>IF(AG99="","",'#minDung'!CS98)</f>
        <v/>
      </c>
      <c r="AI99" s="1025"/>
      <c r="AJ99" s="1026" t="str">
        <f>IF(AI99="","",'#minDung'!DA98)</f>
        <v/>
      </c>
      <c r="AK99" s="1026" t="str">
        <f>IF(AJ99="","",'#minDung'!DB98)</f>
        <v/>
      </c>
      <c r="AL99" s="1025"/>
      <c r="AM99" s="1026" t="str">
        <f>IF(AL99="","",'#minDung'!DJ98)</f>
        <v/>
      </c>
      <c r="AN99" s="1026" t="str">
        <f>IF(AM99="","",'#minDung'!DK98)</f>
        <v/>
      </c>
      <c r="AO99" s="1025"/>
      <c r="AP99" s="1026" t="str">
        <f>IF(AO99="","",'#minDung'!DS98)</f>
        <v/>
      </c>
      <c r="AQ99" s="1026" t="str">
        <f>IF(AP99="","",'#minDung'!DT98)</f>
        <v/>
      </c>
      <c r="AR99" s="1025"/>
      <c r="AS99" s="1026" t="str">
        <f>IF(AR99="","",'#minDung'!EB98)</f>
        <v/>
      </c>
      <c r="AT99" s="1026" t="str">
        <f>IF(AS99="","",'#minDung'!EC98)</f>
        <v/>
      </c>
      <c r="AU99" s="1025"/>
      <c r="AV99" s="1026" t="str">
        <f>IF(AU99="","",'#minDung'!EK98)</f>
        <v/>
      </c>
      <c r="AW99" s="1026" t="str">
        <f>IF(AV99="","",'#minDung'!EL98)</f>
        <v/>
      </c>
      <c r="AX99" s="1025"/>
      <c r="AY99" s="1026" t="str">
        <f>IF(AX99="","",'#minDung'!ET98)</f>
        <v/>
      </c>
      <c r="AZ99" s="1026" t="str">
        <f>IF(AY99="","",'#minDung'!EU98)</f>
        <v/>
      </c>
      <c r="BA99" s="1025"/>
      <c r="BB99" s="1026" t="str">
        <f>IF(BA99="","",'#minDung'!FC98)</f>
        <v/>
      </c>
      <c r="BC99" s="1026" t="str">
        <f>IF(BB99="","",'#minDung'!FD98)</f>
        <v/>
      </c>
      <c r="BD99" s="1025"/>
      <c r="BE99" s="1026" t="str">
        <f>IF(BD99="","",'#minDung'!FL98)</f>
        <v/>
      </c>
      <c r="BF99" s="1026" t="str">
        <f>IF(BE99="","",'#minDung'!FM98)</f>
        <v/>
      </c>
      <c r="BG99" s="1025"/>
      <c r="BH99" s="1026" t="str">
        <f>IF(BG99="","",'#minDung'!FU98)</f>
        <v/>
      </c>
      <c r="BI99" s="1026" t="str">
        <f>IF(BH99="","",'#minDung'!FV98)</f>
        <v/>
      </c>
      <c r="BJ99" s="1025"/>
      <c r="BK99" s="1026" t="str">
        <f>IF(BJ99="","",'#minDung'!GD98)</f>
        <v/>
      </c>
      <c r="BL99" s="1026" t="str">
        <f>IF(BK99="","",'#minDung'!GE98)</f>
        <v/>
      </c>
      <c r="BM99" s="1025"/>
      <c r="BN99" s="1026" t="str">
        <f>IF(BM99="","",'#minDung'!GM98)</f>
        <v/>
      </c>
      <c r="BO99" s="1026" t="str">
        <f>IF(BN99="","",'#minDung'!GN98)</f>
        <v/>
      </c>
      <c r="BP99" s="1025"/>
      <c r="BQ99" s="1026" t="str">
        <f>IF(BP99="","",'#minDung'!GV98)</f>
        <v/>
      </c>
      <c r="BR99" s="1026" t="str">
        <f>IF(BQ99="","",'#minDung'!GW98)</f>
        <v/>
      </c>
      <c r="BS99" s="1025"/>
      <c r="BT99" s="1026" t="str">
        <f>IF(BS99="","",'#minDung'!HE98)</f>
        <v/>
      </c>
      <c r="BU99" s="1026" t="str">
        <f>IF(BT99="","",'#minDung'!HF98)</f>
        <v/>
      </c>
      <c r="BV99" s="1025"/>
      <c r="BW99" s="1026" t="str">
        <f>IF(BV99="","",'#minDung'!HN98)</f>
        <v/>
      </c>
      <c r="BX99" s="1026" t="str">
        <f>IF(BW99="","",'#minDung'!HO98)</f>
        <v/>
      </c>
      <c r="BY99" s="1025"/>
      <c r="BZ99" s="1026" t="str">
        <f>IF(BY99="","",'#minDung'!HW98)</f>
        <v/>
      </c>
      <c r="CA99" s="1026" t="str">
        <f>IF(BZ99="","",'#minDung'!HX98)</f>
        <v/>
      </c>
      <c r="CB99" s="1025"/>
      <c r="CC99" s="1026" t="str">
        <f>IF(CB99="","",'#minDung'!IF98)</f>
        <v/>
      </c>
      <c r="CD99" s="1026" t="str">
        <f>IF(CC99="","",'#minDung'!IG98)</f>
        <v/>
      </c>
      <c r="CE99" s="1025"/>
      <c r="CF99" s="1026" t="str">
        <f>IF(CE99="","",'#minDung'!IO98)</f>
        <v/>
      </c>
      <c r="CG99" s="1026" t="str">
        <f>IF(CF99="","",'#minDung'!IP98)</f>
        <v/>
      </c>
      <c r="CH99" s="1025"/>
      <c r="CI99" s="1026" t="str">
        <f>IF(CH99="","",'#minDung'!IX98)</f>
        <v/>
      </c>
      <c r="CJ99" s="1026" t="str">
        <f>IF(CI99="","",'#minDung'!IY98)</f>
        <v/>
      </c>
      <c r="CK99" s="1025"/>
      <c r="CL99" s="1026" t="str">
        <f>IF(CK99="","",'#minDung'!JG98)</f>
        <v/>
      </c>
      <c r="CM99" s="1026" t="str">
        <f>IF(CL99="","",'#minDung'!JH98)</f>
        <v/>
      </c>
      <c r="CN99" s="1025"/>
      <c r="CO99" s="1026" t="str">
        <f>IF(CN99="","",'#minDung'!JP98)</f>
        <v/>
      </c>
      <c r="CP99" s="1026" t="str">
        <f>IF(CO99="","",'#minDung'!JQ98)</f>
        <v/>
      </c>
      <c r="CQ99" s="1025"/>
      <c r="CR99" s="1026" t="str">
        <f>IF(CQ99="","",'#minDung'!JY98)</f>
        <v/>
      </c>
      <c r="CS99" s="1030" t="str">
        <f>IF(CR99="","",'#minDung'!JZ98)</f>
        <v/>
      </c>
      <c r="CT99" s="170"/>
    </row>
    <row r="100" spans="1:98" s="875" customFormat="1" ht="15" customHeight="1" x14ac:dyDescent="0.2">
      <c r="A100" s="1205">
        <f>'Flächen u. Kulturen'!A98</f>
        <v>89</v>
      </c>
      <c r="B100" s="1205" t="str">
        <f>+'org. Düngung 22'!B101</f>
        <v/>
      </c>
      <c r="C100" s="1206" t="str">
        <f>'org. Düngung 22'!C101</f>
        <v/>
      </c>
      <c r="D100" s="1197" t="str">
        <f>'org. Düngung 22'!D101</f>
        <v/>
      </c>
      <c r="E100" s="1207" t="str">
        <f>'org. Düngung 22'!E101</f>
        <v/>
      </c>
      <c r="F100" s="1199" t="str">
        <f>'org. Düngung 22'!F101</f>
        <v/>
      </c>
      <c r="G100" s="1201" t="str">
        <f>IF(C100="","",IF(COUNT('#minDung'!KF99:KJ99)=0,"OK",TRIM(CONCATENATE('#minDung'!KF99," ",'#minDung'!KG99," ",'#minDung'!KH99," ",'#minDung'!KI99," ",'#minDung'!KJ99))))</f>
        <v/>
      </c>
      <c r="H100" s="1025"/>
      <c r="I100" s="1026" t="str">
        <f>IF(H100="","",'#minDung'!X99)</f>
        <v/>
      </c>
      <c r="J100" s="1026" t="str">
        <f>IF(I100="","",'#minDung'!Y99)</f>
        <v/>
      </c>
      <c r="K100" s="1025"/>
      <c r="L100" s="1026" t="str">
        <f>IF(K100="","",'#minDung'!AG99)</f>
        <v/>
      </c>
      <c r="M100" s="1026" t="str">
        <f>IF(L100="","",'#minDung'!AH99)</f>
        <v/>
      </c>
      <c r="N100" s="1025"/>
      <c r="O100" s="1026" t="str">
        <f>IF(N100="","",'#minDung'!AP99)</f>
        <v/>
      </c>
      <c r="P100" s="1026" t="str">
        <f>IF(O100="","",'#minDung'!AQ99)</f>
        <v/>
      </c>
      <c r="Q100" s="1025"/>
      <c r="R100" s="1026" t="str">
        <f>IF(Q100="","",'#minDung'!AY99)</f>
        <v/>
      </c>
      <c r="S100" s="1026" t="str">
        <f>IF(R100="","",'#minDung'!AZ99)</f>
        <v/>
      </c>
      <c r="T100" s="1025"/>
      <c r="U100" s="1026" t="str">
        <f>IF(T100="","",'#minDung'!BH99)</f>
        <v/>
      </c>
      <c r="V100" s="1026" t="str">
        <f>IF(U100="","",'#minDung'!BI99)</f>
        <v/>
      </c>
      <c r="W100" s="1025"/>
      <c r="X100" s="1026" t="str">
        <f>IF(W100="","",'#minDung'!BQ99)</f>
        <v/>
      </c>
      <c r="Y100" s="1026" t="str">
        <f>IF(X100="","",'#minDung'!BR99)</f>
        <v/>
      </c>
      <c r="Z100" s="1025"/>
      <c r="AA100" s="1026" t="str">
        <f>IF(Z100="","",'#minDung'!BZ99)</f>
        <v/>
      </c>
      <c r="AB100" s="1026" t="str">
        <f>IF(AA100="","",'#minDung'!CA99)</f>
        <v/>
      </c>
      <c r="AC100" s="1025"/>
      <c r="AD100" s="1026" t="str">
        <f>IF(AC100="","",'#minDung'!CI99)</f>
        <v/>
      </c>
      <c r="AE100" s="1026" t="str">
        <f>IF(AD100="","",'#minDung'!CJ99)</f>
        <v/>
      </c>
      <c r="AF100" s="1025"/>
      <c r="AG100" s="1026" t="str">
        <f>IF(AF100="","",'#minDung'!CR99)</f>
        <v/>
      </c>
      <c r="AH100" s="1026" t="str">
        <f>IF(AG100="","",'#minDung'!CS99)</f>
        <v/>
      </c>
      <c r="AI100" s="1025"/>
      <c r="AJ100" s="1026" t="str">
        <f>IF(AI100="","",'#minDung'!DA99)</f>
        <v/>
      </c>
      <c r="AK100" s="1026" t="str">
        <f>IF(AJ100="","",'#minDung'!DB99)</f>
        <v/>
      </c>
      <c r="AL100" s="1025"/>
      <c r="AM100" s="1026" t="str">
        <f>IF(AL100="","",'#minDung'!DJ99)</f>
        <v/>
      </c>
      <c r="AN100" s="1026" t="str">
        <f>IF(AM100="","",'#minDung'!DK99)</f>
        <v/>
      </c>
      <c r="AO100" s="1025"/>
      <c r="AP100" s="1026" t="str">
        <f>IF(AO100="","",'#minDung'!DS99)</f>
        <v/>
      </c>
      <c r="AQ100" s="1026" t="str">
        <f>IF(AP100="","",'#minDung'!DT99)</f>
        <v/>
      </c>
      <c r="AR100" s="1025"/>
      <c r="AS100" s="1026" t="str">
        <f>IF(AR100="","",'#minDung'!EB99)</f>
        <v/>
      </c>
      <c r="AT100" s="1026" t="str">
        <f>IF(AS100="","",'#minDung'!EC99)</f>
        <v/>
      </c>
      <c r="AU100" s="1025"/>
      <c r="AV100" s="1026" t="str">
        <f>IF(AU100="","",'#minDung'!EK99)</f>
        <v/>
      </c>
      <c r="AW100" s="1026" t="str">
        <f>IF(AV100="","",'#minDung'!EL99)</f>
        <v/>
      </c>
      <c r="AX100" s="1025"/>
      <c r="AY100" s="1026" t="str">
        <f>IF(AX100="","",'#minDung'!ET99)</f>
        <v/>
      </c>
      <c r="AZ100" s="1026" t="str">
        <f>IF(AY100="","",'#minDung'!EU99)</f>
        <v/>
      </c>
      <c r="BA100" s="1025"/>
      <c r="BB100" s="1026" t="str">
        <f>IF(BA100="","",'#minDung'!FC99)</f>
        <v/>
      </c>
      <c r="BC100" s="1026" t="str">
        <f>IF(BB100="","",'#minDung'!FD99)</f>
        <v/>
      </c>
      <c r="BD100" s="1025"/>
      <c r="BE100" s="1026" t="str">
        <f>IF(BD100="","",'#minDung'!FL99)</f>
        <v/>
      </c>
      <c r="BF100" s="1026" t="str">
        <f>IF(BE100="","",'#minDung'!FM99)</f>
        <v/>
      </c>
      <c r="BG100" s="1025"/>
      <c r="BH100" s="1026" t="str">
        <f>IF(BG100="","",'#minDung'!FU99)</f>
        <v/>
      </c>
      <c r="BI100" s="1026" t="str">
        <f>IF(BH100="","",'#minDung'!FV99)</f>
        <v/>
      </c>
      <c r="BJ100" s="1025"/>
      <c r="BK100" s="1026" t="str">
        <f>IF(BJ100="","",'#minDung'!GD99)</f>
        <v/>
      </c>
      <c r="BL100" s="1026" t="str">
        <f>IF(BK100="","",'#minDung'!GE99)</f>
        <v/>
      </c>
      <c r="BM100" s="1025"/>
      <c r="BN100" s="1026" t="str">
        <f>IF(BM100="","",'#minDung'!GM99)</f>
        <v/>
      </c>
      <c r="BO100" s="1026" t="str">
        <f>IF(BN100="","",'#minDung'!GN99)</f>
        <v/>
      </c>
      <c r="BP100" s="1025"/>
      <c r="BQ100" s="1026" t="str">
        <f>IF(BP100="","",'#minDung'!GV99)</f>
        <v/>
      </c>
      <c r="BR100" s="1026" t="str">
        <f>IF(BQ100="","",'#minDung'!GW99)</f>
        <v/>
      </c>
      <c r="BS100" s="1025"/>
      <c r="BT100" s="1026" t="str">
        <f>IF(BS100="","",'#minDung'!HE99)</f>
        <v/>
      </c>
      <c r="BU100" s="1026" t="str">
        <f>IF(BT100="","",'#minDung'!HF99)</f>
        <v/>
      </c>
      <c r="BV100" s="1025"/>
      <c r="BW100" s="1026" t="str">
        <f>IF(BV100="","",'#minDung'!HN99)</f>
        <v/>
      </c>
      <c r="BX100" s="1026" t="str">
        <f>IF(BW100="","",'#minDung'!HO99)</f>
        <v/>
      </c>
      <c r="BY100" s="1025"/>
      <c r="BZ100" s="1026" t="str">
        <f>IF(BY100="","",'#minDung'!HW99)</f>
        <v/>
      </c>
      <c r="CA100" s="1026" t="str">
        <f>IF(BZ100="","",'#minDung'!HX99)</f>
        <v/>
      </c>
      <c r="CB100" s="1025"/>
      <c r="CC100" s="1026" t="str">
        <f>IF(CB100="","",'#minDung'!IF99)</f>
        <v/>
      </c>
      <c r="CD100" s="1026" t="str">
        <f>IF(CC100="","",'#minDung'!IG99)</f>
        <v/>
      </c>
      <c r="CE100" s="1025"/>
      <c r="CF100" s="1026" t="str">
        <f>IF(CE100="","",'#minDung'!IO99)</f>
        <v/>
      </c>
      <c r="CG100" s="1026" t="str">
        <f>IF(CF100="","",'#minDung'!IP99)</f>
        <v/>
      </c>
      <c r="CH100" s="1025"/>
      <c r="CI100" s="1026" t="str">
        <f>IF(CH100="","",'#minDung'!IX99)</f>
        <v/>
      </c>
      <c r="CJ100" s="1026" t="str">
        <f>IF(CI100="","",'#minDung'!IY99)</f>
        <v/>
      </c>
      <c r="CK100" s="1025"/>
      <c r="CL100" s="1026" t="str">
        <f>IF(CK100="","",'#minDung'!JG99)</f>
        <v/>
      </c>
      <c r="CM100" s="1026" t="str">
        <f>IF(CL100="","",'#minDung'!JH99)</f>
        <v/>
      </c>
      <c r="CN100" s="1025"/>
      <c r="CO100" s="1026" t="str">
        <f>IF(CN100="","",'#minDung'!JP99)</f>
        <v/>
      </c>
      <c r="CP100" s="1026" t="str">
        <f>IF(CO100="","",'#minDung'!JQ99)</f>
        <v/>
      </c>
      <c r="CQ100" s="1025"/>
      <c r="CR100" s="1026" t="str">
        <f>IF(CQ100="","",'#minDung'!JY99)</f>
        <v/>
      </c>
      <c r="CS100" s="1030" t="str">
        <f>IF(CR100="","",'#minDung'!JZ99)</f>
        <v/>
      </c>
      <c r="CT100" s="170"/>
    </row>
    <row r="101" spans="1:98" s="875" customFormat="1" ht="15" customHeight="1" x14ac:dyDescent="0.2">
      <c r="A101" s="1205">
        <f>'Flächen u. Kulturen'!A99</f>
        <v>90</v>
      </c>
      <c r="B101" s="1205" t="str">
        <f>+'org. Düngung 22'!B102</f>
        <v/>
      </c>
      <c r="C101" s="1206" t="str">
        <f>'org. Düngung 22'!C102</f>
        <v/>
      </c>
      <c r="D101" s="1197" t="str">
        <f>'org. Düngung 22'!D102</f>
        <v/>
      </c>
      <c r="E101" s="1207" t="str">
        <f>'org. Düngung 22'!E102</f>
        <v/>
      </c>
      <c r="F101" s="1199" t="str">
        <f>'org. Düngung 22'!F102</f>
        <v/>
      </c>
      <c r="G101" s="1201" t="str">
        <f>IF(C101="","",IF(COUNT('#minDung'!KF100:KJ100)=0,"OK",TRIM(CONCATENATE('#minDung'!KF100," ",'#minDung'!KG100," ",'#minDung'!KH100," ",'#minDung'!KI100," ",'#minDung'!KJ100))))</f>
        <v/>
      </c>
      <c r="H101" s="1025"/>
      <c r="I101" s="1026" t="str">
        <f>IF(H101="","",'#minDung'!X100)</f>
        <v/>
      </c>
      <c r="J101" s="1026" t="str">
        <f>IF(I101="","",'#minDung'!Y100)</f>
        <v/>
      </c>
      <c r="K101" s="1025"/>
      <c r="L101" s="1026" t="str">
        <f>IF(K101="","",'#minDung'!AG100)</f>
        <v/>
      </c>
      <c r="M101" s="1026" t="str">
        <f>IF(L101="","",'#minDung'!AH100)</f>
        <v/>
      </c>
      <c r="N101" s="1025"/>
      <c r="O101" s="1026" t="str">
        <f>IF(N101="","",'#minDung'!AP100)</f>
        <v/>
      </c>
      <c r="P101" s="1026" t="str">
        <f>IF(O101="","",'#minDung'!AQ100)</f>
        <v/>
      </c>
      <c r="Q101" s="1025"/>
      <c r="R101" s="1026" t="str">
        <f>IF(Q101="","",'#minDung'!AY100)</f>
        <v/>
      </c>
      <c r="S101" s="1026" t="str">
        <f>IF(R101="","",'#minDung'!AZ100)</f>
        <v/>
      </c>
      <c r="T101" s="1025"/>
      <c r="U101" s="1026" t="str">
        <f>IF(T101="","",'#minDung'!BH100)</f>
        <v/>
      </c>
      <c r="V101" s="1026" t="str">
        <f>IF(U101="","",'#minDung'!BI100)</f>
        <v/>
      </c>
      <c r="W101" s="1025"/>
      <c r="X101" s="1026" t="str">
        <f>IF(W101="","",'#minDung'!BQ100)</f>
        <v/>
      </c>
      <c r="Y101" s="1026" t="str">
        <f>IF(X101="","",'#minDung'!BR100)</f>
        <v/>
      </c>
      <c r="Z101" s="1025"/>
      <c r="AA101" s="1026" t="str">
        <f>IF(Z101="","",'#minDung'!BZ100)</f>
        <v/>
      </c>
      <c r="AB101" s="1026" t="str">
        <f>IF(AA101="","",'#minDung'!CA100)</f>
        <v/>
      </c>
      <c r="AC101" s="1025"/>
      <c r="AD101" s="1026" t="str">
        <f>IF(AC101="","",'#minDung'!CI100)</f>
        <v/>
      </c>
      <c r="AE101" s="1026" t="str">
        <f>IF(AD101="","",'#minDung'!CJ100)</f>
        <v/>
      </c>
      <c r="AF101" s="1025"/>
      <c r="AG101" s="1026" t="str">
        <f>IF(AF101="","",'#minDung'!CR100)</f>
        <v/>
      </c>
      <c r="AH101" s="1026" t="str">
        <f>IF(AG101="","",'#minDung'!CS100)</f>
        <v/>
      </c>
      <c r="AI101" s="1025"/>
      <c r="AJ101" s="1026" t="str">
        <f>IF(AI101="","",'#minDung'!DA100)</f>
        <v/>
      </c>
      <c r="AK101" s="1026" t="str">
        <f>IF(AJ101="","",'#minDung'!DB100)</f>
        <v/>
      </c>
      <c r="AL101" s="1025"/>
      <c r="AM101" s="1026" t="str">
        <f>IF(AL101="","",'#minDung'!DJ100)</f>
        <v/>
      </c>
      <c r="AN101" s="1026" t="str">
        <f>IF(AM101="","",'#minDung'!DK100)</f>
        <v/>
      </c>
      <c r="AO101" s="1025"/>
      <c r="AP101" s="1026" t="str">
        <f>IF(AO101="","",'#minDung'!DS100)</f>
        <v/>
      </c>
      <c r="AQ101" s="1026" t="str">
        <f>IF(AP101="","",'#minDung'!DT100)</f>
        <v/>
      </c>
      <c r="AR101" s="1025"/>
      <c r="AS101" s="1026" t="str">
        <f>IF(AR101="","",'#minDung'!EB100)</f>
        <v/>
      </c>
      <c r="AT101" s="1026" t="str">
        <f>IF(AS101="","",'#minDung'!EC100)</f>
        <v/>
      </c>
      <c r="AU101" s="1025"/>
      <c r="AV101" s="1026" t="str">
        <f>IF(AU101="","",'#minDung'!EK100)</f>
        <v/>
      </c>
      <c r="AW101" s="1026" t="str">
        <f>IF(AV101="","",'#minDung'!EL100)</f>
        <v/>
      </c>
      <c r="AX101" s="1025"/>
      <c r="AY101" s="1026" t="str">
        <f>IF(AX101="","",'#minDung'!ET100)</f>
        <v/>
      </c>
      <c r="AZ101" s="1026" t="str">
        <f>IF(AY101="","",'#minDung'!EU100)</f>
        <v/>
      </c>
      <c r="BA101" s="1025"/>
      <c r="BB101" s="1026" t="str">
        <f>IF(BA101="","",'#minDung'!FC100)</f>
        <v/>
      </c>
      <c r="BC101" s="1026" t="str">
        <f>IF(BB101="","",'#minDung'!FD100)</f>
        <v/>
      </c>
      <c r="BD101" s="1025"/>
      <c r="BE101" s="1026" t="str">
        <f>IF(BD101="","",'#minDung'!FL100)</f>
        <v/>
      </c>
      <c r="BF101" s="1026" t="str">
        <f>IF(BE101="","",'#minDung'!FM100)</f>
        <v/>
      </c>
      <c r="BG101" s="1025"/>
      <c r="BH101" s="1026" t="str">
        <f>IF(BG101="","",'#minDung'!FU100)</f>
        <v/>
      </c>
      <c r="BI101" s="1026" t="str">
        <f>IF(BH101="","",'#minDung'!FV100)</f>
        <v/>
      </c>
      <c r="BJ101" s="1025"/>
      <c r="BK101" s="1026" t="str">
        <f>IF(BJ101="","",'#minDung'!GD100)</f>
        <v/>
      </c>
      <c r="BL101" s="1026" t="str">
        <f>IF(BK101="","",'#minDung'!GE100)</f>
        <v/>
      </c>
      <c r="BM101" s="1025"/>
      <c r="BN101" s="1026" t="str">
        <f>IF(BM101="","",'#minDung'!GM100)</f>
        <v/>
      </c>
      <c r="BO101" s="1026" t="str">
        <f>IF(BN101="","",'#minDung'!GN100)</f>
        <v/>
      </c>
      <c r="BP101" s="1025"/>
      <c r="BQ101" s="1026" t="str">
        <f>IF(BP101="","",'#minDung'!GV100)</f>
        <v/>
      </c>
      <c r="BR101" s="1026" t="str">
        <f>IF(BQ101="","",'#minDung'!GW100)</f>
        <v/>
      </c>
      <c r="BS101" s="1025"/>
      <c r="BT101" s="1026" t="str">
        <f>IF(BS101="","",'#minDung'!HE100)</f>
        <v/>
      </c>
      <c r="BU101" s="1026" t="str">
        <f>IF(BT101="","",'#minDung'!HF100)</f>
        <v/>
      </c>
      <c r="BV101" s="1025"/>
      <c r="BW101" s="1026" t="str">
        <f>IF(BV101="","",'#minDung'!HN100)</f>
        <v/>
      </c>
      <c r="BX101" s="1026" t="str">
        <f>IF(BW101="","",'#minDung'!HO100)</f>
        <v/>
      </c>
      <c r="BY101" s="1025"/>
      <c r="BZ101" s="1026" t="str">
        <f>IF(BY101="","",'#minDung'!HW100)</f>
        <v/>
      </c>
      <c r="CA101" s="1026" t="str">
        <f>IF(BZ101="","",'#minDung'!HX100)</f>
        <v/>
      </c>
      <c r="CB101" s="1025"/>
      <c r="CC101" s="1026" t="str">
        <f>IF(CB101="","",'#minDung'!IF100)</f>
        <v/>
      </c>
      <c r="CD101" s="1026" t="str">
        <f>IF(CC101="","",'#minDung'!IG100)</f>
        <v/>
      </c>
      <c r="CE101" s="1025"/>
      <c r="CF101" s="1026" t="str">
        <f>IF(CE101="","",'#minDung'!IO100)</f>
        <v/>
      </c>
      <c r="CG101" s="1026" t="str">
        <f>IF(CF101="","",'#minDung'!IP100)</f>
        <v/>
      </c>
      <c r="CH101" s="1025"/>
      <c r="CI101" s="1026" t="str">
        <f>IF(CH101="","",'#minDung'!IX100)</f>
        <v/>
      </c>
      <c r="CJ101" s="1026" t="str">
        <f>IF(CI101="","",'#minDung'!IY100)</f>
        <v/>
      </c>
      <c r="CK101" s="1025"/>
      <c r="CL101" s="1026" t="str">
        <f>IF(CK101="","",'#minDung'!JG100)</f>
        <v/>
      </c>
      <c r="CM101" s="1026" t="str">
        <f>IF(CL101="","",'#minDung'!JH100)</f>
        <v/>
      </c>
      <c r="CN101" s="1025"/>
      <c r="CO101" s="1026" t="str">
        <f>IF(CN101="","",'#minDung'!JP100)</f>
        <v/>
      </c>
      <c r="CP101" s="1026" t="str">
        <f>IF(CO101="","",'#minDung'!JQ100)</f>
        <v/>
      </c>
      <c r="CQ101" s="1025"/>
      <c r="CR101" s="1026" t="str">
        <f>IF(CQ101="","",'#minDung'!JY100)</f>
        <v/>
      </c>
      <c r="CS101" s="1030" t="str">
        <f>IF(CR101="","",'#minDung'!JZ100)</f>
        <v/>
      </c>
      <c r="CT101" s="170"/>
    </row>
    <row r="102" spans="1:98" s="875" customFormat="1" ht="15" customHeight="1" x14ac:dyDescent="0.2">
      <c r="A102" s="1205">
        <f>'Flächen u. Kulturen'!A100</f>
        <v>91</v>
      </c>
      <c r="B102" s="1205" t="str">
        <f>+'org. Düngung 22'!B103</f>
        <v/>
      </c>
      <c r="C102" s="1206" t="str">
        <f>'org. Düngung 22'!C103</f>
        <v/>
      </c>
      <c r="D102" s="1197" t="str">
        <f>'org. Düngung 22'!D103</f>
        <v/>
      </c>
      <c r="E102" s="1207" t="str">
        <f>'org. Düngung 22'!E103</f>
        <v/>
      </c>
      <c r="F102" s="1199" t="str">
        <f>'org. Düngung 22'!F103</f>
        <v/>
      </c>
      <c r="G102" s="1201" t="str">
        <f>IF(C102="","",IF(COUNT('#minDung'!KF101:KJ101)=0,"OK",TRIM(CONCATENATE('#minDung'!KF101," ",'#minDung'!KG101," ",'#minDung'!KH101," ",'#minDung'!KI101," ",'#minDung'!KJ101))))</f>
        <v/>
      </c>
      <c r="H102" s="1025"/>
      <c r="I102" s="1026" t="str">
        <f>IF(H102="","",'#minDung'!X101)</f>
        <v/>
      </c>
      <c r="J102" s="1026" t="str">
        <f>IF(I102="","",'#minDung'!Y101)</f>
        <v/>
      </c>
      <c r="K102" s="1025"/>
      <c r="L102" s="1026" t="str">
        <f>IF(K102="","",'#minDung'!AG101)</f>
        <v/>
      </c>
      <c r="M102" s="1026" t="str">
        <f>IF(L102="","",'#minDung'!AH101)</f>
        <v/>
      </c>
      <c r="N102" s="1025"/>
      <c r="O102" s="1026" t="str">
        <f>IF(N102="","",'#minDung'!AP101)</f>
        <v/>
      </c>
      <c r="P102" s="1026" t="str">
        <f>IF(O102="","",'#minDung'!AQ101)</f>
        <v/>
      </c>
      <c r="Q102" s="1025"/>
      <c r="R102" s="1026" t="str">
        <f>IF(Q102="","",'#minDung'!AY101)</f>
        <v/>
      </c>
      <c r="S102" s="1026" t="str">
        <f>IF(R102="","",'#minDung'!AZ101)</f>
        <v/>
      </c>
      <c r="T102" s="1025"/>
      <c r="U102" s="1026" t="str">
        <f>IF(T102="","",'#minDung'!BH101)</f>
        <v/>
      </c>
      <c r="V102" s="1026" t="str">
        <f>IF(U102="","",'#minDung'!BI101)</f>
        <v/>
      </c>
      <c r="W102" s="1025"/>
      <c r="X102" s="1026" t="str">
        <f>IF(W102="","",'#minDung'!BQ101)</f>
        <v/>
      </c>
      <c r="Y102" s="1026" t="str">
        <f>IF(X102="","",'#minDung'!BR101)</f>
        <v/>
      </c>
      <c r="Z102" s="1025"/>
      <c r="AA102" s="1026" t="str">
        <f>IF(Z102="","",'#minDung'!BZ101)</f>
        <v/>
      </c>
      <c r="AB102" s="1026" t="str">
        <f>IF(AA102="","",'#minDung'!CA101)</f>
        <v/>
      </c>
      <c r="AC102" s="1025"/>
      <c r="AD102" s="1026" t="str">
        <f>IF(AC102="","",'#minDung'!CI101)</f>
        <v/>
      </c>
      <c r="AE102" s="1026" t="str">
        <f>IF(AD102="","",'#minDung'!CJ101)</f>
        <v/>
      </c>
      <c r="AF102" s="1025"/>
      <c r="AG102" s="1026" t="str">
        <f>IF(AF102="","",'#minDung'!CR101)</f>
        <v/>
      </c>
      <c r="AH102" s="1026" t="str">
        <f>IF(AG102="","",'#minDung'!CS101)</f>
        <v/>
      </c>
      <c r="AI102" s="1025"/>
      <c r="AJ102" s="1026" t="str">
        <f>IF(AI102="","",'#minDung'!DA101)</f>
        <v/>
      </c>
      <c r="AK102" s="1026" t="str">
        <f>IF(AJ102="","",'#minDung'!DB101)</f>
        <v/>
      </c>
      <c r="AL102" s="1025"/>
      <c r="AM102" s="1026" t="str">
        <f>IF(AL102="","",'#minDung'!DJ101)</f>
        <v/>
      </c>
      <c r="AN102" s="1026" t="str">
        <f>IF(AM102="","",'#minDung'!DK101)</f>
        <v/>
      </c>
      <c r="AO102" s="1025"/>
      <c r="AP102" s="1026" t="str">
        <f>IF(AO102="","",'#minDung'!DS101)</f>
        <v/>
      </c>
      <c r="AQ102" s="1026" t="str">
        <f>IF(AP102="","",'#minDung'!DT101)</f>
        <v/>
      </c>
      <c r="AR102" s="1025"/>
      <c r="AS102" s="1026" t="str">
        <f>IF(AR102="","",'#minDung'!EB101)</f>
        <v/>
      </c>
      <c r="AT102" s="1026" t="str">
        <f>IF(AS102="","",'#minDung'!EC101)</f>
        <v/>
      </c>
      <c r="AU102" s="1025"/>
      <c r="AV102" s="1026" t="str">
        <f>IF(AU102="","",'#minDung'!EK101)</f>
        <v/>
      </c>
      <c r="AW102" s="1026" t="str">
        <f>IF(AV102="","",'#minDung'!EL101)</f>
        <v/>
      </c>
      <c r="AX102" s="1025"/>
      <c r="AY102" s="1026" t="str">
        <f>IF(AX102="","",'#minDung'!ET101)</f>
        <v/>
      </c>
      <c r="AZ102" s="1026" t="str">
        <f>IF(AY102="","",'#minDung'!EU101)</f>
        <v/>
      </c>
      <c r="BA102" s="1025"/>
      <c r="BB102" s="1026" t="str">
        <f>IF(BA102="","",'#minDung'!FC101)</f>
        <v/>
      </c>
      <c r="BC102" s="1026" t="str">
        <f>IF(BB102="","",'#minDung'!FD101)</f>
        <v/>
      </c>
      <c r="BD102" s="1025"/>
      <c r="BE102" s="1026" t="str">
        <f>IF(BD102="","",'#minDung'!FL101)</f>
        <v/>
      </c>
      <c r="BF102" s="1026" t="str">
        <f>IF(BE102="","",'#minDung'!FM101)</f>
        <v/>
      </c>
      <c r="BG102" s="1025"/>
      <c r="BH102" s="1026" t="str">
        <f>IF(BG102="","",'#minDung'!FU101)</f>
        <v/>
      </c>
      <c r="BI102" s="1026" t="str">
        <f>IF(BH102="","",'#minDung'!FV101)</f>
        <v/>
      </c>
      <c r="BJ102" s="1025"/>
      <c r="BK102" s="1026" t="str">
        <f>IF(BJ102="","",'#minDung'!GD101)</f>
        <v/>
      </c>
      <c r="BL102" s="1026" t="str">
        <f>IF(BK102="","",'#minDung'!GE101)</f>
        <v/>
      </c>
      <c r="BM102" s="1025"/>
      <c r="BN102" s="1026" t="str">
        <f>IF(BM102="","",'#minDung'!GM101)</f>
        <v/>
      </c>
      <c r="BO102" s="1026" t="str">
        <f>IF(BN102="","",'#minDung'!GN101)</f>
        <v/>
      </c>
      <c r="BP102" s="1025"/>
      <c r="BQ102" s="1026" t="str">
        <f>IF(BP102="","",'#minDung'!GV101)</f>
        <v/>
      </c>
      <c r="BR102" s="1026" t="str">
        <f>IF(BQ102="","",'#minDung'!GW101)</f>
        <v/>
      </c>
      <c r="BS102" s="1025"/>
      <c r="BT102" s="1026" t="str">
        <f>IF(BS102="","",'#minDung'!HE101)</f>
        <v/>
      </c>
      <c r="BU102" s="1026" t="str">
        <f>IF(BT102="","",'#minDung'!HF101)</f>
        <v/>
      </c>
      <c r="BV102" s="1025"/>
      <c r="BW102" s="1026" t="str">
        <f>IF(BV102="","",'#minDung'!HN101)</f>
        <v/>
      </c>
      <c r="BX102" s="1026" t="str">
        <f>IF(BW102="","",'#minDung'!HO101)</f>
        <v/>
      </c>
      <c r="BY102" s="1025"/>
      <c r="BZ102" s="1026" t="str">
        <f>IF(BY102="","",'#minDung'!HW101)</f>
        <v/>
      </c>
      <c r="CA102" s="1026" t="str">
        <f>IF(BZ102="","",'#minDung'!HX101)</f>
        <v/>
      </c>
      <c r="CB102" s="1025"/>
      <c r="CC102" s="1026" t="str">
        <f>IF(CB102="","",'#minDung'!IF101)</f>
        <v/>
      </c>
      <c r="CD102" s="1026" t="str">
        <f>IF(CC102="","",'#minDung'!IG101)</f>
        <v/>
      </c>
      <c r="CE102" s="1025"/>
      <c r="CF102" s="1026" t="str">
        <f>IF(CE102="","",'#minDung'!IO101)</f>
        <v/>
      </c>
      <c r="CG102" s="1026" t="str">
        <f>IF(CF102="","",'#minDung'!IP101)</f>
        <v/>
      </c>
      <c r="CH102" s="1025"/>
      <c r="CI102" s="1026" t="str">
        <f>IF(CH102="","",'#minDung'!IX101)</f>
        <v/>
      </c>
      <c r="CJ102" s="1026" t="str">
        <f>IF(CI102="","",'#minDung'!IY101)</f>
        <v/>
      </c>
      <c r="CK102" s="1025"/>
      <c r="CL102" s="1026" t="str">
        <f>IF(CK102="","",'#minDung'!JG101)</f>
        <v/>
      </c>
      <c r="CM102" s="1026" t="str">
        <f>IF(CL102="","",'#minDung'!JH101)</f>
        <v/>
      </c>
      <c r="CN102" s="1025"/>
      <c r="CO102" s="1026" t="str">
        <f>IF(CN102="","",'#minDung'!JP101)</f>
        <v/>
      </c>
      <c r="CP102" s="1026" t="str">
        <f>IF(CO102="","",'#minDung'!JQ101)</f>
        <v/>
      </c>
      <c r="CQ102" s="1025"/>
      <c r="CR102" s="1026" t="str">
        <f>IF(CQ102="","",'#minDung'!JY101)</f>
        <v/>
      </c>
      <c r="CS102" s="1030" t="str">
        <f>IF(CR102="","",'#minDung'!JZ101)</f>
        <v/>
      </c>
      <c r="CT102" s="170"/>
    </row>
    <row r="103" spans="1:98" s="875" customFormat="1" ht="15" customHeight="1" x14ac:dyDescent="0.2">
      <c r="A103" s="1205">
        <f>'Flächen u. Kulturen'!A101</f>
        <v>92</v>
      </c>
      <c r="B103" s="1205" t="str">
        <f>+'org. Düngung 22'!B104</f>
        <v/>
      </c>
      <c r="C103" s="1206" t="str">
        <f>'org. Düngung 22'!C104</f>
        <v/>
      </c>
      <c r="D103" s="1197" t="str">
        <f>'org. Düngung 22'!D104</f>
        <v/>
      </c>
      <c r="E103" s="1207" t="str">
        <f>'org. Düngung 22'!E104</f>
        <v/>
      </c>
      <c r="F103" s="1199" t="str">
        <f>'org. Düngung 22'!F104</f>
        <v/>
      </c>
      <c r="G103" s="1201" t="str">
        <f>IF(C103="","",IF(COUNT('#minDung'!KF102:KJ102)=0,"OK",TRIM(CONCATENATE('#minDung'!KF102," ",'#minDung'!KG102," ",'#minDung'!KH102," ",'#minDung'!KI102," ",'#minDung'!KJ102))))</f>
        <v/>
      </c>
      <c r="H103" s="1025"/>
      <c r="I103" s="1026" t="str">
        <f>IF(H103="","",'#minDung'!X102)</f>
        <v/>
      </c>
      <c r="J103" s="1026" t="str">
        <f>IF(I103="","",'#minDung'!Y102)</f>
        <v/>
      </c>
      <c r="K103" s="1025"/>
      <c r="L103" s="1026" t="str">
        <f>IF(K103="","",'#minDung'!AG102)</f>
        <v/>
      </c>
      <c r="M103" s="1026" t="str">
        <f>IF(L103="","",'#minDung'!AH102)</f>
        <v/>
      </c>
      <c r="N103" s="1025"/>
      <c r="O103" s="1026" t="str">
        <f>IF(N103="","",'#minDung'!AP102)</f>
        <v/>
      </c>
      <c r="P103" s="1026" t="str">
        <f>IF(O103="","",'#minDung'!AQ102)</f>
        <v/>
      </c>
      <c r="Q103" s="1025"/>
      <c r="R103" s="1026" t="str">
        <f>IF(Q103="","",'#minDung'!AY102)</f>
        <v/>
      </c>
      <c r="S103" s="1026" t="str">
        <f>IF(R103="","",'#minDung'!AZ102)</f>
        <v/>
      </c>
      <c r="T103" s="1025"/>
      <c r="U103" s="1026" t="str">
        <f>IF(T103="","",'#minDung'!BH102)</f>
        <v/>
      </c>
      <c r="V103" s="1026" t="str">
        <f>IF(U103="","",'#minDung'!BI102)</f>
        <v/>
      </c>
      <c r="W103" s="1025"/>
      <c r="X103" s="1026" t="str">
        <f>IF(W103="","",'#minDung'!BQ102)</f>
        <v/>
      </c>
      <c r="Y103" s="1026" t="str">
        <f>IF(X103="","",'#minDung'!BR102)</f>
        <v/>
      </c>
      <c r="Z103" s="1025"/>
      <c r="AA103" s="1026" t="str">
        <f>IF(Z103="","",'#minDung'!BZ102)</f>
        <v/>
      </c>
      <c r="AB103" s="1026" t="str">
        <f>IF(AA103="","",'#minDung'!CA102)</f>
        <v/>
      </c>
      <c r="AC103" s="1025"/>
      <c r="AD103" s="1026" t="str">
        <f>IF(AC103="","",'#minDung'!CI102)</f>
        <v/>
      </c>
      <c r="AE103" s="1026" t="str">
        <f>IF(AD103="","",'#minDung'!CJ102)</f>
        <v/>
      </c>
      <c r="AF103" s="1025"/>
      <c r="AG103" s="1026" t="str">
        <f>IF(AF103="","",'#minDung'!CR102)</f>
        <v/>
      </c>
      <c r="AH103" s="1026" t="str">
        <f>IF(AG103="","",'#minDung'!CS102)</f>
        <v/>
      </c>
      <c r="AI103" s="1025"/>
      <c r="AJ103" s="1026" t="str">
        <f>IF(AI103="","",'#minDung'!DA102)</f>
        <v/>
      </c>
      <c r="AK103" s="1026" t="str">
        <f>IF(AJ103="","",'#minDung'!DB102)</f>
        <v/>
      </c>
      <c r="AL103" s="1025"/>
      <c r="AM103" s="1026" t="str">
        <f>IF(AL103="","",'#minDung'!DJ102)</f>
        <v/>
      </c>
      <c r="AN103" s="1026" t="str">
        <f>IF(AM103="","",'#minDung'!DK102)</f>
        <v/>
      </c>
      <c r="AO103" s="1025"/>
      <c r="AP103" s="1026" t="str">
        <f>IF(AO103="","",'#minDung'!DS102)</f>
        <v/>
      </c>
      <c r="AQ103" s="1026" t="str">
        <f>IF(AP103="","",'#minDung'!DT102)</f>
        <v/>
      </c>
      <c r="AR103" s="1025"/>
      <c r="AS103" s="1026" t="str">
        <f>IF(AR103="","",'#minDung'!EB102)</f>
        <v/>
      </c>
      <c r="AT103" s="1026" t="str">
        <f>IF(AS103="","",'#minDung'!EC102)</f>
        <v/>
      </c>
      <c r="AU103" s="1025"/>
      <c r="AV103" s="1026" t="str">
        <f>IF(AU103="","",'#minDung'!EK102)</f>
        <v/>
      </c>
      <c r="AW103" s="1026" t="str">
        <f>IF(AV103="","",'#minDung'!EL102)</f>
        <v/>
      </c>
      <c r="AX103" s="1025"/>
      <c r="AY103" s="1026" t="str">
        <f>IF(AX103="","",'#minDung'!ET102)</f>
        <v/>
      </c>
      <c r="AZ103" s="1026" t="str">
        <f>IF(AY103="","",'#minDung'!EU102)</f>
        <v/>
      </c>
      <c r="BA103" s="1025"/>
      <c r="BB103" s="1026" t="str">
        <f>IF(BA103="","",'#minDung'!FC102)</f>
        <v/>
      </c>
      <c r="BC103" s="1026" t="str">
        <f>IF(BB103="","",'#minDung'!FD102)</f>
        <v/>
      </c>
      <c r="BD103" s="1025"/>
      <c r="BE103" s="1026" t="str">
        <f>IF(BD103="","",'#minDung'!FL102)</f>
        <v/>
      </c>
      <c r="BF103" s="1026" t="str">
        <f>IF(BE103="","",'#minDung'!FM102)</f>
        <v/>
      </c>
      <c r="BG103" s="1025"/>
      <c r="BH103" s="1026" t="str">
        <f>IF(BG103="","",'#minDung'!FU102)</f>
        <v/>
      </c>
      <c r="BI103" s="1026" t="str">
        <f>IF(BH103="","",'#minDung'!FV102)</f>
        <v/>
      </c>
      <c r="BJ103" s="1025"/>
      <c r="BK103" s="1026" t="str">
        <f>IF(BJ103="","",'#minDung'!GD102)</f>
        <v/>
      </c>
      <c r="BL103" s="1026" t="str">
        <f>IF(BK103="","",'#minDung'!GE102)</f>
        <v/>
      </c>
      <c r="BM103" s="1025"/>
      <c r="BN103" s="1026" t="str">
        <f>IF(BM103="","",'#minDung'!GM102)</f>
        <v/>
      </c>
      <c r="BO103" s="1026" t="str">
        <f>IF(BN103="","",'#minDung'!GN102)</f>
        <v/>
      </c>
      <c r="BP103" s="1025"/>
      <c r="BQ103" s="1026" t="str">
        <f>IF(BP103="","",'#minDung'!GV102)</f>
        <v/>
      </c>
      <c r="BR103" s="1026" t="str">
        <f>IF(BQ103="","",'#minDung'!GW102)</f>
        <v/>
      </c>
      <c r="BS103" s="1025"/>
      <c r="BT103" s="1026" t="str">
        <f>IF(BS103="","",'#minDung'!HE102)</f>
        <v/>
      </c>
      <c r="BU103" s="1026" t="str">
        <f>IF(BT103="","",'#minDung'!HF102)</f>
        <v/>
      </c>
      <c r="BV103" s="1025"/>
      <c r="BW103" s="1026" t="str">
        <f>IF(BV103="","",'#minDung'!HN102)</f>
        <v/>
      </c>
      <c r="BX103" s="1026" t="str">
        <f>IF(BW103="","",'#minDung'!HO102)</f>
        <v/>
      </c>
      <c r="BY103" s="1025"/>
      <c r="BZ103" s="1026" t="str">
        <f>IF(BY103="","",'#minDung'!HW102)</f>
        <v/>
      </c>
      <c r="CA103" s="1026" t="str">
        <f>IF(BZ103="","",'#minDung'!HX102)</f>
        <v/>
      </c>
      <c r="CB103" s="1025"/>
      <c r="CC103" s="1026" t="str">
        <f>IF(CB103="","",'#minDung'!IF102)</f>
        <v/>
      </c>
      <c r="CD103" s="1026" t="str">
        <f>IF(CC103="","",'#minDung'!IG102)</f>
        <v/>
      </c>
      <c r="CE103" s="1025"/>
      <c r="CF103" s="1026" t="str">
        <f>IF(CE103="","",'#minDung'!IO102)</f>
        <v/>
      </c>
      <c r="CG103" s="1026" t="str">
        <f>IF(CF103="","",'#minDung'!IP102)</f>
        <v/>
      </c>
      <c r="CH103" s="1025"/>
      <c r="CI103" s="1026" t="str">
        <f>IF(CH103="","",'#minDung'!IX102)</f>
        <v/>
      </c>
      <c r="CJ103" s="1026" t="str">
        <f>IF(CI103="","",'#minDung'!IY102)</f>
        <v/>
      </c>
      <c r="CK103" s="1025"/>
      <c r="CL103" s="1026" t="str">
        <f>IF(CK103="","",'#minDung'!JG102)</f>
        <v/>
      </c>
      <c r="CM103" s="1026" t="str">
        <f>IF(CL103="","",'#minDung'!JH102)</f>
        <v/>
      </c>
      <c r="CN103" s="1025"/>
      <c r="CO103" s="1026" t="str">
        <f>IF(CN103="","",'#minDung'!JP102)</f>
        <v/>
      </c>
      <c r="CP103" s="1026" t="str">
        <f>IF(CO103="","",'#minDung'!JQ102)</f>
        <v/>
      </c>
      <c r="CQ103" s="1025"/>
      <c r="CR103" s="1026" t="str">
        <f>IF(CQ103="","",'#minDung'!JY102)</f>
        <v/>
      </c>
      <c r="CS103" s="1030" t="str">
        <f>IF(CR103="","",'#minDung'!JZ102)</f>
        <v/>
      </c>
      <c r="CT103" s="170"/>
    </row>
    <row r="104" spans="1:98" s="875" customFormat="1" ht="15" customHeight="1" x14ac:dyDescent="0.2">
      <c r="A104" s="1205">
        <f>'Flächen u. Kulturen'!A102</f>
        <v>93</v>
      </c>
      <c r="B104" s="1205" t="str">
        <f>+'org. Düngung 22'!B105</f>
        <v/>
      </c>
      <c r="C104" s="1206" t="str">
        <f>'org. Düngung 22'!C105</f>
        <v/>
      </c>
      <c r="D104" s="1197" t="str">
        <f>'org. Düngung 22'!D105</f>
        <v/>
      </c>
      <c r="E104" s="1207" t="str">
        <f>'org. Düngung 22'!E105</f>
        <v/>
      </c>
      <c r="F104" s="1199" t="str">
        <f>'org. Düngung 22'!F105</f>
        <v/>
      </c>
      <c r="G104" s="1201" t="str">
        <f>IF(C104="","",IF(COUNT('#minDung'!KF103:KJ103)=0,"OK",TRIM(CONCATENATE('#minDung'!KF103," ",'#minDung'!KG103," ",'#minDung'!KH103," ",'#minDung'!KI103," ",'#minDung'!KJ103))))</f>
        <v/>
      </c>
      <c r="H104" s="1025"/>
      <c r="I104" s="1026" t="str">
        <f>IF(H104="","",'#minDung'!X103)</f>
        <v/>
      </c>
      <c r="J104" s="1026" t="str">
        <f>IF(I104="","",'#minDung'!Y103)</f>
        <v/>
      </c>
      <c r="K104" s="1025"/>
      <c r="L104" s="1026" t="str">
        <f>IF(K104="","",'#minDung'!AG103)</f>
        <v/>
      </c>
      <c r="M104" s="1026" t="str">
        <f>IF(L104="","",'#minDung'!AH103)</f>
        <v/>
      </c>
      <c r="N104" s="1025"/>
      <c r="O104" s="1026" t="str">
        <f>IF(N104="","",'#minDung'!AP103)</f>
        <v/>
      </c>
      <c r="P104" s="1026" t="str">
        <f>IF(O104="","",'#minDung'!AQ103)</f>
        <v/>
      </c>
      <c r="Q104" s="1025"/>
      <c r="R104" s="1026" t="str">
        <f>IF(Q104="","",'#minDung'!AY103)</f>
        <v/>
      </c>
      <c r="S104" s="1026" t="str">
        <f>IF(R104="","",'#minDung'!AZ103)</f>
        <v/>
      </c>
      <c r="T104" s="1025"/>
      <c r="U104" s="1026" t="str">
        <f>IF(T104="","",'#minDung'!BH103)</f>
        <v/>
      </c>
      <c r="V104" s="1026" t="str">
        <f>IF(U104="","",'#minDung'!BI103)</f>
        <v/>
      </c>
      <c r="W104" s="1025"/>
      <c r="X104" s="1026" t="str">
        <f>IF(W104="","",'#minDung'!BQ103)</f>
        <v/>
      </c>
      <c r="Y104" s="1026" t="str">
        <f>IF(X104="","",'#minDung'!BR103)</f>
        <v/>
      </c>
      <c r="Z104" s="1025"/>
      <c r="AA104" s="1026" t="str">
        <f>IF(Z104="","",'#minDung'!BZ103)</f>
        <v/>
      </c>
      <c r="AB104" s="1026" t="str">
        <f>IF(AA104="","",'#minDung'!CA103)</f>
        <v/>
      </c>
      <c r="AC104" s="1025"/>
      <c r="AD104" s="1026" t="str">
        <f>IF(AC104="","",'#minDung'!CI103)</f>
        <v/>
      </c>
      <c r="AE104" s="1026" t="str">
        <f>IF(AD104="","",'#minDung'!CJ103)</f>
        <v/>
      </c>
      <c r="AF104" s="1025"/>
      <c r="AG104" s="1026" t="str">
        <f>IF(AF104="","",'#minDung'!CR103)</f>
        <v/>
      </c>
      <c r="AH104" s="1026" t="str">
        <f>IF(AG104="","",'#minDung'!CS103)</f>
        <v/>
      </c>
      <c r="AI104" s="1025"/>
      <c r="AJ104" s="1026" t="str">
        <f>IF(AI104="","",'#minDung'!DA103)</f>
        <v/>
      </c>
      <c r="AK104" s="1026" t="str">
        <f>IF(AJ104="","",'#minDung'!DB103)</f>
        <v/>
      </c>
      <c r="AL104" s="1025"/>
      <c r="AM104" s="1026" t="str">
        <f>IF(AL104="","",'#minDung'!DJ103)</f>
        <v/>
      </c>
      <c r="AN104" s="1026" t="str">
        <f>IF(AM104="","",'#minDung'!DK103)</f>
        <v/>
      </c>
      <c r="AO104" s="1025"/>
      <c r="AP104" s="1026" t="str">
        <f>IF(AO104="","",'#minDung'!DS103)</f>
        <v/>
      </c>
      <c r="AQ104" s="1026" t="str">
        <f>IF(AP104="","",'#minDung'!DT103)</f>
        <v/>
      </c>
      <c r="AR104" s="1025"/>
      <c r="AS104" s="1026" t="str">
        <f>IF(AR104="","",'#minDung'!EB103)</f>
        <v/>
      </c>
      <c r="AT104" s="1026" t="str">
        <f>IF(AS104="","",'#minDung'!EC103)</f>
        <v/>
      </c>
      <c r="AU104" s="1025"/>
      <c r="AV104" s="1026" t="str">
        <f>IF(AU104="","",'#minDung'!EK103)</f>
        <v/>
      </c>
      <c r="AW104" s="1026" t="str">
        <f>IF(AV104="","",'#minDung'!EL103)</f>
        <v/>
      </c>
      <c r="AX104" s="1025"/>
      <c r="AY104" s="1026" t="str">
        <f>IF(AX104="","",'#minDung'!ET103)</f>
        <v/>
      </c>
      <c r="AZ104" s="1026" t="str">
        <f>IF(AY104="","",'#minDung'!EU103)</f>
        <v/>
      </c>
      <c r="BA104" s="1025"/>
      <c r="BB104" s="1026" t="str">
        <f>IF(BA104="","",'#minDung'!FC103)</f>
        <v/>
      </c>
      <c r="BC104" s="1026" t="str">
        <f>IF(BB104="","",'#minDung'!FD103)</f>
        <v/>
      </c>
      <c r="BD104" s="1025"/>
      <c r="BE104" s="1026" t="str">
        <f>IF(BD104="","",'#minDung'!FL103)</f>
        <v/>
      </c>
      <c r="BF104" s="1026" t="str">
        <f>IF(BE104="","",'#minDung'!FM103)</f>
        <v/>
      </c>
      <c r="BG104" s="1025"/>
      <c r="BH104" s="1026" t="str">
        <f>IF(BG104="","",'#minDung'!FU103)</f>
        <v/>
      </c>
      <c r="BI104" s="1026" t="str">
        <f>IF(BH104="","",'#minDung'!FV103)</f>
        <v/>
      </c>
      <c r="BJ104" s="1025"/>
      <c r="BK104" s="1026" t="str">
        <f>IF(BJ104="","",'#minDung'!GD103)</f>
        <v/>
      </c>
      <c r="BL104" s="1026" t="str">
        <f>IF(BK104="","",'#minDung'!GE103)</f>
        <v/>
      </c>
      <c r="BM104" s="1025"/>
      <c r="BN104" s="1026" t="str">
        <f>IF(BM104="","",'#minDung'!GM103)</f>
        <v/>
      </c>
      <c r="BO104" s="1026" t="str">
        <f>IF(BN104="","",'#minDung'!GN103)</f>
        <v/>
      </c>
      <c r="BP104" s="1025"/>
      <c r="BQ104" s="1026" t="str">
        <f>IF(BP104="","",'#minDung'!GV103)</f>
        <v/>
      </c>
      <c r="BR104" s="1026" t="str">
        <f>IF(BQ104="","",'#minDung'!GW103)</f>
        <v/>
      </c>
      <c r="BS104" s="1025"/>
      <c r="BT104" s="1026" t="str">
        <f>IF(BS104="","",'#minDung'!HE103)</f>
        <v/>
      </c>
      <c r="BU104" s="1026" t="str">
        <f>IF(BT104="","",'#minDung'!HF103)</f>
        <v/>
      </c>
      <c r="BV104" s="1025"/>
      <c r="BW104" s="1026" t="str">
        <f>IF(BV104="","",'#minDung'!HN103)</f>
        <v/>
      </c>
      <c r="BX104" s="1026" t="str">
        <f>IF(BW104="","",'#minDung'!HO103)</f>
        <v/>
      </c>
      <c r="BY104" s="1025"/>
      <c r="BZ104" s="1026" t="str">
        <f>IF(BY104="","",'#minDung'!HW103)</f>
        <v/>
      </c>
      <c r="CA104" s="1026" t="str">
        <f>IF(BZ104="","",'#minDung'!HX103)</f>
        <v/>
      </c>
      <c r="CB104" s="1025"/>
      <c r="CC104" s="1026" t="str">
        <f>IF(CB104="","",'#minDung'!IF103)</f>
        <v/>
      </c>
      <c r="CD104" s="1026" t="str">
        <f>IF(CC104="","",'#minDung'!IG103)</f>
        <v/>
      </c>
      <c r="CE104" s="1025"/>
      <c r="CF104" s="1026" t="str">
        <f>IF(CE104="","",'#minDung'!IO103)</f>
        <v/>
      </c>
      <c r="CG104" s="1026" t="str">
        <f>IF(CF104="","",'#minDung'!IP103)</f>
        <v/>
      </c>
      <c r="CH104" s="1025"/>
      <c r="CI104" s="1026" t="str">
        <f>IF(CH104="","",'#minDung'!IX103)</f>
        <v/>
      </c>
      <c r="CJ104" s="1026" t="str">
        <f>IF(CI104="","",'#minDung'!IY103)</f>
        <v/>
      </c>
      <c r="CK104" s="1025"/>
      <c r="CL104" s="1026" t="str">
        <f>IF(CK104="","",'#minDung'!JG103)</f>
        <v/>
      </c>
      <c r="CM104" s="1026" t="str">
        <f>IF(CL104="","",'#minDung'!JH103)</f>
        <v/>
      </c>
      <c r="CN104" s="1025"/>
      <c r="CO104" s="1026" t="str">
        <f>IF(CN104="","",'#minDung'!JP103)</f>
        <v/>
      </c>
      <c r="CP104" s="1026" t="str">
        <f>IF(CO104="","",'#minDung'!JQ103)</f>
        <v/>
      </c>
      <c r="CQ104" s="1025"/>
      <c r="CR104" s="1026" t="str">
        <f>IF(CQ104="","",'#minDung'!JY103)</f>
        <v/>
      </c>
      <c r="CS104" s="1030" t="str">
        <f>IF(CR104="","",'#minDung'!JZ103)</f>
        <v/>
      </c>
      <c r="CT104" s="170"/>
    </row>
    <row r="105" spans="1:98" s="875" customFormat="1" ht="15" customHeight="1" x14ac:dyDescent="0.2">
      <c r="A105" s="1205">
        <f>'Flächen u. Kulturen'!A103</f>
        <v>94</v>
      </c>
      <c r="B105" s="1205" t="str">
        <f>+'org. Düngung 22'!B106</f>
        <v/>
      </c>
      <c r="C105" s="1206" t="str">
        <f>'org. Düngung 22'!C106</f>
        <v/>
      </c>
      <c r="D105" s="1197" t="str">
        <f>'org. Düngung 22'!D106</f>
        <v/>
      </c>
      <c r="E105" s="1207" t="str">
        <f>'org. Düngung 22'!E106</f>
        <v/>
      </c>
      <c r="F105" s="1199" t="str">
        <f>'org. Düngung 22'!F106</f>
        <v/>
      </c>
      <c r="G105" s="1201" t="str">
        <f>IF(C105="","",IF(COUNT('#minDung'!KF104:KJ104)=0,"OK",TRIM(CONCATENATE('#minDung'!KF104," ",'#minDung'!KG104," ",'#minDung'!KH104," ",'#minDung'!KI104," ",'#minDung'!KJ104))))</f>
        <v/>
      </c>
      <c r="H105" s="1025"/>
      <c r="I105" s="1026" t="str">
        <f>IF(H105="","",'#minDung'!X104)</f>
        <v/>
      </c>
      <c r="J105" s="1026" t="str">
        <f>IF(I105="","",'#minDung'!Y104)</f>
        <v/>
      </c>
      <c r="K105" s="1025"/>
      <c r="L105" s="1026" t="str">
        <f>IF(K105="","",'#minDung'!AG104)</f>
        <v/>
      </c>
      <c r="M105" s="1026" t="str">
        <f>IF(L105="","",'#minDung'!AH104)</f>
        <v/>
      </c>
      <c r="N105" s="1025"/>
      <c r="O105" s="1026" t="str">
        <f>IF(N105="","",'#minDung'!AP104)</f>
        <v/>
      </c>
      <c r="P105" s="1026" t="str">
        <f>IF(O105="","",'#minDung'!AQ104)</f>
        <v/>
      </c>
      <c r="Q105" s="1025"/>
      <c r="R105" s="1026" t="str">
        <f>IF(Q105="","",'#minDung'!AY104)</f>
        <v/>
      </c>
      <c r="S105" s="1026" t="str">
        <f>IF(R105="","",'#minDung'!AZ104)</f>
        <v/>
      </c>
      <c r="T105" s="1025"/>
      <c r="U105" s="1026" t="str">
        <f>IF(T105="","",'#minDung'!BH104)</f>
        <v/>
      </c>
      <c r="V105" s="1026" t="str">
        <f>IF(U105="","",'#minDung'!BI104)</f>
        <v/>
      </c>
      <c r="W105" s="1025"/>
      <c r="X105" s="1026" t="str">
        <f>IF(W105="","",'#minDung'!BQ104)</f>
        <v/>
      </c>
      <c r="Y105" s="1026" t="str">
        <f>IF(X105="","",'#minDung'!BR104)</f>
        <v/>
      </c>
      <c r="Z105" s="1025"/>
      <c r="AA105" s="1026" t="str">
        <f>IF(Z105="","",'#minDung'!BZ104)</f>
        <v/>
      </c>
      <c r="AB105" s="1026" t="str">
        <f>IF(AA105="","",'#minDung'!CA104)</f>
        <v/>
      </c>
      <c r="AC105" s="1025"/>
      <c r="AD105" s="1026" t="str">
        <f>IF(AC105="","",'#minDung'!CI104)</f>
        <v/>
      </c>
      <c r="AE105" s="1026" t="str">
        <f>IF(AD105="","",'#minDung'!CJ104)</f>
        <v/>
      </c>
      <c r="AF105" s="1025"/>
      <c r="AG105" s="1026" t="str">
        <f>IF(AF105="","",'#minDung'!CR104)</f>
        <v/>
      </c>
      <c r="AH105" s="1026" t="str">
        <f>IF(AG105="","",'#minDung'!CS104)</f>
        <v/>
      </c>
      <c r="AI105" s="1025"/>
      <c r="AJ105" s="1026" t="str">
        <f>IF(AI105="","",'#minDung'!DA104)</f>
        <v/>
      </c>
      <c r="AK105" s="1026" t="str">
        <f>IF(AJ105="","",'#minDung'!DB104)</f>
        <v/>
      </c>
      <c r="AL105" s="1025"/>
      <c r="AM105" s="1026" t="str">
        <f>IF(AL105="","",'#minDung'!DJ104)</f>
        <v/>
      </c>
      <c r="AN105" s="1026" t="str">
        <f>IF(AM105="","",'#minDung'!DK104)</f>
        <v/>
      </c>
      <c r="AO105" s="1025"/>
      <c r="AP105" s="1026" t="str">
        <f>IF(AO105="","",'#minDung'!DS104)</f>
        <v/>
      </c>
      <c r="AQ105" s="1026" t="str">
        <f>IF(AP105="","",'#minDung'!DT104)</f>
        <v/>
      </c>
      <c r="AR105" s="1025"/>
      <c r="AS105" s="1026" t="str">
        <f>IF(AR105="","",'#minDung'!EB104)</f>
        <v/>
      </c>
      <c r="AT105" s="1026" t="str">
        <f>IF(AS105="","",'#minDung'!EC104)</f>
        <v/>
      </c>
      <c r="AU105" s="1025"/>
      <c r="AV105" s="1026" t="str">
        <f>IF(AU105="","",'#minDung'!EK104)</f>
        <v/>
      </c>
      <c r="AW105" s="1026" t="str">
        <f>IF(AV105="","",'#minDung'!EL104)</f>
        <v/>
      </c>
      <c r="AX105" s="1025"/>
      <c r="AY105" s="1026" t="str">
        <f>IF(AX105="","",'#minDung'!ET104)</f>
        <v/>
      </c>
      <c r="AZ105" s="1026" t="str">
        <f>IF(AY105="","",'#minDung'!EU104)</f>
        <v/>
      </c>
      <c r="BA105" s="1025"/>
      <c r="BB105" s="1026" t="str">
        <f>IF(BA105="","",'#minDung'!FC104)</f>
        <v/>
      </c>
      <c r="BC105" s="1026" t="str">
        <f>IF(BB105="","",'#minDung'!FD104)</f>
        <v/>
      </c>
      <c r="BD105" s="1025"/>
      <c r="BE105" s="1026" t="str">
        <f>IF(BD105="","",'#minDung'!FL104)</f>
        <v/>
      </c>
      <c r="BF105" s="1026" t="str">
        <f>IF(BE105="","",'#minDung'!FM104)</f>
        <v/>
      </c>
      <c r="BG105" s="1025"/>
      <c r="BH105" s="1026" t="str">
        <f>IF(BG105="","",'#minDung'!FU104)</f>
        <v/>
      </c>
      <c r="BI105" s="1026" t="str">
        <f>IF(BH105="","",'#minDung'!FV104)</f>
        <v/>
      </c>
      <c r="BJ105" s="1025"/>
      <c r="BK105" s="1026" t="str">
        <f>IF(BJ105="","",'#minDung'!GD104)</f>
        <v/>
      </c>
      <c r="BL105" s="1026" t="str">
        <f>IF(BK105="","",'#minDung'!GE104)</f>
        <v/>
      </c>
      <c r="BM105" s="1025"/>
      <c r="BN105" s="1026" t="str">
        <f>IF(BM105="","",'#minDung'!GM104)</f>
        <v/>
      </c>
      <c r="BO105" s="1026" t="str">
        <f>IF(BN105="","",'#minDung'!GN104)</f>
        <v/>
      </c>
      <c r="BP105" s="1025"/>
      <c r="BQ105" s="1026" t="str">
        <f>IF(BP105="","",'#minDung'!GV104)</f>
        <v/>
      </c>
      <c r="BR105" s="1026" t="str">
        <f>IF(BQ105="","",'#minDung'!GW104)</f>
        <v/>
      </c>
      <c r="BS105" s="1025"/>
      <c r="BT105" s="1026" t="str">
        <f>IF(BS105="","",'#minDung'!HE104)</f>
        <v/>
      </c>
      <c r="BU105" s="1026" t="str">
        <f>IF(BT105="","",'#minDung'!HF104)</f>
        <v/>
      </c>
      <c r="BV105" s="1025"/>
      <c r="BW105" s="1026" t="str">
        <f>IF(BV105="","",'#minDung'!HN104)</f>
        <v/>
      </c>
      <c r="BX105" s="1026" t="str">
        <f>IF(BW105="","",'#minDung'!HO104)</f>
        <v/>
      </c>
      <c r="BY105" s="1025"/>
      <c r="BZ105" s="1026" t="str">
        <f>IF(BY105="","",'#minDung'!HW104)</f>
        <v/>
      </c>
      <c r="CA105" s="1026" t="str">
        <f>IF(BZ105="","",'#minDung'!HX104)</f>
        <v/>
      </c>
      <c r="CB105" s="1025"/>
      <c r="CC105" s="1026" t="str">
        <f>IF(CB105="","",'#minDung'!IF104)</f>
        <v/>
      </c>
      <c r="CD105" s="1026" t="str">
        <f>IF(CC105="","",'#minDung'!IG104)</f>
        <v/>
      </c>
      <c r="CE105" s="1025"/>
      <c r="CF105" s="1026" t="str">
        <f>IF(CE105="","",'#minDung'!IO104)</f>
        <v/>
      </c>
      <c r="CG105" s="1026" t="str">
        <f>IF(CF105="","",'#minDung'!IP104)</f>
        <v/>
      </c>
      <c r="CH105" s="1025"/>
      <c r="CI105" s="1026" t="str">
        <f>IF(CH105="","",'#minDung'!IX104)</f>
        <v/>
      </c>
      <c r="CJ105" s="1026" t="str">
        <f>IF(CI105="","",'#minDung'!IY104)</f>
        <v/>
      </c>
      <c r="CK105" s="1025"/>
      <c r="CL105" s="1026" t="str">
        <f>IF(CK105="","",'#minDung'!JG104)</f>
        <v/>
      </c>
      <c r="CM105" s="1026" t="str">
        <f>IF(CL105="","",'#minDung'!JH104)</f>
        <v/>
      </c>
      <c r="CN105" s="1025"/>
      <c r="CO105" s="1026" t="str">
        <f>IF(CN105="","",'#minDung'!JP104)</f>
        <v/>
      </c>
      <c r="CP105" s="1026" t="str">
        <f>IF(CO105="","",'#minDung'!JQ104)</f>
        <v/>
      </c>
      <c r="CQ105" s="1025"/>
      <c r="CR105" s="1026" t="str">
        <f>IF(CQ105="","",'#minDung'!JY104)</f>
        <v/>
      </c>
      <c r="CS105" s="1030" t="str">
        <f>IF(CR105="","",'#minDung'!JZ104)</f>
        <v/>
      </c>
      <c r="CT105" s="170"/>
    </row>
    <row r="106" spans="1:98" s="875" customFormat="1" ht="15" customHeight="1" x14ac:dyDescent="0.2">
      <c r="A106" s="1205">
        <f>'Flächen u. Kulturen'!A104</f>
        <v>95</v>
      </c>
      <c r="B106" s="1205" t="str">
        <f>+'org. Düngung 22'!B107</f>
        <v/>
      </c>
      <c r="C106" s="1206" t="str">
        <f>'org. Düngung 22'!C107</f>
        <v/>
      </c>
      <c r="D106" s="1197" t="str">
        <f>'org. Düngung 22'!D107</f>
        <v/>
      </c>
      <c r="E106" s="1207" t="str">
        <f>'org. Düngung 22'!E107</f>
        <v/>
      </c>
      <c r="F106" s="1199" t="str">
        <f>'org. Düngung 22'!F107</f>
        <v/>
      </c>
      <c r="G106" s="1201" t="str">
        <f>IF(C106="","",IF(COUNT('#minDung'!KF105:KJ105)=0,"OK",TRIM(CONCATENATE('#minDung'!KF105," ",'#minDung'!KG105," ",'#minDung'!KH105," ",'#minDung'!KI105," ",'#minDung'!KJ105))))</f>
        <v/>
      </c>
      <c r="H106" s="1025"/>
      <c r="I106" s="1026" t="str">
        <f>IF(H106="","",'#minDung'!X105)</f>
        <v/>
      </c>
      <c r="J106" s="1026" t="str">
        <f>IF(I106="","",'#minDung'!Y105)</f>
        <v/>
      </c>
      <c r="K106" s="1025"/>
      <c r="L106" s="1026" t="str">
        <f>IF(K106="","",'#minDung'!AG105)</f>
        <v/>
      </c>
      <c r="M106" s="1026" t="str">
        <f>IF(L106="","",'#minDung'!AH105)</f>
        <v/>
      </c>
      <c r="N106" s="1025"/>
      <c r="O106" s="1026" t="str">
        <f>IF(N106="","",'#minDung'!AP105)</f>
        <v/>
      </c>
      <c r="P106" s="1026" t="str">
        <f>IF(O106="","",'#minDung'!AQ105)</f>
        <v/>
      </c>
      <c r="Q106" s="1025"/>
      <c r="R106" s="1026" t="str">
        <f>IF(Q106="","",'#minDung'!AY105)</f>
        <v/>
      </c>
      <c r="S106" s="1026" t="str">
        <f>IF(R106="","",'#minDung'!AZ105)</f>
        <v/>
      </c>
      <c r="T106" s="1025"/>
      <c r="U106" s="1026" t="str">
        <f>IF(T106="","",'#minDung'!BH105)</f>
        <v/>
      </c>
      <c r="V106" s="1026" t="str">
        <f>IF(U106="","",'#minDung'!BI105)</f>
        <v/>
      </c>
      <c r="W106" s="1025"/>
      <c r="X106" s="1026" t="str">
        <f>IF(W106="","",'#minDung'!BQ105)</f>
        <v/>
      </c>
      <c r="Y106" s="1026" t="str">
        <f>IF(X106="","",'#minDung'!BR105)</f>
        <v/>
      </c>
      <c r="Z106" s="1025"/>
      <c r="AA106" s="1026" t="str">
        <f>IF(Z106="","",'#minDung'!BZ105)</f>
        <v/>
      </c>
      <c r="AB106" s="1026" t="str">
        <f>IF(AA106="","",'#minDung'!CA105)</f>
        <v/>
      </c>
      <c r="AC106" s="1025"/>
      <c r="AD106" s="1026" t="str">
        <f>IF(AC106="","",'#minDung'!CI105)</f>
        <v/>
      </c>
      <c r="AE106" s="1026" t="str">
        <f>IF(AD106="","",'#minDung'!CJ105)</f>
        <v/>
      </c>
      <c r="AF106" s="1025"/>
      <c r="AG106" s="1026" t="str">
        <f>IF(AF106="","",'#minDung'!CR105)</f>
        <v/>
      </c>
      <c r="AH106" s="1026" t="str">
        <f>IF(AG106="","",'#minDung'!CS105)</f>
        <v/>
      </c>
      <c r="AI106" s="1025"/>
      <c r="AJ106" s="1026" t="str">
        <f>IF(AI106="","",'#minDung'!DA105)</f>
        <v/>
      </c>
      <c r="AK106" s="1026" t="str">
        <f>IF(AJ106="","",'#minDung'!DB105)</f>
        <v/>
      </c>
      <c r="AL106" s="1025"/>
      <c r="AM106" s="1026" t="str">
        <f>IF(AL106="","",'#minDung'!DJ105)</f>
        <v/>
      </c>
      <c r="AN106" s="1026" t="str">
        <f>IF(AM106="","",'#minDung'!DK105)</f>
        <v/>
      </c>
      <c r="AO106" s="1025"/>
      <c r="AP106" s="1026" t="str">
        <f>IF(AO106="","",'#minDung'!DS105)</f>
        <v/>
      </c>
      <c r="AQ106" s="1026" t="str">
        <f>IF(AP106="","",'#minDung'!DT105)</f>
        <v/>
      </c>
      <c r="AR106" s="1025"/>
      <c r="AS106" s="1026" t="str">
        <f>IF(AR106="","",'#minDung'!EB105)</f>
        <v/>
      </c>
      <c r="AT106" s="1026" t="str">
        <f>IF(AS106="","",'#minDung'!EC105)</f>
        <v/>
      </c>
      <c r="AU106" s="1025"/>
      <c r="AV106" s="1026" t="str">
        <f>IF(AU106="","",'#minDung'!EK105)</f>
        <v/>
      </c>
      <c r="AW106" s="1026" t="str">
        <f>IF(AV106="","",'#minDung'!EL105)</f>
        <v/>
      </c>
      <c r="AX106" s="1025"/>
      <c r="AY106" s="1026" t="str">
        <f>IF(AX106="","",'#minDung'!ET105)</f>
        <v/>
      </c>
      <c r="AZ106" s="1026" t="str">
        <f>IF(AY106="","",'#minDung'!EU105)</f>
        <v/>
      </c>
      <c r="BA106" s="1025"/>
      <c r="BB106" s="1026" t="str">
        <f>IF(BA106="","",'#minDung'!FC105)</f>
        <v/>
      </c>
      <c r="BC106" s="1026" t="str">
        <f>IF(BB106="","",'#minDung'!FD105)</f>
        <v/>
      </c>
      <c r="BD106" s="1025"/>
      <c r="BE106" s="1026" t="str">
        <f>IF(BD106="","",'#minDung'!FL105)</f>
        <v/>
      </c>
      <c r="BF106" s="1026" t="str">
        <f>IF(BE106="","",'#minDung'!FM105)</f>
        <v/>
      </c>
      <c r="BG106" s="1025"/>
      <c r="BH106" s="1026" t="str">
        <f>IF(BG106="","",'#minDung'!FU105)</f>
        <v/>
      </c>
      <c r="BI106" s="1026" t="str">
        <f>IF(BH106="","",'#minDung'!FV105)</f>
        <v/>
      </c>
      <c r="BJ106" s="1025"/>
      <c r="BK106" s="1026" t="str">
        <f>IF(BJ106="","",'#minDung'!GD105)</f>
        <v/>
      </c>
      <c r="BL106" s="1026" t="str">
        <f>IF(BK106="","",'#minDung'!GE105)</f>
        <v/>
      </c>
      <c r="BM106" s="1025"/>
      <c r="BN106" s="1026" t="str">
        <f>IF(BM106="","",'#minDung'!GM105)</f>
        <v/>
      </c>
      <c r="BO106" s="1026" t="str">
        <f>IF(BN106="","",'#minDung'!GN105)</f>
        <v/>
      </c>
      <c r="BP106" s="1025"/>
      <c r="BQ106" s="1026" t="str">
        <f>IF(BP106="","",'#minDung'!GV105)</f>
        <v/>
      </c>
      <c r="BR106" s="1026" t="str">
        <f>IF(BQ106="","",'#minDung'!GW105)</f>
        <v/>
      </c>
      <c r="BS106" s="1025"/>
      <c r="BT106" s="1026" t="str">
        <f>IF(BS106="","",'#minDung'!HE105)</f>
        <v/>
      </c>
      <c r="BU106" s="1026" t="str">
        <f>IF(BT106="","",'#minDung'!HF105)</f>
        <v/>
      </c>
      <c r="BV106" s="1025"/>
      <c r="BW106" s="1026" t="str">
        <f>IF(BV106="","",'#minDung'!HN105)</f>
        <v/>
      </c>
      <c r="BX106" s="1026" t="str">
        <f>IF(BW106="","",'#minDung'!HO105)</f>
        <v/>
      </c>
      <c r="BY106" s="1025"/>
      <c r="BZ106" s="1026" t="str">
        <f>IF(BY106="","",'#minDung'!HW105)</f>
        <v/>
      </c>
      <c r="CA106" s="1026" t="str">
        <f>IF(BZ106="","",'#minDung'!HX105)</f>
        <v/>
      </c>
      <c r="CB106" s="1025"/>
      <c r="CC106" s="1026" t="str">
        <f>IF(CB106="","",'#minDung'!IF105)</f>
        <v/>
      </c>
      <c r="CD106" s="1026" t="str">
        <f>IF(CC106="","",'#minDung'!IG105)</f>
        <v/>
      </c>
      <c r="CE106" s="1025"/>
      <c r="CF106" s="1026" t="str">
        <f>IF(CE106="","",'#minDung'!IO105)</f>
        <v/>
      </c>
      <c r="CG106" s="1026" t="str">
        <f>IF(CF106="","",'#minDung'!IP105)</f>
        <v/>
      </c>
      <c r="CH106" s="1025"/>
      <c r="CI106" s="1026" t="str">
        <f>IF(CH106="","",'#minDung'!IX105)</f>
        <v/>
      </c>
      <c r="CJ106" s="1026" t="str">
        <f>IF(CI106="","",'#minDung'!IY105)</f>
        <v/>
      </c>
      <c r="CK106" s="1025"/>
      <c r="CL106" s="1026" t="str">
        <f>IF(CK106="","",'#minDung'!JG105)</f>
        <v/>
      </c>
      <c r="CM106" s="1026" t="str">
        <f>IF(CL106="","",'#minDung'!JH105)</f>
        <v/>
      </c>
      <c r="CN106" s="1025"/>
      <c r="CO106" s="1026" t="str">
        <f>IF(CN106="","",'#minDung'!JP105)</f>
        <v/>
      </c>
      <c r="CP106" s="1026" t="str">
        <f>IF(CO106="","",'#minDung'!JQ105)</f>
        <v/>
      </c>
      <c r="CQ106" s="1025"/>
      <c r="CR106" s="1026" t="str">
        <f>IF(CQ106="","",'#minDung'!JY105)</f>
        <v/>
      </c>
      <c r="CS106" s="1030" t="str">
        <f>IF(CR106="","",'#minDung'!JZ105)</f>
        <v/>
      </c>
      <c r="CT106" s="170"/>
    </row>
    <row r="107" spans="1:98" s="875" customFormat="1" ht="15" customHeight="1" x14ac:dyDescent="0.2">
      <c r="A107" s="1205">
        <f>'Flächen u. Kulturen'!A105</f>
        <v>96</v>
      </c>
      <c r="B107" s="1205" t="str">
        <f>+'org. Düngung 22'!B108</f>
        <v/>
      </c>
      <c r="C107" s="1206" t="str">
        <f>'org. Düngung 22'!C108</f>
        <v/>
      </c>
      <c r="D107" s="1197" t="str">
        <f>'org. Düngung 22'!D108</f>
        <v/>
      </c>
      <c r="E107" s="1207" t="str">
        <f>'org. Düngung 22'!E108</f>
        <v/>
      </c>
      <c r="F107" s="1199" t="str">
        <f>'org. Düngung 22'!F108</f>
        <v/>
      </c>
      <c r="G107" s="1201" t="str">
        <f>IF(C107="","",IF(COUNT('#minDung'!KF106:KJ106)=0,"OK",TRIM(CONCATENATE('#minDung'!KF106," ",'#minDung'!KG106," ",'#minDung'!KH106," ",'#minDung'!KI106," ",'#minDung'!KJ106))))</f>
        <v/>
      </c>
      <c r="H107" s="1025"/>
      <c r="I107" s="1026" t="str">
        <f>IF(H107="","",'#minDung'!X106)</f>
        <v/>
      </c>
      <c r="J107" s="1026" t="str">
        <f>IF(I107="","",'#minDung'!Y106)</f>
        <v/>
      </c>
      <c r="K107" s="1025"/>
      <c r="L107" s="1026" t="str">
        <f>IF(K107="","",'#minDung'!AG106)</f>
        <v/>
      </c>
      <c r="M107" s="1026" t="str">
        <f>IF(L107="","",'#minDung'!AH106)</f>
        <v/>
      </c>
      <c r="N107" s="1025"/>
      <c r="O107" s="1026" t="str">
        <f>IF(N107="","",'#minDung'!AP106)</f>
        <v/>
      </c>
      <c r="P107" s="1026" t="str">
        <f>IF(O107="","",'#minDung'!AQ106)</f>
        <v/>
      </c>
      <c r="Q107" s="1025"/>
      <c r="R107" s="1026" t="str">
        <f>IF(Q107="","",'#minDung'!AY106)</f>
        <v/>
      </c>
      <c r="S107" s="1026" t="str">
        <f>IF(R107="","",'#minDung'!AZ106)</f>
        <v/>
      </c>
      <c r="T107" s="1025"/>
      <c r="U107" s="1026" t="str">
        <f>IF(T107="","",'#minDung'!BH106)</f>
        <v/>
      </c>
      <c r="V107" s="1026" t="str">
        <f>IF(U107="","",'#minDung'!BI106)</f>
        <v/>
      </c>
      <c r="W107" s="1025"/>
      <c r="X107" s="1026" t="str">
        <f>IF(W107="","",'#minDung'!BQ106)</f>
        <v/>
      </c>
      <c r="Y107" s="1026" t="str">
        <f>IF(X107="","",'#minDung'!BR106)</f>
        <v/>
      </c>
      <c r="Z107" s="1025"/>
      <c r="AA107" s="1026" t="str">
        <f>IF(Z107="","",'#minDung'!BZ106)</f>
        <v/>
      </c>
      <c r="AB107" s="1026" t="str">
        <f>IF(AA107="","",'#minDung'!CA106)</f>
        <v/>
      </c>
      <c r="AC107" s="1025"/>
      <c r="AD107" s="1026" t="str">
        <f>IF(AC107="","",'#minDung'!CI106)</f>
        <v/>
      </c>
      <c r="AE107" s="1026" t="str">
        <f>IF(AD107="","",'#minDung'!CJ106)</f>
        <v/>
      </c>
      <c r="AF107" s="1025"/>
      <c r="AG107" s="1026" t="str">
        <f>IF(AF107="","",'#minDung'!CR106)</f>
        <v/>
      </c>
      <c r="AH107" s="1026" t="str">
        <f>IF(AG107="","",'#minDung'!CS106)</f>
        <v/>
      </c>
      <c r="AI107" s="1025"/>
      <c r="AJ107" s="1026" t="str">
        <f>IF(AI107="","",'#minDung'!DA106)</f>
        <v/>
      </c>
      <c r="AK107" s="1026" t="str">
        <f>IF(AJ107="","",'#minDung'!DB106)</f>
        <v/>
      </c>
      <c r="AL107" s="1025"/>
      <c r="AM107" s="1026" t="str">
        <f>IF(AL107="","",'#minDung'!DJ106)</f>
        <v/>
      </c>
      <c r="AN107" s="1026" t="str">
        <f>IF(AM107="","",'#minDung'!DK106)</f>
        <v/>
      </c>
      <c r="AO107" s="1025"/>
      <c r="AP107" s="1026" t="str">
        <f>IF(AO107="","",'#minDung'!DS106)</f>
        <v/>
      </c>
      <c r="AQ107" s="1026" t="str">
        <f>IF(AP107="","",'#minDung'!DT106)</f>
        <v/>
      </c>
      <c r="AR107" s="1025"/>
      <c r="AS107" s="1026" t="str">
        <f>IF(AR107="","",'#minDung'!EB106)</f>
        <v/>
      </c>
      <c r="AT107" s="1026" t="str">
        <f>IF(AS107="","",'#minDung'!EC106)</f>
        <v/>
      </c>
      <c r="AU107" s="1025"/>
      <c r="AV107" s="1026" t="str">
        <f>IF(AU107="","",'#minDung'!EK106)</f>
        <v/>
      </c>
      <c r="AW107" s="1026" t="str">
        <f>IF(AV107="","",'#minDung'!EL106)</f>
        <v/>
      </c>
      <c r="AX107" s="1025"/>
      <c r="AY107" s="1026" t="str">
        <f>IF(AX107="","",'#minDung'!ET106)</f>
        <v/>
      </c>
      <c r="AZ107" s="1026" t="str">
        <f>IF(AY107="","",'#minDung'!EU106)</f>
        <v/>
      </c>
      <c r="BA107" s="1025"/>
      <c r="BB107" s="1026" t="str">
        <f>IF(BA107="","",'#minDung'!FC106)</f>
        <v/>
      </c>
      <c r="BC107" s="1026" t="str">
        <f>IF(BB107="","",'#minDung'!FD106)</f>
        <v/>
      </c>
      <c r="BD107" s="1025"/>
      <c r="BE107" s="1026" t="str">
        <f>IF(BD107="","",'#minDung'!FL106)</f>
        <v/>
      </c>
      <c r="BF107" s="1026" t="str">
        <f>IF(BE107="","",'#minDung'!FM106)</f>
        <v/>
      </c>
      <c r="BG107" s="1025"/>
      <c r="BH107" s="1026" t="str">
        <f>IF(BG107="","",'#minDung'!FU106)</f>
        <v/>
      </c>
      <c r="BI107" s="1026" t="str">
        <f>IF(BH107="","",'#minDung'!FV106)</f>
        <v/>
      </c>
      <c r="BJ107" s="1025"/>
      <c r="BK107" s="1026" t="str">
        <f>IF(BJ107="","",'#minDung'!GD106)</f>
        <v/>
      </c>
      <c r="BL107" s="1026" t="str">
        <f>IF(BK107="","",'#minDung'!GE106)</f>
        <v/>
      </c>
      <c r="BM107" s="1025"/>
      <c r="BN107" s="1026" t="str">
        <f>IF(BM107="","",'#minDung'!GM106)</f>
        <v/>
      </c>
      <c r="BO107" s="1026" t="str">
        <f>IF(BN107="","",'#minDung'!GN106)</f>
        <v/>
      </c>
      <c r="BP107" s="1025"/>
      <c r="BQ107" s="1026" t="str">
        <f>IF(BP107="","",'#minDung'!GV106)</f>
        <v/>
      </c>
      <c r="BR107" s="1026" t="str">
        <f>IF(BQ107="","",'#minDung'!GW106)</f>
        <v/>
      </c>
      <c r="BS107" s="1025"/>
      <c r="BT107" s="1026" t="str">
        <f>IF(BS107="","",'#minDung'!HE106)</f>
        <v/>
      </c>
      <c r="BU107" s="1026" t="str">
        <f>IF(BT107="","",'#minDung'!HF106)</f>
        <v/>
      </c>
      <c r="BV107" s="1025"/>
      <c r="BW107" s="1026" t="str">
        <f>IF(BV107="","",'#minDung'!HN106)</f>
        <v/>
      </c>
      <c r="BX107" s="1026" t="str">
        <f>IF(BW107="","",'#minDung'!HO106)</f>
        <v/>
      </c>
      <c r="BY107" s="1025"/>
      <c r="BZ107" s="1026" t="str">
        <f>IF(BY107="","",'#minDung'!HW106)</f>
        <v/>
      </c>
      <c r="CA107" s="1026" t="str">
        <f>IF(BZ107="","",'#minDung'!HX106)</f>
        <v/>
      </c>
      <c r="CB107" s="1025"/>
      <c r="CC107" s="1026" t="str">
        <f>IF(CB107="","",'#minDung'!IF106)</f>
        <v/>
      </c>
      <c r="CD107" s="1026" t="str">
        <f>IF(CC107="","",'#minDung'!IG106)</f>
        <v/>
      </c>
      <c r="CE107" s="1025"/>
      <c r="CF107" s="1026" t="str">
        <f>IF(CE107="","",'#minDung'!IO106)</f>
        <v/>
      </c>
      <c r="CG107" s="1026" t="str">
        <f>IF(CF107="","",'#minDung'!IP106)</f>
        <v/>
      </c>
      <c r="CH107" s="1025"/>
      <c r="CI107" s="1026" t="str">
        <f>IF(CH107="","",'#minDung'!IX106)</f>
        <v/>
      </c>
      <c r="CJ107" s="1026" t="str">
        <f>IF(CI107="","",'#minDung'!IY106)</f>
        <v/>
      </c>
      <c r="CK107" s="1025"/>
      <c r="CL107" s="1026" t="str">
        <f>IF(CK107="","",'#minDung'!JG106)</f>
        <v/>
      </c>
      <c r="CM107" s="1026" t="str">
        <f>IF(CL107="","",'#minDung'!JH106)</f>
        <v/>
      </c>
      <c r="CN107" s="1025"/>
      <c r="CO107" s="1026" t="str">
        <f>IF(CN107="","",'#minDung'!JP106)</f>
        <v/>
      </c>
      <c r="CP107" s="1026" t="str">
        <f>IF(CO107="","",'#minDung'!JQ106)</f>
        <v/>
      </c>
      <c r="CQ107" s="1025"/>
      <c r="CR107" s="1026" t="str">
        <f>IF(CQ107="","",'#minDung'!JY106)</f>
        <v/>
      </c>
      <c r="CS107" s="1030" t="str">
        <f>IF(CR107="","",'#minDung'!JZ106)</f>
        <v/>
      </c>
      <c r="CT107" s="170"/>
    </row>
    <row r="108" spans="1:98" s="875" customFormat="1" ht="15" customHeight="1" x14ac:dyDescent="0.2">
      <c r="A108" s="1205">
        <f>'Flächen u. Kulturen'!A106</f>
        <v>97</v>
      </c>
      <c r="B108" s="1205" t="str">
        <f>+'org. Düngung 22'!B109</f>
        <v/>
      </c>
      <c r="C108" s="1206" t="str">
        <f>'org. Düngung 22'!C109</f>
        <v/>
      </c>
      <c r="D108" s="1197" t="str">
        <f>'org. Düngung 22'!D109</f>
        <v/>
      </c>
      <c r="E108" s="1207" t="str">
        <f>'org. Düngung 22'!E109</f>
        <v/>
      </c>
      <c r="F108" s="1199" t="str">
        <f>'org. Düngung 22'!F109</f>
        <v/>
      </c>
      <c r="G108" s="1201" t="str">
        <f>IF(C108="","",IF(COUNT('#minDung'!KF107:KJ107)=0,"OK",TRIM(CONCATENATE('#minDung'!KF107," ",'#minDung'!KG107," ",'#minDung'!KH107," ",'#minDung'!KI107," ",'#minDung'!KJ107))))</f>
        <v/>
      </c>
      <c r="H108" s="1025"/>
      <c r="I108" s="1026" t="str">
        <f>IF(H108="","",'#minDung'!X107)</f>
        <v/>
      </c>
      <c r="J108" s="1026" t="str">
        <f>IF(I108="","",'#minDung'!Y107)</f>
        <v/>
      </c>
      <c r="K108" s="1025"/>
      <c r="L108" s="1026" t="str">
        <f>IF(K108="","",'#minDung'!AG107)</f>
        <v/>
      </c>
      <c r="M108" s="1026" t="str">
        <f>IF(L108="","",'#minDung'!AH107)</f>
        <v/>
      </c>
      <c r="N108" s="1025"/>
      <c r="O108" s="1026" t="str">
        <f>IF(N108="","",'#minDung'!AP107)</f>
        <v/>
      </c>
      <c r="P108" s="1026" t="str">
        <f>IF(O108="","",'#minDung'!AQ107)</f>
        <v/>
      </c>
      <c r="Q108" s="1025"/>
      <c r="R108" s="1026" t="str">
        <f>IF(Q108="","",'#minDung'!AY107)</f>
        <v/>
      </c>
      <c r="S108" s="1026" t="str">
        <f>IF(R108="","",'#minDung'!AZ107)</f>
        <v/>
      </c>
      <c r="T108" s="1025"/>
      <c r="U108" s="1026" t="str">
        <f>IF(T108="","",'#minDung'!BH107)</f>
        <v/>
      </c>
      <c r="V108" s="1026" t="str">
        <f>IF(U108="","",'#minDung'!BI107)</f>
        <v/>
      </c>
      <c r="W108" s="1025"/>
      <c r="X108" s="1026" t="str">
        <f>IF(W108="","",'#minDung'!BQ107)</f>
        <v/>
      </c>
      <c r="Y108" s="1026" t="str">
        <f>IF(X108="","",'#minDung'!BR107)</f>
        <v/>
      </c>
      <c r="Z108" s="1025"/>
      <c r="AA108" s="1026" t="str">
        <f>IF(Z108="","",'#minDung'!BZ107)</f>
        <v/>
      </c>
      <c r="AB108" s="1026" t="str">
        <f>IF(AA108="","",'#minDung'!CA107)</f>
        <v/>
      </c>
      <c r="AC108" s="1025"/>
      <c r="AD108" s="1026" t="str">
        <f>IF(AC108="","",'#minDung'!CI107)</f>
        <v/>
      </c>
      <c r="AE108" s="1026" t="str">
        <f>IF(AD108="","",'#minDung'!CJ107)</f>
        <v/>
      </c>
      <c r="AF108" s="1025"/>
      <c r="AG108" s="1026" t="str">
        <f>IF(AF108="","",'#minDung'!CR107)</f>
        <v/>
      </c>
      <c r="AH108" s="1026" t="str">
        <f>IF(AG108="","",'#minDung'!CS107)</f>
        <v/>
      </c>
      <c r="AI108" s="1025"/>
      <c r="AJ108" s="1026" t="str">
        <f>IF(AI108="","",'#minDung'!DA107)</f>
        <v/>
      </c>
      <c r="AK108" s="1026" t="str">
        <f>IF(AJ108="","",'#minDung'!DB107)</f>
        <v/>
      </c>
      <c r="AL108" s="1025"/>
      <c r="AM108" s="1026" t="str">
        <f>IF(AL108="","",'#minDung'!DJ107)</f>
        <v/>
      </c>
      <c r="AN108" s="1026" t="str">
        <f>IF(AM108="","",'#minDung'!DK107)</f>
        <v/>
      </c>
      <c r="AO108" s="1025"/>
      <c r="AP108" s="1026" t="str">
        <f>IF(AO108="","",'#minDung'!DS107)</f>
        <v/>
      </c>
      <c r="AQ108" s="1026" t="str">
        <f>IF(AP108="","",'#minDung'!DT107)</f>
        <v/>
      </c>
      <c r="AR108" s="1025"/>
      <c r="AS108" s="1026" t="str">
        <f>IF(AR108="","",'#minDung'!EB107)</f>
        <v/>
      </c>
      <c r="AT108" s="1026" t="str">
        <f>IF(AS108="","",'#minDung'!EC107)</f>
        <v/>
      </c>
      <c r="AU108" s="1025"/>
      <c r="AV108" s="1026" t="str">
        <f>IF(AU108="","",'#minDung'!EK107)</f>
        <v/>
      </c>
      <c r="AW108" s="1026" t="str">
        <f>IF(AV108="","",'#minDung'!EL107)</f>
        <v/>
      </c>
      <c r="AX108" s="1025"/>
      <c r="AY108" s="1026" t="str">
        <f>IF(AX108="","",'#minDung'!ET107)</f>
        <v/>
      </c>
      <c r="AZ108" s="1026" t="str">
        <f>IF(AY108="","",'#minDung'!EU107)</f>
        <v/>
      </c>
      <c r="BA108" s="1025"/>
      <c r="BB108" s="1026" t="str">
        <f>IF(BA108="","",'#minDung'!FC107)</f>
        <v/>
      </c>
      <c r="BC108" s="1026" t="str">
        <f>IF(BB108="","",'#minDung'!FD107)</f>
        <v/>
      </c>
      <c r="BD108" s="1025"/>
      <c r="BE108" s="1026" t="str">
        <f>IF(BD108="","",'#minDung'!FL107)</f>
        <v/>
      </c>
      <c r="BF108" s="1026" t="str">
        <f>IF(BE108="","",'#minDung'!FM107)</f>
        <v/>
      </c>
      <c r="BG108" s="1025"/>
      <c r="BH108" s="1026" t="str">
        <f>IF(BG108="","",'#minDung'!FU107)</f>
        <v/>
      </c>
      <c r="BI108" s="1026" t="str">
        <f>IF(BH108="","",'#minDung'!FV107)</f>
        <v/>
      </c>
      <c r="BJ108" s="1025"/>
      <c r="BK108" s="1026" t="str">
        <f>IF(BJ108="","",'#minDung'!GD107)</f>
        <v/>
      </c>
      <c r="BL108" s="1026" t="str">
        <f>IF(BK108="","",'#minDung'!GE107)</f>
        <v/>
      </c>
      <c r="BM108" s="1025"/>
      <c r="BN108" s="1026" t="str">
        <f>IF(BM108="","",'#minDung'!GM107)</f>
        <v/>
      </c>
      <c r="BO108" s="1026" t="str">
        <f>IF(BN108="","",'#minDung'!GN107)</f>
        <v/>
      </c>
      <c r="BP108" s="1025"/>
      <c r="BQ108" s="1026" t="str">
        <f>IF(BP108="","",'#minDung'!GV107)</f>
        <v/>
      </c>
      <c r="BR108" s="1026" t="str">
        <f>IF(BQ108="","",'#minDung'!GW107)</f>
        <v/>
      </c>
      <c r="BS108" s="1025"/>
      <c r="BT108" s="1026" t="str">
        <f>IF(BS108="","",'#minDung'!HE107)</f>
        <v/>
      </c>
      <c r="BU108" s="1026" t="str">
        <f>IF(BT108="","",'#minDung'!HF107)</f>
        <v/>
      </c>
      <c r="BV108" s="1025"/>
      <c r="BW108" s="1026" t="str">
        <f>IF(BV108="","",'#minDung'!HN107)</f>
        <v/>
      </c>
      <c r="BX108" s="1026" t="str">
        <f>IF(BW108="","",'#minDung'!HO107)</f>
        <v/>
      </c>
      <c r="BY108" s="1025"/>
      <c r="BZ108" s="1026" t="str">
        <f>IF(BY108="","",'#minDung'!HW107)</f>
        <v/>
      </c>
      <c r="CA108" s="1026" t="str">
        <f>IF(BZ108="","",'#minDung'!HX107)</f>
        <v/>
      </c>
      <c r="CB108" s="1025"/>
      <c r="CC108" s="1026" t="str">
        <f>IF(CB108="","",'#minDung'!IF107)</f>
        <v/>
      </c>
      <c r="CD108" s="1026" t="str">
        <f>IF(CC108="","",'#minDung'!IG107)</f>
        <v/>
      </c>
      <c r="CE108" s="1025"/>
      <c r="CF108" s="1026" t="str">
        <f>IF(CE108="","",'#minDung'!IO107)</f>
        <v/>
      </c>
      <c r="CG108" s="1026" t="str">
        <f>IF(CF108="","",'#minDung'!IP107)</f>
        <v/>
      </c>
      <c r="CH108" s="1025"/>
      <c r="CI108" s="1026" t="str">
        <f>IF(CH108="","",'#minDung'!IX107)</f>
        <v/>
      </c>
      <c r="CJ108" s="1026" t="str">
        <f>IF(CI108="","",'#minDung'!IY107)</f>
        <v/>
      </c>
      <c r="CK108" s="1025"/>
      <c r="CL108" s="1026" t="str">
        <f>IF(CK108="","",'#minDung'!JG107)</f>
        <v/>
      </c>
      <c r="CM108" s="1026" t="str">
        <f>IF(CL108="","",'#minDung'!JH107)</f>
        <v/>
      </c>
      <c r="CN108" s="1025"/>
      <c r="CO108" s="1026" t="str">
        <f>IF(CN108="","",'#minDung'!JP107)</f>
        <v/>
      </c>
      <c r="CP108" s="1026" t="str">
        <f>IF(CO108="","",'#minDung'!JQ107)</f>
        <v/>
      </c>
      <c r="CQ108" s="1025"/>
      <c r="CR108" s="1026" t="str">
        <f>IF(CQ108="","",'#minDung'!JY107)</f>
        <v/>
      </c>
      <c r="CS108" s="1030" t="str">
        <f>IF(CR108="","",'#minDung'!JZ107)</f>
        <v/>
      </c>
      <c r="CT108" s="170"/>
    </row>
    <row r="109" spans="1:98" s="875" customFormat="1" ht="15" customHeight="1" x14ac:dyDescent="0.2">
      <c r="A109" s="1205">
        <f>'Flächen u. Kulturen'!A107</f>
        <v>98</v>
      </c>
      <c r="B109" s="1205" t="str">
        <f>+'org. Düngung 22'!B110</f>
        <v/>
      </c>
      <c r="C109" s="1206" t="str">
        <f>'org. Düngung 22'!C110</f>
        <v/>
      </c>
      <c r="D109" s="1197" t="str">
        <f>'org. Düngung 22'!D110</f>
        <v/>
      </c>
      <c r="E109" s="1207" t="str">
        <f>'org. Düngung 22'!E110</f>
        <v/>
      </c>
      <c r="F109" s="1199" t="str">
        <f>'org. Düngung 22'!F110</f>
        <v/>
      </c>
      <c r="G109" s="1201" t="str">
        <f>IF(C109="","",IF(COUNT('#minDung'!KF108:KJ108)=0,"OK",TRIM(CONCATENATE('#minDung'!KF108," ",'#minDung'!KG108," ",'#minDung'!KH108," ",'#minDung'!KI108," ",'#minDung'!KJ108))))</f>
        <v/>
      </c>
      <c r="H109" s="1025"/>
      <c r="I109" s="1026" t="str">
        <f>IF(H109="","",'#minDung'!X108)</f>
        <v/>
      </c>
      <c r="J109" s="1026" t="str">
        <f>IF(I109="","",'#minDung'!Y108)</f>
        <v/>
      </c>
      <c r="K109" s="1025"/>
      <c r="L109" s="1026" t="str">
        <f>IF(K109="","",'#minDung'!AG108)</f>
        <v/>
      </c>
      <c r="M109" s="1026" t="str">
        <f>IF(L109="","",'#minDung'!AH108)</f>
        <v/>
      </c>
      <c r="N109" s="1025"/>
      <c r="O109" s="1026" t="str">
        <f>IF(N109="","",'#minDung'!AP108)</f>
        <v/>
      </c>
      <c r="P109" s="1026" t="str">
        <f>IF(O109="","",'#minDung'!AQ108)</f>
        <v/>
      </c>
      <c r="Q109" s="1025"/>
      <c r="R109" s="1026" t="str">
        <f>IF(Q109="","",'#minDung'!AY108)</f>
        <v/>
      </c>
      <c r="S109" s="1026" t="str">
        <f>IF(R109="","",'#minDung'!AZ108)</f>
        <v/>
      </c>
      <c r="T109" s="1025"/>
      <c r="U109" s="1026" t="str">
        <f>IF(T109="","",'#minDung'!BH108)</f>
        <v/>
      </c>
      <c r="V109" s="1026" t="str">
        <f>IF(U109="","",'#minDung'!BI108)</f>
        <v/>
      </c>
      <c r="W109" s="1025"/>
      <c r="X109" s="1026" t="str">
        <f>IF(W109="","",'#minDung'!BQ108)</f>
        <v/>
      </c>
      <c r="Y109" s="1026" t="str">
        <f>IF(X109="","",'#minDung'!BR108)</f>
        <v/>
      </c>
      <c r="Z109" s="1025"/>
      <c r="AA109" s="1026" t="str">
        <f>IF(Z109="","",'#minDung'!BZ108)</f>
        <v/>
      </c>
      <c r="AB109" s="1026" t="str">
        <f>IF(AA109="","",'#minDung'!CA108)</f>
        <v/>
      </c>
      <c r="AC109" s="1025"/>
      <c r="AD109" s="1026" t="str">
        <f>IF(AC109="","",'#minDung'!CI108)</f>
        <v/>
      </c>
      <c r="AE109" s="1026" t="str">
        <f>IF(AD109="","",'#minDung'!CJ108)</f>
        <v/>
      </c>
      <c r="AF109" s="1025"/>
      <c r="AG109" s="1026" t="str">
        <f>IF(AF109="","",'#minDung'!CR108)</f>
        <v/>
      </c>
      <c r="AH109" s="1026" t="str">
        <f>IF(AG109="","",'#minDung'!CS108)</f>
        <v/>
      </c>
      <c r="AI109" s="1025"/>
      <c r="AJ109" s="1026" t="str">
        <f>IF(AI109="","",'#minDung'!DA108)</f>
        <v/>
      </c>
      <c r="AK109" s="1026" t="str">
        <f>IF(AJ109="","",'#minDung'!DB108)</f>
        <v/>
      </c>
      <c r="AL109" s="1025"/>
      <c r="AM109" s="1026" t="str">
        <f>IF(AL109="","",'#minDung'!DJ108)</f>
        <v/>
      </c>
      <c r="AN109" s="1026" t="str">
        <f>IF(AM109="","",'#minDung'!DK108)</f>
        <v/>
      </c>
      <c r="AO109" s="1025"/>
      <c r="AP109" s="1026" t="str">
        <f>IF(AO109="","",'#minDung'!DS108)</f>
        <v/>
      </c>
      <c r="AQ109" s="1026" t="str">
        <f>IF(AP109="","",'#minDung'!DT108)</f>
        <v/>
      </c>
      <c r="AR109" s="1025"/>
      <c r="AS109" s="1026" t="str">
        <f>IF(AR109="","",'#minDung'!EB108)</f>
        <v/>
      </c>
      <c r="AT109" s="1026" t="str">
        <f>IF(AS109="","",'#minDung'!EC108)</f>
        <v/>
      </c>
      <c r="AU109" s="1025"/>
      <c r="AV109" s="1026" t="str">
        <f>IF(AU109="","",'#minDung'!EK108)</f>
        <v/>
      </c>
      <c r="AW109" s="1026" t="str">
        <f>IF(AV109="","",'#minDung'!EL108)</f>
        <v/>
      </c>
      <c r="AX109" s="1025"/>
      <c r="AY109" s="1026" t="str">
        <f>IF(AX109="","",'#minDung'!ET108)</f>
        <v/>
      </c>
      <c r="AZ109" s="1026" t="str">
        <f>IF(AY109="","",'#minDung'!EU108)</f>
        <v/>
      </c>
      <c r="BA109" s="1025"/>
      <c r="BB109" s="1026" t="str">
        <f>IF(BA109="","",'#minDung'!FC108)</f>
        <v/>
      </c>
      <c r="BC109" s="1026" t="str">
        <f>IF(BB109="","",'#minDung'!FD108)</f>
        <v/>
      </c>
      <c r="BD109" s="1025"/>
      <c r="BE109" s="1026" t="str">
        <f>IF(BD109="","",'#minDung'!FL108)</f>
        <v/>
      </c>
      <c r="BF109" s="1026" t="str">
        <f>IF(BE109="","",'#minDung'!FM108)</f>
        <v/>
      </c>
      <c r="BG109" s="1025"/>
      <c r="BH109" s="1026" t="str">
        <f>IF(BG109="","",'#minDung'!FU108)</f>
        <v/>
      </c>
      <c r="BI109" s="1026" t="str">
        <f>IF(BH109="","",'#minDung'!FV108)</f>
        <v/>
      </c>
      <c r="BJ109" s="1025"/>
      <c r="BK109" s="1026" t="str">
        <f>IF(BJ109="","",'#minDung'!GD108)</f>
        <v/>
      </c>
      <c r="BL109" s="1026" t="str">
        <f>IF(BK109="","",'#minDung'!GE108)</f>
        <v/>
      </c>
      <c r="BM109" s="1025"/>
      <c r="BN109" s="1026" t="str">
        <f>IF(BM109="","",'#minDung'!GM108)</f>
        <v/>
      </c>
      <c r="BO109" s="1026" t="str">
        <f>IF(BN109="","",'#minDung'!GN108)</f>
        <v/>
      </c>
      <c r="BP109" s="1025"/>
      <c r="BQ109" s="1026" t="str">
        <f>IF(BP109="","",'#minDung'!GV108)</f>
        <v/>
      </c>
      <c r="BR109" s="1026" t="str">
        <f>IF(BQ109="","",'#minDung'!GW108)</f>
        <v/>
      </c>
      <c r="BS109" s="1025"/>
      <c r="BT109" s="1026" t="str">
        <f>IF(BS109="","",'#minDung'!HE108)</f>
        <v/>
      </c>
      <c r="BU109" s="1026" t="str">
        <f>IF(BT109="","",'#minDung'!HF108)</f>
        <v/>
      </c>
      <c r="BV109" s="1025"/>
      <c r="BW109" s="1026" t="str">
        <f>IF(BV109="","",'#minDung'!HN108)</f>
        <v/>
      </c>
      <c r="BX109" s="1026" t="str">
        <f>IF(BW109="","",'#minDung'!HO108)</f>
        <v/>
      </c>
      <c r="BY109" s="1025"/>
      <c r="BZ109" s="1026" t="str">
        <f>IF(BY109="","",'#minDung'!HW108)</f>
        <v/>
      </c>
      <c r="CA109" s="1026" t="str">
        <f>IF(BZ109="","",'#minDung'!HX108)</f>
        <v/>
      </c>
      <c r="CB109" s="1025"/>
      <c r="CC109" s="1026" t="str">
        <f>IF(CB109="","",'#minDung'!IF108)</f>
        <v/>
      </c>
      <c r="CD109" s="1026" t="str">
        <f>IF(CC109="","",'#minDung'!IG108)</f>
        <v/>
      </c>
      <c r="CE109" s="1025"/>
      <c r="CF109" s="1026" t="str">
        <f>IF(CE109="","",'#minDung'!IO108)</f>
        <v/>
      </c>
      <c r="CG109" s="1026" t="str">
        <f>IF(CF109="","",'#minDung'!IP108)</f>
        <v/>
      </c>
      <c r="CH109" s="1025"/>
      <c r="CI109" s="1026" t="str">
        <f>IF(CH109="","",'#minDung'!IX108)</f>
        <v/>
      </c>
      <c r="CJ109" s="1026" t="str">
        <f>IF(CI109="","",'#minDung'!IY108)</f>
        <v/>
      </c>
      <c r="CK109" s="1025"/>
      <c r="CL109" s="1026" t="str">
        <f>IF(CK109="","",'#minDung'!JG108)</f>
        <v/>
      </c>
      <c r="CM109" s="1026" t="str">
        <f>IF(CL109="","",'#minDung'!JH108)</f>
        <v/>
      </c>
      <c r="CN109" s="1025"/>
      <c r="CO109" s="1026" t="str">
        <f>IF(CN109="","",'#minDung'!JP108)</f>
        <v/>
      </c>
      <c r="CP109" s="1026" t="str">
        <f>IF(CO109="","",'#minDung'!JQ108)</f>
        <v/>
      </c>
      <c r="CQ109" s="1025"/>
      <c r="CR109" s="1026" t="str">
        <f>IF(CQ109="","",'#minDung'!JY108)</f>
        <v/>
      </c>
      <c r="CS109" s="1030" t="str">
        <f>IF(CR109="","",'#minDung'!JZ108)</f>
        <v/>
      </c>
      <c r="CT109" s="170"/>
    </row>
    <row r="110" spans="1:98" s="875" customFormat="1" ht="15" customHeight="1" x14ac:dyDescent="0.2">
      <c r="A110" s="1205">
        <f>'Flächen u. Kulturen'!A108</f>
        <v>99</v>
      </c>
      <c r="B110" s="1205" t="str">
        <f>+'org. Düngung 22'!B111</f>
        <v/>
      </c>
      <c r="C110" s="1206" t="str">
        <f>'org. Düngung 22'!C111</f>
        <v/>
      </c>
      <c r="D110" s="1197" t="str">
        <f>'org. Düngung 22'!D111</f>
        <v/>
      </c>
      <c r="E110" s="1207" t="str">
        <f>'org. Düngung 22'!E111</f>
        <v/>
      </c>
      <c r="F110" s="1199" t="str">
        <f>'org. Düngung 22'!F111</f>
        <v/>
      </c>
      <c r="G110" s="1201" t="str">
        <f>IF(C110="","",IF(COUNT('#minDung'!KF109:KJ109)=0,"OK",TRIM(CONCATENATE('#minDung'!KF109," ",'#minDung'!KG109," ",'#minDung'!KH109," ",'#minDung'!KI109," ",'#minDung'!KJ109))))</f>
        <v/>
      </c>
      <c r="H110" s="1025"/>
      <c r="I110" s="1026" t="str">
        <f>IF(H110="","",'#minDung'!X109)</f>
        <v/>
      </c>
      <c r="J110" s="1026" t="str">
        <f>IF(I110="","",'#minDung'!Y109)</f>
        <v/>
      </c>
      <c r="K110" s="1025"/>
      <c r="L110" s="1026" t="str">
        <f>IF(K110="","",'#minDung'!AG109)</f>
        <v/>
      </c>
      <c r="M110" s="1026" t="str">
        <f>IF(L110="","",'#minDung'!AH109)</f>
        <v/>
      </c>
      <c r="N110" s="1025"/>
      <c r="O110" s="1026" t="str">
        <f>IF(N110="","",'#minDung'!AP109)</f>
        <v/>
      </c>
      <c r="P110" s="1026" t="str">
        <f>IF(O110="","",'#minDung'!AQ109)</f>
        <v/>
      </c>
      <c r="Q110" s="1025"/>
      <c r="R110" s="1026" t="str">
        <f>IF(Q110="","",'#minDung'!AY109)</f>
        <v/>
      </c>
      <c r="S110" s="1026" t="str">
        <f>IF(R110="","",'#minDung'!AZ109)</f>
        <v/>
      </c>
      <c r="T110" s="1025"/>
      <c r="U110" s="1026" t="str">
        <f>IF(T110="","",'#minDung'!BH109)</f>
        <v/>
      </c>
      <c r="V110" s="1026" t="str">
        <f>IF(U110="","",'#minDung'!BI109)</f>
        <v/>
      </c>
      <c r="W110" s="1025"/>
      <c r="X110" s="1026" t="str">
        <f>IF(W110="","",'#minDung'!BQ109)</f>
        <v/>
      </c>
      <c r="Y110" s="1026" t="str">
        <f>IF(X110="","",'#minDung'!BR109)</f>
        <v/>
      </c>
      <c r="Z110" s="1025"/>
      <c r="AA110" s="1026" t="str">
        <f>IF(Z110="","",'#minDung'!BZ109)</f>
        <v/>
      </c>
      <c r="AB110" s="1026" t="str">
        <f>IF(AA110="","",'#minDung'!CA109)</f>
        <v/>
      </c>
      <c r="AC110" s="1025"/>
      <c r="AD110" s="1026" t="str">
        <f>IF(AC110="","",'#minDung'!CI109)</f>
        <v/>
      </c>
      <c r="AE110" s="1026" t="str">
        <f>IF(AD110="","",'#minDung'!CJ109)</f>
        <v/>
      </c>
      <c r="AF110" s="1025"/>
      <c r="AG110" s="1026" t="str">
        <f>IF(AF110="","",'#minDung'!CR109)</f>
        <v/>
      </c>
      <c r="AH110" s="1026" t="str">
        <f>IF(AG110="","",'#minDung'!CS109)</f>
        <v/>
      </c>
      <c r="AI110" s="1025"/>
      <c r="AJ110" s="1026" t="str">
        <f>IF(AI110="","",'#minDung'!DA109)</f>
        <v/>
      </c>
      <c r="AK110" s="1026" t="str">
        <f>IF(AJ110="","",'#minDung'!DB109)</f>
        <v/>
      </c>
      <c r="AL110" s="1025"/>
      <c r="AM110" s="1026" t="str">
        <f>IF(AL110="","",'#minDung'!DJ109)</f>
        <v/>
      </c>
      <c r="AN110" s="1026" t="str">
        <f>IF(AM110="","",'#minDung'!DK109)</f>
        <v/>
      </c>
      <c r="AO110" s="1025"/>
      <c r="AP110" s="1026" t="str">
        <f>IF(AO110="","",'#minDung'!DS109)</f>
        <v/>
      </c>
      <c r="AQ110" s="1026" t="str">
        <f>IF(AP110="","",'#minDung'!DT109)</f>
        <v/>
      </c>
      <c r="AR110" s="1025"/>
      <c r="AS110" s="1026" t="str">
        <f>IF(AR110="","",'#minDung'!EB109)</f>
        <v/>
      </c>
      <c r="AT110" s="1026" t="str">
        <f>IF(AS110="","",'#minDung'!EC109)</f>
        <v/>
      </c>
      <c r="AU110" s="1025"/>
      <c r="AV110" s="1026" t="str">
        <f>IF(AU110="","",'#minDung'!EK109)</f>
        <v/>
      </c>
      <c r="AW110" s="1026" t="str">
        <f>IF(AV110="","",'#minDung'!EL109)</f>
        <v/>
      </c>
      <c r="AX110" s="1025"/>
      <c r="AY110" s="1026" t="str">
        <f>IF(AX110="","",'#minDung'!ET109)</f>
        <v/>
      </c>
      <c r="AZ110" s="1026" t="str">
        <f>IF(AY110="","",'#minDung'!EU109)</f>
        <v/>
      </c>
      <c r="BA110" s="1025"/>
      <c r="BB110" s="1026" t="str">
        <f>IF(BA110="","",'#minDung'!FC109)</f>
        <v/>
      </c>
      <c r="BC110" s="1026" t="str">
        <f>IF(BB110="","",'#minDung'!FD109)</f>
        <v/>
      </c>
      <c r="BD110" s="1025"/>
      <c r="BE110" s="1026" t="str">
        <f>IF(BD110="","",'#minDung'!FL109)</f>
        <v/>
      </c>
      <c r="BF110" s="1026" t="str">
        <f>IF(BE110="","",'#minDung'!FM109)</f>
        <v/>
      </c>
      <c r="BG110" s="1025"/>
      <c r="BH110" s="1026" t="str">
        <f>IF(BG110="","",'#minDung'!FU109)</f>
        <v/>
      </c>
      <c r="BI110" s="1026" t="str">
        <f>IF(BH110="","",'#minDung'!FV109)</f>
        <v/>
      </c>
      <c r="BJ110" s="1025"/>
      <c r="BK110" s="1026" t="str">
        <f>IF(BJ110="","",'#minDung'!GD109)</f>
        <v/>
      </c>
      <c r="BL110" s="1026" t="str">
        <f>IF(BK110="","",'#minDung'!GE109)</f>
        <v/>
      </c>
      <c r="BM110" s="1025"/>
      <c r="BN110" s="1026" t="str">
        <f>IF(BM110="","",'#minDung'!GM109)</f>
        <v/>
      </c>
      <c r="BO110" s="1026" t="str">
        <f>IF(BN110="","",'#minDung'!GN109)</f>
        <v/>
      </c>
      <c r="BP110" s="1025"/>
      <c r="BQ110" s="1026" t="str">
        <f>IF(BP110="","",'#minDung'!GV109)</f>
        <v/>
      </c>
      <c r="BR110" s="1026" t="str">
        <f>IF(BQ110="","",'#minDung'!GW109)</f>
        <v/>
      </c>
      <c r="BS110" s="1025"/>
      <c r="BT110" s="1026" t="str">
        <f>IF(BS110="","",'#minDung'!HE109)</f>
        <v/>
      </c>
      <c r="BU110" s="1026" t="str">
        <f>IF(BT110="","",'#minDung'!HF109)</f>
        <v/>
      </c>
      <c r="BV110" s="1025"/>
      <c r="BW110" s="1026" t="str">
        <f>IF(BV110="","",'#minDung'!HN109)</f>
        <v/>
      </c>
      <c r="BX110" s="1026" t="str">
        <f>IF(BW110="","",'#minDung'!HO109)</f>
        <v/>
      </c>
      <c r="BY110" s="1025"/>
      <c r="BZ110" s="1026" t="str">
        <f>IF(BY110="","",'#minDung'!HW109)</f>
        <v/>
      </c>
      <c r="CA110" s="1026" t="str">
        <f>IF(BZ110="","",'#minDung'!HX109)</f>
        <v/>
      </c>
      <c r="CB110" s="1025"/>
      <c r="CC110" s="1026" t="str">
        <f>IF(CB110="","",'#minDung'!IF109)</f>
        <v/>
      </c>
      <c r="CD110" s="1026" t="str">
        <f>IF(CC110="","",'#minDung'!IG109)</f>
        <v/>
      </c>
      <c r="CE110" s="1025"/>
      <c r="CF110" s="1026" t="str">
        <f>IF(CE110="","",'#minDung'!IO109)</f>
        <v/>
      </c>
      <c r="CG110" s="1026" t="str">
        <f>IF(CF110="","",'#minDung'!IP109)</f>
        <v/>
      </c>
      <c r="CH110" s="1025"/>
      <c r="CI110" s="1026" t="str">
        <f>IF(CH110="","",'#minDung'!IX109)</f>
        <v/>
      </c>
      <c r="CJ110" s="1026" t="str">
        <f>IF(CI110="","",'#minDung'!IY109)</f>
        <v/>
      </c>
      <c r="CK110" s="1025"/>
      <c r="CL110" s="1026" t="str">
        <f>IF(CK110="","",'#minDung'!JG109)</f>
        <v/>
      </c>
      <c r="CM110" s="1026" t="str">
        <f>IF(CL110="","",'#minDung'!JH109)</f>
        <v/>
      </c>
      <c r="CN110" s="1025"/>
      <c r="CO110" s="1026" t="str">
        <f>IF(CN110="","",'#minDung'!JP109)</f>
        <v/>
      </c>
      <c r="CP110" s="1026" t="str">
        <f>IF(CO110="","",'#minDung'!JQ109)</f>
        <v/>
      </c>
      <c r="CQ110" s="1025"/>
      <c r="CR110" s="1026" t="str">
        <f>IF(CQ110="","",'#minDung'!JY109)</f>
        <v/>
      </c>
      <c r="CS110" s="1030" t="str">
        <f>IF(CR110="","",'#minDung'!JZ109)</f>
        <v/>
      </c>
      <c r="CT110" s="170"/>
    </row>
    <row r="111" spans="1:98" s="875" customFormat="1" ht="15" customHeight="1" x14ac:dyDescent="0.2">
      <c r="A111" s="1208">
        <f>'Flächen u. Kulturen'!A109</f>
        <v>100</v>
      </c>
      <c r="B111" s="1205" t="str">
        <f>+'org. Düngung 22'!B112</f>
        <v/>
      </c>
      <c r="C111" s="1206" t="str">
        <f>'org. Düngung 22'!C112</f>
        <v/>
      </c>
      <c r="D111" s="1197" t="str">
        <f>'org. Düngung 22'!D112</f>
        <v/>
      </c>
      <c r="E111" s="1207" t="str">
        <f>'org. Düngung 22'!E112</f>
        <v/>
      </c>
      <c r="F111" s="1199" t="str">
        <f>'org. Düngung 22'!F112</f>
        <v/>
      </c>
      <c r="G111" s="1201" t="str">
        <f>IF(C111="","",IF(COUNT('#minDung'!KF110:KJ110)=0,"OK",TRIM(CONCATENATE('#minDung'!KF110," ",'#minDung'!KG110," ",'#minDung'!KH110," ",'#minDung'!KI110," ",'#minDung'!KJ110))))</f>
        <v/>
      </c>
      <c r="H111" s="1025"/>
      <c r="I111" s="1026" t="str">
        <f>IF(H111="","",'#minDung'!X110)</f>
        <v/>
      </c>
      <c r="J111" s="1026" t="str">
        <f>IF(I111="","",'#minDung'!Y110)</f>
        <v/>
      </c>
      <c r="K111" s="1025"/>
      <c r="L111" s="1026" t="str">
        <f>IF(K111="","",'#minDung'!AG110)</f>
        <v/>
      </c>
      <c r="M111" s="1026" t="str">
        <f>IF(L111="","",'#minDung'!AH110)</f>
        <v/>
      </c>
      <c r="N111" s="1025"/>
      <c r="O111" s="1026" t="str">
        <f>IF(N111="","",'#minDung'!AP110)</f>
        <v/>
      </c>
      <c r="P111" s="1026" t="str">
        <f>IF(O111="","",'#minDung'!AQ110)</f>
        <v/>
      </c>
      <c r="Q111" s="1025"/>
      <c r="R111" s="1026" t="str">
        <f>IF(Q111="","",'#minDung'!AY110)</f>
        <v/>
      </c>
      <c r="S111" s="1026" t="str">
        <f>IF(R111="","",'#minDung'!AZ110)</f>
        <v/>
      </c>
      <c r="T111" s="1025"/>
      <c r="U111" s="1026" t="str">
        <f>IF(T111="","",'#minDung'!BH110)</f>
        <v/>
      </c>
      <c r="V111" s="1026" t="str">
        <f>IF(U111="","",'#minDung'!BI110)</f>
        <v/>
      </c>
      <c r="W111" s="1025"/>
      <c r="X111" s="1026" t="str">
        <f>IF(W111="","",'#minDung'!BQ110)</f>
        <v/>
      </c>
      <c r="Y111" s="1026" t="str">
        <f>IF(X111="","",'#minDung'!BR110)</f>
        <v/>
      </c>
      <c r="Z111" s="1025"/>
      <c r="AA111" s="1026" t="str">
        <f>IF(Z111="","",'#minDung'!BZ110)</f>
        <v/>
      </c>
      <c r="AB111" s="1026" t="str">
        <f>IF(AA111="","",'#minDung'!CA110)</f>
        <v/>
      </c>
      <c r="AC111" s="1025"/>
      <c r="AD111" s="1026" t="str">
        <f>IF(AC111="","",'#minDung'!CI110)</f>
        <v/>
      </c>
      <c r="AE111" s="1026" t="str">
        <f>IF(AD111="","",'#minDung'!CJ110)</f>
        <v/>
      </c>
      <c r="AF111" s="1025"/>
      <c r="AG111" s="1026" t="str">
        <f>IF(AF111="","",'#minDung'!CR110)</f>
        <v/>
      </c>
      <c r="AH111" s="1026" t="str">
        <f>IF(AG111="","",'#minDung'!CS110)</f>
        <v/>
      </c>
      <c r="AI111" s="1025"/>
      <c r="AJ111" s="1026" t="str">
        <f>IF(AI111="","",'#minDung'!DA110)</f>
        <v/>
      </c>
      <c r="AK111" s="1026" t="str">
        <f>IF(AJ111="","",'#minDung'!DB110)</f>
        <v/>
      </c>
      <c r="AL111" s="1025"/>
      <c r="AM111" s="1026" t="str">
        <f>IF(AL111="","",'#minDung'!DJ110)</f>
        <v/>
      </c>
      <c r="AN111" s="1026" t="str">
        <f>IF(AM111="","",'#minDung'!DK110)</f>
        <v/>
      </c>
      <c r="AO111" s="1025"/>
      <c r="AP111" s="1026" t="str">
        <f>IF(AO111="","",'#minDung'!DS110)</f>
        <v/>
      </c>
      <c r="AQ111" s="1026" t="str">
        <f>IF(AP111="","",'#minDung'!DT110)</f>
        <v/>
      </c>
      <c r="AR111" s="1025"/>
      <c r="AS111" s="1026" t="str">
        <f>IF(AR111="","",'#minDung'!EB110)</f>
        <v/>
      </c>
      <c r="AT111" s="1026" t="str">
        <f>IF(AS111="","",'#minDung'!EC110)</f>
        <v/>
      </c>
      <c r="AU111" s="1025"/>
      <c r="AV111" s="1026" t="str">
        <f>IF(AU111="","",'#minDung'!EK110)</f>
        <v/>
      </c>
      <c r="AW111" s="1026" t="str">
        <f>IF(AV111="","",'#minDung'!EL110)</f>
        <v/>
      </c>
      <c r="AX111" s="1025"/>
      <c r="AY111" s="1026" t="str">
        <f>IF(AX111="","",'#minDung'!ET110)</f>
        <v/>
      </c>
      <c r="AZ111" s="1026" t="str">
        <f>IF(AY111="","",'#minDung'!EU110)</f>
        <v/>
      </c>
      <c r="BA111" s="1025"/>
      <c r="BB111" s="1026" t="str">
        <f>IF(BA111="","",'#minDung'!FC110)</f>
        <v/>
      </c>
      <c r="BC111" s="1026" t="str">
        <f>IF(BB111="","",'#minDung'!FD110)</f>
        <v/>
      </c>
      <c r="BD111" s="1025"/>
      <c r="BE111" s="1026" t="str">
        <f>IF(BD111="","",'#minDung'!FL110)</f>
        <v/>
      </c>
      <c r="BF111" s="1026" t="str">
        <f>IF(BE111="","",'#minDung'!FM110)</f>
        <v/>
      </c>
      <c r="BG111" s="1025"/>
      <c r="BH111" s="1026" t="str">
        <f>IF(BG111="","",'#minDung'!FU110)</f>
        <v/>
      </c>
      <c r="BI111" s="1026" t="str">
        <f>IF(BH111="","",'#minDung'!FV110)</f>
        <v/>
      </c>
      <c r="BJ111" s="1025"/>
      <c r="BK111" s="1026" t="str">
        <f>IF(BJ111="","",'#minDung'!GD110)</f>
        <v/>
      </c>
      <c r="BL111" s="1026" t="str">
        <f>IF(BK111="","",'#minDung'!GE110)</f>
        <v/>
      </c>
      <c r="BM111" s="1025"/>
      <c r="BN111" s="1026" t="str">
        <f>IF(BM111="","",'#minDung'!GM110)</f>
        <v/>
      </c>
      <c r="BO111" s="1026" t="str">
        <f>IF(BN111="","",'#minDung'!GN110)</f>
        <v/>
      </c>
      <c r="BP111" s="1025"/>
      <c r="BQ111" s="1026" t="str">
        <f>IF(BP111="","",'#minDung'!GV110)</f>
        <v/>
      </c>
      <c r="BR111" s="1026" t="str">
        <f>IF(BQ111="","",'#minDung'!GW110)</f>
        <v/>
      </c>
      <c r="BS111" s="1025"/>
      <c r="BT111" s="1026" t="str">
        <f>IF(BS111="","",'#minDung'!HE110)</f>
        <v/>
      </c>
      <c r="BU111" s="1026" t="str">
        <f>IF(BT111="","",'#minDung'!HF110)</f>
        <v/>
      </c>
      <c r="BV111" s="1025"/>
      <c r="BW111" s="1026" t="str">
        <f>IF(BV111="","",'#minDung'!HN110)</f>
        <v/>
      </c>
      <c r="BX111" s="1026" t="str">
        <f>IF(BW111="","",'#minDung'!HO110)</f>
        <v/>
      </c>
      <c r="BY111" s="1025"/>
      <c r="BZ111" s="1026" t="str">
        <f>IF(BY111="","",'#minDung'!HW110)</f>
        <v/>
      </c>
      <c r="CA111" s="1026" t="str">
        <f>IF(BZ111="","",'#minDung'!HX110)</f>
        <v/>
      </c>
      <c r="CB111" s="1025"/>
      <c r="CC111" s="1026" t="str">
        <f>IF(CB111="","",'#minDung'!IF110)</f>
        <v/>
      </c>
      <c r="CD111" s="1026" t="str">
        <f>IF(CC111="","",'#minDung'!IG110)</f>
        <v/>
      </c>
      <c r="CE111" s="1025"/>
      <c r="CF111" s="1026" t="str">
        <f>IF(CE111="","",'#minDung'!IO110)</f>
        <v/>
      </c>
      <c r="CG111" s="1026" t="str">
        <f>IF(CF111="","",'#minDung'!IP110)</f>
        <v/>
      </c>
      <c r="CH111" s="1025"/>
      <c r="CI111" s="1026" t="str">
        <f>IF(CH111="","",'#minDung'!IX110)</f>
        <v/>
      </c>
      <c r="CJ111" s="1026" t="str">
        <f>IF(CI111="","",'#minDung'!IY110)</f>
        <v/>
      </c>
      <c r="CK111" s="1025"/>
      <c r="CL111" s="1026" t="str">
        <f>IF(CK111="","",'#minDung'!JG110)</f>
        <v/>
      </c>
      <c r="CM111" s="1026" t="str">
        <f>IF(CL111="","",'#minDung'!JH110)</f>
        <v/>
      </c>
      <c r="CN111" s="1025"/>
      <c r="CO111" s="1026" t="str">
        <f>IF(CN111="","",'#minDung'!JP110)</f>
        <v/>
      </c>
      <c r="CP111" s="1026" t="str">
        <f>IF(CO111="","",'#minDung'!JQ110)</f>
        <v/>
      </c>
      <c r="CQ111" s="1025"/>
      <c r="CR111" s="1026" t="str">
        <f>IF(CQ111="","",'#minDung'!JY110)</f>
        <v/>
      </c>
      <c r="CS111" s="1030" t="str">
        <f>IF(CR111="","",'#minDung'!JZ110)</f>
        <v/>
      </c>
      <c r="CT111" s="170"/>
    </row>
    <row r="112" spans="1:98" s="31" customFormat="1" ht="15.95" customHeight="1" x14ac:dyDescent="0.2"/>
    <row r="113" spans="2:97" s="31" customFormat="1" ht="15.95" hidden="1" customHeight="1" x14ac:dyDescent="0.2"/>
    <row r="114" spans="2:97" s="31" customFormat="1" ht="15.95" hidden="1" customHeight="1" x14ac:dyDescent="0.2">
      <c r="F114" s="31">
        <f>IF(MAX(H114:CS114)=0,COLUMN(V113),MAX(H114:CS114))</f>
        <v>22</v>
      </c>
      <c r="H114" s="1653" t="str">
        <f>IF(SUM(H12:H111)&gt;0,COLUMN(J113),"")</f>
        <v/>
      </c>
      <c r="I114" s="1653"/>
      <c r="J114" s="1653"/>
      <c r="K114" s="1653" t="str">
        <f t="shared" ref="K114" si="0">IF(SUM(K12:K111)&gt;0,COLUMN(M113),"")</f>
        <v/>
      </c>
      <c r="L114" s="1653"/>
      <c r="M114" s="1653"/>
      <c r="N114" s="1653" t="str">
        <f t="shared" ref="N114" si="1">IF(SUM(N12:N111)&gt;0,COLUMN(P113),"")</f>
        <v/>
      </c>
      <c r="O114" s="1653"/>
      <c r="P114" s="1653"/>
      <c r="Q114" s="1653" t="str">
        <f t="shared" ref="Q114" si="2">IF(SUM(Q12:Q111)&gt;0,COLUMN(S113),"")</f>
        <v/>
      </c>
      <c r="R114" s="1653"/>
      <c r="S114" s="1653"/>
      <c r="T114" s="1653" t="str">
        <f t="shared" ref="T114" si="3">IF(SUM(T12:T111)&gt;0,COLUMN(V113),"")</f>
        <v/>
      </c>
      <c r="U114" s="1653"/>
      <c r="V114" s="1653"/>
      <c r="W114" s="1653" t="str">
        <f t="shared" ref="W114" si="4">IF(SUM(W12:W111)&gt;0,COLUMN(Y113),"")</f>
        <v/>
      </c>
      <c r="X114" s="1653"/>
      <c r="Y114" s="1653"/>
      <c r="Z114" s="1653" t="str">
        <f t="shared" ref="Z114" si="5">IF(SUM(Z12:Z111)&gt;0,COLUMN(AB113),"")</f>
        <v/>
      </c>
      <c r="AA114" s="1653"/>
      <c r="AB114" s="1653"/>
      <c r="AC114" s="1653" t="str">
        <f t="shared" ref="AC114" si="6">IF(SUM(AC12:AC111)&gt;0,COLUMN(AE113),"")</f>
        <v/>
      </c>
      <c r="AD114" s="1653"/>
      <c r="AE114" s="1653"/>
      <c r="AF114" s="1653" t="str">
        <f t="shared" ref="AF114" si="7">IF(SUM(AF12:AF111)&gt;0,COLUMN(AH113),"")</f>
        <v/>
      </c>
      <c r="AG114" s="1653"/>
      <c r="AH114" s="1653"/>
      <c r="AI114" s="1653" t="str">
        <f t="shared" ref="AI114" si="8">IF(SUM(AI12:AI111)&gt;0,COLUMN(AK113),"")</f>
        <v/>
      </c>
      <c r="AJ114" s="1653"/>
      <c r="AK114" s="1653"/>
      <c r="AL114" s="1653" t="str">
        <f t="shared" ref="AL114" si="9">IF(SUM(AL12:AL111)&gt;0,COLUMN(AN113),"")</f>
        <v/>
      </c>
      <c r="AM114" s="1653"/>
      <c r="AN114" s="1653"/>
      <c r="AO114" s="1653" t="str">
        <f t="shared" ref="AO114" si="10">IF(SUM(AO12:AO111)&gt;0,COLUMN(AQ113),"")</f>
        <v/>
      </c>
      <c r="AP114" s="1653"/>
      <c r="AQ114" s="1653"/>
      <c r="AR114" s="1653" t="str">
        <f t="shared" ref="AR114" si="11">IF(SUM(AR12:AR111)&gt;0,COLUMN(AT113),"")</f>
        <v/>
      </c>
      <c r="AS114" s="1653"/>
      <c r="AT114" s="1653"/>
      <c r="AU114" s="1653" t="str">
        <f t="shared" ref="AU114" si="12">IF(SUM(AU12:AU111)&gt;0,COLUMN(AW113),"")</f>
        <v/>
      </c>
      <c r="AV114" s="1653"/>
      <c r="AW114" s="1653"/>
      <c r="AX114" s="1653" t="str">
        <f t="shared" ref="AX114" si="13">IF(SUM(AX12:AX111)&gt;0,COLUMN(AZ113),"")</f>
        <v/>
      </c>
      <c r="AY114" s="1653"/>
      <c r="AZ114" s="1653"/>
      <c r="BA114" s="1653" t="str">
        <f t="shared" ref="BA114" si="14">IF(SUM(BA12:BA111)&gt;0,COLUMN(BC113),"")</f>
        <v/>
      </c>
      <c r="BB114" s="1653"/>
      <c r="BC114" s="1653"/>
      <c r="BD114" s="1653" t="str">
        <f t="shared" ref="BD114" si="15">IF(SUM(BD12:BD111)&gt;0,COLUMN(BF113),"")</f>
        <v/>
      </c>
      <c r="BE114" s="1653"/>
      <c r="BF114" s="1653"/>
      <c r="BG114" s="1653" t="str">
        <f t="shared" ref="BG114" si="16">IF(SUM(BG12:BG111)&gt;0,COLUMN(BI113),"")</f>
        <v/>
      </c>
      <c r="BH114" s="1653"/>
      <c r="BI114" s="1653"/>
      <c r="BJ114" s="1653" t="str">
        <f t="shared" ref="BJ114" si="17">IF(SUM(BJ12:BJ111)&gt;0,COLUMN(BL113),"")</f>
        <v/>
      </c>
      <c r="BK114" s="1653"/>
      <c r="BL114" s="1653"/>
      <c r="BM114" s="1653" t="str">
        <f t="shared" ref="BM114" si="18">IF(SUM(BM12:BM111)&gt;0,COLUMN(BO113),"")</f>
        <v/>
      </c>
      <c r="BN114" s="1653"/>
      <c r="BO114" s="1653"/>
      <c r="BP114" s="1653" t="str">
        <f t="shared" ref="BP114" si="19">IF(SUM(BP12:BP111)&gt;0,COLUMN(BR113),"")</f>
        <v/>
      </c>
      <c r="BQ114" s="1653"/>
      <c r="BR114" s="1653"/>
      <c r="BS114" s="1653" t="str">
        <f t="shared" ref="BS114" si="20">IF(SUM(BS12:BS111)&gt;0,COLUMN(BU113),"")</f>
        <v/>
      </c>
      <c r="BT114" s="1653"/>
      <c r="BU114" s="1653"/>
      <c r="BV114" s="1653" t="str">
        <f t="shared" ref="BV114" si="21">IF(SUM(BV12:BV111)&gt;0,COLUMN(BX113),"")</f>
        <v/>
      </c>
      <c r="BW114" s="1653"/>
      <c r="BX114" s="1653"/>
      <c r="BY114" s="1653" t="str">
        <f t="shared" ref="BY114" si="22">IF(SUM(BY12:BY111)&gt;0,COLUMN(CA113),"")</f>
        <v/>
      </c>
      <c r="BZ114" s="1653"/>
      <c r="CA114" s="1653"/>
      <c r="CB114" s="1653" t="str">
        <f t="shared" ref="CB114" si="23">IF(SUM(CB12:CB111)&gt;0,COLUMN(CD113),"")</f>
        <v/>
      </c>
      <c r="CC114" s="1653"/>
      <c r="CD114" s="1653"/>
      <c r="CE114" s="1653" t="str">
        <f t="shared" ref="CE114" si="24">IF(SUM(CE12:CE111)&gt;0,COLUMN(CG113),"")</f>
        <v/>
      </c>
      <c r="CF114" s="1653"/>
      <c r="CG114" s="1653"/>
      <c r="CH114" s="1653" t="str">
        <f t="shared" ref="CH114" si="25">IF(SUM(CH12:CH111)&gt;0,COLUMN(CJ113),"")</f>
        <v/>
      </c>
      <c r="CI114" s="1653"/>
      <c r="CJ114" s="1653"/>
      <c r="CK114" s="1653" t="str">
        <f t="shared" ref="CK114" si="26">IF(SUM(CK12:CK111)&gt;0,COLUMN(CM113),"")</f>
        <v/>
      </c>
      <c r="CL114" s="1653"/>
      <c r="CM114" s="1653"/>
      <c r="CN114" s="1653" t="str">
        <f t="shared" ref="CN114" si="27">IF(SUM(CN12:CN111)&gt;0,COLUMN(CP113),"")</f>
        <v/>
      </c>
      <c r="CO114" s="1653"/>
      <c r="CP114" s="1653"/>
      <c r="CQ114" s="1653" t="str">
        <f t="shared" ref="CQ114" si="28">IF(SUM(CQ12:CQ111)&gt;0,COLUMN(CS113),"")</f>
        <v/>
      </c>
      <c r="CR114" s="1653"/>
      <c r="CS114" s="1653"/>
    </row>
    <row r="115" spans="2:97" s="509" customFormat="1" ht="15.95" hidden="1" customHeight="1" x14ac:dyDescent="0.2">
      <c r="B115" s="404" t="s">
        <v>1216</v>
      </c>
      <c r="C115" s="404"/>
      <c r="D115" s="256"/>
      <c r="F115" s="509" t="str">
        <f>ADDRESS('#BerechnungDBE'!DS106+2,F114,4)</f>
        <v>V36</v>
      </c>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c r="AH115" s="474"/>
      <c r="AI115" s="474"/>
      <c r="AJ115" s="474"/>
      <c r="AK115" s="474"/>
      <c r="AL115" s="474"/>
      <c r="AM115" s="474"/>
      <c r="AN115" s="474"/>
      <c r="AO115" s="474"/>
      <c r="AP115" s="474"/>
      <c r="AQ115" s="474"/>
      <c r="AR115" s="474"/>
      <c r="AS115" s="474"/>
      <c r="AT115" s="474"/>
      <c r="AU115" s="474"/>
      <c r="AV115" s="474"/>
      <c r="AW115" s="474"/>
      <c r="AX115" s="474"/>
      <c r="AY115" s="474"/>
      <c r="AZ115" s="474"/>
      <c r="BA115" s="474"/>
      <c r="BB115" s="474"/>
      <c r="BC115" s="474"/>
      <c r="BD115" s="474"/>
      <c r="BE115" s="474"/>
      <c r="BF115" s="474"/>
      <c r="BG115" s="474"/>
      <c r="BH115" s="474"/>
      <c r="BI115" s="474"/>
      <c r="BJ115" s="474"/>
      <c r="BK115" s="474"/>
      <c r="BL115" s="474"/>
      <c r="BM115" s="474"/>
      <c r="BN115" s="474"/>
      <c r="BO115" s="474"/>
      <c r="BP115" s="474"/>
      <c r="BQ115" s="474"/>
      <c r="BR115" s="474"/>
      <c r="BS115" s="474"/>
      <c r="BT115" s="474"/>
      <c r="BU115" s="474"/>
      <c r="BV115" s="474"/>
      <c r="BW115" s="474"/>
      <c r="BX115" s="474"/>
      <c r="BY115" s="474"/>
      <c r="BZ115" s="474"/>
      <c r="CA115" s="474"/>
      <c r="CB115" s="474"/>
      <c r="CC115" s="474"/>
      <c r="CD115" s="474"/>
      <c r="CE115" s="474"/>
      <c r="CF115" s="474"/>
      <c r="CG115" s="474"/>
      <c r="CH115" s="474"/>
      <c r="CI115" s="474"/>
      <c r="CJ115" s="474"/>
      <c r="CK115" s="474"/>
      <c r="CL115" s="474"/>
      <c r="CM115" s="474"/>
      <c r="CN115" s="474"/>
      <c r="CO115" s="474"/>
      <c r="CP115" s="474"/>
      <c r="CQ115" s="474"/>
      <c r="CR115" s="474"/>
      <c r="CS115" s="474"/>
    </row>
    <row r="116" spans="2:97" s="509" customFormat="1" ht="15.95" hidden="1" customHeight="1" x14ac:dyDescent="0.2">
      <c r="B116" s="503" t="str">
        <f>CONCATENATE("A1",":",F115)</f>
        <v>A1:V36</v>
      </c>
      <c r="C116" s="503"/>
      <c r="D116" s="474"/>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row>
    <row r="117" spans="2:97" s="474" customFormat="1" ht="15.95" hidden="1" customHeight="1" x14ac:dyDescent="0.2">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row>
    <row r="118" spans="2:97" ht="15.95" customHeight="1" x14ac:dyDescent="0.2">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1"/>
      <c r="BZ118" s="361"/>
      <c r="CA118" s="361"/>
      <c r="CB118" s="361"/>
      <c r="CC118" s="361"/>
      <c r="CD118" s="361"/>
      <c r="CE118" s="361"/>
      <c r="CF118" s="361"/>
      <c r="CG118" s="361"/>
      <c r="CH118" s="361"/>
      <c r="CI118" s="361"/>
      <c r="CJ118" s="361"/>
      <c r="CK118" s="361"/>
      <c r="CL118" s="361"/>
      <c r="CM118" s="361"/>
      <c r="CN118" s="361"/>
      <c r="CO118" s="361"/>
      <c r="CP118" s="361"/>
      <c r="CQ118" s="361"/>
      <c r="CR118" s="361"/>
      <c r="CS118" s="361"/>
    </row>
    <row r="119" spans="2:97" ht="15.95" customHeight="1" x14ac:dyDescent="0.2">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c r="BF119" s="361"/>
      <c r="BG119" s="361"/>
      <c r="BH119" s="361"/>
      <c r="BI119" s="361"/>
      <c r="BJ119" s="361"/>
      <c r="BK119" s="361"/>
      <c r="BL119" s="361"/>
      <c r="BM119" s="361"/>
      <c r="BN119" s="361"/>
      <c r="BO119" s="361"/>
      <c r="BP119" s="361"/>
      <c r="BQ119" s="361"/>
      <c r="BR119" s="361"/>
      <c r="BS119" s="361"/>
      <c r="BT119" s="361"/>
      <c r="BU119" s="361"/>
      <c r="BV119" s="361"/>
      <c r="BW119" s="361"/>
      <c r="BX119" s="361"/>
      <c r="BY119" s="361"/>
      <c r="BZ119" s="361"/>
      <c r="CA119" s="361"/>
      <c r="CB119" s="361"/>
      <c r="CC119" s="361"/>
      <c r="CD119" s="361"/>
      <c r="CE119" s="361"/>
      <c r="CF119" s="361"/>
      <c r="CG119" s="361"/>
      <c r="CH119" s="361"/>
      <c r="CI119" s="361"/>
      <c r="CJ119" s="361"/>
      <c r="CK119" s="361"/>
      <c r="CL119" s="361"/>
      <c r="CM119" s="361"/>
      <c r="CN119" s="361"/>
      <c r="CO119" s="361"/>
      <c r="CP119" s="361"/>
      <c r="CQ119" s="361"/>
      <c r="CR119" s="361"/>
      <c r="CS119" s="361"/>
    </row>
  </sheetData>
  <sheetProtection algorithmName="SHA-512" hashValue="tH3/HlOkUn7iC++T0yAJGugMzzNQtxxo030UXZ78Es1FDoxL9QsYjK7cHD4rVfkgsw/LMiLbKJIe49EcYy/q8g==" saltValue="9B1DPp8H/O8jH2LAVS9Nvg=="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E4:CG4"/>
    <mergeCell ref="CH4:CJ4"/>
    <mergeCell ref="CK4:CM4"/>
    <mergeCell ref="CN4:CP4"/>
    <mergeCell ref="CQ4:CS4"/>
    <mergeCell ref="BP4:BR4"/>
    <mergeCell ref="BS4:BU4"/>
    <mergeCell ref="BV4:BX4"/>
    <mergeCell ref="BY4:CA4"/>
    <mergeCell ref="CB4:CD4"/>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N10:CP10"/>
    <mergeCell ref="CQ5:CS5"/>
    <mergeCell ref="CQ6:CS6"/>
    <mergeCell ref="CQ7:CS7"/>
    <mergeCell ref="CQ8:CS8"/>
    <mergeCell ref="CQ9:CS9"/>
    <mergeCell ref="CQ10:CS10"/>
    <mergeCell ref="CN5:CP5"/>
    <mergeCell ref="CN6:CP6"/>
    <mergeCell ref="CN7:CP7"/>
    <mergeCell ref="CN8:CP8"/>
    <mergeCell ref="CN9:CP9"/>
    <mergeCell ref="CH10:CJ10"/>
    <mergeCell ref="CK5:CM5"/>
    <mergeCell ref="CK6:CM6"/>
    <mergeCell ref="CK7:CM7"/>
    <mergeCell ref="CK8:CM8"/>
    <mergeCell ref="CK9:CM9"/>
    <mergeCell ref="CK10:CM10"/>
    <mergeCell ref="CH5:CJ5"/>
    <mergeCell ref="CH6:CJ6"/>
    <mergeCell ref="CH7:CJ7"/>
    <mergeCell ref="CH8:CJ8"/>
    <mergeCell ref="CH9:CJ9"/>
    <mergeCell ref="CB10:CD10"/>
    <mergeCell ref="CE5:CG5"/>
    <mergeCell ref="CE6:CG6"/>
    <mergeCell ref="CE7:CG7"/>
    <mergeCell ref="CE8:CG8"/>
    <mergeCell ref="CE9:CG9"/>
    <mergeCell ref="CE10:CG10"/>
    <mergeCell ref="CB5:CD5"/>
    <mergeCell ref="CB6:CD6"/>
    <mergeCell ref="CB7:CD7"/>
    <mergeCell ref="CB8:CD8"/>
    <mergeCell ref="CB9:CD9"/>
    <mergeCell ref="BV10:BX10"/>
    <mergeCell ref="BY5:CA5"/>
    <mergeCell ref="BY6:CA6"/>
    <mergeCell ref="BY7:CA7"/>
    <mergeCell ref="BY8:CA8"/>
    <mergeCell ref="BY9:CA9"/>
    <mergeCell ref="BY10:CA10"/>
    <mergeCell ref="BV5:BX5"/>
    <mergeCell ref="BV6:BX6"/>
    <mergeCell ref="BV7:BX7"/>
    <mergeCell ref="BV8:BX8"/>
    <mergeCell ref="BV9:BX9"/>
    <mergeCell ref="BP10:BR10"/>
    <mergeCell ref="BS5:BU5"/>
    <mergeCell ref="BS6:BU6"/>
    <mergeCell ref="BS7:BU7"/>
    <mergeCell ref="BS8:BU8"/>
    <mergeCell ref="BS9:BU9"/>
    <mergeCell ref="BS10:BU10"/>
    <mergeCell ref="BP5:BR5"/>
    <mergeCell ref="BP6:BR6"/>
    <mergeCell ref="BP7:BR7"/>
    <mergeCell ref="BP8:BR8"/>
    <mergeCell ref="BP9:BR9"/>
    <mergeCell ref="BJ10:BL10"/>
    <mergeCell ref="BM5:BO5"/>
    <mergeCell ref="BM6:BO6"/>
    <mergeCell ref="BM7:BO7"/>
    <mergeCell ref="BM8:BO8"/>
    <mergeCell ref="BM9:BO9"/>
    <mergeCell ref="BM10:BO10"/>
    <mergeCell ref="BJ5:BL5"/>
    <mergeCell ref="BJ6:BL6"/>
    <mergeCell ref="BJ7:BL7"/>
    <mergeCell ref="BJ8:BL8"/>
    <mergeCell ref="BJ9:BL9"/>
    <mergeCell ref="BD10:BF10"/>
    <mergeCell ref="BG5:BI5"/>
    <mergeCell ref="BG6:BI6"/>
    <mergeCell ref="BG7:BI7"/>
    <mergeCell ref="BG8:BI8"/>
    <mergeCell ref="BG9:BI9"/>
    <mergeCell ref="BG10:BI10"/>
    <mergeCell ref="BD5:BF5"/>
    <mergeCell ref="BD6:BF6"/>
    <mergeCell ref="BD7:BF7"/>
    <mergeCell ref="BD8:BF8"/>
    <mergeCell ref="BD9:BF9"/>
    <mergeCell ref="AX10:AZ10"/>
    <mergeCell ref="BA5:BC5"/>
    <mergeCell ref="BA6:BC6"/>
    <mergeCell ref="BA7:BC7"/>
    <mergeCell ref="BA8:BC8"/>
    <mergeCell ref="BA9:BC9"/>
    <mergeCell ref="BA10:BC10"/>
    <mergeCell ref="AX5:AZ5"/>
    <mergeCell ref="AX6:AZ6"/>
    <mergeCell ref="AX7:AZ7"/>
    <mergeCell ref="AX8:AZ8"/>
    <mergeCell ref="AX9:AZ9"/>
    <mergeCell ref="AR10:AT10"/>
    <mergeCell ref="AU5:AW5"/>
    <mergeCell ref="AU6:AW6"/>
    <mergeCell ref="AU7:AW7"/>
    <mergeCell ref="AU8:AW8"/>
    <mergeCell ref="AU9:AW9"/>
    <mergeCell ref="AU10:AW10"/>
    <mergeCell ref="AR5:AT5"/>
    <mergeCell ref="AR6:AT6"/>
    <mergeCell ref="AR7:AT7"/>
    <mergeCell ref="AR8:AT8"/>
    <mergeCell ref="AR9:AT9"/>
    <mergeCell ref="AL10:AN10"/>
    <mergeCell ref="AO5:AQ5"/>
    <mergeCell ref="AO6:AQ6"/>
    <mergeCell ref="AO7:AQ7"/>
    <mergeCell ref="AO8:AQ8"/>
    <mergeCell ref="AO9:AQ9"/>
    <mergeCell ref="AO10:AQ10"/>
    <mergeCell ref="AL5:AN5"/>
    <mergeCell ref="AL6:AN6"/>
    <mergeCell ref="AL7:AN7"/>
    <mergeCell ref="AL8:AN8"/>
    <mergeCell ref="AL9:AN9"/>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CN3:CP3"/>
    <mergeCell ref="CQ3:CS3"/>
    <mergeCell ref="BM3:BO3"/>
    <mergeCell ref="BP3:BR3"/>
    <mergeCell ref="BS3:BU3"/>
    <mergeCell ref="BV3:BX3"/>
    <mergeCell ref="BY3:CA3"/>
    <mergeCell ref="CB3:CD3"/>
    <mergeCell ref="CE3:CG3"/>
    <mergeCell ref="CH3:CJ3"/>
    <mergeCell ref="CK3:CM3"/>
    <mergeCell ref="H114:J114"/>
    <mergeCell ref="K114:M114"/>
    <mergeCell ref="N114:P114"/>
    <mergeCell ref="Q114:S114"/>
    <mergeCell ref="T114:V114"/>
    <mergeCell ref="W114:Y114"/>
    <mergeCell ref="Z114:AB114"/>
    <mergeCell ref="AC114:AE114"/>
    <mergeCell ref="AF114:AH114"/>
    <mergeCell ref="AI114:AK114"/>
    <mergeCell ref="AL114:AN114"/>
    <mergeCell ref="AO114:AQ114"/>
    <mergeCell ref="AR114:AT114"/>
    <mergeCell ref="AU114:AW114"/>
    <mergeCell ref="AX114:AZ114"/>
    <mergeCell ref="BA114:BC114"/>
    <mergeCell ref="BD114:BF114"/>
    <mergeCell ref="BG114:BI114"/>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s>
  <dataValidations count="3">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formula1>0</formula1>
      <formula2>1000.1</formula2>
    </dataValidation>
    <dataValidation type="list" allowBlank="1" showInputMessage="1" showErrorMessage="1" sqref="CQ7 BP7 Q7 T7 W7 Z7 AC7 AF7 AI7 AL7 AO7 AR7 AU7 AX7 BA7 BD7 BG7 BJ7 BM7 BS7 BV7 BY7 CB7 CE7 CH7 CK7 CN7 N7 H7 K7">
      <formula1>minDünger</formula1>
    </dataValidation>
    <dataValidation type="date" allowBlank="1" showInputMessage="1" showErrorMessage="1" errorTitle="Fehler Datum" error="Datum nicht Plausibel_x000a_" promptTitle="Datum" prompt="Bitte Datum der Düngegabe eintragen" sqref="H5:CS5">
      <formula1>44348</formula1>
      <formula2>44926</formula2>
    </dataValidation>
  </dataValidations>
  <pageMargins left="0.31496062992125984" right="0.31496062992125984" top="0.39370078740157483"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Sr, Sp, Ka), Stand: 13.12.2021&amp;C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'#Boden'!$B$41:$B$43</xm:f>
          </x14:formula1>
          <xm:sqref>H9 K9 N9 Q9 T9 W9 Z9 AC9 AF9 AI9 AL9 AO9 AR9 AU9 AX9 BA9 BD9 BG9 BJ9 BM9 BP9 BS9 BV9 BY9 CB9 CE9 CH9 CK9 CN9 CQ9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KJ195"/>
  <sheetViews>
    <sheetView workbookViewId="0">
      <selection activeCell="V118" sqref="V118"/>
    </sheetView>
  </sheetViews>
  <sheetFormatPr baseColWidth="10" defaultRowHeight="12.75" x14ac:dyDescent="0.2"/>
  <cols>
    <col min="17" max="17" width="11.42578125" style="938"/>
    <col min="30" max="34" width="11.42578125" customWidth="1"/>
    <col min="35" max="36" width="11.42578125" style="714" customWidth="1"/>
    <col min="37" max="38" width="11.42578125" customWidth="1"/>
    <col min="39" max="46" width="11.42578125" style="714" customWidth="1"/>
    <col min="47" max="47" width="11.42578125" customWidth="1"/>
    <col min="48" max="55" width="11.42578125" style="875" customWidth="1"/>
    <col min="56" max="56" width="11.42578125" customWidth="1"/>
    <col min="57" max="64" width="11.42578125" style="875" customWidth="1"/>
    <col min="65" max="65" width="11.42578125" customWidth="1"/>
    <col min="66" max="73" width="11.42578125" style="875" customWidth="1"/>
    <col min="74" max="74" width="11.42578125" customWidth="1"/>
    <col min="75" max="82" width="11.42578125" style="875" customWidth="1"/>
    <col min="83" max="83" width="11.42578125" customWidth="1"/>
    <col min="84" max="91" width="11.42578125" style="875" customWidth="1"/>
    <col min="92" max="92" width="11.42578125" customWidth="1"/>
    <col min="93" max="100" width="11.42578125" style="875" customWidth="1"/>
    <col min="101" max="101" width="11.42578125" customWidth="1"/>
    <col min="102" max="109" width="11.42578125" style="875" customWidth="1"/>
    <col min="110" max="110" width="11.42578125" customWidth="1"/>
    <col min="111" max="118" width="11.42578125" style="875" customWidth="1"/>
    <col min="119" max="119" width="11.42578125" customWidth="1"/>
    <col min="120" max="127" width="11.42578125" style="875" customWidth="1"/>
    <col min="128" max="128" width="11.42578125" customWidth="1"/>
    <col min="129" max="136" width="11.42578125" style="875" customWidth="1"/>
    <col min="137" max="137" width="11.42578125" customWidth="1"/>
    <col min="138" max="145" width="11.42578125" style="875" customWidth="1"/>
    <col min="146" max="146" width="11.42578125" customWidth="1"/>
    <col min="147" max="154" width="11.42578125" style="875" customWidth="1"/>
    <col min="155" max="155" width="11.42578125" customWidth="1"/>
    <col min="156" max="163" width="11.42578125" style="875" customWidth="1"/>
    <col min="164" max="164" width="11.42578125" customWidth="1"/>
    <col min="165" max="172" width="11.42578125" style="875" customWidth="1"/>
    <col min="173" max="173" width="11.42578125" customWidth="1"/>
    <col min="174" max="181" width="11.42578125" style="875" customWidth="1"/>
    <col min="182" max="182" width="11.42578125" customWidth="1"/>
    <col min="183" max="190" width="11.42578125" style="875" customWidth="1"/>
    <col min="191" max="191" width="11.42578125" customWidth="1"/>
    <col min="192" max="199" width="11.42578125" style="875" customWidth="1"/>
    <col min="200" max="200" width="11.42578125" customWidth="1"/>
    <col min="201" max="208" width="11.42578125" style="875" customWidth="1"/>
    <col min="209" max="209" width="11.42578125" customWidth="1"/>
    <col min="210" max="217" width="11.42578125" style="875" customWidth="1"/>
    <col min="218" max="218" width="11.42578125" customWidth="1"/>
    <col min="219" max="226" width="11.42578125" style="875" customWidth="1"/>
    <col min="227" max="227" width="11.42578125" customWidth="1"/>
    <col min="228" max="235" width="11.42578125" style="875" customWidth="1"/>
    <col min="236" max="236" width="11.42578125" customWidth="1"/>
    <col min="237" max="244" width="11.42578125" style="875" customWidth="1"/>
    <col min="245" max="245" width="11.42578125" customWidth="1"/>
    <col min="246" max="253" width="11.42578125" style="875" customWidth="1"/>
    <col min="254" max="254" width="11.42578125" customWidth="1"/>
    <col min="255" max="262" width="11.42578125" style="875" customWidth="1"/>
    <col min="263" max="263" width="11.42578125" customWidth="1"/>
    <col min="264" max="271" width="11.42578125" style="875" customWidth="1"/>
    <col min="272" max="272" width="11.42578125" customWidth="1"/>
    <col min="273" max="280" width="11.42578125" style="875" customWidth="1"/>
    <col min="281" max="281" width="11.42578125" customWidth="1"/>
    <col min="282" max="289" width="11.42578125" style="875" customWidth="1"/>
    <col min="291" max="292" width="11.42578125" style="938"/>
  </cols>
  <sheetData>
    <row r="1" spans="1:296" x14ac:dyDescent="0.2">
      <c r="A1" s="716" t="s">
        <v>1323</v>
      </c>
      <c r="B1" s="716"/>
      <c r="C1" s="714"/>
      <c r="D1" s="714"/>
      <c r="E1" s="714"/>
      <c r="F1" s="714"/>
      <c r="G1" s="714"/>
      <c r="H1" s="714"/>
      <c r="I1" s="714"/>
      <c r="J1" s="714"/>
      <c r="K1" s="714"/>
      <c r="M1" s="716" t="s">
        <v>1317</v>
      </c>
      <c r="N1" s="714"/>
      <c r="O1" s="714"/>
      <c r="P1" s="714"/>
      <c r="R1" s="714"/>
    </row>
    <row r="2" spans="1:296" x14ac:dyDescent="0.2">
      <c r="A2" s="699" t="s">
        <v>10</v>
      </c>
      <c r="B2" s="699"/>
      <c r="C2" s="700"/>
      <c r="D2" s="700"/>
      <c r="E2" s="700"/>
      <c r="F2" s="701" t="s">
        <v>1315</v>
      </c>
      <c r="G2" s="701"/>
      <c r="H2" s="702"/>
      <c r="I2" s="704" t="s">
        <v>1316</v>
      </c>
      <c r="J2" s="703"/>
      <c r="K2" s="703"/>
      <c r="M2" s="699" t="s">
        <v>10</v>
      </c>
      <c r="N2" s="699"/>
      <c r="O2" s="701" t="s">
        <v>1315</v>
      </c>
      <c r="P2" s="701"/>
      <c r="Q2" s="701"/>
      <c r="R2" s="704" t="s">
        <v>1316</v>
      </c>
    </row>
    <row r="3" spans="1:296" ht="63.75" x14ac:dyDescent="0.2">
      <c r="A3" s="716" t="s">
        <v>84</v>
      </c>
      <c r="B3" s="716" t="s">
        <v>10</v>
      </c>
      <c r="C3" s="716" t="s">
        <v>120</v>
      </c>
      <c r="D3" s="49" t="s">
        <v>1314</v>
      </c>
      <c r="E3" s="716" t="s">
        <v>1308</v>
      </c>
      <c r="F3" s="716" t="s">
        <v>1273</v>
      </c>
      <c r="G3" s="49" t="s">
        <v>1329</v>
      </c>
      <c r="H3" s="49" t="s">
        <v>1312</v>
      </c>
      <c r="I3" s="49" t="s">
        <v>1309</v>
      </c>
      <c r="J3" s="49" t="s">
        <v>1310</v>
      </c>
      <c r="K3" s="49" t="s">
        <v>1311</v>
      </c>
      <c r="M3" s="49" t="s">
        <v>7</v>
      </c>
      <c r="N3" s="49" t="s">
        <v>228</v>
      </c>
      <c r="O3" s="49" t="s">
        <v>1394</v>
      </c>
      <c r="P3" s="716" t="s">
        <v>1395</v>
      </c>
      <c r="Q3" s="49" t="s">
        <v>1653</v>
      </c>
      <c r="R3" s="716" t="s">
        <v>1396</v>
      </c>
      <c r="T3" t="s">
        <v>1327</v>
      </c>
      <c r="U3" s="727" t="s">
        <v>1342</v>
      </c>
      <c r="V3" s="732"/>
      <c r="AC3" s="714" t="s">
        <v>1356</v>
      </c>
      <c r="AD3" s="727" t="s">
        <v>1342</v>
      </c>
      <c r="AE3" s="732"/>
      <c r="AF3" s="938"/>
      <c r="AG3" s="938"/>
      <c r="AH3" s="938"/>
      <c r="AI3" s="938"/>
      <c r="AJ3" s="938"/>
      <c r="AK3" s="938"/>
      <c r="AL3" s="714" t="s">
        <v>1357</v>
      </c>
      <c r="AM3" s="727" t="s">
        <v>1342</v>
      </c>
      <c r="AN3" s="732"/>
      <c r="AO3" s="938"/>
      <c r="AP3" s="938"/>
      <c r="AQ3" s="938"/>
      <c r="AR3" s="938"/>
      <c r="AS3" s="938"/>
      <c r="AT3" s="938"/>
      <c r="AU3" s="714" t="s">
        <v>1358</v>
      </c>
      <c r="AV3" s="727" t="s">
        <v>1342</v>
      </c>
      <c r="AW3" s="732"/>
      <c r="AX3" s="938"/>
      <c r="AY3" s="938"/>
      <c r="AZ3" s="938"/>
      <c r="BA3" s="938"/>
      <c r="BB3" s="938"/>
      <c r="BC3" s="938"/>
      <c r="BD3" s="714" t="s">
        <v>1359</v>
      </c>
      <c r="BE3" s="727" t="s">
        <v>1342</v>
      </c>
      <c r="BF3" s="732"/>
      <c r="BG3" s="938"/>
      <c r="BH3" s="938"/>
      <c r="BI3" s="938"/>
      <c r="BJ3" s="938"/>
      <c r="BK3" s="938"/>
      <c r="BL3" s="938"/>
      <c r="BM3" s="714" t="s">
        <v>1360</v>
      </c>
      <c r="BN3" s="727" t="s">
        <v>1342</v>
      </c>
      <c r="BO3" s="732"/>
      <c r="BP3" s="938"/>
      <c r="BQ3" s="938"/>
      <c r="BR3" s="938"/>
      <c r="BS3" s="938"/>
      <c r="BT3" s="938"/>
      <c r="BU3" s="938"/>
      <c r="BV3" s="714" t="s">
        <v>1361</v>
      </c>
      <c r="BW3" s="727" t="s">
        <v>1342</v>
      </c>
      <c r="BX3" s="732"/>
      <c r="BY3" s="938"/>
      <c r="BZ3" s="938"/>
      <c r="CA3" s="938"/>
      <c r="CB3" s="938"/>
      <c r="CC3" s="938"/>
      <c r="CD3" s="938"/>
      <c r="CE3" s="714" t="s">
        <v>1362</v>
      </c>
      <c r="CF3" s="727" t="s">
        <v>1342</v>
      </c>
      <c r="CG3" s="732"/>
      <c r="CH3" s="938"/>
      <c r="CI3" s="938"/>
      <c r="CJ3" s="938"/>
      <c r="CK3" s="938"/>
      <c r="CL3" s="938"/>
      <c r="CM3" s="938"/>
      <c r="CN3" s="714" t="s">
        <v>1363</v>
      </c>
      <c r="CO3" s="727" t="s">
        <v>1342</v>
      </c>
      <c r="CP3" s="732"/>
      <c r="CQ3" s="938"/>
      <c r="CR3" s="938"/>
      <c r="CS3" s="938"/>
      <c r="CT3" s="938"/>
      <c r="CU3" s="938"/>
      <c r="CV3" s="938"/>
      <c r="CW3" s="714" t="s">
        <v>1364</v>
      </c>
      <c r="CX3" s="727" t="s">
        <v>1342</v>
      </c>
      <c r="CY3" s="732"/>
      <c r="CZ3" s="938"/>
      <c r="DA3" s="938"/>
      <c r="DB3" s="938"/>
      <c r="DC3" s="938"/>
      <c r="DD3" s="938"/>
      <c r="DE3" s="938"/>
      <c r="DF3" s="714" t="s">
        <v>1365</v>
      </c>
      <c r="DG3" s="727" t="s">
        <v>1342</v>
      </c>
      <c r="DH3" s="732"/>
      <c r="DI3" s="938"/>
      <c r="DJ3" s="938"/>
      <c r="DK3" s="938"/>
      <c r="DL3" s="938"/>
      <c r="DM3" s="938"/>
      <c r="DN3" s="938"/>
      <c r="DO3" s="714" t="s">
        <v>1366</v>
      </c>
      <c r="DP3" s="727" t="s">
        <v>1342</v>
      </c>
      <c r="DQ3" s="732"/>
      <c r="DR3" s="938"/>
      <c r="DS3" s="938"/>
      <c r="DT3" s="938"/>
      <c r="DU3" s="938"/>
      <c r="DV3" s="938"/>
      <c r="DW3" s="938"/>
      <c r="DX3" s="714" t="s">
        <v>1367</v>
      </c>
      <c r="DY3" s="727" t="s">
        <v>1342</v>
      </c>
      <c r="DZ3" s="732"/>
      <c r="EA3" s="938"/>
      <c r="EB3" s="938"/>
      <c r="EC3" s="938"/>
      <c r="ED3" s="938"/>
      <c r="EE3" s="938"/>
      <c r="EF3" s="938"/>
      <c r="EG3" s="714" t="s">
        <v>1368</v>
      </c>
      <c r="EH3" s="727" t="s">
        <v>1342</v>
      </c>
      <c r="EI3" s="732"/>
      <c r="EJ3" s="938"/>
      <c r="EK3" s="938"/>
      <c r="EL3" s="938"/>
      <c r="EM3" s="938"/>
      <c r="EN3" s="938"/>
      <c r="EO3" s="938"/>
      <c r="EP3" s="714" t="s">
        <v>1369</v>
      </c>
      <c r="EQ3" s="727" t="s">
        <v>1342</v>
      </c>
      <c r="ER3" s="732"/>
      <c r="ES3" s="938"/>
      <c r="ET3" s="938"/>
      <c r="EU3" s="938"/>
      <c r="EV3" s="938"/>
      <c r="EW3" s="938"/>
      <c r="EX3" s="938"/>
      <c r="EY3" s="714" t="s">
        <v>1370</v>
      </c>
      <c r="EZ3" s="727" t="s">
        <v>1342</v>
      </c>
      <c r="FA3" s="732"/>
      <c r="FB3" s="938"/>
      <c r="FC3" s="938"/>
      <c r="FD3" s="938"/>
      <c r="FE3" s="938"/>
      <c r="FF3" s="938"/>
      <c r="FG3" s="938"/>
      <c r="FH3" s="714" t="s">
        <v>1371</v>
      </c>
      <c r="FI3" s="727" t="s">
        <v>1342</v>
      </c>
      <c r="FJ3" s="732"/>
      <c r="FK3" s="938"/>
      <c r="FL3" s="938"/>
      <c r="FM3" s="938"/>
      <c r="FN3" s="938"/>
      <c r="FO3" s="938"/>
      <c r="FP3" s="938"/>
      <c r="FQ3" s="714" t="s">
        <v>1372</v>
      </c>
      <c r="FR3" s="727" t="s">
        <v>1342</v>
      </c>
      <c r="FS3" s="732"/>
      <c r="FT3" s="938"/>
      <c r="FU3" s="938"/>
      <c r="FV3" s="938"/>
      <c r="FW3" s="938"/>
      <c r="FX3" s="938"/>
      <c r="FY3" s="938"/>
      <c r="FZ3" s="714" t="s">
        <v>1373</v>
      </c>
      <c r="GA3" s="727" t="s">
        <v>1342</v>
      </c>
      <c r="GB3" s="732"/>
      <c r="GC3" s="938"/>
      <c r="GD3" s="938"/>
      <c r="GE3" s="938"/>
      <c r="GF3" s="938"/>
      <c r="GG3" s="938"/>
      <c r="GH3" s="938"/>
      <c r="GI3" s="714" t="s">
        <v>1374</v>
      </c>
      <c r="GJ3" s="727" t="s">
        <v>1342</v>
      </c>
      <c r="GK3" s="732"/>
      <c r="GL3" s="938"/>
      <c r="GM3" s="938"/>
      <c r="GN3" s="938"/>
      <c r="GO3" s="938"/>
      <c r="GP3" s="938"/>
      <c r="GQ3" s="938"/>
      <c r="GR3" s="714" t="s">
        <v>1375</v>
      </c>
      <c r="GS3" s="727" t="s">
        <v>1342</v>
      </c>
      <c r="GT3" s="732"/>
      <c r="GU3" s="938"/>
      <c r="GV3" s="938"/>
      <c r="GW3" s="938"/>
      <c r="GX3" s="938"/>
      <c r="GY3" s="938"/>
      <c r="GZ3" s="938"/>
      <c r="HA3" s="714" t="s">
        <v>1376</v>
      </c>
      <c r="HB3" s="727" t="s">
        <v>1342</v>
      </c>
      <c r="HC3" s="732"/>
      <c r="HD3" s="938"/>
      <c r="HE3" s="938"/>
      <c r="HF3" s="938"/>
      <c r="HG3" s="938"/>
      <c r="HH3" s="938"/>
      <c r="HI3" s="938"/>
      <c r="HJ3" s="714" t="s">
        <v>1377</v>
      </c>
      <c r="HK3" s="727" t="s">
        <v>1342</v>
      </c>
      <c r="HL3" s="732"/>
      <c r="HM3" s="938"/>
      <c r="HN3" s="938"/>
      <c r="HO3" s="938"/>
      <c r="HP3" s="938"/>
      <c r="HQ3" s="938"/>
      <c r="HR3" s="938"/>
      <c r="HS3" s="714" t="s">
        <v>1378</v>
      </c>
      <c r="HT3" s="727" t="s">
        <v>1342</v>
      </c>
      <c r="HU3" s="732"/>
      <c r="HV3" s="938"/>
      <c r="HW3" s="938"/>
      <c r="HX3" s="938"/>
      <c r="HY3" s="938"/>
      <c r="HZ3" s="938"/>
      <c r="IA3" s="938"/>
      <c r="IB3" s="714" t="s">
        <v>1379</v>
      </c>
      <c r="IC3" s="727" t="s">
        <v>1342</v>
      </c>
      <c r="ID3" s="732"/>
      <c r="IE3" s="938"/>
      <c r="IF3" s="938"/>
      <c r="IG3" s="938"/>
      <c r="IH3" s="938"/>
      <c r="II3" s="938"/>
      <c r="IJ3" s="938"/>
      <c r="IK3" s="714" t="s">
        <v>1380</v>
      </c>
      <c r="IL3" s="727" t="s">
        <v>1342</v>
      </c>
      <c r="IM3" s="732"/>
      <c r="IN3" s="938"/>
      <c r="IO3" s="938"/>
      <c r="IP3" s="938"/>
      <c r="IQ3" s="938"/>
      <c r="IR3" s="938"/>
      <c r="IS3" s="938"/>
      <c r="IT3" s="714" t="s">
        <v>1381</v>
      </c>
      <c r="IU3" s="727" t="s">
        <v>1342</v>
      </c>
      <c r="IV3" s="732"/>
      <c r="IW3" s="938"/>
      <c r="IX3" s="938"/>
      <c r="IY3" s="938"/>
      <c r="IZ3" s="938"/>
      <c r="JA3" s="938"/>
      <c r="JB3" s="938"/>
      <c r="JC3" s="714" t="s">
        <v>1382</v>
      </c>
      <c r="JD3" s="727" t="s">
        <v>1342</v>
      </c>
      <c r="JE3" s="732"/>
      <c r="JF3" s="938"/>
      <c r="JG3" s="938"/>
      <c r="JH3" s="938"/>
      <c r="JI3" s="938"/>
      <c r="JJ3" s="938"/>
      <c r="JK3" s="938"/>
      <c r="JL3" s="714" t="s">
        <v>1383</v>
      </c>
      <c r="JM3" s="727" t="s">
        <v>1342</v>
      </c>
      <c r="JN3" s="732"/>
      <c r="JO3" s="938"/>
      <c r="JP3" s="938"/>
      <c r="JQ3" s="938"/>
      <c r="JR3" s="938"/>
      <c r="JS3" s="938"/>
      <c r="JT3" s="938"/>
      <c r="JU3" s="714" t="s">
        <v>1384</v>
      </c>
      <c r="JV3" s="727" t="s">
        <v>1342</v>
      </c>
      <c r="JW3" s="732"/>
      <c r="JX3" s="938"/>
      <c r="JY3" s="938"/>
      <c r="JZ3" s="938"/>
      <c r="KA3" s="938"/>
      <c r="KB3" s="938"/>
      <c r="KC3" s="938"/>
      <c r="KG3" t="s">
        <v>1528</v>
      </c>
    </row>
    <row r="4" spans="1:296" ht="25.5" x14ac:dyDescent="0.2">
      <c r="A4" s="714"/>
      <c r="B4" s="714"/>
      <c r="C4" s="714"/>
      <c r="D4" s="714"/>
      <c r="E4" s="714"/>
      <c r="F4" s="714"/>
      <c r="G4" s="714"/>
      <c r="H4" s="714"/>
      <c r="I4" s="714"/>
      <c r="J4" s="714"/>
      <c r="K4" s="714"/>
      <c r="L4" s="750" t="s">
        <v>171</v>
      </c>
      <c r="O4" cm="1">
        <f t="array" ref="O4">SUMPRODUCT(O11:O110,B11:B110,(E11:E110="x")*1,(C11:C110=1)*1)</f>
        <v>0</v>
      </c>
      <c r="S4" s="716" t="s">
        <v>93</v>
      </c>
      <c r="T4" s="711">
        <f>'min. Düngung 22'!H5</f>
        <v>0</v>
      </c>
      <c r="U4" s="729" t="s">
        <v>1397</v>
      </c>
      <c r="V4" s="47">
        <f>VLOOKUP(T5,Tab_min[[Mineraldünger]:[Nährstoffgehalt P2O5]],'#min'!$H$1,FALSE)</f>
        <v>0</v>
      </c>
      <c r="AC4" s="711">
        <f>'min. Düngung 22'!K5</f>
        <v>0</v>
      </c>
      <c r="AD4" s="729" t="s">
        <v>1397</v>
      </c>
      <c r="AE4" s="47">
        <f>VLOOKUP(AC5,Tab_min[[Mineraldünger]:[Nährstoffgehalt P2O5]],'#min'!$H$1,FALSE)</f>
        <v>0</v>
      </c>
      <c r="AF4" s="938"/>
      <c r="AG4" s="938"/>
      <c r="AH4" s="938"/>
      <c r="AI4" s="938"/>
      <c r="AJ4" s="938"/>
      <c r="AK4" s="938"/>
      <c r="AL4" s="711">
        <f>'min. Düngung 22'!N5</f>
        <v>0</v>
      </c>
      <c r="AM4" s="729" t="s">
        <v>1397</v>
      </c>
      <c r="AN4" s="47">
        <f>VLOOKUP(AL5,Tab_min[[Mineraldünger]:[Nährstoffgehalt P2O5]],'#min'!$H$1,FALSE)</f>
        <v>0</v>
      </c>
      <c r="AO4" s="938"/>
      <c r="AP4" s="938"/>
      <c r="AQ4" s="938"/>
      <c r="AR4" s="938"/>
      <c r="AS4" s="938"/>
      <c r="AT4" s="938"/>
      <c r="AU4" s="711">
        <f>'min. Düngung 22'!Q5</f>
        <v>0</v>
      </c>
      <c r="AV4" s="729" t="s">
        <v>1397</v>
      </c>
      <c r="AW4" s="47">
        <f>VLOOKUP(AU5,Tab_min[[Mineraldünger]:[Nährstoffgehalt P2O5]],'#min'!$H$1,FALSE)</f>
        <v>0</v>
      </c>
      <c r="AX4" s="938"/>
      <c r="AY4" s="938"/>
      <c r="AZ4" s="938"/>
      <c r="BA4" s="938"/>
      <c r="BB4" s="938"/>
      <c r="BC4" s="938"/>
      <c r="BD4" s="711">
        <f>'min. Düngung 22'!T5</f>
        <v>0</v>
      </c>
      <c r="BE4" s="729" t="s">
        <v>1397</v>
      </c>
      <c r="BF4" s="47">
        <f>VLOOKUP(BD5,Tab_min[[Mineraldünger]:[Nährstoffgehalt P2O5]],'#min'!$H$1,FALSE)</f>
        <v>0</v>
      </c>
      <c r="BG4" s="938"/>
      <c r="BH4" s="938"/>
      <c r="BI4" s="938"/>
      <c r="BJ4" s="938"/>
      <c r="BK4" s="938"/>
      <c r="BL4" s="938"/>
      <c r="BM4" s="711">
        <f>'min. Düngung 22'!W5</f>
        <v>0</v>
      </c>
      <c r="BN4" s="729" t="s">
        <v>1397</v>
      </c>
      <c r="BO4" s="47">
        <f>VLOOKUP(BM5,Tab_min[[Mineraldünger]:[Nährstoffgehalt P2O5]],'#min'!$H$1,FALSE)</f>
        <v>0</v>
      </c>
      <c r="BP4" s="938"/>
      <c r="BQ4" s="938"/>
      <c r="BR4" s="938"/>
      <c r="BS4" s="938"/>
      <c r="BT4" s="938"/>
      <c r="BU4" s="938"/>
      <c r="BV4" s="711">
        <f>'min. Düngung 22'!Z5</f>
        <v>0</v>
      </c>
      <c r="BW4" s="729" t="s">
        <v>1397</v>
      </c>
      <c r="BX4" s="47">
        <f>VLOOKUP(BV5,Tab_min[[Mineraldünger]:[Nährstoffgehalt P2O5]],'#min'!$H$1,FALSE)</f>
        <v>0</v>
      </c>
      <c r="BY4" s="938"/>
      <c r="BZ4" s="938"/>
      <c r="CA4" s="938"/>
      <c r="CB4" s="938"/>
      <c r="CC4" s="938"/>
      <c r="CD4" s="938"/>
      <c r="CE4" s="711">
        <f>'min. Düngung 22'!AC5</f>
        <v>0</v>
      </c>
      <c r="CF4" s="729" t="s">
        <v>1397</v>
      </c>
      <c r="CG4" s="47">
        <f>VLOOKUP(CE5,Tab_min[[Mineraldünger]:[Nährstoffgehalt P2O5]],'#min'!$H$1,FALSE)</f>
        <v>0</v>
      </c>
      <c r="CH4" s="938"/>
      <c r="CI4" s="938"/>
      <c r="CJ4" s="938"/>
      <c r="CK4" s="938"/>
      <c r="CL4" s="938"/>
      <c r="CM4" s="938"/>
      <c r="CN4" s="711">
        <f>'min. Düngung 22'!AF5</f>
        <v>0</v>
      </c>
      <c r="CO4" s="729" t="s">
        <v>1397</v>
      </c>
      <c r="CP4" s="47">
        <f>VLOOKUP(CN5,Tab_min[[Mineraldünger]:[Nährstoffgehalt P2O5]],'#min'!$H$1,FALSE)</f>
        <v>0</v>
      </c>
      <c r="CQ4" s="938"/>
      <c r="CR4" s="938"/>
      <c r="CS4" s="938"/>
      <c r="CT4" s="938"/>
      <c r="CU4" s="938"/>
      <c r="CV4" s="938"/>
      <c r="CW4" s="711">
        <f>'min. Düngung 22'!AI5</f>
        <v>0</v>
      </c>
      <c r="CX4" s="729" t="s">
        <v>1397</v>
      </c>
      <c r="CY4" s="47">
        <f>VLOOKUP(CW5,Tab_min[[Mineraldünger]:[Nährstoffgehalt P2O5]],'#min'!$H$1,FALSE)</f>
        <v>0</v>
      </c>
      <c r="CZ4" s="938"/>
      <c r="DA4" s="938"/>
      <c r="DB4" s="938"/>
      <c r="DC4" s="938"/>
      <c r="DD4" s="938"/>
      <c r="DE4" s="938"/>
      <c r="DF4" s="711">
        <f>'min. Düngung 22'!AL5</f>
        <v>0</v>
      </c>
      <c r="DG4" s="729" t="s">
        <v>1397</v>
      </c>
      <c r="DH4" s="47">
        <f>VLOOKUP(DF5,Tab_min[[Mineraldünger]:[Nährstoffgehalt P2O5]],'#min'!$H$1,FALSE)</f>
        <v>0</v>
      </c>
      <c r="DI4" s="938"/>
      <c r="DJ4" s="938"/>
      <c r="DK4" s="938"/>
      <c r="DL4" s="938"/>
      <c r="DM4" s="938"/>
      <c r="DN4" s="938"/>
      <c r="DO4" s="711">
        <f>'min. Düngung 22'!AO5</f>
        <v>0</v>
      </c>
      <c r="DP4" s="729" t="s">
        <v>1397</v>
      </c>
      <c r="DQ4" s="47">
        <f>VLOOKUP(DO5,Tab_min[[Mineraldünger]:[Nährstoffgehalt P2O5]],'#min'!$H$1,FALSE)</f>
        <v>0</v>
      </c>
      <c r="DR4" s="938"/>
      <c r="DS4" s="938"/>
      <c r="DT4" s="938"/>
      <c r="DU4" s="938"/>
      <c r="DV4" s="938"/>
      <c r="DW4" s="938"/>
      <c r="DX4" s="711">
        <f>'min. Düngung 22'!AR5</f>
        <v>0</v>
      </c>
      <c r="DY4" s="729" t="s">
        <v>1397</v>
      </c>
      <c r="DZ4" s="47">
        <f>VLOOKUP(DX5,Tab_min[[Mineraldünger]:[Nährstoffgehalt P2O5]],'#min'!$H$1,FALSE)</f>
        <v>0</v>
      </c>
      <c r="EA4" s="938"/>
      <c r="EB4" s="938"/>
      <c r="EC4" s="938"/>
      <c r="ED4" s="938"/>
      <c r="EE4" s="938"/>
      <c r="EF4" s="938"/>
      <c r="EG4" s="711">
        <f>'min. Düngung 22'!AU5</f>
        <v>0</v>
      </c>
      <c r="EH4" s="729" t="s">
        <v>1397</v>
      </c>
      <c r="EI4" s="47">
        <f>VLOOKUP(EG5,Tab_min[[Mineraldünger]:[Nährstoffgehalt P2O5]],'#min'!$H$1,FALSE)</f>
        <v>0</v>
      </c>
      <c r="EJ4" s="938"/>
      <c r="EK4" s="938"/>
      <c r="EL4" s="938"/>
      <c r="EM4" s="938"/>
      <c r="EN4" s="938"/>
      <c r="EO4" s="938"/>
      <c r="EP4" s="711">
        <f>'min. Düngung 22'!AX5</f>
        <v>0</v>
      </c>
      <c r="EQ4" s="729" t="s">
        <v>1397</v>
      </c>
      <c r="ER4" s="47">
        <f>VLOOKUP(EP5,Tab_min[[Mineraldünger]:[Nährstoffgehalt P2O5]],'#min'!$H$1,FALSE)</f>
        <v>0</v>
      </c>
      <c r="ES4" s="938"/>
      <c r="ET4" s="938"/>
      <c r="EU4" s="938"/>
      <c r="EV4" s="938"/>
      <c r="EW4" s="938"/>
      <c r="EX4" s="938"/>
      <c r="EY4" s="711">
        <f>'min. Düngung 22'!BA5</f>
        <v>0</v>
      </c>
      <c r="EZ4" s="729" t="s">
        <v>1397</v>
      </c>
      <c r="FA4" s="47">
        <f>VLOOKUP(EY5,Tab_min[[Mineraldünger]:[Nährstoffgehalt P2O5]],'#min'!$H$1,FALSE)</f>
        <v>0</v>
      </c>
      <c r="FB4" s="938"/>
      <c r="FC4" s="938"/>
      <c r="FD4" s="938"/>
      <c r="FE4" s="938"/>
      <c r="FF4" s="938"/>
      <c r="FG4" s="938"/>
      <c r="FH4" s="711">
        <f>'min. Düngung 22'!BD5</f>
        <v>0</v>
      </c>
      <c r="FI4" s="729" t="s">
        <v>1397</v>
      </c>
      <c r="FJ4" s="47">
        <f>VLOOKUP(FH5,Tab_min[[Mineraldünger]:[Nährstoffgehalt P2O5]],'#min'!$H$1,FALSE)</f>
        <v>0</v>
      </c>
      <c r="FK4" s="938"/>
      <c r="FL4" s="938"/>
      <c r="FM4" s="938"/>
      <c r="FN4" s="938"/>
      <c r="FO4" s="938"/>
      <c r="FP4" s="938"/>
      <c r="FQ4" s="711">
        <f>'min. Düngung 22'!BG5</f>
        <v>0</v>
      </c>
      <c r="FR4" s="729" t="s">
        <v>1397</v>
      </c>
      <c r="FS4" s="47">
        <f>VLOOKUP(FQ5,Tab_min[[Mineraldünger]:[Nährstoffgehalt P2O5]],'#min'!$H$1,FALSE)</f>
        <v>0</v>
      </c>
      <c r="FT4" s="938"/>
      <c r="FU4" s="938"/>
      <c r="FV4" s="938"/>
      <c r="FW4" s="938"/>
      <c r="FX4" s="938"/>
      <c r="FY4" s="938"/>
      <c r="FZ4" s="711">
        <f>'min. Düngung 22'!BJ5</f>
        <v>0</v>
      </c>
      <c r="GA4" s="729" t="s">
        <v>1397</v>
      </c>
      <c r="GB4" s="47">
        <f>VLOOKUP(FZ5,Tab_min[[Mineraldünger]:[Nährstoffgehalt P2O5]],'#min'!$H$1,FALSE)</f>
        <v>0</v>
      </c>
      <c r="GC4" s="938"/>
      <c r="GD4" s="938"/>
      <c r="GE4" s="938"/>
      <c r="GF4" s="938"/>
      <c r="GG4" s="938"/>
      <c r="GH4" s="938"/>
      <c r="GI4" s="711">
        <f>'min. Düngung 22'!BM5</f>
        <v>0</v>
      </c>
      <c r="GJ4" s="729" t="s">
        <v>1397</v>
      </c>
      <c r="GK4" s="47">
        <f>VLOOKUP(GI5,Tab_min[[Mineraldünger]:[Nährstoffgehalt P2O5]],'#min'!$H$1,FALSE)</f>
        <v>0</v>
      </c>
      <c r="GL4" s="938"/>
      <c r="GM4" s="938"/>
      <c r="GN4" s="938"/>
      <c r="GO4" s="938"/>
      <c r="GP4" s="938"/>
      <c r="GQ4" s="938"/>
      <c r="GR4" s="711">
        <f>'min. Düngung 22'!BP5</f>
        <v>0</v>
      </c>
      <c r="GS4" s="729" t="s">
        <v>1397</v>
      </c>
      <c r="GT4" s="47">
        <f>VLOOKUP(GR5,Tab_min[[Mineraldünger]:[Nährstoffgehalt P2O5]],'#min'!$H$1,FALSE)</f>
        <v>0</v>
      </c>
      <c r="GU4" s="938"/>
      <c r="GV4" s="938"/>
      <c r="GW4" s="938"/>
      <c r="GX4" s="938"/>
      <c r="GY4" s="938"/>
      <c r="GZ4" s="938"/>
      <c r="HA4" s="711">
        <f>'min. Düngung 22'!BS5</f>
        <v>0</v>
      </c>
      <c r="HB4" s="729" t="s">
        <v>1397</v>
      </c>
      <c r="HC4" s="47">
        <f>VLOOKUP(HA5,Tab_min[[Mineraldünger]:[Nährstoffgehalt P2O5]],'#min'!$H$1,FALSE)</f>
        <v>0</v>
      </c>
      <c r="HD4" s="938"/>
      <c r="HE4" s="938"/>
      <c r="HF4" s="938"/>
      <c r="HG4" s="938"/>
      <c r="HH4" s="938"/>
      <c r="HI4" s="938"/>
      <c r="HJ4" s="711">
        <f>'min. Düngung 22'!BV5</f>
        <v>0</v>
      </c>
      <c r="HK4" s="729" t="s">
        <v>1397</v>
      </c>
      <c r="HL4" s="47">
        <f>VLOOKUP(HJ5,Tab_min[[Mineraldünger]:[Nährstoffgehalt P2O5]],'#min'!$H$1,FALSE)</f>
        <v>0</v>
      </c>
      <c r="HM4" s="938"/>
      <c r="HN4" s="938"/>
      <c r="HO4" s="938"/>
      <c r="HP4" s="938"/>
      <c r="HQ4" s="938"/>
      <c r="HR4" s="938"/>
      <c r="HS4" s="711">
        <f>'min. Düngung 22'!BY5</f>
        <v>0</v>
      </c>
      <c r="HT4" s="729" t="s">
        <v>1397</v>
      </c>
      <c r="HU4" s="47">
        <f>VLOOKUP(HS5,Tab_min[[Mineraldünger]:[Nährstoffgehalt P2O5]],'#min'!$H$1,FALSE)</f>
        <v>0</v>
      </c>
      <c r="HV4" s="938"/>
      <c r="HW4" s="938"/>
      <c r="HX4" s="938"/>
      <c r="HY4" s="938"/>
      <c r="HZ4" s="938"/>
      <c r="IA4" s="938"/>
      <c r="IB4" s="711">
        <f>'min. Düngung 22'!CB5</f>
        <v>0</v>
      </c>
      <c r="IC4" s="729" t="s">
        <v>1397</v>
      </c>
      <c r="ID4" s="47">
        <f>VLOOKUP(IB5,Tab_min[[Mineraldünger]:[Nährstoffgehalt P2O5]],'#min'!$H$1,FALSE)</f>
        <v>0</v>
      </c>
      <c r="IE4" s="938"/>
      <c r="IF4" s="938"/>
      <c r="IG4" s="938"/>
      <c r="IH4" s="938"/>
      <c r="II4" s="938"/>
      <c r="IJ4" s="938"/>
      <c r="IK4" s="711">
        <f>'min. Düngung 22'!CE5</f>
        <v>0</v>
      </c>
      <c r="IL4" s="729" t="s">
        <v>1397</v>
      </c>
      <c r="IM4" s="47">
        <f>VLOOKUP(IK5,Tab_min[[Mineraldünger]:[Nährstoffgehalt P2O5]],'#min'!$H$1,FALSE)</f>
        <v>0</v>
      </c>
      <c r="IN4" s="938"/>
      <c r="IO4" s="938"/>
      <c r="IP4" s="938"/>
      <c r="IQ4" s="938"/>
      <c r="IR4" s="938"/>
      <c r="IS4" s="938"/>
      <c r="IT4" s="711">
        <f>'min. Düngung 22'!CH5</f>
        <v>0</v>
      </c>
      <c r="IU4" s="729" t="s">
        <v>1397</v>
      </c>
      <c r="IV4" s="47">
        <f>VLOOKUP(IT5,Tab_min[[Mineraldünger]:[Nährstoffgehalt P2O5]],'#min'!$H$1,FALSE)</f>
        <v>0</v>
      </c>
      <c r="IW4" s="938"/>
      <c r="IX4" s="938"/>
      <c r="IY4" s="938"/>
      <c r="IZ4" s="938"/>
      <c r="JA4" s="938"/>
      <c r="JB4" s="938"/>
      <c r="JC4" s="711">
        <f>'min. Düngung 22'!CK5</f>
        <v>0</v>
      </c>
      <c r="JD4" s="729" t="s">
        <v>1397</v>
      </c>
      <c r="JE4" s="47">
        <f>VLOOKUP(JC5,Tab_min[[Mineraldünger]:[Nährstoffgehalt P2O5]],'#min'!$H$1,FALSE)</f>
        <v>0</v>
      </c>
      <c r="JF4" s="938"/>
      <c r="JG4" s="938"/>
      <c r="JH4" s="938"/>
      <c r="JI4" s="938"/>
      <c r="JJ4" s="938"/>
      <c r="JK4" s="938"/>
      <c r="JL4" s="711">
        <f>'min. Düngung 22'!CN5</f>
        <v>0</v>
      </c>
      <c r="JM4" s="729" t="s">
        <v>1397</v>
      </c>
      <c r="JN4" s="47">
        <f>VLOOKUP(JL5,Tab_min[[Mineraldünger]:[Nährstoffgehalt P2O5]],'#min'!$H$1,FALSE)</f>
        <v>0</v>
      </c>
      <c r="JO4" s="938"/>
      <c r="JP4" s="938"/>
      <c r="JQ4" s="938"/>
      <c r="JR4" s="938"/>
      <c r="JS4" s="938"/>
      <c r="JT4" s="938"/>
      <c r="JU4" s="711">
        <f>'min. Düngung 22'!CQ5</f>
        <v>0</v>
      </c>
      <c r="JV4" s="729" t="s">
        <v>1397</v>
      </c>
      <c r="JW4" s="47">
        <f>VLOOKUP(JU5,Tab_min[[Mineraldünger]:[Nährstoffgehalt P2O5]],'#min'!$H$1,FALSE)</f>
        <v>0</v>
      </c>
      <c r="JX4" s="938"/>
      <c r="JY4" s="938"/>
      <c r="JZ4" s="938"/>
      <c r="KA4" s="938"/>
      <c r="KB4" s="938"/>
      <c r="KC4" s="938"/>
    </row>
    <row r="5" spans="1:296" ht="63.75" x14ac:dyDescent="0.2">
      <c r="A5" s="714"/>
      <c r="B5" s="714"/>
      <c r="C5" s="714"/>
      <c r="D5" s="714"/>
      <c r="E5" s="714"/>
      <c r="F5" s="714"/>
      <c r="G5" s="714"/>
      <c r="H5" s="714"/>
      <c r="I5" s="714"/>
      <c r="J5" s="714"/>
      <c r="K5" s="714"/>
      <c r="L5" s="750" t="s">
        <v>174</v>
      </c>
      <c r="O5" cm="1">
        <f t="array" ref="O5">SUMPRODUCT(O11:O110,B11:B110,(E11:E110="x")*1,(C11:C110=2)*1)</f>
        <v>0</v>
      </c>
      <c r="R5" cm="1">
        <f t="array" ref="R5">SUMPRODUCT(R11:R110,B11:B110,(I11:I110=80)*1,(C11:C110=1)*1,(E11:E110="x")*1)</f>
        <v>0</v>
      </c>
      <c r="S5" s="716" t="s">
        <v>195</v>
      </c>
      <c r="T5" s="712" t="str">
        <f>IF('min. Düngung 22'!H7="",'#min'!$D$6,'min. Düngung 22'!H7)</f>
        <v xml:space="preserve"> --</v>
      </c>
      <c r="U5" s="731" t="s">
        <v>1401</v>
      </c>
      <c r="V5" s="81">
        <f>VLOOKUP(T5,Tab_min[[Mineraldünger]:[Nährstoffgehalt P2O5]],'#min'!$J$1,FALSE)</f>
        <v>0</v>
      </c>
      <c r="AC5" s="712" t="str">
        <f>IF('min. Düngung 22'!K7="",'#min'!$D$6,'min. Düngung 22'!K7)</f>
        <v xml:space="preserve"> --</v>
      </c>
      <c r="AD5" s="731" t="s">
        <v>1401</v>
      </c>
      <c r="AE5" s="81">
        <f>VLOOKUP(AC5,Tab_min[[Mineraldünger]:[Nährstoffgehalt P2O5]],'#min'!$J$1,FALSE)</f>
        <v>0</v>
      </c>
      <c r="AF5" s="938"/>
      <c r="AG5" s="938"/>
      <c r="AH5" s="938"/>
      <c r="AI5" s="938"/>
      <c r="AJ5" s="938"/>
      <c r="AK5" s="938"/>
      <c r="AL5" s="712" t="str">
        <f>IF('min. Düngung 22'!N7="",'#min'!$D$6,'min. Düngung 22'!N7)</f>
        <v xml:space="preserve"> --</v>
      </c>
      <c r="AM5" s="731" t="s">
        <v>1401</v>
      </c>
      <c r="AN5" s="81">
        <f>VLOOKUP(AL5,Tab_min[[Mineraldünger]:[Nährstoffgehalt P2O5]],'#min'!$J$1,FALSE)</f>
        <v>0</v>
      </c>
      <c r="AO5" s="938"/>
      <c r="AP5" s="938"/>
      <c r="AQ5" s="938"/>
      <c r="AR5" s="938"/>
      <c r="AS5" s="938"/>
      <c r="AT5" s="938"/>
      <c r="AU5" s="712" t="str">
        <f>IF('min. Düngung 22'!Q7="",'#min'!$D$6,'min. Düngung 22'!Q7)</f>
        <v xml:space="preserve"> --</v>
      </c>
      <c r="AV5" s="731" t="s">
        <v>1401</v>
      </c>
      <c r="AW5" s="81">
        <f>VLOOKUP(AU5,Tab_min[[Mineraldünger]:[Nährstoffgehalt P2O5]],'#min'!$J$1,FALSE)</f>
        <v>0</v>
      </c>
      <c r="AX5" s="938"/>
      <c r="AY5" s="938"/>
      <c r="AZ5" s="938"/>
      <c r="BA5" s="938"/>
      <c r="BB5" s="938"/>
      <c r="BC5" s="938"/>
      <c r="BD5" s="712" t="str">
        <f>IF('min. Düngung 22'!T7="",'#min'!$D$6,'min. Düngung 22'!T7)</f>
        <v xml:space="preserve"> --</v>
      </c>
      <c r="BE5" s="731" t="s">
        <v>1401</v>
      </c>
      <c r="BF5" s="81">
        <f>VLOOKUP(BD5,Tab_min[[Mineraldünger]:[Nährstoffgehalt P2O5]],'#min'!$J$1,FALSE)</f>
        <v>0</v>
      </c>
      <c r="BG5" s="938"/>
      <c r="BH5" s="938"/>
      <c r="BI5" s="938"/>
      <c r="BJ5" s="938"/>
      <c r="BK5" s="938"/>
      <c r="BL5" s="938"/>
      <c r="BM5" s="712" t="str">
        <f>IF('min. Düngung 22'!W7="",'#min'!$D$6,'min. Düngung 22'!W7)</f>
        <v xml:space="preserve"> --</v>
      </c>
      <c r="BN5" s="731" t="s">
        <v>1401</v>
      </c>
      <c r="BO5" s="81">
        <f>VLOOKUP(BM5,Tab_min[[Mineraldünger]:[Nährstoffgehalt P2O5]],'#min'!$J$1,FALSE)</f>
        <v>0</v>
      </c>
      <c r="BP5" s="938"/>
      <c r="BQ5" s="938"/>
      <c r="BR5" s="938"/>
      <c r="BS5" s="938"/>
      <c r="BT5" s="938"/>
      <c r="BU5" s="938"/>
      <c r="BV5" s="712" t="str">
        <f>IF('min. Düngung 22'!Z7="",'#min'!$D$6,'min. Düngung 22'!Z7)</f>
        <v xml:space="preserve"> --</v>
      </c>
      <c r="BW5" s="731" t="s">
        <v>1401</v>
      </c>
      <c r="BX5" s="81">
        <f>VLOOKUP(BV5,Tab_min[[Mineraldünger]:[Nährstoffgehalt P2O5]],'#min'!$J$1,FALSE)</f>
        <v>0</v>
      </c>
      <c r="BY5" s="938"/>
      <c r="BZ5" s="938"/>
      <c r="CA5" s="938"/>
      <c r="CB5" s="938"/>
      <c r="CC5" s="938"/>
      <c r="CD5" s="938"/>
      <c r="CE5" s="712" t="str">
        <f>IF('min. Düngung 22'!AC7="",'#min'!$D$6,'min. Düngung 22'!AC7)</f>
        <v xml:space="preserve"> --</v>
      </c>
      <c r="CF5" s="731" t="s">
        <v>1401</v>
      </c>
      <c r="CG5" s="81">
        <f>VLOOKUP(CE5,Tab_min[[Mineraldünger]:[Nährstoffgehalt P2O5]],'#min'!$J$1,FALSE)</f>
        <v>0</v>
      </c>
      <c r="CH5" s="938"/>
      <c r="CI5" s="938"/>
      <c r="CJ5" s="938"/>
      <c r="CK5" s="938"/>
      <c r="CL5" s="938"/>
      <c r="CM5" s="938"/>
      <c r="CN5" s="712" t="str">
        <f>IF('min. Düngung 22'!AF7="",'#min'!$D$6,'min. Düngung 22'!AF7)</f>
        <v xml:space="preserve"> --</v>
      </c>
      <c r="CO5" s="731" t="s">
        <v>1401</v>
      </c>
      <c r="CP5" s="81">
        <f>VLOOKUP(CN5,Tab_min[[Mineraldünger]:[Nährstoffgehalt P2O5]],'#min'!$J$1,FALSE)</f>
        <v>0</v>
      </c>
      <c r="CQ5" s="938"/>
      <c r="CR5" s="938"/>
      <c r="CS5" s="938"/>
      <c r="CT5" s="938"/>
      <c r="CU5" s="938"/>
      <c r="CV5" s="938"/>
      <c r="CW5" s="712" t="str">
        <f>IF('min. Düngung 22'!AI7="",'#min'!$D$6,'min. Düngung 22'!AI7)</f>
        <v xml:space="preserve"> --</v>
      </c>
      <c r="CX5" s="731" t="s">
        <v>1401</v>
      </c>
      <c r="CY5" s="81">
        <f>VLOOKUP(CW5,Tab_min[[Mineraldünger]:[Nährstoffgehalt P2O5]],'#min'!$J$1,FALSE)</f>
        <v>0</v>
      </c>
      <c r="CZ5" s="938"/>
      <c r="DA5" s="938"/>
      <c r="DB5" s="938"/>
      <c r="DC5" s="938"/>
      <c r="DD5" s="938"/>
      <c r="DE5" s="938"/>
      <c r="DF5" s="712" t="str">
        <f>IF('min. Düngung 22'!AL7="",'#min'!$D$6,'min. Düngung 22'!AL7)</f>
        <v xml:space="preserve"> --</v>
      </c>
      <c r="DG5" s="731" t="s">
        <v>1401</v>
      </c>
      <c r="DH5" s="81">
        <f>VLOOKUP(DF5,Tab_min[[Mineraldünger]:[Nährstoffgehalt P2O5]],'#min'!$J$1,FALSE)</f>
        <v>0</v>
      </c>
      <c r="DI5" s="938"/>
      <c r="DJ5" s="938"/>
      <c r="DK5" s="938"/>
      <c r="DL5" s="938"/>
      <c r="DM5" s="938"/>
      <c r="DN5" s="938"/>
      <c r="DO5" s="712" t="str">
        <f>IF('min. Düngung 22'!AO7="",'#min'!$D$6,'min. Düngung 22'!AO7)</f>
        <v xml:space="preserve"> --</v>
      </c>
      <c r="DP5" s="731" t="s">
        <v>1401</v>
      </c>
      <c r="DQ5" s="81">
        <f>VLOOKUP(DO5,Tab_min[[Mineraldünger]:[Nährstoffgehalt P2O5]],'#min'!$J$1,FALSE)</f>
        <v>0</v>
      </c>
      <c r="DR5" s="938"/>
      <c r="DS5" s="938"/>
      <c r="DT5" s="938"/>
      <c r="DU5" s="938"/>
      <c r="DV5" s="938"/>
      <c r="DW5" s="938"/>
      <c r="DX5" s="712" t="str">
        <f>IF('min. Düngung 22'!AR7="",'#min'!$D$6,'min. Düngung 22'!AR7)</f>
        <v xml:space="preserve"> --</v>
      </c>
      <c r="DY5" s="731" t="s">
        <v>1401</v>
      </c>
      <c r="DZ5" s="81">
        <f>VLOOKUP(DX5,Tab_min[[Mineraldünger]:[Nährstoffgehalt P2O5]],'#min'!$J$1,FALSE)</f>
        <v>0</v>
      </c>
      <c r="EA5" s="938"/>
      <c r="EB5" s="938"/>
      <c r="EC5" s="938"/>
      <c r="ED5" s="938"/>
      <c r="EE5" s="938"/>
      <c r="EF5" s="938"/>
      <c r="EG5" s="712" t="str">
        <f>IF('min. Düngung 22'!AU7="",'#min'!$D$6,'min. Düngung 22'!AU7)</f>
        <v xml:space="preserve"> --</v>
      </c>
      <c r="EH5" s="731" t="s">
        <v>1401</v>
      </c>
      <c r="EI5" s="81">
        <f>VLOOKUP(EG5,Tab_min[[Mineraldünger]:[Nährstoffgehalt P2O5]],'#min'!$J$1,FALSE)</f>
        <v>0</v>
      </c>
      <c r="EJ5" s="938"/>
      <c r="EK5" s="938"/>
      <c r="EL5" s="938"/>
      <c r="EM5" s="938"/>
      <c r="EN5" s="938"/>
      <c r="EO5" s="938"/>
      <c r="EP5" s="712" t="str">
        <f>IF('min. Düngung 22'!AX7="",'#min'!$D$6,'min. Düngung 22'!AX7)</f>
        <v xml:space="preserve"> --</v>
      </c>
      <c r="EQ5" s="731" t="s">
        <v>1401</v>
      </c>
      <c r="ER5" s="81">
        <f>VLOOKUP(EP5,Tab_min[[Mineraldünger]:[Nährstoffgehalt P2O5]],'#min'!$J$1,FALSE)</f>
        <v>0</v>
      </c>
      <c r="ES5" s="938"/>
      <c r="ET5" s="938"/>
      <c r="EU5" s="938"/>
      <c r="EV5" s="938"/>
      <c r="EW5" s="938"/>
      <c r="EX5" s="938"/>
      <c r="EY5" s="712" t="str">
        <f>IF('min. Düngung 22'!BA7="",'#min'!$D$6,'min. Düngung 22'!BA7)</f>
        <v xml:space="preserve"> --</v>
      </c>
      <c r="EZ5" s="731" t="s">
        <v>1401</v>
      </c>
      <c r="FA5" s="81">
        <f>VLOOKUP(EY5,Tab_min[[Mineraldünger]:[Nährstoffgehalt P2O5]],'#min'!$J$1,FALSE)</f>
        <v>0</v>
      </c>
      <c r="FB5" s="938"/>
      <c r="FC5" s="938"/>
      <c r="FD5" s="938"/>
      <c r="FE5" s="938"/>
      <c r="FF5" s="938"/>
      <c r="FG5" s="938"/>
      <c r="FH5" s="712" t="str">
        <f>IF('min. Düngung 22'!BD7="",'#min'!$D$6,'min. Düngung 22'!BD7)</f>
        <v xml:space="preserve"> --</v>
      </c>
      <c r="FI5" s="731" t="s">
        <v>1401</v>
      </c>
      <c r="FJ5" s="81">
        <f>VLOOKUP(FH5,Tab_min[[Mineraldünger]:[Nährstoffgehalt P2O5]],'#min'!$J$1,FALSE)</f>
        <v>0</v>
      </c>
      <c r="FK5" s="938"/>
      <c r="FL5" s="938"/>
      <c r="FM5" s="938"/>
      <c r="FN5" s="938"/>
      <c r="FO5" s="938"/>
      <c r="FP5" s="938"/>
      <c r="FQ5" s="712" t="str">
        <f>IF('min. Düngung 22'!BG7="",'#min'!$D$6,'min. Düngung 22'!BG7)</f>
        <v xml:space="preserve"> --</v>
      </c>
      <c r="FR5" s="731" t="s">
        <v>1401</v>
      </c>
      <c r="FS5" s="81">
        <f>VLOOKUP(FQ5,Tab_min[[Mineraldünger]:[Nährstoffgehalt P2O5]],'#min'!$J$1,FALSE)</f>
        <v>0</v>
      </c>
      <c r="FT5" s="938"/>
      <c r="FU5" s="938"/>
      <c r="FV5" s="938"/>
      <c r="FW5" s="938"/>
      <c r="FX5" s="938"/>
      <c r="FY5" s="938"/>
      <c r="FZ5" s="712" t="str">
        <f>IF('min. Düngung 22'!BJ7="",'#min'!$D$6,'min. Düngung 22'!BJ7)</f>
        <v xml:space="preserve"> --</v>
      </c>
      <c r="GA5" s="731" t="s">
        <v>1401</v>
      </c>
      <c r="GB5" s="81">
        <f>VLOOKUP(FZ5,Tab_min[[Mineraldünger]:[Nährstoffgehalt P2O5]],'#min'!$J$1,FALSE)</f>
        <v>0</v>
      </c>
      <c r="GC5" s="938"/>
      <c r="GD5" s="938"/>
      <c r="GE5" s="938"/>
      <c r="GF5" s="938"/>
      <c r="GG5" s="938"/>
      <c r="GH5" s="938"/>
      <c r="GI5" s="712" t="str">
        <f>IF('min. Düngung 22'!BM7="",'#min'!$D$6,'min. Düngung 22'!BM7)</f>
        <v xml:space="preserve"> --</v>
      </c>
      <c r="GJ5" s="731" t="s">
        <v>1401</v>
      </c>
      <c r="GK5" s="81">
        <f>VLOOKUP(GI5,Tab_min[[Mineraldünger]:[Nährstoffgehalt P2O5]],'#min'!$J$1,FALSE)</f>
        <v>0</v>
      </c>
      <c r="GL5" s="938"/>
      <c r="GM5" s="938"/>
      <c r="GN5" s="938"/>
      <c r="GO5" s="938"/>
      <c r="GP5" s="938"/>
      <c r="GQ5" s="938"/>
      <c r="GR5" s="712" t="str">
        <f>IF('min. Düngung 22'!BP7="",'#min'!$D$6,'min. Düngung 22'!BP7)</f>
        <v xml:space="preserve"> --</v>
      </c>
      <c r="GS5" s="731" t="s">
        <v>1401</v>
      </c>
      <c r="GT5" s="81">
        <f>VLOOKUP(GR5,Tab_min[[Mineraldünger]:[Nährstoffgehalt P2O5]],'#min'!$J$1,FALSE)</f>
        <v>0</v>
      </c>
      <c r="GU5" s="938"/>
      <c r="GV5" s="938"/>
      <c r="GW5" s="938"/>
      <c r="GX5" s="938"/>
      <c r="GY5" s="938"/>
      <c r="GZ5" s="938"/>
      <c r="HA5" s="712" t="str">
        <f>IF('min. Düngung 22'!BS7="",'#min'!$D$6,'min. Düngung 22'!BS7)</f>
        <v xml:space="preserve"> --</v>
      </c>
      <c r="HB5" s="731" t="s">
        <v>1401</v>
      </c>
      <c r="HC5" s="81">
        <f>VLOOKUP(HA5,Tab_min[[Mineraldünger]:[Nährstoffgehalt P2O5]],'#min'!$J$1,FALSE)</f>
        <v>0</v>
      </c>
      <c r="HD5" s="938"/>
      <c r="HE5" s="938"/>
      <c r="HF5" s="938"/>
      <c r="HG5" s="938"/>
      <c r="HH5" s="938"/>
      <c r="HI5" s="938"/>
      <c r="HJ5" s="712" t="str">
        <f>IF('min. Düngung 22'!BV7="",'#min'!$D$6,'min. Düngung 22'!BV7)</f>
        <v xml:space="preserve"> --</v>
      </c>
      <c r="HK5" s="731" t="s">
        <v>1401</v>
      </c>
      <c r="HL5" s="81">
        <f>VLOOKUP(HJ5,Tab_min[[Mineraldünger]:[Nährstoffgehalt P2O5]],'#min'!$J$1,FALSE)</f>
        <v>0</v>
      </c>
      <c r="HM5" s="938"/>
      <c r="HN5" s="938"/>
      <c r="HO5" s="938"/>
      <c r="HP5" s="938"/>
      <c r="HQ5" s="938"/>
      <c r="HR5" s="938"/>
      <c r="HS5" s="712" t="str">
        <f>IF('min. Düngung 22'!BY7="",'#min'!$D$6,'min. Düngung 22'!BY7)</f>
        <v xml:space="preserve"> --</v>
      </c>
      <c r="HT5" s="731" t="s">
        <v>1401</v>
      </c>
      <c r="HU5" s="81">
        <f>VLOOKUP(HS5,Tab_min[[Mineraldünger]:[Nährstoffgehalt P2O5]],'#min'!$J$1,FALSE)</f>
        <v>0</v>
      </c>
      <c r="HV5" s="938"/>
      <c r="HW5" s="938"/>
      <c r="HX5" s="938"/>
      <c r="HY5" s="938"/>
      <c r="HZ5" s="938"/>
      <c r="IA5" s="938"/>
      <c r="IB5" s="712" t="str">
        <f>IF('min. Düngung 22'!CB7="",'#min'!$D$6,'min. Düngung 22'!CB7)</f>
        <v xml:space="preserve"> --</v>
      </c>
      <c r="IC5" s="731" t="s">
        <v>1401</v>
      </c>
      <c r="ID5" s="81">
        <f>VLOOKUP(IB5,Tab_min[[Mineraldünger]:[Nährstoffgehalt P2O5]],'#min'!$J$1,FALSE)</f>
        <v>0</v>
      </c>
      <c r="IE5" s="938"/>
      <c r="IF5" s="938"/>
      <c r="IG5" s="938"/>
      <c r="IH5" s="938"/>
      <c r="II5" s="938"/>
      <c r="IJ5" s="938"/>
      <c r="IK5" s="712" t="str">
        <f>IF('min. Düngung 22'!CE7="",'#min'!$D$6,'min. Düngung 22'!CE7)</f>
        <v xml:space="preserve"> --</v>
      </c>
      <c r="IL5" s="731" t="s">
        <v>1401</v>
      </c>
      <c r="IM5" s="81">
        <f>VLOOKUP(IK5,Tab_min[[Mineraldünger]:[Nährstoffgehalt P2O5]],'#min'!$J$1,FALSE)</f>
        <v>0</v>
      </c>
      <c r="IN5" s="938"/>
      <c r="IO5" s="938"/>
      <c r="IP5" s="938"/>
      <c r="IQ5" s="938"/>
      <c r="IR5" s="938"/>
      <c r="IS5" s="938"/>
      <c r="IT5" s="712" t="str">
        <f>IF('min. Düngung 22'!CH7="",'#min'!$D$6,'min. Düngung 22'!CH7)</f>
        <v xml:space="preserve"> --</v>
      </c>
      <c r="IU5" s="731" t="s">
        <v>1401</v>
      </c>
      <c r="IV5" s="81">
        <f>VLOOKUP(IT5,Tab_min[[Mineraldünger]:[Nährstoffgehalt P2O5]],'#min'!$J$1,FALSE)</f>
        <v>0</v>
      </c>
      <c r="IW5" s="938"/>
      <c r="IX5" s="938"/>
      <c r="IY5" s="938"/>
      <c r="IZ5" s="938"/>
      <c r="JA5" s="938"/>
      <c r="JB5" s="938"/>
      <c r="JC5" s="712" t="str">
        <f>IF('min. Düngung 22'!CK7="",'#min'!$D$6,'min. Düngung 22'!CK7)</f>
        <v xml:space="preserve"> --</v>
      </c>
      <c r="JD5" s="731" t="s">
        <v>1401</v>
      </c>
      <c r="JE5" s="81">
        <f>VLOOKUP(JC5,Tab_min[[Mineraldünger]:[Nährstoffgehalt P2O5]],'#min'!$J$1,FALSE)</f>
        <v>0</v>
      </c>
      <c r="JF5" s="938"/>
      <c r="JG5" s="938"/>
      <c r="JH5" s="938"/>
      <c r="JI5" s="938"/>
      <c r="JJ5" s="938"/>
      <c r="JK5" s="938"/>
      <c r="JL5" s="712" t="str">
        <f>IF('min. Düngung 22'!CN7="",'#min'!$D$6,'min. Düngung 22'!CN7)</f>
        <v xml:space="preserve"> --</v>
      </c>
      <c r="JM5" s="731" t="s">
        <v>1401</v>
      </c>
      <c r="JN5" s="81">
        <f>VLOOKUP(JL5,Tab_min[[Mineraldünger]:[Nährstoffgehalt P2O5]],'#min'!$J$1,FALSE)</f>
        <v>0</v>
      </c>
      <c r="JO5" s="938"/>
      <c r="JP5" s="938"/>
      <c r="JQ5" s="938"/>
      <c r="JR5" s="938"/>
      <c r="JS5" s="938"/>
      <c r="JT5" s="938"/>
      <c r="JU5" s="712" t="str">
        <f>IF('min. Düngung 22'!CQ7="",'#min'!$D$6,'min. Düngung 22'!CQ7)</f>
        <v xml:space="preserve"> --</v>
      </c>
      <c r="JV5" s="731" t="s">
        <v>1401</v>
      </c>
      <c r="JW5" s="81">
        <f>VLOOKUP(JU5,Tab_min[[Mineraldünger]:[Nährstoffgehalt P2O5]],'#min'!$J$1,FALSE)</f>
        <v>0</v>
      </c>
      <c r="JX5" s="938"/>
      <c r="JY5" s="938"/>
      <c r="JZ5" s="938"/>
      <c r="KA5" s="938"/>
      <c r="KB5" s="938"/>
      <c r="KC5" s="938"/>
      <c r="KF5" s="938" t="s">
        <v>1651</v>
      </c>
      <c r="KG5" s="332" t="s">
        <v>1184</v>
      </c>
      <c r="KH5" s="332" t="s">
        <v>1185</v>
      </c>
      <c r="KI5" s="332" t="s">
        <v>1819</v>
      </c>
      <c r="KJ5" s="49" t="s">
        <v>1825</v>
      </c>
    </row>
    <row r="6" spans="1:296" x14ac:dyDescent="0.2">
      <c r="A6" s="714"/>
      <c r="B6" s="714"/>
      <c r="C6" s="714"/>
      <c r="D6" s="714"/>
      <c r="E6" s="714"/>
      <c r="F6" s="714"/>
      <c r="G6" s="714"/>
      <c r="H6" s="714"/>
      <c r="I6" s="714"/>
      <c r="J6" s="714"/>
      <c r="K6" s="714"/>
      <c r="L6" t="s">
        <v>1413</v>
      </c>
      <c r="M6" cm="1">
        <f t="array" ref="M6">SUMPRODUCT(M11:M110,(F11:F110=1)*1,B11:B110,(E11:E110="x")*1)+SUMPRODUCT(M11:M110,(F11:F110=2)*1,B11:B110,(E11:E110="x")*1)</f>
        <v>0</v>
      </c>
      <c r="O6" s="1611" cm="1">
        <f t="array" ref="O6">SUMPRODUCT(P11:P110,B11:B110,(E11:E110="x")*1,(F11:F110&lt;3)*1)+SUMPRODUCT(O11:O110,B11:B110,(E11:E110="x")*1,(F11:F110&lt;3)*1)</f>
        <v>0</v>
      </c>
      <c r="P6" s="1611"/>
      <c r="Q6" s="939"/>
      <c r="R6" cm="1">
        <f t="array" ref="R6">SUMPRODUCT(R11:R110,(I11:I110=80)*1,B11:B110,(E11:E110="x")*1)</f>
        <v>0</v>
      </c>
      <c r="S6" s="716" t="s">
        <v>1126</v>
      </c>
      <c r="T6" s="712">
        <f>IF('min. Düngung 22'!H9="",0,VLOOKUP('min. Düngung 22'!H9,'#Boden'!$B$41:$C$43,2,FALSE))</f>
        <v>3</v>
      </c>
      <c r="U6" s="72"/>
      <c r="V6" s="31"/>
      <c r="W6" s="699" t="s">
        <v>10</v>
      </c>
      <c r="X6" s="699"/>
      <c r="Y6" s="699"/>
      <c r="Z6" s="701" t="s">
        <v>1315</v>
      </c>
      <c r="AA6" s="701"/>
      <c r="AB6" s="704" t="s">
        <v>1316</v>
      </c>
      <c r="AC6" s="712">
        <f>IF('min. Düngung 22'!K9="",0,VLOOKUP('min. Düngung 22'!K9,'#Boden'!$B$41:$C$43,2,FALSE))</f>
        <v>1</v>
      </c>
      <c r="AD6" s="72"/>
      <c r="AE6" s="31"/>
      <c r="AF6" s="699" t="s">
        <v>10</v>
      </c>
      <c r="AG6" s="699"/>
      <c r="AH6" s="699"/>
      <c r="AI6" s="701" t="s">
        <v>1315</v>
      </c>
      <c r="AJ6" s="701"/>
      <c r="AK6" s="704" t="s">
        <v>1316</v>
      </c>
      <c r="AL6" s="712">
        <f>IF('min. Düngung 22'!N9="",0,VLOOKUP('min. Düngung 22'!N9,'#Boden'!$B$41:$C$43,2,FALSE))</f>
        <v>3</v>
      </c>
      <c r="AM6" s="72"/>
      <c r="AN6" s="31"/>
      <c r="AO6" s="699" t="s">
        <v>10</v>
      </c>
      <c r="AP6" s="699"/>
      <c r="AQ6" s="699"/>
      <c r="AR6" s="701" t="s">
        <v>1315</v>
      </c>
      <c r="AS6" s="701"/>
      <c r="AT6" s="704" t="s">
        <v>1316</v>
      </c>
      <c r="AU6" s="712">
        <f>IF('min. Düngung 22'!Q9="",0,VLOOKUP('min. Düngung 22'!Q9,'#Boden'!$B$41:$C$43,2,FALSE))</f>
        <v>3</v>
      </c>
      <c r="AV6" s="72"/>
      <c r="AW6" s="31"/>
      <c r="AX6" s="699" t="s">
        <v>10</v>
      </c>
      <c r="AY6" s="699"/>
      <c r="AZ6" s="699"/>
      <c r="BA6" s="701" t="s">
        <v>1315</v>
      </c>
      <c r="BB6" s="701"/>
      <c r="BC6" s="704" t="s">
        <v>1316</v>
      </c>
      <c r="BD6" s="712">
        <f>IF('min. Düngung 22'!T9="",0,VLOOKUP('min. Düngung 22'!T9,'#Boden'!$B$41:$C$43,2,FALSE))</f>
        <v>3</v>
      </c>
      <c r="BE6" s="72"/>
      <c r="BF6" s="31"/>
      <c r="BG6" s="699" t="s">
        <v>10</v>
      </c>
      <c r="BH6" s="699"/>
      <c r="BI6" s="699"/>
      <c r="BJ6" s="701" t="s">
        <v>1315</v>
      </c>
      <c r="BK6" s="701"/>
      <c r="BL6" s="704" t="s">
        <v>1316</v>
      </c>
      <c r="BM6" s="712">
        <f>IF('min. Düngung 22'!W9="",0,VLOOKUP('min. Düngung 22'!W9,'#Boden'!$B$41:$C$43,2,FALSE))</f>
        <v>3</v>
      </c>
      <c r="BN6" s="72"/>
      <c r="BO6" s="31"/>
      <c r="BP6" s="699" t="s">
        <v>10</v>
      </c>
      <c r="BQ6" s="699"/>
      <c r="BR6" s="699"/>
      <c r="BS6" s="701" t="s">
        <v>1315</v>
      </c>
      <c r="BT6" s="701"/>
      <c r="BU6" s="704" t="s">
        <v>1316</v>
      </c>
      <c r="BV6" s="712">
        <f>IF('min. Düngung 22'!Z9="",0,VLOOKUP('min. Düngung 22'!Z9,'#Boden'!$B$41:$C$43,2,FALSE))</f>
        <v>3</v>
      </c>
      <c r="BW6" s="72"/>
      <c r="BX6" s="31"/>
      <c r="BY6" s="699" t="s">
        <v>10</v>
      </c>
      <c r="BZ6" s="699"/>
      <c r="CA6" s="699"/>
      <c r="CB6" s="701" t="s">
        <v>1315</v>
      </c>
      <c r="CC6" s="701"/>
      <c r="CD6" s="704" t="s">
        <v>1316</v>
      </c>
      <c r="CE6" s="712">
        <f>IF('min. Düngung 22'!AC9="",0,VLOOKUP('min. Düngung 22'!AC9,'#Boden'!$B$41:$C$43,2,FALSE))</f>
        <v>3</v>
      </c>
      <c r="CF6" s="72"/>
      <c r="CG6" s="31"/>
      <c r="CH6" s="699" t="s">
        <v>10</v>
      </c>
      <c r="CI6" s="699"/>
      <c r="CJ6" s="699"/>
      <c r="CK6" s="701" t="s">
        <v>1315</v>
      </c>
      <c r="CL6" s="701"/>
      <c r="CM6" s="704" t="s">
        <v>1316</v>
      </c>
      <c r="CN6" s="712">
        <f>IF('min. Düngung 22'!AF9="",0,VLOOKUP('min. Düngung 22'!AF9,'#Boden'!$B$41:$C$43,2,FALSE))</f>
        <v>3</v>
      </c>
      <c r="CO6" s="72"/>
      <c r="CP6" s="31"/>
      <c r="CQ6" s="699" t="s">
        <v>10</v>
      </c>
      <c r="CR6" s="699"/>
      <c r="CS6" s="699"/>
      <c r="CT6" s="701" t="s">
        <v>1315</v>
      </c>
      <c r="CU6" s="701"/>
      <c r="CV6" s="704" t="s">
        <v>1316</v>
      </c>
      <c r="CW6" s="712">
        <f>IF('min. Düngung 22'!AI9="",0,VLOOKUP('min. Düngung 22'!AI9,'#Boden'!$B$41:$C$43,2,FALSE))</f>
        <v>3</v>
      </c>
      <c r="CX6" s="72"/>
      <c r="CY6" s="31"/>
      <c r="CZ6" s="699" t="s">
        <v>10</v>
      </c>
      <c r="DA6" s="699"/>
      <c r="DB6" s="699"/>
      <c r="DC6" s="701" t="s">
        <v>1315</v>
      </c>
      <c r="DD6" s="701"/>
      <c r="DE6" s="704" t="s">
        <v>1316</v>
      </c>
      <c r="DF6" s="712">
        <f>IF('min. Düngung 22'!AL9="",0,VLOOKUP('min. Düngung 22'!AL9,'#Boden'!$B$41:$C$43,2,FALSE))</f>
        <v>3</v>
      </c>
      <c r="DG6" s="72"/>
      <c r="DH6" s="31"/>
      <c r="DI6" s="699" t="s">
        <v>10</v>
      </c>
      <c r="DJ6" s="699"/>
      <c r="DK6" s="699"/>
      <c r="DL6" s="701" t="s">
        <v>1315</v>
      </c>
      <c r="DM6" s="701"/>
      <c r="DN6" s="704" t="s">
        <v>1316</v>
      </c>
      <c r="DO6" s="712">
        <f>IF('min. Düngung 22'!AO9="",0,VLOOKUP('min. Düngung 22'!AO9,'#Boden'!$B$41:$C$43,2,FALSE))</f>
        <v>3</v>
      </c>
      <c r="DP6" s="72"/>
      <c r="DQ6" s="31"/>
      <c r="DR6" s="699" t="s">
        <v>10</v>
      </c>
      <c r="DS6" s="699"/>
      <c r="DT6" s="699"/>
      <c r="DU6" s="701" t="s">
        <v>1315</v>
      </c>
      <c r="DV6" s="701"/>
      <c r="DW6" s="704" t="s">
        <v>1316</v>
      </c>
      <c r="DX6" s="712">
        <f>IF('min. Düngung 22'!AR9="",0,VLOOKUP('min. Düngung 22'!AR9,'#Boden'!$B$41:$C$43,2,FALSE))</f>
        <v>3</v>
      </c>
      <c r="DY6" s="72"/>
      <c r="DZ6" s="31"/>
      <c r="EA6" s="699" t="s">
        <v>10</v>
      </c>
      <c r="EB6" s="699"/>
      <c r="EC6" s="699"/>
      <c r="ED6" s="701" t="s">
        <v>1315</v>
      </c>
      <c r="EE6" s="701"/>
      <c r="EF6" s="704" t="s">
        <v>1316</v>
      </c>
      <c r="EG6" s="712">
        <f>IF('min. Düngung 22'!AU9="",0,VLOOKUP('min. Düngung 22'!AU9,'#Boden'!$B$41:$C$43,2,FALSE))</f>
        <v>3</v>
      </c>
      <c r="EH6" s="72"/>
      <c r="EI6" s="31"/>
      <c r="EJ6" s="699" t="s">
        <v>10</v>
      </c>
      <c r="EK6" s="699"/>
      <c r="EL6" s="699"/>
      <c r="EM6" s="701" t="s">
        <v>1315</v>
      </c>
      <c r="EN6" s="701"/>
      <c r="EO6" s="704" t="s">
        <v>1316</v>
      </c>
      <c r="EP6" s="712">
        <f>IF('min. Düngung 22'!AX9="",0,VLOOKUP('min. Düngung 22'!AX9,'#Boden'!$B$41:$C$43,2,FALSE))</f>
        <v>3</v>
      </c>
      <c r="EQ6" s="72"/>
      <c r="ER6" s="31"/>
      <c r="ES6" s="699" t="s">
        <v>10</v>
      </c>
      <c r="ET6" s="699"/>
      <c r="EU6" s="699"/>
      <c r="EV6" s="701" t="s">
        <v>1315</v>
      </c>
      <c r="EW6" s="701"/>
      <c r="EX6" s="704" t="s">
        <v>1316</v>
      </c>
      <c r="EY6" s="712">
        <f>IF('min. Düngung 22'!BA9="",0,VLOOKUP('min. Düngung 22'!BA9,'#Boden'!$B$41:$C$43,2,FALSE))</f>
        <v>3</v>
      </c>
      <c r="EZ6" s="72"/>
      <c r="FA6" s="31"/>
      <c r="FB6" s="699" t="s">
        <v>10</v>
      </c>
      <c r="FC6" s="699"/>
      <c r="FD6" s="699"/>
      <c r="FE6" s="701" t="s">
        <v>1315</v>
      </c>
      <c r="FF6" s="701"/>
      <c r="FG6" s="704" t="s">
        <v>1316</v>
      </c>
      <c r="FH6" s="712">
        <f>IF('min. Düngung 22'!BD9="",0,VLOOKUP('min. Düngung 22'!BD9,'#Boden'!$B$41:$C$43,2,FALSE))</f>
        <v>3</v>
      </c>
      <c r="FI6" s="72"/>
      <c r="FJ6" s="31"/>
      <c r="FK6" s="699" t="s">
        <v>10</v>
      </c>
      <c r="FL6" s="699"/>
      <c r="FM6" s="699"/>
      <c r="FN6" s="701" t="s">
        <v>1315</v>
      </c>
      <c r="FO6" s="701"/>
      <c r="FP6" s="704" t="s">
        <v>1316</v>
      </c>
      <c r="FQ6" s="712">
        <f>IF('min. Düngung 22'!BG9="",0,VLOOKUP('min. Düngung 22'!BG9,'#Boden'!$B$41:$C$43,2,FALSE))</f>
        <v>3</v>
      </c>
      <c r="FR6" s="72"/>
      <c r="FS6" s="31"/>
      <c r="FT6" s="699" t="s">
        <v>10</v>
      </c>
      <c r="FU6" s="699"/>
      <c r="FV6" s="699"/>
      <c r="FW6" s="701" t="s">
        <v>1315</v>
      </c>
      <c r="FX6" s="701"/>
      <c r="FY6" s="704" t="s">
        <v>1316</v>
      </c>
      <c r="FZ6" s="712">
        <f>IF('min. Düngung 22'!BJ9="",0,VLOOKUP('min. Düngung 22'!BJ9,'#Boden'!$B$41:$C$43,2,FALSE))</f>
        <v>3</v>
      </c>
      <c r="GA6" s="72"/>
      <c r="GB6" s="31"/>
      <c r="GC6" s="699" t="s">
        <v>10</v>
      </c>
      <c r="GD6" s="699"/>
      <c r="GE6" s="699"/>
      <c r="GF6" s="701" t="s">
        <v>1315</v>
      </c>
      <c r="GG6" s="701"/>
      <c r="GH6" s="704" t="s">
        <v>1316</v>
      </c>
      <c r="GI6" s="712">
        <f>IF('min. Düngung 22'!BM9="",0,VLOOKUP('min. Düngung 22'!BM9,'#Boden'!$B$41:$C$43,2,FALSE))</f>
        <v>3</v>
      </c>
      <c r="GJ6" s="72"/>
      <c r="GK6" s="31"/>
      <c r="GL6" s="699" t="s">
        <v>10</v>
      </c>
      <c r="GM6" s="699"/>
      <c r="GN6" s="699"/>
      <c r="GO6" s="701" t="s">
        <v>1315</v>
      </c>
      <c r="GP6" s="701"/>
      <c r="GQ6" s="704" t="s">
        <v>1316</v>
      </c>
      <c r="GR6" s="712">
        <f>IF('min. Düngung 22'!BP9="",0,VLOOKUP('min. Düngung 22'!BP9,'#Boden'!$B$41:$C$43,2,FALSE))</f>
        <v>3</v>
      </c>
      <c r="GS6" s="72"/>
      <c r="GT6" s="31"/>
      <c r="GU6" s="699" t="s">
        <v>10</v>
      </c>
      <c r="GV6" s="699"/>
      <c r="GW6" s="699"/>
      <c r="GX6" s="701" t="s">
        <v>1315</v>
      </c>
      <c r="GY6" s="701"/>
      <c r="GZ6" s="704" t="s">
        <v>1316</v>
      </c>
      <c r="HA6" s="712">
        <f>IF('min. Düngung 22'!BS9="",0,VLOOKUP('min. Düngung 22'!BS9,'#Boden'!$B$41:$C$43,2,FALSE))</f>
        <v>3</v>
      </c>
      <c r="HB6" s="72"/>
      <c r="HC6" s="31"/>
      <c r="HD6" s="699" t="s">
        <v>10</v>
      </c>
      <c r="HE6" s="699"/>
      <c r="HF6" s="699"/>
      <c r="HG6" s="701" t="s">
        <v>1315</v>
      </c>
      <c r="HH6" s="701"/>
      <c r="HI6" s="704" t="s">
        <v>1316</v>
      </c>
      <c r="HJ6" s="712">
        <f>IF('min. Düngung 22'!BV9="",0,VLOOKUP('min. Düngung 22'!BV9,'#Boden'!$B$41:$C$43,2,FALSE))</f>
        <v>3</v>
      </c>
      <c r="HK6" s="72"/>
      <c r="HL6" s="31"/>
      <c r="HM6" s="699" t="s">
        <v>10</v>
      </c>
      <c r="HN6" s="699"/>
      <c r="HO6" s="699"/>
      <c r="HP6" s="701" t="s">
        <v>1315</v>
      </c>
      <c r="HQ6" s="701"/>
      <c r="HR6" s="704" t="s">
        <v>1316</v>
      </c>
      <c r="HS6" s="712">
        <f>IF('min. Düngung 22'!BY9="",0,VLOOKUP('min. Düngung 22'!BY9,'#Boden'!$B$41:$C$43,2,FALSE))</f>
        <v>3</v>
      </c>
      <c r="HT6" s="72"/>
      <c r="HU6" s="31"/>
      <c r="HV6" s="699" t="s">
        <v>10</v>
      </c>
      <c r="HW6" s="699"/>
      <c r="HX6" s="699"/>
      <c r="HY6" s="701" t="s">
        <v>1315</v>
      </c>
      <c r="HZ6" s="701"/>
      <c r="IA6" s="704" t="s">
        <v>1316</v>
      </c>
      <c r="IB6" s="712">
        <f>IF('min. Düngung 22'!CB9="",0,VLOOKUP('min. Düngung 22'!CB9,'#Boden'!$B$41:$C$43,2,FALSE))</f>
        <v>3</v>
      </c>
      <c r="IC6" s="72"/>
      <c r="ID6" s="31"/>
      <c r="IE6" s="699" t="s">
        <v>10</v>
      </c>
      <c r="IF6" s="699"/>
      <c r="IG6" s="699"/>
      <c r="IH6" s="701" t="s">
        <v>1315</v>
      </c>
      <c r="II6" s="701"/>
      <c r="IJ6" s="704" t="s">
        <v>1316</v>
      </c>
      <c r="IK6" s="712">
        <f>IF('min. Düngung 22'!CE9="",0,VLOOKUP('min. Düngung 22'!CE9,'#Boden'!$B$41:$C$43,2,FALSE))</f>
        <v>3</v>
      </c>
      <c r="IL6" s="72"/>
      <c r="IM6" s="31"/>
      <c r="IN6" s="699" t="s">
        <v>10</v>
      </c>
      <c r="IO6" s="699"/>
      <c r="IP6" s="699"/>
      <c r="IQ6" s="701" t="s">
        <v>1315</v>
      </c>
      <c r="IR6" s="701"/>
      <c r="IS6" s="704" t="s">
        <v>1316</v>
      </c>
      <c r="IT6" s="712">
        <f>IF('min. Düngung 22'!CH9="",0,VLOOKUP('min. Düngung 22'!CH9,'#Boden'!$B$41:$C$43,2,FALSE))</f>
        <v>3</v>
      </c>
      <c r="IU6" s="72"/>
      <c r="IV6" s="31"/>
      <c r="IW6" s="699" t="s">
        <v>10</v>
      </c>
      <c r="IX6" s="699"/>
      <c r="IY6" s="699"/>
      <c r="IZ6" s="701" t="s">
        <v>1315</v>
      </c>
      <c r="JA6" s="701"/>
      <c r="JB6" s="704" t="s">
        <v>1316</v>
      </c>
      <c r="JC6" s="712">
        <f>IF('min. Düngung 22'!CK9="",0,VLOOKUP('min. Düngung 22'!CK9,'#Boden'!$B$41:$C$43,2,FALSE))</f>
        <v>3</v>
      </c>
      <c r="JD6" s="72"/>
      <c r="JE6" s="31"/>
      <c r="JF6" s="699" t="s">
        <v>10</v>
      </c>
      <c r="JG6" s="699"/>
      <c r="JH6" s="699"/>
      <c r="JI6" s="701" t="s">
        <v>1315</v>
      </c>
      <c r="JJ6" s="701"/>
      <c r="JK6" s="704" t="s">
        <v>1316</v>
      </c>
      <c r="JL6" s="712">
        <f>IF('min. Düngung 22'!CN9="",0,VLOOKUP('min. Düngung 22'!CN9,'#Boden'!$B$41:$C$43,2,FALSE))</f>
        <v>3</v>
      </c>
      <c r="JM6" s="72"/>
      <c r="JN6" s="31"/>
      <c r="JO6" s="699" t="s">
        <v>10</v>
      </c>
      <c r="JP6" s="699"/>
      <c r="JQ6" s="699"/>
      <c r="JR6" s="701" t="s">
        <v>1315</v>
      </c>
      <c r="JS6" s="701"/>
      <c r="JT6" s="704" t="s">
        <v>1316</v>
      </c>
      <c r="JU6" s="712">
        <f>IF('min. Düngung 22'!CQ9="",0,VLOOKUP('min. Düngung 22'!CQ9,'#Boden'!$B$41:$C$43,2,FALSE))</f>
        <v>3</v>
      </c>
      <c r="JV6" s="72"/>
      <c r="JW6" s="31"/>
      <c r="JX6" s="699" t="s">
        <v>10</v>
      </c>
      <c r="JY6" s="699"/>
      <c r="JZ6" s="699"/>
      <c r="KA6" s="701" t="s">
        <v>1315</v>
      </c>
      <c r="KB6" s="701"/>
      <c r="KC6" s="704" t="s">
        <v>1316</v>
      </c>
    </row>
    <row r="7" spans="1:296" s="332" customFormat="1" ht="25.5" x14ac:dyDescent="0.2">
      <c r="L7" s="332" t="s">
        <v>1414</v>
      </c>
      <c r="M7" s="332" cm="1">
        <f t="array" ref="M7">SUMPRODUCT(M11:M110,(F11:F110=3)*1,B11:B110,(E11:E110="x")*1)</f>
        <v>0</v>
      </c>
      <c r="O7" s="1538" cm="1">
        <f t="array" ref="O7">SUMPRODUCT(P11:P110,B11:B110,(E11:E110="x")*1,(F11:F110=3)*1)+SUMPRODUCT(O11:O110,B11:B110,(E11:E110="x")*1,(F11:F110=3)*1)</f>
        <v>0</v>
      </c>
      <c r="P7" s="1538"/>
      <c r="Q7" s="937"/>
      <c r="R7" s="332" cm="1">
        <f t="array" ref="R7">SUMPRODUCT(R11:R110,(I11:I110=70)*1,B11:B110,(E11:E110="x")*1)</f>
        <v>0</v>
      </c>
      <c r="T7" s="49" t="s">
        <v>1128</v>
      </c>
      <c r="U7" s="625"/>
      <c r="V7" s="625"/>
      <c r="W7" s="49" t="s">
        <v>1339</v>
      </c>
      <c r="X7" s="49" t="s">
        <v>7</v>
      </c>
      <c r="Y7" s="49" t="s">
        <v>228</v>
      </c>
      <c r="Z7" s="49" t="s">
        <v>1394</v>
      </c>
      <c r="AA7" s="49" t="s">
        <v>1395</v>
      </c>
      <c r="AB7" s="49" t="s">
        <v>1396</v>
      </c>
      <c r="AC7" s="49" t="s">
        <v>1128</v>
      </c>
      <c r="AD7" s="625"/>
      <c r="AE7" s="625"/>
      <c r="AF7" s="49" t="s">
        <v>1339</v>
      </c>
      <c r="AG7" s="49" t="s">
        <v>7</v>
      </c>
      <c r="AH7" s="49" t="s">
        <v>228</v>
      </c>
      <c r="AI7" s="49" t="s">
        <v>1394</v>
      </c>
      <c r="AJ7" s="49" t="s">
        <v>1395</v>
      </c>
      <c r="AK7" s="49" t="s">
        <v>1396</v>
      </c>
      <c r="AL7" s="49" t="s">
        <v>1128</v>
      </c>
      <c r="AM7" s="625"/>
      <c r="AN7" s="625"/>
      <c r="AO7" s="49" t="s">
        <v>1339</v>
      </c>
      <c r="AP7" s="49" t="s">
        <v>7</v>
      </c>
      <c r="AQ7" s="49" t="s">
        <v>228</v>
      </c>
      <c r="AR7" s="49" t="s">
        <v>1394</v>
      </c>
      <c r="AS7" s="49" t="s">
        <v>1395</v>
      </c>
      <c r="AT7" s="49" t="s">
        <v>1396</v>
      </c>
      <c r="AU7" s="49" t="s">
        <v>1128</v>
      </c>
      <c r="AV7" s="625"/>
      <c r="AW7" s="625"/>
      <c r="AX7" s="49" t="s">
        <v>1339</v>
      </c>
      <c r="AY7" s="49" t="s">
        <v>7</v>
      </c>
      <c r="AZ7" s="49" t="s">
        <v>228</v>
      </c>
      <c r="BA7" s="49" t="s">
        <v>1394</v>
      </c>
      <c r="BB7" s="49" t="s">
        <v>1395</v>
      </c>
      <c r="BC7" s="49" t="s">
        <v>1396</v>
      </c>
      <c r="BD7" s="49" t="s">
        <v>1128</v>
      </c>
      <c r="BE7" s="625"/>
      <c r="BF7" s="625"/>
      <c r="BG7" s="49" t="s">
        <v>1339</v>
      </c>
      <c r="BH7" s="49" t="s">
        <v>7</v>
      </c>
      <c r="BI7" s="49" t="s">
        <v>228</v>
      </c>
      <c r="BJ7" s="49" t="s">
        <v>1394</v>
      </c>
      <c r="BK7" s="49" t="s">
        <v>1395</v>
      </c>
      <c r="BL7" s="49" t="s">
        <v>1396</v>
      </c>
      <c r="BM7" s="49" t="s">
        <v>1128</v>
      </c>
      <c r="BN7" s="625"/>
      <c r="BO7" s="625"/>
      <c r="BP7" s="49" t="s">
        <v>1339</v>
      </c>
      <c r="BQ7" s="49" t="s">
        <v>7</v>
      </c>
      <c r="BR7" s="49" t="s">
        <v>228</v>
      </c>
      <c r="BS7" s="49" t="s">
        <v>1394</v>
      </c>
      <c r="BT7" s="49" t="s">
        <v>1395</v>
      </c>
      <c r="BU7" s="49" t="s">
        <v>1396</v>
      </c>
      <c r="BV7" s="49" t="s">
        <v>1128</v>
      </c>
      <c r="BW7" s="625"/>
      <c r="BX7" s="625"/>
      <c r="BY7" s="49" t="s">
        <v>1339</v>
      </c>
      <c r="BZ7" s="49" t="s">
        <v>7</v>
      </c>
      <c r="CA7" s="49" t="s">
        <v>228</v>
      </c>
      <c r="CB7" s="49" t="s">
        <v>1394</v>
      </c>
      <c r="CC7" s="49" t="s">
        <v>1395</v>
      </c>
      <c r="CD7" s="49" t="s">
        <v>1396</v>
      </c>
      <c r="CE7" s="49" t="s">
        <v>1128</v>
      </c>
      <c r="CF7" s="625"/>
      <c r="CG7" s="625"/>
      <c r="CH7" s="49" t="s">
        <v>1339</v>
      </c>
      <c r="CI7" s="49" t="s">
        <v>7</v>
      </c>
      <c r="CJ7" s="49" t="s">
        <v>228</v>
      </c>
      <c r="CK7" s="49" t="s">
        <v>1394</v>
      </c>
      <c r="CL7" s="49" t="s">
        <v>1395</v>
      </c>
      <c r="CM7" s="49" t="s">
        <v>1396</v>
      </c>
      <c r="CN7" s="49" t="s">
        <v>1128</v>
      </c>
      <c r="CO7" s="625"/>
      <c r="CP7" s="625"/>
      <c r="CQ7" s="49" t="s">
        <v>1339</v>
      </c>
      <c r="CR7" s="49" t="s">
        <v>7</v>
      </c>
      <c r="CS7" s="49" t="s">
        <v>228</v>
      </c>
      <c r="CT7" s="49" t="s">
        <v>1394</v>
      </c>
      <c r="CU7" s="49" t="s">
        <v>1395</v>
      </c>
      <c r="CV7" s="49" t="s">
        <v>1396</v>
      </c>
      <c r="CW7" s="49" t="s">
        <v>1128</v>
      </c>
      <c r="CX7" s="625"/>
      <c r="CY7" s="625"/>
      <c r="CZ7" s="49" t="s">
        <v>1339</v>
      </c>
      <c r="DA7" s="49" t="s">
        <v>7</v>
      </c>
      <c r="DB7" s="49" t="s">
        <v>228</v>
      </c>
      <c r="DC7" s="49" t="s">
        <v>1394</v>
      </c>
      <c r="DD7" s="49" t="s">
        <v>1395</v>
      </c>
      <c r="DE7" s="49" t="s">
        <v>1396</v>
      </c>
      <c r="DF7" s="49" t="s">
        <v>1128</v>
      </c>
      <c r="DG7" s="625"/>
      <c r="DH7" s="625"/>
      <c r="DI7" s="49" t="s">
        <v>1339</v>
      </c>
      <c r="DJ7" s="49" t="s">
        <v>7</v>
      </c>
      <c r="DK7" s="49" t="s">
        <v>228</v>
      </c>
      <c r="DL7" s="49" t="s">
        <v>1394</v>
      </c>
      <c r="DM7" s="49" t="s">
        <v>1395</v>
      </c>
      <c r="DN7" s="49" t="s">
        <v>1396</v>
      </c>
      <c r="DO7" s="49" t="s">
        <v>1128</v>
      </c>
      <c r="DP7" s="625"/>
      <c r="DQ7" s="625"/>
      <c r="DR7" s="49" t="s">
        <v>1339</v>
      </c>
      <c r="DS7" s="49" t="s">
        <v>7</v>
      </c>
      <c r="DT7" s="49" t="s">
        <v>228</v>
      </c>
      <c r="DU7" s="49" t="s">
        <v>1394</v>
      </c>
      <c r="DV7" s="49" t="s">
        <v>1395</v>
      </c>
      <c r="DW7" s="49" t="s">
        <v>1396</v>
      </c>
      <c r="DX7" s="49" t="s">
        <v>1128</v>
      </c>
      <c r="DY7" s="625"/>
      <c r="DZ7" s="625"/>
      <c r="EA7" s="49" t="s">
        <v>1339</v>
      </c>
      <c r="EB7" s="49" t="s">
        <v>7</v>
      </c>
      <c r="EC7" s="49" t="s">
        <v>228</v>
      </c>
      <c r="ED7" s="49" t="s">
        <v>1394</v>
      </c>
      <c r="EE7" s="49" t="s">
        <v>1395</v>
      </c>
      <c r="EF7" s="49" t="s">
        <v>1396</v>
      </c>
      <c r="EG7" s="49" t="s">
        <v>1128</v>
      </c>
      <c r="EH7" s="625"/>
      <c r="EI7" s="625"/>
      <c r="EJ7" s="49" t="s">
        <v>1339</v>
      </c>
      <c r="EK7" s="49" t="s">
        <v>7</v>
      </c>
      <c r="EL7" s="49" t="s">
        <v>228</v>
      </c>
      <c r="EM7" s="49" t="s">
        <v>1394</v>
      </c>
      <c r="EN7" s="49" t="s">
        <v>1395</v>
      </c>
      <c r="EO7" s="49" t="s">
        <v>1396</v>
      </c>
      <c r="EP7" s="49" t="s">
        <v>1128</v>
      </c>
      <c r="EQ7" s="625"/>
      <c r="ER7" s="625"/>
      <c r="ES7" s="49" t="s">
        <v>1339</v>
      </c>
      <c r="ET7" s="49" t="s">
        <v>7</v>
      </c>
      <c r="EU7" s="49" t="s">
        <v>228</v>
      </c>
      <c r="EV7" s="49" t="s">
        <v>1394</v>
      </c>
      <c r="EW7" s="49" t="s">
        <v>1395</v>
      </c>
      <c r="EX7" s="49" t="s">
        <v>1396</v>
      </c>
      <c r="EY7" s="49" t="s">
        <v>1128</v>
      </c>
      <c r="EZ7" s="625"/>
      <c r="FA7" s="625"/>
      <c r="FB7" s="49" t="s">
        <v>1339</v>
      </c>
      <c r="FC7" s="49" t="s">
        <v>7</v>
      </c>
      <c r="FD7" s="49" t="s">
        <v>228</v>
      </c>
      <c r="FE7" s="49" t="s">
        <v>1394</v>
      </c>
      <c r="FF7" s="49" t="s">
        <v>1395</v>
      </c>
      <c r="FG7" s="49" t="s">
        <v>1396</v>
      </c>
      <c r="FH7" s="49" t="s">
        <v>1128</v>
      </c>
      <c r="FI7" s="625"/>
      <c r="FJ7" s="625"/>
      <c r="FK7" s="49" t="s">
        <v>1339</v>
      </c>
      <c r="FL7" s="49" t="s">
        <v>7</v>
      </c>
      <c r="FM7" s="49" t="s">
        <v>228</v>
      </c>
      <c r="FN7" s="49" t="s">
        <v>1394</v>
      </c>
      <c r="FO7" s="49" t="s">
        <v>1395</v>
      </c>
      <c r="FP7" s="49" t="s">
        <v>1396</v>
      </c>
      <c r="FQ7" s="49" t="s">
        <v>1128</v>
      </c>
      <c r="FR7" s="625"/>
      <c r="FS7" s="625"/>
      <c r="FT7" s="49" t="s">
        <v>1339</v>
      </c>
      <c r="FU7" s="49" t="s">
        <v>7</v>
      </c>
      <c r="FV7" s="49" t="s">
        <v>228</v>
      </c>
      <c r="FW7" s="49" t="s">
        <v>1394</v>
      </c>
      <c r="FX7" s="49" t="s">
        <v>1395</v>
      </c>
      <c r="FY7" s="49" t="s">
        <v>1396</v>
      </c>
      <c r="FZ7" s="49" t="s">
        <v>1128</v>
      </c>
      <c r="GA7" s="625"/>
      <c r="GB7" s="625"/>
      <c r="GC7" s="49" t="s">
        <v>1339</v>
      </c>
      <c r="GD7" s="49" t="s">
        <v>7</v>
      </c>
      <c r="GE7" s="49" t="s">
        <v>228</v>
      </c>
      <c r="GF7" s="49" t="s">
        <v>1394</v>
      </c>
      <c r="GG7" s="49" t="s">
        <v>1395</v>
      </c>
      <c r="GH7" s="49" t="s">
        <v>1396</v>
      </c>
      <c r="GI7" s="49" t="s">
        <v>1128</v>
      </c>
      <c r="GJ7" s="625"/>
      <c r="GK7" s="625"/>
      <c r="GL7" s="49" t="s">
        <v>1339</v>
      </c>
      <c r="GM7" s="49" t="s">
        <v>7</v>
      </c>
      <c r="GN7" s="49" t="s">
        <v>228</v>
      </c>
      <c r="GO7" s="49" t="s">
        <v>1394</v>
      </c>
      <c r="GP7" s="49" t="s">
        <v>1395</v>
      </c>
      <c r="GQ7" s="49" t="s">
        <v>1396</v>
      </c>
      <c r="GR7" s="49" t="s">
        <v>1128</v>
      </c>
      <c r="GS7" s="625"/>
      <c r="GT7" s="625"/>
      <c r="GU7" s="49" t="s">
        <v>1339</v>
      </c>
      <c r="GV7" s="49" t="s">
        <v>7</v>
      </c>
      <c r="GW7" s="49" t="s">
        <v>228</v>
      </c>
      <c r="GX7" s="49" t="s">
        <v>1394</v>
      </c>
      <c r="GY7" s="49" t="s">
        <v>1395</v>
      </c>
      <c r="GZ7" s="49" t="s">
        <v>1396</v>
      </c>
      <c r="HA7" s="49" t="s">
        <v>1128</v>
      </c>
      <c r="HB7" s="625"/>
      <c r="HC7" s="625"/>
      <c r="HD7" s="49" t="s">
        <v>1339</v>
      </c>
      <c r="HE7" s="49" t="s">
        <v>7</v>
      </c>
      <c r="HF7" s="49" t="s">
        <v>228</v>
      </c>
      <c r="HG7" s="49" t="s">
        <v>1394</v>
      </c>
      <c r="HH7" s="49" t="s">
        <v>1395</v>
      </c>
      <c r="HI7" s="49" t="s">
        <v>1396</v>
      </c>
      <c r="HJ7" s="49" t="s">
        <v>1128</v>
      </c>
      <c r="HK7" s="625"/>
      <c r="HL7" s="625"/>
      <c r="HM7" s="49" t="s">
        <v>1339</v>
      </c>
      <c r="HN7" s="49" t="s">
        <v>7</v>
      </c>
      <c r="HO7" s="49" t="s">
        <v>228</v>
      </c>
      <c r="HP7" s="49" t="s">
        <v>1394</v>
      </c>
      <c r="HQ7" s="49" t="s">
        <v>1395</v>
      </c>
      <c r="HR7" s="49" t="s">
        <v>1396</v>
      </c>
      <c r="HS7" s="49" t="s">
        <v>1128</v>
      </c>
      <c r="HT7" s="625"/>
      <c r="HU7" s="625"/>
      <c r="HV7" s="49" t="s">
        <v>1339</v>
      </c>
      <c r="HW7" s="49" t="s">
        <v>7</v>
      </c>
      <c r="HX7" s="49" t="s">
        <v>228</v>
      </c>
      <c r="HY7" s="49" t="s">
        <v>1394</v>
      </c>
      <c r="HZ7" s="49" t="s">
        <v>1395</v>
      </c>
      <c r="IA7" s="49" t="s">
        <v>1396</v>
      </c>
      <c r="IB7" s="49" t="s">
        <v>1128</v>
      </c>
      <c r="IC7" s="625"/>
      <c r="ID7" s="625"/>
      <c r="IE7" s="49" t="s">
        <v>1339</v>
      </c>
      <c r="IF7" s="49" t="s">
        <v>7</v>
      </c>
      <c r="IG7" s="49" t="s">
        <v>228</v>
      </c>
      <c r="IH7" s="49" t="s">
        <v>1394</v>
      </c>
      <c r="II7" s="49" t="s">
        <v>1395</v>
      </c>
      <c r="IJ7" s="49" t="s">
        <v>1396</v>
      </c>
      <c r="IK7" s="49" t="s">
        <v>1128</v>
      </c>
      <c r="IL7" s="625"/>
      <c r="IM7" s="625"/>
      <c r="IN7" s="49" t="s">
        <v>1339</v>
      </c>
      <c r="IO7" s="49" t="s">
        <v>7</v>
      </c>
      <c r="IP7" s="49" t="s">
        <v>228</v>
      </c>
      <c r="IQ7" s="49" t="s">
        <v>1394</v>
      </c>
      <c r="IR7" s="49" t="s">
        <v>1395</v>
      </c>
      <c r="IS7" s="49" t="s">
        <v>1396</v>
      </c>
      <c r="IT7" s="49" t="s">
        <v>1128</v>
      </c>
      <c r="IU7" s="625"/>
      <c r="IV7" s="625"/>
      <c r="IW7" s="49" t="s">
        <v>1339</v>
      </c>
      <c r="IX7" s="49" t="s">
        <v>7</v>
      </c>
      <c r="IY7" s="49" t="s">
        <v>228</v>
      </c>
      <c r="IZ7" s="49" t="s">
        <v>1394</v>
      </c>
      <c r="JA7" s="49" t="s">
        <v>1395</v>
      </c>
      <c r="JB7" s="49" t="s">
        <v>1396</v>
      </c>
      <c r="JC7" s="49" t="s">
        <v>1128</v>
      </c>
      <c r="JD7" s="625"/>
      <c r="JE7" s="625"/>
      <c r="JF7" s="49" t="s">
        <v>1339</v>
      </c>
      <c r="JG7" s="49" t="s">
        <v>7</v>
      </c>
      <c r="JH7" s="49" t="s">
        <v>228</v>
      </c>
      <c r="JI7" s="49" t="s">
        <v>1394</v>
      </c>
      <c r="JJ7" s="49" t="s">
        <v>1395</v>
      </c>
      <c r="JK7" s="49" t="s">
        <v>1396</v>
      </c>
      <c r="JL7" s="49" t="s">
        <v>1128</v>
      </c>
      <c r="JM7" s="625"/>
      <c r="JN7" s="625"/>
      <c r="JO7" s="49" t="s">
        <v>1339</v>
      </c>
      <c r="JP7" s="49" t="s">
        <v>7</v>
      </c>
      <c r="JQ7" s="49" t="s">
        <v>228</v>
      </c>
      <c r="JR7" s="49" t="s">
        <v>1394</v>
      </c>
      <c r="JS7" s="49" t="s">
        <v>1395</v>
      </c>
      <c r="JT7" s="49" t="s">
        <v>1396</v>
      </c>
      <c r="JU7" s="49" t="s">
        <v>1128</v>
      </c>
      <c r="JV7" s="625"/>
      <c r="JW7" s="625"/>
      <c r="JX7" s="49" t="s">
        <v>1339</v>
      </c>
      <c r="JY7" s="49" t="s">
        <v>7</v>
      </c>
      <c r="JZ7" s="49" t="s">
        <v>228</v>
      </c>
      <c r="KA7" s="49" t="s">
        <v>1394</v>
      </c>
      <c r="KB7" s="49" t="s">
        <v>1395</v>
      </c>
      <c r="KC7" s="49" t="s">
        <v>1396</v>
      </c>
      <c r="KF7" s="332">
        <v>4</v>
      </c>
      <c r="KG7" s="332">
        <v>15</v>
      </c>
      <c r="KH7" s="332">
        <v>16</v>
      </c>
      <c r="KI7" s="332">
        <v>18</v>
      </c>
      <c r="KJ7" s="332">
        <v>19</v>
      </c>
    </row>
    <row r="8" spans="1:296" x14ac:dyDescent="0.2">
      <c r="A8" s="714"/>
      <c r="B8" s="714"/>
      <c r="C8" s="714"/>
      <c r="D8" s="714"/>
      <c r="E8" s="714"/>
      <c r="F8" s="714"/>
      <c r="G8" s="714"/>
      <c r="H8" s="714"/>
      <c r="I8" s="714"/>
      <c r="J8" s="714"/>
      <c r="K8" s="714"/>
      <c r="S8" s="714"/>
      <c r="T8" s="714"/>
      <c r="AC8" s="714"/>
      <c r="AD8" s="938"/>
      <c r="AE8" s="938"/>
      <c r="AF8" s="938"/>
      <c r="AG8" s="938"/>
      <c r="AH8" s="938"/>
      <c r="AI8" s="938"/>
      <c r="AJ8" s="938"/>
      <c r="AK8" s="938"/>
      <c r="AL8" s="714"/>
      <c r="AM8" s="938"/>
      <c r="AN8" s="938"/>
      <c r="AO8" s="938"/>
      <c r="AP8" s="938"/>
      <c r="AQ8" s="938"/>
      <c r="AR8" s="938"/>
      <c r="AS8" s="938"/>
      <c r="AT8" s="938"/>
      <c r="AU8" s="714"/>
      <c r="AV8" s="938"/>
      <c r="AW8" s="938"/>
      <c r="AX8" s="938"/>
      <c r="AY8" s="938"/>
      <c r="AZ8" s="938"/>
      <c r="BA8" s="938"/>
      <c r="BB8" s="938"/>
      <c r="BC8" s="938"/>
      <c r="BD8" s="714"/>
      <c r="BE8" s="938"/>
      <c r="BF8" s="938"/>
      <c r="BG8" s="938"/>
      <c r="BH8" s="938"/>
      <c r="BI8" s="938"/>
      <c r="BJ8" s="938"/>
      <c r="BK8" s="938"/>
      <c r="BL8" s="938"/>
      <c r="BM8" s="714"/>
      <c r="BN8" s="938"/>
      <c r="BO8" s="938"/>
      <c r="BP8" s="938"/>
      <c r="BQ8" s="938"/>
      <c r="BR8" s="938"/>
      <c r="BS8" s="938"/>
      <c r="BT8" s="938"/>
      <c r="BU8" s="938"/>
      <c r="BV8" s="714"/>
      <c r="BW8" s="938"/>
      <c r="BX8" s="938"/>
      <c r="BY8" s="938"/>
      <c r="BZ8" s="938"/>
      <c r="CA8" s="938"/>
      <c r="CB8" s="938"/>
      <c r="CC8" s="938"/>
      <c r="CD8" s="938"/>
      <c r="CE8" s="714"/>
      <c r="CF8" s="938"/>
      <c r="CG8" s="938"/>
      <c r="CH8" s="938"/>
      <c r="CI8" s="938"/>
      <c r="CJ8" s="938"/>
      <c r="CK8" s="938"/>
      <c r="CL8" s="938"/>
      <c r="CM8" s="938"/>
      <c r="CN8" s="714"/>
      <c r="CO8" s="938"/>
      <c r="CP8" s="938"/>
      <c r="CQ8" s="938"/>
      <c r="CR8" s="938"/>
      <c r="CS8" s="938"/>
      <c r="CT8" s="938"/>
      <c r="CU8" s="938"/>
      <c r="CV8" s="938"/>
      <c r="CW8" s="714"/>
      <c r="CX8" s="938"/>
      <c r="CY8" s="938"/>
      <c r="CZ8" s="938"/>
      <c r="DA8" s="938"/>
      <c r="DB8" s="938"/>
      <c r="DC8" s="938"/>
      <c r="DD8" s="938"/>
      <c r="DE8" s="938"/>
      <c r="DF8" s="714"/>
      <c r="DG8" s="938"/>
      <c r="DH8" s="938"/>
      <c r="DI8" s="938"/>
      <c r="DJ8" s="938"/>
      <c r="DK8" s="938"/>
      <c r="DL8" s="938"/>
      <c r="DM8" s="938"/>
      <c r="DN8" s="938"/>
      <c r="DO8" s="714"/>
      <c r="DP8" s="938"/>
      <c r="DQ8" s="938"/>
      <c r="DR8" s="938"/>
      <c r="DS8" s="938"/>
      <c r="DT8" s="938"/>
      <c r="DU8" s="938"/>
      <c r="DV8" s="938"/>
      <c r="DW8" s="938"/>
      <c r="DX8" s="714"/>
      <c r="DY8" s="938"/>
      <c r="DZ8" s="938"/>
      <c r="EA8" s="938"/>
      <c r="EB8" s="938"/>
      <c r="EC8" s="938"/>
      <c r="ED8" s="938"/>
      <c r="EE8" s="938"/>
      <c r="EF8" s="938"/>
      <c r="EG8" s="714"/>
      <c r="EH8" s="938"/>
      <c r="EI8" s="938"/>
      <c r="EJ8" s="938"/>
      <c r="EK8" s="938"/>
      <c r="EL8" s="938"/>
      <c r="EM8" s="938"/>
      <c r="EN8" s="938"/>
      <c r="EO8" s="938"/>
      <c r="EP8" s="714"/>
      <c r="EQ8" s="938"/>
      <c r="ER8" s="938"/>
      <c r="ES8" s="938"/>
      <c r="ET8" s="938"/>
      <c r="EU8" s="938"/>
      <c r="EV8" s="938"/>
      <c r="EW8" s="938"/>
      <c r="EX8" s="938"/>
      <c r="EY8" s="714"/>
      <c r="EZ8" s="938"/>
      <c r="FA8" s="938"/>
      <c r="FB8" s="938"/>
      <c r="FC8" s="938"/>
      <c r="FD8" s="938"/>
      <c r="FE8" s="938"/>
      <c r="FF8" s="938"/>
      <c r="FG8" s="938"/>
      <c r="FH8" s="714"/>
      <c r="FI8" s="938"/>
      <c r="FJ8" s="938"/>
      <c r="FK8" s="938"/>
      <c r="FL8" s="938"/>
      <c r="FM8" s="938"/>
      <c r="FN8" s="938"/>
      <c r="FO8" s="938"/>
      <c r="FP8" s="938"/>
      <c r="FQ8" s="714"/>
      <c r="FR8" s="938"/>
      <c r="FS8" s="938"/>
      <c r="FT8" s="938"/>
      <c r="FU8" s="938"/>
      <c r="FV8" s="938"/>
      <c r="FW8" s="938"/>
      <c r="FX8" s="938"/>
      <c r="FY8" s="938"/>
      <c r="FZ8" s="714"/>
      <c r="GA8" s="938"/>
      <c r="GB8" s="938"/>
      <c r="GC8" s="938"/>
      <c r="GD8" s="938"/>
      <c r="GE8" s="938"/>
      <c r="GF8" s="938"/>
      <c r="GG8" s="938"/>
      <c r="GH8" s="938"/>
      <c r="GI8" s="714"/>
      <c r="GJ8" s="938"/>
      <c r="GK8" s="938"/>
      <c r="GL8" s="938"/>
      <c r="GM8" s="938"/>
      <c r="GN8" s="938"/>
      <c r="GO8" s="938"/>
      <c r="GP8" s="938"/>
      <c r="GQ8" s="938"/>
      <c r="GR8" s="714"/>
      <c r="GS8" s="938"/>
      <c r="GT8" s="938"/>
      <c r="GU8" s="938"/>
      <c r="GV8" s="938"/>
      <c r="GW8" s="938"/>
      <c r="GX8" s="938"/>
      <c r="GY8" s="938"/>
      <c r="GZ8" s="938"/>
      <c r="HA8" s="714"/>
      <c r="HB8" s="938"/>
      <c r="HC8" s="938"/>
      <c r="HD8" s="938"/>
      <c r="HE8" s="938"/>
      <c r="HF8" s="938"/>
      <c r="HG8" s="938"/>
      <c r="HH8" s="938"/>
      <c r="HI8" s="938"/>
      <c r="HJ8" s="714"/>
      <c r="HK8" s="938"/>
      <c r="HL8" s="938"/>
      <c r="HM8" s="938"/>
      <c r="HN8" s="938"/>
      <c r="HO8" s="938"/>
      <c r="HP8" s="938"/>
      <c r="HQ8" s="938"/>
      <c r="HR8" s="938"/>
      <c r="HS8" s="714"/>
      <c r="HT8" s="938"/>
      <c r="HU8" s="938"/>
      <c r="HV8" s="938"/>
      <c r="HW8" s="938"/>
      <c r="HX8" s="938"/>
      <c r="HY8" s="938"/>
      <c r="HZ8" s="938"/>
      <c r="IA8" s="938"/>
      <c r="IB8" s="714"/>
      <c r="IC8" s="938"/>
      <c r="ID8" s="938"/>
      <c r="IE8" s="938"/>
      <c r="IF8" s="938"/>
      <c r="IG8" s="938"/>
      <c r="IH8" s="938"/>
      <c r="II8" s="938"/>
      <c r="IJ8" s="938"/>
      <c r="IK8" s="714"/>
      <c r="IL8" s="938"/>
      <c r="IM8" s="938"/>
      <c r="IN8" s="938"/>
      <c r="IO8" s="938"/>
      <c r="IP8" s="938"/>
      <c r="IQ8" s="938"/>
      <c r="IR8" s="938"/>
      <c r="IS8" s="938"/>
      <c r="IT8" s="714"/>
      <c r="IU8" s="938"/>
      <c r="IV8" s="938"/>
      <c r="IW8" s="938"/>
      <c r="IX8" s="938"/>
      <c r="IY8" s="938"/>
      <c r="IZ8" s="938"/>
      <c r="JA8" s="938"/>
      <c r="JB8" s="938"/>
      <c r="JC8" s="714"/>
      <c r="JD8" s="938"/>
      <c r="JE8" s="938"/>
      <c r="JF8" s="938"/>
      <c r="JG8" s="938"/>
      <c r="JH8" s="938"/>
      <c r="JI8" s="938"/>
      <c r="JJ8" s="938"/>
      <c r="JK8" s="938"/>
      <c r="JL8" s="714"/>
      <c r="JM8" s="938"/>
      <c r="JN8" s="938"/>
      <c r="JO8" s="938"/>
      <c r="JP8" s="938"/>
      <c r="JQ8" s="938"/>
      <c r="JR8" s="938"/>
      <c r="JS8" s="938"/>
      <c r="JT8" s="938"/>
      <c r="JU8" s="714"/>
      <c r="JV8" s="938"/>
      <c r="JW8" s="938"/>
      <c r="JX8" s="938"/>
      <c r="JY8" s="938"/>
      <c r="JZ8" s="938"/>
      <c r="KA8" s="938"/>
      <c r="KB8" s="938"/>
      <c r="KC8" s="938"/>
    </row>
    <row r="9" spans="1:296" s="938" customFormat="1" x14ac:dyDescent="0.2">
      <c r="S9" s="938" t="s">
        <v>1652</v>
      </c>
      <c r="AA9" s="938" t="str">
        <f>IF(T6=2,AA10,"")</f>
        <v/>
      </c>
      <c r="AJ9" s="938" t="str">
        <f>IF(AC6=2,AJ10,"")</f>
        <v/>
      </c>
      <c r="AS9" s="938" t="str">
        <f>IF(AL6=2,AS10,"")</f>
        <v/>
      </c>
      <c r="BB9" s="938" t="str">
        <f>IF(AU6=2,BB10,"")</f>
        <v/>
      </c>
      <c r="BK9" s="938" t="str">
        <f>IF(BD6=2,BK10,"")</f>
        <v/>
      </c>
      <c r="BT9" s="938" t="str">
        <f>IF(BM6=2,BT10,"")</f>
        <v/>
      </c>
      <c r="CC9" s="938" t="str">
        <f>IF(BV6=2,CC10,"")</f>
        <v/>
      </c>
      <c r="CL9" s="938" t="str">
        <f>IF(CE6=2,CL10,"")</f>
        <v/>
      </c>
      <c r="CU9" s="938" t="str">
        <f>IF(CN6=2,CU10,"")</f>
        <v/>
      </c>
      <c r="DD9" s="938" t="str">
        <f>IF(CW6=2,DD10,"")</f>
        <v/>
      </c>
      <c r="DM9" s="938" t="str">
        <f>IF(DF6=2,DM10,"")</f>
        <v/>
      </c>
      <c r="DV9" s="938" t="str">
        <f>IF(DO6=2,DV10,"")</f>
        <v/>
      </c>
      <c r="EE9" s="938" t="str">
        <f>IF(DX6=2,EE10,"")</f>
        <v/>
      </c>
      <c r="EN9" s="938" t="str">
        <f>IF(EG6=2,EN10,"")</f>
        <v/>
      </c>
      <c r="EW9" s="938" t="str">
        <f>IF(EP6=2,EW10,"")</f>
        <v/>
      </c>
      <c r="FF9" s="938" t="str">
        <f>IF(EY6=2,FF10,"")</f>
        <v/>
      </c>
      <c r="FO9" s="938" t="str">
        <f>IF(FH6=2,FO10,"")</f>
        <v/>
      </c>
      <c r="FX9" s="938" t="str">
        <f>IF(FQ6=2,FX10,"")</f>
        <v/>
      </c>
      <c r="GG9" s="938" t="str">
        <f>IF(FZ6=2,GG10,"")</f>
        <v/>
      </c>
      <c r="GP9" s="938" t="str">
        <f>IF(GI6=2,GP10,"")</f>
        <v/>
      </c>
      <c r="GY9" s="938" t="str">
        <f>IF(GR6=2,GY10,"")</f>
        <v/>
      </c>
      <c r="HH9" s="938" t="str">
        <f>IF(HA6=2,HH10,"")</f>
        <v/>
      </c>
      <c r="HQ9" s="938" t="str">
        <f>IF(HJ6=2,HQ10,"")</f>
        <v/>
      </c>
      <c r="HZ9" s="938" t="str">
        <f>IF(HS6=2,HZ10,"")</f>
        <v/>
      </c>
      <c r="II9" s="938" t="str">
        <f>IF(IB6=2,II10,"")</f>
        <v/>
      </c>
      <c r="IR9" s="938" t="str">
        <f>IF(IK6=2,IR10,"")</f>
        <v/>
      </c>
      <c r="JA9" s="938" t="str">
        <f>IF(IT6=2,JA10,"")</f>
        <v/>
      </c>
      <c r="JJ9" s="938" t="str">
        <f>IF(JC6=2,JJ10,"")</f>
        <v/>
      </c>
      <c r="JS9" s="938" t="str">
        <f>IF(JL6=2,JS10,"")</f>
        <v/>
      </c>
      <c r="KB9" s="938" t="str">
        <f>IF(JU6=2,KB10,"")</f>
        <v/>
      </c>
    </row>
    <row r="10" spans="1:296" s="58" customFormat="1" x14ac:dyDescent="0.2">
      <c r="S10" s="735" t="s">
        <v>1386</v>
      </c>
      <c r="T10" s="58" t="str">
        <f>IF(T112&gt;0,1,"")</f>
        <v/>
      </c>
      <c r="X10" s="58">
        <v>2</v>
      </c>
      <c r="Y10" s="58">
        <v>3</v>
      </c>
      <c r="Z10" s="58">
        <v>4</v>
      </c>
      <c r="AA10" s="58">
        <v>5</v>
      </c>
      <c r="AB10" s="58">
        <v>6</v>
      </c>
      <c r="AC10" s="58" t="str">
        <f>IF(AC112&gt;0,1,"")</f>
        <v/>
      </c>
      <c r="AG10" s="58">
        <v>2</v>
      </c>
      <c r="AH10" s="58">
        <v>3</v>
      </c>
      <c r="AI10" s="58">
        <v>4</v>
      </c>
      <c r="AJ10" s="58">
        <v>5</v>
      </c>
      <c r="AK10" s="58">
        <v>6</v>
      </c>
      <c r="AL10" s="58" t="str">
        <f>IF(AL112&gt;0,1,"")</f>
        <v/>
      </c>
      <c r="AP10" s="58">
        <v>2</v>
      </c>
      <c r="AQ10" s="58">
        <v>3</v>
      </c>
      <c r="AR10" s="58">
        <v>4</v>
      </c>
      <c r="AS10" s="58">
        <v>5</v>
      </c>
      <c r="AT10" s="58">
        <v>6</v>
      </c>
      <c r="AU10" s="58" t="str">
        <f>IF(AU112&gt;0,1,"")</f>
        <v/>
      </c>
      <c r="AY10" s="58">
        <v>2</v>
      </c>
      <c r="AZ10" s="58">
        <v>3</v>
      </c>
      <c r="BA10" s="58">
        <v>4</v>
      </c>
      <c r="BB10" s="58">
        <v>5</v>
      </c>
      <c r="BC10" s="58">
        <v>6</v>
      </c>
      <c r="BD10" s="58" t="str">
        <f>IF(BD112&gt;0,1,"")</f>
        <v/>
      </c>
      <c r="BH10" s="58">
        <v>2</v>
      </c>
      <c r="BI10" s="58">
        <v>3</v>
      </c>
      <c r="BJ10" s="58">
        <v>4</v>
      </c>
      <c r="BK10" s="58">
        <v>5</v>
      </c>
      <c r="BL10" s="58">
        <v>6</v>
      </c>
      <c r="BM10" s="58" t="str">
        <f>IF(BM112&gt;0,1,"")</f>
        <v/>
      </c>
      <c r="BQ10" s="58">
        <v>2</v>
      </c>
      <c r="BR10" s="58">
        <v>3</v>
      </c>
      <c r="BS10" s="58">
        <v>4</v>
      </c>
      <c r="BT10" s="58">
        <v>5</v>
      </c>
      <c r="BU10" s="58">
        <v>6</v>
      </c>
      <c r="BV10" s="58" t="str">
        <f>IF(BV112&gt;0,1,"")</f>
        <v/>
      </c>
      <c r="BZ10" s="58">
        <v>2</v>
      </c>
      <c r="CA10" s="58">
        <v>3</v>
      </c>
      <c r="CB10" s="58">
        <v>4</v>
      </c>
      <c r="CC10" s="58">
        <v>5</v>
      </c>
      <c r="CD10" s="58">
        <v>6</v>
      </c>
      <c r="CE10" s="58" t="str">
        <f>IF(CE112&gt;0,1,"")</f>
        <v/>
      </c>
      <c r="CI10" s="58">
        <v>2</v>
      </c>
      <c r="CJ10" s="58">
        <v>3</v>
      </c>
      <c r="CK10" s="58">
        <v>4</v>
      </c>
      <c r="CL10" s="58">
        <v>5</v>
      </c>
      <c r="CM10" s="58">
        <v>6</v>
      </c>
      <c r="CN10" s="58" t="str">
        <f>IF(CN112&gt;0,1,"")</f>
        <v/>
      </c>
      <c r="CR10" s="58">
        <v>2</v>
      </c>
      <c r="CS10" s="58">
        <v>3</v>
      </c>
      <c r="CT10" s="58">
        <v>4</v>
      </c>
      <c r="CU10" s="58">
        <v>5</v>
      </c>
      <c r="CV10" s="58">
        <v>6</v>
      </c>
      <c r="CW10" s="58" t="str">
        <f>IF(CW112&gt;0,1,"")</f>
        <v/>
      </c>
      <c r="DA10" s="58">
        <v>2</v>
      </c>
      <c r="DB10" s="58">
        <v>3</v>
      </c>
      <c r="DC10" s="58">
        <v>4</v>
      </c>
      <c r="DD10" s="58">
        <v>5</v>
      </c>
      <c r="DE10" s="58">
        <v>6</v>
      </c>
      <c r="DF10" s="58" t="str">
        <f>IF(DF112&gt;0,1,"")</f>
        <v/>
      </c>
      <c r="DJ10" s="58">
        <v>2</v>
      </c>
      <c r="DK10" s="58">
        <v>3</v>
      </c>
      <c r="DL10" s="58">
        <v>4</v>
      </c>
      <c r="DM10" s="58">
        <v>5</v>
      </c>
      <c r="DN10" s="58">
        <v>6</v>
      </c>
      <c r="DO10" s="58" t="str">
        <f>IF(DO112&gt;0,1,"")</f>
        <v/>
      </c>
      <c r="DS10" s="58">
        <v>2</v>
      </c>
      <c r="DT10" s="58">
        <v>3</v>
      </c>
      <c r="DU10" s="58">
        <v>4</v>
      </c>
      <c r="DV10" s="58">
        <v>5</v>
      </c>
      <c r="DW10" s="58">
        <v>6</v>
      </c>
      <c r="DX10" s="58" t="str">
        <f>IF(DX112&gt;0,1,"")</f>
        <v/>
      </c>
      <c r="EB10" s="58">
        <v>2</v>
      </c>
      <c r="EC10" s="58">
        <v>3</v>
      </c>
      <c r="ED10" s="58">
        <v>4</v>
      </c>
      <c r="EE10" s="58">
        <v>5</v>
      </c>
      <c r="EF10" s="58">
        <v>6</v>
      </c>
      <c r="EG10" s="58" t="str">
        <f>IF(EG112&gt;0,1,"")</f>
        <v/>
      </c>
      <c r="EK10" s="58">
        <v>2</v>
      </c>
      <c r="EL10" s="58">
        <v>3</v>
      </c>
      <c r="EM10" s="58">
        <v>4</v>
      </c>
      <c r="EN10" s="58">
        <v>5</v>
      </c>
      <c r="EO10" s="58">
        <v>6</v>
      </c>
      <c r="EP10" s="58" t="str">
        <f>IF(EP112&gt;0,1,"")</f>
        <v/>
      </c>
      <c r="ET10" s="58">
        <v>2</v>
      </c>
      <c r="EU10" s="58">
        <v>3</v>
      </c>
      <c r="EV10" s="58">
        <v>4</v>
      </c>
      <c r="EW10" s="58">
        <v>5</v>
      </c>
      <c r="EX10" s="58">
        <v>6</v>
      </c>
      <c r="EY10" s="58" t="str">
        <f>IF(EY112&gt;0,1,"")</f>
        <v/>
      </c>
      <c r="FC10" s="58">
        <v>2</v>
      </c>
      <c r="FD10" s="58">
        <v>3</v>
      </c>
      <c r="FE10" s="58">
        <v>4</v>
      </c>
      <c r="FF10" s="58">
        <v>5</v>
      </c>
      <c r="FG10" s="58">
        <v>6</v>
      </c>
      <c r="FH10" s="58" t="str">
        <f>IF(FH112&gt;0,1,"")</f>
        <v/>
      </c>
      <c r="FL10" s="58">
        <v>2</v>
      </c>
      <c r="FM10" s="58">
        <v>3</v>
      </c>
      <c r="FN10" s="58">
        <v>4</v>
      </c>
      <c r="FO10" s="58">
        <v>5</v>
      </c>
      <c r="FP10" s="58">
        <v>6</v>
      </c>
      <c r="FQ10" s="58" t="str">
        <f>IF(FQ112&gt;0,1,"")</f>
        <v/>
      </c>
      <c r="FU10" s="58">
        <v>2</v>
      </c>
      <c r="FV10" s="58">
        <v>3</v>
      </c>
      <c r="FW10" s="58">
        <v>4</v>
      </c>
      <c r="FX10" s="58">
        <v>5</v>
      </c>
      <c r="FY10" s="58">
        <v>6</v>
      </c>
      <c r="FZ10" s="58" t="str">
        <f>IF(FZ112&gt;0,1,"")</f>
        <v/>
      </c>
      <c r="GD10" s="58">
        <v>2</v>
      </c>
      <c r="GE10" s="58">
        <v>3</v>
      </c>
      <c r="GF10" s="58">
        <v>4</v>
      </c>
      <c r="GG10" s="58">
        <v>5</v>
      </c>
      <c r="GH10" s="58">
        <v>6</v>
      </c>
      <c r="GI10" s="58" t="str">
        <f>IF(GI112&gt;0,1,"")</f>
        <v/>
      </c>
      <c r="GM10" s="58">
        <v>2</v>
      </c>
      <c r="GN10" s="58">
        <v>3</v>
      </c>
      <c r="GO10" s="58">
        <v>4</v>
      </c>
      <c r="GP10" s="58">
        <v>5</v>
      </c>
      <c r="GQ10" s="58">
        <v>6</v>
      </c>
      <c r="GR10" s="58" t="str">
        <f>IF(GR112&gt;0,1,"")</f>
        <v/>
      </c>
      <c r="GV10" s="58">
        <v>2</v>
      </c>
      <c r="GW10" s="58">
        <v>3</v>
      </c>
      <c r="GX10" s="58">
        <v>4</v>
      </c>
      <c r="GY10" s="58">
        <v>5</v>
      </c>
      <c r="GZ10" s="58">
        <v>6</v>
      </c>
      <c r="HA10" s="58" t="str">
        <f>IF(HA112&gt;0,1,"")</f>
        <v/>
      </c>
      <c r="HE10" s="58">
        <v>2</v>
      </c>
      <c r="HF10" s="58">
        <v>3</v>
      </c>
      <c r="HG10" s="58">
        <v>4</v>
      </c>
      <c r="HH10" s="58">
        <v>5</v>
      </c>
      <c r="HI10" s="58">
        <v>6</v>
      </c>
      <c r="HJ10" s="58" t="str">
        <f>IF(HJ112&gt;0,1,"")</f>
        <v/>
      </c>
      <c r="HN10" s="58">
        <v>2</v>
      </c>
      <c r="HO10" s="58">
        <v>3</v>
      </c>
      <c r="HP10" s="58">
        <v>4</v>
      </c>
      <c r="HQ10" s="58">
        <v>5</v>
      </c>
      <c r="HR10" s="58">
        <v>6</v>
      </c>
      <c r="HS10" s="58" t="str">
        <f>IF(HS112&gt;0,1,"")</f>
        <v/>
      </c>
      <c r="HW10" s="58">
        <v>2</v>
      </c>
      <c r="HX10" s="58">
        <v>3</v>
      </c>
      <c r="HY10" s="58">
        <v>4</v>
      </c>
      <c r="HZ10" s="58">
        <v>5</v>
      </c>
      <c r="IA10" s="58">
        <v>6</v>
      </c>
      <c r="IB10" s="58" t="str">
        <f>IF(IB112&gt;0,1,"")</f>
        <v/>
      </c>
      <c r="IF10" s="58">
        <v>2</v>
      </c>
      <c r="IG10" s="58">
        <v>3</v>
      </c>
      <c r="IH10" s="58">
        <v>4</v>
      </c>
      <c r="II10" s="58">
        <v>5</v>
      </c>
      <c r="IJ10" s="58">
        <v>6</v>
      </c>
      <c r="IK10" s="58" t="str">
        <f>IF(IK112&gt;0,1,"")</f>
        <v/>
      </c>
      <c r="IO10" s="58">
        <v>2</v>
      </c>
      <c r="IP10" s="58">
        <v>3</v>
      </c>
      <c r="IQ10" s="58">
        <v>4</v>
      </c>
      <c r="IR10" s="58">
        <v>5</v>
      </c>
      <c r="IS10" s="58">
        <v>6</v>
      </c>
      <c r="IT10" s="58" t="str">
        <f>IF(IT112&gt;0,1,"")</f>
        <v/>
      </c>
      <c r="IX10" s="58">
        <v>2</v>
      </c>
      <c r="IY10" s="58">
        <v>3</v>
      </c>
      <c r="IZ10" s="58">
        <v>4</v>
      </c>
      <c r="JA10" s="58">
        <v>5</v>
      </c>
      <c r="JB10" s="58">
        <v>6</v>
      </c>
      <c r="JC10" s="58" t="str">
        <f>IF(JC112&gt;0,1,"")</f>
        <v/>
      </c>
      <c r="JG10" s="58">
        <v>2</v>
      </c>
      <c r="JH10" s="58">
        <v>3</v>
      </c>
      <c r="JI10" s="58">
        <v>4</v>
      </c>
      <c r="JJ10" s="58">
        <v>5</v>
      </c>
      <c r="JK10" s="58">
        <v>6</v>
      </c>
      <c r="JL10" s="58" t="str">
        <f>IF(JL112&gt;0,1,"")</f>
        <v/>
      </c>
      <c r="JP10" s="58">
        <v>2</v>
      </c>
      <c r="JQ10" s="58">
        <v>3</v>
      </c>
      <c r="JR10" s="58">
        <v>4</v>
      </c>
      <c r="JS10" s="58">
        <v>5</v>
      </c>
      <c r="JT10" s="58">
        <v>6</v>
      </c>
      <c r="JU10" s="58" t="str">
        <f>IF(JU112&gt;0,1,"")</f>
        <v/>
      </c>
      <c r="JY10" s="58">
        <v>2</v>
      </c>
      <c r="JZ10" s="58">
        <v>3</v>
      </c>
      <c r="KA10" s="58">
        <v>4</v>
      </c>
      <c r="KB10" s="58">
        <v>5</v>
      </c>
      <c r="KC10" s="58">
        <v>6</v>
      </c>
    </row>
    <row r="11" spans="1:296" x14ac:dyDescent="0.2">
      <c r="A11" s="46">
        <f>'Flächen u. Kulturen'!A10</f>
        <v>1</v>
      </c>
      <c r="B11" s="734">
        <f>'#BerechnungDBE'!L5</f>
        <v>0</v>
      </c>
      <c r="C11" s="46">
        <f>'#orgDung'!C14</f>
        <v>1</v>
      </c>
      <c r="D11" s="46">
        <f>'#BerechnungDBE'!T5</f>
        <v>2</v>
      </c>
      <c r="E11" s="46" t="str">
        <f>'Flächen u. Kulturen'!E10</f>
        <v>x</v>
      </c>
      <c r="F11" s="515">
        <f>'#BerechnungDBE'!N5</f>
        <v>1</v>
      </c>
      <c r="G11" s="515">
        <f>'#BerechnungDBE'!O5</f>
        <v>1</v>
      </c>
      <c r="H11" s="505">
        <f>'#orgDung'!J14</f>
        <v>2</v>
      </c>
      <c r="I11" s="46">
        <f>'#BerechnungDBE'!AF5</f>
        <v>0</v>
      </c>
      <c r="J11" s="46">
        <f>'#orgDung'!M14</f>
        <v>0</v>
      </c>
      <c r="K11" s="46">
        <f>'#BerechnungDBE'!AG5</f>
        <v>0</v>
      </c>
      <c r="M11">
        <f t="shared" ref="M11:M42" si="0">SUMIF($T$10:$XFD$10,$X$10,T11:XFD11)</f>
        <v>0</v>
      </c>
      <c r="N11">
        <f t="shared" ref="N11:N42" si="1">SUMIF($T$10:$XFD$10,$Y$10,T11:XFD11)</f>
        <v>0</v>
      </c>
      <c r="O11">
        <f t="shared" ref="O11:O42" si="2">SUMIF($T$10:$XFD$10,$Z$10,T11:XFD11)</f>
        <v>0</v>
      </c>
      <c r="P11">
        <f>SUMIF($T$10:$XFD$10,$AA$10,T11:XFD11)</f>
        <v>0</v>
      </c>
      <c r="Q11" s="938">
        <f>SUMIF($T$9:$XFD$9,$AA$10,T11:XFD11)</f>
        <v>0</v>
      </c>
      <c r="R11">
        <f t="shared" ref="R11:R42" si="3">SUMIF($T$10:$XFD$10,$AB$10,T11:XFD11)</f>
        <v>0</v>
      </c>
      <c r="S11" s="46"/>
      <c r="T11" s="733">
        <f>'min. Düngung 22'!H12</f>
        <v>0</v>
      </c>
      <c r="W11">
        <f>$B11*T11</f>
        <v>0</v>
      </c>
      <c r="X11">
        <f>T11*V$4</f>
        <v>0</v>
      </c>
      <c r="Y11">
        <f>T11*V$5</f>
        <v>0</v>
      </c>
      <c r="Z11">
        <f>IF(AND(T$6=2,$F11=1,$H11=1),X11,0)</f>
        <v>0</v>
      </c>
      <c r="AA11" s="714">
        <f>IF(T$6=1,IF($I11=0,X11,0),IF($G11&gt;1,X11,X11-Z11))</f>
        <v>0</v>
      </c>
      <c r="AB11" t="str">
        <f>IF(T$6=1,X11,"")</f>
        <v/>
      </c>
      <c r="AC11" s="733">
        <f>'min. Düngung 22'!K12</f>
        <v>0</v>
      </c>
      <c r="AD11" s="938"/>
      <c r="AE11" s="938"/>
      <c r="AF11" s="938">
        <f>$B11*AC11</f>
        <v>0</v>
      </c>
      <c r="AG11" s="938">
        <f>AC11*AE$4</f>
        <v>0</v>
      </c>
      <c r="AH11" s="938">
        <f>AC11*AE$5</f>
        <v>0</v>
      </c>
      <c r="AI11" s="938">
        <f>IF(AND(AC$6=2,$F11=1,$H11=1),AG11,0)</f>
        <v>0</v>
      </c>
      <c r="AJ11" s="938">
        <f>IF(AC$6=1,IF($I11=0,AG11,0),IF($G11&gt;1,AG11,AG11-AI11))</f>
        <v>0</v>
      </c>
      <c r="AK11" s="938">
        <f>IF(AC$6=1,AG11,"")</f>
        <v>0</v>
      </c>
      <c r="AL11" s="733">
        <f>'min. Düngung 22'!N12</f>
        <v>0</v>
      </c>
      <c r="AM11" s="938"/>
      <c r="AN11" s="938"/>
      <c r="AO11" s="938">
        <f>$B11*AL11</f>
        <v>0</v>
      </c>
      <c r="AP11" s="938">
        <f>AL11*AN$4</f>
        <v>0</v>
      </c>
      <c r="AQ11" s="938">
        <f>AL11*AN$5</f>
        <v>0</v>
      </c>
      <c r="AR11" s="938">
        <f>IF(AND(AL$6=2,$F11=1,$H11=1),AP11,0)</f>
        <v>0</v>
      </c>
      <c r="AS11" s="938">
        <f>IF(AL$6=1,IF($I11=0,AP11,0),IF($G11&gt;1,AP11,AP11-AR11))</f>
        <v>0</v>
      </c>
      <c r="AT11" s="938" t="str">
        <f>IF(AL$6=1,AP11,"")</f>
        <v/>
      </c>
      <c r="AU11" s="733">
        <f>'min. Düngung 22'!Q12</f>
        <v>0</v>
      </c>
      <c r="AV11" s="938"/>
      <c r="AW11" s="938"/>
      <c r="AX11" s="938">
        <f>$B11*AU11</f>
        <v>0</v>
      </c>
      <c r="AY11" s="938">
        <f>AU11*AW$4</f>
        <v>0</v>
      </c>
      <c r="AZ11" s="938">
        <f>AU11*AW$5</f>
        <v>0</v>
      </c>
      <c r="BA11" s="938">
        <f>IF(AND(AU$6=2,$F11=1,$H11=1),AY11,0)</f>
        <v>0</v>
      </c>
      <c r="BB11" s="938">
        <f>IF(AU$6=1,IF($I11=0,AY11,0),IF($G11&gt;1,AY11,AY11-BA11))</f>
        <v>0</v>
      </c>
      <c r="BC11" s="938" t="str">
        <f>IF(AU$6=1,AY11,"")</f>
        <v/>
      </c>
      <c r="BD11" s="733">
        <f>'min. Düngung 22'!T12</f>
        <v>0</v>
      </c>
      <c r="BE11" s="938"/>
      <c r="BF11" s="938"/>
      <c r="BG11" s="938">
        <f>$B11*BD11</f>
        <v>0</v>
      </c>
      <c r="BH11" s="938">
        <f>BD11*BF$4</f>
        <v>0</v>
      </c>
      <c r="BI11" s="938">
        <f>BD11*BF$5</f>
        <v>0</v>
      </c>
      <c r="BJ11" s="938">
        <f>IF(AND(BD$6=2,$F11=1,$H11=1),BH11,0)</f>
        <v>0</v>
      </c>
      <c r="BK11" s="938">
        <f>IF(BD$6=1,IF($I11=0,BH11,0),IF($G11&gt;1,BH11,BH11-BJ11))</f>
        <v>0</v>
      </c>
      <c r="BL11" s="938" t="str">
        <f>IF(BD$6=1,BH11,"")</f>
        <v/>
      </c>
      <c r="BM11" s="733">
        <f>'min. Düngung 22'!W12</f>
        <v>0</v>
      </c>
      <c r="BN11" s="938"/>
      <c r="BO11" s="938"/>
      <c r="BP11" s="938">
        <f>$B11*BM11</f>
        <v>0</v>
      </c>
      <c r="BQ11" s="938">
        <f>BM11*BO$4</f>
        <v>0</v>
      </c>
      <c r="BR11" s="938">
        <f>BM11*BO$5</f>
        <v>0</v>
      </c>
      <c r="BS11" s="938">
        <f>IF(AND(BM$6=2,$F11=1,$H11=1),BQ11,0)</f>
        <v>0</v>
      </c>
      <c r="BT11" s="938">
        <f>IF(BM$6=1,IF($I11=0,BQ11,0),IF($G11&gt;1,BQ11,BQ11-BS11))</f>
        <v>0</v>
      </c>
      <c r="BU11" s="938" t="str">
        <f>IF(BM$6=1,BQ11,"")</f>
        <v/>
      </c>
      <c r="BV11" s="733">
        <f>'min. Düngung 22'!Z12</f>
        <v>0</v>
      </c>
      <c r="BW11" s="938"/>
      <c r="BX11" s="938"/>
      <c r="BY11" s="938">
        <f>$B11*BV11</f>
        <v>0</v>
      </c>
      <c r="BZ11" s="938">
        <f>BV11*BX$4</f>
        <v>0</v>
      </c>
      <c r="CA11" s="938">
        <f>BV11*BX$5</f>
        <v>0</v>
      </c>
      <c r="CB11" s="938">
        <f>IF(AND(BV$6=2,$F11=1,$H11=1),BZ11,0)</f>
        <v>0</v>
      </c>
      <c r="CC11" s="938">
        <f>IF(BV$6=1,IF($I11=0,BZ11,0),IF($G11&gt;1,BZ11,BZ11-CB11))</f>
        <v>0</v>
      </c>
      <c r="CD11" s="938" t="str">
        <f>IF(BV$6=1,BZ11,"")</f>
        <v/>
      </c>
      <c r="CE11" s="733">
        <f>'min. Düngung 22'!AC12</f>
        <v>0</v>
      </c>
      <c r="CF11" s="938"/>
      <c r="CG11" s="938"/>
      <c r="CH11" s="938">
        <f>$B11*CE11</f>
        <v>0</v>
      </c>
      <c r="CI11" s="938">
        <f>CE11*CG$4</f>
        <v>0</v>
      </c>
      <c r="CJ11" s="938">
        <f>CE11*CG$5</f>
        <v>0</v>
      </c>
      <c r="CK11" s="938">
        <f>IF(AND(CE$6=2,$F11=1,$H11=1),CI11,0)</f>
        <v>0</v>
      </c>
      <c r="CL11" s="938">
        <f>IF(CE$6=1,IF($I11=0,CI11,0),IF($G11&gt;1,CI11,CI11-CK11))</f>
        <v>0</v>
      </c>
      <c r="CM11" s="938" t="str">
        <f>IF(CE$6=1,CI11,"")</f>
        <v/>
      </c>
      <c r="CN11" s="733">
        <f>'min. Düngung 22'!AF12</f>
        <v>0</v>
      </c>
      <c r="CO11" s="938"/>
      <c r="CP11" s="938"/>
      <c r="CQ11" s="938">
        <f>$B11*CN11</f>
        <v>0</v>
      </c>
      <c r="CR11" s="938">
        <f>CN11*CP$4</f>
        <v>0</v>
      </c>
      <c r="CS11" s="938">
        <f>CN11*CP$5</f>
        <v>0</v>
      </c>
      <c r="CT11" s="938">
        <f>IF(AND(CN$6=2,$F11=1,$H11=1),CR11,0)</f>
        <v>0</v>
      </c>
      <c r="CU11" s="938">
        <f>IF(CN$6=1,IF($I11=0,CR11,0),IF($G11&gt;1,CR11,CR11-CT11))</f>
        <v>0</v>
      </c>
      <c r="CV11" s="938" t="str">
        <f>IF(CN$6=1,CR11,"")</f>
        <v/>
      </c>
      <c r="CW11" s="733">
        <f>'min. Düngung 22'!AI12</f>
        <v>0</v>
      </c>
      <c r="CX11" s="938"/>
      <c r="CY11" s="938"/>
      <c r="CZ11" s="938">
        <f>$B11*CW11</f>
        <v>0</v>
      </c>
      <c r="DA11" s="938">
        <f>CW11*CY$4</f>
        <v>0</v>
      </c>
      <c r="DB11" s="938">
        <f>CW11*CY$5</f>
        <v>0</v>
      </c>
      <c r="DC11" s="938">
        <f>IF(AND(CW$6=2,$F11=1,$H11=1),DA11,0)</f>
        <v>0</v>
      </c>
      <c r="DD11" s="938">
        <f>IF(CW$6=1,IF($I11=0,DA11,0),IF($G11&gt;1,DA11,DA11-DC11))</f>
        <v>0</v>
      </c>
      <c r="DE11" s="938" t="str">
        <f>IF(CW$6=1,DA11,"")</f>
        <v/>
      </c>
      <c r="DF11" s="733">
        <f>'min. Düngung 22'!AL12</f>
        <v>0</v>
      </c>
      <c r="DG11" s="938"/>
      <c r="DH11" s="938"/>
      <c r="DI11" s="938">
        <f>$B11*DF11</f>
        <v>0</v>
      </c>
      <c r="DJ11" s="938">
        <f>DF11*DH$4</f>
        <v>0</v>
      </c>
      <c r="DK11" s="938">
        <f>DF11*DH$5</f>
        <v>0</v>
      </c>
      <c r="DL11" s="938">
        <f>IF(AND(DF$6=2,$F11=1,$H11=1),DJ11,0)</f>
        <v>0</v>
      </c>
      <c r="DM11" s="938">
        <f>IF(DF$6=1,IF($I11=0,DJ11,0),IF($G11&gt;1,DJ11,DJ11-DL11))</f>
        <v>0</v>
      </c>
      <c r="DN11" s="938" t="str">
        <f>IF(DF$6=1,DJ11,"")</f>
        <v/>
      </c>
      <c r="DO11" s="733">
        <f>'min. Düngung 22'!AO12</f>
        <v>0</v>
      </c>
      <c r="DP11" s="938"/>
      <c r="DQ11" s="938"/>
      <c r="DR11" s="938">
        <f>$B11*DO11</f>
        <v>0</v>
      </c>
      <c r="DS11" s="938">
        <f>DO11*DQ$4</f>
        <v>0</v>
      </c>
      <c r="DT11" s="938">
        <f>DO11*DQ$5</f>
        <v>0</v>
      </c>
      <c r="DU11" s="938">
        <f>IF(AND(DO$6=2,$F11=1,$H11=1),DS11,0)</f>
        <v>0</v>
      </c>
      <c r="DV11" s="938">
        <f>IF(DO$6=1,IF($I11=0,DS11,0),IF($G11&gt;1,DS11,DS11-DU11))</f>
        <v>0</v>
      </c>
      <c r="DW11" s="938" t="str">
        <f>IF(DO$6=1,DS11,"")</f>
        <v/>
      </c>
      <c r="DX11" s="733">
        <f>'min. Düngung 22'!AR12</f>
        <v>0</v>
      </c>
      <c r="DY11" s="938"/>
      <c r="DZ11" s="938"/>
      <c r="EA11" s="938">
        <f>$B11*DX11</f>
        <v>0</v>
      </c>
      <c r="EB11" s="938">
        <f>DX11*DZ$4</f>
        <v>0</v>
      </c>
      <c r="EC11" s="938">
        <f>DX11*DZ$5</f>
        <v>0</v>
      </c>
      <c r="ED11" s="938">
        <f>IF(AND(DX$6=2,$F11=1,$H11=1),EB11,0)</f>
        <v>0</v>
      </c>
      <c r="EE11" s="938">
        <f>IF(DX$6=1,IF($I11=0,EB11,0),IF($G11&gt;1,EB11,EB11-ED11))</f>
        <v>0</v>
      </c>
      <c r="EF11" s="938" t="str">
        <f>IF(DX$6=1,EB11,"")</f>
        <v/>
      </c>
      <c r="EG11" s="733">
        <f>'min. Düngung 22'!AU12</f>
        <v>0</v>
      </c>
      <c r="EH11" s="938"/>
      <c r="EI11" s="938"/>
      <c r="EJ11" s="938">
        <f>$B11*EG11</f>
        <v>0</v>
      </c>
      <c r="EK11" s="938">
        <f>EG11*EI$4</f>
        <v>0</v>
      </c>
      <c r="EL11" s="938">
        <f>EG11*EI$5</f>
        <v>0</v>
      </c>
      <c r="EM11" s="938">
        <f>IF(AND(EG$6=2,$F11=1,$H11=1),EK11,0)</f>
        <v>0</v>
      </c>
      <c r="EN11" s="938">
        <f>IF(EG$6=1,IF($I11=0,EK11,0),IF($G11&gt;1,EK11,EK11-EM11))</f>
        <v>0</v>
      </c>
      <c r="EO11" s="938" t="str">
        <f>IF(EG$6=1,EK11,"")</f>
        <v/>
      </c>
      <c r="EP11" s="733">
        <f>'min. Düngung 22'!AX12</f>
        <v>0</v>
      </c>
      <c r="EQ11" s="938"/>
      <c r="ER11" s="938"/>
      <c r="ES11" s="938">
        <f>$B11*EP11</f>
        <v>0</v>
      </c>
      <c r="ET11" s="938">
        <f>EP11*ER$4</f>
        <v>0</v>
      </c>
      <c r="EU11" s="938">
        <f>EP11*ER$5</f>
        <v>0</v>
      </c>
      <c r="EV11" s="938">
        <f>IF(AND(EP$6=2,$F11=1,$H11=1),ET11,0)</f>
        <v>0</v>
      </c>
      <c r="EW11" s="938">
        <f>IF(EP$6=1,IF($I11=0,ET11,0),IF($G11&gt;1,ET11,ET11-EV11))</f>
        <v>0</v>
      </c>
      <c r="EX11" s="938" t="str">
        <f>IF(EP$6=1,ET11,"")</f>
        <v/>
      </c>
      <c r="EY11" s="733">
        <f>'min. Düngung 22'!BA12</f>
        <v>0</v>
      </c>
      <c r="EZ11" s="938"/>
      <c r="FA11" s="938"/>
      <c r="FB11" s="938">
        <f>$B11*EY11</f>
        <v>0</v>
      </c>
      <c r="FC11" s="938">
        <f>EY11*FA$4</f>
        <v>0</v>
      </c>
      <c r="FD11" s="938">
        <f>EY11*FA$5</f>
        <v>0</v>
      </c>
      <c r="FE11" s="938">
        <f>IF(AND(EY$6=2,$F11=1,$H11=1),FC11,0)</f>
        <v>0</v>
      </c>
      <c r="FF11" s="938">
        <f>IF(EY$6=1,IF($I11=0,FC11,0),IF($G11&gt;1,FC11,FC11-FE11))</f>
        <v>0</v>
      </c>
      <c r="FG11" s="938" t="str">
        <f>IF(EY$6=1,FC11,"")</f>
        <v/>
      </c>
      <c r="FH11" s="733">
        <f>'min. Düngung 22'!BD12</f>
        <v>0</v>
      </c>
      <c r="FI11" s="938"/>
      <c r="FJ11" s="938"/>
      <c r="FK11" s="938">
        <f>$B11*FH11</f>
        <v>0</v>
      </c>
      <c r="FL11" s="938">
        <f>FH11*FJ$4</f>
        <v>0</v>
      </c>
      <c r="FM11" s="938">
        <f>FH11*FJ$5</f>
        <v>0</v>
      </c>
      <c r="FN11" s="938">
        <f>IF(AND(FH$6=2,$F11=1,$H11=1),FL11,0)</f>
        <v>0</v>
      </c>
      <c r="FO11" s="938">
        <f>IF(FH$6=1,IF($I11=0,FL11,0),IF($G11&gt;1,FL11,FL11-FN11))</f>
        <v>0</v>
      </c>
      <c r="FP11" s="938" t="str">
        <f>IF(FH$6=1,FL11,"")</f>
        <v/>
      </c>
      <c r="FQ11" s="733">
        <f>'min. Düngung 22'!BG12</f>
        <v>0</v>
      </c>
      <c r="FR11" s="938"/>
      <c r="FS11" s="938"/>
      <c r="FT11" s="938">
        <f>$B11*FQ11</f>
        <v>0</v>
      </c>
      <c r="FU11" s="938">
        <f>FQ11*FS$4</f>
        <v>0</v>
      </c>
      <c r="FV11" s="938">
        <f>FQ11*FS$5</f>
        <v>0</v>
      </c>
      <c r="FW11" s="938">
        <f>IF(AND(FQ$6=2,$F11=1,$H11=1),FU11,0)</f>
        <v>0</v>
      </c>
      <c r="FX11" s="938">
        <f>IF(FQ$6=1,IF($I11=0,FU11,0),IF($G11&gt;1,FU11,FU11-FW11))</f>
        <v>0</v>
      </c>
      <c r="FY11" s="938" t="str">
        <f>IF(FQ$6=1,FU11,"")</f>
        <v/>
      </c>
      <c r="FZ11" s="733">
        <f>'min. Düngung 22'!BJ12</f>
        <v>0</v>
      </c>
      <c r="GA11" s="938"/>
      <c r="GB11" s="938"/>
      <c r="GC11" s="938">
        <f>$B11*FZ11</f>
        <v>0</v>
      </c>
      <c r="GD11" s="938">
        <f>FZ11*GB$4</f>
        <v>0</v>
      </c>
      <c r="GE11" s="938">
        <f>FZ11*GB$5</f>
        <v>0</v>
      </c>
      <c r="GF11" s="938">
        <f>IF(AND(FZ$6=2,$F11=1,$H11=1),GD11,0)</f>
        <v>0</v>
      </c>
      <c r="GG11" s="938">
        <f>IF(FZ$6=1,IF($I11=0,GD11,0),IF($G11&gt;1,GD11,GD11-GF11))</f>
        <v>0</v>
      </c>
      <c r="GH11" s="938" t="str">
        <f>IF(FZ$6=1,GD11,"")</f>
        <v/>
      </c>
      <c r="GI11" s="733">
        <f>'min. Düngung 22'!BM12</f>
        <v>0</v>
      </c>
      <c r="GJ11" s="938"/>
      <c r="GK11" s="938"/>
      <c r="GL11" s="938">
        <f>$B11*GI11</f>
        <v>0</v>
      </c>
      <c r="GM11" s="938">
        <f>GI11*GK$4</f>
        <v>0</v>
      </c>
      <c r="GN11" s="938">
        <f>GI11*GK$5</f>
        <v>0</v>
      </c>
      <c r="GO11" s="938">
        <f>IF(AND(GI$6=2,$F11=1,$H11=1),GM11,0)</f>
        <v>0</v>
      </c>
      <c r="GP11" s="938">
        <f>IF(GI$6=1,IF($I11=0,GM11,0),IF($G11&gt;1,GM11,GM11-GO11))</f>
        <v>0</v>
      </c>
      <c r="GQ11" s="938" t="str">
        <f>IF(GI$6=1,GM11,"")</f>
        <v/>
      </c>
      <c r="GR11" s="733">
        <f>'min. Düngung 22'!BP12</f>
        <v>0</v>
      </c>
      <c r="GS11" s="938"/>
      <c r="GT11" s="938"/>
      <c r="GU11" s="938">
        <f>$B11*GR11</f>
        <v>0</v>
      </c>
      <c r="GV11" s="938">
        <f>GR11*GT$4</f>
        <v>0</v>
      </c>
      <c r="GW11" s="938">
        <f>GR11*GT$5</f>
        <v>0</v>
      </c>
      <c r="GX11" s="938">
        <f>IF(AND(GR$6=2,$F11=1,$H11=1),GV11,0)</f>
        <v>0</v>
      </c>
      <c r="GY11" s="938">
        <f>IF(GR$6=1,IF($I11=0,GV11,0),IF($G11&gt;1,GV11,GV11-GX11))</f>
        <v>0</v>
      </c>
      <c r="GZ11" s="938" t="str">
        <f>IF(GR$6=1,GV11,"")</f>
        <v/>
      </c>
      <c r="HA11" s="733">
        <f>'min. Düngung 22'!BS12</f>
        <v>0</v>
      </c>
      <c r="HB11" s="938"/>
      <c r="HC11" s="938"/>
      <c r="HD11" s="938">
        <f>$B11*HA11</f>
        <v>0</v>
      </c>
      <c r="HE11" s="938">
        <f>HA11*HC$4</f>
        <v>0</v>
      </c>
      <c r="HF11" s="938">
        <f>HA11*HC$5</f>
        <v>0</v>
      </c>
      <c r="HG11" s="938">
        <f>IF(AND(HA$6=2,$F11=1,$H11=1),HE11,0)</f>
        <v>0</v>
      </c>
      <c r="HH11" s="938">
        <f>IF(HA$6=1,IF($I11=0,HE11,0),IF($G11&gt;1,HE11,HE11-HG11))</f>
        <v>0</v>
      </c>
      <c r="HI11" s="938" t="str">
        <f>IF(HA$6=1,HE11,"")</f>
        <v/>
      </c>
      <c r="HJ11" s="733">
        <f>'min. Düngung 22'!BV12</f>
        <v>0</v>
      </c>
      <c r="HK11" s="938"/>
      <c r="HL11" s="938"/>
      <c r="HM11" s="938">
        <f>$B11*HJ11</f>
        <v>0</v>
      </c>
      <c r="HN11" s="938">
        <f>HJ11*HL$4</f>
        <v>0</v>
      </c>
      <c r="HO11" s="938">
        <f>HJ11*HL$5</f>
        <v>0</v>
      </c>
      <c r="HP11" s="938">
        <f>IF(AND(HJ$6=2,$F11=1,$H11=1),HN11,0)</f>
        <v>0</v>
      </c>
      <c r="HQ11" s="938">
        <f>IF(HJ$6=1,IF($I11=0,HN11,0),IF($G11&gt;1,HN11,HN11-HP11))</f>
        <v>0</v>
      </c>
      <c r="HR11" s="938" t="str">
        <f>IF(HJ$6=1,HN11,"")</f>
        <v/>
      </c>
      <c r="HS11" s="733">
        <f>'min. Düngung 22'!BY12</f>
        <v>0</v>
      </c>
      <c r="HT11" s="938"/>
      <c r="HU11" s="938"/>
      <c r="HV11" s="938">
        <f>$B11*HS11</f>
        <v>0</v>
      </c>
      <c r="HW11" s="938">
        <f>HS11*HU$4</f>
        <v>0</v>
      </c>
      <c r="HX11" s="938">
        <f>HS11*HU$5</f>
        <v>0</v>
      </c>
      <c r="HY11" s="938">
        <f>IF(AND(HS$6=2,$F11=1,$H11=1),HW11,0)</f>
        <v>0</v>
      </c>
      <c r="HZ11" s="938">
        <f>IF(HS$6=1,IF($I11=0,HW11,0),IF($G11&gt;1,HW11,HW11-HY11))</f>
        <v>0</v>
      </c>
      <c r="IA11" s="938" t="str">
        <f>IF(HS$6=1,HW11,"")</f>
        <v/>
      </c>
      <c r="IB11" s="733">
        <f>'min. Düngung 22'!CB12</f>
        <v>0</v>
      </c>
      <c r="IC11" s="938"/>
      <c r="ID11" s="938"/>
      <c r="IE11" s="938">
        <f>$B11*IB11</f>
        <v>0</v>
      </c>
      <c r="IF11" s="938">
        <f>IB11*ID$4</f>
        <v>0</v>
      </c>
      <c r="IG11" s="938">
        <f>IB11*ID$5</f>
        <v>0</v>
      </c>
      <c r="IH11" s="938">
        <f>IF(AND(IB$6=2,$F11=1,$H11=1),IF11,0)</f>
        <v>0</v>
      </c>
      <c r="II11" s="938">
        <f>IF(IB$6=1,IF($I11=0,IF11,0),IF($G11&gt;1,IF11,IF11-IH11))</f>
        <v>0</v>
      </c>
      <c r="IJ11" s="938" t="str">
        <f>IF(IB$6=1,IF11,"")</f>
        <v/>
      </c>
      <c r="IK11" s="733">
        <f>'min. Düngung 22'!CE12</f>
        <v>0</v>
      </c>
      <c r="IL11" s="938"/>
      <c r="IM11" s="938"/>
      <c r="IN11" s="938">
        <f>$B11*IK11</f>
        <v>0</v>
      </c>
      <c r="IO11" s="938">
        <f>IK11*IM$4</f>
        <v>0</v>
      </c>
      <c r="IP11" s="938">
        <f>IK11*IM$5</f>
        <v>0</v>
      </c>
      <c r="IQ11" s="938">
        <f>IF(AND(IK$6=2,$F11=1,$H11=1),IO11,0)</f>
        <v>0</v>
      </c>
      <c r="IR11" s="938">
        <f>IF(IK$6=1,IF($I11=0,IO11,0),IF($G11&gt;1,IO11,IO11-IQ11))</f>
        <v>0</v>
      </c>
      <c r="IS11" s="938" t="str">
        <f>IF(IK$6=1,IO11,"")</f>
        <v/>
      </c>
      <c r="IT11" s="733">
        <f>'min. Düngung 22'!CH12</f>
        <v>0</v>
      </c>
      <c r="IU11" s="938"/>
      <c r="IV11" s="938"/>
      <c r="IW11" s="938">
        <f>$B11*IT11</f>
        <v>0</v>
      </c>
      <c r="IX11" s="938">
        <f>IT11*IV$4</f>
        <v>0</v>
      </c>
      <c r="IY11" s="938">
        <f>IT11*IV$5</f>
        <v>0</v>
      </c>
      <c r="IZ11" s="938">
        <f>IF(AND(IT$6=2,$F11=1,$H11=1),IX11,0)</f>
        <v>0</v>
      </c>
      <c r="JA11" s="938">
        <f>IF(IT$6=1,IF($I11=0,IX11,0),IF($G11&gt;1,IX11,IX11-IZ11))</f>
        <v>0</v>
      </c>
      <c r="JB11" s="938" t="str">
        <f>IF(IT$6=1,IX11,"")</f>
        <v/>
      </c>
      <c r="JC11" s="733">
        <f>'min. Düngung 22'!CK12</f>
        <v>0</v>
      </c>
      <c r="JD11" s="938"/>
      <c r="JE11" s="938"/>
      <c r="JF11" s="938">
        <f>$B11*JC11</f>
        <v>0</v>
      </c>
      <c r="JG11" s="938">
        <f>JC11*JE$4</f>
        <v>0</v>
      </c>
      <c r="JH11" s="938">
        <f>JC11*JE$5</f>
        <v>0</v>
      </c>
      <c r="JI11" s="938">
        <f>IF(AND(JC$6=2,$F11=1,$H11=1),JG11,0)</f>
        <v>0</v>
      </c>
      <c r="JJ11" s="938">
        <f>IF(JC$6=1,IF($I11=0,JG11,0),IF($G11&gt;1,JG11,JG11-JI11))</f>
        <v>0</v>
      </c>
      <c r="JK11" s="938" t="str">
        <f>IF(JC$6=1,JG11,"")</f>
        <v/>
      </c>
      <c r="JL11" s="733">
        <f>'min. Düngung 22'!CN12</f>
        <v>0</v>
      </c>
      <c r="JM11" s="938"/>
      <c r="JN11" s="938"/>
      <c r="JO11" s="938">
        <f>$B11*JL11</f>
        <v>0</v>
      </c>
      <c r="JP11" s="938">
        <f>JL11*JN$4</f>
        <v>0</v>
      </c>
      <c r="JQ11" s="938">
        <f>JL11*JN$5</f>
        <v>0</v>
      </c>
      <c r="JR11" s="938">
        <f>IF(AND(JL$6=2,$F11=1,$H11=1),JP11,0)</f>
        <v>0</v>
      </c>
      <c r="JS11" s="938">
        <f>IF(JL$6=1,IF($I11=0,JP11,0),IF($G11&gt;1,JP11,JP11-JR11))</f>
        <v>0</v>
      </c>
      <c r="JT11" s="938" t="str">
        <f>IF(JL$6=1,JP11,"")</f>
        <v/>
      </c>
      <c r="JU11" s="733">
        <f>'min. Düngung 22'!CQ12</f>
        <v>0</v>
      </c>
      <c r="JV11" s="938"/>
      <c r="JW11" s="938"/>
      <c r="JX11" s="938">
        <f>$B11*JU11</f>
        <v>0</v>
      </c>
      <c r="JY11" s="938">
        <f>JU11*JW$4</f>
        <v>0</v>
      </c>
      <c r="JZ11" s="938">
        <f>JU11*JW$5</f>
        <v>0</v>
      </c>
      <c r="KA11" s="938">
        <f>IF(AND(JU$6=2,$F11=1,$H11=1),JY11,0)</f>
        <v>0</v>
      </c>
      <c r="KB11" s="938">
        <f>IF(JU$6=1,IF($I11=0,JY11,0),IF($G11&gt;1,JY11,JY11-KA11))</f>
        <v>0</v>
      </c>
      <c r="KC11" s="938" t="str">
        <f>IF(JU$6=1,JY11,"")</f>
        <v/>
      </c>
      <c r="KF11" s="938" t="str">
        <f>IF(AND($F11=2,$G11=1),"",IF(OR($Q11&gt;0,$O11&gt;60),$KF$7,IF(I11=70,"",IF(AND(I11=80,R11+'#orgDung'!AC14&lt;60,K11=1,OR(C11=2,'#BerechnungDBE'!AH5=4)),"",IF(R11&gt;0,$KF$7,"")))))</f>
        <v/>
      </c>
      <c r="KG11" t="str">
        <f>IF(AND(P11&gt;'#BerechnungDBE'!BJ5,P11&gt;0),'#minDung'!$KG$7,"")</f>
        <v/>
      </c>
      <c r="KH11" t="str">
        <f>IF(AND(I11=70,R11&gt;'#BerechnungDBE'!CR5),'#minDung'!$KH$7,"")</f>
        <v/>
      </c>
      <c r="KI11" s="938" t="str">
        <f>IF('#BerechnungDBE'!P5&lt;4,"",IF(AND('#BerechnungDBE'!BZ5&gt;0,N11&gt;0),$KI$7,""))</f>
        <v/>
      </c>
      <c r="KJ11" t="str">
        <f>IF(AND(F11=2,G11=1,Q11&gt;0),$KJ$7,"")</f>
        <v/>
      </c>
    </row>
    <row r="12" spans="1:296" x14ac:dyDescent="0.2">
      <c r="A12" s="714">
        <f>'Flächen u. Kulturen'!A11</f>
        <v>2</v>
      </c>
      <c r="B12" s="734">
        <f>'#BerechnungDBE'!L6</f>
        <v>0</v>
      </c>
      <c r="C12" s="46">
        <f>'#orgDung'!C15</f>
        <v>1</v>
      </c>
      <c r="D12" s="714">
        <f>'#BerechnungDBE'!T6</f>
        <v>2</v>
      </c>
      <c r="E12" s="714" t="str">
        <f>'Flächen u. Kulturen'!E11</f>
        <v>x</v>
      </c>
      <c r="F12" s="52">
        <f>'#BerechnungDBE'!N6</f>
        <v>1</v>
      </c>
      <c r="G12" s="52">
        <f>'#BerechnungDBE'!O6</f>
        <v>1</v>
      </c>
      <c r="H12" s="505">
        <f>'#orgDung'!J15</f>
        <v>2</v>
      </c>
      <c r="I12" s="714">
        <f>'#BerechnungDBE'!AF6</f>
        <v>0</v>
      </c>
      <c r="J12" s="714">
        <f>'#orgDung'!M15</f>
        <v>0</v>
      </c>
      <c r="K12" s="714">
        <f>'#BerechnungDBE'!AG6</f>
        <v>0</v>
      </c>
      <c r="M12" s="714">
        <f t="shared" si="0"/>
        <v>0</v>
      </c>
      <c r="N12" s="714">
        <f t="shared" si="1"/>
        <v>0</v>
      </c>
      <c r="O12" s="714">
        <f t="shared" si="2"/>
        <v>0</v>
      </c>
      <c r="P12" s="714">
        <f t="shared" ref="P12:P42" si="4">SUMIF($T$10:$XFD$10,$AA$10,T12:XFD12)</f>
        <v>0</v>
      </c>
      <c r="Q12" s="938">
        <f>SUMIF($T$9:$XFD$9,$AA$10,T12:XFD12)</f>
        <v>0</v>
      </c>
      <c r="R12" s="714">
        <f t="shared" si="3"/>
        <v>0</v>
      </c>
      <c r="S12" s="714"/>
      <c r="T12" s="713">
        <f>'min. Düngung 22'!H13</f>
        <v>0</v>
      </c>
      <c r="W12" s="807">
        <f>$B12*T12</f>
        <v>0</v>
      </c>
      <c r="X12" s="714">
        <f>T12*V$4</f>
        <v>0</v>
      </c>
      <c r="Y12" s="714">
        <f>T12*V$5</f>
        <v>0</v>
      </c>
      <c r="Z12" s="714">
        <f>IF(AND(T$6=2,$F12=1,$H12=1),X12,0)</f>
        <v>0</v>
      </c>
      <c r="AA12" s="714">
        <f>IF(T$6=1,IF($I12=0,X12,0),IF($G12&gt;1,X12,X12-Z12))</f>
        <v>0</v>
      </c>
      <c r="AB12" s="714" t="str">
        <f>IF(T$6=1,X12,"")</f>
        <v/>
      </c>
      <c r="AC12" s="713">
        <f>'min. Düngung 22'!K13</f>
        <v>0</v>
      </c>
      <c r="AD12" s="938"/>
      <c r="AE12" s="938"/>
      <c r="AF12" s="938">
        <f>$B12*AC12</f>
        <v>0</v>
      </c>
      <c r="AG12" s="938">
        <f>AC12*AE$4</f>
        <v>0</v>
      </c>
      <c r="AH12" s="938">
        <f>AC12*AE$5</f>
        <v>0</v>
      </c>
      <c r="AI12" s="938">
        <f>IF(AND(AC$6=2,$F12=1,$H12=1),AG12,0)</f>
        <v>0</v>
      </c>
      <c r="AJ12" s="938">
        <f>IF(AC$6=1,IF($I12=0,AG12,0),IF($G12&gt;1,AG12,AG12-AI12))</f>
        <v>0</v>
      </c>
      <c r="AK12" s="938">
        <f>IF(AC$6=1,AG12,"")</f>
        <v>0</v>
      </c>
      <c r="AL12" s="713">
        <f>'min. Düngung 22'!N13</f>
        <v>0</v>
      </c>
      <c r="AM12" s="938"/>
      <c r="AN12" s="938"/>
      <c r="AO12" s="938">
        <f>$B12*AL12</f>
        <v>0</v>
      </c>
      <c r="AP12" s="938">
        <f>AL12*AN$4</f>
        <v>0</v>
      </c>
      <c r="AQ12" s="938">
        <f>AL12*AN$5</f>
        <v>0</v>
      </c>
      <c r="AR12" s="938">
        <f>IF(AND(AL$6=2,$F12=1,$H12=1),AP12,0)</f>
        <v>0</v>
      </c>
      <c r="AS12" s="938">
        <f>IF(AL$6=1,IF($I12=0,AP12,0),IF($G12&gt;1,AP12,AP12-AR12))</f>
        <v>0</v>
      </c>
      <c r="AT12" s="938" t="str">
        <f>IF(AL$6=1,AP12,"")</f>
        <v/>
      </c>
      <c r="AU12" s="713">
        <f>'min. Düngung 22'!Q13</f>
        <v>0</v>
      </c>
      <c r="AV12" s="938"/>
      <c r="AW12" s="938"/>
      <c r="AX12" s="938">
        <f>$B12*AU12</f>
        <v>0</v>
      </c>
      <c r="AY12" s="938">
        <f>AU12*AW$4</f>
        <v>0</v>
      </c>
      <c r="AZ12" s="938">
        <f>AU12*AW$5</f>
        <v>0</v>
      </c>
      <c r="BA12" s="938">
        <f>IF(AND(AU$6=2,$F12=1,$H12=1),AY12,0)</f>
        <v>0</v>
      </c>
      <c r="BB12" s="938">
        <f>IF(AU$6=1,IF($I12=0,AY12,0),IF($G12&gt;1,AY12,AY12-BA12))</f>
        <v>0</v>
      </c>
      <c r="BC12" s="938" t="str">
        <f>IF(AU$6=1,AY12,"")</f>
        <v/>
      </c>
      <c r="BD12" s="713">
        <f>'min. Düngung 22'!T13</f>
        <v>0</v>
      </c>
      <c r="BE12" s="938"/>
      <c r="BF12" s="938"/>
      <c r="BG12" s="938">
        <f>$B12*BD12</f>
        <v>0</v>
      </c>
      <c r="BH12" s="938">
        <f>BD12*BF$4</f>
        <v>0</v>
      </c>
      <c r="BI12" s="938">
        <f>BD12*BF$5</f>
        <v>0</v>
      </c>
      <c r="BJ12" s="938">
        <f>IF(AND(BD$6=2,$F12=1,$H12=1),BH12,0)</f>
        <v>0</v>
      </c>
      <c r="BK12" s="938">
        <f>IF(BD$6=1,IF($I12=0,BH12,0),IF($G12&gt;1,BH12,BH12-BJ12))</f>
        <v>0</v>
      </c>
      <c r="BL12" s="938" t="str">
        <f>IF(BD$6=1,BH12,"")</f>
        <v/>
      </c>
      <c r="BM12" s="713">
        <f>'min. Düngung 22'!W13</f>
        <v>0</v>
      </c>
      <c r="BN12" s="938"/>
      <c r="BO12" s="938"/>
      <c r="BP12" s="938">
        <f>$B12*BM12</f>
        <v>0</v>
      </c>
      <c r="BQ12" s="938">
        <f>BM12*BO$4</f>
        <v>0</v>
      </c>
      <c r="BR12" s="938">
        <f>BM12*BO$5</f>
        <v>0</v>
      </c>
      <c r="BS12" s="938">
        <f>IF(AND(BM$6=2,$F12=1,$H12=1),BQ12,0)</f>
        <v>0</v>
      </c>
      <c r="BT12" s="938">
        <f>IF(BM$6=1,IF($I12=0,BQ12,0),IF($G12&gt;1,BQ12,BQ12-BS12))</f>
        <v>0</v>
      </c>
      <c r="BU12" s="938" t="str">
        <f>IF(BM$6=1,BQ12,"")</f>
        <v/>
      </c>
      <c r="BV12" s="713">
        <f>'min. Düngung 22'!Z13</f>
        <v>0</v>
      </c>
      <c r="BW12" s="938"/>
      <c r="BX12" s="938"/>
      <c r="BY12" s="938">
        <f>$B12*BV12</f>
        <v>0</v>
      </c>
      <c r="BZ12" s="938">
        <f>BV12*BX$4</f>
        <v>0</v>
      </c>
      <c r="CA12" s="938">
        <f>BV12*BX$5</f>
        <v>0</v>
      </c>
      <c r="CB12" s="938">
        <f>IF(AND(BV$6=2,$F12=1,$H12=1),BZ12,0)</f>
        <v>0</v>
      </c>
      <c r="CC12" s="938">
        <f>IF(BV$6=1,IF($I12=0,BZ12,0),IF($G12&gt;1,BZ12,BZ12-CB12))</f>
        <v>0</v>
      </c>
      <c r="CD12" s="938" t="str">
        <f>IF(BV$6=1,BZ12,"")</f>
        <v/>
      </c>
      <c r="CE12" s="713">
        <f>'min. Düngung 22'!AC13</f>
        <v>0</v>
      </c>
      <c r="CF12" s="938"/>
      <c r="CG12" s="938"/>
      <c r="CH12" s="938">
        <f>$B12*CE12</f>
        <v>0</v>
      </c>
      <c r="CI12" s="938">
        <f>CE12*CG$4</f>
        <v>0</v>
      </c>
      <c r="CJ12" s="938">
        <f>CE12*CG$5</f>
        <v>0</v>
      </c>
      <c r="CK12" s="938">
        <f>IF(AND(CE$6=2,$F12=1,$H12=1),CI12,0)</f>
        <v>0</v>
      </c>
      <c r="CL12" s="938">
        <f>IF(CE$6=1,IF($I12=0,CI12,0),IF($G12&gt;1,CI12,CI12-CK12))</f>
        <v>0</v>
      </c>
      <c r="CM12" s="938" t="str">
        <f>IF(CE$6=1,CI12,"")</f>
        <v/>
      </c>
      <c r="CN12" s="713">
        <f>'min. Düngung 22'!AF13</f>
        <v>0</v>
      </c>
      <c r="CO12" s="938"/>
      <c r="CP12" s="938"/>
      <c r="CQ12" s="938">
        <f>$B12*CN12</f>
        <v>0</v>
      </c>
      <c r="CR12" s="938">
        <f>CN12*CP$4</f>
        <v>0</v>
      </c>
      <c r="CS12" s="938">
        <f>CN12*CP$5</f>
        <v>0</v>
      </c>
      <c r="CT12" s="938">
        <f>IF(AND(CN$6=2,$F12=1,$H12=1),CR12,0)</f>
        <v>0</v>
      </c>
      <c r="CU12" s="938">
        <f>IF(CN$6=1,IF($I12=0,CR12,0),IF($G12&gt;1,CR12,CR12-CT12))</f>
        <v>0</v>
      </c>
      <c r="CV12" s="938" t="str">
        <f>IF(CN$6=1,CR12,"")</f>
        <v/>
      </c>
      <c r="CW12" s="713">
        <f>'min. Düngung 22'!AI13</f>
        <v>0</v>
      </c>
      <c r="CX12" s="938"/>
      <c r="CY12" s="938"/>
      <c r="CZ12" s="938">
        <f>$B12*CW12</f>
        <v>0</v>
      </c>
      <c r="DA12" s="938">
        <f>CW12*CY$4</f>
        <v>0</v>
      </c>
      <c r="DB12" s="938">
        <f>CW12*CY$5</f>
        <v>0</v>
      </c>
      <c r="DC12" s="938">
        <f>IF(AND(CW$6=2,$F12=1,$H12=1),DA12,0)</f>
        <v>0</v>
      </c>
      <c r="DD12" s="938">
        <f>IF(CW$6=1,IF($I12=0,DA12,0),IF($G12&gt;1,DA12,DA12-DC12))</f>
        <v>0</v>
      </c>
      <c r="DE12" s="938" t="str">
        <f>IF(CW$6=1,DA12,"")</f>
        <v/>
      </c>
      <c r="DF12" s="713">
        <f>'min. Düngung 22'!AL13</f>
        <v>0</v>
      </c>
      <c r="DG12" s="938"/>
      <c r="DH12" s="938"/>
      <c r="DI12" s="938">
        <f>$B12*DF12</f>
        <v>0</v>
      </c>
      <c r="DJ12" s="938">
        <f>DF12*DH$4</f>
        <v>0</v>
      </c>
      <c r="DK12" s="938">
        <f>DF12*DH$5</f>
        <v>0</v>
      </c>
      <c r="DL12" s="938">
        <f>IF(AND(DF$6=2,$F12=1,$H12=1),DJ12,0)</f>
        <v>0</v>
      </c>
      <c r="DM12" s="938">
        <f>IF(DF$6=1,IF($I12=0,DJ12,0),IF($G12&gt;1,DJ12,DJ12-DL12))</f>
        <v>0</v>
      </c>
      <c r="DN12" s="938" t="str">
        <f>IF(DF$6=1,DJ12,"")</f>
        <v/>
      </c>
      <c r="DO12" s="713">
        <f>'min. Düngung 22'!AO13</f>
        <v>0</v>
      </c>
      <c r="DP12" s="938"/>
      <c r="DQ12" s="938"/>
      <c r="DR12" s="938">
        <f>$B12*DO12</f>
        <v>0</v>
      </c>
      <c r="DS12" s="938">
        <f>DO12*DQ$4</f>
        <v>0</v>
      </c>
      <c r="DT12" s="938">
        <f>DO12*DQ$5</f>
        <v>0</v>
      </c>
      <c r="DU12" s="938">
        <f>IF(AND(DO$6=2,$F12=1,$H12=1),DS12,0)</f>
        <v>0</v>
      </c>
      <c r="DV12" s="938">
        <f>IF(DO$6=1,IF($I12=0,DS12,0),IF($G12&gt;1,DS12,DS12-DU12))</f>
        <v>0</v>
      </c>
      <c r="DW12" s="938" t="str">
        <f>IF(DO$6=1,DS12,"")</f>
        <v/>
      </c>
      <c r="DX12" s="713">
        <f>'min. Düngung 22'!AR13</f>
        <v>0</v>
      </c>
      <c r="DY12" s="938"/>
      <c r="DZ12" s="938"/>
      <c r="EA12" s="938">
        <f>$B12*DX12</f>
        <v>0</v>
      </c>
      <c r="EB12" s="938">
        <f>DX12*DZ$4</f>
        <v>0</v>
      </c>
      <c r="EC12" s="938">
        <f>DX12*DZ$5</f>
        <v>0</v>
      </c>
      <c r="ED12" s="938">
        <f>IF(AND(DX$6=2,$F12=1,$H12=1),EB12,0)</f>
        <v>0</v>
      </c>
      <c r="EE12" s="938">
        <f>IF(DX$6=1,IF($I12=0,EB12,0),IF($G12&gt;1,EB12,EB12-ED12))</f>
        <v>0</v>
      </c>
      <c r="EF12" s="938" t="str">
        <f>IF(DX$6=1,EB12,"")</f>
        <v/>
      </c>
      <c r="EG12" s="713">
        <f>'min. Düngung 22'!AU13</f>
        <v>0</v>
      </c>
      <c r="EH12" s="938"/>
      <c r="EI12" s="938"/>
      <c r="EJ12" s="938">
        <f>$B12*EG12</f>
        <v>0</v>
      </c>
      <c r="EK12" s="938">
        <f>EG12*EI$4</f>
        <v>0</v>
      </c>
      <c r="EL12" s="938">
        <f>EG12*EI$5</f>
        <v>0</v>
      </c>
      <c r="EM12" s="938">
        <f>IF(AND(EG$6=2,$F12=1,$H12=1),EK12,0)</f>
        <v>0</v>
      </c>
      <c r="EN12" s="938">
        <f>IF(EG$6=1,IF($I12=0,EK12,0),IF($G12&gt;1,EK12,EK12-EM12))</f>
        <v>0</v>
      </c>
      <c r="EO12" s="938" t="str">
        <f>IF(EG$6=1,EK12,"")</f>
        <v/>
      </c>
      <c r="EP12" s="713">
        <f>'min. Düngung 22'!AX13</f>
        <v>0</v>
      </c>
      <c r="EQ12" s="938"/>
      <c r="ER12" s="938"/>
      <c r="ES12" s="938">
        <f>$B12*EP12</f>
        <v>0</v>
      </c>
      <c r="ET12" s="938">
        <f>EP12*ER$4</f>
        <v>0</v>
      </c>
      <c r="EU12" s="938">
        <f>EP12*ER$5</f>
        <v>0</v>
      </c>
      <c r="EV12" s="938">
        <f>IF(AND(EP$6=2,$F12=1,$H12=1),ET12,0)</f>
        <v>0</v>
      </c>
      <c r="EW12" s="938">
        <f>IF(EP$6=1,IF($I12=0,ET12,0),IF($G12&gt;1,ET12,ET12-EV12))</f>
        <v>0</v>
      </c>
      <c r="EX12" s="938" t="str">
        <f>IF(EP$6=1,ET12,"")</f>
        <v/>
      </c>
      <c r="EY12" s="713">
        <f>'min. Düngung 22'!BA13</f>
        <v>0</v>
      </c>
      <c r="EZ12" s="938"/>
      <c r="FA12" s="938"/>
      <c r="FB12" s="938">
        <f>$B12*EY12</f>
        <v>0</v>
      </c>
      <c r="FC12" s="938">
        <f>EY12*FA$4</f>
        <v>0</v>
      </c>
      <c r="FD12" s="938">
        <f>EY12*FA$5</f>
        <v>0</v>
      </c>
      <c r="FE12" s="938">
        <f>IF(AND(EY$6=2,$F12=1,$H12=1),FC12,0)</f>
        <v>0</v>
      </c>
      <c r="FF12" s="938">
        <f>IF(EY$6=1,IF($I12=0,FC12,0),IF($G12&gt;1,FC12,FC12-FE12))</f>
        <v>0</v>
      </c>
      <c r="FG12" s="938" t="str">
        <f>IF(EY$6=1,FC12,"")</f>
        <v/>
      </c>
      <c r="FH12" s="713">
        <f>'min. Düngung 22'!BD13</f>
        <v>0</v>
      </c>
      <c r="FI12" s="938"/>
      <c r="FJ12" s="938"/>
      <c r="FK12" s="938">
        <f>$B12*FH12</f>
        <v>0</v>
      </c>
      <c r="FL12" s="938">
        <f>FH12*FJ$4</f>
        <v>0</v>
      </c>
      <c r="FM12" s="938">
        <f>FH12*FJ$5</f>
        <v>0</v>
      </c>
      <c r="FN12" s="938">
        <f>IF(AND(FH$6=2,$F12=1,$H12=1),FL12,0)</f>
        <v>0</v>
      </c>
      <c r="FO12" s="938">
        <f>IF(FH$6=1,IF($I12=0,FL12,0),IF($G12&gt;1,FL12,FL12-FN12))</f>
        <v>0</v>
      </c>
      <c r="FP12" s="938" t="str">
        <f>IF(FH$6=1,FL12,"")</f>
        <v/>
      </c>
      <c r="FQ12" s="713">
        <f>'min. Düngung 22'!BG13</f>
        <v>0</v>
      </c>
      <c r="FR12" s="938"/>
      <c r="FS12" s="938"/>
      <c r="FT12" s="938">
        <f>$B12*FQ12</f>
        <v>0</v>
      </c>
      <c r="FU12" s="938">
        <f>FQ12*FS$4</f>
        <v>0</v>
      </c>
      <c r="FV12" s="938">
        <f>FQ12*FS$5</f>
        <v>0</v>
      </c>
      <c r="FW12" s="938">
        <f>IF(AND(FQ$6=2,$F12=1,$H12=1),FU12,0)</f>
        <v>0</v>
      </c>
      <c r="FX12" s="938">
        <f>IF(FQ$6=1,IF($I12=0,FU12,0),IF($G12&gt;1,FU12,FU12-FW12))</f>
        <v>0</v>
      </c>
      <c r="FY12" s="938" t="str">
        <f>IF(FQ$6=1,FU12,"")</f>
        <v/>
      </c>
      <c r="FZ12" s="713">
        <f>'min. Düngung 22'!BJ13</f>
        <v>0</v>
      </c>
      <c r="GA12" s="938"/>
      <c r="GB12" s="938"/>
      <c r="GC12" s="938">
        <f>$B12*FZ12</f>
        <v>0</v>
      </c>
      <c r="GD12" s="938">
        <f>FZ12*GB$4</f>
        <v>0</v>
      </c>
      <c r="GE12" s="938">
        <f>FZ12*GB$5</f>
        <v>0</v>
      </c>
      <c r="GF12" s="938">
        <f>IF(AND(FZ$6=2,$F12=1,$H12=1),GD12,0)</f>
        <v>0</v>
      </c>
      <c r="GG12" s="938">
        <f>IF(FZ$6=1,IF($I12=0,GD12,0),IF($G12&gt;1,GD12,GD12-GF12))</f>
        <v>0</v>
      </c>
      <c r="GH12" s="938" t="str">
        <f>IF(FZ$6=1,GD12,"")</f>
        <v/>
      </c>
      <c r="GI12" s="713">
        <f>'min. Düngung 22'!BM13</f>
        <v>0</v>
      </c>
      <c r="GJ12" s="938"/>
      <c r="GK12" s="938"/>
      <c r="GL12" s="938">
        <f>$B12*GI12</f>
        <v>0</v>
      </c>
      <c r="GM12" s="938">
        <f>GI12*GK$4</f>
        <v>0</v>
      </c>
      <c r="GN12" s="938">
        <f>GI12*GK$5</f>
        <v>0</v>
      </c>
      <c r="GO12" s="938">
        <f>IF(AND(GI$6=2,$F12=1,$H12=1),GM12,0)</f>
        <v>0</v>
      </c>
      <c r="GP12" s="938">
        <f>IF(GI$6=1,IF($I12=0,GM12,0),IF($G12&gt;1,GM12,GM12-GO12))</f>
        <v>0</v>
      </c>
      <c r="GQ12" s="938" t="str">
        <f>IF(GI$6=1,GM12,"")</f>
        <v/>
      </c>
      <c r="GR12" s="713">
        <f>'min. Düngung 22'!BP13</f>
        <v>0</v>
      </c>
      <c r="GS12" s="938"/>
      <c r="GT12" s="938"/>
      <c r="GU12" s="938">
        <f>$B12*GR12</f>
        <v>0</v>
      </c>
      <c r="GV12" s="938">
        <f>GR12*GT$4</f>
        <v>0</v>
      </c>
      <c r="GW12" s="938">
        <f>GR12*GT$5</f>
        <v>0</v>
      </c>
      <c r="GX12" s="938">
        <f>IF(AND(GR$6=2,$F12=1,$H12=1),GV12,0)</f>
        <v>0</v>
      </c>
      <c r="GY12" s="938">
        <f>IF(GR$6=1,IF($I12=0,GV12,0),IF($G12&gt;1,GV12,GV12-GX12))</f>
        <v>0</v>
      </c>
      <c r="GZ12" s="938" t="str">
        <f>IF(GR$6=1,GV12,"")</f>
        <v/>
      </c>
      <c r="HA12" s="713">
        <f>'min. Düngung 22'!BS13</f>
        <v>0</v>
      </c>
      <c r="HB12" s="938"/>
      <c r="HC12" s="938"/>
      <c r="HD12" s="938">
        <f>$B12*HA12</f>
        <v>0</v>
      </c>
      <c r="HE12" s="938">
        <f>HA12*HC$4</f>
        <v>0</v>
      </c>
      <c r="HF12" s="938">
        <f>HA12*HC$5</f>
        <v>0</v>
      </c>
      <c r="HG12" s="938">
        <f>IF(AND(HA$6=2,$F12=1,$H12=1),HE12,0)</f>
        <v>0</v>
      </c>
      <c r="HH12" s="938">
        <f>IF(HA$6=1,IF($I12=0,HE12,0),IF($G12&gt;1,HE12,HE12-HG12))</f>
        <v>0</v>
      </c>
      <c r="HI12" s="938" t="str">
        <f>IF(HA$6=1,HE12,"")</f>
        <v/>
      </c>
      <c r="HJ12" s="713">
        <f>'min. Düngung 22'!BV13</f>
        <v>0</v>
      </c>
      <c r="HK12" s="938"/>
      <c r="HL12" s="938"/>
      <c r="HM12" s="938">
        <f>$B12*HJ12</f>
        <v>0</v>
      </c>
      <c r="HN12" s="938">
        <f>HJ12*HL$4</f>
        <v>0</v>
      </c>
      <c r="HO12" s="938">
        <f>HJ12*HL$5</f>
        <v>0</v>
      </c>
      <c r="HP12" s="938">
        <f>IF(AND(HJ$6=2,$F12=1,$H12=1),HN12,0)</f>
        <v>0</v>
      </c>
      <c r="HQ12" s="938">
        <f>IF(HJ$6=1,IF($I12=0,HN12,0),IF($G12&gt;1,HN12,HN12-HP12))</f>
        <v>0</v>
      </c>
      <c r="HR12" s="938" t="str">
        <f>IF(HJ$6=1,HN12,"")</f>
        <v/>
      </c>
      <c r="HS12" s="713">
        <f>'min. Düngung 22'!BY13</f>
        <v>0</v>
      </c>
      <c r="HT12" s="938"/>
      <c r="HU12" s="938"/>
      <c r="HV12" s="938">
        <f>$B12*HS12</f>
        <v>0</v>
      </c>
      <c r="HW12" s="938">
        <f>HS12*HU$4</f>
        <v>0</v>
      </c>
      <c r="HX12" s="938">
        <f>HS12*HU$5</f>
        <v>0</v>
      </c>
      <c r="HY12" s="938">
        <f>IF(AND(HS$6=2,$F12=1,$H12=1),HW12,0)</f>
        <v>0</v>
      </c>
      <c r="HZ12" s="938">
        <f>IF(HS$6=1,IF($I12=0,HW12,0),IF($G12&gt;1,HW12,HW12-HY12))</f>
        <v>0</v>
      </c>
      <c r="IA12" s="938" t="str">
        <f>IF(HS$6=1,HW12,"")</f>
        <v/>
      </c>
      <c r="IB12" s="713">
        <f>'min. Düngung 22'!CB13</f>
        <v>0</v>
      </c>
      <c r="IC12" s="938"/>
      <c r="ID12" s="938"/>
      <c r="IE12" s="938">
        <f>$B12*IB12</f>
        <v>0</v>
      </c>
      <c r="IF12" s="938">
        <f>IB12*ID$4</f>
        <v>0</v>
      </c>
      <c r="IG12" s="938">
        <f>IB12*ID$5</f>
        <v>0</v>
      </c>
      <c r="IH12" s="938">
        <f>IF(AND(IB$6=2,$F12=1,$H12=1),IF12,0)</f>
        <v>0</v>
      </c>
      <c r="II12" s="938">
        <f>IF(IB$6=1,IF($I12=0,IF12,0),IF($G12&gt;1,IF12,IF12-IH12))</f>
        <v>0</v>
      </c>
      <c r="IJ12" s="938" t="str">
        <f>IF(IB$6=1,IF12,"")</f>
        <v/>
      </c>
      <c r="IK12" s="713">
        <f>'min. Düngung 22'!CE13</f>
        <v>0</v>
      </c>
      <c r="IL12" s="938"/>
      <c r="IM12" s="938"/>
      <c r="IN12" s="938">
        <f>$B12*IK12</f>
        <v>0</v>
      </c>
      <c r="IO12" s="938">
        <f>IK12*IM$4</f>
        <v>0</v>
      </c>
      <c r="IP12" s="938">
        <f>IK12*IM$5</f>
        <v>0</v>
      </c>
      <c r="IQ12" s="938">
        <f>IF(AND(IK$6=2,$F12=1,$H12=1),IO12,0)</f>
        <v>0</v>
      </c>
      <c r="IR12" s="938">
        <f>IF(IK$6=1,IF($I12=0,IO12,0),IF($G12&gt;1,IO12,IO12-IQ12))</f>
        <v>0</v>
      </c>
      <c r="IS12" s="938" t="str">
        <f>IF(IK$6=1,IO12,"")</f>
        <v/>
      </c>
      <c r="IT12" s="713">
        <f>'min. Düngung 22'!CH13</f>
        <v>0</v>
      </c>
      <c r="IU12" s="938"/>
      <c r="IV12" s="938"/>
      <c r="IW12" s="938">
        <f>$B12*IT12</f>
        <v>0</v>
      </c>
      <c r="IX12" s="938">
        <f>IT12*IV$4</f>
        <v>0</v>
      </c>
      <c r="IY12" s="938">
        <f>IT12*IV$5</f>
        <v>0</v>
      </c>
      <c r="IZ12" s="938">
        <f>IF(AND(IT$6=2,$F12=1,$H12=1),IX12,0)</f>
        <v>0</v>
      </c>
      <c r="JA12" s="938">
        <f>IF(IT$6=1,IF($I12=0,IX12,0),IF($G12&gt;1,IX12,IX12-IZ12))</f>
        <v>0</v>
      </c>
      <c r="JB12" s="938" t="str">
        <f>IF(IT$6=1,IX12,"")</f>
        <v/>
      </c>
      <c r="JC12" s="713">
        <f>'min. Düngung 22'!CK13</f>
        <v>0</v>
      </c>
      <c r="JD12" s="938"/>
      <c r="JE12" s="938"/>
      <c r="JF12" s="938">
        <f>$B12*JC12</f>
        <v>0</v>
      </c>
      <c r="JG12" s="938">
        <f>JC12*JE$4</f>
        <v>0</v>
      </c>
      <c r="JH12" s="938">
        <f>JC12*JE$5</f>
        <v>0</v>
      </c>
      <c r="JI12" s="938">
        <f>IF(AND(JC$6=2,$F12=1,$H12=1),JG12,0)</f>
        <v>0</v>
      </c>
      <c r="JJ12" s="938">
        <f>IF(JC$6=1,IF($I12=0,JG12,0),IF($G12&gt;1,JG12,JG12-JI12))</f>
        <v>0</v>
      </c>
      <c r="JK12" s="938" t="str">
        <f>IF(JC$6=1,JG12,"")</f>
        <v/>
      </c>
      <c r="JL12" s="713">
        <f>'min. Düngung 22'!CN13</f>
        <v>0</v>
      </c>
      <c r="JM12" s="938"/>
      <c r="JN12" s="938"/>
      <c r="JO12" s="938">
        <f>$B12*JL12</f>
        <v>0</v>
      </c>
      <c r="JP12" s="938">
        <f>JL12*JN$4</f>
        <v>0</v>
      </c>
      <c r="JQ12" s="938">
        <f>JL12*JN$5</f>
        <v>0</v>
      </c>
      <c r="JR12" s="938">
        <f>IF(AND(JL$6=2,$F12=1,$H12=1),JP12,0)</f>
        <v>0</v>
      </c>
      <c r="JS12" s="938">
        <f>IF(JL$6=1,IF($I12=0,JP12,0),IF($G12&gt;1,JP12,JP12-JR12))</f>
        <v>0</v>
      </c>
      <c r="JT12" s="938" t="str">
        <f>IF(JL$6=1,JP12,"")</f>
        <v/>
      </c>
      <c r="JU12" s="713">
        <f>'min. Düngung 22'!CQ13</f>
        <v>0</v>
      </c>
      <c r="JV12" s="938"/>
      <c r="JW12" s="938"/>
      <c r="JX12" s="938">
        <f>$B12*JU12</f>
        <v>0</v>
      </c>
      <c r="JY12" s="938">
        <f>JU12*JW$4</f>
        <v>0</v>
      </c>
      <c r="JZ12" s="938">
        <f>JU12*JW$5</f>
        <v>0</v>
      </c>
      <c r="KA12" s="938">
        <f>IF(AND(JU$6=2,$F12=1,$H12=1),JY12,0)</f>
        <v>0</v>
      </c>
      <c r="KB12" s="938">
        <f>IF(JU$6=1,IF($I12=0,JY12,0),IF($G12&gt;1,JY12,JY12-KA12))</f>
        <v>0</v>
      </c>
      <c r="KC12" s="938" t="str">
        <f>IF(JU$6=1,JY12,"")</f>
        <v/>
      </c>
      <c r="KF12" s="938" t="str">
        <f>IF(AND($F12=2,$G12=1),"",IF(OR($Q12&gt;0,$O12&gt;60),$KF$7,IF(I12=70,"",IF(AND(I12=80,R12+'#orgDung'!AC15&lt;60,K12=1,OR(C12=2,'#BerechnungDBE'!AH6=4)),"",IF(R12&gt;0,$KF$7,"")))))</f>
        <v/>
      </c>
      <c r="KG12" s="938" t="str">
        <f>IF(AND(P12&gt;'#BerechnungDBE'!BJ6,P12&gt;0),'#minDung'!$KG$7,"")</f>
        <v/>
      </c>
      <c r="KH12" s="938" t="str">
        <f>IF(AND(I12=70,R12&gt;'#BerechnungDBE'!CR6),'#minDung'!$KH$7,"")</f>
        <v/>
      </c>
      <c r="KI12" s="938" t="str">
        <f>IF('#BerechnungDBE'!P6&lt;4,"",IF(AND('#BerechnungDBE'!BZ6&gt;0,N12&gt;0),$KI$7,""))</f>
        <v/>
      </c>
      <c r="KJ12" s="938" t="str">
        <f t="shared" ref="KJ12:KJ75" si="5">IF(AND(F12=2,G12=1,Q12&gt;0),$KJ$7,"")</f>
        <v/>
      </c>
    </row>
    <row r="13" spans="1:296" x14ac:dyDescent="0.2">
      <c r="A13" s="714">
        <f>'Flächen u. Kulturen'!A12</f>
        <v>3</v>
      </c>
      <c r="B13" s="734">
        <f>'#BerechnungDBE'!L7</f>
        <v>0</v>
      </c>
      <c r="C13" s="46">
        <f>'#orgDung'!C16</f>
        <v>1</v>
      </c>
      <c r="D13" s="714">
        <f>'#BerechnungDBE'!T7</f>
        <v>2</v>
      </c>
      <c r="E13" s="714" t="str">
        <f>'Flächen u. Kulturen'!E12</f>
        <v>x</v>
      </c>
      <c r="F13" s="52">
        <f>'#BerechnungDBE'!N7</f>
        <v>1</v>
      </c>
      <c r="G13" s="52">
        <f>'#BerechnungDBE'!O7</f>
        <v>1</v>
      </c>
      <c r="H13" s="505">
        <f>'#orgDung'!J16</f>
        <v>2</v>
      </c>
      <c r="I13" s="714">
        <f>'#BerechnungDBE'!AF7</f>
        <v>0</v>
      </c>
      <c r="J13" s="714">
        <f>'#orgDung'!M16</f>
        <v>0</v>
      </c>
      <c r="K13" s="714">
        <f>'#BerechnungDBE'!AG7</f>
        <v>0</v>
      </c>
      <c r="M13" s="714">
        <f t="shared" si="0"/>
        <v>0</v>
      </c>
      <c r="N13" s="714">
        <f t="shared" si="1"/>
        <v>0</v>
      </c>
      <c r="O13" s="714">
        <f t="shared" si="2"/>
        <v>0</v>
      </c>
      <c r="P13" s="714">
        <f t="shared" si="4"/>
        <v>0</v>
      </c>
      <c r="Q13" s="938">
        <f t="shared" ref="Q13:Q76" si="6">SUMIF($T$9:$XFD$9,$AA$10,T13:XFD13)</f>
        <v>0</v>
      </c>
      <c r="R13" s="714">
        <f t="shared" si="3"/>
        <v>0</v>
      </c>
      <c r="S13" s="714"/>
      <c r="T13" s="713">
        <f>'min. Düngung 22'!H14</f>
        <v>0</v>
      </c>
      <c r="W13" s="807">
        <f>$B13*T13</f>
        <v>0</v>
      </c>
      <c r="X13" s="714">
        <f>T13*V$4</f>
        <v>0</v>
      </c>
      <c r="Y13" s="714">
        <f>T13*V$5</f>
        <v>0</v>
      </c>
      <c r="Z13" s="714">
        <f>IF(AND(T$6=2,$F13=1,$H13=1),X13,0)</f>
        <v>0</v>
      </c>
      <c r="AA13" s="714">
        <f>IF(T$6=1,IF($I13=0,X13,0),IF($G13&gt;1,X13,X13-Z13))</f>
        <v>0</v>
      </c>
      <c r="AB13" s="714" t="str">
        <f>IF(T$6=1,X13,"")</f>
        <v/>
      </c>
      <c r="AC13" s="713">
        <f>'min. Düngung 22'!K14</f>
        <v>0</v>
      </c>
      <c r="AD13" s="938"/>
      <c r="AE13" s="938"/>
      <c r="AF13" s="938">
        <f>$B13*AC13</f>
        <v>0</v>
      </c>
      <c r="AG13" s="938">
        <f>AC13*AE$4</f>
        <v>0</v>
      </c>
      <c r="AH13" s="938">
        <f>AC13*AE$5</f>
        <v>0</v>
      </c>
      <c r="AI13" s="938">
        <f>IF(AND(AC$6=2,$F13=1,$H13=1),AG13,0)</f>
        <v>0</v>
      </c>
      <c r="AJ13" s="938">
        <f>IF(AC$6=1,IF($I13=0,AG13,0),IF($G13&gt;1,AG13,AG13-AI13))</f>
        <v>0</v>
      </c>
      <c r="AK13" s="938">
        <f>IF(AC$6=1,AG13,"")</f>
        <v>0</v>
      </c>
      <c r="AL13" s="713">
        <f>'min. Düngung 22'!N14</f>
        <v>0</v>
      </c>
      <c r="AM13" s="938"/>
      <c r="AN13" s="938"/>
      <c r="AO13" s="938">
        <f>$B13*AL13</f>
        <v>0</v>
      </c>
      <c r="AP13" s="938">
        <f>AL13*AN$4</f>
        <v>0</v>
      </c>
      <c r="AQ13" s="938">
        <f>AL13*AN$5</f>
        <v>0</v>
      </c>
      <c r="AR13" s="938">
        <f>IF(AND(AL$6=2,$F13=1,$H13=1),AP13,0)</f>
        <v>0</v>
      </c>
      <c r="AS13" s="938">
        <f>IF(AL$6=1,IF($I13=0,AP13,0),IF($G13&gt;1,AP13,AP13-AR13))</f>
        <v>0</v>
      </c>
      <c r="AT13" s="938" t="str">
        <f>IF(AL$6=1,AP13,"")</f>
        <v/>
      </c>
      <c r="AU13" s="713">
        <f>'min. Düngung 22'!Q14</f>
        <v>0</v>
      </c>
      <c r="AV13" s="938"/>
      <c r="AW13" s="938"/>
      <c r="AX13" s="938">
        <f>$B13*AU13</f>
        <v>0</v>
      </c>
      <c r="AY13" s="938">
        <f>AU13*AW$4</f>
        <v>0</v>
      </c>
      <c r="AZ13" s="938">
        <f>AU13*AW$5</f>
        <v>0</v>
      </c>
      <c r="BA13" s="938">
        <f>IF(AND(AU$6=2,$F13=1,$H13=1),AY13,0)</f>
        <v>0</v>
      </c>
      <c r="BB13" s="938">
        <f>IF(AU$6=1,IF($I13=0,AY13,0),IF($G13&gt;1,AY13,AY13-BA13))</f>
        <v>0</v>
      </c>
      <c r="BC13" s="938" t="str">
        <f>IF(AU$6=1,AY13,"")</f>
        <v/>
      </c>
      <c r="BD13" s="713">
        <f>'min. Düngung 22'!T14</f>
        <v>0</v>
      </c>
      <c r="BE13" s="938"/>
      <c r="BF13" s="938"/>
      <c r="BG13" s="938">
        <f>$B13*BD13</f>
        <v>0</v>
      </c>
      <c r="BH13" s="938">
        <f>BD13*BF$4</f>
        <v>0</v>
      </c>
      <c r="BI13" s="938">
        <f>BD13*BF$5</f>
        <v>0</v>
      </c>
      <c r="BJ13" s="938">
        <f>IF(AND(BD$6=2,$F13=1,$H13=1),BH13,0)</f>
        <v>0</v>
      </c>
      <c r="BK13" s="938">
        <f>IF(BD$6=1,IF($I13=0,BH13,0),IF($G13&gt;1,BH13,BH13-BJ13))</f>
        <v>0</v>
      </c>
      <c r="BL13" s="938" t="str">
        <f>IF(BD$6=1,BH13,"")</f>
        <v/>
      </c>
      <c r="BM13" s="713">
        <f>'min. Düngung 22'!W14</f>
        <v>0</v>
      </c>
      <c r="BN13" s="938"/>
      <c r="BO13" s="938"/>
      <c r="BP13" s="938">
        <f>$B13*BM13</f>
        <v>0</v>
      </c>
      <c r="BQ13" s="938">
        <f>BM13*BO$4</f>
        <v>0</v>
      </c>
      <c r="BR13" s="938">
        <f>BM13*BO$5</f>
        <v>0</v>
      </c>
      <c r="BS13" s="938">
        <f>IF(AND(BM$6=2,$F13=1,$H13=1),BQ13,0)</f>
        <v>0</v>
      </c>
      <c r="BT13" s="938">
        <f>IF(BM$6=1,IF($I13=0,BQ13,0),IF($G13&gt;1,BQ13,BQ13-BS13))</f>
        <v>0</v>
      </c>
      <c r="BU13" s="938" t="str">
        <f>IF(BM$6=1,BQ13,"")</f>
        <v/>
      </c>
      <c r="BV13" s="713">
        <f>'min. Düngung 22'!Z14</f>
        <v>0</v>
      </c>
      <c r="BW13" s="938"/>
      <c r="BX13" s="938"/>
      <c r="BY13" s="938">
        <f>$B13*BV13</f>
        <v>0</v>
      </c>
      <c r="BZ13" s="938">
        <f>BV13*BX$4</f>
        <v>0</v>
      </c>
      <c r="CA13" s="938">
        <f>BV13*BX$5</f>
        <v>0</v>
      </c>
      <c r="CB13" s="938">
        <f>IF(AND(BV$6=2,$F13=1,$H13=1),BZ13,0)</f>
        <v>0</v>
      </c>
      <c r="CC13" s="938">
        <f>IF(BV$6=1,IF($I13=0,BZ13,0),IF($G13&gt;1,BZ13,BZ13-CB13))</f>
        <v>0</v>
      </c>
      <c r="CD13" s="938" t="str">
        <f>IF(BV$6=1,BZ13,"")</f>
        <v/>
      </c>
      <c r="CE13" s="713">
        <f>'min. Düngung 22'!AC14</f>
        <v>0</v>
      </c>
      <c r="CF13" s="938"/>
      <c r="CG13" s="938"/>
      <c r="CH13" s="938">
        <f>$B13*CE13</f>
        <v>0</v>
      </c>
      <c r="CI13" s="938">
        <f>CE13*CG$4</f>
        <v>0</v>
      </c>
      <c r="CJ13" s="938">
        <f>CE13*CG$5</f>
        <v>0</v>
      </c>
      <c r="CK13" s="938">
        <f>IF(AND(CE$6=2,$F13=1,$H13=1),CI13,0)</f>
        <v>0</v>
      </c>
      <c r="CL13" s="938">
        <f>IF(CE$6=1,IF($I13=0,CI13,0),IF($G13&gt;1,CI13,CI13-CK13))</f>
        <v>0</v>
      </c>
      <c r="CM13" s="938" t="str">
        <f>IF(CE$6=1,CI13,"")</f>
        <v/>
      </c>
      <c r="CN13" s="713">
        <f>'min. Düngung 22'!AF14</f>
        <v>0</v>
      </c>
      <c r="CO13" s="938"/>
      <c r="CP13" s="938"/>
      <c r="CQ13" s="938">
        <f>$B13*CN13</f>
        <v>0</v>
      </c>
      <c r="CR13" s="938">
        <f>CN13*CP$4</f>
        <v>0</v>
      </c>
      <c r="CS13" s="938">
        <f>CN13*CP$5</f>
        <v>0</v>
      </c>
      <c r="CT13" s="938">
        <f>IF(AND(CN$6=2,$F13=1,$H13=1),CR13,0)</f>
        <v>0</v>
      </c>
      <c r="CU13" s="938">
        <f>IF(CN$6=1,IF($I13=0,CR13,0),IF($G13&gt;1,CR13,CR13-CT13))</f>
        <v>0</v>
      </c>
      <c r="CV13" s="938" t="str">
        <f>IF(CN$6=1,CR13,"")</f>
        <v/>
      </c>
      <c r="CW13" s="713">
        <f>'min. Düngung 22'!AI14</f>
        <v>0</v>
      </c>
      <c r="CX13" s="938"/>
      <c r="CY13" s="938"/>
      <c r="CZ13" s="938">
        <f>$B13*CW13</f>
        <v>0</v>
      </c>
      <c r="DA13" s="938">
        <f>CW13*CY$4</f>
        <v>0</v>
      </c>
      <c r="DB13" s="938">
        <f>CW13*CY$5</f>
        <v>0</v>
      </c>
      <c r="DC13" s="938">
        <f>IF(AND(CW$6=2,$F13=1,$H13=1),DA13,0)</f>
        <v>0</v>
      </c>
      <c r="DD13" s="938">
        <f>IF(CW$6=1,IF($I13=0,DA13,0),IF($G13&gt;1,DA13,DA13-DC13))</f>
        <v>0</v>
      </c>
      <c r="DE13" s="938" t="str">
        <f>IF(CW$6=1,DA13,"")</f>
        <v/>
      </c>
      <c r="DF13" s="713">
        <f>'min. Düngung 22'!AL14</f>
        <v>0</v>
      </c>
      <c r="DG13" s="938"/>
      <c r="DH13" s="938"/>
      <c r="DI13" s="938">
        <f>$B13*DF13</f>
        <v>0</v>
      </c>
      <c r="DJ13" s="938">
        <f>DF13*DH$4</f>
        <v>0</v>
      </c>
      <c r="DK13" s="938">
        <f>DF13*DH$5</f>
        <v>0</v>
      </c>
      <c r="DL13" s="938">
        <f>IF(AND(DF$6=2,$F13=1,$H13=1),DJ13,0)</f>
        <v>0</v>
      </c>
      <c r="DM13" s="938">
        <f>IF(DF$6=1,IF($I13=0,DJ13,0),IF($G13&gt;1,DJ13,DJ13-DL13))</f>
        <v>0</v>
      </c>
      <c r="DN13" s="938" t="str">
        <f>IF(DF$6=1,DJ13,"")</f>
        <v/>
      </c>
      <c r="DO13" s="713">
        <f>'min. Düngung 22'!AO14</f>
        <v>0</v>
      </c>
      <c r="DP13" s="938"/>
      <c r="DQ13" s="938"/>
      <c r="DR13" s="938">
        <f>$B13*DO13</f>
        <v>0</v>
      </c>
      <c r="DS13" s="938">
        <f>DO13*DQ$4</f>
        <v>0</v>
      </c>
      <c r="DT13" s="938">
        <f>DO13*DQ$5</f>
        <v>0</v>
      </c>
      <c r="DU13" s="938">
        <f>IF(AND(DO$6=2,$F13=1,$H13=1),DS13,0)</f>
        <v>0</v>
      </c>
      <c r="DV13" s="938">
        <f>IF(DO$6=1,IF($I13=0,DS13,0),IF($G13&gt;1,DS13,DS13-DU13))</f>
        <v>0</v>
      </c>
      <c r="DW13" s="938" t="str">
        <f>IF(DO$6=1,DS13,"")</f>
        <v/>
      </c>
      <c r="DX13" s="713">
        <f>'min. Düngung 22'!AR14</f>
        <v>0</v>
      </c>
      <c r="DY13" s="938"/>
      <c r="DZ13" s="938"/>
      <c r="EA13" s="938">
        <f>$B13*DX13</f>
        <v>0</v>
      </c>
      <c r="EB13" s="938">
        <f>DX13*DZ$4</f>
        <v>0</v>
      </c>
      <c r="EC13" s="938">
        <f>DX13*DZ$5</f>
        <v>0</v>
      </c>
      <c r="ED13" s="938">
        <f>IF(AND(DX$6=2,$F13=1,$H13=1),EB13,0)</f>
        <v>0</v>
      </c>
      <c r="EE13" s="938">
        <f>IF(DX$6=1,IF($I13=0,EB13,0),IF($G13&gt;1,EB13,EB13-ED13))</f>
        <v>0</v>
      </c>
      <c r="EF13" s="938" t="str">
        <f>IF(DX$6=1,EB13,"")</f>
        <v/>
      </c>
      <c r="EG13" s="713">
        <f>'min. Düngung 22'!AU14</f>
        <v>0</v>
      </c>
      <c r="EH13" s="938"/>
      <c r="EI13" s="938"/>
      <c r="EJ13" s="938">
        <f>$B13*EG13</f>
        <v>0</v>
      </c>
      <c r="EK13" s="938">
        <f>EG13*EI$4</f>
        <v>0</v>
      </c>
      <c r="EL13" s="938">
        <f>EG13*EI$5</f>
        <v>0</v>
      </c>
      <c r="EM13" s="938">
        <f>IF(AND(EG$6=2,$F13=1,$H13=1),EK13,0)</f>
        <v>0</v>
      </c>
      <c r="EN13" s="938">
        <f>IF(EG$6=1,IF($I13=0,EK13,0),IF($G13&gt;1,EK13,EK13-EM13))</f>
        <v>0</v>
      </c>
      <c r="EO13" s="938" t="str">
        <f>IF(EG$6=1,EK13,"")</f>
        <v/>
      </c>
      <c r="EP13" s="713">
        <f>'min. Düngung 22'!AX14</f>
        <v>0</v>
      </c>
      <c r="EQ13" s="938"/>
      <c r="ER13" s="938"/>
      <c r="ES13" s="938">
        <f>$B13*EP13</f>
        <v>0</v>
      </c>
      <c r="ET13" s="938">
        <f>EP13*ER$4</f>
        <v>0</v>
      </c>
      <c r="EU13" s="938">
        <f>EP13*ER$5</f>
        <v>0</v>
      </c>
      <c r="EV13" s="938">
        <f>IF(AND(EP$6=2,$F13=1,$H13=1),ET13,0)</f>
        <v>0</v>
      </c>
      <c r="EW13" s="938">
        <f>IF(EP$6=1,IF($I13=0,ET13,0),IF($G13&gt;1,ET13,ET13-EV13))</f>
        <v>0</v>
      </c>
      <c r="EX13" s="938" t="str">
        <f>IF(EP$6=1,ET13,"")</f>
        <v/>
      </c>
      <c r="EY13" s="713">
        <f>'min. Düngung 22'!BA14</f>
        <v>0</v>
      </c>
      <c r="EZ13" s="938"/>
      <c r="FA13" s="938"/>
      <c r="FB13" s="938">
        <f>$B13*EY13</f>
        <v>0</v>
      </c>
      <c r="FC13" s="938">
        <f>EY13*FA$4</f>
        <v>0</v>
      </c>
      <c r="FD13" s="938">
        <f>EY13*FA$5</f>
        <v>0</v>
      </c>
      <c r="FE13" s="938">
        <f>IF(AND(EY$6=2,$F13=1,$H13=1),FC13,0)</f>
        <v>0</v>
      </c>
      <c r="FF13" s="938">
        <f>IF(EY$6=1,IF($I13=0,FC13,0),IF($G13&gt;1,FC13,FC13-FE13))</f>
        <v>0</v>
      </c>
      <c r="FG13" s="938" t="str">
        <f>IF(EY$6=1,FC13,"")</f>
        <v/>
      </c>
      <c r="FH13" s="713">
        <f>'min. Düngung 22'!BD14</f>
        <v>0</v>
      </c>
      <c r="FI13" s="938"/>
      <c r="FJ13" s="938"/>
      <c r="FK13" s="938">
        <f>$B13*FH13</f>
        <v>0</v>
      </c>
      <c r="FL13" s="938">
        <f>FH13*FJ$4</f>
        <v>0</v>
      </c>
      <c r="FM13" s="938">
        <f>FH13*FJ$5</f>
        <v>0</v>
      </c>
      <c r="FN13" s="938">
        <f>IF(AND(FH$6=2,$F13=1,$H13=1),FL13,0)</f>
        <v>0</v>
      </c>
      <c r="FO13" s="938">
        <f>IF(FH$6=1,IF($I13=0,FL13,0),IF($G13&gt;1,FL13,FL13-FN13))</f>
        <v>0</v>
      </c>
      <c r="FP13" s="938" t="str">
        <f>IF(FH$6=1,FL13,"")</f>
        <v/>
      </c>
      <c r="FQ13" s="713">
        <f>'min. Düngung 22'!BG14</f>
        <v>0</v>
      </c>
      <c r="FR13" s="938"/>
      <c r="FS13" s="938"/>
      <c r="FT13" s="938">
        <f>$B13*FQ13</f>
        <v>0</v>
      </c>
      <c r="FU13" s="938">
        <f>FQ13*FS$4</f>
        <v>0</v>
      </c>
      <c r="FV13" s="938">
        <f>FQ13*FS$5</f>
        <v>0</v>
      </c>
      <c r="FW13" s="938">
        <f>IF(AND(FQ$6=2,$F13=1,$H13=1),FU13,0)</f>
        <v>0</v>
      </c>
      <c r="FX13" s="938">
        <f>IF(FQ$6=1,IF($I13=0,FU13,0),IF($G13&gt;1,FU13,FU13-FW13))</f>
        <v>0</v>
      </c>
      <c r="FY13" s="938" t="str">
        <f>IF(FQ$6=1,FU13,"")</f>
        <v/>
      </c>
      <c r="FZ13" s="713">
        <f>'min. Düngung 22'!BJ14</f>
        <v>0</v>
      </c>
      <c r="GA13" s="938"/>
      <c r="GB13" s="938"/>
      <c r="GC13" s="938">
        <f>$B13*FZ13</f>
        <v>0</v>
      </c>
      <c r="GD13" s="938">
        <f>FZ13*GB$4</f>
        <v>0</v>
      </c>
      <c r="GE13" s="938">
        <f>FZ13*GB$5</f>
        <v>0</v>
      </c>
      <c r="GF13" s="938">
        <f>IF(AND(FZ$6=2,$F13=1,$H13=1),GD13,0)</f>
        <v>0</v>
      </c>
      <c r="GG13" s="938">
        <f>IF(FZ$6=1,IF($I13=0,GD13,0),IF($G13&gt;1,GD13,GD13-GF13))</f>
        <v>0</v>
      </c>
      <c r="GH13" s="938" t="str">
        <f>IF(FZ$6=1,GD13,"")</f>
        <v/>
      </c>
      <c r="GI13" s="713">
        <f>'min. Düngung 22'!BM14</f>
        <v>0</v>
      </c>
      <c r="GJ13" s="938"/>
      <c r="GK13" s="938"/>
      <c r="GL13" s="938">
        <f>$B13*GI13</f>
        <v>0</v>
      </c>
      <c r="GM13" s="938">
        <f>GI13*GK$4</f>
        <v>0</v>
      </c>
      <c r="GN13" s="938">
        <f>GI13*GK$5</f>
        <v>0</v>
      </c>
      <c r="GO13" s="938">
        <f>IF(AND(GI$6=2,$F13=1,$H13=1),GM13,0)</f>
        <v>0</v>
      </c>
      <c r="GP13" s="938">
        <f>IF(GI$6=1,IF($I13=0,GM13,0),IF($G13&gt;1,GM13,GM13-GO13))</f>
        <v>0</v>
      </c>
      <c r="GQ13" s="938" t="str">
        <f>IF(GI$6=1,GM13,"")</f>
        <v/>
      </c>
      <c r="GR13" s="713">
        <f>'min. Düngung 22'!BP14</f>
        <v>0</v>
      </c>
      <c r="GS13" s="938"/>
      <c r="GT13" s="938"/>
      <c r="GU13" s="938">
        <f>$B13*GR13</f>
        <v>0</v>
      </c>
      <c r="GV13" s="938">
        <f>GR13*GT$4</f>
        <v>0</v>
      </c>
      <c r="GW13" s="938">
        <f>GR13*GT$5</f>
        <v>0</v>
      </c>
      <c r="GX13" s="938">
        <f>IF(AND(GR$6=2,$F13=1,$H13=1),GV13,0)</f>
        <v>0</v>
      </c>
      <c r="GY13" s="938">
        <f>IF(GR$6=1,IF($I13=0,GV13,0),IF($G13&gt;1,GV13,GV13-GX13))</f>
        <v>0</v>
      </c>
      <c r="GZ13" s="938" t="str">
        <f>IF(GR$6=1,GV13,"")</f>
        <v/>
      </c>
      <c r="HA13" s="713">
        <f>'min. Düngung 22'!BS14</f>
        <v>0</v>
      </c>
      <c r="HB13" s="938"/>
      <c r="HC13" s="938"/>
      <c r="HD13" s="938">
        <f>$B13*HA13</f>
        <v>0</v>
      </c>
      <c r="HE13" s="938">
        <f>HA13*HC$4</f>
        <v>0</v>
      </c>
      <c r="HF13" s="938">
        <f>HA13*HC$5</f>
        <v>0</v>
      </c>
      <c r="HG13" s="938">
        <f>IF(AND(HA$6=2,$F13=1,$H13=1),HE13,0)</f>
        <v>0</v>
      </c>
      <c r="HH13" s="938">
        <f>IF(HA$6=1,IF($I13=0,HE13,0),IF($G13&gt;1,HE13,HE13-HG13))</f>
        <v>0</v>
      </c>
      <c r="HI13" s="938" t="str">
        <f>IF(HA$6=1,HE13,"")</f>
        <v/>
      </c>
      <c r="HJ13" s="713">
        <f>'min. Düngung 22'!BV14</f>
        <v>0</v>
      </c>
      <c r="HK13" s="938"/>
      <c r="HL13" s="938"/>
      <c r="HM13" s="938">
        <f>$B13*HJ13</f>
        <v>0</v>
      </c>
      <c r="HN13" s="938">
        <f>HJ13*HL$4</f>
        <v>0</v>
      </c>
      <c r="HO13" s="938">
        <f>HJ13*HL$5</f>
        <v>0</v>
      </c>
      <c r="HP13" s="938">
        <f>IF(AND(HJ$6=2,$F13=1,$H13=1),HN13,0)</f>
        <v>0</v>
      </c>
      <c r="HQ13" s="938">
        <f>IF(HJ$6=1,IF($I13=0,HN13,0),IF($G13&gt;1,HN13,HN13-HP13))</f>
        <v>0</v>
      </c>
      <c r="HR13" s="938" t="str">
        <f>IF(HJ$6=1,HN13,"")</f>
        <v/>
      </c>
      <c r="HS13" s="713">
        <f>'min. Düngung 22'!BY14</f>
        <v>0</v>
      </c>
      <c r="HT13" s="938"/>
      <c r="HU13" s="938"/>
      <c r="HV13" s="938">
        <f>$B13*HS13</f>
        <v>0</v>
      </c>
      <c r="HW13" s="938">
        <f>HS13*HU$4</f>
        <v>0</v>
      </c>
      <c r="HX13" s="938">
        <f>HS13*HU$5</f>
        <v>0</v>
      </c>
      <c r="HY13" s="938">
        <f>IF(AND(HS$6=2,$F13=1,$H13=1),HW13,0)</f>
        <v>0</v>
      </c>
      <c r="HZ13" s="938">
        <f>IF(HS$6=1,IF($I13=0,HW13,0),IF($G13&gt;1,HW13,HW13-HY13))</f>
        <v>0</v>
      </c>
      <c r="IA13" s="938" t="str">
        <f>IF(HS$6=1,HW13,"")</f>
        <v/>
      </c>
      <c r="IB13" s="713">
        <f>'min. Düngung 22'!CB14</f>
        <v>0</v>
      </c>
      <c r="IC13" s="938"/>
      <c r="ID13" s="938"/>
      <c r="IE13" s="938">
        <f>$B13*IB13</f>
        <v>0</v>
      </c>
      <c r="IF13" s="938">
        <f>IB13*ID$4</f>
        <v>0</v>
      </c>
      <c r="IG13" s="938">
        <f>IB13*ID$5</f>
        <v>0</v>
      </c>
      <c r="IH13" s="938">
        <f>IF(AND(IB$6=2,$F13=1,$H13=1),IF13,0)</f>
        <v>0</v>
      </c>
      <c r="II13" s="938">
        <f>IF(IB$6=1,IF($I13=0,IF13,0),IF($G13&gt;1,IF13,IF13-IH13))</f>
        <v>0</v>
      </c>
      <c r="IJ13" s="938" t="str">
        <f>IF(IB$6=1,IF13,"")</f>
        <v/>
      </c>
      <c r="IK13" s="713">
        <f>'min. Düngung 22'!CE14</f>
        <v>0</v>
      </c>
      <c r="IL13" s="938"/>
      <c r="IM13" s="938"/>
      <c r="IN13" s="938">
        <f>$B13*IK13</f>
        <v>0</v>
      </c>
      <c r="IO13" s="938">
        <f>IK13*IM$4</f>
        <v>0</v>
      </c>
      <c r="IP13" s="938">
        <f>IK13*IM$5</f>
        <v>0</v>
      </c>
      <c r="IQ13" s="938">
        <f>IF(AND(IK$6=2,$F13=1,$H13=1),IO13,0)</f>
        <v>0</v>
      </c>
      <c r="IR13" s="938">
        <f>IF(IK$6=1,IF($I13=0,IO13,0),IF($G13&gt;1,IO13,IO13-IQ13))</f>
        <v>0</v>
      </c>
      <c r="IS13" s="938" t="str">
        <f>IF(IK$6=1,IO13,"")</f>
        <v/>
      </c>
      <c r="IT13" s="713">
        <f>'min. Düngung 22'!CH14</f>
        <v>0</v>
      </c>
      <c r="IU13" s="938"/>
      <c r="IV13" s="938"/>
      <c r="IW13" s="938">
        <f>$B13*IT13</f>
        <v>0</v>
      </c>
      <c r="IX13" s="938">
        <f>IT13*IV$4</f>
        <v>0</v>
      </c>
      <c r="IY13" s="938">
        <f>IT13*IV$5</f>
        <v>0</v>
      </c>
      <c r="IZ13" s="938">
        <f>IF(AND(IT$6=2,$F13=1,$H13=1),IX13,0)</f>
        <v>0</v>
      </c>
      <c r="JA13" s="938">
        <f>IF(IT$6=1,IF($I13=0,IX13,0),IF($G13&gt;1,IX13,IX13-IZ13))</f>
        <v>0</v>
      </c>
      <c r="JB13" s="938" t="str">
        <f>IF(IT$6=1,IX13,"")</f>
        <v/>
      </c>
      <c r="JC13" s="713">
        <f>'min. Düngung 22'!CK14</f>
        <v>0</v>
      </c>
      <c r="JD13" s="938"/>
      <c r="JE13" s="938"/>
      <c r="JF13" s="938">
        <f>$B13*JC13</f>
        <v>0</v>
      </c>
      <c r="JG13" s="938">
        <f>JC13*JE$4</f>
        <v>0</v>
      </c>
      <c r="JH13" s="938">
        <f>JC13*JE$5</f>
        <v>0</v>
      </c>
      <c r="JI13" s="938">
        <f>IF(AND(JC$6=2,$F13=1,$H13=1),JG13,0)</f>
        <v>0</v>
      </c>
      <c r="JJ13" s="938">
        <f>IF(JC$6=1,IF($I13=0,JG13,0),IF($G13&gt;1,JG13,JG13-JI13))</f>
        <v>0</v>
      </c>
      <c r="JK13" s="938" t="str">
        <f>IF(JC$6=1,JG13,"")</f>
        <v/>
      </c>
      <c r="JL13" s="713">
        <f>'min. Düngung 22'!CN14</f>
        <v>0</v>
      </c>
      <c r="JM13" s="938"/>
      <c r="JN13" s="938"/>
      <c r="JO13" s="938">
        <f>$B13*JL13</f>
        <v>0</v>
      </c>
      <c r="JP13" s="938">
        <f>JL13*JN$4</f>
        <v>0</v>
      </c>
      <c r="JQ13" s="938">
        <f>JL13*JN$5</f>
        <v>0</v>
      </c>
      <c r="JR13" s="938">
        <f>IF(AND(JL$6=2,$F13=1,$H13=1),JP13,0)</f>
        <v>0</v>
      </c>
      <c r="JS13" s="938">
        <f>IF(JL$6=1,IF($I13=0,JP13,0),IF($G13&gt;1,JP13,JP13-JR13))</f>
        <v>0</v>
      </c>
      <c r="JT13" s="938" t="str">
        <f>IF(JL$6=1,JP13,"")</f>
        <v/>
      </c>
      <c r="JU13" s="713">
        <f>'min. Düngung 22'!CQ14</f>
        <v>0</v>
      </c>
      <c r="JV13" s="938"/>
      <c r="JW13" s="938"/>
      <c r="JX13" s="938">
        <f>$B13*JU13</f>
        <v>0</v>
      </c>
      <c r="JY13" s="938">
        <f>JU13*JW$4</f>
        <v>0</v>
      </c>
      <c r="JZ13" s="938">
        <f>JU13*JW$5</f>
        <v>0</v>
      </c>
      <c r="KA13" s="938">
        <f>IF(AND(JU$6=2,$F13=1,$H13=1),JY13,0)</f>
        <v>0</v>
      </c>
      <c r="KB13" s="938">
        <f>IF(JU$6=1,IF($I13=0,JY13,0),IF($G13&gt;1,JY13,JY13-KA13))</f>
        <v>0</v>
      </c>
      <c r="KC13" s="938" t="str">
        <f>IF(JU$6=1,JY13,"")</f>
        <v/>
      </c>
      <c r="KF13" s="938" t="str">
        <f>IF(AND($F13=2,$G13=1),"",IF(OR($Q13&gt;0,$O13&gt;60),$KF$7,IF(I13=70,"",IF(AND(I13=80,R13+'#orgDung'!AC16&lt;60,K13=1,OR(C13=2,'#BerechnungDBE'!AH7=4)),"",IF(R13&gt;0,$KF$7,"")))))</f>
        <v/>
      </c>
      <c r="KG13" s="938" t="str">
        <f>IF(AND(P13&gt;'#BerechnungDBE'!BJ7,P13&gt;0),'#minDung'!$KG$7,"")</f>
        <v/>
      </c>
      <c r="KH13" s="938" t="str">
        <f>IF(AND(I13=70,R13&gt;'#BerechnungDBE'!CR7),'#minDung'!$KH$7,"")</f>
        <v/>
      </c>
      <c r="KI13" s="938" t="str">
        <f>IF('#BerechnungDBE'!P7&lt;4,"",IF(AND('#BerechnungDBE'!BZ7&gt;0,N13&gt;0),$KI$7,""))</f>
        <v/>
      </c>
      <c r="KJ13" s="938" t="str">
        <f t="shared" si="5"/>
        <v/>
      </c>
    </row>
    <row r="14" spans="1:296" x14ac:dyDescent="0.2">
      <c r="A14" s="714">
        <f>'Flächen u. Kulturen'!A13</f>
        <v>4</v>
      </c>
      <c r="B14" s="734">
        <f>'#BerechnungDBE'!L8</f>
        <v>0</v>
      </c>
      <c r="C14" s="46">
        <f>'#orgDung'!C17</f>
        <v>1</v>
      </c>
      <c r="D14" s="714">
        <f>'#BerechnungDBE'!T8</f>
        <v>2</v>
      </c>
      <c r="E14" s="714" t="str">
        <f>'Flächen u. Kulturen'!E13</f>
        <v>x</v>
      </c>
      <c r="F14" s="52">
        <f>'#BerechnungDBE'!N8</f>
        <v>1</v>
      </c>
      <c r="G14" s="52">
        <f>'#BerechnungDBE'!O8</f>
        <v>1</v>
      </c>
      <c r="H14" s="505">
        <f>'#orgDung'!J17</f>
        <v>2</v>
      </c>
      <c r="I14" s="714">
        <f>'#BerechnungDBE'!AF8</f>
        <v>0</v>
      </c>
      <c r="J14" s="714">
        <f>'#orgDung'!M17</f>
        <v>0</v>
      </c>
      <c r="K14" s="714">
        <f>'#BerechnungDBE'!AG8</f>
        <v>0</v>
      </c>
      <c r="M14" s="714">
        <f t="shared" si="0"/>
        <v>0</v>
      </c>
      <c r="N14" s="714">
        <f t="shared" si="1"/>
        <v>0</v>
      </c>
      <c r="O14" s="714">
        <f t="shared" si="2"/>
        <v>0</v>
      </c>
      <c r="P14" s="714">
        <f t="shared" si="4"/>
        <v>0</v>
      </c>
      <c r="Q14" s="938">
        <f t="shared" si="6"/>
        <v>0</v>
      </c>
      <c r="R14" s="714">
        <f t="shared" si="3"/>
        <v>0</v>
      </c>
      <c r="S14" s="714"/>
      <c r="T14" s="713">
        <f>'min. Düngung 22'!H15</f>
        <v>0</v>
      </c>
      <c r="W14" s="807">
        <f>$B14*T14</f>
        <v>0</v>
      </c>
      <c r="X14" s="714">
        <f>T14*V$4</f>
        <v>0</v>
      </c>
      <c r="Y14" s="714">
        <f>T14*V$5</f>
        <v>0</v>
      </c>
      <c r="Z14" s="714">
        <f>IF(AND(T$6=2,$F14=1,$H14=1),X14,0)</f>
        <v>0</v>
      </c>
      <c r="AA14" s="714">
        <f>IF(T$6=1,IF($I14=0,X14,0),IF($G14&gt;1,X14,X14-Z14))</f>
        <v>0</v>
      </c>
      <c r="AB14" s="714" t="str">
        <f>IF(T$6=1,X14,"")</f>
        <v/>
      </c>
      <c r="AC14" s="713">
        <f>'min. Düngung 22'!K15</f>
        <v>0</v>
      </c>
      <c r="AD14" s="938"/>
      <c r="AE14" s="938"/>
      <c r="AF14" s="938">
        <f>$B14*AC14</f>
        <v>0</v>
      </c>
      <c r="AG14" s="938">
        <f>AC14*AE$4</f>
        <v>0</v>
      </c>
      <c r="AH14" s="938">
        <f>AC14*AE$5</f>
        <v>0</v>
      </c>
      <c r="AI14" s="938">
        <f>IF(AND(AC$6=2,$F14=1,$H14=1),AG14,0)</f>
        <v>0</v>
      </c>
      <c r="AJ14" s="938">
        <f>IF(AC$6=1,IF($I14=0,AG14,0),IF($G14&gt;1,AG14,AG14-AI14))</f>
        <v>0</v>
      </c>
      <c r="AK14" s="938">
        <f>IF(AC$6=1,AG14,"")</f>
        <v>0</v>
      </c>
      <c r="AL14" s="713">
        <f>'min. Düngung 22'!N15</f>
        <v>0</v>
      </c>
      <c r="AM14" s="938"/>
      <c r="AN14" s="938"/>
      <c r="AO14" s="938">
        <f>$B14*AL14</f>
        <v>0</v>
      </c>
      <c r="AP14" s="938">
        <f>AL14*AN$4</f>
        <v>0</v>
      </c>
      <c r="AQ14" s="938">
        <f>AL14*AN$5</f>
        <v>0</v>
      </c>
      <c r="AR14" s="938">
        <f>IF(AND(AL$6=2,$F14=1,$H14=1),AP14,0)</f>
        <v>0</v>
      </c>
      <c r="AS14" s="938">
        <f>IF(AL$6=1,IF($I14=0,AP14,0),IF($G14&gt;1,AP14,AP14-AR14))</f>
        <v>0</v>
      </c>
      <c r="AT14" s="938" t="str">
        <f>IF(AL$6=1,AP14,"")</f>
        <v/>
      </c>
      <c r="AU14" s="713">
        <f>'min. Düngung 22'!Q15</f>
        <v>0</v>
      </c>
      <c r="AV14" s="938"/>
      <c r="AW14" s="938"/>
      <c r="AX14" s="938">
        <f>$B14*AU14</f>
        <v>0</v>
      </c>
      <c r="AY14" s="938">
        <f>AU14*AW$4</f>
        <v>0</v>
      </c>
      <c r="AZ14" s="938">
        <f>AU14*AW$5</f>
        <v>0</v>
      </c>
      <c r="BA14" s="938">
        <f>IF(AND(AU$6=2,$F14=1,$H14=1),AY14,0)</f>
        <v>0</v>
      </c>
      <c r="BB14" s="938">
        <f>IF(AU$6=1,IF($I14=0,AY14,0),IF($G14&gt;1,AY14,AY14-BA14))</f>
        <v>0</v>
      </c>
      <c r="BC14" s="938" t="str">
        <f>IF(AU$6=1,AY14,"")</f>
        <v/>
      </c>
      <c r="BD14" s="713">
        <f>'min. Düngung 22'!T15</f>
        <v>0</v>
      </c>
      <c r="BE14" s="938"/>
      <c r="BF14" s="938"/>
      <c r="BG14" s="938">
        <f>$B14*BD14</f>
        <v>0</v>
      </c>
      <c r="BH14" s="938">
        <f>BD14*BF$4</f>
        <v>0</v>
      </c>
      <c r="BI14" s="938">
        <f>BD14*BF$5</f>
        <v>0</v>
      </c>
      <c r="BJ14" s="938">
        <f>IF(AND(BD$6=2,$F14=1,$H14=1),BH14,0)</f>
        <v>0</v>
      </c>
      <c r="BK14" s="938">
        <f>IF(BD$6=1,IF($I14=0,BH14,0),IF($G14&gt;1,BH14,BH14-BJ14))</f>
        <v>0</v>
      </c>
      <c r="BL14" s="938" t="str">
        <f>IF(BD$6=1,BH14,"")</f>
        <v/>
      </c>
      <c r="BM14" s="713">
        <f>'min. Düngung 22'!W15</f>
        <v>0</v>
      </c>
      <c r="BN14" s="938"/>
      <c r="BO14" s="938"/>
      <c r="BP14" s="938">
        <f>$B14*BM14</f>
        <v>0</v>
      </c>
      <c r="BQ14" s="938">
        <f>BM14*BO$4</f>
        <v>0</v>
      </c>
      <c r="BR14" s="938">
        <f>BM14*BO$5</f>
        <v>0</v>
      </c>
      <c r="BS14" s="938">
        <f>IF(AND(BM$6=2,$F14=1,$H14=1),BQ14,0)</f>
        <v>0</v>
      </c>
      <c r="BT14" s="938">
        <f>IF(BM$6=1,IF($I14=0,BQ14,0),IF($G14&gt;1,BQ14,BQ14-BS14))</f>
        <v>0</v>
      </c>
      <c r="BU14" s="938" t="str">
        <f>IF(BM$6=1,BQ14,"")</f>
        <v/>
      </c>
      <c r="BV14" s="713">
        <f>'min. Düngung 22'!Z15</f>
        <v>0</v>
      </c>
      <c r="BW14" s="938"/>
      <c r="BX14" s="938"/>
      <c r="BY14" s="938">
        <f>$B14*BV14</f>
        <v>0</v>
      </c>
      <c r="BZ14" s="938">
        <f>BV14*BX$4</f>
        <v>0</v>
      </c>
      <c r="CA14" s="938">
        <f>BV14*BX$5</f>
        <v>0</v>
      </c>
      <c r="CB14" s="938">
        <f>IF(AND(BV$6=2,$F14=1,$H14=1),BZ14,0)</f>
        <v>0</v>
      </c>
      <c r="CC14" s="938">
        <f>IF(BV$6=1,IF($I14=0,BZ14,0),IF($G14&gt;1,BZ14,BZ14-CB14))</f>
        <v>0</v>
      </c>
      <c r="CD14" s="938" t="str">
        <f>IF(BV$6=1,BZ14,"")</f>
        <v/>
      </c>
      <c r="CE14" s="713">
        <f>'min. Düngung 22'!AC15</f>
        <v>0</v>
      </c>
      <c r="CF14" s="938"/>
      <c r="CG14" s="938"/>
      <c r="CH14" s="938">
        <f>$B14*CE14</f>
        <v>0</v>
      </c>
      <c r="CI14" s="938">
        <f>CE14*CG$4</f>
        <v>0</v>
      </c>
      <c r="CJ14" s="938">
        <f>CE14*CG$5</f>
        <v>0</v>
      </c>
      <c r="CK14" s="938">
        <f>IF(AND(CE$6=2,$F14=1,$H14=1),CI14,0)</f>
        <v>0</v>
      </c>
      <c r="CL14" s="938">
        <f>IF(CE$6=1,IF($I14=0,CI14,0),IF($G14&gt;1,CI14,CI14-CK14))</f>
        <v>0</v>
      </c>
      <c r="CM14" s="938" t="str">
        <f>IF(CE$6=1,CI14,"")</f>
        <v/>
      </c>
      <c r="CN14" s="713">
        <f>'min. Düngung 22'!AF15</f>
        <v>0</v>
      </c>
      <c r="CO14" s="938"/>
      <c r="CP14" s="938"/>
      <c r="CQ14" s="938">
        <f>$B14*CN14</f>
        <v>0</v>
      </c>
      <c r="CR14" s="938">
        <f>CN14*CP$4</f>
        <v>0</v>
      </c>
      <c r="CS14" s="938">
        <f>CN14*CP$5</f>
        <v>0</v>
      </c>
      <c r="CT14" s="938">
        <f>IF(AND(CN$6=2,$F14=1,$H14=1),CR14,0)</f>
        <v>0</v>
      </c>
      <c r="CU14" s="938">
        <f>IF(CN$6=1,IF($I14=0,CR14,0),IF($G14&gt;1,CR14,CR14-CT14))</f>
        <v>0</v>
      </c>
      <c r="CV14" s="938" t="str">
        <f>IF(CN$6=1,CR14,"")</f>
        <v/>
      </c>
      <c r="CW14" s="713">
        <f>'min. Düngung 22'!AI15</f>
        <v>0</v>
      </c>
      <c r="CX14" s="938"/>
      <c r="CY14" s="938"/>
      <c r="CZ14" s="938">
        <f>$B14*CW14</f>
        <v>0</v>
      </c>
      <c r="DA14" s="938">
        <f>CW14*CY$4</f>
        <v>0</v>
      </c>
      <c r="DB14" s="938">
        <f>CW14*CY$5</f>
        <v>0</v>
      </c>
      <c r="DC14" s="938">
        <f>IF(AND(CW$6=2,$F14=1,$H14=1),DA14,0)</f>
        <v>0</v>
      </c>
      <c r="DD14" s="938">
        <f>IF(CW$6=1,IF($I14=0,DA14,0),IF($G14&gt;1,DA14,DA14-DC14))</f>
        <v>0</v>
      </c>
      <c r="DE14" s="938" t="str">
        <f>IF(CW$6=1,DA14,"")</f>
        <v/>
      </c>
      <c r="DF14" s="713">
        <f>'min. Düngung 22'!AL15</f>
        <v>0</v>
      </c>
      <c r="DG14" s="938"/>
      <c r="DH14" s="938"/>
      <c r="DI14" s="938">
        <f>$B14*DF14</f>
        <v>0</v>
      </c>
      <c r="DJ14" s="938">
        <f>DF14*DH$4</f>
        <v>0</v>
      </c>
      <c r="DK14" s="938">
        <f>DF14*DH$5</f>
        <v>0</v>
      </c>
      <c r="DL14" s="938">
        <f>IF(AND(DF$6=2,$F14=1,$H14=1),DJ14,0)</f>
        <v>0</v>
      </c>
      <c r="DM14" s="938">
        <f>IF(DF$6=1,IF($I14=0,DJ14,0),IF($G14&gt;1,DJ14,DJ14-DL14))</f>
        <v>0</v>
      </c>
      <c r="DN14" s="938" t="str">
        <f>IF(DF$6=1,DJ14,"")</f>
        <v/>
      </c>
      <c r="DO14" s="713">
        <f>'min. Düngung 22'!AO15</f>
        <v>0</v>
      </c>
      <c r="DP14" s="938"/>
      <c r="DQ14" s="938"/>
      <c r="DR14" s="938">
        <f>$B14*DO14</f>
        <v>0</v>
      </c>
      <c r="DS14" s="938">
        <f>DO14*DQ$4</f>
        <v>0</v>
      </c>
      <c r="DT14" s="938">
        <f>DO14*DQ$5</f>
        <v>0</v>
      </c>
      <c r="DU14" s="938">
        <f>IF(AND(DO$6=2,$F14=1,$H14=1),DS14,0)</f>
        <v>0</v>
      </c>
      <c r="DV14" s="938">
        <f>IF(DO$6=1,IF($I14=0,DS14,0),IF($G14&gt;1,DS14,DS14-DU14))</f>
        <v>0</v>
      </c>
      <c r="DW14" s="938" t="str">
        <f>IF(DO$6=1,DS14,"")</f>
        <v/>
      </c>
      <c r="DX14" s="713">
        <f>'min. Düngung 22'!AR15</f>
        <v>0</v>
      </c>
      <c r="DY14" s="938"/>
      <c r="DZ14" s="938"/>
      <c r="EA14" s="938">
        <f>$B14*DX14</f>
        <v>0</v>
      </c>
      <c r="EB14" s="938">
        <f>DX14*DZ$4</f>
        <v>0</v>
      </c>
      <c r="EC14" s="938">
        <f>DX14*DZ$5</f>
        <v>0</v>
      </c>
      <c r="ED14" s="938">
        <f>IF(AND(DX$6=2,$F14=1,$H14=1),EB14,0)</f>
        <v>0</v>
      </c>
      <c r="EE14" s="938">
        <f>IF(DX$6=1,IF($I14=0,EB14,0),IF($G14&gt;1,EB14,EB14-ED14))</f>
        <v>0</v>
      </c>
      <c r="EF14" s="938" t="str">
        <f>IF(DX$6=1,EB14,"")</f>
        <v/>
      </c>
      <c r="EG14" s="713">
        <f>'min. Düngung 22'!AU15</f>
        <v>0</v>
      </c>
      <c r="EH14" s="938"/>
      <c r="EI14" s="938"/>
      <c r="EJ14" s="938">
        <f>$B14*EG14</f>
        <v>0</v>
      </c>
      <c r="EK14" s="938">
        <f>EG14*EI$4</f>
        <v>0</v>
      </c>
      <c r="EL14" s="938">
        <f>EG14*EI$5</f>
        <v>0</v>
      </c>
      <c r="EM14" s="938">
        <f>IF(AND(EG$6=2,$F14=1,$H14=1),EK14,0)</f>
        <v>0</v>
      </c>
      <c r="EN14" s="938">
        <f>IF(EG$6=1,IF($I14=0,EK14,0),IF($G14&gt;1,EK14,EK14-EM14))</f>
        <v>0</v>
      </c>
      <c r="EO14" s="938" t="str">
        <f>IF(EG$6=1,EK14,"")</f>
        <v/>
      </c>
      <c r="EP14" s="713">
        <f>'min. Düngung 22'!AX15</f>
        <v>0</v>
      </c>
      <c r="EQ14" s="938"/>
      <c r="ER14" s="938"/>
      <c r="ES14" s="938">
        <f>$B14*EP14</f>
        <v>0</v>
      </c>
      <c r="ET14" s="938">
        <f>EP14*ER$4</f>
        <v>0</v>
      </c>
      <c r="EU14" s="938">
        <f>EP14*ER$5</f>
        <v>0</v>
      </c>
      <c r="EV14" s="938">
        <f>IF(AND(EP$6=2,$F14=1,$H14=1),ET14,0)</f>
        <v>0</v>
      </c>
      <c r="EW14" s="938">
        <f>IF(EP$6=1,IF($I14=0,ET14,0),IF($G14&gt;1,ET14,ET14-EV14))</f>
        <v>0</v>
      </c>
      <c r="EX14" s="938" t="str">
        <f>IF(EP$6=1,ET14,"")</f>
        <v/>
      </c>
      <c r="EY14" s="713">
        <f>'min. Düngung 22'!BA15</f>
        <v>0</v>
      </c>
      <c r="EZ14" s="938"/>
      <c r="FA14" s="938"/>
      <c r="FB14" s="938">
        <f>$B14*EY14</f>
        <v>0</v>
      </c>
      <c r="FC14" s="938">
        <f>EY14*FA$4</f>
        <v>0</v>
      </c>
      <c r="FD14" s="938">
        <f>EY14*FA$5</f>
        <v>0</v>
      </c>
      <c r="FE14" s="938">
        <f>IF(AND(EY$6=2,$F14=1,$H14=1),FC14,0)</f>
        <v>0</v>
      </c>
      <c r="FF14" s="938">
        <f>IF(EY$6=1,IF($I14=0,FC14,0),IF($G14&gt;1,FC14,FC14-FE14))</f>
        <v>0</v>
      </c>
      <c r="FG14" s="938" t="str">
        <f>IF(EY$6=1,FC14,"")</f>
        <v/>
      </c>
      <c r="FH14" s="713">
        <f>'min. Düngung 22'!BD15</f>
        <v>0</v>
      </c>
      <c r="FI14" s="938"/>
      <c r="FJ14" s="938"/>
      <c r="FK14" s="938">
        <f>$B14*FH14</f>
        <v>0</v>
      </c>
      <c r="FL14" s="938">
        <f>FH14*FJ$4</f>
        <v>0</v>
      </c>
      <c r="FM14" s="938">
        <f>FH14*FJ$5</f>
        <v>0</v>
      </c>
      <c r="FN14" s="938">
        <f>IF(AND(FH$6=2,$F14=1,$H14=1),FL14,0)</f>
        <v>0</v>
      </c>
      <c r="FO14" s="938">
        <f>IF(FH$6=1,IF($I14=0,FL14,0),IF($G14&gt;1,FL14,FL14-FN14))</f>
        <v>0</v>
      </c>
      <c r="FP14" s="938" t="str">
        <f>IF(FH$6=1,FL14,"")</f>
        <v/>
      </c>
      <c r="FQ14" s="713">
        <f>'min. Düngung 22'!BG15</f>
        <v>0</v>
      </c>
      <c r="FR14" s="938"/>
      <c r="FS14" s="938"/>
      <c r="FT14" s="938">
        <f>$B14*FQ14</f>
        <v>0</v>
      </c>
      <c r="FU14" s="938">
        <f>FQ14*FS$4</f>
        <v>0</v>
      </c>
      <c r="FV14" s="938">
        <f>FQ14*FS$5</f>
        <v>0</v>
      </c>
      <c r="FW14" s="938">
        <f>IF(AND(FQ$6=2,$F14=1,$H14=1),FU14,0)</f>
        <v>0</v>
      </c>
      <c r="FX14" s="938">
        <f>IF(FQ$6=1,IF($I14=0,FU14,0),IF($G14&gt;1,FU14,FU14-FW14))</f>
        <v>0</v>
      </c>
      <c r="FY14" s="938" t="str">
        <f>IF(FQ$6=1,FU14,"")</f>
        <v/>
      </c>
      <c r="FZ14" s="713">
        <f>'min. Düngung 22'!BJ15</f>
        <v>0</v>
      </c>
      <c r="GA14" s="938"/>
      <c r="GB14" s="938"/>
      <c r="GC14" s="938">
        <f>$B14*FZ14</f>
        <v>0</v>
      </c>
      <c r="GD14" s="938">
        <f>FZ14*GB$4</f>
        <v>0</v>
      </c>
      <c r="GE14" s="938">
        <f>FZ14*GB$5</f>
        <v>0</v>
      </c>
      <c r="GF14" s="938">
        <f>IF(AND(FZ$6=2,$F14=1,$H14=1),GD14,0)</f>
        <v>0</v>
      </c>
      <c r="GG14" s="938">
        <f>IF(FZ$6=1,IF($I14=0,GD14,0),IF($G14&gt;1,GD14,GD14-GF14))</f>
        <v>0</v>
      </c>
      <c r="GH14" s="938" t="str">
        <f>IF(FZ$6=1,GD14,"")</f>
        <v/>
      </c>
      <c r="GI14" s="713">
        <f>'min. Düngung 22'!BM15</f>
        <v>0</v>
      </c>
      <c r="GJ14" s="938"/>
      <c r="GK14" s="938"/>
      <c r="GL14" s="938">
        <f>$B14*GI14</f>
        <v>0</v>
      </c>
      <c r="GM14" s="938">
        <f>GI14*GK$4</f>
        <v>0</v>
      </c>
      <c r="GN14" s="938">
        <f>GI14*GK$5</f>
        <v>0</v>
      </c>
      <c r="GO14" s="938">
        <f>IF(AND(GI$6=2,$F14=1,$H14=1),GM14,0)</f>
        <v>0</v>
      </c>
      <c r="GP14" s="938">
        <f>IF(GI$6=1,IF($I14=0,GM14,0),IF($G14&gt;1,GM14,GM14-GO14))</f>
        <v>0</v>
      </c>
      <c r="GQ14" s="938" t="str">
        <f>IF(GI$6=1,GM14,"")</f>
        <v/>
      </c>
      <c r="GR14" s="713">
        <f>'min. Düngung 22'!BP15</f>
        <v>0</v>
      </c>
      <c r="GS14" s="938"/>
      <c r="GT14" s="938"/>
      <c r="GU14" s="938">
        <f>$B14*GR14</f>
        <v>0</v>
      </c>
      <c r="GV14" s="938">
        <f>GR14*GT$4</f>
        <v>0</v>
      </c>
      <c r="GW14" s="938">
        <f>GR14*GT$5</f>
        <v>0</v>
      </c>
      <c r="GX14" s="938">
        <f>IF(AND(GR$6=2,$F14=1,$H14=1),GV14,0)</f>
        <v>0</v>
      </c>
      <c r="GY14" s="938">
        <f>IF(GR$6=1,IF($I14=0,GV14,0),IF($G14&gt;1,GV14,GV14-GX14))</f>
        <v>0</v>
      </c>
      <c r="GZ14" s="938" t="str">
        <f>IF(GR$6=1,GV14,"")</f>
        <v/>
      </c>
      <c r="HA14" s="713">
        <f>'min. Düngung 22'!BS15</f>
        <v>0</v>
      </c>
      <c r="HB14" s="938"/>
      <c r="HC14" s="938"/>
      <c r="HD14" s="938">
        <f>$B14*HA14</f>
        <v>0</v>
      </c>
      <c r="HE14" s="938">
        <f>HA14*HC$4</f>
        <v>0</v>
      </c>
      <c r="HF14" s="938">
        <f>HA14*HC$5</f>
        <v>0</v>
      </c>
      <c r="HG14" s="938">
        <f>IF(AND(HA$6=2,$F14=1,$H14=1),HE14,0)</f>
        <v>0</v>
      </c>
      <c r="HH14" s="938">
        <f>IF(HA$6=1,IF($I14=0,HE14,0),IF($G14&gt;1,HE14,HE14-HG14))</f>
        <v>0</v>
      </c>
      <c r="HI14" s="938" t="str">
        <f>IF(HA$6=1,HE14,"")</f>
        <v/>
      </c>
      <c r="HJ14" s="713">
        <f>'min. Düngung 22'!BV15</f>
        <v>0</v>
      </c>
      <c r="HK14" s="938"/>
      <c r="HL14" s="938"/>
      <c r="HM14" s="938">
        <f>$B14*HJ14</f>
        <v>0</v>
      </c>
      <c r="HN14" s="938">
        <f>HJ14*HL$4</f>
        <v>0</v>
      </c>
      <c r="HO14" s="938">
        <f>HJ14*HL$5</f>
        <v>0</v>
      </c>
      <c r="HP14" s="938">
        <f>IF(AND(HJ$6=2,$F14=1,$H14=1),HN14,0)</f>
        <v>0</v>
      </c>
      <c r="HQ14" s="938">
        <f>IF(HJ$6=1,IF($I14=0,HN14,0),IF($G14&gt;1,HN14,HN14-HP14))</f>
        <v>0</v>
      </c>
      <c r="HR14" s="938" t="str">
        <f>IF(HJ$6=1,HN14,"")</f>
        <v/>
      </c>
      <c r="HS14" s="713">
        <f>'min. Düngung 22'!BY15</f>
        <v>0</v>
      </c>
      <c r="HT14" s="938"/>
      <c r="HU14" s="938"/>
      <c r="HV14" s="938">
        <f>$B14*HS14</f>
        <v>0</v>
      </c>
      <c r="HW14" s="938">
        <f>HS14*HU$4</f>
        <v>0</v>
      </c>
      <c r="HX14" s="938">
        <f>HS14*HU$5</f>
        <v>0</v>
      </c>
      <c r="HY14" s="938">
        <f>IF(AND(HS$6=2,$F14=1,$H14=1),HW14,0)</f>
        <v>0</v>
      </c>
      <c r="HZ14" s="938">
        <f>IF(HS$6=1,IF($I14=0,HW14,0),IF($G14&gt;1,HW14,HW14-HY14))</f>
        <v>0</v>
      </c>
      <c r="IA14" s="938" t="str">
        <f>IF(HS$6=1,HW14,"")</f>
        <v/>
      </c>
      <c r="IB14" s="713">
        <f>'min. Düngung 22'!CB15</f>
        <v>0</v>
      </c>
      <c r="IC14" s="938"/>
      <c r="ID14" s="938"/>
      <c r="IE14" s="938">
        <f>$B14*IB14</f>
        <v>0</v>
      </c>
      <c r="IF14" s="938">
        <f>IB14*ID$4</f>
        <v>0</v>
      </c>
      <c r="IG14" s="938">
        <f>IB14*ID$5</f>
        <v>0</v>
      </c>
      <c r="IH14" s="938">
        <f>IF(AND(IB$6=2,$F14=1,$H14=1),IF14,0)</f>
        <v>0</v>
      </c>
      <c r="II14" s="938">
        <f>IF(IB$6=1,IF($I14=0,IF14,0),IF($G14&gt;1,IF14,IF14-IH14))</f>
        <v>0</v>
      </c>
      <c r="IJ14" s="938" t="str">
        <f>IF(IB$6=1,IF14,"")</f>
        <v/>
      </c>
      <c r="IK14" s="713">
        <f>'min. Düngung 22'!CE15</f>
        <v>0</v>
      </c>
      <c r="IL14" s="938"/>
      <c r="IM14" s="938"/>
      <c r="IN14" s="938">
        <f>$B14*IK14</f>
        <v>0</v>
      </c>
      <c r="IO14" s="938">
        <f>IK14*IM$4</f>
        <v>0</v>
      </c>
      <c r="IP14" s="938">
        <f>IK14*IM$5</f>
        <v>0</v>
      </c>
      <c r="IQ14" s="938">
        <f>IF(AND(IK$6=2,$F14=1,$H14=1),IO14,0)</f>
        <v>0</v>
      </c>
      <c r="IR14" s="938">
        <f>IF(IK$6=1,IF($I14=0,IO14,0),IF($G14&gt;1,IO14,IO14-IQ14))</f>
        <v>0</v>
      </c>
      <c r="IS14" s="938" t="str">
        <f>IF(IK$6=1,IO14,"")</f>
        <v/>
      </c>
      <c r="IT14" s="713">
        <f>'min. Düngung 22'!CH15</f>
        <v>0</v>
      </c>
      <c r="IU14" s="938"/>
      <c r="IV14" s="938"/>
      <c r="IW14" s="938">
        <f>$B14*IT14</f>
        <v>0</v>
      </c>
      <c r="IX14" s="938">
        <f>IT14*IV$4</f>
        <v>0</v>
      </c>
      <c r="IY14" s="938">
        <f>IT14*IV$5</f>
        <v>0</v>
      </c>
      <c r="IZ14" s="938">
        <f>IF(AND(IT$6=2,$F14=1,$H14=1),IX14,0)</f>
        <v>0</v>
      </c>
      <c r="JA14" s="938">
        <f>IF(IT$6=1,IF($I14=0,IX14,0),IF($G14&gt;1,IX14,IX14-IZ14))</f>
        <v>0</v>
      </c>
      <c r="JB14" s="938" t="str">
        <f>IF(IT$6=1,IX14,"")</f>
        <v/>
      </c>
      <c r="JC14" s="713">
        <f>'min. Düngung 22'!CK15</f>
        <v>0</v>
      </c>
      <c r="JD14" s="938"/>
      <c r="JE14" s="938"/>
      <c r="JF14" s="938">
        <f>$B14*JC14</f>
        <v>0</v>
      </c>
      <c r="JG14" s="938">
        <f>JC14*JE$4</f>
        <v>0</v>
      </c>
      <c r="JH14" s="938">
        <f>JC14*JE$5</f>
        <v>0</v>
      </c>
      <c r="JI14" s="938">
        <f>IF(AND(JC$6=2,$F14=1,$H14=1),JG14,0)</f>
        <v>0</v>
      </c>
      <c r="JJ14" s="938">
        <f>IF(JC$6=1,IF($I14=0,JG14,0),IF($G14&gt;1,JG14,JG14-JI14))</f>
        <v>0</v>
      </c>
      <c r="JK14" s="938" t="str">
        <f>IF(JC$6=1,JG14,"")</f>
        <v/>
      </c>
      <c r="JL14" s="713">
        <f>'min. Düngung 22'!CN15</f>
        <v>0</v>
      </c>
      <c r="JM14" s="938"/>
      <c r="JN14" s="938"/>
      <c r="JO14" s="938">
        <f>$B14*JL14</f>
        <v>0</v>
      </c>
      <c r="JP14" s="938">
        <f>JL14*JN$4</f>
        <v>0</v>
      </c>
      <c r="JQ14" s="938">
        <f>JL14*JN$5</f>
        <v>0</v>
      </c>
      <c r="JR14" s="938">
        <f>IF(AND(JL$6=2,$F14=1,$H14=1),JP14,0)</f>
        <v>0</v>
      </c>
      <c r="JS14" s="938">
        <f>IF(JL$6=1,IF($I14=0,JP14,0),IF($G14&gt;1,JP14,JP14-JR14))</f>
        <v>0</v>
      </c>
      <c r="JT14" s="938" t="str">
        <f>IF(JL$6=1,JP14,"")</f>
        <v/>
      </c>
      <c r="JU14" s="713">
        <f>'min. Düngung 22'!CQ15</f>
        <v>0</v>
      </c>
      <c r="JV14" s="938"/>
      <c r="JW14" s="938"/>
      <c r="JX14" s="938">
        <f>$B14*JU14</f>
        <v>0</v>
      </c>
      <c r="JY14" s="938">
        <f>JU14*JW$4</f>
        <v>0</v>
      </c>
      <c r="JZ14" s="938">
        <f>JU14*JW$5</f>
        <v>0</v>
      </c>
      <c r="KA14" s="938">
        <f>IF(AND(JU$6=2,$F14=1,$H14=1),JY14,0)</f>
        <v>0</v>
      </c>
      <c r="KB14" s="938">
        <f>IF(JU$6=1,IF($I14=0,JY14,0),IF($G14&gt;1,JY14,JY14-KA14))</f>
        <v>0</v>
      </c>
      <c r="KC14" s="938" t="str">
        <f>IF(JU$6=1,JY14,"")</f>
        <v/>
      </c>
      <c r="KF14" s="938" t="str">
        <f>IF(AND($F14=2,$G14=1),"",IF(OR($Q14&gt;0,$O14&gt;60),$KF$7,IF(I14=70,"",IF(AND(I14=80,R14+'#orgDung'!AC17&lt;60,K14=1,OR(C14=2,'#BerechnungDBE'!AH8=4)),"",IF(R14&gt;0,$KF$7,"")))))</f>
        <v/>
      </c>
      <c r="KG14" s="938" t="str">
        <f>IF(AND(P14&gt;'#BerechnungDBE'!BJ8,P14&gt;0),'#minDung'!$KG$7,"")</f>
        <v/>
      </c>
      <c r="KH14" s="938" t="str">
        <f>IF(AND(I14=70,R14&gt;'#BerechnungDBE'!CR8),'#minDung'!$KH$7,"")</f>
        <v/>
      </c>
      <c r="KI14" s="938" t="str">
        <f>IF('#BerechnungDBE'!P8&lt;4,"",IF(AND('#BerechnungDBE'!BZ8&gt;0,N14&gt;0),$KI$7,""))</f>
        <v/>
      </c>
      <c r="KJ14" s="938" t="str">
        <f t="shared" si="5"/>
        <v/>
      </c>
    </row>
    <row r="15" spans="1:296" x14ac:dyDescent="0.2">
      <c r="A15" s="714">
        <f>'Flächen u. Kulturen'!A14</f>
        <v>5</v>
      </c>
      <c r="B15" s="734">
        <f>'#BerechnungDBE'!L9</f>
        <v>0</v>
      </c>
      <c r="C15" s="46">
        <f>'#orgDung'!C18</f>
        <v>1</v>
      </c>
      <c r="D15" s="714">
        <f>'#BerechnungDBE'!T9</f>
        <v>2</v>
      </c>
      <c r="E15" s="714" t="str">
        <f>'Flächen u. Kulturen'!E14</f>
        <v>x</v>
      </c>
      <c r="F15" s="52">
        <f>'#BerechnungDBE'!N9</f>
        <v>1</v>
      </c>
      <c r="G15" s="52">
        <f>'#BerechnungDBE'!O9</f>
        <v>1</v>
      </c>
      <c r="H15" s="505">
        <f>'#orgDung'!J18</f>
        <v>2</v>
      </c>
      <c r="I15" s="714">
        <f>'#BerechnungDBE'!AF9</f>
        <v>0</v>
      </c>
      <c r="J15" s="714">
        <f>'#orgDung'!M18</f>
        <v>0</v>
      </c>
      <c r="K15" s="714">
        <f>'#BerechnungDBE'!AG9</f>
        <v>0</v>
      </c>
      <c r="M15" s="714">
        <f t="shared" si="0"/>
        <v>0</v>
      </c>
      <c r="N15" s="714">
        <f t="shared" si="1"/>
        <v>0</v>
      </c>
      <c r="O15" s="714">
        <f t="shared" si="2"/>
        <v>0</v>
      </c>
      <c r="P15" s="714">
        <f t="shared" si="4"/>
        <v>0</v>
      </c>
      <c r="Q15" s="938">
        <f t="shared" si="6"/>
        <v>0</v>
      </c>
      <c r="R15" s="714">
        <f t="shared" si="3"/>
        <v>0</v>
      </c>
      <c r="S15" s="714"/>
      <c r="T15" s="713">
        <f>'min. Düngung 22'!H16</f>
        <v>0</v>
      </c>
      <c r="W15" s="807">
        <f>$B15*T15</f>
        <v>0</v>
      </c>
      <c r="X15" s="714">
        <f>T15*V$4</f>
        <v>0</v>
      </c>
      <c r="Y15" s="714">
        <f>T15*V$5</f>
        <v>0</v>
      </c>
      <c r="Z15" s="714">
        <f>IF(AND(T$6=2,$F15=1,$H15=1),X15,0)</f>
        <v>0</v>
      </c>
      <c r="AA15" s="714">
        <f>IF(T$6=1,IF($I15=0,X15,0),IF($G15&gt;1,X15,X15-Z15))</f>
        <v>0</v>
      </c>
      <c r="AB15" s="714" t="str">
        <f>IF(T$6=1,X15,"")</f>
        <v/>
      </c>
      <c r="AC15" s="713">
        <f>'min. Düngung 22'!K16</f>
        <v>0</v>
      </c>
      <c r="AD15" s="938"/>
      <c r="AE15" s="938"/>
      <c r="AF15" s="938">
        <f>$B15*AC15</f>
        <v>0</v>
      </c>
      <c r="AG15" s="938">
        <f>AC15*AE$4</f>
        <v>0</v>
      </c>
      <c r="AH15" s="938">
        <f>AC15*AE$5</f>
        <v>0</v>
      </c>
      <c r="AI15" s="938">
        <f>IF(AND(AC$6=2,$F15=1,$H15=1),AG15,0)</f>
        <v>0</v>
      </c>
      <c r="AJ15" s="938">
        <f>IF(AC$6=1,IF($I15=0,AG15,0),IF($G15&gt;1,AG15,AG15-AI15))</f>
        <v>0</v>
      </c>
      <c r="AK15" s="938">
        <f>IF(AC$6=1,AG15,"")</f>
        <v>0</v>
      </c>
      <c r="AL15" s="713">
        <f>'min. Düngung 22'!N16</f>
        <v>0</v>
      </c>
      <c r="AM15" s="938"/>
      <c r="AN15" s="938"/>
      <c r="AO15" s="938">
        <f>$B15*AL15</f>
        <v>0</v>
      </c>
      <c r="AP15" s="938">
        <f>AL15*AN$4</f>
        <v>0</v>
      </c>
      <c r="AQ15" s="938">
        <f>AL15*AN$5</f>
        <v>0</v>
      </c>
      <c r="AR15" s="938">
        <f>IF(AND(AL$6=2,$F15=1,$H15=1),AP15,0)</f>
        <v>0</v>
      </c>
      <c r="AS15" s="938">
        <f>IF(AL$6=1,IF($I15=0,AP15,0),IF($G15&gt;1,AP15,AP15-AR15))</f>
        <v>0</v>
      </c>
      <c r="AT15" s="938" t="str">
        <f>IF(AL$6=1,AP15,"")</f>
        <v/>
      </c>
      <c r="AU15" s="713">
        <f>'min. Düngung 22'!Q16</f>
        <v>0</v>
      </c>
      <c r="AV15" s="938"/>
      <c r="AW15" s="938"/>
      <c r="AX15" s="938">
        <f>$B15*AU15</f>
        <v>0</v>
      </c>
      <c r="AY15" s="938">
        <f>AU15*AW$4</f>
        <v>0</v>
      </c>
      <c r="AZ15" s="938">
        <f>AU15*AW$5</f>
        <v>0</v>
      </c>
      <c r="BA15" s="938">
        <f>IF(AND(AU$6=2,$F15=1,$H15=1),AY15,0)</f>
        <v>0</v>
      </c>
      <c r="BB15" s="938">
        <f>IF(AU$6=1,IF($I15=0,AY15,0),IF($G15&gt;1,AY15,AY15-BA15))</f>
        <v>0</v>
      </c>
      <c r="BC15" s="938" t="str">
        <f>IF(AU$6=1,AY15,"")</f>
        <v/>
      </c>
      <c r="BD15" s="713">
        <f>'min. Düngung 22'!T16</f>
        <v>0</v>
      </c>
      <c r="BE15" s="938"/>
      <c r="BF15" s="938"/>
      <c r="BG15" s="938">
        <f>$B15*BD15</f>
        <v>0</v>
      </c>
      <c r="BH15" s="938">
        <f>BD15*BF$4</f>
        <v>0</v>
      </c>
      <c r="BI15" s="938">
        <f>BD15*BF$5</f>
        <v>0</v>
      </c>
      <c r="BJ15" s="938">
        <f>IF(AND(BD$6=2,$F15=1,$H15=1),BH15,0)</f>
        <v>0</v>
      </c>
      <c r="BK15" s="938">
        <f>IF(BD$6=1,IF($I15=0,BH15,0),IF($G15&gt;1,BH15,BH15-BJ15))</f>
        <v>0</v>
      </c>
      <c r="BL15" s="938" t="str">
        <f>IF(BD$6=1,BH15,"")</f>
        <v/>
      </c>
      <c r="BM15" s="713">
        <f>'min. Düngung 22'!W16</f>
        <v>0</v>
      </c>
      <c r="BN15" s="938"/>
      <c r="BO15" s="938"/>
      <c r="BP15" s="938">
        <f>$B15*BM15</f>
        <v>0</v>
      </c>
      <c r="BQ15" s="938">
        <f>BM15*BO$4</f>
        <v>0</v>
      </c>
      <c r="BR15" s="938">
        <f>BM15*BO$5</f>
        <v>0</v>
      </c>
      <c r="BS15" s="938">
        <f>IF(AND(BM$6=2,$F15=1,$H15=1),BQ15,0)</f>
        <v>0</v>
      </c>
      <c r="BT15" s="938">
        <f>IF(BM$6=1,IF($I15=0,BQ15,0),IF($G15&gt;1,BQ15,BQ15-BS15))</f>
        <v>0</v>
      </c>
      <c r="BU15" s="938" t="str">
        <f>IF(BM$6=1,BQ15,"")</f>
        <v/>
      </c>
      <c r="BV15" s="713">
        <f>'min. Düngung 22'!Z16</f>
        <v>0</v>
      </c>
      <c r="BW15" s="938"/>
      <c r="BX15" s="938"/>
      <c r="BY15" s="938">
        <f>$B15*BV15</f>
        <v>0</v>
      </c>
      <c r="BZ15" s="938">
        <f>BV15*BX$4</f>
        <v>0</v>
      </c>
      <c r="CA15" s="938">
        <f>BV15*BX$5</f>
        <v>0</v>
      </c>
      <c r="CB15" s="938">
        <f>IF(AND(BV$6=2,$F15=1,$H15=1),BZ15,0)</f>
        <v>0</v>
      </c>
      <c r="CC15" s="938">
        <f>IF(BV$6=1,IF($I15=0,BZ15,0),IF($G15&gt;1,BZ15,BZ15-CB15))</f>
        <v>0</v>
      </c>
      <c r="CD15" s="938" t="str">
        <f>IF(BV$6=1,BZ15,"")</f>
        <v/>
      </c>
      <c r="CE15" s="713">
        <f>'min. Düngung 22'!AC16</f>
        <v>0</v>
      </c>
      <c r="CF15" s="938"/>
      <c r="CG15" s="938"/>
      <c r="CH15" s="938">
        <f>$B15*CE15</f>
        <v>0</v>
      </c>
      <c r="CI15" s="938">
        <f>CE15*CG$4</f>
        <v>0</v>
      </c>
      <c r="CJ15" s="938">
        <f>CE15*CG$5</f>
        <v>0</v>
      </c>
      <c r="CK15" s="938">
        <f>IF(AND(CE$6=2,$F15=1,$H15=1),CI15,0)</f>
        <v>0</v>
      </c>
      <c r="CL15" s="938">
        <f>IF(CE$6=1,IF($I15=0,CI15,0),IF($G15&gt;1,CI15,CI15-CK15))</f>
        <v>0</v>
      </c>
      <c r="CM15" s="938" t="str">
        <f>IF(CE$6=1,CI15,"")</f>
        <v/>
      </c>
      <c r="CN15" s="713">
        <f>'min. Düngung 22'!AF16</f>
        <v>0</v>
      </c>
      <c r="CO15" s="938"/>
      <c r="CP15" s="938"/>
      <c r="CQ15" s="938">
        <f>$B15*CN15</f>
        <v>0</v>
      </c>
      <c r="CR15" s="938">
        <f>CN15*CP$4</f>
        <v>0</v>
      </c>
      <c r="CS15" s="938">
        <f>CN15*CP$5</f>
        <v>0</v>
      </c>
      <c r="CT15" s="938">
        <f>IF(AND(CN$6=2,$F15=1,$H15=1),CR15,0)</f>
        <v>0</v>
      </c>
      <c r="CU15" s="938">
        <f>IF(CN$6=1,IF($I15=0,CR15,0),IF($G15&gt;1,CR15,CR15-CT15))</f>
        <v>0</v>
      </c>
      <c r="CV15" s="938" t="str">
        <f>IF(CN$6=1,CR15,"")</f>
        <v/>
      </c>
      <c r="CW15" s="713">
        <f>'min. Düngung 22'!AI16</f>
        <v>0</v>
      </c>
      <c r="CX15" s="938"/>
      <c r="CY15" s="938"/>
      <c r="CZ15" s="938">
        <f>$B15*CW15</f>
        <v>0</v>
      </c>
      <c r="DA15" s="938">
        <f>CW15*CY$4</f>
        <v>0</v>
      </c>
      <c r="DB15" s="938">
        <f>CW15*CY$5</f>
        <v>0</v>
      </c>
      <c r="DC15" s="938">
        <f>IF(AND(CW$6=2,$F15=1,$H15=1),DA15,0)</f>
        <v>0</v>
      </c>
      <c r="DD15" s="938">
        <f>IF(CW$6=1,IF($I15=0,DA15,0),IF($G15&gt;1,DA15,DA15-DC15))</f>
        <v>0</v>
      </c>
      <c r="DE15" s="938" t="str">
        <f>IF(CW$6=1,DA15,"")</f>
        <v/>
      </c>
      <c r="DF15" s="713">
        <f>'min. Düngung 22'!AL16</f>
        <v>0</v>
      </c>
      <c r="DG15" s="938"/>
      <c r="DH15" s="938"/>
      <c r="DI15" s="938">
        <f>$B15*DF15</f>
        <v>0</v>
      </c>
      <c r="DJ15" s="938">
        <f>DF15*DH$4</f>
        <v>0</v>
      </c>
      <c r="DK15" s="938">
        <f>DF15*DH$5</f>
        <v>0</v>
      </c>
      <c r="DL15" s="938">
        <f>IF(AND(DF$6=2,$F15=1,$H15=1),DJ15,0)</f>
        <v>0</v>
      </c>
      <c r="DM15" s="938">
        <f>IF(DF$6=1,IF($I15=0,DJ15,0),IF($G15&gt;1,DJ15,DJ15-DL15))</f>
        <v>0</v>
      </c>
      <c r="DN15" s="938" t="str">
        <f>IF(DF$6=1,DJ15,"")</f>
        <v/>
      </c>
      <c r="DO15" s="713">
        <f>'min. Düngung 22'!AO16</f>
        <v>0</v>
      </c>
      <c r="DP15" s="938"/>
      <c r="DQ15" s="938"/>
      <c r="DR15" s="938">
        <f>$B15*DO15</f>
        <v>0</v>
      </c>
      <c r="DS15" s="938">
        <f>DO15*DQ$4</f>
        <v>0</v>
      </c>
      <c r="DT15" s="938">
        <f>DO15*DQ$5</f>
        <v>0</v>
      </c>
      <c r="DU15" s="938">
        <f>IF(AND(DO$6=2,$F15=1,$H15=1),DS15,0)</f>
        <v>0</v>
      </c>
      <c r="DV15" s="938">
        <f>IF(DO$6=1,IF($I15=0,DS15,0),IF($G15&gt;1,DS15,DS15-DU15))</f>
        <v>0</v>
      </c>
      <c r="DW15" s="938" t="str">
        <f>IF(DO$6=1,DS15,"")</f>
        <v/>
      </c>
      <c r="DX15" s="713">
        <f>'min. Düngung 22'!AR16</f>
        <v>0</v>
      </c>
      <c r="DY15" s="938"/>
      <c r="DZ15" s="938"/>
      <c r="EA15" s="938">
        <f>$B15*DX15</f>
        <v>0</v>
      </c>
      <c r="EB15" s="938">
        <f>DX15*DZ$4</f>
        <v>0</v>
      </c>
      <c r="EC15" s="938">
        <f>DX15*DZ$5</f>
        <v>0</v>
      </c>
      <c r="ED15" s="938">
        <f>IF(AND(DX$6=2,$F15=1,$H15=1),EB15,0)</f>
        <v>0</v>
      </c>
      <c r="EE15" s="938">
        <f>IF(DX$6=1,IF($I15=0,EB15,0),IF($G15&gt;1,EB15,EB15-ED15))</f>
        <v>0</v>
      </c>
      <c r="EF15" s="938" t="str">
        <f>IF(DX$6=1,EB15,"")</f>
        <v/>
      </c>
      <c r="EG15" s="713">
        <f>'min. Düngung 22'!AU16</f>
        <v>0</v>
      </c>
      <c r="EH15" s="938"/>
      <c r="EI15" s="938"/>
      <c r="EJ15" s="938">
        <f>$B15*EG15</f>
        <v>0</v>
      </c>
      <c r="EK15" s="938">
        <f>EG15*EI$4</f>
        <v>0</v>
      </c>
      <c r="EL15" s="938">
        <f>EG15*EI$5</f>
        <v>0</v>
      </c>
      <c r="EM15" s="938">
        <f>IF(AND(EG$6=2,$F15=1,$H15=1),EK15,0)</f>
        <v>0</v>
      </c>
      <c r="EN15" s="938">
        <f>IF(EG$6=1,IF($I15=0,EK15,0),IF($G15&gt;1,EK15,EK15-EM15))</f>
        <v>0</v>
      </c>
      <c r="EO15" s="938" t="str">
        <f>IF(EG$6=1,EK15,"")</f>
        <v/>
      </c>
      <c r="EP15" s="713">
        <f>'min. Düngung 22'!AX16</f>
        <v>0</v>
      </c>
      <c r="EQ15" s="938"/>
      <c r="ER15" s="938"/>
      <c r="ES15" s="938">
        <f>$B15*EP15</f>
        <v>0</v>
      </c>
      <c r="ET15" s="938">
        <f>EP15*ER$4</f>
        <v>0</v>
      </c>
      <c r="EU15" s="938">
        <f>EP15*ER$5</f>
        <v>0</v>
      </c>
      <c r="EV15" s="938">
        <f>IF(AND(EP$6=2,$F15=1,$H15=1),ET15,0)</f>
        <v>0</v>
      </c>
      <c r="EW15" s="938">
        <f>IF(EP$6=1,IF($I15=0,ET15,0),IF($G15&gt;1,ET15,ET15-EV15))</f>
        <v>0</v>
      </c>
      <c r="EX15" s="938" t="str">
        <f>IF(EP$6=1,ET15,"")</f>
        <v/>
      </c>
      <c r="EY15" s="713">
        <f>'min. Düngung 22'!BA16</f>
        <v>0</v>
      </c>
      <c r="EZ15" s="938"/>
      <c r="FA15" s="938"/>
      <c r="FB15" s="938">
        <f>$B15*EY15</f>
        <v>0</v>
      </c>
      <c r="FC15" s="938">
        <f>EY15*FA$4</f>
        <v>0</v>
      </c>
      <c r="FD15" s="938">
        <f>EY15*FA$5</f>
        <v>0</v>
      </c>
      <c r="FE15" s="938">
        <f>IF(AND(EY$6=2,$F15=1,$H15=1),FC15,0)</f>
        <v>0</v>
      </c>
      <c r="FF15" s="938">
        <f>IF(EY$6=1,IF($I15=0,FC15,0),IF($G15&gt;1,FC15,FC15-FE15))</f>
        <v>0</v>
      </c>
      <c r="FG15" s="938" t="str">
        <f>IF(EY$6=1,FC15,"")</f>
        <v/>
      </c>
      <c r="FH15" s="713">
        <f>'min. Düngung 22'!BD16</f>
        <v>0</v>
      </c>
      <c r="FI15" s="938"/>
      <c r="FJ15" s="938"/>
      <c r="FK15" s="938">
        <f>$B15*FH15</f>
        <v>0</v>
      </c>
      <c r="FL15" s="938">
        <f>FH15*FJ$4</f>
        <v>0</v>
      </c>
      <c r="FM15" s="938">
        <f>FH15*FJ$5</f>
        <v>0</v>
      </c>
      <c r="FN15" s="938">
        <f>IF(AND(FH$6=2,$F15=1,$H15=1),FL15,0)</f>
        <v>0</v>
      </c>
      <c r="FO15" s="938">
        <f>IF(FH$6=1,IF($I15=0,FL15,0),IF($G15&gt;1,FL15,FL15-FN15))</f>
        <v>0</v>
      </c>
      <c r="FP15" s="938" t="str">
        <f>IF(FH$6=1,FL15,"")</f>
        <v/>
      </c>
      <c r="FQ15" s="713">
        <f>'min. Düngung 22'!BG16</f>
        <v>0</v>
      </c>
      <c r="FR15" s="938"/>
      <c r="FS15" s="938"/>
      <c r="FT15" s="938">
        <f>$B15*FQ15</f>
        <v>0</v>
      </c>
      <c r="FU15" s="938">
        <f>FQ15*FS$4</f>
        <v>0</v>
      </c>
      <c r="FV15" s="938">
        <f>FQ15*FS$5</f>
        <v>0</v>
      </c>
      <c r="FW15" s="938">
        <f>IF(AND(FQ$6=2,$F15=1,$H15=1),FU15,0)</f>
        <v>0</v>
      </c>
      <c r="FX15" s="938">
        <f>IF(FQ$6=1,IF($I15=0,FU15,0),IF($G15&gt;1,FU15,FU15-FW15))</f>
        <v>0</v>
      </c>
      <c r="FY15" s="938" t="str">
        <f>IF(FQ$6=1,FU15,"")</f>
        <v/>
      </c>
      <c r="FZ15" s="713">
        <f>'min. Düngung 22'!BJ16</f>
        <v>0</v>
      </c>
      <c r="GA15" s="938"/>
      <c r="GB15" s="938"/>
      <c r="GC15" s="938">
        <f>$B15*FZ15</f>
        <v>0</v>
      </c>
      <c r="GD15" s="938">
        <f>FZ15*GB$4</f>
        <v>0</v>
      </c>
      <c r="GE15" s="938">
        <f>FZ15*GB$5</f>
        <v>0</v>
      </c>
      <c r="GF15" s="938">
        <f>IF(AND(FZ$6=2,$F15=1,$H15=1),GD15,0)</f>
        <v>0</v>
      </c>
      <c r="GG15" s="938">
        <f>IF(FZ$6=1,IF($I15=0,GD15,0),IF($G15&gt;1,GD15,GD15-GF15))</f>
        <v>0</v>
      </c>
      <c r="GH15" s="938" t="str">
        <f>IF(FZ$6=1,GD15,"")</f>
        <v/>
      </c>
      <c r="GI15" s="713">
        <f>'min. Düngung 22'!BM16</f>
        <v>0</v>
      </c>
      <c r="GJ15" s="938"/>
      <c r="GK15" s="938"/>
      <c r="GL15" s="938">
        <f>$B15*GI15</f>
        <v>0</v>
      </c>
      <c r="GM15" s="938">
        <f>GI15*GK$4</f>
        <v>0</v>
      </c>
      <c r="GN15" s="938">
        <f>GI15*GK$5</f>
        <v>0</v>
      </c>
      <c r="GO15" s="938">
        <f>IF(AND(GI$6=2,$F15=1,$H15=1),GM15,0)</f>
        <v>0</v>
      </c>
      <c r="GP15" s="938">
        <f>IF(GI$6=1,IF($I15=0,GM15,0),IF($G15&gt;1,GM15,GM15-GO15))</f>
        <v>0</v>
      </c>
      <c r="GQ15" s="938" t="str">
        <f>IF(GI$6=1,GM15,"")</f>
        <v/>
      </c>
      <c r="GR15" s="713">
        <f>'min. Düngung 22'!BP16</f>
        <v>0</v>
      </c>
      <c r="GS15" s="938"/>
      <c r="GT15" s="938"/>
      <c r="GU15" s="938">
        <f>$B15*GR15</f>
        <v>0</v>
      </c>
      <c r="GV15" s="938">
        <f>GR15*GT$4</f>
        <v>0</v>
      </c>
      <c r="GW15" s="938">
        <f>GR15*GT$5</f>
        <v>0</v>
      </c>
      <c r="GX15" s="938">
        <f>IF(AND(GR$6=2,$F15=1,$H15=1),GV15,0)</f>
        <v>0</v>
      </c>
      <c r="GY15" s="938">
        <f>IF(GR$6=1,IF($I15=0,GV15,0),IF($G15&gt;1,GV15,GV15-GX15))</f>
        <v>0</v>
      </c>
      <c r="GZ15" s="938" t="str">
        <f>IF(GR$6=1,GV15,"")</f>
        <v/>
      </c>
      <c r="HA15" s="713">
        <f>'min. Düngung 22'!BS16</f>
        <v>0</v>
      </c>
      <c r="HB15" s="938"/>
      <c r="HC15" s="938"/>
      <c r="HD15" s="938">
        <f>$B15*HA15</f>
        <v>0</v>
      </c>
      <c r="HE15" s="938">
        <f>HA15*HC$4</f>
        <v>0</v>
      </c>
      <c r="HF15" s="938">
        <f>HA15*HC$5</f>
        <v>0</v>
      </c>
      <c r="HG15" s="938">
        <f>IF(AND(HA$6=2,$F15=1,$H15=1),HE15,0)</f>
        <v>0</v>
      </c>
      <c r="HH15" s="938">
        <f>IF(HA$6=1,IF($I15=0,HE15,0),IF($G15&gt;1,HE15,HE15-HG15))</f>
        <v>0</v>
      </c>
      <c r="HI15" s="938" t="str">
        <f>IF(HA$6=1,HE15,"")</f>
        <v/>
      </c>
      <c r="HJ15" s="713">
        <f>'min. Düngung 22'!BV16</f>
        <v>0</v>
      </c>
      <c r="HK15" s="938"/>
      <c r="HL15" s="938"/>
      <c r="HM15" s="938">
        <f>$B15*HJ15</f>
        <v>0</v>
      </c>
      <c r="HN15" s="938">
        <f>HJ15*HL$4</f>
        <v>0</v>
      </c>
      <c r="HO15" s="938">
        <f>HJ15*HL$5</f>
        <v>0</v>
      </c>
      <c r="HP15" s="938">
        <f>IF(AND(HJ$6=2,$F15=1,$H15=1),HN15,0)</f>
        <v>0</v>
      </c>
      <c r="HQ15" s="938">
        <f>IF(HJ$6=1,IF($I15=0,HN15,0),IF($G15&gt;1,HN15,HN15-HP15))</f>
        <v>0</v>
      </c>
      <c r="HR15" s="938" t="str">
        <f>IF(HJ$6=1,HN15,"")</f>
        <v/>
      </c>
      <c r="HS15" s="713">
        <f>'min. Düngung 22'!BY16</f>
        <v>0</v>
      </c>
      <c r="HT15" s="938"/>
      <c r="HU15" s="938"/>
      <c r="HV15" s="938">
        <f>$B15*HS15</f>
        <v>0</v>
      </c>
      <c r="HW15" s="938">
        <f>HS15*HU$4</f>
        <v>0</v>
      </c>
      <c r="HX15" s="938">
        <f>HS15*HU$5</f>
        <v>0</v>
      </c>
      <c r="HY15" s="938">
        <f>IF(AND(HS$6=2,$F15=1,$H15=1),HW15,0)</f>
        <v>0</v>
      </c>
      <c r="HZ15" s="938">
        <f>IF(HS$6=1,IF($I15=0,HW15,0),IF($G15&gt;1,HW15,HW15-HY15))</f>
        <v>0</v>
      </c>
      <c r="IA15" s="938" t="str">
        <f>IF(HS$6=1,HW15,"")</f>
        <v/>
      </c>
      <c r="IB15" s="713">
        <f>'min. Düngung 22'!CB16</f>
        <v>0</v>
      </c>
      <c r="IC15" s="938"/>
      <c r="ID15" s="938"/>
      <c r="IE15" s="938">
        <f>$B15*IB15</f>
        <v>0</v>
      </c>
      <c r="IF15" s="938">
        <f>IB15*ID$4</f>
        <v>0</v>
      </c>
      <c r="IG15" s="938">
        <f>IB15*ID$5</f>
        <v>0</v>
      </c>
      <c r="IH15" s="938">
        <f>IF(AND(IB$6=2,$F15=1,$H15=1),IF15,0)</f>
        <v>0</v>
      </c>
      <c r="II15" s="938">
        <f>IF(IB$6=1,IF($I15=0,IF15,0),IF($G15&gt;1,IF15,IF15-IH15))</f>
        <v>0</v>
      </c>
      <c r="IJ15" s="938" t="str">
        <f>IF(IB$6=1,IF15,"")</f>
        <v/>
      </c>
      <c r="IK15" s="713">
        <f>'min. Düngung 22'!CE16</f>
        <v>0</v>
      </c>
      <c r="IL15" s="938"/>
      <c r="IM15" s="938"/>
      <c r="IN15" s="938">
        <f>$B15*IK15</f>
        <v>0</v>
      </c>
      <c r="IO15" s="938">
        <f>IK15*IM$4</f>
        <v>0</v>
      </c>
      <c r="IP15" s="938">
        <f>IK15*IM$5</f>
        <v>0</v>
      </c>
      <c r="IQ15" s="938">
        <f>IF(AND(IK$6=2,$F15=1,$H15=1),IO15,0)</f>
        <v>0</v>
      </c>
      <c r="IR15" s="938">
        <f>IF(IK$6=1,IF($I15=0,IO15,0),IF($G15&gt;1,IO15,IO15-IQ15))</f>
        <v>0</v>
      </c>
      <c r="IS15" s="938" t="str">
        <f>IF(IK$6=1,IO15,"")</f>
        <v/>
      </c>
      <c r="IT15" s="713">
        <f>'min. Düngung 22'!CH16</f>
        <v>0</v>
      </c>
      <c r="IU15" s="938"/>
      <c r="IV15" s="938"/>
      <c r="IW15" s="938">
        <f>$B15*IT15</f>
        <v>0</v>
      </c>
      <c r="IX15" s="938">
        <f>IT15*IV$4</f>
        <v>0</v>
      </c>
      <c r="IY15" s="938">
        <f>IT15*IV$5</f>
        <v>0</v>
      </c>
      <c r="IZ15" s="938">
        <f>IF(AND(IT$6=2,$F15=1,$H15=1),IX15,0)</f>
        <v>0</v>
      </c>
      <c r="JA15" s="938">
        <f>IF(IT$6=1,IF($I15=0,IX15,0),IF($G15&gt;1,IX15,IX15-IZ15))</f>
        <v>0</v>
      </c>
      <c r="JB15" s="938" t="str">
        <f>IF(IT$6=1,IX15,"")</f>
        <v/>
      </c>
      <c r="JC15" s="713">
        <f>'min. Düngung 22'!CK16</f>
        <v>0</v>
      </c>
      <c r="JD15" s="938"/>
      <c r="JE15" s="938"/>
      <c r="JF15" s="938">
        <f>$B15*JC15</f>
        <v>0</v>
      </c>
      <c r="JG15" s="938">
        <f>JC15*JE$4</f>
        <v>0</v>
      </c>
      <c r="JH15" s="938">
        <f>JC15*JE$5</f>
        <v>0</v>
      </c>
      <c r="JI15" s="938">
        <f>IF(AND(JC$6=2,$F15=1,$H15=1),JG15,0)</f>
        <v>0</v>
      </c>
      <c r="JJ15" s="938">
        <f>IF(JC$6=1,IF($I15=0,JG15,0),IF($G15&gt;1,JG15,JG15-JI15))</f>
        <v>0</v>
      </c>
      <c r="JK15" s="938" t="str">
        <f>IF(JC$6=1,JG15,"")</f>
        <v/>
      </c>
      <c r="JL15" s="713">
        <f>'min. Düngung 22'!CN16</f>
        <v>0</v>
      </c>
      <c r="JM15" s="938"/>
      <c r="JN15" s="938"/>
      <c r="JO15" s="938">
        <f>$B15*JL15</f>
        <v>0</v>
      </c>
      <c r="JP15" s="938">
        <f>JL15*JN$4</f>
        <v>0</v>
      </c>
      <c r="JQ15" s="938">
        <f>JL15*JN$5</f>
        <v>0</v>
      </c>
      <c r="JR15" s="938">
        <f>IF(AND(JL$6=2,$F15=1,$H15=1),JP15,0)</f>
        <v>0</v>
      </c>
      <c r="JS15" s="938">
        <f>IF(JL$6=1,IF($I15=0,JP15,0),IF($G15&gt;1,JP15,JP15-JR15))</f>
        <v>0</v>
      </c>
      <c r="JT15" s="938" t="str">
        <f>IF(JL$6=1,JP15,"")</f>
        <v/>
      </c>
      <c r="JU15" s="713">
        <f>'min. Düngung 22'!CQ16</f>
        <v>0</v>
      </c>
      <c r="JV15" s="938"/>
      <c r="JW15" s="938"/>
      <c r="JX15" s="938">
        <f>$B15*JU15</f>
        <v>0</v>
      </c>
      <c r="JY15" s="938">
        <f>JU15*JW$4</f>
        <v>0</v>
      </c>
      <c r="JZ15" s="938">
        <f>JU15*JW$5</f>
        <v>0</v>
      </c>
      <c r="KA15" s="938">
        <f>IF(AND(JU$6=2,$F15=1,$H15=1),JY15,0)</f>
        <v>0</v>
      </c>
      <c r="KB15" s="938">
        <f>IF(JU$6=1,IF($I15=0,JY15,0),IF($G15&gt;1,JY15,JY15-KA15))</f>
        <v>0</v>
      </c>
      <c r="KC15" s="938" t="str">
        <f>IF(JU$6=1,JY15,"")</f>
        <v/>
      </c>
      <c r="KF15" s="938" t="str">
        <f>IF(AND($F15=2,$G15=1),"",IF(OR($Q15&gt;0,$O15&gt;60),$KF$7,IF(I15=70,"",IF(AND(I15=80,R15+'#orgDung'!AC18&lt;60,K15=1,OR(C15=2,'#BerechnungDBE'!AH9=4)),"",IF(R15&gt;0,$KF$7,"")))))</f>
        <v/>
      </c>
      <c r="KG15" s="938" t="str">
        <f>IF(AND(P15&gt;'#BerechnungDBE'!BJ9,P15&gt;0),'#minDung'!$KG$7,"")</f>
        <v/>
      </c>
      <c r="KH15" s="938" t="str">
        <f>IF(AND(I15=70,R15&gt;'#BerechnungDBE'!CR9),'#minDung'!$KH$7,"")</f>
        <v/>
      </c>
      <c r="KI15" s="938" t="str">
        <f>IF('#BerechnungDBE'!P9&lt;4,"",IF(AND('#BerechnungDBE'!BZ9&gt;0,N15&gt;0),$KI$7,""))</f>
        <v/>
      </c>
      <c r="KJ15" s="938" t="str">
        <f t="shared" si="5"/>
        <v/>
      </c>
    </row>
    <row r="16" spans="1:296" s="875" customFormat="1" x14ac:dyDescent="0.2">
      <c r="A16" s="875">
        <f>'Flächen u. Kulturen'!A15</f>
        <v>6</v>
      </c>
      <c r="B16" s="734">
        <f>'#BerechnungDBE'!L10</f>
        <v>0</v>
      </c>
      <c r="C16" s="46">
        <f>'#orgDung'!C19</f>
        <v>1</v>
      </c>
      <c r="D16" s="875">
        <f>'#BerechnungDBE'!T10</f>
        <v>2</v>
      </c>
      <c r="E16" s="875" t="str">
        <f>'Flächen u. Kulturen'!E15</f>
        <v>x</v>
      </c>
      <c r="F16" s="52">
        <f>'#BerechnungDBE'!N10</f>
        <v>1</v>
      </c>
      <c r="G16" s="52">
        <f>'#BerechnungDBE'!O10</f>
        <v>1</v>
      </c>
      <c r="H16" s="505">
        <f>'#orgDung'!J19</f>
        <v>2</v>
      </c>
      <c r="I16" s="875">
        <f>'#BerechnungDBE'!AF10</f>
        <v>0</v>
      </c>
      <c r="J16" s="875">
        <f>'#orgDung'!M19</f>
        <v>0</v>
      </c>
      <c r="K16" s="875">
        <f>'#BerechnungDBE'!AG10</f>
        <v>0</v>
      </c>
      <c r="M16" s="875">
        <f t="shared" si="0"/>
        <v>0</v>
      </c>
      <c r="N16" s="875">
        <f t="shared" si="1"/>
        <v>0</v>
      </c>
      <c r="O16" s="875">
        <f t="shared" si="2"/>
        <v>0</v>
      </c>
      <c r="P16" s="875">
        <f t="shared" si="4"/>
        <v>0</v>
      </c>
      <c r="Q16" s="938">
        <f t="shared" si="6"/>
        <v>0</v>
      </c>
      <c r="R16" s="875">
        <f t="shared" si="3"/>
        <v>0</v>
      </c>
      <c r="T16" s="713">
        <f>'min. Düngung 22'!H17</f>
        <v>0</v>
      </c>
      <c r="W16" s="875">
        <f t="shared" ref="W16:W79" si="7">$B16*T16</f>
        <v>0</v>
      </c>
      <c r="X16" s="875">
        <f t="shared" ref="X16:X79" si="8">T16*V$4</f>
        <v>0</v>
      </c>
      <c r="Y16" s="875">
        <f t="shared" ref="Y16:Y79" si="9">T16*V$5</f>
        <v>0</v>
      </c>
      <c r="Z16" s="875">
        <f t="shared" ref="Z16:Z79" si="10">IF(AND(T$6=2,$F16=1,$H16=1),X16,0)</f>
        <v>0</v>
      </c>
      <c r="AA16" s="875">
        <f t="shared" ref="AA16:AA79" si="11">IF(T$6=1,IF($I16=0,X16,0),IF($G16&gt;1,X16,X16-Z16))</f>
        <v>0</v>
      </c>
      <c r="AB16" s="875" t="str">
        <f t="shared" ref="AB16:AB79" si="12">IF(T$6=1,X16,"")</f>
        <v/>
      </c>
      <c r="AC16" s="713">
        <f>'min. Düngung 22'!K17</f>
        <v>0</v>
      </c>
      <c r="AD16" s="938"/>
      <c r="AE16" s="938"/>
      <c r="AF16" s="938">
        <f t="shared" ref="AF16:AF79" si="13">$B16*AC16</f>
        <v>0</v>
      </c>
      <c r="AG16" s="938">
        <f t="shared" ref="AG16:AG79" si="14">AC16*AE$4</f>
        <v>0</v>
      </c>
      <c r="AH16" s="938">
        <f t="shared" ref="AH16:AH79" si="15">AC16*AE$5</f>
        <v>0</v>
      </c>
      <c r="AI16" s="938">
        <f t="shared" ref="AI16:AI79" si="16">IF(AND(AC$6=2,$F16=1,$H16=1),AG16,0)</f>
        <v>0</v>
      </c>
      <c r="AJ16" s="938">
        <f t="shared" ref="AJ16:AJ79" si="17">IF(AC$6=1,IF($I16=0,AG16,0),IF($G16&gt;1,AG16,AG16-AI16))</f>
        <v>0</v>
      </c>
      <c r="AK16" s="938">
        <f t="shared" ref="AK16:AK79" si="18">IF(AC$6=1,AG16,"")</f>
        <v>0</v>
      </c>
      <c r="AL16" s="713">
        <f>'min. Düngung 22'!N17</f>
        <v>0</v>
      </c>
      <c r="AM16" s="938"/>
      <c r="AN16" s="938"/>
      <c r="AO16" s="938">
        <f t="shared" ref="AO16:AO79" si="19">$B16*AL16</f>
        <v>0</v>
      </c>
      <c r="AP16" s="938">
        <f t="shared" ref="AP16:AP79" si="20">AL16*AN$4</f>
        <v>0</v>
      </c>
      <c r="AQ16" s="938">
        <f t="shared" ref="AQ16:AQ79" si="21">AL16*AN$5</f>
        <v>0</v>
      </c>
      <c r="AR16" s="938">
        <f t="shared" ref="AR16:AR79" si="22">IF(AND(AL$6=2,$F16=1,$H16=1),AP16,0)</f>
        <v>0</v>
      </c>
      <c r="AS16" s="938">
        <f t="shared" ref="AS16:AS79" si="23">IF(AL$6=1,IF($I16=0,AP16,0),IF($G16&gt;1,AP16,AP16-AR16))</f>
        <v>0</v>
      </c>
      <c r="AT16" s="938" t="str">
        <f t="shared" ref="AT16:AT79" si="24">IF(AL$6=1,AP16,"")</f>
        <v/>
      </c>
      <c r="AU16" s="713">
        <f>'min. Düngung 22'!Q17</f>
        <v>0</v>
      </c>
      <c r="AV16" s="938"/>
      <c r="AW16" s="938"/>
      <c r="AX16" s="938">
        <f t="shared" ref="AX16:AX79" si="25">$B16*AU16</f>
        <v>0</v>
      </c>
      <c r="AY16" s="938">
        <f t="shared" ref="AY16:AY79" si="26">AU16*AW$4</f>
        <v>0</v>
      </c>
      <c r="AZ16" s="938">
        <f t="shared" ref="AZ16:AZ79" si="27">AU16*AW$5</f>
        <v>0</v>
      </c>
      <c r="BA16" s="938">
        <f t="shared" ref="BA16:BA79" si="28">IF(AND(AU$6=2,$F16=1,$H16=1),AY16,0)</f>
        <v>0</v>
      </c>
      <c r="BB16" s="938">
        <f t="shared" ref="BB16:BB79" si="29">IF(AU$6=1,IF($I16=0,AY16,0),IF($G16&gt;1,AY16,AY16-BA16))</f>
        <v>0</v>
      </c>
      <c r="BC16" s="938" t="str">
        <f t="shared" ref="BC16:BC79" si="30">IF(AU$6=1,AY16,"")</f>
        <v/>
      </c>
      <c r="BD16" s="713">
        <f>'min. Düngung 22'!T17</f>
        <v>0</v>
      </c>
      <c r="BE16" s="938"/>
      <c r="BF16" s="938"/>
      <c r="BG16" s="938">
        <f t="shared" ref="BG16:BG79" si="31">$B16*BD16</f>
        <v>0</v>
      </c>
      <c r="BH16" s="938">
        <f t="shared" ref="BH16:BH79" si="32">BD16*BF$4</f>
        <v>0</v>
      </c>
      <c r="BI16" s="938">
        <f t="shared" ref="BI16:BI79" si="33">BD16*BF$5</f>
        <v>0</v>
      </c>
      <c r="BJ16" s="938">
        <f t="shared" ref="BJ16:BJ79" si="34">IF(AND(BD$6=2,$F16=1,$H16=1),BH16,0)</f>
        <v>0</v>
      </c>
      <c r="BK16" s="938">
        <f t="shared" ref="BK16:BK79" si="35">IF(BD$6=1,IF($I16=0,BH16,0),IF($G16&gt;1,BH16,BH16-BJ16))</f>
        <v>0</v>
      </c>
      <c r="BL16" s="938" t="str">
        <f t="shared" ref="BL16:BL79" si="36">IF(BD$6=1,BH16,"")</f>
        <v/>
      </c>
      <c r="BM16" s="713">
        <f>'min. Düngung 22'!W17</f>
        <v>0</v>
      </c>
      <c r="BN16" s="938"/>
      <c r="BO16" s="938"/>
      <c r="BP16" s="938">
        <f t="shared" ref="BP16:BP79" si="37">$B16*BM16</f>
        <v>0</v>
      </c>
      <c r="BQ16" s="938">
        <f t="shared" ref="BQ16:BQ79" si="38">BM16*BO$4</f>
        <v>0</v>
      </c>
      <c r="BR16" s="938">
        <f t="shared" ref="BR16:BR79" si="39">BM16*BO$5</f>
        <v>0</v>
      </c>
      <c r="BS16" s="938">
        <f t="shared" ref="BS16:BS79" si="40">IF(AND(BM$6=2,$F16=1,$H16=1),BQ16,0)</f>
        <v>0</v>
      </c>
      <c r="BT16" s="938">
        <f t="shared" ref="BT16:BT79" si="41">IF(BM$6=1,IF($I16=0,BQ16,0),IF($G16&gt;1,BQ16,BQ16-BS16))</f>
        <v>0</v>
      </c>
      <c r="BU16" s="938" t="str">
        <f t="shared" ref="BU16:BU79" si="42">IF(BM$6=1,BQ16,"")</f>
        <v/>
      </c>
      <c r="BV16" s="713">
        <f>'min. Düngung 22'!Z17</f>
        <v>0</v>
      </c>
      <c r="BW16" s="938"/>
      <c r="BX16" s="938"/>
      <c r="BY16" s="938">
        <f t="shared" ref="BY16:BY79" si="43">$B16*BV16</f>
        <v>0</v>
      </c>
      <c r="BZ16" s="938">
        <f t="shared" ref="BZ16:BZ79" si="44">BV16*BX$4</f>
        <v>0</v>
      </c>
      <c r="CA16" s="938">
        <f t="shared" ref="CA16:CA79" si="45">BV16*BX$5</f>
        <v>0</v>
      </c>
      <c r="CB16" s="938">
        <f t="shared" ref="CB16:CB79" si="46">IF(AND(BV$6=2,$F16=1,$H16=1),BZ16,0)</f>
        <v>0</v>
      </c>
      <c r="CC16" s="938">
        <f t="shared" ref="CC16:CC79" si="47">IF(BV$6=1,IF($I16=0,BZ16,0),IF($G16&gt;1,BZ16,BZ16-CB16))</f>
        <v>0</v>
      </c>
      <c r="CD16" s="938" t="str">
        <f t="shared" ref="CD16:CD79" si="48">IF(BV$6=1,BZ16,"")</f>
        <v/>
      </c>
      <c r="CE16" s="713">
        <f>'min. Düngung 22'!AC17</f>
        <v>0</v>
      </c>
      <c r="CF16" s="938"/>
      <c r="CG16" s="938"/>
      <c r="CH16" s="938">
        <f t="shared" ref="CH16:CH79" si="49">$B16*CE16</f>
        <v>0</v>
      </c>
      <c r="CI16" s="938">
        <f t="shared" ref="CI16:CI79" si="50">CE16*CG$4</f>
        <v>0</v>
      </c>
      <c r="CJ16" s="938">
        <f t="shared" ref="CJ16:CJ79" si="51">CE16*CG$5</f>
        <v>0</v>
      </c>
      <c r="CK16" s="938">
        <f t="shared" ref="CK16:CK79" si="52">IF(AND(CE$6=2,$F16=1,$H16=1),CI16,0)</f>
        <v>0</v>
      </c>
      <c r="CL16" s="938">
        <f t="shared" ref="CL16:CL79" si="53">IF(CE$6=1,IF($I16=0,CI16,0),IF($G16&gt;1,CI16,CI16-CK16))</f>
        <v>0</v>
      </c>
      <c r="CM16" s="938" t="str">
        <f t="shared" ref="CM16:CM79" si="54">IF(CE$6=1,CI16,"")</f>
        <v/>
      </c>
      <c r="CN16" s="713">
        <f>'min. Düngung 22'!AF17</f>
        <v>0</v>
      </c>
      <c r="CO16" s="938"/>
      <c r="CP16" s="938"/>
      <c r="CQ16" s="938">
        <f t="shared" ref="CQ16:CQ79" si="55">$B16*CN16</f>
        <v>0</v>
      </c>
      <c r="CR16" s="938">
        <f t="shared" ref="CR16:CR79" si="56">CN16*CP$4</f>
        <v>0</v>
      </c>
      <c r="CS16" s="938">
        <f t="shared" ref="CS16:CS79" si="57">CN16*CP$5</f>
        <v>0</v>
      </c>
      <c r="CT16" s="938">
        <f t="shared" ref="CT16:CT79" si="58">IF(AND(CN$6=2,$F16=1,$H16=1),CR16,0)</f>
        <v>0</v>
      </c>
      <c r="CU16" s="938">
        <f t="shared" ref="CU16:CU79" si="59">IF(CN$6=1,IF($I16=0,CR16,0),IF($G16&gt;1,CR16,CR16-CT16))</f>
        <v>0</v>
      </c>
      <c r="CV16" s="938" t="str">
        <f t="shared" ref="CV16:CV79" si="60">IF(CN$6=1,CR16,"")</f>
        <v/>
      </c>
      <c r="CW16" s="713">
        <f>'min. Düngung 22'!AI17</f>
        <v>0</v>
      </c>
      <c r="CX16" s="938"/>
      <c r="CY16" s="938"/>
      <c r="CZ16" s="938">
        <f t="shared" ref="CZ16:CZ79" si="61">$B16*CW16</f>
        <v>0</v>
      </c>
      <c r="DA16" s="938">
        <f t="shared" ref="DA16:DA79" si="62">CW16*CY$4</f>
        <v>0</v>
      </c>
      <c r="DB16" s="938">
        <f t="shared" ref="DB16:DB79" si="63">CW16*CY$5</f>
        <v>0</v>
      </c>
      <c r="DC16" s="938">
        <f t="shared" ref="DC16:DC79" si="64">IF(AND(CW$6=2,$F16=1,$H16=1),DA16,0)</f>
        <v>0</v>
      </c>
      <c r="DD16" s="938">
        <f t="shared" ref="DD16:DD79" si="65">IF(CW$6=1,IF($I16=0,DA16,0),IF($G16&gt;1,DA16,DA16-DC16))</f>
        <v>0</v>
      </c>
      <c r="DE16" s="938" t="str">
        <f t="shared" ref="DE16:DE79" si="66">IF(CW$6=1,DA16,"")</f>
        <v/>
      </c>
      <c r="DF16" s="713">
        <f>'min. Düngung 22'!AL17</f>
        <v>0</v>
      </c>
      <c r="DG16" s="938"/>
      <c r="DH16" s="938"/>
      <c r="DI16" s="938">
        <f t="shared" ref="DI16:DI79" si="67">$B16*DF16</f>
        <v>0</v>
      </c>
      <c r="DJ16" s="938">
        <f t="shared" ref="DJ16:DJ79" si="68">DF16*DH$4</f>
        <v>0</v>
      </c>
      <c r="DK16" s="938">
        <f t="shared" ref="DK16:DK79" si="69">DF16*DH$5</f>
        <v>0</v>
      </c>
      <c r="DL16" s="938">
        <f t="shared" ref="DL16:DL79" si="70">IF(AND(DF$6=2,$F16=1,$H16=1),DJ16,0)</f>
        <v>0</v>
      </c>
      <c r="DM16" s="938">
        <f t="shared" ref="DM16:DM79" si="71">IF(DF$6=1,IF($I16=0,DJ16,0),IF($G16&gt;1,DJ16,DJ16-DL16))</f>
        <v>0</v>
      </c>
      <c r="DN16" s="938" t="str">
        <f t="shared" ref="DN16:DN79" si="72">IF(DF$6=1,DJ16,"")</f>
        <v/>
      </c>
      <c r="DO16" s="713">
        <f>'min. Düngung 22'!AO17</f>
        <v>0</v>
      </c>
      <c r="DP16" s="938"/>
      <c r="DQ16" s="938"/>
      <c r="DR16" s="938">
        <f t="shared" ref="DR16:DR79" si="73">$B16*DO16</f>
        <v>0</v>
      </c>
      <c r="DS16" s="938">
        <f t="shared" ref="DS16:DS79" si="74">DO16*DQ$4</f>
        <v>0</v>
      </c>
      <c r="DT16" s="938">
        <f t="shared" ref="DT16:DT79" si="75">DO16*DQ$5</f>
        <v>0</v>
      </c>
      <c r="DU16" s="938">
        <f t="shared" ref="DU16:DU79" si="76">IF(AND(DO$6=2,$F16=1,$H16=1),DS16,0)</f>
        <v>0</v>
      </c>
      <c r="DV16" s="938">
        <f t="shared" ref="DV16:DV79" si="77">IF(DO$6=1,IF($I16=0,DS16,0),IF($G16&gt;1,DS16,DS16-DU16))</f>
        <v>0</v>
      </c>
      <c r="DW16" s="938" t="str">
        <f t="shared" ref="DW16:DW79" si="78">IF(DO$6=1,DS16,"")</f>
        <v/>
      </c>
      <c r="DX16" s="713">
        <f>'min. Düngung 22'!AR17</f>
        <v>0</v>
      </c>
      <c r="DY16" s="938"/>
      <c r="DZ16" s="938"/>
      <c r="EA16" s="938">
        <f t="shared" ref="EA16:EA79" si="79">$B16*DX16</f>
        <v>0</v>
      </c>
      <c r="EB16" s="938">
        <f t="shared" ref="EB16:EB79" si="80">DX16*DZ$4</f>
        <v>0</v>
      </c>
      <c r="EC16" s="938">
        <f t="shared" ref="EC16:EC79" si="81">DX16*DZ$5</f>
        <v>0</v>
      </c>
      <c r="ED16" s="938">
        <f t="shared" ref="ED16:ED79" si="82">IF(AND(DX$6=2,$F16=1,$H16=1),EB16,0)</f>
        <v>0</v>
      </c>
      <c r="EE16" s="938">
        <f t="shared" ref="EE16:EE79" si="83">IF(DX$6=1,IF($I16=0,EB16,0),IF($G16&gt;1,EB16,EB16-ED16))</f>
        <v>0</v>
      </c>
      <c r="EF16" s="938" t="str">
        <f t="shared" ref="EF16:EF79" si="84">IF(DX$6=1,EB16,"")</f>
        <v/>
      </c>
      <c r="EG16" s="713">
        <f>'min. Düngung 22'!AU17</f>
        <v>0</v>
      </c>
      <c r="EH16" s="938"/>
      <c r="EI16" s="938"/>
      <c r="EJ16" s="938">
        <f t="shared" ref="EJ16:EJ79" si="85">$B16*EG16</f>
        <v>0</v>
      </c>
      <c r="EK16" s="938">
        <f t="shared" ref="EK16:EK79" si="86">EG16*EI$4</f>
        <v>0</v>
      </c>
      <c r="EL16" s="938">
        <f t="shared" ref="EL16:EL79" si="87">EG16*EI$5</f>
        <v>0</v>
      </c>
      <c r="EM16" s="938">
        <f t="shared" ref="EM16:EM79" si="88">IF(AND(EG$6=2,$F16=1,$H16=1),EK16,0)</f>
        <v>0</v>
      </c>
      <c r="EN16" s="938">
        <f t="shared" ref="EN16:EN79" si="89">IF(EG$6=1,IF($I16=0,EK16,0),IF($G16&gt;1,EK16,EK16-EM16))</f>
        <v>0</v>
      </c>
      <c r="EO16" s="938" t="str">
        <f t="shared" ref="EO16:EO79" si="90">IF(EG$6=1,EK16,"")</f>
        <v/>
      </c>
      <c r="EP16" s="713">
        <f>'min. Düngung 22'!AX17</f>
        <v>0</v>
      </c>
      <c r="EQ16" s="938"/>
      <c r="ER16" s="938"/>
      <c r="ES16" s="938">
        <f t="shared" ref="ES16:ES79" si="91">$B16*EP16</f>
        <v>0</v>
      </c>
      <c r="ET16" s="938">
        <f t="shared" ref="ET16:ET79" si="92">EP16*ER$4</f>
        <v>0</v>
      </c>
      <c r="EU16" s="938">
        <f t="shared" ref="EU16:EU79" si="93">EP16*ER$5</f>
        <v>0</v>
      </c>
      <c r="EV16" s="938">
        <f t="shared" ref="EV16:EV79" si="94">IF(AND(EP$6=2,$F16=1,$H16=1),ET16,0)</f>
        <v>0</v>
      </c>
      <c r="EW16" s="938">
        <f t="shared" ref="EW16:EW79" si="95">IF(EP$6=1,IF($I16=0,ET16,0),IF($G16&gt;1,ET16,ET16-EV16))</f>
        <v>0</v>
      </c>
      <c r="EX16" s="938" t="str">
        <f t="shared" ref="EX16:EX79" si="96">IF(EP$6=1,ET16,"")</f>
        <v/>
      </c>
      <c r="EY16" s="713">
        <f>'min. Düngung 22'!BA17</f>
        <v>0</v>
      </c>
      <c r="EZ16" s="938"/>
      <c r="FA16" s="938"/>
      <c r="FB16" s="938">
        <f t="shared" ref="FB16:FB79" si="97">$B16*EY16</f>
        <v>0</v>
      </c>
      <c r="FC16" s="938">
        <f t="shared" ref="FC16:FC79" si="98">EY16*FA$4</f>
        <v>0</v>
      </c>
      <c r="FD16" s="938">
        <f t="shared" ref="FD16:FD79" si="99">EY16*FA$5</f>
        <v>0</v>
      </c>
      <c r="FE16" s="938">
        <f t="shared" ref="FE16:FE79" si="100">IF(AND(EY$6=2,$F16=1,$H16=1),FC16,0)</f>
        <v>0</v>
      </c>
      <c r="FF16" s="938">
        <f t="shared" ref="FF16:FF79" si="101">IF(EY$6=1,IF($I16=0,FC16,0),IF($G16&gt;1,FC16,FC16-FE16))</f>
        <v>0</v>
      </c>
      <c r="FG16" s="938" t="str">
        <f t="shared" ref="FG16:FG79" si="102">IF(EY$6=1,FC16,"")</f>
        <v/>
      </c>
      <c r="FH16" s="713">
        <f>'min. Düngung 22'!BD17</f>
        <v>0</v>
      </c>
      <c r="FI16" s="938"/>
      <c r="FJ16" s="938"/>
      <c r="FK16" s="938">
        <f t="shared" ref="FK16:FK79" si="103">$B16*FH16</f>
        <v>0</v>
      </c>
      <c r="FL16" s="938">
        <f t="shared" ref="FL16:FL79" si="104">FH16*FJ$4</f>
        <v>0</v>
      </c>
      <c r="FM16" s="938">
        <f t="shared" ref="FM16:FM79" si="105">FH16*FJ$5</f>
        <v>0</v>
      </c>
      <c r="FN16" s="938">
        <f t="shared" ref="FN16:FN79" si="106">IF(AND(FH$6=2,$F16=1,$H16=1),FL16,0)</f>
        <v>0</v>
      </c>
      <c r="FO16" s="938">
        <f t="shared" ref="FO16:FO79" si="107">IF(FH$6=1,IF($I16=0,FL16,0),IF($G16&gt;1,FL16,FL16-FN16))</f>
        <v>0</v>
      </c>
      <c r="FP16" s="938" t="str">
        <f t="shared" ref="FP16:FP79" si="108">IF(FH$6=1,FL16,"")</f>
        <v/>
      </c>
      <c r="FQ16" s="713">
        <f>'min. Düngung 22'!BG17</f>
        <v>0</v>
      </c>
      <c r="FR16" s="938"/>
      <c r="FS16" s="938"/>
      <c r="FT16" s="938">
        <f t="shared" ref="FT16:FT79" si="109">$B16*FQ16</f>
        <v>0</v>
      </c>
      <c r="FU16" s="938">
        <f t="shared" ref="FU16:FU79" si="110">FQ16*FS$4</f>
        <v>0</v>
      </c>
      <c r="FV16" s="938">
        <f t="shared" ref="FV16:FV79" si="111">FQ16*FS$5</f>
        <v>0</v>
      </c>
      <c r="FW16" s="938">
        <f t="shared" ref="FW16:FW79" si="112">IF(AND(FQ$6=2,$F16=1,$H16=1),FU16,0)</f>
        <v>0</v>
      </c>
      <c r="FX16" s="938">
        <f t="shared" ref="FX16:FX79" si="113">IF(FQ$6=1,IF($I16=0,FU16,0),IF($G16&gt;1,FU16,FU16-FW16))</f>
        <v>0</v>
      </c>
      <c r="FY16" s="938" t="str">
        <f t="shared" ref="FY16:FY79" si="114">IF(FQ$6=1,FU16,"")</f>
        <v/>
      </c>
      <c r="FZ16" s="713">
        <f>'min. Düngung 22'!BJ17</f>
        <v>0</v>
      </c>
      <c r="GA16" s="938"/>
      <c r="GB16" s="938"/>
      <c r="GC16" s="938">
        <f t="shared" ref="GC16:GC79" si="115">$B16*FZ16</f>
        <v>0</v>
      </c>
      <c r="GD16" s="938">
        <f t="shared" ref="GD16:GD79" si="116">FZ16*GB$4</f>
        <v>0</v>
      </c>
      <c r="GE16" s="938">
        <f t="shared" ref="GE16:GE79" si="117">FZ16*GB$5</f>
        <v>0</v>
      </c>
      <c r="GF16" s="938">
        <f t="shared" ref="GF16:GF79" si="118">IF(AND(FZ$6=2,$F16=1,$H16=1),GD16,0)</f>
        <v>0</v>
      </c>
      <c r="GG16" s="938">
        <f t="shared" ref="GG16:GG79" si="119">IF(FZ$6=1,IF($I16=0,GD16,0),IF($G16&gt;1,GD16,GD16-GF16))</f>
        <v>0</v>
      </c>
      <c r="GH16" s="938" t="str">
        <f t="shared" ref="GH16:GH79" si="120">IF(FZ$6=1,GD16,"")</f>
        <v/>
      </c>
      <c r="GI16" s="713">
        <f>'min. Düngung 22'!BM17</f>
        <v>0</v>
      </c>
      <c r="GJ16" s="938"/>
      <c r="GK16" s="938"/>
      <c r="GL16" s="938">
        <f t="shared" ref="GL16:GL79" si="121">$B16*GI16</f>
        <v>0</v>
      </c>
      <c r="GM16" s="938">
        <f t="shared" ref="GM16:GM79" si="122">GI16*GK$4</f>
        <v>0</v>
      </c>
      <c r="GN16" s="938">
        <f t="shared" ref="GN16:GN79" si="123">GI16*GK$5</f>
        <v>0</v>
      </c>
      <c r="GO16" s="938">
        <f t="shared" ref="GO16:GO79" si="124">IF(AND(GI$6=2,$F16=1,$H16=1),GM16,0)</f>
        <v>0</v>
      </c>
      <c r="GP16" s="938">
        <f t="shared" ref="GP16:GP79" si="125">IF(GI$6=1,IF($I16=0,GM16,0),IF($G16&gt;1,GM16,GM16-GO16))</f>
        <v>0</v>
      </c>
      <c r="GQ16" s="938" t="str">
        <f t="shared" ref="GQ16:GQ79" si="126">IF(GI$6=1,GM16,"")</f>
        <v/>
      </c>
      <c r="GR16" s="713">
        <f>'min. Düngung 22'!BP17</f>
        <v>0</v>
      </c>
      <c r="GS16" s="938"/>
      <c r="GT16" s="938"/>
      <c r="GU16" s="938">
        <f t="shared" ref="GU16:GU79" si="127">$B16*GR16</f>
        <v>0</v>
      </c>
      <c r="GV16" s="938">
        <f t="shared" ref="GV16:GV79" si="128">GR16*GT$4</f>
        <v>0</v>
      </c>
      <c r="GW16" s="938">
        <f t="shared" ref="GW16:GW79" si="129">GR16*GT$5</f>
        <v>0</v>
      </c>
      <c r="GX16" s="938">
        <f t="shared" ref="GX16:GX79" si="130">IF(AND(GR$6=2,$F16=1,$H16=1),GV16,0)</f>
        <v>0</v>
      </c>
      <c r="GY16" s="938">
        <f t="shared" ref="GY16:GY79" si="131">IF(GR$6=1,IF($I16=0,GV16,0),IF($G16&gt;1,GV16,GV16-GX16))</f>
        <v>0</v>
      </c>
      <c r="GZ16" s="938" t="str">
        <f t="shared" ref="GZ16:GZ79" si="132">IF(GR$6=1,GV16,"")</f>
        <v/>
      </c>
      <c r="HA16" s="713">
        <f>'min. Düngung 22'!BS17</f>
        <v>0</v>
      </c>
      <c r="HB16" s="938"/>
      <c r="HC16" s="938"/>
      <c r="HD16" s="938">
        <f t="shared" ref="HD16:HD79" si="133">$B16*HA16</f>
        <v>0</v>
      </c>
      <c r="HE16" s="938">
        <f t="shared" ref="HE16:HE79" si="134">HA16*HC$4</f>
        <v>0</v>
      </c>
      <c r="HF16" s="938">
        <f t="shared" ref="HF16:HF79" si="135">HA16*HC$5</f>
        <v>0</v>
      </c>
      <c r="HG16" s="938">
        <f t="shared" ref="HG16:HG79" si="136">IF(AND(HA$6=2,$F16=1,$H16=1),HE16,0)</f>
        <v>0</v>
      </c>
      <c r="HH16" s="938">
        <f t="shared" ref="HH16:HH79" si="137">IF(HA$6=1,IF($I16=0,HE16,0),IF($G16&gt;1,HE16,HE16-HG16))</f>
        <v>0</v>
      </c>
      <c r="HI16" s="938" t="str">
        <f t="shared" ref="HI16:HI79" si="138">IF(HA$6=1,HE16,"")</f>
        <v/>
      </c>
      <c r="HJ16" s="713">
        <f>'min. Düngung 22'!BV17</f>
        <v>0</v>
      </c>
      <c r="HK16" s="938"/>
      <c r="HL16" s="938"/>
      <c r="HM16" s="938">
        <f t="shared" ref="HM16:HM79" si="139">$B16*HJ16</f>
        <v>0</v>
      </c>
      <c r="HN16" s="938">
        <f t="shared" ref="HN16:HN79" si="140">HJ16*HL$4</f>
        <v>0</v>
      </c>
      <c r="HO16" s="938">
        <f t="shared" ref="HO16:HO79" si="141">HJ16*HL$5</f>
        <v>0</v>
      </c>
      <c r="HP16" s="938">
        <f t="shared" ref="HP16:HP79" si="142">IF(AND(HJ$6=2,$F16=1,$H16=1),HN16,0)</f>
        <v>0</v>
      </c>
      <c r="HQ16" s="938">
        <f t="shared" ref="HQ16:HQ79" si="143">IF(HJ$6=1,IF($I16=0,HN16,0),IF($G16&gt;1,HN16,HN16-HP16))</f>
        <v>0</v>
      </c>
      <c r="HR16" s="938" t="str">
        <f t="shared" ref="HR16:HR79" si="144">IF(HJ$6=1,HN16,"")</f>
        <v/>
      </c>
      <c r="HS16" s="713">
        <f>'min. Düngung 22'!BY17</f>
        <v>0</v>
      </c>
      <c r="HT16" s="938"/>
      <c r="HU16" s="938"/>
      <c r="HV16" s="938">
        <f t="shared" ref="HV16:HV79" si="145">$B16*HS16</f>
        <v>0</v>
      </c>
      <c r="HW16" s="938">
        <f t="shared" ref="HW16:HW79" si="146">HS16*HU$4</f>
        <v>0</v>
      </c>
      <c r="HX16" s="938">
        <f t="shared" ref="HX16:HX79" si="147">HS16*HU$5</f>
        <v>0</v>
      </c>
      <c r="HY16" s="938">
        <f t="shared" ref="HY16:HY79" si="148">IF(AND(HS$6=2,$F16=1,$H16=1),HW16,0)</f>
        <v>0</v>
      </c>
      <c r="HZ16" s="938">
        <f t="shared" ref="HZ16:HZ79" si="149">IF(HS$6=1,IF($I16=0,HW16,0),IF($G16&gt;1,HW16,HW16-HY16))</f>
        <v>0</v>
      </c>
      <c r="IA16" s="938" t="str">
        <f t="shared" ref="IA16:IA79" si="150">IF(HS$6=1,HW16,"")</f>
        <v/>
      </c>
      <c r="IB16" s="713">
        <f>'min. Düngung 22'!CB17</f>
        <v>0</v>
      </c>
      <c r="IC16" s="938"/>
      <c r="ID16" s="938"/>
      <c r="IE16" s="938">
        <f t="shared" ref="IE16:IE79" si="151">$B16*IB16</f>
        <v>0</v>
      </c>
      <c r="IF16" s="938">
        <f t="shared" ref="IF16:IF79" si="152">IB16*ID$4</f>
        <v>0</v>
      </c>
      <c r="IG16" s="938">
        <f t="shared" ref="IG16:IG79" si="153">IB16*ID$5</f>
        <v>0</v>
      </c>
      <c r="IH16" s="938">
        <f t="shared" ref="IH16:IH79" si="154">IF(AND(IB$6=2,$F16=1,$H16=1),IF16,0)</f>
        <v>0</v>
      </c>
      <c r="II16" s="938">
        <f t="shared" ref="II16:II79" si="155">IF(IB$6=1,IF($I16=0,IF16,0),IF($G16&gt;1,IF16,IF16-IH16))</f>
        <v>0</v>
      </c>
      <c r="IJ16" s="938" t="str">
        <f t="shared" ref="IJ16:IJ79" si="156">IF(IB$6=1,IF16,"")</f>
        <v/>
      </c>
      <c r="IK16" s="713">
        <f>'min. Düngung 22'!CE17</f>
        <v>0</v>
      </c>
      <c r="IL16" s="938"/>
      <c r="IM16" s="938"/>
      <c r="IN16" s="938">
        <f t="shared" ref="IN16:IN79" si="157">$B16*IK16</f>
        <v>0</v>
      </c>
      <c r="IO16" s="938">
        <f t="shared" ref="IO16:IO79" si="158">IK16*IM$4</f>
        <v>0</v>
      </c>
      <c r="IP16" s="938">
        <f t="shared" ref="IP16:IP79" si="159">IK16*IM$5</f>
        <v>0</v>
      </c>
      <c r="IQ16" s="938">
        <f t="shared" ref="IQ16:IQ79" si="160">IF(AND(IK$6=2,$F16=1,$H16=1),IO16,0)</f>
        <v>0</v>
      </c>
      <c r="IR16" s="938">
        <f t="shared" ref="IR16:IR79" si="161">IF(IK$6=1,IF($I16=0,IO16,0),IF($G16&gt;1,IO16,IO16-IQ16))</f>
        <v>0</v>
      </c>
      <c r="IS16" s="938" t="str">
        <f t="shared" ref="IS16:IS79" si="162">IF(IK$6=1,IO16,"")</f>
        <v/>
      </c>
      <c r="IT16" s="713">
        <f>'min. Düngung 22'!CH17</f>
        <v>0</v>
      </c>
      <c r="IU16" s="938"/>
      <c r="IV16" s="938"/>
      <c r="IW16" s="938">
        <f t="shared" ref="IW16:IW79" si="163">$B16*IT16</f>
        <v>0</v>
      </c>
      <c r="IX16" s="938">
        <f t="shared" ref="IX16:IX79" si="164">IT16*IV$4</f>
        <v>0</v>
      </c>
      <c r="IY16" s="938">
        <f t="shared" ref="IY16:IY79" si="165">IT16*IV$5</f>
        <v>0</v>
      </c>
      <c r="IZ16" s="938">
        <f t="shared" ref="IZ16:IZ79" si="166">IF(AND(IT$6=2,$F16=1,$H16=1),IX16,0)</f>
        <v>0</v>
      </c>
      <c r="JA16" s="938">
        <f t="shared" ref="JA16:JA79" si="167">IF(IT$6=1,IF($I16=0,IX16,0),IF($G16&gt;1,IX16,IX16-IZ16))</f>
        <v>0</v>
      </c>
      <c r="JB16" s="938" t="str">
        <f t="shared" ref="JB16:JB79" si="168">IF(IT$6=1,IX16,"")</f>
        <v/>
      </c>
      <c r="JC16" s="713">
        <f>'min. Düngung 22'!CK17</f>
        <v>0</v>
      </c>
      <c r="JD16" s="938"/>
      <c r="JE16" s="938"/>
      <c r="JF16" s="938">
        <f t="shared" ref="JF16:JF79" si="169">$B16*JC16</f>
        <v>0</v>
      </c>
      <c r="JG16" s="938">
        <f t="shared" ref="JG16:JG79" si="170">JC16*JE$4</f>
        <v>0</v>
      </c>
      <c r="JH16" s="938">
        <f t="shared" ref="JH16:JH79" si="171">JC16*JE$5</f>
        <v>0</v>
      </c>
      <c r="JI16" s="938">
        <f t="shared" ref="JI16:JI79" si="172">IF(AND(JC$6=2,$F16=1,$H16=1),JG16,0)</f>
        <v>0</v>
      </c>
      <c r="JJ16" s="938">
        <f t="shared" ref="JJ16:JJ79" si="173">IF(JC$6=1,IF($I16=0,JG16,0),IF($G16&gt;1,JG16,JG16-JI16))</f>
        <v>0</v>
      </c>
      <c r="JK16" s="938" t="str">
        <f t="shared" ref="JK16:JK79" si="174">IF(JC$6=1,JG16,"")</f>
        <v/>
      </c>
      <c r="JL16" s="713">
        <f>'min. Düngung 22'!CN17</f>
        <v>0</v>
      </c>
      <c r="JM16" s="938"/>
      <c r="JN16" s="938"/>
      <c r="JO16" s="938">
        <f t="shared" ref="JO16:JO79" si="175">$B16*JL16</f>
        <v>0</v>
      </c>
      <c r="JP16" s="938">
        <f t="shared" ref="JP16:JP79" si="176">JL16*JN$4</f>
        <v>0</v>
      </c>
      <c r="JQ16" s="938">
        <f t="shared" ref="JQ16:JQ79" si="177">JL16*JN$5</f>
        <v>0</v>
      </c>
      <c r="JR16" s="938">
        <f t="shared" ref="JR16:JR79" si="178">IF(AND(JL$6=2,$F16=1,$H16=1),JP16,0)</f>
        <v>0</v>
      </c>
      <c r="JS16" s="938">
        <f t="shared" ref="JS16:JS79" si="179">IF(JL$6=1,IF($I16=0,JP16,0),IF($G16&gt;1,JP16,JP16-JR16))</f>
        <v>0</v>
      </c>
      <c r="JT16" s="938" t="str">
        <f t="shared" ref="JT16:JT79" si="180">IF(JL$6=1,JP16,"")</f>
        <v/>
      </c>
      <c r="JU16" s="713">
        <f>'min. Düngung 22'!CQ17</f>
        <v>0</v>
      </c>
      <c r="JV16" s="938"/>
      <c r="JW16" s="938"/>
      <c r="JX16" s="938">
        <f t="shared" ref="JX16:JX79" si="181">$B16*JU16</f>
        <v>0</v>
      </c>
      <c r="JY16" s="938">
        <f t="shared" ref="JY16:JY79" si="182">JU16*JW$4</f>
        <v>0</v>
      </c>
      <c r="JZ16" s="938">
        <f t="shared" ref="JZ16:JZ79" si="183">JU16*JW$5</f>
        <v>0</v>
      </c>
      <c r="KA16" s="938">
        <f t="shared" ref="KA16:KA79" si="184">IF(AND(JU$6=2,$F16=1,$H16=1),JY16,0)</f>
        <v>0</v>
      </c>
      <c r="KB16" s="938">
        <f t="shared" ref="KB16:KB79" si="185">IF(JU$6=1,IF($I16=0,JY16,0),IF($G16&gt;1,JY16,JY16-KA16))</f>
        <v>0</v>
      </c>
      <c r="KC16" s="938" t="str">
        <f t="shared" ref="KC16:KC79" si="186">IF(JU$6=1,JY16,"")</f>
        <v/>
      </c>
      <c r="KE16" s="938"/>
      <c r="KF16" s="938" t="str">
        <f>IF(AND($F16=2,$G16=1),"",IF(OR($Q16&gt;0,$O16&gt;60),$KF$7,IF(I16=70,"",IF(AND(I16=80,R16+'#orgDung'!AC19&lt;60,K16=1,OR(C16=2,'#BerechnungDBE'!AH10=4)),"",IF(R16&gt;0,$KF$7,"")))))</f>
        <v/>
      </c>
      <c r="KG16" s="938" t="str">
        <f>IF(AND(P16&gt;'#BerechnungDBE'!BJ10,P16&gt;0),'#minDung'!$KG$7,"")</f>
        <v/>
      </c>
      <c r="KH16" s="938" t="str">
        <f>IF(AND(I16=70,R16&gt;'#BerechnungDBE'!CR10),'#minDung'!$KH$7,"")</f>
        <v/>
      </c>
      <c r="KI16" s="938" t="str">
        <f>IF('#BerechnungDBE'!P10&lt;4,"",IF(AND('#BerechnungDBE'!BZ10&gt;0,N16&gt;0),$KI$7,""))</f>
        <v/>
      </c>
      <c r="KJ16" s="938" t="str">
        <f t="shared" si="5"/>
        <v/>
      </c>
    </row>
    <row r="17" spans="1:296" s="875" customFormat="1" x14ac:dyDescent="0.2">
      <c r="A17" s="875">
        <f>'Flächen u. Kulturen'!A16</f>
        <v>7</v>
      </c>
      <c r="B17" s="734">
        <f>'#BerechnungDBE'!L11</f>
        <v>0</v>
      </c>
      <c r="C17" s="46">
        <f>'#orgDung'!C20</f>
        <v>1</v>
      </c>
      <c r="D17" s="875">
        <f>'#BerechnungDBE'!T11</f>
        <v>2</v>
      </c>
      <c r="E17" s="875" t="str">
        <f>'Flächen u. Kulturen'!E16</f>
        <v>x</v>
      </c>
      <c r="F17" s="52">
        <f>'#BerechnungDBE'!N11</f>
        <v>1</v>
      </c>
      <c r="G17" s="52">
        <f>'#BerechnungDBE'!O11</f>
        <v>1</v>
      </c>
      <c r="H17" s="505">
        <f>'#orgDung'!J20</f>
        <v>2</v>
      </c>
      <c r="I17" s="875">
        <f>'#BerechnungDBE'!AF11</f>
        <v>0</v>
      </c>
      <c r="J17" s="875">
        <f>'#orgDung'!M20</f>
        <v>0</v>
      </c>
      <c r="K17" s="875">
        <f>'#BerechnungDBE'!AG11</f>
        <v>0</v>
      </c>
      <c r="M17" s="875">
        <f t="shared" si="0"/>
        <v>0</v>
      </c>
      <c r="N17" s="875">
        <f t="shared" si="1"/>
        <v>0</v>
      </c>
      <c r="O17" s="875">
        <f t="shared" si="2"/>
        <v>0</v>
      </c>
      <c r="P17" s="875">
        <f t="shared" si="4"/>
        <v>0</v>
      </c>
      <c r="Q17" s="938">
        <f t="shared" si="6"/>
        <v>0</v>
      </c>
      <c r="R17" s="875">
        <f t="shared" si="3"/>
        <v>0</v>
      </c>
      <c r="T17" s="713">
        <f>'min. Düngung 22'!H18</f>
        <v>0</v>
      </c>
      <c r="W17" s="875">
        <f t="shared" si="7"/>
        <v>0</v>
      </c>
      <c r="X17" s="875">
        <f t="shared" si="8"/>
        <v>0</v>
      </c>
      <c r="Y17" s="875">
        <f t="shared" si="9"/>
        <v>0</v>
      </c>
      <c r="Z17" s="875">
        <f t="shared" si="10"/>
        <v>0</v>
      </c>
      <c r="AA17" s="875">
        <f t="shared" si="11"/>
        <v>0</v>
      </c>
      <c r="AB17" s="875" t="str">
        <f t="shared" si="12"/>
        <v/>
      </c>
      <c r="AC17" s="713">
        <f>'min. Düngung 22'!K18</f>
        <v>0</v>
      </c>
      <c r="AD17" s="938"/>
      <c r="AE17" s="938"/>
      <c r="AF17" s="938">
        <f t="shared" si="13"/>
        <v>0</v>
      </c>
      <c r="AG17" s="938">
        <f t="shared" si="14"/>
        <v>0</v>
      </c>
      <c r="AH17" s="938">
        <f t="shared" si="15"/>
        <v>0</v>
      </c>
      <c r="AI17" s="938">
        <f t="shared" si="16"/>
        <v>0</v>
      </c>
      <c r="AJ17" s="938">
        <f t="shared" si="17"/>
        <v>0</v>
      </c>
      <c r="AK17" s="938">
        <f t="shared" si="18"/>
        <v>0</v>
      </c>
      <c r="AL17" s="713">
        <f>'min. Düngung 22'!N18</f>
        <v>0</v>
      </c>
      <c r="AM17" s="938"/>
      <c r="AN17" s="938"/>
      <c r="AO17" s="938">
        <f t="shared" si="19"/>
        <v>0</v>
      </c>
      <c r="AP17" s="938">
        <f t="shared" si="20"/>
        <v>0</v>
      </c>
      <c r="AQ17" s="938">
        <f t="shared" si="21"/>
        <v>0</v>
      </c>
      <c r="AR17" s="938">
        <f t="shared" si="22"/>
        <v>0</v>
      </c>
      <c r="AS17" s="938">
        <f t="shared" si="23"/>
        <v>0</v>
      </c>
      <c r="AT17" s="938" t="str">
        <f t="shared" si="24"/>
        <v/>
      </c>
      <c r="AU17" s="713">
        <f>'min. Düngung 22'!Q18</f>
        <v>0</v>
      </c>
      <c r="AV17" s="938"/>
      <c r="AW17" s="938"/>
      <c r="AX17" s="938">
        <f t="shared" si="25"/>
        <v>0</v>
      </c>
      <c r="AY17" s="938">
        <f t="shared" si="26"/>
        <v>0</v>
      </c>
      <c r="AZ17" s="938">
        <f t="shared" si="27"/>
        <v>0</v>
      </c>
      <c r="BA17" s="938">
        <f t="shared" si="28"/>
        <v>0</v>
      </c>
      <c r="BB17" s="938">
        <f t="shared" si="29"/>
        <v>0</v>
      </c>
      <c r="BC17" s="938" t="str">
        <f t="shared" si="30"/>
        <v/>
      </c>
      <c r="BD17" s="713">
        <f>'min. Düngung 22'!T18</f>
        <v>0</v>
      </c>
      <c r="BE17" s="938"/>
      <c r="BF17" s="938"/>
      <c r="BG17" s="938">
        <f t="shared" si="31"/>
        <v>0</v>
      </c>
      <c r="BH17" s="938">
        <f t="shared" si="32"/>
        <v>0</v>
      </c>
      <c r="BI17" s="938">
        <f t="shared" si="33"/>
        <v>0</v>
      </c>
      <c r="BJ17" s="938">
        <f t="shared" si="34"/>
        <v>0</v>
      </c>
      <c r="BK17" s="938">
        <f t="shared" si="35"/>
        <v>0</v>
      </c>
      <c r="BL17" s="938" t="str">
        <f t="shared" si="36"/>
        <v/>
      </c>
      <c r="BM17" s="713">
        <f>'min. Düngung 22'!W18</f>
        <v>0</v>
      </c>
      <c r="BN17" s="938"/>
      <c r="BO17" s="938"/>
      <c r="BP17" s="938">
        <f t="shared" si="37"/>
        <v>0</v>
      </c>
      <c r="BQ17" s="938">
        <f t="shared" si="38"/>
        <v>0</v>
      </c>
      <c r="BR17" s="938">
        <f t="shared" si="39"/>
        <v>0</v>
      </c>
      <c r="BS17" s="938">
        <f t="shared" si="40"/>
        <v>0</v>
      </c>
      <c r="BT17" s="938">
        <f t="shared" si="41"/>
        <v>0</v>
      </c>
      <c r="BU17" s="938" t="str">
        <f t="shared" si="42"/>
        <v/>
      </c>
      <c r="BV17" s="713">
        <f>'min. Düngung 22'!Z18</f>
        <v>0</v>
      </c>
      <c r="BW17" s="938"/>
      <c r="BX17" s="938"/>
      <c r="BY17" s="938">
        <f t="shared" si="43"/>
        <v>0</v>
      </c>
      <c r="BZ17" s="938">
        <f t="shared" si="44"/>
        <v>0</v>
      </c>
      <c r="CA17" s="938">
        <f t="shared" si="45"/>
        <v>0</v>
      </c>
      <c r="CB17" s="938">
        <f t="shared" si="46"/>
        <v>0</v>
      </c>
      <c r="CC17" s="938">
        <f t="shared" si="47"/>
        <v>0</v>
      </c>
      <c r="CD17" s="938" t="str">
        <f t="shared" si="48"/>
        <v/>
      </c>
      <c r="CE17" s="713">
        <f>'min. Düngung 22'!AC18</f>
        <v>0</v>
      </c>
      <c r="CF17" s="938"/>
      <c r="CG17" s="938"/>
      <c r="CH17" s="938">
        <f t="shared" si="49"/>
        <v>0</v>
      </c>
      <c r="CI17" s="938">
        <f t="shared" si="50"/>
        <v>0</v>
      </c>
      <c r="CJ17" s="938">
        <f t="shared" si="51"/>
        <v>0</v>
      </c>
      <c r="CK17" s="938">
        <f t="shared" si="52"/>
        <v>0</v>
      </c>
      <c r="CL17" s="938">
        <f t="shared" si="53"/>
        <v>0</v>
      </c>
      <c r="CM17" s="938" t="str">
        <f t="shared" si="54"/>
        <v/>
      </c>
      <c r="CN17" s="713">
        <f>'min. Düngung 22'!AF18</f>
        <v>0</v>
      </c>
      <c r="CO17" s="938"/>
      <c r="CP17" s="938"/>
      <c r="CQ17" s="938">
        <f t="shared" si="55"/>
        <v>0</v>
      </c>
      <c r="CR17" s="938">
        <f t="shared" si="56"/>
        <v>0</v>
      </c>
      <c r="CS17" s="938">
        <f t="shared" si="57"/>
        <v>0</v>
      </c>
      <c r="CT17" s="938">
        <f t="shared" si="58"/>
        <v>0</v>
      </c>
      <c r="CU17" s="938">
        <f t="shared" si="59"/>
        <v>0</v>
      </c>
      <c r="CV17" s="938" t="str">
        <f t="shared" si="60"/>
        <v/>
      </c>
      <c r="CW17" s="713">
        <f>'min. Düngung 22'!AI18</f>
        <v>0</v>
      </c>
      <c r="CX17" s="938"/>
      <c r="CY17" s="938"/>
      <c r="CZ17" s="938">
        <f t="shared" si="61"/>
        <v>0</v>
      </c>
      <c r="DA17" s="938">
        <f t="shared" si="62"/>
        <v>0</v>
      </c>
      <c r="DB17" s="938">
        <f t="shared" si="63"/>
        <v>0</v>
      </c>
      <c r="DC17" s="938">
        <f t="shared" si="64"/>
        <v>0</v>
      </c>
      <c r="DD17" s="938">
        <f t="shared" si="65"/>
        <v>0</v>
      </c>
      <c r="DE17" s="938" t="str">
        <f t="shared" si="66"/>
        <v/>
      </c>
      <c r="DF17" s="713">
        <f>'min. Düngung 22'!AL18</f>
        <v>0</v>
      </c>
      <c r="DG17" s="938"/>
      <c r="DH17" s="938"/>
      <c r="DI17" s="938">
        <f t="shared" si="67"/>
        <v>0</v>
      </c>
      <c r="DJ17" s="938">
        <f t="shared" si="68"/>
        <v>0</v>
      </c>
      <c r="DK17" s="938">
        <f t="shared" si="69"/>
        <v>0</v>
      </c>
      <c r="DL17" s="938">
        <f t="shared" si="70"/>
        <v>0</v>
      </c>
      <c r="DM17" s="938">
        <f t="shared" si="71"/>
        <v>0</v>
      </c>
      <c r="DN17" s="938" t="str">
        <f t="shared" si="72"/>
        <v/>
      </c>
      <c r="DO17" s="713">
        <f>'min. Düngung 22'!AO18</f>
        <v>0</v>
      </c>
      <c r="DP17" s="938"/>
      <c r="DQ17" s="938"/>
      <c r="DR17" s="938">
        <f t="shared" si="73"/>
        <v>0</v>
      </c>
      <c r="DS17" s="938">
        <f t="shared" si="74"/>
        <v>0</v>
      </c>
      <c r="DT17" s="938">
        <f t="shared" si="75"/>
        <v>0</v>
      </c>
      <c r="DU17" s="938">
        <f t="shared" si="76"/>
        <v>0</v>
      </c>
      <c r="DV17" s="938">
        <f t="shared" si="77"/>
        <v>0</v>
      </c>
      <c r="DW17" s="938" t="str">
        <f t="shared" si="78"/>
        <v/>
      </c>
      <c r="DX17" s="713">
        <f>'min. Düngung 22'!AR18</f>
        <v>0</v>
      </c>
      <c r="DY17" s="938"/>
      <c r="DZ17" s="938"/>
      <c r="EA17" s="938">
        <f t="shared" si="79"/>
        <v>0</v>
      </c>
      <c r="EB17" s="938">
        <f t="shared" si="80"/>
        <v>0</v>
      </c>
      <c r="EC17" s="938">
        <f t="shared" si="81"/>
        <v>0</v>
      </c>
      <c r="ED17" s="938">
        <f t="shared" si="82"/>
        <v>0</v>
      </c>
      <c r="EE17" s="938">
        <f t="shared" si="83"/>
        <v>0</v>
      </c>
      <c r="EF17" s="938" t="str">
        <f t="shared" si="84"/>
        <v/>
      </c>
      <c r="EG17" s="713">
        <f>'min. Düngung 22'!AU18</f>
        <v>0</v>
      </c>
      <c r="EH17" s="938"/>
      <c r="EI17" s="938"/>
      <c r="EJ17" s="938">
        <f t="shared" si="85"/>
        <v>0</v>
      </c>
      <c r="EK17" s="938">
        <f t="shared" si="86"/>
        <v>0</v>
      </c>
      <c r="EL17" s="938">
        <f t="shared" si="87"/>
        <v>0</v>
      </c>
      <c r="EM17" s="938">
        <f t="shared" si="88"/>
        <v>0</v>
      </c>
      <c r="EN17" s="938">
        <f t="shared" si="89"/>
        <v>0</v>
      </c>
      <c r="EO17" s="938" t="str">
        <f t="shared" si="90"/>
        <v/>
      </c>
      <c r="EP17" s="713">
        <f>'min. Düngung 22'!AX18</f>
        <v>0</v>
      </c>
      <c r="EQ17" s="938"/>
      <c r="ER17" s="938"/>
      <c r="ES17" s="938">
        <f t="shared" si="91"/>
        <v>0</v>
      </c>
      <c r="ET17" s="938">
        <f t="shared" si="92"/>
        <v>0</v>
      </c>
      <c r="EU17" s="938">
        <f t="shared" si="93"/>
        <v>0</v>
      </c>
      <c r="EV17" s="938">
        <f t="shared" si="94"/>
        <v>0</v>
      </c>
      <c r="EW17" s="938">
        <f t="shared" si="95"/>
        <v>0</v>
      </c>
      <c r="EX17" s="938" t="str">
        <f t="shared" si="96"/>
        <v/>
      </c>
      <c r="EY17" s="713">
        <f>'min. Düngung 22'!BA18</f>
        <v>0</v>
      </c>
      <c r="EZ17" s="938"/>
      <c r="FA17" s="938"/>
      <c r="FB17" s="938">
        <f t="shared" si="97"/>
        <v>0</v>
      </c>
      <c r="FC17" s="938">
        <f t="shared" si="98"/>
        <v>0</v>
      </c>
      <c r="FD17" s="938">
        <f t="shared" si="99"/>
        <v>0</v>
      </c>
      <c r="FE17" s="938">
        <f t="shared" si="100"/>
        <v>0</v>
      </c>
      <c r="FF17" s="938">
        <f t="shared" si="101"/>
        <v>0</v>
      </c>
      <c r="FG17" s="938" t="str">
        <f t="shared" si="102"/>
        <v/>
      </c>
      <c r="FH17" s="713">
        <f>'min. Düngung 22'!BD18</f>
        <v>0</v>
      </c>
      <c r="FI17" s="938"/>
      <c r="FJ17" s="938"/>
      <c r="FK17" s="938">
        <f t="shared" si="103"/>
        <v>0</v>
      </c>
      <c r="FL17" s="938">
        <f t="shared" si="104"/>
        <v>0</v>
      </c>
      <c r="FM17" s="938">
        <f t="shared" si="105"/>
        <v>0</v>
      </c>
      <c r="FN17" s="938">
        <f t="shared" si="106"/>
        <v>0</v>
      </c>
      <c r="FO17" s="938">
        <f t="shared" si="107"/>
        <v>0</v>
      </c>
      <c r="FP17" s="938" t="str">
        <f t="shared" si="108"/>
        <v/>
      </c>
      <c r="FQ17" s="713">
        <f>'min. Düngung 22'!BG18</f>
        <v>0</v>
      </c>
      <c r="FR17" s="938"/>
      <c r="FS17" s="938"/>
      <c r="FT17" s="938">
        <f t="shared" si="109"/>
        <v>0</v>
      </c>
      <c r="FU17" s="938">
        <f t="shared" si="110"/>
        <v>0</v>
      </c>
      <c r="FV17" s="938">
        <f t="shared" si="111"/>
        <v>0</v>
      </c>
      <c r="FW17" s="938">
        <f t="shared" si="112"/>
        <v>0</v>
      </c>
      <c r="FX17" s="938">
        <f t="shared" si="113"/>
        <v>0</v>
      </c>
      <c r="FY17" s="938" t="str">
        <f t="shared" si="114"/>
        <v/>
      </c>
      <c r="FZ17" s="713">
        <f>'min. Düngung 22'!BJ18</f>
        <v>0</v>
      </c>
      <c r="GA17" s="938"/>
      <c r="GB17" s="938"/>
      <c r="GC17" s="938">
        <f t="shared" si="115"/>
        <v>0</v>
      </c>
      <c r="GD17" s="938">
        <f t="shared" si="116"/>
        <v>0</v>
      </c>
      <c r="GE17" s="938">
        <f t="shared" si="117"/>
        <v>0</v>
      </c>
      <c r="GF17" s="938">
        <f t="shared" si="118"/>
        <v>0</v>
      </c>
      <c r="GG17" s="938">
        <f t="shared" si="119"/>
        <v>0</v>
      </c>
      <c r="GH17" s="938" t="str">
        <f t="shared" si="120"/>
        <v/>
      </c>
      <c r="GI17" s="713">
        <f>'min. Düngung 22'!BM18</f>
        <v>0</v>
      </c>
      <c r="GJ17" s="938"/>
      <c r="GK17" s="938"/>
      <c r="GL17" s="938">
        <f t="shared" si="121"/>
        <v>0</v>
      </c>
      <c r="GM17" s="938">
        <f t="shared" si="122"/>
        <v>0</v>
      </c>
      <c r="GN17" s="938">
        <f t="shared" si="123"/>
        <v>0</v>
      </c>
      <c r="GO17" s="938">
        <f t="shared" si="124"/>
        <v>0</v>
      </c>
      <c r="GP17" s="938">
        <f t="shared" si="125"/>
        <v>0</v>
      </c>
      <c r="GQ17" s="938" t="str">
        <f t="shared" si="126"/>
        <v/>
      </c>
      <c r="GR17" s="713">
        <f>'min. Düngung 22'!BP18</f>
        <v>0</v>
      </c>
      <c r="GS17" s="938"/>
      <c r="GT17" s="938"/>
      <c r="GU17" s="938">
        <f t="shared" si="127"/>
        <v>0</v>
      </c>
      <c r="GV17" s="938">
        <f t="shared" si="128"/>
        <v>0</v>
      </c>
      <c r="GW17" s="938">
        <f t="shared" si="129"/>
        <v>0</v>
      </c>
      <c r="GX17" s="938">
        <f t="shared" si="130"/>
        <v>0</v>
      </c>
      <c r="GY17" s="938">
        <f t="shared" si="131"/>
        <v>0</v>
      </c>
      <c r="GZ17" s="938" t="str">
        <f t="shared" si="132"/>
        <v/>
      </c>
      <c r="HA17" s="713">
        <f>'min. Düngung 22'!BS18</f>
        <v>0</v>
      </c>
      <c r="HB17" s="938"/>
      <c r="HC17" s="938"/>
      <c r="HD17" s="938">
        <f t="shared" si="133"/>
        <v>0</v>
      </c>
      <c r="HE17" s="938">
        <f t="shared" si="134"/>
        <v>0</v>
      </c>
      <c r="HF17" s="938">
        <f t="shared" si="135"/>
        <v>0</v>
      </c>
      <c r="HG17" s="938">
        <f t="shared" si="136"/>
        <v>0</v>
      </c>
      <c r="HH17" s="938">
        <f t="shared" si="137"/>
        <v>0</v>
      </c>
      <c r="HI17" s="938" t="str">
        <f t="shared" si="138"/>
        <v/>
      </c>
      <c r="HJ17" s="713">
        <f>'min. Düngung 22'!BV18</f>
        <v>0</v>
      </c>
      <c r="HK17" s="938"/>
      <c r="HL17" s="938"/>
      <c r="HM17" s="938">
        <f t="shared" si="139"/>
        <v>0</v>
      </c>
      <c r="HN17" s="938">
        <f t="shared" si="140"/>
        <v>0</v>
      </c>
      <c r="HO17" s="938">
        <f t="shared" si="141"/>
        <v>0</v>
      </c>
      <c r="HP17" s="938">
        <f t="shared" si="142"/>
        <v>0</v>
      </c>
      <c r="HQ17" s="938">
        <f t="shared" si="143"/>
        <v>0</v>
      </c>
      <c r="HR17" s="938" t="str">
        <f t="shared" si="144"/>
        <v/>
      </c>
      <c r="HS17" s="713">
        <f>'min. Düngung 22'!BY18</f>
        <v>0</v>
      </c>
      <c r="HT17" s="938"/>
      <c r="HU17" s="938"/>
      <c r="HV17" s="938">
        <f t="shared" si="145"/>
        <v>0</v>
      </c>
      <c r="HW17" s="938">
        <f t="shared" si="146"/>
        <v>0</v>
      </c>
      <c r="HX17" s="938">
        <f t="shared" si="147"/>
        <v>0</v>
      </c>
      <c r="HY17" s="938">
        <f t="shared" si="148"/>
        <v>0</v>
      </c>
      <c r="HZ17" s="938">
        <f t="shared" si="149"/>
        <v>0</v>
      </c>
      <c r="IA17" s="938" t="str">
        <f t="shared" si="150"/>
        <v/>
      </c>
      <c r="IB17" s="713">
        <f>'min. Düngung 22'!CB18</f>
        <v>0</v>
      </c>
      <c r="IC17" s="938"/>
      <c r="ID17" s="938"/>
      <c r="IE17" s="938">
        <f t="shared" si="151"/>
        <v>0</v>
      </c>
      <c r="IF17" s="938">
        <f t="shared" si="152"/>
        <v>0</v>
      </c>
      <c r="IG17" s="938">
        <f t="shared" si="153"/>
        <v>0</v>
      </c>
      <c r="IH17" s="938">
        <f t="shared" si="154"/>
        <v>0</v>
      </c>
      <c r="II17" s="938">
        <f t="shared" si="155"/>
        <v>0</v>
      </c>
      <c r="IJ17" s="938" t="str">
        <f t="shared" si="156"/>
        <v/>
      </c>
      <c r="IK17" s="713">
        <f>'min. Düngung 22'!CE18</f>
        <v>0</v>
      </c>
      <c r="IL17" s="938"/>
      <c r="IM17" s="938"/>
      <c r="IN17" s="938">
        <f t="shared" si="157"/>
        <v>0</v>
      </c>
      <c r="IO17" s="938">
        <f t="shared" si="158"/>
        <v>0</v>
      </c>
      <c r="IP17" s="938">
        <f t="shared" si="159"/>
        <v>0</v>
      </c>
      <c r="IQ17" s="938">
        <f t="shared" si="160"/>
        <v>0</v>
      </c>
      <c r="IR17" s="938">
        <f t="shared" si="161"/>
        <v>0</v>
      </c>
      <c r="IS17" s="938" t="str">
        <f t="shared" si="162"/>
        <v/>
      </c>
      <c r="IT17" s="713">
        <f>'min. Düngung 22'!CH18</f>
        <v>0</v>
      </c>
      <c r="IU17" s="938"/>
      <c r="IV17" s="938"/>
      <c r="IW17" s="938">
        <f t="shared" si="163"/>
        <v>0</v>
      </c>
      <c r="IX17" s="938">
        <f t="shared" si="164"/>
        <v>0</v>
      </c>
      <c r="IY17" s="938">
        <f t="shared" si="165"/>
        <v>0</v>
      </c>
      <c r="IZ17" s="938">
        <f t="shared" si="166"/>
        <v>0</v>
      </c>
      <c r="JA17" s="938">
        <f t="shared" si="167"/>
        <v>0</v>
      </c>
      <c r="JB17" s="938" t="str">
        <f t="shared" si="168"/>
        <v/>
      </c>
      <c r="JC17" s="713">
        <f>'min. Düngung 22'!CK18</f>
        <v>0</v>
      </c>
      <c r="JD17" s="938"/>
      <c r="JE17" s="938"/>
      <c r="JF17" s="938">
        <f t="shared" si="169"/>
        <v>0</v>
      </c>
      <c r="JG17" s="938">
        <f t="shared" si="170"/>
        <v>0</v>
      </c>
      <c r="JH17" s="938">
        <f t="shared" si="171"/>
        <v>0</v>
      </c>
      <c r="JI17" s="938">
        <f t="shared" si="172"/>
        <v>0</v>
      </c>
      <c r="JJ17" s="938">
        <f t="shared" si="173"/>
        <v>0</v>
      </c>
      <c r="JK17" s="938" t="str">
        <f t="shared" si="174"/>
        <v/>
      </c>
      <c r="JL17" s="713">
        <f>'min. Düngung 22'!CN18</f>
        <v>0</v>
      </c>
      <c r="JM17" s="938"/>
      <c r="JN17" s="938"/>
      <c r="JO17" s="938">
        <f t="shared" si="175"/>
        <v>0</v>
      </c>
      <c r="JP17" s="938">
        <f t="shared" si="176"/>
        <v>0</v>
      </c>
      <c r="JQ17" s="938">
        <f t="shared" si="177"/>
        <v>0</v>
      </c>
      <c r="JR17" s="938">
        <f t="shared" si="178"/>
        <v>0</v>
      </c>
      <c r="JS17" s="938">
        <f t="shared" si="179"/>
        <v>0</v>
      </c>
      <c r="JT17" s="938" t="str">
        <f t="shared" si="180"/>
        <v/>
      </c>
      <c r="JU17" s="713">
        <f>'min. Düngung 22'!CQ18</f>
        <v>0</v>
      </c>
      <c r="JV17" s="938"/>
      <c r="JW17" s="938"/>
      <c r="JX17" s="938">
        <f t="shared" si="181"/>
        <v>0</v>
      </c>
      <c r="JY17" s="938">
        <f t="shared" si="182"/>
        <v>0</v>
      </c>
      <c r="JZ17" s="938">
        <f t="shared" si="183"/>
        <v>0</v>
      </c>
      <c r="KA17" s="938">
        <f t="shared" si="184"/>
        <v>0</v>
      </c>
      <c r="KB17" s="938">
        <f t="shared" si="185"/>
        <v>0</v>
      </c>
      <c r="KC17" s="938" t="str">
        <f t="shared" si="186"/>
        <v/>
      </c>
      <c r="KE17" s="938"/>
      <c r="KF17" s="938" t="str">
        <f>IF(AND($F17=2,$G17=1),"",IF(OR($Q17&gt;0,$O17&gt;60),$KF$7,IF(I17=70,"",IF(AND(I17=80,R17+'#orgDung'!AC20&lt;60,K17=1,OR(C17=2,'#BerechnungDBE'!AH11=4)),"",IF(R17&gt;0,$KF$7,"")))))</f>
        <v/>
      </c>
      <c r="KG17" s="938" t="str">
        <f>IF(AND(P17&gt;'#BerechnungDBE'!BJ11,P17&gt;0),'#minDung'!$KG$7,"")</f>
        <v/>
      </c>
      <c r="KH17" s="938" t="str">
        <f>IF(AND(I17=70,R17&gt;'#BerechnungDBE'!CR11),'#minDung'!$KH$7,"")</f>
        <v/>
      </c>
      <c r="KI17" s="938" t="str">
        <f>IF('#BerechnungDBE'!P11&lt;4,"",IF(AND('#BerechnungDBE'!BZ11&gt;0,N17&gt;0),$KI$7,""))</f>
        <v/>
      </c>
      <c r="KJ17" s="938" t="str">
        <f t="shared" si="5"/>
        <v/>
      </c>
    </row>
    <row r="18" spans="1:296" s="875" customFormat="1" hidden="1" x14ac:dyDescent="0.2">
      <c r="A18" s="875">
        <f>'Flächen u. Kulturen'!A17</f>
        <v>8</v>
      </c>
      <c r="B18" s="734">
        <f>'#BerechnungDBE'!L12</f>
        <v>0</v>
      </c>
      <c r="C18" s="46">
        <f>'#orgDung'!C21</f>
        <v>1</v>
      </c>
      <c r="D18" s="875">
        <f>'#BerechnungDBE'!T12</f>
        <v>2</v>
      </c>
      <c r="E18" s="875" t="str">
        <f>'Flächen u. Kulturen'!E17</f>
        <v>x</v>
      </c>
      <c r="F18" s="52">
        <f>'#BerechnungDBE'!N12</f>
        <v>1</v>
      </c>
      <c r="G18" s="52">
        <f>'#BerechnungDBE'!O12</f>
        <v>1</v>
      </c>
      <c r="H18" s="505">
        <f>'#orgDung'!J21</f>
        <v>2</v>
      </c>
      <c r="I18" s="875">
        <f>'#BerechnungDBE'!AF12</f>
        <v>0</v>
      </c>
      <c r="J18" s="875">
        <f>'#orgDung'!M21</f>
        <v>0</v>
      </c>
      <c r="K18" s="875">
        <f>'#BerechnungDBE'!AG12</f>
        <v>0</v>
      </c>
      <c r="M18" s="875">
        <f t="shared" si="0"/>
        <v>0</v>
      </c>
      <c r="N18" s="875">
        <f t="shared" si="1"/>
        <v>0</v>
      </c>
      <c r="O18" s="875">
        <f t="shared" si="2"/>
        <v>0</v>
      </c>
      <c r="P18" s="875">
        <f t="shared" si="4"/>
        <v>0</v>
      </c>
      <c r="Q18" s="938">
        <f t="shared" si="6"/>
        <v>0</v>
      </c>
      <c r="R18" s="875">
        <f t="shared" si="3"/>
        <v>0</v>
      </c>
      <c r="T18" s="713">
        <f>'min. Düngung 22'!H19</f>
        <v>0</v>
      </c>
      <c r="W18" s="875">
        <f t="shared" si="7"/>
        <v>0</v>
      </c>
      <c r="X18" s="875">
        <f t="shared" si="8"/>
        <v>0</v>
      </c>
      <c r="Y18" s="875">
        <f t="shared" si="9"/>
        <v>0</v>
      </c>
      <c r="Z18" s="875">
        <f t="shared" si="10"/>
        <v>0</v>
      </c>
      <c r="AA18" s="875">
        <f t="shared" si="11"/>
        <v>0</v>
      </c>
      <c r="AB18" s="875" t="str">
        <f t="shared" si="12"/>
        <v/>
      </c>
      <c r="AC18" s="713">
        <f>'min. Düngung 22'!K19</f>
        <v>0</v>
      </c>
      <c r="AD18" s="938"/>
      <c r="AE18" s="938"/>
      <c r="AF18" s="938">
        <f t="shared" si="13"/>
        <v>0</v>
      </c>
      <c r="AG18" s="938">
        <f t="shared" si="14"/>
        <v>0</v>
      </c>
      <c r="AH18" s="938">
        <f t="shared" si="15"/>
        <v>0</v>
      </c>
      <c r="AI18" s="938">
        <f t="shared" si="16"/>
        <v>0</v>
      </c>
      <c r="AJ18" s="938">
        <f t="shared" si="17"/>
        <v>0</v>
      </c>
      <c r="AK18" s="938">
        <f t="shared" si="18"/>
        <v>0</v>
      </c>
      <c r="AL18" s="713">
        <f>'min. Düngung 22'!N19</f>
        <v>0</v>
      </c>
      <c r="AM18" s="938"/>
      <c r="AN18" s="938"/>
      <c r="AO18" s="938">
        <f t="shared" si="19"/>
        <v>0</v>
      </c>
      <c r="AP18" s="938">
        <f t="shared" si="20"/>
        <v>0</v>
      </c>
      <c r="AQ18" s="938">
        <f t="shared" si="21"/>
        <v>0</v>
      </c>
      <c r="AR18" s="938">
        <f t="shared" si="22"/>
        <v>0</v>
      </c>
      <c r="AS18" s="938">
        <f t="shared" si="23"/>
        <v>0</v>
      </c>
      <c r="AT18" s="938" t="str">
        <f t="shared" si="24"/>
        <v/>
      </c>
      <c r="AU18" s="713">
        <f>'min. Düngung 22'!Q19</f>
        <v>0</v>
      </c>
      <c r="AV18" s="938"/>
      <c r="AW18" s="938"/>
      <c r="AX18" s="938">
        <f t="shared" si="25"/>
        <v>0</v>
      </c>
      <c r="AY18" s="938">
        <f t="shared" si="26"/>
        <v>0</v>
      </c>
      <c r="AZ18" s="938">
        <f t="shared" si="27"/>
        <v>0</v>
      </c>
      <c r="BA18" s="938">
        <f t="shared" si="28"/>
        <v>0</v>
      </c>
      <c r="BB18" s="938">
        <f t="shared" si="29"/>
        <v>0</v>
      </c>
      <c r="BC18" s="938" t="str">
        <f t="shared" si="30"/>
        <v/>
      </c>
      <c r="BD18" s="713">
        <f>'min. Düngung 22'!T19</f>
        <v>0</v>
      </c>
      <c r="BE18" s="938"/>
      <c r="BF18" s="938"/>
      <c r="BG18" s="938">
        <f t="shared" si="31"/>
        <v>0</v>
      </c>
      <c r="BH18" s="938">
        <f t="shared" si="32"/>
        <v>0</v>
      </c>
      <c r="BI18" s="938">
        <f t="shared" si="33"/>
        <v>0</v>
      </c>
      <c r="BJ18" s="938">
        <f t="shared" si="34"/>
        <v>0</v>
      </c>
      <c r="BK18" s="938">
        <f t="shared" si="35"/>
        <v>0</v>
      </c>
      <c r="BL18" s="938" t="str">
        <f t="shared" si="36"/>
        <v/>
      </c>
      <c r="BM18" s="713">
        <f>'min. Düngung 22'!W19</f>
        <v>0</v>
      </c>
      <c r="BN18" s="938"/>
      <c r="BO18" s="938"/>
      <c r="BP18" s="938">
        <f t="shared" si="37"/>
        <v>0</v>
      </c>
      <c r="BQ18" s="938">
        <f t="shared" si="38"/>
        <v>0</v>
      </c>
      <c r="BR18" s="938">
        <f t="shared" si="39"/>
        <v>0</v>
      </c>
      <c r="BS18" s="938">
        <f t="shared" si="40"/>
        <v>0</v>
      </c>
      <c r="BT18" s="938">
        <f t="shared" si="41"/>
        <v>0</v>
      </c>
      <c r="BU18" s="938" t="str">
        <f t="shared" si="42"/>
        <v/>
      </c>
      <c r="BV18" s="713">
        <f>'min. Düngung 22'!Z19</f>
        <v>0</v>
      </c>
      <c r="BW18" s="938"/>
      <c r="BX18" s="938"/>
      <c r="BY18" s="938">
        <f t="shared" si="43"/>
        <v>0</v>
      </c>
      <c r="BZ18" s="938">
        <f t="shared" si="44"/>
        <v>0</v>
      </c>
      <c r="CA18" s="938">
        <f t="shared" si="45"/>
        <v>0</v>
      </c>
      <c r="CB18" s="938">
        <f t="shared" si="46"/>
        <v>0</v>
      </c>
      <c r="CC18" s="938">
        <f t="shared" si="47"/>
        <v>0</v>
      </c>
      <c r="CD18" s="938" t="str">
        <f t="shared" si="48"/>
        <v/>
      </c>
      <c r="CE18" s="713">
        <f>'min. Düngung 22'!AC19</f>
        <v>0</v>
      </c>
      <c r="CF18" s="938"/>
      <c r="CG18" s="938"/>
      <c r="CH18" s="938">
        <f t="shared" si="49"/>
        <v>0</v>
      </c>
      <c r="CI18" s="938">
        <f t="shared" si="50"/>
        <v>0</v>
      </c>
      <c r="CJ18" s="938">
        <f t="shared" si="51"/>
        <v>0</v>
      </c>
      <c r="CK18" s="938">
        <f t="shared" si="52"/>
        <v>0</v>
      </c>
      <c r="CL18" s="938">
        <f t="shared" si="53"/>
        <v>0</v>
      </c>
      <c r="CM18" s="938" t="str">
        <f t="shared" si="54"/>
        <v/>
      </c>
      <c r="CN18" s="713">
        <f>'min. Düngung 22'!AF19</f>
        <v>0</v>
      </c>
      <c r="CO18" s="938"/>
      <c r="CP18" s="938"/>
      <c r="CQ18" s="938">
        <f t="shared" si="55"/>
        <v>0</v>
      </c>
      <c r="CR18" s="938">
        <f t="shared" si="56"/>
        <v>0</v>
      </c>
      <c r="CS18" s="938">
        <f t="shared" si="57"/>
        <v>0</v>
      </c>
      <c r="CT18" s="938">
        <f t="shared" si="58"/>
        <v>0</v>
      </c>
      <c r="CU18" s="938">
        <f t="shared" si="59"/>
        <v>0</v>
      </c>
      <c r="CV18" s="938" t="str">
        <f t="shared" si="60"/>
        <v/>
      </c>
      <c r="CW18" s="713">
        <f>'min. Düngung 22'!AI19</f>
        <v>0</v>
      </c>
      <c r="CX18" s="938"/>
      <c r="CY18" s="938"/>
      <c r="CZ18" s="938">
        <f t="shared" si="61"/>
        <v>0</v>
      </c>
      <c r="DA18" s="938">
        <f t="shared" si="62"/>
        <v>0</v>
      </c>
      <c r="DB18" s="938">
        <f t="shared" si="63"/>
        <v>0</v>
      </c>
      <c r="DC18" s="938">
        <f t="shared" si="64"/>
        <v>0</v>
      </c>
      <c r="DD18" s="938">
        <f t="shared" si="65"/>
        <v>0</v>
      </c>
      <c r="DE18" s="938" t="str">
        <f t="shared" si="66"/>
        <v/>
      </c>
      <c r="DF18" s="713">
        <f>'min. Düngung 22'!AL19</f>
        <v>0</v>
      </c>
      <c r="DG18" s="938"/>
      <c r="DH18" s="938"/>
      <c r="DI18" s="938">
        <f t="shared" si="67"/>
        <v>0</v>
      </c>
      <c r="DJ18" s="938">
        <f t="shared" si="68"/>
        <v>0</v>
      </c>
      <c r="DK18" s="938">
        <f t="shared" si="69"/>
        <v>0</v>
      </c>
      <c r="DL18" s="938">
        <f t="shared" si="70"/>
        <v>0</v>
      </c>
      <c r="DM18" s="938">
        <f t="shared" si="71"/>
        <v>0</v>
      </c>
      <c r="DN18" s="938" t="str">
        <f t="shared" si="72"/>
        <v/>
      </c>
      <c r="DO18" s="713">
        <f>'min. Düngung 22'!AO19</f>
        <v>0</v>
      </c>
      <c r="DP18" s="938"/>
      <c r="DQ18" s="938"/>
      <c r="DR18" s="938">
        <f t="shared" si="73"/>
        <v>0</v>
      </c>
      <c r="DS18" s="938">
        <f t="shared" si="74"/>
        <v>0</v>
      </c>
      <c r="DT18" s="938">
        <f t="shared" si="75"/>
        <v>0</v>
      </c>
      <c r="DU18" s="938">
        <f t="shared" si="76"/>
        <v>0</v>
      </c>
      <c r="DV18" s="938">
        <f t="shared" si="77"/>
        <v>0</v>
      </c>
      <c r="DW18" s="938" t="str">
        <f t="shared" si="78"/>
        <v/>
      </c>
      <c r="DX18" s="713">
        <f>'min. Düngung 22'!AR19</f>
        <v>0</v>
      </c>
      <c r="DY18" s="938"/>
      <c r="DZ18" s="938"/>
      <c r="EA18" s="938">
        <f t="shared" si="79"/>
        <v>0</v>
      </c>
      <c r="EB18" s="938">
        <f t="shared" si="80"/>
        <v>0</v>
      </c>
      <c r="EC18" s="938">
        <f t="shared" si="81"/>
        <v>0</v>
      </c>
      <c r="ED18" s="938">
        <f t="shared" si="82"/>
        <v>0</v>
      </c>
      <c r="EE18" s="938">
        <f t="shared" si="83"/>
        <v>0</v>
      </c>
      <c r="EF18" s="938" t="str">
        <f t="shared" si="84"/>
        <v/>
      </c>
      <c r="EG18" s="713">
        <f>'min. Düngung 22'!AU19</f>
        <v>0</v>
      </c>
      <c r="EH18" s="938"/>
      <c r="EI18" s="938"/>
      <c r="EJ18" s="938">
        <f t="shared" si="85"/>
        <v>0</v>
      </c>
      <c r="EK18" s="938">
        <f t="shared" si="86"/>
        <v>0</v>
      </c>
      <c r="EL18" s="938">
        <f t="shared" si="87"/>
        <v>0</v>
      </c>
      <c r="EM18" s="938">
        <f t="shared" si="88"/>
        <v>0</v>
      </c>
      <c r="EN18" s="938">
        <f t="shared" si="89"/>
        <v>0</v>
      </c>
      <c r="EO18" s="938" t="str">
        <f t="shared" si="90"/>
        <v/>
      </c>
      <c r="EP18" s="713">
        <f>'min. Düngung 22'!AX19</f>
        <v>0</v>
      </c>
      <c r="EQ18" s="938"/>
      <c r="ER18" s="938"/>
      <c r="ES18" s="938">
        <f t="shared" si="91"/>
        <v>0</v>
      </c>
      <c r="ET18" s="938">
        <f t="shared" si="92"/>
        <v>0</v>
      </c>
      <c r="EU18" s="938">
        <f t="shared" si="93"/>
        <v>0</v>
      </c>
      <c r="EV18" s="938">
        <f t="shared" si="94"/>
        <v>0</v>
      </c>
      <c r="EW18" s="938">
        <f t="shared" si="95"/>
        <v>0</v>
      </c>
      <c r="EX18" s="938" t="str">
        <f t="shared" si="96"/>
        <v/>
      </c>
      <c r="EY18" s="713">
        <f>'min. Düngung 22'!BA19</f>
        <v>0</v>
      </c>
      <c r="EZ18" s="938"/>
      <c r="FA18" s="938"/>
      <c r="FB18" s="938">
        <f t="shared" si="97"/>
        <v>0</v>
      </c>
      <c r="FC18" s="938">
        <f t="shared" si="98"/>
        <v>0</v>
      </c>
      <c r="FD18" s="938">
        <f t="shared" si="99"/>
        <v>0</v>
      </c>
      <c r="FE18" s="938">
        <f t="shared" si="100"/>
        <v>0</v>
      </c>
      <c r="FF18" s="938">
        <f t="shared" si="101"/>
        <v>0</v>
      </c>
      <c r="FG18" s="938" t="str">
        <f t="shared" si="102"/>
        <v/>
      </c>
      <c r="FH18" s="713">
        <f>'min. Düngung 22'!BD19</f>
        <v>0</v>
      </c>
      <c r="FI18" s="938"/>
      <c r="FJ18" s="938"/>
      <c r="FK18" s="938">
        <f t="shared" si="103"/>
        <v>0</v>
      </c>
      <c r="FL18" s="938">
        <f t="shared" si="104"/>
        <v>0</v>
      </c>
      <c r="FM18" s="938">
        <f t="shared" si="105"/>
        <v>0</v>
      </c>
      <c r="FN18" s="938">
        <f t="shared" si="106"/>
        <v>0</v>
      </c>
      <c r="FO18" s="938">
        <f t="shared" si="107"/>
        <v>0</v>
      </c>
      <c r="FP18" s="938" t="str">
        <f t="shared" si="108"/>
        <v/>
      </c>
      <c r="FQ18" s="713">
        <f>'min. Düngung 22'!BG19</f>
        <v>0</v>
      </c>
      <c r="FR18" s="938"/>
      <c r="FS18" s="938"/>
      <c r="FT18" s="938">
        <f t="shared" si="109"/>
        <v>0</v>
      </c>
      <c r="FU18" s="938">
        <f t="shared" si="110"/>
        <v>0</v>
      </c>
      <c r="FV18" s="938">
        <f t="shared" si="111"/>
        <v>0</v>
      </c>
      <c r="FW18" s="938">
        <f t="shared" si="112"/>
        <v>0</v>
      </c>
      <c r="FX18" s="938">
        <f t="shared" si="113"/>
        <v>0</v>
      </c>
      <c r="FY18" s="938" t="str">
        <f t="shared" si="114"/>
        <v/>
      </c>
      <c r="FZ18" s="713">
        <f>'min. Düngung 22'!BJ19</f>
        <v>0</v>
      </c>
      <c r="GA18" s="938"/>
      <c r="GB18" s="938"/>
      <c r="GC18" s="938">
        <f t="shared" si="115"/>
        <v>0</v>
      </c>
      <c r="GD18" s="938">
        <f t="shared" si="116"/>
        <v>0</v>
      </c>
      <c r="GE18" s="938">
        <f t="shared" si="117"/>
        <v>0</v>
      </c>
      <c r="GF18" s="938">
        <f t="shared" si="118"/>
        <v>0</v>
      </c>
      <c r="GG18" s="938">
        <f t="shared" si="119"/>
        <v>0</v>
      </c>
      <c r="GH18" s="938" t="str">
        <f t="shared" si="120"/>
        <v/>
      </c>
      <c r="GI18" s="713">
        <f>'min. Düngung 22'!BM19</f>
        <v>0</v>
      </c>
      <c r="GJ18" s="938"/>
      <c r="GK18" s="938"/>
      <c r="GL18" s="938">
        <f t="shared" si="121"/>
        <v>0</v>
      </c>
      <c r="GM18" s="938">
        <f t="shared" si="122"/>
        <v>0</v>
      </c>
      <c r="GN18" s="938">
        <f t="shared" si="123"/>
        <v>0</v>
      </c>
      <c r="GO18" s="938">
        <f t="shared" si="124"/>
        <v>0</v>
      </c>
      <c r="GP18" s="938">
        <f t="shared" si="125"/>
        <v>0</v>
      </c>
      <c r="GQ18" s="938" t="str">
        <f t="shared" si="126"/>
        <v/>
      </c>
      <c r="GR18" s="713">
        <f>'min. Düngung 22'!BP19</f>
        <v>0</v>
      </c>
      <c r="GS18" s="938"/>
      <c r="GT18" s="938"/>
      <c r="GU18" s="938">
        <f t="shared" si="127"/>
        <v>0</v>
      </c>
      <c r="GV18" s="938">
        <f t="shared" si="128"/>
        <v>0</v>
      </c>
      <c r="GW18" s="938">
        <f t="shared" si="129"/>
        <v>0</v>
      </c>
      <c r="GX18" s="938">
        <f t="shared" si="130"/>
        <v>0</v>
      </c>
      <c r="GY18" s="938">
        <f t="shared" si="131"/>
        <v>0</v>
      </c>
      <c r="GZ18" s="938" t="str">
        <f t="shared" si="132"/>
        <v/>
      </c>
      <c r="HA18" s="713">
        <f>'min. Düngung 22'!BS19</f>
        <v>0</v>
      </c>
      <c r="HB18" s="938"/>
      <c r="HC18" s="938"/>
      <c r="HD18" s="938">
        <f t="shared" si="133"/>
        <v>0</v>
      </c>
      <c r="HE18" s="938">
        <f t="shared" si="134"/>
        <v>0</v>
      </c>
      <c r="HF18" s="938">
        <f t="shared" si="135"/>
        <v>0</v>
      </c>
      <c r="HG18" s="938">
        <f t="shared" si="136"/>
        <v>0</v>
      </c>
      <c r="HH18" s="938">
        <f t="shared" si="137"/>
        <v>0</v>
      </c>
      <c r="HI18" s="938" t="str">
        <f t="shared" si="138"/>
        <v/>
      </c>
      <c r="HJ18" s="713">
        <f>'min. Düngung 22'!BV19</f>
        <v>0</v>
      </c>
      <c r="HK18" s="938"/>
      <c r="HL18" s="938"/>
      <c r="HM18" s="938">
        <f t="shared" si="139"/>
        <v>0</v>
      </c>
      <c r="HN18" s="938">
        <f t="shared" si="140"/>
        <v>0</v>
      </c>
      <c r="HO18" s="938">
        <f t="shared" si="141"/>
        <v>0</v>
      </c>
      <c r="HP18" s="938">
        <f t="shared" si="142"/>
        <v>0</v>
      </c>
      <c r="HQ18" s="938">
        <f t="shared" si="143"/>
        <v>0</v>
      </c>
      <c r="HR18" s="938" t="str">
        <f t="shared" si="144"/>
        <v/>
      </c>
      <c r="HS18" s="713">
        <f>'min. Düngung 22'!BY19</f>
        <v>0</v>
      </c>
      <c r="HT18" s="938"/>
      <c r="HU18" s="938"/>
      <c r="HV18" s="938">
        <f t="shared" si="145"/>
        <v>0</v>
      </c>
      <c r="HW18" s="938">
        <f t="shared" si="146"/>
        <v>0</v>
      </c>
      <c r="HX18" s="938">
        <f t="shared" si="147"/>
        <v>0</v>
      </c>
      <c r="HY18" s="938">
        <f t="shared" si="148"/>
        <v>0</v>
      </c>
      <c r="HZ18" s="938">
        <f t="shared" si="149"/>
        <v>0</v>
      </c>
      <c r="IA18" s="938" t="str">
        <f t="shared" si="150"/>
        <v/>
      </c>
      <c r="IB18" s="713">
        <f>'min. Düngung 22'!CB19</f>
        <v>0</v>
      </c>
      <c r="IC18" s="938"/>
      <c r="ID18" s="938"/>
      <c r="IE18" s="938">
        <f t="shared" si="151"/>
        <v>0</v>
      </c>
      <c r="IF18" s="938">
        <f t="shared" si="152"/>
        <v>0</v>
      </c>
      <c r="IG18" s="938">
        <f t="shared" si="153"/>
        <v>0</v>
      </c>
      <c r="IH18" s="938">
        <f t="shared" si="154"/>
        <v>0</v>
      </c>
      <c r="II18" s="938">
        <f t="shared" si="155"/>
        <v>0</v>
      </c>
      <c r="IJ18" s="938" t="str">
        <f t="shared" si="156"/>
        <v/>
      </c>
      <c r="IK18" s="713">
        <f>'min. Düngung 22'!CE19</f>
        <v>0</v>
      </c>
      <c r="IL18" s="938"/>
      <c r="IM18" s="938"/>
      <c r="IN18" s="938">
        <f t="shared" si="157"/>
        <v>0</v>
      </c>
      <c r="IO18" s="938">
        <f t="shared" si="158"/>
        <v>0</v>
      </c>
      <c r="IP18" s="938">
        <f t="shared" si="159"/>
        <v>0</v>
      </c>
      <c r="IQ18" s="938">
        <f t="shared" si="160"/>
        <v>0</v>
      </c>
      <c r="IR18" s="938">
        <f t="shared" si="161"/>
        <v>0</v>
      </c>
      <c r="IS18" s="938" t="str">
        <f t="shared" si="162"/>
        <v/>
      </c>
      <c r="IT18" s="713">
        <f>'min. Düngung 22'!CH19</f>
        <v>0</v>
      </c>
      <c r="IU18" s="938"/>
      <c r="IV18" s="938"/>
      <c r="IW18" s="938">
        <f t="shared" si="163"/>
        <v>0</v>
      </c>
      <c r="IX18" s="938">
        <f t="shared" si="164"/>
        <v>0</v>
      </c>
      <c r="IY18" s="938">
        <f t="shared" si="165"/>
        <v>0</v>
      </c>
      <c r="IZ18" s="938">
        <f t="shared" si="166"/>
        <v>0</v>
      </c>
      <c r="JA18" s="938">
        <f t="shared" si="167"/>
        <v>0</v>
      </c>
      <c r="JB18" s="938" t="str">
        <f t="shared" si="168"/>
        <v/>
      </c>
      <c r="JC18" s="713">
        <f>'min. Düngung 22'!CK19</f>
        <v>0</v>
      </c>
      <c r="JD18" s="938"/>
      <c r="JE18" s="938"/>
      <c r="JF18" s="938">
        <f t="shared" si="169"/>
        <v>0</v>
      </c>
      <c r="JG18" s="938">
        <f t="shared" si="170"/>
        <v>0</v>
      </c>
      <c r="JH18" s="938">
        <f t="shared" si="171"/>
        <v>0</v>
      </c>
      <c r="JI18" s="938">
        <f t="shared" si="172"/>
        <v>0</v>
      </c>
      <c r="JJ18" s="938">
        <f t="shared" si="173"/>
        <v>0</v>
      </c>
      <c r="JK18" s="938" t="str">
        <f t="shared" si="174"/>
        <v/>
      </c>
      <c r="JL18" s="713">
        <f>'min. Düngung 22'!CN19</f>
        <v>0</v>
      </c>
      <c r="JM18" s="938"/>
      <c r="JN18" s="938"/>
      <c r="JO18" s="938">
        <f t="shared" si="175"/>
        <v>0</v>
      </c>
      <c r="JP18" s="938">
        <f t="shared" si="176"/>
        <v>0</v>
      </c>
      <c r="JQ18" s="938">
        <f t="shared" si="177"/>
        <v>0</v>
      </c>
      <c r="JR18" s="938">
        <f t="shared" si="178"/>
        <v>0</v>
      </c>
      <c r="JS18" s="938">
        <f t="shared" si="179"/>
        <v>0</v>
      </c>
      <c r="JT18" s="938" t="str">
        <f t="shared" si="180"/>
        <v/>
      </c>
      <c r="JU18" s="713">
        <f>'min. Düngung 22'!CQ19</f>
        <v>0</v>
      </c>
      <c r="JV18" s="938"/>
      <c r="JW18" s="938"/>
      <c r="JX18" s="938">
        <f t="shared" si="181"/>
        <v>0</v>
      </c>
      <c r="JY18" s="938">
        <f t="shared" si="182"/>
        <v>0</v>
      </c>
      <c r="JZ18" s="938">
        <f t="shared" si="183"/>
        <v>0</v>
      </c>
      <c r="KA18" s="938">
        <f t="shared" si="184"/>
        <v>0</v>
      </c>
      <c r="KB18" s="938">
        <f t="shared" si="185"/>
        <v>0</v>
      </c>
      <c r="KC18" s="938" t="str">
        <f t="shared" si="186"/>
        <v/>
      </c>
      <c r="KE18" s="938"/>
      <c r="KF18" s="938" t="str">
        <f>IF(AND($F18=2,$G18=1),"",IF(OR($Q18&gt;0,$O18&gt;60),$KF$7,IF(I18=70,"",IF(AND(I18=80,R18+'#orgDung'!AC21&lt;60,K18=1,OR(C18=2,'#BerechnungDBE'!AH12=4)),"",IF(R18&gt;0,$KF$7,"")))))</f>
        <v/>
      </c>
      <c r="KG18" s="938" t="str">
        <f>IF(AND(P18&gt;'#BerechnungDBE'!BJ12,P18&gt;0),'#minDung'!$KG$7,"")</f>
        <v/>
      </c>
      <c r="KH18" s="938" t="str">
        <f>IF(AND(I18=70,R18&gt;'#BerechnungDBE'!CR12),'#minDung'!$KH$7,"")</f>
        <v/>
      </c>
      <c r="KI18" s="938" t="str">
        <f>IF('#BerechnungDBE'!P12&lt;4,"",IF(AND('#BerechnungDBE'!BZ12&gt;0,N18&gt;0),$KI$7,""))</f>
        <v/>
      </c>
      <c r="KJ18" s="938" t="str">
        <f t="shared" si="5"/>
        <v/>
      </c>
    </row>
    <row r="19" spans="1:296" s="875" customFormat="1" hidden="1" x14ac:dyDescent="0.2">
      <c r="A19" s="875">
        <f>'Flächen u. Kulturen'!A18</f>
        <v>9</v>
      </c>
      <c r="B19" s="734">
        <f>'#BerechnungDBE'!L13</f>
        <v>0</v>
      </c>
      <c r="C19" s="46">
        <f>'#orgDung'!C22</f>
        <v>1</v>
      </c>
      <c r="D19" s="875">
        <f>'#BerechnungDBE'!T13</f>
        <v>2</v>
      </c>
      <c r="E19" s="875" t="str">
        <f>'Flächen u. Kulturen'!E18</f>
        <v>x</v>
      </c>
      <c r="F19" s="52">
        <f>'#BerechnungDBE'!N13</f>
        <v>1</v>
      </c>
      <c r="G19" s="52">
        <f>'#BerechnungDBE'!O13</f>
        <v>1</v>
      </c>
      <c r="H19" s="505">
        <f>'#orgDung'!J22</f>
        <v>2</v>
      </c>
      <c r="I19" s="875">
        <f>'#BerechnungDBE'!AF13</f>
        <v>0</v>
      </c>
      <c r="J19" s="875">
        <f>'#orgDung'!M22</f>
        <v>0</v>
      </c>
      <c r="K19" s="875">
        <f>'#BerechnungDBE'!AG13</f>
        <v>0</v>
      </c>
      <c r="M19" s="875">
        <f t="shared" si="0"/>
        <v>0</v>
      </c>
      <c r="N19" s="875">
        <f t="shared" si="1"/>
        <v>0</v>
      </c>
      <c r="O19" s="875">
        <f t="shared" si="2"/>
        <v>0</v>
      </c>
      <c r="P19" s="875">
        <f t="shared" si="4"/>
        <v>0</v>
      </c>
      <c r="Q19" s="938">
        <f t="shared" si="6"/>
        <v>0</v>
      </c>
      <c r="R19" s="875">
        <f t="shared" si="3"/>
        <v>0</v>
      </c>
      <c r="T19" s="713">
        <f>'min. Düngung 22'!H20</f>
        <v>0</v>
      </c>
      <c r="W19" s="875">
        <f t="shared" si="7"/>
        <v>0</v>
      </c>
      <c r="X19" s="875">
        <f t="shared" si="8"/>
        <v>0</v>
      </c>
      <c r="Y19" s="875">
        <f t="shared" si="9"/>
        <v>0</v>
      </c>
      <c r="Z19" s="875">
        <f t="shared" si="10"/>
        <v>0</v>
      </c>
      <c r="AA19" s="875">
        <f t="shared" si="11"/>
        <v>0</v>
      </c>
      <c r="AB19" s="875" t="str">
        <f t="shared" si="12"/>
        <v/>
      </c>
      <c r="AC19" s="713">
        <f>'min. Düngung 22'!K20</f>
        <v>0</v>
      </c>
      <c r="AD19" s="938"/>
      <c r="AE19" s="938"/>
      <c r="AF19" s="938">
        <f t="shared" si="13"/>
        <v>0</v>
      </c>
      <c r="AG19" s="938">
        <f t="shared" si="14"/>
        <v>0</v>
      </c>
      <c r="AH19" s="938">
        <f t="shared" si="15"/>
        <v>0</v>
      </c>
      <c r="AI19" s="938">
        <f t="shared" si="16"/>
        <v>0</v>
      </c>
      <c r="AJ19" s="938">
        <f t="shared" si="17"/>
        <v>0</v>
      </c>
      <c r="AK19" s="938">
        <f t="shared" si="18"/>
        <v>0</v>
      </c>
      <c r="AL19" s="713">
        <f>'min. Düngung 22'!N20</f>
        <v>0</v>
      </c>
      <c r="AM19" s="938"/>
      <c r="AN19" s="938"/>
      <c r="AO19" s="938">
        <f t="shared" si="19"/>
        <v>0</v>
      </c>
      <c r="AP19" s="938">
        <f t="shared" si="20"/>
        <v>0</v>
      </c>
      <c r="AQ19" s="938">
        <f t="shared" si="21"/>
        <v>0</v>
      </c>
      <c r="AR19" s="938">
        <f t="shared" si="22"/>
        <v>0</v>
      </c>
      <c r="AS19" s="938">
        <f t="shared" si="23"/>
        <v>0</v>
      </c>
      <c r="AT19" s="938" t="str">
        <f t="shared" si="24"/>
        <v/>
      </c>
      <c r="AU19" s="713">
        <f>'min. Düngung 22'!Q20</f>
        <v>0</v>
      </c>
      <c r="AV19" s="938"/>
      <c r="AW19" s="938"/>
      <c r="AX19" s="938">
        <f t="shared" si="25"/>
        <v>0</v>
      </c>
      <c r="AY19" s="938">
        <f t="shared" si="26"/>
        <v>0</v>
      </c>
      <c r="AZ19" s="938">
        <f t="shared" si="27"/>
        <v>0</v>
      </c>
      <c r="BA19" s="938">
        <f t="shared" si="28"/>
        <v>0</v>
      </c>
      <c r="BB19" s="938">
        <f t="shared" si="29"/>
        <v>0</v>
      </c>
      <c r="BC19" s="938" t="str">
        <f t="shared" si="30"/>
        <v/>
      </c>
      <c r="BD19" s="713">
        <f>'min. Düngung 22'!T20</f>
        <v>0</v>
      </c>
      <c r="BE19" s="938"/>
      <c r="BF19" s="938"/>
      <c r="BG19" s="938">
        <f t="shared" si="31"/>
        <v>0</v>
      </c>
      <c r="BH19" s="938">
        <f t="shared" si="32"/>
        <v>0</v>
      </c>
      <c r="BI19" s="938">
        <f t="shared" si="33"/>
        <v>0</v>
      </c>
      <c r="BJ19" s="938">
        <f t="shared" si="34"/>
        <v>0</v>
      </c>
      <c r="BK19" s="938">
        <f t="shared" si="35"/>
        <v>0</v>
      </c>
      <c r="BL19" s="938" t="str">
        <f t="shared" si="36"/>
        <v/>
      </c>
      <c r="BM19" s="713">
        <f>'min. Düngung 22'!W20</f>
        <v>0</v>
      </c>
      <c r="BN19" s="938"/>
      <c r="BO19" s="938"/>
      <c r="BP19" s="938">
        <f t="shared" si="37"/>
        <v>0</v>
      </c>
      <c r="BQ19" s="938">
        <f t="shared" si="38"/>
        <v>0</v>
      </c>
      <c r="BR19" s="938">
        <f t="shared" si="39"/>
        <v>0</v>
      </c>
      <c r="BS19" s="938">
        <f t="shared" si="40"/>
        <v>0</v>
      </c>
      <c r="BT19" s="938">
        <f t="shared" si="41"/>
        <v>0</v>
      </c>
      <c r="BU19" s="938" t="str">
        <f t="shared" si="42"/>
        <v/>
      </c>
      <c r="BV19" s="713">
        <f>'min. Düngung 22'!Z20</f>
        <v>0</v>
      </c>
      <c r="BW19" s="938"/>
      <c r="BX19" s="938"/>
      <c r="BY19" s="938">
        <f t="shared" si="43"/>
        <v>0</v>
      </c>
      <c r="BZ19" s="938">
        <f t="shared" si="44"/>
        <v>0</v>
      </c>
      <c r="CA19" s="938">
        <f t="shared" si="45"/>
        <v>0</v>
      </c>
      <c r="CB19" s="938">
        <f t="shared" si="46"/>
        <v>0</v>
      </c>
      <c r="CC19" s="938">
        <f t="shared" si="47"/>
        <v>0</v>
      </c>
      <c r="CD19" s="938" t="str">
        <f t="shared" si="48"/>
        <v/>
      </c>
      <c r="CE19" s="713">
        <f>'min. Düngung 22'!AC20</f>
        <v>0</v>
      </c>
      <c r="CF19" s="938"/>
      <c r="CG19" s="938"/>
      <c r="CH19" s="938">
        <f t="shared" si="49"/>
        <v>0</v>
      </c>
      <c r="CI19" s="938">
        <f t="shared" si="50"/>
        <v>0</v>
      </c>
      <c r="CJ19" s="938">
        <f t="shared" si="51"/>
        <v>0</v>
      </c>
      <c r="CK19" s="938">
        <f t="shared" si="52"/>
        <v>0</v>
      </c>
      <c r="CL19" s="938">
        <f t="shared" si="53"/>
        <v>0</v>
      </c>
      <c r="CM19" s="938" t="str">
        <f t="shared" si="54"/>
        <v/>
      </c>
      <c r="CN19" s="713">
        <f>'min. Düngung 22'!AF20</f>
        <v>0</v>
      </c>
      <c r="CO19" s="938"/>
      <c r="CP19" s="938"/>
      <c r="CQ19" s="938">
        <f t="shared" si="55"/>
        <v>0</v>
      </c>
      <c r="CR19" s="938">
        <f t="shared" si="56"/>
        <v>0</v>
      </c>
      <c r="CS19" s="938">
        <f t="shared" si="57"/>
        <v>0</v>
      </c>
      <c r="CT19" s="938">
        <f t="shared" si="58"/>
        <v>0</v>
      </c>
      <c r="CU19" s="938">
        <f t="shared" si="59"/>
        <v>0</v>
      </c>
      <c r="CV19" s="938" t="str">
        <f t="shared" si="60"/>
        <v/>
      </c>
      <c r="CW19" s="713">
        <f>'min. Düngung 22'!AI20</f>
        <v>0</v>
      </c>
      <c r="CX19" s="938"/>
      <c r="CY19" s="938"/>
      <c r="CZ19" s="938">
        <f t="shared" si="61"/>
        <v>0</v>
      </c>
      <c r="DA19" s="938">
        <f t="shared" si="62"/>
        <v>0</v>
      </c>
      <c r="DB19" s="938">
        <f t="shared" si="63"/>
        <v>0</v>
      </c>
      <c r="DC19" s="938">
        <f t="shared" si="64"/>
        <v>0</v>
      </c>
      <c r="DD19" s="938">
        <f t="shared" si="65"/>
        <v>0</v>
      </c>
      <c r="DE19" s="938" t="str">
        <f t="shared" si="66"/>
        <v/>
      </c>
      <c r="DF19" s="713">
        <f>'min. Düngung 22'!AL20</f>
        <v>0</v>
      </c>
      <c r="DG19" s="938"/>
      <c r="DH19" s="938"/>
      <c r="DI19" s="938">
        <f t="shared" si="67"/>
        <v>0</v>
      </c>
      <c r="DJ19" s="938">
        <f t="shared" si="68"/>
        <v>0</v>
      </c>
      <c r="DK19" s="938">
        <f t="shared" si="69"/>
        <v>0</v>
      </c>
      <c r="DL19" s="938">
        <f t="shared" si="70"/>
        <v>0</v>
      </c>
      <c r="DM19" s="938">
        <f t="shared" si="71"/>
        <v>0</v>
      </c>
      <c r="DN19" s="938" t="str">
        <f t="shared" si="72"/>
        <v/>
      </c>
      <c r="DO19" s="713">
        <f>'min. Düngung 22'!AO20</f>
        <v>0</v>
      </c>
      <c r="DP19" s="938"/>
      <c r="DQ19" s="938"/>
      <c r="DR19" s="938">
        <f t="shared" si="73"/>
        <v>0</v>
      </c>
      <c r="DS19" s="938">
        <f t="shared" si="74"/>
        <v>0</v>
      </c>
      <c r="DT19" s="938">
        <f t="shared" si="75"/>
        <v>0</v>
      </c>
      <c r="DU19" s="938">
        <f t="shared" si="76"/>
        <v>0</v>
      </c>
      <c r="DV19" s="938">
        <f t="shared" si="77"/>
        <v>0</v>
      </c>
      <c r="DW19" s="938" t="str">
        <f t="shared" si="78"/>
        <v/>
      </c>
      <c r="DX19" s="713">
        <f>'min. Düngung 22'!AR20</f>
        <v>0</v>
      </c>
      <c r="DY19" s="938"/>
      <c r="DZ19" s="938"/>
      <c r="EA19" s="938">
        <f t="shared" si="79"/>
        <v>0</v>
      </c>
      <c r="EB19" s="938">
        <f t="shared" si="80"/>
        <v>0</v>
      </c>
      <c r="EC19" s="938">
        <f t="shared" si="81"/>
        <v>0</v>
      </c>
      <c r="ED19" s="938">
        <f t="shared" si="82"/>
        <v>0</v>
      </c>
      <c r="EE19" s="938">
        <f t="shared" si="83"/>
        <v>0</v>
      </c>
      <c r="EF19" s="938" t="str">
        <f t="shared" si="84"/>
        <v/>
      </c>
      <c r="EG19" s="713">
        <f>'min. Düngung 22'!AU20</f>
        <v>0</v>
      </c>
      <c r="EH19" s="938"/>
      <c r="EI19" s="938"/>
      <c r="EJ19" s="938">
        <f t="shared" si="85"/>
        <v>0</v>
      </c>
      <c r="EK19" s="938">
        <f t="shared" si="86"/>
        <v>0</v>
      </c>
      <c r="EL19" s="938">
        <f t="shared" si="87"/>
        <v>0</v>
      </c>
      <c r="EM19" s="938">
        <f t="shared" si="88"/>
        <v>0</v>
      </c>
      <c r="EN19" s="938">
        <f t="shared" si="89"/>
        <v>0</v>
      </c>
      <c r="EO19" s="938" t="str">
        <f t="shared" si="90"/>
        <v/>
      </c>
      <c r="EP19" s="713">
        <f>'min. Düngung 22'!AX20</f>
        <v>0</v>
      </c>
      <c r="EQ19" s="938"/>
      <c r="ER19" s="938"/>
      <c r="ES19" s="938">
        <f t="shared" si="91"/>
        <v>0</v>
      </c>
      <c r="ET19" s="938">
        <f t="shared" si="92"/>
        <v>0</v>
      </c>
      <c r="EU19" s="938">
        <f t="shared" si="93"/>
        <v>0</v>
      </c>
      <c r="EV19" s="938">
        <f t="shared" si="94"/>
        <v>0</v>
      </c>
      <c r="EW19" s="938">
        <f t="shared" si="95"/>
        <v>0</v>
      </c>
      <c r="EX19" s="938" t="str">
        <f t="shared" si="96"/>
        <v/>
      </c>
      <c r="EY19" s="713">
        <f>'min. Düngung 22'!BA20</f>
        <v>0</v>
      </c>
      <c r="EZ19" s="938"/>
      <c r="FA19" s="938"/>
      <c r="FB19" s="938">
        <f t="shared" si="97"/>
        <v>0</v>
      </c>
      <c r="FC19" s="938">
        <f t="shared" si="98"/>
        <v>0</v>
      </c>
      <c r="FD19" s="938">
        <f t="shared" si="99"/>
        <v>0</v>
      </c>
      <c r="FE19" s="938">
        <f t="shared" si="100"/>
        <v>0</v>
      </c>
      <c r="FF19" s="938">
        <f t="shared" si="101"/>
        <v>0</v>
      </c>
      <c r="FG19" s="938" t="str">
        <f t="shared" si="102"/>
        <v/>
      </c>
      <c r="FH19" s="713">
        <f>'min. Düngung 22'!BD20</f>
        <v>0</v>
      </c>
      <c r="FI19" s="938"/>
      <c r="FJ19" s="938"/>
      <c r="FK19" s="938">
        <f t="shared" si="103"/>
        <v>0</v>
      </c>
      <c r="FL19" s="938">
        <f t="shared" si="104"/>
        <v>0</v>
      </c>
      <c r="FM19" s="938">
        <f t="shared" si="105"/>
        <v>0</v>
      </c>
      <c r="FN19" s="938">
        <f t="shared" si="106"/>
        <v>0</v>
      </c>
      <c r="FO19" s="938">
        <f t="shared" si="107"/>
        <v>0</v>
      </c>
      <c r="FP19" s="938" t="str">
        <f t="shared" si="108"/>
        <v/>
      </c>
      <c r="FQ19" s="713">
        <f>'min. Düngung 22'!BG20</f>
        <v>0</v>
      </c>
      <c r="FR19" s="938"/>
      <c r="FS19" s="938"/>
      <c r="FT19" s="938">
        <f t="shared" si="109"/>
        <v>0</v>
      </c>
      <c r="FU19" s="938">
        <f t="shared" si="110"/>
        <v>0</v>
      </c>
      <c r="FV19" s="938">
        <f t="shared" si="111"/>
        <v>0</v>
      </c>
      <c r="FW19" s="938">
        <f t="shared" si="112"/>
        <v>0</v>
      </c>
      <c r="FX19" s="938">
        <f t="shared" si="113"/>
        <v>0</v>
      </c>
      <c r="FY19" s="938" t="str">
        <f t="shared" si="114"/>
        <v/>
      </c>
      <c r="FZ19" s="713">
        <f>'min. Düngung 22'!BJ20</f>
        <v>0</v>
      </c>
      <c r="GA19" s="938"/>
      <c r="GB19" s="938"/>
      <c r="GC19" s="938">
        <f t="shared" si="115"/>
        <v>0</v>
      </c>
      <c r="GD19" s="938">
        <f t="shared" si="116"/>
        <v>0</v>
      </c>
      <c r="GE19" s="938">
        <f t="shared" si="117"/>
        <v>0</v>
      </c>
      <c r="GF19" s="938">
        <f t="shared" si="118"/>
        <v>0</v>
      </c>
      <c r="GG19" s="938">
        <f t="shared" si="119"/>
        <v>0</v>
      </c>
      <c r="GH19" s="938" t="str">
        <f t="shared" si="120"/>
        <v/>
      </c>
      <c r="GI19" s="713">
        <f>'min. Düngung 22'!BM20</f>
        <v>0</v>
      </c>
      <c r="GJ19" s="938"/>
      <c r="GK19" s="938"/>
      <c r="GL19" s="938">
        <f t="shared" si="121"/>
        <v>0</v>
      </c>
      <c r="GM19" s="938">
        <f t="shared" si="122"/>
        <v>0</v>
      </c>
      <c r="GN19" s="938">
        <f t="shared" si="123"/>
        <v>0</v>
      </c>
      <c r="GO19" s="938">
        <f t="shared" si="124"/>
        <v>0</v>
      </c>
      <c r="GP19" s="938">
        <f t="shared" si="125"/>
        <v>0</v>
      </c>
      <c r="GQ19" s="938" t="str">
        <f t="shared" si="126"/>
        <v/>
      </c>
      <c r="GR19" s="713">
        <f>'min. Düngung 22'!BP20</f>
        <v>0</v>
      </c>
      <c r="GS19" s="938"/>
      <c r="GT19" s="938"/>
      <c r="GU19" s="938">
        <f t="shared" si="127"/>
        <v>0</v>
      </c>
      <c r="GV19" s="938">
        <f t="shared" si="128"/>
        <v>0</v>
      </c>
      <c r="GW19" s="938">
        <f t="shared" si="129"/>
        <v>0</v>
      </c>
      <c r="GX19" s="938">
        <f t="shared" si="130"/>
        <v>0</v>
      </c>
      <c r="GY19" s="938">
        <f t="shared" si="131"/>
        <v>0</v>
      </c>
      <c r="GZ19" s="938" t="str">
        <f t="shared" si="132"/>
        <v/>
      </c>
      <c r="HA19" s="713">
        <f>'min. Düngung 22'!BS20</f>
        <v>0</v>
      </c>
      <c r="HB19" s="938"/>
      <c r="HC19" s="938"/>
      <c r="HD19" s="938">
        <f t="shared" si="133"/>
        <v>0</v>
      </c>
      <c r="HE19" s="938">
        <f t="shared" si="134"/>
        <v>0</v>
      </c>
      <c r="HF19" s="938">
        <f t="shared" si="135"/>
        <v>0</v>
      </c>
      <c r="HG19" s="938">
        <f t="shared" si="136"/>
        <v>0</v>
      </c>
      <c r="HH19" s="938">
        <f t="shared" si="137"/>
        <v>0</v>
      </c>
      <c r="HI19" s="938" t="str">
        <f t="shared" si="138"/>
        <v/>
      </c>
      <c r="HJ19" s="713">
        <f>'min. Düngung 22'!BV20</f>
        <v>0</v>
      </c>
      <c r="HK19" s="938"/>
      <c r="HL19" s="938"/>
      <c r="HM19" s="938">
        <f t="shared" si="139"/>
        <v>0</v>
      </c>
      <c r="HN19" s="938">
        <f t="shared" si="140"/>
        <v>0</v>
      </c>
      <c r="HO19" s="938">
        <f t="shared" si="141"/>
        <v>0</v>
      </c>
      <c r="HP19" s="938">
        <f t="shared" si="142"/>
        <v>0</v>
      </c>
      <c r="HQ19" s="938">
        <f t="shared" si="143"/>
        <v>0</v>
      </c>
      <c r="HR19" s="938" t="str">
        <f t="shared" si="144"/>
        <v/>
      </c>
      <c r="HS19" s="713">
        <f>'min. Düngung 22'!BY20</f>
        <v>0</v>
      </c>
      <c r="HT19" s="938"/>
      <c r="HU19" s="938"/>
      <c r="HV19" s="938">
        <f t="shared" si="145"/>
        <v>0</v>
      </c>
      <c r="HW19" s="938">
        <f t="shared" si="146"/>
        <v>0</v>
      </c>
      <c r="HX19" s="938">
        <f t="shared" si="147"/>
        <v>0</v>
      </c>
      <c r="HY19" s="938">
        <f t="shared" si="148"/>
        <v>0</v>
      </c>
      <c r="HZ19" s="938">
        <f t="shared" si="149"/>
        <v>0</v>
      </c>
      <c r="IA19" s="938" t="str">
        <f t="shared" si="150"/>
        <v/>
      </c>
      <c r="IB19" s="713">
        <f>'min. Düngung 22'!CB20</f>
        <v>0</v>
      </c>
      <c r="IC19" s="938"/>
      <c r="ID19" s="938"/>
      <c r="IE19" s="938">
        <f t="shared" si="151"/>
        <v>0</v>
      </c>
      <c r="IF19" s="938">
        <f t="shared" si="152"/>
        <v>0</v>
      </c>
      <c r="IG19" s="938">
        <f t="shared" si="153"/>
        <v>0</v>
      </c>
      <c r="IH19" s="938">
        <f t="shared" si="154"/>
        <v>0</v>
      </c>
      <c r="II19" s="938">
        <f t="shared" si="155"/>
        <v>0</v>
      </c>
      <c r="IJ19" s="938" t="str">
        <f t="shared" si="156"/>
        <v/>
      </c>
      <c r="IK19" s="713">
        <f>'min. Düngung 22'!CE20</f>
        <v>0</v>
      </c>
      <c r="IL19" s="938"/>
      <c r="IM19" s="938"/>
      <c r="IN19" s="938">
        <f t="shared" si="157"/>
        <v>0</v>
      </c>
      <c r="IO19" s="938">
        <f t="shared" si="158"/>
        <v>0</v>
      </c>
      <c r="IP19" s="938">
        <f t="shared" si="159"/>
        <v>0</v>
      </c>
      <c r="IQ19" s="938">
        <f t="shared" si="160"/>
        <v>0</v>
      </c>
      <c r="IR19" s="938">
        <f t="shared" si="161"/>
        <v>0</v>
      </c>
      <c r="IS19" s="938" t="str">
        <f t="shared" si="162"/>
        <v/>
      </c>
      <c r="IT19" s="713">
        <f>'min. Düngung 22'!CH20</f>
        <v>0</v>
      </c>
      <c r="IU19" s="938"/>
      <c r="IV19" s="938"/>
      <c r="IW19" s="938">
        <f t="shared" si="163"/>
        <v>0</v>
      </c>
      <c r="IX19" s="938">
        <f t="shared" si="164"/>
        <v>0</v>
      </c>
      <c r="IY19" s="938">
        <f t="shared" si="165"/>
        <v>0</v>
      </c>
      <c r="IZ19" s="938">
        <f t="shared" si="166"/>
        <v>0</v>
      </c>
      <c r="JA19" s="938">
        <f t="shared" si="167"/>
        <v>0</v>
      </c>
      <c r="JB19" s="938" t="str">
        <f t="shared" si="168"/>
        <v/>
      </c>
      <c r="JC19" s="713">
        <f>'min. Düngung 22'!CK20</f>
        <v>0</v>
      </c>
      <c r="JD19" s="938"/>
      <c r="JE19" s="938"/>
      <c r="JF19" s="938">
        <f t="shared" si="169"/>
        <v>0</v>
      </c>
      <c r="JG19" s="938">
        <f t="shared" si="170"/>
        <v>0</v>
      </c>
      <c r="JH19" s="938">
        <f t="shared" si="171"/>
        <v>0</v>
      </c>
      <c r="JI19" s="938">
        <f t="shared" si="172"/>
        <v>0</v>
      </c>
      <c r="JJ19" s="938">
        <f t="shared" si="173"/>
        <v>0</v>
      </c>
      <c r="JK19" s="938" t="str">
        <f t="shared" si="174"/>
        <v/>
      </c>
      <c r="JL19" s="713">
        <f>'min. Düngung 22'!CN20</f>
        <v>0</v>
      </c>
      <c r="JM19" s="938"/>
      <c r="JN19" s="938"/>
      <c r="JO19" s="938">
        <f t="shared" si="175"/>
        <v>0</v>
      </c>
      <c r="JP19" s="938">
        <f t="shared" si="176"/>
        <v>0</v>
      </c>
      <c r="JQ19" s="938">
        <f t="shared" si="177"/>
        <v>0</v>
      </c>
      <c r="JR19" s="938">
        <f t="shared" si="178"/>
        <v>0</v>
      </c>
      <c r="JS19" s="938">
        <f t="shared" si="179"/>
        <v>0</v>
      </c>
      <c r="JT19" s="938" t="str">
        <f t="shared" si="180"/>
        <v/>
      </c>
      <c r="JU19" s="713">
        <f>'min. Düngung 22'!CQ20</f>
        <v>0</v>
      </c>
      <c r="JV19" s="938"/>
      <c r="JW19" s="938"/>
      <c r="JX19" s="938">
        <f t="shared" si="181"/>
        <v>0</v>
      </c>
      <c r="JY19" s="938">
        <f t="shared" si="182"/>
        <v>0</v>
      </c>
      <c r="JZ19" s="938">
        <f t="shared" si="183"/>
        <v>0</v>
      </c>
      <c r="KA19" s="938">
        <f t="shared" si="184"/>
        <v>0</v>
      </c>
      <c r="KB19" s="938">
        <f t="shared" si="185"/>
        <v>0</v>
      </c>
      <c r="KC19" s="938" t="str">
        <f t="shared" si="186"/>
        <v/>
      </c>
      <c r="KE19" s="938"/>
      <c r="KF19" s="938" t="str">
        <f>IF(AND($F19=2,$G19=1),"",IF(OR($Q19&gt;0,$O19&gt;60),$KF$7,IF(I19=70,"",IF(AND(I19=80,R19+'#orgDung'!AC22&lt;60,K19=1,OR(C19=2,'#BerechnungDBE'!AH13=4)),"",IF(R19&gt;0,$KF$7,"")))))</f>
        <v/>
      </c>
      <c r="KG19" s="938" t="str">
        <f>IF(AND(P19&gt;'#BerechnungDBE'!BJ13,P19&gt;0),'#minDung'!$KG$7,"")</f>
        <v/>
      </c>
      <c r="KH19" s="938" t="str">
        <f>IF(AND(I19=70,R19&gt;'#BerechnungDBE'!CR13),'#minDung'!$KH$7,"")</f>
        <v/>
      </c>
      <c r="KI19" s="938" t="str">
        <f>IF('#BerechnungDBE'!P13&lt;4,"",IF(AND('#BerechnungDBE'!BZ13&gt;0,N19&gt;0),$KI$7,""))</f>
        <v/>
      </c>
      <c r="KJ19" s="938" t="str">
        <f t="shared" si="5"/>
        <v/>
      </c>
    </row>
    <row r="20" spans="1:296" s="875" customFormat="1" hidden="1" x14ac:dyDescent="0.2">
      <c r="A20" s="875">
        <f>'Flächen u. Kulturen'!A19</f>
        <v>10</v>
      </c>
      <c r="B20" s="734">
        <f>'#BerechnungDBE'!L14</f>
        <v>0</v>
      </c>
      <c r="C20" s="46">
        <f>'#orgDung'!C23</f>
        <v>1</v>
      </c>
      <c r="D20" s="875">
        <f>'#BerechnungDBE'!T14</f>
        <v>2</v>
      </c>
      <c r="E20" s="875" t="str">
        <f>'Flächen u. Kulturen'!E19</f>
        <v>x</v>
      </c>
      <c r="F20" s="52">
        <f>'#BerechnungDBE'!N14</f>
        <v>1</v>
      </c>
      <c r="G20" s="52">
        <f>'#BerechnungDBE'!O14</f>
        <v>1</v>
      </c>
      <c r="H20" s="505">
        <f>'#orgDung'!J23</f>
        <v>2</v>
      </c>
      <c r="I20" s="875">
        <f>'#BerechnungDBE'!AF14</f>
        <v>0</v>
      </c>
      <c r="J20" s="875">
        <f>'#orgDung'!M23</f>
        <v>0</v>
      </c>
      <c r="K20" s="875">
        <f>'#BerechnungDBE'!AG14</f>
        <v>0</v>
      </c>
      <c r="M20" s="875">
        <f t="shared" si="0"/>
        <v>0</v>
      </c>
      <c r="N20" s="875">
        <f t="shared" si="1"/>
        <v>0</v>
      </c>
      <c r="O20" s="875">
        <f t="shared" si="2"/>
        <v>0</v>
      </c>
      <c r="P20" s="875">
        <f t="shared" si="4"/>
        <v>0</v>
      </c>
      <c r="Q20" s="938">
        <f t="shared" si="6"/>
        <v>0</v>
      </c>
      <c r="R20" s="875">
        <f t="shared" si="3"/>
        <v>0</v>
      </c>
      <c r="T20" s="713">
        <f>'min. Düngung 22'!H21</f>
        <v>0</v>
      </c>
      <c r="W20" s="875">
        <f t="shared" si="7"/>
        <v>0</v>
      </c>
      <c r="X20" s="875">
        <f t="shared" si="8"/>
        <v>0</v>
      </c>
      <c r="Y20" s="875">
        <f t="shared" si="9"/>
        <v>0</v>
      </c>
      <c r="Z20" s="875">
        <f t="shared" si="10"/>
        <v>0</v>
      </c>
      <c r="AA20" s="875">
        <f t="shared" si="11"/>
        <v>0</v>
      </c>
      <c r="AB20" s="875" t="str">
        <f t="shared" si="12"/>
        <v/>
      </c>
      <c r="AC20" s="713">
        <f>'min. Düngung 22'!K21</f>
        <v>0</v>
      </c>
      <c r="AD20" s="938"/>
      <c r="AE20" s="938"/>
      <c r="AF20" s="938">
        <f t="shared" si="13"/>
        <v>0</v>
      </c>
      <c r="AG20" s="938">
        <f t="shared" si="14"/>
        <v>0</v>
      </c>
      <c r="AH20" s="938">
        <f t="shared" si="15"/>
        <v>0</v>
      </c>
      <c r="AI20" s="938">
        <f t="shared" si="16"/>
        <v>0</v>
      </c>
      <c r="AJ20" s="938">
        <f t="shared" si="17"/>
        <v>0</v>
      </c>
      <c r="AK20" s="938">
        <f t="shared" si="18"/>
        <v>0</v>
      </c>
      <c r="AL20" s="713">
        <f>'min. Düngung 22'!N21</f>
        <v>0</v>
      </c>
      <c r="AM20" s="938"/>
      <c r="AN20" s="938"/>
      <c r="AO20" s="938">
        <f t="shared" si="19"/>
        <v>0</v>
      </c>
      <c r="AP20" s="938">
        <f t="shared" si="20"/>
        <v>0</v>
      </c>
      <c r="AQ20" s="938">
        <f t="shared" si="21"/>
        <v>0</v>
      </c>
      <c r="AR20" s="938">
        <f t="shared" si="22"/>
        <v>0</v>
      </c>
      <c r="AS20" s="938">
        <f t="shared" si="23"/>
        <v>0</v>
      </c>
      <c r="AT20" s="938" t="str">
        <f t="shared" si="24"/>
        <v/>
      </c>
      <c r="AU20" s="713">
        <f>'min. Düngung 22'!Q21</f>
        <v>0</v>
      </c>
      <c r="AV20" s="938"/>
      <c r="AW20" s="938"/>
      <c r="AX20" s="938">
        <f t="shared" si="25"/>
        <v>0</v>
      </c>
      <c r="AY20" s="938">
        <f t="shared" si="26"/>
        <v>0</v>
      </c>
      <c r="AZ20" s="938">
        <f t="shared" si="27"/>
        <v>0</v>
      </c>
      <c r="BA20" s="938">
        <f t="shared" si="28"/>
        <v>0</v>
      </c>
      <c r="BB20" s="938">
        <f t="shared" si="29"/>
        <v>0</v>
      </c>
      <c r="BC20" s="938" t="str">
        <f t="shared" si="30"/>
        <v/>
      </c>
      <c r="BD20" s="713">
        <f>'min. Düngung 22'!T21</f>
        <v>0</v>
      </c>
      <c r="BE20" s="938"/>
      <c r="BF20" s="938"/>
      <c r="BG20" s="938">
        <f t="shared" si="31"/>
        <v>0</v>
      </c>
      <c r="BH20" s="938">
        <f t="shared" si="32"/>
        <v>0</v>
      </c>
      <c r="BI20" s="938">
        <f t="shared" si="33"/>
        <v>0</v>
      </c>
      <c r="BJ20" s="938">
        <f t="shared" si="34"/>
        <v>0</v>
      </c>
      <c r="BK20" s="938">
        <f t="shared" si="35"/>
        <v>0</v>
      </c>
      <c r="BL20" s="938" t="str">
        <f t="shared" si="36"/>
        <v/>
      </c>
      <c r="BM20" s="713">
        <f>'min. Düngung 22'!W21</f>
        <v>0</v>
      </c>
      <c r="BN20" s="938"/>
      <c r="BO20" s="938"/>
      <c r="BP20" s="938">
        <f t="shared" si="37"/>
        <v>0</v>
      </c>
      <c r="BQ20" s="938">
        <f t="shared" si="38"/>
        <v>0</v>
      </c>
      <c r="BR20" s="938">
        <f t="shared" si="39"/>
        <v>0</v>
      </c>
      <c r="BS20" s="938">
        <f t="shared" si="40"/>
        <v>0</v>
      </c>
      <c r="BT20" s="938">
        <f t="shared" si="41"/>
        <v>0</v>
      </c>
      <c r="BU20" s="938" t="str">
        <f t="shared" si="42"/>
        <v/>
      </c>
      <c r="BV20" s="713">
        <f>'min. Düngung 22'!Z21</f>
        <v>0</v>
      </c>
      <c r="BW20" s="938"/>
      <c r="BX20" s="938"/>
      <c r="BY20" s="938">
        <f t="shared" si="43"/>
        <v>0</v>
      </c>
      <c r="BZ20" s="938">
        <f t="shared" si="44"/>
        <v>0</v>
      </c>
      <c r="CA20" s="938">
        <f t="shared" si="45"/>
        <v>0</v>
      </c>
      <c r="CB20" s="938">
        <f t="shared" si="46"/>
        <v>0</v>
      </c>
      <c r="CC20" s="938">
        <f t="shared" si="47"/>
        <v>0</v>
      </c>
      <c r="CD20" s="938" t="str">
        <f t="shared" si="48"/>
        <v/>
      </c>
      <c r="CE20" s="713">
        <f>'min. Düngung 22'!AC21</f>
        <v>0</v>
      </c>
      <c r="CF20" s="938"/>
      <c r="CG20" s="938"/>
      <c r="CH20" s="938">
        <f t="shared" si="49"/>
        <v>0</v>
      </c>
      <c r="CI20" s="938">
        <f t="shared" si="50"/>
        <v>0</v>
      </c>
      <c r="CJ20" s="938">
        <f t="shared" si="51"/>
        <v>0</v>
      </c>
      <c r="CK20" s="938">
        <f t="shared" si="52"/>
        <v>0</v>
      </c>
      <c r="CL20" s="938">
        <f t="shared" si="53"/>
        <v>0</v>
      </c>
      <c r="CM20" s="938" t="str">
        <f t="shared" si="54"/>
        <v/>
      </c>
      <c r="CN20" s="713">
        <f>'min. Düngung 22'!AF21</f>
        <v>0</v>
      </c>
      <c r="CO20" s="938"/>
      <c r="CP20" s="938"/>
      <c r="CQ20" s="938">
        <f t="shared" si="55"/>
        <v>0</v>
      </c>
      <c r="CR20" s="938">
        <f t="shared" si="56"/>
        <v>0</v>
      </c>
      <c r="CS20" s="938">
        <f t="shared" si="57"/>
        <v>0</v>
      </c>
      <c r="CT20" s="938">
        <f t="shared" si="58"/>
        <v>0</v>
      </c>
      <c r="CU20" s="938">
        <f t="shared" si="59"/>
        <v>0</v>
      </c>
      <c r="CV20" s="938" t="str">
        <f t="shared" si="60"/>
        <v/>
      </c>
      <c r="CW20" s="713">
        <f>'min. Düngung 22'!AI21</f>
        <v>0</v>
      </c>
      <c r="CX20" s="938"/>
      <c r="CY20" s="938"/>
      <c r="CZ20" s="938">
        <f t="shared" si="61"/>
        <v>0</v>
      </c>
      <c r="DA20" s="938">
        <f t="shared" si="62"/>
        <v>0</v>
      </c>
      <c r="DB20" s="938">
        <f t="shared" si="63"/>
        <v>0</v>
      </c>
      <c r="DC20" s="938">
        <f t="shared" si="64"/>
        <v>0</v>
      </c>
      <c r="DD20" s="938">
        <f t="shared" si="65"/>
        <v>0</v>
      </c>
      <c r="DE20" s="938" t="str">
        <f t="shared" si="66"/>
        <v/>
      </c>
      <c r="DF20" s="713">
        <f>'min. Düngung 22'!AL21</f>
        <v>0</v>
      </c>
      <c r="DG20" s="938"/>
      <c r="DH20" s="938"/>
      <c r="DI20" s="938">
        <f t="shared" si="67"/>
        <v>0</v>
      </c>
      <c r="DJ20" s="938">
        <f t="shared" si="68"/>
        <v>0</v>
      </c>
      <c r="DK20" s="938">
        <f t="shared" si="69"/>
        <v>0</v>
      </c>
      <c r="DL20" s="938">
        <f t="shared" si="70"/>
        <v>0</v>
      </c>
      <c r="DM20" s="938">
        <f t="shared" si="71"/>
        <v>0</v>
      </c>
      <c r="DN20" s="938" t="str">
        <f t="shared" si="72"/>
        <v/>
      </c>
      <c r="DO20" s="713">
        <f>'min. Düngung 22'!AO21</f>
        <v>0</v>
      </c>
      <c r="DP20" s="938"/>
      <c r="DQ20" s="938"/>
      <c r="DR20" s="938">
        <f t="shared" si="73"/>
        <v>0</v>
      </c>
      <c r="DS20" s="938">
        <f t="shared" si="74"/>
        <v>0</v>
      </c>
      <c r="DT20" s="938">
        <f t="shared" si="75"/>
        <v>0</v>
      </c>
      <c r="DU20" s="938">
        <f t="shared" si="76"/>
        <v>0</v>
      </c>
      <c r="DV20" s="938">
        <f t="shared" si="77"/>
        <v>0</v>
      </c>
      <c r="DW20" s="938" t="str">
        <f t="shared" si="78"/>
        <v/>
      </c>
      <c r="DX20" s="713">
        <f>'min. Düngung 22'!AR21</f>
        <v>0</v>
      </c>
      <c r="DY20" s="938"/>
      <c r="DZ20" s="938"/>
      <c r="EA20" s="938">
        <f t="shared" si="79"/>
        <v>0</v>
      </c>
      <c r="EB20" s="938">
        <f t="shared" si="80"/>
        <v>0</v>
      </c>
      <c r="EC20" s="938">
        <f t="shared" si="81"/>
        <v>0</v>
      </c>
      <c r="ED20" s="938">
        <f t="shared" si="82"/>
        <v>0</v>
      </c>
      <c r="EE20" s="938">
        <f t="shared" si="83"/>
        <v>0</v>
      </c>
      <c r="EF20" s="938" t="str">
        <f t="shared" si="84"/>
        <v/>
      </c>
      <c r="EG20" s="713">
        <f>'min. Düngung 22'!AU21</f>
        <v>0</v>
      </c>
      <c r="EH20" s="938"/>
      <c r="EI20" s="938"/>
      <c r="EJ20" s="938">
        <f t="shared" si="85"/>
        <v>0</v>
      </c>
      <c r="EK20" s="938">
        <f t="shared" si="86"/>
        <v>0</v>
      </c>
      <c r="EL20" s="938">
        <f t="shared" si="87"/>
        <v>0</v>
      </c>
      <c r="EM20" s="938">
        <f t="shared" si="88"/>
        <v>0</v>
      </c>
      <c r="EN20" s="938">
        <f t="shared" si="89"/>
        <v>0</v>
      </c>
      <c r="EO20" s="938" t="str">
        <f t="shared" si="90"/>
        <v/>
      </c>
      <c r="EP20" s="713">
        <f>'min. Düngung 22'!AX21</f>
        <v>0</v>
      </c>
      <c r="EQ20" s="938"/>
      <c r="ER20" s="938"/>
      <c r="ES20" s="938">
        <f t="shared" si="91"/>
        <v>0</v>
      </c>
      <c r="ET20" s="938">
        <f t="shared" si="92"/>
        <v>0</v>
      </c>
      <c r="EU20" s="938">
        <f t="shared" si="93"/>
        <v>0</v>
      </c>
      <c r="EV20" s="938">
        <f t="shared" si="94"/>
        <v>0</v>
      </c>
      <c r="EW20" s="938">
        <f t="shared" si="95"/>
        <v>0</v>
      </c>
      <c r="EX20" s="938" t="str">
        <f t="shared" si="96"/>
        <v/>
      </c>
      <c r="EY20" s="713">
        <f>'min. Düngung 22'!BA21</f>
        <v>0</v>
      </c>
      <c r="EZ20" s="938"/>
      <c r="FA20" s="938"/>
      <c r="FB20" s="938">
        <f t="shared" si="97"/>
        <v>0</v>
      </c>
      <c r="FC20" s="938">
        <f t="shared" si="98"/>
        <v>0</v>
      </c>
      <c r="FD20" s="938">
        <f t="shared" si="99"/>
        <v>0</v>
      </c>
      <c r="FE20" s="938">
        <f t="shared" si="100"/>
        <v>0</v>
      </c>
      <c r="FF20" s="938">
        <f t="shared" si="101"/>
        <v>0</v>
      </c>
      <c r="FG20" s="938" t="str">
        <f t="shared" si="102"/>
        <v/>
      </c>
      <c r="FH20" s="713">
        <f>'min. Düngung 22'!BD21</f>
        <v>0</v>
      </c>
      <c r="FI20" s="938"/>
      <c r="FJ20" s="938"/>
      <c r="FK20" s="938">
        <f t="shared" si="103"/>
        <v>0</v>
      </c>
      <c r="FL20" s="938">
        <f t="shared" si="104"/>
        <v>0</v>
      </c>
      <c r="FM20" s="938">
        <f t="shared" si="105"/>
        <v>0</v>
      </c>
      <c r="FN20" s="938">
        <f t="shared" si="106"/>
        <v>0</v>
      </c>
      <c r="FO20" s="938">
        <f t="shared" si="107"/>
        <v>0</v>
      </c>
      <c r="FP20" s="938" t="str">
        <f t="shared" si="108"/>
        <v/>
      </c>
      <c r="FQ20" s="713">
        <f>'min. Düngung 22'!BG21</f>
        <v>0</v>
      </c>
      <c r="FR20" s="938"/>
      <c r="FS20" s="938"/>
      <c r="FT20" s="938">
        <f t="shared" si="109"/>
        <v>0</v>
      </c>
      <c r="FU20" s="938">
        <f t="shared" si="110"/>
        <v>0</v>
      </c>
      <c r="FV20" s="938">
        <f t="shared" si="111"/>
        <v>0</v>
      </c>
      <c r="FW20" s="938">
        <f t="shared" si="112"/>
        <v>0</v>
      </c>
      <c r="FX20" s="938">
        <f t="shared" si="113"/>
        <v>0</v>
      </c>
      <c r="FY20" s="938" t="str">
        <f t="shared" si="114"/>
        <v/>
      </c>
      <c r="FZ20" s="713">
        <f>'min. Düngung 22'!BJ21</f>
        <v>0</v>
      </c>
      <c r="GA20" s="938"/>
      <c r="GB20" s="938"/>
      <c r="GC20" s="938">
        <f t="shared" si="115"/>
        <v>0</v>
      </c>
      <c r="GD20" s="938">
        <f t="shared" si="116"/>
        <v>0</v>
      </c>
      <c r="GE20" s="938">
        <f t="shared" si="117"/>
        <v>0</v>
      </c>
      <c r="GF20" s="938">
        <f t="shared" si="118"/>
        <v>0</v>
      </c>
      <c r="GG20" s="938">
        <f t="shared" si="119"/>
        <v>0</v>
      </c>
      <c r="GH20" s="938" t="str">
        <f t="shared" si="120"/>
        <v/>
      </c>
      <c r="GI20" s="713">
        <f>'min. Düngung 22'!BM21</f>
        <v>0</v>
      </c>
      <c r="GJ20" s="938"/>
      <c r="GK20" s="938"/>
      <c r="GL20" s="938">
        <f t="shared" si="121"/>
        <v>0</v>
      </c>
      <c r="GM20" s="938">
        <f t="shared" si="122"/>
        <v>0</v>
      </c>
      <c r="GN20" s="938">
        <f t="shared" si="123"/>
        <v>0</v>
      </c>
      <c r="GO20" s="938">
        <f t="shared" si="124"/>
        <v>0</v>
      </c>
      <c r="GP20" s="938">
        <f t="shared" si="125"/>
        <v>0</v>
      </c>
      <c r="GQ20" s="938" t="str">
        <f t="shared" si="126"/>
        <v/>
      </c>
      <c r="GR20" s="713">
        <f>'min. Düngung 22'!BP21</f>
        <v>0</v>
      </c>
      <c r="GS20" s="938"/>
      <c r="GT20" s="938"/>
      <c r="GU20" s="938">
        <f t="shared" si="127"/>
        <v>0</v>
      </c>
      <c r="GV20" s="938">
        <f t="shared" si="128"/>
        <v>0</v>
      </c>
      <c r="GW20" s="938">
        <f t="shared" si="129"/>
        <v>0</v>
      </c>
      <c r="GX20" s="938">
        <f t="shared" si="130"/>
        <v>0</v>
      </c>
      <c r="GY20" s="938">
        <f t="shared" si="131"/>
        <v>0</v>
      </c>
      <c r="GZ20" s="938" t="str">
        <f t="shared" si="132"/>
        <v/>
      </c>
      <c r="HA20" s="713">
        <f>'min. Düngung 22'!BS21</f>
        <v>0</v>
      </c>
      <c r="HB20" s="938"/>
      <c r="HC20" s="938"/>
      <c r="HD20" s="938">
        <f t="shared" si="133"/>
        <v>0</v>
      </c>
      <c r="HE20" s="938">
        <f t="shared" si="134"/>
        <v>0</v>
      </c>
      <c r="HF20" s="938">
        <f t="shared" si="135"/>
        <v>0</v>
      </c>
      <c r="HG20" s="938">
        <f t="shared" si="136"/>
        <v>0</v>
      </c>
      <c r="HH20" s="938">
        <f t="shared" si="137"/>
        <v>0</v>
      </c>
      <c r="HI20" s="938" t="str">
        <f t="shared" si="138"/>
        <v/>
      </c>
      <c r="HJ20" s="713">
        <f>'min. Düngung 22'!BV21</f>
        <v>0</v>
      </c>
      <c r="HK20" s="938"/>
      <c r="HL20" s="938"/>
      <c r="HM20" s="938">
        <f t="shared" si="139"/>
        <v>0</v>
      </c>
      <c r="HN20" s="938">
        <f t="shared" si="140"/>
        <v>0</v>
      </c>
      <c r="HO20" s="938">
        <f t="shared" si="141"/>
        <v>0</v>
      </c>
      <c r="HP20" s="938">
        <f t="shared" si="142"/>
        <v>0</v>
      </c>
      <c r="HQ20" s="938">
        <f t="shared" si="143"/>
        <v>0</v>
      </c>
      <c r="HR20" s="938" t="str">
        <f t="shared" si="144"/>
        <v/>
      </c>
      <c r="HS20" s="713">
        <f>'min. Düngung 22'!BY21</f>
        <v>0</v>
      </c>
      <c r="HT20" s="938"/>
      <c r="HU20" s="938"/>
      <c r="HV20" s="938">
        <f t="shared" si="145"/>
        <v>0</v>
      </c>
      <c r="HW20" s="938">
        <f t="shared" si="146"/>
        <v>0</v>
      </c>
      <c r="HX20" s="938">
        <f t="shared" si="147"/>
        <v>0</v>
      </c>
      <c r="HY20" s="938">
        <f t="shared" si="148"/>
        <v>0</v>
      </c>
      <c r="HZ20" s="938">
        <f t="shared" si="149"/>
        <v>0</v>
      </c>
      <c r="IA20" s="938" t="str">
        <f t="shared" si="150"/>
        <v/>
      </c>
      <c r="IB20" s="713">
        <f>'min. Düngung 22'!CB21</f>
        <v>0</v>
      </c>
      <c r="IC20" s="938"/>
      <c r="ID20" s="938"/>
      <c r="IE20" s="938">
        <f t="shared" si="151"/>
        <v>0</v>
      </c>
      <c r="IF20" s="938">
        <f t="shared" si="152"/>
        <v>0</v>
      </c>
      <c r="IG20" s="938">
        <f t="shared" si="153"/>
        <v>0</v>
      </c>
      <c r="IH20" s="938">
        <f t="shared" si="154"/>
        <v>0</v>
      </c>
      <c r="II20" s="938">
        <f t="shared" si="155"/>
        <v>0</v>
      </c>
      <c r="IJ20" s="938" t="str">
        <f t="shared" si="156"/>
        <v/>
      </c>
      <c r="IK20" s="713">
        <f>'min. Düngung 22'!CE21</f>
        <v>0</v>
      </c>
      <c r="IL20" s="938"/>
      <c r="IM20" s="938"/>
      <c r="IN20" s="938">
        <f t="shared" si="157"/>
        <v>0</v>
      </c>
      <c r="IO20" s="938">
        <f t="shared" si="158"/>
        <v>0</v>
      </c>
      <c r="IP20" s="938">
        <f t="shared" si="159"/>
        <v>0</v>
      </c>
      <c r="IQ20" s="938">
        <f t="shared" si="160"/>
        <v>0</v>
      </c>
      <c r="IR20" s="938">
        <f t="shared" si="161"/>
        <v>0</v>
      </c>
      <c r="IS20" s="938" t="str">
        <f t="shared" si="162"/>
        <v/>
      </c>
      <c r="IT20" s="713">
        <f>'min. Düngung 22'!CH21</f>
        <v>0</v>
      </c>
      <c r="IU20" s="938"/>
      <c r="IV20" s="938"/>
      <c r="IW20" s="938">
        <f t="shared" si="163"/>
        <v>0</v>
      </c>
      <c r="IX20" s="938">
        <f t="shared" si="164"/>
        <v>0</v>
      </c>
      <c r="IY20" s="938">
        <f t="shared" si="165"/>
        <v>0</v>
      </c>
      <c r="IZ20" s="938">
        <f t="shared" si="166"/>
        <v>0</v>
      </c>
      <c r="JA20" s="938">
        <f t="shared" si="167"/>
        <v>0</v>
      </c>
      <c r="JB20" s="938" t="str">
        <f t="shared" si="168"/>
        <v/>
      </c>
      <c r="JC20" s="713">
        <f>'min. Düngung 22'!CK21</f>
        <v>0</v>
      </c>
      <c r="JD20" s="938"/>
      <c r="JE20" s="938"/>
      <c r="JF20" s="938">
        <f t="shared" si="169"/>
        <v>0</v>
      </c>
      <c r="JG20" s="938">
        <f t="shared" si="170"/>
        <v>0</v>
      </c>
      <c r="JH20" s="938">
        <f t="shared" si="171"/>
        <v>0</v>
      </c>
      <c r="JI20" s="938">
        <f t="shared" si="172"/>
        <v>0</v>
      </c>
      <c r="JJ20" s="938">
        <f t="shared" si="173"/>
        <v>0</v>
      </c>
      <c r="JK20" s="938" t="str">
        <f t="shared" si="174"/>
        <v/>
      </c>
      <c r="JL20" s="713">
        <f>'min. Düngung 22'!CN21</f>
        <v>0</v>
      </c>
      <c r="JM20" s="938"/>
      <c r="JN20" s="938"/>
      <c r="JO20" s="938">
        <f t="shared" si="175"/>
        <v>0</v>
      </c>
      <c r="JP20" s="938">
        <f t="shared" si="176"/>
        <v>0</v>
      </c>
      <c r="JQ20" s="938">
        <f t="shared" si="177"/>
        <v>0</v>
      </c>
      <c r="JR20" s="938">
        <f t="shared" si="178"/>
        <v>0</v>
      </c>
      <c r="JS20" s="938">
        <f t="shared" si="179"/>
        <v>0</v>
      </c>
      <c r="JT20" s="938" t="str">
        <f t="shared" si="180"/>
        <v/>
      </c>
      <c r="JU20" s="713">
        <f>'min. Düngung 22'!CQ21</f>
        <v>0</v>
      </c>
      <c r="JV20" s="938"/>
      <c r="JW20" s="938"/>
      <c r="JX20" s="938">
        <f t="shared" si="181"/>
        <v>0</v>
      </c>
      <c r="JY20" s="938">
        <f t="shared" si="182"/>
        <v>0</v>
      </c>
      <c r="JZ20" s="938">
        <f t="shared" si="183"/>
        <v>0</v>
      </c>
      <c r="KA20" s="938">
        <f t="shared" si="184"/>
        <v>0</v>
      </c>
      <c r="KB20" s="938">
        <f t="shared" si="185"/>
        <v>0</v>
      </c>
      <c r="KC20" s="938" t="str">
        <f t="shared" si="186"/>
        <v/>
      </c>
      <c r="KE20" s="938"/>
      <c r="KF20" s="938" t="str">
        <f>IF(AND($F20=2,$G20=1),"",IF(OR($Q20&gt;0,$O20&gt;60),$KF$7,IF(I20=70,"",IF(AND(I20=80,R20+'#orgDung'!AC23&lt;60,K20=1,OR(C20=2,'#BerechnungDBE'!AH14=4)),"",IF(R20&gt;0,$KF$7,"")))))</f>
        <v/>
      </c>
      <c r="KG20" s="938" t="str">
        <f>IF(AND(P20&gt;'#BerechnungDBE'!BJ14,P20&gt;0),'#minDung'!$KG$7,"")</f>
        <v/>
      </c>
      <c r="KH20" s="938" t="str">
        <f>IF(AND(I20=70,R20&gt;'#BerechnungDBE'!CR14),'#minDung'!$KH$7,"")</f>
        <v/>
      </c>
      <c r="KI20" s="938" t="str">
        <f>IF('#BerechnungDBE'!P14&lt;4,"",IF(AND('#BerechnungDBE'!BZ14&gt;0,N20&gt;0),$KI$7,""))</f>
        <v/>
      </c>
      <c r="KJ20" s="938" t="str">
        <f t="shared" si="5"/>
        <v/>
      </c>
    </row>
    <row r="21" spans="1:296" s="875" customFormat="1" hidden="1" x14ac:dyDescent="0.2">
      <c r="A21" s="875">
        <f>'Flächen u. Kulturen'!A20</f>
        <v>11</v>
      </c>
      <c r="B21" s="734">
        <f>'#BerechnungDBE'!L15</f>
        <v>0</v>
      </c>
      <c r="C21" s="46">
        <f>'#orgDung'!C24</f>
        <v>1</v>
      </c>
      <c r="D21" s="875">
        <f>'#BerechnungDBE'!T15</f>
        <v>2</v>
      </c>
      <c r="E21" s="875" t="str">
        <f>'Flächen u. Kulturen'!E20</f>
        <v>x</v>
      </c>
      <c r="F21" s="52">
        <f>'#BerechnungDBE'!N15</f>
        <v>1</v>
      </c>
      <c r="G21" s="52">
        <f>'#BerechnungDBE'!O15</f>
        <v>1</v>
      </c>
      <c r="H21" s="505">
        <f>'#orgDung'!J24</f>
        <v>2</v>
      </c>
      <c r="I21" s="875">
        <f>'#BerechnungDBE'!AF15</f>
        <v>0</v>
      </c>
      <c r="J21" s="875">
        <f>'#orgDung'!M24</f>
        <v>0</v>
      </c>
      <c r="K21" s="875">
        <f>'#BerechnungDBE'!AG15</f>
        <v>0</v>
      </c>
      <c r="M21" s="875">
        <f t="shared" si="0"/>
        <v>0</v>
      </c>
      <c r="N21" s="875">
        <f t="shared" si="1"/>
        <v>0</v>
      </c>
      <c r="O21" s="875">
        <f t="shared" si="2"/>
        <v>0</v>
      </c>
      <c r="P21" s="875">
        <f t="shared" si="4"/>
        <v>0</v>
      </c>
      <c r="Q21" s="938">
        <f t="shared" si="6"/>
        <v>0</v>
      </c>
      <c r="R21" s="875">
        <f t="shared" si="3"/>
        <v>0</v>
      </c>
      <c r="T21" s="713">
        <f>'min. Düngung 22'!H22</f>
        <v>0</v>
      </c>
      <c r="W21" s="875">
        <f t="shared" si="7"/>
        <v>0</v>
      </c>
      <c r="X21" s="875">
        <f t="shared" si="8"/>
        <v>0</v>
      </c>
      <c r="Y21" s="875">
        <f t="shared" si="9"/>
        <v>0</v>
      </c>
      <c r="Z21" s="875">
        <f t="shared" si="10"/>
        <v>0</v>
      </c>
      <c r="AA21" s="875">
        <f t="shared" si="11"/>
        <v>0</v>
      </c>
      <c r="AB21" s="875" t="str">
        <f t="shared" si="12"/>
        <v/>
      </c>
      <c r="AC21" s="713">
        <f>'min. Düngung 22'!K22</f>
        <v>0</v>
      </c>
      <c r="AD21" s="938"/>
      <c r="AE21" s="938"/>
      <c r="AF21" s="938">
        <f t="shared" si="13"/>
        <v>0</v>
      </c>
      <c r="AG21" s="938">
        <f t="shared" si="14"/>
        <v>0</v>
      </c>
      <c r="AH21" s="938">
        <f t="shared" si="15"/>
        <v>0</v>
      </c>
      <c r="AI21" s="938">
        <f t="shared" si="16"/>
        <v>0</v>
      </c>
      <c r="AJ21" s="938">
        <f t="shared" si="17"/>
        <v>0</v>
      </c>
      <c r="AK21" s="938">
        <f t="shared" si="18"/>
        <v>0</v>
      </c>
      <c r="AL21" s="713">
        <f>'min. Düngung 22'!N22</f>
        <v>0</v>
      </c>
      <c r="AM21" s="938"/>
      <c r="AN21" s="938"/>
      <c r="AO21" s="938">
        <f t="shared" si="19"/>
        <v>0</v>
      </c>
      <c r="AP21" s="938">
        <f t="shared" si="20"/>
        <v>0</v>
      </c>
      <c r="AQ21" s="938">
        <f t="shared" si="21"/>
        <v>0</v>
      </c>
      <c r="AR21" s="938">
        <f t="shared" si="22"/>
        <v>0</v>
      </c>
      <c r="AS21" s="938">
        <f t="shared" si="23"/>
        <v>0</v>
      </c>
      <c r="AT21" s="938" t="str">
        <f t="shared" si="24"/>
        <v/>
      </c>
      <c r="AU21" s="713">
        <f>'min. Düngung 22'!Q22</f>
        <v>0</v>
      </c>
      <c r="AV21" s="938"/>
      <c r="AW21" s="938"/>
      <c r="AX21" s="938">
        <f t="shared" si="25"/>
        <v>0</v>
      </c>
      <c r="AY21" s="938">
        <f t="shared" si="26"/>
        <v>0</v>
      </c>
      <c r="AZ21" s="938">
        <f t="shared" si="27"/>
        <v>0</v>
      </c>
      <c r="BA21" s="938">
        <f t="shared" si="28"/>
        <v>0</v>
      </c>
      <c r="BB21" s="938">
        <f t="shared" si="29"/>
        <v>0</v>
      </c>
      <c r="BC21" s="938" t="str">
        <f t="shared" si="30"/>
        <v/>
      </c>
      <c r="BD21" s="713">
        <f>'min. Düngung 22'!T22</f>
        <v>0</v>
      </c>
      <c r="BE21" s="938"/>
      <c r="BF21" s="938"/>
      <c r="BG21" s="938">
        <f t="shared" si="31"/>
        <v>0</v>
      </c>
      <c r="BH21" s="938">
        <f t="shared" si="32"/>
        <v>0</v>
      </c>
      <c r="BI21" s="938">
        <f t="shared" si="33"/>
        <v>0</v>
      </c>
      <c r="BJ21" s="938">
        <f t="shared" si="34"/>
        <v>0</v>
      </c>
      <c r="BK21" s="938">
        <f t="shared" si="35"/>
        <v>0</v>
      </c>
      <c r="BL21" s="938" t="str">
        <f t="shared" si="36"/>
        <v/>
      </c>
      <c r="BM21" s="713">
        <f>'min. Düngung 22'!W22</f>
        <v>0</v>
      </c>
      <c r="BN21" s="938"/>
      <c r="BO21" s="938"/>
      <c r="BP21" s="938">
        <f t="shared" si="37"/>
        <v>0</v>
      </c>
      <c r="BQ21" s="938">
        <f t="shared" si="38"/>
        <v>0</v>
      </c>
      <c r="BR21" s="938">
        <f t="shared" si="39"/>
        <v>0</v>
      </c>
      <c r="BS21" s="938">
        <f t="shared" si="40"/>
        <v>0</v>
      </c>
      <c r="BT21" s="938">
        <f t="shared" si="41"/>
        <v>0</v>
      </c>
      <c r="BU21" s="938" t="str">
        <f t="shared" si="42"/>
        <v/>
      </c>
      <c r="BV21" s="713">
        <f>'min. Düngung 22'!Z22</f>
        <v>0</v>
      </c>
      <c r="BW21" s="938"/>
      <c r="BX21" s="938"/>
      <c r="BY21" s="938">
        <f t="shared" si="43"/>
        <v>0</v>
      </c>
      <c r="BZ21" s="938">
        <f t="shared" si="44"/>
        <v>0</v>
      </c>
      <c r="CA21" s="938">
        <f t="shared" si="45"/>
        <v>0</v>
      </c>
      <c r="CB21" s="938">
        <f t="shared" si="46"/>
        <v>0</v>
      </c>
      <c r="CC21" s="938">
        <f t="shared" si="47"/>
        <v>0</v>
      </c>
      <c r="CD21" s="938" t="str">
        <f t="shared" si="48"/>
        <v/>
      </c>
      <c r="CE21" s="713">
        <f>'min. Düngung 22'!AC22</f>
        <v>0</v>
      </c>
      <c r="CF21" s="938"/>
      <c r="CG21" s="938"/>
      <c r="CH21" s="938">
        <f t="shared" si="49"/>
        <v>0</v>
      </c>
      <c r="CI21" s="938">
        <f t="shared" si="50"/>
        <v>0</v>
      </c>
      <c r="CJ21" s="938">
        <f t="shared" si="51"/>
        <v>0</v>
      </c>
      <c r="CK21" s="938">
        <f t="shared" si="52"/>
        <v>0</v>
      </c>
      <c r="CL21" s="938">
        <f t="shared" si="53"/>
        <v>0</v>
      </c>
      <c r="CM21" s="938" t="str">
        <f t="shared" si="54"/>
        <v/>
      </c>
      <c r="CN21" s="713">
        <f>'min. Düngung 22'!AF22</f>
        <v>0</v>
      </c>
      <c r="CO21" s="938"/>
      <c r="CP21" s="938"/>
      <c r="CQ21" s="938">
        <f t="shared" si="55"/>
        <v>0</v>
      </c>
      <c r="CR21" s="938">
        <f t="shared" si="56"/>
        <v>0</v>
      </c>
      <c r="CS21" s="938">
        <f t="shared" si="57"/>
        <v>0</v>
      </c>
      <c r="CT21" s="938">
        <f t="shared" si="58"/>
        <v>0</v>
      </c>
      <c r="CU21" s="938">
        <f t="shared" si="59"/>
        <v>0</v>
      </c>
      <c r="CV21" s="938" t="str">
        <f t="shared" si="60"/>
        <v/>
      </c>
      <c r="CW21" s="713">
        <f>'min. Düngung 22'!AI22</f>
        <v>0</v>
      </c>
      <c r="CX21" s="938"/>
      <c r="CY21" s="938"/>
      <c r="CZ21" s="938">
        <f t="shared" si="61"/>
        <v>0</v>
      </c>
      <c r="DA21" s="938">
        <f t="shared" si="62"/>
        <v>0</v>
      </c>
      <c r="DB21" s="938">
        <f t="shared" si="63"/>
        <v>0</v>
      </c>
      <c r="DC21" s="938">
        <f t="shared" si="64"/>
        <v>0</v>
      </c>
      <c r="DD21" s="938">
        <f t="shared" si="65"/>
        <v>0</v>
      </c>
      <c r="DE21" s="938" t="str">
        <f t="shared" si="66"/>
        <v/>
      </c>
      <c r="DF21" s="713">
        <f>'min. Düngung 22'!AL22</f>
        <v>0</v>
      </c>
      <c r="DG21" s="938"/>
      <c r="DH21" s="938"/>
      <c r="DI21" s="938">
        <f t="shared" si="67"/>
        <v>0</v>
      </c>
      <c r="DJ21" s="938">
        <f t="shared" si="68"/>
        <v>0</v>
      </c>
      <c r="DK21" s="938">
        <f t="shared" si="69"/>
        <v>0</v>
      </c>
      <c r="DL21" s="938">
        <f t="shared" si="70"/>
        <v>0</v>
      </c>
      <c r="DM21" s="938">
        <f t="shared" si="71"/>
        <v>0</v>
      </c>
      <c r="DN21" s="938" t="str">
        <f t="shared" si="72"/>
        <v/>
      </c>
      <c r="DO21" s="713">
        <f>'min. Düngung 22'!AO22</f>
        <v>0</v>
      </c>
      <c r="DP21" s="938"/>
      <c r="DQ21" s="938"/>
      <c r="DR21" s="938">
        <f t="shared" si="73"/>
        <v>0</v>
      </c>
      <c r="DS21" s="938">
        <f t="shared" si="74"/>
        <v>0</v>
      </c>
      <c r="DT21" s="938">
        <f t="shared" si="75"/>
        <v>0</v>
      </c>
      <c r="DU21" s="938">
        <f t="shared" si="76"/>
        <v>0</v>
      </c>
      <c r="DV21" s="938">
        <f t="shared" si="77"/>
        <v>0</v>
      </c>
      <c r="DW21" s="938" t="str">
        <f t="shared" si="78"/>
        <v/>
      </c>
      <c r="DX21" s="713">
        <f>'min. Düngung 22'!AR22</f>
        <v>0</v>
      </c>
      <c r="DY21" s="938"/>
      <c r="DZ21" s="938"/>
      <c r="EA21" s="938">
        <f t="shared" si="79"/>
        <v>0</v>
      </c>
      <c r="EB21" s="938">
        <f t="shared" si="80"/>
        <v>0</v>
      </c>
      <c r="EC21" s="938">
        <f t="shared" si="81"/>
        <v>0</v>
      </c>
      <c r="ED21" s="938">
        <f t="shared" si="82"/>
        <v>0</v>
      </c>
      <c r="EE21" s="938">
        <f t="shared" si="83"/>
        <v>0</v>
      </c>
      <c r="EF21" s="938" t="str">
        <f t="shared" si="84"/>
        <v/>
      </c>
      <c r="EG21" s="713">
        <f>'min. Düngung 22'!AU22</f>
        <v>0</v>
      </c>
      <c r="EH21" s="938"/>
      <c r="EI21" s="938"/>
      <c r="EJ21" s="938">
        <f t="shared" si="85"/>
        <v>0</v>
      </c>
      <c r="EK21" s="938">
        <f t="shared" si="86"/>
        <v>0</v>
      </c>
      <c r="EL21" s="938">
        <f t="shared" si="87"/>
        <v>0</v>
      </c>
      <c r="EM21" s="938">
        <f t="shared" si="88"/>
        <v>0</v>
      </c>
      <c r="EN21" s="938">
        <f t="shared" si="89"/>
        <v>0</v>
      </c>
      <c r="EO21" s="938" t="str">
        <f t="shared" si="90"/>
        <v/>
      </c>
      <c r="EP21" s="713">
        <f>'min. Düngung 22'!AX22</f>
        <v>0</v>
      </c>
      <c r="EQ21" s="938"/>
      <c r="ER21" s="938"/>
      <c r="ES21" s="938">
        <f t="shared" si="91"/>
        <v>0</v>
      </c>
      <c r="ET21" s="938">
        <f t="shared" si="92"/>
        <v>0</v>
      </c>
      <c r="EU21" s="938">
        <f t="shared" si="93"/>
        <v>0</v>
      </c>
      <c r="EV21" s="938">
        <f t="shared" si="94"/>
        <v>0</v>
      </c>
      <c r="EW21" s="938">
        <f t="shared" si="95"/>
        <v>0</v>
      </c>
      <c r="EX21" s="938" t="str">
        <f t="shared" si="96"/>
        <v/>
      </c>
      <c r="EY21" s="713">
        <f>'min. Düngung 22'!BA22</f>
        <v>0</v>
      </c>
      <c r="EZ21" s="938"/>
      <c r="FA21" s="938"/>
      <c r="FB21" s="938">
        <f t="shared" si="97"/>
        <v>0</v>
      </c>
      <c r="FC21" s="938">
        <f t="shared" si="98"/>
        <v>0</v>
      </c>
      <c r="FD21" s="938">
        <f t="shared" si="99"/>
        <v>0</v>
      </c>
      <c r="FE21" s="938">
        <f t="shared" si="100"/>
        <v>0</v>
      </c>
      <c r="FF21" s="938">
        <f t="shared" si="101"/>
        <v>0</v>
      </c>
      <c r="FG21" s="938" t="str">
        <f t="shared" si="102"/>
        <v/>
      </c>
      <c r="FH21" s="713">
        <f>'min. Düngung 22'!BD22</f>
        <v>0</v>
      </c>
      <c r="FI21" s="938"/>
      <c r="FJ21" s="938"/>
      <c r="FK21" s="938">
        <f t="shared" si="103"/>
        <v>0</v>
      </c>
      <c r="FL21" s="938">
        <f t="shared" si="104"/>
        <v>0</v>
      </c>
      <c r="FM21" s="938">
        <f t="shared" si="105"/>
        <v>0</v>
      </c>
      <c r="FN21" s="938">
        <f t="shared" si="106"/>
        <v>0</v>
      </c>
      <c r="FO21" s="938">
        <f t="shared" si="107"/>
        <v>0</v>
      </c>
      <c r="FP21" s="938" t="str">
        <f t="shared" si="108"/>
        <v/>
      </c>
      <c r="FQ21" s="713">
        <f>'min. Düngung 22'!BG22</f>
        <v>0</v>
      </c>
      <c r="FR21" s="938"/>
      <c r="FS21" s="938"/>
      <c r="FT21" s="938">
        <f t="shared" si="109"/>
        <v>0</v>
      </c>
      <c r="FU21" s="938">
        <f t="shared" si="110"/>
        <v>0</v>
      </c>
      <c r="FV21" s="938">
        <f t="shared" si="111"/>
        <v>0</v>
      </c>
      <c r="FW21" s="938">
        <f t="shared" si="112"/>
        <v>0</v>
      </c>
      <c r="FX21" s="938">
        <f t="shared" si="113"/>
        <v>0</v>
      </c>
      <c r="FY21" s="938" t="str">
        <f t="shared" si="114"/>
        <v/>
      </c>
      <c r="FZ21" s="713">
        <f>'min. Düngung 22'!BJ22</f>
        <v>0</v>
      </c>
      <c r="GA21" s="938"/>
      <c r="GB21" s="938"/>
      <c r="GC21" s="938">
        <f t="shared" si="115"/>
        <v>0</v>
      </c>
      <c r="GD21" s="938">
        <f t="shared" si="116"/>
        <v>0</v>
      </c>
      <c r="GE21" s="938">
        <f t="shared" si="117"/>
        <v>0</v>
      </c>
      <c r="GF21" s="938">
        <f t="shared" si="118"/>
        <v>0</v>
      </c>
      <c r="GG21" s="938">
        <f t="shared" si="119"/>
        <v>0</v>
      </c>
      <c r="GH21" s="938" t="str">
        <f t="shared" si="120"/>
        <v/>
      </c>
      <c r="GI21" s="713">
        <f>'min. Düngung 22'!BM22</f>
        <v>0</v>
      </c>
      <c r="GJ21" s="938"/>
      <c r="GK21" s="938"/>
      <c r="GL21" s="938">
        <f t="shared" si="121"/>
        <v>0</v>
      </c>
      <c r="GM21" s="938">
        <f t="shared" si="122"/>
        <v>0</v>
      </c>
      <c r="GN21" s="938">
        <f t="shared" si="123"/>
        <v>0</v>
      </c>
      <c r="GO21" s="938">
        <f t="shared" si="124"/>
        <v>0</v>
      </c>
      <c r="GP21" s="938">
        <f t="shared" si="125"/>
        <v>0</v>
      </c>
      <c r="GQ21" s="938" t="str">
        <f t="shared" si="126"/>
        <v/>
      </c>
      <c r="GR21" s="713">
        <f>'min. Düngung 22'!BP22</f>
        <v>0</v>
      </c>
      <c r="GS21" s="938"/>
      <c r="GT21" s="938"/>
      <c r="GU21" s="938">
        <f t="shared" si="127"/>
        <v>0</v>
      </c>
      <c r="GV21" s="938">
        <f t="shared" si="128"/>
        <v>0</v>
      </c>
      <c r="GW21" s="938">
        <f t="shared" si="129"/>
        <v>0</v>
      </c>
      <c r="GX21" s="938">
        <f t="shared" si="130"/>
        <v>0</v>
      </c>
      <c r="GY21" s="938">
        <f t="shared" si="131"/>
        <v>0</v>
      </c>
      <c r="GZ21" s="938" t="str">
        <f t="shared" si="132"/>
        <v/>
      </c>
      <c r="HA21" s="713">
        <f>'min. Düngung 22'!BS22</f>
        <v>0</v>
      </c>
      <c r="HB21" s="938"/>
      <c r="HC21" s="938"/>
      <c r="HD21" s="938">
        <f t="shared" si="133"/>
        <v>0</v>
      </c>
      <c r="HE21" s="938">
        <f t="shared" si="134"/>
        <v>0</v>
      </c>
      <c r="HF21" s="938">
        <f t="shared" si="135"/>
        <v>0</v>
      </c>
      <c r="HG21" s="938">
        <f t="shared" si="136"/>
        <v>0</v>
      </c>
      <c r="HH21" s="938">
        <f t="shared" si="137"/>
        <v>0</v>
      </c>
      <c r="HI21" s="938" t="str">
        <f t="shared" si="138"/>
        <v/>
      </c>
      <c r="HJ21" s="713">
        <f>'min. Düngung 22'!BV22</f>
        <v>0</v>
      </c>
      <c r="HK21" s="938"/>
      <c r="HL21" s="938"/>
      <c r="HM21" s="938">
        <f t="shared" si="139"/>
        <v>0</v>
      </c>
      <c r="HN21" s="938">
        <f t="shared" si="140"/>
        <v>0</v>
      </c>
      <c r="HO21" s="938">
        <f t="shared" si="141"/>
        <v>0</v>
      </c>
      <c r="HP21" s="938">
        <f t="shared" si="142"/>
        <v>0</v>
      </c>
      <c r="HQ21" s="938">
        <f t="shared" si="143"/>
        <v>0</v>
      </c>
      <c r="HR21" s="938" t="str">
        <f t="shared" si="144"/>
        <v/>
      </c>
      <c r="HS21" s="713">
        <f>'min. Düngung 22'!BY22</f>
        <v>0</v>
      </c>
      <c r="HT21" s="938"/>
      <c r="HU21" s="938"/>
      <c r="HV21" s="938">
        <f t="shared" si="145"/>
        <v>0</v>
      </c>
      <c r="HW21" s="938">
        <f t="shared" si="146"/>
        <v>0</v>
      </c>
      <c r="HX21" s="938">
        <f t="shared" si="147"/>
        <v>0</v>
      </c>
      <c r="HY21" s="938">
        <f t="shared" si="148"/>
        <v>0</v>
      </c>
      <c r="HZ21" s="938">
        <f t="shared" si="149"/>
        <v>0</v>
      </c>
      <c r="IA21" s="938" t="str">
        <f t="shared" si="150"/>
        <v/>
      </c>
      <c r="IB21" s="713">
        <f>'min. Düngung 22'!CB22</f>
        <v>0</v>
      </c>
      <c r="IC21" s="938"/>
      <c r="ID21" s="938"/>
      <c r="IE21" s="938">
        <f t="shared" si="151"/>
        <v>0</v>
      </c>
      <c r="IF21" s="938">
        <f t="shared" si="152"/>
        <v>0</v>
      </c>
      <c r="IG21" s="938">
        <f t="shared" si="153"/>
        <v>0</v>
      </c>
      <c r="IH21" s="938">
        <f t="shared" si="154"/>
        <v>0</v>
      </c>
      <c r="II21" s="938">
        <f t="shared" si="155"/>
        <v>0</v>
      </c>
      <c r="IJ21" s="938" t="str">
        <f t="shared" si="156"/>
        <v/>
      </c>
      <c r="IK21" s="713">
        <f>'min. Düngung 22'!CE22</f>
        <v>0</v>
      </c>
      <c r="IL21" s="938"/>
      <c r="IM21" s="938"/>
      <c r="IN21" s="938">
        <f t="shared" si="157"/>
        <v>0</v>
      </c>
      <c r="IO21" s="938">
        <f t="shared" si="158"/>
        <v>0</v>
      </c>
      <c r="IP21" s="938">
        <f t="shared" si="159"/>
        <v>0</v>
      </c>
      <c r="IQ21" s="938">
        <f t="shared" si="160"/>
        <v>0</v>
      </c>
      <c r="IR21" s="938">
        <f t="shared" si="161"/>
        <v>0</v>
      </c>
      <c r="IS21" s="938" t="str">
        <f t="shared" si="162"/>
        <v/>
      </c>
      <c r="IT21" s="713">
        <f>'min. Düngung 22'!CH22</f>
        <v>0</v>
      </c>
      <c r="IU21" s="938"/>
      <c r="IV21" s="938"/>
      <c r="IW21" s="938">
        <f t="shared" si="163"/>
        <v>0</v>
      </c>
      <c r="IX21" s="938">
        <f t="shared" si="164"/>
        <v>0</v>
      </c>
      <c r="IY21" s="938">
        <f t="shared" si="165"/>
        <v>0</v>
      </c>
      <c r="IZ21" s="938">
        <f t="shared" si="166"/>
        <v>0</v>
      </c>
      <c r="JA21" s="938">
        <f t="shared" si="167"/>
        <v>0</v>
      </c>
      <c r="JB21" s="938" t="str">
        <f t="shared" si="168"/>
        <v/>
      </c>
      <c r="JC21" s="713">
        <f>'min. Düngung 22'!CK22</f>
        <v>0</v>
      </c>
      <c r="JD21" s="938"/>
      <c r="JE21" s="938"/>
      <c r="JF21" s="938">
        <f t="shared" si="169"/>
        <v>0</v>
      </c>
      <c r="JG21" s="938">
        <f t="shared" si="170"/>
        <v>0</v>
      </c>
      <c r="JH21" s="938">
        <f t="shared" si="171"/>
        <v>0</v>
      </c>
      <c r="JI21" s="938">
        <f t="shared" si="172"/>
        <v>0</v>
      </c>
      <c r="JJ21" s="938">
        <f t="shared" si="173"/>
        <v>0</v>
      </c>
      <c r="JK21" s="938" t="str">
        <f t="shared" si="174"/>
        <v/>
      </c>
      <c r="JL21" s="713">
        <f>'min. Düngung 22'!CN22</f>
        <v>0</v>
      </c>
      <c r="JM21" s="938"/>
      <c r="JN21" s="938"/>
      <c r="JO21" s="938">
        <f t="shared" si="175"/>
        <v>0</v>
      </c>
      <c r="JP21" s="938">
        <f t="shared" si="176"/>
        <v>0</v>
      </c>
      <c r="JQ21" s="938">
        <f t="shared" si="177"/>
        <v>0</v>
      </c>
      <c r="JR21" s="938">
        <f t="shared" si="178"/>
        <v>0</v>
      </c>
      <c r="JS21" s="938">
        <f t="shared" si="179"/>
        <v>0</v>
      </c>
      <c r="JT21" s="938" t="str">
        <f t="shared" si="180"/>
        <v/>
      </c>
      <c r="JU21" s="713">
        <f>'min. Düngung 22'!CQ22</f>
        <v>0</v>
      </c>
      <c r="JV21" s="938"/>
      <c r="JW21" s="938"/>
      <c r="JX21" s="938">
        <f t="shared" si="181"/>
        <v>0</v>
      </c>
      <c r="JY21" s="938">
        <f t="shared" si="182"/>
        <v>0</v>
      </c>
      <c r="JZ21" s="938">
        <f t="shared" si="183"/>
        <v>0</v>
      </c>
      <c r="KA21" s="938">
        <f t="shared" si="184"/>
        <v>0</v>
      </c>
      <c r="KB21" s="938">
        <f t="shared" si="185"/>
        <v>0</v>
      </c>
      <c r="KC21" s="938" t="str">
        <f t="shared" si="186"/>
        <v/>
      </c>
      <c r="KE21" s="938"/>
      <c r="KF21" s="938" t="str">
        <f>IF(AND($F21=2,$G21=1),"",IF(OR($Q21&gt;0,$O21&gt;60),$KF$7,IF(I21=70,"",IF(AND(I21=80,R21+'#orgDung'!AC24&lt;60,K21=1,OR(C21=2,'#BerechnungDBE'!AH15=4)),"",IF(R21&gt;0,$KF$7,"")))))</f>
        <v/>
      </c>
      <c r="KG21" s="938" t="str">
        <f>IF(AND(P21&gt;'#BerechnungDBE'!BJ15,P21&gt;0),'#minDung'!$KG$7,"")</f>
        <v/>
      </c>
      <c r="KH21" s="938" t="str">
        <f>IF(AND(I21=70,R21&gt;'#BerechnungDBE'!CR15),'#minDung'!$KH$7,"")</f>
        <v/>
      </c>
      <c r="KI21" s="938" t="str">
        <f>IF('#BerechnungDBE'!P15&lt;4,"",IF(AND('#BerechnungDBE'!BZ15&gt;0,N21&gt;0),$KI$7,""))</f>
        <v/>
      </c>
      <c r="KJ21" s="938" t="str">
        <f t="shared" si="5"/>
        <v/>
      </c>
    </row>
    <row r="22" spans="1:296" s="875" customFormat="1" hidden="1" x14ac:dyDescent="0.2">
      <c r="A22" s="875">
        <f>'Flächen u. Kulturen'!A21</f>
        <v>12</v>
      </c>
      <c r="B22" s="734">
        <f>'#BerechnungDBE'!L16</f>
        <v>0</v>
      </c>
      <c r="C22" s="46">
        <f>'#orgDung'!C25</f>
        <v>1</v>
      </c>
      <c r="D22" s="875">
        <f>'#BerechnungDBE'!T16</f>
        <v>2</v>
      </c>
      <c r="E22" s="875" t="str">
        <f>'Flächen u. Kulturen'!E21</f>
        <v>x</v>
      </c>
      <c r="F22" s="52">
        <f>'#BerechnungDBE'!N16</f>
        <v>1</v>
      </c>
      <c r="G22" s="52">
        <f>'#BerechnungDBE'!O16</f>
        <v>1</v>
      </c>
      <c r="H22" s="505">
        <f>'#orgDung'!J25</f>
        <v>2</v>
      </c>
      <c r="I22" s="875">
        <f>'#BerechnungDBE'!AF16</f>
        <v>0</v>
      </c>
      <c r="J22" s="875">
        <f>'#orgDung'!M25</f>
        <v>0</v>
      </c>
      <c r="K22" s="875">
        <f>'#BerechnungDBE'!AG16</f>
        <v>0</v>
      </c>
      <c r="M22" s="875">
        <f t="shared" si="0"/>
        <v>0</v>
      </c>
      <c r="N22" s="875">
        <f t="shared" si="1"/>
        <v>0</v>
      </c>
      <c r="O22" s="875">
        <f t="shared" si="2"/>
        <v>0</v>
      </c>
      <c r="P22" s="875">
        <f t="shared" si="4"/>
        <v>0</v>
      </c>
      <c r="Q22" s="938">
        <f t="shared" si="6"/>
        <v>0</v>
      </c>
      <c r="R22" s="875">
        <f t="shared" si="3"/>
        <v>0</v>
      </c>
      <c r="T22" s="713">
        <f>'min. Düngung 22'!H23</f>
        <v>0</v>
      </c>
      <c r="W22" s="875">
        <f t="shared" si="7"/>
        <v>0</v>
      </c>
      <c r="X22" s="875">
        <f t="shared" si="8"/>
        <v>0</v>
      </c>
      <c r="Y22" s="875">
        <f t="shared" si="9"/>
        <v>0</v>
      </c>
      <c r="Z22" s="875">
        <f t="shared" si="10"/>
        <v>0</v>
      </c>
      <c r="AA22" s="875">
        <f t="shared" si="11"/>
        <v>0</v>
      </c>
      <c r="AB22" s="875" t="str">
        <f t="shared" si="12"/>
        <v/>
      </c>
      <c r="AC22" s="713">
        <f>'min. Düngung 22'!K23</f>
        <v>0</v>
      </c>
      <c r="AD22" s="938"/>
      <c r="AE22" s="938"/>
      <c r="AF22" s="938">
        <f t="shared" si="13"/>
        <v>0</v>
      </c>
      <c r="AG22" s="938">
        <f t="shared" si="14"/>
        <v>0</v>
      </c>
      <c r="AH22" s="938">
        <f t="shared" si="15"/>
        <v>0</v>
      </c>
      <c r="AI22" s="938">
        <f t="shared" si="16"/>
        <v>0</v>
      </c>
      <c r="AJ22" s="938">
        <f t="shared" si="17"/>
        <v>0</v>
      </c>
      <c r="AK22" s="938">
        <f t="shared" si="18"/>
        <v>0</v>
      </c>
      <c r="AL22" s="713">
        <f>'min. Düngung 22'!N23</f>
        <v>0</v>
      </c>
      <c r="AM22" s="938"/>
      <c r="AN22" s="938"/>
      <c r="AO22" s="938">
        <f t="shared" si="19"/>
        <v>0</v>
      </c>
      <c r="AP22" s="938">
        <f t="shared" si="20"/>
        <v>0</v>
      </c>
      <c r="AQ22" s="938">
        <f t="shared" si="21"/>
        <v>0</v>
      </c>
      <c r="AR22" s="938">
        <f t="shared" si="22"/>
        <v>0</v>
      </c>
      <c r="AS22" s="938">
        <f t="shared" si="23"/>
        <v>0</v>
      </c>
      <c r="AT22" s="938" t="str">
        <f t="shared" si="24"/>
        <v/>
      </c>
      <c r="AU22" s="713">
        <f>'min. Düngung 22'!Q23</f>
        <v>0</v>
      </c>
      <c r="AV22" s="938"/>
      <c r="AW22" s="938"/>
      <c r="AX22" s="938">
        <f t="shared" si="25"/>
        <v>0</v>
      </c>
      <c r="AY22" s="938">
        <f t="shared" si="26"/>
        <v>0</v>
      </c>
      <c r="AZ22" s="938">
        <f t="shared" si="27"/>
        <v>0</v>
      </c>
      <c r="BA22" s="938">
        <f t="shared" si="28"/>
        <v>0</v>
      </c>
      <c r="BB22" s="938">
        <f t="shared" si="29"/>
        <v>0</v>
      </c>
      <c r="BC22" s="938" t="str">
        <f t="shared" si="30"/>
        <v/>
      </c>
      <c r="BD22" s="713">
        <f>'min. Düngung 22'!T23</f>
        <v>0</v>
      </c>
      <c r="BE22" s="938"/>
      <c r="BF22" s="938"/>
      <c r="BG22" s="938">
        <f t="shared" si="31"/>
        <v>0</v>
      </c>
      <c r="BH22" s="938">
        <f t="shared" si="32"/>
        <v>0</v>
      </c>
      <c r="BI22" s="938">
        <f t="shared" si="33"/>
        <v>0</v>
      </c>
      <c r="BJ22" s="938">
        <f t="shared" si="34"/>
        <v>0</v>
      </c>
      <c r="BK22" s="938">
        <f t="shared" si="35"/>
        <v>0</v>
      </c>
      <c r="BL22" s="938" t="str">
        <f t="shared" si="36"/>
        <v/>
      </c>
      <c r="BM22" s="713">
        <f>'min. Düngung 22'!W23</f>
        <v>0</v>
      </c>
      <c r="BN22" s="938"/>
      <c r="BO22" s="938"/>
      <c r="BP22" s="938">
        <f t="shared" si="37"/>
        <v>0</v>
      </c>
      <c r="BQ22" s="938">
        <f t="shared" si="38"/>
        <v>0</v>
      </c>
      <c r="BR22" s="938">
        <f t="shared" si="39"/>
        <v>0</v>
      </c>
      <c r="BS22" s="938">
        <f t="shared" si="40"/>
        <v>0</v>
      </c>
      <c r="BT22" s="938">
        <f t="shared" si="41"/>
        <v>0</v>
      </c>
      <c r="BU22" s="938" t="str">
        <f t="shared" si="42"/>
        <v/>
      </c>
      <c r="BV22" s="713">
        <f>'min. Düngung 22'!Z23</f>
        <v>0</v>
      </c>
      <c r="BW22" s="938"/>
      <c r="BX22" s="938"/>
      <c r="BY22" s="938">
        <f t="shared" si="43"/>
        <v>0</v>
      </c>
      <c r="BZ22" s="938">
        <f t="shared" si="44"/>
        <v>0</v>
      </c>
      <c r="CA22" s="938">
        <f t="shared" si="45"/>
        <v>0</v>
      </c>
      <c r="CB22" s="938">
        <f t="shared" si="46"/>
        <v>0</v>
      </c>
      <c r="CC22" s="938">
        <f t="shared" si="47"/>
        <v>0</v>
      </c>
      <c r="CD22" s="938" t="str">
        <f t="shared" si="48"/>
        <v/>
      </c>
      <c r="CE22" s="713">
        <f>'min. Düngung 22'!AC23</f>
        <v>0</v>
      </c>
      <c r="CF22" s="938"/>
      <c r="CG22" s="938"/>
      <c r="CH22" s="938">
        <f t="shared" si="49"/>
        <v>0</v>
      </c>
      <c r="CI22" s="938">
        <f t="shared" si="50"/>
        <v>0</v>
      </c>
      <c r="CJ22" s="938">
        <f t="shared" si="51"/>
        <v>0</v>
      </c>
      <c r="CK22" s="938">
        <f t="shared" si="52"/>
        <v>0</v>
      </c>
      <c r="CL22" s="938">
        <f t="shared" si="53"/>
        <v>0</v>
      </c>
      <c r="CM22" s="938" t="str">
        <f t="shared" si="54"/>
        <v/>
      </c>
      <c r="CN22" s="713">
        <f>'min. Düngung 22'!AF23</f>
        <v>0</v>
      </c>
      <c r="CO22" s="938"/>
      <c r="CP22" s="938"/>
      <c r="CQ22" s="938">
        <f t="shared" si="55"/>
        <v>0</v>
      </c>
      <c r="CR22" s="938">
        <f t="shared" si="56"/>
        <v>0</v>
      </c>
      <c r="CS22" s="938">
        <f t="shared" si="57"/>
        <v>0</v>
      </c>
      <c r="CT22" s="938">
        <f t="shared" si="58"/>
        <v>0</v>
      </c>
      <c r="CU22" s="938">
        <f t="shared" si="59"/>
        <v>0</v>
      </c>
      <c r="CV22" s="938" t="str">
        <f t="shared" si="60"/>
        <v/>
      </c>
      <c r="CW22" s="713">
        <f>'min. Düngung 22'!AI23</f>
        <v>0</v>
      </c>
      <c r="CX22" s="938"/>
      <c r="CY22" s="938"/>
      <c r="CZ22" s="938">
        <f t="shared" si="61"/>
        <v>0</v>
      </c>
      <c r="DA22" s="938">
        <f t="shared" si="62"/>
        <v>0</v>
      </c>
      <c r="DB22" s="938">
        <f t="shared" si="63"/>
        <v>0</v>
      </c>
      <c r="DC22" s="938">
        <f t="shared" si="64"/>
        <v>0</v>
      </c>
      <c r="DD22" s="938">
        <f t="shared" si="65"/>
        <v>0</v>
      </c>
      <c r="DE22" s="938" t="str">
        <f t="shared" si="66"/>
        <v/>
      </c>
      <c r="DF22" s="713">
        <f>'min. Düngung 22'!AL23</f>
        <v>0</v>
      </c>
      <c r="DG22" s="938"/>
      <c r="DH22" s="938"/>
      <c r="DI22" s="938">
        <f t="shared" si="67"/>
        <v>0</v>
      </c>
      <c r="DJ22" s="938">
        <f t="shared" si="68"/>
        <v>0</v>
      </c>
      <c r="DK22" s="938">
        <f t="shared" si="69"/>
        <v>0</v>
      </c>
      <c r="DL22" s="938">
        <f t="shared" si="70"/>
        <v>0</v>
      </c>
      <c r="DM22" s="938">
        <f t="shared" si="71"/>
        <v>0</v>
      </c>
      <c r="DN22" s="938" t="str">
        <f t="shared" si="72"/>
        <v/>
      </c>
      <c r="DO22" s="713">
        <f>'min. Düngung 22'!AO23</f>
        <v>0</v>
      </c>
      <c r="DP22" s="938"/>
      <c r="DQ22" s="938"/>
      <c r="DR22" s="938">
        <f t="shared" si="73"/>
        <v>0</v>
      </c>
      <c r="DS22" s="938">
        <f t="shared" si="74"/>
        <v>0</v>
      </c>
      <c r="DT22" s="938">
        <f t="shared" si="75"/>
        <v>0</v>
      </c>
      <c r="DU22" s="938">
        <f t="shared" si="76"/>
        <v>0</v>
      </c>
      <c r="DV22" s="938">
        <f t="shared" si="77"/>
        <v>0</v>
      </c>
      <c r="DW22" s="938" t="str">
        <f t="shared" si="78"/>
        <v/>
      </c>
      <c r="DX22" s="713">
        <f>'min. Düngung 22'!AR23</f>
        <v>0</v>
      </c>
      <c r="DY22" s="938"/>
      <c r="DZ22" s="938"/>
      <c r="EA22" s="938">
        <f t="shared" si="79"/>
        <v>0</v>
      </c>
      <c r="EB22" s="938">
        <f t="shared" si="80"/>
        <v>0</v>
      </c>
      <c r="EC22" s="938">
        <f t="shared" si="81"/>
        <v>0</v>
      </c>
      <c r="ED22" s="938">
        <f t="shared" si="82"/>
        <v>0</v>
      </c>
      <c r="EE22" s="938">
        <f t="shared" si="83"/>
        <v>0</v>
      </c>
      <c r="EF22" s="938" t="str">
        <f t="shared" si="84"/>
        <v/>
      </c>
      <c r="EG22" s="713">
        <f>'min. Düngung 22'!AU23</f>
        <v>0</v>
      </c>
      <c r="EH22" s="938"/>
      <c r="EI22" s="938"/>
      <c r="EJ22" s="938">
        <f t="shared" si="85"/>
        <v>0</v>
      </c>
      <c r="EK22" s="938">
        <f t="shared" si="86"/>
        <v>0</v>
      </c>
      <c r="EL22" s="938">
        <f t="shared" si="87"/>
        <v>0</v>
      </c>
      <c r="EM22" s="938">
        <f t="shared" si="88"/>
        <v>0</v>
      </c>
      <c r="EN22" s="938">
        <f t="shared" si="89"/>
        <v>0</v>
      </c>
      <c r="EO22" s="938" t="str">
        <f t="shared" si="90"/>
        <v/>
      </c>
      <c r="EP22" s="713">
        <f>'min. Düngung 22'!AX23</f>
        <v>0</v>
      </c>
      <c r="EQ22" s="938"/>
      <c r="ER22" s="938"/>
      <c r="ES22" s="938">
        <f t="shared" si="91"/>
        <v>0</v>
      </c>
      <c r="ET22" s="938">
        <f t="shared" si="92"/>
        <v>0</v>
      </c>
      <c r="EU22" s="938">
        <f t="shared" si="93"/>
        <v>0</v>
      </c>
      <c r="EV22" s="938">
        <f t="shared" si="94"/>
        <v>0</v>
      </c>
      <c r="EW22" s="938">
        <f t="shared" si="95"/>
        <v>0</v>
      </c>
      <c r="EX22" s="938" t="str">
        <f t="shared" si="96"/>
        <v/>
      </c>
      <c r="EY22" s="713">
        <f>'min. Düngung 22'!BA23</f>
        <v>0</v>
      </c>
      <c r="EZ22" s="938"/>
      <c r="FA22" s="938"/>
      <c r="FB22" s="938">
        <f t="shared" si="97"/>
        <v>0</v>
      </c>
      <c r="FC22" s="938">
        <f t="shared" si="98"/>
        <v>0</v>
      </c>
      <c r="FD22" s="938">
        <f t="shared" si="99"/>
        <v>0</v>
      </c>
      <c r="FE22" s="938">
        <f t="shared" si="100"/>
        <v>0</v>
      </c>
      <c r="FF22" s="938">
        <f t="shared" si="101"/>
        <v>0</v>
      </c>
      <c r="FG22" s="938" t="str">
        <f t="shared" si="102"/>
        <v/>
      </c>
      <c r="FH22" s="713">
        <f>'min. Düngung 22'!BD23</f>
        <v>0</v>
      </c>
      <c r="FI22" s="938"/>
      <c r="FJ22" s="938"/>
      <c r="FK22" s="938">
        <f t="shared" si="103"/>
        <v>0</v>
      </c>
      <c r="FL22" s="938">
        <f t="shared" si="104"/>
        <v>0</v>
      </c>
      <c r="FM22" s="938">
        <f t="shared" si="105"/>
        <v>0</v>
      </c>
      <c r="FN22" s="938">
        <f t="shared" si="106"/>
        <v>0</v>
      </c>
      <c r="FO22" s="938">
        <f t="shared" si="107"/>
        <v>0</v>
      </c>
      <c r="FP22" s="938" t="str">
        <f t="shared" si="108"/>
        <v/>
      </c>
      <c r="FQ22" s="713">
        <f>'min. Düngung 22'!BG23</f>
        <v>0</v>
      </c>
      <c r="FR22" s="938"/>
      <c r="FS22" s="938"/>
      <c r="FT22" s="938">
        <f t="shared" si="109"/>
        <v>0</v>
      </c>
      <c r="FU22" s="938">
        <f t="shared" si="110"/>
        <v>0</v>
      </c>
      <c r="FV22" s="938">
        <f t="shared" si="111"/>
        <v>0</v>
      </c>
      <c r="FW22" s="938">
        <f t="shared" si="112"/>
        <v>0</v>
      </c>
      <c r="FX22" s="938">
        <f t="shared" si="113"/>
        <v>0</v>
      </c>
      <c r="FY22" s="938" t="str">
        <f t="shared" si="114"/>
        <v/>
      </c>
      <c r="FZ22" s="713">
        <f>'min. Düngung 22'!BJ23</f>
        <v>0</v>
      </c>
      <c r="GA22" s="938"/>
      <c r="GB22" s="938"/>
      <c r="GC22" s="938">
        <f t="shared" si="115"/>
        <v>0</v>
      </c>
      <c r="GD22" s="938">
        <f t="shared" si="116"/>
        <v>0</v>
      </c>
      <c r="GE22" s="938">
        <f t="shared" si="117"/>
        <v>0</v>
      </c>
      <c r="GF22" s="938">
        <f t="shared" si="118"/>
        <v>0</v>
      </c>
      <c r="GG22" s="938">
        <f t="shared" si="119"/>
        <v>0</v>
      </c>
      <c r="GH22" s="938" t="str">
        <f t="shared" si="120"/>
        <v/>
      </c>
      <c r="GI22" s="713">
        <f>'min. Düngung 22'!BM23</f>
        <v>0</v>
      </c>
      <c r="GJ22" s="938"/>
      <c r="GK22" s="938"/>
      <c r="GL22" s="938">
        <f t="shared" si="121"/>
        <v>0</v>
      </c>
      <c r="GM22" s="938">
        <f t="shared" si="122"/>
        <v>0</v>
      </c>
      <c r="GN22" s="938">
        <f t="shared" si="123"/>
        <v>0</v>
      </c>
      <c r="GO22" s="938">
        <f t="shared" si="124"/>
        <v>0</v>
      </c>
      <c r="GP22" s="938">
        <f t="shared" si="125"/>
        <v>0</v>
      </c>
      <c r="GQ22" s="938" t="str">
        <f t="shared" si="126"/>
        <v/>
      </c>
      <c r="GR22" s="713">
        <f>'min. Düngung 22'!BP23</f>
        <v>0</v>
      </c>
      <c r="GS22" s="938"/>
      <c r="GT22" s="938"/>
      <c r="GU22" s="938">
        <f t="shared" si="127"/>
        <v>0</v>
      </c>
      <c r="GV22" s="938">
        <f t="shared" si="128"/>
        <v>0</v>
      </c>
      <c r="GW22" s="938">
        <f t="shared" si="129"/>
        <v>0</v>
      </c>
      <c r="GX22" s="938">
        <f t="shared" si="130"/>
        <v>0</v>
      </c>
      <c r="GY22" s="938">
        <f t="shared" si="131"/>
        <v>0</v>
      </c>
      <c r="GZ22" s="938" t="str">
        <f t="shared" si="132"/>
        <v/>
      </c>
      <c r="HA22" s="713">
        <f>'min. Düngung 22'!BS23</f>
        <v>0</v>
      </c>
      <c r="HB22" s="938"/>
      <c r="HC22" s="938"/>
      <c r="HD22" s="938">
        <f t="shared" si="133"/>
        <v>0</v>
      </c>
      <c r="HE22" s="938">
        <f t="shared" si="134"/>
        <v>0</v>
      </c>
      <c r="HF22" s="938">
        <f t="shared" si="135"/>
        <v>0</v>
      </c>
      <c r="HG22" s="938">
        <f t="shared" si="136"/>
        <v>0</v>
      </c>
      <c r="HH22" s="938">
        <f t="shared" si="137"/>
        <v>0</v>
      </c>
      <c r="HI22" s="938" t="str">
        <f t="shared" si="138"/>
        <v/>
      </c>
      <c r="HJ22" s="713">
        <f>'min. Düngung 22'!BV23</f>
        <v>0</v>
      </c>
      <c r="HK22" s="938"/>
      <c r="HL22" s="938"/>
      <c r="HM22" s="938">
        <f t="shared" si="139"/>
        <v>0</v>
      </c>
      <c r="HN22" s="938">
        <f t="shared" si="140"/>
        <v>0</v>
      </c>
      <c r="HO22" s="938">
        <f t="shared" si="141"/>
        <v>0</v>
      </c>
      <c r="HP22" s="938">
        <f t="shared" si="142"/>
        <v>0</v>
      </c>
      <c r="HQ22" s="938">
        <f t="shared" si="143"/>
        <v>0</v>
      </c>
      <c r="HR22" s="938" t="str">
        <f t="shared" si="144"/>
        <v/>
      </c>
      <c r="HS22" s="713">
        <f>'min. Düngung 22'!BY23</f>
        <v>0</v>
      </c>
      <c r="HT22" s="938"/>
      <c r="HU22" s="938"/>
      <c r="HV22" s="938">
        <f t="shared" si="145"/>
        <v>0</v>
      </c>
      <c r="HW22" s="938">
        <f t="shared" si="146"/>
        <v>0</v>
      </c>
      <c r="HX22" s="938">
        <f t="shared" si="147"/>
        <v>0</v>
      </c>
      <c r="HY22" s="938">
        <f t="shared" si="148"/>
        <v>0</v>
      </c>
      <c r="HZ22" s="938">
        <f t="shared" si="149"/>
        <v>0</v>
      </c>
      <c r="IA22" s="938" t="str">
        <f t="shared" si="150"/>
        <v/>
      </c>
      <c r="IB22" s="713">
        <f>'min. Düngung 22'!CB23</f>
        <v>0</v>
      </c>
      <c r="IC22" s="938"/>
      <c r="ID22" s="938"/>
      <c r="IE22" s="938">
        <f t="shared" si="151"/>
        <v>0</v>
      </c>
      <c r="IF22" s="938">
        <f t="shared" si="152"/>
        <v>0</v>
      </c>
      <c r="IG22" s="938">
        <f t="shared" si="153"/>
        <v>0</v>
      </c>
      <c r="IH22" s="938">
        <f t="shared" si="154"/>
        <v>0</v>
      </c>
      <c r="II22" s="938">
        <f t="shared" si="155"/>
        <v>0</v>
      </c>
      <c r="IJ22" s="938" t="str">
        <f t="shared" si="156"/>
        <v/>
      </c>
      <c r="IK22" s="713">
        <f>'min. Düngung 22'!CE23</f>
        <v>0</v>
      </c>
      <c r="IL22" s="938"/>
      <c r="IM22" s="938"/>
      <c r="IN22" s="938">
        <f t="shared" si="157"/>
        <v>0</v>
      </c>
      <c r="IO22" s="938">
        <f t="shared" si="158"/>
        <v>0</v>
      </c>
      <c r="IP22" s="938">
        <f t="shared" si="159"/>
        <v>0</v>
      </c>
      <c r="IQ22" s="938">
        <f t="shared" si="160"/>
        <v>0</v>
      </c>
      <c r="IR22" s="938">
        <f t="shared" si="161"/>
        <v>0</v>
      </c>
      <c r="IS22" s="938" t="str">
        <f t="shared" si="162"/>
        <v/>
      </c>
      <c r="IT22" s="713">
        <f>'min. Düngung 22'!CH23</f>
        <v>0</v>
      </c>
      <c r="IU22" s="938"/>
      <c r="IV22" s="938"/>
      <c r="IW22" s="938">
        <f t="shared" si="163"/>
        <v>0</v>
      </c>
      <c r="IX22" s="938">
        <f t="shared" si="164"/>
        <v>0</v>
      </c>
      <c r="IY22" s="938">
        <f t="shared" si="165"/>
        <v>0</v>
      </c>
      <c r="IZ22" s="938">
        <f t="shared" si="166"/>
        <v>0</v>
      </c>
      <c r="JA22" s="938">
        <f t="shared" si="167"/>
        <v>0</v>
      </c>
      <c r="JB22" s="938" t="str">
        <f t="shared" si="168"/>
        <v/>
      </c>
      <c r="JC22" s="713">
        <f>'min. Düngung 22'!CK23</f>
        <v>0</v>
      </c>
      <c r="JD22" s="938"/>
      <c r="JE22" s="938"/>
      <c r="JF22" s="938">
        <f t="shared" si="169"/>
        <v>0</v>
      </c>
      <c r="JG22" s="938">
        <f t="shared" si="170"/>
        <v>0</v>
      </c>
      <c r="JH22" s="938">
        <f t="shared" si="171"/>
        <v>0</v>
      </c>
      <c r="JI22" s="938">
        <f t="shared" si="172"/>
        <v>0</v>
      </c>
      <c r="JJ22" s="938">
        <f t="shared" si="173"/>
        <v>0</v>
      </c>
      <c r="JK22" s="938" t="str">
        <f t="shared" si="174"/>
        <v/>
      </c>
      <c r="JL22" s="713">
        <f>'min. Düngung 22'!CN23</f>
        <v>0</v>
      </c>
      <c r="JM22" s="938"/>
      <c r="JN22" s="938"/>
      <c r="JO22" s="938">
        <f t="shared" si="175"/>
        <v>0</v>
      </c>
      <c r="JP22" s="938">
        <f t="shared" si="176"/>
        <v>0</v>
      </c>
      <c r="JQ22" s="938">
        <f t="shared" si="177"/>
        <v>0</v>
      </c>
      <c r="JR22" s="938">
        <f t="shared" si="178"/>
        <v>0</v>
      </c>
      <c r="JS22" s="938">
        <f t="shared" si="179"/>
        <v>0</v>
      </c>
      <c r="JT22" s="938" t="str">
        <f t="shared" si="180"/>
        <v/>
      </c>
      <c r="JU22" s="713">
        <f>'min. Düngung 22'!CQ23</f>
        <v>0</v>
      </c>
      <c r="JV22" s="938"/>
      <c r="JW22" s="938"/>
      <c r="JX22" s="938">
        <f t="shared" si="181"/>
        <v>0</v>
      </c>
      <c r="JY22" s="938">
        <f t="shared" si="182"/>
        <v>0</v>
      </c>
      <c r="JZ22" s="938">
        <f t="shared" si="183"/>
        <v>0</v>
      </c>
      <c r="KA22" s="938">
        <f t="shared" si="184"/>
        <v>0</v>
      </c>
      <c r="KB22" s="938">
        <f t="shared" si="185"/>
        <v>0</v>
      </c>
      <c r="KC22" s="938" t="str">
        <f t="shared" si="186"/>
        <v/>
      </c>
      <c r="KE22" s="938"/>
      <c r="KF22" s="938" t="str">
        <f>IF(AND($F22=2,$G22=1),"",IF(OR($Q22&gt;0,$O22&gt;60),$KF$7,IF(I22=70,"",IF(AND(I22=80,R22+'#orgDung'!AC25&lt;60,K22=1,OR(C22=2,'#BerechnungDBE'!AH16=4)),"",IF(R22&gt;0,$KF$7,"")))))</f>
        <v/>
      </c>
      <c r="KG22" s="938" t="str">
        <f>IF(AND(P22&gt;'#BerechnungDBE'!BJ16,P22&gt;0),'#minDung'!$KG$7,"")</f>
        <v/>
      </c>
      <c r="KH22" s="938" t="str">
        <f>IF(AND(I22=70,R22&gt;'#BerechnungDBE'!CR16),'#minDung'!$KH$7,"")</f>
        <v/>
      </c>
      <c r="KI22" s="938" t="str">
        <f>IF('#BerechnungDBE'!P16&lt;4,"",IF(AND('#BerechnungDBE'!BZ16&gt;0,N22&gt;0),$KI$7,""))</f>
        <v/>
      </c>
      <c r="KJ22" s="938" t="str">
        <f t="shared" si="5"/>
        <v/>
      </c>
    </row>
    <row r="23" spans="1:296" s="875" customFormat="1" hidden="1" x14ac:dyDescent="0.2">
      <c r="A23" s="875">
        <f>'Flächen u. Kulturen'!A22</f>
        <v>13</v>
      </c>
      <c r="B23" s="734">
        <f>'#BerechnungDBE'!L17</f>
        <v>0</v>
      </c>
      <c r="C23" s="46">
        <f>'#orgDung'!C26</f>
        <v>1</v>
      </c>
      <c r="D23" s="875">
        <f>'#BerechnungDBE'!T17</f>
        <v>2</v>
      </c>
      <c r="E23" s="875" t="str">
        <f>'Flächen u. Kulturen'!E22</f>
        <v>x</v>
      </c>
      <c r="F23" s="52">
        <f>'#BerechnungDBE'!N17</f>
        <v>1</v>
      </c>
      <c r="G23" s="52">
        <f>'#BerechnungDBE'!O17</f>
        <v>1</v>
      </c>
      <c r="H23" s="505">
        <f>'#orgDung'!J26</f>
        <v>2</v>
      </c>
      <c r="I23" s="875">
        <f>'#BerechnungDBE'!AF17</f>
        <v>0</v>
      </c>
      <c r="J23" s="875">
        <f>'#orgDung'!M26</f>
        <v>0</v>
      </c>
      <c r="K23" s="875">
        <f>'#BerechnungDBE'!AG17</f>
        <v>0</v>
      </c>
      <c r="M23" s="875">
        <f t="shared" si="0"/>
        <v>0</v>
      </c>
      <c r="N23" s="875">
        <f t="shared" si="1"/>
        <v>0</v>
      </c>
      <c r="O23" s="875">
        <f t="shared" si="2"/>
        <v>0</v>
      </c>
      <c r="P23" s="875">
        <f t="shared" si="4"/>
        <v>0</v>
      </c>
      <c r="Q23" s="938">
        <f t="shared" si="6"/>
        <v>0</v>
      </c>
      <c r="R23" s="875">
        <f t="shared" si="3"/>
        <v>0</v>
      </c>
      <c r="T23" s="713">
        <f>'min. Düngung 22'!H24</f>
        <v>0</v>
      </c>
      <c r="W23" s="875">
        <f t="shared" si="7"/>
        <v>0</v>
      </c>
      <c r="X23" s="875">
        <f t="shared" si="8"/>
        <v>0</v>
      </c>
      <c r="Y23" s="875">
        <f t="shared" si="9"/>
        <v>0</v>
      </c>
      <c r="Z23" s="875">
        <f t="shared" si="10"/>
        <v>0</v>
      </c>
      <c r="AA23" s="875">
        <f t="shared" si="11"/>
        <v>0</v>
      </c>
      <c r="AB23" s="875" t="str">
        <f t="shared" si="12"/>
        <v/>
      </c>
      <c r="AC23" s="713">
        <f>'min. Düngung 22'!K24</f>
        <v>0</v>
      </c>
      <c r="AD23" s="938"/>
      <c r="AE23" s="938"/>
      <c r="AF23" s="938">
        <f t="shared" si="13"/>
        <v>0</v>
      </c>
      <c r="AG23" s="938">
        <f t="shared" si="14"/>
        <v>0</v>
      </c>
      <c r="AH23" s="938">
        <f t="shared" si="15"/>
        <v>0</v>
      </c>
      <c r="AI23" s="938">
        <f t="shared" si="16"/>
        <v>0</v>
      </c>
      <c r="AJ23" s="938">
        <f t="shared" si="17"/>
        <v>0</v>
      </c>
      <c r="AK23" s="938">
        <f t="shared" si="18"/>
        <v>0</v>
      </c>
      <c r="AL23" s="713">
        <f>'min. Düngung 22'!N24</f>
        <v>0</v>
      </c>
      <c r="AM23" s="938"/>
      <c r="AN23" s="938"/>
      <c r="AO23" s="938">
        <f t="shared" si="19"/>
        <v>0</v>
      </c>
      <c r="AP23" s="938">
        <f t="shared" si="20"/>
        <v>0</v>
      </c>
      <c r="AQ23" s="938">
        <f t="shared" si="21"/>
        <v>0</v>
      </c>
      <c r="AR23" s="938">
        <f t="shared" si="22"/>
        <v>0</v>
      </c>
      <c r="AS23" s="938">
        <f t="shared" si="23"/>
        <v>0</v>
      </c>
      <c r="AT23" s="938" t="str">
        <f t="shared" si="24"/>
        <v/>
      </c>
      <c r="AU23" s="713">
        <f>'min. Düngung 22'!Q24</f>
        <v>0</v>
      </c>
      <c r="AV23" s="938"/>
      <c r="AW23" s="938"/>
      <c r="AX23" s="938">
        <f t="shared" si="25"/>
        <v>0</v>
      </c>
      <c r="AY23" s="938">
        <f t="shared" si="26"/>
        <v>0</v>
      </c>
      <c r="AZ23" s="938">
        <f t="shared" si="27"/>
        <v>0</v>
      </c>
      <c r="BA23" s="938">
        <f t="shared" si="28"/>
        <v>0</v>
      </c>
      <c r="BB23" s="938">
        <f t="shared" si="29"/>
        <v>0</v>
      </c>
      <c r="BC23" s="938" t="str">
        <f t="shared" si="30"/>
        <v/>
      </c>
      <c r="BD23" s="713">
        <f>'min. Düngung 22'!T24</f>
        <v>0</v>
      </c>
      <c r="BE23" s="938"/>
      <c r="BF23" s="938"/>
      <c r="BG23" s="938">
        <f t="shared" si="31"/>
        <v>0</v>
      </c>
      <c r="BH23" s="938">
        <f t="shared" si="32"/>
        <v>0</v>
      </c>
      <c r="BI23" s="938">
        <f t="shared" si="33"/>
        <v>0</v>
      </c>
      <c r="BJ23" s="938">
        <f t="shared" si="34"/>
        <v>0</v>
      </c>
      <c r="BK23" s="938">
        <f t="shared" si="35"/>
        <v>0</v>
      </c>
      <c r="BL23" s="938" t="str">
        <f t="shared" si="36"/>
        <v/>
      </c>
      <c r="BM23" s="713">
        <f>'min. Düngung 22'!W24</f>
        <v>0</v>
      </c>
      <c r="BN23" s="938"/>
      <c r="BO23" s="938"/>
      <c r="BP23" s="938">
        <f t="shared" si="37"/>
        <v>0</v>
      </c>
      <c r="BQ23" s="938">
        <f t="shared" si="38"/>
        <v>0</v>
      </c>
      <c r="BR23" s="938">
        <f t="shared" si="39"/>
        <v>0</v>
      </c>
      <c r="BS23" s="938">
        <f t="shared" si="40"/>
        <v>0</v>
      </c>
      <c r="BT23" s="938">
        <f t="shared" si="41"/>
        <v>0</v>
      </c>
      <c r="BU23" s="938" t="str">
        <f t="shared" si="42"/>
        <v/>
      </c>
      <c r="BV23" s="713">
        <f>'min. Düngung 22'!Z24</f>
        <v>0</v>
      </c>
      <c r="BW23" s="938"/>
      <c r="BX23" s="938"/>
      <c r="BY23" s="938">
        <f t="shared" si="43"/>
        <v>0</v>
      </c>
      <c r="BZ23" s="938">
        <f t="shared" si="44"/>
        <v>0</v>
      </c>
      <c r="CA23" s="938">
        <f t="shared" si="45"/>
        <v>0</v>
      </c>
      <c r="CB23" s="938">
        <f t="shared" si="46"/>
        <v>0</v>
      </c>
      <c r="CC23" s="938">
        <f t="shared" si="47"/>
        <v>0</v>
      </c>
      <c r="CD23" s="938" t="str">
        <f t="shared" si="48"/>
        <v/>
      </c>
      <c r="CE23" s="713">
        <f>'min. Düngung 22'!AC24</f>
        <v>0</v>
      </c>
      <c r="CF23" s="938"/>
      <c r="CG23" s="938"/>
      <c r="CH23" s="938">
        <f t="shared" si="49"/>
        <v>0</v>
      </c>
      <c r="CI23" s="938">
        <f t="shared" si="50"/>
        <v>0</v>
      </c>
      <c r="CJ23" s="938">
        <f t="shared" si="51"/>
        <v>0</v>
      </c>
      <c r="CK23" s="938">
        <f t="shared" si="52"/>
        <v>0</v>
      </c>
      <c r="CL23" s="938">
        <f t="shared" si="53"/>
        <v>0</v>
      </c>
      <c r="CM23" s="938" t="str">
        <f t="shared" si="54"/>
        <v/>
      </c>
      <c r="CN23" s="713">
        <f>'min. Düngung 22'!AF24</f>
        <v>0</v>
      </c>
      <c r="CO23" s="938"/>
      <c r="CP23" s="938"/>
      <c r="CQ23" s="938">
        <f t="shared" si="55"/>
        <v>0</v>
      </c>
      <c r="CR23" s="938">
        <f t="shared" si="56"/>
        <v>0</v>
      </c>
      <c r="CS23" s="938">
        <f t="shared" si="57"/>
        <v>0</v>
      </c>
      <c r="CT23" s="938">
        <f t="shared" si="58"/>
        <v>0</v>
      </c>
      <c r="CU23" s="938">
        <f t="shared" si="59"/>
        <v>0</v>
      </c>
      <c r="CV23" s="938" t="str">
        <f t="shared" si="60"/>
        <v/>
      </c>
      <c r="CW23" s="713">
        <f>'min. Düngung 22'!AI24</f>
        <v>0</v>
      </c>
      <c r="CX23" s="938"/>
      <c r="CY23" s="938"/>
      <c r="CZ23" s="938">
        <f t="shared" si="61"/>
        <v>0</v>
      </c>
      <c r="DA23" s="938">
        <f t="shared" si="62"/>
        <v>0</v>
      </c>
      <c r="DB23" s="938">
        <f t="shared" si="63"/>
        <v>0</v>
      </c>
      <c r="DC23" s="938">
        <f t="shared" si="64"/>
        <v>0</v>
      </c>
      <c r="DD23" s="938">
        <f t="shared" si="65"/>
        <v>0</v>
      </c>
      <c r="DE23" s="938" t="str">
        <f t="shared" si="66"/>
        <v/>
      </c>
      <c r="DF23" s="713">
        <f>'min. Düngung 22'!AL24</f>
        <v>0</v>
      </c>
      <c r="DG23" s="938"/>
      <c r="DH23" s="938"/>
      <c r="DI23" s="938">
        <f t="shared" si="67"/>
        <v>0</v>
      </c>
      <c r="DJ23" s="938">
        <f t="shared" si="68"/>
        <v>0</v>
      </c>
      <c r="DK23" s="938">
        <f t="shared" si="69"/>
        <v>0</v>
      </c>
      <c r="DL23" s="938">
        <f t="shared" si="70"/>
        <v>0</v>
      </c>
      <c r="DM23" s="938">
        <f t="shared" si="71"/>
        <v>0</v>
      </c>
      <c r="DN23" s="938" t="str">
        <f t="shared" si="72"/>
        <v/>
      </c>
      <c r="DO23" s="713">
        <f>'min. Düngung 22'!AO24</f>
        <v>0</v>
      </c>
      <c r="DP23" s="938"/>
      <c r="DQ23" s="938"/>
      <c r="DR23" s="938">
        <f t="shared" si="73"/>
        <v>0</v>
      </c>
      <c r="DS23" s="938">
        <f t="shared" si="74"/>
        <v>0</v>
      </c>
      <c r="DT23" s="938">
        <f t="shared" si="75"/>
        <v>0</v>
      </c>
      <c r="DU23" s="938">
        <f t="shared" si="76"/>
        <v>0</v>
      </c>
      <c r="DV23" s="938">
        <f t="shared" si="77"/>
        <v>0</v>
      </c>
      <c r="DW23" s="938" t="str">
        <f t="shared" si="78"/>
        <v/>
      </c>
      <c r="DX23" s="713">
        <f>'min. Düngung 22'!AR24</f>
        <v>0</v>
      </c>
      <c r="DY23" s="938"/>
      <c r="DZ23" s="938"/>
      <c r="EA23" s="938">
        <f t="shared" si="79"/>
        <v>0</v>
      </c>
      <c r="EB23" s="938">
        <f t="shared" si="80"/>
        <v>0</v>
      </c>
      <c r="EC23" s="938">
        <f t="shared" si="81"/>
        <v>0</v>
      </c>
      <c r="ED23" s="938">
        <f t="shared" si="82"/>
        <v>0</v>
      </c>
      <c r="EE23" s="938">
        <f t="shared" si="83"/>
        <v>0</v>
      </c>
      <c r="EF23" s="938" t="str">
        <f t="shared" si="84"/>
        <v/>
      </c>
      <c r="EG23" s="713">
        <f>'min. Düngung 22'!AU24</f>
        <v>0</v>
      </c>
      <c r="EH23" s="938"/>
      <c r="EI23" s="938"/>
      <c r="EJ23" s="938">
        <f t="shared" si="85"/>
        <v>0</v>
      </c>
      <c r="EK23" s="938">
        <f t="shared" si="86"/>
        <v>0</v>
      </c>
      <c r="EL23" s="938">
        <f t="shared" si="87"/>
        <v>0</v>
      </c>
      <c r="EM23" s="938">
        <f t="shared" si="88"/>
        <v>0</v>
      </c>
      <c r="EN23" s="938">
        <f t="shared" si="89"/>
        <v>0</v>
      </c>
      <c r="EO23" s="938" t="str">
        <f t="shared" si="90"/>
        <v/>
      </c>
      <c r="EP23" s="713">
        <f>'min. Düngung 22'!AX24</f>
        <v>0</v>
      </c>
      <c r="EQ23" s="938"/>
      <c r="ER23" s="938"/>
      <c r="ES23" s="938">
        <f t="shared" si="91"/>
        <v>0</v>
      </c>
      <c r="ET23" s="938">
        <f t="shared" si="92"/>
        <v>0</v>
      </c>
      <c r="EU23" s="938">
        <f t="shared" si="93"/>
        <v>0</v>
      </c>
      <c r="EV23" s="938">
        <f t="shared" si="94"/>
        <v>0</v>
      </c>
      <c r="EW23" s="938">
        <f t="shared" si="95"/>
        <v>0</v>
      </c>
      <c r="EX23" s="938" t="str">
        <f t="shared" si="96"/>
        <v/>
      </c>
      <c r="EY23" s="713">
        <f>'min. Düngung 22'!BA24</f>
        <v>0</v>
      </c>
      <c r="EZ23" s="938"/>
      <c r="FA23" s="938"/>
      <c r="FB23" s="938">
        <f t="shared" si="97"/>
        <v>0</v>
      </c>
      <c r="FC23" s="938">
        <f t="shared" si="98"/>
        <v>0</v>
      </c>
      <c r="FD23" s="938">
        <f t="shared" si="99"/>
        <v>0</v>
      </c>
      <c r="FE23" s="938">
        <f t="shared" si="100"/>
        <v>0</v>
      </c>
      <c r="FF23" s="938">
        <f t="shared" si="101"/>
        <v>0</v>
      </c>
      <c r="FG23" s="938" t="str">
        <f t="shared" si="102"/>
        <v/>
      </c>
      <c r="FH23" s="713">
        <f>'min. Düngung 22'!BD24</f>
        <v>0</v>
      </c>
      <c r="FI23" s="938"/>
      <c r="FJ23" s="938"/>
      <c r="FK23" s="938">
        <f t="shared" si="103"/>
        <v>0</v>
      </c>
      <c r="FL23" s="938">
        <f t="shared" si="104"/>
        <v>0</v>
      </c>
      <c r="FM23" s="938">
        <f t="shared" si="105"/>
        <v>0</v>
      </c>
      <c r="FN23" s="938">
        <f t="shared" si="106"/>
        <v>0</v>
      </c>
      <c r="FO23" s="938">
        <f t="shared" si="107"/>
        <v>0</v>
      </c>
      <c r="FP23" s="938" t="str">
        <f t="shared" si="108"/>
        <v/>
      </c>
      <c r="FQ23" s="713">
        <f>'min. Düngung 22'!BG24</f>
        <v>0</v>
      </c>
      <c r="FR23" s="938"/>
      <c r="FS23" s="938"/>
      <c r="FT23" s="938">
        <f t="shared" si="109"/>
        <v>0</v>
      </c>
      <c r="FU23" s="938">
        <f t="shared" si="110"/>
        <v>0</v>
      </c>
      <c r="FV23" s="938">
        <f t="shared" si="111"/>
        <v>0</v>
      </c>
      <c r="FW23" s="938">
        <f t="shared" si="112"/>
        <v>0</v>
      </c>
      <c r="FX23" s="938">
        <f t="shared" si="113"/>
        <v>0</v>
      </c>
      <c r="FY23" s="938" t="str">
        <f t="shared" si="114"/>
        <v/>
      </c>
      <c r="FZ23" s="713">
        <f>'min. Düngung 22'!BJ24</f>
        <v>0</v>
      </c>
      <c r="GA23" s="938"/>
      <c r="GB23" s="938"/>
      <c r="GC23" s="938">
        <f t="shared" si="115"/>
        <v>0</v>
      </c>
      <c r="GD23" s="938">
        <f t="shared" si="116"/>
        <v>0</v>
      </c>
      <c r="GE23" s="938">
        <f t="shared" si="117"/>
        <v>0</v>
      </c>
      <c r="GF23" s="938">
        <f t="shared" si="118"/>
        <v>0</v>
      </c>
      <c r="GG23" s="938">
        <f t="shared" si="119"/>
        <v>0</v>
      </c>
      <c r="GH23" s="938" t="str">
        <f t="shared" si="120"/>
        <v/>
      </c>
      <c r="GI23" s="713">
        <f>'min. Düngung 22'!BM24</f>
        <v>0</v>
      </c>
      <c r="GJ23" s="938"/>
      <c r="GK23" s="938"/>
      <c r="GL23" s="938">
        <f t="shared" si="121"/>
        <v>0</v>
      </c>
      <c r="GM23" s="938">
        <f t="shared" si="122"/>
        <v>0</v>
      </c>
      <c r="GN23" s="938">
        <f t="shared" si="123"/>
        <v>0</v>
      </c>
      <c r="GO23" s="938">
        <f t="shared" si="124"/>
        <v>0</v>
      </c>
      <c r="GP23" s="938">
        <f t="shared" si="125"/>
        <v>0</v>
      </c>
      <c r="GQ23" s="938" t="str">
        <f t="shared" si="126"/>
        <v/>
      </c>
      <c r="GR23" s="713">
        <f>'min. Düngung 22'!BP24</f>
        <v>0</v>
      </c>
      <c r="GS23" s="938"/>
      <c r="GT23" s="938"/>
      <c r="GU23" s="938">
        <f t="shared" si="127"/>
        <v>0</v>
      </c>
      <c r="GV23" s="938">
        <f t="shared" si="128"/>
        <v>0</v>
      </c>
      <c r="GW23" s="938">
        <f t="shared" si="129"/>
        <v>0</v>
      </c>
      <c r="GX23" s="938">
        <f t="shared" si="130"/>
        <v>0</v>
      </c>
      <c r="GY23" s="938">
        <f t="shared" si="131"/>
        <v>0</v>
      </c>
      <c r="GZ23" s="938" t="str">
        <f t="shared" si="132"/>
        <v/>
      </c>
      <c r="HA23" s="713">
        <f>'min. Düngung 22'!BS24</f>
        <v>0</v>
      </c>
      <c r="HB23" s="938"/>
      <c r="HC23" s="938"/>
      <c r="HD23" s="938">
        <f t="shared" si="133"/>
        <v>0</v>
      </c>
      <c r="HE23" s="938">
        <f t="shared" si="134"/>
        <v>0</v>
      </c>
      <c r="HF23" s="938">
        <f t="shared" si="135"/>
        <v>0</v>
      </c>
      <c r="HG23" s="938">
        <f t="shared" si="136"/>
        <v>0</v>
      </c>
      <c r="HH23" s="938">
        <f t="shared" si="137"/>
        <v>0</v>
      </c>
      <c r="HI23" s="938" t="str">
        <f t="shared" si="138"/>
        <v/>
      </c>
      <c r="HJ23" s="713">
        <f>'min. Düngung 22'!BV24</f>
        <v>0</v>
      </c>
      <c r="HK23" s="938"/>
      <c r="HL23" s="938"/>
      <c r="HM23" s="938">
        <f t="shared" si="139"/>
        <v>0</v>
      </c>
      <c r="HN23" s="938">
        <f t="shared" si="140"/>
        <v>0</v>
      </c>
      <c r="HO23" s="938">
        <f t="shared" si="141"/>
        <v>0</v>
      </c>
      <c r="HP23" s="938">
        <f t="shared" si="142"/>
        <v>0</v>
      </c>
      <c r="HQ23" s="938">
        <f t="shared" si="143"/>
        <v>0</v>
      </c>
      <c r="HR23" s="938" t="str">
        <f t="shared" si="144"/>
        <v/>
      </c>
      <c r="HS23" s="713">
        <f>'min. Düngung 22'!BY24</f>
        <v>0</v>
      </c>
      <c r="HT23" s="938"/>
      <c r="HU23" s="938"/>
      <c r="HV23" s="938">
        <f t="shared" si="145"/>
        <v>0</v>
      </c>
      <c r="HW23" s="938">
        <f t="shared" si="146"/>
        <v>0</v>
      </c>
      <c r="HX23" s="938">
        <f t="shared" si="147"/>
        <v>0</v>
      </c>
      <c r="HY23" s="938">
        <f t="shared" si="148"/>
        <v>0</v>
      </c>
      <c r="HZ23" s="938">
        <f t="shared" si="149"/>
        <v>0</v>
      </c>
      <c r="IA23" s="938" t="str">
        <f t="shared" si="150"/>
        <v/>
      </c>
      <c r="IB23" s="713">
        <f>'min. Düngung 22'!CB24</f>
        <v>0</v>
      </c>
      <c r="IC23" s="938"/>
      <c r="ID23" s="938"/>
      <c r="IE23" s="938">
        <f t="shared" si="151"/>
        <v>0</v>
      </c>
      <c r="IF23" s="938">
        <f t="shared" si="152"/>
        <v>0</v>
      </c>
      <c r="IG23" s="938">
        <f t="shared" si="153"/>
        <v>0</v>
      </c>
      <c r="IH23" s="938">
        <f t="shared" si="154"/>
        <v>0</v>
      </c>
      <c r="II23" s="938">
        <f t="shared" si="155"/>
        <v>0</v>
      </c>
      <c r="IJ23" s="938" t="str">
        <f t="shared" si="156"/>
        <v/>
      </c>
      <c r="IK23" s="713">
        <f>'min. Düngung 22'!CE24</f>
        <v>0</v>
      </c>
      <c r="IL23" s="938"/>
      <c r="IM23" s="938"/>
      <c r="IN23" s="938">
        <f t="shared" si="157"/>
        <v>0</v>
      </c>
      <c r="IO23" s="938">
        <f t="shared" si="158"/>
        <v>0</v>
      </c>
      <c r="IP23" s="938">
        <f t="shared" si="159"/>
        <v>0</v>
      </c>
      <c r="IQ23" s="938">
        <f t="shared" si="160"/>
        <v>0</v>
      </c>
      <c r="IR23" s="938">
        <f t="shared" si="161"/>
        <v>0</v>
      </c>
      <c r="IS23" s="938" t="str">
        <f t="shared" si="162"/>
        <v/>
      </c>
      <c r="IT23" s="713">
        <f>'min. Düngung 22'!CH24</f>
        <v>0</v>
      </c>
      <c r="IU23" s="938"/>
      <c r="IV23" s="938"/>
      <c r="IW23" s="938">
        <f t="shared" si="163"/>
        <v>0</v>
      </c>
      <c r="IX23" s="938">
        <f t="shared" si="164"/>
        <v>0</v>
      </c>
      <c r="IY23" s="938">
        <f t="shared" si="165"/>
        <v>0</v>
      </c>
      <c r="IZ23" s="938">
        <f t="shared" si="166"/>
        <v>0</v>
      </c>
      <c r="JA23" s="938">
        <f t="shared" si="167"/>
        <v>0</v>
      </c>
      <c r="JB23" s="938" t="str">
        <f t="shared" si="168"/>
        <v/>
      </c>
      <c r="JC23" s="713">
        <f>'min. Düngung 22'!CK24</f>
        <v>0</v>
      </c>
      <c r="JD23" s="938"/>
      <c r="JE23" s="938"/>
      <c r="JF23" s="938">
        <f t="shared" si="169"/>
        <v>0</v>
      </c>
      <c r="JG23" s="938">
        <f t="shared" si="170"/>
        <v>0</v>
      </c>
      <c r="JH23" s="938">
        <f t="shared" si="171"/>
        <v>0</v>
      </c>
      <c r="JI23" s="938">
        <f t="shared" si="172"/>
        <v>0</v>
      </c>
      <c r="JJ23" s="938">
        <f t="shared" si="173"/>
        <v>0</v>
      </c>
      <c r="JK23" s="938" t="str">
        <f t="shared" si="174"/>
        <v/>
      </c>
      <c r="JL23" s="713">
        <f>'min. Düngung 22'!CN24</f>
        <v>0</v>
      </c>
      <c r="JM23" s="938"/>
      <c r="JN23" s="938"/>
      <c r="JO23" s="938">
        <f t="shared" si="175"/>
        <v>0</v>
      </c>
      <c r="JP23" s="938">
        <f t="shared" si="176"/>
        <v>0</v>
      </c>
      <c r="JQ23" s="938">
        <f t="shared" si="177"/>
        <v>0</v>
      </c>
      <c r="JR23" s="938">
        <f t="shared" si="178"/>
        <v>0</v>
      </c>
      <c r="JS23" s="938">
        <f t="shared" si="179"/>
        <v>0</v>
      </c>
      <c r="JT23" s="938" t="str">
        <f t="shared" si="180"/>
        <v/>
      </c>
      <c r="JU23" s="713">
        <f>'min. Düngung 22'!CQ24</f>
        <v>0</v>
      </c>
      <c r="JV23" s="938"/>
      <c r="JW23" s="938"/>
      <c r="JX23" s="938">
        <f t="shared" si="181"/>
        <v>0</v>
      </c>
      <c r="JY23" s="938">
        <f t="shared" si="182"/>
        <v>0</v>
      </c>
      <c r="JZ23" s="938">
        <f t="shared" si="183"/>
        <v>0</v>
      </c>
      <c r="KA23" s="938">
        <f t="shared" si="184"/>
        <v>0</v>
      </c>
      <c r="KB23" s="938">
        <f t="shared" si="185"/>
        <v>0</v>
      </c>
      <c r="KC23" s="938" t="str">
        <f t="shared" si="186"/>
        <v/>
      </c>
      <c r="KE23" s="938"/>
      <c r="KF23" s="938" t="str">
        <f>IF(AND($F23=2,$G23=1),"",IF(OR($Q23&gt;0,$O23&gt;60),$KF$7,IF(I23=70,"",IF(AND(I23=80,R23+'#orgDung'!AC26&lt;60,K23=1,OR(C23=2,'#BerechnungDBE'!AH17=4)),"",IF(R23&gt;0,$KF$7,"")))))</f>
        <v/>
      </c>
      <c r="KG23" s="938" t="str">
        <f>IF(AND(P23&gt;'#BerechnungDBE'!BJ17,P23&gt;0),'#minDung'!$KG$7,"")</f>
        <v/>
      </c>
      <c r="KH23" s="938" t="str">
        <f>IF(AND(I23=70,R23&gt;'#BerechnungDBE'!CR17),'#minDung'!$KH$7,"")</f>
        <v/>
      </c>
      <c r="KI23" s="938" t="str">
        <f>IF('#BerechnungDBE'!P17&lt;4,"",IF(AND('#BerechnungDBE'!BZ17&gt;0,N23&gt;0),$KI$7,""))</f>
        <v/>
      </c>
      <c r="KJ23" s="938" t="str">
        <f t="shared" si="5"/>
        <v/>
      </c>
    </row>
    <row r="24" spans="1:296" s="875" customFormat="1" hidden="1" x14ac:dyDescent="0.2">
      <c r="A24" s="875">
        <f>'Flächen u. Kulturen'!A23</f>
        <v>14</v>
      </c>
      <c r="B24" s="734">
        <f>'#BerechnungDBE'!L18</f>
        <v>0</v>
      </c>
      <c r="C24" s="46">
        <f>'#orgDung'!C27</f>
        <v>1</v>
      </c>
      <c r="D24" s="875">
        <f>'#BerechnungDBE'!T18</f>
        <v>2</v>
      </c>
      <c r="E24" s="875" t="str">
        <f>'Flächen u. Kulturen'!E23</f>
        <v>x</v>
      </c>
      <c r="F24" s="52">
        <f>'#BerechnungDBE'!N18</f>
        <v>1</v>
      </c>
      <c r="G24" s="52">
        <f>'#BerechnungDBE'!O18</f>
        <v>1</v>
      </c>
      <c r="H24" s="505">
        <f>'#orgDung'!J27</f>
        <v>2</v>
      </c>
      <c r="I24" s="875">
        <f>'#BerechnungDBE'!AF18</f>
        <v>0</v>
      </c>
      <c r="J24" s="875">
        <f>'#orgDung'!M27</f>
        <v>0</v>
      </c>
      <c r="K24" s="875">
        <f>'#BerechnungDBE'!AG18</f>
        <v>0</v>
      </c>
      <c r="M24" s="875">
        <f t="shared" si="0"/>
        <v>0</v>
      </c>
      <c r="N24" s="875">
        <f t="shared" si="1"/>
        <v>0</v>
      </c>
      <c r="O24" s="875">
        <f t="shared" si="2"/>
        <v>0</v>
      </c>
      <c r="P24" s="875">
        <f t="shared" si="4"/>
        <v>0</v>
      </c>
      <c r="Q24" s="938">
        <f t="shared" si="6"/>
        <v>0</v>
      </c>
      <c r="R24" s="875">
        <f t="shared" si="3"/>
        <v>0</v>
      </c>
      <c r="T24" s="713">
        <f>'min. Düngung 22'!H25</f>
        <v>0</v>
      </c>
      <c r="W24" s="875">
        <f t="shared" si="7"/>
        <v>0</v>
      </c>
      <c r="X24" s="875">
        <f t="shared" si="8"/>
        <v>0</v>
      </c>
      <c r="Y24" s="875">
        <f t="shared" si="9"/>
        <v>0</v>
      </c>
      <c r="Z24" s="875">
        <f t="shared" si="10"/>
        <v>0</v>
      </c>
      <c r="AA24" s="875">
        <f t="shared" si="11"/>
        <v>0</v>
      </c>
      <c r="AB24" s="875" t="str">
        <f t="shared" si="12"/>
        <v/>
      </c>
      <c r="AC24" s="713">
        <f>'min. Düngung 22'!K25</f>
        <v>0</v>
      </c>
      <c r="AD24" s="938"/>
      <c r="AE24" s="938"/>
      <c r="AF24" s="938">
        <f t="shared" si="13"/>
        <v>0</v>
      </c>
      <c r="AG24" s="938">
        <f t="shared" si="14"/>
        <v>0</v>
      </c>
      <c r="AH24" s="938">
        <f t="shared" si="15"/>
        <v>0</v>
      </c>
      <c r="AI24" s="938">
        <f t="shared" si="16"/>
        <v>0</v>
      </c>
      <c r="AJ24" s="938">
        <f t="shared" si="17"/>
        <v>0</v>
      </c>
      <c r="AK24" s="938">
        <f t="shared" si="18"/>
        <v>0</v>
      </c>
      <c r="AL24" s="713">
        <f>'min. Düngung 22'!N25</f>
        <v>0</v>
      </c>
      <c r="AM24" s="938"/>
      <c r="AN24" s="938"/>
      <c r="AO24" s="938">
        <f t="shared" si="19"/>
        <v>0</v>
      </c>
      <c r="AP24" s="938">
        <f t="shared" si="20"/>
        <v>0</v>
      </c>
      <c r="AQ24" s="938">
        <f t="shared" si="21"/>
        <v>0</v>
      </c>
      <c r="AR24" s="938">
        <f t="shared" si="22"/>
        <v>0</v>
      </c>
      <c r="AS24" s="938">
        <f t="shared" si="23"/>
        <v>0</v>
      </c>
      <c r="AT24" s="938" t="str">
        <f t="shared" si="24"/>
        <v/>
      </c>
      <c r="AU24" s="713">
        <f>'min. Düngung 22'!Q25</f>
        <v>0</v>
      </c>
      <c r="AV24" s="938"/>
      <c r="AW24" s="938"/>
      <c r="AX24" s="938">
        <f t="shared" si="25"/>
        <v>0</v>
      </c>
      <c r="AY24" s="938">
        <f t="shared" si="26"/>
        <v>0</v>
      </c>
      <c r="AZ24" s="938">
        <f t="shared" si="27"/>
        <v>0</v>
      </c>
      <c r="BA24" s="938">
        <f t="shared" si="28"/>
        <v>0</v>
      </c>
      <c r="BB24" s="938">
        <f t="shared" si="29"/>
        <v>0</v>
      </c>
      <c r="BC24" s="938" t="str">
        <f t="shared" si="30"/>
        <v/>
      </c>
      <c r="BD24" s="713">
        <f>'min. Düngung 22'!T25</f>
        <v>0</v>
      </c>
      <c r="BE24" s="938"/>
      <c r="BF24" s="938"/>
      <c r="BG24" s="938">
        <f t="shared" si="31"/>
        <v>0</v>
      </c>
      <c r="BH24" s="938">
        <f t="shared" si="32"/>
        <v>0</v>
      </c>
      <c r="BI24" s="938">
        <f t="shared" si="33"/>
        <v>0</v>
      </c>
      <c r="BJ24" s="938">
        <f t="shared" si="34"/>
        <v>0</v>
      </c>
      <c r="BK24" s="938">
        <f t="shared" si="35"/>
        <v>0</v>
      </c>
      <c r="BL24" s="938" t="str">
        <f t="shared" si="36"/>
        <v/>
      </c>
      <c r="BM24" s="713">
        <f>'min. Düngung 22'!W25</f>
        <v>0</v>
      </c>
      <c r="BN24" s="938"/>
      <c r="BO24" s="938"/>
      <c r="BP24" s="938">
        <f t="shared" si="37"/>
        <v>0</v>
      </c>
      <c r="BQ24" s="938">
        <f t="shared" si="38"/>
        <v>0</v>
      </c>
      <c r="BR24" s="938">
        <f t="shared" si="39"/>
        <v>0</v>
      </c>
      <c r="BS24" s="938">
        <f t="shared" si="40"/>
        <v>0</v>
      </c>
      <c r="BT24" s="938">
        <f t="shared" si="41"/>
        <v>0</v>
      </c>
      <c r="BU24" s="938" t="str">
        <f t="shared" si="42"/>
        <v/>
      </c>
      <c r="BV24" s="713">
        <f>'min. Düngung 22'!Z25</f>
        <v>0</v>
      </c>
      <c r="BW24" s="938"/>
      <c r="BX24" s="938"/>
      <c r="BY24" s="938">
        <f t="shared" si="43"/>
        <v>0</v>
      </c>
      <c r="BZ24" s="938">
        <f t="shared" si="44"/>
        <v>0</v>
      </c>
      <c r="CA24" s="938">
        <f t="shared" si="45"/>
        <v>0</v>
      </c>
      <c r="CB24" s="938">
        <f t="shared" si="46"/>
        <v>0</v>
      </c>
      <c r="CC24" s="938">
        <f t="shared" si="47"/>
        <v>0</v>
      </c>
      <c r="CD24" s="938" t="str">
        <f t="shared" si="48"/>
        <v/>
      </c>
      <c r="CE24" s="713">
        <f>'min. Düngung 22'!AC25</f>
        <v>0</v>
      </c>
      <c r="CF24" s="938"/>
      <c r="CG24" s="938"/>
      <c r="CH24" s="938">
        <f t="shared" si="49"/>
        <v>0</v>
      </c>
      <c r="CI24" s="938">
        <f t="shared" si="50"/>
        <v>0</v>
      </c>
      <c r="CJ24" s="938">
        <f t="shared" si="51"/>
        <v>0</v>
      </c>
      <c r="CK24" s="938">
        <f t="shared" si="52"/>
        <v>0</v>
      </c>
      <c r="CL24" s="938">
        <f t="shared" si="53"/>
        <v>0</v>
      </c>
      <c r="CM24" s="938" t="str">
        <f t="shared" si="54"/>
        <v/>
      </c>
      <c r="CN24" s="713">
        <f>'min. Düngung 22'!AF25</f>
        <v>0</v>
      </c>
      <c r="CO24" s="938"/>
      <c r="CP24" s="938"/>
      <c r="CQ24" s="938">
        <f t="shared" si="55"/>
        <v>0</v>
      </c>
      <c r="CR24" s="938">
        <f t="shared" si="56"/>
        <v>0</v>
      </c>
      <c r="CS24" s="938">
        <f t="shared" si="57"/>
        <v>0</v>
      </c>
      <c r="CT24" s="938">
        <f t="shared" si="58"/>
        <v>0</v>
      </c>
      <c r="CU24" s="938">
        <f t="shared" si="59"/>
        <v>0</v>
      </c>
      <c r="CV24" s="938" t="str">
        <f t="shared" si="60"/>
        <v/>
      </c>
      <c r="CW24" s="713">
        <f>'min. Düngung 22'!AI25</f>
        <v>0</v>
      </c>
      <c r="CX24" s="938"/>
      <c r="CY24" s="938"/>
      <c r="CZ24" s="938">
        <f t="shared" si="61"/>
        <v>0</v>
      </c>
      <c r="DA24" s="938">
        <f t="shared" si="62"/>
        <v>0</v>
      </c>
      <c r="DB24" s="938">
        <f t="shared" si="63"/>
        <v>0</v>
      </c>
      <c r="DC24" s="938">
        <f t="shared" si="64"/>
        <v>0</v>
      </c>
      <c r="DD24" s="938">
        <f t="shared" si="65"/>
        <v>0</v>
      </c>
      <c r="DE24" s="938" t="str">
        <f t="shared" si="66"/>
        <v/>
      </c>
      <c r="DF24" s="713">
        <f>'min. Düngung 22'!AL25</f>
        <v>0</v>
      </c>
      <c r="DG24" s="938"/>
      <c r="DH24" s="938"/>
      <c r="DI24" s="938">
        <f t="shared" si="67"/>
        <v>0</v>
      </c>
      <c r="DJ24" s="938">
        <f t="shared" si="68"/>
        <v>0</v>
      </c>
      <c r="DK24" s="938">
        <f t="shared" si="69"/>
        <v>0</v>
      </c>
      <c r="DL24" s="938">
        <f t="shared" si="70"/>
        <v>0</v>
      </c>
      <c r="DM24" s="938">
        <f t="shared" si="71"/>
        <v>0</v>
      </c>
      <c r="DN24" s="938" t="str">
        <f t="shared" si="72"/>
        <v/>
      </c>
      <c r="DO24" s="713">
        <f>'min. Düngung 22'!AO25</f>
        <v>0</v>
      </c>
      <c r="DP24" s="938"/>
      <c r="DQ24" s="938"/>
      <c r="DR24" s="938">
        <f t="shared" si="73"/>
        <v>0</v>
      </c>
      <c r="DS24" s="938">
        <f t="shared" si="74"/>
        <v>0</v>
      </c>
      <c r="DT24" s="938">
        <f t="shared" si="75"/>
        <v>0</v>
      </c>
      <c r="DU24" s="938">
        <f t="shared" si="76"/>
        <v>0</v>
      </c>
      <c r="DV24" s="938">
        <f t="shared" si="77"/>
        <v>0</v>
      </c>
      <c r="DW24" s="938" t="str">
        <f t="shared" si="78"/>
        <v/>
      </c>
      <c r="DX24" s="713">
        <f>'min. Düngung 22'!AR25</f>
        <v>0</v>
      </c>
      <c r="DY24" s="938"/>
      <c r="DZ24" s="938"/>
      <c r="EA24" s="938">
        <f t="shared" si="79"/>
        <v>0</v>
      </c>
      <c r="EB24" s="938">
        <f t="shared" si="80"/>
        <v>0</v>
      </c>
      <c r="EC24" s="938">
        <f t="shared" si="81"/>
        <v>0</v>
      </c>
      <c r="ED24" s="938">
        <f t="shared" si="82"/>
        <v>0</v>
      </c>
      <c r="EE24" s="938">
        <f t="shared" si="83"/>
        <v>0</v>
      </c>
      <c r="EF24" s="938" t="str">
        <f t="shared" si="84"/>
        <v/>
      </c>
      <c r="EG24" s="713">
        <f>'min. Düngung 22'!AU25</f>
        <v>0</v>
      </c>
      <c r="EH24" s="938"/>
      <c r="EI24" s="938"/>
      <c r="EJ24" s="938">
        <f t="shared" si="85"/>
        <v>0</v>
      </c>
      <c r="EK24" s="938">
        <f t="shared" si="86"/>
        <v>0</v>
      </c>
      <c r="EL24" s="938">
        <f t="shared" si="87"/>
        <v>0</v>
      </c>
      <c r="EM24" s="938">
        <f t="shared" si="88"/>
        <v>0</v>
      </c>
      <c r="EN24" s="938">
        <f t="shared" si="89"/>
        <v>0</v>
      </c>
      <c r="EO24" s="938" t="str">
        <f t="shared" si="90"/>
        <v/>
      </c>
      <c r="EP24" s="713">
        <f>'min. Düngung 22'!AX25</f>
        <v>0</v>
      </c>
      <c r="EQ24" s="938"/>
      <c r="ER24" s="938"/>
      <c r="ES24" s="938">
        <f t="shared" si="91"/>
        <v>0</v>
      </c>
      <c r="ET24" s="938">
        <f t="shared" si="92"/>
        <v>0</v>
      </c>
      <c r="EU24" s="938">
        <f t="shared" si="93"/>
        <v>0</v>
      </c>
      <c r="EV24" s="938">
        <f t="shared" si="94"/>
        <v>0</v>
      </c>
      <c r="EW24" s="938">
        <f t="shared" si="95"/>
        <v>0</v>
      </c>
      <c r="EX24" s="938" t="str">
        <f t="shared" si="96"/>
        <v/>
      </c>
      <c r="EY24" s="713">
        <f>'min. Düngung 22'!BA25</f>
        <v>0</v>
      </c>
      <c r="EZ24" s="938"/>
      <c r="FA24" s="938"/>
      <c r="FB24" s="938">
        <f t="shared" si="97"/>
        <v>0</v>
      </c>
      <c r="FC24" s="938">
        <f t="shared" si="98"/>
        <v>0</v>
      </c>
      <c r="FD24" s="938">
        <f t="shared" si="99"/>
        <v>0</v>
      </c>
      <c r="FE24" s="938">
        <f t="shared" si="100"/>
        <v>0</v>
      </c>
      <c r="FF24" s="938">
        <f t="shared" si="101"/>
        <v>0</v>
      </c>
      <c r="FG24" s="938" t="str">
        <f t="shared" si="102"/>
        <v/>
      </c>
      <c r="FH24" s="713">
        <f>'min. Düngung 22'!BD25</f>
        <v>0</v>
      </c>
      <c r="FI24" s="938"/>
      <c r="FJ24" s="938"/>
      <c r="FK24" s="938">
        <f t="shared" si="103"/>
        <v>0</v>
      </c>
      <c r="FL24" s="938">
        <f t="shared" si="104"/>
        <v>0</v>
      </c>
      <c r="FM24" s="938">
        <f t="shared" si="105"/>
        <v>0</v>
      </c>
      <c r="FN24" s="938">
        <f t="shared" si="106"/>
        <v>0</v>
      </c>
      <c r="FO24" s="938">
        <f t="shared" si="107"/>
        <v>0</v>
      </c>
      <c r="FP24" s="938" t="str">
        <f t="shared" si="108"/>
        <v/>
      </c>
      <c r="FQ24" s="713">
        <f>'min. Düngung 22'!BG25</f>
        <v>0</v>
      </c>
      <c r="FR24" s="938"/>
      <c r="FS24" s="938"/>
      <c r="FT24" s="938">
        <f t="shared" si="109"/>
        <v>0</v>
      </c>
      <c r="FU24" s="938">
        <f t="shared" si="110"/>
        <v>0</v>
      </c>
      <c r="FV24" s="938">
        <f t="shared" si="111"/>
        <v>0</v>
      </c>
      <c r="FW24" s="938">
        <f t="shared" si="112"/>
        <v>0</v>
      </c>
      <c r="FX24" s="938">
        <f t="shared" si="113"/>
        <v>0</v>
      </c>
      <c r="FY24" s="938" t="str">
        <f t="shared" si="114"/>
        <v/>
      </c>
      <c r="FZ24" s="713">
        <f>'min. Düngung 22'!BJ25</f>
        <v>0</v>
      </c>
      <c r="GA24" s="938"/>
      <c r="GB24" s="938"/>
      <c r="GC24" s="938">
        <f t="shared" si="115"/>
        <v>0</v>
      </c>
      <c r="GD24" s="938">
        <f t="shared" si="116"/>
        <v>0</v>
      </c>
      <c r="GE24" s="938">
        <f t="shared" si="117"/>
        <v>0</v>
      </c>
      <c r="GF24" s="938">
        <f t="shared" si="118"/>
        <v>0</v>
      </c>
      <c r="GG24" s="938">
        <f t="shared" si="119"/>
        <v>0</v>
      </c>
      <c r="GH24" s="938" t="str">
        <f t="shared" si="120"/>
        <v/>
      </c>
      <c r="GI24" s="713">
        <f>'min. Düngung 22'!BM25</f>
        <v>0</v>
      </c>
      <c r="GJ24" s="938"/>
      <c r="GK24" s="938"/>
      <c r="GL24" s="938">
        <f t="shared" si="121"/>
        <v>0</v>
      </c>
      <c r="GM24" s="938">
        <f t="shared" si="122"/>
        <v>0</v>
      </c>
      <c r="GN24" s="938">
        <f t="shared" si="123"/>
        <v>0</v>
      </c>
      <c r="GO24" s="938">
        <f t="shared" si="124"/>
        <v>0</v>
      </c>
      <c r="GP24" s="938">
        <f t="shared" si="125"/>
        <v>0</v>
      </c>
      <c r="GQ24" s="938" t="str">
        <f t="shared" si="126"/>
        <v/>
      </c>
      <c r="GR24" s="713">
        <f>'min. Düngung 22'!BP25</f>
        <v>0</v>
      </c>
      <c r="GS24" s="938"/>
      <c r="GT24" s="938"/>
      <c r="GU24" s="938">
        <f t="shared" si="127"/>
        <v>0</v>
      </c>
      <c r="GV24" s="938">
        <f t="shared" si="128"/>
        <v>0</v>
      </c>
      <c r="GW24" s="938">
        <f t="shared" si="129"/>
        <v>0</v>
      </c>
      <c r="GX24" s="938">
        <f t="shared" si="130"/>
        <v>0</v>
      </c>
      <c r="GY24" s="938">
        <f t="shared" si="131"/>
        <v>0</v>
      </c>
      <c r="GZ24" s="938" t="str">
        <f t="shared" si="132"/>
        <v/>
      </c>
      <c r="HA24" s="713">
        <f>'min. Düngung 22'!BS25</f>
        <v>0</v>
      </c>
      <c r="HB24" s="938"/>
      <c r="HC24" s="938"/>
      <c r="HD24" s="938">
        <f t="shared" si="133"/>
        <v>0</v>
      </c>
      <c r="HE24" s="938">
        <f t="shared" si="134"/>
        <v>0</v>
      </c>
      <c r="HF24" s="938">
        <f t="shared" si="135"/>
        <v>0</v>
      </c>
      <c r="HG24" s="938">
        <f t="shared" si="136"/>
        <v>0</v>
      </c>
      <c r="HH24" s="938">
        <f t="shared" si="137"/>
        <v>0</v>
      </c>
      <c r="HI24" s="938" t="str">
        <f t="shared" si="138"/>
        <v/>
      </c>
      <c r="HJ24" s="713">
        <f>'min. Düngung 22'!BV25</f>
        <v>0</v>
      </c>
      <c r="HK24" s="938"/>
      <c r="HL24" s="938"/>
      <c r="HM24" s="938">
        <f t="shared" si="139"/>
        <v>0</v>
      </c>
      <c r="HN24" s="938">
        <f t="shared" si="140"/>
        <v>0</v>
      </c>
      <c r="HO24" s="938">
        <f t="shared" si="141"/>
        <v>0</v>
      </c>
      <c r="HP24" s="938">
        <f t="shared" si="142"/>
        <v>0</v>
      </c>
      <c r="HQ24" s="938">
        <f t="shared" si="143"/>
        <v>0</v>
      </c>
      <c r="HR24" s="938" t="str">
        <f t="shared" si="144"/>
        <v/>
      </c>
      <c r="HS24" s="713">
        <f>'min. Düngung 22'!BY25</f>
        <v>0</v>
      </c>
      <c r="HT24" s="938"/>
      <c r="HU24" s="938"/>
      <c r="HV24" s="938">
        <f t="shared" si="145"/>
        <v>0</v>
      </c>
      <c r="HW24" s="938">
        <f t="shared" si="146"/>
        <v>0</v>
      </c>
      <c r="HX24" s="938">
        <f t="shared" si="147"/>
        <v>0</v>
      </c>
      <c r="HY24" s="938">
        <f t="shared" si="148"/>
        <v>0</v>
      </c>
      <c r="HZ24" s="938">
        <f t="shared" si="149"/>
        <v>0</v>
      </c>
      <c r="IA24" s="938" t="str">
        <f t="shared" si="150"/>
        <v/>
      </c>
      <c r="IB24" s="713">
        <f>'min. Düngung 22'!CB25</f>
        <v>0</v>
      </c>
      <c r="IC24" s="938"/>
      <c r="ID24" s="938"/>
      <c r="IE24" s="938">
        <f t="shared" si="151"/>
        <v>0</v>
      </c>
      <c r="IF24" s="938">
        <f t="shared" si="152"/>
        <v>0</v>
      </c>
      <c r="IG24" s="938">
        <f t="shared" si="153"/>
        <v>0</v>
      </c>
      <c r="IH24" s="938">
        <f t="shared" si="154"/>
        <v>0</v>
      </c>
      <c r="II24" s="938">
        <f t="shared" si="155"/>
        <v>0</v>
      </c>
      <c r="IJ24" s="938" t="str">
        <f t="shared" si="156"/>
        <v/>
      </c>
      <c r="IK24" s="713">
        <f>'min. Düngung 22'!CE25</f>
        <v>0</v>
      </c>
      <c r="IL24" s="938"/>
      <c r="IM24" s="938"/>
      <c r="IN24" s="938">
        <f t="shared" si="157"/>
        <v>0</v>
      </c>
      <c r="IO24" s="938">
        <f t="shared" si="158"/>
        <v>0</v>
      </c>
      <c r="IP24" s="938">
        <f t="shared" si="159"/>
        <v>0</v>
      </c>
      <c r="IQ24" s="938">
        <f t="shared" si="160"/>
        <v>0</v>
      </c>
      <c r="IR24" s="938">
        <f t="shared" si="161"/>
        <v>0</v>
      </c>
      <c r="IS24" s="938" t="str">
        <f t="shared" si="162"/>
        <v/>
      </c>
      <c r="IT24" s="713">
        <f>'min. Düngung 22'!CH25</f>
        <v>0</v>
      </c>
      <c r="IU24" s="938"/>
      <c r="IV24" s="938"/>
      <c r="IW24" s="938">
        <f t="shared" si="163"/>
        <v>0</v>
      </c>
      <c r="IX24" s="938">
        <f t="shared" si="164"/>
        <v>0</v>
      </c>
      <c r="IY24" s="938">
        <f t="shared" si="165"/>
        <v>0</v>
      </c>
      <c r="IZ24" s="938">
        <f t="shared" si="166"/>
        <v>0</v>
      </c>
      <c r="JA24" s="938">
        <f t="shared" si="167"/>
        <v>0</v>
      </c>
      <c r="JB24" s="938" t="str">
        <f t="shared" si="168"/>
        <v/>
      </c>
      <c r="JC24" s="713">
        <f>'min. Düngung 22'!CK25</f>
        <v>0</v>
      </c>
      <c r="JD24" s="938"/>
      <c r="JE24" s="938"/>
      <c r="JF24" s="938">
        <f t="shared" si="169"/>
        <v>0</v>
      </c>
      <c r="JG24" s="938">
        <f t="shared" si="170"/>
        <v>0</v>
      </c>
      <c r="JH24" s="938">
        <f t="shared" si="171"/>
        <v>0</v>
      </c>
      <c r="JI24" s="938">
        <f t="shared" si="172"/>
        <v>0</v>
      </c>
      <c r="JJ24" s="938">
        <f t="shared" si="173"/>
        <v>0</v>
      </c>
      <c r="JK24" s="938" t="str">
        <f t="shared" si="174"/>
        <v/>
      </c>
      <c r="JL24" s="713">
        <f>'min. Düngung 22'!CN25</f>
        <v>0</v>
      </c>
      <c r="JM24" s="938"/>
      <c r="JN24" s="938"/>
      <c r="JO24" s="938">
        <f t="shared" si="175"/>
        <v>0</v>
      </c>
      <c r="JP24" s="938">
        <f t="shared" si="176"/>
        <v>0</v>
      </c>
      <c r="JQ24" s="938">
        <f t="shared" si="177"/>
        <v>0</v>
      </c>
      <c r="JR24" s="938">
        <f t="shared" si="178"/>
        <v>0</v>
      </c>
      <c r="JS24" s="938">
        <f t="shared" si="179"/>
        <v>0</v>
      </c>
      <c r="JT24" s="938" t="str">
        <f t="shared" si="180"/>
        <v/>
      </c>
      <c r="JU24" s="713">
        <f>'min. Düngung 22'!CQ25</f>
        <v>0</v>
      </c>
      <c r="JV24" s="938"/>
      <c r="JW24" s="938"/>
      <c r="JX24" s="938">
        <f t="shared" si="181"/>
        <v>0</v>
      </c>
      <c r="JY24" s="938">
        <f t="shared" si="182"/>
        <v>0</v>
      </c>
      <c r="JZ24" s="938">
        <f t="shared" si="183"/>
        <v>0</v>
      </c>
      <c r="KA24" s="938">
        <f t="shared" si="184"/>
        <v>0</v>
      </c>
      <c r="KB24" s="938">
        <f t="shared" si="185"/>
        <v>0</v>
      </c>
      <c r="KC24" s="938" t="str">
        <f t="shared" si="186"/>
        <v/>
      </c>
      <c r="KE24" s="938"/>
      <c r="KF24" s="938" t="str">
        <f>IF(AND($F24=2,$G24=1),"",IF(OR($Q24&gt;0,$O24&gt;60),$KF$7,IF(I24=70,"",IF(AND(I24=80,R24+'#orgDung'!AC27&lt;60,K24=1,OR(C24=2,'#BerechnungDBE'!AH18=4)),"",IF(R24&gt;0,$KF$7,"")))))</f>
        <v/>
      </c>
      <c r="KG24" s="938" t="str">
        <f>IF(AND(P24&gt;'#BerechnungDBE'!BJ18,P24&gt;0),'#minDung'!$KG$7,"")</f>
        <v/>
      </c>
      <c r="KH24" s="938" t="str">
        <f>IF(AND(I24=70,R24&gt;'#BerechnungDBE'!CR18),'#minDung'!$KH$7,"")</f>
        <v/>
      </c>
      <c r="KI24" s="938" t="str">
        <f>IF('#BerechnungDBE'!P18&lt;4,"",IF(AND('#BerechnungDBE'!BZ18&gt;0,N24&gt;0),$KI$7,""))</f>
        <v/>
      </c>
      <c r="KJ24" s="938" t="str">
        <f t="shared" si="5"/>
        <v/>
      </c>
    </row>
    <row r="25" spans="1:296" s="875" customFormat="1" hidden="1" x14ac:dyDescent="0.2">
      <c r="A25" s="875">
        <f>'Flächen u. Kulturen'!A24</f>
        <v>15</v>
      </c>
      <c r="B25" s="734">
        <f>'#BerechnungDBE'!L19</f>
        <v>0</v>
      </c>
      <c r="C25" s="46">
        <f>'#orgDung'!C28</f>
        <v>1</v>
      </c>
      <c r="D25" s="875">
        <f>'#BerechnungDBE'!T19</f>
        <v>2</v>
      </c>
      <c r="E25" s="875" t="str">
        <f>'Flächen u. Kulturen'!E24</f>
        <v>x</v>
      </c>
      <c r="F25" s="52">
        <f>'#BerechnungDBE'!N19</f>
        <v>1</v>
      </c>
      <c r="G25" s="52">
        <f>'#BerechnungDBE'!O19</f>
        <v>1</v>
      </c>
      <c r="H25" s="505">
        <f>'#orgDung'!J28</f>
        <v>2</v>
      </c>
      <c r="I25" s="875">
        <f>'#BerechnungDBE'!AF19</f>
        <v>0</v>
      </c>
      <c r="J25" s="875">
        <f>'#orgDung'!M28</f>
        <v>0</v>
      </c>
      <c r="K25" s="875">
        <f>'#BerechnungDBE'!AG19</f>
        <v>0</v>
      </c>
      <c r="M25" s="875">
        <f t="shared" si="0"/>
        <v>0</v>
      </c>
      <c r="N25" s="875">
        <f t="shared" si="1"/>
        <v>0</v>
      </c>
      <c r="O25" s="875">
        <f t="shared" si="2"/>
        <v>0</v>
      </c>
      <c r="P25" s="875">
        <f t="shared" si="4"/>
        <v>0</v>
      </c>
      <c r="Q25" s="938">
        <f t="shared" si="6"/>
        <v>0</v>
      </c>
      <c r="R25" s="875">
        <f t="shared" si="3"/>
        <v>0</v>
      </c>
      <c r="T25" s="713">
        <f>'min. Düngung 22'!H26</f>
        <v>0</v>
      </c>
      <c r="W25" s="875">
        <f t="shared" si="7"/>
        <v>0</v>
      </c>
      <c r="X25" s="875">
        <f t="shared" si="8"/>
        <v>0</v>
      </c>
      <c r="Y25" s="875">
        <f t="shared" si="9"/>
        <v>0</v>
      </c>
      <c r="Z25" s="875">
        <f t="shared" si="10"/>
        <v>0</v>
      </c>
      <c r="AA25" s="875">
        <f t="shared" si="11"/>
        <v>0</v>
      </c>
      <c r="AB25" s="875" t="str">
        <f t="shared" si="12"/>
        <v/>
      </c>
      <c r="AC25" s="713">
        <f>'min. Düngung 22'!K26</f>
        <v>0</v>
      </c>
      <c r="AD25" s="938"/>
      <c r="AE25" s="938"/>
      <c r="AF25" s="938">
        <f t="shared" si="13"/>
        <v>0</v>
      </c>
      <c r="AG25" s="938">
        <f t="shared" si="14"/>
        <v>0</v>
      </c>
      <c r="AH25" s="938">
        <f t="shared" si="15"/>
        <v>0</v>
      </c>
      <c r="AI25" s="938">
        <f t="shared" si="16"/>
        <v>0</v>
      </c>
      <c r="AJ25" s="938">
        <f t="shared" si="17"/>
        <v>0</v>
      </c>
      <c r="AK25" s="938">
        <f t="shared" si="18"/>
        <v>0</v>
      </c>
      <c r="AL25" s="713">
        <f>'min. Düngung 22'!N26</f>
        <v>0</v>
      </c>
      <c r="AM25" s="938"/>
      <c r="AN25" s="938"/>
      <c r="AO25" s="938">
        <f t="shared" si="19"/>
        <v>0</v>
      </c>
      <c r="AP25" s="938">
        <f t="shared" si="20"/>
        <v>0</v>
      </c>
      <c r="AQ25" s="938">
        <f t="shared" si="21"/>
        <v>0</v>
      </c>
      <c r="AR25" s="938">
        <f t="shared" si="22"/>
        <v>0</v>
      </c>
      <c r="AS25" s="938">
        <f t="shared" si="23"/>
        <v>0</v>
      </c>
      <c r="AT25" s="938" t="str">
        <f t="shared" si="24"/>
        <v/>
      </c>
      <c r="AU25" s="713">
        <f>'min. Düngung 22'!Q26</f>
        <v>0</v>
      </c>
      <c r="AV25" s="938"/>
      <c r="AW25" s="938"/>
      <c r="AX25" s="938">
        <f t="shared" si="25"/>
        <v>0</v>
      </c>
      <c r="AY25" s="938">
        <f t="shared" si="26"/>
        <v>0</v>
      </c>
      <c r="AZ25" s="938">
        <f t="shared" si="27"/>
        <v>0</v>
      </c>
      <c r="BA25" s="938">
        <f t="shared" si="28"/>
        <v>0</v>
      </c>
      <c r="BB25" s="938">
        <f t="shared" si="29"/>
        <v>0</v>
      </c>
      <c r="BC25" s="938" t="str">
        <f t="shared" si="30"/>
        <v/>
      </c>
      <c r="BD25" s="713">
        <f>'min. Düngung 22'!T26</f>
        <v>0</v>
      </c>
      <c r="BE25" s="938"/>
      <c r="BF25" s="938"/>
      <c r="BG25" s="938">
        <f t="shared" si="31"/>
        <v>0</v>
      </c>
      <c r="BH25" s="938">
        <f t="shared" si="32"/>
        <v>0</v>
      </c>
      <c r="BI25" s="938">
        <f t="shared" si="33"/>
        <v>0</v>
      </c>
      <c r="BJ25" s="938">
        <f t="shared" si="34"/>
        <v>0</v>
      </c>
      <c r="BK25" s="938">
        <f t="shared" si="35"/>
        <v>0</v>
      </c>
      <c r="BL25" s="938" t="str">
        <f t="shared" si="36"/>
        <v/>
      </c>
      <c r="BM25" s="713">
        <f>'min. Düngung 22'!W26</f>
        <v>0</v>
      </c>
      <c r="BN25" s="938"/>
      <c r="BO25" s="938"/>
      <c r="BP25" s="938">
        <f t="shared" si="37"/>
        <v>0</v>
      </c>
      <c r="BQ25" s="938">
        <f t="shared" si="38"/>
        <v>0</v>
      </c>
      <c r="BR25" s="938">
        <f t="shared" si="39"/>
        <v>0</v>
      </c>
      <c r="BS25" s="938">
        <f t="shared" si="40"/>
        <v>0</v>
      </c>
      <c r="BT25" s="938">
        <f t="shared" si="41"/>
        <v>0</v>
      </c>
      <c r="BU25" s="938" t="str">
        <f t="shared" si="42"/>
        <v/>
      </c>
      <c r="BV25" s="713">
        <f>'min. Düngung 22'!Z26</f>
        <v>0</v>
      </c>
      <c r="BW25" s="938"/>
      <c r="BX25" s="938"/>
      <c r="BY25" s="938">
        <f t="shared" si="43"/>
        <v>0</v>
      </c>
      <c r="BZ25" s="938">
        <f t="shared" si="44"/>
        <v>0</v>
      </c>
      <c r="CA25" s="938">
        <f t="shared" si="45"/>
        <v>0</v>
      </c>
      <c r="CB25" s="938">
        <f t="shared" si="46"/>
        <v>0</v>
      </c>
      <c r="CC25" s="938">
        <f t="shared" si="47"/>
        <v>0</v>
      </c>
      <c r="CD25" s="938" t="str">
        <f t="shared" si="48"/>
        <v/>
      </c>
      <c r="CE25" s="713">
        <f>'min. Düngung 22'!AC26</f>
        <v>0</v>
      </c>
      <c r="CF25" s="938"/>
      <c r="CG25" s="938"/>
      <c r="CH25" s="938">
        <f t="shared" si="49"/>
        <v>0</v>
      </c>
      <c r="CI25" s="938">
        <f t="shared" si="50"/>
        <v>0</v>
      </c>
      <c r="CJ25" s="938">
        <f t="shared" si="51"/>
        <v>0</v>
      </c>
      <c r="CK25" s="938">
        <f t="shared" si="52"/>
        <v>0</v>
      </c>
      <c r="CL25" s="938">
        <f t="shared" si="53"/>
        <v>0</v>
      </c>
      <c r="CM25" s="938" t="str">
        <f t="shared" si="54"/>
        <v/>
      </c>
      <c r="CN25" s="713">
        <f>'min. Düngung 22'!AF26</f>
        <v>0</v>
      </c>
      <c r="CO25" s="938"/>
      <c r="CP25" s="938"/>
      <c r="CQ25" s="938">
        <f t="shared" si="55"/>
        <v>0</v>
      </c>
      <c r="CR25" s="938">
        <f t="shared" si="56"/>
        <v>0</v>
      </c>
      <c r="CS25" s="938">
        <f t="shared" si="57"/>
        <v>0</v>
      </c>
      <c r="CT25" s="938">
        <f t="shared" si="58"/>
        <v>0</v>
      </c>
      <c r="CU25" s="938">
        <f t="shared" si="59"/>
        <v>0</v>
      </c>
      <c r="CV25" s="938" t="str">
        <f t="shared" si="60"/>
        <v/>
      </c>
      <c r="CW25" s="713">
        <f>'min. Düngung 22'!AI26</f>
        <v>0</v>
      </c>
      <c r="CX25" s="938"/>
      <c r="CY25" s="938"/>
      <c r="CZ25" s="938">
        <f t="shared" si="61"/>
        <v>0</v>
      </c>
      <c r="DA25" s="938">
        <f t="shared" si="62"/>
        <v>0</v>
      </c>
      <c r="DB25" s="938">
        <f t="shared" si="63"/>
        <v>0</v>
      </c>
      <c r="DC25" s="938">
        <f t="shared" si="64"/>
        <v>0</v>
      </c>
      <c r="DD25" s="938">
        <f t="shared" si="65"/>
        <v>0</v>
      </c>
      <c r="DE25" s="938" t="str">
        <f t="shared" si="66"/>
        <v/>
      </c>
      <c r="DF25" s="713">
        <f>'min. Düngung 22'!AL26</f>
        <v>0</v>
      </c>
      <c r="DG25" s="938"/>
      <c r="DH25" s="938"/>
      <c r="DI25" s="938">
        <f t="shared" si="67"/>
        <v>0</v>
      </c>
      <c r="DJ25" s="938">
        <f t="shared" si="68"/>
        <v>0</v>
      </c>
      <c r="DK25" s="938">
        <f t="shared" si="69"/>
        <v>0</v>
      </c>
      <c r="DL25" s="938">
        <f t="shared" si="70"/>
        <v>0</v>
      </c>
      <c r="DM25" s="938">
        <f t="shared" si="71"/>
        <v>0</v>
      </c>
      <c r="DN25" s="938" t="str">
        <f t="shared" si="72"/>
        <v/>
      </c>
      <c r="DO25" s="713">
        <f>'min. Düngung 22'!AO26</f>
        <v>0</v>
      </c>
      <c r="DP25" s="938"/>
      <c r="DQ25" s="938"/>
      <c r="DR25" s="938">
        <f t="shared" si="73"/>
        <v>0</v>
      </c>
      <c r="DS25" s="938">
        <f t="shared" si="74"/>
        <v>0</v>
      </c>
      <c r="DT25" s="938">
        <f t="shared" si="75"/>
        <v>0</v>
      </c>
      <c r="DU25" s="938">
        <f t="shared" si="76"/>
        <v>0</v>
      </c>
      <c r="DV25" s="938">
        <f t="shared" si="77"/>
        <v>0</v>
      </c>
      <c r="DW25" s="938" t="str">
        <f t="shared" si="78"/>
        <v/>
      </c>
      <c r="DX25" s="713">
        <f>'min. Düngung 22'!AR26</f>
        <v>0</v>
      </c>
      <c r="DY25" s="938"/>
      <c r="DZ25" s="938"/>
      <c r="EA25" s="938">
        <f t="shared" si="79"/>
        <v>0</v>
      </c>
      <c r="EB25" s="938">
        <f t="shared" si="80"/>
        <v>0</v>
      </c>
      <c r="EC25" s="938">
        <f t="shared" si="81"/>
        <v>0</v>
      </c>
      <c r="ED25" s="938">
        <f t="shared" si="82"/>
        <v>0</v>
      </c>
      <c r="EE25" s="938">
        <f t="shared" si="83"/>
        <v>0</v>
      </c>
      <c r="EF25" s="938" t="str">
        <f t="shared" si="84"/>
        <v/>
      </c>
      <c r="EG25" s="713">
        <f>'min. Düngung 22'!AU26</f>
        <v>0</v>
      </c>
      <c r="EH25" s="938"/>
      <c r="EI25" s="938"/>
      <c r="EJ25" s="938">
        <f t="shared" si="85"/>
        <v>0</v>
      </c>
      <c r="EK25" s="938">
        <f t="shared" si="86"/>
        <v>0</v>
      </c>
      <c r="EL25" s="938">
        <f t="shared" si="87"/>
        <v>0</v>
      </c>
      <c r="EM25" s="938">
        <f t="shared" si="88"/>
        <v>0</v>
      </c>
      <c r="EN25" s="938">
        <f t="shared" si="89"/>
        <v>0</v>
      </c>
      <c r="EO25" s="938" t="str">
        <f t="shared" si="90"/>
        <v/>
      </c>
      <c r="EP25" s="713">
        <f>'min. Düngung 22'!AX26</f>
        <v>0</v>
      </c>
      <c r="EQ25" s="938"/>
      <c r="ER25" s="938"/>
      <c r="ES25" s="938">
        <f t="shared" si="91"/>
        <v>0</v>
      </c>
      <c r="ET25" s="938">
        <f t="shared" si="92"/>
        <v>0</v>
      </c>
      <c r="EU25" s="938">
        <f t="shared" si="93"/>
        <v>0</v>
      </c>
      <c r="EV25" s="938">
        <f t="shared" si="94"/>
        <v>0</v>
      </c>
      <c r="EW25" s="938">
        <f t="shared" si="95"/>
        <v>0</v>
      </c>
      <c r="EX25" s="938" t="str">
        <f t="shared" si="96"/>
        <v/>
      </c>
      <c r="EY25" s="713">
        <f>'min. Düngung 22'!BA26</f>
        <v>0</v>
      </c>
      <c r="EZ25" s="938"/>
      <c r="FA25" s="938"/>
      <c r="FB25" s="938">
        <f t="shared" si="97"/>
        <v>0</v>
      </c>
      <c r="FC25" s="938">
        <f t="shared" si="98"/>
        <v>0</v>
      </c>
      <c r="FD25" s="938">
        <f t="shared" si="99"/>
        <v>0</v>
      </c>
      <c r="FE25" s="938">
        <f t="shared" si="100"/>
        <v>0</v>
      </c>
      <c r="FF25" s="938">
        <f t="shared" si="101"/>
        <v>0</v>
      </c>
      <c r="FG25" s="938" t="str">
        <f t="shared" si="102"/>
        <v/>
      </c>
      <c r="FH25" s="713">
        <f>'min. Düngung 22'!BD26</f>
        <v>0</v>
      </c>
      <c r="FI25" s="938"/>
      <c r="FJ25" s="938"/>
      <c r="FK25" s="938">
        <f t="shared" si="103"/>
        <v>0</v>
      </c>
      <c r="FL25" s="938">
        <f t="shared" si="104"/>
        <v>0</v>
      </c>
      <c r="FM25" s="938">
        <f t="shared" si="105"/>
        <v>0</v>
      </c>
      <c r="FN25" s="938">
        <f t="shared" si="106"/>
        <v>0</v>
      </c>
      <c r="FO25" s="938">
        <f t="shared" si="107"/>
        <v>0</v>
      </c>
      <c r="FP25" s="938" t="str">
        <f t="shared" si="108"/>
        <v/>
      </c>
      <c r="FQ25" s="713">
        <f>'min. Düngung 22'!BG26</f>
        <v>0</v>
      </c>
      <c r="FR25" s="938"/>
      <c r="FS25" s="938"/>
      <c r="FT25" s="938">
        <f t="shared" si="109"/>
        <v>0</v>
      </c>
      <c r="FU25" s="938">
        <f t="shared" si="110"/>
        <v>0</v>
      </c>
      <c r="FV25" s="938">
        <f t="shared" si="111"/>
        <v>0</v>
      </c>
      <c r="FW25" s="938">
        <f t="shared" si="112"/>
        <v>0</v>
      </c>
      <c r="FX25" s="938">
        <f t="shared" si="113"/>
        <v>0</v>
      </c>
      <c r="FY25" s="938" t="str">
        <f t="shared" si="114"/>
        <v/>
      </c>
      <c r="FZ25" s="713">
        <f>'min. Düngung 22'!BJ26</f>
        <v>0</v>
      </c>
      <c r="GA25" s="938"/>
      <c r="GB25" s="938"/>
      <c r="GC25" s="938">
        <f t="shared" si="115"/>
        <v>0</v>
      </c>
      <c r="GD25" s="938">
        <f t="shared" si="116"/>
        <v>0</v>
      </c>
      <c r="GE25" s="938">
        <f t="shared" si="117"/>
        <v>0</v>
      </c>
      <c r="GF25" s="938">
        <f t="shared" si="118"/>
        <v>0</v>
      </c>
      <c r="GG25" s="938">
        <f t="shared" si="119"/>
        <v>0</v>
      </c>
      <c r="GH25" s="938" t="str">
        <f t="shared" si="120"/>
        <v/>
      </c>
      <c r="GI25" s="713">
        <f>'min. Düngung 22'!BM26</f>
        <v>0</v>
      </c>
      <c r="GJ25" s="938"/>
      <c r="GK25" s="938"/>
      <c r="GL25" s="938">
        <f t="shared" si="121"/>
        <v>0</v>
      </c>
      <c r="GM25" s="938">
        <f t="shared" si="122"/>
        <v>0</v>
      </c>
      <c r="GN25" s="938">
        <f t="shared" si="123"/>
        <v>0</v>
      </c>
      <c r="GO25" s="938">
        <f t="shared" si="124"/>
        <v>0</v>
      </c>
      <c r="GP25" s="938">
        <f t="shared" si="125"/>
        <v>0</v>
      </c>
      <c r="GQ25" s="938" t="str">
        <f t="shared" si="126"/>
        <v/>
      </c>
      <c r="GR25" s="713">
        <f>'min. Düngung 22'!BP26</f>
        <v>0</v>
      </c>
      <c r="GS25" s="938"/>
      <c r="GT25" s="938"/>
      <c r="GU25" s="938">
        <f t="shared" si="127"/>
        <v>0</v>
      </c>
      <c r="GV25" s="938">
        <f t="shared" si="128"/>
        <v>0</v>
      </c>
      <c r="GW25" s="938">
        <f t="shared" si="129"/>
        <v>0</v>
      </c>
      <c r="GX25" s="938">
        <f t="shared" si="130"/>
        <v>0</v>
      </c>
      <c r="GY25" s="938">
        <f t="shared" si="131"/>
        <v>0</v>
      </c>
      <c r="GZ25" s="938" t="str">
        <f t="shared" si="132"/>
        <v/>
      </c>
      <c r="HA25" s="713">
        <f>'min. Düngung 22'!BS26</f>
        <v>0</v>
      </c>
      <c r="HB25" s="938"/>
      <c r="HC25" s="938"/>
      <c r="HD25" s="938">
        <f t="shared" si="133"/>
        <v>0</v>
      </c>
      <c r="HE25" s="938">
        <f t="shared" si="134"/>
        <v>0</v>
      </c>
      <c r="HF25" s="938">
        <f t="shared" si="135"/>
        <v>0</v>
      </c>
      <c r="HG25" s="938">
        <f t="shared" si="136"/>
        <v>0</v>
      </c>
      <c r="HH25" s="938">
        <f t="shared" si="137"/>
        <v>0</v>
      </c>
      <c r="HI25" s="938" t="str">
        <f t="shared" si="138"/>
        <v/>
      </c>
      <c r="HJ25" s="713">
        <f>'min. Düngung 22'!BV26</f>
        <v>0</v>
      </c>
      <c r="HK25" s="938"/>
      <c r="HL25" s="938"/>
      <c r="HM25" s="938">
        <f t="shared" si="139"/>
        <v>0</v>
      </c>
      <c r="HN25" s="938">
        <f t="shared" si="140"/>
        <v>0</v>
      </c>
      <c r="HO25" s="938">
        <f t="shared" si="141"/>
        <v>0</v>
      </c>
      <c r="HP25" s="938">
        <f t="shared" si="142"/>
        <v>0</v>
      </c>
      <c r="HQ25" s="938">
        <f t="shared" si="143"/>
        <v>0</v>
      </c>
      <c r="HR25" s="938" t="str">
        <f t="shared" si="144"/>
        <v/>
      </c>
      <c r="HS25" s="713">
        <f>'min. Düngung 22'!BY26</f>
        <v>0</v>
      </c>
      <c r="HT25" s="938"/>
      <c r="HU25" s="938"/>
      <c r="HV25" s="938">
        <f t="shared" si="145"/>
        <v>0</v>
      </c>
      <c r="HW25" s="938">
        <f t="shared" si="146"/>
        <v>0</v>
      </c>
      <c r="HX25" s="938">
        <f t="shared" si="147"/>
        <v>0</v>
      </c>
      <c r="HY25" s="938">
        <f t="shared" si="148"/>
        <v>0</v>
      </c>
      <c r="HZ25" s="938">
        <f t="shared" si="149"/>
        <v>0</v>
      </c>
      <c r="IA25" s="938" t="str">
        <f t="shared" si="150"/>
        <v/>
      </c>
      <c r="IB25" s="713">
        <f>'min. Düngung 22'!CB26</f>
        <v>0</v>
      </c>
      <c r="IC25" s="938"/>
      <c r="ID25" s="938"/>
      <c r="IE25" s="938">
        <f t="shared" si="151"/>
        <v>0</v>
      </c>
      <c r="IF25" s="938">
        <f t="shared" si="152"/>
        <v>0</v>
      </c>
      <c r="IG25" s="938">
        <f t="shared" si="153"/>
        <v>0</v>
      </c>
      <c r="IH25" s="938">
        <f t="shared" si="154"/>
        <v>0</v>
      </c>
      <c r="II25" s="938">
        <f t="shared" si="155"/>
        <v>0</v>
      </c>
      <c r="IJ25" s="938" t="str">
        <f t="shared" si="156"/>
        <v/>
      </c>
      <c r="IK25" s="713">
        <f>'min. Düngung 22'!CE26</f>
        <v>0</v>
      </c>
      <c r="IL25" s="938"/>
      <c r="IM25" s="938"/>
      <c r="IN25" s="938">
        <f t="shared" si="157"/>
        <v>0</v>
      </c>
      <c r="IO25" s="938">
        <f t="shared" si="158"/>
        <v>0</v>
      </c>
      <c r="IP25" s="938">
        <f t="shared" si="159"/>
        <v>0</v>
      </c>
      <c r="IQ25" s="938">
        <f t="shared" si="160"/>
        <v>0</v>
      </c>
      <c r="IR25" s="938">
        <f t="shared" si="161"/>
        <v>0</v>
      </c>
      <c r="IS25" s="938" t="str">
        <f t="shared" si="162"/>
        <v/>
      </c>
      <c r="IT25" s="713">
        <f>'min. Düngung 22'!CH26</f>
        <v>0</v>
      </c>
      <c r="IU25" s="938"/>
      <c r="IV25" s="938"/>
      <c r="IW25" s="938">
        <f t="shared" si="163"/>
        <v>0</v>
      </c>
      <c r="IX25" s="938">
        <f t="shared" si="164"/>
        <v>0</v>
      </c>
      <c r="IY25" s="938">
        <f t="shared" si="165"/>
        <v>0</v>
      </c>
      <c r="IZ25" s="938">
        <f t="shared" si="166"/>
        <v>0</v>
      </c>
      <c r="JA25" s="938">
        <f t="shared" si="167"/>
        <v>0</v>
      </c>
      <c r="JB25" s="938" t="str">
        <f t="shared" si="168"/>
        <v/>
      </c>
      <c r="JC25" s="713">
        <f>'min. Düngung 22'!CK26</f>
        <v>0</v>
      </c>
      <c r="JD25" s="938"/>
      <c r="JE25" s="938"/>
      <c r="JF25" s="938">
        <f t="shared" si="169"/>
        <v>0</v>
      </c>
      <c r="JG25" s="938">
        <f t="shared" si="170"/>
        <v>0</v>
      </c>
      <c r="JH25" s="938">
        <f t="shared" si="171"/>
        <v>0</v>
      </c>
      <c r="JI25" s="938">
        <f t="shared" si="172"/>
        <v>0</v>
      </c>
      <c r="JJ25" s="938">
        <f t="shared" si="173"/>
        <v>0</v>
      </c>
      <c r="JK25" s="938" t="str">
        <f t="shared" si="174"/>
        <v/>
      </c>
      <c r="JL25" s="713">
        <f>'min. Düngung 22'!CN26</f>
        <v>0</v>
      </c>
      <c r="JM25" s="938"/>
      <c r="JN25" s="938"/>
      <c r="JO25" s="938">
        <f t="shared" si="175"/>
        <v>0</v>
      </c>
      <c r="JP25" s="938">
        <f t="shared" si="176"/>
        <v>0</v>
      </c>
      <c r="JQ25" s="938">
        <f t="shared" si="177"/>
        <v>0</v>
      </c>
      <c r="JR25" s="938">
        <f t="shared" si="178"/>
        <v>0</v>
      </c>
      <c r="JS25" s="938">
        <f t="shared" si="179"/>
        <v>0</v>
      </c>
      <c r="JT25" s="938" t="str">
        <f t="shared" si="180"/>
        <v/>
      </c>
      <c r="JU25" s="713">
        <f>'min. Düngung 22'!CQ26</f>
        <v>0</v>
      </c>
      <c r="JV25" s="938"/>
      <c r="JW25" s="938"/>
      <c r="JX25" s="938">
        <f t="shared" si="181"/>
        <v>0</v>
      </c>
      <c r="JY25" s="938">
        <f t="shared" si="182"/>
        <v>0</v>
      </c>
      <c r="JZ25" s="938">
        <f t="shared" si="183"/>
        <v>0</v>
      </c>
      <c r="KA25" s="938">
        <f t="shared" si="184"/>
        <v>0</v>
      </c>
      <c r="KB25" s="938">
        <f t="shared" si="185"/>
        <v>0</v>
      </c>
      <c r="KC25" s="938" t="str">
        <f t="shared" si="186"/>
        <v/>
      </c>
      <c r="KE25" s="938"/>
      <c r="KF25" s="938" t="str">
        <f>IF(AND($F25=2,$G25=1),"",IF(OR($Q25&gt;0,$O25&gt;60),$KF$7,IF(I25=70,"",IF(AND(I25=80,R25+'#orgDung'!AC28&lt;60,K25=1,OR(C25=2,'#BerechnungDBE'!AH19=4)),"",IF(R25&gt;0,$KF$7,"")))))</f>
        <v/>
      </c>
      <c r="KG25" s="938" t="str">
        <f>IF(AND(P25&gt;'#BerechnungDBE'!BJ19,P25&gt;0),'#minDung'!$KG$7,"")</f>
        <v/>
      </c>
      <c r="KH25" s="938" t="str">
        <f>IF(AND(I25=70,R25&gt;'#BerechnungDBE'!CR19),'#minDung'!$KH$7,"")</f>
        <v/>
      </c>
      <c r="KI25" s="938" t="str">
        <f>IF('#BerechnungDBE'!P19&lt;4,"",IF(AND('#BerechnungDBE'!BZ19&gt;0,N25&gt;0),$KI$7,""))</f>
        <v/>
      </c>
      <c r="KJ25" s="938" t="str">
        <f t="shared" si="5"/>
        <v/>
      </c>
    </row>
    <row r="26" spans="1:296" s="875" customFormat="1" hidden="1" x14ac:dyDescent="0.2">
      <c r="A26" s="875">
        <f>'Flächen u. Kulturen'!A25</f>
        <v>16</v>
      </c>
      <c r="B26" s="734">
        <f>'#BerechnungDBE'!L20</f>
        <v>0</v>
      </c>
      <c r="C26" s="46">
        <f>'#orgDung'!C29</f>
        <v>1</v>
      </c>
      <c r="D26" s="875">
        <f>'#BerechnungDBE'!T20</f>
        <v>2</v>
      </c>
      <c r="E26" s="875" t="str">
        <f>'Flächen u. Kulturen'!E25</f>
        <v>x</v>
      </c>
      <c r="F26" s="52">
        <f>'#BerechnungDBE'!N20</f>
        <v>1</v>
      </c>
      <c r="G26" s="52">
        <f>'#BerechnungDBE'!O20</f>
        <v>1</v>
      </c>
      <c r="H26" s="505">
        <f>'#orgDung'!J29</f>
        <v>2</v>
      </c>
      <c r="I26" s="875">
        <f>'#BerechnungDBE'!AF20</f>
        <v>0</v>
      </c>
      <c r="J26" s="875">
        <f>'#orgDung'!M29</f>
        <v>0</v>
      </c>
      <c r="K26" s="875">
        <f>'#BerechnungDBE'!AG20</f>
        <v>0</v>
      </c>
      <c r="M26" s="875">
        <f t="shared" si="0"/>
        <v>0</v>
      </c>
      <c r="N26" s="875">
        <f t="shared" si="1"/>
        <v>0</v>
      </c>
      <c r="O26" s="875">
        <f t="shared" si="2"/>
        <v>0</v>
      </c>
      <c r="P26" s="875">
        <f t="shared" si="4"/>
        <v>0</v>
      </c>
      <c r="Q26" s="938">
        <f t="shared" si="6"/>
        <v>0</v>
      </c>
      <c r="R26" s="875">
        <f t="shared" si="3"/>
        <v>0</v>
      </c>
      <c r="T26" s="713">
        <f>'min. Düngung 22'!H27</f>
        <v>0</v>
      </c>
      <c r="W26" s="875">
        <f t="shared" si="7"/>
        <v>0</v>
      </c>
      <c r="X26" s="875">
        <f t="shared" si="8"/>
        <v>0</v>
      </c>
      <c r="Y26" s="875">
        <f t="shared" si="9"/>
        <v>0</v>
      </c>
      <c r="Z26" s="875">
        <f t="shared" si="10"/>
        <v>0</v>
      </c>
      <c r="AA26" s="875">
        <f t="shared" si="11"/>
        <v>0</v>
      </c>
      <c r="AB26" s="875" t="str">
        <f t="shared" si="12"/>
        <v/>
      </c>
      <c r="AC26" s="713">
        <f>'min. Düngung 22'!K27</f>
        <v>0</v>
      </c>
      <c r="AD26" s="938"/>
      <c r="AE26" s="938"/>
      <c r="AF26" s="938">
        <f t="shared" si="13"/>
        <v>0</v>
      </c>
      <c r="AG26" s="938">
        <f t="shared" si="14"/>
        <v>0</v>
      </c>
      <c r="AH26" s="938">
        <f t="shared" si="15"/>
        <v>0</v>
      </c>
      <c r="AI26" s="938">
        <f t="shared" si="16"/>
        <v>0</v>
      </c>
      <c r="AJ26" s="938">
        <f t="shared" si="17"/>
        <v>0</v>
      </c>
      <c r="AK26" s="938">
        <f t="shared" si="18"/>
        <v>0</v>
      </c>
      <c r="AL26" s="713">
        <f>'min. Düngung 22'!N27</f>
        <v>0</v>
      </c>
      <c r="AM26" s="938"/>
      <c r="AN26" s="938"/>
      <c r="AO26" s="938">
        <f t="shared" si="19"/>
        <v>0</v>
      </c>
      <c r="AP26" s="938">
        <f t="shared" si="20"/>
        <v>0</v>
      </c>
      <c r="AQ26" s="938">
        <f t="shared" si="21"/>
        <v>0</v>
      </c>
      <c r="AR26" s="938">
        <f t="shared" si="22"/>
        <v>0</v>
      </c>
      <c r="AS26" s="938">
        <f t="shared" si="23"/>
        <v>0</v>
      </c>
      <c r="AT26" s="938" t="str">
        <f t="shared" si="24"/>
        <v/>
      </c>
      <c r="AU26" s="713">
        <f>'min. Düngung 22'!Q27</f>
        <v>0</v>
      </c>
      <c r="AV26" s="938"/>
      <c r="AW26" s="938"/>
      <c r="AX26" s="938">
        <f t="shared" si="25"/>
        <v>0</v>
      </c>
      <c r="AY26" s="938">
        <f t="shared" si="26"/>
        <v>0</v>
      </c>
      <c r="AZ26" s="938">
        <f t="shared" si="27"/>
        <v>0</v>
      </c>
      <c r="BA26" s="938">
        <f t="shared" si="28"/>
        <v>0</v>
      </c>
      <c r="BB26" s="938">
        <f t="shared" si="29"/>
        <v>0</v>
      </c>
      <c r="BC26" s="938" t="str">
        <f t="shared" si="30"/>
        <v/>
      </c>
      <c r="BD26" s="713">
        <f>'min. Düngung 22'!T27</f>
        <v>0</v>
      </c>
      <c r="BE26" s="938"/>
      <c r="BF26" s="938"/>
      <c r="BG26" s="938">
        <f t="shared" si="31"/>
        <v>0</v>
      </c>
      <c r="BH26" s="938">
        <f t="shared" si="32"/>
        <v>0</v>
      </c>
      <c r="BI26" s="938">
        <f t="shared" si="33"/>
        <v>0</v>
      </c>
      <c r="BJ26" s="938">
        <f t="shared" si="34"/>
        <v>0</v>
      </c>
      <c r="BK26" s="938">
        <f t="shared" si="35"/>
        <v>0</v>
      </c>
      <c r="BL26" s="938" t="str">
        <f t="shared" si="36"/>
        <v/>
      </c>
      <c r="BM26" s="713">
        <f>'min. Düngung 22'!W27</f>
        <v>0</v>
      </c>
      <c r="BN26" s="938"/>
      <c r="BO26" s="938"/>
      <c r="BP26" s="938">
        <f t="shared" si="37"/>
        <v>0</v>
      </c>
      <c r="BQ26" s="938">
        <f t="shared" si="38"/>
        <v>0</v>
      </c>
      <c r="BR26" s="938">
        <f t="shared" si="39"/>
        <v>0</v>
      </c>
      <c r="BS26" s="938">
        <f t="shared" si="40"/>
        <v>0</v>
      </c>
      <c r="BT26" s="938">
        <f t="shared" si="41"/>
        <v>0</v>
      </c>
      <c r="BU26" s="938" t="str">
        <f t="shared" si="42"/>
        <v/>
      </c>
      <c r="BV26" s="713">
        <f>'min. Düngung 22'!Z27</f>
        <v>0</v>
      </c>
      <c r="BW26" s="938"/>
      <c r="BX26" s="938"/>
      <c r="BY26" s="938">
        <f t="shared" si="43"/>
        <v>0</v>
      </c>
      <c r="BZ26" s="938">
        <f t="shared" si="44"/>
        <v>0</v>
      </c>
      <c r="CA26" s="938">
        <f t="shared" si="45"/>
        <v>0</v>
      </c>
      <c r="CB26" s="938">
        <f t="shared" si="46"/>
        <v>0</v>
      </c>
      <c r="CC26" s="938">
        <f t="shared" si="47"/>
        <v>0</v>
      </c>
      <c r="CD26" s="938" t="str">
        <f t="shared" si="48"/>
        <v/>
      </c>
      <c r="CE26" s="713">
        <f>'min. Düngung 22'!AC27</f>
        <v>0</v>
      </c>
      <c r="CF26" s="938"/>
      <c r="CG26" s="938"/>
      <c r="CH26" s="938">
        <f t="shared" si="49"/>
        <v>0</v>
      </c>
      <c r="CI26" s="938">
        <f t="shared" si="50"/>
        <v>0</v>
      </c>
      <c r="CJ26" s="938">
        <f t="shared" si="51"/>
        <v>0</v>
      </c>
      <c r="CK26" s="938">
        <f t="shared" si="52"/>
        <v>0</v>
      </c>
      <c r="CL26" s="938">
        <f t="shared" si="53"/>
        <v>0</v>
      </c>
      <c r="CM26" s="938" t="str">
        <f t="shared" si="54"/>
        <v/>
      </c>
      <c r="CN26" s="713">
        <f>'min. Düngung 22'!AF27</f>
        <v>0</v>
      </c>
      <c r="CO26" s="938"/>
      <c r="CP26" s="938"/>
      <c r="CQ26" s="938">
        <f t="shared" si="55"/>
        <v>0</v>
      </c>
      <c r="CR26" s="938">
        <f t="shared" si="56"/>
        <v>0</v>
      </c>
      <c r="CS26" s="938">
        <f t="shared" si="57"/>
        <v>0</v>
      </c>
      <c r="CT26" s="938">
        <f t="shared" si="58"/>
        <v>0</v>
      </c>
      <c r="CU26" s="938">
        <f t="shared" si="59"/>
        <v>0</v>
      </c>
      <c r="CV26" s="938" t="str">
        <f t="shared" si="60"/>
        <v/>
      </c>
      <c r="CW26" s="713">
        <f>'min. Düngung 22'!AI27</f>
        <v>0</v>
      </c>
      <c r="CX26" s="938"/>
      <c r="CY26" s="938"/>
      <c r="CZ26" s="938">
        <f t="shared" si="61"/>
        <v>0</v>
      </c>
      <c r="DA26" s="938">
        <f t="shared" si="62"/>
        <v>0</v>
      </c>
      <c r="DB26" s="938">
        <f t="shared" si="63"/>
        <v>0</v>
      </c>
      <c r="DC26" s="938">
        <f t="shared" si="64"/>
        <v>0</v>
      </c>
      <c r="DD26" s="938">
        <f t="shared" si="65"/>
        <v>0</v>
      </c>
      <c r="DE26" s="938" t="str">
        <f t="shared" si="66"/>
        <v/>
      </c>
      <c r="DF26" s="713">
        <f>'min. Düngung 22'!AL27</f>
        <v>0</v>
      </c>
      <c r="DG26" s="938"/>
      <c r="DH26" s="938"/>
      <c r="DI26" s="938">
        <f t="shared" si="67"/>
        <v>0</v>
      </c>
      <c r="DJ26" s="938">
        <f t="shared" si="68"/>
        <v>0</v>
      </c>
      <c r="DK26" s="938">
        <f t="shared" si="69"/>
        <v>0</v>
      </c>
      <c r="DL26" s="938">
        <f t="shared" si="70"/>
        <v>0</v>
      </c>
      <c r="DM26" s="938">
        <f t="shared" si="71"/>
        <v>0</v>
      </c>
      <c r="DN26" s="938" t="str">
        <f t="shared" si="72"/>
        <v/>
      </c>
      <c r="DO26" s="713">
        <f>'min. Düngung 22'!AO27</f>
        <v>0</v>
      </c>
      <c r="DP26" s="938"/>
      <c r="DQ26" s="938"/>
      <c r="DR26" s="938">
        <f t="shared" si="73"/>
        <v>0</v>
      </c>
      <c r="DS26" s="938">
        <f t="shared" si="74"/>
        <v>0</v>
      </c>
      <c r="DT26" s="938">
        <f t="shared" si="75"/>
        <v>0</v>
      </c>
      <c r="DU26" s="938">
        <f t="shared" si="76"/>
        <v>0</v>
      </c>
      <c r="DV26" s="938">
        <f t="shared" si="77"/>
        <v>0</v>
      </c>
      <c r="DW26" s="938" t="str">
        <f t="shared" si="78"/>
        <v/>
      </c>
      <c r="DX26" s="713">
        <f>'min. Düngung 22'!AR27</f>
        <v>0</v>
      </c>
      <c r="DY26" s="938"/>
      <c r="DZ26" s="938"/>
      <c r="EA26" s="938">
        <f t="shared" si="79"/>
        <v>0</v>
      </c>
      <c r="EB26" s="938">
        <f t="shared" si="80"/>
        <v>0</v>
      </c>
      <c r="EC26" s="938">
        <f t="shared" si="81"/>
        <v>0</v>
      </c>
      <c r="ED26" s="938">
        <f t="shared" si="82"/>
        <v>0</v>
      </c>
      <c r="EE26" s="938">
        <f t="shared" si="83"/>
        <v>0</v>
      </c>
      <c r="EF26" s="938" t="str">
        <f t="shared" si="84"/>
        <v/>
      </c>
      <c r="EG26" s="713">
        <f>'min. Düngung 22'!AU27</f>
        <v>0</v>
      </c>
      <c r="EH26" s="938"/>
      <c r="EI26" s="938"/>
      <c r="EJ26" s="938">
        <f t="shared" si="85"/>
        <v>0</v>
      </c>
      <c r="EK26" s="938">
        <f t="shared" si="86"/>
        <v>0</v>
      </c>
      <c r="EL26" s="938">
        <f t="shared" si="87"/>
        <v>0</v>
      </c>
      <c r="EM26" s="938">
        <f t="shared" si="88"/>
        <v>0</v>
      </c>
      <c r="EN26" s="938">
        <f t="shared" si="89"/>
        <v>0</v>
      </c>
      <c r="EO26" s="938" t="str">
        <f t="shared" si="90"/>
        <v/>
      </c>
      <c r="EP26" s="713">
        <f>'min. Düngung 22'!AX27</f>
        <v>0</v>
      </c>
      <c r="EQ26" s="938"/>
      <c r="ER26" s="938"/>
      <c r="ES26" s="938">
        <f t="shared" si="91"/>
        <v>0</v>
      </c>
      <c r="ET26" s="938">
        <f t="shared" si="92"/>
        <v>0</v>
      </c>
      <c r="EU26" s="938">
        <f t="shared" si="93"/>
        <v>0</v>
      </c>
      <c r="EV26" s="938">
        <f t="shared" si="94"/>
        <v>0</v>
      </c>
      <c r="EW26" s="938">
        <f t="shared" si="95"/>
        <v>0</v>
      </c>
      <c r="EX26" s="938" t="str">
        <f t="shared" si="96"/>
        <v/>
      </c>
      <c r="EY26" s="713">
        <f>'min. Düngung 22'!BA27</f>
        <v>0</v>
      </c>
      <c r="EZ26" s="938"/>
      <c r="FA26" s="938"/>
      <c r="FB26" s="938">
        <f t="shared" si="97"/>
        <v>0</v>
      </c>
      <c r="FC26" s="938">
        <f t="shared" si="98"/>
        <v>0</v>
      </c>
      <c r="FD26" s="938">
        <f t="shared" si="99"/>
        <v>0</v>
      </c>
      <c r="FE26" s="938">
        <f t="shared" si="100"/>
        <v>0</v>
      </c>
      <c r="FF26" s="938">
        <f t="shared" si="101"/>
        <v>0</v>
      </c>
      <c r="FG26" s="938" t="str">
        <f t="shared" si="102"/>
        <v/>
      </c>
      <c r="FH26" s="713">
        <f>'min. Düngung 22'!BD27</f>
        <v>0</v>
      </c>
      <c r="FI26" s="938"/>
      <c r="FJ26" s="938"/>
      <c r="FK26" s="938">
        <f t="shared" si="103"/>
        <v>0</v>
      </c>
      <c r="FL26" s="938">
        <f t="shared" si="104"/>
        <v>0</v>
      </c>
      <c r="FM26" s="938">
        <f t="shared" si="105"/>
        <v>0</v>
      </c>
      <c r="FN26" s="938">
        <f t="shared" si="106"/>
        <v>0</v>
      </c>
      <c r="FO26" s="938">
        <f t="shared" si="107"/>
        <v>0</v>
      </c>
      <c r="FP26" s="938" t="str">
        <f t="shared" si="108"/>
        <v/>
      </c>
      <c r="FQ26" s="713">
        <f>'min. Düngung 22'!BG27</f>
        <v>0</v>
      </c>
      <c r="FR26" s="938"/>
      <c r="FS26" s="938"/>
      <c r="FT26" s="938">
        <f t="shared" si="109"/>
        <v>0</v>
      </c>
      <c r="FU26" s="938">
        <f t="shared" si="110"/>
        <v>0</v>
      </c>
      <c r="FV26" s="938">
        <f t="shared" si="111"/>
        <v>0</v>
      </c>
      <c r="FW26" s="938">
        <f t="shared" si="112"/>
        <v>0</v>
      </c>
      <c r="FX26" s="938">
        <f t="shared" si="113"/>
        <v>0</v>
      </c>
      <c r="FY26" s="938" t="str">
        <f t="shared" si="114"/>
        <v/>
      </c>
      <c r="FZ26" s="713">
        <f>'min. Düngung 22'!BJ27</f>
        <v>0</v>
      </c>
      <c r="GA26" s="938"/>
      <c r="GB26" s="938"/>
      <c r="GC26" s="938">
        <f t="shared" si="115"/>
        <v>0</v>
      </c>
      <c r="GD26" s="938">
        <f t="shared" si="116"/>
        <v>0</v>
      </c>
      <c r="GE26" s="938">
        <f t="shared" si="117"/>
        <v>0</v>
      </c>
      <c r="GF26" s="938">
        <f t="shared" si="118"/>
        <v>0</v>
      </c>
      <c r="GG26" s="938">
        <f t="shared" si="119"/>
        <v>0</v>
      </c>
      <c r="GH26" s="938" t="str">
        <f t="shared" si="120"/>
        <v/>
      </c>
      <c r="GI26" s="713">
        <f>'min. Düngung 22'!BM27</f>
        <v>0</v>
      </c>
      <c r="GJ26" s="938"/>
      <c r="GK26" s="938"/>
      <c r="GL26" s="938">
        <f t="shared" si="121"/>
        <v>0</v>
      </c>
      <c r="GM26" s="938">
        <f t="shared" si="122"/>
        <v>0</v>
      </c>
      <c r="GN26" s="938">
        <f t="shared" si="123"/>
        <v>0</v>
      </c>
      <c r="GO26" s="938">
        <f t="shared" si="124"/>
        <v>0</v>
      </c>
      <c r="GP26" s="938">
        <f t="shared" si="125"/>
        <v>0</v>
      </c>
      <c r="GQ26" s="938" t="str">
        <f t="shared" si="126"/>
        <v/>
      </c>
      <c r="GR26" s="713">
        <f>'min. Düngung 22'!BP27</f>
        <v>0</v>
      </c>
      <c r="GS26" s="938"/>
      <c r="GT26" s="938"/>
      <c r="GU26" s="938">
        <f t="shared" si="127"/>
        <v>0</v>
      </c>
      <c r="GV26" s="938">
        <f t="shared" si="128"/>
        <v>0</v>
      </c>
      <c r="GW26" s="938">
        <f t="shared" si="129"/>
        <v>0</v>
      </c>
      <c r="GX26" s="938">
        <f t="shared" si="130"/>
        <v>0</v>
      </c>
      <c r="GY26" s="938">
        <f t="shared" si="131"/>
        <v>0</v>
      </c>
      <c r="GZ26" s="938" t="str">
        <f t="shared" si="132"/>
        <v/>
      </c>
      <c r="HA26" s="713">
        <f>'min. Düngung 22'!BS27</f>
        <v>0</v>
      </c>
      <c r="HB26" s="938"/>
      <c r="HC26" s="938"/>
      <c r="HD26" s="938">
        <f t="shared" si="133"/>
        <v>0</v>
      </c>
      <c r="HE26" s="938">
        <f t="shared" si="134"/>
        <v>0</v>
      </c>
      <c r="HF26" s="938">
        <f t="shared" si="135"/>
        <v>0</v>
      </c>
      <c r="HG26" s="938">
        <f t="shared" si="136"/>
        <v>0</v>
      </c>
      <c r="HH26" s="938">
        <f t="shared" si="137"/>
        <v>0</v>
      </c>
      <c r="HI26" s="938" t="str">
        <f t="shared" si="138"/>
        <v/>
      </c>
      <c r="HJ26" s="713">
        <f>'min. Düngung 22'!BV27</f>
        <v>0</v>
      </c>
      <c r="HK26" s="938"/>
      <c r="HL26" s="938"/>
      <c r="HM26" s="938">
        <f t="shared" si="139"/>
        <v>0</v>
      </c>
      <c r="HN26" s="938">
        <f t="shared" si="140"/>
        <v>0</v>
      </c>
      <c r="HO26" s="938">
        <f t="shared" si="141"/>
        <v>0</v>
      </c>
      <c r="HP26" s="938">
        <f t="shared" si="142"/>
        <v>0</v>
      </c>
      <c r="HQ26" s="938">
        <f t="shared" si="143"/>
        <v>0</v>
      </c>
      <c r="HR26" s="938" t="str">
        <f t="shared" si="144"/>
        <v/>
      </c>
      <c r="HS26" s="713">
        <f>'min. Düngung 22'!BY27</f>
        <v>0</v>
      </c>
      <c r="HT26" s="938"/>
      <c r="HU26" s="938"/>
      <c r="HV26" s="938">
        <f t="shared" si="145"/>
        <v>0</v>
      </c>
      <c r="HW26" s="938">
        <f t="shared" si="146"/>
        <v>0</v>
      </c>
      <c r="HX26" s="938">
        <f t="shared" si="147"/>
        <v>0</v>
      </c>
      <c r="HY26" s="938">
        <f t="shared" si="148"/>
        <v>0</v>
      </c>
      <c r="HZ26" s="938">
        <f t="shared" si="149"/>
        <v>0</v>
      </c>
      <c r="IA26" s="938" t="str">
        <f t="shared" si="150"/>
        <v/>
      </c>
      <c r="IB26" s="713">
        <f>'min. Düngung 22'!CB27</f>
        <v>0</v>
      </c>
      <c r="IC26" s="938"/>
      <c r="ID26" s="938"/>
      <c r="IE26" s="938">
        <f t="shared" si="151"/>
        <v>0</v>
      </c>
      <c r="IF26" s="938">
        <f t="shared" si="152"/>
        <v>0</v>
      </c>
      <c r="IG26" s="938">
        <f t="shared" si="153"/>
        <v>0</v>
      </c>
      <c r="IH26" s="938">
        <f t="shared" si="154"/>
        <v>0</v>
      </c>
      <c r="II26" s="938">
        <f t="shared" si="155"/>
        <v>0</v>
      </c>
      <c r="IJ26" s="938" t="str">
        <f t="shared" si="156"/>
        <v/>
      </c>
      <c r="IK26" s="713">
        <f>'min. Düngung 22'!CE27</f>
        <v>0</v>
      </c>
      <c r="IL26" s="938"/>
      <c r="IM26" s="938"/>
      <c r="IN26" s="938">
        <f t="shared" si="157"/>
        <v>0</v>
      </c>
      <c r="IO26" s="938">
        <f t="shared" si="158"/>
        <v>0</v>
      </c>
      <c r="IP26" s="938">
        <f t="shared" si="159"/>
        <v>0</v>
      </c>
      <c r="IQ26" s="938">
        <f t="shared" si="160"/>
        <v>0</v>
      </c>
      <c r="IR26" s="938">
        <f t="shared" si="161"/>
        <v>0</v>
      </c>
      <c r="IS26" s="938" t="str">
        <f t="shared" si="162"/>
        <v/>
      </c>
      <c r="IT26" s="713">
        <f>'min. Düngung 22'!CH27</f>
        <v>0</v>
      </c>
      <c r="IU26" s="938"/>
      <c r="IV26" s="938"/>
      <c r="IW26" s="938">
        <f t="shared" si="163"/>
        <v>0</v>
      </c>
      <c r="IX26" s="938">
        <f t="shared" si="164"/>
        <v>0</v>
      </c>
      <c r="IY26" s="938">
        <f t="shared" si="165"/>
        <v>0</v>
      </c>
      <c r="IZ26" s="938">
        <f t="shared" si="166"/>
        <v>0</v>
      </c>
      <c r="JA26" s="938">
        <f t="shared" si="167"/>
        <v>0</v>
      </c>
      <c r="JB26" s="938" t="str">
        <f t="shared" si="168"/>
        <v/>
      </c>
      <c r="JC26" s="713">
        <f>'min. Düngung 22'!CK27</f>
        <v>0</v>
      </c>
      <c r="JD26" s="938"/>
      <c r="JE26" s="938"/>
      <c r="JF26" s="938">
        <f t="shared" si="169"/>
        <v>0</v>
      </c>
      <c r="JG26" s="938">
        <f t="shared" si="170"/>
        <v>0</v>
      </c>
      <c r="JH26" s="938">
        <f t="shared" si="171"/>
        <v>0</v>
      </c>
      <c r="JI26" s="938">
        <f t="shared" si="172"/>
        <v>0</v>
      </c>
      <c r="JJ26" s="938">
        <f t="shared" si="173"/>
        <v>0</v>
      </c>
      <c r="JK26" s="938" t="str">
        <f t="shared" si="174"/>
        <v/>
      </c>
      <c r="JL26" s="713">
        <f>'min. Düngung 22'!CN27</f>
        <v>0</v>
      </c>
      <c r="JM26" s="938"/>
      <c r="JN26" s="938"/>
      <c r="JO26" s="938">
        <f t="shared" si="175"/>
        <v>0</v>
      </c>
      <c r="JP26" s="938">
        <f t="shared" si="176"/>
        <v>0</v>
      </c>
      <c r="JQ26" s="938">
        <f t="shared" si="177"/>
        <v>0</v>
      </c>
      <c r="JR26" s="938">
        <f t="shared" si="178"/>
        <v>0</v>
      </c>
      <c r="JS26" s="938">
        <f t="shared" si="179"/>
        <v>0</v>
      </c>
      <c r="JT26" s="938" t="str">
        <f t="shared" si="180"/>
        <v/>
      </c>
      <c r="JU26" s="713">
        <f>'min. Düngung 22'!CQ27</f>
        <v>0</v>
      </c>
      <c r="JV26" s="938"/>
      <c r="JW26" s="938"/>
      <c r="JX26" s="938">
        <f t="shared" si="181"/>
        <v>0</v>
      </c>
      <c r="JY26" s="938">
        <f t="shared" si="182"/>
        <v>0</v>
      </c>
      <c r="JZ26" s="938">
        <f t="shared" si="183"/>
        <v>0</v>
      </c>
      <c r="KA26" s="938">
        <f t="shared" si="184"/>
        <v>0</v>
      </c>
      <c r="KB26" s="938">
        <f t="shared" si="185"/>
        <v>0</v>
      </c>
      <c r="KC26" s="938" t="str">
        <f t="shared" si="186"/>
        <v/>
      </c>
      <c r="KE26" s="938"/>
      <c r="KF26" s="938" t="str">
        <f>IF(AND($F26=2,$G26=1),"",IF(OR($Q26&gt;0,$O26&gt;60),$KF$7,IF(I26=70,"",IF(AND(I26=80,R26+'#orgDung'!AC29&lt;60,K26=1,OR(C26=2,'#BerechnungDBE'!AH20=4)),"",IF(R26&gt;0,$KF$7,"")))))</f>
        <v/>
      </c>
      <c r="KG26" s="938" t="str">
        <f>IF(AND(P26&gt;'#BerechnungDBE'!BJ20,P26&gt;0),'#minDung'!$KG$7,"")</f>
        <v/>
      </c>
      <c r="KH26" s="938" t="str">
        <f>IF(AND(I26=70,R26&gt;'#BerechnungDBE'!CR20),'#minDung'!$KH$7,"")</f>
        <v/>
      </c>
      <c r="KI26" s="938" t="str">
        <f>IF('#BerechnungDBE'!P20&lt;4,"",IF(AND('#BerechnungDBE'!BZ20&gt;0,N26&gt;0),$KI$7,""))</f>
        <v/>
      </c>
      <c r="KJ26" s="938" t="str">
        <f t="shared" si="5"/>
        <v/>
      </c>
    </row>
    <row r="27" spans="1:296" s="875" customFormat="1" hidden="1" x14ac:dyDescent="0.2">
      <c r="A27" s="875">
        <f>'Flächen u. Kulturen'!A26</f>
        <v>17</v>
      </c>
      <c r="B27" s="734">
        <f>'#BerechnungDBE'!L21</f>
        <v>0</v>
      </c>
      <c r="C27" s="46">
        <f>'#orgDung'!C30</f>
        <v>1</v>
      </c>
      <c r="D27" s="875">
        <f>'#BerechnungDBE'!T21</f>
        <v>2</v>
      </c>
      <c r="E27" s="875" t="str">
        <f>'Flächen u. Kulturen'!E26</f>
        <v>x</v>
      </c>
      <c r="F27" s="52">
        <f>'#BerechnungDBE'!N21</f>
        <v>1</v>
      </c>
      <c r="G27" s="52">
        <f>'#BerechnungDBE'!O21</f>
        <v>1</v>
      </c>
      <c r="H27" s="505">
        <f>'#orgDung'!J30</f>
        <v>2</v>
      </c>
      <c r="I27" s="875">
        <f>'#BerechnungDBE'!AF21</f>
        <v>0</v>
      </c>
      <c r="J27" s="875">
        <f>'#orgDung'!M30</f>
        <v>0</v>
      </c>
      <c r="K27" s="875">
        <f>'#BerechnungDBE'!AG21</f>
        <v>0</v>
      </c>
      <c r="M27" s="875">
        <f t="shared" si="0"/>
        <v>0</v>
      </c>
      <c r="N27" s="875">
        <f t="shared" si="1"/>
        <v>0</v>
      </c>
      <c r="O27" s="875">
        <f t="shared" si="2"/>
        <v>0</v>
      </c>
      <c r="P27" s="875">
        <f t="shared" si="4"/>
        <v>0</v>
      </c>
      <c r="Q27" s="938">
        <f t="shared" si="6"/>
        <v>0</v>
      </c>
      <c r="R27" s="875">
        <f t="shared" si="3"/>
        <v>0</v>
      </c>
      <c r="T27" s="713">
        <f>'min. Düngung 22'!H28</f>
        <v>0</v>
      </c>
      <c r="W27" s="875">
        <f t="shared" si="7"/>
        <v>0</v>
      </c>
      <c r="X27" s="875">
        <f t="shared" si="8"/>
        <v>0</v>
      </c>
      <c r="Y27" s="875">
        <f t="shared" si="9"/>
        <v>0</v>
      </c>
      <c r="Z27" s="875">
        <f t="shared" si="10"/>
        <v>0</v>
      </c>
      <c r="AA27" s="875">
        <f t="shared" si="11"/>
        <v>0</v>
      </c>
      <c r="AB27" s="875" t="str">
        <f t="shared" si="12"/>
        <v/>
      </c>
      <c r="AC27" s="713">
        <f>'min. Düngung 22'!K28</f>
        <v>0</v>
      </c>
      <c r="AD27" s="938"/>
      <c r="AE27" s="938"/>
      <c r="AF27" s="938">
        <f t="shared" si="13"/>
        <v>0</v>
      </c>
      <c r="AG27" s="938">
        <f t="shared" si="14"/>
        <v>0</v>
      </c>
      <c r="AH27" s="938">
        <f t="shared" si="15"/>
        <v>0</v>
      </c>
      <c r="AI27" s="938">
        <f t="shared" si="16"/>
        <v>0</v>
      </c>
      <c r="AJ27" s="938">
        <f t="shared" si="17"/>
        <v>0</v>
      </c>
      <c r="AK27" s="938">
        <f t="shared" si="18"/>
        <v>0</v>
      </c>
      <c r="AL27" s="713">
        <f>'min. Düngung 22'!N28</f>
        <v>0</v>
      </c>
      <c r="AM27" s="938"/>
      <c r="AN27" s="938"/>
      <c r="AO27" s="938">
        <f t="shared" si="19"/>
        <v>0</v>
      </c>
      <c r="AP27" s="938">
        <f t="shared" si="20"/>
        <v>0</v>
      </c>
      <c r="AQ27" s="938">
        <f t="shared" si="21"/>
        <v>0</v>
      </c>
      <c r="AR27" s="938">
        <f t="shared" si="22"/>
        <v>0</v>
      </c>
      <c r="AS27" s="938">
        <f t="shared" si="23"/>
        <v>0</v>
      </c>
      <c r="AT27" s="938" t="str">
        <f t="shared" si="24"/>
        <v/>
      </c>
      <c r="AU27" s="713">
        <f>'min. Düngung 22'!Q28</f>
        <v>0</v>
      </c>
      <c r="AV27" s="938"/>
      <c r="AW27" s="938"/>
      <c r="AX27" s="938">
        <f t="shared" si="25"/>
        <v>0</v>
      </c>
      <c r="AY27" s="938">
        <f t="shared" si="26"/>
        <v>0</v>
      </c>
      <c r="AZ27" s="938">
        <f t="shared" si="27"/>
        <v>0</v>
      </c>
      <c r="BA27" s="938">
        <f t="shared" si="28"/>
        <v>0</v>
      </c>
      <c r="BB27" s="938">
        <f t="shared" si="29"/>
        <v>0</v>
      </c>
      <c r="BC27" s="938" t="str">
        <f t="shared" si="30"/>
        <v/>
      </c>
      <c r="BD27" s="713">
        <f>'min. Düngung 22'!T28</f>
        <v>0</v>
      </c>
      <c r="BE27" s="938"/>
      <c r="BF27" s="938"/>
      <c r="BG27" s="938">
        <f t="shared" si="31"/>
        <v>0</v>
      </c>
      <c r="BH27" s="938">
        <f t="shared" si="32"/>
        <v>0</v>
      </c>
      <c r="BI27" s="938">
        <f t="shared" si="33"/>
        <v>0</v>
      </c>
      <c r="BJ27" s="938">
        <f t="shared" si="34"/>
        <v>0</v>
      </c>
      <c r="BK27" s="938">
        <f t="shared" si="35"/>
        <v>0</v>
      </c>
      <c r="BL27" s="938" t="str">
        <f t="shared" si="36"/>
        <v/>
      </c>
      <c r="BM27" s="713">
        <f>'min. Düngung 22'!W28</f>
        <v>0</v>
      </c>
      <c r="BN27" s="938"/>
      <c r="BO27" s="938"/>
      <c r="BP27" s="938">
        <f t="shared" si="37"/>
        <v>0</v>
      </c>
      <c r="BQ27" s="938">
        <f t="shared" si="38"/>
        <v>0</v>
      </c>
      <c r="BR27" s="938">
        <f t="shared" si="39"/>
        <v>0</v>
      </c>
      <c r="BS27" s="938">
        <f t="shared" si="40"/>
        <v>0</v>
      </c>
      <c r="BT27" s="938">
        <f t="shared" si="41"/>
        <v>0</v>
      </c>
      <c r="BU27" s="938" t="str">
        <f t="shared" si="42"/>
        <v/>
      </c>
      <c r="BV27" s="713">
        <f>'min. Düngung 22'!Z28</f>
        <v>0</v>
      </c>
      <c r="BW27" s="938"/>
      <c r="BX27" s="938"/>
      <c r="BY27" s="938">
        <f t="shared" si="43"/>
        <v>0</v>
      </c>
      <c r="BZ27" s="938">
        <f t="shared" si="44"/>
        <v>0</v>
      </c>
      <c r="CA27" s="938">
        <f t="shared" si="45"/>
        <v>0</v>
      </c>
      <c r="CB27" s="938">
        <f t="shared" si="46"/>
        <v>0</v>
      </c>
      <c r="CC27" s="938">
        <f t="shared" si="47"/>
        <v>0</v>
      </c>
      <c r="CD27" s="938" t="str">
        <f t="shared" si="48"/>
        <v/>
      </c>
      <c r="CE27" s="713">
        <f>'min. Düngung 22'!AC28</f>
        <v>0</v>
      </c>
      <c r="CF27" s="938"/>
      <c r="CG27" s="938"/>
      <c r="CH27" s="938">
        <f t="shared" si="49"/>
        <v>0</v>
      </c>
      <c r="CI27" s="938">
        <f t="shared" si="50"/>
        <v>0</v>
      </c>
      <c r="CJ27" s="938">
        <f t="shared" si="51"/>
        <v>0</v>
      </c>
      <c r="CK27" s="938">
        <f t="shared" si="52"/>
        <v>0</v>
      </c>
      <c r="CL27" s="938">
        <f t="shared" si="53"/>
        <v>0</v>
      </c>
      <c r="CM27" s="938" t="str">
        <f t="shared" si="54"/>
        <v/>
      </c>
      <c r="CN27" s="713">
        <f>'min. Düngung 22'!AF28</f>
        <v>0</v>
      </c>
      <c r="CO27" s="938"/>
      <c r="CP27" s="938"/>
      <c r="CQ27" s="938">
        <f t="shared" si="55"/>
        <v>0</v>
      </c>
      <c r="CR27" s="938">
        <f t="shared" si="56"/>
        <v>0</v>
      </c>
      <c r="CS27" s="938">
        <f t="shared" si="57"/>
        <v>0</v>
      </c>
      <c r="CT27" s="938">
        <f t="shared" si="58"/>
        <v>0</v>
      </c>
      <c r="CU27" s="938">
        <f t="shared" si="59"/>
        <v>0</v>
      </c>
      <c r="CV27" s="938" t="str">
        <f t="shared" si="60"/>
        <v/>
      </c>
      <c r="CW27" s="713">
        <f>'min. Düngung 22'!AI28</f>
        <v>0</v>
      </c>
      <c r="CX27" s="938"/>
      <c r="CY27" s="938"/>
      <c r="CZ27" s="938">
        <f t="shared" si="61"/>
        <v>0</v>
      </c>
      <c r="DA27" s="938">
        <f t="shared" si="62"/>
        <v>0</v>
      </c>
      <c r="DB27" s="938">
        <f t="shared" si="63"/>
        <v>0</v>
      </c>
      <c r="DC27" s="938">
        <f t="shared" si="64"/>
        <v>0</v>
      </c>
      <c r="DD27" s="938">
        <f t="shared" si="65"/>
        <v>0</v>
      </c>
      <c r="DE27" s="938" t="str">
        <f t="shared" si="66"/>
        <v/>
      </c>
      <c r="DF27" s="713">
        <f>'min. Düngung 22'!AL28</f>
        <v>0</v>
      </c>
      <c r="DG27" s="938"/>
      <c r="DH27" s="938"/>
      <c r="DI27" s="938">
        <f t="shared" si="67"/>
        <v>0</v>
      </c>
      <c r="DJ27" s="938">
        <f t="shared" si="68"/>
        <v>0</v>
      </c>
      <c r="DK27" s="938">
        <f t="shared" si="69"/>
        <v>0</v>
      </c>
      <c r="DL27" s="938">
        <f t="shared" si="70"/>
        <v>0</v>
      </c>
      <c r="DM27" s="938">
        <f t="shared" si="71"/>
        <v>0</v>
      </c>
      <c r="DN27" s="938" t="str">
        <f t="shared" si="72"/>
        <v/>
      </c>
      <c r="DO27" s="713">
        <f>'min. Düngung 22'!AO28</f>
        <v>0</v>
      </c>
      <c r="DP27" s="938"/>
      <c r="DQ27" s="938"/>
      <c r="DR27" s="938">
        <f t="shared" si="73"/>
        <v>0</v>
      </c>
      <c r="DS27" s="938">
        <f t="shared" si="74"/>
        <v>0</v>
      </c>
      <c r="DT27" s="938">
        <f t="shared" si="75"/>
        <v>0</v>
      </c>
      <c r="DU27" s="938">
        <f t="shared" si="76"/>
        <v>0</v>
      </c>
      <c r="DV27" s="938">
        <f t="shared" si="77"/>
        <v>0</v>
      </c>
      <c r="DW27" s="938" t="str">
        <f t="shared" si="78"/>
        <v/>
      </c>
      <c r="DX27" s="713">
        <f>'min. Düngung 22'!AR28</f>
        <v>0</v>
      </c>
      <c r="DY27" s="938"/>
      <c r="DZ27" s="938"/>
      <c r="EA27" s="938">
        <f t="shared" si="79"/>
        <v>0</v>
      </c>
      <c r="EB27" s="938">
        <f t="shared" si="80"/>
        <v>0</v>
      </c>
      <c r="EC27" s="938">
        <f t="shared" si="81"/>
        <v>0</v>
      </c>
      <c r="ED27" s="938">
        <f t="shared" si="82"/>
        <v>0</v>
      </c>
      <c r="EE27" s="938">
        <f t="shared" si="83"/>
        <v>0</v>
      </c>
      <c r="EF27" s="938" t="str">
        <f t="shared" si="84"/>
        <v/>
      </c>
      <c r="EG27" s="713">
        <f>'min. Düngung 22'!AU28</f>
        <v>0</v>
      </c>
      <c r="EH27" s="938"/>
      <c r="EI27" s="938"/>
      <c r="EJ27" s="938">
        <f t="shared" si="85"/>
        <v>0</v>
      </c>
      <c r="EK27" s="938">
        <f t="shared" si="86"/>
        <v>0</v>
      </c>
      <c r="EL27" s="938">
        <f t="shared" si="87"/>
        <v>0</v>
      </c>
      <c r="EM27" s="938">
        <f t="shared" si="88"/>
        <v>0</v>
      </c>
      <c r="EN27" s="938">
        <f t="shared" si="89"/>
        <v>0</v>
      </c>
      <c r="EO27" s="938" t="str">
        <f t="shared" si="90"/>
        <v/>
      </c>
      <c r="EP27" s="713">
        <f>'min. Düngung 22'!AX28</f>
        <v>0</v>
      </c>
      <c r="EQ27" s="938"/>
      <c r="ER27" s="938"/>
      <c r="ES27" s="938">
        <f t="shared" si="91"/>
        <v>0</v>
      </c>
      <c r="ET27" s="938">
        <f t="shared" si="92"/>
        <v>0</v>
      </c>
      <c r="EU27" s="938">
        <f t="shared" si="93"/>
        <v>0</v>
      </c>
      <c r="EV27" s="938">
        <f t="shared" si="94"/>
        <v>0</v>
      </c>
      <c r="EW27" s="938">
        <f t="shared" si="95"/>
        <v>0</v>
      </c>
      <c r="EX27" s="938" t="str">
        <f t="shared" si="96"/>
        <v/>
      </c>
      <c r="EY27" s="713">
        <f>'min. Düngung 22'!BA28</f>
        <v>0</v>
      </c>
      <c r="EZ27" s="938"/>
      <c r="FA27" s="938"/>
      <c r="FB27" s="938">
        <f t="shared" si="97"/>
        <v>0</v>
      </c>
      <c r="FC27" s="938">
        <f t="shared" si="98"/>
        <v>0</v>
      </c>
      <c r="FD27" s="938">
        <f t="shared" si="99"/>
        <v>0</v>
      </c>
      <c r="FE27" s="938">
        <f t="shared" si="100"/>
        <v>0</v>
      </c>
      <c r="FF27" s="938">
        <f t="shared" si="101"/>
        <v>0</v>
      </c>
      <c r="FG27" s="938" t="str">
        <f t="shared" si="102"/>
        <v/>
      </c>
      <c r="FH27" s="713">
        <f>'min. Düngung 22'!BD28</f>
        <v>0</v>
      </c>
      <c r="FI27" s="938"/>
      <c r="FJ27" s="938"/>
      <c r="FK27" s="938">
        <f t="shared" si="103"/>
        <v>0</v>
      </c>
      <c r="FL27" s="938">
        <f t="shared" si="104"/>
        <v>0</v>
      </c>
      <c r="FM27" s="938">
        <f t="shared" si="105"/>
        <v>0</v>
      </c>
      <c r="FN27" s="938">
        <f t="shared" si="106"/>
        <v>0</v>
      </c>
      <c r="FO27" s="938">
        <f t="shared" si="107"/>
        <v>0</v>
      </c>
      <c r="FP27" s="938" t="str">
        <f t="shared" si="108"/>
        <v/>
      </c>
      <c r="FQ27" s="713">
        <f>'min. Düngung 22'!BG28</f>
        <v>0</v>
      </c>
      <c r="FR27" s="938"/>
      <c r="FS27" s="938"/>
      <c r="FT27" s="938">
        <f t="shared" si="109"/>
        <v>0</v>
      </c>
      <c r="FU27" s="938">
        <f t="shared" si="110"/>
        <v>0</v>
      </c>
      <c r="FV27" s="938">
        <f t="shared" si="111"/>
        <v>0</v>
      </c>
      <c r="FW27" s="938">
        <f t="shared" si="112"/>
        <v>0</v>
      </c>
      <c r="FX27" s="938">
        <f t="shared" si="113"/>
        <v>0</v>
      </c>
      <c r="FY27" s="938" t="str">
        <f t="shared" si="114"/>
        <v/>
      </c>
      <c r="FZ27" s="713">
        <f>'min. Düngung 22'!BJ28</f>
        <v>0</v>
      </c>
      <c r="GA27" s="938"/>
      <c r="GB27" s="938"/>
      <c r="GC27" s="938">
        <f t="shared" si="115"/>
        <v>0</v>
      </c>
      <c r="GD27" s="938">
        <f t="shared" si="116"/>
        <v>0</v>
      </c>
      <c r="GE27" s="938">
        <f t="shared" si="117"/>
        <v>0</v>
      </c>
      <c r="GF27" s="938">
        <f t="shared" si="118"/>
        <v>0</v>
      </c>
      <c r="GG27" s="938">
        <f t="shared" si="119"/>
        <v>0</v>
      </c>
      <c r="GH27" s="938" t="str">
        <f t="shared" si="120"/>
        <v/>
      </c>
      <c r="GI27" s="713">
        <f>'min. Düngung 22'!BM28</f>
        <v>0</v>
      </c>
      <c r="GJ27" s="938"/>
      <c r="GK27" s="938"/>
      <c r="GL27" s="938">
        <f t="shared" si="121"/>
        <v>0</v>
      </c>
      <c r="GM27" s="938">
        <f t="shared" si="122"/>
        <v>0</v>
      </c>
      <c r="GN27" s="938">
        <f t="shared" si="123"/>
        <v>0</v>
      </c>
      <c r="GO27" s="938">
        <f t="shared" si="124"/>
        <v>0</v>
      </c>
      <c r="GP27" s="938">
        <f t="shared" si="125"/>
        <v>0</v>
      </c>
      <c r="GQ27" s="938" t="str">
        <f t="shared" si="126"/>
        <v/>
      </c>
      <c r="GR27" s="713">
        <f>'min. Düngung 22'!BP28</f>
        <v>0</v>
      </c>
      <c r="GS27" s="938"/>
      <c r="GT27" s="938"/>
      <c r="GU27" s="938">
        <f t="shared" si="127"/>
        <v>0</v>
      </c>
      <c r="GV27" s="938">
        <f t="shared" si="128"/>
        <v>0</v>
      </c>
      <c r="GW27" s="938">
        <f t="shared" si="129"/>
        <v>0</v>
      </c>
      <c r="GX27" s="938">
        <f t="shared" si="130"/>
        <v>0</v>
      </c>
      <c r="GY27" s="938">
        <f t="shared" si="131"/>
        <v>0</v>
      </c>
      <c r="GZ27" s="938" t="str">
        <f t="shared" si="132"/>
        <v/>
      </c>
      <c r="HA27" s="713">
        <f>'min. Düngung 22'!BS28</f>
        <v>0</v>
      </c>
      <c r="HB27" s="938"/>
      <c r="HC27" s="938"/>
      <c r="HD27" s="938">
        <f t="shared" si="133"/>
        <v>0</v>
      </c>
      <c r="HE27" s="938">
        <f t="shared" si="134"/>
        <v>0</v>
      </c>
      <c r="HF27" s="938">
        <f t="shared" si="135"/>
        <v>0</v>
      </c>
      <c r="HG27" s="938">
        <f t="shared" si="136"/>
        <v>0</v>
      </c>
      <c r="HH27" s="938">
        <f t="shared" si="137"/>
        <v>0</v>
      </c>
      <c r="HI27" s="938" t="str">
        <f t="shared" si="138"/>
        <v/>
      </c>
      <c r="HJ27" s="713">
        <f>'min. Düngung 22'!BV28</f>
        <v>0</v>
      </c>
      <c r="HK27" s="938"/>
      <c r="HL27" s="938"/>
      <c r="HM27" s="938">
        <f t="shared" si="139"/>
        <v>0</v>
      </c>
      <c r="HN27" s="938">
        <f t="shared" si="140"/>
        <v>0</v>
      </c>
      <c r="HO27" s="938">
        <f t="shared" si="141"/>
        <v>0</v>
      </c>
      <c r="HP27" s="938">
        <f t="shared" si="142"/>
        <v>0</v>
      </c>
      <c r="HQ27" s="938">
        <f t="shared" si="143"/>
        <v>0</v>
      </c>
      <c r="HR27" s="938" t="str">
        <f t="shared" si="144"/>
        <v/>
      </c>
      <c r="HS27" s="713">
        <f>'min. Düngung 22'!BY28</f>
        <v>0</v>
      </c>
      <c r="HT27" s="938"/>
      <c r="HU27" s="938"/>
      <c r="HV27" s="938">
        <f t="shared" si="145"/>
        <v>0</v>
      </c>
      <c r="HW27" s="938">
        <f t="shared" si="146"/>
        <v>0</v>
      </c>
      <c r="HX27" s="938">
        <f t="shared" si="147"/>
        <v>0</v>
      </c>
      <c r="HY27" s="938">
        <f t="shared" si="148"/>
        <v>0</v>
      </c>
      <c r="HZ27" s="938">
        <f t="shared" si="149"/>
        <v>0</v>
      </c>
      <c r="IA27" s="938" t="str">
        <f t="shared" si="150"/>
        <v/>
      </c>
      <c r="IB27" s="713">
        <f>'min. Düngung 22'!CB28</f>
        <v>0</v>
      </c>
      <c r="IC27" s="938"/>
      <c r="ID27" s="938"/>
      <c r="IE27" s="938">
        <f t="shared" si="151"/>
        <v>0</v>
      </c>
      <c r="IF27" s="938">
        <f t="shared" si="152"/>
        <v>0</v>
      </c>
      <c r="IG27" s="938">
        <f t="shared" si="153"/>
        <v>0</v>
      </c>
      <c r="IH27" s="938">
        <f t="shared" si="154"/>
        <v>0</v>
      </c>
      <c r="II27" s="938">
        <f t="shared" si="155"/>
        <v>0</v>
      </c>
      <c r="IJ27" s="938" t="str">
        <f t="shared" si="156"/>
        <v/>
      </c>
      <c r="IK27" s="713">
        <f>'min. Düngung 22'!CE28</f>
        <v>0</v>
      </c>
      <c r="IL27" s="938"/>
      <c r="IM27" s="938"/>
      <c r="IN27" s="938">
        <f t="shared" si="157"/>
        <v>0</v>
      </c>
      <c r="IO27" s="938">
        <f t="shared" si="158"/>
        <v>0</v>
      </c>
      <c r="IP27" s="938">
        <f t="shared" si="159"/>
        <v>0</v>
      </c>
      <c r="IQ27" s="938">
        <f t="shared" si="160"/>
        <v>0</v>
      </c>
      <c r="IR27" s="938">
        <f t="shared" si="161"/>
        <v>0</v>
      </c>
      <c r="IS27" s="938" t="str">
        <f t="shared" si="162"/>
        <v/>
      </c>
      <c r="IT27" s="713">
        <f>'min. Düngung 22'!CH28</f>
        <v>0</v>
      </c>
      <c r="IU27" s="938"/>
      <c r="IV27" s="938"/>
      <c r="IW27" s="938">
        <f t="shared" si="163"/>
        <v>0</v>
      </c>
      <c r="IX27" s="938">
        <f t="shared" si="164"/>
        <v>0</v>
      </c>
      <c r="IY27" s="938">
        <f t="shared" si="165"/>
        <v>0</v>
      </c>
      <c r="IZ27" s="938">
        <f t="shared" si="166"/>
        <v>0</v>
      </c>
      <c r="JA27" s="938">
        <f t="shared" si="167"/>
        <v>0</v>
      </c>
      <c r="JB27" s="938" t="str">
        <f t="shared" si="168"/>
        <v/>
      </c>
      <c r="JC27" s="713">
        <f>'min. Düngung 22'!CK28</f>
        <v>0</v>
      </c>
      <c r="JD27" s="938"/>
      <c r="JE27" s="938"/>
      <c r="JF27" s="938">
        <f t="shared" si="169"/>
        <v>0</v>
      </c>
      <c r="JG27" s="938">
        <f t="shared" si="170"/>
        <v>0</v>
      </c>
      <c r="JH27" s="938">
        <f t="shared" si="171"/>
        <v>0</v>
      </c>
      <c r="JI27" s="938">
        <f t="shared" si="172"/>
        <v>0</v>
      </c>
      <c r="JJ27" s="938">
        <f t="shared" si="173"/>
        <v>0</v>
      </c>
      <c r="JK27" s="938" t="str">
        <f t="shared" si="174"/>
        <v/>
      </c>
      <c r="JL27" s="713">
        <f>'min. Düngung 22'!CN28</f>
        <v>0</v>
      </c>
      <c r="JM27" s="938"/>
      <c r="JN27" s="938"/>
      <c r="JO27" s="938">
        <f t="shared" si="175"/>
        <v>0</v>
      </c>
      <c r="JP27" s="938">
        <f t="shared" si="176"/>
        <v>0</v>
      </c>
      <c r="JQ27" s="938">
        <f t="shared" si="177"/>
        <v>0</v>
      </c>
      <c r="JR27" s="938">
        <f t="shared" si="178"/>
        <v>0</v>
      </c>
      <c r="JS27" s="938">
        <f t="shared" si="179"/>
        <v>0</v>
      </c>
      <c r="JT27" s="938" t="str">
        <f t="shared" si="180"/>
        <v/>
      </c>
      <c r="JU27" s="713">
        <f>'min. Düngung 22'!CQ28</f>
        <v>0</v>
      </c>
      <c r="JV27" s="938"/>
      <c r="JW27" s="938"/>
      <c r="JX27" s="938">
        <f t="shared" si="181"/>
        <v>0</v>
      </c>
      <c r="JY27" s="938">
        <f t="shared" si="182"/>
        <v>0</v>
      </c>
      <c r="JZ27" s="938">
        <f t="shared" si="183"/>
        <v>0</v>
      </c>
      <c r="KA27" s="938">
        <f t="shared" si="184"/>
        <v>0</v>
      </c>
      <c r="KB27" s="938">
        <f t="shared" si="185"/>
        <v>0</v>
      </c>
      <c r="KC27" s="938" t="str">
        <f t="shared" si="186"/>
        <v/>
      </c>
      <c r="KE27" s="938"/>
      <c r="KF27" s="938" t="str">
        <f>IF(AND($F27=2,$G27=1),"",IF(OR($Q27&gt;0,$O27&gt;60),$KF$7,IF(I27=70,"",IF(AND(I27=80,R27+'#orgDung'!AC30&lt;60,K27=1,OR(C27=2,'#BerechnungDBE'!AH21=4)),"",IF(R27&gt;0,$KF$7,"")))))</f>
        <v/>
      </c>
      <c r="KG27" s="938" t="str">
        <f>IF(AND(P27&gt;'#BerechnungDBE'!BJ21,P27&gt;0),'#minDung'!$KG$7,"")</f>
        <v/>
      </c>
      <c r="KH27" s="938" t="str">
        <f>IF(AND(I27=70,R27&gt;'#BerechnungDBE'!CR21),'#minDung'!$KH$7,"")</f>
        <v/>
      </c>
      <c r="KI27" s="938" t="str">
        <f>IF('#BerechnungDBE'!P21&lt;4,"",IF(AND('#BerechnungDBE'!BZ21&gt;0,N27&gt;0),$KI$7,""))</f>
        <v/>
      </c>
      <c r="KJ27" s="938" t="str">
        <f t="shared" si="5"/>
        <v/>
      </c>
    </row>
    <row r="28" spans="1:296" s="875" customFormat="1" hidden="1" x14ac:dyDescent="0.2">
      <c r="A28" s="875">
        <f>'Flächen u. Kulturen'!A27</f>
        <v>18</v>
      </c>
      <c r="B28" s="734">
        <f>'#BerechnungDBE'!L22</f>
        <v>0</v>
      </c>
      <c r="C28" s="46">
        <f>'#orgDung'!C31</f>
        <v>1</v>
      </c>
      <c r="D28" s="875">
        <f>'#BerechnungDBE'!T22</f>
        <v>2</v>
      </c>
      <c r="E28" s="875" t="str">
        <f>'Flächen u. Kulturen'!E27</f>
        <v>x</v>
      </c>
      <c r="F28" s="52">
        <f>'#BerechnungDBE'!N22</f>
        <v>1</v>
      </c>
      <c r="G28" s="52">
        <f>'#BerechnungDBE'!O22</f>
        <v>1</v>
      </c>
      <c r="H28" s="505">
        <f>'#orgDung'!J31</f>
        <v>2</v>
      </c>
      <c r="I28" s="875">
        <f>'#BerechnungDBE'!AF22</f>
        <v>0</v>
      </c>
      <c r="J28" s="875">
        <f>'#orgDung'!M31</f>
        <v>0</v>
      </c>
      <c r="K28" s="875">
        <f>'#BerechnungDBE'!AG22</f>
        <v>0</v>
      </c>
      <c r="M28" s="875">
        <f t="shared" si="0"/>
        <v>0</v>
      </c>
      <c r="N28" s="875">
        <f t="shared" si="1"/>
        <v>0</v>
      </c>
      <c r="O28" s="875">
        <f t="shared" si="2"/>
        <v>0</v>
      </c>
      <c r="P28" s="875">
        <f t="shared" si="4"/>
        <v>0</v>
      </c>
      <c r="Q28" s="938">
        <f t="shared" si="6"/>
        <v>0</v>
      </c>
      <c r="R28" s="875">
        <f t="shared" si="3"/>
        <v>0</v>
      </c>
      <c r="T28" s="713">
        <f>'min. Düngung 22'!H29</f>
        <v>0</v>
      </c>
      <c r="W28" s="875">
        <f t="shared" si="7"/>
        <v>0</v>
      </c>
      <c r="X28" s="875">
        <f t="shared" si="8"/>
        <v>0</v>
      </c>
      <c r="Y28" s="875">
        <f t="shared" si="9"/>
        <v>0</v>
      </c>
      <c r="Z28" s="875">
        <f t="shared" si="10"/>
        <v>0</v>
      </c>
      <c r="AA28" s="875">
        <f t="shared" si="11"/>
        <v>0</v>
      </c>
      <c r="AB28" s="875" t="str">
        <f t="shared" si="12"/>
        <v/>
      </c>
      <c r="AC28" s="713">
        <f>'min. Düngung 22'!K29</f>
        <v>0</v>
      </c>
      <c r="AD28" s="938"/>
      <c r="AE28" s="938"/>
      <c r="AF28" s="938">
        <f t="shared" si="13"/>
        <v>0</v>
      </c>
      <c r="AG28" s="938">
        <f t="shared" si="14"/>
        <v>0</v>
      </c>
      <c r="AH28" s="938">
        <f t="shared" si="15"/>
        <v>0</v>
      </c>
      <c r="AI28" s="938">
        <f t="shared" si="16"/>
        <v>0</v>
      </c>
      <c r="AJ28" s="938">
        <f t="shared" si="17"/>
        <v>0</v>
      </c>
      <c r="AK28" s="938">
        <f t="shared" si="18"/>
        <v>0</v>
      </c>
      <c r="AL28" s="713">
        <f>'min. Düngung 22'!N29</f>
        <v>0</v>
      </c>
      <c r="AM28" s="938"/>
      <c r="AN28" s="938"/>
      <c r="AO28" s="938">
        <f t="shared" si="19"/>
        <v>0</v>
      </c>
      <c r="AP28" s="938">
        <f t="shared" si="20"/>
        <v>0</v>
      </c>
      <c r="AQ28" s="938">
        <f t="shared" si="21"/>
        <v>0</v>
      </c>
      <c r="AR28" s="938">
        <f t="shared" si="22"/>
        <v>0</v>
      </c>
      <c r="AS28" s="938">
        <f t="shared" si="23"/>
        <v>0</v>
      </c>
      <c r="AT28" s="938" t="str">
        <f t="shared" si="24"/>
        <v/>
      </c>
      <c r="AU28" s="713">
        <f>'min. Düngung 22'!Q29</f>
        <v>0</v>
      </c>
      <c r="AV28" s="938"/>
      <c r="AW28" s="938"/>
      <c r="AX28" s="938">
        <f t="shared" si="25"/>
        <v>0</v>
      </c>
      <c r="AY28" s="938">
        <f t="shared" si="26"/>
        <v>0</v>
      </c>
      <c r="AZ28" s="938">
        <f t="shared" si="27"/>
        <v>0</v>
      </c>
      <c r="BA28" s="938">
        <f t="shared" si="28"/>
        <v>0</v>
      </c>
      <c r="BB28" s="938">
        <f t="shared" si="29"/>
        <v>0</v>
      </c>
      <c r="BC28" s="938" t="str">
        <f t="shared" si="30"/>
        <v/>
      </c>
      <c r="BD28" s="713">
        <f>'min. Düngung 22'!T29</f>
        <v>0</v>
      </c>
      <c r="BE28" s="938"/>
      <c r="BF28" s="938"/>
      <c r="BG28" s="938">
        <f t="shared" si="31"/>
        <v>0</v>
      </c>
      <c r="BH28" s="938">
        <f t="shared" si="32"/>
        <v>0</v>
      </c>
      <c r="BI28" s="938">
        <f t="shared" si="33"/>
        <v>0</v>
      </c>
      <c r="BJ28" s="938">
        <f t="shared" si="34"/>
        <v>0</v>
      </c>
      <c r="BK28" s="938">
        <f t="shared" si="35"/>
        <v>0</v>
      </c>
      <c r="BL28" s="938" t="str">
        <f t="shared" si="36"/>
        <v/>
      </c>
      <c r="BM28" s="713">
        <f>'min. Düngung 22'!W29</f>
        <v>0</v>
      </c>
      <c r="BN28" s="938"/>
      <c r="BO28" s="938"/>
      <c r="BP28" s="938">
        <f t="shared" si="37"/>
        <v>0</v>
      </c>
      <c r="BQ28" s="938">
        <f t="shared" si="38"/>
        <v>0</v>
      </c>
      <c r="BR28" s="938">
        <f t="shared" si="39"/>
        <v>0</v>
      </c>
      <c r="BS28" s="938">
        <f t="shared" si="40"/>
        <v>0</v>
      </c>
      <c r="BT28" s="938">
        <f t="shared" si="41"/>
        <v>0</v>
      </c>
      <c r="BU28" s="938" t="str">
        <f t="shared" si="42"/>
        <v/>
      </c>
      <c r="BV28" s="713">
        <f>'min. Düngung 22'!Z29</f>
        <v>0</v>
      </c>
      <c r="BW28" s="938"/>
      <c r="BX28" s="938"/>
      <c r="BY28" s="938">
        <f t="shared" si="43"/>
        <v>0</v>
      </c>
      <c r="BZ28" s="938">
        <f t="shared" si="44"/>
        <v>0</v>
      </c>
      <c r="CA28" s="938">
        <f t="shared" si="45"/>
        <v>0</v>
      </c>
      <c r="CB28" s="938">
        <f t="shared" si="46"/>
        <v>0</v>
      </c>
      <c r="CC28" s="938">
        <f t="shared" si="47"/>
        <v>0</v>
      </c>
      <c r="CD28" s="938" t="str">
        <f t="shared" si="48"/>
        <v/>
      </c>
      <c r="CE28" s="713">
        <f>'min. Düngung 22'!AC29</f>
        <v>0</v>
      </c>
      <c r="CF28" s="938"/>
      <c r="CG28" s="938"/>
      <c r="CH28" s="938">
        <f t="shared" si="49"/>
        <v>0</v>
      </c>
      <c r="CI28" s="938">
        <f t="shared" si="50"/>
        <v>0</v>
      </c>
      <c r="CJ28" s="938">
        <f t="shared" si="51"/>
        <v>0</v>
      </c>
      <c r="CK28" s="938">
        <f t="shared" si="52"/>
        <v>0</v>
      </c>
      <c r="CL28" s="938">
        <f t="shared" si="53"/>
        <v>0</v>
      </c>
      <c r="CM28" s="938" t="str">
        <f t="shared" si="54"/>
        <v/>
      </c>
      <c r="CN28" s="713">
        <f>'min. Düngung 22'!AF29</f>
        <v>0</v>
      </c>
      <c r="CO28" s="938"/>
      <c r="CP28" s="938"/>
      <c r="CQ28" s="938">
        <f t="shared" si="55"/>
        <v>0</v>
      </c>
      <c r="CR28" s="938">
        <f t="shared" si="56"/>
        <v>0</v>
      </c>
      <c r="CS28" s="938">
        <f t="shared" si="57"/>
        <v>0</v>
      </c>
      <c r="CT28" s="938">
        <f t="shared" si="58"/>
        <v>0</v>
      </c>
      <c r="CU28" s="938">
        <f t="shared" si="59"/>
        <v>0</v>
      </c>
      <c r="CV28" s="938" t="str">
        <f t="shared" si="60"/>
        <v/>
      </c>
      <c r="CW28" s="713">
        <f>'min. Düngung 22'!AI29</f>
        <v>0</v>
      </c>
      <c r="CX28" s="938"/>
      <c r="CY28" s="938"/>
      <c r="CZ28" s="938">
        <f t="shared" si="61"/>
        <v>0</v>
      </c>
      <c r="DA28" s="938">
        <f t="shared" si="62"/>
        <v>0</v>
      </c>
      <c r="DB28" s="938">
        <f t="shared" si="63"/>
        <v>0</v>
      </c>
      <c r="DC28" s="938">
        <f t="shared" si="64"/>
        <v>0</v>
      </c>
      <c r="DD28" s="938">
        <f t="shared" si="65"/>
        <v>0</v>
      </c>
      <c r="DE28" s="938" t="str">
        <f t="shared" si="66"/>
        <v/>
      </c>
      <c r="DF28" s="713">
        <f>'min. Düngung 22'!AL29</f>
        <v>0</v>
      </c>
      <c r="DG28" s="938"/>
      <c r="DH28" s="938"/>
      <c r="DI28" s="938">
        <f t="shared" si="67"/>
        <v>0</v>
      </c>
      <c r="DJ28" s="938">
        <f t="shared" si="68"/>
        <v>0</v>
      </c>
      <c r="DK28" s="938">
        <f t="shared" si="69"/>
        <v>0</v>
      </c>
      <c r="DL28" s="938">
        <f t="shared" si="70"/>
        <v>0</v>
      </c>
      <c r="DM28" s="938">
        <f t="shared" si="71"/>
        <v>0</v>
      </c>
      <c r="DN28" s="938" t="str">
        <f t="shared" si="72"/>
        <v/>
      </c>
      <c r="DO28" s="713">
        <f>'min. Düngung 22'!AO29</f>
        <v>0</v>
      </c>
      <c r="DP28" s="938"/>
      <c r="DQ28" s="938"/>
      <c r="DR28" s="938">
        <f t="shared" si="73"/>
        <v>0</v>
      </c>
      <c r="DS28" s="938">
        <f t="shared" si="74"/>
        <v>0</v>
      </c>
      <c r="DT28" s="938">
        <f t="shared" si="75"/>
        <v>0</v>
      </c>
      <c r="DU28" s="938">
        <f t="shared" si="76"/>
        <v>0</v>
      </c>
      <c r="DV28" s="938">
        <f t="shared" si="77"/>
        <v>0</v>
      </c>
      <c r="DW28" s="938" t="str">
        <f t="shared" si="78"/>
        <v/>
      </c>
      <c r="DX28" s="713">
        <f>'min. Düngung 22'!AR29</f>
        <v>0</v>
      </c>
      <c r="DY28" s="938"/>
      <c r="DZ28" s="938"/>
      <c r="EA28" s="938">
        <f t="shared" si="79"/>
        <v>0</v>
      </c>
      <c r="EB28" s="938">
        <f t="shared" si="80"/>
        <v>0</v>
      </c>
      <c r="EC28" s="938">
        <f t="shared" si="81"/>
        <v>0</v>
      </c>
      <c r="ED28" s="938">
        <f t="shared" si="82"/>
        <v>0</v>
      </c>
      <c r="EE28" s="938">
        <f t="shared" si="83"/>
        <v>0</v>
      </c>
      <c r="EF28" s="938" t="str">
        <f t="shared" si="84"/>
        <v/>
      </c>
      <c r="EG28" s="713">
        <f>'min. Düngung 22'!AU29</f>
        <v>0</v>
      </c>
      <c r="EH28" s="938"/>
      <c r="EI28" s="938"/>
      <c r="EJ28" s="938">
        <f t="shared" si="85"/>
        <v>0</v>
      </c>
      <c r="EK28" s="938">
        <f t="shared" si="86"/>
        <v>0</v>
      </c>
      <c r="EL28" s="938">
        <f t="shared" si="87"/>
        <v>0</v>
      </c>
      <c r="EM28" s="938">
        <f t="shared" si="88"/>
        <v>0</v>
      </c>
      <c r="EN28" s="938">
        <f t="shared" si="89"/>
        <v>0</v>
      </c>
      <c r="EO28" s="938" t="str">
        <f t="shared" si="90"/>
        <v/>
      </c>
      <c r="EP28" s="713">
        <f>'min. Düngung 22'!AX29</f>
        <v>0</v>
      </c>
      <c r="EQ28" s="938"/>
      <c r="ER28" s="938"/>
      <c r="ES28" s="938">
        <f t="shared" si="91"/>
        <v>0</v>
      </c>
      <c r="ET28" s="938">
        <f t="shared" si="92"/>
        <v>0</v>
      </c>
      <c r="EU28" s="938">
        <f t="shared" si="93"/>
        <v>0</v>
      </c>
      <c r="EV28" s="938">
        <f t="shared" si="94"/>
        <v>0</v>
      </c>
      <c r="EW28" s="938">
        <f t="shared" si="95"/>
        <v>0</v>
      </c>
      <c r="EX28" s="938" t="str">
        <f t="shared" si="96"/>
        <v/>
      </c>
      <c r="EY28" s="713">
        <f>'min. Düngung 22'!BA29</f>
        <v>0</v>
      </c>
      <c r="EZ28" s="938"/>
      <c r="FA28" s="938"/>
      <c r="FB28" s="938">
        <f t="shared" si="97"/>
        <v>0</v>
      </c>
      <c r="FC28" s="938">
        <f t="shared" si="98"/>
        <v>0</v>
      </c>
      <c r="FD28" s="938">
        <f t="shared" si="99"/>
        <v>0</v>
      </c>
      <c r="FE28" s="938">
        <f t="shared" si="100"/>
        <v>0</v>
      </c>
      <c r="FF28" s="938">
        <f t="shared" si="101"/>
        <v>0</v>
      </c>
      <c r="FG28" s="938" t="str">
        <f t="shared" si="102"/>
        <v/>
      </c>
      <c r="FH28" s="713">
        <f>'min. Düngung 22'!BD29</f>
        <v>0</v>
      </c>
      <c r="FI28" s="938"/>
      <c r="FJ28" s="938"/>
      <c r="FK28" s="938">
        <f t="shared" si="103"/>
        <v>0</v>
      </c>
      <c r="FL28" s="938">
        <f t="shared" si="104"/>
        <v>0</v>
      </c>
      <c r="FM28" s="938">
        <f t="shared" si="105"/>
        <v>0</v>
      </c>
      <c r="FN28" s="938">
        <f t="shared" si="106"/>
        <v>0</v>
      </c>
      <c r="FO28" s="938">
        <f t="shared" si="107"/>
        <v>0</v>
      </c>
      <c r="FP28" s="938" t="str">
        <f t="shared" si="108"/>
        <v/>
      </c>
      <c r="FQ28" s="713">
        <f>'min. Düngung 22'!BG29</f>
        <v>0</v>
      </c>
      <c r="FR28" s="938"/>
      <c r="FS28" s="938"/>
      <c r="FT28" s="938">
        <f t="shared" si="109"/>
        <v>0</v>
      </c>
      <c r="FU28" s="938">
        <f t="shared" si="110"/>
        <v>0</v>
      </c>
      <c r="FV28" s="938">
        <f t="shared" si="111"/>
        <v>0</v>
      </c>
      <c r="FW28" s="938">
        <f t="shared" si="112"/>
        <v>0</v>
      </c>
      <c r="FX28" s="938">
        <f t="shared" si="113"/>
        <v>0</v>
      </c>
      <c r="FY28" s="938" t="str">
        <f t="shared" si="114"/>
        <v/>
      </c>
      <c r="FZ28" s="713">
        <f>'min. Düngung 22'!BJ29</f>
        <v>0</v>
      </c>
      <c r="GA28" s="938"/>
      <c r="GB28" s="938"/>
      <c r="GC28" s="938">
        <f t="shared" si="115"/>
        <v>0</v>
      </c>
      <c r="GD28" s="938">
        <f t="shared" si="116"/>
        <v>0</v>
      </c>
      <c r="GE28" s="938">
        <f t="shared" si="117"/>
        <v>0</v>
      </c>
      <c r="GF28" s="938">
        <f t="shared" si="118"/>
        <v>0</v>
      </c>
      <c r="GG28" s="938">
        <f t="shared" si="119"/>
        <v>0</v>
      </c>
      <c r="GH28" s="938" t="str">
        <f t="shared" si="120"/>
        <v/>
      </c>
      <c r="GI28" s="713">
        <f>'min. Düngung 22'!BM29</f>
        <v>0</v>
      </c>
      <c r="GJ28" s="938"/>
      <c r="GK28" s="938"/>
      <c r="GL28" s="938">
        <f t="shared" si="121"/>
        <v>0</v>
      </c>
      <c r="GM28" s="938">
        <f t="shared" si="122"/>
        <v>0</v>
      </c>
      <c r="GN28" s="938">
        <f t="shared" si="123"/>
        <v>0</v>
      </c>
      <c r="GO28" s="938">
        <f t="shared" si="124"/>
        <v>0</v>
      </c>
      <c r="GP28" s="938">
        <f t="shared" si="125"/>
        <v>0</v>
      </c>
      <c r="GQ28" s="938" t="str">
        <f t="shared" si="126"/>
        <v/>
      </c>
      <c r="GR28" s="713">
        <f>'min. Düngung 22'!BP29</f>
        <v>0</v>
      </c>
      <c r="GS28" s="938"/>
      <c r="GT28" s="938"/>
      <c r="GU28" s="938">
        <f t="shared" si="127"/>
        <v>0</v>
      </c>
      <c r="GV28" s="938">
        <f t="shared" si="128"/>
        <v>0</v>
      </c>
      <c r="GW28" s="938">
        <f t="shared" si="129"/>
        <v>0</v>
      </c>
      <c r="GX28" s="938">
        <f t="shared" si="130"/>
        <v>0</v>
      </c>
      <c r="GY28" s="938">
        <f t="shared" si="131"/>
        <v>0</v>
      </c>
      <c r="GZ28" s="938" t="str">
        <f t="shared" si="132"/>
        <v/>
      </c>
      <c r="HA28" s="713">
        <f>'min. Düngung 22'!BS29</f>
        <v>0</v>
      </c>
      <c r="HB28" s="938"/>
      <c r="HC28" s="938"/>
      <c r="HD28" s="938">
        <f t="shared" si="133"/>
        <v>0</v>
      </c>
      <c r="HE28" s="938">
        <f t="shared" si="134"/>
        <v>0</v>
      </c>
      <c r="HF28" s="938">
        <f t="shared" si="135"/>
        <v>0</v>
      </c>
      <c r="HG28" s="938">
        <f t="shared" si="136"/>
        <v>0</v>
      </c>
      <c r="HH28" s="938">
        <f t="shared" si="137"/>
        <v>0</v>
      </c>
      <c r="HI28" s="938" t="str">
        <f t="shared" si="138"/>
        <v/>
      </c>
      <c r="HJ28" s="713">
        <f>'min. Düngung 22'!BV29</f>
        <v>0</v>
      </c>
      <c r="HK28" s="938"/>
      <c r="HL28" s="938"/>
      <c r="HM28" s="938">
        <f t="shared" si="139"/>
        <v>0</v>
      </c>
      <c r="HN28" s="938">
        <f t="shared" si="140"/>
        <v>0</v>
      </c>
      <c r="HO28" s="938">
        <f t="shared" si="141"/>
        <v>0</v>
      </c>
      <c r="HP28" s="938">
        <f t="shared" si="142"/>
        <v>0</v>
      </c>
      <c r="HQ28" s="938">
        <f t="shared" si="143"/>
        <v>0</v>
      </c>
      <c r="HR28" s="938" t="str">
        <f t="shared" si="144"/>
        <v/>
      </c>
      <c r="HS28" s="713">
        <f>'min. Düngung 22'!BY29</f>
        <v>0</v>
      </c>
      <c r="HT28" s="938"/>
      <c r="HU28" s="938"/>
      <c r="HV28" s="938">
        <f t="shared" si="145"/>
        <v>0</v>
      </c>
      <c r="HW28" s="938">
        <f t="shared" si="146"/>
        <v>0</v>
      </c>
      <c r="HX28" s="938">
        <f t="shared" si="147"/>
        <v>0</v>
      </c>
      <c r="HY28" s="938">
        <f t="shared" si="148"/>
        <v>0</v>
      </c>
      <c r="HZ28" s="938">
        <f t="shared" si="149"/>
        <v>0</v>
      </c>
      <c r="IA28" s="938" t="str">
        <f t="shared" si="150"/>
        <v/>
      </c>
      <c r="IB28" s="713">
        <f>'min. Düngung 22'!CB29</f>
        <v>0</v>
      </c>
      <c r="IC28" s="938"/>
      <c r="ID28" s="938"/>
      <c r="IE28" s="938">
        <f t="shared" si="151"/>
        <v>0</v>
      </c>
      <c r="IF28" s="938">
        <f t="shared" si="152"/>
        <v>0</v>
      </c>
      <c r="IG28" s="938">
        <f t="shared" si="153"/>
        <v>0</v>
      </c>
      <c r="IH28" s="938">
        <f t="shared" si="154"/>
        <v>0</v>
      </c>
      <c r="II28" s="938">
        <f t="shared" si="155"/>
        <v>0</v>
      </c>
      <c r="IJ28" s="938" t="str">
        <f t="shared" si="156"/>
        <v/>
      </c>
      <c r="IK28" s="713">
        <f>'min. Düngung 22'!CE29</f>
        <v>0</v>
      </c>
      <c r="IL28" s="938"/>
      <c r="IM28" s="938"/>
      <c r="IN28" s="938">
        <f t="shared" si="157"/>
        <v>0</v>
      </c>
      <c r="IO28" s="938">
        <f t="shared" si="158"/>
        <v>0</v>
      </c>
      <c r="IP28" s="938">
        <f t="shared" si="159"/>
        <v>0</v>
      </c>
      <c r="IQ28" s="938">
        <f t="shared" si="160"/>
        <v>0</v>
      </c>
      <c r="IR28" s="938">
        <f t="shared" si="161"/>
        <v>0</v>
      </c>
      <c r="IS28" s="938" t="str">
        <f t="shared" si="162"/>
        <v/>
      </c>
      <c r="IT28" s="713">
        <f>'min. Düngung 22'!CH29</f>
        <v>0</v>
      </c>
      <c r="IU28" s="938"/>
      <c r="IV28" s="938"/>
      <c r="IW28" s="938">
        <f t="shared" si="163"/>
        <v>0</v>
      </c>
      <c r="IX28" s="938">
        <f t="shared" si="164"/>
        <v>0</v>
      </c>
      <c r="IY28" s="938">
        <f t="shared" si="165"/>
        <v>0</v>
      </c>
      <c r="IZ28" s="938">
        <f t="shared" si="166"/>
        <v>0</v>
      </c>
      <c r="JA28" s="938">
        <f t="shared" si="167"/>
        <v>0</v>
      </c>
      <c r="JB28" s="938" t="str">
        <f t="shared" si="168"/>
        <v/>
      </c>
      <c r="JC28" s="713">
        <f>'min. Düngung 22'!CK29</f>
        <v>0</v>
      </c>
      <c r="JD28" s="938"/>
      <c r="JE28" s="938"/>
      <c r="JF28" s="938">
        <f t="shared" si="169"/>
        <v>0</v>
      </c>
      <c r="JG28" s="938">
        <f t="shared" si="170"/>
        <v>0</v>
      </c>
      <c r="JH28" s="938">
        <f t="shared" si="171"/>
        <v>0</v>
      </c>
      <c r="JI28" s="938">
        <f t="shared" si="172"/>
        <v>0</v>
      </c>
      <c r="JJ28" s="938">
        <f t="shared" si="173"/>
        <v>0</v>
      </c>
      <c r="JK28" s="938" t="str">
        <f t="shared" si="174"/>
        <v/>
      </c>
      <c r="JL28" s="713">
        <f>'min. Düngung 22'!CN29</f>
        <v>0</v>
      </c>
      <c r="JM28" s="938"/>
      <c r="JN28" s="938"/>
      <c r="JO28" s="938">
        <f t="shared" si="175"/>
        <v>0</v>
      </c>
      <c r="JP28" s="938">
        <f t="shared" si="176"/>
        <v>0</v>
      </c>
      <c r="JQ28" s="938">
        <f t="shared" si="177"/>
        <v>0</v>
      </c>
      <c r="JR28" s="938">
        <f t="shared" si="178"/>
        <v>0</v>
      </c>
      <c r="JS28" s="938">
        <f t="shared" si="179"/>
        <v>0</v>
      </c>
      <c r="JT28" s="938" t="str">
        <f t="shared" si="180"/>
        <v/>
      </c>
      <c r="JU28" s="713">
        <f>'min. Düngung 22'!CQ29</f>
        <v>0</v>
      </c>
      <c r="JV28" s="938"/>
      <c r="JW28" s="938"/>
      <c r="JX28" s="938">
        <f t="shared" si="181"/>
        <v>0</v>
      </c>
      <c r="JY28" s="938">
        <f t="shared" si="182"/>
        <v>0</v>
      </c>
      <c r="JZ28" s="938">
        <f t="shared" si="183"/>
        <v>0</v>
      </c>
      <c r="KA28" s="938">
        <f t="shared" si="184"/>
        <v>0</v>
      </c>
      <c r="KB28" s="938">
        <f t="shared" si="185"/>
        <v>0</v>
      </c>
      <c r="KC28" s="938" t="str">
        <f t="shared" si="186"/>
        <v/>
      </c>
      <c r="KE28" s="938"/>
      <c r="KF28" s="938" t="str">
        <f>IF(AND($F28=2,$G28=1),"",IF(OR($Q28&gt;0,$O28&gt;60),$KF$7,IF(I28=70,"",IF(AND(I28=80,R28+'#orgDung'!AC31&lt;60,K28=1,OR(C28=2,'#BerechnungDBE'!AH22=4)),"",IF(R28&gt;0,$KF$7,"")))))</f>
        <v/>
      </c>
      <c r="KG28" s="938" t="str">
        <f>IF(AND(P28&gt;'#BerechnungDBE'!BJ22,P28&gt;0),'#minDung'!$KG$7,"")</f>
        <v/>
      </c>
      <c r="KH28" s="938" t="str">
        <f>IF(AND(I28=70,R28&gt;'#BerechnungDBE'!CR22),'#minDung'!$KH$7,"")</f>
        <v/>
      </c>
      <c r="KI28" s="938" t="str">
        <f>IF('#BerechnungDBE'!P22&lt;4,"",IF(AND('#BerechnungDBE'!BZ22&gt;0,N28&gt;0),$KI$7,""))</f>
        <v/>
      </c>
      <c r="KJ28" s="938" t="str">
        <f t="shared" si="5"/>
        <v/>
      </c>
    </row>
    <row r="29" spans="1:296" s="875" customFormat="1" hidden="1" x14ac:dyDescent="0.2">
      <c r="A29" s="875">
        <f>'Flächen u. Kulturen'!A28</f>
        <v>19</v>
      </c>
      <c r="B29" s="734">
        <f>'#BerechnungDBE'!L23</f>
        <v>0</v>
      </c>
      <c r="C29" s="46">
        <f>'#orgDung'!C32</f>
        <v>1</v>
      </c>
      <c r="D29" s="875">
        <f>'#BerechnungDBE'!T23</f>
        <v>2</v>
      </c>
      <c r="E29" s="875" t="str">
        <f>'Flächen u. Kulturen'!E28</f>
        <v>x</v>
      </c>
      <c r="F29" s="52">
        <f>'#BerechnungDBE'!N23</f>
        <v>1</v>
      </c>
      <c r="G29" s="52">
        <f>'#BerechnungDBE'!O23</f>
        <v>1</v>
      </c>
      <c r="H29" s="505">
        <f>'#orgDung'!J32</f>
        <v>2</v>
      </c>
      <c r="I29" s="875">
        <f>'#BerechnungDBE'!AF23</f>
        <v>0</v>
      </c>
      <c r="J29" s="875">
        <f>'#orgDung'!M32</f>
        <v>0</v>
      </c>
      <c r="K29" s="875">
        <f>'#BerechnungDBE'!AG23</f>
        <v>0</v>
      </c>
      <c r="M29" s="875">
        <f t="shared" si="0"/>
        <v>0</v>
      </c>
      <c r="N29" s="875">
        <f t="shared" si="1"/>
        <v>0</v>
      </c>
      <c r="O29" s="875">
        <f t="shared" si="2"/>
        <v>0</v>
      </c>
      <c r="P29" s="875">
        <f t="shared" si="4"/>
        <v>0</v>
      </c>
      <c r="Q29" s="938">
        <f t="shared" si="6"/>
        <v>0</v>
      </c>
      <c r="R29" s="875">
        <f t="shared" si="3"/>
        <v>0</v>
      </c>
      <c r="T29" s="713">
        <f>'min. Düngung 22'!H30</f>
        <v>0</v>
      </c>
      <c r="W29" s="875">
        <f t="shared" si="7"/>
        <v>0</v>
      </c>
      <c r="X29" s="875">
        <f t="shared" si="8"/>
        <v>0</v>
      </c>
      <c r="Y29" s="875">
        <f t="shared" si="9"/>
        <v>0</v>
      </c>
      <c r="Z29" s="875">
        <f t="shared" si="10"/>
        <v>0</v>
      </c>
      <c r="AA29" s="875">
        <f t="shared" si="11"/>
        <v>0</v>
      </c>
      <c r="AB29" s="875" t="str">
        <f t="shared" si="12"/>
        <v/>
      </c>
      <c r="AC29" s="713">
        <f>'min. Düngung 22'!K30</f>
        <v>0</v>
      </c>
      <c r="AD29" s="938"/>
      <c r="AE29" s="938"/>
      <c r="AF29" s="938">
        <f t="shared" si="13"/>
        <v>0</v>
      </c>
      <c r="AG29" s="938">
        <f t="shared" si="14"/>
        <v>0</v>
      </c>
      <c r="AH29" s="938">
        <f t="shared" si="15"/>
        <v>0</v>
      </c>
      <c r="AI29" s="938">
        <f t="shared" si="16"/>
        <v>0</v>
      </c>
      <c r="AJ29" s="938">
        <f t="shared" si="17"/>
        <v>0</v>
      </c>
      <c r="AK29" s="938">
        <f t="shared" si="18"/>
        <v>0</v>
      </c>
      <c r="AL29" s="713">
        <f>'min. Düngung 22'!N30</f>
        <v>0</v>
      </c>
      <c r="AM29" s="938"/>
      <c r="AN29" s="938"/>
      <c r="AO29" s="938">
        <f t="shared" si="19"/>
        <v>0</v>
      </c>
      <c r="AP29" s="938">
        <f t="shared" si="20"/>
        <v>0</v>
      </c>
      <c r="AQ29" s="938">
        <f t="shared" si="21"/>
        <v>0</v>
      </c>
      <c r="AR29" s="938">
        <f t="shared" si="22"/>
        <v>0</v>
      </c>
      <c r="AS29" s="938">
        <f t="shared" si="23"/>
        <v>0</v>
      </c>
      <c r="AT29" s="938" t="str">
        <f t="shared" si="24"/>
        <v/>
      </c>
      <c r="AU29" s="713">
        <f>'min. Düngung 22'!Q30</f>
        <v>0</v>
      </c>
      <c r="AV29" s="938"/>
      <c r="AW29" s="938"/>
      <c r="AX29" s="938">
        <f t="shared" si="25"/>
        <v>0</v>
      </c>
      <c r="AY29" s="938">
        <f t="shared" si="26"/>
        <v>0</v>
      </c>
      <c r="AZ29" s="938">
        <f t="shared" si="27"/>
        <v>0</v>
      </c>
      <c r="BA29" s="938">
        <f t="shared" si="28"/>
        <v>0</v>
      </c>
      <c r="BB29" s="938">
        <f t="shared" si="29"/>
        <v>0</v>
      </c>
      <c r="BC29" s="938" t="str">
        <f t="shared" si="30"/>
        <v/>
      </c>
      <c r="BD29" s="713">
        <f>'min. Düngung 22'!T30</f>
        <v>0</v>
      </c>
      <c r="BE29" s="938"/>
      <c r="BF29" s="938"/>
      <c r="BG29" s="938">
        <f t="shared" si="31"/>
        <v>0</v>
      </c>
      <c r="BH29" s="938">
        <f t="shared" si="32"/>
        <v>0</v>
      </c>
      <c r="BI29" s="938">
        <f t="shared" si="33"/>
        <v>0</v>
      </c>
      <c r="BJ29" s="938">
        <f t="shared" si="34"/>
        <v>0</v>
      </c>
      <c r="BK29" s="938">
        <f t="shared" si="35"/>
        <v>0</v>
      </c>
      <c r="BL29" s="938" t="str">
        <f t="shared" si="36"/>
        <v/>
      </c>
      <c r="BM29" s="713">
        <f>'min. Düngung 22'!W30</f>
        <v>0</v>
      </c>
      <c r="BN29" s="938"/>
      <c r="BO29" s="938"/>
      <c r="BP29" s="938">
        <f t="shared" si="37"/>
        <v>0</v>
      </c>
      <c r="BQ29" s="938">
        <f t="shared" si="38"/>
        <v>0</v>
      </c>
      <c r="BR29" s="938">
        <f t="shared" si="39"/>
        <v>0</v>
      </c>
      <c r="BS29" s="938">
        <f t="shared" si="40"/>
        <v>0</v>
      </c>
      <c r="BT29" s="938">
        <f t="shared" si="41"/>
        <v>0</v>
      </c>
      <c r="BU29" s="938" t="str">
        <f t="shared" si="42"/>
        <v/>
      </c>
      <c r="BV29" s="713">
        <f>'min. Düngung 22'!Z30</f>
        <v>0</v>
      </c>
      <c r="BW29" s="938"/>
      <c r="BX29" s="938"/>
      <c r="BY29" s="938">
        <f t="shared" si="43"/>
        <v>0</v>
      </c>
      <c r="BZ29" s="938">
        <f t="shared" si="44"/>
        <v>0</v>
      </c>
      <c r="CA29" s="938">
        <f t="shared" si="45"/>
        <v>0</v>
      </c>
      <c r="CB29" s="938">
        <f t="shared" si="46"/>
        <v>0</v>
      </c>
      <c r="CC29" s="938">
        <f t="shared" si="47"/>
        <v>0</v>
      </c>
      <c r="CD29" s="938" t="str">
        <f t="shared" si="48"/>
        <v/>
      </c>
      <c r="CE29" s="713">
        <f>'min. Düngung 22'!AC30</f>
        <v>0</v>
      </c>
      <c r="CF29" s="938"/>
      <c r="CG29" s="938"/>
      <c r="CH29" s="938">
        <f t="shared" si="49"/>
        <v>0</v>
      </c>
      <c r="CI29" s="938">
        <f t="shared" si="50"/>
        <v>0</v>
      </c>
      <c r="CJ29" s="938">
        <f t="shared" si="51"/>
        <v>0</v>
      </c>
      <c r="CK29" s="938">
        <f t="shared" si="52"/>
        <v>0</v>
      </c>
      <c r="CL29" s="938">
        <f t="shared" si="53"/>
        <v>0</v>
      </c>
      <c r="CM29" s="938" t="str">
        <f t="shared" si="54"/>
        <v/>
      </c>
      <c r="CN29" s="713">
        <f>'min. Düngung 22'!AF30</f>
        <v>0</v>
      </c>
      <c r="CO29" s="938"/>
      <c r="CP29" s="938"/>
      <c r="CQ29" s="938">
        <f t="shared" si="55"/>
        <v>0</v>
      </c>
      <c r="CR29" s="938">
        <f t="shared" si="56"/>
        <v>0</v>
      </c>
      <c r="CS29" s="938">
        <f t="shared" si="57"/>
        <v>0</v>
      </c>
      <c r="CT29" s="938">
        <f t="shared" si="58"/>
        <v>0</v>
      </c>
      <c r="CU29" s="938">
        <f t="shared" si="59"/>
        <v>0</v>
      </c>
      <c r="CV29" s="938" t="str">
        <f t="shared" si="60"/>
        <v/>
      </c>
      <c r="CW29" s="713">
        <f>'min. Düngung 22'!AI30</f>
        <v>0</v>
      </c>
      <c r="CX29" s="938"/>
      <c r="CY29" s="938"/>
      <c r="CZ29" s="938">
        <f t="shared" si="61"/>
        <v>0</v>
      </c>
      <c r="DA29" s="938">
        <f t="shared" si="62"/>
        <v>0</v>
      </c>
      <c r="DB29" s="938">
        <f t="shared" si="63"/>
        <v>0</v>
      </c>
      <c r="DC29" s="938">
        <f t="shared" si="64"/>
        <v>0</v>
      </c>
      <c r="DD29" s="938">
        <f t="shared" si="65"/>
        <v>0</v>
      </c>
      <c r="DE29" s="938" t="str">
        <f t="shared" si="66"/>
        <v/>
      </c>
      <c r="DF29" s="713">
        <f>'min. Düngung 22'!AL30</f>
        <v>0</v>
      </c>
      <c r="DG29" s="938"/>
      <c r="DH29" s="938"/>
      <c r="DI29" s="938">
        <f t="shared" si="67"/>
        <v>0</v>
      </c>
      <c r="DJ29" s="938">
        <f t="shared" si="68"/>
        <v>0</v>
      </c>
      <c r="DK29" s="938">
        <f t="shared" si="69"/>
        <v>0</v>
      </c>
      <c r="DL29" s="938">
        <f t="shared" si="70"/>
        <v>0</v>
      </c>
      <c r="DM29" s="938">
        <f t="shared" si="71"/>
        <v>0</v>
      </c>
      <c r="DN29" s="938" t="str">
        <f t="shared" si="72"/>
        <v/>
      </c>
      <c r="DO29" s="713">
        <f>'min. Düngung 22'!AO30</f>
        <v>0</v>
      </c>
      <c r="DP29" s="938"/>
      <c r="DQ29" s="938"/>
      <c r="DR29" s="938">
        <f t="shared" si="73"/>
        <v>0</v>
      </c>
      <c r="DS29" s="938">
        <f t="shared" si="74"/>
        <v>0</v>
      </c>
      <c r="DT29" s="938">
        <f t="shared" si="75"/>
        <v>0</v>
      </c>
      <c r="DU29" s="938">
        <f t="shared" si="76"/>
        <v>0</v>
      </c>
      <c r="DV29" s="938">
        <f t="shared" si="77"/>
        <v>0</v>
      </c>
      <c r="DW29" s="938" t="str">
        <f t="shared" si="78"/>
        <v/>
      </c>
      <c r="DX29" s="713">
        <f>'min. Düngung 22'!AR30</f>
        <v>0</v>
      </c>
      <c r="DY29" s="938"/>
      <c r="DZ29" s="938"/>
      <c r="EA29" s="938">
        <f t="shared" si="79"/>
        <v>0</v>
      </c>
      <c r="EB29" s="938">
        <f t="shared" si="80"/>
        <v>0</v>
      </c>
      <c r="EC29" s="938">
        <f t="shared" si="81"/>
        <v>0</v>
      </c>
      <c r="ED29" s="938">
        <f t="shared" si="82"/>
        <v>0</v>
      </c>
      <c r="EE29" s="938">
        <f t="shared" si="83"/>
        <v>0</v>
      </c>
      <c r="EF29" s="938" t="str">
        <f t="shared" si="84"/>
        <v/>
      </c>
      <c r="EG29" s="713">
        <f>'min. Düngung 22'!AU30</f>
        <v>0</v>
      </c>
      <c r="EH29" s="938"/>
      <c r="EI29" s="938"/>
      <c r="EJ29" s="938">
        <f t="shared" si="85"/>
        <v>0</v>
      </c>
      <c r="EK29" s="938">
        <f t="shared" si="86"/>
        <v>0</v>
      </c>
      <c r="EL29" s="938">
        <f t="shared" si="87"/>
        <v>0</v>
      </c>
      <c r="EM29" s="938">
        <f t="shared" si="88"/>
        <v>0</v>
      </c>
      <c r="EN29" s="938">
        <f t="shared" si="89"/>
        <v>0</v>
      </c>
      <c r="EO29" s="938" t="str">
        <f t="shared" si="90"/>
        <v/>
      </c>
      <c r="EP29" s="713">
        <f>'min. Düngung 22'!AX30</f>
        <v>0</v>
      </c>
      <c r="EQ29" s="938"/>
      <c r="ER29" s="938"/>
      <c r="ES29" s="938">
        <f t="shared" si="91"/>
        <v>0</v>
      </c>
      <c r="ET29" s="938">
        <f t="shared" si="92"/>
        <v>0</v>
      </c>
      <c r="EU29" s="938">
        <f t="shared" si="93"/>
        <v>0</v>
      </c>
      <c r="EV29" s="938">
        <f t="shared" si="94"/>
        <v>0</v>
      </c>
      <c r="EW29" s="938">
        <f t="shared" si="95"/>
        <v>0</v>
      </c>
      <c r="EX29" s="938" t="str">
        <f t="shared" si="96"/>
        <v/>
      </c>
      <c r="EY29" s="713">
        <f>'min. Düngung 22'!BA30</f>
        <v>0</v>
      </c>
      <c r="EZ29" s="938"/>
      <c r="FA29" s="938"/>
      <c r="FB29" s="938">
        <f t="shared" si="97"/>
        <v>0</v>
      </c>
      <c r="FC29" s="938">
        <f t="shared" si="98"/>
        <v>0</v>
      </c>
      <c r="FD29" s="938">
        <f t="shared" si="99"/>
        <v>0</v>
      </c>
      <c r="FE29" s="938">
        <f t="shared" si="100"/>
        <v>0</v>
      </c>
      <c r="FF29" s="938">
        <f t="shared" si="101"/>
        <v>0</v>
      </c>
      <c r="FG29" s="938" t="str">
        <f t="shared" si="102"/>
        <v/>
      </c>
      <c r="FH29" s="713">
        <f>'min. Düngung 22'!BD30</f>
        <v>0</v>
      </c>
      <c r="FI29" s="938"/>
      <c r="FJ29" s="938"/>
      <c r="FK29" s="938">
        <f t="shared" si="103"/>
        <v>0</v>
      </c>
      <c r="FL29" s="938">
        <f t="shared" si="104"/>
        <v>0</v>
      </c>
      <c r="FM29" s="938">
        <f t="shared" si="105"/>
        <v>0</v>
      </c>
      <c r="FN29" s="938">
        <f t="shared" si="106"/>
        <v>0</v>
      </c>
      <c r="FO29" s="938">
        <f t="shared" si="107"/>
        <v>0</v>
      </c>
      <c r="FP29" s="938" t="str">
        <f t="shared" si="108"/>
        <v/>
      </c>
      <c r="FQ29" s="713">
        <f>'min. Düngung 22'!BG30</f>
        <v>0</v>
      </c>
      <c r="FR29" s="938"/>
      <c r="FS29" s="938"/>
      <c r="FT29" s="938">
        <f t="shared" si="109"/>
        <v>0</v>
      </c>
      <c r="FU29" s="938">
        <f t="shared" si="110"/>
        <v>0</v>
      </c>
      <c r="FV29" s="938">
        <f t="shared" si="111"/>
        <v>0</v>
      </c>
      <c r="FW29" s="938">
        <f t="shared" si="112"/>
        <v>0</v>
      </c>
      <c r="FX29" s="938">
        <f t="shared" si="113"/>
        <v>0</v>
      </c>
      <c r="FY29" s="938" t="str">
        <f t="shared" si="114"/>
        <v/>
      </c>
      <c r="FZ29" s="713">
        <f>'min. Düngung 22'!BJ30</f>
        <v>0</v>
      </c>
      <c r="GA29" s="938"/>
      <c r="GB29" s="938"/>
      <c r="GC29" s="938">
        <f t="shared" si="115"/>
        <v>0</v>
      </c>
      <c r="GD29" s="938">
        <f t="shared" si="116"/>
        <v>0</v>
      </c>
      <c r="GE29" s="938">
        <f t="shared" si="117"/>
        <v>0</v>
      </c>
      <c r="GF29" s="938">
        <f t="shared" si="118"/>
        <v>0</v>
      </c>
      <c r="GG29" s="938">
        <f t="shared" si="119"/>
        <v>0</v>
      </c>
      <c r="GH29" s="938" t="str">
        <f t="shared" si="120"/>
        <v/>
      </c>
      <c r="GI29" s="713">
        <f>'min. Düngung 22'!BM30</f>
        <v>0</v>
      </c>
      <c r="GJ29" s="938"/>
      <c r="GK29" s="938"/>
      <c r="GL29" s="938">
        <f t="shared" si="121"/>
        <v>0</v>
      </c>
      <c r="GM29" s="938">
        <f t="shared" si="122"/>
        <v>0</v>
      </c>
      <c r="GN29" s="938">
        <f t="shared" si="123"/>
        <v>0</v>
      </c>
      <c r="GO29" s="938">
        <f t="shared" si="124"/>
        <v>0</v>
      </c>
      <c r="GP29" s="938">
        <f t="shared" si="125"/>
        <v>0</v>
      </c>
      <c r="GQ29" s="938" t="str">
        <f t="shared" si="126"/>
        <v/>
      </c>
      <c r="GR29" s="713">
        <f>'min. Düngung 22'!BP30</f>
        <v>0</v>
      </c>
      <c r="GS29" s="938"/>
      <c r="GT29" s="938"/>
      <c r="GU29" s="938">
        <f t="shared" si="127"/>
        <v>0</v>
      </c>
      <c r="GV29" s="938">
        <f t="shared" si="128"/>
        <v>0</v>
      </c>
      <c r="GW29" s="938">
        <f t="shared" si="129"/>
        <v>0</v>
      </c>
      <c r="GX29" s="938">
        <f t="shared" si="130"/>
        <v>0</v>
      </c>
      <c r="GY29" s="938">
        <f t="shared" si="131"/>
        <v>0</v>
      </c>
      <c r="GZ29" s="938" t="str">
        <f t="shared" si="132"/>
        <v/>
      </c>
      <c r="HA29" s="713">
        <f>'min. Düngung 22'!BS30</f>
        <v>0</v>
      </c>
      <c r="HB29" s="938"/>
      <c r="HC29" s="938"/>
      <c r="HD29" s="938">
        <f t="shared" si="133"/>
        <v>0</v>
      </c>
      <c r="HE29" s="938">
        <f t="shared" si="134"/>
        <v>0</v>
      </c>
      <c r="HF29" s="938">
        <f t="shared" si="135"/>
        <v>0</v>
      </c>
      <c r="HG29" s="938">
        <f t="shared" si="136"/>
        <v>0</v>
      </c>
      <c r="HH29" s="938">
        <f t="shared" si="137"/>
        <v>0</v>
      </c>
      <c r="HI29" s="938" t="str">
        <f t="shared" si="138"/>
        <v/>
      </c>
      <c r="HJ29" s="713">
        <f>'min. Düngung 22'!BV30</f>
        <v>0</v>
      </c>
      <c r="HK29" s="938"/>
      <c r="HL29" s="938"/>
      <c r="HM29" s="938">
        <f t="shared" si="139"/>
        <v>0</v>
      </c>
      <c r="HN29" s="938">
        <f t="shared" si="140"/>
        <v>0</v>
      </c>
      <c r="HO29" s="938">
        <f t="shared" si="141"/>
        <v>0</v>
      </c>
      <c r="HP29" s="938">
        <f t="shared" si="142"/>
        <v>0</v>
      </c>
      <c r="HQ29" s="938">
        <f t="shared" si="143"/>
        <v>0</v>
      </c>
      <c r="HR29" s="938" t="str">
        <f t="shared" si="144"/>
        <v/>
      </c>
      <c r="HS29" s="713">
        <f>'min. Düngung 22'!BY30</f>
        <v>0</v>
      </c>
      <c r="HT29" s="938"/>
      <c r="HU29" s="938"/>
      <c r="HV29" s="938">
        <f t="shared" si="145"/>
        <v>0</v>
      </c>
      <c r="HW29" s="938">
        <f t="shared" si="146"/>
        <v>0</v>
      </c>
      <c r="HX29" s="938">
        <f t="shared" si="147"/>
        <v>0</v>
      </c>
      <c r="HY29" s="938">
        <f t="shared" si="148"/>
        <v>0</v>
      </c>
      <c r="HZ29" s="938">
        <f t="shared" si="149"/>
        <v>0</v>
      </c>
      <c r="IA29" s="938" t="str">
        <f t="shared" si="150"/>
        <v/>
      </c>
      <c r="IB29" s="713">
        <f>'min. Düngung 22'!CB30</f>
        <v>0</v>
      </c>
      <c r="IC29" s="938"/>
      <c r="ID29" s="938"/>
      <c r="IE29" s="938">
        <f t="shared" si="151"/>
        <v>0</v>
      </c>
      <c r="IF29" s="938">
        <f t="shared" si="152"/>
        <v>0</v>
      </c>
      <c r="IG29" s="938">
        <f t="shared" si="153"/>
        <v>0</v>
      </c>
      <c r="IH29" s="938">
        <f t="shared" si="154"/>
        <v>0</v>
      </c>
      <c r="II29" s="938">
        <f t="shared" si="155"/>
        <v>0</v>
      </c>
      <c r="IJ29" s="938" t="str">
        <f t="shared" si="156"/>
        <v/>
      </c>
      <c r="IK29" s="713">
        <f>'min. Düngung 22'!CE30</f>
        <v>0</v>
      </c>
      <c r="IL29" s="938"/>
      <c r="IM29" s="938"/>
      <c r="IN29" s="938">
        <f t="shared" si="157"/>
        <v>0</v>
      </c>
      <c r="IO29" s="938">
        <f t="shared" si="158"/>
        <v>0</v>
      </c>
      <c r="IP29" s="938">
        <f t="shared" si="159"/>
        <v>0</v>
      </c>
      <c r="IQ29" s="938">
        <f t="shared" si="160"/>
        <v>0</v>
      </c>
      <c r="IR29" s="938">
        <f t="shared" si="161"/>
        <v>0</v>
      </c>
      <c r="IS29" s="938" t="str">
        <f t="shared" si="162"/>
        <v/>
      </c>
      <c r="IT29" s="713">
        <f>'min. Düngung 22'!CH30</f>
        <v>0</v>
      </c>
      <c r="IU29" s="938"/>
      <c r="IV29" s="938"/>
      <c r="IW29" s="938">
        <f t="shared" si="163"/>
        <v>0</v>
      </c>
      <c r="IX29" s="938">
        <f t="shared" si="164"/>
        <v>0</v>
      </c>
      <c r="IY29" s="938">
        <f t="shared" si="165"/>
        <v>0</v>
      </c>
      <c r="IZ29" s="938">
        <f t="shared" si="166"/>
        <v>0</v>
      </c>
      <c r="JA29" s="938">
        <f t="shared" si="167"/>
        <v>0</v>
      </c>
      <c r="JB29" s="938" t="str">
        <f t="shared" si="168"/>
        <v/>
      </c>
      <c r="JC29" s="713">
        <f>'min. Düngung 22'!CK30</f>
        <v>0</v>
      </c>
      <c r="JD29" s="938"/>
      <c r="JE29" s="938"/>
      <c r="JF29" s="938">
        <f t="shared" si="169"/>
        <v>0</v>
      </c>
      <c r="JG29" s="938">
        <f t="shared" si="170"/>
        <v>0</v>
      </c>
      <c r="JH29" s="938">
        <f t="shared" si="171"/>
        <v>0</v>
      </c>
      <c r="JI29" s="938">
        <f t="shared" si="172"/>
        <v>0</v>
      </c>
      <c r="JJ29" s="938">
        <f t="shared" si="173"/>
        <v>0</v>
      </c>
      <c r="JK29" s="938" t="str">
        <f t="shared" si="174"/>
        <v/>
      </c>
      <c r="JL29" s="713">
        <f>'min. Düngung 22'!CN30</f>
        <v>0</v>
      </c>
      <c r="JM29" s="938"/>
      <c r="JN29" s="938"/>
      <c r="JO29" s="938">
        <f t="shared" si="175"/>
        <v>0</v>
      </c>
      <c r="JP29" s="938">
        <f t="shared" si="176"/>
        <v>0</v>
      </c>
      <c r="JQ29" s="938">
        <f t="shared" si="177"/>
        <v>0</v>
      </c>
      <c r="JR29" s="938">
        <f t="shared" si="178"/>
        <v>0</v>
      </c>
      <c r="JS29" s="938">
        <f t="shared" si="179"/>
        <v>0</v>
      </c>
      <c r="JT29" s="938" t="str">
        <f t="shared" si="180"/>
        <v/>
      </c>
      <c r="JU29" s="713">
        <f>'min. Düngung 22'!CQ30</f>
        <v>0</v>
      </c>
      <c r="JV29" s="938"/>
      <c r="JW29" s="938"/>
      <c r="JX29" s="938">
        <f t="shared" si="181"/>
        <v>0</v>
      </c>
      <c r="JY29" s="938">
        <f t="shared" si="182"/>
        <v>0</v>
      </c>
      <c r="JZ29" s="938">
        <f t="shared" si="183"/>
        <v>0</v>
      </c>
      <c r="KA29" s="938">
        <f t="shared" si="184"/>
        <v>0</v>
      </c>
      <c r="KB29" s="938">
        <f t="shared" si="185"/>
        <v>0</v>
      </c>
      <c r="KC29" s="938" t="str">
        <f t="shared" si="186"/>
        <v/>
      </c>
      <c r="KE29" s="938"/>
      <c r="KF29" s="938" t="str">
        <f>IF(AND($F29=2,$G29=1),"",IF(OR($Q29&gt;0,$O29&gt;60),$KF$7,IF(I29=70,"",IF(AND(I29=80,R29+'#orgDung'!AC32&lt;60,K29=1,OR(C29=2,'#BerechnungDBE'!AH23=4)),"",IF(R29&gt;0,$KF$7,"")))))</f>
        <v/>
      </c>
      <c r="KG29" s="938" t="str">
        <f>IF(AND(P29&gt;'#BerechnungDBE'!BJ23,P29&gt;0),'#minDung'!$KG$7,"")</f>
        <v/>
      </c>
      <c r="KH29" s="938" t="str">
        <f>IF(AND(I29=70,R29&gt;'#BerechnungDBE'!CR23),'#minDung'!$KH$7,"")</f>
        <v/>
      </c>
      <c r="KI29" s="938" t="str">
        <f>IF('#BerechnungDBE'!P23&lt;4,"",IF(AND('#BerechnungDBE'!BZ23&gt;0,N29&gt;0),$KI$7,""))</f>
        <v/>
      </c>
      <c r="KJ29" s="938" t="str">
        <f t="shared" si="5"/>
        <v/>
      </c>
    </row>
    <row r="30" spans="1:296" s="875" customFormat="1" hidden="1" x14ac:dyDescent="0.2">
      <c r="A30" s="875">
        <f>'Flächen u. Kulturen'!A29</f>
        <v>20</v>
      </c>
      <c r="B30" s="734">
        <f>'#BerechnungDBE'!L24</f>
        <v>0</v>
      </c>
      <c r="C30" s="46">
        <f>'#orgDung'!C33</f>
        <v>1</v>
      </c>
      <c r="D30" s="875">
        <f>'#BerechnungDBE'!T24</f>
        <v>2</v>
      </c>
      <c r="E30" s="875" t="str">
        <f>'Flächen u. Kulturen'!E29</f>
        <v>x</v>
      </c>
      <c r="F30" s="52">
        <f>'#BerechnungDBE'!N24</f>
        <v>1</v>
      </c>
      <c r="G30" s="52">
        <f>'#BerechnungDBE'!O24</f>
        <v>1</v>
      </c>
      <c r="H30" s="505">
        <f>'#orgDung'!J33</f>
        <v>2</v>
      </c>
      <c r="I30" s="875">
        <f>'#BerechnungDBE'!AF24</f>
        <v>0</v>
      </c>
      <c r="J30" s="875">
        <f>'#orgDung'!M33</f>
        <v>0</v>
      </c>
      <c r="K30" s="875">
        <f>'#BerechnungDBE'!AG24</f>
        <v>0</v>
      </c>
      <c r="M30" s="875">
        <f t="shared" si="0"/>
        <v>0</v>
      </c>
      <c r="N30" s="875">
        <f t="shared" si="1"/>
        <v>0</v>
      </c>
      <c r="O30" s="875">
        <f t="shared" si="2"/>
        <v>0</v>
      </c>
      <c r="P30" s="875">
        <f t="shared" si="4"/>
        <v>0</v>
      </c>
      <c r="Q30" s="938">
        <f t="shared" si="6"/>
        <v>0</v>
      </c>
      <c r="R30" s="875">
        <f t="shared" si="3"/>
        <v>0</v>
      </c>
      <c r="T30" s="713">
        <f>'min. Düngung 22'!H31</f>
        <v>0</v>
      </c>
      <c r="W30" s="875">
        <f t="shared" si="7"/>
        <v>0</v>
      </c>
      <c r="X30" s="875">
        <f t="shared" si="8"/>
        <v>0</v>
      </c>
      <c r="Y30" s="875">
        <f t="shared" si="9"/>
        <v>0</v>
      </c>
      <c r="Z30" s="875">
        <f t="shared" si="10"/>
        <v>0</v>
      </c>
      <c r="AA30" s="875">
        <f t="shared" si="11"/>
        <v>0</v>
      </c>
      <c r="AB30" s="875" t="str">
        <f t="shared" si="12"/>
        <v/>
      </c>
      <c r="AC30" s="713">
        <f>'min. Düngung 22'!K31</f>
        <v>0</v>
      </c>
      <c r="AD30" s="938"/>
      <c r="AE30" s="938"/>
      <c r="AF30" s="938">
        <f t="shared" si="13"/>
        <v>0</v>
      </c>
      <c r="AG30" s="938">
        <f t="shared" si="14"/>
        <v>0</v>
      </c>
      <c r="AH30" s="938">
        <f t="shared" si="15"/>
        <v>0</v>
      </c>
      <c r="AI30" s="938">
        <f t="shared" si="16"/>
        <v>0</v>
      </c>
      <c r="AJ30" s="938">
        <f t="shared" si="17"/>
        <v>0</v>
      </c>
      <c r="AK30" s="938">
        <f t="shared" si="18"/>
        <v>0</v>
      </c>
      <c r="AL30" s="713">
        <f>'min. Düngung 22'!N31</f>
        <v>0</v>
      </c>
      <c r="AM30" s="938"/>
      <c r="AN30" s="938"/>
      <c r="AO30" s="938">
        <f t="shared" si="19"/>
        <v>0</v>
      </c>
      <c r="AP30" s="938">
        <f t="shared" si="20"/>
        <v>0</v>
      </c>
      <c r="AQ30" s="938">
        <f t="shared" si="21"/>
        <v>0</v>
      </c>
      <c r="AR30" s="938">
        <f t="shared" si="22"/>
        <v>0</v>
      </c>
      <c r="AS30" s="938">
        <f t="shared" si="23"/>
        <v>0</v>
      </c>
      <c r="AT30" s="938" t="str">
        <f t="shared" si="24"/>
        <v/>
      </c>
      <c r="AU30" s="713">
        <f>'min. Düngung 22'!Q31</f>
        <v>0</v>
      </c>
      <c r="AV30" s="938"/>
      <c r="AW30" s="938"/>
      <c r="AX30" s="938">
        <f t="shared" si="25"/>
        <v>0</v>
      </c>
      <c r="AY30" s="938">
        <f t="shared" si="26"/>
        <v>0</v>
      </c>
      <c r="AZ30" s="938">
        <f t="shared" si="27"/>
        <v>0</v>
      </c>
      <c r="BA30" s="938">
        <f t="shared" si="28"/>
        <v>0</v>
      </c>
      <c r="BB30" s="938">
        <f t="shared" si="29"/>
        <v>0</v>
      </c>
      <c r="BC30" s="938" t="str">
        <f t="shared" si="30"/>
        <v/>
      </c>
      <c r="BD30" s="713">
        <f>'min. Düngung 22'!T31</f>
        <v>0</v>
      </c>
      <c r="BE30" s="938"/>
      <c r="BF30" s="938"/>
      <c r="BG30" s="938">
        <f t="shared" si="31"/>
        <v>0</v>
      </c>
      <c r="BH30" s="938">
        <f t="shared" si="32"/>
        <v>0</v>
      </c>
      <c r="BI30" s="938">
        <f t="shared" si="33"/>
        <v>0</v>
      </c>
      <c r="BJ30" s="938">
        <f t="shared" si="34"/>
        <v>0</v>
      </c>
      <c r="BK30" s="938">
        <f t="shared" si="35"/>
        <v>0</v>
      </c>
      <c r="BL30" s="938" t="str">
        <f t="shared" si="36"/>
        <v/>
      </c>
      <c r="BM30" s="713">
        <f>'min. Düngung 22'!W31</f>
        <v>0</v>
      </c>
      <c r="BN30" s="938"/>
      <c r="BO30" s="938"/>
      <c r="BP30" s="938">
        <f t="shared" si="37"/>
        <v>0</v>
      </c>
      <c r="BQ30" s="938">
        <f t="shared" si="38"/>
        <v>0</v>
      </c>
      <c r="BR30" s="938">
        <f t="shared" si="39"/>
        <v>0</v>
      </c>
      <c r="BS30" s="938">
        <f t="shared" si="40"/>
        <v>0</v>
      </c>
      <c r="BT30" s="938">
        <f t="shared" si="41"/>
        <v>0</v>
      </c>
      <c r="BU30" s="938" t="str">
        <f t="shared" si="42"/>
        <v/>
      </c>
      <c r="BV30" s="713">
        <f>'min. Düngung 22'!Z31</f>
        <v>0</v>
      </c>
      <c r="BW30" s="938"/>
      <c r="BX30" s="938"/>
      <c r="BY30" s="938">
        <f t="shared" si="43"/>
        <v>0</v>
      </c>
      <c r="BZ30" s="938">
        <f t="shared" si="44"/>
        <v>0</v>
      </c>
      <c r="CA30" s="938">
        <f t="shared" si="45"/>
        <v>0</v>
      </c>
      <c r="CB30" s="938">
        <f t="shared" si="46"/>
        <v>0</v>
      </c>
      <c r="CC30" s="938">
        <f t="shared" si="47"/>
        <v>0</v>
      </c>
      <c r="CD30" s="938" t="str">
        <f t="shared" si="48"/>
        <v/>
      </c>
      <c r="CE30" s="713">
        <f>'min. Düngung 22'!AC31</f>
        <v>0</v>
      </c>
      <c r="CF30" s="938"/>
      <c r="CG30" s="938"/>
      <c r="CH30" s="938">
        <f t="shared" si="49"/>
        <v>0</v>
      </c>
      <c r="CI30" s="938">
        <f t="shared" si="50"/>
        <v>0</v>
      </c>
      <c r="CJ30" s="938">
        <f t="shared" si="51"/>
        <v>0</v>
      </c>
      <c r="CK30" s="938">
        <f t="shared" si="52"/>
        <v>0</v>
      </c>
      <c r="CL30" s="938">
        <f t="shared" si="53"/>
        <v>0</v>
      </c>
      <c r="CM30" s="938" t="str">
        <f t="shared" si="54"/>
        <v/>
      </c>
      <c r="CN30" s="713">
        <f>'min. Düngung 22'!AF31</f>
        <v>0</v>
      </c>
      <c r="CO30" s="938"/>
      <c r="CP30" s="938"/>
      <c r="CQ30" s="938">
        <f t="shared" si="55"/>
        <v>0</v>
      </c>
      <c r="CR30" s="938">
        <f t="shared" si="56"/>
        <v>0</v>
      </c>
      <c r="CS30" s="938">
        <f t="shared" si="57"/>
        <v>0</v>
      </c>
      <c r="CT30" s="938">
        <f t="shared" si="58"/>
        <v>0</v>
      </c>
      <c r="CU30" s="938">
        <f t="shared" si="59"/>
        <v>0</v>
      </c>
      <c r="CV30" s="938" t="str">
        <f t="shared" si="60"/>
        <v/>
      </c>
      <c r="CW30" s="713">
        <f>'min. Düngung 22'!AI31</f>
        <v>0</v>
      </c>
      <c r="CX30" s="938"/>
      <c r="CY30" s="938"/>
      <c r="CZ30" s="938">
        <f t="shared" si="61"/>
        <v>0</v>
      </c>
      <c r="DA30" s="938">
        <f t="shared" si="62"/>
        <v>0</v>
      </c>
      <c r="DB30" s="938">
        <f t="shared" si="63"/>
        <v>0</v>
      </c>
      <c r="DC30" s="938">
        <f t="shared" si="64"/>
        <v>0</v>
      </c>
      <c r="DD30" s="938">
        <f t="shared" si="65"/>
        <v>0</v>
      </c>
      <c r="DE30" s="938" t="str">
        <f t="shared" si="66"/>
        <v/>
      </c>
      <c r="DF30" s="713">
        <f>'min. Düngung 22'!AL31</f>
        <v>0</v>
      </c>
      <c r="DG30" s="938"/>
      <c r="DH30" s="938"/>
      <c r="DI30" s="938">
        <f t="shared" si="67"/>
        <v>0</v>
      </c>
      <c r="DJ30" s="938">
        <f t="shared" si="68"/>
        <v>0</v>
      </c>
      <c r="DK30" s="938">
        <f t="shared" si="69"/>
        <v>0</v>
      </c>
      <c r="DL30" s="938">
        <f t="shared" si="70"/>
        <v>0</v>
      </c>
      <c r="DM30" s="938">
        <f t="shared" si="71"/>
        <v>0</v>
      </c>
      <c r="DN30" s="938" t="str">
        <f t="shared" si="72"/>
        <v/>
      </c>
      <c r="DO30" s="713">
        <f>'min. Düngung 22'!AO31</f>
        <v>0</v>
      </c>
      <c r="DP30" s="938"/>
      <c r="DQ30" s="938"/>
      <c r="DR30" s="938">
        <f t="shared" si="73"/>
        <v>0</v>
      </c>
      <c r="DS30" s="938">
        <f t="shared" si="74"/>
        <v>0</v>
      </c>
      <c r="DT30" s="938">
        <f t="shared" si="75"/>
        <v>0</v>
      </c>
      <c r="DU30" s="938">
        <f t="shared" si="76"/>
        <v>0</v>
      </c>
      <c r="DV30" s="938">
        <f t="shared" si="77"/>
        <v>0</v>
      </c>
      <c r="DW30" s="938" t="str">
        <f t="shared" si="78"/>
        <v/>
      </c>
      <c r="DX30" s="713">
        <f>'min. Düngung 22'!AR31</f>
        <v>0</v>
      </c>
      <c r="DY30" s="938"/>
      <c r="DZ30" s="938"/>
      <c r="EA30" s="938">
        <f t="shared" si="79"/>
        <v>0</v>
      </c>
      <c r="EB30" s="938">
        <f t="shared" si="80"/>
        <v>0</v>
      </c>
      <c r="EC30" s="938">
        <f t="shared" si="81"/>
        <v>0</v>
      </c>
      <c r="ED30" s="938">
        <f t="shared" si="82"/>
        <v>0</v>
      </c>
      <c r="EE30" s="938">
        <f t="shared" si="83"/>
        <v>0</v>
      </c>
      <c r="EF30" s="938" t="str">
        <f t="shared" si="84"/>
        <v/>
      </c>
      <c r="EG30" s="713">
        <f>'min. Düngung 22'!AU31</f>
        <v>0</v>
      </c>
      <c r="EH30" s="938"/>
      <c r="EI30" s="938"/>
      <c r="EJ30" s="938">
        <f t="shared" si="85"/>
        <v>0</v>
      </c>
      <c r="EK30" s="938">
        <f t="shared" si="86"/>
        <v>0</v>
      </c>
      <c r="EL30" s="938">
        <f t="shared" si="87"/>
        <v>0</v>
      </c>
      <c r="EM30" s="938">
        <f t="shared" si="88"/>
        <v>0</v>
      </c>
      <c r="EN30" s="938">
        <f t="shared" si="89"/>
        <v>0</v>
      </c>
      <c r="EO30" s="938" t="str">
        <f t="shared" si="90"/>
        <v/>
      </c>
      <c r="EP30" s="713">
        <f>'min. Düngung 22'!AX31</f>
        <v>0</v>
      </c>
      <c r="EQ30" s="938"/>
      <c r="ER30" s="938"/>
      <c r="ES30" s="938">
        <f t="shared" si="91"/>
        <v>0</v>
      </c>
      <c r="ET30" s="938">
        <f t="shared" si="92"/>
        <v>0</v>
      </c>
      <c r="EU30" s="938">
        <f t="shared" si="93"/>
        <v>0</v>
      </c>
      <c r="EV30" s="938">
        <f t="shared" si="94"/>
        <v>0</v>
      </c>
      <c r="EW30" s="938">
        <f t="shared" si="95"/>
        <v>0</v>
      </c>
      <c r="EX30" s="938" t="str">
        <f t="shared" si="96"/>
        <v/>
      </c>
      <c r="EY30" s="713">
        <f>'min. Düngung 22'!BA31</f>
        <v>0</v>
      </c>
      <c r="EZ30" s="938"/>
      <c r="FA30" s="938"/>
      <c r="FB30" s="938">
        <f t="shared" si="97"/>
        <v>0</v>
      </c>
      <c r="FC30" s="938">
        <f t="shared" si="98"/>
        <v>0</v>
      </c>
      <c r="FD30" s="938">
        <f t="shared" si="99"/>
        <v>0</v>
      </c>
      <c r="FE30" s="938">
        <f t="shared" si="100"/>
        <v>0</v>
      </c>
      <c r="FF30" s="938">
        <f t="shared" si="101"/>
        <v>0</v>
      </c>
      <c r="FG30" s="938" t="str">
        <f t="shared" si="102"/>
        <v/>
      </c>
      <c r="FH30" s="713">
        <f>'min. Düngung 22'!BD31</f>
        <v>0</v>
      </c>
      <c r="FI30" s="938"/>
      <c r="FJ30" s="938"/>
      <c r="FK30" s="938">
        <f t="shared" si="103"/>
        <v>0</v>
      </c>
      <c r="FL30" s="938">
        <f t="shared" si="104"/>
        <v>0</v>
      </c>
      <c r="FM30" s="938">
        <f t="shared" si="105"/>
        <v>0</v>
      </c>
      <c r="FN30" s="938">
        <f t="shared" si="106"/>
        <v>0</v>
      </c>
      <c r="FO30" s="938">
        <f t="shared" si="107"/>
        <v>0</v>
      </c>
      <c r="FP30" s="938" t="str">
        <f t="shared" si="108"/>
        <v/>
      </c>
      <c r="FQ30" s="713">
        <f>'min. Düngung 22'!BG31</f>
        <v>0</v>
      </c>
      <c r="FR30" s="938"/>
      <c r="FS30" s="938"/>
      <c r="FT30" s="938">
        <f t="shared" si="109"/>
        <v>0</v>
      </c>
      <c r="FU30" s="938">
        <f t="shared" si="110"/>
        <v>0</v>
      </c>
      <c r="FV30" s="938">
        <f t="shared" si="111"/>
        <v>0</v>
      </c>
      <c r="FW30" s="938">
        <f t="shared" si="112"/>
        <v>0</v>
      </c>
      <c r="FX30" s="938">
        <f t="shared" si="113"/>
        <v>0</v>
      </c>
      <c r="FY30" s="938" t="str">
        <f t="shared" si="114"/>
        <v/>
      </c>
      <c r="FZ30" s="713">
        <f>'min. Düngung 22'!BJ31</f>
        <v>0</v>
      </c>
      <c r="GA30" s="938"/>
      <c r="GB30" s="938"/>
      <c r="GC30" s="938">
        <f t="shared" si="115"/>
        <v>0</v>
      </c>
      <c r="GD30" s="938">
        <f t="shared" si="116"/>
        <v>0</v>
      </c>
      <c r="GE30" s="938">
        <f t="shared" si="117"/>
        <v>0</v>
      </c>
      <c r="GF30" s="938">
        <f t="shared" si="118"/>
        <v>0</v>
      </c>
      <c r="GG30" s="938">
        <f t="shared" si="119"/>
        <v>0</v>
      </c>
      <c r="GH30" s="938" t="str">
        <f t="shared" si="120"/>
        <v/>
      </c>
      <c r="GI30" s="713">
        <f>'min. Düngung 22'!BM31</f>
        <v>0</v>
      </c>
      <c r="GJ30" s="938"/>
      <c r="GK30" s="938"/>
      <c r="GL30" s="938">
        <f t="shared" si="121"/>
        <v>0</v>
      </c>
      <c r="GM30" s="938">
        <f t="shared" si="122"/>
        <v>0</v>
      </c>
      <c r="GN30" s="938">
        <f t="shared" si="123"/>
        <v>0</v>
      </c>
      <c r="GO30" s="938">
        <f t="shared" si="124"/>
        <v>0</v>
      </c>
      <c r="GP30" s="938">
        <f t="shared" si="125"/>
        <v>0</v>
      </c>
      <c r="GQ30" s="938" t="str">
        <f t="shared" si="126"/>
        <v/>
      </c>
      <c r="GR30" s="713">
        <f>'min. Düngung 22'!BP31</f>
        <v>0</v>
      </c>
      <c r="GS30" s="938"/>
      <c r="GT30" s="938"/>
      <c r="GU30" s="938">
        <f t="shared" si="127"/>
        <v>0</v>
      </c>
      <c r="GV30" s="938">
        <f t="shared" si="128"/>
        <v>0</v>
      </c>
      <c r="GW30" s="938">
        <f t="shared" si="129"/>
        <v>0</v>
      </c>
      <c r="GX30" s="938">
        <f t="shared" si="130"/>
        <v>0</v>
      </c>
      <c r="GY30" s="938">
        <f t="shared" si="131"/>
        <v>0</v>
      </c>
      <c r="GZ30" s="938" t="str">
        <f t="shared" si="132"/>
        <v/>
      </c>
      <c r="HA30" s="713">
        <f>'min. Düngung 22'!BS31</f>
        <v>0</v>
      </c>
      <c r="HB30" s="938"/>
      <c r="HC30" s="938"/>
      <c r="HD30" s="938">
        <f t="shared" si="133"/>
        <v>0</v>
      </c>
      <c r="HE30" s="938">
        <f t="shared" si="134"/>
        <v>0</v>
      </c>
      <c r="HF30" s="938">
        <f t="shared" si="135"/>
        <v>0</v>
      </c>
      <c r="HG30" s="938">
        <f t="shared" si="136"/>
        <v>0</v>
      </c>
      <c r="HH30" s="938">
        <f t="shared" si="137"/>
        <v>0</v>
      </c>
      <c r="HI30" s="938" t="str">
        <f t="shared" si="138"/>
        <v/>
      </c>
      <c r="HJ30" s="713">
        <f>'min. Düngung 22'!BV31</f>
        <v>0</v>
      </c>
      <c r="HK30" s="938"/>
      <c r="HL30" s="938"/>
      <c r="HM30" s="938">
        <f t="shared" si="139"/>
        <v>0</v>
      </c>
      <c r="HN30" s="938">
        <f t="shared" si="140"/>
        <v>0</v>
      </c>
      <c r="HO30" s="938">
        <f t="shared" si="141"/>
        <v>0</v>
      </c>
      <c r="HP30" s="938">
        <f t="shared" si="142"/>
        <v>0</v>
      </c>
      <c r="HQ30" s="938">
        <f t="shared" si="143"/>
        <v>0</v>
      </c>
      <c r="HR30" s="938" t="str">
        <f t="shared" si="144"/>
        <v/>
      </c>
      <c r="HS30" s="713">
        <f>'min. Düngung 22'!BY31</f>
        <v>0</v>
      </c>
      <c r="HT30" s="938"/>
      <c r="HU30" s="938"/>
      <c r="HV30" s="938">
        <f t="shared" si="145"/>
        <v>0</v>
      </c>
      <c r="HW30" s="938">
        <f t="shared" si="146"/>
        <v>0</v>
      </c>
      <c r="HX30" s="938">
        <f t="shared" si="147"/>
        <v>0</v>
      </c>
      <c r="HY30" s="938">
        <f t="shared" si="148"/>
        <v>0</v>
      </c>
      <c r="HZ30" s="938">
        <f t="shared" si="149"/>
        <v>0</v>
      </c>
      <c r="IA30" s="938" t="str">
        <f t="shared" si="150"/>
        <v/>
      </c>
      <c r="IB30" s="713">
        <f>'min. Düngung 22'!CB31</f>
        <v>0</v>
      </c>
      <c r="IC30" s="938"/>
      <c r="ID30" s="938"/>
      <c r="IE30" s="938">
        <f t="shared" si="151"/>
        <v>0</v>
      </c>
      <c r="IF30" s="938">
        <f t="shared" si="152"/>
        <v>0</v>
      </c>
      <c r="IG30" s="938">
        <f t="shared" si="153"/>
        <v>0</v>
      </c>
      <c r="IH30" s="938">
        <f t="shared" si="154"/>
        <v>0</v>
      </c>
      <c r="II30" s="938">
        <f t="shared" si="155"/>
        <v>0</v>
      </c>
      <c r="IJ30" s="938" t="str">
        <f t="shared" si="156"/>
        <v/>
      </c>
      <c r="IK30" s="713">
        <f>'min. Düngung 22'!CE31</f>
        <v>0</v>
      </c>
      <c r="IL30" s="938"/>
      <c r="IM30" s="938"/>
      <c r="IN30" s="938">
        <f t="shared" si="157"/>
        <v>0</v>
      </c>
      <c r="IO30" s="938">
        <f t="shared" si="158"/>
        <v>0</v>
      </c>
      <c r="IP30" s="938">
        <f t="shared" si="159"/>
        <v>0</v>
      </c>
      <c r="IQ30" s="938">
        <f t="shared" si="160"/>
        <v>0</v>
      </c>
      <c r="IR30" s="938">
        <f t="shared" si="161"/>
        <v>0</v>
      </c>
      <c r="IS30" s="938" t="str">
        <f t="shared" si="162"/>
        <v/>
      </c>
      <c r="IT30" s="713">
        <f>'min. Düngung 22'!CH31</f>
        <v>0</v>
      </c>
      <c r="IU30" s="938"/>
      <c r="IV30" s="938"/>
      <c r="IW30" s="938">
        <f t="shared" si="163"/>
        <v>0</v>
      </c>
      <c r="IX30" s="938">
        <f t="shared" si="164"/>
        <v>0</v>
      </c>
      <c r="IY30" s="938">
        <f t="shared" si="165"/>
        <v>0</v>
      </c>
      <c r="IZ30" s="938">
        <f t="shared" si="166"/>
        <v>0</v>
      </c>
      <c r="JA30" s="938">
        <f t="shared" si="167"/>
        <v>0</v>
      </c>
      <c r="JB30" s="938" t="str">
        <f t="shared" si="168"/>
        <v/>
      </c>
      <c r="JC30" s="713">
        <f>'min. Düngung 22'!CK31</f>
        <v>0</v>
      </c>
      <c r="JD30" s="938"/>
      <c r="JE30" s="938"/>
      <c r="JF30" s="938">
        <f t="shared" si="169"/>
        <v>0</v>
      </c>
      <c r="JG30" s="938">
        <f t="shared" si="170"/>
        <v>0</v>
      </c>
      <c r="JH30" s="938">
        <f t="shared" si="171"/>
        <v>0</v>
      </c>
      <c r="JI30" s="938">
        <f t="shared" si="172"/>
        <v>0</v>
      </c>
      <c r="JJ30" s="938">
        <f t="shared" si="173"/>
        <v>0</v>
      </c>
      <c r="JK30" s="938" t="str">
        <f t="shared" si="174"/>
        <v/>
      </c>
      <c r="JL30" s="713">
        <f>'min. Düngung 22'!CN31</f>
        <v>0</v>
      </c>
      <c r="JM30" s="938"/>
      <c r="JN30" s="938"/>
      <c r="JO30" s="938">
        <f t="shared" si="175"/>
        <v>0</v>
      </c>
      <c r="JP30" s="938">
        <f t="shared" si="176"/>
        <v>0</v>
      </c>
      <c r="JQ30" s="938">
        <f t="shared" si="177"/>
        <v>0</v>
      </c>
      <c r="JR30" s="938">
        <f t="shared" si="178"/>
        <v>0</v>
      </c>
      <c r="JS30" s="938">
        <f t="shared" si="179"/>
        <v>0</v>
      </c>
      <c r="JT30" s="938" t="str">
        <f t="shared" si="180"/>
        <v/>
      </c>
      <c r="JU30" s="713">
        <f>'min. Düngung 22'!CQ31</f>
        <v>0</v>
      </c>
      <c r="JV30" s="938"/>
      <c r="JW30" s="938"/>
      <c r="JX30" s="938">
        <f t="shared" si="181"/>
        <v>0</v>
      </c>
      <c r="JY30" s="938">
        <f t="shared" si="182"/>
        <v>0</v>
      </c>
      <c r="JZ30" s="938">
        <f t="shared" si="183"/>
        <v>0</v>
      </c>
      <c r="KA30" s="938">
        <f t="shared" si="184"/>
        <v>0</v>
      </c>
      <c r="KB30" s="938">
        <f t="shared" si="185"/>
        <v>0</v>
      </c>
      <c r="KC30" s="938" t="str">
        <f t="shared" si="186"/>
        <v/>
      </c>
      <c r="KE30" s="938"/>
      <c r="KF30" s="938" t="str">
        <f>IF(AND($F30=2,$G30=1),"",IF(OR($Q30&gt;0,$O30&gt;60),$KF$7,IF(I30=70,"",IF(AND(I30=80,R30+'#orgDung'!AC33&lt;60,K30=1,OR(C30=2,'#BerechnungDBE'!AH24=4)),"",IF(R30&gt;0,$KF$7,"")))))</f>
        <v/>
      </c>
      <c r="KG30" s="938" t="str">
        <f>IF(AND(P30&gt;'#BerechnungDBE'!BJ24,P30&gt;0),'#minDung'!$KG$7,"")</f>
        <v/>
      </c>
      <c r="KH30" s="938" t="str">
        <f>IF(AND(I30=70,R30&gt;'#BerechnungDBE'!CR24),'#minDung'!$KH$7,"")</f>
        <v/>
      </c>
      <c r="KI30" s="938" t="str">
        <f>IF('#BerechnungDBE'!P24&lt;4,"",IF(AND('#BerechnungDBE'!BZ24&gt;0,N30&gt;0),$KI$7,""))</f>
        <v/>
      </c>
      <c r="KJ30" s="938" t="str">
        <f t="shared" si="5"/>
        <v/>
      </c>
    </row>
    <row r="31" spans="1:296" s="875" customFormat="1" hidden="1" x14ac:dyDescent="0.2">
      <c r="A31" s="875">
        <f>'Flächen u. Kulturen'!A30</f>
        <v>21</v>
      </c>
      <c r="B31" s="734">
        <f>'#BerechnungDBE'!L25</f>
        <v>0</v>
      </c>
      <c r="C31" s="46">
        <f>'#orgDung'!C34</f>
        <v>1</v>
      </c>
      <c r="D31" s="875">
        <f>'#BerechnungDBE'!T25</f>
        <v>2</v>
      </c>
      <c r="E31" s="875" t="str">
        <f>'Flächen u. Kulturen'!E30</f>
        <v>x</v>
      </c>
      <c r="F31" s="52">
        <f>'#BerechnungDBE'!N25</f>
        <v>1</v>
      </c>
      <c r="G31" s="52">
        <f>'#BerechnungDBE'!O25</f>
        <v>1</v>
      </c>
      <c r="H31" s="505">
        <f>'#orgDung'!J34</f>
        <v>2</v>
      </c>
      <c r="I31" s="875">
        <f>'#BerechnungDBE'!AF25</f>
        <v>0</v>
      </c>
      <c r="J31" s="875">
        <f>'#orgDung'!M34</f>
        <v>0</v>
      </c>
      <c r="K31" s="875">
        <f>'#BerechnungDBE'!AG25</f>
        <v>0</v>
      </c>
      <c r="M31" s="875">
        <f t="shared" si="0"/>
        <v>0</v>
      </c>
      <c r="N31" s="875">
        <f t="shared" si="1"/>
        <v>0</v>
      </c>
      <c r="O31" s="875">
        <f t="shared" si="2"/>
        <v>0</v>
      </c>
      <c r="P31" s="875">
        <f t="shared" si="4"/>
        <v>0</v>
      </c>
      <c r="Q31" s="938">
        <f t="shared" si="6"/>
        <v>0</v>
      </c>
      <c r="R31" s="875">
        <f t="shared" si="3"/>
        <v>0</v>
      </c>
      <c r="T31" s="713">
        <f>'min. Düngung 22'!H32</f>
        <v>0</v>
      </c>
      <c r="W31" s="875">
        <f t="shared" si="7"/>
        <v>0</v>
      </c>
      <c r="X31" s="875">
        <f t="shared" si="8"/>
        <v>0</v>
      </c>
      <c r="Y31" s="875">
        <f t="shared" si="9"/>
        <v>0</v>
      </c>
      <c r="Z31" s="875">
        <f t="shared" si="10"/>
        <v>0</v>
      </c>
      <c r="AA31" s="875">
        <f t="shared" si="11"/>
        <v>0</v>
      </c>
      <c r="AB31" s="875" t="str">
        <f t="shared" si="12"/>
        <v/>
      </c>
      <c r="AC31" s="713">
        <f>'min. Düngung 22'!K32</f>
        <v>0</v>
      </c>
      <c r="AD31" s="938"/>
      <c r="AE31" s="938"/>
      <c r="AF31" s="938">
        <f t="shared" si="13"/>
        <v>0</v>
      </c>
      <c r="AG31" s="938">
        <f t="shared" si="14"/>
        <v>0</v>
      </c>
      <c r="AH31" s="938">
        <f t="shared" si="15"/>
        <v>0</v>
      </c>
      <c r="AI31" s="938">
        <f t="shared" si="16"/>
        <v>0</v>
      </c>
      <c r="AJ31" s="938">
        <f t="shared" si="17"/>
        <v>0</v>
      </c>
      <c r="AK31" s="938">
        <f t="shared" si="18"/>
        <v>0</v>
      </c>
      <c r="AL31" s="713">
        <f>'min. Düngung 22'!N32</f>
        <v>0</v>
      </c>
      <c r="AM31" s="938"/>
      <c r="AN31" s="938"/>
      <c r="AO31" s="938">
        <f t="shared" si="19"/>
        <v>0</v>
      </c>
      <c r="AP31" s="938">
        <f t="shared" si="20"/>
        <v>0</v>
      </c>
      <c r="AQ31" s="938">
        <f t="shared" si="21"/>
        <v>0</v>
      </c>
      <c r="AR31" s="938">
        <f t="shared" si="22"/>
        <v>0</v>
      </c>
      <c r="AS31" s="938">
        <f t="shared" si="23"/>
        <v>0</v>
      </c>
      <c r="AT31" s="938" t="str">
        <f t="shared" si="24"/>
        <v/>
      </c>
      <c r="AU31" s="713">
        <f>'min. Düngung 22'!Q32</f>
        <v>0</v>
      </c>
      <c r="AV31" s="938"/>
      <c r="AW31" s="938"/>
      <c r="AX31" s="938">
        <f t="shared" si="25"/>
        <v>0</v>
      </c>
      <c r="AY31" s="938">
        <f t="shared" si="26"/>
        <v>0</v>
      </c>
      <c r="AZ31" s="938">
        <f t="shared" si="27"/>
        <v>0</v>
      </c>
      <c r="BA31" s="938">
        <f t="shared" si="28"/>
        <v>0</v>
      </c>
      <c r="BB31" s="938">
        <f t="shared" si="29"/>
        <v>0</v>
      </c>
      <c r="BC31" s="938" t="str">
        <f t="shared" si="30"/>
        <v/>
      </c>
      <c r="BD31" s="713">
        <f>'min. Düngung 22'!T32</f>
        <v>0</v>
      </c>
      <c r="BE31" s="938"/>
      <c r="BF31" s="938"/>
      <c r="BG31" s="938">
        <f t="shared" si="31"/>
        <v>0</v>
      </c>
      <c r="BH31" s="938">
        <f t="shared" si="32"/>
        <v>0</v>
      </c>
      <c r="BI31" s="938">
        <f t="shared" si="33"/>
        <v>0</v>
      </c>
      <c r="BJ31" s="938">
        <f t="shared" si="34"/>
        <v>0</v>
      </c>
      <c r="BK31" s="938">
        <f t="shared" si="35"/>
        <v>0</v>
      </c>
      <c r="BL31" s="938" t="str">
        <f t="shared" si="36"/>
        <v/>
      </c>
      <c r="BM31" s="713">
        <f>'min. Düngung 22'!W32</f>
        <v>0</v>
      </c>
      <c r="BN31" s="938"/>
      <c r="BO31" s="938"/>
      <c r="BP31" s="938">
        <f t="shared" si="37"/>
        <v>0</v>
      </c>
      <c r="BQ31" s="938">
        <f t="shared" si="38"/>
        <v>0</v>
      </c>
      <c r="BR31" s="938">
        <f t="shared" si="39"/>
        <v>0</v>
      </c>
      <c r="BS31" s="938">
        <f t="shared" si="40"/>
        <v>0</v>
      </c>
      <c r="BT31" s="938">
        <f t="shared" si="41"/>
        <v>0</v>
      </c>
      <c r="BU31" s="938" t="str">
        <f t="shared" si="42"/>
        <v/>
      </c>
      <c r="BV31" s="713">
        <f>'min. Düngung 22'!Z32</f>
        <v>0</v>
      </c>
      <c r="BW31" s="938"/>
      <c r="BX31" s="938"/>
      <c r="BY31" s="938">
        <f t="shared" si="43"/>
        <v>0</v>
      </c>
      <c r="BZ31" s="938">
        <f t="shared" si="44"/>
        <v>0</v>
      </c>
      <c r="CA31" s="938">
        <f t="shared" si="45"/>
        <v>0</v>
      </c>
      <c r="CB31" s="938">
        <f t="shared" si="46"/>
        <v>0</v>
      </c>
      <c r="CC31" s="938">
        <f t="shared" si="47"/>
        <v>0</v>
      </c>
      <c r="CD31" s="938" t="str">
        <f t="shared" si="48"/>
        <v/>
      </c>
      <c r="CE31" s="713">
        <f>'min. Düngung 22'!AC32</f>
        <v>0</v>
      </c>
      <c r="CF31" s="938"/>
      <c r="CG31" s="938"/>
      <c r="CH31" s="938">
        <f t="shared" si="49"/>
        <v>0</v>
      </c>
      <c r="CI31" s="938">
        <f t="shared" si="50"/>
        <v>0</v>
      </c>
      <c r="CJ31" s="938">
        <f t="shared" si="51"/>
        <v>0</v>
      </c>
      <c r="CK31" s="938">
        <f t="shared" si="52"/>
        <v>0</v>
      </c>
      <c r="CL31" s="938">
        <f t="shared" si="53"/>
        <v>0</v>
      </c>
      <c r="CM31" s="938" t="str">
        <f t="shared" si="54"/>
        <v/>
      </c>
      <c r="CN31" s="713">
        <f>'min. Düngung 22'!AF32</f>
        <v>0</v>
      </c>
      <c r="CO31" s="938"/>
      <c r="CP31" s="938"/>
      <c r="CQ31" s="938">
        <f t="shared" si="55"/>
        <v>0</v>
      </c>
      <c r="CR31" s="938">
        <f t="shared" si="56"/>
        <v>0</v>
      </c>
      <c r="CS31" s="938">
        <f t="shared" si="57"/>
        <v>0</v>
      </c>
      <c r="CT31" s="938">
        <f t="shared" si="58"/>
        <v>0</v>
      </c>
      <c r="CU31" s="938">
        <f t="shared" si="59"/>
        <v>0</v>
      </c>
      <c r="CV31" s="938" t="str">
        <f t="shared" si="60"/>
        <v/>
      </c>
      <c r="CW31" s="713">
        <f>'min. Düngung 22'!AI32</f>
        <v>0</v>
      </c>
      <c r="CX31" s="938"/>
      <c r="CY31" s="938"/>
      <c r="CZ31" s="938">
        <f t="shared" si="61"/>
        <v>0</v>
      </c>
      <c r="DA31" s="938">
        <f t="shared" si="62"/>
        <v>0</v>
      </c>
      <c r="DB31" s="938">
        <f t="shared" si="63"/>
        <v>0</v>
      </c>
      <c r="DC31" s="938">
        <f t="shared" si="64"/>
        <v>0</v>
      </c>
      <c r="DD31" s="938">
        <f t="shared" si="65"/>
        <v>0</v>
      </c>
      <c r="DE31" s="938" t="str">
        <f t="shared" si="66"/>
        <v/>
      </c>
      <c r="DF31" s="713">
        <f>'min. Düngung 22'!AL32</f>
        <v>0</v>
      </c>
      <c r="DG31" s="938"/>
      <c r="DH31" s="938"/>
      <c r="DI31" s="938">
        <f t="shared" si="67"/>
        <v>0</v>
      </c>
      <c r="DJ31" s="938">
        <f t="shared" si="68"/>
        <v>0</v>
      </c>
      <c r="DK31" s="938">
        <f t="shared" si="69"/>
        <v>0</v>
      </c>
      <c r="DL31" s="938">
        <f t="shared" si="70"/>
        <v>0</v>
      </c>
      <c r="DM31" s="938">
        <f t="shared" si="71"/>
        <v>0</v>
      </c>
      <c r="DN31" s="938" t="str">
        <f t="shared" si="72"/>
        <v/>
      </c>
      <c r="DO31" s="713">
        <f>'min. Düngung 22'!AO32</f>
        <v>0</v>
      </c>
      <c r="DP31" s="938"/>
      <c r="DQ31" s="938"/>
      <c r="DR31" s="938">
        <f t="shared" si="73"/>
        <v>0</v>
      </c>
      <c r="DS31" s="938">
        <f t="shared" si="74"/>
        <v>0</v>
      </c>
      <c r="DT31" s="938">
        <f t="shared" si="75"/>
        <v>0</v>
      </c>
      <c r="DU31" s="938">
        <f t="shared" si="76"/>
        <v>0</v>
      </c>
      <c r="DV31" s="938">
        <f t="shared" si="77"/>
        <v>0</v>
      </c>
      <c r="DW31" s="938" t="str">
        <f t="shared" si="78"/>
        <v/>
      </c>
      <c r="DX31" s="713">
        <f>'min. Düngung 22'!AR32</f>
        <v>0</v>
      </c>
      <c r="DY31" s="938"/>
      <c r="DZ31" s="938"/>
      <c r="EA31" s="938">
        <f t="shared" si="79"/>
        <v>0</v>
      </c>
      <c r="EB31" s="938">
        <f t="shared" si="80"/>
        <v>0</v>
      </c>
      <c r="EC31" s="938">
        <f t="shared" si="81"/>
        <v>0</v>
      </c>
      <c r="ED31" s="938">
        <f t="shared" si="82"/>
        <v>0</v>
      </c>
      <c r="EE31" s="938">
        <f t="shared" si="83"/>
        <v>0</v>
      </c>
      <c r="EF31" s="938" t="str">
        <f t="shared" si="84"/>
        <v/>
      </c>
      <c r="EG31" s="713">
        <f>'min. Düngung 22'!AU32</f>
        <v>0</v>
      </c>
      <c r="EH31" s="938"/>
      <c r="EI31" s="938"/>
      <c r="EJ31" s="938">
        <f t="shared" si="85"/>
        <v>0</v>
      </c>
      <c r="EK31" s="938">
        <f t="shared" si="86"/>
        <v>0</v>
      </c>
      <c r="EL31" s="938">
        <f t="shared" si="87"/>
        <v>0</v>
      </c>
      <c r="EM31" s="938">
        <f t="shared" si="88"/>
        <v>0</v>
      </c>
      <c r="EN31" s="938">
        <f t="shared" si="89"/>
        <v>0</v>
      </c>
      <c r="EO31" s="938" t="str">
        <f t="shared" si="90"/>
        <v/>
      </c>
      <c r="EP31" s="713">
        <f>'min. Düngung 22'!AX32</f>
        <v>0</v>
      </c>
      <c r="EQ31" s="938"/>
      <c r="ER31" s="938"/>
      <c r="ES31" s="938">
        <f t="shared" si="91"/>
        <v>0</v>
      </c>
      <c r="ET31" s="938">
        <f t="shared" si="92"/>
        <v>0</v>
      </c>
      <c r="EU31" s="938">
        <f t="shared" si="93"/>
        <v>0</v>
      </c>
      <c r="EV31" s="938">
        <f t="shared" si="94"/>
        <v>0</v>
      </c>
      <c r="EW31" s="938">
        <f t="shared" si="95"/>
        <v>0</v>
      </c>
      <c r="EX31" s="938" t="str">
        <f t="shared" si="96"/>
        <v/>
      </c>
      <c r="EY31" s="713">
        <f>'min. Düngung 22'!BA32</f>
        <v>0</v>
      </c>
      <c r="EZ31" s="938"/>
      <c r="FA31" s="938"/>
      <c r="FB31" s="938">
        <f t="shared" si="97"/>
        <v>0</v>
      </c>
      <c r="FC31" s="938">
        <f t="shared" si="98"/>
        <v>0</v>
      </c>
      <c r="FD31" s="938">
        <f t="shared" si="99"/>
        <v>0</v>
      </c>
      <c r="FE31" s="938">
        <f t="shared" si="100"/>
        <v>0</v>
      </c>
      <c r="FF31" s="938">
        <f t="shared" si="101"/>
        <v>0</v>
      </c>
      <c r="FG31" s="938" t="str">
        <f t="shared" si="102"/>
        <v/>
      </c>
      <c r="FH31" s="713">
        <f>'min. Düngung 22'!BD32</f>
        <v>0</v>
      </c>
      <c r="FI31" s="938"/>
      <c r="FJ31" s="938"/>
      <c r="FK31" s="938">
        <f t="shared" si="103"/>
        <v>0</v>
      </c>
      <c r="FL31" s="938">
        <f t="shared" si="104"/>
        <v>0</v>
      </c>
      <c r="FM31" s="938">
        <f t="shared" si="105"/>
        <v>0</v>
      </c>
      <c r="FN31" s="938">
        <f t="shared" si="106"/>
        <v>0</v>
      </c>
      <c r="FO31" s="938">
        <f t="shared" si="107"/>
        <v>0</v>
      </c>
      <c r="FP31" s="938" t="str">
        <f t="shared" si="108"/>
        <v/>
      </c>
      <c r="FQ31" s="713">
        <f>'min. Düngung 22'!BG32</f>
        <v>0</v>
      </c>
      <c r="FR31" s="938"/>
      <c r="FS31" s="938"/>
      <c r="FT31" s="938">
        <f t="shared" si="109"/>
        <v>0</v>
      </c>
      <c r="FU31" s="938">
        <f t="shared" si="110"/>
        <v>0</v>
      </c>
      <c r="FV31" s="938">
        <f t="shared" si="111"/>
        <v>0</v>
      </c>
      <c r="FW31" s="938">
        <f t="shared" si="112"/>
        <v>0</v>
      </c>
      <c r="FX31" s="938">
        <f t="shared" si="113"/>
        <v>0</v>
      </c>
      <c r="FY31" s="938" t="str">
        <f t="shared" si="114"/>
        <v/>
      </c>
      <c r="FZ31" s="713">
        <f>'min. Düngung 22'!BJ32</f>
        <v>0</v>
      </c>
      <c r="GA31" s="938"/>
      <c r="GB31" s="938"/>
      <c r="GC31" s="938">
        <f t="shared" si="115"/>
        <v>0</v>
      </c>
      <c r="GD31" s="938">
        <f t="shared" si="116"/>
        <v>0</v>
      </c>
      <c r="GE31" s="938">
        <f t="shared" si="117"/>
        <v>0</v>
      </c>
      <c r="GF31" s="938">
        <f t="shared" si="118"/>
        <v>0</v>
      </c>
      <c r="GG31" s="938">
        <f t="shared" si="119"/>
        <v>0</v>
      </c>
      <c r="GH31" s="938" t="str">
        <f t="shared" si="120"/>
        <v/>
      </c>
      <c r="GI31" s="713">
        <f>'min. Düngung 22'!BM32</f>
        <v>0</v>
      </c>
      <c r="GJ31" s="938"/>
      <c r="GK31" s="938"/>
      <c r="GL31" s="938">
        <f t="shared" si="121"/>
        <v>0</v>
      </c>
      <c r="GM31" s="938">
        <f t="shared" si="122"/>
        <v>0</v>
      </c>
      <c r="GN31" s="938">
        <f t="shared" si="123"/>
        <v>0</v>
      </c>
      <c r="GO31" s="938">
        <f t="shared" si="124"/>
        <v>0</v>
      </c>
      <c r="GP31" s="938">
        <f t="shared" si="125"/>
        <v>0</v>
      </c>
      <c r="GQ31" s="938" t="str">
        <f t="shared" si="126"/>
        <v/>
      </c>
      <c r="GR31" s="713">
        <f>'min. Düngung 22'!BP32</f>
        <v>0</v>
      </c>
      <c r="GS31" s="938"/>
      <c r="GT31" s="938"/>
      <c r="GU31" s="938">
        <f t="shared" si="127"/>
        <v>0</v>
      </c>
      <c r="GV31" s="938">
        <f t="shared" si="128"/>
        <v>0</v>
      </c>
      <c r="GW31" s="938">
        <f t="shared" si="129"/>
        <v>0</v>
      </c>
      <c r="GX31" s="938">
        <f t="shared" si="130"/>
        <v>0</v>
      </c>
      <c r="GY31" s="938">
        <f t="shared" si="131"/>
        <v>0</v>
      </c>
      <c r="GZ31" s="938" t="str">
        <f t="shared" si="132"/>
        <v/>
      </c>
      <c r="HA31" s="713">
        <f>'min. Düngung 22'!BS32</f>
        <v>0</v>
      </c>
      <c r="HB31" s="938"/>
      <c r="HC31" s="938"/>
      <c r="HD31" s="938">
        <f t="shared" si="133"/>
        <v>0</v>
      </c>
      <c r="HE31" s="938">
        <f t="shared" si="134"/>
        <v>0</v>
      </c>
      <c r="HF31" s="938">
        <f t="shared" si="135"/>
        <v>0</v>
      </c>
      <c r="HG31" s="938">
        <f t="shared" si="136"/>
        <v>0</v>
      </c>
      <c r="HH31" s="938">
        <f t="shared" si="137"/>
        <v>0</v>
      </c>
      <c r="HI31" s="938" t="str">
        <f t="shared" si="138"/>
        <v/>
      </c>
      <c r="HJ31" s="713">
        <f>'min. Düngung 22'!BV32</f>
        <v>0</v>
      </c>
      <c r="HK31" s="938"/>
      <c r="HL31" s="938"/>
      <c r="HM31" s="938">
        <f t="shared" si="139"/>
        <v>0</v>
      </c>
      <c r="HN31" s="938">
        <f t="shared" si="140"/>
        <v>0</v>
      </c>
      <c r="HO31" s="938">
        <f t="shared" si="141"/>
        <v>0</v>
      </c>
      <c r="HP31" s="938">
        <f t="shared" si="142"/>
        <v>0</v>
      </c>
      <c r="HQ31" s="938">
        <f t="shared" si="143"/>
        <v>0</v>
      </c>
      <c r="HR31" s="938" t="str">
        <f t="shared" si="144"/>
        <v/>
      </c>
      <c r="HS31" s="713">
        <f>'min. Düngung 22'!BY32</f>
        <v>0</v>
      </c>
      <c r="HT31" s="938"/>
      <c r="HU31" s="938"/>
      <c r="HV31" s="938">
        <f t="shared" si="145"/>
        <v>0</v>
      </c>
      <c r="HW31" s="938">
        <f t="shared" si="146"/>
        <v>0</v>
      </c>
      <c r="HX31" s="938">
        <f t="shared" si="147"/>
        <v>0</v>
      </c>
      <c r="HY31" s="938">
        <f t="shared" si="148"/>
        <v>0</v>
      </c>
      <c r="HZ31" s="938">
        <f t="shared" si="149"/>
        <v>0</v>
      </c>
      <c r="IA31" s="938" t="str">
        <f t="shared" si="150"/>
        <v/>
      </c>
      <c r="IB31" s="713">
        <f>'min. Düngung 22'!CB32</f>
        <v>0</v>
      </c>
      <c r="IC31" s="938"/>
      <c r="ID31" s="938"/>
      <c r="IE31" s="938">
        <f t="shared" si="151"/>
        <v>0</v>
      </c>
      <c r="IF31" s="938">
        <f t="shared" si="152"/>
        <v>0</v>
      </c>
      <c r="IG31" s="938">
        <f t="shared" si="153"/>
        <v>0</v>
      </c>
      <c r="IH31" s="938">
        <f t="shared" si="154"/>
        <v>0</v>
      </c>
      <c r="II31" s="938">
        <f t="shared" si="155"/>
        <v>0</v>
      </c>
      <c r="IJ31" s="938" t="str">
        <f t="shared" si="156"/>
        <v/>
      </c>
      <c r="IK31" s="713">
        <f>'min. Düngung 22'!CE32</f>
        <v>0</v>
      </c>
      <c r="IL31" s="938"/>
      <c r="IM31" s="938"/>
      <c r="IN31" s="938">
        <f t="shared" si="157"/>
        <v>0</v>
      </c>
      <c r="IO31" s="938">
        <f t="shared" si="158"/>
        <v>0</v>
      </c>
      <c r="IP31" s="938">
        <f t="shared" si="159"/>
        <v>0</v>
      </c>
      <c r="IQ31" s="938">
        <f t="shared" si="160"/>
        <v>0</v>
      </c>
      <c r="IR31" s="938">
        <f t="shared" si="161"/>
        <v>0</v>
      </c>
      <c r="IS31" s="938" t="str">
        <f t="shared" si="162"/>
        <v/>
      </c>
      <c r="IT31" s="713">
        <f>'min. Düngung 22'!CH32</f>
        <v>0</v>
      </c>
      <c r="IU31" s="938"/>
      <c r="IV31" s="938"/>
      <c r="IW31" s="938">
        <f t="shared" si="163"/>
        <v>0</v>
      </c>
      <c r="IX31" s="938">
        <f t="shared" si="164"/>
        <v>0</v>
      </c>
      <c r="IY31" s="938">
        <f t="shared" si="165"/>
        <v>0</v>
      </c>
      <c r="IZ31" s="938">
        <f t="shared" si="166"/>
        <v>0</v>
      </c>
      <c r="JA31" s="938">
        <f t="shared" si="167"/>
        <v>0</v>
      </c>
      <c r="JB31" s="938" t="str">
        <f t="shared" si="168"/>
        <v/>
      </c>
      <c r="JC31" s="713">
        <f>'min. Düngung 22'!CK32</f>
        <v>0</v>
      </c>
      <c r="JD31" s="938"/>
      <c r="JE31" s="938"/>
      <c r="JF31" s="938">
        <f t="shared" si="169"/>
        <v>0</v>
      </c>
      <c r="JG31" s="938">
        <f t="shared" si="170"/>
        <v>0</v>
      </c>
      <c r="JH31" s="938">
        <f t="shared" si="171"/>
        <v>0</v>
      </c>
      <c r="JI31" s="938">
        <f t="shared" si="172"/>
        <v>0</v>
      </c>
      <c r="JJ31" s="938">
        <f t="shared" si="173"/>
        <v>0</v>
      </c>
      <c r="JK31" s="938" t="str">
        <f t="shared" si="174"/>
        <v/>
      </c>
      <c r="JL31" s="713">
        <f>'min. Düngung 22'!CN32</f>
        <v>0</v>
      </c>
      <c r="JM31" s="938"/>
      <c r="JN31" s="938"/>
      <c r="JO31" s="938">
        <f t="shared" si="175"/>
        <v>0</v>
      </c>
      <c r="JP31" s="938">
        <f t="shared" si="176"/>
        <v>0</v>
      </c>
      <c r="JQ31" s="938">
        <f t="shared" si="177"/>
        <v>0</v>
      </c>
      <c r="JR31" s="938">
        <f t="shared" si="178"/>
        <v>0</v>
      </c>
      <c r="JS31" s="938">
        <f t="shared" si="179"/>
        <v>0</v>
      </c>
      <c r="JT31" s="938" t="str">
        <f t="shared" si="180"/>
        <v/>
      </c>
      <c r="JU31" s="713">
        <f>'min. Düngung 22'!CQ32</f>
        <v>0</v>
      </c>
      <c r="JV31" s="938"/>
      <c r="JW31" s="938"/>
      <c r="JX31" s="938">
        <f t="shared" si="181"/>
        <v>0</v>
      </c>
      <c r="JY31" s="938">
        <f t="shared" si="182"/>
        <v>0</v>
      </c>
      <c r="JZ31" s="938">
        <f t="shared" si="183"/>
        <v>0</v>
      </c>
      <c r="KA31" s="938">
        <f t="shared" si="184"/>
        <v>0</v>
      </c>
      <c r="KB31" s="938">
        <f t="shared" si="185"/>
        <v>0</v>
      </c>
      <c r="KC31" s="938" t="str">
        <f t="shared" si="186"/>
        <v/>
      </c>
      <c r="KE31" s="938"/>
      <c r="KF31" s="938" t="str">
        <f>IF(AND($F31=2,$G31=1),"",IF(OR($Q31&gt;0,$O31&gt;60),$KF$7,IF(I31=70,"",IF(AND(I31=80,R31+'#orgDung'!AC34&lt;60,K31=1,OR(C31=2,'#BerechnungDBE'!AH25=4)),"",IF(R31&gt;0,$KF$7,"")))))</f>
        <v/>
      </c>
      <c r="KG31" s="938" t="str">
        <f>IF(AND(P31&gt;'#BerechnungDBE'!BJ25,P31&gt;0),'#minDung'!$KG$7,"")</f>
        <v/>
      </c>
      <c r="KH31" s="938" t="str">
        <f>IF(AND(I31=70,R31&gt;'#BerechnungDBE'!CR25),'#minDung'!$KH$7,"")</f>
        <v/>
      </c>
      <c r="KI31" s="938" t="str">
        <f>IF('#BerechnungDBE'!P25&lt;4,"",IF(AND('#BerechnungDBE'!BZ25&gt;0,N31&gt;0),$KI$7,""))</f>
        <v/>
      </c>
      <c r="KJ31" s="938" t="str">
        <f t="shared" si="5"/>
        <v/>
      </c>
    </row>
    <row r="32" spans="1:296" s="875" customFormat="1" hidden="1" x14ac:dyDescent="0.2">
      <c r="A32" s="875">
        <f>'Flächen u. Kulturen'!A31</f>
        <v>22</v>
      </c>
      <c r="B32" s="734">
        <f>'#BerechnungDBE'!L26</f>
        <v>0</v>
      </c>
      <c r="C32" s="46">
        <f>'#orgDung'!C35</f>
        <v>1</v>
      </c>
      <c r="D32" s="875">
        <f>'#BerechnungDBE'!T26</f>
        <v>2</v>
      </c>
      <c r="E32" s="875" t="str">
        <f>'Flächen u. Kulturen'!E31</f>
        <v>x</v>
      </c>
      <c r="F32" s="52">
        <f>'#BerechnungDBE'!N26</f>
        <v>1</v>
      </c>
      <c r="G32" s="52">
        <f>'#BerechnungDBE'!O26</f>
        <v>1</v>
      </c>
      <c r="H32" s="505">
        <f>'#orgDung'!J35</f>
        <v>2</v>
      </c>
      <c r="I32" s="875">
        <f>'#BerechnungDBE'!AF26</f>
        <v>0</v>
      </c>
      <c r="J32" s="875">
        <f>'#orgDung'!M35</f>
        <v>0</v>
      </c>
      <c r="K32" s="875">
        <f>'#BerechnungDBE'!AG26</f>
        <v>0</v>
      </c>
      <c r="M32" s="875">
        <f t="shared" si="0"/>
        <v>0</v>
      </c>
      <c r="N32" s="875">
        <f t="shared" si="1"/>
        <v>0</v>
      </c>
      <c r="O32" s="875">
        <f t="shared" si="2"/>
        <v>0</v>
      </c>
      <c r="P32" s="875">
        <f t="shared" si="4"/>
        <v>0</v>
      </c>
      <c r="Q32" s="938">
        <f t="shared" si="6"/>
        <v>0</v>
      </c>
      <c r="R32" s="875">
        <f t="shared" si="3"/>
        <v>0</v>
      </c>
      <c r="T32" s="713">
        <f>'min. Düngung 22'!H33</f>
        <v>0</v>
      </c>
      <c r="W32" s="875">
        <f t="shared" si="7"/>
        <v>0</v>
      </c>
      <c r="X32" s="875">
        <f t="shared" si="8"/>
        <v>0</v>
      </c>
      <c r="Y32" s="875">
        <f t="shared" si="9"/>
        <v>0</v>
      </c>
      <c r="Z32" s="875">
        <f t="shared" si="10"/>
        <v>0</v>
      </c>
      <c r="AA32" s="875">
        <f t="shared" si="11"/>
        <v>0</v>
      </c>
      <c r="AB32" s="875" t="str">
        <f t="shared" si="12"/>
        <v/>
      </c>
      <c r="AC32" s="713">
        <f>'min. Düngung 22'!K33</f>
        <v>0</v>
      </c>
      <c r="AD32" s="938"/>
      <c r="AE32" s="938"/>
      <c r="AF32" s="938">
        <f t="shared" si="13"/>
        <v>0</v>
      </c>
      <c r="AG32" s="938">
        <f t="shared" si="14"/>
        <v>0</v>
      </c>
      <c r="AH32" s="938">
        <f t="shared" si="15"/>
        <v>0</v>
      </c>
      <c r="AI32" s="938">
        <f t="shared" si="16"/>
        <v>0</v>
      </c>
      <c r="AJ32" s="938">
        <f t="shared" si="17"/>
        <v>0</v>
      </c>
      <c r="AK32" s="938">
        <f t="shared" si="18"/>
        <v>0</v>
      </c>
      <c r="AL32" s="713">
        <f>'min. Düngung 22'!N33</f>
        <v>0</v>
      </c>
      <c r="AM32" s="938"/>
      <c r="AN32" s="938"/>
      <c r="AO32" s="938">
        <f t="shared" si="19"/>
        <v>0</v>
      </c>
      <c r="AP32" s="938">
        <f t="shared" si="20"/>
        <v>0</v>
      </c>
      <c r="AQ32" s="938">
        <f t="shared" si="21"/>
        <v>0</v>
      </c>
      <c r="AR32" s="938">
        <f t="shared" si="22"/>
        <v>0</v>
      </c>
      <c r="AS32" s="938">
        <f t="shared" si="23"/>
        <v>0</v>
      </c>
      <c r="AT32" s="938" t="str">
        <f t="shared" si="24"/>
        <v/>
      </c>
      <c r="AU32" s="713">
        <f>'min. Düngung 22'!Q33</f>
        <v>0</v>
      </c>
      <c r="AV32" s="938"/>
      <c r="AW32" s="938"/>
      <c r="AX32" s="938">
        <f t="shared" si="25"/>
        <v>0</v>
      </c>
      <c r="AY32" s="938">
        <f t="shared" si="26"/>
        <v>0</v>
      </c>
      <c r="AZ32" s="938">
        <f t="shared" si="27"/>
        <v>0</v>
      </c>
      <c r="BA32" s="938">
        <f t="shared" si="28"/>
        <v>0</v>
      </c>
      <c r="BB32" s="938">
        <f t="shared" si="29"/>
        <v>0</v>
      </c>
      <c r="BC32" s="938" t="str">
        <f t="shared" si="30"/>
        <v/>
      </c>
      <c r="BD32" s="713">
        <f>'min. Düngung 22'!T33</f>
        <v>0</v>
      </c>
      <c r="BE32" s="938"/>
      <c r="BF32" s="938"/>
      <c r="BG32" s="938">
        <f t="shared" si="31"/>
        <v>0</v>
      </c>
      <c r="BH32" s="938">
        <f t="shared" si="32"/>
        <v>0</v>
      </c>
      <c r="BI32" s="938">
        <f t="shared" si="33"/>
        <v>0</v>
      </c>
      <c r="BJ32" s="938">
        <f t="shared" si="34"/>
        <v>0</v>
      </c>
      <c r="BK32" s="938">
        <f t="shared" si="35"/>
        <v>0</v>
      </c>
      <c r="BL32" s="938" t="str">
        <f t="shared" si="36"/>
        <v/>
      </c>
      <c r="BM32" s="713">
        <f>'min. Düngung 22'!W33</f>
        <v>0</v>
      </c>
      <c r="BN32" s="938"/>
      <c r="BO32" s="938"/>
      <c r="BP32" s="938">
        <f t="shared" si="37"/>
        <v>0</v>
      </c>
      <c r="BQ32" s="938">
        <f t="shared" si="38"/>
        <v>0</v>
      </c>
      <c r="BR32" s="938">
        <f t="shared" si="39"/>
        <v>0</v>
      </c>
      <c r="BS32" s="938">
        <f t="shared" si="40"/>
        <v>0</v>
      </c>
      <c r="BT32" s="938">
        <f t="shared" si="41"/>
        <v>0</v>
      </c>
      <c r="BU32" s="938" t="str">
        <f t="shared" si="42"/>
        <v/>
      </c>
      <c r="BV32" s="713">
        <f>'min. Düngung 22'!Z33</f>
        <v>0</v>
      </c>
      <c r="BW32" s="938"/>
      <c r="BX32" s="938"/>
      <c r="BY32" s="938">
        <f t="shared" si="43"/>
        <v>0</v>
      </c>
      <c r="BZ32" s="938">
        <f t="shared" si="44"/>
        <v>0</v>
      </c>
      <c r="CA32" s="938">
        <f t="shared" si="45"/>
        <v>0</v>
      </c>
      <c r="CB32" s="938">
        <f t="shared" si="46"/>
        <v>0</v>
      </c>
      <c r="CC32" s="938">
        <f t="shared" si="47"/>
        <v>0</v>
      </c>
      <c r="CD32" s="938" t="str">
        <f t="shared" si="48"/>
        <v/>
      </c>
      <c r="CE32" s="713">
        <f>'min. Düngung 22'!AC33</f>
        <v>0</v>
      </c>
      <c r="CF32" s="938"/>
      <c r="CG32" s="938"/>
      <c r="CH32" s="938">
        <f t="shared" si="49"/>
        <v>0</v>
      </c>
      <c r="CI32" s="938">
        <f t="shared" si="50"/>
        <v>0</v>
      </c>
      <c r="CJ32" s="938">
        <f t="shared" si="51"/>
        <v>0</v>
      </c>
      <c r="CK32" s="938">
        <f t="shared" si="52"/>
        <v>0</v>
      </c>
      <c r="CL32" s="938">
        <f t="shared" si="53"/>
        <v>0</v>
      </c>
      <c r="CM32" s="938" t="str">
        <f t="shared" si="54"/>
        <v/>
      </c>
      <c r="CN32" s="713">
        <f>'min. Düngung 22'!AF33</f>
        <v>0</v>
      </c>
      <c r="CO32" s="938"/>
      <c r="CP32" s="938"/>
      <c r="CQ32" s="938">
        <f t="shared" si="55"/>
        <v>0</v>
      </c>
      <c r="CR32" s="938">
        <f t="shared" si="56"/>
        <v>0</v>
      </c>
      <c r="CS32" s="938">
        <f t="shared" si="57"/>
        <v>0</v>
      </c>
      <c r="CT32" s="938">
        <f t="shared" si="58"/>
        <v>0</v>
      </c>
      <c r="CU32" s="938">
        <f t="shared" si="59"/>
        <v>0</v>
      </c>
      <c r="CV32" s="938" t="str">
        <f t="shared" si="60"/>
        <v/>
      </c>
      <c r="CW32" s="713">
        <f>'min. Düngung 22'!AI33</f>
        <v>0</v>
      </c>
      <c r="CX32" s="938"/>
      <c r="CY32" s="938"/>
      <c r="CZ32" s="938">
        <f t="shared" si="61"/>
        <v>0</v>
      </c>
      <c r="DA32" s="938">
        <f t="shared" si="62"/>
        <v>0</v>
      </c>
      <c r="DB32" s="938">
        <f t="shared" si="63"/>
        <v>0</v>
      </c>
      <c r="DC32" s="938">
        <f t="shared" si="64"/>
        <v>0</v>
      </c>
      <c r="DD32" s="938">
        <f t="shared" si="65"/>
        <v>0</v>
      </c>
      <c r="DE32" s="938" t="str">
        <f t="shared" si="66"/>
        <v/>
      </c>
      <c r="DF32" s="713">
        <f>'min. Düngung 22'!AL33</f>
        <v>0</v>
      </c>
      <c r="DG32" s="938"/>
      <c r="DH32" s="938"/>
      <c r="DI32" s="938">
        <f t="shared" si="67"/>
        <v>0</v>
      </c>
      <c r="DJ32" s="938">
        <f t="shared" si="68"/>
        <v>0</v>
      </c>
      <c r="DK32" s="938">
        <f t="shared" si="69"/>
        <v>0</v>
      </c>
      <c r="DL32" s="938">
        <f t="shared" si="70"/>
        <v>0</v>
      </c>
      <c r="DM32" s="938">
        <f t="shared" si="71"/>
        <v>0</v>
      </c>
      <c r="DN32" s="938" t="str">
        <f t="shared" si="72"/>
        <v/>
      </c>
      <c r="DO32" s="713">
        <f>'min. Düngung 22'!AO33</f>
        <v>0</v>
      </c>
      <c r="DP32" s="938"/>
      <c r="DQ32" s="938"/>
      <c r="DR32" s="938">
        <f t="shared" si="73"/>
        <v>0</v>
      </c>
      <c r="DS32" s="938">
        <f t="shared" si="74"/>
        <v>0</v>
      </c>
      <c r="DT32" s="938">
        <f t="shared" si="75"/>
        <v>0</v>
      </c>
      <c r="DU32" s="938">
        <f t="shared" si="76"/>
        <v>0</v>
      </c>
      <c r="DV32" s="938">
        <f t="shared" si="77"/>
        <v>0</v>
      </c>
      <c r="DW32" s="938" t="str">
        <f t="shared" si="78"/>
        <v/>
      </c>
      <c r="DX32" s="713">
        <f>'min. Düngung 22'!AR33</f>
        <v>0</v>
      </c>
      <c r="DY32" s="938"/>
      <c r="DZ32" s="938"/>
      <c r="EA32" s="938">
        <f t="shared" si="79"/>
        <v>0</v>
      </c>
      <c r="EB32" s="938">
        <f t="shared" si="80"/>
        <v>0</v>
      </c>
      <c r="EC32" s="938">
        <f t="shared" si="81"/>
        <v>0</v>
      </c>
      <c r="ED32" s="938">
        <f t="shared" si="82"/>
        <v>0</v>
      </c>
      <c r="EE32" s="938">
        <f t="shared" si="83"/>
        <v>0</v>
      </c>
      <c r="EF32" s="938" t="str">
        <f t="shared" si="84"/>
        <v/>
      </c>
      <c r="EG32" s="713">
        <f>'min. Düngung 22'!AU33</f>
        <v>0</v>
      </c>
      <c r="EH32" s="938"/>
      <c r="EI32" s="938"/>
      <c r="EJ32" s="938">
        <f t="shared" si="85"/>
        <v>0</v>
      </c>
      <c r="EK32" s="938">
        <f t="shared" si="86"/>
        <v>0</v>
      </c>
      <c r="EL32" s="938">
        <f t="shared" si="87"/>
        <v>0</v>
      </c>
      <c r="EM32" s="938">
        <f t="shared" si="88"/>
        <v>0</v>
      </c>
      <c r="EN32" s="938">
        <f t="shared" si="89"/>
        <v>0</v>
      </c>
      <c r="EO32" s="938" t="str">
        <f t="shared" si="90"/>
        <v/>
      </c>
      <c r="EP32" s="713">
        <f>'min. Düngung 22'!AX33</f>
        <v>0</v>
      </c>
      <c r="EQ32" s="938"/>
      <c r="ER32" s="938"/>
      <c r="ES32" s="938">
        <f t="shared" si="91"/>
        <v>0</v>
      </c>
      <c r="ET32" s="938">
        <f t="shared" si="92"/>
        <v>0</v>
      </c>
      <c r="EU32" s="938">
        <f t="shared" si="93"/>
        <v>0</v>
      </c>
      <c r="EV32" s="938">
        <f t="shared" si="94"/>
        <v>0</v>
      </c>
      <c r="EW32" s="938">
        <f t="shared" si="95"/>
        <v>0</v>
      </c>
      <c r="EX32" s="938" t="str">
        <f t="shared" si="96"/>
        <v/>
      </c>
      <c r="EY32" s="713">
        <f>'min. Düngung 22'!BA33</f>
        <v>0</v>
      </c>
      <c r="EZ32" s="938"/>
      <c r="FA32" s="938"/>
      <c r="FB32" s="938">
        <f t="shared" si="97"/>
        <v>0</v>
      </c>
      <c r="FC32" s="938">
        <f t="shared" si="98"/>
        <v>0</v>
      </c>
      <c r="FD32" s="938">
        <f t="shared" si="99"/>
        <v>0</v>
      </c>
      <c r="FE32" s="938">
        <f t="shared" si="100"/>
        <v>0</v>
      </c>
      <c r="FF32" s="938">
        <f t="shared" si="101"/>
        <v>0</v>
      </c>
      <c r="FG32" s="938" t="str">
        <f t="shared" si="102"/>
        <v/>
      </c>
      <c r="FH32" s="713">
        <f>'min. Düngung 22'!BD33</f>
        <v>0</v>
      </c>
      <c r="FI32" s="938"/>
      <c r="FJ32" s="938"/>
      <c r="FK32" s="938">
        <f t="shared" si="103"/>
        <v>0</v>
      </c>
      <c r="FL32" s="938">
        <f t="shared" si="104"/>
        <v>0</v>
      </c>
      <c r="FM32" s="938">
        <f t="shared" si="105"/>
        <v>0</v>
      </c>
      <c r="FN32" s="938">
        <f t="shared" si="106"/>
        <v>0</v>
      </c>
      <c r="FO32" s="938">
        <f t="shared" si="107"/>
        <v>0</v>
      </c>
      <c r="FP32" s="938" t="str">
        <f t="shared" si="108"/>
        <v/>
      </c>
      <c r="FQ32" s="713">
        <f>'min. Düngung 22'!BG33</f>
        <v>0</v>
      </c>
      <c r="FR32" s="938"/>
      <c r="FS32" s="938"/>
      <c r="FT32" s="938">
        <f t="shared" si="109"/>
        <v>0</v>
      </c>
      <c r="FU32" s="938">
        <f t="shared" si="110"/>
        <v>0</v>
      </c>
      <c r="FV32" s="938">
        <f t="shared" si="111"/>
        <v>0</v>
      </c>
      <c r="FW32" s="938">
        <f t="shared" si="112"/>
        <v>0</v>
      </c>
      <c r="FX32" s="938">
        <f t="shared" si="113"/>
        <v>0</v>
      </c>
      <c r="FY32" s="938" t="str">
        <f t="shared" si="114"/>
        <v/>
      </c>
      <c r="FZ32" s="713">
        <f>'min. Düngung 22'!BJ33</f>
        <v>0</v>
      </c>
      <c r="GA32" s="938"/>
      <c r="GB32" s="938"/>
      <c r="GC32" s="938">
        <f t="shared" si="115"/>
        <v>0</v>
      </c>
      <c r="GD32" s="938">
        <f t="shared" si="116"/>
        <v>0</v>
      </c>
      <c r="GE32" s="938">
        <f t="shared" si="117"/>
        <v>0</v>
      </c>
      <c r="GF32" s="938">
        <f t="shared" si="118"/>
        <v>0</v>
      </c>
      <c r="GG32" s="938">
        <f t="shared" si="119"/>
        <v>0</v>
      </c>
      <c r="GH32" s="938" t="str">
        <f t="shared" si="120"/>
        <v/>
      </c>
      <c r="GI32" s="713">
        <f>'min. Düngung 22'!BM33</f>
        <v>0</v>
      </c>
      <c r="GJ32" s="938"/>
      <c r="GK32" s="938"/>
      <c r="GL32" s="938">
        <f t="shared" si="121"/>
        <v>0</v>
      </c>
      <c r="GM32" s="938">
        <f t="shared" si="122"/>
        <v>0</v>
      </c>
      <c r="GN32" s="938">
        <f t="shared" si="123"/>
        <v>0</v>
      </c>
      <c r="GO32" s="938">
        <f t="shared" si="124"/>
        <v>0</v>
      </c>
      <c r="GP32" s="938">
        <f t="shared" si="125"/>
        <v>0</v>
      </c>
      <c r="GQ32" s="938" t="str">
        <f t="shared" si="126"/>
        <v/>
      </c>
      <c r="GR32" s="713">
        <f>'min. Düngung 22'!BP33</f>
        <v>0</v>
      </c>
      <c r="GS32" s="938"/>
      <c r="GT32" s="938"/>
      <c r="GU32" s="938">
        <f t="shared" si="127"/>
        <v>0</v>
      </c>
      <c r="GV32" s="938">
        <f t="shared" si="128"/>
        <v>0</v>
      </c>
      <c r="GW32" s="938">
        <f t="shared" si="129"/>
        <v>0</v>
      </c>
      <c r="GX32" s="938">
        <f t="shared" si="130"/>
        <v>0</v>
      </c>
      <c r="GY32" s="938">
        <f t="shared" si="131"/>
        <v>0</v>
      </c>
      <c r="GZ32" s="938" t="str">
        <f t="shared" si="132"/>
        <v/>
      </c>
      <c r="HA32" s="713">
        <f>'min. Düngung 22'!BS33</f>
        <v>0</v>
      </c>
      <c r="HB32" s="938"/>
      <c r="HC32" s="938"/>
      <c r="HD32" s="938">
        <f t="shared" si="133"/>
        <v>0</v>
      </c>
      <c r="HE32" s="938">
        <f t="shared" si="134"/>
        <v>0</v>
      </c>
      <c r="HF32" s="938">
        <f t="shared" si="135"/>
        <v>0</v>
      </c>
      <c r="HG32" s="938">
        <f t="shared" si="136"/>
        <v>0</v>
      </c>
      <c r="HH32" s="938">
        <f t="shared" si="137"/>
        <v>0</v>
      </c>
      <c r="HI32" s="938" t="str">
        <f t="shared" si="138"/>
        <v/>
      </c>
      <c r="HJ32" s="713">
        <f>'min. Düngung 22'!BV33</f>
        <v>0</v>
      </c>
      <c r="HK32" s="938"/>
      <c r="HL32" s="938"/>
      <c r="HM32" s="938">
        <f t="shared" si="139"/>
        <v>0</v>
      </c>
      <c r="HN32" s="938">
        <f t="shared" si="140"/>
        <v>0</v>
      </c>
      <c r="HO32" s="938">
        <f t="shared" si="141"/>
        <v>0</v>
      </c>
      <c r="HP32" s="938">
        <f t="shared" si="142"/>
        <v>0</v>
      </c>
      <c r="HQ32" s="938">
        <f t="shared" si="143"/>
        <v>0</v>
      </c>
      <c r="HR32" s="938" t="str">
        <f t="shared" si="144"/>
        <v/>
      </c>
      <c r="HS32" s="713">
        <f>'min. Düngung 22'!BY33</f>
        <v>0</v>
      </c>
      <c r="HT32" s="938"/>
      <c r="HU32" s="938"/>
      <c r="HV32" s="938">
        <f t="shared" si="145"/>
        <v>0</v>
      </c>
      <c r="HW32" s="938">
        <f t="shared" si="146"/>
        <v>0</v>
      </c>
      <c r="HX32" s="938">
        <f t="shared" si="147"/>
        <v>0</v>
      </c>
      <c r="HY32" s="938">
        <f t="shared" si="148"/>
        <v>0</v>
      </c>
      <c r="HZ32" s="938">
        <f t="shared" si="149"/>
        <v>0</v>
      </c>
      <c r="IA32" s="938" t="str">
        <f t="shared" si="150"/>
        <v/>
      </c>
      <c r="IB32" s="713">
        <f>'min. Düngung 22'!CB33</f>
        <v>0</v>
      </c>
      <c r="IC32" s="938"/>
      <c r="ID32" s="938"/>
      <c r="IE32" s="938">
        <f t="shared" si="151"/>
        <v>0</v>
      </c>
      <c r="IF32" s="938">
        <f t="shared" si="152"/>
        <v>0</v>
      </c>
      <c r="IG32" s="938">
        <f t="shared" si="153"/>
        <v>0</v>
      </c>
      <c r="IH32" s="938">
        <f t="shared" si="154"/>
        <v>0</v>
      </c>
      <c r="II32" s="938">
        <f t="shared" si="155"/>
        <v>0</v>
      </c>
      <c r="IJ32" s="938" t="str">
        <f t="shared" si="156"/>
        <v/>
      </c>
      <c r="IK32" s="713">
        <f>'min. Düngung 22'!CE33</f>
        <v>0</v>
      </c>
      <c r="IL32" s="938"/>
      <c r="IM32" s="938"/>
      <c r="IN32" s="938">
        <f t="shared" si="157"/>
        <v>0</v>
      </c>
      <c r="IO32" s="938">
        <f t="shared" si="158"/>
        <v>0</v>
      </c>
      <c r="IP32" s="938">
        <f t="shared" si="159"/>
        <v>0</v>
      </c>
      <c r="IQ32" s="938">
        <f t="shared" si="160"/>
        <v>0</v>
      </c>
      <c r="IR32" s="938">
        <f t="shared" si="161"/>
        <v>0</v>
      </c>
      <c r="IS32" s="938" t="str">
        <f t="shared" si="162"/>
        <v/>
      </c>
      <c r="IT32" s="713">
        <f>'min. Düngung 22'!CH33</f>
        <v>0</v>
      </c>
      <c r="IU32" s="938"/>
      <c r="IV32" s="938"/>
      <c r="IW32" s="938">
        <f t="shared" si="163"/>
        <v>0</v>
      </c>
      <c r="IX32" s="938">
        <f t="shared" si="164"/>
        <v>0</v>
      </c>
      <c r="IY32" s="938">
        <f t="shared" si="165"/>
        <v>0</v>
      </c>
      <c r="IZ32" s="938">
        <f t="shared" si="166"/>
        <v>0</v>
      </c>
      <c r="JA32" s="938">
        <f t="shared" si="167"/>
        <v>0</v>
      </c>
      <c r="JB32" s="938" t="str">
        <f t="shared" si="168"/>
        <v/>
      </c>
      <c r="JC32" s="713">
        <f>'min. Düngung 22'!CK33</f>
        <v>0</v>
      </c>
      <c r="JD32" s="938"/>
      <c r="JE32" s="938"/>
      <c r="JF32" s="938">
        <f t="shared" si="169"/>
        <v>0</v>
      </c>
      <c r="JG32" s="938">
        <f t="shared" si="170"/>
        <v>0</v>
      </c>
      <c r="JH32" s="938">
        <f t="shared" si="171"/>
        <v>0</v>
      </c>
      <c r="JI32" s="938">
        <f t="shared" si="172"/>
        <v>0</v>
      </c>
      <c r="JJ32" s="938">
        <f t="shared" si="173"/>
        <v>0</v>
      </c>
      <c r="JK32" s="938" t="str">
        <f t="shared" si="174"/>
        <v/>
      </c>
      <c r="JL32" s="713">
        <f>'min. Düngung 22'!CN33</f>
        <v>0</v>
      </c>
      <c r="JM32" s="938"/>
      <c r="JN32" s="938"/>
      <c r="JO32" s="938">
        <f t="shared" si="175"/>
        <v>0</v>
      </c>
      <c r="JP32" s="938">
        <f t="shared" si="176"/>
        <v>0</v>
      </c>
      <c r="JQ32" s="938">
        <f t="shared" si="177"/>
        <v>0</v>
      </c>
      <c r="JR32" s="938">
        <f t="shared" si="178"/>
        <v>0</v>
      </c>
      <c r="JS32" s="938">
        <f t="shared" si="179"/>
        <v>0</v>
      </c>
      <c r="JT32" s="938" t="str">
        <f t="shared" si="180"/>
        <v/>
      </c>
      <c r="JU32" s="713">
        <f>'min. Düngung 22'!CQ33</f>
        <v>0</v>
      </c>
      <c r="JV32" s="938"/>
      <c r="JW32" s="938"/>
      <c r="JX32" s="938">
        <f t="shared" si="181"/>
        <v>0</v>
      </c>
      <c r="JY32" s="938">
        <f t="shared" si="182"/>
        <v>0</v>
      </c>
      <c r="JZ32" s="938">
        <f t="shared" si="183"/>
        <v>0</v>
      </c>
      <c r="KA32" s="938">
        <f t="shared" si="184"/>
        <v>0</v>
      </c>
      <c r="KB32" s="938">
        <f t="shared" si="185"/>
        <v>0</v>
      </c>
      <c r="KC32" s="938" t="str">
        <f t="shared" si="186"/>
        <v/>
      </c>
      <c r="KE32" s="938"/>
      <c r="KF32" s="938" t="str">
        <f>IF(AND($F32=2,$G32=1),"",IF(OR($Q32&gt;0,$O32&gt;60),$KF$7,IF(I32=70,"",IF(AND(I32=80,R32+'#orgDung'!AC35&lt;60,K32=1,OR(C32=2,'#BerechnungDBE'!AH26=4)),"",IF(R32&gt;0,$KF$7,"")))))</f>
        <v/>
      </c>
      <c r="KG32" s="938" t="str">
        <f>IF(AND(P32&gt;'#BerechnungDBE'!BJ26,P32&gt;0),'#minDung'!$KG$7,"")</f>
        <v/>
      </c>
      <c r="KH32" s="938" t="str">
        <f>IF(AND(I32=70,R32&gt;'#BerechnungDBE'!CR26),'#minDung'!$KH$7,"")</f>
        <v/>
      </c>
      <c r="KI32" s="938" t="str">
        <f>IF('#BerechnungDBE'!P26&lt;4,"",IF(AND('#BerechnungDBE'!BZ26&gt;0,N32&gt;0),$KI$7,""))</f>
        <v/>
      </c>
      <c r="KJ32" s="938" t="str">
        <f t="shared" si="5"/>
        <v/>
      </c>
    </row>
    <row r="33" spans="1:296" s="875" customFormat="1" hidden="1" x14ac:dyDescent="0.2">
      <c r="A33" s="875">
        <f>'Flächen u. Kulturen'!A32</f>
        <v>23</v>
      </c>
      <c r="B33" s="734">
        <f>'#BerechnungDBE'!L27</f>
        <v>0</v>
      </c>
      <c r="C33" s="46">
        <f>'#orgDung'!C36</f>
        <v>1</v>
      </c>
      <c r="D33" s="875">
        <f>'#BerechnungDBE'!T27</f>
        <v>2</v>
      </c>
      <c r="E33" s="875" t="str">
        <f>'Flächen u. Kulturen'!E32</f>
        <v>x</v>
      </c>
      <c r="F33" s="52">
        <f>'#BerechnungDBE'!N27</f>
        <v>1</v>
      </c>
      <c r="G33" s="52">
        <f>'#BerechnungDBE'!O27</f>
        <v>1</v>
      </c>
      <c r="H33" s="505">
        <f>'#orgDung'!J36</f>
        <v>2</v>
      </c>
      <c r="I33" s="875">
        <f>'#BerechnungDBE'!AF27</f>
        <v>0</v>
      </c>
      <c r="J33" s="875">
        <f>'#orgDung'!M36</f>
        <v>0</v>
      </c>
      <c r="K33" s="875">
        <f>'#BerechnungDBE'!AG27</f>
        <v>0</v>
      </c>
      <c r="M33" s="875">
        <f t="shared" si="0"/>
        <v>0</v>
      </c>
      <c r="N33" s="875">
        <f t="shared" si="1"/>
        <v>0</v>
      </c>
      <c r="O33" s="875">
        <f t="shared" si="2"/>
        <v>0</v>
      </c>
      <c r="P33" s="875">
        <f t="shared" si="4"/>
        <v>0</v>
      </c>
      <c r="Q33" s="938">
        <f t="shared" si="6"/>
        <v>0</v>
      </c>
      <c r="R33" s="875">
        <f t="shared" si="3"/>
        <v>0</v>
      </c>
      <c r="T33" s="713">
        <f>'min. Düngung 22'!H34</f>
        <v>0</v>
      </c>
      <c r="W33" s="875">
        <f t="shared" si="7"/>
        <v>0</v>
      </c>
      <c r="X33" s="875">
        <f t="shared" si="8"/>
        <v>0</v>
      </c>
      <c r="Y33" s="875">
        <f t="shared" si="9"/>
        <v>0</v>
      </c>
      <c r="Z33" s="875">
        <f t="shared" si="10"/>
        <v>0</v>
      </c>
      <c r="AA33" s="875">
        <f t="shared" si="11"/>
        <v>0</v>
      </c>
      <c r="AB33" s="875" t="str">
        <f t="shared" si="12"/>
        <v/>
      </c>
      <c r="AC33" s="713">
        <f>'min. Düngung 22'!K34</f>
        <v>0</v>
      </c>
      <c r="AD33" s="938"/>
      <c r="AE33" s="938"/>
      <c r="AF33" s="938">
        <f t="shared" si="13"/>
        <v>0</v>
      </c>
      <c r="AG33" s="938">
        <f t="shared" si="14"/>
        <v>0</v>
      </c>
      <c r="AH33" s="938">
        <f t="shared" si="15"/>
        <v>0</v>
      </c>
      <c r="AI33" s="938">
        <f t="shared" si="16"/>
        <v>0</v>
      </c>
      <c r="AJ33" s="938">
        <f t="shared" si="17"/>
        <v>0</v>
      </c>
      <c r="AK33" s="938">
        <f t="shared" si="18"/>
        <v>0</v>
      </c>
      <c r="AL33" s="713">
        <f>'min. Düngung 22'!N34</f>
        <v>0</v>
      </c>
      <c r="AM33" s="938"/>
      <c r="AN33" s="938"/>
      <c r="AO33" s="938">
        <f t="shared" si="19"/>
        <v>0</v>
      </c>
      <c r="AP33" s="938">
        <f t="shared" si="20"/>
        <v>0</v>
      </c>
      <c r="AQ33" s="938">
        <f t="shared" si="21"/>
        <v>0</v>
      </c>
      <c r="AR33" s="938">
        <f t="shared" si="22"/>
        <v>0</v>
      </c>
      <c r="AS33" s="938">
        <f t="shared" si="23"/>
        <v>0</v>
      </c>
      <c r="AT33" s="938" t="str">
        <f t="shared" si="24"/>
        <v/>
      </c>
      <c r="AU33" s="713">
        <f>'min. Düngung 22'!Q34</f>
        <v>0</v>
      </c>
      <c r="AV33" s="938"/>
      <c r="AW33" s="938"/>
      <c r="AX33" s="938">
        <f t="shared" si="25"/>
        <v>0</v>
      </c>
      <c r="AY33" s="938">
        <f t="shared" si="26"/>
        <v>0</v>
      </c>
      <c r="AZ33" s="938">
        <f t="shared" si="27"/>
        <v>0</v>
      </c>
      <c r="BA33" s="938">
        <f t="shared" si="28"/>
        <v>0</v>
      </c>
      <c r="BB33" s="938">
        <f t="shared" si="29"/>
        <v>0</v>
      </c>
      <c r="BC33" s="938" t="str">
        <f t="shared" si="30"/>
        <v/>
      </c>
      <c r="BD33" s="713">
        <f>'min. Düngung 22'!T34</f>
        <v>0</v>
      </c>
      <c r="BE33" s="938"/>
      <c r="BF33" s="938"/>
      <c r="BG33" s="938">
        <f t="shared" si="31"/>
        <v>0</v>
      </c>
      <c r="BH33" s="938">
        <f t="shared" si="32"/>
        <v>0</v>
      </c>
      <c r="BI33" s="938">
        <f t="shared" si="33"/>
        <v>0</v>
      </c>
      <c r="BJ33" s="938">
        <f t="shared" si="34"/>
        <v>0</v>
      </c>
      <c r="BK33" s="938">
        <f t="shared" si="35"/>
        <v>0</v>
      </c>
      <c r="BL33" s="938" t="str">
        <f t="shared" si="36"/>
        <v/>
      </c>
      <c r="BM33" s="713">
        <f>'min. Düngung 22'!W34</f>
        <v>0</v>
      </c>
      <c r="BN33" s="938"/>
      <c r="BO33" s="938"/>
      <c r="BP33" s="938">
        <f t="shared" si="37"/>
        <v>0</v>
      </c>
      <c r="BQ33" s="938">
        <f t="shared" si="38"/>
        <v>0</v>
      </c>
      <c r="BR33" s="938">
        <f t="shared" si="39"/>
        <v>0</v>
      </c>
      <c r="BS33" s="938">
        <f t="shared" si="40"/>
        <v>0</v>
      </c>
      <c r="BT33" s="938">
        <f t="shared" si="41"/>
        <v>0</v>
      </c>
      <c r="BU33" s="938" t="str">
        <f t="shared" si="42"/>
        <v/>
      </c>
      <c r="BV33" s="713">
        <f>'min. Düngung 22'!Z34</f>
        <v>0</v>
      </c>
      <c r="BW33" s="938"/>
      <c r="BX33" s="938"/>
      <c r="BY33" s="938">
        <f t="shared" si="43"/>
        <v>0</v>
      </c>
      <c r="BZ33" s="938">
        <f t="shared" si="44"/>
        <v>0</v>
      </c>
      <c r="CA33" s="938">
        <f t="shared" si="45"/>
        <v>0</v>
      </c>
      <c r="CB33" s="938">
        <f t="shared" si="46"/>
        <v>0</v>
      </c>
      <c r="CC33" s="938">
        <f t="shared" si="47"/>
        <v>0</v>
      </c>
      <c r="CD33" s="938" t="str">
        <f t="shared" si="48"/>
        <v/>
      </c>
      <c r="CE33" s="713">
        <f>'min. Düngung 22'!AC34</f>
        <v>0</v>
      </c>
      <c r="CF33" s="938"/>
      <c r="CG33" s="938"/>
      <c r="CH33" s="938">
        <f t="shared" si="49"/>
        <v>0</v>
      </c>
      <c r="CI33" s="938">
        <f t="shared" si="50"/>
        <v>0</v>
      </c>
      <c r="CJ33" s="938">
        <f t="shared" si="51"/>
        <v>0</v>
      </c>
      <c r="CK33" s="938">
        <f t="shared" si="52"/>
        <v>0</v>
      </c>
      <c r="CL33" s="938">
        <f t="shared" si="53"/>
        <v>0</v>
      </c>
      <c r="CM33" s="938" t="str">
        <f t="shared" si="54"/>
        <v/>
      </c>
      <c r="CN33" s="713">
        <f>'min. Düngung 22'!AF34</f>
        <v>0</v>
      </c>
      <c r="CO33" s="938"/>
      <c r="CP33" s="938"/>
      <c r="CQ33" s="938">
        <f t="shared" si="55"/>
        <v>0</v>
      </c>
      <c r="CR33" s="938">
        <f t="shared" si="56"/>
        <v>0</v>
      </c>
      <c r="CS33" s="938">
        <f t="shared" si="57"/>
        <v>0</v>
      </c>
      <c r="CT33" s="938">
        <f t="shared" si="58"/>
        <v>0</v>
      </c>
      <c r="CU33" s="938">
        <f t="shared" si="59"/>
        <v>0</v>
      </c>
      <c r="CV33" s="938" t="str">
        <f t="shared" si="60"/>
        <v/>
      </c>
      <c r="CW33" s="713">
        <f>'min. Düngung 22'!AI34</f>
        <v>0</v>
      </c>
      <c r="CX33" s="938"/>
      <c r="CY33" s="938"/>
      <c r="CZ33" s="938">
        <f t="shared" si="61"/>
        <v>0</v>
      </c>
      <c r="DA33" s="938">
        <f t="shared" si="62"/>
        <v>0</v>
      </c>
      <c r="DB33" s="938">
        <f t="shared" si="63"/>
        <v>0</v>
      </c>
      <c r="DC33" s="938">
        <f t="shared" si="64"/>
        <v>0</v>
      </c>
      <c r="DD33" s="938">
        <f t="shared" si="65"/>
        <v>0</v>
      </c>
      <c r="DE33" s="938" t="str">
        <f t="shared" si="66"/>
        <v/>
      </c>
      <c r="DF33" s="713">
        <f>'min. Düngung 22'!AL34</f>
        <v>0</v>
      </c>
      <c r="DG33" s="938"/>
      <c r="DH33" s="938"/>
      <c r="DI33" s="938">
        <f t="shared" si="67"/>
        <v>0</v>
      </c>
      <c r="DJ33" s="938">
        <f t="shared" si="68"/>
        <v>0</v>
      </c>
      <c r="DK33" s="938">
        <f t="shared" si="69"/>
        <v>0</v>
      </c>
      <c r="DL33" s="938">
        <f t="shared" si="70"/>
        <v>0</v>
      </c>
      <c r="DM33" s="938">
        <f t="shared" si="71"/>
        <v>0</v>
      </c>
      <c r="DN33" s="938" t="str">
        <f t="shared" si="72"/>
        <v/>
      </c>
      <c r="DO33" s="713">
        <f>'min. Düngung 22'!AO34</f>
        <v>0</v>
      </c>
      <c r="DP33" s="938"/>
      <c r="DQ33" s="938"/>
      <c r="DR33" s="938">
        <f t="shared" si="73"/>
        <v>0</v>
      </c>
      <c r="DS33" s="938">
        <f t="shared" si="74"/>
        <v>0</v>
      </c>
      <c r="DT33" s="938">
        <f t="shared" si="75"/>
        <v>0</v>
      </c>
      <c r="DU33" s="938">
        <f t="shared" si="76"/>
        <v>0</v>
      </c>
      <c r="DV33" s="938">
        <f t="shared" si="77"/>
        <v>0</v>
      </c>
      <c r="DW33" s="938" t="str">
        <f t="shared" si="78"/>
        <v/>
      </c>
      <c r="DX33" s="713">
        <f>'min. Düngung 22'!AR34</f>
        <v>0</v>
      </c>
      <c r="DY33" s="938"/>
      <c r="DZ33" s="938"/>
      <c r="EA33" s="938">
        <f t="shared" si="79"/>
        <v>0</v>
      </c>
      <c r="EB33" s="938">
        <f t="shared" si="80"/>
        <v>0</v>
      </c>
      <c r="EC33" s="938">
        <f t="shared" si="81"/>
        <v>0</v>
      </c>
      <c r="ED33" s="938">
        <f t="shared" si="82"/>
        <v>0</v>
      </c>
      <c r="EE33" s="938">
        <f t="shared" si="83"/>
        <v>0</v>
      </c>
      <c r="EF33" s="938" t="str">
        <f t="shared" si="84"/>
        <v/>
      </c>
      <c r="EG33" s="713">
        <f>'min. Düngung 22'!AU34</f>
        <v>0</v>
      </c>
      <c r="EH33" s="938"/>
      <c r="EI33" s="938"/>
      <c r="EJ33" s="938">
        <f t="shared" si="85"/>
        <v>0</v>
      </c>
      <c r="EK33" s="938">
        <f t="shared" si="86"/>
        <v>0</v>
      </c>
      <c r="EL33" s="938">
        <f t="shared" si="87"/>
        <v>0</v>
      </c>
      <c r="EM33" s="938">
        <f t="shared" si="88"/>
        <v>0</v>
      </c>
      <c r="EN33" s="938">
        <f t="shared" si="89"/>
        <v>0</v>
      </c>
      <c r="EO33" s="938" t="str">
        <f t="shared" si="90"/>
        <v/>
      </c>
      <c r="EP33" s="713">
        <f>'min. Düngung 22'!AX34</f>
        <v>0</v>
      </c>
      <c r="EQ33" s="938"/>
      <c r="ER33" s="938"/>
      <c r="ES33" s="938">
        <f t="shared" si="91"/>
        <v>0</v>
      </c>
      <c r="ET33" s="938">
        <f t="shared" si="92"/>
        <v>0</v>
      </c>
      <c r="EU33" s="938">
        <f t="shared" si="93"/>
        <v>0</v>
      </c>
      <c r="EV33" s="938">
        <f t="shared" si="94"/>
        <v>0</v>
      </c>
      <c r="EW33" s="938">
        <f t="shared" si="95"/>
        <v>0</v>
      </c>
      <c r="EX33" s="938" t="str">
        <f t="shared" si="96"/>
        <v/>
      </c>
      <c r="EY33" s="713">
        <f>'min. Düngung 22'!BA34</f>
        <v>0</v>
      </c>
      <c r="EZ33" s="938"/>
      <c r="FA33" s="938"/>
      <c r="FB33" s="938">
        <f t="shared" si="97"/>
        <v>0</v>
      </c>
      <c r="FC33" s="938">
        <f t="shared" si="98"/>
        <v>0</v>
      </c>
      <c r="FD33" s="938">
        <f t="shared" si="99"/>
        <v>0</v>
      </c>
      <c r="FE33" s="938">
        <f t="shared" si="100"/>
        <v>0</v>
      </c>
      <c r="FF33" s="938">
        <f t="shared" si="101"/>
        <v>0</v>
      </c>
      <c r="FG33" s="938" t="str">
        <f t="shared" si="102"/>
        <v/>
      </c>
      <c r="FH33" s="713">
        <f>'min. Düngung 22'!BD34</f>
        <v>0</v>
      </c>
      <c r="FI33" s="938"/>
      <c r="FJ33" s="938"/>
      <c r="FK33" s="938">
        <f t="shared" si="103"/>
        <v>0</v>
      </c>
      <c r="FL33" s="938">
        <f t="shared" si="104"/>
        <v>0</v>
      </c>
      <c r="FM33" s="938">
        <f t="shared" si="105"/>
        <v>0</v>
      </c>
      <c r="FN33" s="938">
        <f t="shared" si="106"/>
        <v>0</v>
      </c>
      <c r="FO33" s="938">
        <f t="shared" si="107"/>
        <v>0</v>
      </c>
      <c r="FP33" s="938" t="str">
        <f t="shared" si="108"/>
        <v/>
      </c>
      <c r="FQ33" s="713">
        <f>'min. Düngung 22'!BG34</f>
        <v>0</v>
      </c>
      <c r="FR33" s="938"/>
      <c r="FS33" s="938"/>
      <c r="FT33" s="938">
        <f t="shared" si="109"/>
        <v>0</v>
      </c>
      <c r="FU33" s="938">
        <f t="shared" si="110"/>
        <v>0</v>
      </c>
      <c r="FV33" s="938">
        <f t="shared" si="111"/>
        <v>0</v>
      </c>
      <c r="FW33" s="938">
        <f t="shared" si="112"/>
        <v>0</v>
      </c>
      <c r="FX33" s="938">
        <f t="shared" si="113"/>
        <v>0</v>
      </c>
      <c r="FY33" s="938" t="str">
        <f t="shared" si="114"/>
        <v/>
      </c>
      <c r="FZ33" s="713">
        <f>'min. Düngung 22'!BJ34</f>
        <v>0</v>
      </c>
      <c r="GA33" s="938"/>
      <c r="GB33" s="938"/>
      <c r="GC33" s="938">
        <f t="shared" si="115"/>
        <v>0</v>
      </c>
      <c r="GD33" s="938">
        <f t="shared" si="116"/>
        <v>0</v>
      </c>
      <c r="GE33" s="938">
        <f t="shared" si="117"/>
        <v>0</v>
      </c>
      <c r="GF33" s="938">
        <f t="shared" si="118"/>
        <v>0</v>
      </c>
      <c r="GG33" s="938">
        <f t="shared" si="119"/>
        <v>0</v>
      </c>
      <c r="GH33" s="938" t="str">
        <f t="shared" si="120"/>
        <v/>
      </c>
      <c r="GI33" s="713">
        <f>'min. Düngung 22'!BM34</f>
        <v>0</v>
      </c>
      <c r="GJ33" s="938"/>
      <c r="GK33" s="938"/>
      <c r="GL33" s="938">
        <f t="shared" si="121"/>
        <v>0</v>
      </c>
      <c r="GM33" s="938">
        <f t="shared" si="122"/>
        <v>0</v>
      </c>
      <c r="GN33" s="938">
        <f t="shared" si="123"/>
        <v>0</v>
      </c>
      <c r="GO33" s="938">
        <f t="shared" si="124"/>
        <v>0</v>
      </c>
      <c r="GP33" s="938">
        <f t="shared" si="125"/>
        <v>0</v>
      </c>
      <c r="GQ33" s="938" t="str">
        <f t="shared" si="126"/>
        <v/>
      </c>
      <c r="GR33" s="713">
        <f>'min. Düngung 22'!BP34</f>
        <v>0</v>
      </c>
      <c r="GS33" s="938"/>
      <c r="GT33" s="938"/>
      <c r="GU33" s="938">
        <f t="shared" si="127"/>
        <v>0</v>
      </c>
      <c r="GV33" s="938">
        <f t="shared" si="128"/>
        <v>0</v>
      </c>
      <c r="GW33" s="938">
        <f t="shared" si="129"/>
        <v>0</v>
      </c>
      <c r="GX33" s="938">
        <f t="shared" si="130"/>
        <v>0</v>
      </c>
      <c r="GY33" s="938">
        <f t="shared" si="131"/>
        <v>0</v>
      </c>
      <c r="GZ33" s="938" t="str">
        <f t="shared" si="132"/>
        <v/>
      </c>
      <c r="HA33" s="713">
        <f>'min. Düngung 22'!BS34</f>
        <v>0</v>
      </c>
      <c r="HB33" s="938"/>
      <c r="HC33" s="938"/>
      <c r="HD33" s="938">
        <f t="shared" si="133"/>
        <v>0</v>
      </c>
      <c r="HE33" s="938">
        <f t="shared" si="134"/>
        <v>0</v>
      </c>
      <c r="HF33" s="938">
        <f t="shared" si="135"/>
        <v>0</v>
      </c>
      <c r="HG33" s="938">
        <f t="shared" si="136"/>
        <v>0</v>
      </c>
      <c r="HH33" s="938">
        <f t="shared" si="137"/>
        <v>0</v>
      </c>
      <c r="HI33" s="938" t="str">
        <f t="shared" si="138"/>
        <v/>
      </c>
      <c r="HJ33" s="713">
        <f>'min. Düngung 22'!BV34</f>
        <v>0</v>
      </c>
      <c r="HK33" s="938"/>
      <c r="HL33" s="938"/>
      <c r="HM33" s="938">
        <f t="shared" si="139"/>
        <v>0</v>
      </c>
      <c r="HN33" s="938">
        <f t="shared" si="140"/>
        <v>0</v>
      </c>
      <c r="HO33" s="938">
        <f t="shared" si="141"/>
        <v>0</v>
      </c>
      <c r="HP33" s="938">
        <f t="shared" si="142"/>
        <v>0</v>
      </c>
      <c r="HQ33" s="938">
        <f t="shared" si="143"/>
        <v>0</v>
      </c>
      <c r="HR33" s="938" t="str">
        <f t="shared" si="144"/>
        <v/>
      </c>
      <c r="HS33" s="713">
        <f>'min. Düngung 22'!BY34</f>
        <v>0</v>
      </c>
      <c r="HT33" s="938"/>
      <c r="HU33" s="938"/>
      <c r="HV33" s="938">
        <f t="shared" si="145"/>
        <v>0</v>
      </c>
      <c r="HW33" s="938">
        <f t="shared" si="146"/>
        <v>0</v>
      </c>
      <c r="HX33" s="938">
        <f t="shared" si="147"/>
        <v>0</v>
      </c>
      <c r="HY33" s="938">
        <f t="shared" si="148"/>
        <v>0</v>
      </c>
      <c r="HZ33" s="938">
        <f t="shared" si="149"/>
        <v>0</v>
      </c>
      <c r="IA33" s="938" t="str">
        <f t="shared" si="150"/>
        <v/>
      </c>
      <c r="IB33" s="713">
        <f>'min. Düngung 22'!CB34</f>
        <v>0</v>
      </c>
      <c r="IC33" s="938"/>
      <c r="ID33" s="938"/>
      <c r="IE33" s="938">
        <f t="shared" si="151"/>
        <v>0</v>
      </c>
      <c r="IF33" s="938">
        <f t="shared" si="152"/>
        <v>0</v>
      </c>
      <c r="IG33" s="938">
        <f t="shared" si="153"/>
        <v>0</v>
      </c>
      <c r="IH33" s="938">
        <f t="shared" si="154"/>
        <v>0</v>
      </c>
      <c r="II33" s="938">
        <f t="shared" si="155"/>
        <v>0</v>
      </c>
      <c r="IJ33" s="938" t="str">
        <f t="shared" si="156"/>
        <v/>
      </c>
      <c r="IK33" s="713">
        <f>'min. Düngung 22'!CE34</f>
        <v>0</v>
      </c>
      <c r="IL33" s="938"/>
      <c r="IM33" s="938"/>
      <c r="IN33" s="938">
        <f t="shared" si="157"/>
        <v>0</v>
      </c>
      <c r="IO33" s="938">
        <f t="shared" si="158"/>
        <v>0</v>
      </c>
      <c r="IP33" s="938">
        <f t="shared" si="159"/>
        <v>0</v>
      </c>
      <c r="IQ33" s="938">
        <f t="shared" si="160"/>
        <v>0</v>
      </c>
      <c r="IR33" s="938">
        <f t="shared" si="161"/>
        <v>0</v>
      </c>
      <c r="IS33" s="938" t="str">
        <f t="shared" si="162"/>
        <v/>
      </c>
      <c r="IT33" s="713">
        <f>'min. Düngung 22'!CH34</f>
        <v>0</v>
      </c>
      <c r="IU33" s="938"/>
      <c r="IV33" s="938"/>
      <c r="IW33" s="938">
        <f t="shared" si="163"/>
        <v>0</v>
      </c>
      <c r="IX33" s="938">
        <f t="shared" si="164"/>
        <v>0</v>
      </c>
      <c r="IY33" s="938">
        <f t="shared" si="165"/>
        <v>0</v>
      </c>
      <c r="IZ33" s="938">
        <f t="shared" si="166"/>
        <v>0</v>
      </c>
      <c r="JA33" s="938">
        <f t="shared" si="167"/>
        <v>0</v>
      </c>
      <c r="JB33" s="938" t="str">
        <f t="shared" si="168"/>
        <v/>
      </c>
      <c r="JC33" s="713">
        <f>'min. Düngung 22'!CK34</f>
        <v>0</v>
      </c>
      <c r="JD33" s="938"/>
      <c r="JE33" s="938"/>
      <c r="JF33" s="938">
        <f t="shared" si="169"/>
        <v>0</v>
      </c>
      <c r="JG33" s="938">
        <f t="shared" si="170"/>
        <v>0</v>
      </c>
      <c r="JH33" s="938">
        <f t="shared" si="171"/>
        <v>0</v>
      </c>
      <c r="JI33" s="938">
        <f t="shared" si="172"/>
        <v>0</v>
      </c>
      <c r="JJ33" s="938">
        <f t="shared" si="173"/>
        <v>0</v>
      </c>
      <c r="JK33" s="938" t="str">
        <f t="shared" si="174"/>
        <v/>
      </c>
      <c r="JL33" s="713">
        <f>'min. Düngung 22'!CN34</f>
        <v>0</v>
      </c>
      <c r="JM33" s="938"/>
      <c r="JN33" s="938"/>
      <c r="JO33" s="938">
        <f t="shared" si="175"/>
        <v>0</v>
      </c>
      <c r="JP33" s="938">
        <f t="shared" si="176"/>
        <v>0</v>
      </c>
      <c r="JQ33" s="938">
        <f t="shared" si="177"/>
        <v>0</v>
      </c>
      <c r="JR33" s="938">
        <f t="shared" si="178"/>
        <v>0</v>
      </c>
      <c r="JS33" s="938">
        <f t="shared" si="179"/>
        <v>0</v>
      </c>
      <c r="JT33" s="938" t="str">
        <f t="shared" si="180"/>
        <v/>
      </c>
      <c r="JU33" s="713">
        <f>'min. Düngung 22'!CQ34</f>
        <v>0</v>
      </c>
      <c r="JV33" s="938"/>
      <c r="JW33" s="938"/>
      <c r="JX33" s="938">
        <f t="shared" si="181"/>
        <v>0</v>
      </c>
      <c r="JY33" s="938">
        <f t="shared" si="182"/>
        <v>0</v>
      </c>
      <c r="JZ33" s="938">
        <f t="shared" si="183"/>
        <v>0</v>
      </c>
      <c r="KA33" s="938">
        <f t="shared" si="184"/>
        <v>0</v>
      </c>
      <c r="KB33" s="938">
        <f t="shared" si="185"/>
        <v>0</v>
      </c>
      <c r="KC33" s="938" t="str">
        <f t="shared" si="186"/>
        <v/>
      </c>
      <c r="KE33" s="938"/>
      <c r="KF33" s="938" t="str">
        <f>IF(AND($F33=2,$G33=1),"",IF(OR($Q33&gt;0,$O33&gt;60),$KF$7,IF(I33=70,"",IF(AND(I33=80,R33+'#orgDung'!AC36&lt;60,K33=1,OR(C33=2,'#BerechnungDBE'!AH27=4)),"",IF(R33&gt;0,$KF$7,"")))))</f>
        <v/>
      </c>
      <c r="KG33" s="938" t="str">
        <f>IF(AND(P33&gt;'#BerechnungDBE'!BJ27,P33&gt;0),'#minDung'!$KG$7,"")</f>
        <v/>
      </c>
      <c r="KH33" s="938" t="str">
        <f>IF(AND(I33=70,R33&gt;'#BerechnungDBE'!CR27),'#minDung'!$KH$7,"")</f>
        <v/>
      </c>
      <c r="KI33" s="938" t="str">
        <f>IF('#BerechnungDBE'!P27&lt;4,"",IF(AND('#BerechnungDBE'!BZ27&gt;0,N33&gt;0),$KI$7,""))</f>
        <v/>
      </c>
      <c r="KJ33" s="938" t="str">
        <f t="shared" si="5"/>
        <v/>
      </c>
    </row>
    <row r="34" spans="1:296" s="875" customFormat="1" hidden="1" x14ac:dyDescent="0.2">
      <c r="A34" s="875">
        <f>'Flächen u. Kulturen'!A33</f>
        <v>24</v>
      </c>
      <c r="B34" s="734">
        <f>'#BerechnungDBE'!L28</f>
        <v>0</v>
      </c>
      <c r="C34" s="46">
        <f>'#orgDung'!C37</f>
        <v>1</v>
      </c>
      <c r="D34" s="875">
        <f>'#BerechnungDBE'!T28</f>
        <v>2</v>
      </c>
      <c r="E34" s="875" t="str">
        <f>'Flächen u. Kulturen'!E33</f>
        <v>x</v>
      </c>
      <c r="F34" s="52">
        <f>'#BerechnungDBE'!N28</f>
        <v>1</v>
      </c>
      <c r="G34" s="52">
        <f>'#BerechnungDBE'!O28</f>
        <v>1</v>
      </c>
      <c r="H34" s="505">
        <f>'#orgDung'!J37</f>
        <v>2</v>
      </c>
      <c r="I34" s="875">
        <f>'#BerechnungDBE'!AF28</f>
        <v>0</v>
      </c>
      <c r="J34" s="875">
        <f>'#orgDung'!M37</f>
        <v>0</v>
      </c>
      <c r="K34" s="875">
        <f>'#BerechnungDBE'!AG28</f>
        <v>0</v>
      </c>
      <c r="M34" s="875">
        <f t="shared" si="0"/>
        <v>0</v>
      </c>
      <c r="N34" s="875">
        <f t="shared" si="1"/>
        <v>0</v>
      </c>
      <c r="O34" s="875">
        <f t="shared" si="2"/>
        <v>0</v>
      </c>
      <c r="P34" s="875">
        <f t="shared" si="4"/>
        <v>0</v>
      </c>
      <c r="Q34" s="938">
        <f t="shared" si="6"/>
        <v>0</v>
      </c>
      <c r="R34" s="875">
        <f t="shared" si="3"/>
        <v>0</v>
      </c>
      <c r="T34" s="713">
        <f>'min. Düngung 22'!H35</f>
        <v>0</v>
      </c>
      <c r="W34" s="875">
        <f t="shared" si="7"/>
        <v>0</v>
      </c>
      <c r="X34" s="875">
        <f t="shared" si="8"/>
        <v>0</v>
      </c>
      <c r="Y34" s="875">
        <f t="shared" si="9"/>
        <v>0</v>
      </c>
      <c r="Z34" s="875">
        <f t="shared" si="10"/>
        <v>0</v>
      </c>
      <c r="AA34" s="875">
        <f t="shared" si="11"/>
        <v>0</v>
      </c>
      <c r="AB34" s="875" t="str">
        <f t="shared" si="12"/>
        <v/>
      </c>
      <c r="AC34" s="713">
        <f>'min. Düngung 22'!K35</f>
        <v>0</v>
      </c>
      <c r="AD34" s="938"/>
      <c r="AE34" s="938"/>
      <c r="AF34" s="938">
        <f t="shared" si="13"/>
        <v>0</v>
      </c>
      <c r="AG34" s="938">
        <f t="shared" si="14"/>
        <v>0</v>
      </c>
      <c r="AH34" s="938">
        <f t="shared" si="15"/>
        <v>0</v>
      </c>
      <c r="AI34" s="938">
        <f t="shared" si="16"/>
        <v>0</v>
      </c>
      <c r="AJ34" s="938">
        <f t="shared" si="17"/>
        <v>0</v>
      </c>
      <c r="AK34" s="938">
        <f t="shared" si="18"/>
        <v>0</v>
      </c>
      <c r="AL34" s="713">
        <f>'min. Düngung 22'!N35</f>
        <v>0</v>
      </c>
      <c r="AM34" s="938"/>
      <c r="AN34" s="938"/>
      <c r="AO34" s="938">
        <f t="shared" si="19"/>
        <v>0</v>
      </c>
      <c r="AP34" s="938">
        <f t="shared" si="20"/>
        <v>0</v>
      </c>
      <c r="AQ34" s="938">
        <f t="shared" si="21"/>
        <v>0</v>
      </c>
      <c r="AR34" s="938">
        <f t="shared" si="22"/>
        <v>0</v>
      </c>
      <c r="AS34" s="938">
        <f t="shared" si="23"/>
        <v>0</v>
      </c>
      <c r="AT34" s="938" t="str">
        <f t="shared" si="24"/>
        <v/>
      </c>
      <c r="AU34" s="713">
        <f>'min. Düngung 22'!Q35</f>
        <v>0</v>
      </c>
      <c r="AV34" s="938"/>
      <c r="AW34" s="938"/>
      <c r="AX34" s="938">
        <f t="shared" si="25"/>
        <v>0</v>
      </c>
      <c r="AY34" s="938">
        <f t="shared" si="26"/>
        <v>0</v>
      </c>
      <c r="AZ34" s="938">
        <f t="shared" si="27"/>
        <v>0</v>
      </c>
      <c r="BA34" s="938">
        <f t="shared" si="28"/>
        <v>0</v>
      </c>
      <c r="BB34" s="938">
        <f t="shared" si="29"/>
        <v>0</v>
      </c>
      <c r="BC34" s="938" t="str">
        <f t="shared" si="30"/>
        <v/>
      </c>
      <c r="BD34" s="713">
        <f>'min. Düngung 22'!T35</f>
        <v>0</v>
      </c>
      <c r="BE34" s="938"/>
      <c r="BF34" s="938"/>
      <c r="BG34" s="938">
        <f t="shared" si="31"/>
        <v>0</v>
      </c>
      <c r="BH34" s="938">
        <f t="shared" si="32"/>
        <v>0</v>
      </c>
      <c r="BI34" s="938">
        <f t="shared" si="33"/>
        <v>0</v>
      </c>
      <c r="BJ34" s="938">
        <f t="shared" si="34"/>
        <v>0</v>
      </c>
      <c r="BK34" s="938">
        <f t="shared" si="35"/>
        <v>0</v>
      </c>
      <c r="BL34" s="938" t="str">
        <f t="shared" si="36"/>
        <v/>
      </c>
      <c r="BM34" s="713">
        <f>'min. Düngung 22'!W35</f>
        <v>0</v>
      </c>
      <c r="BN34" s="938"/>
      <c r="BO34" s="938"/>
      <c r="BP34" s="938">
        <f t="shared" si="37"/>
        <v>0</v>
      </c>
      <c r="BQ34" s="938">
        <f t="shared" si="38"/>
        <v>0</v>
      </c>
      <c r="BR34" s="938">
        <f t="shared" si="39"/>
        <v>0</v>
      </c>
      <c r="BS34" s="938">
        <f t="shared" si="40"/>
        <v>0</v>
      </c>
      <c r="BT34" s="938">
        <f t="shared" si="41"/>
        <v>0</v>
      </c>
      <c r="BU34" s="938" t="str">
        <f t="shared" si="42"/>
        <v/>
      </c>
      <c r="BV34" s="713">
        <f>'min. Düngung 22'!Z35</f>
        <v>0</v>
      </c>
      <c r="BW34" s="938"/>
      <c r="BX34" s="938"/>
      <c r="BY34" s="938">
        <f t="shared" si="43"/>
        <v>0</v>
      </c>
      <c r="BZ34" s="938">
        <f t="shared" si="44"/>
        <v>0</v>
      </c>
      <c r="CA34" s="938">
        <f t="shared" si="45"/>
        <v>0</v>
      </c>
      <c r="CB34" s="938">
        <f t="shared" si="46"/>
        <v>0</v>
      </c>
      <c r="CC34" s="938">
        <f t="shared" si="47"/>
        <v>0</v>
      </c>
      <c r="CD34" s="938" t="str">
        <f t="shared" si="48"/>
        <v/>
      </c>
      <c r="CE34" s="713">
        <f>'min. Düngung 22'!AC35</f>
        <v>0</v>
      </c>
      <c r="CF34" s="938"/>
      <c r="CG34" s="938"/>
      <c r="CH34" s="938">
        <f t="shared" si="49"/>
        <v>0</v>
      </c>
      <c r="CI34" s="938">
        <f t="shared" si="50"/>
        <v>0</v>
      </c>
      <c r="CJ34" s="938">
        <f t="shared" si="51"/>
        <v>0</v>
      </c>
      <c r="CK34" s="938">
        <f t="shared" si="52"/>
        <v>0</v>
      </c>
      <c r="CL34" s="938">
        <f t="shared" si="53"/>
        <v>0</v>
      </c>
      <c r="CM34" s="938" t="str">
        <f t="shared" si="54"/>
        <v/>
      </c>
      <c r="CN34" s="713">
        <f>'min. Düngung 22'!AF35</f>
        <v>0</v>
      </c>
      <c r="CO34" s="938"/>
      <c r="CP34" s="938"/>
      <c r="CQ34" s="938">
        <f t="shared" si="55"/>
        <v>0</v>
      </c>
      <c r="CR34" s="938">
        <f t="shared" si="56"/>
        <v>0</v>
      </c>
      <c r="CS34" s="938">
        <f t="shared" si="57"/>
        <v>0</v>
      </c>
      <c r="CT34" s="938">
        <f t="shared" si="58"/>
        <v>0</v>
      </c>
      <c r="CU34" s="938">
        <f t="shared" si="59"/>
        <v>0</v>
      </c>
      <c r="CV34" s="938" t="str">
        <f t="shared" si="60"/>
        <v/>
      </c>
      <c r="CW34" s="713">
        <f>'min. Düngung 22'!AI35</f>
        <v>0</v>
      </c>
      <c r="CX34" s="938"/>
      <c r="CY34" s="938"/>
      <c r="CZ34" s="938">
        <f t="shared" si="61"/>
        <v>0</v>
      </c>
      <c r="DA34" s="938">
        <f t="shared" si="62"/>
        <v>0</v>
      </c>
      <c r="DB34" s="938">
        <f t="shared" si="63"/>
        <v>0</v>
      </c>
      <c r="DC34" s="938">
        <f t="shared" si="64"/>
        <v>0</v>
      </c>
      <c r="DD34" s="938">
        <f t="shared" si="65"/>
        <v>0</v>
      </c>
      <c r="DE34" s="938" t="str">
        <f t="shared" si="66"/>
        <v/>
      </c>
      <c r="DF34" s="713">
        <f>'min. Düngung 22'!AL35</f>
        <v>0</v>
      </c>
      <c r="DG34" s="938"/>
      <c r="DH34" s="938"/>
      <c r="DI34" s="938">
        <f t="shared" si="67"/>
        <v>0</v>
      </c>
      <c r="DJ34" s="938">
        <f t="shared" si="68"/>
        <v>0</v>
      </c>
      <c r="DK34" s="938">
        <f t="shared" si="69"/>
        <v>0</v>
      </c>
      <c r="DL34" s="938">
        <f t="shared" si="70"/>
        <v>0</v>
      </c>
      <c r="DM34" s="938">
        <f t="shared" si="71"/>
        <v>0</v>
      </c>
      <c r="DN34" s="938" t="str">
        <f t="shared" si="72"/>
        <v/>
      </c>
      <c r="DO34" s="713">
        <f>'min. Düngung 22'!AO35</f>
        <v>0</v>
      </c>
      <c r="DP34" s="938"/>
      <c r="DQ34" s="938"/>
      <c r="DR34" s="938">
        <f t="shared" si="73"/>
        <v>0</v>
      </c>
      <c r="DS34" s="938">
        <f t="shared" si="74"/>
        <v>0</v>
      </c>
      <c r="DT34" s="938">
        <f t="shared" si="75"/>
        <v>0</v>
      </c>
      <c r="DU34" s="938">
        <f t="shared" si="76"/>
        <v>0</v>
      </c>
      <c r="DV34" s="938">
        <f t="shared" si="77"/>
        <v>0</v>
      </c>
      <c r="DW34" s="938" t="str">
        <f t="shared" si="78"/>
        <v/>
      </c>
      <c r="DX34" s="713">
        <f>'min. Düngung 22'!AR35</f>
        <v>0</v>
      </c>
      <c r="DY34" s="938"/>
      <c r="DZ34" s="938"/>
      <c r="EA34" s="938">
        <f t="shared" si="79"/>
        <v>0</v>
      </c>
      <c r="EB34" s="938">
        <f t="shared" si="80"/>
        <v>0</v>
      </c>
      <c r="EC34" s="938">
        <f t="shared" si="81"/>
        <v>0</v>
      </c>
      <c r="ED34" s="938">
        <f t="shared" si="82"/>
        <v>0</v>
      </c>
      <c r="EE34" s="938">
        <f t="shared" si="83"/>
        <v>0</v>
      </c>
      <c r="EF34" s="938" t="str">
        <f t="shared" si="84"/>
        <v/>
      </c>
      <c r="EG34" s="713">
        <f>'min. Düngung 22'!AU35</f>
        <v>0</v>
      </c>
      <c r="EH34" s="938"/>
      <c r="EI34" s="938"/>
      <c r="EJ34" s="938">
        <f t="shared" si="85"/>
        <v>0</v>
      </c>
      <c r="EK34" s="938">
        <f t="shared" si="86"/>
        <v>0</v>
      </c>
      <c r="EL34" s="938">
        <f t="shared" si="87"/>
        <v>0</v>
      </c>
      <c r="EM34" s="938">
        <f t="shared" si="88"/>
        <v>0</v>
      </c>
      <c r="EN34" s="938">
        <f t="shared" si="89"/>
        <v>0</v>
      </c>
      <c r="EO34" s="938" t="str">
        <f t="shared" si="90"/>
        <v/>
      </c>
      <c r="EP34" s="713">
        <f>'min. Düngung 22'!AX35</f>
        <v>0</v>
      </c>
      <c r="EQ34" s="938"/>
      <c r="ER34" s="938"/>
      <c r="ES34" s="938">
        <f t="shared" si="91"/>
        <v>0</v>
      </c>
      <c r="ET34" s="938">
        <f t="shared" si="92"/>
        <v>0</v>
      </c>
      <c r="EU34" s="938">
        <f t="shared" si="93"/>
        <v>0</v>
      </c>
      <c r="EV34" s="938">
        <f t="shared" si="94"/>
        <v>0</v>
      </c>
      <c r="EW34" s="938">
        <f t="shared" si="95"/>
        <v>0</v>
      </c>
      <c r="EX34" s="938" t="str">
        <f t="shared" si="96"/>
        <v/>
      </c>
      <c r="EY34" s="713">
        <f>'min. Düngung 22'!BA35</f>
        <v>0</v>
      </c>
      <c r="EZ34" s="938"/>
      <c r="FA34" s="938"/>
      <c r="FB34" s="938">
        <f t="shared" si="97"/>
        <v>0</v>
      </c>
      <c r="FC34" s="938">
        <f t="shared" si="98"/>
        <v>0</v>
      </c>
      <c r="FD34" s="938">
        <f t="shared" si="99"/>
        <v>0</v>
      </c>
      <c r="FE34" s="938">
        <f t="shared" si="100"/>
        <v>0</v>
      </c>
      <c r="FF34" s="938">
        <f t="shared" si="101"/>
        <v>0</v>
      </c>
      <c r="FG34" s="938" t="str">
        <f t="shared" si="102"/>
        <v/>
      </c>
      <c r="FH34" s="713">
        <f>'min. Düngung 22'!BD35</f>
        <v>0</v>
      </c>
      <c r="FI34" s="938"/>
      <c r="FJ34" s="938"/>
      <c r="FK34" s="938">
        <f t="shared" si="103"/>
        <v>0</v>
      </c>
      <c r="FL34" s="938">
        <f t="shared" si="104"/>
        <v>0</v>
      </c>
      <c r="FM34" s="938">
        <f t="shared" si="105"/>
        <v>0</v>
      </c>
      <c r="FN34" s="938">
        <f t="shared" si="106"/>
        <v>0</v>
      </c>
      <c r="FO34" s="938">
        <f t="shared" si="107"/>
        <v>0</v>
      </c>
      <c r="FP34" s="938" t="str">
        <f t="shared" si="108"/>
        <v/>
      </c>
      <c r="FQ34" s="713">
        <f>'min. Düngung 22'!BG35</f>
        <v>0</v>
      </c>
      <c r="FR34" s="938"/>
      <c r="FS34" s="938"/>
      <c r="FT34" s="938">
        <f t="shared" si="109"/>
        <v>0</v>
      </c>
      <c r="FU34" s="938">
        <f t="shared" si="110"/>
        <v>0</v>
      </c>
      <c r="FV34" s="938">
        <f t="shared" si="111"/>
        <v>0</v>
      </c>
      <c r="FW34" s="938">
        <f t="shared" si="112"/>
        <v>0</v>
      </c>
      <c r="FX34" s="938">
        <f t="shared" si="113"/>
        <v>0</v>
      </c>
      <c r="FY34" s="938" t="str">
        <f t="shared" si="114"/>
        <v/>
      </c>
      <c r="FZ34" s="713">
        <f>'min. Düngung 22'!BJ35</f>
        <v>0</v>
      </c>
      <c r="GA34" s="938"/>
      <c r="GB34" s="938"/>
      <c r="GC34" s="938">
        <f t="shared" si="115"/>
        <v>0</v>
      </c>
      <c r="GD34" s="938">
        <f t="shared" si="116"/>
        <v>0</v>
      </c>
      <c r="GE34" s="938">
        <f t="shared" si="117"/>
        <v>0</v>
      </c>
      <c r="GF34" s="938">
        <f t="shared" si="118"/>
        <v>0</v>
      </c>
      <c r="GG34" s="938">
        <f t="shared" si="119"/>
        <v>0</v>
      </c>
      <c r="GH34" s="938" t="str">
        <f t="shared" si="120"/>
        <v/>
      </c>
      <c r="GI34" s="713">
        <f>'min. Düngung 22'!BM35</f>
        <v>0</v>
      </c>
      <c r="GJ34" s="938"/>
      <c r="GK34" s="938"/>
      <c r="GL34" s="938">
        <f t="shared" si="121"/>
        <v>0</v>
      </c>
      <c r="GM34" s="938">
        <f t="shared" si="122"/>
        <v>0</v>
      </c>
      <c r="GN34" s="938">
        <f t="shared" si="123"/>
        <v>0</v>
      </c>
      <c r="GO34" s="938">
        <f t="shared" si="124"/>
        <v>0</v>
      </c>
      <c r="GP34" s="938">
        <f t="shared" si="125"/>
        <v>0</v>
      </c>
      <c r="GQ34" s="938" t="str">
        <f t="shared" si="126"/>
        <v/>
      </c>
      <c r="GR34" s="713">
        <f>'min. Düngung 22'!BP35</f>
        <v>0</v>
      </c>
      <c r="GS34" s="938"/>
      <c r="GT34" s="938"/>
      <c r="GU34" s="938">
        <f t="shared" si="127"/>
        <v>0</v>
      </c>
      <c r="GV34" s="938">
        <f t="shared" si="128"/>
        <v>0</v>
      </c>
      <c r="GW34" s="938">
        <f t="shared" si="129"/>
        <v>0</v>
      </c>
      <c r="GX34" s="938">
        <f t="shared" si="130"/>
        <v>0</v>
      </c>
      <c r="GY34" s="938">
        <f t="shared" si="131"/>
        <v>0</v>
      </c>
      <c r="GZ34" s="938" t="str">
        <f t="shared" si="132"/>
        <v/>
      </c>
      <c r="HA34" s="713">
        <f>'min. Düngung 22'!BS35</f>
        <v>0</v>
      </c>
      <c r="HB34" s="938"/>
      <c r="HC34" s="938"/>
      <c r="HD34" s="938">
        <f t="shared" si="133"/>
        <v>0</v>
      </c>
      <c r="HE34" s="938">
        <f t="shared" si="134"/>
        <v>0</v>
      </c>
      <c r="HF34" s="938">
        <f t="shared" si="135"/>
        <v>0</v>
      </c>
      <c r="HG34" s="938">
        <f t="shared" si="136"/>
        <v>0</v>
      </c>
      <c r="HH34" s="938">
        <f t="shared" si="137"/>
        <v>0</v>
      </c>
      <c r="HI34" s="938" t="str">
        <f t="shared" si="138"/>
        <v/>
      </c>
      <c r="HJ34" s="713">
        <f>'min. Düngung 22'!BV35</f>
        <v>0</v>
      </c>
      <c r="HK34" s="938"/>
      <c r="HL34" s="938"/>
      <c r="HM34" s="938">
        <f t="shared" si="139"/>
        <v>0</v>
      </c>
      <c r="HN34" s="938">
        <f t="shared" si="140"/>
        <v>0</v>
      </c>
      <c r="HO34" s="938">
        <f t="shared" si="141"/>
        <v>0</v>
      </c>
      <c r="HP34" s="938">
        <f t="shared" si="142"/>
        <v>0</v>
      </c>
      <c r="HQ34" s="938">
        <f t="shared" si="143"/>
        <v>0</v>
      </c>
      <c r="HR34" s="938" t="str">
        <f t="shared" si="144"/>
        <v/>
      </c>
      <c r="HS34" s="713">
        <f>'min. Düngung 22'!BY35</f>
        <v>0</v>
      </c>
      <c r="HT34" s="938"/>
      <c r="HU34" s="938"/>
      <c r="HV34" s="938">
        <f t="shared" si="145"/>
        <v>0</v>
      </c>
      <c r="HW34" s="938">
        <f t="shared" si="146"/>
        <v>0</v>
      </c>
      <c r="HX34" s="938">
        <f t="shared" si="147"/>
        <v>0</v>
      </c>
      <c r="HY34" s="938">
        <f t="shared" si="148"/>
        <v>0</v>
      </c>
      <c r="HZ34" s="938">
        <f t="shared" si="149"/>
        <v>0</v>
      </c>
      <c r="IA34" s="938" t="str">
        <f t="shared" si="150"/>
        <v/>
      </c>
      <c r="IB34" s="713">
        <f>'min. Düngung 22'!CB35</f>
        <v>0</v>
      </c>
      <c r="IC34" s="938"/>
      <c r="ID34" s="938"/>
      <c r="IE34" s="938">
        <f t="shared" si="151"/>
        <v>0</v>
      </c>
      <c r="IF34" s="938">
        <f t="shared" si="152"/>
        <v>0</v>
      </c>
      <c r="IG34" s="938">
        <f t="shared" si="153"/>
        <v>0</v>
      </c>
      <c r="IH34" s="938">
        <f t="shared" si="154"/>
        <v>0</v>
      </c>
      <c r="II34" s="938">
        <f t="shared" si="155"/>
        <v>0</v>
      </c>
      <c r="IJ34" s="938" t="str">
        <f t="shared" si="156"/>
        <v/>
      </c>
      <c r="IK34" s="713">
        <f>'min. Düngung 22'!CE35</f>
        <v>0</v>
      </c>
      <c r="IL34" s="938"/>
      <c r="IM34" s="938"/>
      <c r="IN34" s="938">
        <f t="shared" si="157"/>
        <v>0</v>
      </c>
      <c r="IO34" s="938">
        <f t="shared" si="158"/>
        <v>0</v>
      </c>
      <c r="IP34" s="938">
        <f t="shared" si="159"/>
        <v>0</v>
      </c>
      <c r="IQ34" s="938">
        <f t="shared" si="160"/>
        <v>0</v>
      </c>
      <c r="IR34" s="938">
        <f t="shared" si="161"/>
        <v>0</v>
      </c>
      <c r="IS34" s="938" t="str">
        <f t="shared" si="162"/>
        <v/>
      </c>
      <c r="IT34" s="713">
        <f>'min. Düngung 22'!CH35</f>
        <v>0</v>
      </c>
      <c r="IU34" s="938"/>
      <c r="IV34" s="938"/>
      <c r="IW34" s="938">
        <f t="shared" si="163"/>
        <v>0</v>
      </c>
      <c r="IX34" s="938">
        <f t="shared" si="164"/>
        <v>0</v>
      </c>
      <c r="IY34" s="938">
        <f t="shared" si="165"/>
        <v>0</v>
      </c>
      <c r="IZ34" s="938">
        <f t="shared" si="166"/>
        <v>0</v>
      </c>
      <c r="JA34" s="938">
        <f t="shared" si="167"/>
        <v>0</v>
      </c>
      <c r="JB34" s="938" t="str">
        <f t="shared" si="168"/>
        <v/>
      </c>
      <c r="JC34" s="713">
        <f>'min. Düngung 22'!CK35</f>
        <v>0</v>
      </c>
      <c r="JD34" s="938"/>
      <c r="JE34" s="938"/>
      <c r="JF34" s="938">
        <f t="shared" si="169"/>
        <v>0</v>
      </c>
      <c r="JG34" s="938">
        <f t="shared" si="170"/>
        <v>0</v>
      </c>
      <c r="JH34" s="938">
        <f t="shared" si="171"/>
        <v>0</v>
      </c>
      <c r="JI34" s="938">
        <f t="shared" si="172"/>
        <v>0</v>
      </c>
      <c r="JJ34" s="938">
        <f t="shared" si="173"/>
        <v>0</v>
      </c>
      <c r="JK34" s="938" t="str">
        <f t="shared" si="174"/>
        <v/>
      </c>
      <c r="JL34" s="713">
        <f>'min. Düngung 22'!CN35</f>
        <v>0</v>
      </c>
      <c r="JM34" s="938"/>
      <c r="JN34" s="938"/>
      <c r="JO34" s="938">
        <f t="shared" si="175"/>
        <v>0</v>
      </c>
      <c r="JP34" s="938">
        <f t="shared" si="176"/>
        <v>0</v>
      </c>
      <c r="JQ34" s="938">
        <f t="shared" si="177"/>
        <v>0</v>
      </c>
      <c r="JR34" s="938">
        <f t="shared" si="178"/>
        <v>0</v>
      </c>
      <c r="JS34" s="938">
        <f t="shared" si="179"/>
        <v>0</v>
      </c>
      <c r="JT34" s="938" t="str">
        <f t="shared" si="180"/>
        <v/>
      </c>
      <c r="JU34" s="713">
        <f>'min. Düngung 22'!CQ35</f>
        <v>0</v>
      </c>
      <c r="JV34" s="938"/>
      <c r="JW34" s="938"/>
      <c r="JX34" s="938">
        <f t="shared" si="181"/>
        <v>0</v>
      </c>
      <c r="JY34" s="938">
        <f t="shared" si="182"/>
        <v>0</v>
      </c>
      <c r="JZ34" s="938">
        <f t="shared" si="183"/>
        <v>0</v>
      </c>
      <c r="KA34" s="938">
        <f t="shared" si="184"/>
        <v>0</v>
      </c>
      <c r="KB34" s="938">
        <f t="shared" si="185"/>
        <v>0</v>
      </c>
      <c r="KC34" s="938" t="str">
        <f t="shared" si="186"/>
        <v/>
      </c>
      <c r="KE34" s="938"/>
      <c r="KF34" s="938" t="str">
        <f>IF(AND($F34=2,$G34=1),"",IF(OR($Q34&gt;0,$O34&gt;60),$KF$7,IF(I34=70,"",IF(AND(I34=80,R34+'#orgDung'!AC37&lt;60,K34=1,OR(C34=2,'#BerechnungDBE'!AH28=4)),"",IF(R34&gt;0,$KF$7,"")))))</f>
        <v/>
      </c>
      <c r="KG34" s="938" t="str">
        <f>IF(AND(P34&gt;'#BerechnungDBE'!BJ28,P34&gt;0),'#minDung'!$KG$7,"")</f>
        <v/>
      </c>
      <c r="KH34" s="938" t="str">
        <f>IF(AND(I34=70,R34&gt;'#BerechnungDBE'!CR28),'#minDung'!$KH$7,"")</f>
        <v/>
      </c>
      <c r="KI34" s="938" t="str">
        <f>IF('#BerechnungDBE'!P28&lt;4,"",IF(AND('#BerechnungDBE'!BZ28&gt;0,N34&gt;0),$KI$7,""))</f>
        <v/>
      </c>
      <c r="KJ34" s="938" t="str">
        <f t="shared" si="5"/>
        <v/>
      </c>
    </row>
    <row r="35" spans="1:296" s="875" customFormat="1" hidden="1" x14ac:dyDescent="0.2">
      <c r="A35" s="875">
        <f>'Flächen u. Kulturen'!A34</f>
        <v>25</v>
      </c>
      <c r="B35" s="734">
        <f>'#BerechnungDBE'!L29</f>
        <v>0</v>
      </c>
      <c r="C35" s="46">
        <f>'#orgDung'!C38</f>
        <v>1</v>
      </c>
      <c r="D35" s="875">
        <f>'#BerechnungDBE'!T29</f>
        <v>2</v>
      </c>
      <c r="E35" s="875" t="str">
        <f>'Flächen u. Kulturen'!E34</f>
        <v>x</v>
      </c>
      <c r="F35" s="52">
        <f>'#BerechnungDBE'!N29</f>
        <v>1</v>
      </c>
      <c r="G35" s="52">
        <f>'#BerechnungDBE'!O29</f>
        <v>1</v>
      </c>
      <c r="H35" s="505">
        <f>'#orgDung'!J38</f>
        <v>2</v>
      </c>
      <c r="I35" s="875">
        <f>'#BerechnungDBE'!AF29</f>
        <v>0</v>
      </c>
      <c r="J35" s="875">
        <f>'#orgDung'!M38</f>
        <v>0</v>
      </c>
      <c r="K35" s="875">
        <f>'#BerechnungDBE'!AG29</f>
        <v>0</v>
      </c>
      <c r="M35" s="875">
        <f t="shared" si="0"/>
        <v>0</v>
      </c>
      <c r="N35" s="875">
        <f t="shared" si="1"/>
        <v>0</v>
      </c>
      <c r="O35" s="875">
        <f t="shared" si="2"/>
        <v>0</v>
      </c>
      <c r="P35" s="875">
        <f t="shared" si="4"/>
        <v>0</v>
      </c>
      <c r="Q35" s="938">
        <f t="shared" si="6"/>
        <v>0</v>
      </c>
      <c r="R35" s="875">
        <f t="shared" si="3"/>
        <v>0</v>
      </c>
      <c r="T35" s="713">
        <f>'min. Düngung 22'!H36</f>
        <v>0</v>
      </c>
      <c r="W35" s="875">
        <f t="shared" si="7"/>
        <v>0</v>
      </c>
      <c r="X35" s="875">
        <f t="shared" si="8"/>
        <v>0</v>
      </c>
      <c r="Y35" s="875">
        <f t="shared" si="9"/>
        <v>0</v>
      </c>
      <c r="Z35" s="875">
        <f t="shared" si="10"/>
        <v>0</v>
      </c>
      <c r="AA35" s="875">
        <f t="shared" si="11"/>
        <v>0</v>
      </c>
      <c r="AB35" s="875" t="str">
        <f t="shared" si="12"/>
        <v/>
      </c>
      <c r="AC35" s="713">
        <f>'min. Düngung 22'!K36</f>
        <v>0</v>
      </c>
      <c r="AD35" s="938"/>
      <c r="AE35" s="938"/>
      <c r="AF35" s="938">
        <f t="shared" si="13"/>
        <v>0</v>
      </c>
      <c r="AG35" s="938">
        <f t="shared" si="14"/>
        <v>0</v>
      </c>
      <c r="AH35" s="938">
        <f t="shared" si="15"/>
        <v>0</v>
      </c>
      <c r="AI35" s="938">
        <f t="shared" si="16"/>
        <v>0</v>
      </c>
      <c r="AJ35" s="938">
        <f t="shared" si="17"/>
        <v>0</v>
      </c>
      <c r="AK35" s="938">
        <f t="shared" si="18"/>
        <v>0</v>
      </c>
      <c r="AL35" s="713">
        <f>'min. Düngung 22'!N36</f>
        <v>0</v>
      </c>
      <c r="AM35" s="938"/>
      <c r="AN35" s="938"/>
      <c r="AO35" s="938">
        <f t="shared" si="19"/>
        <v>0</v>
      </c>
      <c r="AP35" s="938">
        <f t="shared" si="20"/>
        <v>0</v>
      </c>
      <c r="AQ35" s="938">
        <f t="shared" si="21"/>
        <v>0</v>
      </c>
      <c r="AR35" s="938">
        <f t="shared" si="22"/>
        <v>0</v>
      </c>
      <c r="AS35" s="938">
        <f t="shared" si="23"/>
        <v>0</v>
      </c>
      <c r="AT35" s="938" t="str">
        <f t="shared" si="24"/>
        <v/>
      </c>
      <c r="AU35" s="713">
        <f>'min. Düngung 22'!Q36</f>
        <v>0</v>
      </c>
      <c r="AV35" s="938"/>
      <c r="AW35" s="938"/>
      <c r="AX35" s="938">
        <f t="shared" si="25"/>
        <v>0</v>
      </c>
      <c r="AY35" s="938">
        <f t="shared" si="26"/>
        <v>0</v>
      </c>
      <c r="AZ35" s="938">
        <f t="shared" si="27"/>
        <v>0</v>
      </c>
      <c r="BA35" s="938">
        <f t="shared" si="28"/>
        <v>0</v>
      </c>
      <c r="BB35" s="938">
        <f t="shared" si="29"/>
        <v>0</v>
      </c>
      <c r="BC35" s="938" t="str">
        <f t="shared" si="30"/>
        <v/>
      </c>
      <c r="BD35" s="713">
        <f>'min. Düngung 22'!T36</f>
        <v>0</v>
      </c>
      <c r="BE35" s="938"/>
      <c r="BF35" s="938"/>
      <c r="BG35" s="938">
        <f t="shared" si="31"/>
        <v>0</v>
      </c>
      <c r="BH35" s="938">
        <f t="shared" si="32"/>
        <v>0</v>
      </c>
      <c r="BI35" s="938">
        <f t="shared" si="33"/>
        <v>0</v>
      </c>
      <c r="BJ35" s="938">
        <f t="shared" si="34"/>
        <v>0</v>
      </c>
      <c r="BK35" s="938">
        <f t="shared" si="35"/>
        <v>0</v>
      </c>
      <c r="BL35" s="938" t="str">
        <f t="shared" si="36"/>
        <v/>
      </c>
      <c r="BM35" s="713">
        <f>'min. Düngung 22'!W36</f>
        <v>0</v>
      </c>
      <c r="BN35" s="938"/>
      <c r="BO35" s="938"/>
      <c r="BP35" s="938">
        <f t="shared" si="37"/>
        <v>0</v>
      </c>
      <c r="BQ35" s="938">
        <f t="shared" si="38"/>
        <v>0</v>
      </c>
      <c r="BR35" s="938">
        <f t="shared" si="39"/>
        <v>0</v>
      </c>
      <c r="BS35" s="938">
        <f t="shared" si="40"/>
        <v>0</v>
      </c>
      <c r="BT35" s="938">
        <f t="shared" si="41"/>
        <v>0</v>
      </c>
      <c r="BU35" s="938" t="str">
        <f t="shared" si="42"/>
        <v/>
      </c>
      <c r="BV35" s="713">
        <f>'min. Düngung 22'!Z36</f>
        <v>0</v>
      </c>
      <c r="BW35" s="938"/>
      <c r="BX35" s="938"/>
      <c r="BY35" s="938">
        <f t="shared" si="43"/>
        <v>0</v>
      </c>
      <c r="BZ35" s="938">
        <f t="shared" si="44"/>
        <v>0</v>
      </c>
      <c r="CA35" s="938">
        <f t="shared" si="45"/>
        <v>0</v>
      </c>
      <c r="CB35" s="938">
        <f t="shared" si="46"/>
        <v>0</v>
      </c>
      <c r="CC35" s="938">
        <f t="shared" si="47"/>
        <v>0</v>
      </c>
      <c r="CD35" s="938" t="str">
        <f t="shared" si="48"/>
        <v/>
      </c>
      <c r="CE35" s="713">
        <f>'min. Düngung 22'!AC36</f>
        <v>0</v>
      </c>
      <c r="CF35" s="938"/>
      <c r="CG35" s="938"/>
      <c r="CH35" s="938">
        <f t="shared" si="49"/>
        <v>0</v>
      </c>
      <c r="CI35" s="938">
        <f t="shared" si="50"/>
        <v>0</v>
      </c>
      <c r="CJ35" s="938">
        <f t="shared" si="51"/>
        <v>0</v>
      </c>
      <c r="CK35" s="938">
        <f t="shared" si="52"/>
        <v>0</v>
      </c>
      <c r="CL35" s="938">
        <f t="shared" si="53"/>
        <v>0</v>
      </c>
      <c r="CM35" s="938" t="str">
        <f t="shared" si="54"/>
        <v/>
      </c>
      <c r="CN35" s="713">
        <f>'min. Düngung 22'!AF36</f>
        <v>0</v>
      </c>
      <c r="CO35" s="938"/>
      <c r="CP35" s="938"/>
      <c r="CQ35" s="938">
        <f t="shared" si="55"/>
        <v>0</v>
      </c>
      <c r="CR35" s="938">
        <f t="shared" si="56"/>
        <v>0</v>
      </c>
      <c r="CS35" s="938">
        <f t="shared" si="57"/>
        <v>0</v>
      </c>
      <c r="CT35" s="938">
        <f t="shared" si="58"/>
        <v>0</v>
      </c>
      <c r="CU35" s="938">
        <f t="shared" si="59"/>
        <v>0</v>
      </c>
      <c r="CV35" s="938" t="str">
        <f t="shared" si="60"/>
        <v/>
      </c>
      <c r="CW35" s="713">
        <f>'min. Düngung 22'!AI36</f>
        <v>0</v>
      </c>
      <c r="CX35" s="938"/>
      <c r="CY35" s="938"/>
      <c r="CZ35" s="938">
        <f t="shared" si="61"/>
        <v>0</v>
      </c>
      <c r="DA35" s="938">
        <f t="shared" si="62"/>
        <v>0</v>
      </c>
      <c r="DB35" s="938">
        <f t="shared" si="63"/>
        <v>0</v>
      </c>
      <c r="DC35" s="938">
        <f t="shared" si="64"/>
        <v>0</v>
      </c>
      <c r="DD35" s="938">
        <f t="shared" si="65"/>
        <v>0</v>
      </c>
      <c r="DE35" s="938" t="str">
        <f t="shared" si="66"/>
        <v/>
      </c>
      <c r="DF35" s="713">
        <f>'min. Düngung 22'!AL36</f>
        <v>0</v>
      </c>
      <c r="DG35" s="938"/>
      <c r="DH35" s="938"/>
      <c r="DI35" s="938">
        <f t="shared" si="67"/>
        <v>0</v>
      </c>
      <c r="DJ35" s="938">
        <f t="shared" si="68"/>
        <v>0</v>
      </c>
      <c r="DK35" s="938">
        <f t="shared" si="69"/>
        <v>0</v>
      </c>
      <c r="DL35" s="938">
        <f t="shared" si="70"/>
        <v>0</v>
      </c>
      <c r="DM35" s="938">
        <f t="shared" si="71"/>
        <v>0</v>
      </c>
      <c r="DN35" s="938" t="str">
        <f t="shared" si="72"/>
        <v/>
      </c>
      <c r="DO35" s="713">
        <f>'min. Düngung 22'!AO36</f>
        <v>0</v>
      </c>
      <c r="DP35" s="938"/>
      <c r="DQ35" s="938"/>
      <c r="DR35" s="938">
        <f t="shared" si="73"/>
        <v>0</v>
      </c>
      <c r="DS35" s="938">
        <f t="shared" si="74"/>
        <v>0</v>
      </c>
      <c r="DT35" s="938">
        <f t="shared" si="75"/>
        <v>0</v>
      </c>
      <c r="DU35" s="938">
        <f t="shared" si="76"/>
        <v>0</v>
      </c>
      <c r="DV35" s="938">
        <f t="shared" si="77"/>
        <v>0</v>
      </c>
      <c r="DW35" s="938" t="str">
        <f t="shared" si="78"/>
        <v/>
      </c>
      <c r="DX35" s="713">
        <f>'min. Düngung 22'!AR36</f>
        <v>0</v>
      </c>
      <c r="DY35" s="938"/>
      <c r="DZ35" s="938"/>
      <c r="EA35" s="938">
        <f t="shared" si="79"/>
        <v>0</v>
      </c>
      <c r="EB35" s="938">
        <f t="shared" si="80"/>
        <v>0</v>
      </c>
      <c r="EC35" s="938">
        <f t="shared" si="81"/>
        <v>0</v>
      </c>
      <c r="ED35" s="938">
        <f t="shared" si="82"/>
        <v>0</v>
      </c>
      <c r="EE35" s="938">
        <f t="shared" si="83"/>
        <v>0</v>
      </c>
      <c r="EF35" s="938" t="str">
        <f t="shared" si="84"/>
        <v/>
      </c>
      <c r="EG35" s="713">
        <f>'min. Düngung 22'!AU36</f>
        <v>0</v>
      </c>
      <c r="EH35" s="938"/>
      <c r="EI35" s="938"/>
      <c r="EJ35" s="938">
        <f t="shared" si="85"/>
        <v>0</v>
      </c>
      <c r="EK35" s="938">
        <f t="shared" si="86"/>
        <v>0</v>
      </c>
      <c r="EL35" s="938">
        <f t="shared" si="87"/>
        <v>0</v>
      </c>
      <c r="EM35" s="938">
        <f t="shared" si="88"/>
        <v>0</v>
      </c>
      <c r="EN35" s="938">
        <f t="shared" si="89"/>
        <v>0</v>
      </c>
      <c r="EO35" s="938" t="str">
        <f t="shared" si="90"/>
        <v/>
      </c>
      <c r="EP35" s="713">
        <f>'min. Düngung 22'!AX36</f>
        <v>0</v>
      </c>
      <c r="EQ35" s="938"/>
      <c r="ER35" s="938"/>
      <c r="ES35" s="938">
        <f t="shared" si="91"/>
        <v>0</v>
      </c>
      <c r="ET35" s="938">
        <f t="shared" si="92"/>
        <v>0</v>
      </c>
      <c r="EU35" s="938">
        <f t="shared" si="93"/>
        <v>0</v>
      </c>
      <c r="EV35" s="938">
        <f t="shared" si="94"/>
        <v>0</v>
      </c>
      <c r="EW35" s="938">
        <f t="shared" si="95"/>
        <v>0</v>
      </c>
      <c r="EX35" s="938" t="str">
        <f t="shared" si="96"/>
        <v/>
      </c>
      <c r="EY35" s="713">
        <f>'min. Düngung 22'!BA36</f>
        <v>0</v>
      </c>
      <c r="EZ35" s="938"/>
      <c r="FA35" s="938"/>
      <c r="FB35" s="938">
        <f t="shared" si="97"/>
        <v>0</v>
      </c>
      <c r="FC35" s="938">
        <f t="shared" si="98"/>
        <v>0</v>
      </c>
      <c r="FD35" s="938">
        <f t="shared" si="99"/>
        <v>0</v>
      </c>
      <c r="FE35" s="938">
        <f t="shared" si="100"/>
        <v>0</v>
      </c>
      <c r="FF35" s="938">
        <f t="shared" si="101"/>
        <v>0</v>
      </c>
      <c r="FG35" s="938" t="str">
        <f t="shared" si="102"/>
        <v/>
      </c>
      <c r="FH35" s="713">
        <f>'min. Düngung 22'!BD36</f>
        <v>0</v>
      </c>
      <c r="FI35" s="938"/>
      <c r="FJ35" s="938"/>
      <c r="FK35" s="938">
        <f t="shared" si="103"/>
        <v>0</v>
      </c>
      <c r="FL35" s="938">
        <f t="shared" si="104"/>
        <v>0</v>
      </c>
      <c r="FM35" s="938">
        <f t="shared" si="105"/>
        <v>0</v>
      </c>
      <c r="FN35" s="938">
        <f t="shared" si="106"/>
        <v>0</v>
      </c>
      <c r="FO35" s="938">
        <f t="shared" si="107"/>
        <v>0</v>
      </c>
      <c r="FP35" s="938" t="str">
        <f t="shared" si="108"/>
        <v/>
      </c>
      <c r="FQ35" s="713">
        <f>'min. Düngung 22'!BG36</f>
        <v>0</v>
      </c>
      <c r="FR35" s="938"/>
      <c r="FS35" s="938"/>
      <c r="FT35" s="938">
        <f t="shared" si="109"/>
        <v>0</v>
      </c>
      <c r="FU35" s="938">
        <f t="shared" si="110"/>
        <v>0</v>
      </c>
      <c r="FV35" s="938">
        <f t="shared" si="111"/>
        <v>0</v>
      </c>
      <c r="FW35" s="938">
        <f t="shared" si="112"/>
        <v>0</v>
      </c>
      <c r="FX35" s="938">
        <f t="shared" si="113"/>
        <v>0</v>
      </c>
      <c r="FY35" s="938" t="str">
        <f t="shared" si="114"/>
        <v/>
      </c>
      <c r="FZ35" s="713">
        <f>'min. Düngung 22'!BJ36</f>
        <v>0</v>
      </c>
      <c r="GA35" s="938"/>
      <c r="GB35" s="938"/>
      <c r="GC35" s="938">
        <f t="shared" si="115"/>
        <v>0</v>
      </c>
      <c r="GD35" s="938">
        <f t="shared" si="116"/>
        <v>0</v>
      </c>
      <c r="GE35" s="938">
        <f t="shared" si="117"/>
        <v>0</v>
      </c>
      <c r="GF35" s="938">
        <f t="shared" si="118"/>
        <v>0</v>
      </c>
      <c r="GG35" s="938">
        <f t="shared" si="119"/>
        <v>0</v>
      </c>
      <c r="GH35" s="938" t="str">
        <f t="shared" si="120"/>
        <v/>
      </c>
      <c r="GI35" s="713">
        <f>'min. Düngung 22'!BM36</f>
        <v>0</v>
      </c>
      <c r="GJ35" s="938"/>
      <c r="GK35" s="938"/>
      <c r="GL35" s="938">
        <f t="shared" si="121"/>
        <v>0</v>
      </c>
      <c r="GM35" s="938">
        <f t="shared" si="122"/>
        <v>0</v>
      </c>
      <c r="GN35" s="938">
        <f t="shared" si="123"/>
        <v>0</v>
      </c>
      <c r="GO35" s="938">
        <f t="shared" si="124"/>
        <v>0</v>
      </c>
      <c r="GP35" s="938">
        <f t="shared" si="125"/>
        <v>0</v>
      </c>
      <c r="GQ35" s="938" t="str">
        <f t="shared" si="126"/>
        <v/>
      </c>
      <c r="GR35" s="713">
        <f>'min. Düngung 22'!BP36</f>
        <v>0</v>
      </c>
      <c r="GS35" s="938"/>
      <c r="GT35" s="938"/>
      <c r="GU35" s="938">
        <f t="shared" si="127"/>
        <v>0</v>
      </c>
      <c r="GV35" s="938">
        <f t="shared" si="128"/>
        <v>0</v>
      </c>
      <c r="GW35" s="938">
        <f t="shared" si="129"/>
        <v>0</v>
      </c>
      <c r="GX35" s="938">
        <f t="shared" si="130"/>
        <v>0</v>
      </c>
      <c r="GY35" s="938">
        <f t="shared" si="131"/>
        <v>0</v>
      </c>
      <c r="GZ35" s="938" t="str">
        <f t="shared" si="132"/>
        <v/>
      </c>
      <c r="HA35" s="713">
        <f>'min. Düngung 22'!BS36</f>
        <v>0</v>
      </c>
      <c r="HB35" s="938"/>
      <c r="HC35" s="938"/>
      <c r="HD35" s="938">
        <f t="shared" si="133"/>
        <v>0</v>
      </c>
      <c r="HE35" s="938">
        <f t="shared" si="134"/>
        <v>0</v>
      </c>
      <c r="HF35" s="938">
        <f t="shared" si="135"/>
        <v>0</v>
      </c>
      <c r="HG35" s="938">
        <f t="shared" si="136"/>
        <v>0</v>
      </c>
      <c r="HH35" s="938">
        <f t="shared" si="137"/>
        <v>0</v>
      </c>
      <c r="HI35" s="938" t="str">
        <f t="shared" si="138"/>
        <v/>
      </c>
      <c r="HJ35" s="713">
        <f>'min. Düngung 22'!BV36</f>
        <v>0</v>
      </c>
      <c r="HK35" s="938"/>
      <c r="HL35" s="938"/>
      <c r="HM35" s="938">
        <f t="shared" si="139"/>
        <v>0</v>
      </c>
      <c r="HN35" s="938">
        <f t="shared" si="140"/>
        <v>0</v>
      </c>
      <c r="HO35" s="938">
        <f t="shared" si="141"/>
        <v>0</v>
      </c>
      <c r="HP35" s="938">
        <f t="shared" si="142"/>
        <v>0</v>
      </c>
      <c r="HQ35" s="938">
        <f t="shared" si="143"/>
        <v>0</v>
      </c>
      <c r="HR35" s="938" t="str">
        <f t="shared" si="144"/>
        <v/>
      </c>
      <c r="HS35" s="713">
        <f>'min. Düngung 22'!BY36</f>
        <v>0</v>
      </c>
      <c r="HT35" s="938"/>
      <c r="HU35" s="938"/>
      <c r="HV35" s="938">
        <f t="shared" si="145"/>
        <v>0</v>
      </c>
      <c r="HW35" s="938">
        <f t="shared" si="146"/>
        <v>0</v>
      </c>
      <c r="HX35" s="938">
        <f t="shared" si="147"/>
        <v>0</v>
      </c>
      <c r="HY35" s="938">
        <f t="shared" si="148"/>
        <v>0</v>
      </c>
      <c r="HZ35" s="938">
        <f t="shared" si="149"/>
        <v>0</v>
      </c>
      <c r="IA35" s="938" t="str">
        <f t="shared" si="150"/>
        <v/>
      </c>
      <c r="IB35" s="713">
        <f>'min. Düngung 22'!CB36</f>
        <v>0</v>
      </c>
      <c r="IC35" s="938"/>
      <c r="ID35" s="938"/>
      <c r="IE35" s="938">
        <f t="shared" si="151"/>
        <v>0</v>
      </c>
      <c r="IF35" s="938">
        <f t="shared" si="152"/>
        <v>0</v>
      </c>
      <c r="IG35" s="938">
        <f t="shared" si="153"/>
        <v>0</v>
      </c>
      <c r="IH35" s="938">
        <f t="shared" si="154"/>
        <v>0</v>
      </c>
      <c r="II35" s="938">
        <f t="shared" si="155"/>
        <v>0</v>
      </c>
      <c r="IJ35" s="938" t="str">
        <f t="shared" si="156"/>
        <v/>
      </c>
      <c r="IK35" s="713">
        <f>'min. Düngung 22'!CE36</f>
        <v>0</v>
      </c>
      <c r="IL35" s="938"/>
      <c r="IM35" s="938"/>
      <c r="IN35" s="938">
        <f t="shared" si="157"/>
        <v>0</v>
      </c>
      <c r="IO35" s="938">
        <f t="shared" si="158"/>
        <v>0</v>
      </c>
      <c r="IP35" s="938">
        <f t="shared" si="159"/>
        <v>0</v>
      </c>
      <c r="IQ35" s="938">
        <f t="shared" si="160"/>
        <v>0</v>
      </c>
      <c r="IR35" s="938">
        <f t="shared" si="161"/>
        <v>0</v>
      </c>
      <c r="IS35" s="938" t="str">
        <f t="shared" si="162"/>
        <v/>
      </c>
      <c r="IT35" s="713">
        <f>'min. Düngung 22'!CH36</f>
        <v>0</v>
      </c>
      <c r="IU35" s="938"/>
      <c r="IV35" s="938"/>
      <c r="IW35" s="938">
        <f t="shared" si="163"/>
        <v>0</v>
      </c>
      <c r="IX35" s="938">
        <f t="shared" si="164"/>
        <v>0</v>
      </c>
      <c r="IY35" s="938">
        <f t="shared" si="165"/>
        <v>0</v>
      </c>
      <c r="IZ35" s="938">
        <f t="shared" si="166"/>
        <v>0</v>
      </c>
      <c r="JA35" s="938">
        <f t="shared" si="167"/>
        <v>0</v>
      </c>
      <c r="JB35" s="938" t="str">
        <f t="shared" si="168"/>
        <v/>
      </c>
      <c r="JC35" s="713">
        <f>'min. Düngung 22'!CK36</f>
        <v>0</v>
      </c>
      <c r="JD35" s="938"/>
      <c r="JE35" s="938"/>
      <c r="JF35" s="938">
        <f t="shared" si="169"/>
        <v>0</v>
      </c>
      <c r="JG35" s="938">
        <f t="shared" si="170"/>
        <v>0</v>
      </c>
      <c r="JH35" s="938">
        <f t="shared" si="171"/>
        <v>0</v>
      </c>
      <c r="JI35" s="938">
        <f t="shared" si="172"/>
        <v>0</v>
      </c>
      <c r="JJ35" s="938">
        <f t="shared" si="173"/>
        <v>0</v>
      </c>
      <c r="JK35" s="938" t="str">
        <f t="shared" si="174"/>
        <v/>
      </c>
      <c r="JL35" s="713">
        <f>'min. Düngung 22'!CN36</f>
        <v>0</v>
      </c>
      <c r="JM35" s="938"/>
      <c r="JN35" s="938"/>
      <c r="JO35" s="938">
        <f t="shared" si="175"/>
        <v>0</v>
      </c>
      <c r="JP35" s="938">
        <f t="shared" si="176"/>
        <v>0</v>
      </c>
      <c r="JQ35" s="938">
        <f t="shared" si="177"/>
        <v>0</v>
      </c>
      <c r="JR35" s="938">
        <f t="shared" si="178"/>
        <v>0</v>
      </c>
      <c r="JS35" s="938">
        <f t="shared" si="179"/>
        <v>0</v>
      </c>
      <c r="JT35" s="938" t="str">
        <f t="shared" si="180"/>
        <v/>
      </c>
      <c r="JU35" s="713">
        <f>'min. Düngung 22'!CQ36</f>
        <v>0</v>
      </c>
      <c r="JV35" s="938"/>
      <c r="JW35" s="938"/>
      <c r="JX35" s="938">
        <f t="shared" si="181"/>
        <v>0</v>
      </c>
      <c r="JY35" s="938">
        <f t="shared" si="182"/>
        <v>0</v>
      </c>
      <c r="JZ35" s="938">
        <f t="shared" si="183"/>
        <v>0</v>
      </c>
      <c r="KA35" s="938">
        <f t="shared" si="184"/>
        <v>0</v>
      </c>
      <c r="KB35" s="938">
        <f t="shared" si="185"/>
        <v>0</v>
      </c>
      <c r="KC35" s="938" t="str">
        <f t="shared" si="186"/>
        <v/>
      </c>
      <c r="KE35" s="938"/>
      <c r="KF35" s="938" t="str">
        <f>IF(AND($F35=2,$G35=1),"",IF(OR($Q35&gt;0,$O35&gt;60),$KF$7,IF(I35=70,"",IF(AND(I35=80,R35+'#orgDung'!AC38&lt;60,K35=1,OR(C35=2,'#BerechnungDBE'!AH29=4)),"",IF(R35&gt;0,$KF$7,"")))))</f>
        <v/>
      </c>
      <c r="KG35" s="938" t="str">
        <f>IF(AND(P35&gt;'#BerechnungDBE'!BJ29,P35&gt;0),'#minDung'!$KG$7,"")</f>
        <v/>
      </c>
      <c r="KH35" s="938" t="str">
        <f>IF(AND(I35=70,R35&gt;'#BerechnungDBE'!CR29),'#minDung'!$KH$7,"")</f>
        <v/>
      </c>
      <c r="KI35" s="938" t="str">
        <f>IF('#BerechnungDBE'!P29&lt;4,"",IF(AND('#BerechnungDBE'!BZ29&gt;0,N35&gt;0),$KI$7,""))</f>
        <v/>
      </c>
      <c r="KJ35" s="938" t="str">
        <f t="shared" si="5"/>
        <v/>
      </c>
    </row>
    <row r="36" spans="1:296" s="875" customFormat="1" hidden="1" x14ac:dyDescent="0.2">
      <c r="A36" s="875">
        <f>'Flächen u. Kulturen'!A35</f>
        <v>26</v>
      </c>
      <c r="B36" s="734">
        <f>'#BerechnungDBE'!L30</f>
        <v>0</v>
      </c>
      <c r="C36" s="46">
        <f>'#orgDung'!C39</f>
        <v>1</v>
      </c>
      <c r="D36" s="875">
        <f>'#BerechnungDBE'!T30</f>
        <v>2</v>
      </c>
      <c r="E36" s="875" t="str">
        <f>'Flächen u. Kulturen'!E35</f>
        <v>x</v>
      </c>
      <c r="F36" s="52">
        <f>'#BerechnungDBE'!N30</f>
        <v>1</v>
      </c>
      <c r="G36" s="52">
        <f>'#BerechnungDBE'!O30</f>
        <v>1</v>
      </c>
      <c r="H36" s="505">
        <f>'#orgDung'!J39</f>
        <v>2</v>
      </c>
      <c r="I36" s="875">
        <f>'#BerechnungDBE'!AF30</f>
        <v>0</v>
      </c>
      <c r="J36" s="875">
        <f>'#orgDung'!M39</f>
        <v>0</v>
      </c>
      <c r="K36" s="875">
        <f>'#BerechnungDBE'!AG30</f>
        <v>0</v>
      </c>
      <c r="M36" s="875">
        <f t="shared" si="0"/>
        <v>0</v>
      </c>
      <c r="N36" s="875">
        <f t="shared" si="1"/>
        <v>0</v>
      </c>
      <c r="O36" s="875">
        <f t="shared" si="2"/>
        <v>0</v>
      </c>
      <c r="P36" s="875">
        <f t="shared" si="4"/>
        <v>0</v>
      </c>
      <c r="Q36" s="938">
        <f t="shared" si="6"/>
        <v>0</v>
      </c>
      <c r="R36" s="875">
        <f t="shared" si="3"/>
        <v>0</v>
      </c>
      <c r="T36" s="713">
        <f>'min. Düngung 22'!H37</f>
        <v>0</v>
      </c>
      <c r="W36" s="875">
        <f t="shared" si="7"/>
        <v>0</v>
      </c>
      <c r="X36" s="875">
        <f t="shared" si="8"/>
        <v>0</v>
      </c>
      <c r="Y36" s="875">
        <f t="shared" si="9"/>
        <v>0</v>
      </c>
      <c r="Z36" s="875">
        <f t="shared" si="10"/>
        <v>0</v>
      </c>
      <c r="AA36" s="875">
        <f t="shared" si="11"/>
        <v>0</v>
      </c>
      <c r="AB36" s="875" t="str">
        <f t="shared" si="12"/>
        <v/>
      </c>
      <c r="AC36" s="713">
        <f>'min. Düngung 22'!K37</f>
        <v>0</v>
      </c>
      <c r="AD36" s="938"/>
      <c r="AE36" s="938"/>
      <c r="AF36" s="938">
        <f t="shared" si="13"/>
        <v>0</v>
      </c>
      <c r="AG36" s="938">
        <f t="shared" si="14"/>
        <v>0</v>
      </c>
      <c r="AH36" s="938">
        <f t="shared" si="15"/>
        <v>0</v>
      </c>
      <c r="AI36" s="938">
        <f t="shared" si="16"/>
        <v>0</v>
      </c>
      <c r="AJ36" s="938">
        <f t="shared" si="17"/>
        <v>0</v>
      </c>
      <c r="AK36" s="938">
        <f t="shared" si="18"/>
        <v>0</v>
      </c>
      <c r="AL36" s="713">
        <f>'min. Düngung 22'!N37</f>
        <v>0</v>
      </c>
      <c r="AM36" s="938"/>
      <c r="AN36" s="938"/>
      <c r="AO36" s="938">
        <f t="shared" si="19"/>
        <v>0</v>
      </c>
      <c r="AP36" s="938">
        <f t="shared" si="20"/>
        <v>0</v>
      </c>
      <c r="AQ36" s="938">
        <f t="shared" si="21"/>
        <v>0</v>
      </c>
      <c r="AR36" s="938">
        <f t="shared" si="22"/>
        <v>0</v>
      </c>
      <c r="AS36" s="938">
        <f t="shared" si="23"/>
        <v>0</v>
      </c>
      <c r="AT36" s="938" t="str">
        <f t="shared" si="24"/>
        <v/>
      </c>
      <c r="AU36" s="713">
        <f>'min. Düngung 22'!Q37</f>
        <v>0</v>
      </c>
      <c r="AV36" s="938"/>
      <c r="AW36" s="938"/>
      <c r="AX36" s="938">
        <f t="shared" si="25"/>
        <v>0</v>
      </c>
      <c r="AY36" s="938">
        <f t="shared" si="26"/>
        <v>0</v>
      </c>
      <c r="AZ36" s="938">
        <f t="shared" si="27"/>
        <v>0</v>
      </c>
      <c r="BA36" s="938">
        <f t="shared" si="28"/>
        <v>0</v>
      </c>
      <c r="BB36" s="938">
        <f t="shared" si="29"/>
        <v>0</v>
      </c>
      <c r="BC36" s="938" t="str">
        <f t="shared" si="30"/>
        <v/>
      </c>
      <c r="BD36" s="713">
        <f>'min. Düngung 22'!T37</f>
        <v>0</v>
      </c>
      <c r="BE36" s="938"/>
      <c r="BF36" s="938"/>
      <c r="BG36" s="938">
        <f t="shared" si="31"/>
        <v>0</v>
      </c>
      <c r="BH36" s="938">
        <f t="shared" si="32"/>
        <v>0</v>
      </c>
      <c r="BI36" s="938">
        <f t="shared" si="33"/>
        <v>0</v>
      </c>
      <c r="BJ36" s="938">
        <f t="shared" si="34"/>
        <v>0</v>
      </c>
      <c r="BK36" s="938">
        <f t="shared" si="35"/>
        <v>0</v>
      </c>
      <c r="BL36" s="938" t="str">
        <f t="shared" si="36"/>
        <v/>
      </c>
      <c r="BM36" s="713">
        <f>'min. Düngung 22'!W37</f>
        <v>0</v>
      </c>
      <c r="BN36" s="938"/>
      <c r="BO36" s="938"/>
      <c r="BP36" s="938">
        <f t="shared" si="37"/>
        <v>0</v>
      </c>
      <c r="BQ36" s="938">
        <f t="shared" si="38"/>
        <v>0</v>
      </c>
      <c r="BR36" s="938">
        <f t="shared" si="39"/>
        <v>0</v>
      </c>
      <c r="BS36" s="938">
        <f t="shared" si="40"/>
        <v>0</v>
      </c>
      <c r="BT36" s="938">
        <f t="shared" si="41"/>
        <v>0</v>
      </c>
      <c r="BU36" s="938" t="str">
        <f t="shared" si="42"/>
        <v/>
      </c>
      <c r="BV36" s="713">
        <f>'min. Düngung 22'!Z37</f>
        <v>0</v>
      </c>
      <c r="BW36" s="938"/>
      <c r="BX36" s="938"/>
      <c r="BY36" s="938">
        <f t="shared" si="43"/>
        <v>0</v>
      </c>
      <c r="BZ36" s="938">
        <f t="shared" si="44"/>
        <v>0</v>
      </c>
      <c r="CA36" s="938">
        <f t="shared" si="45"/>
        <v>0</v>
      </c>
      <c r="CB36" s="938">
        <f t="shared" si="46"/>
        <v>0</v>
      </c>
      <c r="CC36" s="938">
        <f t="shared" si="47"/>
        <v>0</v>
      </c>
      <c r="CD36" s="938" t="str">
        <f t="shared" si="48"/>
        <v/>
      </c>
      <c r="CE36" s="713">
        <f>'min. Düngung 22'!AC37</f>
        <v>0</v>
      </c>
      <c r="CF36" s="938"/>
      <c r="CG36" s="938"/>
      <c r="CH36" s="938">
        <f t="shared" si="49"/>
        <v>0</v>
      </c>
      <c r="CI36" s="938">
        <f t="shared" si="50"/>
        <v>0</v>
      </c>
      <c r="CJ36" s="938">
        <f t="shared" si="51"/>
        <v>0</v>
      </c>
      <c r="CK36" s="938">
        <f t="shared" si="52"/>
        <v>0</v>
      </c>
      <c r="CL36" s="938">
        <f t="shared" si="53"/>
        <v>0</v>
      </c>
      <c r="CM36" s="938" t="str">
        <f t="shared" si="54"/>
        <v/>
      </c>
      <c r="CN36" s="713">
        <f>'min. Düngung 22'!AF37</f>
        <v>0</v>
      </c>
      <c r="CO36" s="938"/>
      <c r="CP36" s="938"/>
      <c r="CQ36" s="938">
        <f t="shared" si="55"/>
        <v>0</v>
      </c>
      <c r="CR36" s="938">
        <f t="shared" si="56"/>
        <v>0</v>
      </c>
      <c r="CS36" s="938">
        <f t="shared" si="57"/>
        <v>0</v>
      </c>
      <c r="CT36" s="938">
        <f t="shared" si="58"/>
        <v>0</v>
      </c>
      <c r="CU36" s="938">
        <f t="shared" si="59"/>
        <v>0</v>
      </c>
      <c r="CV36" s="938" t="str">
        <f t="shared" si="60"/>
        <v/>
      </c>
      <c r="CW36" s="713">
        <f>'min. Düngung 22'!AI37</f>
        <v>0</v>
      </c>
      <c r="CX36" s="938"/>
      <c r="CY36" s="938"/>
      <c r="CZ36" s="938">
        <f t="shared" si="61"/>
        <v>0</v>
      </c>
      <c r="DA36" s="938">
        <f t="shared" si="62"/>
        <v>0</v>
      </c>
      <c r="DB36" s="938">
        <f t="shared" si="63"/>
        <v>0</v>
      </c>
      <c r="DC36" s="938">
        <f t="shared" si="64"/>
        <v>0</v>
      </c>
      <c r="DD36" s="938">
        <f t="shared" si="65"/>
        <v>0</v>
      </c>
      <c r="DE36" s="938" t="str">
        <f t="shared" si="66"/>
        <v/>
      </c>
      <c r="DF36" s="713">
        <f>'min. Düngung 22'!AL37</f>
        <v>0</v>
      </c>
      <c r="DG36" s="938"/>
      <c r="DH36" s="938"/>
      <c r="DI36" s="938">
        <f t="shared" si="67"/>
        <v>0</v>
      </c>
      <c r="DJ36" s="938">
        <f t="shared" si="68"/>
        <v>0</v>
      </c>
      <c r="DK36" s="938">
        <f t="shared" si="69"/>
        <v>0</v>
      </c>
      <c r="DL36" s="938">
        <f t="shared" si="70"/>
        <v>0</v>
      </c>
      <c r="DM36" s="938">
        <f t="shared" si="71"/>
        <v>0</v>
      </c>
      <c r="DN36" s="938" t="str">
        <f t="shared" si="72"/>
        <v/>
      </c>
      <c r="DO36" s="713">
        <f>'min. Düngung 22'!AO37</f>
        <v>0</v>
      </c>
      <c r="DP36" s="938"/>
      <c r="DQ36" s="938"/>
      <c r="DR36" s="938">
        <f t="shared" si="73"/>
        <v>0</v>
      </c>
      <c r="DS36" s="938">
        <f t="shared" si="74"/>
        <v>0</v>
      </c>
      <c r="DT36" s="938">
        <f t="shared" si="75"/>
        <v>0</v>
      </c>
      <c r="DU36" s="938">
        <f t="shared" si="76"/>
        <v>0</v>
      </c>
      <c r="DV36" s="938">
        <f t="shared" si="77"/>
        <v>0</v>
      </c>
      <c r="DW36" s="938" t="str">
        <f t="shared" si="78"/>
        <v/>
      </c>
      <c r="DX36" s="713">
        <f>'min. Düngung 22'!AR37</f>
        <v>0</v>
      </c>
      <c r="DY36" s="938"/>
      <c r="DZ36" s="938"/>
      <c r="EA36" s="938">
        <f t="shared" si="79"/>
        <v>0</v>
      </c>
      <c r="EB36" s="938">
        <f t="shared" si="80"/>
        <v>0</v>
      </c>
      <c r="EC36" s="938">
        <f t="shared" si="81"/>
        <v>0</v>
      </c>
      <c r="ED36" s="938">
        <f t="shared" si="82"/>
        <v>0</v>
      </c>
      <c r="EE36" s="938">
        <f t="shared" si="83"/>
        <v>0</v>
      </c>
      <c r="EF36" s="938" t="str">
        <f t="shared" si="84"/>
        <v/>
      </c>
      <c r="EG36" s="713">
        <f>'min. Düngung 22'!AU37</f>
        <v>0</v>
      </c>
      <c r="EH36" s="938"/>
      <c r="EI36" s="938"/>
      <c r="EJ36" s="938">
        <f t="shared" si="85"/>
        <v>0</v>
      </c>
      <c r="EK36" s="938">
        <f t="shared" si="86"/>
        <v>0</v>
      </c>
      <c r="EL36" s="938">
        <f t="shared" si="87"/>
        <v>0</v>
      </c>
      <c r="EM36" s="938">
        <f t="shared" si="88"/>
        <v>0</v>
      </c>
      <c r="EN36" s="938">
        <f t="shared" si="89"/>
        <v>0</v>
      </c>
      <c r="EO36" s="938" t="str">
        <f t="shared" si="90"/>
        <v/>
      </c>
      <c r="EP36" s="713">
        <f>'min. Düngung 22'!AX37</f>
        <v>0</v>
      </c>
      <c r="EQ36" s="938"/>
      <c r="ER36" s="938"/>
      <c r="ES36" s="938">
        <f t="shared" si="91"/>
        <v>0</v>
      </c>
      <c r="ET36" s="938">
        <f t="shared" si="92"/>
        <v>0</v>
      </c>
      <c r="EU36" s="938">
        <f t="shared" si="93"/>
        <v>0</v>
      </c>
      <c r="EV36" s="938">
        <f t="shared" si="94"/>
        <v>0</v>
      </c>
      <c r="EW36" s="938">
        <f t="shared" si="95"/>
        <v>0</v>
      </c>
      <c r="EX36" s="938" t="str">
        <f t="shared" si="96"/>
        <v/>
      </c>
      <c r="EY36" s="713">
        <f>'min. Düngung 22'!BA37</f>
        <v>0</v>
      </c>
      <c r="EZ36" s="938"/>
      <c r="FA36" s="938"/>
      <c r="FB36" s="938">
        <f t="shared" si="97"/>
        <v>0</v>
      </c>
      <c r="FC36" s="938">
        <f t="shared" si="98"/>
        <v>0</v>
      </c>
      <c r="FD36" s="938">
        <f t="shared" si="99"/>
        <v>0</v>
      </c>
      <c r="FE36" s="938">
        <f t="shared" si="100"/>
        <v>0</v>
      </c>
      <c r="FF36" s="938">
        <f t="shared" si="101"/>
        <v>0</v>
      </c>
      <c r="FG36" s="938" t="str">
        <f t="shared" si="102"/>
        <v/>
      </c>
      <c r="FH36" s="713">
        <f>'min. Düngung 22'!BD37</f>
        <v>0</v>
      </c>
      <c r="FI36" s="938"/>
      <c r="FJ36" s="938"/>
      <c r="FK36" s="938">
        <f t="shared" si="103"/>
        <v>0</v>
      </c>
      <c r="FL36" s="938">
        <f t="shared" si="104"/>
        <v>0</v>
      </c>
      <c r="FM36" s="938">
        <f t="shared" si="105"/>
        <v>0</v>
      </c>
      <c r="FN36" s="938">
        <f t="shared" si="106"/>
        <v>0</v>
      </c>
      <c r="FO36" s="938">
        <f t="shared" si="107"/>
        <v>0</v>
      </c>
      <c r="FP36" s="938" t="str">
        <f t="shared" si="108"/>
        <v/>
      </c>
      <c r="FQ36" s="713">
        <f>'min. Düngung 22'!BG37</f>
        <v>0</v>
      </c>
      <c r="FR36" s="938"/>
      <c r="FS36" s="938"/>
      <c r="FT36" s="938">
        <f t="shared" si="109"/>
        <v>0</v>
      </c>
      <c r="FU36" s="938">
        <f t="shared" si="110"/>
        <v>0</v>
      </c>
      <c r="FV36" s="938">
        <f t="shared" si="111"/>
        <v>0</v>
      </c>
      <c r="FW36" s="938">
        <f t="shared" si="112"/>
        <v>0</v>
      </c>
      <c r="FX36" s="938">
        <f t="shared" si="113"/>
        <v>0</v>
      </c>
      <c r="FY36" s="938" t="str">
        <f t="shared" si="114"/>
        <v/>
      </c>
      <c r="FZ36" s="713">
        <f>'min. Düngung 22'!BJ37</f>
        <v>0</v>
      </c>
      <c r="GA36" s="938"/>
      <c r="GB36" s="938"/>
      <c r="GC36" s="938">
        <f t="shared" si="115"/>
        <v>0</v>
      </c>
      <c r="GD36" s="938">
        <f t="shared" si="116"/>
        <v>0</v>
      </c>
      <c r="GE36" s="938">
        <f t="shared" si="117"/>
        <v>0</v>
      </c>
      <c r="GF36" s="938">
        <f t="shared" si="118"/>
        <v>0</v>
      </c>
      <c r="GG36" s="938">
        <f t="shared" si="119"/>
        <v>0</v>
      </c>
      <c r="GH36" s="938" t="str">
        <f t="shared" si="120"/>
        <v/>
      </c>
      <c r="GI36" s="713">
        <f>'min. Düngung 22'!BM37</f>
        <v>0</v>
      </c>
      <c r="GJ36" s="938"/>
      <c r="GK36" s="938"/>
      <c r="GL36" s="938">
        <f t="shared" si="121"/>
        <v>0</v>
      </c>
      <c r="GM36" s="938">
        <f t="shared" si="122"/>
        <v>0</v>
      </c>
      <c r="GN36" s="938">
        <f t="shared" si="123"/>
        <v>0</v>
      </c>
      <c r="GO36" s="938">
        <f t="shared" si="124"/>
        <v>0</v>
      </c>
      <c r="GP36" s="938">
        <f t="shared" si="125"/>
        <v>0</v>
      </c>
      <c r="GQ36" s="938" t="str">
        <f t="shared" si="126"/>
        <v/>
      </c>
      <c r="GR36" s="713">
        <f>'min. Düngung 22'!BP37</f>
        <v>0</v>
      </c>
      <c r="GS36" s="938"/>
      <c r="GT36" s="938"/>
      <c r="GU36" s="938">
        <f t="shared" si="127"/>
        <v>0</v>
      </c>
      <c r="GV36" s="938">
        <f t="shared" si="128"/>
        <v>0</v>
      </c>
      <c r="GW36" s="938">
        <f t="shared" si="129"/>
        <v>0</v>
      </c>
      <c r="GX36" s="938">
        <f t="shared" si="130"/>
        <v>0</v>
      </c>
      <c r="GY36" s="938">
        <f t="shared" si="131"/>
        <v>0</v>
      </c>
      <c r="GZ36" s="938" t="str">
        <f t="shared" si="132"/>
        <v/>
      </c>
      <c r="HA36" s="713">
        <f>'min. Düngung 22'!BS37</f>
        <v>0</v>
      </c>
      <c r="HB36" s="938"/>
      <c r="HC36" s="938"/>
      <c r="HD36" s="938">
        <f t="shared" si="133"/>
        <v>0</v>
      </c>
      <c r="HE36" s="938">
        <f t="shared" si="134"/>
        <v>0</v>
      </c>
      <c r="HF36" s="938">
        <f t="shared" si="135"/>
        <v>0</v>
      </c>
      <c r="HG36" s="938">
        <f t="shared" si="136"/>
        <v>0</v>
      </c>
      <c r="HH36" s="938">
        <f t="shared" si="137"/>
        <v>0</v>
      </c>
      <c r="HI36" s="938" t="str">
        <f t="shared" si="138"/>
        <v/>
      </c>
      <c r="HJ36" s="713">
        <f>'min. Düngung 22'!BV37</f>
        <v>0</v>
      </c>
      <c r="HK36" s="938"/>
      <c r="HL36" s="938"/>
      <c r="HM36" s="938">
        <f t="shared" si="139"/>
        <v>0</v>
      </c>
      <c r="HN36" s="938">
        <f t="shared" si="140"/>
        <v>0</v>
      </c>
      <c r="HO36" s="938">
        <f t="shared" si="141"/>
        <v>0</v>
      </c>
      <c r="HP36" s="938">
        <f t="shared" si="142"/>
        <v>0</v>
      </c>
      <c r="HQ36" s="938">
        <f t="shared" si="143"/>
        <v>0</v>
      </c>
      <c r="HR36" s="938" t="str">
        <f t="shared" si="144"/>
        <v/>
      </c>
      <c r="HS36" s="713">
        <f>'min. Düngung 22'!BY37</f>
        <v>0</v>
      </c>
      <c r="HT36" s="938"/>
      <c r="HU36" s="938"/>
      <c r="HV36" s="938">
        <f t="shared" si="145"/>
        <v>0</v>
      </c>
      <c r="HW36" s="938">
        <f t="shared" si="146"/>
        <v>0</v>
      </c>
      <c r="HX36" s="938">
        <f t="shared" si="147"/>
        <v>0</v>
      </c>
      <c r="HY36" s="938">
        <f t="shared" si="148"/>
        <v>0</v>
      </c>
      <c r="HZ36" s="938">
        <f t="shared" si="149"/>
        <v>0</v>
      </c>
      <c r="IA36" s="938" t="str">
        <f t="shared" si="150"/>
        <v/>
      </c>
      <c r="IB36" s="713">
        <f>'min. Düngung 22'!CB37</f>
        <v>0</v>
      </c>
      <c r="IC36" s="938"/>
      <c r="ID36" s="938"/>
      <c r="IE36" s="938">
        <f t="shared" si="151"/>
        <v>0</v>
      </c>
      <c r="IF36" s="938">
        <f t="shared" si="152"/>
        <v>0</v>
      </c>
      <c r="IG36" s="938">
        <f t="shared" si="153"/>
        <v>0</v>
      </c>
      <c r="IH36" s="938">
        <f t="shared" si="154"/>
        <v>0</v>
      </c>
      <c r="II36" s="938">
        <f t="shared" si="155"/>
        <v>0</v>
      </c>
      <c r="IJ36" s="938" t="str">
        <f t="shared" si="156"/>
        <v/>
      </c>
      <c r="IK36" s="713">
        <f>'min. Düngung 22'!CE37</f>
        <v>0</v>
      </c>
      <c r="IL36" s="938"/>
      <c r="IM36" s="938"/>
      <c r="IN36" s="938">
        <f t="shared" si="157"/>
        <v>0</v>
      </c>
      <c r="IO36" s="938">
        <f t="shared" si="158"/>
        <v>0</v>
      </c>
      <c r="IP36" s="938">
        <f t="shared" si="159"/>
        <v>0</v>
      </c>
      <c r="IQ36" s="938">
        <f t="shared" si="160"/>
        <v>0</v>
      </c>
      <c r="IR36" s="938">
        <f t="shared" si="161"/>
        <v>0</v>
      </c>
      <c r="IS36" s="938" t="str">
        <f t="shared" si="162"/>
        <v/>
      </c>
      <c r="IT36" s="713">
        <f>'min. Düngung 22'!CH37</f>
        <v>0</v>
      </c>
      <c r="IU36" s="938"/>
      <c r="IV36" s="938"/>
      <c r="IW36" s="938">
        <f t="shared" si="163"/>
        <v>0</v>
      </c>
      <c r="IX36" s="938">
        <f t="shared" si="164"/>
        <v>0</v>
      </c>
      <c r="IY36" s="938">
        <f t="shared" si="165"/>
        <v>0</v>
      </c>
      <c r="IZ36" s="938">
        <f t="shared" si="166"/>
        <v>0</v>
      </c>
      <c r="JA36" s="938">
        <f t="shared" si="167"/>
        <v>0</v>
      </c>
      <c r="JB36" s="938" t="str">
        <f t="shared" si="168"/>
        <v/>
      </c>
      <c r="JC36" s="713">
        <f>'min. Düngung 22'!CK37</f>
        <v>0</v>
      </c>
      <c r="JD36" s="938"/>
      <c r="JE36" s="938"/>
      <c r="JF36" s="938">
        <f t="shared" si="169"/>
        <v>0</v>
      </c>
      <c r="JG36" s="938">
        <f t="shared" si="170"/>
        <v>0</v>
      </c>
      <c r="JH36" s="938">
        <f t="shared" si="171"/>
        <v>0</v>
      </c>
      <c r="JI36" s="938">
        <f t="shared" si="172"/>
        <v>0</v>
      </c>
      <c r="JJ36" s="938">
        <f t="shared" si="173"/>
        <v>0</v>
      </c>
      <c r="JK36" s="938" t="str">
        <f t="shared" si="174"/>
        <v/>
      </c>
      <c r="JL36" s="713">
        <f>'min. Düngung 22'!CN37</f>
        <v>0</v>
      </c>
      <c r="JM36" s="938"/>
      <c r="JN36" s="938"/>
      <c r="JO36" s="938">
        <f t="shared" si="175"/>
        <v>0</v>
      </c>
      <c r="JP36" s="938">
        <f t="shared" si="176"/>
        <v>0</v>
      </c>
      <c r="JQ36" s="938">
        <f t="shared" si="177"/>
        <v>0</v>
      </c>
      <c r="JR36" s="938">
        <f t="shared" si="178"/>
        <v>0</v>
      </c>
      <c r="JS36" s="938">
        <f t="shared" si="179"/>
        <v>0</v>
      </c>
      <c r="JT36" s="938" t="str">
        <f t="shared" si="180"/>
        <v/>
      </c>
      <c r="JU36" s="713">
        <f>'min. Düngung 22'!CQ37</f>
        <v>0</v>
      </c>
      <c r="JV36" s="938"/>
      <c r="JW36" s="938"/>
      <c r="JX36" s="938">
        <f t="shared" si="181"/>
        <v>0</v>
      </c>
      <c r="JY36" s="938">
        <f t="shared" si="182"/>
        <v>0</v>
      </c>
      <c r="JZ36" s="938">
        <f t="shared" si="183"/>
        <v>0</v>
      </c>
      <c r="KA36" s="938">
        <f t="shared" si="184"/>
        <v>0</v>
      </c>
      <c r="KB36" s="938">
        <f t="shared" si="185"/>
        <v>0</v>
      </c>
      <c r="KC36" s="938" t="str">
        <f t="shared" si="186"/>
        <v/>
      </c>
      <c r="KE36" s="938"/>
      <c r="KF36" s="938" t="str">
        <f>IF(AND($F36=2,$G36=1),"",IF(OR($Q36&gt;0,$O36&gt;60),$KF$7,IF(I36=70,"",IF(AND(I36=80,R36+'#orgDung'!AC39&lt;60,K36=1,OR(C36=2,'#BerechnungDBE'!AH30=4)),"",IF(R36&gt;0,$KF$7,"")))))</f>
        <v/>
      </c>
      <c r="KG36" s="938" t="str">
        <f>IF(AND(P36&gt;'#BerechnungDBE'!BJ30,P36&gt;0),'#minDung'!$KG$7,"")</f>
        <v/>
      </c>
      <c r="KH36" s="938" t="str">
        <f>IF(AND(I36=70,R36&gt;'#BerechnungDBE'!CR30),'#minDung'!$KH$7,"")</f>
        <v/>
      </c>
      <c r="KI36" s="938" t="str">
        <f>IF('#BerechnungDBE'!P30&lt;4,"",IF(AND('#BerechnungDBE'!BZ30&gt;0,N36&gt;0),$KI$7,""))</f>
        <v/>
      </c>
      <c r="KJ36" s="938" t="str">
        <f t="shared" si="5"/>
        <v/>
      </c>
    </row>
    <row r="37" spans="1:296" s="875" customFormat="1" hidden="1" x14ac:dyDescent="0.2">
      <c r="A37" s="875">
        <f>'Flächen u. Kulturen'!A36</f>
        <v>27</v>
      </c>
      <c r="B37" s="734">
        <f>'#BerechnungDBE'!L31</f>
        <v>0</v>
      </c>
      <c r="C37" s="46">
        <f>'#orgDung'!C40</f>
        <v>1</v>
      </c>
      <c r="D37" s="875">
        <f>'#BerechnungDBE'!T31</f>
        <v>2</v>
      </c>
      <c r="E37" s="875" t="str">
        <f>'Flächen u. Kulturen'!E36</f>
        <v>x</v>
      </c>
      <c r="F37" s="52">
        <f>'#BerechnungDBE'!N31</f>
        <v>1</v>
      </c>
      <c r="G37" s="52">
        <f>'#BerechnungDBE'!O31</f>
        <v>1</v>
      </c>
      <c r="H37" s="505">
        <f>'#orgDung'!J40</f>
        <v>2</v>
      </c>
      <c r="I37" s="875">
        <f>'#BerechnungDBE'!AF31</f>
        <v>0</v>
      </c>
      <c r="J37" s="875">
        <f>'#orgDung'!M40</f>
        <v>0</v>
      </c>
      <c r="K37" s="875">
        <f>'#BerechnungDBE'!AG31</f>
        <v>0</v>
      </c>
      <c r="M37" s="875">
        <f t="shared" si="0"/>
        <v>0</v>
      </c>
      <c r="N37" s="875">
        <f t="shared" si="1"/>
        <v>0</v>
      </c>
      <c r="O37" s="875">
        <f t="shared" si="2"/>
        <v>0</v>
      </c>
      <c r="P37" s="875">
        <f t="shared" si="4"/>
        <v>0</v>
      </c>
      <c r="Q37" s="938">
        <f t="shared" si="6"/>
        <v>0</v>
      </c>
      <c r="R37" s="875">
        <f t="shared" si="3"/>
        <v>0</v>
      </c>
      <c r="T37" s="713">
        <f>'min. Düngung 22'!H38</f>
        <v>0</v>
      </c>
      <c r="W37" s="875">
        <f t="shared" si="7"/>
        <v>0</v>
      </c>
      <c r="X37" s="875">
        <f t="shared" si="8"/>
        <v>0</v>
      </c>
      <c r="Y37" s="875">
        <f t="shared" si="9"/>
        <v>0</v>
      </c>
      <c r="Z37" s="875">
        <f t="shared" si="10"/>
        <v>0</v>
      </c>
      <c r="AA37" s="875">
        <f t="shared" si="11"/>
        <v>0</v>
      </c>
      <c r="AB37" s="875" t="str">
        <f t="shared" si="12"/>
        <v/>
      </c>
      <c r="AC37" s="713">
        <f>'min. Düngung 22'!K38</f>
        <v>0</v>
      </c>
      <c r="AD37" s="938"/>
      <c r="AE37" s="938"/>
      <c r="AF37" s="938">
        <f t="shared" si="13"/>
        <v>0</v>
      </c>
      <c r="AG37" s="938">
        <f t="shared" si="14"/>
        <v>0</v>
      </c>
      <c r="AH37" s="938">
        <f t="shared" si="15"/>
        <v>0</v>
      </c>
      <c r="AI37" s="938">
        <f t="shared" si="16"/>
        <v>0</v>
      </c>
      <c r="AJ37" s="938">
        <f t="shared" si="17"/>
        <v>0</v>
      </c>
      <c r="AK37" s="938">
        <f t="shared" si="18"/>
        <v>0</v>
      </c>
      <c r="AL37" s="713">
        <f>'min. Düngung 22'!N38</f>
        <v>0</v>
      </c>
      <c r="AM37" s="938"/>
      <c r="AN37" s="938"/>
      <c r="AO37" s="938">
        <f t="shared" si="19"/>
        <v>0</v>
      </c>
      <c r="AP37" s="938">
        <f t="shared" si="20"/>
        <v>0</v>
      </c>
      <c r="AQ37" s="938">
        <f t="shared" si="21"/>
        <v>0</v>
      </c>
      <c r="AR37" s="938">
        <f t="shared" si="22"/>
        <v>0</v>
      </c>
      <c r="AS37" s="938">
        <f t="shared" si="23"/>
        <v>0</v>
      </c>
      <c r="AT37" s="938" t="str">
        <f t="shared" si="24"/>
        <v/>
      </c>
      <c r="AU37" s="713">
        <f>'min. Düngung 22'!Q38</f>
        <v>0</v>
      </c>
      <c r="AV37" s="938"/>
      <c r="AW37" s="938"/>
      <c r="AX37" s="938">
        <f t="shared" si="25"/>
        <v>0</v>
      </c>
      <c r="AY37" s="938">
        <f t="shared" si="26"/>
        <v>0</v>
      </c>
      <c r="AZ37" s="938">
        <f t="shared" si="27"/>
        <v>0</v>
      </c>
      <c r="BA37" s="938">
        <f t="shared" si="28"/>
        <v>0</v>
      </c>
      <c r="BB37" s="938">
        <f t="shared" si="29"/>
        <v>0</v>
      </c>
      <c r="BC37" s="938" t="str">
        <f t="shared" si="30"/>
        <v/>
      </c>
      <c r="BD37" s="713">
        <f>'min. Düngung 22'!T38</f>
        <v>0</v>
      </c>
      <c r="BE37" s="938"/>
      <c r="BF37" s="938"/>
      <c r="BG37" s="938">
        <f t="shared" si="31"/>
        <v>0</v>
      </c>
      <c r="BH37" s="938">
        <f t="shared" si="32"/>
        <v>0</v>
      </c>
      <c r="BI37" s="938">
        <f t="shared" si="33"/>
        <v>0</v>
      </c>
      <c r="BJ37" s="938">
        <f t="shared" si="34"/>
        <v>0</v>
      </c>
      <c r="BK37" s="938">
        <f t="shared" si="35"/>
        <v>0</v>
      </c>
      <c r="BL37" s="938" t="str">
        <f t="shared" si="36"/>
        <v/>
      </c>
      <c r="BM37" s="713">
        <f>'min. Düngung 22'!W38</f>
        <v>0</v>
      </c>
      <c r="BN37" s="938"/>
      <c r="BO37" s="938"/>
      <c r="BP37" s="938">
        <f t="shared" si="37"/>
        <v>0</v>
      </c>
      <c r="BQ37" s="938">
        <f t="shared" si="38"/>
        <v>0</v>
      </c>
      <c r="BR37" s="938">
        <f t="shared" si="39"/>
        <v>0</v>
      </c>
      <c r="BS37" s="938">
        <f t="shared" si="40"/>
        <v>0</v>
      </c>
      <c r="BT37" s="938">
        <f t="shared" si="41"/>
        <v>0</v>
      </c>
      <c r="BU37" s="938" t="str">
        <f t="shared" si="42"/>
        <v/>
      </c>
      <c r="BV37" s="713">
        <f>'min. Düngung 22'!Z38</f>
        <v>0</v>
      </c>
      <c r="BW37" s="938"/>
      <c r="BX37" s="938"/>
      <c r="BY37" s="938">
        <f t="shared" si="43"/>
        <v>0</v>
      </c>
      <c r="BZ37" s="938">
        <f t="shared" si="44"/>
        <v>0</v>
      </c>
      <c r="CA37" s="938">
        <f t="shared" si="45"/>
        <v>0</v>
      </c>
      <c r="CB37" s="938">
        <f t="shared" si="46"/>
        <v>0</v>
      </c>
      <c r="CC37" s="938">
        <f t="shared" si="47"/>
        <v>0</v>
      </c>
      <c r="CD37" s="938" t="str">
        <f t="shared" si="48"/>
        <v/>
      </c>
      <c r="CE37" s="713">
        <f>'min. Düngung 22'!AC38</f>
        <v>0</v>
      </c>
      <c r="CF37" s="938"/>
      <c r="CG37" s="938"/>
      <c r="CH37" s="938">
        <f t="shared" si="49"/>
        <v>0</v>
      </c>
      <c r="CI37" s="938">
        <f t="shared" si="50"/>
        <v>0</v>
      </c>
      <c r="CJ37" s="938">
        <f t="shared" si="51"/>
        <v>0</v>
      </c>
      <c r="CK37" s="938">
        <f t="shared" si="52"/>
        <v>0</v>
      </c>
      <c r="CL37" s="938">
        <f t="shared" si="53"/>
        <v>0</v>
      </c>
      <c r="CM37" s="938" t="str">
        <f t="shared" si="54"/>
        <v/>
      </c>
      <c r="CN37" s="713">
        <f>'min. Düngung 22'!AF38</f>
        <v>0</v>
      </c>
      <c r="CO37" s="938"/>
      <c r="CP37" s="938"/>
      <c r="CQ37" s="938">
        <f t="shared" si="55"/>
        <v>0</v>
      </c>
      <c r="CR37" s="938">
        <f t="shared" si="56"/>
        <v>0</v>
      </c>
      <c r="CS37" s="938">
        <f t="shared" si="57"/>
        <v>0</v>
      </c>
      <c r="CT37" s="938">
        <f t="shared" si="58"/>
        <v>0</v>
      </c>
      <c r="CU37" s="938">
        <f t="shared" si="59"/>
        <v>0</v>
      </c>
      <c r="CV37" s="938" t="str">
        <f t="shared" si="60"/>
        <v/>
      </c>
      <c r="CW37" s="713">
        <f>'min. Düngung 22'!AI38</f>
        <v>0</v>
      </c>
      <c r="CX37" s="938"/>
      <c r="CY37" s="938"/>
      <c r="CZ37" s="938">
        <f t="shared" si="61"/>
        <v>0</v>
      </c>
      <c r="DA37" s="938">
        <f t="shared" si="62"/>
        <v>0</v>
      </c>
      <c r="DB37" s="938">
        <f t="shared" si="63"/>
        <v>0</v>
      </c>
      <c r="DC37" s="938">
        <f t="shared" si="64"/>
        <v>0</v>
      </c>
      <c r="DD37" s="938">
        <f t="shared" si="65"/>
        <v>0</v>
      </c>
      <c r="DE37" s="938" t="str">
        <f t="shared" si="66"/>
        <v/>
      </c>
      <c r="DF37" s="713">
        <f>'min. Düngung 22'!AL38</f>
        <v>0</v>
      </c>
      <c r="DG37" s="938"/>
      <c r="DH37" s="938"/>
      <c r="DI37" s="938">
        <f t="shared" si="67"/>
        <v>0</v>
      </c>
      <c r="DJ37" s="938">
        <f t="shared" si="68"/>
        <v>0</v>
      </c>
      <c r="DK37" s="938">
        <f t="shared" si="69"/>
        <v>0</v>
      </c>
      <c r="DL37" s="938">
        <f t="shared" si="70"/>
        <v>0</v>
      </c>
      <c r="DM37" s="938">
        <f t="shared" si="71"/>
        <v>0</v>
      </c>
      <c r="DN37" s="938" t="str">
        <f t="shared" si="72"/>
        <v/>
      </c>
      <c r="DO37" s="713">
        <f>'min. Düngung 22'!AO38</f>
        <v>0</v>
      </c>
      <c r="DP37" s="938"/>
      <c r="DQ37" s="938"/>
      <c r="DR37" s="938">
        <f t="shared" si="73"/>
        <v>0</v>
      </c>
      <c r="DS37" s="938">
        <f t="shared" si="74"/>
        <v>0</v>
      </c>
      <c r="DT37" s="938">
        <f t="shared" si="75"/>
        <v>0</v>
      </c>
      <c r="DU37" s="938">
        <f t="shared" si="76"/>
        <v>0</v>
      </c>
      <c r="DV37" s="938">
        <f t="shared" si="77"/>
        <v>0</v>
      </c>
      <c r="DW37" s="938" t="str">
        <f t="shared" si="78"/>
        <v/>
      </c>
      <c r="DX37" s="713">
        <f>'min. Düngung 22'!AR38</f>
        <v>0</v>
      </c>
      <c r="DY37" s="938"/>
      <c r="DZ37" s="938"/>
      <c r="EA37" s="938">
        <f t="shared" si="79"/>
        <v>0</v>
      </c>
      <c r="EB37" s="938">
        <f t="shared" si="80"/>
        <v>0</v>
      </c>
      <c r="EC37" s="938">
        <f t="shared" si="81"/>
        <v>0</v>
      </c>
      <c r="ED37" s="938">
        <f t="shared" si="82"/>
        <v>0</v>
      </c>
      <c r="EE37" s="938">
        <f t="shared" si="83"/>
        <v>0</v>
      </c>
      <c r="EF37" s="938" t="str">
        <f t="shared" si="84"/>
        <v/>
      </c>
      <c r="EG37" s="713">
        <f>'min. Düngung 22'!AU38</f>
        <v>0</v>
      </c>
      <c r="EH37" s="938"/>
      <c r="EI37" s="938"/>
      <c r="EJ37" s="938">
        <f t="shared" si="85"/>
        <v>0</v>
      </c>
      <c r="EK37" s="938">
        <f t="shared" si="86"/>
        <v>0</v>
      </c>
      <c r="EL37" s="938">
        <f t="shared" si="87"/>
        <v>0</v>
      </c>
      <c r="EM37" s="938">
        <f t="shared" si="88"/>
        <v>0</v>
      </c>
      <c r="EN37" s="938">
        <f t="shared" si="89"/>
        <v>0</v>
      </c>
      <c r="EO37" s="938" t="str">
        <f t="shared" si="90"/>
        <v/>
      </c>
      <c r="EP37" s="713">
        <f>'min. Düngung 22'!AX38</f>
        <v>0</v>
      </c>
      <c r="EQ37" s="938"/>
      <c r="ER37" s="938"/>
      <c r="ES37" s="938">
        <f t="shared" si="91"/>
        <v>0</v>
      </c>
      <c r="ET37" s="938">
        <f t="shared" si="92"/>
        <v>0</v>
      </c>
      <c r="EU37" s="938">
        <f t="shared" si="93"/>
        <v>0</v>
      </c>
      <c r="EV37" s="938">
        <f t="shared" si="94"/>
        <v>0</v>
      </c>
      <c r="EW37" s="938">
        <f t="shared" si="95"/>
        <v>0</v>
      </c>
      <c r="EX37" s="938" t="str">
        <f t="shared" si="96"/>
        <v/>
      </c>
      <c r="EY37" s="713">
        <f>'min. Düngung 22'!BA38</f>
        <v>0</v>
      </c>
      <c r="EZ37" s="938"/>
      <c r="FA37" s="938"/>
      <c r="FB37" s="938">
        <f t="shared" si="97"/>
        <v>0</v>
      </c>
      <c r="FC37" s="938">
        <f t="shared" si="98"/>
        <v>0</v>
      </c>
      <c r="FD37" s="938">
        <f t="shared" si="99"/>
        <v>0</v>
      </c>
      <c r="FE37" s="938">
        <f t="shared" si="100"/>
        <v>0</v>
      </c>
      <c r="FF37" s="938">
        <f t="shared" si="101"/>
        <v>0</v>
      </c>
      <c r="FG37" s="938" t="str">
        <f t="shared" si="102"/>
        <v/>
      </c>
      <c r="FH37" s="713">
        <f>'min. Düngung 22'!BD38</f>
        <v>0</v>
      </c>
      <c r="FI37" s="938"/>
      <c r="FJ37" s="938"/>
      <c r="FK37" s="938">
        <f t="shared" si="103"/>
        <v>0</v>
      </c>
      <c r="FL37" s="938">
        <f t="shared" si="104"/>
        <v>0</v>
      </c>
      <c r="FM37" s="938">
        <f t="shared" si="105"/>
        <v>0</v>
      </c>
      <c r="FN37" s="938">
        <f t="shared" si="106"/>
        <v>0</v>
      </c>
      <c r="FO37" s="938">
        <f t="shared" si="107"/>
        <v>0</v>
      </c>
      <c r="FP37" s="938" t="str">
        <f t="shared" si="108"/>
        <v/>
      </c>
      <c r="FQ37" s="713">
        <f>'min. Düngung 22'!BG38</f>
        <v>0</v>
      </c>
      <c r="FR37" s="938"/>
      <c r="FS37" s="938"/>
      <c r="FT37" s="938">
        <f t="shared" si="109"/>
        <v>0</v>
      </c>
      <c r="FU37" s="938">
        <f t="shared" si="110"/>
        <v>0</v>
      </c>
      <c r="FV37" s="938">
        <f t="shared" si="111"/>
        <v>0</v>
      </c>
      <c r="FW37" s="938">
        <f t="shared" si="112"/>
        <v>0</v>
      </c>
      <c r="FX37" s="938">
        <f t="shared" si="113"/>
        <v>0</v>
      </c>
      <c r="FY37" s="938" t="str">
        <f t="shared" si="114"/>
        <v/>
      </c>
      <c r="FZ37" s="713">
        <f>'min. Düngung 22'!BJ38</f>
        <v>0</v>
      </c>
      <c r="GA37" s="938"/>
      <c r="GB37" s="938"/>
      <c r="GC37" s="938">
        <f t="shared" si="115"/>
        <v>0</v>
      </c>
      <c r="GD37" s="938">
        <f t="shared" si="116"/>
        <v>0</v>
      </c>
      <c r="GE37" s="938">
        <f t="shared" si="117"/>
        <v>0</v>
      </c>
      <c r="GF37" s="938">
        <f t="shared" si="118"/>
        <v>0</v>
      </c>
      <c r="GG37" s="938">
        <f t="shared" si="119"/>
        <v>0</v>
      </c>
      <c r="GH37" s="938" t="str">
        <f t="shared" si="120"/>
        <v/>
      </c>
      <c r="GI37" s="713">
        <f>'min. Düngung 22'!BM38</f>
        <v>0</v>
      </c>
      <c r="GJ37" s="938"/>
      <c r="GK37" s="938"/>
      <c r="GL37" s="938">
        <f t="shared" si="121"/>
        <v>0</v>
      </c>
      <c r="GM37" s="938">
        <f t="shared" si="122"/>
        <v>0</v>
      </c>
      <c r="GN37" s="938">
        <f t="shared" si="123"/>
        <v>0</v>
      </c>
      <c r="GO37" s="938">
        <f t="shared" si="124"/>
        <v>0</v>
      </c>
      <c r="GP37" s="938">
        <f t="shared" si="125"/>
        <v>0</v>
      </c>
      <c r="GQ37" s="938" t="str">
        <f t="shared" si="126"/>
        <v/>
      </c>
      <c r="GR37" s="713">
        <f>'min. Düngung 22'!BP38</f>
        <v>0</v>
      </c>
      <c r="GS37" s="938"/>
      <c r="GT37" s="938"/>
      <c r="GU37" s="938">
        <f t="shared" si="127"/>
        <v>0</v>
      </c>
      <c r="GV37" s="938">
        <f t="shared" si="128"/>
        <v>0</v>
      </c>
      <c r="GW37" s="938">
        <f t="shared" si="129"/>
        <v>0</v>
      </c>
      <c r="GX37" s="938">
        <f t="shared" si="130"/>
        <v>0</v>
      </c>
      <c r="GY37" s="938">
        <f t="shared" si="131"/>
        <v>0</v>
      </c>
      <c r="GZ37" s="938" t="str">
        <f t="shared" si="132"/>
        <v/>
      </c>
      <c r="HA37" s="713">
        <f>'min. Düngung 22'!BS38</f>
        <v>0</v>
      </c>
      <c r="HB37" s="938"/>
      <c r="HC37" s="938"/>
      <c r="HD37" s="938">
        <f t="shared" si="133"/>
        <v>0</v>
      </c>
      <c r="HE37" s="938">
        <f t="shared" si="134"/>
        <v>0</v>
      </c>
      <c r="HF37" s="938">
        <f t="shared" si="135"/>
        <v>0</v>
      </c>
      <c r="HG37" s="938">
        <f t="shared" si="136"/>
        <v>0</v>
      </c>
      <c r="HH37" s="938">
        <f t="shared" si="137"/>
        <v>0</v>
      </c>
      <c r="HI37" s="938" t="str">
        <f t="shared" si="138"/>
        <v/>
      </c>
      <c r="HJ37" s="713">
        <f>'min. Düngung 22'!BV38</f>
        <v>0</v>
      </c>
      <c r="HK37" s="938"/>
      <c r="HL37" s="938"/>
      <c r="HM37" s="938">
        <f t="shared" si="139"/>
        <v>0</v>
      </c>
      <c r="HN37" s="938">
        <f t="shared" si="140"/>
        <v>0</v>
      </c>
      <c r="HO37" s="938">
        <f t="shared" si="141"/>
        <v>0</v>
      </c>
      <c r="HP37" s="938">
        <f t="shared" si="142"/>
        <v>0</v>
      </c>
      <c r="HQ37" s="938">
        <f t="shared" si="143"/>
        <v>0</v>
      </c>
      <c r="HR37" s="938" t="str">
        <f t="shared" si="144"/>
        <v/>
      </c>
      <c r="HS37" s="713">
        <f>'min. Düngung 22'!BY38</f>
        <v>0</v>
      </c>
      <c r="HT37" s="938"/>
      <c r="HU37" s="938"/>
      <c r="HV37" s="938">
        <f t="shared" si="145"/>
        <v>0</v>
      </c>
      <c r="HW37" s="938">
        <f t="shared" si="146"/>
        <v>0</v>
      </c>
      <c r="HX37" s="938">
        <f t="shared" si="147"/>
        <v>0</v>
      </c>
      <c r="HY37" s="938">
        <f t="shared" si="148"/>
        <v>0</v>
      </c>
      <c r="HZ37" s="938">
        <f t="shared" si="149"/>
        <v>0</v>
      </c>
      <c r="IA37" s="938" t="str">
        <f t="shared" si="150"/>
        <v/>
      </c>
      <c r="IB37" s="713">
        <f>'min. Düngung 22'!CB38</f>
        <v>0</v>
      </c>
      <c r="IC37" s="938"/>
      <c r="ID37" s="938"/>
      <c r="IE37" s="938">
        <f t="shared" si="151"/>
        <v>0</v>
      </c>
      <c r="IF37" s="938">
        <f t="shared" si="152"/>
        <v>0</v>
      </c>
      <c r="IG37" s="938">
        <f t="shared" si="153"/>
        <v>0</v>
      </c>
      <c r="IH37" s="938">
        <f t="shared" si="154"/>
        <v>0</v>
      </c>
      <c r="II37" s="938">
        <f t="shared" si="155"/>
        <v>0</v>
      </c>
      <c r="IJ37" s="938" t="str">
        <f t="shared" si="156"/>
        <v/>
      </c>
      <c r="IK37" s="713">
        <f>'min. Düngung 22'!CE38</f>
        <v>0</v>
      </c>
      <c r="IL37" s="938"/>
      <c r="IM37" s="938"/>
      <c r="IN37" s="938">
        <f t="shared" si="157"/>
        <v>0</v>
      </c>
      <c r="IO37" s="938">
        <f t="shared" si="158"/>
        <v>0</v>
      </c>
      <c r="IP37" s="938">
        <f t="shared" si="159"/>
        <v>0</v>
      </c>
      <c r="IQ37" s="938">
        <f t="shared" si="160"/>
        <v>0</v>
      </c>
      <c r="IR37" s="938">
        <f t="shared" si="161"/>
        <v>0</v>
      </c>
      <c r="IS37" s="938" t="str">
        <f t="shared" si="162"/>
        <v/>
      </c>
      <c r="IT37" s="713">
        <f>'min. Düngung 22'!CH38</f>
        <v>0</v>
      </c>
      <c r="IU37" s="938"/>
      <c r="IV37" s="938"/>
      <c r="IW37" s="938">
        <f t="shared" si="163"/>
        <v>0</v>
      </c>
      <c r="IX37" s="938">
        <f t="shared" si="164"/>
        <v>0</v>
      </c>
      <c r="IY37" s="938">
        <f t="shared" si="165"/>
        <v>0</v>
      </c>
      <c r="IZ37" s="938">
        <f t="shared" si="166"/>
        <v>0</v>
      </c>
      <c r="JA37" s="938">
        <f t="shared" si="167"/>
        <v>0</v>
      </c>
      <c r="JB37" s="938" t="str">
        <f t="shared" si="168"/>
        <v/>
      </c>
      <c r="JC37" s="713">
        <f>'min. Düngung 22'!CK38</f>
        <v>0</v>
      </c>
      <c r="JD37" s="938"/>
      <c r="JE37" s="938"/>
      <c r="JF37" s="938">
        <f t="shared" si="169"/>
        <v>0</v>
      </c>
      <c r="JG37" s="938">
        <f t="shared" si="170"/>
        <v>0</v>
      </c>
      <c r="JH37" s="938">
        <f t="shared" si="171"/>
        <v>0</v>
      </c>
      <c r="JI37" s="938">
        <f t="shared" si="172"/>
        <v>0</v>
      </c>
      <c r="JJ37" s="938">
        <f t="shared" si="173"/>
        <v>0</v>
      </c>
      <c r="JK37" s="938" t="str">
        <f t="shared" si="174"/>
        <v/>
      </c>
      <c r="JL37" s="713">
        <f>'min. Düngung 22'!CN38</f>
        <v>0</v>
      </c>
      <c r="JM37" s="938"/>
      <c r="JN37" s="938"/>
      <c r="JO37" s="938">
        <f t="shared" si="175"/>
        <v>0</v>
      </c>
      <c r="JP37" s="938">
        <f t="shared" si="176"/>
        <v>0</v>
      </c>
      <c r="JQ37" s="938">
        <f t="shared" si="177"/>
        <v>0</v>
      </c>
      <c r="JR37" s="938">
        <f t="shared" si="178"/>
        <v>0</v>
      </c>
      <c r="JS37" s="938">
        <f t="shared" si="179"/>
        <v>0</v>
      </c>
      <c r="JT37" s="938" t="str">
        <f t="shared" si="180"/>
        <v/>
      </c>
      <c r="JU37" s="713">
        <f>'min. Düngung 22'!CQ38</f>
        <v>0</v>
      </c>
      <c r="JV37" s="938"/>
      <c r="JW37" s="938"/>
      <c r="JX37" s="938">
        <f t="shared" si="181"/>
        <v>0</v>
      </c>
      <c r="JY37" s="938">
        <f t="shared" si="182"/>
        <v>0</v>
      </c>
      <c r="JZ37" s="938">
        <f t="shared" si="183"/>
        <v>0</v>
      </c>
      <c r="KA37" s="938">
        <f t="shared" si="184"/>
        <v>0</v>
      </c>
      <c r="KB37" s="938">
        <f t="shared" si="185"/>
        <v>0</v>
      </c>
      <c r="KC37" s="938" t="str">
        <f t="shared" si="186"/>
        <v/>
      </c>
      <c r="KE37" s="938"/>
      <c r="KF37" s="938" t="str">
        <f>IF(AND($F37=2,$G37=1),"",IF(OR($Q37&gt;0,$O37&gt;60),$KF$7,IF(I37=70,"",IF(AND(I37=80,R37+'#orgDung'!AC40&lt;60,K37=1,OR(C37=2,'#BerechnungDBE'!AH31=4)),"",IF(R37&gt;0,$KF$7,"")))))</f>
        <v/>
      </c>
      <c r="KG37" s="938" t="str">
        <f>IF(AND(P37&gt;'#BerechnungDBE'!BJ31,P37&gt;0),'#minDung'!$KG$7,"")</f>
        <v/>
      </c>
      <c r="KH37" s="938" t="str">
        <f>IF(AND(I37=70,R37&gt;'#BerechnungDBE'!CR31),'#minDung'!$KH$7,"")</f>
        <v/>
      </c>
      <c r="KI37" s="938" t="str">
        <f>IF('#BerechnungDBE'!P31&lt;4,"",IF(AND('#BerechnungDBE'!BZ31&gt;0,N37&gt;0),$KI$7,""))</f>
        <v/>
      </c>
      <c r="KJ37" s="938" t="str">
        <f t="shared" si="5"/>
        <v/>
      </c>
    </row>
    <row r="38" spans="1:296" s="875" customFormat="1" hidden="1" x14ac:dyDescent="0.2">
      <c r="A38" s="875">
        <f>'Flächen u. Kulturen'!A37</f>
        <v>28</v>
      </c>
      <c r="B38" s="734">
        <f>'#BerechnungDBE'!L32</f>
        <v>0</v>
      </c>
      <c r="C38" s="46">
        <f>'#orgDung'!C41</f>
        <v>1</v>
      </c>
      <c r="D38" s="875">
        <f>'#BerechnungDBE'!T32</f>
        <v>2</v>
      </c>
      <c r="E38" s="875" t="str">
        <f>'Flächen u. Kulturen'!E37</f>
        <v>x</v>
      </c>
      <c r="F38" s="52">
        <f>'#BerechnungDBE'!N32</f>
        <v>1</v>
      </c>
      <c r="G38" s="52">
        <f>'#BerechnungDBE'!O32</f>
        <v>1</v>
      </c>
      <c r="H38" s="505">
        <f>'#orgDung'!J41</f>
        <v>2</v>
      </c>
      <c r="I38" s="875">
        <f>'#BerechnungDBE'!AF32</f>
        <v>0</v>
      </c>
      <c r="J38" s="875">
        <f>'#orgDung'!M41</f>
        <v>0</v>
      </c>
      <c r="K38" s="875">
        <f>'#BerechnungDBE'!AG32</f>
        <v>0</v>
      </c>
      <c r="M38" s="875">
        <f t="shared" si="0"/>
        <v>0</v>
      </c>
      <c r="N38" s="875">
        <f t="shared" si="1"/>
        <v>0</v>
      </c>
      <c r="O38" s="875">
        <f t="shared" si="2"/>
        <v>0</v>
      </c>
      <c r="P38" s="875">
        <f t="shared" si="4"/>
        <v>0</v>
      </c>
      <c r="Q38" s="938">
        <f t="shared" si="6"/>
        <v>0</v>
      </c>
      <c r="R38" s="875">
        <f t="shared" si="3"/>
        <v>0</v>
      </c>
      <c r="T38" s="713">
        <f>'min. Düngung 22'!H39</f>
        <v>0</v>
      </c>
      <c r="W38" s="875">
        <f t="shared" si="7"/>
        <v>0</v>
      </c>
      <c r="X38" s="875">
        <f t="shared" si="8"/>
        <v>0</v>
      </c>
      <c r="Y38" s="875">
        <f t="shared" si="9"/>
        <v>0</v>
      </c>
      <c r="Z38" s="875">
        <f t="shared" si="10"/>
        <v>0</v>
      </c>
      <c r="AA38" s="875">
        <f t="shared" si="11"/>
        <v>0</v>
      </c>
      <c r="AB38" s="875" t="str">
        <f t="shared" si="12"/>
        <v/>
      </c>
      <c r="AC38" s="713">
        <f>'min. Düngung 22'!K39</f>
        <v>0</v>
      </c>
      <c r="AD38" s="938"/>
      <c r="AE38" s="938"/>
      <c r="AF38" s="938">
        <f t="shared" si="13"/>
        <v>0</v>
      </c>
      <c r="AG38" s="938">
        <f t="shared" si="14"/>
        <v>0</v>
      </c>
      <c r="AH38" s="938">
        <f t="shared" si="15"/>
        <v>0</v>
      </c>
      <c r="AI38" s="938">
        <f t="shared" si="16"/>
        <v>0</v>
      </c>
      <c r="AJ38" s="938">
        <f t="shared" si="17"/>
        <v>0</v>
      </c>
      <c r="AK38" s="938">
        <f t="shared" si="18"/>
        <v>0</v>
      </c>
      <c r="AL38" s="713">
        <f>'min. Düngung 22'!N39</f>
        <v>0</v>
      </c>
      <c r="AM38" s="938"/>
      <c r="AN38" s="938"/>
      <c r="AO38" s="938">
        <f t="shared" si="19"/>
        <v>0</v>
      </c>
      <c r="AP38" s="938">
        <f t="shared" si="20"/>
        <v>0</v>
      </c>
      <c r="AQ38" s="938">
        <f t="shared" si="21"/>
        <v>0</v>
      </c>
      <c r="AR38" s="938">
        <f t="shared" si="22"/>
        <v>0</v>
      </c>
      <c r="AS38" s="938">
        <f t="shared" si="23"/>
        <v>0</v>
      </c>
      <c r="AT38" s="938" t="str">
        <f t="shared" si="24"/>
        <v/>
      </c>
      <c r="AU38" s="713">
        <f>'min. Düngung 22'!Q39</f>
        <v>0</v>
      </c>
      <c r="AV38" s="938"/>
      <c r="AW38" s="938"/>
      <c r="AX38" s="938">
        <f t="shared" si="25"/>
        <v>0</v>
      </c>
      <c r="AY38" s="938">
        <f t="shared" si="26"/>
        <v>0</v>
      </c>
      <c r="AZ38" s="938">
        <f t="shared" si="27"/>
        <v>0</v>
      </c>
      <c r="BA38" s="938">
        <f t="shared" si="28"/>
        <v>0</v>
      </c>
      <c r="BB38" s="938">
        <f t="shared" si="29"/>
        <v>0</v>
      </c>
      <c r="BC38" s="938" t="str">
        <f t="shared" si="30"/>
        <v/>
      </c>
      <c r="BD38" s="713">
        <f>'min. Düngung 22'!T39</f>
        <v>0</v>
      </c>
      <c r="BE38" s="938"/>
      <c r="BF38" s="938"/>
      <c r="BG38" s="938">
        <f t="shared" si="31"/>
        <v>0</v>
      </c>
      <c r="BH38" s="938">
        <f t="shared" si="32"/>
        <v>0</v>
      </c>
      <c r="BI38" s="938">
        <f t="shared" si="33"/>
        <v>0</v>
      </c>
      <c r="BJ38" s="938">
        <f t="shared" si="34"/>
        <v>0</v>
      </c>
      <c r="BK38" s="938">
        <f t="shared" si="35"/>
        <v>0</v>
      </c>
      <c r="BL38" s="938" t="str">
        <f t="shared" si="36"/>
        <v/>
      </c>
      <c r="BM38" s="713">
        <f>'min. Düngung 22'!W39</f>
        <v>0</v>
      </c>
      <c r="BN38" s="938"/>
      <c r="BO38" s="938"/>
      <c r="BP38" s="938">
        <f t="shared" si="37"/>
        <v>0</v>
      </c>
      <c r="BQ38" s="938">
        <f t="shared" si="38"/>
        <v>0</v>
      </c>
      <c r="BR38" s="938">
        <f t="shared" si="39"/>
        <v>0</v>
      </c>
      <c r="BS38" s="938">
        <f t="shared" si="40"/>
        <v>0</v>
      </c>
      <c r="BT38" s="938">
        <f t="shared" si="41"/>
        <v>0</v>
      </c>
      <c r="BU38" s="938" t="str">
        <f t="shared" si="42"/>
        <v/>
      </c>
      <c r="BV38" s="713">
        <f>'min. Düngung 22'!Z39</f>
        <v>0</v>
      </c>
      <c r="BW38" s="938"/>
      <c r="BX38" s="938"/>
      <c r="BY38" s="938">
        <f t="shared" si="43"/>
        <v>0</v>
      </c>
      <c r="BZ38" s="938">
        <f t="shared" si="44"/>
        <v>0</v>
      </c>
      <c r="CA38" s="938">
        <f t="shared" si="45"/>
        <v>0</v>
      </c>
      <c r="CB38" s="938">
        <f t="shared" si="46"/>
        <v>0</v>
      </c>
      <c r="CC38" s="938">
        <f t="shared" si="47"/>
        <v>0</v>
      </c>
      <c r="CD38" s="938" t="str">
        <f t="shared" si="48"/>
        <v/>
      </c>
      <c r="CE38" s="713">
        <f>'min. Düngung 22'!AC39</f>
        <v>0</v>
      </c>
      <c r="CF38" s="938"/>
      <c r="CG38" s="938"/>
      <c r="CH38" s="938">
        <f t="shared" si="49"/>
        <v>0</v>
      </c>
      <c r="CI38" s="938">
        <f t="shared" si="50"/>
        <v>0</v>
      </c>
      <c r="CJ38" s="938">
        <f t="shared" si="51"/>
        <v>0</v>
      </c>
      <c r="CK38" s="938">
        <f t="shared" si="52"/>
        <v>0</v>
      </c>
      <c r="CL38" s="938">
        <f t="shared" si="53"/>
        <v>0</v>
      </c>
      <c r="CM38" s="938" t="str">
        <f t="shared" si="54"/>
        <v/>
      </c>
      <c r="CN38" s="713">
        <f>'min. Düngung 22'!AF39</f>
        <v>0</v>
      </c>
      <c r="CO38" s="938"/>
      <c r="CP38" s="938"/>
      <c r="CQ38" s="938">
        <f t="shared" si="55"/>
        <v>0</v>
      </c>
      <c r="CR38" s="938">
        <f t="shared" si="56"/>
        <v>0</v>
      </c>
      <c r="CS38" s="938">
        <f t="shared" si="57"/>
        <v>0</v>
      </c>
      <c r="CT38" s="938">
        <f t="shared" si="58"/>
        <v>0</v>
      </c>
      <c r="CU38" s="938">
        <f t="shared" si="59"/>
        <v>0</v>
      </c>
      <c r="CV38" s="938" t="str">
        <f t="shared" si="60"/>
        <v/>
      </c>
      <c r="CW38" s="713">
        <f>'min. Düngung 22'!AI39</f>
        <v>0</v>
      </c>
      <c r="CX38" s="938"/>
      <c r="CY38" s="938"/>
      <c r="CZ38" s="938">
        <f t="shared" si="61"/>
        <v>0</v>
      </c>
      <c r="DA38" s="938">
        <f t="shared" si="62"/>
        <v>0</v>
      </c>
      <c r="DB38" s="938">
        <f t="shared" si="63"/>
        <v>0</v>
      </c>
      <c r="DC38" s="938">
        <f t="shared" si="64"/>
        <v>0</v>
      </c>
      <c r="DD38" s="938">
        <f t="shared" si="65"/>
        <v>0</v>
      </c>
      <c r="DE38" s="938" t="str">
        <f t="shared" si="66"/>
        <v/>
      </c>
      <c r="DF38" s="713">
        <f>'min. Düngung 22'!AL39</f>
        <v>0</v>
      </c>
      <c r="DG38" s="938"/>
      <c r="DH38" s="938"/>
      <c r="DI38" s="938">
        <f t="shared" si="67"/>
        <v>0</v>
      </c>
      <c r="DJ38" s="938">
        <f t="shared" si="68"/>
        <v>0</v>
      </c>
      <c r="DK38" s="938">
        <f t="shared" si="69"/>
        <v>0</v>
      </c>
      <c r="DL38" s="938">
        <f t="shared" si="70"/>
        <v>0</v>
      </c>
      <c r="DM38" s="938">
        <f t="shared" si="71"/>
        <v>0</v>
      </c>
      <c r="DN38" s="938" t="str">
        <f t="shared" si="72"/>
        <v/>
      </c>
      <c r="DO38" s="713">
        <f>'min. Düngung 22'!AO39</f>
        <v>0</v>
      </c>
      <c r="DP38" s="938"/>
      <c r="DQ38" s="938"/>
      <c r="DR38" s="938">
        <f t="shared" si="73"/>
        <v>0</v>
      </c>
      <c r="DS38" s="938">
        <f t="shared" si="74"/>
        <v>0</v>
      </c>
      <c r="DT38" s="938">
        <f t="shared" si="75"/>
        <v>0</v>
      </c>
      <c r="DU38" s="938">
        <f t="shared" si="76"/>
        <v>0</v>
      </c>
      <c r="DV38" s="938">
        <f t="shared" si="77"/>
        <v>0</v>
      </c>
      <c r="DW38" s="938" t="str">
        <f t="shared" si="78"/>
        <v/>
      </c>
      <c r="DX38" s="713">
        <f>'min. Düngung 22'!AR39</f>
        <v>0</v>
      </c>
      <c r="DY38" s="938"/>
      <c r="DZ38" s="938"/>
      <c r="EA38" s="938">
        <f t="shared" si="79"/>
        <v>0</v>
      </c>
      <c r="EB38" s="938">
        <f t="shared" si="80"/>
        <v>0</v>
      </c>
      <c r="EC38" s="938">
        <f t="shared" si="81"/>
        <v>0</v>
      </c>
      <c r="ED38" s="938">
        <f t="shared" si="82"/>
        <v>0</v>
      </c>
      <c r="EE38" s="938">
        <f t="shared" si="83"/>
        <v>0</v>
      </c>
      <c r="EF38" s="938" t="str">
        <f t="shared" si="84"/>
        <v/>
      </c>
      <c r="EG38" s="713">
        <f>'min. Düngung 22'!AU39</f>
        <v>0</v>
      </c>
      <c r="EH38" s="938"/>
      <c r="EI38" s="938"/>
      <c r="EJ38" s="938">
        <f t="shared" si="85"/>
        <v>0</v>
      </c>
      <c r="EK38" s="938">
        <f t="shared" si="86"/>
        <v>0</v>
      </c>
      <c r="EL38" s="938">
        <f t="shared" si="87"/>
        <v>0</v>
      </c>
      <c r="EM38" s="938">
        <f t="shared" si="88"/>
        <v>0</v>
      </c>
      <c r="EN38" s="938">
        <f t="shared" si="89"/>
        <v>0</v>
      </c>
      <c r="EO38" s="938" t="str">
        <f t="shared" si="90"/>
        <v/>
      </c>
      <c r="EP38" s="713">
        <f>'min. Düngung 22'!AX39</f>
        <v>0</v>
      </c>
      <c r="EQ38" s="938"/>
      <c r="ER38" s="938"/>
      <c r="ES38" s="938">
        <f t="shared" si="91"/>
        <v>0</v>
      </c>
      <c r="ET38" s="938">
        <f t="shared" si="92"/>
        <v>0</v>
      </c>
      <c r="EU38" s="938">
        <f t="shared" si="93"/>
        <v>0</v>
      </c>
      <c r="EV38" s="938">
        <f t="shared" si="94"/>
        <v>0</v>
      </c>
      <c r="EW38" s="938">
        <f t="shared" si="95"/>
        <v>0</v>
      </c>
      <c r="EX38" s="938" t="str">
        <f t="shared" si="96"/>
        <v/>
      </c>
      <c r="EY38" s="713">
        <f>'min. Düngung 22'!BA39</f>
        <v>0</v>
      </c>
      <c r="EZ38" s="938"/>
      <c r="FA38" s="938"/>
      <c r="FB38" s="938">
        <f t="shared" si="97"/>
        <v>0</v>
      </c>
      <c r="FC38" s="938">
        <f t="shared" si="98"/>
        <v>0</v>
      </c>
      <c r="FD38" s="938">
        <f t="shared" si="99"/>
        <v>0</v>
      </c>
      <c r="FE38" s="938">
        <f t="shared" si="100"/>
        <v>0</v>
      </c>
      <c r="FF38" s="938">
        <f t="shared" si="101"/>
        <v>0</v>
      </c>
      <c r="FG38" s="938" t="str">
        <f t="shared" si="102"/>
        <v/>
      </c>
      <c r="FH38" s="713">
        <f>'min. Düngung 22'!BD39</f>
        <v>0</v>
      </c>
      <c r="FI38" s="938"/>
      <c r="FJ38" s="938"/>
      <c r="FK38" s="938">
        <f t="shared" si="103"/>
        <v>0</v>
      </c>
      <c r="FL38" s="938">
        <f t="shared" si="104"/>
        <v>0</v>
      </c>
      <c r="FM38" s="938">
        <f t="shared" si="105"/>
        <v>0</v>
      </c>
      <c r="FN38" s="938">
        <f t="shared" si="106"/>
        <v>0</v>
      </c>
      <c r="FO38" s="938">
        <f t="shared" si="107"/>
        <v>0</v>
      </c>
      <c r="FP38" s="938" t="str">
        <f t="shared" si="108"/>
        <v/>
      </c>
      <c r="FQ38" s="713">
        <f>'min. Düngung 22'!BG39</f>
        <v>0</v>
      </c>
      <c r="FR38" s="938"/>
      <c r="FS38" s="938"/>
      <c r="FT38" s="938">
        <f t="shared" si="109"/>
        <v>0</v>
      </c>
      <c r="FU38" s="938">
        <f t="shared" si="110"/>
        <v>0</v>
      </c>
      <c r="FV38" s="938">
        <f t="shared" si="111"/>
        <v>0</v>
      </c>
      <c r="FW38" s="938">
        <f t="shared" si="112"/>
        <v>0</v>
      </c>
      <c r="FX38" s="938">
        <f t="shared" si="113"/>
        <v>0</v>
      </c>
      <c r="FY38" s="938" t="str">
        <f t="shared" si="114"/>
        <v/>
      </c>
      <c r="FZ38" s="713">
        <f>'min. Düngung 22'!BJ39</f>
        <v>0</v>
      </c>
      <c r="GA38" s="938"/>
      <c r="GB38" s="938"/>
      <c r="GC38" s="938">
        <f t="shared" si="115"/>
        <v>0</v>
      </c>
      <c r="GD38" s="938">
        <f t="shared" si="116"/>
        <v>0</v>
      </c>
      <c r="GE38" s="938">
        <f t="shared" si="117"/>
        <v>0</v>
      </c>
      <c r="GF38" s="938">
        <f t="shared" si="118"/>
        <v>0</v>
      </c>
      <c r="GG38" s="938">
        <f t="shared" si="119"/>
        <v>0</v>
      </c>
      <c r="GH38" s="938" t="str">
        <f t="shared" si="120"/>
        <v/>
      </c>
      <c r="GI38" s="713">
        <f>'min. Düngung 22'!BM39</f>
        <v>0</v>
      </c>
      <c r="GJ38" s="938"/>
      <c r="GK38" s="938"/>
      <c r="GL38" s="938">
        <f t="shared" si="121"/>
        <v>0</v>
      </c>
      <c r="GM38" s="938">
        <f t="shared" si="122"/>
        <v>0</v>
      </c>
      <c r="GN38" s="938">
        <f t="shared" si="123"/>
        <v>0</v>
      </c>
      <c r="GO38" s="938">
        <f t="shared" si="124"/>
        <v>0</v>
      </c>
      <c r="GP38" s="938">
        <f t="shared" si="125"/>
        <v>0</v>
      </c>
      <c r="GQ38" s="938" t="str">
        <f t="shared" si="126"/>
        <v/>
      </c>
      <c r="GR38" s="713">
        <f>'min. Düngung 22'!BP39</f>
        <v>0</v>
      </c>
      <c r="GS38" s="938"/>
      <c r="GT38" s="938"/>
      <c r="GU38" s="938">
        <f t="shared" si="127"/>
        <v>0</v>
      </c>
      <c r="GV38" s="938">
        <f t="shared" si="128"/>
        <v>0</v>
      </c>
      <c r="GW38" s="938">
        <f t="shared" si="129"/>
        <v>0</v>
      </c>
      <c r="GX38" s="938">
        <f t="shared" si="130"/>
        <v>0</v>
      </c>
      <c r="GY38" s="938">
        <f t="shared" si="131"/>
        <v>0</v>
      </c>
      <c r="GZ38" s="938" t="str">
        <f t="shared" si="132"/>
        <v/>
      </c>
      <c r="HA38" s="713">
        <f>'min. Düngung 22'!BS39</f>
        <v>0</v>
      </c>
      <c r="HB38" s="938"/>
      <c r="HC38" s="938"/>
      <c r="HD38" s="938">
        <f t="shared" si="133"/>
        <v>0</v>
      </c>
      <c r="HE38" s="938">
        <f t="shared" si="134"/>
        <v>0</v>
      </c>
      <c r="HF38" s="938">
        <f t="shared" si="135"/>
        <v>0</v>
      </c>
      <c r="HG38" s="938">
        <f t="shared" si="136"/>
        <v>0</v>
      </c>
      <c r="HH38" s="938">
        <f t="shared" si="137"/>
        <v>0</v>
      </c>
      <c r="HI38" s="938" t="str">
        <f t="shared" si="138"/>
        <v/>
      </c>
      <c r="HJ38" s="713">
        <f>'min. Düngung 22'!BV39</f>
        <v>0</v>
      </c>
      <c r="HK38" s="938"/>
      <c r="HL38" s="938"/>
      <c r="HM38" s="938">
        <f t="shared" si="139"/>
        <v>0</v>
      </c>
      <c r="HN38" s="938">
        <f t="shared" si="140"/>
        <v>0</v>
      </c>
      <c r="HO38" s="938">
        <f t="shared" si="141"/>
        <v>0</v>
      </c>
      <c r="HP38" s="938">
        <f t="shared" si="142"/>
        <v>0</v>
      </c>
      <c r="HQ38" s="938">
        <f t="shared" si="143"/>
        <v>0</v>
      </c>
      <c r="HR38" s="938" t="str">
        <f t="shared" si="144"/>
        <v/>
      </c>
      <c r="HS38" s="713">
        <f>'min. Düngung 22'!BY39</f>
        <v>0</v>
      </c>
      <c r="HT38" s="938"/>
      <c r="HU38" s="938"/>
      <c r="HV38" s="938">
        <f t="shared" si="145"/>
        <v>0</v>
      </c>
      <c r="HW38" s="938">
        <f t="shared" si="146"/>
        <v>0</v>
      </c>
      <c r="HX38" s="938">
        <f t="shared" si="147"/>
        <v>0</v>
      </c>
      <c r="HY38" s="938">
        <f t="shared" si="148"/>
        <v>0</v>
      </c>
      <c r="HZ38" s="938">
        <f t="shared" si="149"/>
        <v>0</v>
      </c>
      <c r="IA38" s="938" t="str">
        <f t="shared" si="150"/>
        <v/>
      </c>
      <c r="IB38" s="713">
        <f>'min. Düngung 22'!CB39</f>
        <v>0</v>
      </c>
      <c r="IC38" s="938"/>
      <c r="ID38" s="938"/>
      <c r="IE38" s="938">
        <f t="shared" si="151"/>
        <v>0</v>
      </c>
      <c r="IF38" s="938">
        <f t="shared" si="152"/>
        <v>0</v>
      </c>
      <c r="IG38" s="938">
        <f t="shared" si="153"/>
        <v>0</v>
      </c>
      <c r="IH38" s="938">
        <f t="shared" si="154"/>
        <v>0</v>
      </c>
      <c r="II38" s="938">
        <f t="shared" si="155"/>
        <v>0</v>
      </c>
      <c r="IJ38" s="938" t="str">
        <f t="shared" si="156"/>
        <v/>
      </c>
      <c r="IK38" s="713">
        <f>'min. Düngung 22'!CE39</f>
        <v>0</v>
      </c>
      <c r="IL38" s="938"/>
      <c r="IM38" s="938"/>
      <c r="IN38" s="938">
        <f t="shared" si="157"/>
        <v>0</v>
      </c>
      <c r="IO38" s="938">
        <f t="shared" si="158"/>
        <v>0</v>
      </c>
      <c r="IP38" s="938">
        <f t="shared" si="159"/>
        <v>0</v>
      </c>
      <c r="IQ38" s="938">
        <f t="shared" si="160"/>
        <v>0</v>
      </c>
      <c r="IR38" s="938">
        <f t="shared" si="161"/>
        <v>0</v>
      </c>
      <c r="IS38" s="938" t="str">
        <f t="shared" si="162"/>
        <v/>
      </c>
      <c r="IT38" s="713">
        <f>'min. Düngung 22'!CH39</f>
        <v>0</v>
      </c>
      <c r="IU38" s="938"/>
      <c r="IV38" s="938"/>
      <c r="IW38" s="938">
        <f t="shared" si="163"/>
        <v>0</v>
      </c>
      <c r="IX38" s="938">
        <f t="shared" si="164"/>
        <v>0</v>
      </c>
      <c r="IY38" s="938">
        <f t="shared" si="165"/>
        <v>0</v>
      </c>
      <c r="IZ38" s="938">
        <f t="shared" si="166"/>
        <v>0</v>
      </c>
      <c r="JA38" s="938">
        <f t="shared" si="167"/>
        <v>0</v>
      </c>
      <c r="JB38" s="938" t="str">
        <f t="shared" si="168"/>
        <v/>
      </c>
      <c r="JC38" s="713">
        <f>'min. Düngung 22'!CK39</f>
        <v>0</v>
      </c>
      <c r="JD38" s="938"/>
      <c r="JE38" s="938"/>
      <c r="JF38" s="938">
        <f t="shared" si="169"/>
        <v>0</v>
      </c>
      <c r="JG38" s="938">
        <f t="shared" si="170"/>
        <v>0</v>
      </c>
      <c r="JH38" s="938">
        <f t="shared" si="171"/>
        <v>0</v>
      </c>
      <c r="JI38" s="938">
        <f t="shared" si="172"/>
        <v>0</v>
      </c>
      <c r="JJ38" s="938">
        <f t="shared" si="173"/>
        <v>0</v>
      </c>
      <c r="JK38" s="938" t="str">
        <f t="shared" si="174"/>
        <v/>
      </c>
      <c r="JL38" s="713">
        <f>'min. Düngung 22'!CN39</f>
        <v>0</v>
      </c>
      <c r="JM38" s="938"/>
      <c r="JN38" s="938"/>
      <c r="JO38" s="938">
        <f t="shared" si="175"/>
        <v>0</v>
      </c>
      <c r="JP38" s="938">
        <f t="shared" si="176"/>
        <v>0</v>
      </c>
      <c r="JQ38" s="938">
        <f t="shared" si="177"/>
        <v>0</v>
      </c>
      <c r="JR38" s="938">
        <f t="shared" si="178"/>
        <v>0</v>
      </c>
      <c r="JS38" s="938">
        <f t="shared" si="179"/>
        <v>0</v>
      </c>
      <c r="JT38" s="938" t="str">
        <f t="shared" si="180"/>
        <v/>
      </c>
      <c r="JU38" s="713">
        <f>'min. Düngung 22'!CQ39</f>
        <v>0</v>
      </c>
      <c r="JV38" s="938"/>
      <c r="JW38" s="938"/>
      <c r="JX38" s="938">
        <f t="shared" si="181"/>
        <v>0</v>
      </c>
      <c r="JY38" s="938">
        <f t="shared" si="182"/>
        <v>0</v>
      </c>
      <c r="JZ38" s="938">
        <f t="shared" si="183"/>
        <v>0</v>
      </c>
      <c r="KA38" s="938">
        <f t="shared" si="184"/>
        <v>0</v>
      </c>
      <c r="KB38" s="938">
        <f t="shared" si="185"/>
        <v>0</v>
      </c>
      <c r="KC38" s="938" t="str">
        <f t="shared" si="186"/>
        <v/>
      </c>
      <c r="KE38" s="938"/>
      <c r="KF38" s="938" t="str">
        <f>IF(AND($F38=2,$G38=1),"",IF(OR($Q38&gt;0,$O38&gt;60),$KF$7,IF(I38=70,"",IF(AND(I38=80,R38+'#orgDung'!AC41&lt;60,K38=1,OR(C38=2,'#BerechnungDBE'!AH32=4)),"",IF(R38&gt;0,$KF$7,"")))))</f>
        <v/>
      </c>
      <c r="KG38" s="938" t="str">
        <f>IF(AND(P38&gt;'#BerechnungDBE'!BJ32,P38&gt;0),'#minDung'!$KG$7,"")</f>
        <v/>
      </c>
      <c r="KH38" s="938" t="str">
        <f>IF(AND(I38=70,R38&gt;'#BerechnungDBE'!CR32),'#minDung'!$KH$7,"")</f>
        <v/>
      </c>
      <c r="KI38" s="938" t="str">
        <f>IF('#BerechnungDBE'!P32&lt;4,"",IF(AND('#BerechnungDBE'!BZ32&gt;0,N38&gt;0),$KI$7,""))</f>
        <v/>
      </c>
      <c r="KJ38" s="938" t="str">
        <f t="shared" si="5"/>
        <v/>
      </c>
    </row>
    <row r="39" spans="1:296" s="875" customFormat="1" hidden="1" x14ac:dyDescent="0.2">
      <c r="A39" s="875">
        <f>'Flächen u. Kulturen'!A38</f>
        <v>29</v>
      </c>
      <c r="B39" s="734">
        <f>'#BerechnungDBE'!L33</f>
        <v>0</v>
      </c>
      <c r="C39" s="46">
        <f>'#orgDung'!C42</f>
        <v>1</v>
      </c>
      <c r="D39" s="875">
        <f>'#BerechnungDBE'!T33</f>
        <v>2</v>
      </c>
      <c r="E39" s="875" t="str">
        <f>'Flächen u. Kulturen'!E38</f>
        <v>x</v>
      </c>
      <c r="F39" s="52">
        <f>'#BerechnungDBE'!N33</f>
        <v>1</v>
      </c>
      <c r="G39" s="52">
        <f>'#BerechnungDBE'!O33</f>
        <v>1</v>
      </c>
      <c r="H39" s="505">
        <f>'#orgDung'!J42</f>
        <v>2</v>
      </c>
      <c r="I39" s="875">
        <f>'#BerechnungDBE'!AF33</f>
        <v>0</v>
      </c>
      <c r="J39" s="875">
        <f>'#orgDung'!M42</f>
        <v>0</v>
      </c>
      <c r="K39" s="875">
        <f>'#BerechnungDBE'!AG33</f>
        <v>0</v>
      </c>
      <c r="M39" s="875">
        <f t="shared" si="0"/>
        <v>0</v>
      </c>
      <c r="N39" s="875">
        <f t="shared" si="1"/>
        <v>0</v>
      </c>
      <c r="O39" s="875">
        <f t="shared" si="2"/>
        <v>0</v>
      </c>
      <c r="P39" s="875">
        <f t="shared" si="4"/>
        <v>0</v>
      </c>
      <c r="Q39" s="938">
        <f t="shared" si="6"/>
        <v>0</v>
      </c>
      <c r="R39" s="875">
        <f t="shared" si="3"/>
        <v>0</v>
      </c>
      <c r="T39" s="713">
        <f>'min. Düngung 22'!H40</f>
        <v>0</v>
      </c>
      <c r="W39" s="875">
        <f t="shared" si="7"/>
        <v>0</v>
      </c>
      <c r="X39" s="875">
        <f t="shared" si="8"/>
        <v>0</v>
      </c>
      <c r="Y39" s="875">
        <f t="shared" si="9"/>
        <v>0</v>
      </c>
      <c r="Z39" s="875">
        <f t="shared" si="10"/>
        <v>0</v>
      </c>
      <c r="AA39" s="875">
        <f t="shared" si="11"/>
        <v>0</v>
      </c>
      <c r="AB39" s="875" t="str">
        <f t="shared" si="12"/>
        <v/>
      </c>
      <c r="AC39" s="713">
        <f>'min. Düngung 22'!K40</f>
        <v>0</v>
      </c>
      <c r="AD39" s="938"/>
      <c r="AE39" s="938"/>
      <c r="AF39" s="938">
        <f t="shared" si="13"/>
        <v>0</v>
      </c>
      <c r="AG39" s="938">
        <f t="shared" si="14"/>
        <v>0</v>
      </c>
      <c r="AH39" s="938">
        <f t="shared" si="15"/>
        <v>0</v>
      </c>
      <c r="AI39" s="938">
        <f t="shared" si="16"/>
        <v>0</v>
      </c>
      <c r="AJ39" s="938">
        <f t="shared" si="17"/>
        <v>0</v>
      </c>
      <c r="AK39" s="938">
        <f t="shared" si="18"/>
        <v>0</v>
      </c>
      <c r="AL39" s="713">
        <f>'min. Düngung 22'!N40</f>
        <v>0</v>
      </c>
      <c r="AM39" s="938"/>
      <c r="AN39" s="938"/>
      <c r="AO39" s="938">
        <f t="shared" si="19"/>
        <v>0</v>
      </c>
      <c r="AP39" s="938">
        <f t="shared" si="20"/>
        <v>0</v>
      </c>
      <c r="AQ39" s="938">
        <f t="shared" si="21"/>
        <v>0</v>
      </c>
      <c r="AR39" s="938">
        <f t="shared" si="22"/>
        <v>0</v>
      </c>
      <c r="AS39" s="938">
        <f t="shared" si="23"/>
        <v>0</v>
      </c>
      <c r="AT39" s="938" t="str">
        <f t="shared" si="24"/>
        <v/>
      </c>
      <c r="AU39" s="713">
        <f>'min. Düngung 22'!Q40</f>
        <v>0</v>
      </c>
      <c r="AV39" s="938"/>
      <c r="AW39" s="938"/>
      <c r="AX39" s="938">
        <f t="shared" si="25"/>
        <v>0</v>
      </c>
      <c r="AY39" s="938">
        <f t="shared" si="26"/>
        <v>0</v>
      </c>
      <c r="AZ39" s="938">
        <f t="shared" si="27"/>
        <v>0</v>
      </c>
      <c r="BA39" s="938">
        <f t="shared" si="28"/>
        <v>0</v>
      </c>
      <c r="BB39" s="938">
        <f t="shared" si="29"/>
        <v>0</v>
      </c>
      <c r="BC39" s="938" t="str">
        <f t="shared" si="30"/>
        <v/>
      </c>
      <c r="BD39" s="713">
        <f>'min. Düngung 22'!T40</f>
        <v>0</v>
      </c>
      <c r="BE39" s="938"/>
      <c r="BF39" s="938"/>
      <c r="BG39" s="938">
        <f t="shared" si="31"/>
        <v>0</v>
      </c>
      <c r="BH39" s="938">
        <f t="shared" si="32"/>
        <v>0</v>
      </c>
      <c r="BI39" s="938">
        <f t="shared" si="33"/>
        <v>0</v>
      </c>
      <c r="BJ39" s="938">
        <f t="shared" si="34"/>
        <v>0</v>
      </c>
      <c r="BK39" s="938">
        <f t="shared" si="35"/>
        <v>0</v>
      </c>
      <c r="BL39" s="938" t="str">
        <f t="shared" si="36"/>
        <v/>
      </c>
      <c r="BM39" s="713">
        <f>'min. Düngung 22'!W40</f>
        <v>0</v>
      </c>
      <c r="BN39" s="938"/>
      <c r="BO39" s="938"/>
      <c r="BP39" s="938">
        <f t="shared" si="37"/>
        <v>0</v>
      </c>
      <c r="BQ39" s="938">
        <f t="shared" si="38"/>
        <v>0</v>
      </c>
      <c r="BR39" s="938">
        <f t="shared" si="39"/>
        <v>0</v>
      </c>
      <c r="BS39" s="938">
        <f t="shared" si="40"/>
        <v>0</v>
      </c>
      <c r="BT39" s="938">
        <f t="shared" si="41"/>
        <v>0</v>
      </c>
      <c r="BU39" s="938" t="str">
        <f t="shared" si="42"/>
        <v/>
      </c>
      <c r="BV39" s="713">
        <f>'min. Düngung 22'!Z40</f>
        <v>0</v>
      </c>
      <c r="BW39" s="938"/>
      <c r="BX39" s="938"/>
      <c r="BY39" s="938">
        <f t="shared" si="43"/>
        <v>0</v>
      </c>
      <c r="BZ39" s="938">
        <f t="shared" si="44"/>
        <v>0</v>
      </c>
      <c r="CA39" s="938">
        <f t="shared" si="45"/>
        <v>0</v>
      </c>
      <c r="CB39" s="938">
        <f t="shared" si="46"/>
        <v>0</v>
      </c>
      <c r="CC39" s="938">
        <f t="shared" si="47"/>
        <v>0</v>
      </c>
      <c r="CD39" s="938" t="str">
        <f t="shared" si="48"/>
        <v/>
      </c>
      <c r="CE39" s="713">
        <f>'min. Düngung 22'!AC40</f>
        <v>0</v>
      </c>
      <c r="CF39" s="938"/>
      <c r="CG39" s="938"/>
      <c r="CH39" s="938">
        <f t="shared" si="49"/>
        <v>0</v>
      </c>
      <c r="CI39" s="938">
        <f t="shared" si="50"/>
        <v>0</v>
      </c>
      <c r="CJ39" s="938">
        <f t="shared" si="51"/>
        <v>0</v>
      </c>
      <c r="CK39" s="938">
        <f t="shared" si="52"/>
        <v>0</v>
      </c>
      <c r="CL39" s="938">
        <f t="shared" si="53"/>
        <v>0</v>
      </c>
      <c r="CM39" s="938" t="str">
        <f t="shared" si="54"/>
        <v/>
      </c>
      <c r="CN39" s="713">
        <f>'min. Düngung 22'!AF40</f>
        <v>0</v>
      </c>
      <c r="CO39" s="938"/>
      <c r="CP39" s="938"/>
      <c r="CQ39" s="938">
        <f t="shared" si="55"/>
        <v>0</v>
      </c>
      <c r="CR39" s="938">
        <f t="shared" si="56"/>
        <v>0</v>
      </c>
      <c r="CS39" s="938">
        <f t="shared" si="57"/>
        <v>0</v>
      </c>
      <c r="CT39" s="938">
        <f t="shared" si="58"/>
        <v>0</v>
      </c>
      <c r="CU39" s="938">
        <f t="shared" si="59"/>
        <v>0</v>
      </c>
      <c r="CV39" s="938" t="str">
        <f t="shared" si="60"/>
        <v/>
      </c>
      <c r="CW39" s="713">
        <f>'min. Düngung 22'!AI40</f>
        <v>0</v>
      </c>
      <c r="CX39" s="938"/>
      <c r="CY39" s="938"/>
      <c r="CZ39" s="938">
        <f t="shared" si="61"/>
        <v>0</v>
      </c>
      <c r="DA39" s="938">
        <f t="shared" si="62"/>
        <v>0</v>
      </c>
      <c r="DB39" s="938">
        <f t="shared" si="63"/>
        <v>0</v>
      </c>
      <c r="DC39" s="938">
        <f t="shared" si="64"/>
        <v>0</v>
      </c>
      <c r="DD39" s="938">
        <f t="shared" si="65"/>
        <v>0</v>
      </c>
      <c r="DE39" s="938" t="str">
        <f t="shared" si="66"/>
        <v/>
      </c>
      <c r="DF39" s="713">
        <f>'min. Düngung 22'!AL40</f>
        <v>0</v>
      </c>
      <c r="DG39" s="938"/>
      <c r="DH39" s="938"/>
      <c r="DI39" s="938">
        <f t="shared" si="67"/>
        <v>0</v>
      </c>
      <c r="DJ39" s="938">
        <f t="shared" si="68"/>
        <v>0</v>
      </c>
      <c r="DK39" s="938">
        <f t="shared" si="69"/>
        <v>0</v>
      </c>
      <c r="DL39" s="938">
        <f t="shared" si="70"/>
        <v>0</v>
      </c>
      <c r="DM39" s="938">
        <f t="shared" si="71"/>
        <v>0</v>
      </c>
      <c r="DN39" s="938" t="str">
        <f t="shared" si="72"/>
        <v/>
      </c>
      <c r="DO39" s="713">
        <f>'min. Düngung 22'!AO40</f>
        <v>0</v>
      </c>
      <c r="DP39" s="938"/>
      <c r="DQ39" s="938"/>
      <c r="DR39" s="938">
        <f t="shared" si="73"/>
        <v>0</v>
      </c>
      <c r="DS39" s="938">
        <f t="shared" si="74"/>
        <v>0</v>
      </c>
      <c r="DT39" s="938">
        <f t="shared" si="75"/>
        <v>0</v>
      </c>
      <c r="DU39" s="938">
        <f t="shared" si="76"/>
        <v>0</v>
      </c>
      <c r="DV39" s="938">
        <f t="shared" si="77"/>
        <v>0</v>
      </c>
      <c r="DW39" s="938" t="str">
        <f t="shared" si="78"/>
        <v/>
      </c>
      <c r="DX39" s="713">
        <f>'min. Düngung 22'!AR40</f>
        <v>0</v>
      </c>
      <c r="DY39" s="938"/>
      <c r="DZ39" s="938"/>
      <c r="EA39" s="938">
        <f t="shared" si="79"/>
        <v>0</v>
      </c>
      <c r="EB39" s="938">
        <f t="shared" si="80"/>
        <v>0</v>
      </c>
      <c r="EC39" s="938">
        <f t="shared" si="81"/>
        <v>0</v>
      </c>
      <c r="ED39" s="938">
        <f t="shared" si="82"/>
        <v>0</v>
      </c>
      <c r="EE39" s="938">
        <f t="shared" si="83"/>
        <v>0</v>
      </c>
      <c r="EF39" s="938" t="str">
        <f t="shared" si="84"/>
        <v/>
      </c>
      <c r="EG39" s="713">
        <f>'min. Düngung 22'!AU40</f>
        <v>0</v>
      </c>
      <c r="EH39" s="938"/>
      <c r="EI39" s="938"/>
      <c r="EJ39" s="938">
        <f t="shared" si="85"/>
        <v>0</v>
      </c>
      <c r="EK39" s="938">
        <f t="shared" si="86"/>
        <v>0</v>
      </c>
      <c r="EL39" s="938">
        <f t="shared" si="87"/>
        <v>0</v>
      </c>
      <c r="EM39" s="938">
        <f t="shared" si="88"/>
        <v>0</v>
      </c>
      <c r="EN39" s="938">
        <f t="shared" si="89"/>
        <v>0</v>
      </c>
      <c r="EO39" s="938" t="str">
        <f t="shared" si="90"/>
        <v/>
      </c>
      <c r="EP39" s="713">
        <f>'min. Düngung 22'!AX40</f>
        <v>0</v>
      </c>
      <c r="EQ39" s="938"/>
      <c r="ER39" s="938"/>
      <c r="ES39" s="938">
        <f t="shared" si="91"/>
        <v>0</v>
      </c>
      <c r="ET39" s="938">
        <f t="shared" si="92"/>
        <v>0</v>
      </c>
      <c r="EU39" s="938">
        <f t="shared" si="93"/>
        <v>0</v>
      </c>
      <c r="EV39" s="938">
        <f t="shared" si="94"/>
        <v>0</v>
      </c>
      <c r="EW39" s="938">
        <f t="shared" si="95"/>
        <v>0</v>
      </c>
      <c r="EX39" s="938" t="str">
        <f t="shared" si="96"/>
        <v/>
      </c>
      <c r="EY39" s="713">
        <f>'min. Düngung 22'!BA40</f>
        <v>0</v>
      </c>
      <c r="EZ39" s="938"/>
      <c r="FA39" s="938"/>
      <c r="FB39" s="938">
        <f t="shared" si="97"/>
        <v>0</v>
      </c>
      <c r="FC39" s="938">
        <f t="shared" si="98"/>
        <v>0</v>
      </c>
      <c r="FD39" s="938">
        <f t="shared" si="99"/>
        <v>0</v>
      </c>
      <c r="FE39" s="938">
        <f t="shared" si="100"/>
        <v>0</v>
      </c>
      <c r="FF39" s="938">
        <f t="shared" si="101"/>
        <v>0</v>
      </c>
      <c r="FG39" s="938" t="str">
        <f t="shared" si="102"/>
        <v/>
      </c>
      <c r="FH39" s="713">
        <f>'min. Düngung 22'!BD40</f>
        <v>0</v>
      </c>
      <c r="FI39" s="938"/>
      <c r="FJ39" s="938"/>
      <c r="FK39" s="938">
        <f t="shared" si="103"/>
        <v>0</v>
      </c>
      <c r="FL39" s="938">
        <f t="shared" si="104"/>
        <v>0</v>
      </c>
      <c r="FM39" s="938">
        <f t="shared" si="105"/>
        <v>0</v>
      </c>
      <c r="FN39" s="938">
        <f t="shared" si="106"/>
        <v>0</v>
      </c>
      <c r="FO39" s="938">
        <f t="shared" si="107"/>
        <v>0</v>
      </c>
      <c r="FP39" s="938" t="str">
        <f t="shared" si="108"/>
        <v/>
      </c>
      <c r="FQ39" s="713">
        <f>'min. Düngung 22'!BG40</f>
        <v>0</v>
      </c>
      <c r="FR39" s="938"/>
      <c r="FS39" s="938"/>
      <c r="FT39" s="938">
        <f t="shared" si="109"/>
        <v>0</v>
      </c>
      <c r="FU39" s="938">
        <f t="shared" si="110"/>
        <v>0</v>
      </c>
      <c r="FV39" s="938">
        <f t="shared" si="111"/>
        <v>0</v>
      </c>
      <c r="FW39" s="938">
        <f t="shared" si="112"/>
        <v>0</v>
      </c>
      <c r="FX39" s="938">
        <f t="shared" si="113"/>
        <v>0</v>
      </c>
      <c r="FY39" s="938" t="str">
        <f t="shared" si="114"/>
        <v/>
      </c>
      <c r="FZ39" s="713">
        <f>'min. Düngung 22'!BJ40</f>
        <v>0</v>
      </c>
      <c r="GA39" s="938"/>
      <c r="GB39" s="938"/>
      <c r="GC39" s="938">
        <f t="shared" si="115"/>
        <v>0</v>
      </c>
      <c r="GD39" s="938">
        <f t="shared" si="116"/>
        <v>0</v>
      </c>
      <c r="GE39" s="938">
        <f t="shared" si="117"/>
        <v>0</v>
      </c>
      <c r="GF39" s="938">
        <f t="shared" si="118"/>
        <v>0</v>
      </c>
      <c r="GG39" s="938">
        <f t="shared" si="119"/>
        <v>0</v>
      </c>
      <c r="GH39" s="938" t="str">
        <f t="shared" si="120"/>
        <v/>
      </c>
      <c r="GI39" s="713">
        <f>'min. Düngung 22'!BM40</f>
        <v>0</v>
      </c>
      <c r="GJ39" s="938"/>
      <c r="GK39" s="938"/>
      <c r="GL39" s="938">
        <f t="shared" si="121"/>
        <v>0</v>
      </c>
      <c r="GM39" s="938">
        <f t="shared" si="122"/>
        <v>0</v>
      </c>
      <c r="GN39" s="938">
        <f t="shared" si="123"/>
        <v>0</v>
      </c>
      <c r="GO39" s="938">
        <f t="shared" si="124"/>
        <v>0</v>
      </c>
      <c r="GP39" s="938">
        <f t="shared" si="125"/>
        <v>0</v>
      </c>
      <c r="GQ39" s="938" t="str">
        <f t="shared" si="126"/>
        <v/>
      </c>
      <c r="GR39" s="713">
        <f>'min. Düngung 22'!BP40</f>
        <v>0</v>
      </c>
      <c r="GS39" s="938"/>
      <c r="GT39" s="938"/>
      <c r="GU39" s="938">
        <f t="shared" si="127"/>
        <v>0</v>
      </c>
      <c r="GV39" s="938">
        <f t="shared" si="128"/>
        <v>0</v>
      </c>
      <c r="GW39" s="938">
        <f t="shared" si="129"/>
        <v>0</v>
      </c>
      <c r="GX39" s="938">
        <f t="shared" si="130"/>
        <v>0</v>
      </c>
      <c r="GY39" s="938">
        <f t="shared" si="131"/>
        <v>0</v>
      </c>
      <c r="GZ39" s="938" t="str">
        <f t="shared" si="132"/>
        <v/>
      </c>
      <c r="HA39" s="713">
        <f>'min. Düngung 22'!BS40</f>
        <v>0</v>
      </c>
      <c r="HB39" s="938"/>
      <c r="HC39" s="938"/>
      <c r="HD39" s="938">
        <f t="shared" si="133"/>
        <v>0</v>
      </c>
      <c r="HE39" s="938">
        <f t="shared" si="134"/>
        <v>0</v>
      </c>
      <c r="HF39" s="938">
        <f t="shared" si="135"/>
        <v>0</v>
      </c>
      <c r="HG39" s="938">
        <f t="shared" si="136"/>
        <v>0</v>
      </c>
      <c r="HH39" s="938">
        <f t="shared" si="137"/>
        <v>0</v>
      </c>
      <c r="HI39" s="938" t="str">
        <f t="shared" si="138"/>
        <v/>
      </c>
      <c r="HJ39" s="713">
        <f>'min. Düngung 22'!BV40</f>
        <v>0</v>
      </c>
      <c r="HK39" s="938"/>
      <c r="HL39" s="938"/>
      <c r="HM39" s="938">
        <f t="shared" si="139"/>
        <v>0</v>
      </c>
      <c r="HN39" s="938">
        <f t="shared" si="140"/>
        <v>0</v>
      </c>
      <c r="HO39" s="938">
        <f t="shared" si="141"/>
        <v>0</v>
      </c>
      <c r="HP39" s="938">
        <f t="shared" si="142"/>
        <v>0</v>
      </c>
      <c r="HQ39" s="938">
        <f t="shared" si="143"/>
        <v>0</v>
      </c>
      <c r="HR39" s="938" t="str">
        <f t="shared" si="144"/>
        <v/>
      </c>
      <c r="HS39" s="713">
        <f>'min. Düngung 22'!BY40</f>
        <v>0</v>
      </c>
      <c r="HT39" s="938"/>
      <c r="HU39" s="938"/>
      <c r="HV39" s="938">
        <f t="shared" si="145"/>
        <v>0</v>
      </c>
      <c r="HW39" s="938">
        <f t="shared" si="146"/>
        <v>0</v>
      </c>
      <c r="HX39" s="938">
        <f t="shared" si="147"/>
        <v>0</v>
      </c>
      <c r="HY39" s="938">
        <f t="shared" si="148"/>
        <v>0</v>
      </c>
      <c r="HZ39" s="938">
        <f t="shared" si="149"/>
        <v>0</v>
      </c>
      <c r="IA39" s="938" t="str">
        <f t="shared" si="150"/>
        <v/>
      </c>
      <c r="IB39" s="713">
        <f>'min. Düngung 22'!CB40</f>
        <v>0</v>
      </c>
      <c r="IC39" s="938"/>
      <c r="ID39" s="938"/>
      <c r="IE39" s="938">
        <f t="shared" si="151"/>
        <v>0</v>
      </c>
      <c r="IF39" s="938">
        <f t="shared" si="152"/>
        <v>0</v>
      </c>
      <c r="IG39" s="938">
        <f t="shared" si="153"/>
        <v>0</v>
      </c>
      <c r="IH39" s="938">
        <f t="shared" si="154"/>
        <v>0</v>
      </c>
      <c r="II39" s="938">
        <f t="shared" si="155"/>
        <v>0</v>
      </c>
      <c r="IJ39" s="938" t="str">
        <f t="shared" si="156"/>
        <v/>
      </c>
      <c r="IK39" s="713">
        <f>'min. Düngung 22'!CE40</f>
        <v>0</v>
      </c>
      <c r="IL39" s="938"/>
      <c r="IM39" s="938"/>
      <c r="IN39" s="938">
        <f t="shared" si="157"/>
        <v>0</v>
      </c>
      <c r="IO39" s="938">
        <f t="shared" si="158"/>
        <v>0</v>
      </c>
      <c r="IP39" s="938">
        <f t="shared" si="159"/>
        <v>0</v>
      </c>
      <c r="IQ39" s="938">
        <f t="shared" si="160"/>
        <v>0</v>
      </c>
      <c r="IR39" s="938">
        <f t="shared" si="161"/>
        <v>0</v>
      </c>
      <c r="IS39" s="938" t="str">
        <f t="shared" si="162"/>
        <v/>
      </c>
      <c r="IT39" s="713">
        <f>'min. Düngung 22'!CH40</f>
        <v>0</v>
      </c>
      <c r="IU39" s="938"/>
      <c r="IV39" s="938"/>
      <c r="IW39" s="938">
        <f t="shared" si="163"/>
        <v>0</v>
      </c>
      <c r="IX39" s="938">
        <f t="shared" si="164"/>
        <v>0</v>
      </c>
      <c r="IY39" s="938">
        <f t="shared" si="165"/>
        <v>0</v>
      </c>
      <c r="IZ39" s="938">
        <f t="shared" si="166"/>
        <v>0</v>
      </c>
      <c r="JA39" s="938">
        <f t="shared" si="167"/>
        <v>0</v>
      </c>
      <c r="JB39" s="938" t="str">
        <f t="shared" si="168"/>
        <v/>
      </c>
      <c r="JC39" s="713">
        <f>'min. Düngung 22'!CK40</f>
        <v>0</v>
      </c>
      <c r="JD39" s="938"/>
      <c r="JE39" s="938"/>
      <c r="JF39" s="938">
        <f t="shared" si="169"/>
        <v>0</v>
      </c>
      <c r="JG39" s="938">
        <f t="shared" si="170"/>
        <v>0</v>
      </c>
      <c r="JH39" s="938">
        <f t="shared" si="171"/>
        <v>0</v>
      </c>
      <c r="JI39" s="938">
        <f t="shared" si="172"/>
        <v>0</v>
      </c>
      <c r="JJ39" s="938">
        <f t="shared" si="173"/>
        <v>0</v>
      </c>
      <c r="JK39" s="938" t="str">
        <f t="shared" si="174"/>
        <v/>
      </c>
      <c r="JL39" s="713">
        <f>'min. Düngung 22'!CN40</f>
        <v>0</v>
      </c>
      <c r="JM39" s="938"/>
      <c r="JN39" s="938"/>
      <c r="JO39" s="938">
        <f t="shared" si="175"/>
        <v>0</v>
      </c>
      <c r="JP39" s="938">
        <f t="shared" si="176"/>
        <v>0</v>
      </c>
      <c r="JQ39" s="938">
        <f t="shared" si="177"/>
        <v>0</v>
      </c>
      <c r="JR39" s="938">
        <f t="shared" si="178"/>
        <v>0</v>
      </c>
      <c r="JS39" s="938">
        <f t="shared" si="179"/>
        <v>0</v>
      </c>
      <c r="JT39" s="938" t="str">
        <f t="shared" si="180"/>
        <v/>
      </c>
      <c r="JU39" s="713">
        <f>'min. Düngung 22'!CQ40</f>
        <v>0</v>
      </c>
      <c r="JV39" s="938"/>
      <c r="JW39" s="938"/>
      <c r="JX39" s="938">
        <f t="shared" si="181"/>
        <v>0</v>
      </c>
      <c r="JY39" s="938">
        <f t="shared" si="182"/>
        <v>0</v>
      </c>
      <c r="JZ39" s="938">
        <f t="shared" si="183"/>
        <v>0</v>
      </c>
      <c r="KA39" s="938">
        <f t="shared" si="184"/>
        <v>0</v>
      </c>
      <c r="KB39" s="938">
        <f t="shared" si="185"/>
        <v>0</v>
      </c>
      <c r="KC39" s="938" t="str">
        <f t="shared" si="186"/>
        <v/>
      </c>
      <c r="KE39" s="938"/>
      <c r="KF39" s="938" t="str">
        <f>IF(AND($F39=2,$G39=1),"",IF(OR($Q39&gt;0,$O39&gt;60),$KF$7,IF(I39=70,"",IF(AND(I39=80,R39+'#orgDung'!AC42&lt;60,K39=1,OR(C39=2,'#BerechnungDBE'!AH33=4)),"",IF(R39&gt;0,$KF$7,"")))))</f>
        <v/>
      </c>
      <c r="KG39" s="938" t="str">
        <f>IF(AND(P39&gt;'#BerechnungDBE'!BJ33,P39&gt;0),'#minDung'!$KG$7,"")</f>
        <v/>
      </c>
      <c r="KH39" s="938" t="str">
        <f>IF(AND(I39=70,R39&gt;'#BerechnungDBE'!CR33),'#minDung'!$KH$7,"")</f>
        <v/>
      </c>
      <c r="KI39" s="938" t="str">
        <f>IF('#BerechnungDBE'!P33&lt;4,"",IF(AND('#BerechnungDBE'!BZ33&gt;0,N39&gt;0),$KI$7,""))</f>
        <v/>
      </c>
      <c r="KJ39" s="938" t="str">
        <f t="shared" si="5"/>
        <v/>
      </c>
    </row>
    <row r="40" spans="1:296" s="875" customFormat="1" hidden="1" x14ac:dyDescent="0.2">
      <c r="A40" s="875">
        <f>'Flächen u. Kulturen'!A39</f>
        <v>30</v>
      </c>
      <c r="B40" s="734">
        <f>'#BerechnungDBE'!L34</f>
        <v>0</v>
      </c>
      <c r="C40" s="46">
        <f>'#orgDung'!C43</f>
        <v>1</v>
      </c>
      <c r="D40" s="875">
        <f>'#BerechnungDBE'!T34</f>
        <v>2</v>
      </c>
      <c r="E40" s="875" t="str">
        <f>'Flächen u. Kulturen'!E39</f>
        <v>x</v>
      </c>
      <c r="F40" s="52">
        <f>'#BerechnungDBE'!N34</f>
        <v>1</v>
      </c>
      <c r="G40" s="52">
        <f>'#BerechnungDBE'!O34</f>
        <v>1</v>
      </c>
      <c r="H40" s="505">
        <f>'#orgDung'!J43</f>
        <v>2</v>
      </c>
      <c r="I40" s="875">
        <f>'#BerechnungDBE'!AF34</f>
        <v>0</v>
      </c>
      <c r="J40" s="875">
        <f>'#orgDung'!M43</f>
        <v>0</v>
      </c>
      <c r="K40" s="875">
        <f>'#BerechnungDBE'!AG34</f>
        <v>0</v>
      </c>
      <c r="M40" s="875">
        <f t="shared" si="0"/>
        <v>0</v>
      </c>
      <c r="N40" s="875">
        <f t="shared" si="1"/>
        <v>0</v>
      </c>
      <c r="O40" s="875">
        <f t="shared" si="2"/>
        <v>0</v>
      </c>
      <c r="P40" s="875">
        <f t="shared" si="4"/>
        <v>0</v>
      </c>
      <c r="Q40" s="938">
        <f t="shared" si="6"/>
        <v>0</v>
      </c>
      <c r="R40" s="875">
        <f t="shared" si="3"/>
        <v>0</v>
      </c>
      <c r="T40" s="713">
        <f>'min. Düngung 22'!H41</f>
        <v>0</v>
      </c>
      <c r="W40" s="875">
        <f t="shared" si="7"/>
        <v>0</v>
      </c>
      <c r="X40" s="875">
        <f t="shared" si="8"/>
        <v>0</v>
      </c>
      <c r="Y40" s="875">
        <f t="shared" si="9"/>
        <v>0</v>
      </c>
      <c r="Z40" s="875">
        <f t="shared" si="10"/>
        <v>0</v>
      </c>
      <c r="AA40" s="875">
        <f t="shared" si="11"/>
        <v>0</v>
      </c>
      <c r="AB40" s="875" t="str">
        <f t="shared" si="12"/>
        <v/>
      </c>
      <c r="AC40" s="713">
        <f>'min. Düngung 22'!K41</f>
        <v>0</v>
      </c>
      <c r="AD40" s="938"/>
      <c r="AE40" s="938"/>
      <c r="AF40" s="938">
        <f t="shared" si="13"/>
        <v>0</v>
      </c>
      <c r="AG40" s="938">
        <f t="shared" si="14"/>
        <v>0</v>
      </c>
      <c r="AH40" s="938">
        <f t="shared" si="15"/>
        <v>0</v>
      </c>
      <c r="AI40" s="938">
        <f t="shared" si="16"/>
        <v>0</v>
      </c>
      <c r="AJ40" s="938">
        <f t="shared" si="17"/>
        <v>0</v>
      </c>
      <c r="AK40" s="938">
        <f t="shared" si="18"/>
        <v>0</v>
      </c>
      <c r="AL40" s="713">
        <f>'min. Düngung 22'!N41</f>
        <v>0</v>
      </c>
      <c r="AM40" s="938"/>
      <c r="AN40" s="938"/>
      <c r="AO40" s="938">
        <f t="shared" si="19"/>
        <v>0</v>
      </c>
      <c r="AP40" s="938">
        <f t="shared" si="20"/>
        <v>0</v>
      </c>
      <c r="AQ40" s="938">
        <f t="shared" si="21"/>
        <v>0</v>
      </c>
      <c r="AR40" s="938">
        <f t="shared" si="22"/>
        <v>0</v>
      </c>
      <c r="AS40" s="938">
        <f t="shared" si="23"/>
        <v>0</v>
      </c>
      <c r="AT40" s="938" t="str">
        <f t="shared" si="24"/>
        <v/>
      </c>
      <c r="AU40" s="713">
        <f>'min. Düngung 22'!Q41</f>
        <v>0</v>
      </c>
      <c r="AV40" s="938"/>
      <c r="AW40" s="938"/>
      <c r="AX40" s="938">
        <f t="shared" si="25"/>
        <v>0</v>
      </c>
      <c r="AY40" s="938">
        <f t="shared" si="26"/>
        <v>0</v>
      </c>
      <c r="AZ40" s="938">
        <f t="shared" si="27"/>
        <v>0</v>
      </c>
      <c r="BA40" s="938">
        <f t="shared" si="28"/>
        <v>0</v>
      </c>
      <c r="BB40" s="938">
        <f t="shared" si="29"/>
        <v>0</v>
      </c>
      <c r="BC40" s="938" t="str">
        <f t="shared" si="30"/>
        <v/>
      </c>
      <c r="BD40" s="713">
        <f>'min. Düngung 22'!T41</f>
        <v>0</v>
      </c>
      <c r="BE40" s="938"/>
      <c r="BF40" s="938"/>
      <c r="BG40" s="938">
        <f t="shared" si="31"/>
        <v>0</v>
      </c>
      <c r="BH40" s="938">
        <f t="shared" si="32"/>
        <v>0</v>
      </c>
      <c r="BI40" s="938">
        <f t="shared" si="33"/>
        <v>0</v>
      </c>
      <c r="BJ40" s="938">
        <f t="shared" si="34"/>
        <v>0</v>
      </c>
      <c r="BK40" s="938">
        <f t="shared" si="35"/>
        <v>0</v>
      </c>
      <c r="BL40" s="938" t="str">
        <f t="shared" si="36"/>
        <v/>
      </c>
      <c r="BM40" s="713">
        <f>'min. Düngung 22'!W41</f>
        <v>0</v>
      </c>
      <c r="BN40" s="938"/>
      <c r="BO40" s="938"/>
      <c r="BP40" s="938">
        <f t="shared" si="37"/>
        <v>0</v>
      </c>
      <c r="BQ40" s="938">
        <f t="shared" si="38"/>
        <v>0</v>
      </c>
      <c r="BR40" s="938">
        <f t="shared" si="39"/>
        <v>0</v>
      </c>
      <c r="BS40" s="938">
        <f t="shared" si="40"/>
        <v>0</v>
      </c>
      <c r="BT40" s="938">
        <f t="shared" si="41"/>
        <v>0</v>
      </c>
      <c r="BU40" s="938" t="str">
        <f t="shared" si="42"/>
        <v/>
      </c>
      <c r="BV40" s="713">
        <f>'min. Düngung 22'!Z41</f>
        <v>0</v>
      </c>
      <c r="BW40" s="938"/>
      <c r="BX40" s="938"/>
      <c r="BY40" s="938">
        <f t="shared" si="43"/>
        <v>0</v>
      </c>
      <c r="BZ40" s="938">
        <f t="shared" si="44"/>
        <v>0</v>
      </c>
      <c r="CA40" s="938">
        <f t="shared" si="45"/>
        <v>0</v>
      </c>
      <c r="CB40" s="938">
        <f t="shared" si="46"/>
        <v>0</v>
      </c>
      <c r="CC40" s="938">
        <f t="shared" si="47"/>
        <v>0</v>
      </c>
      <c r="CD40" s="938" t="str">
        <f t="shared" si="48"/>
        <v/>
      </c>
      <c r="CE40" s="713">
        <f>'min. Düngung 22'!AC41</f>
        <v>0</v>
      </c>
      <c r="CF40" s="938"/>
      <c r="CG40" s="938"/>
      <c r="CH40" s="938">
        <f t="shared" si="49"/>
        <v>0</v>
      </c>
      <c r="CI40" s="938">
        <f t="shared" si="50"/>
        <v>0</v>
      </c>
      <c r="CJ40" s="938">
        <f t="shared" si="51"/>
        <v>0</v>
      </c>
      <c r="CK40" s="938">
        <f t="shared" si="52"/>
        <v>0</v>
      </c>
      <c r="CL40" s="938">
        <f t="shared" si="53"/>
        <v>0</v>
      </c>
      <c r="CM40" s="938" t="str">
        <f t="shared" si="54"/>
        <v/>
      </c>
      <c r="CN40" s="713">
        <f>'min. Düngung 22'!AF41</f>
        <v>0</v>
      </c>
      <c r="CO40" s="938"/>
      <c r="CP40" s="938"/>
      <c r="CQ40" s="938">
        <f t="shared" si="55"/>
        <v>0</v>
      </c>
      <c r="CR40" s="938">
        <f t="shared" si="56"/>
        <v>0</v>
      </c>
      <c r="CS40" s="938">
        <f t="shared" si="57"/>
        <v>0</v>
      </c>
      <c r="CT40" s="938">
        <f t="shared" si="58"/>
        <v>0</v>
      </c>
      <c r="CU40" s="938">
        <f t="shared" si="59"/>
        <v>0</v>
      </c>
      <c r="CV40" s="938" t="str">
        <f t="shared" si="60"/>
        <v/>
      </c>
      <c r="CW40" s="713">
        <f>'min. Düngung 22'!AI41</f>
        <v>0</v>
      </c>
      <c r="CX40" s="938"/>
      <c r="CY40" s="938"/>
      <c r="CZ40" s="938">
        <f t="shared" si="61"/>
        <v>0</v>
      </c>
      <c r="DA40" s="938">
        <f t="shared" si="62"/>
        <v>0</v>
      </c>
      <c r="DB40" s="938">
        <f t="shared" si="63"/>
        <v>0</v>
      </c>
      <c r="DC40" s="938">
        <f t="shared" si="64"/>
        <v>0</v>
      </c>
      <c r="DD40" s="938">
        <f t="shared" si="65"/>
        <v>0</v>
      </c>
      <c r="DE40" s="938" t="str">
        <f t="shared" si="66"/>
        <v/>
      </c>
      <c r="DF40" s="713">
        <f>'min. Düngung 22'!AL41</f>
        <v>0</v>
      </c>
      <c r="DG40" s="938"/>
      <c r="DH40" s="938"/>
      <c r="DI40" s="938">
        <f t="shared" si="67"/>
        <v>0</v>
      </c>
      <c r="DJ40" s="938">
        <f t="shared" si="68"/>
        <v>0</v>
      </c>
      <c r="DK40" s="938">
        <f t="shared" si="69"/>
        <v>0</v>
      </c>
      <c r="DL40" s="938">
        <f t="shared" si="70"/>
        <v>0</v>
      </c>
      <c r="DM40" s="938">
        <f t="shared" si="71"/>
        <v>0</v>
      </c>
      <c r="DN40" s="938" t="str">
        <f t="shared" si="72"/>
        <v/>
      </c>
      <c r="DO40" s="713">
        <f>'min. Düngung 22'!AO41</f>
        <v>0</v>
      </c>
      <c r="DP40" s="938"/>
      <c r="DQ40" s="938"/>
      <c r="DR40" s="938">
        <f t="shared" si="73"/>
        <v>0</v>
      </c>
      <c r="DS40" s="938">
        <f t="shared" si="74"/>
        <v>0</v>
      </c>
      <c r="DT40" s="938">
        <f t="shared" si="75"/>
        <v>0</v>
      </c>
      <c r="DU40" s="938">
        <f t="shared" si="76"/>
        <v>0</v>
      </c>
      <c r="DV40" s="938">
        <f t="shared" si="77"/>
        <v>0</v>
      </c>
      <c r="DW40" s="938" t="str">
        <f t="shared" si="78"/>
        <v/>
      </c>
      <c r="DX40" s="713">
        <f>'min. Düngung 22'!AR41</f>
        <v>0</v>
      </c>
      <c r="DY40" s="938"/>
      <c r="DZ40" s="938"/>
      <c r="EA40" s="938">
        <f t="shared" si="79"/>
        <v>0</v>
      </c>
      <c r="EB40" s="938">
        <f t="shared" si="80"/>
        <v>0</v>
      </c>
      <c r="EC40" s="938">
        <f t="shared" si="81"/>
        <v>0</v>
      </c>
      <c r="ED40" s="938">
        <f t="shared" si="82"/>
        <v>0</v>
      </c>
      <c r="EE40" s="938">
        <f t="shared" si="83"/>
        <v>0</v>
      </c>
      <c r="EF40" s="938" t="str">
        <f t="shared" si="84"/>
        <v/>
      </c>
      <c r="EG40" s="713">
        <f>'min. Düngung 22'!AU41</f>
        <v>0</v>
      </c>
      <c r="EH40" s="938"/>
      <c r="EI40" s="938"/>
      <c r="EJ40" s="938">
        <f t="shared" si="85"/>
        <v>0</v>
      </c>
      <c r="EK40" s="938">
        <f t="shared" si="86"/>
        <v>0</v>
      </c>
      <c r="EL40" s="938">
        <f t="shared" si="87"/>
        <v>0</v>
      </c>
      <c r="EM40" s="938">
        <f t="shared" si="88"/>
        <v>0</v>
      </c>
      <c r="EN40" s="938">
        <f t="shared" si="89"/>
        <v>0</v>
      </c>
      <c r="EO40" s="938" t="str">
        <f t="shared" si="90"/>
        <v/>
      </c>
      <c r="EP40" s="713">
        <f>'min. Düngung 22'!AX41</f>
        <v>0</v>
      </c>
      <c r="EQ40" s="938"/>
      <c r="ER40" s="938"/>
      <c r="ES40" s="938">
        <f t="shared" si="91"/>
        <v>0</v>
      </c>
      <c r="ET40" s="938">
        <f t="shared" si="92"/>
        <v>0</v>
      </c>
      <c r="EU40" s="938">
        <f t="shared" si="93"/>
        <v>0</v>
      </c>
      <c r="EV40" s="938">
        <f t="shared" si="94"/>
        <v>0</v>
      </c>
      <c r="EW40" s="938">
        <f t="shared" si="95"/>
        <v>0</v>
      </c>
      <c r="EX40" s="938" t="str">
        <f t="shared" si="96"/>
        <v/>
      </c>
      <c r="EY40" s="713">
        <f>'min. Düngung 22'!BA41</f>
        <v>0</v>
      </c>
      <c r="EZ40" s="938"/>
      <c r="FA40" s="938"/>
      <c r="FB40" s="938">
        <f t="shared" si="97"/>
        <v>0</v>
      </c>
      <c r="FC40" s="938">
        <f t="shared" si="98"/>
        <v>0</v>
      </c>
      <c r="FD40" s="938">
        <f t="shared" si="99"/>
        <v>0</v>
      </c>
      <c r="FE40" s="938">
        <f t="shared" si="100"/>
        <v>0</v>
      </c>
      <c r="FF40" s="938">
        <f t="shared" si="101"/>
        <v>0</v>
      </c>
      <c r="FG40" s="938" t="str">
        <f t="shared" si="102"/>
        <v/>
      </c>
      <c r="FH40" s="713">
        <f>'min. Düngung 22'!BD41</f>
        <v>0</v>
      </c>
      <c r="FI40" s="938"/>
      <c r="FJ40" s="938"/>
      <c r="FK40" s="938">
        <f t="shared" si="103"/>
        <v>0</v>
      </c>
      <c r="FL40" s="938">
        <f t="shared" si="104"/>
        <v>0</v>
      </c>
      <c r="FM40" s="938">
        <f t="shared" si="105"/>
        <v>0</v>
      </c>
      <c r="FN40" s="938">
        <f t="shared" si="106"/>
        <v>0</v>
      </c>
      <c r="FO40" s="938">
        <f t="shared" si="107"/>
        <v>0</v>
      </c>
      <c r="FP40" s="938" t="str">
        <f t="shared" si="108"/>
        <v/>
      </c>
      <c r="FQ40" s="713">
        <f>'min. Düngung 22'!BG41</f>
        <v>0</v>
      </c>
      <c r="FR40" s="938"/>
      <c r="FS40" s="938"/>
      <c r="FT40" s="938">
        <f t="shared" si="109"/>
        <v>0</v>
      </c>
      <c r="FU40" s="938">
        <f t="shared" si="110"/>
        <v>0</v>
      </c>
      <c r="FV40" s="938">
        <f t="shared" si="111"/>
        <v>0</v>
      </c>
      <c r="FW40" s="938">
        <f t="shared" si="112"/>
        <v>0</v>
      </c>
      <c r="FX40" s="938">
        <f t="shared" si="113"/>
        <v>0</v>
      </c>
      <c r="FY40" s="938" t="str">
        <f t="shared" si="114"/>
        <v/>
      </c>
      <c r="FZ40" s="713">
        <f>'min. Düngung 22'!BJ41</f>
        <v>0</v>
      </c>
      <c r="GA40" s="938"/>
      <c r="GB40" s="938"/>
      <c r="GC40" s="938">
        <f t="shared" si="115"/>
        <v>0</v>
      </c>
      <c r="GD40" s="938">
        <f t="shared" si="116"/>
        <v>0</v>
      </c>
      <c r="GE40" s="938">
        <f t="shared" si="117"/>
        <v>0</v>
      </c>
      <c r="GF40" s="938">
        <f t="shared" si="118"/>
        <v>0</v>
      </c>
      <c r="GG40" s="938">
        <f t="shared" si="119"/>
        <v>0</v>
      </c>
      <c r="GH40" s="938" t="str">
        <f t="shared" si="120"/>
        <v/>
      </c>
      <c r="GI40" s="713">
        <f>'min. Düngung 22'!BM41</f>
        <v>0</v>
      </c>
      <c r="GJ40" s="938"/>
      <c r="GK40" s="938"/>
      <c r="GL40" s="938">
        <f t="shared" si="121"/>
        <v>0</v>
      </c>
      <c r="GM40" s="938">
        <f t="shared" si="122"/>
        <v>0</v>
      </c>
      <c r="GN40" s="938">
        <f t="shared" si="123"/>
        <v>0</v>
      </c>
      <c r="GO40" s="938">
        <f t="shared" si="124"/>
        <v>0</v>
      </c>
      <c r="GP40" s="938">
        <f t="shared" si="125"/>
        <v>0</v>
      </c>
      <c r="GQ40" s="938" t="str">
        <f t="shared" si="126"/>
        <v/>
      </c>
      <c r="GR40" s="713">
        <f>'min. Düngung 22'!BP41</f>
        <v>0</v>
      </c>
      <c r="GS40" s="938"/>
      <c r="GT40" s="938"/>
      <c r="GU40" s="938">
        <f t="shared" si="127"/>
        <v>0</v>
      </c>
      <c r="GV40" s="938">
        <f t="shared" si="128"/>
        <v>0</v>
      </c>
      <c r="GW40" s="938">
        <f t="shared" si="129"/>
        <v>0</v>
      </c>
      <c r="GX40" s="938">
        <f t="shared" si="130"/>
        <v>0</v>
      </c>
      <c r="GY40" s="938">
        <f t="shared" si="131"/>
        <v>0</v>
      </c>
      <c r="GZ40" s="938" t="str">
        <f t="shared" si="132"/>
        <v/>
      </c>
      <c r="HA40" s="713">
        <f>'min. Düngung 22'!BS41</f>
        <v>0</v>
      </c>
      <c r="HB40" s="938"/>
      <c r="HC40" s="938"/>
      <c r="HD40" s="938">
        <f t="shared" si="133"/>
        <v>0</v>
      </c>
      <c r="HE40" s="938">
        <f t="shared" si="134"/>
        <v>0</v>
      </c>
      <c r="HF40" s="938">
        <f t="shared" si="135"/>
        <v>0</v>
      </c>
      <c r="HG40" s="938">
        <f t="shared" si="136"/>
        <v>0</v>
      </c>
      <c r="HH40" s="938">
        <f t="shared" si="137"/>
        <v>0</v>
      </c>
      <c r="HI40" s="938" t="str">
        <f t="shared" si="138"/>
        <v/>
      </c>
      <c r="HJ40" s="713">
        <f>'min. Düngung 22'!BV41</f>
        <v>0</v>
      </c>
      <c r="HK40" s="938"/>
      <c r="HL40" s="938"/>
      <c r="HM40" s="938">
        <f t="shared" si="139"/>
        <v>0</v>
      </c>
      <c r="HN40" s="938">
        <f t="shared" si="140"/>
        <v>0</v>
      </c>
      <c r="HO40" s="938">
        <f t="shared" si="141"/>
        <v>0</v>
      </c>
      <c r="HP40" s="938">
        <f t="shared" si="142"/>
        <v>0</v>
      </c>
      <c r="HQ40" s="938">
        <f t="shared" si="143"/>
        <v>0</v>
      </c>
      <c r="HR40" s="938" t="str">
        <f t="shared" si="144"/>
        <v/>
      </c>
      <c r="HS40" s="713">
        <f>'min. Düngung 22'!BY41</f>
        <v>0</v>
      </c>
      <c r="HT40" s="938"/>
      <c r="HU40" s="938"/>
      <c r="HV40" s="938">
        <f t="shared" si="145"/>
        <v>0</v>
      </c>
      <c r="HW40" s="938">
        <f t="shared" si="146"/>
        <v>0</v>
      </c>
      <c r="HX40" s="938">
        <f t="shared" si="147"/>
        <v>0</v>
      </c>
      <c r="HY40" s="938">
        <f t="shared" si="148"/>
        <v>0</v>
      </c>
      <c r="HZ40" s="938">
        <f t="shared" si="149"/>
        <v>0</v>
      </c>
      <c r="IA40" s="938" t="str">
        <f t="shared" si="150"/>
        <v/>
      </c>
      <c r="IB40" s="713">
        <f>'min. Düngung 22'!CB41</f>
        <v>0</v>
      </c>
      <c r="IC40" s="938"/>
      <c r="ID40" s="938"/>
      <c r="IE40" s="938">
        <f t="shared" si="151"/>
        <v>0</v>
      </c>
      <c r="IF40" s="938">
        <f t="shared" si="152"/>
        <v>0</v>
      </c>
      <c r="IG40" s="938">
        <f t="shared" si="153"/>
        <v>0</v>
      </c>
      <c r="IH40" s="938">
        <f t="shared" si="154"/>
        <v>0</v>
      </c>
      <c r="II40" s="938">
        <f t="shared" si="155"/>
        <v>0</v>
      </c>
      <c r="IJ40" s="938" t="str">
        <f t="shared" si="156"/>
        <v/>
      </c>
      <c r="IK40" s="713">
        <f>'min. Düngung 22'!CE41</f>
        <v>0</v>
      </c>
      <c r="IL40" s="938"/>
      <c r="IM40" s="938"/>
      <c r="IN40" s="938">
        <f t="shared" si="157"/>
        <v>0</v>
      </c>
      <c r="IO40" s="938">
        <f t="shared" si="158"/>
        <v>0</v>
      </c>
      <c r="IP40" s="938">
        <f t="shared" si="159"/>
        <v>0</v>
      </c>
      <c r="IQ40" s="938">
        <f t="shared" si="160"/>
        <v>0</v>
      </c>
      <c r="IR40" s="938">
        <f t="shared" si="161"/>
        <v>0</v>
      </c>
      <c r="IS40" s="938" t="str">
        <f t="shared" si="162"/>
        <v/>
      </c>
      <c r="IT40" s="713">
        <f>'min. Düngung 22'!CH41</f>
        <v>0</v>
      </c>
      <c r="IU40" s="938"/>
      <c r="IV40" s="938"/>
      <c r="IW40" s="938">
        <f t="shared" si="163"/>
        <v>0</v>
      </c>
      <c r="IX40" s="938">
        <f t="shared" si="164"/>
        <v>0</v>
      </c>
      <c r="IY40" s="938">
        <f t="shared" si="165"/>
        <v>0</v>
      </c>
      <c r="IZ40" s="938">
        <f t="shared" si="166"/>
        <v>0</v>
      </c>
      <c r="JA40" s="938">
        <f t="shared" si="167"/>
        <v>0</v>
      </c>
      <c r="JB40" s="938" t="str">
        <f t="shared" si="168"/>
        <v/>
      </c>
      <c r="JC40" s="713">
        <f>'min. Düngung 22'!CK41</f>
        <v>0</v>
      </c>
      <c r="JD40" s="938"/>
      <c r="JE40" s="938"/>
      <c r="JF40" s="938">
        <f t="shared" si="169"/>
        <v>0</v>
      </c>
      <c r="JG40" s="938">
        <f t="shared" si="170"/>
        <v>0</v>
      </c>
      <c r="JH40" s="938">
        <f t="shared" si="171"/>
        <v>0</v>
      </c>
      <c r="JI40" s="938">
        <f t="shared" si="172"/>
        <v>0</v>
      </c>
      <c r="JJ40" s="938">
        <f t="shared" si="173"/>
        <v>0</v>
      </c>
      <c r="JK40" s="938" t="str">
        <f t="shared" si="174"/>
        <v/>
      </c>
      <c r="JL40" s="713">
        <f>'min. Düngung 22'!CN41</f>
        <v>0</v>
      </c>
      <c r="JM40" s="938"/>
      <c r="JN40" s="938"/>
      <c r="JO40" s="938">
        <f t="shared" si="175"/>
        <v>0</v>
      </c>
      <c r="JP40" s="938">
        <f t="shared" si="176"/>
        <v>0</v>
      </c>
      <c r="JQ40" s="938">
        <f t="shared" si="177"/>
        <v>0</v>
      </c>
      <c r="JR40" s="938">
        <f t="shared" si="178"/>
        <v>0</v>
      </c>
      <c r="JS40" s="938">
        <f t="shared" si="179"/>
        <v>0</v>
      </c>
      <c r="JT40" s="938" t="str">
        <f t="shared" si="180"/>
        <v/>
      </c>
      <c r="JU40" s="713">
        <f>'min. Düngung 22'!CQ41</f>
        <v>0</v>
      </c>
      <c r="JV40" s="938"/>
      <c r="JW40" s="938"/>
      <c r="JX40" s="938">
        <f t="shared" si="181"/>
        <v>0</v>
      </c>
      <c r="JY40" s="938">
        <f t="shared" si="182"/>
        <v>0</v>
      </c>
      <c r="JZ40" s="938">
        <f t="shared" si="183"/>
        <v>0</v>
      </c>
      <c r="KA40" s="938">
        <f t="shared" si="184"/>
        <v>0</v>
      </c>
      <c r="KB40" s="938">
        <f t="shared" si="185"/>
        <v>0</v>
      </c>
      <c r="KC40" s="938" t="str">
        <f t="shared" si="186"/>
        <v/>
      </c>
      <c r="KE40" s="938"/>
      <c r="KF40" s="938" t="str">
        <f>IF(AND($F40=2,$G40=1),"",IF(OR($Q40&gt;0,$O40&gt;60),$KF$7,IF(I40=70,"",IF(AND(I40=80,R40+'#orgDung'!AC43&lt;60,K40=1,OR(C40=2,'#BerechnungDBE'!AH34=4)),"",IF(R40&gt;0,$KF$7,"")))))</f>
        <v/>
      </c>
      <c r="KG40" s="938" t="str">
        <f>IF(AND(P40&gt;'#BerechnungDBE'!BJ34,P40&gt;0),'#minDung'!$KG$7,"")</f>
        <v/>
      </c>
      <c r="KH40" s="938" t="str">
        <f>IF(AND(I40=70,R40&gt;'#BerechnungDBE'!CR34),'#minDung'!$KH$7,"")</f>
        <v/>
      </c>
      <c r="KI40" s="938" t="str">
        <f>IF('#BerechnungDBE'!P34&lt;4,"",IF(AND('#BerechnungDBE'!BZ34&gt;0,N40&gt;0),$KI$7,""))</f>
        <v/>
      </c>
      <c r="KJ40" s="938" t="str">
        <f t="shared" si="5"/>
        <v/>
      </c>
    </row>
    <row r="41" spans="1:296" s="875" customFormat="1" hidden="1" x14ac:dyDescent="0.2">
      <c r="A41" s="875">
        <f>'Flächen u. Kulturen'!A40</f>
        <v>31</v>
      </c>
      <c r="B41" s="734">
        <f>'#BerechnungDBE'!L35</f>
        <v>0</v>
      </c>
      <c r="C41" s="46">
        <f>'#orgDung'!C44</f>
        <v>1</v>
      </c>
      <c r="D41" s="875">
        <f>'#BerechnungDBE'!T35</f>
        <v>2</v>
      </c>
      <c r="E41" s="875" t="str">
        <f>'Flächen u. Kulturen'!E40</f>
        <v>x</v>
      </c>
      <c r="F41" s="52">
        <f>'#BerechnungDBE'!N35</f>
        <v>1</v>
      </c>
      <c r="G41" s="52">
        <f>'#BerechnungDBE'!O35</f>
        <v>1</v>
      </c>
      <c r="H41" s="505">
        <f>'#orgDung'!J44</f>
        <v>2</v>
      </c>
      <c r="I41" s="875">
        <f>'#BerechnungDBE'!AF35</f>
        <v>0</v>
      </c>
      <c r="J41" s="875">
        <f>'#orgDung'!M44</f>
        <v>0</v>
      </c>
      <c r="K41" s="875">
        <f>'#BerechnungDBE'!AG35</f>
        <v>0</v>
      </c>
      <c r="M41" s="875">
        <f t="shared" si="0"/>
        <v>0</v>
      </c>
      <c r="N41" s="875">
        <f t="shared" si="1"/>
        <v>0</v>
      </c>
      <c r="O41" s="875">
        <f t="shared" si="2"/>
        <v>0</v>
      </c>
      <c r="P41" s="875">
        <f t="shared" si="4"/>
        <v>0</v>
      </c>
      <c r="Q41" s="938">
        <f t="shared" si="6"/>
        <v>0</v>
      </c>
      <c r="R41" s="875">
        <f t="shared" si="3"/>
        <v>0</v>
      </c>
      <c r="T41" s="713">
        <f>'min. Düngung 22'!H42</f>
        <v>0</v>
      </c>
      <c r="W41" s="875">
        <f t="shared" si="7"/>
        <v>0</v>
      </c>
      <c r="X41" s="875">
        <f t="shared" si="8"/>
        <v>0</v>
      </c>
      <c r="Y41" s="875">
        <f t="shared" si="9"/>
        <v>0</v>
      </c>
      <c r="Z41" s="875">
        <f t="shared" si="10"/>
        <v>0</v>
      </c>
      <c r="AA41" s="875">
        <f t="shared" si="11"/>
        <v>0</v>
      </c>
      <c r="AB41" s="875" t="str">
        <f t="shared" si="12"/>
        <v/>
      </c>
      <c r="AC41" s="713">
        <f>'min. Düngung 22'!K42</f>
        <v>0</v>
      </c>
      <c r="AD41" s="938"/>
      <c r="AE41" s="938"/>
      <c r="AF41" s="938">
        <f t="shared" si="13"/>
        <v>0</v>
      </c>
      <c r="AG41" s="938">
        <f t="shared" si="14"/>
        <v>0</v>
      </c>
      <c r="AH41" s="938">
        <f t="shared" si="15"/>
        <v>0</v>
      </c>
      <c r="AI41" s="938">
        <f t="shared" si="16"/>
        <v>0</v>
      </c>
      <c r="AJ41" s="938">
        <f t="shared" si="17"/>
        <v>0</v>
      </c>
      <c r="AK41" s="938">
        <f t="shared" si="18"/>
        <v>0</v>
      </c>
      <c r="AL41" s="713">
        <f>'min. Düngung 22'!N42</f>
        <v>0</v>
      </c>
      <c r="AM41" s="938"/>
      <c r="AN41" s="938"/>
      <c r="AO41" s="938">
        <f t="shared" si="19"/>
        <v>0</v>
      </c>
      <c r="AP41" s="938">
        <f t="shared" si="20"/>
        <v>0</v>
      </c>
      <c r="AQ41" s="938">
        <f t="shared" si="21"/>
        <v>0</v>
      </c>
      <c r="AR41" s="938">
        <f t="shared" si="22"/>
        <v>0</v>
      </c>
      <c r="AS41" s="938">
        <f t="shared" si="23"/>
        <v>0</v>
      </c>
      <c r="AT41" s="938" t="str">
        <f t="shared" si="24"/>
        <v/>
      </c>
      <c r="AU41" s="713">
        <f>'min. Düngung 22'!Q42</f>
        <v>0</v>
      </c>
      <c r="AV41" s="938"/>
      <c r="AW41" s="938"/>
      <c r="AX41" s="938">
        <f t="shared" si="25"/>
        <v>0</v>
      </c>
      <c r="AY41" s="938">
        <f t="shared" si="26"/>
        <v>0</v>
      </c>
      <c r="AZ41" s="938">
        <f t="shared" si="27"/>
        <v>0</v>
      </c>
      <c r="BA41" s="938">
        <f t="shared" si="28"/>
        <v>0</v>
      </c>
      <c r="BB41" s="938">
        <f t="shared" si="29"/>
        <v>0</v>
      </c>
      <c r="BC41" s="938" t="str">
        <f t="shared" si="30"/>
        <v/>
      </c>
      <c r="BD41" s="713">
        <f>'min. Düngung 22'!T42</f>
        <v>0</v>
      </c>
      <c r="BE41" s="938"/>
      <c r="BF41" s="938"/>
      <c r="BG41" s="938">
        <f t="shared" si="31"/>
        <v>0</v>
      </c>
      <c r="BH41" s="938">
        <f t="shared" si="32"/>
        <v>0</v>
      </c>
      <c r="BI41" s="938">
        <f t="shared" si="33"/>
        <v>0</v>
      </c>
      <c r="BJ41" s="938">
        <f t="shared" si="34"/>
        <v>0</v>
      </c>
      <c r="BK41" s="938">
        <f t="shared" si="35"/>
        <v>0</v>
      </c>
      <c r="BL41" s="938" t="str">
        <f t="shared" si="36"/>
        <v/>
      </c>
      <c r="BM41" s="713">
        <f>'min. Düngung 22'!W42</f>
        <v>0</v>
      </c>
      <c r="BN41" s="938"/>
      <c r="BO41" s="938"/>
      <c r="BP41" s="938">
        <f t="shared" si="37"/>
        <v>0</v>
      </c>
      <c r="BQ41" s="938">
        <f t="shared" si="38"/>
        <v>0</v>
      </c>
      <c r="BR41" s="938">
        <f t="shared" si="39"/>
        <v>0</v>
      </c>
      <c r="BS41" s="938">
        <f t="shared" si="40"/>
        <v>0</v>
      </c>
      <c r="BT41" s="938">
        <f t="shared" si="41"/>
        <v>0</v>
      </c>
      <c r="BU41" s="938" t="str">
        <f t="shared" si="42"/>
        <v/>
      </c>
      <c r="BV41" s="713">
        <f>'min. Düngung 22'!Z42</f>
        <v>0</v>
      </c>
      <c r="BW41" s="938"/>
      <c r="BX41" s="938"/>
      <c r="BY41" s="938">
        <f t="shared" si="43"/>
        <v>0</v>
      </c>
      <c r="BZ41" s="938">
        <f t="shared" si="44"/>
        <v>0</v>
      </c>
      <c r="CA41" s="938">
        <f t="shared" si="45"/>
        <v>0</v>
      </c>
      <c r="CB41" s="938">
        <f t="shared" si="46"/>
        <v>0</v>
      </c>
      <c r="CC41" s="938">
        <f t="shared" si="47"/>
        <v>0</v>
      </c>
      <c r="CD41" s="938" t="str">
        <f t="shared" si="48"/>
        <v/>
      </c>
      <c r="CE41" s="713">
        <f>'min. Düngung 22'!AC42</f>
        <v>0</v>
      </c>
      <c r="CF41" s="938"/>
      <c r="CG41" s="938"/>
      <c r="CH41" s="938">
        <f t="shared" si="49"/>
        <v>0</v>
      </c>
      <c r="CI41" s="938">
        <f t="shared" si="50"/>
        <v>0</v>
      </c>
      <c r="CJ41" s="938">
        <f t="shared" si="51"/>
        <v>0</v>
      </c>
      <c r="CK41" s="938">
        <f t="shared" si="52"/>
        <v>0</v>
      </c>
      <c r="CL41" s="938">
        <f t="shared" si="53"/>
        <v>0</v>
      </c>
      <c r="CM41" s="938" t="str">
        <f t="shared" si="54"/>
        <v/>
      </c>
      <c r="CN41" s="713">
        <f>'min. Düngung 22'!AF42</f>
        <v>0</v>
      </c>
      <c r="CO41" s="938"/>
      <c r="CP41" s="938"/>
      <c r="CQ41" s="938">
        <f t="shared" si="55"/>
        <v>0</v>
      </c>
      <c r="CR41" s="938">
        <f t="shared" si="56"/>
        <v>0</v>
      </c>
      <c r="CS41" s="938">
        <f t="shared" si="57"/>
        <v>0</v>
      </c>
      <c r="CT41" s="938">
        <f t="shared" si="58"/>
        <v>0</v>
      </c>
      <c r="CU41" s="938">
        <f t="shared" si="59"/>
        <v>0</v>
      </c>
      <c r="CV41" s="938" t="str">
        <f t="shared" si="60"/>
        <v/>
      </c>
      <c r="CW41" s="713">
        <f>'min. Düngung 22'!AI42</f>
        <v>0</v>
      </c>
      <c r="CX41" s="938"/>
      <c r="CY41" s="938"/>
      <c r="CZ41" s="938">
        <f t="shared" si="61"/>
        <v>0</v>
      </c>
      <c r="DA41" s="938">
        <f t="shared" si="62"/>
        <v>0</v>
      </c>
      <c r="DB41" s="938">
        <f t="shared" si="63"/>
        <v>0</v>
      </c>
      <c r="DC41" s="938">
        <f t="shared" si="64"/>
        <v>0</v>
      </c>
      <c r="DD41" s="938">
        <f t="shared" si="65"/>
        <v>0</v>
      </c>
      <c r="DE41" s="938" t="str">
        <f t="shared" si="66"/>
        <v/>
      </c>
      <c r="DF41" s="713">
        <f>'min. Düngung 22'!AL42</f>
        <v>0</v>
      </c>
      <c r="DG41" s="938"/>
      <c r="DH41" s="938"/>
      <c r="DI41" s="938">
        <f t="shared" si="67"/>
        <v>0</v>
      </c>
      <c r="DJ41" s="938">
        <f t="shared" si="68"/>
        <v>0</v>
      </c>
      <c r="DK41" s="938">
        <f t="shared" si="69"/>
        <v>0</v>
      </c>
      <c r="DL41" s="938">
        <f t="shared" si="70"/>
        <v>0</v>
      </c>
      <c r="DM41" s="938">
        <f t="shared" si="71"/>
        <v>0</v>
      </c>
      <c r="DN41" s="938" t="str">
        <f t="shared" si="72"/>
        <v/>
      </c>
      <c r="DO41" s="713">
        <f>'min. Düngung 22'!AO42</f>
        <v>0</v>
      </c>
      <c r="DP41" s="938"/>
      <c r="DQ41" s="938"/>
      <c r="DR41" s="938">
        <f t="shared" si="73"/>
        <v>0</v>
      </c>
      <c r="DS41" s="938">
        <f t="shared" si="74"/>
        <v>0</v>
      </c>
      <c r="DT41" s="938">
        <f t="shared" si="75"/>
        <v>0</v>
      </c>
      <c r="DU41" s="938">
        <f t="shared" si="76"/>
        <v>0</v>
      </c>
      <c r="DV41" s="938">
        <f t="shared" si="77"/>
        <v>0</v>
      </c>
      <c r="DW41" s="938" t="str">
        <f t="shared" si="78"/>
        <v/>
      </c>
      <c r="DX41" s="713">
        <f>'min. Düngung 22'!AR42</f>
        <v>0</v>
      </c>
      <c r="DY41" s="938"/>
      <c r="DZ41" s="938"/>
      <c r="EA41" s="938">
        <f t="shared" si="79"/>
        <v>0</v>
      </c>
      <c r="EB41" s="938">
        <f t="shared" si="80"/>
        <v>0</v>
      </c>
      <c r="EC41" s="938">
        <f t="shared" si="81"/>
        <v>0</v>
      </c>
      <c r="ED41" s="938">
        <f t="shared" si="82"/>
        <v>0</v>
      </c>
      <c r="EE41" s="938">
        <f t="shared" si="83"/>
        <v>0</v>
      </c>
      <c r="EF41" s="938" t="str">
        <f t="shared" si="84"/>
        <v/>
      </c>
      <c r="EG41" s="713">
        <f>'min. Düngung 22'!AU42</f>
        <v>0</v>
      </c>
      <c r="EH41" s="938"/>
      <c r="EI41" s="938"/>
      <c r="EJ41" s="938">
        <f t="shared" si="85"/>
        <v>0</v>
      </c>
      <c r="EK41" s="938">
        <f t="shared" si="86"/>
        <v>0</v>
      </c>
      <c r="EL41" s="938">
        <f t="shared" si="87"/>
        <v>0</v>
      </c>
      <c r="EM41" s="938">
        <f t="shared" si="88"/>
        <v>0</v>
      </c>
      <c r="EN41" s="938">
        <f t="shared" si="89"/>
        <v>0</v>
      </c>
      <c r="EO41" s="938" t="str">
        <f t="shared" si="90"/>
        <v/>
      </c>
      <c r="EP41" s="713">
        <f>'min. Düngung 22'!AX42</f>
        <v>0</v>
      </c>
      <c r="EQ41" s="938"/>
      <c r="ER41" s="938"/>
      <c r="ES41" s="938">
        <f t="shared" si="91"/>
        <v>0</v>
      </c>
      <c r="ET41" s="938">
        <f t="shared" si="92"/>
        <v>0</v>
      </c>
      <c r="EU41" s="938">
        <f t="shared" si="93"/>
        <v>0</v>
      </c>
      <c r="EV41" s="938">
        <f t="shared" si="94"/>
        <v>0</v>
      </c>
      <c r="EW41" s="938">
        <f t="shared" si="95"/>
        <v>0</v>
      </c>
      <c r="EX41" s="938" t="str">
        <f t="shared" si="96"/>
        <v/>
      </c>
      <c r="EY41" s="713">
        <f>'min. Düngung 22'!BA42</f>
        <v>0</v>
      </c>
      <c r="EZ41" s="938"/>
      <c r="FA41" s="938"/>
      <c r="FB41" s="938">
        <f t="shared" si="97"/>
        <v>0</v>
      </c>
      <c r="FC41" s="938">
        <f t="shared" si="98"/>
        <v>0</v>
      </c>
      <c r="FD41" s="938">
        <f t="shared" si="99"/>
        <v>0</v>
      </c>
      <c r="FE41" s="938">
        <f t="shared" si="100"/>
        <v>0</v>
      </c>
      <c r="FF41" s="938">
        <f t="shared" si="101"/>
        <v>0</v>
      </c>
      <c r="FG41" s="938" t="str">
        <f t="shared" si="102"/>
        <v/>
      </c>
      <c r="FH41" s="713">
        <f>'min. Düngung 22'!BD42</f>
        <v>0</v>
      </c>
      <c r="FI41" s="938"/>
      <c r="FJ41" s="938"/>
      <c r="FK41" s="938">
        <f t="shared" si="103"/>
        <v>0</v>
      </c>
      <c r="FL41" s="938">
        <f t="shared" si="104"/>
        <v>0</v>
      </c>
      <c r="FM41" s="938">
        <f t="shared" si="105"/>
        <v>0</v>
      </c>
      <c r="FN41" s="938">
        <f t="shared" si="106"/>
        <v>0</v>
      </c>
      <c r="FO41" s="938">
        <f t="shared" si="107"/>
        <v>0</v>
      </c>
      <c r="FP41" s="938" t="str">
        <f t="shared" si="108"/>
        <v/>
      </c>
      <c r="FQ41" s="713">
        <f>'min. Düngung 22'!BG42</f>
        <v>0</v>
      </c>
      <c r="FR41" s="938"/>
      <c r="FS41" s="938"/>
      <c r="FT41" s="938">
        <f t="shared" si="109"/>
        <v>0</v>
      </c>
      <c r="FU41" s="938">
        <f t="shared" si="110"/>
        <v>0</v>
      </c>
      <c r="FV41" s="938">
        <f t="shared" si="111"/>
        <v>0</v>
      </c>
      <c r="FW41" s="938">
        <f t="shared" si="112"/>
        <v>0</v>
      </c>
      <c r="FX41" s="938">
        <f t="shared" si="113"/>
        <v>0</v>
      </c>
      <c r="FY41" s="938" t="str">
        <f t="shared" si="114"/>
        <v/>
      </c>
      <c r="FZ41" s="713">
        <f>'min. Düngung 22'!BJ42</f>
        <v>0</v>
      </c>
      <c r="GA41" s="938"/>
      <c r="GB41" s="938"/>
      <c r="GC41" s="938">
        <f t="shared" si="115"/>
        <v>0</v>
      </c>
      <c r="GD41" s="938">
        <f t="shared" si="116"/>
        <v>0</v>
      </c>
      <c r="GE41" s="938">
        <f t="shared" si="117"/>
        <v>0</v>
      </c>
      <c r="GF41" s="938">
        <f t="shared" si="118"/>
        <v>0</v>
      </c>
      <c r="GG41" s="938">
        <f t="shared" si="119"/>
        <v>0</v>
      </c>
      <c r="GH41" s="938" t="str">
        <f t="shared" si="120"/>
        <v/>
      </c>
      <c r="GI41" s="713">
        <f>'min. Düngung 22'!BM42</f>
        <v>0</v>
      </c>
      <c r="GJ41" s="938"/>
      <c r="GK41" s="938"/>
      <c r="GL41" s="938">
        <f t="shared" si="121"/>
        <v>0</v>
      </c>
      <c r="GM41" s="938">
        <f t="shared" si="122"/>
        <v>0</v>
      </c>
      <c r="GN41" s="938">
        <f t="shared" si="123"/>
        <v>0</v>
      </c>
      <c r="GO41" s="938">
        <f t="shared" si="124"/>
        <v>0</v>
      </c>
      <c r="GP41" s="938">
        <f t="shared" si="125"/>
        <v>0</v>
      </c>
      <c r="GQ41" s="938" t="str">
        <f t="shared" si="126"/>
        <v/>
      </c>
      <c r="GR41" s="713">
        <f>'min. Düngung 22'!BP42</f>
        <v>0</v>
      </c>
      <c r="GS41" s="938"/>
      <c r="GT41" s="938"/>
      <c r="GU41" s="938">
        <f t="shared" si="127"/>
        <v>0</v>
      </c>
      <c r="GV41" s="938">
        <f t="shared" si="128"/>
        <v>0</v>
      </c>
      <c r="GW41" s="938">
        <f t="shared" si="129"/>
        <v>0</v>
      </c>
      <c r="GX41" s="938">
        <f t="shared" si="130"/>
        <v>0</v>
      </c>
      <c r="GY41" s="938">
        <f t="shared" si="131"/>
        <v>0</v>
      </c>
      <c r="GZ41" s="938" t="str">
        <f t="shared" si="132"/>
        <v/>
      </c>
      <c r="HA41" s="713">
        <f>'min. Düngung 22'!BS42</f>
        <v>0</v>
      </c>
      <c r="HB41" s="938"/>
      <c r="HC41" s="938"/>
      <c r="HD41" s="938">
        <f t="shared" si="133"/>
        <v>0</v>
      </c>
      <c r="HE41" s="938">
        <f t="shared" si="134"/>
        <v>0</v>
      </c>
      <c r="HF41" s="938">
        <f t="shared" si="135"/>
        <v>0</v>
      </c>
      <c r="HG41" s="938">
        <f t="shared" si="136"/>
        <v>0</v>
      </c>
      <c r="HH41" s="938">
        <f t="shared" si="137"/>
        <v>0</v>
      </c>
      <c r="HI41" s="938" t="str">
        <f t="shared" si="138"/>
        <v/>
      </c>
      <c r="HJ41" s="713">
        <f>'min. Düngung 22'!BV42</f>
        <v>0</v>
      </c>
      <c r="HK41" s="938"/>
      <c r="HL41" s="938"/>
      <c r="HM41" s="938">
        <f t="shared" si="139"/>
        <v>0</v>
      </c>
      <c r="HN41" s="938">
        <f t="shared" si="140"/>
        <v>0</v>
      </c>
      <c r="HO41" s="938">
        <f t="shared" si="141"/>
        <v>0</v>
      </c>
      <c r="HP41" s="938">
        <f t="shared" si="142"/>
        <v>0</v>
      </c>
      <c r="HQ41" s="938">
        <f t="shared" si="143"/>
        <v>0</v>
      </c>
      <c r="HR41" s="938" t="str">
        <f t="shared" si="144"/>
        <v/>
      </c>
      <c r="HS41" s="713">
        <f>'min. Düngung 22'!BY42</f>
        <v>0</v>
      </c>
      <c r="HT41" s="938"/>
      <c r="HU41" s="938"/>
      <c r="HV41" s="938">
        <f t="shared" si="145"/>
        <v>0</v>
      </c>
      <c r="HW41" s="938">
        <f t="shared" si="146"/>
        <v>0</v>
      </c>
      <c r="HX41" s="938">
        <f t="shared" si="147"/>
        <v>0</v>
      </c>
      <c r="HY41" s="938">
        <f t="shared" si="148"/>
        <v>0</v>
      </c>
      <c r="HZ41" s="938">
        <f t="shared" si="149"/>
        <v>0</v>
      </c>
      <c r="IA41" s="938" t="str">
        <f t="shared" si="150"/>
        <v/>
      </c>
      <c r="IB41" s="713">
        <f>'min. Düngung 22'!CB42</f>
        <v>0</v>
      </c>
      <c r="IC41" s="938"/>
      <c r="ID41" s="938"/>
      <c r="IE41" s="938">
        <f t="shared" si="151"/>
        <v>0</v>
      </c>
      <c r="IF41" s="938">
        <f t="shared" si="152"/>
        <v>0</v>
      </c>
      <c r="IG41" s="938">
        <f t="shared" si="153"/>
        <v>0</v>
      </c>
      <c r="IH41" s="938">
        <f t="shared" si="154"/>
        <v>0</v>
      </c>
      <c r="II41" s="938">
        <f t="shared" si="155"/>
        <v>0</v>
      </c>
      <c r="IJ41" s="938" t="str">
        <f t="shared" si="156"/>
        <v/>
      </c>
      <c r="IK41" s="713">
        <f>'min. Düngung 22'!CE42</f>
        <v>0</v>
      </c>
      <c r="IL41" s="938"/>
      <c r="IM41" s="938"/>
      <c r="IN41" s="938">
        <f t="shared" si="157"/>
        <v>0</v>
      </c>
      <c r="IO41" s="938">
        <f t="shared" si="158"/>
        <v>0</v>
      </c>
      <c r="IP41" s="938">
        <f t="shared" si="159"/>
        <v>0</v>
      </c>
      <c r="IQ41" s="938">
        <f t="shared" si="160"/>
        <v>0</v>
      </c>
      <c r="IR41" s="938">
        <f t="shared" si="161"/>
        <v>0</v>
      </c>
      <c r="IS41" s="938" t="str">
        <f t="shared" si="162"/>
        <v/>
      </c>
      <c r="IT41" s="713">
        <f>'min. Düngung 22'!CH42</f>
        <v>0</v>
      </c>
      <c r="IU41" s="938"/>
      <c r="IV41" s="938"/>
      <c r="IW41" s="938">
        <f t="shared" si="163"/>
        <v>0</v>
      </c>
      <c r="IX41" s="938">
        <f t="shared" si="164"/>
        <v>0</v>
      </c>
      <c r="IY41" s="938">
        <f t="shared" si="165"/>
        <v>0</v>
      </c>
      <c r="IZ41" s="938">
        <f t="shared" si="166"/>
        <v>0</v>
      </c>
      <c r="JA41" s="938">
        <f t="shared" si="167"/>
        <v>0</v>
      </c>
      <c r="JB41" s="938" t="str">
        <f t="shared" si="168"/>
        <v/>
      </c>
      <c r="JC41" s="713">
        <f>'min. Düngung 22'!CK42</f>
        <v>0</v>
      </c>
      <c r="JD41" s="938"/>
      <c r="JE41" s="938"/>
      <c r="JF41" s="938">
        <f t="shared" si="169"/>
        <v>0</v>
      </c>
      <c r="JG41" s="938">
        <f t="shared" si="170"/>
        <v>0</v>
      </c>
      <c r="JH41" s="938">
        <f t="shared" si="171"/>
        <v>0</v>
      </c>
      <c r="JI41" s="938">
        <f t="shared" si="172"/>
        <v>0</v>
      </c>
      <c r="JJ41" s="938">
        <f t="shared" si="173"/>
        <v>0</v>
      </c>
      <c r="JK41" s="938" t="str">
        <f t="shared" si="174"/>
        <v/>
      </c>
      <c r="JL41" s="713">
        <f>'min. Düngung 22'!CN42</f>
        <v>0</v>
      </c>
      <c r="JM41" s="938"/>
      <c r="JN41" s="938"/>
      <c r="JO41" s="938">
        <f t="shared" si="175"/>
        <v>0</v>
      </c>
      <c r="JP41" s="938">
        <f t="shared" si="176"/>
        <v>0</v>
      </c>
      <c r="JQ41" s="938">
        <f t="shared" si="177"/>
        <v>0</v>
      </c>
      <c r="JR41" s="938">
        <f t="shared" si="178"/>
        <v>0</v>
      </c>
      <c r="JS41" s="938">
        <f t="shared" si="179"/>
        <v>0</v>
      </c>
      <c r="JT41" s="938" t="str">
        <f t="shared" si="180"/>
        <v/>
      </c>
      <c r="JU41" s="713">
        <f>'min. Düngung 22'!CQ42</f>
        <v>0</v>
      </c>
      <c r="JV41" s="938"/>
      <c r="JW41" s="938"/>
      <c r="JX41" s="938">
        <f t="shared" si="181"/>
        <v>0</v>
      </c>
      <c r="JY41" s="938">
        <f t="shared" si="182"/>
        <v>0</v>
      </c>
      <c r="JZ41" s="938">
        <f t="shared" si="183"/>
        <v>0</v>
      </c>
      <c r="KA41" s="938">
        <f t="shared" si="184"/>
        <v>0</v>
      </c>
      <c r="KB41" s="938">
        <f t="shared" si="185"/>
        <v>0</v>
      </c>
      <c r="KC41" s="938" t="str">
        <f t="shared" si="186"/>
        <v/>
      </c>
      <c r="KE41" s="938"/>
      <c r="KF41" s="938" t="str">
        <f>IF(AND($F41=2,$G41=1),"",IF(OR($Q41&gt;0,$O41&gt;60),$KF$7,IF(I41=70,"",IF(AND(I41=80,R41+'#orgDung'!AC44&lt;60,K41=1,OR(C41=2,'#BerechnungDBE'!AH35=4)),"",IF(R41&gt;0,$KF$7,"")))))</f>
        <v/>
      </c>
      <c r="KG41" s="938" t="str">
        <f>IF(AND(P41&gt;'#BerechnungDBE'!BJ35,P41&gt;0),'#minDung'!$KG$7,"")</f>
        <v/>
      </c>
      <c r="KH41" s="938" t="str">
        <f>IF(AND(I41=70,R41&gt;'#BerechnungDBE'!CR35),'#minDung'!$KH$7,"")</f>
        <v/>
      </c>
      <c r="KI41" s="938" t="str">
        <f>IF('#BerechnungDBE'!P35&lt;4,"",IF(AND('#BerechnungDBE'!BZ35&gt;0,N41&gt;0),$KI$7,""))</f>
        <v/>
      </c>
      <c r="KJ41" s="938" t="str">
        <f t="shared" si="5"/>
        <v/>
      </c>
    </row>
    <row r="42" spans="1:296" s="875" customFormat="1" hidden="1" x14ac:dyDescent="0.2">
      <c r="A42" s="875">
        <f>'Flächen u. Kulturen'!A41</f>
        <v>32</v>
      </c>
      <c r="B42" s="734">
        <f>'#BerechnungDBE'!L36</f>
        <v>0</v>
      </c>
      <c r="C42" s="46">
        <f>'#orgDung'!C45</f>
        <v>1</v>
      </c>
      <c r="D42" s="875">
        <f>'#BerechnungDBE'!T36</f>
        <v>2</v>
      </c>
      <c r="E42" s="875" t="str">
        <f>'Flächen u. Kulturen'!E41</f>
        <v>x</v>
      </c>
      <c r="F42" s="52">
        <f>'#BerechnungDBE'!N36</f>
        <v>1</v>
      </c>
      <c r="G42" s="52">
        <f>'#BerechnungDBE'!O36</f>
        <v>1</v>
      </c>
      <c r="H42" s="505">
        <f>'#orgDung'!J45</f>
        <v>2</v>
      </c>
      <c r="I42" s="875">
        <f>'#BerechnungDBE'!AF36</f>
        <v>0</v>
      </c>
      <c r="J42" s="875">
        <f>'#orgDung'!M45</f>
        <v>0</v>
      </c>
      <c r="K42" s="875">
        <f>'#BerechnungDBE'!AG36</f>
        <v>0</v>
      </c>
      <c r="M42" s="875">
        <f t="shared" si="0"/>
        <v>0</v>
      </c>
      <c r="N42" s="875">
        <f t="shared" si="1"/>
        <v>0</v>
      </c>
      <c r="O42" s="875">
        <f t="shared" si="2"/>
        <v>0</v>
      </c>
      <c r="P42" s="875">
        <f t="shared" si="4"/>
        <v>0</v>
      </c>
      <c r="Q42" s="938">
        <f t="shared" si="6"/>
        <v>0</v>
      </c>
      <c r="R42" s="875">
        <f t="shared" si="3"/>
        <v>0</v>
      </c>
      <c r="T42" s="713">
        <f>'min. Düngung 22'!H43</f>
        <v>0</v>
      </c>
      <c r="W42" s="875">
        <f t="shared" si="7"/>
        <v>0</v>
      </c>
      <c r="X42" s="875">
        <f t="shared" si="8"/>
        <v>0</v>
      </c>
      <c r="Y42" s="875">
        <f t="shared" si="9"/>
        <v>0</v>
      </c>
      <c r="Z42" s="875">
        <f t="shared" si="10"/>
        <v>0</v>
      </c>
      <c r="AA42" s="875">
        <f t="shared" si="11"/>
        <v>0</v>
      </c>
      <c r="AB42" s="875" t="str">
        <f t="shared" si="12"/>
        <v/>
      </c>
      <c r="AC42" s="713">
        <f>'min. Düngung 22'!K43</f>
        <v>0</v>
      </c>
      <c r="AD42" s="938"/>
      <c r="AE42" s="938"/>
      <c r="AF42" s="938">
        <f t="shared" si="13"/>
        <v>0</v>
      </c>
      <c r="AG42" s="938">
        <f t="shared" si="14"/>
        <v>0</v>
      </c>
      <c r="AH42" s="938">
        <f t="shared" si="15"/>
        <v>0</v>
      </c>
      <c r="AI42" s="938">
        <f t="shared" si="16"/>
        <v>0</v>
      </c>
      <c r="AJ42" s="938">
        <f t="shared" si="17"/>
        <v>0</v>
      </c>
      <c r="AK42" s="938">
        <f t="shared" si="18"/>
        <v>0</v>
      </c>
      <c r="AL42" s="713">
        <f>'min. Düngung 22'!N43</f>
        <v>0</v>
      </c>
      <c r="AM42" s="938"/>
      <c r="AN42" s="938"/>
      <c r="AO42" s="938">
        <f t="shared" si="19"/>
        <v>0</v>
      </c>
      <c r="AP42" s="938">
        <f t="shared" si="20"/>
        <v>0</v>
      </c>
      <c r="AQ42" s="938">
        <f t="shared" si="21"/>
        <v>0</v>
      </c>
      <c r="AR42" s="938">
        <f t="shared" si="22"/>
        <v>0</v>
      </c>
      <c r="AS42" s="938">
        <f t="shared" si="23"/>
        <v>0</v>
      </c>
      <c r="AT42" s="938" t="str">
        <f t="shared" si="24"/>
        <v/>
      </c>
      <c r="AU42" s="713">
        <f>'min. Düngung 22'!Q43</f>
        <v>0</v>
      </c>
      <c r="AV42" s="938"/>
      <c r="AW42" s="938"/>
      <c r="AX42" s="938">
        <f t="shared" si="25"/>
        <v>0</v>
      </c>
      <c r="AY42" s="938">
        <f t="shared" si="26"/>
        <v>0</v>
      </c>
      <c r="AZ42" s="938">
        <f t="shared" si="27"/>
        <v>0</v>
      </c>
      <c r="BA42" s="938">
        <f t="shared" si="28"/>
        <v>0</v>
      </c>
      <c r="BB42" s="938">
        <f t="shared" si="29"/>
        <v>0</v>
      </c>
      <c r="BC42" s="938" t="str">
        <f t="shared" si="30"/>
        <v/>
      </c>
      <c r="BD42" s="713">
        <f>'min. Düngung 22'!T43</f>
        <v>0</v>
      </c>
      <c r="BE42" s="938"/>
      <c r="BF42" s="938"/>
      <c r="BG42" s="938">
        <f t="shared" si="31"/>
        <v>0</v>
      </c>
      <c r="BH42" s="938">
        <f t="shared" si="32"/>
        <v>0</v>
      </c>
      <c r="BI42" s="938">
        <f t="shared" si="33"/>
        <v>0</v>
      </c>
      <c r="BJ42" s="938">
        <f t="shared" si="34"/>
        <v>0</v>
      </c>
      <c r="BK42" s="938">
        <f t="shared" si="35"/>
        <v>0</v>
      </c>
      <c r="BL42" s="938" t="str">
        <f t="shared" si="36"/>
        <v/>
      </c>
      <c r="BM42" s="713">
        <f>'min. Düngung 22'!W43</f>
        <v>0</v>
      </c>
      <c r="BN42" s="938"/>
      <c r="BO42" s="938"/>
      <c r="BP42" s="938">
        <f t="shared" si="37"/>
        <v>0</v>
      </c>
      <c r="BQ42" s="938">
        <f t="shared" si="38"/>
        <v>0</v>
      </c>
      <c r="BR42" s="938">
        <f t="shared" si="39"/>
        <v>0</v>
      </c>
      <c r="BS42" s="938">
        <f t="shared" si="40"/>
        <v>0</v>
      </c>
      <c r="BT42" s="938">
        <f t="shared" si="41"/>
        <v>0</v>
      </c>
      <c r="BU42" s="938" t="str">
        <f t="shared" si="42"/>
        <v/>
      </c>
      <c r="BV42" s="713">
        <f>'min. Düngung 22'!Z43</f>
        <v>0</v>
      </c>
      <c r="BW42" s="938"/>
      <c r="BX42" s="938"/>
      <c r="BY42" s="938">
        <f t="shared" si="43"/>
        <v>0</v>
      </c>
      <c r="BZ42" s="938">
        <f t="shared" si="44"/>
        <v>0</v>
      </c>
      <c r="CA42" s="938">
        <f t="shared" si="45"/>
        <v>0</v>
      </c>
      <c r="CB42" s="938">
        <f t="shared" si="46"/>
        <v>0</v>
      </c>
      <c r="CC42" s="938">
        <f t="shared" si="47"/>
        <v>0</v>
      </c>
      <c r="CD42" s="938" t="str">
        <f t="shared" si="48"/>
        <v/>
      </c>
      <c r="CE42" s="713">
        <f>'min. Düngung 22'!AC43</f>
        <v>0</v>
      </c>
      <c r="CF42" s="938"/>
      <c r="CG42" s="938"/>
      <c r="CH42" s="938">
        <f t="shared" si="49"/>
        <v>0</v>
      </c>
      <c r="CI42" s="938">
        <f t="shared" si="50"/>
        <v>0</v>
      </c>
      <c r="CJ42" s="938">
        <f t="shared" si="51"/>
        <v>0</v>
      </c>
      <c r="CK42" s="938">
        <f t="shared" si="52"/>
        <v>0</v>
      </c>
      <c r="CL42" s="938">
        <f t="shared" si="53"/>
        <v>0</v>
      </c>
      <c r="CM42" s="938" t="str">
        <f t="shared" si="54"/>
        <v/>
      </c>
      <c r="CN42" s="713">
        <f>'min. Düngung 22'!AF43</f>
        <v>0</v>
      </c>
      <c r="CO42" s="938"/>
      <c r="CP42" s="938"/>
      <c r="CQ42" s="938">
        <f t="shared" si="55"/>
        <v>0</v>
      </c>
      <c r="CR42" s="938">
        <f t="shared" si="56"/>
        <v>0</v>
      </c>
      <c r="CS42" s="938">
        <f t="shared" si="57"/>
        <v>0</v>
      </c>
      <c r="CT42" s="938">
        <f t="shared" si="58"/>
        <v>0</v>
      </c>
      <c r="CU42" s="938">
        <f t="shared" si="59"/>
        <v>0</v>
      </c>
      <c r="CV42" s="938" t="str">
        <f t="shared" si="60"/>
        <v/>
      </c>
      <c r="CW42" s="713">
        <f>'min. Düngung 22'!AI43</f>
        <v>0</v>
      </c>
      <c r="CX42" s="938"/>
      <c r="CY42" s="938"/>
      <c r="CZ42" s="938">
        <f t="shared" si="61"/>
        <v>0</v>
      </c>
      <c r="DA42" s="938">
        <f t="shared" si="62"/>
        <v>0</v>
      </c>
      <c r="DB42" s="938">
        <f t="shared" si="63"/>
        <v>0</v>
      </c>
      <c r="DC42" s="938">
        <f t="shared" si="64"/>
        <v>0</v>
      </c>
      <c r="DD42" s="938">
        <f t="shared" si="65"/>
        <v>0</v>
      </c>
      <c r="DE42" s="938" t="str">
        <f t="shared" si="66"/>
        <v/>
      </c>
      <c r="DF42" s="713">
        <f>'min. Düngung 22'!AL43</f>
        <v>0</v>
      </c>
      <c r="DG42" s="938"/>
      <c r="DH42" s="938"/>
      <c r="DI42" s="938">
        <f t="shared" si="67"/>
        <v>0</v>
      </c>
      <c r="DJ42" s="938">
        <f t="shared" si="68"/>
        <v>0</v>
      </c>
      <c r="DK42" s="938">
        <f t="shared" si="69"/>
        <v>0</v>
      </c>
      <c r="DL42" s="938">
        <f t="shared" si="70"/>
        <v>0</v>
      </c>
      <c r="DM42" s="938">
        <f t="shared" si="71"/>
        <v>0</v>
      </c>
      <c r="DN42" s="938" t="str">
        <f t="shared" si="72"/>
        <v/>
      </c>
      <c r="DO42" s="713">
        <f>'min. Düngung 22'!AO43</f>
        <v>0</v>
      </c>
      <c r="DP42" s="938"/>
      <c r="DQ42" s="938"/>
      <c r="DR42" s="938">
        <f t="shared" si="73"/>
        <v>0</v>
      </c>
      <c r="DS42" s="938">
        <f t="shared" si="74"/>
        <v>0</v>
      </c>
      <c r="DT42" s="938">
        <f t="shared" si="75"/>
        <v>0</v>
      </c>
      <c r="DU42" s="938">
        <f t="shared" si="76"/>
        <v>0</v>
      </c>
      <c r="DV42" s="938">
        <f t="shared" si="77"/>
        <v>0</v>
      </c>
      <c r="DW42" s="938" t="str">
        <f t="shared" si="78"/>
        <v/>
      </c>
      <c r="DX42" s="713">
        <f>'min. Düngung 22'!AR43</f>
        <v>0</v>
      </c>
      <c r="DY42" s="938"/>
      <c r="DZ42" s="938"/>
      <c r="EA42" s="938">
        <f t="shared" si="79"/>
        <v>0</v>
      </c>
      <c r="EB42" s="938">
        <f t="shared" si="80"/>
        <v>0</v>
      </c>
      <c r="EC42" s="938">
        <f t="shared" si="81"/>
        <v>0</v>
      </c>
      <c r="ED42" s="938">
        <f t="shared" si="82"/>
        <v>0</v>
      </c>
      <c r="EE42" s="938">
        <f t="shared" si="83"/>
        <v>0</v>
      </c>
      <c r="EF42" s="938" t="str">
        <f t="shared" si="84"/>
        <v/>
      </c>
      <c r="EG42" s="713">
        <f>'min. Düngung 22'!AU43</f>
        <v>0</v>
      </c>
      <c r="EH42" s="938"/>
      <c r="EI42" s="938"/>
      <c r="EJ42" s="938">
        <f t="shared" si="85"/>
        <v>0</v>
      </c>
      <c r="EK42" s="938">
        <f t="shared" si="86"/>
        <v>0</v>
      </c>
      <c r="EL42" s="938">
        <f t="shared" si="87"/>
        <v>0</v>
      </c>
      <c r="EM42" s="938">
        <f t="shared" si="88"/>
        <v>0</v>
      </c>
      <c r="EN42" s="938">
        <f t="shared" si="89"/>
        <v>0</v>
      </c>
      <c r="EO42" s="938" t="str">
        <f t="shared" si="90"/>
        <v/>
      </c>
      <c r="EP42" s="713">
        <f>'min. Düngung 22'!AX43</f>
        <v>0</v>
      </c>
      <c r="EQ42" s="938"/>
      <c r="ER42" s="938"/>
      <c r="ES42" s="938">
        <f t="shared" si="91"/>
        <v>0</v>
      </c>
      <c r="ET42" s="938">
        <f t="shared" si="92"/>
        <v>0</v>
      </c>
      <c r="EU42" s="938">
        <f t="shared" si="93"/>
        <v>0</v>
      </c>
      <c r="EV42" s="938">
        <f t="shared" si="94"/>
        <v>0</v>
      </c>
      <c r="EW42" s="938">
        <f t="shared" si="95"/>
        <v>0</v>
      </c>
      <c r="EX42" s="938" t="str">
        <f t="shared" si="96"/>
        <v/>
      </c>
      <c r="EY42" s="713">
        <f>'min. Düngung 22'!BA43</f>
        <v>0</v>
      </c>
      <c r="EZ42" s="938"/>
      <c r="FA42" s="938"/>
      <c r="FB42" s="938">
        <f t="shared" si="97"/>
        <v>0</v>
      </c>
      <c r="FC42" s="938">
        <f t="shared" si="98"/>
        <v>0</v>
      </c>
      <c r="FD42" s="938">
        <f t="shared" si="99"/>
        <v>0</v>
      </c>
      <c r="FE42" s="938">
        <f t="shared" si="100"/>
        <v>0</v>
      </c>
      <c r="FF42" s="938">
        <f t="shared" si="101"/>
        <v>0</v>
      </c>
      <c r="FG42" s="938" t="str">
        <f t="shared" si="102"/>
        <v/>
      </c>
      <c r="FH42" s="713">
        <f>'min. Düngung 22'!BD43</f>
        <v>0</v>
      </c>
      <c r="FI42" s="938"/>
      <c r="FJ42" s="938"/>
      <c r="FK42" s="938">
        <f t="shared" si="103"/>
        <v>0</v>
      </c>
      <c r="FL42" s="938">
        <f t="shared" si="104"/>
        <v>0</v>
      </c>
      <c r="FM42" s="938">
        <f t="shared" si="105"/>
        <v>0</v>
      </c>
      <c r="FN42" s="938">
        <f t="shared" si="106"/>
        <v>0</v>
      </c>
      <c r="FO42" s="938">
        <f t="shared" si="107"/>
        <v>0</v>
      </c>
      <c r="FP42" s="938" t="str">
        <f t="shared" si="108"/>
        <v/>
      </c>
      <c r="FQ42" s="713">
        <f>'min. Düngung 22'!BG43</f>
        <v>0</v>
      </c>
      <c r="FR42" s="938"/>
      <c r="FS42" s="938"/>
      <c r="FT42" s="938">
        <f t="shared" si="109"/>
        <v>0</v>
      </c>
      <c r="FU42" s="938">
        <f t="shared" si="110"/>
        <v>0</v>
      </c>
      <c r="FV42" s="938">
        <f t="shared" si="111"/>
        <v>0</v>
      </c>
      <c r="FW42" s="938">
        <f t="shared" si="112"/>
        <v>0</v>
      </c>
      <c r="FX42" s="938">
        <f t="shared" si="113"/>
        <v>0</v>
      </c>
      <c r="FY42" s="938" t="str">
        <f t="shared" si="114"/>
        <v/>
      </c>
      <c r="FZ42" s="713">
        <f>'min. Düngung 22'!BJ43</f>
        <v>0</v>
      </c>
      <c r="GA42" s="938"/>
      <c r="GB42" s="938"/>
      <c r="GC42" s="938">
        <f t="shared" si="115"/>
        <v>0</v>
      </c>
      <c r="GD42" s="938">
        <f t="shared" si="116"/>
        <v>0</v>
      </c>
      <c r="GE42" s="938">
        <f t="shared" si="117"/>
        <v>0</v>
      </c>
      <c r="GF42" s="938">
        <f t="shared" si="118"/>
        <v>0</v>
      </c>
      <c r="GG42" s="938">
        <f t="shared" si="119"/>
        <v>0</v>
      </c>
      <c r="GH42" s="938" t="str">
        <f t="shared" si="120"/>
        <v/>
      </c>
      <c r="GI42" s="713">
        <f>'min. Düngung 22'!BM43</f>
        <v>0</v>
      </c>
      <c r="GJ42" s="938"/>
      <c r="GK42" s="938"/>
      <c r="GL42" s="938">
        <f t="shared" si="121"/>
        <v>0</v>
      </c>
      <c r="GM42" s="938">
        <f t="shared" si="122"/>
        <v>0</v>
      </c>
      <c r="GN42" s="938">
        <f t="shared" si="123"/>
        <v>0</v>
      </c>
      <c r="GO42" s="938">
        <f t="shared" si="124"/>
        <v>0</v>
      </c>
      <c r="GP42" s="938">
        <f t="shared" si="125"/>
        <v>0</v>
      </c>
      <c r="GQ42" s="938" t="str">
        <f t="shared" si="126"/>
        <v/>
      </c>
      <c r="GR42" s="713">
        <f>'min. Düngung 22'!BP43</f>
        <v>0</v>
      </c>
      <c r="GS42" s="938"/>
      <c r="GT42" s="938"/>
      <c r="GU42" s="938">
        <f t="shared" si="127"/>
        <v>0</v>
      </c>
      <c r="GV42" s="938">
        <f t="shared" si="128"/>
        <v>0</v>
      </c>
      <c r="GW42" s="938">
        <f t="shared" si="129"/>
        <v>0</v>
      </c>
      <c r="GX42" s="938">
        <f t="shared" si="130"/>
        <v>0</v>
      </c>
      <c r="GY42" s="938">
        <f t="shared" si="131"/>
        <v>0</v>
      </c>
      <c r="GZ42" s="938" t="str">
        <f t="shared" si="132"/>
        <v/>
      </c>
      <c r="HA42" s="713">
        <f>'min. Düngung 22'!BS43</f>
        <v>0</v>
      </c>
      <c r="HB42" s="938"/>
      <c r="HC42" s="938"/>
      <c r="HD42" s="938">
        <f t="shared" si="133"/>
        <v>0</v>
      </c>
      <c r="HE42" s="938">
        <f t="shared" si="134"/>
        <v>0</v>
      </c>
      <c r="HF42" s="938">
        <f t="shared" si="135"/>
        <v>0</v>
      </c>
      <c r="HG42" s="938">
        <f t="shared" si="136"/>
        <v>0</v>
      </c>
      <c r="HH42" s="938">
        <f t="shared" si="137"/>
        <v>0</v>
      </c>
      <c r="HI42" s="938" t="str">
        <f t="shared" si="138"/>
        <v/>
      </c>
      <c r="HJ42" s="713">
        <f>'min. Düngung 22'!BV43</f>
        <v>0</v>
      </c>
      <c r="HK42" s="938"/>
      <c r="HL42" s="938"/>
      <c r="HM42" s="938">
        <f t="shared" si="139"/>
        <v>0</v>
      </c>
      <c r="HN42" s="938">
        <f t="shared" si="140"/>
        <v>0</v>
      </c>
      <c r="HO42" s="938">
        <f t="shared" si="141"/>
        <v>0</v>
      </c>
      <c r="HP42" s="938">
        <f t="shared" si="142"/>
        <v>0</v>
      </c>
      <c r="HQ42" s="938">
        <f t="shared" si="143"/>
        <v>0</v>
      </c>
      <c r="HR42" s="938" t="str">
        <f t="shared" si="144"/>
        <v/>
      </c>
      <c r="HS42" s="713">
        <f>'min. Düngung 22'!BY43</f>
        <v>0</v>
      </c>
      <c r="HT42" s="938"/>
      <c r="HU42" s="938"/>
      <c r="HV42" s="938">
        <f t="shared" si="145"/>
        <v>0</v>
      </c>
      <c r="HW42" s="938">
        <f t="shared" si="146"/>
        <v>0</v>
      </c>
      <c r="HX42" s="938">
        <f t="shared" si="147"/>
        <v>0</v>
      </c>
      <c r="HY42" s="938">
        <f t="shared" si="148"/>
        <v>0</v>
      </c>
      <c r="HZ42" s="938">
        <f t="shared" si="149"/>
        <v>0</v>
      </c>
      <c r="IA42" s="938" t="str">
        <f t="shared" si="150"/>
        <v/>
      </c>
      <c r="IB42" s="713">
        <f>'min. Düngung 22'!CB43</f>
        <v>0</v>
      </c>
      <c r="IC42" s="938"/>
      <c r="ID42" s="938"/>
      <c r="IE42" s="938">
        <f t="shared" si="151"/>
        <v>0</v>
      </c>
      <c r="IF42" s="938">
        <f t="shared" si="152"/>
        <v>0</v>
      </c>
      <c r="IG42" s="938">
        <f t="shared" si="153"/>
        <v>0</v>
      </c>
      <c r="IH42" s="938">
        <f t="shared" si="154"/>
        <v>0</v>
      </c>
      <c r="II42" s="938">
        <f t="shared" si="155"/>
        <v>0</v>
      </c>
      <c r="IJ42" s="938" t="str">
        <f t="shared" si="156"/>
        <v/>
      </c>
      <c r="IK42" s="713">
        <f>'min. Düngung 22'!CE43</f>
        <v>0</v>
      </c>
      <c r="IL42" s="938"/>
      <c r="IM42" s="938"/>
      <c r="IN42" s="938">
        <f t="shared" si="157"/>
        <v>0</v>
      </c>
      <c r="IO42" s="938">
        <f t="shared" si="158"/>
        <v>0</v>
      </c>
      <c r="IP42" s="938">
        <f t="shared" si="159"/>
        <v>0</v>
      </c>
      <c r="IQ42" s="938">
        <f t="shared" si="160"/>
        <v>0</v>
      </c>
      <c r="IR42" s="938">
        <f t="shared" si="161"/>
        <v>0</v>
      </c>
      <c r="IS42" s="938" t="str">
        <f t="shared" si="162"/>
        <v/>
      </c>
      <c r="IT42" s="713">
        <f>'min. Düngung 22'!CH43</f>
        <v>0</v>
      </c>
      <c r="IU42" s="938"/>
      <c r="IV42" s="938"/>
      <c r="IW42" s="938">
        <f t="shared" si="163"/>
        <v>0</v>
      </c>
      <c r="IX42" s="938">
        <f t="shared" si="164"/>
        <v>0</v>
      </c>
      <c r="IY42" s="938">
        <f t="shared" si="165"/>
        <v>0</v>
      </c>
      <c r="IZ42" s="938">
        <f t="shared" si="166"/>
        <v>0</v>
      </c>
      <c r="JA42" s="938">
        <f t="shared" si="167"/>
        <v>0</v>
      </c>
      <c r="JB42" s="938" t="str">
        <f t="shared" si="168"/>
        <v/>
      </c>
      <c r="JC42" s="713">
        <f>'min. Düngung 22'!CK43</f>
        <v>0</v>
      </c>
      <c r="JD42" s="938"/>
      <c r="JE42" s="938"/>
      <c r="JF42" s="938">
        <f t="shared" si="169"/>
        <v>0</v>
      </c>
      <c r="JG42" s="938">
        <f t="shared" si="170"/>
        <v>0</v>
      </c>
      <c r="JH42" s="938">
        <f t="shared" si="171"/>
        <v>0</v>
      </c>
      <c r="JI42" s="938">
        <f t="shared" si="172"/>
        <v>0</v>
      </c>
      <c r="JJ42" s="938">
        <f t="shared" si="173"/>
        <v>0</v>
      </c>
      <c r="JK42" s="938" t="str">
        <f t="shared" si="174"/>
        <v/>
      </c>
      <c r="JL42" s="713">
        <f>'min. Düngung 22'!CN43</f>
        <v>0</v>
      </c>
      <c r="JM42" s="938"/>
      <c r="JN42" s="938"/>
      <c r="JO42" s="938">
        <f t="shared" si="175"/>
        <v>0</v>
      </c>
      <c r="JP42" s="938">
        <f t="shared" si="176"/>
        <v>0</v>
      </c>
      <c r="JQ42" s="938">
        <f t="shared" si="177"/>
        <v>0</v>
      </c>
      <c r="JR42" s="938">
        <f t="shared" si="178"/>
        <v>0</v>
      </c>
      <c r="JS42" s="938">
        <f t="shared" si="179"/>
        <v>0</v>
      </c>
      <c r="JT42" s="938" t="str">
        <f t="shared" si="180"/>
        <v/>
      </c>
      <c r="JU42" s="713">
        <f>'min. Düngung 22'!CQ43</f>
        <v>0</v>
      </c>
      <c r="JV42" s="938"/>
      <c r="JW42" s="938"/>
      <c r="JX42" s="938">
        <f t="shared" si="181"/>
        <v>0</v>
      </c>
      <c r="JY42" s="938">
        <f t="shared" si="182"/>
        <v>0</v>
      </c>
      <c r="JZ42" s="938">
        <f t="shared" si="183"/>
        <v>0</v>
      </c>
      <c r="KA42" s="938">
        <f t="shared" si="184"/>
        <v>0</v>
      </c>
      <c r="KB42" s="938">
        <f t="shared" si="185"/>
        <v>0</v>
      </c>
      <c r="KC42" s="938" t="str">
        <f t="shared" si="186"/>
        <v/>
      </c>
      <c r="KE42" s="938"/>
      <c r="KF42" s="938" t="str">
        <f>IF(AND($F42=2,$G42=1),"",IF(OR($Q42&gt;0,$O42&gt;60),$KF$7,IF(I42=70,"",IF(AND(I42=80,R42+'#orgDung'!AC45&lt;60,K42=1,OR(C42=2,'#BerechnungDBE'!AH36=4)),"",IF(R42&gt;0,$KF$7,"")))))</f>
        <v/>
      </c>
      <c r="KG42" s="938" t="str">
        <f>IF(AND(P42&gt;'#BerechnungDBE'!BJ36,P42&gt;0),'#minDung'!$KG$7,"")</f>
        <v/>
      </c>
      <c r="KH42" s="938" t="str">
        <f>IF(AND(I42=70,R42&gt;'#BerechnungDBE'!CR36),'#minDung'!$KH$7,"")</f>
        <v/>
      </c>
      <c r="KI42" s="938" t="str">
        <f>IF('#BerechnungDBE'!P36&lt;4,"",IF(AND('#BerechnungDBE'!BZ36&gt;0,N42&gt;0),$KI$7,""))</f>
        <v/>
      </c>
      <c r="KJ42" s="938" t="str">
        <f t="shared" si="5"/>
        <v/>
      </c>
    </row>
    <row r="43" spans="1:296" s="875" customFormat="1" hidden="1" x14ac:dyDescent="0.2">
      <c r="A43" s="875">
        <f>'Flächen u. Kulturen'!A42</f>
        <v>33</v>
      </c>
      <c r="B43" s="734">
        <f>'#BerechnungDBE'!L37</f>
        <v>0</v>
      </c>
      <c r="C43" s="46">
        <f>'#orgDung'!C46</f>
        <v>1</v>
      </c>
      <c r="D43" s="875">
        <f>'#BerechnungDBE'!T37</f>
        <v>2</v>
      </c>
      <c r="E43" s="875" t="str">
        <f>'Flächen u. Kulturen'!E42</f>
        <v>x</v>
      </c>
      <c r="F43" s="52">
        <f>'#BerechnungDBE'!N37</f>
        <v>1</v>
      </c>
      <c r="G43" s="52">
        <f>'#BerechnungDBE'!O37</f>
        <v>1</v>
      </c>
      <c r="H43" s="505">
        <f>'#orgDung'!J46</f>
        <v>2</v>
      </c>
      <c r="I43" s="875">
        <f>'#BerechnungDBE'!AF37</f>
        <v>0</v>
      </c>
      <c r="J43" s="875">
        <f>'#orgDung'!M46</f>
        <v>0</v>
      </c>
      <c r="K43" s="875">
        <f>'#BerechnungDBE'!AG37</f>
        <v>0</v>
      </c>
      <c r="M43" s="875">
        <f t="shared" ref="M43:M74" si="187">SUMIF($T$10:$XFD$10,$X$10,T43:XFD43)</f>
        <v>0</v>
      </c>
      <c r="N43" s="875">
        <f t="shared" ref="N43:N74" si="188">SUMIF($T$10:$XFD$10,$Y$10,T43:XFD43)</f>
        <v>0</v>
      </c>
      <c r="O43" s="875">
        <f t="shared" ref="O43:O74" si="189">SUMIF($T$10:$XFD$10,$Z$10,T43:XFD43)</f>
        <v>0</v>
      </c>
      <c r="P43" s="875">
        <f t="shared" ref="P43:P74" si="190">SUMIF($T$10:$XFD$10,$AA$10,T43:XFD43)</f>
        <v>0</v>
      </c>
      <c r="Q43" s="938">
        <f t="shared" si="6"/>
        <v>0</v>
      </c>
      <c r="R43" s="875">
        <f t="shared" ref="R43:R74" si="191">SUMIF($T$10:$XFD$10,$AB$10,T43:XFD43)</f>
        <v>0</v>
      </c>
      <c r="T43" s="713">
        <f>'min. Düngung 22'!H44</f>
        <v>0</v>
      </c>
      <c r="W43" s="875">
        <f t="shared" si="7"/>
        <v>0</v>
      </c>
      <c r="X43" s="875">
        <f t="shared" si="8"/>
        <v>0</v>
      </c>
      <c r="Y43" s="875">
        <f t="shared" si="9"/>
        <v>0</v>
      </c>
      <c r="Z43" s="875">
        <f t="shared" si="10"/>
        <v>0</v>
      </c>
      <c r="AA43" s="875">
        <f t="shared" si="11"/>
        <v>0</v>
      </c>
      <c r="AB43" s="875" t="str">
        <f t="shared" si="12"/>
        <v/>
      </c>
      <c r="AC43" s="713">
        <f>'min. Düngung 22'!K44</f>
        <v>0</v>
      </c>
      <c r="AD43" s="938"/>
      <c r="AE43" s="938"/>
      <c r="AF43" s="938">
        <f t="shared" si="13"/>
        <v>0</v>
      </c>
      <c r="AG43" s="938">
        <f t="shared" si="14"/>
        <v>0</v>
      </c>
      <c r="AH43" s="938">
        <f t="shared" si="15"/>
        <v>0</v>
      </c>
      <c r="AI43" s="938">
        <f t="shared" si="16"/>
        <v>0</v>
      </c>
      <c r="AJ43" s="938">
        <f t="shared" si="17"/>
        <v>0</v>
      </c>
      <c r="AK43" s="938">
        <f t="shared" si="18"/>
        <v>0</v>
      </c>
      <c r="AL43" s="713">
        <f>'min. Düngung 22'!N44</f>
        <v>0</v>
      </c>
      <c r="AM43" s="938"/>
      <c r="AN43" s="938"/>
      <c r="AO43" s="938">
        <f t="shared" si="19"/>
        <v>0</v>
      </c>
      <c r="AP43" s="938">
        <f t="shared" si="20"/>
        <v>0</v>
      </c>
      <c r="AQ43" s="938">
        <f t="shared" si="21"/>
        <v>0</v>
      </c>
      <c r="AR43" s="938">
        <f t="shared" si="22"/>
        <v>0</v>
      </c>
      <c r="AS43" s="938">
        <f t="shared" si="23"/>
        <v>0</v>
      </c>
      <c r="AT43" s="938" t="str">
        <f t="shared" si="24"/>
        <v/>
      </c>
      <c r="AU43" s="713">
        <f>'min. Düngung 22'!Q44</f>
        <v>0</v>
      </c>
      <c r="AV43" s="938"/>
      <c r="AW43" s="938"/>
      <c r="AX43" s="938">
        <f t="shared" si="25"/>
        <v>0</v>
      </c>
      <c r="AY43" s="938">
        <f t="shared" si="26"/>
        <v>0</v>
      </c>
      <c r="AZ43" s="938">
        <f t="shared" si="27"/>
        <v>0</v>
      </c>
      <c r="BA43" s="938">
        <f t="shared" si="28"/>
        <v>0</v>
      </c>
      <c r="BB43" s="938">
        <f t="shared" si="29"/>
        <v>0</v>
      </c>
      <c r="BC43" s="938" t="str">
        <f t="shared" si="30"/>
        <v/>
      </c>
      <c r="BD43" s="713">
        <f>'min. Düngung 22'!T44</f>
        <v>0</v>
      </c>
      <c r="BE43" s="938"/>
      <c r="BF43" s="938"/>
      <c r="BG43" s="938">
        <f t="shared" si="31"/>
        <v>0</v>
      </c>
      <c r="BH43" s="938">
        <f t="shared" si="32"/>
        <v>0</v>
      </c>
      <c r="BI43" s="938">
        <f t="shared" si="33"/>
        <v>0</v>
      </c>
      <c r="BJ43" s="938">
        <f t="shared" si="34"/>
        <v>0</v>
      </c>
      <c r="BK43" s="938">
        <f t="shared" si="35"/>
        <v>0</v>
      </c>
      <c r="BL43" s="938" t="str">
        <f t="shared" si="36"/>
        <v/>
      </c>
      <c r="BM43" s="713">
        <f>'min. Düngung 22'!W44</f>
        <v>0</v>
      </c>
      <c r="BN43" s="938"/>
      <c r="BO43" s="938"/>
      <c r="BP43" s="938">
        <f t="shared" si="37"/>
        <v>0</v>
      </c>
      <c r="BQ43" s="938">
        <f t="shared" si="38"/>
        <v>0</v>
      </c>
      <c r="BR43" s="938">
        <f t="shared" si="39"/>
        <v>0</v>
      </c>
      <c r="BS43" s="938">
        <f t="shared" si="40"/>
        <v>0</v>
      </c>
      <c r="BT43" s="938">
        <f t="shared" si="41"/>
        <v>0</v>
      </c>
      <c r="BU43" s="938" t="str">
        <f t="shared" si="42"/>
        <v/>
      </c>
      <c r="BV43" s="713">
        <f>'min. Düngung 22'!Z44</f>
        <v>0</v>
      </c>
      <c r="BW43" s="938"/>
      <c r="BX43" s="938"/>
      <c r="BY43" s="938">
        <f t="shared" si="43"/>
        <v>0</v>
      </c>
      <c r="BZ43" s="938">
        <f t="shared" si="44"/>
        <v>0</v>
      </c>
      <c r="CA43" s="938">
        <f t="shared" si="45"/>
        <v>0</v>
      </c>
      <c r="CB43" s="938">
        <f t="shared" si="46"/>
        <v>0</v>
      </c>
      <c r="CC43" s="938">
        <f t="shared" si="47"/>
        <v>0</v>
      </c>
      <c r="CD43" s="938" t="str">
        <f t="shared" si="48"/>
        <v/>
      </c>
      <c r="CE43" s="713">
        <f>'min. Düngung 22'!AC44</f>
        <v>0</v>
      </c>
      <c r="CF43" s="938"/>
      <c r="CG43" s="938"/>
      <c r="CH43" s="938">
        <f t="shared" si="49"/>
        <v>0</v>
      </c>
      <c r="CI43" s="938">
        <f t="shared" si="50"/>
        <v>0</v>
      </c>
      <c r="CJ43" s="938">
        <f t="shared" si="51"/>
        <v>0</v>
      </c>
      <c r="CK43" s="938">
        <f t="shared" si="52"/>
        <v>0</v>
      </c>
      <c r="CL43" s="938">
        <f t="shared" si="53"/>
        <v>0</v>
      </c>
      <c r="CM43" s="938" t="str">
        <f t="shared" si="54"/>
        <v/>
      </c>
      <c r="CN43" s="713">
        <f>'min. Düngung 22'!AF44</f>
        <v>0</v>
      </c>
      <c r="CO43" s="938"/>
      <c r="CP43" s="938"/>
      <c r="CQ43" s="938">
        <f t="shared" si="55"/>
        <v>0</v>
      </c>
      <c r="CR43" s="938">
        <f t="shared" si="56"/>
        <v>0</v>
      </c>
      <c r="CS43" s="938">
        <f t="shared" si="57"/>
        <v>0</v>
      </c>
      <c r="CT43" s="938">
        <f t="shared" si="58"/>
        <v>0</v>
      </c>
      <c r="CU43" s="938">
        <f t="shared" si="59"/>
        <v>0</v>
      </c>
      <c r="CV43" s="938" t="str">
        <f t="shared" si="60"/>
        <v/>
      </c>
      <c r="CW43" s="713">
        <f>'min. Düngung 22'!AI44</f>
        <v>0</v>
      </c>
      <c r="CX43" s="938"/>
      <c r="CY43" s="938"/>
      <c r="CZ43" s="938">
        <f t="shared" si="61"/>
        <v>0</v>
      </c>
      <c r="DA43" s="938">
        <f t="shared" si="62"/>
        <v>0</v>
      </c>
      <c r="DB43" s="938">
        <f t="shared" si="63"/>
        <v>0</v>
      </c>
      <c r="DC43" s="938">
        <f t="shared" si="64"/>
        <v>0</v>
      </c>
      <c r="DD43" s="938">
        <f t="shared" si="65"/>
        <v>0</v>
      </c>
      <c r="DE43" s="938" t="str">
        <f t="shared" si="66"/>
        <v/>
      </c>
      <c r="DF43" s="713">
        <f>'min. Düngung 22'!AL44</f>
        <v>0</v>
      </c>
      <c r="DG43" s="938"/>
      <c r="DH43" s="938"/>
      <c r="DI43" s="938">
        <f t="shared" si="67"/>
        <v>0</v>
      </c>
      <c r="DJ43" s="938">
        <f t="shared" si="68"/>
        <v>0</v>
      </c>
      <c r="DK43" s="938">
        <f t="shared" si="69"/>
        <v>0</v>
      </c>
      <c r="DL43" s="938">
        <f t="shared" si="70"/>
        <v>0</v>
      </c>
      <c r="DM43" s="938">
        <f t="shared" si="71"/>
        <v>0</v>
      </c>
      <c r="DN43" s="938" t="str">
        <f t="shared" si="72"/>
        <v/>
      </c>
      <c r="DO43" s="713">
        <f>'min. Düngung 22'!AO44</f>
        <v>0</v>
      </c>
      <c r="DP43" s="938"/>
      <c r="DQ43" s="938"/>
      <c r="DR43" s="938">
        <f t="shared" si="73"/>
        <v>0</v>
      </c>
      <c r="DS43" s="938">
        <f t="shared" si="74"/>
        <v>0</v>
      </c>
      <c r="DT43" s="938">
        <f t="shared" si="75"/>
        <v>0</v>
      </c>
      <c r="DU43" s="938">
        <f t="shared" si="76"/>
        <v>0</v>
      </c>
      <c r="DV43" s="938">
        <f t="shared" si="77"/>
        <v>0</v>
      </c>
      <c r="DW43" s="938" t="str">
        <f t="shared" si="78"/>
        <v/>
      </c>
      <c r="DX43" s="713">
        <f>'min. Düngung 22'!AR44</f>
        <v>0</v>
      </c>
      <c r="DY43" s="938"/>
      <c r="DZ43" s="938"/>
      <c r="EA43" s="938">
        <f t="shared" si="79"/>
        <v>0</v>
      </c>
      <c r="EB43" s="938">
        <f t="shared" si="80"/>
        <v>0</v>
      </c>
      <c r="EC43" s="938">
        <f t="shared" si="81"/>
        <v>0</v>
      </c>
      <c r="ED43" s="938">
        <f t="shared" si="82"/>
        <v>0</v>
      </c>
      <c r="EE43" s="938">
        <f t="shared" si="83"/>
        <v>0</v>
      </c>
      <c r="EF43" s="938" t="str">
        <f t="shared" si="84"/>
        <v/>
      </c>
      <c r="EG43" s="713">
        <f>'min. Düngung 22'!AU44</f>
        <v>0</v>
      </c>
      <c r="EH43" s="938"/>
      <c r="EI43" s="938"/>
      <c r="EJ43" s="938">
        <f t="shared" si="85"/>
        <v>0</v>
      </c>
      <c r="EK43" s="938">
        <f t="shared" si="86"/>
        <v>0</v>
      </c>
      <c r="EL43" s="938">
        <f t="shared" si="87"/>
        <v>0</v>
      </c>
      <c r="EM43" s="938">
        <f t="shared" si="88"/>
        <v>0</v>
      </c>
      <c r="EN43" s="938">
        <f t="shared" si="89"/>
        <v>0</v>
      </c>
      <c r="EO43" s="938" t="str">
        <f t="shared" si="90"/>
        <v/>
      </c>
      <c r="EP43" s="713">
        <f>'min. Düngung 22'!AX44</f>
        <v>0</v>
      </c>
      <c r="EQ43" s="938"/>
      <c r="ER43" s="938"/>
      <c r="ES43" s="938">
        <f t="shared" si="91"/>
        <v>0</v>
      </c>
      <c r="ET43" s="938">
        <f t="shared" si="92"/>
        <v>0</v>
      </c>
      <c r="EU43" s="938">
        <f t="shared" si="93"/>
        <v>0</v>
      </c>
      <c r="EV43" s="938">
        <f t="shared" si="94"/>
        <v>0</v>
      </c>
      <c r="EW43" s="938">
        <f t="shared" si="95"/>
        <v>0</v>
      </c>
      <c r="EX43" s="938" t="str">
        <f t="shared" si="96"/>
        <v/>
      </c>
      <c r="EY43" s="713">
        <f>'min. Düngung 22'!BA44</f>
        <v>0</v>
      </c>
      <c r="EZ43" s="938"/>
      <c r="FA43" s="938"/>
      <c r="FB43" s="938">
        <f t="shared" si="97"/>
        <v>0</v>
      </c>
      <c r="FC43" s="938">
        <f t="shared" si="98"/>
        <v>0</v>
      </c>
      <c r="FD43" s="938">
        <f t="shared" si="99"/>
        <v>0</v>
      </c>
      <c r="FE43" s="938">
        <f t="shared" si="100"/>
        <v>0</v>
      </c>
      <c r="FF43" s="938">
        <f t="shared" si="101"/>
        <v>0</v>
      </c>
      <c r="FG43" s="938" t="str">
        <f t="shared" si="102"/>
        <v/>
      </c>
      <c r="FH43" s="713">
        <f>'min. Düngung 22'!BD44</f>
        <v>0</v>
      </c>
      <c r="FI43" s="938"/>
      <c r="FJ43" s="938"/>
      <c r="FK43" s="938">
        <f t="shared" si="103"/>
        <v>0</v>
      </c>
      <c r="FL43" s="938">
        <f t="shared" si="104"/>
        <v>0</v>
      </c>
      <c r="FM43" s="938">
        <f t="shared" si="105"/>
        <v>0</v>
      </c>
      <c r="FN43" s="938">
        <f t="shared" si="106"/>
        <v>0</v>
      </c>
      <c r="FO43" s="938">
        <f t="shared" si="107"/>
        <v>0</v>
      </c>
      <c r="FP43" s="938" t="str">
        <f t="shared" si="108"/>
        <v/>
      </c>
      <c r="FQ43" s="713">
        <f>'min. Düngung 22'!BG44</f>
        <v>0</v>
      </c>
      <c r="FR43" s="938"/>
      <c r="FS43" s="938"/>
      <c r="FT43" s="938">
        <f t="shared" si="109"/>
        <v>0</v>
      </c>
      <c r="FU43" s="938">
        <f t="shared" si="110"/>
        <v>0</v>
      </c>
      <c r="FV43" s="938">
        <f t="shared" si="111"/>
        <v>0</v>
      </c>
      <c r="FW43" s="938">
        <f t="shared" si="112"/>
        <v>0</v>
      </c>
      <c r="FX43" s="938">
        <f t="shared" si="113"/>
        <v>0</v>
      </c>
      <c r="FY43" s="938" t="str">
        <f t="shared" si="114"/>
        <v/>
      </c>
      <c r="FZ43" s="713">
        <f>'min. Düngung 22'!BJ44</f>
        <v>0</v>
      </c>
      <c r="GA43" s="938"/>
      <c r="GB43" s="938"/>
      <c r="GC43" s="938">
        <f t="shared" si="115"/>
        <v>0</v>
      </c>
      <c r="GD43" s="938">
        <f t="shared" si="116"/>
        <v>0</v>
      </c>
      <c r="GE43" s="938">
        <f t="shared" si="117"/>
        <v>0</v>
      </c>
      <c r="GF43" s="938">
        <f t="shared" si="118"/>
        <v>0</v>
      </c>
      <c r="GG43" s="938">
        <f t="shared" si="119"/>
        <v>0</v>
      </c>
      <c r="GH43" s="938" t="str">
        <f t="shared" si="120"/>
        <v/>
      </c>
      <c r="GI43" s="713">
        <f>'min. Düngung 22'!BM44</f>
        <v>0</v>
      </c>
      <c r="GJ43" s="938"/>
      <c r="GK43" s="938"/>
      <c r="GL43" s="938">
        <f t="shared" si="121"/>
        <v>0</v>
      </c>
      <c r="GM43" s="938">
        <f t="shared" si="122"/>
        <v>0</v>
      </c>
      <c r="GN43" s="938">
        <f t="shared" si="123"/>
        <v>0</v>
      </c>
      <c r="GO43" s="938">
        <f t="shared" si="124"/>
        <v>0</v>
      </c>
      <c r="GP43" s="938">
        <f t="shared" si="125"/>
        <v>0</v>
      </c>
      <c r="GQ43" s="938" t="str">
        <f t="shared" si="126"/>
        <v/>
      </c>
      <c r="GR43" s="713">
        <f>'min. Düngung 22'!BP44</f>
        <v>0</v>
      </c>
      <c r="GS43" s="938"/>
      <c r="GT43" s="938"/>
      <c r="GU43" s="938">
        <f t="shared" si="127"/>
        <v>0</v>
      </c>
      <c r="GV43" s="938">
        <f t="shared" si="128"/>
        <v>0</v>
      </c>
      <c r="GW43" s="938">
        <f t="shared" si="129"/>
        <v>0</v>
      </c>
      <c r="GX43" s="938">
        <f t="shared" si="130"/>
        <v>0</v>
      </c>
      <c r="GY43" s="938">
        <f t="shared" si="131"/>
        <v>0</v>
      </c>
      <c r="GZ43" s="938" t="str">
        <f t="shared" si="132"/>
        <v/>
      </c>
      <c r="HA43" s="713">
        <f>'min. Düngung 22'!BS44</f>
        <v>0</v>
      </c>
      <c r="HB43" s="938"/>
      <c r="HC43" s="938"/>
      <c r="HD43" s="938">
        <f t="shared" si="133"/>
        <v>0</v>
      </c>
      <c r="HE43" s="938">
        <f t="shared" si="134"/>
        <v>0</v>
      </c>
      <c r="HF43" s="938">
        <f t="shared" si="135"/>
        <v>0</v>
      </c>
      <c r="HG43" s="938">
        <f t="shared" si="136"/>
        <v>0</v>
      </c>
      <c r="HH43" s="938">
        <f t="shared" si="137"/>
        <v>0</v>
      </c>
      <c r="HI43" s="938" t="str">
        <f t="shared" si="138"/>
        <v/>
      </c>
      <c r="HJ43" s="713">
        <f>'min. Düngung 22'!BV44</f>
        <v>0</v>
      </c>
      <c r="HK43" s="938"/>
      <c r="HL43" s="938"/>
      <c r="HM43" s="938">
        <f t="shared" si="139"/>
        <v>0</v>
      </c>
      <c r="HN43" s="938">
        <f t="shared" si="140"/>
        <v>0</v>
      </c>
      <c r="HO43" s="938">
        <f t="shared" si="141"/>
        <v>0</v>
      </c>
      <c r="HP43" s="938">
        <f t="shared" si="142"/>
        <v>0</v>
      </c>
      <c r="HQ43" s="938">
        <f t="shared" si="143"/>
        <v>0</v>
      </c>
      <c r="HR43" s="938" t="str">
        <f t="shared" si="144"/>
        <v/>
      </c>
      <c r="HS43" s="713">
        <f>'min. Düngung 22'!BY44</f>
        <v>0</v>
      </c>
      <c r="HT43" s="938"/>
      <c r="HU43" s="938"/>
      <c r="HV43" s="938">
        <f t="shared" si="145"/>
        <v>0</v>
      </c>
      <c r="HW43" s="938">
        <f t="shared" si="146"/>
        <v>0</v>
      </c>
      <c r="HX43" s="938">
        <f t="shared" si="147"/>
        <v>0</v>
      </c>
      <c r="HY43" s="938">
        <f t="shared" si="148"/>
        <v>0</v>
      </c>
      <c r="HZ43" s="938">
        <f t="shared" si="149"/>
        <v>0</v>
      </c>
      <c r="IA43" s="938" t="str">
        <f t="shared" si="150"/>
        <v/>
      </c>
      <c r="IB43" s="713">
        <f>'min. Düngung 22'!CB44</f>
        <v>0</v>
      </c>
      <c r="IC43" s="938"/>
      <c r="ID43" s="938"/>
      <c r="IE43" s="938">
        <f t="shared" si="151"/>
        <v>0</v>
      </c>
      <c r="IF43" s="938">
        <f t="shared" si="152"/>
        <v>0</v>
      </c>
      <c r="IG43" s="938">
        <f t="shared" si="153"/>
        <v>0</v>
      </c>
      <c r="IH43" s="938">
        <f t="shared" si="154"/>
        <v>0</v>
      </c>
      <c r="II43" s="938">
        <f t="shared" si="155"/>
        <v>0</v>
      </c>
      <c r="IJ43" s="938" t="str">
        <f t="shared" si="156"/>
        <v/>
      </c>
      <c r="IK43" s="713">
        <f>'min. Düngung 22'!CE44</f>
        <v>0</v>
      </c>
      <c r="IL43" s="938"/>
      <c r="IM43" s="938"/>
      <c r="IN43" s="938">
        <f t="shared" si="157"/>
        <v>0</v>
      </c>
      <c r="IO43" s="938">
        <f t="shared" si="158"/>
        <v>0</v>
      </c>
      <c r="IP43" s="938">
        <f t="shared" si="159"/>
        <v>0</v>
      </c>
      <c r="IQ43" s="938">
        <f t="shared" si="160"/>
        <v>0</v>
      </c>
      <c r="IR43" s="938">
        <f t="shared" si="161"/>
        <v>0</v>
      </c>
      <c r="IS43" s="938" t="str">
        <f t="shared" si="162"/>
        <v/>
      </c>
      <c r="IT43" s="713">
        <f>'min. Düngung 22'!CH44</f>
        <v>0</v>
      </c>
      <c r="IU43" s="938"/>
      <c r="IV43" s="938"/>
      <c r="IW43" s="938">
        <f t="shared" si="163"/>
        <v>0</v>
      </c>
      <c r="IX43" s="938">
        <f t="shared" si="164"/>
        <v>0</v>
      </c>
      <c r="IY43" s="938">
        <f t="shared" si="165"/>
        <v>0</v>
      </c>
      <c r="IZ43" s="938">
        <f t="shared" si="166"/>
        <v>0</v>
      </c>
      <c r="JA43" s="938">
        <f t="shared" si="167"/>
        <v>0</v>
      </c>
      <c r="JB43" s="938" t="str">
        <f t="shared" si="168"/>
        <v/>
      </c>
      <c r="JC43" s="713">
        <f>'min. Düngung 22'!CK44</f>
        <v>0</v>
      </c>
      <c r="JD43" s="938"/>
      <c r="JE43" s="938"/>
      <c r="JF43" s="938">
        <f t="shared" si="169"/>
        <v>0</v>
      </c>
      <c r="JG43" s="938">
        <f t="shared" si="170"/>
        <v>0</v>
      </c>
      <c r="JH43" s="938">
        <f t="shared" si="171"/>
        <v>0</v>
      </c>
      <c r="JI43" s="938">
        <f t="shared" si="172"/>
        <v>0</v>
      </c>
      <c r="JJ43" s="938">
        <f t="shared" si="173"/>
        <v>0</v>
      </c>
      <c r="JK43" s="938" t="str">
        <f t="shared" si="174"/>
        <v/>
      </c>
      <c r="JL43" s="713">
        <f>'min. Düngung 22'!CN44</f>
        <v>0</v>
      </c>
      <c r="JM43" s="938"/>
      <c r="JN43" s="938"/>
      <c r="JO43" s="938">
        <f t="shared" si="175"/>
        <v>0</v>
      </c>
      <c r="JP43" s="938">
        <f t="shared" si="176"/>
        <v>0</v>
      </c>
      <c r="JQ43" s="938">
        <f t="shared" si="177"/>
        <v>0</v>
      </c>
      <c r="JR43" s="938">
        <f t="shared" si="178"/>
        <v>0</v>
      </c>
      <c r="JS43" s="938">
        <f t="shared" si="179"/>
        <v>0</v>
      </c>
      <c r="JT43" s="938" t="str">
        <f t="shared" si="180"/>
        <v/>
      </c>
      <c r="JU43" s="713">
        <f>'min. Düngung 22'!CQ44</f>
        <v>0</v>
      </c>
      <c r="JV43" s="938"/>
      <c r="JW43" s="938"/>
      <c r="JX43" s="938">
        <f t="shared" si="181"/>
        <v>0</v>
      </c>
      <c r="JY43" s="938">
        <f t="shared" si="182"/>
        <v>0</v>
      </c>
      <c r="JZ43" s="938">
        <f t="shared" si="183"/>
        <v>0</v>
      </c>
      <c r="KA43" s="938">
        <f t="shared" si="184"/>
        <v>0</v>
      </c>
      <c r="KB43" s="938">
        <f t="shared" si="185"/>
        <v>0</v>
      </c>
      <c r="KC43" s="938" t="str">
        <f t="shared" si="186"/>
        <v/>
      </c>
      <c r="KE43" s="938"/>
      <c r="KF43" s="938" t="str">
        <f>IF(AND($F43=2,$G43=1),"",IF(OR($Q43&gt;0,$O43&gt;60),$KF$7,IF(I43=70,"",IF(AND(I43=80,R43+'#orgDung'!AC46&lt;60,K43=1,OR(C43=2,'#BerechnungDBE'!AH37=4)),"",IF(R43&gt;0,$KF$7,"")))))</f>
        <v/>
      </c>
      <c r="KG43" s="938" t="str">
        <f>IF(AND(P43&gt;'#BerechnungDBE'!BJ37,P43&gt;0),'#minDung'!$KG$7,"")</f>
        <v/>
      </c>
      <c r="KH43" s="938" t="str">
        <f>IF(AND(I43=70,R43&gt;'#BerechnungDBE'!CR37),'#minDung'!$KH$7,"")</f>
        <v/>
      </c>
      <c r="KI43" s="938" t="str">
        <f>IF('#BerechnungDBE'!P37&lt;4,"",IF(AND('#BerechnungDBE'!BZ37&gt;0,N43&gt;0),$KI$7,""))</f>
        <v/>
      </c>
      <c r="KJ43" s="938" t="str">
        <f t="shared" si="5"/>
        <v/>
      </c>
    </row>
    <row r="44" spans="1:296" s="875" customFormat="1" hidden="1" x14ac:dyDescent="0.2">
      <c r="A44" s="875">
        <f>'Flächen u. Kulturen'!A43</f>
        <v>34</v>
      </c>
      <c r="B44" s="734">
        <f>'#BerechnungDBE'!L38</f>
        <v>0</v>
      </c>
      <c r="C44" s="46">
        <f>'#orgDung'!C47</f>
        <v>1</v>
      </c>
      <c r="D44" s="875">
        <f>'#BerechnungDBE'!T38</f>
        <v>2</v>
      </c>
      <c r="E44" s="875" t="str">
        <f>'Flächen u. Kulturen'!E43</f>
        <v>x</v>
      </c>
      <c r="F44" s="52">
        <f>'#BerechnungDBE'!N38</f>
        <v>1</v>
      </c>
      <c r="G44" s="52">
        <f>'#BerechnungDBE'!O38</f>
        <v>1</v>
      </c>
      <c r="H44" s="505">
        <f>'#orgDung'!J47</f>
        <v>2</v>
      </c>
      <c r="I44" s="875">
        <f>'#BerechnungDBE'!AF38</f>
        <v>0</v>
      </c>
      <c r="J44" s="875">
        <f>'#orgDung'!M47</f>
        <v>0</v>
      </c>
      <c r="K44" s="875">
        <f>'#BerechnungDBE'!AG38</f>
        <v>0</v>
      </c>
      <c r="M44" s="875">
        <f t="shared" si="187"/>
        <v>0</v>
      </c>
      <c r="N44" s="875">
        <f t="shared" si="188"/>
        <v>0</v>
      </c>
      <c r="O44" s="875">
        <f t="shared" si="189"/>
        <v>0</v>
      </c>
      <c r="P44" s="875">
        <f t="shared" si="190"/>
        <v>0</v>
      </c>
      <c r="Q44" s="938">
        <f t="shared" si="6"/>
        <v>0</v>
      </c>
      <c r="R44" s="875">
        <f t="shared" si="191"/>
        <v>0</v>
      </c>
      <c r="T44" s="713">
        <f>'min. Düngung 22'!H45</f>
        <v>0</v>
      </c>
      <c r="W44" s="875">
        <f t="shared" si="7"/>
        <v>0</v>
      </c>
      <c r="X44" s="875">
        <f t="shared" si="8"/>
        <v>0</v>
      </c>
      <c r="Y44" s="875">
        <f t="shared" si="9"/>
        <v>0</v>
      </c>
      <c r="Z44" s="875">
        <f t="shared" si="10"/>
        <v>0</v>
      </c>
      <c r="AA44" s="875">
        <f t="shared" si="11"/>
        <v>0</v>
      </c>
      <c r="AB44" s="875" t="str">
        <f t="shared" si="12"/>
        <v/>
      </c>
      <c r="AC44" s="713">
        <f>'min. Düngung 22'!K45</f>
        <v>0</v>
      </c>
      <c r="AD44" s="938"/>
      <c r="AE44" s="938"/>
      <c r="AF44" s="938">
        <f t="shared" si="13"/>
        <v>0</v>
      </c>
      <c r="AG44" s="938">
        <f t="shared" si="14"/>
        <v>0</v>
      </c>
      <c r="AH44" s="938">
        <f t="shared" si="15"/>
        <v>0</v>
      </c>
      <c r="AI44" s="938">
        <f t="shared" si="16"/>
        <v>0</v>
      </c>
      <c r="AJ44" s="938">
        <f t="shared" si="17"/>
        <v>0</v>
      </c>
      <c r="AK44" s="938">
        <f t="shared" si="18"/>
        <v>0</v>
      </c>
      <c r="AL44" s="713">
        <f>'min. Düngung 22'!N45</f>
        <v>0</v>
      </c>
      <c r="AM44" s="938"/>
      <c r="AN44" s="938"/>
      <c r="AO44" s="938">
        <f t="shared" si="19"/>
        <v>0</v>
      </c>
      <c r="AP44" s="938">
        <f t="shared" si="20"/>
        <v>0</v>
      </c>
      <c r="AQ44" s="938">
        <f t="shared" si="21"/>
        <v>0</v>
      </c>
      <c r="AR44" s="938">
        <f t="shared" si="22"/>
        <v>0</v>
      </c>
      <c r="AS44" s="938">
        <f t="shared" si="23"/>
        <v>0</v>
      </c>
      <c r="AT44" s="938" t="str">
        <f t="shared" si="24"/>
        <v/>
      </c>
      <c r="AU44" s="713">
        <f>'min. Düngung 22'!Q45</f>
        <v>0</v>
      </c>
      <c r="AV44" s="938"/>
      <c r="AW44" s="938"/>
      <c r="AX44" s="938">
        <f t="shared" si="25"/>
        <v>0</v>
      </c>
      <c r="AY44" s="938">
        <f t="shared" si="26"/>
        <v>0</v>
      </c>
      <c r="AZ44" s="938">
        <f t="shared" si="27"/>
        <v>0</v>
      </c>
      <c r="BA44" s="938">
        <f t="shared" si="28"/>
        <v>0</v>
      </c>
      <c r="BB44" s="938">
        <f t="shared" si="29"/>
        <v>0</v>
      </c>
      <c r="BC44" s="938" t="str">
        <f t="shared" si="30"/>
        <v/>
      </c>
      <c r="BD44" s="713">
        <f>'min. Düngung 22'!T45</f>
        <v>0</v>
      </c>
      <c r="BE44" s="938"/>
      <c r="BF44" s="938"/>
      <c r="BG44" s="938">
        <f t="shared" si="31"/>
        <v>0</v>
      </c>
      <c r="BH44" s="938">
        <f t="shared" si="32"/>
        <v>0</v>
      </c>
      <c r="BI44" s="938">
        <f t="shared" si="33"/>
        <v>0</v>
      </c>
      <c r="BJ44" s="938">
        <f t="shared" si="34"/>
        <v>0</v>
      </c>
      <c r="BK44" s="938">
        <f t="shared" si="35"/>
        <v>0</v>
      </c>
      <c r="BL44" s="938" t="str">
        <f t="shared" si="36"/>
        <v/>
      </c>
      <c r="BM44" s="713">
        <f>'min. Düngung 22'!W45</f>
        <v>0</v>
      </c>
      <c r="BN44" s="938"/>
      <c r="BO44" s="938"/>
      <c r="BP44" s="938">
        <f t="shared" si="37"/>
        <v>0</v>
      </c>
      <c r="BQ44" s="938">
        <f t="shared" si="38"/>
        <v>0</v>
      </c>
      <c r="BR44" s="938">
        <f t="shared" si="39"/>
        <v>0</v>
      </c>
      <c r="BS44" s="938">
        <f t="shared" si="40"/>
        <v>0</v>
      </c>
      <c r="BT44" s="938">
        <f t="shared" si="41"/>
        <v>0</v>
      </c>
      <c r="BU44" s="938" t="str">
        <f t="shared" si="42"/>
        <v/>
      </c>
      <c r="BV44" s="713">
        <f>'min. Düngung 22'!Z45</f>
        <v>0</v>
      </c>
      <c r="BW44" s="938"/>
      <c r="BX44" s="938"/>
      <c r="BY44" s="938">
        <f t="shared" si="43"/>
        <v>0</v>
      </c>
      <c r="BZ44" s="938">
        <f t="shared" si="44"/>
        <v>0</v>
      </c>
      <c r="CA44" s="938">
        <f t="shared" si="45"/>
        <v>0</v>
      </c>
      <c r="CB44" s="938">
        <f t="shared" si="46"/>
        <v>0</v>
      </c>
      <c r="CC44" s="938">
        <f t="shared" si="47"/>
        <v>0</v>
      </c>
      <c r="CD44" s="938" t="str">
        <f t="shared" si="48"/>
        <v/>
      </c>
      <c r="CE44" s="713">
        <f>'min. Düngung 22'!AC45</f>
        <v>0</v>
      </c>
      <c r="CF44" s="938"/>
      <c r="CG44" s="938"/>
      <c r="CH44" s="938">
        <f t="shared" si="49"/>
        <v>0</v>
      </c>
      <c r="CI44" s="938">
        <f t="shared" si="50"/>
        <v>0</v>
      </c>
      <c r="CJ44" s="938">
        <f t="shared" si="51"/>
        <v>0</v>
      </c>
      <c r="CK44" s="938">
        <f t="shared" si="52"/>
        <v>0</v>
      </c>
      <c r="CL44" s="938">
        <f t="shared" si="53"/>
        <v>0</v>
      </c>
      <c r="CM44" s="938" t="str">
        <f t="shared" si="54"/>
        <v/>
      </c>
      <c r="CN44" s="713">
        <f>'min. Düngung 22'!AF45</f>
        <v>0</v>
      </c>
      <c r="CO44" s="938"/>
      <c r="CP44" s="938"/>
      <c r="CQ44" s="938">
        <f t="shared" si="55"/>
        <v>0</v>
      </c>
      <c r="CR44" s="938">
        <f t="shared" si="56"/>
        <v>0</v>
      </c>
      <c r="CS44" s="938">
        <f t="shared" si="57"/>
        <v>0</v>
      </c>
      <c r="CT44" s="938">
        <f t="shared" si="58"/>
        <v>0</v>
      </c>
      <c r="CU44" s="938">
        <f t="shared" si="59"/>
        <v>0</v>
      </c>
      <c r="CV44" s="938" t="str">
        <f t="shared" si="60"/>
        <v/>
      </c>
      <c r="CW44" s="713">
        <f>'min. Düngung 22'!AI45</f>
        <v>0</v>
      </c>
      <c r="CX44" s="938"/>
      <c r="CY44" s="938"/>
      <c r="CZ44" s="938">
        <f t="shared" si="61"/>
        <v>0</v>
      </c>
      <c r="DA44" s="938">
        <f t="shared" si="62"/>
        <v>0</v>
      </c>
      <c r="DB44" s="938">
        <f t="shared" si="63"/>
        <v>0</v>
      </c>
      <c r="DC44" s="938">
        <f t="shared" si="64"/>
        <v>0</v>
      </c>
      <c r="DD44" s="938">
        <f t="shared" si="65"/>
        <v>0</v>
      </c>
      <c r="DE44" s="938" t="str">
        <f t="shared" si="66"/>
        <v/>
      </c>
      <c r="DF44" s="713">
        <f>'min. Düngung 22'!AL45</f>
        <v>0</v>
      </c>
      <c r="DG44" s="938"/>
      <c r="DH44" s="938"/>
      <c r="DI44" s="938">
        <f t="shared" si="67"/>
        <v>0</v>
      </c>
      <c r="DJ44" s="938">
        <f t="shared" si="68"/>
        <v>0</v>
      </c>
      <c r="DK44" s="938">
        <f t="shared" si="69"/>
        <v>0</v>
      </c>
      <c r="DL44" s="938">
        <f t="shared" si="70"/>
        <v>0</v>
      </c>
      <c r="DM44" s="938">
        <f t="shared" si="71"/>
        <v>0</v>
      </c>
      <c r="DN44" s="938" t="str">
        <f t="shared" si="72"/>
        <v/>
      </c>
      <c r="DO44" s="713">
        <f>'min. Düngung 22'!AO45</f>
        <v>0</v>
      </c>
      <c r="DP44" s="938"/>
      <c r="DQ44" s="938"/>
      <c r="DR44" s="938">
        <f t="shared" si="73"/>
        <v>0</v>
      </c>
      <c r="DS44" s="938">
        <f t="shared" si="74"/>
        <v>0</v>
      </c>
      <c r="DT44" s="938">
        <f t="shared" si="75"/>
        <v>0</v>
      </c>
      <c r="DU44" s="938">
        <f t="shared" si="76"/>
        <v>0</v>
      </c>
      <c r="DV44" s="938">
        <f t="shared" si="77"/>
        <v>0</v>
      </c>
      <c r="DW44" s="938" t="str">
        <f t="shared" si="78"/>
        <v/>
      </c>
      <c r="DX44" s="713">
        <f>'min. Düngung 22'!AR45</f>
        <v>0</v>
      </c>
      <c r="DY44" s="938"/>
      <c r="DZ44" s="938"/>
      <c r="EA44" s="938">
        <f t="shared" si="79"/>
        <v>0</v>
      </c>
      <c r="EB44" s="938">
        <f t="shared" si="80"/>
        <v>0</v>
      </c>
      <c r="EC44" s="938">
        <f t="shared" si="81"/>
        <v>0</v>
      </c>
      <c r="ED44" s="938">
        <f t="shared" si="82"/>
        <v>0</v>
      </c>
      <c r="EE44" s="938">
        <f t="shared" si="83"/>
        <v>0</v>
      </c>
      <c r="EF44" s="938" t="str">
        <f t="shared" si="84"/>
        <v/>
      </c>
      <c r="EG44" s="713">
        <f>'min. Düngung 22'!AU45</f>
        <v>0</v>
      </c>
      <c r="EH44" s="938"/>
      <c r="EI44" s="938"/>
      <c r="EJ44" s="938">
        <f t="shared" si="85"/>
        <v>0</v>
      </c>
      <c r="EK44" s="938">
        <f t="shared" si="86"/>
        <v>0</v>
      </c>
      <c r="EL44" s="938">
        <f t="shared" si="87"/>
        <v>0</v>
      </c>
      <c r="EM44" s="938">
        <f t="shared" si="88"/>
        <v>0</v>
      </c>
      <c r="EN44" s="938">
        <f t="shared" si="89"/>
        <v>0</v>
      </c>
      <c r="EO44" s="938" t="str">
        <f t="shared" si="90"/>
        <v/>
      </c>
      <c r="EP44" s="713">
        <f>'min. Düngung 22'!AX45</f>
        <v>0</v>
      </c>
      <c r="EQ44" s="938"/>
      <c r="ER44" s="938"/>
      <c r="ES44" s="938">
        <f t="shared" si="91"/>
        <v>0</v>
      </c>
      <c r="ET44" s="938">
        <f t="shared" si="92"/>
        <v>0</v>
      </c>
      <c r="EU44" s="938">
        <f t="shared" si="93"/>
        <v>0</v>
      </c>
      <c r="EV44" s="938">
        <f t="shared" si="94"/>
        <v>0</v>
      </c>
      <c r="EW44" s="938">
        <f t="shared" si="95"/>
        <v>0</v>
      </c>
      <c r="EX44" s="938" t="str">
        <f t="shared" si="96"/>
        <v/>
      </c>
      <c r="EY44" s="713">
        <f>'min. Düngung 22'!BA45</f>
        <v>0</v>
      </c>
      <c r="EZ44" s="938"/>
      <c r="FA44" s="938"/>
      <c r="FB44" s="938">
        <f t="shared" si="97"/>
        <v>0</v>
      </c>
      <c r="FC44" s="938">
        <f t="shared" si="98"/>
        <v>0</v>
      </c>
      <c r="FD44" s="938">
        <f t="shared" si="99"/>
        <v>0</v>
      </c>
      <c r="FE44" s="938">
        <f t="shared" si="100"/>
        <v>0</v>
      </c>
      <c r="FF44" s="938">
        <f t="shared" si="101"/>
        <v>0</v>
      </c>
      <c r="FG44" s="938" t="str">
        <f t="shared" si="102"/>
        <v/>
      </c>
      <c r="FH44" s="713">
        <f>'min. Düngung 22'!BD45</f>
        <v>0</v>
      </c>
      <c r="FI44" s="938"/>
      <c r="FJ44" s="938"/>
      <c r="FK44" s="938">
        <f t="shared" si="103"/>
        <v>0</v>
      </c>
      <c r="FL44" s="938">
        <f t="shared" si="104"/>
        <v>0</v>
      </c>
      <c r="FM44" s="938">
        <f t="shared" si="105"/>
        <v>0</v>
      </c>
      <c r="FN44" s="938">
        <f t="shared" si="106"/>
        <v>0</v>
      </c>
      <c r="FO44" s="938">
        <f t="shared" si="107"/>
        <v>0</v>
      </c>
      <c r="FP44" s="938" t="str">
        <f t="shared" si="108"/>
        <v/>
      </c>
      <c r="FQ44" s="713">
        <f>'min. Düngung 22'!BG45</f>
        <v>0</v>
      </c>
      <c r="FR44" s="938"/>
      <c r="FS44" s="938"/>
      <c r="FT44" s="938">
        <f t="shared" si="109"/>
        <v>0</v>
      </c>
      <c r="FU44" s="938">
        <f t="shared" si="110"/>
        <v>0</v>
      </c>
      <c r="FV44" s="938">
        <f t="shared" si="111"/>
        <v>0</v>
      </c>
      <c r="FW44" s="938">
        <f t="shared" si="112"/>
        <v>0</v>
      </c>
      <c r="FX44" s="938">
        <f t="shared" si="113"/>
        <v>0</v>
      </c>
      <c r="FY44" s="938" t="str">
        <f t="shared" si="114"/>
        <v/>
      </c>
      <c r="FZ44" s="713">
        <f>'min. Düngung 22'!BJ45</f>
        <v>0</v>
      </c>
      <c r="GA44" s="938"/>
      <c r="GB44" s="938"/>
      <c r="GC44" s="938">
        <f t="shared" si="115"/>
        <v>0</v>
      </c>
      <c r="GD44" s="938">
        <f t="shared" si="116"/>
        <v>0</v>
      </c>
      <c r="GE44" s="938">
        <f t="shared" si="117"/>
        <v>0</v>
      </c>
      <c r="GF44" s="938">
        <f t="shared" si="118"/>
        <v>0</v>
      </c>
      <c r="GG44" s="938">
        <f t="shared" si="119"/>
        <v>0</v>
      </c>
      <c r="GH44" s="938" t="str">
        <f t="shared" si="120"/>
        <v/>
      </c>
      <c r="GI44" s="713">
        <f>'min. Düngung 22'!BM45</f>
        <v>0</v>
      </c>
      <c r="GJ44" s="938"/>
      <c r="GK44" s="938"/>
      <c r="GL44" s="938">
        <f t="shared" si="121"/>
        <v>0</v>
      </c>
      <c r="GM44" s="938">
        <f t="shared" si="122"/>
        <v>0</v>
      </c>
      <c r="GN44" s="938">
        <f t="shared" si="123"/>
        <v>0</v>
      </c>
      <c r="GO44" s="938">
        <f t="shared" si="124"/>
        <v>0</v>
      </c>
      <c r="GP44" s="938">
        <f t="shared" si="125"/>
        <v>0</v>
      </c>
      <c r="GQ44" s="938" t="str">
        <f t="shared" si="126"/>
        <v/>
      </c>
      <c r="GR44" s="713">
        <f>'min. Düngung 22'!BP45</f>
        <v>0</v>
      </c>
      <c r="GS44" s="938"/>
      <c r="GT44" s="938"/>
      <c r="GU44" s="938">
        <f t="shared" si="127"/>
        <v>0</v>
      </c>
      <c r="GV44" s="938">
        <f t="shared" si="128"/>
        <v>0</v>
      </c>
      <c r="GW44" s="938">
        <f t="shared" si="129"/>
        <v>0</v>
      </c>
      <c r="GX44" s="938">
        <f t="shared" si="130"/>
        <v>0</v>
      </c>
      <c r="GY44" s="938">
        <f t="shared" si="131"/>
        <v>0</v>
      </c>
      <c r="GZ44" s="938" t="str">
        <f t="shared" si="132"/>
        <v/>
      </c>
      <c r="HA44" s="713">
        <f>'min. Düngung 22'!BS45</f>
        <v>0</v>
      </c>
      <c r="HB44" s="938"/>
      <c r="HC44" s="938"/>
      <c r="HD44" s="938">
        <f t="shared" si="133"/>
        <v>0</v>
      </c>
      <c r="HE44" s="938">
        <f t="shared" si="134"/>
        <v>0</v>
      </c>
      <c r="HF44" s="938">
        <f t="shared" si="135"/>
        <v>0</v>
      </c>
      <c r="HG44" s="938">
        <f t="shared" si="136"/>
        <v>0</v>
      </c>
      <c r="HH44" s="938">
        <f t="shared" si="137"/>
        <v>0</v>
      </c>
      <c r="HI44" s="938" t="str">
        <f t="shared" si="138"/>
        <v/>
      </c>
      <c r="HJ44" s="713">
        <f>'min. Düngung 22'!BV45</f>
        <v>0</v>
      </c>
      <c r="HK44" s="938"/>
      <c r="HL44" s="938"/>
      <c r="HM44" s="938">
        <f t="shared" si="139"/>
        <v>0</v>
      </c>
      <c r="HN44" s="938">
        <f t="shared" si="140"/>
        <v>0</v>
      </c>
      <c r="HO44" s="938">
        <f t="shared" si="141"/>
        <v>0</v>
      </c>
      <c r="HP44" s="938">
        <f t="shared" si="142"/>
        <v>0</v>
      </c>
      <c r="HQ44" s="938">
        <f t="shared" si="143"/>
        <v>0</v>
      </c>
      <c r="HR44" s="938" t="str">
        <f t="shared" si="144"/>
        <v/>
      </c>
      <c r="HS44" s="713">
        <f>'min. Düngung 22'!BY45</f>
        <v>0</v>
      </c>
      <c r="HT44" s="938"/>
      <c r="HU44" s="938"/>
      <c r="HV44" s="938">
        <f t="shared" si="145"/>
        <v>0</v>
      </c>
      <c r="HW44" s="938">
        <f t="shared" si="146"/>
        <v>0</v>
      </c>
      <c r="HX44" s="938">
        <f t="shared" si="147"/>
        <v>0</v>
      </c>
      <c r="HY44" s="938">
        <f t="shared" si="148"/>
        <v>0</v>
      </c>
      <c r="HZ44" s="938">
        <f t="shared" si="149"/>
        <v>0</v>
      </c>
      <c r="IA44" s="938" t="str">
        <f t="shared" si="150"/>
        <v/>
      </c>
      <c r="IB44" s="713">
        <f>'min. Düngung 22'!CB45</f>
        <v>0</v>
      </c>
      <c r="IC44" s="938"/>
      <c r="ID44" s="938"/>
      <c r="IE44" s="938">
        <f t="shared" si="151"/>
        <v>0</v>
      </c>
      <c r="IF44" s="938">
        <f t="shared" si="152"/>
        <v>0</v>
      </c>
      <c r="IG44" s="938">
        <f t="shared" si="153"/>
        <v>0</v>
      </c>
      <c r="IH44" s="938">
        <f t="shared" si="154"/>
        <v>0</v>
      </c>
      <c r="II44" s="938">
        <f t="shared" si="155"/>
        <v>0</v>
      </c>
      <c r="IJ44" s="938" t="str">
        <f t="shared" si="156"/>
        <v/>
      </c>
      <c r="IK44" s="713">
        <f>'min. Düngung 22'!CE45</f>
        <v>0</v>
      </c>
      <c r="IL44" s="938"/>
      <c r="IM44" s="938"/>
      <c r="IN44" s="938">
        <f t="shared" si="157"/>
        <v>0</v>
      </c>
      <c r="IO44" s="938">
        <f t="shared" si="158"/>
        <v>0</v>
      </c>
      <c r="IP44" s="938">
        <f t="shared" si="159"/>
        <v>0</v>
      </c>
      <c r="IQ44" s="938">
        <f t="shared" si="160"/>
        <v>0</v>
      </c>
      <c r="IR44" s="938">
        <f t="shared" si="161"/>
        <v>0</v>
      </c>
      <c r="IS44" s="938" t="str">
        <f t="shared" si="162"/>
        <v/>
      </c>
      <c r="IT44" s="713">
        <f>'min. Düngung 22'!CH45</f>
        <v>0</v>
      </c>
      <c r="IU44" s="938"/>
      <c r="IV44" s="938"/>
      <c r="IW44" s="938">
        <f t="shared" si="163"/>
        <v>0</v>
      </c>
      <c r="IX44" s="938">
        <f t="shared" si="164"/>
        <v>0</v>
      </c>
      <c r="IY44" s="938">
        <f t="shared" si="165"/>
        <v>0</v>
      </c>
      <c r="IZ44" s="938">
        <f t="shared" si="166"/>
        <v>0</v>
      </c>
      <c r="JA44" s="938">
        <f t="shared" si="167"/>
        <v>0</v>
      </c>
      <c r="JB44" s="938" t="str">
        <f t="shared" si="168"/>
        <v/>
      </c>
      <c r="JC44" s="713">
        <f>'min. Düngung 22'!CK45</f>
        <v>0</v>
      </c>
      <c r="JD44" s="938"/>
      <c r="JE44" s="938"/>
      <c r="JF44" s="938">
        <f t="shared" si="169"/>
        <v>0</v>
      </c>
      <c r="JG44" s="938">
        <f t="shared" si="170"/>
        <v>0</v>
      </c>
      <c r="JH44" s="938">
        <f t="shared" si="171"/>
        <v>0</v>
      </c>
      <c r="JI44" s="938">
        <f t="shared" si="172"/>
        <v>0</v>
      </c>
      <c r="JJ44" s="938">
        <f t="shared" si="173"/>
        <v>0</v>
      </c>
      <c r="JK44" s="938" t="str">
        <f t="shared" si="174"/>
        <v/>
      </c>
      <c r="JL44" s="713">
        <f>'min. Düngung 22'!CN45</f>
        <v>0</v>
      </c>
      <c r="JM44" s="938"/>
      <c r="JN44" s="938"/>
      <c r="JO44" s="938">
        <f t="shared" si="175"/>
        <v>0</v>
      </c>
      <c r="JP44" s="938">
        <f t="shared" si="176"/>
        <v>0</v>
      </c>
      <c r="JQ44" s="938">
        <f t="shared" si="177"/>
        <v>0</v>
      </c>
      <c r="JR44" s="938">
        <f t="shared" si="178"/>
        <v>0</v>
      </c>
      <c r="JS44" s="938">
        <f t="shared" si="179"/>
        <v>0</v>
      </c>
      <c r="JT44" s="938" t="str">
        <f t="shared" si="180"/>
        <v/>
      </c>
      <c r="JU44" s="713">
        <f>'min. Düngung 22'!CQ45</f>
        <v>0</v>
      </c>
      <c r="JV44" s="938"/>
      <c r="JW44" s="938"/>
      <c r="JX44" s="938">
        <f t="shared" si="181"/>
        <v>0</v>
      </c>
      <c r="JY44" s="938">
        <f t="shared" si="182"/>
        <v>0</v>
      </c>
      <c r="JZ44" s="938">
        <f t="shared" si="183"/>
        <v>0</v>
      </c>
      <c r="KA44" s="938">
        <f t="shared" si="184"/>
        <v>0</v>
      </c>
      <c r="KB44" s="938">
        <f t="shared" si="185"/>
        <v>0</v>
      </c>
      <c r="KC44" s="938" t="str">
        <f t="shared" si="186"/>
        <v/>
      </c>
      <c r="KE44" s="938"/>
      <c r="KF44" s="938" t="str">
        <f>IF(AND($F44=2,$G44=1),"",IF(OR($Q44&gt;0,$O44&gt;60),$KF$7,IF(I44=70,"",IF(AND(I44=80,R44+'#orgDung'!AC47&lt;60,K44=1,OR(C44=2,'#BerechnungDBE'!AH38=4)),"",IF(R44&gt;0,$KF$7,"")))))</f>
        <v/>
      </c>
      <c r="KG44" s="938" t="str">
        <f>IF(AND(P44&gt;'#BerechnungDBE'!BJ38,P44&gt;0),'#minDung'!$KG$7,"")</f>
        <v/>
      </c>
      <c r="KH44" s="938" t="str">
        <f>IF(AND(I44=70,R44&gt;'#BerechnungDBE'!CR38),'#minDung'!$KH$7,"")</f>
        <v/>
      </c>
      <c r="KI44" s="938" t="str">
        <f>IF('#BerechnungDBE'!P38&lt;4,"",IF(AND('#BerechnungDBE'!BZ38&gt;0,N44&gt;0),$KI$7,""))</f>
        <v/>
      </c>
      <c r="KJ44" s="938" t="str">
        <f t="shared" si="5"/>
        <v/>
      </c>
    </row>
    <row r="45" spans="1:296" s="875" customFormat="1" hidden="1" x14ac:dyDescent="0.2">
      <c r="A45" s="875">
        <f>'Flächen u. Kulturen'!A44</f>
        <v>35</v>
      </c>
      <c r="B45" s="734">
        <f>'#BerechnungDBE'!L39</f>
        <v>0</v>
      </c>
      <c r="C45" s="46">
        <f>'#orgDung'!C48</f>
        <v>1</v>
      </c>
      <c r="D45" s="875">
        <f>'#BerechnungDBE'!T39</f>
        <v>2</v>
      </c>
      <c r="E45" s="875" t="str">
        <f>'Flächen u. Kulturen'!E44</f>
        <v>x</v>
      </c>
      <c r="F45" s="52">
        <f>'#BerechnungDBE'!N39</f>
        <v>1</v>
      </c>
      <c r="G45" s="52">
        <f>'#BerechnungDBE'!O39</f>
        <v>1</v>
      </c>
      <c r="H45" s="505">
        <f>'#orgDung'!J48</f>
        <v>2</v>
      </c>
      <c r="I45" s="875">
        <f>'#BerechnungDBE'!AF39</f>
        <v>0</v>
      </c>
      <c r="J45" s="875">
        <f>'#orgDung'!M48</f>
        <v>0</v>
      </c>
      <c r="K45" s="875">
        <f>'#BerechnungDBE'!AG39</f>
        <v>0</v>
      </c>
      <c r="M45" s="875">
        <f t="shared" si="187"/>
        <v>0</v>
      </c>
      <c r="N45" s="875">
        <f t="shared" si="188"/>
        <v>0</v>
      </c>
      <c r="O45" s="875">
        <f t="shared" si="189"/>
        <v>0</v>
      </c>
      <c r="P45" s="875">
        <f t="shared" si="190"/>
        <v>0</v>
      </c>
      <c r="Q45" s="938">
        <f t="shared" si="6"/>
        <v>0</v>
      </c>
      <c r="R45" s="875">
        <f t="shared" si="191"/>
        <v>0</v>
      </c>
      <c r="T45" s="713">
        <f>'min. Düngung 22'!H46</f>
        <v>0</v>
      </c>
      <c r="W45" s="875">
        <f t="shared" si="7"/>
        <v>0</v>
      </c>
      <c r="X45" s="875">
        <f t="shared" si="8"/>
        <v>0</v>
      </c>
      <c r="Y45" s="875">
        <f t="shared" si="9"/>
        <v>0</v>
      </c>
      <c r="Z45" s="875">
        <f t="shared" si="10"/>
        <v>0</v>
      </c>
      <c r="AA45" s="875">
        <f t="shared" si="11"/>
        <v>0</v>
      </c>
      <c r="AB45" s="875" t="str">
        <f t="shared" si="12"/>
        <v/>
      </c>
      <c r="AC45" s="713">
        <f>'min. Düngung 22'!K46</f>
        <v>0</v>
      </c>
      <c r="AD45" s="938"/>
      <c r="AE45" s="938"/>
      <c r="AF45" s="938">
        <f t="shared" si="13"/>
        <v>0</v>
      </c>
      <c r="AG45" s="938">
        <f t="shared" si="14"/>
        <v>0</v>
      </c>
      <c r="AH45" s="938">
        <f t="shared" si="15"/>
        <v>0</v>
      </c>
      <c r="AI45" s="938">
        <f t="shared" si="16"/>
        <v>0</v>
      </c>
      <c r="AJ45" s="938">
        <f t="shared" si="17"/>
        <v>0</v>
      </c>
      <c r="AK45" s="938">
        <f t="shared" si="18"/>
        <v>0</v>
      </c>
      <c r="AL45" s="713">
        <f>'min. Düngung 22'!N46</f>
        <v>0</v>
      </c>
      <c r="AM45" s="938"/>
      <c r="AN45" s="938"/>
      <c r="AO45" s="938">
        <f t="shared" si="19"/>
        <v>0</v>
      </c>
      <c r="AP45" s="938">
        <f t="shared" si="20"/>
        <v>0</v>
      </c>
      <c r="AQ45" s="938">
        <f t="shared" si="21"/>
        <v>0</v>
      </c>
      <c r="AR45" s="938">
        <f t="shared" si="22"/>
        <v>0</v>
      </c>
      <c r="AS45" s="938">
        <f t="shared" si="23"/>
        <v>0</v>
      </c>
      <c r="AT45" s="938" t="str">
        <f t="shared" si="24"/>
        <v/>
      </c>
      <c r="AU45" s="713">
        <f>'min. Düngung 22'!Q46</f>
        <v>0</v>
      </c>
      <c r="AV45" s="938"/>
      <c r="AW45" s="938"/>
      <c r="AX45" s="938">
        <f t="shared" si="25"/>
        <v>0</v>
      </c>
      <c r="AY45" s="938">
        <f t="shared" si="26"/>
        <v>0</v>
      </c>
      <c r="AZ45" s="938">
        <f t="shared" si="27"/>
        <v>0</v>
      </c>
      <c r="BA45" s="938">
        <f t="shared" si="28"/>
        <v>0</v>
      </c>
      <c r="BB45" s="938">
        <f t="shared" si="29"/>
        <v>0</v>
      </c>
      <c r="BC45" s="938" t="str">
        <f t="shared" si="30"/>
        <v/>
      </c>
      <c r="BD45" s="713">
        <f>'min. Düngung 22'!T46</f>
        <v>0</v>
      </c>
      <c r="BE45" s="938"/>
      <c r="BF45" s="938"/>
      <c r="BG45" s="938">
        <f t="shared" si="31"/>
        <v>0</v>
      </c>
      <c r="BH45" s="938">
        <f t="shared" si="32"/>
        <v>0</v>
      </c>
      <c r="BI45" s="938">
        <f t="shared" si="33"/>
        <v>0</v>
      </c>
      <c r="BJ45" s="938">
        <f t="shared" si="34"/>
        <v>0</v>
      </c>
      <c r="BK45" s="938">
        <f t="shared" si="35"/>
        <v>0</v>
      </c>
      <c r="BL45" s="938" t="str">
        <f t="shared" si="36"/>
        <v/>
      </c>
      <c r="BM45" s="713">
        <f>'min. Düngung 22'!W46</f>
        <v>0</v>
      </c>
      <c r="BN45" s="938"/>
      <c r="BO45" s="938"/>
      <c r="BP45" s="938">
        <f t="shared" si="37"/>
        <v>0</v>
      </c>
      <c r="BQ45" s="938">
        <f t="shared" si="38"/>
        <v>0</v>
      </c>
      <c r="BR45" s="938">
        <f t="shared" si="39"/>
        <v>0</v>
      </c>
      <c r="BS45" s="938">
        <f t="shared" si="40"/>
        <v>0</v>
      </c>
      <c r="BT45" s="938">
        <f t="shared" si="41"/>
        <v>0</v>
      </c>
      <c r="BU45" s="938" t="str">
        <f t="shared" si="42"/>
        <v/>
      </c>
      <c r="BV45" s="713">
        <f>'min. Düngung 22'!Z46</f>
        <v>0</v>
      </c>
      <c r="BW45" s="938"/>
      <c r="BX45" s="938"/>
      <c r="BY45" s="938">
        <f t="shared" si="43"/>
        <v>0</v>
      </c>
      <c r="BZ45" s="938">
        <f t="shared" si="44"/>
        <v>0</v>
      </c>
      <c r="CA45" s="938">
        <f t="shared" si="45"/>
        <v>0</v>
      </c>
      <c r="CB45" s="938">
        <f t="shared" si="46"/>
        <v>0</v>
      </c>
      <c r="CC45" s="938">
        <f t="shared" si="47"/>
        <v>0</v>
      </c>
      <c r="CD45" s="938" t="str">
        <f t="shared" si="48"/>
        <v/>
      </c>
      <c r="CE45" s="713">
        <f>'min. Düngung 22'!AC46</f>
        <v>0</v>
      </c>
      <c r="CF45" s="938"/>
      <c r="CG45" s="938"/>
      <c r="CH45" s="938">
        <f t="shared" si="49"/>
        <v>0</v>
      </c>
      <c r="CI45" s="938">
        <f t="shared" si="50"/>
        <v>0</v>
      </c>
      <c r="CJ45" s="938">
        <f t="shared" si="51"/>
        <v>0</v>
      </c>
      <c r="CK45" s="938">
        <f t="shared" si="52"/>
        <v>0</v>
      </c>
      <c r="CL45" s="938">
        <f t="shared" si="53"/>
        <v>0</v>
      </c>
      <c r="CM45" s="938" t="str">
        <f t="shared" si="54"/>
        <v/>
      </c>
      <c r="CN45" s="713">
        <f>'min. Düngung 22'!AF46</f>
        <v>0</v>
      </c>
      <c r="CO45" s="938"/>
      <c r="CP45" s="938"/>
      <c r="CQ45" s="938">
        <f t="shared" si="55"/>
        <v>0</v>
      </c>
      <c r="CR45" s="938">
        <f t="shared" si="56"/>
        <v>0</v>
      </c>
      <c r="CS45" s="938">
        <f t="shared" si="57"/>
        <v>0</v>
      </c>
      <c r="CT45" s="938">
        <f t="shared" si="58"/>
        <v>0</v>
      </c>
      <c r="CU45" s="938">
        <f t="shared" si="59"/>
        <v>0</v>
      </c>
      <c r="CV45" s="938" t="str">
        <f t="shared" si="60"/>
        <v/>
      </c>
      <c r="CW45" s="713">
        <f>'min. Düngung 22'!AI46</f>
        <v>0</v>
      </c>
      <c r="CX45" s="938"/>
      <c r="CY45" s="938"/>
      <c r="CZ45" s="938">
        <f t="shared" si="61"/>
        <v>0</v>
      </c>
      <c r="DA45" s="938">
        <f t="shared" si="62"/>
        <v>0</v>
      </c>
      <c r="DB45" s="938">
        <f t="shared" si="63"/>
        <v>0</v>
      </c>
      <c r="DC45" s="938">
        <f t="shared" si="64"/>
        <v>0</v>
      </c>
      <c r="DD45" s="938">
        <f t="shared" si="65"/>
        <v>0</v>
      </c>
      <c r="DE45" s="938" t="str">
        <f t="shared" si="66"/>
        <v/>
      </c>
      <c r="DF45" s="713">
        <f>'min. Düngung 22'!AL46</f>
        <v>0</v>
      </c>
      <c r="DG45" s="938"/>
      <c r="DH45" s="938"/>
      <c r="DI45" s="938">
        <f t="shared" si="67"/>
        <v>0</v>
      </c>
      <c r="DJ45" s="938">
        <f t="shared" si="68"/>
        <v>0</v>
      </c>
      <c r="DK45" s="938">
        <f t="shared" si="69"/>
        <v>0</v>
      </c>
      <c r="DL45" s="938">
        <f t="shared" si="70"/>
        <v>0</v>
      </c>
      <c r="DM45" s="938">
        <f t="shared" si="71"/>
        <v>0</v>
      </c>
      <c r="DN45" s="938" t="str">
        <f t="shared" si="72"/>
        <v/>
      </c>
      <c r="DO45" s="713">
        <f>'min. Düngung 22'!AO46</f>
        <v>0</v>
      </c>
      <c r="DP45" s="938"/>
      <c r="DQ45" s="938"/>
      <c r="DR45" s="938">
        <f t="shared" si="73"/>
        <v>0</v>
      </c>
      <c r="DS45" s="938">
        <f t="shared" si="74"/>
        <v>0</v>
      </c>
      <c r="DT45" s="938">
        <f t="shared" si="75"/>
        <v>0</v>
      </c>
      <c r="DU45" s="938">
        <f t="shared" si="76"/>
        <v>0</v>
      </c>
      <c r="DV45" s="938">
        <f t="shared" si="77"/>
        <v>0</v>
      </c>
      <c r="DW45" s="938" t="str">
        <f t="shared" si="78"/>
        <v/>
      </c>
      <c r="DX45" s="713">
        <f>'min. Düngung 22'!AR46</f>
        <v>0</v>
      </c>
      <c r="DY45" s="938"/>
      <c r="DZ45" s="938"/>
      <c r="EA45" s="938">
        <f t="shared" si="79"/>
        <v>0</v>
      </c>
      <c r="EB45" s="938">
        <f t="shared" si="80"/>
        <v>0</v>
      </c>
      <c r="EC45" s="938">
        <f t="shared" si="81"/>
        <v>0</v>
      </c>
      <c r="ED45" s="938">
        <f t="shared" si="82"/>
        <v>0</v>
      </c>
      <c r="EE45" s="938">
        <f t="shared" si="83"/>
        <v>0</v>
      </c>
      <c r="EF45" s="938" t="str">
        <f t="shared" si="84"/>
        <v/>
      </c>
      <c r="EG45" s="713">
        <f>'min. Düngung 22'!AU46</f>
        <v>0</v>
      </c>
      <c r="EH45" s="938"/>
      <c r="EI45" s="938"/>
      <c r="EJ45" s="938">
        <f t="shared" si="85"/>
        <v>0</v>
      </c>
      <c r="EK45" s="938">
        <f t="shared" si="86"/>
        <v>0</v>
      </c>
      <c r="EL45" s="938">
        <f t="shared" si="87"/>
        <v>0</v>
      </c>
      <c r="EM45" s="938">
        <f t="shared" si="88"/>
        <v>0</v>
      </c>
      <c r="EN45" s="938">
        <f t="shared" si="89"/>
        <v>0</v>
      </c>
      <c r="EO45" s="938" t="str">
        <f t="shared" si="90"/>
        <v/>
      </c>
      <c r="EP45" s="713">
        <f>'min. Düngung 22'!AX46</f>
        <v>0</v>
      </c>
      <c r="EQ45" s="938"/>
      <c r="ER45" s="938"/>
      <c r="ES45" s="938">
        <f t="shared" si="91"/>
        <v>0</v>
      </c>
      <c r="ET45" s="938">
        <f t="shared" si="92"/>
        <v>0</v>
      </c>
      <c r="EU45" s="938">
        <f t="shared" si="93"/>
        <v>0</v>
      </c>
      <c r="EV45" s="938">
        <f t="shared" si="94"/>
        <v>0</v>
      </c>
      <c r="EW45" s="938">
        <f t="shared" si="95"/>
        <v>0</v>
      </c>
      <c r="EX45" s="938" t="str">
        <f t="shared" si="96"/>
        <v/>
      </c>
      <c r="EY45" s="713">
        <f>'min. Düngung 22'!BA46</f>
        <v>0</v>
      </c>
      <c r="EZ45" s="938"/>
      <c r="FA45" s="938"/>
      <c r="FB45" s="938">
        <f t="shared" si="97"/>
        <v>0</v>
      </c>
      <c r="FC45" s="938">
        <f t="shared" si="98"/>
        <v>0</v>
      </c>
      <c r="FD45" s="938">
        <f t="shared" si="99"/>
        <v>0</v>
      </c>
      <c r="FE45" s="938">
        <f t="shared" si="100"/>
        <v>0</v>
      </c>
      <c r="FF45" s="938">
        <f t="shared" si="101"/>
        <v>0</v>
      </c>
      <c r="FG45" s="938" t="str">
        <f t="shared" si="102"/>
        <v/>
      </c>
      <c r="FH45" s="713">
        <f>'min. Düngung 22'!BD46</f>
        <v>0</v>
      </c>
      <c r="FI45" s="938"/>
      <c r="FJ45" s="938"/>
      <c r="FK45" s="938">
        <f t="shared" si="103"/>
        <v>0</v>
      </c>
      <c r="FL45" s="938">
        <f t="shared" si="104"/>
        <v>0</v>
      </c>
      <c r="FM45" s="938">
        <f t="shared" si="105"/>
        <v>0</v>
      </c>
      <c r="FN45" s="938">
        <f t="shared" si="106"/>
        <v>0</v>
      </c>
      <c r="FO45" s="938">
        <f t="shared" si="107"/>
        <v>0</v>
      </c>
      <c r="FP45" s="938" t="str">
        <f t="shared" si="108"/>
        <v/>
      </c>
      <c r="FQ45" s="713">
        <f>'min. Düngung 22'!BG46</f>
        <v>0</v>
      </c>
      <c r="FR45" s="938"/>
      <c r="FS45" s="938"/>
      <c r="FT45" s="938">
        <f t="shared" si="109"/>
        <v>0</v>
      </c>
      <c r="FU45" s="938">
        <f t="shared" si="110"/>
        <v>0</v>
      </c>
      <c r="FV45" s="938">
        <f t="shared" si="111"/>
        <v>0</v>
      </c>
      <c r="FW45" s="938">
        <f t="shared" si="112"/>
        <v>0</v>
      </c>
      <c r="FX45" s="938">
        <f t="shared" si="113"/>
        <v>0</v>
      </c>
      <c r="FY45" s="938" t="str">
        <f t="shared" si="114"/>
        <v/>
      </c>
      <c r="FZ45" s="713">
        <f>'min. Düngung 22'!BJ46</f>
        <v>0</v>
      </c>
      <c r="GA45" s="938"/>
      <c r="GB45" s="938"/>
      <c r="GC45" s="938">
        <f t="shared" si="115"/>
        <v>0</v>
      </c>
      <c r="GD45" s="938">
        <f t="shared" si="116"/>
        <v>0</v>
      </c>
      <c r="GE45" s="938">
        <f t="shared" si="117"/>
        <v>0</v>
      </c>
      <c r="GF45" s="938">
        <f t="shared" si="118"/>
        <v>0</v>
      </c>
      <c r="GG45" s="938">
        <f t="shared" si="119"/>
        <v>0</v>
      </c>
      <c r="GH45" s="938" t="str">
        <f t="shared" si="120"/>
        <v/>
      </c>
      <c r="GI45" s="713">
        <f>'min. Düngung 22'!BM46</f>
        <v>0</v>
      </c>
      <c r="GJ45" s="938"/>
      <c r="GK45" s="938"/>
      <c r="GL45" s="938">
        <f t="shared" si="121"/>
        <v>0</v>
      </c>
      <c r="GM45" s="938">
        <f t="shared" si="122"/>
        <v>0</v>
      </c>
      <c r="GN45" s="938">
        <f t="shared" si="123"/>
        <v>0</v>
      </c>
      <c r="GO45" s="938">
        <f t="shared" si="124"/>
        <v>0</v>
      </c>
      <c r="GP45" s="938">
        <f t="shared" si="125"/>
        <v>0</v>
      </c>
      <c r="GQ45" s="938" t="str">
        <f t="shared" si="126"/>
        <v/>
      </c>
      <c r="GR45" s="713">
        <f>'min. Düngung 22'!BP46</f>
        <v>0</v>
      </c>
      <c r="GS45" s="938"/>
      <c r="GT45" s="938"/>
      <c r="GU45" s="938">
        <f t="shared" si="127"/>
        <v>0</v>
      </c>
      <c r="GV45" s="938">
        <f t="shared" si="128"/>
        <v>0</v>
      </c>
      <c r="GW45" s="938">
        <f t="shared" si="129"/>
        <v>0</v>
      </c>
      <c r="GX45" s="938">
        <f t="shared" si="130"/>
        <v>0</v>
      </c>
      <c r="GY45" s="938">
        <f t="shared" si="131"/>
        <v>0</v>
      </c>
      <c r="GZ45" s="938" t="str">
        <f t="shared" si="132"/>
        <v/>
      </c>
      <c r="HA45" s="713">
        <f>'min. Düngung 22'!BS46</f>
        <v>0</v>
      </c>
      <c r="HB45" s="938"/>
      <c r="HC45" s="938"/>
      <c r="HD45" s="938">
        <f t="shared" si="133"/>
        <v>0</v>
      </c>
      <c r="HE45" s="938">
        <f t="shared" si="134"/>
        <v>0</v>
      </c>
      <c r="HF45" s="938">
        <f t="shared" si="135"/>
        <v>0</v>
      </c>
      <c r="HG45" s="938">
        <f t="shared" si="136"/>
        <v>0</v>
      </c>
      <c r="HH45" s="938">
        <f t="shared" si="137"/>
        <v>0</v>
      </c>
      <c r="HI45" s="938" t="str">
        <f t="shared" si="138"/>
        <v/>
      </c>
      <c r="HJ45" s="713">
        <f>'min. Düngung 22'!BV46</f>
        <v>0</v>
      </c>
      <c r="HK45" s="938"/>
      <c r="HL45" s="938"/>
      <c r="HM45" s="938">
        <f t="shared" si="139"/>
        <v>0</v>
      </c>
      <c r="HN45" s="938">
        <f t="shared" si="140"/>
        <v>0</v>
      </c>
      <c r="HO45" s="938">
        <f t="shared" si="141"/>
        <v>0</v>
      </c>
      <c r="HP45" s="938">
        <f t="shared" si="142"/>
        <v>0</v>
      </c>
      <c r="HQ45" s="938">
        <f t="shared" si="143"/>
        <v>0</v>
      </c>
      <c r="HR45" s="938" t="str">
        <f t="shared" si="144"/>
        <v/>
      </c>
      <c r="HS45" s="713">
        <f>'min. Düngung 22'!BY46</f>
        <v>0</v>
      </c>
      <c r="HT45" s="938"/>
      <c r="HU45" s="938"/>
      <c r="HV45" s="938">
        <f t="shared" si="145"/>
        <v>0</v>
      </c>
      <c r="HW45" s="938">
        <f t="shared" si="146"/>
        <v>0</v>
      </c>
      <c r="HX45" s="938">
        <f t="shared" si="147"/>
        <v>0</v>
      </c>
      <c r="HY45" s="938">
        <f t="shared" si="148"/>
        <v>0</v>
      </c>
      <c r="HZ45" s="938">
        <f t="shared" si="149"/>
        <v>0</v>
      </c>
      <c r="IA45" s="938" t="str">
        <f t="shared" si="150"/>
        <v/>
      </c>
      <c r="IB45" s="713">
        <f>'min. Düngung 22'!CB46</f>
        <v>0</v>
      </c>
      <c r="IC45" s="938"/>
      <c r="ID45" s="938"/>
      <c r="IE45" s="938">
        <f t="shared" si="151"/>
        <v>0</v>
      </c>
      <c r="IF45" s="938">
        <f t="shared" si="152"/>
        <v>0</v>
      </c>
      <c r="IG45" s="938">
        <f t="shared" si="153"/>
        <v>0</v>
      </c>
      <c r="IH45" s="938">
        <f t="shared" si="154"/>
        <v>0</v>
      </c>
      <c r="II45" s="938">
        <f t="shared" si="155"/>
        <v>0</v>
      </c>
      <c r="IJ45" s="938" t="str">
        <f t="shared" si="156"/>
        <v/>
      </c>
      <c r="IK45" s="713">
        <f>'min. Düngung 22'!CE46</f>
        <v>0</v>
      </c>
      <c r="IL45" s="938"/>
      <c r="IM45" s="938"/>
      <c r="IN45" s="938">
        <f t="shared" si="157"/>
        <v>0</v>
      </c>
      <c r="IO45" s="938">
        <f t="shared" si="158"/>
        <v>0</v>
      </c>
      <c r="IP45" s="938">
        <f t="shared" si="159"/>
        <v>0</v>
      </c>
      <c r="IQ45" s="938">
        <f t="shared" si="160"/>
        <v>0</v>
      </c>
      <c r="IR45" s="938">
        <f t="shared" si="161"/>
        <v>0</v>
      </c>
      <c r="IS45" s="938" t="str">
        <f t="shared" si="162"/>
        <v/>
      </c>
      <c r="IT45" s="713">
        <f>'min. Düngung 22'!CH46</f>
        <v>0</v>
      </c>
      <c r="IU45" s="938"/>
      <c r="IV45" s="938"/>
      <c r="IW45" s="938">
        <f t="shared" si="163"/>
        <v>0</v>
      </c>
      <c r="IX45" s="938">
        <f t="shared" si="164"/>
        <v>0</v>
      </c>
      <c r="IY45" s="938">
        <f t="shared" si="165"/>
        <v>0</v>
      </c>
      <c r="IZ45" s="938">
        <f t="shared" si="166"/>
        <v>0</v>
      </c>
      <c r="JA45" s="938">
        <f t="shared" si="167"/>
        <v>0</v>
      </c>
      <c r="JB45" s="938" t="str">
        <f t="shared" si="168"/>
        <v/>
      </c>
      <c r="JC45" s="713">
        <f>'min. Düngung 22'!CK46</f>
        <v>0</v>
      </c>
      <c r="JD45" s="938"/>
      <c r="JE45" s="938"/>
      <c r="JF45" s="938">
        <f t="shared" si="169"/>
        <v>0</v>
      </c>
      <c r="JG45" s="938">
        <f t="shared" si="170"/>
        <v>0</v>
      </c>
      <c r="JH45" s="938">
        <f t="shared" si="171"/>
        <v>0</v>
      </c>
      <c r="JI45" s="938">
        <f t="shared" si="172"/>
        <v>0</v>
      </c>
      <c r="JJ45" s="938">
        <f t="shared" si="173"/>
        <v>0</v>
      </c>
      <c r="JK45" s="938" t="str">
        <f t="shared" si="174"/>
        <v/>
      </c>
      <c r="JL45" s="713">
        <f>'min. Düngung 22'!CN46</f>
        <v>0</v>
      </c>
      <c r="JM45" s="938"/>
      <c r="JN45" s="938"/>
      <c r="JO45" s="938">
        <f t="shared" si="175"/>
        <v>0</v>
      </c>
      <c r="JP45" s="938">
        <f t="shared" si="176"/>
        <v>0</v>
      </c>
      <c r="JQ45" s="938">
        <f t="shared" si="177"/>
        <v>0</v>
      </c>
      <c r="JR45" s="938">
        <f t="shared" si="178"/>
        <v>0</v>
      </c>
      <c r="JS45" s="938">
        <f t="shared" si="179"/>
        <v>0</v>
      </c>
      <c r="JT45" s="938" t="str">
        <f t="shared" si="180"/>
        <v/>
      </c>
      <c r="JU45" s="713">
        <f>'min. Düngung 22'!CQ46</f>
        <v>0</v>
      </c>
      <c r="JV45" s="938"/>
      <c r="JW45" s="938"/>
      <c r="JX45" s="938">
        <f t="shared" si="181"/>
        <v>0</v>
      </c>
      <c r="JY45" s="938">
        <f t="shared" si="182"/>
        <v>0</v>
      </c>
      <c r="JZ45" s="938">
        <f t="shared" si="183"/>
        <v>0</v>
      </c>
      <c r="KA45" s="938">
        <f t="shared" si="184"/>
        <v>0</v>
      </c>
      <c r="KB45" s="938">
        <f t="shared" si="185"/>
        <v>0</v>
      </c>
      <c r="KC45" s="938" t="str">
        <f t="shared" si="186"/>
        <v/>
      </c>
      <c r="KE45" s="938"/>
      <c r="KF45" s="938" t="str">
        <f>IF(AND($F45=2,$G45=1),"",IF(OR($Q45&gt;0,$O45&gt;60),$KF$7,IF(I45=70,"",IF(AND(I45=80,R45+'#orgDung'!AC48&lt;60,K45=1,OR(C45=2,'#BerechnungDBE'!AH39=4)),"",IF(R45&gt;0,$KF$7,"")))))</f>
        <v/>
      </c>
      <c r="KG45" s="938" t="str">
        <f>IF(AND(P45&gt;'#BerechnungDBE'!BJ39,P45&gt;0),'#minDung'!$KG$7,"")</f>
        <v/>
      </c>
      <c r="KH45" s="938" t="str">
        <f>IF(AND(I45=70,R45&gt;'#BerechnungDBE'!CR39),'#minDung'!$KH$7,"")</f>
        <v/>
      </c>
      <c r="KI45" s="938" t="str">
        <f>IF('#BerechnungDBE'!P39&lt;4,"",IF(AND('#BerechnungDBE'!BZ39&gt;0,N45&gt;0),$KI$7,""))</f>
        <v/>
      </c>
      <c r="KJ45" s="938" t="str">
        <f t="shared" si="5"/>
        <v/>
      </c>
    </row>
    <row r="46" spans="1:296" s="875" customFormat="1" hidden="1" x14ac:dyDescent="0.2">
      <c r="A46" s="875">
        <f>'Flächen u. Kulturen'!A45</f>
        <v>36</v>
      </c>
      <c r="B46" s="734">
        <f>'#BerechnungDBE'!L40</f>
        <v>0</v>
      </c>
      <c r="C46" s="46">
        <f>'#orgDung'!C49</f>
        <v>1</v>
      </c>
      <c r="D46" s="875">
        <f>'#BerechnungDBE'!T40</f>
        <v>2</v>
      </c>
      <c r="E46" s="875" t="str">
        <f>'Flächen u. Kulturen'!E45</f>
        <v>x</v>
      </c>
      <c r="F46" s="52">
        <f>'#BerechnungDBE'!N40</f>
        <v>1</v>
      </c>
      <c r="G46" s="52">
        <f>'#BerechnungDBE'!O40</f>
        <v>1</v>
      </c>
      <c r="H46" s="505">
        <f>'#orgDung'!J49</f>
        <v>2</v>
      </c>
      <c r="I46" s="875">
        <f>'#BerechnungDBE'!AF40</f>
        <v>0</v>
      </c>
      <c r="J46" s="875">
        <f>'#orgDung'!M49</f>
        <v>0</v>
      </c>
      <c r="K46" s="875">
        <f>'#BerechnungDBE'!AG40</f>
        <v>0</v>
      </c>
      <c r="M46" s="875">
        <f t="shared" si="187"/>
        <v>0</v>
      </c>
      <c r="N46" s="875">
        <f t="shared" si="188"/>
        <v>0</v>
      </c>
      <c r="O46" s="875">
        <f t="shared" si="189"/>
        <v>0</v>
      </c>
      <c r="P46" s="875">
        <f t="shared" si="190"/>
        <v>0</v>
      </c>
      <c r="Q46" s="938">
        <f t="shared" si="6"/>
        <v>0</v>
      </c>
      <c r="R46" s="875">
        <f t="shared" si="191"/>
        <v>0</v>
      </c>
      <c r="T46" s="713">
        <f>'min. Düngung 22'!H47</f>
        <v>0</v>
      </c>
      <c r="W46" s="875">
        <f t="shared" si="7"/>
        <v>0</v>
      </c>
      <c r="X46" s="875">
        <f t="shared" si="8"/>
        <v>0</v>
      </c>
      <c r="Y46" s="875">
        <f t="shared" si="9"/>
        <v>0</v>
      </c>
      <c r="Z46" s="875">
        <f t="shared" si="10"/>
        <v>0</v>
      </c>
      <c r="AA46" s="875">
        <f t="shared" si="11"/>
        <v>0</v>
      </c>
      <c r="AB46" s="875" t="str">
        <f t="shared" si="12"/>
        <v/>
      </c>
      <c r="AC46" s="713">
        <f>'min. Düngung 22'!K47</f>
        <v>0</v>
      </c>
      <c r="AD46" s="938"/>
      <c r="AE46" s="938"/>
      <c r="AF46" s="938">
        <f t="shared" si="13"/>
        <v>0</v>
      </c>
      <c r="AG46" s="938">
        <f t="shared" si="14"/>
        <v>0</v>
      </c>
      <c r="AH46" s="938">
        <f t="shared" si="15"/>
        <v>0</v>
      </c>
      <c r="AI46" s="938">
        <f t="shared" si="16"/>
        <v>0</v>
      </c>
      <c r="AJ46" s="938">
        <f t="shared" si="17"/>
        <v>0</v>
      </c>
      <c r="AK46" s="938">
        <f t="shared" si="18"/>
        <v>0</v>
      </c>
      <c r="AL46" s="713">
        <f>'min. Düngung 22'!N47</f>
        <v>0</v>
      </c>
      <c r="AM46" s="938"/>
      <c r="AN46" s="938"/>
      <c r="AO46" s="938">
        <f t="shared" si="19"/>
        <v>0</v>
      </c>
      <c r="AP46" s="938">
        <f t="shared" si="20"/>
        <v>0</v>
      </c>
      <c r="AQ46" s="938">
        <f t="shared" si="21"/>
        <v>0</v>
      </c>
      <c r="AR46" s="938">
        <f t="shared" si="22"/>
        <v>0</v>
      </c>
      <c r="AS46" s="938">
        <f t="shared" si="23"/>
        <v>0</v>
      </c>
      <c r="AT46" s="938" t="str">
        <f t="shared" si="24"/>
        <v/>
      </c>
      <c r="AU46" s="713">
        <f>'min. Düngung 22'!Q47</f>
        <v>0</v>
      </c>
      <c r="AV46" s="938"/>
      <c r="AW46" s="938"/>
      <c r="AX46" s="938">
        <f t="shared" si="25"/>
        <v>0</v>
      </c>
      <c r="AY46" s="938">
        <f t="shared" si="26"/>
        <v>0</v>
      </c>
      <c r="AZ46" s="938">
        <f t="shared" si="27"/>
        <v>0</v>
      </c>
      <c r="BA46" s="938">
        <f t="shared" si="28"/>
        <v>0</v>
      </c>
      <c r="BB46" s="938">
        <f t="shared" si="29"/>
        <v>0</v>
      </c>
      <c r="BC46" s="938" t="str">
        <f t="shared" si="30"/>
        <v/>
      </c>
      <c r="BD46" s="713">
        <f>'min. Düngung 22'!T47</f>
        <v>0</v>
      </c>
      <c r="BE46" s="938"/>
      <c r="BF46" s="938"/>
      <c r="BG46" s="938">
        <f t="shared" si="31"/>
        <v>0</v>
      </c>
      <c r="BH46" s="938">
        <f t="shared" si="32"/>
        <v>0</v>
      </c>
      <c r="BI46" s="938">
        <f t="shared" si="33"/>
        <v>0</v>
      </c>
      <c r="BJ46" s="938">
        <f t="shared" si="34"/>
        <v>0</v>
      </c>
      <c r="BK46" s="938">
        <f t="shared" si="35"/>
        <v>0</v>
      </c>
      <c r="BL46" s="938" t="str">
        <f t="shared" si="36"/>
        <v/>
      </c>
      <c r="BM46" s="713">
        <f>'min. Düngung 22'!W47</f>
        <v>0</v>
      </c>
      <c r="BN46" s="938"/>
      <c r="BO46" s="938"/>
      <c r="BP46" s="938">
        <f t="shared" si="37"/>
        <v>0</v>
      </c>
      <c r="BQ46" s="938">
        <f t="shared" si="38"/>
        <v>0</v>
      </c>
      <c r="BR46" s="938">
        <f t="shared" si="39"/>
        <v>0</v>
      </c>
      <c r="BS46" s="938">
        <f t="shared" si="40"/>
        <v>0</v>
      </c>
      <c r="BT46" s="938">
        <f t="shared" si="41"/>
        <v>0</v>
      </c>
      <c r="BU46" s="938" t="str">
        <f t="shared" si="42"/>
        <v/>
      </c>
      <c r="BV46" s="713">
        <f>'min. Düngung 22'!Z47</f>
        <v>0</v>
      </c>
      <c r="BW46" s="938"/>
      <c r="BX46" s="938"/>
      <c r="BY46" s="938">
        <f t="shared" si="43"/>
        <v>0</v>
      </c>
      <c r="BZ46" s="938">
        <f t="shared" si="44"/>
        <v>0</v>
      </c>
      <c r="CA46" s="938">
        <f t="shared" si="45"/>
        <v>0</v>
      </c>
      <c r="CB46" s="938">
        <f t="shared" si="46"/>
        <v>0</v>
      </c>
      <c r="CC46" s="938">
        <f t="shared" si="47"/>
        <v>0</v>
      </c>
      <c r="CD46" s="938" t="str">
        <f t="shared" si="48"/>
        <v/>
      </c>
      <c r="CE46" s="713">
        <f>'min. Düngung 22'!AC47</f>
        <v>0</v>
      </c>
      <c r="CF46" s="938"/>
      <c r="CG46" s="938"/>
      <c r="CH46" s="938">
        <f t="shared" si="49"/>
        <v>0</v>
      </c>
      <c r="CI46" s="938">
        <f t="shared" si="50"/>
        <v>0</v>
      </c>
      <c r="CJ46" s="938">
        <f t="shared" si="51"/>
        <v>0</v>
      </c>
      <c r="CK46" s="938">
        <f t="shared" si="52"/>
        <v>0</v>
      </c>
      <c r="CL46" s="938">
        <f t="shared" si="53"/>
        <v>0</v>
      </c>
      <c r="CM46" s="938" t="str">
        <f t="shared" si="54"/>
        <v/>
      </c>
      <c r="CN46" s="713">
        <f>'min. Düngung 22'!AF47</f>
        <v>0</v>
      </c>
      <c r="CO46" s="938"/>
      <c r="CP46" s="938"/>
      <c r="CQ46" s="938">
        <f t="shared" si="55"/>
        <v>0</v>
      </c>
      <c r="CR46" s="938">
        <f t="shared" si="56"/>
        <v>0</v>
      </c>
      <c r="CS46" s="938">
        <f t="shared" si="57"/>
        <v>0</v>
      </c>
      <c r="CT46" s="938">
        <f t="shared" si="58"/>
        <v>0</v>
      </c>
      <c r="CU46" s="938">
        <f t="shared" si="59"/>
        <v>0</v>
      </c>
      <c r="CV46" s="938" t="str">
        <f t="shared" si="60"/>
        <v/>
      </c>
      <c r="CW46" s="713">
        <f>'min. Düngung 22'!AI47</f>
        <v>0</v>
      </c>
      <c r="CX46" s="938"/>
      <c r="CY46" s="938"/>
      <c r="CZ46" s="938">
        <f t="shared" si="61"/>
        <v>0</v>
      </c>
      <c r="DA46" s="938">
        <f t="shared" si="62"/>
        <v>0</v>
      </c>
      <c r="DB46" s="938">
        <f t="shared" si="63"/>
        <v>0</v>
      </c>
      <c r="DC46" s="938">
        <f t="shared" si="64"/>
        <v>0</v>
      </c>
      <c r="DD46" s="938">
        <f t="shared" si="65"/>
        <v>0</v>
      </c>
      <c r="DE46" s="938" t="str">
        <f t="shared" si="66"/>
        <v/>
      </c>
      <c r="DF46" s="713">
        <f>'min. Düngung 22'!AL47</f>
        <v>0</v>
      </c>
      <c r="DG46" s="938"/>
      <c r="DH46" s="938"/>
      <c r="DI46" s="938">
        <f t="shared" si="67"/>
        <v>0</v>
      </c>
      <c r="DJ46" s="938">
        <f t="shared" si="68"/>
        <v>0</v>
      </c>
      <c r="DK46" s="938">
        <f t="shared" si="69"/>
        <v>0</v>
      </c>
      <c r="DL46" s="938">
        <f t="shared" si="70"/>
        <v>0</v>
      </c>
      <c r="DM46" s="938">
        <f t="shared" si="71"/>
        <v>0</v>
      </c>
      <c r="DN46" s="938" t="str">
        <f t="shared" si="72"/>
        <v/>
      </c>
      <c r="DO46" s="713">
        <f>'min. Düngung 22'!AO47</f>
        <v>0</v>
      </c>
      <c r="DP46" s="938"/>
      <c r="DQ46" s="938"/>
      <c r="DR46" s="938">
        <f t="shared" si="73"/>
        <v>0</v>
      </c>
      <c r="DS46" s="938">
        <f t="shared" si="74"/>
        <v>0</v>
      </c>
      <c r="DT46" s="938">
        <f t="shared" si="75"/>
        <v>0</v>
      </c>
      <c r="DU46" s="938">
        <f t="shared" si="76"/>
        <v>0</v>
      </c>
      <c r="DV46" s="938">
        <f t="shared" si="77"/>
        <v>0</v>
      </c>
      <c r="DW46" s="938" t="str">
        <f t="shared" si="78"/>
        <v/>
      </c>
      <c r="DX46" s="713">
        <f>'min. Düngung 22'!AR47</f>
        <v>0</v>
      </c>
      <c r="DY46" s="938"/>
      <c r="DZ46" s="938"/>
      <c r="EA46" s="938">
        <f t="shared" si="79"/>
        <v>0</v>
      </c>
      <c r="EB46" s="938">
        <f t="shared" si="80"/>
        <v>0</v>
      </c>
      <c r="EC46" s="938">
        <f t="shared" si="81"/>
        <v>0</v>
      </c>
      <c r="ED46" s="938">
        <f t="shared" si="82"/>
        <v>0</v>
      </c>
      <c r="EE46" s="938">
        <f t="shared" si="83"/>
        <v>0</v>
      </c>
      <c r="EF46" s="938" t="str">
        <f t="shared" si="84"/>
        <v/>
      </c>
      <c r="EG46" s="713">
        <f>'min. Düngung 22'!AU47</f>
        <v>0</v>
      </c>
      <c r="EH46" s="938"/>
      <c r="EI46" s="938"/>
      <c r="EJ46" s="938">
        <f t="shared" si="85"/>
        <v>0</v>
      </c>
      <c r="EK46" s="938">
        <f t="shared" si="86"/>
        <v>0</v>
      </c>
      <c r="EL46" s="938">
        <f t="shared" si="87"/>
        <v>0</v>
      </c>
      <c r="EM46" s="938">
        <f t="shared" si="88"/>
        <v>0</v>
      </c>
      <c r="EN46" s="938">
        <f t="shared" si="89"/>
        <v>0</v>
      </c>
      <c r="EO46" s="938" t="str">
        <f t="shared" si="90"/>
        <v/>
      </c>
      <c r="EP46" s="713">
        <f>'min. Düngung 22'!AX47</f>
        <v>0</v>
      </c>
      <c r="EQ46" s="938"/>
      <c r="ER46" s="938"/>
      <c r="ES46" s="938">
        <f t="shared" si="91"/>
        <v>0</v>
      </c>
      <c r="ET46" s="938">
        <f t="shared" si="92"/>
        <v>0</v>
      </c>
      <c r="EU46" s="938">
        <f t="shared" si="93"/>
        <v>0</v>
      </c>
      <c r="EV46" s="938">
        <f t="shared" si="94"/>
        <v>0</v>
      </c>
      <c r="EW46" s="938">
        <f t="shared" si="95"/>
        <v>0</v>
      </c>
      <c r="EX46" s="938" t="str">
        <f t="shared" si="96"/>
        <v/>
      </c>
      <c r="EY46" s="713">
        <f>'min. Düngung 22'!BA47</f>
        <v>0</v>
      </c>
      <c r="EZ46" s="938"/>
      <c r="FA46" s="938"/>
      <c r="FB46" s="938">
        <f t="shared" si="97"/>
        <v>0</v>
      </c>
      <c r="FC46" s="938">
        <f t="shared" si="98"/>
        <v>0</v>
      </c>
      <c r="FD46" s="938">
        <f t="shared" si="99"/>
        <v>0</v>
      </c>
      <c r="FE46" s="938">
        <f t="shared" si="100"/>
        <v>0</v>
      </c>
      <c r="FF46" s="938">
        <f t="shared" si="101"/>
        <v>0</v>
      </c>
      <c r="FG46" s="938" t="str">
        <f t="shared" si="102"/>
        <v/>
      </c>
      <c r="FH46" s="713">
        <f>'min. Düngung 22'!BD47</f>
        <v>0</v>
      </c>
      <c r="FI46" s="938"/>
      <c r="FJ46" s="938"/>
      <c r="FK46" s="938">
        <f t="shared" si="103"/>
        <v>0</v>
      </c>
      <c r="FL46" s="938">
        <f t="shared" si="104"/>
        <v>0</v>
      </c>
      <c r="FM46" s="938">
        <f t="shared" si="105"/>
        <v>0</v>
      </c>
      <c r="FN46" s="938">
        <f t="shared" si="106"/>
        <v>0</v>
      </c>
      <c r="FO46" s="938">
        <f t="shared" si="107"/>
        <v>0</v>
      </c>
      <c r="FP46" s="938" t="str">
        <f t="shared" si="108"/>
        <v/>
      </c>
      <c r="FQ46" s="713">
        <f>'min. Düngung 22'!BG47</f>
        <v>0</v>
      </c>
      <c r="FR46" s="938"/>
      <c r="FS46" s="938"/>
      <c r="FT46" s="938">
        <f t="shared" si="109"/>
        <v>0</v>
      </c>
      <c r="FU46" s="938">
        <f t="shared" si="110"/>
        <v>0</v>
      </c>
      <c r="FV46" s="938">
        <f t="shared" si="111"/>
        <v>0</v>
      </c>
      <c r="FW46" s="938">
        <f t="shared" si="112"/>
        <v>0</v>
      </c>
      <c r="FX46" s="938">
        <f t="shared" si="113"/>
        <v>0</v>
      </c>
      <c r="FY46" s="938" t="str">
        <f t="shared" si="114"/>
        <v/>
      </c>
      <c r="FZ46" s="713">
        <f>'min. Düngung 22'!BJ47</f>
        <v>0</v>
      </c>
      <c r="GA46" s="938"/>
      <c r="GB46" s="938"/>
      <c r="GC46" s="938">
        <f t="shared" si="115"/>
        <v>0</v>
      </c>
      <c r="GD46" s="938">
        <f t="shared" si="116"/>
        <v>0</v>
      </c>
      <c r="GE46" s="938">
        <f t="shared" si="117"/>
        <v>0</v>
      </c>
      <c r="GF46" s="938">
        <f t="shared" si="118"/>
        <v>0</v>
      </c>
      <c r="GG46" s="938">
        <f t="shared" si="119"/>
        <v>0</v>
      </c>
      <c r="GH46" s="938" t="str">
        <f t="shared" si="120"/>
        <v/>
      </c>
      <c r="GI46" s="713">
        <f>'min. Düngung 22'!BM47</f>
        <v>0</v>
      </c>
      <c r="GJ46" s="938"/>
      <c r="GK46" s="938"/>
      <c r="GL46" s="938">
        <f t="shared" si="121"/>
        <v>0</v>
      </c>
      <c r="GM46" s="938">
        <f t="shared" si="122"/>
        <v>0</v>
      </c>
      <c r="GN46" s="938">
        <f t="shared" si="123"/>
        <v>0</v>
      </c>
      <c r="GO46" s="938">
        <f t="shared" si="124"/>
        <v>0</v>
      </c>
      <c r="GP46" s="938">
        <f t="shared" si="125"/>
        <v>0</v>
      </c>
      <c r="GQ46" s="938" t="str">
        <f t="shared" si="126"/>
        <v/>
      </c>
      <c r="GR46" s="713">
        <f>'min. Düngung 22'!BP47</f>
        <v>0</v>
      </c>
      <c r="GS46" s="938"/>
      <c r="GT46" s="938"/>
      <c r="GU46" s="938">
        <f t="shared" si="127"/>
        <v>0</v>
      </c>
      <c r="GV46" s="938">
        <f t="shared" si="128"/>
        <v>0</v>
      </c>
      <c r="GW46" s="938">
        <f t="shared" si="129"/>
        <v>0</v>
      </c>
      <c r="GX46" s="938">
        <f t="shared" si="130"/>
        <v>0</v>
      </c>
      <c r="GY46" s="938">
        <f t="shared" si="131"/>
        <v>0</v>
      </c>
      <c r="GZ46" s="938" t="str">
        <f t="shared" si="132"/>
        <v/>
      </c>
      <c r="HA46" s="713">
        <f>'min. Düngung 22'!BS47</f>
        <v>0</v>
      </c>
      <c r="HB46" s="938"/>
      <c r="HC46" s="938"/>
      <c r="HD46" s="938">
        <f t="shared" si="133"/>
        <v>0</v>
      </c>
      <c r="HE46" s="938">
        <f t="shared" si="134"/>
        <v>0</v>
      </c>
      <c r="HF46" s="938">
        <f t="shared" si="135"/>
        <v>0</v>
      </c>
      <c r="HG46" s="938">
        <f t="shared" si="136"/>
        <v>0</v>
      </c>
      <c r="HH46" s="938">
        <f t="shared" si="137"/>
        <v>0</v>
      </c>
      <c r="HI46" s="938" t="str">
        <f t="shared" si="138"/>
        <v/>
      </c>
      <c r="HJ46" s="713">
        <f>'min. Düngung 22'!BV47</f>
        <v>0</v>
      </c>
      <c r="HK46" s="938"/>
      <c r="HL46" s="938"/>
      <c r="HM46" s="938">
        <f t="shared" si="139"/>
        <v>0</v>
      </c>
      <c r="HN46" s="938">
        <f t="shared" si="140"/>
        <v>0</v>
      </c>
      <c r="HO46" s="938">
        <f t="shared" si="141"/>
        <v>0</v>
      </c>
      <c r="HP46" s="938">
        <f t="shared" si="142"/>
        <v>0</v>
      </c>
      <c r="HQ46" s="938">
        <f t="shared" si="143"/>
        <v>0</v>
      </c>
      <c r="HR46" s="938" t="str">
        <f t="shared" si="144"/>
        <v/>
      </c>
      <c r="HS46" s="713">
        <f>'min. Düngung 22'!BY47</f>
        <v>0</v>
      </c>
      <c r="HT46" s="938"/>
      <c r="HU46" s="938"/>
      <c r="HV46" s="938">
        <f t="shared" si="145"/>
        <v>0</v>
      </c>
      <c r="HW46" s="938">
        <f t="shared" si="146"/>
        <v>0</v>
      </c>
      <c r="HX46" s="938">
        <f t="shared" si="147"/>
        <v>0</v>
      </c>
      <c r="HY46" s="938">
        <f t="shared" si="148"/>
        <v>0</v>
      </c>
      <c r="HZ46" s="938">
        <f t="shared" si="149"/>
        <v>0</v>
      </c>
      <c r="IA46" s="938" t="str">
        <f t="shared" si="150"/>
        <v/>
      </c>
      <c r="IB46" s="713">
        <f>'min. Düngung 22'!CB47</f>
        <v>0</v>
      </c>
      <c r="IC46" s="938"/>
      <c r="ID46" s="938"/>
      <c r="IE46" s="938">
        <f t="shared" si="151"/>
        <v>0</v>
      </c>
      <c r="IF46" s="938">
        <f t="shared" si="152"/>
        <v>0</v>
      </c>
      <c r="IG46" s="938">
        <f t="shared" si="153"/>
        <v>0</v>
      </c>
      <c r="IH46" s="938">
        <f t="shared" si="154"/>
        <v>0</v>
      </c>
      <c r="II46" s="938">
        <f t="shared" si="155"/>
        <v>0</v>
      </c>
      <c r="IJ46" s="938" t="str">
        <f t="shared" si="156"/>
        <v/>
      </c>
      <c r="IK46" s="713">
        <f>'min. Düngung 22'!CE47</f>
        <v>0</v>
      </c>
      <c r="IL46" s="938"/>
      <c r="IM46" s="938"/>
      <c r="IN46" s="938">
        <f t="shared" si="157"/>
        <v>0</v>
      </c>
      <c r="IO46" s="938">
        <f t="shared" si="158"/>
        <v>0</v>
      </c>
      <c r="IP46" s="938">
        <f t="shared" si="159"/>
        <v>0</v>
      </c>
      <c r="IQ46" s="938">
        <f t="shared" si="160"/>
        <v>0</v>
      </c>
      <c r="IR46" s="938">
        <f t="shared" si="161"/>
        <v>0</v>
      </c>
      <c r="IS46" s="938" t="str">
        <f t="shared" si="162"/>
        <v/>
      </c>
      <c r="IT46" s="713">
        <f>'min. Düngung 22'!CH47</f>
        <v>0</v>
      </c>
      <c r="IU46" s="938"/>
      <c r="IV46" s="938"/>
      <c r="IW46" s="938">
        <f t="shared" si="163"/>
        <v>0</v>
      </c>
      <c r="IX46" s="938">
        <f t="shared" si="164"/>
        <v>0</v>
      </c>
      <c r="IY46" s="938">
        <f t="shared" si="165"/>
        <v>0</v>
      </c>
      <c r="IZ46" s="938">
        <f t="shared" si="166"/>
        <v>0</v>
      </c>
      <c r="JA46" s="938">
        <f t="shared" si="167"/>
        <v>0</v>
      </c>
      <c r="JB46" s="938" t="str">
        <f t="shared" si="168"/>
        <v/>
      </c>
      <c r="JC46" s="713">
        <f>'min. Düngung 22'!CK47</f>
        <v>0</v>
      </c>
      <c r="JD46" s="938"/>
      <c r="JE46" s="938"/>
      <c r="JF46" s="938">
        <f t="shared" si="169"/>
        <v>0</v>
      </c>
      <c r="JG46" s="938">
        <f t="shared" si="170"/>
        <v>0</v>
      </c>
      <c r="JH46" s="938">
        <f t="shared" si="171"/>
        <v>0</v>
      </c>
      <c r="JI46" s="938">
        <f t="shared" si="172"/>
        <v>0</v>
      </c>
      <c r="JJ46" s="938">
        <f t="shared" si="173"/>
        <v>0</v>
      </c>
      <c r="JK46" s="938" t="str">
        <f t="shared" si="174"/>
        <v/>
      </c>
      <c r="JL46" s="713">
        <f>'min. Düngung 22'!CN47</f>
        <v>0</v>
      </c>
      <c r="JM46" s="938"/>
      <c r="JN46" s="938"/>
      <c r="JO46" s="938">
        <f t="shared" si="175"/>
        <v>0</v>
      </c>
      <c r="JP46" s="938">
        <f t="shared" si="176"/>
        <v>0</v>
      </c>
      <c r="JQ46" s="938">
        <f t="shared" si="177"/>
        <v>0</v>
      </c>
      <c r="JR46" s="938">
        <f t="shared" si="178"/>
        <v>0</v>
      </c>
      <c r="JS46" s="938">
        <f t="shared" si="179"/>
        <v>0</v>
      </c>
      <c r="JT46" s="938" t="str">
        <f t="shared" si="180"/>
        <v/>
      </c>
      <c r="JU46" s="713">
        <f>'min. Düngung 22'!CQ47</f>
        <v>0</v>
      </c>
      <c r="JV46" s="938"/>
      <c r="JW46" s="938"/>
      <c r="JX46" s="938">
        <f t="shared" si="181"/>
        <v>0</v>
      </c>
      <c r="JY46" s="938">
        <f t="shared" si="182"/>
        <v>0</v>
      </c>
      <c r="JZ46" s="938">
        <f t="shared" si="183"/>
        <v>0</v>
      </c>
      <c r="KA46" s="938">
        <f t="shared" si="184"/>
        <v>0</v>
      </c>
      <c r="KB46" s="938">
        <f t="shared" si="185"/>
        <v>0</v>
      </c>
      <c r="KC46" s="938" t="str">
        <f t="shared" si="186"/>
        <v/>
      </c>
      <c r="KE46" s="938"/>
      <c r="KF46" s="938" t="str">
        <f>IF(AND($F46=2,$G46=1),"",IF(OR($Q46&gt;0,$O46&gt;60),$KF$7,IF(I46=70,"",IF(AND(I46=80,R46+'#orgDung'!AC49&lt;60,K46=1,OR(C46=2,'#BerechnungDBE'!AH40=4)),"",IF(R46&gt;0,$KF$7,"")))))</f>
        <v/>
      </c>
      <c r="KG46" s="938" t="str">
        <f>IF(AND(P46&gt;'#BerechnungDBE'!BJ40,P46&gt;0),'#minDung'!$KG$7,"")</f>
        <v/>
      </c>
      <c r="KH46" s="938" t="str">
        <f>IF(AND(I46=70,R46&gt;'#BerechnungDBE'!CR40),'#minDung'!$KH$7,"")</f>
        <v/>
      </c>
      <c r="KI46" s="938" t="str">
        <f>IF('#BerechnungDBE'!P40&lt;4,"",IF(AND('#BerechnungDBE'!BZ40&gt;0,N46&gt;0),$KI$7,""))</f>
        <v/>
      </c>
      <c r="KJ46" s="938" t="str">
        <f t="shared" si="5"/>
        <v/>
      </c>
    </row>
    <row r="47" spans="1:296" s="875" customFormat="1" hidden="1" x14ac:dyDescent="0.2">
      <c r="A47" s="875">
        <f>'Flächen u. Kulturen'!A46</f>
        <v>37</v>
      </c>
      <c r="B47" s="734">
        <f>'#BerechnungDBE'!L41</f>
        <v>0</v>
      </c>
      <c r="C47" s="46">
        <f>'#orgDung'!C50</f>
        <v>1</v>
      </c>
      <c r="D47" s="875">
        <f>'#BerechnungDBE'!T41</f>
        <v>2</v>
      </c>
      <c r="E47" s="875" t="str">
        <f>'Flächen u. Kulturen'!E46</f>
        <v>x</v>
      </c>
      <c r="F47" s="52">
        <f>'#BerechnungDBE'!N41</f>
        <v>1</v>
      </c>
      <c r="G47" s="52">
        <f>'#BerechnungDBE'!O41</f>
        <v>1</v>
      </c>
      <c r="H47" s="505">
        <f>'#orgDung'!J50</f>
        <v>2</v>
      </c>
      <c r="I47" s="875">
        <f>'#BerechnungDBE'!AF41</f>
        <v>0</v>
      </c>
      <c r="J47" s="875">
        <f>'#orgDung'!M50</f>
        <v>0</v>
      </c>
      <c r="K47" s="875">
        <f>'#BerechnungDBE'!AG41</f>
        <v>0</v>
      </c>
      <c r="M47" s="875">
        <f t="shared" si="187"/>
        <v>0</v>
      </c>
      <c r="N47" s="875">
        <f t="shared" si="188"/>
        <v>0</v>
      </c>
      <c r="O47" s="875">
        <f t="shared" si="189"/>
        <v>0</v>
      </c>
      <c r="P47" s="875">
        <f t="shared" si="190"/>
        <v>0</v>
      </c>
      <c r="Q47" s="938">
        <f t="shared" si="6"/>
        <v>0</v>
      </c>
      <c r="R47" s="875">
        <f t="shared" si="191"/>
        <v>0</v>
      </c>
      <c r="T47" s="713">
        <f>'min. Düngung 22'!H48</f>
        <v>0</v>
      </c>
      <c r="W47" s="875">
        <f t="shared" si="7"/>
        <v>0</v>
      </c>
      <c r="X47" s="875">
        <f t="shared" si="8"/>
        <v>0</v>
      </c>
      <c r="Y47" s="875">
        <f t="shared" si="9"/>
        <v>0</v>
      </c>
      <c r="Z47" s="875">
        <f t="shared" si="10"/>
        <v>0</v>
      </c>
      <c r="AA47" s="875">
        <f t="shared" si="11"/>
        <v>0</v>
      </c>
      <c r="AB47" s="875" t="str">
        <f t="shared" si="12"/>
        <v/>
      </c>
      <c r="AC47" s="713">
        <f>'min. Düngung 22'!K48</f>
        <v>0</v>
      </c>
      <c r="AD47" s="938"/>
      <c r="AE47" s="938"/>
      <c r="AF47" s="938">
        <f t="shared" si="13"/>
        <v>0</v>
      </c>
      <c r="AG47" s="938">
        <f t="shared" si="14"/>
        <v>0</v>
      </c>
      <c r="AH47" s="938">
        <f t="shared" si="15"/>
        <v>0</v>
      </c>
      <c r="AI47" s="938">
        <f t="shared" si="16"/>
        <v>0</v>
      </c>
      <c r="AJ47" s="938">
        <f t="shared" si="17"/>
        <v>0</v>
      </c>
      <c r="AK47" s="938">
        <f t="shared" si="18"/>
        <v>0</v>
      </c>
      <c r="AL47" s="713">
        <f>'min. Düngung 22'!N48</f>
        <v>0</v>
      </c>
      <c r="AM47" s="938"/>
      <c r="AN47" s="938"/>
      <c r="AO47" s="938">
        <f t="shared" si="19"/>
        <v>0</v>
      </c>
      <c r="AP47" s="938">
        <f t="shared" si="20"/>
        <v>0</v>
      </c>
      <c r="AQ47" s="938">
        <f t="shared" si="21"/>
        <v>0</v>
      </c>
      <c r="AR47" s="938">
        <f t="shared" si="22"/>
        <v>0</v>
      </c>
      <c r="AS47" s="938">
        <f t="shared" si="23"/>
        <v>0</v>
      </c>
      <c r="AT47" s="938" t="str">
        <f t="shared" si="24"/>
        <v/>
      </c>
      <c r="AU47" s="713">
        <f>'min. Düngung 22'!Q48</f>
        <v>0</v>
      </c>
      <c r="AV47" s="938"/>
      <c r="AW47" s="938"/>
      <c r="AX47" s="938">
        <f t="shared" si="25"/>
        <v>0</v>
      </c>
      <c r="AY47" s="938">
        <f t="shared" si="26"/>
        <v>0</v>
      </c>
      <c r="AZ47" s="938">
        <f t="shared" si="27"/>
        <v>0</v>
      </c>
      <c r="BA47" s="938">
        <f t="shared" si="28"/>
        <v>0</v>
      </c>
      <c r="BB47" s="938">
        <f t="shared" si="29"/>
        <v>0</v>
      </c>
      <c r="BC47" s="938" t="str">
        <f t="shared" si="30"/>
        <v/>
      </c>
      <c r="BD47" s="713">
        <f>'min. Düngung 22'!T48</f>
        <v>0</v>
      </c>
      <c r="BE47" s="938"/>
      <c r="BF47" s="938"/>
      <c r="BG47" s="938">
        <f t="shared" si="31"/>
        <v>0</v>
      </c>
      <c r="BH47" s="938">
        <f t="shared" si="32"/>
        <v>0</v>
      </c>
      <c r="BI47" s="938">
        <f t="shared" si="33"/>
        <v>0</v>
      </c>
      <c r="BJ47" s="938">
        <f t="shared" si="34"/>
        <v>0</v>
      </c>
      <c r="BK47" s="938">
        <f t="shared" si="35"/>
        <v>0</v>
      </c>
      <c r="BL47" s="938" t="str">
        <f t="shared" si="36"/>
        <v/>
      </c>
      <c r="BM47" s="713">
        <f>'min. Düngung 22'!W48</f>
        <v>0</v>
      </c>
      <c r="BN47" s="938"/>
      <c r="BO47" s="938"/>
      <c r="BP47" s="938">
        <f t="shared" si="37"/>
        <v>0</v>
      </c>
      <c r="BQ47" s="938">
        <f t="shared" si="38"/>
        <v>0</v>
      </c>
      <c r="BR47" s="938">
        <f t="shared" si="39"/>
        <v>0</v>
      </c>
      <c r="BS47" s="938">
        <f t="shared" si="40"/>
        <v>0</v>
      </c>
      <c r="BT47" s="938">
        <f t="shared" si="41"/>
        <v>0</v>
      </c>
      <c r="BU47" s="938" t="str">
        <f t="shared" si="42"/>
        <v/>
      </c>
      <c r="BV47" s="713">
        <f>'min. Düngung 22'!Z48</f>
        <v>0</v>
      </c>
      <c r="BW47" s="938"/>
      <c r="BX47" s="938"/>
      <c r="BY47" s="938">
        <f t="shared" si="43"/>
        <v>0</v>
      </c>
      <c r="BZ47" s="938">
        <f t="shared" si="44"/>
        <v>0</v>
      </c>
      <c r="CA47" s="938">
        <f t="shared" si="45"/>
        <v>0</v>
      </c>
      <c r="CB47" s="938">
        <f t="shared" si="46"/>
        <v>0</v>
      </c>
      <c r="CC47" s="938">
        <f t="shared" si="47"/>
        <v>0</v>
      </c>
      <c r="CD47" s="938" t="str">
        <f t="shared" si="48"/>
        <v/>
      </c>
      <c r="CE47" s="713">
        <f>'min. Düngung 22'!AC48</f>
        <v>0</v>
      </c>
      <c r="CF47" s="938"/>
      <c r="CG47" s="938"/>
      <c r="CH47" s="938">
        <f t="shared" si="49"/>
        <v>0</v>
      </c>
      <c r="CI47" s="938">
        <f t="shared" si="50"/>
        <v>0</v>
      </c>
      <c r="CJ47" s="938">
        <f t="shared" si="51"/>
        <v>0</v>
      </c>
      <c r="CK47" s="938">
        <f t="shared" si="52"/>
        <v>0</v>
      </c>
      <c r="CL47" s="938">
        <f t="shared" si="53"/>
        <v>0</v>
      </c>
      <c r="CM47" s="938" t="str">
        <f t="shared" si="54"/>
        <v/>
      </c>
      <c r="CN47" s="713">
        <f>'min. Düngung 22'!AF48</f>
        <v>0</v>
      </c>
      <c r="CO47" s="938"/>
      <c r="CP47" s="938"/>
      <c r="CQ47" s="938">
        <f t="shared" si="55"/>
        <v>0</v>
      </c>
      <c r="CR47" s="938">
        <f t="shared" si="56"/>
        <v>0</v>
      </c>
      <c r="CS47" s="938">
        <f t="shared" si="57"/>
        <v>0</v>
      </c>
      <c r="CT47" s="938">
        <f t="shared" si="58"/>
        <v>0</v>
      </c>
      <c r="CU47" s="938">
        <f t="shared" si="59"/>
        <v>0</v>
      </c>
      <c r="CV47" s="938" t="str">
        <f t="shared" si="60"/>
        <v/>
      </c>
      <c r="CW47" s="713">
        <f>'min. Düngung 22'!AI48</f>
        <v>0</v>
      </c>
      <c r="CX47" s="938"/>
      <c r="CY47" s="938"/>
      <c r="CZ47" s="938">
        <f t="shared" si="61"/>
        <v>0</v>
      </c>
      <c r="DA47" s="938">
        <f t="shared" si="62"/>
        <v>0</v>
      </c>
      <c r="DB47" s="938">
        <f t="shared" si="63"/>
        <v>0</v>
      </c>
      <c r="DC47" s="938">
        <f t="shared" si="64"/>
        <v>0</v>
      </c>
      <c r="DD47" s="938">
        <f t="shared" si="65"/>
        <v>0</v>
      </c>
      <c r="DE47" s="938" t="str">
        <f t="shared" si="66"/>
        <v/>
      </c>
      <c r="DF47" s="713">
        <f>'min. Düngung 22'!AL48</f>
        <v>0</v>
      </c>
      <c r="DG47" s="938"/>
      <c r="DH47" s="938"/>
      <c r="DI47" s="938">
        <f t="shared" si="67"/>
        <v>0</v>
      </c>
      <c r="DJ47" s="938">
        <f t="shared" si="68"/>
        <v>0</v>
      </c>
      <c r="DK47" s="938">
        <f t="shared" si="69"/>
        <v>0</v>
      </c>
      <c r="DL47" s="938">
        <f t="shared" si="70"/>
        <v>0</v>
      </c>
      <c r="DM47" s="938">
        <f t="shared" si="71"/>
        <v>0</v>
      </c>
      <c r="DN47" s="938" t="str">
        <f t="shared" si="72"/>
        <v/>
      </c>
      <c r="DO47" s="713">
        <f>'min. Düngung 22'!AO48</f>
        <v>0</v>
      </c>
      <c r="DP47" s="938"/>
      <c r="DQ47" s="938"/>
      <c r="DR47" s="938">
        <f t="shared" si="73"/>
        <v>0</v>
      </c>
      <c r="DS47" s="938">
        <f t="shared" si="74"/>
        <v>0</v>
      </c>
      <c r="DT47" s="938">
        <f t="shared" si="75"/>
        <v>0</v>
      </c>
      <c r="DU47" s="938">
        <f t="shared" si="76"/>
        <v>0</v>
      </c>
      <c r="DV47" s="938">
        <f t="shared" si="77"/>
        <v>0</v>
      </c>
      <c r="DW47" s="938" t="str">
        <f t="shared" si="78"/>
        <v/>
      </c>
      <c r="DX47" s="713">
        <f>'min. Düngung 22'!AR48</f>
        <v>0</v>
      </c>
      <c r="DY47" s="938"/>
      <c r="DZ47" s="938"/>
      <c r="EA47" s="938">
        <f t="shared" si="79"/>
        <v>0</v>
      </c>
      <c r="EB47" s="938">
        <f t="shared" si="80"/>
        <v>0</v>
      </c>
      <c r="EC47" s="938">
        <f t="shared" si="81"/>
        <v>0</v>
      </c>
      <c r="ED47" s="938">
        <f t="shared" si="82"/>
        <v>0</v>
      </c>
      <c r="EE47" s="938">
        <f t="shared" si="83"/>
        <v>0</v>
      </c>
      <c r="EF47" s="938" t="str">
        <f t="shared" si="84"/>
        <v/>
      </c>
      <c r="EG47" s="713">
        <f>'min. Düngung 22'!AU48</f>
        <v>0</v>
      </c>
      <c r="EH47" s="938"/>
      <c r="EI47" s="938"/>
      <c r="EJ47" s="938">
        <f t="shared" si="85"/>
        <v>0</v>
      </c>
      <c r="EK47" s="938">
        <f t="shared" si="86"/>
        <v>0</v>
      </c>
      <c r="EL47" s="938">
        <f t="shared" si="87"/>
        <v>0</v>
      </c>
      <c r="EM47" s="938">
        <f t="shared" si="88"/>
        <v>0</v>
      </c>
      <c r="EN47" s="938">
        <f t="shared" si="89"/>
        <v>0</v>
      </c>
      <c r="EO47" s="938" t="str">
        <f t="shared" si="90"/>
        <v/>
      </c>
      <c r="EP47" s="713">
        <f>'min. Düngung 22'!AX48</f>
        <v>0</v>
      </c>
      <c r="EQ47" s="938"/>
      <c r="ER47" s="938"/>
      <c r="ES47" s="938">
        <f t="shared" si="91"/>
        <v>0</v>
      </c>
      <c r="ET47" s="938">
        <f t="shared" si="92"/>
        <v>0</v>
      </c>
      <c r="EU47" s="938">
        <f t="shared" si="93"/>
        <v>0</v>
      </c>
      <c r="EV47" s="938">
        <f t="shared" si="94"/>
        <v>0</v>
      </c>
      <c r="EW47" s="938">
        <f t="shared" si="95"/>
        <v>0</v>
      </c>
      <c r="EX47" s="938" t="str">
        <f t="shared" si="96"/>
        <v/>
      </c>
      <c r="EY47" s="713">
        <f>'min. Düngung 22'!BA48</f>
        <v>0</v>
      </c>
      <c r="EZ47" s="938"/>
      <c r="FA47" s="938"/>
      <c r="FB47" s="938">
        <f t="shared" si="97"/>
        <v>0</v>
      </c>
      <c r="FC47" s="938">
        <f t="shared" si="98"/>
        <v>0</v>
      </c>
      <c r="FD47" s="938">
        <f t="shared" si="99"/>
        <v>0</v>
      </c>
      <c r="FE47" s="938">
        <f t="shared" si="100"/>
        <v>0</v>
      </c>
      <c r="FF47" s="938">
        <f t="shared" si="101"/>
        <v>0</v>
      </c>
      <c r="FG47" s="938" t="str">
        <f t="shared" si="102"/>
        <v/>
      </c>
      <c r="FH47" s="713">
        <f>'min. Düngung 22'!BD48</f>
        <v>0</v>
      </c>
      <c r="FI47" s="938"/>
      <c r="FJ47" s="938"/>
      <c r="FK47" s="938">
        <f t="shared" si="103"/>
        <v>0</v>
      </c>
      <c r="FL47" s="938">
        <f t="shared" si="104"/>
        <v>0</v>
      </c>
      <c r="FM47" s="938">
        <f t="shared" si="105"/>
        <v>0</v>
      </c>
      <c r="FN47" s="938">
        <f t="shared" si="106"/>
        <v>0</v>
      </c>
      <c r="FO47" s="938">
        <f t="shared" si="107"/>
        <v>0</v>
      </c>
      <c r="FP47" s="938" t="str">
        <f t="shared" si="108"/>
        <v/>
      </c>
      <c r="FQ47" s="713">
        <f>'min. Düngung 22'!BG48</f>
        <v>0</v>
      </c>
      <c r="FR47" s="938"/>
      <c r="FS47" s="938"/>
      <c r="FT47" s="938">
        <f t="shared" si="109"/>
        <v>0</v>
      </c>
      <c r="FU47" s="938">
        <f t="shared" si="110"/>
        <v>0</v>
      </c>
      <c r="FV47" s="938">
        <f t="shared" si="111"/>
        <v>0</v>
      </c>
      <c r="FW47" s="938">
        <f t="shared" si="112"/>
        <v>0</v>
      </c>
      <c r="FX47" s="938">
        <f t="shared" si="113"/>
        <v>0</v>
      </c>
      <c r="FY47" s="938" t="str">
        <f t="shared" si="114"/>
        <v/>
      </c>
      <c r="FZ47" s="713">
        <f>'min. Düngung 22'!BJ48</f>
        <v>0</v>
      </c>
      <c r="GA47" s="938"/>
      <c r="GB47" s="938"/>
      <c r="GC47" s="938">
        <f t="shared" si="115"/>
        <v>0</v>
      </c>
      <c r="GD47" s="938">
        <f t="shared" si="116"/>
        <v>0</v>
      </c>
      <c r="GE47" s="938">
        <f t="shared" si="117"/>
        <v>0</v>
      </c>
      <c r="GF47" s="938">
        <f t="shared" si="118"/>
        <v>0</v>
      </c>
      <c r="GG47" s="938">
        <f t="shared" si="119"/>
        <v>0</v>
      </c>
      <c r="GH47" s="938" t="str">
        <f t="shared" si="120"/>
        <v/>
      </c>
      <c r="GI47" s="713">
        <f>'min. Düngung 22'!BM48</f>
        <v>0</v>
      </c>
      <c r="GJ47" s="938"/>
      <c r="GK47" s="938"/>
      <c r="GL47" s="938">
        <f t="shared" si="121"/>
        <v>0</v>
      </c>
      <c r="GM47" s="938">
        <f t="shared" si="122"/>
        <v>0</v>
      </c>
      <c r="GN47" s="938">
        <f t="shared" si="123"/>
        <v>0</v>
      </c>
      <c r="GO47" s="938">
        <f t="shared" si="124"/>
        <v>0</v>
      </c>
      <c r="GP47" s="938">
        <f t="shared" si="125"/>
        <v>0</v>
      </c>
      <c r="GQ47" s="938" t="str">
        <f t="shared" si="126"/>
        <v/>
      </c>
      <c r="GR47" s="713">
        <f>'min. Düngung 22'!BP48</f>
        <v>0</v>
      </c>
      <c r="GS47" s="938"/>
      <c r="GT47" s="938"/>
      <c r="GU47" s="938">
        <f t="shared" si="127"/>
        <v>0</v>
      </c>
      <c r="GV47" s="938">
        <f t="shared" si="128"/>
        <v>0</v>
      </c>
      <c r="GW47" s="938">
        <f t="shared" si="129"/>
        <v>0</v>
      </c>
      <c r="GX47" s="938">
        <f t="shared" si="130"/>
        <v>0</v>
      </c>
      <c r="GY47" s="938">
        <f t="shared" si="131"/>
        <v>0</v>
      </c>
      <c r="GZ47" s="938" t="str">
        <f t="shared" si="132"/>
        <v/>
      </c>
      <c r="HA47" s="713">
        <f>'min. Düngung 22'!BS48</f>
        <v>0</v>
      </c>
      <c r="HB47" s="938"/>
      <c r="HC47" s="938"/>
      <c r="HD47" s="938">
        <f t="shared" si="133"/>
        <v>0</v>
      </c>
      <c r="HE47" s="938">
        <f t="shared" si="134"/>
        <v>0</v>
      </c>
      <c r="HF47" s="938">
        <f t="shared" si="135"/>
        <v>0</v>
      </c>
      <c r="HG47" s="938">
        <f t="shared" si="136"/>
        <v>0</v>
      </c>
      <c r="HH47" s="938">
        <f t="shared" si="137"/>
        <v>0</v>
      </c>
      <c r="HI47" s="938" t="str">
        <f t="shared" si="138"/>
        <v/>
      </c>
      <c r="HJ47" s="713">
        <f>'min. Düngung 22'!BV48</f>
        <v>0</v>
      </c>
      <c r="HK47" s="938"/>
      <c r="HL47" s="938"/>
      <c r="HM47" s="938">
        <f t="shared" si="139"/>
        <v>0</v>
      </c>
      <c r="HN47" s="938">
        <f t="shared" si="140"/>
        <v>0</v>
      </c>
      <c r="HO47" s="938">
        <f t="shared" si="141"/>
        <v>0</v>
      </c>
      <c r="HP47" s="938">
        <f t="shared" si="142"/>
        <v>0</v>
      </c>
      <c r="HQ47" s="938">
        <f t="shared" si="143"/>
        <v>0</v>
      </c>
      <c r="HR47" s="938" t="str">
        <f t="shared" si="144"/>
        <v/>
      </c>
      <c r="HS47" s="713">
        <f>'min. Düngung 22'!BY48</f>
        <v>0</v>
      </c>
      <c r="HT47" s="938"/>
      <c r="HU47" s="938"/>
      <c r="HV47" s="938">
        <f t="shared" si="145"/>
        <v>0</v>
      </c>
      <c r="HW47" s="938">
        <f t="shared" si="146"/>
        <v>0</v>
      </c>
      <c r="HX47" s="938">
        <f t="shared" si="147"/>
        <v>0</v>
      </c>
      <c r="HY47" s="938">
        <f t="shared" si="148"/>
        <v>0</v>
      </c>
      <c r="HZ47" s="938">
        <f t="shared" si="149"/>
        <v>0</v>
      </c>
      <c r="IA47" s="938" t="str">
        <f t="shared" si="150"/>
        <v/>
      </c>
      <c r="IB47" s="713">
        <f>'min. Düngung 22'!CB48</f>
        <v>0</v>
      </c>
      <c r="IC47" s="938"/>
      <c r="ID47" s="938"/>
      <c r="IE47" s="938">
        <f t="shared" si="151"/>
        <v>0</v>
      </c>
      <c r="IF47" s="938">
        <f t="shared" si="152"/>
        <v>0</v>
      </c>
      <c r="IG47" s="938">
        <f t="shared" si="153"/>
        <v>0</v>
      </c>
      <c r="IH47" s="938">
        <f t="shared" si="154"/>
        <v>0</v>
      </c>
      <c r="II47" s="938">
        <f t="shared" si="155"/>
        <v>0</v>
      </c>
      <c r="IJ47" s="938" t="str">
        <f t="shared" si="156"/>
        <v/>
      </c>
      <c r="IK47" s="713">
        <f>'min. Düngung 22'!CE48</f>
        <v>0</v>
      </c>
      <c r="IL47" s="938"/>
      <c r="IM47" s="938"/>
      <c r="IN47" s="938">
        <f t="shared" si="157"/>
        <v>0</v>
      </c>
      <c r="IO47" s="938">
        <f t="shared" si="158"/>
        <v>0</v>
      </c>
      <c r="IP47" s="938">
        <f t="shared" si="159"/>
        <v>0</v>
      </c>
      <c r="IQ47" s="938">
        <f t="shared" si="160"/>
        <v>0</v>
      </c>
      <c r="IR47" s="938">
        <f t="shared" si="161"/>
        <v>0</v>
      </c>
      <c r="IS47" s="938" t="str">
        <f t="shared" si="162"/>
        <v/>
      </c>
      <c r="IT47" s="713">
        <f>'min. Düngung 22'!CH48</f>
        <v>0</v>
      </c>
      <c r="IU47" s="938"/>
      <c r="IV47" s="938"/>
      <c r="IW47" s="938">
        <f t="shared" si="163"/>
        <v>0</v>
      </c>
      <c r="IX47" s="938">
        <f t="shared" si="164"/>
        <v>0</v>
      </c>
      <c r="IY47" s="938">
        <f t="shared" si="165"/>
        <v>0</v>
      </c>
      <c r="IZ47" s="938">
        <f t="shared" si="166"/>
        <v>0</v>
      </c>
      <c r="JA47" s="938">
        <f t="shared" si="167"/>
        <v>0</v>
      </c>
      <c r="JB47" s="938" t="str">
        <f t="shared" si="168"/>
        <v/>
      </c>
      <c r="JC47" s="713">
        <f>'min. Düngung 22'!CK48</f>
        <v>0</v>
      </c>
      <c r="JD47" s="938"/>
      <c r="JE47" s="938"/>
      <c r="JF47" s="938">
        <f t="shared" si="169"/>
        <v>0</v>
      </c>
      <c r="JG47" s="938">
        <f t="shared" si="170"/>
        <v>0</v>
      </c>
      <c r="JH47" s="938">
        <f t="shared" si="171"/>
        <v>0</v>
      </c>
      <c r="JI47" s="938">
        <f t="shared" si="172"/>
        <v>0</v>
      </c>
      <c r="JJ47" s="938">
        <f t="shared" si="173"/>
        <v>0</v>
      </c>
      <c r="JK47" s="938" t="str">
        <f t="shared" si="174"/>
        <v/>
      </c>
      <c r="JL47" s="713">
        <f>'min. Düngung 22'!CN48</f>
        <v>0</v>
      </c>
      <c r="JM47" s="938"/>
      <c r="JN47" s="938"/>
      <c r="JO47" s="938">
        <f t="shared" si="175"/>
        <v>0</v>
      </c>
      <c r="JP47" s="938">
        <f t="shared" si="176"/>
        <v>0</v>
      </c>
      <c r="JQ47" s="938">
        <f t="shared" si="177"/>
        <v>0</v>
      </c>
      <c r="JR47" s="938">
        <f t="shared" si="178"/>
        <v>0</v>
      </c>
      <c r="JS47" s="938">
        <f t="shared" si="179"/>
        <v>0</v>
      </c>
      <c r="JT47" s="938" t="str">
        <f t="shared" si="180"/>
        <v/>
      </c>
      <c r="JU47" s="713">
        <f>'min. Düngung 22'!CQ48</f>
        <v>0</v>
      </c>
      <c r="JV47" s="938"/>
      <c r="JW47" s="938"/>
      <c r="JX47" s="938">
        <f t="shared" si="181"/>
        <v>0</v>
      </c>
      <c r="JY47" s="938">
        <f t="shared" si="182"/>
        <v>0</v>
      </c>
      <c r="JZ47" s="938">
        <f t="shared" si="183"/>
        <v>0</v>
      </c>
      <c r="KA47" s="938">
        <f t="shared" si="184"/>
        <v>0</v>
      </c>
      <c r="KB47" s="938">
        <f t="shared" si="185"/>
        <v>0</v>
      </c>
      <c r="KC47" s="938" t="str">
        <f t="shared" si="186"/>
        <v/>
      </c>
      <c r="KE47" s="938"/>
      <c r="KF47" s="938" t="str">
        <f>IF(AND($F47=2,$G47=1),"",IF(OR($Q47&gt;0,$O47&gt;60),$KF$7,IF(I47=70,"",IF(AND(I47=80,R47+'#orgDung'!AC50&lt;60,K47=1,OR(C47=2,'#BerechnungDBE'!AH41=4)),"",IF(R47&gt;0,$KF$7,"")))))</f>
        <v/>
      </c>
      <c r="KG47" s="938" t="str">
        <f>IF(AND(P47&gt;'#BerechnungDBE'!BJ41,P47&gt;0),'#minDung'!$KG$7,"")</f>
        <v/>
      </c>
      <c r="KH47" s="938" t="str">
        <f>IF(AND(I47=70,R47&gt;'#BerechnungDBE'!CR41),'#minDung'!$KH$7,"")</f>
        <v/>
      </c>
      <c r="KI47" s="938" t="str">
        <f>IF('#BerechnungDBE'!P41&lt;4,"",IF(AND('#BerechnungDBE'!BZ41&gt;0,N47&gt;0),$KI$7,""))</f>
        <v/>
      </c>
      <c r="KJ47" s="938" t="str">
        <f t="shared" si="5"/>
        <v/>
      </c>
    </row>
    <row r="48" spans="1:296" s="875" customFormat="1" hidden="1" x14ac:dyDescent="0.2">
      <c r="A48" s="875">
        <f>'Flächen u. Kulturen'!A47</f>
        <v>38</v>
      </c>
      <c r="B48" s="734">
        <f>'#BerechnungDBE'!L42</f>
        <v>0</v>
      </c>
      <c r="C48" s="46">
        <f>'#orgDung'!C51</f>
        <v>1</v>
      </c>
      <c r="D48" s="875">
        <f>'#BerechnungDBE'!T42</f>
        <v>2</v>
      </c>
      <c r="E48" s="875" t="str">
        <f>'Flächen u. Kulturen'!E47</f>
        <v>x</v>
      </c>
      <c r="F48" s="52">
        <f>'#BerechnungDBE'!N42</f>
        <v>1</v>
      </c>
      <c r="G48" s="52">
        <f>'#BerechnungDBE'!O42</f>
        <v>1</v>
      </c>
      <c r="H48" s="505">
        <f>'#orgDung'!J51</f>
        <v>2</v>
      </c>
      <c r="I48" s="875">
        <f>'#BerechnungDBE'!AF42</f>
        <v>0</v>
      </c>
      <c r="J48" s="875">
        <f>'#orgDung'!M51</f>
        <v>0</v>
      </c>
      <c r="K48" s="875">
        <f>'#BerechnungDBE'!AG42</f>
        <v>0</v>
      </c>
      <c r="M48" s="875">
        <f t="shared" si="187"/>
        <v>0</v>
      </c>
      <c r="N48" s="875">
        <f t="shared" si="188"/>
        <v>0</v>
      </c>
      <c r="O48" s="875">
        <f t="shared" si="189"/>
        <v>0</v>
      </c>
      <c r="P48" s="875">
        <f t="shared" si="190"/>
        <v>0</v>
      </c>
      <c r="Q48" s="938">
        <f t="shared" si="6"/>
        <v>0</v>
      </c>
      <c r="R48" s="875">
        <f t="shared" si="191"/>
        <v>0</v>
      </c>
      <c r="T48" s="713">
        <f>'min. Düngung 22'!H49</f>
        <v>0</v>
      </c>
      <c r="W48" s="875">
        <f t="shared" si="7"/>
        <v>0</v>
      </c>
      <c r="X48" s="875">
        <f t="shared" si="8"/>
        <v>0</v>
      </c>
      <c r="Y48" s="875">
        <f t="shared" si="9"/>
        <v>0</v>
      </c>
      <c r="Z48" s="875">
        <f t="shared" si="10"/>
        <v>0</v>
      </c>
      <c r="AA48" s="875">
        <f t="shared" si="11"/>
        <v>0</v>
      </c>
      <c r="AB48" s="875" t="str">
        <f t="shared" si="12"/>
        <v/>
      </c>
      <c r="AC48" s="713">
        <f>'min. Düngung 22'!K49</f>
        <v>0</v>
      </c>
      <c r="AD48" s="938"/>
      <c r="AE48" s="938"/>
      <c r="AF48" s="938">
        <f t="shared" si="13"/>
        <v>0</v>
      </c>
      <c r="AG48" s="938">
        <f t="shared" si="14"/>
        <v>0</v>
      </c>
      <c r="AH48" s="938">
        <f t="shared" si="15"/>
        <v>0</v>
      </c>
      <c r="AI48" s="938">
        <f t="shared" si="16"/>
        <v>0</v>
      </c>
      <c r="AJ48" s="938">
        <f t="shared" si="17"/>
        <v>0</v>
      </c>
      <c r="AK48" s="938">
        <f t="shared" si="18"/>
        <v>0</v>
      </c>
      <c r="AL48" s="713">
        <f>'min. Düngung 22'!N49</f>
        <v>0</v>
      </c>
      <c r="AM48" s="938"/>
      <c r="AN48" s="938"/>
      <c r="AO48" s="938">
        <f t="shared" si="19"/>
        <v>0</v>
      </c>
      <c r="AP48" s="938">
        <f t="shared" si="20"/>
        <v>0</v>
      </c>
      <c r="AQ48" s="938">
        <f t="shared" si="21"/>
        <v>0</v>
      </c>
      <c r="AR48" s="938">
        <f t="shared" si="22"/>
        <v>0</v>
      </c>
      <c r="AS48" s="938">
        <f t="shared" si="23"/>
        <v>0</v>
      </c>
      <c r="AT48" s="938" t="str">
        <f t="shared" si="24"/>
        <v/>
      </c>
      <c r="AU48" s="713">
        <f>'min. Düngung 22'!Q49</f>
        <v>0</v>
      </c>
      <c r="AV48" s="938"/>
      <c r="AW48" s="938"/>
      <c r="AX48" s="938">
        <f t="shared" si="25"/>
        <v>0</v>
      </c>
      <c r="AY48" s="938">
        <f t="shared" si="26"/>
        <v>0</v>
      </c>
      <c r="AZ48" s="938">
        <f t="shared" si="27"/>
        <v>0</v>
      </c>
      <c r="BA48" s="938">
        <f t="shared" si="28"/>
        <v>0</v>
      </c>
      <c r="BB48" s="938">
        <f t="shared" si="29"/>
        <v>0</v>
      </c>
      <c r="BC48" s="938" t="str">
        <f t="shared" si="30"/>
        <v/>
      </c>
      <c r="BD48" s="713">
        <f>'min. Düngung 22'!T49</f>
        <v>0</v>
      </c>
      <c r="BE48" s="938"/>
      <c r="BF48" s="938"/>
      <c r="BG48" s="938">
        <f t="shared" si="31"/>
        <v>0</v>
      </c>
      <c r="BH48" s="938">
        <f t="shared" si="32"/>
        <v>0</v>
      </c>
      <c r="BI48" s="938">
        <f t="shared" si="33"/>
        <v>0</v>
      </c>
      <c r="BJ48" s="938">
        <f t="shared" si="34"/>
        <v>0</v>
      </c>
      <c r="BK48" s="938">
        <f t="shared" si="35"/>
        <v>0</v>
      </c>
      <c r="BL48" s="938" t="str">
        <f t="shared" si="36"/>
        <v/>
      </c>
      <c r="BM48" s="713">
        <f>'min. Düngung 22'!W49</f>
        <v>0</v>
      </c>
      <c r="BN48" s="938"/>
      <c r="BO48" s="938"/>
      <c r="BP48" s="938">
        <f t="shared" si="37"/>
        <v>0</v>
      </c>
      <c r="BQ48" s="938">
        <f t="shared" si="38"/>
        <v>0</v>
      </c>
      <c r="BR48" s="938">
        <f t="shared" si="39"/>
        <v>0</v>
      </c>
      <c r="BS48" s="938">
        <f t="shared" si="40"/>
        <v>0</v>
      </c>
      <c r="BT48" s="938">
        <f t="shared" si="41"/>
        <v>0</v>
      </c>
      <c r="BU48" s="938" t="str">
        <f t="shared" si="42"/>
        <v/>
      </c>
      <c r="BV48" s="713">
        <f>'min. Düngung 22'!Z49</f>
        <v>0</v>
      </c>
      <c r="BW48" s="938"/>
      <c r="BX48" s="938"/>
      <c r="BY48" s="938">
        <f t="shared" si="43"/>
        <v>0</v>
      </c>
      <c r="BZ48" s="938">
        <f t="shared" si="44"/>
        <v>0</v>
      </c>
      <c r="CA48" s="938">
        <f t="shared" si="45"/>
        <v>0</v>
      </c>
      <c r="CB48" s="938">
        <f t="shared" si="46"/>
        <v>0</v>
      </c>
      <c r="CC48" s="938">
        <f t="shared" si="47"/>
        <v>0</v>
      </c>
      <c r="CD48" s="938" t="str">
        <f t="shared" si="48"/>
        <v/>
      </c>
      <c r="CE48" s="713">
        <f>'min. Düngung 22'!AC49</f>
        <v>0</v>
      </c>
      <c r="CF48" s="938"/>
      <c r="CG48" s="938"/>
      <c r="CH48" s="938">
        <f t="shared" si="49"/>
        <v>0</v>
      </c>
      <c r="CI48" s="938">
        <f t="shared" si="50"/>
        <v>0</v>
      </c>
      <c r="CJ48" s="938">
        <f t="shared" si="51"/>
        <v>0</v>
      </c>
      <c r="CK48" s="938">
        <f t="shared" si="52"/>
        <v>0</v>
      </c>
      <c r="CL48" s="938">
        <f t="shared" si="53"/>
        <v>0</v>
      </c>
      <c r="CM48" s="938" t="str">
        <f t="shared" si="54"/>
        <v/>
      </c>
      <c r="CN48" s="713">
        <f>'min. Düngung 22'!AF49</f>
        <v>0</v>
      </c>
      <c r="CO48" s="938"/>
      <c r="CP48" s="938"/>
      <c r="CQ48" s="938">
        <f t="shared" si="55"/>
        <v>0</v>
      </c>
      <c r="CR48" s="938">
        <f t="shared" si="56"/>
        <v>0</v>
      </c>
      <c r="CS48" s="938">
        <f t="shared" si="57"/>
        <v>0</v>
      </c>
      <c r="CT48" s="938">
        <f t="shared" si="58"/>
        <v>0</v>
      </c>
      <c r="CU48" s="938">
        <f t="shared" si="59"/>
        <v>0</v>
      </c>
      <c r="CV48" s="938" t="str">
        <f t="shared" si="60"/>
        <v/>
      </c>
      <c r="CW48" s="713">
        <f>'min. Düngung 22'!AI49</f>
        <v>0</v>
      </c>
      <c r="CX48" s="938"/>
      <c r="CY48" s="938"/>
      <c r="CZ48" s="938">
        <f t="shared" si="61"/>
        <v>0</v>
      </c>
      <c r="DA48" s="938">
        <f t="shared" si="62"/>
        <v>0</v>
      </c>
      <c r="DB48" s="938">
        <f t="shared" si="63"/>
        <v>0</v>
      </c>
      <c r="DC48" s="938">
        <f t="shared" si="64"/>
        <v>0</v>
      </c>
      <c r="DD48" s="938">
        <f t="shared" si="65"/>
        <v>0</v>
      </c>
      <c r="DE48" s="938" t="str">
        <f t="shared" si="66"/>
        <v/>
      </c>
      <c r="DF48" s="713">
        <f>'min. Düngung 22'!AL49</f>
        <v>0</v>
      </c>
      <c r="DG48" s="938"/>
      <c r="DH48" s="938"/>
      <c r="DI48" s="938">
        <f t="shared" si="67"/>
        <v>0</v>
      </c>
      <c r="DJ48" s="938">
        <f t="shared" si="68"/>
        <v>0</v>
      </c>
      <c r="DK48" s="938">
        <f t="shared" si="69"/>
        <v>0</v>
      </c>
      <c r="DL48" s="938">
        <f t="shared" si="70"/>
        <v>0</v>
      </c>
      <c r="DM48" s="938">
        <f t="shared" si="71"/>
        <v>0</v>
      </c>
      <c r="DN48" s="938" t="str">
        <f t="shared" si="72"/>
        <v/>
      </c>
      <c r="DO48" s="713">
        <f>'min. Düngung 22'!AO49</f>
        <v>0</v>
      </c>
      <c r="DP48" s="938"/>
      <c r="DQ48" s="938"/>
      <c r="DR48" s="938">
        <f t="shared" si="73"/>
        <v>0</v>
      </c>
      <c r="DS48" s="938">
        <f t="shared" si="74"/>
        <v>0</v>
      </c>
      <c r="DT48" s="938">
        <f t="shared" si="75"/>
        <v>0</v>
      </c>
      <c r="DU48" s="938">
        <f t="shared" si="76"/>
        <v>0</v>
      </c>
      <c r="DV48" s="938">
        <f t="shared" si="77"/>
        <v>0</v>
      </c>
      <c r="DW48" s="938" t="str">
        <f t="shared" si="78"/>
        <v/>
      </c>
      <c r="DX48" s="713">
        <f>'min. Düngung 22'!AR49</f>
        <v>0</v>
      </c>
      <c r="DY48" s="938"/>
      <c r="DZ48" s="938"/>
      <c r="EA48" s="938">
        <f t="shared" si="79"/>
        <v>0</v>
      </c>
      <c r="EB48" s="938">
        <f t="shared" si="80"/>
        <v>0</v>
      </c>
      <c r="EC48" s="938">
        <f t="shared" si="81"/>
        <v>0</v>
      </c>
      <c r="ED48" s="938">
        <f t="shared" si="82"/>
        <v>0</v>
      </c>
      <c r="EE48" s="938">
        <f t="shared" si="83"/>
        <v>0</v>
      </c>
      <c r="EF48" s="938" t="str">
        <f t="shared" si="84"/>
        <v/>
      </c>
      <c r="EG48" s="713">
        <f>'min. Düngung 22'!AU49</f>
        <v>0</v>
      </c>
      <c r="EH48" s="938"/>
      <c r="EI48" s="938"/>
      <c r="EJ48" s="938">
        <f t="shared" si="85"/>
        <v>0</v>
      </c>
      <c r="EK48" s="938">
        <f t="shared" si="86"/>
        <v>0</v>
      </c>
      <c r="EL48" s="938">
        <f t="shared" si="87"/>
        <v>0</v>
      </c>
      <c r="EM48" s="938">
        <f t="shared" si="88"/>
        <v>0</v>
      </c>
      <c r="EN48" s="938">
        <f t="shared" si="89"/>
        <v>0</v>
      </c>
      <c r="EO48" s="938" t="str">
        <f t="shared" si="90"/>
        <v/>
      </c>
      <c r="EP48" s="713">
        <f>'min. Düngung 22'!AX49</f>
        <v>0</v>
      </c>
      <c r="EQ48" s="938"/>
      <c r="ER48" s="938"/>
      <c r="ES48" s="938">
        <f t="shared" si="91"/>
        <v>0</v>
      </c>
      <c r="ET48" s="938">
        <f t="shared" si="92"/>
        <v>0</v>
      </c>
      <c r="EU48" s="938">
        <f t="shared" si="93"/>
        <v>0</v>
      </c>
      <c r="EV48" s="938">
        <f t="shared" si="94"/>
        <v>0</v>
      </c>
      <c r="EW48" s="938">
        <f t="shared" si="95"/>
        <v>0</v>
      </c>
      <c r="EX48" s="938" t="str">
        <f t="shared" si="96"/>
        <v/>
      </c>
      <c r="EY48" s="713">
        <f>'min. Düngung 22'!BA49</f>
        <v>0</v>
      </c>
      <c r="EZ48" s="938"/>
      <c r="FA48" s="938"/>
      <c r="FB48" s="938">
        <f t="shared" si="97"/>
        <v>0</v>
      </c>
      <c r="FC48" s="938">
        <f t="shared" si="98"/>
        <v>0</v>
      </c>
      <c r="FD48" s="938">
        <f t="shared" si="99"/>
        <v>0</v>
      </c>
      <c r="FE48" s="938">
        <f t="shared" si="100"/>
        <v>0</v>
      </c>
      <c r="FF48" s="938">
        <f t="shared" si="101"/>
        <v>0</v>
      </c>
      <c r="FG48" s="938" t="str">
        <f t="shared" si="102"/>
        <v/>
      </c>
      <c r="FH48" s="713">
        <f>'min. Düngung 22'!BD49</f>
        <v>0</v>
      </c>
      <c r="FI48" s="938"/>
      <c r="FJ48" s="938"/>
      <c r="FK48" s="938">
        <f t="shared" si="103"/>
        <v>0</v>
      </c>
      <c r="FL48" s="938">
        <f t="shared" si="104"/>
        <v>0</v>
      </c>
      <c r="FM48" s="938">
        <f t="shared" si="105"/>
        <v>0</v>
      </c>
      <c r="FN48" s="938">
        <f t="shared" si="106"/>
        <v>0</v>
      </c>
      <c r="FO48" s="938">
        <f t="shared" si="107"/>
        <v>0</v>
      </c>
      <c r="FP48" s="938" t="str">
        <f t="shared" si="108"/>
        <v/>
      </c>
      <c r="FQ48" s="713">
        <f>'min. Düngung 22'!BG49</f>
        <v>0</v>
      </c>
      <c r="FR48" s="938"/>
      <c r="FS48" s="938"/>
      <c r="FT48" s="938">
        <f t="shared" si="109"/>
        <v>0</v>
      </c>
      <c r="FU48" s="938">
        <f t="shared" si="110"/>
        <v>0</v>
      </c>
      <c r="FV48" s="938">
        <f t="shared" si="111"/>
        <v>0</v>
      </c>
      <c r="FW48" s="938">
        <f t="shared" si="112"/>
        <v>0</v>
      </c>
      <c r="FX48" s="938">
        <f t="shared" si="113"/>
        <v>0</v>
      </c>
      <c r="FY48" s="938" t="str">
        <f t="shared" si="114"/>
        <v/>
      </c>
      <c r="FZ48" s="713">
        <f>'min. Düngung 22'!BJ49</f>
        <v>0</v>
      </c>
      <c r="GA48" s="938"/>
      <c r="GB48" s="938"/>
      <c r="GC48" s="938">
        <f t="shared" si="115"/>
        <v>0</v>
      </c>
      <c r="GD48" s="938">
        <f t="shared" si="116"/>
        <v>0</v>
      </c>
      <c r="GE48" s="938">
        <f t="shared" si="117"/>
        <v>0</v>
      </c>
      <c r="GF48" s="938">
        <f t="shared" si="118"/>
        <v>0</v>
      </c>
      <c r="GG48" s="938">
        <f t="shared" si="119"/>
        <v>0</v>
      </c>
      <c r="GH48" s="938" t="str">
        <f t="shared" si="120"/>
        <v/>
      </c>
      <c r="GI48" s="713">
        <f>'min. Düngung 22'!BM49</f>
        <v>0</v>
      </c>
      <c r="GJ48" s="938"/>
      <c r="GK48" s="938"/>
      <c r="GL48" s="938">
        <f t="shared" si="121"/>
        <v>0</v>
      </c>
      <c r="GM48" s="938">
        <f t="shared" si="122"/>
        <v>0</v>
      </c>
      <c r="GN48" s="938">
        <f t="shared" si="123"/>
        <v>0</v>
      </c>
      <c r="GO48" s="938">
        <f t="shared" si="124"/>
        <v>0</v>
      </c>
      <c r="GP48" s="938">
        <f t="shared" si="125"/>
        <v>0</v>
      </c>
      <c r="GQ48" s="938" t="str">
        <f t="shared" si="126"/>
        <v/>
      </c>
      <c r="GR48" s="713">
        <f>'min. Düngung 22'!BP49</f>
        <v>0</v>
      </c>
      <c r="GS48" s="938"/>
      <c r="GT48" s="938"/>
      <c r="GU48" s="938">
        <f t="shared" si="127"/>
        <v>0</v>
      </c>
      <c r="GV48" s="938">
        <f t="shared" si="128"/>
        <v>0</v>
      </c>
      <c r="GW48" s="938">
        <f t="shared" si="129"/>
        <v>0</v>
      </c>
      <c r="GX48" s="938">
        <f t="shared" si="130"/>
        <v>0</v>
      </c>
      <c r="GY48" s="938">
        <f t="shared" si="131"/>
        <v>0</v>
      </c>
      <c r="GZ48" s="938" t="str">
        <f t="shared" si="132"/>
        <v/>
      </c>
      <c r="HA48" s="713">
        <f>'min. Düngung 22'!BS49</f>
        <v>0</v>
      </c>
      <c r="HB48" s="938"/>
      <c r="HC48" s="938"/>
      <c r="HD48" s="938">
        <f t="shared" si="133"/>
        <v>0</v>
      </c>
      <c r="HE48" s="938">
        <f t="shared" si="134"/>
        <v>0</v>
      </c>
      <c r="HF48" s="938">
        <f t="shared" si="135"/>
        <v>0</v>
      </c>
      <c r="HG48" s="938">
        <f t="shared" si="136"/>
        <v>0</v>
      </c>
      <c r="HH48" s="938">
        <f t="shared" si="137"/>
        <v>0</v>
      </c>
      <c r="HI48" s="938" t="str">
        <f t="shared" si="138"/>
        <v/>
      </c>
      <c r="HJ48" s="713">
        <f>'min. Düngung 22'!BV49</f>
        <v>0</v>
      </c>
      <c r="HK48" s="938"/>
      <c r="HL48" s="938"/>
      <c r="HM48" s="938">
        <f t="shared" si="139"/>
        <v>0</v>
      </c>
      <c r="HN48" s="938">
        <f t="shared" si="140"/>
        <v>0</v>
      </c>
      <c r="HO48" s="938">
        <f t="shared" si="141"/>
        <v>0</v>
      </c>
      <c r="HP48" s="938">
        <f t="shared" si="142"/>
        <v>0</v>
      </c>
      <c r="HQ48" s="938">
        <f t="shared" si="143"/>
        <v>0</v>
      </c>
      <c r="HR48" s="938" t="str">
        <f t="shared" si="144"/>
        <v/>
      </c>
      <c r="HS48" s="713">
        <f>'min. Düngung 22'!BY49</f>
        <v>0</v>
      </c>
      <c r="HT48" s="938"/>
      <c r="HU48" s="938"/>
      <c r="HV48" s="938">
        <f t="shared" si="145"/>
        <v>0</v>
      </c>
      <c r="HW48" s="938">
        <f t="shared" si="146"/>
        <v>0</v>
      </c>
      <c r="HX48" s="938">
        <f t="shared" si="147"/>
        <v>0</v>
      </c>
      <c r="HY48" s="938">
        <f t="shared" si="148"/>
        <v>0</v>
      </c>
      <c r="HZ48" s="938">
        <f t="shared" si="149"/>
        <v>0</v>
      </c>
      <c r="IA48" s="938" t="str">
        <f t="shared" si="150"/>
        <v/>
      </c>
      <c r="IB48" s="713">
        <f>'min. Düngung 22'!CB49</f>
        <v>0</v>
      </c>
      <c r="IC48" s="938"/>
      <c r="ID48" s="938"/>
      <c r="IE48" s="938">
        <f t="shared" si="151"/>
        <v>0</v>
      </c>
      <c r="IF48" s="938">
        <f t="shared" si="152"/>
        <v>0</v>
      </c>
      <c r="IG48" s="938">
        <f t="shared" si="153"/>
        <v>0</v>
      </c>
      <c r="IH48" s="938">
        <f t="shared" si="154"/>
        <v>0</v>
      </c>
      <c r="II48" s="938">
        <f t="shared" si="155"/>
        <v>0</v>
      </c>
      <c r="IJ48" s="938" t="str">
        <f t="shared" si="156"/>
        <v/>
      </c>
      <c r="IK48" s="713">
        <f>'min. Düngung 22'!CE49</f>
        <v>0</v>
      </c>
      <c r="IL48" s="938"/>
      <c r="IM48" s="938"/>
      <c r="IN48" s="938">
        <f t="shared" si="157"/>
        <v>0</v>
      </c>
      <c r="IO48" s="938">
        <f t="shared" si="158"/>
        <v>0</v>
      </c>
      <c r="IP48" s="938">
        <f t="shared" si="159"/>
        <v>0</v>
      </c>
      <c r="IQ48" s="938">
        <f t="shared" si="160"/>
        <v>0</v>
      </c>
      <c r="IR48" s="938">
        <f t="shared" si="161"/>
        <v>0</v>
      </c>
      <c r="IS48" s="938" t="str">
        <f t="shared" si="162"/>
        <v/>
      </c>
      <c r="IT48" s="713">
        <f>'min. Düngung 22'!CH49</f>
        <v>0</v>
      </c>
      <c r="IU48" s="938"/>
      <c r="IV48" s="938"/>
      <c r="IW48" s="938">
        <f t="shared" si="163"/>
        <v>0</v>
      </c>
      <c r="IX48" s="938">
        <f t="shared" si="164"/>
        <v>0</v>
      </c>
      <c r="IY48" s="938">
        <f t="shared" si="165"/>
        <v>0</v>
      </c>
      <c r="IZ48" s="938">
        <f t="shared" si="166"/>
        <v>0</v>
      </c>
      <c r="JA48" s="938">
        <f t="shared" si="167"/>
        <v>0</v>
      </c>
      <c r="JB48" s="938" t="str">
        <f t="shared" si="168"/>
        <v/>
      </c>
      <c r="JC48" s="713">
        <f>'min. Düngung 22'!CK49</f>
        <v>0</v>
      </c>
      <c r="JD48" s="938"/>
      <c r="JE48" s="938"/>
      <c r="JF48" s="938">
        <f t="shared" si="169"/>
        <v>0</v>
      </c>
      <c r="JG48" s="938">
        <f t="shared" si="170"/>
        <v>0</v>
      </c>
      <c r="JH48" s="938">
        <f t="shared" si="171"/>
        <v>0</v>
      </c>
      <c r="JI48" s="938">
        <f t="shared" si="172"/>
        <v>0</v>
      </c>
      <c r="JJ48" s="938">
        <f t="shared" si="173"/>
        <v>0</v>
      </c>
      <c r="JK48" s="938" t="str">
        <f t="shared" si="174"/>
        <v/>
      </c>
      <c r="JL48" s="713">
        <f>'min. Düngung 22'!CN49</f>
        <v>0</v>
      </c>
      <c r="JM48" s="938"/>
      <c r="JN48" s="938"/>
      <c r="JO48" s="938">
        <f t="shared" si="175"/>
        <v>0</v>
      </c>
      <c r="JP48" s="938">
        <f t="shared" si="176"/>
        <v>0</v>
      </c>
      <c r="JQ48" s="938">
        <f t="shared" si="177"/>
        <v>0</v>
      </c>
      <c r="JR48" s="938">
        <f t="shared" si="178"/>
        <v>0</v>
      </c>
      <c r="JS48" s="938">
        <f t="shared" si="179"/>
        <v>0</v>
      </c>
      <c r="JT48" s="938" t="str">
        <f t="shared" si="180"/>
        <v/>
      </c>
      <c r="JU48" s="713">
        <f>'min. Düngung 22'!CQ49</f>
        <v>0</v>
      </c>
      <c r="JV48" s="938"/>
      <c r="JW48" s="938"/>
      <c r="JX48" s="938">
        <f t="shared" si="181"/>
        <v>0</v>
      </c>
      <c r="JY48" s="938">
        <f t="shared" si="182"/>
        <v>0</v>
      </c>
      <c r="JZ48" s="938">
        <f t="shared" si="183"/>
        <v>0</v>
      </c>
      <c r="KA48" s="938">
        <f t="shared" si="184"/>
        <v>0</v>
      </c>
      <c r="KB48" s="938">
        <f t="shared" si="185"/>
        <v>0</v>
      </c>
      <c r="KC48" s="938" t="str">
        <f t="shared" si="186"/>
        <v/>
      </c>
      <c r="KE48" s="938"/>
      <c r="KF48" s="938" t="str">
        <f>IF(AND($F48=2,$G48=1),"",IF(OR($Q48&gt;0,$O48&gt;60),$KF$7,IF(I48=70,"",IF(AND(I48=80,R48+'#orgDung'!AC51&lt;60,K48=1,OR(C48=2,'#BerechnungDBE'!AH42=4)),"",IF(R48&gt;0,$KF$7,"")))))</f>
        <v/>
      </c>
      <c r="KG48" s="938" t="str">
        <f>IF(AND(P48&gt;'#BerechnungDBE'!BJ42,P48&gt;0),'#minDung'!$KG$7,"")</f>
        <v/>
      </c>
      <c r="KH48" s="938" t="str">
        <f>IF(AND(I48=70,R48&gt;'#BerechnungDBE'!CR42),'#minDung'!$KH$7,"")</f>
        <v/>
      </c>
      <c r="KI48" s="938" t="str">
        <f>IF('#BerechnungDBE'!P42&lt;4,"",IF(AND('#BerechnungDBE'!BZ42&gt;0,N48&gt;0),$KI$7,""))</f>
        <v/>
      </c>
      <c r="KJ48" s="938" t="str">
        <f t="shared" si="5"/>
        <v/>
      </c>
    </row>
    <row r="49" spans="1:296" s="875" customFormat="1" hidden="1" x14ac:dyDescent="0.2">
      <c r="A49" s="875">
        <f>'Flächen u. Kulturen'!A48</f>
        <v>39</v>
      </c>
      <c r="B49" s="734">
        <f>'#BerechnungDBE'!L43</f>
        <v>0</v>
      </c>
      <c r="C49" s="46">
        <f>'#orgDung'!C52</f>
        <v>1</v>
      </c>
      <c r="D49" s="875">
        <f>'#BerechnungDBE'!T43</f>
        <v>2</v>
      </c>
      <c r="E49" s="875" t="str">
        <f>'Flächen u. Kulturen'!E48</f>
        <v>x</v>
      </c>
      <c r="F49" s="52">
        <f>'#BerechnungDBE'!N43</f>
        <v>1</v>
      </c>
      <c r="G49" s="52">
        <f>'#BerechnungDBE'!O43</f>
        <v>1</v>
      </c>
      <c r="H49" s="505">
        <f>'#orgDung'!J52</f>
        <v>2</v>
      </c>
      <c r="I49" s="875">
        <f>'#BerechnungDBE'!AF43</f>
        <v>0</v>
      </c>
      <c r="J49" s="875">
        <f>'#orgDung'!M52</f>
        <v>0</v>
      </c>
      <c r="K49" s="875">
        <f>'#BerechnungDBE'!AG43</f>
        <v>0</v>
      </c>
      <c r="M49" s="875">
        <f t="shared" si="187"/>
        <v>0</v>
      </c>
      <c r="N49" s="875">
        <f t="shared" si="188"/>
        <v>0</v>
      </c>
      <c r="O49" s="875">
        <f t="shared" si="189"/>
        <v>0</v>
      </c>
      <c r="P49" s="875">
        <f t="shared" si="190"/>
        <v>0</v>
      </c>
      <c r="Q49" s="938">
        <f t="shared" si="6"/>
        <v>0</v>
      </c>
      <c r="R49" s="875">
        <f t="shared" si="191"/>
        <v>0</v>
      </c>
      <c r="T49" s="713">
        <f>'min. Düngung 22'!H50</f>
        <v>0</v>
      </c>
      <c r="W49" s="875">
        <f t="shared" si="7"/>
        <v>0</v>
      </c>
      <c r="X49" s="875">
        <f t="shared" si="8"/>
        <v>0</v>
      </c>
      <c r="Y49" s="875">
        <f t="shared" si="9"/>
        <v>0</v>
      </c>
      <c r="Z49" s="875">
        <f t="shared" si="10"/>
        <v>0</v>
      </c>
      <c r="AA49" s="875">
        <f t="shared" si="11"/>
        <v>0</v>
      </c>
      <c r="AB49" s="875" t="str">
        <f t="shared" si="12"/>
        <v/>
      </c>
      <c r="AC49" s="713">
        <f>'min. Düngung 22'!K50</f>
        <v>0</v>
      </c>
      <c r="AD49" s="938"/>
      <c r="AE49" s="938"/>
      <c r="AF49" s="938">
        <f t="shared" si="13"/>
        <v>0</v>
      </c>
      <c r="AG49" s="938">
        <f t="shared" si="14"/>
        <v>0</v>
      </c>
      <c r="AH49" s="938">
        <f t="shared" si="15"/>
        <v>0</v>
      </c>
      <c r="AI49" s="938">
        <f t="shared" si="16"/>
        <v>0</v>
      </c>
      <c r="AJ49" s="938">
        <f t="shared" si="17"/>
        <v>0</v>
      </c>
      <c r="AK49" s="938">
        <f t="shared" si="18"/>
        <v>0</v>
      </c>
      <c r="AL49" s="713">
        <f>'min. Düngung 22'!N50</f>
        <v>0</v>
      </c>
      <c r="AM49" s="938"/>
      <c r="AN49" s="938"/>
      <c r="AO49" s="938">
        <f t="shared" si="19"/>
        <v>0</v>
      </c>
      <c r="AP49" s="938">
        <f t="shared" si="20"/>
        <v>0</v>
      </c>
      <c r="AQ49" s="938">
        <f t="shared" si="21"/>
        <v>0</v>
      </c>
      <c r="AR49" s="938">
        <f t="shared" si="22"/>
        <v>0</v>
      </c>
      <c r="AS49" s="938">
        <f t="shared" si="23"/>
        <v>0</v>
      </c>
      <c r="AT49" s="938" t="str">
        <f t="shared" si="24"/>
        <v/>
      </c>
      <c r="AU49" s="713">
        <f>'min. Düngung 22'!Q50</f>
        <v>0</v>
      </c>
      <c r="AV49" s="938"/>
      <c r="AW49" s="938"/>
      <c r="AX49" s="938">
        <f t="shared" si="25"/>
        <v>0</v>
      </c>
      <c r="AY49" s="938">
        <f t="shared" si="26"/>
        <v>0</v>
      </c>
      <c r="AZ49" s="938">
        <f t="shared" si="27"/>
        <v>0</v>
      </c>
      <c r="BA49" s="938">
        <f t="shared" si="28"/>
        <v>0</v>
      </c>
      <c r="BB49" s="938">
        <f t="shared" si="29"/>
        <v>0</v>
      </c>
      <c r="BC49" s="938" t="str">
        <f t="shared" si="30"/>
        <v/>
      </c>
      <c r="BD49" s="713">
        <f>'min. Düngung 22'!T50</f>
        <v>0</v>
      </c>
      <c r="BE49" s="938"/>
      <c r="BF49" s="938"/>
      <c r="BG49" s="938">
        <f t="shared" si="31"/>
        <v>0</v>
      </c>
      <c r="BH49" s="938">
        <f t="shared" si="32"/>
        <v>0</v>
      </c>
      <c r="BI49" s="938">
        <f t="shared" si="33"/>
        <v>0</v>
      </c>
      <c r="BJ49" s="938">
        <f t="shared" si="34"/>
        <v>0</v>
      </c>
      <c r="BK49" s="938">
        <f t="shared" si="35"/>
        <v>0</v>
      </c>
      <c r="BL49" s="938" t="str">
        <f t="shared" si="36"/>
        <v/>
      </c>
      <c r="BM49" s="713">
        <f>'min. Düngung 22'!W50</f>
        <v>0</v>
      </c>
      <c r="BN49" s="938"/>
      <c r="BO49" s="938"/>
      <c r="BP49" s="938">
        <f t="shared" si="37"/>
        <v>0</v>
      </c>
      <c r="BQ49" s="938">
        <f t="shared" si="38"/>
        <v>0</v>
      </c>
      <c r="BR49" s="938">
        <f t="shared" si="39"/>
        <v>0</v>
      </c>
      <c r="BS49" s="938">
        <f t="shared" si="40"/>
        <v>0</v>
      </c>
      <c r="BT49" s="938">
        <f t="shared" si="41"/>
        <v>0</v>
      </c>
      <c r="BU49" s="938" t="str">
        <f t="shared" si="42"/>
        <v/>
      </c>
      <c r="BV49" s="713">
        <f>'min. Düngung 22'!Z50</f>
        <v>0</v>
      </c>
      <c r="BW49" s="938"/>
      <c r="BX49" s="938"/>
      <c r="BY49" s="938">
        <f t="shared" si="43"/>
        <v>0</v>
      </c>
      <c r="BZ49" s="938">
        <f t="shared" si="44"/>
        <v>0</v>
      </c>
      <c r="CA49" s="938">
        <f t="shared" si="45"/>
        <v>0</v>
      </c>
      <c r="CB49" s="938">
        <f t="shared" si="46"/>
        <v>0</v>
      </c>
      <c r="CC49" s="938">
        <f t="shared" si="47"/>
        <v>0</v>
      </c>
      <c r="CD49" s="938" t="str">
        <f t="shared" si="48"/>
        <v/>
      </c>
      <c r="CE49" s="713">
        <f>'min. Düngung 22'!AC50</f>
        <v>0</v>
      </c>
      <c r="CF49" s="938"/>
      <c r="CG49" s="938"/>
      <c r="CH49" s="938">
        <f t="shared" si="49"/>
        <v>0</v>
      </c>
      <c r="CI49" s="938">
        <f t="shared" si="50"/>
        <v>0</v>
      </c>
      <c r="CJ49" s="938">
        <f t="shared" si="51"/>
        <v>0</v>
      </c>
      <c r="CK49" s="938">
        <f t="shared" si="52"/>
        <v>0</v>
      </c>
      <c r="CL49" s="938">
        <f t="shared" si="53"/>
        <v>0</v>
      </c>
      <c r="CM49" s="938" t="str">
        <f t="shared" si="54"/>
        <v/>
      </c>
      <c r="CN49" s="713">
        <f>'min. Düngung 22'!AF50</f>
        <v>0</v>
      </c>
      <c r="CO49" s="938"/>
      <c r="CP49" s="938"/>
      <c r="CQ49" s="938">
        <f t="shared" si="55"/>
        <v>0</v>
      </c>
      <c r="CR49" s="938">
        <f t="shared" si="56"/>
        <v>0</v>
      </c>
      <c r="CS49" s="938">
        <f t="shared" si="57"/>
        <v>0</v>
      </c>
      <c r="CT49" s="938">
        <f t="shared" si="58"/>
        <v>0</v>
      </c>
      <c r="CU49" s="938">
        <f t="shared" si="59"/>
        <v>0</v>
      </c>
      <c r="CV49" s="938" t="str">
        <f t="shared" si="60"/>
        <v/>
      </c>
      <c r="CW49" s="713">
        <f>'min. Düngung 22'!AI50</f>
        <v>0</v>
      </c>
      <c r="CX49" s="938"/>
      <c r="CY49" s="938"/>
      <c r="CZ49" s="938">
        <f t="shared" si="61"/>
        <v>0</v>
      </c>
      <c r="DA49" s="938">
        <f t="shared" si="62"/>
        <v>0</v>
      </c>
      <c r="DB49" s="938">
        <f t="shared" si="63"/>
        <v>0</v>
      </c>
      <c r="DC49" s="938">
        <f t="shared" si="64"/>
        <v>0</v>
      </c>
      <c r="DD49" s="938">
        <f t="shared" si="65"/>
        <v>0</v>
      </c>
      <c r="DE49" s="938" t="str">
        <f t="shared" si="66"/>
        <v/>
      </c>
      <c r="DF49" s="713">
        <f>'min. Düngung 22'!AL50</f>
        <v>0</v>
      </c>
      <c r="DG49" s="938"/>
      <c r="DH49" s="938"/>
      <c r="DI49" s="938">
        <f t="shared" si="67"/>
        <v>0</v>
      </c>
      <c r="DJ49" s="938">
        <f t="shared" si="68"/>
        <v>0</v>
      </c>
      <c r="DK49" s="938">
        <f t="shared" si="69"/>
        <v>0</v>
      </c>
      <c r="DL49" s="938">
        <f t="shared" si="70"/>
        <v>0</v>
      </c>
      <c r="DM49" s="938">
        <f t="shared" si="71"/>
        <v>0</v>
      </c>
      <c r="DN49" s="938" t="str">
        <f t="shared" si="72"/>
        <v/>
      </c>
      <c r="DO49" s="713">
        <f>'min. Düngung 22'!AO50</f>
        <v>0</v>
      </c>
      <c r="DP49" s="938"/>
      <c r="DQ49" s="938"/>
      <c r="DR49" s="938">
        <f t="shared" si="73"/>
        <v>0</v>
      </c>
      <c r="DS49" s="938">
        <f t="shared" si="74"/>
        <v>0</v>
      </c>
      <c r="DT49" s="938">
        <f t="shared" si="75"/>
        <v>0</v>
      </c>
      <c r="DU49" s="938">
        <f t="shared" si="76"/>
        <v>0</v>
      </c>
      <c r="DV49" s="938">
        <f t="shared" si="77"/>
        <v>0</v>
      </c>
      <c r="DW49" s="938" t="str">
        <f t="shared" si="78"/>
        <v/>
      </c>
      <c r="DX49" s="713">
        <f>'min. Düngung 22'!AR50</f>
        <v>0</v>
      </c>
      <c r="DY49" s="938"/>
      <c r="DZ49" s="938"/>
      <c r="EA49" s="938">
        <f t="shared" si="79"/>
        <v>0</v>
      </c>
      <c r="EB49" s="938">
        <f t="shared" si="80"/>
        <v>0</v>
      </c>
      <c r="EC49" s="938">
        <f t="shared" si="81"/>
        <v>0</v>
      </c>
      <c r="ED49" s="938">
        <f t="shared" si="82"/>
        <v>0</v>
      </c>
      <c r="EE49" s="938">
        <f t="shared" si="83"/>
        <v>0</v>
      </c>
      <c r="EF49" s="938" t="str">
        <f t="shared" si="84"/>
        <v/>
      </c>
      <c r="EG49" s="713">
        <f>'min. Düngung 22'!AU50</f>
        <v>0</v>
      </c>
      <c r="EH49" s="938"/>
      <c r="EI49" s="938"/>
      <c r="EJ49" s="938">
        <f t="shared" si="85"/>
        <v>0</v>
      </c>
      <c r="EK49" s="938">
        <f t="shared" si="86"/>
        <v>0</v>
      </c>
      <c r="EL49" s="938">
        <f t="shared" si="87"/>
        <v>0</v>
      </c>
      <c r="EM49" s="938">
        <f t="shared" si="88"/>
        <v>0</v>
      </c>
      <c r="EN49" s="938">
        <f t="shared" si="89"/>
        <v>0</v>
      </c>
      <c r="EO49" s="938" t="str">
        <f t="shared" si="90"/>
        <v/>
      </c>
      <c r="EP49" s="713">
        <f>'min. Düngung 22'!AX50</f>
        <v>0</v>
      </c>
      <c r="EQ49" s="938"/>
      <c r="ER49" s="938"/>
      <c r="ES49" s="938">
        <f t="shared" si="91"/>
        <v>0</v>
      </c>
      <c r="ET49" s="938">
        <f t="shared" si="92"/>
        <v>0</v>
      </c>
      <c r="EU49" s="938">
        <f t="shared" si="93"/>
        <v>0</v>
      </c>
      <c r="EV49" s="938">
        <f t="shared" si="94"/>
        <v>0</v>
      </c>
      <c r="EW49" s="938">
        <f t="shared" si="95"/>
        <v>0</v>
      </c>
      <c r="EX49" s="938" t="str">
        <f t="shared" si="96"/>
        <v/>
      </c>
      <c r="EY49" s="713">
        <f>'min. Düngung 22'!BA50</f>
        <v>0</v>
      </c>
      <c r="EZ49" s="938"/>
      <c r="FA49" s="938"/>
      <c r="FB49" s="938">
        <f t="shared" si="97"/>
        <v>0</v>
      </c>
      <c r="FC49" s="938">
        <f t="shared" si="98"/>
        <v>0</v>
      </c>
      <c r="FD49" s="938">
        <f t="shared" si="99"/>
        <v>0</v>
      </c>
      <c r="FE49" s="938">
        <f t="shared" si="100"/>
        <v>0</v>
      </c>
      <c r="FF49" s="938">
        <f t="shared" si="101"/>
        <v>0</v>
      </c>
      <c r="FG49" s="938" t="str">
        <f t="shared" si="102"/>
        <v/>
      </c>
      <c r="FH49" s="713">
        <f>'min. Düngung 22'!BD50</f>
        <v>0</v>
      </c>
      <c r="FI49" s="938"/>
      <c r="FJ49" s="938"/>
      <c r="FK49" s="938">
        <f t="shared" si="103"/>
        <v>0</v>
      </c>
      <c r="FL49" s="938">
        <f t="shared" si="104"/>
        <v>0</v>
      </c>
      <c r="FM49" s="938">
        <f t="shared" si="105"/>
        <v>0</v>
      </c>
      <c r="FN49" s="938">
        <f t="shared" si="106"/>
        <v>0</v>
      </c>
      <c r="FO49" s="938">
        <f t="shared" si="107"/>
        <v>0</v>
      </c>
      <c r="FP49" s="938" t="str">
        <f t="shared" si="108"/>
        <v/>
      </c>
      <c r="FQ49" s="713">
        <f>'min. Düngung 22'!BG50</f>
        <v>0</v>
      </c>
      <c r="FR49" s="938"/>
      <c r="FS49" s="938"/>
      <c r="FT49" s="938">
        <f t="shared" si="109"/>
        <v>0</v>
      </c>
      <c r="FU49" s="938">
        <f t="shared" si="110"/>
        <v>0</v>
      </c>
      <c r="FV49" s="938">
        <f t="shared" si="111"/>
        <v>0</v>
      </c>
      <c r="FW49" s="938">
        <f t="shared" si="112"/>
        <v>0</v>
      </c>
      <c r="FX49" s="938">
        <f t="shared" si="113"/>
        <v>0</v>
      </c>
      <c r="FY49" s="938" t="str">
        <f t="shared" si="114"/>
        <v/>
      </c>
      <c r="FZ49" s="713">
        <f>'min. Düngung 22'!BJ50</f>
        <v>0</v>
      </c>
      <c r="GA49" s="938"/>
      <c r="GB49" s="938"/>
      <c r="GC49" s="938">
        <f t="shared" si="115"/>
        <v>0</v>
      </c>
      <c r="GD49" s="938">
        <f t="shared" si="116"/>
        <v>0</v>
      </c>
      <c r="GE49" s="938">
        <f t="shared" si="117"/>
        <v>0</v>
      </c>
      <c r="GF49" s="938">
        <f t="shared" si="118"/>
        <v>0</v>
      </c>
      <c r="GG49" s="938">
        <f t="shared" si="119"/>
        <v>0</v>
      </c>
      <c r="GH49" s="938" t="str">
        <f t="shared" si="120"/>
        <v/>
      </c>
      <c r="GI49" s="713">
        <f>'min. Düngung 22'!BM50</f>
        <v>0</v>
      </c>
      <c r="GJ49" s="938"/>
      <c r="GK49" s="938"/>
      <c r="GL49" s="938">
        <f t="shared" si="121"/>
        <v>0</v>
      </c>
      <c r="GM49" s="938">
        <f t="shared" si="122"/>
        <v>0</v>
      </c>
      <c r="GN49" s="938">
        <f t="shared" si="123"/>
        <v>0</v>
      </c>
      <c r="GO49" s="938">
        <f t="shared" si="124"/>
        <v>0</v>
      </c>
      <c r="GP49" s="938">
        <f t="shared" si="125"/>
        <v>0</v>
      </c>
      <c r="GQ49" s="938" t="str">
        <f t="shared" si="126"/>
        <v/>
      </c>
      <c r="GR49" s="713">
        <f>'min. Düngung 22'!BP50</f>
        <v>0</v>
      </c>
      <c r="GS49" s="938"/>
      <c r="GT49" s="938"/>
      <c r="GU49" s="938">
        <f t="shared" si="127"/>
        <v>0</v>
      </c>
      <c r="GV49" s="938">
        <f t="shared" si="128"/>
        <v>0</v>
      </c>
      <c r="GW49" s="938">
        <f t="shared" si="129"/>
        <v>0</v>
      </c>
      <c r="GX49" s="938">
        <f t="shared" si="130"/>
        <v>0</v>
      </c>
      <c r="GY49" s="938">
        <f t="shared" si="131"/>
        <v>0</v>
      </c>
      <c r="GZ49" s="938" t="str">
        <f t="shared" si="132"/>
        <v/>
      </c>
      <c r="HA49" s="713">
        <f>'min. Düngung 22'!BS50</f>
        <v>0</v>
      </c>
      <c r="HB49" s="938"/>
      <c r="HC49" s="938"/>
      <c r="HD49" s="938">
        <f t="shared" si="133"/>
        <v>0</v>
      </c>
      <c r="HE49" s="938">
        <f t="shared" si="134"/>
        <v>0</v>
      </c>
      <c r="HF49" s="938">
        <f t="shared" si="135"/>
        <v>0</v>
      </c>
      <c r="HG49" s="938">
        <f t="shared" si="136"/>
        <v>0</v>
      </c>
      <c r="HH49" s="938">
        <f t="shared" si="137"/>
        <v>0</v>
      </c>
      <c r="HI49" s="938" t="str">
        <f t="shared" si="138"/>
        <v/>
      </c>
      <c r="HJ49" s="713">
        <f>'min. Düngung 22'!BV50</f>
        <v>0</v>
      </c>
      <c r="HK49" s="938"/>
      <c r="HL49" s="938"/>
      <c r="HM49" s="938">
        <f t="shared" si="139"/>
        <v>0</v>
      </c>
      <c r="HN49" s="938">
        <f t="shared" si="140"/>
        <v>0</v>
      </c>
      <c r="HO49" s="938">
        <f t="shared" si="141"/>
        <v>0</v>
      </c>
      <c r="HP49" s="938">
        <f t="shared" si="142"/>
        <v>0</v>
      </c>
      <c r="HQ49" s="938">
        <f t="shared" si="143"/>
        <v>0</v>
      </c>
      <c r="HR49" s="938" t="str">
        <f t="shared" si="144"/>
        <v/>
      </c>
      <c r="HS49" s="713">
        <f>'min. Düngung 22'!BY50</f>
        <v>0</v>
      </c>
      <c r="HT49" s="938"/>
      <c r="HU49" s="938"/>
      <c r="HV49" s="938">
        <f t="shared" si="145"/>
        <v>0</v>
      </c>
      <c r="HW49" s="938">
        <f t="shared" si="146"/>
        <v>0</v>
      </c>
      <c r="HX49" s="938">
        <f t="shared" si="147"/>
        <v>0</v>
      </c>
      <c r="HY49" s="938">
        <f t="shared" si="148"/>
        <v>0</v>
      </c>
      <c r="HZ49" s="938">
        <f t="shared" si="149"/>
        <v>0</v>
      </c>
      <c r="IA49" s="938" t="str">
        <f t="shared" si="150"/>
        <v/>
      </c>
      <c r="IB49" s="713">
        <f>'min. Düngung 22'!CB50</f>
        <v>0</v>
      </c>
      <c r="IC49" s="938"/>
      <c r="ID49" s="938"/>
      <c r="IE49" s="938">
        <f t="shared" si="151"/>
        <v>0</v>
      </c>
      <c r="IF49" s="938">
        <f t="shared" si="152"/>
        <v>0</v>
      </c>
      <c r="IG49" s="938">
        <f t="shared" si="153"/>
        <v>0</v>
      </c>
      <c r="IH49" s="938">
        <f t="shared" si="154"/>
        <v>0</v>
      </c>
      <c r="II49" s="938">
        <f t="shared" si="155"/>
        <v>0</v>
      </c>
      <c r="IJ49" s="938" t="str">
        <f t="shared" si="156"/>
        <v/>
      </c>
      <c r="IK49" s="713">
        <f>'min. Düngung 22'!CE50</f>
        <v>0</v>
      </c>
      <c r="IL49" s="938"/>
      <c r="IM49" s="938"/>
      <c r="IN49" s="938">
        <f t="shared" si="157"/>
        <v>0</v>
      </c>
      <c r="IO49" s="938">
        <f t="shared" si="158"/>
        <v>0</v>
      </c>
      <c r="IP49" s="938">
        <f t="shared" si="159"/>
        <v>0</v>
      </c>
      <c r="IQ49" s="938">
        <f t="shared" si="160"/>
        <v>0</v>
      </c>
      <c r="IR49" s="938">
        <f t="shared" si="161"/>
        <v>0</v>
      </c>
      <c r="IS49" s="938" t="str">
        <f t="shared" si="162"/>
        <v/>
      </c>
      <c r="IT49" s="713">
        <f>'min. Düngung 22'!CH50</f>
        <v>0</v>
      </c>
      <c r="IU49" s="938"/>
      <c r="IV49" s="938"/>
      <c r="IW49" s="938">
        <f t="shared" si="163"/>
        <v>0</v>
      </c>
      <c r="IX49" s="938">
        <f t="shared" si="164"/>
        <v>0</v>
      </c>
      <c r="IY49" s="938">
        <f t="shared" si="165"/>
        <v>0</v>
      </c>
      <c r="IZ49" s="938">
        <f t="shared" si="166"/>
        <v>0</v>
      </c>
      <c r="JA49" s="938">
        <f t="shared" si="167"/>
        <v>0</v>
      </c>
      <c r="JB49" s="938" t="str">
        <f t="shared" si="168"/>
        <v/>
      </c>
      <c r="JC49" s="713">
        <f>'min. Düngung 22'!CK50</f>
        <v>0</v>
      </c>
      <c r="JD49" s="938"/>
      <c r="JE49" s="938"/>
      <c r="JF49" s="938">
        <f t="shared" si="169"/>
        <v>0</v>
      </c>
      <c r="JG49" s="938">
        <f t="shared" si="170"/>
        <v>0</v>
      </c>
      <c r="JH49" s="938">
        <f t="shared" si="171"/>
        <v>0</v>
      </c>
      <c r="JI49" s="938">
        <f t="shared" si="172"/>
        <v>0</v>
      </c>
      <c r="JJ49" s="938">
        <f t="shared" si="173"/>
        <v>0</v>
      </c>
      <c r="JK49" s="938" t="str">
        <f t="shared" si="174"/>
        <v/>
      </c>
      <c r="JL49" s="713">
        <f>'min. Düngung 22'!CN50</f>
        <v>0</v>
      </c>
      <c r="JM49" s="938"/>
      <c r="JN49" s="938"/>
      <c r="JO49" s="938">
        <f t="shared" si="175"/>
        <v>0</v>
      </c>
      <c r="JP49" s="938">
        <f t="shared" si="176"/>
        <v>0</v>
      </c>
      <c r="JQ49" s="938">
        <f t="shared" si="177"/>
        <v>0</v>
      </c>
      <c r="JR49" s="938">
        <f t="shared" si="178"/>
        <v>0</v>
      </c>
      <c r="JS49" s="938">
        <f t="shared" si="179"/>
        <v>0</v>
      </c>
      <c r="JT49" s="938" t="str">
        <f t="shared" si="180"/>
        <v/>
      </c>
      <c r="JU49" s="713">
        <f>'min. Düngung 22'!CQ50</f>
        <v>0</v>
      </c>
      <c r="JV49" s="938"/>
      <c r="JW49" s="938"/>
      <c r="JX49" s="938">
        <f t="shared" si="181"/>
        <v>0</v>
      </c>
      <c r="JY49" s="938">
        <f t="shared" si="182"/>
        <v>0</v>
      </c>
      <c r="JZ49" s="938">
        <f t="shared" si="183"/>
        <v>0</v>
      </c>
      <c r="KA49" s="938">
        <f t="shared" si="184"/>
        <v>0</v>
      </c>
      <c r="KB49" s="938">
        <f t="shared" si="185"/>
        <v>0</v>
      </c>
      <c r="KC49" s="938" t="str">
        <f t="shared" si="186"/>
        <v/>
      </c>
      <c r="KE49" s="938"/>
      <c r="KF49" s="938" t="str">
        <f>IF(AND($F49=2,$G49=1),"",IF(OR($Q49&gt;0,$O49&gt;60),$KF$7,IF(I49=70,"",IF(AND(I49=80,R49+'#orgDung'!AC52&lt;60,K49=1,OR(C49=2,'#BerechnungDBE'!AH43=4)),"",IF(R49&gt;0,$KF$7,"")))))</f>
        <v/>
      </c>
      <c r="KG49" s="938" t="str">
        <f>IF(AND(P49&gt;'#BerechnungDBE'!BJ43,P49&gt;0),'#minDung'!$KG$7,"")</f>
        <v/>
      </c>
      <c r="KH49" s="938" t="str">
        <f>IF(AND(I49=70,R49&gt;'#BerechnungDBE'!CR43),'#minDung'!$KH$7,"")</f>
        <v/>
      </c>
      <c r="KI49" s="938" t="str">
        <f>IF('#BerechnungDBE'!P43&lt;4,"",IF(AND('#BerechnungDBE'!BZ43&gt;0,N49&gt;0),$KI$7,""))</f>
        <v/>
      </c>
      <c r="KJ49" s="938" t="str">
        <f t="shared" si="5"/>
        <v/>
      </c>
    </row>
    <row r="50" spans="1:296" s="875" customFormat="1" hidden="1" x14ac:dyDescent="0.2">
      <c r="A50" s="875">
        <f>'Flächen u. Kulturen'!A49</f>
        <v>40</v>
      </c>
      <c r="B50" s="734">
        <f>'#BerechnungDBE'!L44</f>
        <v>0</v>
      </c>
      <c r="C50" s="46">
        <f>'#orgDung'!C53</f>
        <v>1</v>
      </c>
      <c r="D50" s="875">
        <f>'#BerechnungDBE'!T44</f>
        <v>2</v>
      </c>
      <c r="E50" s="875" t="str">
        <f>'Flächen u. Kulturen'!E49</f>
        <v>x</v>
      </c>
      <c r="F50" s="52">
        <f>'#BerechnungDBE'!N44</f>
        <v>1</v>
      </c>
      <c r="G50" s="52">
        <f>'#BerechnungDBE'!O44</f>
        <v>1</v>
      </c>
      <c r="H50" s="505">
        <f>'#orgDung'!J53</f>
        <v>2</v>
      </c>
      <c r="I50" s="875">
        <f>'#BerechnungDBE'!AF44</f>
        <v>0</v>
      </c>
      <c r="J50" s="875">
        <f>'#orgDung'!M53</f>
        <v>0</v>
      </c>
      <c r="K50" s="875">
        <f>'#BerechnungDBE'!AG44</f>
        <v>0</v>
      </c>
      <c r="M50" s="875">
        <f t="shared" si="187"/>
        <v>0</v>
      </c>
      <c r="N50" s="875">
        <f t="shared" si="188"/>
        <v>0</v>
      </c>
      <c r="O50" s="875">
        <f t="shared" si="189"/>
        <v>0</v>
      </c>
      <c r="P50" s="875">
        <f t="shared" si="190"/>
        <v>0</v>
      </c>
      <c r="Q50" s="938">
        <f t="shared" si="6"/>
        <v>0</v>
      </c>
      <c r="R50" s="875">
        <f t="shared" si="191"/>
        <v>0</v>
      </c>
      <c r="T50" s="713">
        <f>'min. Düngung 22'!H51</f>
        <v>0</v>
      </c>
      <c r="W50" s="875">
        <f t="shared" si="7"/>
        <v>0</v>
      </c>
      <c r="X50" s="875">
        <f t="shared" si="8"/>
        <v>0</v>
      </c>
      <c r="Y50" s="875">
        <f t="shared" si="9"/>
        <v>0</v>
      </c>
      <c r="Z50" s="875">
        <f t="shared" si="10"/>
        <v>0</v>
      </c>
      <c r="AA50" s="875">
        <f t="shared" si="11"/>
        <v>0</v>
      </c>
      <c r="AB50" s="875" t="str">
        <f t="shared" si="12"/>
        <v/>
      </c>
      <c r="AC50" s="713">
        <f>'min. Düngung 22'!K51</f>
        <v>0</v>
      </c>
      <c r="AD50" s="938"/>
      <c r="AE50" s="938"/>
      <c r="AF50" s="938">
        <f t="shared" si="13"/>
        <v>0</v>
      </c>
      <c r="AG50" s="938">
        <f t="shared" si="14"/>
        <v>0</v>
      </c>
      <c r="AH50" s="938">
        <f t="shared" si="15"/>
        <v>0</v>
      </c>
      <c r="AI50" s="938">
        <f t="shared" si="16"/>
        <v>0</v>
      </c>
      <c r="AJ50" s="938">
        <f t="shared" si="17"/>
        <v>0</v>
      </c>
      <c r="AK50" s="938">
        <f t="shared" si="18"/>
        <v>0</v>
      </c>
      <c r="AL50" s="713">
        <f>'min. Düngung 22'!N51</f>
        <v>0</v>
      </c>
      <c r="AM50" s="938"/>
      <c r="AN50" s="938"/>
      <c r="AO50" s="938">
        <f t="shared" si="19"/>
        <v>0</v>
      </c>
      <c r="AP50" s="938">
        <f t="shared" si="20"/>
        <v>0</v>
      </c>
      <c r="AQ50" s="938">
        <f t="shared" si="21"/>
        <v>0</v>
      </c>
      <c r="AR50" s="938">
        <f t="shared" si="22"/>
        <v>0</v>
      </c>
      <c r="AS50" s="938">
        <f t="shared" si="23"/>
        <v>0</v>
      </c>
      <c r="AT50" s="938" t="str">
        <f t="shared" si="24"/>
        <v/>
      </c>
      <c r="AU50" s="713">
        <f>'min. Düngung 22'!Q51</f>
        <v>0</v>
      </c>
      <c r="AV50" s="938"/>
      <c r="AW50" s="938"/>
      <c r="AX50" s="938">
        <f t="shared" si="25"/>
        <v>0</v>
      </c>
      <c r="AY50" s="938">
        <f t="shared" si="26"/>
        <v>0</v>
      </c>
      <c r="AZ50" s="938">
        <f t="shared" si="27"/>
        <v>0</v>
      </c>
      <c r="BA50" s="938">
        <f t="shared" si="28"/>
        <v>0</v>
      </c>
      <c r="BB50" s="938">
        <f t="shared" si="29"/>
        <v>0</v>
      </c>
      <c r="BC50" s="938" t="str">
        <f t="shared" si="30"/>
        <v/>
      </c>
      <c r="BD50" s="713">
        <f>'min. Düngung 22'!T51</f>
        <v>0</v>
      </c>
      <c r="BE50" s="938"/>
      <c r="BF50" s="938"/>
      <c r="BG50" s="938">
        <f t="shared" si="31"/>
        <v>0</v>
      </c>
      <c r="BH50" s="938">
        <f t="shared" si="32"/>
        <v>0</v>
      </c>
      <c r="BI50" s="938">
        <f t="shared" si="33"/>
        <v>0</v>
      </c>
      <c r="BJ50" s="938">
        <f t="shared" si="34"/>
        <v>0</v>
      </c>
      <c r="BK50" s="938">
        <f t="shared" si="35"/>
        <v>0</v>
      </c>
      <c r="BL50" s="938" t="str">
        <f t="shared" si="36"/>
        <v/>
      </c>
      <c r="BM50" s="713">
        <f>'min. Düngung 22'!W51</f>
        <v>0</v>
      </c>
      <c r="BN50" s="938"/>
      <c r="BO50" s="938"/>
      <c r="BP50" s="938">
        <f t="shared" si="37"/>
        <v>0</v>
      </c>
      <c r="BQ50" s="938">
        <f t="shared" si="38"/>
        <v>0</v>
      </c>
      <c r="BR50" s="938">
        <f t="shared" si="39"/>
        <v>0</v>
      </c>
      <c r="BS50" s="938">
        <f t="shared" si="40"/>
        <v>0</v>
      </c>
      <c r="BT50" s="938">
        <f t="shared" si="41"/>
        <v>0</v>
      </c>
      <c r="BU50" s="938" t="str">
        <f t="shared" si="42"/>
        <v/>
      </c>
      <c r="BV50" s="713">
        <f>'min. Düngung 22'!Z51</f>
        <v>0</v>
      </c>
      <c r="BW50" s="938"/>
      <c r="BX50" s="938"/>
      <c r="BY50" s="938">
        <f t="shared" si="43"/>
        <v>0</v>
      </c>
      <c r="BZ50" s="938">
        <f t="shared" si="44"/>
        <v>0</v>
      </c>
      <c r="CA50" s="938">
        <f t="shared" si="45"/>
        <v>0</v>
      </c>
      <c r="CB50" s="938">
        <f t="shared" si="46"/>
        <v>0</v>
      </c>
      <c r="CC50" s="938">
        <f t="shared" si="47"/>
        <v>0</v>
      </c>
      <c r="CD50" s="938" t="str">
        <f t="shared" si="48"/>
        <v/>
      </c>
      <c r="CE50" s="713">
        <f>'min. Düngung 22'!AC51</f>
        <v>0</v>
      </c>
      <c r="CF50" s="938"/>
      <c r="CG50" s="938"/>
      <c r="CH50" s="938">
        <f t="shared" si="49"/>
        <v>0</v>
      </c>
      <c r="CI50" s="938">
        <f t="shared" si="50"/>
        <v>0</v>
      </c>
      <c r="CJ50" s="938">
        <f t="shared" si="51"/>
        <v>0</v>
      </c>
      <c r="CK50" s="938">
        <f t="shared" si="52"/>
        <v>0</v>
      </c>
      <c r="CL50" s="938">
        <f t="shared" si="53"/>
        <v>0</v>
      </c>
      <c r="CM50" s="938" t="str">
        <f t="shared" si="54"/>
        <v/>
      </c>
      <c r="CN50" s="713">
        <f>'min. Düngung 22'!AF51</f>
        <v>0</v>
      </c>
      <c r="CO50" s="938"/>
      <c r="CP50" s="938"/>
      <c r="CQ50" s="938">
        <f t="shared" si="55"/>
        <v>0</v>
      </c>
      <c r="CR50" s="938">
        <f t="shared" si="56"/>
        <v>0</v>
      </c>
      <c r="CS50" s="938">
        <f t="shared" si="57"/>
        <v>0</v>
      </c>
      <c r="CT50" s="938">
        <f t="shared" si="58"/>
        <v>0</v>
      </c>
      <c r="CU50" s="938">
        <f t="shared" si="59"/>
        <v>0</v>
      </c>
      <c r="CV50" s="938" t="str">
        <f t="shared" si="60"/>
        <v/>
      </c>
      <c r="CW50" s="713">
        <f>'min. Düngung 22'!AI51</f>
        <v>0</v>
      </c>
      <c r="CX50" s="938"/>
      <c r="CY50" s="938"/>
      <c r="CZ50" s="938">
        <f t="shared" si="61"/>
        <v>0</v>
      </c>
      <c r="DA50" s="938">
        <f t="shared" si="62"/>
        <v>0</v>
      </c>
      <c r="DB50" s="938">
        <f t="shared" si="63"/>
        <v>0</v>
      </c>
      <c r="DC50" s="938">
        <f t="shared" si="64"/>
        <v>0</v>
      </c>
      <c r="DD50" s="938">
        <f t="shared" si="65"/>
        <v>0</v>
      </c>
      <c r="DE50" s="938" t="str">
        <f t="shared" si="66"/>
        <v/>
      </c>
      <c r="DF50" s="713">
        <f>'min. Düngung 22'!AL51</f>
        <v>0</v>
      </c>
      <c r="DG50" s="938"/>
      <c r="DH50" s="938"/>
      <c r="DI50" s="938">
        <f t="shared" si="67"/>
        <v>0</v>
      </c>
      <c r="DJ50" s="938">
        <f t="shared" si="68"/>
        <v>0</v>
      </c>
      <c r="DK50" s="938">
        <f t="shared" si="69"/>
        <v>0</v>
      </c>
      <c r="DL50" s="938">
        <f t="shared" si="70"/>
        <v>0</v>
      </c>
      <c r="DM50" s="938">
        <f t="shared" si="71"/>
        <v>0</v>
      </c>
      <c r="DN50" s="938" t="str">
        <f t="shared" si="72"/>
        <v/>
      </c>
      <c r="DO50" s="713">
        <f>'min. Düngung 22'!AO51</f>
        <v>0</v>
      </c>
      <c r="DP50" s="938"/>
      <c r="DQ50" s="938"/>
      <c r="DR50" s="938">
        <f t="shared" si="73"/>
        <v>0</v>
      </c>
      <c r="DS50" s="938">
        <f t="shared" si="74"/>
        <v>0</v>
      </c>
      <c r="DT50" s="938">
        <f t="shared" si="75"/>
        <v>0</v>
      </c>
      <c r="DU50" s="938">
        <f t="shared" si="76"/>
        <v>0</v>
      </c>
      <c r="DV50" s="938">
        <f t="shared" si="77"/>
        <v>0</v>
      </c>
      <c r="DW50" s="938" t="str">
        <f t="shared" si="78"/>
        <v/>
      </c>
      <c r="DX50" s="713">
        <f>'min. Düngung 22'!AR51</f>
        <v>0</v>
      </c>
      <c r="DY50" s="938"/>
      <c r="DZ50" s="938"/>
      <c r="EA50" s="938">
        <f t="shared" si="79"/>
        <v>0</v>
      </c>
      <c r="EB50" s="938">
        <f t="shared" si="80"/>
        <v>0</v>
      </c>
      <c r="EC50" s="938">
        <f t="shared" si="81"/>
        <v>0</v>
      </c>
      <c r="ED50" s="938">
        <f t="shared" si="82"/>
        <v>0</v>
      </c>
      <c r="EE50" s="938">
        <f t="shared" si="83"/>
        <v>0</v>
      </c>
      <c r="EF50" s="938" t="str">
        <f t="shared" si="84"/>
        <v/>
      </c>
      <c r="EG50" s="713">
        <f>'min. Düngung 22'!AU51</f>
        <v>0</v>
      </c>
      <c r="EH50" s="938"/>
      <c r="EI50" s="938"/>
      <c r="EJ50" s="938">
        <f t="shared" si="85"/>
        <v>0</v>
      </c>
      <c r="EK50" s="938">
        <f t="shared" si="86"/>
        <v>0</v>
      </c>
      <c r="EL50" s="938">
        <f t="shared" si="87"/>
        <v>0</v>
      </c>
      <c r="EM50" s="938">
        <f t="shared" si="88"/>
        <v>0</v>
      </c>
      <c r="EN50" s="938">
        <f t="shared" si="89"/>
        <v>0</v>
      </c>
      <c r="EO50" s="938" t="str">
        <f t="shared" si="90"/>
        <v/>
      </c>
      <c r="EP50" s="713">
        <f>'min. Düngung 22'!AX51</f>
        <v>0</v>
      </c>
      <c r="EQ50" s="938"/>
      <c r="ER50" s="938"/>
      <c r="ES50" s="938">
        <f t="shared" si="91"/>
        <v>0</v>
      </c>
      <c r="ET50" s="938">
        <f t="shared" si="92"/>
        <v>0</v>
      </c>
      <c r="EU50" s="938">
        <f t="shared" si="93"/>
        <v>0</v>
      </c>
      <c r="EV50" s="938">
        <f t="shared" si="94"/>
        <v>0</v>
      </c>
      <c r="EW50" s="938">
        <f t="shared" si="95"/>
        <v>0</v>
      </c>
      <c r="EX50" s="938" t="str">
        <f t="shared" si="96"/>
        <v/>
      </c>
      <c r="EY50" s="713">
        <f>'min. Düngung 22'!BA51</f>
        <v>0</v>
      </c>
      <c r="EZ50" s="938"/>
      <c r="FA50" s="938"/>
      <c r="FB50" s="938">
        <f t="shared" si="97"/>
        <v>0</v>
      </c>
      <c r="FC50" s="938">
        <f t="shared" si="98"/>
        <v>0</v>
      </c>
      <c r="FD50" s="938">
        <f t="shared" si="99"/>
        <v>0</v>
      </c>
      <c r="FE50" s="938">
        <f t="shared" si="100"/>
        <v>0</v>
      </c>
      <c r="FF50" s="938">
        <f t="shared" si="101"/>
        <v>0</v>
      </c>
      <c r="FG50" s="938" t="str">
        <f t="shared" si="102"/>
        <v/>
      </c>
      <c r="FH50" s="713">
        <f>'min. Düngung 22'!BD51</f>
        <v>0</v>
      </c>
      <c r="FI50" s="938"/>
      <c r="FJ50" s="938"/>
      <c r="FK50" s="938">
        <f t="shared" si="103"/>
        <v>0</v>
      </c>
      <c r="FL50" s="938">
        <f t="shared" si="104"/>
        <v>0</v>
      </c>
      <c r="FM50" s="938">
        <f t="shared" si="105"/>
        <v>0</v>
      </c>
      <c r="FN50" s="938">
        <f t="shared" si="106"/>
        <v>0</v>
      </c>
      <c r="FO50" s="938">
        <f t="shared" si="107"/>
        <v>0</v>
      </c>
      <c r="FP50" s="938" t="str">
        <f t="shared" si="108"/>
        <v/>
      </c>
      <c r="FQ50" s="713">
        <f>'min. Düngung 22'!BG51</f>
        <v>0</v>
      </c>
      <c r="FR50" s="938"/>
      <c r="FS50" s="938"/>
      <c r="FT50" s="938">
        <f t="shared" si="109"/>
        <v>0</v>
      </c>
      <c r="FU50" s="938">
        <f t="shared" si="110"/>
        <v>0</v>
      </c>
      <c r="FV50" s="938">
        <f t="shared" si="111"/>
        <v>0</v>
      </c>
      <c r="FW50" s="938">
        <f t="shared" si="112"/>
        <v>0</v>
      </c>
      <c r="FX50" s="938">
        <f t="shared" si="113"/>
        <v>0</v>
      </c>
      <c r="FY50" s="938" t="str">
        <f t="shared" si="114"/>
        <v/>
      </c>
      <c r="FZ50" s="713">
        <f>'min. Düngung 22'!BJ51</f>
        <v>0</v>
      </c>
      <c r="GA50" s="938"/>
      <c r="GB50" s="938"/>
      <c r="GC50" s="938">
        <f t="shared" si="115"/>
        <v>0</v>
      </c>
      <c r="GD50" s="938">
        <f t="shared" si="116"/>
        <v>0</v>
      </c>
      <c r="GE50" s="938">
        <f t="shared" si="117"/>
        <v>0</v>
      </c>
      <c r="GF50" s="938">
        <f t="shared" si="118"/>
        <v>0</v>
      </c>
      <c r="GG50" s="938">
        <f t="shared" si="119"/>
        <v>0</v>
      </c>
      <c r="GH50" s="938" t="str">
        <f t="shared" si="120"/>
        <v/>
      </c>
      <c r="GI50" s="713">
        <f>'min. Düngung 22'!BM51</f>
        <v>0</v>
      </c>
      <c r="GJ50" s="938"/>
      <c r="GK50" s="938"/>
      <c r="GL50" s="938">
        <f t="shared" si="121"/>
        <v>0</v>
      </c>
      <c r="GM50" s="938">
        <f t="shared" si="122"/>
        <v>0</v>
      </c>
      <c r="GN50" s="938">
        <f t="shared" si="123"/>
        <v>0</v>
      </c>
      <c r="GO50" s="938">
        <f t="shared" si="124"/>
        <v>0</v>
      </c>
      <c r="GP50" s="938">
        <f t="shared" si="125"/>
        <v>0</v>
      </c>
      <c r="GQ50" s="938" t="str">
        <f t="shared" si="126"/>
        <v/>
      </c>
      <c r="GR50" s="713">
        <f>'min. Düngung 22'!BP51</f>
        <v>0</v>
      </c>
      <c r="GS50" s="938"/>
      <c r="GT50" s="938"/>
      <c r="GU50" s="938">
        <f t="shared" si="127"/>
        <v>0</v>
      </c>
      <c r="GV50" s="938">
        <f t="shared" si="128"/>
        <v>0</v>
      </c>
      <c r="GW50" s="938">
        <f t="shared" si="129"/>
        <v>0</v>
      </c>
      <c r="GX50" s="938">
        <f t="shared" si="130"/>
        <v>0</v>
      </c>
      <c r="GY50" s="938">
        <f t="shared" si="131"/>
        <v>0</v>
      </c>
      <c r="GZ50" s="938" t="str">
        <f t="shared" si="132"/>
        <v/>
      </c>
      <c r="HA50" s="713">
        <f>'min. Düngung 22'!BS51</f>
        <v>0</v>
      </c>
      <c r="HB50" s="938"/>
      <c r="HC50" s="938"/>
      <c r="HD50" s="938">
        <f t="shared" si="133"/>
        <v>0</v>
      </c>
      <c r="HE50" s="938">
        <f t="shared" si="134"/>
        <v>0</v>
      </c>
      <c r="HF50" s="938">
        <f t="shared" si="135"/>
        <v>0</v>
      </c>
      <c r="HG50" s="938">
        <f t="shared" si="136"/>
        <v>0</v>
      </c>
      <c r="HH50" s="938">
        <f t="shared" si="137"/>
        <v>0</v>
      </c>
      <c r="HI50" s="938" t="str">
        <f t="shared" si="138"/>
        <v/>
      </c>
      <c r="HJ50" s="713">
        <f>'min. Düngung 22'!BV51</f>
        <v>0</v>
      </c>
      <c r="HK50" s="938"/>
      <c r="HL50" s="938"/>
      <c r="HM50" s="938">
        <f t="shared" si="139"/>
        <v>0</v>
      </c>
      <c r="HN50" s="938">
        <f t="shared" si="140"/>
        <v>0</v>
      </c>
      <c r="HO50" s="938">
        <f t="shared" si="141"/>
        <v>0</v>
      </c>
      <c r="HP50" s="938">
        <f t="shared" si="142"/>
        <v>0</v>
      </c>
      <c r="HQ50" s="938">
        <f t="shared" si="143"/>
        <v>0</v>
      </c>
      <c r="HR50" s="938" t="str">
        <f t="shared" si="144"/>
        <v/>
      </c>
      <c r="HS50" s="713">
        <f>'min. Düngung 22'!BY51</f>
        <v>0</v>
      </c>
      <c r="HT50" s="938"/>
      <c r="HU50" s="938"/>
      <c r="HV50" s="938">
        <f t="shared" si="145"/>
        <v>0</v>
      </c>
      <c r="HW50" s="938">
        <f t="shared" si="146"/>
        <v>0</v>
      </c>
      <c r="HX50" s="938">
        <f t="shared" si="147"/>
        <v>0</v>
      </c>
      <c r="HY50" s="938">
        <f t="shared" si="148"/>
        <v>0</v>
      </c>
      <c r="HZ50" s="938">
        <f t="shared" si="149"/>
        <v>0</v>
      </c>
      <c r="IA50" s="938" t="str">
        <f t="shared" si="150"/>
        <v/>
      </c>
      <c r="IB50" s="713">
        <f>'min. Düngung 22'!CB51</f>
        <v>0</v>
      </c>
      <c r="IC50" s="938"/>
      <c r="ID50" s="938"/>
      <c r="IE50" s="938">
        <f t="shared" si="151"/>
        <v>0</v>
      </c>
      <c r="IF50" s="938">
        <f t="shared" si="152"/>
        <v>0</v>
      </c>
      <c r="IG50" s="938">
        <f t="shared" si="153"/>
        <v>0</v>
      </c>
      <c r="IH50" s="938">
        <f t="shared" si="154"/>
        <v>0</v>
      </c>
      <c r="II50" s="938">
        <f t="shared" si="155"/>
        <v>0</v>
      </c>
      <c r="IJ50" s="938" t="str">
        <f t="shared" si="156"/>
        <v/>
      </c>
      <c r="IK50" s="713">
        <f>'min. Düngung 22'!CE51</f>
        <v>0</v>
      </c>
      <c r="IL50" s="938"/>
      <c r="IM50" s="938"/>
      <c r="IN50" s="938">
        <f t="shared" si="157"/>
        <v>0</v>
      </c>
      <c r="IO50" s="938">
        <f t="shared" si="158"/>
        <v>0</v>
      </c>
      <c r="IP50" s="938">
        <f t="shared" si="159"/>
        <v>0</v>
      </c>
      <c r="IQ50" s="938">
        <f t="shared" si="160"/>
        <v>0</v>
      </c>
      <c r="IR50" s="938">
        <f t="shared" si="161"/>
        <v>0</v>
      </c>
      <c r="IS50" s="938" t="str">
        <f t="shared" si="162"/>
        <v/>
      </c>
      <c r="IT50" s="713">
        <f>'min. Düngung 22'!CH51</f>
        <v>0</v>
      </c>
      <c r="IU50" s="938"/>
      <c r="IV50" s="938"/>
      <c r="IW50" s="938">
        <f t="shared" si="163"/>
        <v>0</v>
      </c>
      <c r="IX50" s="938">
        <f t="shared" si="164"/>
        <v>0</v>
      </c>
      <c r="IY50" s="938">
        <f t="shared" si="165"/>
        <v>0</v>
      </c>
      <c r="IZ50" s="938">
        <f t="shared" si="166"/>
        <v>0</v>
      </c>
      <c r="JA50" s="938">
        <f t="shared" si="167"/>
        <v>0</v>
      </c>
      <c r="JB50" s="938" t="str">
        <f t="shared" si="168"/>
        <v/>
      </c>
      <c r="JC50" s="713">
        <f>'min. Düngung 22'!CK51</f>
        <v>0</v>
      </c>
      <c r="JD50" s="938"/>
      <c r="JE50" s="938"/>
      <c r="JF50" s="938">
        <f t="shared" si="169"/>
        <v>0</v>
      </c>
      <c r="JG50" s="938">
        <f t="shared" si="170"/>
        <v>0</v>
      </c>
      <c r="JH50" s="938">
        <f t="shared" si="171"/>
        <v>0</v>
      </c>
      <c r="JI50" s="938">
        <f t="shared" si="172"/>
        <v>0</v>
      </c>
      <c r="JJ50" s="938">
        <f t="shared" si="173"/>
        <v>0</v>
      </c>
      <c r="JK50" s="938" t="str">
        <f t="shared" si="174"/>
        <v/>
      </c>
      <c r="JL50" s="713">
        <f>'min. Düngung 22'!CN51</f>
        <v>0</v>
      </c>
      <c r="JM50" s="938"/>
      <c r="JN50" s="938"/>
      <c r="JO50" s="938">
        <f t="shared" si="175"/>
        <v>0</v>
      </c>
      <c r="JP50" s="938">
        <f t="shared" si="176"/>
        <v>0</v>
      </c>
      <c r="JQ50" s="938">
        <f t="shared" si="177"/>
        <v>0</v>
      </c>
      <c r="JR50" s="938">
        <f t="shared" si="178"/>
        <v>0</v>
      </c>
      <c r="JS50" s="938">
        <f t="shared" si="179"/>
        <v>0</v>
      </c>
      <c r="JT50" s="938" t="str">
        <f t="shared" si="180"/>
        <v/>
      </c>
      <c r="JU50" s="713">
        <f>'min. Düngung 22'!CQ51</f>
        <v>0</v>
      </c>
      <c r="JV50" s="938"/>
      <c r="JW50" s="938"/>
      <c r="JX50" s="938">
        <f t="shared" si="181"/>
        <v>0</v>
      </c>
      <c r="JY50" s="938">
        <f t="shared" si="182"/>
        <v>0</v>
      </c>
      <c r="JZ50" s="938">
        <f t="shared" si="183"/>
        <v>0</v>
      </c>
      <c r="KA50" s="938">
        <f t="shared" si="184"/>
        <v>0</v>
      </c>
      <c r="KB50" s="938">
        <f t="shared" si="185"/>
        <v>0</v>
      </c>
      <c r="KC50" s="938" t="str">
        <f t="shared" si="186"/>
        <v/>
      </c>
      <c r="KE50" s="938"/>
      <c r="KF50" s="938" t="str">
        <f>IF(AND($F50=2,$G50=1),"",IF(OR($Q50&gt;0,$O50&gt;60),$KF$7,IF(I50=70,"",IF(AND(I50=80,R50+'#orgDung'!AC53&lt;60,K50=1,OR(C50=2,'#BerechnungDBE'!AH44=4)),"",IF(R50&gt;0,$KF$7,"")))))</f>
        <v/>
      </c>
      <c r="KG50" s="938" t="str">
        <f>IF(AND(P50&gt;'#BerechnungDBE'!BJ44,P50&gt;0),'#minDung'!$KG$7,"")</f>
        <v/>
      </c>
      <c r="KH50" s="938" t="str">
        <f>IF(AND(I50=70,R50&gt;'#BerechnungDBE'!CR44),'#minDung'!$KH$7,"")</f>
        <v/>
      </c>
      <c r="KI50" s="938" t="str">
        <f>IF('#BerechnungDBE'!P44&lt;4,"",IF(AND('#BerechnungDBE'!BZ44&gt;0,N50&gt;0),$KI$7,""))</f>
        <v/>
      </c>
      <c r="KJ50" s="938" t="str">
        <f t="shared" si="5"/>
        <v/>
      </c>
    </row>
    <row r="51" spans="1:296" s="875" customFormat="1" hidden="1" x14ac:dyDescent="0.2">
      <c r="A51" s="875">
        <f>'Flächen u. Kulturen'!A50</f>
        <v>41</v>
      </c>
      <c r="B51" s="734">
        <f>'#BerechnungDBE'!L45</f>
        <v>0</v>
      </c>
      <c r="C51" s="46">
        <f>'#orgDung'!C54</f>
        <v>1</v>
      </c>
      <c r="D51" s="875">
        <f>'#BerechnungDBE'!T45</f>
        <v>2</v>
      </c>
      <c r="E51" s="875" t="str">
        <f>'Flächen u. Kulturen'!E50</f>
        <v>x</v>
      </c>
      <c r="F51" s="52">
        <f>'#BerechnungDBE'!N45</f>
        <v>1</v>
      </c>
      <c r="G51" s="52">
        <f>'#BerechnungDBE'!O45</f>
        <v>1</v>
      </c>
      <c r="H51" s="505">
        <f>'#orgDung'!J54</f>
        <v>2</v>
      </c>
      <c r="I51" s="875">
        <f>'#BerechnungDBE'!AF45</f>
        <v>0</v>
      </c>
      <c r="J51" s="875">
        <f>'#orgDung'!M54</f>
        <v>0</v>
      </c>
      <c r="K51" s="875">
        <f>'#BerechnungDBE'!AG45</f>
        <v>0</v>
      </c>
      <c r="M51" s="875">
        <f t="shared" si="187"/>
        <v>0</v>
      </c>
      <c r="N51" s="875">
        <f t="shared" si="188"/>
        <v>0</v>
      </c>
      <c r="O51" s="875">
        <f t="shared" si="189"/>
        <v>0</v>
      </c>
      <c r="P51" s="875">
        <f t="shared" si="190"/>
        <v>0</v>
      </c>
      <c r="Q51" s="938">
        <f t="shared" si="6"/>
        <v>0</v>
      </c>
      <c r="R51" s="875">
        <f t="shared" si="191"/>
        <v>0</v>
      </c>
      <c r="T51" s="713">
        <f>'min. Düngung 22'!H52</f>
        <v>0</v>
      </c>
      <c r="W51" s="875">
        <f t="shared" si="7"/>
        <v>0</v>
      </c>
      <c r="X51" s="875">
        <f t="shared" si="8"/>
        <v>0</v>
      </c>
      <c r="Y51" s="875">
        <f t="shared" si="9"/>
        <v>0</v>
      </c>
      <c r="Z51" s="875">
        <f t="shared" si="10"/>
        <v>0</v>
      </c>
      <c r="AA51" s="875">
        <f t="shared" si="11"/>
        <v>0</v>
      </c>
      <c r="AB51" s="875" t="str">
        <f t="shared" si="12"/>
        <v/>
      </c>
      <c r="AC51" s="713">
        <f>'min. Düngung 22'!K52</f>
        <v>0</v>
      </c>
      <c r="AD51" s="938"/>
      <c r="AE51" s="938"/>
      <c r="AF51" s="938">
        <f t="shared" si="13"/>
        <v>0</v>
      </c>
      <c r="AG51" s="938">
        <f t="shared" si="14"/>
        <v>0</v>
      </c>
      <c r="AH51" s="938">
        <f t="shared" si="15"/>
        <v>0</v>
      </c>
      <c r="AI51" s="938">
        <f t="shared" si="16"/>
        <v>0</v>
      </c>
      <c r="AJ51" s="938">
        <f t="shared" si="17"/>
        <v>0</v>
      </c>
      <c r="AK51" s="938">
        <f t="shared" si="18"/>
        <v>0</v>
      </c>
      <c r="AL51" s="713">
        <f>'min. Düngung 22'!N52</f>
        <v>0</v>
      </c>
      <c r="AM51" s="938"/>
      <c r="AN51" s="938"/>
      <c r="AO51" s="938">
        <f t="shared" si="19"/>
        <v>0</v>
      </c>
      <c r="AP51" s="938">
        <f t="shared" si="20"/>
        <v>0</v>
      </c>
      <c r="AQ51" s="938">
        <f t="shared" si="21"/>
        <v>0</v>
      </c>
      <c r="AR51" s="938">
        <f t="shared" si="22"/>
        <v>0</v>
      </c>
      <c r="AS51" s="938">
        <f t="shared" si="23"/>
        <v>0</v>
      </c>
      <c r="AT51" s="938" t="str">
        <f t="shared" si="24"/>
        <v/>
      </c>
      <c r="AU51" s="713">
        <f>'min. Düngung 22'!Q52</f>
        <v>0</v>
      </c>
      <c r="AV51" s="938"/>
      <c r="AW51" s="938"/>
      <c r="AX51" s="938">
        <f t="shared" si="25"/>
        <v>0</v>
      </c>
      <c r="AY51" s="938">
        <f t="shared" si="26"/>
        <v>0</v>
      </c>
      <c r="AZ51" s="938">
        <f t="shared" si="27"/>
        <v>0</v>
      </c>
      <c r="BA51" s="938">
        <f t="shared" si="28"/>
        <v>0</v>
      </c>
      <c r="BB51" s="938">
        <f t="shared" si="29"/>
        <v>0</v>
      </c>
      <c r="BC51" s="938" t="str">
        <f t="shared" si="30"/>
        <v/>
      </c>
      <c r="BD51" s="713">
        <f>'min. Düngung 22'!T52</f>
        <v>0</v>
      </c>
      <c r="BE51" s="938"/>
      <c r="BF51" s="938"/>
      <c r="BG51" s="938">
        <f t="shared" si="31"/>
        <v>0</v>
      </c>
      <c r="BH51" s="938">
        <f t="shared" si="32"/>
        <v>0</v>
      </c>
      <c r="BI51" s="938">
        <f t="shared" si="33"/>
        <v>0</v>
      </c>
      <c r="BJ51" s="938">
        <f t="shared" si="34"/>
        <v>0</v>
      </c>
      <c r="BK51" s="938">
        <f t="shared" si="35"/>
        <v>0</v>
      </c>
      <c r="BL51" s="938" t="str">
        <f t="shared" si="36"/>
        <v/>
      </c>
      <c r="BM51" s="713">
        <f>'min. Düngung 22'!W52</f>
        <v>0</v>
      </c>
      <c r="BN51" s="938"/>
      <c r="BO51" s="938"/>
      <c r="BP51" s="938">
        <f t="shared" si="37"/>
        <v>0</v>
      </c>
      <c r="BQ51" s="938">
        <f t="shared" si="38"/>
        <v>0</v>
      </c>
      <c r="BR51" s="938">
        <f t="shared" si="39"/>
        <v>0</v>
      </c>
      <c r="BS51" s="938">
        <f t="shared" si="40"/>
        <v>0</v>
      </c>
      <c r="BT51" s="938">
        <f t="shared" si="41"/>
        <v>0</v>
      </c>
      <c r="BU51" s="938" t="str">
        <f t="shared" si="42"/>
        <v/>
      </c>
      <c r="BV51" s="713">
        <f>'min. Düngung 22'!Z52</f>
        <v>0</v>
      </c>
      <c r="BW51" s="938"/>
      <c r="BX51" s="938"/>
      <c r="BY51" s="938">
        <f t="shared" si="43"/>
        <v>0</v>
      </c>
      <c r="BZ51" s="938">
        <f t="shared" si="44"/>
        <v>0</v>
      </c>
      <c r="CA51" s="938">
        <f t="shared" si="45"/>
        <v>0</v>
      </c>
      <c r="CB51" s="938">
        <f t="shared" si="46"/>
        <v>0</v>
      </c>
      <c r="CC51" s="938">
        <f t="shared" si="47"/>
        <v>0</v>
      </c>
      <c r="CD51" s="938" t="str">
        <f t="shared" si="48"/>
        <v/>
      </c>
      <c r="CE51" s="713">
        <f>'min. Düngung 22'!AC52</f>
        <v>0</v>
      </c>
      <c r="CF51" s="938"/>
      <c r="CG51" s="938"/>
      <c r="CH51" s="938">
        <f t="shared" si="49"/>
        <v>0</v>
      </c>
      <c r="CI51" s="938">
        <f t="shared" si="50"/>
        <v>0</v>
      </c>
      <c r="CJ51" s="938">
        <f t="shared" si="51"/>
        <v>0</v>
      </c>
      <c r="CK51" s="938">
        <f t="shared" si="52"/>
        <v>0</v>
      </c>
      <c r="CL51" s="938">
        <f t="shared" si="53"/>
        <v>0</v>
      </c>
      <c r="CM51" s="938" t="str">
        <f t="shared" si="54"/>
        <v/>
      </c>
      <c r="CN51" s="713">
        <f>'min. Düngung 22'!AF52</f>
        <v>0</v>
      </c>
      <c r="CO51" s="938"/>
      <c r="CP51" s="938"/>
      <c r="CQ51" s="938">
        <f t="shared" si="55"/>
        <v>0</v>
      </c>
      <c r="CR51" s="938">
        <f t="shared" si="56"/>
        <v>0</v>
      </c>
      <c r="CS51" s="938">
        <f t="shared" si="57"/>
        <v>0</v>
      </c>
      <c r="CT51" s="938">
        <f t="shared" si="58"/>
        <v>0</v>
      </c>
      <c r="CU51" s="938">
        <f t="shared" si="59"/>
        <v>0</v>
      </c>
      <c r="CV51" s="938" t="str">
        <f t="shared" si="60"/>
        <v/>
      </c>
      <c r="CW51" s="713">
        <f>'min. Düngung 22'!AI52</f>
        <v>0</v>
      </c>
      <c r="CX51" s="938"/>
      <c r="CY51" s="938"/>
      <c r="CZ51" s="938">
        <f t="shared" si="61"/>
        <v>0</v>
      </c>
      <c r="DA51" s="938">
        <f t="shared" si="62"/>
        <v>0</v>
      </c>
      <c r="DB51" s="938">
        <f t="shared" si="63"/>
        <v>0</v>
      </c>
      <c r="DC51" s="938">
        <f t="shared" si="64"/>
        <v>0</v>
      </c>
      <c r="DD51" s="938">
        <f t="shared" si="65"/>
        <v>0</v>
      </c>
      <c r="DE51" s="938" t="str">
        <f t="shared" si="66"/>
        <v/>
      </c>
      <c r="DF51" s="713">
        <f>'min. Düngung 22'!AL52</f>
        <v>0</v>
      </c>
      <c r="DG51" s="938"/>
      <c r="DH51" s="938"/>
      <c r="DI51" s="938">
        <f t="shared" si="67"/>
        <v>0</v>
      </c>
      <c r="DJ51" s="938">
        <f t="shared" si="68"/>
        <v>0</v>
      </c>
      <c r="DK51" s="938">
        <f t="shared" si="69"/>
        <v>0</v>
      </c>
      <c r="DL51" s="938">
        <f t="shared" si="70"/>
        <v>0</v>
      </c>
      <c r="DM51" s="938">
        <f t="shared" si="71"/>
        <v>0</v>
      </c>
      <c r="DN51" s="938" t="str">
        <f t="shared" si="72"/>
        <v/>
      </c>
      <c r="DO51" s="713">
        <f>'min. Düngung 22'!AO52</f>
        <v>0</v>
      </c>
      <c r="DP51" s="938"/>
      <c r="DQ51" s="938"/>
      <c r="DR51" s="938">
        <f t="shared" si="73"/>
        <v>0</v>
      </c>
      <c r="DS51" s="938">
        <f t="shared" si="74"/>
        <v>0</v>
      </c>
      <c r="DT51" s="938">
        <f t="shared" si="75"/>
        <v>0</v>
      </c>
      <c r="DU51" s="938">
        <f t="shared" si="76"/>
        <v>0</v>
      </c>
      <c r="DV51" s="938">
        <f t="shared" si="77"/>
        <v>0</v>
      </c>
      <c r="DW51" s="938" t="str">
        <f t="shared" si="78"/>
        <v/>
      </c>
      <c r="DX51" s="713">
        <f>'min. Düngung 22'!AR52</f>
        <v>0</v>
      </c>
      <c r="DY51" s="938"/>
      <c r="DZ51" s="938"/>
      <c r="EA51" s="938">
        <f t="shared" si="79"/>
        <v>0</v>
      </c>
      <c r="EB51" s="938">
        <f t="shared" si="80"/>
        <v>0</v>
      </c>
      <c r="EC51" s="938">
        <f t="shared" si="81"/>
        <v>0</v>
      </c>
      <c r="ED51" s="938">
        <f t="shared" si="82"/>
        <v>0</v>
      </c>
      <c r="EE51" s="938">
        <f t="shared" si="83"/>
        <v>0</v>
      </c>
      <c r="EF51" s="938" t="str">
        <f t="shared" si="84"/>
        <v/>
      </c>
      <c r="EG51" s="713">
        <f>'min. Düngung 22'!AU52</f>
        <v>0</v>
      </c>
      <c r="EH51" s="938"/>
      <c r="EI51" s="938"/>
      <c r="EJ51" s="938">
        <f t="shared" si="85"/>
        <v>0</v>
      </c>
      <c r="EK51" s="938">
        <f t="shared" si="86"/>
        <v>0</v>
      </c>
      <c r="EL51" s="938">
        <f t="shared" si="87"/>
        <v>0</v>
      </c>
      <c r="EM51" s="938">
        <f t="shared" si="88"/>
        <v>0</v>
      </c>
      <c r="EN51" s="938">
        <f t="shared" si="89"/>
        <v>0</v>
      </c>
      <c r="EO51" s="938" t="str">
        <f t="shared" si="90"/>
        <v/>
      </c>
      <c r="EP51" s="713">
        <f>'min. Düngung 22'!AX52</f>
        <v>0</v>
      </c>
      <c r="EQ51" s="938"/>
      <c r="ER51" s="938"/>
      <c r="ES51" s="938">
        <f t="shared" si="91"/>
        <v>0</v>
      </c>
      <c r="ET51" s="938">
        <f t="shared" si="92"/>
        <v>0</v>
      </c>
      <c r="EU51" s="938">
        <f t="shared" si="93"/>
        <v>0</v>
      </c>
      <c r="EV51" s="938">
        <f t="shared" si="94"/>
        <v>0</v>
      </c>
      <c r="EW51" s="938">
        <f t="shared" si="95"/>
        <v>0</v>
      </c>
      <c r="EX51" s="938" t="str">
        <f t="shared" si="96"/>
        <v/>
      </c>
      <c r="EY51" s="713">
        <f>'min. Düngung 22'!BA52</f>
        <v>0</v>
      </c>
      <c r="EZ51" s="938"/>
      <c r="FA51" s="938"/>
      <c r="FB51" s="938">
        <f t="shared" si="97"/>
        <v>0</v>
      </c>
      <c r="FC51" s="938">
        <f t="shared" si="98"/>
        <v>0</v>
      </c>
      <c r="FD51" s="938">
        <f t="shared" si="99"/>
        <v>0</v>
      </c>
      <c r="FE51" s="938">
        <f t="shared" si="100"/>
        <v>0</v>
      </c>
      <c r="FF51" s="938">
        <f t="shared" si="101"/>
        <v>0</v>
      </c>
      <c r="FG51" s="938" t="str">
        <f t="shared" si="102"/>
        <v/>
      </c>
      <c r="FH51" s="713">
        <f>'min. Düngung 22'!BD52</f>
        <v>0</v>
      </c>
      <c r="FI51" s="938"/>
      <c r="FJ51" s="938"/>
      <c r="FK51" s="938">
        <f t="shared" si="103"/>
        <v>0</v>
      </c>
      <c r="FL51" s="938">
        <f t="shared" si="104"/>
        <v>0</v>
      </c>
      <c r="FM51" s="938">
        <f t="shared" si="105"/>
        <v>0</v>
      </c>
      <c r="FN51" s="938">
        <f t="shared" si="106"/>
        <v>0</v>
      </c>
      <c r="FO51" s="938">
        <f t="shared" si="107"/>
        <v>0</v>
      </c>
      <c r="FP51" s="938" t="str">
        <f t="shared" si="108"/>
        <v/>
      </c>
      <c r="FQ51" s="713">
        <f>'min. Düngung 22'!BG52</f>
        <v>0</v>
      </c>
      <c r="FR51" s="938"/>
      <c r="FS51" s="938"/>
      <c r="FT51" s="938">
        <f t="shared" si="109"/>
        <v>0</v>
      </c>
      <c r="FU51" s="938">
        <f t="shared" si="110"/>
        <v>0</v>
      </c>
      <c r="FV51" s="938">
        <f t="shared" si="111"/>
        <v>0</v>
      </c>
      <c r="FW51" s="938">
        <f t="shared" si="112"/>
        <v>0</v>
      </c>
      <c r="FX51" s="938">
        <f t="shared" si="113"/>
        <v>0</v>
      </c>
      <c r="FY51" s="938" t="str">
        <f t="shared" si="114"/>
        <v/>
      </c>
      <c r="FZ51" s="713">
        <f>'min. Düngung 22'!BJ52</f>
        <v>0</v>
      </c>
      <c r="GA51" s="938"/>
      <c r="GB51" s="938"/>
      <c r="GC51" s="938">
        <f t="shared" si="115"/>
        <v>0</v>
      </c>
      <c r="GD51" s="938">
        <f t="shared" si="116"/>
        <v>0</v>
      </c>
      <c r="GE51" s="938">
        <f t="shared" si="117"/>
        <v>0</v>
      </c>
      <c r="GF51" s="938">
        <f t="shared" si="118"/>
        <v>0</v>
      </c>
      <c r="GG51" s="938">
        <f t="shared" si="119"/>
        <v>0</v>
      </c>
      <c r="GH51" s="938" t="str">
        <f t="shared" si="120"/>
        <v/>
      </c>
      <c r="GI51" s="713">
        <f>'min. Düngung 22'!BM52</f>
        <v>0</v>
      </c>
      <c r="GJ51" s="938"/>
      <c r="GK51" s="938"/>
      <c r="GL51" s="938">
        <f t="shared" si="121"/>
        <v>0</v>
      </c>
      <c r="GM51" s="938">
        <f t="shared" si="122"/>
        <v>0</v>
      </c>
      <c r="GN51" s="938">
        <f t="shared" si="123"/>
        <v>0</v>
      </c>
      <c r="GO51" s="938">
        <f t="shared" si="124"/>
        <v>0</v>
      </c>
      <c r="GP51" s="938">
        <f t="shared" si="125"/>
        <v>0</v>
      </c>
      <c r="GQ51" s="938" t="str">
        <f t="shared" si="126"/>
        <v/>
      </c>
      <c r="GR51" s="713">
        <f>'min. Düngung 22'!BP52</f>
        <v>0</v>
      </c>
      <c r="GS51" s="938"/>
      <c r="GT51" s="938"/>
      <c r="GU51" s="938">
        <f t="shared" si="127"/>
        <v>0</v>
      </c>
      <c r="GV51" s="938">
        <f t="shared" si="128"/>
        <v>0</v>
      </c>
      <c r="GW51" s="938">
        <f t="shared" si="129"/>
        <v>0</v>
      </c>
      <c r="GX51" s="938">
        <f t="shared" si="130"/>
        <v>0</v>
      </c>
      <c r="GY51" s="938">
        <f t="shared" si="131"/>
        <v>0</v>
      </c>
      <c r="GZ51" s="938" t="str">
        <f t="shared" si="132"/>
        <v/>
      </c>
      <c r="HA51" s="713">
        <f>'min. Düngung 22'!BS52</f>
        <v>0</v>
      </c>
      <c r="HB51" s="938"/>
      <c r="HC51" s="938"/>
      <c r="HD51" s="938">
        <f t="shared" si="133"/>
        <v>0</v>
      </c>
      <c r="HE51" s="938">
        <f t="shared" si="134"/>
        <v>0</v>
      </c>
      <c r="HF51" s="938">
        <f t="shared" si="135"/>
        <v>0</v>
      </c>
      <c r="HG51" s="938">
        <f t="shared" si="136"/>
        <v>0</v>
      </c>
      <c r="HH51" s="938">
        <f t="shared" si="137"/>
        <v>0</v>
      </c>
      <c r="HI51" s="938" t="str">
        <f t="shared" si="138"/>
        <v/>
      </c>
      <c r="HJ51" s="713">
        <f>'min. Düngung 22'!BV52</f>
        <v>0</v>
      </c>
      <c r="HK51" s="938"/>
      <c r="HL51" s="938"/>
      <c r="HM51" s="938">
        <f t="shared" si="139"/>
        <v>0</v>
      </c>
      <c r="HN51" s="938">
        <f t="shared" si="140"/>
        <v>0</v>
      </c>
      <c r="HO51" s="938">
        <f t="shared" si="141"/>
        <v>0</v>
      </c>
      <c r="HP51" s="938">
        <f t="shared" si="142"/>
        <v>0</v>
      </c>
      <c r="HQ51" s="938">
        <f t="shared" si="143"/>
        <v>0</v>
      </c>
      <c r="HR51" s="938" t="str">
        <f t="shared" si="144"/>
        <v/>
      </c>
      <c r="HS51" s="713">
        <f>'min. Düngung 22'!BY52</f>
        <v>0</v>
      </c>
      <c r="HT51" s="938"/>
      <c r="HU51" s="938"/>
      <c r="HV51" s="938">
        <f t="shared" si="145"/>
        <v>0</v>
      </c>
      <c r="HW51" s="938">
        <f t="shared" si="146"/>
        <v>0</v>
      </c>
      <c r="HX51" s="938">
        <f t="shared" si="147"/>
        <v>0</v>
      </c>
      <c r="HY51" s="938">
        <f t="shared" si="148"/>
        <v>0</v>
      </c>
      <c r="HZ51" s="938">
        <f t="shared" si="149"/>
        <v>0</v>
      </c>
      <c r="IA51" s="938" t="str">
        <f t="shared" si="150"/>
        <v/>
      </c>
      <c r="IB51" s="713">
        <f>'min. Düngung 22'!CB52</f>
        <v>0</v>
      </c>
      <c r="IC51" s="938"/>
      <c r="ID51" s="938"/>
      <c r="IE51" s="938">
        <f t="shared" si="151"/>
        <v>0</v>
      </c>
      <c r="IF51" s="938">
        <f t="shared" si="152"/>
        <v>0</v>
      </c>
      <c r="IG51" s="938">
        <f t="shared" si="153"/>
        <v>0</v>
      </c>
      <c r="IH51" s="938">
        <f t="shared" si="154"/>
        <v>0</v>
      </c>
      <c r="II51" s="938">
        <f t="shared" si="155"/>
        <v>0</v>
      </c>
      <c r="IJ51" s="938" t="str">
        <f t="shared" si="156"/>
        <v/>
      </c>
      <c r="IK51" s="713">
        <f>'min. Düngung 22'!CE52</f>
        <v>0</v>
      </c>
      <c r="IL51" s="938"/>
      <c r="IM51" s="938"/>
      <c r="IN51" s="938">
        <f t="shared" si="157"/>
        <v>0</v>
      </c>
      <c r="IO51" s="938">
        <f t="shared" si="158"/>
        <v>0</v>
      </c>
      <c r="IP51" s="938">
        <f t="shared" si="159"/>
        <v>0</v>
      </c>
      <c r="IQ51" s="938">
        <f t="shared" si="160"/>
        <v>0</v>
      </c>
      <c r="IR51" s="938">
        <f t="shared" si="161"/>
        <v>0</v>
      </c>
      <c r="IS51" s="938" t="str">
        <f t="shared" si="162"/>
        <v/>
      </c>
      <c r="IT51" s="713">
        <f>'min. Düngung 22'!CH52</f>
        <v>0</v>
      </c>
      <c r="IU51" s="938"/>
      <c r="IV51" s="938"/>
      <c r="IW51" s="938">
        <f t="shared" si="163"/>
        <v>0</v>
      </c>
      <c r="IX51" s="938">
        <f t="shared" si="164"/>
        <v>0</v>
      </c>
      <c r="IY51" s="938">
        <f t="shared" si="165"/>
        <v>0</v>
      </c>
      <c r="IZ51" s="938">
        <f t="shared" si="166"/>
        <v>0</v>
      </c>
      <c r="JA51" s="938">
        <f t="shared" si="167"/>
        <v>0</v>
      </c>
      <c r="JB51" s="938" t="str">
        <f t="shared" si="168"/>
        <v/>
      </c>
      <c r="JC51" s="713">
        <f>'min. Düngung 22'!CK52</f>
        <v>0</v>
      </c>
      <c r="JD51" s="938"/>
      <c r="JE51" s="938"/>
      <c r="JF51" s="938">
        <f t="shared" si="169"/>
        <v>0</v>
      </c>
      <c r="JG51" s="938">
        <f t="shared" si="170"/>
        <v>0</v>
      </c>
      <c r="JH51" s="938">
        <f t="shared" si="171"/>
        <v>0</v>
      </c>
      <c r="JI51" s="938">
        <f t="shared" si="172"/>
        <v>0</v>
      </c>
      <c r="JJ51" s="938">
        <f t="shared" si="173"/>
        <v>0</v>
      </c>
      <c r="JK51" s="938" t="str">
        <f t="shared" si="174"/>
        <v/>
      </c>
      <c r="JL51" s="713">
        <f>'min. Düngung 22'!CN52</f>
        <v>0</v>
      </c>
      <c r="JM51" s="938"/>
      <c r="JN51" s="938"/>
      <c r="JO51" s="938">
        <f t="shared" si="175"/>
        <v>0</v>
      </c>
      <c r="JP51" s="938">
        <f t="shared" si="176"/>
        <v>0</v>
      </c>
      <c r="JQ51" s="938">
        <f t="shared" si="177"/>
        <v>0</v>
      </c>
      <c r="JR51" s="938">
        <f t="shared" si="178"/>
        <v>0</v>
      </c>
      <c r="JS51" s="938">
        <f t="shared" si="179"/>
        <v>0</v>
      </c>
      <c r="JT51" s="938" t="str">
        <f t="shared" si="180"/>
        <v/>
      </c>
      <c r="JU51" s="713">
        <f>'min. Düngung 22'!CQ52</f>
        <v>0</v>
      </c>
      <c r="JV51" s="938"/>
      <c r="JW51" s="938"/>
      <c r="JX51" s="938">
        <f t="shared" si="181"/>
        <v>0</v>
      </c>
      <c r="JY51" s="938">
        <f t="shared" si="182"/>
        <v>0</v>
      </c>
      <c r="JZ51" s="938">
        <f t="shared" si="183"/>
        <v>0</v>
      </c>
      <c r="KA51" s="938">
        <f t="shared" si="184"/>
        <v>0</v>
      </c>
      <c r="KB51" s="938">
        <f t="shared" si="185"/>
        <v>0</v>
      </c>
      <c r="KC51" s="938" t="str">
        <f t="shared" si="186"/>
        <v/>
      </c>
      <c r="KE51" s="938"/>
      <c r="KF51" s="938" t="str">
        <f>IF(AND($F51=2,$G51=1),"",IF(OR($Q51&gt;0,$O51&gt;60),$KF$7,IF(I51=70,"",IF(AND(I51=80,R51+'#orgDung'!AC54&lt;60,K51=1,OR(C51=2,'#BerechnungDBE'!AH45=4)),"",IF(R51&gt;0,$KF$7,"")))))</f>
        <v/>
      </c>
      <c r="KG51" s="938" t="str">
        <f>IF(AND(P51&gt;'#BerechnungDBE'!BJ45,P51&gt;0),'#minDung'!$KG$7,"")</f>
        <v/>
      </c>
      <c r="KH51" s="938" t="str">
        <f>IF(AND(I51=70,R51&gt;'#BerechnungDBE'!CR45),'#minDung'!$KH$7,"")</f>
        <v/>
      </c>
      <c r="KI51" s="938" t="str">
        <f>IF('#BerechnungDBE'!P45&lt;4,"",IF(AND('#BerechnungDBE'!BZ45&gt;0,N51&gt;0),$KI$7,""))</f>
        <v/>
      </c>
      <c r="KJ51" s="938" t="str">
        <f t="shared" si="5"/>
        <v/>
      </c>
    </row>
    <row r="52" spans="1:296" s="875" customFormat="1" hidden="1" x14ac:dyDescent="0.2">
      <c r="A52" s="875">
        <f>'Flächen u. Kulturen'!A51</f>
        <v>42</v>
      </c>
      <c r="B52" s="734">
        <f>'#BerechnungDBE'!L46</f>
        <v>0</v>
      </c>
      <c r="C52" s="46">
        <f>'#orgDung'!C55</f>
        <v>1</v>
      </c>
      <c r="D52" s="875">
        <f>'#BerechnungDBE'!T46</f>
        <v>2</v>
      </c>
      <c r="E52" s="875" t="str">
        <f>'Flächen u. Kulturen'!E51</f>
        <v>x</v>
      </c>
      <c r="F52" s="52">
        <f>'#BerechnungDBE'!N46</f>
        <v>1</v>
      </c>
      <c r="G52" s="52">
        <f>'#BerechnungDBE'!O46</f>
        <v>1</v>
      </c>
      <c r="H52" s="505">
        <f>'#orgDung'!J55</f>
        <v>2</v>
      </c>
      <c r="I52" s="875">
        <f>'#BerechnungDBE'!AF46</f>
        <v>0</v>
      </c>
      <c r="J52" s="875">
        <f>'#orgDung'!M55</f>
        <v>0</v>
      </c>
      <c r="K52" s="875">
        <f>'#BerechnungDBE'!AG46</f>
        <v>0</v>
      </c>
      <c r="M52" s="875">
        <f t="shared" si="187"/>
        <v>0</v>
      </c>
      <c r="N52" s="875">
        <f t="shared" si="188"/>
        <v>0</v>
      </c>
      <c r="O52" s="875">
        <f t="shared" si="189"/>
        <v>0</v>
      </c>
      <c r="P52" s="875">
        <f t="shared" si="190"/>
        <v>0</v>
      </c>
      <c r="Q52" s="938">
        <f t="shared" si="6"/>
        <v>0</v>
      </c>
      <c r="R52" s="875">
        <f t="shared" si="191"/>
        <v>0</v>
      </c>
      <c r="T52" s="713">
        <f>'min. Düngung 22'!H53</f>
        <v>0</v>
      </c>
      <c r="W52" s="875">
        <f t="shared" si="7"/>
        <v>0</v>
      </c>
      <c r="X52" s="875">
        <f t="shared" si="8"/>
        <v>0</v>
      </c>
      <c r="Y52" s="875">
        <f t="shared" si="9"/>
        <v>0</v>
      </c>
      <c r="Z52" s="875">
        <f t="shared" si="10"/>
        <v>0</v>
      </c>
      <c r="AA52" s="875">
        <f t="shared" si="11"/>
        <v>0</v>
      </c>
      <c r="AB52" s="875" t="str">
        <f t="shared" si="12"/>
        <v/>
      </c>
      <c r="AC52" s="713">
        <f>'min. Düngung 22'!K53</f>
        <v>0</v>
      </c>
      <c r="AD52" s="938"/>
      <c r="AE52" s="938"/>
      <c r="AF52" s="938">
        <f t="shared" si="13"/>
        <v>0</v>
      </c>
      <c r="AG52" s="938">
        <f t="shared" si="14"/>
        <v>0</v>
      </c>
      <c r="AH52" s="938">
        <f t="shared" si="15"/>
        <v>0</v>
      </c>
      <c r="AI52" s="938">
        <f t="shared" si="16"/>
        <v>0</v>
      </c>
      <c r="AJ52" s="938">
        <f t="shared" si="17"/>
        <v>0</v>
      </c>
      <c r="AK52" s="938">
        <f t="shared" si="18"/>
        <v>0</v>
      </c>
      <c r="AL52" s="713">
        <f>'min. Düngung 22'!N53</f>
        <v>0</v>
      </c>
      <c r="AM52" s="938"/>
      <c r="AN52" s="938"/>
      <c r="AO52" s="938">
        <f t="shared" si="19"/>
        <v>0</v>
      </c>
      <c r="AP52" s="938">
        <f t="shared" si="20"/>
        <v>0</v>
      </c>
      <c r="AQ52" s="938">
        <f t="shared" si="21"/>
        <v>0</v>
      </c>
      <c r="AR52" s="938">
        <f t="shared" si="22"/>
        <v>0</v>
      </c>
      <c r="AS52" s="938">
        <f t="shared" si="23"/>
        <v>0</v>
      </c>
      <c r="AT52" s="938" t="str">
        <f t="shared" si="24"/>
        <v/>
      </c>
      <c r="AU52" s="713">
        <f>'min. Düngung 22'!Q53</f>
        <v>0</v>
      </c>
      <c r="AV52" s="938"/>
      <c r="AW52" s="938"/>
      <c r="AX52" s="938">
        <f t="shared" si="25"/>
        <v>0</v>
      </c>
      <c r="AY52" s="938">
        <f t="shared" si="26"/>
        <v>0</v>
      </c>
      <c r="AZ52" s="938">
        <f t="shared" si="27"/>
        <v>0</v>
      </c>
      <c r="BA52" s="938">
        <f t="shared" si="28"/>
        <v>0</v>
      </c>
      <c r="BB52" s="938">
        <f t="shared" si="29"/>
        <v>0</v>
      </c>
      <c r="BC52" s="938" t="str">
        <f t="shared" si="30"/>
        <v/>
      </c>
      <c r="BD52" s="713">
        <f>'min. Düngung 22'!T53</f>
        <v>0</v>
      </c>
      <c r="BE52" s="938"/>
      <c r="BF52" s="938"/>
      <c r="BG52" s="938">
        <f t="shared" si="31"/>
        <v>0</v>
      </c>
      <c r="BH52" s="938">
        <f t="shared" si="32"/>
        <v>0</v>
      </c>
      <c r="BI52" s="938">
        <f t="shared" si="33"/>
        <v>0</v>
      </c>
      <c r="BJ52" s="938">
        <f t="shared" si="34"/>
        <v>0</v>
      </c>
      <c r="BK52" s="938">
        <f t="shared" si="35"/>
        <v>0</v>
      </c>
      <c r="BL52" s="938" t="str">
        <f t="shared" si="36"/>
        <v/>
      </c>
      <c r="BM52" s="713">
        <f>'min. Düngung 22'!W53</f>
        <v>0</v>
      </c>
      <c r="BN52" s="938"/>
      <c r="BO52" s="938"/>
      <c r="BP52" s="938">
        <f t="shared" si="37"/>
        <v>0</v>
      </c>
      <c r="BQ52" s="938">
        <f t="shared" si="38"/>
        <v>0</v>
      </c>
      <c r="BR52" s="938">
        <f t="shared" si="39"/>
        <v>0</v>
      </c>
      <c r="BS52" s="938">
        <f t="shared" si="40"/>
        <v>0</v>
      </c>
      <c r="BT52" s="938">
        <f t="shared" si="41"/>
        <v>0</v>
      </c>
      <c r="BU52" s="938" t="str">
        <f t="shared" si="42"/>
        <v/>
      </c>
      <c r="BV52" s="713">
        <f>'min. Düngung 22'!Z53</f>
        <v>0</v>
      </c>
      <c r="BW52" s="938"/>
      <c r="BX52" s="938"/>
      <c r="BY52" s="938">
        <f t="shared" si="43"/>
        <v>0</v>
      </c>
      <c r="BZ52" s="938">
        <f t="shared" si="44"/>
        <v>0</v>
      </c>
      <c r="CA52" s="938">
        <f t="shared" si="45"/>
        <v>0</v>
      </c>
      <c r="CB52" s="938">
        <f t="shared" si="46"/>
        <v>0</v>
      </c>
      <c r="CC52" s="938">
        <f t="shared" si="47"/>
        <v>0</v>
      </c>
      <c r="CD52" s="938" t="str">
        <f t="shared" si="48"/>
        <v/>
      </c>
      <c r="CE52" s="713">
        <f>'min. Düngung 22'!AC53</f>
        <v>0</v>
      </c>
      <c r="CF52" s="938"/>
      <c r="CG52" s="938"/>
      <c r="CH52" s="938">
        <f t="shared" si="49"/>
        <v>0</v>
      </c>
      <c r="CI52" s="938">
        <f t="shared" si="50"/>
        <v>0</v>
      </c>
      <c r="CJ52" s="938">
        <f t="shared" si="51"/>
        <v>0</v>
      </c>
      <c r="CK52" s="938">
        <f t="shared" si="52"/>
        <v>0</v>
      </c>
      <c r="CL52" s="938">
        <f t="shared" si="53"/>
        <v>0</v>
      </c>
      <c r="CM52" s="938" t="str">
        <f t="shared" si="54"/>
        <v/>
      </c>
      <c r="CN52" s="713">
        <f>'min. Düngung 22'!AF53</f>
        <v>0</v>
      </c>
      <c r="CO52" s="938"/>
      <c r="CP52" s="938"/>
      <c r="CQ52" s="938">
        <f t="shared" si="55"/>
        <v>0</v>
      </c>
      <c r="CR52" s="938">
        <f t="shared" si="56"/>
        <v>0</v>
      </c>
      <c r="CS52" s="938">
        <f t="shared" si="57"/>
        <v>0</v>
      </c>
      <c r="CT52" s="938">
        <f t="shared" si="58"/>
        <v>0</v>
      </c>
      <c r="CU52" s="938">
        <f t="shared" si="59"/>
        <v>0</v>
      </c>
      <c r="CV52" s="938" t="str">
        <f t="shared" si="60"/>
        <v/>
      </c>
      <c r="CW52" s="713">
        <f>'min. Düngung 22'!AI53</f>
        <v>0</v>
      </c>
      <c r="CX52" s="938"/>
      <c r="CY52" s="938"/>
      <c r="CZ52" s="938">
        <f t="shared" si="61"/>
        <v>0</v>
      </c>
      <c r="DA52" s="938">
        <f t="shared" si="62"/>
        <v>0</v>
      </c>
      <c r="DB52" s="938">
        <f t="shared" si="63"/>
        <v>0</v>
      </c>
      <c r="DC52" s="938">
        <f t="shared" si="64"/>
        <v>0</v>
      </c>
      <c r="DD52" s="938">
        <f t="shared" si="65"/>
        <v>0</v>
      </c>
      <c r="DE52" s="938" t="str">
        <f t="shared" si="66"/>
        <v/>
      </c>
      <c r="DF52" s="713">
        <f>'min. Düngung 22'!AL53</f>
        <v>0</v>
      </c>
      <c r="DG52" s="938"/>
      <c r="DH52" s="938"/>
      <c r="DI52" s="938">
        <f t="shared" si="67"/>
        <v>0</v>
      </c>
      <c r="DJ52" s="938">
        <f t="shared" si="68"/>
        <v>0</v>
      </c>
      <c r="DK52" s="938">
        <f t="shared" si="69"/>
        <v>0</v>
      </c>
      <c r="DL52" s="938">
        <f t="shared" si="70"/>
        <v>0</v>
      </c>
      <c r="DM52" s="938">
        <f t="shared" si="71"/>
        <v>0</v>
      </c>
      <c r="DN52" s="938" t="str">
        <f t="shared" si="72"/>
        <v/>
      </c>
      <c r="DO52" s="713">
        <f>'min. Düngung 22'!AO53</f>
        <v>0</v>
      </c>
      <c r="DP52" s="938"/>
      <c r="DQ52" s="938"/>
      <c r="DR52" s="938">
        <f t="shared" si="73"/>
        <v>0</v>
      </c>
      <c r="DS52" s="938">
        <f t="shared" si="74"/>
        <v>0</v>
      </c>
      <c r="DT52" s="938">
        <f t="shared" si="75"/>
        <v>0</v>
      </c>
      <c r="DU52" s="938">
        <f t="shared" si="76"/>
        <v>0</v>
      </c>
      <c r="DV52" s="938">
        <f t="shared" si="77"/>
        <v>0</v>
      </c>
      <c r="DW52" s="938" t="str">
        <f t="shared" si="78"/>
        <v/>
      </c>
      <c r="DX52" s="713">
        <f>'min. Düngung 22'!AR53</f>
        <v>0</v>
      </c>
      <c r="DY52" s="938"/>
      <c r="DZ52" s="938"/>
      <c r="EA52" s="938">
        <f t="shared" si="79"/>
        <v>0</v>
      </c>
      <c r="EB52" s="938">
        <f t="shared" si="80"/>
        <v>0</v>
      </c>
      <c r="EC52" s="938">
        <f t="shared" si="81"/>
        <v>0</v>
      </c>
      <c r="ED52" s="938">
        <f t="shared" si="82"/>
        <v>0</v>
      </c>
      <c r="EE52" s="938">
        <f t="shared" si="83"/>
        <v>0</v>
      </c>
      <c r="EF52" s="938" t="str">
        <f t="shared" si="84"/>
        <v/>
      </c>
      <c r="EG52" s="713">
        <f>'min. Düngung 22'!AU53</f>
        <v>0</v>
      </c>
      <c r="EH52" s="938"/>
      <c r="EI52" s="938"/>
      <c r="EJ52" s="938">
        <f t="shared" si="85"/>
        <v>0</v>
      </c>
      <c r="EK52" s="938">
        <f t="shared" si="86"/>
        <v>0</v>
      </c>
      <c r="EL52" s="938">
        <f t="shared" si="87"/>
        <v>0</v>
      </c>
      <c r="EM52" s="938">
        <f t="shared" si="88"/>
        <v>0</v>
      </c>
      <c r="EN52" s="938">
        <f t="shared" si="89"/>
        <v>0</v>
      </c>
      <c r="EO52" s="938" t="str">
        <f t="shared" si="90"/>
        <v/>
      </c>
      <c r="EP52" s="713">
        <f>'min. Düngung 22'!AX53</f>
        <v>0</v>
      </c>
      <c r="EQ52" s="938"/>
      <c r="ER52" s="938"/>
      <c r="ES52" s="938">
        <f t="shared" si="91"/>
        <v>0</v>
      </c>
      <c r="ET52" s="938">
        <f t="shared" si="92"/>
        <v>0</v>
      </c>
      <c r="EU52" s="938">
        <f t="shared" si="93"/>
        <v>0</v>
      </c>
      <c r="EV52" s="938">
        <f t="shared" si="94"/>
        <v>0</v>
      </c>
      <c r="EW52" s="938">
        <f t="shared" si="95"/>
        <v>0</v>
      </c>
      <c r="EX52" s="938" t="str">
        <f t="shared" si="96"/>
        <v/>
      </c>
      <c r="EY52" s="713">
        <f>'min. Düngung 22'!BA53</f>
        <v>0</v>
      </c>
      <c r="EZ52" s="938"/>
      <c r="FA52" s="938"/>
      <c r="FB52" s="938">
        <f t="shared" si="97"/>
        <v>0</v>
      </c>
      <c r="FC52" s="938">
        <f t="shared" si="98"/>
        <v>0</v>
      </c>
      <c r="FD52" s="938">
        <f t="shared" si="99"/>
        <v>0</v>
      </c>
      <c r="FE52" s="938">
        <f t="shared" si="100"/>
        <v>0</v>
      </c>
      <c r="FF52" s="938">
        <f t="shared" si="101"/>
        <v>0</v>
      </c>
      <c r="FG52" s="938" t="str">
        <f t="shared" si="102"/>
        <v/>
      </c>
      <c r="FH52" s="713">
        <f>'min. Düngung 22'!BD53</f>
        <v>0</v>
      </c>
      <c r="FI52" s="938"/>
      <c r="FJ52" s="938"/>
      <c r="FK52" s="938">
        <f t="shared" si="103"/>
        <v>0</v>
      </c>
      <c r="FL52" s="938">
        <f t="shared" si="104"/>
        <v>0</v>
      </c>
      <c r="FM52" s="938">
        <f t="shared" si="105"/>
        <v>0</v>
      </c>
      <c r="FN52" s="938">
        <f t="shared" si="106"/>
        <v>0</v>
      </c>
      <c r="FO52" s="938">
        <f t="shared" si="107"/>
        <v>0</v>
      </c>
      <c r="FP52" s="938" t="str">
        <f t="shared" si="108"/>
        <v/>
      </c>
      <c r="FQ52" s="713">
        <f>'min. Düngung 22'!BG53</f>
        <v>0</v>
      </c>
      <c r="FR52" s="938"/>
      <c r="FS52" s="938"/>
      <c r="FT52" s="938">
        <f t="shared" si="109"/>
        <v>0</v>
      </c>
      <c r="FU52" s="938">
        <f t="shared" si="110"/>
        <v>0</v>
      </c>
      <c r="FV52" s="938">
        <f t="shared" si="111"/>
        <v>0</v>
      </c>
      <c r="FW52" s="938">
        <f t="shared" si="112"/>
        <v>0</v>
      </c>
      <c r="FX52" s="938">
        <f t="shared" si="113"/>
        <v>0</v>
      </c>
      <c r="FY52" s="938" t="str">
        <f t="shared" si="114"/>
        <v/>
      </c>
      <c r="FZ52" s="713">
        <f>'min. Düngung 22'!BJ53</f>
        <v>0</v>
      </c>
      <c r="GA52" s="938"/>
      <c r="GB52" s="938"/>
      <c r="GC52" s="938">
        <f t="shared" si="115"/>
        <v>0</v>
      </c>
      <c r="GD52" s="938">
        <f t="shared" si="116"/>
        <v>0</v>
      </c>
      <c r="GE52" s="938">
        <f t="shared" si="117"/>
        <v>0</v>
      </c>
      <c r="GF52" s="938">
        <f t="shared" si="118"/>
        <v>0</v>
      </c>
      <c r="GG52" s="938">
        <f t="shared" si="119"/>
        <v>0</v>
      </c>
      <c r="GH52" s="938" t="str">
        <f t="shared" si="120"/>
        <v/>
      </c>
      <c r="GI52" s="713">
        <f>'min. Düngung 22'!BM53</f>
        <v>0</v>
      </c>
      <c r="GJ52" s="938"/>
      <c r="GK52" s="938"/>
      <c r="GL52" s="938">
        <f t="shared" si="121"/>
        <v>0</v>
      </c>
      <c r="GM52" s="938">
        <f t="shared" si="122"/>
        <v>0</v>
      </c>
      <c r="GN52" s="938">
        <f t="shared" si="123"/>
        <v>0</v>
      </c>
      <c r="GO52" s="938">
        <f t="shared" si="124"/>
        <v>0</v>
      </c>
      <c r="GP52" s="938">
        <f t="shared" si="125"/>
        <v>0</v>
      </c>
      <c r="GQ52" s="938" t="str">
        <f t="shared" si="126"/>
        <v/>
      </c>
      <c r="GR52" s="713">
        <f>'min. Düngung 22'!BP53</f>
        <v>0</v>
      </c>
      <c r="GS52" s="938"/>
      <c r="GT52" s="938"/>
      <c r="GU52" s="938">
        <f t="shared" si="127"/>
        <v>0</v>
      </c>
      <c r="GV52" s="938">
        <f t="shared" si="128"/>
        <v>0</v>
      </c>
      <c r="GW52" s="938">
        <f t="shared" si="129"/>
        <v>0</v>
      </c>
      <c r="GX52" s="938">
        <f t="shared" si="130"/>
        <v>0</v>
      </c>
      <c r="GY52" s="938">
        <f t="shared" si="131"/>
        <v>0</v>
      </c>
      <c r="GZ52" s="938" t="str">
        <f t="shared" si="132"/>
        <v/>
      </c>
      <c r="HA52" s="713">
        <f>'min. Düngung 22'!BS53</f>
        <v>0</v>
      </c>
      <c r="HB52" s="938"/>
      <c r="HC52" s="938"/>
      <c r="HD52" s="938">
        <f t="shared" si="133"/>
        <v>0</v>
      </c>
      <c r="HE52" s="938">
        <f t="shared" si="134"/>
        <v>0</v>
      </c>
      <c r="HF52" s="938">
        <f t="shared" si="135"/>
        <v>0</v>
      </c>
      <c r="HG52" s="938">
        <f t="shared" si="136"/>
        <v>0</v>
      </c>
      <c r="HH52" s="938">
        <f t="shared" si="137"/>
        <v>0</v>
      </c>
      <c r="HI52" s="938" t="str">
        <f t="shared" si="138"/>
        <v/>
      </c>
      <c r="HJ52" s="713">
        <f>'min. Düngung 22'!BV53</f>
        <v>0</v>
      </c>
      <c r="HK52" s="938"/>
      <c r="HL52" s="938"/>
      <c r="HM52" s="938">
        <f t="shared" si="139"/>
        <v>0</v>
      </c>
      <c r="HN52" s="938">
        <f t="shared" si="140"/>
        <v>0</v>
      </c>
      <c r="HO52" s="938">
        <f t="shared" si="141"/>
        <v>0</v>
      </c>
      <c r="HP52" s="938">
        <f t="shared" si="142"/>
        <v>0</v>
      </c>
      <c r="HQ52" s="938">
        <f t="shared" si="143"/>
        <v>0</v>
      </c>
      <c r="HR52" s="938" t="str">
        <f t="shared" si="144"/>
        <v/>
      </c>
      <c r="HS52" s="713">
        <f>'min. Düngung 22'!BY53</f>
        <v>0</v>
      </c>
      <c r="HT52" s="938"/>
      <c r="HU52" s="938"/>
      <c r="HV52" s="938">
        <f t="shared" si="145"/>
        <v>0</v>
      </c>
      <c r="HW52" s="938">
        <f t="shared" si="146"/>
        <v>0</v>
      </c>
      <c r="HX52" s="938">
        <f t="shared" si="147"/>
        <v>0</v>
      </c>
      <c r="HY52" s="938">
        <f t="shared" si="148"/>
        <v>0</v>
      </c>
      <c r="HZ52" s="938">
        <f t="shared" si="149"/>
        <v>0</v>
      </c>
      <c r="IA52" s="938" t="str">
        <f t="shared" si="150"/>
        <v/>
      </c>
      <c r="IB52" s="713">
        <f>'min. Düngung 22'!CB53</f>
        <v>0</v>
      </c>
      <c r="IC52" s="938"/>
      <c r="ID52" s="938"/>
      <c r="IE52" s="938">
        <f t="shared" si="151"/>
        <v>0</v>
      </c>
      <c r="IF52" s="938">
        <f t="shared" si="152"/>
        <v>0</v>
      </c>
      <c r="IG52" s="938">
        <f t="shared" si="153"/>
        <v>0</v>
      </c>
      <c r="IH52" s="938">
        <f t="shared" si="154"/>
        <v>0</v>
      </c>
      <c r="II52" s="938">
        <f t="shared" si="155"/>
        <v>0</v>
      </c>
      <c r="IJ52" s="938" t="str">
        <f t="shared" si="156"/>
        <v/>
      </c>
      <c r="IK52" s="713">
        <f>'min. Düngung 22'!CE53</f>
        <v>0</v>
      </c>
      <c r="IL52" s="938"/>
      <c r="IM52" s="938"/>
      <c r="IN52" s="938">
        <f t="shared" si="157"/>
        <v>0</v>
      </c>
      <c r="IO52" s="938">
        <f t="shared" si="158"/>
        <v>0</v>
      </c>
      <c r="IP52" s="938">
        <f t="shared" si="159"/>
        <v>0</v>
      </c>
      <c r="IQ52" s="938">
        <f t="shared" si="160"/>
        <v>0</v>
      </c>
      <c r="IR52" s="938">
        <f t="shared" si="161"/>
        <v>0</v>
      </c>
      <c r="IS52" s="938" t="str">
        <f t="shared" si="162"/>
        <v/>
      </c>
      <c r="IT52" s="713">
        <f>'min. Düngung 22'!CH53</f>
        <v>0</v>
      </c>
      <c r="IU52" s="938"/>
      <c r="IV52" s="938"/>
      <c r="IW52" s="938">
        <f t="shared" si="163"/>
        <v>0</v>
      </c>
      <c r="IX52" s="938">
        <f t="shared" si="164"/>
        <v>0</v>
      </c>
      <c r="IY52" s="938">
        <f t="shared" si="165"/>
        <v>0</v>
      </c>
      <c r="IZ52" s="938">
        <f t="shared" si="166"/>
        <v>0</v>
      </c>
      <c r="JA52" s="938">
        <f t="shared" si="167"/>
        <v>0</v>
      </c>
      <c r="JB52" s="938" t="str">
        <f t="shared" si="168"/>
        <v/>
      </c>
      <c r="JC52" s="713">
        <f>'min. Düngung 22'!CK53</f>
        <v>0</v>
      </c>
      <c r="JD52" s="938"/>
      <c r="JE52" s="938"/>
      <c r="JF52" s="938">
        <f t="shared" si="169"/>
        <v>0</v>
      </c>
      <c r="JG52" s="938">
        <f t="shared" si="170"/>
        <v>0</v>
      </c>
      <c r="JH52" s="938">
        <f t="shared" si="171"/>
        <v>0</v>
      </c>
      <c r="JI52" s="938">
        <f t="shared" si="172"/>
        <v>0</v>
      </c>
      <c r="JJ52" s="938">
        <f t="shared" si="173"/>
        <v>0</v>
      </c>
      <c r="JK52" s="938" t="str">
        <f t="shared" si="174"/>
        <v/>
      </c>
      <c r="JL52" s="713">
        <f>'min. Düngung 22'!CN53</f>
        <v>0</v>
      </c>
      <c r="JM52" s="938"/>
      <c r="JN52" s="938"/>
      <c r="JO52" s="938">
        <f t="shared" si="175"/>
        <v>0</v>
      </c>
      <c r="JP52" s="938">
        <f t="shared" si="176"/>
        <v>0</v>
      </c>
      <c r="JQ52" s="938">
        <f t="shared" si="177"/>
        <v>0</v>
      </c>
      <c r="JR52" s="938">
        <f t="shared" si="178"/>
        <v>0</v>
      </c>
      <c r="JS52" s="938">
        <f t="shared" si="179"/>
        <v>0</v>
      </c>
      <c r="JT52" s="938" t="str">
        <f t="shared" si="180"/>
        <v/>
      </c>
      <c r="JU52" s="713">
        <f>'min. Düngung 22'!CQ53</f>
        <v>0</v>
      </c>
      <c r="JV52" s="938"/>
      <c r="JW52" s="938"/>
      <c r="JX52" s="938">
        <f t="shared" si="181"/>
        <v>0</v>
      </c>
      <c r="JY52" s="938">
        <f t="shared" si="182"/>
        <v>0</v>
      </c>
      <c r="JZ52" s="938">
        <f t="shared" si="183"/>
        <v>0</v>
      </c>
      <c r="KA52" s="938">
        <f t="shared" si="184"/>
        <v>0</v>
      </c>
      <c r="KB52" s="938">
        <f t="shared" si="185"/>
        <v>0</v>
      </c>
      <c r="KC52" s="938" t="str">
        <f t="shared" si="186"/>
        <v/>
      </c>
      <c r="KE52" s="938"/>
      <c r="KF52" s="938" t="str">
        <f>IF(AND($F52=2,$G52=1),"",IF(OR($Q52&gt;0,$O52&gt;60),$KF$7,IF(I52=70,"",IF(AND(I52=80,R52+'#orgDung'!AC55&lt;60,K52=1,OR(C52=2,'#BerechnungDBE'!AH46=4)),"",IF(R52&gt;0,$KF$7,"")))))</f>
        <v/>
      </c>
      <c r="KG52" s="938" t="str">
        <f>IF(AND(P52&gt;'#BerechnungDBE'!BJ46,P52&gt;0),'#minDung'!$KG$7,"")</f>
        <v/>
      </c>
      <c r="KH52" s="938" t="str">
        <f>IF(AND(I52=70,R52&gt;'#BerechnungDBE'!CR46),'#minDung'!$KH$7,"")</f>
        <v/>
      </c>
      <c r="KI52" s="938" t="str">
        <f>IF('#BerechnungDBE'!P46&lt;4,"",IF(AND('#BerechnungDBE'!BZ46&gt;0,N52&gt;0),$KI$7,""))</f>
        <v/>
      </c>
      <c r="KJ52" s="938" t="str">
        <f t="shared" si="5"/>
        <v/>
      </c>
    </row>
    <row r="53" spans="1:296" s="875" customFormat="1" hidden="1" x14ac:dyDescent="0.2">
      <c r="A53" s="875">
        <f>'Flächen u. Kulturen'!A52</f>
        <v>43</v>
      </c>
      <c r="B53" s="734">
        <f>'#BerechnungDBE'!L47</f>
        <v>0</v>
      </c>
      <c r="C53" s="46">
        <f>'#orgDung'!C56</f>
        <v>1</v>
      </c>
      <c r="D53" s="875">
        <f>'#BerechnungDBE'!T47</f>
        <v>2</v>
      </c>
      <c r="E53" s="875" t="str">
        <f>'Flächen u. Kulturen'!E52</f>
        <v>x</v>
      </c>
      <c r="F53" s="52">
        <f>'#BerechnungDBE'!N47</f>
        <v>1</v>
      </c>
      <c r="G53" s="52">
        <f>'#BerechnungDBE'!O47</f>
        <v>1</v>
      </c>
      <c r="H53" s="505">
        <f>'#orgDung'!J56</f>
        <v>2</v>
      </c>
      <c r="I53" s="875">
        <f>'#BerechnungDBE'!AF47</f>
        <v>0</v>
      </c>
      <c r="J53" s="875">
        <f>'#orgDung'!M56</f>
        <v>0</v>
      </c>
      <c r="K53" s="875">
        <f>'#BerechnungDBE'!AG47</f>
        <v>0</v>
      </c>
      <c r="M53" s="875">
        <f t="shared" si="187"/>
        <v>0</v>
      </c>
      <c r="N53" s="875">
        <f t="shared" si="188"/>
        <v>0</v>
      </c>
      <c r="O53" s="875">
        <f t="shared" si="189"/>
        <v>0</v>
      </c>
      <c r="P53" s="875">
        <f t="shared" si="190"/>
        <v>0</v>
      </c>
      <c r="Q53" s="938">
        <f t="shared" si="6"/>
        <v>0</v>
      </c>
      <c r="R53" s="875">
        <f t="shared" si="191"/>
        <v>0</v>
      </c>
      <c r="T53" s="713">
        <f>'min. Düngung 22'!H54</f>
        <v>0</v>
      </c>
      <c r="W53" s="875">
        <f t="shared" si="7"/>
        <v>0</v>
      </c>
      <c r="X53" s="875">
        <f t="shared" si="8"/>
        <v>0</v>
      </c>
      <c r="Y53" s="875">
        <f t="shared" si="9"/>
        <v>0</v>
      </c>
      <c r="Z53" s="875">
        <f t="shared" si="10"/>
        <v>0</v>
      </c>
      <c r="AA53" s="875">
        <f t="shared" si="11"/>
        <v>0</v>
      </c>
      <c r="AB53" s="875" t="str">
        <f t="shared" si="12"/>
        <v/>
      </c>
      <c r="AC53" s="713">
        <f>'min. Düngung 22'!K54</f>
        <v>0</v>
      </c>
      <c r="AD53" s="938"/>
      <c r="AE53" s="938"/>
      <c r="AF53" s="938">
        <f t="shared" si="13"/>
        <v>0</v>
      </c>
      <c r="AG53" s="938">
        <f t="shared" si="14"/>
        <v>0</v>
      </c>
      <c r="AH53" s="938">
        <f t="shared" si="15"/>
        <v>0</v>
      </c>
      <c r="AI53" s="938">
        <f t="shared" si="16"/>
        <v>0</v>
      </c>
      <c r="AJ53" s="938">
        <f t="shared" si="17"/>
        <v>0</v>
      </c>
      <c r="AK53" s="938">
        <f t="shared" si="18"/>
        <v>0</v>
      </c>
      <c r="AL53" s="713">
        <f>'min. Düngung 22'!N54</f>
        <v>0</v>
      </c>
      <c r="AM53" s="938"/>
      <c r="AN53" s="938"/>
      <c r="AO53" s="938">
        <f t="shared" si="19"/>
        <v>0</v>
      </c>
      <c r="AP53" s="938">
        <f t="shared" si="20"/>
        <v>0</v>
      </c>
      <c r="AQ53" s="938">
        <f t="shared" si="21"/>
        <v>0</v>
      </c>
      <c r="AR53" s="938">
        <f t="shared" si="22"/>
        <v>0</v>
      </c>
      <c r="AS53" s="938">
        <f t="shared" si="23"/>
        <v>0</v>
      </c>
      <c r="AT53" s="938" t="str">
        <f t="shared" si="24"/>
        <v/>
      </c>
      <c r="AU53" s="713">
        <f>'min. Düngung 22'!Q54</f>
        <v>0</v>
      </c>
      <c r="AV53" s="938"/>
      <c r="AW53" s="938"/>
      <c r="AX53" s="938">
        <f t="shared" si="25"/>
        <v>0</v>
      </c>
      <c r="AY53" s="938">
        <f t="shared" si="26"/>
        <v>0</v>
      </c>
      <c r="AZ53" s="938">
        <f t="shared" si="27"/>
        <v>0</v>
      </c>
      <c r="BA53" s="938">
        <f t="shared" si="28"/>
        <v>0</v>
      </c>
      <c r="BB53" s="938">
        <f t="shared" si="29"/>
        <v>0</v>
      </c>
      <c r="BC53" s="938" t="str">
        <f t="shared" si="30"/>
        <v/>
      </c>
      <c r="BD53" s="713">
        <f>'min. Düngung 22'!T54</f>
        <v>0</v>
      </c>
      <c r="BE53" s="938"/>
      <c r="BF53" s="938"/>
      <c r="BG53" s="938">
        <f t="shared" si="31"/>
        <v>0</v>
      </c>
      <c r="BH53" s="938">
        <f t="shared" si="32"/>
        <v>0</v>
      </c>
      <c r="BI53" s="938">
        <f t="shared" si="33"/>
        <v>0</v>
      </c>
      <c r="BJ53" s="938">
        <f t="shared" si="34"/>
        <v>0</v>
      </c>
      <c r="BK53" s="938">
        <f t="shared" si="35"/>
        <v>0</v>
      </c>
      <c r="BL53" s="938" t="str">
        <f t="shared" si="36"/>
        <v/>
      </c>
      <c r="BM53" s="713">
        <f>'min. Düngung 22'!W54</f>
        <v>0</v>
      </c>
      <c r="BN53" s="938"/>
      <c r="BO53" s="938"/>
      <c r="BP53" s="938">
        <f t="shared" si="37"/>
        <v>0</v>
      </c>
      <c r="BQ53" s="938">
        <f t="shared" si="38"/>
        <v>0</v>
      </c>
      <c r="BR53" s="938">
        <f t="shared" si="39"/>
        <v>0</v>
      </c>
      <c r="BS53" s="938">
        <f t="shared" si="40"/>
        <v>0</v>
      </c>
      <c r="BT53" s="938">
        <f t="shared" si="41"/>
        <v>0</v>
      </c>
      <c r="BU53" s="938" t="str">
        <f t="shared" si="42"/>
        <v/>
      </c>
      <c r="BV53" s="713">
        <f>'min. Düngung 22'!Z54</f>
        <v>0</v>
      </c>
      <c r="BW53" s="938"/>
      <c r="BX53" s="938"/>
      <c r="BY53" s="938">
        <f t="shared" si="43"/>
        <v>0</v>
      </c>
      <c r="BZ53" s="938">
        <f t="shared" si="44"/>
        <v>0</v>
      </c>
      <c r="CA53" s="938">
        <f t="shared" si="45"/>
        <v>0</v>
      </c>
      <c r="CB53" s="938">
        <f t="shared" si="46"/>
        <v>0</v>
      </c>
      <c r="CC53" s="938">
        <f t="shared" si="47"/>
        <v>0</v>
      </c>
      <c r="CD53" s="938" t="str">
        <f t="shared" si="48"/>
        <v/>
      </c>
      <c r="CE53" s="713">
        <f>'min. Düngung 22'!AC54</f>
        <v>0</v>
      </c>
      <c r="CF53" s="938"/>
      <c r="CG53" s="938"/>
      <c r="CH53" s="938">
        <f t="shared" si="49"/>
        <v>0</v>
      </c>
      <c r="CI53" s="938">
        <f t="shared" si="50"/>
        <v>0</v>
      </c>
      <c r="CJ53" s="938">
        <f t="shared" si="51"/>
        <v>0</v>
      </c>
      <c r="CK53" s="938">
        <f t="shared" si="52"/>
        <v>0</v>
      </c>
      <c r="CL53" s="938">
        <f t="shared" si="53"/>
        <v>0</v>
      </c>
      <c r="CM53" s="938" t="str">
        <f t="shared" si="54"/>
        <v/>
      </c>
      <c r="CN53" s="713">
        <f>'min. Düngung 22'!AF54</f>
        <v>0</v>
      </c>
      <c r="CO53" s="938"/>
      <c r="CP53" s="938"/>
      <c r="CQ53" s="938">
        <f t="shared" si="55"/>
        <v>0</v>
      </c>
      <c r="CR53" s="938">
        <f t="shared" si="56"/>
        <v>0</v>
      </c>
      <c r="CS53" s="938">
        <f t="shared" si="57"/>
        <v>0</v>
      </c>
      <c r="CT53" s="938">
        <f t="shared" si="58"/>
        <v>0</v>
      </c>
      <c r="CU53" s="938">
        <f t="shared" si="59"/>
        <v>0</v>
      </c>
      <c r="CV53" s="938" t="str">
        <f t="shared" si="60"/>
        <v/>
      </c>
      <c r="CW53" s="713">
        <f>'min. Düngung 22'!AI54</f>
        <v>0</v>
      </c>
      <c r="CX53" s="938"/>
      <c r="CY53" s="938"/>
      <c r="CZ53" s="938">
        <f t="shared" si="61"/>
        <v>0</v>
      </c>
      <c r="DA53" s="938">
        <f t="shared" si="62"/>
        <v>0</v>
      </c>
      <c r="DB53" s="938">
        <f t="shared" si="63"/>
        <v>0</v>
      </c>
      <c r="DC53" s="938">
        <f t="shared" si="64"/>
        <v>0</v>
      </c>
      <c r="DD53" s="938">
        <f t="shared" si="65"/>
        <v>0</v>
      </c>
      <c r="DE53" s="938" t="str">
        <f t="shared" si="66"/>
        <v/>
      </c>
      <c r="DF53" s="713">
        <f>'min. Düngung 22'!AL54</f>
        <v>0</v>
      </c>
      <c r="DG53" s="938"/>
      <c r="DH53" s="938"/>
      <c r="DI53" s="938">
        <f t="shared" si="67"/>
        <v>0</v>
      </c>
      <c r="DJ53" s="938">
        <f t="shared" si="68"/>
        <v>0</v>
      </c>
      <c r="DK53" s="938">
        <f t="shared" si="69"/>
        <v>0</v>
      </c>
      <c r="DL53" s="938">
        <f t="shared" si="70"/>
        <v>0</v>
      </c>
      <c r="DM53" s="938">
        <f t="shared" si="71"/>
        <v>0</v>
      </c>
      <c r="DN53" s="938" t="str">
        <f t="shared" si="72"/>
        <v/>
      </c>
      <c r="DO53" s="713">
        <f>'min. Düngung 22'!AO54</f>
        <v>0</v>
      </c>
      <c r="DP53" s="938"/>
      <c r="DQ53" s="938"/>
      <c r="DR53" s="938">
        <f t="shared" si="73"/>
        <v>0</v>
      </c>
      <c r="DS53" s="938">
        <f t="shared" si="74"/>
        <v>0</v>
      </c>
      <c r="DT53" s="938">
        <f t="shared" si="75"/>
        <v>0</v>
      </c>
      <c r="DU53" s="938">
        <f t="shared" si="76"/>
        <v>0</v>
      </c>
      <c r="DV53" s="938">
        <f t="shared" si="77"/>
        <v>0</v>
      </c>
      <c r="DW53" s="938" t="str">
        <f t="shared" si="78"/>
        <v/>
      </c>
      <c r="DX53" s="713">
        <f>'min. Düngung 22'!AR54</f>
        <v>0</v>
      </c>
      <c r="DY53" s="938"/>
      <c r="DZ53" s="938"/>
      <c r="EA53" s="938">
        <f t="shared" si="79"/>
        <v>0</v>
      </c>
      <c r="EB53" s="938">
        <f t="shared" si="80"/>
        <v>0</v>
      </c>
      <c r="EC53" s="938">
        <f t="shared" si="81"/>
        <v>0</v>
      </c>
      <c r="ED53" s="938">
        <f t="shared" si="82"/>
        <v>0</v>
      </c>
      <c r="EE53" s="938">
        <f t="shared" si="83"/>
        <v>0</v>
      </c>
      <c r="EF53" s="938" t="str">
        <f t="shared" si="84"/>
        <v/>
      </c>
      <c r="EG53" s="713">
        <f>'min. Düngung 22'!AU54</f>
        <v>0</v>
      </c>
      <c r="EH53" s="938"/>
      <c r="EI53" s="938"/>
      <c r="EJ53" s="938">
        <f t="shared" si="85"/>
        <v>0</v>
      </c>
      <c r="EK53" s="938">
        <f t="shared" si="86"/>
        <v>0</v>
      </c>
      <c r="EL53" s="938">
        <f t="shared" si="87"/>
        <v>0</v>
      </c>
      <c r="EM53" s="938">
        <f t="shared" si="88"/>
        <v>0</v>
      </c>
      <c r="EN53" s="938">
        <f t="shared" si="89"/>
        <v>0</v>
      </c>
      <c r="EO53" s="938" t="str">
        <f t="shared" si="90"/>
        <v/>
      </c>
      <c r="EP53" s="713">
        <f>'min. Düngung 22'!AX54</f>
        <v>0</v>
      </c>
      <c r="EQ53" s="938"/>
      <c r="ER53" s="938"/>
      <c r="ES53" s="938">
        <f t="shared" si="91"/>
        <v>0</v>
      </c>
      <c r="ET53" s="938">
        <f t="shared" si="92"/>
        <v>0</v>
      </c>
      <c r="EU53" s="938">
        <f t="shared" si="93"/>
        <v>0</v>
      </c>
      <c r="EV53" s="938">
        <f t="shared" si="94"/>
        <v>0</v>
      </c>
      <c r="EW53" s="938">
        <f t="shared" si="95"/>
        <v>0</v>
      </c>
      <c r="EX53" s="938" t="str">
        <f t="shared" si="96"/>
        <v/>
      </c>
      <c r="EY53" s="713">
        <f>'min. Düngung 22'!BA54</f>
        <v>0</v>
      </c>
      <c r="EZ53" s="938"/>
      <c r="FA53" s="938"/>
      <c r="FB53" s="938">
        <f t="shared" si="97"/>
        <v>0</v>
      </c>
      <c r="FC53" s="938">
        <f t="shared" si="98"/>
        <v>0</v>
      </c>
      <c r="FD53" s="938">
        <f t="shared" si="99"/>
        <v>0</v>
      </c>
      <c r="FE53" s="938">
        <f t="shared" si="100"/>
        <v>0</v>
      </c>
      <c r="FF53" s="938">
        <f t="shared" si="101"/>
        <v>0</v>
      </c>
      <c r="FG53" s="938" t="str">
        <f t="shared" si="102"/>
        <v/>
      </c>
      <c r="FH53" s="713">
        <f>'min. Düngung 22'!BD54</f>
        <v>0</v>
      </c>
      <c r="FI53" s="938"/>
      <c r="FJ53" s="938"/>
      <c r="FK53" s="938">
        <f t="shared" si="103"/>
        <v>0</v>
      </c>
      <c r="FL53" s="938">
        <f t="shared" si="104"/>
        <v>0</v>
      </c>
      <c r="FM53" s="938">
        <f t="shared" si="105"/>
        <v>0</v>
      </c>
      <c r="FN53" s="938">
        <f t="shared" si="106"/>
        <v>0</v>
      </c>
      <c r="FO53" s="938">
        <f t="shared" si="107"/>
        <v>0</v>
      </c>
      <c r="FP53" s="938" t="str">
        <f t="shared" si="108"/>
        <v/>
      </c>
      <c r="FQ53" s="713">
        <f>'min. Düngung 22'!BG54</f>
        <v>0</v>
      </c>
      <c r="FR53" s="938"/>
      <c r="FS53" s="938"/>
      <c r="FT53" s="938">
        <f t="shared" si="109"/>
        <v>0</v>
      </c>
      <c r="FU53" s="938">
        <f t="shared" si="110"/>
        <v>0</v>
      </c>
      <c r="FV53" s="938">
        <f t="shared" si="111"/>
        <v>0</v>
      </c>
      <c r="FW53" s="938">
        <f t="shared" si="112"/>
        <v>0</v>
      </c>
      <c r="FX53" s="938">
        <f t="shared" si="113"/>
        <v>0</v>
      </c>
      <c r="FY53" s="938" t="str">
        <f t="shared" si="114"/>
        <v/>
      </c>
      <c r="FZ53" s="713">
        <f>'min. Düngung 22'!BJ54</f>
        <v>0</v>
      </c>
      <c r="GA53" s="938"/>
      <c r="GB53" s="938"/>
      <c r="GC53" s="938">
        <f t="shared" si="115"/>
        <v>0</v>
      </c>
      <c r="GD53" s="938">
        <f t="shared" si="116"/>
        <v>0</v>
      </c>
      <c r="GE53" s="938">
        <f t="shared" si="117"/>
        <v>0</v>
      </c>
      <c r="GF53" s="938">
        <f t="shared" si="118"/>
        <v>0</v>
      </c>
      <c r="GG53" s="938">
        <f t="shared" si="119"/>
        <v>0</v>
      </c>
      <c r="GH53" s="938" t="str">
        <f t="shared" si="120"/>
        <v/>
      </c>
      <c r="GI53" s="713">
        <f>'min. Düngung 22'!BM54</f>
        <v>0</v>
      </c>
      <c r="GJ53" s="938"/>
      <c r="GK53" s="938"/>
      <c r="GL53" s="938">
        <f t="shared" si="121"/>
        <v>0</v>
      </c>
      <c r="GM53" s="938">
        <f t="shared" si="122"/>
        <v>0</v>
      </c>
      <c r="GN53" s="938">
        <f t="shared" si="123"/>
        <v>0</v>
      </c>
      <c r="GO53" s="938">
        <f t="shared" si="124"/>
        <v>0</v>
      </c>
      <c r="GP53" s="938">
        <f t="shared" si="125"/>
        <v>0</v>
      </c>
      <c r="GQ53" s="938" t="str">
        <f t="shared" si="126"/>
        <v/>
      </c>
      <c r="GR53" s="713">
        <f>'min. Düngung 22'!BP54</f>
        <v>0</v>
      </c>
      <c r="GS53" s="938"/>
      <c r="GT53" s="938"/>
      <c r="GU53" s="938">
        <f t="shared" si="127"/>
        <v>0</v>
      </c>
      <c r="GV53" s="938">
        <f t="shared" si="128"/>
        <v>0</v>
      </c>
      <c r="GW53" s="938">
        <f t="shared" si="129"/>
        <v>0</v>
      </c>
      <c r="GX53" s="938">
        <f t="shared" si="130"/>
        <v>0</v>
      </c>
      <c r="GY53" s="938">
        <f t="shared" si="131"/>
        <v>0</v>
      </c>
      <c r="GZ53" s="938" t="str">
        <f t="shared" si="132"/>
        <v/>
      </c>
      <c r="HA53" s="713">
        <f>'min. Düngung 22'!BS54</f>
        <v>0</v>
      </c>
      <c r="HB53" s="938"/>
      <c r="HC53" s="938"/>
      <c r="HD53" s="938">
        <f t="shared" si="133"/>
        <v>0</v>
      </c>
      <c r="HE53" s="938">
        <f t="shared" si="134"/>
        <v>0</v>
      </c>
      <c r="HF53" s="938">
        <f t="shared" si="135"/>
        <v>0</v>
      </c>
      <c r="HG53" s="938">
        <f t="shared" si="136"/>
        <v>0</v>
      </c>
      <c r="HH53" s="938">
        <f t="shared" si="137"/>
        <v>0</v>
      </c>
      <c r="HI53" s="938" t="str">
        <f t="shared" si="138"/>
        <v/>
      </c>
      <c r="HJ53" s="713">
        <f>'min. Düngung 22'!BV54</f>
        <v>0</v>
      </c>
      <c r="HK53" s="938"/>
      <c r="HL53" s="938"/>
      <c r="HM53" s="938">
        <f t="shared" si="139"/>
        <v>0</v>
      </c>
      <c r="HN53" s="938">
        <f t="shared" si="140"/>
        <v>0</v>
      </c>
      <c r="HO53" s="938">
        <f t="shared" si="141"/>
        <v>0</v>
      </c>
      <c r="HP53" s="938">
        <f t="shared" si="142"/>
        <v>0</v>
      </c>
      <c r="HQ53" s="938">
        <f t="shared" si="143"/>
        <v>0</v>
      </c>
      <c r="HR53" s="938" t="str">
        <f t="shared" si="144"/>
        <v/>
      </c>
      <c r="HS53" s="713">
        <f>'min. Düngung 22'!BY54</f>
        <v>0</v>
      </c>
      <c r="HT53" s="938"/>
      <c r="HU53" s="938"/>
      <c r="HV53" s="938">
        <f t="shared" si="145"/>
        <v>0</v>
      </c>
      <c r="HW53" s="938">
        <f t="shared" si="146"/>
        <v>0</v>
      </c>
      <c r="HX53" s="938">
        <f t="shared" si="147"/>
        <v>0</v>
      </c>
      <c r="HY53" s="938">
        <f t="shared" si="148"/>
        <v>0</v>
      </c>
      <c r="HZ53" s="938">
        <f t="shared" si="149"/>
        <v>0</v>
      </c>
      <c r="IA53" s="938" t="str">
        <f t="shared" si="150"/>
        <v/>
      </c>
      <c r="IB53" s="713">
        <f>'min. Düngung 22'!CB54</f>
        <v>0</v>
      </c>
      <c r="IC53" s="938"/>
      <c r="ID53" s="938"/>
      <c r="IE53" s="938">
        <f t="shared" si="151"/>
        <v>0</v>
      </c>
      <c r="IF53" s="938">
        <f t="shared" si="152"/>
        <v>0</v>
      </c>
      <c r="IG53" s="938">
        <f t="shared" si="153"/>
        <v>0</v>
      </c>
      <c r="IH53" s="938">
        <f t="shared" si="154"/>
        <v>0</v>
      </c>
      <c r="II53" s="938">
        <f t="shared" si="155"/>
        <v>0</v>
      </c>
      <c r="IJ53" s="938" t="str">
        <f t="shared" si="156"/>
        <v/>
      </c>
      <c r="IK53" s="713">
        <f>'min. Düngung 22'!CE54</f>
        <v>0</v>
      </c>
      <c r="IL53" s="938"/>
      <c r="IM53" s="938"/>
      <c r="IN53" s="938">
        <f t="shared" si="157"/>
        <v>0</v>
      </c>
      <c r="IO53" s="938">
        <f t="shared" si="158"/>
        <v>0</v>
      </c>
      <c r="IP53" s="938">
        <f t="shared" si="159"/>
        <v>0</v>
      </c>
      <c r="IQ53" s="938">
        <f t="shared" si="160"/>
        <v>0</v>
      </c>
      <c r="IR53" s="938">
        <f t="shared" si="161"/>
        <v>0</v>
      </c>
      <c r="IS53" s="938" t="str">
        <f t="shared" si="162"/>
        <v/>
      </c>
      <c r="IT53" s="713">
        <f>'min. Düngung 22'!CH54</f>
        <v>0</v>
      </c>
      <c r="IU53" s="938"/>
      <c r="IV53" s="938"/>
      <c r="IW53" s="938">
        <f t="shared" si="163"/>
        <v>0</v>
      </c>
      <c r="IX53" s="938">
        <f t="shared" si="164"/>
        <v>0</v>
      </c>
      <c r="IY53" s="938">
        <f t="shared" si="165"/>
        <v>0</v>
      </c>
      <c r="IZ53" s="938">
        <f t="shared" si="166"/>
        <v>0</v>
      </c>
      <c r="JA53" s="938">
        <f t="shared" si="167"/>
        <v>0</v>
      </c>
      <c r="JB53" s="938" t="str">
        <f t="shared" si="168"/>
        <v/>
      </c>
      <c r="JC53" s="713">
        <f>'min. Düngung 22'!CK54</f>
        <v>0</v>
      </c>
      <c r="JD53" s="938"/>
      <c r="JE53" s="938"/>
      <c r="JF53" s="938">
        <f t="shared" si="169"/>
        <v>0</v>
      </c>
      <c r="JG53" s="938">
        <f t="shared" si="170"/>
        <v>0</v>
      </c>
      <c r="JH53" s="938">
        <f t="shared" si="171"/>
        <v>0</v>
      </c>
      <c r="JI53" s="938">
        <f t="shared" si="172"/>
        <v>0</v>
      </c>
      <c r="JJ53" s="938">
        <f t="shared" si="173"/>
        <v>0</v>
      </c>
      <c r="JK53" s="938" t="str">
        <f t="shared" si="174"/>
        <v/>
      </c>
      <c r="JL53" s="713">
        <f>'min. Düngung 22'!CN54</f>
        <v>0</v>
      </c>
      <c r="JM53" s="938"/>
      <c r="JN53" s="938"/>
      <c r="JO53" s="938">
        <f t="shared" si="175"/>
        <v>0</v>
      </c>
      <c r="JP53" s="938">
        <f t="shared" si="176"/>
        <v>0</v>
      </c>
      <c r="JQ53" s="938">
        <f t="shared" si="177"/>
        <v>0</v>
      </c>
      <c r="JR53" s="938">
        <f t="shared" si="178"/>
        <v>0</v>
      </c>
      <c r="JS53" s="938">
        <f t="shared" si="179"/>
        <v>0</v>
      </c>
      <c r="JT53" s="938" t="str">
        <f t="shared" si="180"/>
        <v/>
      </c>
      <c r="JU53" s="713">
        <f>'min. Düngung 22'!CQ54</f>
        <v>0</v>
      </c>
      <c r="JV53" s="938"/>
      <c r="JW53" s="938"/>
      <c r="JX53" s="938">
        <f t="shared" si="181"/>
        <v>0</v>
      </c>
      <c r="JY53" s="938">
        <f t="shared" si="182"/>
        <v>0</v>
      </c>
      <c r="JZ53" s="938">
        <f t="shared" si="183"/>
        <v>0</v>
      </c>
      <c r="KA53" s="938">
        <f t="shared" si="184"/>
        <v>0</v>
      </c>
      <c r="KB53" s="938">
        <f t="shared" si="185"/>
        <v>0</v>
      </c>
      <c r="KC53" s="938" t="str">
        <f t="shared" si="186"/>
        <v/>
      </c>
      <c r="KE53" s="938"/>
      <c r="KF53" s="938" t="str">
        <f>IF(AND($F53=2,$G53=1),"",IF(OR($Q53&gt;0,$O53&gt;60),$KF$7,IF(I53=70,"",IF(AND(I53=80,R53+'#orgDung'!AC56&lt;60,K53=1,OR(C53=2,'#BerechnungDBE'!AH47=4)),"",IF(R53&gt;0,$KF$7,"")))))</f>
        <v/>
      </c>
      <c r="KG53" s="938" t="str">
        <f>IF(AND(P53&gt;'#BerechnungDBE'!BJ47,P53&gt;0),'#minDung'!$KG$7,"")</f>
        <v/>
      </c>
      <c r="KH53" s="938" t="str">
        <f>IF(AND(I53=70,R53&gt;'#BerechnungDBE'!CR47),'#minDung'!$KH$7,"")</f>
        <v/>
      </c>
      <c r="KI53" s="938" t="str">
        <f>IF('#BerechnungDBE'!P47&lt;4,"",IF(AND('#BerechnungDBE'!BZ47&gt;0,N53&gt;0),$KI$7,""))</f>
        <v/>
      </c>
      <c r="KJ53" s="938" t="str">
        <f t="shared" si="5"/>
        <v/>
      </c>
    </row>
    <row r="54" spans="1:296" s="875" customFormat="1" hidden="1" x14ac:dyDescent="0.2">
      <c r="A54" s="875">
        <f>'Flächen u. Kulturen'!A53</f>
        <v>44</v>
      </c>
      <c r="B54" s="734">
        <f>'#BerechnungDBE'!L48</f>
        <v>0</v>
      </c>
      <c r="C54" s="46">
        <f>'#orgDung'!C57</f>
        <v>1</v>
      </c>
      <c r="D54" s="875">
        <f>'#BerechnungDBE'!T48</f>
        <v>2</v>
      </c>
      <c r="E54" s="875" t="str">
        <f>'Flächen u. Kulturen'!E53</f>
        <v>x</v>
      </c>
      <c r="F54" s="52">
        <f>'#BerechnungDBE'!N48</f>
        <v>1</v>
      </c>
      <c r="G54" s="52">
        <f>'#BerechnungDBE'!O48</f>
        <v>1</v>
      </c>
      <c r="H54" s="505">
        <f>'#orgDung'!J57</f>
        <v>2</v>
      </c>
      <c r="I54" s="875">
        <f>'#BerechnungDBE'!AF48</f>
        <v>0</v>
      </c>
      <c r="J54" s="875">
        <f>'#orgDung'!M57</f>
        <v>0</v>
      </c>
      <c r="K54" s="875">
        <f>'#BerechnungDBE'!AG48</f>
        <v>0</v>
      </c>
      <c r="M54" s="875">
        <f t="shared" si="187"/>
        <v>0</v>
      </c>
      <c r="N54" s="875">
        <f t="shared" si="188"/>
        <v>0</v>
      </c>
      <c r="O54" s="875">
        <f t="shared" si="189"/>
        <v>0</v>
      </c>
      <c r="P54" s="875">
        <f t="shared" si="190"/>
        <v>0</v>
      </c>
      <c r="Q54" s="938">
        <f t="shared" si="6"/>
        <v>0</v>
      </c>
      <c r="R54" s="875">
        <f t="shared" si="191"/>
        <v>0</v>
      </c>
      <c r="T54" s="713">
        <f>'min. Düngung 22'!H55</f>
        <v>0</v>
      </c>
      <c r="W54" s="875">
        <f t="shared" si="7"/>
        <v>0</v>
      </c>
      <c r="X54" s="875">
        <f t="shared" si="8"/>
        <v>0</v>
      </c>
      <c r="Y54" s="875">
        <f t="shared" si="9"/>
        <v>0</v>
      </c>
      <c r="Z54" s="875">
        <f t="shared" si="10"/>
        <v>0</v>
      </c>
      <c r="AA54" s="875">
        <f t="shared" si="11"/>
        <v>0</v>
      </c>
      <c r="AB54" s="875" t="str">
        <f t="shared" si="12"/>
        <v/>
      </c>
      <c r="AC54" s="713">
        <f>'min. Düngung 22'!K55</f>
        <v>0</v>
      </c>
      <c r="AD54" s="938"/>
      <c r="AE54" s="938"/>
      <c r="AF54" s="938">
        <f t="shared" si="13"/>
        <v>0</v>
      </c>
      <c r="AG54" s="938">
        <f t="shared" si="14"/>
        <v>0</v>
      </c>
      <c r="AH54" s="938">
        <f t="shared" si="15"/>
        <v>0</v>
      </c>
      <c r="AI54" s="938">
        <f t="shared" si="16"/>
        <v>0</v>
      </c>
      <c r="AJ54" s="938">
        <f t="shared" si="17"/>
        <v>0</v>
      </c>
      <c r="AK54" s="938">
        <f t="shared" si="18"/>
        <v>0</v>
      </c>
      <c r="AL54" s="713">
        <f>'min. Düngung 22'!N55</f>
        <v>0</v>
      </c>
      <c r="AM54" s="938"/>
      <c r="AN54" s="938"/>
      <c r="AO54" s="938">
        <f t="shared" si="19"/>
        <v>0</v>
      </c>
      <c r="AP54" s="938">
        <f t="shared" si="20"/>
        <v>0</v>
      </c>
      <c r="AQ54" s="938">
        <f t="shared" si="21"/>
        <v>0</v>
      </c>
      <c r="AR54" s="938">
        <f t="shared" si="22"/>
        <v>0</v>
      </c>
      <c r="AS54" s="938">
        <f t="shared" si="23"/>
        <v>0</v>
      </c>
      <c r="AT54" s="938" t="str">
        <f t="shared" si="24"/>
        <v/>
      </c>
      <c r="AU54" s="713">
        <f>'min. Düngung 22'!Q55</f>
        <v>0</v>
      </c>
      <c r="AV54" s="938"/>
      <c r="AW54" s="938"/>
      <c r="AX54" s="938">
        <f t="shared" si="25"/>
        <v>0</v>
      </c>
      <c r="AY54" s="938">
        <f t="shared" si="26"/>
        <v>0</v>
      </c>
      <c r="AZ54" s="938">
        <f t="shared" si="27"/>
        <v>0</v>
      </c>
      <c r="BA54" s="938">
        <f t="shared" si="28"/>
        <v>0</v>
      </c>
      <c r="BB54" s="938">
        <f t="shared" si="29"/>
        <v>0</v>
      </c>
      <c r="BC54" s="938" t="str">
        <f t="shared" si="30"/>
        <v/>
      </c>
      <c r="BD54" s="713">
        <f>'min. Düngung 22'!T55</f>
        <v>0</v>
      </c>
      <c r="BE54" s="938"/>
      <c r="BF54" s="938"/>
      <c r="BG54" s="938">
        <f t="shared" si="31"/>
        <v>0</v>
      </c>
      <c r="BH54" s="938">
        <f t="shared" si="32"/>
        <v>0</v>
      </c>
      <c r="BI54" s="938">
        <f t="shared" si="33"/>
        <v>0</v>
      </c>
      <c r="BJ54" s="938">
        <f t="shared" si="34"/>
        <v>0</v>
      </c>
      <c r="BK54" s="938">
        <f t="shared" si="35"/>
        <v>0</v>
      </c>
      <c r="BL54" s="938" t="str">
        <f t="shared" si="36"/>
        <v/>
      </c>
      <c r="BM54" s="713">
        <f>'min. Düngung 22'!W55</f>
        <v>0</v>
      </c>
      <c r="BN54" s="938"/>
      <c r="BO54" s="938"/>
      <c r="BP54" s="938">
        <f t="shared" si="37"/>
        <v>0</v>
      </c>
      <c r="BQ54" s="938">
        <f t="shared" si="38"/>
        <v>0</v>
      </c>
      <c r="BR54" s="938">
        <f t="shared" si="39"/>
        <v>0</v>
      </c>
      <c r="BS54" s="938">
        <f t="shared" si="40"/>
        <v>0</v>
      </c>
      <c r="BT54" s="938">
        <f t="shared" si="41"/>
        <v>0</v>
      </c>
      <c r="BU54" s="938" t="str">
        <f t="shared" si="42"/>
        <v/>
      </c>
      <c r="BV54" s="713">
        <f>'min. Düngung 22'!Z55</f>
        <v>0</v>
      </c>
      <c r="BW54" s="938"/>
      <c r="BX54" s="938"/>
      <c r="BY54" s="938">
        <f t="shared" si="43"/>
        <v>0</v>
      </c>
      <c r="BZ54" s="938">
        <f t="shared" si="44"/>
        <v>0</v>
      </c>
      <c r="CA54" s="938">
        <f t="shared" si="45"/>
        <v>0</v>
      </c>
      <c r="CB54" s="938">
        <f t="shared" si="46"/>
        <v>0</v>
      </c>
      <c r="CC54" s="938">
        <f t="shared" si="47"/>
        <v>0</v>
      </c>
      <c r="CD54" s="938" t="str">
        <f t="shared" si="48"/>
        <v/>
      </c>
      <c r="CE54" s="713">
        <f>'min. Düngung 22'!AC55</f>
        <v>0</v>
      </c>
      <c r="CF54" s="938"/>
      <c r="CG54" s="938"/>
      <c r="CH54" s="938">
        <f t="shared" si="49"/>
        <v>0</v>
      </c>
      <c r="CI54" s="938">
        <f t="shared" si="50"/>
        <v>0</v>
      </c>
      <c r="CJ54" s="938">
        <f t="shared" si="51"/>
        <v>0</v>
      </c>
      <c r="CK54" s="938">
        <f t="shared" si="52"/>
        <v>0</v>
      </c>
      <c r="CL54" s="938">
        <f t="shared" si="53"/>
        <v>0</v>
      </c>
      <c r="CM54" s="938" t="str">
        <f t="shared" si="54"/>
        <v/>
      </c>
      <c r="CN54" s="713">
        <f>'min. Düngung 22'!AF55</f>
        <v>0</v>
      </c>
      <c r="CO54" s="938"/>
      <c r="CP54" s="938"/>
      <c r="CQ54" s="938">
        <f t="shared" si="55"/>
        <v>0</v>
      </c>
      <c r="CR54" s="938">
        <f t="shared" si="56"/>
        <v>0</v>
      </c>
      <c r="CS54" s="938">
        <f t="shared" si="57"/>
        <v>0</v>
      </c>
      <c r="CT54" s="938">
        <f t="shared" si="58"/>
        <v>0</v>
      </c>
      <c r="CU54" s="938">
        <f t="shared" si="59"/>
        <v>0</v>
      </c>
      <c r="CV54" s="938" t="str">
        <f t="shared" si="60"/>
        <v/>
      </c>
      <c r="CW54" s="713">
        <f>'min. Düngung 22'!AI55</f>
        <v>0</v>
      </c>
      <c r="CX54" s="938"/>
      <c r="CY54" s="938"/>
      <c r="CZ54" s="938">
        <f t="shared" si="61"/>
        <v>0</v>
      </c>
      <c r="DA54" s="938">
        <f t="shared" si="62"/>
        <v>0</v>
      </c>
      <c r="DB54" s="938">
        <f t="shared" si="63"/>
        <v>0</v>
      </c>
      <c r="DC54" s="938">
        <f t="shared" si="64"/>
        <v>0</v>
      </c>
      <c r="DD54" s="938">
        <f t="shared" si="65"/>
        <v>0</v>
      </c>
      <c r="DE54" s="938" t="str">
        <f t="shared" si="66"/>
        <v/>
      </c>
      <c r="DF54" s="713">
        <f>'min. Düngung 22'!AL55</f>
        <v>0</v>
      </c>
      <c r="DG54" s="938"/>
      <c r="DH54" s="938"/>
      <c r="DI54" s="938">
        <f t="shared" si="67"/>
        <v>0</v>
      </c>
      <c r="DJ54" s="938">
        <f t="shared" si="68"/>
        <v>0</v>
      </c>
      <c r="DK54" s="938">
        <f t="shared" si="69"/>
        <v>0</v>
      </c>
      <c r="DL54" s="938">
        <f t="shared" si="70"/>
        <v>0</v>
      </c>
      <c r="DM54" s="938">
        <f t="shared" si="71"/>
        <v>0</v>
      </c>
      <c r="DN54" s="938" t="str">
        <f t="shared" si="72"/>
        <v/>
      </c>
      <c r="DO54" s="713">
        <f>'min. Düngung 22'!AO55</f>
        <v>0</v>
      </c>
      <c r="DP54" s="938"/>
      <c r="DQ54" s="938"/>
      <c r="DR54" s="938">
        <f t="shared" si="73"/>
        <v>0</v>
      </c>
      <c r="DS54" s="938">
        <f t="shared" si="74"/>
        <v>0</v>
      </c>
      <c r="DT54" s="938">
        <f t="shared" si="75"/>
        <v>0</v>
      </c>
      <c r="DU54" s="938">
        <f t="shared" si="76"/>
        <v>0</v>
      </c>
      <c r="DV54" s="938">
        <f t="shared" si="77"/>
        <v>0</v>
      </c>
      <c r="DW54" s="938" t="str">
        <f t="shared" si="78"/>
        <v/>
      </c>
      <c r="DX54" s="713">
        <f>'min. Düngung 22'!AR55</f>
        <v>0</v>
      </c>
      <c r="DY54" s="938"/>
      <c r="DZ54" s="938"/>
      <c r="EA54" s="938">
        <f t="shared" si="79"/>
        <v>0</v>
      </c>
      <c r="EB54" s="938">
        <f t="shared" si="80"/>
        <v>0</v>
      </c>
      <c r="EC54" s="938">
        <f t="shared" si="81"/>
        <v>0</v>
      </c>
      <c r="ED54" s="938">
        <f t="shared" si="82"/>
        <v>0</v>
      </c>
      <c r="EE54" s="938">
        <f t="shared" si="83"/>
        <v>0</v>
      </c>
      <c r="EF54" s="938" t="str">
        <f t="shared" si="84"/>
        <v/>
      </c>
      <c r="EG54" s="713">
        <f>'min. Düngung 22'!AU55</f>
        <v>0</v>
      </c>
      <c r="EH54" s="938"/>
      <c r="EI54" s="938"/>
      <c r="EJ54" s="938">
        <f t="shared" si="85"/>
        <v>0</v>
      </c>
      <c r="EK54" s="938">
        <f t="shared" si="86"/>
        <v>0</v>
      </c>
      <c r="EL54" s="938">
        <f t="shared" si="87"/>
        <v>0</v>
      </c>
      <c r="EM54" s="938">
        <f t="shared" si="88"/>
        <v>0</v>
      </c>
      <c r="EN54" s="938">
        <f t="shared" si="89"/>
        <v>0</v>
      </c>
      <c r="EO54" s="938" t="str">
        <f t="shared" si="90"/>
        <v/>
      </c>
      <c r="EP54" s="713">
        <f>'min. Düngung 22'!AX55</f>
        <v>0</v>
      </c>
      <c r="EQ54" s="938"/>
      <c r="ER54" s="938"/>
      <c r="ES54" s="938">
        <f t="shared" si="91"/>
        <v>0</v>
      </c>
      <c r="ET54" s="938">
        <f t="shared" si="92"/>
        <v>0</v>
      </c>
      <c r="EU54" s="938">
        <f t="shared" si="93"/>
        <v>0</v>
      </c>
      <c r="EV54" s="938">
        <f t="shared" si="94"/>
        <v>0</v>
      </c>
      <c r="EW54" s="938">
        <f t="shared" si="95"/>
        <v>0</v>
      </c>
      <c r="EX54" s="938" t="str">
        <f t="shared" si="96"/>
        <v/>
      </c>
      <c r="EY54" s="713">
        <f>'min. Düngung 22'!BA55</f>
        <v>0</v>
      </c>
      <c r="EZ54" s="938"/>
      <c r="FA54" s="938"/>
      <c r="FB54" s="938">
        <f t="shared" si="97"/>
        <v>0</v>
      </c>
      <c r="FC54" s="938">
        <f t="shared" si="98"/>
        <v>0</v>
      </c>
      <c r="FD54" s="938">
        <f t="shared" si="99"/>
        <v>0</v>
      </c>
      <c r="FE54" s="938">
        <f t="shared" si="100"/>
        <v>0</v>
      </c>
      <c r="FF54" s="938">
        <f t="shared" si="101"/>
        <v>0</v>
      </c>
      <c r="FG54" s="938" t="str">
        <f t="shared" si="102"/>
        <v/>
      </c>
      <c r="FH54" s="713">
        <f>'min. Düngung 22'!BD55</f>
        <v>0</v>
      </c>
      <c r="FI54" s="938"/>
      <c r="FJ54" s="938"/>
      <c r="FK54" s="938">
        <f t="shared" si="103"/>
        <v>0</v>
      </c>
      <c r="FL54" s="938">
        <f t="shared" si="104"/>
        <v>0</v>
      </c>
      <c r="FM54" s="938">
        <f t="shared" si="105"/>
        <v>0</v>
      </c>
      <c r="FN54" s="938">
        <f t="shared" si="106"/>
        <v>0</v>
      </c>
      <c r="FO54" s="938">
        <f t="shared" si="107"/>
        <v>0</v>
      </c>
      <c r="FP54" s="938" t="str">
        <f t="shared" si="108"/>
        <v/>
      </c>
      <c r="FQ54" s="713">
        <f>'min. Düngung 22'!BG55</f>
        <v>0</v>
      </c>
      <c r="FR54" s="938"/>
      <c r="FS54" s="938"/>
      <c r="FT54" s="938">
        <f t="shared" si="109"/>
        <v>0</v>
      </c>
      <c r="FU54" s="938">
        <f t="shared" si="110"/>
        <v>0</v>
      </c>
      <c r="FV54" s="938">
        <f t="shared" si="111"/>
        <v>0</v>
      </c>
      <c r="FW54" s="938">
        <f t="shared" si="112"/>
        <v>0</v>
      </c>
      <c r="FX54" s="938">
        <f t="shared" si="113"/>
        <v>0</v>
      </c>
      <c r="FY54" s="938" t="str">
        <f t="shared" si="114"/>
        <v/>
      </c>
      <c r="FZ54" s="713">
        <f>'min. Düngung 22'!BJ55</f>
        <v>0</v>
      </c>
      <c r="GA54" s="938"/>
      <c r="GB54" s="938"/>
      <c r="GC54" s="938">
        <f t="shared" si="115"/>
        <v>0</v>
      </c>
      <c r="GD54" s="938">
        <f t="shared" si="116"/>
        <v>0</v>
      </c>
      <c r="GE54" s="938">
        <f t="shared" si="117"/>
        <v>0</v>
      </c>
      <c r="GF54" s="938">
        <f t="shared" si="118"/>
        <v>0</v>
      </c>
      <c r="GG54" s="938">
        <f t="shared" si="119"/>
        <v>0</v>
      </c>
      <c r="GH54" s="938" t="str">
        <f t="shared" si="120"/>
        <v/>
      </c>
      <c r="GI54" s="713">
        <f>'min. Düngung 22'!BM55</f>
        <v>0</v>
      </c>
      <c r="GJ54" s="938"/>
      <c r="GK54" s="938"/>
      <c r="GL54" s="938">
        <f t="shared" si="121"/>
        <v>0</v>
      </c>
      <c r="GM54" s="938">
        <f t="shared" si="122"/>
        <v>0</v>
      </c>
      <c r="GN54" s="938">
        <f t="shared" si="123"/>
        <v>0</v>
      </c>
      <c r="GO54" s="938">
        <f t="shared" si="124"/>
        <v>0</v>
      </c>
      <c r="GP54" s="938">
        <f t="shared" si="125"/>
        <v>0</v>
      </c>
      <c r="GQ54" s="938" t="str">
        <f t="shared" si="126"/>
        <v/>
      </c>
      <c r="GR54" s="713">
        <f>'min. Düngung 22'!BP55</f>
        <v>0</v>
      </c>
      <c r="GS54" s="938"/>
      <c r="GT54" s="938"/>
      <c r="GU54" s="938">
        <f t="shared" si="127"/>
        <v>0</v>
      </c>
      <c r="GV54" s="938">
        <f t="shared" si="128"/>
        <v>0</v>
      </c>
      <c r="GW54" s="938">
        <f t="shared" si="129"/>
        <v>0</v>
      </c>
      <c r="GX54" s="938">
        <f t="shared" si="130"/>
        <v>0</v>
      </c>
      <c r="GY54" s="938">
        <f t="shared" si="131"/>
        <v>0</v>
      </c>
      <c r="GZ54" s="938" t="str">
        <f t="shared" si="132"/>
        <v/>
      </c>
      <c r="HA54" s="713">
        <f>'min. Düngung 22'!BS55</f>
        <v>0</v>
      </c>
      <c r="HB54" s="938"/>
      <c r="HC54" s="938"/>
      <c r="HD54" s="938">
        <f t="shared" si="133"/>
        <v>0</v>
      </c>
      <c r="HE54" s="938">
        <f t="shared" si="134"/>
        <v>0</v>
      </c>
      <c r="HF54" s="938">
        <f t="shared" si="135"/>
        <v>0</v>
      </c>
      <c r="HG54" s="938">
        <f t="shared" si="136"/>
        <v>0</v>
      </c>
      <c r="HH54" s="938">
        <f t="shared" si="137"/>
        <v>0</v>
      </c>
      <c r="HI54" s="938" t="str">
        <f t="shared" si="138"/>
        <v/>
      </c>
      <c r="HJ54" s="713">
        <f>'min. Düngung 22'!BV55</f>
        <v>0</v>
      </c>
      <c r="HK54" s="938"/>
      <c r="HL54" s="938"/>
      <c r="HM54" s="938">
        <f t="shared" si="139"/>
        <v>0</v>
      </c>
      <c r="HN54" s="938">
        <f t="shared" si="140"/>
        <v>0</v>
      </c>
      <c r="HO54" s="938">
        <f t="shared" si="141"/>
        <v>0</v>
      </c>
      <c r="HP54" s="938">
        <f t="shared" si="142"/>
        <v>0</v>
      </c>
      <c r="HQ54" s="938">
        <f t="shared" si="143"/>
        <v>0</v>
      </c>
      <c r="HR54" s="938" t="str">
        <f t="shared" si="144"/>
        <v/>
      </c>
      <c r="HS54" s="713">
        <f>'min. Düngung 22'!BY55</f>
        <v>0</v>
      </c>
      <c r="HT54" s="938"/>
      <c r="HU54" s="938"/>
      <c r="HV54" s="938">
        <f t="shared" si="145"/>
        <v>0</v>
      </c>
      <c r="HW54" s="938">
        <f t="shared" si="146"/>
        <v>0</v>
      </c>
      <c r="HX54" s="938">
        <f t="shared" si="147"/>
        <v>0</v>
      </c>
      <c r="HY54" s="938">
        <f t="shared" si="148"/>
        <v>0</v>
      </c>
      <c r="HZ54" s="938">
        <f t="shared" si="149"/>
        <v>0</v>
      </c>
      <c r="IA54" s="938" t="str">
        <f t="shared" si="150"/>
        <v/>
      </c>
      <c r="IB54" s="713">
        <f>'min. Düngung 22'!CB55</f>
        <v>0</v>
      </c>
      <c r="IC54" s="938"/>
      <c r="ID54" s="938"/>
      <c r="IE54" s="938">
        <f t="shared" si="151"/>
        <v>0</v>
      </c>
      <c r="IF54" s="938">
        <f t="shared" si="152"/>
        <v>0</v>
      </c>
      <c r="IG54" s="938">
        <f t="shared" si="153"/>
        <v>0</v>
      </c>
      <c r="IH54" s="938">
        <f t="shared" si="154"/>
        <v>0</v>
      </c>
      <c r="II54" s="938">
        <f t="shared" si="155"/>
        <v>0</v>
      </c>
      <c r="IJ54" s="938" t="str">
        <f t="shared" si="156"/>
        <v/>
      </c>
      <c r="IK54" s="713">
        <f>'min. Düngung 22'!CE55</f>
        <v>0</v>
      </c>
      <c r="IL54" s="938"/>
      <c r="IM54" s="938"/>
      <c r="IN54" s="938">
        <f t="shared" si="157"/>
        <v>0</v>
      </c>
      <c r="IO54" s="938">
        <f t="shared" si="158"/>
        <v>0</v>
      </c>
      <c r="IP54" s="938">
        <f t="shared" si="159"/>
        <v>0</v>
      </c>
      <c r="IQ54" s="938">
        <f t="shared" si="160"/>
        <v>0</v>
      </c>
      <c r="IR54" s="938">
        <f t="shared" si="161"/>
        <v>0</v>
      </c>
      <c r="IS54" s="938" t="str">
        <f t="shared" si="162"/>
        <v/>
      </c>
      <c r="IT54" s="713">
        <f>'min. Düngung 22'!CH55</f>
        <v>0</v>
      </c>
      <c r="IU54" s="938"/>
      <c r="IV54" s="938"/>
      <c r="IW54" s="938">
        <f t="shared" si="163"/>
        <v>0</v>
      </c>
      <c r="IX54" s="938">
        <f t="shared" si="164"/>
        <v>0</v>
      </c>
      <c r="IY54" s="938">
        <f t="shared" si="165"/>
        <v>0</v>
      </c>
      <c r="IZ54" s="938">
        <f t="shared" si="166"/>
        <v>0</v>
      </c>
      <c r="JA54" s="938">
        <f t="shared" si="167"/>
        <v>0</v>
      </c>
      <c r="JB54" s="938" t="str">
        <f t="shared" si="168"/>
        <v/>
      </c>
      <c r="JC54" s="713">
        <f>'min. Düngung 22'!CK55</f>
        <v>0</v>
      </c>
      <c r="JD54" s="938"/>
      <c r="JE54" s="938"/>
      <c r="JF54" s="938">
        <f t="shared" si="169"/>
        <v>0</v>
      </c>
      <c r="JG54" s="938">
        <f t="shared" si="170"/>
        <v>0</v>
      </c>
      <c r="JH54" s="938">
        <f t="shared" si="171"/>
        <v>0</v>
      </c>
      <c r="JI54" s="938">
        <f t="shared" si="172"/>
        <v>0</v>
      </c>
      <c r="JJ54" s="938">
        <f t="shared" si="173"/>
        <v>0</v>
      </c>
      <c r="JK54" s="938" t="str">
        <f t="shared" si="174"/>
        <v/>
      </c>
      <c r="JL54" s="713">
        <f>'min. Düngung 22'!CN55</f>
        <v>0</v>
      </c>
      <c r="JM54" s="938"/>
      <c r="JN54" s="938"/>
      <c r="JO54" s="938">
        <f t="shared" si="175"/>
        <v>0</v>
      </c>
      <c r="JP54" s="938">
        <f t="shared" si="176"/>
        <v>0</v>
      </c>
      <c r="JQ54" s="938">
        <f t="shared" si="177"/>
        <v>0</v>
      </c>
      <c r="JR54" s="938">
        <f t="shared" si="178"/>
        <v>0</v>
      </c>
      <c r="JS54" s="938">
        <f t="shared" si="179"/>
        <v>0</v>
      </c>
      <c r="JT54" s="938" t="str">
        <f t="shared" si="180"/>
        <v/>
      </c>
      <c r="JU54" s="713">
        <f>'min. Düngung 22'!CQ55</f>
        <v>0</v>
      </c>
      <c r="JV54" s="938"/>
      <c r="JW54" s="938"/>
      <c r="JX54" s="938">
        <f t="shared" si="181"/>
        <v>0</v>
      </c>
      <c r="JY54" s="938">
        <f t="shared" si="182"/>
        <v>0</v>
      </c>
      <c r="JZ54" s="938">
        <f t="shared" si="183"/>
        <v>0</v>
      </c>
      <c r="KA54" s="938">
        <f t="shared" si="184"/>
        <v>0</v>
      </c>
      <c r="KB54" s="938">
        <f t="shared" si="185"/>
        <v>0</v>
      </c>
      <c r="KC54" s="938" t="str">
        <f t="shared" si="186"/>
        <v/>
      </c>
      <c r="KE54" s="938"/>
      <c r="KF54" s="938" t="str">
        <f>IF(AND($F54=2,$G54=1),"",IF(OR($Q54&gt;0,$O54&gt;60),$KF$7,IF(I54=70,"",IF(AND(I54=80,R54+'#orgDung'!AC57&lt;60,K54=1,OR(C54=2,'#BerechnungDBE'!AH48=4)),"",IF(R54&gt;0,$KF$7,"")))))</f>
        <v/>
      </c>
      <c r="KG54" s="938" t="str">
        <f>IF(AND(P54&gt;'#BerechnungDBE'!BJ48,P54&gt;0),'#minDung'!$KG$7,"")</f>
        <v/>
      </c>
      <c r="KH54" s="938" t="str">
        <f>IF(AND(I54=70,R54&gt;'#BerechnungDBE'!CR48),'#minDung'!$KH$7,"")</f>
        <v/>
      </c>
      <c r="KI54" s="938" t="str">
        <f>IF('#BerechnungDBE'!P48&lt;4,"",IF(AND('#BerechnungDBE'!BZ48&gt;0,N54&gt;0),$KI$7,""))</f>
        <v/>
      </c>
      <c r="KJ54" s="938" t="str">
        <f t="shared" si="5"/>
        <v/>
      </c>
    </row>
    <row r="55" spans="1:296" s="875" customFormat="1" hidden="1" x14ac:dyDescent="0.2">
      <c r="A55" s="875">
        <f>'Flächen u. Kulturen'!A54</f>
        <v>45</v>
      </c>
      <c r="B55" s="734">
        <f>'#BerechnungDBE'!L49</f>
        <v>0</v>
      </c>
      <c r="C55" s="46">
        <f>'#orgDung'!C58</f>
        <v>1</v>
      </c>
      <c r="D55" s="875">
        <f>'#BerechnungDBE'!T49</f>
        <v>2</v>
      </c>
      <c r="E55" s="875" t="str">
        <f>'Flächen u. Kulturen'!E54</f>
        <v>x</v>
      </c>
      <c r="F55" s="52">
        <f>'#BerechnungDBE'!N49</f>
        <v>1</v>
      </c>
      <c r="G55" s="52">
        <f>'#BerechnungDBE'!O49</f>
        <v>1</v>
      </c>
      <c r="H55" s="505">
        <f>'#orgDung'!J58</f>
        <v>2</v>
      </c>
      <c r="I55" s="875">
        <f>'#BerechnungDBE'!AF49</f>
        <v>0</v>
      </c>
      <c r="J55" s="875">
        <f>'#orgDung'!M58</f>
        <v>0</v>
      </c>
      <c r="K55" s="875">
        <f>'#BerechnungDBE'!AG49</f>
        <v>0</v>
      </c>
      <c r="M55" s="875">
        <f t="shared" si="187"/>
        <v>0</v>
      </c>
      <c r="N55" s="875">
        <f t="shared" si="188"/>
        <v>0</v>
      </c>
      <c r="O55" s="875">
        <f t="shared" si="189"/>
        <v>0</v>
      </c>
      <c r="P55" s="875">
        <f t="shared" si="190"/>
        <v>0</v>
      </c>
      <c r="Q55" s="938">
        <f t="shared" si="6"/>
        <v>0</v>
      </c>
      <c r="R55" s="875">
        <f t="shared" si="191"/>
        <v>0</v>
      </c>
      <c r="T55" s="713">
        <f>'min. Düngung 22'!H56</f>
        <v>0</v>
      </c>
      <c r="W55" s="875">
        <f t="shared" si="7"/>
        <v>0</v>
      </c>
      <c r="X55" s="875">
        <f t="shared" si="8"/>
        <v>0</v>
      </c>
      <c r="Y55" s="875">
        <f t="shared" si="9"/>
        <v>0</v>
      </c>
      <c r="Z55" s="875">
        <f t="shared" si="10"/>
        <v>0</v>
      </c>
      <c r="AA55" s="875">
        <f t="shared" si="11"/>
        <v>0</v>
      </c>
      <c r="AB55" s="875" t="str">
        <f t="shared" si="12"/>
        <v/>
      </c>
      <c r="AC55" s="713">
        <f>'min. Düngung 22'!K56</f>
        <v>0</v>
      </c>
      <c r="AD55" s="938"/>
      <c r="AE55" s="938"/>
      <c r="AF55" s="938">
        <f t="shared" si="13"/>
        <v>0</v>
      </c>
      <c r="AG55" s="938">
        <f t="shared" si="14"/>
        <v>0</v>
      </c>
      <c r="AH55" s="938">
        <f t="shared" si="15"/>
        <v>0</v>
      </c>
      <c r="AI55" s="938">
        <f t="shared" si="16"/>
        <v>0</v>
      </c>
      <c r="AJ55" s="938">
        <f t="shared" si="17"/>
        <v>0</v>
      </c>
      <c r="AK55" s="938">
        <f t="shared" si="18"/>
        <v>0</v>
      </c>
      <c r="AL55" s="713">
        <f>'min. Düngung 22'!N56</f>
        <v>0</v>
      </c>
      <c r="AM55" s="938"/>
      <c r="AN55" s="938"/>
      <c r="AO55" s="938">
        <f t="shared" si="19"/>
        <v>0</v>
      </c>
      <c r="AP55" s="938">
        <f t="shared" si="20"/>
        <v>0</v>
      </c>
      <c r="AQ55" s="938">
        <f t="shared" si="21"/>
        <v>0</v>
      </c>
      <c r="AR55" s="938">
        <f t="shared" si="22"/>
        <v>0</v>
      </c>
      <c r="AS55" s="938">
        <f t="shared" si="23"/>
        <v>0</v>
      </c>
      <c r="AT55" s="938" t="str">
        <f t="shared" si="24"/>
        <v/>
      </c>
      <c r="AU55" s="713">
        <f>'min. Düngung 22'!Q56</f>
        <v>0</v>
      </c>
      <c r="AV55" s="938"/>
      <c r="AW55" s="938"/>
      <c r="AX55" s="938">
        <f t="shared" si="25"/>
        <v>0</v>
      </c>
      <c r="AY55" s="938">
        <f t="shared" si="26"/>
        <v>0</v>
      </c>
      <c r="AZ55" s="938">
        <f t="shared" si="27"/>
        <v>0</v>
      </c>
      <c r="BA55" s="938">
        <f t="shared" si="28"/>
        <v>0</v>
      </c>
      <c r="BB55" s="938">
        <f t="shared" si="29"/>
        <v>0</v>
      </c>
      <c r="BC55" s="938" t="str">
        <f t="shared" si="30"/>
        <v/>
      </c>
      <c r="BD55" s="713">
        <f>'min. Düngung 22'!T56</f>
        <v>0</v>
      </c>
      <c r="BE55" s="938"/>
      <c r="BF55" s="938"/>
      <c r="BG55" s="938">
        <f t="shared" si="31"/>
        <v>0</v>
      </c>
      <c r="BH55" s="938">
        <f t="shared" si="32"/>
        <v>0</v>
      </c>
      <c r="BI55" s="938">
        <f t="shared" si="33"/>
        <v>0</v>
      </c>
      <c r="BJ55" s="938">
        <f t="shared" si="34"/>
        <v>0</v>
      </c>
      <c r="BK55" s="938">
        <f t="shared" si="35"/>
        <v>0</v>
      </c>
      <c r="BL55" s="938" t="str">
        <f t="shared" si="36"/>
        <v/>
      </c>
      <c r="BM55" s="713">
        <f>'min. Düngung 22'!W56</f>
        <v>0</v>
      </c>
      <c r="BN55" s="938"/>
      <c r="BO55" s="938"/>
      <c r="BP55" s="938">
        <f t="shared" si="37"/>
        <v>0</v>
      </c>
      <c r="BQ55" s="938">
        <f t="shared" si="38"/>
        <v>0</v>
      </c>
      <c r="BR55" s="938">
        <f t="shared" si="39"/>
        <v>0</v>
      </c>
      <c r="BS55" s="938">
        <f t="shared" si="40"/>
        <v>0</v>
      </c>
      <c r="BT55" s="938">
        <f t="shared" si="41"/>
        <v>0</v>
      </c>
      <c r="BU55" s="938" t="str">
        <f t="shared" si="42"/>
        <v/>
      </c>
      <c r="BV55" s="713">
        <f>'min. Düngung 22'!Z56</f>
        <v>0</v>
      </c>
      <c r="BW55" s="938"/>
      <c r="BX55" s="938"/>
      <c r="BY55" s="938">
        <f t="shared" si="43"/>
        <v>0</v>
      </c>
      <c r="BZ55" s="938">
        <f t="shared" si="44"/>
        <v>0</v>
      </c>
      <c r="CA55" s="938">
        <f t="shared" si="45"/>
        <v>0</v>
      </c>
      <c r="CB55" s="938">
        <f t="shared" si="46"/>
        <v>0</v>
      </c>
      <c r="CC55" s="938">
        <f t="shared" si="47"/>
        <v>0</v>
      </c>
      <c r="CD55" s="938" t="str">
        <f t="shared" si="48"/>
        <v/>
      </c>
      <c r="CE55" s="713">
        <f>'min. Düngung 22'!AC56</f>
        <v>0</v>
      </c>
      <c r="CF55" s="938"/>
      <c r="CG55" s="938"/>
      <c r="CH55" s="938">
        <f t="shared" si="49"/>
        <v>0</v>
      </c>
      <c r="CI55" s="938">
        <f t="shared" si="50"/>
        <v>0</v>
      </c>
      <c r="CJ55" s="938">
        <f t="shared" si="51"/>
        <v>0</v>
      </c>
      <c r="CK55" s="938">
        <f t="shared" si="52"/>
        <v>0</v>
      </c>
      <c r="CL55" s="938">
        <f t="shared" si="53"/>
        <v>0</v>
      </c>
      <c r="CM55" s="938" t="str">
        <f t="shared" si="54"/>
        <v/>
      </c>
      <c r="CN55" s="713">
        <f>'min. Düngung 22'!AF56</f>
        <v>0</v>
      </c>
      <c r="CO55" s="938"/>
      <c r="CP55" s="938"/>
      <c r="CQ55" s="938">
        <f t="shared" si="55"/>
        <v>0</v>
      </c>
      <c r="CR55" s="938">
        <f t="shared" si="56"/>
        <v>0</v>
      </c>
      <c r="CS55" s="938">
        <f t="shared" si="57"/>
        <v>0</v>
      </c>
      <c r="CT55" s="938">
        <f t="shared" si="58"/>
        <v>0</v>
      </c>
      <c r="CU55" s="938">
        <f t="shared" si="59"/>
        <v>0</v>
      </c>
      <c r="CV55" s="938" t="str">
        <f t="shared" si="60"/>
        <v/>
      </c>
      <c r="CW55" s="713">
        <f>'min. Düngung 22'!AI56</f>
        <v>0</v>
      </c>
      <c r="CX55" s="938"/>
      <c r="CY55" s="938"/>
      <c r="CZ55" s="938">
        <f t="shared" si="61"/>
        <v>0</v>
      </c>
      <c r="DA55" s="938">
        <f t="shared" si="62"/>
        <v>0</v>
      </c>
      <c r="DB55" s="938">
        <f t="shared" si="63"/>
        <v>0</v>
      </c>
      <c r="DC55" s="938">
        <f t="shared" si="64"/>
        <v>0</v>
      </c>
      <c r="DD55" s="938">
        <f t="shared" si="65"/>
        <v>0</v>
      </c>
      <c r="DE55" s="938" t="str">
        <f t="shared" si="66"/>
        <v/>
      </c>
      <c r="DF55" s="713">
        <f>'min. Düngung 22'!AL56</f>
        <v>0</v>
      </c>
      <c r="DG55" s="938"/>
      <c r="DH55" s="938"/>
      <c r="DI55" s="938">
        <f t="shared" si="67"/>
        <v>0</v>
      </c>
      <c r="DJ55" s="938">
        <f t="shared" si="68"/>
        <v>0</v>
      </c>
      <c r="DK55" s="938">
        <f t="shared" si="69"/>
        <v>0</v>
      </c>
      <c r="DL55" s="938">
        <f t="shared" si="70"/>
        <v>0</v>
      </c>
      <c r="DM55" s="938">
        <f t="shared" si="71"/>
        <v>0</v>
      </c>
      <c r="DN55" s="938" t="str">
        <f t="shared" si="72"/>
        <v/>
      </c>
      <c r="DO55" s="713">
        <f>'min. Düngung 22'!AO56</f>
        <v>0</v>
      </c>
      <c r="DP55" s="938"/>
      <c r="DQ55" s="938"/>
      <c r="DR55" s="938">
        <f t="shared" si="73"/>
        <v>0</v>
      </c>
      <c r="DS55" s="938">
        <f t="shared" si="74"/>
        <v>0</v>
      </c>
      <c r="DT55" s="938">
        <f t="shared" si="75"/>
        <v>0</v>
      </c>
      <c r="DU55" s="938">
        <f t="shared" si="76"/>
        <v>0</v>
      </c>
      <c r="DV55" s="938">
        <f t="shared" si="77"/>
        <v>0</v>
      </c>
      <c r="DW55" s="938" t="str">
        <f t="shared" si="78"/>
        <v/>
      </c>
      <c r="DX55" s="713">
        <f>'min. Düngung 22'!AR56</f>
        <v>0</v>
      </c>
      <c r="DY55" s="938"/>
      <c r="DZ55" s="938"/>
      <c r="EA55" s="938">
        <f t="shared" si="79"/>
        <v>0</v>
      </c>
      <c r="EB55" s="938">
        <f t="shared" si="80"/>
        <v>0</v>
      </c>
      <c r="EC55" s="938">
        <f t="shared" si="81"/>
        <v>0</v>
      </c>
      <c r="ED55" s="938">
        <f t="shared" si="82"/>
        <v>0</v>
      </c>
      <c r="EE55" s="938">
        <f t="shared" si="83"/>
        <v>0</v>
      </c>
      <c r="EF55" s="938" t="str">
        <f t="shared" si="84"/>
        <v/>
      </c>
      <c r="EG55" s="713">
        <f>'min. Düngung 22'!AU56</f>
        <v>0</v>
      </c>
      <c r="EH55" s="938"/>
      <c r="EI55" s="938"/>
      <c r="EJ55" s="938">
        <f t="shared" si="85"/>
        <v>0</v>
      </c>
      <c r="EK55" s="938">
        <f t="shared" si="86"/>
        <v>0</v>
      </c>
      <c r="EL55" s="938">
        <f t="shared" si="87"/>
        <v>0</v>
      </c>
      <c r="EM55" s="938">
        <f t="shared" si="88"/>
        <v>0</v>
      </c>
      <c r="EN55" s="938">
        <f t="shared" si="89"/>
        <v>0</v>
      </c>
      <c r="EO55" s="938" t="str">
        <f t="shared" si="90"/>
        <v/>
      </c>
      <c r="EP55" s="713">
        <f>'min. Düngung 22'!AX56</f>
        <v>0</v>
      </c>
      <c r="EQ55" s="938"/>
      <c r="ER55" s="938"/>
      <c r="ES55" s="938">
        <f t="shared" si="91"/>
        <v>0</v>
      </c>
      <c r="ET55" s="938">
        <f t="shared" si="92"/>
        <v>0</v>
      </c>
      <c r="EU55" s="938">
        <f t="shared" si="93"/>
        <v>0</v>
      </c>
      <c r="EV55" s="938">
        <f t="shared" si="94"/>
        <v>0</v>
      </c>
      <c r="EW55" s="938">
        <f t="shared" si="95"/>
        <v>0</v>
      </c>
      <c r="EX55" s="938" t="str">
        <f t="shared" si="96"/>
        <v/>
      </c>
      <c r="EY55" s="713">
        <f>'min. Düngung 22'!BA56</f>
        <v>0</v>
      </c>
      <c r="EZ55" s="938"/>
      <c r="FA55" s="938"/>
      <c r="FB55" s="938">
        <f t="shared" si="97"/>
        <v>0</v>
      </c>
      <c r="FC55" s="938">
        <f t="shared" si="98"/>
        <v>0</v>
      </c>
      <c r="FD55" s="938">
        <f t="shared" si="99"/>
        <v>0</v>
      </c>
      <c r="FE55" s="938">
        <f t="shared" si="100"/>
        <v>0</v>
      </c>
      <c r="FF55" s="938">
        <f t="shared" si="101"/>
        <v>0</v>
      </c>
      <c r="FG55" s="938" t="str">
        <f t="shared" si="102"/>
        <v/>
      </c>
      <c r="FH55" s="713">
        <f>'min. Düngung 22'!BD56</f>
        <v>0</v>
      </c>
      <c r="FI55" s="938"/>
      <c r="FJ55" s="938"/>
      <c r="FK55" s="938">
        <f t="shared" si="103"/>
        <v>0</v>
      </c>
      <c r="FL55" s="938">
        <f t="shared" si="104"/>
        <v>0</v>
      </c>
      <c r="FM55" s="938">
        <f t="shared" si="105"/>
        <v>0</v>
      </c>
      <c r="FN55" s="938">
        <f t="shared" si="106"/>
        <v>0</v>
      </c>
      <c r="FO55" s="938">
        <f t="shared" si="107"/>
        <v>0</v>
      </c>
      <c r="FP55" s="938" t="str">
        <f t="shared" si="108"/>
        <v/>
      </c>
      <c r="FQ55" s="713">
        <f>'min. Düngung 22'!BG56</f>
        <v>0</v>
      </c>
      <c r="FR55" s="938"/>
      <c r="FS55" s="938"/>
      <c r="FT55" s="938">
        <f t="shared" si="109"/>
        <v>0</v>
      </c>
      <c r="FU55" s="938">
        <f t="shared" si="110"/>
        <v>0</v>
      </c>
      <c r="FV55" s="938">
        <f t="shared" si="111"/>
        <v>0</v>
      </c>
      <c r="FW55" s="938">
        <f t="shared" si="112"/>
        <v>0</v>
      </c>
      <c r="FX55" s="938">
        <f t="shared" si="113"/>
        <v>0</v>
      </c>
      <c r="FY55" s="938" t="str">
        <f t="shared" si="114"/>
        <v/>
      </c>
      <c r="FZ55" s="713">
        <f>'min. Düngung 22'!BJ56</f>
        <v>0</v>
      </c>
      <c r="GA55" s="938"/>
      <c r="GB55" s="938"/>
      <c r="GC55" s="938">
        <f t="shared" si="115"/>
        <v>0</v>
      </c>
      <c r="GD55" s="938">
        <f t="shared" si="116"/>
        <v>0</v>
      </c>
      <c r="GE55" s="938">
        <f t="shared" si="117"/>
        <v>0</v>
      </c>
      <c r="GF55" s="938">
        <f t="shared" si="118"/>
        <v>0</v>
      </c>
      <c r="GG55" s="938">
        <f t="shared" si="119"/>
        <v>0</v>
      </c>
      <c r="GH55" s="938" t="str">
        <f t="shared" si="120"/>
        <v/>
      </c>
      <c r="GI55" s="713">
        <f>'min. Düngung 22'!BM56</f>
        <v>0</v>
      </c>
      <c r="GJ55" s="938"/>
      <c r="GK55" s="938"/>
      <c r="GL55" s="938">
        <f t="shared" si="121"/>
        <v>0</v>
      </c>
      <c r="GM55" s="938">
        <f t="shared" si="122"/>
        <v>0</v>
      </c>
      <c r="GN55" s="938">
        <f t="shared" si="123"/>
        <v>0</v>
      </c>
      <c r="GO55" s="938">
        <f t="shared" si="124"/>
        <v>0</v>
      </c>
      <c r="GP55" s="938">
        <f t="shared" si="125"/>
        <v>0</v>
      </c>
      <c r="GQ55" s="938" t="str">
        <f t="shared" si="126"/>
        <v/>
      </c>
      <c r="GR55" s="713">
        <f>'min. Düngung 22'!BP56</f>
        <v>0</v>
      </c>
      <c r="GS55" s="938"/>
      <c r="GT55" s="938"/>
      <c r="GU55" s="938">
        <f t="shared" si="127"/>
        <v>0</v>
      </c>
      <c r="GV55" s="938">
        <f t="shared" si="128"/>
        <v>0</v>
      </c>
      <c r="GW55" s="938">
        <f t="shared" si="129"/>
        <v>0</v>
      </c>
      <c r="GX55" s="938">
        <f t="shared" si="130"/>
        <v>0</v>
      </c>
      <c r="GY55" s="938">
        <f t="shared" si="131"/>
        <v>0</v>
      </c>
      <c r="GZ55" s="938" t="str">
        <f t="shared" si="132"/>
        <v/>
      </c>
      <c r="HA55" s="713">
        <f>'min. Düngung 22'!BS56</f>
        <v>0</v>
      </c>
      <c r="HB55" s="938"/>
      <c r="HC55" s="938"/>
      <c r="HD55" s="938">
        <f t="shared" si="133"/>
        <v>0</v>
      </c>
      <c r="HE55" s="938">
        <f t="shared" si="134"/>
        <v>0</v>
      </c>
      <c r="HF55" s="938">
        <f t="shared" si="135"/>
        <v>0</v>
      </c>
      <c r="HG55" s="938">
        <f t="shared" si="136"/>
        <v>0</v>
      </c>
      <c r="HH55" s="938">
        <f t="shared" si="137"/>
        <v>0</v>
      </c>
      <c r="HI55" s="938" t="str">
        <f t="shared" si="138"/>
        <v/>
      </c>
      <c r="HJ55" s="713">
        <f>'min. Düngung 22'!BV56</f>
        <v>0</v>
      </c>
      <c r="HK55" s="938"/>
      <c r="HL55" s="938"/>
      <c r="HM55" s="938">
        <f t="shared" si="139"/>
        <v>0</v>
      </c>
      <c r="HN55" s="938">
        <f t="shared" si="140"/>
        <v>0</v>
      </c>
      <c r="HO55" s="938">
        <f t="shared" si="141"/>
        <v>0</v>
      </c>
      <c r="HP55" s="938">
        <f t="shared" si="142"/>
        <v>0</v>
      </c>
      <c r="HQ55" s="938">
        <f t="shared" si="143"/>
        <v>0</v>
      </c>
      <c r="HR55" s="938" t="str">
        <f t="shared" si="144"/>
        <v/>
      </c>
      <c r="HS55" s="713">
        <f>'min. Düngung 22'!BY56</f>
        <v>0</v>
      </c>
      <c r="HT55" s="938"/>
      <c r="HU55" s="938"/>
      <c r="HV55" s="938">
        <f t="shared" si="145"/>
        <v>0</v>
      </c>
      <c r="HW55" s="938">
        <f t="shared" si="146"/>
        <v>0</v>
      </c>
      <c r="HX55" s="938">
        <f t="shared" si="147"/>
        <v>0</v>
      </c>
      <c r="HY55" s="938">
        <f t="shared" si="148"/>
        <v>0</v>
      </c>
      <c r="HZ55" s="938">
        <f t="shared" si="149"/>
        <v>0</v>
      </c>
      <c r="IA55" s="938" t="str">
        <f t="shared" si="150"/>
        <v/>
      </c>
      <c r="IB55" s="713">
        <f>'min. Düngung 22'!CB56</f>
        <v>0</v>
      </c>
      <c r="IC55" s="938"/>
      <c r="ID55" s="938"/>
      <c r="IE55" s="938">
        <f t="shared" si="151"/>
        <v>0</v>
      </c>
      <c r="IF55" s="938">
        <f t="shared" si="152"/>
        <v>0</v>
      </c>
      <c r="IG55" s="938">
        <f t="shared" si="153"/>
        <v>0</v>
      </c>
      <c r="IH55" s="938">
        <f t="shared" si="154"/>
        <v>0</v>
      </c>
      <c r="II55" s="938">
        <f t="shared" si="155"/>
        <v>0</v>
      </c>
      <c r="IJ55" s="938" t="str">
        <f t="shared" si="156"/>
        <v/>
      </c>
      <c r="IK55" s="713">
        <f>'min. Düngung 22'!CE56</f>
        <v>0</v>
      </c>
      <c r="IL55" s="938"/>
      <c r="IM55" s="938"/>
      <c r="IN55" s="938">
        <f t="shared" si="157"/>
        <v>0</v>
      </c>
      <c r="IO55" s="938">
        <f t="shared" si="158"/>
        <v>0</v>
      </c>
      <c r="IP55" s="938">
        <f t="shared" si="159"/>
        <v>0</v>
      </c>
      <c r="IQ55" s="938">
        <f t="shared" si="160"/>
        <v>0</v>
      </c>
      <c r="IR55" s="938">
        <f t="shared" si="161"/>
        <v>0</v>
      </c>
      <c r="IS55" s="938" t="str">
        <f t="shared" si="162"/>
        <v/>
      </c>
      <c r="IT55" s="713">
        <f>'min. Düngung 22'!CH56</f>
        <v>0</v>
      </c>
      <c r="IU55" s="938"/>
      <c r="IV55" s="938"/>
      <c r="IW55" s="938">
        <f t="shared" si="163"/>
        <v>0</v>
      </c>
      <c r="IX55" s="938">
        <f t="shared" si="164"/>
        <v>0</v>
      </c>
      <c r="IY55" s="938">
        <f t="shared" si="165"/>
        <v>0</v>
      </c>
      <c r="IZ55" s="938">
        <f t="shared" si="166"/>
        <v>0</v>
      </c>
      <c r="JA55" s="938">
        <f t="shared" si="167"/>
        <v>0</v>
      </c>
      <c r="JB55" s="938" t="str">
        <f t="shared" si="168"/>
        <v/>
      </c>
      <c r="JC55" s="713">
        <f>'min. Düngung 22'!CK56</f>
        <v>0</v>
      </c>
      <c r="JD55" s="938"/>
      <c r="JE55" s="938"/>
      <c r="JF55" s="938">
        <f t="shared" si="169"/>
        <v>0</v>
      </c>
      <c r="JG55" s="938">
        <f t="shared" si="170"/>
        <v>0</v>
      </c>
      <c r="JH55" s="938">
        <f t="shared" si="171"/>
        <v>0</v>
      </c>
      <c r="JI55" s="938">
        <f t="shared" si="172"/>
        <v>0</v>
      </c>
      <c r="JJ55" s="938">
        <f t="shared" si="173"/>
        <v>0</v>
      </c>
      <c r="JK55" s="938" t="str">
        <f t="shared" si="174"/>
        <v/>
      </c>
      <c r="JL55" s="713">
        <f>'min. Düngung 22'!CN56</f>
        <v>0</v>
      </c>
      <c r="JM55" s="938"/>
      <c r="JN55" s="938"/>
      <c r="JO55" s="938">
        <f t="shared" si="175"/>
        <v>0</v>
      </c>
      <c r="JP55" s="938">
        <f t="shared" si="176"/>
        <v>0</v>
      </c>
      <c r="JQ55" s="938">
        <f t="shared" si="177"/>
        <v>0</v>
      </c>
      <c r="JR55" s="938">
        <f t="shared" si="178"/>
        <v>0</v>
      </c>
      <c r="JS55" s="938">
        <f t="shared" si="179"/>
        <v>0</v>
      </c>
      <c r="JT55" s="938" t="str">
        <f t="shared" si="180"/>
        <v/>
      </c>
      <c r="JU55" s="713">
        <f>'min. Düngung 22'!CQ56</f>
        <v>0</v>
      </c>
      <c r="JV55" s="938"/>
      <c r="JW55" s="938"/>
      <c r="JX55" s="938">
        <f t="shared" si="181"/>
        <v>0</v>
      </c>
      <c r="JY55" s="938">
        <f t="shared" si="182"/>
        <v>0</v>
      </c>
      <c r="JZ55" s="938">
        <f t="shared" si="183"/>
        <v>0</v>
      </c>
      <c r="KA55" s="938">
        <f t="shared" si="184"/>
        <v>0</v>
      </c>
      <c r="KB55" s="938">
        <f t="shared" si="185"/>
        <v>0</v>
      </c>
      <c r="KC55" s="938" t="str">
        <f t="shared" si="186"/>
        <v/>
      </c>
      <c r="KE55" s="938"/>
      <c r="KF55" s="938" t="str">
        <f>IF(AND($F55=2,$G55=1),"",IF(OR($Q55&gt;0,$O55&gt;60),$KF$7,IF(I55=70,"",IF(AND(I55=80,R55+'#orgDung'!AC58&lt;60,K55=1,OR(C55=2,'#BerechnungDBE'!AH49=4)),"",IF(R55&gt;0,$KF$7,"")))))</f>
        <v/>
      </c>
      <c r="KG55" s="938" t="str">
        <f>IF(AND(P55&gt;'#BerechnungDBE'!BJ49,P55&gt;0),'#minDung'!$KG$7,"")</f>
        <v/>
      </c>
      <c r="KH55" s="938" t="str">
        <f>IF(AND(I55=70,R55&gt;'#BerechnungDBE'!CR49),'#minDung'!$KH$7,"")</f>
        <v/>
      </c>
      <c r="KI55" s="938" t="str">
        <f>IF('#BerechnungDBE'!P49&lt;4,"",IF(AND('#BerechnungDBE'!BZ49&gt;0,N55&gt;0),$KI$7,""))</f>
        <v/>
      </c>
      <c r="KJ55" s="938" t="str">
        <f t="shared" si="5"/>
        <v/>
      </c>
    </row>
    <row r="56" spans="1:296" s="875" customFormat="1" hidden="1" x14ac:dyDescent="0.2">
      <c r="A56" s="875">
        <f>'Flächen u. Kulturen'!A55</f>
        <v>46</v>
      </c>
      <c r="B56" s="734">
        <f>'#BerechnungDBE'!L50</f>
        <v>0</v>
      </c>
      <c r="C56" s="46">
        <f>'#orgDung'!C59</f>
        <v>1</v>
      </c>
      <c r="D56" s="875">
        <f>'#BerechnungDBE'!T50</f>
        <v>2</v>
      </c>
      <c r="E56" s="875" t="str">
        <f>'Flächen u. Kulturen'!E55</f>
        <v>x</v>
      </c>
      <c r="F56" s="52">
        <f>'#BerechnungDBE'!N50</f>
        <v>1</v>
      </c>
      <c r="G56" s="52">
        <f>'#BerechnungDBE'!O50</f>
        <v>1</v>
      </c>
      <c r="H56" s="505">
        <f>'#orgDung'!J59</f>
        <v>2</v>
      </c>
      <c r="I56" s="875">
        <f>'#BerechnungDBE'!AF50</f>
        <v>0</v>
      </c>
      <c r="J56" s="875">
        <f>'#orgDung'!M59</f>
        <v>0</v>
      </c>
      <c r="K56" s="875">
        <f>'#BerechnungDBE'!AG50</f>
        <v>0</v>
      </c>
      <c r="M56" s="875">
        <f t="shared" si="187"/>
        <v>0</v>
      </c>
      <c r="N56" s="875">
        <f t="shared" si="188"/>
        <v>0</v>
      </c>
      <c r="O56" s="875">
        <f t="shared" si="189"/>
        <v>0</v>
      </c>
      <c r="P56" s="875">
        <f t="shared" si="190"/>
        <v>0</v>
      </c>
      <c r="Q56" s="938">
        <f t="shared" si="6"/>
        <v>0</v>
      </c>
      <c r="R56" s="875">
        <f t="shared" si="191"/>
        <v>0</v>
      </c>
      <c r="T56" s="713">
        <f>'min. Düngung 22'!H57</f>
        <v>0</v>
      </c>
      <c r="W56" s="875">
        <f t="shared" si="7"/>
        <v>0</v>
      </c>
      <c r="X56" s="875">
        <f t="shared" si="8"/>
        <v>0</v>
      </c>
      <c r="Y56" s="875">
        <f t="shared" si="9"/>
        <v>0</v>
      </c>
      <c r="Z56" s="875">
        <f t="shared" si="10"/>
        <v>0</v>
      </c>
      <c r="AA56" s="875">
        <f t="shared" si="11"/>
        <v>0</v>
      </c>
      <c r="AB56" s="875" t="str">
        <f t="shared" si="12"/>
        <v/>
      </c>
      <c r="AC56" s="713">
        <f>'min. Düngung 22'!K57</f>
        <v>0</v>
      </c>
      <c r="AD56" s="938"/>
      <c r="AE56" s="938"/>
      <c r="AF56" s="938">
        <f t="shared" si="13"/>
        <v>0</v>
      </c>
      <c r="AG56" s="938">
        <f t="shared" si="14"/>
        <v>0</v>
      </c>
      <c r="AH56" s="938">
        <f t="shared" si="15"/>
        <v>0</v>
      </c>
      <c r="AI56" s="938">
        <f t="shared" si="16"/>
        <v>0</v>
      </c>
      <c r="AJ56" s="938">
        <f t="shared" si="17"/>
        <v>0</v>
      </c>
      <c r="AK56" s="938">
        <f t="shared" si="18"/>
        <v>0</v>
      </c>
      <c r="AL56" s="713">
        <f>'min. Düngung 22'!N57</f>
        <v>0</v>
      </c>
      <c r="AM56" s="938"/>
      <c r="AN56" s="938"/>
      <c r="AO56" s="938">
        <f t="shared" si="19"/>
        <v>0</v>
      </c>
      <c r="AP56" s="938">
        <f t="shared" si="20"/>
        <v>0</v>
      </c>
      <c r="AQ56" s="938">
        <f t="shared" si="21"/>
        <v>0</v>
      </c>
      <c r="AR56" s="938">
        <f t="shared" si="22"/>
        <v>0</v>
      </c>
      <c r="AS56" s="938">
        <f t="shared" si="23"/>
        <v>0</v>
      </c>
      <c r="AT56" s="938" t="str">
        <f t="shared" si="24"/>
        <v/>
      </c>
      <c r="AU56" s="713">
        <f>'min. Düngung 22'!Q57</f>
        <v>0</v>
      </c>
      <c r="AV56" s="938"/>
      <c r="AW56" s="938"/>
      <c r="AX56" s="938">
        <f t="shared" si="25"/>
        <v>0</v>
      </c>
      <c r="AY56" s="938">
        <f t="shared" si="26"/>
        <v>0</v>
      </c>
      <c r="AZ56" s="938">
        <f t="shared" si="27"/>
        <v>0</v>
      </c>
      <c r="BA56" s="938">
        <f t="shared" si="28"/>
        <v>0</v>
      </c>
      <c r="BB56" s="938">
        <f t="shared" si="29"/>
        <v>0</v>
      </c>
      <c r="BC56" s="938" t="str">
        <f t="shared" si="30"/>
        <v/>
      </c>
      <c r="BD56" s="713">
        <f>'min. Düngung 22'!T57</f>
        <v>0</v>
      </c>
      <c r="BE56" s="938"/>
      <c r="BF56" s="938"/>
      <c r="BG56" s="938">
        <f t="shared" si="31"/>
        <v>0</v>
      </c>
      <c r="BH56" s="938">
        <f t="shared" si="32"/>
        <v>0</v>
      </c>
      <c r="BI56" s="938">
        <f t="shared" si="33"/>
        <v>0</v>
      </c>
      <c r="BJ56" s="938">
        <f t="shared" si="34"/>
        <v>0</v>
      </c>
      <c r="BK56" s="938">
        <f t="shared" si="35"/>
        <v>0</v>
      </c>
      <c r="BL56" s="938" t="str">
        <f t="shared" si="36"/>
        <v/>
      </c>
      <c r="BM56" s="713">
        <f>'min. Düngung 22'!W57</f>
        <v>0</v>
      </c>
      <c r="BN56" s="938"/>
      <c r="BO56" s="938"/>
      <c r="BP56" s="938">
        <f t="shared" si="37"/>
        <v>0</v>
      </c>
      <c r="BQ56" s="938">
        <f t="shared" si="38"/>
        <v>0</v>
      </c>
      <c r="BR56" s="938">
        <f t="shared" si="39"/>
        <v>0</v>
      </c>
      <c r="BS56" s="938">
        <f t="shared" si="40"/>
        <v>0</v>
      </c>
      <c r="BT56" s="938">
        <f t="shared" si="41"/>
        <v>0</v>
      </c>
      <c r="BU56" s="938" t="str">
        <f t="shared" si="42"/>
        <v/>
      </c>
      <c r="BV56" s="713">
        <f>'min. Düngung 22'!Z57</f>
        <v>0</v>
      </c>
      <c r="BW56" s="938"/>
      <c r="BX56" s="938"/>
      <c r="BY56" s="938">
        <f t="shared" si="43"/>
        <v>0</v>
      </c>
      <c r="BZ56" s="938">
        <f t="shared" si="44"/>
        <v>0</v>
      </c>
      <c r="CA56" s="938">
        <f t="shared" si="45"/>
        <v>0</v>
      </c>
      <c r="CB56" s="938">
        <f t="shared" si="46"/>
        <v>0</v>
      </c>
      <c r="CC56" s="938">
        <f t="shared" si="47"/>
        <v>0</v>
      </c>
      <c r="CD56" s="938" t="str">
        <f t="shared" si="48"/>
        <v/>
      </c>
      <c r="CE56" s="713">
        <f>'min. Düngung 22'!AC57</f>
        <v>0</v>
      </c>
      <c r="CF56" s="938"/>
      <c r="CG56" s="938"/>
      <c r="CH56" s="938">
        <f t="shared" si="49"/>
        <v>0</v>
      </c>
      <c r="CI56" s="938">
        <f t="shared" si="50"/>
        <v>0</v>
      </c>
      <c r="CJ56" s="938">
        <f t="shared" si="51"/>
        <v>0</v>
      </c>
      <c r="CK56" s="938">
        <f t="shared" si="52"/>
        <v>0</v>
      </c>
      <c r="CL56" s="938">
        <f t="shared" si="53"/>
        <v>0</v>
      </c>
      <c r="CM56" s="938" t="str">
        <f t="shared" si="54"/>
        <v/>
      </c>
      <c r="CN56" s="713">
        <f>'min. Düngung 22'!AF57</f>
        <v>0</v>
      </c>
      <c r="CO56" s="938"/>
      <c r="CP56" s="938"/>
      <c r="CQ56" s="938">
        <f t="shared" si="55"/>
        <v>0</v>
      </c>
      <c r="CR56" s="938">
        <f t="shared" si="56"/>
        <v>0</v>
      </c>
      <c r="CS56" s="938">
        <f t="shared" si="57"/>
        <v>0</v>
      </c>
      <c r="CT56" s="938">
        <f t="shared" si="58"/>
        <v>0</v>
      </c>
      <c r="CU56" s="938">
        <f t="shared" si="59"/>
        <v>0</v>
      </c>
      <c r="CV56" s="938" t="str">
        <f t="shared" si="60"/>
        <v/>
      </c>
      <c r="CW56" s="713">
        <f>'min. Düngung 22'!AI57</f>
        <v>0</v>
      </c>
      <c r="CX56" s="938"/>
      <c r="CY56" s="938"/>
      <c r="CZ56" s="938">
        <f t="shared" si="61"/>
        <v>0</v>
      </c>
      <c r="DA56" s="938">
        <f t="shared" si="62"/>
        <v>0</v>
      </c>
      <c r="DB56" s="938">
        <f t="shared" si="63"/>
        <v>0</v>
      </c>
      <c r="DC56" s="938">
        <f t="shared" si="64"/>
        <v>0</v>
      </c>
      <c r="DD56" s="938">
        <f t="shared" si="65"/>
        <v>0</v>
      </c>
      <c r="DE56" s="938" t="str">
        <f t="shared" si="66"/>
        <v/>
      </c>
      <c r="DF56" s="713">
        <f>'min. Düngung 22'!AL57</f>
        <v>0</v>
      </c>
      <c r="DG56" s="938"/>
      <c r="DH56" s="938"/>
      <c r="DI56" s="938">
        <f t="shared" si="67"/>
        <v>0</v>
      </c>
      <c r="DJ56" s="938">
        <f t="shared" si="68"/>
        <v>0</v>
      </c>
      <c r="DK56" s="938">
        <f t="shared" si="69"/>
        <v>0</v>
      </c>
      <c r="DL56" s="938">
        <f t="shared" si="70"/>
        <v>0</v>
      </c>
      <c r="DM56" s="938">
        <f t="shared" si="71"/>
        <v>0</v>
      </c>
      <c r="DN56" s="938" t="str">
        <f t="shared" si="72"/>
        <v/>
      </c>
      <c r="DO56" s="713">
        <f>'min. Düngung 22'!AO57</f>
        <v>0</v>
      </c>
      <c r="DP56" s="938"/>
      <c r="DQ56" s="938"/>
      <c r="DR56" s="938">
        <f t="shared" si="73"/>
        <v>0</v>
      </c>
      <c r="DS56" s="938">
        <f t="shared" si="74"/>
        <v>0</v>
      </c>
      <c r="DT56" s="938">
        <f t="shared" si="75"/>
        <v>0</v>
      </c>
      <c r="DU56" s="938">
        <f t="shared" si="76"/>
        <v>0</v>
      </c>
      <c r="DV56" s="938">
        <f t="shared" si="77"/>
        <v>0</v>
      </c>
      <c r="DW56" s="938" t="str">
        <f t="shared" si="78"/>
        <v/>
      </c>
      <c r="DX56" s="713">
        <f>'min. Düngung 22'!AR57</f>
        <v>0</v>
      </c>
      <c r="DY56" s="938"/>
      <c r="DZ56" s="938"/>
      <c r="EA56" s="938">
        <f t="shared" si="79"/>
        <v>0</v>
      </c>
      <c r="EB56" s="938">
        <f t="shared" si="80"/>
        <v>0</v>
      </c>
      <c r="EC56" s="938">
        <f t="shared" si="81"/>
        <v>0</v>
      </c>
      <c r="ED56" s="938">
        <f t="shared" si="82"/>
        <v>0</v>
      </c>
      <c r="EE56" s="938">
        <f t="shared" si="83"/>
        <v>0</v>
      </c>
      <c r="EF56" s="938" t="str">
        <f t="shared" si="84"/>
        <v/>
      </c>
      <c r="EG56" s="713">
        <f>'min. Düngung 22'!AU57</f>
        <v>0</v>
      </c>
      <c r="EH56" s="938"/>
      <c r="EI56" s="938"/>
      <c r="EJ56" s="938">
        <f t="shared" si="85"/>
        <v>0</v>
      </c>
      <c r="EK56" s="938">
        <f t="shared" si="86"/>
        <v>0</v>
      </c>
      <c r="EL56" s="938">
        <f t="shared" si="87"/>
        <v>0</v>
      </c>
      <c r="EM56" s="938">
        <f t="shared" si="88"/>
        <v>0</v>
      </c>
      <c r="EN56" s="938">
        <f t="shared" si="89"/>
        <v>0</v>
      </c>
      <c r="EO56" s="938" t="str">
        <f t="shared" si="90"/>
        <v/>
      </c>
      <c r="EP56" s="713">
        <f>'min. Düngung 22'!AX57</f>
        <v>0</v>
      </c>
      <c r="EQ56" s="938"/>
      <c r="ER56" s="938"/>
      <c r="ES56" s="938">
        <f t="shared" si="91"/>
        <v>0</v>
      </c>
      <c r="ET56" s="938">
        <f t="shared" si="92"/>
        <v>0</v>
      </c>
      <c r="EU56" s="938">
        <f t="shared" si="93"/>
        <v>0</v>
      </c>
      <c r="EV56" s="938">
        <f t="shared" si="94"/>
        <v>0</v>
      </c>
      <c r="EW56" s="938">
        <f t="shared" si="95"/>
        <v>0</v>
      </c>
      <c r="EX56" s="938" t="str">
        <f t="shared" si="96"/>
        <v/>
      </c>
      <c r="EY56" s="713">
        <f>'min. Düngung 22'!BA57</f>
        <v>0</v>
      </c>
      <c r="EZ56" s="938"/>
      <c r="FA56" s="938"/>
      <c r="FB56" s="938">
        <f t="shared" si="97"/>
        <v>0</v>
      </c>
      <c r="FC56" s="938">
        <f t="shared" si="98"/>
        <v>0</v>
      </c>
      <c r="FD56" s="938">
        <f t="shared" si="99"/>
        <v>0</v>
      </c>
      <c r="FE56" s="938">
        <f t="shared" si="100"/>
        <v>0</v>
      </c>
      <c r="FF56" s="938">
        <f t="shared" si="101"/>
        <v>0</v>
      </c>
      <c r="FG56" s="938" t="str">
        <f t="shared" si="102"/>
        <v/>
      </c>
      <c r="FH56" s="713">
        <f>'min. Düngung 22'!BD57</f>
        <v>0</v>
      </c>
      <c r="FI56" s="938"/>
      <c r="FJ56" s="938"/>
      <c r="FK56" s="938">
        <f t="shared" si="103"/>
        <v>0</v>
      </c>
      <c r="FL56" s="938">
        <f t="shared" si="104"/>
        <v>0</v>
      </c>
      <c r="FM56" s="938">
        <f t="shared" si="105"/>
        <v>0</v>
      </c>
      <c r="FN56" s="938">
        <f t="shared" si="106"/>
        <v>0</v>
      </c>
      <c r="FO56" s="938">
        <f t="shared" si="107"/>
        <v>0</v>
      </c>
      <c r="FP56" s="938" t="str">
        <f t="shared" si="108"/>
        <v/>
      </c>
      <c r="FQ56" s="713">
        <f>'min. Düngung 22'!BG57</f>
        <v>0</v>
      </c>
      <c r="FR56" s="938"/>
      <c r="FS56" s="938"/>
      <c r="FT56" s="938">
        <f t="shared" si="109"/>
        <v>0</v>
      </c>
      <c r="FU56" s="938">
        <f t="shared" si="110"/>
        <v>0</v>
      </c>
      <c r="FV56" s="938">
        <f t="shared" si="111"/>
        <v>0</v>
      </c>
      <c r="FW56" s="938">
        <f t="shared" si="112"/>
        <v>0</v>
      </c>
      <c r="FX56" s="938">
        <f t="shared" si="113"/>
        <v>0</v>
      </c>
      <c r="FY56" s="938" t="str">
        <f t="shared" si="114"/>
        <v/>
      </c>
      <c r="FZ56" s="713">
        <f>'min. Düngung 22'!BJ57</f>
        <v>0</v>
      </c>
      <c r="GA56" s="938"/>
      <c r="GB56" s="938"/>
      <c r="GC56" s="938">
        <f t="shared" si="115"/>
        <v>0</v>
      </c>
      <c r="GD56" s="938">
        <f t="shared" si="116"/>
        <v>0</v>
      </c>
      <c r="GE56" s="938">
        <f t="shared" si="117"/>
        <v>0</v>
      </c>
      <c r="GF56" s="938">
        <f t="shared" si="118"/>
        <v>0</v>
      </c>
      <c r="GG56" s="938">
        <f t="shared" si="119"/>
        <v>0</v>
      </c>
      <c r="GH56" s="938" t="str">
        <f t="shared" si="120"/>
        <v/>
      </c>
      <c r="GI56" s="713">
        <f>'min. Düngung 22'!BM57</f>
        <v>0</v>
      </c>
      <c r="GJ56" s="938"/>
      <c r="GK56" s="938"/>
      <c r="GL56" s="938">
        <f t="shared" si="121"/>
        <v>0</v>
      </c>
      <c r="GM56" s="938">
        <f t="shared" si="122"/>
        <v>0</v>
      </c>
      <c r="GN56" s="938">
        <f t="shared" si="123"/>
        <v>0</v>
      </c>
      <c r="GO56" s="938">
        <f t="shared" si="124"/>
        <v>0</v>
      </c>
      <c r="GP56" s="938">
        <f t="shared" si="125"/>
        <v>0</v>
      </c>
      <c r="GQ56" s="938" t="str">
        <f t="shared" si="126"/>
        <v/>
      </c>
      <c r="GR56" s="713">
        <f>'min. Düngung 22'!BP57</f>
        <v>0</v>
      </c>
      <c r="GS56" s="938"/>
      <c r="GT56" s="938"/>
      <c r="GU56" s="938">
        <f t="shared" si="127"/>
        <v>0</v>
      </c>
      <c r="GV56" s="938">
        <f t="shared" si="128"/>
        <v>0</v>
      </c>
      <c r="GW56" s="938">
        <f t="shared" si="129"/>
        <v>0</v>
      </c>
      <c r="GX56" s="938">
        <f t="shared" si="130"/>
        <v>0</v>
      </c>
      <c r="GY56" s="938">
        <f t="shared" si="131"/>
        <v>0</v>
      </c>
      <c r="GZ56" s="938" t="str">
        <f t="shared" si="132"/>
        <v/>
      </c>
      <c r="HA56" s="713">
        <f>'min. Düngung 22'!BS57</f>
        <v>0</v>
      </c>
      <c r="HB56" s="938"/>
      <c r="HC56" s="938"/>
      <c r="HD56" s="938">
        <f t="shared" si="133"/>
        <v>0</v>
      </c>
      <c r="HE56" s="938">
        <f t="shared" si="134"/>
        <v>0</v>
      </c>
      <c r="HF56" s="938">
        <f t="shared" si="135"/>
        <v>0</v>
      </c>
      <c r="HG56" s="938">
        <f t="shared" si="136"/>
        <v>0</v>
      </c>
      <c r="HH56" s="938">
        <f t="shared" si="137"/>
        <v>0</v>
      </c>
      <c r="HI56" s="938" t="str">
        <f t="shared" si="138"/>
        <v/>
      </c>
      <c r="HJ56" s="713">
        <f>'min. Düngung 22'!BV57</f>
        <v>0</v>
      </c>
      <c r="HK56" s="938"/>
      <c r="HL56" s="938"/>
      <c r="HM56" s="938">
        <f t="shared" si="139"/>
        <v>0</v>
      </c>
      <c r="HN56" s="938">
        <f t="shared" si="140"/>
        <v>0</v>
      </c>
      <c r="HO56" s="938">
        <f t="shared" si="141"/>
        <v>0</v>
      </c>
      <c r="HP56" s="938">
        <f t="shared" si="142"/>
        <v>0</v>
      </c>
      <c r="HQ56" s="938">
        <f t="shared" si="143"/>
        <v>0</v>
      </c>
      <c r="HR56" s="938" t="str">
        <f t="shared" si="144"/>
        <v/>
      </c>
      <c r="HS56" s="713">
        <f>'min. Düngung 22'!BY57</f>
        <v>0</v>
      </c>
      <c r="HT56" s="938"/>
      <c r="HU56" s="938"/>
      <c r="HV56" s="938">
        <f t="shared" si="145"/>
        <v>0</v>
      </c>
      <c r="HW56" s="938">
        <f t="shared" si="146"/>
        <v>0</v>
      </c>
      <c r="HX56" s="938">
        <f t="shared" si="147"/>
        <v>0</v>
      </c>
      <c r="HY56" s="938">
        <f t="shared" si="148"/>
        <v>0</v>
      </c>
      <c r="HZ56" s="938">
        <f t="shared" si="149"/>
        <v>0</v>
      </c>
      <c r="IA56" s="938" t="str">
        <f t="shared" si="150"/>
        <v/>
      </c>
      <c r="IB56" s="713">
        <f>'min. Düngung 22'!CB57</f>
        <v>0</v>
      </c>
      <c r="IC56" s="938"/>
      <c r="ID56" s="938"/>
      <c r="IE56" s="938">
        <f t="shared" si="151"/>
        <v>0</v>
      </c>
      <c r="IF56" s="938">
        <f t="shared" si="152"/>
        <v>0</v>
      </c>
      <c r="IG56" s="938">
        <f t="shared" si="153"/>
        <v>0</v>
      </c>
      <c r="IH56" s="938">
        <f t="shared" si="154"/>
        <v>0</v>
      </c>
      <c r="II56" s="938">
        <f t="shared" si="155"/>
        <v>0</v>
      </c>
      <c r="IJ56" s="938" t="str">
        <f t="shared" si="156"/>
        <v/>
      </c>
      <c r="IK56" s="713">
        <f>'min. Düngung 22'!CE57</f>
        <v>0</v>
      </c>
      <c r="IL56" s="938"/>
      <c r="IM56" s="938"/>
      <c r="IN56" s="938">
        <f t="shared" si="157"/>
        <v>0</v>
      </c>
      <c r="IO56" s="938">
        <f t="shared" si="158"/>
        <v>0</v>
      </c>
      <c r="IP56" s="938">
        <f t="shared" si="159"/>
        <v>0</v>
      </c>
      <c r="IQ56" s="938">
        <f t="shared" si="160"/>
        <v>0</v>
      </c>
      <c r="IR56" s="938">
        <f t="shared" si="161"/>
        <v>0</v>
      </c>
      <c r="IS56" s="938" t="str">
        <f t="shared" si="162"/>
        <v/>
      </c>
      <c r="IT56" s="713">
        <f>'min. Düngung 22'!CH57</f>
        <v>0</v>
      </c>
      <c r="IU56" s="938"/>
      <c r="IV56" s="938"/>
      <c r="IW56" s="938">
        <f t="shared" si="163"/>
        <v>0</v>
      </c>
      <c r="IX56" s="938">
        <f t="shared" si="164"/>
        <v>0</v>
      </c>
      <c r="IY56" s="938">
        <f t="shared" si="165"/>
        <v>0</v>
      </c>
      <c r="IZ56" s="938">
        <f t="shared" si="166"/>
        <v>0</v>
      </c>
      <c r="JA56" s="938">
        <f t="shared" si="167"/>
        <v>0</v>
      </c>
      <c r="JB56" s="938" t="str">
        <f t="shared" si="168"/>
        <v/>
      </c>
      <c r="JC56" s="713">
        <f>'min. Düngung 22'!CK57</f>
        <v>0</v>
      </c>
      <c r="JD56" s="938"/>
      <c r="JE56" s="938"/>
      <c r="JF56" s="938">
        <f t="shared" si="169"/>
        <v>0</v>
      </c>
      <c r="JG56" s="938">
        <f t="shared" si="170"/>
        <v>0</v>
      </c>
      <c r="JH56" s="938">
        <f t="shared" si="171"/>
        <v>0</v>
      </c>
      <c r="JI56" s="938">
        <f t="shared" si="172"/>
        <v>0</v>
      </c>
      <c r="JJ56" s="938">
        <f t="shared" si="173"/>
        <v>0</v>
      </c>
      <c r="JK56" s="938" t="str">
        <f t="shared" si="174"/>
        <v/>
      </c>
      <c r="JL56" s="713">
        <f>'min. Düngung 22'!CN57</f>
        <v>0</v>
      </c>
      <c r="JM56" s="938"/>
      <c r="JN56" s="938"/>
      <c r="JO56" s="938">
        <f t="shared" si="175"/>
        <v>0</v>
      </c>
      <c r="JP56" s="938">
        <f t="shared" si="176"/>
        <v>0</v>
      </c>
      <c r="JQ56" s="938">
        <f t="shared" si="177"/>
        <v>0</v>
      </c>
      <c r="JR56" s="938">
        <f t="shared" si="178"/>
        <v>0</v>
      </c>
      <c r="JS56" s="938">
        <f t="shared" si="179"/>
        <v>0</v>
      </c>
      <c r="JT56" s="938" t="str">
        <f t="shared" si="180"/>
        <v/>
      </c>
      <c r="JU56" s="713">
        <f>'min. Düngung 22'!CQ57</f>
        <v>0</v>
      </c>
      <c r="JV56" s="938"/>
      <c r="JW56" s="938"/>
      <c r="JX56" s="938">
        <f t="shared" si="181"/>
        <v>0</v>
      </c>
      <c r="JY56" s="938">
        <f t="shared" si="182"/>
        <v>0</v>
      </c>
      <c r="JZ56" s="938">
        <f t="shared" si="183"/>
        <v>0</v>
      </c>
      <c r="KA56" s="938">
        <f t="shared" si="184"/>
        <v>0</v>
      </c>
      <c r="KB56" s="938">
        <f t="shared" si="185"/>
        <v>0</v>
      </c>
      <c r="KC56" s="938" t="str">
        <f t="shared" si="186"/>
        <v/>
      </c>
      <c r="KE56" s="938"/>
      <c r="KF56" s="938" t="str">
        <f>IF(AND($F56=2,$G56=1),"",IF(OR($Q56&gt;0,$O56&gt;60),$KF$7,IF(I56=70,"",IF(AND(I56=80,R56+'#orgDung'!AC59&lt;60,K56=1,OR(C56=2,'#BerechnungDBE'!AH50=4)),"",IF(R56&gt;0,$KF$7,"")))))</f>
        <v/>
      </c>
      <c r="KG56" s="938" t="str">
        <f>IF(AND(P56&gt;'#BerechnungDBE'!BJ50,P56&gt;0),'#minDung'!$KG$7,"")</f>
        <v/>
      </c>
      <c r="KH56" s="938" t="str">
        <f>IF(AND(I56=70,R56&gt;'#BerechnungDBE'!CR50),'#minDung'!$KH$7,"")</f>
        <v/>
      </c>
      <c r="KI56" s="938" t="str">
        <f>IF('#BerechnungDBE'!P50&lt;4,"",IF(AND('#BerechnungDBE'!BZ50&gt;0,N56&gt;0),$KI$7,""))</f>
        <v/>
      </c>
      <c r="KJ56" s="938" t="str">
        <f t="shared" si="5"/>
        <v/>
      </c>
    </row>
    <row r="57" spans="1:296" s="875" customFormat="1" hidden="1" x14ac:dyDescent="0.2">
      <c r="A57" s="875">
        <f>'Flächen u. Kulturen'!A56</f>
        <v>47</v>
      </c>
      <c r="B57" s="734">
        <f>'#BerechnungDBE'!L51</f>
        <v>0</v>
      </c>
      <c r="C57" s="46">
        <f>'#orgDung'!C60</f>
        <v>1</v>
      </c>
      <c r="D57" s="875">
        <f>'#BerechnungDBE'!T51</f>
        <v>2</v>
      </c>
      <c r="E57" s="875" t="str">
        <f>'Flächen u. Kulturen'!E56</f>
        <v>x</v>
      </c>
      <c r="F57" s="52">
        <f>'#BerechnungDBE'!N51</f>
        <v>1</v>
      </c>
      <c r="G57" s="52">
        <f>'#BerechnungDBE'!O51</f>
        <v>1</v>
      </c>
      <c r="H57" s="505">
        <f>'#orgDung'!J60</f>
        <v>2</v>
      </c>
      <c r="I57" s="875">
        <f>'#BerechnungDBE'!AF51</f>
        <v>0</v>
      </c>
      <c r="J57" s="875">
        <f>'#orgDung'!M60</f>
        <v>0</v>
      </c>
      <c r="K57" s="875">
        <f>'#BerechnungDBE'!AG51</f>
        <v>0</v>
      </c>
      <c r="M57" s="875">
        <f t="shared" si="187"/>
        <v>0</v>
      </c>
      <c r="N57" s="875">
        <f t="shared" si="188"/>
        <v>0</v>
      </c>
      <c r="O57" s="875">
        <f t="shared" si="189"/>
        <v>0</v>
      </c>
      <c r="P57" s="875">
        <f t="shared" si="190"/>
        <v>0</v>
      </c>
      <c r="Q57" s="938">
        <f t="shared" si="6"/>
        <v>0</v>
      </c>
      <c r="R57" s="875">
        <f t="shared" si="191"/>
        <v>0</v>
      </c>
      <c r="T57" s="713">
        <f>'min. Düngung 22'!H58</f>
        <v>0</v>
      </c>
      <c r="W57" s="875">
        <f t="shared" si="7"/>
        <v>0</v>
      </c>
      <c r="X57" s="875">
        <f t="shared" si="8"/>
        <v>0</v>
      </c>
      <c r="Y57" s="875">
        <f t="shared" si="9"/>
        <v>0</v>
      </c>
      <c r="Z57" s="875">
        <f t="shared" si="10"/>
        <v>0</v>
      </c>
      <c r="AA57" s="875">
        <f t="shared" si="11"/>
        <v>0</v>
      </c>
      <c r="AB57" s="875" t="str">
        <f t="shared" si="12"/>
        <v/>
      </c>
      <c r="AC57" s="713">
        <f>'min. Düngung 22'!K58</f>
        <v>0</v>
      </c>
      <c r="AD57" s="938"/>
      <c r="AE57" s="938"/>
      <c r="AF57" s="938">
        <f t="shared" si="13"/>
        <v>0</v>
      </c>
      <c r="AG57" s="938">
        <f t="shared" si="14"/>
        <v>0</v>
      </c>
      <c r="AH57" s="938">
        <f t="shared" si="15"/>
        <v>0</v>
      </c>
      <c r="AI57" s="938">
        <f t="shared" si="16"/>
        <v>0</v>
      </c>
      <c r="AJ57" s="938">
        <f t="shared" si="17"/>
        <v>0</v>
      </c>
      <c r="AK57" s="938">
        <f t="shared" si="18"/>
        <v>0</v>
      </c>
      <c r="AL57" s="713">
        <f>'min. Düngung 22'!N58</f>
        <v>0</v>
      </c>
      <c r="AM57" s="938"/>
      <c r="AN57" s="938"/>
      <c r="AO57" s="938">
        <f t="shared" si="19"/>
        <v>0</v>
      </c>
      <c r="AP57" s="938">
        <f t="shared" si="20"/>
        <v>0</v>
      </c>
      <c r="AQ57" s="938">
        <f t="shared" si="21"/>
        <v>0</v>
      </c>
      <c r="AR57" s="938">
        <f t="shared" si="22"/>
        <v>0</v>
      </c>
      <c r="AS57" s="938">
        <f t="shared" si="23"/>
        <v>0</v>
      </c>
      <c r="AT57" s="938" t="str">
        <f t="shared" si="24"/>
        <v/>
      </c>
      <c r="AU57" s="713">
        <f>'min. Düngung 22'!Q58</f>
        <v>0</v>
      </c>
      <c r="AV57" s="938"/>
      <c r="AW57" s="938"/>
      <c r="AX57" s="938">
        <f t="shared" si="25"/>
        <v>0</v>
      </c>
      <c r="AY57" s="938">
        <f t="shared" si="26"/>
        <v>0</v>
      </c>
      <c r="AZ57" s="938">
        <f t="shared" si="27"/>
        <v>0</v>
      </c>
      <c r="BA57" s="938">
        <f t="shared" si="28"/>
        <v>0</v>
      </c>
      <c r="BB57" s="938">
        <f t="shared" si="29"/>
        <v>0</v>
      </c>
      <c r="BC57" s="938" t="str">
        <f t="shared" si="30"/>
        <v/>
      </c>
      <c r="BD57" s="713">
        <f>'min. Düngung 22'!T58</f>
        <v>0</v>
      </c>
      <c r="BE57" s="938"/>
      <c r="BF57" s="938"/>
      <c r="BG57" s="938">
        <f t="shared" si="31"/>
        <v>0</v>
      </c>
      <c r="BH57" s="938">
        <f t="shared" si="32"/>
        <v>0</v>
      </c>
      <c r="BI57" s="938">
        <f t="shared" si="33"/>
        <v>0</v>
      </c>
      <c r="BJ57" s="938">
        <f t="shared" si="34"/>
        <v>0</v>
      </c>
      <c r="BK57" s="938">
        <f t="shared" si="35"/>
        <v>0</v>
      </c>
      <c r="BL57" s="938" t="str">
        <f t="shared" si="36"/>
        <v/>
      </c>
      <c r="BM57" s="713">
        <f>'min. Düngung 22'!W58</f>
        <v>0</v>
      </c>
      <c r="BN57" s="938"/>
      <c r="BO57" s="938"/>
      <c r="BP57" s="938">
        <f t="shared" si="37"/>
        <v>0</v>
      </c>
      <c r="BQ57" s="938">
        <f t="shared" si="38"/>
        <v>0</v>
      </c>
      <c r="BR57" s="938">
        <f t="shared" si="39"/>
        <v>0</v>
      </c>
      <c r="BS57" s="938">
        <f t="shared" si="40"/>
        <v>0</v>
      </c>
      <c r="BT57" s="938">
        <f t="shared" si="41"/>
        <v>0</v>
      </c>
      <c r="BU57" s="938" t="str">
        <f t="shared" si="42"/>
        <v/>
      </c>
      <c r="BV57" s="713">
        <f>'min. Düngung 22'!Z58</f>
        <v>0</v>
      </c>
      <c r="BW57" s="938"/>
      <c r="BX57" s="938"/>
      <c r="BY57" s="938">
        <f t="shared" si="43"/>
        <v>0</v>
      </c>
      <c r="BZ57" s="938">
        <f t="shared" si="44"/>
        <v>0</v>
      </c>
      <c r="CA57" s="938">
        <f t="shared" si="45"/>
        <v>0</v>
      </c>
      <c r="CB57" s="938">
        <f t="shared" si="46"/>
        <v>0</v>
      </c>
      <c r="CC57" s="938">
        <f t="shared" si="47"/>
        <v>0</v>
      </c>
      <c r="CD57" s="938" t="str">
        <f t="shared" si="48"/>
        <v/>
      </c>
      <c r="CE57" s="713">
        <f>'min. Düngung 22'!AC58</f>
        <v>0</v>
      </c>
      <c r="CF57" s="938"/>
      <c r="CG57" s="938"/>
      <c r="CH57" s="938">
        <f t="shared" si="49"/>
        <v>0</v>
      </c>
      <c r="CI57" s="938">
        <f t="shared" si="50"/>
        <v>0</v>
      </c>
      <c r="CJ57" s="938">
        <f t="shared" si="51"/>
        <v>0</v>
      </c>
      <c r="CK57" s="938">
        <f t="shared" si="52"/>
        <v>0</v>
      </c>
      <c r="CL57" s="938">
        <f t="shared" si="53"/>
        <v>0</v>
      </c>
      <c r="CM57" s="938" t="str">
        <f t="shared" si="54"/>
        <v/>
      </c>
      <c r="CN57" s="713">
        <f>'min. Düngung 22'!AF58</f>
        <v>0</v>
      </c>
      <c r="CO57" s="938"/>
      <c r="CP57" s="938"/>
      <c r="CQ57" s="938">
        <f t="shared" si="55"/>
        <v>0</v>
      </c>
      <c r="CR57" s="938">
        <f t="shared" si="56"/>
        <v>0</v>
      </c>
      <c r="CS57" s="938">
        <f t="shared" si="57"/>
        <v>0</v>
      </c>
      <c r="CT57" s="938">
        <f t="shared" si="58"/>
        <v>0</v>
      </c>
      <c r="CU57" s="938">
        <f t="shared" si="59"/>
        <v>0</v>
      </c>
      <c r="CV57" s="938" t="str">
        <f t="shared" si="60"/>
        <v/>
      </c>
      <c r="CW57" s="713">
        <f>'min. Düngung 22'!AI58</f>
        <v>0</v>
      </c>
      <c r="CX57" s="938"/>
      <c r="CY57" s="938"/>
      <c r="CZ57" s="938">
        <f t="shared" si="61"/>
        <v>0</v>
      </c>
      <c r="DA57" s="938">
        <f t="shared" si="62"/>
        <v>0</v>
      </c>
      <c r="DB57" s="938">
        <f t="shared" si="63"/>
        <v>0</v>
      </c>
      <c r="DC57" s="938">
        <f t="shared" si="64"/>
        <v>0</v>
      </c>
      <c r="DD57" s="938">
        <f t="shared" si="65"/>
        <v>0</v>
      </c>
      <c r="DE57" s="938" t="str">
        <f t="shared" si="66"/>
        <v/>
      </c>
      <c r="DF57" s="713">
        <f>'min. Düngung 22'!AL58</f>
        <v>0</v>
      </c>
      <c r="DG57" s="938"/>
      <c r="DH57" s="938"/>
      <c r="DI57" s="938">
        <f t="shared" si="67"/>
        <v>0</v>
      </c>
      <c r="DJ57" s="938">
        <f t="shared" si="68"/>
        <v>0</v>
      </c>
      <c r="DK57" s="938">
        <f t="shared" si="69"/>
        <v>0</v>
      </c>
      <c r="DL57" s="938">
        <f t="shared" si="70"/>
        <v>0</v>
      </c>
      <c r="DM57" s="938">
        <f t="shared" si="71"/>
        <v>0</v>
      </c>
      <c r="DN57" s="938" t="str">
        <f t="shared" si="72"/>
        <v/>
      </c>
      <c r="DO57" s="713">
        <f>'min. Düngung 22'!AO58</f>
        <v>0</v>
      </c>
      <c r="DP57" s="938"/>
      <c r="DQ57" s="938"/>
      <c r="DR57" s="938">
        <f t="shared" si="73"/>
        <v>0</v>
      </c>
      <c r="DS57" s="938">
        <f t="shared" si="74"/>
        <v>0</v>
      </c>
      <c r="DT57" s="938">
        <f t="shared" si="75"/>
        <v>0</v>
      </c>
      <c r="DU57" s="938">
        <f t="shared" si="76"/>
        <v>0</v>
      </c>
      <c r="DV57" s="938">
        <f t="shared" si="77"/>
        <v>0</v>
      </c>
      <c r="DW57" s="938" t="str">
        <f t="shared" si="78"/>
        <v/>
      </c>
      <c r="DX57" s="713">
        <f>'min. Düngung 22'!AR58</f>
        <v>0</v>
      </c>
      <c r="DY57" s="938"/>
      <c r="DZ57" s="938"/>
      <c r="EA57" s="938">
        <f t="shared" si="79"/>
        <v>0</v>
      </c>
      <c r="EB57" s="938">
        <f t="shared" si="80"/>
        <v>0</v>
      </c>
      <c r="EC57" s="938">
        <f t="shared" si="81"/>
        <v>0</v>
      </c>
      <c r="ED57" s="938">
        <f t="shared" si="82"/>
        <v>0</v>
      </c>
      <c r="EE57" s="938">
        <f t="shared" si="83"/>
        <v>0</v>
      </c>
      <c r="EF57" s="938" t="str">
        <f t="shared" si="84"/>
        <v/>
      </c>
      <c r="EG57" s="713">
        <f>'min. Düngung 22'!AU58</f>
        <v>0</v>
      </c>
      <c r="EH57" s="938"/>
      <c r="EI57" s="938"/>
      <c r="EJ57" s="938">
        <f t="shared" si="85"/>
        <v>0</v>
      </c>
      <c r="EK57" s="938">
        <f t="shared" si="86"/>
        <v>0</v>
      </c>
      <c r="EL57" s="938">
        <f t="shared" si="87"/>
        <v>0</v>
      </c>
      <c r="EM57" s="938">
        <f t="shared" si="88"/>
        <v>0</v>
      </c>
      <c r="EN57" s="938">
        <f t="shared" si="89"/>
        <v>0</v>
      </c>
      <c r="EO57" s="938" t="str">
        <f t="shared" si="90"/>
        <v/>
      </c>
      <c r="EP57" s="713">
        <f>'min. Düngung 22'!AX58</f>
        <v>0</v>
      </c>
      <c r="EQ57" s="938"/>
      <c r="ER57" s="938"/>
      <c r="ES57" s="938">
        <f t="shared" si="91"/>
        <v>0</v>
      </c>
      <c r="ET57" s="938">
        <f t="shared" si="92"/>
        <v>0</v>
      </c>
      <c r="EU57" s="938">
        <f t="shared" si="93"/>
        <v>0</v>
      </c>
      <c r="EV57" s="938">
        <f t="shared" si="94"/>
        <v>0</v>
      </c>
      <c r="EW57" s="938">
        <f t="shared" si="95"/>
        <v>0</v>
      </c>
      <c r="EX57" s="938" t="str">
        <f t="shared" si="96"/>
        <v/>
      </c>
      <c r="EY57" s="713">
        <f>'min. Düngung 22'!BA58</f>
        <v>0</v>
      </c>
      <c r="EZ57" s="938"/>
      <c r="FA57" s="938"/>
      <c r="FB57" s="938">
        <f t="shared" si="97"/>
        <v>0</v>
      </c>
      <c r="FC57" s="938">
        <f t="shared" si="98"/>
        <v>0</v>
      </c>
      <c r="FD57" s="938">
        <f t="shared" si="99"/>
        <v>0</v>
      </c>
      <c r="FE57" s="938">
        <f t="shared" si="100"/>
        <v>0</v>
      </c>
      <c r="FF57" s="938">
        <f t="shared" si="101"/>
        <v>0</v>
      </c>
      <c r="FG57" s="938" t="str">
        <f t="shared" si="102"/>
        <v/>
      </c>
      <c r="FH57" s="713">
        <f>'min. Düngung 22'!BD58</f>
        <v>0</v>
      </c>
      <c r="FI57" s="938"/>
      <c r="FJ57" s="938"/>
      <c r="FK57" s="938">
        <f t="shared" si="103"/>
        <v>0</v>
      </c>
      <c r="FL57" s="938">
        <f t="shared" si="104"/>
        <v>0</v>
      </c>
      <c r="FM57" s="938">
        <f t="shared" si="105"/>
        <v>0</v>
      </c>
      <c r="FN57" s="938">
        <f t="shared" si="106"/>
        <v>0</v>
      </c>
      <c r="FO57" s="938">
        <f t="shared" si="107"/>
        <v>0</v>
      </c>
      <c r="FP57" s="938" t="str">
        <f t="shared" si="108"/>
        <v/>
      </c>
      <c r="FQ57" s="713">
        <f>'min. Düngung 22'!BG58</f>
        <v>0</v>
      </c>
      <c r="FR57" s="938"/>
      <c r="FS57" s="938"/>
      <c r="FT57" s="938">
        <f t="shared" si="109"/>
        <v>0</v>
      </c>
      <c r="FU57" s="938">
        <f t="shared" si="110"/>
        <v>0</v>
      </c>
      <c r="FV57" s="938">
        <f t="shared" si="111"/>
        <v>0</v>
      </c>
      <c r="FW57" s="938">
        <f t="shared" si="112"/>
        <v>0</v>
      </c>
      <c r="FX57" s="938">
        <f t="shared" si="113"/>
        <v>0</v>
      </c>
      <c r="FY57" s="938" t="str">
        <f t="shared" si="114"/>
        <v/>
      </c>
      <c r="FZ57" s="713">
        <f>'min. Düngung 22'!BJ58</f>
        <v>0</v>
      </c>
      <c r="GA57" s="938"/>
      <c r="GB57" s="938"/>
      <c r="GC57" s="938">
        <f t="shared" si="115"/>
        <v>0</v>
      </c>
      <c r="GD57" s="938">
        <f t="shared" si="116"/>
        <v>0</v>
      </c>
      <c r="GE57" s="938">
        <f t="shared" si="117"/>
        <v>0</v>
      </c>
      <c r="GF57" s="938">
        <f t="shared" si="118"/>
        <v>0</v>
      </c>
      <c r="GG57" s="938">
        <f t="shared" si="119"/>
        <v>0</v>
      </c>
      <c r="GH57" s="938" t="str">
        <f t="shared" si="120"/>
        <v/>
      </c>
      <c r="GI57" s="713">
        <f>'min. Düngung 22'!BM58</f>
        <v>0</v>
      </c>
      <c r="GJ57" s="938"/>
      <c r="GK57" s="938"/>
      <c r="GL57" s="938">
        <f t="shared" si="121"/>
        <v>0</v>
      </c>
      <c r="GM57" s="938">
        <f t="shared" si="122"/>
        <v>0</v>
      </c>
      <c r="GN57" s="938">
        <f t="shared" si="123"/>
        <v>0</v>
      </c>
      <c r="GO57" s="938">
        <f t="shared" si="124"/>
        <v>0</v>
      </c>
      <c r="GP57" s="938">
        <f t="shared" si="125"/>
        <v>0</v>
      </c>
      <c r="GQ57" s="938" t="str">
        <f t="shared" si="126"/>
        <v/>
      </c>
      <c r="GR57" s="713">
        <f>'min. Düngung 22'!BP58</f>
        <v>0</v>
      </c>
      <c r="GS57" s="938"/>
      <c r="GT57" s="938"/>
      <c r="GU57" s="938">
        <f t="shared" si="127"/>
        <v>0</v>
      </c>
      <c r="GV57" s="938">
        <f t="shared" si="128"/>
        <v>0</v>
      </c>
      <c r="GW57" s="938">
        <f t="shared" si="129"/>
        <v>0</v>
      </c>
      <c r="GX57" s="938">
        <f t="shared" si="130"/>
        <v>0</v>
      </c>
      <c r="GY57" s="938">
        <f t="shared" si="131"/>
        <v>0</v>
      </c>
      <c r="GZ57" s="938" t="str">
        <f t="shared" si="132"/>
        <v/>
      </c>
      <c r="HA57" s="713">
        <f>'min. Düngung 22'!BS58</f>
        <v>0</v>
      </c>
      <c r="HB57" s="938"/>
      <c r="HC57" s="938"/>
      <c r="HD57" s="938">
        <f t="shared" si="133"/>
        <v>0</v>
      </c>
      <c r="HE57" s="938">
        <f t="shared" si="134"/>
        <v>0</v>
      </c>
      <c r="HF57" s="938">
        <f t="shared" si="135"/>
        <v>0</v>
      </c>
      <c r="HG57" s="938">
        <f t="shared" si="136"/>
        <v>0</v>
      </c>
      <c r="HH57" s="938">
        <f t="shared" si="137"/>
        <v>0</v>
      </c>
      <c r="HI57" s="938" t="str">
        <f t="shared" si="138"/>
        <v/>
      </c>
      <c r="HJ57" s="713">
        <f>'min. Düngung 22'!BV58</f>
        <v>0</v>
      </c>
      <c r="HK57" s="938"/>
      <c r="HL57" s="938"/>
      <c r="HM57" s="938">
        <f t="shared" si="139"/>
        <v>0</v>
      </c>
      <c r="HN57" s="938">
        <f t="shared" si="140"/>
        <v>0</v>
      </c>
      <c r="HO57" s="938">
        <f t="shared" si="141"/>
        <v>0</v>
      </c>
      <c r="HP57" s="938">
        <f t="shared" si="142"/>
        <v>0</v>
      </c>
      <c r="HQ57" s="938">
        <f t="shared" si="143"/>
        <v>0</v>
      </c>
      <c r="HR57" s="938" t="str">
        <f t="shared" si="144"/>
        <v/>
      </c>
      <c r="HS57" s="713">
        <f>'min. Düngung 22'!BY58</f>
        <v>0</v>
      </c>
      <c r="HT57" s="938"/>
      <c r="HU57" s="938"/>
      <c r="HV57" s="938">
        <f t="shared" si="145"/>
        <v>0</v>
      </c>
      <c r="HW57" s="938">
        <f t="shared" si="146"/>
        <v>0</v>
      </c>
      <c r="HX57" s="938">
        <f t="shared" si="147"/>
        <v>0</v>
      </c>
      <c r="HY57" s="938">
        <f t="shared" si="148"/>
        <v>0</v>
      </c>
      <c r="HZ57" s="938">
        <f t="shared" si="149"/>
        <v>0</v>
      </c>
      <c r="IA57" s="938" t="str">
        <f t="shared" si="150"/>
        <v/>
      </c>
      <c r="IB57" s="713">
        <f>'min. Düngung 22'!CB58</f>
        <v>0</v>
      </c>
      <c r="IC57" s="938"/>
      <c r="ID57" s="938"/>
      <c r="IE57" s="938">
        <f t="shared" si="151"/>
        <v>0</v>
      </c>
      <c r="IF57" s="938">
        <f t="shared" si="152"/>
        <v>0</v>
      </c>
      <c r="IG57" s="938">
        <f t="shared" si="153"/>
        <v>0</v>
      </c>
      <c r="IH57" s="938">
        <f t="shared" si="154"/>
        <v>0</v>
      </c>
      <c r="II57" s="938">
        <f t="shared" si="155"/>
        <v>0</v>
      </c>
      <c r="IJ57" s="938" t="str">
        <f t="shared" si="156"/>
        <v/>
      </c>
      <c r="IK57" s="713">
        <f>'min. Düngung 22'!CE58</f>
        <v>0</v>
      </c>
      <c r="IL57" s="938"/>
      <c r="IM57" s="938"/>
      <c r="IN57" s="938">
        <f t="shared" si="157"/>
        <v>0</v>
      </c>
      <c r="IO57" s="938">
        <f t="shared" si="158"/>
        <v>0</v>
      </c>
      <c r="IP57" s="938">
        <f t="shared" si="159"/>
        <v>0</v>
      </c>
      <c r="IQ57" s="938">
        <f t="shared" si="160"/>
        <v>0</v>
      </c>
      <c r="IR57" s="938">
        <f t="shared" si="161"/>
        <v>0</v>
      </c>
      <c r="IS57" s="938" t="str">
        <f t="shared" si="162"/>
        <v/>
      </c>
      <c r="IT57" s="713">
        <f>'min. Düngung 22'!CH58</f>
        <v>0</v>
      </c>
      <c r="IU57" s="938"/>
      <c r="IV57" s="938"/>
      <c r="IW57" s="938">
        <f t="shared" si="163"/>
        <v>0</v>
      </c>
      <c r="IX57" s="938">
        <f t="shared" si="164"/>
        <v>0</v>
      </c>
      <c r="IY57" s="938">
        <f t="shared" si="165"/>
        <v>0</v>
      </c>
      <c r="IZ57" s="938">
        <f t="shared" si="166"/>
        <v>0</v>
      </c>
      <c r="JA57" s="938">
        <f t="shared" si="167"/>
        <v>0</v>
      </c>
      <c r="JB57" s="938" t="str">
        <f t="shared" si="168"/>
        <v/>
      </c>
      <c r="JC57" s="713">
        <f>'min. Düngung 22'!CK58</f>
        <v>0</v>
      </c>
      <c r="JD57" s="938"/>
      <c r="JE57" s="938"/>
      <c r="JF57" s="938">
        <f t="shared" si="169"/>
        <v>0</v>
      </c>
      <c r="JG57" s="938">
        <f t="shared" si="170"/>
        <v>0</v>
      </c>
      <c r="JH57" s="938">
        <f t="shared" si="171"/>
        <v>0</v>
      </c>
      <c r="JI57" s="938">
        <f t="shared" si="172"/>
        <v>0</v>
      </c>
      <c r="JJ57" s="938">
        <f t="shared" si="173"/>
        <v>0</v>
      </c>
      <c r="JK57" s="938" t="str">
        <f t="shared" si="174"/>
        <v/>
      </c>
      <c r="JL57" s="713">
        <f>'min. Düngung 22'!CN58</f>
        <v>0</v>
      </c>
      <c r="JM57" s="938"/>
      <c r="JN57" s="938"/>
      <c r="JO57" s="938">
        <f t="shared" si="175"/>
        <v>0</v>
      </c>
      <c r="JP57" s="938">
        <f t="shared" si="176"/>
        <v>0</v>
      </c>
      <c r="JQ57" s="938">
        <f t="shared" si="177"/>
        <v>0</v>
      </c>
      <c r="JR57" s="938">
        <f t="shared" si="178"/>
        <v>0</v>
      </c>
      <c r="JS57" s="938">
        <f t="shared" si="179"/>
        <v>0</v>
      </c>
      <c r="JT57" s="938" t="str">
        <f t="shared" si="180"/>
        <v/>
      </c>
      <c r="JU57" s="713">
        <f>'min. Düngung 22'!CQ58</f>
        <v>0</v>
      </c>
      <c r="JV57" s="938"/>
      <c r="JW57" s="938"/>
      <c r="JX57" s="938">
        <f t="shared" si="181"/>
        <v>0</v>
      </c>
      <c r="JY57" s="938">
        <f t="shared" si="182"/>
        <v>0</v>
      </c>
      <c r="JZ57" s="938">
        <f t="shared" si="183"/>
        <v>0</v>
      </c>
      <c r="KA57" s="938">
        <f t="shared" si="184"/>
        <v>0</v>
      </c>
      <c r="KB57" s="938">
        <f t="shared" si="185"/>
        <v>0</v>
      </c>
      <c r="KC57" s="938" t="str">
        <f t="shared" si="186"/>
        <v/>
      </c>
      <c r="KE57" s="938"/>
      <c r="KF57" s="938" t="str">
        <f>IF(AND($F57=2,$G57=1),"",IF(OR($Q57&gt;0,$O57&gt;60),$KF$7,IF(I57=70,"",IF(AND(I57=80,R57+'#orgDung'!AC60&lt;60,K57=1,OR(C57=2,'#BerechnungDBE'!AH51=4)),"",IF(R57&gt;0,$KF$7,"")))))</f>
        <v/>
      </c>
      <c r="KG57" s="938" t="str">
        <f>IF(AND(P57&gt;'#BerechnungDBE'!BJ51,P57&gt;0),'#minDung'!$KG$7,"")</f>
        <v/>
      </c>
      <c r="KH57" s="938" t="str">
        <f>IF(AND(I57=70,R57&gt;'#BerechnungDBE'!CR51),'#minDung'!$KH$7,"")</f>
        <v/>
      </c>
      <c r="KI57" s="938" t="str">
        <f>IF('#BerechnungDBE'!P51&lt;4,"",IF(AND('#BerechnungDBE'!BZ51&gt;0,N57&gt;0),$KI$7,""))</f>
        <v/>
      </c>
      <c r="KJ57" s="938" t="str">
        <f t="shared" si="5"/>
        <v/>
      </c>
    </row>
    <row r="58" spans="1:296" s="875" customFormat="1" hidden="1" x14ac:dyDescent="0.2">
      <c r="A58" s="875">
        <f>'Flächen u. Kulturen'!A57</f>
        <v>48</v>
      </c>
      <c r="B58" s="734">
        <f>'#BerechnungDBE'!L52</f>
        <v>0</v>
      </c>
      <c r="C58" s="46">
        <f>'#orgDung'!C61</f>
        <v>1</v>
      </c>
      <c r="D58" s="875">
        <f>'#BerechnungDBE'!T52</f>
        <v>2</v>
      </c>
      <c r="E58" s="875" t="str">
        <f>'Flächen u. Kulturen'!E57</f>
        <v>x</v>
      </c>
      <c r="F58" s="52">
        <f>'#BerechnungDBE'!N52</f>
        <v>1</v>
      </c>
      <c r="G58" s="52">
        <f>'#BerechnungDBE'!O52</f>
        <v>1</v>
      </c>
      <c r="H58" s="505">
        <f>'#orgDung'!J61</f>
        <v>2</v>
      </c>
      <c r="I58" s="875">
        <f>'#BerechnungDBE'!AF52</f>
        <v>0</v>
      </c>
      <c r="J58" s="875">
        <f>'#orgDung'!M61</f>
        <v>0</v>
      </c>
      <c r="K58" s="875">
        <f>'#BerechnungDBE'!AG52</f>
        <v>0</v>
      </c>
      <c r="M58" s="875">
        <f t="shared" si="187"/>
        <v>0</v>
      </c>
      <c r="N58" s="875">
        <f t="shared" si="188"/>
        <v>0</v>
      </c>
      <c r="O58" s="875">
        <f t="shared" si="189"/>
        <v>0</v>
      </c>
      <c r="P58" s="875">
        <f t="shared" si="190"/>
        <v>0</v>
      </c>
      <c r="Q58" s="938">
        <f t="shared" si="6"/>
        <v>0</v>
      </c>
      <c r="R58" s="875">
        <f t="shared" si="191"/>
        <v>0</v>
      </c>
      <c r="T58" s="713">
        <f>'min. Düngung 22'!H59</f>
        <v>0</v>
      </c>
      <c r="W58" s="875">
        <f t="shared" si="7"/>
        <v>0</v>
      </c>
      <c r="X58" s="875">
        <f t="shared" si="8"/>
        <v>0</v>
      </c>
      <c r="Y58" s="875">
        <f t="shared" si="9"/>
        <v>0</v>
      </c>
      <c r="Z58" s="875">
        <f t="shared" si="10"/>
        <v>0</v>
      </c>
      <c r="AA58" s="875">
        <f t="shared" si="11"/>
        <v>0</v>
      </c>
      <c r="AB58" s="875" t="str">
        <f t="shared" si="12"/>
        <v/>
      </c>
      <c r="AC58" s="713">
        <f>'min. Düngung 22'!K59</f>
        <v>0</v>
      </c>
      <c r="AD58" s="938"/>
      <c r="AE58" s="938"/>
      <c r="AF58" s="938">
        <f t="shared" si="13"/>
        <v>0</v>
      </c>
      <c r="AG58" s="938">
        <f t="shared" si="14"/>
        <v>0</v>
      </c>
      <c r="AH58" s="938">
        <f t="shared" si="15"/>
        <v>0</v>
      </c>
      <c r="AI58" s="938">
        <f t="shared" si="16"/>
        <v>0</v>
      </c>
      <c r="AJ58" s="938">
        <f t="shared" si="17"/>
        <v>0</v>
      </c>
      <c r="AK58" s="938">
        <f t="shared" si="18"/>
        <v>0</v>
      </c>
      <c r="AL58" s="713">
        <f>'min. Düngung 22'!N59</f>
        <v>0</v>
      </c>
      <c r="AM58" s="938"/>
      <c r="AN58" s="938"/>
      <c r="AO58" s="938">
        <f t="shared" si="19"/>
        <v>0</v>
      </c>
      <c r="AP58" s="938">
        <f t="shared" si="20"/>
        <v>0</v>
      </c>
      <c r="AQ58" s="938">
        <f t="shared" si="21"/>
        <v>0</v>
      </c>
      <c r="AR58" s="938">
        <f t="shared" si="22"/>
        <v>0</v>
      </c>
      <c r="AS58" s="938">
        <f t="shared" si="23"/>
        <v>0</v>
      </c>
      <c r="AT58" s="938" t="str">
        <f t="shared" si="24"/>
        <v/>
      </c>
      <c r="AU58" s="713">
        <f>'min. Düngung 22'!Q59</f>
        <v>0</v>
      </c>
      <c r="AV58" s="938"/>
      <c r="AW58" s="938"/>
      <c r="AX58" s="938">
        <f t="shared" si="25"/>
        <v>0</v>
      </c>
      <c r="AY58" s="938">
        <f t="shared" si="26"/>
        <v>0</v>
      </c>
      <c r="AZ58" s="938">
        <f t="shared" si="27"/>
        <v>0</v>
      </c>
      <c r="BA58" s="938">
        <f t="shared" si="28"/>
        <v>0</v>
      </c>
      <c r="BB58" s="938">
        <f t="shared" si="29"/>
        <v>0</v>
      </c>
      <c r="BC58" s="938" t="str">
        <f t="shared" si="30"/>
        <v/>
      </c>
      <c r="BD58" s="713">
        <f>'min. Düngung 22'!T59</f>
        <v>0</v>
      </c>
      <c r="BE58" s="938"/>
      <c r="BF58" s="938"/>
      <c r="BG58" s="938">
        <f t="shared" si="31"/>
        <v>0</v>
      </c>
      <c r="BH58" s="938">
        <f t="shared" si="32"/>
        <v>0</v>
      </c>
      <c r="BI58" s="938">
        <f t="shared" si="33"/>
        <v>0</v>
      </c>
      <c r="BJ58" s="938">
        <f t="shared" si="34"/>
        <v>0</v>
      </c>
      <c r="BK58" s="938">
        <f t="shared" si="35"/>
        <v>0</v>
      </c>
      <c r="BL58" s="938" t="str">
        <f t="shared" si="36"/>
        <v/>
      </c>
      <c r="BM58" s="713">
        <f>'min. Düngung 22'!W59</f>
        <v>0</v>
      </c>
      <c r="BN58" s="938"/>
      <c r="BO58" s="938"/>
      <c r="BP58" s="938">
        <f t="shared" si="37"/>
        <v>0</v>
      </c>
      <c r="BQ58" s="938">
        <f t="shared" si="38"/>
        <v>0</v>
      </c>
      <c r="BR58" s="938">
        <f t="shared" si="39"/>
        <v>0</v>
      </c>
      <c r="BS58" s="938">
        <f t="shared" si="40"/>
        <v>0</v>
      </c>
      <c r="BT58" s="938">
        <f t="shared" si="41"/>
        <v>0</v>
      </c>
      <c r="BU58" s="938" t="str">
        <f t="shared" si="42"/>
        <v/>
      </c>
      <c r="BV58" s="713">
        <f>'min. Düngung 22'!Z59</f>
        <v>0</v>
      </c>
      <c r="BW58" s="938"/>
      <c r="BX58" s="938"/>
      <c r="BY58" s="938">
        <f t="shared" si="43"/>
        <v>0</v>
      </c>
      <c r="BZ58" s="938">
        <f t="shared" si="44"/>
        <v>0</v>
      </c>
      <c r="CA58" s="938">
        <f t="shared" si="45"/>
        <v>0</v>
      </c>
      <c r="CB58" s="938">
        <f t="shared" si="46"/>
        <v>0</v>
      </c>
      <c r="CC58" s="938">
        <f t="shared" si="47"/>
        <v>0</v>
      </c>
      <c r="CD58" s="938" t="str">
        <f t="shared" si="48"/>
        <v/>
      </c>
      <c r="CE58" s="713">
        <f>'min. Düngung 22'!AC59</f>
        <v>0</v>
      </c>
      <c r="CF58" s="938"/>
      <c r="CG58" s="938"/>
      <c r="CH58" s="938">
        <f t="shared" si="49"/>
        <v>0</v>
      </c>
      <c r="CI58" s="938">
        <f t="shared" si="50"/>
        <v>0</v>
      </c>
      <c r="CJ58" s="938">
        <f t="shared" si="51"/>
        <v>0</v>
      </c>
      <c r="CK58" s="938">
        <f t="shared" si="52"/>
        <v>0</v>
      </c>
      <c r="CL58" s="938">
        <f t="shared" si="53"/>
        <v>0</v>
      </c>
      <c r="CM58" s="938" t="str">
        <f t="shared" si="54"/>
        <v/>
      </c>
      <c r="CN58" s="713">
        <f>'min. Düngung 22'!AF59</f>
        <v>0</v>
      </c>
      <c r="CO58" s="938"/>
      <c r="CP58" s="938"/>
      <c r="CQ58" s="938">
        <f t="shared" si="55"/>
        <v>0</v>
      </c>
      <c r="CR58" s="938">
        <f t="shared" si="56"/>
        <v>0</v>
      </c>
      <c r="CS58" s="938">
        <f t="shared" si="57"/>
        <v>0</v>
      </c>
      <c r="CT58" s="938">
        <f t="shared" si="58"/>
        <v>0</v>
      </c>
      <c r="CU58" s="938">
        <f t="shared" si="59"/>
        <v>0</v>
      </c>
      <c r="CV58" s="938" t="str">
        <f t="shared" si="60"/>
        <v/>
      </c>
      <c r="CW58" s="713">
        <f>'min. Düngung 22'!AI59</f>
        <v>0</v>
      </c>
      <c r="CX58" s="938"/>
      <c r="CY58" s="938"/>
      <c r="CZ58" s="938">
        <f t="shared" si="61"/>
        <v>0</v>
      </c>
      <c r="DA58" s="938">
        <f t="shared" si="62"/>
        <v>0</v>
      </c>
      <c r="DB58" s="938">
        <f t="shared" si="63"/>
        <v>0</v>
      </c>
      <c r="DC58" s="938">
        <f t="shared" si="64"/>
        <v>0</v>
      </c>
      <c r="DD58" s="938">
        <f t="shared" si="65"/>
        <v>0</v>
      </c>
      <c r="DE58" s="938" t="str">
        <f t="shared" si="66"/>
        <v/>
      </c>
      <c r="DF58" s="713">
        <f>'min. Düngung 22'!AL59</f>
        <v>0</v>
      </c>
      <c r="DG58" s="938"/>
      <c r="DH58" s="938"/>
      <c r="DI58" s="938">
        <f t="shared" si="67"/>
        <v>0</v>
      </c>
      <c r="DJ58" s="938">
        <f t="shared" si="68"/>
        <v>0</v>
      </c>
      <c r="DK58" s="938">
        <f t="shared" si="69"/>
        <v>0</v>
      </c>
      <c r="DL58" s="938">
        <f t="shared" si="70"/>
        <v>0</v>
      </c>
      <c r="DM58" s="938">
        <f t="shared" si="71"/>
        <v>0</v>
      </c>
      <c r="DN58" s="938" t="str">
        <f t="shared" si="72"/>
        <v/>
      </c>
      <c r="DO58" s="713">
        <f>'min. Düngung 22'!AO59</f>
        <v>0</v>
      </c>
      <c r="DP58" s="938"/>
      <c r="DQ58" s="938"/>
      <c r="DR58" s="938">
        <f t="shared" si="73"/>
        <v>0</v>
      </c>
      <c r="DS58" s="938">
        <f t="shared" si="74"/>
        <v>0</v>
      </c>
      <c r="DT58" s="938">
        <f t="shared" si="75"/>
        <v>0</v>
      </c>
      <c r="DU58" s="938">
        <f t="shared" si="76"/>
        <v>0</v>
      </c>
      <c r="DV58" s="938">
        <f t="shared" si="77"/>
        <v>0</v>
      </c>
      <c r="DW58" s="938" t="str">
        <f t="shared" si="78"/>
        <v/>
      </c>
      <c r="DX58" s="713">
        <f>'min. Düngung 22'!AR59</f>
        <v>0</v>
      </c>
      <c r="DY58" s="938"/>
      <c r="DZ58" s="938"/>
      <c r="EA58" s="938">
        <f t="shared" si="79"/>
        <v>0</v>
      </c>
      <c r="EB58" s="938">
        <f t="shared" si="80"/>
        <v>0</v>
      </c>
      <c r="EC58" s="938">
        <f t="shared" si="81"/>
        <v>0</v>
      </c>
      <c r="ED58" s="938">
        <f t="shared" si="82"/>
        <v>0</v>
      </c>
      <c r="EE58" s="938">
        <f t="shared" si="83"/>
        <v>0</v>
      </c>
      <c r="EF58" s="938" t="str">
        <f t="shared" si="84"/>
        <v/>
      </c>
      <c r="EG58" s="713">
        <f>'min. Düngung 22'!AU59</f>
        <v>0</v>
      </c>
      <c r="EH58" s="938"/>
      <c r="EI58" s="938"/>
      <c r="EJ58" s="938">
        <f t="shared" si="85"/>
        <v>0</v>
      </c>
      <c r="EK58" s="938">
        <f t="shared" si="86"/>
        <v>0</v>
      </c>
      <c r="EL58" s="938">
        <f t="shared" si="87"/>
        <v>0</v>
      </c>
      <c r="EM58" s="938">
        <f t="shared" si="88"/>
        <v>0</v>
      </c>
      <c r="EN58" s="938">
        <f t="shared" si="89"/>
        <v>0</v>
      </c>
      <c r="EO58" s="938" t="str">
        <f t="shared" si="90"/>
        <v/>
      </c>
      <c r="EP58" s="713">
        <f>'min. Düngung 22'!AX59</f>
        <v>0</v>
      </c>
      <c r="EQ58" s="938"/>
      <c r="ER58" s="938"/>
      <c r="ES58" s="938">
        <f t="shared" si="91"/>
        <v>0</v>
      </c>
      <c r="ET58" s="938">
        <f t="shared" si="92"/>
        <v>0</v>
      </c>
      <c r="EU58" s="938">
        <f t="shared" si="93"/>
        <v>0</v>
      </c>
      <c r="EV58" s="938">
        <f t="shared" si="94"/>
        <v>0</v>
      </c>
      <c r="EW58" s="938">
        <f t="shared" si="95"/>
        <v>0</v>
      </c>
      <c r="EX58" s="938" t="str">
        <f t="shared" si="96"/>
        <v/>
      </c>
      <c r="EY58" s="713">
        <f>'min. Düngung 22'!BA59</f>
        <v>0</v>
      </c>
      <c r="EZ58" s="938"/>
      <c r="FA58" s="938"/>
      <c r="FB58" s="938">
        <f t="shared" si="97"/>
        <v>0</v>
      </c>
      <c r="FC58" s="938">
        <f t="shared" si="98"/>
        <v>0</v>
      </c>
      <c r="FD58" s="938">
        <f t="shared" si="99"/>
        <v>0</v>
      </c>
      <c r="FE58" s="938">
        <f t="shared" si="100"/>
        <v>0</v>
      </c>
      <c r="FF58" s="938">
        <f t="shared" si="101"/>
        <v>0</v>
      </c>
      <c r="FG58" s="938" t="str">
        <f t="shared" si="102"/>
        <v/>
      </c>
      <c r="FH58" s="713">
        <f>'min. Düngung 22'!BD59</f>
        <v>0</v>
      </c>
      <c r="FI58" s="938"/>
      <c r="FJ58" s="938"/>
      <c r="FK58" s="938">
        <f t="shared" si="103"/>
        <v>0</v>
      </c>
      <c r="FL58" s="938">
        <f t="shared" si="104"/>
        <v>0</v>
      </c>
      <c r="FM58" s="938">
        <f t="shared" si="105"/>
        <v>0</v>
      </c>
      <c r="FN58" s="938">
        <f t="shared" si="106"/>
        <v>0</v>
      </c>
      <c r="FO58" s="938">
        <f t="shared" si="107"/>
        <v>0</v>
      </c>
      <c r="FP58" s="938" t="str">
        <f t="shared" si="108"/>
        <v/>
      </c>
      <c r="FQ58" s="713">
        <f>'min. Düngung 22'!BG59</f>
        <v>0</v>
      </c>
      <c r="FR58" s="938"/>
      <c r="FS58" s="938"/>
      <c r="FT58" s="938">
        <f t="shared" si="109"/>
        <v>0</v>
      </c>
      <c r="FU58" s="938">
        <f t="shared" si="110"/>
        <v>0</v>
      </c>
      <c r="FV58" s="938">
        <f t="shared" si="111"/>
        <v>0</v>
      </c>
      <c r="FW58" s="938">
        <f t="shared" si="112"/>
        <v>0</v>
      </c>
      <c r="FX58" s="938">
        <f t="shared" si="113"/>
        <v>0</v>
      </c>
      <c r="FY58" s="938" t="str">
        <f t="shared" si="114"/>
        <v/>
      </c>
      <c r="FZ58" s="713">
        <f>'min. Düngung 22'!BJ59</f>
        <v>0</v>
      </c>
      <c r="GA58" s="938"/>
      <c r="GB58" s="938"/>
      <c r="GC58" s="938">
        <f t="shared" si="115"/>
        <v>0</v>
      </c>
      <c r="GD58" s="938">
        <f t="shared" si="116"/>
        <v>0</v>
      </c>
      <c r="GE58" s="938">
        <f t="shared" si="117"/>
        <v>0</v>
      </c>
      <c r="GF58" s="938">
        <f t="shared" si="118"/>
        <v>0</v>
      </c>
      <c r="GG58" s="938">
        <f t="shared" si="119"/>
        <v>0</v>
      </c>
      <c r="GH58" s="938" t="str">
        <f t="shared" si="120"/>
        <v/>
      </c>
      <c r="GI58" s="713">
        <f>'min. Düngung 22'!BM59</f>
        <v>0</v>
      </c>
      <c r="GJ58" s="938"/>
      <c r="GK58" s="938"/>
      <c r="GL58" s="938">
        <f t="shared" si="121"/>
        <v>0</v>
      </c>
      <c r="GM58" s="938">
        <f t="shared" si="122"/>
        <v>0</v>
      </c>
      <c r="GN58" s="938">
        <f t="shared" si="123"/>
        <v>0</v>
      </c>
      <c r="GO58" s="938">
        <f t="shared" si="124"/>
        <v>0</v>
      </c>
      <c r="GP58" s="938">
        <f t="shared" si="125"/>
        <v>0</v>
      </c>
      <c r="GQ58" s="938" t="str">
        <f t="shared" si="126"/>
        <v/>
      </c>
      <c r="GR58" s="713">
        <f>'min. Düngung 22'!BP59</f>
        <v>0</v>
      </c>
      <c r="GS58" s="938"/>
      <c r="GT58" s="938"/>
      <c r="GU58" s="938">
        <f t="shared" si="127"/>
        <v>0</v>
      </c>
      <c r="GV58" s="938">
        <f t="shared" si="128"/>
        <v>0</v>
      </c>
      <c r="GW58" s="938">
        <f t="shared" si="129"/>
        <v>0</v>
      </c>
      <c r="GX58" s="938">
        <f t="shared" si="130"/>
        <v>0</v>
      </c>
      <c r="GY58" s="938">
        <f t="shared" si="131"/>
        <v>0</v>
      </c>
      <c r="GZ58" s="938" t="str">
        <f t="shared" si="132"/>
        <v/>
      </c>
      <c r="HA58" s="713">
        <f>'min. Düngung 22'!BS59</f>
        <v>0</v>
      </c>
      <c r="HB58" s="938"/>
      <c r="HC58" s="938"/>
      <c r="HD58" s="938">
        <f t="shared" si="133"/>
        <v>0</v>
      </c>
      <c r="HE58" s="938">
        <f t="shared" si="134"/>
        <v>0</v>
      </c>
      <c r="HF58" s="938">
        <f t="shared" si="135"/>
        <v>0</v>
      </c>
      <c r="HG58" s="938">
        <f t="shared" si="136"/>
        <v>0</v>
      </c>
      <c r="HH58" s="938">
        <f t="shared" si="137"/>
        <v>0</v>
      </c>
      <c r="HI58" s="938" t="str">
        <f t="shared" si="138"/>
        <v/>
      </c>
      <c r="HJ58" s="713">
        <f>'min. Düngung 22'!BV59</f>
        <v>0</v>
      </c>
      <c r="HK58" s="938"/>
      <c r="HL58" s="938"/>
      <c r="HM58" s="938">
        <f t="shared" si="139"/>
        <v>0</v>
      </c>
      <c r="HN58" s="938">
        <f t="shared" si="140"/>
        <v>0</v>
      </c>
      <c r="HO58" s="938">
        <f t="shared" si="141"/>
        <v>0</v>
      </c>
      <c r="HP58" s="938">
        <f t="shared" si="142"/>
        <v>0</v>
      </c>
      <c r="HQ58" s="938">
        <f t="shared" si="143"/>
        <v>0</v>
      </c>
      <c r="HR58" s="938" t="str">
        <f t="shared" si="144"/>
        <v/>
      </c>
      <c r="HS58" s="713">
        <f>'min. Düngung 22'!BY59</f>
        <v>0</v>
      </c>
      <c r="HT58" s="938"/>
      <c r="HU58" s="938"/>
      <c r="HV58" s="938">
        <f t="shared" si="145"/>
        <v>0</v>
      </c>
      <c r="HW58" s="938">
        <f t="shared" si="146"/>
        <v>0</v>
      </c>
      <c r="HX58" s="938">
        <f t="shared" si="147"/>
        <v>0</v>
      </c>
      <c r="HY58" s="938">
        <f t="shared" si="148"/>
        <v>0</v>
      </c>
      <c r="HZ58" s="938">
        <f t="shared" si="149"/>
        <v>0</v>
      </c>
      <c r="IA58" s="938" t="str">
        <f t="shared" si="150"/>
        <v/>
      </c>
      <c r="IB58" s="713">
        <f>'min. Düngung 22'!CB59</f>
        <v>0</v>
      </c>
      <c r="IC58" s="938"/>
      <c r="ID58" s="938"/>
      <c r="IE58" s="938">
        <f t="shared" si="151"/>
        <v>0</v>
      </c>
      <c r="IF58" s="938">
        <f t="shared" si="152"/>
        <v>0</v>
      </c>
      <c r="IG58" s="938">
        <f t="shared" si="153"/>
        <v>0</v>
      </c>
      <c r="IH58" s="938">
        <f t="shared" si="154"/>
        <v>0</v>
      </c>
      <c r="II58" s="938">
        <f t="shared" si="155"/>
        <v>0</v>
      </c>
      <c r="IJ58" s="938" t="str">
        <f t="shared" si="156"/>
        <v/>
      </c>
      <c r="IK58" s="713">
        <f>'min. Düngung 22'!CE59</f>
        <v>0</v>
      </c>
      <c r="IL58" s="938"/>
      <c r="IM58" s="938"/>
      <c r="IN58" s="938">
        <f t="shared" si="157"/>
        <v>0</v>
      </c>
      <c r="IO58" s="938">
        <f t="shared" si="158"/>
        <v>0</v>
      </c>
      <c r="IP58" s="938">
        <f t="shared" si="159"/>
        <v>0</v>
      </c>
      <c r="IQ58" s="938">
        <f t="shared" si="160"/>
        <v>0</v>
      </c>
      <c r="IR58" s="938">
        <f t="shared" si="161"/>
        <v>0</v>
      </c>
      <c r="IS58" s="938" t="str">
        <f t="shared" si="162"/>
        <v/>
      </c>
      <c r="IT58" s="713">
        <f>'min. Düngung 22'!CH59</f>
        <v>0</v>
      </c>
      <c r="IU58" s="938"/>
      <c r="IV58" s="938"/>
      <c r="IW58" s="938">
        <f t="shared" si="163"/>
        <v>0</v>
      </c>
      <c r="IX58" s="938">
        <f t="shared" si="164"/>
        <v>0</v>
      </c>
      <c r="IY58" s="938">
        <f t="shared" si="165"/>
        <v>0</v>
      </c>
      <c r="IZ58" s="938">
        <f t="shared" si="166"/>
        <v>0</v>
      </c>
      <c r="JA58" s="938">
        <f t="shared" si="167"/>
        <v>0</v>
      </c>
      <c r="JB58" s="938" t="str">
        <f t="shared" si="168"/>
        <v/>
      </c>
      <c r="JC58" s="713">
        <f>'min. Düngung 22'!CK59</f>
        <v>0</v>
      </c>
      <c r="JD58" s="938"/>
      <c r="JE58" s="938"/>
      <c r="JF58" s="938">
        <f t="shared" si="169"/>
        <v>0</v>
      </c>
      <c r="JG58" s="938">
        <f t="shared" si="170"/>
        <v>0</v>
      </c>
      <c r="JH58" s="938">
        <f t="shared" si="171"/>
        <v>0</v>
      </c>
      <c r="JI58" s="938">
        <f t="shared" si="172"/>
        <v>0</v>
      </c>
      <c r="JJ58" s="938">
        <f t="shared" si="173"/>
        <v>0</v>
      </c>
      <c r="JK58" s="938" t="str">
        <f t="shared" si="174"/>
        <v/>
      </c>
      <c r="JL58" s="713">
        <f>'min. Düngung 22'!CN59</f>
        <v>0</v>
      </c>
      <c r="JM58" s="938"/>
      <c r="JN58" s="938"/>
      <c r="JO58" s="938">
        <f t="shared" si="175"/>
        <v>0</v>
      </c>
      <c r="JP58" s="938">
        <f t="shared" si="176"/>
        <v>0</v>
      </c>
      <c r="JQ58" s="938">
        <f t="shared" si="177"/>
        <v>0</v>
      </c>
      <c r="JR58" s="938">
        <f t="shared" si="178"/>
        <v>0</v>
      </c>
      <c r="JS58" s="938">
        <f t="shared" si="179"/>
        <v>0</v>
      </c>
      <c r="JT58" s="938" t="str">
        <f t="shared" si="180"/>
        <v/>
      </c>
      <c r="JU58" s="713">
        <f>'min. Düngung 22'!CQ59</f>
        <v>0</v>
      </c>
      <c r="JV58" s="938"/>
      <c r="JW58" s="938"/>
      <c r="JX58" s="938">
        <f t="shared" si="181"/>
        <v>0</v>
      </c>
      <c r="JY58" s="938">
        <f t="shared" si="182"/>
        <v>0</v>
      </c>
      <c r="JZ58" s="938">
        <f t="shared" si="183"/>
        <v>0</v>
      </c>
      <c r="KA58" s="938">
        <f t="shared" si="184"/>
        <v>0</v>
      </c>
      <c r="KB58" s="938">
        <f t="shared" si="185"/>
        <v>0</v>
      </c>
      <c r="KC58" s="938" t="str">
        <f t="shared" si="186"/>
        <v/>
      </c>
      <c r="KE58" s="938"/>
      <c r="KF58" s="938" t="str">
        <f>IF(AND($F58=2,$G58=1),"",IF(OR($Q58&gt;0,$O58&gt;60),$KF$7,IF(I58=70,"",IF(AND(I58=80,R58+'#orgDung'!AC61&lt;60,K58=1,OR(C58=2,'#BerechnungDBE'!AH52=4)),"",IF(R58&gt;0,$KF$7,"")))))</f>
        <v/>
      </c>
      <c r="KG58" s="938" t="str">
        <f>IF(AND(P58&gt;'#BerechnungDBE'!BJ52,P58&gt;0),'#minDung'!$KG$7,"")</f>
        <v/>
      </c>
      <c r="KH58" s="938" t="str">
        <f>IF(AND(I58=70,R58&gt;'#BerechnungDBE'!CR52),'#minDung'!$KH$7,"")</f>
        <v/>
      </c>
      <c r="KI58" s="938" t="str">
        <f>IF('#BerechnungDBE'!P52&lt;4,"",IF(AND('#BerechnungDBE'!BZ52&gt;0,N58&gt;0),$KI$7,""))</f>
        <v/>
      </c>
      <c r="KJ58" s="938" t="str">
        <f t="shared" si="5"/>
        <v/>
      </c>
    </row>
    <row r="59" spans="1:296" s="875" customFormat="1" hidden="1" x14ac:dyDescent="0.2">
      <c r="A59" s="875">
        <f>'Flächen u. Kulturen'!A58</f>
        <v>49</v>
      </c>
      <c r="B59" s="734">
        <f>'#BerechnungDBE'!L53</f>
        <v>0</v>
      </c>
      <c r="C59" s="46">
        <f>'#orgDung'!C62</f>
        <v>1</v>
      </c>
      <c r="D59" s="875">
        <f>'#BerechnungDBE'!T53</f>
        <v>2</v>
      </c>
      <c r="E59" s="875" t="str">
        <f>'Flächen u. Kulturen'!E58</f>
        <v>x</v>
      </c>
      <c r="F59" s="52">
        <f>'#BerechnungDBE'!N53</f>
        <v>1</v>
      </c>
      <c r="G59" s="52">
        <f>'#BerechnungDBE'!O53</f>
        <v>1</v>
      </c>
      <c r="H59" s="505">
        <f>'#orgDung'!J62</f>
        <v>2</v>
      </c>
      <c r="I59" s="875">
        <f>'#BerechnungDBE'!AF53</f>
        <v>0</v>
      </c>
      <c r="J59" s="875">
        <f>'#orgDung'!M62</f>
        <v>0</v>
      </c>
      <c r="K59" s="875">
        <f>'#BerechnungDBE'!AG53</f>
        <v>0</v>
      </c>
      <c r="M59" s="875">
        <f t="shared" si="187"/>
        <v>0</v>
      </c>
      <c r="N59" s="875">
        <f t="shared" si="188"/>
        <v>0</v>
      </c>
      <c r="O59" s="875">
        <f t="shared" si="189"/>
        <v>0</v>
      </c>
      <c r="P59" s="875">
        <f t="shared" si="190"/>
        <v>0</v>
      </c>
      <c r="Q59" s="938">
        <f t="shared" si="6"/>
        <v>0</v>
      </c>
      <c r="R59" s="875">
        <f t="shared" si="191"/>
        <v>0</v>
      </c>
      <c r="T59" s="713">
        <f>'min. Düngung 22'!H60</f>
        <v>0</v>
      </c>
      <c r="W59" s="875">
        <f t="shared" si="7"/>
        <v>0</v>
      </c>
      <c r="X59" s="875">
        <f t="shared" si="8"/>
        <v>0</v>
      </c>
      <c r="Y59" s="875">
        <f t="shared" si="9"/>
        <v>0</v>
      </c>
      <c r="Z59" s="875">
        <f t="shared" si="10"/>
        <v>0</v>
      </c>
      <c r="AA59" s="875">
        <f t="shared" si="11"/>
        <v>0</v>
      </c>
      <c r="AB59" s="875" t="str">
        <f t="shared" si="12"/>
        <v/>
      </c>
      <c r="AC59" s="713">
        <f>'min. Düngung 22'!K60</f>
        <v>0</v>
      </c>
      <c r="AD59" s="938"/>
      <c r="AE59" s="938"/>
      <c r="AF59" s="938">
        <f t="shared" si="13"/>
        <v>0</v>
      </c>
      <c r="AG59" s="938">
        <f t="shared" si="14"/>
        <v>0</v>
      </c>
      <c r="AH59" s="938">
        <f t="shared" si="15"/>
        <v>0</v>
      </c>
      <c r="AI59" s="938">
        <f t="shared" si="16"/>
        <v>0</v>
      </c>
      <c r="AJ59" s="938">
        <f t="shared" si="17"/>
        <v>0</v>
      </c>
      <c r="AK59" s="938">
        <f t="shared" si="18"/>
        <v>0</v>
      </c>
      <c r="AL59" s="713">
        <f>'min. Düngung 22'!N60</f>
        <v>0</v>
      </c>
      <c r="AM59" s="938"/>
      <c r="AN59" s="938"/>
      <c r="AO59" s="938">
        <f t="shared" si="19"/>
        <v>0</v>
      </c>
      <c r="AP59" s="938">
        <f t="shared" si="20"/>
        <v>0</v>
      </c>
      <c r="AQ59" s="938">
        <f t="shared" si="21"/>
        <v>0</v>
      </c>
      <c r="AR59" s="938">
        <f t="shared" si="22"/>
        <v>0</v>
      </c>
      <c r="AS59" s="938">
        <f t="shared" si="23"/>
        <v>0</v>
      </c>
      <c r="AT59" s="938" t="str">
        <f t="shared" si="24"/>
        <v/>
      </c>
      <c r="AU59" s="713">
        <f>'min. Düngung 22'!Q60</f>
        <v>0</v>
      </c>
      <c r="AV59" s="938"/>
      <c r="AW59" s="938"/>
      <c r="AX59" s="938">
        <f t="shared" si="25"/>
        <v>0</v>
      </c>
      <c r="AY59" s="938">
        <f t="shared" si="26"/>
        <v>0</v>
      </c>
      <c r="AZ59" s="938">
        <f t="shared" si="27"/>
        <v>0</v>
      </c>
      <c r="BA59" s="938">
        <f t="shared" si="28"/>
        <v>0</v>
      </c>
      <c r="BB59" s="938">
        <f t="shared" si="29"/>
        <v>0</v>
      </c>
      <c r="BC59" s="938" t="str">
        <f t="shared" si="30"/>
        <v/>
      </c>
      <c r="BD59" s="713">
        <f>'min. Düngung 22'!T60</f>
        <v>0</v>
      </c>
      <c r="BE59" s="938"/>
      <c r="BF59" s="938"/>
      <c r="BG59" s="938">
        <f t="shared" si="31"/>
        <v>0</v>
      </c>
      <c r="BH59" s="938">
        <f t="shared" si="32"/>
        <v>0</v>
      </c>
      <c r="BI59" s="938">
        <f t="shared" si="33"/>
        <v>0</v>
      </c>
      <c r="BJ59" s="938">
        <f t="shared" si="34"/>
        <v>0</v>
      </c>
      <c r="BK59" s="938">
        <f t="shared" si="35"/>
        <v>0</v>
      </c>
      <c r="BL59" s="938" t="str">
        <f t="shared" si="36"/>
        <v/>
      </c>
      <c r="BM59" s="713">
        <f>'min. Düngung 22'!W60</f>
        <v>0</v>
      </c>
      <c r="BN59" s="938"/>
      <c r="BO59" s="938"/>
      <c r="BP59" s="938">
        <f t="shared" si="37"/>
        <v>0</v>
      </c>
      <c r="BQ59" s="938">
        <f t="shared" si="38"/>
        <v>0</v>
      </c>
      <c r="BR59" s="938">
        <f t="shared" si="39"/>
        <v>0</v>
      </c>
      <c r="BS59" s="938">
        <f t="shared" si="40"/>
        <v>0</v>
      </c>
      <c r="BT59" s="938">
        <f t="shared" si="41"/>
        <v>0</v>
      </c>
      <c r="BU59" s="938" t="str">
        <f t="shared" si="42"/>
        <v/>
      </c>
      <c r="BV59" s="713">
        <f>'min. Düngung 22'!Z60</f>
        <v>0</v>
      </c>
      <c r="BW59" s="938"/>
      <c r="BX59" s="938"/>
      <c r="BY59" s="938">
        <f t="shared" si="43"/>
        <v>0</v>
      </c>
      <c r="BZ59" s="938">
        <f t="shared" si="44"/>
        <v>0</v>
      </c>
      <c r="CA59" s="938">
        <f t="shared" si="45"/>
        <v>0</v>
      </c>
      <c r="CB59" s="938">
        <f t="shared" si="46"/>
        <v>0</v>
      </c>
      <c r="CC59" s="938">
        <f t="shared" si="47"/>
        <v>0</v>
      </c>
      <c r="CD59" s="938" t="str">
        <f t="shared" si="48"/>
        <v/>
      </c>
      <c r="CE59" s="713">
        <f>'min. Düngung 22'!AC60</f>
        <v>0</v>
      </c>
      <c r="CF59" s="938"/>
      <c r="CG59" s="938"/>
      <c r="CH59" s="938">
        <f t="shared" si="49"/>
        <v>0</v>
      </c>
      <c r="CI59" s="938">
        <f t="shared" si="50"/>
        <v>0</v>
      </c>
      <c r="CJ59" s="938">
        <f t="shared" si="51"/>
        <v>0</v>
      </c>
      <c r="CK59" s="938">
        <f t="shared" si="52"/>
        <v>0</v>
      </c>
      <c r="CL59" s="938">
        <f t="shared" si="53"/>
        <v>0</v>
      </c>
      <c r="CM59" s="938" t="str">
        <f t="shared" si="54"/>
        <v/>
      </c>
      <c r="CN59" s="713">
        <f>'min. Düngung 22'!AF60</f>
        <v>0</v>
      </c>
      <c r="CO59" s="938"/>
      <c r="CP59" s="938"/>
      <c r="CQ59" s="938">
        <f t="shared" si="55"/>
        <v>0</v>
      </c>
      <c r="CR59" s="938">
        <f t="shared" si="56"/>
        <v>0</v>
      </c>
      <c r="CS59" s="938">
        <f t="shared" si="57"/>
        <v>0</v>
      </c>
      <c r="CT59" s="938">
        <f t="shared" si="58"/>
        <v>0</v>
      </c>
      <c r="CU59" s="938">
        <f t="shared" si="59"/>
        <v>0</v>
      </c>
      <c r="CV59" s="938" t="str">
        <f t="shared" si="60"/>
        <v/>
      </c>
      <c r="CW59" s="713">
        <f>'min. Düngung 22'!AI60</f>
        <v>0</v>
      </c>
      <c r="CX59" s="938"/>
      <c r="CY59" s="938"/>
      <c r="CZ59" s="938">
        <f t="shared" si="61"/>
        <v>0</v>
      </c>
      <c r="DA59" s="938">
        <f t="shared" si="62"/>
        <v>0</v>
      </c>
      <c r="DB59" s="938">
        <f t="shared" si="63"/>
        <v>0</v>
      </c>
      <c r="DC59" s="938">
        <f t="shared" si="64"/>
        <v>0</v>
      </c>
      <c r="DD59" s="938">
        <f t="shared" si="65"/>
        <v>0</v>
      </c>
      <c r="DE59" s="938" t="str">
        <f t="shared" si="66"/>
        <v/>
      </c>
      <c r="DF59" s="713">
        <f>'min. Düngung 22'!AL60</f>
        <v>0</v>
      </c>
      <c r="DG59" s="938"/>
      <c r="DH59" s="938"/>
      <c r="DI59" s="938">
        <f t="shared" si="67"/>
        <v>0</v>
      </c>
      <c r="DJ59" s="938">
        <f t="shared" si="68"/>
        <v>0</v>
      </c>
      <c r="DK59" s="938">
        <f t="shared" si="69"/>
        <v>0</v>
      </c>
      <c r="DL59" s="938">
        <f t="shared" si="70"/>
        <v>0</v>
      </c>
      <c r="DM59" s="938">
        <f t="shared" si="71"/>
        <v>0</v>
      </c>
      <c r="DN59" s="938" t="str">
        <f t="shared" si="72"/>
        <v/>
      </c>
      <c r="DO59" s="713">
        <f>'min. Düngung 22'!AO60</f>
        <v>0</v>
      </c>
      <c r="DP59" s="938"/>
      <c r="DQ59" s="938"/>
      <c r="DR59" s="938">
        <f t="shared" si="73"/>
        <v>0</v>
      </c>
      <c r="DS59" s="938">
        <f t="shared" si="74"/>
        <v>0</v>
      </c>
      <c r="DT59" s="938">
        <f t="shared" si="75"/>
        <v>0</v>
      </c>
      <c r="DU59" s="938">
        <f t="shared" si="76"/>
        <v>0</v>
      </c>
      <c r="DV59" s="938">
        <f t="shared" si="77"/>
        <v>0</v>
      </c>
      <c r="DW59" s="938" t="str">
        <f t="shared" si="78"/>
        <v/>
      </c>
      <c r="DX59" s="713">
        <f>'min. Düngung 22'!AR60</f>
        <v>0</v>
      </c>
      <c r="DY59" s="938"/>
      <c r="DZ59" s="938"/>
      <c r="EA59" s="938">
        <f t="shared" si="79"/>
        <v>0</v>
      </c>
      <c r="EB59" s="938">
        <f t="shared" si="80"/>
        <v>0</v>
      </c>
      <c r="EC59" s="938">
        <f t="shared" si="81"/>
        <v>0</v>
      </c>
      <c r="ED59" s="938">
        <f t="shared" si="82"/>
        <v>0</v>
      </c>
      <c r="EE59" s="938">
        <f t="shared" si="83"/>
        <v>0</v>
      </c>
      <c r="EF59" s="938" t="str">
        <f t="shared" si="84"/>
        <v/>
      </c>
      <c r="EG59" s="713">
        <f>'min. Düngung 22'!AU60</f>
        <v>0</v>
      </c>
      <c r="EH59" s="938"/>
      <c r="EI59" s="938"/>
      <c r="EJ59" s="938">
        <f t="shared" si="85"/>
        <v>0</v>
      </c>
      <c r="EK59" s="938">
        <f t="shared" si="86"/>
        <v>0</v>
      </c>
      <c r="EL59" s="938">
        <f t="shared" si="87"/>
        <v>0</v>
      </c>
      <c r="EM59" s="938">
        <f t="shared" si="88"/>
        <v>0</v>
      </c>
      <c r="EN59" s="938">
        <f t="shared" si="89"/>
        <v>0</v>
      </c>
      <c r="EO59" s="938" t="str">
        <f t="shared" si="90"/>
        <v/>
      </c>
      <c r="EP59" s="713">
        <f>'min. Düngung 22'!AX60</f>
        <v>0</v>
      </c>
      <c r="EQ59" s="938"/>
      <c r="ER59" s="938"/>
      <c r="ES59" s="938">
        <f t="shared" si="91"/>
        <v>0</v>
      </c>
      <c r="ET59" s="938">
        <f t="shared" si="92"/>
        <v>0</v>
      </c>
      <c r="EU59" s="938">
        <f t="shared" si="93"/>
        <v>0</v>
      </c>
      <c r="EV59" s="938">
        <f t="shared" si="94"/>
        <v>0</v>
      </c>
      <c r="EW59" s="938">
        <f t="shared" si="95"/>
        <v>0</v>
      </c>
      <c r="EX59" s="938" t="str">
        <f t="shared" si="96"/>
        <v/>
      </c>
      <c r="EY59" s="713">
        <f>'min. Düngung 22'!BA60</f>
        <v>0</v>
      </c>
      <c r="EZ59" s="938"/>
      <c r="FA59" s="938"/>
      <c r="FB59" s="938">
        <f t="shared" si="97"/>
        <v>0</v>
      </c>
      <c r="FC59" s="938">
        <f t="shared" si="98"/>
        <v>0</v>
      </c>
      <c r="FD59" s="938">
        <f t="shared" si="99"/>
        <v>0</v>
      </c>
      <c r="FE59" s="938">
        <f t="shared" si="100"/>
        <v>0</v>
      </c>
      <c r="FF59" s="938">
        <f t="shared" si="101"/>
        <v>0</v>
      </c>
      <c r="FG59" s="938" t="str">
        <f t="shared" si="102"/>
        <v/>
      </c>
      <c r="FH59" s="713">
        <f>'min. Düngung 22'!BD60</f>
        <v>0</v>
      </c>
      <c r="FI59" s="938"/>
      <c r="FJ59" s="938"/>
      <c r="FK59" s="938">
        <f t="shared" si="103"/>
        <v>0</v>
      </c>
      <c r="FL59" s="938">
        <f t="shared" si="104"/>
        <v>0</v>
      </c>
      <c r="FM59" s="938">
        <f t="shared" si="105"/>
        <v>0</v>
      </c>
      <c r="FN59" s="938">
        <f t="shared" si="106"/>
        <v>0</v>
      </c>
      <c r="FO59" s="938">
        <f t="shared" si="107"/>
        <v>0</v>
      </c>
      <c r="FP59" s="938" t="str">
        <f t="shared" si="108"/>
        <v/>
      </c>
      <c r="FQ59" s="713">
        <f>'min. Düngung 22'!BG60</f>
        <v>0</v>
      </c>
      <c r="FR59" s="938"/>
      <c r="FS59" s="938"/>
      <c r="FT59" s="938">
        <f t="shared" si="109"/>
        <v>0</v>
      </c>
      <c r="FU59" s="938">
        <f t="shared" si="110"/>
        <v>0</v>
      </c>
      <c r="FV59" s="938">
        <f t="shared" si="111"/>
        <v>0</v>
      </c>
      <c r="FW59" s="938">
        <f t="shared" si="112"/>
        <v>0</v>
      </c>
      <c r="FX59" s="938">
        <f t="shared" si="113"/>
        <v>0</v>
      </c>
      <c r="FY59" s="938" t="str">
        <f t="shared" si="114"/>
        <v/>
      </c>
      <c r="FZ59" s="713">
        <f>'min. Düngung 22'!BJ60</f>
        <v>0</v>
      </c>
      <c r="GA59" s="938"/>
      <c r="GB59" s="938"/>
      <c r="GC59" s="938">
        <f t="shared" si="115"/>
        <v>0</v>
      </c>
      <c r="GD59" s="938">
        <f t="shared" si="116"/>
        <v>0</v>
      </c>
      <c r="GE59" s="938">
        <f t="shared" si="117"/>
        <v>0</v>
      </c>
      <c r="GF59" s="938">
        <f t="shared" si="118"/>
        <v>0</v>
      </c>
      <c r="GG59" s="938">
        <f t="shared" si="119"/>
        <v>0</v>
      </c>
      <c r="GH59" s="938" t="str">
        <f t="shared" si="120"/>
        <v/>
      </c>
      <c r="GI59" s="713">
        <f>'min. Düngung 22'!BM60</f>
        <v>0</v>
      </c>
      <c r="GJ59" s="938"/>
      <c r="GK59" s="938"/>
      <c r="GL59" s="938">
        <f t="shared" si="121"/>
        <v>0</v>
      </c>
      <c r="GM59" s="938">
        <f t="shared" si="122"/>
        <v>0</v>
      </c>
      <c r="GN59" s="938">
        <f t="shared" si="123"/>
        <v>0</v>
      </c>
      <c r="GO59" s="938">
        <f t="shared" si="124"/>
        <v>0</v>
      </c>
      <c r="GP59" s="938">
        <f t="shared" si="125"/>
        <v>0</v>
      </c>
      <c r="GQ59" s="938" t="str">
        <f t="shared" si="126"/>
        <v/>
      </c>
      <c r="GR59" s="713">
        <f>'min. Düngung 22'!BP60</f>
        <v>0</v>
      </c>
      <c r="GS59" s="938"/>
      <c r="GT59" s="938"/>
      <c r="GU59" s="938">
        <f t="shared" si="127"/>
        <v>0</v>
      </c>
      <c r="GV59" s="938">
        <f t="shared" si="128"/>
        <v>0</v>
      </c>
      <c r="GW59" s="938">
        <f t="shared" si="129"/>
        <v>0</v>
      </c>
      <c r="GX59" s="938">
        <f t="shared" si="130"/>
        <v>0</v>
      </c>
      <c r="GY59" s="938">
        <f t="shared" si="131"/>
        <v>0</v>
      </c>
      <c r="GZ59" s="938" t="str">
        <f t="shared" si="132"/>
        <v/>
      </c>
      <c r="HA59" s="713">
        <f>'min. Düngung 22'!BS60</f>
        <v>0</v>
      </c>
      <c r="HB59" s="938"/>
      <c r="HC59" s="938"/>
      <c r="HD59" s="938">
        <f t="shared" si="133"/>
        <v>0</v>
      </c>
      <c r="HE59" s="938">
        <f t="shared" si="134"/>
        <v>0</v>
      </c>
      <c r="HF59" s="938">
        <f t="shared" si="135"/>
        <v>0</v>
      </c>
      <c r="HG59" s="938">
        <f t="shared" si="136"/>
        <v>0</v>
      </c>
      <c r="HH59" s="938">
        <f t="shared" si="137"/>
        <v>0</v>
      </c>
      <c r="HI59" s="938" t="str">
        <f t="shared" si="138"/>
        <v/>
      </c>
      <c r="HJ59" s="713">
        <f>'min. Düngung 22'!BV60</f>
        <v>0</v>
      </c>
      <c r="HK59" s="938"/>
      <c r="HL59" s="938"/>
      <c r="HM59" s="938">
        <f t="shared" si="139"/>
        <v>0</v>
      </c>
      <c r="HN59" s="938">
        <f t="shared" si="140"/>
        <v>0</v>
      </c>
      <c r="HO59" s="938">
        <f t="shared" si="141"/>
        <v>0</v>
      </c>
      <c r="HP59" s="938">
        <f t="shared" si="142"/>
        <v>0</v>
      </c>
      <c r="HQ59" s="938">
        <f t="shared" si="143"/>
        <v>0</v>
      </c>
      <c r="HR59" s="938" t="str">
        <f t="shared" si="144"/>
        <v/>
      </c>
      <c r="HS59" s="713">
        <f>'min. Düngung 22'!BY60</f>
        <v>0</v>
      </c>
      <c r="HT59" s="938"/>
      <c r="HU59" s="938"/>
      <c r="HV59" s="938">
        <f t="shared" si="145"/>
        <v>0</v>
      </c>
      <c r="HW59" s="938">
        <f t="shared" si="146"/>
        <v>0</v>
      </c>
      <c r="HX59" s="938">
        <f t="shared" si="147"/>
        <v>0</v>
      </c>
      <c r="HY59" s="938">
        <f t="shared" si="148"/>
        <v>0</v>
      </c>
      <c r="HZ59" s="938">
        <f t="shared" si="149"/>
        <v>0</v>
      </c>
      <c r="IA59" s="938" t="str">
        <f t="shared" si="150"/>
        <v/>
      </c>
      <c r="IB59" s="713">
        <f>'min. Düngung 22'!CB60</f>
        <v>0</v>
      </c>
      <c r="IC59" s="938"/>
      <c r="ID59" s="938"/>
      <c r="IE59" s="938">
        <f t="shared" si="151"/>
        <v>0</v>
      </c>
      <c r="IF59" s="938">
        <f t="shared" si="152"/>
        <v>0</v>
      </c>
      <c r="IG59" s="938">
        <f t="shared" si="153"/>
        <v>0</v>
      </c>
      <c r="IH59" s="938">
        <f t="shared" si="154"/>
        <v>0</v>
      </c>
      <c r="II59" s="938">
        <f t="shared" si="155"/>
        <v>0</v>
      </c>
      <c r="IJ59" s="938" t="str">
        <f t="shared" si="156"/>
        <v/>
      </c>
      <c r="IK59" s="713">
        <f>'min. Düngung 22'!CE60</f>
        <v>0</v>
      </c>
      <c r="IL59" s="938"/>
      <c r="IM59" s="938"/>
      <c r="IN59" s="938">
        <f t="shared" si="157"/>
        <v>0</v>
      </c>
      <c r="IO59" s="938">
        <f t="shared" si="158"/>
        <v>0</v>
      </c>
      <c r="IP59" s="938">
        <f t="shared" si="159"/>
        <v>0</v>
      </c>
      <c r="IQ59" s="938">
        <f t="shared" si="160"/>
        <v>0</v>
      </c>
      <c r="IR59" s="938">
        <f t="shared" si="161"/>
        <v>0</v>
      </c>
      <c r="IS59" s="938" t="str">
        <f t="shared" si="162"/>
        <v/>
      </c>
      <c r="IT59" s="713">
        <f>'min. Düngung 22'!CH60</f>
        <v>0</v>
      </c>
      <c r="IU59" s="938"/>
      <c r="IV59" s="938"/>
      <c r="IW59" s="938">
        <f t="shared" si="163"/>
        <v>0</v>
      </c>
      <c r="IX59" s="938">
        <f t="shared" si="164"/>
        <v>0</v>
      </c>
      <c r="IY59" s="938">
        <f t="shared" si="165"/>
        <v>0</v>
      </c>
      <c r="IZ59" s="938">
        <f t="shared" si="166"/>
        <v>0</v>
      </c>
      <c r="JA59" s="938">
        <f t="shared" si="167"/>
        <v>0</v>
      </c>
      <c r="JB59" s="938" t="str">
        <f t="shared" si="168"/>
        <v/>
      </c>
      <c r="JC59" s="713">
        <f>'min. Düngung 22'!CK60</f>
        <v>0</v>
      </c>
      <c r="JD59" s="938"/>
      <c r="JE59" s="938"/>
      <c r="JF59" s="938">
        <f t="shared" si="169"/>
        <v>0</v>
      </c>
      <c r="JG59" s="938">
        <f t="shared" si="170"/>
        <v>0</v>
      </c>
      <c r="JH59" s="938">
        <f t="shared" si="171"/>
        <v>0</v>
      </c>
      <c r="JI59" s="938">
        <f t="shared" si="172"/>
        <v>0</v>
      </c>
      <c r="JJ59" s="938">
        <f t="shared" si="173"/>
        <v>0</v>
      </c>
      <c r="JK59" s="938" t="str">
        <f t="shared" si="174"/>
        <v/>
      </c>
      <c r="JL59" s="713">
        <f>'min. Düngung 22'!CN60</f>
        <v>0</v>
      </c>
      <c r="JM59" s="938"/>
      <c r="JN59" s="938"/>
      <c r="JO59" s="938">
        <f t="shared" si="175"/>
        <v>0</v>
      </c>
      <c r="JP59" s="938">
        <f t="shared" si="176"/>
        <v>0</v>
      </c>
      <c r="JQ59" s="938">
        <f t="shared" si="177"/>
        <v>0</v>
      </c>
      <c r="JR59" s="938">
        <f t="shared" si="178"/>
        <v>0</v>
      </c>
      <c r="JS59" s="938">
        <f t="shared" si="179"/>
        <v>0</v>
      </c>
      <c r="JT59" s="938" t="str">
        <f t="shared" si="180"/>
        <v/>
      </c>
      <c r="JU59" s="713">
        <f>'min. Düngung 22'!CQ60</f>
        <v>0</v>
      </c>
      <c r="JV59" s="938"/>
      <c r="JW59" s="938"/>
      <c r="JX59" s="938">
        <f t="shared" si="181"/>
        <v>0</v>
      </c>
      <c r="JY59" s="938">
        <f t="shared" si="182"/>
        <v>0</v>
      </c>
      <c r="JZ59" s="938">
        <f t="shared" si="183"/>
        <v>0</v>
      </c>
      <c r="KA59" s="938">
        <f t="shared" si="184"/>
        <v>0</v>
      </c>
      <c r="KB59" s="938">
        <f t="shared" si="185"/>
        <v>0</v>
      </c>
      <c r="KC59" s="938" t="str">
        <f t="shared" si="186"/>
        <v/>
      </c>
      <c r="KE59" s="938"/>
      <c r="KF59" s="938" t="str">
        <f>IF(AND($F59=2,$G59=1),"",IF(OR($Q59&gt;0,$O59&gt;60),$KF$7,IF(I59=70,"",IF(AND(I59=80,R59+'#orgDung'!AC62&lt;60,K59=1,OR(C59=2,'#BerechnungDBE'!AH53=4)),"",IF(R59&gt;0,$KF$7,"")))))</f>
        <v/>
      </c>
      <c r="KG59" s="938" t="str">
        <f>IF(AND(P59&gt;'#BerechnungDBE'!BJ53,P59&gt;0),'#minDung'!$KG$7,"")</f>
        <v/>
      </c>
      <c r="KH59" s="938" t="str">
        <f>IF(AND(I59=70,R59&gt;'#BerechnungDBE'!CR53),'#minDung'!$KH$7,"")</f>
        <v/>
      </c>
      <c r="KI59" s="938" t="str">
        <f>IF('#BerechnungDBE'!P53&lt;4,"",IF(AND('#BerechnungDBE'!BZ53&gt;0,N59&gt;0),$KI$7,""))</f>
        <v/>
      </c>
      <c r="KJ59" s="938" t="str">
        <f t="shared" si="5"/>
        <v/>
      </c>
    </row>
    <row r="60" spans="1:296" s="875" customFormat="1" hidden="1" x14ac:dyDescent="0.2">
      <c r="A60" s="875">
        <f>'Flächen u. Kulturen'!A59</f>
        <v>50</v>
      </c>
      <c r="B60" s="734">
        <f>'#BerechnungDBE'!L54</f>
        <v>0</v>
      </c>
      <c r="C60" s="46">
        <f>'#orgDung'!C63</f>
        <v>1</v>
      </c>
      <c r="D60" s="875">
        <f>'#BerechnungDBE'!T54</f>
        <v>2</v>
      </c>
      <c r="E60" s="875" t="str">
        <f>'Flächen u. Kulturen'!E59</f>
        <v>x</v>
      </c>
      <c r="F60" s="52">
        <f>'#BerechnungDBE'!N54</f>
        <v>1</v>
      </c>
      <c r="G60" s="52">
        <f>'#BerechnungDBE'!O54</f>
        <v>1</v>
      </c>
      <c r="H60" s="505">
        <f>'#orgDung'!J63</f>
        <v>2</v>
      </c>
      <c r="I60" s="875">
        <f>'#BerechnungDBE'!AF54</f>
        <v>0</v>
      </c>
      <c r="J60" s="875">
        <f>'#orgDung'!M63</f>
        <v>0</v>
      </c>
      <c r="K60" s="875">
        <f>'#BerechnungDBE'!AG54</f>
        <v>0</v>
      </c>
      <c r="M60" s="875">
        <f t="shared" si="187"/>
        <v>0</v>
      </c>
      <c r="N60" s="875">
        <f t="shared" si="188"/>
        <v>0</v>
      </c>
      <c r="O60" s="875">
        <f t="shared" si="189"/>
        <v>0</v>
      </c>
      <c r="P60" s="875">
        <f t="shared" si="190"/>
        <v>0</v>
      </c>
      <c r="Q60" s="938">
        <f t="shared" si="6"/>
        <v>0</v>
      </c>
      <c r="R60" s="875">
        <f t="shared" si="191"/>
        <v>0</v>
      </c>
      <c r="T60" s="713">
        <f>'min. Düngung 22'!H61</f>
        <v>0</v>
      </c>
      <c r="W60" s="875">
        <f t="shared" si="7"/>
        <v>0</v>
      </c>
      <c r="X60" s="875">
        <f t="shared" si="8"/>
        <v>0</v>
      </c>
      <c r="Y60" s="875">
        <f t="shared" si="9"/>
        <v>0</v>
      </c>
      <c r="Z60" s="875">
        <f t="shared" si="10"/>
        <v>0</v>
      </c>
      <c r="AA60" s="875">
        <f t="shared" si="11"/>
        <v>0</v>
      </c>
      <c r="AB60" s="875" t="str">
        <f t="shared" si="12"/>
        <v/>
      </c>
      <c r="AC60" s="713">
        <f>'min. Düngung 22'!K61</f>
        <v>0</v>
      </c>
      <c r="AD60" s="938"/>
      <c r="AE60" s="938"/>
      <c r="AF60" s="938">
        <f t="shared" si="13"/>
        <v>0</v>
      </c>
      <c r="AG60" s="938">
        <f t="shared" si="14"/>
        <v>0</v>
      </c>
      <c r="AH60" s="938">
        <f t="shared" si="15"/>
        <v>0</v>
      </c>
      <c r="AI60" s="938">
        <f t="shared" si="16"/>
        <v>0</v>
      </c>
      <c r="AJ60" s="938">
        <f t="shared" si="17"/>
        <v>0</v>
      </c>
      <c r="AK60" s="938">
        <f t="shared" si="18"/>
        <v>0</v>
      </c>
      <c r="AL60" s="713">
        <f>'min. Düngung 22'!N61</f>
        <v>0</v>
      </c>
      <c r="AM60" s="938"/>
      <c r="AN60" s="938"/>
      <c r="AO60" s="938">
        <f t="shared" si="19"/>
        <v>0</v>
      </c>
      <c r="AP60" s="938">
        <f t="shared" si="20"/>
        <v>0</v>
      </c>
      <c r="AQ60" s="938">
        <f t="shared" si="21"/>
        <v>0</v>
      </c>
      <c r="AR60" s="938">
        <f t="shared" si="22"/>
        <v>0</v>
      </c>
      <c r="AS60" s="938">
        <f t="shared" si="23"/>
        <v>0</v>
      </c>
      <c r="AT60" s="938" t="str">
        <f t="shared" si="24"/>
        <v/>
      </c>
      <c r="AU60" s="713">
        <f>'min. Düngung 22'!Q61</f>
        <v>0</v>
      </c>
      <c r="AV60" s="938"/>
      <c r="AW60" s="938"/>
      <c r="AX60" s="938">
        <f t="shared" si="25"/>
        <v>0</v>
      </c>
      <c r="AY60" s="938">
        <f t="shared" si="26"/>
        <v>0</v>
      </c>
      <c r="AZ60" s="938">
        <f t="shared" si="27"/>
        <v>0</v>
      </c>
      <c r="BA60" s="938">
        <f t="shared" si="28"/>
        <v>0</v>
      </c>
      <c r="BB60" s="938">
        <f t="shared" si="29"/>
        <v>0</v>
      </c>
      <c r="BC60" s="938" t="str">
        <f t="shared" si="30"/>
        <v/>
      </c>
      <c r="BD60" s="713">
        <f>'min. Düngung 22'!T61</f>
        <v>0</v>
      </c>
      <c r="BE60" s="938"/>
      <c r="BF60" s="938"/>
      <c r="BG60" s="938">
        <f t="shared" si="31"/>
        <v>0</v>
      </c>
      <c r="BH60" s="938">
        <f t="shared" si="32"/>
        <v>0</v>
      </c>
      <c r="BI60" s="938">
        <f t="shared" si="33"/>
        <v>0</v>
      </c>
      <c r="BJ60" s="938">
        <f t="shared" si="34"/>
        <v>0</v>
      </c>
      <c r="BK60" s="938">
        <f t="shared" si="35"/>
        <v>0</v>
      </c>
      <c r="BL60" s="938" t="str">
        <f t="shared" si="36"/>
        <v/>
      </c>
      <c r="BM60" s="713">
        <f>'min. Düngung 22'!W61</f>
        <v>0</v>
      </c>
      <c r="BN60" s="938"/>
      <c r="BO60" s="938"/>
      <c r="BP60" s="938">
        <f t="shared" si="37"/>
        <v>0</v>
      </c>
      <c r="BQ60" s="938">
        <f t="shared" si="38"/>
        <v>0</v>
      </c>
      <c r="BR60" s="938">
        <f t="shared" si="39"/>
        <v>0</v>
      </c>
      <c r="BS60" s="938">
        <f t="shared" si="40"/>
        <v>0</v>
      </c>
      <c r="BT60" s="938">
        <f t="shared" si="41"/>
        <v>0</v>
      </c>
      <c r="BU60" s="938" t="str">
        <f t="shared" si="42"/>
        <v/>
      </c>
      <c r="BV60" s="713">
        <f>'min. Düngung 22'!Z61</f>
        <v>0</v>
      </c>
      <c r="BW60" s="938"/>
      <c r="BX60" s="938"/>
      <c r="BY60" s="938">
        <f t="shared" si="43"/>
        <v>0</v>
      </c>
      <c r="BZ60" s="938">
        <f t="shared" si="44"/>
        <v>0</v>
      </c>
      <c r="CA60" s="938">
        <f t="shared" si="45"/>
        <v>0</v>
      </c>
      <c r="CB60" s="938">
        <f t="shared" si="46"/>
        <v>0</v>
      </c>
      <c r="CC60" s="938">
        <f t="shared" si="47"/>
        <v>0</v>
      </c>
      <c r="CD60" s="938" t="str">
        <f t="shared" si="48"/>
        <v/>
      </c>
      <c r="CE60" s="713">
        <f>'min. Düngung 22'!AC61</f>
        <v>0</v>
      </c>
      <c r="CF60" s="938"/>
      <c r="CG60" s="938"/>
      <c r="CH60" s="938">
        <f t="shared" si="49"/>
        <v>0</v>
      </c>
      <c r="CI60" s="938">
        <f t="shared" si="50"/>
        <v>0</v>
      </c>
      <c r="CJ60" s="938">
        <f t="shared" si="51"/>
        <v>0</v>
      </c>
      <c r="CK60" s="938">
        <f t="shared" si="52"/>
        <v>0</v>
      </c>
      <c r="CL60" s="938">
        <f t="shared" si="53"/>
        <v>0</v>
      </c>
      <c r="CM60" s="938" t="str">
        <f t="shared" si="54"/>
        <v/>
      </c>
      <c r="CN60" s="713">
        <f>'min. Düngung 22'!AF61</f>
        <v>0</v>
      </c>
      <c r="CO60" s="938"/>
      <c r="CP60" s="938"/>
      <c r="CQ60" s="938">
        <f t="shared" si="55"/>
        <v>0</v>
      </c>
      <c r="CR60" s="938">
        <f t="shared" si="56"/>
        <v>0</v>
      </c>
      <c r="CS60" s="938">
        <f t="shared" si="57"/>
        <v>0</v>
      </c>
      <c r="CT60" s="938">
        <f t="shared" si="58"/>
        <v>0</v>
      </c>
      <c r="CU60" s="938">
        <f t="shared" si="59"/>
        <v>0</v>
      </c>
      <c r="CV60" s="938" t="str">
        <f t="shared" si="60"/>
        <v/>
      </c>
      <c r="CW60" s="713">
        <f>'min. Düngung 22'!AI61</f>
        <v>0</v>
      </c>
      <c r="CX60" s="938"/>
      <c r="CY60" s="938"/>
      <c r="CZ60" s="938">
        <f t="shared" si="61"/>
        <v>0</v>
      </c>
      <c r="DA60" s="938">
        <f t="shared" si="62"/>
        <v>0</v>
      </c>
      <c r="DB60" s="938">
        <f t="shared" si="63"/>
        <v>0</v>
      </c>
      <c r="DC60" s="938">
        <f t="shared" si="64"/>
        <v>0</v>
      </c>
      <c r="DD60" s="938">
        <f t="shared" si="65"/>
        <v>0</v>
      </c>
      <c r="DE60" s="938" t="str">
        <f t="shared" si="66"/>
        <v/>
      </c>
      <c r="DF60" s="713">
        <f>'min. Düngung 22'!AL61</f>
        <v>0</v>
      </c>
      <c r="DG60" s="938"/>
      <c r="DH60" s="938"/>
      <c r="DI60" s="938">
        <f t="shared" si="67"/>
        <v>0</v>
      </c>
      <c r="DJ60" s="938">
        <f t="shared" si="68"/>
        <v>0</v>
      </c>
      <c r="DK60" s="938">
        <f t="shared" si="69"/>
        <v>0</v>
      </c>
      <c r="DL60" s="938">
        <f t="shared" si="70"/>
        <v>0</v>
      </c>
      <c r="DM60" s="938">
        <f t="shared" si="71"/>
        <v>0</v>
      </c>
      <c r="DN60" s="938" t="str">
        <f t="shared" si="72"/>
        <v/>
      </c>
      <c r="DO60" s="713">
        <f>'min. Düngung 22'!AO61</f>
        <v>0</v>
      </c>
      <c r="DP60" s="938"/>
      <c r="DQ60" s="938"/>
      <c r="DR60" s="938">
        <f t="shared" si="73"/>
        <v>0</v>
      </c>
      <c r="DS60" s="938">
        <f t="shared" si="74"/>
        <v>0</v>
      </c>
      <c r="DT60" s="938">
        <f t="shared" si="75"/>
        <v>0</v>
      </c>
      <c r="DU60" s="938">
        <f t="shared" si="76"/>
        <v>0</v>
      </c>
      <c r="DV60" s="938">
        <f t="shared" si="77"/>
        <v>0</v>
      </c>
      <c r="DW60" s="938" t="str">
        <f t="shared" si="78"/>
        <v/>
      </c>
      <c r="DX60" s="713">
        <f>'min. Düngung 22'!AR61</f>
        <v>0</v>
      </c>
      <c r="DY60" s="938"/>
      <c r="DZ60" s="938"/>
      <c r="EA60" s="938">
        <f t="shared" si="79"/>
        <v>0</v>
      </c>
      <c r="EB60" s="938">
        <f t="shared" si="80"/>
        <v>0</v>
      </c>
      <c r="EC60" s="938">
        <f t="shared" si="81"/>
        <v>0</v>
      </c>
      <c r="ED60" s="938">
        <f t="shared" si="82"/>
        <v>0</v>
      </c>
      <c r="EE60" s="938">
        <f t="shared" si="83"/>
        <v>0</v>
      </c>
      <c r="EF60" s="938" t="str">
        <f t="shared" si="84"/>
        <v/>
      </c>
      <c r="EG60" s="713">
        <f>'min. Düngung 22'!AU61</f>
        <v>0</v>
      </c>
      <c r="EH60" s="938"/>
      <c r="EI60" s="938"/>
      <c r="EJ60" s="938">
        <f t="shared" si="85"/>
        <v>0</v>
      </c>
      <c r="EK60" s="938">
        <f t="shared" si="86"/>
        <v>0</v>
      </c>
      <c r="EL60" s="938">
        <f t="shared" si="87"/>
        <v>0</v>
      </c>
      <c r="EM60" s="938">
        <f t="shared" si="88"/>
        <v>0</v>
      </c>
      <c r="EN60" s="938">
        <f t="shared" si="89"/>
        <v>0</v>
      </c>
      <c r="EO60" s="938" t="str">
        <f t="shared" si="90"/>
        <v/>
      </c>
      <c r="EP60" s="713">
        <f>'min. Düngung 22'!AX61</f>
        <v>0</v>
      </c>
      <c r="EQ60" s="938"/>
      <c r="ER60" s="938"/>
      <c r="ES60" s="938">
        <f t="shared" si="91"/>
        <v>0</v>
      </c>
      <c r="ET60" s="938">
        <f t="shared" si="92"/>
        <v>0</v>
      </c>
      <c r="EU60" s="938">
        <f t="shared" si="93"/>
        <v>0</v>
      </c>
      <c r="EV60" s="938">
        <f t="shared" si="94"/>
        <v>0</v>
      </c>
      <c r="EW60" s="938">
        <f t="shared" si="95"/>
        <v>0</v>
      </c>
      <c r="EX60" s="938" t="str">
        <f t="shared" si="96"/>
        <v/>
      </c>
      <c r="EY60" s="713">
        <f>'min. Düngung 22'!BA61</f>
        <v>0</v>
      </c>
      <c r="EZ60" s="938"/>
      <c r="FA60" s="938"/>
      <c r="FB60" s="938">
        <f t="shared" si="97"/>
        <v>0</v>
      </c>
      <c r="FC60" s="938">
        <f t="shared" si="98"/>
        <v>0</v>
      </c>
      <c r="FD60" s="938">
        <f t="shared" si="99"/>
        <v>0</v>
      </c>
      <c r="FE60" s="938">
        <f t="shared" si="100"/>
        <v>0</v>
      </c>
      <c r="FF60" s="938">
        <f t="shared" si="101"/>
        <v>0</v>
      </c>
      <c r="FG60" s="938" t="str">
        <f t="shared" si="102"/>
        <v/>
      </c>
      <c r="FH60" s="713">
        <f>'min. Düngung 22'!BD61</f>
        <v>0</v>
      </c>
      <c r="FI60" s="938"/>
      <c r="FJ60" s="938"/>
      <c r="FK60" s="938">
        <f t="shared" si="103"/>
        <v>0</v>
      </c>
      <c r="FL60" s="938">
        <f t="shared" si="104"/>
        <v>0</v>
      </c>
      <c r="FM60" s="938">
        <f t="shared" si="105"/>
        <v>0</v>
      </c>
      <c r="FN60" s="938">
        <f t="shared" si="106"/>
        <v>0</v>
      </c>
      <c r="FO60" s="938">
        <f t="shared" si="107"/>
        <v>0</v>
      </c>
      <c r="FP60" s="938" t="str">
        <f t="shared" si="108"/>
        <v/>
      </c>
      <c r="FQ60" s="713">
        <f>'min. Düngung 22'!BG61</f>
        <v>0</v>
      </c>
      <c r="FR60" s="938"/>
      <c r="FS60" s="938"/>
      <c r="FT60" s="938">
        <f t="shared" si="109"/>
        <v>0</v>
      </c>
      <c r="FU60" s="938">
        <f t="shared" si="110"/>
        <v>0</v>
      </c>
      <c r="FV60" s="938">
        <f t="shared" si="111"/>
        <v>0</v>
      </c>
      <c r="FW60" s="938">
        <f t="shared" si="112"/>
        <v>0</v>
      </c>
      <c r="FX60" s="938">
        <f t="shared" si="113"/>
        <v>0</v>
      </c>
      <c r="FY60" s="938" t="str">
        <f t="shared" si="114"/>
        <v/>
      </c>
      <c r="FZ60" s="713">
        <f>'min. Düngung 22'!BJ61</f>
        <v>0</v>
      </c>
      <c r="GA60" s="938"/>
      <c r="GB60" s="938"/>
      <c r="GC60" s="938">
        <f t="shared" si="115"/>
        <v>0</v>
      </c>
      <c r="GD60" s="938">
        <f t="shared" si="116"/>
        <v>0</v>
      </c>
      <c r="GE60" s="938">
        <f t="shared" si="117"/>
        <v>0</v>
      </c>
      <c r="GF60" s="938">
        <f t="shared" si="118"/>
        <v>0</v>
      </c>
      <c r="GG60" s="938">
        <f t="shared" si="119"/>
        <v>0</v>
      </c>
      <c r="GH60" s="938" t="str">
        <f t="shared" si="120"/>
        <v/>
      </c>
      <c r="GI60" s="713">
        <f>'min. Düngung 22'!BM61</f>
        <v>0</v>
      </c>
      <c r="GJ60" s="938"/>
      <c r="GK60" s="938"/>
      <c r="GL60" s="938">
        <f t="shared" si="121"/>
        <v>0</v>
      </c>
      <c r="GM60" s="938">
        <f t="shared" si="122"/>
        <v>0</v>
      </c>
      <c r="GN60" s="938">
        <f t="shared" si="123"/>
        <v>0</v>
      </c>
      <c r="GO60" s="938">
        <f t="shared" si="124"/>
        <v>0</v>
      </c>
      <c r="GP60" s="938">
        <f t="shared" si="125"/>
        <v>0</v>
      </c>
      <c r="GQ60" s="938" t="str">
        <f t="shared" si="126"/>
        <v/>
      </c>
      <c r="GR60" s="713">
        <f>'min. Düngung 22'!BP61</f>
        <v>0</v>
      </c>
      <c r="GS60" s="938"/>
      <c r="GT60" s="938"/>
      <c r="GU60" s="938">
        <f t="shared" si="127"/>
        <v>0</v>
      </c>
      <c r="GV60" s="938">
        <f t="shared" si="128"/>
        <v>0</v>
      </c>
      <c r="GW60" s="938">
        <f t="shared" si="129"/>
        <v>0</v>
      </c>
      <c r="GX60" s="938">
        <f t="shared" si="130"/>
        <v>0</v>
      </c>
      <c r="GY60" s="938">
        <f t="shared" si="131"/>
        <v>0</v>
      </c>
      <c r="GZ60" s="938" t="str">
        <f t="shared" si="132"/>
        <v/>
      </c>
      <c r="HA60" s="713">
        <f>'min. Düngung 22'!BS61</f>
        <v>0</v>
      </c>
      <c r="HB60" s="938"/>
      <c r="HC60" s="938"/>
      <c r="HD60" s="938">
        <f t="shared" si="133"/>
        <v>0</v>
      </c>
      <c r="HE60" s="938">
        <f t="shared" si="134"/>
        <v>0</v>
      </c>
      <c r="HF60" s="938">
        <f t="shared" si="135"/>
        <v>0</v>
      </c>
      <c r="HG60" s="938">
        <f t="shared" si="136"/>
        <v>0</v>
      </c>
      <c r="HH60" s="938">
        <f t="shared" si="137"/>
        <v>0</v>
      </c>
      <c r="HI60" s="938" t="str">
        <f t="shared" si="138"/>
        <v/>
      </c>
      <c r="HJ60" s="713">
        <f>'min. Düngung 22'!BV61</f>
        <v>0</v>
      </c>
      <c r="HK60" s="938"/>
      <c r="HL60" s="938"/>
      <c r="HM60" s="938">
        <f t="shared" si="139"/>
        <v>0</v>
      </c>
      <c r="HN60" s="938">
        <f t="shared" si="140"/>
        <v>0</v>
      </c>
      <c r="HO60" s="938">
        <f t="shared" si="141"/>
        <v>0</v>
      </c>
      <c r="HP60" s="938">
        <f t="shared" si="142"/>
        <v>0</v>
      </c>
      <c r="HQ60" s="938">
        <f t="shared" si="143"/>
        <v>0</v>
      </c>
      <c r="HR60" s="938" t="str">
        <f t="shared" si="144"/>
        <v/>
      </c>
      <c r="HS60" s="713">
        <f>'min. Düngung 22'!BY61</f>
        <v>0</v>
      </c>
      <c r="HT60" s="938"/>
      <c r="HU60" s="938"/>
      <c r="HV60" s="938">
        <f t="shared" si="145"/>
        <v>0</v>
      </c>
      <c r="HW60" s="938">
        <f t="shared" si="146"/>
        <v>0</v>
      </c>
      <c r="HX60" s="938">
        <f t="shared" si="147"/>
        <v>0</v>
      </c>
      <c r="HY60" s="938">
        <f t="shared" si="148"/>
        <v>0</v>
      </c>
      <c r="HZ60" s="938">
        <f t="shared" si="149"/>
        <v>0</v>
      </c>
      <c r="IA60" s="938" t="str">
        <f t="shared" si="150"/>
        <v/>
      </c>
      <c r="IB60" s="713">
        <f>'min. Düngung 22'!CB61</f>
        <v>0</v>
      </c>
      <c r="IC60" s="938"/>
      <c r="ID60" s="938"/>
      <c r="IE60" s="938">
        <f t="shared" si="151"/>
        <v>0</v>
      </c>
      <c r="IF60" s="938">
        <f t="shared" si="152"/>
        <v>0</v>
      </c>
      <c r="IG60" s="938">
        <f t="shared" si="153"/>
        <v>0</v>
      </c>
      <c r="IH60" s="938">
        <f t="shared" si="154"/>
        <v>0</v>
      </c>
      <c r="II60" s="938">
        <f t="shared" si="155"/>
        <v>0</v>
      </c>
      <c r="IJ60" s="938" t="str">
        <f t="shared" si="156"/>
        <v/>
      </c>
      <c r="IK60" s="713">
        <f>'min. Düngung 22'!CE61</f>
        <v>0</v>
      </c>
      <c r="IL60" s="938"/>
      <c r="IM60" s="938"/>
      <c r="IN60" s="938">
        <f t="shared" si="157"/>
        <v>0</v>
      </c>
      <c r="IO60" s="938">
        <f t="shared" si="158"/>
        <v>0</v>
      </c>
      <c r="IP60" s="938">
        <f t="shared" si="159"/>
        <v>0</v>
      </c>
      <c r="IQ60" s="938">
        <f t="shared" si="160"/>
        <v>0</v>
      </c>
      <c r="IR60" s="938">
        <f t="shared" si="161"/>
        <v>0</v>
      </c>
      <c r="IS60" s="938" t="str">
        <f t="shared" si="162"/>
        <v/>
      </c>
      <c r="IT60" s="713">
        <f>'min. Düngung 22'!CH61</f>
        <v>0</v>
      </c>
      <c r="IU60" s="938"/>
      <c r="IV60" s="938"/>
      <c r="IW60" s="938">
        <f t="shared" si="163"/>
        <v>0</v>
      </c>
      <c r="IX60" s="938">
        <f t="shared" si="164"/>
        <v>0</v>
      </c>
      <c r="IY60" s="938">
        <f t="shared" si="165"/>
        <v>0</v>
      </c>
      <c r="IZ60" s="938">
        <f t="shared" si="166"/>
        <v>0</v>
      </c>
      <c r="JA60" s="938">
        <f t="shared" si="167"/>
        <v>0</v>
      </c>
      <c r="JB60" s="938" t="str">
        <f t="shared" si="168"/>
        <v/>
      </c>
      <c r="JC60" s="713">
        <f>'min. Düngung 22'!CK61</f>
        <v>0</v>
      </c>
      <c r="JD60" s="938"/>
      <c r="JE60" s="938"/>
      <c r="JF60" s="938">
        <f t="shared" si="169"/>
        <v>0</v>
      </c>
      <c r="JG60" s="938">
        <f t="shared" si="170"/>
        <v>0</v>
      </c>
      <c r="JH60" s="938">
        <f t="shared" si="171"/>
        <v>0</v>
      </c>
      <c r="JI60" s="938">
        <f t="shared" si="172"/>
        <v>0</v>
      </c>
      <c r="JJ60" s="938">
        <f t="shared" si="173"/>
        <v>0</v>
      </c>
      <c r="JK60" s="938" t="str">
        <f t="shared" si="174"/>
        <v/>
      </c>
      <c r="JL60" s="713">
        <f>'min. Düngung 22'!CN61</f>
        <v>0</v>
      </c>
      <c r="JM60" s="938"/>
      <c r="JN60" s="938"/>
      <c r="JO60" s="938">
        <f t="shared" si="175"/>
        <v>0</v>
      </c>
      <c r="JP60" s="938">
        <f t="shared" si="176"/>
        <v>0</v>
      </c>
      <c r="JQ60" s="938">
        <f t="shared" si="177"/>
        <v>0</v>
      </c>
      <c r="JR60" s="938">
        <f t="shared" si="178"/>
        <v>0</v>
      </c>
      <c r="JS60" s="938">
        <f t="shared" si="179"/>
        <v>0</v>
      </c>
      <c r="JT60" s="938" t="str">
        <f t="shared" si="180"/>
        <v/>
      </c>
      <c r="JU60" s="713">
        <f>'min. Düngung 22'!CQ61</f>
        <v>0</v>
      </c>
      <c r="JV60" s="938"/>
      <c r="JW60" s="938"/>
      <c r="JX60" s="938">
        <f t="shared" si="181"/>
        <v>0</v>
      </c>
      <c r="JY60" s="938">
        <f t="shared" si="182"/>
        <v>0</v>
      </c>
      <c r="JZ60" s="938">
        <f t="shared" si="183"/>
        <v>0</v>
      </c>
      <c r="KA60" s="938">
        <f t="shared" si="184"/>
        <v>0</v>
      </c>
      <c r="KB60" s="938">
        <f t="shared" si="185"/>
        <v>0</v>
      </c>
      <c r="KC60" s="938" t="str">
        <f t="shared" si="186"/>
        <v/>
      </c>
      <c r="KE60" s="938"/>
      <c r="KF60" s="938" t="str">
        <f>IF(AND($F60=2,$G60=1),"",IF(OR($Q60&gt;0,$O60&gt;60),$KF$7,IF(I60=70,"",IF(AND(I60=80,R60+'#orgDung'!AC63&lt;60,K60=1,OR(C60=2,'#BerechnungDBE'!AH54=4)),"",IF(R60&gt;0,$KF$7,"")))))</f>
        <v/>
      </c>
      <c r="KG60" s="938" t="str">
        <f>IF(AND(P60&gt;'#BerechnungDBE'!BJ54,P60&gt;0),'#minDung'!$KG$7,"")</f>
        <v/>
      </c>
      <c r="KH60" s="938" t="str">
        <f>IF(AND(I60=70,R60&gt;'#BerechnungDBE'!CR54),'#minDung'!$KH$7,"")</f>
        <v/>
      </c>
      <c r="KI60" s="938" t="str">
        <f>IF('#BerechnungDBE'!P54&lt;4,"",IF(AND('#BerechnungDBE'!BZ54&gt;0,N60&gt;0),$KI$7,""))</f>
        <v/>
      </c>
      <c r="KJ60" s="938" t="str">
        <f t="shared" si="5"/>
        <v/>
      </c>
    </row>
    <row r="61" spans="1:296" s="875" customFormat="1" hidden="1" x14ac:dyDescent="0.2">
      <c r="A61" s="875">
        <f>'Flächen u. Kulturen'!A60</f>
        <v>51</v>
      </c>
      <c r="B61" s="734">
        <f>'#BerechnungDBE'!L55</f>
        <v>0</v>
      </c>
      <c r="C61" s="46">
        <f>'#orgDung'!C64</f>
        <v>1</v>
      </c>
      <c r="D61" s="875">
        <f>'#BerechnungDBE'!T55</f>
        <v>2</v>
      </c>
      <c r="E61" s="875" t="str">
        <f>'Flächen u. Kulturen'!E60</f>
        <v>x</v>
      </c>
      <c r="F61" s="52">
        <f>'#BerechnungDBE'!N55</f>
        <v>1</v>
      </c>
      <c r="G61" s="52">
        <f>'#BerechnungDBE'!O55</f>
        <v>1</v>
      </c>
      <c r="H61" s="505">
        <f>'#orgDung'!J64</f>
        <v>2</v>
      </c>
      <c r="I61" s="875">
        <f>'#BerechnungDBE'!AF55</f>
        <v>0</v>
      </c>
      <c r="J61" s="875">
        <f>'#orgDung'!M64</f>
        <v>0</v>
      </c>
      <c r="K61" s="875">
        <f>'#BerechnungDBE'!AG55</f>
        <v>0</v>
      </c>
      <c r="M61" s="875">
        <f t="shared" si="187"/>
        <v>0</v>
      </c>
      <c r="N61" s="875">
        <f t="shared" si="188"/>
        <v>0</v>
      </c>
      <c r="O61" s="875">
        <f t="shared" si="189"/>
        <v>0</v>
      </c>
      <c r="P61" s="875">
        <f t="shared" si="190"/>
        <v>0</v>
      </c>
      <c r="Q61" s="938">
        <f t="shared" si="6"/>
        <v>0</v>
      </c>
      <c r="R61" s="875">
        <f t="shared" si="191"/>
        <v>0</v>
      </c>
      <c r="T61" s="713">
        <f>'min. Düngung 22'!H62</f>
        <v>0</v>
      </c>
      <c r="W61" s="875">
        <f t="shared" si="7"/>
        <v>0</v>
      </c>
      <c r="X61" s="875">
        <f t="shared" si="8"/>
        <v>0</v>
      </c>
      <c r="Y61" s="875">
        <f t="shared" si="9"/>
        <v>0</v>
      </c>
      <c r="Z61" s="875">
        <f t="shared" si="10"/>
        <v>0</v>
      </c>
      <c r="AA61" s="875">
        <f t="shared" si="11"/>
        <v>0</v>
      </c>
      <c r="AB61" s="875" t="str">
        <f t="shared" si="12"/>
        <v/>
      </c>
      <c r="AC61" s="713">
        <f>'min. Düngung 22'!K62</f>
        <v>0</v>
      </c>
      <c r="AD61" s="938"/>
      <c r="AE61" s="938"/>
      <c r="AF61" s="938">
        <f t="shared" si="13"/>
        <v>0</v>
      </c>
      <c r="AG61" s="938">
        <f t="shared" si="14"/>
        <v>0</v>
      </c>
      <c r="AH61" s="938">
        <f t="shared" si="15"/>
        <v>0</v>
      </c>
      <c r="AI61" s="938">
        <f t="shared" si="16"/>
        <v>0</v>
      </c>
      <c r="AJ61" s="938">
        <f t="shared" si="17"/>
        <v>0</v>
      </c>
      <c r="AK61" s="938">
        <f t="shared" si="18"/>
        <v>0</v>
      </c>
      <c r="AL61" s="713">
        <f>'min. Düngung 22'!N62</f>
        <v>0</v>
      </c>
      <c r="AM61" s="938"/>
      <c r="AN61" s="938"/>
      <c r="AO61" s="938">
        <f t="shared" si="19"/>
        <v>0</v>
      </c>
      <c r="AP61" s="938">
        <f t="shared" si="20"/>
        <v>0</v>
      </c>
      <c r="AQ61" s="938">
        <f t="shared" si="21"/>
        <v>0</v>
      </c>
      <c r="AR61" s="938">
        <f t="shared" si="22"/>
        <v>0</v>
      </c>
      <c r="AS61" s="938">
        <f t="shared" si="23"/>
        <v>0</v>
      </c>
      <c r="AT61" s="938" t="str">
        <f t="shared" si="24"/>
        <v/>
      </c>
      <c r="AU61" s="713">
        <f>'min. Düngung 22'!Q62</f>
        <v>0</v>
      </c>
      <c r="AV61" s="938"/>
      <c r="AW61" s="938"/>
      <c r="AX61" s="938">
        <f t="shared" si="25"/>
        <v>0</v>
      </c>
      <c r="AY61" s="938">
        <f t="shared" si="26"/>
        <v>0</v>
      </c>
      <c r="AZ61" s="938">
        <f t="shared" si="27"/>
        <v>0</v>
      </c>
      <c r="BA61" s="938">
        <f t="shared" si="28"/>
        <v>0</v>
      </c>
      <c r="BB61" s="938">
        <f t="shared" si="29"/>
        <v>0</v>
      </c>
      <c r="BC61" s="938" t="str">
        <f t="shared" si="30"/>
        <v/>
      </c>
      <c r="BD61" s="713">
        <f>'min. Düngung 22'!T62</f>
        <v>0</v>
      </c>
      <c r="BE61" s="938"/>
      <c r="BF61" s="938"/>
      <c r="BG61" s="938">
        <f t="shared" si="31"/>
        <v>0</v>
      </c>
      <c r="BH61" s="938">
        <f t="shared" si="32"/>
        <v>0</v>
      </c>
      <c r="BI61" s="938">
        <f t="shared" si="33"/>
        <v>0</v>
      </c>
      <c r="BJ61" s="938">
        <f t="shared" si="34"/>
        <v>0</v>
      </c>
      <c r="BK61" s="938">
        <f t="shared" si="35"/>
        <v>0</v>
      </c>
      <c r="BL61" s="938" t="str">
        <f t="shared" si="36"/>
        <v/>
      </c>
      <c r="BM61" s="713">
        <f>'min. Düngung 22'!W62</f>
        <v>0</v>
      </c>
      <c r="BN61" s="938"/>
      <c r="BO61" s="938"/>
      <c r="BP61" s="938">
        <f t="shared" si="37"/>
        <v>0</v>
      </c>
      <c r="BQ61" s="938">
        <f t="shared" si="38"/>
        <v>0</v>
      </c>
      <c r="BR61" s="938">
        <f t="shared" si="39"/>
        <v>0</v>
      </c>
      <c r="BS61" s="938">
        <f t="shared" si="40"/>
        <v>0</v>
      </c>
      <c r="BT61" s="938">
        <f t="shared" si="41"/>
        <v>0</v>
      </c>
      <c r="BU61" s="938" t="str">
        <f t="shared" si="42"/>
        <v/>
      </c>
      <c r="BV61" s="713">
        <f>'min. Düngung 22'!Z62</f>
        <v>0</v>
      </c>
      <c r="BW61" s="938"/>
      <c r="BX61" s="938"/>
      <c r="BY61" s="938">
        <f t="shared" si="43"/>
        <v>0</v>
      </c>
      <c r="BZ61" s="938">
        <f t="shared" si="44"/>
        <v>0</v>
      </c>
      <c r="CA61" s="938">
        <f t="shared" si="45"/>
        <v>0</v>
      </c>
      <c r="CB61" s="938">
        <f t="shared" si="46"/>
        <v>0</v>
      </c>
      <c r="CC61" s="938">
        <f t="shared" si="47"/>
        <v>0</v>
      </c>
      <c r="CD61" s="938" t="str">
        <f t="shared" si="48"/>
        <v/>
      </c>
      <c r="CE61" s="713">
        <f>'min. Düngung 22'!AC62</f>
        <v>0</v>
      </c>
      <c r="CF61" s="938"/>
      <c r="CG61" s="938"/>
      <c r="CH61" s="938">
        <f t="shared" si="49"/>
        <v>0</v>
      </c>
      <c r="CI61" s="938">
        <f t="shared" si="50"/>
        <v>0</v>
      </c>
      <c r="CJ61" s="938">
        <f t="shared" si="51"/>
        <v>0</v>
      </c>
      <c r="CK61" s="938">
        <f t="shared" si="52"/>
        <v>0</v>
      </c>
      <c r="CL61" s="938">
        <f t="shared" si="53"/>
        <v>0</v>
      </c>
      <c r="CM61" s="938" t="str">
        <f t="shared" si="54"/>
        <v/>
      </c>
      <c r="CN61" s="713">
        <f>'min. Düngung 22'!AF62</f>
        <v>0</v>
      </c>
      <c r="CO61" s="938"/>
      <c r="CP61" s="938"/>
      <c r="CQ61" s="938">
        <f t="shared" si="55"/>
        <v>0</v>
      </c>
      <c r="CR61" s="938">
        <f t="shared" si="56"/>
        <v>0</v>
      </c>
      <c r="CS61" s="938">
        <f t="shared" si="57"/>
        <v>0</v>
      </c>
      <c r="CT61" s="938">
        <f t="shared" si="58"/>
        <v>0</v>
      </c>
      <c r="CU61" s="938">
        <f t="shared" si="59"/>
        <v>0</v>
      </c>
      <c r="CV61" s="938" t="str">
        <f t="shared" si="60"/>
        <v/>
      </c>
      <c r="CW61" s="713">
        <f>'min. Düngung 22'!AI62</f>
        <v>0</v>
      </c>
      <c r="CX61" s="938"/>
      <c r="CY61" s="938"/>
      <c r="CZ61" s="938">
        <f t="shared" si="61"/>
        <v>0</v>
      </c>
      <c r="DA61" s="938">
        <f t="shared" si="62"/>
        <v>0</v>
      </c>
      <c r="DB61" s="938">
        <f t="shared" si="63"/>
        <v>0</v>
      </c>
      <c r="DC61" s="938">
        <f t="shared" si="64"/>
        <v>0</v>
      </c>
      <c r="DD61" s="938">
        <f t="shared" si="65"/>
        <v>0</v>
      </c>
      <c r="DE61" s="938" t="str">
        <f t="shared" si="66"/>
        <v/>
      </c>
      <c r="DF61" s="713">
        <f>'min. Düngung 22'!AL62</f>
        <v>0</v>
      </c>
      <c r="DG61" s="938"/>
      <c r="DH61" s="938"/>
      <c r="DI61" s="938">
        <f t="shared" si="67"/>
        <v>0</v>
      </c>
      <c r="DJ61" s="938">
        <f t="shared" si="68"/>
        <v>0</v>
      </c>
      <c r="DK61" s="938">
        <f t="shared" si="69"/>
        <v>0</v>
      </c>
      <c r="DL61" s="938">
        <f t="shared" si="70"/>
        <v>0</v>
      </c>
      <c r="DM61" s="938">
        <f t="shared" si="71"/>
        <v>0</v>
      </c>
      <c r="DN61" s="938" t="str">
        <f t="shared" si="72"/>
        <v/>
      </c>
      <c r="DO61" s="713">
        <f>'min. Düngung 22'!AO62</f>
        <v>0</v>
      </c>
      <c r="DP61" s="938"/>
      <c r="DQ61" s="938"/>
      <c r="DR61" s="938">
        <f t="shared" si="73"/>
        <v>0</v>
      </c>
      <c r="DS61" s="938">
        <f t="shared" si="74"/>
        <v>0</v>
      </c>
      <c r="DT61" s="938">
        <f t="shared" si="75"/>
        <v>0</v>
      </c>
      <c r="DU61" s="938">
        <f t="shared" si="76"/>
        <v>0</v>
      </c>
      <c r="DV61" s="938">
        <f t="shared" si="77"/>
        <v>0</v>
      </c>
      <c r="DW61" s="938" t="str">
        <f t="shared" si="78"/>
        <v/>
      </c>
      <c r="DX61" s="713">
        <f>'min. Düngung 22'!AR62</f>
        <v>0</v>
      </c>
      <c r="DY61" s="938"/>
      <c r="DZ61" s="938"/>
      <c r="EA61" s="938">
        <f t="shared" si="79"/>
        <v>0</v>
      </c>
      <c r="EB61" s="938">
        <f t="shared" si="80"/>
        <v>0</v>
      </c>
      <c r="EC61" s="938">
        <f t="shared" si="81"/>
        <v>0</v>
      </c>
      <c r="ED61" s="938">
        <f t="shared" si="82"/>
        <v>0</v>
      </c>
      <c r="EE61" s="938">
        <f t="shared" si="83"/>
        <v>0</v>
      </c>
      <c r="EF61" s="938" t="str">
        <f t="shared" si="84"/>
        <v/>
      </c>
      <c r="EG61" s="713">
        <f>'min. Düngung 22'!AU62</f>
        <v>0</v>
      </c>
      <c r="EH61" s="938"/>
      <c r="EI61" s="938"/>
      <c r="EJ61" s="938">
        <f t="shared" si="85"/>
        <v>0</v>
      </c>
      <c r="EK61" s="938">
        <f t="shared" si="86"/>
        <v>0</v>
      </c>
      <c r="EL61" s="938">
        <f t="shared" si="87"/>
        <v>0</v>
      </c>
      <c r="EM61" s="938">
        <f t="shared" si="88"/>
        <v>0</v>
      </c>
      <c r="EN61" s="938">
        <f t="shared" si="89"/>
        <v>0</v>
      </c>
      <c r="EO61" s="938" t="str">
        <f t="shared" si="90"/>
        <v/>
      </c>
      <c r="EP61" s="713">
        <f>'min. Düngung 22'!AX62</f>
        <v>0</v>
      </c>
      <c r="EQ61" s="938"/>
      <c r="ER61" s="938"/>
      <c r="ES61" s="938">
        <f t="shared" si="91"/>
        <v>0</v>
      </c>
      <c r="ET61" s="938">
        <f t="shared" si="92"/>
        <v>0</v>
      </c>
      <c r="EU61" s="938">
        <f t="shared" si="93"/>
        <v>0</v>
      </c>
      <c r="EV61" s="938">
        <f t="shared" si="94"/>
        <v>0</v>
      </c>
      <c r="EW61" s="938">
        <f t="shared" si="95"/>
        <v>0</v>
      </c>
      <c r="EX61" s="938" t="str">
        <f t="shared" si="96"/>
        <v/>
      </c>
      <c r="EY61" s="713">
        <f>'min. Düngung 22'!BA62</f>
        <v>0</v>
      </c>
      <c r="EZ61" s="938"/>
      <c r="FA61" s="938"/>
      <c r="FB61" s="938">
        <f t="shared" si="97"/>
        <v>0</v>
      </c>
      <c r="FC61" s="938">
        <f t="shared" si="98"/>
        <v>0</v>
      </c>
      <c r="FD61" s="938">
        <f t="shared" si="99"/>
        <v>0</v>
      </c>
      <c r="FE61" s="938">
        <f t="shared" si="100"/>
        <v>0</v>
      </c>
      <c r="FF61" s="938">
        <f t="shared" si="101"/>
        <v>0</v>
      </c>
      <c r="FG61" s="938" t="str">
        <f t="shared" si="102"/>
        <v/>
      </c>
      <c r="FH61" s="713">
        <f>'min. Düngung 22'!BD62</f>
        <v>0</v>
      </c>
      <c r="FI61" s="938"/>
      <c r="FJ61" s="938"/>
      <c r="FK61" s="938">
        <f t="shared" si="103"/>
        <v>0</v>
      </c>
      <c r="FL61" s="938">
        <f t="shared" si="104"/>
        <v>0</v>
      </c>
      <c r="FM61" s="938">
        <f t="shared" si="105"/>
        <v>0</v>
      </c>
      <c r="FN61" s="938">
        <f t="shared" si="106"/>
        <v>0</v>
      </c>
      <c r="FO61" s="938">
        <f t="shared" si="107"/>
        <v>0</v>
      </c>
      <c r="FP61" s="938" t="str">
        <f t="shared" si="108"/>
        <v/>
      </c>
      <c r="FQ61" s="713">
        <f>'min. Düngung 22'!BG62</f>
        <v>0</v>
      </c>
      <c r="FR61" s="938"/>
      <c r="FS61" s="938"/>
      <c r="FT61" s="938">
        <f t="shared" si="109"/>
        <v>0</v>
      </c>
      <c r="FU61" s="938">
        <f t="shared" si="110"/>
        <v>0</v>
      </c>
      <c r="FV61" s="938">
        <f t="shared" si="111"/>
        <v>0</v>
      </c>
      <c r="FW61" s="938">
        <f t="shared" si="112"/>
        <v>0</v>
      </c>
      <c r="FX61" s="938">
        <f t="shared" si="113"/>
        <v>0</v>
      </c>
      <c r="FY61" s="938" t="str">
        <f t="shared" si="114"/>
        <v/>
      </c>
      <c r="FZ61" s="713">
        <f>'min. Düngung 22'!BJ62</f>
        <v>0</v>
      </c>
      <c r="GA61" s="938"/>
      <c r="GB61" s="938"/>
      <c r="GC61" s="938">
        <f t="shared" si="115"/>
        <v>0</v>
      </c>
      <c r="GD61" s="938">
        <f t="shared" si="116"/>
        <v>0</v>
      </c>
      <c r="GE61" s="938">
        <f t="shared" si="117"/>
        <v>0</v>
      </c>
      <c r="GF61" s="938">
        <f t="shared" si="118"/>
        <v>0</v>
      </c>
      <c r="GG61" s="938">
        <f t="shared" si="119"/>
        <v>0</v>
      </c>
      <c r="GH61" s="938" t="str">
        <f t="shared" si="120"/>
        <v/>
      </c>
      <c r="GI61" s="713">
        <f>'min. Düngung 22'!BM62</f>
        <v>0</v>
      </c>
      <c r="GJ61" s="938"/>
      <c r="GK61" s="938"/>
      <c r="GL61" s="938">
        <f t="shared" si="121"/>
        <v>0</v>
      </c>
      <c r="GM61" s="938">
        <f t="shared" si="122"/>
        <v>0</v>
      </c>
      <c r="GN61" s="938">
        <f t="shared" si="123"/>
        <v>0</v>
      </c>
      <c r="GO61" s="938">
        <f t="shared" si="124"/>
        <v>0</v>
      </c>
      <c r="GP61" s="938">
        <f t="shared" si="125"/>
        <v>0</v>
      </c>
      <c r="GQ61" s="938" t="str">
        <f t="shared" si="126"/>
        <v/>
      </c>
      <c r="GR61" s="713">
        <f>'min. Düngung 22'!BP62</f>
        <v>0</v>
      </c>
      <c r="GS61" s="938"/>
      <c r="GT61" s="938"/>
      <c r="GU61" s="938">
        <f t="shared" si="127"/>
        <v>0</v>
      </c>
      <c r="GV61" s="938">
        <f t="shared" si="128"/>
        <v>0</v>
      </c>
      <c r="GW61" s="938">
        <f t="shared" si="129"/>
        <v>0</v>
      </c>
      <c r="GX61" s="938">
        <f t="shared" si="130"/>
        <v>0</v>
      </c>
      <c r="GY61" s="938">
        <f t="shared" si="131"/>
        <v>0</v>
      </c>
      <c r="GZ61" s="938" t="str">
        <f t="shared" si="132"/>
        <v/>
      </c>
      <c r="HA61" s="713">
        <f>'min. Düngung 22'!BS62</f>
        <v>0</v>
      </c>
      <c r="HB61" s="938"/>
      <c r="HC61" s="938"/>
      <c r="HD61" s="938">
        <f t="shared" si="133"/>
        <v>0</v>
      </c>
      <c r="HE61" s="938">
        <f t="shared" si="134"/>
        <v>0</v>
      </c>
      <c r="HF61" s="938">
        <f t="shared" si="135"/>
        <v>0</v>
      </c>
      <c r="HG61" s="938">
        <f t="shared" si="136"/>
        <v>0</v>
      </c>
      <c r="HH61" s="938">
        <f t="shared" si="137"/>
        <v>0</v>
      </c>
      <c r="HI61" s="938" t="str">
        <f t="shared" si="138"/>
        <v/>
      </c>
      <c r="HJ61" s="713">
        <f>'min. Düngung 22'!BV62</f>
        <v>0</v>
      </c>
      <c r="HK61" s="938"/>
      <c r="HL61" s="938"/>
      <c r="HM61" s="938">
        <f t="shared" si="139"/>
        <v>0</v>
      </c>
      <c r="HN61" s="938">
        <f t="shared" si="140"/>
        <v>0</v>
      </c>
      <c r="HO61" s="938">
        <f t="shared" si="141"/>
        <v>0</v>
      </c>
      <c r="HP61" s="938">
        <f t="shared" si="142"/>
        <v>0</v>
      </c>
      <c r="HQ61" s="938">
        <f t="shared" si="143"/>
        <v>0</v>
      </c>
      <c r="HR61" s="938" t="str">
        <f t="shared" si="144"/>
        <v/>
      </c>
      <c r="HS61" s="713">
        <f>'min. Düngung 22'!BY62</f>
        <v>0</v>
      </c>
      <c r="HT61" s="938"/>
      <c r="HU61" s="938"/>
      <c r="HV61" s="938">
        <f t="shared" si="145"/>
        <v>0</v>
      </c>
      <c r="HW61" s="938">
        <f t="shared" si="146"/>
        <v>0</v>
      </c>
      <c r="HX61" s="938">
        <f t="shared" si="147"/>
        <v>0</v>
      </c>
      <c r="HY61" s="938">
        <f t="shared" si="148"/>
        <v>0</v>
      </c>
      <c r="HZ61" s="938">
        <f t="shared" si="149"/>
        <v>0</v>
      </c>
      <c r="IA61" s="938" t="str">
        <f t="shared" si="150"/>
        <v/>
      </c>
      <c r="IB61" s="713">
        <f>'min. Düngung 22'!CB62</f>
        <v>0</v>
      </c>
      <c r="IC61" s="938"/>
      <c r="ID61" s="938"/>
      <c r="IE61" s="938">
        <f t="shared" si="151"/>
        <v>0</v>
      </c>
      <c r="IF61" s="938">
        <f t="shared" si="152"/>
        <v>0</v>
      </c>
      <c r="IG61" s="938">
        <f t="shared" si="153"/>
        <v>0</v>
      </c>
      <c r="IH61" s="938">
        <f t="shared" si="154"/>
        <v>0</v>
      </c>
      <c r="II61" s="938">
        <f t="shared" si="155"/>
        <v>0</v>
      </c>
      <c r="IJ61" s="938" t="str">
        <f t="shared" si="156"/>
        <v/>
      </c>
      <c r="IK61" s="713">
        <f>'min. Düngung 22'!CE62</f>
        <v>0</v>
      </c>
      <c r="IL61" s="938"/>
      <c r="IM61" s="938"/>
      <c r="IN61" s="938">
        <f t="shared" si="157"/>
        <v>0</v>
      </c>
      <c r="IO61" s="938">
        <f t="shared" si="158"/>
        <v>0</v>
      </c>
      <c r="IP61" s="938">
        <f t="shared" si="159"/>
        <v>0</v>
      </c>
      <c r="IQ61" s="938">
        <f t="shared" si="160"/>
        <v>0</v>
      </c>
      <c r="IR61" s="938">
        <f t="shared" si="161"/>
        <v>0</v>
      </c>
      <c r="IS61" s="938" t="str">
        <f t="shared" si="162"/>
        <v/>
      </c>
      <c r="IT61" s="713">
        <f>'min. Düngung 22'!CH62</f>
        <v>0</v>
      </c>
      <c r="IU61" s="938"/>
      <c r="IV61" s="938"/>
      <c r="IW61" s="938">
        <f t="shared" si="163"/>
        <v>0</v>
      </c>
      <c r="IX61" s="938">
        <f t="shared" si="164"/>
        <v>0</v>
      </c>
      <c r="IY61" s="938">
        <f t="shared" si="165"/>
        <v>0</v>
      </c>
      <c r="IZ61" s="938">
        <f t="shared" si="166"/>
        <v>0</v>
      </c>
      <c r="JA61" s="938">
        <f t="shared" si="167"/>
        <v>0</v>
      </c>
      <c r="JB61" s="938" t="str">
        <f t="shared" si="168"/>
        <v/>
      </c>
      <c r="JC61" s="713">
        <f>'min. Düngung 22'!CK62</f>
        <v>0</v>
      </c>
      <c r="JD61" s="938"/>
      <c r="JE61" s="938"/>
      <c r="JF61" s="938">
        <f t="shared" si="169"/>
        <v>0</v>
      </c>
      <c r="JG61" s="938">
        <f t="shared" si="170"/>
        <v>0</v>
      </c>
      <c r="JH61" s="938">
        <f t="shared" si="171"/>
        <v>0</v>
      </c>
      <c r="JI61" s="938">
        <f t="shared" si="172"/>
        <v>0</v>
      </c>
      <c r="JJ61" s="938">
        <f t="shared" si="173"/>
        <v>0</v>
      </c>
      <c r="JK61" s="938" t="str">
        <f t="shared" si="174"/>
        <v/>
      </c>
      <c r="JL61" s="713">
        <f>'min. Düngung 22'!CN62</f>
        <v>0</v>
      </c>
      <c r="JM61" s="938"/>
      <c r="JN61" s="938"/>
      <c r="JO61" s="938">
        <f t="shared" si="175"/>
        <v>0</v>
      </c>
      <c r="JP61" s="938">
        <f t="shared" si="176"/>
        <v>0</v>
      </c>
      <c r="JQ61" s="938">
        <f t="shared" si="177"/>
        <v>0</v>
      </c>
      <c r="JR61" s="938">
        <f t="shared" si="178"/>
        <v>0</v>
      </c>
      <c r="JS61" s="938">
        <f t="shared" si="179"/>
        <v>0</v>
      </c>
      <c r="JT61" s="938" t="str">
        <f t="shared" si="180"/>
        <v/>
      </c>
      <c r="JU61" s="713">
        <f>'min. Düngung 22'!CQ62</f>
        <v>0</v>
      </c>
      <c r="JV61" s="938"/>
      <c r="JW61" s="938"/>
      <c r="JX61" s="938">
        <f t="shared" si="181"/>
        <v>0</v>
      </c>
      <c r="JY61" s="938">
        <f t="shared" si="182"/>
        <v>0</v>
      </c>
      <c r="JZ61" s="938">
        <f t="shared" si="183"/>
        <v>0</v>
      </c>
      <c r="KA61" s="938">
        <f t="shared" si="184"/>
        <v>0</v>
      </c>
      <c r="KB61" s="938">
        <f t="shared" si="185"/>
        <v>0</v>
      </c>
      <c r="KC61" s="938" t="str">
        <f t="shared" si="186"/>
        <v/>
      </c>
      <c r="KE61" s="938"/>
      <c r="KF61" s="938" t="str">
        <f>IF(AND($F61=2,$G61=1),"",IF(OR($Q61&gt;0,$O61&gt;60),$KF$7,IF(I61=70,"",IF(AND(I61=80,R61+'#orgDung'!AC64&lt;60,K61=1,OR(C61=2,'#BerechnungDBE'!AH55=4)),"",IF(R61&gt;0,$KF$7,"")))))</f>
        <v/>
      </c>
      <c r="KG61" s="938" t="str">
        <f>IF(AND(P61&gt;'#BerechnungDBE'!BJ55,P61&gt;0),'#minDung'!$KG$7,"")</f>
        <v/>
      </c>
      <c r="KH61" s="938" t="str">
        <f>IF(AND(I61=70,R61&gt;'#BerechnungDBE'!CR55),'#minDung'!$KH$7,"")</f>
        <v/>
      </c>
      <c r="KI61" s="938" t="str">
        <f>IF('#BerechnungDBE'!P55&lt;4,"",IF(AND('#BerechnungDBE'!BZ55&gt;0,N61&gt;0),$KI$7,""))</f>
        <v/>
      </c>
      <c r="KJ61" s="938" t="str">
        <f t="shared" si="5"/>
        <v/>
      </c>
    </row>
    <row r="62" spans="1:296" s="875" customFormat="1" hidden="1" x14ac:dyDescent="0.2">
      <c r="A62" s="875">
        <f>'Flächen u. Kulturen'!A61</f>
        <v>52</v>
      </c>
      <c r="B62" s="734">
        <f>'#BerechnungDBE'!L56</f>
        <v>0</v>
      </c>
      <c r="C62" s="46">
        <f>'#orgDung'!C65</f>
        <v>1</v>
      </c>
      <c r="D62" s="875">
        <f>'#BerechnungDBE'!T56</f>
        <v>2</v>
      </c>
      <c r="E62" s="875" t="str">
        <f>'Flächen u. Kulturen'!E61</f>
        <v>x</v>
      </c>
      <c r="F62" s="52">
        <f>'#BerechnungDBE'!N56</f>
        <v>1</v>
      </c>
      <c r="G62" s="52">
        <f>'#BerechnungDBE'!O56</f>
        <v>1</v>
      </c>
      <c r="H62" s="505">
        <f>'#orgDung'!J65</f>
        <v>2</v>
      </c>
      <c r="I62" s="875">
        <f>'#BerechnungDBE'!AF56</f>
        <v>0</v>
      </c>
      <c r="J62" s="875">
        <f>'#orgDung'!M65</f>
        <v>0</v>
      </c>
      <c r="K62" s="875">
        <f>'#BerechnungDBE'!AG56</f>
        <v>0</v>
      </c>
      <c r="M62" s="875">
        <f t="shared" si="187"/>
        <v>0</v>
      </c>
      <c r="N62" s="875">
        <f t="shared" si="188"/>
        <v>0</v>
      </c>
      <c r="O62" s="875">
        <f t="shared" si="189"/>
        <v>0</v>
      </c>
      <c r="P62" s="875">
        <f t="shared" si="190"/>
        <v>0</v>
      </c>
      <c r="Q62" s="938">
        <f t="shared" si="6"/>
        <v>0</v>
      </c>
      <c r="R62" s="875">
        <f t="shared" si="191"/>
        <v>0</v>
      </c>
      <c r="T62" s="713">
        <f>'min. Düngung 22'!H63</f>
        <v>0</v>
      </c>
      <c r="W62" s="875">
        <f t="shared" si="7"/>
        <v>0</v>
      </c>
      <c r="X62" s="875">
        <f t="shared" si="8"/>
        <v>0</v>
      </c>
      <c r="Y62" s="875">
        <f t="shared" si="9"/>
        <v>0</v>
      </c>
      <c r="Z62" s="875">
        <f t="shared" si="10"/>
        <v>0</v>
      </c>
      <c r="AA62" s="875">
        <f t="shared" si="11"/>
        <v>0</v>
      </c>
      <c r="AB62" s="875" t="str">
        <f t="shared" si="12"/>
        <v/>
      </c>
      <c r="AC62" s="713">
        <f>'min. Düngung 22'!K63</f>
        <v>0</v>
      </c>
      <c r="AD62" s="938"/>
      <c r="AE62" s="938"/>
      <c r="AF62" s="938">
        <f t="shared" si="13"/>
        <v>0</v>
      </c>
      <c r="AG62" s="938">
        <f t="shared" si="14"/>
        <v>0</v>
      </c>
      <c r="AH62" s="938">
        <f t="shared" si="15"/>
        <v>0</v>
      </c>
      <c r="AI62" s="938">
        <f t="shared" si="16"/>
        <v>0</v>
      </c>
      <c r="AJ62" s="938">
        <f t="shared" si="17"/>
        <v>0</v>
      </c>
      <c r="AK62" s="938">
        <f t="shared" si="18"/>
        <v>0</v>
      </c>
      <c r="AL62" s="713">
        <f>'min. Düngung 22'!N63</f>
        <v>0</v>
      </c>
      <c r="AM62" s="938"/>
      <c r="AN62" s="938"/>
      <c r="AO62" s="938">
        <f t="shared" si="19"/>
        <v>0</v>
      </c>
      <c r="AP62" s="938">
        <f t="shared" si="20"/>
        <v>0</v>
      </c>
      <c r="AQ62" s="938">
        <f t="shared" si="21"/>
        <v>0</v>
      </c>
      <c r="AR62" s="938">
        <f t="shared" si="22"/>
        <v>0</v>
      </c>
      <c r="AS62" s="938">
        <f t="shared" si="23"/>
        <v>0</v>
      </c>
      <c r="AT62" s="938" t="str">
        <f t="shared" si="24"/>
        <v/>
      </c>
      <c r="AU62" s="713">
        <f>'min. Düngung 22'!Q63</f>
        <v>0</v>
      </c>
      <c r="AV62" s="938"/>
      <c r="AW62" s="938"/>
      <c r="AX62" s="938">
        <f t="shared" si="25"/>
        <v>0</v>
      </c>
      <c r="AY62" s="938">
        <f t="shared" si="26"/>
        <v>0</v>
      </c>
      <c r="AZ62" s="938">
        <f t="shared" si="27"/>
        <v>0</v>
      </c>
      <c r="BA62" s="938">
        <f t="shared" si="28"/>
        <v>0</v>
      </c>
      <c r="BB62" s="938">
        <f t="shared" si="29"/>
        <v>0</v>
      </c>
      <c r="BC62" s="938" t="str">
        <f t="shared" si="30"/>
        <v/>
      </c>
      <c r="BD62" s="713">
        <f>'min. Düngung 22'!T63</f>
        <v>0</v>
      </c>
      <c r="BE62" s="938"/>
      <c r="BF62" s="938"/>
      <c r="BG62" s="938">
        <f t="shared" si="31"/>
        <v>0</v>
      </c>
      <c r="BH62" s="938">
        <f t="shared" si="32"/>
        <v>0</v>
      </c>
      <c r="BI62" s="938">
        <f t="shared" si="33"/>
        <v>0</v>
      </c>
      <c r="BJ62" s="938">
        <f t="shared" si="34"/>
        <v>0</v>
      </c>
      <c r="BK62" s="938">
        <f t="shared" si="35"/>
        <v>0</v>
      </c>
      <c r="BL62" s="938" t="str">
        <f t="shared" si="36"/>
        <v/>
      </c>
      <c r="BM62" s="713">
        <f>'min. Düngung 22'!W63</f>
        <v>0</v>
      </c>
      <c r="BN62" s="938"/>
      <c r="BO62" s="938"/>
      <c r="BP62" s="938">
        <f t="shared" si="37"/>
        <v>0</v>
      </c>
      <c r="BQ62" s="938">
        <f t="shared" si="38"/>
        <v>0</v>
      </c>
      <c r="BR62" s="938">
        <f t="shared" si="39"/>
        <v>0</v>
      </c>
      <c r="BS62" s="938">
        <f t="shared" si="40"/>
        <v>0</v>
      </c>
      <c r="BT62" s="938">
        <f t="shared" si="41"/>
        <v>0</v>
      </c>
      <c r="BU62" s="938" t="str">
        <f t="shared" si="42"/>
        <v/>
      </c>
      <c r="BV62" s="713">
        <f>'min. Düngung 22'!Z63</f>
        <v>0</v>
      </c>
      <c r="BW62" s="938"/>
      <c r="BX62" s="938"/>
      <c r="BY62" s="938">
        <f t="shared" si="43"/>
        <v>0</v>
      </c>
      <c r="BZ62" s="938">
        <f t="shared" si="44"/>
        <v>0</v>
      </c>
      <c r="CA62" s="938">
        <f t="shared" si="45"/>
        <v>0</v>
      </c>
      <c r="CB62" s="938">
        <f t="shared" si="46"/>
        <v>0</v>
      </c>
      <c r="CC62" s="938">
        <f t="shared" si="47"/>
        <v>0</v>
      </c>
      <c r="CD62" s="938" t="str">
        <f t="shared" si="48"/>
        <v/>
      </c>
      <c r="CE62" s="713">
        <f>'min. Düngung 22'!AC63</f>
        <v>0</v>
      </c>
      <c r="CF62" s="938"/>
      <c r="CG62" s="938"/>
      <c r="CH62" s="938">
        <f t="shared" si="49"/>
        <v>0</v>
      </c>
      <c r="CI62" s="938">
        <f t="shared" si="50"/>
        <v>0</v>
      </c>
      <c r="CJ62" s="938">
        <f t="shared" si="51"/>
        <v>0</v>
      </c>
      <c r="CK62" s="938">
        <f t="shared" si="52"/>
        <v>0</v>
      </c>
      <c r="CL62" s="938">
        <f t="shared" si="53"/>
        <v>0</v>
      </c>
      <c r="CM62" s="938" t="str">
        <f t="shared" si="54"/>
        <v/>
      </c>
      <c r="CN62" s="713">
        <f>'min. Düngung 22'!AF63</f>
        <v>0</v>
      </c>
      <c r="CO62" s="938"/>
      <c r="CP62" s="938"/>
      <c r="CQ62" s="938">
        <f t="shared" si="55"/>
        <v>0</v>
      </c>
      <c r="CR62" s="938">
        <f t="shared" si="56"/>
        <v>0</v>
      </c>
      <c r="CS62" s="938">
        <f t="shared" si="57"/>
        <v>0</v>
      </c>
      <c r="CT62" s="938">
        <f t="shared" si="58"/>
        <v>0</v>
      </c>
      <c r="CU62" s="938">
        <f t="shared" si="59"/>
        <v>0</v>
      </c>
      <c r="CV62" s="938" t="str">
        <f t="shared" si="60"/>
        <v/>
      </c>
      <c r="CW62" s="713">
        <f>'min. Düngung 22'!AI63</f>
        <v>0</v>
      </c>
      <c r="CX62" s="938"/>
      <c r="CY62" s="938"/>
      <c r="CZ62" s="938">
        <f t="shared" si="61"/>
        <v>0</v>
      </c>
      <c r="DA62" s="938">
        <f t="shared" si="62"/>
        <v>0</v>
      </c>
      <c r="DB62" s="938">
        <f t="shared" si="63"/>
        <v>0</v>
      </c>
      <c r="DC62" s="938">
        <f t="shared" si="64"/>
        <v>0</v>
      </c>
      <c r="DD62" s="938">
        <f t="shared" si="65"/>
        <v>0</v>
      </c>
      <c r="DE62" s="938" t="str">
        <f t="shared" si="66"/>
        <v/>
      </c>
      <c r="DF62" s="713">
        <f>'min. Düngung 22'!AL63</f>
        <v>0</v>
      </c>
      <c r="DG62" s="938"/>
      <c r="DH62" s="938"/>
      <c r="DI62" s="938">
        <f t="shared" si="67"/>
        <v>0</v>
      </c>
      <c r="DJ62" s="938">
        <f t="shared" si="68"/>
        <v>0</v>
      </c>
      <c r="DK62" s="938">
        <f t="shared" si="69"/>
        <v>0</v>
      </c>
      <c r="DL62" s="938">
        <f t="shared" si="70"/>
        <v>0</v>
      </c>
      <c r="DM62" s="938">
        <f t="shared" si="71"/>
        <v>0</v>
      </c>
      <c r="DN62" s="938" t="str">
        <f t="shared" si="72"/>
        <v/>
      </c>
      <c r="DO62" s="713">
        <f>'min. Düngung 22'!AO63</f>
        <v>0</v>
      </c>
      <c r="DP62" s="938"/>
      <c r="DQ62" s="938"/>
      <c r="DR62" s="938">
        <f t="shared" si="73"/>
        <v>0</v>
      </c>
      <c r="DS62" s="938">
        <f t="shared" si="74"/>
        <v>0</v>
      </c>
      <c r="DT62" s="938">
        <f t="shared" si="75"/>
        <v>0</v>
      </c>
      <c r="DU62" s="938">
        <f t="shared" si="76"/>
        <v>0</v>
      </c>
      <c r="DV62" s="938">
        <f t="shared" si="77"/>
        <v>0</v>
      </c>
      <c r="DW62" s="938" t="str">
        <f t="shared" si="78"/>
        <v/>
      </c>
      <c r="DX62" s="713">
        <f>'min. Düngung 22'!AR63</f>
        <v>0</v>
      </c>
      <c r="DY62" s="938"/>
      <c r="DZ62" s="938"/>
      <c r="EA62" s="938">
        <f t="shared" si="79"/>
        <v>0</v>
      </c>
      <c r="EB62" s="938">
        <f t="shared" si="80"/>
        <v>0</v>
      </c>
      <c r="EC62" s="938">
        <f t="shared" si="81"/>
        <v>0</v>
      </c>
      <c r="ED62" s="938">
        <f t="shared" si="82"/>
        <v>0</v>
      </c>
      <c r="EE62" s="938">
        <f t="shared" si="83"/>
        <v>0</v>
      </c>
      <c r="EF62" s="938" t="str">
        <f t="shared" si="84"/>
        <v/>
      </c>
      <c r="EG62" s="713">
        <f>'min. Düngung 22'!AU63</f>
        <v>0</v>
      </c>
      <c r="EH62" s="938"/>
      <c r="EI62" s="938"/>
      <c r="EJ62" s="938">
        <f t="shared" si="85"/>
        <v>0</v>
      </c>
      <c r="EK62" s="938">
        <f t="shared" si="86"/>
        <v>0</v>
      </c>
      <c r="EL62" s="938">
        <f t="shared" si="87"/>
        <v>0</v>
      </c>
      <c r="EM62" s="938">
        <f t="shared" si="88"/>
        <v>0</v>
      </c>
      <c r="EN62" s="938">
        <f t="shared" si="89"/>
        <v>0</v>
      </c>
      <c r="EO62" s="938" t="str">
        <f t="shared" si="90"/>
        <v/>
      </c>
      <c r="EP62" s="713">
        <f>'min. Düngung 22'!AX63</f>
        <v>0</v>
      </c>
      <c r="EQ62" s="938"/>
      <c r="ER62" s="938"/>
      <c r="ES62" s="938">
        <f t="shared" si="91"/>
        <v>0</v>
      </c>
      <c r="ET62" s="938">
        <f t="shared" si="92"/>
        <v>0</v>
      </c>
      <c r="EU62" s="938">
        <f t="shared" si="93"/>
        <v>0</v>
      </c>
      <c r="EV62" s="938">
        <f t="shared" si="94"/>
        <v>0</v>
      </c>
      <c r="EW62" s="938">
        <f t="shared" si="95"/>
        <v>0</v>
      </c>
      <c r="EX62" s="938" t="str">
        <f t="shared" si="96"/>
        <v/>
      </c>
      <c r="EY62" s="713">
        <f>'min. Düngung 22'!BA63</f>
        <v>0</v>
      </c>
      <c r="EZ62" s="938"/>
      <c r="FA62" s="938"/>
      <c r="FB62" s="938">
        <f t="shared" si="97"/>
        <v>0</v>
      </c>
      <c r="FC62" s="938">
        <f t="shared" si="98"/>
        <v>0</v>
      </c>
      <c r="FD62" s="938">
        <f t="shared" si="99"/>
        <v>0</v>
      </c>
      <c r="FE62" s="938">
        <f t="shared" si="100"/>
        <v>0</v>
      </c>
      <c r="FF62" s="938">
        <f t="shared" si="101"/>
        <v>0</v>
      </c>
      <c r="FG62" s="938" t="str">
        <f t="shared" si="102"/>
        <v/>
      </c>
      <c r="FH62" s="713">
        <f>'min. Düngung 22'!BD63</f>
        <v>0</v>
      </c>
      <c r="FI62" s="938"/>
      <c r="FJ62" s="938"/>
      <c r="FK62" s="938">
        <f t="shared" si="103"/>
        <v>0</v>
      </c>
      <c r="FL62" s="938">
        <f t="shared" si="104"/>
        <v>0</v>
      </c>
      <c r="FM62" s="938">
        <f t="shared" si="105"/>
        <v>0</v>
      </c>
      <c r="FN62" s="938">
        <f t="shared" si="106"/>
        <v>0</v>
      </c>
      <c r="FO62" s="938">
        <f t="shared" si="107"/>
        <v>0</v>
      </c>
      <c r="FP62" s="938" t="str">
        <f t="shared" si="108"/>
        <v/>
      </c>
      <c r="FQ62" s="713">
        <f>'min. Düngung 22'!BG63</f>
        <v>0</v>
      </c>
      <c r="FR62" s="938"/>
      <c r="FS62" s="938"/>
      <c r="FT62" s="938">
        <f t="shared" si="109"/>
        <v>0</v>
      </c>
      <c r="FU62" s="938">
        <f t="shared" si="110"/>
        <v>0</v>
      </c>
      <c r="FV62" s="938">
        <f t="shared" si="111"/>
        <v>0</v>
      </c>
      <c r="FW62" s="938">
        <f t="shared" si="112"/>
        <v>0</v>
      </c>
      <c r="FX62" s="938">
        <f t="shared" si="113"/>
        <v>0</v>
      </c>
      <c r="FY62" s="938" t="str">
        <f t="shared" si="114"/>
        <v/>
      </c>
      <c r="FZ62" s="713">
        <f>'min. Düngung 22'!BJ63</f>
        <v>0</v>
      </c>
      <c r="GA62" s="938"/>
      <c r="GB62" s="938"/>
      <c r="GC62" s="938">
        <f t="shared" si="115"/>
        <v>0</v>
      </c>
      <c r="GD62" s="938">
        <f t="shared" si="116"/>
        <v>0</v>
      </c>
      <c r="GE62" s="938">
        <f t="shared" si="117"/>
        <v>0</v>
      </c>
      <c r="GF62" s="938">
        <f t="shared" si="118"/>
        <v>0</v>
      </c>
      <c r="GG62" s="938">
        <f t="shared" si="119"/>
        <v>0</v>
      </c>
      <c r="GH62" s="938" t="str">
        <f t="shared" si="120"/>
        <v/>
      </c>
      <c r="GI62" s="713">
        <f>'min. Düngung 22'!BM63</f>
        <v>0</v>
      </c>
      <c r="GJ62" s="938"/>
      <c r="GK62" s="938"/>
      <c r="GL62" s="938">
        <f t="shared" si="121"/>
        <v>0</v>
      </c>
      <c r="GM62" s="938">
        <f t="shared" si="122"/>
        <v>0</v>
      </c>
      <c r="GN62" s="938">
        <f t="shared" si="123"/>
        <v>0</v>
      </c>
      <c r="GO62" s="938">
        <f t="shared" si="124"/>
        <v>0</v>
      </c>
      <c r="GP62" s="938">
        <f t="shared" si="125"/>
        <v>0</v>
      </c>
      <c r="GQ62" s="938" t="str">
        <f t="shared" si="126"/>
        <v/>
      </c>
      <c r="GR62" s="713">
        <f>'min. Düngung 22'!BP63</f>
        <v>0</v>
      </c>
      <c r="GS62" s="938"/>
      <c r="GT62" s="938"/>
      <c r="GU62" s="938">
        <f t="shared" si="127"/>
        <v>0</v>
      </c>
      <c r="GV62" s="938">
        <f t="shared" si="128"/>
        <v>0</v>
      </c>
      <c r="GW62" s="938">
        <f t="shared" si="129"/>
        <v>0</v>
      </c>
      <c r="GX62" s="938">
        <f t="shared" si="130"/>
        <v>0</v>
      </c>
      <c r="GY62" s="938">
        <f t="shared" si="131"/>
        <v>0</v>
      </c>
      <c r="GZ62" s="938" t="str">
        <f t="shared" si="132"/>
        <v/>
      </c>
      <c r="HA62" s="713">
        <f>'min. Düngung 22'!BS63</f>
        <v>0</v>
      </c>
      <c r="HB62" s="938"/>
      <c r="HC62" s="938"/>
      <c r="HD62" s="938">
        <f t="shared" si="133"/>
        <v>0</v>
      </c>
      <c r="HE62" s="938">
        <f t="shared" si="134"/>
        <v>0</v>
      </c>
      <c r="HF62" s="938">
        <f t="shared" si="135"/>
        <v>0</v>
      </c>
      <c r="HG62" s="938">
        <f t="shared" si="136"/>
        <v>0</v>
      </c>
      <c r="HH62" s="938">
        <f t="shared" si="137"/>
        <v>0</v>
      </c>
      <c r="HI62" s="938" t="str">
        <f t="shared" si="138"/>
        <v/>
      </c>
      <c r="HJ62" s="713">
        <f>'min. Düngung 22'!BV63</f>
        <v>0</v>
      </c>
      <c r="HK62" s="938"/>
      <c r="HL62" s="938"/>
      <c r="HM62" s="938">
        <f t="shared" si="139"/>
        <v>0</v>
      </c>
      <c r="HN62" s="938">
        <f t="shared" si="140"/>
        <v>0</v>
      </c>
      <c r="HO62" s="938">
        <f t="shared" si="141"/>
        <v>0</v>
      </c>
      <c r="HP62" s="938">
        <f t="shared" si="142"/>
        <v>0</v>
      </c>
      <c r="HQ62" s="938">
        <f t="shared" si="143"/>
        <v>0</v>
      </c>
      <c r="HR62" s="938" t="str">
        <f t="shared" si="144"/>
        <v/>
      </c>
      <c r="HS62" s="713">
        <f>'min. Düngung 22'!BY63</f>
        <v>0</v>
      </c>
      <c r="HT62" s="938"/>
      <c r="HU62" s="938"/>
      <c r="HV62" s="938">
        <f t="shared" si="145"/>
        <v>0</v>
      </c>
      <c r="HW62" s="938">
        <f t="shared" si="146"/>
        <v>0</v>
      </c>
      <c r="HX62" s="938">
        <f t="shared" si="147"/>
        <v>0</v>
      </c>
      <c r="HY62" s="938">
        <f t="shared" si="148"/>
        <v>0</v>
      </c>
      <c r="HZ62" s="938">
        <f t="shared" si="149"/>
        <v>0</v>
      </c>
      <c r="IA62" s="938" t="str">
        <f t="shared" si="150"/>
        <v/>
      </c>
      <c r="IB62" s="713">
        <f>'min. Düngung 22'!CB63</f>
        <v>0</v>
      </c>
      <c r="IC62" s="938"/>
      <c r="ID62" s="938"/>
      <c r="IE62" s="938">
        <f t="shared" si="151"/>
        <v>0</v>
      </c>
      <c r="IF62" s="938">
        <f t="shared" si="152"/>
        <v>0</v>
      </c>
      <c r="IG62" s="938">
        <f t="shared" si="153"/>
        <v>0</v>
      </c>
      <c r="IH62" s="938">
        <f t="shared" si="154"/>
        <v>0</v>
      </c>
      <c r="II62" s="938">
        <f t="shared" si="155"/>
        <v>0</v>
      </c>
      <c r="IJ62" s="938" t="str">
        <f t="shared" si="156"/>
        <v/>
      </c>
      <c r="IK62" s="713">
        <f>'min. Düngung 22'!CE63</f>
        <v>0</v>
      </c>
      <c r="IL62" s="938"/>
      <c r="IM62" s="938"/>
      <c r="IN62" s="938">
        <f t="shared" si="157"/>
        <v>0</v>
      </c>
      <c r="IO62" s="938">
        <f t="shared" si="158"/>
        <v>0</v>
      </c>
      <c r="IP62" s="938">
        <f t="shared" si="159"/>
        <v>0</v>
      </c>
      <c r="IQ62" s="938">
        <f t="shared" si="160"/>
        <v>0</v>
      </c>
      <c r="IR62" s="938">
        <f t="shared" si="161"/>
        <v>0</v>
      </c>
      <c r="IS62" s="938" t="str">
        <f t="shared" si="162"/>
        <v/>
      </c>
      <c r="IT62" s="713">
        <f>'min. Düngung 22'!CH63</f>
        <v>0</v>
      </c>
      <c r="IU62" s="938"/>
      <c r="IV62" s="938"/>
      <c r="IW62" s="938">
        <f t="shared" si="163"/>
        <v>0</v>
      </c>
      <c r="IX62" s="938">
        <f t="shared" si="164"/>
        <v>0</v>
      </c>
      <c r="IY62" s="938">
        <f t="shared" si="165"/>
        <v>0</v>
      </c>
      <c r="IZ62" s="938">
        <f t="shared" si="166"/>
        <v>0</v>
      </c>
      <c r="JA62" s="938">
        <f t="shared" si="167"/>
        <v>0</v>
      </c>
      <c r="JB62" s="938" t="str">
        <f t="shared" si="168"/>
        <v/>
      </c>
      <c r="JC62" s="713">
        <f>'min. Düngung 22'!CK63</f>
        <v>0</v>
      </c>
      <c r="JD62" s="938"/>
      <c r="JE62" s="938"/>
      <c r="JF62" s="938">
        <f t="shared" si="169"/>
        <v>0</v>
      </c>
      <c r="JG62" s="938">
        <f t="shared" si="170"/>
        <v>0</v>
      </c>
      <c r="JH62" s="938">
        <f t="shared" si="171"/>
        <v>0</v>
      </c>
      <c r="JI62" s="938">
        <f t="shared" si="172"/>
        <v>0</v>
      </c>
      <c r="JJ62" s="938">
        <f t="shared" si="173"/>
        <v>0</v>
      </c>
      <c r="JK62" s="938" t="str">
        <f t="shared" si="174"/>
        <v/>
      </c>
      <c r="JL62" s="713">
        <f>'min. Düngung 22'!CN63</f>
        <v>0</v>
      </c>
      <c r="JM62" s="938"/>
      <c r="JN62" s="938"/>
      <c r="JO62" s="938">
        <f t="shared" si="175"/>
        <v>0</v>
      </c>
      <c r="JP62" s="938">
        <f t="shared" si="176"/>
        <v>0</v>
      </c>
      <c r="JQ62" s="938">
        <f t="shared" si="177"/>
        <v>0</v>
      </c>
      <c r="JR62" s="938">
        <f t="shared" si="178"/>
        <v>0</v>
      </c>
      <c r="JS62" s="938">
        <f t="shared" si="179"/>
        <v>0</v>
      </c>
      <c r="JT62" s="938" t="str">
        <f t="shared" si="180"/>
        <v/>
      </c>
      <c r="JU62" s="713">
        <f>'min. Düngung 22'!CQ63</f>
        <v>0</v>
      </c>
      <c r="JV62" s="938"/>
      <c r="JW62" s="938"/>
      <c r="JX62" s="938">
        <f t="shared" si="181"/>
        <v>0</v>
      </c>
      <c r="JY62" s="938">
        <f t="shared" si="182"/>
        <v>0</v>
      </c>
      <c r="JZ62" s="938">
        <f t="shared" si="183"/>
        <v>0</v>
      </c>
      <c r="KA62" s="938">
        <f t="shared" si="184"/>
        <v>0</v>
      </c>
      <c r="KB62" s="938">
        <f t="shared" si="185"/>
        <v>0</v>
      </c>
      <c r="KC62" s="938" t="str">
        <f t="shared" si="186"/>
        <v/>
      </c>
      <c r="KE62" s="938"/>
      <c r="KF62" s="938" t="str">
        <f>IF(AND($F62=2,$G62=1),"",IF(OR($Q62&gt;0,$O62&gt;60),$KF$7,IF(I62=70,"",IF(AND(I62=80,R62+'#orgDung'!AC65&lt;60,K62=1,OR(C62=2,'#BerechnungDBE'!AH56=4)),"",IF(R62&gt;0,$KF$7,"")))))</f>
        <v/>
      </c>
      <c r="KG62" s="938" t="str">
        <f>IF(AND(P62&gt;'#BerechnungDBE'!BJ56,P62&gt;0),'#minDung'!$KG$7,"")</f>
        <v/>
      </c>
      <c r="KH62" s="938" t="str">
        <f>IF(AND(I62=70,R62&gt;'#BerechnungDBE'!CR56),'#minDung'!$KH$7,"")</f>
        <v/>
      </c>
      <c r="KI62" s="938" t="str">
        <f>IF('#BerechnungDBE'!P56&lt;4,"",IF(AND('#BerechnungDBE'!BZ56&gt;0,N62&gt;0),$KI$7,""))</f>
        <v/>
      </c>
      <c r="KJ62" s="938" t="str">
        <f t="shared" si="5"/>
        <v/>
      </c>
    </row>
    <row r="63" spans="1:296" s="875" customFormat="1" hidden="1" x14ac:dyDescent="0.2">
      <c r="A63" s="875">
        <f>'Flächen u. Kulturen'!A62</f>
        <v>53</v>
      </c>
      <c r="B63" s="734">
        <f>'#BerechnungDBE'!L57</f>
        <v>0</v>
      </c>
      <c r="C63" s="46">
        <f>'#orgDung'!C66</f>
        <v>1</v>
      </c>
      <c r="D63" s="875">
        <f>'#BerechnungDBE'!T57</f>
        <v>2</v>
      </c>
      <c r="E63" s="875" t="str">
        <f>'Flächen u. Kulturen'!E62</f>
        <v>x</v>
      </c>
      <c r="F63" s="52">
        <f>'#BerechnungDBE'!N57</f>
        <v>1</v>
      </c>
      <c r="G63" s="52">
        <f>'#BerechnungDBE'!O57</f>
        <v>1</v>
      </c>
      <c r="H63" s="505">
        <f>'#orgDung'!J66</f>
        <v>2</v>
      </c>
      <c r="I63" s="875">
        <f>'#BerechnungDBE'!AF57</f>
        <v>0</v>
      </c>
      <c r="J63" s="875">
        <f>'#orgDung'!M66</f>
        <v>0</v>
      </c>
      <c r="K63" s="875">
        <f>'#BerechnungDBE'!AG57</f>
        <v>0</v>
      </c>
      <c r="M63" s="875">
        <f t="shared" si="187"/>
        <v>0</v>
      </c>
      <c r="N63" s="875">
        <f t="shared" si="188"/>
        <v>0</v>
      </c>
      <c r="O63" s="875">
        <f t="shared" si="189"/>
        <v>0</v>
      </c>
      <c r="P63" s="875">
        <f t="shared" si="190"/>
        <v>0</v>
      </c>
      <c r="Q63" s="938">
        <f t="shared" si="6"/>
        <v>0</v>
      </c>
      <c r="R63" s="875">
        <f t="shared" si="191"/>
        <v>0</v>
      </c>
      <c r="T63" s="713">
        <f>'min. Düngung 22'!H64</f>
        <v>0</v>
      </c>
      <c r="W63" s="875">
        <f t="shared" si="7"/>
        <v>0</v>
      </c>
      <c r="X63" s="875">
        <f t="shared" si="8"/>
        <v>0</v>
      </c>
      <c r="Y63" s="875">
        <f t="shared" si="9"/>
        <v>0</v>
      </c>
      <c r="Z63" s="875">
        <f t="shared" si="10"/>
        <v>0</v>
      </c>
      <c r="AA63" s="875">
        <f t="shared" si="11"/>
        <v>0</v>
      </c>
      <c r="AB63" s="875" t="str">
        <f t="shared" si="12"/>
        <v/>
      </c>
      <c r="AC63" s="713">
        <f>'min. Düngung 22'!K64</f>
        <v>0</v>
      </c>
      <c r="AD63" s="938"/>
      <c r="AE63" s="938"/>
      <c r="AF63" s="938">
        <f t="shared" si="13"/>
        <v>0</v>
      </c>
      <c r="AG63" s="938">
        <f t="shared" si="14"/>
        <v>0</v>
      </c>
      <c r="AH63" s="938">
        <f t="shared" si="15"/>
        <v>0</v>
      </c>
      <c r="AI63" s="938">
        <f t="shared" si="16"/>
        <v>0</v>
      </c>
      <c r="AJ63" s="938">
        <f t="shared" si="17"/>
        <v>0</v>
      </c>
      <c r="AK63" s="938">
        <f t="shared" si="18"/>
        <v>0</v>
      </c>
      <c r="AL63" s="713">
        <f>'min. Düngung 22'!N64</f>
        <v>0</v>
      </c>
      <c r="AM63" s="938"/>
      <c r="AN63" s="938"/>
      <c r="AO63" s="938">
        <f t="shared" si="19"/>
        <v>0</v>
      </c>
      <c r="AP63" s="938">
        <f t="shared" si="20"/>
        <v>0</v>
      </c>
      <c r="AQ63" s="938">
        <f t="shared" si="21"/>
        <v>0</v>
      </c>
      <c r="AR63" s="938">
        <f t="shared" si="22"/>
        <v>0</v>
      </c>
      <c r="AS63" s="938">
        <f t="shared" si="23"/>
        <v>0</v>
      </c>
      <c r="AT63" s="938" t="str">
        <f t="shared" si="24"/>
        <v/>
      </c>
      <c r="AU63" s="713">
        <f>'min. Düngung 22'!Q64</f>
        <v>0</v>
      </c>
      <c r="AV63" s="938"/>
      <c r="AW63" s="938"/>
      <c r="AX63" s="938">
        <f t="shared" si="25"/>
        <v>0</v>
      </c>
      <c r="AY63" s="938">
        <f t="shared" si="26"/>
        <v>0</v>
      </c>
      <c r="AZ63" s="938">
        <f t="shared" si="27"/>
        <v>0</v>
      </c>
      <c r="BA63" s="938">
        <f t="shared" si="28"/>
        <v>0</v>
      </c>
      <c r="BB63" s="938">
        <f t="shared" si="29"/>
        <v>0</v>
      </c>
      <c r="BC63" s="938" t="str">
        <f t="shared" si="30"/>
        <v/>
      </c>
      <c r="BD63" s="713">
        <f>'min. Düngung 22'!T64</f>
        <v>0</v>
      </c>
      <c r="BE63" s="938"/>
      <c r="BF63" s="938"/>
      <c r="BG63" s="938">
        <f t="shared" si="31"/>
        <v>0</v>
      </c>
      <c r="BH63" s="938">
        <f t="shared" si="32"/>
        <v>0</v>
      </c>
      <c r="BI63" s="938">
        <f t="shared" si="33"/>
        <v>0</v>
      </c>
      <c r="BJ63" s="938">
        <f t="shared" si="34"/>
        <v>0</v>
      </c>
      <c r="BK63" s="938">
        <f t="shared" si="35"/>
        <v>0</v>
      </c>
      <c r="BL63" s="938" t="str">
        <f t="shared" si="36"/>
        <v/>
      </c>
      <c r="BM63" s="713">
        <f>'min. Düngung 22'!W64</f>
        <v>0</v>
      </c>
      <c r="BN63" s="938"/>
      <c r="BO63" s="938"/>
      <c r="BP63" s="938">
        <f t="shared" si="37"/>
        <v>0</v>
      </c>
      <c r="BQ63" s="938">
        <f t="shared" si="38"/>
        <v>0</v>
      </c>
      <c r="BR63" s="938">
        <f t="shared" si="39"/>
        <v>0</v>
      </c>
      <c r="BS63" s="938">
        <f t="shared" si="40"/>
        <v>0</v>
      </c>
      <c r="BT63" s="938">
        <f t="shared" si="41"/>
        <v>0</v>
      </c>
      <c r="BU63" s="938" t="str">
        <f t="shared" si="42"/>
        <v/>
      </c>
      <c r="BV63" s="713">
        <f>'min. Düngung 22'!Z64</f>
        <v>0</v>
      </c>
      <c r="BW63" s="938"/>
      <c r="BX63" s="938"/>
      <c r="BY63" s="938">
        <f t="shared" si="43"/>
        <v>0</v>
      </c>
      <c r="BZ63" s="938">
        <f t="shared" si="44"/>
        <v>0</v>
      </c>
      <c r="CA63" s="938">
        <f t="shared" si="45"/>
        <v>0</v>
      </c>
      <c r="CB63" s="938">
        <f t="shared" si="46"/>
        <v>0</v>
      </c>
      <c r="CC63" s="938">
        <f t="shared" si="47"/>
        <v>0</v>
      </c>
      <c r="CD63" s="938" t="str">
        <f t="shared" si="48"/>
        <v/>
      </c>
      <c r="CE63" s="713">
        <f>'min. Düngung 22'!AC64</f>
        <v>0</v>
      </c>
      <c r="CF63" s="938"/>
      <c r="CG63" s="938"/>
      <c r="CH63" s="938">
        <f t="shared" si="49"/>
        <v>0</v>
      </c>
      <c r="CI63" s="938">
        <f t="shared" si="50"/>
        <v>0</v>
      </c>
      <c r="CJ63" s="938">
        <f t="shared" si="51"/>
        <v>0</v>
      </c>
      <c r="CK63" s="938">
        <f t="shared" si="52"/>
        <v>0</v>
      </c>
      <c r="CL63" s="938">
        <f t="shared" si="53"/>
        <v>0</v>
      </c>
      <c r="CM63" s="938" t="str">
        <f t="shared" si="54"/>
        <v/>
      </c>
      <c r="CN63" s="713">
        <f>'min. Düngung 22'!AF64</f>
        <v>0</v>
      </c>
      <c r="CO63" s="938"/>
      <c r="CP63" s="938"/>
      <c r="CQ63" s="938">
        <f t="shared" si="55"/>
        <v>0</v>
      </c>
      <c r="CR63" s="938">
        <f t="shared" si="56"/>
        <v>0</v>
      </c>
      <c r="CS63" s="938">
        <f t="shared" si="57"/>
        <v>0</v>
      </c>
      <c r="CT63" s="938">
        <f t="shared" si="58"/>
        <v>0</v>
      </c>
      <c r="CU63" s="938">
        <f t="shared" si="59"/>
        <v>0</v>
      </c>
      <c r="CV63" s="938" t="str">
        <f t="shared" si="60"/>
        <v/>
      </c>
      <c r="CW63" s="713">
        <f>'min. Düngung 22'!AI64</f>
        <v>0</v>
      </c>
      <c r="CX63" s="938"/>
      <c r="CY63" s="938"/>
      <c r="CZ63" s="938">
        <f t="shared" si="61"/>
        <v>0</v>
      </c>
      <c r="DA63" s="938">
        <f t="shared" si="62"/>
        <v>0</v>
      </c>
      <c r="DB63" s="938">
        <f t="shared" si="63"/>
        <v>0</v>
      </c>
      <c r="DC63" s="938">
        <f t="shared" si="64"/>
        <v>0</v>
      </c>
      <c r="DD63" s="938">
        <f t="shared" si="65"/>
        <v>0</v>
      </c>
      <c r="DE63" s="938" t="str">
        <f t="shared" si="66"/>
        <v/>
      </c>
      <c r="DF63" s="713">
        <f>'min. Düngung 22'!AL64</f>
        <v>0</v>
      </c>
      <c r="DG63" s="938"/>
      <c r="DH63" s="938"/>
      <c r="DI63" s="938">
        <f t="shared" si="67"/>
        <v>0</v>
      </c>
      <c r="DJ63" s="938">
        <f t="shared" si="68"/>
        <v>0</v>
      </c>
      <c r="DK63" s="938">
        <f t="shared" si="69"/>
        <v>0</v>
      </c>
      <c r="DL63" s="938">
        <f t="shared" si="70"/>
        <v>0</v>
      </c>
      <c r="DM63" s="938">
        <f t="shared" si="71"/>
        <v>0</v>
      </c>
      <c r="DN63" s="938" t="str">
        <f t="shared" si="72"/>
        <v/>
      </c>
      <c r="DO63" s="713">
        <f>'min. Düngung 22'!AO64</f>
        <v>0</v>
      </c>
      <c r="DP63" s="938"/>
      <c r="DQ63" s="938"/>
      <c r="DR63" s="938">
        <f t="shared" si="73"/>
        <v>0</v>
      </c>
      <c r="DS63" s="938">
        <f t="shared" si="74"/>
        <v>0</v>
      </c>
      <c r="DT63" s="938">
        <f t="shared" si="75"/>
        <v>0</v>
      </c>
      <c r="DU63" s="938">
        <f t="shared" si="76"/>
        <v>0</v>
      </c>
      <c r="DV63" s="938">
        <f t="shared" si="77"/>
        <v>0</v>
      </c>
      <c r="DW63" s="938" t="str">
        <f t="shared" si="78"/>
        <v/>
      </c>
      <c r="DX63" s="713">
        <f>'min. Düngung 22'!AR64</f>
        <v>0</v>
      </c>
      <c r="DY63" s="938"/>
      <c r="DZ63" s="938"/>
      <c r="EA63" s="938">
        <f t="shared" si="79"/>
        <v>0</v>
      </c>
      <c r="EB63" s="938">
        <f t="shared" si="80"/>
        <v>0</v>
      </c>
      <c r="EC63" s="938">
        <f t="shared" si="81"/>
        <v>0</v>
      </c>
      <c r="ED63" s="938">
        <f t="shared" si="82"/>
        <v>0</v>
      </c>
      <c r="EE63" s="938">
        <f t="shared" si="83"/>
        <v>0</v>
      </c>
      <c r="EF63" s="938" t="str">
        <f t="shared" si="84"/>
        <v/>
      </c>
      <c r="EG63" s="713">
        <f>'min. Düngung 22'!AU64</f>
        <v>0</v>
      </c>
      <c r="EH63" s="938"/>
      <c r="EI63" s="938"/>
      <c r="EJ63" s="938">
        <f t="shared" si="85"/>
        <v>0</v>
      </c>
      <c r="EK63" s="938">
        <f t="shared" si="86"/>
        <v>0</v>
      </c>
      <c r="EL63" s="938">
        <f t="shared" si="87"/>
        <v>0</v>
      </c>
      <c r="EM63" s="938">
        <f t="shared" si="88"/>
        <v>0</v>
      </c>
      <c r="EN63" s="938">
        <f t="shared" si="89"/>
        <v>0</v>
      </c>
      <c r="EO63" s="938" t="str">
        <f t="shared" si="90"/>
        <v/>
      </c>
      <c r="EP63" s="713">
        <f>'min. Düngung 22'!AX64</f>
        <v>0</v>
      </c>
      <c r="EQ63" s="938"/>
      <c r="ER63" s="938"/>
      <c r="ES63" s="938">
        <f t="shared" si="91"/>
        <v>0</v>
      </c>
      <c r="ET63" s="938">
        <f t="shared" si="92"/>
        <v>0</v>
      </c>
      <c r="EU63" s="938">
        <f t="shared" si="93"/>
        <v>0</v>
      </c>
      <c r="EV63" s="938">
        <f t="shared" si="94"/>
        <v>0</v>
      </c>
      <c r="EW63" s="938">
        <f t="shared" si="95"/>
        <v>0</v>
      </c>
      <c r="EX63" s="938" t="str">
        <f t="shared" si="96"/>
        <v/>
      </c>
      <c r="EY63" s="713">
        <f>'min. Düngung 22'!BA64</f>
        <v>0</v>
      </c>
      <c r="EZ63" s="938"/>
      <c r="FA63" s="938"/>
      <c r="FB63" s="938">
        <f t="shared" si="97"/>
        <v>0</v>
      </c>
      <c r="FC63" s="938">
        <f t="shared" si="98"/>
        <v>0</v>
      </c>
      <c r="FD63" s="938">
        <f t="shared" si="99"/>
        <v>0</v>
      </c>
      <c r="FE63" s="938">
        <f t="shared" si="100"/>
        <v>0</v>
      </c>
      <c r="FF63" s="938">
        <f t="shared" si="101"/>
        <v>0</v>
      </c>
      <c r="FG63" s="938" t="str">
        <f t="shared" si="102"/>
        <v/>
      </c>
      <c r="FH63" s="713">
        <f>'min. Düngung 22'!BD64</f>
        <v>0</v>
      </c>
      <c r="FI63" s="938"/>
      <c r="FJ63" s="938"/>
      <c r="FK63" s="938">
        <f t="shared" si="103"/>
        <v>0</v>
      </c>
      <c r="FL63" s="938">
        <f t="shared" si="104"/>
        <v>0</v>
      </c>
      <c r="FM63" s="938">
        <f t="shared" si="105"/>
        <v>0</v>
      </c>
      <c r="FN63" s="938">
        <f t="shared" si="106"/>
        <v>0</v>
      </c>
      <c r="FO63" s="938">
        <f t="shared" si="107"/>
        <v>0</v>
      </c>
      <c r="FP63" s="938" t="str">
        <f t="shared" si="108"/>
        <v/>
      </c>
      <c r="FQ63" s="713">
        <f>'min. Düngung 22'!BG64</f>
        <v>0</v>
      </c>
      <c r="FR63" s="938"/>
      <c r="FS63" s="938"/>
      <c r="FT63" s="938">
        <f t="shared" si="109"/>
        <v>0</v>
      </c>
      <c r="FU63" s="938">
        <f t="shared" si="110"/>
        <v>0</v>
      </c>
      <c r="FV63" s="938">
        <f t="shared" si="111"/>
        <v>0</v>
      </c>
      <c r="FW63" s="938">
        <f t="shared" si="112"/>
        <v>0</v>
      </c>
      <c r="FX63" s="938">
        <f t="shared" si="113"/>
        <v>0</v>
      </c>
      <c r="FY63" s="938" t="str">
        <f t="shared" si="114"/>
        <v/>
      </c>
      <c r="FZ63" s="713">
        <f>'min. Düngung 22'!BJ64</f>
        <v>0</v>
      </c>
      <c r="GA63" s="938"/>
      <c r="GB63" s="938"/>
      <c r="GC63" s="938">
        <f t="shared" si="115"/>
        <v>0</v>
      </c>
      <c r="GD63" s="938">
        <f t="shared" si="116"/>
        <v>0</v>
      </c>
      <c r="GE63" s="938">
        <f t="shared" si="117"/>
        <v>0</v>
      </c>
      <c r="GF63" s="938">
        <f t="shared" si="118"/>
        <v>0</v>
      </c>
      <c r="GG63" s="938">
        <f t="shared" si="119"/>
        <v>0</v>
      </c>
      <c r="GH63" s="938" t="str">
        <f t="shared" si="120"/>
        <v/>
      </c>
      <c r="GI63" s="713">
        <f>'min. Düngung 22'!BM64</f>
        <v>0</v>
      </c>
      <c r="GJ63" s="938"/>
      <c r="GK63" s="938"/>
      <c r="GL63" s="938">
        <f t="shared" si="121"/>
        <v>0</v>
      </c>
      <c r="GM63" s="938">
        <f t="shared" si="122"/>
        <v>0</v>
      </c>
      <c r="GN63" s="938">
        <f t="shared" si="123"/>
        <v>0</v>
      </c>
      <c r="GO63" s="938">
        <f t="shared" si="124"/>
        <v>0</v>
      </c>
      <c r="GP63" s="938">
        <f t="shared" si="125"/>
        <v>0</v>
      </c>
      <c r="GQ63" s="938" t="str">
        <f t="shared" si="126"/>
        <v/>
      </c>
      <c r="GR63" s="713">
        <f>'min. Düngung 22'!BP64</f>
        <v>0</v>
      </c>
      <c r="GS63" s="938"/>
      <c r="GT63" s="938"/>
      <c r="GU63" s="938">
        <f t="shared" si="127"/>
        <v>0</v>
      </c>
      <c r="GV63" s="938">
        <f t="shared" si="128"/>
        <v>0</v>
      </c>
      <c r="GW63" s="938">
        <f t="shared" si="129"/>
        <v>0</v>
      </c>
      <c r="GX63" s="938">
        <f t="shared" si="130"/>
        <v>0</v>
      </c>
      <c r="GY63" s="938">
        <f t="shared" si="131"/>
        <v>0</v>
      </c>
      <c r="GZ63" s="938" t="str">
        <f t="shared" si="132"/>
        <v/>
      </c>
      <c r="HA63" s="713">
        <f>'min. Düngung 22'!BS64</f>
        <v>0</v>
      </c>
      <c r="HB63" s="938"/>
      <c r="HC63" s="938"/>
      <c r="HD63" s="938">
        <f t="shared" si="133"/>
        <v>0</v>
      </c>
      <c r="HE63" s="938">
        <f t="shared" si="134"/>
        <v>0</v>
      </c>
      <c r="HF63" s="938">
        <f t="shared" si="135"/>
        <v>0</v>
      </c>
      <c r="HG63" s="938">
        <f t="shared" si="136"/>
        <v>0</v>
      </c>
      <c r="HH63" s="938">
        <f t="shared" si="137"/>
        <v>0</v>
      </c>
      <c r="HI63" s="938" t="str">
        <f t="shared" si="138"/>
        <v/>
      </c>
      <c r="HJ63" s="713">
        <f>'min. Düngung 22'!BV64</f>
        <v>0</v>
      </c>
      <c r="HK63" s="938"/>
      <c r="HL63" s="938"/>
      <c r="HM63" s="938">
        <f t="shared" si="139"/>
        <v>0</v>
      </c>
      <c r="HN63" s="938">
        <f t="shared" si="140"/>
        <v>0</v>
      </c>
      <c r="HO63" s="938">
        <f t="shared" si="141"/>
        <v>0</v>
      </c>
      <c r="HP63" s="938">
        <f t="shared" si="142"/>
        <v>0</v>
      </c>
      <c r="HQ63" s="938">
        <f t="shared" si="143"/>
        <v>0</v>
      </c>
      <c r="HR63" s="938" t="str">
        <f t="shared" si="144"/>
        <v/>
      </c>
      <c r="HS63" s="713">
        <f>'min. Düngung 22'!BY64</f>
        <v>0</v>
      </c>
      <c r="HT63" s="938"/>
      <c r="HU63" s="938"/>
      <c r="HV63" s="938">
        <f t="shared" si="145"/>
        <v>0</v>
      </c>
      <c r="HW63" s="938">
        <f t="shared" si="146"/>
        <v>0</v>
      </c>
      <c r="HX63" s="938">
        <f t="shared" si="147"/>
        <v>0</v>
      </c>
      <c r="HY63" s="938">
        <f t="shared" si="148"/>
        <v>0</v>
      </c>
      <c r="HZ63" s="938">
        <f t="shared" si="149"/>
        <v>0</v>
      </c>
      <c r="IA63" s="938" t="str">
        <f t="shared" si="150"/>
        <v/>
      </c>
      <c r="IB63" s="713">
        <f>'min. Düngung 22'!CB64</f>
        <v>0</v>
      </c>
      <c r="IC63" s="938"/>
      <c r="ID63" s="938"/>
      <c r="IE63" s="938">
        <f t="shared" si="151"/>
        <v>0</v>
      </c>
      <c r="IF63" s="938">
        <f t="shared" si="152"/>
        <v>0</v>
      </c>
      <c r="IG63" s="938">
        <f t="shared" si="153"/>
        <v>0</v>
      </c>
      <c r="IH63" s="938">
        <f t="shared" si="154"/>
        <v>0</v>
      </c>
      <c r="II63" s="938">
        <f t="shared" si="155"/>
        <v>0</v>
      </c>
      <c r="IJ63" s="938" t="str">
        <f t="shared" si="156"/>
        <v/>
      </c>
      <c r="IK63" s="713">
        <f>'min. Düngung 22'!CE64</f>
        <v>0</v>
      </c>
      <c r="IL63" s="938"/>
      <c r="IM63" s="938"/>
      <c r="IN63" s="938">
        <f t="shared" si="157"/>
        <v>0</v>
      </c>
      <c r="IO63" s="938">
        <f t="shared" si="158"/>
        <v>0</v>
      </c>
      <c r="IP63" s="938">
        <f t="shared" si="159"/>
        <v>0</v>
      </c>
      <c r="IQ63" s="938">
        <f t="shared" si="160"/>
        <v>0</v>
      </c>
      <c r="IR63" s="938">
        <f t="shared" si="161"/>
        <v>0</v>
      </c>
      <c r="IS63" s="938" t="str">
        <f t="shared" si="162"/>
        <v/>
      </c>
      <c r="IT63" s="713">
        <f>'min. Düngung 22'!CH64</f>
        <v>0</v>
      </c>
      <c r="IU63" s="938"/>
      <c r="IV63" s="938"/>
      <c r="IW63" s="938">
        <f t="shared" si="163"/>
        <v>0</v>
      </c>
      <c r="IX63" s="938">
        <f t="shared" si="164"/>
        <v>0</v>
      </c>
      <c r="IY63" s="938">
        <f t="shared" si="165"/>
        <v>0</v>
      </c>
      <c r="IZ63" s="938">
        <f t="shared" si="166"/>
        <v>0</v>
      </c>
      <c r="JA63" s="938">
        <f t="shared" si="167"/>
        <v>0</v>
      </c>
      <c r="JB63" s="938" t="str">
        <f t="shared" si="168"/>
        <v/>
      </c>
      <c r="JC63" s="713">
        <f>'min. Düngung 22'!CK64</f>
        <v>0</v>
      </c>
      <c r="JD63" s="938"/>
      <c r="JE63" s="938"/>
      <c r="JF63" s="938">
        <f t="shared" si="169"/>
        <v>0</v>
      </c>
      <c r="JG63" s="938">
        <f t="shared" si="170"/>
        <v>0</v>
      </c>
      <c r="JH63" s="938">
        <f t="shared" si="171"/>
        <v>0</v>
      </c>
      <c r="JI63" s="938">
        <f t="shared" si="172"/>
        <v>0</v>
      </c>
      <c r="JJ63" s="938">
        <f t="shared" si="173"/>
        <v>0</v>
      </c>
      <c r="JK63" s="938" t="str">
        <f t="shared" si="174"/>
        <v/>
      </c>
      <c r="JL63" s="713">
        <f>'min. Düngung 22'!CN64</f>
        <v>0</v>
      </c>
      <c r="JM63" s="938"/>
      <c r="JN63" s="938"/>
      <c r="JO63" s="938">
        <f t="shared" si="175"/>
        <v>0</v>
      </c>
      <c r="JP63" s="938">
        <f t="shared" si="176"/>
        <v>0</v>
      </c>
      <c r="JQ63" s="938">
        <f t="shared" si="177"/>
        <v>0</v>
      </c>
      <c r="JR63" s="938">
        <f t="shared" si="178"/>
        <v>0</v>
      </c>
      <c r="JS63" s="938">
        <f t="shared" si="179"/>
        <v>0</v>
      </c>
      <c r="JT63" s="938" t="str">
        <f t="shared" si="180"/>
        <v/>
      </c>
      <c r="JU63" s="713">
        <f>'min. Düngung 22'!CQ64</f>
        <v>0</v>
      </c>
      <c r="JV63" s="938"/>
      <c r="JW63" s="938"/>
      <c r="JX63" s="938">
        <f t="shared" si="181"/>
        <v>0</v>
      </c>
      <c r="JY63" s="938">
        <f t="shared" si="182"/>
        <v>0</v>
      </c>
      <c r="JZ63" s="938">
        <f t="shared" si="183"/>
        <v>0</v>
      </c>
      <c r="KA63" s="938">
        <f t="shared" si="184"/>
        <v>0</v>
      </c>
      <c r="KB63" s="938">
        <f t="shared" si="185"/>
        <v>0</v>
      </c>
      <c r="KC63" s="938" t="str">
        <f t="shared" si="186"/>
        <v/>
      </c>
      <c r="KE63" s="938"/>
      <c r="KF63" s="938" t="str">
        <f>IF(AND($F63=2,$G63=1),"",IF(OR($Q63&gt;0,$O63&gt;60),$KF$7,IF(I63=70,"",IF(AND(I63=80,R63+'#orgDung'!AC66&lt;60,K63=1,OR(C63=2,'#BerechnungDBE'!AH57=4)),"",IF(R63&gt;0,$KF$7,"")))))</f>
        <v/>
      </c>
      <c r="KG63" s="938" t="str">
        <f>IF(AND(P63&gt;'#BerechnungDBE'!BJ57,P63&gt;0),'#minDung'!$KG$7,"")</f>
        <v/>
      </c>
      <c r="KH63" s="938" t="str">
        <f>IF(AND(I63=70,R63&gt;'#BerechnungDBE'!CR57),'#minDung'!$KH$7,"")</f>
        <v/>
      </c>
      <c r="KI63" s="938" t="str">
        <f>IF('#BerechnungDBE'!P57&lt;4,"",IF(AND('#BerechnungDBE'!BZ57&gt;0,N63&gt;0),$KI$7,""))</f>
        <v/>
      </c>
      <c r="KJ63" s="938" t="str">
        <f t="shared" si="5"/>
        <v/>
      </c>
    </row>
    <row r="64" spans="1:296" s="875" customFormat="1" hidden="1" x14ac:dyDescent="0.2">
      <c r="A64" s="875">
        <f>'Flächen u. Kulturen'!A63</f>
        <v>54</v>
      </c>
      <c r="B64" s="734">
        <f>'#BerechnungDBE'!L58</f>
        <v>0</v>
      </c>
      <c r="C64" s="46">
        <f>'#orgDung'!C67</f>
        <v>1</v>
      </c>
      <c r="D64" s="875">
        <f>'#BerechnungDBE'!T58</f>
        <v>2</v>
      </c>
      <c r="E64" s="875" t="str">
        <f>'Flächen u. Kulturen'!E63</f>
        <v>x</v>
      </c>
      <c r="F64" s="52">
        <f>'#BerechnungDBE'!N58</f>
        <v>1</v>
      </c>
      <c r="G64" s="52">
        <f>'#BerechnungDBE'!O58</f>
        <v>1</v>
      </c>
      <c r="H64" s="505">
        <f>'#orgDung'!J67</f>
        <v>2</v>
      </c>
      <c r="I64" s="875">
        <f>'#BerechnungDBE'!AF58</f>
        <v>0</v>
      </c>
      <c r="J64" s="875">
        <f>'#orgDung'!M67</f>
        <v>0</v>
      </c>
      <c r="K64" s="875">
        <f>'#BerechnungDBE'!AG58</f>
        <v>0</v>
      </c>
      <c r="M64" s="875">
        <f t="shared" si="187"/>
        <v>0</v>
      </c>
      <c r="N64" s="875">
        <f t="shared" si="188"/>
        <v>0</v>
      </c>
      <c r="O64" s="875">
        <f t="shared" si="189"/>
        <v>0</v>
      </c>
      <c r="P64" s="875">
        <f t="shared" si="190"/>
        <v>0</v>
      </c>
      <c r="Q64" s="938">
        <f t="shared" si="6"/>
        <v>0</v>
      </c>
      <c r="R64" s="875">
        <f t="shared" si="191"/>
        <v>0</v>
      </c>
      <c r="T64" s="713">
        <f>'min. Düngung 22'!H65</f>
        <v>0</v>
      </c>
      <c r="W64" s="875">
        <f t="shared" si="7"/>
        <v>0</v>
      </c>
      <c r="X64" s="875">
        <f t="shared" si="8"/>
        <v>0</v>
      </c>
      <c r="Y64" s="875">
        <f t="shared" si="9"/>
        <v>0</v>
      </c>
      <c r="Z64" s="875">
        <f t="shared" si="10"/>
        <v>0</v>
      </c>
      <c r="AA64" s="875">
        <f t="shared" si="11"/>
        <v>0</v>
      </c>
      <c r="AB64" s="875" t="str">
        <f t="shared" si="12"/>
        <v/>
      </c>
      <c r="AC64" s="713">
        <f>'min. Düngung 22'!K65</f>
        <v>0</v>
      </c>
      <c r="AD64" s="938"/>
      <c r="AE64" s="938"/>
      <c r="AF64" s="938">
        <f t="shared" si="13"/>
        <v>0</v>
      </c>
      <c r="AG64" s="938">
        <f t="shared" si="14"/>
        <v>0</v>
      </c>
      <c r="AH64" s="938">
        <f t="shared" si="15"/>
        <v>0</v>
      </c>
      <c r="AI64" s="938">
        <f t="shared" si="16"/>
        <v>0</v>
      </c>
      <c r="AJ64" s="938">
        <f t="shared" si="17"/>
        <v>0</v>
      </c>
      <c r="AK64" s="938">
        <f t="shared" si="18"/>
        <v>0</v>
      </c>
      <c r="AL64" s="713">
        <f>'min. Düngung 22'!N65</f>
        <v>0</v>
      </c>
      <c r="AM64" s="938"/>
      <c r="AN64" s="938"/>
      <c r="AO64" s="938">
        <f t="shared" si="19"/>
        <v>0</v>
      </c>
      <c r="AP64" s="938">
        <f t="shared" si="20"/>
        <v>0</v>
      </c>
      <c r="AQ64" s="938">
        <f t="shared" si="21"/>
        <v>0</v>
      </c>
      <c r="AR64" s="938">
        <f t="shared" si="22"/>
        <v>0</v>
      </c>
      <c r="AS64" s="938">
        <f t="shared" si="23"/>
        <v>0</v>
      </c>
      <c r="AT64" s="938" t="str">
        <f t="shared" si="24"/>
        <v/>
      </c>
      <c r="AU64" s="713">
        <f>'min. Düngung 22'!Q65</f>
        <v>0</v>
      </c>
      <c r="AV64" s="938"/>
      <c r="AW64" s="938"/>
      <c r="AX64" s="938">
        <f t="shared" si="25"/>
        <v>0</v>
      </c>
      <c r="AY64" s="938">
        <f t="shared" si="26"/>
        <v>0</v>
      </c>
      <c r="AZ64" s="938">
        <f t="shared" si="27"/>
        <v>0</v>
      </c>
      <c r="BA64" s="938">
        <f t="shared" si="28"/>
        <v>0</v>
      </c>
      <c r="BB64" s="938">
        <f t="shared" si="29"/>
        <v>0</v>
      </c>
      <c r="BC64" s="938" t="str">
        <f t="shared" si="30"/>
        <v/>
      </c>
      <c r="BD64" s="713">
        <f>'min. Düngung 22'!T65</f>
        <v>0</v>
      </c>
      <c r="BE64" s="938"/>
      <c r="BF64" s="938"/>
      <c r="BG64" s="938">
        <f t="shared" si="31"/>
        <v>0</v>
      </c>
      <c r="BH64" s="938">
        <f t="shared" si="32"/>
        <v>0</v>
      </c>
      <c r="BI64" s="938">
        <f t="shared" si="33"/>
        <v>0</v>
      </c>
      <c r="BJ64" s="938">
        <f t="shared" si="34"/>
        <v>0</v>
      </c>
      <c r="BK64" s="938">
        <f t="shared" si="35"/>
        <v>0</v>
      </c>
      <c r="BL64" s="938" t="str">
        <f t="shared" si="36"/>
        <v/>
      </c>
      <c r="BM64" s="713">
        <f>'min. Düngung 22'!W65</f>
        <v>0</v>
      </c>
      <c r="BN64" s="938"/>
      <c r="BO64" s="938"/>
      <c r="BP64" s="938">
        <f t="shared" si="37"/>
        <v>0</v>
      </c>
      <c r="BQ64" s="938">
        <f t="shared" si="38"/>
        <v>0</v>
      </c>
      <c r="BR64" s="938">
        <f t="shared" si="39"/>
        <v>0</v>
      </c>
      <c r="BS64" s="938">
        <f t="shared" si="40"/>
        <v>0</v>
      </c>
      <c r="BT64" s="938">
        <f t="shared" si="41"/>
        <v>0</v>
      </c>
      <c r="BU64" s="938" t="str">
        <f t="shared" si="42"/>
        <v/>
      </c>
      <c r="BV64" s="713">
        <f>'min. Düngung 22'!Z65</f>
        <v>0</v>
      </c>
      <c r="BW64" s="938"/>
      <c r="BX64" s="938"/>
      <c r="BY64" s="938">
        <f t="shared" si="43"/>
        <v>0</v>
      </c>
      <c r="BZ64" s="938">
        <f t="shared" si="44"/>
        <v>0</v>
      </c>
      <c r="CA64" s="938">
        <f t="shared" si="45"/>
        <v>0</v>
      </c>
      <c r="CB64" s="938">
        <f t="shared" si="46"/>
        <v>0</v>
      </c>
      <c r="CC64" s="938">
        <f t="shared" si="47"/>
        <v>0</v>
      </c>
      <c r="CD64" s="938" t="str">
        <f t="shared" si="48"/>
        <v/>
      </c>
      <c r="CE64" s="713">
        <f>'min. Düngung 22'!AC65</f>
        <v>0</v>
      </c>
      <c r="CF64" s="938"/>
      <c r="CG64" s="938"/>
      <c r="CH64" s="938">
        <f t="shared" si="49"/>
        <v>0</v>
      </c>
      <c r="CI64" s="938">
        <f t="shared" si="50"/>
        <v>0</v>
      </c>
      <c r="CJ64" s="938">
        <f t="shared" si="51"/>
        <v>0</v>
      </c>
      <c r="CK64" s="938">
        <f t="shared" si="52"/>
        <v>0</v>
      </c>
      <c r="CL64" s="938">
        <f t="shared" si="53"/>
        <v>0</v>
      </c>
      <c r="CM64" s="938" t="str">
        <f t="shared" si="54"/>
        <v/>
      </c>
      <c r="CN64" s="713">
        <f>'min. Düngung 22'!AF65</f>
        <v>0</v>
      </c>
      <c r="CO64" s="938"/>
      <c r="CP64" s="938"/>
      <c r="CQ64" s="938">
        <f t="shared" si="55"/>
        <v>0</v>
      </c>
      <c r="CR64" s="938">
        <f t="shared" si="56"/>
        <v>0</v>
      </c>
      <c r="CS64" s="938">
        <f t="shared" si="57"/>
        <v>0</v>
      </c>
      <c r="CT64" s="938">
        <f t="shared" si="58"/>
        <v>0</v>
      </c>
      <c r="CU64" s="938">
        <f t="shared" si="59"/>
        <v>0</v>
      </c>
      <c r="CV64" s="938" t="str">
        <f t="shared" si="60"/>
        <v/>
      </c>
      <c r="CW64" s="713">
        <f>'min. Düngung 22'!AI65</f>
        <v>0</v>
      </c>
      <c r="CX64" s="938"/>
      <c r="CY64" s="938"/>
      <c r="CZ64" s="938">
        <f t="shared" si="61"/>
        <v>0</v>
      </c>
      <c r="DA64" s="938">
        <f t="shared" si="62"/>
        <v>0</v>
      </c>
      <c r="DB64" s="938">
        <f t="shared" si="63"/>
        <v>0</v>
      </c>
      <c r="DC64" s="938">
        <f t="shared" si="64"/>
        <v>0</v>
      </c>
      <c r="DD64" s="938">
        <f t="shared" si="65"/>
        <v>0</v>
      </c>
      <c r="DE64" s="938" t="str">
        <f t="shared" si="66"/>
        <v/>
      </c>
      <c r="DF64" s="713">
        <f>'min. Düngung 22'!AL65</f>
        <v>0</v>
      </c>
      <c r="DG64" s="938"/>
      <c r="DH64" s="938"/>
      <c r="DI64" s="938">
        <f t="shared" si="67"/>
        <v>0</v>
      </c>
      <c r="DJ64" s="938">
        <f t="shared" si="68"/>
        <v>0</v>
      </c>
      <c r="DK64" s="938">
        <f t="shared" si="69"/>
        <v>0</v>
      </c>
      <c r="DL64" s="938">
        <f t="shared" si="70"/>
        <v>0</v>
      </c>
      <c r="DM64" s="938">
        <f t="shared" si="71"/>
        <v>0</v>
      </c>
      <c r="DN64" s="938" t="str">
        <f t="shared" si="72"/>
        <v/>
      </c>
      <c r="DO64" s="713">
        <f>'min. Düngung 22'!AO65</f>
        <v>0</v>
      </c>
      <c r="DP64" s="938"/>
      <c r="DQ64" s="938"/>
      <c r="DR64" s="938">
        <f t="shared" si="73"/>
        <v>0</v>
      </c>
      <c r="DS64" s="938">
        <f t="shared" si="74"/>
        <v>0</v>
      </c>
      <c r="DT64" s="938">
        <f t="shared" si="75"/>
        <v>0</v>
      </c>
      <c r="DU64" s="938">
        <f t="shared" si="76"/>
        <v>0</v>
      </c>
      <c r="DV64" s="938">
        <f t="shared" si="77"/>
        <v>0</v>
      </c>
      <c r="DW64" s="938" t="str">
        <f t="shared" si="78"/>
        <v/>
      </c>
      <c r="DX64" s="713">
        <f>'min. Düngung 22'!AR65</f>
        <v>0</v>
      </c>
      <c r="DY64" s="938"/>
      <c r="DZ64" s="938"/>
      <c r="EA64" s="938">
        <f t="shared" si="79"/>
        <v>0</v>
      </c>
      <c r="EB64" s="938">
        <f t="shared" si="80"/>
        <v>0</v>
      </c>
      <c r="EC64" s="938">
        <f t="shared" si="81"/>
        <v>0</v>
      </c>
      <c r="ED64" s="938">
        <f t="shared" si="82"/>
        <v>0</v>
      </c>
      <c r="EE64" s="938">
        <f t="shared" si="83"/>
        <v>0</v>
      </c>
      <c r="EF64" s="938" t="str">
        <f t="shared" si="84"/>
        <v/>
      </c>
      <c r="EG64" s="713">
        <f>'min. Düngung 22'!AU65</f>
        <v>0</v>
      </c>
      <c r="EH64" s="938"/>
      <c r="EI64" s="938"/>
      <c r="EJ64" s="938">
        <f t="shared" si="85"/>
        <v>0</v>
      </c>
      <c r="EK64" s="938">
        <f t="shared" si="86"/>
        <v>0</v>
      </c>
      <c r="EL64" s="938">
        <f t="shared" si="87"/>
        <v>0</v>
      </c>
      <c r="EM64" s="938">
        <f t="shared" si="88"/>
        <v>0</v>
      </c>
      <c r="EN64" s="938">
        <f t="shared" si="89"/>
        <v>0</v>
      </c>
      <c r="EO64" s="938" t="str">
        <f t="shared" si="90"/>
        <v/>
      </c>
      <c r="EP64" s="713">
        <f>'min. Düngung 22'!AX65</f>
        <v>0</v>
      </c>
      <c r="EQ64" s="938"/>
      <c r="ER64" s="938"/>
      <c r="ES64" s="938">
        <f t="shared" si="91"/>
        <v>0</v>
      </c>
      <c r="ET64" s="938">
        <f t="shared" si="92"/>
        <v>0</v>
      </c>
      <c r="EU64" s="938">
        <f t="shared" si="93"/>
        <v>0</v>
      </c>
      <c r="EV64" s="938">
        <f t="shared" si="94"/>
        <v>0</v>
      </c>
      <c r="EW64" s="938">
        <f t="shared" si="95"/>
        <v>0</v>
      </c>
      <c r="EX64" s="938" t="str">
        <f t="shared" si="96"/>
        <v/>
      </c>
      <c r="EY64" s="713">
        <f>'min. Düngung 22'!BA65</f>
        <v>0</v>
      </c>
      <c r="EZ64" s="938"/>
      <c r="FA64" s="938"/>
      <c r="FB64" s="938">
        <f t="shared" si="97"/>
        <v>0</v>
      </c>
      <c r="FC64" s="938">
        <f t="shared" si="98"/>
        <v>0</v>
      </c>
      <c r="FD64" s="938">
        <f t="shared" si="99"/>
        <v>0</v>
      </c>
      <c r="FE64" s="938">
        <f t="shared" si="100"/>
        <v>0</v>
      </c>
      <c r="FF64" s="938">
        <f t="shared" si="101"/>
        <v>0</v>
      </c>
      <c r="FG64" s="938" t="str">
        <f t="shared" si="102"/>
        <v/>
      </c>
      <c r="FH64" s="713">
        <f>'min. Düngung 22'!BD65</f>
        <v>0</v>
      </c>
      <c r="FI64" s="938"/>
      <c r="FJ64" s="938"/>
      <c r="FK64" s="938">
        <f t="shared" si="103"/>
        <v>0</v>
      </c>
      <c r="FL64" s="938">
        <f t="shared" si="104"/>
        <v>0</v>
      </c>
      <c r="FM64" s="938">
        <f t="shared" si="105"/>
        <v>0</v>
      </c>
      <c r="FN64" s="938">
        <f t="shared" si="106"/>
        <v>0</v>
      </c>
      <c r="FO64" s="938">
        <f t="shared" si="107"/>
        <v>0</v>
      </c>
      <c r="FP64" s="938" t="str">
        <f t="shared" si="108"/>
        <v/>
      </c>
      <c r="FQ64" s="713">
        <f>'min. Düngung 22'!BG65</f>
        <v>0</v>
      </c>
      <c r="FR64" s="938"/>
      <c r="FS64" s="938"/>
      <c r="FT64" s="938">
        <f t="shared" si="109"/>
        <v>0</v>
      </c>
      <c r="FU64" s="938">
        <f t="shared" si="110"/>
        <v>0</v>
      </c>
      <c r="FV64" s="938">
        <f t="shared" si="111"/>
        <v>0</v>
      </c>
      <c r="FW64" s="938">
        <f t="shared" si="112"/>
        <v>0</v>
      </c>
      <c r="FX64" s="938">
        <f t="shared" si="113"/>
        <v>0</v>
      </c>
      <c r="FY64" s="938" t="str">
        <f t="shared" si="114"/>
        <v/>
      </c>
      <c r="FZ64" s="713">
        <f>'min. Düngung 22'!BJ65</f>
        <v>0</v>
      </c>
      <c r="GA64" s="938"/>
      <c r="GB64" s="938"/>
      <c r="GC64" s="938">
        <f t="shared" si="115"/>
        <v>0</v>
      </c>
      <c r="GD64" s="938">
        <f t="shared" si="116"/>
        <v>0</v>
      </c>
      <c r="GE64" s="938">
        <f t="shared" si="117"/>
        <v>0</v>
      </c>
      <c r="GF64" s="938">
        <f t="shared" si="118"/>
        <v>0</v>
      </c>
      <c r="GG64" s="938">
        <f t="shared" si="119"/>
        <v>0</v>
      </c>
      <c r="GH64" s="938" t="str">
        <f t="shared" si="120"/>
        <v/>
      </c>
      <c r="GI64" s="713">
        <f>'min. Düngung 22'!BM65</f>
        <v>0</v>
      </c>
      <c r="GJ64" s="938"/>
      <c r="GK64" s="938"/>
      <c r="GL64" s="938">
        <f t="shared" si="121"/>
        <v>0</v>
      </c>
      <c r="GM64" s="938">
        <f t="shared" si="122"/>
        <v>0</v>
      </c>
      <c r="GN64" s="938">
        <f t="shared" si="123"/>
        <v>0</v>
      </c>
      <c r="GO64" s="938">
        <f t="shared" si="124"/>
        <v>0</v>
      </c>
      <c r="GP64" s="938">
        <f t="shared" si="125"/>
        <v>0</v>
      </c>
      <c r="GQ64" s="938" t="str">
        <f t="shared" si="126"/>
        <v/>
      </c>
      <c r="GR64" s="713">
        <f>'min. Düngung 22'!BP65</f>
        <v>0</v>
      </c>
      <c r="GS64" s="938"/>
      <c r="GT64" s="938"/>
      <c r="GU64" s="938">
        <f t="shared" si="127"/>
        <v>0</v>
      </c>
      <c r="GV64" s="938">
        <f t="shared" si="128"/>
        <v>0</v>
      </c>
      <c r="GW64" s="938">
        <f t="shared" si="129"/>
        <v>0</v>
      </c>
      <c r="GX64" s="938">
        <f t="shared" si="130"/>
        <v>0</v>
      </c>
      <c r="GY64" s="938">
        <f t="shared" si="131"/>
        <v>0</v>
      </c>
      <c r="GZ64" s="938" t="str">
        <f t="shared" si="132"/>
        <v/>
      </c>
      <c r="HA64" s="713">
        <f>'min. Düngung 22'!BS65</f>
        <v>0</v>
      </c>
      <c r="HB64" s="938"/>
      <c r="HC64" s="938"/>
      <c r="HD64" s="938">
        <f t="shared" si="133"/>
        <v>0</v>
      </c>
      <c r="HE64" s="938">
        <f t="shared" si="134"/>
        <v>0</v>
      </c>
      <c r="HF64" s="938">
        <f t="shared" si="135"/>
        <v>0</v>
      </c>
      <c r="HG64" s="938">
        <f t="shared" si="136"/>
        <v>0</v>
      </c>
      <c r="HH64" s="938">
        <f t="shared" si="137"/>
        <v>0</v>
      </c>
      <c r="HI64" s="938" t="str">
        <f t="shared" si="138"/>
        <v/>
      </c>
      <c r="HJ64" s="713">
        <f>'min. Düngung 22'!BV65</f>
        <v>0</v>
      </c>
      <c r="HK64" s="938"/>
      <c r="HL64" s="938"/>
      <c r="HM64" s="938">
        <f t="shared" si="139"/>
        <v>0</v>
      </c>
      <c r="HN64" s="938">
        <f t="shared" si="140"/>
        <v>0</v>
      </c>
      <c r="HO64" s="938">
        <f t="shared" si="141"/>
        <v>0</v>
      </c>
      <c r="HP64" s="938">
        <f t="shared" si="142"/>
        <v>0</v>
      </c>
      <c r="HQ64" s="938">
        <f t="shared" si="143"/>
        <v>0</v>
      </c>
      <c r="HR64" s="938" t="str">
        <f t="shared" si="144"/>
        <v/>
      </c>
      <c r="HS64" s="713">
        <f>'min. Düngung 22'!BY65</f>
        <v>0</v>
      </c>
      <c r="HT64" s="938"/>
      <c r="HU64" s="938"/>
      <c r="HV64" s="938">
        <f t="shared" si="145"/>
        <v>0</v>
      </c>
      <c r="HW64" s="938">
        <f t="shared" si="146"/>
        <v>0</v>
      </c>
      <c r="HX64" s="938">
        <f t="shared" si="147"/>
        <v>0</v>
      </c>
      <c r="HY64" s="938">
        <f t="shared" si="148"/>
        <v>0</v>
      </c>
      <c r="HZ64" s="938">
        <f t="shared" si="149"/>
        <v>0</v>
      </c>
      <c r="IA64" s="938" t="str">
        <f t="shared" si="150"/>
        <v/>
      </c>
      <c r="IB64" s="713">
        <f>'min. Düngung 22'!CB65</f>
        <v>0</v>
      </c>
      <c r="IC64" s="938"/>
      <c r="ID64" s="938"/>
      <c r="IE64" s="938">
        <f t="shared" si="151"/>
        <v>0</v>
      </c>
      <c r="IF64" s="938">
        <f t="shared" si="152"/>
        <v>0</v>
      </c>
      <c r="IG64" s="938">
        <f t="shared" si="153"/>
        <v>0</v>
      </c>
      <c r="IH64" s="938">
        <f t="shared" si="154"/>
        <v>0</v>
      </c>
      <c r="II64" s="938">
        <f t="shared" si="155"/>
        <v>0</v>
      </c>
      <c r="IJ64" s="938" t="str">
        <f t="shared" si="156"/>
        <v/>
      </c>
      <c r="IK64" s="713">
        <f>'min. Düngung 22'!CE65</f>
        <v>0</v>
      </c>
      <c r="IL64" s="938"/>
      <c r="IM64" s="938"/>
      <c r="IN64" s="938">
        <f t="shared" si="157"/>
        <v>0</v>
      </c>
      <c r="IO64" s="938">
        <f t="shared" si="158"/>
        <v>0</v>
      </c>
      <c r="IP64" s="938">
        <f t="shared" si="159"/>
        <v>0</v>
      </c>
      <c r="IQ64" s="938">
        <f t="shared" si="160"/>
        <v>0</v>
      </c>
      <c r="IR64" s="938">
        <f t="shared" si="161"/>
        <v>0</v>
      </c>
      <c r="IS64" s="938" t="str">
        <f t="shared" si="162"/>
        <v/>
      </c>
      <c r="IT64" s="713">
        <f>'min. Düngung 22'!CH65</f>
        <v>0</v>
      </c>
      <c r="IU64" s="938"/>
      <c r="IV64" s="938"/>
      <c r="IW64" s="938">
        <f t="shared" si="163"/>
        <v>0</v>
      </c>
      <c r="IX64" s="938">
        <f t="shared" si="164"/>
        <v>0</v>
      </c>
      <c r="IY64" s="938">
        <f t="shared" si="165"/>
        <v>0</v>
      </c>
      <c r="IZ64" s="938">
        <f t="shared" si="166"/>
        <v>0</v>
      </c>
      <c r="JA64" s="938">
        <f t="shared" si="167"/>
        <v>0</v>
      </c>
      <c r="JB64" s="938" t="str">
        <f t="shared" si="168"/>
        <v/>
      </c>
      <c r="JC64" s="713">
        <f>'min. Düngung 22'!CK65</f>
        <v>0</v>
      </c>
      <c r="JD64" s="938"/>
      <c r="JE64" s="938"/>
      <c r="JF64" s="938">
        <f t="shared" si="169"/>
        <v>0</v>
      </c>
      <c r="JG64" s="938">
        <f t="shared" si="170"/>
        <v>0</v>
      </c>
      <c r="JH64" s="938">
        <f t="shared" si="171"/>
        <v>0</v>
      </c>
      <c r="JI64" s="938">
        <f t="shared" si="172"/>
        <v>0</v>
      </c>
      <c r="JJ64" s="938">
        <f t="shared" si="173"/>
        <v>0</v>
      </c>
      <c r="JK64" s="938" t="str">
        <f t="shared" si="174"/>
        <v/>
      </c>
      <c r="JL64" s="713">
        <f>'min. Düngung 22'!CN65</f>
        <v>0</v>
      </c>
      <c r="JM64" s="938"/>
      <c r="JN64" s="938"/>
      <c r="JO64" s="938">
        <f t="shared" si="175"/>
        <v>0</v>
      </c>
      <c r="JP64" s="938">
        <f t="shared" si="176"/>
        <v>0</v>
      </c>
      <c r="JQ64" s="938">
        <f t="shared" si="177"/>
        <v>0</v>
      </c>
      <c r="JR64" s="938">
        <f t="shared" si="178"/>
        <v>0</v>
      </c>
      <c r="JS64" s="938">
        <f t="shared" si="179"/>
        <v>0</v>
      </c>
      <c r="JT64" s="938" t="str">
        <f t="shared" si="180"/>
        <v/>
      </c>
      <c r="JU64" s="713">
        <f>'min. Düngung 22'!CQ65</f>
        <v>0</v>
      </c>
      <c r="JV64" s="938"/>
      <c r="JW64" s="938"/>
      <c r="JX64" s="938">
        <f t="shared" si="181"/>
        <v>0</v>
      </c>
      <c r="JY64" s="938">
        <f t="shared" si="182"/>
        <v>0</v>
      </c>
      <c r="JZ64" s="938">
        <f t="shared" si="183"/>
        <v>0</v>
      </c>
      <c r="KA64" s="938">
        <f t="shared" si="184"/>
        <v>0</v>
      </c>
      <c r="KB64" s="938">
        <f t="shared" si="185"/>
        <v>0</v>
      </c>
      <c r="KC64" s="938" t="str">
        <f t="shared" si="186"/>
        <v/>
      </c>
      <c r="KE64" s="938"/>
      <c r="KF64" s="938" t="str">
        <f>IF(AND($F64=2,$G64=1),"",IF(OR($Q64&gt;0,$O64&gt;60),$KF$7,IF(I64=70,"",IF(AND(I64=80,R64+'#orgDung'!AC67&lt;60,K64=1,OR(C64=2,'#BerechnungDBE'!AH58=4)),"",IF(R64&gt;0,$KF$7,"")))))</f>
        <v/>
      </c>
      <c r="KG64" s="938" t="str">
        <f>IF(AND(P64&gt;'#BerechnungDBE'!BJ58,P64&gt;0),'#minDung'!$KG$7,"")</f>
        <v/>
      </c>
      <c r="KH64" s="938" t="str">
        <f>IF(AND(I64=70,R64&gt;'#BerechnungDBE'!CR58),'#minDung'!$KH$7,"")</f>
        <v/>
      </c>
      <c r="KI64" s="938" t="str">
        <f>IF('#BerechnungDBE'!P58&lt;4,"",IF(AND('#BerechnungDBE'!BZ58&gt;0,N64&gt;0),$KI$7,""))</f>
        <v/>
      </c>
      <c r="KJ64" s="938" t="str">
        <f t="shared" si="5"/>
        <v/>
      </c>
    </row>
    <row r="65" spans="1:296" s="875" customFormat="1" hidden="1" x14ac:dyDescent="0.2">
      <c r="A65" s="875">
        <f>'Flächen u. Kulturen'!A64</f>
        <v>55</v>
      </c>
      <c r="B65" s="734">
        <f>'#BerechnungDBE'!L59</f>
        <v>0</v>
      </c>
      <c r="C65" s="46">
        <f>'#orgDung'!C68</f>
        <v>1</v>
      </c>
      <c r="D65" s="875">
        <f>'#BerechnungDBE'!T59</f>
        <v>2</v>
      </c>
      <c r="E65" s="875" t="str">
        <f>'Flächen u. Kulturen'!E64</f>
        <v>x</v>
      </c>
      <c r="F65" s="52">
        <f>'#BerechnungDBE'!N59</f>
        <v>1</v>
      </c>
      <c r="G65" s="52">
        <f>'#BerechnungDBE'!O59</f>
        <v>1</v>
      </c>
      <c r="H65" s="505">
        <f>'#orgDung'!J68</f>
        <v>2</v>
      </c>
      <c r="I65" s="875">
        <f>'#BerechnungDBE'!AF59</f>
        <v>0</v>
      </c>
      <c r="J65" s="875">
        <f>'#orgDung'!M68</f>
        <v>0</v>
      </c>
      <c r="K65" s="875">
        <f>'#BerechnungDBE'!AG59</f>
        <v>0</v>
      </c>
      <c r="M65" s="875">
        <f t="shared" si="187"/>
        <v>0</v>
      </c>
      <c r="N65" s="875">
        <f t="shared" si="188"/>
        <v>0</v>
      </c>
      <c r="O65" s="875">
        <f t="shared" si="189"/>
        <v>0</v>
      </c>
      <c r="P65" s="875">
        <f t="shared" si="190"/>
        <v>0</v>
      </c>
      <c r="Q65" s="938">
        <f t="shared" si="6"/>
        <v>0</v>
      </c>
      <c r="R65" s="875">
        <f t="shared" si="191"/>
        <v>0</v>
      </c>
      <c r="T65" s="713">
        <f>'min. Düngung 22'!H66</f>
        <v>0</v>
      </c>
      <c r="W65" s="875">
        <f t="shared" si="7"/>
        <v>0</v>
      </c>
      <c r="X65" s="875">
        <f t="shared" si="8"/>
        <v>0</v>
      </c>
      <c r="Y65" s="875">
        <f t="shared" si="9"/>
        <v>0</v>
      </c>
      <c r="Z65" s="875">
        <f t="shared" si="10"/>
        <v>0</v>
      </c>
      <c r="AA65" s="875">
        <f t="shared" si="11"/>
        <v>0</v>
      </c>
      <c r="AB65" s="875" t="str">
        <f t="shared" si="12"/>
        <v/>
      </c>
      <c r="AC65" s="713">
        <f>'min. Düngung 22'!K66</f>
        <v>0</v>
      </c>
      <c r="AD65" s="938"/>
      <c r="AE65" s="938"/>
      <c r="AF65" s="938">
        <f t="shared" si="13"/>
        <v>0</v>
      </c>
      <c r="AG65" s="938">
        <f t="shared" si="14"/>
        <v>0</v>
      </c>
      <c r="AH65" s="938">
        <f t="shared" si="15"/>
        <v>0</v>
      </c>
      <c r="AI65" s="938">
        <f t="shared" si="16"/>
        <v>0</v>
      </c>
      <c r="AJ65" s="938">
        <f t="shared" si="17"/>
        <v>0</v>
      </c>
      <c r="AK65" s="938">
        <f t="shared" si="18"/>
        <v>0</v>
      </c>
      <c r="AL65" s="713">
        <f>'min. Düngung 22'!N66</f>
        <v>0</v>
      </c>
      <c r="AM65" s="938"/>
      <c r="AN65" s="938"/>
      <c r="AO65" s="938">
        <f t="shared" si="19"/>
        <v>0</v>
      </c>
      <c r="AP65" s="938">
        <f t="shared" si="20"/>
        <v>0</v>
      </c>
      <c r="AQ65" s="938">
        <f t="shared" si="21"/>
        <v>0</v>
      </c>
      <c r="AR65" s="938">
        <f t="shared" si="22"/>
        <v>0</v>
      </c>
      <c r="AS65" s="938">
        <f t="shared" si="23"/>
        <v>0</v>
      </c>
      <c r="AT65" s="938" t="str">
        <f t="shared" si="24"/>
        <v/>
      </c>
      <c r="AU65" s="713">
        <f>'min. Düngung 22'!Q66</f>
        <v>0</v>
      </c>
      <c r="AV65" s="938"/>
      <c r="AW65" s="938"/>
      <c r="AX65" s="938">
        <f t="shared" si="25"/>
        <v>0</v>
      </c>
      <c r="AY65" s="938">
        <f t="shared" si="26"/>
        <v>0</v>
      </c>
      <c r="AZ65" s="938">
        <f t="shared" si="27"/>
        <v>0</v>
      </c>
      <c r="BA65" s="938">
        <f t="shared" si="28"/>
        <v>0</v>
      </c>
      <c r="BB65" s="938">
        <f t="shared" si="29"/>
        <v>0</v>
      </c>
      <c r="BC65" s="938" t="str">
        <f t="shared" si="30"/>
        <v/>
      </c>
      <c r="BD65" s="713">
        <f>'min. Düngung 22'!T66</f>
        <v>0</v>
      </c>
      <c r="BE65" s="938"/>
      <c r="BF65" s="938"/>
      <c r="BG65" s="938">
        <f t="shared" si="31"/>
        <v>0</v>
      </c>
      <c r="BH65" s="938">
        <f t="shared" si="32"/>
        <v>0</v>
      </c>
      <c r="BI65" s="938">
        <f t="shared" si="33"/>
        <v>0</v>
      </c>
      <c r="BJ65" s="938">
        <f t="shared" si="34"/>
        <v>0</v>
      </c>
      <c r="BK65" s="938">
        <f t="shared" si="35"/>
        <v>0</v>
      </c>
      <c r="BL65" s="938" t="str">
        <f t="shared" si="36"/>
        <v/>
      </c>
      <c r="BM65" s="713">
        <f>'min. Düngung 22'!W66</f>
        <v>0</v>
      </c>
      <c r="BN65" s="938"/>
      <c r="BO65" s="938"/>
      <c r="BP65" s="938">
        <f t="shared" si="37"/>
        <v>0</v>
      </c>
      <c r="BQ65" s="938">
        <f t="shared" si="38"/>
        <v>0</v>
      </c>
      <c r="BR65" s="938">
        <f t="shared" si="39"/>
        <v>0</v>
      </c>
      <c r="BS65" s="938">
        <f t="shared" si="40"/>
        <v>0</v>
      </c>
      <c r="BT65" s="938">
        <f t="shared" si="41"/>
        <v>0</v>
      </c>
      <c r="BU65" s="938" t="str">
        <f t="shared" si="42"/>
        <v/>
      </c>
      <c r="BV65" s="713">
        <f>'min. Düngung 22'!Z66</f>
        <v>0</v>
      </c>
      <c r="BW65" s="938"/>
      <c r="BX65" s="938"/>
      <c r="BY65" s="938">
        <f t="shared" si="43"/>
        <v>0</v>
      </c>
      <c r="BZ65" s="938">
        <f t="shared" si="44"/>
        <v>0</v>
      </c>
      <c r="CA65" s="938">
        <f t="shared" si="45"/>
        <v>0</v>
      </c>
      <c r="CB65" s="938">
        <f t="shared" si="46"/>
        <v>0</v>
      </c>
      <c r="CC65" s="938">
        <f t="shared" si="47"/>
        <v>0</v>
      </c>
      <c r="CD65" s="938" t="str">
        <f t="shared" si="48"/>
        <v/>
      </c>
      <c r="CE65" s="713">
        <f>'min. Düngung 22'!AC66</f>
        <v>0</v>
      </c>
      <c r="CF65" s="938"/>
      <c r="CG65" s="938"/>
      <c r="CH65" s="938">
        <f t="shared" si="49"/>
        <v>0</v>
      </c>
      <c r="CI65" s="938">
        <f t="shared" si="50"/>
        <v>0</v>
      </c>
      <c r="CJ65" s="938">
        <f t="shared" si="51"/>
        <v>0</v>
      </c>
      <c r="CK65" s="938">
        <f t="shared" si="52"/>
        <v>0</v>
      </c>
      <c r="CL65" s="938">
        <f t="shared" si="53"/>
        <v>0</v>
      </c>
      <c r="CM65" s="938" t="str">
        <f t="shared" si="54"/>
        <v/>
      </c>
      <c r="CN65" s="713">
        <f>'min. Düngung 22'!AF66</f>
        <v>0</v>
      </c>
      <c r="CO65" s="938"/>
      <c r="CP65" s="938"/>
      <c r="CQ65" s="938">
        <f t="shared" si="55"/>
        <v>0</v>
      </c>
      <c r="CR65" s="938">
        <f t="shared" si="56"/>
        <v>0</v>
      </c>
      <c r="CS65" s="938">
        <f t="shared" si="57"/>
        <v>0</v>
      </c>
      <c r="CT65" s="938">
        <f t="shared" si="58"/>
        <v>0</v>
      </c>
      <c r="CU65" s="938">
        <f t="shared" si="59"/>
        <v>0</v>
      </c>
      <c r="CV65" s="938" t="str">
        <f t="shared" si="60"/>
        <v/>
      </c>
      <c r="CW65" s="713">
        <f>'min. Düngung 22'!AI66</f>
        <v>0</v>
      </c>
      <c r="CX65" s="938"/>
      <c r="CY65" s="938"/>
      <c r="CZ65" s="938">
        <f t="shared" si="61"/>
        <v>0</v>
      </c>
      <c r="DA65" s="938">
        <f t="shared" si="62"/>
        <v>0</v>
      </c>
      <c r="DB65" s="938">
        <f t="shared" si="63"/>
        <v>0</v>
      </c>
      <c r="DC65" s="938">
        <f t="shared" si="64"/>
        <v>0</v>
      </c>
      <c r="DD65" s="938">
        <f t="shared" si="65"/>
        <v>0</v>
      </c>
      <c r="DE65" s="938" t="str">
        <f t="shared" si="66"/>
        <v/>
      </c>
      <c r="DF65" s="713">
        <f>'min. Düngung 22'!AL66</f>
        <v>0</v>
      </c>
      <c r="DG65" s="938"/>
      <c r="DH65" s="938"/>
      <c r="DI65" s="938">
        <f t="shared" si="67"/>
        <v>0</v>
      </c>
      <c r="DJ65" s="938">
        <f t="shared" si="68"/>
        <v>0</v>
      </c>
      <c r="DK65" s="938">
        <f t="shared" si="69"/>
        <v>0</v>
      </c>
      <c r="DL65" s="938">
        <f t="shared" si="70"/>
        <v>0</v>
      </c>
      <c r="DM65" s="938">
        <f t="shared" si="71"/>
        <v>0</v>
      </c>
      <c r="DN65" s="938" t="str">
        <f t="shared" si="72"/>
        <v/>
      </c>
      <c r="DO65" s="713">
        <f>'min. Düngung 22'!AO66</f>
        <v>0</v>
      </c>
      <c r="DP65" s="938"/>
      <c r="DQ65" s="938"/>
      <c r="DR65" s="938">
        <f t="shared" si="73"/>
        <v>0</v>
      </c>
      <c r="DS65" s="938">
        <f t="shared" si="74"/>
        <v>0</v>
      </c>
      <c r="DT65" s="938">
        <f t="shared" si="75"/>
        <v>0</v>
      </c>
      <c r="DU65" s="938">
        <f t="shared" si="76"/>
        <v>0</v>
      </c>
      <c r="DV65" s="938">
        <f t="shared" si="77"/>
        <v>0</v>
      </c>
      <c r="DW65" s="938" t="str">
        <f t="shared" si="78"/>
        <v/>
      </c>
      <c r="DX65" s="713">
        <f>'min. Düngung 22'!AR66</f>
        <v>0</v>
      </c>
      <c r="DY65" s="938"/>
      <c r="DZ65" s="938"/>
      <c r="EA65" s="938">
        <f t="shared" si="79"/>
        <v>0</v>
      </c>
      <c r="EB65" s="938">
        <f t="shared" si="80"/>
        <v>0</v>
      </c>
      <c r="EC65" s="938">
        <f t="shared" si="81"/>
        <v>0</v>
      </c>
      <c r="ED65" s="938">
        <f t="shared" si="82"/>
        <v>0</v>
      </c>
      <c r="EE65" s="938">
        <f t="shared" si="83"/>
        <v>0</v>
      </c>
      <c r="EF65" s="938" t="str">
        <f t="shared" si="84"/>
        <v/>
      </c>
      <c r="EG65" s="713">
        <f>'min. Düngung 22'!AU66</f>
        <v>0</v>
      </c>
      <c r="EH65" s="938"/>
      <c r="EI65" s="938"/>
      <c r="EJ65" s="938">
        <f t="shared" si="85"/>
        <v>0</v>
      </c>
      <c r="EK65" s="938">
        <f t="shared" si="86"/>
        <v>0</v>
      </c>
      <c r="EL65" s="938">
        <f t="shared" si="87"/>
        <v>0</v>
      </c>
      <c r="EM65" s="938">
        <f t="shared" si="88"/>
        <v>0</v>
      </c>
      <c r="EN65" s="938">
        <f t="shared" si="89"/>
        <v>0</v>
      </c>
      <c r="EO65" s="938" t="str">
        <f t="shared" si="90"/>
        <v/>
      </c>
      <c r="EP65" s="713">
        <f>'min. Düngung 22'!AX66</f>
        <v>0</v>
      </c>
      <c r="EQ65" s="938"/>
      <c r="ER65" s="938"/>
      <c r="ES65" s="938">
        <f t="shared" si="91"/>
        <v>0</v>
      </c>
      <c r="ET65" s="938">
        <f t="shared" si="92"/>
        <v>0</v>
      </c>
      <c r="EU65" s="938">
        <f t="shared" si="93"/>
        <v>0</v>
      </c>
      <c r="EV65" s="938">
        <f t="shared" si="94"/>
        <v>0</v>
      </c>
      <c r="EW65" s="938">
        <f t="shared" si="95"/>
        <v>0</v>
      </c>
      <c r="EX65" s="938" t="str">
        <f t="shared" si="96"/>
        <v/>
      </c>
      <c r="EY65" s="713">
        <f>'min. Düngung 22'!BA66</f>
        <v>0</v>
      </c>
      <c r="EZ65" s="938"/>
      <c r="FA65" s="938"/>
      <c r="FB65" s="938">
        <f t="shared" si="97"/>
        <v>0</v>
      </c>
      <c r="FC65" s="938">
        <f t="shared" si="98"/>
        <v>0</v>
      </c>
      <c r="FD65" s="938">
        <f t="shared" si="99"/>
        <v>0</v>
      </c>
      <c r="FE65" s="938">
        <f t="shared" si="100"/>
        <v>0</v>
      </c>
      <c r="FF65" s="938">
        <f t="shared" si="101"/>
        <v>0</v>
      </c>
      <c r="FG65" s="938" t="str">
        <f t="shared" si="102"/>
        <v/>
      </c>
      <c r="FH65" s="713">
        <f>'min. Düngung 22'!BD66</f>
        <v>0</v>
      </c>
      <c r="FI65" s="938"/>
      <c r="FJ65" s="938"/>
      <c r="FK65" s="938">
        <f t="shared" si="103"/>
        <v>0</v>
      </c>
      <c r="FL65" s="938">
        <f t="shared" si="104"/>
        <v>0</v>
      </c>
      <c r="FM65" s="938">
        <f t="shared" si="105"/>
        <v>0</v>
      </c>
      <c r="FN65" s="938">
        <f t="shared" si="106"/>
        <v>0</v>
      </c>
      <c r="FO65" s="938">
        <f t="shared" si="107"/>
        <v>0</v>
      </c>
      <c r="FP65" s="938" t="str">
        <f t="shared" si="108"/>
        <v/>
      </c>
      <c r="FQ65" s="713">
        <f>'min. Düngung 22'!BG66</f>
        <v>0</v>
      </c>
      <c r="FR65" s="938"/>
      <c r="FS65" s="938"/>
      <c r="FT65" s="938">
        <f t="shared" si="109"/>
        <v>0</v>
      </c>
      <c r="FU65" s="938">
        <f t="shared" si="110"/>
        <v>0</v>
      </c>
      <c r="FV65" s="938">
        <f t="shared" si="111"/>
        <v>0</v>
      </c>
      <c r="FW65" s="938">
        <f t="shared" si="112"/>
        <v>0</v>
      </c>
      <c r="FX65" s="938">
        <f t="shared" si="113"/>
        <v>0</v>
      </c>
      <c r="FY65" s="938" t="str">
        <f t="shared" si="114"/>
        <v/>
      </c>
      <c r="FZ65" s="713">
        <f>'min. Düngung 22'!BJ66</f>
        <v>0</v>
      </c>
      <c r="GA65" s="938"/>
      <c r="GB65" s="938"/>
      <c r="GC65" s="938">
        <f t="shared" si="115"/>
        <v>0</v>
      </c>
      <c r="GD65" s="938">
        <f t="shared" si="116"/>
        <v>0</v>
      </c>
      <c r="GE65" s="938">
        <f t="shared" si="117"/>
        <v>0</v>
      </c>
      <c r="GF65" s="938">
        <f t="shared" si="118"/>
        <v>0</v>
      </c>
      <c r="GG65" s="938">
        <f t="shared" si="119"/>
        <v>0</v>
      </c>
      <c r="GH65" s="938" t="str">
        <f t="shared" si="120"/>
        <v/>
      </c>
      <c r="GI65" s="713">
        <f>'min. Düngung 22'!BM66</f>
        <v>0</v>
      </c>
      <c r="GJ65" s="938"/>
      <c r="GK65" s="938"/>
      <c r="GL65" s="938">
        <f t="shared" si="121"/>
        <v>0</v>
      </c>
      <c r="GM65" s="938">
        <f t="shared" si="122"/>
        <v>0</v>
      </c>
      <c r="GN65" s="938">
        <f t="shared" si="123"/>
        <v>0</v>
      </c>
      <c r="GO65" s="938">
        <f t="shared" si="124"/>
        <v>0</v>
      </c>
      <c r="GP65" s="938">
        <f t="shared" si="125"/>
        <v>0</v>
      </c>
      <c r="GQ65" s="938" t="str">
        <f t="shared" si="126"/>
        <v/>
      </c>
      <c r="GR65" s="713">
        <f>'min. Düngung 22'!BP66</f>
        <v>0</v>
      </c>
      <c r="GS65" s="938"/>
      <c r="GT65" s="938"/>
      <c r="GU65" s="938">
        <f t="shared" si="127"/>
        <v>0</v>
      </c>
      <c r="GV65" s="938">
        <f t="shared" si="128"/>
        <v>0</v>
      </c>
      <c r="GW65" s="938">
        <f t="shared" si="129"/>
        <v>0</v>
      </c>
      <c r="GX65" s="938">
        <f t="shared" si="130"/>
        <v>0</v>
      </c>
      <c r="GY65" s="938">
        <f t="shared" si="131"/>
        <v>0</v>
      </c>
      <c r="GZ65" s="938" t="str">
        <f t="shared" si="132"/>
        <v/>
      </c>
      <c r="HA65" s="713">
        <f>'min. Düngung 22'!BS66</f>
        <v>0</v>
      </c>
      <c r="HB65" s="938"/>
      <c r="HC65" s="938"/>
      <c r="HD65" s="938">
        <f t="shared" si="133"/>
        <v>0</v>
      </c>
      <c r="HE65" s="938">
        <f t="shared" si="134"/>
        <v>0</v>
      </c>
      <c r="HF65" s="938">
        <f t="shared" si="135"/>
        <v>0</v>
      </c>
      <c r="HG65" s="938">
        <f t="shared" si="136"/>
        <v>0</v>
      </c>
      <c r="HH65" s="938">
        <f t="shared" si="137"/>
        <v>0</v>
      </c>
      <c r="HI65" s="938" t="str">
        <f t="shared" si="138"/>
        <v/>
      </c>
      <c r="HJ65" s="713">
        <f>'min. Düngung 22'!BV66</f>
        <v>0</v>
      </c>
      <c r="HK65" s="938"/>
      <c r="HL65" s="938"/>
      <c r="HM65" s="938">
        <f t="shared" si="139"/>
        <v>0</v>
      </c>
      <c r="HN65" s="938">
        <f t="shared" si="140"/>
        <v>0</v>
      </c>
      <c r="HO65" s="938">
        <f t="shared" si="141"/>
        <v>0</v>
      </c>
      <c r="HP65" s="938">
        <f t="shared" si="142"/>
        <v>0</v>
      </c>
      <c r="HQ65" s="938">
        <f t="shared" si="143"/>
        <v>0</v>
      </c>
      <c r="HR65" s="938" t="str">
        <f t="shared" si="144"/>
        <v/>
      </c>
      <c r="HS65" s="713">
        <f>'min. Düngung 22'!BY66</f>
        <v>0</v>
      </c>
      <c r="HT65" s="938"/>
      <c r="HU65" s="938"/>
      <c r="HV65" s="938">
        <f t="shared" si="145"/>
        <v>0</v>
      </c>
      <c r="HW65" s="938">
        <f t="shared" si="146"/>
        <v>0</v>
      </c>
      <c r="HX65" s="938">
        <f t="shared" si="147"/>
        <v>0</v>
      </c>
      <c r="HY65" s="938">
        <f t="shared" si="148"/>
        <v>0</v>
      </c>
      <c r="HZ65" s="938">
        <f t="shared" si="149"/>
        <v>0</v>
      </c>
      <c r="IA65" s="938" t="str">
        <f t="shared" si="150"/>
        <v/>
      </c>
      <c r="IB65" s="713">
        <f>'min. Düngung 22'!CB66</f>
        <v>0</v>
      </c>
      <c r="IC65" s="938"/>
      <c r="ID65" s="938"/>
      <c r="IE65" s="938">
        <f t="shared" si="151"/>
        <v>0</v>
      </c>
      <c r="IF65" s="938">
        <f t="shared" si="152"/>
        <v>0</v>
      </c>
      <c r="IG65" s="938">
        <f t="shared" si="153"/>
        <v>0</v>
      </c>
      <c r="IH65" s="938">
        <f t="shared" si="154"/>
        <v>0</v>
      </c>
      <c r="II65" s="938">
        <f t="shared" si="155"/>
        <v>0</v>
      </c>
      <c r="IJ65" s="938" t="str">
        <f t="shared" si="156"/>
        <v/>
      </c>
      <c r="IK65" s="713">
        <f>'min. Düngung 22'!CE66</f>
        <v>0</v>
      </c>
      <c r="IL65" s="938"/>
      <c r="IM65" s="938"/>
      <c r="IN65" s="938">
        <f t="shared" si="157"/>
        <v>0</v>
      </c>
      <c r="IO65" s="938">
        <f t="shared" si="158"/>
        <v>0</v>
      </c>
      <c r="IP65" s="938">
        <f t="shared" si="159"/>
        <v>0</v>
      </c>
      <c r="IQ65" s="938">
        <f t="shared" si="160"/>
        <v>0</v>
      </c>
      <c r="IR65" s="938">
        <f t="shared" si="161"/>
        <v>0</v>
      </c>
      <c r="IS65" s="938" t="str">
        <f t="shared" si="162"/>
        <v/>
      </c>
      <c r="IT65" s="713">
        <f>'min. Düngung 22'!CH66</f>
        <v>0</v>
      </c>
      <c r="IU65" s="938"/>
      <c r="IV65" s="938"/>
      <c r="IW65" s="938">
        <f t="shared" si="163"/>
        <v>0</v>
      </c>
      <c r="IX65" s="938">
        <f t="shared" si="164"/>
        <v>0</v>
      </c>
      <c r="IY65" s="938">
        <f t="shared" si="165"/>
        <v>0</v>
      </c>
      <c r="IZ65" s="938">
        <f t="shared" si="166"/>
        <v>0</v>
      </c>
      <c r="JA65" s="938">
        <f t="shared" si="167"/>
        <v>0</v>
      </c>
      <c r="JB65" s="938" t="str">
        <f t="shared" si="168"/>
        <v/>
      </c>
      <c r="JC65" s="713">
        <f>'min. Düngung 22'!CK66</f>
        <v>0</v>
      </c>
      <c r="JD65" s="938"/>
      <c r="JE65" s="938"/>
      <c r="JF65" s="938">
        <f t="shared" si="169"/>
        <v>0</v>
      </c>
      <c r="JG65" s="938">
        <f t="shared" si="170"/>
        <v>0</v>
      </c>
      <c r="JH65" s="938">
        <f t="shared" si="171"/>
        <v>0</v>
      </c>
      <c r="JI65" s="938">
        <f t="shared" si="172"/>
        <v>0</v>
      </c>
      <c r="JJ65" s="938">
        <f t="shared" si="173"/>
        <v>0</v>
      </c>
      <c r="JK65" s="938" t="str">
        <f t="shared" si="174"/>
        <v/>
      </c>
      <c r="JL65" s="713">
        <f>'min. Düngung 22'!CN66</f>
        <v>0</v>
      </c>
      <c r="JM65" s="938"/>
      <c r="JN65" s="938"/>
      <c r="JO65" s="938">
        <f t="shared" si="175"/>
        <v>0</v>
      </c>
      <c r="JP65" s="938">
        <f t="shared" si="176"/>
        <v>0</v>
      </c>
      <c r="JQ65" s="938">
        <f t="shared" si="177"/>
        <v>0</v>
      </c>
      <c r="JR65" s="938">
        <f t="shared" si="178"/>
        <v>0</v>
      </c>
      <c r="JS65" s="938">
        <f t="shared" si="179"/>
        <v>0</v>
      </c>
      <c r="JT65" s="938" t="str">
        <f t="shared" si="180"/>
        <v/>
      </c>
      <c r="JU65" s="713">
        <f>'min. Düngung 22'!CQ66</f>
        <v>0</v>
      </c>
      <c r="JV65" s="938"/>
      <c r="JW65" s="938"/>
      <c r="JX65" s="938">
        <f t="shared" si="181"/>
        <v>0</v>
      </c>
      <c r="JY65" s="938">
        <f t="shared" si="182"/>
        <v>0</v>
      </c>
      <c r="JZ65" s="938">
        <f t="shared" si="183"/>
        <v>0</v>
      </c>
      <c r="KA65" s="938">
        <f t="shared" si="184"/>
        <v>0</v>
      </c>
      <c r="KB65" s="938">
        <f t="shared" si="185"/>
        <v>0</v>
      </c>
      <c r="KC65" s="938" t="str">
        <f t="shared" si="186"/>
        <v/>
      </c>
      <c r="KE65" s="938"/>
      <c r="KF65" s="938" t="str">
        <f>IF(AND($F65=2,$G65=1),"",IF(OR($Q65&gt;0,$O65&gt;60),$KF$7,IF(I65=70,"",IF(AND(I65=80,R65+'#orgDung'!AC68&lt;60,K65=1,OR(C65=2,'#BerechnungDBE'!AH59=4)),"",IF(R65&gt;0,$KF$7,"")))))</f>
        <v/>
      </c>
      <c r="KG65" s="938" t="str">
        <f>IF(AND(P65&gt;'#BerechnungDBE'!BJ59,P65&gt;0),'#minDung'!$KG$7,"")</f>
        <v/>
      </c>
      <c r="KH65" s="938" t="str">
        <f>IF(AND(I65=70,R65&gt;'#BerechnungDBE'!CR59),'#minDung'!$KH$7,"")</f>
        <v/>
      </c>
      <c r="KI65" s="938" t="str">
        <f>IF('#BerechnungDBE'!P59&lt;4,"",IF(AND('#BerechnungDBE'!BZ59&gt;0,N65&gt;0),$KI$7,""))</f>
        <v/>
      </c>
      <c r="KJ65" s="938" t="str">
        <f t="shared" si="5"/>
        <v/>
      </c>
    </row>
    <row r="66" spans="1:296" s="875" customFormat="1" hidden="1" x14ac:dyDescent="0.2">
      <c r="A66" s="875">
        <f>'Flächen u. Kulturen'!A65</f>
        <v>56</v>
      </c>
      <c r="B66" s="734">
        <f>'#BerechnungDBE'!L60</f>
        <v>0</v>
      </c>
      <c r="C66" s="46">
        <f>'#orgDung'!C69</f>
        <v>1</v>
      </c>
      <c r="D66" s="875">
        <f>'#BerechnungDBE'!T60</f>
        <v>2</v>
      </c>
      <c r="E66" s="875" t="str">
        <f>'Flächen u. Kulturen'!E65</f>
        <v>x</v>
      </c>
      <c r="F66" s="52">
        <f>'#BerechnungDBE'!N60</f>
        <v>1</v>
      </c>
      <c r="G66" s="52">
        <f>'#BerechnungDBE'!O60</f>
        <v>1</v>
      </c>
      <c r="H66" s="505">
        <f>'#orgDung'!J69</f>
        <v>2</v>
      </c>
      <c r="I66" s="875">
        <f>'#BerechnungDBE'!AF60</f>
        <v>0</v>
      </c>
      <c r="J66" s="875">
        <f>'#orgDung'!M69</f>
        <v>0</v>
      </c>
      <c r="K66" s="875">
        <f>'#BerechnungDBE'!AG60</f>
        <v>0</v>
      </c>
      <c r="M66" s="875">
        <f t="shared" si="187"/>
        <v>0</v>
      </c>
      <c r="N66" s="875">
        <f t="shared" si="188"/>
        <v>0</v>
      </c>
      <c r="O66" s="875">
        <f t="shared" si="189"/>
        <v>0</v>
      </c>
      <c r="P66" s="875">
        <f t="shared" si="190"/>
        <v>0</v>
      </c>
      <c r="Q66" s="938">
        <f t="shared" si="6"/>
        <v>0</v>
      </c>
      <c r="R66" s="875">
        <f t="shared" si="191"/>
        <v>0</v>
      </c>
      <c r="T66" s="713">
        <f>'min. Düngung 22'!H67</f>
        <v>0</v>
      </c>
      <c r="W66" s="875">
        <f t="shared" si="7"/>
        <v>0</v>
      </c>
      <c r="X66" s="875">
        <f t="shared" si="8"/>
        <v>0</v>
      </c>
      <c r="Y66" s="875">
        <f t="shared" si="9"/>
        <v>0</v>
      </c>
      <c r="Z66" s="875">
        <f t="shared" si="10"/>
        <v>0</v>
      </c>
      <c r="AA66" s="875">
        <f t="shared" si="11"/>
        <v>0</v>
      </c>
      <c r="AB66" s="875" t="str">
        <f t="shared" si="12"/>
        <v/>
      </c>
      <c r="AC66" s="713">
        <f>'min. Düngung 22'!K67</f>
        <v>0</v>
      </c>
      <c r="AD66" s="938"/>
      <c r="AE66" s="938"/>
      <c r="AF66" s="938">
        <f t="shared" si="13"/>
        <v>0</v>
      </c>
      <c r="AG66" s="938">
        <f t="shared" si="14"/>
        <v>0</v>
      </c>
      <c r="AH66" s="938">
        <f t="shared" si="15"/>
        <v>0</v>
      </c>
      <c r="AI66" s="938">
        <f t="shared" si="16"/>
        <v>0</v>
      </c>
      <c r="AJ66" s="938">
        <f t="shared" si="17"/>
        <v>0</v>
      </c>
      <c r="AK66" s="938">
        <f t="shared" si="18"/>
        <v>0</v>
      </c>
      <c r="AL66" s="713">
        <f>'min. Düngung 22'!N67</f>
        <v>0</v>
      </c>
      <c r="AM66" s="938"/>
      <c r="AN66" s="938"/>
      <c r="AO66" s="938">
        <f t="shared" si="19"/>
        <v>0</v>
      </c>
      <c r="AP66" s="938">
        <f t="shared" si="20"/>
        <v>0</v>
      </c>
      <c r="AQ66" s="938">
        <f t="shared" si="21"/>
        <v>0</v>
      </c>
      <c r="AR66" s="938">
        <f t="shared" si="22"/>
        <v>0</v>
      </c>
      <c r="AS66" s="938">
        <f t="shared" si="23"/>
        <v>0</v>
      </c>
      <c r="AT66" s="938" t="str">
        <f t="shared" si="24"/>
        <v/>
      </c>
      <c r="AU66" s="713">
        <f>'min. Düngung 22'!Q67</f>
        <v>0</v>
      </c>
      <c r="AV66" s="938"/>
      <c r="AW66" s="938"/>
      <c r="AX66" s="938">
        <f t="shared" si="25"/>
        <v>0</v>
      </c>
      <c r="AY66" s="938">
        <f t="shared" si="26"/>
        <v>0</v>
      </c>
      <c r="AZ66" s="938">
        <f t="shared" si="27"/>
        <v>0</v>
      </c>
      <c r="BA66" s="938">
        <f t="shared" si="28"/>
        <v>0</v>
      </c>
      <c r="BB66" s="938">
        <f t="shared" si="29"/>
        <v>0</v>
      </c>
      <c r="BC66" s="938" t="str">
        <f t="shared" si="30"/>
        <v/>
      </c>
      <c r="BD66" s="713">
        <f>'min. Düngung 22'!T67</f>
        <v>0</v>
      </c>
      <c r="BE66" s="938"/>
      <c r="BF66" s="938"/>
      <c r="BG66" s="938">
        <f t="shared" si="31"/>
        <v>0</v>
      </c>
      <c r="BH66" s="938">
        <f t="shared" si="32"/>
        <v>0</v>
      </c>
      <c r="BI66" s="938">
        <f t="shared" si="33"/>
        <v>0</v>
      </c>
      <c r="BJ66" s="938">
        <f t="shared" si="34"/>
        <v>0</v>
      </c>
      <c r="BK66" s="938">
        <f t="shared" si="35"/>
        <v>0</v>
      </c>
      <c r="BL66" s="938" t="str">
        <f t="shared" si="36"/>
        <v/>
      </c>
      <c r="BM66" s="713">
        <f>'min. Düngung 22'!W67</f>
        <v>0</v>
      </c>
      <c r="BN66" s="938"/>
      <c r="BO66" s="938"/>
      <c r="BP66" s="938">
        <f t="shared" si="37"/>
        <v>0</v>
      </c>
      <c r="BQ66" s="938">
        <f t="shared" si="38"/>
        <v>0</v>
      </c>
      <c r="BR66" s="938">
        <f t="shared" si="39"/>
        <v>0</v>
      </c>
      <c r="BS66" s="938">
        <f t="shared" si="40"/>
        <v>0</v>
      </c>
      <c r="BT66" s="938">
        <f t="shared" si="41"/>
        <v>0</v>
      </c>
      <c r="BU66" s="938" t="str">
        <f t="shared" si="42"/>
        <v/>
      </c>
      <c r="BV66" s="713">
        <f>'min. Düngung 22'!Z67</f>
        <v>0</v>
      </c>
      <c r="BW66" s="938"/>
      <c r="BX66" s="938"/>
      <c r="BY66" s="938">
        <f t="shared" si="43"/>
        <v>0</v>
      </c>
      <c r="BZ66" s="938">
        <f t="shared" si="44"/>
        <v>0</v>
      </c>
      <c r="CA66" s="938">
        <f t="shared" si="45"/>
        <v>0</v>
      </c>
      <c r="CB66" s="938">
        <f t="shared" si="46"/>
        <v>0</v>
      </c>
      <c r="CC66" s="938">
        <f t="shared" si="47"/>
        <v>0</v>
      </c>
      <c r="CD66" s="938" t="str">
        <f t="shared" si="48"/>
        <v/>
      </c>
      <c r="CE66" s="713">
        <f>'min. Düngung 22'!AC67</f>
        <v>0</v>
      </c>
      <c r="CF66" s="938"/>
      <c r="CG66" s="938"/>
      <c r="CH66" s="938">
        <f t="shared" si="49"/>
        <v>0</v>
      </c>
      <c r="CI66" s="938">
        <f t="shared" si="50"/>
        <v>0</v>
      </c>
      <c r="CJ66" s="938">
        <f t="shared" si="51"/>
        <v>0</v>
      </c>
      <c r="CK66" s="938">
        <f t="shared" si="52"/>
        <v>0</v>
      </c>
      <c r="CL66" s="938">
        <f t="shared" si="53"/>
        <v>0</v>
      </c>
      <c r="CM66" s="938" t="str">
        <f t="shared" si="54"/>
        <v/>
      </c>
      <c r="CN66" s="713">
        <f>'min. Düngung 22'!AF67</f>
        <v>0</v>
      </c>
      <c r="CO66" s="938"/>
      <c r="CP66" s="938"/>
      <c r="CQ66" s="938">
        <f t="shared" si="55"/>
        <v>0</v>
      </c>
      <c r="CR66" s="938">
        <f t="shared" si="56"/>
        <v>0</v>
      </c>
      <c r="CS66" s="938">
        <f t="shared" si="57"/>
        <v>0</v>
      </c>
      <c r="CT66" s="938">
        <f t="shared" si="58"/>
        <v>0</v>
      </c>
      <c r="CU66" s="938">
        <f t="shared" si="59"/>
        <v>0</v>
      </c>
      <c r="CV66" s="938" t="str">
        <f t="shared" si="60"/>
        <v/>
      </c>
      <c r="CW66" s="713">
        <f>'min. Düngung 22'!AI67</f>
        <v>0</v>
      </c>
      <c r="CX66" s="938"/>
      <c r="CY66" s="938"/>
      <c r="CZ66" s="938">
        <f t="shared" si="61"/>
        <v>0</v>
      </c>
      <c r="DA66" s="938">
        <f t="shared" si="62"/>
        <v>0</v>
      </c>
      <c r="DB66" s="938">
        <f t="shared" si="63"/>
        <v>0</v>
      </c>
      <c r="DC66" s="938">
        <f t="shared" si="64"/>
        <v>0</v>
      </c>
      <c r="DD66" s="938">
        <f t="shared" si="65"/>
        <v>0</v>
      </c>
      <c r="DE66" s="938" t="str">
        <f t="shared" si="66"/>
        <v/>
      </c>
      <c r="DF66" s="713">
        <f>'min. Düngung 22'!AL67</f>
        <v>0</v>
      </c>
      <c r="DG66" s="938"/>
      <c r="DH66" s="938"/>
      <c r="DI66" s="938">
        <f t="shared" si="67"/>
        <v>0</v>
      </c>
      <c r="DJ66" s="938">
        <f t="shared" si="68"/>
        <v>0</v>
      </c>
      <c r="DK66" s="938">
        <f t="shared" si="69"/>
        <v>0</v>
      </c>
      <c r="DL66" s="938">
        <f t="shared" si="70"/>
        <v>0</v>
      </c>
      <c r="DM66" s="938">
        <f t="shared" si="71"/>
        <v>0</v>
      </c>
      <c r="DN66" s="938" t="str">
        <f t="shared" si="72"/>
        <v/>
      </c>
      <c r="DO66" s="713">
        <f>'min. Düngung 22'!AO67</f>
        <v>0</v>
      </c>
      <c r="DP66" s="938"/>
      <c r="DQ66" s="938"/>
      <c r="DR66" s="938">
        <f t="shared" si="73"/>
        <v>0</v>
      </c>
      <c r="DS66" s="938">
        <f t="shared" si="74"/>
        <v>0</v>
      </c>
      <c r="DT66" s="938">
        <f t="shared" si="75"/>
        <v>0</v>
      </c>
      <c r="DU66" s="938">
        <f t="shared" si="76"/>
        <v>0</v>
      </c>
      <c r="DV66" s="938">
        <f t="shared" si="77"/>
        <v>0</v>
      </c>
      <c r="DW66" s="938" t="str">
        <f t="shared" si="78"/>
        <v/>
      </c>
      <c r="DX66" s="713">
        <f>'min. Düngung 22'!AR67</f>
        <v>0</v>
      </c>
      <c r="DY66" s="938"/>
      <c r="DZ66" s="938"/>
      <c r="EA66" s="938">
        <f t="shared" si="79"/>
        <v>0</v>
      </c>
      <c r="EB66" s="938">
        <f t="shared" si="80"/>
        <v>0</v>
      </c>
      <c r="EC66" s="938">
        <f t="shared" si="81"/>
        <v>0</v>
      </c>
      <c r="ED66" s="938">
        <f t="shared" si="82"/>
        <v>0</v>
      </c>
      <c r="EE66" s="938">
        <f t="shared" si="83"/>
        <v>0</v>
      </c>
      <c r="EF66" s="938" t="str">
        <f t="shared" si="84"/>
        <v/>
      </c>
      <c r="EG66" s="713">
        <f>'min. Düngung 22'!AU67</f>
        <v>0</v>
      </c>
      <c r="EH66" s="938"/>
      <c r="EI66" s="938"/>
      <c r="EJ66" s="938">
        <f t="shared" si="85"/>
        <v>0</v>
      </c>
      <c r="EK66" s="938">
        <f t="shared" si="86"/>
        <v>0</v>
      </c>
      <c r="EL66" s="938">
        <f t="shared" si="87"/>
        <v>0</v>
      </c>
      <c r="EM66" s="938">
        <f t="shared" si="88"/>
        <v>0</v>
      </c>
      <c r="EN66" s="938">
        <f t="shared" si="89"/>
        <v>0</v>
      </c>
      <c r="EO66" s="938" t="str">
        <f t="shared" si="90"/>
        <v/>
      </c>
      <c r="EP66" s="713">
        <f>'min. Düngung 22'!AX67</f>
        <v>0</v>
      </c>
      <c r="EQ66" s="938"/>
      <c r="ER66" s="938"/>
      <c r="ES66" s="938">
        <f t="shared" si="91"/>
        <v>0</v>
      </c>
      <c r="ET66" s="938">
        <f t="shared" si="92"/>
        <v>0</v>
      </c>
      <c r="EU66" s="938">
        <f t="shared" si="93"/>
        <v>0</v>
      </c>
      <c r="EV66" s="938">
        <f t="shared" si="94"/>
        <v>0</v>
      </c>
      <c r="EW66" s="938">
        <f t="shared" si="95"/>
        <v>0</v>
      </c>
      <c r="EX66" s="938" t="str">
        <f t="shared" si="96"/>
        <v/>
      </c>
      <c r="EY66" s="713">
        <f>'min. Düngung 22'!BA67</f>
        <v>0</v>
      </c>
      <c r="EZ66" s="938"/>
      <c r="FA66" s="938"/>
      <c r="FB66" s="938">
        <f t="shared" si="97"/>
        <v>0</v>
      </c>
      <c r="FC66" s="938">
        <f t="shared" si="98"/>
        <v>0</v>
      </c>
      <c r="FD66" s="938">
        <f t="shared" si="99"/>
        <v>0</v>
      </c>
      <c r="FE66" s="938">
        <f t="shared" si="100"/>
        <v>0</v>
      </c>
      <c r="FF66" s="938">
        <f t="shared" si="101"/>
        <v>0</v>
      </c>
      <c r="FG66" s="938" t="str">
        <f t="shared" si="102"/>
        <v/>
      </c>
      <c r="FH66" s="713">
        <f>'min. Düngung 22'!BD67</f>
        <v>0</v>
      </c>
      <c r="FI66" s="938"/>
      <c r="FJ66" s="938"/>
      <c r="FK66" s="938">
        <f t="shared" si="103"/>
        <v>0</v>
      </c>
      <c r="FL66" s="938">
        <f t="shared" si="104"/>
        <v>0</v>
      </c>
      <c r="FM66" s="938">
        <f t="shared" si="105"/>
        <v>0</v>
      </c>
      <c r="FN66" s="938">
        <f t="shared" si="106"/>
        <v>0</v>
      </c>
      <c r="FO66" s="938">
        <f t="shared" si="107"/>
        <v>0</v>
      </c>
      <c r="FP66" s="938" t="str">
        <f t="shared" si="108"/>
        <v/>
      </c>
      <c r="FQ66" s="713">
        <f>'min. Düngung 22'!BG67</f>
        <v>0</v>
      </c>
      <c r="FR66" s="938"/>
      <c r="FS66" s="938"/>
      <c r="FT66" s="938">
        <f t="shared" si="109"/>
        <v>0</v>
      </c>
      <c r="FU66" s="938">
        <f t="shared" si="110"/>
        <v>0</v>
      </c>
      <c r="FV66" s="938">
        <f t="shared" si="111"/>
        <v>0</v>
      </c>
      <c r="FW66" s="938">
        <f t="shared" si="112"/>
        <v>0</v>
      </c>
      <c r="FX66" s="938">
        <f t="shared" si="113"/>
        <v>0</v>
      </c>
      <c r="FY66" s="938" t="str">
        <f t="shared" si="114"/>
        <v/>
      </c>
      <c r="FZ66" s="713">
        <f>'min. Düngung 22'!BJ67</f>
        <v>0</v>
      </c>
      <c r="GA66" s="938"/>
      <c r="GB66" s="938"/>
      <c r="GC66" s="938">
        <f t="shared" si="115"/>
        <v>0</v>
      </c>
      <c r="GD66" s="938">
        <f t="shared" si="116"/>
        <v>0</v>
      </c>
      <c r="GE66" s="938">
        <f t="shared" si="117"/>
        <v>0</v>
      </c>
      <c r="GF66" s="938">
        <f t="shared" si="118"/>
        <v>0</v>
      </c>
      <c r="GG66" s="938">
        <f t="shared" si="119"/>
        <v>0</v>
      </c>
      <c r="GH66" s="938" t="str">
        <f t="shared" si="120"/>
        <v/>
      </c>
      <c r="GI66" s="713">
        <f>'min. Düngung 22'!BM67</f>
        <v>0</v>
      </c>
      <c r="GJ66" s="938"/>
      <c r="GK66" s="938"/>
      <c r="GL66" s="938">
        <f t="shared" si="121"/>
        <v>0</v>
      </c>
      <c r="GM66" s="938">
        <f t="shared" si="122"/>
        <v>0</v>
      </c>
      <c r="GN66" s="938">
        <f t="shared" si="123"/>
        <v>0</v>
      </c>
      <c r="GO66" s="938">
        <f t="shared" si="124"/>
        <v>0</v>
      </c>
      <c r="GP66" s="938">
        <f t="shared" si="125"/>
        <v>0</v>
      </c>
      <c r="GQ66" s="938" t="str">
        <f t="shared" si="126"/>
        <v/>
      </c>
      <c r="GR66" s="713">
        <f>'min. Düngung 22'!BP67</f>
        <v>0</v>
      </c>
      <c r="GS66" s="938"/>
      <c r="GT66" s="938"/>
      <c r="GU66" s="938">
        <f t="shared" si="127"/>
        <v>0</v>
      </c>
      <c r="GV66" s="938">
        <f t="shared" si="128"/>
        <v>0</v>
      </c>
      <c r="GW66" s="938">
        <f t="shared" si="129"/>
        <v>0</v>
      </c>
      <c r="GX66" s="938">
        <f t="shared" si="130"/>
        <v>0</v>
      </c>
      <c r="GY66" s="938">
        <f t="shared" si="131"/>
        <v>0</v>
      </c>
      <c r="GZ66" s="938" t="str">
        <f t="shared" si="132"/>
        <v/>
      </c>
      <c r="HA66" s="713">
        <f>'min. Düngung 22'!BS67</f>
        <v>0</v>
      </c>
      <c r="HB66" s="938"/>
      <c r="HC66" s="938"/>
      <c r="HD66" s="938">
        <f t="shared" si="133"/>
        <v>0</v>
      </c>
      <c r="HE66" s="938">
        <f t="shared" si="134"/>
        <v>0</v>
      </c>
      <c r="HF66" s="938">
        <f t="shared" si="135"/>
        <v>0</v>
      </c>
      <c r="HG66" s="938">
        <f t="shared" si="136"/>
        <v>0</v>
      </c>
      <c r="HH66" s="938">
        <f t="shared" si="137"/>
        <v>0</v>
      </c>
      <c r="HI66" s="938" t="str">
        <f t="shared" si="138"/>
        <v/>
      </c>
      <c r="HJ66" s="713">
        <f>'min. Düngung 22'!BV67</f>
        <v>0</v>
      </c>
      <c r="HK66" s="938"/>
      <c r="HL66" s="938"/>
      <c r="HM66" s="938">
        <f t="shared" si="139"/>
        <v>0</v>
      </c>
      <c r="HN66" s="938">
        <f t="shared" si="140"/>
        <v>0</v>
      </c>
      <c r="HO66" s="938">
        <f t="shared" si="141"/>
        <v>0</v>
      </c>
      <c r="HP66" s="938">
        <f t="shared" si="142"/>
        <v>0</v>
      </c>
      <c r="HQ66" s="938">
        <f t="shared" si="143"/>
        <v>0</v>
      </c>
      <c r="HR66" s="938" t="str">
        <f t="shared" si="144"/>
        <v/>
      </c>
      <c r="HS66" s="713">
        <f>'min. Düngung 22'!BY67</f>
        <v>0</v>
      </c>
      <c r="HT66" s="938"/>
      <c r="HU66" s="938"/>
      <c r="HV66" s="938">
        <f t="shared" si="145"/>
        <v>0</v>
      </c>
      <c r="HW66" s="938">
        <f t="shared" si="146"/>
        <v>0</v>
      </c>
      <c r="HX66" s="938">
        <f t="shared" si="147"/>
        <v>0</v>
      </c>
      <c r="HY66" s="938">
        <f t="shared" si="148"/>
        <v>0</v>
      </c>
      <c r="HZ66" s="938">
        <f t="shared" si="149"/>
        <v>0</v>
      </c>
      <c r="IA66" s="938" t="str">
        <f t="shared" si="150"/>
        <v/>
      </c>
      <c r="IB66" s="713">
        <f>'min. Düngung 22'!CB67</f>
        <v>0</v>
      </c>
      <c r="IC66" s="938"/>
      <c r="ID66" s="938"/>
      <c r="IE66" s="938">
        <f t="shared" si="151"/>
        <v>0</v>
      </c>
      <c r="IF66" s="938">
        <f t="shared" si="152"/>
        <v>0</v>
      </c>
      <c r="IG66" s="938">
        <f t="shared" si="153"/>
        <v>0</v>
      </c>
      <c r="IH66" s="938">
        <f t="shared" si="154"/>
        <v>0</v>
      </c>
      <c r="II66" s="938">
        <f t="shared" si="155"/>
        <v>0</v>
      </c>
      <c r="IJ66" s="938" t="str">
        <f t="shared" si="156"/>
        <v/>
      </c>
      <c r="IK66" s="713">
        <f>'min. Düngung 22'!CE67</f>
        <v>0</v>
      </c>
      <c r="IL66" s="938"/>
      <c r="IM66" s="938"/>
      <c r="IN66" s="938">
        <f t="shared" si="157"/>
        <v>0</v>
      </c>
      <c r="IO66" s="938">
        <f t="shared" si="158"/>
        <v>0</v>
      </c>
      <c r="IP66" s="938">
        <f t="shared" si="159"/>
        <v>0</v>
      </c>
      <c r="IQ66" s="938">
        <f t="shared" si="160"/>
        <v>0</v>
      </c>
      <c r="IR66" s="938">
        <f t="shared" si="161"/>
        <v>0</v>
      </c>
      <c r="IS66" s="938" t="str">
        <f t="shared" si="162"/>
        <v/>
      </c>
      <c r="IT66" s="713">
        <f>'min. Düngung 22'!CH67</f>
        <v>0</v>
      </c>
      <c r="IU66" s="938"/>
      <c r="IV66" s="938"/>
      <c r="IW66" s="938">
        <f t="shared" si="163"/>
        <v>0</v>
      </c>
      <c r="IX66" s="938">
        <f t="shared" si="164"/>
        <v>0</v>
      </c>
      <c r="IY66" s="938">
        <f t="shared" si="165"/>
        <v>0</v>
      </c>
      <c r="IZ66" s="938">
        <f t="shared" si="166"/>
        <v>0</v>
      </c>
      <c r="JA66" s="938">
        <f t="shared" si="167"/>
        <v>0</v>
      </c>
      <c r="JB66" s="938" t="str">
        <f t="shared" si="168"/>
        <v/>
      </c>
      <c r="JC66" s="713">
        <f>'min. Düngung 22'!CK67</f>
        <v>0</v>
      </c>
      <c r="JD66" s="938"/>
      <c r="JE66" s="938"/>
      <c r="JF66" s="938">
        <f t="shared" si="169"/>
        <v>0</v>
      </c>
      <c r="JG66" s="938">
        <f t="shared" si="170"/>
        <v>0</v>
      </c>
      <c r="JH66" s="938">
        <f t="shared" si="171"/>
        <v>0</v>
      </c>
      <c r="JI66" s="938">
        <f t="shared" si="172"/>
        <v>0</v>
      </c>
      <c r="JJ66" s="938">
        <f t="shared" si="173"/>
        <v>0</v>
      </c>
      <c r="JK66" s="938" t="str">
        <f t="shared" si="174"/>
        <v/>
      </c>
      <c r="JL66" s="713">
        <f>'min. Düngung 22'!CN67</f>
        <v>0</v>
      </c>
      <c r="JM66" s="938"/>
      <c r="JN66" s="938"/>
      <c r="JO66" s="938">
        <f t="shared" si="175"/>
        <v>0</v>
      </c>
      <c r="JP66" s="938">
        <f t="shared" si="176"/>
        <v>0</v>
      </c>
      <c r="JQ66" s="938">
        <f t="shared" si="177"/>
        <v>0</v>
      </c>
      <c r="JR66" s="938">
        <f t="shared" si="178"/>
        <v>0</v>
      </c>
      <c r="JS66" s="938">
        <f t="shared" si="179"/>
        <v>0</v>
      </c>
      <c r="JT66" s="938" t="str">
        <f t="shared" si="180"/>
        <v/>
      </c>
      <c r="JU66" s="713">
        <f>'min. Düngung 22'!CQ67</f>
        <v>0</v>
      </c>
      <c r="JV66" s="938"/>
      <c r="JW66" s="938"/>
      <c r="JX66" s="938">
        <f t="shared" si="181"/>
        <v>0</v>
      </c>
      <c r="JY66" s="938">
        <f t="shared" si="182"/>
        <v>0</v>
      </c>
      <c r="JZ66" s="938">
        <f t="shared" si="183"/>
        <v>0</v>
      </c>
      <c r="KA66" s="938">
        <f t="shared" si="184"/>
        <v>0</v>
      </c>
      <c r="KB66" s="938">
        <f t="shared" si="185"/>
        <v>0</v>
      </c>
      <c r="KC66" s="938" t="str">
        <f t="shared" si="186"/>
        <v/>
      </c>
      <c r="KE66" s="938"/>
      <c r="KF66" s="938" t="str">
        <f>IF(AND($F66=2,$G66=1),"",IF(OR($Q66&gt;0,$O66&gt;60),$KF$7,IF(I66=70,"",IF(AND(I66=80,R66+'#orgDung'!AC69&lt;60,K66=1,OR(C66=2,'#BerechnungDBE'!AH60=4)),"",IF(R66&gt;0,$KF$7,"")))))</f>
        <v/>
      </c>
      <c r="KG66" s="938" t="str">
        <f>IF(AND(P66&gt;'#BerechnungDBE'!BJ60,P66&gt;0),'#minDung'!$KG$7,"")</f>
        <v/>
      </c>
      <c r="KH66" s="938" t="str">
        <f>IF(AND(I66=70,R66&gt;'#BerechnungDBE'!CR60),'#minDung'!$KH$7,"")</f>
        <v/>
      </c>
      <c r="KI66" s="938" t="str">
        <f>IF('#BerechnungDBE'!P60&lt;4,"",IF(AND('#BerechnungDBE'!BZ60&gt;0,N66&gt;0),$KI$7,""))</f>
        <v/>
      </c>
      <c r="KJ66" s="938" t="str">
        <f t="shared" si="5"/>
        <v/>
      </c>
    </row>
    <row r="67" spans="1:296" s="875" customFormat="1" hidden="1" x14ac:dyDescent="0.2">
      <c r="A67" s="875">
        <f>'Flächen u. Kulturen'!A66</f>
        <v>57</v>
      </c>
      <c r="B67" s="734">
        <f>'#BerechnungDBE'!L61</f>
        <v>0</v>
      </c>
      <c r="C67" s="46">
        <f>'#orgDung'!C70</f>
        <v>1</v>
      </c>
      <c r="D67" s="875">
        <f>'#BerechnungDBE'!T61</f>
        <v>2</v>
      </c>
      <c r="E67" s="875" t="str">
        <f>'Flächen u. Kulturen'!E66</f>
        <v>x</v>
      </c>
      <c r="F67" s="52">
        <f>'#BerechnungDBE'!N61</f>
        <v>1</v>
      </c>
      <c r="G67" s="52">
        <f>'#BerechnungDBE'!O61</f>
        <v>1</v>
      </c>
      <c r="H67" s="505">
        <f>'#orgDung'!J70</f>
        <v>2</v>
      </c>
      <c r="I67" s="875">
        <f>'#BerechnungDBE'!AF61</f>
        <v>0</v>
      </c>
      <c r="J67" s="875">
        <f>'#orgDung'!M70</f>
        <v>0</v>
      </c>
      <c r="K67" s="875">
        <f>'#BerechnungDBE'!AG61</f>
        <v>0</v>
      </c>
      <c r="M67" s="875">
        <f t="shared" si="187"/>
        <v>0</v>
      </c>
      <c r="N67" s="875">
        <f t="shared" si="188"/>
        <v>0</v>
      </c>
      <c r="O67" s="875">
        <f t="shared" si="189"/>
        <v>0</v>
      </c>
      <c r="P67" s="875">
        <f t="shared" si="190"/>
        <v>0</v>
      </c>
      <c r="Q67" s="938">
        <f t="shared" si="6"/>
        <v>0</v>
      </c>
      <c r="R67" s="875">
        <f t="shared" si="191"/>
        <v>0</v>
      </c>
      <c r="T67" s="713">
        <f>'min. Düngung 22'!H68</f>
        <v>0</v>
      </c>
      <c r="W67" s="875">
        <f t="shared" si="7"/>
        <v>0</v>
      </c>
      <c r="X67" s="875">
        <f t="shared" si="8"/>
        <v>0</v>
      </c>
      <c r="Y67" s="875">
        <f t="shared" si="9"/>
        <v>0</v>
      </c>
      <c r="Z67" s="875">
        <f t="shared" si="10"/>
        <v>0</v>
      </c>
      <c r="AA67" s="875">
        <f t="shared" si="11"/>
        <v>0</v>
      </c>
      <c r="AB67" s="875" t="str">
        <f t="shared" si="12"/>
        <v/>
      </c>
      <c r="AC67" s="713">
        <f>'min. Düngung 22'!K68</f>
        <v>0</v>
      </c>
      <c r="AD67" s="938"/>
      <c r="AE67" s="938"/>
      <c r="AF67" s="938">
        <f t="shared" si="13"/>
        <v>0</v>
      </c>
      <c r="AG67" s="938">
        <f t="shared" si="14"/>
        <v>0</v>
      </c>
      <c r="AH67" s="938">
        <f t="shared" si="15"/>
        <v>0</v>
      </c>
      <c r="AI67" s="938">
        <f t="shared" si="16"/>
        <v>0</v>
      </c>
      <c r="AJ67" s="938">
        <f t="shared" si="17"/>
        <v>0</v>
      </c>
      <c r="AK67" s="938">
        <f t="shared" si="18"/>
        <v>0</v>
      </c>
      <c r="AL67" s="713">
        <f>'min. Düngung 22'!N68</f>
        <v>0</v>
      </c>
      <c r="AM67" s="938"/>
      <c r="AN67" s="938"/>
      <c r="AO67" s="938">
        <f t="shared" si="19"/>
        <v>0</v>
      </c>
      <c r="AP67" s="938">
        <f t="shared" si="20"/>
        <v>0</v>
      </c>
      <c r="AQ67" s="938">
        <f t="shared" si="21"/>
        <v>0</v>
      </c>
      <c r="AR67" s="938">
        <f t="shared" si="22"/>
        <v>0</v>
      </c>
      <c r="AS67" s="938">
        <f t="shared" si="23"/>
        <v>0</v>
      </c>
      <c r="AT67" s="938" t="str">
        <f t="shared" si="24"/>
        <v/>
      </c>
      <c r="AU67" s="713">
        <f>'min. Düngung 22'!Q68</f>
        <v>0</v>
      </c>
      <c r="AV67" s="938"/>
      <c r="AW67" s="938"/>
      <c r="AX67" s="938">
        <f t="shared" si="25"/>
        <v>0</v>
      </c>
      <c r="AY67" s="938">
        <f t="shared" si="26"/>
        <v>0</v>
      </c>
      <c r="AZ67" s="938">
        <f t="shared" si="27"/>
        <v>0</v>
      </c>
      <c r="BA67" s="938">
        <f t="shared" si="28"/>
        <v>0</v>
      </c>
      <c r="BB67" s="938">
        <f t="shared" si="29"/>
        <v>0</v>
      </c>
      <c r="BC67" s="938" t="str">
        <f t="shared" si="30"/>
        <v/>
      </c>
      <c r="BD67" s="713">
        <f>'min. Düngung 22'!T68</f>
        <v>0</v>
      </c>
      <c r="BE67" s="938"/>
      <c r="BF67" s="938"/>
      <c r="BG67" s="938">
        <f t="shared" si="31"/>
        <v>0</v>
      </c>
      <c r="BH67" s="938">
        <f t="shared" si="32"/>
        <v>0</v>
      </c>
      <c r="BI67" s="938">
        <f t="shared" si="33"/>
        <v>0</v>
      </c>
      <c r="BJ67" s="938">
        <f t="shared" si="34"/>
        <v>0</v>
      </c>
      <c r="BK67" s="938">
        <f t="shared" si="35"/>
        <v>0</v>
      </c>
      <c r="BL67" s="938" t="str">
        <f t="shared" si="36"/>
        <v/>
      </c>
      <c r="BM67" s="713">
        <f>'min. Düngung 22'!W68</f>
        <v>0</v>
      </c>
      <c r="BN67" s="938"/>
      <c r="BO67" s="938"/>
      <c r="BP67" s="938">
        <f t="shared" si="37"/>
        <v>0</v>
      </c>
      <c r="BQ67" s="938">
        <f t="shared" si="38"/>
        <v>0</v>
      </c>
      <c r="BR67" s="938">
        <f t="shared" si="39"/>
        <v>0</v>
      </c>
      <c r="BS67" s="938">
        <f t="shared" si="40"/>
        <v>0</v>
      </c>
      <c r="BT67" s="938">
        <f t="shared" si="41"/>
        <v>0</v>
      </c>
      <c r="BU67" s="938" t="str">
        <f t="shared" si="42"/>
        <v/>
      </c>
      <c r="BV67" s="713">
        <f>'min. Düngung 22'!Z68</f>
        <v>0</v>
      </c>
      <c r="BW67" s="938"/>
      <c r="BX67" s="938"/>
      <c r="BY67" s="938">
        <f t="shared" si="43"/>
        <v>0</v>
      </c>
      <c r="BZ67" s="938">
        <f t="shared" si="44"/>
        <v>0</v>
      </c>
      <c r="CA67" s="938">
        <f t="shared" si="45"/>
        <v>0</v>
      </c>
      <c r="CB67" s="938">
        <f t="shared" si="46"/>
        <v>0</v>
      </c>
      <c r="CC67" s="938">
        <f t="shared" si="47"/>
        <v>0</v>
      </c>
      <c r="CD67" s="938" t="str">
        <f t="shared" si="48"/>
        <v/>
      </c>
      <c r="CE67" s="713">
        <f>'min. Düngung 22'!AC68</f>
        <v>0</v>
      </c>
      <c r="CF67" s="938"/>
      <c r="CG67" s="938"/>
      <c r="CH67" s="938">
        <f t="shared" si="49"/>
        <v>0</v>
      </c>
      <c r="CI67" s="938">
        <f t="shared" si="50"/>
        <v>0</v>
      </c>
      <c r="CJ67" s="938">
        <f t="shared" si="51"/>
        <v>0</v>
      </c>
      <c r="CK67" s="938">
        <f t="shared" si="52"/>
        <v>0</v>
      </c>
      <c r="CL67" s="938">
        <f t="shared" si="53"/>
        <v>0</v>
      </c>
      <c r="CM67" s="938" t="str">
        <f t="shared" si="54"/>
        <v/>
      </c>
      <c r="CN67" s="713">
        <f>'min. Düngung 22'!AF68</f>
        <v>0</v>
      </c>
      <c r="CO67" s="938"/>
      <c r="CP67" s="938"/>
      <c r="CQ67" s="938">
        <f t="shared" si="55"/>
        <v>0</v>
      </c>
      <c r="CR67" s="938">
        <f t="shared" si="56"/>
        <v>0</v>
      </c>
      <c r="CS67" s="938">
        <f t="shared" si="57"/>
        <v>0</v>
      </c>
      <c r="CT67" s="938">
        <f t="shared" si="58"/>
        <v>0</v>
      </c>
      <c r="CU67" s="938">
        <f t="shared" si="59"/>
        <v>0</v>
      </c>
      <c r="CV67" s="938" t="str">
        <f t="shared" si="60"/>
        <v/>
      </c>
      <c r="CW67" s="713">
        <f>'min. Düngung 22'!AI68</f>
        <v>0</v>
      </c>
      <c r="CX67" s="938"/>
      <c r="CY67" s="938"/>
      <c r="CZ67" s="938">
        <f t="shared" si="61"/>
        <v>0</v>
      </c>
      <c r="DA67" s="938">
        <f t="shared" si="62"/>
        <v>0</v>
      </c>
      <c r="DB67" s="938">
        <f t="shared" si="63"/>
        <v>0</v>
      </c>
      <c r="DC67" s="938">
        <f t="shared" si="64"/>
        <v>0</v>
      </c>
      <c r="DD67" s="938">
        <f t="shared" si="65"/>
        <v>0</v>
      </c>
      <c r="DE67" s="938" t="str">
        <f t="shared" si="66"/>
        <v/>
      </c>
      <c r="DF67" s="713">
        <f>'min. Düngung 22'!AL68</f>
        <v>0</v>
      </c>
      <c r="DG67" s="938"/>
      <c r="DH67" s="938"/>
      <c r="DI67" s="938">
        <f t="shared" si="67"/>
        <v>0</v>
      </c>
      <c r="DJ67" s="938">
        <f t="shared" si="68"/>
        <v>0</v>
      </c>
      <c r="DK67" s="938">
        <f t="shared" si="69"/>
        <v>0</v>
      </c>
      <c r="DL67" s="938">
        <f t="shared" si="70"/>
        <v>0</v>
      </c>
      <c r="DM67" s="938">
        <f t="shared" si="71"/>
        <v>0</v>
      </c>
      <c r="DN67" s="938" t="str">
        <f t="shared" si="72"/>
        <v/>
      </c>
      <c r="DO67" s="713">
        <f>'min. Düngung 22'!AO68</f>
        <v>0</v>
      </c>
      <c r="DP67" s="938"/>
      <c r="DQ67" s="938"/>
      <c r="DR67" s="938">
        <f t="shared" si="73"/>
        <v>0</v>
      </c>
      <c r="DS67" s="938">
        <f t="shared" si="74"/>
        <v>0</v>
      </c>
      <c r="DT67" s="938">
        <f t="shared" si="75"/>
        <v>0</v>
      </c>
      <c r="DU67" s="938">
        <f t="shared" si="76"/>
        <v>0</v>
      </c>
      <c r="DV67" s="938">
        <f t="shared" si="77"/>
        <v>0</v>
      </c>
      <c r="DW67" s="938" t="str">
        <f t="shared" si="78"/>
        <v/>
      </c>
      <c r="DX67" s="713">
        <f>'min. Düngung 22'!AR68</f>
        <v>0</v>
      </c>
      <c r="DY67" s="938"/>
      <c r="DZ67" s="938"/>
      <c r="EA67" s="938">
        <f t="shared" si="79"/>
        <v>0</v>
      </c>
      <c r="EB67" s="938">
        <f t="shared" si="80"/>
        <v>0</v>
      </c>
      <c r="EC67" s="938">
        <f t="shared" si="81"/>
        <v>0</v>
      </c>
      <c r="ED67" s="938">
        <f t="shared" si="82"/>
        <v>0</v>
      </c>
      <c r="EE67" s="938">
        <f t="shared" si="83"/>
        <v>0</v>
      </c>
      <c r="EF67" s="938" t="str">
        <f t="shared" si="84"/>
        <v/>
      </c>
      <c r="EG67" s="713">
        <f>'min. Düngung 22'!AU68</f>
        <v>0</v>
      </c>
      <c r="EH67" s="938"/>
      <c r="EI67" s="938"/>
      <c r="EJ67" s="938">
        <f t="shared" si="85"/>
        <v>0</v>
      </c>
      <c r="EK67" s="938">
        <f t="shared" si="86"/>
        <v>0</v>
      </c>
      <c r="EL67" s="938">
        <f t="shared" si="87"/>
        <v>0</v>
      </c>
      <c r="EM67" s="938">
        <f t="shared" si="88"/>
        <v>0</v>
      </c>
      <c r="EN67" s="938">
        <f t="shared" si="89"/>
        <v>0</v>
      </c>
      <c r="EO67" s="938" t="str">
        <f t="shared" si="90"/>
        <v/>
      </c>
      <c r="EP67" s="713">
        <f>'min. Düngung 22'!AX68</f>
        <v>0</v>
      </c>
      <c r="EQ67" s="938"/>
      <c r="ER67" s="938"/>
      <c r="ES67" s="938">
        <f t="shared" si="91"/>
        <v>0</v>
      </c>
      <c r="ET67" s="938">
        <f t="shared" si="92"/>
        <v>0</v>
      </c>
      <c r="EU67" s="938">
        <f t="shared" si="93"/>
        <v>0</v>
      </c>
      <c r="EV67" s="938">
        <f t="shared" si="94"/>
        <v>0</v>
      </c>
      <c r="EW67" s="938">
        <f t="shared" si="95"/>
        <v>0</v>
      </c>
      <c r="EX67" s="938" t="str">
        <f t="shared" si="96"/>
        <v/>
      </c>
      <c r="EY67" s="713">
        <f>'min. Düngung 22'!BA68</f>
        <v>0</v>
      </c>
      <c r="EZ67" s="938"/>
      <c r="FA67" s="938"/>
      <c r="FB67" s="938">
        <f t="shared" si="97"/>
        <v>0</v>
      </c>
      <c r="FC67" s="938">
        <f t="shared" si="98"/>
        <v>0</v>
      </c>
      <c r="FD67" s="938">
        <f t="shared" si="99"/>
        <v>0</v>
      </c>
      <c r="FE67" s="938">
        <f t="shared" si="100"/>
        <v>0</v>
      </c>
      <c r="FF67" s="938">
        <f t="shared" si="101"/>
        <v>0</v>
      </c>
      <c r="FG67" s="938" t="str">
        <f t="shared" si="102"/>
        <v/>
      </c>
      <c r="FH67" s="713">
        <f>'min. Düngung 22'!BD68</f>
        <v>0</v>
      </c>
      <c r="FI67" s="938"/>
      <c r="FJ67" s="938"/>
      <c r="FK67" s="938">
        <f t="shared" si="103"/>
        <v>0</v>
      </c>
      <c r="FL67" s="938">
        <f t="shared" si="104"/>
        <v>0</v>
      </c>
      <c r="FM67" s="938">
        <f t="shared" si="105"/>
        <v>0</v>
      </c>
      <c r="FN67" s="938">
        <f t="shared" si="106"/>
        <v>0</v>
      </c>
      <c r="FO67" s="938">
        <f t="shared" si="107"/>
        <v>0</v>
      </c>
      <c r="FP67" s="938" t="str">
        <f t="shared" si="108"/>
        <v/>
      </c>
      <c r="FQ67" s="713">
        <f>'min. Düngung 22'!BG68</f>
        <v>0</v>
      </c>
      <c r="FR67" s="938"/>
      <c r="FS67" s="938"/>
      <c r="FT67" s="938">
        <f t="shared" si="109"/>
        <v>0</v>
      </c>
      <c r="FU67" s="938">
        <f t="shared" si="110"/>
        <v>0</v>
      </c>
      <c r="FV67" s="938">
        <f t="shared" si="111"/>
        <v>0</v>
      </c>
      <c r="FW67" s="938">
        <f t="shared" si="112"/>
        <v>0</v>
      </c>
      <c r="FX67" s="938">
        <f t="shared" si="113"/>
        <v>0</v>
      </c>
      <c r="FY67" s="938" t="str">
        <f t="shared" si="114"/>
        <v/>
      </c>
      <c r="FZ67" s="713">
        <f>'min. Düngung 22'!BJ68</f>
        <v>0</v>
      </c>
      <c r="GA67" s="938"/>
      <c r="GB67" s="938"/>
      <c r="GC67" s="938">
        <f t="shared" si="115"/>
        <v>0</v>
      </c>
      <c r="GD67" s="938">
        <f t="shared" si="116"/>
        <v>0</v>
      </c>
      <c r="GE67" s="938">
        <f t="shared" si="117"/>
        <v>0</v>
      </c>
      <c r="GF67" s="938">
        <f t="shared" si="118"/>
        <v>0</v>
      </c>
      <c r="GG67" s="938">
        <f t="shared" si="119"/>
        <v>0</v>
      </c>
      <c r="GH67" s="938" t="str">
        <f t="shared" si="120"/>
        <v/>
      </c>
      <c r="GI67" s="713">
        <f>'min. Düngung 22'!BM68</f>
        <v>0</v>
      </c>
      <c r="GJ67" s="938"/>
      <c r="GK67" s="938"/>
      <c r="GL67" s="938">
        <f t="shared" si="121"/>
        <v>0</v>
      </c>
      <c r="GM67" s="938">
        <f t="shared" si="122"/>
        <v>0</v>
      </c>
      <c r="GN67" s="938">
        <f t="shared" si="123"/>
        <v>0</v>
      </c>
      <c r="GO67" s="938">
        <f t="shared" si="124"/>
        <v>0</v>
      </c>
      <c r="GP67" s="938">
        <f t="shared" si="125"/>
        <v>0</v>
      </c>
      <c r="GQ67" s="938" t="str">
        <f t="shared" si="126"/>
        <v/>
      </c>
      <c r="GR67" s="713">
        <f>'min. Düngung 22'!BP68</f>
        <v>0</v>
      </c>
      <c r="GS67" s="938"/>
      <c r="GT67" s="938"/>
      <c r="GU67" s="938">
        <f t="shared" si="127"/>
        <v>0</v>
      </c>
      <c r="GV67" s="938">
        <f t="shared" si="128"/>
        <v>0</v>
      </c>
      <c r="GW67" s="938">
        <f t="shared" si="129"/>
        <v>0</v>
      </c>
      <c r="GX67" s="938">
        <f t="shared" si="130"/>
        <v>0</v>
      </c>
      <c r="GY67" s="938">
        <f t="shared" si="131"/>
        <v>0</v>
      </c>
      <c r="GZ67" s="938" t="str">
        <f t="shared" si="132"/>
        <v/>
      </c>
      <c r="HA67" s="713">
        <f>'min. Düngung 22'!BS68</f>
        <v>0</v>
      </c>
      <c r="HB67" s="938"/>
      <c r="HC67" s="938"/>
      <c r="HD67" s="938">
        <f t="shared" si="133"/>
        <v>0</v>
      </c>
      <c r="HE67" s="938">
        <f t="shared" si="134"/>
        <v>0</v>
      </c>
      <c r="HF67" s="938">
        <f t="shared" si="135"/>
        <v>0</v>
      </c>
      <c r="HG67" s="938">
        <f t="shared" si="136"/>
        <v>0</v>
      </c>
      <c r="HH67" s="938">
        <f t="shared" si="137"/>
        <v>0</v>
      </c>
      <c r="HI67" s="938" t="str">
        <f t="shared" si="138"/>
        <v/>
      </c>
      <c r="HJ67" s="713">
        <f>'min. Düngung 22'!BV68</f>
        <v>0</v>
      </c>
      <c r="HK67" s="938"/>
      <c r="HL67" s="938"/>
      <c r="HM67" s="938">
        <f t="shared" si="139"/>
        <v>0</v>
      </c>
      <c r="HN67" s="938">
        <f t="shared" si="140"/>
        <v>0</v>
      </c>
      <c r="HO67" s="938">
        <f t="shared" si="141"/>
        <v>0</v>
      </c>
      <c r="HP67" s="938">
        <f t="shared" si="142"/>
        <v>0</v>
      </c>
      <c r="HQ67" s="938">
        <f t="shared" si="143"/>
        <v>0</v>
      </c>
      <c r="HR67" s="938" t="str">
        <f t="shared" si="144"/>
        <v/>
      </c>
      <c r="HS67" s="713">
        <f>'min. Düngung 22'!BY68</f>
        <v>0</v>
      </c>
      <c r="HT67" s="938"/>
      <c r="HU67" s="938"/>
      <c r="HV67" s="938">
        <f t="shared" si="145"/>
        <v>0</v>
      </c>
      <c r="HW67" s="938">
        <f t="shared" si="146"/>
        <v>0</v>
      </c>
      <c r="HX67" s="938">
        <f t="shared" si="147"/>
        <v>0</v>
      </c>
      <c r="HY67" s="938">
        <f t="shared" si="148"/>
        <v>0</v>
      </c>
      <c r="HZ67" s="938">
        <f t="shared" si="149"/>
        <v>0</v>
      </c>
      <c r="IA67" s="938" t="str">
        <f t="shared" si="150"/>
        <v/>
      </c>
      <c r="IB67" s="713">
        <f>'min. Düngung 22'!CB68</f>
        <v>0</v>
      </c>
      <c r="IC67" s="938"/>
      <c r="ID67" s="938"/>
      <c r="IE67" s="938">
        <f t="shared" si="151"/>
        <v>0</v>
      </c>
      <c r="IF67" s="938">
        <f t="shared" si="152"/>
        <v>0</v>
      </c>
      <c r="IG67" s="938">
        <f t="shared" si="153"/>
        <v>0</v>
      </c>
      <c r="IH67" s="938">
        <f t="shared" si="154"/>
        <v>0</v>
      </c>
      <c r="II67" s="938">
        <f t="shared" si="155"/>
        <v>0</v>
      </c>
      <c r="IJ67" s="938" t="str">
        <f t="shared" si="156"/>
        <v/>
      </c>
      <c r="IK67" s="713">
        <f>'min. Düngung 22'!CE68</f>
        <v>0</v>
      </c>
      <c r="IL67" s="938"/>
      <c r="IM67" s="938"/>
      <c r="IN67" s="938">
        <f t="shared" si="157"/>
        <v>0</v>
      </c>
      <c r="IO67" s="938">
        <f t="shared" si="158"/>
        <v>0</v>
      </c>
      <c r="IP67" s="938">
        <f t="shared" si="159"/>
        <v>0</v>
      </c>
      <c r="IQ67" s="938">
        <f t="shared" si="160"/>
        <v>0</v>
      </c>
      <c r="IR67" s="938">
        <f t="shared" si="161"/>
        <v>0</v>
      </c>
      <c r="IS67" s="938" t="str">
        <f t="shared" si="162"/>
        <v/>
      </c>
      <c r="IT67" s="713">
        <f>'min. Düngung 22'!CH68</f>
        <v>0</v>
      </c>
      <c r="IU67" s="938"/>
      <c r="IV67" s="938"/>
      <c r="IW67" s="938">
        <f t="shared" si="163"/>
        <v>0</v>
      </c>
      <c r="IX67" s="938">
        <f t="shared" si="164"/>
        <v>0</v>
      </c>
      <c r="IY67" s="938">
        <f t="shared" si="165"/>
        <v>0</v>
      </c>
      <c r="IZ67" s="938">
        <f t="shared" si="166"/>
        <v>0</v>
      </c>
      <c r="JA67" s="938">
        <f t="shared" si="167"/>
        <v>0</v>
      </c>
      <c r="JB67" s="938" t="str">
        <f t="shared" si="168"/>
        <v/>
      </c>
      <c r="JC67" s="713">
        <f>'min. Düngung 22'!CK68</f>
        <v>0</v>
      </c>
      <c r="JD67" s="938"/>
      <c r="JE67" s="938"/>
      <c r="JF67" s="938">
        <f t="shared" si="169"/>
        <v>0</v>
      </c>
      <c r="JG67" s="938">
        <f t="shared" si="170"/>
        <v>0</v>
      </c>
      <c r="JH67" s="938">
        <f t="shared" si="171"/>
        <v>0</v>
      </c>
      <c r="JI67" s="938">
        <f t="shared" si="172"/>
        <v>0</v>
      </c>
      <c r="JJ67" s="938">
        <f t="shared" si="173"/>
        <v>0</v>
      </c>
      <c r="JK67" s="938" t="str">
        <f t="shared" si="174"/>
        <v/>
      </c>
      <c r="JL67" s="713">
        <f>'min. Düngung 22'!CN68</f>
        <v>0</v>
      </c>
      <c r="JM67" s="938"/>
      <c r="JN67" s="938"/>
      <c r="JO67" s="938">
        <f t="shared" si="175"/>
        <v>0</v>
      </c>
      <c r="JP67" s="938">
        <f t="shared" si="176"/>
        <v>0</v>
      </c>
      <c r="JQ67" s="938">
        <f t="shared" si="177"/>
        <v>0</v>
      </c>
      <c r="JR67" s="938">
        <f t="shared" si="178"/>
        <v>0</v>
      </c>
      <c r="JS67" s="938">
        <f t="shared" si="179"/>
        <v>0</v>
      </c>
      <c r="JT67" s="938" t="str">
        <f t="shared" si="180"/>
        <v/>
      </c>
      <c r="JU67" s="713">
        <f>'min. Düngung 22'!CQ68</f>
        <v>0</v>
      </c>
      <c r="JV67" s="938"/>
      <c r="JW67" s="938"/>
      <c r="JX67" s="938">
        <f t="shared" si="181"/>
        <v>0</v>
      </c>
      <c r="JY67" s="938">
        <f t="shared" si="182"/>
        <v>0</v>
      </c>
      <c r="JZ67" s="938">
        <f t="shared" si="183"/>
        <v>0</v>
      </c>
      <c r="KA67" s="938">
        <f t="shared" si="184"/>
        <v>0</v>
      </c>
      <c r="KB67" s="938">
        <f t="shared" si="185"/>
        <v>0</v>
      </c>
      <c r="KC67" s="938" t="str">
        <f t="shared" si="186"/>
        <v/>
      </c>
      <c r="KE67" s="938"/>
      <c r="KF67" s="938" t="str">
        <f>IF(AND($F67=2,$G67=1),"",IF(OR($Q67&gt;0,$O67&gt;60),$KF$7,IF(I67=70,"",IF(AND(I67=80,R67+'#orgDung'!AC70&lt;60,K67=1,OR(C67=2,'#BerechnungDBE'!AH61=4)),"",IF(R67&gt;0,$KF$7,"")))))</f>
        <v/>
      </c>
      <c r="KG67" s="938" t="str">
        <f>IF(AND(P67&gt;'#BerechnungDBE'!BJ61,P67&gt;0),'#minDung'!$KG$7,"")</f>
        <v/>
      </c>
      <c r="KH67" s="938" t="str">
        <f>IF(AND(I67=70,R67&gt;'#BerechnungDBE'!CR61),'#minDung'!$KH$7,"")</f>
        <v/>
      </c>
      <c r="KI67" s="938" t="str">
        <f>IF('#BerechnungDBE'!P61&lt;4,"",IF(AND('#BerechnungDBE'!BZ61&gt;0,N67&gt;0),$KI$7,""))</f>
        <v/>
      </c>
      <c r="KJ67" s="938" t="str">
        <f t="shared" si="5"/>
        <v/>
      </c>
    </row>
    <row r="68" spans="1:296" s="875" customFormat="1" hidden="1" x14ac:dyDescent="0.2">
      <c r="A68" s="875">
        <f>'Flächen u. Kulturen'!A67</f>
        <v>58</v>
      </c>
      <c r="B68" s="734">
        <f>'#BerechnungDBE'!L62</f>
        <v>0</v>
      </c>
      <c r="C68" s="46">
        <f>'#orgDung'!C71</f>
        <v>1</v>
      </c>
      <c r="D68" s="875">
        <f>'#BerechnungDBE'!T62</f>
        <v>2</v>
      </c>
      <c r="E68" s="875" t="str">
        <f>'Flächen u. Kulturen'!E67</f>
        <v>x</v>
      </c>
      <c r="F68" s="52">
        <f>'#BerechnungDBE'!N62</f>
        <v>1</v>
      </c>
      <c r="G68" s="52">
        <f>'#BerechnungDBE'!O62</f>
        <v>1</v>
      </c>
      <c r="H68" s="505">
        <f>'#orgDung'!J71</f>
        <v>2</v>
      </c>
      <c r="I68" s="875">
        <f>'#BerechnungDBE'!AF62</f>
        <v>0</v>
      </c>
      <c r="J68" s="875">
        <f>'#orgDung'!M71</f>
        <v>0</v>
      </c>
      <c r="K68" s="875">
        <f>'#BerechnungDBE'!AG62</f>
        <v>0</v>
      </c>
      <c r="M68" s="875">
        <f t="shared" si="187"/>
        <v>0</v>
      </c>
      <c r="N68" s="875">
        <f t="shared" si="188"/>
        <v>0</v>
      </c>
      <c r="O68" s="875">
        <f t="shared" si="189"/>
        <v>0</v>
      </c>
      <c r="P68" s="875">
        <f t="shared" si="190"/>
        <v>0</v>
      </c>
      <c r="Q68" s="938">
        <f t="shared" si="6"/>
        <v>0</v>
      </c>
      <c r="R68" s="875">
        <f t="shared" si="191"/>
        <v>0</v>
      </c>
      <c r="T68" s="713">
        <f>'min. Düngung 22'!H69</f>
        <v>0</v>
      </c>
      <c r="W68" s="875">
        <f t="shared" si="7"/>
        <v>0</v>
      </c>
      <c r="X68" s="875">
        <f t="shared" si="8"/>
        <v>0</v>
      </c>
      <c r="Y68" s="875">
        <f t="shared" si="9"/>
        <v>0</v>
      </c>
      <c r="Z68" s="875">
        <f t="shared" si="10"/>
        <v>0</v>
      </c>
      <c r="AA68" s="875">
        <f t="shared" si="11"/>
        <v>0</v>
      </c>
      <c r="AB68" s="875" t="str">
        <f t="shared" si="12"/>
        <v/>
      </c>
      <c r="AC68" s="713">
        <f>'min. Düngung 22'!K69</f>
        <v>0</v>
      </c>
      <c r="AD68" s="938"/>
      <c r="AE68" s="938"/>
      <c r="AF68" s="938">
        <f t="shared" si="13"/>
        <v>0</v>
      </c>
      <c r="AG68" s="938">
        <f t="shared" si="14"/>
        <v>0</v>
      </c>
      <c r="AH68" s="938">
        <f t="shared" si="15"/>
        <v>0</v>
      </c>
      <c r="AI68" s="938">
        <f t="shared" si="16"/>
        <v>0</v>
      </c>
      <c r="AJ68" s="938">
        <f t="shared" si="17"/>
        <v>0</v>
      </c>
      <c r="AK68" s="938">
        <f t="shared" si="18"/>
        <v>0</v>
      </c>
      <c r="AL68" s="713">
        <f>'min. Düngung 22'!N69</f>
        <v>0</v>
      </c>
      <c r="AM68" s="938"/>
      <c r="AN68" s="938"/>
      <c r="AO68" s="938">
        <f t="shared" si="19"/>
        <v>0</v>
      </c>
      <c r="AP68" s="938">
        <f t="shared" si="20"/>
        <v>0</v>
      </c>
      <c r="AQ68" s="938">
        <f t="shared" si="21"/>
        <v>0</v>
      </c>
      <c r="AR68" s="938">
        <f t="shared" si="22"/>
        <v>0</v>
      </c>
      <c r="AS68" s="938">
        <f t="shared" si="23"/>
        <v>0</v>
      </c>
      <c r="AT68" s="938" t="str">
        <f t="shared" si="24"/>
        <v/>
      </c>
      <c r="AU68" s="713">
        <f>'min. Düngung 22'!Q69</f>
        <v>0</v>
      </c>
      <c r="AV68" s="938"/>
      <c r="AW68" s="938"/>
      <c r="AX68" s="938">
        <f t="shared" si="25"/>
        <v>0</v>
      </c>
      <c r="AY68" s="938">
        <f t="shared" si="26"/>
        <v>0</v>
      </c>
      <c r="AZ68" s="938">
        <f t="shared" si="27"/>
        <v>0</v>
      </c>
      <c r="BA68" s="938">
        <f t="shared" si="28"/>
        <v>0</v>
      </c>
      <c r="BB68" s="938">
        <f t="shared" si="29"/>
        <v>0</v>
      </c>
      <c r="BC68" s="938" t="str">
        <f t="shared" si="30"/>
        <v/>
      </c>
      <c r="BD68" s="713">
        <f>'min. Düngung 22'!T69</f>
        <v>0</v>
      </c>
      <c r="BE68" s="938"/>
      <c r="BF68" s="938"/>
      <c r="BG68" s="938">
        <f t="shared" si="31"/>
        <v>0</v>
      </c>
      <c r="BH68" s="938">
        <f t="shared" si="32"/>
        <v>0</v>
      </c>
      <c r="BI68" s="938">
        <f t="shared" si="33"/>
        <v>0</v>
      </c>
      <c r="BJ68" s="938">
        <f t="shared" si="34"/>
        <v>0</v>
      </c>
      <c r="BK68" s="938">
        <f t="shared" si="35"/>
        <v>0</v>
      </c>
      <c r="BL68" s="938" t="str">
        <f t="shared" si="36"/>
        <v/>
      </c>
      <c r="BM68" s="713">
        <f>'min. Düngung 22'!W69</f>
        <v>0</v>
      </c>
      <c r="BN68" s="938"/>
      <c r="BO68" s="938"/>
      <c r="BP68" s="938">
        <f t="shared" si="37"/>
        <v>0</v>
      </c>
      <c r="BQ68" s="938">
        <f t="shared" si="38"/>
        <v>0</v>
      </c>
      <c r="BR68" s="938">
        <f t="shared" si="39"/>
        <v>0</v>
      </c>
      <c r="BS68" s="938">
        <f t="shared" si="40"/>
        <v>0</v>
      </c>
      <c r="BT68" s="938">
        <f t="shared" si="41"/>
        <v>0</v>
      </c>
      <c r="BU68" s="938" t="str">
        <f t="shared" si="42"/>
        <v/>
      </c>
      <c r="BV68" s="713">
        <f>'min. Düngung 22'!Z69</f>
        <v>0</v>
      </c>
      <c r="BW68" s="938"/>
      <c r="BX68" s="938"/>
      <c r="BY68" s="938">
        <f t="shared" si="43"/>
        <v>0</v>
      </c>
      <c r="BZ68" s="938">
        <f t="shared" si="44"/>
        <v>0</v>
      </c>
      <c r="CA68" s="938">
        <f t="shared" si="45"/>
        <v>0</v>
      </c>
      <c r="CB68" s="938">
        <f t="shared" si="46"/>
        <v>0</v>
      </c>
      <c r="CC68" s="938">
        <f t="shared" si="47"/>
        <v>0</v>
      </c>
      <c r="CD68" s="938" t="str">
        <f t="shared" si="48"/>
        <v/>
      </c>
      <c r="CE68" s="713">
        <f>'min. Düngung 22'!AC69</f>
        <v>0</v>
      </c>
      <c r="CF68" s="938"/>
      <c r="CG68" s="938"/>
      <c r="CH68" s="938">
        <f t="shared" si="49"/>
        <v>0</v>
      </c>
      <c r="CI68" s="938">
        <f t="shared" si="50"/>
        <v>0</v>
      </c>
      <c r="CJ68" s="938">
        <f t="shared" si="51"/>
        <v>0</v>
      </c>
      <c r="CK68" s="938">
        <f t="shared" si="52"/>
        <v>0</v>
      </c>
      <c r="CL68" s="938">
        <f t="shared" si="53"/>
        <v>0</v>
      </c>
      <c r="CM68" s="938" t="str">
        <f t="shared" si="54"/>
        <v/>
      </c>
      <c r="CN68" s="713">
        <f>'min. Düngung 22'!AF69</f>
        <v>0</v>
      </c>
      <c r="CO68" s="938"/>
      <c r="CP68" s="938"/>
      <c r="CQ68" s="938">
        <f t="shared" si="55"/>
        <v>0</v>
      </c>
      <c r="CR68" s="938">
        <f t="shared" si="56"/>
        <v>0</v>
      </c>
      <c r="CS68" s="938">
        <f t="shared" si="57"/>
        <v>0</v>
      </c>
      <c r="CT68" s="938">
        <f t="shared" si="58"/>
        <v>0</v>
      </c>
      <c r="CU68" s="938">
        <f t="shared" si="59"/>
        <v>0</v>
      </c>
      <c r="CV68" s="938" t="str">
        <f t="shared" si="60"/>
        <v/>
      </c>
      <c r="CW68" s="713">
        <f>'min. Düngung 22'!AI69</f>
        <v>0</v>
      </c>
      <c r="CX68" s="938"/>
      <c r="CY68" s="938"/>
      <c r="CZ68" s="938">
        <f t="shared" si="61"/>
        <v>0</v>
      </c>
      <c r="DA68" s="938">
        <f t="shared" si="62"/>
        <v>0</v>
      </c>
      <c r="DB68" s="938">
        <f t="shared" si="63"/>
        <v>0</v>
      </c>
      <c r="DC68" s="938">
        <f t="shared" si="64"/>
        <v>0</v>
      </c>
      <c r="DD68" s="938">
        <f t="shared" si="65"/>
        <v>0</v>
      </c>
      <c r="DE68" s="938" t="str">
        <f t="shared" si="66"/>
        <v/>
      </c>
      <c r="DF68" s="713">
        <f>'min. Düngung 22'!AL69</f>
        <v>0</v>
      </c>
      <c r="DG68" s="938"/>
      <c r="DH68" s="938"/>
      <c r="DI68" s="938">
        <f t="shared" si="67"/>
        <v>0</v>
      </c>
      <c r="DJ68" s="938">
        <f t="shared" si="68"/>
        <v>0</v>
      </c>
      <c r="DK68" s="938">
        <f t="shared" si="69"/>
        <v>0</v>
      </c>
      <c r="DL68" s="938">
        <f t="shared" si="70"/>
        <v>0</v>
      </c>
      <c r="DM68" s="938">
        <f t="shared" si="71"/>
        <v>0</v>
      </c>
      <c r="DN68" s="938" t="str">
        <f t="shared" si="72"/>
        <v/>
      </c>
      <c r="DO68" s="713">
        <f>'min. Düngung 22'!AO69</f>
        <v>0</v>
      </c>
      <c r="DP68" s="938"/>
      <c r="DQ68" s="938"/>
      <c r="DR68" s="938">
        <f t="shared" si="73"/>
        <v>0</v>
      </c>
      <c r="DS68" s="938">
        <f t="shared" si="74"/>
        <v>0</v>
      </c>
      <c r="DT68" s="938">
        <f t="shared" si="75"/>
        <v>0</v>
      </c>
      <c r="DU68" s="938">
        <f t="shared" si="76"/>
        <v>0</v>
      </c>
      <c r="DV68" s="938">
        <f t="shared" si="77"/>
        <v>0</v>
      </c>
      <c r="DW68" s="938" t="str">
        <f t="shared" si="78"/>
        <v/>
      </c>
      <c r="DX68" s="713">
        <f>'min. Düngung 22'!AR69</f>
        <v>0</v>
      </c>
      <c r="DY68" s="938"/>
      <c r="DZ68" s="938"/>
      <c r="EA68" s="938">
        <f t="shared" si="79"/>
        <v>0</v>
      </c>
      <c r="EB68" s="938">
        <f t="shared" si="80"/>
        <v>0</v>
      </c>
      <c r="EC68" s="938">
        <f t="shared" si="81"/>
        <v>0</v>
      </c>
      <c r="ED68" s="938">
        <f t="shared" si="82"/>
        <v>0</v>
      </c>
      <c r="EE68" s="938">
        <f t="shared" si="83"/>
        <v>0</v>
      </c>
      <c r="EF68" s="938" t="str">
        <f t="shared" si="84"/>
        <v/>
      </c>
      <c r="EG68" s="713">
        <f>'min. Düngung 22'!AU69</f>
        <v>0</v>
      </c>
      <c r="EH68" s="938"/>
      <c r="EI68" s="938"/>
      <c r="EJ68" s="938">
        <f t="shared" si="85"/>
        <v>0</v>
      </c>
      <c r="EK68" s="938">
        <f t="shared" si="86"/>
        <v>0</v>
      </c>
      <c r="EL68" s="938">
        <f t="shared" si="87"/>
        <v>0</v>
      </c>
      <c r="EM68" s="938">
        <f t="shared" si="88"/>
        <v>0</v>
      </c>
      <c r="EN68" s="938">
        <f t="shared" si="89"/>
        <v>0</v>
      </c>
      <c r="EO68" s="938" t="str">
        <f t="shared" si="90"/>
        <v/>
      </c>
      <c r="EP68" s="713">
        <f>'min. Düngung 22'!AX69</f>
        <v>0</v>
      </c>
      <c r="EQ68" s="938"/>
      <c r="ER68" s="938"/>
      <c r="ES68" s="938">
        <f t="shared" si="91"/>
        <v>0</v>
      </c>
      <c r="ET68" s="938">
        <f t="shared" si="92"/>
        <v>0</v>
      </c>
      <c r="EU68" s="938">
        <f t="shared" si="93"/>
        <v>0</v>
      </c>
      <c r="EV68" s="938">
        <f t="shared" si="94"/>
        <v>0</v>
      </c>
      <c r="EW68" s="938">
        <f t="shared" si="95"/>
        <v>0</v>
      </c>
      <c r="EX68" s="938" t="str">
        <f t="shared" si="96"/>
        <v/>
      </c>
      <c r="EY68" s="713">
        <f>'min. Düngung 22'!BA69</f>
        <v>0</v>
      </c>
      <c r="EZ68" s="938"/>
      <c r="FA68" s="938"/>
      <c r="FB68" s="938">
        <f t="shared" si="97"/>
        <v>0</v>
      </c>
      <c r="FC68" s="938">
        <f t="shared" si="98"/>
        <v>0</v>
      </c>
      <c r="FD68" s="938">
        <f t="shared" si="99"/>
        <v>0</v>
      </c>
      <c r="FE68" s="938">
        <f t="shared" si="100"/>
        <v>0</v>
      </c>
      <c r="FF68" s="938">
        <f t="shared" si="101"/>
        <v>0</v>
      </c>
      <c r="FG68" s="938" t="str">
        <f t="shared" si="102"/>
        <v/>
      </c>
      <c r="FH68" s="713">
        <f>'min. Düngung 22'!BD69</f>
        <v>0</v>
      </c>
      <c r="FI68" s="938"/>
      <c r="FJ68" s="938"/>
      <c r="FK68" s="938">
        <f t="shared" si="103"/>
        <v>0</v>
      </c>
      <c r="FL68" s="938">
        <f t="shared" si="104"/>
        <v>0</v>
      </c>
      <c r="FM68" s="938">
        <f t="shared" si="105"/>
        <v>0</v>
      </c>
      <c r="FN68" s="938">
        <f t="shared" si="106"/>
        <v>0</v>
      </c>
      <c r="FO68" s="938">
        <f t="shared" si="107"/>
        <v>0</v>
      </c>
      <c r="FP68" s="938" t="str">
        <f t="shared" si="108"/>
        <v/>
      </c>
      <c r="FQ68" s="713">
        <f>'min. Düngung 22'!BG69</f>
        <v>0</v>
      </c>
      <c r="FR68" s="938"/>
      <c r="FS68" s="938"/>
      <c r="FT68" s="938">
        <f t="shared" si="109"/>
        <v>0</v>
      </c>
      <c r="FU68" s="938">
        <f t="shared" si="110"/>
        <v>0</v>
      </c>
      <c r="FV68" s="938">
        <f t="shared" si="111"/>
        <v>0</v>
      </c>
      <c r="FW68" s="938">
        <f t="shared" si="112"/>
        <v>0</v>
      </c>
      <c r="FX68" s="938">
        <f t="shared" si="113"/>
        <v>0</v>
      </c>
      <c r="FY68" s="938" t="str">
        <f t="shared" si="114"/>
        <v/>
      </c>
      <c r="FZ68" s="713">
        <f>'min. Düngung 22'!BJ69</f>
        <v>0</v>
      </c>
      <c r="GA68" s="938"/>
      <c r="GB68" s="938"/>
      <c r="GC68" s="938">
        <f t="shared" si="115"/>
        <v>0</v>
      </c>
      <c r="GD68" s="938">
        <f t="shared" si="116"/>
        <v>0</v>
      </c>
      <c r="GE68" s="938">
        <f t="shared" si="117"/>
        <v>0</v>
      </c>
      <c r="GF68" s="938">
        <f t="shared" si="118"/>
        <v>0</v>
      </c>
      <c r="GG68" s="938">
        <f t="shared" si="119"/>
        <v>0</v>
      </c>
      <c r="GH68" s="938" t="str">
        <f t="shared" si="120"/>
        <v/>
      </c>
      <c r="GI68" s="713">
        <f>'min. Düngung 22'!BM69</f>
        <v>0</v>
      </c>
      <c r="GJ68" s="938"/>
      <c r="GK68" s="938"/>
      <c r="GL68" s="938">
        <f t="shared" si="121"/>
        <v>0</v>
      </c>
      <c r="GM68" s="938">
        <f t="shared" si="122"/>
        <v>0</v>
      </c>
      <c r="GN68" s="938">
        <f t="shared" si="123"/>
        <v>0</v>
      </c>
      <c r="GO68" s="938">
        <f t="shared" si="124"/>
        <v>0</v>
      </c>
      <c r="GP68" s="938">
        <f t="shared" si="125"/>
        <v>0</v>
      </c>
      <c r="GQ68" s="938" t="str">
        <f t="shared" si="126"/>
        <v/>
      </c>
      <c r="GR68" s="713">
        <f>'min. Düngung 22'!BP69</f>
        <v>0</v>
      </c>
      <c r="GS68" s="938"/>
      <c r="GT68" s="938"/>
      <c r="GU68" s="938">
        <f t="shared" si="127"/>
        <v>0</v>
      </c>
      <c r="GV68" s="938">
        <f t="shared" si="128"/>
        <v>0</v>
      </c>
      <c r="GW68" s="938">
        <f t="shared" si="129"/>
        <v>0</v>
      </c>
      <c r="GX68" s="938">
        <f t="shared" si="130"/>
        <v>0</v>
      </c>
      <c r="GY68" s="938">
        <f t="shared" si="131"/>
        <v>0</v>
      </c>
      <c r="GZ68" s="938" t="str">
        <f t="shared" si="132"/>
        <v/>
      </c>
      <c r="HA68" s="713">
        <f>'min. Düngung 22'!BS69</f>
        <v>0</v>
      </c>
      <c r="HB68" s="938"/>
      <c r="HC68" s="938"/>
      <c r="HD68" s="938">
        <f t="shared" si="133"/>
        <v>0</v>
      </c>
      <c r="HE68" s="938">
        <f t="shared" si="134"/>
        <v>0</v>
      </c>
      <c r="HF68" s="938">
        <f t="shared" si="135"/>
        <v>0</v>
      </c>
      <c r="HG68" s="938">
        <f t="shared" si="136"/>
        <v>0</v>
      </c>
      <c r="HH68" s="938">
        <f t="shared" si="137"/>
        <v>0</v>
      </c>
      <c r="HI68" s="938" t="str">
        <f t="shared" si="138"/>
        <v/>
      </c>
      <c r="HJ68" s="713">
        <f>'min. Düngung 22'!BV69</f>
        <v>0</v>
      </c>
      <c r="HK68" s="938"/>
      <c r="HL68" s="938"/>
      <c r="HM68" s="938">
        <f t="shared" si="139"/>
        <v>0</v>
      </c>
      <c r="HN68" s="938">
        <f t="shared" si="140"/>
        <v>0</v>
      </c>
      <c r="HO68" s="938">
        <f t="shared" si="141"/>
        <v>0</v>
      </c>
      <c r="HP68" s="938">
        <f t="shared" si="142"/>
        <v>0</v>
      </c>
      <c r="HQ68" s="938">
        <f t="shared" si="143"/>
        <v>0</v>
      </c>
      <c r="HR68" s="938" t="str">
        <f t="shared" si="144"/>
        <v/>
      </c>
      <c r="HS68" s="713">
        <f>'min. Düngung 22'!BY69</f>
        <v>0</v>
      </c>
      <c r="HT68" s="938"/>
      <c r="HU68" s="938"/>
      <c r="HV68" s="938">
        <f t="shared" si="145"/>
        <v>0</v>
      </c>
      <c r="HW68" s="938">
        <f t="shared" si="146"/>
        <v>0</v>
      </c>
      <c r="HX68" s="938">
        <f t="shared" si="147"/>
        <v>0</v>
      </c>
      <c r="HY68" s="938">
        <f t="shared" si="148"/>
        <v>0</v>
      </c>
      <c r="HZ68" s="938">
        <f t="shared" si="149"/>
        <v>0</v>
      </c>
      <c r="IA68" s="938" t="str">
        <f t="shared" si="150"/>
        <v/>
      </c>
      <c r="IB68" s="713">
        <f>'min. Düngung 22'!CB69</f>
        <v>0</v>
      </c>
      <c r="IC68" s="938"/>
      <c r="ID68" s="938"/>
      <c r="IE68" s="938">
        <f t="shared" si="151"/>
        <v>0</v>
      </c>
      <c r="IF68" s="938">
        <f t="shared" si="152"/>
        <v>0</v>
      </c>
      <c r="IG68" s="938">
        <f t="shared" si="153"/>
        <v>0</v>
      </c>
      <c r="IH68" s="938">
        <f t="shared" si="154"/>
        <v>0</v>
      </c>
      <c r="II68" s="938">
        <f t="shared" si="155"/>
        <v>0</v>
      </c>
      <c r="IJ68" s="938" t="str">
        <f t="shared" si="156"/>
        <v/>
      </c>
      <c r="IK68" s="713">
        <f>'min. Düngung 22'!CE69</f>
        <v>0</v>
      </c>
      <c r="IL68" s="938"/>
      <c r="IM68" s="938"/>
      <c r="IN68" s="938">
        <f t="shared" si="157"/>
        <v>0</v>
      </c>
      <c r="IO68" s="938">
        <f t="shared" si="158"/>
        <v>0</v>
      </c>
      <c r="IP68" s="938">
        <f t="shared" si="159"/>
        <v>0</v>
      </c>
      <c r="IQ68" s="938">
        <f t="shared" si="160"/>
        <v>0</v>
      </c>
      <c r="IR68" s="938">
        <f t="shared" si="161"/>
        <v>0</v>
      </c>
      <c r="IS68" s="938" t="str">
        <f t="shared" si="162"/>
        <v/>
      </c>
      <c r="IT68" s="713">
        <f>'min. Düngung 22'!CH69</f>
        <v>0</v>
      </c>
      <c r="IU68" s="938"/>
      <c r="IV68" s="938"/>
      <c r="IW68" s="938">
        <f t="shared" si="163"/>
        <v>0</v>
      </c>
      <c r="IX68" s="938">
        <f t="shared" si="164"/>
        <v>0</v>
      </c>
      <c r="IY68" s="938">
        <f t="shared" si="165"/>
        <v>0</v>
      </c>
      <c r="IZ68" s="938">
        <f t="shared" si="166"/>
        <v>0</v>
      </c>
      <c r="JA68" s="938">
        <f t="shared" si="167"/>
        <v>0</v>
      </c>
      <c r="JB68" s="938" t="str">
        <f t="shared" si="168"/>
        <v/>
      </c>
      <c r="JC68" s="713">
        <f>'min. Düngung 22'!CK69</f>
        <v>0</v>
      </c>
      <c r="JD68" s="938"/>
      <c r="JE68" s="938"/>
      <c r="JF68" s="938">
        <f t="shared" si="169"/>
        <v>0</v>
      </c>
      <c r="JG68" s="938">
        <f t="shared" si="170"/>
        <v>0</v>
      </c>
      <c r="JH68" s="938">
        <f t="shared" si="171"/>
        <v>0</v>
      </c>
      <c r="JI68" s="938">
        <f t="shared" si="172"/>
        <v>0</v>
      </c>
      <c r="JJ68" s="938">
        <f t="shared" si="173"/>
        <v>0</v>
      </c>
      <c r="JK68" s="938" t="str">
        <f t="shared" si="174"/>
        <v/>
      </c>
      <c r="JL68" s="713">
        <f>'min. Düngung 22'!CN69</f>
        <v>0</v>
      </c>
      <c r="JM68" s="938"/>
      <c r="JN68" s="938"/>
      <c r="JO68" s="938">
        <f t="shared" si="175"/>
        <v>0</v>
      </c>
      <c r="JP68" s="938">
        <f t="shared" si="176"/>
        <v>0</v>
      </c>
      <c r="JQ68" s="938">
        <f t="shared" si="177"/>
        <v>0</v>
      </c>
      <c r="JR68" s="938">
        <f t="shared" si="178"/>
        <v>0</v>
      </c>
      <c r="JS68" s="938">
        <f t="shared" si="179"/>
        <v>0</v>
      </c>
      <c r="JT68" s="938" t="str">
        <f t="shared" si="180"/>
        <v/>
      </c>
      <c r="JU68" s="713">
        <f>'min. Düngung 22'!CQ69</f>
        <v>0</v>
      </c>
      <c r="JV68" s="938"/>
      <c r="JW68" s="938"/>
      <c r="JX68" s="938">
        <f t="shared" si="181"/>
        <v>0</v>
      </c>
      <c r="JY68" s="938">
        <f t="shared" si="182"/>
        <v>0</v>
      </c>
      <c r="JZ68" s="938">
        <f t="shared" si="183"/>
        <v>0</v>
      </c>
      <c r="KA68" s="938">
        <f t="shared" si="184"/>
        <v>0</v>
      </c>
      <c r="KB68" s="938">
        <f t="shared" si="185"/>
        <v>0</v>
      </c>
      <c r="KC68" s="938" t="str">
        <f t="shared" si="186"/>
        <v/>
      </c>
      <c r="KE68" s="938"/>
      <c r="KF68" s="938" t="str">
        <f>IF(AND($F68=2,$G68=1),"",IF(OR($Q68&gt;0,$O68&gt;60),$KF$7,IF(I68=70,"",IF(AND(I68=80,R68+'#orgDung'!AC71&lt;60,K68=1,OR(C68=2,'#BerechnungDBE'!AH62=4)),"",IF(R68&gt;0,$KF$7,"")))))</f>
        <v/>
      </c>
      <c r="KG68" s="938" t="str">
        <f>IF(AND(P68&gt;'#BerechnungDBE'!BJ62,P68&gt;0),'#minDung'!$KG$7,"")</f>
        <v/>
      </c>
      <c r="KH68" s="938" t="str">
        <f>IF(AND(I68=70,R68&gt;'#BerechnungDBE'!CR62),'#minDung'!$KH$7,"")</f>
        <v/>
      </c>
      <c r="KI68" s="938" t="str">
        <f>IF('#BerechnungDBE'!P62&lt;4,"",IF(AND('#BerechnungDBE'!BZ62&gt;0,N68&gt;0),$KI$7,""))</f>
        <v/>
      </c>
      <c r="KJ68" s="938" t="str">
        <f t="shared" si="5"/>
        <v/>
      </c>
    </row>
    <row r="69" spans="1:296" s="875" customFormat="1" hidden="1" x14ac:dyDescent="0.2">
      <c r="A69" s="875">
        <f>'Flächen u. Kulturen'!A68</f>
        <v>59</v>
      </c>
      <c r="B69" s="734">
        <f>'#BerechnungDBE'!L63</f>
        <v>0</v>
      </c>
      <c r="C69" s="46">
        <f>'#orgDung'!C72</f>
        <v>1</v>
      </c>
      <c r="D69" s="875">
        <f>'#BerechnungDBE'!T63</f>
        <v>2</v>
      </c>
      <c r="E69" s="875" t="str">
        <f>'Flächen u. Kulturen'!E68</f>
        <v>x</v>
      </c>
      <c r="F69" s="52">
        <f>'#BerechnungDBE'!N63</f>
        <v>1</v>
      </c>
      <c r="G69" s="52">
        <f>'#BerechnungDBE'!O63</f>
        <v>1</v>
      </c>
      <c r="H69" s="505">
        <f>'#orgDung'!J72</f>
        <v>2</v>
      </c>
      <c r="I69" s="875">
        <f>'#BerechnungDBE'!AF63</f>
        <v>0</v>
      </c>
      <c r="J69" s="875">
        <f>'#orgDung'!M72</f>
        <v>0</v>
      </c>
      <c r="K69" s="875">
        <f>'#BerechnungDBE'!AG63</f>
        <v>0</v>
      </c>
      <c r="M69" s="875">
        <f t="shared" si="187"/>
        <v>0</v>
      </c>
      <c r="N69" s="875">
        <f t="shared" si="188"/>
        <v>0</v>
      </c>
      <c r="O69" s="875">
        <f t="shared" si="189"/>
        <v>0</v>
      </c>
      <c r="P69" s="875">
        <f t="shared" si="190"/>
        <v>0</v>
      </c>
      <c r="Q69" s="938">
        <f t="shared" si="6"/>
        <v>0</v>
      </c>
      <c r="R69" s="875">
        <f t="shared" si="191"/>
        <v>0</v>
      </c>
      <c r="T69" s="713">
        <f>'min. Düngung 22'!H70</f>
        <v>0</v>
      </c>
      <c r="W69" s="875">
        <f t="shared" si="7"/>
        <v>0</v>
      </c>
      <c r="X69" s="875">
        <f t="shared" si="8"/>
        <v>0</v>
      </c>
      <c r="Y69" s="875">
        <f t="shared" si="9"/>
        <v>0</v>
      </c>
      <c r="Z69" s="875">
        <f t="shared" si="10"/>
        <v>0</v>
      </c>
      <c r="AA69" s="875">
        <f t="shared" si="11"/>
        <v>0</v>
      </c>
      <c r="AB69" s="875" t="str">
        <f t="shared" si="12"/>
        <v/>
      </c>
      <c r="AC69" s="713">
        <f>'min. Düngung 22'!K70</f>
        <v>0</v>
      </c>
      <c r="AD69" s="938"/>
      <c r="AE69" s="938"/>
      <c r="AF69" s="938">
        <f t="shared" si="13"/>
        <v>0</v>
      </c>
      <c r="AG69" s="938">
        <f t="shared" si="14"/>
        <v>0</v>
      </c>
      <c r="AH69" s="938">
        <f t="shared" si="15"/>
        <v>0</v>
      </c>
      <c r="AI69" s="938">
        <f t="shared" si="16"/>
        <v>0</v>
      </c>
      <c r="AJ69" s="938">
        <f t="shared" si="17"/>
        <v>0</v>
      </c>
      <c r="AK69" s="938">
        <f t="shared" si="18"/>
        <v>0</v>
      </c>
      <c r="AL69" s="713">
        <f>'min. Düngung 22'!N70</f>
        <v>0</v>
      </c>
      <c r="AM69" s="938"/>
      <c r="AN69" s="938"/>
      <c r="AO69" s="938">
        <f t="shared" si="19"/>
        <v>0</v>
      </c>
      <c r="AP69" s="938">
        <f t="shared" si="20"/>
        <v>0</v>
      </c>
      <c r="AQ69" s="938">
        <f t="shared" si="21"/>
        <v>0</v>
      </c>
      <c r="AR69" s="938">
        <f t="shared" si="22"/>
        <v>0</v>
      </c>
      <c r="AS69" s="938">
        <f t="shared" si="23"/>
        <v>0</v>
      </c>
      <c r="AT69" s="938" t="str">
        <f t="shared" si="24"/>
        <v/>
      </c>
      <c r="AU69" s="713">
        <f>'min. Düngung 22'!Q70</f>
        <v>0</v>
      </c>
      <c r="AV69" s="938"/>
      <c r="AW69" s="938"/>
      <c r="AX69" s="938">
        <f t="shared" si="25"/>
        <v>0</v>
      </c>
      <c r="AY69" s="938">
        <f t="shared" si="26"/>
        <v>0</v>
      </c>
      <c r="AZ69" s="938">
        <f t="shared" si="27"/>
        <v>0</v>
      </c>
      <c r="BA69" s="938">
        <f t="shared" si="28"/>
        <v>0</v>
      </c>
      <c r="BB69" s="938">
        <f t="shared" si="29"/>
        <v>0</v>
      </c>
      <c r="BC69" s="938" t="str">
        <f t="shared" si="30"/>
        <v/>
      </c>
      <c r="BD69" s="713">
        <f>'min. Düngung 22'!T70</f>
        <v>0</v>
      </c>
      <c r="BE69" s="938"/>
      <c r="BF69" s="938"/>
      <c r="BG69" s="938">
        <f t="shared" si="31"/>
        <v>0</v>
      </c>
      <c r="BH69" s="938">
        <f t="shared" si="32"/>
        <v>0</v>
      </c>
      <c r="BI69" s="938">
        <f t="shared" si="33"/>
        <v>0</v>
      </c>
      <c r="BJ69" s="938">
        <f t="shared" si="34"/>
        <v>0</v>
      </c>
      <c r="BK69" s="938">
        <f t="shared" si="35"/>
        <v>0</v>
      </c>
      <c r="BL69" s="938" t="str">
        <f t="shared" si="36"/>
        <v/>
      </c>
      <c r="BM69" s="713">
        <f>'min. Düngung 22'!W70</f>
        <v>0</v>
      </c>
      <c r="BN69" s="938"/>
      <c r="BO69" s="938"/>
      <c r="BP69" s="938">
        <f t="shared" si="37"/>
        <v>0</v>
      </c>
      <c r="BQ69" s="938">
        <f t="shared" si="38"/>
        <v>0</v>
      </c>
      <c r="BR69" s="938">
        <f t="shared" si="39"/>
        <v>0</v>
      </c>
      <c r="BS69" s="938">
        <f t="shared" si="40"/>
        <v>0</v>
      </c>
      <c r="BT69" s="938">
        <f t="shared" si="41"/>
        <v>0</v>
      </c>
      <c r="BU69" s="938" t="str">
        <f t="shared" si="42"/>
        <v/>
      </c>
      <c r="BV69" s="713">
        <f>'min. Düngung 22'!Z70</f>
        <v>0</v>
      </c>
      <c r="BW69" s="938"/>
      <c r="BX69" s="938"/>
      <c r="BY69" s="938">
        <f t="shared" si="43"/>
        <v>0</v>
      </c>
      <c r="BZ69" s="938">
        <f t="shared" si="44"/>
        <v>0</v>
      </c>
      <c r="CA69" s="938">
        <f t="shared" si="45"/>
        <v>0</v>
      </c>
      <c r="CB69" s="938">
        <f t="shared" si="46"/>
        <v>0</v>
      </c>
      <c r="CC69" s="938">
        <f t="shared" si="47"/>
        <v>0</v>
      </c>
      <c r="CD69" s="938" t="str">
        <f t="shared" si="48"/>
        <v/>
      </c>
      <c r="CE69" s="713">
        <f>'min. Düngung 22'!AC70</f>
        <v>0</v>
      </c>
      <c r="CF69" s="938"/>
      <c r="CG69" s="938"/>
      <c r="CH69" s="938">
        <f t="shared" si="49"/>
        <v>0</v>
      </c>
      <c r="CI69" s="938">
        <f t="shared" si="50"/>
        <v>0</v>
      </c>
      <c r="CJ69" s="938">
        <f t="shared" si="51"/>
        <v>0</v>
      </c>
      <c r="CK69" s="938">
        <f t="shared" si="52"/>
        <v>0</v>
      </c>
      <c r="CL69" s="938">
        <f t="shared" si="53"/>
        <v>0</v>
      </c>
      <c r="CM69" s="938" t="str">
        <f t="shared" si="54"/>
        <v/>
      </c>
      <c r="CN69" s="713">
        <f>'min. Düngung 22'!AF70</f>
        <v>0</v>
      </c>
      <c r="CO69" s="938"/>
      <c r="CP69" s="938"/>
      <c r="CQ69" s="938">
        <f t="shared" si="55"/>
        <v>0</v>
      </c>
      <c r="CR69" s="938">
        <f t="shared" si="56"/>
        <v>0</v>
      </c>
      <c r="CS69" s="938">
        <f t="shared" si="57"/>
        <v>0</v>
      </c>
      <c r="CT69" s="938">
        <f t="shared" si="58"/>
        <v>0</v>
      </c>
      <c r="CU69" s="938">
        <f t="shared" si="59"/>
        <v>0</v>
      </c>
      <c r="CV69" s="938" t="str">
        <f t="shared" si="60"/>
        <v/>
      </c>
      <c r="CW69" s="713">
        <f>'min. Düngung 22'!AI70</f>
        <v>0</v>
      </c>
      <c r="CX69" s="938"/>
      <c r="CY69" s="938"/>
      <c r="CZ69" s="938">
        <f t="shared" si="61"/>
        <v>0</v>
      </c>
      <c r="DA69" s="938">
        <f t="shared" si="62"/>
        <v>0</v>
      </c>
      <c r="DB69" s="938">
        <f t="shared" si="63"/>
        <v>0</v>
      </c>
      <c r="DC69" s="938">
        <f t="shared" si="64"/>
        <v>0</v>
      </c>
      <c r="DD69" s="938">
        <f t="shared" si="65"/>
        <v>0</v>
      </c>
      <c r="DE69" s="938" t="str">
        <f t="shared" si="66"/>
        <v/>
      </c>
      <c r="DF69" s="713">
        <f>'min. Düngung 22'!AL70</f>
        <v>0</v>
      </c>
      <c r="DG69" s="938"/>
      <c r="DH69" s="938"/>
      <c r="DI69" s="938">
        <f t="shared" si="67"/>
        <v>0</v>
      </c>
      <c r="DJ69" s="938">
        <f t="shared" si="68"/>
        <v>0</v>
      </c>
      <c r="DK69" s="938">
        <f t="shared" si="69"/>
        <v>0</v>
      </c>
      <c r="DL69" s="938">
        <f t="shared" si="70"/>
        <v>0</v>
      </c>
      <c r="DM69" s="938">
        <f t="shared" si="71"/>
        <v>0</v>
      </c>
      <c r="DN69" s="938" t="str">
        <f t="shared" si="72"/>
        <v/>
      </c>
      <c r="DO69" s="713">
        <f>'min. Düngung 22'!AO70</f>
        <v>0</v>
      </c>
      <c r="DP69" s="938"/>
      <c r="DQ69" s="938"/>
      <c r="DR69" s="938">
        <f t="shared" si="73"/>
        <v>0</v>
      </c>
      <c r="DS69" s="938">
        <f t="shared" si="74"/>
        <v>0</v>
      </c>
      <c r="DT69" s="938">
        <f t="shared" si="75"/>
        <v>0</v>
      </c>
      <c r="DU69" s="938">
        <f t="shared" si="76"/>
        <v>0</v>
      </c>
      <c r="DV69" s="938">
        <f t="shared" si="77"/>
        <v>0</v>
      </c>
      <c r="DW69" s="938" t="str">
        <f t="shared" si="78"/>
        <v/>
      </c>
      <c r="DX69" s="713">
        <f>'min. Düngung 22'!AR70</f>
        <v>0</v>
      </c>
      <c r="DY69" s="938"/>
      <c r="DZ69" s="938"/>
      <c r="EA69" s="938">
        <f t="shared" si="79"/>
        <v>0</v>
      </c>
      <c r="EB69" s="938">
        <f t="shared" si="80"/>
        <v>0</v>
      </c>
      <c r="EC69" s="938">
        <f t="shared" si="81"/>
        <v>0</v>
      </c>
      <c r="ED69" s="938">
        <f t="shared" si="82"/>
        <v>0</v>
      </c>
      <c r="EE69" s="938">
        <f t="shared" si="83"/>
        <v>0</v>
      </c>
      <c r="EF69" s="938" t="str">
        <f t="shared" si="84"/>
        <v/>
      </c>
      <c r="EG69" s="713">
        <f>'min. Düngung 22'!AU70</f>
        <v>0</v>
      </c>
      <c r="EH69" s="938"/>
      <c r="EI69" s="938"/>
      <c r="EJ69" s="938">
        <f t="shared" si="85"/>
        <v>0</v>
      </c>
      <c r="EK69" s="938">
        <f t="shared" si="86"/>
        <v>0</v>
      </c>
      <c r="EL69" s="938">
        <f t="shared" si="87"/>
        <v>0</v>
      </c>
      <c r="EM69" s="938">
        <f t="shared" si="88"/>
        <v>0</v>
      </c>
      <c r="EN69" s="938">
        <f t="shared" si="89"/>
        <v>0</v>
      </c>
      <c r="EO69" s="938" t="str">
        <f t="shared" si="90"/>
        <v/>
      </c>
      <c r="EP69" s="713">
        <f>'min. Düngung 22'!AX70</f>
        <v>0</v>
      </c>
      <c r="EQ69" s="938"/>
      <c r="ER69" s="938"/>
      <c r="ES69" s="938">
        <f t="shared" si="91"/>
        <v>0</v>
      </c>
      <c r="ET69" s="938">
        <f t="shared" si="92"/>
        <v>0</v>
      </c>
      <c r="EU69" s="938">
        <f t="shared" si="93"/>
        <v>0</v>
      </c>
      <c r="EV69" s="938">
        <f t="shared" si="94"/>
        <v>0</v>
      </c>
      <c r="EW69" s="938">
        <f t="shared" si="95"/>
        <v>0</v>
      </c>
      <c r="EX69" s="938" t="str">
        <f t="shared" si="96"/>
        <v/>
      </c>
      <c r="EY69" s="713">
        <f>'min. Düngung 22'!BA70</f>
        <v>0</v>
      </c>
      <c r="EZ69" s="938"/>
      <c r="FA69" s="938"/>
      <c r="FB69" s="938">
        <f t="shared" si="97"/>
        <v>0</v>
      </c>
      <c r="FC69" s="938">
        <f t="shared" si="98"/>
        <v>0</v>
      </c>
      <c r="FD69" s="938">
        <f t="shared" si="99"/>
        <v>0</v>
      </c>
      <c r="FE69" s="938">
        <f t="shared" si="100"/>
        <v>0</v>
      </c>
      <c r="FF69" s="938">
        <f t="shared" si="101"/>
        <v>0</v>
      </c>
      <c r="FG69" s="938" t="str">
        <f t="shared" si="102"/>
        <v/>
      </c>
      <c r="FH69" s="713">
        <f>'min. Düngung 22'!BD70</f>
        <v>0</v>
      </c>
      <c r="FI69" s="938"/>
      <c r="FJ69" s="938"/>
      <c r="FK69" s="938">
        <f t="shared" si="103"/>
        <v>0</v>
      </c>
      <c r="FL69" s="938">
        <f t="shared" si="104"/>
        <v>0</v>
      </c>
      <c r="FM69" s="938">
        <f t="shared" si="105"/>
        <v>0</v>
      </c>
      <c r="FN69" s="938">
        <f t="shared" si="106"/>
        <v>0</v>
      </c>
      <c r="FO69" s="938">
        <f t="shared" si="107"/>
        <v>0</v>
      </c>
      <c r="FP69" s="938" t="str">
        <f t="shared" si="108"/>
        <v/>
      </c>
      <c r="FQ69" s="713">
        <f>'min. Düngung 22'!BG70</f>
        <v>0</v>
      </c>
      <c r="FR69" s="938"/>
      <c r="FS69" s="938"/>
      <c r="FT69" s="938">
        <f t="shared" si="109"/>
        <v>0</v>
      </c>
      <c r="FU69" s="938">
        <f t="shared" si="110"/>
        <v>0</v>
      </c>
      <c r="FV69" s="938">
        <f t="shared" si="111"/>
        <v>0</v>
      </c>
      <c r="FW69" s="938">
        <f t="shared" si="112"/>
        <v>0</v>
      </c>
      <c r="FX69" s="938">
        <f t="shared" si="113"/>
        <v>0</v>
      </c>
      <c r="FY69" s="938" t="str">
        <f t="shared" si="114"/>
        <v/>
      </c>
      <c r="FZ69" s="713">
        <f>'min. Düngung 22'!BJ70</f>
        <v>0</v>
      </c>
      <c r="GA69" s="938"/>
      <c r="GB69" s="938"/>
      <c r="GC69" s="938">
        <f t="shared" si="115"/>
        <v>0</v>
      </c>
      <c r="GD69" s="938">
        <f t="shared" si="116"/>
        <v>0</v>
      </c>
      <c r="GE69" s="938">
        <f t="shared" si="117"/>
        <v>0</v>
      </c>
      <c r="GF69" s="938">
        <f t="shared" si="118"/>
        <v>0</v>
      </c>
      <c r="GG69" s="938">
        <f t="shared" si="119"/>
        <v>0</v>
      </c>
      <c r="GH69" s="938" t="str">
        <f t="shared" si="120"/>
        <v/>
      </c>
      <c r="GI69" s="713">
        <f>'min. Düngung 22'!BM70</f>
        <v>0</v>
      </c>
      <c r="GJ69" s="938"/>
      <c r="GK69" s="938"/>
      <c r="GL69" s="938">
        <f t="shared" si="121"/>
        <v>0</v>
      </c>
      <c r="GM69" s="938">
        <f t="shared" si="122"/>
        <v>0</v>
      </c>
      <c r="GN69" s="938">
        <f t="shared" si="123"/>
        <v>0</v>
      </c>
      <c r="GO69" s="938">
        <f t="shared" si="124"/>
        <v>0</v>
      </c>
      <c r="GP69" s="938">
        <f t="shared" si="125"/>
        <v>0</v>
      </c>
      <c r="GQ69" s="938" t="str">
        <f t="shared" si="126"/>
        <v/>
      </c>
      <c r="GR69" s="713">
        <f>'min. Düngung 22'!BP70</f>
        <v>0</v>
      </c>
      <c r="GS69" s="938"/>
      <c r="GT69" s="938"/>
      <c r="GU69" s="938">
        <f t="shared" si="127"/>
        <v>0</v>
      </c>
      <c r="GV69" s="938">
        <f t="shared" si="128"/>
        <v>0</v>
      </c>
      <c r="GW69" s="938">
        <f t="shared" si="129"/>
        <v>0</v>
      </c>
      <c r="GX69" s="938">
        <f t="shared" si="130"/>
        <v>0</v>
      </c>
      <c r="GY69" s="938">
        <f t="shared" si="131"/>
        <v>0</v>
      </c>
      <c r="GZ69" s="938" t="str">
        <f t="shared" si="132"/>
        <v/>
      </c>
      <c r="HA69" s="713">
        <f>'min. Düngung 22'!BS70</f>
        <v>0</v>
      </c>
      <c r="HB69" s="938"/>
      <c r="HC69" s="938"/>
      <c r="HD69" s="938">
        <f t="shared" si="133"/>
        <v>0</v>
      </c>
      <c r="HE69" s="938">
        <f t="shared" si="134"/>
        <v>0</v>
      </c>
      <c r="HF69" s="938">
        <f t="shared" si="135"/>
        <v>0</v>
      </c>
      <c r="HG69" s="938">
        <f t="shared" si="136"/>
        <v>0</v>
      </c>
      <c r="HH69" s="938">
        <f t="shared" si="137"/>
        <v>0</v>
      </c>
      <c r="HI69" s="938" t="str">
        <f t="shared" si="138"/>
        <v/>
      </c>
      <c r="HJ69" s="713">
        <f>'min. Düngung 22'!BV70</f>
        <v>0</v>
      </c>
      <c r="HK69" s="938"/>
      <c r="HL69" s="938"/>
      <c r="HM69" s="938">
        <f t="shared" si="139"/>
        <v>0</v>
      </c>
      <c r="HN69" s="938">
        <f t="shared" si="140"/>
        <v>0</v>
      </c>
      <c r="HO69" s="938">
        <f t="shared" si="141"/>
        <v>0</v>
      </c>
      <c r="HP69" s="938">
        <f t="shared" si="142"/>
        <v>0</v>
      </c>
      <c r="HQ69" s="938">
        <f t="shared" si="143"/>
        <v>0</v>
      </c>
      <c r="HR69" s="938" t="str">
        <f t="shared" si="144"/>
        <v/>
      </c>
      <c r="HS69" s="713">
        <f>'min. Düngung 22'!BY70</f>
        <v>0</v>
      </c>
      <c r="HT69" s="938"/>
      <c r="HU69" s="938"/>
      <c r="HV69" s="938">
        <f t="shared" si="145"/>
        <v>0</v>
      </c>
      <c r="HW69" s="938">
        <f t="shared" si="146"/>
        <v>0</v>
      </c>
      <c r="HX69" s="938">
        <f t="shared" si="147"/>
        <v>0</v>
      </c>
      <c r="HY69" s="938">
        <f t="shared" si="148"/>
        <v>0</v>
      </c>
      <c r="HZ69" s="938">
        <f t="shared" si="149"/>
        <v>0</v>
      </c>
      <c r="IA69" s="938" t="str">
        <f t="shared" si="150"/>
        <v/>
      </c>
      <c r="IB69" s="713">
        <f>'min. Düngung 22'!CB70</f>
        <v>0</v>
      </c>
      <c r="IC69" s="938"/>
      <c r="ID69" s="938"/>
      <c r="IE69" s="938">
        <f t="shared" si="151"/>
        <v>0</v>
      </c>
      <c r="IF69" s="938">
        <f t="shared" si="152"/>
        <v>0</v>
      </c>
      <c r="IG69" s="938">
        <f t="shared" si="153"/>
        <v>0</v>
      </c>
      <c r="IH69" s="938">
        <f t="shared" si="154"/>
        <v>0</v>
      </c>
      <c r="II69" s="938">
        <f t="shared" si="155"/>
        <v>0</v>
      </c>
      <c r="IJ69" s="938" t="str">
        <f t="shared" si="156"/>
        <v/>
      </c>
      <c r="IK69" s="713">
        <f>'min. Düngung 22'!CE70</f>
        <v>0</v>
      </c>
      <c r="IL69" s="938"/>
      <c r="IM69" s="938"/>
      <c r="IN69" s="938">
        <f t="shared" si="157"/>
        <v>0</v>
      </c>
      <c r="IO69" s="938">
        <f t="shared" si="158"/>
        <v>0</v>
      </c>
      <c r="IP69" s="938">
        <f t="shared" si="159"/>
        <v>0</v>
      </c>
      <c r="IQ69" s="938">
        <f t="shared" si="160"/>
        <v>0</v>
      </c>
      <c r="IR69" s="938">
        <f t="shared" si="161"/>
        <v>0</v>
      </c>
      <c r="IS69" s="938" t="str">
        <f t="shared" si="162"/>
        <v/>
      </c>
      <c r="IT69" s="713">
        <f>'min. Düngung 22'!CH70</f>
        <v>0</v>
      </c>
      <c r="IU69" s="938"/>
      <c r="IV69" s="938"/>
      <c r="IW69" s="938">
        <f t="shared" si="163"/>
        <v>0</v>
      </c>
      <c r="IX69" s="938">
        <f t="shared" si="164"/>
        <v>0</v>
      </c>
      <c r="IY69" s="938">
        <f t="shared" si="165"/>
        <v>0</v>
      </c>
      <c r="IZ69" s="938">
        <f t="shared" si="166"/>
        <v>0</v>
      </c>
      <c r="JA69" s="938">
        <f t="shared" si="167"/>
        <v>0</v>
      </c>
      <c r="JB69" s="938" t="str">
        <f t="shared" si="168"/>
        <v/>
      </c>
      <c r="JC69" s="713">
        <f>'min. Düngung 22'!CK70</f>
        <v>0</v>
      </c>
      <c r="JD69" s="938"/>
      <c r="JE69" s="938"/>
      <c r="JF69" s="938">
        <f t="shared" si="169"/>
        <v>0</v>
      </c>
      <c r="JG69" s="938">
        <f t="shared" si="170"/>
        <v>0</v>
      </c>
      <c r="JH69" s="938">
        <f t="shared" si="171"/>
        <v>0</v>
      </c>
      <c r="JI69" s="938">
        <f t="shared" si="172"/>
        <v>0</v>
      </c>
      <c r="JJ69" s="938">
        <f t="shared" si="173"/>
        <v>0</v>
      </c>
      <c r="JK69" s="938" t="str">
        <f t="shared" si="174"/>
        <v/>
      </c>
      <c r="JL69" s="713">
        <f>'min. Düngung 22'!CN70</f>
        <v>0</v>
      </c>
      <c r="JM69" s="938"/>
      <c r="JN69" s="938"/>
      <c r="JO69" s="938">
        <f t="shared" si="175"/>
        <v>0</v>
      </c>
      <c r="JP69" s="938">
        <f t="shared" si="176"/>
        <v>0</v>
      </c>
      <c r="JQ69" s="938">
        <f t="shared" si="177"/>
        <v>0</v>
      </c>
      <c r="JR69" s="938">
        <f t="shared" si="178"/>
        <v>0</v>
      </c>
      <c r="JS69" s="938">
        <f t="shared" si="179"/>
        <v>0</v>
      </c>
      <c r="JT69" s="938" t="str">
        <f t="shared" si="180"/>
        <v/>
      </c>
      <c r="JU69" s="713">
        <f>'min. Düngung 22'!CQ70</f>
        <v>0</v>
      </c>
      <c r="JV69" s="938"/>
      <c r="JW69" s="938"/>
      <c r="JX69" s="938">
        <f t="shared" si="181"/>
        <v>0</v>
      </c>
      <c r="JY69" s="938">
        <f t="shared" si="182"/>
        <v>0</v>
      </c>
      <c r="JZ69" s="938">
        <f t="shared" si="183"/>
        <v>0</v>
      </c>
      <c r="KA69" s="938">
        <f t="shared" si="184"/>
        <v>0</v>
      </c>
      <c r="KB69" s="938">
        <f t="shared" si="185"/>
        <v>0</v>
      </c>
      <c r="KC69" s="938" t="str">
        <f t="shared" si="186"/>
        <v/>
      </c>
      <c r="KE69" s="938"/>
      <c r="KF69" s="938" t="str">
        <f>IF(AND($F69=2,$G69=1),"",IF(OR($Q69&gt;0,$O69&gt;60),$KF$7,IF(I69=70,"",IF(AND(I69=80,R69+'#orgDung'!AC72&lt;60,K69=1,OR(C69=2,'#BerechnungDBE'!AH63=4)),"",IF(R69&gt;0,$KF$7,"")))))</f>
        <v/>
      </c>
      <c r="KG69" s="938" t="str">
        <f>IF(AND(P69&gt;'#BerechnungDBE'!BJ63,P69&gt;0),'#minDung'!$KG$7,"")</f>
        <v/>
      </c>
      <c r="KH69" s="938" t="str">
        <f>IF(AND(I69=70,R69&gt;'#BerechnungDBE'!CR63),'#minDung'!$KH$7,"")</f>
        <v/>
      </c>
      <c r="KI69" s="938" t="str">
        <f>IF('#BerechnungDBE'!P63&lt;4,"",IF(AND('#BerechnungDBE'!BZ63&gt;0,N69&gt;0),$KI$7,""))</f>
        <v/>
      </c>
      <c r="KJ69" s="938" t="str">
        <f t="shared" si="5"/>
        <v/>
      </c>
    </row>
    <row r="70" spans="1:296" s="875" customFormat="1" hidden="1" x14ac:dyDescent="0.2">
      <c r="A70" s="875">
        <f>'Flächen u. Kulturen'!A69</f>
        <v>60</v>
      </c>
      <c r="B70" s="734">
        <f>'#BerechnungDBE'!L64</f>
        <v>0</v>
      </c>
      <c r="C70" s="46">
        <f>'#orgDung'!C73</f>
        <v>1</v>
      </c>
      <c r="D70" s="875">
        <f>'#BerechnungDBE'!T64</f>
        <v>2</v>
      </c>
      <c r="E70" s="875" t="str">
        <f>'Flächen u. Kulturen'!E69</f>
        <v>x</v>
      </c>
      <c r="F70" s="52">
        <f>'#BerechnungDBE'!N64</f>
        <v>1</v>
      </c>
      <c r="G70" s="52">
        <f>'#BerechnungDBE'!O64</f>
        <v>1</v>
      </c>
      <c r="H70" s="505">
        <f>'#orgDung'!J73</f>
        <v>2</v>
      </c>
      <c r="I70" s="875">
        <f>'#BerechnungDBE'!AF64</f>
        <v>0</v>
      </c>
      <c r="J70" s="875">
        <f>'#orgDung'!M73</f>
        <v>0</v>
      </c>
      <c r="K70" s="875">
        <f>'#BerechnungDBE'!AG64</f>
        <v>0</v>
      </c>
      <c r="M70" s="875">
        <f t="shared" si="187"/>
        <v>0</v>
      </c>
      <c r="N70" s="875">
        <f t="shared" si="188"/>
        <v>0</v>
      </c>
      <c r="O70" s="875">
        <f t="shared" si="189"/>
        <v>0</v>
      </c>
      <c r="P70" s="875">
        <f t="shared" si="190"/>
        <v>0</v>
      </c>
      <c r="Q70" s="938">
        <f t="shared" si="6"/>
        <v>0</v>
      </c>
      <c r="R70" s="875">
        <f t="shared" si="191"/>
        <v>0</v>
      </c>
      <c r="T70" s="713">
        <f>'min. Düngung 22'!H71</f>
        <v>0</v>
      </c>
      <c r="W70" s="875">
        <f t="shared" si="7"/>
        <v>0</v>
      </c>
      <c r="X70" s="875">
        <f t="shared" si="8"/>
        <v>0</v>
      </c>
      <c r="Y70" s="875">
        <f t="shared" si="9"/>
        <v>0</v>
      </c>
      <c r="Z70" s="875">
        <f t="shared" si="10"/>
        <v>0</v>
      </c>
      <c r="AA70" s="875">
        <f t="shared" si="11"/>
        <v>0</v>
      </c>
      <c r="AB70" s="875" t="str">
        <f t="shared" si="12"/>
        <v/>
      </c>
      <c r="AC70" s="713">
        <f>'min. Düngung 22'!K71</f>
        <v>0</v>
      </c>
      <c r="AD70" s="938"/>
      <c r="AE70" s="938"/>
      <c r="AF70" s="938">
        <f t="shared" si="13"/>
        <v>0</v>
      </c>
      <c r="AG70" s="938">
        <f t="shared" si="14"/>
        <v>0</v>
      </c>
      <c r="AH70" s="938">
        <f t="shared" si="15"/>
        <v>0</v>
      </c>
      <c r="AI70" s="938">
        <f t="shared" si="16"/>
        <v>0</v>
      </c>
      <c r="AJ70" s="938">
        <f t="shared" si="17"/>
        <v>0</v>
      </c>
      <c r="AK70" s="938">
        <f t="shared" si="18"/>
        <v>0</v>
      </c>
      <c r="AL70" s="713">
        <f>'min. Düngung 22'!N71</f>
        <v>0</v>
      </c>
      <c r="AM70" s="938"/>
      <c r="AN70" s="938"/>
      <c r="AO70" s="938">
        <f t="shared" si="19"/>
        <v>0</v>
      </c>
      <c r="AP70" s="938">
        <f t="shared" si="20"/>
        <v>0</v>
      </c>
      <c r="AQ70" s="938">
        <f t="shared" si="21"/>
        <v>0</v>
      </c>
      <c r="AR70" s="938">
        <f t="shared" si="22"/>
        <v>0</v>
      </c>
      <c r="AS70" s="938">
        <f t="shared" si="23"/>
        <v>0</v>
      </c>
      <c r="AT70" s="938" t="str">
        <f t="shared" si="24"/>
        <v/>
      </c>
      <c r="AU70" s="713">
        <f>'min. Düngung 22'!Q71</f>
        <v>0</v>
      </c>
      <c r="AV70" s="938"/>
      <c r="AW70" s="938"/>
      <c r="AX70" s="938">
        <f t="shared" si="25"/>
        <v>0</v>
      </c>
      <c r="AY70" s="938">
        <f t="shared" si="26"/>
        <v>0</v>
      </c>
      <c r="AZ70" s="938">
        <f t="shared" si="27"/>
        <v>0</v>
      </c>
      <c r="BA70" s="938">
        <f t="shared" si="28"/>
        <v>0</v>
      </c>
      <c r="BB70" s="938">
        <f t="shared" si="29"/>
        <v>0</v>
      </c>
      <c r="BC70" s="938" t="str">
        <f t="shared" si="30"/>
        <v/>
      </c>
      <c r="BD70" s="713">
        <f>'min. Düngung 22'!T71</f>
        <v>0</v>
      </c>
      <c r="BE70" s="938"/>
      <c r="BF70" s="938"/>
      <c r="BG70" s="938">
        <f t="shared" si="31"/>
        <v>0</v>
      </c>
      <c r="BH70" s="938">
        <f t="shared" si="32"/>
        <v>0</v>
      </c>
      <c r="BI70" s="938">
        <f t="shared" si="33"/>
        <v>0</v>
      </c>
      <c r="BJ70" s="938">
        <f t="shared" si="34"/>
        <v>0</v>
      </c>
      <c r="BK70" s="938">
        <f t="shared" si="35"/>
        <v>0</v>
      </c>
      <c r="BL70" s="938" t="str">
        <f t="shared" si="36"/>
        <v/>
      </c>
      <c r="BM70" s="713">
        <f>'min. Düngung 22'!W71</f>
        <v>0</v>
      </c>
      <c r="BN70" s="938"/>
      <c r="BO70" s="938"/>
      <c r="BP70" s="938">
        <f t="shared" si="37"/>
        <v>0</v>
      </c>
      <c r="BQ70" s="938">
        <f t="shared" si="38"/>
        <v>0</v>
      </c>
      <c r="BR70" s="938">
        <f t="shared" si="39"/>
        <v>0</v>
      </c>
      <c r="BS70" s="938">
        <f t="shared" si="40"/>
        <v>0</v>
      </c>
      <c r="BT70" s="938">
        <f t="shared" si="41"/>
        <v>0</v>
      </c>
      <c r="BU70" s="938" t="str">
        <f t="shared" si="42"/>
        <v/>
      </c>
      <c r="BV70" s="713">
        <f>'min. Düngung 22'!Z71</f>
        <v>0</v>
      </c>
      <c r="BW70" s="938"/>
      <c r="BX70" s="938"/>
      <c r="BY70" s="938">
        <f t="shared" si="43"/>
        <v>0</v>
      </c>
      <c r="BZ70" s="938">
        <f t="shared" si="44"/>
        <v>0</v>
      </c>
      <c r="CA70" s="938">
        <f t="shared" si="45"/>
        <v>0</v>
      </c>
      <c r="CB70" s="938">
        <f t="shared" si="46"/>
        <v>0</v>
      </c>
      <c r="CC70" s="938">
        <f t="shared" si="47"/>
        <v>0</v>
      </c>
      <c r="CD70" s="938" t="str">
        <f t="shared" si="48"/>
        <v/>
      </c>
      <c r="CE70" s="713">
        <f>'min. Düngung 22'!AC71</f>
        <v>0</v>
      </c>
      <c r="CF70" s="938"/>
      <c r="CG70" s="938"/>
      <c r="CH70" s="938">
        <f t="shared" si="49"/>
        <v>0</v>
      </c>
      <c r="CI70" s="938">
        <f t="shared" si="50"/>
        <v>0</v>
      </c>
      <c r="CJ70" s="938">
        <f t="shared" si="51"/>
        <v>0</v>
      </c>
      <c r="CK70" s="938">
        <f t="shared" si="52"/>
        <v>0</v>
      </c>
      <c r="CL70" s="938">
        <f t="shared" si="53"/>
        <v>0</v>
      </c>
      <c r="CM70" s="938" t="str">
        <f t="shared" si="54"/>
        <v/>
      </c>
      <c r="CN70" s="713">
        <f>'min. Düngung 22'!AF71</f>
        <v>0</v>
      </c>
      <c r="CO70" s="938"/>
      <c r="CP70" s="938"/>
      <c r="CQ70" s="938">
        <f t="shared" si="55"/>
        <v>0</v>
      </c>
      <c r="CR70" s="938">
        <f t="shared" si="56"/>
        <v>0</v>
      </c>
      <c r="CS70" s="938">
        <f t="shared" si="57"/>
        <v>0</v>
      </c>
      <c r="CT70" s="938">
        <f t="shared" si="58"/>
        <v>0</v>
      </c>
      <c r="CU70" s="938">
        <f t="shared" si="59"/>
        <v>0</v>
      </c>
      <c r="CV70" s="938" t="str">
        <f t="shared" si="60"/>
        <v/>
      </c>
      <c r="CW70" s="713">
        <f>'min. Düngung 22'!AI71</f>
        <v>0</v>
      </c>
      <c r="CX70" s="938"/>
      <c r="CY70" s="938"/>
      <c r="CZ70" s="938">
        <f t="shared" si="61"/>
        <v>0</v>
      </c>
      <c r="DA70" s="938">
        <f t="shared" si="62"/>
        <v>0</v>
      </c>
      <c r="DB70" s="938">
        <f t="shared" si="63"/>
        <v>0</v>
      </c>
      <c r="DC70" s="938">
        <f t="shared" si="64"/>
        <v>0</v>
      </c>
      <c r="DD70" s="938">
        <f t="shared" si="65"/>
        <v>0</v>
      </c>
      <c r="DE70" s="938" t="str">
        <f t="shared" si="66"/>
        <v/>
      </c>
      <c r="DF70" s="713">
        <f>'min. Düngung 22'!AL71</f>
        <v>0</v>
      </c>
      <c r="DG70" s="938"/>
      <c r="DH70" s="938"/>
      <c r="DI70" s="938">
        <f t="shared" si="67"/>
        <v>0</v>
      </c>
      <c r="DJ70" s="938">
        <f t="shared" si="68"/>
        <v>0</v>
      </c>
      <c r="DK70" s="938">
        <f t="shared" si="69"/>
        <v>0</v>
      </c>
      <c r="DL70" s="938">
        <f t="shared" si="70"/>
        <v>0</v>
      </c>
      <c r="DM70" s="938">
        <f t="shared" si="71"/>
        <v>0</v>
      </c>
      <c r="DN70" s="938" t="str">
        <f t="shared" si="72"/>
        <v/>
      </c>
      <c r="DO70" s="713">
        <f>'min. Düngung 22'!AO71</f>
        <v>0</v>
      </c>
      <c r="DP70" s="938"/>
      <c r="DQ70" s="938"/>
      <c r="DR70" s="938">
        <f t="shared" si="73"/>
        <v>0</v>
      </c>
      <c r="DS70" s="938">
        <f t="shared" si="74"/>
        <v>0</v>
      </c>
      <c r="DT70" s="938">
        <f t="shared" si="75"/>
        <v>0</v>
      </c>
      <c r="DU70" s="938">
        <f t="shared" si="76"/>
        <v>0</v>
      </c>
      <c r="DV70" s="938">
        <f t="shared" si="77"/>
        <v>0</v>
      </c>
      <c r="DW70" s="938" t="str">
        <f t="shared" si="78"/>
        <v/>
      </c>
      <c r="DX70" s="713">
        <f>'min. Düngung 22'!AR71</f>
        <v>0</v>
      </c>
      <c r="DY70" s="938"/>
      <c r="DZ70" s="938"/>
      <c r="EA70" s="938">
        <f t="shared" si="79"/>
        <v>0</v>
      </c>
      <c r="EB70" s="938">
        <f t="shared" si="80"/>
        <v>0</v>
      </c>
      <c r="EC70" s="938">
        <f t="shared" si="81"/>
        <v>0</v>
      </c>
      <c r="ED70" s="938">
        <f t="shared" si="82"/>
        <v>0</v>
      </c>
      <c r="EE70" s="938">
        <f t="shared" si="83"/>
        <v>0</v>
      </c>
      <c r="EF70" s="938" t="str">
        <f t="shared" si="84"/>
        <v/>
      </c>
      <c r="EG70" s="713">
        <f>'min. Düngung 22'!AU71</f>
        <v>0</v>
      </c>
      <c r="EH70" s="938"/>
      <c r="EI70" s="938"/>
      <c r="EJ70" s="938">
        <f t="shared" si="85"/>
        <v>0</v>
      </c>
      <c r="EK70" s="938">
        <f t="shared" si="86"/>
        <v>0</v>
      </c>
      <c r="EL70" s="938">
        <f t="shared" si="87"/>
        <v>0</v>
      </c>
      <c r="EM70" s="938">
        <f t="shared" si="88"/>
        <v>0</v>
      </c>
      <c r="EN70" s="938">
        <f t="shared" si="89"/>
        <v>0</v>
      </c>
      <c r="EO70" s="938" t="str">
        <f t="shared" si="90"/>
        <v/>
      </c>
      <c r="EP70" s="713">
        <f>'min. Düngung 22'!AX71</f>
        <v>0</v>
      </c>
      <c r="EQ70" s="938"/>
      <c r="ER70" s="938"/>
      <c r="ES70" s="938">
        <f t="shared" si="91"/>
        <v>0</v>
      </c>
      <c r="ET70" s="938">
        <f t="shared" si="92"/>
        <v>0</v>
      </c>
      <c r="EU70" s="938">
        <f t="shared" si="93"/>
        <v>0</v>
      </c>
      <c r="EV70" s="938">
        <f t="shared" si="94"/>
        <v>0</v>
      </c>
      <c r="EW70" s="938">
        <f t="shared" si="95"/>
        <v>0</v>
      </c>
      <c r="EX70" s="938" t="str">
        <f t="shared" si="96"/>
        <v/>
      </c>
      <c r="EY70" s="713">
        <f>'min. Düngung 22'!BA71</f>
        <v>0</v>
      </c>
      <c r="EZ70" s="938"/>
      <c r="FA70" s="938"/>
      <c r="FB70" s="938">
        <f t="shared" si="97"/>
        <v>0</v>
      </c>
      <c r="FC70" s="938">
        <f t="shared" si="98"/>
        <v>0</v>
      </c>
      <c r="FD70" s="938">
        <f t="shared" si="99"/>
        <v>0</v>
      </c>
      <c r="FE70" s="938">
        <f t="shared" si="100"/>
        <v>0</v>
      </c>
      <c r="FF70" s="938">
        <f t="shared" si="101"/>
        <v>0</v>
      </c>
      <c r="FG70" s="938" t="str">
        <f t="shared" si="102"/>
        <v/>
      </c>
      <c r="FH70" s="713">
        <f>'min. Düngung 22'!BD71</f>
        <v>0</v>
      </c>
      <c r="FI70" s="938"/>
      <c r="FJ70" s="938"/>
      <c r="FK70" s="938">
        <f t="shared" si="103"/>
        <v>0</v>
      </c>
      <c r="FL70" s="938">
        <f t="shared" si="104"/>
        <v>0</v>
      </c>
      <c r="FM70" s="938">
        <f t="shared" si="105"/>
        <v>0</v>
      </c>
      <c r="FN70" s="938">
        <f t="shared" si="106"/>
        <v>0</v>
      </c>
      <c r="FO70" s="938">
        <f t="shared" si="107"/>
        <v>0</v>
      </c>
      <c r="FP70" s="938" t="str">
        <f t="shared" si="108"/>
        <v/>
      </c>
      <c r="FQ70" s="713">
        <f>'min. Düngung 22'!BG71</f>
        <v>0</v>
      </c>
      <c r="FR70" s="938"/>
      <c r="FS70" s="938"/>
      <c r="FT70" s="938">
        <f t="shared" si="109"/>
        <v>0</v>
      </c>
      <c r="FU70" s="938">
        <f t="shared" si="110"/>
        <v>0</v>
      </c>
      <c r="FV70" s="938">
        <f t="shared" si="111"/>
        <v>0</v>
      </c>
      <c r="FW70" s="938">
        <f t="shared" si="112"/>
        <v>0</v>
      </c>
      <c r="FX70" s="938">
        <f t="shared" si="113"/>
        <v>0</v>
      </c>
      <c r="FY70" s="938" t="str">
        <f t="shared" si="114"/>
        <v/>
      </c>
      <c r="FZ70" s="713">
        <f>'min. Düngung 22'!BJ71</f>
        <v>0</v>
      </c>
      <c r="GA70" s="938"/>
      <c r="GB70" s="938"/>
      <c r="GC70" s="938">
        <f t="shared" si="115"/>
        <v>0</v>
      </c>
      <c r="GD70" s="938">
        <f t="shared" si="116"/>
        <v>0</v>
      </c>
      <c r="GE70" s="938">
        <f t="shared" si="117"/>
        <v>0</v>
      </c>
      <c r="GF70" s="938">
        <f t="shared" si="118"/>
        <v>0</v>
      </c>
      <c r="GG70" s="938">
        <f t="shared" si="119"/>
        <v>0</v>
      </c>
      <c r="GH70" s="938" t="str">
        <f t="shared" si="120"/>
        <v/>
      </c>
      <c r="GI70" s="713">
        <f>'min. Düngung 22'!BM71</f>
        <v>0</v>
      </c>
      <c r="GJ70" s="938"/>
      <c r="GK70" s="938"/>
      <c r="GL70" s="938">
        <f t="shared" si="121"/>
        <v>0</v>
      </c>
      <c r="GM70" s="938">
        <f t="shared" si="122"/>
        <v>0</v>
      </c>
      <c r="GN70" s="938">
        <f t="shared" si="123"/>
        <v>0</v>
      </c>
      <c r="GO70" s="938">
        <f t="shared" si="124"/>
        <v>0</v>
      </c>
      <c r="GP70" s="938">
        <f t="shared" si="125"/>
        <v>0</v>
      </c>
      <c r="GQ70" s="938" t="str">
        <f t="shared" si="126"/>
        <v/>
      </c>
      <c r="GR70" s="713">
        <f>'min. Düngung 22'!BP71</f>
        <v>0</v>
      </c>
      <c r="GS70" s="938"/>
      <c r="GT70" s="938"/>
      <c r="GU70" s="938">
        <f t="shared" si="127"/>
        <v>0</v>
      </c>
      <c r="GV70" s="938">
        <f t="shared" si="128"/>
        <v>0</v>
      </c>
      <c r="GW70" s="938">
        <f t="shared" si="129"/>
        <v>0</v>
      </c>
      <c r="GX70" s="938">
        <f t="shared" si="130"/>
        <v>0</v>
      </c>
      <c r="GY70" s="938">
        <f t="shared" si="131"/>
        <v>0</v>
      </c>
      <c r="GZ70" s="938" t="str">
        <f t="shared" si="132"/>
        <v/>
      </c>
      <c r="HA70" s="713">
        <f>'min. Düngung 22'!BS71</f>
        <v>0</v>
      </c>
      <c r="HB70" s="938"/>
      <c r="HC70" s="938"/>
      <c r="HD70" s="938">
        <f t="shared" si="133"/>
        <v>0</v>
      </c>
      <c r="HE70" s="938">
        <f t="shared" si="134"/>
        <v>0</v>
      </c>
      <c r="HF70" s="938">
        <f t="shared" si="135"/>
        <v>0</v>
      </c>
      <c r="HG70" s="938">
        <f t="shared" si="136"/>
        <v>0</v>
      </c>
      <c r="HH70" s="938">
        <f t="shared" si="137"/>
        <v>0</v>
      </c>
      <c r="HI70" s="938" t="str">
        <f t="shared" si="138"/>
        <v/>
      </c>
      <c r="HJ70" s="713">
        <f>'min. Düngung 22'!BV71</f>
        <v>0</v>
      </c>
      <c r="HK70" s="938"/>
      <c r="HL70" s="938"/>
      <c r="HM70" s="938">
        <f t="shared" si="139"/>
        <v>0</v>
      </c>
      <c r="HN70" s="938">
        <f t="shared" si="140"/>
        <v>0</v>
      </c>
      <c r="HO70" s="938">
        <f t="shared" si="141"/>
        <v>0</v>
      </c>
      <c r="HP70" s="938">
        <f t="shared" si="142"/>
        <v>0</v>
      </c>
      <c r="HQ70" s="938">
        <f t="shared" si="143"/>
        <v>0</v>
      </c>
      <c r="HR70" s="938" t="str">
        <f t="shared" si="144"/>
        <v/>
      </c>
      <c r="HS70" s="713">
        <f>'min. Düngung 22'!BY71</f>
        <v>0</v>
      </c>
      <c r="HT70" s="938"/>
      <c r="HU70" s="938"/>
      <c r="HV70" s="938">
        <f t="shared" si="145"/>
        <v>0</v>
      </c>
      <c r="HW70" s="938">
        <f t="shared" si="146"/>
        <v>0</v>
      </c>
      <c r="HX70" s="938">
        <f t="shared" si="147"/>
        <v>0</v>
      </c>
      <c r="HY70" s="938">
        <f t="shared" si="148"/>
        <v>0</v>
      </c>
      <c r="HZ70" s="938">
        <f t="shared" si="149"/>
        <v>0</v>
      </c>
      <c r="IA70" s="938" t="str">
        <f t="shared" si="150"/>
        <v/>
      </c>
      <c r="IB70" s="713">
        <f>'min. Düngung 22'!CB71</f>
        <v>0</v>
      </c>
      <c r="IC70" s="938"/>
      <c r="ID70" s="938"/>
      <c r="IE70" s="938">
        <f t="shared" si="151"/>
        <v>0</v>
      </c>
      <c r="IF70" s="938">
        <f t="shared" si="152"/>
        <v>0</v>
      </c>
      <c r="IG70" s="938">
        <f t="shared" si="153"/>
        <v>0</v>
      </c>
      <c r="IH70" s="938">
        <f t="shared" si="154"/>
        <v>0</v>
      </c>
      <c r="II70" s="938">
        <f t="shared" si="155"/>
        <v>0</v>
      </c>
      <c r="IJ70" s="938" t="str">
        <f t="shared" si="156"/>
        <v/>
      </c>
      <c r="IK70" s="713">
        <f>'min. Düngung 22'!CE71</f>
        <v>0</v>
      </c>
      <c r="IL70" s="938"/>
      <c r="IM70" s="938"/>
      <c r="IN70" s="938">
        <f t="shared" si="157"/>
        <v>0</v>
      </c>
      <c r="IO70" s="938">
        <f t="shared" si="158"/>
        <v>0</v>
      </c>
      <c r="IP70" s="938">
        <f t="shared" si="159"/>
        <v>0</v>
      </c>
      <c r="IQ70" s="938">
        <f t="shared" si="160"/>
        <v>0</v>
      </c>
      <c r="IR70" s="938">
        <f t="shared" si="161"/>
        <v>0</v>
      </c>
      <c r="IS70" s="938" t="str">
        <f t="shared" si="162"/>
        <v/>
      </c>
      <c r="IT70" s="713">
        <f>'min. Düngung 22'!CH71</f>
        <v>0</v>
      </c>
      <c r="IU70" s="938"/>
      <c r="IV70" s="938"/>
      <c r="IW70" s="938">
        <f t="shared" si="163"/>
        <v>0</v>
      </c>
      <c r="IX70" s="938">
        <f t="shared" si="164"/>
        <v>0</v>
      </c>
      <c r="IY70" s="938">
        <f t="shared" si="165"/>
        <v>0</v>
      </c>
      <c r="IZ70" s="938">
        <f t="shared" si="166"/>
        <v>0</v>
      </c>
      <c r="JA70" s="938">
        <f t="shared" si="167"/>
        <v>0</v>
      </c>
      <c r="JB70" s="938" t="str">
        <f t="shared" si="168"/>
        <v/>
      </c>
      <c r="JC70" s="713">
        <f>'min. Düngung 22'!CK71</f>
        <v>0</v>
      </c>
      <c r="JD70" s="938"/>
      <c r="JE70" s="938"/>
      <c r="JF70" s="938">
        <f t="shared" si="169"/>
        <v>0</v>
      </c>
      <c r="JG70" s="938">
        <f t="shared" si="170"/>
        <v>0</v>
      </c>
      <c r="JH70" s="938">
        <f t="shared" si="171"/>
        <v>0</v>
      </c>
      <c r="JI70" s="938">
        <f t="shared" si="172"/>
        <v>0</v>
      </c>
      <c r="JJ70" s="938">
        <f t="shared" si="173"/>
        <v>0</v>
      </c>
      <c r="JK70" s="938" t="str">
        <f t="shared" si="174"/>
        <v/>
      </c>
      <c r="JL70" s="713">
        <f>'min. Düngung 22'!CN71</f>
        <v>0</v>
      </c>
      <c r="JM70" s="938"/>
      <c r="JN70" s="938"/>
      <c r="JO70" s="938">
        <f t="shared" si="175"/>
        <v>0</v>
      </c>
      <c r="JP70" s="938">
        <f t="shared" si="176"/>
        <v>0</v>
      </c>
      <c r="JQ70" s="938">
        <f t="shared" si="177"/>
        <v>0</v>
      </c>
      <c r="JR70" s="938">
        <f t="shared" si="178"/>
        <v>0</v>
      </c>
      <c r="JS70" s="938">
        <f t="shared" si="179"/>
        <v>0</v>
      </c>
      <c r="JT70" s="938" t="str">
        <f t="shared" si="180"/>
        <v/>
      </c>
      <c r="JU70" s="713">
        <f>'min. Düngung 22'!CQ71</f>
        <v>0</v>
      </c>
      <c r="JV70" s="938"/>
      <c r="JW70" s="938"/>
      <c r="JX70" s="938">
        <f t="shared" si="181"/>
        <v>0</v>
      </c>
      <c r="JY70" s="938">
        <f t="shared" si="182"/>
        <v>0</v>
      </c>
      <c r="JZ70" s="938">
        <f t="shared" si="183"/>
        <v>0</v>
      </c>
      <c r="KA70" s="938">
        <f t="shared" si="184"/>
        <v>0</v>
      </c>
      <c r="KB70" s="938">
        <f t="shared" si="185"/>
        <v>0</v>
      </c>
      <c r="KC70" s="938" t="str">
        <f t="shared" si="186"/>
        <v/>
      </c>
      <c r="KE70" s="938"/>
      <c r="KF70" s="938" t="str">
        <f>IF(AND($F70=2,$G70=1),"",IF(OR($Q70&gt;0,$O70&gt;60),$KF$7,IF(I70=70,"",IF(AND(I70=80,R70+'#orgDung'!AC73&lt;60,K70=1,OR(C70=2,'#BerechnungDBE'!AH64=4)),"",IF(R70&gt;0,$KF$7,"")))))</f>
        <v/>
      </c>
      <c r="KG70" s="938" t="str">
        <f>IF(AND(P70&gt;'#BerechnungDBE'!BJ64,P70&gt;0),'#minDung'!$KG$7,"")</f>
        <v/>
      </c>
      <c r="KH70" s="938" t="str">
        <f>IF(AND(I70=70,R70&gt;'#BerechnungDBE'!CR64),'#minDung'!$KH$7,"")</f>
        <v/>
      </c>
      <c r="KI70" s="938" t="str">
        <f>IF('#BerechnungDBE'!P64&lt;4,"",IF(AND('#BerechnungDBE'!BZ64&gt;0,N70&gt;0),$KI$7,""))</f>
        <v/>
      </c>
      <c r="KJ70" s="938" t="str">
        <f t="shared" si="5"/>
        <v/>
      </c>
    </row>
    <row r="71" spans="1:296" s="875" customFormat="1" hidden="1" x14ac:dyDescent="0.2">
      <c r="A71" s="875">
        <f>'Flächen u. Kulturen'!A70</f>
        <v>61</v>
      </c>
      <c r="B71" s="734">
        <f>'#BerechnungDBE'!L65</f>
        <v>0</v>
      </c>
      <c r="C71" s="46">
        <f>'#orgDung'!C74</f>
        <v>1</v>
      </c>
      <c r="D71" s="875">
        <f>'#BerechnungDBE'!T65</f>
        <v>2</v>
      </c>
      <c r="E71" s="875" t="str">
        <f>'Flächen u. Kulturen'!E70</f>
        <v>x</v>
      </c>
      <c r="F71" s="52">
        <f>'#BerechnungDBE'!N65</f>
        <v>1</v>
      </c>
      <c r="G71" s="52">
        <f>'#BerechnungDBE'!O65</f>
        <v>1</v>
      </c>
      <c r="H71" s="505">
        <f>'#orgDung'!J74</f>
        <v>2</v>
      </c>
      <c r="I71" s="875">
        <f>'#BerechnungDBE'!AF65</f>
        <v>0</v>
      </c>
      <c r="J71" s="875">
        <f>'#orgDung'!M74</f>
        <v>0</v>
      </c>
      <c r="K71" s="875">
        <f>'#BerechnungDBE'!AG65</f>
        <v>0</v>
      </c>
      <c r="M71" s="875">
        <f t="shared" si="187"/>
        <v>0</v>
      </c>
      <c r="N71" s="875">
        <f t="shared" si="188"/>
        <v>0</v>
      </c>
      <c r="O71" s="875">
        <f t="shared" si="189"/>
        <v>0</v>
      </c>
      <c r="P71" s="875">
        <f t="shared" si="190"/>
        <v>0</v>
      </c>
      <c r="Q71" s="938">
        <f t="shared" si="6"/>
        <v>0</v>
      </c>
      <c r="R71" s="875">
        <f t="shared" si="191"/>
        <v>0</v>
      </c>
      <c r="T71" s="713">
        <f>'min. Düngung 22'!H72</f>
        <v>0</v>
      </c>
      <c r="W71" s="875">
        <f t="shared" si="7"/>
        <v>0</v>
      </c>
      <c r="X71" s="875">
        <f t="shared" si="8"/>
        <v>0</v>
      </c>
      <c r="Y71" s="875">
        <f t="shared" si="9"/>
        <v>0</v>
      </c>
      <c r="Z71" s="875">
        <f t="shared" si="10"/>
        <v>0</v>
      </c>
      <c r="AA71" s="875">
        <f t="shared" si="11"/>
        <v>0</v>
      </c>
      <c r="AB71" s="875" t="str">
        <f t="shared" si="12"/>
        <v/>
      </c>
      <c r="AC71" s="713">
        <f>'min. Düngung 22'!K72</f>
        <v>0</v>
      </c>
      <c r="AD71" s="938"/>
      <c r="AE71" s="938"/>
      <c r="AF71" s="938">
        <f t="shared" si="13"/>
        <v>0</v>
      </c>
      <c r="AG71" s="938">
        <f t="shared" si="14"/>
        <v>0</v>
      </c>
      <c r="AH71" s="938">
        <f t="shared" si="15"/>
        <v>0</v>
      </c>
      <c r="AI71" s="938">
        <f t="shared" si="16"/>
        <v>0</v>
      </c>
      <c r="AJ71" s="938">
        <f t="shared" si="17"/>
        <v>0</v>
      </c>
      <c r="AK71" s="938">
        <f t="shared" si="18"/>
        <v>0</v>
      </c>
      <c r="AL71" s="713">
        <f>'min. Düngung 22'!N72</f>
        <v>0</v>
      </c>
      <c r="AM71" s="938"/>
      <c r="AN71" s="938"/>
      <c r="AO71" s="938">
        <f t="shared" si="19"/>
        <v>0</v>
      </c>
      <c r="AP71" s="938">
        <f t="shared" si="20"/>
        <v>0</v>
      </c>
      <c r="AQ71" s="938">
        <f t="shared" si="21"/>
        <v>0</v>
      </c>
      <c r="AR71" s="938">
        <f t="shared" si="22"/>
        <v>0</v>
      </c>
      <c r="AS71" s="938">
        <f t="shared" si="23"/>
        <v>0</v>
      </c>
      <c r="AT71" s="938" t="str">
        <f t="shared" si="24"/>
        <v/>
      </c>
      <c r="AU71" s="713">
        <f>'min. Düngung 22'!Q72</f>
        <v>0</v>
      </c>
      <c r="AV71" s="938"/>
      <c r="AW71" s="938"/>
      <c r="AX71" s="938">
        <f t="shared" si="25"/>
        <v>0</v>
      </c>
      <c r="AY71" s="938">
        <f t="shared" si="26"/>
        <v>0</v>
      </c>
      <c r="AZ71" s="938">
        <f t="shared" si="27"/>
        <v>0</v>
      </c>
      <c r="BA71" s="938">
        <f t="shared" si="28"/>
        <v>0</v>
      </c>
      <c r="BB71" s="938">
        <f t="shared" si="29"/>
        <v>0</v>
      </c>
      <c r="BC71" s="938" t="str">
        <f t="shared" si="30"/>
        <v/>
      </c>
      <c r="BD71" s="713">
        <f>'min. Düngung 22'!T72</f>
        <v>0</v>
      </c>
      <c r="BE71" s="938"/>
      <c r="BF71" s="938"/>
      <c r="BG71" s="938">
        <f t="shared" si="31"/>
        <v>0</v>
      </c>
      <c r="BH71" s="938">
        <f t="shared" si="32"/>
        <v>0</v>
      </c>
      <c r="BI71" s="938">
        <f t="shared" si="33"/>
        <v>0</v>
      </c>
      <c r="BJ71" s="938">
        <f t="shared" si="34"/>
        <v>0</v>
      </c>
      <c r="BK71" s="938">
        <f t="shared" si="35"/>
        <v>0</v>
      </c>
      <c r="BL71" s="938" t="str">
        <f t="shared" si="36"/>
        <v/>
      </c>
      <c r="BM71" s="713">
        <f>'min. Düngung 22'!W72</f>
        <v>0</v>
      </c>
      <c r="BN71" s="938"/>
      <c r="BO71" s="938"/>
      <c r="BP71" s="938">
        <f t="shared" si="37"/>
        <v>0</v>
      </c>
      <c r="BQ71" s="938">
        <f t="shared" si="38"/>
        <v>0</v>
      </c>
      <c r="BR71" s="938">
        <f t="shared" si="39"/>
        <v>0</v>
      </c>
      <c r="BS71" s="938">
        <f t="shared" si="40"/>
        <v>0</v>
      </c>
      <c r="BT71" s="938">
        <f t="shared" si="41"/>
        <v>0</v>
      </c>
      <c r="BU71" s="938" t="str">
        <f t="shared" si="42"/>
        <v/>
      </c>
      <c r="BV71" s="713">
        <f>'min. Düngung 22'!Z72</f>
        <v>0</v>
      </c>
      <c r="BW71" s="938"/>
      <c r="BX71" s="938"/>
      <c r="BY71" s="938">
        <f t="shared" si="43"/>
        <v>0</v>
      </c>
      <c r="BZ71" s="938">
        <f t="shared" si="44"/>
        <v>0</v>
      </c>
      <c r="CA71" s="938">
        <f t="shared" si="45"/>
        <v>0</v>
      </c>
      <c r="CB71" s="938">
        <f t="shared" si="46"/>
        <v>0</v>
      </c>
      <c r="CC71" s="938">
        <f t="shared" si="47"/>
        <v>0</v>
      </c>
      <c r="CD71" s="938" t="str">
        <f t="shared" si="48"/>
        <v/>
      </c>
      <c r="CE71" s="713">
        <f>'min. Düngung 22'!AC72</f>
        <v>0</v>
      </c>
      <c r="CF71" s="938"/>
      <c r="CG71" s="938"/>
      <c r="CH71" s="938">
        <f t="shared" si="49"/>
        <v>0</v>
      </c>
      <c r="CI71" s="938">
        <f t="shared" si="50"/>
        <v>0</v>
      </c>
      <c r="CJ71" s="938">
        <f t="shared" si="51"/>
        <v>0</v>
      </c>
      <c r="CK71" s="938">
        <f t="shared" si="52"/>
        <v>0</v>
      </c>
      <c r="CL71" s="938">
        <f t="shared" si="53"/>
        <v>0</v>
      </c>
      <c r="CM71" s="938" t="str">
        <f t="shared" si="54"/>
        <v/>
      </c>
      <c r="CN71" s="713">
        <f>'min. Düngung 22'!AF72</f>
        <v>0</v>
      </c>
      <c r="CO71" s="938"/>
      <c r="CP71" s="938"/>
      <c r="CQ71" s="938">
        <f t="shared" si="55"/>
        <v>0</v>
      </c>
      <c r="CR71" s="938">
        <f t="shared" si="56"/>
        <v>0</v>
      </c>
      <c r="CS71" s="938">
        <f t="shared" si="57"/>
        <v>0</v>
      </c>
      <c r="CT71" s="938">
        <f t="shared" si="58"/>
        <v>0</v>
      </c>
      <c r="CU71" s="938">
        <f t="shared" si="59"/>
        <v>0</v>
      </c>
      <c r="CV71" s="938" t="str">
        <f t="shared" si="60"/>
        <v/>
      </c>
      <c r="CW71" s="713">
        <f>'min. Düngung 22'!AI72</f>
        <v>0</v>
      </c>
      <c r="CX71" s="938"/>
      <c r="CY71" s="938"/>
      <c r="CZ71" s="938">
        <f t="shared" si="61"/>
        <v>0</v>
      </c>
      <c r="DA71" s="938">
        <f t="shared" si="62"/>
        <v>0</v>
      </c>
      <c r="DB71" s="938">
        <f t="shared" si="63"/>
        <v>0</v>
      </c>
      <c r="DC71" s="938">
        <f t="shared" si="64"/>
        <v>0</v>
      </c>
      <c r="DD71" s="938">
        <f t="shared" si="65"/>
        <v>0</v>
      </c>
      <c r="DE71" s="938" t="str">
        <f t="shared" si="66"/>
        <v/>
      </c>
      <c r="DF71" s="713">
        <f>'min. Düngung 22'!AL72</f>
        <v>0</v>
      </c>
      <c r="DG71" s="938"/>
      <c r="DH71" s="938"/>
      <c r="DI71" s="938">
        <f t="shared" si="67"/>
        <v>0</v>
      </c>
      <c r="DJ71" s="938">
        <f t="shared" si="68"/>
        <v>0</v>
      </c>
      <c r="DK71" s="938">
        <f t="shared" si="69"/>
        <v>0</v>
      </c>
      <c r="DL71" s="938">
        <f t="shared" si="70"/>
        <v>0</v>
      </c>
      <c r="DM71" s="938">
        <f t="shared" si="71"/>
        <v>0</v>
      </c>
      <c r="DN71" s="938" t="str">
        <f t="shared" si="72"/>
        <v/>
      </c>
      <c r="DO71" s="713">
        <f>'min. Düngung 22'!AO72</f>
        <v>0</v>
      </c>
      <c r="DP71" s="938"/>
      <c r="DQ71" s="938"/>
      <c r="DR71" s="938">
        <f t="shared" si="73"/>
        <v>0</v>
      </c>
      <c r="DS71" s="938">
        <f t="shared" si="74"/>
        <v>0</v>
      </c>
      <c r="DT71" s="938">
        <f t="shared" si="75"/>
        <v>0</v>
      </c>
      <c r="DU71" s="938">
        <f t="shared" si="76"/>
        <v>0</v>
      </c>
      <c r="DV71" s="938">
        <f t="shared" si="77"/>
        <v>0</v>
      </c>
      <c r="DW71" s="938" t="str">
        <f t="shared" si="78"/>
        <v/>
      </c>
      <c r="DX71" s="713">
        <f>'min. Düngung 22'!AR72</f>
        <v>0</v>
      </c>
      <c r="DY71" s="938"/>
      <c r="DZ71" s="938"/>
      <c r="EA71" s="938">
        <f t="shared" si="79"/>
        <v>0</v>
      </c>
      <c r="EB71" s="938">
        <f t="shared" si="80"/>
        <v>0</v>
      </c>
      <c r="EC71" s="938">
        <f t="shared" si="81"/>
        <v>0</v>
      </c>
      <c r="ED71" s="938">
        <f t="shared" si="82"/>
        <v>0</v>
      </c>
      <c r="EE71" s="938">
        <f t="shared" si="83"/>
        <v>0</v>
      </c>
      <c r="EF71" s="938" t="str">
        <f t="shared" si="84"/>
        <v/>
      </c>
      <c r="EG71" s="713">
        <f>'min. Düngung 22'!AU72</f>
        <v>0</v>
      </c>
      <c r="EH71" s="938"/>
      <c r="EI71" s="938"/>
      <c r="EJ71" s="938">
        <f t="shared" si="85"/>
        <v>0</v>
      </c>
      <c r="EK71" s="938">
        <f t="shared" si="86"/>
        <v>0</v>
      </c>
      <c r="EL71" s="938">
        <f t="shared" si="87"/>
        <v>0</v>
      </c>
      <c r="EM71" s="938">
        <f t="shared" si="88"/>
        <v>0</v>
      </c>
      <c r="EN71" s="938">
        <f t="shared" si="89"/>
        <v>0</v>
      </c>
      <c r="EO71" s="938" t="str">
        <f t="shared" si="90"/>
        <v/>
      </c>
      <c r="EP71" s="713">
        <f>'min. Düngung 22'!AX72</f>
        <v>0</v>
      </c>
      <c r="EQ71" s="938"/>
      <c r="ER71" s="938"/>
      <c r="ES71" s="938">
        <f t="shared" si="91"/>
        <v>0</v>
      </c>
      <c r="ET71" s="938">
        <f t="shared" si="92"/>
        <v>0</v>
      </c>
      <c r="EU71" s="938">
        <f t="shared" si="93"/>
        <v>0</v>
      </c>
      <c r="EV71" s="938">
        <f t="shared" si="94"/>
        <v>0</v>
      </c>
      <c r="EW71" s="938">
        <f t="shared" si="95"/>
        <v>0</v>
      </c>
      <c r="EX71" s="938" t="str">
        <f t="shared" si="96"/>
        <v/>
      </c>
      <c r="EY71" s="713">
        <f>'min. Düngung 22'!BA72</f>
        <v>0</v>
      </c>
      <c r="EZ71" s="938"/>
      <c r="FA71" s="938"/>
      <c r="FB71" s="938">
        <f t="shared" si="97"/>
        <v>0</v>
      </c>
      <c r="FC71" s="938">
        <f t="shared" si="98"/>
        <v>0</v>
      </c>
      <c r="FD71" s="938">
        <f t="shared" si="99"/>
        <v>0</v>
      </c>
      <c r="FE71" s="938">
        <f t="shared" si="100"/>
        <v>0</v>
      </c>
      <c r="FF71" s="938">
        <f t="shared" si="101"/>
        <v>0</v>
      </c>
      <c r="FG71" s="938" t="str">
        <f t="shared" si="102"/>
        <v/>
      </c>
      <c r="FH71" s="713">
        <f>'min. Düngung 22'!BD72</f>
        <v>0</v>
      </c>
      <c r="FI71" s="938"/>
      <c r="FJ71" s="938"/>
      <c r="FK71" s="938">
        <f t="shared" si="103"/>
        <v>0</v>
      </c>
      <c r="FL71" s="938">
        <f t="shared" si="104"/>
        <v>0</v>
      </c>
      <c r="FM71" s="938">
        <f t="shared" si="105"/>
        <v>0</v>
      </c>
      <c r="FN71" s="938">
        <f t="shared" si="106"/>
        <v>0</v>
      </c>
      <c r="FO71" s="938">
        <f t="shared" si="107"/>
        <v>0</v>
      </c>
      <c r="FP71" s="938" t="str">
        <f t="shared" si="108"/>
        <v/>
      </c>
      <c r="FQ71" s="713">
        <f>'min. Düngung 22'!BG72</f>
        <v>0</v>
      </c>
      <c r="FR71" s="938"/>
      <c r="FS71" s="938"/>
      <c r="FT71" s="938">
        <f t="shared" si="109"/>
        <v>0</v>
      </c>
      <c r="FU71" s="938">
        <f t="shared" si="110"/>
        <v>0</v>
      </c>
      <c r="FV71" s="938">
        <f t="shared" si="111"/>
        <v>0</v>
      </c>
      <c r="FW71" s="938">
        <f t="shared" si="112"/>
        <v>0</v>
      </c>
      <c r="FX71" s="938">
        <f t="shared" si="113"/>
        <v>0</v>
      </c>
      <c r="FY71" s="938" t="str">
        <f t="shared" si="114"/>
        <v/>
      </c>
      <c r="FZ71" s="713">
        <f>'min. Düngung 22'!BJ72</f>
        <v>0</v>
      </c>
      <c r="GA71" s="938"/>
      <c r="GB71" s="938"/>
      <c r="GC71" s="938">
        <f t="shared" si="115"/>
        <v>0</v>
      </c>
      <c r="GD71" s="938">
        <f t="shared" si="116"/>
        <v>0</v>
      </c>
      <c r="GE71" s="938">
        <f t="shared" si="117"/>
        <v>0</v>
      </c>
      <c r="GF71" s="938">
        <f t="shared" si="118"/>
        <v>0</v>
      </c>
      <c r="GG71" s="938">
        <f t="shared" si="119"/>
        <v>0</v>
      </c>
      <c r="GH71" s="938" t="str">
        <f t="shared" si="120"/>
        <v/>
      </c>
      <c r="GI71" s="713">
        <f>'min. Düngung 22'!BM72</f>
        <v>0</v>
      </c>
      <c r="GJ71" s="938"/>
      <c r="GK71" s="938"/>
      <c r="GL71" s="938">
        <f t="shared" si="121"/>
        <v>0</v>
      </c>
      <c r="GM71" s="938">
        <f t="shared" si="122"/>
        <v>0</v>
      </c>
      <c r="GN71" s="938">
        <f t="shared" si="123"/>
        <v>0</v>
      </c>
      <c r="GO71" s="938">
        <f t="shared" si="124"/>
        <v>0</v>
      </c>
      <c r="GP71" s="938">
        <f t="shared" si="125"/>
        <v>0</v>
      </c>
      <c r="GQ71" s="938" t="str">
        <f t="shared" si="126"/>
        <v/>
      </c>
      <c r="GR71" s="713">
        <f>'min. Düngung 22'!BP72</f>
        <v>0</v>
      </c>
      <c r="GS71" s="938"/>
      <c r="GT71" s="938"/>
      <c r="GU71" s="938">
        <f t="shared" si="127"/>
        <v>0</v>
      </c>
      <c r="GV71" s="938">
        <f t="shared" si="128"/>
        <v>0</v>
      </c>
      <c r="GW71" s="938">
        <f t="shared" si="129"/>
        <v>0</v>
      </c>
      <c r="GX71" s="938">
        <f t="shared" si="130"/>
        <v>0</v>
      </c>
      <c r="GY71" s="938">
        <f t="shared" si="131"/>
        <v>0</v>
      </c>
      <c r="GZ71" s="938" t="str">
        <f t="shared" si="132"/>
        <v/>
      </c>
      <c r="HA71" s="713">
        <f>'min. Düngung 22'!BS72</f>
        <v>0</v>
      </c>
      <c r="HB71" s="938"/>
      <c r="HC71" s="938"/>
      <c r="HD71" s="938">
        <f t="shared" si="133"/>
        <v>0</v>
      </c>
      <c r="HE71" s="938">
        <f t="shared" si="134"/>
        <v>0</v>
      </c>
      <c r="HF71" s="938">
        <f t="shared" si="135"/>
        <v>0</v>
      </c>
      <c r="HG71" s="938">
        <f t="shared" si="136"/>
        <v>0</v>
      </c>
      <c r="HH71" s="938">
        <f t="shared" si="137"/>
        <v>0</v>
      </c>
      <c r="HI71" s="938" t="str">
        <f t="shared" si="138"/>
        <v/>
      </c>
      <c r="HJ71" s="713">
        <f>'min. Düngung 22'!BV72</f>
        <v>0</v>
      </c>
      <c r="HK71" s="938"/>
      <c r="HL71" s="938"/>
      <c r="HM71" s="938">
        <f t="shared" si="139"/>
        <v>0</v>
      </c>
      <c r="HN71" s="938">
        <f t="shared" si="140"/>
        <v>0</v>
      </c>
      <c r="HO71" s="938">
        <f t="shared" si="141"/>
        <v>0</v>
      </c>
      <c r="HP71" s="938">
        <f t="shared" si="142"/>
        <v>0</v>
      </c>
      <c r="HQ71" s="938">
        <f t="shared" si="143"/>
        <v>0</v>
      </c>
      <c r="HR71" s="938" t="str">
        <f t="shared" si="144"/>
        <v/>
      </c>
      <c r="HS71" s="713">
        <f>'min. Düngung 22'!BY72</f>
        <v>0</v>
      </c>
      <c r="HT71" s="938"/>
      <c r="HU71" s="938"/>
      <c r="HV71" s="938">
        <f t="shared" si="145"/>
        <v>0</v>
      </c>
      <c r="HW71" s="938">
        <f t="shared" si="146"/>
        <v>0</v>
      </c>
      <c r="HX71" s="938">
        <f t="shared" si="147"/>
        <v>0</v>
      </c>
      <c r="HY71" s="938">
        <f t="shared" si="148"/>
        <v>0</v>
      </c>
      <c r="HZ71" s="938">
        <f t="shared" si="149"/>
        <v>0</v>
      </c>
      <c r="IA71" s="938" t="str">
        <f t="shared" si="150"/>
        <v/>
      </c>
      <c r="IB71" s="713">
        <f>'min. Düngung 22'!CB72</f>
        <v>0</v>
      </c>
      <c r="IC71" s="938"/>
      <c r="ID71" s="938"/>
      <c r="IE71" s="938">
        <f t="shared" si="151"/>
        <v>0</v>
      </c>
      <c r="IF71" s="938">
        <f t="shared" si="152"/>
        <v>0</v>
      </c>
      <c r="IG71" s="938">
        <f t="shared" si="153"/>
        <v>0</v>
      </c>
      <c r="IH71" s="938">
        <f t="shared" si="154"/>
        <v>0</v>
      </c>
      <c r="II71" s="938">
        <f t="shared" si="155"/>
        <v>0</v>
      </c>
      <c r="IJ71" s="938" t="str">
        <f t="shared" si="156"/>
        <v/>
      </c>
      <c r="IK71" s="713">
        <f>'min. Düngung 22'!CE72</f>
        <v>0</v>
      </c>
      <c r="IL71" s="938"/>
      <c r="IM71" s="938"/>
      <c r="IN71" s="938">
        <f t="shared" si="157"/>
        <v>0</v>
      </c>
      <c r="IO71" s="938">
        <f t="shared" si="158"/>
        <v>0</v>
      </c>
      <c r="IP71" s="938">
        <f t="shared" si="159"/>
        <v>0</v>
      </c>
      <c r="IQ71" s="938">
        <f t="shared" si="160"/>
        <v>0</v>
      </c>
      <c r="IR71" s="938">
        <f t="shared" si="161"/>
        <v>0</v>
      </c>
      <c r="IS71" s="938" t="str">
        <f t="shared" si="162"/>
        <v/>
      </c>
      <c r="IT71" s="713">
        <f>'min. Düngung 22'!CH72</f>
        <v>0</v>
      </c>
      <c r="IU71" s="938"/>
      <c r="IV71" s="938"/>
      <c r="IW71" s="938">
        <f t="shared" si="163"/>
        <v>0</v>
      </c>
      <c r="IX71" s="938">
        <f t="shared" si="164"/>
        <v>0</v>
      </c>
      <c r="IY71" s="938">
        <f t="shared" si="165"/>
        <v>0</v>
      </c>
      <c r="IZ71" s="938">
        <f t="shared" si="166"/>
        <v>0</v>
      </c>
      <c r="JA71" s="938">
        <f t="shared" si="167"/>
        <v>0</v>
      </c>
      <c r="JB71" s="938" t="str">
        <f t="shared" si="168"/>
        <v/>
      </c>
      <c r="JC71" s="713">
        <f>'min. Düngung 22'!CK72</f>
        <v>0</v>
      </c>
      <c r="JD71" s="938"/>
      <c r="JE71" s="938"/>
      <c r="JF71" s="938">
        <f t="shared" si="169"/>
        <v>0</v>
      </c>
      <c r="JG71" s="938">
        <f t="shared" si="170"/>
        <v>0</v>
      </c>
      <c r="JH71" s="938">
        <f t="shared" si="171"/>
        <v>0</v>
      </c>
      <c r="JI71" s="938">
        <f t="shared" si="172"/>
        <v>0</v>
      </c>
      <c r="JJ71" s="938">
        <f t="shared" si="173"/>
        <v>0</v>
      </c>
      <c r="JK71" s="938" t="str">
        <f t="shared" si="174"/>
        <v/>
      </c>
      <c r="JL71" s="713">
        <f>'min. Düngung 22'!CN72</f>
        <v>0</v>
      </c>
      <c r="JM71" s="938"/>
      <c r="JN71" s="938"/>
      <c r="JO71" s="938">
        <f t="shared" si="175"/>
        <v>0</v>
      </c>
      <c r="JP71" s="938">
        <f t="shared" si="176"/>
        <v>0</v>
      </c>
      <c r="JQ71" s="938">
        <f t="shared" si="177"/>
        <v>0</v>
      </c>
      <c r="JR71" s="938">
        <f t="shared" si="178"/>
        <v>0</v>
      </c>
      <c r="JS71" s="938">
        <f t="shared" si="179"/>
        <v>0</v>
      </c>
      <c r="JT71" s="938" t="str">
        <f t="shared" si="180"/>
        <v/>
      </c>
      <c r="JU71" s="713">
        <f>'min. Düngung 22'!CQ72</f>
        <v>0</v>
      </c>
      <c r="JV71" s="938"/>
      <c r="JW71" s="938"/>
      <c r="JX71" s="938">
        <f t="shared" si="181"/>
        <v>0</v>
      </c>
      <c r="JY71" s="938">
        <f t="shared" si="182"/>
        <v>0</v>
      </c>
      <c r="JZ71" s="938">
        <f t="shared" si="183"/>
        <v>0</v>
      </c>
      <c r="KA71" s="938">
        <f t="shared" si="184"/>
        <v>0</v>
      </c>
      <c r="KB71" s="938">
        <f t="shared" si="185"/>
        <v>0</v>
      </c>
      <c r="KC71" s="938" t="str">
        <f t="shared" si="186"/>
        <v/>
      </c>
      <c r="KE71" s="938"/>
      <c r="KF71" s="938" t="str">
        <f>IF(AND($F71=2,$G71=1),"",IF(OR($Q71&gt;0,$O71&gt;60),$KF$7,IF(I71=70,"",IF(AND(I71=80,R71+'#orgDung'!AC74&lt;60,K71=1,OR(C71=2,'#BerechnungDBE'!AH65=4)),"",IF(R71&gt;0,$KF$7,"")))))</f>
        <v/>
      </c>
      <c r="KG71" s="938" t="str">
        <f>IF(AND(P71&gt;'#BerechnungDBE'!BJ65,P71&gt;0),'#minDung'!$KG$7,"")</f>
        <v/>
      </c>
      <c r="KH71" s="938" t="str">
        <f>IF(AND(I71=70,R71&gt;'#BerechnungDBE'!CR65),'#minDung'!$KH$7,"")</f>
        <v/>
      </c>
      <c r="KI71" s="938" t="str">
        <f>IF('#BerechnungDBE'!P65&lt;4,"",IF(AND('#BerechnungDBE'!BZ65&gt;0,N71&gt;0),$KI$7,""))</f>
        <v/>
      </c>
      <c r="KJ71" s="938" t="str">
        <f t="shared" si="5"/>
        <v/>
      </c>
    </row>
    <row r="72" spans="1:296" s="875" customFormat="1" hidden="1" x14ac:dyDescent="0.2">
      <c r="A72" s="875">
        <f>'Flächen u. Kulturen'!A71</f>
        <v>62</v>
      </c>
      <c r="B72" s="734">
        <f>'#BerechnungDBE'!L66</f>
        <v>0</v>
      </c>
      <c r="C72" s="46">
        <f>'#orgDung'!C75</f>
        <v>1</v>
      </c>
      <c r="D72" s="875">
        <f>'#BerechnungDBE'!T66</f>
        <v>2</v>
      </c>
      <c r="E72" s="875" t="str">
        <f>'Flächen u. Kulturen'!E71</f>
        <v>x</v>
      </c>
      <c r="F72" s="52">
        <f>'#BerechnungDBE'!N66</f>
        <v>1</v>
      </c>
      <c r="G72" s="52">
        <f>'#BerechnungDBE'!O66</f>
        <v>1</v>
      </c>
      <c r="H72" s="505">
        <f>'#orgDung'!J75</f>
        <v>2</v>
      </c>
      <c r="I72" s="875">
        <f>'#BerechnungDBE'!AF66</f>
        <v>0</v>
      </c>
      <c r="J72" s="875">
        <f>'#orgDung'!M75</f>
        <v>0</v>
      </c>
      <c r="K72" s="875">
        <f>'#BerechnungDBE'!AG66</f>
        <v>0</v>
      </c>
      <c r="M72" s="875">
        <f t="shared" si="187"/>
        <v>0</v>
      </c>
      <c r="N72" s="875">
        <f t="shared" si="188"/>
        <v>0</v>
      </c>
      <c r="O72" s="875">
        <f t="shared" si="189"/>
        <v>0</v>
      </c>
      <c r="P72" s="875">
        <f t="shared" si="190"/>
        <v>0</v>
      </c>
      <c r="Q72" s="938">
        <f t="shared" si="6"/>
        <v>0</v>
      </c>
      <c r="R72" s="875">
        <f t="shared" si="191"/>
        <v>0</v>
      </c>
      <c r="T72" s="713">
        <f>'min. Düngung 22'!H73</f>
        <v>0</v>
      </c>
      <c r="W72" s="875">
        <f t="shared" si="7"/>
        <v>0</v>
      </c>
      <c r="X72" s="875">
        <f t="shared" si="8"/>
        <v>0</v>
      </c>
      <c r="Y72" s="875">
        <f t="shared" si="9"/>
        <v>0</v>
      </c>
      <c r="Z72" s="875">
        <f t="shared" si="10"/>
        <v>0</v>
      </c>
      <c r="AA72" s="875">
        <f t="shared" si="11"/>
        <v>0</v>
      </c>
      <c r="AB72" s="875" t="str">
        <f t="shared" si="12"/>
        <v/>
      </c>
      <c r="AC72" s="713">
        <f>'min. Düngung 22'!K73</f>
        <v>0</v>
      </c>
      <c r="AD72" s="938"/>
      <c r="AE72" s="938"/>
      <c r="AF72" s="938">
        <f t="shared" si="13"/>
        <v>0</v>
      </c>
      <c r="AG72" s="938">
        <f t="shared" si="14"/>
        <v>0</v>
      </c>
      <c r="AH72" s="938">
        <f t="shared" si="15"/>
        <v>0</v>
      </c>
      <c r="AI72" s="938">
        <f t="shared" si="16"/>
        <v>0</v>
      </c>
      <c r="AJ72" s="938">
        <f t="shared" si="17"/>
        <v>0</v>
      </c>
      <c r="AK72" s="938">
        <f t="shared" si="18"/>
        <v>0</v>
      </c>
      <c r="AL72" s="713">
        <f>'min. Düngung 22'!N73</f>
        <v>0</v>
      </c>
      <c r="AM72" s="938"/>
      <c r="AN72" s="938"/>
      <c r="AO72" s="938">
        <f t="shared" si="19"/>
        <v>0</v>
      </c>
      <c r="AP72" s="938">
        <f t="shared" si="20"/>
        <v>0</v>
      </c>
      <c r="AQ72" s="938">
        <f t="shared" si="21"/>
        <v>0</v>
      </c>
      <c r="AR72" s="938">
        <f t="shared" si="22"/>
        <v>0</v>
      </c>
      <c r="AS72" s="938">
        <f t="shared" si="23"/>
        <v>0</v>
      </c>
      <c r="AT72" s="938" t="str">
        <f t="shared" si="24"/>
        <v/>
      </c>
      <c r="AU72" s="713">
        <f>'min. Düngung 22'!Q73</f>
        <v>0</v>
      </c>
      <c r="AV72" s="938"/>
      <c r="AW72" s="938"/>
      <c r="AX72" s="938">
        <f t="shared" si="25"/>
        <v>0</v>
      </c>
      <c r="AY72" s="938">
        <f t="shared" si="26"/>
        <v>0</v>
      </c>
      <c r="AZ72" s="938">
        <f t="shared" si="27"/>
        <v>0</v>
      </c>
      <c r="BA72" s="938">
        <f t="shared" si="28"/>
        <v>0</v>
      </c>
      <c r="BB72" s="938">
        <f t="shared" si="29"/>
        <v>0</v>
      </c>
      <c r="BC72" s="938" t="str">
        <f t="shared" si="30"/>
        <v/>
      </c>
      <c r="BD72" s="713">
        <f>'min. Düngung 22'!T73</f>
        <v>0</v>
      </c>
      <c r="BE72" s="938"/>
      <c r="BF72" s="938"/>
      <c r="BG72" s="938">
        <f t="shared" si="31"/>
        <v>0</v>
      </c>
      <c r="BH72" s="938">
        <f t="shared" si="32"/>
        <v>0</v>
      </c>
      <c r="BI72" s="938">
        <f t="shared" si="33"/>
        <v>0</v>
      </c>
      <c r="BJ72" s="938">
        <f t="shared" si="34"/>
        <v>0</v>
      </c>
      <c r="BK72" s="938">
        <f t="shared" si="35"/>
        <v>0</v>
      </c>
      <c r="BL72" s="938" t="str">
        <f t="shared" si="36"/>
        <v/>
      </c>
      <c r="BM72" s="713">
        <f>'min. Düngung 22'!W73</f>
        <v>0</v>
      </c>
      <c r="BN72" s="938"/>
      <c r="BO72" s="938"/>
      <c r="BP72" s="938">
        <f t="shared" si="37"/>
        <v>0</v>
      </c>
      <c r="BQ72" s="938">
        <f t="shared" si="38"/>
        <v>0</v>
      </c>
      <c r="BR72" s="938">
        <f t="shared" si="39"/>
        <v>0</v>
      </c>
      <c r="BS72" s="938">
        <f t="shared" si="40"/>
        <v>0</v>
      </c>
      <c r="BT72" s="938">
        <f t="shared" si="41"/>
        <v>0</v>
      </c>
      <c r="BU72" s="938" t="str">
        <f t="shared" si="42"/>
        <v/>
      </c>
      <c r="BV72" s="713">
        <f>'min. Düngung 22'!Z73</f>
        <v>0</v>
      </c>
      <c r="BW72" s="938"/>
      <c r="BX72" s="938"/>
      <c r="BY72" s="938">
        <f t="shared" si="43"/>
        <v>0</v>
      </c>
      <c r="BZ72" s="938">
        <f t="shared" si="44"/>
        <v>0</v>
      </c>
      <c r="CA72" s="938">
        <f t="shared" si="45"/>
        <v>0</v>
      </c>
      <c r="CB72" s="938">
        <f t="shared" si="46"/>
        <v>0</v>
      </c>
      <c r="CC72" s="938">
        <f t="shared" si="47"/>
        <v>0</v>
      </c>
      <c r="CD72" s="938" t="str">
        <f t="shared" si="48"/>
        <v/>
      </c>
      <c r="CE72" s="713">
        <f>'min. Düngung 22'!AC73</f>
        <v>0</v>
      </c>
      <c r="CF72" s="938"/>
      <c r="CG72" s="938"/>
      <c r="CH72" s="938">
        <f t="shared" si="49"/>
        <v>0</v>
      </c>
      <c r="CI72" s="938">
        <f t="shared" si="50"/>
        <v>0</v>
      </c>
      <c r="CJ72" s="938">
        <f t="shared" si="51"/>
        <v>0</v>
      </c>
      <c r="CK72" s="938">
        <f t="shared" si="52"/>
        <v>0</v>
      </c>
      <c r="CL72" s="938">
        <f t="shared" si="53"/>
        <v>0</v>
      </c>
      <c r="CM72" s="938" t="str">
        <f t="shared" si="54"/>
        <v/>
      </c>
      <c r="CN72" s="713">
        <f>'min. Düngung 22'!AF73</f>
        <v>0</v>
      </c>
      <c r="CO72" s="938"/>
      <c r="CP72" s="938"/>
      <c r="CQ72" s="938">
        <f t="shared" si="55"/>
        <v>0</v>
      </c>
      <c r="CR72" s="938">
        <f t="shared" si="56"/>
        <v>0</v>
      </c>
      <c r="CS72" s="938">
        <f t="shared" si="57"/>
        <v>0</v>
      </c>
      <c r="CT72" s="938">
        <f t="shared" si="58"/>
        <v>0</v>
      </c>
      <c r="CU72" s="938">
        <f t="shared" si="59"/>
        <v>0</v>
      </c>
      <c r="CV72" s="938" t="str">
        <f t="shared" si="60"/>
        <v/>
      </c>
      <c r="CW72" s="713">
        <f>'min. Düngung 22'!AI73</f>
        <v>0</v>
      </c>
      <c r="CX72" s="938"/>
      <c r="CY72" s="938"/>
      <c r="CZ72" s="938">
        <f t="shared" si="61"/>
        <v>0</v>
      </c>
      <c r="DA72" s="938">
        <f t="shared" si="62"/>
        <v>0</v>
      </c>
      <c r="DB72" s="938">
        <f t="shared" si="63"/>
        <v>0</v>
      </c>
      <c r="DC72" s="938">
        <f t="shared" si="64"/>
        <v>0</v>
      </c>
      <c r="DD72" s="938">
        <f t="shared" si="65"/>
        <v>0</v>
      </c>
      <c r="DE72" s="938" t="str">
        <f t="shared" si="66"/>
        <v/>
      </c>
      <c r="DF72" s="713">
        <f>'min. Düngung 22'!AL73</f>
        <v>0</v>
      </c>
      <c r="DG72" s="938"/>
      <c r="DH72" s="938"/>
      <c r="DI72" s="938">
        <f t="shared" si="67"/>
        <v>0</v>
      </c>
      <c r="DJ72" s="938">
        <f t="shared" si="68"/>
        <v>0</v>
      </c>
      <c r="DK72" s="938">
        <f t="shared" si="69"/>
        <v>0</v>
      </c>
      <c r="DL72" s="938">
        <f t="shared" si="70"/>
        <v>0</v>
      </c>
      <c r="DM72" s="938">
        <f t="shared" si="71"/>
        <v>0</v>
      </c>
      <c r="DN72" s="938" t="str">
        <f t="shared" si="72"/>
        <v/>
      </c>
      <c r="DO72" s="713">
        <f>'min. Düngung 22'!AO73</f>
        <v>0</v>
      </c>
      <c r="DP72" s="938"/>
      <c r="DQ72" s="938"/>
      <c r="DR72" s="938">
        <f t="shared" si="73"/>
        <v>0</v>
      </c>
      <c r="DS72" s="938">
        <f t="shared" si="74"/>
        <v>0</v>
      </c>
      <c r="DT72" s="938">
        <f t="shared" si="75"/>
        <v>0</v>
      </c>
      <c r="DU72" s="938">
        <f t="shared" si="76"/>
        <v>0</v>
      </c>
      <c r="DV72" s="938">
        <f t="shared" si="77"/>
        <v>0</v>
      </c>
      <c r="DW72" s="938" t="str">
        <f t="shared" si="78"/>
        <v/>
      </c>
      <c r="DX72" s="713">
        <f>'min. Düngung 22'!AR73</f>
        <v>0</v>
      </c>
      <c r="DY72" s="938"/>
      <c r="DZ72" s="938"/>
      <c r="EA72" s="938">
        <f t="shared" si="79"/>
        <v>0</v>
      </c>
      <c r="EB72" s="938">
        <f t="shared" si="80"/>
        <v>0</v>
      </c>
      <c r="EC72" s="938">
        <f t="shared" si="81"/>
        <v>0</v>
      </c>
      <c r="ED72" s="938">
        <f t="shared" si="82"/>
        <v>0</v>
      </c>
      <c r="EE72" s="938">
        <f t="shared" si="83"/>
        <v>0</v>
      </c>
      <c r="EF72" s="938" t="str">
        <f t="shared" si="84"/>
        <v/>
      </c>
      <c r="EG72" s="713">
        <f>'min. Düngung 22'!AU73</f>
        <v>0</v>
      </c>
      <c r="EH72" s="938"/>
      <c r="EI72" s="938"/>
      <c r="EJ72" s="938">
        <f t="shared" si="85"/>
        <v>0</v>
      </c>
      <c r="EK72" s="938">
        <f t="shared" si="86"/>
        <v>0</v>
      </c>
      <c r="EL72" s="938">
        <f t="shared" si="87"/>
        <v>0</v>
      </c>
      <c r="EM72" s="938">
        <f t="shared" si="88"/>
        <v>0</v>
      </c>
      <c r="EN72" s="938">
        <f t="shared" si="89"/>
        <v>0</v>
      </c>
      <c r="EO72" s="938" t="str">
        <f t="shared" si="90"/>
        <v/>
      </c>
      <c r="EP72" s="713">
        <f>'min. Düngung 22'!AX73</f>
        <v>0</v>
      </c>
      <c r="EQ72" s="938"/>
      <c r="ER72" s="938"/>
      <c r="ES72" s="938">
        <f t="shared" si="91"/>
        <v>0</v>
      </c>
      <c r="ET72" s="938">
        <f t="shared" si="92"/>
        <v>0</v>
      </c>
      <c r="EU72" s="938">
        <f t="shared" si="93"/>
        <v>0</v>
      </c>
      <c r="EV72" s="938">
        <f t="shared" si="94"/>
        <v>0</v>
      </c>
      <c r="EW72" s="938">
        <f t="shared" si="95"/>
        <v>0</v>
      </c>
      <c r="EX72" s="938" t="str">
        <f t="shared" si="96"/>
        <v/>
      </c>
      <c r="EY72" s="713">
        <f>'min. Düngung 22'!BA73</f>
        <v>0</v>
      </c>
      <c r="EZ72" s="938"/>
      <c r="FA72" s="938"/>
      <c r="FB72" s="938">
        <f t="shared" si="97"/>
        <v>0</v>
      </c>
      <c r="FC72" s="938">
        <f t="shared" si="98"/>
        <v>0</v>
      </c>
      <c r="FD72" s="938">
        <f t="shared" si="99"/>
        <v>0</v>
      </c>
      <c r="FE72" s="938">
        <f t="shared" si="100"/>
        <v>0</v>
      </c>
      <c r="FF72" s="938">
        <f t="shared" si="101"/>
        <v>0</v>
      </c>
      <c r="FG72" s="938" t="str">
        <f t="shared" si="102"/>
        <v/>
      </c>
      <c r="FH72" s="713">
        <f>'min. Düngung 22'!BD73</f>
        <v>0</v>
      </c>
      <c r="FI72" s="938"/>
      <c r="FJ72" s="938"/>
      <c r="FK72" s="938">
        <f t="shared" si="103"/>
        <v>0</v>
      </c>
      <c r="FL72" s="938">
        <f t="shared" si="104"/>
        <v>0</v>
      </c>
      <c r="FM72" s="938">
        <f t="shared" si="105"/>
        <v>0</v>
      </c>
      <c r="FN72" s="938">
        <f t="shared" si="106"/>
        <v>0</v>
      </c>
      <c r="FO72" s="938">
        <f t="shared" si="107"/>
        <v>0</v>
      </c>
      <c r="FP72" s="938" t="str">
        <f t="shared" si="108"/>
        <v/>
      </c>
      <c r="FQ72" s="713">
        <f>'min. Düngung 22'!BG73</f>
        <v>0</v>
      </c>
      <c r="FR72" s="938"/>
      <c r="FS72" s="938"/>
      <c r="FT72" s="938">
        <f t="shared" si="109"/>
        <v>0</v>
      </c>
      <c r="FU72" s="938">
        <f t="shared" si="110"/>
        <v>0</v>
      </c>
      <c r="FV72" s="938">
        <f t="shared" si="111"/>
        <v>0</v>
      </c>
      <c r="FW72" s="938">
        <f t="shared" si="112"/>
        <v>0</v>
      </c>
      <c r="FX72" s="938">
        <f t="shared" si="113"/>
        <v>0</v>
      </c>
      <c r="FY72" s="938" t="str">
        <f t="shared" si="114"/>
        <v/>
      </c>
      <c r="FZ72" s="713">
        <f>'min. Düngung 22'!BJ73</f>
        <v>0</v>
      </c>
      <c r="GA72" s="938"/>
      <c r="GB72" s="938"/>
      <c r="GC72" s="938">
        <f t="shared" si="115"/>
        <v>0</v>
      </c>
      <c r="GD72" s="938">
        <f t="shared" si="116"/>
        <v>0</v>
      </c>
      <c r="GE72" s="938">
        <f t="shared" si="117"/>
        <v>0</v>
      </c>
      <c r="GF72" s="938">
        <f t="shared" si="118"/>
        <v>0</v>
      </c>
      <c r="GG72" s="938">
        <f t="shared" si="119"/>
        <v>0</v>
      </c>
      <c r="GH72" s="938" t="str">
        <f t="shared" si="120"/>
        <v/>
      </c>
      <c r="GI72" s="713">
        <f>'min. Düngung 22'!BM73</f>
        <v>0</v>
      </c>
      <c r="GJ72" s="938"/>
      <c r="GK72" s="938"/>
      <c r="GL72" s="938">
        <f t="shared" si="121"/>
        <v>0</v>
      </c>
      <c r="GM72" s="938">
        <f t="shared" si="122"/>
        <v>0</v>
      </c>
      <c r="GN72" s="938">
        <f t="shared" si="123"/>
        <v>0</v>
      </c>
      <c r="GO72" s="938">
        <f t="shared" si="124"/>
        <v>0</v>
      </c>
      <c r="GP72" s="938">
        <f t="shared" si="125"/>
        <v>0</v>
      </c>
      <c r="GQ72" s="938" t="str">
        <f t="shared" si="126"/>
        <v/>
      </c>
      <c r="GR72" s="713">
        <f>'min. Düngung 22'!BP73</f>
        <v>0</v>
      </c>
      <c r="GS72" s="938"/>
      <c r="GT72" s="938"/>
      <c r="GU72" s="938">
        <f t="shared" si="127"/>
        <v>0</v>
      </c>
      <c r="GV72" s="938">
        <f t="shared" si="128"/>
        <v>0</v>
      </c>
      <c r="GW72" s="938">
        <f t="shared" si="129"/>
        <v>0</v>
      </c>
      <c r="GX72" s="938">
        <f t="shared" si="130"/>
        <v>0</v>
      </c>
      <c r="GY72" s="938">
        <f t="shared" si="131"/>
        <v>0</v>
      </c>
      <c r="GZ72" s="938" t="str">
        <f t="shared" si="132"/>
        <v/>
      </c>
      <c r="HA72" s="713">
        <f>'min. Düngung 22'!BS73</f>
        <v>0</v>
      </c>
      <c r="HB72" s="938"/>
      <c r="HC72" s="938"/>
      <c r="HD72" s="938">
        <f t="shared" si="133"/>
        <v>0</v>
      </c>
      <c r="HE72" s="938">
        <f t="shared" si="134"/>
        <v>0</v>
      </c>
      <c r="HF72" s="938">
        <f t="shared" si="135"/>
        <v>0</v>
      </c>
      <c r="HG72" s="938">
        <f t="shared" si="136"/>
        <v>0</v>
      </c>
      <c r="HH72" s="938">
        <f t="shared" si="137"/>
        <v>0</v>
      </c>
      <c r="HI72" s="938" t="str">
        <f t="shared" si="138"/>
        <v/>
      </c>
      <c r="HJ72" s="713">
        <f>'min. Düngung 22'!BV73</f>
        <v>0</v>
      </c>
      <c r="HK72" s="938"/>
      <c r="HL72" s="938"/>
      <c r="HM72" s="938">
        <f t="shared" si="139"/>
        <v>0</v>
      </c>
      <c r="HN72" s="938">
        <f t="shared" si="140"/>
        <v>0</v>
      </c>
      <c r="HO72" s="938">
        <f t="shared" si="141"/>
        <v>0</v>
      </c>
      <c r="HP72" s="938">
        <f t="shared" si="142"/>
        <v>0</v>
      </c>
      <c r="HQ72" s="938">
        <f t="shared" si="143"/>
        <v>0</v>
      </c>
      <c r="HR72" s="938" t="str">
        <f t="shared" si="144"/>
        <v/>
      </c>
      <c r="HS72" s="713">
        <f>'min. Düngung 22'!BY73</f>
        <v>0</v>
      </c>
      <c r="HT72" s="938"/>
      <c r="HU72" s="938"/>
      <c r="HV72" s="938">
        <f t="shared" si="145"/>
        <v>0</v>
      </c>
      <c r="HW72" s="938">
        <f t="shared" si="146"/>
        <v>0</v>
      </c>
      <c r="HX72" s="938">
        <f t="shared" si="147"/>
        <v>0</v>
      </c>
      <c r="HY72" s="938">
        <f t="shared" si="148"/>
        <v>0</v>
      </c>
      <c r="HZ72" s="938">
        <f t="shared" si="149"/>
        <v>0</v>
      </c>
      <c r="IA72" s="938" t="str">
        <f t="shared" si="150"/>
        <v/>
      </c>
      <c r="IB72" s="713">
        <f>'min. Düngung 22'!CB73</f>
        <v>0</v>
      </c>
      <c r="IC72" s="938"/>
      <c r="ID72" s="938"/>
      <c r="IE72" s="938">
        <f t="shared" si="151"/>
        <v>0</v>
      </c>
      <c r="IF72" s="938">
        <f t="shared" si="152"/>
        <v>0</v>
      </c>
      <c r="IG72" s="938">
        <f t="shared" si="153"/>
        <v>0</v>
      </c>
      <c r="IH72" s="938">
        <f t="shared" si="154"/>
        <v>0</v>
      </c>
      <c r="II72" s="938">
        <f t="shared" si="155"/>
        <v>0</v>
      </c>
      <c r="IJ72" s="938" t="str">
        <f t="shared" si="156"/>
        <v/>
      </c>
      <c r="IK72" s="713">
        <f>'min. Düngung 22'!CE73</f>
        <v>0</v>
      </c>
      <c r="IL72" s="938"/>
      <c r="IM72" s="938"/>
      <c r="IN72" s="938">
        <f t="shared" si="157"/>
        <v>0</v>
      </c>
      <c r="IO72" s="938">
        <f t="shared" si="158"/>
        <v>0</v>
      </c>
      <c r="IP72" s="938">
        <f t="shared" si="159"/>
        <v>0</v>
      </c>
      <c r="IQ72" s="938">
        <f t="shared" si="160"/>
        <v>0</v>
      </c>
      <c r="IR72" s="938">
        <f t="shared" si="161"/>
        <v>0</v>
      </c>
      <c r="IS72" s="938" t="str">
        <f t="shared" si="162"/>
        <v/>
      </c>
      <c r="IT72" s="713">
        <f>'min. Düngung 22'!CH73</f>
        <v>0</v>
      </c>
      <c r="IU72" s="938"/>
      <c r="IV72" s="938"/>
      <c r="IW72" s="938">
        <f t="shared" si="163"/>
        <v>0</v>
      </c>
      <c r="IX72" s="938">
        <f t="shared" si="164"/>
        <v>0</v>
      </c>
      <c r="IY72" s="938">
        <f t="shared" si="165"/>
        <v>0</v>
      </c>
      <c r="IZ72" s="938">
        <f t="shared" si="166"/>
        <v>0</v>
      </c>
      <c r="JA72" s="938">
        <f t="shared" si="167"/>
        <v>0</v>
      </c>
      <c r="JB72" s="938" t="str">
        <f t="shared" si="168"/>
        <v/>
      </c>
      <c r="JC72" s="713">
        <f>'min. Düngung 22'!CK73</f>
        <v>0</v>
      </c>
      <c r="JD72" s="938"/>
      <c r="JE72" s="938"/>
      <c r="JF72" s="938">
        <f t="shared" si="169"/>
        <v>0</v>
      </c>
      <c r="JG72" s="938">
        <f t="shared" si="170"/>
        <v>0</v>
      </c>
      <c r="JH72" s="938">
        <f t="shared" si="171"/>
        <v>0</v>
      </c>
      <c r="JI72" s="938">
        <f t="shared" si="172"/>
        <v>0</v>
      </c>
      <c r="JJ72" s="938">
        <f t="shared" si="173"/>
        <v>0</v>
      </c>
      <c r="JK72" s="938" t="str">
        <f t="shared" si="174"/>
        <v/>
      </c>
      <c r="JL72" s="713">
        <f>'min. Düngung 22'!CN73</f>
        <v>0</v>
      </c>
      <c r="JM72" s="938"/>
      <c r="JN72" s="938"/>
      <c r="JO72" s="938">
        <f t="shared" si="175"/>
        <v>0</v>
      </c>
      <c r="JP72" s="938">
        <f t="shared" si="176"/>
        <v>0</v>
      </c>
      <c r="JQ72" s="938">
        <f t="shared" si="177"/>
        <v>0</v>
      </c>
      <c r="JR72" s="938">
        <f t="shared" si="178"/>
        <v>0</v>
      </c>
      <c r="JS72" s="938">
        <f t="shared" si="179"/>
        <v>0</v>
      </c>
      <c r="JT72" s="938" t="str">
        <f t="shared" si="180"/>
        <v/>
      </c>
      <c r="JU72" s="713">
        <f>'min. Düngung 22'!CQ73</f>
        <v>0</v>
      </c>
      <c r="JV72" s="938"/>
      <c r="JW72" s="938"/>
      <c r="JX72" s="938">
        <f t="shared" si="181"/>
        <v>0</v>
      </c>
      <c r="JY72" s="938">
        <f t="shared" si="182"/>
        <v>0</v>
      </c>
      <c r="JZ72" s="938">
        <f t="shared" si="183"/>
        <v>0</v>
      </c>
      <c r="KA72" s="938">
        <f t="shared" si="184"/>
        <v>0</v>
      </c>
      <c r="KB72" s="938">
        <f t="shared" si="185"/>
        <v>0</v>
      </c>
      <c r="KC72" s="938" t="str">
        <f t="shared" si="186"/>
        <v/>
      </c>
      <c r="KE72" s="938"/>
      <c r="KF72" s="938" t="str">
        <f>IF(AND($F72=2,$G72=1),"",IF(OR($Q72&gt;0,$O72&gt;60),$KF$7,IF(I72=70,"",IF(AND(I72=80,R72+'#orgDung'!AC75&lt;60,K72=1,OR(C72=2,'#BerechnungDBE'!AH66=4)),"",IF(R72&gt;0,$KF$7,"")))))</f>
        <v/>
      </c>
      <c r="KG72" s="938" t="str">
        <f>IF(AND(P72&gt;'#BerechnungDBE'!BJ66,P72&gt;0),'#minDung'!$KG$7,"")</f>
        <v/>
      </c>
      <c r="KH72" s="938" t="str">
        <f>IF(AND(I72=70,R72&gt;'#BerechnungDBE'!CR66),'#minDung'!$KH$7,"")</f>
        <v/>
      </c>
      <c r="KI72" s="938" t="str">
        <f>IF('#BerechnungDBE'!P66&lt;4,"",IF(AND('#BerechnungDBE'!BZ66&gt;0,N72&gt;0),$KI$7,""))</f>
        <v/>
      </c>
      <c r="KJ72" s="938" t="str">
        <f t="shared" si="5"/>
        <v/>
      </c>
    </row>
    <row r="73" spans="1:296" s="875" customFormat="1" hidden="1" x14ac:dyDescent="0.2">
      <c r="A73" s="875">
        <f>'Flächen u. Kulturen'!A72</f>
        <v>63</v>
      </c>
      <c r="B73" s="734">
        <f>'#BerechnungDBE'!L67</f>
        <v>0</v>
      </c>
      <c r="C73" s="46">
        <f>'#orgDung'!C76</f>
        <v>1</v>
      </c>
      <c r="D73" s="875">
        <f>'#BerechnungDBE'!T67</f>
        <v>2</v>
      </c>
      <c r="E73" s="875" t="str">
        <f>'Flächen u. Kulturen'!E72</f>
        <v>x</v>
      </c>
      <c r="F73" s="52">
        <f>'#BerechnungDBE'!N67</f>
        <v>1</v>
      </c>
      <c r="G73" s="52">
        <f>'#BerechnungDBE'!O67</f>
        <v>1</v>
      </c>
      <c r="H73" s="505">
        <f>'#orgDung'!J76</f>
        <v>2</v>
      </c>
      <c r="I73" s="875">
        <f>'#BerechnungDBE'!AF67</f>
        <v>0</v>
      </c>
      <c r="J73" s="875">
        <f>'#orgDung'!M76</f>
        <v>0</v>
      </c>
      <c r="K73" s="875">
        <f>'#BerechnungDBE'!AG67</f>
        <v>0</v>
      </c>
      <c r="M73" s="875">
        <f t="shared" si="187"/>
        <v>0</v>
      </c>
      <c r="N73" s="875">
        <f t="shared" si="188"/>
        <v>0</v>
      </c>
      <c r="O73" s="875">
        <f t="shared" si="189"/>
        <v>0</v>
      </c>
      <c r="P73" s="875">
        <f t="shared" si="190"/>
        <v>0</v>
      </c>
      <c r="Q73" s="938">
        <f t="shared" si="6"/>
        <v>0</v>
      </c>
      <c r="R73" s="875">
        <f t="shared" si="191"/>
        <v>0</v>
      </c>
      <c r="T73" s="713">
        <f>'min. Düngung 22'!H74</f>
        <v>0</v>
      </c>
      <c r="W73" s="875">
        <f t="shared" si="7"/>
        <v>0</v>
      </c>
      <c r="X73" s="875">
        <f t="shared" si="8"/>
        <v>0</v>
      </c>
      <c r="Y73" s="875">
        <f t="shared" si="9"/>
        <v>0</v>
      </c>
      <c r="Z73" s="875">
        <f t="shared" si="10"/>
        <v>0</v>
      </c>
      <c r="AA73" s="875">
        <f t="shared" si="11"/>
        <v>0</v>
      </c>
      <c r="AB73" s="875" t="str">
        <f t="shared" si="12"/>
        <v/>
      </c>
      <c r="AC73" s="713">
        <f>'min. Düngung 22'!K74</f>
        <v>0</v>
      </c>
      <c r="AD73" s="938"/>
      <c r="AE73" s="938"/>
      <c r="AF73" s="938">
        <f t="shared" si="13"/>
        <v>0</v>
      </c>
      <c r="AG73" s="938">
        <f t="shared" si="14"/>
        <v>0</v>
      </c>
      <c r="AH73" s="938">
        <f t="shared" si="15"/>
        <v>0</v>
      </c>
      <c r="AI73" s="938">
        <f t="shared" si="16"/>
        <v>0</v>
      </c>
      <c r="AJ73" s="938">
        <f t="shared" si="17"/>
        <v>0</v>
      </c>
      <c r="AK73" s="938">
        <f t="shared" si="18"/>
        <v>0</v>
      </c>
      <c r="AL73" s="713">
        <f>'min. Düngung 22'!N74</f>
        <v>0</v>
      </c>
      <c r="AM73" s="938"/>
      <c r="AN73" s="938"/>
      <c r="AO73" s="938">
        <f t="shared" si="19"/>
        <v>0</v>
      </c>
      <c r="AP73" s="938">
        <f t="shared" si="20"/>
        <v>0</v>
      </c>
      <c r="AQ73" s="938">
        <f t="shared" si="21"/>
        <v>0</v>
      </c>
      <c r="AR73" s="938">
        <f t="shared" si="22"/>
        <v>0</v>
      </c>
      <c r="AS73" s="938">
        <f t="shared" si="23"/>
        <v>0</v>
      </c>
      <c r="AT73" s="938" t="str">
        <f t="shared" si="24"/>
        <v/>
      </c>
      <c r="AU73" s="713">
        <f>'min. Düngung 22'!Q74</f>
        <v>0</v>
      </c>
      <c r="AV73" s="938"/>
      <c r="AW73" s="938"/>
      <c r="AX73" s="938">
        <f t="shared" si="25"/>
        <v>0</v>
      </c>
      <c r="AY73" s="938">
        <f t="shared" si="26"/>
        <v>0</v>
      </c>
      <c r="AZ73" s="938">
        <f t="shared" si="27"/>
        <v>0</v>
      </c>
      <c r="BA73" s="938">
        <f t="shared" si="28"/>
        <v>0</v>
      </c>
      <c r="BB73" s="938">
        <f t="shared" si="29"/>
        <v>0</v>
      </c>
      <c r="BC73" s="938" t="str">
        <f t="shared" si="30"/>
        <v/>
      </c>
      <c r="BD73" s="713">
        <f>'min. Düngung 22'!T74</f>
        <v>0</v>
      </c>
      <c r="BE73" s="938"/>
      <c r="BF73" s="938"/>
      <c r="BG73" s="938">
        <f t="shared" si="31"/>
        <v>0</v>
      </c>
      <c r="BH73" s="938">
        <f t="shared" si="32"/>
        <v>0</v>
      </c>
      <c r="BI73" s="938">
        <f t="shared" si="33"/>
        <v>0</v>
      </c>
      <c r="BJ73" s="938">
        <f t="shared" si="34"/>
        <v>0</v>
      </c>
      <c r="BK73" s="938">
        <f t="shared" si="35"/>
        <v>0</v>
      </c>
      <c r="BL73" s="938" t="str">
        <f t="shared" si="36"/>
        <v/>
      </c>
      <c r="BM73" s="713">
        <f>'min. Düngung 22'!W74</f>
        <v>0</v>
      </c>
      <c r="BN73" s="938"/>
      <c r="BO73" s="938"/>
      <c r="BP73" s="938">
        <f t="shared" si="37"/>
        <v>0</v>
      </c>
      <c r="BQ73" s="938">
        <f t="shared" si="38"/>
        <v>0</v>
      </c>
      <c r="BR73" s="938">
        <f t="shared" si="39"/>
        <v>0</v>
      </c>
      <c r="BS73" s="938">
        <f t="shared" si="40"/>
        <v>0</v>
      </c>
      <c r="BT73" s="938">
        <f t="shared" si="41"/>
        <v>0</v>
      </c>
      <c r="BU73" s="938" t="str">
        <f t="shared" si="42"/>
        <v/>
      </c>
      <c r="BV73" s="713">
        <f>'min. Düngung 22'!Z74</f>
        <v>0</v>
      </c>
      <c r="BW73" s="938"/>
      <c r="BX73" s="938"/>
      <c r="BY73" s="938">
        <f t="shared" si="43"/>
        <v>0</v>
      </c>
      <c r="BZ73" s="938">
        <f t="shared" si="44"/>
        <v>0</v>
      </c>
      <c r="CA73" s="938">
        <f t="shared" si="45"/>
        <v>0</v>
      </c>
      <c r="CB73" s="938">
        <f t="shared" si="46"/>
        <v>0</v>
      </c>
      <c r="CC73" s="938">
        <f t="shared" si="47"/>
        <v>0</v>
      </c>
      <c r="CD73" s="938" t="str">
        <f t="shared" si="48"/>
        <v/>
      </c>
      <c r="CE73" s="713">
        <f>'min. Düngung 22'!AC74</f>
        <v>0</v>
      </c>
      <c r="CF73" s="938"/>
      <c r="CG73" s="938"/>
      <c r="CH73" s="938">
        <f t="shared" si="49"/>
        <v>0</v>
      </c>
      <c r="CI73" s="938">
        <f t="shared" si="50"/>
        <v>0</v>
      </c>
      <c r="CJ73" s="938">
        <f t="shared" si="51"/>
        <v>0</v>
      </c>
      <c r="CK73" s="938">
        <f t="shared" si="52"/>
        <v>0</v>
      </c>
      <c r="CL73" s="938">
        <f t="shared" si="53"/>
        <v>0</v>
      </c>
      <c r="CM73" s="938" t="str">
        <f t="shared" si="54"/>
        <v/>
      </c>
      <c r="CN73" s="713">
        <f>'min. Düngung 22'!AF74</f>
        <v>0</v>
      </c>
      <c r="CO73" s="938"/>
      <c r="CP73" s="938"/>
      <c r="CQ73" s="938">
        <f t="shared" si="55"/>
        <v>0</v>
      </c>
      <c r="CR73" s="938">
        <f t="shared" si="56"/>
        <v>0</v>
      </c>
      <c r="CS73" s="938">
        <f t="shared" si="57"/>
        <v>0</v>
      </c>
      <c r="CT73" s="938">
        <f t="shared" si="58"/>
        <v>0</v>
      </c>
      <c r="CU73" s="938">
        <f t="shared" si="59"/>
        <v>0</v>
      </c>
      <c r="CV73" s="938" t="str">
        <f t="shared" si="60"/>
        <v/>
      </c>
      <c r="CW73" s="713">
        <f>'min. Düngung 22'!AI74</f>
        <v>0</v>
      </c>
      <c r="CX73" s="938"/>
      <c r="CY73" s="938"/>
      <c r="CZ73" s="938">
        <f t="shared" si="61"/>
        <v>0</v>
      </c>
      <c r="DA73" s="938">
        <f t="shared" si="62"/>
        <v>0</v>
      </c>
      <c r="DB73" s="938">
        <f t="shared" si="63"/>
        <v>0</v>
      </c>
      <c r="DC73" s="938">
        <f t="shared" si="64"/>
        <v>0</v>
      </c>
      <c r="DD73" s="938">
        <f t="shared" si="65"/>
        <v>0</v>
      </c>
      <c r="DE73" s="938" t="str">
        <f t="shared" si="66"/>
        <v/>
      </c>
      <c r="DF73" s="713">
        <f>'min. Düngung 22'!AL74</f>
        <v>0</v>
      </c>
      <c r="DG73" s="938"/>
      <c r="DH73" s="938"/>
      <c r="DI73" s="938">
        <f t="shared" si="67"/>
        <v>0</v>
      </c>
      <c r="DJ73" s="938">
        <f t="shared" si="68"/>
        <v>0</v>
      </c>
      <c r="DK73" s="938">
        <f t="shared" si="69"/>
        <v>0</v>
      </c>
      <c r="DL73" s="938">
        <f t="shared" si="70"/>
        <v>0</v>
      </c>
      <c r="DM73" s="938">
        <f t="shared" si="71"/>
        <v>0</v>
      </c>
      <c r="DN73" s="938" t="str">
        <f t="shared" si="72"/>
        <v/>
      </c>
      <c r="DO73" s="713">
        <f>'min. Düngung 22'!AO74</f>
        <v>0</v>
      </c>
      <c r="DP73" s="938"/>
      <c r="DQ73" s="938"/>
      <c r="DR73" s="938">
        <f t="shared" si="73"/>
        <v>0</v>
      </c>
      <c r="DS73" s="938">
        <f t="shared" si="74"/>
        <v>0</v>
      </c>
      <c r="DT73" s="938">
        <f t="shared" si="75"/>
        <v>0</v>
      </c>
      <c r="DU73" s="938">
        <f t="shared" si="76"/>
        <v>0</v>
      </c>
      <c r="DV73" s="938">
        <f t="shared" si="77"/>
        <v>0</v>
      </c>
      <c r="DW73" s="938" t="str">
        <f t="shared" si="78"/>
        <v/>
      </c>
      <c r="DX73" s="713">
        <f>'min. Düngung 22'!AR74</f>
        <v>0</v>
      </c>
      <c r="DY73" s="938"/>
      <c r="DZ73" s="938"/>
      <c r="EA73" s="938">
        <f t="shared" si="79"/>
        <v>0</v>
      </c>
      <c r="EB73" s="938">
        <f t="shared" si="80"/>
        <v>0</v>
      </c>
      <c r="EC73" s="938">
        <f t="shared" si="81"/>
        <v>0</v>
      </c>
      <c r="ED73" s="938">
        <f t="shared" si="82"/>
        <v>0</v>
      </c>
      <c r="EE73" s="938">
        <f t="shared" si="83"/>
        <v>0</v>
      </c>
      <c r="EF73" s="938" t="str">
        <f t="shared" si="84"/>
        <v/>
      </c>
      <c r="EG73" s="713">
        <f>'min. Düngung 22'!AU74</f>
        <v>0</v>
      </c>
      <c r="EH73" s="938"/>
      <c r="EI73" s="938"/>
      <c r="EJ73" s="938">
        <f t="shared" si="85"/>
        <v>0</v>
      </c>
      <c r="EK73" s="938">
        <f t="shared" si="86"/>
        <v>0</v>
      </c>
      <c r="EL73" s="938">
        <f t="shared" si="87"/>
        <v>0</v>
      </c>
      <c r="EM73" s="938">
        <f t="shared" si="88"/>
        <v>0</v>
      </c>
      <c r="EN73" s="938">
        <f t="shared" si="89"/>
        <v>0</v>
      </c>
      <c r="EO73" s="938" t="str">
        <f t="shared" si="90"/>
        <v/>
      </c>
      <c r="EP73" s="713">
        <f>'min. Düngung 22'!AX74</f>
        <v>0</v>
      </c>
      <c r="EQ73" s="938"/>
      <c r="ER73" s="938"/>
      <c r="ES73" s="938">
        <f t="shared" si="91"/>
        <v>0</v>
      </c>
      <c r="ET73" s="938">
        <f t="shared" si="92"/>
        <v>0</v>
      </c>
      <c r="EU73" s="938">
        <f t="shared" si="93"/>
        <v>0</v>
      </c>
      <c r="EV73" s="938">
        <f t="shared" si="94"/>
        <v>0</v>
      </c>
      <c r="EW73" s="938">
        <f t="shared" si="95"/>
        <v>0</v>
      </c>
      <c r="EX73" s="938" t="str">
        <f t="shared" si="96"/>
        <v/>
      </c>
      <c r="EY73" s="713">
        <f>'min. Düngung 22'!BA74</f>
        <v>0</v>
      </c>
      <c r="EZ73" s="938"/>
      <c r="FA73" s="938"/>
      <c r="FB73" s="938">
        <f t="shared" si="97"/>
        <v>0</v>
      </c>
      <c r="FC73" s="938">
        <f t="shared" si="98"/>
        <v>0</v>
      </c>
      <c r="FD73" s="938">
        <f t="shared" si="99"/>
        <v>0</v>
      </c>
      <c r="FE73" s="938">
        <f t="shared" si="100"/>
        <v>0</v>
      </c>
      <c r="FF73" s="938">
        <f t="shared" si="101"/>
        <v>0</v>
      </c>
      <c r="FG73" s="938" t="str">
        <f t="shared" si="102"/>
        <v/>
      </c>
      <c r="FH73" s="713">
        <f>'min. Düngung 22'!BD74</f>
        <v>0</v>
      </c>
      <c r="FI73" s="938"/>
      <c r="FJ73" s="938"/>
      <c r="FK73" s="938">
        <f t="shared" si="103"/>
        <v>0</v>
      </c>
      <c r="FL73" s="938">
        <f t="shared" si="104"/>
        <v>0</v>
      </c>
      <c r="FM73" s="938">
        <f t="shared" si="105"/>
        <v>0</v>
      </c>
      <c r="FN73" s="938">
        <f t="shared" si="106"/>
        <v>0</v>
      </c>
      <c r="FO73" s="938">
        <f t="shared" si="107"/>
        <v>0</v>
      </c>
      <c r="FP73" s="938" t="str">
        <f t="shared" si="108"/>
        <v/>
      </c>
      <c r="FQ73" s="713">
        <f>'min. Düngung 22'!BG74</f>
        <v>0</v>
      </c>
      <c r="FR73" s="938"/>
      <c r="FS73" s="938"/>
      <c r="FT73" s="938">
        <f t="shared" si="109"/>
        <v>0</v>
      </c>
      <c r="FU73" s="938">
        <f t="shared" si="110"/>
        <v>0</v>
      </c>
      <c r="FV73" s="938">
        <f t="shared" si="111"/>
        <v>0</v>
      </c>
      <c r="FW73" s="938">
        <f t="shared" si="112"/>
        <v>0</v>
      </c>
      <c r="FX73" s="938">
        <f t="shared" si="113"/>
        <v>0</v>
      </c>
      <c r="FY73" s="938" t="str">
        <f t="shared" si="114"/>
        <v/>
      </c>
      <c r="FZ73" s="713">
        <f>'min. Düngung 22'!BJ74</f>
        <v>0</v>
      </c>
      <c r="GA73" s="938"/>
      <c r="GB73" s="938"/>
      <c r="GC73" s="938">
        <f t="shared" si="115"/>
        <v>0</v>
      </c>
      <c r="GD73" s="938">
        <f t="shared" si="116"/>
        <v>0</v>
      </c>
      <c r="GE73" s="938">
        <f t="shared" si="117"/>
        <v>0</v>
      </c>
      <c r="GF73" s="938">
        <f t="shared" si="118"/>
        <v>0</v>
      </c>
      <c r="GG73" s="938">
        <f t="shared" si="119"/>
        <v>0</v>
      </c>
      <c r="GH73" s="938" t="str">
        <f t="shared" si="120"/>
        <v/>
      </c>
      <c r="GI73" s="713">
        <f>'min. Düngung 22'!BM74</f>
        <v>0</v>
      </c>
      <c r="GJ73" s="938"/>
      <c r="GK73" s="938"/>
      <c r="GL73" s="938">
        <f t="shared" si="121"/>
        <v>0</v>
      </c>
      <c r="GM73" s="938">
        <f t="shared" si="122"/>
        <v>0</v>
      </c>
      <c r="GN73" s="938">
        <f t="shared" si="123"/>
        <v>0</v>
      </c>
      <c r="GO73" s="938">
        <f t="shared" si="124"/>
        <v>0</v>
      </c>
      <c r="GP73" s="938">
        <f t="shared" si="125"/>
        <v>0</v>
      </c>
      <c r="GQ73" s="938" t="str">
        <f t="shared" si="126"/>
        <v/>
      </c>
      <c r="GR73" s="713">
        <f>'min. Düngung 22'!BP74</f>
        <v>0</v>
      </c>
      <c r="GS73" s="938"/>
      <c r="GT73" s="938"/>
      <c r="GU73" s="938">
        <f t="shared" si="127"/>
        <v>0</v>
      </c>
      <c r="GV73" s="938">
        <f t="shared" si="128"/>
        <v>0</v>
      </c>
      <c r="GW73" s="938">
        <f t="shared" si="129"/>
        <v>0</v>
      </c>
      <c r="GX73" s="938">
        <f t="shared" si="130"/>
        <v>0</v>
      </c>
      <c r="GY73" s="938">
        <f t="shared" si="131"/>
        <v>0</v>
      </c>
      <c r="GZ73" s="938" t="str">
        <f t="shared" si="132"/>
        <v/>
      </c>
      <c r="HA73" s="713">
        <f>'min. Düngung 22'!BS74</f>
        <v>0</v>
      </c>
      <c r="HB73" s="938"/>
      <c r="HC73" s="938"/>
      <c r="HD73" s="938">
        <f t="shared" si="133"/>
        <v>0</v>
      </c>
      <c r="HE73" s="938">
        <f t="shared" si="134"/>
        <v>0</v>
      </c>
      <c r="HF73" s="938">
        <f t="shared" si="135"/>
        <v>0</v>
      </c>
      <c r="HG73" s="938">
        <f t="shared" si="136"/>
        <v>0</v>
      </c>
      <c r="HH73" s="938">
        <f t="shared" si="137"/>
        <v>0</v>
      </c>
      <c r="HI73" s="938" t="str">
        <f t="shared" si="138"/>
        <v/>
      </c>
      <c r="HJ73" s="713">
        <f>'min. Düngung 22'!BV74</f>
        <v>0</v>
      </c>
      <c r="HK73" s="938"/>
      <c r="HL73" s="938"/>
      <c r="HM73" s="938">
        <f t="shared" si="139"/>
        <v>0</v>
      </c>
      <c r="HN73" s="938">
        <f t="shared" si="140"/>
        <v>0</v>
      </c>
      <c r="HO73" s="938">
        <f t="shared" si="141"/>
        <v>0</v>
      </c>
      <c r="HP73" s="938">
        <f t="shared" si="142"/>
        <v>0</v>
      </c>
      <c r="HQ73" s="938">
        <f t="shared" si="143"/>
        <v>0</v>
      </c>
      <c r="HR73" s="938" t="str">
        <f t="shared" si="144"/>
        <v/>
      </c>
      <c r="HS73" s="713">
        <f>'min. Düngung 22'!BY74</f>
        <v>0</v>
      </c>
      <c r="HT73" s="938"/>
      <c r="HU73" s="938"/>
      <c r="HV73" s="938">
        <f t="shared" si="145"/>
        <v>0</v>
      </c>
      <c r="HW73" s="938">
        <f t="shared" si="146"/>
        <v>0</v>
      </c>
      <c r="HX73" s="938">
        <f t="shared" si="147"/>
        <v>0</v>
      </c>
      <c r="HY73" s="938">
        <f t="shared" si="148"/>
        <v>0</v>
      </c>
      <c r="HZ73" s="938">
        <f t="shared" si="149"/>
        <v>0</v>
      </c>
      <c r="IA73" s="938" t="str">
        <f t="shared" si="150"/>
        <v/>
      </c>
      <c r="IB73" s="713">
        <f>'min. Düngung 22'!CB74</f>
        <v>0</v>
      </c>
      <c r="IC73" s="938"/>
      <c r="ID73" s="938"/>
      <c r="IE73" s="938">
        <f t="shared" si="151"/>
        <v>0</v>
      </c>
      <c r="IF73" s="938">
        <f t="shared" si="152"/>
        <v>0</v>
      </c>
      <c r="IG73" s="938">
        <f t="shared" si="153"/>
        <v>0</v>
      </c>
      <c r="IH73" s="938">
        <f t="shared" si="154"/>
        <v>0</v>
      </c>
      <c r="II73" s="938">
        <f t="shared" si="155"/>
        <v>0</v>
      </c>
      <c r="IJ73" s="938" t="str">
        <f t="shared" si="156"/>
        <v/>
      </c>
      <c r="IK73" s="713">
        <f>'min. Düngung 22'!CE74</f>
        <v>0</v>
      </c>
      <c r="IL73" s="938"/>
      <c r="IM73" s="938"/>
      <c r="IN73" s="938">
        <f t="shared" si="157"/>
        <v>0</v>
      </c>
      <c r="IO73" s="938">
        <f t="shared" si="158"/>
        <v>0</v>
      </c>
      <c r="IP73" s="938">
        <f t="shared" si="159"/>
        <v>0</v>
      </c>
      <c r="IQ73" s="938">
        <f t="shared" si="160"/>
        <v>0</v>
      </c>
      <c r="IR73" s="938">
        <f t="shared" si="161"/>
        <v>0</v>
      </c>
      <c r="IS73" s="938" t="str">
        <f t="shared" si="162"/>
        <v/>
      </c>
      <c r="IT73" s="713">
        <f>'min. Düngung 22'!CH74</f>
        <v>0</v>
      </c>
      <c r="IU73" s="938"/>
      <c r="IV73" s="938"/>
      <c r="IW73" s="938">
        <f t="shared" si="163"/>
        <v>0</v>
      </c>
      <c r="IX73" s="938">
        <f t="shared" si="164"/>
        <v>0</v>
      </c>
      <c r="IY73" s="938">
        <f t="shared" si="165"/>
        <v>0</v>
      </c>
      <c r="IZ73" s="938">
        <f t="shared" si="166"/>
        <v>0</v>
      </c>
      <c r="JA73" s="938">
        <f t="shared" si="167"/>
        <v>0</v>
      </c>
      <c r="JB73" s="938" t="str">
        <f t="shared" si="168"/>
        <v/>
      </c>
      <c r="JC73" s="713">
        <f>'min. Düngung 22'!CK74</f>
        <v>0</v>
      </c>
      <c r="JD73" s="938"/>
      <c r="JE73" s="938"/>
      <c r="JF73" s="938">
        <f t="shared" si="169"/>
        <v>0</v>
      </c>
      <c r="JG73" s="938">
        <f t="shared" si="170"/>
        <v>0</v>
      </c>
      <c r="JH73" s="938">
        <f t="shared" si="171"/>
        <v>0</v>
      </c>
      <c r="JI73" s="938">
        <f t="shared" si="172"/>
        <v>0</v>
      </c>
      <c r="JJ73" s="938">
        <f t="shared" si="173"/>
        <v>0</v>
      </c>
      <c r="JK73" s="938" t="str">
        <f t="shared" si="174"/>
        <v/>
      </c>
      <c r="JL73" s="713">
        <f>'min. Düngung 22'!CN74</f>
        <v>0</v>
      </c>
      <c r="JM73" s="938"/>
      <c r="JN73" s="938"/>
      <c r="JO73" s="938">
        <f t="shared" si="175"/>
        <v>0</v>
      </c>
      <c r="JP73" s="938">
        <f t="shared" si="176"/>
        <v>0</v>
      </c>
      <c r="JQ73" s="938">
        <f t="shared" si="177"/>
        <v>0</v>
      </c>
      <c r="JR73" s="938">
        <f t="shared" si="178"/>
        <v>0</v>
      </c>
      <c r="JS73" s="938">
        <f t="shared" si="179"/>
        <v>0</v>
      </c>
      <c r="JT73" s="938" t="str">
        <f t="shared" si="180"/>
        <v/>
      </c>
      <c r="JU73" s="713">
        <f>'min. Düngung 22'!CQ74</f>
        <v>0</v>
      </c>
      <c r="JV73" s="938"/>
      <c r="JW73" s="938"/>
      <c r="JX73" s="938">
        <f t="shared" si="181"/>
        <v>0</v>
      </c>
      <c r="JY73" s="938">
        <f t="shared" si="182"/>
        <v>0</v>
      </c>
      <c r="JZ73" s="938">
        <f t="shared" si="183"/>
        <v>0</v>
      </c>
      <c r="KA73" s="938">
        <f t="shared" si="184"/>
        <v>0</v>
      </c>
      <c r="KB73" s="938">
        <f t="shared" si="185"/>
        <v>0</v>
      </c>
      <c r="KC73" s="938" t="str">
        <f t="shared" si="186"/>
        <v/>
      </c>
      <c r="KE73" s="938"/>
      <c r="KF73" s="938" t="str">
        <f>IF(AND($F73=2,$G73=1),"",IF(OR($Q73&gt;0,$O73&gt;60),$KF$7,IF(I73=70,"",IF(AND(I73=80,R73+'#orgDung'!AC76&lt;60,K73=1,OR(C73=2,'#BerechnungDBE'!AH67=4)),"",IF(R73&gt;0,$KF$7,"")))))</f>
        <v/>
      </c>
      <c r="KG73" s="938" t="str">
        <f>IF(AND(P73&gt;'#BerechnungDBE'!BJ67,P73&gt;0),'#minDung'!$KG$7,"")</f>
        <v/>
      </c>
      <c r="KH73" s="938" t="str">
        <f>IF(AND(I73=70,R73&gt;'#BerechnungDBE'!CR67),'#minDung'!$KH$7,"")</f>
        <v/>
      </c>
      <c r="KI73" s="938" t="str">
        <f>IF('#BerechnungDBE'!P67&lt;4,"",IF(AND('#BerechnungDBE'!BZ67&gt;0,N73&gt;0),$KI$7,""))</f>
        <v/>
      </c>
      <c r="KJ73" s="938" t="str">
        <f t="shared" si="5"/>
        <v/>
      </c>
    </row>
    <row r="74" spans="1:296" s="875" customFormat="1" hidden="1" x14ac:dyDescent="0.2">
      <c r="A74" s="875">
        <f>'Flächen u. Kulturen'!A73</f>
        <v>64</v>
      </c>
      <c r="B74" s="734">
        <f>'#BerechnungDBE'!L68</f>
        <v>0</v>
      </c>
      <c r="C74" s="46">
        <f>'#orgDung'!C77</f>
        <v>1</v>
      </c>
      <c r="D74" s="875">
        <f>'#BerechnungDBE'!T68</f>
        <v>2</v>
      </c>
      <c r="E74" s="875" t="str">
        <f>'Flächen u. Kulturen'!E73</f>
        <v>x</v>
      </c>
      <c r="F74" s="52">
        <f>'#BerechnungDBE'!N68</f>
        <v>1</v>
      </c>
      <c r="G74" s="52">
        <f>'#BerechnungDBE'!O68</f>
        <v>1</v>
      </c>
      <c r="H74" s="505">
        <f>'#orgDung'!J77</f>
        <v>2</v>
      </c>
      <c r="I74" s="875">
        <f>'#BerechnungDBE'!AF68</f>
        <v>0</v>
      </c>
      <c r="J74" s="875">
        <f>'#orgDung'!M77</f>
        <v>0</v>
      </c>
      <c r="K74" s="875">
        <f>'#BerechnungDBE'!AG68</f>
        <v>0</v>
      </c>
      <c r="M74" s="875">
        <f t="shared" si="187"/>
        <v>0</v>
      </c>
      <c r="N74" s="875">
        <f t="shared" si="188"/>
        <v>0</v>
      </c>
      <c r="O74" s="875">
        <f t="shared" si="189"/>
        <v>0</v>
      </c>
      <c r="P74" s="875">
        <f t="shared" si="190"/>
        <v>0</v>
      </c>
      <c r="Q74" s="938">
        <f t="shared" si="6"/>
        <v>0</v>
      </c>
      <c r="R74" s="875">
        <f t="shared" si="191"/>
        <v>0</v>
      </c>
      <c r="T74" s="713">
        <f>'min. Düngung 22'!H75</f>
        <v>0</v>
      </c>
      <c r="W74" s="875">
        <f t="shared" si="7"/>
        <v>0</v>
      </c>
      <c r="X74" s="875">
        <f t="shared" si="8"/>
        <v>0</v>
      </c>
      <c r="Y74" s="875">
        <f t="shared" si="9"/>
        <v>0</v>
      </c>
      <c r="Z74" s="875">
        <f t="shared" si="10"/>
        <v>0</v>
      </c>
      <c r="AA74" s="875">
        <f t="shared" si="11"/>
        <v>0</v>
      </c>
      <c r="AB74" s="875" t="str">
        <f t="shared" si="12"/>
        <v/>
      </c>
      <c r="AC74" s="713">
        <f>'min. Düngung 22'!K75</f>
        <v>0</v>
      </c>
      <c r="AD74" s="938"/>
      <c r="AE74" s="938"/>
      <c r="AF74" s="938">
        <f t="shared" si="13"/>
        <v>0</v>
      </c>
      <c r="AG74" s="938">
        <f t="shared" si="14"/>
        <v>0</v>
      </c>
      <c r="AH74" s="938">
        <f t="shared" si="15"/>
        <v>0</v>
      </c>
      <c r="AI74" s="938">
        <f t="shared" si="16"/>
        <v>0</v>
      </c>
      <c r="AJ74" s="938">
        <f t="shared" si="17"/>
        <v>0</v>
      </c>
      <c r="AK74" s="938">
        <f t="shared" si="18"/>
        <v>0</v>
      </c>
      <c r="AL74" s="713">
        <f>'min. Düngung 22'!N75</f>
        <v>0</v>
      </c>
      <c r="AM74" s="938"/>
      <c r="AN74" s="938"/>
      <c r="AO74" s="938">
        <f t="shared" si="19"/>
        <v>0</v>
      </c>
      <c r="AP74" s="938">
        <f t="shared" si="20"/>
        <v>0</v>
      </c>
      <c r="AQ74" s="938">
        <f t="shared" si="21"/>
        <v>0</v>
      </c>
      <c r="AR74" s="938">
        <f t="shared" si="22"/>
        <v>0</v>
      </c>
      <c r="AS74" s="938">
        <f t="shared" si="23"/>
        <v>0</v>
      </c>
      <c r="AT74" s="938" t="str">
        <f t="shared" si="24"/>
        <v/>
      </c>
      <c r="AU74" s="713">
        <f>'min. Düngung 22'!Q75</f>
        <v>0</v>
      </c>
      <c r="AV74" s="938"/>
      <c r="AW74" s="938"/>
      <c r="AX74" s="938">
        <f t="shared" si="25"/>
        <v>0</v>
      </c>
      <c r="AY74" s="938">
        <f t="shared" si="26"/>
        <v>0</v>
      </c>
      <c r="AZ74" s="938">
        <f t="shared" si="27"/>
        <v>0</v>
      </c>
      <c r="BA74" s="938">
        <f t="shared" si="28"/>
        <v>0</v>
      </c>
      <c r="BB74" s="938">
        <f t="shared" si="29"/>
        <v>0</v>
      </c>
      <c r="BC74" s="938" t="str">
        <f t="shared" si="30"/>
        <v/>
      </c>
      <c r="BD74" s="713">
        <f>'min. Düngung 22'!T75</f>
        <v>0</v>
      </c>
      <c r="BE74" s="938"/>
      <c r="BF74" s="938"/>
      <c r="BG74" s="938">
        <f t="shared" si="31"/>
        <v>0</v>
      </c>
      <c r="BH74" s="938">
        <f t="shared" si="32"/>
        <v>0</v>
      </c>
      <c r="BI74" s="938">
        <f t="shared" si="33"/>
        <v>0</v>
      </c>
      <c r="BJ74" s="938">
        <f t="shared" si="34"/>
        <v>0</v>
      </c>
      <c r="BK74" s="938">
        <f t="shared" si="35"/>
        <v>0</v>
      </c>
      <c r="BL74" s="938" t="str">
        <f t="shared" si="36"/>
        <v/>
      </c>
      <c r="BM74" s="713">
        <f>'min. Düngung 22'!W75</f>
        <v>0</v>
      </c>
      <c r="BN74" s="938"/>
      <c r="BO74" s="938"/>
      <c r="BP74" s="938">
        <f t="shared" si="37"/>
        <v>0</v>
      </c>
      <c r="BQ74" s="938">
        <f t="shared" si="38"/>
        <v>0</v>
      </c>
      <c r="BR74" s="938">
        <f t="shared" si="39"/>
        <v>0</v>
      </c>
      <c r="BS74" s="938">
        <f t="shared" si="40"/>
        <v>0</v>
      </c>
      <c r="BT74" s="938">
        <f t="shared" si="41"/>
        <v>0</v>
      </c>
      <c r="BU74" s="938" t="str">
        <f t="shared" si="42"/>
        <v/>
      </c>
      <c r="BV74" s="713">
        <f>'min. Düngung 22'!Z75</f>
        <v>0</v>
      </c>
      <c r="BW74" s="938"/>
      <c r="BX74" s="938"/>
      <c r="BY74" s="938">
        <f t="shared" si="43"/>
        <v>0</v>
      </c>
      <c r="BZ74" s="938">
        <f t="shared" si="44"/>
        <v>0</v>
      </c>
      <c r="CA74" s="938">
        <f t="shared" si="45"/>
        <v>0</v>
      </c>
      <c r="CB74" s="938">
        <f t="shared" si="46"/>
        <v>0</v>
      </c>
      <c r="CC74" s="938">
        <f t="shared" si="47"/>
        <v>0</v>
      </c>
      <c r="CD74" s="938" t="str">
        <f t="shared" si="48"/>
        <v/>
      </c>
      <c r="CE74" s="713">
        <f>'min. Düngung 22'!AC75</f>
        <v>0</v>
      </c>
      <c r="CF74" s="938"/>
      <c r="CG74" s="938"/>
      <c r="CH74" s="938">
        <f t="shared" si="49"/>
        <v>0</v>
      </c>
      <c r="CI74" s="938">
        <f t="shared" si="50"/>
        <v>0</v>
      </c>
      <c r="CJ74" s="938">
        <f t="shared" si="51"/>
        <v>0</v>
      </c>
      <c r="CK74" s="938">
        <f t="shared" si="52"/>
        <v>0</v>
      </c>
      <c r="CL74" s="938">
        <f t="shared" si="53"/>
        <v>0</v>
      </c>
      <c r="CM74" s="938" t="str">
        <f t="shared" si="54"/>
        <v/>
      </c>
      <c r="CN74" s="713">
        <f>'min. Düngung 22'!AF75</f>
        <v>0</v>
      </c>
      <c r="CO74" s="938"/>
      <c r="CP74" s="938"/>
      <c r="CQ74" s="938">
        <f t="shared" si="55"/>
        <v>0</v>
      </c>
      <c r="CR74" s="938">
        <f t="shared" si="56"/>
        <v>0</v>
      </c>
      <c r="CS74" s="938">
        <f t="shared" si="57"/>
        <v>0</v>
      </c>
      <c r="CT74" s="938">
        <f t="shared" si="58"/>
        <v>0</v>
      </c>
      <c r="CU74" s="938">
        <f t="shared" si="59"/>
        <v>0</v>
      </c>
      <c r="CV74" s="938" t="str">
        <f t="shared" si="60"/>
        <v/>
      </c>
      <c r="CW74" s="713">
        <f>'min. Düngung 22'!AI75</f>
        <v>0</v>
      </c>
      <c r="CX74" s="938"/>
      <c r="CY74" s="938"/>
      <c r="CZ74" s="938">
        <f t="shared" si="61"/>
        <v>0</v>
      </c>
      <c r="DA74" s="938">
        <f t="shared" si="62"/>
        <v>0</v>
      </c>
      <c r="DB74" s="938">
        <f t="shared" si="63"/>
        <v>0</v>
      </c>
      <c r="DC74" s="938">
        <f t="shared" si="64"/>
        <v>0</v>
      </c>
      <c r="DD74" s="938">
        <f t="shared" si="65"/>
        <v>0</v>
      </c>
      <c r="DE74" s="938" t="str">
        <f t="shared" si="66"/>
        <v/>
      </c>
      <c r="DF74" s="713">
        <f>'min. Düngung 22'!AL75</f>
        <v>0</v>
      </c>
      <c r="DG74" s="938"/>
      <c r="DH74" s="938"/>
      <c r="DI74" s="938">
        <f t="shared" si="67"/>
        <v>0</v>
      </c>
      <c r="DJ74" s="938">
        <f t="shared" si="68"/>
        <v>0</v>
      </c>
      <c r="DK74" s="938">
        <f t="shared" si="69"/>
        <v>0</v>
      </c>
      <c r="DL74" s="938">
        <f t="shared" si="70"/>
        <v>0</v>
      </c>
      <c r="DM74" s="938">
        <f t="shared" si="71"/>
        <v>0</v>
      </c>
      <c r="DN74" s="938" t="str">
        <f t="shared" si="72"/>
        <v/>
      </c>
      <c r="DO74" s="713">
        <f>'min. Düngung 22'!AO75</f>
        <v>0</v>
      </c>
      <c r="DP74" s="938"/>
      <c r="DQ74" s="938"/>
      <c r="DR74" s="938">
        <f t="shared" si="73"/>
        <v>0</v>
      </c>
      <c r="DS74" s="938">
        <f t="shared" si="74"/>
        <v>0</v>
      </c>
      <c r="DT74" s="938">
        <f t="shared" si="75"/>
        <v>0</v>
      </c>
      <c r="DU74" s="938">
        <f t="shared" si="76"/>
        <v>0</v>
      </c>
      <c r="DV74" s="938">
        <f t="shared" si="77"/>
        <v>0</v>
      </c>
      <c r="DW74" s="938" t="str">
        <f t="shared" si="78"/>
        <v/>
      </c>
      <c r="DX74" s="713">
        <f>'min. Düngung 22'!AR75</f>
        <v>0</v>
      </c>
      <c r="DY74" s="938"/>
      <c r="DZ74" s="938"/>
      <c r="EA74" s="938">
        <f t="shared" si="79"/>
        <v>0</v>
      </c>
      <c r="EB74" s="938">
        <f t="shared" si="80"/>
        <v>0</v>
      </c>
      <c r="EC74" s="938">
        <f t="shared" si="81"/>
        <v>0</v>
      </c>
      <c r="ED74" s="938">
        <f t="shared" si="82"/>
        <v>0</v>
      </c>
      <c r="EE74" s="938">
        <f t="shared" si="83"/>
        <v>0</v>
      </c>
      <c r="EF74" s="938" t="str">
        <f t="shared" si="84"/>
        <v/>
      </c>
      <c r="EG74" s="713">
        <f>'min. Düngung 22'!AU75</f>
        <v>0</v>
      </c>
      <c r="EH74" s="938"/>
      <c r="EI74" s="938"/>
      <c r="EJ74" s="938">
        <f t="shared" si="85"/>
        <v>0</v>
      </c>
      <c r="EK74" s="938">
        <f t="shared" si="86"/>
        <v>0</v>
      </c>
      <c r="EL74" s="938">
        <f t="shared" si="87"/>
        <v>0</v>
      </c>
      <c r="EM74" s="938">
        <f t="shared" si="88"/>
        <v>0</v>
      </c>
      <c r="EN74" s="938">
        <f t="shared" si="89"/>
        <v>0</v>
      </c>
      <c r="EO74" s="938" t="str">
        <f t="shared" si="90"/>
        <v/>
      </c>
      <c r="EP74" s="713">
        <f>'min. Düngung 22'!AX75</f>
        <v>0</v>
      </c>
      <c r="EQ74" s="938"/>
      <c r="ER74" s="938"/>
      <c r="ES74" s="938">
        <f t="shared" si="91"/>
        <v>0</v>
      </c>
      <c r="ET74" s="938">
        <f t="shared" si="92"/>
        <v>0</v>
      </c>
      <c r="EU74" s="938">
        <f t="shared" si="93"/>
        <v>0</v>
      </c>
      <c r="EV74" s="938">
        <f t="shared" si="94"/>
        <v>0</v>
      </c>
      <c r="EW74" s="938">
        <f t="shared" si="95"/>
        <v>0</v>
      </c>
      <c r="EX74" s="938" t="str">
        <f t="shared" si="96"/>
        <v/>
      </c>
      <c r="EY74" s="713">
        <f>'min. Düngung 22'!BA75</f>
        <v>0</v>
      </c>
      <c r="EZ74" s="938"/>
      <c r="FA74" s="938"/>
      <c r="FB74" s="938">
        <f t="shared" si="97"/>
        <v>0</v>
      </c>
      <c r="FC74" s="938">
        <f t="shared" si="98"/>
        <v>0</v>
      </c>
      <c r="FD74" s="938">
        <f t="shared" si="99"/>
        <v>0</v>
      </c>
      <c r="FE74" s="938">
        <f t="shared" si="100"/>
        <v>0</v>
      </c>
      <c r="FF74" s="938">
        <f t="shared" si="101"/>
        <v>0</v>
      </c>
      <c r="FG74" s="938" t="str">
        <f t="shared" si="102"/>
        <v/>
      </c>
      <c r="FH74" s="713">
        <f>'min. Düngung 22'!BD75</f>
        <v>0</v>
      </c>
      <c r="FI74" s="938"/>
      <c r="FJ74" s="938"/>
      <c r="FK74" s="938">
        <f t="shared" si="103"/>
        <v>0</v>
      </c>
      <c r="FL74" s="938">
        <f t="shared" si="104"/>
        <v>0</v>
      </c>
      <c r="FM74" s="938">
        <f t="shared" si="105"/>
        <v>0</v>
      </c>
      <c r="FN74" s="938">
        <f t="shared" si="106"/>
        <v>0</v>
      </c>
      <c r="FO74" s="938">
        <f t="shared" si="107"/>
        <v>0</v>
      </c>
      <c r="FP74" s="938" t="str">
        <f t="shared" si="108"/>
        <v/>
      </c>
      <c r="FQ74" s="713">
        <f>'min. Düngung 22'!BG75</f>
        <v>0</v>
      </c>
      <c r="FR74" s="938"/>
      <c r="FS74" s="938"/>
      <c r="FT74" s="938">
        <f t="shared" si="109"/>
        <v>0</v>
      </c>
      <c r="FU74" s="938">
        <f t="shared" si="110"/>
        <v>0</v>
      </c>
      <c r="FV74" s="938">
        <f t="shared" si="111"/>
        <v>0</v>
      </c>
      <c r="FW74" s="938">
        <f t="shared" si="112"/>
        <v>0</v>
      </c>
      <c r="FX74" s="938">
        <f t="shared" si="113"/>
        <v>0</v>
      </c>
      <c r="FY74" s="938" t="str">
        <f t="shared" si="114"/>
        <v/>
      </c>
      <c r="FZ74" s="713">
        <f>'min. Düngung 22'!BJ75</f>
        <v>0</v>
      </c>
      <c r="GA74" s="938"/>
      <c r="GB74" s="938"/>
      <c r="GC74" s="938">
        <f t="shared" si="115"/>
        <v>0</v>
      </c>
      <c r="GD74" s="938">
        <f t="shared" si="116"/>
        <v>0</v>
      </c>
      <c r="GE74" s="938">
        <f t="shared" si="117"/>
        <v>0</v>
      </c>
      <c r="GF74" s="938">
        <f t="shared" si="118"/>
        <v>0</v>
      </c>
      <c r="GG74" s="938">
        <f t="shared" si="119"/>
        <v>0</v>
      </c>
      <c r="GH74" s="938" t="str">
        <f t="shared" si="120"/>
        <v/>
      </c>
      <c r="GI74" s="713">
        <f>'min. Düngung 22'!BM75</f>
        <v>0</v>
      </c>
      <c r="GJ74" s="938"/>
      <c r="GK74" s="938"/>
      <c r="GL74" s="938">
        <f t="shared" si="121"/>
        <v>0</v>
      </c>
      <c r="GM74" s="938">
        <f t="shared" si="122"/>
        <v>0</v>
      </c>
      <c r="GN74" s="938">
        <f t="shared" si="123"/>
        <v>0</v>
      </c>
      <c r="GO74" s="938">
        <f t="shared" si="124"/>
        <v>0</v>
      </c>
      <c r="GP74" s="938">
        <f t="shared" si="125"/>
        <v>0</v>
      </c>
      <c r="GQ74" s="938" t="str">
        <f t="shared" si="126"/>
        <v/>
      </c>
      <c r="GR74" s="713">
        <f>'min. Düngung 22'!BP75</f>
        <v>0</v>
      </c>
      <c r="GS74" s="938"/>
      <c r="GT74" s="938"/>
      <c r="GU74" s="938">
        <f t="shared" si="127"/>
        <v>0</v>
      </c>
      <c r="GV74" s="938">
        <f t="shared" si="128"/>
        <v>0</v>
      </c>
      <c r="GW74" s="938">
        <f t="shared" si="129"/>
        <v>0</v>
      </c>
      <c r="GX74" s="938">
        <f t="shared" si="130"/>
        <v>0</v>
      </c>
      <c r="GY74" s="938">
        <f t="shared" si="131"/>
        <v>0</v>
      </c>
      <c r="GZ74" s="938" t="str">
        <f t="shared" si="132"/>
        <v/>
      </c>
      <c r="HA74" s="713">
        <f>'min. Düngung 22'!BS75</f>
        <v>0</v>
      </c>
      <c r="HB74" s="938"/>
      <c r="HC74" s="938"/>
      <c r="HD74" s="938">
        <f t="shared" si="133"/>
        <v>0</v>
      </c>
      <c r="HE74" s="938">
        <f t="shared" si="134"/>
        <v>0</v>
      </c>
      <c r="HF74" s="938">
        <f t="shared" si="135"/>
        <v>0</v>
      </c>
      <c r="HG74" s="938">
        <f t="shared" si="136"/>
        <v>0</v>
      </c>
      <c r="HH74" s="938">
        <f t="shared" si="137"/>
        <v>0</v>
      </c>
      <c r="HI74" s="938" t="str">
        <f t="shared" si="138"/>
        <v/>
      </c>
      <c r="HJ74" s="713">
        <f>'min. Düngung 22'!BV75</f>
        <v>0</v>
      </c>
      <c r="HK74" s="938"/>
      <c r="HL74" s="938"/>
      <c r="HM74" s="938">
        <f t="shared" si="139"/>
        <v>0</v>
      </c>
      <c r="HN74" s="938">
        <f t="shared" si="140"/>
        <v>0</v>
      </c>
      <c r="HO74" s="938">
        <f t="shared" si="141"/>
        <v>0</v>
      </c>
      <c r="HP74" s="938">
        <f t="shared" si="142"/>
        <v>0</v>
      </c>
      <c r="HQ74" s="938">
        <f t="shared" si="143"/>
        <v>0</v>
      </c>
      <c r="HR74" s="938" t="str">
        <f t="shared" si="144"/>
        <v/>
      </c>
      <c r="HS74" s="713">
        <f>'min. Düngung 22'!BY75</f>
        <v>0</v>
      </c>
      <c r="HT74" s="938"/>
      <c r="HU74" s="938"/>
      <c r="HV74" s="938">
        <f t="shared" si="145"/>
        <v>0</v>
      </c>
      <c r="HW74" s="938">
        <f t="shared" si="146"/>
        <v>0</v>
      </c>
      <c r="HX74" s="938">
        <f t="shared" si="147"/>
        <v>0</v>
      </c>
      <c r="HY74" s="938">
        <f t="shared" si="148"/>
        <v>0</v>
      </c>
      <c r="HZ74" s="938">
        <f t="shared" si="149"/>
        <v>0</v>
      </c>
      <c r="IA74" s="938" t="str">
        <f t="shared" si="150"/>
        <v/>
      </c>
      <c r="IB74" s="713">
        <f>'min. Düngung 22'!CB75</f>
        <v>0</v>
      </c>
      <c r="IC74" s="938"/>
      <c r="ID74" s="938"/>
      <c r="IE74" s="938">
        <f t="shared" si="151"/>
        <v>0</v>
      </c>
      <c r="IF74" s="938">
        <f t="shared" si="152"/>
        <v>0</v>
      </c>
      <c r="IG74" s="938">
        <f t="shared" si="153"/>
        <v>0</v>
      </c>
      <c r="IH74" s="938">
        <f t="shared" si="154"/>
        <v>0</v>
      </c>
      <c r="II74" s="938">
        <f t="shared" si="155"/>
        <v>0</v>
      </c>
      <c r="IJ74" s="938" t="str">
        <f t="shared" si="156"/>
        <v/>
      </c>
      <c r="IK74" s="713">
        <f>'min. Düngung 22'!CE75</f>
        <v>0</v>
      </c>
      <c r="IL74" s="938"/>
      <c r="IM74" s="938"/>
      <c r="IN74" s="938">
        <f t="shared" si="157"/>
        <v>0</v>
      </c>
      <c r="IO74" s="938">
        <f t="shared" si="158"/>
        <v>0</v>
      </c>
      <c r="IP74" s="938">
        <f t="shared" si="159"/>
        <v>0</v>
      </c>
      <c r="IQ74" s="938">
        <f t="shared" si="160"/>
        <v>0</v>
      </c>
      <c r="IR74" s="938">
        <f t="shared" si="161"/>
        <v>0</v>
      </c>
      <c r="IS74" s="938" t="str">
        <f t="shared" si="162"/>
        <v/>
      </c>
      <c r="IT74" s="713">
        <f>'min. Düngung 22'!CH75</f>
        <v>0</v>
      </c>
      <c r="IU74" s="938"/>
      <c r="IV74" s="938"/>
      <c r="IW74" s="938">
        <f t="shared" si="163"/>
        <v>0</v>
      </c>
      <c r="IX74" s="938">
        <f t="shared" si="164"/>
        <v>0</v>
      </c>
      <c r="IY74" s="938">
        <f t="shared" si="165"/>
        <v>0</v>
      </c>
      <c r="IZ74" s="938">
        <f t="shared" si="166"/>
        <v>0</v>
      </c>
      <c r="JA74" s="938">
        <f t="shared" si="167"/>
        <v>0</v>
      </c>
      <c r="JB74" s="938" t="str">
        <f t="shared" si="168"/>
        <v/>
      </c>
      <c r="JC74" s="713">
        <f>'min. Düngung 22'!CK75</f>
        <v>0</v>
      </c>
      <c r="JD74" s="938"/>
      <c r="JE74" s="938"/>
      <c r="JF74" s="938">
        <f t="shared" si="169"/>
        <v>0</v>
      </c>
      <c r="JG74" s="938">
        <f t="shared" si="170"/>
        <v>0</v>
      </c>
      <c r="JH74" s="938">
        <f t="shared" si="171"/>
        <v>0</v>
      </c>
      <c r="JI74" s="938">
        <f t="shared" si="172"/>
        <v>0</v>
      </c>
      <c r="JJ74" s="938">
        <f t="shared" si="173"/>
        <v>0</v>
      </c>
      <c r="JK74" s="938" t="str">
        <f t="shared" si="174"/>
        <v/>
      </c>
      <c r="JL74" s="713">
        <f>'min. Düngung 22'!CN75</f>
        <v>0</v>
      </c>
      <c r="JM74" s="938"/>
      <c r="JN74" s="938"/>
      <c r="JO74" s="938">
        <f t="shared" si="175"/>
        <v>0</v>
      </c>
      <c r="JP74" s="938">
        <f t="shared" si="176"/>
        <v>0</v>
      </c>
      <c r="JQ74" s="938">
        <f t="shared" si="177"/>
        <v>0</v>
      </c>
      <c r="JR74" s="938">
        <f t="shared" si="178"/>
        <v>0</v>
      </c>
      <c r="JS74" s="938">
        <f t="shared" si="179"/>
        <v>0</v>
      </c>
      <c r="JT74" s="938" t="str">
        <f t="shared" si="180"/>
        <v/>
      </c>
      <c r="JU74" s="713">
        <f>'min. Düngung 22'!CQ75</f>
        <v>0</v>
      </c>
      <c r="JV74" s="938"/>
      <c r="JW74" s="938"/>
      <c r="JX74" s="938">
        <f t="shared" si="181"/>
        <v>0</v>
      </c>
      <c r="JY74" s="938">
        <f t="shared" si="182"/>
        <v>0</v>
      </c>
      <c r="JZ74" s="938">
        <f t="shared" si="183"/>
        <v>0</v>
      </c>
      <c r="KA74" s="938">
        <f t="shared" si="184"/>
        <v>0</v>
      </c>
      <c r="KB74" s="938">
        <f t="shared" si="185"/>
        <v>0</v>
      </c>
      <c r="KC74" s="938" t="str">
        <f t="shared" si="186"/>
        <v/>
      </c>
      <c r="KE74" s="938"/>
      <c r="KF74" s="938" t="str">
        <f>IF(AND($F74=2,$G74=1),"",IF(OR($Q74&gt;0,$O74&gt;60),$KF$7,IF(I74=70,"",IF(AND(I74=80,R74+'#orgDung'!AC77&lt;60,K74=1,OR(C74=2,'#BerechnungDBE'!AH68=4)),"",IF(R74&gt;0,$KF$7,"")))))</f>
        <v/>
      </c>
      <c r="KG74" s="938" t="str">
        <f>IF(AND(P74&gt;'#BerechnungDBE'!BJ68,P74&gt;0),'#minDung'!$KG$7,"")</f>
        <v/>
      </c>
      <c r="KH74" s="938" t="str">
        <f>IF(AND(I74=70,R74&gt;'#BerechnungDBE'!CR68),'#minDung'!$KH$7,"")</f>
        <v/>
      </c>
      <c r="KI74" s="938" t="str">
        <f>IF('#BerechnungDBE'!P68&lt;4,"",IF(AND('#BerechnungDBE'!BZ68&gt;0,N74&gt;0),$KI$7,""))</f>
        <v/>
      </c>
      <c r="KJ74" s="938" t="str">
        <f t="shared" si="5"/>
        <v/>
      </c>
    </row>
    <row r="75" spans="1:296" s="875" customFormat="1" hidden="1" x14ac:dyDescent="0.2">
      <c r="A75" s="875">
        <f>'Flächen u. Kulturen'!A74</f>
        <v>65</v>
      </c>
      <c r="B75" s="734">
        <f>'#BerechnungDBE'!L69</f>
        <v>0</v>
      </c>
      <c r="C75" s="46">
        <f>'#orgDung'!C78</f>
        <v>1</v>
      </c>
      <c r="D75" s="875">
        <f>'#BerechnungDBE'!T69</f>
        <v>2</v>
      </c>
      <c r="E75" s="875" t="str">
        <f>'Flächen u. Kulturen'!E74</f>
        <v>x</v>
      </c>
      <c r="F75" s="52">
        <f>'#BerechnungDBE'!N69</f>
        <v>1</v>
      </c>
      <c r="G75" s="52">
        <f>'#BerechnungDBE'!O69</f>
        <v>1</v>
      </c>
      <c r="H75" s="505">
        <f>'#orgDung'!J78</f>
        <v>2</v>
      </c>
      <c r="I75" s="875">
        <f>'#BerechnungDBE'!AF69</f>
        <v>0</v>
      </c>
      <c r="J75" s="875">
        <f>'#orgDung'!M78</f>
        <v>0</v>
      </c>
      <c r="K75" s="875">
        <f>'#BerechnungDBE'!AG69</f>
        <v>0</v>
      </c>
      <c r="M75" s="875">
        <f t="shared" ref="M75:M110" si="192">SUMIF($T$10:$XFD$10,$X$10,T75:XFD75)</f>
        <v>0</v>
      </c>
      <c r="N75" s="875">
        <f t="shared" ref="N75:N110" si="193">SUMIF($T$10:$XFD$10,$Y$10,T75:XFD75)</f>
        <v>0</v>
      </c>
      <c r="O75" s="875">
        <f t="shared" ref="O75:O110" si="194">SUMIF($T$10:$XFD$10,$Z$10,T75:XFD75)</f>
        <v>0</v>
      </c>
      <c r="P75" s="875">
        <f t="shared" ref="P75:P110" si="195">SUMIF($T$10:$XFD$10,$AA$10,T75:XFD75)</f>
        <v>0</v>
      </c>
      <c r="Q75" s="938">
        <f t="shared" si="6"/>
        <v>0</v>
      </c>
      <c r="R75" s="875">
        <f t="shared" ref="R75:R110" si="196">SUMIF($T$10:$XFD$10,$AB$10,T75:XFD75)</f>
        <v>0</v>
      </c>
      <c r="T75" s="713">
        <f>'min. Düngung 22'!H76</f>
        <v>0</v>
      </c>
      <c r="W75" s="875">
        <f t="shared" si="7"/>
        <v>0</v>
      </c>
      <c r="X75" s="875">
        <f t="shared" si="8"/>
        <v>0</v>
      </c>
      <c r="Y75" s="875">
        <f t="shared" si="9"/>
        <v>0</v>
      </c>
      <c r="Z75" s="875">
        <f t="shared" si="10"/>
        <v>0</v>
      </c>
      <c r="AA75" s="875">
        <f t="shared" si="11"/>
        <v>0</v>
      </c>
      <c r="AB75" s="875" t="str">
        <f t="shared" si="12"/>
        <v/>
      </c>
      <c r="AC75" s="713">
        <f>'min. Düngung 22'!K76</f>
        <v>0</v>
      </c>
      <c r="AD75" s="938"/>
      <c r="AE75" s="938"/>
      <c r="AF75" s="938">
        <f t="shared" si="13"/>
        <v>0</v>
      </c>
      <c r="AG75" s="938">
        <f t="shared" si="14"/>
        <v>0</v>
      </c>
      <c r="AH75" s="938">
        <f t="shared" si="15"/>
        <v>0</v>
      </c>
      <c r="AI75" s="938">
        <f t="shared" si="16"/>
        <v>0</v>
      </c>
      <c r="AJ75" s="938">
        <f t="shared" si="17"/>
        <v>0</v>
      </c>
      <c r="AK75" s="938">
        <f t="shared" si="18"/>
        <v>0</v>
      </c>
      <c r="AL75" s="713">
        <f>'min. Düngung 22'!N76</f>
        <v>0</v>
      </c>
      <c r="AM75" s="938"/>
      <c r="AN75" s="938"/>
      <c r="AO75" s="938">
        <f t="shared" si="19"/>
        <v>0</v>
      </c>
      <c r="AP75" s="938">
        <f t="shared" si="20"/>
        <v>0</v>
      </c>
      <c r="AQ75" s="938">
        <f t="shared" si="21"/>
        <v>0</v>
      </c>
      <c r="AR75" s="938">
        <f t="shared" si="22"/>
        <v>0</v>
      </c>
      <c r="AS75" s="938">
        <f t="shared" si="23"/>
        <v>0</v>
      </c>
      <c r="AT75" s="938" t="str">
        <f t="shared" si="24"/>
        <v/>
      </c>
      <c r="AU75" s="713">
        <f>'min. Düngung 22'!Q76</f>
        <v>0</v>
      </c>
      <c r="AV75" s="938"/>
      <c r="AW75" s="938"/>
      <c r="AX75" s="938">
        <f t="shared" si="25"/>
        <v>0</v>
      </c>
      <c r="AY75" s="938">
        <f t="shared" si="26"/>
        <v>0</v>
      </c>
      <c r="AZ75" s="938">
        <f t="shared" si="27"/>
        <v>0</v>
      </c>
      <c r="BA75" s="938">
        <f t="shared" si="28"/>
        <v>0</v>
      </c>
      <c r="BB75" s="938">
        <f t="shared" si="29"/>
        <v>0</v>
      </c>
      <c r="BC75" s="938" t="str">
        <f t="shared" si="30"/>
        <v/>
      </c>
      <c r="BD75" s="713">
        <f>'min. Düngung 22'!T76</f>
        <v>0</v>
      </c>
      <c r="BE75" s="938"/>
      <c r="BF75" s="938"/>
      <c r="BG75" s="938">
        <f t="shared" si="31"/>
        <v>0</v>
      </c>
      <c r="BH75" s="938">
        <f t="shared" si="32"/>
        <v>0</v>
      </c>
      <c r="BI75" s="938">
        <f t="shared" si="33"/>
        <v>0</v>
      </c>
      <c r="BJ75" s="938">
        <f t="shared" si="34"/>
        <v>0</v>
      </c>
      <c r="BK75" s="938">
        <f t="shared" si="35"/>
        <v>0</v>
      </c>
      <c r="BL75" s="938" t="str">
        <f t="shared" si="36"/>
        <v/>
      </c>
      <c r="BM75" s="713">
        <f>'min. Düngung 22'!W76</f>
        <v>0</v>
      </c>
      <c r="BN75" s="938"/>
      <c r="BO75" s="938"/>
      <c r="BP75" s="938">
        <f t="shared" si="37"/>
        <v>0</v>
      </c>
      <c r="BQ75" s="938">
        <f t="shared" si="38"/>
        <v>0</v>
      </c>
      <c r="BR75" s="938">
        <f t="shared" si="39"/>
        <v>0</v>
      </c>
      <c r="BS75" s="938">
        <f t="shared" si="40"/>
        <v>0</v>
      </c>
      <c r="BT75" s="938">
        <f t="shared" si="41"/>
        <v>0</v>
      </c>
      <c r="BU75" s="938" t="str">
        <f t="shared" si="42"/>
        <v/>
      </c>
      <c r="BV75" s="713">
        <f>'min. Düngung 22'!Z76</f>
        <v>0</v>
      </c>
      <c r="BW75" s="938"/>
      <c r="BX75" s="938"/>
      <c r="BY75" s="938">
        <f t="shared" si="43"/>
        <v>0</v>
      </c>
      <c r="BZ75" s="938">
        <f t="shared" si="44"/>
        <v>0</v>
      </c>
      <c r="CA75" s="938">
        <f t="shared" si="45"/>
        <v>0</v>
      </c>
      <c r="CB75" s="938">
        <f t="shared" si="46"/>
        <v>0</v>
      </c>
      <c r="CC75" s="938">
        <f t="shared" si="47"/>
        <v>0</v>
      </c>
      <c r="CD75" s="938" t="str">
        <f t="shared" si="48"/>
        <v/>
      </c>
      <c r="CE75" s="713">
        <f>'min. Düngung 22'!AC76</f>
        <v>0</v>
      </c>
      <c r="CF75" s="938"/>
      <c r="CG75" s="938"/>
      <c r="CH75" s="938">
        <f t="shared" si="49"/>
        <v>0</v>
      </c>
      <c r="CI75" s="938">
        <f t="shared" si="50"/>
        <v>0</v>
      </c>
      <c r="CJ75" s="938">
        <f t="shared" si="51"/>
        <v>0</v>
      </c>
      <c r="CK75" s="938">
        <f t="shared" si="52"/>
        <v>0</v>
      </c>
      <c r="CL75" s="938">
        <f t="shared" si="53"/>
        <v>0</v>
      </c>
      <c r="CM75" s="938" t="str">
        <f t="shared" si="54"/>
        <v/>
      </c>
      <c r="CN75" s="713">
        <f>'min. Düngung 22'!AF76</f>
        <v>0</v>
      </c>
      <c r="CO75" s="938"/>
      <c r="CP75" s="938"/>
      <c r="CQ75" s="938">
        <f t="shared" si="55"/>
        <v>0</v>
      </c>
      <c r="CR75" s="938">
        <f t="shared" si="56"/>
        <v>0</v>
      </c>
      <c r="CS75" s="938">
        <f t="shared" si="57"/>
        <v>0</v>
      </c>
      <c r="CT75" s="938">
        <f t="shared" si="58"/>
        <v>0</v>
      </c>
      <c r="CU75" s="938">
        <f t="shared" si="59"/>
        <v>0</v>
      </c>
      <c r="CV75" s="938" t="str">
        <f t="shared" si="60"/>
        <v/>
      </c>
      <c r="CW75" s="713">
        <f>'min. Düngung 22'!AI76</f>
        <v>0</v>
      </c>
      <c r="CX75" s="938"/>
      <c r="CY75" s="938"/>
      <c r="CZ75" s="938">
        <f t="shared" si="61"/>
        <v>0</v>
      </c>
      <c r="DA75" s="938">
        <f t="shared" si="62"/>
        <v>0</v>
      </c>
      <c r="DB75" s="938">
        <f t="shared" si="63"/>
        <v>0</v>
      </c>
      <c r="DC75" s="938">
        <f t="shared" si="64"/>
        <v>0</v>
      </c>
      <c r="DD75" s="938">
        <f t="shared" si="65"/>
        <v>0</v>
      </c>
      <c r="DE75" s="938" t="str">
        <f t="shared" si="66"/>
        <v/>
      </c>
      <c r="DF75" s="713">
        <f>'min. Düngung 22'!AL76</f>
        <v>0</v>
      </c>
      <c r="DG75" s="938"/>
      <c r="DH75" s="938"/>
      <c r="DI75" s="938">
        <f t="shared" si="67"/>
        <v>0</v>
      </c>
      <c r="DJ75" s="938">
        <f t="shared" si="68"/>
        <v>0</v>
      </c>
      <c r="DK75" s="938">
        <f t="shared" si="69"/>
        <v>0</v>
      </c>
      <c r="DL75" s="938">
        <f t="shared" si="70"/>
        <v>0</v>
      </c>
      <c r="DM75" s="938">
        <f t="shared" si="71"/>
        <v>0</v>
      </c>
      <c r="DN75" s="938" t="str">
        <f t="shared" si="72"/>
        <v/>
      </c>
      <c r="DO75" s="713">
        <f>'min. Düngung 22'!AO76</f>
        <v>0</v>
      </c>
      <c r="DP75" s="938"/>
      <c r="DQ75" s="938"/>
      <c r="DR75" s="938">
        <f t="shared" si="73"/>
        <v>0</v>
      </c>
      <c r="DS75" s="938">
        <f t="shared" si="74"/>
        <v>0</v>
      </c>
      <c r="DT75" s="938">
        <f t="shared" si="75"/>
        <v>0</v>
      </c>
      <c r="DU75" s="938">
        <f t="shared" si="76"/>
        <v>0</v>
      </c>
      <c r="DV75" s="938">
        <f t="shared" si="77"/>
        <v>0</v>
      </c>
      <c r="DW75" s="938" t="str">
        <f t="shared" si="78"/>
        <v/>
      </c>
      <c r="DX75" s="713">
        <f>'min. Düngung 22'!AR76</f>
        <v>0</v>
      </c>
      <c r="DY75" s="938"/>
      <c r="DZ75" s="938"/>
      <c r="EA75" s="938">
        <f t="shared" si="79"/>
        <v>0</v>
      </c>
      <c r="EB75" s="938">
        <f t="shared" si="80"/>
        <v>0</v>
      </c>
      <c r="EC75" s="938">
        <f t="shared" si="81"/>
        <v>0</v>
      </c>
      <c r="ED75" s="938">
        <f t="shared" si="82"/>
        <v>0</v>
      </c>
      <c r="EE75" s="938">
        <f t="shared" si="83"/>
        <v>0</v>
      </c>
      <c r="EF75" s="938" t="str">
        <f t="shared" si="84"/>
        <v/>
      </c>
      <c r="EG75" s="713">
        <f>'min. Düngung 22'!AU76</f>
        <v>0</v>
      </c>
      <c r="EH75" s="938"/>
      <c r="EI75" s="938"/>
      <c r="EJ75" s="938">
        <f t="shared" si="85"/>
        <v>0</v>
      </c>
      <c r="EK75" s="938">
        <f t="shared" si="86"/>
        <v>0</v>
      </c>
      <c r="EL75" s="938">
        <f t="shared" si="87"/>
        <v>0</v>
      </c>
      <c r="EM75" s="938">
        <f t="shared" si="88"/>
        <v>0</v>
      </c>
      <c r="EN75" s="938">
        <f t="shared" si="89"/>
        <v>0</v>
      </c>
      <c r="EO75" s="938" t="str">
        <f t="shared" si="90"/>
        <v/>
      </c>
      <c r="EP75" s="713">
        <f>'min. Düngung 22'!AX76</f>
        <v>0</v>
      </c>
      <c r="EQ75" s="938"/>
      <c r="ER75" s="938"/>
      <c r="ES75" s="938">
        <f t="shared" si="91"/>
        <v>0</v>
      </c>
      <c r="ET75" s="938">
        <f t="shared" si="92"/>
        <v>0</v>
      </c>
      <c r="EU75" s="938">
        <f t="shared" si="93"/>
        <v>0</v>
      </c>
      <c r="EV75" s="938">
        <f t="shared" si="94"/>
        <v>0</v>
      </c>
      <c r="EW75" s="938">
        <f t="shared" si="95"/>
        <v>0</v>
      </c>
      <c r="EX75" s="938" t="str">
        <f t="shared" si="96"/>
        <v/>
      </c>
      <c r="EY75" s="713">
        <f>'min. Düngung 22'!BA76</f>
        <v>0</v>
      </c>
      <c r="EZ75" s="938"/>
      <c r="FA75" s="938"/>
      <c r="FB75" s="938">
        <f t="shared" si="97"/>
        <v>0</v>
      </c>
      <c r="FC75" s="938">
        <f t="shared" si="98"/>
        <v>0</v>
      </c>
      <c r="FD75" s="938">
        <f t="shared" si="99"/>
        <v>0</v>
      </c>
      <c r="FE75" s="938">
        <f t="shared" si="100"/>
        <v>0</v>
      </c>
      <c r="FF75" s="938">
        <f t="shared" si="101"/>
        <v>0</v>
      </c>
      <c r="FG75" s="938" t="str">
        <f t="shared" si="102"/>
        <v/>
      </c>
      <c r="FH75" s="713">
        <f>'min. Düngung 22'!BD76</f>
        <v>0</v>
      </c>
      <c r="FI75" s="938"/>
      <c r="FJ75" s="938"/>
      <c r="FK75" s="938">
        <f t="shared" si="103"/>
        <v>0</v>
      </c>
      <c r="FL75" s="938">
        <f t="shared" si="104"/>
        <v>0</v>
      </c>
      <c r="FM75" s="938">
        <f t="shared" si="105"/>
        <v>0</v>
      </c>
      <c r="FN75" s="938">
        <f t="shared" si="106"/>
        <v>0</v>
      </c>
      <c r="FO75" s="938">
        <f t="shared" si="107"/>
        <v>0</v>
      </c>
      <c r="FP75" s="938" t="str">
        <f t="shared" si="108"/>
        <v/>
      </c>
      <c r="FQ75" s="713">
        <f>'min. Düngung 22'!BG76</f>
        <v>0</v>
      </c>
      <c r="FR75" s="938"/>
      <c r="FS75" s="938"/>
      <c r="FT75" s="938">
        <f t="shared" si="109"/>
        <v>0</v>
      </c>
      <c r="FU75" s="938">
        <f t="shared" si="110"/>
        <v>0</v>
      </c>
      <c r="FV75" s="938">
        <f t="shared" si="111"/>
        <v>0</v>
      </c>
      <c r="FW75" s="938">
        <f t="shared" si="112"/>
        <v>0</v>
      </c>
      <c r="FX75" s="938">
        <f t="shared" si="113"/>
        <v>0</v>
      </c>
      <c r="FY75" s="938" t="str">
        <f t="shared" si="114"/>
        <v/>
      </c>
      <c r="FZ75" s="713">
        <f>'min. Düngung 22'!BJ76</f>
        <v>0</v>
      </c>
      <c r="GA75" s="938"/>
      <c r="GB75" s="938"/>
      <c r="GC75" s="938">
        <f t="shared" si="115"/>
        <v>0</v>
      </c>
      <c r="GD75" s="938">
        <f t="shared" si="116"/>
        <v>0</v>
      </c>
      <c r="GE75" s="938">
        <f t="shared" si="117"/>
        <v>0</v>
      </c>
      <c r="GF75" s="938">
        <f t="shared" si="118"/>
        <v>0</v>
      </c>
      <c r="GG75" s="938">
        <f t="shared" si="119"/>
        <v>0</v>
      </c>
      <c r="GH75" s="938" t="str">
        <f t="shared" si="120"/>
        <v/>
      </c>
      <c r="GI75" s="713">
        <f>'min. Düngung 22'!BM76</f>
        <v>0</v>
      </c>
      <c r="GJ75" s="938"/>
      <c r="GK75" s="938"/>
      <c r="GL75" s="938">
        <f t="shared" si="121"/>
        <v>0</v>
      </c>
      <c r="GM75" s="938">
        <f t="shared" si="122"/>
        <v>0</v>
      </c>
      <c r="GN75" s="938">
        <f t="shared" si="123"/>
        <v>0</v>
      </c>
      <c r="GO75" s="938">
        <f t="shared" si="124"/>
        <v>0</v>
      </c>
      <c r="GP75" s="938">
        <f t="shared" si="125"/>
        <v>0</v>
      </c>
      <c r="GQ75" s="938" t="str">
        <f t="shared" si="126"/>
        <v/>
      </c>
      <c r="GR75" s="713">
        <f>'min. Düngung 22'!BP76</f>
        <v>0</v>
      </c>
      <c r="GS75" s="938"/>
      <c r="GT75" s="938"/>
      <c r="GU75" s="938">
        <f t="shared" si="127"/>
        <v>0</v>
      </c>
      <c r="GV75" s="938">
        <f t="shared" si="128"/>
        <v>0</v>
      </c>
      <c r="GW75" s="938">
        <f t="shared" si="129"/>
        <v>0</v>
      </c>
      <c r="GX75" s="938">
        <f t="shared" si="130"/>
        <v>0</v>
      </c>
      <c r="GY75" s="938">
        <f t="shared" si="131"/>
        <v>0</v>
      </c>
      <c r="GZ75" s="938" t="str">
        <f t="shared" si="132"/>
        <v/>
      </c>
      <c r="HA75" s="713">
        <f>'min. Düngung 22'!BS76</f>
        <v>0</v>
      </c>
      <c r="HB75" s="938"/>
      <c r="HC75" s="938"/>
      <c r="HD75" s="938">
        <f t="shared" si="133"/>
        <v>0</v>
      </c>
      <c r="HE75" s="938">
        <f t="shared" si="134"/>
        <v>0</v>
      </c>
      <c r="HF75" s="938">
        <f t="shared" si="135"/>
        <v>0</v>
      </c>
      <c r="HG75" s="938">
        <f t="shared" si="136"/>
        <v>0</v>
      </c>
      <c r="HH75" s="938">
        <f t="shared" si="137"/>
        <v>0</v>
      </c>
      <c r="HI75" s="938" t="str">
        <f t="shared" si="138"/>
        <v/>
      </c>
      <c r="HJ75" s="713">
        <f>'min. Düngung 22'!BV76</f>
        <v>0</v>
      </c>
      <c r="HK75" s="938"/>
      <c r="HL75" s="938"/>
      <c r="HM75" s="938">
        <f t="shared" si="139"/>
        <v>0</v>
      </c>
      <c r="HN75" s="938">
        <f t="shared" si="140"/>
        <v>0</v>
      </c>
      <c r="HO75" s="938">
        <f t="shared" si="141"/>
        <v>0</v>
      </c>
      <c r="HP75" s="938">
        <f t="shared" si="142"/>
        <v>0</v>
      </c>
      <c r="HQ75" s="938">
        <f t="shared" si="143"/>
        <v>0</v>
      </c>
      <c r="HR75" s="938" t="str">
        <f t="shared" si="144"/>
        <v/>
      </c>
      <c r="HS75" s="713">
        <f>'min. Düngung 22'!BY76</f>
        <v>0</v>
      </c>
      <c r="HT75" s="938"/>
      <c r="HU75" s="938"/>
      <c r="HV75" s="938">
        <f t="shared" si="145"/>
        <v>0</v>
      </c>
      <c r="HW75" s="938">
        <f t="shared" si="146"/>
        <v>0</v>
      </c>
      <c r="HX75" s="938">
        <f t="shared" si="147"/>
        <v>0</v>
      </c>
      <c r="HY75" s="938">
        <f t="shared" si="148"/>
        <v>0</v>
      </c>
      <c r="HZ75" s="938">
        <f t="shared" si="149"/>
        <v>0</v>
      </c>
      <c r="IA75" s="938" t="str">
        <f t="shared" si="150"/>
        <v/>
      </c>
      <c r="IB75" s="713">
        <f>'min. Düngung 22'!CB76</f>
        <v>0</v>
      </c>
      <c r="IC75" s="938"/>
      <c r="ID75" s="938"/>
      <c r="IE75" s="938">
        <f t="shared" si="151"/>
        <v>0</v>
      </c>
      <c r="IF75" s="938">
        <f t="shared" si="152"/>
        <v>0</v>
      </c>
      <c r="IG75" s="938">
        <f t="shared" si="153"/>
        <v>0</v>
      </c>
      <c r="IH75" s="938">
        <f t="shared" si="154"/>
        <v>0</v>
      </c>
      <c r="II75" s="938">
        <f t="shared" si="155"/>
        <v>0</v>
      </c>
      <c r="IJ75" s="938" t="str">
        <f t="shared" si="156"/>
        <v/>
      </c>
      <c r="IK75" s="713">
        <f>'min. Düngung 22'!CE76</f>
        <v>0</v>
      </c>
      <c r="IL75" s="938"/>
      <c r="IM75" s="938"/>
      <c r="IN75" s="938">
        <f t="shared" si="157"/>
        <v>0</v>
      </c>
      <c r="IO75" s="938">
        <f t="shared" si="158"/>
        <v>0</v>
      </c>
      <c r="IP75" s="938">
        <f t="shared" si="159"/>
        <v>0</v>
      </c>
      <c r="IQ75" s="938">
        <f t="shared" si="160"/>
        <v>0</v>
      </c>
      <c r="IR75" s="938">
        <f t="shared" si="161"/>
        <v>0</v>
      </c>
      <c r="IS75" s="938" t="str">
        <f t="shared" si="162"/>
        <v/>
      </c>
      <c r="IT75" s="713">
        <f>'min. Düngung 22'!CH76</f>
        <v>0</v>
      </c>
      <c r="IU75" s="938"/>
      <c r="IV75" s="938"/>
      <c r="IW75" s="938">
        <f t="shared" si="163"/>
        <v>0</v>
      </c>
      <c r="IX75" s="938">
        <f t="shared" si="164"/>
        <v>0</v>
      </c>
      <c r="IY75" s="938">
        <f t="shared" si="165"/>
        <v>0</v>
      </c>
      <c r="IZ75" s="938">
        <f t="shared" si="166"/>
        <v>0</v>
      </c>
      <c r="JA75" s="938">
        <f t="shared" si="167"/>
        <v>0</v>
      </c>
      <c r="JB75" s="938" t="str">
        <f t="shared" si="168"/>
        <v/>
      </c>
      <c r="JC75" s="713">
        <f>'min. Düngung 22'!CK76</f>
        <v>0</v>
      </c>
      <c r="JD75" s="938"/>
      <c r="JE75" s="938"/>
      <c r="JF75" s="938">
        <f t="shared" si="169"/>
        <v>0</v>
      </c>
      <c r="JG75" s="938">
        <f t="shared" si="170"/>
        <v>0</v>
      </c>
      <c r="JH75" s="938">
        <f t="shared" si="171"/>
        <v>0</v>
      </c>
      <c r="JI75" s="938">
        <f t="shared" si="172"/>
        <v>0</v>
      </c>
      <c r="JJ75" s="938">
        <f t="shared" si="173"/>
        <v>0</v>
      </c>
      <c r="JK75" s="938" t="str">
        <f t="shared" si="174"/>
        <v/>
      </c>
      <c r="JL75" s="713">
        <f>'min. Düngung 22'!CN76</f>
        <v>0</v>
      </c>
      <c r="JM75" s="938"/>
      <c r="JN75" s="938"/>
      <c r="JO75" s="938">
        <f t="shared" si="175"/>
        <v>0</v>
      </c>
      <c r="JP75" s="938">
        <f t="shared" si="176"/>
        <v>0</v>
      </c>
      <c r="JQ75" s="938">
        <f t="shared" si="177"/>
        <v>0</v>
      </c>
      <c r="JR75" s="938">
        <f t="shared" si="178"/>
        <v>0</v>
      </c>
      <c r="JS75" s="938">
        <f t="shared" si="179"/>
        <v>0</v>
      </c>
      <c r="JT75" s="938" t="str">
        <f t="shared" si="180"/>
        <v/>
      </c>
      <c r="JU75" s="713">
        <f>'min. Düngung 22'!CQ76</f>
        <v>0</v>
      </c>
      <c r="JV75" s="938"/>
      <c r="JW75" s="938"/>
      <c r="JX75" s="938">
        <f t="shared" si="181"/>
        <v>0</v>
      </c>
      <c r="JY75" s="938">
        <f t="shared" si="182"/>
        <v>0</v>
      </c>
      <c r="JZ75" s="938">
        <f t="shared" si="183"/>
        <v>0</v>
      </c>
      <c r="KA75" s="938">
        <f t="shared" si="184"/>
        <v>0</v>
      </c>
      <c r="KB75" s="938">
        <f t="shared" si="185"/>
        <v>0</v>
      </c>
      <c r="KC75" s="938" t="str">
        <f t="shared" si="186"/>
        <v/>
      </c>
      <c r="KE75" s="938"/>
      <c r="KF75" s="938" t="str">
        <f>IF(AND($F75=2,$G75=1),"",IF(OR($Q75&gt;0,$O75&gt;60),$KF$7,IF(I75=70,"",IF(AND(I75=80,R75+'#orgDung'!AC78&lt;60,K75=1,OR(C75=2,'#BerechnungDBE'!AH69=4)),"",IF(R75&gt;0,$KF$7,"")))))</f>
        <v/>
      </c>
      <c r="KG75" s="938" t="str">
        <f>IF(AND(P75&gt;'#BerechnungDBE'!BJ69,P75&gt;0),'#minDung'!$KG$7,"")</f>
        <v/>
      </c>
      <c r="KH75" s="938" t="str">
        <f>IF(AND(I75=70,R75&gt;'#BerechnungDBE'!CR69),'#minDung'!$KH$7,"")</f>
        <v/>
      </c>
      <c r="KI75" s="938" t="str">
        <f>IF('#BerechnungDBE'!P69&lt;4,"",IF(AND('#BerechnungDBE'!BZ69&gt;0,N75&gt;0),$KI$7,""))</f>
        <v/>
      </c>
      <c r="KJ75" s="938" t="str">
        <f t="shared" si="5"/>
        <v/>
      </c>
    </row>
    <row r="76" spans="1:296" s="875" customFormat="1" hidden="1" x14ac:dyDescent="0.2">
      <c r="A76" s="875">
        <f>'Flächen u. Kulturen'!A75</f>
        <v>66</v>
      </c>
      <c r="B76" s="734">
        <f>'#BerechnungDBE'!L70</f>
        <v>0</v>
      </c>
      <c r="C76" s="46">
        <f>'#orgDung'!C79</f>
        <v>1</v>
      </c>
      <c r="D76" s="875">
        <f>'#BerechnungDBE'!T70</f>
        <v>2</v>
      </c>
      <c r="E76" s="875" t="str">
        <f>'Flächen u. Kulturen'!E75</f>
        <v>x</v>
      </c>
      <c r="F76" s="52">
        <f>'#BerechnungDBE'!N70</f>
        <v>1</v>
      </c>
      <c r="G76" s="52">
        <f>'#BerechnungDBE'!O70</f>
        <v>1</v>
      </c>
      <c r="H76" s="505">
        <f>'#orgDung'!J79</f>
        <v>2</v>
      </c>
      <c r="I76" s="875">
        <f>'#BerechnungDBE'!AF70</f>
        <v>0</v>
      </c>
      <c r="J76" s="875">
        <f>'#orgDung'!M79</f>
        <v>0</v>
      </c>
      <c r="K76" s="875">
        <f>'#BerechnungDBE'!AG70</f>
        <v>0</v>
      </c>
      <c r="M76" s="875">
        <f t="shared" si="192"/>
        <v>0</v>
      </c>
      <c r="N76" s="875">
        <f t="shared" si="193"/>
        <v>0</v>
      </c>
      <c r="O76" s="875">
        <f t="shared" si="194"/>
        <v>0</v>
      </c>
      <c r="P76" s="875">
        <f t="shared" si="195"/>
        <v>0</v>
      </c>
      <c r="Q76" s="938">
        <f t="shared" si="6"/>
        <v>0</v>
      </c>
      <c r="R76" s="875">
        <f t="shared" si="196"/>
        <v>0</v>
      </c>
      <c r="T76" s="713">
        <f>'min. Düngung 22'!H77</f>
        <v>0</v>
      </c>
      <c r="W76" s="875">
        <f t="shared" si="7"/>
        <v>0</v>
      </c>
      <c r="X76" s="875">
        <f t="shared" si="8"/>
        <v>0</v>
      </c>
      <c r="Y76" s="875">
        <f t="shared" si="9"/>
        <v>0</v>
      </c>
      <c r="Z76" s="875">
        <f t="shared" si="10"/>
        <v>0</v>
      </c>
      <c r="AA76" s="875">
        <f t="shared" si="11"/>
        <v>0</v>
      </c>
      <c r="AB76" s="875" t="str">
        <f t="shared" si="12"/>
        <v/>
      </c>
      <c r="AC76" s="713">
        <f>'min. Düngung 22'!K77</f>
        <v>0</v>
      </c>
      <c r="AD76" s="938"/>
      <c r="AE76" s="938"/>
      <c r="AF76" s="938">
        <f t="shared" si="13"/>
        <v>0</v>
      </c>
      <c r="AG76" s="938">
        <f t="shared" si="14"/>
        <v>0</v>
      </c>
      <c r="AH76" s="938">
        <f t="shared" si="15"/>
        <v>0</v>
      </c>
      <c r="AI76" s="938">
        <f t="shared" si="16"/>
        <v>0</v>
      </c>
      <c r="AJ76" s="938">
        <f t="shared" si="17"/>
        <v>0</v>
      </c>
      <c r="AK76" s="938">
        <f t="shared" si="18"/>
        <v>0</v>
      </c>
      <c r="AL76" s="713">
        <f>'min. Düngung 22'!N77</f>
        <v>0</v>
      </c>
      <c r="AM76" s="938"/>
      <c r="AN76" s="938"/>
      <c r="AO76" s="938">
        <f t="shared" si="19"/>
        <v>0</v>
      </c>
      <c r="AP76" s="938">
        <f t="shared" si="20"/>
        <v>0</v>
      </c>
      <c r="AQ76" s="938">
        <f t="shared" si="21"/>
        <v>0</v>
      </c>
      <c r="AR76" s="938">
        <f t="shared" si="22"/>
        <v>0</v>
      </c>
      <c r="AS76" s="938">
        <f t="shared" si="23"/>
        <v>0</v>
      </c>
      <c r="AT76" s="938" t="str">
        <f t="shared" si="24"/>
        <v/>
      </c>
      <c r="AU76" s="713">
        <f>'min. Düngung 22'!Q77</f>
        <v>0</v>
      </c>
      <c r="AV76" s="938"/>
      <c r="AW76" s="938"/>
      <c r="AX76" s="938">
        <f t="shared" si="25"/>
        <v>0</v>
      </c>
      <c r="AY76" s="938">
        <f t="shared" si="26"/>
        <v>0</v>
      </c>
      <c r="AZ76" s="938">
        <f t="shared" si="27"/>
        <v>0</v>
      </c>
      <c r="BA76" s="938">
        <f t="shared" si="28"/>
        <v>0</v>
      </c>
      <c r="BB76" s="938">
        <f t="shared" si="29"/>
        <v>0</v>
      </c>
      <c r="BC76" s="938" t="str">
        <f t="shared" si="30"/>
        <v/>
      </c>
      <c r="BD76" s="713">
        <f>'min. Düngung 22'!T77</f>
        <v>0</v>
      </c>
      <c r="BE76" s="938"/>
      <c r="BF76" s="938"/>
      <c r="BG76" s="938">
        <f t="shared" si="31"/>
        <v>0</v>
      </c>
      <c r="BH76" s="938">
        <f t="shared" si="32"/>
        <v>0</v>
      </c>
      <c r="BI76" s="938">
        <f t="shared" si="33"/>
        <v>0</v>
      </c>
      <c r="BJ76" s="938">
        <f t="shared" si="34"/>
        <v>0</v>
      </c>
      <c r="BK76" s="938">
        <f t="shared" si="35"/>
        <v>0</v>
      </c>
      <c r="BL76" s="938" t="str">
        <f t="shared" si="36"/>
        <v/>
      </c>
      <c r="BM76" s="713">
        <f>'min. Düngung 22'!W77</f>
        <v>0</v>
      </c>
      <c r="BN76" s="938"/>
      <c r="BO76" s="938"/>
      <c r="BP76" s="938">
        <f t="shared" si="37"/>
        <v>0</v>
      </c>
      <c r="BQ76" s="938">
        <f t="shared" si="38"/>
        <v>0</v>
      </c>
      <c r="BR76" s="938">
        <f t="shared" si="39"/>
        <v>0</v>
      </c>
      <c r="BS76" s="938">
        <f t="shared" si="40"/>
        <v>0</v>
      </c>
      <c r="BT76" s="938">
        <f t="shared" si="41"/>
        <v>0</v>
      </c>
      <c r="BU76" s="938" t="str">
        <f t="shared" si="42"/>
        <v/>
      </c>
      <c r="BV76" s="713">
        <f>'min. Düngung 22'!Z77</f>
        <v>0</v>
      </c>
      <c r="BW76" s="938"/>
      <c r="BX76" s="938"/>
      <c r="BY76" s="938">
        <f t="shared" si="43"/>
        <v>0</v>
      </c>
      <c r="BZ76" s="938">
        <f t="shared" si="44"/>
        <v>0</v>
      </c>
      <c r="CA76" s="938">
        <f t="shared" si="45"/>
        <v>0</v>
      </c>
      <c r="CB76" s="938">
        <f t="shared" si="46"/>
        <v>0</v>
      </c>
      <c r="CC76" s="938">
        <f t="shared" si="47"/>
        <v>0</v>
      </c>
      <c r="CD76" s="938" t="str">
        <f t="shared" si="48"/>
        <v/>
      </c>
      <c r="CE76" s="713">
        <f>'min. Düngung 22'!AC77</f>
        <v>0</v>
      </c>
      <c r="CF76" s="938"/>
      <c r="CG76" s="938"/>
      <c r="CH76" s="938">
        <f t="shared" si="49"/>
        <v>0</v>
      </c>
      <c r="CI76" s="938">
        <f t="shared" si="50"/>
        <v>0</v>
      </c>
      <c r="CJ76" s="938">
        <f t="shared" si="51"/>
        <v>0</v>
      </c>
      <c r="CK76" s="938">
        <f t="shared" si="52"/>
        <v>0</v>
      </c>
      <c r="CL76" s="938">
        <f t="shared" si="53"/>
        <v>0</v>
      </c>
      <c r="CM76" s="938" t="str">
        <f t="shared" si="54"/>
        <v/>
      </c>
      <c r="CN76" s="713">
        <f>'min. Düngung 22'!AF77</f>
        <v>0</v>
      </c>
      <c r="CO76" s="938"/>
      <c r="CP76" s="938"/>
      <c r="CQ76" s="938">
        <f t="shared" si="55"/>
        <v>0</v>
      </c>
      <c r="CR76" s="938">
        <f t="shared" si="56"/>
        <v>0</v>
      </c>
      <c r="CS76" s="938">
        <f t="shared" si="57"/>
        <v>0</v>
      </c>
      <c r="CT76" s="938">
        <f t="shared" si="58"/>
        <v>0</v>
      </c>
      <c r="CU76" s="938">
        <f t="shared" si="59"/>
        <v>0</v>
      </c>
      <c r="CV76" s="938" t="str">
        <f t="shared" si="60"/>
        <v/>
      </c>
      <c r="CW76" s="713">
        <f>'min. Düngung 22'!AI77</f>
        <v>0</v>
      </c>
      <c r="CX76" s="938"/>
      <c r="CY76" s="938"/>
      <c r="CZ76" s="938">
        <f t="shared" si="61"/>
        <v>0</v>
      </c>
      <c r="DA76" s="938">
        <f t="shared" si="62"/>
        <v>0</v>
      </c>
      <c r="DB76" s="938">
        <f t="shared" si="63"/>
        <v>0</v>
      </c>
      <c r="DC76" s="938">
        <f t="shared" si="64"/>
        <v>0</v>
      </c>
      <c r="DD76" s="938">
        <f t="shared" si="65"/>
        <v>0</v>
      </c>
      <c r="DE76" s="938" t="str">
        <f t="shared" si="66"/>
        <v/>
      </c>
      <c r="DF76" s="713">
        <f>'min. Düngung 22'!AL77</f>
        <v>0</v>
      </c>
      <c r="DG76" s="938"/>
      <c r="DH76" s="938"/>
      <c r="DI76" s="938">
        <f t="shared" si="67"/>
        <v>0</v>
      </c>
      <c r="DJ76" s="938">
        <f t="shared" si="68"/>
        <v>0</v>
      </c>
      <c r="DK76" s="938">
        <f t="shared" si="69"/>
        <v>0</v>
      </c>
      <c r="DL76" s="938">
        <f t="shared" si="70"/>
        <v>0</v>
      </c>
      <c r="DM76" s="938">
        <f t="shared" si="71"/>
        <v>0</v>
      </c>
      <c r="DN76" s="938" t="str">
        <f t="shared" si="72"/>
        <v/>
      </c>
      <c r="DO76" s="713">
        <f>'min. Düngung 22'!AO77</f>
        <v>0</v>
      </c>
      <c r="DP76" s="938"/>
      <c r="DQ76" s="938"/>
      <c r="DR76" s="938">
        <f t="shared" si="73"/>
        <v>0</v>
      </c>
      <c r="DS76" s="938">
        <f t="shared" si="74"/>
        <v>0</v>
      </c>
      <c r="DT76" s="938">
        <f t="shared" si="75"/>
        <v>0</v>
      </c>
      <c r="DU76" s="938">
        <f t="shared" si="76"/>
        <v>0</v>
      </c>
      <c r="DV76" s="938">
        <f t="shared" si="77"/>
        <v>0</v>
      </c>
      <c r="DW76" s="938" t="str">
        <f t="shared" si="78"/>
        <v/>
      </c>
      <c r="DX76" s="713">
        <f>'min. Düngung 22'!AR77</f>
        <v>0</v>
      </c>
      <c r="DY76" s="938"/>
      <c r="DZ76" s="938"/>
      <c r="EA76" s="938">
        <f t="shared" si="79"/>
        <v>0</v>
      </c>
      <c r="EB76" s="938">
        <f t="shared" si="80"/>
        <v>0</v>
      </c>
      <c r="EC76" s="938">
        <f t="shared" si="81"/>
        <v>0</v>
      </c>
      <c r="ED76" s="938">
        <f t="shared" si="82"/>
        <v>0</v>
      </c>
      <c r="EE76" s="938">
        <f t="shared" si="83"/>
        <v>0</v>
      </c>
      <c r="EF76" s="938" t="str">
        <f t="shared" si="84"/>
        <v/>
      </c>
      <c r="EG76" s="713">
        <f>'min. Düngung 22'!AU77</f>
        <v>0</v>
      </c>
      <c r="EH76" s="938"/>
      <c r="EI76" s="938"/>
      <c r="EJ76" s="938">
        <f t="shared" si="85"/>
        <v>0</v>
      </c>
      <c r="EK76" s="938">
        <f t="shared" si="86"/>
        <v>0</v>
      </c>
      <c r="EL76" s="938">
        <f t="shared" si="87"/>
        <v>0</v>
      </c>
      <c r="EM76" s="938">
        <f t="shared" si="88"/>
        <v>0</v>
      </c>
      <c r="EN76" s="938">
        <f t="shared" si="89"/>
        <v>0</v>
      </c>
      <c r="EO76" s="938" t="str">
        <f t="shared" si="90"/>
        <v/>
      </c>
      <c r="EP76" s="713">
        <f>'min. Düngung 22'!AX77</f>
        <v>0</v>
      </c>
      <c r="EQ76" s="938"/>
      <c r="ER76" s="938"/>
      <c r="ES76" s="938">
        <f t="shared" si="91"/>
        <v>0</v>
      </c>
      <c r="ET76" s="938">
        <f t="shared" si="92"/>
        <v>0</v>
      </c>
      <c r="EU76" s="938">
        <f t="shared" si="93"/>
        <v>0</v>
      </c>
      <c r="EV76" s="938">
        <f t="shared" si="94"/>
        <v>0</v>
      </c>
      <c r="EW76" s="938">
        <f t="shared" si="95"/>
        <v>0</v>
      </c>
      <c r="EX76" s="938" t="str">
        <f t="shared" si="96"/>
        <v/>
      </c>
      <c r="EY76" s="713">
        <f>'min. Düngung 22'!BA77</f>
        <v>0</v>
      </c>
      <c r="EZ76" s="938"/>
      <c r="FA76" s="938"/>
      <c r="FB76" s="938">
        <f t="shared" si="97"/>
        <v>0</v>
      </c>
      <c r="FC76" s="938">
        <f t="shared" si="98"/>
        <v>0</v>
      </c>
      <c r="FD76" s="938">
        <f t="shared" si="99"/>
        <v>0</v>
      </c>
      <c r="FE76" s="938">
        <f t="shared" si="100"/>
        <v>0</v>
      </c>
      <c r="FF76" s="938">
        <f t="shared" si="101"/>
        <v>0</v>
      </c>
      <c r="FG76" s="938" t="str">
        <f t="shared" si="102"/>
        <v/>
      </c>
      <c r="FH76" s="713">
        <f>'min. Düngung 22'!BD77</f>
        <v>0</v>
      </c>
      <c r="FI76" s="938"/>
      <c r="FJ76" s="938"/>
      <c r="FK76" s="938">
        <f t="shared" si="103"/>
        <v>0</v>
      </c>
      <c r="FL76" s="938">
        <f t="shared" si="104"/>
        <v>0</v>
      </c>
      <c r="FM76" s="938">
        <f t="shared" si="105"/>
        <v>0</v>
      </c>
      <c r="FN76" s="938">
        <f t="shared" si="106"/>
        <v>0</v>
      </c>
      <c r="FO76" s="938">
        <f t="shared" si="107"/>
        <v>0</v>
      </c>
      <c r="FP76" s="938" t="str">
        <f t="shared" si="108"/>
        <v/>
      </c>
      <c r="FQ76" s="713">
        <f>'min. Düngung 22'!BG77</f>
        <v>0</v>
      </c>
      <c r="FR76" s="938"/>
      <c r="FS76" s="938"/>
      <c r="FT76" s="938">
        <f t="shared" si="109"/>
        <v>0</v>
      </c>
      <c r="FU76" s="938">
        <f t="shared" si="110"/>
        <v>0</v>
      </c>
      <c r="FV76" s="938">
        <f t="shared" si="111"/>
        <v>0</v>
      </c>
      <c r="FW76" s="938">
        <f t="shared" si="112"/>
        <v>0</v>
      </c>
      <c r="FX76" s="938">
        <f t="shared" si="113"/>
        <v>0</v>
      </c>
      <c r="FY76" s="938" t="str">
        <f t="shared" si="114"/>
        <v/>
      </c>
      <c r="FZ76" s="713">
        <f>'min. Düngung 22'!BJ77</f>
        <v>0</v>
      </c>
      <c r="GA76" s="938"/>
      <c r="GB76" s="938"/>
      <c r="GC76" s="938">
        <f t="shared" si="115"/>
        <v>0</v>
      </c>
      <c r="GD76" s="938">
        <f t="shared" si="116"/>
        <v>0</v>
      </c>
      <c r="GE76" s="938">
        <f t="shared" si="117"/>
        <v>0</v>
      </c>
      <c r="GF76" s="938">
        <f t="shared" si="118"/>
        <v>0</v>
      </c>
      <c r="GG76" s="938">
        <f t="shared" si="119"/>
        <v>0</v>
      </c>
      <c r="GH76" s="938" t="str">
        <f t="shared" si="120"/>
        <v/>
      </c>
      <c r="GI76" s="713">
        <f>'min. Düngung 22'!BM77</f>
        <v>0</v>
      </c>
      <c r="GJ76" s="938"/>
      <c r="GK76" s="938"/>
      <c r="GL76" s="938">
        <f t="shared" si="121"/>
        <v>0</v>
      </c>
      <c r="GM76" s="938">
        <f t="shared" si="122"/>
        <v>0</v>
      </c>
      <c r="GN76" s="938">
        <f t="shared" si="123"/>
        <v>0</v>
      </c>
      <c r="GO76" s="938">
        <f t="shared" si="124"/>
        <v>0</v>
      </c>
      <c r="GP76" s="938">
        <f t="shared" si="125"/>
        <v>0</v>
      </c>
      <c r="GQ76" s="938" t="str">
        <f t="shared" si="126"/>
        <v/>
      </c>
      <c r="GR76" s="713">
        <f>'min. Düngung 22'!BP77</f>
        <v>0</v>
      </c>
      <c r="GS76" s="938"/>
      <c r="GT76" s="938"/>
      <c r="GU76" s="938">
        <f t="shared" si="127"/>
        <v>0</v>
      </c>
      <c r="GV76" s="938">
        <f t="shared" si="128"/>
        <v>0</v>
      </c>
      <c r="GW76" s="938">
        <f t="shared" si="129"/>
        <v>0</v>
      </c>
      <c r="GX76" s="938">
        <f t="shared" si="130"/>
        <v>0</v>
      </c>
      <c r="GY76" s="938">
        <f t="shared" si="131"/>
        <v>0</v>
      </c>
      <c r="GZ76" s="938" t="str">
        <f t="shared" si="132"/>
        <v/>
      </c>
      <c r="HA76" s="713">
        <f>'min. Düngung 22'!BS77</f>
        <v>0</v>
      </c>
      <c r="HB76" s="938"/>
      <c r="HC76" s="938"/>
      <c r="HD76" s="938">
        <f t="shared" si="133"/>
        <v>0</v>
      </c>
      <c r="HE76" s="938">
        <f t="shared" si="134"/>
        <v>0</v>
      </c>
      <c r="HF76" s="938">
        <f t="shared" si="135"/>
        <v>0</v>
      </c>
      <c r="HG76" s="938">
        <f t="shared" si="136"/>
        <v>0</v>
      </c>
      <c r="HH76" s="938">
        <f t="shared" si="137"/>
        <v>0</v>
      </c>
      <c r="HI76" s="938" t="str">
        <f t="shared" si="138"/>
        <v/>
      </c>
      <c r="HJ76" s="713">
        <f>'min. Düngung 22'!BV77</f>
        <v>0</v>
      </c>
      <c r="HK76" s="938"/>
      <c r="HL76" s="938"/>
      <c r="HM76" s="938">
        <f t="shared" si="139"/>
        <v>0</v>
      </c>
      <c r="HN76" s="938">
        <f t="shared" si="140"/>
        <v>0</v>
      </c>
      <c r="HO76" s="938">
        <f t="shared" si="141"/>
        <v>0</v>
      </c>
      <c r="HP76" s="938">
        <f t="shared" si="142"/>
        <v>0</v>
      </c>
      <c r="HQ76" s="938">
        <f t="shared" si="143"/>
        <v>0</v>
      </c>
      <c r="HR76" s="938" t="str">
        <f t="shared" si="144"/>
        <v/>
      </c>
      <c r="HS76" s="713">
        <f>'min. Düngung 22'!BY77</f>
        <v>0</v>
      </c>
      <c r="HT76" s="938"/>
      <c r="HU76" s="938"/>
      <c r="HV76" s="938">
        <f t="shared" si="145"/>
        <v>0</v>
      </c>
      <c r="HW76" s="938">
        <f t="shared" si="146"/>
        <v>0</v>
      </c>
      <c r="HX76" s="938">
        <f t="shared" si="147"/>
        <v>0</v>
      </c>
      <c r="HY76" s="938">
        <f t="shared" si="148"/>
        <v>0</v>
      </c>
      <c r="HZ76" s="938">
        <f t="shared" si="149"/>
        <v>0</v>
      </c>
      <c r="IA76" s="938" t="str">
        <f t="shared" si="150"/>
        <v/>
      </c>
      <c r="IB76" s="713">
        <f>'min. Düngung 22'!CB77</f>
        <v>0</v>
      </c>
      <c r="IC76" s="938"/>
      <c r="ID76" s="938"/>
      <c r="IE76" s="938">
        <f t="shared" si="151"/>
        <v>0</v>
      </c>
      <c r="IF76" s="938">
        <f t="shared" si="152"/>
        <v>0</v>
      </c>
      <c r="IG76" s="938">
        <f t="shared" si="153"/>
        <v>0</v>
      </c>
      <c r="IH76" s="938">
        <f t="shared" si="154"/>
        <v>0</v>
      </c>
      <c r="II76" s="938">
        <f t="shared" si="155"/>
        <v>0</v>
      </c>
      <c r="IJ76" s="938" t="str">
        <f t="shared" si="156"/>
        <v/>
      </c>
      <c r="IK76" s="713">
        <f>'min. Düngung 22'!CE77</f>
        <v>0</v>
      </c>
      <c r="IL76" s="938"/>
      <c r="IM76" s="938"/>
      <c r="IN76" s="938">
        <f t="shared" si="157"/>
        <v>0</v>
      </c>
      <c r="IO76" s="938">
        <f t="shared" si="158"/>
        <v>0</v>
      </c>
      <c r="IP76" s="938">
        <f t="shared" si="159"/>
        <v>0</v>
      </c>
      <c r="IQ76" s="938">
        <f t="shared" si="160"/>
        <v>0</v>
      </c>
      <c r="IR76" s="938">
        <f t="shared" si="161"/>
        <v>0</v>
      </c>
      <c r="IS76" s="938" t="str">
        <f t="shared" si="162"/>
        <v/>
      </c>
      <c r="IT76" s="713">
        <f>'min. Düngung 22'!CH77</f>
        <v>0</v>
      </c>
      <c r="IU76" s="938"/>
      <c r="IV76" s="938"/>
      <c r="IW76" s="938">
        <f t="shared" si="163"/>
        <v>0</v>
      </c>
      <c r="IX76" s="938">
        <f t="shared" si="164"/>
        <v>0</v>
      </c>
      <c r="IY76" s="938">
        <f t="shared" si="165"/>
        <v>0</v>
      </c>
      <c r="IZ76" s="938">
        <f t="shared" si="166"/>
        <v>0</v>
      </c>
      <c r="JA76" s="938">
        <f t="shared" si="167"/>
        <v>0</v>
      </c>
      <c r="JB76" s="938" t="str">
        <f t="shared" si="168"/>
        <v/>
      </c>
      <c r="JC76" s="713">
        <f>'min. Düngung 22'!CK77</f>
        <v>0</v>
      </c>
      <c r="JD76" s="938"/>
      <c r="JE76" s="938"/>
      <c r="JF76" s="938">
        <f t="shared" si="169"/>
        <v>0</v>
      </c>
      <c r="JG76" s="938">
        <f t="shared" si="170"/>
        <v>0</v>
      </c>
      <c r="JH76" s="938">
        <f t="shared" si="171"/>
        <v>0</v>
      </c>
      <c r="JI76" s="938">
        <f t="shared" si="172"/>
        <v>0</v>
      </c>
      <c r="JJ76" s="938">
        <f t="shared" si="173"/>
        <v>0</v>
      </c>
      <c r="JK76" s="938" t="str">
        <f t="shared" si="174"/>
        <v/>
      </c>
      <c r="JL76" s="713">
        <f>'min. Düngung 22'!CN77</f>
        <v>0</v>
      </c>
      <c r="JM76" s="938"/>
      <c r="JN76" s="938"/>
      <c r="JO76" s="938">
        <f t="shared" si="175"/>
        <v>0</v>
      </c>
      <c r="JP76" s="938">
        <f t="shared" si="176"/>
        <v>0</v>
      </c>
      <c r="JQ76" s="938">
        <f t="shared" si="177"/>
        <v>0</v>
      </c>
      <c r="JR76" s="938">
        <f t="shared" si="178"/>
        <v>0</v>
      </c>
      <c r="JS76" s="938">
        <f t="shared" si="179"/>
        <v>0</v>
      </c>
      <c r="JT76" s="938" t="str">
        <f t="shared" si="180"/>
        <v/>
      </c>
      <c r="JU76" s="713">
        <f>'min. Düngung 22'!CQ77</f>
        <v>0</v>
      </c>
      <c r="JV76" s="938"/>
      <c r="JW76" s="938"/>
      <c r="JX76" s="938">
        <f t="shared" si="181"/>
        <v>0</v>
      </c>
      <c r="JY76" s="938">
        <f t="shared" si="182"/>
        <v>0</v>
      </c>
      <c r="JZ76" s="938">
        <f t="shared" si="183"/>
        <v>0</v>
      </c>
      <c r="KA76" s="938">
        <f t="shared" si="184"/>
        <v>0</v>
      </c>
      <c r="KB76" s="938">
        <f t="shared" si="185"/>
        <v>0</v>
      </c>
      <c r="KC76" s="938" t="str">
        <f t="shared" si="186"/>
        <v/>
      </c>
      <c r="KE76" s="938"/>
      <c r="KF76" s="938" t="str">
        <f>IF(AND($F76=2,$G76=1),"",IF(OR($Q76&gt;0,$O76&gt;60),$KF$7,IF(I76=70,"",IF(AND(I76=80,R76+'#orgDung'!AC79&lt;60,K76=1,OR(C76=2,'#BerechnungDBE'!AH70=4)),"",IF(R76&gt;0,$KF$7,"")))))</f>
        <v/>
      </c>
      <c r="KG76" s="938" t="str">
        <f>IF(AND(P76&gt;'#BerechnungDBE'!BJ70,P76&gt;0),'#minDung'!$KG$7,"")</f>
        <v/>
      </c>
      <c r="KH76" s="938" t="str">
        <f>IF(AND(I76=70,R76&gt;'#BerechnungDBE'!CR70),'#minDung'!$KH$7,"")</f>
        <v/>
      </c>
      <c r="KI76" s="938" t="str">
        <f>IF('#BerechnungDBE'!P70&lt;4,"",IF(AND('#BerechnungDBE'!BZ70&gt;0,N76&gt;0),$KI$7,""))</f>
        <v/>
      </c>
      <c r="KJ76" s="938" t="str">
        <f t="shared" ref="KJ76:KJ110" si="197">IF(AND(F76=2,G76=1,Q76&gt;0),$KJ$7,"")</f>
        <v/>
      </c>
    </row>
    <row r="77" spans="1:296" s="875" customFormat="1" hidden="1" x14ac:dyDescent="0.2">
      <c r="A77" s="875">
        <f>'Flächen u. Kulturen'!A76</f>
        <v>67</v>
      </c>
      <c r="B77" s="734">
        <f>'#BerechnungDBE'!L71</f>
        <v>0</v>
      </c>
      <c r="C77" s="46">
        <f>'#orgDung'!C80</f>
        <v>1</v>
      </c>
      <c r="D77" s="875">
        <f>'#BerechnungDBE'!T71</f>
        <v>2</v>
      </c>
      <c r="E77" s="875" t="str">
        <f>'Flächen u. Kulturen'!E76</f>
        <v>x</v>
      </c>
      <c r="F77" s="52">
        <f>'#BerechnungDBE'!N71</f>
        <v>1</v>
      </c>
      <c r="G77" s="52">
        <f>'#BerechnungDBE'!O71</f>
        <v>1</v>
      </c>
      <c r="H77" s="505">
        <f>'#orgDung'!J80</f>
        <v>2</v>
      </c>
      <c r="I77" s="875">
        <f>'#BerechnungDBE'!AF71</f>
        <v>0</v>
      </c>
      <c r="J77" s="875">
        <f>'#orgDung'!M80</f>
        <v>0</v>
      </c>
      <c r="K77" s="875">
        <f>'#BerechnungDBE'!AG71</f>
        <v>0</v>
      </c>
      <c r="M77" s="875">
        <f t="shared" si="192"/>
        <v>0</v>
      </c>
      <c r="N77" s="875">
        <f t="shared" si="193"/>
        <v>0</v>
      </c>
      <c r="O77" s="875">
        <f t="shared" si="194"/>
        <v>0</v>
      </c>
      <c r="P77" s="875">
        <f t="shared" si="195"/>
        <v>0</v>
      </c>
      <c r="Q77" s="938">
        <f t="shared" ref="Q77:Q110" si="198">SUMIF($T$9:$XFD$9,$AA$10,T77:XFD77)</f>
        <v>0</v>
      </c>
      <c r="R77" s="875">
        <f t="shared" si="196"/>
        <v>0</v>
      </c>
      <c r="T77" s="713">
        <f>'min. Düngung 22'!H78</f>
        <v>0</v>
      </c>
      <c r="W77" s="875">
        <f t="shared" si="7"/>
        <v>0</v>
      </c>
      <c r="X77" s="875">
        <f t="shared" si="8"/>
        <v>0</v>
      </c>
      <c r="Y77" s="875">
        <f t="shared" si="9"/>
        <v>0</v>
      </c>
      <c r="Z77" s="875">
        <f t="shared" si="10"/>
        <v>0</v>
      </c>
      <c r="AA77" s="875">
        <f t="shared" si="11"/>
        <v>0</v>
      </c>
      <c r="AB77" s="875" t="str">
        <f t="shared" si="12"/>
        <v/>
      </c>
      <c r="AC77" s="713">
        <f>'min. Düngung 22'!K78</f>
        <v>0</v>
      </c>
      <c r="AD77" s="938"/>
      <c r="AE77" s="938"/>
      <c r="AF77" s="938">
        <f t="shared" si="13"/>
        <v>0</v>
      </c>
      <c r="AG77" s="938">
        <f t="shared" si="14"/>
        <v>0</v>
      </c>
      <c r="AH77" s="938">
        <f t="shared" si="15"/>
        <v>0</v>
      </c>
      <c r="AI77" s="938">
        <f t="shared" si="16"/>
        <v>0</v>
      </c>
      <c r="AJ77" s="938">
        <f t="shared" si="17"/>
        <v>0</v>
      </c>
      <c r="AK77" s="938">
        <f t="shared" si="18"/>
        <v>0</v>
      </c>
      <c r="AL77" s="713">
        <f>'min. Düngung 22'!N78</f>
        <v>0</v>
      </c>
      <c r="AM77" s="938"/>
      <c r="AN77" s="938"/>
      <c r="AO77" s="938">
        <f t="shared" si="19"/>
        <v>0</v>
      </c>
      <c r="AP77" s="938">
        <f t="shared" si="20"/>
        <v>0</v>
      </c>
      <c r="AQ77" s="938">
        <f t="shared" si="21"/>
        <v>0</v>
      </c>
      <c r="AR77" s="938">
        <f t="shared" si="22"/>
        <v>0</v>
      </c>
      <c r="AS77" s="938">
        <f t="shared" si="23"/>
        <v>0</v>
      </c>
      <c r="AT77" s="938" t="str">
        <f t="shared" si="24"/>
        <v/>
      </c>
      <c r="AU77" s="713">
        <f>'min. Düngung 22'!Q78</f>
        <v>0</v>
      </c>
      <c r="AV77" s="938"/>
      <c r="AW77" s="938"/>
      <c r="AX77" s="938">
        <f t="shared" si="25"/>
        <v>0</v>
      </c>
      <c r="AY77" s="938">
        <f t="shared" si="26"/>
        <v>0</v>
      </c>
      <c r="AZ77" s="938">
        <f t="shared" si="27"/>
        <v>0</v>
      </c>
      <c r="BA77" s="938">
        <f t="shared" si="28"/>
        <v>0</v>
      </c>
      <c r="BB77" s="938">
        <f t="shared" si="29"/>
        <v>0</v>
      </c>
      <c r="BC77" s="938" t="str">
        <f t="shared" si="30"/>
        <v/>
      </c>
      <c r="BD77" s="713">
        <f>'min. Düngung 22'!T78</f>
        <v>0</v>
      </c>
      <c r="BE77" s="938"/>
      <c r="BF77" s="938"/>
      <c r="BG77" s="938">
        <f t="shared" si="31"/>
        <v>0</v>
      </c>
      <c r="BH77" s="938">
        <f t="shared" si="32"/>
        <v>0</v>
      </c>
      <c r="BI77" s="938">
        <f t="shared" si="33"/>
        <v>0</v>
      </c>
      <c r="BJ77" s="938">
        <f t="shared" si="34"/>
        <v>0</v>
      </c>
      <c r="BK77" s="938">
        <f t="shared" si="35"/>
        <v>0</v>
      </c>
      <c r="BL77" s="938" t="str">
        <f t="shared" si="36"/>
        <v/>
      </c>
      <c r="BM77" s="713">
        <f>'min. Düngung 22'!W78</f>
        <v>0</v>
      </c>
      <c r="BN77" s="938"/>
      <c r="BO77" s="938"/>
      <c r="BP77" s="938">
        <f t="shared" si="37"/>
        <v>0</v>
      </c>
      <c r="BQ77" s="938">
        <f t="shared" si="38"/>
        <v>0</v>
      </c>
      <c r="BR77" s="938">
        <f t="shared" si="39"/>
        <v>0</v>
      </c>
      <c r="BS77" s="938">
        <f t="shared" si="40"/>
        <v>0</v>
      </c>
      <c r="BT77" s="938">
        <f t="shared" si="41"/>
        <v>0</v>
      </c>
      <c r="BU77" s="938" t="str">
        <f t="shared" si="42"/>
        <v/>
      </c>
      <c r="BV77" s="713">
        <f>'min. Düngung 22'!Z78</f>
        <v>0</v>
      </c>
      <c r="BW77" s="938"/>
      <c r="BX77" s="938"/>
      <c r="BY77" s="938">
        <f t="shared" si="43"/>
        <v>0</v>
      </c>
      <c r="BZ77" s="938">
        <f t="shared" si="44"/>
        <v>0</v>
      </c>
      <c r="CA77" s="938">
        <f t="shared" si="45"/>
        <v>0</v>
      </c>
      <c r="CB77" s="938">
        <f t="shared" si="46"/>
        <v>0</v>
      </c>
      <c r="CC77" s="938">
        <f t="shared" si="47"/>
        <v>0</v>
      </c>
      <c r="CD77" s="938" t="str">
        <f t="shared" si="48"/>
        <v/>
      </c>
      <c r="CE77" s="713">
        <f>'min. Düngung 22'!AC78</f>
        <v>0</v>
      </c>
      <c r="CF77" s="938"/>
      <c r="CG77" s="938"/>
      <c r="CH77" s="938">
        <f t="shared" si="49"/>
        <v>0</v>
      </c>
      <c r="CI77" s="938">
        <f t="shared" si="50"/>
        <v>0</v>
      </c>
      <c r="CJ77" s="938">
        <f t="shared" si="51"/>
        <v>0</v>
      </c>
      <c r="CK77" s="938">
        <f t="shared" si="52"/>
        <v>0</v>
      </c>
      <c r="CL77" s="938">
        <f t="shared" si="53"/>
        <v>0</v>
      </c>
      <c r="CM77" s="938" t="str">
        <f t="shared" si="54"/>
        <v/>
      </c>
      <c r="CN77" s="713">
        <f>'min. Düngung 22'!AF78</f>
        <v>0</v>
      </c>
      <c r="CO77" s="938"/>
      <c r="CP77" s="938"/>
      <c r="CQ77" s="938">
        <f t="shared" si="55"/>
        <v>0</v>
      </c>
      <c r="CR77" s="938">
        <f t="shared" si="56"/>
        <v>0</v>
      </c>
      <c r="CS77" s="938">
        <f t="shared" si="57"/>
        <v>0</v>
      </c>
      <c r="CT77" s="938">
        <f t="shared" si="58"/>
        <v>0</v>
      </c>
      <c r="CU77" s="938">
        <f t="shared" si="59"/>
        <v>0</v>
      </c>
      <c r="CV77" s="938" t="str">
        <f t="shared" si="60"/>
        <v/>
      </c>
      <c r="CW77" s="713">
        <f>'min. Düngung 22'!AI78</f>
        <v>0</v>
      </c>
      <c r="CX77" s="938"/>
      <c r="CY77" s="938"/>
      <c r="CZ77" s="938">
        <f t="shared" si="61"/>
        <v>0</v>
      </c>
      <c r="DA77" s="938">
        <f t="shared" si="62"/>
        <v>0</v>
      </c>
      <c r="DB77" s="938">
        <f t="shared" si="63"/>
        <v>0</v>
      </c>
      <c r="DC77" s="938">
        <f t="shared" si="64"/>
        <v>0</v>
      </c>
      <c r="DD77" s="938">
        <f t="shared" si="65"/>
        <v>0</v>
      </c>
      <c r="DE77" s="938" t="str">
        <f t="shared" si="66"/>
        <v/>
      </c>
      <c r="DF77" s="713">
        <f>'min. Düngung 22'!AL78</f>
        <v>0</v>
      </c>
      <c r="DG77" s="938"/>
      <c r="DH77" s="938"/>
      <c r="DI77" s="938">
        <f t="shared" si="67"/>
        <v>0</v>
      </c>
      <c r="DJ77" s="938">
        <f t="shared" si="68"/>
        <v>0</v>
      </c>
      <c r="DK77" s="938">
        <f t="shared" si="69"/>
        <v>0</v>
      </c>
      <c r="DL77" s="938">
        <f t="shared" si="70"/>
        <v>0</v>
      </c>
      <c r="DM77" s="938">
        <f t="shared" si="71"/>
        <v>0</v>
      </c>
      <c r="DN77" s="938" t="str">
        <f t="shared" si="72"/>
        <v/>
      </c>
      <c r="DO77" s="713">
        <f>'min. Düngung 22'!AO78</f>
        <v>0</v>
      </c>
      <c r="DP77" s="938"/>
      <c r="DQ77" s="938"/>
      <c r="DR77" s="938">
        <f t="shared" si="73"/>
        <v>0</v>
      </c>
      <c r="DS77" s="938">
        <f t="shared" si="74"/>
        <v>0</v>
      </c>
      <c r="DT77" s="938">
        <f t="shared" si="75"/>
        <v>0</v>
      </c>
      <c r="DU77" s="938">
        <f t="shared" si="76"/>
        <v>0</v>
      </c>
      <c r="DV77" s="938">
        <f t="shared" si="77"/>
        <v>0</v>
      </c>
      <c r="DW77" s="938" t="str">
        <f t="shared" si="78"/>
        <v/>
      </c>
      <c r="DX77" s="713">
        <f>'min. Düngung 22'!AR78</f>
        <v>0</v>
      </c>
      <c r="DY77" s="938"/>
      <c r="DZ77" s="938"/>
      <c r="EA77" s="938">
        <f t="shared" si="79"/>
        <v>0</v>
      </c>
      <c r="EB77" s="938">
        <f t="shared" si="80"/>
        <v>0</v>
      </c>
      <c r="EC77" s="938">
        <f t="shared" si="81"/>
        <v>0</v>
      </c>
      <c r="ED77" s="938">
        <f t="shared" si="82"/>
        <v>0</v>
      </c>
      <c r="EE77" s="938">
        <f t="shared" si="83"/>
        <v>0</v>
      </c>
      <c r="EF77" s="938" t="str">
        <f t="shared" si="84"/>
        <v/>
      </c>
      <c r="EG77" s="713">
        <f>'min. Düngung 22'!AU78</f>
        <v>0</v>
      </c>
      <c r="EH77" s="938"/>
      <c r="EI77" s="938"/>
      <c r="EJ77" s="938">
        <f t="shared" si="85"/>
        <v>0</v>
      </c>
      <c r="EK77" s="938">
        <f t="shared" si="86"/>
        <v>0</v>
      </c>
      <c r="EL77" s="938">
        <f t="shared" si="87"/>
        <v>0</v>
      </c>
      <c r="EM77" s="938">
        <f t="shared" si="88"/>
        <v>0</v>
      </c>
      <c r="EN77" s="938">
        <f t="shared" si="89"/>
        <v>0</v>
      </c>
      <c r="EO77" s="938" t="str">
        <f t="shared" si="90"/>
        <v/>
      </c>
      <c r="EP77" s="713">
        <f>'min. Düngung 22'!AX78</f>
        <v>0</v>
      </c>
      <c r="EQ77" s="938"/>
      <c r="ER77" s="938"/>
      <c r="ES77" s="938">
        <f t="shared" si="91"/>
        <v>0</v>
      </c>
      <c r="ET77" s="938">
        <f t="shared" si="92"/>
        <v>0</v>
      </c>
      <c r="EU77" s="938">
        <f t="shared" si="93"/>
        <v>0</v>
      </c>
      <c r="EV77" s="938">
        <f t="shared" si="94"/>
        <v>0</v>
      </c>
      <c r="EW77" s="938">
        <f t="shared" si="95"/>
        <v>0</v>
      </c>
      <c r="EX77" s="938" t="str">
        <f t="shared" si="96"/>
        <v/>
      </c>
      <c r="EY77" s="713">
        <f>'min. Düngung 22'!BA78</f>
        <v>0</v>
      </c>
      <c r="EZ77" s="938"/>
      <c r="FA77" s="938"/>
      <c r="FB77" s="938">
        <f t="shared" si="97"/>
        <v>0</v>
      </c>
      <c r="FC77" s="938">
        <f t="shared" si="98"/>
        <v>0</v>
      </c>
      <c r="FD77" s="938">
        <f t="shared" si="99"/>
        <v>0</v>
      </c>
      <c r="FE77" s="938">
        <f t="shared" si="100"/>
        <v>0</v>
      </c>
      <c r="FF77" s="938">
        <f t="shared" si="101"/>
        <v>0</v>
      </c>
      <c r="FG77" s="938" t="str">
        <f t="shared" si="102"/>
        <v/>
      </c>
      <c r="FH77" s="713">
        <f>'min. Düngung 22'!BD78</f>
        <v>0</v>
      </c>
      <c r="FI77" s="938"/>
      <c r="FJ77" s="938"/>
      <c r="FK77" s="938">
        <f t="shared" si="103"/>
        <v>0</v>
      </c>
      <c r="FL77" s="938">
        <f t="shared" si="104"/>
        <v>0</v>
      </c>
      <c r="FM77" s="938">
        <f t="shared" si="105"/>
        <v>0</v>
      </c>
      <c r="FN77" s="938">
        <f t="shared" si="106"/>
        <v>0</v>
      </c>
      <c r="FO77" s="938">
        <f t="shared" si="107"/>
        <v>0</v>
      </c>
      <c r="FP77" s="938" t="str">
        <f t="shared" si="108"/>
        <v/>
      </c>
      <c r="FQ77" s="713">
        <f>'min. Düngung 22'!BG78</f>
        <v>0</v>
      </c>
      <c r="FR77" s="938"/>
      <c r="FS77" s="938"/>
      <c r="FT77" s="938">
        <f t="shared" si="109"/>
        <v>0</v>
      </c>
      <c r="FU77" s="938">
        <f t="shared" si="110"/>
        <v>0</v>
      </c>
      <c r="FV77" s="938">
        <f t="shared" si="111"/>
        <v>0</v>
      </c>
      <c r="FW77" s="938">
        <f t="shared" si="112"/>
        <v>0</v>
      </c>
      <c r="FX77" s="938">
        <f t="shared" si="113"/>
        <v>0</v>
      </c>
      <c r="FY77" s="938" t="str">
        <f t="shared" si="114"/>
        <v/>
      </c>
      <c r="FZ77" s="713">
        <f>'min. Düngung 22'!BJ78</f>
        <v>0</v>
      </c>
      <c r="GA77" s="938"/>
      <c r="GB77" s="938"/>
      <c r="GC77" s="938">
        <f t="shared" si="115"/>
        <v>0</v>
      </c>
      <c r="GD77" s="938">
        <f t="shared" si="116"/>
        <v>0</v>
      </c>
      <c r="GE77" s="938">
        <f t="shared" si="117"/>
        <v>0</v>
      </c>
      <c r="GF77" s="938">
        <f t="shared" si="118"/>
        <v>0</v>
      </c>
      <c r="GG77" s="938">
        <f t="shared" si="119"/>
        <v>0</v>
      </c>
      <c r="GH77" s="938" t="str">
        <f t="shared" si="120"/>
        <v/>
      </c>
      <c r="GI77" s="713">
        <f>'min. Düngung 22'!BM78</f>
        <v>0</v>
      </c>
      <c r="GJ77" s="938"/>
      <c r="GK77" s="938"/>
      <c r="GL77" s="938">
        <f t="shared" si="121"/>
        <v>0</v>
      </c>
      <c r="GM77" s="938">
        <f t="shared" si="122"/>
        <v>0</v>
      </c>
      <c r="GN77" s="938">
        <f t="shared" si="123"/>
        <v>0</v>
      </c>
      <c r="GO77" s="938">
        <f t="shared" si="124"/>
        <v>0</v>
      </c>
      <c r="GP77" s="938">
        <f t="shared" si="125"/>
        <v>0</v>
      </c>
      <c r="GQ77" s="938" t="str">
        <f t="shared" si="126"/>
        <v/>
      </c>
      <c r="GR77" s="713">
        <f>'min. Düngung 22'!BP78</f>
        <v>0</v>
      </c>
      <c r="GS77" s="938"/>
      <c r="GT77" s="938"/>
      <c r="GU77" s="938">
        <f t="shared" si="127"/>
        <v>0</v>
      </c>
      <c r="GV77" s="938">
        <f t="shared" si="128"/>
        <v>0</v>
      </c>
      <c r="GW77" s="938">
        <f t="shared" si="129"/>
        <v>0</v>
      </c>
      <c r="GX77" s="938">
        <f t="shared" si="130"/>
        <v>0</v>
      </c>
      <c r="GY77" s="938">
        <f t="shared" si="131"/>
        <v>0</v>
      </c>
      <c r="GZ77" s="938" t="str">
        <f t="shared" si="132"/>
        <v/>
      </c>
      <c r="HA77" s="713">
        <f>'min. Düngung 22'!BS78</f>
        <v>0</v>
      </c>
      <c r="HB77" s="938"/>
      <c r="HC77" s="938"/>
      <c r="HD77" s="938">
        <f t="shared" si="133"/>
        <v>0</v>
      </c>
      <c r="HE77" s="938">
        <f t="shared" si="134"/>
        <v>0</v>
      </c>
      <c r="HF77" s="938">
        <f t="shared" si="135"/>
        <v>0</v>
      </c>
      <c r="HG77" s="938">
        <f t="shared" si="136"/>
        <v>0</v>
      </c>
      <c r="HH77" s="938">
        <f t="shared" si="137"/>
        <v>0</v>
      </c>
      <c r="HI77" s="938" t="str">
        <f t="shared" si="138"/>
        <v/>
      </c>
      <c r="HJ77" s="713">
        <f>'min. Düngung 22'!BV78</f>
        <v>0</v>
      </c>
      <c r="HK77" s="938"/>
      <c r="HL77" s="938"/>
      <c r="HM77" s="938">
        <f t="shared" si="139"/>
        <v>0</v>
      </c>
      <c r="HN77" s="938">
        <f t="shared" si="140"/>
        <v>0</v>
      </c>
      <c r="HO77" s="938">
        <f t="shared" si="141"/>
        <v>0</v>
      </c>
      <c r="HP77" s="938">
        <f t="shared" si="142"/>
        <v>0</v>
      </c>
      <c r="HQ77" s="938">
        <f t="shared" si="143"/>
        <v>0</v>
      </c>
      <c r="HR77" s="938" t="str">
        <f t="shared" si="144"/>
        <v/>
      </c>
      <c r="HS77" s="713">
        <f>'min. Düngung 22'!BY78</f>
        <v>0</v>
      </c>
      <c r="HT77" s="938"/>
      <c r="HU77" s="938"/>
      <c r="HV77" s="938">
        <f t="shared" si="145"/>
        <v>0</v>
      </c>
      <c r="HW77" s="938">
        <f t="shared" si="146"/>
        <v>0</v>
      </c>
      <c r="HX77" s="938">
        <f t="shared" si="147"/>
        <v>0</v>
      </c>
      <c r="HY77" s="938">
        <f t="shared" si="148"/>
        <v>0</v>
      </c>
      <c r="HZ77" s="938">
        <f t="shared" si="149"/>
        <v>0</v>
      </c>
      <c r="IA77" s="938" t="str">
        <f t="shared" si="150"/>
        <v/>
      </c>
      <c r="IB77" s="713">
        <f>'min. Düngung 22'!CB78</f>
        <v>0</v>
      </c>
      <c r="IC77" s="938"/>
      <c r="ID77" s="938"/>
      <c r="IE77" s="938">
        <f t="shared" si="151"/>
        <v>0</v>
      </c>
      <c r="IF77" s="938">
        <f t="shared" si="152"/>
        <v>0</v>
      </c>
      <c r="IG77" s="938">
        <f t="shared" si="153"/>
        <v>0</v>
      </c>
      <c r="IH77" s="938">
        <f t="shared" si="154"/>
        <v>0</v>
      </c>
      <c r="II77" s="938">
        <f t="shared" si="155"/>
        <v>0</v>
      </c>
      <c r="IJ77" s="938" t="str">
        <f t="shared" si="156"/>
        <v/>
      </c>
      <c r="IK77" s="713">
        <f>'min. Düngung 22'!CE78</f>
        <v>0</v>
      </c>
      <c r="IL77" s="938"/>
      <c r="IM77" s="938"/>
      <c r="IN77" s="938">
        <f t="shared" si="157"/>
        <v>0</v>
      </c>
      <c r="IO77" s="938">
        <f t="shared" si="158"/>
        <v>0</v>
      </c>
      <c r="IP77" s="938">
        <f t="shared" si="159"/>
        <v>0</v>
      </c>
      <c r="IQ77" s="938">
        <f t="shared" si="160"/>
        <v>0</v>
      </c>
      <c r="IR77" s="938">
        <f t="shared" si="161"/>
        <v>0</v>
      </c>
      <c r="IS77" s="938" t="str">
        <f t="shared" si="162"/>
        <v/>
      </c>
      <c r="IT77" s="713">
        <f>'min. Düngung 22'!CH78</f>
        <v>0</v>
      </c>
      <c r="IU77" s="938"/>
      <c r="IV77" s="938"/>
      <c r="IW77" s="938">
        <f t="shared" si="163"/>
        <v>0</v>
      </c>
      <c r="IX77" s="938">
        <f t="shared" si="164"/>
        <v>0</v>
      </c>
      <c r="IY77" s="938">
        <f t="shared" si="165"/>
        <v>0</v>
      </c>
      <c r="IZ77" s="938">
        <f t="shared" si="166"/>
        <v>0</v>
      </c>
      <c r="JA77" s="938">
        <f t="shared" si="167"/>
        <v>0</v>
      </c>
      <c r="JB77" s="938" t="str">
        <f t="shared" si="168"/>
        <v/>
      </c>
      <c r="JC77" s="713">
        <f>'min. Düngung 22'!CK78</f>
        <v>0</v>
      </c>
      <c r="JD77" s="938"/>
      <c r="JE77" s="938"/>
      <c r="JF77" s="938">
        <f t="shared" si="169"/>
        <v>0</v>
      </c>
      <c r="JG77" s="938">
        <f t="shared" si="170"/>
        <v>0</v>
      </c>
      <c r="JH77" s="938">
        <f t="shared" si="171"/>
        <v>0</v>
      </c>
      <c r="JI77" s="938">
        <f t="shared" si="172"/>
        <v>0</v>
      </c>
      <c r="JJ77" s="938">
        <f t="shared" si="173"/>
        <v>0</v>
      </c>
      <c r="JK77" s="938" t="str">
        <f t="shared" si="174"/>
        <v/>
      </c>
      <c r="JL77" s="713">
        <f>'min. Düngung 22'!CN78</f>
        <v>0</v>
      </c>
      <c r="JM77" s="938"/>
      <c r="JN77" s="938"/>
      <c r="JO77" s="938">
        <f t="shared" si="175"/>
        <v>0</v>
      </c>
      <c r="JP77" s="938">
        <f t="shared" si="176"/>
        <v>0</v>
      </c>
      <c r="JQ77" s="938">
        <f t="shared" si="177"/>
        <v>0</v>
      </c>
      <c r="JR77" s="938">
        <f t="shared" si="178"/>
        <v>0</v>
      </c>
      <c r="JS77" s="938">
        <f t="shared" si="179"/>
        <v>0</v>
      </c>
      <c r="JT77" s="938" t="str">
        <f t="shared" si="180"/>
        <v/>
      </c>
      <c r="JU77" s="713">
        <f>'min. Düngung 22'!CQ78</f>
        <v>0</v>
      </c>
      <c r="JV77" s="938"/>
      <c r="JW77" s="938"/>
      <c r="JX77" s="938">
        <f t="shared" si="181"/>
        <v>0</v>
      </c>
      <c r="JY77" s="938">
        <f t="shared" si="182"/>
        <v>0</v>
      </c>
      <c r="JZ77" s="938">
        <f t="shared" si="183"/>
        <v>0</v>
      </c>
      <c r="KA77" s="938">
        <f t="shared" si="184"/>
        <v>0</v>
      </c>
      <c r="KB77" s="938">
        <f t="shared" si="185"/>
        <v>0</v>
      </c>
      <c r="KC77" s="938" t="str">
        <f t="shared" si="186"/>
        <v/>
      </c>
      <c r="KE77" s="938"/>
      <c r="KF77" s="938" t="str">
        <f>IF(AND($F77=2,$G77=1),"",IF(OR($Q77&gt;0,$O77&gt;60),$KF$7,IF(I77=70,"",IF(AND(I77=80,R77+'#orgDung'!AC80&lt;60,K77=1,OR(C77=2,'#BerechnungDBE'!AH71=4)),"",IF(R77&gt;0,$KF$7,"")))))</f>
        <v/>
      </c>
      <c r="KG77" s="938" t="str">
        <f>IF(AND(P77&gt;'#BerechnungDBE'!BJ71,P77&gt;0),'#minDung'!$KG$7,"")</f>
        <v/>
      </c>
      <c r="KH77" s="938" t="str">
        <f>IF(AND(I77=70,R77&gt;'#BerechnungDBE'!CR71),'#minDung'!$KH$7,"")</f>
        <v/>
      </c>
      <c r="KI77" s="938" t="str">
        <f>IF('#BerechnungDBE'!P71&lt;4,"",IF(AND('#BerechnungDBE'!BZ71&gt;0,N77&gt;0),$KI$7,""))</f>
        <v/>
      </c>
      <c r="KJ77" s="938" t="str">
        <f t="shared" si="197"/>
        <v/>
      </c>
    </row>
    <row r="78" spans="1:296" s="875" customFormat="1" hidden="1" x14ac:dyDescent="0.2">
      <c r="A78" s="875">
        <f>'Flächen u. Kulturen'!A77</f>
        <v>68</v>
      </c>
      <c r="B78" s="734">
        <f>'#BerechnungDBE'!L72</f>
        <v>0</v>
      </c>
      <c r="C78" s="46">
        <f>'#orgDung'!C81</f>
        <v>1</v>
      </c>
      <c r="D78" s="875">
        <f>'#BerechnungDBE'!T72</f>
        <v>2</v>
      </c>
      <c r="E78" s="875" t="str">
        <f>'Flächen u. Kulturen'!E77</f>
        <v>x</v>
      </c>
      <c r="F78" s="52">
        <f>'#BerechnungDBE'!N72</f>
        <v>1</v>
      </c>
      <c r="G78" s="52">
        <f>'#BerechnungDBE'!O72</f>
        <v>1</v>
      </c>
      <c r="H78" s="505">
        <f>'#orgDung'!J81</f>
        <v>2</v>
      </c>
      <c r="I78" s="875">
        <f>'#BerechnungDBE'!AF72</f>
        <v>0</v>
      </c>
      <c r="J78" s="875">
        <f>'#orgDung'!M81</f>
        <v>0</v>
      </c>
      <c r="K78" s="875">
        <f>'#BerechnungDBE'!AG72</f>
        <v>0</v>
      </c>
      <c r="M78" s="875">
        <f t="shared" si="192"/>
        <v>0</v>
      </c>
      <c r="N78" s="875">
        <f t="shared" si="193"/>
        <v>0</v>
      </c>
      <c r="O78" s="875">
        <f t="shared" si="194"/>
        <v>0</v>
      </c>
      <c r="P78" s="875">
        <f t="shared" si="195"/>
        <v>0</v>
      </c>
      <c r="Q78" s="938">
        <f t="shared" si="198"/>
        <v>0</v>
      </c>
      <c r="R78" s="875">
        <f t="shared" si="196"/>
        <v>0</v>
      </c>
      <c r="T78" s="713">
        <f>'min. Düngung 22'!H79</f>
        <v>0</v>
      </c>
      <c r="W78" s="875">
        <f t="shared" si="7"/>
        <v>0</v>
      </c>
      <c r="X78" s="875">
        <f t="shared" si="8"/>
        <v>0</v>
      </c>
      <c r="Y78" s="875">
        <f t="shared" si="9"/>
        <v>0</v>
      </c>
      <c r="Z78" s="875">
        <f t="shared" si="10"/>
        <v>0</v>
      </c>
      <c r="AA78" s="875">
        <f t="shared" si="11"/>
        <v>0</v>
      </c>
      <c r="AB78" s="875" t="str">
        <f t="shared" si="12"/>
        <v/>
      </c>
      <c r="AC78" s="713">
        <f>'min. Düngung 22'!K79</f>
        <v>0</v>
      </c>
      <c r="AD78" s="938"/>
      <c r="AE78" s="938"/>
      <c r="AF78" s="938">
        <f t="shared" si="13"/>
        <v>0</v>
      </c>
      <c r="AG78" s="938">
        <f t="shared" si="14"/>
        <v>0</v>
      </c>
      <c r="AH78" s="938">
        <f t="shared" si="15"/>
        <v>0</v>
      </c>
      <c r="AI78" s="938">
        <f t="shared" si="16"/>
        <v>0</v>
      </c>
      <c r="AJ78" s="938">
        <f t="shared" si="17"/>
        <v>0</v>
      </c>
      <c r="AK78" s="938">
        <f t="shared" si="18"/>
        <v>0</v>
      </c>
      <c r="AL78" s="713">
        <f>'min. Düngung 22'!N79</f>
        <v>0</v>
      </c>
      <c r="AM78" s="938"/>
      <c r="AN78" s="938"/>
      <c r="AO78" s="938">
        <f t="shared" si="19"/>
        <v>0</v>
      </c>
      <c r="AP78" s="938">
        <f t="shared" si="20"/>
        <v>0</v>
      </c>
      <c r="AQ78" s="938">
        <f t="shared" si="21"/>
        <v>0</v>
      </c>
      <c r="AR78" s="938">
        <f t="shared" si="22"/>
        <v>0</v>
      </c>
      <c r="AS78" s="938">
        <f t="shared" si="23"/>
        <v>0</v>
      </c>
      <c r="AT78" s="938" t="str">
        <f t="shared" si="24"/>
        <v/>
      </c>
      <c r="AU78" s="713">
        <f>'min. Düngung 22'!Q79</f>
        <v>0</v>
      </c>
      <c r="AV78" s="938"/>
      <c r="AW78" s="938"/>
      <c r="AX78" s="938">
        <f t="shared" si="25"/>
        <v>0</v>
      </c>
      <c r="AY78" s="938">
        <f t="shared" si="26"/>
        <v>0</v>
      </c>
      <c r="AZ78" s="938">
        <f t="shared" si="27"/>
        <v>0</v>
      </c>
      <c r="BA78" s="938">
        <f t="shared" si="28"/>
        <v>0</v>
      </c>
      <c r="BB78" s="938">
        <f t="shared" si="29"/>
        <v>0</v>
      </c>
      <c r="BC78" s="938" t="str">
        <f t="shared" si="30"/>
        <v/>
      </c>
      <c r="BD78" s="713">
        <f>'min. Düngung 22'!T79</f>
        <v>0</v>
      </c>
      <c r="BE78" s="938"/>
      <c r="BF78" s="938"/>
      <c r="BG78" s="938">
        <f t="shared" si="31"/>
        <v>0</v>
      </c>
      <c r="BH78" s="938">
        <f t="shared" si="32"/>
        <v>0</v>
      </c>
      <c r="BI78" s="938">
        <f t="shared" si="33"/>
        <v>0</v>
      </c>
      <c r="BJ78" s="938">
        <f t="shared" si="34"/>
        <v>0</v>
      </c>
      <c r="BK78" s="938">
        <f t="shared" si="35"/>
        <v>0</v>
      </c>
      <c r="BL78" s="938" t="str">
        <f t="shared" si="36"/>
        <v/>
      </c>
      <c r="BM78" s="713">
        <f>'min. Düngung 22'!W79</f>
        <v>0</v>
      </c>
      <c r="BN78" s="938"/>
      <c r="BO78" s="938"/>
      <c r="BP78" s="938">
        <f t="shared" si="37"/>
        <v>0</v>
      </c>
      <c r="BQ78" s="938">
        <f t="shared" si="38"/>
        <v>0</v>
      </c>
      <c r="BR78" s="938">
        <f t="shared" si="39"/>
        <v>0</v>
      </c>
      <c r="BS78" s="938">
        <f t="shared" si="40"/>
        <v>0</v>
      </c>
      <c r="BT78" s="938">
        <f t="shared" si="41"/>
        <v>0</v>
      </c>
      <c r="BU78" s="938" t="str">
        <f t="shared" si="42"/>
        <v/>
      </c>
      <c r="BV78" s="713">
        <f>'min. Düngung 22'!Z79</f>
        <v>0</v>
      </c>
      <c r="BW78" s="938"/>
      <c r="BX78" s="938"/>
      <c r="BY78" s="938">
        <f t="shared" si="43"/>
        <v>0</v>
      </c>
      <c r="BZ78" s="938">
        <f t="shared" si="44"/>
        <v>0</v>
      </c>
      <c r="CA78" s="938">
        <f t="shared" si="45"/>
        <v>0</v>
      </c>
      <c r="CB78" s="938">
        <f t="shared" si="46"/>
        <v>0</v>
      </c>
      <c r="CC78" s="938">
        <f t="shared" si="47"/>
        <v>0</v>
      </c>
      <c r="CD78" s="938" t="str">
        <f t="shared" si="48"/>
        <v/>
      </c>
      <c r="CE78" s="713">
        <f>'min. Düngung 22'!AC79</f>
        <v>0</v>
      </c>
      <c r="CF78" s="938"/>
      <c r="CG78" s="938"/>
      <c r="CH78" s="938">
        <f t="shared" si="49"/>
        <v>0</v>
      </c>
      <c r="CI78" s="938">
        <f t="shared" si="50"/>
        <v>0</v>
      </c>
      <c r="CJ78" s="938">
        <f t="shared" si="51"/>
        <v>0</v>
      </c>
      <c r="CK78" s="938">
        <f t="shared" si="52"/>
        <v>0</v>
      </c>
      <c r="CL78" s="938">
        <f t="shared" si="53"/>
        <v>0</v>
      </c>
      <c r="CM78" s="938" t="str">
        <f t="shared" si="54"/>
        <v/>
      </c>
      <c r="CN78" s="713">
        <f>'min. Düngung 22'!AF79</f>
        <v>0</v>
      </c>
      <c r="CO78" s="938"/>
      <c r="CP78" s="938"/>
      <c r="CQ78" s="938">
        <f t="shared" si="55"/>
        <v>0</v>
      </c>
      <c r="CR78" s="938">
        <f t="shared" si="56"/>
        <v>0</v>
      </c>
      <c r="CS78" s="938">
        <f t="shared" si="57"/>
        <v>0</v>
      </c>
      <c r="CT78" s="938">
        <f t="shared" si="58"/>
        <v>0</v>
      </c>
      <c r="CU78" s="938">
        <f t="shared" si="59"/>
        <v>0</v>
      </c>
      <c r="CV78" s="938" t="str">
        <f t="shared" si="60"/>
        <v/>
      </c>
      <c r="CW78" s="713">
        <f>'min. Düngung 22'!AI79</f>
        <v>0</v>
      </c>
      <c r="CX78" s="938"/>
      <c r="CY78" s="938"/>
      <c r="CZ78" s="938">
        <f t="shared" si="61"/>
        <v>0</v>
      </c>
      <c r="DA78" s="938">
        <f t="shared" si="62"/>
        <v>0</v>
      </c>
      <c r="DB78" s="938">
        <f t="shared" si="63"/>
        <v>0</v>
      </c>
      <c r="DC78" s="938">
        <f t="shared" si="64"/>
        <v>0</v>
      </c>
      <c r="DD78" s="938">
        <f t="shared" si="65"/>
        <v>0</v>
      </c>
      <c r="DE78" s="938" t="str">
        <f t="shared" si="66"/>
        <v/>
      </c>
      <c r="DF78" s="713">
        <f>'min. Düngung 22'!AL79</f>
        <v>0</v>
      </c>
      <c r="DG78" s="938"/>
      <c r="DH78" s="938"/>
      <c r="DI78" s="938">
        <f t="shared" si="67"/>
        <v>0</v>
      </c>
      <c r="DJ78" s="938">
        <f t="shared" si="68"/>
        <v>0</v>
      </c>
      <c r="DK78" s="938">
        <f t="shared" si="69"/>
        <v>0</v>
      </c>
      <c r="DL78" s="938">
        <f t="shared" si="70"/>
        <v>0</v>
      </c>
      <c r="DM78" s="938">
        <f t="shared" si="71"/>
        <v>0</v>
      </c>
      <c r="DN78" s="938" t="str">
        <f t="shared" si="72"/>
        <v/>
      </c>
      <c r="DO78" s="713">
        <f>'min. Düngung 22'!AO79</f>
        <v>0</v>
      </c>
      <c r="DP78" s="938"/>
      <c r="DQ78" s="938"/>
      <c r="DR78" s="938">
        <f t="shared" si="73"/>
        <v>0</v>
      </c>
      <c r="DS78" s="938">
        <f t="shared" si="74"/>
        <v>0</v>
      </c>
      <c r="DT78" s="938">
        <f t="shared" si="75"/>
        <v>0</v>
      </c>
      <c r="DU78" s="938">
        <f t="shared" si="76"/>
        <v>0</v>
      </c>
      <c r="DV78" s="938">
        <f t="shared" si="77"/>
        <v>0</v>
      </c>
      <c r="DW78" s="938" t="str">
        <f t="shared" si="78"/>
        <v/>
      </c>
      <c r="DX78" s="713">
        <f>'min. Düngung 22'!AR79</f>
        <v>0</v>
      </c>
      <c r="DY78" s="938"/>
      <c r="DZ78" s="938"/>
      <c r="EA78" s="938">
        <f t="shared" si="79"/>
        <v>0</v>
      </c>
      <c r="EB78" s="938">
        <f t="shared" si="80"/>
        <v>0</v>
      </c>
      <c r="EC78" s="938">
        <f t="shared" si="81"/>
        <v>0</v>
      </c>
      <c r="ED78" s="938">
        <f t="shared" si="82"/>
        <v>0</v>
      </c>
      <c r="EE78" s="938">
        <f t="shared" si="83"/>
        <v>0</v>
      </c>
      <c r="EF78" s="938" t="str">
        <f t="shared" si="84"/>
        <v/>
      </c>
      <c r="EG78" s="713">
        <f>'min. Düngung 22'!AU79</f>
        <v>0</v>
      </c>
      <c r="EH78" s="938"/>
      <c r="EI78" s="938"/>
      <c r="EJ78" s="938">
        <f t="shared" si="85"/>
        <v>0</v>
      </c>
      <c r="EK78" s="938">
        <f t="shared" si="86"/>
        <v>0</v>
      </c>
      <c r="EL78" s="938">
        <f t="shared" si="87"/>
        <v>0</v>
      </c>
      <c r="EM78" s="938">
        <f t="shared" si="88"/>
        <v>0</v>
      </c>
      <c r="EN78" s="938">
        <f t="shared" si="89"/>
        <v>0</v>
      </c>
      <c r="EO78" s="938" t="str">
        <f t="shared" si="90"/>
        <v/>
      </c>
      <c r="EP78" s="713">
        <f>'min. Düngung 22'!AX79</f>
        <v>0</v>
      </c>
      <c r="EQ78" s="938"/>
      <c r="ER78" s="938"/>
      <c r="ES78" s="938">
        <f t="shared" si="91"/>
        <v>0</v>
      </c>
      <c r="ET78" s="938">
        <f t="shared" si="92"/>
        <v>0</v>
      </c>
      <c r="EU78" s="938">
        <f t="shared" si="93"/>
        <v>0</v>
      </c>
      <c r="EV78" s="938">
        <f t="shared" si="94"/>
        <v>0</v>
      </c>
      <c r="EW78" s="938">
        <f t="shared" si="95"/>
        <v>0</v>
      </c>
      <c r="EX78" s="938" t="str">
        <f t="shared" si="96"/>
        <v/>
      </c>
      <c r="EY78" s="713">
        <f>'min. Düngung 22'!BA79</f>
        <v>0</v>
      </c>
      <c r="EZ78" s="938"/>
      <c r="FA78" s="938"/>
      <c r="FB78" s="938">
        <f t="shared" si="97"/>
        <v>0</v>
      </c>
      <c r="FC78" s="938">
        <f t="shared" si="98"/>
        <v>0</v>
      </c>
      <c r="FD78" s="938">
        <f t="shared" si="99"/>
        <v>0</v>
      </c>
      <c r="FE78" s="938">
        <f t="shared" si="100"/>
        <v>0</v>
      </c>
      <c r="FF78" s="938">
        <f t="shared" si="101"/>
        <v>0</v>
      </c>
      <c r="FG78" s="938" t="str">
        <f t="shared" si="102"/>
        <v/>
      </c>
      <c r="FH78" s="713">
        <f>'min. Düngung 22'!BD79</f>
        <v>0</v>
      </c>
      <c r="FI78" s="938"/>
      <c r="FJ78" s="938"/>
      <c r="FK78" s="938">
        <f t="shared" si="103"/>
        <v>0</v>
      </c>
      <c r="FL78" s="938">
        <f t="shared" si="104"/>
        <v>0</v>
      </c>
      <c r="FM78" s="938">
        <f t="shared" si="105"/>
        <v>0</v>
      </c>
      <c r="FN78" s="938">
        <f t="shared" si="106"/>
        <v>0</v>
      </c>
      <c r="FO78" s="938">
        <f t="shared" si="107"/>
        <v>0</v>
      </c>
      <c r="FP78" s="938" t="str">
        <f t="shared" si="108"/>
        <v/>
      </c>
      <c r="FQ78" s="713">
        <f>'min. Düngung 22'!BG79</f>
        <v>0</v>
      </c>
      <c r="FR78" s="938"/>
      <c r="FS78" s="938"/>
      <c r="FT78" s="938">
        <f t="shared" si="109"/>
        <v>0</v>
      </c>
      <c r="FU78" s="938">
        <f t="shared" si="110"/>
        <v>0</v>
      </c>
      <c r="FV78" s="938">
        <f t="shared" si="111"/>
        <v>0</v>
      </c>
      <c r="FW78" s="938">
        <f t="shared" si="112"/>
        <v>0</v>
      </c>
      <c r="FX78" s="938">
        <f t="shared" si="113"/>
        <v>0</v>
      </c>
      <c r="FY78" s="938" t="str">
        <f t="shared" si="114"/>
        <v/>
      </c>
      <c r="FZ78" s="713">
        <f>'min. Düngung 22'!BJ79</f>
        <v>0</v>
      </c>
      <c r="GA78" s="938"/>
      <c r="GB78" s="938"/>
      <c r="GC78" s="938">
        <f t="shared" si="115"/>
        <v>0</v>
      </c>
      <c r="GD78" s="938">
        <f t="shared" si="116"/>
        <v>0</v>
      </c>
      <c r="GE78" s="938">
        <f t="shared" si="117"/>
        <v>0</v>
      </c>
      <c r="GF78" s="938">
        <f t="shared" si="118"/>
        <v>0</v>
      </c>
      <c r="GG78" s="938">
        <f t="shared" si="119"/>
        <v>0</v>
      </c>
      <c r="GH78" s="938" t="str">
        <f t="shared" si="120"/>
        <v/>
      </c>
      <c r="GI78" s="713">
        <f>'min. Düngung 22'!BM79</f>
        <v>0</v>
      </c>
      <c r="GJ78" s="938"/>
      <c r="GK78" s="938"/>
      <c r="GL78" s="938">
        <f t="shared" si="121"/>
        <v>0</v>
      </c>
      <c r="GM78" s="938">
        <f t="shared" si="122"/>
        <v>0</v>
      </c>
      <c r="GN78" s="938">
        <f t="shared" si="123"/>
        <v>0</v>
      </c>
      <c r="GO78" s="938">
        <f t="shared" si="124"/>
        <v>0</v>
      </c>
      <c r="GP78" s="938">
        <f t="shared" si="125"/>
        <v>0</v>
      </c>
      <c r="GQ78" s="938" t="str">
        <f t="shared" si="126"/>
        <v/>
      </c>
      <c r="GR78" s="713">
        <f>'min. Düngung 22'!BP79</f>
        <v>0</v>
      </c>
      <c r="GS78" s="938"/>
      <c r="GT78" s="938"/>
      <c r="GU78" s="938">
        <f t="shared" si="127"/>
        <v>0</v>
      </c>
      <c r="GV78" s="938">
        <f t="shared" si="128"/>
        <v>0</v>
      </c>
      <c r="GW78" s="938">
        <f t="shared" si="129"/>
        <v>0</v>
      </c>
      <c r="GX78" s="938">
        <f t="shared" si="130"/>
        <v>0</v>
      </c>
      <c r="GY78" s="938">
        <f t="shared" si="131"/>
        <v>0</v>
      </c>
      <c r="GZ78" s="938" t="str">
        <f t="shared" si="132"/>
        <v/>
      </c>
      <c r="HA78" s="713">
        <f>'min. Düngung 22'!BS79</f>
        <v>0</v>
      </c>
      <c r="HB78" s="938"/>
      <c r="HC78" s="938"/>
      <c r="HD78" s="938">
        <f t="shared" si="133"/>
        <v>0</v>
      </c>
      <c r="HE78" s="938">
        <f t="shared" si="134"/>
        <v>0</v>
      </c>
      <c r="HF78" s="938">
        <f t="shared" si="135"/>
        <v>0</v>
      </c>
      <c r="HG78" s="938">
        <f t="shared" si="136"/>
        <v>0</v>
      </c>
      <c r="HH78" s="938">
        <f t="shared" si="137"/>
        <v>0</v>
      </c>
      <c r="HI78" s="938" t="str">
        <f t="shared" si="138"/>
        <v/>
      </c>
      <c r="HJ78" s="713">
        <f>'min. Düngung 22'!BV79</f>
        <v>0</v>
      </c>
      <c r="HK78" s="938"/>
      <c r="HL78" s="938"/>
      <c r="HM78" s="938">
        <f t="shared" si="139"/>
        <v>0</v>
      </c>
      <c r="HN78" s="938">
        <f t="shared" si="140"/>
        <v>0</v>
      </c>
      <c r="HO78" s="938">
        <f t="shared" si="141"/>
        <v>0</v>
      </c>
      <c r="HP78" s="938">
        <f t="shared" si="142"/>
        <v>0</v>
      </c>
      <c r="HQ78" s="938">
        <f t="shared" si="143"/>
        <v>0</v>
      </c>
      <c r="HR78" s="938" t="str">
        <f t="shared" si="144"/>
        <v/>
      </c>
      <c r="HS78" s="713">
        <f>'min. Düngung 22'!BY79</f>
        <v>0</v>
      </c>
      <c r="HT78" s="938"/>
      <c r="HU78" s="938"/>
      <c r="HV78" s="938">
        <f t="shared" si="145"/>
        <v>0</v>
      </c>
      <c r="HW78" s="938">
        <f t="shared" si="146"/>
        <v>0</v>
      </c>
      <c r="HX78" s="938">
        <f t="shared" si="147"/>
        <v>0</v>
      </c>
      <c r="HY78" s="938">
        <f t="shared" si="148"/>
        <v>0</v>
      </c>
      <c r="HZ78" s="938">
        <f t="shared" si="149"/>
        <v>0</v>
      </c>
      <c r="IA78" s="938" t="str">
        <f t="shared" si="150"/>
        <v/>
      </c>
      <c r="IB78" s="713">
        <f>'min. Düngung 22'!CB79</f>
        <v>0</v>
      </c>
      <c r="IC78" s="938"/>
      <c r="ID78" s="938"/>
      <c r="IE78" s="938">
        <f t="shared" si="151"/>
        <v>0</v>
      </c>
      <c r="IF78" s="938">
        <f t="shared" si="152"/>
        <v>0</v>
      </c>
      <c r="IG78" s="938">
        <f t="shared" si="153"/>
        <v>0</v>
      </c>
      <c r="IH78" s="938">
        <f t="shared" si="154"/>
        <v>0</v>
      </c>
      <c r="II78" s="938">
        <f t="shared" si="155"/>
        <v>0</v>
      </c>
      <c r="IJ78" s="938" t="str">
        <f t="shared" si="156"/>
        <v/>
      </c>
      <c r="IK78" s="713">
        <f>'min. Düngung 22'!CE79</f>
        <v>0</v>
      </c>
      <c r="IL78" s="938"/>
      <c r="IM78" s="938"/>
      <c r="IN78" s="938">
        <f t="shared" si="157"/>
        <v>0</v>
      </c>
      <c r="IO78" s="938">
        <f t="shared" si="158"/>
        <v>0</v>
      </c>
      <c r="IP78" s="938">
        <f t="shared" si="159"/>
        <v>0</v>
      </c>
      <c r="IQ78" s="938">
        <f t="shared" si="160"/>
        <v>0</v>
      </c>
      <c r="IR78" s="938">
        <f t="shared" si="161"/>
        <v>0</v>
      </c>
      <c r="IS78" s="938" t="str">
        <f t="shared" si="162"/>
        <v/>
      </c>
      <c r="IT78" s="713">
        <f>'min. Düngung 22'!CH79</f>
        <v>0</v>
      </c>
      <c r="IU78" s="938"/>
      <c r="IV78" s="938"/>
      <c r="IW78" s="938">
        <f t="shared" si="163"/>
        <v>0</v>
      </c>
      <c r="IX78" s="938">
        <f t="shared" si="164"/>
        <v>0</v>
      </c>
      <c r="IY78" s="938">
        <f t="shared" si="165"/>
        <v>0</v>
      </c>
      <c r="IZ78" s="938">
        <f t="shared" si="166"/>
        <v>0</v>
      </c>
      <c r="JA78" s="938">
        <f t="shared" si="167"/>
        <v>0</v>
      </c>
      <c r="JB78" s="938" t="str">
        <f t="shared" si="168"/>
        <v/>
      </c>
      <c r="JC78" s="713">
        <f>'min. Düngung 22'!CK79</f>
        <v>0</v>
      </c>
      <c r="JD78" s="938"/>
      <c r="JE78" s="938"/>
      <c r="JF78" s="938">
        <f t="shared" si="169"/>
        <v>0</v>
      </c>
      <c r="JG78" s="938">
        <f t="shared" si="170"/>
        <v>0</v>
      </c>
      <c r="JH78" s="938">
        <f t="shared" si="171"/>
        <v>0</v>
      </c>
      <c r="JI78" s="938">
        <f t="shared" si="172"/>
        <v>0</v>
      </c>
      <c r="JJ78" s="938">
        <f t="shared" si="173"/>
        <v>0</v>
      </c>
      <c r="JK78" s="938" t="str">
        <f t="shared" si="174"/>
        <v/>
      </c>
      <c r="JL78" s="713">
        <f>'min. Düngung 22'!CN79</f>
        <v>0</v>
      </c>
      <c r="JM78" s="938"/>
      <c r="JN78" s="938"/>
      <c r="JO78" s="938">
        <f t="shared" si="175"/>
        <v>0</v>
      </c>
      <c r="JP78" s="938">
        <f t="shared" si="176"/>
        <v>0</v>
      </c>
      <c r="JQ78" s="938">
        <f t="shared" si="177"/>
        <v>0</v>
      </c>
      <c r="JR78" s="938">
        <f t="shared" si="178"/>
        <v>0</v>
      </c>
      <c r="JS78" s="938">
        <f t="shared" si="179"/>
        <v>0</v>
      </c>
      <c r="JT78" s="938" t="str">
        <f t="shared" si="180"/>
        <v/>
      </c>
      <c r="JU78" s="713">
        <f>'min. Düngung 22'!CQ79</f>
        <v>0</v>
      </c>
      <c r="JV78" s="938"/>
      <c r="JW78" s="938"/>
      <c r="JX78" s="938">
        <f t="shared" si="181"/>
        <v>0</v>
      </c>
      <c r="JY78" s="938">
        <f t="shared" si="182"/>
        <v>0</v>
      </c>
      <c r="JZ78" s="938">
        <f t="shared" si="183"/>
        <v>0</v>
      </c>
      <c r="KA78" s="938">
        <f t="shared" si="184"/>
        <v>0</v>
      </c>
      <c r="KB78" s="938">
        <f t="shared" si="185"/>
        <v>0</v>
      </c>
      <c r="KC78" s="938" t="str">
        <f t="shared" si="186"/>
        <v/>
      </c>
      <c r="KE78" s="938"/>
      <c r="KF78" s="938" t="str">
        <f>IF(AND($F78=2,$G78=1),"",IF(OR($Q78&gt;0,$O78&gt;60),$KF$7,IF(I78=70,"",IF(AND(I78=80,R78+'#orgDung'!AC81&lt;60,K78=1,OR(C78=2,'#BerechnungDBE'!AH72=4)),"",IF(R78&gt;0,$KF$7,"")))))</f>
        <v/>
      </c>
      <c r="KG78" s="938" t="str">
        <f>IF(AND(P78&gt;'#BerechnungDBE'!BJ72,P78&gt;0),'#minDung'!$KG$7,"")</f>
        <v/>
      </c>
      <c r="KH78" s="938" t="str">
        <f>IF(AND(I78=70,R78&gt;'#BerechnungDBE'!CR72),'#minDung'!$KH$7,"")</f>
        <v/>
      </c>
      <c r="KI78" s="938" t="str">
        <f>IF('#BerechnungDBE'!P72&lt;4,"",IF(AND('#BerechnungDBE'!BZ72&gt;0,N78&gt;0),$KI$7,""))</f>
        <v/>
      </c>
      <c r="KJ78" s="938" t="str">
        <f t="shared" si="197"/>
        <v/>
      </c>
    </row>
    <row r="79" spans="1:296" s="875" customFormat="1" hidden="1" x14ac:dyDescent="0.2">
      <c r="A79" s="875">
        <f>'Flächen u. Kulturen'!A78</f>
        <v>69</v>
      </c>
      <c r="B79" s="734">
        <f>'#BerechnungDBE'!L73</f>
        <v>0</v>
      </c>
      <c r="C79" s="46">
        <f>'#orgDung'!C82</f>
        <v>1</v>
      </c>
      <c r="D79" s="875">
        <f>'#BerechnungDBE'!T73</f>
        <v>2</v>
      </c>
      <c r="E79" s="875" t="str">
        <f>'Flächen u. Kulturen'!E78</f>
        <v>x</v>
      </c>
      <c r="F79" s="52">
        <f>'#BerechnungDBE'!N73</f>
        <v>1</v>
      </c>
      <c r="G79" s="52">
        <f>'#BerechnungDBE'!O73</f>
        <v>1</v>
      </c>
      <c r="H79" s="505">
        <f>'#orgDung'!J82</f>
        <v>2</v>
      </c>
      <c r="I79" s="875">
        <f>'#BerechnungDBE'!AF73</f>
        <v>0</v>
      </c>
      <c r="J79" s="875">
        <f>'#orgDung'!M82</f>
        <v>0</v>
      </c>
      <c r="K79" s="875">
        <f>'#BerechnungDBE'!AG73</f>
        <v>0</v>
      </c>
      <c r="M79" s="875">
        <f t="shared" si="192"/>
        <v>0</v>
      </c>
      <c r="N79" s="875">
        <f t="shared" si="193"/>
        <v>0</v>
      </c>
      <c r="O79" s="875">
        <f t="shared" si="194"/>
        <v>0</v>
      </c>
      <c r="P79" s="875">
        <f t="shared" si="195"/>
        <v>0</v>
      </c>
      <c r="Q79" s="938">
        <f t="shared" si="198"/>
        <v>0</v>
      </c>
      <c r="R79" s="875">
        <f t="shared" si="196"/>
        <v>0</v>
      </c>
      <c r="T79" s="713">
        <f>'min. Düngung 22'!H80</f>
        <v>0</v>
      </c>
      <c r="W79" s="875">
        <f t="shared" si="7"/>
        <v>0</v>
      </c>
      <c r="X79" s="875">
        <f t="shared" si="8"/>
        <v>0</v>
      </c>
      <c r="Y79" s="875">
        <f t="shared" si="9"/>
        <v>0</v>
      </c>
      <c r="Z79" s="875">
        <f t="shared" si="10"/>
        <v>0</v>
      </c>
      <c r="AA79" s="875">
        <f t="shared" si="11"/>
        <v>0</v>
      </c>
      <c r="AB79" s="875" t="str">
        <f t="shared" si="12"/>
        <v/>
      </c>
      <c r="AC79" s="713">
        <f>'min. Düngung 22'!K80</f>
        <v>0</v>
      </c>
      <c r="AD79" s="938"/>
      <c r="AE79" s="938"/>
      <c r="AF79" s="938">
        <f t="shared" si="13"/>
        <v>0</v>
      </c>
      <c r="AG79" s="938">
        <f t="shared" si="14"/>
        <v>0</v>
      </c>
      <c r="AH79" s="938">
        <f t="shared" si="15"/>
        <v>0</v>
      </c>
      <c r="AI79" s="938">
        <f t="shared" si="16"/>
        <v>0</v>
      </c>
      <c r="AJ79" s="938">
        <f t="shared" si="17"/>
        <v>0</v>
      </c>
      <c r="AK79" s="938">
        <f t="shared" si="18"/>
        <v>0</v>
      </c>
      <c r="AL79" s="713">
        <f>'min. Düngung 22'!N80</f>
        <v>0</v>
      </c>
      <c r="AM79" s="938"/>
      <c r="AN79" s="938"/>
      <c r="AO79" s="938">
        <f t="shared" si="19"/>
        <v>0</v>
      </c>
      <c r="AP79" s="938">
        <f t="shared" si="20"/>
        <v>0</v>
      </c>
      <c r="AQ79" s="938">
        <f t="shared" si="21"/>
        <v>0</v>
      </c>
      <c r="AR79" s="938">
        <f t="shared" si="22"/>
        <v>0</v>
      </c>
      <c r="AS79" s="938">
        <f t="shared" si="23"/>
        <v>0</v>
      </c>
      <c r="AT79" s="938" t="str">
        <f t="shared" si="24"/>
        <v/>
      </c>
      <c r="AU79" s="713">
        <f>'min. Düngung 22'!Q80</f>
        <v>0</v>
      </c>
      <c r="AV79" s="938"/>
      <c r="AW79" s="938"/>
      <c r="AX79" s="938">
        <f t="shared" si="25"/>
        <v>0</v>
      </c>
      <c r="AY79" s="938">
        <f t="shared" si="26"/>
        <v>0</v>
      </c>
      <c r="AZ79" s="938">
        <f t="shared" si="27"/>
        <v>0</v>
      </c>
      <c r="BA79" s="938">
        <f t="shared" si="28"/>
        <v>0</v>
      </c>
      <c r="BB79" s="938">
        <f t="shared" si="29"/>
        <v>0</v>
      </c>
      <c r="BC79" s="938" t="str">
        <f t="shared" si="30"/>
        <v/>
      </c>
      <c r="BD79" s="713">
        <f>'min. Düngung 22'!T80</f>
        <v>0</v>
      </c>
      <c r="BE79" s="938"/>
      <c r="BF79" s="938"/>
      <c r="BG79" s="938">
        <f t="shared" si="31"/>
        <v>0</v>
      </c>
      <c r="BH79" s="938">
        <f t="shared" si="32"/>
        <v>0</v>
      </c>
      <c r="BI79" s="938">
        <f t="shared" si="33"/>
        <v>0</v>
      </c>
      <c r="BJ79" s="938">
        <f t="shared" si="34"/>
        <v>0</v>
      </c>
      <c r="BK79" s="938">
        <f t="shared" si="35"/>
        <v>0</v>
      </c>
      <c r="BL79" s="938" t="str">
        <f t="shared" si="36"/>
        <v/>
      </c>
      <c r="BM79" s="713">
        <f>'min. Düngung 22'!W80</f>
        <v>0</v>
      </c>
      <c r="BN79" s="938"/>
      <c r="BO79" s="938"/>
      <c r="BP79" s="938">
        <f t="shared" si="37"/>
        <v>0</v>
      </c>
      <c r="BQ79" s="938">
        <f t="shared" si="38"/>
        <v>0</v>
      </c>
      <c r="BR79" s="938">
        <f t="shared" si="39"/>
        <v>0</v>
      </c>
      <c r="BS79" s="938">
        <f t="shared" si="40"/>
        <v>0</v>
      </c>
      <c r="BT79" s="938">
        <f t="shared" si="41"/>
        <v>0</v>
      </c>
      <c r="BU79" s="938" t="str">
        <f t="shared" si="42"/>
        <v/>
      </c>
      <c r="BV79" s="713">
        <f>'min. Düngung 22'!Z80</f>
        <v>0</v>
      </c>
      <c r="BW79" s="938"/>
      <c r="BX79" s="938"/>
      <c r="BY79" s="938">
        <f t="shared" si="43"/>
        <v>0</v>
      </c>
      <c r="BZ79" s="938">
        <f t="shared" si="44"/>
        <v>0</v>
      </c>
      <c r="CA79" s="938">
        <f t="shared" si="45"/>
        <v>0</v>
      </c>
      <c r="CB79" s="938">
        <f t="shared" si="46"/>
        <v>0</v>
      </c>
      <c r="CC79" s="938">
        <f t="shared" si="47"/>
        <v>0</v>
      </c>
      <c r="CD79" s="938" t="str">
        <f t="shared" si="48"/>
        <v/>
      </c>
      <c r="CE79" s="713">
        <f>'min. Düngung 22'!AC80</f>
        <v>0</v>
      </c>
      <c r="CF79" s="938"/>
      <c r="CG79" s="938"/>
      <c r="CH79" s="938">
        <f t="shared" si="49"/>
        <v>0</v>
      </c>
      <c r="CI79" s="938">
        <f t="shared" si="50"/>
        <v>0</v>
      </c>
      <c r="CJ79" s="938">
        <f t="shared" si="51"/>
        <v>0</v>
      </c>
      <c r="CK79" s="938">
        <f t="shared" si="52"/>
        <v>0</v>
      </c>
      <c r="CL79" s="938">
        <f t="shared" si="53"/>
        <v>0</v>
      </c>
      <c r="CM79" s="938" t="str">
        <f t="shared" si="54"/>
        <v/>
      </c>
      <c r="CN79" s="713">
        <f>'min. Düngung 22'!AF80</f>
        <v>0</v>
      </c>
      <c r="CO79" s="938"/>
      <c r="CP79" s="938"/>
      <c r="CQ79" s="938">
        <f t="shared" si="55"/>
        <v>0</v>
      </c>
      <c r="CR79" s="938">
        <f t="shared" si="56"/>
        <v>0</v>
      </c>
      <c r="CS79" s="938">
        <f t="shared" si="57"/>
        <v>0</v>
      </c>
      <c r="CT79" s="938">
        <f t="shared" si="58"/>
        <v>0</v>
      </c>
      <c r="CU79" s="938">
        <f t="shared" si="59"/>
        <v>0</v>
      </c>
      <c r="CV79" s="938" t="str">
        <f t="shared" si="60"/>
        <v/>
      </c>
      <c r="CW79" s="713">
        <f>'min. Düngung 22'!AI80</f>
        <v>0</v>
      </c>
      <c r="CX79" s="938"/>
      <c r="CY79" s="938"/>
      <c r="CZ79" s="938">
        <f t="shared" si="61"/>
        <v>0</v>
      </c>
      <c r="DA79" s="938">
        <f t="shared" si="62"/>
        <v>0</v>
      </c>
      <c r="DB79" s="938">
        <f t="shared" si="63"/>
        <v>0</v>
      </c>
      <c r="DC79" s="938">
        <f t="shared" si="64"/>
        <v>0</v>
      </c>
      <c r="DD79" s="938">
        <f t="shared" si="65"/>
        <v>0</v>
      </c>
      <c r="DE79" s="938" t="str">
        <f t="shared" si="66"/>
        <v/>
      </c>
      <c r="DF79" s="713">
        <f>'min. Düngung 22'!AL80</f>
        <v>0</v>
      </c>
      <c r="DG79" s="938"/>
      <c r="DH79" s="938"/>
      <c r="DI79" s="938">
        <f t="shared" si="67"/>
        <v>0</v>
      </c>
      <c r="DJ79" s="938">
        <f t="shared" si="68"/>
        <v>0</v>
      </c>
      <c r="DK79" s="938">
        <f t="shared" si="69"/>
        <v>0</v>
      </c>
      <c r="DL79" s="938">
        <f t="shared" si="70"/>
        <v>0</v>
      </c>
      <c r="DM79" s="938">
        <f t="shared" si="71"/>
        <v>0</v>
      </c>
      <c r="DN79" s="938" t="str">
        <f t="shared" si="72"/>
        <v/>
      </c>
      <c r="DO79" s="713">
        <f>'min. Düngung 22'!AO80</f>
        <v>0</v>
      </c>
      <c r="DP79" s="938"/>
      <c r="DQ79" s="938"/>
      <c r="DR79" s="938">
        <f t="shared" si="73"/>
        <v>0</v>
      </c>
      <c r="DS79" s="938">
        <f t="shared" si="74"/>
        <v>0</v>
      </c>
      <c r="DT79" s="938">
        <f t="shared" si="75"/>
        <v>0</v>
      </c>
      <c r="DU79" s="938">
        <f t="shared" si="76"/>
        <v>0</v>
      </c>
      <c r="DV79" s="938">
        <f t="shared" si="77"/>
        <v>0</v>
      </c>
      <c r="DW79" s="938" t="str">
        <f t="shared" si="78"/>
        <v/>
      </c>
      <c r="DX79" s="713">
        <f>'min. Düngung 22'!AR80</f>
        <v>0</v>
      </c>
      <c r="DY79" s="938"/>
      <c r="DZ79" s="938"/>
      <c r="EA79" s="938">
        <f t="shared" si="79"/>
        <v>0</v>
      </c>
      <c r="EB79" s="938">
        <f t="shared" si="80"/>
        <v>0</v>
      </c>
      <c r="EC79" s="938">
        <f t="shared" si="81"/>
        <v>0</v>
      </c>
      <c r="ED79" s="938">
        <f t="shared" si="82"/>
        <v>0</v>
      </c>
      <c r="EE79" s="938">
        <f t="shared" si="83"/>
        <v>0</v>
      </c>
      <c r="EF79" s="938" t="str">
        <f t="shared" si="84"/>
        <v/>
      </c>
      <c r="EG79" s="713">
        <f>'min. Düngung 22'!AU80</f>
        <v>0</v>
      </c>
      <c r="EH79" s="938"/>
      <c r="EI79" s="938"/>
      <c r="EJ79" s="938">
        <f t="shared" si="85"/>
        <v>0</v>
      </c>
      <c r="EK79" s="938">
        <f t="shared" si="86"/>
        <v>0</v>
      </c>
      <c r="EL79" s="938">
        <f t="shared" si="87"/>
        <v>0</v>
      </c>
      <c r="EM79" s="938">
        <f t="shared" si="88"/>
        <v>0</v>
      </c>
      <c r="EN79" s="938">
        <f t="shared" si="89"/>
        <v>0</v>
      </c>
      <c r="EO79" s="938" t="str">
        <f t="shared" si="90"/>
        <v/>
      </c>
      <c r="EP79" s="713">
        <f>'min. Düngung 22'!AX80</f>
        <v>0</v>
      </c>
      <c r="EQ79" s="938"/>
      <c r="ER79" s="938"/>
      <c r="ES79" s="938">
        <f t="shared" si="91"/>
        <v>0</v>
      </c>
      <c r="ET79" s="938">
        <f t="shared" si="92"/>
        <v>0</v>
      </c>
      <c r="EU79" s="938">
        <f t="shared" si="93"/>
        <v>0</v>
      </c>
      <c r="EV79" s="938">
        <f t="shared" si="94"/>
        <v>0</v>
      </c>
      <c r="EW79" s="938">
        <f t="shared" si="95"/>
        <v>0</v>
      </c>
      <c r="EX79" s="938" t="str">
        <f t="shared" si="96"/>
        <v/>
      </c>
      <c r="EY79" s="713">
        <f>'min. Düngung 22'!BA80</f>
        <v>0</v>
      </c>
      <c r="EZ79" s="938"/>
      <c r="FA79" s="938"/>
      <c r="FB79" s="938">
        <f t="shared" si="97"/>
        <v>0</v>
      </c>
      <c r="FC79" s="938">
        <f t="shared" si="98"/>
        <v>0</v>
      </c>
      <c r="FD79" s="938">
        <f t="shared" si="99"/>
        <v>0</v>
      </c>
      <c r="FE79" s="938">
        <f t="shared" si="100"/>
        <v>0</v>
      </c>
      <c r="FF79" s="938">
        <f t="shared" si="101"/>
        <v>0</v>
      </c>
      <c r="FG79" s="938" t="str">
        <f t="shared" si="102"/>
        <v/>
      </c>
      <c r="FH79" s="713">
        <f>'min. Düngung 22'!BD80</f>
        <v>0</v>
      </c>
      <c r="FI79" s="938"/>
      <c r="FJ79" s="938"/>
      <c r="FK79" s="938">
        <f t="shared" si="103"/>
        <v>0</v>
      </c>
      <c r="FL79" s="938">
        <f t="shared" si="104"/>
        <v>0</v>
      </c>
      <c r="FM79" s="938">
        <f t="shared" si="105"/>
        <v>0</v>
      </c>
      <c r="FN79" s="938">
        <f t="shared" si="106"/>
        <v>0</v>
      </c>
      <c r="FO79" s="938">
        <f t="shared" si="107"/>
        <v>0</v>
      </c>
      <c r="FP79" s="938" t="str">
        <f t="shared" si="108"/>
        <v/>
      </c>
      <c r="FQ79" s="713">
        <f>'min. Düngung 22'!BG80</f>
        <v>0</v>
      </c>
      <c r="FR79" s="938"/>
      <c r="FS79" s="938"/>
      <c r="FT79" s="938">
        <f t="shared" si="109"/>
        <v>0</v>
      </c>
      <c r="FU79" s="938">
        <f t="shared" si="110"/>
        <v>0</v>
      </c>
      <c r="FV79" s="938">
        <f t="shared" si="111"/>
        <v>0</v>
      </c>
      <c r="FW79" s="938">
        <f t="shared" si="112"/>
        <v>0</v>
      </c>
      <c r="FX79" s="938">
        <f t="shared" si="113"/>
        <v>0</v>
      </c>
      <c r="FY79" s="938" t="str">
        <f t="shared" si="114"/>
        <v/>
      </c>
      <c r="FZ79" s="713">
        <f>'min. Düngung 22'!BJ80</f>
        <v>0</v>
      </c>
      <c r="GA79" s="938"/>
      <c r="GB79" s="938"/>
      <c r="GC79" s="938">
        <f t="shared" si="115"/>
        <v>0</v>
      </c>
      <c r="GD79" s="938">
        <f t="shared" si="116"/>
        <v>0</v>
      </c>
      <c r="GE79" s="938">
        <f t="shared" si="117"/>
        <v>0</v>
      </c>
      <c r="GF79" s="938">
        <f t="shared" si="118"/>
        <v>0</v>
      </c>
      <c r="GG79" s="938">
        <f t="shared" si="119"/>
        <v>0</v>
      </c>
      <c r="GH79" s="938" t="str">
        <f t="shared" si="120"/>
        <v/>
      </c>
      <c r="GI79" s="713">
        <f>'min. Düngung 22'!BM80</f>
        <v>0</v>
      </c>
      <c r="GJ79" s="938"/>
      <c r="GK79" s="938"/>
      <c r="GL79" s="938">
        <f t="shared" si="121"/>
        <v>0</v>
      </c>
      <c r="GM79" s="938">
        <f t="shared" si="122"/>
        <v>0</v>
      </c>
      <c r="GN79" s="938">
        <f t="shared" si="123"/>
        <v>0</v>
      </c>
      <c r="GO79" s="938">
        <f t="shared" si="124"/>
        <v>0</v>
      </c>
      <c r="GP79" s="938">
        <f t="shared" si="125"/>
        <v>0</v>
      </c>
      <c r="GQ79" s="938" t="str">
        <f t="shared" si="126"/>
        <v/>
      </c>
      <c r="GR79" s="713">
        <f>'min. Düngung 22'!BP80</f>
        <v>0</v>
      </c>
      <c r="GS79" s="938"/>
      <c r="GT79" s="938"/>
      <c r="GU79" s="938">
        <f t="shared" si="127"/>
        <v>0</v>
      </c>
      <c r="GV79" s="938">
        <f t="shared" si="128"/>
        <v>0</v>
      </c>
      <c r="GW79" s="938">
        <f t="shared" si="129"/>
        <v>0</v>
      </c>
      <c r="GX79" s="938">
        <f t="shared" si="130"/>
        <v>0</v>
      </c>
      <c r="GY79" s="938">
        <f t="shared" si="131"/>
        <v>0</v>
      </c>
      <c r="GZ79" s="938" t="str">
        <f t="shared" si="132"/>
        <v/>
      </c>
      <c r="HA79" s="713">
        <f>'min. Düngung 22'!BS80</f>
        <v>0</v>
      </c>
      <c r="HB79" s="938"/>
      <c r="HC79" s="938"/>
      <c r="HD79" s="938">
        <f t="shared" si="133"/>
        <v>0</v>
      </c>
      <c r="HE79" s="938">
        <f t="shared" si="134"/>
        <v>0</v>
      </c>
      <c r="HF79" s="938">
        <f t="shared" si="135"/>
        <v>0</v>
      </c>
      <c r="HG79" s="938">
        <f t="shared" si="136"/>
        <v>0</v>
      </c>
      <c r="HH79" s="938">
        <f t="shared" si="137"/>
        <v>0</v>
      </c>
      <c r="HI79" s="938" t="str">
        <f t="shared" si="138"/>
        <v/>
      </c>
      <c r="HJ79" s="713">
        <f>'min. Düngung 22'!BV80</f>
        <v>0</v>
      </c>
      <c r="HK79" s="938"/>
      <c r="HL79" s="938"/>
      <c r="HM79" s="938">
        <f t="shared" si="139"/>
        <v>0</v>
      </c>
      <c r="HN79" s="938">
        <f t="shared" si="140"/>
        <v>0</v>
      </c>
      <c r="HO79" s="938">
        <f t="shared" si="141"/>
        <v>0</v>
      </c>
      <c r="HP79" s="938">
        <f t="shared" si="142"/>
        <v>0</v>
      </c>
      <c r="HQ79" s="938">
        <f t="shared" si="143"/>
        <v>0</v>
      </c>
      <c r="HR79" s="938" t="str">
        <f t="shared" si="144"/>
        <v/>
      </c>
      <c r="HS79" s="713">
        <f>'min. Düngung 22'!BY80</f>
        <v>0</v>
      </c>
      <c r="HT79" s="938"/>
      <c r="HU79" s="938"/>
      <c r="HV79" s="938">
        <f t="shared" si="145"/>
        <v>0</v>
      </c>
      <c r="HW79" s="938">
        <f t="shared" si="146"/>
        <v>0</v>
      </c>
      <c r="HX79" s="938">
        <f t="shared" si="147"/>
        <v>0</v>
      </c>
      <c r="HY79" s="938">
        <f t="shared" si="148"/>
        <v>0</v>
      </c>
      <c r="HZ79" s="938">
        <f t="shared" si="149"/>
        <v>0</v>
      </c>
      <c r="IA79" s="938" t="str">
        <f t="shared" si="150"/>
        <v/>
      </c>
      <c r="IB79" s="713">
        <f>'min. Düngung 22'!CB80</f>
        <v>0</v>
      </c>
      <c r="IC79" s="938"/>
      <c r="ID79" s="938"/>
      <c r="IE79" s="938">
        <f t="shared" si="151"/>
        <v>0</v>
      </c>
      <c r="IF79" s="938">
        <f t="shared" si="152"/>
        <v>0</v>
      </c>
      <c r="IG79" s="938">
        <f t="shared" si="153"/>
        <v>0</v>
      </c>
      <c r="IH79" s="938">
        <f t="shared" si="154"/>
        <v>0</v>
      </c>
      <c r="II79" s="938">
        <f t="shared" si="155"/>
        <v>0</v>
      </c>
      <c r="IJ79" s="938" t="str">
        <f t="shared" si="156"/>
        <v/>
      </c>
      <c r="IK79" s="713">
        <f>'min. Düngung 22'!CE80</f>
        <v>0</v>
      </c>
      <c r="IL79" s="938"/>
      <c r="IM79" s="938"/>
      <c r="IN79" s="938">
        <f t="shared" si="157"/>
        <v>0</v>
      </c>
      <c r="IO79" s="938">
        <f t="shared" si="158"/>
        <v>0</v>
      </c>
      <c r="IP79" s="938">
        <f t="shared" si="159"/>
        <v>0</v>
      </c>
      <c r="IQ79" s="938">
        <f t="shared" si="160"/>
        <v>0</v>
      </c>
      <c r="IR79" s="938">
        <f t="shared" si="161"/>
        <v>0</v>
      </c>
      <c r="IS79" s="938" t="str">
        <f t="shared" si="162"/>
        <v/>
      </c>
      <c r="IT79" s="713">
        <f>'min. Düngung 22'!CH80</f>
        <v>0</v>
      </c>
      <c r="IU79" s="938"/>
      <c r="IV79" s="938"/>
      <c r="IW79" s="938">
        <f t="shared" si="163"/>
        <v>0</v>
      </c>
      <c r="IX79" s="938">
        <f t="shared" si="164"/>
        <v>0</v>
      </c>
      <c r="IY79" s="938">
        <f t="shared" si="165"/>
        <v>0</v>
      </c>
      <c r="IZ79" s="938">
        <f t="shared" si="166"/>
        <v>0</v>
      </c>
      <c r="JA79" s="938">
        <f t="shared" si="167"/>
        <v>0</v>
      </c>
      <c r="JB79" s="938" t="str">
        <f t="shared" si="168"/>
        <v/>
      </c>
      <c r="JC79" s="713">
        <f>'min. Düngung 22'!CK80</f>
        <v>0</v>
      </c>
      <c r="JD79" s="938"/>
      <c r="JE79" s="938"/>
      <c r="JF79" s="938">
        <f t="shared" si="169"/>
        <v>0</v>
      </c>
      <c r="JG79" s="938">
        <f t="shared" si="170"/>
        <v>0</v>
      </c>
      <c r="JH79" s="938">
        <f t="shared" si="171"/>
        <v>0</v>
      </c>
      <c r="JI79" s="938">
        <f t="shared" si="172"/>
        <v>0</v>
      </c>
      <c r="JJ79" s="938">
        <f t="shared" si="173"/>
        <v>0</v>
      </c>
      <c r="JK79" s="938" t="str">
        <f t="shared" si="174"/>
        <v/>
      </c>
      <c r="JL79" s="713">
        <f>'min. Düngung 22'!CN80</f>
        <v>0</v>
      </c>
      <c r="JM79" s="938"/>
      <c r="JN79" s="938"/>
      <c r="JO79" s="938">
        <f t="shared" si="175"/>
        <v>0</v>
      </c>
      <c r="JP79" s="938">
        <f t="shared" si="176"/>
        <v>0</v>
      </c>
      <c r="JQ79" s="938">
        <f t="shared" si="177"/>
        <v>0</v>
      </c>
      <c r="JR79" s="938">
        <f t="shared" si="178"/>
        <v>0</v>
      </c>
      <c r="JS79" s="938">
        <f t="shared" si="179"/>
        <v>0</v>
      </c>
      <c r="JT79" s="938" t="str">
        <f t="shared" si="180"/>
        <v/>
      </c>
      <c r="JU79" s="713">
        <f>'min. Düngung 22'!CQ80</f>
        <v>0</v>
      </c>
      <c r="JV79" s="938"/>
      <c r="JW79" s="938"/>
      <c r="JX79" s="938">
        <f t="shared" si="181"/>
        <v>0</v>
      </c>
      <c r="JY79" s="938">
        <f t="shared" si="182"/>
        <v>0</v>
      </c>
      <c r="JZ79" s="938">
        <f t="shared" si="183"/>
        <v>0</v>
      </c>
      <c r="KA79" s="938">
        <f t="shared" si="184"/>
        <v>0</v>
      </c>
      <c r="KB79" s="938">
        <f t="shared" si="185"/>
        <v>0</v>
      </c>
      <c r="KC79" s="938" t="str">
        <f t="shared" si="186"/>
        <v/>
      </c>
      <c r="KE79" s="938"/>
      <c r="KF79" s="938" t="str">
        <f>IF(AND($F79=2,$G79=1),"",IF(OR($Q79&gt;0,$O79&gt;60),$KF$7,IF(I79=70,"",IF(AND(I79=80,R79+'#orgDung'!AC82&lt;60,K79=1,OR(C79=2,'#BerechnungDBE'!AH73=4)),"",IF(R79&gt;0,$KF$7,"")))))</f>
        <v/>
      </c>
      <c r="KG79" s="938" t="str">
        <f>IF(AND(P79&gt;'#BerechnungDBE'!BJ73,P79&gt;0),'#minDung'!$KG$7,"")</f>
        <v/>
      </c>
      <c r="KH79" s="938" t="str">
        <f>IF(AND(I79=70,R79&gt;'#BerechnungDBE'!CR73),'#minDung'!$KH$7,"")</f>
        <v/>
      </c>
      <c r="KI79" s="938" t="str">
        <f>IF('#BerechnungDBE'!P73&lt;4,"",IF(AND('#BerechnungDBE'!BZ73&gt;0,N79&gt;0),$KI$7,""))</f>
        <v/>
      </c>
      <c r="KJ79" s="938" t="str">
        <f t="shared" si="197"/>
        <v/>
      </c>
    </row>
    <row r="80" spans="1:296" s="875" customFormat="1" hidden="1" x14ac:dyDescent="0.2">
      <c r="A80" s="875">
        <f>'Flächen u. Kulturen'!A79</f>
        <v>70</v>
      </c>
      <c r="B80" s="734">
        <f>'#BerechnungDBE'!L74</f>
        <v>0</v>
      </c>
      <c r="C80" s="46">
        <f>'#orgDung'!C83</f>
        <v>1</v>
      </c>
      <c r="D80" s="875">
        <f>'#BerechnungDBE'!T74</f>
        <v>2</v>
      </c>
      <c r="E80" s="875" t="str">
        <f>'Flächen u. Kulturen'!E79</f>
        <v>x</v>
      </c>
      <c r="F80" s="52">
        <f>'#BerechnungDBE'!N74</f>
        <v>1</v>
      </c>
      <c r="G80" s="52">
        <f>'#BerechnungDBE'!O74</f>
        <v>1</v>
      </c>
      <c r="H80" s="505">
        <f>'#orgDung'!J83</f>
        <v>2</v>
      </c>
      <c r="I80" s="875">
        <f>'#BerechnungDBE'!AF74</f>
        <v>0</v>
      </c>
      <c r="J80" s="875">
        <f>'#orgDung'!M83</f>
        <v>0</v>
      </c>
      <c r="K80" s="875">
        <f>'#BerechnungDBE'!AG74</f>
        <v>0</v>
      </c>
      <c r="M80" s="875">
        <f t="shared" si="192"/>
        <v>0</v>
      </c>
      <c r="N80" s="875">
        <f t="shared" si="193"/>
        <v>0</v>
      </c>
      <c r="O80" s="875">
        <f t="shared" si="194"/>
        <v>0</v>
      </c>
      <c r="P80" s="875">
        <f t="shared" si="195"/>
        <v>0</v>
      </c>
      <c r="Q80" s="938">
        <f t="shared" si="198"/>
        <v>0</v>
      </c>
      <c r="R80" s="875">
        <f t="shared" si="196"/>
        <v>0</v>
      </c>
      <c r="T80" s="713">
        <f>'min. Düngung 22'!H81</f>
        <v>0</v>
      </c>
      <c r="W80" s="875">
        <f t="shared" ref="W80:W110" si="199">$B80*T80</f>
        <v>0</v>
      </c>
      <c r="X80" s="875">
        <f t="shared" ref="X80:X110" si="200">T80*V$4</f>
        <v>0</v>
      </c>
      <c r="Y80" s="875">
        <f t="shared" ref="Y80:Y110" si="201">T80*V$5</f>
        <v>0</v>
      </c>
      <c r="Z80" s="875">
        <f t="shared" ref="Z80:Z110" si="202">IF(AND(T$6=2,$F80=1,$H80=1),X80,0)</f>
        <v>0</v>
      </c>
      <c r="AA80" s="875">
        <f t="shared" ref="AA80:AA110" si="203">IF(T$6=1,IF($I80=0,X80,0),IF($G80&gt;1,X80,X80-Z80))</f>
        <v>0</v>
      </c>
      <c r="AB80" s="875" t="str">
        <f t="shared" ref="AB80:AB110" si="204">IF(T$6=1,X80,"")</f>
        <v/>
      </c>
      <c r="AC80" s="713">
        <f>'min. Düngung 22'!K81</f>
        <v>0</v>
      </c>
      <c r="AD80" s="938"/>
      <c r="AE80" s="938"/>
      <c r="AF80" s="938">
        <f t="shared" ref="AF80:AF110" si="205">$B80*AC80</f>
        <v>0</v>
      </c>
      <c r="AG80" s="938">
        <f t="shared" ref="AG80:AG110" si="206">AC80*AE$4</f>
        <v>0</v>
      </c>
      <c r="AH80" s="938">
        <f t="shared" ref="AH80:AH110" si="207">AC80*AE$5</f>
        <v>0</v>
      </c>
      <c r="AI80" s="938">
        <f t="shared" ref="AI80:AI110" si="208">IF(AND(AC$6=2,$F80=1,$H80=1),AG80,0)</f>
        <v>0</v>
      </c>
      <c r="AJ80" s="938">
        <f t="shared" ref="AJ80:AJ110" si="209">IF(AC$6=1,IF($I80=0,AG80,0),IF($G80&gt;1,AG80,AG80-AI80))</f>
        <v>0</v>
      </c>
      <c r="AK80" s="938">
        <f t="shared" ref="AK80:AK110" si="210">IF(AC$6=1,AG80,"")</f>
        <v>0</v>
      </c>
      <c r="AL80" s="713">
        <f>'min. Düngung 22'!N81</f>
        <v>0</v>
      </c>
      <c r="AM80" s="938"/>
      <c r="AN80" s="938"/>
      <c r="AO80" s="938">
        <f t="shared" ref="AO80:AO110" si="211">$B80*AL80</f>
        <v>0</v>
      </c>
      <c r="AP80" s="938">
        <f t="shared" ref="AP80:AP110" si="212">AL80*AN$4</f>
        <v>0</v>
      </c>
      <c r="AQ80" s="938">
        <f t="shared" ref="AQ80:AQ110" si="213">AL80*AN$5</f>
        <v>0</v>
      </c>
      <c r="AR80" s="938">
        <f t="shared" ref="AR80:AR110" si="214">IF(AND(AL$6=2,$F80=1,$H80=1),AP80,0)</f>
        <v>0</v>
      </c>
      <c r="AS80" s="938">
        <f t="shared" ref="AS80:AS110" si="215">IF(AL$6=1,IF($I80=0,AP80,0),IF($G80&gt;1,AP80,AP80-AR80))</f>
        <v>0</v>
      </c>
      <c r="AT80" s="938" t="str">
        <f t="shared" ref="AT80:AT110" si="216">IF(AL$6=1,AP80,"")</f>
        <v/>
      </c>
      <c r="AU80" s="713">
        <f>'min. Düngung 22'!Q81</f>
        <v>0</v>
      </c>
      <c r="AV80" s="938"/>
      <c r="AW80" s="938"/>
      <c r="AX80" s="938">
        <f t="shared" ref="AX80:AX110" si="217">$B80*AU80</f>
        <v>0</v>
      </c>
      <c r="AY80" s="938">
        <f t="shared" ref="AY80:AY110" si="218">AU80*AW$4</f>
        <v>0</v>
      </c>
      <c r="AZ80" s="938">
        <f t="shared" ref="AZ80:AZ110" si="219">AU80*AW$5</f>
        <v>0</v>
      </c>
      <c r="BA80" s="938">
        <f t="shared" ref="BA80:BA110" si="220">IF(AND(AU$6=2,$F80=1,$H80=1),AY80,0)</f>
        <v>0</v>
      </c>
      <c r="BB80" s="938">
        <f t="shared" ref="BB80:BB110" si="221">IF(AU$6=1,IF($I80=0,AY80,0),IF($G80&gt;1,AY80,AY80-BA80))</f>
        <v>0</v>
      </c>
      <c r="BC80" s="938" t="str">
        <f t="shared" ref="BC80:BC110" si="222">IF(AU$6=1,AY80,"")</f>
        <v/>
      </c>
      <c r="BD80" s="713">
        <f>'min. Düngung 22'!T81</f>
        <v>0</v>
      </c>
      <c r="BE80" s="938"/>
      <c r="BF80" s="938"/>
      <c r="BG80" s="938">
        <f t="shared" ref="BG80:BG110" si="223">$B80*BD80</f>
        <v>0</v>
      </c>
      <c r="BH80" s="938">
        <f t="shared" ref="BH80:BH110" si="224">BD80*BF$4</f>
        <v>0</v>
      </c>
      <c r="BI80" s="938">
        <f t="shared" ref="BI80:BI110" si="225">BD80*BF$5</f>
        <v>0</v>
      </c>
      <c r="BJ80" s="938">
        <f t="shared" ref="BJ80:BJ110" si="226">IF(AND(BD$6=2,$F80=1,$H80=1),BH80,0)</f>
        <v>0</v>
      </c>
      <c r="BK80" s="938">
        <f t="shared" ref="BK80:BK110" si="227">IF(BD$6=1,IF($I80=0,BH80,0),IF($G80&gt;1,BH80,BH80-BJ80))</f>
        <v>0</v>
      </c>
      <c r="BL80" s="938" t="str">
        <f t="shared" ref="BL80:BL110" si="228">IF(BD$6=1,BH80,"")</f>
        <v/>
      </c>
      <c r="BM80" s="713">
        <f>'min. Düngung 22'!W81</f>
        <v>0</v>
      </c>
      <c r="BN80" s="938"/>
      <c r="BO80" s="938"/>
      <c r="BP80" s="938">
        <f t="shared" ref="BP80:BP110" si="229">$B80*BM80</f>
        <v>0</v>
      </c>
      <c r="BQ80" s="938">
        <f t="shared" ref="BQ80:BQ110" si="230">BM80*BO$4</f>
        <v>0</v>
      </c>
      <c r="BR80" s="938">
        <f t="shared" ref="BR80:BR110" si="231">BM80*BO$5</f>
        <v>0</v>
      </c>
      <c r="BS80" s="938">
        <f t="shared" ref="BS80:BS110" si="232">IF(AND(BM$6=2,$F80=1,$H80=1),BQ80,0)</f>
        <v>0</v>
      </c>
      <c r="BT80" s="938">
        <f t="shared" ref="BT80:BT110" si="233">IF(BM$6=1,IF($I80=0,BQ80,0),IF($G80&gt;1,BQ80,BQ80-BS80))</f>
        <v>0</v>
      </c>
      <c r="BU80" s="938" t="str">
        <f t="shared" ref="BU80:BU110" si="234">IF(BM$6=1,BQ80,"")</f>
        <v/>
      </c>
      <c r="BV80" s="713">
        <f>'min. Düngung 22'!Z81</f>
        <v>0</v>
      </c>
      <c r="BW80" s="938"/>
      <c r="BX80" s="938"/>
      <c r="BY80" s="938">
        <f t="shared" ref="BY80:BY110" si="235">$B80*BV80</f>
        <v>0</v>
      </c>
      <c r="BZ80" s="938">
        <f t="shared" ref="BZ80:BZ110" si="236">BV80*BX$4</f>
        <v>0</v>
      </c>
      <c r="CA80" s="938">
        <f t="shared" ref="CA80:CA110" si="237">BV80*BX$5</f>
        <v>0</v>
      </c>
      <c r="CB80" s="938">
        <f t="shared" ref="CB80:CB110" si="238">IF(AND(BV$6=2,$F80=1,$H80=1),BZ80,0)</f>
        <v>0</v>
      </c>
      <c r="CC80" s="938">
        <f t="shared" ref="CC80:CC110" si="239">IF(BV$6=1,IF($I80=0,BZ80,0),IF($G80&gt;1,BZ80,BZ80-CB80))</f>
        <v>0</v>
      </c>
      <c r="CD80" s="938" t="str">
        <f t="shared" ref="CD80:CD110" si="240">IF(BV$6=1,BZ80,"")</f>
        <v/>
      </c>
      <c r="CE80" s="713">
        <f>'min. Düngung 22'!AC81</f>
        <v>0</v>
      </c>
      <c r="CF80" s="938"/>
      <c r="CG80" s="938"/>
      <c r="CH80" s="938">
        <f t="shared" ref="CH80:CH110" si="241">$B80*CE80</f>
        <v>0</v>
      </c>
      <c r="CI80" s="938">
        <f t="shared" ref="CI80:CI110" si="242">CE80*CG$4</f>
        <v>0</v>
      </c>
      <c r="CJ80" s="938">
        <f t="shared" ref="CJ80:CJ110" si="243">CE80*CG$5</f>
        <v>0</v>
      </c>
      <c r="CK80" s="938">
        <f t="shared" ref="CK80:CK110" si="244">IF(AND(CE$6=2,$F80=1,$H80=1),CI80,0)</f>
        <v>0</v>
      </c>
      <c r="CL80" s="938">
        <f t="shared" ref="CL80:CL110" si="245">IF(CE$6=1,IF($I80=0,CI80,0),IF($G80&gt;1,CI80,CI80-CK80))</f>
        <v>0</v>
      </c>
      <c r="CM80" s="938" t="str">
        <f t="shared" ref="CM80:CM110" si="246">IF(CE$6=1,CI80,"")</f>
        <v/>
      </c>
      <c r="CN80" s="713">
        <f>'min. Düngung 22'!AF81</f>
        <v>0</v>
      </c>
      <c r="CO80" s="938"/>
      <c r="CP80" s="938"/>
      <c r="CQ80" s="938">
        <f t="shared" ref="CQ80:CQ110" si="247">$B80*CN80</f>
        <v>0</v>
      </c>
      <c r="CR80" s="938">
        <f t="shared" ref="CR80:CR110" si="248">CN80*CP$4</f>
        <v>0</v>
      </c>
      <c r="CS80" s="938">
        <f t="shared" ref="CS80:CS110" si="249">CN80*CP$5</f>
        <v>0</v>
      </c>
      <c r="CT80" s="938">
        <f t="shared" ref="CT80:CT110" si="250">IF(AND(CN$6=2,$F80=1,$H80=1),CR80,0)</f>
        <v>0</v>
      </c>
      <c r="CU80" s="938">
        <f t="shared" ref="CU80:CU110" si="251">IF(CN$6=1,IF($I80=0,CR80,0),IF($G80&gt;1,CR80,CR80-CT80))</f>
        <v>0</v>
      </c>
      <c r="CV80" s="938" t="str">
        <f t="shared" ref="CV80:CV110" si="252">IF(CN$6=1,CR80,"")</f>
        <v/>
      </c>
      <c r="CW80" s="713">
        <f>'min. Düngung 22'!AI81</f>
        <v>0</v>
      </c>
      <c r="CX80" s="938"/>
      <c r="CY80" s="938"/>
      <c r="CZ80" s="938">
        <f t="shared" ref="CZ80:CZ110" si="253">$B80*CW80</f>
        <v>0</v>
      </c>
      <c r="DA80" s="938">
        <f t="shared" ref="DA80:DA110" si="254">CW80*CY$4</f>
        <v>0</v>
      </c>
      <c r="DB80" s="938">
        <f t="shared" ref="DB80:DB110" si="255">CW80*CY$5</f>
        <v>0</v>
      </c>
      <c r="DC80" s="938">
        <f t="shared" ref="DC80:DC110" si="256">IF(AND(CW$6=2,$F80=1,$H80=1),DA80,0)</f>
        <v>0</v>
      </c>
      <c r="DD80" s="938">
        <f t="shared" ref="DD80:DD110" si="257">IF(CW$6=1,IF($I80=0,DA80,0),IF($G80&gt;1,DA80,DA80-DC80))</f>
        <v>0</v>
      </c>
      <c r="DE80" s="938" t="str">
        <f t="shared" ref="DE80:DE110" si="258">IF(CW$6=1,DA80,"")</f>
        <v/>
      </c>
      <c r="DF80" s="713">
        <f>'min. Düngung 22'!AL81</f>
        <v>0</v>
      </c>
      <c r="DG80" s="938"/>
      <c r="DH80" s="938"/>
      <c r="DI80" s="938">
        <f t="shared" ref="DI80:DI110" si="259">$B80*DF80</f>
        <v>0</v>
      </c>
      <c r="DJ80" s="938">
        <f t="shared" ref="DJ80:DJ110" si="260">DF80*DH$4</f>
        <v>0</v>
      </c>
      <c r="DK80" s="938">
        <f t="shared" ref="DK80:DK110" si="261">DF80*DH$5</f>
        <v>0</v>
      </c>
      <c r="DL80" s="938">
        <f t="shared" ref="DL80:DL110" si="262">IF(AND(DF$6=2,$F80=1,$H80=1),DJ80,0)</f>
        <v>0</v>
      </c>
      <c r="DM80" s="938">
        <f t="shared" ref="DM80:DM110" si="263">IF(DF$6=1,IF($I80=0,DJ80,0),IF($G80&gt;1,DJ80,DJ80-DL80))</f>
        <v>0</v>
      </c>
      <c r="DN80" s="938" t="str">
        <f t="shared" ref="DN80:DN110" si="264">IF(DF$6=1,DJ80,"")</f>
        <v/>
      </c>
      <c r="DO80" s="713">
        <f>'min. Düngung 22'!AO81</f>
        <v>0</v>
      </c>
      <c r="DP80" s="938"/>
      <c r="DQ80" s="938"/>
      <c r="DR80" s="938">
        <f t="shared" ref="DR80:DR110" si="265">$B80*DO80</f>
        <v>0</v>
      </c>
      <c r="DS80" s="938">
        <f t="shared" ref="DS80:DS110" si="266">DO80*DQ$4</f>
        <v>0</v>
      </c>
      <c r="DT80" s="938">
        <f t="shared" ref="DT80:DT110" si="267">DO80*DQ$5</f>
        <v>0</v>
      </c>
      <c r="DU80" s="938">
        <f t="shared" ref="DU80:DU110" si="268">IF(AND(DO$6=2,$F80=1,$H80=1),DS80,0)</f>
        <v>0</v>
      </c>
      <c r="DV80" s="938">
        <f t="shared" ref="DV80:DV110" si="269">IF(DO$6=1,IF($I80=0,DS80,0),IF($G80&gt;1,DS80,DS80-DU80))</f>
        <v>0</v>
      </c>
      <c r="DW80" s="938" t="str">
        <f t="shared" ref="DW80:DW110" si="270">IF(DO$6=1,DS80,"")</f>
        <v/>
      </c>
      <c r="DX80" s="713">
        <f>'min. Düngung 22'!AR81</f>
        <v>0</v>
      </c>
      <c r="DY80" s="938"/>
      <c r="DZ80" s="938"/>
      <c r="EA80" s="938">
        <f t="shared" ref="EA80:EA110" si="271">$B80*DX80</f>
        <v>0</v>
      </c>
      <c r="EB80" s="938">
        <f t="shared" ref="EB80:EB110" si="272">DX80*DZ$4</f>
        <v>0</v>
      </c>
      <c r="EC80" s="938">
        <f t="shared" ref="EC80:EC110" si="273">DX80*DZ$5</f>
        <v>0</v>
      </c>
      <c r="ED80" s="938">
        <f t="shared" ref="ED80:ED110" si="274">IF(AND(DX$6=2,$F80=1,$H80=1),EB80,0)</f>
        <v>0</v>
      </c>
      <c r="EE80" s="938">
        <f t="shared" ref="EE80:EE110" si="275">IF(DX$6=1,IF($I80=0,EB80,0),IF($G80&gt;1,EB80,EB80-ED80))</f>
        <v>0</v>
      </c>
      <c r="EF80" s="938" t="str">
        <f t="shared" ref="EF80:EF110" si="276">IF(DX$6=1,EB80,"")</f>
        <v/>
      </c>
      <c r="EG80" s="713">
        <f>'min. Düngung 22'!AU81</f>
        <v>0</v>
      </c>
      <c r="EH80" s="938"/>
      <c r="EI80" s="938"/>
      <c r="EJ80" s="938">
        <f t="shared" ref="EJ80:EJ110" si="277">$B80*EG80</f>
        <v>0</v>
      </c>
      <c r="EK80" s="938">
        <f t="shared" ref="EK80:EK110" si="278">EG80*EI$4</f>
        <v>0</v>
      </c>
      <c r="EL80" s="938">
        <f t="shared" ref="EL80:EL110" si="279">EG80*EI$5</f>
        <v>0</v>
      </c>
      <c r="EM80" s="938">
        <f t="shared" ref="EM80:EM110" si="280">IF(AND(EG$6=2,$F80=1,$H80=1),EK80,0)</f>
        <v>0</v>
      </c>
      <c r="EN80" s="938">
        <f t="shared" ref="EN80:EN110" si="281">IF(EG$6=1,IF($I80=0,EK80,0),IF($G80&gt;1,EK80,EK80-EM80))</f>
        <v>0</v>
      </c>
      <c r="EO80" s="938" t="str">
        <f t="shared" ref="EO80:EO110" si="282">IF(EG$6=1,EK80,"")</f>
        <v/>
      </c>
      <c r="EP80" s="713">
        <f>'min. Düngung 22'!AX81</f>
        <v>0</v>
      </c>
      <c r="EQ80" s="938"/>
      <c r="ER80" s="938"/>
      <c r="ES80" s="938">
        <f t="shared" ref="ES80:ES110" si="283">$B80*EP80</f>
        <v>0</v>
      </c>
      <c r="ET80" s="938">
        <f t="shared" ref="ET80:ET110" si="284">EP80*ER$4</f>
        <v>0</v>
      </c>
      <c r="EU80" s="938">
        <f t="shared" ref="EU80:EU110" si="285">EP80*ER$5</f>
        <v>0</v>
      </c>
      <c r="EV80" s="938">
        <f t="shared" ref="EV80:EV110" si="286">IF(AND(EP$6=2,$F80=1,$H80=1),ET80,0)</f>
        <v>0</v>
      </c>
      <c r="EW80" s="938">
        <f t="shared" ref="EW80:EW110" si="287">IF(EP$6=1,IF($I80=0,ET80,0),IF($G80&gt;1,ET80,ET80-EV80))</f>
        <v>0</v>
      </c>
      <c r="EX80" s="938" t="str">
        <f t="shared" ref="EX80:EX110" si="288">IF(EP$6=1,ET80,"")</f>
        <v/>
      </c>
      <c r="EY80" s="713">
        <f>'min. Düngung 22'!BA81</f>
        <v>0</v>
      </c>
      <c r="EZ80" s="938"/>
      <c r="FA80" s="938"/>
      <c r="FB80" s="938">
        <f t="shared" ref="FB80:FB110" si="289">$B80*EY80</f>
        <v>0</v>
      </c>
      <c r="FC80" s="938">
        <f t="shared" ref="FC80:FC110" si="290">EY80*FA$4</f>
        <v>0</v>
      </c>
      <c r="FD80" s="938">
        <f t="shared" ref="FD80:FD110" si="291">EY80*FA$5</f>
        <v>0</v>
      </c>
      <c r="FE80" s="938">
        <f t="shared" ref="FE80:FE110" si="292">IF(AND(EY$6=2,$F80=1,$H80=1),FC80,0)</f>
        <v>0</v>
      </c>
      <c r="FF80" s="938">
        <f t="shared" ref="FF80:FF110" si="293">IF(EY$6=1,IF($I80=0,FC80,0),IF($G80&gt;1,FC80,FC80-FE80))</f>
        <v>0</v>
      </c>
      <c r="FG80" s="938" t="str">
        <f t="shared" ref="FG80:FG110" si="294">IF(EY$6=1,FC80,"")</f>
        <v/>
      </c>
      <c r="FH80" s="713">
        <f>'min. Düngung 22'!BD81</f>
        <v>0</v>
      </c>
      <c r="FI80" s="938"/>
      <c r="FJ80" s="938"/>
      <c r="FK80" s="938">
        <f t="shared" ref="FK80:FK110" si="295">$B80*FH80</f>
        <v>0</v>
      </c>
      <c r="FL80" s="938">
        <f t="shared" ref="FL80:FL110" si="296">FH80*FJ$4</f>
        <v>0</v>
      </c>
      <c r="FM80" s="938">
        <f t="shared" ref="FM80:FM110" si="297">FH80*FJ$5</f>
        <v>0</v>
      </c>
      <c r="FN80" s="938">
        <f t="shared" ref="FN80:FN110" si="298">IF(AND(FH$6=2,$F80=1,$H80=1),FL80,0)</f>
        <v>0</v>
      </c>
      <c r="FO80" s="938">
        <f t="shared" ref="FO80:FO110" si="299">IF(FH$6=1,IF($I80=0,FL80,0),IF($G80&gt;1,FL80,FL80-FN80))</f>
        <v>0</v>
      </c>
      <c r="FP80" s="938" t="str">
        <f t="shared" ref="FP80:FP110" si="300">IF(FH$6=1,FL80,"")</f>
        <v/>
      </c>
      <c r="FQ80" s="713">
        <f>'min. Düngung 22'!BG81</f>
        <v>0</v>
      </c>
      <c r="FR80" s="938"/>
      <c r="FS80" s="938"/>
      <c r="FT80" s="938">
        <f t="shared" ref="FT80:FT110" si="301">$B80*FQ80</f>
        <v>0</v>
      </c>
      <c r="FU80" s="938">
        <f t="shared" ref="FU80:FU110" si="302">FQ80*FS$4</f>
        <v>0</v>
      </c>
      <c r="FV80" s="938">
        <f t="shared" ref="FV80:FV110" si="303">FQ80*FS$5</f>
        <v>0</v>
      </c>
      <c r="FW80" s="938">
        <f t="shared" ref="FW80:FW110" si="304">IF(AND(FQ$6=2,$F80=1,$H80=1),FU80,0)</f>
        <v>0</v>
      </c>
      <c r="FX80" s="938">
        <f t="shared" ref="FX80:FX110" si="305">IF(FQ$6=1,IF($I80=0,FU80,0),IF($G80&gt;1,FU80,FU80-FW80))</f>
        <v>0</v>
      </c>
      <c r="FY80" s="938" t="str">
        <f t="shared" ref="FY80:FY110" si="306">IF(FQ$6=1,FU80,"")</f>
        <v/>
      </c>
      <c r="FZ80" s="713">
        <f>'min. Düngung 22'!BJ81</f>
        <v>0</v>
      </c>
      <c r="GA80" s="938"/>
      <c r="GB80" s="938"/>
      <c r="GC80" s="938">
        <f t="shared" ref="GC80:GC110" si="307">$B80*FZ80</f>
        <v>0</v>
      </c>
      <c r="GD80" s="938">
        <f t="shared" ref="GD80:GD110" si="308">FZ80*GB$4</f>
        <v>0</v>
      </c>
      <c r="GE80" s="938">
        <f t="shared" ref="GE80:GE110" si="309">FZ80*GB$5</f>
        <v>0</v>
      </c>
      <c r="GF80" s="938">
        <f t="shared" ref="GF80:GF110" si="310">IF(AND(FZ$6=2,$F80=1,$H80=1),GD80,0)</f>
        <v>0</v>
      </c>
      <c r="GG80" s="938">
        <f t="shared" ref="GG80:GG110" si="311">IF(FZ$6=1,IF($I80=0,GD80,0),IF($G80&gt;1,GD80,GD80-GF80))</f>
        <v>0</v>
      </c>
      <c r="GH80" s="938" t="str">
        <f t="shared" ref="GH80:GH110" si="312">IF(FZ$6=1,GD80,"")</f>
        <v/>
      </c>
      <c r="GI80" s="713">
        <f>'min. Düngung 22'!BM81</f>
        <v>0</v>
      </c>
      <c r="GJ80" s="938"/>
      <c r="GK80" s="938"/>
      <c r="GL80" s="938">
        <f t="shared" ref="GL80:GL110" si="313">$B80*GI80</f>
        <v>0</v>
      </c>
      <c r="GM80" s="938">
        <f t="shared" ref="GM80:GM110" si="314">GI80*GK$4</f>
        <v>0</v>
      </c>
      <c r="GN80" s="938">
        <f t="shared" ref="GN80:GN110" si="315">GI80*GK$5</f>
        <v>0</v>
      </c>
      <c r="GO80" s="938">
        <f t="shared" ref="GO80:GO110" si="316">IF(AND(GI$6=2,$F80=1,$H80=1),GM80,0)</f>
        <v>0</v>
      </c>
      <c r="GP80" s="938">
        <f t="shared" ref="GP80:GP110" si="317">IF(GI$6=1,IF($I80=0,GM80,0),IF($G80&gt;1,GM80,GM80-GO80))</f>
        <v>0</v>
      </c>
      <c r="GQ80" s="938" t="str">
        <f t="shared" ref="GQ80:GQ110" si="318">IF(GI$6=1,GM80,"")</f>
        <v/>
      </c>
      <c r="GR80" s="713">
        <f>'min. Düngung 22'!BP81</f>
        <v>0</v>
      </c>
      <c r="GS80" s="938"/>
      <c r="GT80" s="938"/>
      <c r="GU80" s="938">
        <f t="shared" ref="GU80:GU110" si="319">$B80*GR80</f>
        <v>0</v>
      </c>
      <c r="GV80" s="938">
        <f t="shared" ref="GV80:GV110" si="320">GR80*GT$4</f>
        <v>0</v>
      </c>
      <c r="GW80" s="938">
        <f t="shared" ref="GW80:GW110" si="321">GR80*GT$5</f>
        <v>0</v>
      </c>
      <c r="GX80" s="938">
        <f t="shared" ref="GX80:GX110" si="322">IF(AND(GR$6=2,$F80=1,$H80=1),GV80,0)</f>
        <v>0</v>
      </c>
      <c r="GY80" s="938">
        <f t="shared" ref="GY80:GY110" si="323">IF(GR$6=1,IF($I80=0,GV80,0),IF($G80&gt;1,GV80,GV80-GX80))</f>
        <v>0</v>
      </c>
      <c r="GZ80" s="938" t="str">
        <f t="shared" ref="GZ80:GZ110" si="324">IF(GR$6=1,GV80,"")</f>
        <v/>
      </c>
      <c r="HA80" s="713">
        <f>'min. Düngung 22'!BS81</f>
        <v>0</v>
      </c>
      <c r="HB80" s="938"/>
      <c r="HC80" s="938"/>
      <c r="HD80" s="938">
        <f t="shared" ref="HD80:HD110" si="325">$B80*HA80</f>
        <v>0</v>
      </c>
      <c r="HE80" s="938">
        <f t="shared" ref="HE80:HE110" si="326">HA80*HC$4</f>
        <v>0</v>
      </c>
      <c r="HF80" s="938">
        <f t="shared" ref="HF80:HF110" si="327">HA80*HC$5</f>
        <v>0</v>
      </c>
      <c r="HG80" s="938">
        <f t="shared" ref="HG80:HG110" si="328">IF(AND(HA$6=2,$F80=1,$H80=1),HE80,0)</f>
        <v>0</v>
      </c>
      <c r="HH80" s="938">
        <f t="shared" ref="HH80:HH110" si="329">IF(HA$6=1,IF($I80=0,HE80,0),IF($G80&gt;1,HE80,HE80-HG80))</f>
        <v>0</v>
      </c>
      <c r="HI80" s="938" t="str">
        <f t="shared" ref="HI80:HI110" si="330">IF(HA$6=1,HE80,"")</f>
        <v/>
      </c>
      <c r="HJ80" s="713">
        <f>'min. Düngung 22'!BV81</f>
        <v>0</v>
      </c>
      <c r="HK80" s="938"/>
      <c r="HL80" s="938"/>
      <c r="HM80" s="938">
        <f t="shared" ref="HM80:HM110" si="331">$B80*HJ80</f>
        <v>0</v>
      </c>
      <c r="HN80" s="938">
        <f t="shared" ref="HN80:HN110" si="332">HJ80*HL$4</f>
        <v>0</v>
      </c>
      <c r="HO80" s="938">
        <f t="shared" ref="HO80:HO110" si="333">HJ80*HL$5</f>
        <v>0</v>
      </c>
      <c r="HP80" s="938">
        <f t="shared" ref="HP80:HP110" si="334">IF(AND(HJ$6=2,$F80=1,$H80=1),HN80,0)</f>
        <v>0</v>
      </c>
      <c r="HQ80" s="938">
        <f t="shared" ref="HQ80:HQ110" si="335">IF(HJ$6=1,IF($I80=0,HN80,0),IF($G80&gt;1,HN80,HN80-HP80))</f>
        <v>0</v>
      </c>
      <c r="HR80" s="938" t="str">
        <f t="shared" ref="HR80:HR110" si="336">IF(HJ$6=1,HN80,"")</f>
        <v/>
      </c>
      <c r="HS80" s="713">
        <f>'min. Düngung 22'!BY81</f>
        <v>0</v>
      </c>
      <c r="HT80" s="938"/>
      <c r="HU80" s="938"/>
      <c r="HV80" s="938">
        <f t="shared" ref="HV80:HV110" si="337">$B80*HS80</f>
        <v>0</v>
      </c>
      <c r="HW80" s="938">
        <f t="shared" ref="HW80:HW110" si="338">HS80*HU$4</f>
        <v>0</v>
      </c>
      <c r="HX80" s="938">
        <f t="shared" ref="HX80:HX110" si="339">HS80*HU$5</f>
        <v>0</v>
      </c>
      <c r="HY80" s="938">
        <f t="shared" ref="HY80:HY110" si="340">IF(AND(HS$6=2,$F80=1,$H80=1),HW80,0)</f>
        <v>0</v>
      </c>
      <c r="HZ80" s="938">
        <f t="shared" ref="HZ80:HZ110" si="341">IF(HS$6=1,IF($I80=0,HW80,0),IF($G80&gt;1,HW80,HW80-HY80))</f>
        <v>0</v>
      </c>
      <c r="IA80" s="938" t="str">
        <f t="shared" ref="IA80:IA110" si="342">IF(HS$6=1,HW80,"")</f>
        <v/>
      </c>
      <c r="IB80" s="713">
        <f>'min. Düngung 22'!CB81</f>
        <v>0</v>
      </c>
      <c r="IC80" s="938"/>
      <c r="ID80" s="938"/>
      <c r="IE80" s="938">
        <f t="shared" ref="IE80:IE110" si="343">$B80*IB80</f>
        <v>0</v>
      </c>
      <c r="IF80" s="938">
        <f t="shared" ref="IF80:IF110" si="344">IB80*ID$4</f>
        <v>0</v>
      </c>
      <c r="IG80" s="938">
        <f t="shared" ref="IG80:IG110" si="345">IB80*ID$5</f>
        <v>0</v>
      </c>
      <c r="IH80" s="938">
        <f t="shared" ref="IH80:IH110" si="346">IF(AND(IB$6=2,$F80=1,$H80=1),IF80,0)</f>
        <v>0</v>
      </c>
      <c r="II80" s="938">
        <f t="shared" ref="II80:II110" si="347">IF(IB$6=1,IF($I80=0,IF80,0),IF($G80&gt;1,IF80,IF80-IH80))</f>
        <v>0</v>
      </c>
      <c r="IJ80" s="938" t="str">
        <f t="shared" ref="IJ80:IJ110" si="348">IF(IB$6=1,IF80,"")</f>
        <v/>
      </c>
      <c r="IK80" s="713">
        <f>'min. Düngung 22'!CE81</f>
        <v>0</v>
      </c>
      <c r="IL80" s="938"/>
      <c r="IM80" s="938"/>
      <c r="IN80" s="938">
        <f t="shared" ref="IN80:IN110" si="349">$B80*IK80</f>
        <v>0</v>
      </c>
      <c r="IO80" s="938">
        <f t="shared" ref="IO80:IO110" si="350">IK80*IM$4</f>
        <v>0</v>
      </c>
      <c r="IP80" s="938">
        <f t="shared" ref="IP80:IP110" si="351">IK80*IM$5</f>
        <v>0</v>
      </c>
      <c r="IQ80" s="938">
        <f t="shared" ref="IQ80:IQ110" si="352">IF(AND(IK$6=2,$F80=1,$H80=1),IO80,0)</f>
        <v>0</v>
      </c>
      <c r="IR80" s="938">
        <f t="shared" ref="IR80:IR110" si="353">IF(IK$6=1,IF($I80=0,IO80,0),IF($G80&gt;1,IO80,IO80-IQ80))</f>
        <v>0</v>
      </c>
      <c r="IS80" s="938" t="str">
        <f t="shared" ref="IS80:IS110" si="354">IF(IK$6=1,IO80,"")</f>
        <v/>
      </c>
      <c r="IT80" s="713">
        <f>'min. Düngung 22'!CH81</f>
        <v>0</v>
      </c>
      <c r="IU80" s="938"/>
      <c r="IV80" s="938"/>
      <c r="IW80" s="938">
        <f t="shared" ref="IW80:IW110" si="355">$B80*IT80</f>
        <v>0</v>
      </c>
      <c r="IX80" s="938">
        <f t="shared" ref="IX80:IX110" si="356">IT80*IV$4</f>
        <v>0</v>
      </c>
      <c r="IY80" s="938">
        <f t="shared" ref="IY80:IY110" si="357">IT80*IV$5</f>
        <v>0</v>
      </c>
      <c r="IZ80" s="938">
        <f t="shared" ref="IZ80:IZ110" si="358">IF(AND(IT$6=2,$F80=1,$H80=1),IX80,0)</f>
        <v>0</v>
      </c>
      <c r="JA80" s="938">
        <f t="shared" ref="JA80:JA110" si="359">IF(IT$6=1,IF($I80=0,IX80,0),IF($G80&gt;1,IX80,IX80-IZ80))</f>
        <v>0</v>
      </c>
      <c r="JB80" s="938" t="str">
        <f t="shared" ref="JB80:JB110" si="360">IF(IT$6=1,IX80,"")</f>
        <v/>
      </c>
      <c r="JC80" s="713">
        <f>'min. Düngung 22'!CK81</f>
        <v>0</v>
      </c>
      <c r="JD80" s="938"/>
      <c r="JE80" s="938"/>
      <c r="JF80" s="938">
        <f t="shared" ref="JF80:JF110" si="361">$B80*JC80</f>
        <v>0</v>
      </c>
      <c r="JG80" s="938">
        <f t="shared" ref="JG80:JG110" si="362">JC80*JE$4</f>
        <v>0</v>
      </c>
      <c r="JH80" s="938">
        <f t="shared" ref="JH80:JH110" si="363">JC80*JE$5</f>
        <v>0</v>
      </c>
      <c r="JI80" s="938">
        <f t="shared" ref="JI80:JI110" si="364">IF(AND(JC$6=2,$F80=1,$H80=1),JG80,0)</f>
        <v>0</v>
      </c>
      <c r="JJ80" s="938">
        <f t="shared" ref="JJ80:JJ110" si="365">IF(JC$6=1,IF($I80=0,JG80,0),IF($G80&gt;1,JG80,JG80-JI80))</f>
        <v>0</v>
      </c>
      <c r="JK80" s="938" t="str">
        <f t="shared" ref="JK80:JK110" si="366">IF(JC$6=1,JG80,"")</f>
        <v/>
      </c>
      <c r="JL80" s="713">
        <f>'min. Düngung 22'!CN81</f>
        <v>0</v>
      </c>
      <c r="JM80" s="938"/>
      <c r="JN80" s="938"/>
      <c r="JO80" s="938">
        <f t="shared" ref="JO80:JO110" si="367">$B80*JL80</f>
        <v>0</v>
      </c>
      <c r="JP80" s="938">
        <f t="shared" ref="JP80:JP110" si="368">JL80*JN$4</f>
        <v>0</v>
      </c>
      <c r="JQ80" s="938">
        <f t="shared" ref="JQ80:JQ110" si="369">JL80*JN$5</f>
        <v>0</v>
      </c>
      <c r="JR80" s="938">
        <f t="shared" ref="JR80:JR110" si="370">IF(AND(JL$6=2,$F80=1,$H80=1),JP80,0)</f>
        <v>0</v>
      </c>
      <c r="JS80" s="938">
        <f t="shared" ref="JS80:JS110" si="371">IF(JL$6=1,IF($I80=0,JP80,0),IF($G80&gt;1,JP80,JP80-JR80))</f>
        <v>0</v>
      </c>
      <c r="JT80" s="938" t="str">
        <f t="shared" ref="JT80:JT110" si="372">IF(JL$6=1,JP80,"")</f>
        <v/>
      </c>
      <c r="JU80" s="713">
        <f>'min. Düngung 22'!CQ81</f>
        <v>0</v>
      </c>
      <c r="JV80" s="938"/>
      <c r="JW80" s="938"/>
      <c r="JX80" s="938">
        <f t="shared" ref="JX80:JX110" si="373">$B80*JU80</f>
        <v>0</v>
      </c>
      <c r="JY80" s="938">
        <f t="shared" ref="JY80:JY110" si="374">JU80*JW$4</f>
        <v>0</v>
      </c>
      <c r="JZ80" s="938">
        <f t="shared" ref="JZ80:JZ110" si="375">JU80*JW$5</f>
        <v>0</v>
      </c>
      <c r="KA80" s="938">
        <f t="shared" ref="KA80:KA110" si="376">IF(AND(JU$6=2,$F80=1,$H80=1),JY80,0)</f>
        <v>0</v>
      </c>
      <c r="KB80" s="938">
        <f t="shared" ref="KB80:KB110" si="377">IF(JU$6=1,IF($I80=0,JY80,0),IF($G80&gt;1,JY80,JY80-KA80))</f>
        <v>0</v>
      </c>
      <c r="KC80" s="938" t="str">
        <f t="shared" ref="KC80:KC110" si="378">IF(JU$6=1,JY80,"")</f>
        <v/>
      </c>
      <c r="KE80" s="938"/>
      <c r="KF80" s="938" t="str">
        <f>IF(AND($F80=2,$G80=1),"",IF(OR($Q80&gt;0,$O80&gt;60),$KF$7,IF(I80=70,"",IF(AND(I80=80,R80+'#orgDung'!AC83&lt;60,K80=1,OR(C80=2,'#BerechnungDBE'!AH74=4)),"",IF(R80&gt;0,$KF$7,"")))))</f>
        <v/>
      </c>
      <c r="KG80" s="938" t="str">
        <f>IF(AND(P80&gt;'#BerechnungDBE'!BJ74,P80&gt;0),'#minDung'!$KG$7,"")</f>
        <v/>
      </c>
      <c r="KH80" s="938" t="str">
        <f>IF(AND(I80=70,R80&gt;'#BerechnungDBE'!CR74),'#minDung'!$KH$7,"")</f>
        <v/>
      </c>
      <c r="KI80" s="938" t="str">
        <f>IF('#BerechnungDBE'!P74&lt;4,"",IF(AND('#BerechnungDBE'!BZ74&gt;0,N80&gt;0),$KI$7,""))</f>
        <v/>
      </c>
      <c r="KJ80" s="938" t="str">
        <f t="shared" si="197"/>
        <v/>
      </c>
    </row>
    <row r="81" spans="1:296" s="875" customFormat="1" hidden="1" x14ac:dyDescent="0.2">
      <c r="A81" s="875">
        <f>'Flächen u. Kulturen'!A80</f>
        <v>71</v>
      </c>
      <c r="B81" s="734">
        <f>'#BerechnungDBE'!L75</f>
        <v>0</v>
      </c>
      <c r="C81" s="46">
        <f>'#orgDung'!C84</f>
        <v>1</v>
      </c>
      <c r="D81" s="875">
        <f>'#BerechnungDBE'!T75</f>
        <v>2</v>
      </c>
      <c r="E81" s="875" t="str">
        <f>'Flächen u. Kulturen'!E80</f>
        <v>x</v>
      </c>
      <c r="F81" s="52">
        <f>'#BerechnungDBE'!N75</f>
        <v>1</v>
      </c>
      <c r="G81" s="52">
        <f>'#BerechnungDBE'!O75</f>
        <v>1</v>
      </c>
      <c r="H81" s="505">
        <f>'#orgDung'!J84</f>
        <v>2</v>
      </c>
      <c r="I81" s="875">
        <f>'#BerechnungDBE'!AF75</f>
        <v>0</v>
      </c>
      <c r="J81" s="875">
        <f>'#orgDung'!M84</f>
        <v>0</v>
      </c>
      <c r="K81" s="875">
        <f>'#BerechnungDBE'!AG75</f>
        <v>0</v>
      </c>
      <c r="M81" s="875">
        <f t="shared" si="192"/>
        <v>0</v>
      </c>
      <c r="N81" s="875">
        <f t="shared" si="193"/>
        <v>0</v>
      </c>
      <c r="O81" s="875">
        <f t="shared" si="194"/>
        <v>0</v>
      </c>
      <c r="P81" s="875">
        <f t="shared" si="195"/>
        <v>0</v>
      </c>
      <c r="Q81" s="938">
        <f t="shared" si="198"/>
        <v>0</v>
      </c>
      <c r="R81" s="875">
        <f t="shared" si="196"/>
        <v>0</v>
      </c>
      <c r="T81" s="713">
        <f>'min. Düngung 22'!H82</f>
        <v>0</v>
      </c>
      <c r="W81" s="875">
        <f t="shared" si="199"/>
        <v>0</v>
      </c>
      <c r="X81" s="875">
        <f t="shared" si="200"/>
        <v>0</v>
      </c>
      <c r="Y81" s="875">
        <f t="shared" si="201"/>
        <v>0</v>
      </c>
      <c r="Z81" s="875">
        <f t="shared" si="202"/>
        <v>0</v>
      </c>
      <c r="AA81" s="875">
        <f t="shared" si="203"/>
        <v>0</v>
      </c>
      <c r="AB81" s="875" t="str">
        <f t="shared" si="204"/>
        <v/>
      </c>
      <c r="AC81" s="713">
        <f>'min. Düngung 22'!K82</f>
        <v>0</v>
      </c>
      <c r="AD81" s="938"/>
      <c r="AE81" s="938"/>
      <c r="AF81" s="938">
        <f t="shared" si="205"/>
        <v>0</v>
      </c>
      <c r="AG81" s="938">
        <f t="shared" si="206"/>
        <v>0</v>
      </c>
      <c r="AH81" s="938">
        <f t="shared" si="207"/>
        <v>0</v>
      </c>
      <c r="AI81" s="938">
        <f t="shared" si="208"/>
        <v>0</v>
      </c>
      <c r="AJ81" s="938">
        <f t="shared" si="209"/>
        <v>0</v>
      </c>
      <c r="AK81" s="938">
        <f t="shared" si="210"/>
        <v>0</v>
      </c>
      <c r="AL81" s="713">
        <f>'min. Düngung 22'!N82</f>
        <v>0</v>
      </c>
      <c r="AM81" s="938"/>
      <c r="AN81" s="938"/>
      <c r="AO81" s="938">
        <f t="shared" si="211"/>
        <v>0</v>
      </c>
      <c r="AP81" s="938">
        <f t="shared" si="212"/>
        <v>0</v>
      </c>
      <c r="AQ81" s="938">
        <f t="shared" si="213"/>
        <v>0</v>
      </c>
      <c r="AR81" s="938">
        <f t="shared" si="214"/>
        <v>0</v>
      </c>
      <c r="AS81" s="938">
        <f t="shared" si="215"/>
        <v>0</v>
      </c>
      <c r="AT81" s="938" t="str">
        <f t="shared" si="216"/>
        <v/>
      </c>
      <c r="AU81" s="713">
        <f>'min. Düngung 22'!Q82</f>
        <v>0</v>
      </c>
      <c r="AV81" s="938"/>
      <c r="AW81" s="938"/>
      <c r="AX81" s="938">
        <f t="shared" si="217"/>
        <v>0</v>
      </c>
      <c r="AY81" s="938">
        <f t="shared" si="218"/>
        <v>0</v>
      </c>
      <c r="AZ81" s="938">
        <f t="shared" si="219"/>
        <v>0</v>
      </c>
      <c r="BA81" s="938">
        <f t="shared" si="220"/>
        <v>0</v>
      </c>
      <c r="BB81" s="938">
        <f t="shared" si="221"/>
        <v>0</v>
      </c>
      <c r="BC81" s="938" t="str">
        <f t="shared" si="222"/>
        <v/>
      </c>
      <c r="BD81" s="713">
        <f>'min. Düngung 22'!T82</f>
        <v>0</v>
      </c>
      <c r="BE81" s="938"/>
      <c r="BF81" s="938"/>
      <c r="BG81" s="938">
        <f t="shared" si="223"/>
        <v>0</v>
      </c>
      <c r="BH81" s="938">
        <f t="shared" si="224"/>
        <v>0</v>
      </c>
      <c r="BI81" s="938">
        <f t="shared" si="225"/>
        <v>0</v>
      </c>
      <c r="BJ81" s="938">
        <f t="shared" si="226"/>
        <v>0</v>
      </c>
      <c r="BK81" s="938">
        <f t="shared" si="227"/>
        <v>0</v>
      </c>
      <c r="BL81" s="938" t="str">
        <f t="shared" si="228"/>
        <v/>
      </c>
      <c r="BM81" s="713">
        <f>'min. Düngung 22'!W82</f>
        <v>0</v>
      </c>
      <c r="BN81" s="938"/>
      <c r="BO81" s="938"/>
      <c r="BP81" s="938">
        <f t="shared" si="229"/>
        <v>0</v>
      </c>
      <c r="BQ81" s="938">
        <f t="shared" si="230"/>
        <v>0</v>
      </c>
      <c r="BR81" s="938">
        <f t="shared" si="231"/>
        <v>0</v>
      </c>
      <c r="BS81" s="938">
        <f t="shared" si="232"/>
        <v>0</v>
      </c>
      <c r="BT81" s="938">
        <f t="shared" si="233"/>
        <v>0</v>
      </c>
      <c r="BU81" s="938" t="str">
        <f t="shared" si="234"/>
        <v/>
      </c>
      <c r="BV81" s="713">
        <f>'min. Düngung 22'!Z82</f>
        <v>0</v>
      </c>
      <c r="BW81" s="938"/>
      <c r="BX81" s="938"/>
      <c r="BY81" s="938">
        <f t="shared" si="235"/>
        <v>0</v>
      </c>
      <c r="BZ81" s="938">
        <f t="shared" si="236"/>
        <v>0</v>
      </c>
      <c r="CA81" s="938">
        <f t="shared" si="237"/>
        <v>0</v>
      </c>
      <c r="CB81" s="938">
        <f t="shared" si="238"/>
        <v>0</v>
      </c>
      <c r="CC81" s="938">
        <f t="shared" si="239"/>
        <v>0</v>
      </c>
      <c r="CD81" s="938" t="str">
        <f t="shared" si="240"/>
        <v/>
      </c>
      <c r="CE81" s="713">
        <f>'min. Düngung 22'!AC82</f>
        <v>0</v>
      </c>
      <c r="CF81" s="938"/>
      <c r="CG81" s="938"/>
      <c r="CH81" s="938">
        <f t="shared" si="241"/>
        <v>0</v>
      </c>
      <c r="CI81" s="938">
        <f t="shared" si="242"/>
        <v>0</v>
      </c>
      <c r="CJ81" s="938">
        <f t="shared" si="243"/>
        <v>0</v>
      </c>
      <c r="CK81" s="938">
        <f t="shared" si="244"/>
        <v>0</v>
      </c>
      <c r="CL81" s="938">
        <f t="shared" si="245"/>
        <v>0</v>
      </c>
      <c r="CM81" s="938" t="str">
        <f t="shared" si="246"/>
        <v/>
      </c>
      <c r="CN81" s="713">
        <f>'min. Düngung 22'!AF82</f>
        <v>0</v>
      </c>
      <c r="CO81" s="938"/>
      <c r="CP81" s="938"/>
      <c r="CQ81" s="938">
        <f t="shared" si="247"/>
        <v>0</v>
      </c>
      <c r="CR81" s="938">
        <f t="shared" si="248"/>
        <v>0</v>
      </c>
      <c r="CS81" s="938">
        <f t="shared" si="249"/>
        <v>0</v>
      </c>
      <c r="CT81" s="938">
        <f t="shared" si="250"/>
        <v>0</v>
      </c>
      <c r="CU81" s="938">
        <f t="shared" si="251"/>
        <v>0</v>
      </c>
      <c r="CV81" s="938" t="str">
        <f t="shared" si="252"/>
        <v/>
      </c>
      <c r="CW81" s="713">
        <f>'min. Düngung 22'!AI82</f>
        <v>0</v>
      </c>
      <c r="CX81" s="938"/>
      <c r="CY81" s="938"/>
      <c r="CZ81" s="938">
        <f t="shared" si="253"/>
        <v>0</v>
      </c>
      <c r="DA81" s="938">
        <f t="shared" si="254"/>
        <v>0</v>
      </c>
      <c r="DB81" s="938">
        <f t="shared" si="255"/>
        <v>0</v>
      </c>
      <c r="DC81" s="938">
        <f t="shared" si="256"/>
        <v>0</v>
      </c>
      <c r="DD81" s="938">
        <f t="shared" si="257"/>
        <v>0</v>
      </c>
      <c r="DE81" s="938" t="str">
        <f t="shared" si="258"/>
        <v/>
      </c>
      <c r="DF81" s="713">
        <f>'min. Düngung 22'!AL82</f>
        <v>0</v>
      </c>
      <c r="DG81" s="938"/>
      <c r="DH81" s="938"/>
      <c r="DI81" s="938">
        <f t="shared" si="259"/>
        <v>0</v>
      </c>
      <c r="DJ81" s="938">
        <f t="shared" si="260"/>
        <v>0</v>
      </c>
      <c r="DK81" s="938">
        <f t="shared" si="261"/>
        <v>0</v>
      </c>
      <c r="DL81" s="938">
        <f t="shared" si="262"/>
        <v>0</v>
      </c>
      <c r="DM81" s="938">
        <f t="shared" si="263"/>
        <v>0</v>
      </c>
      <c r="DN81" s="938" t="str">
        <f t="shared" si="264"/>
        <v/>
      </c>
      <c r="DO81" s="713">
        <f>'min. Düngung 22'!AO82</f>
        <v>0</v>
      </c>
      <c r="DP81" s="938"/>
      <c r="DQ81" s="938"/>
      <c r="DR81" s="938">
        <f t="shared" si="265"/>
        <v>0</v>
      </c>
      <c r="DS81" s="938">
        <f t="shared" si="266"/>
        <v>0</v>
      </c>
      <c r="DT81" s="938">
        <f t="shared" si="267"/>
        <v>0</v>
      </c>
      <c r="DU81" s="938">
        <f t="shared" si="268"/>
        <v>0</v>
      </c>
      <c r="DV81" s="938">
        <f t="shared" si="269"/>
        <v>0</v>
      </c>
      <c r="DW81" s="938" t="str">
        <f t="shared" si="270"/>
        <v/>
      </c>
      <c r="DX81" s="713">
        <f>'min. Düngung 22'!AR82</f>
        <v>0</v>
      </c>
      <c r="DY81" s="938"/>
      <c r="DZ81" s="938"/>
      <c r="EA81" s="938">
        <f t="shared" si="271"/>
        <v>0</v>
      </c>
      <c r="EB81" s="938">
        <f t="shared" si="272"/>
        <v>0</v>
      </c>
      <c r="EC81" s="938">
        <f t="shared" si="273"/>
        <v>0</v>
      </c>
      <c r="ED81" s="938">
        <f t="shared" si="274"/>
        <v>0</v>
      </c>
      <c r="EE81" s="938">
        <f t="shared" si="275"/>
        <v>0</v>
      </c>
      <c r="EF81" s="938" t="str">
        <f t="shared" si="276"/>
        <v/>
      </c>
      <c r="EG81" s="713">
        <f>'min. Düngung 22'!AU82</f>
        <v>0</v>
      </c>
      <c r="EH81" s="938"/>
      <c r="EI81" s="938"/>
      <c r="EJ81" s="938">
        <f t="shared" si="277"/>
        <v>0</v>
      </c>
      <c r="EK81" s="938">
        <f t="shared" si="278"/>
        <v>0</v>
      </c>
      <c r="EL81" s="938">
        <f t="shared" si="279"/>
        <v>0</v>
      </c>
      <c r="EM81" s="938">
        <f t="shared" si="280"/>
        <v>0</v>
      </c>
      <c r="EN81" s="938">
        <f t="shared" si="281"/>
        <v>0</v>
      </c>
      <c r="EO81" s="938" t="str">
        <f t="shared" si="282"/>
        <v/>
      </c>
      <c r="EP81" s="713">
        <f>'min. Düngung 22'!AX82</f>
        <v>0</v>
      </c>
      <c r="EQ81" s="938"/>
      <c r="ER81" s="938"/>
      <c r="ES81" s="938">
        <f t="shared" si="283"/>
        <v>0</v>
      </c>
      <c r="ET81" s="938">
        <f t="shared" si="284"/>
        <v>0</v>
      </c>
      <c r="EU81" s="938">
        <f t="shared" si="285"/>
        <v>0</v>
      </c>
      <c r="EV81" s="938">
        <f t="shared" si="286"/>
        <v>0</v>
      </c>
      <c r="EW81" s="938">
        <f t="shared" si="287"/>
        <v>0</v>
      </c>
      <c r="EX81" s="938" t="str">
        <f t="shared" si="288"/>
        <v/>
      </c>
      <c r="EY81" s="713">
        <f>'min. Düngung 22'!BA82</f>
        <v>0</v>
      </c>
      <c r="EZ81" s="938"/>
      <c r="FA81" s="938"/>
      <c r="FB81" s="938">
        <f t="shared" si="289"/>
        <v>0</v>
      </c>
      <c r="FC81" s="938">
        <f t="shared" si="290"/>
        <v>0</v>
      </c>
      <c r="FD81" s="938">
        <f t="shared" si="291"/>
        <v>0</v>
      </c>
      <c r="FE81" s="938">
        <f t="shared" si="292"/>
        <v>0</v>
      </c>
      <c r="FF81" s="938">
        <f t="shared" si="293"/>
        <v>0</v>
      </c>
      <c r="FG81" s="938" t="str">
        <f t="shared" si="294"/>
        <v/>
      </c>
      <c r="FH81" s="713">
        <f>'min. Düngung 22'!BD82</f>
        <v>0</v>
      </c>
      <c r="FI81" s="938"/>
      <c r="FJ81" s="938"/>
      <c r="FK81" s="938">
        <f t="shared" si="295"/>
        <v>0</v>
      </c>
      <c r="FL81" s="938">
        <f t="shared" si="296"/>
        <v>0</v>
      </c>
      <c r="FM81" s="938">
        <f t="shared" si="297"/>
        <v>0</v>
      </c>
      <c r="FN81" s="938">
        <f t="shared" si="298"/>
        <v>0</v>
      </c>
      <c r="FO81" s="938">
        <f t="shared" si="299"/>
        <v>0</v>
      </c>
      <c r="FP81" s="938" t="str">
        <f t="shared" si="300"/>
        <v/>
      </c>
      <c r="FQ81" s="713">
        <f>'min. Düngung 22'!BG82</f>
        <v>0</v>
      </c>
      <c r="FR81" s="938"/>
      <c r="FS81" s="938"/>
      <c r="FT81" s="938">
        <f t="shared" si="301"/>
        <v>0</v>
      </c>
      <c r="FU81" s="938">
        <f t="shared" si="302"/>
        <v>0</v>
      </c>
      <c r="FV81" s="938">
        <f t="shared" si="303"/>
        <v>0</v>
      </c>
      <c r="FW81" s="938">
        <f t="shared" si="304"/>
        <v>0</v>
      </c>
      <c r="FX81" s="938">
        <f t="shared" si="305"/>
        <v>0</v>
      </c>
      <c r="FY81" s="938" t="str">
        <f t="shared" si="306"/>
        <v/>
      </c>
      <c r="FZ81" s="713">
        <f>'min. Düngung 22'!BJ82</f>
        <v>0</v>
      </c>
      <c r="GA81" s="938"/>
      <c r="GB81" s="938"/>
      <c r="GC81" s="938">
        <f t="shared" si="307"/>
        <v>0</v>
      </c>
      <c r="GD81" s="938">
        <f t="shared" si="308"/>
        <v>0</v>
      </c>
      <c r="GE81" s="938">
        <f t="shared" si="309"/>
        <v>0</v>
      </c>
      <c r="GF81" s="938">
        <f t="shared" si="310"/>
        <v>0</v>
      </c>
      <c r="GG81" s="938">
        <f t="shared" si="311"/>
        <v>0</v>
      </c>
      <c r="GH81" s="938" t="str">
        <f t="shared" si="312"/>
        <v/>
      </c>
      <c r="GI81" s="713">
        <f>'min. Düngung 22'!BM82</f>
        <v>0</v>
      </c>
      <c r="GJ81" s="938"/>
      <c r="GK81" s="938"/>
      <c r="GL81" s="938">
        <f t="shared" si="313"/>
        <v>0</v>
      </c>
      <c r="GM81" s="938">
        <f t="shared" si="314"/>
        <v>0</v>
      </c>
      <c r="GN81" s="938">
        <f t="shared" si="315"/>
        <v>0</v>
      </c>
      <c r="GO81" s="938">
        <f t="shared" si="316"/>
        <v>0</v>
      </c>
      <c r="GP81" s="938">
        <f t="shared" si="317"/>
        <v>0</v>
      </c>
      <c r="GQ81" s="938" t="str">
        <f t="shared" si="318"/>
        <v/>
      </c>
      <c r="GR81" s="713">
        <f>'min. Düngung 22'!BP82</f>
        <v>0</v>
      </c>
      <c r="GS81" s="938"/>
      <c r="GT81" s="938"/>
      <c r="GU81" s="938">
        <f t="shared" si="319"/>
        <v>0</v>
      </c>
      <c r="GV81" s="938">
        <f t="shared" si="320"/>
        <v>0</v>
      </c>
      <c r="GW81" s="938">
        <f t="shared" si="321"/>
        <v>0</v>
      </c>
      <c r="GX81" s="938">
        <f t="shared" si="322"/>
        <v>0</v>
      </c>
      <c r="GY81" s="938">
        <f t="shared" si="323"/>
        <v>0</v>
      </c>
      <c r="GZ81" s="938" t="str">
        <f t="shared" si="324"/>
        <v/>
      </c>
      <c r="HA81" s="713">
        <f>'min. Düngung 22'!BS82</f>
        <v>0</v>
      </c>
      <c r="HB81" s="938"/>
      <c r="HC81" s="938"/>
      <c r="HD81" s="938">
        <f t="shared" si="325"/>
        <v>0</v>
      </c>
      <c r="HE81" s="938">
        <f t="shared" si="326"/>
        <v>0</v>
      </c>
      <c r="HF81" s="938">
        <f t="shared" si="327"/>
        <v>0</v>
      </c>
      <c r="HG81" s="938">
        <f t="shared" si="328"/>
        <v>0</v>
      </c>
      <c r="HH81" s="938">
        <f t="shared" si="329"/>
        <v>0</v>
      </c>
      <c r="HI81" s="938" t="str">
        <f t="shared" si="330"/>
        <v/>
      </c>
      <c r="HJ81" s="713">
        <f>'min. Düngung 22'!BV82</f>
        <v>0</v>
      </c>
      <c r="HK81" s="938"/>
      <c r="HL81" s="938"/>
      <c r="HM81" s="938">
        <f t="shared" si="331"/>
        <v>0</v>
      </c>
      <c r="HN81" s="938">
        <f t="shared" si="332"/>
        <v>0</v>
      </c>
      <c r="HO81" s="938">
        <f t="shared" si="333"/>
        <v>0</v>
      </c>
      <c r="HP81" s="938">
        <f t="shared" si="334"/>
        <v>0</v>
      </c>
      <c r="HQ81" s="938">
        <f t="shared" si="335"/>
        <v>0</v>
      </c>
      <c r="HR81" s="938" t="str">
        <f t="shared" si="336"/>
        <v/>
      </c>
      <c r="HS81" s="713">
        <f>'min. Düngung 22'!BY82</f>
        <v>0</v>
      </c>
      <c r="HT81" s="938"/>
      <c r="HU81" s="938"/>
      <c r="HV81" s="938">
        <f t="shared" si="337"/>
        <v>0</v>
      </c>
      <c r="HW81" s="938">
        <f t="shared" si="338"/>
        <v>0</v>
      </c>
      <c r="HX81" s="938">
        <f t="shared" si="339"/>
        <v>0</v>
      </c>
      <c r="HY81" s="938">
        <f t="shared" si="340"/>
        <v>0</v>
      </c>
      <c r="HZ81" s="938">
        <f t="shared" si="341"/>
        <v>0</v>
      </c>
      <c r="IA81" s="938" t="str">
        <f t="shared" si="342"/>
        <v/>
      </c>
      <c r="IB81" s="713">
        <f>'min. Düngung 22'!CB82</f>
        <v>0</v>
      </c>
      <c r="IC81" s="938"/>
      <c r="ID81" s="938"/>
      <c r="IE81" s="938">
        <f t="shared" si="343"/>
        <v>0</v>
      </c>
      <c r="IF81" s="938">
        <f t="shared" si="344"/>
        <v>0</v>
      </c>
      <c r="IG81" s="938">
        <f t="shared" si="345"/>
        <v>0</v>
      </c>
      <c r="IH81" s="938">
        <f t="shared" si="346"/>
        <v>0</v>
      </c>
      <c r="II81" s="938">
        <f t="shared" si="347"/>
        <v>0</v>
      </c>
      <c r="IJ81" s="938" t="str">
        <f t="shared" si="348"/>
        <v/>
      </c>
      <c r="IK81" s="713">
        <f>'min. Düngung 22'!CE82</f>
        <v>0</v>
      </c>
      <c r="IL81" s="938"/>
      <c r="IM81" s="938"/>
      <c r="IN81" s="938">
        <f t="shared" si="349"/>
        <v>0</v>
      </c>
      <c r="IO81" s="938">
        <f t="shared" si="350"/>
        <v>0</v>
      </c>
      <c r="IP81" s="938">
        <f t="shared" si="351"/>
        <v>0</v>
      </c>
      <c r="IQ81" s="938">
        <f t="shared" si="352"/>
        <v>0</v>
      </c>
      <c r="IR81" s="938">
        <f t="shared" si="353"/>
        <v>0</v>
      </c>
      <c r="IS81" s="938" t="str">
        <f t="shared" si="354"/>
        <v/>
      </c>
      <c r="IT81" s="713">
        <f>'min. Düngung 22'!CH82</f>
        <v>0</v>
      </c>
      <c r="IU81" s="938"/>
      <c r="IV81" s="938"/>
      <c r="IW81" s="938">
        <f t="shared" si="355"/>
        <v>0</v>
      </c>
      <c r="IX81" s="938">
        <f t="shared" si="356"/>
        <v>0</v>
      </c>
      <c r="IY81" s="938">
        <f t="shared" si="357"/>
        <v>0</v>
      </c>
      <c r="IZ81" s="938">
        <f t="shared" si="358"/>
        <v>0</v>
      </c>
      <c r="JA81" s="938">
        <f t="shared" si="359"/>
        <v>0</v>
      </c>
      <c r="JB81" s="938" t="str">
        <f t="shared" si="360"/>
        <v/>
      </c>
      <c r="JC81" s="713">
        <f>'min. Düngung 22'!CK82</f>
        <v>0</v>
      </c>
      <c r="JD81" s="938"/>
      <c r="JE81" s="938"/>
      <c r="JF81" s="938">
        <f t="shared" si="361"/>
        <v>0</v>
      </c>
      <c r="JG81" s="938">
        <f t="shared" si="362"/>
        <v>0</v>
      </c>
      <c r="JH81" s="938">
        <f t="shared" si="363"/>
        <v>0</v>
      </c>
      <c r="JI81" s="938">
        <f t="shared" si="364"/>
        <v>0</v>
      </c>
      <c r="JJ81" s="938">
        <f t="shared" si="365"/>
        <v>0</v>
      </c>
      <c r="JK81" s="938" t="str">
        <f t="shared" si="366"/>
        <v/>
      </c>
      <c r="JL81" s="713">
        <f>'min. Düngung 22'!CN82</f>
        <v>0</v>
      </c>
      <c r="JM81" s="938"/>
      <c r="JN81" s="938"/>
      <c r="JO81" s="938">
        <f t="shared" si="367"/>
        <v>0</v>
      </c>
      <c r="JP81" s="938">
        <f t="shared" si="368"/>
        <v>0</v>
      </c>
      <c r="JQ81" s="938">
        <f t="shared" si="369"/>
        <v>0</v>
      </c>
      <c r="JR81" s="938">
        <f t="shared" si="370"/>
        <v>0</v>
      </c>
      <c r="JS81" s="938">
        <f t="shared" si="371"/>
        <v>0</v>
      </c>
      <c r="JT81" s="938" t="str">
        <f t="shared" si="372"/>
        <v/>
      </c>
      <c r="JU81" s="713">
        <f>'min. Düngung 22'!CQ82</f>
        <v>0</v>
      </c>
      <c r="JV81" s="938"/>
      <c r="JW81" s="938"/>
      <c r="JX81" s="938">
        <f t="shared" si="373"/>
        <v>0</v>
      </c>
      <c r="JY81" s="938">
        <f t="shared" si="374"/>
        <v>0</v>
      </c>
      <c r="JZ81" s="938">
        <f t="shared" si="375"/>
        <v>0</v>
      </c>
      <c r="KA81" s="938">
        <f t="shared" si="376"/>
        <v>0</v>
      </c>
      <c r="KB81" s="938">
        <f t="shared" si="377"/>
        <v>0</v>
      </c>
      <c r="KC81" s="938" t="str">
        <f t="shared" si="378"/>
        <v/>
      </c>
      <c r="KE81" s="938"/>
      <c r="KF81" s="938" t="str">
        <f>IF(AND($F81=2,$G81=1),"",IF(OR($Q81&gt;0,$O81&gt;60),$KF$7,IF(I81=70,"",IF(AND(I81=80,R81+'#orgDung'!AC84&lt;60,K81=1,OR(C81=2,'#BerechnungDBE'!AH75=4)),"",IF(R81&gt;0,$KF$7,"")))))</f>
        <v/>
      </c>
      <c r="KG81" s="938" t="str">
        <f>IF(AND(P81&gt;'#BerechnungDBE'!BJ75,P81&gt;0),'#minDung'!$KG$7,"")</f>
        <v/>
      </c>
      <c r="KH81" s="938" t="str">
        <f>IF(AND(I81=70,R81&gt;'#BerechnungDBE'!CR75),'#minDung'!$KH$7,"")</f>
        <v/>
      </c>
      <c r="KI81" s="938" t="str">
        <f>IF('#BerechnungDBE'!P75&lt;4,"",IF(AND('#BerechnungDBE'!BZ75&gt;0,N81&gt;0),$KI$7,""))</f>
        <v/>
      </c>
      <c r="KJ81" s="938" t="str">
        <f t="shared" si="197"/>
        <v/>
      </c>
    </row>
    <row r="82" spans="1:296" s="875" customFormat="1" hidden="1" x14ac:dyDescent="0.2">
      <c r="A82" s="875">
        <f>'Flächen u. Kulturen'!A81</f>
        <v>72</v>
      </c>
      <c r="B82" s="734">
        <f>'#BerechnungDBE'!L76</f>
        <v>0</v>
      </c>
      <c r="C82" s="46">
        <f>'#orgDung'!C85</f>
        <v>1</v>
      </c>
      <c r="D82" s="875">
        <f>'#BerechnungDBE'!T76</f>
        <v>2</v>
      </c>
      <c r="E82" s="875" t="str">
        <f>'Flächen u. Kulturen'!E81</f>
        <v>x</v>
      </c>
      <c r="F82" s="52">
        <f>'#BerechnungDBE'!N76</f>
        <v>1</v>
      </c>
      <c r="G82" s="52">
        <f>'#BerechnungDBE'!O76</f>
        <v>1</v>
      </c>
      <c r="H82" s="505">
        <f>'#orgDung'!J85</f>
        <v>2</v>
      </c>
      <c r="I82" s="875">
        <f>'#BerechnungDBE'!AF76</f>
        <v>0</v>
      </c>
      <c r="J82" s="875">
        <f>'#orgDung'!M85</f>
        <v>0</v>
      </c>
      <c r="K82" s="875">
        <f>'#BerechnungDBE'!AG76</f>
        <v>0</v>
      </c>
      <c r="M82" s="875">
        <f t="shared" si="192"/>
        <v>0</v>
      </c>
      <c r="N82" s="875">
        <f t="shared" si="193"/>
        <v>0</v>
      </c>
      <c r="O82" s="875">
        <f t="shared" si="194"/>
        <v>0</v>
      </c>
      <c r="P82" s="875">
        <f t="shared" si="195"/>
        <v>0</v>
      </c>
      <c r="Q82" s="938">
        <f t="shared" si="198"/>
        <v>0</v>
      </c>
      <c r="R82" s="875">
        <f t="shared" si="196"/>
        <v>0</v>
      </c>
      <c r="T82" s="713">
        <f>'min. Düngung 22'!H83</f>
        <v>0</v>
      </c>
      <c r="W82" s="875">
        <f t="shared" si="199"/>
        <v>0</v>
      </c>
      <c r="X82" s="875">
        <f t="shared" si="200"/>
        <v>0</v>
      </c>
      <c r="Y82" s="875">
        <f t="shared" si="201"/>
        <v>0</v>
      </c>
      <c r="Z82" s="875">
        <f t="shared" si="202"/>
        <v>0</v>
      </c>
      <c r="AA82" s="875">
        <f t="shared" si="203"/>
        <v>0</v>
      </c>
      <c r="AB82" s="875" t="str">
        <f t="shared" si="204"/>
        <v/>
      </c>
      <c r="AC82" s="713">
        <f>'min. Düngung 22'!K83</f>
        <v>0</v>
      </c>
      <c r="AD82" s="938"/>
      <c r="AE82" s="938"/>
      <c r="AF82" s="938">
        <f t="shared" si="205"/>
        <v>0</v>
      </c>
      <c r="AG82" s="938">
        <f t="shared" si="206"/>
        <v>0</v>
      </c>
      <c r="AH82" s="938">
        <f t="shared" si="207"/>
        <v>0</v>
      </c>
      <c r="AI82" s="938">
        <f t="shared" si="208"/>
        <v>0</v>
      </c>
      <c r="AJ82" s="938">
        <f t="shared" si="209"/>
        <v>0</v>
      </c>
      <c r="AK82" s="938">
        <f t="shared" si="210"/>
        <v>0</v>
      </c>
      <c r="AL82" s="713">
        <f>'min. Düngung 22'!N83</f>
        <v>0</v>
      </c>
      <c r="AM82" s="938"/>
      <c r="AN82" s="938"/>
      <c r="AO82" s="938">
        <f t="shared" si="211"/>
        <v>0</v>
      </c>
      <c r="AP82" s="938">
        <f t="shared" si="212"/>
        <v>0</v>
      </c>
      <c r="AQ82" s="938">
        <f t="shared" si="213"/>
        <v>0</v>
      </c>
      <c r="AR82" s="938">
        <f t="shared" si="214"/>
        <v>0</v>
      </c>
      <c r="AS82" s="938">
        <f t="shared" si="215"/>
        <v>0</v>
      </c>
      <c r="AT82" s="938" t="str">
        <f t="shared" si="216"/>
        <v/>
      </c>
      <c r="AU82" s="713">
        <f>'min. Düngung 22'!Q83</f>
        <v>0</v>
      </c>
      <c r="AV82" s="938"/>
      <c r="AW82" s="938"/>
      <c r="AX82" s="938">
        <f t="shared" si="217"/>
        <v>0</v>
      </c>
      <c r="AY82" s="938">
        <f t="shared" si="218"/>
        <v>0</v>
      </c>
      <c r="AZ82" s="938">
        <f t="shared" si="219"/>
        <v>0</v>
      </c>
      <c r="BA82" s="938">
        <f t="shared" si="220"/>
        <v>0</v>
      </c>
      <c r="BB82" s="938">
        <f t="shared" si="221"/>
        <v>0</v>
      </c>
      <c r="BC82" s="938" t="str">
        <f t="shared" si="222"/>
        <v/>
      </c>
      <c r="BD82" s="713">
        <f>'min. Düngung 22'!T83</f>
        <v>0</v>
      </c>
      <c r="BE82" s="938"/>
      <c r="BF82" s="938"/>
      <c r="BG82" s="938">
        <f t="shared" si="223"/>
        <v>0</v>
      </c>
      <c r="BH82" s="938">
        <f t="shared" si="224"/>
        <v>0</v>
      </c>
      <c r="BI82" s="938">
        <f t="shared" si="225"/>
        <v>0</v>
      </c>
      <c r="BJ82" s="938">
        <f t="shared" si="226"/>
        <v>0</v>
      </c>
      <c r="BK82" s="938">
        <f t="shared" si="227"/>
        <v>0</v>
      </c>
      <c r="BL82" s="938" t="str">
        <f t="shared" si="228"/>
        <v/>
      </c>
      <c r="BM82" s="713">
        <f>'min. Düngung 22'!W83</f>
        <v>0</v>
      </c>
      <c r="BN82" s="938"/>
      <c r="BO82" s="938"/>
      <c r="BP82" s="938">
        <f t="shared" si="229"/>
        <v>0</v>
      </c>
      <c r="BQ82" s="938">
        <f t="shared" si="230"/>
        <v>0</v>
      </c>
      <c r="BR82" s="938">
        <f t="shared" si="231"/>
        <v>0</v>
      </c>
      <c r="BS82" s="938">
        <f t="shared" si="232"/>
        <v>0</v>
      </c>
      <c r="BT82" s="938">
        <f t="shared" si="233"/>
        <v>0</v>
      </c>
      <c r="BU82" s="938" t="str">
        <f t="shared" si="234"/>
        <v/>
      </c>
      <c r="BV82" s="713">
        <f>'min. Düngung 22'!Z83</f>
        <v>0</v>
      </c>
      <c r="BW82" s="938"/>
      <c r="BX82" s="938"/>
      <c r="BY82" s="938">
        <f t="shared" si="235"/>
        <v>0</v>
      </c>
      <c r="BZ82" s="938">
        <f t="shared" si="236"/>
        <v>0</v>
      </c>
      <c r="CA82" s="938">
        <f t="shared" si="237"/>
        <v>0</v>
      </c>
      <c r="CB82" s="938">
        <f t="shared" si="238"/>
        <v>0</v>
      </c>
      <c r="CC82" s="938">
        <f t="shared" si="239"/>
        <v>0</v>
      </c>
      <c r="CD82" s="938" t="str">
        <f t="shared" si="240"/>
        <v/>
      </c>
      <c r="CE82" s="713">
        <f>'min. Düngung 22'!AC83</f>
        <v>0</v>
      </c>
      <c r="CF82" s="938"/>
      <c r="CG82" s="938"/>
      <c r="CH82" s="938">
        <f t="shared" si="241"/>
        <v>0</v>
      </c>
      <c r="CI82" s="938">
        <f t="shared" si="242"/>
        <v>0</v>
      </c>
      <c r="CJ82" s="938">
        <f t="shared" si="243"/>
        <v>0</v>
      </c>
      <c r="CK82" s="938">
        <f t="shared" si="244"/>
        <v>0</v>
      </c>
      <c r="CL82" s="938">
        <f t="shared" si="245"/>
        <v>0</v>
      </c>
      <c r="CM82" s="938" t="str">
        <f t="shared" si="246"/>
        <v/>
      </c>
      <c r="CN82" s="713">
        <f>'min. Düngung 22'!AF83</f>
        <v>0</v>
      </c>
      <c r="CO82" s="938"/>
      <c r="CP82" s="938"/>
      <c r="CQ82" s="938">
        <f t="shared" si="247"/>
        <v>0</v>
      </c>
      <c r="CR82" s="938">
        <f t="shared" si="248"/>
        <v>0</v>
      </c>
      <c r="CS82" s="938">
        <f t="shared" si="249"/>
        <v>0</v>
      </c>
      <c r="CT82" s="938">
        <f t="shared" si="250"/>
        <v>0</v>
      </c>
      <c r="CU82" s="938">
        <f t="shared" si="251"/>
        <v>0</v>
      </c>
      <c r="CV82" s="938" t="str">
        <f t="shared" si="252"/>
        <v/>
      </c>
      <c r="CW82" s="713">
        <f>'min. Düngung 22'!AI83</f>
        <v>0</v>
      </c>
      <c r="CX82" s="938"/>
      <c r="CY82" s="938"/>
      <c r="CZ82" s="938">
        <f t="shared" si="253"/>
        <v>0</v>
      </c>
      <c r="DA82" s="938">
        <f t="shared" si="254"/>
        <v>0</v>
      </c>
      <c r="DB82" s="938">
        <f t="shared" si="255"/>
        <v>0</v>
      </c>
      <c r="DC82" s="938">
        <f t="shared" si="256"/>
        <v>0</v>
      </c>
      <c r="DD82" s="938">
        <f t="shared" si="257"/>
        <v>0</v>
      </c>
      <c r="DE82" s="938" t="str">
        <f t="shared" si="258"/>
        <v/>
      </c>
      <c r="DF82" s="713">
        <f>'min. Düngung 22'!AL83</f>
        <v>0</v>
      </c>
      <c r="DG82" s="938"/>
      <c r="DH82" s="938"/>
      <c r="DI82" s="938">
        <f t="shared" si="259"/>
        <v>0</v>
      </c>
      <c r="DJ82" s="938">
        <f t="shared" si="260"/>
        <v>0</v>
      </c>
      <c r="DK82" s="938">
        <f t="shared" si="261"/>
        <v>0</v>
      </c>
      <c r="DL82" s="938">
        <f t="shared" si="262"/>
        <v>0</v>
      </c>
      <c r="DM82" s="938">
        <f t="shared" si="263"/>
        <v>0</v>
      </c>
      <c r="DN82" s="938" t="str">
        <f t="shared" si="264"/>
        <v/>
      </c>
      <c r="DO82" s="713">
        <f>'min. Düngung 22'!AO83</f>
        <v>0</v>
      </c>
      <c r="DP82" s="938"/>
      <c r="DQ82" s="938"/>
      <c r="DR82" s="938">
        <f t="shared" si="265"/>
        <v>0</v>
      </c>
      <c r="DS82" s="938">
        <f t="shared" si="266"/>
        <v>0</v>
      </c>
      <c r="DT82" s="938">
        <f t="shared" si="267"/>
        <v>0</v>
      </c>
      <c r="DU82" s="938">
        <f t="shared" si="268"/>
        <v>0</v>
      </c>
      <c r="DV82" s="938">
        <f t="shared" si="269"/>
        <v>0</v>
      </c>
      <c r="DW82" s="938" t="str">
        <f t="shared" si="270"/>
        <v/>
      </c>
      <c r="DX82" s="713">
        <f>'min. Düngung 22'!AR83</f>
        <v>0</v>
      </c>
      <c r="DY82" s="938"/>
      <c r="DZ82" s="938"/>
      <c r="EA82" s="938">
        <f t="shared" si="271"/>
        <v>0</v>
      </c>
      <c r="EB82" s="938">
        <f t="shared" si="272"/>
        <v>0</v>
      </c>
      <c r="EC82" s="938">
        <f t="shared" si="273"/>
        <v>0</v>
      </c>
      <c r="ED82" s="938">
        <f t="shared" si="274"/>
        <v>0</v>
      </c>
      <c r="EE82" s="938">
        <f t="shared" si="275"/>
        <v>0</v>
      </c>
      <c r="EF82" s="938" t="str">
        <f t="shared" si="276"/>
        <v/>
      </c>
      <c r="EG82" s="713">
        <f>'min. Düngung 22'!AU83</f>
        <v>0</v>
      </c>
      <c r="EH82" s="938"/>
      <c r="EI82" s="938"/>
      <c r="EJ82" s="938">
        <f t="shared" si="277"/>
        <v>0</v>
      </c>
      <c r="EK82" s="938">
        <f t="shared" si="278"/>
        <v>0</v>
      </c>
      <c r="EL82" s="938">
        <f t="shared" si="279"/>
        <v>0</v>
      </c>
      <c r="EM82" s="938">
        <f t="shared" si="280"/>
        <v>0</v>
      </c>
      <c r="EN82" s="938">
        <f t="shared" si="281"/>
        <v>0</v>
      </c>
      <c r="EO82" s="938" t="str">
        <f t="shared" si="282"/>
        <v/>
      </c>
      <c r="EP82" s="713">
        <f>'min. Düngung 22'!AX83</f>
        <v>0</v>
      </c>
      <c r="EQ82" s="938"/>
      <c r="ER82" s="938"/>
      <c r="ES82" s="938">
        <f t="shared" si="283"/>
        <v>0</v>
      </c>
      <c r="ET82" s="938">
        <f t="shared" si="284"/>
        <v>0</v>
      </c>
      <c r="EU82" s="938">
        <f t="shared" si="285"/>
        <v>0</v>
      </c>
      <c r="EV82" s="938">
        <f t="shared" si="286"/>
        <v>0</v>
      </c>
      <c r="EW82" s="938">
        <f t="shared" si="287"/>
        <v>0</v>
      </c>
      <c r="EX82" s="938" t="str">
        <f t="shared" si="288"/>
        <v/>
      </c>
      <c r="EY82" s="713">
        <f>'min. Düngung 22'!BA83</f>
        <v>0</v>
      </c>
      <c r="EZ82" s="938"/>
      <c r="FA82" s="938"/>
      <c r="FB82" s="938">
        <f t="shared" si="289"/>
        <v>0</v>
      </c>
      <c r="FC82" s="938">
        <f t="shared" si="290"/>
        <v>0</v>
      </c>
      <c r="FD82" s="938">
        <f t="shared" si="291"/>
        <v>0</v>
      </c>
      <c r="FE82" s="938">
        <f t="shared" si="292"/>
        <v>0</v>
      </c>
      <c r="FF82" s="938">
        <f t="shared" si="293"/>
        <v>0</v>
      </c>
      <c r="FG82" s="938" t="str">
        <f t="shared" si="294"/>
        <v/>
      </c>
      <c r="FH82" s="713">
        <f>'min. Düngung 22'!BD83</f>
        <v>0</v>
      </c>
      <c r="FI82" s="938"/>
      <c r="FJ82" s="938"/>
      <c r="FK82" s="938">
        <f t="shared" si="295"/>
        <v>0</v>
      </c>
      <c r="FL82" s="938">
        <f t="shared" si="296"/>
        <v>0</v>
      </c>
      <c r="FM82" s="938">
        <f t="shared" si="297"/>
        <v>0</v>
      </c>
      <c r="FN82" s="938">
        <f t="shared" si="298"/>
        <v>0</v>
      </c>
      <c r="FO82" s="938">
        <f t="shared" si="299"/>
        <v>0</v>
      </c>
      <c r="FP82" s="938" t="str">
        <f t="shared" si="300"/>
        <v/>
      </c>
      <c r="FQ82" s="713">
        <f>'min. Düngung 22'!BG83</f>
        <v>0</v>
      </c>
      <c r="FR82" s="938"/>
      <c r="FS82" s="938"/>
      <c r="FT82" s="938">
        <f t="shared" si="301"/>
        <v>0</v>
      </c>
      <c r="FU82" s="938">
        <f t="shared" si="302"/>
        <v>0</v>
      </c>
      <c r="FV82" s="938">
        <f t="shared" si="303"/>
        <v>0</v>
      </c>
      <c r="FW82" s="938">
        <f t="shared" si="304"/>
        <v>0</v>
      </c>
      <c r="FX82" s="938">
        <f t="shared" si="305"/>
        <v>0</v>
      </c>
      <c r="FY82" s="938" t="str">
        <f t="shared" si="306"/>
        <v/>
      </c>
      <c r="FZ82" s="713">
        <f>'min. Düngung 22'!BJ83</f>
        <v>0</v>
      </c>
      <c r="GA82" s="938"/>
      <c r="GB82" s="938"/>
      <c r="GC82" s="938">
        <f t="shared" si="307"/>
        <v>0</v>
      </c>
      <c r="GD82" s="938">
        <f t="shared" si="308"/>
        <v>0</v>
      </c>
      <c r="GE82" s="938">
        <f t="shared" si="309"/>
        <v>0</v>
      </c>
      <c r="GF82" s="938">
        <f t="shared" si="310"/>
        <v>0</v>
      </c>
      <c r="GG82" s="938">
        <f t="shared" si="311"/>
        <v>0</v>
      </c>
      <c r="GH82" s="938" t="str">
        <f t="shared" si="312"/>
        <v/>
      </c>
      <c r="GI82" s="713">
        <f>'min. Düngung 22'!BM83</f>
        <v>0</v>
      </c>
      <c r="GJ82" s="938"/>
      <c r="GK82" s="938"/>
      <c r="GL82" s="938">
        <f t="shared" si="313"/>
        <v>0</v>
      </c>
      <c r="GM82" s="938">
        <f t="shared" si="314"/>
        <v>0</v>
      </c>
      <c r="GN82" s="938">
        <f t="shared" si="315"/>
        <v>0</v>
      </c>
      <c r="GO82" s="938">
        <f t="shared" si="316"/>
        <v>0</v>
      </c>
      <c r="GP82" s="938">
        <f t="shared" si="317"/>
        <v>0</v>
      </c>
      <c r="GQ82" s="938" t="str">
        <f t="shared" si="318"/>
        <v/>
      </c>
      <c r="GR82" s="713">
        <f>'min. Düngung 22'!BP83</f>
        <v>0</v>
      </c>
      <c r="GS82" s="938"/>
      <c r="GT82" s="938"/>
      <c r="GU82" s="938">
        <f t="shared" si="319"/>
        <v>0</v>
      </c>
      <c r="GV82" s="938">
        <f t="shared" si="320"/>
        <v>0</v>
      </c>
      <c r="GW82" s="938">
        <f t="shared" si="321"/>
        <v>0</v>
      </c>
      <c r="GX82" s="938">
        <f t="shared" si="322"/>
        <v>0</v>
      </c>
      <c r="GY82" s="938">
        <f t="shared" si="323"/>
        <v>0</v>
      </c>
      <c r="GZ82" s="938" t="str">
        <f t="shared" si="324"/>
        <v/>
      </c>
      <c r="HA82" s="713">
        <f>'min. Düngung 22'!BS83</f>
        <v>0</v>
      </c>
      <c r="HB82" s="938"/>
      <c r="HC82" s="938"/>
      <c r="HD82" s="938">
        <f t="shared" si="325"/>
        <v>0</v>
      </c>
      <c r="HE82" s="938">
        <f t="shared" si="326"/>
        <v>0</v>
      </c>
      <c r="HF82" s="938">
        <f t="shared" si="327"/>
        <v>0</v>
      </c>
      <c r="HG82" s="938">
        <f t="shared" si="328"/>
        <v>0</v>
      </c>
      <c r="HH82" s="938">
        <f t="shared" si="329"/>
        <v>0</v>
      </c>
      <c r="HI82" s="938" t="str">
        <f t="shared" si="330"/>
        <v/>
      </c>
      <c r="HJ82" s="713">
        <f>'min. Düngung 22'!BV83</f>
        <v>0</v>
      </c>
      <c r="HK82" s="938"/>
      <c r="HL82" s="938"/>
      <c r="HM82" s="938">
        <f t="shared" si="331"/>
        <v>0</v>
      </c>
      <c r="HN82" s="938">
        <f t="shared" si="332"/>
        <v>0</v>
      </c>
      <c r="HO82" s="938">
        <f t="shared" si="333"/>
        <v>0</v>
      </c>
      <c r="HP82" s="938">
        <f t="shared" si="334"/>
        <v>0</v>
      </c>
      <c r="HQ82" s="938">
        <f t="shared" si="335"/>
        <v>0</v>
      </c>
      <c r="HR82" s="938" t="str">
        <f t="shared" si="336"/>
        <v/>
      </c>
      <c r="HS82" s="713">
        <f>'min. Düngung 22'!BY83</f>
        <v>0</v>
      </c>
      <c r="HT82" s="938"/>
      <c r="HU82" s="938"/>
      <c r="HV82" s="938">
        <f t="shared" si="337"/>
        <v>0</v>
      </c>
      <c r="HW82" s="938">
        <f t="shared" si="338"/>
        <v>0</v>
      </c>
      <c r="HX82" s="938">
        <f t="shared" si="339"/>
        <v>0</v>
      </c>
      <c r="HY82" s="938">
        <f t="shared" si="340"/>
        <v>0</v>
      </c>
      <c r="HZ82" s="938">
        <f t="shared" si="341"/>
        <v>0</v>
      </c>
      <c r="IA82" s="938" t="str">
        <f t="shared" si="342"/>
        <v/>
      </c>
      <c r="IB82" s="713">
        <f>'min. Düngung 22'!CB83</f>
        <v>0</v>
      </c>
      <c r="IC82" s="938"/>
      <c r="ID82" s="938"/>
      <c r="IE82" s="938">
        <f t="shared" si="343"/>
        <v>0</v>
      </c>
      <c r="IF82" s="938">
        <f t="shared" si="344"/>
        <v>0</v>
      </c>
      <c r="IG82" s="938">
        <f t="shared" si="345"/>
        <v>0</v>
      </c>
      <c r="IH82" s="938">
        <f t="shared" si="346"/>
        <v>0</v>
      </c>
      <c r="II82" s="938">
        <f t="shared" si="347"/>
        <v>0</v>
      </c>
      <c r="IJ82" s="938" t="str">
        <f t="shared" si="348"/>
        <v/>
      </c>
      <c r="IK82" s="713">
        <f>'min. Düngung 22'!CE83</f>
        <v>0</v>
      </c>
      <c r="IL82" s="938"/>
      <c r="IM82" s="938"/>
      <c r="IN82" s="938">
        <f t="shared" si="349"/>
        <v>0</v>
      </c>
      <c r="IO82" s="938">
        <f t="shared" si="350"/>
        <v>0</v>
      </c>
      <c r="IP82" s="938">
        <f t="shared" si="351"/>
        <v>0</v>
      </c>
      <c r="IQ82" s="938">
        <f t="shared" si="352"/>
        <v>0</v>
      </c>
      <c r="IR82" s="938">
        <f t="shared" si="353"/>
        <v>0</v>
      </c>
      <c r="IS82" s="938" t="str">
        <f t="shared" si="354"/>
        <v/>
      </c>
      <c r="IT82" s="713">
        <f>'min. Düngung 22'!CH83</f>
        <v>0</v>
      </c>
      <c r="IU82" s="938"/>
      <c r="IV82" s="938"/>
      <c r="IW82" s="938">
        <f t="shared" si="355"/>
        <v>0</v>
      </c>
      <c r="IX82" s="938">
        <f t="shared" si="356"/>
        <v>0</v>
      </c>
      <c r="IY82" s="938">
        <f t="shared" si="357"/>
        <v>0</v>
      </c>
      <c r="IZ82" s="938">
        <f t="shared" si="358"/>
        <v>0</v>
      </c>
      <c r="JA82" s="938">
        <f t="shared" si="359"/>
        <v>0</v>
      </c>
      <c r="JB82" s="938" t="str">
        <f t="shared" si="360"/>
        <v/>
      </c>
      <c r="JC82" s="713">
        <f>'min. Düngung 22'!CK83</f>
        <v>0</v>
      </c>
      <c r="JD82" s="938"/>
      <c r="JE82" s="938"/>
      <c r="JF82" s="938">
        <f t="shared" si="361"/>
        <v>0</v>
      </c>
      <c r="JG82" s="938">
        <f t="shared" si="362"/>
        <v>0</v>
      </c>
      <c r="JH82" s="938">
        <f t="shared" si="363"/>
        <v>0</v>
      </c>
      <c r="JI82" s="938">
        <f t="shared" si="364"/>
        <v>0</v>
      </c>
      <c r="JJ82" s="938">
        <f t="shared" si="365"/>
        <v>0</v>
      </c>
      <c r="JK82" s="938" t="str">
        <f t="shared" si="366"/>
        <v/>
      </c>
      <c r="JL82" s="713">
        <f>'min. Düngung 22'!CN83</f>
        <v>0</v>
      </c>
      <c r="JM82" s="938"/>
      <c r="JN82" s="938"/>
      <c r="JO82" s="938">
        <f t="shared" si="367"/>
        <v>0</v>
      </c>
      <c r="JP82" s="938">
        <f t="shared" si="368"/>
        <v>0</v>
      </c>
      <c r="JQ82" s="938">
        <f t="shared" si="369"/>
        <v>0</v>
      </c>
      <c r="JR82" s="938">
        <f t="shared" si="370"/>
        <v>0</v>
      </c>
      <c r="JS82" s="938">
        <f t="shared" si="371"/>
        <v>0</v>
      </c>
      <c r="JT82" s="938" t="str">
        <f t="shared" si="372"/>
        <v/>
      </c>
      <c r="JU82" s="713">
        <f>'min. Düngung 22'!CQ83</f>
        <v>0</v>
      </c>
      <c r="JV82" s="938"/>
      <c r="JW82" s="938"/>
      <c r="JX82" s="938">
        <f t="shared" si="373"/>
        <v>0</v>
      </c>
      <c r="JY82" s="938">
        <f t="shared" si="374"/>
        <v>0</v>
      </c>
      <c r="JZ82" s="938">
        <f t="shared" si="375"/>
        <v>0</v>
      </c>
      <c r="KA82" s="938">
        <f t="shared" si="376"/>
        <v>0</v>
      </c>
      <c r="KB82" s="938">
        <f t="shared" si="377"/>
        <v>0</v>
      </c>
      <c r="KC82" s="938" t="str">
        <f t="shared" si="378"/>
        <v/>
      </c>
      <c r="KE82" s="938"/>
      <c r="KF82" s="938" t="str">
        <f>IF(AND($F82=2,$G82=1),"",IF(OR($Q82&gt;0,$O82&gt;60),$KF$7,IF(I82=70,"",IF(AND(I82=80,R82+'#orgDung'!AC85&lt;60,K82=1,OR(C82=2,'#BerechnungDBE'!AH76=4)),"",IF(R82&gt;0,$KF$7,"")))))</f>
        <v/>
      </c>
      <c r="KG82" s="938" t="str">
        <f>IF(AND(P82&gt;'#BerechnungDBE'!BJ76,P82&gt;0),'#minDung'!$KG$7,"")</f>
        <v/>
      </c>
      <c r="KH82" s="938" t="str">
        <f>IF(AND(I82=70,R82&gt;'#BerechnungDBE'!CR76),'#minDung'!$KH$7,"")</f>
        <v/>
      </c>
      <c r="KI82" s="938" t="str">
        <f>IF('#BerechnungDBE'!P76&lt;4,"",IF(AND('#BerechnungDBE'!BZ76&gt;0,N82&gt;0),$KI$7,""))</f>
        <v/>
      </c>
      <c r="KJ82" s="938" t="str">
        <f t="shared" si="197"/>
        <v/>
      </c>
    </row>
    <row r="83" spans="1:296" s="875" customFormat="1" hidden="1" x14ac:dyDescent="0.2">
      <c r="A83" s="875">
        <f>'Flächen u. Kulturen'!A82</f>
        <v>73</v>
      </c>
      <c r="B83" s="734">
        <f>'#BerechnungDBE'!L77</f>
        <v>0</v>
      </c>
      <c r="C83" s="46">
        <f>'#orgDung'!C86</f>
        <v>1</v>
      </c>
      <c r="D83" s="875">
        <f>'#BerechnungDBE'!T77</f>
        <v>2</v>
      </c>
      <c r="E83" s="875" t="str">
        <f>'Flächen u. Kulturen'!E82</f>
        <v>x</v>
      </c>
      <c r="F83" s="52">
        <f>'#BerechnungDBE'!N77</f>
        <v>1</v>
      </c>
      <c r="G83" s="52">
        <f>'#BerechnungDBE'!O77</f>
        <v>1</v>
      </c>
      <c r="H83" s="505">
        <f>'#orgDung'!J86</f>
        <v>2</v>
      </c>
      <c r="I83" s="875">
        <f>'#BerechnungDBE'!AF77</f>
        <v>0</v>
      </c>
      <c r="J83" s="875">
        <f>'#orgDung'!M86</f>
        <v>0</v>
      </c>
      <c r="K83" s="875">
        <f>'#BerechnungDBE'!AG77</f>
        <v>0</v>
      </c>
      <c r="M83" s="875">
        <f t="shared" si="192"/>
        <v>0</v>
      </c>
      <c r="N83" s="875">
        <f t="shared" si="193"/>
        <v>0</v>
      </c>
      <c r="O83" s="875">
        <f t="shared" si="194"/>
        <v>0</v>
      </c>
      <c r="P83" s="875">
        <f t="shared" si="195"/>
        <v>0</v>
      </c>
      <c r="Q83" s="938">
        <f t="shared" si="198"/>
        <v>0</v>
      </c>
      <c r="R83" s="875">
        <f t="shared" si="196"/>
        <v>0</v>
      </c>
      <c r="T83" s="713">
        <f>'min. Düngung 22'!H84</f>
        <v>0</v>
      </c>
      <c r="W83" s="875">
        <f t="shared" si="199"/>
        <v>0</v>
      </c>
      <c r="X83" s="875">
        <f t="shared" si="200"/>
        <v>0</v>
      </c>
      <c r="Y83" s="875">
        <f t="shared" si="201"/>
        <v>0</v>
      </c>
      <c r="Z83" s="875">
        <f t="shared" si="202"/>
        <v>0</v>
      </c>
      <c r="AA83" s="875">
        <f t="shared" si="203"/>
        <v>0</v>
      </c>
      <c r="AB83" s="875" t="str">
        <f t="shared" si="204"/>
        <v/>
      </c>
      <c r="AC83" s="713">
        <f>'min. Düngung 22'!K84</f>
        <v>0</v>
      </c>
      <c r="AD83" s="938"/>
      <c r="AE83" s="938"/>
      <c r="AF83" s="938">
        <f t="shared" si="205"/>
        <v>0</v>
      </c>
      <c r="AG83" s="938">
        <f t="shared" si="206"/>
        <v>0</v>
      </c>
      <c r="AH83" s="938">
        <f t="shared" si="207"/>
        <v>0</v>
      </c>
      <c r="AI83" s="938">
        <f t="shared" si="208"/>
        <v>0</v>
      </c>
      <c r="AJ83" s="938">
        <f t="shared" si="209"/>
        <v>0</v>
      </c>
      <c r="AK83" s="938">
        <f t="shared" si="210"/>
        <v>0</v>
      </c>
      <c r="AL83" s="713">
        <f>'min. Düngung 22'!N84</f>
        <v>0</v>
      </c>
      <c r="AM83" s="938"/>
      <c r="AN83" s="938"/>
      <c r="AO83" s="938">
        <f t="shared" si="211"/>
        <v>0</v>
      </c>
      <c r="AP83" s="938">
        <f t="shared" si="212"/>
        <v>0</v>
      </c>
      <c r="AQ83" s="938">
        <f t="shared" si="213"/>
        <v>0</v>
      </c>
      <c r="AR83" s="938">
        <f t="shared" si="214"/>
        <v>0</v>
      </c>
      <c r="AS83" s="938">
        <f t="shared" si="215"/>
        <v>0</v>
      </c>
      <c r="AT83" s="938" t="str">
        <f t="shared" si="216"/>
        <v/>
      </c>
      <c r="AU83" s="713">
        <f>'min. Düngung 22'!Q84</f>
        <v>0</v>
      </c>
      <c r="AV83" s="938"/>
      <c r="AW83" s="938"/>
      <c r="AX83" s="938">
        <f t="shared" si="217"/>
        <v>0</v>
      </c>
      <c r="AY83" s="938">
        <f t="shared" si="218"/>
        <v>0</v>
      </c>
      <c r="AZ83" s="938">
        <f t="shared" si="219"/>
        <v>0</v>
      </c>
      <c r="BA83" s="938">
        <f t="shared" si="220"/>
        <v>0</v>
      </c>
      <c r="BB83" s="938">
        <f t="shared" si="221"/>
        <v>0</v>
      </c>
      <c r="BC83" s="938" t="str">
        <f t="shared" si="222"/>
        <v/>
      </c>
      <c r="BD83" s="713">
        <f>'min. Düngung 22'!T84</f>
        <v>0</v>
      </c>
      <c r="BE83" s="938"/>
      <c r="BF83" s="938"/>
      <c r="BG83" s="938">
        <f t="shared" si="223"/>
        <v>0</v>
      </c>
      <c r="BH83" s="938">
        <f t="shared" si="224"/>
        <v>0</v>
      </c>
      <c r="BI83" s="938">
        <f t="shared" si="225"/>
        <v>0</v>
      </c>
      <c r="BJ83" s="938">
        <f t="shared" si="226"/>
        <v>0</v>
      </c>
      <c r="BK83" s="938">
        <f t="shared" si="227"/>
        <v>0</v>
      </c>
      <c r="BL83" s="938" t="str">
        <f t="shared" si="228"/>
        <v/>
      </c>
      <c r="BM83" s="713">
        <f>'min. Düngung 22'!W84</f>
        <v>0</v>
      </c>
      <c r="BN83" s="938"/>
      <c r="BO83" s="938"/>
      <c r="BP83" s="938">
        <f t="shared" si="229"/>
        <v>0</v>
      </c>
      <c r="BQ83" s="938">
        <f t="shared" si="230"/>
        <v>0</v>
      </c>
      <c r="BR83" s="938">
        <f t="shared" si="231"/>
        <v>0</v>
      </c>
      <c r="BS83" s="938">
        <f t="shared" si="232"/>
        <v>0</v>
      </c>
      <c r="BT83" s="938">
        <f t="shared" si="233"/>
        <v>0</v>
      </c>
      <c r="BU83" s="938" t="str">
        <f t="shared" si="234"/>
        <v/>
      </c>
      <c r="BV83" s="713">
        <f>'min. Düngung 22'!Z84</f>
        <v>0</v>
      </c>
      <c r="BW83" s="938"/>
      <c r="BX83" s="938"/>
      <c r="BY83" s="938">
        <f t="shared" si="235"/>
        <v>0</v>
      </c>
      <c r="BZ83" s="938">
        <f t="shared" si="236"/>
        <v>0</v>
      </c>
      <c r="CA83" s="938">
        <f t="shared" si="237"/>
        <v>0</v>
      </c>
      <c r="CB83" s="938">
        <f t="shared" si="238"/>
        <v>0</v>
      </c>
      <c r="CC83" s="938">
        <f t="shared" si="239"/>
        <v>0</v>
      </c>
      <c r="CD83" s="938" t="str">
        <f t="shared" si="240"/>
        <v/>
      </c>
      <c r="CE83" s="713">
        <f>'min. Düngung 22'!AC84</f>
        <v>0</v>
      </c>
      <c r="CF83" s="938"/>
      <c r="CG83" s="938"/>
      <c r="CH83" s="938">
        <f t="shared" si="241"/>
        <v>0</v>
      </c>
      <c r="CI83" s="938">
        <f t="shared" si="242"/>
        <v>0</v>
      </c>
      <c r="CJ83" s="938">
        <f t="shared" si="243"/>
        <v>0</v>
      </c>
      <c r="CK83" s="938">
        <f t="shared" si="244"/>
        <v>0</v>
      </c>
      <c r="CL83" s="938">
        <f t="shared" si="245"/>
        <v>0</v>
      </c>
      <c r="CM83" s="938" t="str">
        <f t="shared" si="246"/>
        <v/>
      </c>
      <c r="CN83" s="713">
        <f>'min. Düngung 22'!AF84</f>
        <v>0</v>
      </c>
      <c r="CO83" s="938"/>
      <c r="CP83" s="938"/>
      <c r="CQ83" s="938">
        <f t="shared" si="247"/>
        <v>0</v>
      </c>
      <c r="CR83" s="938">
        <f t="shared" si="248"/>
        <v>0</v>
      </c>
      <c r="CS83" s="938">
        <f t="shared" si="249"/>
        <v>0</v>
      </c>
      <c r="CT83" s="938">
        <f t="shared" si="250"/>
        <v>0</v>
      </c>
      <c r="CU83" s="938">
        <f t="shared" si="251"/>
        <v>0</v>
      </c>
      <c r="CV83" s="938" t="str">
        <f t="shared" si="252"/>
        <v/>
      </c>
      <c r="CW83" s="713">
        <f>'min. Düngung 22'!AI84</f>
        <v>0</v>
      </c>
      <c r="CX83" s="938"/>
      <c r="CY83" s="938"/>
      <c r="CZ83" s="938">
        <f t="shared" si="253"/>
        <v>0</v>
      </c>
      <c r="DA83" s="938">
        <f t="shared" si="254"/>
        <v>0</v>
      </c>
      <c r="DB83" s="938">
        <f t="shared" si="255"/>
        <v>0</v>
      </c>
      <c r="DC83" s="938">
        <f t="shared" si="256"/>
        <v>0</v>
      </c>
      <c r="DD83" s="938">
        <f t="shared" si="257"/>
        <v>0</v>
      </c>
      <c r="DE83" s="938" t="str">
        <f t="shared" si="258"/>
        <v/>
      </c>
      <c r="DF83" s="713">
        <f>'min. Düngung 22'!AL84</f>
        <v>0</v>
      </c>
      <c r="DG83" s="938"/>
      <c r="DH83" s="938"/>
      <c r="DI83" s="938">
        <f t="shared" si="259"/>
        <v>0</v>
      </c>
      <c r="DJ83" s="938">
        <f t="shared" si="260"/>
        <v>0</v>
      </c>
      <c r="DK83" s="938">
        <f t="shared" si="261"/>
        <v>0</v>
      </c>
      <c r="DL83" s="938">
        <f t="shared" si="262"/>
        <v>0</v>
      </c>
      <c r="DM83" s="938">
        <f t="shared" si="263"/>
        <v>0</v>
      </c>
      <c r="DN83" s="938" t="str">
        <f t="shared" si="264"/>
        <v/>
      </c>
      <c r="DO83" s="713">
        <f>'min. Düngung 22'!AO84</f>
        <v>0</v>
      </c>
      <c r="DP83" s="938"/>
      <c r="DQ83" s="938"/>
      <c r="DR83" s="938">
        <f t="shared" si="265"/>
        <v>0</v>
      </c>
      <c r="DS83" s="938">
        <f t="shared" si="266"/>
        <v>0</v>
      </c>
      <c r="DT83" s="938">
        <f t="shared" si="267"/>
        <v>0</v>
      </c>
      <c r="DU83" s="938">
        <f t="shared" si="268"/>
        <v>0</v>
      </c>
      <c r="DV83" s="938">
        <f t="shared" si="269"/>
        <v>0</v>
      </c>
      <c r="DW83" s="938" t="str">
        <f t="shared" si="270"/>
        <v/>
      </c>
      <c r="DX83" s="713">
        <f>'min. Düngung 22'!AR84</f>
        <v>0</v>
      </c>
      <c r="DY83" s="938"/>
      <c r="DZ83" s="938"/>
      <c r="EA83" s="938">
        <f t="shared" si="271"/>
        <v>0</v>
      </c>
      <c r="EB83" s="938">
        <f t="shared" si="272"/>
        <v>0</v>
      </c>
      <c r="EC83" s="938">
        <f t="shared" si="273"/>
        <v>0</v>
      </c>
      <c r="ED83" s="938">
        <f t="shared" si="274"/>
        <v>0</v>
      </c>
      <c r="EE83" s="938">
        <f t="shared" si="275"/>
        <v>0</v>
      </c>
      <c r="EF83" s="938" t="str">
        <f t="shared" si="276"/>
        <v/>
      </c>
      <c r="EG83" s="713">
        <f>'min. Düngung 22'!AU84</f>
        <v>0</v>
      </c>
      <c r="EH83" s="938"/>
      <c r="EI83" s="938"/>
      <c r="EJ83" s="938">
        <f t="shared" si="277"/>
        <v>0</v>
      </c>
      <c r="EK83" s="938">
        <f t="shared" si="278"/>
        <v>0</v>
      </c>
      <c r="EL83" s="938">
        <f t="shared" si="279"/>
        <v>0</v>
      </c>
      <c r="EM83" s="938">
        <f t="shared" si="280"/>
        <v>0</v>
      </c>
      <c r="EN83" s="938">
        <f t="shared" si="281"/>
        <v>0</v>
      </c>
      <c r="EO83" s="938" t="str">
        <f t="shared" si="282"/>
        <v/>
      </c>
      <c r="EP83" s="713">
        <f>'min. Düngung 22'!AX84</f>
        <v>0</v>
      </c>
      <c r="EQ83" s="938"/>
      <c r="ER83" s="938"/>
      <c r="ES83" s="938">
        <f t="shared" si="283"/>
        <v>0</v>
      </c>
      <c r="ET83" s="938">
        <f t="shared" si="284"/>
        <v>0</v>
      </c>
      <c r="EU83" s="938">
        <f t="shared" si="285"/>
        <v>0</v>
      </c>
      <c r="EV83" s="938">
        <f t="shared" si="286"/>
        <v>0</v>
      </c>
      <c r="EW83" s="938">
        <f t="shared" si="287"/>
        <v>0</v>
      </c>
      <c r="EX83" s="938" t="str">
        <f t="shared" si="288"/>
        <v/>
      </c>
      <c r="EY83" s="713">
        <f>'min. Düngung 22'!BA84</f>
        <v>0</v>
      </c>
      <c r="EZ83" s="938"/>
      <c r="FA83" s="938"/>
      <c r="FB83" s="938">
        <f t="shared" si="289"/>
        <v>0</v>
      </c>
      <c r="FC83" s="938">
        <f t="shared" si="290"/>
        <v>0</v>
      </c>
      <c r="FD83" s="938">
        <f t="shared" si="291"/>
        <v>0</v>
      </c>
      <c r="FE83" s="938">
        <f t="shared" si="292"/>
        <v>0</v>
      </c>
      <c r="FF83" s="938">
        <f t="shared" si="293"/>
        <v>0</v>
      </c>
      <c r="FG83" s="938" t="str">
        <f t="shared" si="294"/>
        <v/>
      </c>
      <c r="FH83" s="713">
        <f>'min. Düngung 22'!BD84</f>
        <v>0</v>
      </c>
      <c r="FI83" s="938"/>
      <c r="FJ83" s="938"/>
      <c r="FK83" s="938">
        <f t="shared" si="295"/>
        <v>0</v>
      </c>
      <c r="FL83" s="938">
        <f t="shared" si="296"/>
        <v>0</v>
      </c>
      <c r="FM83" s="938">
        <f t="shared" si="297"/>
        <v>0</v>
      </c>
      <c r="FN83" s="938">
        <f t="shared" si="298"/>
        <v>0</v>
      </c>
      <c r="FO83" s="938">
        <f t="shared" si="299"/>
        <v>0</v>
      </c>
      <c r="FP83" s="938" t="str">
        <f t="shared" si="300"/>
        <v/>
      </c>
      <c r="FQ83" s="713">
        <f>'min. Düngung 22'!BG84</f>
        <v>0</v>
      </c>
      <c r="FR83" s="938"/>
      <c r="FS83" s="938"/>
      <c r="FT83" s="938">
        <f t="shared" si="301"/>
        <v>0</v>
      </c>
      <c r="FU83" s="938">
        <f t="shared" si="302"/>
        <v>0</v>
      </c>
      <c r="FV83" s="938">
        <f t="shared" si="303"/>
        <v>0</v>
      </c>
      <c r="FW83" s="938">
        <f t="shared" si="304"/>
        <v>0</v>
      </c>
      <c r="FX83" s="938">
        <f t="shared" si="305"/>
        <v>0</v>
      </c>
      <c r="FY83" s="938" t="str">
        <f t="shared" si="306"/>
        <v/>
      </c>
      <c r="FZ83" s="713">
        <f>'min. Düngung 22'!BJ84</f>
        <v>0</v>
      </c>
      <c r="GA83" s="938"/>
      <c r="GB83" s="938"/>
      <c r="GC83" s="938">
        <f t="shared" si="307"/>
        <v>0</v>
      </c>
      <c r="GD83" s="938">
        <f t="shared" si="308"/>
        <v>0</v>
      </c>
      <c r="GE83" s="938">
        <f t="shared" si="309"/>
        <v>0</v>
      </c>
      <c r="GF83" s="938">
        <f t="shared" si="310"/>
        <v>0</v>
      </c>
      <c r="GG83" s="938">
        <f t="shared" si="311"/>
        <v>0</v>
      </c>
      <c r="GH83" s="938" t="str">
        <f t="shared" si="312"/>
        <v/>
      </c>
      <c r="GI83" s="713">
        <f>'min. Düngung 22'!BM84</f>
        <v>0</v>
      </c>
      <c r="GJ83" s="938"/>
      <c r="GK83" s="938"/>
      <c r="GL83" s="938">
        <f t="shared" si="313"/>
        <v>0</v>
      </c>
      <c r="GM83" s="938">
        <f t="shared" si="314"/>
        <v>0</v>
      </c>
      <c r="GN83" s="938">
        <f t="shared" si="315"/>
        <v>0</v>
      </c>
      <c r="GO83" s="938">
        <f t="shared" si="316"/>
        <v>0</v>
      </c>
      <c r="GP83" s="938">
        <f t="shared" si="317"/>
        <v>0</v>
      </c>
      <c r="GQ83" s="938" t="str">
        <f t="shared" si="318"/>
        <v/>
      </c>
      <c r="GR83" s="713">
        <f>'min. Düngung 22'!BP84</f>
        <v>0</v>
      </c>
      <c r="GS83" s="938"/>
      <c r="GT83" s="938"/>
      <c r="GU83" s="938">
        <f t="shared" si="319"/>
        <v>0</v>
      </c>
      <c r="GV83" s="938">
        <f t="shared" si="320"/>
        <v>0</v>
      </c>
      <c r="GW83" s="938">
        <f t="shared" si="321"/>
        <v>0</v>
      </c>
      <c r="GX83" s="938">
        <f t="shared" si="322"/>
        <v>0</v>
      </c>
      <c r="GY83" s="938">
        <f t="shared" si="323"/>
        <v>0</v>
      </c>
      <c r="GZ83" s="938" t="str">
        <f t="shared" si="324"/>
        <v/>
      </c>
      <c r="HA83" s="713">
        <f>'min. Düngung 22'!BS84</f>
        <v>0</v>
      </c>
      <c r="HB83" s="938"/>
      <c r="HC83" s="938"/>
      <c r="HD83" s="938">
        <f t="shared" si="325"/>
        <v>0</v>
      </c>
      <c r="HE83" s="938">
        <f t="shared" si="326"/>
        <v>0</v>
      </c>
      <c r="HF83" s="938">
        <f t="shared" si="327"/>
        <v>0</v>
      </c>
      <c r="HG83" s="938">
        <f t="shared" si="328"/>
        <v>0</v>
      </c>
      <c r="HH83" s="938">
        <f t="shared" si="329"/>
        <v>0</v>
      </c>
      <c r="HI83" s="938" t="str">
        <f t="shared" si="330"/>
        <v/>
      </c>
      <c r="HJ83" s="713">
        <f>'min. Düngung 22'!BV84</f>
        <v>0</v>
      </c>
      <c r="HK83" s="938"/>
      <c r="HL83" s="938"/>
      <c r="HM83" s="938">
        <f t="shared" si="331"/>
        <v>0</v>
      </c>
      <c r="HN83" s="938">
        <f t="shared" si="332"/>
        <v>0</v>
      </c>
      <c r="HO83" s="938">
        <f t="shared" si="333"/>
        <v>0</v>
      </c>
      <c r="HP83" s="938">
        <f t="shared" si="334"/>
        <v>0</v>
      </c>
      <c r="HQ83" s="938">
        <f t="shared" si="335"/>
        <v>0</v>
      </c>
      <c r="HR83" s="938" t="str">
        <f t="shared" si="336"/>
        <v/>
      </c>
      <c r="HS83" s="713">
        <f>'min. Düngung 22'!BY84</f>
        <v>0</v>
      </c>
      <c r="HT83" s="938"/>
      <c r="HU83" s="938"/>
      <c r="HV83" s="938">
        <f t="shared" si="337"/>
        <v>0</v>
      </c>
      <c r="HW83" s="938">
        <f t="shared" si="338"/>
        <v>0</v>
      </c>
      <c r="HX83" s="938">
        <f t="shared" si="339"/>
        <v>0</v>
      </c>
      <c r="HY83" s="938">
        <f t="shared" si="340"/>
        <v>0</v>
      </c>
      <c r="HZ83" s="938">
        <f t="shared" si="341"/>
        <v>0</v>
      </c>
      <c r="IA83" s="938" t="str">
        <f t="shared" si="342"/>
        <v/>
      </c>
      <c r="IB83" s="713">
        <f>'min. Düngung 22'!CB84</f>
        <v>0</v>
      </c>
      <c r="IC83" s="938"/>
      <c r="ID83" s="938"/>
      <c r="IE83" s="938">
        <f t="shared" si="343"/>
        <v>0</v>
      </c>
      <c r="IF83" s="938">
        <f t="shared" si="344"/>
        <v>0</v>
      </c>
      <c r="IG83" s="938">
        <f t="shared" si="345"/>
        <v>0</v>
      </c>
      <c r="IH83" s="938">
        <f t="shared" si="346"/>
        <v>0</v>
      </c>
      <c r="II83" s="938">
        <f t="shared" si="347"/>
        <v>0</v>
      </c>
      <c r="IJ83" s="938" t="str">
        <f t="shared" si="348"/>
        <v/>
      </c>
      <c r="IK83" s="713">
        <f>'min. Düngung 22'!CE84</f>
        <v>0</v>
      </c>
      <c r="IL83" s="938"/>
      <c r="IM83" s="938"/>
      <c r="IN83" s="938">
        <f t="shared" si="349"/>
        <v>0</v>
      </c>
      <c r="IO83" s="938">
        <f t="shared" si="350"/>
        <v>0</v>
      </c>
      <c r="IP83" s="938">
        <f t="shared" si="351"/>
        <v>0</v>
      </c>
      <c r="IQ83" s="938">
        <f t="shared" si="352"/>
        <v>0</v>
      </c>
      <c r="IR83" s="938">
        <f t="shared" si="353"/>
        <v>0</v>
      </c>
      <c r="IS83" s="938" t="str">
        <f t="shared" si="354"/>
        <v/>
      </c>
      <c r="IT83" s="713">
        <f>'min. Düngung 22'!CH84</f>
        <v>0</v>
      </c>
      <c r="IU83" s="938"/>
      <c r="IV83" s="938"/>
      <c r="IW83" s="938">
        <f t="shared" si="355"/>
        <v>0</v>
      </c>
      <c r="IX83" s="938">
        <f t="shared" si="356"/>
        <v>0</v>
      </c>
      <c r="IY83" s="938">
        <f t="shared" si="357"/>
        <v>0</v>
      </c>
      <c r="IZ83" s="938">
        <f t="shared" si="358"/>
        <v>0</v>
      </c>
      <c r="JA83" s="938">
        <f t="shared" si="359"/>
        <v>0</v>
      </c>
      <c r="JB83" s="938" t="str">
        <f t="shared" si="360"/>
        <v/>
      </c>
      <c r="JC83" s="713">
        <f>'min. Düngung 22'!CK84</f>
        <v>0</v>
      </c>
      <c r="JD83" s="938"/>
      <c r="JE83" s="938"/>
      <c r="JF83" s="938">
        <f t="shared" si="361"/>
        <v>0</v>
      </c>
      <c r="JG83" s="938">
        <f t="shared" si="362"/>
        <v>0</v>
      </c>
      <c r="JH83" s="938">
        <f t="shared" si="363"/>
        <v>0</v>
      </c>
      <c r="JI83" s="938">
        <f t="shared" si="364"/>
        <v>0</v>
      </c>
      <c r="JJ83" s="938">
        <f t="shared" si="365"/>
        <v>0</v>
      </c>
      <c r="JK83" s="938" t="str">
        <f t="shared" si="366"/>
        <v/>
      </c>
      <c r="JL83" s="713">
        <f>'min. Düngung 22'!CN84</f>
        <v>0</v>
      </c>
      <c r="JM83" s="938"/>
      <c r="JN83" s="938"/>
      <c r="JO83" s="938">
        <f t="shared" si="367"/>
        <v>0</v>
      </c>
      <c r="JP83" s="938">
        <f t="shared" si="368"/>
        <v>0</v>
      </c>
      <c r="JQ83" s="938">
        <f t="shared" si="369"/>
        <v>0</v>
      </c>
      <c r="JR83" s="938">
        <f t="shared" si="370"/>
        <v>0</v>
      </c>
      <c r="JS83" s="938">
        <f t="shared" si="371"/>
        <v>0</v>
      </c>
      <c r="JT83" s="938" t="str">
        <f t="shared" si="372"/>
        <v/>
      </c>
      <c r="JU83" s="713">
        <f>'min. Düngung 22'!CQ84</f>
        <v>0</v>
      </c>
      <c r="JV83" s="938"/>
      <c r="JW83" s="938"/>
      <c r="JX83" s="938">
        <f t="shared" si="373"/>
        <v>0</v>
      </c>
      <c r="JY83" s="938">
        <f t="shared" si="374"/>
        <v>0</v>
      </c>
      <c r="JZ83" s="938">
        <f t="shared" si="375"/>
        <v>0</v>
      </c>
      <c r="KA83" s="938">
        <f t="shared" si="376"/>
        <v>0</v>
      </c>
      <c r="KB83" s="938">
        <f t="shared" si="377"/>
        <v>0</v>
      </c>
      <c r="KC83" s="938" t="str">
        <f t="shared" si="378"/>
        <v/>
      </c>
      <c r="KE83" s="938"/>
      <c r="KF83" s="938" t="str">
        <f>IF(AND($F83=2,$G83=1),"",IF(OR($Q83&gt;0,$O83&gt;60),$KF$7,IF(I83=70,"",IF(AND(I83=80,R83+'#orgDung'!AC86&lt;60,K83=1,OR(C83=2,'#BerechnungDBE'!AH77=4)),"",IF(R83&gt;0,$KF$7,"")))))</f>
        <v/>
      </c>
      <c r="KG83" s="938" t="str">
        <f>IF(AND(P83&gt;'#BerechnungDBE'!BJ77,P83&gt;0),'#minDung'!$KG$7,"")</f>
        <v/>
      </c>
      <c r="KH83" s="938" t="str">
        <f>IF(AND(I83=70,R83&gt;'#BerechnungDBE'!CR77),'#minDung'!$KH$7,"")</f>
        <v/>
      </c>
      <c r="KI83" s="938" t="str">
        <f>IF('#BerechnungDBE'!P77&lt;4,"",IF(AND('#BerechnungDBE'!BZ77&gt;0,N83&gt;0),$KI$7,""))</f>
        <v/>
      </c>
      <c r="KJ83" s="938" t="str">
        <f t="shared" si="197"/>
        <v/>
      </c>
    </row>
    <row r="84" spans="1:296" s="875" customFormat="1" hidden="1" x14ac:dyDescent="0.2">
      <c r="A84" s="875">
        <f>'Flächen u. Kulturen'!A83</f>
        <v>74</v>
      </c>
      <c r="B84" s="734">
        <f>'#BerechnungDBE'!L78</f>
        <v>0</v>
      </c>
      <c r="C84" s="46">
        <f>'#orgDung'!C87</f>
        <v>1</v>
      </c>
      <c r="D84" s="875">
        <f>'#BerechnungDBE'!T78</f>
        <v>2</v>
      </c>
      <c r="E84" s="875" t="str">
        <f>'Flächen u. Kulturen'!E83</f>
        <v>x</v>
      </c>
      <c r="F84" s="52">
        <f>'#BerechnungDBE'!N78</f>
        <v>1</v>
      </c>
      <c r="G84" s="52">
        <f>'#BerechnungDBE'!O78</f>
        <v>1</v>
      </c>
      <c r="H84" s="505">
        <f>'#orgDung'!J87</f>
        <v>2</v>
      </c>
      <c r="I84" s="875">
        <f>'#BerechnungDBE'!AF78</f>
        <v>0</v>
      </c>
      <c r="J84" s="875">
        <f>'#orgDung'!M87</f>
        <v>0</v>
      </c>
      <c r="K84" s="875">
        <f>'#BerechnungDBE'!AG78</f>
        <v>0</v>
      </c>
      <c r="M84" s="875">
        <f t="shared" si="192"/>
        <v>0</v>
      </c>
      <c r="N84" s="875">
        <f t="shared" si="193"/>
        <v>0</v>
      </c>
      <c r="O84" s="875">
        <f t="shared" si="194"/>
        <v>0</v>
      </c>
      <c r="P84" s="875">
        <f t="shared" si="195"/>
        <v>0</v>
      </c>
      <c r="Q84" s="938">
        <f t="shared" si="198"/>
        <v>0</v>
      </c>
      <c r="R84" s="875">
        <f t="shared" si="196"/>
        <v>0</v>
      </c>
      <c r="T84" s="713">
        <f>'min. Düngung 22'!H85</f>
        <v>0</v>
      </c>
      <c r="W84" s="875">
        <f t="shared" si="199"/>
        <v>0</v>
      </c>
      <c r="X84" s="875">
        <f t="shared" si="200"/>
        <v>0</v>
      </c>
      <c r="Y84" s="875">
        <f t="shared" si="201"/>
        <v>0</v>
      </c>
      <c r="Z84" s="875">
        <f t="shared" si="202"/>
        <v>0</v>
      </c>
      <c r="AA84" s="875">
        <f t="shared" si="203"/>
        <v>0</v>
      </c>
      <c r="AB84" s="875" t="str">
        <f t="shared" si="204"/>
        <v/>
      </c>
      <c r="AC84" s="713">
        <f>'min. Düngung 22'!K85</f>
        <v>0</v>
      </c>
      <c r="AD84" s="938"/>
      <c r="AE84" s="938"/>
      <c r="AF84" s="938">
        <f t="shared" si="205"/>
        <v>0</v>
      </c>
      <c r="AG84" s="938">
        <f t="shared" si="206"/>
        <v>0</v>
      </c>
      <c r="AH84" s="938">
        <f t="shared" si="207"/>
        <v>0</v>
      </c>
      <c r="AI84" s="938">
        <f t="shared" si="208"/>
        <v>0</v>
      </c>
      <c r="AJ84" s="938">
        <f t="shared" si="209"/>
        <v>0</v>
      </c>
      <c r="AK84" s="938">
        <f t="shared" si="210"/>
        <v>0</v>
      </c>
      <c r="AL84" s="713">
        <f>'min. Düngung 22'!N85</f>
        <v>0</v>
      </c>
      <c r="AM84" s="938"/>
      <c r="AN84" s="938"/>
      <c r="AO84" s="938">
        <f t="shared" si="211"/>
        <v>0</v>
      </c>
      <c r="AP84" s="938">
        <f t="shared" si="212"/>
        <v>0</v>
      </c>
      <c r="AQ84" s="938">
        <f t="shared" si="213"/>
        <v>0</v>
      </c>
      <c r="AR84" s="938">
        <f t="shared" si="214"/>
        <v>0</v>
      </c>
      <c r="AS84" s="938">
        <f t="shared" si="215"/>
        <v>0</v>
      </c>
      <c r="AT84" s="938" t="str">
        <f t="shared" si="216"/>
        <v/>
      </c>
      <c r="AU84" s="713">
        <f>'min. Düngung 22'!Q85</f>
        <v>0</v>
      </c>
      <c r="AV84" s="938"/>
      <c r="AW84" s="938"/>
      <c r="AX84" s="938">
        <f t="shared" si="217"/>
        <v>0</v>
      </c>
      <c r="AY84" s="938">
        <f t="shared" si="218"/>
        <v>0</v>
      </c>
      <c r="AZ84" s="938">
        <f t="shared" si="219"/>
        <v>0</v>
      </c>
      <c r="BA84" s="938">
        <f t="shared" si="220"/>
        <v>0</v>
      </c>
      <c r="BB84" s="938">
        <f t="shared" si="221"/>
        <v>0</v>
      </c>
      <c r="BC84" s="938" t="str">
        <f t="shared" si="222"/>
        <v/>
      </c>
      <c r="BD84" s="713">
        <f>'min. Düngung 22'!T85</f>
        <v>0</v>
      </c>
      <c r="BE84" s="938"/>
      <c r="BF84" s="938"/>
      <c r="BG84" s="938">
        <f t="shared" si="223"/>
        <v>0</v>
      </c>
      <c r="BH84" s="938">
        <f t="shared" si="224"/>
        <v>0</v>
      </c>
      <c r="BI84" s="938">
        <f t="shared" si="225"/>
        <v>0</v>
      </c>
      <c r="BJ84" s="938">
        <f t="shared" si="226"/>
        <v>0</v>
      </c>
      <c r="BK84" s="938">
        <f t="shared" si="227"/>
        <v>0</v>
      </c>
      <c r="BL84" s="938" t="str">
        <f t="shared" si="228"/>
        <v/>
      </c>
      <c r="BM84" s="713">
        <f>'min. Düngung 22'!W85</f>
        <v>0</v>
      </c>
      <c r="BN84" s="938"/>
      <c r="BO84" s="938"/>
      <c r="BP84" s="938">
        <f t="shared" si="229"/>
        <v>0</v>
      </c>
      <c r="BQ84" s="938">
        <f t="shared" si="230"/>
        <v>0</v>
      </c>
      <c r="BR84" s="938">
        <f t="shared" si="231"/>
        <v>0</v>
      </c>
      <c r="BS84" s="938">
        <f t="shared" si="232"/>
        <v>0</v>
      </c>
      <c r="BT84" s="938">
        <f t="shared" si="233"/>
        <v>0</v>
      </c>
      <c r="BU84" s="938" t="str">
        <f t="shared" si="234"/>
        <v/>
      </c>
      <c r="BV84" s="713">
        <f>'min. Düngung 22'!Z85</f>
        <v>0</v>
      </c>
      <c r="BW84" s="938"/>
      <c r="BX84" s="938"/>
      <c r="BY84" s="938">
        <f t="shared" si="235"/>
        <v>0</v>
      </c>
      <c r="BZ84" s="938">
        <f t="shared" si="236"/>
        <v>0</v>
      </c>
      <c r="CA84" s="938">
        <f t="shared" si="237"/>
        <v>0</v>
      </c>
      <c r="CB84" s="938">
        <f t="shared" si="238"/>
        <v>0</v>
      </c>
      <c r="CC84" s="938">
        <f t="shared" si="239"/>
        <v>0</v>
      </c>
      <c r="CD84" s="938" t="str">
        <f t="shared" si="240"/>
        <v/>
      </c>
      <c r="CE84" s="713">
        <f>'min. Düngung 22'!AC85</f>
        <v>0</v>
      </c>
      <c r="CF84" s="938"/>
      <c r="CG84" s="938"/>
      <c r="CH84" s="938">
        <f t="shared" si="241"/>
        <v>0</v>
      </c>
      <c r="CI84" s="938">
        <f t="shared" si="242"/>
        <v>0</v>
      </c>
      <c r="CJ84" s="938">
        <f t="shared" si="243"/>
        <v>0</v>
      </c>
      <c r="CK84" s="938">
        <f t="shared" si="244"/>
        <v>0</v>
      </c>
      <c r="CL84" s="938">
        <f t="shared" si="245"/>
        <v>0</v>
      </c>
      <c r="CM84" s="938" t="str">
        <f t="shared" si="246"/>
        <v/>
      </c>
      <c r="CN84" s="713">
        <f>'min. Düngung 22'!AF85</f>
        <v>0</v>
      </c>
      <c r="CO84" s="938"/>
      <c r="CP84" s="938"/>
      <c r="CQ84" s="938">
        <f t="shared" si="247"/>
        <v>0</v>
      </c>
      <c r="CR84" s="938">
        <f t="shared" si="248"/>
        <v>0</v>
      </c>
      <c r="CS84" s="938">
        <f t="shared" si="249"/>
        <v>0</v>
      </c>
      <c r="CT84" s="938">
        <f t="shared" si="250"/>
        <v>0</v>
      </c>
      <c r="CU84" s="938">
        <f t="shared" si="251"/>
        <v>0</v>
      </c>
      <c r="CV84" s="938" t="str">
        <f t="shared" si="252"/>
        <v/>
      </c>
      <c r="CW84" s="713">
        <f>'min. Düngung 22'!AI85</f>
        <v>0</v>
      </c>
      <c r="CX84" s="938"/>
      <c r="CY84" s="938"/>
      <c r="CZ84" s="938">
        <f t="shared" si="253"/>
        <v>0</v>
      </c>
      <c r="DA84" s="938">
        <f t="shared" si="254"/>
        <v>0</v>
      </c>
      <c r="DB84" s="938">
        <f t="shared" si="255"/>
        <v>0</v>
      </c>
      <c r="DC84" s="938">
        <f t="shared" si="256"/>
        <v>0</v>
      </c>
      <c r="DD84" s="938">
        <f t="shared" si="257"/>
        <v>0</v>
      </c>
      <c r="DE84" s="938" t="str">
        <f t="shared" si="258"/>
        <v/>
      </c>
      <c r="DF84" s="713">
        <f>'min. Düngung 22'!AL85</f>
        <v>0</v>
      </c>
      <c r="DG84" s="938"/>
      <c r="DH84" s="938"/>
      <c r="DI84" s="938">
        <f t="shared" si="259"/>
        <v>0</v>
      </c>
      <c r="DJ84" s="938">
        <f t="shared" si="260"/>
        <v>0</v>
      </c>
      <c r="DK84" s="938">
        <f t="shared" si="261"/>
        <v>0</v>
      </c>
      <c r="DL84" s="938">
        <f t="shared" si="262"/>
        <v>0</v>
      </c>
      <c r="DM84" s="938">
        <f t="shared" si="263"/>
        <v>0</v>
      </c>
      <c r="DN84" s="938" t="str">
        <f t="shared" si="264"/>
        <v/>
      </c>
      <c r="DO84" s="713">
        <f>'min. Düngung 22'!AO85</f>
        <v>0</v>
      </c>
      <c r="DP84" s="938"/>
      <c r="DQ84" s="938"/>
      <c r="DR84" s="938">
        <f t="shared" si="265"/>
        <v>0</v>
      </c>
      <c r="DS84" s="938">
        <f t="shared" si="266"/>
        <v>0</v>
      </c>
      <c r="DT84" s="938">
        <f t="shared" si="267"/>
        <v>0</v>
      </c>
      <c r="DU84" s="938">
        <f t="shared" si="268"/>
        <v>0</v>
      </c>
      <c r="DV84" s="938">
        <f t="shared" si="269"/>
        <v>0</v>
      </c>
      <c r="DW84" s="938" t="str">
        <f t="shared" si="270"/>
        <v/>
      </c>
      <c r="DX84" s="713">
        <f>'min. Düngung 22'!AR85</f>
        <v>0</v>
      </c>
      <c r="DY84" s="938"/>
      <c r="DZ84" s="938"/>
      <c r="EA84" s="938">
        <f t="shared" si="271"/>
        <v>0</v>
      </c>
      <c r="EB84" s="938">
        <f t="shared" si="272"/>
        <v>0</v>
      </c>
      <c r="EC84" s="938">
        <f t="shared" si="273"/>
        <v>0</v>
      </c>
      <c r="ED84" s="938">
        <f t="shared" si="274"/>
        <v>0</v>
      </c>
      <c r="EE84" s="938">
        <f t="shared" si="275"/>
        <v>0</v>
      </c>
      <c r="EF84" s="938" t="str">
        <f t="shared" si="276"/>
        <v/>
      </c>
      <c r="EG84" s="713">
        <f>'min. Düngung 22'!AU85</f>
        <v>0</v>
      </c>
      <c r="EH84" s="938"/>
      <c r="EI84" s="938"/>
      <c r="EJ84" s="938">
        <f t="shared" si="277"/>
        <v>0</v>
      </c>
      <c r="EK84" s="938">
        <f t="shared" si="278"/>
        <v>0</v>
      </c>
      <c r="EL84" s="938">
        <f t="shared" si="279"/>
        <v>0</v>
      </c>
      <c r="EM84" s="938">
        <f t="shared" si="280"/>
        <v>0</v>
      </c>
      <c r="EN84" s="938">
        <f t="shared" si="281"/>
        <v>0</v>
      </c>
      <c r="EO84" s="938" t="str">
        <f t="shared" si="282"/>
        <v/>
      </c>
      <c r="EP84" s="713">
        <f>'min. Düngung 22'!AX85</f>
        <v>0</v>
      </c>
      <c r="EQ84" s="938"/>
      <c r="ER84" s="938"/>
      <c r="ES84" s="938">
        <f t="shared" si="283"/>
        <v>0</v>
      </c>
      <c r="ET84" s="938">
        <f t="shared" si="284"/>
        <v>0</v>
      </c>
      <c r="EU84" s="938">
        <f t="shared" si="285"/>
        <v>0</v>
      </c>
      <c r="EV84" s="938">
        <f t="shared" si="286"/>
        <v>0</v>
      </c>
      <c r="EW84" s="938">
        <f t="shared" si="287"/>
        <v>0</v>
      </c>
      <c r="EX84" s="938" t="str">
        <f t="shared" si="288"/>
        <v/>
      </c>
      <c r="EY84" s="713">
        <f>'min. Düngung 22'!BA85</f>
        <v>0</v>
      </c>
      <c r="EZ84" s="938"/>
      <c r="FA84" s="938"/>
      <c r="FB84" s="938">
        <f t="shared" si="289"/>
        <v>0</v>
      </c>
      <c r="FC84" s="938">
        <f t="shared" si="290"/>
        <v>0</v>
      </c>
      <c r="FD84" s="938">
        <f t="shared" si="291"/>
        <v>0</v>
      </c>
      <c r="FE84" s="938">
        <f t="shared" si="292"/>
        <v>0</v>
      </c>
      <c r="FF84" s="938">
        <f t="shared" si="293"/>
        <v>0</v>
      </c>
      <c r="FG84" s="938" t="str">
        <f t="shared" si="294"/>
        <v/>
      </c>
      <c r="FH84" s="713">
        <f>'min. Düngung 22'!BD85</f>
        <v>0</v>
      </c>
      <c r="FI84" s="938"/>
      <c r="FJ84" s="938"/>
      <c r="FK84" s="938">
        <f t="shared" si="295"/>
        <v>0</v>
      </c>
      <c r="FL84" s="938">
        <f t="shared" si="296"/>
        <v>0</v>
      </c>
      <c r="FM84" s="938">
        <f t="shared" si="297"/>
        <v>0</v>
      </c>
      <c r="FN84" s="938">
        <f t="shared" si="298"/>
        <v>0</v>
      </c>
      <c r="FO84" s="938">
        <f t="shared" si="299"/>
        <v>0</v>
      </c>
      <c r="FP84" s="938" t="str">
        <f t="shared" si="300"/>
        <v/>
      </c>
      <c r="FQ84" s="713">
        <f>'min. Düngung 22'!BG85</f>
        <v>0</v>
      </c>
      <c r="FR84" s="938"/>
      <c r="FS84" s="938"/>
      <c r="FT84" s="938">
        <f t="shared" si="301"/>
        <v>0</v>
      </c>
      <c r="FU84" s="938">
        <f t="shared" si="302"/>
        <v>0</v>
      </c>
      <c r="FV84" s="938">
        <f t="shared" si="303"/>
        <v>0</v>
      </c>
      <c r="FW84" s="938">
        <f t="shared" si="304"/>
        <v>0</v>
      </c>
      <c r="FX84" s="938">
        <f t="shared" si="305"/>
        <v>0</v>
      </c>
      <c r="FY84" s="938" t="str">
        <f t="shared" si="306"/>
        <v/>
      </c>
      <c r="FZ84" s="713">
        <f>'min. Düngung 22'!BJ85</f>
        <v>0</v>
      </c>
      <c r="GA84" s="938"/>
      <c r="GB84" s="938"/>
      <c r="GC84" s="938">
        <f t="shared" si="307"/>
        <v>0</v>
      </c>
      <c r="GD84" s="938">
        <f t="shared" si="308"/>
        <v>0</v>
      </c>
      <c r="GE84" s="938">
        <f t="shared" si="309"/>
        <v>0</v>
      </c>
      <c r="GF84" s="938">
        <f t="shared" si="310"/>
        <v>0</v>
      </c>
      <c r="GG84" s="938">
        <f t="shared" si="311"/>
        <v>0</v>
      </c>
      <c r="GH84" s="938" t="str">
        <f t="shared" si="312"/>
        <v/>
      </c>
      <c r="GI84" s="713">
        <f>'min. Düngung 22'!BM85</f>
        <v>0</v>
      </c>
      <c r="GJ84" s="938"/>
      <c r="GK84" s="938"/>
      <c r="GL84" s="938">
        <f t="shared" si="313"/>
        <v>0</v>
      </c>
      <c r="GM84" s="938">
        <f t="shared" si="314"/>
        <v>0</v>
      </c>
      <c r="GN84" s="938">
        <f t="shared" si="315"/>
        <v>0</v>
      </c>
      <c r="GO84" s="938">
        <f t="shared" si="316"/>
        <v>0</v>
      </c>
      <c r="GP84" s="938">
        <f t="shared" si="317"/>
        <v>0</v>
      </c>
      <c r="GQ84" s="938" t="str">
        <f t="shared" si="318"/>
        <v/>
      </c>
      <c r="GR84" s="713">
        <f>'min. Düngung 22'!BP85</f>
        <v>0</v>
      </c>
      <c r="GS84" s="938"/>
      <c r="GT84" s="938"/>
      <c r="GU84" s="938">
        <f t="shared" si="319"/>
        <v>0</v>
      </c>
      <c r="GV84" s="938">
        <f t="shared" si="320"/>
        <v>0</v>
      </c>
      <c r="GW84" s="938">
        <f t="shared" si="321"/>
        <v>0</v>
      </c>
      <c r="GX84" s="938">
        <f t="shared" si="322"/>
        <v>0</v>
      </c>
      <c r="GY84" s="938">
        <f t="shared" si="323"/>
        <v>0</v>
      </c>
      <c r="GZ84" s="938" t="str">
        <f t="shared" si="324"/>
        <v/>
      </c>
      <c r="HA84" s="713">
        <f>'min. Düngung 22'!BS85</f>
        <v>0</v>
      </c>
      <c r="HB84" s="938"/>
      <c r="HC84" s="938"/>
      <c r="HD84" s="938">
        <f t="shared" si="325"/>
        <v>0</v>
      </c>
      <c r="HE84" s="938">
        <f t="shared" si="326"/>
        <v>0</v>
      </c>
      <c r="HF84" s="938">
        <f t="shared" si="327"/>
        <v>0</v>
      </c>
      <c r="HG84" s="938">
        <f t="shared" si="328"/>
        <v>0</v>
      </c>
      <c r="HH84" s="938">
        <f t="shared" si="329"/>
        <v>0</v>
      </c>
      <c r="HI84" s="938" t="str">
        <f t="shared" si="330"/>
        <v/>
      </c>
      <c r="HJ84" s="713">
        <f>'min. Düngung 22'!BV85</f>
        <v>0</v>
      </c>
      <c r="HK84" s="938"/>
      <c r="HL84" s="938"/>
      <c r="HM84" s="938">
        <f t="shared" si="331"/>
        <v>0</v>
      </c>
      <c r="HN84" s="938">
        <f t="shared" si="332"/>
        <v>0</v>
      </c>
      <c r="HO84" s="938">
        <f t="shared" si="333"/>
        <v>0</v>
      </c>
      <c r="HP84" s="938">
        <f t="shared" si="334"/>
        <v>0</v>
      </c>
      <c r="HQ84" s="938">
        <f t="shared" si="335"/>
        <v>0</v>
      </c>
      <c r="HR84" s="938" t="str">
        <f t="shared" si="336"/>
        <v/>
      </c>
      <c r="HS84" s="713">
        <f>'min. Düngung 22'!BY85</f>
        <v>0</v>
      </c>
      <c r="HT84" s="938"/>
      <c r="HU84" s="938"/>
      <c r="HV84" s="938">
        <f t="shared" si="337"/>
        <v>0</v>
      </c>
      <c r="HW84" s="938">
        <f t="shared" si="338"/>
        <v>0</v>
      </c>
      <c r="HX84" s="938">
        <f t="shared" si="339"/>
        <v>0</v>
      </c>
      <c r="HY84" s="938">
        <f t="shared" si="340"/>
        <v>0</v>
      </c>
      <c r="HZ84" s="938">
        <f t="shared" si="341"/>
        <v>0</v>
      </c>
      <c r="IA84" s="938" t="str">
        <f t="shared" si="342"/>
        <v/>
      </c>
      <c r="IB84" s="713">
        <f>'min. Düngung 22'!CB85</f>
        <v>0</v>
      </c>
      <c r="IC84" s="938"/>
      <c r="ID84" s="938"/>
      <c r="IE84" s="938">
        <f t="shared" si="343"/>
        <v>0</v>
      </c>
      <c r="IF84" s="938">
        <f t="shared" si="344"/>
        <v>0</v>
      </c>
      <c r="IG84" s="938">
        <f t="shared" si="345"/>
        <v>0</v>
      </c>
      <c r="IH84" s="938">
        <f t="shared" si="346"/>
        <v>0</v>
      </c>
      <c r="II84" s="938">
        <f t="shared" si="347"/>
        <v>0</v>
      </c>
      <c r="IJ84" s="938" t="str">
        <f t="shared" si="348"/>
        <v/>
      </c>
      <c r="IK84" s="713">
        <f>'min. Düngung 22'!CE85</f>
        <v>0</v>
      </c>
      <c r="IL84" s="938"/>
      <c r="IM84" s="938"/>
      <c r="IN84" s="938">
        <f t="shared" si="349"/>
        <v>0</v>
      </c>
      <c r="IO84" s="938">
        <f t="shared" si="350"/>
        <v>0</v>
      </c>
      <c r="IP84" s="938">
        <f t="shared" si="351"/>
        <v>0</v>
      </c>
      <c r="IQ84" s="938">
        <f t="shared" si="352"/>
        <v>0</v>
      </c>
      <c r="IR84" s="938">
        <f t="shared" si="353"/>
        <v>0</v>
      </c>
      <c r="IS84" s="938" t="str">
        <f t="shared" si="354"/>
        <v/>
      </c>
      <c r="IT84" s="713">
        <f>'min. Düngung 22'!CH85</f>
        <v>0</v>
      </c>
      <c r="IU84" s="938"/>
      <c r="IV84" s="938"/>
      <c r="IW84" s="938">
        <f t="shared" si="355"/>
        <v>0</v>
      </c>
      <c r="IX84" s="938">
        <f t="shared" si="356"/>
        <v>0</v>
      </c>
      <c r="IY84" s="938">
        <f t="shared" si="357"/>
        <v>0</v>
      </c>
      <c r="IZ84" s="938">
        <f t="shared" si="358"/>
        <v>0</v>
      </c>
      <c r="JA84" s="938">
        <f t="shared" si="359"/>
        <v>0</v>
      </c>
      <c r="JB84" s="938" t="str">
        <f t="shared" si="360"/>
        <v/>
      </c>
      <c r="JC84" s="713">
        <f>'min. Düngung 22'!CK85</f>
        <v>0</v>
      </c>
      <c r="JD84" s="938"/>
      <c r="JE84" s="938"/>
      <c r="JF84" s="938">
        <f t="shared" si="361"/>
        <v>0</v>
      </c>
      <c r="JG84" s="938">
        <f t="shared" si="362"/>
        <v>0</v>
      </c>
      <c r="JH84" s="938">
        <f t="shared" si="363"/>
        <v>0</v>
      </c>
      <c r="JI84" s="938">
        <f t="shared" si="364"/>
        <v>0</v>
      </c>
      <c r="JJ84" s="938">
        <f t="shared" si="365"/>
        <v>0</v>
      </c>
      <c r="JK84" s="938" t="str">
        <f t="shared" si="366"/>
        <v/>
      </c>
      <c r="JL84" s="713">
        <f>'min. Düngung 22'!CN85</f>
        <v>0</v>
      </c>
      <c r="JM84" s="938"/>
      <c r="JN84" s="938"/>
      <c r="JO84" s="938">
        <f t="shared" si="367"/>
        <v>0</v>
      </c>
      <c r="JP84" s="938">
        <f t="shared" si="368"/>
        <v>0</v>
      </c>
      <c r="JQ84" s="938">
        <f t="shared" si="369"/>
        <v>0</v>
      </c>
      <c r="JR84" s="938">
        <f t="shared" si="370"/>
        <v>0</v>
      </c>
      <c r="JS84" s="938">
        <f t="shared" si="371"/>
        <v>0</v>
      </c>
      <c r="JT84" s="938" t="str">
        <f t="shared" si="372"/>
        <v/>
      </c>
      <c r="JU84" s="713">
        <f>'min. Düngung 22'!CQ85</f>
        <v>0</v>
      </c>
      <c r="JV84" s="938"/>
      <c r="JW84" s="938"/>
      <c r="JX84" s="938">
        <f t="shared" si="373"/>
        <v>0</v>
      </c>
      <c r="JY84" s="938">
        <f t="shared" si="374"/>
        <v>0</v>
      </c>
      <c r="JZ84" s="938">
        <f t="shared" si="375"/>
        <v>0</v>
      </c>
      <c r="KA84" s="938">
        <f t="shared" si="376"/>
        <v>0</v>
      </c>
      <c r="KB84" s="938">
        <f t="shared" si="377"/>
        <v>0</v>
      </c>
      <c r="KC84" s="938" t="str">
        <f t="shared" si="378"/>
        <v/>
      </c>
      <c r="KE84" s="938"/>
      <c r="KF84" s="938" t="str">
        <f>IF(AND($F84=2,$G84=1),"",IF(OR($Q84&gt;0,$O84&gt;60),$KF$7,IF(I84=70,"",IF(AND(I84=80,R84+'#orgDung'!AC87&lt;60,K84=1,OR(C84=2,'#BerechnungDBE'!AH78=4)),"",IF(R84&gt;0,$KF$7,"")))))</f>
        <v/>
      </c>
      <c r="KG84" s="938" t="str">
        <f>IF(AND(P84&gt;'#BerechnungDBE'!BJ78,P84&gt;0),'#minDung'!$KG$7,"")</f>
        <v/>
      </c>
      <c r="KH84" s="938" t="str">
        <f>IF(AND(I84=70,R84&gt;'#BerechnungDBE'!CR78),'#minDung'!$KH$7,"")</f>
        <v/>
      </c>
      <c r="KI84" s="938" t="str">
        <f>IF('#BerechnungDBE'!P78&lt;4,"",IF(AND('#BerechnungDBE'!BZ78&gt;0,N84&gt;0),$KI$7,""))</f>
        <v/>
      </c>
      <c r="KJ84" s="938" t="str">
        <f t="shared" si="197"/>
        <v/>
      </c>
    </row>
    <row r="85" spans="1:296" s="875" customFormat="1" hidden="1" x14ac:dyDescent="0.2">
      <c r="A85" s="875">
        <f>'Flächen u. Kulturen'!A84</f>
        <v>75</v>
      </c>
      <c r="B85" s="734">
        <f>'#BerechnungDBE'!L79</f>
        <v>0</v>
      </c>
      <c r="C85" s="46">
        <f>'#orgDung'!C88</f>
        <v>1</v>
      </c>
      <c r="D85" s="875">
        <f>'#BerechnungDBE'!T79</f>
        <v>2</v>
      </c>
      <c r="E85" s="875" t="str">
        <f>'Flächen u. Kulturen'!E84</f>
        <v>x</v>
      </c>
      <c r="F85" s="52">
        <f>'#BerechnungDBE'!N79</f>
        <v>1</v>
      </c>
      <c r="G85" s="52">
        <f>'#BerechnungDBE'!O79</f>
        <v>1</v>
      </c>
      <c r="H85" s="505">
        <f>'#orgDung'!J88</f>
        <v>2</v>
      </c>
      <c r="I85" s="875">
        <f>'#BerechnungDBE'!AF79</f>
        <v>0</v>
      </c>
      <c r="J85" s="875">
        <f>'#orgDung'!M88</f>
        <v>0</v>
      </c>
      <c r="K85" s="875">
        <f>'#BerechnungDBE'!AG79</f>
        <v>0</v>
      </c>
      <c r="M85" s="875">
        <f t="shared" si="192"/>
        <v>0</v>
      </c>
      <c r="N85" s="875">
        <f t="shared" si="193"/>
        <v>0</v>
      </c>
      <c r="O85" s="875">
        <f t="shared" si="194"/>
        <v>0</v>
      </c>
      <c r="P85" s="875">
        <f t="shared" si="195"/>
        <v>0</v>
      </c>
      <c r="Q85" s="938">
        <f t="shared" si="198"/>
        <v>0</v>
      </c>
      <c r="R85" s="875">
        <f t="shared" si="196"/>
        <v>0</v>
      </c>
      <c r="T85" s="713">
        <f>'min. Düngung 22'!H86</f>
        <v>0</v>
      </c>
      <c r="W85" s="875">
        <f t="shared" si="199"/>
        <v>0</v>
      </c>
      <c r="X85" s="875">
        <f t="shared" si="200"/>
        <v>0</v>
      </c>
      <c r="Y85" s="875">
        <f t="shared" si="201"/>
        <v>0</v>
      </c>
      <c r="Z85" s="875">
        <f t="shared" si="202"/>
        <v>0</v>
      </c>
      <c r="AA85" s="875">
        <f t="shared" si="203"/>
        <v>0</v>
      </c>
      <c r="AB85" s="875" t="str">
        <f t="shared" si="204"/>
        <v/>
      </c>
      <c r="AC85" s="713">
        <f>'min. Düngung 22'!K86</f>
        <v>0</v>
      </c>
      <c r="AD85" s="938"/>
      <c r="AE85" s="938"/>
      <c r="AF85" s="938">
        <f t="shared" si="205"/>
        <v>0</v>
      </c>
      <c r="AG85" s="938">
        <f t="shared" si="206"/>
        <v>0</v>
      </c>
      <c r="AH85" s="938">
        <f t="shared" si="207"/>
        <v>0</v>
      </c>
      <c r="AI85" s="938">
        <f t="shared" si="208"/>
        <v>0</v>
      </c>
      <c r="AJ85" s="938">
        <f t="shared" si="209"/>
        <v>0</v>
      </c>
      <c r="AK85" s="938">
        <f t="shared" si="210"/>
        <v>0</v>
      </c>
      <c r="AL85" s="713">
        <f>'min. Düngung 22'!N86</f>
        <v>0</v>
      </c>
      <c r="AM85" s="938"/>
      <c r="AN85" s="938"/>
      <c r="AO85" s="938">
        <f t="shared" si="211"/>
        <v>0</v>
      </c>
      <c r="AP85" s="938">
        <f t="shared" si="212"/>
        <v>0</v>
      </c>
      <c r="AQ85" s="938">
        <f t="shared" si="213"/>
        <v>0</v>
      </c>
      <c r="AR85" s="938">
        <f t="shared" si="214"/>
        <v>0</v>
      </c>
      <c r="AS85" s="938">
        <f t="shared" si="215"/>
        <v>0</v>
      </c>
      <c r="AT85" s="938" t="str">
        <f t="shared" si="216"/>
        <v/>
      </c>
      <c r="AU85" s="713">
        <f>'min. Düngung 22'!Q86</f>
        <v>0</v>
      </c>
      <c r="AV85" s="938"/>
      <c r="AW85" s="938"/>
      <c r="AX85" s="938">
        <f t="shared" si="217"/>
        <v>0</v>
      </c>
      <c r="AY85" s="938">
        <f t="shared" si="218"/>
        <v>0</v>
      </c>
      <c r="AZ85" s="938">
        <f t="shared" si="219"/>
        <v>0</v>
      </c>
      <c r="BA85" s="938">
        <f t="shared" si="220"/>
        <v>0</v>
      </c>
      <c r="BB85" s="938">
        <f t="shared" si="221"/>
        <v>0</v>
      </c>
      <c r="BC85" s="938" t="str">
        <f t="shared" si="222"/>
        <v/>
      </c>
      <c r="BD85" s="713">
        <f>'min. Düngung 22'!T86</f>
        <v>0</v>
      </c>
      <c r="BE85" s="938"/>
      <c r="BF85" s="938"/>
      <c r="BG85" s="938">
        <f t="shared" si="223"/>
        <v>0</v>
      </c>
      <c r="BH85" s="938">
        <f t="shared" si="224"/>
        <v>0</v>
      </c>
      <c r="BI85" s="938">
        <f t="shared" si="225"/>
        <v>0</v>
      </c>
      <c r="BJ85" s="938">
        <f t="shared" si="226"/>
        <v>0</v>
      </c>
      <c r="BK85" s="938">
        <f t="shared" si="227"/>
        <v>0</v>
      </c>
      <c r="BL85" s="938" t="str">
        <f t="shared" si="228"/>
        <v/>
      </c>
      <c r="BM85" s="713">
        <f>'min. Düngung 22'!W86</f>
        <v>0</v>
      </c>
      <c r="BN85" s="938"/>
      <c r="BO85" s="938"/>
      <c r="BP85" s="938">
        <f t="shared" si="229"/>
        <v>0</v>
      </c>
      <c r="BQ85" s="938">
        <f t="shared" si="230"/>
        <v>0</v>
      </c>
      <c r="BR85" s="938">
        <f t="shared" si="231"/>
        <v>0</v>
      </c>
      <c r="BS85" s="938">
        <f t="shared" si="232"/>
        <v>0</v>
      </c>
      <c r="BT85" s="938">
        <f t="shared" si="233"/>
        <v>0</v>
      </c>
      <c r="BU85" s="938" t="str">
        <f t="shared" si="234"/>
        <v/>
      </c>
      <c r="BV85" s="713">
        <f>'min. Düngung 22'!Z86</f>
        <v>0</v>
      </c>
      <c r="BW85" s="938"/>
      <c r="BX85" s="938"/>
      <c r="BY85" s="938">
        <f t="shared" si="235"/>
        <v>0</v>
      </c>
      <c r="BZ85" s="938">
        <f t="shared" si="236"/>
        <v>0</v>
      </c>
      <c r="CA85" s="938">
        <f t="shared" si="237"/>
        <v>0</v>
      </c>
      <c r="CB85" s="938">
        <f t="shared" si="238"/>
        <v>0</v>
      </c>
      <c r="CC85" s="938">
        <f t="shared" si="239"/>
        <v>0</v>
      </c>
      <c r="CD85" s="938" t="str">
        <f t="shared" si="240"/>
        <v/>
      </c>
      <c r="CE85" s="713">
        <f>'min. Düngung 22'!AC86</f>
        <v>0</v>
      </c>
      <c r="CF85" s="938"/>
      <c r="CG85" s="938"/>
      <c r="CH85" s="938">
        <f t="shared" si="241"/>
        <v>0</v>
      </c>
      <c r="CI85" s="938">
        <f t="shared" si="242"/>
        <v>0</v>
      </c>
      <c r="CJ85" s="938">
        <f t="shared" si="243"/>
        <v>0</v>
      </c>
      <c r="CK85" s="938">
        <f t="shared" si="244"/>
        <v>0</v>
      </c>
      <c r="CL85" s="938">
        <f t="shared" si="245"/>
        <v>0</v>
      </c>
      <c r="CM85" s="938" t="str">
        <f t="shared" si="246"/>
        <v/>
      </c>
      <c r="CN85" s="713">
        <f>'min. Düngung 22'!AF86</f>
        <v>0</v>
      </c>
      <c r="CO85" s="938"/>
      <c r="CP85" s="938"/>
      <c r="CQ85" s="938">
        <f t="shared" si="247"/>
        <v>0</v>
      </c>
      <c r="CR85" s="938">
        <f t="shared" si="248"/>
        <v>0</v>
      </c>
      <c r="CS85" s="938">
        <f t="shared" si="249"/>
        <v>0</v>
      </c>
      <c r="CT85" s="938">
        <f t="shared" si="250"/>
        <v>0</v>
      </c>
      <c r="CU85" s="938">
        <f t="shared" si="251"/>
        <v>0</v>
      </c>
      <c r="CV85" s="938" t="str">
        <f t="shared" si="252"/>
        <v/>
      </c>
      <c r="CW85" s="713">
        <f>'min. Düngung 22'!AI86</f>
        <v>0</v>
      </c>
      <c r="CX85" s="938"/>
      <c r="CY85" s="938"/>
      <c r="CZ85" s="938">
        <f t="shared" si="253"/>
        <v>0</v>
      </c>
      <c r="DA85" s="938">
        <f t="shared" si="254"/>
        <v>0</v>
      </c>
      <c r="DB85" s="938">
        <f t="shared" si="255"/>
        <v>0</v>
      </c>
      <c r="DC85" s="938">
        <f t="shared" si="256"/>
        <v>0</v>
      </c>
      <c r="DD85" s="938">
        <f t="shared" si="257"/>
        <v>0</v>
      </c>
      <c r="DE85" s="938" t="str">
        <f t="shared" si="258"/>
        <v/>
      </c>
      <c r="DF85" s="713">
        <f>'min. Düngung 22'!AL86</f>
        <v>0</v>
      </c>
      <c r="DG85" s="938"/>
      <c r="DH85" s="938"/>
      <c r="DI85" s="938">
        <f t="shared" si="259"/>
        <v>0</v>
      </c>
      <c r="DJ85" s="938">
        <f t="shared" si="260"/>
        <v>0</v>
      </c>
      <c r="DK85" s="938">
        <f t="shared" si="261"/>
        <v>0</v>
      </c>
      <c r="DL85" s="938">
        <f t="shared" si="262"/>
        <v>0</v>
      </c>
      <c r="DM85" s="938">
        <f t="shared" si="263"/>
        <v>0</v>
      </c>
      <c r="DN85" s="938" t="str">
        <f t="shared" si="264"/>
        <v/>
      </c>
      <c r="DO85" s="713">
        <f>'min. Düngung 22'!AO86</f>
        <v>0</v>
      </c>
      <c r="DP85" s="938"/>
      <c r="DQ85" s="938"/>
      <c r="DR85" s="938">
        <f t="shared" si="265"/>
        <v>0</v>
      </c>
      <c r="DS85" s="938">
        <f t="shared" si="266"/>
        <v>0</v>
      </c>
      <c r="DT85" s="938">
        <f t="shared" si="267"/>
        <v>0</v>
      </c>
      <c r="DU85" s="938">
        <f t="shared" si="268"/>
        <v>0</v>
      </c>
      <c r="DV85" s="938">
        <f t="shared" si="269"/>
        <v>0</v>
      </c>
      <c r="DW85" s="938" t="str">
        <f t="shared" si="270"/>
        <v/>
      </c>
      <c r="DX85" s="713">
        <f>'min. Düngung 22'!AR86</f>
        <v>0</v>
      </c>
      <c r="DY85" s="938"/>
      <c r="DZ85" s="938"/>
      <c r="EA85" s="938">
        <f t="shared" si="271"/>
        <v>0</v>
      </c>
      <c r="EB85" s="938">
        <f t="shared" si="272"/>
        <v>0</v>
      </c>
      <c r="EC85" s="938">
        <f t="shared" si="273"/>
        <v>0</v>
      </c>
      <c r="ED85" s="938">
        <f t="shared" si="274"/>
        <v>0</v>
      </c>
      <c r="EE85" s="938">
        <f t="shared" si="275"/>
        <v>0</v>
      </c>
      <c r="EF85" s="938" t="str">
        <f t="shared" si="276"/>
        <v/>
      </c>
      <c r="EG85" s="713">
        <f>'min. Düngung 22'!AU86</f>
        <v>0</v>
      </c>
      <c r="EH85" s="938"/>
      <c r="EI85" s="938"/>
      <c r="EJ85" s="938">
        <f t="shared" si="277"/>
        <v>0</v>
      </c>
      <c r="EK85" s="938">
        <f t="shared" si="278"/>
        <v>0</v>
      </c>
      <c r="EL85" s="938">
        <f t="shared" si="279"/>
        <v>0</v>
      </c>
      <c r="EM85" s="938">
        <f t="shared" si="280"/>
        <v>0</v>
      </c>
      <c r="EN85" s="938">
        <f t="shared" si="281"/>
        <v>0</v>
      </c>
      <c r="EO85" s="938" t="str">
        <f t="shared" si="282"/>
        <v/>
      </c>
      <c r="EP85" s="713">
        <f>'min. Düngung 22'!AX86</f>
        <v>0</v>
      </c>
      <c r="EQ85" s="938"/>
      <c r="ER85" s="938"/>
      <c r="ES85" s="938">
        <f t="shared" si="283"/>
        <v>0</v>
      </c>
      <c r="ET85" s="938">
        <f t="shared" si="284"/>
        <v>0</v>
      </c>
      <c r="EU85" s="938">
        <f t="shared" si="285"/>
        <v>0</v>
      </c>
      <c r="EV85" s="938">
        <f t="shared" si="286"/>
        <v>0</v>
      </c>
      <c r="EW85" s="938">
        <f t="shared" si="287"/>
        <v>0</v>
      </c>
      <c r="EX85" s="938" t="str">
        <f t="shared" si="288"/>
        <v/>
      </c>
      <c r="EY85" s="713">
        <f>'min. Düngung 22'!BA86</f>
        <v>0</v>
      </c>
      <c r="EZ85" s="938"/>
      <c r="FA85" s="938"/>
      <c r="FB85" s="938">
        <f t="shared" si="289"/>
        <v>0</v>
      </c>
      <c r="FC85" s="938">
        <f t="shared" si="290"/>
        <v>0</v>
      </c>
      <c r="FD85" s="938">
        <f t="shared" si="291"/>
        <v>0</v>
      </c>
      <c r="FE85" s="938">
        <f t="shared" si="292"/>
        <v>0</v>
      </c>
      <c r="FF85" s="938">
        <f t="shared" si="293"/>
        <v>0</v>
      </c>
      <c r="FG85" s="938" t="str">
        <f t="shared" si="294"/>
        <v/>
      </c>
      <c r="FH85" s="713">
        <f>'min. Düngung 22'!BD86</f>
        <v>0</v>
      </c>
      <c r="FI85" s="938"/>
      <c r="FJ85" s="938"/>
      <c r="FK85" s="938">
        <f t="shared" si="295"/>
        <v>0</v>
      </c>
      <c r="FL85" s="938">
        <f t="shared" si="296"/>
        <v>0</v>
      </c>
      <c r="FM85" s="938">
        <f t="shared" si="297"/>
        <v>0</v>
      </c>
      <c r="FN85" s="938">
        <f t="shared" si="298"/>
        <v>0</v>
      </c>
      <c r="FO85" s="938">
        <f t="shared" si="299"/>
        <v>0</v>
      </c>
      <c r="FP85" s="938" t="str">
        <f t="shared" si="300"/>
        <v/>
      </c>
      <c r="FQ85" s="713">
        <f>'min. Düngung 22'!BG86</f>
        <v>0</v>
      </c>
      <c r="FR85" s="938"/>
      <c r="FS85" s="938"/>
      <c r="FT85" s="938">
        <f t="shared" si="301"/>
        <v>0</v>
      </c>
      <c r="FU85" s="938">
        <f t="shared" si="302"/>
        <v>0</v>
      </c>
      <c r="FV85" s="938">
        <f t="shared" si="303"/>
        <v>0</v>
      </c>
      <c r="FW85" s="938">
        <f t="shared" si="304"/>
        <v>0</v>
      </c>
      <c r="FX85" s="938">
        <f t="shared" si="305"/>
        <v>0</v>
      </c>
      <c r="FY85" s="938" t="str">
        <f t="shared" si="306"/>
        <v/>
      </c>
      <c r="FZ85" s="713">
        <f>'min. Düngung 22'!BJ86</f>
        <v>0</v>
      </c>
      <c r="GA85" s="938"/>
      <c r="GB85" s="938"/>
      <c r="GC85" s="938">
        <f t="shared" si="307"/>
        <v>0</v>
      </c>
      <c r="GD85" s="938">
        <f t="shared" si="308"/>
        <v>0</v>
      </c>
      <c r="GE85" s="938">
        <f t="shared" si="309"/>
        <v>0</v>
      </c>
      <c r="GF85" s="938">
        <f t="shared" si="310"/>
        <v>0</v>
      </c>
      <c r="GG85" s="938">
        <f t="shared" si="311"/>
        <v>0</v>
      </c>
      <c r="GH85" s="938" t="str">
        <f t="shared" si="312"/>
        <v/>
      </c>
      <c r="GI85" s="713">
        <f>'min. Düngung 22'!BM86</f>
        <v>0</v>
      </c>
      <c r="GJ85" s="938"/>
      <c r="GK85" s="938"/>
      <c r="GL85" s="938">
        <f t="shared" si="313"/>
        <v>0</v>
      </c>
      <c r="GM85" s="938">
        <f t="shared" si="314"/>
        <v>0</v>
      </c>
      <c r="GN85" s="938">
        <f t="shared" si="315"/>
        <v>0</v>
      </c>
      <c r="GO85" s="938">
        <f t="shared" si="316"/>
        <v>0</v>
      </c>
      <c r="GP85" s="938">
        <f t="shared" si="317"/>
        <v>0</v>
      </c>
      <c r="GQ85" s="938" t="str">
        <f t="shared" si="318"/>
        <v/>
      </c>
      <c r="GR85" s="713">
        <f>'min. Düngung 22'!BP86</f>
        <v>0</v>
      </c>
      <c r="GS85" s="938"/>
      <c r="GT85" s="938"/>
      <c r="GU85" s="938">
        <f t="shared" si="319"/>
        <v>0</v>
      </c>
      <c r="GV85" s="938">
        <f t="shared" si="320"/>
        <v>0</v>
      </c>
      <c r="GW85" s="938">
        <f t="shared" si="321"/>
        <v>0</v>
      </c>
      <c r="GX85" s="938">
        <f t="shared" si="322"/>
        <v>0</v>
      </c>
      <c r="GY85" s="938">
        <f t="shared" si="323"/>
        <v>0</v>
      </c>
      <c r="GZ85" s="938" t="str">
        <f t="shared" si="324"/>
        <v/>
      </c>
      <c r="HA85" s="713">
        <f>'min. Düngung 22'!BS86</f>
        <v>0</v>
      </c>
      <c r="HB85" s="938"/>
      <c r="HC85" s="938"/>
      <c r="HD85" s="938">
        <f t="shared" si="325"/>
        <v>0</v>
      </c>
      <c r="HE85" s="938">
        <f t="shared" si="326"/>
        <v>0</v>
      </c>
      <c r="HF85" s="938">
        <f t="shared" si="327"/>
        <v>0</v>
      </c>
      <c r="HG85" s="938">
        <f t="shared" si="328"/>
        <v>0</v>
      </c>
      <c r="HH85" s="938">
        <f t="shared" si="329"/>
        <v>0</v>
      </c>
      <c r="HI85" s="938" t="str">
        <f t="shared" si="330"/>
        <v/>
      </c>
      <c r="HJ85" s="713">
        <f>'min. Düngung 22'!BV86</f>
        <v>0</v>
      </c>
      <c r="HK85" s="938"/>
      <c r="HL85" s="938"/>
      <c r="HM85" s="938">
        <f t="shared" si="331"/>
        <v>0</v>
      </c>
      <c r="HN85" s="938">
        <f t="shared" si="332"/>
        <v>0</v>
      </c>
      <c r="HO85" s="938">
        <f t="shared" si="333"/>
        <v>0</v>
      </c>
      <c r="HP85" s="938">
        <f t="shared" si="334"/>
        <v>0</v>
      </c>
      <c r="HQ85" s="938">
        <f t="shared" si="335"/>
        <v>0</v>
      </c>
      <c r="HR85" s="938" t="str">
        <f t="shared" si="336"/>
        <v/>
      </c>
      <c r="HS85" s="713">
        <f>'min. Düngung 22'!BY86</f>
        <v>0</v>
      </c>
      <c r="HT85" s="938"/>
      <c r="HU85" s="938"/>
      <c r="HV85" s="938">
        <f t="shared" si="337"/>
        <v>0</v>
      </c>
      <c r="HW85" s="938">
        <f t="shared" si="338"/>
        <v>0</v>
      </c>
      <c r="HX85" s="938">
        <f t="shared" si="339"/>
        <v>0</v>
      </c>
      <c r="HY85" s="938">
        <f t="shared" si="340"/>
        <v>0</v>
      </c>
      <c r="HZ85" s="938">
        <f t="shared" si="341"/>
        <v>0</v>
      </c>
      <c r="IA85" s="938" t="str">
        <f t="shared" si="342"/>
        <v/>
      </c>
      <c r="IB85" s="713">
        <f>'min. Düngung 22'!CB86</f>
        <v>0</v>
      </c>
      <c r="IC85" s="938"/>
      <c r="ID85" s="938"/>
      <c r="IE85" s="938">
        <f t="shared" si="343"/>
        <v>0</v>
      </c>
      <c r="IF85" s="938">
        <f t="shared" si="344"/>
        <v>0</v>
      </c>
      <c r="IG85" s="938">
        <f t="shared" si="345"/>
        <v>0</v>
      </c>
      <c r="IH85" s="938">
        <f t="shared" si="346"/>
        <v>0</v>
      </c>
      <c r="II85" s="938">
        <f t="shared" si="347"/>
        <v>0</v>
      </c>
      <c r="IJ85" s="938" t="str">
        <f t="shared" si="348"/>
        <v/>
      </c>
      <c r="IK85" s="713">
        <f>'min. Düngung 22'!CE86</f>
        <v>0</v>
      </c>
      <c r="IL85" s="938"/>
      <c r="IM85" s="938"/>
      <c r="IN85" s="938">
        <f t="shared" si="349"/>
        <v>0</v>
      </c>
      <c r="IO85" s="938">
        <f t="shared" si="350"/>
        <v>0</v>
      </c>
      <c r="IP85" s="938">
        <f t="shared" si="351"/>
        <v>0</v>
      </c>
      <c r="IQ85" s="938">
        <f t="shared" si="352"/>
        <v>0</v>
      </c>
      <c r="IR85" s="938">
        <f t="shared" si="353"/>
        <v>0</v>
      </c>
      <c r="IS85" s="938" t="str">
        <f t="shared" si="354"/>
        <v/>
      </c>
      <c r="IT85" s="713">
        <f>'min. Düngung 22'!CH86</f>
        <v>0</v>
      </c>
      <c r="IU85" s="938"/>
      <c r="IV85" s="938"/>
      <c r="IW85" s="938">
        <f t="shared" si="355"/>
        <v>0</v>
      </c>
      <c r="IX85" s="938">
        <f t="shared" si="356"/>
        <v>0</v>
      </c>
      <c r="IY85" s="938">
        <f t="shared" si="357"/>
        <v>0</v>
      </c>
      <c r="IZ85" s="938">
        <f t="shared" si="358"/>
        <v>0</v>
      </c>
      <c r="JA85" s="938">
        <f t="shared" si="359"/>
        <v>0</v>
      </c>
      <c r="JB85" s="938" t="str">
        <f t="shared" si="360"/>
        <v/>
      </c>
      <c r="JC85" s="713">
        <f>'min. Düngung 22'!CK86</f>
        <v>0</v>
      </c>
      <c r="JD85" s="938"/>
      <c r="JE85" s="938"/>
      <c r="JF85" s="938">
        <f t="shared" si="361"/>
        <v>0</v>
      </c>
      <c r="JG85" s="938">
        <f t="shared" si="362"/>
        <v>0</v>
      </c>
      <c r="JH85" s="938">
        <f t="shared" si="363"/>
        <v>0</v>
      </c>
      <c r="JI85" s="938">
        <f t="shared" si="364"/>
        <v>0</v>
      </c>
      <c r="JJ85" s="938">
        <f t="shared" si="365"/>
        <v>0</v>
      </c>
      <c r="JK85" s="938" t="str">
        <f t="shared" si="366"/>
        <v/>
      </c>
      <c r="JL85" s="713">
        <f>'min. Düngung 22'!CN86</f>
        <v>0</v>
      </c>
      <c r="JM85" s="938"/>
      <c r="JN85" s="938"/>
      <c r="JO85" s="938">
        <f t="shared" si="367"/>
        <v>0</v>
      </c>
      <c r="JP85" s="938">
        <f t="shared" si="368"/>
        <v>0</v>
      </c>
      <c r="JQ85" s="938">
        <f t="shared" si="369"/>
        <v>0</v>
      </c>
      <c r="JR85" s="938">
        <f t="shared" si="370"/>
        <v>0</v>
      </c>
      <c r="JS85" s="938">
        <f t="shared" si="371"/>
        <v>0</v>
      </c>
      <c r="JT85" s="938" t="str">
        <f t="shared" si="372"/>
        <v/>
      </c>
      <c r="JU85" s="713">
        <f>'min. Düngung 22'!CQ86</f>
        <v>0</v>
      </c>
      <c r="JV85" s="938"/>
      <c r="JW85" s="938"/>
      <c r="JX85" s="938">
        <f t="shared" si="373"/>
        <v>0</v>
      </c>
      <c r="JY85" s="938">
        <f t="shared" si="374"/>
        <v>0</v>
      </c>
      <c r="JZ85" s="938">
        <f t="shared" si="375"/>
        <v>0</v>
      </c>
      <c r="KA85" s="938">
        <f t="shared" si="376"/>
        <v>0</v>
      </c>
      <c r="KB85" s="938">
        <f t="shared" si="377"/>
        <v>0</v>
      </c>
      <c r="KC85" s="938" t="str">
        <f t="shared" si="378"/>
        <v/>
      </c>
      <c r="KE85" s="938"/>
      <c r="KF85" s="938" t="str">
        <f>IF(AND($F85=2,$G85=1),"",IF(OR($Q85&gt;0,$O85&gt;60),$KF$7,IF(I85=70,"",IF(AND(I85=80,R85+'#orgDung'!AC88&lt;60,K85=1,OR(C85=2,'#BerechnungDBE'!AH79=4)),"",IF(R85&gt;0,$KF$7,"")))))</f>
        <v/>
      </c>
      <c r="KG85" s="938" t="str">
        <f>IF(AND(P85&gt;'#BerechnungDBE'!BJ79,P85&gt;0),'#minDung'!$KG$7,"")</f>
        <v/>
      </c>
      <c r="KH85" s="938" t="str">
        <f>IF(AND(I85=70,R85&gt;'#BerechnungDBE'!CR79),'#minDung'!$KH$7,"")</f>
        <v/>
      </c>
      <c r="KI85" s="938" t="str">
        <f>IF('#BerechnungDBE'!P79&lt;4,"",IF(AND('#BerechnungDBE'!BZ79&gt;0,N85&gt;0),$KI$7,""))</f>
        <v/>
      </c>
      <c r="KJ85" s="938" t="str">
        <f t="shared" si="197"/>
        <v/>
      </c>
    </row>
    <row r="86" spans="1:296" s="875" customFormat="1" hidden="1" x14ac:dyDescent="0.2">
      <c r="A86" s="875">
        <f>'Flächen u. Kulturen'!A85</f>
        <v>76</v>
      </c>
      <c r="B86" s="734">
        <f>'#BerechnungDBE'!L80</f>
        <v>0</v>
      </c>
      <c r="C86" s="46">
        <f>'#orgDung'!C89</f>
        <v>1</v>
      </c>
      <c r="D86" s="875">
        <f>'#BerechnungDBE'!T80</f>
        <v>2</v>
      </c>
      <c r="E86" s="875" t="str">
        <f>'Flächen u. Kulturen'!E85</f>
        <v>x</v>
      </c>
      <c r="F86" s="52">
        <f>'#BerechnungDBE'!N80</f>
        <v>1</v>
      </c>
      <c r="G86" s="52">
        <f>'#BerechnungDBE'!O80</f>
        <v>1</v>
      </c>
      <c r="H86" s="505">
        <f>'#orgDung'!J89</f>
        <v>2</v>
      </c>
      <c r="I86" s="875">
        <f>'#BerechnungDBE'!AF80</f>
        <v>0</v>
      </c>
      <c r="J86" s="875">
        <f>'#orgDung'!M89</f>
        <v>0</v>
      </c>
      <c r="K86" s="875">
        <f>'#BerechnungDBE'!AG80</f>
        <v>0</v>
      </c>
      <c r="M86" s="875">
        <f t="shared" si="192"/>
        <v>0</v>
      </c>
      <c r="N86" s="875">
        <f t="shared" si="193"/>
        <v>0</v>
      </c>
      <c r="O86" s="875">
        <f t="shared" si="194"/>
        <v>0</v>
      </c>
      <c r="P86" s="875">
        <f t="shared" si="195"/>
        <v>0</v>
      </c>
      <c r="Q86" s="938">
        <f t="shared" si="198"/>
        <v>0</v>
      </c>
      <c r="R86" s="875">
        <f t="shared" si="196"/>
        <v>0</v>
      </c>
      <c r="T86" s="713">
        <f>'min. Düngung 22'!H87</f>
        <v>0</v>
      </c>
      <c r="W86" s="875">
        <f t="shared" si="199"/>
        <v>0</v>
      </c>
      <c r="X86" s="875">
        <f t="shared" si="200"/>
        <v>0</v>
      </c>
      <c r="Y86" s="875">
        <f t="shared" si="201"/>
        <v>0</v>
      </c>
      <c r="Z86" s="875">
        <f t="shared" si="202"/>
        <v>0</v>
      </c>
      <c r="AA86" s="875">
        <f t="shared" si="203"/>
        <v>0</v>
      </c>
      <c r="AB86" s="875" t="str">
        <f t="shared" si="204"/>
        <v/>
      </c>
      <c r="AC86" s="713">
        <f>'min. Düngung 22'!K87</f>
        <v>0</v>
      </c>
      <c r="AD86" s="938"/>
      <c r="AE86" s="938"/>
      <c r="AF86" s="938">
        <f t="shared" si="205"/>
        <v>0</v>
      </c>
      <c r="AG86" s="938">
        <f t="shared" si="206"/>
        <v>0</v>
      </c>
      <c r="AH86" s="938">
        <f t="shared" si="207"/>
        <v>0</v>
      </c>
      <c r="AI86" s="938">
        <f t="shared" si="208"/>
        <v>0</v>
      </c>
      <c r="AJ86" s="938">
        <f t="shared" si="209"/>
        <v>0</v>
      </c>
      <c r="AK86" s="938">
        <f t="shared" si="210"/>
        <v>0</v>
      </c>
      <c r="AL86" s="713">
        <f>'min. Düngung 22'!N87</f>
        <v>0</v>
      </c>
      <c r="AM86" s="938"/>
      <c r="AN86" s="938"/>
      <c r="AO86" s="938">
        <f t="shared" si="211"/>
        <v>0</v>
      </c>
      <c r="AP86" s="938">
        <f t="shared" si="212"/>
        <v>0</v>
      </c>
      <c r="AQ86" s="938">
        <f t="shared" si="213"/>
        <v>0</v>
      </c>
      <c r="AR86" s="938">
        <f t="shared" si="214"/>
        <v>0</v>
      </c>
      <c r="AS86" s="938">
        <f t="shared" si="215"/>
        <v>0</v>
      </c>
      <c r="AT86" s="938" t="str">
        <f t="shared" si="216"/>
        <v/>
      </c>
      <c r="AU86" s="713">
        <f>'min. Düngung 22'!Q87</f>
        <v>0</v>
      </c>
      <c r="AV86" s="938"/>
      <c r="AW86" s="938"/>
      <c r="AX86" s="938">
        <f t="shared" si="217"/>
        <v>0</v>
      </c>
      <c r="AY86" s="938">
        <f t="shared" si="218"/>
        <v>0</v>
      </c>
      <c r="AZ86" s="938">
        <f t="shared" si="219"/>
        <v>0</v>
      </c>
      <c r="BA86" s="938">
        <f t="shared" si="220"/>
        <v>0</v>
      </c>
      <c r="BB86" s="938">
        <f t="shared" si="221"/>
        <v>0</v>
      </c>
      <c r="BC86" s="938" t="str">
        <f t="shared" si="222"/>
        <v/>
      </c>
      <c r="BD86" s="713">
        <f>'min. Düngung 22'!T87</f>
        <v>0</v>
      </c>
      <c r="BE86" s="938"/>
      <c r="BF86" s="938"/>
      <c r="BG86" s="938">
        <f t="shared" si="223"/>
        <v>0</v>
      </c>
      <c r="BH86" s="938">
        <f t="shared" si="224"/>
        <v>0</v>
      </c>
      <c r="BI86" s="938">
        <f t="shared" si="225"/>
        <v>0</v>
      </c>
      <c r="BJ86" s="938">
        <f t="shared" si="226"/>
        <v>0</v>
      </c>
      <c r="BK86" s="938">
        <f t="shared" si="227"/>
        <v>0</v>
      </c>
      <c r="BL86" s="938" t="str">
        <f t="shared" si="228"/>
        <v/>
      </c>
      <c r="BM86" s="713">
        <f>'min. Düngung 22'!W87</f>
        <v>0</v>
      </c>
      <c r="BN86" s="938"/>
      <c r="BO86" s="938"/>
      <c r="BP86" s="938">
        <f t="shared" si="229"/>
        <v>0</v>
      </c>
      <c r="BQ86" s="938">
        <f t="shared" si="230"/>
        <v>0</v>
      </c>
      <c r="BR86" s="938">
        <f t="shared" si="231"/>
        <v>0</v>
      </c>
      <c r="BS86" s="938">
        <f t="shared" si="232"/>
        <v>0</v>
      </c>
      <c r="BT86" s="938">
        <f t="shared" si="233"/>
        <v>0</v>
      </c>
      <c r="BU86" s="938" t="str">
        <f t="shared" si="234"/>
        <v/>
      </c>
      <c r="BV86" s="713">
        <f>'min. Düngung 22'!Z87</f>
        <v>0</v>
      </c>
      <c r="BW86" s="938"/>
      <c r="BX86" s="938"/>
      <c r="BY86" s="938">
        <f t="shared" si="235"/>
        <v>0</v>
      </c>
      <c r="BZ86" s="938">
        <f t="shared" si="236"/>
        <v>0</v>
      </c>
      <c r="CA86" s="938">
        <f t="shared" si="237"/>
        <v>0</v>
      </c>
      <c r="CB86" s="938">
        <f t="shared" si="238"/>
        <v>0</v>
      </c>
      <c r="CC86" s="938">
        <f t="shared" si="239"/>
        <v>0</v>
      </c>
      <c r="CD86" s="938" t="str">
        <f t="shared" si="240"/>
        <v/>
      </c>
      <c r="CE86" s="713">
        <f>'min. Düngung 22'!AC87</f>
        <v>0</v>
      </c>
      <c r="CF86" s="938"/>
      <c r="CG86" s="938"/>
      <c r="CH86" s="938">
        <f t="shared" si="241"/>
        <v>0</v>
      </c>
      <c r="CI86" s="938">
        <f t="shared" si="242"/>
        <v>0</v>
      </c>
      <c r="CJ86" s="938">
        <f t="shared" si="243"/>
        <v>0</v>
      </c>
      <c r="CK86" s="938">
        <f t="shared" si="244"/>
        <v>0</v>
      </c>
      <c r="CL86" s="938">
        <f t="shared" si="245"/>
        <v>0</v>
      </c>
      <c r="CM86" s="938" t="str">
        <f t="shared" si="246"/>
        <v/>
      </c>
      <c r="CN86" s="713">
        <f>'min. Düngung 22'!AF87</f>
        <v>0</v>
      </c>
      <c r="CO86" s="938"/>
      <c r="CP86" s="938"/>
      <c r="CQ86" s="938">
        <f t="shared" si="247"/>
        <v>0</v>
      </c>
      <c r="CR86" s="938">
        <f t="shared" si="248"/>
        <v>0</v>
      </c>
      <c r="CS86" s="938">
        <f t="shared" si="249"/>
        <v>0</v>
      </c>
      <c r="CT86" s="938">
        <f t="shared" si="250"/>
        <v>0</v>
      </c>
      <c r="CU86" s="938">
        <f t="shared" si="251"/>
        <v>0</v>
      </c>
      <c r="CV86" s="938" t="str">
        <f t="shared" si="252"/>
        <v/>
      </c>
      <c r="CW86" s="713">
        <f>'min. Düngung 22'!AI87</f>
        <v>0</v>
      </c>
      <c r="CX86" s="938"/>
      <c r="CY86" s="938"/>
      <c r="CZ86" s="938">
        <f t="shared" si="253"/>
        <v>0</v>
      </c>
      <c r="DA86" s="938">
        <f t="shared" si="254"/>
        <v>0</v>
      </c>
      <c r="DB86" s="938">
        <f t="shared" si="255"/>
        <v>0</v>
      </c>
      <c r="DC86" s="938">
        <f t="shared" si="256"/>
        <v>0</v>
      </c>
      <c r="DD86" s="938">
        <f t="shared" si="257"/>
        <v>0</v>
      </c>
      <c r="DE86" s="938" t="str">
        <f t="shared" si="258"/>
        <v/>
      </c>
      <c r="DF86" s="713">
        <f>'min. Düngung 22'!AL87</f>
        <v>0</v>
      </c>
      <c r="DG86" s="938"/>
      <c r="DH86" s="938"/>
      <c r="DI86" s="938">
        <f t="shared" si="259"/>
        <v>0</v>
      </c>
      <c r="DJ86" s="938">
        <f t="shared" si="260"/>
        <v>0</v>
      </c>
      <c r="DK86" s="938">
        <f t="shared" si="261"/>
        <v>0</v>
      </c>
      <c r="DL86" s="938">
        <f t="shared" si="262"/>
        <v>0</v>
      </c>
      <c r="DM86" s="938">
        <f t="shared" si="263"/>
        <v>0</v>
      </c>
      <c r="DN86" s="938" t="str">
        <f t="shared" si="264"/>
        <v/>
      </c>
      <c r="DO86" s="713">
        <f>'min. Düngung 22'!AO87</f>
        <v>0</v>
      </c>
      <c r="DP86" s="938"/>
      <c r="DQ86" s="938"/>
      <c r="DR86" s="938">
        <f t="shared" si="265"/>
        <v>0</v>
      </c>
      <c r="DS86" s="938">
        <f t="shared" si="266"/>
        <v>0</v>
      </c>
      <c r="DT86" s="938">
        <f t="shared" si="267"/>
        <v>0</v>
      </c>
      <c r="DU86" s="938">
        <f t="shared" si="268"/>
        <v>0</v>
      </c>
      <c r="DV86" s="938">
        <f t="shared" si="269"/>
        <v>0</v>
      </c>
      <c r="DW86" s="938" t="str">
        <f t="shared" si="270"/>
        <v/>
      </c>
      <c r="DX86" s="713">
        <f>'min. Düngung 22'!AR87</f>
        <v>0</v>
      </c>
      <c r="DY86" s="938"/>
      <c r="DZ86" s="938"/>
      <c r="EA86" s="938">
        <f t="shared" si="271"/>
        <v>0</v>
      </c>
      <c r="EB86" s="938">
        <f t="shared" si="272"/>
        <v>0</v>
      </c>
      <c r="EC86" s="938">
        <f t="shared" si="273"/>
        <v>0</v>
      </c>
      <c r="ED86" s="938">
        <f t="shared" si="274"/>
        <v>0</v>
      </c>
      <c r="EE86" s="938">
        <f t="shared" si="275"/>
        <v>0</v>
      </c>
      <c r="EF86" s="938" t="str">
        <f t="shared" si="276"/>
        <v/>
      </c>
      <c r="EG86" s="713">
        <f>'min. Düngung 22'!AU87</f>
        <v>0</v>
      </c>
      <c r="EH86" s="938"/>
      <c r="EI86" s="938"/>
      <c r="EJ86" s="938">
        <f t="shared" si="277"/>
        <v>0</v>
      </c>
      <c r="EK86" s="938">
        <f t="shared" si="278"/>
        <v>0</v>
      </c>
      <c r="EL86" s="938">
        <f t="shared" si="279"/>
        <v>0</v>
      </c>
      <c r="EM86" s="938">
        <f t="shared" si="280"/>
        <v>0</v>
      </c>
      <c r="EN86" s="938">
        <f t="shared" si="281"/>
        <v>0</v>
      </c>
      <c r="EO86" s="938" t="str">
        <f t="shared" si="282"/>
        <v/>
      </c>
      <c r="EP86" s="713">
        <f>'min. Düngung 22'!AX87</f>
        <v>0</v>
      </c>
      <c r="EQ86" s="938"/>
      <c r="ER86" s="938"/>
      <c r="ES86" s="938">
        <f t="shared" si="283"/>
        <v>0</v>
      </c>
      <c r="ET86" s="938">
        <f t="shared" si="284"/>
        <v>0</v>
      </c>
      <c r="EU86" s="938">
        <f t="shared" si="285"/>
        <v>0</v>
      </c>
      <c r="EV86" s="938">
        <f t="shared" si="286"/>
        <v>0</v>
      </c>
      <c r="EW86" s="938">
        <f t="shared" si="287"/>
        <v>0</v>
      </c>
      <c r="EX86" s="938" t="str">
        <f t="shared" si="288"/>
        <v/>
      </c>
      <c r="EY86" s="713">
        <f>'min. Düngung 22'!BA87</f>
        <v>0</v>
      </c>
      <c r="EZ86" s="938"/>
      <c r="FA86" s="938"/>
      <c r="FB86" s="938">
        <f t="shared" si="289"/>
        <v>0</v>
      </c>
      <c r="FC86" s="938">
        <f t="shared" si="290"/>
        <v>0</v>
      </c>
      <c r="FD86" s="938">
        <f t="shared" si="291"/>
        <v>0</v>
      </c>
      <c r="FE86" s="938">
        <f t="shared" si="292"/>
        <v>0</v>
      </c>
      <c r="FF86" s="938">
        <f t="shared" si="293"/>
        <v>0</v>
      </c>
      <c r="FG86" s="938" t="str">
        <f t="shared" si="294"/>
        <v/>
      </c>
      <c r="FH86" s="713">
        <f>'min. Düngung 22'!BD87</f>
        <v>0</v>
      </c>
      <c r="FI86" s="938"/>
      <c r="FJ86" s="938"/>
      <c r="FK86" s="938">
        <f t="shared" si="295"/>
        <v>0</v>
      </c>
      <c r="FL86" s="938">
        <f t="shared" si="296"/>
        <v>0</v>
      </c>
      <c r="FM86" s="938">
        <f t="shared" si="297"/>
        <v>0</v>
      </c>
      <c r="FN86" s="938">
        <f t="shared" si="298"/>
        <v>0</v>
      </c>
      <c r="FO86" s="938">
        <f t="shared" si="299"/>
        <v>0</v>
      </c>
      <c r="FP86" s="938" t="str">
        <f t="shared" si="300"/>
        <v/>
      </c>
      <c r="FQ86" s="713">
        <f>'min. Düngung 22'!BG87</f>
        <v>0</v>
      </c>
      <c r="FR86" s="938"/>
      <c r="FS86" s="938"/>
      <c r="FT86" s="938">
        <f t="shared" si="301"/>
        <v>0</v>
      </c>
      <c r="FU86" s="938">
        <f t="shared" si="302"/>
        <v>0</v>
      </c>
      <c r="FV86" s="938">
        <f t="shared" si="303"/>
        <v>0</v>
      </c>
      <c r="FW86" s="938">
        <f t="shared" si="304"/>
        <v>0</v>
      </c>
      <c r="FX86" s="938">
        <f t="shared" si="305"/>
        <v>0</v>
      </c>
      <c r="FY86" s="938" t="str">
        <f t="shared" si="306"/>
        <v/>
      </c>
      <c r="FZ86" s="713">
        <f>'min. Düngung 22'!BJ87</f>
        <v>0</v>
      </c>
      <c r="GA86" s="938"/>
      <c r="GB86" s="938"/>
      <c r="GC86" s="938">
        <f t="shared" si="307"/>
        <v>0</v>
      </c>
      <c r="GD86" s="938">
        <f t="shared" si="308"/>
        <v>0</v>
      </c>
      <c r="GE86" s="938">
        <f t="shared" si="309"/>
        <v>0</v>
      </c>
      <c r="GF86" s="938">
        <f t="shared" si="310"/>
        <v>0</v>
      </c>
      <c r="GG86" s="938">
        <f t="shared" si="311"/>
        <v>0</v>
      </c>
      <c r="GH86" s="938" t="str">
        <f t="shared" si="312"/>
        <v/>
      </c>
      <c r="GI86" s="713">
        <f>'min. Düngung 22'!BM87</f>
        <v>0</v>
      </c>
      <c r="GJ86" s="938"/>
      <c r="GK86" s="938"/>
      <c r="GL86" s="938">
        <f t="shared" si="313"/>
        <v>0</v>
      </c>
      <c r="GM86" s="938">
        <f t="shared" si="314"/>
        <v>0</v>
      </c>
      <c r="GN86" s="938">
        <f t="shared" si="315"/>
        <v>0</v>
      </c>
      <c r="GO86" s="938">
        <f t="shared" si="316"/>
        <v>0</v>
      </c>
      <c r="GP86" s="938">
        <f t="shared" si="317"/>
        <v>0</v>
      </c>
      <c r="GQ86" s="938" t="str">
        <f t="shared" si="318"/>
        <v/>
      </c>
      <c r="GR86" s="713">
        <f>'min. Düngung 22'!BP87</f>
        <v>0</v>
      </c>
      <c r="GS86" s="938"/>
      <c r="GT86" s="938"/>
      <c r="GU86" s="938">
        <f t="shared" si="319"/>
        <v>0</v>
      </c>
      <c r="GV86" s="938">
        <f t="shared" si="320"/>
        <v>0</v>
      </c>
      <c r="GW86" s="938">
        <f t="shared" si="321"/>
        <v>0</v>
      </c>
      <c r="GX86" s="938">
        <f t="shared" si="322"/>
        <v>0</v>
      </c>
      <c r="GY86" s="938">
        <f t="shared" si="323"/>
        <v>0</v>
      </c>
      <c r="GZ86" s="938" t="str">
        <f t="shared" si="324"/>
        <v/>
      </c>
      <c r="HA86" s="713">
        <f>'min. Düngung 22'!BS87</f>
        <v>0</v>
      </c>
      <c r="HB86" s="938"/>
      <c r="HC86" s="938"/>
      <c r="HD86" s="938">
        <f t="shared" si="325"/>
        <v>0</v>
      </c>
      <c r="HE86" s="938">
        <f t="shared" si="326"/>
        <v>0</v>
      </c>
      <c r="HF86" s="938">
        <f t="shared" si="327"/>
        <v>0</v>
      </c>
      <c r="HG86" s="938">
        <f t="shared" si="328"/>
        <v>0</v>
      </c>
      <c r="HH86" s="938">
        <f t="shared" si="329"/>
        <v>0</v>
      </c>
      <c r="HI86" s="938" t="str">
        <f t="shared" si="330"/>
        <v/>
      </c>
      <c r="HJ86" s="713">
        <f>'min. Düngung 22'!BV87</f>
        <v>0</v>
      </c>
      <c r="HK86" s="938"/>
      <c r="HL86" s="938"/>
      <c r="HM86" s="938">
        <f t="shared" si="331"/>
        <v>0</v>
      </c>
      <c r="HN86" s="938">
        <f t="shared" si="332"/>
        <v>0</v>
      </c>
      <c r="HO86" s="938">
        <f t="shared" si="333"/>
        <v>0</v>
      </c>
      <c r="HP86" s="938">
        <f t="shared" si="334"/>
        <v>0</v>
      </c>
      <c r="HQ86" s="938">
        <f t="shared" si="335"/>
        <v>0</v>
      </c>
      <c r="HR86" s="938" t="str">
        <f t="shared" si="336"/>
        <v/>
      </c>
      <c r="HS86" s="713">
        <f>'min. Düngung 22'!BY87</f>
        <v>0</v>
      </c>
      <c r="HT86" s="938"/>
      <c r="HU86" s="938"/>
      <c r="HV86" s="938">
        <f t="shared" si="337"/>
        <v>0</v>
      </c>
      <c r="HW86" s="938">
        <f t="shared" si="338"/>
        <v>0</v>
      </c>
      <c r="HX86" s="938">
        <f t="shared" si="339"/>
        <v>0</v>
      </c>
      <c r="HY86" s="938">
        <f t="shared" si="340"/>
        <v>0</v>
      </c>
      <c r="HZ86" s="938">
        <f t="shared" si="341"/>
        <v>0</v>
      </c>
      <c r="IA86" s="938" t="str">
        <f t="shared" si="342"/>
        <v/>
      </c>
      <c r="IB86" s="713">
        <f>'min. Düngung 22'!CB87</f>
        <v>0</v>
      </c>
      <c r="IC86" s="938"/>
      <c r="ID86" s="938"/>
      <c r="IE86" s="938">
        <f t="shared" si="343"/>
        <v>0</v>
      </c>
      <c r="IF86" s="938">
        <f t="shared" si="344"/>
        <v>0</v>
      </c>
      <c r="IG86" s="938">
        <f t="shared" si="345"/>
        <v>0</v>
      </c>
      <c r="IH86" s="938">
        <f t="shared" si="346"/>
        <v>0</v>
      </c>
      <c r="II86" s="938">
        <f t="shared" si="347"/>
        <v>0</v>
      </c>
      <c r="IJ86" s="938" t="str">
        <f t="shared" si="348"/>
        <v/>
      </c>
      <c r="IK86" s="713">
        <f>'min. Düngung 22'!CE87</f>
        <v>0</v>
      </c>
      <c r="IL86" s="938"/>
      <c r="IM86" s="938"/>
      <c r="IN86" s="938">
        <f t="shared" si="349"/>
        <v>0</v>
      </c>
      <c r="IO86" s="938">
        <f t="shared" si="350"/>
        <v>0</v>
      </c>
      <c r="IP86" s="938">
        <f t="shared" si="351"/>
        <v>0</v>
      </c>
      <c r="IQ86" s="938">
        <f t="shared" si="352"/>
        <v>0</v>
      </c>
      <c r="IR86" s="938">
        <f t="shared" si="353"/>
        <v>0</v>
      </c>
      <c r="IS86" s="938" t="str">
        <f t="shared" si="354"/>
        <v/>
      </c>
      <c r="IT86" s="713">
        <f>'min. Düngung 22'!CH87</f>
        <v>0</v>
      </c>
      <c r="IU86" s="938"/>
      <c r="IV86" s="938"/>
      <c r="IW86" s="938">
        <f t="shared" si="355"/>
        <v>0</v>
      </c>
      <c r="IX86" s="938">
        <f t="shared" si="356"/>
        <v>0</v>
      </c>
      <c r="IY86" s="938">
        <f t="shared" si="357"/>
        <v>0</v>
      </c>
      <c r="IZ86" s="938">
        <f t="shared" si="358"/>
        <v>0</v>
      </c>
      <c r="JA86" s="938">
        <f t="shared" si="359"/>
        <v>0</v>
      </c>
      <c r="JB86" s="938" t="str">
        <f t="shared" si="360"/>
        <v/>
      </c>
      <c r="JC86" s="713">
        <f>'min. Düngung 22'!CK87</f>
        <v>0</v>
      </c>
      <c r="JD86" s="938"/>
      <c r="JE86" s="938"/>
      <c r="JF86" s="938">
        <f t="shared" si="361"/>
        <v>0</v>
      </c>
      <c r="JG86" s="938">
        <f t="shared" si="362"/>
        <v>0</v>
      </c>
      <c r="JH86" s="938">
        <f t="shared" si="363"/>
        <v>0</v>
      </c>
      <c r="JI86" s="938">
        <f t="shared" si="364"/>
        <v>0</v>
      </c>
      <c r="JJ86" s="938">
        <f t="shared" si="365"/>
        <v>0</v>
      </c>
      <c r="JK86" s="938" t="str">
        <f t="shared" si="366"/>
        <v/>
      </c>
      <c r="JL86" s="713">
        <f>'min. Düngung 22'!CN87</f>
        <v>0</v>
      </c>
      <c r="JM86" s="938"/>
      <c r="JN86" s="938"/>
      <c r="JO86" s="938">
        <f t="shared" si="367"/>
        <v>0</v>
      </c>
      <c r="JP86" s="938">
        <f t="shared" si="368"/>
        <v>0</v>
      </c>
      <c r="JQ86" s="938">
        <f t="shared" si="369"/>
        <v>0</v>
      </c>
      <c r="JR86" s="938">
        <f t="shared" si="370"/>
        <v>0</v>
      </c>
      <c r="JS86" s="938">
        <f t="shared" si="371"/>
        <v>0</v>
      </c>
      <c r="JT86" s="938" t="str">
        <f t="shared" si="372"/>
        <v/>
      </c>
      <c r="JU86" s="713">
        <f>'min. Düngung 22'!CQ87</f>
        <v>0</v>
      </c>
      <c r="JV86" s="938"/>
      <c r="JW86" s="938"/>
      <c r="JX86" s="938">
        <f t="shared" si="373"/>
        <v>0</v>
      </c>
      <c r="JY86" s="938">
        <f t="shared" si="374"/>
        <v>0</v>
      </c>
      <c r="JZ86" s="938">
        <f t="shared" si="375"/>
        <v>0</v>
      </c>
      <c r="KA86" s="938">
        <f t="shared" si="376"/>
        <v>0</v>
      </c>
      <c r="KB86" s="938">
        <f t="shared" si="377"/>
        <v>0</v>
      </c>
      <c r="KC86" s="938" t="str">
        <f t="shared" si="378"/>
        <v/>
      </c>
      <c r="KE86" s="938"/>
      <c r="KF86" s="938" t="str">
        <f>IF(AND($F86=2,$G86=1),"",IF(OR($Q86&gt;0,$O86&gt;60),$KF$7,IF(I86=70,"",IF(AND(I86=80,R86+'#orgDung'!AC89&lt;60,K86=1,OR(C86=2,'#BerechnungDBE'!AH80=4)),"",IF(R86&gt;0,$KF$7,"")))))</f>
        <v/>
      </c>
      <c r="KG86" s="938" t="str">
        <f>IF(AND(P86&gt;'#BerechnungDBE'!BJ80,P86&gt;0),'#minDung'!$KG$7,"")</f>
        <v/>
      </c>
      <c r="KH86" s="938" t="str">
        <f>IF(AND(I86=70,R86&gt;'#BerechnungDBE'!CR80),'#minDung'!$KH$7,"")</f>
        <v/>
      </c>
      <c r="KI86" s="938" t="str">
        <f>IF('#BerechnungDBE'!P80&lt;4,"",IF(AND('#BerechnungDBE'!BZ80&gt;0,N86&gt;0),$KI$7,""))</f>
        <v/>
      </c>
      <c r="KJ86" s="938" t="str">
        <f t="shared" si="197"/>
        <v/>
      </c>
    </row>
    <row r="87" spans="1:296" s="875" customFormat="1" hidden="1" x14ac:dyDescent="0.2">
      <c r="A87" s="875">
        <f>'Flächen u. Kulturen'!A86</f>
        <v>77</v>
      </c>
      <c r="B87" s="734">
        <f>'#BerechnungDBE'!L81</f>
        <v>0</v>
      </c>
      <c r="C87" s="46">
        <f>'#orgDung'!C90</f>
        <v>1</v>
      </c>
      <c r="D87" s="875">
        <f>'#BerechnungDBE'!T81</f>
        <v>2</v>
      </c>
      <c r="E87" s="875" t="str">
        <f>'Flächen u. Kulturen'!E86</f>
        <v>x</v>
      </c>
      <c r="F87" s="52">
        <f>'#BerechnungDBE'!N81</f>
        <v>1</v>
      </c>
      <c r="G87" s="52">
        <f>'#BerechnungDBE'!O81</f>
        <v>1</v>
      </c>
      <c r="H87" s="505">
        <f>'#orgDung'!J90</f>
        <v>2</v>
      </c>
      <c r="I87" s="875">
        <f>'#BerechnungDBE'!AF81</f>
        <v>0</v>
      </c>
      <c r="J87" s="875">
        <f>'#orgDung'!M90</f>
        <v>0</v>
      </c>
      <c r="K87" s="875">
        <f>'#BerechnungDBE'!AG81</f>
        <v>0</v>
      </c>
      <c r="M87" s="875">
        <f t="shared" si="192"/>
        <v>0</v>
      </c>
      <c r="N87" s="875">
        <f t="shared" si="193"/>
        <v>0</v>
      </c>
      <c r="O87" s="875">
        <f t="shared" si="194"/>
        <v>0</v>
      </c>
      <c r="P87" s="875">
        <f t="shared" si="195"/>
        <v>0</v>
      </c>
      <c r="Q87" s="938">
        <f t="shared" si="198"/>
        <v>0</v>
      </c>
      <c r="R87" s="875">
        <f t="shared" si="196"/>
        <v>0</v>
      </c>
      <c r="T87" s="713">
        <f>'min. Düngung 22'!H88</f>
        <v>0</v>
      </c>
      <c r="W87" s="875">
        <f t="shared" si="199"/>
        <v>0</v>
      </c>
      <c r="X87" s="875">
        <f t="shared" si="200"/>
        <v>0</v>
      </c>
      <c r="Y87" s="875">
        <f t="shared" si="201"/>
        <v>0</v>
      </c>
      <c r="Z87" s="875">
        <f t="shared" si="202"/>
        <v>0</v>
      </c>
      <c r="AA87" s="875">
        <f t="shared" si="203"/>
        <v>0</v>
      </c>
      <c r="AB87" s="875" t="str">
        <f t="shared" si="204"/>
        <v/>
      </c>
      <c r="AC87" s="713">
        <f>'min. Düngung 22'!K88</f>
        <v>0</v>
      </c>
      <c r="AD87" s="938"/>
      <c r="AE87" s="938"/>
      <c r="AF87" s="938">
        <f t="shared" si="205"/>
        <v>0</v>
      </c>
      <c r="AG87" s="938">
        <f t="shared" si="206"/>
        <v>0</v>
      </c>
      <c r="AH87" s="938">
        <f t="shared" si="207"/>
        <v>0</v>
      </c>
      <c r="AI87" s="938">
        <f t="shared" si="208"/>
        <v>0</v>
      </c>
      <c r="AJ87" s="938">
        <f t="shared" si="209"/>
        <v>0</v>
      </c>
      <c r="AK87" s="938">
        <f t="shared" si="210"/>
        <v>0</v>
      </c>
      <c r="AL87" s="713">
        <f>'min. Düngung 22'!N88</f>
        <v>0</v>
      </c>
      <c r="AM87" s="938"/>
      <c r="AN87" s="938"/>
      <c r="AO87" s="938">
        <f t="shared" si="211"/>
        <v>0</v>
      </c>
      <c r="AP87" s="938">
        <f t="shared" si="212"/>
        <v>0</v>
      </c>
      <c r="AQ87" s="938">
        <f t="shared" si="213"/>
        <v>0</v>
      </c>
      <c r="AR87" s="938">
        <f t="shared" si="214"/>
        <v>0</v>
      </c>
      <c r="AS87" s="938">
        <f t="shared" si="215"/>
        <v>0</v>
      </c>
      <c r="AT87" s="938" t="str">
        <f t="shared" si="216"/>
        <v/>
      </c>
      <c r="AU87" s="713">
        <f>'min. Düngung 22'!Q88</f>
        <v>0</v>
      </c>
      <c r="AV87" s="938"/>
      <c r="AW87" s="938"/>
      <c r="AX87" s="938">
        <f t="shared" si="217"/>
        <v>0</v>
      </c>
      <c r="AY87" s="938">
        <f t="shared" si="218"/>
        <v>0</v>
      </c>
      <c r="AZ87" s="938">
        <f t="shared" si="219"/>
        <v>0</v>
      </c>
      <c r="BA87" s="938">
        <f t="shared" si="220"/>
        <v>0</v>
      </c>
      <c r="BB87" s="938">
        <f t="shared" si="221"/>
        <v>0</v>
      </c>
      <c r="BC87" s="938" t="str">
        <f t="shared" si="222"/>
        <v/>
      </c>
      <c r="BD87" s="713">
        <f>'min. Düngung 22'!T88</f>
        <v>0</v>
      </c>
      <c r="BE87" s="938"/>
      <c r="BF87" s="938"/>
      <c r="BG87" s="938">
        <f t="shared" si="223"/>
        <v>0</v>
      </c>
      <c r="BH87" s="938">
        <f t="shared" si="224"/>
        <v>0</v>
      </c>
      <c r="BI87" s="938">
        <f t="shared" si="225"/>
        <v>0</v>
      </c>
      <c r="BJ87" s="938">
        <f t="shared" si="226"/>
        <v>0</v>
      </c>
      <c r="BK87" s="938">
        <f t="shared" si="227"/>
        <v>0</v>
      </c>
      <c r="BL87" s="938" t="str">
        <f t="shared" si="228"/>
        <v/>
      </c>
      <c r="BM87" s="713">
        <f>'min. Düngung 22'!W88</f>
        <v>0</v>
      </c>
      <c r="BN87" s="938"/>
      <c r="BO87" s="938"/>
      <c r="BP87" s="938">
        <f t="shared" si="229"/>
        <v>0</v>
      </c>
      <c r="BQ87" s="938">
        <f t="shared" si="230"/>
        <v>0</v>
      </c>
      <c r="BR87" s="938">
        <f t="shared" si="231"/>
        <v>0</v>
      </c>
      <c r="BS87" s="938">
        <f t="shared" si="232"/>
        <v>0</v>
      </c>
      <c r="BT87" s="938">
        <f t="shared" si="233"/>
        <v>0</v>
      </c>
      <c r="BU87" s="938" t="str">
        <f t="shared" si="234"/>
        <v/>
      </c>
      <c r="BV87" s="713">
        <f>'min. Düngung 22'!Z88</f>
        <v>0</v>
      </c>
      <c r="BW87" s="938"/>
      <c r="BX87" s="938"/>
      <c r="BY87" s="938">
        <f t="shared" si="235"/>
        <v>0</v>
      </c>
      <c r="BZ87" s="938">
        <f t="shared" si="236"/>
        <v>0</v>
      </c>
      <c r="CA87" s="938">
        <f t="shared" si="237"/>
        <v>0</v>
      </c>
      <c r="CB87" s="938">
        <f t="shared" si="238"/>
        <v>0</v>
      </c>
      <c r="CC87" s="938">
        <f t="shared" si="239"/>
        <v>0</v>
      </c>
      <c r="CD87" s="938" t="str">
        <f t="shared" si="240"/>
        <v/>
      </c>
      <c r="CE87" s="713">
        <f>'min. Düngung 22'!AC88</f>
        <v>0</v>
      </c>
      <c r="CF87" s="938"/>
      <c r="CG87" s="938"/>
      <c r="CH87" s="938">
        <f t="shared" si="241"/>
        <v>0</v>
      </c>
      <c r="CI87" s="938">
        <f t="shared" si="242"/>
        <v>0</v>
      </c>
      <c r="CJ87" s="938">
        <f t="shared" si="243"/>
        <v>0</v>
      </c>
      <c r="CK87" s="938">
        <f t="shared" si="244"/>
        <v>0</v>
      </c>
      <c r="CL87" s="938">
        <f t="shared" si="245"/>
        <v>0</v>
      </c>
      <c r="CM87" s="938" t="str">
        <f t="shared" si="246"/>
        <v/>
      </c>
      <c r="CN87" s="713">
        <f>'min. Düngung 22'!AF88</f>
        <v>0</v>
      </c>
      <c r="CO87" s="938"/>
      <c r="CP87" s="938"/>
      <c r="CQ87" s="938">
        <f t="shared" si="247"/>
        <v>0</v>
      </c>
      <c r="CR87" s="938">
        <f t="shared" si="248"/>
        <v>0</v>
      </c>
      <c r="CS87" s="938">
        <f t="shared" si="249"/>
        <v>0</v>
      </c>
      <c r="CT87" s="938">
        <f t="shared" si="250"/>
        <v>0</v>
      </c>
      <c r="CU87" s="938">
        <f t="shared" si="251"/>
        <v>0</v>
      </c>
      <c r="CV87" s="938" t="str">
        <f t="shared" si="252"/>
        <v/>
      </c>
      <c r="CW87" s="713">
        <f>'min. Düngung 22'!AI88</f>
        <v>0</v>
      </c>
      <c r="CX87" s="938"/>
      <c r="CY87" s="938"/>
      <c r="CZ87" s="938">
        <f t="shared" si="253"/>
        <v>0</v>
      </c>
      <c r="DA87" s="938">
        <f t="shared" si="254"/>
        <v>0</v>
      </c>
      <c r="DB87" s="938">
        <f t="shared" si="255"/>
        <v>0</v>
      </c>
      <c r="DC87" s="938">
        <f t="shared" si="256"/>
        <v>0</v>
      </c>
      <c r="DD87" s="938">
        <f t="shared" si="257"/>
        <v>0</v>
      </c>
      <c r="DE87" s="938" t="str">
        <f t="shared" si="258"/>
        <v/>
      </c>
      <c r="DF87" s="713">
        <f>'min. Düngung 22'!AL88</f>
        <v>0</v>
      </c>
      <c r="DG87" s="938"/>
      <c r="DH87" s="938"/>
      <c r="DI87" s="938">
        <f t="shared" si="259"/>
        <v>0</v>
      </c>
      <c r="DJ87" s="938">
        <f t="shared" si="260"/>
        <v>0</v>
      </c>
      <c r="DK87" s="938">
        <f t="shared" si="261"/>
        <v>0</v>
      </c>
      <c r="DL87" s="938">
        <f t="shared" si="262"/>
        <v>0</v>
      </c>
      <c r="DM87" s="938">
        <f t="shared" si="263"/>
        <v>0</v>
      </c>
      <c r="DN87" s="938" t="str">
        <f t="shared" si="264"/>
        <v/>
      </c>
      <c r="DO87" s="713">
        <f>'min. Düngung 22'!AO88</f>
        <v>0</v>
      </c>
      <c r="DP87" s="938"/>
      <c r="DQ87" s="938"/>
      <c r="DR87" s="938">
        <f t="shared" si="265"/>
        <v>0</v>
      </c>
      <c r="DS87" s="938">
        <f t="shared" si="266"/>
        <v>0</v>
      </c>
      <c r="DT87" s="938">
        <f t="shared" si="267"/>
        <v>0</v>
      </c>
      <c r="DU87" s="938">
        <f t="shared" si="268"/>
        <v>0</v>
      </c>
      <c r="DV87" s="938">
        <f t="shared" si="269"/>
        <v>0</v>
      </c>
      <c r="DW87" s="938" t="str">
        <f t="shared" si="270"/>
        <v/>
      </c>
      <c r="DX87" s="713">
        <f>'min. Düngung 22'!AR88</f>
        <v>0</v>
      </c>
      <c r="DY87" s="938"/>
      <c r="DZ87" s="938"/>
      <c r="EA87" s="938">
        <f t="shared" si="271"/>
        <v>0</v>
      </c>
      <c r="EB87" s="938">
        <f t="shared" si="272"/>
        <v>0</v>
      </c>
      <c r="EC87" s="938">
        <f t="shared" si="273"/>
        <v>0</v>
      </c>
      <c r="ED87" s="938">
        <f t="shared" si="274"/>
        <v>0</v>
      </c>
      <c r="EE87" s="938">
        <f t="shared" si="275"/>
        <v>0</v>
      </c>
      <c r="EF87" s="938" t="str">
        <f t="shared" si="276"/>
        <v/>
      </c>
      <c r="EG87" s="713">
        <f>'min. Düngung 22'!AU88</f>
        <v>0</v>
      </c>
      <c r="EH87" s="938"/>
      <c r="EI87" s="938"/>
      <c r="EJ87" s="938">
        <f t="shared" si="277"/>
        <v>0</v>
      </c>
      <c r="EK87" s="938">
        <f t="shared" si="278"/>
        <v>0</v>
      </c>
      <c r="EL87" s="938">
        <f t="shared" si="279"/>
        <v>0</v>
      </c>
      <c r="EM87" s="938">
        <f t="shared" si="280"/>
        <v>0</v>
      </c>
      <c r="EN87" s="938">
        <f t="shared" si="281"/>
        <v>0</v>
      </c>
      <c r="EO87" s="938" t="str">
        <f t="shared" si="282"/>
        <v/>
      </c>
      <c r="EP87" s="713">
        <f>'min. Düngung 22'!AX88</f>
        <v>0</v>
      </c>
      <c r="EQ87" s="938"/>
      <c r="ER87" s="938"/>
      <c r="ES87" s="938">
        <f t="shared" si="283"/>
        <v>0</v>
      </c>
      <c r="ET87" s="938">
        <f t="shared" si="284"/>
        <v>0</v>
      </c>
      <c r="EU87" s="938">
        <f t="shared" si="285"/>
        <v>0</v>
      </c>
      <c r="EV87" s="938">
        <f t="shared" si="286"/>
        <v>0</v>
      </c>
      <c r="EW87" s="938">
        <f t="shared" si="287"/>
        <v>0</v>
      </c>
      <c r="EX87" s="938" t="str">
        <f t="shared" si="288"/>
        <v/>
      </c>
      <c r="EY87" s="713">
        <f>'min. Düngung 22'!BA88</f>
        <v>0</v>
      </c>
      <c r="EZ87" s="938"/>
      <c r="FA87" s="938"/>
      <c r="FB87" s="938">
        <f t="shared" si="289"/>
        <v>0</v>
      </c>
      <c r="FC87" s="938">
        <f t="shared" si="290"/>
        <v>0</v>
      </c>
      <c r="FD87" s="938">
        <f t="shared" si="291"/>
        <v>0</v>
      </c>
      <c r="FE87" s="938">
        <f t="shared" si="292"/>
        <v>0</v>
      </c>
      <c r="FF87" s="938">
        <f t="shared" si="293"/>
        <v>0</v>
      </c>
      <c r="FG87" s="938" t="str">
        <f t="shared" si="294"/>
        <v/>
      </c>
      <c r="FH87" s="713">
        <f>'min. Düngung 22'!BD88</f>
        <v>0</v>
      </c>
      <c r="FI87" s="938"/>
      <c r="FJ87" s="938"/>
      <c r="FK87" s="938">
        <f t="shared" si="295"/>
        <v>0</v>
      </c>
      <c r="FL87" s="938">
        <f t="shared" si="296"/>
        <v>0</v>
      </c>
      <c r="FM87" s="938">
        <f t="shared" si="297"/>
        <v>0</v>
      </c>
      <c r="FN87" s="938">
        <f t="shared" si="298"/>
        <v>0</v>
      </c>
      <c r="FO87" s="938">
        <f t="shared" si="299"/>
        <v>0</v>
      </c>
      <c r="FP87" s="938" t="str">
        <f t="shared" si="300"/>
        <v/>
      </c>
      <c r="FQ87" s="713">
        <f>'min. Düngung 22'!BG88</f>
        <v>0</v>
      </c>
      <c r="FR87" s="938"/>
      <c r="FS87" s="938"/>
      <c r="FT87" s="938">
        <f t="shared" si="301"/>
        <v>0</v>
      </c>
      <c r="FU87" s="938">
        <f t="shared" si="302"/>
        <v>0</v>
      </c>
      <c r="FV87" s="938">
        <f t="shared" si="303"/>
        <v>0</v>
      </c>
      <c r="FW87" s="938">
        <f t="shared" si="304"/>
        <v>0</v>
      </c>
      <c r="FX87" s="938">
        <f t="shared" si="305"/>
        <v>0</v>
      </c>
      <c r="FY87" s="938" t="str">
        <f t="shared" si="306"/>
        <v/>
      </c>
      <c r="FZ87" s="713">
        <f>'min. Düngung 22'!BJ88</f>
        <v>0</v>
      </c>
      <c r="GA87" s="938"/>
      <c r="GB87" s="938"/>
      <c r="GC87" s="938">
        <f t="shared" si="307"/>
        <v>0</v>
      </c>
      <c r="GD87" s="938">
        <f t="shared" si="308"/>
        <v>0</v>
      </c>
      <c r="GE87" s="938">
        <f t="shared" si="309"/>
        <v>0</v>
      </c>
      <c r="GF87" s="938">
        <f t="shared" si="310"/>
        <v>0</v>
      </c>
      <c r="GG87" s="938">
        <f t="shared" si="311"/>
        <v>0</v>
      </c>
      <c r="GH87" s="938" t="str">
        <f t="shared" si="312"/>
        <v/>
      </c>
      <c r="GI87" s="713">
        <f>'min. Düngung 22'!BM88</f>
        <v>0</v>
      </c>
      <c r="GJ87" s="938"/>
      <c r="GK87" s="938"/>
      <c r="GL87" s="938">
        <f t="shared" si="313"/>
        <v>0</v>
      </c>
      <c r="GM87" s="938">
        <f t="shared" si="314"/>
        <v>0</v>
      </c>
      <c r="GN87" s="938">
        <f t="shared" si="315"/>
        <v>0</v>
      </c>
      <c r="GO87" s="938">
        <f t="shared" si="316"/>
        <v>0</v>
      </c>
      <c r="GP87" s="938">
        <f t="shared" si="317"/>
        <v>0</v>
      </c>
      <c r="GQ87" s="938" t="str">
        <f t="shared" si="318"/>
        <v/>
      </c>
      <c r="GR87" s="713">
        <f>'min. Düngung 22'!BP88</f>
        <v>0</v>
      </c>
      <c r="GS87" s="938"/>
      <c r="GT87" s="938"/>
      <c r="GU87" s="938">
        <f t="shared" si="319"/>
        <v>0</v>
      </c>
      <c r="GV87" s="938">
        <f t="shared" si="320"/>
        <v>0</v>
      </c>
      <c r="GW87" s="938">
        <f t="shared" si="321"/>
        <v>0</v>
      </c>
      <c r="GX87" s="938">
        <f t="shared" si="322"/>
        <v>0</v>
      </c>
      <c r="GY87" s="938">
        <f t="shared" si="323"/>
        <v>0</v>
      </c>
      <c r="GZ87" s="938" t="str">
        <f t="shared" si="324"/>
        <v/>
      </c>
      <c r="HA87" s="713">
        <f>'min. Düngung 22'!BS88</f>
        <v>0</v>
      </c>
      <c r="HB87" s="938"/>
      <c r="HC87" s="938"/>
      <c r="HD87" s="938">
        <f t="shared" si="325"/>
        <v>0</v>
      </c>
      <c r="HE87" s="938">
        <f t="shared" si="326"/>
        <v>0</v>
      </c>
      <c r="HF87" s="938">
        <f t="shared" si="327"/>
        <v>0</v>
      </c>
      <c r="HG87" s="938">
        <f t="shared" si="328"/>
        <v>0</v>
      </c>
      <c r="HH87" s="938">
        <f t="shared" si="329"/>
        <v>0</v>
      </c>
      <c r="HI87" s="938" t="str">
        <f t="shared" si="330"/>
        <v/>
      </c>
      <c r="HJ87" s="713">
        <f>'min. Düngung 22'!BV88</f>
        <v>0</v>
      </c>
      <c r="HK87" s="938"/>
      <c r="HL87" s="938"/>
      <c r="HM87" s="938">
        <f t="shared" si="331"/>
        <v>0</v>
      </c>
      <c r="HN87" s="938">
        <f t="shared" si="332"/>
        <v>0</v>
      </c>
      <c r="HO87" s="938">
        <f t="shared" si="333"/>
        <v>0</v>
      </c>
      <c r="HP87" s="938">
        <f t="shared" si="334"/>
        <v>0</v>
      </c>
      <c r="HQ87" s="938">
        <f t="shared" si="335"/>
        <v>0</v>
      </c>
      <c r="HR87" s="938" t="str">
        <f t="shared" si="336"/>
        <v/>
      </c>
      <c r="HS87" s="713">
        <f>'min. Düngung 22'!BY88</f>
        <v>0</v>
      </c>
      <c r="HT87" s="938"/>
      <c r="HU87" s="938"/>
      <c r="HV87" s="938">
        <f t="shared" si="337"/>
        <v>0</v>
      </c>
      <c r="HW87" s="938">
        <f t="shared" si="338"/>
        <v>0</v>
      </c>
      <c r="HX87" s="938">
        <f t="shared" si="339"/>
        <v>0</v>
      </c>
      <c r="HY87" s="938">
        <f t="shared" si="340"/>
        <v>0</v>
      </c>
      <c r="HZ87" s="938">
        <f t="shared" si="341"/>
        <v>0</v>
      </c>
      <c r="IA87" s="938" t="str">
        <f t="shared" si="342"/>
        <v/>
      </c>
      <c r="IB87" s="713">
        <f>'min. Düngung 22'!CB88</f>
        <v>0</v>
      </c>
      <c r="IC87" s="938"/>
      <c r="ID87" s="938"/>
      <c r="IE87" s="938">
        <f t="shared" si="343"/>
        <v>0</v>
      </c>
      <c r="IF87" s="938">
        <f t="shared" si="344"/>
        <v>0</v>
      </c>
      <c r="IG87" s="938">
        <f t="shared" si="345"/>
        <v>0</v>
      </c>
      <c r="IH87" s="938">
        <f t="shared" si="346"/>
        <v>0</v>
      </c>
      <c r="II87" s="938">
        <f t="shared" si="347"/>
        <v>0</v>
      </c>
      <c r="IJ87" s="938" t="str">
        <f t="shared" si="348"/>
        <v/>
      </c>
      <c r="IK87" s="713">
        <f>'min. Düngung 22'!CE88</f>
        <v>0</v>
      </c>
      <c r="IL87" s="938"/>
      <c r="IM87" s="938"/>
      <c r="IN87" s="938">
        <f t="shared" si="349"/>
        <v>0</v>
      </c>
      <c r="IO87" s="938">
        <f t="shared" si="350"/>
        <v>0</v>
      </c>
      <c r="IP87" s="938">
        <f t="shared" si="351"/>
        <v>0</v>
      </c>
      <c r="IQ87" s="938">
        <f t="shared" si="352"/>
        <v>0</v>
      </c>
      <c r="IR87" s="938">
        <f t="shared" si="353"/>
        <v>0</v>
      </c>
      <c r="IS87" s="938" t="str">
        <f t="shared" si="354"/>
        <v/>
      </c>
      <c r="IT87" s="713">
        <f>'min. Düngung 22'!CH88</f>
        <v>0</v>
      </c>
      <c r="IU87" s="938"/>
      <c r="IV87" s="938"/>
      <c r="IW87" s="938">
        <f t="shared" si="355"/>
        <v>0</v>
      </c>
      <c r="IX87" s="938">
        <f t="shared" si="356"/>
        <v>0</v>
      </c>
      <c r="IY87" s="938">
        <f t="shared" si="357"/>
        <v>0</v>
      </c>
      <c r="IZ87" s="938">
        <f t="shared" si="358"/>
        <v>0</v>
      </c>
      <c r="JA87" s="938">
        <f t="shared" si="359"/>
        <v>0</v>
      </c>
      <c r="JB87" s="938" t="str">
        <f t="shared" si="360"/>
        <v/>
      </c>
      <c r="JC87" s="713">
        <f>'min. Düngung 22'!CK88</f>
        <v>0</v>
      </c>
      <c r="JD87" s="938"/>
      <c r="JE87" s="938"/>
      <c r="JF87" s="938">
        <f t="shared" si="361"/>
        <v>0</v>
      </c>
      <c r="JG87" s="938">
        <f t="shared" si="362"/>
        <v>0</v>
      </c>
      <c r="JH87" s="938">
        <f t="shared" si="363"/>
        <v>0</v>
      </c>
      <c r="JI87" s="938">
        <f t="shared" si="364"/>
        <v>0</v>
      </c>
      <c r="JJ87" s="938">
        <f t="shared" si="365"/>
        <v>0</v>
      </c>
      <c r="JK87" s="938" t="str">
        <f t="shared" si="366"/>
        <v/>
      </c>
      <c r="JL87" s="713">
        <f>'min. Düngung 22'!CN88</f>
        <v>0</v>
      </c>
      <c r="JM87" s="938"/>
      <c r="JN87" s="938"/>
      <c r="JO87" s="938">
        <f t="shared" si="367"/>
        <v>0</v>
      </c>
      <c r="JP87" s="938">
        <f t="shared" si="368"/>
        <v>0</v>
      </c>
      <c r="JQ87" s="938">
        <f t="shared" si="369"/>
        <v>0</v>
      </c>
      <c r="JR87" s="938">
        <f t="shared" si="370"/>
        <v>0</v>
      </c>
      <c r="JS87" s="938">
        <f t="shared" si="371"/>
        <v>0</v>
      </c>
      <c r="JT87" s="938" t="str">
        <f t="shared" si="372"/>
        <v/>
      </c>
      <c r="JU87" s="713">
        <f>'min. Düngung 22'!CQ88</f>
        <v>0</v>
      </c>
      <c r="JV87" s="938"/>
      <c r="JW87" s="938"/>
      <c r="JX87" s="938">
        <f t="shared" si="373"/>
        <v>0</v>
      </c>
      <c r="JY87" s="938">
        <f t="shared" si="374"/>
        <v>0</v>
      </c>
      <c r="JZ87" s="938">
        <f t="shared" si="375"/>
        <v>0</v>
      </c>
      <c r="KA87" s="938">
        <f t="shared" si="376"/>
        <v>0</v>
      </c>
      <c r="KB87" s="938">
        <f t="shared" si="377"/>
        <v>0</v>
      </c>
      <c r="KC87" s="938" t="str">
        <f t="shared" si="378"/>
        <v/>
      </c>
      <c r="KE87" s="938"/>
      <c r="KF87" s="938" t="str">
        <f>IF(AND($F87=2,$G87=1),"",IF(OR($Q87&gt;0,$O87&gt;60),$KF$7,IF(I87=70,"",IF(AND(I87=80,R87+'#orgDung'!AC90&lt;60,K87=1,OR(C87=2,'#BerechnungDBE'!AH81=4)),"",IF(R87&gt;0,$KF$7,"")))))</f>
        <v/>
      </c>
      <c r="KG87" s="938" t="str">
        <f>IF(AND(P87&gt;'#BerechnungDBE'!BJ81,P87&gt;0),'#minDung'!$KG$7,"")</f>
        <v/>
      </c>
      <c r="KH87" s="938" t="str">
        <f>IF(AND(I87=70,R87&gt;'#BerechnungDBE'!CR81),'#minDung'!$KH$7,"")</f>
        <v/>
      </c>
      <c r="KI87" s="938" t="str">
        <f>IF('#BerechnungDBE'!P81&lt;4,"",IF(AND('#BerechnungDBE'!BZ81&gt;0,N87&gt;0),$KI$7,""))</f>
        <v/>
      </c>
      <c r="KJ87" s="938" t="str">
        <f t="shared" si="197"/>
        <v/>
      </c>
    </row>
    <row r="88" spans="1:296" s="875" customFormat="1" hidden="1" x14ac:dyDescent="0.2">
      <c r="A88" s="875">
        <f>'Flächen u. Kulturen'!A87</f>
        <v>78</v>
      </c>
      <c r="B88" s="734">
        <f>'#BerechnungDBE'!L82</f>
        <v>0</v>
      </c>
      <c r="C88" s="46">
        <f>'#orgDung'!C91</f>
        <v>1</v>
      </c>
      <c r="D88" s="875">
        <f>'#BerechnungDBE'!T82</f>
        <v>2</v>
      </c>
      <c r="E88" s="875" t="str">
        <f>'Flächen u. Kulturen'!E87</f>
        <v>x</v>
      </c>
      <c r="F88" s="52">
        <f>'#BerechnungDBE'!N82</f>
        <v>1</v>
      </c>
      <c r="G88" s="52">
        <f>'#BerechnungDBE'!O82</f>
        <v>1</v>
      </c>
      <c r="H88" s="505">
        <f>'#orgDung'!J91</f>
        <v>2</v>
      </c>
      <c r="I88" s="875">
        <f>'#BerechnungDBE'!AF82</f>
        <v>0</v>
      </c>
      <c r="J88" s="875">
        <f>'#orgDung'!M91</f>
        <v>0</v>
      </c>
      <c r="K88" s="875">
        <f>'#BerechnungDBE'!AG82</f>
        <v>0</v>
      </c>
      <c r="M88" s="875">
        <f t="shared" si="192"/>
        <v>0</v>
      </c>
      <c r="N88" s="875">
        <f t="shared" si="193"/>
        <v>0</v>
      </c>
      <c r="O88" s="875">
        <f t="shared" si="194"/>
        <v>0</v>
      </c>
      <c r="P88" s="875">
        <f t="shared" si="195"/>
        <v>0</v>
      </c>
      <c r="Q88" s="938">
        <f t="shared" si="198"/>
        <v>0</v>
      </c>
      <c r="R88" s="875">
        <f t="shared" si="196"/>
        <v>0</v>
      </c>
      <c r="T88" s="713">
        <f>'min. Düngung 22'!H89</f>
        <v>0</v>
      </c>
      <c r="W88" s="875">
        <f t="shared" si="199"/>
        <v>0</v>
      </c>
      <c r="X88" s="875">
        <f t="shared" si="200"/>
        <v>0</v>
      </c>
      <c r="Y88" s="875">
        <f t="shared" si="201"/>
        <v>0</v>
      </c>
      <c r="Z88" s="875">
        <f t="shared" si="202"/>
        <v>0</v>
      </c>
      <c r="AA88" s="875">
        <f t="shared" si="203"/>
        <v>0</v>
      </c>
      <c r="AB88" s="875" t="str">
        <f t="shared" si="204"/>
        <v/>
      </c>
      <c r="AC88" s="713">
        <f>'min. Düngung 22'!K89</f>
        <v>0</v>
      </c>
      <c r="AD88" s="938"/>
      <c r="AE88" s="938"/>
      <c r="AF88" s="938">
        <f t="shared" si="205"/>
        <v>0</v>
      </c>
      <c r="AG88" s="938">
        <f t="shared" si="206"/>
        <v>0</v>
      </c>
      <c r="AH88" s="938">
        <f t="shared" si="207"/>
        <v>0</v>
      </c>
      <c r="AI88" s="938">
        <f t="shared" si="208"/>
        <v>0</v>
      </c>
      <c r="AJ88" s="938">
        <f t="shared" si="209"/>
        <v>0</v>
      </c>
      <c r="AK88" s="938">
        <f t="shared" si="210"/>
        <v>0</v>
      </c>
      <c r="AL88" s="713">
        <f>'min. Düngung 22'!N89</f>
        <v>0</v>
      </c>
      <c r="AM88" s="938"/>
      <c r="AN88" s="938"/>
      <c r="AO88" s="938">
        <f t="shared" si="211"/>
        <v>0</v>
      </c>
      <c r="AP88" s="938">
        <f t="shared" si="212"/>
        <v>0</v>
      </c>
      <c r="AQ88" s="938">
        <f t="shared" si="213"/>
        <v>0</v>
      </c>
      <c r="AR88" s="938">
        <f t="shared" si="214"/>
        <v>0</v>
      </c>
      <c r="AS88" s="938">
        <f t="shared" si="215"/>
        <v>0</v>
      </c>
      <c r="AT88" s="938" t="str">
        <f t="shared" si="216"/>
        <v/>
      </c>
      <c r="AU88" s="713">
        <f>'min. Düngung 22'!Q89</f>
        <v>0</v>
      </c>
      <c r="AV88" s="938"/>
      <c r="AW88" s="938"/>
      <c r="AX88" s="938">
        <f t="shared" si="217"/>
        <v>0</v>
      </c>
      <c r="AY88" s="938">
        <f t="shared" si="218"/>
        <v>0</v>
      </c>
      <c r="AZ88" s="938">
        <f t="shared" si="219"/>
        <v>0</v>
      </c>
      <c r="BA88" s="938">
        <f t="shared" si="220"/>
        <v>0</v>
      </c>
      <c r="BB88" s="938">
        <f t="shared" si="221"/>
        <v>0</v>
      </c>
      <c r="BC88" s="938" t="str">
        <f t="shared" si="222"/>
        <v/>
      </c>
      <c r="BD88" s="713">
        <f>'min. Düngung 22'!T89</f>
        <v>0</v>
      </c>
      <c r="BE88" s="938"/>
      <c r="BF88" s="938"/>
      <c r="BG88" s="938">
        <f t="shared" si="223"/>
        <v>0</v>
      </c>
      <c r="BH88" s="938">
        <f t="shared" si="224"/>
        <v>0</v>
      </c>
      <c r="BI88" s="938">
        <f t="shared" si="225"/>
        <v>0</v>
      </c>
      <c r="BJ88" s="938">
        <f t="shared" si="226"/>
        <v>0</v>
      </c>
      <c r="BK88" s="938">
        <f t="shared" si="227"/>
        <v>0</v>
      </c>
      <c r="BL88" s="938" t="str">
        <f t="shared" si="228"/>
        <v/>
      </c>
      <c r="BM88" s="713">
        <f>'min. Düngung 22'!W89</f>
        <v>0</v>
      </c>
      <c r="BN88" s="938"/>
      <c r="BO88" s="938"/>
      <c r="BP88" s="938">
        <f t="shared" si="229"/>
        <v>0</v>
      </c>
      <c r="BQ88" s="938">
        <f t="shared" si="230"/>
        <v>0</v>
      </c>
      <c r="BR88" s="938">
        <f t="shared" si="231"/>
        <v>0</v>
      </c>
      <c r="BS88" s="938">
        <f t="shared" si="232"/>
        <v>0</v>
      </c>
      <c r="BT88" s="938">
        <f t="shared" si="233"/>
        <v>0</v>
      </c>
      <c r="BU88" s="938" t="str">
        <f t="shared" si="234"/>
        <v/>
      </c>
      <c r="BV88" s="713">
        <f>'min. Düngung 22'!Z89</f>
        <v>0</v>
      </c>
      <c r="BW88" s="938"/>
      <c r="BX88" s="938"/>
      <c r="BY88" s="938">
        <f t="shared" si="235"/>
        <v>0</v>
      </c>
      <c r="BZ88" s="938">
        <f t="shared" si="236"/>
        <v>0</v>
      </c>
      <c r="CA88" s="938">
        <f t="shared" si="237"/>
        <v>0</v>
      </c>
      <c r="CB88" s="938">
        <f t="shared" si="238"/>
        <v>0</v>
      </c>
      <c r="CC88" s="938">
        <f t="shared" si="239"/>
        <v>0</v>
      </c>
      <c r="CD88" s="938" t="str">
        <f t="shared" si="240"/>
        <v/>
      </c>
      <c r="CE88" s="713">
        <f>'min. Düngung 22'!AC89</f>
        <v>0</v>
      </c>
      <c r="CF88" s="938"/>
      <c r="CG88" s="938"/>
      <c r="CH88" s="938">
        <f t="shared" si="241"/>
        <v>0</v>
      </c>
      <c r="CI88" s="938">
        <f t="shared" si="242"/>
        <v>0</v>
      </c>
      <c r="CJ88" s="938">
        <f t="shared" si="243"/>
        <v>0</v>
      </c>
      <c r="CK88" s="938">
        <f t="shared" si="244"/>
        <v>0</v>
      </c>
      <c r="CL88" s="938">
        <f t="shared" si="245"/>
        <v>0</v>
      </c>
      <c r="CM88" s="938" t="str">
        <f t="shared" si="246"/>
        <v/>
      </c>
      <c r="CN88" s="713">
        <f>'min. Düngung 22'!AF89</f>
        <v>0</v>
      </c>
      <c r="CO88" s="938"/>
      <c r="CP88" s="938"/>
      <c r="CQ88" s="938">
        <f t="shared" si="247"/>
        <v>0</v>
      </c>
      <c r="CR88" s="938">
        <f t="shared" si="248"/>
        <v>0</v>
      </c>
      <c r="CS88" s="938">
        <f t="shared" si="249"/>
        <v>0</v>
      </c>
      <c r="CT88" s="938">
        <f t="shared" si="250"/>
        <v>0</v>
      </c>
      <c r="CU88" s="938">
        <f t="shared" si="251"/>
        <v>0</v>
      </c>
      <c r="CV88" s="938" t="str">
        <f t="shared" si="252"/>
        <v/>
      </c>
      <c r="CW88" s="713">
        <f>'min. Düngung 22'!AI89</f>
        <v>0</v>
      </c>
      <c r="CX88" s="938"/>
      <c r="CY88" s="938"/>
      <c r="CZ88" s="938">
        <f t="shared" si="253"/>
        <v>0</v>
      </c>
      <c r="DA88" s="938">
        <f t="shared" si="254"/>
        <v>0</v>
      </c>
      <c r="DB88" s="938">
        <f t="shared" si="255"/>
        <v>0</v>
      </c>
      <c r="DC88" s="938">
        <f t="shared" si="256"/>
        <v>0</v>
      </c>
      <c r="DD88" s="938">
        <f t="shared" si="257"/>
        <v>0</v>
      </c>
      <c r="DE88" s="938" t="str">
        <f t="shared" si="258"/>
        <v/>
      </c>
      <c r="DF88" s="713">
        <f>'min. Düngung 22'!AL89</f>
        <v>0</v>
      </c>
      <c r="DG88" s="938"/>
      <c r="DH88" s="938"/>
      <c r="DI88" s="938">
        <f t="shared" si="259"/>
        <v>0</v>
      </c>
      <c r="DJ88" s="938">
        <f t="shared" si="260"/>
        <v>0</v>
      </c>
      <c r="DK88" s="938">
        <f t="shared" si="261"/>
        <v>0</v>
      </c>
      <c r="DL88" s="938">
        <f t="shared" si="262"/>
        <v>0</v>
      </c>
      <c r="DM88" s="938">
        <f t="shared" si="263"/>
        <v>0</v>
      </c>
      <c r="DN88" s="938" t="str">
        <f t="shared" si="264"/>
        <v/>
      </c>
      <c r="DO88" s="713">
        <f>'min. Düngung 22'!AO89</f>
        <v>0</v>
      </c>
      <c r="DP88" s="938"/>
      <c r="DQ88" s="938"/>
      <c r="DR88" s="938">
        <f t="shared" si="265"/>
        <v>0</v>
      </c>
      <c r="DS88" s="938">
        <f t="shared" si="266"/>
        <v>0</v>
      </c>
      <c r="DT88" s="938">
        <f t="shared" si="267"/>
        <v>0</v>
      </c>
      <c r="DU88" s="938">
        <f t="shared" si="268"/>
        <v>0</v>
      </c>
      <c r="DV88" s="938">
        <f t="shared" si="269"/>
        <v>0</v>
      </c>
      <c r="DW88" s="938" t="str">
        <f t="shared" si="270"/>
        <v/>
      </c>
      <c r="DX88" s="713">
        <f>'min. Düngung 22'!AR89</f>
        <v>0</v>
      </c>
      <c r="DY88" s="938"/>
      <c r="DZ88" s="938"/>
      <c r="EA88" s="938">
        <f t="shared" si="271"/>
        <v>0</v>
      </c>
      <c r="EB88" s="938">
        <f t="shared" si="272"/>
        <v>0</v>
      </c>
      <c r="EC88" s="938">
        <f t="shared" si="273"/>
        <v>0</v>
      </c>
      <c r="ED88" s="938">
        <f t="shared" si="274"/>
        <v>0</v>
      </c>
      <c r="EE88" s="938">
        <f t="shared" si="275"/>
        <v>0</v>
      </c>
      <c r="EF88" s="938" t="str">
        <f t="shared" si="276"/>
        <v/>
      </c>
      <c r="EG88" s="713">
        <f>'min. Düngung 22'!AU89</f>
        <v>0</v>
      </c>
      <c r="EH88" s="938"/>
      <c r="EI88" s="938"/>
      <c r="EJ88" s="938">
        <f t="shared" si="277"/>
        <v>0</v>
      </c>
      <c r="EK88" s="938">
        <f t="shared" si="278"/>
        <v>0</v>
      </c>
      <c r="EL88" s="938">
        <f t="shared" si="279"/>
        <v>0</v>
      </c>
      <c r="EM88" s="938">
        <f t="shared" si="280"/>
        <v>0</v>
      </c>
      <c r="EN88" s="938">
        <f t="shared" si="281"/>
        <v>0</v>
      </c>
      <c r="EO88" s="938" t="str">
        <f t="shared" si="282"/>
        <v/>
      </c>
      <c r="EP88" s="713">
        <f>'min. Düngung 22'!AX89</f>
        <v>0</v>
      </c>
      <c r="EQ88" s="938"/>
      <c r="ER88" s="938"/>
      <c r="ES88" s="938">
        <f t="shared" si="283"/>
        <v>0</v>
      </c>
      <c r="ET88" s="938">
        <f t="shared" si="284"/>
        <v>0</v>
      </c>
      <c r="EU88" s="938">
        <f t="shared" si="285"/>
        <v>0</v>
      </c>
      <c r="EV88" s="938">
        <f t="shared" si="286"/>
        <v>0</v>
      </c>
      <c r="EW88" s="938">
        <f t="shared" si="287"/>
        <v>0</v>
      </c>
      <c r="EX88" s="938" t="str">
        <f t="shared" si="288"/>
        <v/>
      </c>
      <c r="EY88" s="713">
        <f>'min. Düngung 22'!BA89</f>
        <v>0</v>
      </c>
      <c r="EZ88" s="938"/>
      <c r="FA88" s="938"/>
      <c r="FB88" s="938">
        <f t="shared" si="289"/>
        <v>0</v>
      </c>
      <c r="FC88" s="938">
        <f t="shared" si="290"/>
        <v>0</v>
      </c>
      <c r="FD88" s="938">
        <f t="shared" si="291"/>
        <v>0</v>
      </c>
      <c r="FE88" s="938">
        <f t="shared" si="292"/>
        <v>0</v>
      </c>
      <c r="FF88" s="938">
        <f t="shared" si="293"/>
        <v>0</v>
      </c>
      <c r="FG88" s="938" t="str">
        <f t="shared" si="294"/>
        <v/>
      </c>
      <c r="FH88" s="713">
        <f>'min. Düngung 22'!BD89</f>
        <v>0</v>
      </c>
      <c r="FI88" s="938"/>
      <c r="FJ88" s="938"/>
      <c r="FK88" s="938">
        <f t="shared" si="295"/>
        <v>0</v>
      </c>
      <c r="FL88" s="938">
        <f t="shared" si="296"/>
        <v>0</v>
      </c>
      <c r="FM88" s="938">
        <f t="shared" si="297"/>
        <v>0</v>
      </c>
      <c r="FN88" s="938">
        <f t="shared" si="298"/>
        <v>0</v>
      </c>
      <c r="FO88" s="938">
        <f t="shared" si="299"/>
        <v>0</v>
      </c>
      <c r="FP88" s="938" t="str">
        <f t="shared" si="300"/>
        <v/>
      </c>
      <c r="FQ88" s="713">
        <f>'min. Düngung 22'!BG89</f>
        <v>0</v>
      </c>
      <c r="FR88" s="938"/>
      <c r="FS88" s="938"/>
      <c r="FT88" s="938">
        <f t="shared" si="301"/>
        <v>0</v>
      </c>
      <c r="FU88" s="938">
        <f t="shared" si="302"/>
        <v>0</v>
      </c>
      <c r="FV88" s="938">
        <f t="shared" si="303"/>
        <v>0</v>
      </c>
      <c r="FW88" s="938">
        <f t="shared" si="304"/>
        <v>0</v>
      </c>
      <c r="FX88" s="938">
        <f t="shared" si="305"/>
        <v>0</v>
      </c>
      <c r="FY88" s="938" t="str">
        <f t="shared" si="306"/>
        <v/>
      </c>
      <c r="FZ88" s="713">
        <f>'min. Düngung 22'!BJ89</f>
        <v>0</v>
      </c>
      <c r="GA88" s="938"/>
      <c r="GB88" s="938"/>
      <c r="GC88" s="938">
        <f t="shared" si="307"/>
        <v>0</v>
      </c>
      <c r="GD88" s="938">
        <f t="shared" si="308"/>
        <v>0</v>
      </c>
      <c r="GE88" s="938">
        <f t="shared" si="309"/>
        <v>0</v>
      </c>
      <c r="GF88" s="938">
        <f t="shared" si="310"/>
        <v>0</v>
      </c>
      <c r="GG88" s="938">
        <f t="shared" si="311"/>
        <v>0</v>
      </c>
      <c r="GH88" s="938" t="str">
        <f t="shared" si="312"/>
        <v/>
      </c>
      <c r="GI88" s="713">
        <f>'min. Düngung 22'!BM89</f>
        <v>0</v>
      </c>
      <c r="GJ88" s="938"/>
      <c r="GK88" s="938"/>
      <c r="GL88" s="938">
        <f t="shared" si="313"/>
        <v>0</v>
      </c>
      <c r="GM88" s="938">
        <f t="shared" si="314"/>
        <v>0</v>
      </c>
      <c r="GN88" s="938">
        <f t="shared" si="315"/>
        <v>0</v>
      </c>
      <c r="GO88" s="938">
        <f t="shared" si="316"/>
        <v>0</v>
      </c>
      <c r="GP88" s="938">
        <f t="shared" si="317"/>
        <v>0</v>
      </c>
      <c r="GQ88" s="938" t="str">
        <f t="shared" si="318"/>
        <v/>
      </c>
      <c r="GR88" s="713">
        <f>'min. Düngung 22'!BP89</f>
        <v>0</v>
      </c>
      <c r="GS88" s="938"/>
      <c r="GT88" s="938"/>
      <c r="GU88" s="938">
        <f t="shared" si="319"/>
        <v>0</v>
      </c>
      <c r="GV88" s="938">
        <f t="shared" si="320"/>
        <v>0</v>
      </c>
      <c r="GW88" s="938">
        <f t="shared" si="321"/>
        <v>0</v>
      </c>
      <c r="GX88" s="938">
        <f t="shared" si="322"/>
        <v>0</v>
      </c>
      <c r="GY88" s="938">
        <f t="shared" si="323"/>
        <v>0</v>
      </c>
      <c r="GZ88" s="938" t="str">
        <f t="shared" si="324"/>
        <v/>
      </c>
      <c r="HA88" s="713">
        <f>'min. Düngung 22'!BS89</f>
        <v>0</v>
      </c>
      <c r="HB88" s="938"/>
      <c r="HC88" s="938"/>
      <c r="HD88" s="938">
        <f t="shared" si="325"/>
        <v>0</v>
      </c>
      <c r="HE88" s="938">
        <f t="shared" si="326"/>
        <v>0</v>
      </c>
      <c r="HF88" s="938">
        <f t="shared" si="327"/>
        <v>0</v>
      </c>
      <c r="HG88" s="938">
        <f t="shared" si="328"/>
        <v>0</v>
      </c>
      <c r="HH88" s="938">
        <f t="shared" si="329"/>
        <v>0</v>
      </c>
      <c r="HI88" s="938" t="str">
        <f t="shared" si="330"/>
        <v/>
      </c>
      <c r="HJ88" s="713">
        <f>'min. Düngung 22'!BV89</f>
        <v>0</v>
      </c>
      <c r="HK88" s="938"/>
      <c r="HL88" s="938"/>
      <c r="HM88" s="938">
        <f t="shared" si="331"/>
        <v>0</v>
      </c>
      <c r="HN88" s="938">
        <f t="shared" si="332"/>
        <v>0</v>
      </c>
      <c r="HO88" s="938">
        <f t="shared" si="333"/>
        <v>0</v>
      </c>
      <c r="HP88" s="938">
        <f t="shared" si="334"/>
        <v>0</v>
      </c>
      <c r="HQ88" s="938">
        <f t="shared" si="335"/>
        <v>0</v>
      </c>
      <c r="HR88" s="938" t="str">
        <f t="shared" si="336"/>
        <v/>
      </c>
      <c r="HS88" s="713">
        <f>'min. Düngung 22'!BY89</f>
        <v>0</v>
      </c>
      <c r="HT88" s="938"/>
      <c r="HU88" s="938"/>
      <c r="HV88" s="938">
        <f t="shared" si="337"/>
        <v>0</v>
      </c>
      <c r="HW88" s="938">
        <f t="shared" si="338"/>
        <v>0</v>
      </c>
      <c r="HX88" s="938">
        <f t="shared" si="339"/>
        <v>0</v>
      </c>
      <c r="HY88" s="938">
        <f t="shared" si="340"/>
        <v>0</v>
      </c>
      <c r="HZ88" s="938">
        <f t="shared" si="341"/>
        <v>0</v>
      </c>
      <c r="IA88" s="938" t="str">
        <f t="shared" si="342"/>
        <v/>
      </c>
      <c r="IB88" s="713">
        <f>'min. Düngung 22'!CB89</f>
        <v>0</v>
      </c>
      <c r="IC88" s="938"/>
      <c r="ID88" s="938"/>
      <c r="IE88" s="938">
        <f t="shared" si="343"/>
        <v>0</v>
      </c>
      <c r="IF88" s="938">
        <f t="shared" si="344"/>
        <v>0</v>
      </c>
      <c r="IG88" s="938">
        <f t="shared" si="345"/>
        <v>0</v>
      </c>
      <c r="IH88" s="938">
        <f t="shared" si="346"/>
        <v>0</v>
      </c>
      <c r="II88" s="938">
        <f t="shared" si="347"/>
        <v>0</v>
      </c>
      <c r="IJ88" s="938" t="str">
        <f t="shared" si="348"/>
        <v/>
      </c>
      <c r="IK88" s="713">
        <f>'min. Düngung 22'!CE89</f>
        <v>0</v>
      </c>
      <c r="IL88" s="938"/>
      <c r="IM88" s="938"/>
      <c r="IN88" s="938">
        <f t="shared" si="349"/>
        <v>0</v>
      </c>
      <c r="IO88" s="938">
        <f t="shared" si="350"/>
        <v>0</v>
      </c>
      <c r="IP88" s="938">
        <f t="shared" si="351"/>
        <v>0</v>
      </c>
      <c r="IQ88" s="938">
        <f t="shared" si="352"/>
        <v>0</v>
      </c>
      <c r="IR88" s="938">
        <f t="shared" si="353"/>
        <v>0</v>
      </c>
      <c r="IS88" s="938" t="str">
        <f t="shared" si="354"/>
        <v/>
      </c>
      <c r="IT88" s="713">
        <f>'min. Düngung 22'!CH89</f>
        <v>0</v>
      </c>
      <c r="IU88" s="938"/>
      <c r="IV88" s="938"/>
      <c r="IW88" s="938">
        <f t="shared" si="355"/>
        <v>0</v>
      </c>
      <c r="IX88" s="938">
        <f t="shared" si="356"/>
        <v>0</v>
      </c>
      <c r="IY88" s="938">
        <f t="shared" si="357"/>
        <v>0</v>
      </c>
      <c r="IZ88" s="938">
        <f t="shared" si="358"/>
        <v>0</v>
      </c>
      <c r="JA88" s="938">
        <f t="shared" si="359"/>
        <v>0</v>
      </c>
      <c r="JB88" s="938" t="str">
        <f t="shared" si="360"/>
        <v/>
      </c>
      <c r="JC88" s="713">
        <f>'min. Düngung 22'!CK89</f>
        <v>0</v>
      </c>
      <c r="JD88" s="938"/>
      <c r="JE88" s="938"/>
      <c r="JF88" s="938">
        <f t="shared" si="361"/>
        <v>0</v>
      </c>
      <c r="JG88" s="938">
        <f t="shared" si="362"/>
        <v>0</v>
      </c>
      <c r="JH88" s="938">
        <f t="shared" si="363"/>
        <v>0</v>
      </c>
      <c r="JI88" s="938">
        <f t="shared" si="364"/>
        <v>0</v>
      </c>
      <c r="JJ88" s="938">
        <f t="shared" si="365"/>
        <v>0</v>
      </c>
      <c r="JK88" s="938" t="str">
        <f t="shared" si="366"/>
        <v/>
      </c>
      <c r="JL88" s="713">
        <f>'min. Düngung 22'!CN89</f>
        <v>0</v>
      </c>
      <c r="JM88" s="938"/>
      <c r="JN88" s="938"/>
      <c r="JO88" s="938">
        <f t="shared" si="367"/>
        <v>0</v>
      </c>
      <c r="JP88" s="938">
        <f t="shared" si="368"/>
        <v>0</v>
      </c>
      <c r="JQ88" s="938">
        <f t="shared" si="369"/>
        <v>0</v>
      </c>
      <c r="JR88" s="938">
        <f t="shared" si="370"/>
        <v>0</v>
      </c>
      <c r="JS88" s="938">
        <f t="shared" si="371"/>
        <v>0</v>
      </c>
      <c r="JT88" s="938" t="str">
        <f t="shared" si="372"/>
        <v/>
      </c>
      <c r="JU88" s="713">
        <f>'min. Düngung 22'!CQ89</f>
        <v>0</v>
      </c>
      <c r="JV88" s="938"/>
      <c r="JW88" s="938"/>
      <c r="JX88" s="938">
        <f t="shared" si="373"/>
        <v>0</v>
      </c>
      <c r="JY88" s="938">
        <f t="shared" si="374"/>
        <v>0</v>
      </c>
      <c r="JZ88" s="938">
        <f t="shared" si="375"/>
        <v>0</v>
      </c>
      <c r="KA88" s="938">
        <f t="shared" si="376"/>
        <v>0</v>
      </c>
      <c r="KB88" s="938">
        <f t="shared" si="377"/>
        <v>0</v>
      </c>
      <c r="KC88" s="938" t="str">
        <f t="shared" si="378"/>
        <v/>
      </c>
      <c r="KE88" s="938"/>
      <c r="KF88" s="938" t="str">
        <f>IF(AND($F88=2,$G88=1),"",IF(OR($Q88&gt;0,$O88&gt;60),$KF$7,IF(I88=70,"",IF(AND(I88=80,R88+'#orgDung'!AC91&lt;60,K88=1,OR(C88=2,'#BerechnungDBE'!AH82=4)),"",IF(R88&gt;0,$KF$7,"")))))</f>
        <v/>
      </c>
      <c r="KG88" s="938" t="str">
        <f>IF(AND(P88&gt;'#BerechnungDBE'!BJ82,P88&gt;0),'#minDung'!$KG$7,"")</f>
        <v/>
      </c>
      <c r="KH88" s="938" t="str">
        <f>IF(AND(I88=70,R88&gt;'#BerechnungDBE'!CR82),'#minDung'!$KH$7,"")</f>
        <v/>
      </c>
      <c r="KI88" s="938" t="str">
        <f>IF('#BerechnungDBE'!P82&lt;4,"",IF(AND('#BerechnungDBE'!BZ82&gt;0,N88&gt;0),$KI$7,""))</f>
        <v/>
      </c>
      <c r="KJ88" s="938" t="str">
        <f t="shared" si="197"/>
        <v/>
      </c>
    </row>
    <row r="89" spans="1:296" s="875" customFormat="1" hidden="1" x14ac:dyDescent="0.2">
      <c r="A89" s="875">
        <f>'Flächen u. Kulturen'!A88</f>
        <v>79</v>
      </c>
      <c r="B89" s="734">
        <f>'#BerechnungDBE'!L83</f>
        <v>0</v>
      </c>
      <c r="C89" s="46">
        <f>'#orgDung'!C92</f>
        <v>1</v>
      </c>
      <c r="D89" s="875">
        <f>'#BerechnungDBE'!T83</f>
        <v>2</v>
      </c>
      <c r="E89" s="875" t="str">
        <f>'Flächen u. Kulturen'!E88</f>
        <v>x</v>
      </c>
      <c r="F89" s="52">
        <f>'#BerechnungDBE'!N83</f>
        <v>1</v>
      </c>
      <c r="G89" s="52">
        <f>'#BerechnungDBE'!O83</f>
        <v>1</v>
      </c>
      <c r="H89" s="505">
        <f>'#orgDung'!J92</f>
        <v>2</v>
      </c>
      <c r="I89" s="875">
        <f>'#BerechnungDBE'!AF83</f>
        <v>0</v>
      </c>
      <c r="J89" s="875">
        <f>'#orgDung'!M92</f>
        <v>0</v>
      </c>
      <c r="K89" s="875">
        <f>'#BerechnungDBE'!AG83</f>
        <v>0</v>
      </c>
      <c r="M89" s="875">
        <f t="shared" si="192"/>
        <v>0</v>
      </c>
      <c r="N89" s="875">
        <f t="shared" si="193"/>
        <v>0</v>
      </c>
      <c r="O89" s="875">
        <f t="shared" si="194"/>
        <v>0</v>
      </c>
      <c r="P89" s="875">
        <f t="shared" si="195"/>
        <v>0</v>
      </c>
      <c r="Q89" s="938">
        <f t="shared" si="198"/>
        <v>0</v>
      </c>
      <c r="R89" s="875">
        <f t="shared" si="196"/>
        <v>0</v>
      </c>
      <c r="T89" s="713">
        <f>'min. Düngung 22'!H90</f>
        <v>0</v>
      </c>
      <c r="W89" s="875">
        <f t="shared" si="199"/>
        <v>0</v>
      </c>
      <c r="X89" s="875">
        <f t="shared" si="200"/>
        <v>0</v>
      </c>
      <c r="Y89" s="875">
        <f t="shared" si="201"/>
        <v>0</v>
      </c>
      <c r="Z89" s="875">
        <f t="shared" si="202"/>
        <v>0</v>
      </c>
      <c r="AA89" s="875">
        <f t="shared" si="203"/>
        <v>0</v>
      </c>
      <c r="AB89" s="875" t="str">
        <f t="shared" si="204"/>
        <v/>
      </c>
      <c r="AC89" s="713">
        <f>'min. Düngung 22'!K90</f>
        <v>0</v>
      </c>
      <c r="AD89" s="938"/>
      <c r="AE89" s="938"/>
      <c r="AF89" s="938">
        <f t="shared" si="205"/>
        <v>0</v>
      </c>
      <c r="AG89" s="938">
        <f t="shared" si="206"/>
        <v>0</v>
      </c>
      <c r="AH89" s="938">
        <f t="shared" si="207"/>
        <v>0</v>
      </c>
      <c r="AI89" s="938">
        <f t="shared" si="208"/>
        <v>0</v>
      </c>
      <c r="AJ89" s="938">
        <f t="shared" si="209"/>
        <v>0</v>
      </c>
      <c r="AK89" s="938">
        <f t="shared" si="210"/>
        <v>0</v>
      </c>
      <c r="AL89" s="713">
        <f>'min. Düngung 22'!N90</f>
        <v>0</v>
      </c>
      <c r="AM89" s="938"/>
      <c r="AN89" s="938"/>
      <c r="AO89" s="938">
        <f t="shared" si="211"/>
        <v>0</v>
      </c>
      <c r="AP89" s="938">
        <f t="shared" si="212"/>
        <v>0</v>
      </c>
      <c r="AQ89" s="938">
        <f t="shared" si="213"/>
        <v>0</v>
      </c>
      <c r="AR89" s="938">
        <f t="shared" si="214"/>
        <v>0</v>
      </c>
      <c r="AS89" s="938">
        <f t="shared" si="215"/>
        <v>0</v>
      </c>
      <c r="AT89" s="938" t="str">
        <f t="shared" si="216"/>
        <v/>
      </c>
      <c r="AU89" s="713">
        <f>'min. Düngung 22'!Q90</f>
        <v>0</v>
      </c>
      <c r="AV89" s="938"/>
      <c r="AW89" s="938"/>
      <c r="AX89" s="938">
        <f t="shared" si="217"/>
        <v>0</v>
      </c>
      <c r="AY89" s="938">
        <f t="shared" si="218"/>
        <v>0</v>
      </c>
      <c r="AZ89" s="938">
        <f t="shared" si="219"/>
        <v>0</v>
      </c>
      <c r="BA89" s="938">
        <f t="shared" si="220"/>
        <v>0</v>
      </c>
      <c r="BB89" s="938">
        <f t="shared" si="221"/>
        <v>0</v>
      </c>
      <c r="BC89" s="938" t="str">
        <f t="shared" si="222"/>
        <v/>
      </c>
      <c r="BD89" s="713">
        <f>'min. Düngung 22'!T90</f>
        <v>0</v>
      </c>
      <c r="BE89" s="938"/>
      <c r="BF89" s="938"/>
      <c r="BG89" s="938">
        <f t="shared" si="223"/>
        <v>0</v>
      </c>
      <c r="BH89" s="938">
        <f t="shared" si="224"/>
        <v>0</v>
      </c>
      <c r="BI89" s="938">
        <f t="shared" si="225"/>
        <v>0</v>
      </c>
      <c r="BJ89" s="938">
        <f t="shared" si="226"/>
        <v>0</v>
      </c>
      <c r="BK89" s="938">
        <f t="shared" si="227"/>
        <v>0</v>
      </c>
      <c r="BL89" s="938" t="str">
        <f t="shared" si="228"/>
        <v/>
      </c>
      <c r="BM89" s="713">
        <f>'min. Düngung 22'!W90</f>
        <v>0</v>
      </c>
      <c r="BN89" s="938"/>
      <c r="BO89" s="938"/>
      <c r="BP89" s="938">
        <f t="shared" si="229"/>
        <v>0</v>
      </c>
      <c r="BQ89" s="938">
        <f t="shared" si="230"/>
        <v>0</v>
      </c>
      <c r="BR89" s="938">
        <f t="shared" si="231"/>
        <v>0</v>
      </c>
      <c r="BS89" s="938">
        <f t="shared" si="232"/>
        <v>0</v>
      </c>
      <c r="BT89" s="938">
        <f t="shared" si="233"/>
        <v>0</v>
      </c>
      <c r="BU89" s="938" t="str">
        <f t="shared" si="234"/>
        <v/>
      </c>
      <c r="BV89" s="713">
        <f>'min. Düngung 22'!Z90</f>
        <v>0</v>
      </c>
      <c r="BW89" s="938"/>
      <c r="BX89" s="938"/>
      <c r="BY89" s="938">
        <f t="shared" si="235"/>
        <v>0</v>
      </c>
      <c r="BZ89" s="938">
        <f t="shared" si="236"/>
        <v>0</v>
      </c>
      <c r="CA89" s="938">
        <f t="shared" si="237"/>
        <v>0</v>
      </c>
      <c r="CB89" s="938">
        <f t="shared" si="238"/>
        <v>0</v>
      </c>
      <c r="CC89" s="938">
        <f t="shared" si="239"/>
        <v>0</v>
      </c>
      <c r="CD89" s="938" t="str">
        <f t="shared" si="240"/>
        <v/>
      </c>
      <c r="CE89" s="713">
        <f>'min. Düngung 22'!AC90</f>
        <v>0</v>
      </c>
      <c r="CF89" s="938"/>
      <c r="CG89" s="938"/>
      <c r="CH89" s="938">
        <f t="shared" si="241"/>
        <v>0</v>
      </c>
      <c r="CI89" s="938">
        <f t="shared" si="242"/>
        <v>0</v>
      </c>
      <c r="CJ89" s="938">
        <f t="shared" si="243"/>
        <v>0</v>
      </c>
      <c r="CK89" s="938">
        <f t="shared" si="244"/>
        <v>0</v>
      </c>
      <c r="CL89" s="938">
        <f t="shared" si="245"/>
        <v>0</v>
      </c>
      <c r="CM89" s="938" t="str">
        <f t="shared" si="246"/>
        <v/>
      </c>
      <c r="CN89" s="713">
        <f>'min. Düngung 22'!AF90</f>
        <v>0</v>
      </c>
      <c r="CO89" s="938"/>
      <c r="CP89" s="938"/>
      <c r="CQ89" s="938">
        <f t="shared" si="247"/>
        <v>0</v>
      </c>
      <c r="CR89" s="938">
        <f t="shared" si="248"/>
        <v>0</v>
      </c>
      <c r="CS89" s="938">
        <f t="shared" si="249"/>
        <v>0</v>
      </c>
      <c r="CT89" s="938">
        <f t="shared" si="250"/>
        <v>0</v>
      </c>
      <c r="CU89" s="938">
        <f t="shared" si="251"/>
        <v>0</v>
      </c>
      <c r="CV89" s="938" t="str">
        <f t="shared" si="252"/>
        <v/>
      </c>
      <c r="CW89" s="713">
        <f>'min. Düngung 22'!AI90</f>
        <v>0</v>
      </c>
      <c r="CX89" s="938"/>
      <c r="CY89" s="938"/>
      <c r="CZ89" s="938">
        <f t="shared" si="253"/>
        <v>0</v>
      </c>
      <c r="DA89" s="938">
        <f t="shared" si="254"/>
        <v>0</v>
      </c>
      <c r="DB89" s="938">
        <f t="shared" si="255"/>
        <v>0</v>
      </c>
      <c r="DC89" s="938">
        <f t="shared" si="256"/>
        <v>0</v>
      </c>
      <c r="DD89" s="938">
        <f t="shared" si="257"/>
        <v>0</v>
      </c>
      <c r="DE89" s="938" t="str">
        <f t="shared" si="258"/>
        <v/>
      </c>
      <c r="DF89" s="713">
        <f>'min. Düngung 22'!AL90</f>
        <v>0</v>
      </c>
      <c r="DG89" s="938"/>
      <c r="DH89" s="938"/>
      <c r="DI89" s="938">
        <f t="shared" si="259"/>
        <v>0</v>
      </c>
      <c r="DJ89" s="938">
        <f t="shared" si="260"/>
        <v>0</v>
      </c>
      <c r="DK89" s="938">
        <f t="shared" si="261"/>
        <v>0</v>
      </c>
      <c r="DL89" s="938">
        <f t="shared" si="262"/>
        <v>0</v>
      </c>
      <c r="DM89" s="938">
        <f t="shared" si="263"/>
        <v>0</v>
      </c>
      <c r="DN89" s="938" t="str">
        <f t="shared" si="264"/>
        <v/>
      </c>
      <c r="DO89" s="713">
        <f>'min. Düngung 22'!AO90</f>
        <v>0</v>
      </c>
      <c r="DP89" s="938"/>
      <c r="DQ89" s="938"/>
      <c r="DR89" s="938">
        <f t="shared" si="265"/>
        <v>0</v>
      </c>
      <c r="DS89" s="938">
        <f t="shared" si="266"/>
        <v>0</v>
      </c>
      <c r="DT89" s="938">
        <f t="shared" si="267"/>
        <v>0</v>
      </c>
      <c r="DU89" s="938">
        <f t="shared" si="268"/>
        <v>0</v>
      </c>
      <c r="DV89" s="938">
        <f t="shared" si="269"/>
        <v>0</v>
      </c>
      <c r="DW89" s="938" t="str">
        <f t="shared" si="270"/>
        <v/>
      </c>
      <c r="DX89" s="713">
        <f>'min. Düngung 22'!AR90</f>
        <v>0</v>
      </c>
      <c r="DY89" s="938"/>
      <c r="DZ89" s="938"/>
      <c r="EA89" s="938">
        <f t="shared" si="271"/>
        <v>0</v>
      </c>
      <c r="EB89" s="938">
        <f t="shared" si="272"/>
        <v>0</v>
      </c>
      <c r="EC89" s="938">
        <f t="shared" si="273"/>
        <v>0</v>
      </c>
      <c r="ED89" s="938">
        <f t="shared" si="274"/>
        <v>0</v>
      </c>
      <c r="EE89" s="938">
        <f t="shared" si="275"/>
        <v>0</v>
      </c>
      <c r="EF89" s="938" t="str">
        <f t="shared" si="276"/>
        <v/>
      </c>
      <c r="EG89" s="713">
        <f>'min. Düngung 22'!AU90</f>
        <v>0</v>
      </c>
      <c r="EH89" s="938"/>
      <c r="EI89" s="938"/>
      <c r="EJ89" s="938">
        <f t="shared" si="277"/>
        <v>0</v>
      </c>
      <c r="EK89" s="938">
        <f t="shared" si="278"/>
        <v>0</v>
      </c>
      <c r="EL89" s="938">
        <f t="shared" si="279"/>
        <v>0</v>
      </c>
      <c r="EM89" s="938">
        <f t="shared" si="280"/>
        <v>0</v>
      </c>
      <c r="EN89" s="938">
        <f t="shared" si="281"/>
        <v>0</v>
      </c>
      <c r="EO89" s="938" t="str">
        <f t="shared" si="282"/>
        <v/>
      </c>
      <c r="EP89" s="713">
        <f>'min. Düngung 22'!AX90</f>
        <v>0</v>
      </c>
      <c r="EQ89" s="938"/>
      <c r="ER89" s="938"/>
      <c r="ES89" s="938">
        <f t="shared" si="283"/>
        <v>0</v>
      </c>
      <c r="ET89" s="938">
        <f t="shared" si="284"/>
        <v>0</v>
      </c>
      <c r="EU89" s="938">
        <f t="shared" si="285"/>
        <v>0</v>
      </c>
      <c r="EV89" s="938">
        <f t="shared" si="286"/>
        <v>0</v>
      </c>
      <c r="EW89" s="938">
        <f t="shared" si="287"/>
        <v>0</v>
      </c>
      <c r="EX89" s="938" t="str">
        <f t="shared" si="288"/>
        <v/>
      </c>
      <c r="EY89" s="713">
        <f>'min. Düngung 22'!BA90</f>
        <v>0</v>
      </c>
      <c r="EZ89" s="938"/>
      <c r="FA89" s="938"/>
      <c r="FB89" s="938">
        <f t="shared" si="289"/>
        <v>0</v>
      </c>
      <c r="FC89" s="938">
        <f t="shared" si="290"/>
        <v>0</v>
      </c>
      <c r="FD89" s="938">
        <f t="shared" si="291"/>
        <v>0</v>
      </c>
      <c r="FE89" s="938">
        <f t="shared" si="292"/>
        <v>0</v>
      </c>
      <c r="FF89" s="938">
        <f t="shared" si="293"/>
        <v>0</v>
      </c>
      <c r="FG89" s="938" t="str">
        <f t="shared" si="294"/>
        <v/>
      </c>
      <c r="FH89" s="713">
        <f>'min. Düngung 22'!BD90</f>
        <v>0</v>
      </c>
      <c r="FI89" s="938"/>
      <c r="FJ89" s="938"/>
      <c r="FK89" s="938">
        <f t="shared" si="295"/>
        <v>0</v>
      </c>
      <c r="FL89" s="938">
        <f t="shared" si="296"/>
        <v>0</v>
      </c>
      <c r="FM89" s="938">
        <f t="shared" si="297"/>
        <v>0</v>
      </c>
      <c r="FN89" s="938">
        <f t="shared" si="298"/>
        <v>0</v>
      </c>
      <c r="FO89" s="938">
        <f t="shared" si="299"/>
        <v>0</v>
      </c>
      <c r="FP89" s="938" t="str">
        <f t="shared" si="300"/>
        <v/>
      </c>
      <c r="FQ89" s="713">
        <f>'min. Düngung 22'!BG90</f>
        <v>0</v>
      </c>
      <c r="FR89" s="938"/>
      <c r="FS89" s="938"/>
      <c r="FT89" s="938">
        <f t="shared" si="301"/>
        <v>0</v>
      </c>
      <c r="FU89" s="938">
        <f t="shared" si="302"/>
        <v>0</v>
      </c>
      <c r="FV89" s="938">
        <f t="shared" si="303"/>
        <v>0</v>
      </c>
      <c r="FW89" s="938">
        <f t="shared" si="304"/>
        <v>0</v>
      </c>
      <c r="FX89" s="938">
        <f t="shared" si="305"/>
        <v>0</v>
      </c>
      <c r="FY89" s="938" t="str">
        <f t="shared" si="306"/>
        <v/>
      </c>
      <c r="FZ89" s="713">
        <f>'min. Düngung 22'!BJ90</f>
        <v>0</v>
      </c>
      <c r="GA89" s="938"/>
      <c r="GB89" s="938"/>
      <c r="GC89" s="938">
        <f t="shared" si="307"/>
        <v>0</v>
      </c>
      <c r="GD89" s="938">
        <f t="shared" si="308"/>
        <v>0</v>
      </c>
      <c r="GE89" s="938">
        <f t="shared" si="309"/>
        <v>0</v>
      </c>
      <c r="GF89" s="938">
        <f t="shared" si="310"/>
        <v>0</v>
      </c>
      <c r="GG89" s="938">
        <f t="shared" si="311"/>
        <v>0</v>
      </c>
      <c r="GH89" s="938" t="str">
        <f t="shared" si="312"/>
        <v/>
      </c>
      <c r="GI89" s="713">
        <f>'min. Düngung 22'!BM90</f>
        <v>0</v>
      </c>
      <c r="GJ89" s="938"/>
      <c r="GK89" s="938"/>
      <c r="GL89" s="938">
        <f t="shared" si="313"/>
        <v>0</v>
      </c>
      <c r="GM89" s="938">
        <f t="shared" si="314"/>
        <v>0</v>
      </c>
      <c r="GN89" s="938">
        <f t="shared" si="315"/>
        <v>0</v>
      </c>
      <c r="GO89" s="938">
        <f t="shared" si="316"/>
        <v>0</v>
      </c>
      <c r="GP89" s="938">
        <f t="shared" si="317"/>
        <v>0</v>
      </c>
      <c r="GQ89" s="938" t="str">
        <f t="shared" si="318"/>
        <v/>
      </c>
      <c r="GR89" s="713">
        <f>'min. Düngung 22'!BP90</f>
        <v>0</v>
      </c>
      <c r="GS89" s="938"/>
      <c r="GT89" s="938"/>
      <c r="GU89" s="938">
        <f t="shared" si="319"/>
        <v>0</v>
      </c>
      <c r="GV89" s="938">
        <f t="shared" si="320"/>
        <v>0</v>
      </c>
      <c r="GW89" s="938">
        <f t="shared" si="321"/>
        <v>0</v>
      </c>
      <c r="GX89" s="938">
        <f t="shared" si="322"/>
        <v>0</v>
      </c>
      <c r="GY89" s="938">
        <f t="shared" si="323"/>
        <v>0</v>
      </c>
      <c r="GZ89" s="938" t="str">
        <f t="shared" si="324"/>
        <v/>
      </c>
      <c r="HA89" s="713">
        <f>'min. Düngung 22'!BS90</f>
        <v>0</v>
      </c>
      <c r="HB89" s="938"/>
      <c r="HC89" s="938"/>
      <c r="HD89" s="938">
        <f t="shared" si="325"/>
        <v>0</v>
      </c>
      <c r="HE89" s="938">
        <f t="shared" si="326"/>
        <v>0</v>
      </c>
      <c r="HF89" s="938">
        <f t="shared" si="327"/>
        <v>0</v>
      </c>
      <c r="HG89" s="938">
        <f t="shared" si="328"/>
        <v>0</v>
      </c>
      <c r="HH89" s="938">
        <f t="shared" si="329"/>
        <v>0</v>
      </c>
      <c r="HI89" s="938" t="str">
        <f t="shared" si="330"/>
        <v/>
      </c>
      <c r="HJ89" s="713">
        <f>'min. Düngung 22'!BV90</f>
        <v>0</v>
      </c>
      <c r="HK89" s="938"/>
      <c r="HL89" s="938"/>
      <c r="HM89" s="938">
        <f t="shared" si="331"/>
        <v>0</v>
      </c>
      <c r="HN89" s="938">
        <f t="shared" si="332"/>
        <v>0</v>
      </c>
      <c r="HO89" s="938">
        <f t="shared" si="333"/>
        <v>0</v>
      </c>
      <c r="HP89" s="938">
        <f t="shared" si="334"/>
        <v>0</v>
      </c>
      <c r="HQ89" s="938">
        <f t="shared" si="335"/>
        <v>0</v>
      </c>
      <c r="HR89" s="938" t="str">
        <f t="shared" si="336"/>
        <v/>
      </c>
      <c r="HS89" s="713">
        <f>'min. Düngung 22'!BY90</f>
        <v>0</v>
      </c>
      <c r="HT89" s="938"/>
      <c r="HU89" s="938"/>
      <c r="HV89" s="938">
        <f t="shared" si="337"/>
        <v>0</v>
      </c>
      <c r="HW89" s="938">
        <f t="shared" si="338"/>
        <v>0</v>
      </c>
      <c r="HX89" s="938">
        <f t="shared" si="339"/>
        <v>0</v>
      </c>
      <c r="HY89" s="938">
        <f t="shared" si="340"/>
        <v>0</v>
      </c>
      <c r="HZ89" s="938">
        <f t="shared" si="341"/>
        <v>0</v>
      </c>
      <c r="IA89" s="938" t="str">
        <f t="shared" si="342"/>
        <v/>
      </c>
      <c r="IB89" s="713">
        <f>'min. Düngung 22'!CB90</f>
        <v>0</v>
      </c>
      <c r="IC89" s="938"/>
      <c r="ID89" s="938"/>
      <c r="IE89" s="938">
        <f t="shared" si="343"/>
        <v>0</v>
      </c>
      <c r="IF89" s="938">
        <f t="shared" si="344"/>
        <v>0</v>
      </c>
      <c r="IG89" s="938">
        <f t="shared" si="345"/>
        <v>0</v>
      </c>
      <c r="IH89" s="938">
        <f t="shared" si="346"/>
        <v>0</v>
      </c>
      <c r="II89" s="938">
        <f t="shared" si="347"/>
        <v>0</v>
      </c>
      <c r="IJ89" s="938" t="str">
        <f t="shared" si="348"/>
        <v/>
      </c>
      <c r="IK89" s="713">
        <f>'min. Düngung 22'!CE90</f>
        <v>0</v>
      </c>
      <c r="IL89" s="938"/>
      <c r="IM89" s="938"/>
      <c r="IN89" s="938">
        <f t="shared" si="349"/>
        <v>0</v>
      </c>
      <c r="IO89" s="938">
        <f t="shared" si="350"/>
        <v>0</v>
      </c>
      <c r="IP89" s="938">
        <f t="shared" si="351"/>
        <v>0</v>
      </c>
      <c r="IQ89" s="938">
        <f t="shared" si="352"/>
        <v>0</v>
      </c>
      <c r="IR89" s="938">
        <f t="shared" si="353"/>
        <v>0</v>
      </c>
      <c r="IS89" s="938" t="str">
        <f t="shared" si="354"/>
        <v/>
      </c>
      <c r="IT89" s="713">
        <f>'min. Düngung 22'!CH90</f>
        <v>0</v>
      </c>
      <c r="IU89" s="938"/>
      <c r="IV89" s="938"/>
      <c r="IW89" s="938">
        <f t="shared" si="355"/>
        <v>0</v>
      </c>
      <c r="IX89" s="938">
        <f t="shared" si="356"/>
        <v>0</v>
      </c>
      <c r="IY89" s="938">
        <f t="shared" si="357"/>
        <v>0</v>
      </c>
      <c r="IZ89" s="938">
        <f t="shared" si="358"/>
        <v>0</v>
      </c>
      <c r="JA89" s="938">
        <f t="shared" si="359"/>
        <v>0</v>
      </c>
      <c r="JB89" s="938" t="str">
        <f t="shared" si="360"/>
        <v/>
      </c>
      <c r="JC89" s="713">
        <f>'min. Düngung 22'!CK90</f>
        <v>0</v>
      </c>
      <c r="JD89" s="938"/>
      <c r="JE89" s="938"/>
      <c r="JF89" s="938">
        <f t="shared" si="361"/>
        <v>0</v>
      </c>
      <c r="JG89" s="938">
        <f t="shared" si="362"/>
        <v>0</v>
      </c>
      <c r="JH89" s="938">
        <f t="shared" si="363"/>
        <v>0</v>
      </c>
      <c r="JI89" s="938">
        <f t="shared" si="364"/>
        <v>0</v>
      </c>
      <c r="JJ89" s="938">
        <f t="shared" si="365"/>
        <v>0</v>
      </c>
      <c r="JK89" s="938" t="str">
        <f t="shared" si="366"/>
        <v/>
      </c>
      <c r="JL89" s="713">
        <f>'min. Düngung 22'!CN90</f>
        <v>0</v>
      </c>
      <c r="JM89" s="938"/>
      <c r="JN89" s="938"/>
      <c r="JO89" s="938">
        <f t="shared" si="367"/>
        <v>0</v>
      </c>
      <c r="JP89" s="938">
        <f t="shared" si="368"/>
        <v>0</v>
      </c>
      <c r="JQ89" s="938">
        <f t="shared" si="369"/>
        <v>0</v>
      </c>
      <c r="JR89" s="938">
        <f t="shared" si="370"/>
        <v>0</v>
      </c>
      <c r="JS89" s="938">
        <f t="shared" si="371"/>
        <v>0</v>
      </c>
      <c r="JT89" s="938" t="str">
        <f t="shared" si="372"/>
        <v/>
      </c>
      <c r="JU89" s="713">
        <f>'min. Düngung 22'!CQ90</f>
        <v>0</v>
      </c>
      <c r="JV89" s="938"/>
      <c r="JW89" s="938"/>
      <c r="JX89" s="938">
        <f t="shared" si="373"/>
        <v>0</v>
      </c>
      <c r="JY89" s="938">
        <f t="shared" si="374"/>
        <v>0</v>
      </c>
      <c r="JZ89" s="938">
        <f t="shared" si="375"/>
        <v>0</v>
      </c>
      <c r="KA89" s="938">
        <f t="shared" si="376"/>
        <v>0</v>
      </c>
      <c r="KB89" s="938">
        <f t="shared" si="377"/>
        <v>0</v>
      </c>
      <c r="KC89" s="938" t="str">
        <f t="shared" si="378"/>
        <v/>
      </c>
      <c r="KE89" s="938"/>
      <c r="KF89" s="938" t="str">
        <f>IF(AND($F89=2,$G89=1),"",IF(OR($Q89&gt;0,$O89&gt;60),$KF$7,IF(I89=70,"",IF(AND(I89=80,R89+'#orgDung'!AC92&lt;60,K89=1,OR(C89=2,'#BerechnungDBE'!AH83=4)),"",IF(R89&gt;0,$KF$7,"")))))</f>
        <v/>
      </c>
      <c r="KG89" s="938" t="str">
        <f>IF(AND(P89&gt;'#BerechnungDBE'!BJ83,P89&gt;0),'#minDung'!$KG$7,"")</f>
        <v/>
      </c>
      <c r="KH89" s="938" t="str">
        <f>IF(AND(I89=70,R89&gt;'#BerechnungDBE'!CR83),'#minDung'!$KH$7,"")</f>
        <v/>
      </c>
      <c r="KI89" s="938" t="str">
        <f>IF('#BerechnungDBE'!P83&lt;4,"",IF(AND('#BerechnungDBE'!BZ83&gt;0,N89&gt;0),$KI$7,""))</f>
        <v/>
      </c>
      <c r="KJ89" s="938" t="str">
        <f t="shared" si="197"/>
        <v/>
      </c>
    </row>
    <row r="90" spans="1:296" s="875" customFormat="1" hidden="1" x14ac:dyDescent="0.2">
      <c r="A90" s="875">
        <f>'Flächen u. Kulturen'!A89</f>
        <v>80</v>
      </c>
      <c r="B90" s="734">
        <f>'#BerechnungDBE'!L84</f>
        <v>0</v>
      </c>
      <c r="C90" s="46">
        <f>'#orgDung'!C93</f>
        <v>1</v>
      </c>
      <c r="D90" s="875">
        <f>'#BerechnungDBE'!T84</f>
        <v>2</v>
      </c>
      <c r="E90" s="875" t="str">
        <f>'Flächen u. Kulturen'!E89</f>
        <v>x</v>
      </c>
      <c r="F90" s="52">
        <f>'#BerechnungDBE'!N84</f>
        <v>1</v>
      </c>
      <c r="G90" s="52">
        <f>'#BerechnungDBE'!O84</f>
        <v>1</v>
      </c>
      <c r="H90" s="505">
        <f>'#orgDung'!J93</f>
        <v>2</v>
      </c>
      <c r="I90" s="875">
        <f>'#BerechnungDBE'!AF84</f>
        <v>0</v>
      </c>
      <c r="J90" s="875">
        <f>'#orgDung'!M93</f>
        <v>0</v>
      </c>
      <c r="K90" s="875">
        <f>'#BerechnungDBE'!AG84</f>
        <v>0</v>
      </c>
      <c r="M90" s="875">
        <f t="shared" si="192"/>
        <v>0</v>
      </c>
      <c r="N90" s="875">
        <f t="shared" si="193"/>
        <v>0</v>
      </c>
      <c r="O90" s="875">
        <f t="shared" si="194"/>
        <v>0</v>
      </c>
      <c r="P90" s="875">
        <f t="shared" si="195"/>
        <v>0</v>
      </c>
      <c r="Q90" s="938">
        <f t="shared" si="198"/>
        <v>0</v>
      </c>
      <c r="R90" s="875">
        <f t="shared" si="196"/>
        <v>0</v>
      </c>
      <c r="T90" s="713">
        <f>'min. Düngung 22'!H91</f>
        <v>0</v>
      </c>
      <c r="W90" s="875">
        <f t="shared" si="199"/>
        <v>0</v>
      </c>
      <c r="X90" s="875">
        <f t="shared" si="200"/>
        <v>0</v>
      </c>
      <c r="Y90" s="875">
        <f t="shared" si="201"/>
        <v>0</v>
      </c>
      <c r="Z90" s="875">
        <f t="shared" si="202"/>
        <v>0</v>
      </c>
      <c r="AA90" s="875">
        <f t="shared" si="203"/>
        <v>0</v>
      </c>
      <c r="AB90" s="875" t="str">
        <f t="shared" si="204"/>
        <v/>
      </c>
      <c r="AC90" s="713">
        <f>'min. Düngung 22'!K91</f>
        <v>0</v>
      </c>
      <c r="AD90" s="938"/>
      <c r="AE90" s="938"/>
      <c r="AF90" s="938">
        <f t="shared" si="205"/>
        <v>0</v>
      </c>
      <c r="AG90" s="938">
        <f t="shared" si="206"/>
        <v>0</v>
      </c>
      <c r="AH90" s="938">
        <f t="shared" si="207"/>
        <v>0</v>
      </c>
      <c r="AI90" s="938">
        <f t="shared" si="208"/>
        <v>0</v>
      </c>
      <c r="AJ90" s="938">
        <f t="shared" si="209"/>
        <v>0</v>
      </c>
      <c r="AK90" s="938">
        <f t="shared" si="210"/>
        <v>0</v>
      </c>
      <c r="AL90" s="713">
        <f>'min. Düngung 22'!N91</f>
        <v>0</v>
      </c>
      <c r="AM90" s="938"/>
      <c r="AN90" s="938"/>
      <c r="AO90" s="938">
        <f t="shared" si="211"/>
        <v>0</v>
      </c>
      <c r="AP90" s="938">
        <f t="shared" si="212"/>
        <v>0</v>
      </c>
      <c r="AQ90" s="938">
        <f t="shared" si="213"/>
        <v>0</v>
      </c>
      <c r="AR90" s="938">
        <f t="shared" si="214"/>
        <v>0</v>
      </c>
      <c r="AS90" s="938">
        <f t="shared" si="215"/>
        <v>0</v>
      </c>
      <c r="AT90" s="938" t="str">
        <f t="shared" si="216"/>
        <v/>
      </c>
      <c r="AU90" s="713">
        <f>'min. Düngung 22'!Q91</f>
        <v>0</v>
      </c>
      <c r="AV90" s="938"/>
      <c r="AW90" s="938"/>
      <c r="AX90" s="938">
        <f t="shared" si="217"/>
        <v>0</v>
      </c>
      <c r="AY90" s="938">
        <f t="shared" si="218"/>
        <v>0</v>
      </c>
      <c r="AZ90" s="938">
        <f t="shared" si="219"/>
        <v>0</v>
      </c>
      <c r="BA90" s="938">
        <f t="shared" si="220"/>
        <v>0</v>
      </c>
      <c r="BB90" s="938">
        <f t="shared" si="221"/>
        <v>0</v>
      </c>
      <c r="BC90" s="938" t="str">
        <f t="shared" si="222"/>
        <v/>
      </c>
      <c r="BD90" s="713">
        <f>'min. Düngung 22'!T91</f>
        <v>0</v>
      </c>
      <c r="BE90" s="938"/>
      <c r="BF90" s="938"/>
      <c r="BG90" s="938">
        <f t="shared" si="223"/>
        <v>0</v>
      </c>
      <c r="BH90" s="938">
        <f t="shared" si="224"/>
        <v>0</v>
      </c>
      <c r="BI90" s="938">
        <f t="shared" si="225"/>
        <v>0</v>
      </c>
      <c r="BJ90" s="938">
        <f t="shared" si="226"/>
        <v>0</v>
      </c>
      <c r="BK90" s="938">
        <f t="shared" si="227"/>
        <v>0</v>
      </c>
      <c r="BL90" s="938" t="str">
        <f t="shared" si="228"/>
        <v/>
      </c>
      <c r="BM90" s="713">
        <f>'min. Düngung 22'!W91</f>
        <v>0</v>
      </c>
      <c r="BN90" s="938"/>
      <c r="BO90" s="938"/>
      <c r="BP90" s="938">
        <f t="shared" si="229"/>
        <v>0</v>
      </c>
      <c r="BQ90" s="938">
        <f t="shared" si="230"/>
        <v>0</v>
      </c>
      <c r="BR90" s="938">
        <f t="shared" si="231"/>
        <v>0</v>
      </c>
      <c r="BS90" s="938">
        <f t="shared" si="232"/>
        <v>0</v>
      </c>
      <c r="BT90" s="938">
        <f t="shared" si="233"/>
        <v>0</v>
      </c>
      <c r="BU90" s="938" t="str">
        <f t="shared" si="234"/>
        <v/>
      </c>
      <c r="BV90" s="713">
        <f>'min. Düngung 22'!Z91</f>
        <v>0</v>
      </c>
      <c r="BW90" s="938"/>
      <c r="BX90" s="938"/>
      <c r="BY90" s="938">
        <f t="shared" si="235"/>
        <v>0</v>
      </c>
      <c r="BZ90" s="938">
        <f t="shared" si="236"/>
        <v>0</v>
      </c>
      <c r="CA90" s="938">
        <f t="shared" si="237"/>
        <v>0</v>
      </c>
      <c r="CB90" s="938">
        <f t="shared" si="238"/>
        <v>0</v>
      </c>
      <c r="CC90" s="938">
        <f t="shared" si="239"/>
        <v>0</v>
      </c>
      <c r="CD90" s="938" t="str">
        <f t="shared" si="240"/>
        <v/>
      </c>
      <c r="CE90" s="713">
        <f>'min. Düngung 22'!AC91</f>
        <v>0</v>
      </c>
      <c r="CF90" s="938"/>
      <c r="CG90" s="938"/>
      <c r="CH90" s="938">
        <f t="shared" si="241"/>
        <v>0</v>
      </c>
      <c r="CI90" s="938">
        <f t="shared" si="242"/>
        <v>0</v>
      </c>
      <c r="CJ90" s="938">
        <f t="shared" si="243"/>
        <v>0</v>
      </c>
      <c r="CK90" s="938">
        <f t="shared" si="244"/>
        <v>0</v>
      </c>
      <c r="CL90" s="938">
        <f t="shared" si="245"/>
        <v>0</v>
      </c>
      <c r="CM90" s="938" t="str">
        <f t="shared" si="246"/>
        <v/>
      </c>
      <c r="CN90" s="713">
        <f>'min. Düngung 22'!AF91</f>
        <v>0</v>
      </c>
      <c r="CO90" s="938"/>
      <c r="CP90" s="938"/>
      <c r="CQ90" s="938">
        <f t="shared" si="247"/>
        <v>0</v>
      </c>
      <c r="CR90" s="938">
        <f t="shared" si="248"/>
        <v>0</v>
      </c>
      <c r="CS90" s="938">
        <f t="shared" si="249"/>
        <v>0</v>
      </c>
      <c r="CT90" s="938">
        <f t="shared" si="250"/>
        <v>0</v>
      </c>
      <c r="CU90" s="938">
        <f t="shared" si="251"/>
        <v>0</v>
      </c>
      <c r="CV90" s="938" t="str">
        <f t="shared" si="252"/>
        <v/>
      </c>
      <c r="CW90" s="713">
        <f>'min. Düngung 22'!AI91</f>
        <v>0</v>
      </c>
      <c r="CX90" s="938"/>
      <c r="CY90" s="938"/>
      <c r="CZ90" s="938">
        <f t="shared" si="253"/>
        <v>0</v>
      </c>
      <c r="DA90" s="938">
        <f t="shared" si="254"/>
        <v>0</v>
      </c>
      <c r="DB90" s="938">
        <f t="shared" si="255"/>
        <v>0</v>
      </c>
      <c r="DC90" s="938">
        <f t="shared" si="256"/>
        <v>0</v>
      </c>
      <c r="DD90" s="938">
        <f t="shared" si="257"/>
        <v>0</v>
      </c>
      <c r="DE90" s="938" t="str">
        <f t="shared" si="258"/>
        <v/>
      </c>
      <c r="DF90" s="713">
        <f>'min. Düngung 22'!AL91</f>
        <v>0</v>
      </c>
      <c r="DG90" s="938"/>
      <c r="DH90" s="938"/>
      <c r="DI90" s="938">
        <f t="shared" si="259"/>
        <v>0</v>
      </c>
      <c r="DJ90" s="938">
        <f t="shared" si="260"/>
        <v>0</v>
      </c>
      <c r="DK90" s="938">
        <f t="shared" si="261"/>
        <v>0</v>
      </c>
      <c r="DL90" s="938">
        <f t="shared" si="262"/>
        <v>0</v>
      </c>
      <c r="DM90" s="938">
        <f t="shared" si="263"/>
        <v>0</v>
      </c>
      <c r="DN90" s="938" t="str">
        <f t="shared" si="264"/>
        <v/>
      </c>
      <c r="DO90" s="713">
        <f>'min. Düngung 22'!AO91</f>
        <v>0</v>
      </c>
      <c r="DP90" s="938"/>
      <c r="DQ90" s="938"/>
      <c r="DR90" s="938">
        <f t="shared" si="265"/>
        <v>0</v>
      </c>
      <c r="DS90" s="938">
        <f t="shared" si="266"/>
        <v>0</v>
      </c>
      <c r="DT90" s="938">
        <f t="shared" si="267"/>
        <v>0</v>
      </c>
      <c r="DU90" s="938">
        <f t="shared" si="268"/>
        <v>0</v>
      </c>
      <c r="DV90" s="938">
        <f t="shared" si="269"/>
        <v>0</v>
      </c>
      <c r="DW90" s="938" t="str">
        <f t="shared" si="270"/>
        <v/>
      </c>
      <c r="DX90" s="713">
        <f>'min. Düngung 22'!AR91</f>
        <v>0</v>
      </c>
      <c r="DY90" s="938"/>
      <c r="DZ90" s="938"/>
      <c r="EA90" s="938">
        <f t="shared" si="271"/>
        <v>0</v>
      </c>
      <c r="EB90" s="938">
        <f t="shared" si="272"/>
        <v>0</v>
      </c>
      <c r="EC90" s="938">
        <f t="shared" si="273"/>
        <v>0</v>
      </c>
      <c r="ED90" s="938">
        <f t="shared" si="274"/>
        <v>0</v>
      </c>
      <c r="EE90" s="938">
        <f t="shared" si="275"/>
        <v>0</v>
      </c>
      <c r="EF90" s="938" t="str">
        <f t="shared" si="276"/>
        <v/>
      </c>
      <c r="EG90" s="713">
        <f>'min. Düngung 22'!AU91</f>
        <v>0</v>
      </c>
      <c r="EH90" s="938"/>
      <c r="EI90" s="938"/>
      <c r="EJ90" s="938">
        <f t="shared" si="277"/>
        <v>0</v>
      </c>
      <c r="EK90" s="938">
        <f t="shared" si="278"/>
        <v>0</v>
      </c>
      <c r="EL90" s="938">
        <f t="shared" si="279"/>
        <v>0</v>
      </c>
      <c r="EM90" s="938">
        <f t="shared" si="280"/>
        <v>0</v>
      </c>
      <c r="EN90" s="938">
        <f t="shared" si="281"/>
        <v>0</v>
      </c>
      <c r="EO90" s="938" t="str">
        <f t="shared" si="282"/>
        <v/>
      </c>
      <c r="EP90" s="713">
        <f>'min. Düngung 22'!AX91</f>
        <v>0</v>
      </c>
      <c r="EQ90" s="938"/>
      <c r="ER90" s="938"/>
      <c r="ES90" s="938">
        <f t="shared" si="283"/>
        <v>0</v>
      </c>
      <c r="ET90" s="938">
        <f t="shared" si="284"/>
        <v>0</v>
      </c>
      <c r="EU90" s="938">
        <f t="shared" si="285"/>
        <v>0</v>
      </c>
      <c r="EV90" s="938">
        <f t="shared" si="286"/>
        <v>0</v>
      </c>
      <c r="EW90" s="938">
        <f t="shared" si="287"/>
        <v>0</v>
      </c>
      <c r="EX90" s="938" t="str">
        <f t="shared" si="288"/>
        <v/>
      </c>
      <c r="EY90" s="713">
        <f>'min. Düngung 22'!BA91</f>
        <v>0</v>
      </c>
      <c r="EZ90" s="938"/>
      <c r="FA90" s="938"/>
      <c r="FB90" s="938">
        <f t="shared" si="289"/>
        <v>0</v>
      </c>
      <c r="FC90" s="938">
        <f t="shared" si="290"/>
        <v>0</v>
      </c>
      <c r="FD90" s="938">
        <f t="shared" si="291"/>
        <v>0</v>
      </c>
      <c r="FE90" s="938">
        <f t="shared" si="292"/>
        <v>0</v>
      </c>
      <c r="FF90" s="938">
        <f t="shared" si="293"/>
        <v>0</v>
      </c>
      <c r="FG90" s="938" t="str">
        <f t="shared" si="294"/>
        <v/>
      </c>
      <c r="FH90" s="713">
        <f>'min. Düngung 22'!BD91</f>
        <v>0</v>
      </c>
      <c r="FI90" s="938"/>
      <c r="FJ90" s="938"/>
      <c r="FK90" s="938">
        <f t="shared" si="295"/>
        <v>0</v>
      </c>
      <c r="FL90" s="938">
        <f t="shared" si="296"/>
        <v>0</v>
      </c>
      <c r="FM90" s="938">
        <f t="shared" si="297"/>
        <v>0</v>
      </c>
      <c r="FN90" s="938">
        <f t="shared" si="298"/>
        <v>0</v>
      </c>
      <c r="FO90" s="938">
        <f t="shared" si="299"/>
        <v>0</v>
      </c>
      <c r="FP90" s="938" t="str">
        <f t="shared" si="300"/>
        <v/>
      </c>
      <c r="FQ90" s="713">
        <f>'min. Düngung 22'!BG91</f>
        <v>0</v>
      </c>
      <c r="FR90" s="938"/>
      <c r="FS90" s="938"/>
      <c r="FT90" s="938">
        <f t="shared" si="301"/>
        <v>0</v>
      </c>
      <c r="FU90" s="938">
        <f t="shared" si="302"/>
        <v>0</v>
      </c>
      <c r="FV90" s="938">
        <f t="shared" si="303"/>
        <v>0</v>
      </c>
      <c r="FW90" s="938">
        <f t="shared" si="304"/>
        <v>0</v>
      </c>
      <c r="FX90" s="938">
        <f t="shared" si="305"/>
        <v>0</v>
      </c>
      <c r="FY90" s="938" t="str">
        <f t="shared" si="306"/>
        <v/>
      </c>
      <c r="FZ90" s="713">
        <f>'min. Düngung 22'!BJ91</f>
        <v>0</v>
      </c>
      <c r="GA90" s="938"/>
      <c r="GB90" s="938"/>
      <c r="GC90" s="938">
        <f t="shared" si="307"/>
        <v>0</v>
      </c>
      <c r="GD90" s="938">
        <f t="shared" si="308"/>
        <v>0</v>
      </c>
      <c r="GE90" s="938">
        <f t="shared" si="309"/>
        <v>0</v>
      </c>
      <c r="GF90" s="938">
        <f t="shared" si="310"/>
        <v>0</v>
      </c>
      <c r="GG90" s="938">
        <f t="shared" si="311"/>
        <v>0</v>
      </c>
      <c r="GH90" s="938" t="str">
        <f t="shared" si="312"/>
        <v/>
      </c>
      <c r="GI90" s="713">
        <f>'min. Düngung 22'!BM91</f>
        <v>0</v>
      </c>
      <c r="GJ90" s="938"/>
      <c r="GK90" s="938"/>
      <c r="GL90" s="938">
        <f t="shared" si="313"/>
        <v>0</v>
      </c>
      <c r="GM90" s="938">
        <f t="shared" si="314"/>
        <v>0</v>
      </c>
      <c r="GN90" s="938">
        <f t="shared" si="315"/>
        <v>0</v>
      </c>
      <c r="GO90" s="938">
        <f t="shared" si="316"/>
        <v>0</v>
      </c>
      <c r="GP90" s="938">
        <f t="shared" si="317"/>
        <v>0</v>
      </c>
      <c r="GQ90" s="938" t="str">
        <f t="shared" si="318"/>
        <v/>
      </c>
      <c r="GR90" s="713">
        <f>'min. Düngung 22'!BP91</f>
        <v>0</v>
      </c>
      <c r="GS90" s="938"/>
      <c r="GT90" s="938"/>
      <c r="GU90" s="938">
        <f t="shared" si="319"/>
        <v>0</v>
      </c>
      <c r="GV90" s="938">
        <f t="shared" si="320"/>
        <v>0</v>
      </c>
      <c r="GW90" s="938">
        <f t="shared" si="321"/>
        <v>0</v>
      </c>
      <c r="GX90" s="938">
        <f t="shared" si="322"/>
        <v>0</v>
      </c>
      <c r="GY90" s="938">
        <f t="shared" si="323"/>
        <v>0</v>
      </c>
      <c r="GZ90" s="938" t="str">
        <f t="shared" si="324"/>
        <v/>
      </c>
      <c r="HA90" s="713">
        <f>'min. Düngung 22'!BS91</f>
        <v>0</v>
      </c>
      <c r="HB90" s="938"/>
      <c r="HC90" s="938"/>
      <c r="HD90" s="938">
        <f t="shared" si="325"/>
        <v>0</v>
      </c>
      <c r="HE90" s="938">
        <f t="shared" si="326"/>
        <v>0</v>
      </c>
      <c r="HF90" s="938">
        <f t="shared" si="327"/>
        <v>0</v>
      </c>
      <c r="HG90" s="938">
        <f t="shared" si="328"/>
        <v>0</v>
      </c>
      <c r="HH90" s="938">
        <f t="shared" si="329"/>
        <v>0</v>
      </c>
      <c r="HI90" s="938" t="str">
        <f t="shared" si="330"/>
        <v/>
      </c>
      <c r="HJ90" s="713">
        <f>'min. Düngung 22'!BV91</f>
        <v>0</v>
      </c>
      <c r="HK90" s="938"/>
      <c r="HL90" s="938"/>
      <c r="HM90" s="938">
        <f t="shared" si="331"/>
        <v>0</v>
      </c>
      <c r="HN90" s="938">
        <f t="shared" si="332"/>
        <v>0</v>
      </c>
      <c r="HO90" s="938">
        <f t="shared" si="333"/>
        <v>0</v>
      </c>
      <c r="HP90" s="938">
        <f t="shared" si="334"/>
        <v>0</v>
      </c>
      <c r="HQ90" s="938">
        <f t="shared" si="335"/>
        <v>0</v>
      </c>
      <c r="HR90" s="938" t="str">
        <f t="shared" si="336"/>
        <v/>
      </c>
      <c r="HS90" s="713">
        <f>'min. Düngung 22'!BY91</f>
        <v>0</v>
      </c>
      <c r="HT90" s="938"/>
      <c r="HU90" s="938"/>
      <c r="HV90" s="938">
        <f t="shared" si="337"/>
        <v>0</v>
      </c>
      <c r="HW90" s="938">
        <f t="shared" si="338"/>
        <v>0</v>
      </c>
      <c r="HX90" s="938">
        <f t="shared" si="339"/>
        <v>0</v>
      </c>
      <c r="HY90" s="938">
        <f t="shared" si="340"/>
        <v>0</v>
      </c>
      <c r="HZ90" s="938">
        <f t="shared" si="341"/>
        <v>0</v>
      </c>
      <c r="IA90" s="938" t="str">
        <f t="shared" si="342"/>
        <v/>
      </c>
      <c r="IB90" s="713">
        <f>'min. Düngung 22'!CB91</f>
        <v>0</v>
      </c>
      <c r="IC90" s="938"/>
      <c r="ID90" s="938"/>
      <c r="IE90" s="938">
        <f t="shared" si="343"/>
        <v>0</v>
      </c>
      <c r="IF90" s="938">
        <f t="shared" si="344"/>
        <v>0</v>
      </c>
      <c r="IG90" s="938">
        <f t="shared" si="345"/>
        <v>0</v>
      </c>
      <c r="IH90" s="938">
        <f t="shared" si="346"/>
        <v>0</v>
      </c>
      <c r="II90" s="938">
        <f t="shared" si="347"/>
        <v>0</v>
      </c>
      <c r="IJ90" s="938" t="str">
        <f t="shared" si="348"/>
        <v/>
      </c>
      <c r="IK90" s="713">
        <f>'min. Düngung 22'!CE91</f>
        <v>0</v>
      </c>
      <c r="IL90" s="938"/>
      <c r="IM90" s="938"/>
      <c r="IN90" s="938">
        <f t="shared" si="349"/>
        <v>0</v>
      </c>
      <c r="IO90" s="938">
        <f t="shared" si="350"/>
        <v>0</v>
      </c>
      <c r="IP90" s="938">
        <f t="shared" si="351"/>
        <v>0</v>
      </c>
      <c r="IQ90" s="938">
        <f t="shared" si="352"/>
        <v>0</v>
      </c>
      <c r="IR90" s="938">
        <f t="shared" si="353"/>
        <v>0</v>
      </c>
      <c r="IS90" s="938" t="str">
        <f t="shared" si="354"/>
        <v/>
      </c>
      <c r="IT90" s="713">
        <f>'min. Düngung 22'!CH91</f>
        <v>0</v>
      </c>
      <c r="IU90" s="938"/>
      <c r="IV90" s="938"/>
      <c r="IW90" s="938">
        <f t="shared" si="355"/>
        <v>0</v>
      </c>
      <c r="IX90" s="938">
        <f t="shared" si="356"/>
        <v>0</v>
      </c>
      <c r="IY90" s="938">
        <f t="shared" si="357"/>
        <v>0</v>
      </c>
      <c r="IZ90" s="938">
        <f t="shared" si="358"/>
        <v>0</v>
      </c>
      <c r="JA90" s="938">
        <f t="shared" si="359"/>
        <v>0</v>
      </c>
      <c r="JB90" s="938" t="str">
        <f t="shared" si="360"/>
        <v/>
      </c>
      <c r="JC90" s="713">
        <f>'min. Düngung 22'!CK91</f>
        <v>0</v>
      </c>
      <c r="JD90" s="938"/>
      <c r="JE90" s="938"/>
      <c r="JF90" s="938">
        <f t="shared" si="361"/>
        <v>0</v>
      </c>
      <c r="JG90" s="938">
        <f t="shared" si="362"/>
        <v>0</v>
      </c>
      <c r="JH90" s="938">
        <f t="shared" si="363"/>
        <v>0</v>
      </c>
      <c r="JI90" s="938">
        <f t="shared" si="364"/>
        <v>0</v>
      </c>
      <c r="JJ90" s="938">
        <f t="shared" si="365"/>
        <v>0</v>
      </c>
      <c r="JK90" s="938" t="str">
        <f t="shared" si="366"/>
        <v/>
      </c>
      <c r="JL90" s="713">
        <f>'min. Düngung 22'!CN91</f>
        <v>0</v>
      </c>
      <c r="JM90" s="938"/>
      <c r="JN90" s="938"/>
      <c r="JO90" s="938">
        <f t="shared" si="367"/>
        <v>0</v>
      </c>
      <c r="JP90" s="938">
        <f t="shared" si="368"/>
        <v>0</v>
      </c>
      <c r="JQ90" s="938">
        <f t="shared" si="369"/>
        <v>0</v>
      </c>
      <c r="JR90" s="938">
        <f t="shared" si="370"/>
        <v>0</v>
      </c>
      <c r="JS90" s="938">
        <f t="shared" si="371"/>
        <v>0</v>
      </c>
      <c r="JT90" s="938" t="str">
        <f t="shared" si="372"/>
        <v/>
      </c>
      <c r="JU90" s="713">
        <f>'min. Düngung 22'!CQ91</f>
        <v>0</v>
      </c>
      <c r="JV90" s="938"/>
      <c r="JW90" s="938"/>
      <c r="JX90" s="938">
        <f t="shared" si="373"/>
        <v>0</v>
      </c>
      <c r="JY90" s="938">
        <f t="shared" si="374"/>
        <v>0</v>
      </c>
      <c r="JZ90" s="938">
        <f t="shared" si="375"/>
        <v>0</v>
      </c>
      <c r="KA90" s="938">
        <f t="shared" si="376"/>
        <v>0</v>
      </c>
      <c r="KB90" s="938">
        <f t="shared" si="377"/>
        <v>0</v>
      </c>
      <c r="KC90" s="938" t="str">
        <f t="shared" si="378"/>
        <v/>
      </c>
      <c r="KE90" s="938"/>
      <c r="KF90" s="938" t="str">
        <f>IF(AND($F90=2,$G90=1),"",IF(OR($Q90&gt;0,$O90&gt;60),$KF$7,IF(I90=70,"",IF(AND(I90=80,R90+'#orgDung'!AC93&lt;60,K90=1,OR(C90=2,'#BerechnungDBE'!AH84=4)),"",IF(R90&gt;0,$KF$7,"")))))</f>
        <v/>
      </c>
      <c r="KG90" s="938" t="str">
        <f>IF(AND(P90&gt;'#BerechnungDBE'!BJ84,P90&gt;0),'#minDung'!$KG$7,"")</f>
        <v/>
      </c>
      <c r="KH90" s="938" t="str">
        <f>IF(AND(I90=70,R90&gt;'#BerechnungDBE'!CR84),'#minDung'!$KH$7,"")</f>
        <v/>
      </c>
      <c r="KI90" s="938" t="str">
        <f>IF('#BerechnungDBE'!P84&lt;4,"",IF(AND('#BerechnungDBE'!BZ84&gt;0,N90&gt;0),$KI$7,""))</f>
        <v/>
      </c>
      <c r="KJ90" s="938" t="str">
        <f t="shared" si="197"/>
        <v/>
      </c>
    </row>
    <row r="91" spans="1:296" s="875" customFormat="1" hidden="1" x14ac:dyDescent="0.2">
      <c r="A91" s="875">
        <f>'Flächen u. Kulturen'!A90</f>
        <v>81</v>
      </c>
      <c r="B91" s="734">
        <f>'#BerechnungDBE'!L85</f>
        <v>0</v>
      </c>
      <c r="C91" s="46">
        <f>'#orgDung'!C94</f>
        <v>1</v>
      </c>
      <c r="D91" s="875">
        <f>'#BerechnungDBE'!T85</f>
        <v>2</v>
      </c>
      <c r="E91" s="875" t="str">
        <f>'Flächen u. Kulturen'!E90</f>
        <v>x</v>
      </c>
      <c r="F91" s="52">
        <f>'#BerechnungDBE'!N85</f>
        <v>1</v>
      </c>
      <c r="G91" s="52">
        <f>'#BerechnungDBE'!O85</f>
        <v>1</v>
      </c>
      <c r="H91" s="505">
        <f>'#orgDung'!J94</f>
        <v>2</v>
      </c>
      <c r="I91" s="875">
        <f>'#BerechnungDBE'!AF85</f>
        <v>0</v>
      </c>
      <c r="J91" s="875">
        <f>'#orgDung'!M94</f>
        <v>0</v>
      </c>
      <c r="K91" s="875">
        <f>'#BerechnungDBE'!AG85</f>
        <v>0</v>
      </c>
      <c r="M91" s="875">
        <f t="shared" si="192"/>
        <v>0</v>
      </c>
      <c r="N91" s="875">
        <f t="shared" si="193"/>
        <v>0</v>
      </c>
      <c r="O91" s="875">
        <f t="shared" si="194"/>
        <v>0</v>
      </c>
      <c r="P91" s="875">
        <f t="shared" si="195"/>
        <v>0</v>
      </c>
      <c r="Q91" s="938">
        <f t="shared" si="198"/>
        <v>0</v>
      </c>
      <c r="R91" s="875">
        <f t="shared" si="196"/>
        <v>0</v>
      </c>
      <c r="T91" s="713">
        <f>'min. Düngung 22'!H92</f>
        <v>0</v>
      </c>
      <c r="W91" s="875">
        <f t="shared" si="199"/>
        <v>0</v>
      </c>
      <c r="X91" s="875">
        <f t="shared" si="200"/>
        <v>0</v>
      </c>
      <c r="Y91" s="875">
        <f t="shared" si="201"/>
        <v>0</v>
      </c>
      <c r="Z91" s="875">
        <f t="shared" si="202"/>
        <v>0</v>
      </c>
      <c r="AA91" s="875">
        <f t="shared" si="203"/>
        <v>0</v>
      </c>
      <c r="AB91" s="875" t="str">
        <f t="shared" si="204"/>
        <v/>
      </c>
      <c r="AC91" s="713">
        <f>'min. Düngung 22'!K92</f>
        <v>0</v>
      </c>
      <c r="AD91" s="938"/>
      <c r="AE91" s="938"/>
      <c r="AF91" s="938">
        <f t="shared" si="205"/>
        <v>0</v>
      </c>
      <c r="AG91" s="938">
        <f t="shared" si="206"/>
        <v>0</v>
      </c>
      <c r="AH91" s="938">
        <f t="shared" si="207"/>
        <v>0</v>
      </c>
      <c r="AI91" s="938">
        <f t="shared" si="208"/>
        <v>0</v>
      </c>
      <c r="AJ91" s="938">
        <f t="shared" si="209"/>
        <v>0</v>
      </c>
      <c r="AK91" s="938">
        <f t="shared" si="210"/>
        <v>0</v>
      </c>
      <c r="AL91" s="713">
        <f>'min. Düngung 22'!N92</f>
        <v>0</v>
      </c>
      <c r="AM91" s="938"/>
      <c r="AN91" s="938"/>
      <c r="AO91" s="938">
        <f t="shared" si="211"/>
        <v>0</v>
      </c>
      <c r="AP91" s="938">
        <f t="shared" si="212"/>
        <v>0</v>
      </c>
      <c r="AQ91" s="938">
        <f t="shared" si="213"/>
        <v>0</v>
      </c>
      <c r="AR91" s="938">
        <f t="shared" si="214"/>
        <v>0</v>
      </c>
      <c r="AS91" s="938">
        <f t="shared" si="215"/>
        <v>0</v>
      </c>
      <c r="AT91" s="938" t="str">
        <f t="shared" si="216"/>
        <v/>
      </c>
      <c r="AU91" s="713">
        <f>'min. Düngung 22'!Q92</f>
        <v>0</v>
      </c>
      <c r="AV91" s="938"/>
      <c r="AW91" s="938"/>
      <c r="AX91" s="938">
        <f t="shared" si="217"/>
        <v>0</v>
      </c>
      <c r="AY91" s="938">
        <f t="shared" si="218"/>
        <v>0</v>
      </c>
      <c r="AZ91" s="938">
        <f t="shared" si="219"/>
        <v>0</v>
      </c>
      <c r="BA91" s="938">
        <f t="shared" si="220"/>
        <v>0</v>
      </c>
      <c r="BB91" s="938">
        <f t="shared" si="221"/>
        <v>0</v>
      </c>
      <c r="BC91" s="938" t="str">
        <f t="shared" si="222"/>
        <v/>
      </c>
      <c r="BD91" s="713">
        <f>'min. Düngung 22'!T92</f>
        <v>0</v>
      </c>
      <c r="BE91" s="938"/>
      <c r="BF91" s="938"/>
      <c r="BG91" s="938">
        <f t="shared" si="223"/>
        <v>0</v>
      </c>
      <c r="BH91" s="938">
        <f t="shared" si="224"/>
        <v>0</v>
      </c>
      <c r="BI91" s="938">
        <f t="shared" si="225"/>
        <v>0</v>
      </c>
      <c r="BJ91" s="938">
        <f t="shared" si="226"/>
        <v>0</v>
      </c>
      <c r="BK91" s="938">
        <f t="shared" si="227"/>
        <v>0</v>
      </c>
      <c r="BL91" s="938" t="str">
        <f t="shared" si="228"/>
        <v/>
      </c>
      <c r="BM91" s="713">
        <f>'min. Düngung 22'!W92</f>
        <v>0</v>
      </c>
      <c r="BN91" s="938"/>
      <c r="BO91" s="938"/>
      <c r="BP91" s="938">
        <f t="shared" si="229"/>
        <v>0</v>
      </c>
      <c r="BQ91" s="938">
        <f t="shared" si="230"/>
        <v>0</v>
      </c>
      <c r="BR91" s="938">
        <f t="shared" si="231"/>
        <v>0</v>
      </c>
      <c r="BS91" s="938">
        <f t="shared" si="232"/>
        <v>0</v>
      </c>
      <c r="BT91" s="938">
        <f t="shared" si="233"/>
        <v>0</v>
      </c>
      <c r="BU91" s="938" t="str">
        <f t="shared" si="234"/>
        <v/>
      </c>
      <c r="BV91" s="713">
        <f>'min. Düngung 22'!Z92</f>
        <v>0</v>
      </c>
      <c r="BW91" s="938"/>
      <c r="BX91" s="938"/>
      <c r="BY91" s="938">
        <f t="shared" si="235"/>
        <v>0</v>
      </c>
      <c r="BZ91" s="938">
        <f t="shared" si="236"/>
        <v>0</v>
      </c>
      <c r="CA91" s="938">
        <f t="shared" si="237"/>
        <v>0</v>
      </c>
      <c r="CB91" s="938">
        <f t="shared" si="238"/>
        <v>0</v>
      </c>
      <c r="CC91" s="938">
        <f t="shared" si="239"/>
        <v>0</v>
      </c>
      <c r="CD91" s="938" t="str">
        <f t="shared" si="240"/>
        <v/>
      </c>
      <c r="CE91" s="713">
        <f>'min. Düngung 22'!AC92</f>
        <v>0</v>
      </c>
      <c r="CF91" s="938"/>
      <c r="CG91" s="938"/>
      <c r="CH91" s="938">
        <f t="shared" si="241"/>
        <v>0</v>
      </c>
      <c r="CI91" s="938">
        <f t="shared" si="242"/>
        <v>0</v>
      </c>
      <c r="CJ91" s="938">
        <f t="shared" si="243"/>
        <v>0</v>
      </c>
      <c r="CK91" s="938">
        <f t="shared" si="244"/>
        <v>0</v>
      </c>
      <c r="CL91" s="938">
        <f t="shared" si="245"/>
        <v>0</v>
      </c>
      <c r="CM91" s="938" t="str">
        <f t="shared" si="246"/>
        <v/>
      </c>
      <c r="CN91" s="713">
        <f>'min. Düngung 22'!AF92</f>
        <v>0</v>
      </c>
      <c r="CO91" s="938"/>
      <c r="CP91" s="938"/>
      <c r="CQ91" s="938">
        <f t="shared" si="247"/>
        <v>0</v>
      </c>
      <c r="CR91" s="938">
        <f t="shared" si="248"/>
        <v>0</v>
      </c>
      <c r="CS91" s="938">
        <f t="shared" si="249"/>
        <v>0</v>
      </c>
      <c r="CT91" s="938">
        <f t="shared" si="250"/>
        <v>0</v>
      </c>
      <c r="CU91" s="938">
        <f t="shared" si="251"/>
        <v>0</v>
      </c>
      <c r="CV91" s="938" t="str">
        <f t="shared" si="252"/>
        <v/>
      </c>
      <c r="CW91" s="713">
        <f>'min. Düngung 22'!AI92</f>
        <v>0</v>
      </c>
      <c r="CX91" s="938"/>
      <c r="CY91" s="938"/>
      <c r="CZ91" s="938">
        <f t="shared" si="253"/>
        <v>0</v>
      </c>
      <c r="DA91" s="938">
        <f t="shared" si="254"/>
        <v>0</v>
      </c>
      <c r="DB91" s="938">
        <f t="shared" si="255"/>
        <v>0</v>
      </c>
      <c r="DC91" s="938">
        <f t="shared" si="256"/>
        <v>0</v>
      </c>
      <c r="DD91" s="938">
        <f t="shared" si="257"/>
        <v>0</v>
      </c>
      <c r="DE91" s="938" t="str">
        <f t="shared" si="258"/>
        <v/>
      </c>
      <c r="DF91" s="713">
        <f>'min. Düngung 22'!AL92</f>
        <v>0</v>
      </c>
      <c r="DG91" s="938"/>
      <c r="DH91" s="938"/>
      <c r="DI91" s="938">
        <f t="shared" si="259"/>
        <v>0</v>
      </c>
      <c r="DJ91" s="938">
        <f t="shared" si="260"/>
        <v>0</v>
      </c>
      <c r="DK91" s="938">
        <f t="shared" si="261"/>
        <v>0</v>
      </c>
      <c r="DL91" s="938">
        <f t="shared" si="262"/>
        <v>0</v>
      </c>
      <c r="DM91" s="938">
        <f t="shared" si="263"/>
        <v>0</v>
      </c>
      <c r="DN91" s="938" t="str">
        <f t="shared" si="264"/>
        <v/>
      </c>
      <c r="DO91" s="713">
        <f>'min. Düngung 22'!AO92</f>
        <v>0</v>
      </c>
      <c r="DP91" s="938"/>
      <c r="DQ91" s="938"/>
      <c r="DR91" s="938">
        <f t="shared" si="265"/>
        <v>0</v>
      </c>
      <c r="DS91" s="938">
        <f t="shared" si="266"/>
        <v>0</v>
      </c>
      <c r="DT91" s="938">
        <f t="shared" si="267"/>
        <v>0</v>
      </c>
      <c r="DU91" s="938">
        <f t="shared" si="268"/>
        <v>0</v>
      </c>
      <c r="DV91" s="938">
        <f t="shared" si="269"/>
        <v>0</v>
      </c>
      <c r="DW91" s="938" t="str">
        <f t="shared" si="270"/>
        <v/>
      </c>
      <c r="DX91" s="713">
        <f>'min. Düngung 22'!AR92</f>
        <v>0</v>
      </c>
      <c r="DY91" s="938"/>
      <c r="DZ91" s="938"/>
      <c r="EA91" s="938">
        <f t="shared" si="271"/>
        <v>0</v>
      </c>
      <c r="EB91" s="938">
        <f t="shared" si="272"/>
        <v>0</v>
      </c>
      <c r="EC91" s="938">
        <f t="shared" si="273"/>
        <v>0</v>
      </c>
      <c r="ED91" s="938">
        <f t="shared" si="274"/>
        <v>0</v>
      </c>
      <c r="EE91" s="938">
        <f t="shared" si="275"/>
        <v>0</v>
      </c>
      <c r="EF91" s="938" t="str">
        <f t="shared" si="276"/>
        <v/>
      </c>
      <c r="EG91" s="713">
        <f>'min. Düngung 22'!AU92</f>
        <v>0</v>
      </c>
      <c r="EH91" s="938"/>
      <c r="EI91" s="938"/>
      <c r="EJ91" s="938">
        <f t="shared" si="277"/>
        <v>0</v>
      </c>
      <c r="EK91" s="938">
        <f t="shared" si="278"/>
        <v>0</v>
      </c>
      <c r="EL91" s="938">
        <f t="shared" si="279"/>
        <v>0</v>
      </c>
      <c r="EM91" s="938">
        <f t="shared" si="280"/>
        <v>0</v>
      </c>
      <c r="EN91" s="938">
        <f t="shared" si="281"/>
        <v>0</v>
      </c>
      <c r="EO91" s="938" t="str">
        <f t="shared" si="282"/>
        <v/>
      </c>
      <c r="EP91" s="713">
        <f>'min. Düngung 22'!AX92</f>
        <v>0</v>
      </c>
      <c r="EQ91" s="938"/>
      <c r="ER91" s="938"/>
      <c r="ES91" s="938">
        <f t="shared" si="283"/>
        <v>0</v>
      </c>
      <c r="ET91" s="938">
        <f t="shared" si="284"/>
        <v>0</v>
      </c>
      <c r="EU91" s="938">
        <f t="shared" si="285"/>
        <v>0</v>
      </c>
      <c r="EV91" s="938">
        <f t="shared" si="286"/>
        <v>0</v>
      </c>
      <c r="EW91" s="938">
        <f t="shared" si="287"/>
        <v>0</v>
      </c>
      <c r="EX91" s="938" t="str">
        <f t="shared" si="288"/>
        <v/>
      </c>
      <c r="EY91" s="713">
        <f>'min. Düngung 22'!BA92</f>
        <v>0</v>
      </c>
      <c r="EZ91" s="938"/>
      <c r="FA91" s="938"/>
      <c r="FB91" s="938">
        <f t="shared" si="289"/>
        <v>0</v>
      </c>
      <c r="FC91" s="938">
        <f t="shared" si="290"/>
        <v>0</v>
      </c>
      <c r="FD91" s="938">
        <f t="shared" si="291"/>
        <v>0</v>
      </c>
      <c r="FE91" s="938">
        <f t="shared" si="292"/>
        <v>0</v>
      </c>
      <c r="FF91" s="938">
        <f t="shared" si="293"/>
        <v>0</v>
      </c>
      <c r="FG91" s="938" t="str">
        <f t="shared" si="294"/>
        <v/>
      </c>
      <c r="FH91" s="713">
        <f>'min. Düngung 22'!BD92</f>
        <v>0</v>
      </c>
      <c r="FI91" s="938"/>
      <c r="FJ91" s="938"/>
      <c r="FK91" s="938">
        <f t="shared" si="295"/>
        <v>0</v>
      </c>
      <c r="FL91" s="938">
        <f t="shared" si="296"/>
        <v>0</v>
      </c>
      <c r="FM91" s="938">
        <f t="shared" si="297"/>
        <v>0</v>
      </c>
      <c r="FN91" s="938">
        <f t="shared" si="298"/>
        <v>0</v>
      </c>
      <c r="FO91" s="938">
        <f t="shared" si="299"/>
        <v>0</v>
      </c>
      <c r="FP91" s="938" t="str">
        <f t="shared" si="300"/>
        <v/>
      </c>
      <c r="FQ91" s="713">
        <f>'min. Düngung 22'!BG92</f>
        <v>0</v>
      </c>
      <c r="FR91" s="938"/>
      <c r="FS91" s="938"/>
      <c r="FT91" s="938">
        <f t="shared" si="301"/>
        <v>0</v>
      </c>
      <c r="FU91" s="938">
        <f t="shared" si="302"/>
        <v>0</v>
      </c>
      <c r="FV91" s="938">
        <f t="shared" si="303"/>
        <v>0</v>
      </c>
      <c r="FW91" s="938">
        <f t="shared" si="304"/>
        <v>0</v>
      </c>
      <c r="FX91" s="938">
        <f t="shared" si="305"/>
        <v>0</v>
      </c>
      <c r="FY91" s="938" t="str">
        <f t="shared" si="306"/>
        <v/>
      </c>
      <c r="FZ91" s="713">
        <f>'min. Düngung 22'!BJ92</f>
        <v>0</v>
      </c>
      <c r="GA91" s="938"/>
      <c r="GB91" s="938"/>
      <c r="GC91" s="938">
        <f t="shared" si="307"/>
        <v>0</v>
      </c>
      <c r="GD91" s="938">
        <f t="shared" si="308"/>
        <v>0</v>
      </c>
      <c r="GE91" s="938">
        <f t="shared" si="309"/>
        <v>0</v>
      </c>
      <c r="GF91" s="938">
        <f t="shared" si="310"/>
        <v>0</v>
      </c>
      <c r="GG91" s="938">
        <f t="shared" si="311"/>
        <v>0</v>
      </c>
      <c r="GH91" s="938" t="str">
        <f t="shared" si="312"/>
        <v/>
      </c>
      <c r="GI91" s="713">
        <f>'min. Düngung 22'!BM92</f>
        <v>0</v>
      </c>
      <c r="GJ91" s="938"/>
      <c r="GK91" s="938"/>
      <c r="GL91" s="938">
        <f t="shared" si="313"/>
        <v>0</v>
      </c>
      <c r="GM91" s="938">
        <f t="shared" si="314"/>
        <v>0</v>
      </c>
      <c r="GN91" s="938">
        <f t="shared" si="315"/>
        <v>0</v>
      </c>
      <c r="GO91" s="938">
        <f t="shared" si="316"/>
        <v>0</v>
      </c>
      <c r="GP91" s="938">
        <f t="shared" si="317"/>
        <v>0</v>
      </c>
      <c r="GQ91" s="938" t="str">
        <f t="shared" si="318"/>
        <v/>
      </c>
      <c r="GR91" s="713">
        <f>'min. Düngung 22'!BP92</f>
        <v>0</v>
      </c>
      <c r="GS91" s="938"/>
      <c r="GT91" s="938"/>
      <c r="GU91" s="938">
        <f t="shared" si="319"/>
        <v>0</v>
      </c>
      <c r="GV91" s="938">
        <f t="shared" si="320"/>
        <v>0</v>
      </c>
      <c r="GW91" s="938">
        <f t="shared" si="321"/>
        <v>0</v>
      </c>
      <c r="GX91" s="938">
        <f t="shared" si="322"/>
        <v>0</v>
      </c>
      <c r="GY91" s="938">
        <f t="shared" si="323"/>
        <v>0</v>
      </c>
      <c r="GZ91" s="938" t="str">
        <f t="shared" si="324"/>
        <v/>
      </c>
      <c r="HA91" s="713">
        <f>'min. Düngung 22'!BS92</f>
        <v>0</v>
      </c>
      <c r="HB91" s="938"/>
      <c r="HC91" s="938"/>
      <c r="HD91" s="938">
        <f t="shared" si="325"/>
        <v>0</v>
      </c>
      <c r="HE91" s="938">
        <f t="shared" si="326"/>
        <v>0</v>
      </c>
      <c r="HF91" s="938">
        <f t="shared" si="327"/>
        <v>0</v>
      </c>
      <c r="HG91" s="938">
        <f t="shared" si="328"/>
        <v>0</v>
      </c>
      <c r="HH91" s="938">
        <f t="shared" si="329"/>
        <v>0</v>
      </c>
      <c r="HI91" s="938" t="str">
        <f t="shared" si="330"/>
        <v/>
      </c>
      <c r="HJ91" s="713">
        <f>'min. Düngung 22'!BV92</f>
        <v>0</v>
      </c>
      <c r="HK91" s="938"/>
      <c r="HL91" s="938"/>
      <c r="HM91" s="938">
        <f t="shared" si="331"/>
        <v>0</v>
      </c>
      <c r="HN91" s="938">
        <f t="shared" si="332"/>
        <v>0</v>
      </c>
      <c r="HO91" s="938">
        <f t="shared" si="333"/>
        <v>0</v>
      </c>
      <c r="HP91" s="938">
        <f t="shared" si="334"/>
        <v>0</v>
      </c>
      <c r="HQ91" s="938">
        <f t="shared" si="335"/>
        <v>0</v>
      </c>
      <c r="HR91" s="938" t="str">
        <f t="shared" si="336"/>
        <v/>
      </c>
      <c r="HS91" s="713">
        <f>'min. Düngung 22'!BY92</f>
        <v>0</v>
      </c>
      <c r="HT91" s="938"/>
      <c r="HU91" s="938"/>
      <c r="HV91" s="938">
        <f t="shared" si="337"/>
        <v>0</v>
      </c>
      <c r="HW91" s="938">
        <f t="shared" si="338"/>
        <v>0</v>
      </c>
      <c r="HX91" s="938">
        <f t="shared" si="339"/>
        <v>0</v>
      </c>
      <c r="HY91" s="938">
        <f t="shared" si="340"/>
        <v>0</v>
      </c>
      <c r="HZ91" s="938">
        <f t="shared" si="341"/>
        <v>0</v>
      </c>
      <c r="IA91" s="938" t="str">
        <f t="shared" si="342"/>
        <v/>
      </c>
      <c r="IB91" s="713">
        <f>'min. Düngung 22'!CB92</f>
        <v>0</v>
      </c>
      <c r="IC91" s="938"/>
      <c r="ID91" s="938"/>
      <c r="IE91" s="938">
        <f t="shared" si="343"/>
        <v>0</v>
      </c>
      <c r="IF91" s="938">
        <f t="shared" si="344"/>
        <v>0</v>
      </c>
      <c r="IG91" s="938">
        <f t="shared" si="345"/>
        <v>0</v>
      </c>
      <c r="IH91" s="938">
        <f t="shared" si="346"/>
        <v>0</v>
      </c>
      <c r="II91" s="938">
        <f t="shared" si="347"/>
        <v>0</v>
      </c>
      <c r="IJ91" s="938" t="str">
        <f t="shared" si="348"/>
        <v/>
      </c>
      <c r="IK91" s="713">
        <f>'min. Düngung 22'!CE92</f>
        <v>0</v>
      </c>
      <c r="IL91" s="938"/>
      <c r="IM91" s="938"/>
      <c r="IN91" s="938">
        <f t="shared" si="349"/>
        <v>0</v>
      </c>
      <c r="IO91" s="938">
        <f t="shared" si="350"/>
        <v>0</v>
      </c>
      <c r="IP91" s="938">
        <f t="shared" si="351"/>
        <v>0</v>
      </c>
      <c r="IQ91" s="938">
        <f t="shared" si="352"/>
        <v>0</v>
      </c>
      <c r="IR91" s="938">
        <f t="shared" si="353"/>
        <v>0</v>
      </c>
      <c r="IS91" s="938" t="str">
        <f t="shared" si="354"/>
        <v/>
      </c>
      <c r="IT91" s="713">
        <f>'min. Düngung 22'!CH92</f>
        <v>0</v>
      </c>
      <c r="IU91" s="938"/>
      <c r="IV91" s="938"/>
      <c r="IW91" s="938">
        <f t="shared" si="355"/>
        <v>0</v>
      </c>
      <c r="IX91" s="938">
        <f t="shared" si="356"/>
        <v>0</v>
      </c>
      <c r="IY91" s="938">
        <f t="shared" si="357"/>
        <v>0</v>
      </c>
      <c r="IZ91" s="938">
        <f t="shared" si="358"/>
        <v>0</v>
      </c>
      <c r="JA91" s="938">
        <f t="shared" si="359"/>
        <v>0</v>
      </c>
      <c r="JB91" s="938" t="str">
        <f t="shared" si="360"/>
        <v/>
      </c>
      <c r="JC91" s="713">
        <f>'min. Düngung 22'!CK92</f>
        <v>0</v>
      </c>
      <c r="JD91" s="938"/>
      <c r="JE91" s="938"/>
      <c r="JF91" s="938">
        <f t="shared" si="361"/>
        <v>0</v>
      </c>
      <c r="JG91" s="938">
        <f t="shared" si="362"/>
        <v>0</v>
      </c>
      <c r="JH91" s="938">
        <f t="shared" si="363"/>
        <v>0</v>
      </c>
      <c r="JI91" s="938">
        <f t="shared" si="364"/>
        <v>0</v>
      </c>
      <c r="JJ91" s="938">
        <f t="shared" si="365"/>
        <v>0</v>
      </c>
      <c r="JK91" s="938" t="str">
        <f t="shared" si="366"/>
        <v/>
      </c>
      <c r="JL91" s="713">
        <f>'min. Düngung 22'!CN92</f>
        <v>0</v>
      </c>
      <c r="JM91" s="938"/>
      <c r="JN91" s="938"/>
      <c r="JO91" s="938">
        <f t="shared" si="367"/>
        <v>0</v>
      </c>
      <c r="JP91" s="938">
        <f t="shared" si="368"/>
        <v>0</v>
      </c>
      <c r="JQ91" s="938">
        <f t="shared" si="369"/>
        <v>0</v>
      </c>
      <c r="JR91" s="938">
        <f t="shared" si="370"/>
        <v>0</v>
      </c>
      <c r="JS91" s="938">
        <f t="shared" si="371"/>
        <v>0</v>
      </c>
      <c r="JT91" s="938" t="str">
        <f t="shared" si="372"/>
        <v/>
      </c>
      <c r="JU91" s="713">
        <f>'min. Düngung 22'!CQ92</f>
        <v>0</v>
      </c>
      <c r="JV91" s="938"/>
      <c r="JW91" s="938"/>
      <c r="JX91" s="938">
        <f t="shared" si="373"/>
        <v>0</v>
      </c>
      <c r="JY91" s="938">
        <f t="shared" si="374"/>
        <v>0</v>
      </c>
      <c r="JZ91" s="938">
        <f t="shared" si="375"/>
        <v>0</v>
      </c>
      <c r="KA91" s="938">
        <f t="shared" si="376"/>
        <v>0</v>
      </c>
      <c r="KB91" s="938">
        <f t="shared" si="377"/>
        <v>0</v>
      </c>
      <c r="KC91" s="938" t="str">
        <f t="shared" si="378"/>
        <v/>
      </c>
      <c r="KE91" s="938"/>
      <c r="KF91" s="938" t="str">
        <f>IF(AND($F91=2,$G91=1),"",IF(OR($Q91&gt;0,$O91&gt;60),$KF$7,IF(I91=70,"",IF(AND(I91=80,R91+'#orgDung'!AC94&lt;60,K91=1,OR(C91=2,'#BerechnungDBE'!AH85=4)),"",IF(R91&gt;0,$KF$7,"")))))</f>
        <v/>
      </c>
      <c r="KG91" s="938" t="str">
        <f>IF(AND(P91&gt;'#BerechnungDBE'!BJ85,P91&gt;0),'#minDung'!$KG$7,"")</f>
        <v/>
      </c>
      <c r="KH91" s="938" t="str">
        <f>IF(AND(I91=70,R91&gt;'#BerechnungDBE'!CR85),'#minDung'!$KH$7,"")</f>
        <v/>
      </c>
      <c r="KI91" s="938" t="str">
        <f>IF('#BerechnungDBE'!P85&lt;4,"",IF(AND('#BerechnungDBE'!BZ85&gt;0,N91&gt;0),$KI$7,""))</f>
        <v/>
      </c>
      <c r="KJ91" s="938" t="str">
        <f t="shared" si="197"/>
        <v/>
      </c>
    </row>
    <row r="92" spans="1:296" s="875" customFormat="1" hidden="1" x14ac:dyDescent="0.2">
      <c r="A92" s="875">
        <f>'Flächen u. Kulturen'!A91</f>
        <v>82</v>
      </c>
      <c r="B92" s="734">
        <f>'#BerechnungDBE'!L86</f>
        <v>0</v>
      </c>
      <c r="C92" s="46">
        <f>'#orgDung'!C95</f>
        <v>1</v>
      </c>
      <c r="D92" s="875">
        <f>'#BerechnungDBE'!T86</f>
        <v>2</v>
      </c>
      <c r="E92" s="875" t="str">
        <f>'Flächen u. Kulturen'!E91</f>
        <v>x</v>
      </c>
      <c r="F92" s="52">
        <f>'#BerechnungDBE'!N86</f>
        <v>1</v>
      </c>
      <c r="G92" s="52">
        <f>'#BerechnungDBE'!O86</f>
        <v>1</v>
      </c>
      <c r="H92" s="505">
        <f>'#orgDung'!J95</f>
        <v>2</v>
      </c>
      <c r="I92" s="875">
        <f>'#BerechnungDBE'!AF86</f>
        <v>0</v>
      </c>
      <c r="J92" s="875">
        <f>'#orgDung'!M95</f>
        <v>0</v>
      </c>
      <c r="K92" s="875">
        <f>'#BerechnungDBE'!AG86</f>
        <v>0</v>
      </c>
      <c r="M92" s="875">
        <f t="shared" si="192"/>
        <v>0</v>
      </c>
      <c r="N92" s="875">
        <f t="shared" si="193"/>
        <v>0</v>
      </c>
      <c r="O92" s="875">
        <f t="shared" si="194"/>
        <v>0</v>
      </c>
      <c r="P92" s="875">
        <f t="shared" si="195"/>
        <v>0</v>
      </c>
      <c r="Q92" s="938">
        <f t="shared" si="198"/>
        <v>0</v>
      </c>
      <c r="R92" s="875">
        <f t="shared" si="196"/>
        <v>0</v>
      </c>
      <c r="T92" s="713">
        <f>'min. Düngung 22'!H93</f>
        <v>0</v>
      </c>
      <c r="W92" s="875">
        <f t="shared" si="199"/>
        <v>0</v>
      </c>
      <c r="X92" s="875">
        <f t="shared" si="200"/>
        <v>0</v>
      </c>
      <c r="Y92" s="875">
        <f t="shared" si="201"/>
        <v>0</v>
      </c>
      <c r="Z92" s="875">
        <f t="shared" si="202"/>
        <v>0</v>
      </c>
      <c r="AA92" s="875">
        <f t="shared" si="203"/>
        <v>0</v>
      </c>
      <c r="AB92" s="875" t="str">
        <f t="shared" si="204"/>
        <v/>
      </c>
      <c r="AC92" s="713">
        <f>'min. Düngung 22'!K93</f>
        <v>0</v>
      </c>
      <c r="AD92" s="938"/>
      <c r="AE92" s="938"/>
      <c r="AF92" s="938">
        <f t="shared" si="205"/>
        <v>0</v>
      </c>
      <c r="AG92" s="938">
        <f t="shared" si="206"/>
        <v>0</v>
      </c>
      <c r="AH92" s="938">
        <f t="shared" si="207"/>
        <v>0</v>
      </c>
      <c r="AI92" s="938">
        <f t="shared" si="208"/>
        <v>0</v>
      </c>
      <c r="AJ92" s="938">
        <f t="shared" si="209"/>
        <v>0</v>
      </c>
      <c r="AK92" s="938">
        <f t="shared" si="210"/>
        <v>0</v>
      </c>
      <c r="AL92" s="713">
        <f>'min. Düngung 22'!N93</f>
        <v>0</v>
      </c>
      <c r="AM92" s="938"/>
      <c r="AN92" s="938"/>
      <c r="AO92" s="938">
        <f t="shared" si="211"/>
        <v>0</v>
      </c>
      <c r="AP92" s="938">
        <f t="shared" si="212"/>
        <v>0</v>
      </c>
      <c r="AQ92" s="938">
        <f t="shared" si="213"/>
        <v>0</v>
      </c>
      <c r="AR92" s="938">
        <f t="shared" si="214"/>
        <v>0</v>
      </c>
      <c r="AS92" s="938">
        <f t="shared" si="215"/>
        <v>0</v>
      </c>
      <c r="AT92" s="938" t="str">
        <f t="shared" si="216"/>
        <v/>
      </c>
      <c r="AU92" s="713">
        <f>'min. Düngung 22'!Q93</f>
        <v>0</v>
      </c>
      <c r="AV92" s="938"/>
      <c r="AW92" s="938"/>
      <c r="AX92" s="938">
        <f t="shared" si="217"/>
        <v>0</v>
      </c>
      <c r="AY92" s="938">
        <f t="shared" si="218"/>
        <v>0</v>
      </c>
      <c r="AZ92" s="938">
        <f t="shared" si="219"/>
        <v>0</v>
      </c>
      <c r="BA92" s="938">
        <f t="shared" si="220"/>
        <v>0</v>
      </c>
      <c r="BB92" s="938">
        <f t="shared" si="221"/>
        <v>0</v>
      </c>
      <c r="BC92" s="938" t="str">
        <f t="shared" si="222"/>
        <v/>
      </c>
      <c r="BD92" s="713">
        <f>'min. Düngung 22'!T93</f>
        <v>0</v>
      </c>
      <c r="BE92" s="938"/>
      <c r="BF92" s="938"/>
      <c r="BG92" s="938">
        <f t="shared" si="223"/>
        <v>0</v>
      </c>
      <c r="BH92" s="938">
        <f t="shared" si="224"/>
        <v>0</v>
      </c>
      <c r="BI92" s="938">
        <f t="shared" si="225"/>
        <v>0</v>
      </c>
      <c r="BJ92" s="938">
        <f t="shared" si="226"/>
        <v>0</v>
      </c>
      <c r="BK92" s="938">
        <f t="shared" si="227"/>
        <v>0</v>
      </c>
      <c r="BL92" s="938" t="str">
        <f t="shared" si="228"/>
        <v/>
      </c>
      <c r="BM92" s="713">
        <f>'min. Düngung 22'!W93</f>
        <v>0</v>
      </c>
      <c r="BN92" s="938"/>
      <c r="BO92" s="938"/>
      <c r="BP92" s="938">
        <f t="shared" si="229"/>
        <v>0</v>
      </c>
      <c r="BQ92" s="938">
        <f t="shared" si="230"/>
        <v>0</v>
      </c>
      <c r="BR92" s="938">
        <f t="shared" si="231"/>
        <v>0</v>
      </c>
      <c r="BS92" s="938">
        <f t="shared" si="232"/>
        <v>0</v>
      </c>
      <c r="BT92" s="938">
        <f t="shared" si="233"/>
        <v>0</v>
      </c>
      <c r="BU92" s="938" t="str">
        <f t="shared" si="234"/>
        <v/>
      </c>
      <c r="BV92" s="713">
        <f>'min. Düngung 22'!Z93</f>
        <v>0</v>
      </c>
      <c r="BW92" s="938"/>
      <c r="BX92" s="938"/>
      <c r="BY92" s="938">
        <f t="shared" si="235"/>
        <v>0</v>
      </c>
      <c r="BZ92" s="938">
        <f t="shared" si="236"/>
        <v>0</v>
      </c>
      <c r="CA92" s="938">
        <f t="shared" si="237"/>
        <v>0</v>
      </c>
      <c r="CB92" s="938">
        <f t="shared" si="238"/>
        <v>0</v>
      </c>
      <c r="CC92" s="938">
        <f t="shared" si="239"/>
        <v>0</v>
      </c>
      <c r="CD92" s="938" t="str">
        <f t="shared" si="240"/>
        <v/>
      </c>
      <c r="CE92" s="713">
        <f>'min. Düngung 22'!AC93</f>
        <v>0</v>
      </c>
      <c r="CF92" s="938"/>
      <c r="CG92" s="938"/>
      <c r="CH92" s="938">
        <f t="shared" si="241"/>
        <v>0</v>
      </c>
      <c r="CI92" s="938">
        <f t="shared" si="242"/>
        <v>0</v>
      </c>
      <c r="CJ92" s="938">
        <f t="shared" si="243"/>
        <v>0</v>
      </c>
      <c r="CK92" s="938">
        <f t="shared" si="244"/>
        <v>0</v>
      </c>
      <c r="CL92" s="938">
        <f t="shared" si="245"/>
        <v>0</v>
      </c>
      <c r="CM92" s="938" t="str">
        <f t="shared" si="246"/>
        <v/>
      </c>
      <c r="CN92" s="713">
        <f>'min. Düngung 22'!AF93</f>
        <v>0</v>
      </c>
      <c r="CO92" s="938"/>
      <c r="CP92" s="938"/>
      <c r="CQ92" s="938">
        <f t="shared" si="247"/>
        <v>0</v>
      </c>
      <c r="CR92" s="938">
        <f t="shared" si="248"/>
        <v>0</v>
      </c>
      <c r="CS92" s="938">
        <f t="shared" si="249"/>
        <v>0</v>
      </c>
      <c r="CT92" s="938">
        <f t="shared" si="250"/>
        <v>0</v>
      </c>
      <c r="CU92" s="938">
        <f t="shared" si="251"/>
        <v>0</v>
      </c>
      <c r="CV92" s="938" t="str">
        <f t="shared" si="252"/>
        <v/>
      </c>
      <c r="CW92" s="713">
        <f>'min. Düngung 22'!AI93</f>
        <v>0</v>
      </c>
      <c r="CX92" s="938"/>
      <c r="CY92" s="938"/>
      <c r="CZ92" s="938">
        <f t="shared" si="253"/>
        <v>0</v>
      </c>
      <c r="DA92" s="938">
        <f t="shared" si="254"/>
        <v>0</v>
      </c>
      <c r="DB92" s="938">
        <f t="shared" si="255"/>
        <v>0</v>
      </c>
      <c r="DC92" s="938">
        <f t="shared" si="256"/>
        <v>0</v>
      </c>
      <c r="DD92" s="938">
        <f t="shared" si="257"/>
        <v>0</v>
      </c>
      <c r="DE92" s="938" t="str">
        <f t="shared" si="258"/>
        <v/>
      </c>
      <c r="DF92" s="713">
        <f>'min. Düngung 22'!AL93</f>
        <v>0</v>
      </c>
      <c r="DG92" s="938"/>
      <c r="DH92" s="938"/>
      <c r="DI92" s="938">
        <f t="shared" si="259"/>
        <v>0</v>
      </c>
      <c r="DJ92" s="938">
        <f t="shared" si="260"/>
        <v>0</v>
      </c>
      <c r="DK92" s="938">
        <f t="shared" si="261"/>
        <v>0</v>
      </c>
      <c r="DL92" s="938">
        <f t="shared" si="262"/>
        <v>0</v>
      </c>
      <c r="DM92" s="938">
        <f t="shared" si="263"/>
        <v>0</v>
      </c>
      <c r="DN92" s="938" t="str">
        <f t="shared" si="264"/>
        <v/>
      </c>
      <c r="DO92" s="713">
        <f>'min. Düngung 22'!AO93</f>
        <v>0</v>
      </c>
      <c r="DP92" s="938"/>
      <c r="DQ92" s="938"/>
      <c r="DR92" s="938">
        <f t="shared" si="265"/>
        <v>0</v>
      </c>
      <c r="DS92" s="938">
        <f t="shared" si="266"/>
        <v>0</v>
      </c>
      <c r="DT92" s="938">
        <f t="shared" si="267"/>
        <v>0</v>
      </c>
      <c r="DU92" s="938">
        <f t="shared" si="268"/>
        <v>0</v>
      </c>
      <c r="DV92" s="938">
        <f t="shared" si="269"/>
        <v>0</v>
      </c>
      <c r="DW92" s="938" t="str">
        <f t="shared" si="270"/>
        <v/>
      </c>
      <c r="DX92" s="713">
        <f>'min. Düngung 22'!AR93</f>
        <v>0</v>
      </c>
      <c r="DY92" s="938"/>
      <c r="DZ92" s="938"/>
      <c r="EA92" s="938">
        <f t="shared" si="271"/>
        <v>0</v>
      </c>
      <c r="EB92" s="938">
        <f t="shared" si="272"/>
        <v>0</v>
      </c>
      <c r="EC92" s="938">
        <f t="shared" si="273"/>
        <v>0</v>
      </c>
      <c r="ED92" s="938">
        <f t="shared" si="274"/>
        <v>0</v>
      </c>
      <c r="EE92" s="938">
        <f t="shared" si="275"/>
        <v>0</v>
      </c>
      <c r="EF92" s="938" t="str">
        <f t="shared" si="276"/>
        <v/>
      </c>
      <c r="EG92" s="713">
        <f>'min. Düngung 22'!AU93</f>
        <v>0</v>
      </c>
      <c r="EH92" s="938"/>
      <c r="EI92" s="938"/>
      <c r="EJ92" s="938">
        <f t="shared" si="277"/>
        <v>0</v>
      </c>
      <c r="EK92" s="938">
        <f t="shared" si="278"/>
        <v>0</v>
      </c>
      <c r="EL92" s="938">
        <f t="shared" si="279"/>
        <v>0</v>
      </c>
      <c r="EM92" s="938">
        <f t="shared" si="280"/>
        <v>0</v>
      </c>
      <c r="EN92" s="938">
        <f t="shared" si="281"/>
        <v>0</v>
      </c>
      <c r="EO92" s="938" t="str">
        <f t="shared" si="282"/>
        <v/>
      </c>
      <c r="EP92" s="713">
        <f>'min. Düngung 22'!AX93</f>
        <v>0</v>
      </c>
      <c r="EQ92" s="938"/>
      <c r="ER92" s="938"/>
      <c r="ES92" s="938">
        <f t="shared" si="283"/>
        <v>0</v>
      </c>
      <c r="ET92" s="938">
        <f t="shared" si="284"/>
        <v>0</v>
      </c>
      <c r="EU92" s="938">
        <f t="shared" si="285"/>
        <v>0</v>
      </c>
      <c r="EV92" s="938">
        <f t="shared" si="286"/>
        <v>0</v>
      </c>
      <c r="EW92" s="938">
        <f t="shared" si="287"/>
        <v>0</v>
      </c>
      <c r="EX92" s="938" t="str">
        <f t="shared" si="288"/>
        <v/>
      </c>
      <c r="EY92" s="713">
        <f>'min. Düngung 22'!BA93</f>
        <v>0</v>
      </c>
      <c r="EZ92" s="938"/>
      <c r="FA92" s="938"/>
      <c r="FB92" s="938">
        <f t="shared" si="289"/>
        <v>0</v>
      </c>
      <c r="FC92" s="938">
        <f t="shared" si="290"/>
        <v>0</v>
      </c>
      <c r="FD92" s="938">
        <f t="shared" si="291"/>
        <v>0</v>
      </c>
      <c r="FE92" s="938">
        <f t="shared" si="292"/>
        <v>0</v>
      </c>
      <c r="FF92" s="938">
        <f t="shared" si="293"/>
        <v>0</v>
      </c>
      <c r="FG92" s="938" t="str">
        <f t="shared" si="294"/>
        <v/>
      </c>
      <c r="FH92" s="713">
        <f>'min. Düngung 22'!BD93</f>
        <v>0</v>
      </c>
      <c r="FI92" s="938"/>
      <c r="FJ92" s="938"/>
      <c r="FK92" s="938">
        <f t="shared" si="295"/>
        <v>0</v>
      </c>
      <c r="FL92" s="938">
        <f t="shared" si="296"/>
        <v>0</v>
      </c>
      <c r="FM92" s="938">
        <f t="shared" si="297"/>
        <v>0</v>
      </c>
      <c r="FN92" s="938">
        <f t="shared" si="298"/>
        <v>0</v>
      </c>
      <c r="FO92" s="938">
        <f t="shared" si="299"/>
        <v>0</v>
      </c>
      <c r="FP92" s="938" t="str">
        <f t="shared" si="300"/>
        <v/>
      </c>
      <c r="FQ92" s="713">
        <f>'min. Düngung 22'!BG93</f>
        <v>0</v>
      </c>
      <c r="FR92" s="938"/>
      <c r="FS92" s="938"/>
      <c r="FT92" s="938">
        <f t="shared" si="301"/>
        <v>0</v>
      </c>
      <c r="FU92" s="938">
        <f t="shared" si="302"/>
        <v>0</v>
      </c>
      <c r="FV92" s="938">
        <f t="shared" si="303"/>
        <v>0</v>
      </c>
      <c r="FW92" s="938">
        <f t="shared" si="304"/>
        <v>0</v>
      </c>
      <c r="FX92" s="938">
        <f t="shared" si="305"/>
        <v>0</v>
      </c>
      <c r="FY92" s="938" t="str">
        <f t="shared" si="306"/>
        <v/>
      </c>
      <c r="FZ92" s="713">
        <f>'min. Düngung 22'!BJ93</f>
        <v>0</v>
      </c>
      <c r="GA92" s="938"/>
      <c r="GB92" s="938"/>
      <c r="GC92" s="938">
        <f t="shared" si="307"/>
        <v>0</v>
      </c>
      <c r="GD92" s="938">
        <f t="shared" si="308"/>
        <v>0</v>
      </c>
      <c r="GE92" s="938">
        <f t="shared" si="309"/>
        <v>0</v>
      </c>
      <c r="GF92" s="938">
        <f t="shared" si="310"/>
        <v>0</v>
      </c>
      <c r="GG92" s="938">
        <f t="shared" si="311"/>
        <v>0</v>
      </c>
      <c r="GH92" s="938" t="str">
        <f t="shared" si="312"/>
        <v/>
      </c>
      <c r="GI92" s="713">
        <f>'min. Düngung 22'!BM93</f>
        <v>0</v>
      </c>
      <c r="GJ92" s="938"/>
      <c r="GK92" s="938"/>
      <c r="GL92" s="938">
        <f t="shared" si="313"/>
        <v>0</v>
      </c>
      <c r="GM92" s="938">
        <f t="shared" si="314"/>
        <v>0</v>
      </c>
      <c r="GN92" s="938">
        <f t="shared" si="315"/>
        <v>0</v>
      </c>
      <c r="GO92" s="938">
        <f t="shared" si="316"/>
        <v>0</v>
      </c>
      <c r="GP92" s="938">
        <f t="shared" si="317"/>
        <v>0</v>
      </c>
      <c r="GQ92" s="938" t="str">
        <f t="shared" si="318"/>
        <v/>
      </c>
      <c r="GR92" s="713">
        <f>'min. Düngung 22'!BP93</f>
        <v>0</v>
      </c>
      <c r="GS92" s="938"/>
      <c r="GT92" s="938"/>
      <c r="GU92" s="938">
        <f t="shared" si="319"/>
        <v>0</v>
      </c>
      <c r="GV92" s="938">
        <f t="shared" si="320"/>
        <v>0</v>
      </c>
      <c r="GW92" s="938">
        <f t="shared" si="321"/>
        <v>0</v>
      </c>
      <c r="GX92" s="938">
        <f t="shared" si="322"/>
        <v>0</v>
      </c>
      <c r="GY92" s="938">
        <f t="shared" si="323"/>
        <v>0</v>
      </c>
      <c r="GZ92" s="938" t="str">
        <f t="shared" si="324"/>
        <v/>
      </c>
      <c r="HA92" s="713">
        <f>'min. Düngung 22'!BS93</f>
        <v>0</v>
      </c>
      <c r="HB92" s="938"/>
      <c r="HC92" s="938"/>
      <c r="HD92" s="938">
        <f t="shared" si="325"/>
        <v>0</v>
      </c>
      <c r="HE92" s="938">
        <f t="shared" si="326"/>
        <v>0</v>
      </c>
      <c r="HF92" s="938">
        <f t="shared" si="327"/>
        <v>0</v>
      </c>
      <c r="HG92" s="938">
        <f t="shared" si="328"/>
        <v>0</v>
      </c>
      <c r="HH92" s="938">
        <f t="shared" si="329"/>
        <v>0</v>
      </c>
      <c r="HI92" s="938" t="str">
        <f t="shared" si="330"/>
        <v/>
      </c>
      <c r="HJ92" s="713">
        <f>'min. Düngung 22'!BV93</f>
        <v>0</v>
      </c>
      <c r="HK92" s="938"/>
      <c r="HL92" s="938"/>
      <c r="HM92" s="938">
        <f t="shared" si="331"/>
        <v>0</v>
      </c>
      <c r="HN92" s="938">
        <f t="shared" si="332"/>
        <v>0</v>
      </c>
      <c r="HO92" s="938">
        <f t="shared" si="333"/>
        <v>0</v>
      </c>
      <c r="HP92" s="938">
        <f t="shared" si="334"/>
        <v>0</v>
      </c>
      <c r="HQ92" s="938">
        <f t="shared" si="335"/>
        <v>0</v>
      </c>
      <c r="HR92" s="938" t="str">
        <f t="shared" si="336"/>
        <v/>
      </c>
      <c r="HS92" s="713">
        <f>'min. Düngung 22'!BY93</f>
        <v>0</v>
      </c>
      <c r="HT92" s="938"/>
      <c r="HU92" s="938"/>
      <c r="HV92" s="938">
        <f t="shared" si="337"/>
        <v>0</v>
      </c>
      <c r="HW92" s="938">
        <f t="shared" si="338"/>
        <v>0</v>
      </c>
      <c r="HX92" s="938">
        <f t="shared" si="339"/>
        <v>0</v>
      </c>
      <c r="HY92" s="938">
        <f t="shared" si="340"/>
        <v>0</v>
      </c>
      <c r="HZ92" s="938">
        <f t="shared" si="341"/>
        <v>0</v>
      </c>
      <c r="IA92" s="938" t="str">
        <f t="shared" si="342"/>
        <v/>
      </c>
      <c r="IB92" s="713">
        <f>'min. Düngung 22'!CB93</f>
        <v>0</v>
      </c>
      <c r="IC92" s="938"/>
      <c r="ID92" s="938"/>
      <c r="IE92" s="938">
        <f t="shared" si="343"/>
        <v>0</v>
      </c>
      <c r="IF92" s="938">
        <f t="shared" si="344"/>
        <v>0</v>
      </c>
      <c r="IG92" s="938">
        <f t="shared" si="345"/>
        <v>0</v>
      </c>
      <c r="IH92" s="938">
        <f t="shared" si="346"/>
        <v>0</v>
      </c>
      <c r="II92" s="938">
        <f t="shared" si="347"/>
        <v>0</v>
      </c>
      <c r="IJ92" s="938" t="str">
        <f t="shared" si="348"/>
        <v/>
      </c>
      <c r="IK92" s="713">
        <f>'min. Düngung 22'!CE93</f>
        <v>0</v>
      </c>
      <c r="IL92" s="938"/>
      <c r="IM92" s="938"/>
      <c r="IN92" s="938">
        <f t="shared" si="349"/>
        <v>0</v>
      </c>
      <c r="IO92" s="938">
        <f t="shared" si="350"/>
        <v>0</v>
      </c>
      <c r="IP92" s="938">
        <f t="shared" si="351"/>
        <v>0</v>
      </c>
      <c r="IQ92" s="938">
        <f t="shared" si="352"/>
        <v>0</v>
      </c>
      <c r="IR92" s="938">
        <f t="shared" si="353"/>
        <v>0</v>
      </c>
      <c r="IS92" s="938" t="str">
        <f t="shared" si="354"/>
        <v/>
      </c>
      <c r="IT92" s="713">
        <f>'min. Düngung 22'!CH93</f>
        <v>0</v>
      </c>
      <c r="IU92" s="938"/>
      <c r="IV92" s="938"/>
      <c r="IW92" s="938">
        <f t="shared" si="355"/>
        <v>0</v>
      </c>
      <c r="IX92" s="938">
        <f t="shared" si="356"/>
        <v>0</v>
      </c>
      <c r="IY92" s="938">
        <f t="shared" si="357"/>
        <v>0</v>
      </c>
      <c r="IZ92" s="938">
        <f t="shared" si="358"/>
        <v>0</v>
      </c>
      <c r="JA92" s="938">
        <f t="shared" si="359"/>
        <v>0</v>
      </c>
      <c r="JB92" s="938" t="str">
        <f t="shared" si="360"/>
        <v/>
      </c>
      <c r="JC92" s="713">
        <f>'min. Düngung 22'!CK93</f>
        <v>0</v>
      </c>
      <c r="JD92" s="938"/>
      <c r="JE92" s="938"/>
      <c r="JF92" s="938">
        <f t="shared" si="361"/>
        <v>0</v>
      </c>
      <c r="JG92" s="938">
        <f t="shared" si="362"/>
        <v>0</v>
      </c>
      <c r="JH92" s="938">
        <f t="shared" si="363"/>
        <v>0</v>
      </c>
      <c r="JI92" s="938">
        <f t="shared" si="364"/>
        <v>0</v>
      </c>
      <c r="JJ92" s="938">
        <f t="shared" si="365"/>
        <v>0</v>
      </c>
      <c r="JK92" s="938" t="str">
        <f t="shared" si="366"/>
        <v/>
      </c>
      <c r="JL92" s="713">
        <f>'min. Düngung 22'!CN93</f>
        <v>0</v>
      </c>
      <c r="JM92" s="938"/>
      <c r="JN92" s="938"/>
      <c r="JO92" s="938">
        <f t="shared" si="367"/>
        <v>0</v>
      </c>
      <c r="JP92" s="938">
        <f t="shared" si="368"/>
        <v>0</v>
      </c>
      <c r="JQ92" s="938">
        <f t="shared" si="369"/>
        <v>0</v>
      </c>
      <c r="JR92" s="938">
        <f t="shared" si="370"/>
        <v>0</v>
      </c>
      <c r="JS92" s="938">
        <f t="shared" si="371"/>
        <v>0</v>
      </c>
      <c r="JT92" s="938" t="str">
        <f t="shared" si="372"/>
        <v/>
      </c>
      <c r="JU92" s="713">
        <f>'min. Düngung 22'!CQ93</f>
        <v>0</v>
      </c>
      <c r="JV92" s="938"/>
      <c r="JW92" s="938"/>
      <c r="JX92" s="938">
        <f t="shared" si="373"/>
        <v>0</v>
      </c>
      <c r="JY92" s="938">
        <f t="shared" si="374"/>
        <v>0</v>
      </c>
      <c r="JZ92" s="938">
        <f t="shared" si="375"/>
        <v>0</v>
      </c>
      <c r="KA92" s="938">
        <f t="shared" si="376"/>
        <v>0</v>
      </c>
      <c r="KB92" s="938">
        <f t="shared" si="377"/>
        <v>0</v>
      </c>
      <c r="KC92" s="938" t="str">
        <f t="shared" si="378"/>
        <v/>
      </c>
      <c r="KE92" s="938"/>
      <c r="KF92" s="938" t="str">
        <f>IF(AND($F92=2,$G92=1),"",IF(OR($Q92&gt;0,$O92&gt;60),$KF$7,IF(I92=70,"",IF(AND(I92=80,R92+'#orgDung'!AC95&lt;60,K92=1,OR(C92=2,'#BerechnungDBE'!AH86=4)),"",IF(R92&gt;0,$KF$7,"")))))</f>
        <v/>
      </c>
      <c r="KG92" s="938" t="str">
        <f>IF(AND(P92&gt;'#BerechnungDBE'!BJ86,P92&gt;0),'#minDung'!$KG$7,"")</f>
        <v/>
      </c>
      <c r="KH92" s="938" t="str">
        <f>IF(AND(I92=70,R92&gt;'#BerechnungDBE'!CR86),'#minDung'!$KH$7,"")</f>
        <v/>
      </c>
      <c r="KI92" s="938" t="str">
        <f>IF('#BerechnungDBE'!P86&lt;4,"",IF(AND('#BerechnungDBE'!BZ86&gt;0,N92&gt;0),$KI$7,""))</f>
        <v/>
      </c>
      <c r="KJ92" s="938" t="str">
        <f t="shared" si="197"/>
        <v/>
      </c>
    </row>
    <row r="93" spans="1:296" s="875" customFormat="1" hidden="1" x14ac:dyDescent="0.2">
      <c r="A93" s="875">
        <f>'Flächen u. Kulturen'!A92</f>
        <v>83</v>
      </c>
      <c r="B93" s="734">
        <f>'#BerechnungDBE'!L87</f>
        <v>0</v>
      </c>
      <c r="C93" s="46">
        <f>'#orgDung'!C96</f>
        <v>1</v>
      </c>
      <c r="D93" s="875">
        <f>'#BerechnungDBE'!T87</f>
        <v>2</v>
      </c>
      <c r="E93" s="875" t="str">
        <f>'Flächen u. Kulturen'!E92</f>
        <v>x</v>
      </c>
      <c r="F93" s="52">
        <f>'#BerechnungDBE'!N87</f>
        <v>1</v>
      </c>
      <c r="G93" s="52">
        <f>'#BerechnungDBE'!O87</f>
        <v>1</v>
      </c>
      <c r="H93" s="505">
        <f>'#orgDung'!J96</f>
        <v>2</v>
      </c>
      <c r="I93" s="875">
        <f>'#BerechnungDBE'!AF87</f>
        <v>0</v>
      </c>
      <c r="J93" s="875">
        <f>'#orgDung'!M96</f>
        <v>0</v>
      </c>
      <c r="K93" s="875">
        <f>'#BerechnungDBE'!AG87</f>
        <v>0</v>
      </c>
      <c r="M93" s="875">
        <f t="shared" si="192"/>
        <v>0</v>
      </c>
      <c r="N93" s="875">
        <f t="shared" si="193"/>
        <v>0</v>
      </c>
      <c r="O93" s="875">
        <f t="shared" si="194"/>
        <v>0</v>
      </c>
      <c r="P93" s="875">
        <f t="shared" si="195"/>
        <v>0</v>
      </c>
      <c r="Q93" s="938">
        <f t="shared" si="198"/>
        <v>0</v>
      </c>
      <c r="R93" s="875">
        <f t="shared" si="196"/>
        <v>0</v>
      </c>
      <c r="T93" s="713">
        <f>'min. Düngung 22'!H94</f>
        <v>0</v>
      </c>
      <c r="W93" s="875">
        <f t="shared" si="199"/>
        <v>0</v>
      </c>
      <c r="X93" s="875">
        <f t="shared" si="200"/>
        <v>0</v>
      </c>
      <c r="Y93" s="875">
        <f t="shared" si="201"/>
        <v>0</v>
      </c>
      <c r="Z93" s="875">
        <f t="shared" si="202"/>
        <v>0</v>
      </c>
      <c r="AA93" s="875">
        <f t="shared" si="203"/>
        <v>0</v>
      </c>
      <c r="AB93" s="875" t="str">
        <f t="shared" si="204"/>
        <v/>
      </c>
      <c r="AC93" s="713">
        <f>'min. Düngung 22'!K94</f>
        <v>0</v>
      </c>
      <c r="AD93" s="938"/>
      <c r="AE93" s="938"/>
      <c r="AF93" s="938">
        <f t="shared" si="205"/>
        <v>0</v>
      </c>
      <c r="AG93" s="938">
        <f t="shared" si="206"/>
        <v>0</v>
      </c>
      <c r="AH93" s="938">
        <f t="shared" si="207"/>
        <v>0</v>
      </c>
      <c r="AI93" s="938">
        <f t="shared" si="208"/>
        <v>0</v>
      </c>
      <c r="AJ93" s="938">
        <f t="shared" si="209"/>
        <v>0</v>
      </c>
      <c r="AK93" s="938">
        <f t="shared" si="210"/>
        <v>0</v>
      </c>
      <c r="AL93" s="713">
        <f>'min. Düngung 22'!N94</f>
        <v>0</v>
      </c>
      <c r="AM93" s="938"/>
      <c r="AN93" s="938"/>
      <c r="AO93" s="938">
        <f t="shared" si="211"/>
        <v>0</v>
      </c>
      <c r="AP93" s="938">
        <f t="shared" si="212"/>
        <v>0</v>
      </c>
      <c r="AQ93" s="938">
        <f t="shared" si="213"/>
        <v>0</v>
      </c>
      <c r="AR93" s="938">
        <f t="shared" si="214"/>
        <v>0</v>
      </c>
      <c r="AS93" s="938">
        <f t="shared" si="215"/>
        <v>0</v>
      </c>
      <c r="AT93" s="938" t="str">
        <f t="shared" si="216"/>
        <v/>
      </c>
      <c r="AU93" s="713">
        <f>'min. Düngung 22'!Q94</f>
        <v>0</v>
      </c>
      <c r="AV93" s="938"/>
      <c r="AW93" s="938"/>
      <c r="AX93" s="938">
        <f t="shared" si="217"/>
        <v>0</v>
      </c>
      <c r="AY93" s="938">
        <f t="shared" si="218"/>
        <v>0</v>
      </c>
      <c r="AZ93" s="938">
        <f t="shared" si="219"/>
        <v>0</v>
      </c>
      <c r="BA93" s="938">
        <f t="shared" si="220"/>
        <v>0</v>
      </c>
      <c r="BB93" s="938">
        <f t="shared" si="221"/>
        <v>0</v>
      </c>
      <c r="BC93" s="938" t="str">
        <f t="shared" si="222"/>
        <v/>
      </c>
      <c r="BD93" s="713">
        <f>'min. Düngung 22'!T94</f>
        <v>0</v>
      </c>
      <c r="BE93" s="938"/>
      <c r="BF93" s="938"/>
      <c r="BG93" s="938">
        <f t="shared" si="223"/>
        <v>0</v>
      </c>
      <c r="BH93" s="938">
        <f t="shared" si="224"/>
        <v>0</v>
      </c>
      <c r="BI93" s="938">
        <f t="shared" si="225"/>
        <v>0</v>
      </c>
      <c r="BJ93" s="938">
        <f t="shared" si="226"/>
        <v>0</v>
      </c>
      <c r="BK93" s="938">
        <f t="shared" si="227"/>
        <v>0</v>
      </c>
      <c r="BL93" s="938" t="str">
        <f t="shared" si="228"/>
        <v/>
      </c>
      <c r="BM93" s="713">
        <f>'min. Düngung 22'!W94</f>
        <v>0</v>
      </c>
      <c r="BN93" s="938"/>
      <c r="BO93" s="938"/>
      <c r="BP93" s="938">
        <f t="shared" si="229"/>
        <v>0</v>
      </c>
      <c r="BQ93" s="938">
        <f t="shared" si="230"/>
        <v>0</v>
      </c>
      <c r="BR93" s="938">
        <f t="shared" si="231"/>
        <v>0</v>
      </c>
      <c r="BS93" s="938">
        <f t="shared" si="232"/>
        <v>0</v>
      </c>
      <c r="BT93" s="938">
        <f t="shared" si="233"/>
        <v>0</v>
      </c>
      <c r="BU93" s="938" t="str">
        <f t="shared" si="234"/>
        <v/>
      </c>
      <c r="BV93" s="713">
        <f>'min. Düngung 22'!Z94</f>
        <v>0</v>
      </c>
      <c r="BW93" s="938"/>
      <c r="BX93" s="938"/>
      <c r="BY93" s="938">
        <f t="shared" si="235"/>
        <v>0</v>
      </c>
      <c r="BZ93" s="938">
        <f t="shared" si="236"/>
        <v>0</v>
      </c>
      <c r="CA93" s="938">
        <f t="shared" si="237"/>
        <v>0</v>
      </c>
      <c r="CB93" s="938">
        <f t="shared" si="238"/>
        <v>0</v>
      </c>
      <c r="CC93" s="938">
        <f t="shared" si="239"/>
        <v>0</v>
      </c>
      <c r="CD93" s="938" t="str">
        <f t="shared" si="240"/>
        <v/>
      </c>
      <c r="CE93" s="713">
        <f>'min. Düngung 22'!AC94</f>
        <v>0</v>
      </c>
      <c r="CF93" s="938"/>
      <c r="CG93" s="938"/>
      <c r="CH93" s="938">
        <f t="shared" si="241"/>
        <v>0</v>
      </c>
      <c r="CI93" s="938">
        <f t="shared" si="242"/>
        <v>0</v>
      </c>
      <c r="CJ93" s="938">
        <f t="shared" si="243"/>
        <v>0</v>
      </c>
      <c r="CK93" s="938">
        <f t="shared" si="244"/>
        <v>0</v>
      </c>
      <c r="CL93" s="938">
        <f t="shared" si="245"/>
        <v>0</v>
      </c>
      <c r="CM93" s="938" t="str">
        <f t="shared" si="246"/>
        <v/>
      </c>
      <c r="CN93" s="713">
        <f>'min. Düngung 22'!AF94</f>
        <v>0</v>
      </c>
      <c r="CO93" s="938"/>
      <c r="CP93" s="938"/>
      <c r="CQ93" s="938">
        <f t="shared" si="247"/>
        <v>0</v>
      </c>
      <c r="CR93" s="938">
        <f t="shared" si="248"/>
        <v>0</v>
      </c>
      <c r="CS93" s="938">
        <f t="shared" si="249"/>
        <v>0</v>
      </c>
      <c r="CT93" s="938">
        <f t="shared" si="250"/>
        <v>0</v>
      </c>
      <c r="CU93" s="938">
        <f t="shared" si="251"/>
        <v>0</v>
      </c>
      <c r="CV93" s="938" t="str">
        <f t="shared" si="252"/>
        <v/>
      </c>
      <c r="CW93" s="713">
        <f>'min. Düngung 22'!AI94</f>
        <v>0</v>
      </c>
      <c r="CX93" s="938"/>
      <c r="CY93" s="938"/>
      <c r="CZ93" s="938">
        <f t="shared" si="253"/>
        <v>0</v>
      </c>
      <c r="DA93" s="938">
        <f t="shared" si="254"/>
        <v>0</v>
      </c>
      <c r="DB93" s="938">
        <f t="shared" si="255"/>
        <v>0</v>
      </c>
      <c r="DC93" s="938">
        <f t="shared" si="256"/>
        <v>0</v>
      </c>
      <c r="DD93" s="938">
        <f t="shared" si="257"/>
        <v>0</v>
      </c>
      <c r="DE93" s="938" t="str">
        <f t="shared" si="258"/>
        <v/>
      </c>
      <c r="DF93" s="713">
        <f>'min. Düngung 22'!AL94</f>
        <v>0</v>
      </c>
      <c r="DG93" s="938"/>
      <c r="DH93" s="938"/>
      <c r="DI93" s="938">
        <f t="shared" si="259"/>
        <v>0</v>
      </c>
      <c r="DJ93" s="938">
        <f t="shared" si="260"/>
        <v>0</v>
      </c>
      <c r="DK93" s="938">
        <f t="shared" si="261"/>
        <v>0</v>
      </c>
      <c r="DL93" s="938">
        <f t="shared" si="262"/>
        <v>0</v>
      </c>
      <c r="DM93" s="938">
        <f t="shared" si="263"/>
        <v>0</v>
      </c>
      <c r="DN93" s="938" t="str">
        <f t="shared" si="264"/>
        <v/>
      </c>
      <c r="DO93" s="713">
        <f>'min. Düngung 22'!AO94</f>
        <v>0</v>
      </c>
      <c r="DP93" s="938"/>
      <c r="DQ93" s="938"/>
      <c r="DR93" s="938">
        <f t="shared" si="265"/>
        <v>0</v>
      </c>
      <c r="DS93" s="938">
        <f t="shared" si="266"/>
        <v>0</v>
      </c>
      <c r="DT93" s="938">
        <f t="shared" si="267"/>
        <v>0</v>
      </c>
      <c r="DU93" s="938">
        <f t="shared" si="268"/>
        <v>0</v>
      </c>
      <c r="DV93" s="938">
        <f t="shared" si="269"/>
        <v>0</v>
      </c>
      <c r="DW93" s="938" t="str">
        <f t="shared" si="270"/>
        <v/>
      </c>
      <c r="DX93" s="713">
        <f>'min. Düngung 22'!AR94</f>
        <v>0</v>
      </c>
      <c r="DY93" s="938"/>
      <c r="DZ93" s="938"/>
      <c r="EA93" s="938">
        <f t="shared" si="271"/>
        <v>0</v>
      </c>
      <c r="EB93" s="938">
        <f t="shared" si="272"/>
        <v>0</v>
      </c>
      <c r="EC93" s="938">
        <f t="shared" si="273"/>
        <v>0</v>
      </c>
      <c r="ED93" s="938">
        <f t="shared" si="274"/>
        <v>0</v>
      </c>
      <c r="EE93" s="938">
        <f t="shared" si="275"/>
        <v>0</v>
      </c>
      <c r="EF93" s="938" t="str">
        <f t="shared" si="276"/>
        <v/>
      </c>
      <c r="EG93" s="713">
        <f>'min. Düngung 22'!AU94</f>
        <v>0</v>
      </c>
      <c r="EH93" s="938"/>
      <c r="EI93" s="938"/>
      <c r="EJ93" s="938">
        <f t="shared" si="277"/>
        <v>0</v>
      </c>
      <c r="EK93" s="938">
        <f t="shared" si="278"/>
        <v>0</v>
      </c>
      <c r="EL93" s="938">
        <f t="shared" si="279"/>
        <v>0</v>
      </c>
      <c r="EM93" s="938">
        <f t="shared" si="280"/>
        <v>0</v>
      </c>
      <c r="EN93" s="938">
        <f t="shared" si="281"/>
        <v>0</v>
      </c>
      <c r="EO93" s="938" t="str">
        <f t="shared" si="282"/>
        <v/>
      </c>
      <c r="EP93" s="713">
        <f>'min. Düngung 22'!AX94</f>
        <v>0</v>
      </c>
      <c r="EQ93" s="938"/>
      <c r="ER93" s="938"/>
      <c r="ES93" s="938">
        <f t="shared" si="283"/>
        <v>0</v>
      </c>
      <c r="ET93" s="938">
        <f t="shared" si="284"/>
        <v>0</v>
      </c>
      <c r="EU93" s="938">
        <f t="shared" si="285"/>
        <v>0</v>
      </c>
      <c r="EV93" s="938">
        <f t="shared" si="286"/>
        <v>0</v>
      </c>
      <c r="EW93" s="938">
        <f t="shared" si="287"/>
        <v>0</v>
      </c>
      <c r="EX93" s="938" t="str">
        <f t="shared" si="288"/>
        <v/>
      </c>
      <c r="EY93" s="713">
        <f>'min. Düngung 22'!BA94</f>
        <v>0</v>
      </c>
      <c r="EZ93" s="938"/>
      <c r="FA93" s="938"/>
      <c r="FB93" s="938">
        <f t="shared" si="289"/>
        <v>0</v>
      </c>
      <c r="FC93" s="938">
        <f t="shared" si="290"/>
        <v>0</v>
      </c>
      <c r="FD93" s="938">
        <f t="shared" si="291"/>
        <v>0</v>
      </c>
      <c r="FE93" s="938">
        <f t="shared" si="292"/>
        <v>0</v>
      </c>
      <c r="FF93" s="938">
        <f t="shared" si="293"/>
        <v>0</v>
      </c>
      <c r="FG93" s="938" t="str">
        <f t="shared" si="294"/>
        <v/>
      </c>
      <c r="FH93" s="713">
        <f>'min. Düngung 22'!BD94</f>
        <v>0</v>
      </c>
      <c r="FI93" s="938"/>
      <c r="FJ93" s="938"/>
      <c r="FK93" s="938">
        <f t="shared" si="295"/>
        <v>0</v>
      </c>
      <c r="FL93" s="938">
        <f t="shared" si="296"/>
        <v>0</v>
      </c>
      <c r="FM93" s="938">
        <f t="shared" si="297"/>
        <v>0</v>
      </c>
      <c r="FN93" s="938">
        <f t="shared" si="298"/>
        <v>0</v>
      </c>
      <c r="FO93" s="938">
        <f t="shared" si="299"/>
        <v>0</v>
      </c>
      <c r="FP93" s="938" t="str">
        <f t="shared" si="300"/>
        <v/>
      </c>
      <c r="FQ93" s="713">
        <f>'min. Düngung 22'!BG94</f>
        <v>0</v>
      </c>
      <c r="FR93" s="938"/>
      <c r="FS93" s="938"/>
      <c r="FT93" s="938">
        <f t="shared" si="301"/>
        <v>0</v>
      </c>
      <c r="FU93" s="938">
        <f t="shared" si="302"/>
        <v>0</v>
      </c>
      <c r="FV93" s="938">
        <f t="shared" si="303"/>
        <v>0</v>
      </c>
      <c r="FW93" s="938">
        <f t="shared" si="304"/>
        <v>0</v>
      </c>
      <c r="FX93" s="938">
        <f t="shared" si="305"/>
        <v>0</v>
      </c>
      <c r="FY93" s="938" t="str">
        <f t="shared" si="306"/>
        <v/>
      </c>
      <c r="FZ93" s="713">
        <f>'min. Düngung 22'!BJ94</f>
        <v>0</v>
      </c>
      <c r="GA93" s="938"/>
      <c r="GB93" s="938"/>
      <c r="GC93" s="938">
        <f t="shared" si="307"/>
        <v>0</v>
      </c>
      <c r="GD93" s="938">
        <f t="shared" si="308"/>
        <v>0</v>
      </c>
      <c r="GE93" s="938">
        <f t="shared" si="309"/>
        <v>0</v>
      </c>
      <c r="GF93" s="938">
        <f t="shared" si="310"/>
        <v>0</v>
      </c>
      <c r="GG93" s="938">
        <f t="shared" si="311"/>
        <v>0</v>
      </c>
      <c r="GH93" s="938" t="str">
        <f t="shared" si="312"/>
        <v/>
      </c>
      <c r="GI93" s="713">
        <f>'min. Düngung 22'!BM94</f>
        <v>0</v>
      </c>
      <c r="GJ93" s="938"/>
      <c r="GK93" s="938"/>
      <c r="GL93" s="938">
        <f t="shared" si="313"/>
        <v>0</v>
      </c>
      <c r="GM93" s="938">
        <f t="shared" si="314"/>
        <v>0</v>
      </c>
      <c r="GN93" s="938">
        <f t="shared" si="315"/>
        <v>0</v>
      </c>
      <c r="GO93" s="938">
        <f t="shared" si="316"/>
        <v>0</v>
      </c>
      <c r="GP93" s="938">
        <f t="shared" si="317"/>
        <v>0</v>
      </c>
      <c r="GQ93" s="938" t="str">
        <f t="shared" si="318"/>
        <v/>
      </c>
      <c r="GR93" s="713">
        <f>'min. Düngung 22'!BP94</f>
        <v>0</v>
      </c>
      <c r="GS93" s="938"/>
      <c r="GT93" s="938"/>
      <c r="GU93" s="938">
        <f t="shared" si="319"/>
        <v>0</v>
      </c>
      <c r="GV93" s="938">
        <f t="shared" si="320"/>
        <v>0</v>
      </c>
      <c r="GW93" s="938">
        <f t="shared" si="321"/>
        <v>0</v>
      </c>
      <c r="GX93" s="938">
        <f t="shared" si="322"/>
        <v>0</v>
      </c>
      <c r="GY93" s="938">
        <f t="shared" si="323"/>
        <v>0</v>
      </c>
      <c r="GZ93" s="938" t="str">
        <f t="shared" si="324"/>
        <v/>
      </c>
      <c r="HA93" s="713">
        <f>'min. Düngung 22'!BS94</f>
        <v>0</v>
      </c>
      <c r="HB93" s="938"/>
      <c r="HC93" s="938"/>
      <c r="HD93" s="938">
        <f t="shared" si="325"/>
        <v>0</v>
      </c>
      <c r="HE93" s="938">
        <f t="shared" si="326"/>
        <v>0</v>
      </c>
      <c r="HF93" s="938">
        <f t="shared" si="327"/>
        <v>0</v>
      </c>
      <c r="HG93" s="938">
        <f t="shared" si="328"/>
        <v>0</v>
      </c>
      <c r="HH93" s="938">
        <f t="shared" si="329"/>
        <v>0</v>
      </c>
      <c r="HI93" s="938" t="str">
        <f t="shared" si="330"/>
        <v/>
      </c>
      <c r="HJ93" s="713">
        <f>'min. Düngung 22'!BV94</f>
        <v>0</v>
      </c>
      <c r="HK93" s="938"/>
      <c r="HL93" s="938"/>
      <c r="HM93" s="938">
        <f t="shared" si="331"/>
        <v>0</v>
      </c>
      <c r="HN93" s="938">
        <f t="shared" si="332"/>
        <v>0</v>
      </c>
      <c r="HO93" s="938">
        <f t="shared" si="333"/>
        <v>0</v>
      </c>
      <c r="HP93" s="938">
        <f t="shared" si="334"/>
        <v>0</v>
      </c>
      <c r="HQ93" s="938">
        <f t="shared" si="335"/>
        <v>0</v>
      </c>
      <c r="HR93" s="938" t="str">
        <f t="shared" si="336"/>
        <v/>
      </c>
      <c r="HS93" s="713">
        <f>'min. Düngung 22'!BY94</f>
        <v>0</v>
      </c>
      <c r="HT93" s="938"/>
      <c r="HU93" s="938"/>
      <c r="HV93" s="938">
        <f t="shared" si="337"/>
        <v>0</v>
      </c>
      <c r="HW93" s="938">
        <f t="shared" si="338"/>
        <v>0</v>
      </c>
      <c r="HX93" s="938">
        <f t="shared" si="339"/>
        <v>0</v>
      </c>
      <c r="HY93" s="938">
        <f t="shared" si="340"/>
        <v>0</v>
      </c>
      <c r="HZ93" s="938">
        <f t="shared" si="341"/>
        <v>0</v>
      </c>
      <c r="IA93" s="938" t="str">
        <f t="shared" si="342"/>
        <v/>
      </c>
      <c r="IB93" s="713">
        <f>'min. Düngung 22'!CB94</f>
        <v>0</v>
      </c>
      <c r="IC93" s="938"/>
      <c r="ID93" s="938"/>
      <c r="IE93" s="938">
        <f t="shared" si="343"/>
        <v>0</v>
      </c>
      <c r="IF93" s="938">
        <f t="shared" si="344"/>
        <v>0</v>
      </c>
      <c r="IG93" s="938">
        <f t="shared" si="345"/>
        <v>0</v>
      </c>
      <c r="IH93" s="938">
        <f t="shared" si="346"/>
        <v>0</v>
      </c>
      <c r="II93" s="938">
        <f t="shared" si="347"/>
        <v>0</v>
      </c>
      <c r="IJ93" s="938" t="str">
        <f t="shared" si="348"/>
        <v/>
      </c>
      <c r="IK93" s="713">
        <f>'min. Düngung 22'!CE94</f>
        <v>0</v>
      </c>
      <c r="IL93" s="938"/>
      <c r="IM93" s="938"/>
      <c r="IN93" s="938">
        <f t="shared" si="349"/>
        <v>0</v>
      </c>
      <c r="IO93" s="938">
        <f t="shared" si="350"/>
        <v>0</v>
      </c>
      <c r="IP93" s="938">
        <f t="shared" si="351"/>
        <v>0</v>
      </c>
      <c r="IQ93" s="938">
        <f t="shared" si="352"/>
        <v>0</v>
      </c>
      <c r="IR93" s="938">
        <f t="shared" si="353"/>
        <v>0</v>
      </c>
      <c r="IS93" s="938" t="str">
        <f t="shared" si="354"/>
        <v/>
      </c>
      <c r="IT93" s="713">
        <f>'min. Düngung 22'!CH94</f>
        <v>0</v>
      </c>
      <c r="IU93" s="938"/>
      <c r="IV93" s="938"/>
      <c r="IW93" s="938">
        <f t="shared" si="355"/>
        <v>0</v>
      </c>
      <c r="IX93" s="938">
        <f t="shared" si="356"/>
        <v>0</v>
      </c>
      <c r="IY93" s="938">
        <f t="shared" si="357"/>
        <v>0</v>
      </c>
      <c r="IZ93" s="938">
        <f t="shared" si="358"/>
        <v>0</v>
      </c>
      <c r="JA93" s="938">
        <f t="shared" si="359"/>
        <v>0</v>
      </c>
      <c r="JB93" s="938" t="str">
        <f t="shared" si="360"/>
        <v/>
      </c>
      <c r="JC93" s="713">
        <f>'min. Düngung 22'!CK94</f>
        <v>0</v>
      </c>
      <c r="JD93" s="938"/>
      <c r="JE93" s="938"/>
      <c r="JF93" s="938">
        <f t="shared" si="361"/>
        <v>0</v>
      </c>
      <c r="JG93" s="938">
        <f t="shared" si="362"/>
        <v>0</v>
      </c>
      <c r="JH93" s="938">
        <f t="shared" si="363"/>
        <v>0</v>
      </c>
      <c r="JI93" s="938">
        <f t="shared" si="364"/>
        <v>0</v>
      </c>
      <c r="JJ93" s="938">
        <f t="shared" si="365"/>
        <v>0</v>
      </c>
      <c r="JK93" s="938" t="str">
        <f t="shared" si="366"/>
        <v/>
      </c>
      <c r="JL93" s="713">
        <f>'min. Düngung 22'!CN94</f>
        <v>0</v>
      </c>
      <c r="JM93" s="938"/>
      <c r="JN93" s="938"/>
      <c r="JO93" s="938">
        <f t="shared" si="367"/>
        <v>0</v>
      </c>
      <c r="JP93" s="938">
        <f t="shared" si="368"/>
        <v>0</v>
      </c>
      <c r="JQ93" s="938">
        <f t="shared" si="369"/>
        <v>0</v>
      </c>
      <c r="JR93" s="938">
        <f t="shared" si="370"/>
        <v>0</v>
      </c>
      <c r="JS93" s="938">
        <f t="shared" si="371"/>
        <v>0</v>
      </c>
      <c r="JT93" s="938" t="str">
        <f t="shared" si="372"/>
        <v/>
      </c>
      <c r="JU93" s="713">
        <f>'min. Düngung 22'!CQ94</f>
        <v>0</v>
      </c>
      <c r="JV93" s="938"/>
      <c r="JW93" s="938"/>
      <c r="JX93" s="938">
        <f t="shared" si="373"/>
        <v>0</v>
      </c>
      <c r="JY93" s="938">
        <f t="shared" si="374"/>
        <v>0</v>
      </c>
      <c r="JZ93" s="938">
        <f t="shared" si="375"/>
        <v>0</v>
      </c>
      <c r="KA93" s="938">
        <f t="shared" si="376"/>
        <v>0</v>
      </c>
      <c r="KB93" s="938">
        <f t="shared" si="377"/>
        <v>0</v>
      </c>
      <c r="KC93" s="938" t="str">
        <f t="shared" si="378"/>
        <v/>
      </c>
      <c r="KE93" s="938"/>
      <c r="KF93" s="938" t="str">
        <f>IF(AND($F93=2,$G93=1),"",IF(OR($Q93&gt;0,$O93&gt;60),$KF$7,IF(I93=70,"",IF(AND(I93=80,R93+'#orgDung'!AC96&lt;60,K93=1,OR(C93=2,'#BerechnungDBE'!AH87=4)),"",IF(R93&gt;0,$KF$7,"")))))</f>
        <v/>
      </c>
      <c r="KG93" s="938" t="str">
        <f>IF(AND(P93&gt;'#BerechnungDBE'!BJ87,P93&gt;0),'#minDung'!$KG$7,"")</f>
        <v/>
      </c>
      <c r="KH93" s="938" t="str">
        <f>IF(AND(I93=70,R93&gt;'#BerechnungDBE'!CR87),'#minDung'!$KH$7,"")</f>
        <v/>
      </c>
      <c r="KI93" s="938" t="str">
        <f>IF('#BerechnungDBE'!P87&lt;4,"",IF(AND('#BerechnungDBE'!BZ87&gt;0,N93&gt;0),$KI$7,""))</f>
        <v/>
      </c>
      <c r="KJ93" s="938" t="str">
        <f t="shared" si="197"/>
        <v/>
      </c>
    </row>
    <row r="94" spans="1:296" s="875" customFormat="1" hidden="1" x14ac:dyDescent="0.2">
      <c r="A94" s="875">
        <f>'Flächen u. Kulturen'!A93</f>
        <v>84</v>
      </c>
      <c r="B94" s="734">
        <f>'#BerechnungDBE'!L88</f>
        <v>0</v>
      </c>
      <c r="C94" s="46">
        <f>'#orgDung'!C97</f>
        <v>1</v>
      </c>
      <c r="D94" s="875">
        <f>'#BerechnungDBE'!T88</f>
        <v>2</v>
      </c>
      <c r="E94" s="875" t="str">
        <f>'Flächen u. Kulturen'!E93</f>
        <v>x</v>
      </c>
      <c r="F94" s="52">
        <f>'#BerechnungDBE'!N88</f>
        <v>1</v>
      </c>
      <c r="G94" s="52">
        <f>'#BerechnungDBE'!O88</f>
        <v>1</v>
      </c>
      <c r="H94" s="505">
        <f>'#orgDung'!J97</f>
        <v>2</v>
      </c>
      <c r="I94" s="875">
        <f>'#BerechnungDBE'!AF88</f>
        <v>0</v>
      </c>
      <c r="J94" s="875">
        <f>'#orgDung'!M97</f>
        <v>0</v>
      </c>
      <c r="K94" s="875">
        <f>'#BerechnungDBE'!AG88</f>
        <v>0</v>
      </c>
      <c r="M94" s="875">
        <f t="shared" si="192"/>
        <v>0</v>
      </c>
      <c r="N94" s="875">
        <f t="shared" si="193"/>
        <v>0</v>
      </c>
      <c r="O94" s="875">
        <f t="shared" si="194"/>
        <v>0</v>
      </c>
      <c r="P94" s="875">
        <f t="shared" si="195"/>
        <v>0</v>
      </c>
      <c r="Q94" s="938">
        <f t="shared" si="198"/>
        <v>0</v>
      </c>
      <c r="R94" s="875">
        <f t="shared" si="196"/>
        <v>0</v>
      </c>
      <c r="T94" s="713">
        <f>'min. Düngung 22'!H95</f>
        <v>0</v>
      </c>
      <c r="W94" s="875">
        <f t="shared" si="199"/>
        <v>0</v>
      </c>
      <c r="X94" s="875">
        <f t="shared" si="200"/>
        <v>0</v>
      </c>
      <c r="Y94" s="875">
        <f t="shared" si="201"/>
        <v>0</v>
      </c>
      <c r="Z94" s="875">
        <f t="shared" si="202"/>
        <v>0</v>
      </c>
      <c r="AA94" s="875">
        <f t="shared" si="203"/>
        <v>0</v>
      </c>
      <c r="AB94" s="875" t="str">
        <f t="shared" si="204"/>
        <v/>
      </c>
      <c r="AC94" s="713">
        <f>'min. Düngung 22'!K95</f>
        <v>0</v>
      </c>
      <c r="AD94" s="938"/>
      <c r="AE94" s="938"/>
      <c r="AF94" s="938">
        <f t="shared" si="205"/>
        <v>0</v>
      </c>
      <c r="AG94" s="938">
        <f t="shared" si="206"/>
        <v>0</v>
      </c>
      <c r="AH94" s="938">
        <f t="shared" si="207"/>
        <v>0</v>
      </c>
      <c r="AI94" s="938">
        <f t="shared" si="208"/>
        <v>0</v>
      </c>
      <c r="AJ94" s="938">
        <f t="shared" si="209"/>
        <v>0</v>
      </c>
      <c r="AK94" s="938">
        <f t="shared" si="210"/>
        <v>0</v>
      </c>
      <c r="AL94" s="713">
        <f>'min. Düngung 22'!N95</f>
        <v>0</v>
      </c>
      <c r="AM94" s="938"/>
      <c r="AN94" s="938"/>
      <c r="AO94" s="938">
        <f t="shared" si="211"/>
        <v>0</v>
      </c>
      <c r="AP94" s="938">
        <f t="shared" si="212"/>
        <v>0</v>
      </c>
      <c r="AQ94" s="938">
        <f t="shared" si="213"/>
        <v>0</v>
      </c>
      <c r="AR94" s="938">
        <f t="shared" si="214"/>
        <v>0</v>
      </c>
      <c r="AS94" s="938">
        <f t="shared" si="215"/>
        <v>0</v>
      </c>
      <c r="AT94" s="938" t="str">
        <f t="shared" si="216"/>
        <v/>
      </c>
      <c r="AU94" s="713">
        <f>'min. Düngung 22'!Q95</f>
        <v>0</v>
      </c>
      <c r="AV94" s="938"/>
      <c r="AW94" s="938"/>
      <c r="AX94" s="938">
        <f t="shared" si="217"/>
        <v>0</v>
      </c>
      <c r="AY94" s="938">
        <f t="shared" si="218"/>
        <v>0</v>
      </c>
      <c r="AZ94" s="938">
        <f t="shared" si="219"/>
        <v>0</v>
      </c>
      <c r="BA94" s="938">
        <f t="shared" si="220"/>
        <v>0</v>
      </c>
      <c r="BB94" s="938">
        <f t="shared" si="221"/>
        <v>0</v>
      </c>
      <c r="BC94" s="938" t="str">
        <f t="shared" si="222"/>
        <v/>
      </c>
      <c r="BD94" s="713">
        <f>'min. Düngung 22'!T95</f>
        <v>0</v>
      </c>
      <c r="BE94" s="938"/>
      <c r="BF94" s="938"/>
      <c r="BG94" s="938">
        <f t="shared" si="223"/>
        <v>0</v>
      </c>
      <c r="BH94" s="938">
        <f t="shared" si="224"/>
        <v>0</v>
      </c>
      <c r="BI94" s="938">
        <f t="shared" si="225"/>
        <v>0</v>
      </c>
      <c r="BJ94" s="938">
        <f t="shared" si="226"/>
        <v>0</v>
      </c>
      <c r="BK94" s="938">
        <f t="shared" si="227"/>
        <v>0</v>
      </c>
      <c r="BL94" s="938" t="str">
        <f t="shared" si="228"/>
        <v/>
      </c>
      <c r="BM94" s="713">
        <f>'min. Düngung 22'!W95</f>
        <v>0</v>
      </c>
      <c r="BN94" s="938"/>
      <c r="BO94" s="938"/>
      <c r="BP94" s="938">
        <f t="shared" si="229"/>
        <v>0</v>
      </c>
      <c r="BQ94" s="938">
        <f t="shared" si="230"/>
        <v>0</v>
      </c>
      <c r="BR94" s="938">
        <f t="shared" si="231"/>
        <v>0</v>
      </c>
      <c r="BS94" s="938">
        <f t="shared" si="232"/>
        <v>0</v>
      </c>
      <c r="BT94" s="938">
        <f t="shared" si="233"/>
        <v>0</v>
      </c>
      <c r="BU94" s="938" t="str">
        <f t="shared" si="234"/>
        <v/>
      </c>
      <c r="BV94" s="713">
        <f>'min. Düngung 22'!Z95</f>
        <v>0</v>
      </c>
      <c r="BW94" s="938"/>
      <c r="BX94" s="938"/>
      <c r="BY94" s="938">
        <f t="shared" si="235"/>
        <v>0</v>
      </c>
      <c r="BZ94" s="938">
        <f t="shared" si="236"/>
        <v>0</v>
      </c>
      <c r="CA94" s="938">
        <f t="shared" si="237"/>
        <v>0</v>
      </c>
      <c r="CB94" s="938">
        <f t="shared" si="238"/>
        <v>0</v>
      </c>
      <c r="CC94" s="938">
        <f t="shared" si="239"/>
        <v>0</v>
      </c>
      <c r="CD94" s="938" t="str">
        <f t="shared" si="240"/>
        <v/>
      </c>
      <c r="CE94" s="713">
        <f>'min. Düngung 22'!AC95</f>
        <v>0</v>
      </c>
      <c r="CF94" s="938"/>
      <c r="CG94" s="938"/>
      <c r="CH94" s="938">
        <f t="shared" si="241"/>
        <v>0</v>
      </c>
      <c r="CI94" s="938">
        <f t="shared" si="242"/>
        <v>0</v>
      </c>
      <c r="CJ94" s="938">
        <f t="shared" si="243"/>
        <v>0</v>
      </c>
      <c r="CK94" s="938">
        <f t="shared" si="244"/>
        <v>0</v>
      </c>
      <c r="CL94" s="938">
        <f t="shared" si="245"/>
        <v>0</v>
      </c>
      <c r="CM94" s="938" t="str">
        <f t="shared" si="246"/>
        <v/>
      </c>
      <c r="CN94" s="713">
        <f>'min. Düngung 22'!AF95</f>
        <v>0</v>
      </c>
      <c r="CO94" s="938"/>
      <c r="CP94" s="938"/>
      <c r="CQ94" s="938">
        <f t="shared" si="247"/>
        <v>0</v>
      </c>
      <c r="CR94" s="938">
        <f t="shared" si="248"/>
        <v>0</v>
      </c>
      <c r="CS94" s="938">
        <f t="shared" si="249"/>
        <v>0</v>
      </c>
      <c r="CT94" s="938">
        <f t="shared" si="250"/>
        <v>0</v>
      </c>
      <c r="CU94" s="938">
        <f t="shared" si="251"/>
        <v>0</v>
      </c>
      <c r="CV94" s="938" t="str">
        <f t="shared" si="252"/>
        <v/>
      </c>
      <c r="CW94" s="713">
        <f>'min. Düngung 22'!AI95</f>
        <v>0</v>
      </c>
      <c r="CX94" s="938"/>
      <c r="CY94" s="938"/>
      <c r="CZ94" s="938">
        <f t="shared" si="253"/>
        <v>0</v>
      </c>
      <c r="DA94" s="938">
        <f t="shared" si="254"/>
        <v>0</v>
      </c>
      <c r="DB94" s="938">
        <f t="shared" si="255"/>
        <v>0</v>
      </c>
      <c r="DC94" s="938">
        <f t="shared" si="256"/>
        <v>0</v>
      </c>
      <c r="DD94" s="938">
        <f t="shared" si="257"/>
        <v>0</v>
      </c>
      <c r="DE94" s="938" t="str">
        <f t="shared" si="258"/>
        <v/>
      </c>
      <c r="DF94" s="713">
        <f>'min. Düngung 22'!AL95</f>
        <v>0</v>
      </c>
      <c r="DG94" s="938"/>
      <c r="DH94" s="938"/>
      <c r="DI94" s="938">
        <f t="shared" si="259"/>
        <v>0</v>
      </c>
      <c r="DJ94" s="938">
        <f t="shared" si="260"/>
        <v>0</v>
      </c>
      <c r="DK94" s="938">
        <f t="shared" si="261"/>
        <v>0</v>
      </c>
      <c r="DL94" s="938">
        <f t="shared" si="262"/>
        <v>0</v>
      </c>
      <c r="DM94" s="938">
        <f t="shared" si="263"/>
        <v>0</v>
      </c>
      <c r="DN94" s="938" t="str">
        <f t="shared" si="264"/>
        <v/>
      </c>
      <c r="DO94" s="713">
        <f>'min. Düngung 22'!AO95</f>
        <v>0</v>
      </c>
      <c r="DP94" s="938"/>
      <c r="DQ94" s="938"/>
      <c r="DR94" s="938">
        <f t="shared" si="265"/>
        <v>0</v>
      </c>
      <c r="DS94" s="938">
        <f t="shared" si="266"/>
        <v>0</v>
      </c>
      <c r="DT94" s="938">
        <f t="shared" si="267"/>
        <v>0</v>
      </c>
      <c r="DU94" s="938">
        <f t="shared" si="268"/>
        <v>0</v>
      </c>
      <c r="DV94" s="938">
        <f t="shared" si="269"/>
        <v>0</v>
      </c>
      <c r="DW94" s="938" t="str">
        <f t="shared" si="270"/>
        <v/>
      </c>
      <c r="DX94" s="713">
        <f>'min. Düngung 22'!AR95</f>
        <v>0</v>
      </c>
      <c r="DY94" s="938"/>
      <c r="DZ94" s="938"/>
      <c r="EA94" s="938">
        <f t="shared" si="271"/>
        <v>0</v>
      </c>
      <c r="EB94" s="938">
        <f t="shared" si="272"/>
        <v>0</v>
      </c>
      <c r="EC94" s="938">
        <f t="shared" si="273"/>
        <v>0</v>
      </c>
      <c r="ED94" s="938">
        <f t="shared" si="274"/>
        <v>0</v>
      </c>
      <c r="EE94" s="938">
        <f t="shared" si="275"/>
        <v>0</v>
      </c>
      <c r="EF94" s="938" t="str">
        <f t="shared" si="276"/>
        <v/>
      </c>
      <c r="EG94" s="713">
        <f>'min. Düngung 22'!AU95</f>
        <v>0</v>
      </c>
      <c r="EH94" s="938"/>
      <c r="EI94" s="938"/>
      <c r="EJ94" s="938">
        <f t="shared" si="277"/>
        <v>0</v>
      </c>
      <c r="EK94" s="938">
        <f t="shared" si="278"/>
        <v>0</v>
      </c>
      <c r="EL94" s="938">
        <f t="shared" si="279"/>
        <v>0</v>
      </c>
      <c r="EM94" s="938">
        <f t="shared" si="280"/>
        <v>0</v>
      </c>
      <c r="EN94" s="938">
        <f t="shared" si="281"/>
        <v>0</v>
      </c>
      <c r="EO94" s="938" t="str">
        <f t="shared" si="282"/>
        <v/>
      </c>
      <c r="EP94" s="713">
        <f>'min. Düngung 22'!AX95</f>
        <v>0</v>
      </c>
      <c r="EQ94" s="938"/>
      <c r="ER94" s="938"/>
      <c r="ES94" s="938">
        <f t="shared" si="283"/>
        <v>0</v>
      </c>
      <c r="ET94" s="938">
        <f t="shared" si="284"/>
        <v>0</v>
      </c>
      <c r="EU94" s="938">
        <f t="shared" si="285"/>
        <v>0</v>
      </c>
      <c r="EV94" s="938">
        <f t="shared" si="286"/>
        <v>0</v>
      </c>
      <c r="EW94" s="938">
        <f t="shared" si="287"/>
        <v>0</v>
      </c>
      <c r="EX94" s="938" t="str">
        <f t="shared" si="288"/>
        <v/>
      </c>
      <c r="EY94" s="713">
        <f>'min. Düngung 22'!BA95</f>
        <v>0</v>
      </c>
      <c r="EZ94" s="938"/>
      <c r="FA94" s="938"/>
      <c r="FB94" s="938">
        <f t="shared" si="289"/>
        <v>0</v>
      </c>
      <c r="FC94" s="938">
        <f t="shared" si="290"/>
        <v>0</v>
      </c>
      <c r="FD94" s="938">
        <f t="shared" si="291"/>
        <v>0</v>
      </c>
      <c r="FE94" s="938">
        <f t="shared" si="292"/>
        <v>0</v>
      </c>
      <c r="FF94" s="938">
        <f t="shared" si="293"/>
        <v>0</v>
      </c>
      <c r="FG94" s="938" t="str">
        <f t="shared" si="294"/>
        <v/>
      </c>
      <c r="FH94" s="713">
        <f>'min. Düngung 22'!BD95</f>
        <v>0</v>
      </c>
      <c r="FI94" s="938"/>
      <c r="FJ94" s="938"/>
      <c r="FK94" s="938">
        <f t="shared" si="295"/>
        <v>0</v>
      </c>
      <c r="FL94" s="938">
        <f t="shared" si="296"/>
        <v>0</v>
      </c>
      <c r="FM94" s="938">
        <f t="shared" si="297"/>
        <v>0</v>
      </c>
      <c r="FN94" s="938">
        <f t="shared" si="298"/>
        <v>0</v>
      </c>
      <c r="FO94" s="938">
        <f t="shared" si="299"/>
        <v>0</v>
      </c>
      <c r="FP94" s="938" t="str">
        <f t="shared" si="300"/>
        <v/>
      </c>
      <c r="FQ94" s="713">
        <f>'min. Düngung 22'!BG95</f>
        <v>0</v>
      </c>
      <c r="FR94" s="938"/>
      <c r="FS94" s="938"/>
      <c r="FT94" s="938">
        <f t="shared" si="301"/>
        <v>0</v>
      </c>
      <c r="FU94" s="938">
        <f t="shared" si="302"/>
        <v>0</v>
      </c>
      <c r="FV94" s="938">
        <f t="shared" si="303"/>
        <v>0</v>
      </c>
      <c r="FW94" s="938">
        <f t="shared" si="304"/>
        <v>0</v>
      </c>
      <c r="FX94" s="938">
        <f t="shared" si="305"/>
        <v>0</v>
      </c>
      <c r="FY94" s="938" t="str">
        <f t="shared" si="306"/>
        <v/>
      </c>
      <c r="FZ94" s="713">
        <f>'min. Düngung 22'!BJ95</f>
        <v>0</v>
      </c>
      <c r="GA94" s="938"/>
      <c r="GB94" s="938"/>
      <c r="GC94" s="938">
        <f t="shared" si="307"/>
        <v>0</v>
      </c>
      <c r="GD94" s="938">
        <f t="shared" si="308"/>
        <v>0</v>
      </c>
      <c r="GE94" s="938">
        <f t="shared" si="309"/>
        <v>0</v>
      </c>
      <c r="GF94" s="938">
        <f t="shared" si="310"/>
        <v>0</v>
      </c>
      <c r="GG94" s="938">
        <f t="shared" si="311"/>
        <v>0</v>
      </c>
      <c r="GH94" s="938" t="str">
        <f t="shared" si="312"/>
        <v/>
      </c>
      <c r="GI94" s="713">
        <f>'min. Düngung 22'!BM95</f>
        <v>0</v>
      </c>
      <c r="GJ94" s="938"/>
      <c r="GK94" s="938"/>
      <c r="GL94" s="938">
        <f t="shared" si="313"/>
        <v>0</v>
      </c>
      <c r="GM94" s="938">
        <f t="shared" si="314"/>
        <v>0</v>
      </c>
      <c r="GN94" s="938">
        <f t="shared" si="315"/>
        <v>0</v>
      </c>
      <c r="GO94" s="938">
        <f t="shared" si="316"/>
        <v>0</v>
      </c>
      <c r="GP94" s="938">
        <f t="shared" si="317"/>
        <v>0</v>
      </c>
      <c r="GQ94" s="938" t="str">
        <f t="shared" si="318"/>
        <v/>
      </c>
      <c r="GR94" s="713">
        <f>'min. Düngung 22'!BP95</f>
        <v>0</v>
      </c>
      <c r="GS94" s="938"/>
      <c r="GT94" s="938"/>
      <c r="GU94" s="938">
        <f t="shared" si="319"/>
        <v>0</v>
      </c>
      <c r="GV94" s="938">
        <f t="shared" si="320"/>
        <v>0</v>
      </c>
      <c r="GW94" s="938">
        <f t="shared" si="321"/>
        <v>0</v>
      </c>
      <c r="GX94" s="938">
        <f t="shared" si="322"/>
        <v>0</v>
      </c>
      <c r="GY94" s="938">
        <f t="shared" si="323"/>
        <v>0</v>
      </c>
      <c r="GZ94" s="938" t="str">
        <f t="shared" si="324"/>
        <v/>
      </c>
      <c r="HA94" s="713">
        <f>'min. Düngung 22'!BS95</f>
        <v>0</v>
      </c>
      <c r="HB94" s="938"/>
      <c r="HC94" s="938"/>
      <c r="HD94" s="938">
        <f t="shared" si="325"/>
        <v>0</v>
      </c>
      <c r="HE94" s="938">
        <f t="shared" si="326"/>
        <v>0</v>
      </c>
      <c r="HF94" s="938">
        <f t="shared" si="327"/>
        <v>0</v>
      </c>
      <c r="HG94" s="938">
        <f t="shared" si="328"/>
        <v>0</v>
      </c>
      <c r="HH94" s="938">
        <f t="shared" si="329"/>
        <v>0</v>
      </c>
      <c r="HI94" s="938" t="str">
        <f t="shared" si="330"/>
        <v/>
      </c>
      <c r="HJ94" s="713">
        <f>'min. Düngung 22'!BV95</f>
        <v>0</v>
      </c>
      <c r="HK94" s="938"/>
      <c r="HL94" s="938"/>
      <c r="HM94" s="938">
        <f t="shared" si="331"/>
        <v>0</v>
      </c>
      <c r="HN94" s="938">
        <f t="shared" si="332"/>
        <v>0</v>
      </c>
      <c r="HO94" s="938">
        <f t="shared" si="333"/>
        <v>0</v>
      </c>
      <c r="HP94" s="938">
        <f t="shared" si="334"/>
        <v>0</v>
      </c>
      <c r="HQ94" s="938">
        <f t="shared" si="335"/>
        <v>0</v>
      </c>
      <c r="HR94" s="938" t="str">
        <f t="shared" si="336"/>
        <v/>
      </c>
      <c r="HS94" s="713">
        <f>'min. Düngung 22'!BY95</f>
        <v>0</v>
      </c>
      <c r="HT94" s="938"/>
      <c r="HU94" s="938"/>
      <c r="HV94" s="938">
        <f t="shared" si="337"/>
        <v>0</v>
      </c>
      <c r="HW94" s="938">
        <f t="shared" si="338"/>
        <v>0</v>
      </c>
      <c r="HX94" s="938">
        <f t="shared" si="339"/>
        <v>0</v>
      </c>
      <c r="HY94" s="938">
        <f t="shared" si="340"/>
        <v>0</v>
      </c>
      <c r="HZ94" s="938">
        <f t="shared" si="341"/>
        <v>0</v>
      </c>
      <c r="IA94" s="938" t="str">
        <f t="shared" si="342"/>
        <v/>
      </c>
      <c r="IB94" s="713">
        <f>'min. Düngung 22'!CB95</f>
        <v>0</v>
      </c>
      <c r="IC94" s="938"/>
      <c r="ID94" s="938"/>
      <c r="IE94" s="938">
        <f t="shared" si="343"/>
        <v>0</v>
      </c>
      <c r="IF94" s="938">
        <f t="shared" si="344"/>
        <v>0</v>
      </c>
      <c r="IG94" s="938">
        <f t="shared" si="345"/>
        <v>0</v>
      </c>
      <c r="IH94" s="938">
        <f t="shared" si="346"/>
        <v>0</v>
      </c>
      <c r="II94" s="938">
        <f t="shared" si="347"/>
        <v>0</v>
      </c>
      <c r="IJ94" s="938" t="str">
        <f t="shared" si="348"/>
        <v/>
      </c>
      <c r="IK94" s="713">
        <f>'min. Düngung 22'!CE95</f>
        <v>0</v>
      </c>
      <c r="IL94" s="938"/>
      <c r="IM94" s="938"/>
      <c r="IN94" s="938">
        <f t="shared" si="349"/>
        <v>0</v>
      </c>
      <c r="IO94" s="938">
        <f t="shared" si="350"/>
        <v>0</v>
      </c>
      <c r="IP94" s="938">
        <f t="shared" si="351"/>
        <v>0</v>
      </c>
      <c r="IQ94" s="938">
        <f t="shared" si="352"/>
        <v>0</v>
      </c>
      <c r="IR94" s="938">
        <f t="shared" si="353"/>
        <v>0</v>
      </c>
      <c r="IS94" s="938" t="str">
        <f t="shared" si="354"/>
        <v/>
      </c>
      <c r="IT94" s="713">
        <f>'min. Düngung 22'!CH95</f>
        <v>0</v>
      </c>
      <c r="IU94" s="938"/>
      <c r="IV94" s="938"/>
      <c r="IW94" s="938">
        <f t="shared" si="355"/>
        <v>0</v>
      </c>
      <c r="IX94" s="938">
        <f t="shared" si="356"/>
        <v>0</v>
      </c>
      <c r="IY94" s="938">
        <f t="shared" si="357"/>
        <v>0</v>
      </c>
      <c r="IZ94" s="938">
        <f t="shared" si="358"/>
        <v>0</v>
      </c>
      <c r="JA94" s="938">
        <f t="shared" si="359"/>
        <v>0</v>
      </c>
      <c r="JB94" s="938" t="str">
        <f t="shared" si="360"/>
        <v/>
      </c>
      <c r="JC94" s="713">
        <f>'min. Düngung 22'!CK95</f>
        <v>0</v>
      </c>
      <c r="JD94" s="938"/>
      <c r="JE94" s="938"/>
      <c r="JF94" s="938">
        <f t="shared" si="361"/>
        <v>0</v>
      </c>
      <c r="JG94" s="938">
        <f t="shared" si="362"/>
        <v>0</v>
      </c>
      <c r="JH94" s="938">
        <f t="shared" si="363"/>
        <v>0</v>
      </c>
      <c r="JI94" s="938">
        <f t="shared" si="364"/>
        <v>0</v>
      </c>
      <c r="JJ94" s="938">
        <f t="shared" si="365"/>
        <v>0</v>
      </c>
      <c r="JK94" s="938" t="str">
        <f t="shared" si="366"/>
        <v/>
      </c>
      <c r="JL94" s="713">
        <f>'min. Düngung 22'!CN95</f>
        <v>0</v>
      </c>
      <c r="JM94" s="938"/>
      <c r="JN94" s="938"/>
      <c r="JO94" s="938">
        <f t="shared" si="367"/>
        <v>0</v>
      </c>
      <c r="JP94" s="938">
        <f t="shared" si="368"/>
        <v>0</v>
      </c>
      <c r="JQ94" s="938">
        <f t="shared" si="369"/>
        <v>0</v>
      </c>
      <c r="JR94" s="938">
        <f t="shared" si="370"/>
        <v>0</v>
      </c>
      <c r="JS94" s="938">
        <f t="shared" si="371"/>
        <v>0</v>
      </c>
      <c r="JT94" s="938" t="str">
        <f t="shared" si="372"/>
        <v/>
      </c>
      <c r="JU94" s="713">
        <f>'min. Düngung 22'!CQ95</f>
        <v>0</v>
      </c>
      <c r="JV94" s="938"/>
      <c r="JW94" s="938"/>
      <c r="JX94" s="938">
        <f t="shared" si="373"/>
        <v>0</v>
      </c>
      <c r="JY94" s="938">
        <f t="shared" si="374"/>
        <v>0</v>
      </c>
      <c r="JZ94" s="938">
        <f t="shared" si="375"/>
        <v>0</v>
      </c>
      <c r="KA94" s="938">
        <f t="shared" si="376"/>
        <v>0</v>
      </c>
      <c r="KB94" s="938">
        <f t="shared" si="377"/>
        <v>0</v>
      </c>
      <c r="KC94" s="938" t="str">
        <f t="shared" si="378"/>
        <v/>
      </c>
      <c r="KE94" s="938"/>
      <c r="KF94" s="938" t="str">
        <f>IF(AND($F94=2,$G94=1),"",IF(OR($Q94&gt;0,$O94&gt;60),$KF$7,IF(I94=70,"",IF(AND(I94=80,R94+'#orgDung'!AC97&lt;60,K94=1,OR(C94=2,'#BerechnungDBE'!AH88=4)),"",IF(R94&gt;0,$KF$7,"")))))</f>
        <v/>
      </c>
      <c r="KG94" s="938" t="str">
        <f>IF(AND(P94&gt;'#BerechnungDBE'!BJ88,P94&gt;0),'#minDung'!$KG$7,"")</f>
        <v/>
      </c>
      <c r="KH94" s="938" t="str">
        <f>IF(AND(I94=70,R94&gt;'#BerechnungDBE'!CR88),'#minDung'!$KH$7,"")</f>
        <v/>
      </c>
      <c r="KI94" s="938" t="str">
        <f>IF('#BerechnungDBE'!P88&lt;4,"",IF(AND('#BerechnungDBE'!BZ88&gt;0,N94&gt;0),$KI$7,""))</f>
        <v/>
      </c>
      <c r="KJ94" s="938" t="str">
        <f t="shared" si="197"/>
        <v/>
      </c>
    </row>
    <row r="95" spans="1:296" s="875" customFormat="1" hidden="1" x14ac:dyDescent="0.2">
      <c r="A95" s="875">
        <f>'Flächen u. Kulturen'!A94</f>
        <v>85</v>
      </c>
      <c r="B95" s="734">
        <f>'#BerechnungDBE'!L89</f>
        <v>0</v>
      </c>
      <c r="C95" s="46">
        <f>'#orgDung'!C98</f>
        <v>1</v>
      </c>
      <c r="D95" s="875">
        <f>'#BerechnungDBE'!T89</f>
        <v>2</v>
      </c>
      <c r="E95" s="875" t="str">
        <f>'Flächen u. Kulturen'!E94</f>
        <v>x</v>
      </c>
      <c r="F95" s="52">
        <f>'#BerechnungDBE'!N89</f>
        <v>1</v>
      </c>
      <c r="G95" s="52">
        <f>'#BerechnungDBE'!O89</f>
        <v>1</v>
      </c>
      <c r="H95" s="505">
        <f>'#orgDung'!J98</f>
        <v>2</v>
      </c>
      <c r="I95" s="875">
        <f>'#BerechnungDBE'!AF89</f>
        <v>0</v>
      </c>
      <c r="J95" s="875">
        <f>'#orgDung'!M98</f>
        <v>0</v>
      </c>
      <c r="K95" s="875">
        <f>'#BerechnungDBE'!AG89</f>
        <v>0</v>
      </c>
      <c r="M95" s="875">
        <f t="shared" si="192"/>
        <v>0</v>
      </c>
      <c r="N95" s="875">
        <f t="shared" si="193"/>
        <v>0</v>
      </c>
      <c r="O95" s="875">
        <f t="shared" si="194"/>
        <v>0</v>
      </c>
      <c r="P95" s="875">
        <f t="shared" si="195"/>
        <v>0</v>
      </c>
      <c r="Q95" s="938">
        <f t="shared" si="198"/>
        <v>0</v>
      </c>
      <c r="R95" s="875">
        <f t="shared" si="196"/>
        <v>0</v>
      </c>
      <c r="T95" s="713">
        <f>'min. Düngung 22'!H96</f>
        <v>0</v>
      </c>
      <c r="W95" s="875">
        <f t="shared" si="199"/>
        <v>0</v>
      </c>
      <c r="X95" s="875">
        <f t="shared" si="200"/>
        <v>0</v>
      </c>
      <c r="Y95" s="875">
        <f t="shared" si="201"/>
        <v>0</v>
      </c>
      <c r="Z95" s="875">
        <f t="shared" si="202"/>
        <v>0</v>
      </c>
      <c r="AA95" s="875">
        <f t="shared" si="203"/>
        <v>0</v>
      </c>
      <c r="AB95" s="875" t="str">
        <f t="shared" si="204"/>
        <v/>
      </c>
      <c r="AC95" s="713">
        <f>'min. Düngung 22'!K96</f>
        <v>0</v>
      </c>
      <c r="AD95" s="938"/>
      <c r="AE95" s="938"/>
      <c r="AF95" s="938">
        <f t="shared" si="205"/>
        <v>0</v>
      </c>
      <c r="AG95" s="938">
        <f t="shared" si="206"/>
        <v>0</v>
      </c>
      <c r="AH95" s="938">
        <f t="shared" si="207"/>
        <v>0</v>
      </c>
      <c r="AI95" s="938">
        <f t="shared" si="208"/>
        <v>0</v>
      </c>
      <c r="AJ95" s="938">
        <f t="shared" si="209"/>
        <v>0</v>
      </c>
      <c r="AK95" s="938">
        <f t="shared" si="210"/>
        <v>0</v>
      </c>
      <c r="AL95" s="713">
        <f>'min. Düngung 22'!N96</f>
        <v>0</v>
      </c>
      <c r="AM95" s="938"/>
      <c r="AN95" s="938"/>
      <c r="AO95" s="938">
        <f t="shared" si="211"/>
        <v>0</v>
      </c>
      <c r="AP95" s="938">
        <f t="shared" si="212"/>
        <v>0</v>
      </c>
      <c r="AQ95" s="938">
        <f t="shared" si="213"/>
        <v>0</v>
      </c>
      <c r="AR95" s="938">
        <f t="shared" si="214"/>
        <v>0</v>
      </c>
      <c r="AS95" s="938">
        <f t="shared" si="215"/>
        <v>0</v>
      </c>
      <c r="AT95" s="938" t="str">
        <f t="shared" si="216"/>
        <v/>
      </c>
      <c r="AU95" s="713">
        <f>'min. Düngung 22'!Q96</f>
        <v>0</v>
      </c>
      <c r="AV95" s="938"/>
      <c r="AW95" s="938"/>
      <c r="AX95" s="938">
        <f t="shared" si="217"/>
        <v>0</v>
      </c>
      <c r="AY95" s="938">
        <f t="shared" si="218"/>
        <v>0</v>
      </c>
      <c r="AZ95" s="938">
        <f t="shared" si="219"/>
        <v>0</v>
      </c>
      <c r="BA95" s="938">
        <f t="shared" si="220"/>
        <v>0</v>
      </c>
      <c r="BB95" s="938">
        <f t="shared" si="221"/>
        <v>0</v>
      </c>
      <c r="BC95" s="938" t="str">
        <f t="shared" si="222"/>
        <v/>
      </c>
      <c r="BD95" s="713">
        <f>'min. Düngung 22'!T96</f>
        <v>0</v>
      </c>
      <c r="BE95" s="938"/>
      <c r="BF95" s="938"/>
      <c r="BG95" s="938">
        <f t="shared" si="223"/>
        <v>0</v>
      </c>
      <c r="BH95" s="938">
        <f t="shared" si="224"/>
        <v>0</v>
      </c>
      <c r="BI95" s="938">
        <f t="shared" si="225"/>
        <v>0</v>
      </c>
      <c r="BJ95" s="938">
        <f t="shared" si="226"/>
        <v>0</v>
      </c>
      <c r="BK95" s="938">
        <f t="shared" si="227"/>
        <v>0</v>
      </c>
      <c r="BL95" s="938" t="str">
        <f t="shared" si="228"/>
        <v/>
      </c>
      <c r="BM95" s="713">
        <f>'min. Düngung 22'!W96</f>
        <v>0</v>
      </c>
      <c r="BN95" s="938"/>
      <c r="BO95" s="938"/>
      <c r="BP95" s="938">
        <f t="shared" si="229"/>
        <v>0</v>
      </c>
      <c r="BQ95" s="938">
        <f t="shared" si="230"/>
        <v>0</v>
      </c>
      <c r="BR95" s="938">
        <f t="shared" si="231"/>
        <v>0</v>
      </c>
      <c r="BS95" s="938">
        <f t="shared" si="232"/>
        <v>0</v>
      </c>
      <c r="BT95" s="938">
        <f t="shared" si="233"/>
        <v>0</v>
      </c>
      <c r="BU95" s="938" t="str">
        <f t="shared" si="234"/>
        <v/>
      </c>
      <c r="BV95" s="713">
        <f>'min. Düngung 22'!Z96</f>
        <v>0</v>
      </c>
      <c r="BW95" s="938"/>
      <c r="BX95" s="938"/>
      <c r="BY95" s="938">
        <f t="shared" si="235"/>
        <v>0</v>
      </c>
      <c r="BZ95" s="938">
        <f t="shared" si="236"/>
        <v>0</v>
      </c>
      <c r="CA95" s="938">
        <f t="shared" si="237"/>
        <v>0</v>
      </c>
      <c r="CB95" s="938">
        <f t="shared" si="238"/>
        <v>0</v>
      </c>
      <c r="CC95" s="938">
        <f t="shared" si="239"/>
        <v>0</v>
      </c>
      <c r="CD95" s="938" t="str">
        <f t="shared" si="240"/>
        <v/>
      </c>
      <c r="CE95" s="713">
        <f>'min. Düngung 22'!AC96</f>
        <v>0</v>
      </c>
      <c r="CF95" s="938"/>
      <c r="CG95" s="938"/>
      <c r="CH95" s="938">
        <f t="shared" si="241"/>
        <v>0</v>
      </c>
      <c r="CI95" s="938">
        <f t="shared" si="242"/>
        <v>0</v>
      </c>
      <c r="CJ95" s="938">
        <f t="shared" si="243"/>
        <v>0</v>
      </c>
      <c r="CK95" s="938">
        <f t="shared" si="244"/>
        <v>0</v>
      </c>
      <c r="CL95" s="938">
        <f t="shared" si="245"/>
        <v>0</v>
      </c>
      <c r="CM95" s="938" t="str">
        <f t="shared" si="246"/>
        <v/>
      </c>
      <c r="CN95" s="713">
        <f>'min. Düngung 22'!AF96</f>
        <v>0</v>
      </c>
      <c r="CO95" s="938"/>
      <c r="CP95" s="938"/>
      <c r="CQ95" s="938">
        <f t="shared" si="247"/>
        <v>0</v>
      </c>
      <c r="CR95" s="938">
        <f t="shared" si="248"/>
        <v>0</v>
      </c>
      <c r="CS95" s="938">
        <f t="shared" si="249"/>
        <v>0</v>
      </c>
      <c r="CT95" s="938">
        <f t="shared" si="250"/>
        <v>0</v>
      </c>
      <c r="CU95" s="938">
        <f t="shared" si="251"/>
        <v>0</v>
      </c>
      <c r="CV95" s="938" t="str">
        <f t="shared" si="252"/>
        <v/>
      </c>
      <c r="CW95" s="713">
        <f>'min. Düngung 22'!AI96</f>
        <v>0</v>
      </c>
      <c r="CX95" s="938"/>
      <c r="CY95" s="938"/>
      <c r="CZ95" s="938">
        <f t="shared" si="253"/>
        <v>0</v>
      </c>
      <c r="DA95" s="938">
        <f t="shared" si="254"/>
        <v>0</v>
      </c>
      <c r="DB95" s="938">
        <f t="shared" si="255"/>
        <v>0</v>
      </c>
      <c r="DC95" s="938">
        <f t="shared" si="256"/>
        <v>0</v>
      </c>
      <c r="DD95" s="938">
        <f t="shared" si="257"/>
        <v>0</v>
      </c>
      <c r="DE95" s="938" t="str">
        <f t="shared" si="258"/>
        <v/>
      </c>
      <c r="DF95" s="713">
        <f>'min. Düngung 22'!AL96</f>
        <v>0</v>
      </c>
      <c r="DG95" s="938"/>
      <c r="DH95" s="938"/>
      <c r="DI95" s="938">
        <f t="shared" si="259"/>
        <v>0</v>
      </c>
      <c r="DJ95" s="938">
        <f t="shared" si="260"/>
        <v>0</v>
      </c>
      <c r="DK95" s="938">
        <f t="shared" si="261"/>
        <v>0</v>
      </c>
      <c r="DL95" s="938">
        <f t="shared" si="262"/>
        <v>0</v>
      </c>
      <c r="DM95" s="938">
        <f t="shared" si="263"/>
        <v>0</v>
      </c>
      <c r="DN95" s="938" t="str">
        <f t="shared" si="264"/>
        <v/>
      </c>
      <c r="DO95" s="713">
        <f>'min. Düngung 22'!AO96</f>
        <v>0</v>
      </c>
      <c r="DP95" s="938"/>
      <c r="DQ95" s="938"/>
      <c r="DR95" s="938">
        <f t="shared" si="265"/>
        <v>0</v>
      </c>
      <c r="DS95" s="938">
        <f t="shared" si="266"/>
        <v>0</v>
      </c>
      <c r="DT95" s="938">
        <f t="shared" si="267"/>
        <v>0</v>
      </c>
      <c r="DU95" s="938">
        <f t="shared" si="268"/>
        <v>0</v>
      </c>
      <c r="DV95" s="938">
        <f t="shared" si="269"/>
        <v>0</v>
      </c>
      <c r="DW95" s="938" t="str">
        <f t="shared" si="270"/>
        <v/>
      </c>
      <c r="DX95" s="713">
        <f>'min. Düngung 22'!AR96</f>
        <v>0</v>
      </c>
      <c r="DY95" s="938"/>
      <c r="DZ95" s="938"/>
      <c r="EA95" s="938">
        <f t="shared" si="271"/>
        <v>0</v>
      </c>
      <c r="EB95" s="938">
        <f t="shared" si="272"/>
        <v>0</v>
      </c>
      <c r="EC95" s="938">
        <f t="shared" si="273"/>
        <v>0</v>
      </c>
      <c r="ED95" s="938">
        <f t="shared" si="274"/>
        <v>0</v>
      </c>
      <c r="EE95" s="938">
        <f t="shared" si="275"/>
        <v>0</v>
      </c>
      <c r="EF95" s="938" t="str">
        <f t="shared" si="276"/>
        <v/>
      </c>
      <c r="EG95" s="713">
        <f>'min. Düngung 22'!AU96</f>
        <v>0</v>
      </c>
      <c r="EH95" s="938"/>
      <c r="EI95" s="938"/>
      <c r="EJ95" s="938">
        <f t="shared" si="277"/>
        <v>0</v>
      </c>
      <c r="EK95" s="938">
        <f t="shared" si="278"/>
        <v>0</v>
      </c>
      <c r="EL95" s="938">
        <f t="shared" si="279"/>
        <v>0</v>
      </c>
      <c r="EM95" s="938">
        <f t="shared" si="280"/>
        <v>0</v>
      </c>
      <c r="EN95" s="938">
        <f t="shared" si="281"/>
        <v>0</v>
      </c>
      <c r="EO95" s="938" t="str">
        <f t="shared" si="282"/>
        <v/>
      </c>
      <c r="EP95" s="713">
        <f>'min. Düngung 22'!AX96</f>
        <v>0</v>
      </c>
      <c r="EQ95" s="938"/>
      <c r="ER95" s="938"/>
      <c r="ES95" s="938">
        <f t="shared" si="283"/>
        <v>0</v>
      </c>
      <c r="ET95" s="938">
        <f t="shared" si="284"/>
        <v>0</v>
      </c>
      <c r="EU95" s="938">
        <f t="shared" si="285"/>
        <v>0</v>
      </c>
      <c r="EV95" s="938">
        <f t="shared" si="286"/>
        <v>0</v>
      </c>
      <c r="EW95" s="938">
        <f t="shared" si="287"/>
        <v>0</v>
      </c>
      <c r="EX95" s="938" t="str">
        <f t="shared" si="288"/>
        <v/>
      </c>
      <c r="EY95" s="713">
        <f>'min. Düngung 22'!BA96</f>
        <v>0</v>
      </c>
      <c r="EZ95" s="938"/>
      <c r="FA95" s="938"/>
      <c r="FB95" s="938">
        <f t="shared" si="289"/>
        <v>0</v>
      </c>
      <c r="FC95" s="938">
        <f t="shared" si="290"/>
        <v>0</v>
      </c>
      <c r="FD95" s="938">
        <f t="shared" si="291"/>
        <v>0</v>
      </c>
      <c r="FE95" s="938">
        <f t="shared" si="292"/>
        <v>0</v>
      </c>
      <c r="FF95" s="938">
        <f t="shared" si="293"/>
        <v>0</v>
      </c>
      <c r="FG95" s="938" t="str">
        <f t="shared" si="294"/>
        <v/>
      </c>
      <c r="FH95" s="713">
        <f>'min. Düngung 22'!BD96</f>
        <v>0</v>
      </c>
      <c r="FI95" s="938"/>
      <c r="FJ95" s="938"/>
      <c r="FK95" s="938">
        <f t="shared" si="295"/>
        <v>0</v>
      </c>
      <c r="FL95" s="938">
        <f t="shared" si="296"/>
        <v>0</v>
      </c>
      <c r="FM95" s="938">
        <f t="shared" si="297"/>
        <v>0</v>
      </c>
      <c r="FN95" s="938">
        <f t="shared" si="298"/>
        <v>0</v>
      </c>
      <c r="FO95" s="938">
        <f t="shared" si="299"/>
        <v>0</v>
      </c>
      <c r="FP95" s="938" t="str">
        <f t="shared" si="300"/>
        <v/>
      </c>
      <c r="FQ95" s="713">
        <f>'min. Düngung 22'!BG96</f>
        <v>0</v>
      </c>
      <c r="FR95" s="938"/>
      <c r="FS95" s="938"/>
      <c r="FT95" s="938">
        <f t="shared" si="301"/>
        <v>0</v>
      </c>
      <c r="FU95" s="938">
        <f t="shared" si="302"/>
        <v>0</v>
      </c>
      <c r="FV95" s="938">
        <f t="shared" si="303"/>
        <v>0</v>
      </c>
      <c r="FW95" s="938">
        <f t="shared" si="304"/>
        <v>0</v>
      </c>
      <c r="FX95" s="938">
        <f t="shared" si="305"/>
        <v>0</v>
      </c>
      <c r="FY95" s="938" t="str">
        <f t="shared" si="306"/>
        <v/>
      </c>
      <c r="FZ95" s="713">
        <f>'min. Düngung 22'!BJ96</f>
        <v>0</v>
      </c>
      <c r="GA95" s="938"/>
      <c r="GB95" s="938"/>
      <c r="GC95" s="938">
        <f t="shared" si="307"/>
        <v>0</v>
      </c>
      <c r="GD95" s="938">
        <f t="shared" si="308"/>
        <v>0</v>
      </c>
      <c r="GE95" s="938">
        <f t="shared" si="309"/>
        <v>0</v>
      </c>
      <c r="GF95" s="938">
        <f t="shared" si="310"/>
        <v>0</v>
      </c>
      <c r="GG95" s="938">
        <f t="shared" si="311"/>
        <v>0</v>
      </c>
      <c r="GH95" s="938" t="str">
        <f t="shared" si="312"/>
        <v/>
      </c>
      <c r="GI95" s="713">
        <f>'min. Düngung 22'!BM96</f>
        <v>0</v>
      </c>
      <c r="GJ95" s="938"/>
      <c r="GK95" s="938"/>
      <c r="GL95" s="938">
        <f t="shared" si="313"/>
        <v>0</v>
      </c>
      <c r="GM95" s="938">
        <f t="shared" si="314"/>
        <v>0</v>
      </c>
      <c r="GN95" s="938">
        <f t="shared" si="315"/>
        <v>0</v>
      </c>
      <c r="GO95" s="938">
        <f t="shared" si="316"/>
        <v>0</v>
      </c>
      <c r="GP95" s="938">
        <f t="shared" si="317"/>
        <v>0</v>
      </c>
      <c r="GQ95" s="938" t="str">
        <f t="shared" si="318"/>
        <v/>
      </c>
      <c r="GR95" s="713">
        <f>'min. Düngung 22'!BP96</f>
        <v>0</v>
      </c>
      <c r="GS95" s="938"/>
      <c r="GT95" s="938"/>
      <c r="GU95" s="938">
        <f t="shared" si="319"/>
        <v>0</v>
      </c>
      <c r="GV95" s="938">
        <f t="shared" si="320"/>
        <v>0</v>
      </c>
      <c r="GW95" s="938">
        <f t="shared" si="321"/>
        <v>0</v>
      </c>
      <c r="GX95" s="938">
        <f t="shared" si="322"/>
        <v>0</v>
      </c>
      <c r="GY95" s="938">
        <f t="shared" si="323"/>
        <v>0</v>
      </c>
      <c r="GZ95" s="938" t="str">
        <f t="shared" si="324"/>
        <v/>
      </c>
      <c r="HA95" s="713">
        <f>'min. Düngung 22'!BS96</f>
        <v>0</v>
      </c>
      <c r="HB95" s="938"/>
      <c r="HC95" s="938"/>
      <c r="HD95" s="938">
        <f t="shared" si="325"/>
        <v>0</v>
      </c>
      <c r="HE95" s="938">
        <f t="shared" si="326"/>
        <v>0</v>
      </c>
      <c r="HF95" s="938">
        <f t="shared" si="327"/>
        <v>0</v>
      </c>
      <c r="HG95" s="938">
        <f t="shared" si="328"/>
        <v>0</v>
      </c>
      <c r="HH95" s="938">
        <f t="shared" si="329"/>
        <v>0</v>
      </c>
      <c r="HI95" s="938" t="str">
        <f t="shared" si="330"/>
        <v/>
      </c>
      <c r="HJ95" s="713">
        <f>'min. Düngung 22'!BV96</f>
        <v>0</v>
      </c>
      <c r="HK95" s="938"/>
      <c r="HL95" s="938"/>
      <c r="HM95" s="938">
        <f t="shared" si="331"/>
        <v>0</v>
      </c>
      <c r="HN95" s="938">
        <f t="shared" si="332"/>
        <v>0</v>
      </c>
      <c r="HO95" s="938">
        <f t="shared" si="333"/>
        <v>0</v>
      </c>
      <c r="HP95" s="938">
        <f t="shared" si="334"/>
        <v>0</v>
      </c>
      <c r="HQ95" s="938">
        <f t="shared" si="335"/>
        <v>0</v>
      </c>
      <c r="HR95" s="938" t="str">
        <f t="shared" si="336"/>
        <v/>
      </c>
      <c r="HS95" s="713">
        <f>'min. Düngung 22'!BY96</f>
        <v>0</v>
      </c>
      <c r="HT95" s="938"/>
      <c r="HU95" s="938"/>
      <c r="HV95" s="938">
        <f t="shared" si="337"/>
        <v>0</v>
      </c>
      <c r="HW95" s="938">
        <f t="shared" si="338"/>
        <v>0</v>
      </c>
      <c r="HX95" s="938">
        <f t="shared" si="339"/>
        <v>0</v>
      </c>
      <c r="HY95" s="938">
        <f t="shared" si="340"/>
        <v>0</v>
      </c>
      <c r="HZ95" s="938">
        <f t="shared" si="341"/>
        <v>0</v>
      </c>
      <c r="IA95" s="938" t="str">
        <f t="shared" si="342"/>
        <v/>
      </c>
      <c r="IB95" s="713">
        <f>'min. Düngung 22'!CB96</f>
        <v>0</v>
      </c>
      <c r="IC95" s="938"/>
      <c r="ID95" s="938"/>
      <c r="IE95" s="938">
        <f t="shared" si="343"/>
        <v>0</v>
      </c>
      <c r="IF95" s="938">
        <f t="shared" si="344"/>
        <v>0</v>
      </c>
      <c r="IG95" s="938">
        <f t="shared" si="345"/>
        <v>0</v>
      </c>
      <c r="IH95" s="938">
        <f t="shared" si="346"/>
        <v>0</v>
      </c>
      <c r="II95" s="938">
        <f t="shared" si="347"/>
        <v>0</v>
      </c>
      <c r="IJ95" s="938" t="str">
        <f t="shared" si="348"/>
        <v/>
      </c>
      <c r="IK95" s="713">
        <f>'min. Düngung 22'!CE96</f>
        <v>0</v>
      </c>
      <c r="IL95" s="938"/>
      <c r="IM95" s="938"/>
      <c r="IN95" s="938">
        <f t="shared" si="349"/>
        <v>0</v>
      </c>
      <c r="IO95" s="938">
        <f t="shared" si="350"/>
        <v>0</v>
      </c>
      <c r="IP95" s="938">
        <f t="shared" si="351"/>
        <v>0</v>
      </c>
      <c r="IQ95" s="938">
        <f t="shared" si="352"/>
        <v>0</v>
      </c>
      <c r="IR95" s="938">
        <f t="shared" si="353"/>
        <v>0</v>
      </c>
      <c r="IS95" s="938" t="str">
        <f t="shared" si="354"/>
        <v/>
      </c>
      <c r="IT95" s="713">
        <f>'min. Düngung 22'!CH96</f>
        <v>0</v>
      </c>
      <c r="IU95" s="938"/>
      <c r="IV95" s="938"/>
      <c r="IW95" s="938">
        <f t="shared" si="355"/>
        <v>0</v>
      </c>
      <c r="IX95" s="938">
        <f t="shared" si="356"/>
        <v>0</v>
      </c>
      <c r="IY95" s="938">
        <f t="shared" si="357"/>
        <v>0</v>
      </c>
      <c r="IZ95" s="938">
        <f t="shared" si="358"/>
        <v>0</v>
      </c>
      <c r="JA95" s="938">
        <f t="shared" si="359"/>
        <v>0</v>
      </c>
      <c r="JB95" s="938" t="str">
        <f t="shared" si="360"/>
        <v/>
      </c>
      <c r="JC95" s="713">
        <f>'min. Düngung 22'!CK96</f>
        <v>0</v>
      </c>
      <c r="JD95" s="938"/>
      <c r="JE95" s="938"/>
      <c r="JF95" s="938">
        <f t="shared" si="361"/>
        <v>0</v>
      </c>
      <c r="JG95" s="938">
        <f t="shared" si="362"/>
        <v>0</v>
      </c>
      <c r="JH95" s="938">
        <f t="shared" si="363"/>
        <v>0</v>
      </c>
      <c r="JI95" s="938">
        <f t="shared" si="364"/>
        <v>0</v>
      </c>
      <c r="JJ95" s="938">
        <f t="shared" si="365"/>
        <v>0</v>
      </c>
      <c r="JK95" s="938" t="str">
        <f t="shared" si="366"/>
        <v/>
      </c>
      <c r="JL95" s="713">
        <f>'min. Düngung 22'!CN96</f>
        <v>0</v>
      </c>
      <c r="JM95" s="938"/>
      <c r="JN95" s="938"/>
      <c r="JO95" s="938">
        <f t="shared" si="367"/>
        <v>0</v>
      </c>
      <c r="JP95" s="938">
        <f t="shared" si="368"/>
        <v>0</v>
      </c>
      <c r="JQ95" s="938">
        <f t="shared" si="369"/>
        <v>0</v>
      </c>
      <c r="JR95" s="938">
        <f t="shared" si="370"/>
        <v>0</v>
      </c>
      <c r="JS95" s="938">
        <f t="shared" si="371"/>
        <v>0</v>
      </c>
      <c r="JT95" s="938" t="str">
        <f t="shared" si="372"/>
        <v/>
      </c>
      <c r="JU95" s="713">
        <f>'min. Düngung 22'!CQ96</f>
        <v>0</v>
      </c>
      <c r="JV95" s="938"/>
      <c r="JW95" s="938"/>
      <c r="JX95" s="938">
        <f t="shared" si="373"/>
        <v>0</v>
      </c>
      <c r="JY95" s="938">
        <f t="shared" si="374"/>
        <v>0</v>
      </c>
      <c r="JZ95" s="938">
        <f t="shared" si="375"/>
        <v>0</v>
      </c>
      <c r="KA95" s="938">
        <f t="shared" si="376"/>
        <v>0</v>
      </c>
      <c r="KB95" s="938">
        <f t="shared" si="377"/>
        <v>0</v>
      </c>
      <c r="KC95" s="938" t="str">
        <f t="shared" si="378"/>
        <v/>
      </c>
      <c r="KE95" s="938"/>
      <c r="KF95" s="938" t="str">
        <f>IF(AND($F95=2,$G95=1),"",IF(OR($Q95&gt;0,$O95&gt;60),$KF$7,IF(I95=70,"",IF(AND(I95=80,R95+'#orgDung'!AC98&lt;60,K95=1,OR(C95=2,'#BerechnungDBE'!AH89=4)),"",IF(R95&gt;0,$KF$7,"")))))</f>
        <v/>
      </c>
      <c r="KG95" s="938" t="str">
        <f>IF(AND(P95&gt;'#BerechnungDBE'!BJ89,P95&gt;0),'#minDung'!$KG$7,"")</f>
        <v/>
      </c>
      <c r="KH95" s="938" t="str">
        <f>IF(AND(I95=70,R95&gt;'#BerechnungDBE'!CR89),'#minDung'!$KH$7,"")</f>
        <v/>
      </c>
      <c r="KI95" s="938" t="str">
        <f>IF('#BerechnungDBE'!P89&lt;4,"",IF(AND('#BerechnungDBE'!BZ89&gt;0,N95&gt;0),$KI$7,""))</f>
        <v/>
      </c>
      <c r="KJ95" s="938" t="str">
        <f t="shared" si="197"/>
        <v/>
      </c>
    </row>
    <row r="96" spans="1:296" s="875" customFormat="1" hidden="1" x14ac:dyDescent="0.2">
      <c r="A96" s="875">
        <f>'Flächen u. Kulturen'!A95</f>
        <v>86</v>
      </c>
      <c r="B96" s="734">
        <f>'#BerechnungDBE'!L90</f>
        <v>0</v>
      </c>
      <c r="C96" s="46">
        <f>'#orgDung'!C99</f>
        <v>1</v>
      </c>
      <c r="D96" s="875">
        <f>'#BerechnungDBE'!T90</f>
        <v>2</v>
      </c>
      <c r="E96" s="875" t="str">
        <f>'Flächen u. Kulturen'!E95</f>
        <v>x</v>
      </c>
      <c r="F96" s="52">
        <f>'#BerechnungDBE'!N90</f>
        <v>1</v>
      </c>
      <c r="G96" s="52">
        <f>'#BerechnungDBE'!O90</f>
        <v>1</v>
      </c>
      <c r="H96" s="505">
        <f>'#orgDung'!J99</f>
        <v>2</v>
      </c>
      <c r="I96" s="875">
        <f>'#BerechnungDBE'!AF90</f>
        <v>0</v>
      </c>
      <c r="J96" s="875">
        <f>'#orgDung'!M99</f>
        <v>0</v>
      </c>
      <c r="K96" s="875">
        <f>'#BerechnungDBE'!AG90</f>
        <v>0</v>
      </c>
      <c r="M96" s="875">
        <f t="shared" si="192"/>
        <v>0</v>
      </c>
      <c r="N96" s="875">
        <f t="shared" si="193"/>
        <v>0</v>
      </c>
      <c r="O96" s="875">
        <f t="shared" si="194"/>
        <v>0</v>
      </c>
      <c r="P96" s="875">
        <f t="shared" si="195"/>
        <v>0</v>
      </c>
      <c r="Q96" s="938">
        <f t="shared" si="198"/>
        <v>0</v>
      </c>
      <c r="R96" s="875">
        <f t="shared" si="196"/>
        <v>0</v>
      </c>
      <c r="T96" s="713">
        <f>'min. Düngung 22'!H97</f>
        <v>0</v>
      </c>
      <c r="W96" s="875">
        <f t="shared" si="199"/>
        <v>0</v>
      </c>
      <c r="X96" s="875">
        <f t="shared" si="200"/>
        <v>0</v>
      </c>
      <c r="Y96" s="875">
        <f t="shared" si="201"/>
        <v>0</v>
      </c>
      <c r="Z96" s="875">
        <f t="shared" si="202"/>
        <v>0</v>
      </c>
      <c r="AA96" s="875">
        <f t="shared" si="203"/>
        <v>0</v>
      </c>
      <c r="AB96" s="875" t="str">
        <f t="shared" si="204"/>
        <v/>
      </c>
      <c r="AC96" s="713">
        <f>'min. Düngung 22'!K97</f>
        <v>0</v>
      </c>
      <c r="AD96" s="938"/>
      <c r="AE96" s="938"/>
      <c r="AF96" s="938">
        <f t="shared" si="205"/>
        <v>0</v>
      </c>
      <c r="AG96" s="938">
        <f t="shared" si="206"/>
        <v>0</v>
      </c>
      <c r="AH96" s="938">
        <f t="shared" si="207"/>
        <v>0</v>
      </c>
      <c r="AI96" s="938">
        <f t="shared" si="208"/>
        <v>0</v>
      </c>
      <c r="AJ96" s="938">
        <f t="shared" si="209"/>
        <v>0</v>
      </c>
      <c r="AK96" s="938">
        <f t="shared" si="210"/>
        <v>0</v>
      </c>
      <c r="AL96" s="713">
        <f>'min. Düngung 22'!N97</f>
        <v>0</v>
      </c>
      <c r="AM96" s="938"/>
      <c r="AN96" s="938"/>
      <c r="AO96" s="938">
        <f t="shared" si="211"/>
        <v>0</v>
      </c>
      <c r="AP96" s="938">
        <f t="shared" si="212"/>
        <v>0</v>
      </c>
      <c r="AQ96" s="938">
        <f t="shared" si="213"/>
        <v>0</v>
      </c>
      <c r="AR96" s="938">
        <f t="shared" si="214"/>
        <v>0</v>
      </c>
      <c r="AS96" s="938">
        <f t="shared" si="215"/>
        <v>0</v>
      </c>
      <c r="AT96" s="938" t="str">
        <f t="shared" si="216"/>
        <v/>
      </c>
      <c r="AU96" s="713">
        <f>'min. Düngung 22'!Q97</f>
        <v>0</v>
      </c>
      <c r="AV96" s="938"/>
      <c r="AW96" s="938"/>
      <c r="AX96" s="938">
        <f t="shared" si="217"/>
        <v>0</v>
      </c>
      <c r="AY96" s="938">
        <f t="shared" si="218"/>
        <v>0</v>
      </c>
      <c r="AZ96" s="938">
        <f t="shared" si="219"/>
        <v>0</v>
      </c>
      <c r="BA96" s="938">
        <f t="shared" si="220"/>
        <v>0</v>
      </c>
      <c r="BB96" s="938">
        <f t="shared" si="221"/>
        <v>0</v>
      </c>
      <c r="BC96" s="938" t="str">
        <f t="shared" si="222"/>
        <v/>
      </c>
      <c r="BD96" s="713">
        <f>'min. Düngung 22'!T97</f>
        <v>0</v>
      </c>
      <c r="BE96" s="938"/>
      <c r="BF96" s="938"/>
      <c r="BG96" s="938">
        <f t="shared" si="223"/>
        <v>0</v>
      </c>
      <c r="BH96" s="938">
        <f t="shared" si="224"/>
        <v>0</v>
      </c>
      <c r="BI96" s="938">
        <f t="shared" si="225"/>
        <v>0</v>
      </c>
      <c r="BJ96" s="938">
        <f t="shared" si="226"/>
        <v>0</v>
      </c>
      <c r="BK96" s="938">
        <f t="shared" si="227"/>
        <v>0</v>
      </c>
      <c r="BL96" s="938" t="str">
        <f t="shared" si="228"/>
        <v/>
      </c>
      <c r="BM96" s="713">
        <f>'min. Düngung 22'!W97</f>
        <v>0</v>
      </c>
      <c r="BN96" s="938"/>
      <c r="BO96" s="938"/>
      <c r="BP96" s="938">
        <f t="shared" si="229"/>
        <v>0</v>
      </c>
      <c r="BQ96" s="938">
        <f t="shared" si="230"/>
        <v>0</v>
      </c>
      <c r="BR96" s="938">
        <f t="shared" si="231"/>
        <v>0</v>
      </c>
      <c r="BS96" s="938">
        <f t="shared" si="232"/>
        <v>0</v>
      </c>
      <c r="BT96" s="938">
        <f t="shared" si="233"/>
        <v>0</v>
      </c>
      <c r="BU96" s="938" t="str">
        <f t="shared" si="234"/>
        <v/>
      </c>
      <c r="BV96" s="713">
        <f>'min. Düngung 22'!Z97</f>
        <v>0</v>
      </c>
      <c r="BW96" s="938"/>
      <c r="BX96" s="938"/>
      <c r="BY96" s="938">
        <f t="shared" si="235"/>
        <v>0</v>
      </c>
      <c r="BZ96" s="938">
        <f t="shared" si="236"/>
        <v>0</v>
      </c>
      <c r="CA96" s="938">
        <f t="shared" si="237"/>
        <v>0</v>
      </c>
      <c r="CB96" s="938">
        <f t="shared" si="238"/>
        <v>0</v>
      </c>
      <c r="CC96" s="938">
        <f t="shared" si="239"/>
        <v>0</v>
      </c>
      <c r="CD96" s="938" t="str">
        <f t="shared" si="240"/>
        <v/>
      </c>
      <c r="CE96" s="713">
        <f>'min. Düngung 22'!AC97</f>
        <v>0</v>
      </c>
      <c r="CF96" s="938"/>
      <c r="CG96" s="938"/>
      <c r="CH96" s="938">
        <f t="shared" si="241"/>
        <v>0</v>
      </c>
      <c r="CI96" s="938">
        <f t="shared" si="242"/>
        <v>0</v>
      </c>
      <c r="CJ96" s="938">
        <f t="shared" si="243"/>
        <v>0</v>
      </c>
      <c r="CK96" s="938">
        <f t="shared" si="244"/>
        <v>0</v>
      </c>
      <c r="CL96" s="938">
        <f t="shared" si="245"/>
        <v>0</v>
      </c>
      <c r="CM96" s="938" t="str">
        <f t="shared" si="246"/>
        <v/>
      </c>
      <c r="CN96" s="713">
        <f>'min. Düngung 22'!AF97</f>
        <v>0</v>
      </c>
      <c r="CO96" s="938"/>
      <c r="CP96" s="938"/>
      <c r="CQ96" s="938">
        <f t="shared" si="247"/>
        <v>0</v>
      </c>
      <c r="CR96" s="938">
        <f t="shared" si="248"/>
        <v>0</v>
      </c>
      <c r="CS96" s="938">
        <f t="shared" si="249"/>
        <v>0</v>
      </c>
      <c r="CT96" s="938">
        <f t="shared" si="250"/>
        <v>0</v>
      </c>
      <c r="CU96" s="938">
        <f t="shared" si="251"/>
        <v>0</v>
      </c>
      <c r="CV96" s="938" t="str">
        <f t="shared" si="252"/>
        <v/>
      </c>
      <c r="CW96" s="713">
        <f>'min. Düngung 22'!AI97</f>
        <v>0</v>
      </c>
      <c r="CX96" s="938"/>
      <c r="CY96" s="938"/>
      <c r="CZ96" s="938">
        <f t="shared" si="253"/>
        <v>0</v>
      </c>
      <c r="DA96" s="938">
        <f t="shared" si="254"/>
        <v>0</v>
      </c>
      <c r="DB96" s="938">
        <f t="shared" si="255"/>
        <v>0</v>
      </c>
      <c r="DC96" s="938">
        <f t="shared" si="256"/>
        <v>0</v>
      </c>
      <c r="DD96" s="938">
        <f t="shared" si="257"/>
        <v>0</v>
      </c>
      <c r="DE96" s="938" t="str">
        <f t="shared" si="258"/>
        <v/>
      </c>
      <c r="DF96" s="713">
        <f>'min. Düngung 22'!AL97</f>
        <v>0</v>
      </c>
      <c r="DG96" s="938"/>
      <c r="DH96" s="938"/>
      <c r="DI96" s="938">
        <f t="shared" si="259"/>
        <v>0</v>
      </c>
      <c r="DJ96" s="938">
        <f t="shared" si="260"/>
        <v>0</v>
      </c>
      <c r="DK96" s="938">
        <f t="shared" si="261"/>
        <v>0</v>
      </c>
      <c r="DL96" s="938">
        <f t="shared" si="262"/>
        <v>0</v>
      </c>
      <c r="DM96" s="938">
        <f t="shared" si="263"/>
        <v>0</v>
      </c>
      <c r="DN96" s="938" t="str">
        <f t="shared" si="264"/>
        <v/>
      </c>
      <c r="DO96" s="713">
        <f>'min. Düngung 22'!AO97</f>
        <v>0</v>
      </c>
      <c r="DP96" s="938"/>
      <c r="DQ96" s="938"/>
      <c r="DR96" s="938">
        <f t="shared" si="265"/>
        <v>0</v>
      </c>
      <c r="DS96" s="938">
        <f t="shared" si="266"/>
        <v>0</v>
      </c>
      <c r="DT96" s="938">
        <f t="shared" si="267"/>
        <v>0</v>
      </c>
      <c r="DU96" s="938">
        <f t="shared" si="268"/>
        <v>0</v>
      </c>
      <c r="DV96" s="938">
        <f t="shared" si="269"/>
        <v>0</v>
      </c>
      <c r="DW96" s="938" t="str">
        <f t="shared" si="270"/>
        <v/>
      </c>
      <c r="DX96" s="713">
        <f>'min. Düngung 22'!AR97</f>
        <v>0</v>
      </c>
      <c r="DY96" s="938"/>
      <c r="DZ96" s="938"/>
      <c r="EA96" s="938">
        <f t="shared" si="271"/>
        <v>0</v>
      </c>
      <c r="EB96" s="938">
        <f t="shared" si="272"/>
        <v>0</v>
      </c>
      <c r="EC96" s="938">
        <f t="shared" si="273"/>
        <v>0</v>
      </c>
      <c r="ED96" s="938">
        <f t="shared" si="274"/>
        <v>0</v>
      </c>
      <c r="EE96" s="938">
        <f t="shared" si="275"/>
        <v>0</v>
      </c>
      <c r="EF96" s="938" t="str">
        <f t="shared" si="276"/>
        <v/>
      </c>
      <c r="EG96" s="713">
        <f>'min. Düngung 22'!AU97</f>
        <v>0</v>
      </c>
      <c r="EH96" s="938"/>
      <c r="EI96" s="938"/>
      <c r="EJ96" s="938">
        <f t="shared" si="277"/>
        <v>0</v>
      </c>
      <c r="EK96" s="938">
        <f t="shared" si="278"/>
        <v>0</v>
      </c>
      <c r="EL96" s="938">
        <f t="shared" si="279"/>
        <v>0</v>
      </c>
      <c r="EM96" s="938">
        <f t="shared" si="280"/>
        <v>0</v>
      </c>
      <c r="EN96" s="938">
        <f t="shared" si="281"/>
        <v>0</v>
      </c>
      <c r="EO96" s="938" t="str">
        <f t="shared" si="282"/>
        <v/>
      </c>
      <c r="EP96" s="713">
        <f>'min. Düngung 22'!AX97</f>
        <v>0</v>
      </c>
      <c r="EQ96" s="938"/>
      <c r="ER96" s="938"/>
      <c r="ES96" s="938">
        <f t="shared" si="283"/>
        <v>0</v>
      </c>
      <c r="ET96" s="938">
        <f t="shared" si="284"/>
        <v>0</v>
      </c>
      <c r="EU96" s="938">
        <f t="shared" si="285"/>
        <v>0</v>
      </c>
      <c r="EV96" s="938">
        <f t="shared" si="286"/>
        <v>0</v>
      </c>
      <c r="EW96" s="938">
        <f t="shared" si="287"/>
        <v>0</v>
      </c>
      <c r="EX96" s="938" t="str">
        <f t="shared" si="288"/>
        <v/>
      </c>
      <c r="EY96" s="713">
        <f>'min. Düngung 22'!BA97</f>
        <v>0</v>
      </c>
      <c r="EZ96" s="938"/>
      <c r="FA96" s="938"/>
      <c r="FB96" s="938">
        <f t="shared" si="289"/>
        <v>0</v>
      </c>
      <c r="FC96" s="938">
        <f t="shared" si="290"/>
        <v>0</v>
      </c>
      <c r="FD96" s="938">
        <f t="shared" si="291"/>
        <v>0</v>
      </c>
      <c r="FE96" s="938">
        <f t="shared" si="292"/>
        <v>0</v>
      </c>
      <c r="FF96" s="938">
        <f t="shared" si="293"/>
        <v>0</v>
      </c>
      <c r="FG96" s="938" t="str">
        <f t="shared" si="294"/>
        <v/>
      </c>
      <c r="FH96" s="713">
        <f>'min. Düngung 22'!BD97</f>
        <v>0</v>
      </c>
      <c r="FI96" s="938"/>
      <c r="FJ96" s="938"/>
      <c r="FK96" s="938">
        <f t="shared" si="295"/>
        <v>0</v>
      </c>
      <c r="FL96" s="938">
        <f t="shared" si="296"/>
        <v>0</v>
      </c>
      <c r="FM96" s="938">
        <f t="shared" si="297"/>
        <v>0</v>
      </c>
      <c r="FN96" s="938">
        <f t="shared" si="298"/>
        <v>0</v>
      </c>
      <c r="FO96" s="938">
        <f t="shared" si="299"/>
        <v>0</v>
      </c>
      <c r="FP96" s="938" t="str">
        <f t="shared" si="300"/>
        <v/>
      </c>
      <c r="FQ96" s="713">
        <f>'min. Düngung 22'!BG97</f>
        <v>0</v>
      </c>
      <c r="FR96" s="938"/>
      <c r="FS96" s="938"/>
      <c r="FT96" s="938">
        <f t="shared" si="301"/>
        <v>0</v>
      </c>
      <c r="FU96" s="938">
        <f t="shared" si="302"/>
        <v>0</v>
      </c>
      <c r="FV96" s="938">
        <f t="shared" si="303"/>
        <v>0</v>
      </c>
      <c r="FW96" s="938">
        <f t="shared" si="304"/>
        <v>0</v>
      </c>
      <c r="FX96" s="938">
        <f t="shared" si="305"/>
        <v>0</v>
      </c>
      <c r="FY96" s="938" t="str">
        <f t="shared" si="306"/>
        <v/>
      </c>
      <c r="FZ96" s="713">
        <f>'min. Düngung 22'!BJ97</f>
        <v>0</v>
      </c>
      <c r="GA96" s="938"/>
      <c r="GB96" s="938"/>
      <c r="GC96" s="938">
        <f t="shared" si="307"/>
        <v>0</v>
      </c>
      <c r="GD96" s="938">
        <f t="shared" si="308"/>
        <v>0</v>
      </c>
      <c r="GE96" s="938">
        <f t="shared" si="309"/>
        <v>0</v>
      </c>
      <c r="GF96" s="938">
        <f t="shared" si="310"/>
        <v>0</v>
      </c>
      <c r="GG96" s="938">
        <f t="shared" si="311"/>
        <v>0</v>
      </c>
      <c r="GH96" s="938" t="str">
        <f t="shared" si="312"/>
        <v/>
      </c>
      <c r="GI96" s="713">
        <f>'min. Düngung 22'!BM97</f>
        <v>0</v>
      </c>
      <c r="GJ96" s="938"/>
      <c r="GK96" s="938"/>
      <c r="GL96" s="938">
        <f t="shared" si="313"/>
        <v>0</v>
      </c>
      <c r="GM96" s="938">
        <f t="shared" si="314"/>
        <v>0</v>
      </c>
      <c r="GN96" s="938">
        <f t="shared" si="315"/>
        <v>0</v>
      </c>
      <c r="GO96" s="938">
        <f t="shared" si="316"/>
        <v>0</v>
      </c>
      <c r="GP96" s="938">
        <f t="shared" si="317"/>
        <v>0</v>
      </c>
      <c r="GQ96" s="938" t="str">
        <f t="shared" si="318"/>
        <v/>
      </c>
      <c r="GR96" s="713">
        <f>'min. Düngung 22'!BP97</f>
        <v>0</v>
      </c>
      <c r="GS96" s="938"/>
      <c r="GT96" s="938"/>
      <c r="GU96" s="938">
        <f t="shared" si="319"/>
        <v>0</v>
      </c>
      <c r="GV96" s="938">
        <f t="shared" si="320"/>
        <v>0</v>
      </c>
      <c r="GW96" s="938">
        <f t="shared" si="321"/>
        <v>0</v>
      </c>
      <c r="GX96" s="938">
        <f t="shared" si="322"/>
        <v>0</v>
      </c>
      <c r="GY96" s="938">
        <f t="shared" si="323"/>
        <v>0</v>
      </c>
      <c r="GZ96" s="938" t="str">
        <f t="shared" si="324"/>
        <v/>
      </c>
      <c r="HA96" s="713">
        <f>'min. Düngung 22'!BS97</f>
        <v>0</v>
      </c>
      <c r="HB96" s="938"/>
      <c r="HC96" s="938"/>
      <c r="HD96" s="938">
        <f t="shared" si="325"/>
        <v>0</v>
      </c>
      <c r="HE96" s="938">
        <f t="shared" si="326"/>
        <v>0</v>
      </c>
      <c r="HF96" s="938">
        <f t="shared" si="327"/>
        <v>0</v>
      </c>
      <c r="HG96" s="938">
        <f t="shared" si="328"/>
        <v>0</v>
      </c>
      <c r="HH96" s="938">
        <f t="shared" si="329"/>
        <v>0</v>
      </c>
      <c r="HI96" s="938" t="str">
        <f t="shared" si="330"/>
        <v/>
      </c>
      <c r="HJ96" s="713">
        <f>'min. Düngung 22'!BV97</f>
        <v>0</v>
      </c>
      <c r="HK96" s="938"/>
      <c r="HL96" s="938"/>
      <c r="HM96" s="938">
        <f t="shared" si="331"/>
        <v>0</v>
      </c>
      <c r="HN96" s="938">
        <f t="shared" si="332"/>
        <v>0</v>
      </c>
      <c r="HO96" s="938">
        <f t="shared" si="333"/>
        <v>0</v>
      </c>
      <c r="HP96" s="938">
        <f t="shared" si="334"/>
        <v>0</v>
      </c>
      <c r="HQ96" s="938">
        <f t="shared" si="335"/>
        <v>0</v>
      </c>
      <c r="HR96" s="938" t="str">
        <f t="shared" si="336"/>
        <v/>
      </c>
      <c r="HS96" s="713">
        <f>'min. Düngung 22'!BY97</f>
        <v>0</v>
      </c>
      <c r="HT96" s="938"/>
      <c r="HU96" s="938"/>
      <c r="HV96" s="938">
        <f t="shared" si="337"/>
        <v>0</v>
      </c>
      <c r="HW96" s="938">
        <f t="shared" si="338"/>
        <v>0</v>
      </c>
      <c r="HX96" s="938">
        <f t="shared" si="339"/>
        <v>0</v>
      </c>
      <c r="HY96" s="938">
        <f t="shared" si="340"/>
        <v>0</v>
      </c>
      <c r="HZ96" s="938">
        <f t="shared" si="341"/>
        <v>0</v>
      </c>
      <c r="IA96" s="938" t="str">
        <f t="shared" si="342"/>
        <v/>
      </c>
      <c r="IB96" s="713">
        <f>'min. Düngung 22'!CB97</f>
        <v>0</v>
      </c>
      <c r="IC96" s="938"/>
      <c r="ID96" s="938"/>
      <c r="IE96" s="938">
        <f t="shared" si="343"/>
        <v>0</v>
      </c>
      <c r="IF96" s="938">
        <f t="shared" si="344"/>
        <v>0</v>
      </c>
      <c r="IG96" s="938">
        <f t="shared" si="345"/>
        <v>0</v>
      </c>
      <c r="IH96" s="938">
        <f t="shared" si="346"/>
        <v>0</v>
      </c>
      <c r="II96" s="938">
        <f t="shared" si="347"/>
        <v>0</v>
      </c>
      <c r="IJ96" s="938" t="str">
        <f t="shared" si="348"/>
        <v/>
      </c>
      <c r="IK96" s="713">
        <f>'min. Düngung 22'!CE97</f>
        <v>0</v>
      </c>
      <c r="IL96" s="938"/>
      <c r="IM96" s="938"/>
      <c r="IN96" s="938">
        <f t="shared" si="349"/>
        <v>0</v>
      </c>
      <c r="IO96" s="938">
        <f t="shared" si="350"/>
        <v>0</v>
      </c>
      <c r="IP96" s="938">
        <f t="shared" si="351"/>
        <v>0</v>
      </c>
      <c r="IQ96" s="938">
        <f t="shared" si="352"/>
        <v>0</v>
      </c>
      <c r="IR96" s="938">
        <f t="shared" si="353"/>
        <v>0</v>
      </c>
      <c r="IS96" s="938" t="str">
        <f t="shared" si="354"/>
        <v/>
      </c>
      <c r="IT96" s="713">
        <f>'min. Düngung 22'!CH97</f>
        <v>0</v>
      </c>
      <c r="IU96" s="938"/>
      <c r="IV96" s="938"/>
      <c r="IW96" s="938">
        <f t="shared" si="355"/>
        <v>0</v>
      </c>
      <c r="IX96" s="938">
        <f t="shared" si="356"/>
        <v>0</v>
      </c>
      <c r="IY96" s="938">
        <f t="shared" si="357"/>
        <v>0</v>
      </c>
      <c r="IZ96" s="938">
        <f t="shared" si="358"/>
        <v>0</v>
      </c>
      <c r="JA96" s="938">
        <f t="shared" si="359"/>
        <v>0</v>
      </c>
      <c r="JB96" s="938" t="str">
        <f t="shared" si="360"/>
        <v/>
      </c>
      <c r="JC96" s="713">
        <f>'min. Düngung 22'!CK97</f>
        <v>0</v>
      </c>
      <c r="JD96" s="938"/>
      <c r="JE96" s="938"/>
      <c r="JF96" s="938">
        <f t="shared" si="361"/>
        <v>0</v>
      </c>
      <c r="JG96" s="938">
        <f t="shared" si="362"/>
        <v>0</v>
      </c>
      <c r="JH96" s="938">
        <f t="shared" si="363"/>
        <v>0</v>
      </c>
      <c r="JI96" s="938">
        <f t="shared" si="364"/>
        <v>0</v>
      </c>
      <c r="JJ96" s="938">
        <f t="shared" si="365"/>
        <v>0</v>
      </c>
      <c r="JK96" s="938" t="str">
        <f t="shared" si="366"/>
        <v/>
      </c>
      <c r="JL96" s="713">
        <f>'min. Düngung 22'!CN97</f>
        <v>0</v>
      </c>
      <c r="JM96" s="938"/>
      <c r="JN96" s="938"/>
      <c r="JO96" s="938">
        <f t="shared" si="367"/>
        <v>0</v>
      </c>
      <c r="JP96" s="938">
        <f t="shared" si="368"/>
        <v>0</v>
      </c>
      <c r="JQ96" s="938">
        <f t="shared" si="369"/>
        <v>0</v>
      </c>
      <c r="JR96" s="938">
        <f t="shared" si="370"/>
        <v>0</v>
      </c>
      <c r="JS96" s="938">
        <f t="shared" si="371"/>
        <v>0</v>
      </c>
      <c r="JT96" s="938" t="str">
        <f t="shared" si="372"/>
        <v/>
      </c>
      <c r="JU96" s="713">
        <f>'min. Düngung 22'!CQ97</f>
        <v>0</v>
      </c>
      <c r="JV96" s="938"/>
      <c r="JW96" s="938"/>
      <c r="JX96" s="938">
        <f t="shared" si="373"/>
        <v>0</v>
      </c>
      <c r="JY96" s="938">
        <f t="shared" si="374"/>
        <v>0</v>
      </c>
      <c r="JZ96" s="938">
        <f t="shared" si="375"/>
        <v>0</v>
      </c>
      <c r="KA96" s="938">
        <f t="shared" si="376"/>
        <v>0</v>
      </c>
      <c r="KB96" s="938">
        <f t="shared" si="377"/>
        <v>0</v>
      </c>
      <c r="KC96" s="938" t="str">
        <f t="shared" si="378"/>
        <v/>
      </c>
      <c r="KE96" s="938"/>
      <c r="KF96" s="938" t="str">
        <f>IF(AND($F96=2,$G96=1),"",IF(OR($Q96&gt;0,$O96&gt;60),$KF$7,IF(I96=70,"",IF(AND(I96=80,R96+'#orgDung'!AC99&lt;60,K96=1,OR(C96=2,'#BerechnungDBE'!AH90=4)),"",IF(R96&gt;0,$KF$7,"")))))</f>
        <v/>
      </c>
      <c r="KG96" s="938" t="str">
        <f>IF(AND(P96&gt;'#BerechnungDBE'!BJ90,P96&gt;0),'#minDung'!$KG$7,"")</f>
        <v/>
      </c>
      <c r="KH96" s="938" t="str">
        <f>IF(AND(I96=70,R96&gt;'#BerechnungDBE'!CR90),'#minDung'!$KH$7,"")</f>
        <v/>
      </c>
      <c r="KI96" s="938" t="str">
        <f>IF('#BerechnungDBE'!P90&lt;4,"",IF(AND('#BerechnungDBE'!BZ90&gt;0,N96&gt;0),$KI$7,""))</f>
        <v/>
      </c>
      <c r="KJ96" s="938" t="str">
        <f t="shared" si="197"/>
        <v/>
      </c>
    </row>
    <row r="97" spans="1:296" s="875" customFormat="1" hidden="1" x14ac:dyDescent="0.2">
      <c r="A97" s="875">
        <f>'Flächen u. Kulturen'!A96</f>
        <v>87</v>
      </c>
      <c r="B97" s="734">
        <f>'#BerechnungDBE'!L91</f>
        <v>0</v>
      </c>
      <c r="C97" s="46">
        <f>'#orgDung'!C100</f>
        <v>1</v>
      </c>
      <c r="D97" s="875">
        <f>'#BerechnungDBE'!T91</f>
        <v>2</v>
      </c>
      <c r="E97" s="875" t="str">
        <f>'Flächen u. Kulturen'!E96</f>
        <v>x</v>
      </c>
      <c r="F97" s="52">
        <f>'#BerechnungDBE'!N91</f>
        <v>1</v>
      </c>
      <c r="G97" s="52">
        <f>'#BerechnungDBE'!O91</f>
        <v>1</v>
      </c>
      <c r="H97" s="505">
        <f>'#orgDung'!J100</f>
        <v>2</v>
      </c>
      <c r="I97" s="875">
        <f>'#BerechnungDBE'!AF91</f>
        <v>0</v>
      </c>
      <c r="J97" s="875">
        <f>'#orgDung'!M100</f>
        <v>0</v>
      </c>
      <c r="K97" s="875">
        <f>'#BerechnungDBE'!AG91</f>
        <v>0</v>
      </c>
      <c r="M97" s="875">
        <f t="shared" si="192"/>
        <v>0</v>
      </c>
      <c r="N97" s="875">
        <f t="shared" si="193"/>
        <v>0</v>
      </c>
      <c r="O97" s="875">
        <f t="shared" si="194"/>
        <v>0</v>
      </c>
      <c r="P97" s="875">
        <f t="shared" si="195"/>
        <v>0</v>
      </c>
      <c r="Q97" s="938">
        <f t="shared" si="198"/>
        <v>0</v>
      </c>
      <c r="R97" s="875">
        <f t="shared" si="196"/>
        <v>0</v>
      </c>
      <c r="T97" s="713">
        <f>'min. Düngung 22'!H98</f>
        <v>0</v>
      </c>
      <c r="W97" s="875">
        <f t="shared" si="199"/>
        <v>0</v>
      </c>
      <c r="X97" s="875">
        <f t="shared" si="200"/>
        <v>0</v>
      </c>
      <c r="Y97" s="875">
        <f t="shared" si="201"/>
        <v>0</v>
      </c>
      <c r="Z97" s="875">
        <f t="shared" si="202"/>
        <v>0</v>
      </c>
      <c r="AA97" s="875">
        <f t="shared" si="203"/>
        <v>0</v>
      </c>
      <c r="AB97" s="875" t="str">
        <f t="shared" si="204"/>
        <v/>
      </c>
      <c r="AC97" s="713">
        <f>'min. Düngung 22'!K98</f>
        <v>0</v>
      </c>
      <c r="AD97" s="938"/>
      <c r="AE97" s="938"/>
      <c r="AF97" s="938">
        <f t="shared" si="205"/>
        <v>0</v>
      </c>
      <c r="AG97" s="938">
        <f t="shared" si="206"/>
        <v>0</v>
      </c>
      <c r="AH97" s="938">
        <f t="shared" si="207"/>
        <v>0</v>
      </c>
      <c r="AI97" s="938">
        <f t="shared" si="208"/>
        <v>0</v>
      </c>
      <c r="AJ97" s="938">
        <f t="shared" si="209"/>
        <v>0</v>
      </c>
      <c r="AK97" s="938">
        <f t="shared" si="210"/>
        <v>0</v>
      </c>
      <c r="AL97" s="713">
        <f>'min. Düngung 22'!N98</f>
        <v>0</v>
      </c>
      <c r="AM97" s="938"/>
      <c r="AN97" s="938"/>
      <c r="AO97" s="938">
        <f t="shared" si="211"/>
        <v>0</v>
      </c>
      <c r="AP97" s="938">
        <f t="shared" si="212"/>
        <v>0</v>
      </c>
      <c r="AQ97" s="938">
        <f t="shared" si="213"/>
        <v>0</v>
      </c>
      <c r="AR97" s="938">
        <f t="shared" si="214"/>
        <v>0</v>
      </c>
      <c r="AS97" s="938">
        <f t="shared" si="215"/>
        <v>0</v>
      </c>
      <c r="AT97" s="938" t="str">
        <f t="shared" si="216"/>
        <v/>
      </c>
      <c r="AU97" s="713">
        <f>'min. Düngung 22'!Q98</f>
        <v>0</v>
      </c>
      <c r="AV97" s="938"/>
      <c r="AW97" s="938"/>
      <c r="AX97" s="938">
        <f t="shared" si="217"/>
        <v>0</v>
      </c>
      <c r="AY97" s="938">
        <f t="shared" si="218"/>
        <v>0</v>
      </c>
      <c r="AZ97" s="938">
        <f t="shared" si="219"/>
        <v>0</v>
      </c>
      <c r="BA97" s="938">
        <f t="shared" si="220"/>
        <v>0</v>
      </c>
      <c r="BB97" s="938">
        <f t="shared" si="221"/>
        <v>0</v>
      </c>
      <c r="BC97" s="938" t="str">
        <f t="shared" si="222"/>
        <v/>
      </c>
      <c r="BD97" s="713">
        <f>'min. Düngung 22'!T98</f>
        <v>0</v>
      </c>
      <c r="BE97" s="938"/>
      <c r="BF97" s="938"/>
      <c r="BG97" s="938">
        <f t="shared" si="223"/>
        <v>0</v>
      </c>
      <c r="BH97" s="938">
        <f t="shared" si="224"/>
        <v>0</v>
      </c>
      <c r="BI97" s="938">
        <f t="shared" si="225"/>
        <v>0</v>
      </c>
      <c r="BJ97" s="938">
        <f t="shared" si="226"/>
        <v>0</v>
      </c>
      <c r="BK97" s="938">
        <f t="shared" si="227"/>
        <v>0</v>
      </c>
      <c r="BL97" s="938" t="str">
        <f t="shared" si="228"/>
        <v/>
      </c>
      <c r="BM97" s="713">
        <f>'min. Düngung 22'!W98</f>
        <v>0</v>
      </c>
      <c r="BN97" s="938"/>
      <c r="BO97" s="938"/>
      <c r="BP97" s="938">
        <f t="shared" si="229"/>
        <v>0</v>
      </c>
      <c r="BQ97" s="938">
        <f t="shared" si="230"/>
        <v>0</v>
      </c>
      <c r="BR97" s="938">
        <f t="shared" si="231"/>
        <v>0</v>
      </c>
      <c r="BS97" s="938">
        <f t="shared" si="232"/>
        <v>0</v>
      </c>
      <c r="BT97" s="938">
        <f t="shared" si="233"/>
        <v>0</v>
      </c>
      <c r="BU97" s="938" t="str">
        <f t="shared" si="234"/>
        <v/>
      </c>
      <c r="BV97" s="713">
        <f>'min. Düngung 22'!Z98</f>
        <v>0</v>
      </c>
      <c r="BW97" s="938"/>
      <c r="BX97" s="938"/>
      <c r="BY97" s="938">
        <f t="shared" si="235"/>
        <v>0</v>
      </c>
      <c r="BZ97" s="938">
        <f t="shared" si="236"/>
        <v>0</v>
      </c>
      <c r="CA97" s="938">
        <f t="shared" si="237"/>
        <v>0</v>
      </c>
      <c r="CB97" s="938">
        <f t="shared" si="238"/>
        <v>0</v>
      </c>
      <c r="CC97" s="938">
        <f t="shared" si="239"/>
        <v>0</v>
      </c>
      <c r="CD97" s="938" t="str">
        <f t="shared" si="240"/>
        <v/>
      </c>
      <c r="CE97" s="713">
        <f>'min. Düngung 22'!AC98</f>
        <v>0</v>
      </c>
      <c r="CF97" s="938"/>
      <c r="CG97" s="938"/>
      <c r="CH97" s="938">
        <f t="shared" si="241"/>
        <v>0</v>
      </c>
      <c r="CI97" s="938">
        <f t="shared" si="242"/>
        <v>0</v>
      </c>
      <c r="CJ97" s="938">
        <f t="shared" si="243"/>
        <v>0</v>
      </c>
      <c r="CK97" s="938">
        <f t="shared" si="244"/>
        <v>0</v>
      </c>
      <c r="CL97" s="938">
        <f t="shared" si="245"/>
        <v>0</v>
      </c>
      <c r="CM97" s="938" t="str">
        <f t="shared" si="246"/>
        <v/>
      </c>
      <c r="CN97" s="713">
        <f>'min. Düngung 22'!AF98</f>
        <v>0</v>
      </c>
      <c r="CO97" s="938"/>
      <c r="CP97" s="938"/>
      <c r="CQ97" s="938">
        <f t="shared" si="247"/>
        <v>0</v>
      </c>
      <c r="CR97" s="938">
        <f t="shared" si="248"/>
        <v>0</v>
      </c>
      <c r="CS97" s="938">
        <f t="shared" si="249"/>
        <v>0</v>
      </c>
      <c r="CT97" s="938">
        <f t="shared" si="250"/>
        <v>0</v>
      </c>
      <c r="CU97" s="938">
        <f t="shared" si="251"/>
        <v>0</v>
      </c>
      <c r="CV97" s="938" t="str">
        <f t="shared" si="252"/>
        <v/>
      </c>
      <c r="CW97" s="713">
        <f>'min. Düngung 22'!AI98</f>
        <v>0</v>
      </c>
      <c r="CX97" s="938"/>
      <c r="CY97" s="938"/>
      <c r="CZ97" s="938">
        <f t="shared" si="253"/>
        <v>0</v>
      </c>
      <c r="DA97" s="938">
        <f t="shared" si="254"/>
        <v>0</v>
      </c>
      <c r="DB97" s="938">
        <f t="shared" si="255"/>
        <v>0</v>
      </c>
      <c r="DC97" s="938">
        <f t="shared" si="256"/>
        <v>0</v>
      </c>
      <c r="DD97" s="938">
        <f t="shared" si="257"/>
        <v>0</v>
      </c>
      <c r="DE97" s="938" t="str">
        <f t="shared" si="258"/>
        <v/>
      </c>
      <c r="DF97" s="713">
        <f>'min. Düngung 22'!AL98</f>
        <v>0</v>
      </c>
      <c r="DG97" s="938"/>
      <c r="DH97" s="938"/>
      <c r="DI97" s="938">
        <f t="shared" si="259"/>
        <v>0</v>
      </c>
      <c r="DJ97" s="938">
        <f t="shared" si="260"/>
        <v>0</v>
      </c>
      <c r="DK97" s="938">
        <f t="shared" si="261"/>
        <v>0</v>
      </c>
      <c r="DL97" s="938">
        <f t="shared" si="262"/>
        <v>0</v>
      </c>
      <c r="DM97" s="938">
        <f t="shared" si="263"/>
        <v>0</v>
      </c>
      <c r="DN97" s="938" t="str">
        <f t="shared" si="264"/>
        <v/>
      </c>
      <c r="DO97" s="713">
        <f>'min. Düngung 22'!AO98</f>
        <v>0</v>
      </c>
      <c r="DP97" s="938"/>
      <c r="DQ97" s="938"/>
      <c r="DR97" s="938">
        <f t="shared" si="265"/>
        <v>0</v>
      </c>
      <c r="DS97" s="938">
        <f t="shared" si="266"/>
        <v>0</v>
      </c>
      <c r="DT97" s="938">
        <f t="shared" si="267"/>
        <v>0</v>
      </c>
      <c r="DU97" s="938">
        <f t="shared" si="268"/>
        <v>0</v>
      </c>
      <c r="DV97" s="938">
        <f t="shared" si="269"/>
        <v>0</v>
      </c>
      <c r="DW97" s="938" t="str">
        <f t="shared" si="270"/>
        <v/>
      </c>
      <c r="DX97" s="713">
        <f>'min. Düngung 22'!AR98</f>
        <v>0</v>
      </c>
      <c r="DY97" s="938"/>
      <c r="DZ97" s="938"/>
      <c r="EA97" s="938">
        <f t="shared" si="271"/>
        <v>0</v>
      </c>
      <c r="EB97" s="938">
        <f t="shared" si="272"/>
        <v>0</v>
      </c>
      <c r="EC97" s="938">
        <f t="shared" si="273"/>
        <v>0</v>
      </c>
      <c r="ED97" s="938">
        <f t="shared" si="274"/>
        <v>0</v>
      </c>
      <c r="EE97" s="938">
        <f t="shared" si="275"/>
        <v>0</v>
      </c>
      <c r="EF97" s="938" t="str">
        <f t="shared" si="276"/>
        <v/>
      </c>
      <c r="EG97" s="713">
        <f>'min. Düngung 22'!AU98</f>
        <v>0</v>
      </c>
      <c r="EH97" s="938"/>
      <c r="EI97" s="938"/>
      <c r="EJ97" s="938">
        <f t="shared" si="277"/>
        <v>0</v>
      </c>
      <c r="EK97" s="938">
        <f t="shared" si="278"/>
        <v>0</v>
      </c>
      <c r="EL97" s="938">
        <f t="shared" si="279"/>
        <v>0</v>
      </c>
      <c r="EM97" s="938">
        <f t="shared" si="280"/>
        <v>0</v>
      </c>
      <c r="EN97" s="938">
        <f t="shared" si="281"/>
        <v>0</v>
      </c>
      <c r="EO97" s="938" t="str">
        <f t="shared" si="282"/>
        <v/>
      </c>
      <c r="EP97" s="713">
        <f>'min. Düngung 22'!AX98</f>
        <v>0</v>
      </c>
      <c r="EQ97" s="938"/>
      <c r="ER97" s="938"/>
      <c r="ES97" s="938">
        <f t="shared" si="283"/>
        <v>0</v>
      </c>
      <c r="ET97" s="938">
        <f t="shared" si="284"/>
        <v>0</v>
      </c>
      <c r="EU97" s="938">
        <f t="shared" si="285"/>
        <v>0</v>
      </c>
      <c r="EV97" s="938">
        <f t="shared" si="286"/>
        <v>0</v>
      </c>
      <c r="EW97" s="938">
        <f t="shared" si="287"/>
        <v>0</v>
      </c>
      <c r="EX97" s="938" t="str">
        <f t="shared" si="288"/>
        <v/>
      </c>
      <c r="EY97" s="713">
        <f>'min. Düngung 22'!BA98</f>
        <v>0</v>
      </c>
      <c r="EZ97" s="938"/>
      <c r="FA97" s="938"/>
      <c r="FB97" s="938">
        <f t="shared" si="289"/>
        <v>0</v>
      </c>
      <c r="FC97" s="938">
        <f t="shared" si="290"/>
        <v>0</v>
      </c>
      <c r="FD97" s="938">
        <f t="shared" si="291"/>
        <v>0</v>
      </c>
      <c r="FE97" s="938">
        <f t="shared" si="292"/>
        <v>0</v>
      </c>
      <c r="FF97" s="938">
        <f t="shared" si="293"/>
        <v>0</v>
      </c>
      <c r="FG97" s="938" t="str">
        <f t="shared" si="294"/>
        <v/>
      </c>
      <c r="FH97" s="713">
        <f>'min. Düngung 22'!BD98</f>
        <v>0</v>
      </c>
      <c r="FI97" s="938"/>
      <c r="FJ97" s="938"/>
      <c r="FK97" s="938">
        <f t="shared" si="295"/>
        <v>0</v>
      </c>
      <c r="FL97" s="938">
        <f t="shared" si="296"/>
        <v>0</v>
      </c>
      <c r="FM97" s="938">
        <f t="shared" si="297"/>
        <v>0</v>
      </c>
      <c r="FN97" s="938">
        <f t="shared" si="298"/>
        <v>0</v>
      </c>
      <c r="FO97" s="938">
        <f t="shared" si="299"/>
        <v>0</v>
      </c>
      <c r="FP97" s="938" t="str">
        <f t="shared" si="300"/>
        <v/>
      </c>
      <c r="FQ97" s="713">
        <f>'min. Düngung 22'!BG98</f>
        <v>0</v>
      </c>
      <c r="FR97" s="938"/>
      <c r="FS97" s="938"/>
      <c r="FT97" s="938">
        <f t="shared" si="301"/>
        <v>0</v>
      </c>
      <c r="FU97" s="938">
        <f t="shared" si="302"/>
        <v>0</v>
      </c>
      <c r="FV97" s="938">
        <f t="shared" si="303"/>
        <v>0</v>
      </c>
      <c r="FW97" s="938">
        <f t="shared" si="304"/>
        <v>0</v>
      </c>
      <c r="FX97" s="938">
        <f t="shared" si="305"/>
        <v>0</v>
      </c>
      <c r="FY97" s="938" t="str">
        <f t="shared" si="306"/>
        <v/>
      </c>
      <c r="FZ97" s="713">
        <f>'min. Düngung 22'!BJ98</f>
        <v>0</v>
      </c>
      <c r="GA97" s="938"/>
      <c r="GB97" s="938"/>
      <c r="GC97" s="938">
        <f t="shared" si="307"/>
        <v>0</v>
      </c>
      <c r="GD97" s="938">
        <f t="shared" si="308"/>
        <v>0</v>
      </c>
      <c r="GE97" s="938">
        <f t="shared" si="309"/>
        <v>0</v>
      </c>
      <c r="GF97" s="938">
        <f t="shared" si="310"/>
        <v>0</v>
      </c>
      <c r="GG97" s="938">
        <f t="shared" si="311"/>
        <v>0</v>
      </c>
      <c r="GH97" s="938" t="str">
        <f t="shared" si="312"/>
        <v/>
      </c>
      <c r="GI97" s="713">
        <f>'min. Düngung 22'!BM98</f>
        <v>0</v>
      </c>
      <c r="GJ97" s="938"/>
      <c r="GK97" s="938"/>
      <c r="GL97" s="938">
        <f t="shared" si="313"/>
        <v>0</v>
      </c>
      <c r="GM97" s="938">
        <f t="shared" si="314"/>
        <v>0</v>
      </c>
      <c r="GN97" s="938">
        <f t="shared" si="315"/>
        <v>0</v>
      </c>
      <c r="GO97" s="938">
        <f t="shared" si="316"/>
        <v>0</v>
      </c>
      <c r="GP97" s="938">
        <f t="shared" si="317"/>
        <v>0</v>
      </c>
      <c r="GQ97" s="938" t="str">
        <f t="shared" si="318"/>
        <v/>
      </c>
      <c r="GR97" s="713">
        <f>'min. Düngung 22'!BP98</f>
        <v>0</v>
      </c>
      <c r="GS97" s="938"/>
      <c r="GT97" s="938"/>
      <c r="GU97" s="938">
        <f t="shared" si="319"/>
        <v>0</v>
      </c>
      <c r="GV97" s="938">
        <f t="shared" si="320"/>
        <v>0</v>
      </c>
      <c r="GW97" s="938">
        <f t="shared" si="321"/>
        <v>0</v>
      </c>
      <c r="GX97" s="938">
        <f t="shared" si="322"/>
        <v>0</v>
      </c>
      <c r="GY97" s="938">
        <f t="shared" si="323"/>
        <v>0</v>
      </c>
      <c r="GZ97" s="938" t="str">
        <f t="shared" si="324"/>
        <v/>
      </c>
      <c r="HA97" s="713">
        <f>'min. Düngung 22'!BS98</f>
        <v>0</v>
      </c>
      <c r="HB97" s="938"/>
      <c r="HC97" s="938"/>
      <c r="HD97" s="938">
        <f t="shared" si="325"/>
        <v>0</v>
      </c>
      <c r="HE97" s="938">
        <f t="shared" si="326"/>
        <v>0</v>
      </c>
      <c r="HF97" s="938">
        <f t="shared" si="327"/>
        <v>0</v>
      </c>
      <c r="HG97" s="938">
        <f t="shared" si="328"/>
        <v>0</v>
      </c>
      <c r="HH97" s="938">
        <f t="shared" si="329"/>
        <v>0</v>
      </c>
      <c r="HI97" s="938" t="str">
        <f t="shared" si="330"/>
        <v/>
      </c>
      <c r="HJ97" s="713">
        <f>'min. Düngung 22'!BV98</f>
        <v>0</v>
      </c>
      <c r="HK97" s="938"/>
      <c r="HL97" s="938"/>
      <c r="HM97" s="938">
        <f t="shared" si="331"/>
        <v>0</v>
      </c>
      <c r="HN97" s="938">
        <f t="shared" si="332"/>
        <v>0</v>
      </c>
      <c r="HO97" s="938">
        <f t="shared" si="333"/>
        <v>0</v>
      </c>
      <c r="HP97" s="938">
        <f t="shared" si="334"/>
        <v>0</v>
      </c>
      <c r="HQ97" s="938">
        <f t="shared" si="335"/>
        <v>0</v>
      </c>
      <c r="HR97" s="938" t="str">
        <f t="shared" si="336"/>
        <v/>
      </c>
      <c r="HS97" s="713">
        <f>'min. Düngung 22'!BY98</f>
        <v>0</v>
      </c>
      <c r="HT97" s="938"/>
      <c r="HU97" s="938"/>
      <c r="HV97" s="938">
        <f t="shared" si="337"/>
        <v>0</v>
      </c>
      <c r="HW97" s="938">
        <f t="shared" si="338"/>
        <v>0</v>
      </c>
      <c r="HX97" s="938">
        <f t="shared" si="339"/>
        <v>0</v>
      </c>
      <c r="HY97" s="938">
        <f t="shared" si="340"/>
        <v>0</v>
      </c>
      <c r="HZ97" s="938">
        <f t="shared" si="341"/>
        <v>0</v>
      </c>
      <c r="IA97" s="938" t="str">
        <f t="shared" si="342"/>
        <v/>
      </c>
      <c r="IB97" s="713">
        <f>'min. Düngung 22'!CB98</f>
        <v>0</v>
      </c>
      <c r="IC97" s="938"/>
      <c r="ID97" s="938"/>
      <c r="IE97" s="938">
        <f t="shared" si="343"/>
        <v>0</v>
      </c>
      <c r="IF97" s="938">
        <f t="shared" si="344"/>
        <v>0</v>
      </c>
      <c r="IG97" s="938">
        <f t="shared" si="345"/>
        <v>0</v>
      </c>
      <c r="IH97" s="938">
        <f t="shared" si="346"/>
        <v>0</v>
      </c>
      <c r="II97" s="938">
        <f t="shared" si="347"/>
        <v>0</v>
      </c>
      <c r="IJ97" s="938" t="str">
        <f t="shared" si="348"/>
        <v/>
      </c>
      <c r="IK97" s="713">
        <f>'min. Düngung 22'!CE98</f>
        <v>0</v>
      </c>
      <c r="IL97" s="938"/>
      <c r="IM97" s="938"/>
      <c r="IN97" s="938">
        <f t="shared" si="349"/>
        <v>0</v>
      </c>
      <c r="IO97" s="938">
        <f t="shared" si="350"/>
        <v>0</v>
      </c>
      <c r="IP97" s="938">
        <f t="shared" si="351"/>
        <v>0</v>
      </c>
      <c r="IQ97" s="938">
        <f t="shared" si="352"/>
        <v>0</v>
      </c>
      <c r="IR97" s="938">
        <f t="shared" si="353"/>
        <v>0</v>
      </c>
      <c r="IS97" s="938" t="str">
        <f t="shared" si="354"/>
        <v/>
      </c>
      <c r="IT97" s="713">
        <f>'min. Düngung 22'!CH98</f>
        <v>0</v>
      </c>
      <c r="IU97" s="938"/>
      <c r="IV97" s="938"/>
      <c r="IW97" s="938">
        <f t="shared" si="355"/>
        <v>0</v>
      </c>
      <c r="IX97" s="938">
        <f t="shared" si="356"/>
        <v>0</v>
      </c>
      <c r="IY97" s="938">
        <f t="shared" si="357"/>
        <v>0</v>
      </c>
      <c r="IZ97" s="938">
        <f t="shared" si="358"/>
        <v>0</v>
      </c>
      <c r="JA97" s="938">
        <f t="shared" si="359"/>
        <v>0</v>
      </c>
      <c r="JB97" s="938" t="str">
        <f t="shared" si="360"/>
        <v/>
      </c>
      <c r="JC97" s="713">
        <f>'min. Düngung 22'!CK98</f>
        <v>0</v>
      </c>
      <c r="JD97" s="938"/>
      <c r="JE97" s="938"/>
      <c r="JF97" s="938">
        <f t="shared" si="361"/>
        <v>0</v>
      </c>
      <c r="JG97" s="938">
        <f t="shared" si="362"/>
        <v>0</v>
      </c>
      <c r="JH97" s="938">
        <f t="shared" si="363"/>
        <v>0</v>
      </c>
      <c r="JI97" s="938">
        <f t="shared" si="364"/>
        <v>0</v>
      </c>
      <c r="JJ97" s="938">
        <f t="shared" si="365"/>
        <v>0</v>
      </c>
      <c r="JK97" s="938" t="str">
        <f t="shared" si="366"/>
        <v/>
      </c>
      <c r="JL97" s="713">
        <f>'min. Düngung 22'!CN98</f>
        <v>0</v>
      </c>
      <c r="JM97" s="938"/>
      <c r="JN97" s="938"/>
      <c r="JO97" s="938">
        <f t="shared" si="367"/>
        <v>0</v>
      </c>
      <c r="JP97" s="938">
        <f t="shared" si="368"/>
        <v>0</v>
      </c>
      <c r="JQ97" s="938">
        <f t="shared" si="369"/>
        <v>0</v>
      </c>
      <c r="JR97" s="938">
        <f t="shared" si="370"/>
        <v>0</v>
      </c>
      <c r="JS97" s="938">
        <f t="shared" si="371"/>
        <v>0</v>
      </c>
      <c r="JT97" s="938" t="str">
        <f t="shared" si="372"/>
        <v/>
      </c>
      <c r="JU97" s="713">
        <f>'min. Düngung 22'!CQ98</f>
        <v>0</v>
      </c>
      <c r="JV97" s="938"/>
      <c r="JW97" s="938"/>
      <c r="JX97" s="938">
        <f t="shared" si="373"/>
        <v>0</v>
      </c>
      <c r="JY97" s="938">
        <f t="shared" si="374"/>
        <v>0</v>
      </c>
      <c r="JZ97" s="938">
        <f t="shared" si="375"/>
        <v>0</v>
      </c>
      <c r="KA97" s="938">
        <f t="shared" si="376"/>
        <v>0</v>
      </c>
      <c r="KB97" s="938">
        <f t="shared" si="377"/>
        <v>0</v>
      </c>
      <c r="KC97" s="938" t="str">
        <f t="shared" si="378"/>
        <v/>
      </c>
      <c r="KE97" s="938"/>
      <c r="KF97" s="938" t="str">
        <f>IF(AND($F97=2,$G97=1),"",IF(OR($Q97&gt;0,$O97&gt;60),$KF$7,IF(I97=70,"",IF(AND(I97=80,R97+'#orgDung'!AC100&lt;60,K97=1,OR(C97=2,'#BerechnungDBE'!AH91=4)),"",IF(R97&gt;0,$KF$7,"")))))</f>
        <v/>
      </c>
      <c r="KG97" s="938" t="str">
        <f>IF(AND(P97&gt;'#BerechnungDBE'!BJ91,P97&gt;0),'#minDung'!$KG$7,"")</f>
        <v/>
      </c>
      <c r="KH97" s="938" t="str">
        <f>IF(AND(I97=70,R97&gt;'#BerechnungDBE'!CR91),'#minDung'!$KH$7,"")</f>
        <v/>
      </c>
      <c r="KI97" s="938" t="str">
        <f>IF('#BerechnungDBE'!P91&lt;4,"",IF(AND('#BerechnungDBE'!BZ91&gt;0,N97&gt;0),$KI$7,""))</f>
        <v/>
      </c>
      <c r="KJ97" s="938" t="str">
        <f t="shared" si="197"/>
        <v/>
      </c>
    </row>
    <row r="98" spans="1:296" s="875" customFormat="1" hidden="1" x14ac:dyDescent="0.2">
      <c r="A98" s="875">
        <f>'Flächen u. Kulturen'!A97</f>
        <v>88</v>
      </c>
      <c r="B98" s="734">
        <f>'#BerechnungDBE'!L92</f>
        <v>0</v>
      </c>
      <c r="C98" s="46">
        <f>'#orgDung'!C101</f>
        <v>1</v>
      </c>
      <c r="D98" s="875">
        <f>'#BerechnungDBE'!T92</f>
        <v>2</v>
      </c>
      <c r="E98" s="875" t="str">
        <f>'Flächen u. Kulturen'!E97</f>
        <v>x</v>
      </c>
      <c r="F98" s="52">
        <f>'#BerechnungDBE'!N92</f>
        <v>1</v>
      </c>
      <c r="G98" s="52">
        <f>'#BerechnungDBE'!O92</f>
        <v>1</v>
      </c>
      <c r="H98" s="505">
        <f>'#orgDung'!J101</f>
        <v>2</v>
      </c>
      <c r="I98" s="875">
        <f>'#BerechnungDBE'!AF92</f>
        <v>0</v>
      </c>
      <c r="J98" s="875">
        <f>'#orgDung'!M101</f>
        <v>0</v>
      </c>
      <c r="K98" s="875">
        <f>'#BerechnungDBE'!AG92</f>
        <v>0</v>
      </c>
      <c r="M98" s="875">
        <f t="shared" si="192"/>
        <v>0</v>
      </c>
      <c r="N98" s="875">
        <f t="shared" si="193"/>
        <v>0</v>
      </c>
      <c r="O98" s="875">
        <f t="shared" si="194"/>
        <v>0</v>
      </c>
      <c r="P98" s="875">
        <f t="shared" si="195"/>
        <v>0</v>
      </c>
      <c r="Q98" s="938">
        <f t="shared" si="198"/>
        <v>0</v>
      </c>
      <c r="R98" s="875">
        <f t="shared" si="196"/>
        <v>0</v>
      </c>
      <c r="T98" s="713">
        <f>'min. Düngung 22'!H99</f>
        <v>0</v>
      </c>
      <c r="W98" s="875">
        <f t="shared" si="199"/>
        <v>0</v>
      </c>
      <c r="X98" s="875">
        <f t="shared" si="200"/>
        <v>0</v>
      </c>
      <c r="Y98" s="875">
        <f t="shared" si="201"/>
        <v>0</v>
      </c>
      <c r="Z98" s="875">
        <f t="shared" si="202"/>
        <v>0</v>
      </c>
      <c r="AA98" s="875">
        <f t="shared" si="203"/>
        <v>0</v>
      </c>
      <c r="AB98" s="875" t="str">
        <f t="shared" si="204"/>
        <v/>
      </c>
      <c r="AC98" s="713">
        <f>'min. Düngung 22'!K99</f>
        <v>0</v>
      </c>
      <c r="AD98" s="938"/>
      <c r="AE98" s="938"/>
      <c r="AF98" s="938">
        <f t="shared" si="205"/>
        <v>0</v>
      </c>
      <c r="AG98" s="938">
        <f t="shared" si="206"/>
        <v>0</v>
      </c>
      <c r="AH98" s="938">
        <f t="shared" si="207"/>
        <v>0</v>
      </c>
      <c r="AI98" s="938">
        <f t="shared" si="208"/>
        <v>0</v>
      </c>
      <c r="AJ98" s="938">
        <f t="shared" si="209"/>
        <v>0</v>
      </c>
      <c r="AK98" s="938">
        <f t="shared" si="210"/>
        <v>0</v>
      </c>
      <c r="AL98" s="713">
        <f>'min. Düngung 22'!N99</f>
        <v>0</v>
      </c>
      <c r="AM98" s="938"/>
      <c r="AN98" s="938"/>
      <c r="AO98" s="938">
        <f t="shared" si="211"/>
        <v>0</v>
      </c>
      <c r="AP98" s="938">
        <f t="shared" si="212"/>
        <v>0</v>
      </c>
      <c r="AQ98" s="938">
        <f t="shared" si="213"/>
        <v>0</v>
      </c>
      <c r="AR98" s="938">
        <f t="shared" si="214"/>
        <v>0</v>
      </c>
      <c r="AS98" s="938">
        <f t="shared" si="215"/>
        <v>0</v>
      </c>
      <c r="AT98" s="938" t="str">
        <f t="shared" si="216"/>
        <v/>
      </c>
      <c r="AU98" s="713">
        <f>'min. Düngung 22'!Q99</f>
        <v>0</v>
      </c>
      <c r="AV98" s="938"/>
      <c r="AW98" s="938"/>
      <c r="AX98" s="938">
        <f t="shared" si="217"/>
        <v>0</v>
      </c>
      <c r="AY98" s="938">
        <f t="shared" si="218"/>
        <v>0</v>
      </c>
      <c r="AZ98" s="938">
        <f t="shared" si="219"/>
        <v>0</v>
      </c>
      <c r="BA98" s="938">
        <f t="shared" si="220"/>
        <v>0</v>
      </c>
      <c r="BB98" s="938">
        <f t="shared" si="221"/>
        <v>0</v>
      </c>
      <c r="BC98" s="938" t="str">
        <f t="shared" si="222"/>
        <v/>
      </c>
      <c r="BD98" s="713">
        <f>'min. Düngung 22'!T99</f>
        <v>0</v>
      </c>
      <c r="BE98" s="938"/>
      <c r="BF98" s="938"/>
      <c r="BG98" s="938">
        <f t="shared" si="223"/>
        <v>0</v>
      </c>
      <c r="BH98" s="938">
        <f t="shared" si="224"/>
        <v>0</v>
      </c>
      <c r="BI98" s="938">
        <f t="shared" si="225"/>
        <v>0</v>
      </c>
      <c r="BJ98" s="938">
        <f t="shared" si="226"/>
        <v>0</v>
      </c>
      <c r="BK98" s="938">
        <f t="shared" si="227"/>
        <v>0</v>
      </c>
      <c r="BL98" s="938" t="str">
        <f t="shared" si="228"/>
        <v/>
      </c>
      <c r="BM98" s="713">
        <f>'min. Düngung 22'!W99</f>
        <v>0</v>
      </c>
      <c r="BN98" s="938"/>
      <c r="BO98" s="938"/>
      <c r="BP98" s="938">
        <f t="shared" si="229"/>
        <v>0</v>
      </c>
      <c r="BQ98" s="938">
        <f t="shared" si="230"/>
        <v>0</v>
      </c>
      <c r="BR98" s="938">
        <f t="shared" si="231"/>
        <v>0</v>
      </c>
      <c r="BS98" s="938">
        <f t="shared" si="232"/>
        <v>0</v>
      </c>
      <c r="BT98" s="938">
        <f t="shared" si="233"/>
        <v>0</v>
      </c>
      <c r="BU98" s="938" t="str">
        <f t="shared" si="234"/>
        <v/>
      </c>
      <c r="BV98" s="713">
        <f>'min. Düngung 22'!Z99</f>
        <v>0</v>
      </c>
      <c r="BW98" s="938"/>
      <c r="BX98" s="938"/>
      <c r="BY98" s="938">
        <f t="shared" si="235"/>
        <v>0</v>
      </c>
      <c r="BZ98" s="938">
        <f t="shared" si="236"/>
        <v>0</v>
      </c>
      <c r="CA98" s="938">
        <f t="shared" si="237"/>
        <v>0</v>
      </c>
      <c r="CB98" s="938">
        <f t="shared" si="238"/>
        <v>0</v>
      </c>
      <c r="CC98" s="938">
        <f t="shared" si="239"/>
        <v>0</v>
      </c>
      <c r="CD98" s="938" t="str">
        <f t="shared" si="240"/>
        <v/>
      </c>
      <c r="CE98" s="713">
        <f>'min. Düngung 22'!AC99</f>
        <v>0</v>
      </c>
      <c r="CF98" s="938"/>
      <c r="CG98" s="938"/>
      <c r="CH98" s="938">
        <f t="shared" si="241"/>
        <v>0</v>
      </c>
      <c r="CI98" s="938">
        <f t="shared" si="242"/>
        <v>0</v>
      </c>
      <c r="CJ98" s="938">
        <f t="shared" si="243"/>
        <v>0</v>
      </c>
      <c r="CK98" s="938">
        <f t="shared" si="244"/>
        <v>0</v>
      </c>
      <c r="CL98" s="938">
        <f t="shared" si="245"/>
        <v>0</v>
      </c>
      <c r="CM98" s="938" t="str">
        <f t="shared" si="246"/>
        <v/>
      </c>
      <c r="CN98" s="713">
        <f>'min. Düngung 22'!AF99</f>
        <v>0</v>
      </c>
      <c r="CO98" s="938"/>
      <c r="CP98" s="938"/>
      <c r="CQ98" s="938">
        <f t="shared" si="247"/>
        <v>0</v>
      </c>
      <c r="CR98" s="938">
        <f t="shared" si="248"/>
        <v>0</v>
      </c>
      <c r="CS98" s="938">
        <f t="shared" si="249"/>
        <v>0</v>
      </c>
      <c r="CT98" s="938">
        <f t="shared" si="250"/>
        <v>0</v>
      </c>
      <c r="CU98" s="938">
        <f t="shared" si="251"/>
        <v>0</v>
      </c>
      <c r="CV98" s="938" t="str">
        <f t="shared" si="252"/>
        <v/>
      </c>
      <c r="CW98" s="713">
        <f>'min. Düngung 22'!AI99</f>
        <v>0</v>
      </c>
      <c r="CX98" s="938"/>
      <c r="CY98" s="938"/>
      <c r="CZ98" s="938">
        <f t="shared" si="253"/>
        <v>0</v>
      </c>
      <c r="DA98" s="938">
        <f t="shared" si="254"/>
        <v>0</v>
      </c>
      <c r="DB98" s="938">
        <f t="shared" si="255"/>
        <v>0</v>
      </c>
      <c r="DC98" s="938">
        <f t="shared" si="256"/>
        <v>0</v>
      </c>
      <c r="DD98" s="938">
        <f t="shared" si="257"/>
        <v>0</v>
      </c>
      <c r="DE98" s="938" t="str">
        <f t="shared" si="258"/>
        <v/>
      </c>
      <c r="DF98" s="713">
        <f>'min. Düngung 22'!AL99</f>
        <v>0</v>
      </c>
      <c r="DG98" s="938"/>
      <c r="DH98" s="938"/>
      <c r="DI98" s="938">
        <f t="shared" si="259"/>
        <v>0</v>
      </c>
      <c r="DJ98" s="938">
        <f t="shared" si="260"/>
        <v>0</v>
      </c>
      <c r="DK98" s="938">
        <f t="shared" si="261"/>
        <v>0</v>
      </c>
      <c r="DL98" s="938">
        <f t="shared" si="262"/>
        <v>0</v>
      </c>
      <c r="DM98" s="938">
        <f t="shared" si="263"/>
        <v>0</v>
      </c>
      <c r="DN98" s="938" t="str">
        <f t="shared" si="264"/>
        <v/>
      </c>
      <c r="DO98" s="713">
        <f>'min. Düngung 22'!AO99</f>
        <v>0</v>
      </c>
      <c r="DP98" s="938"/>
      <c r="DQ98" s="938"/>
      <c r="DR98" s="938">
        <f t="shared" si="265"/>
        <v>0</v>
      </c>
      <c r="DS98" s="938">
        <f t="shared" si="266"/>
        <v>0</v>
      </c>
      <c r="DT98" s="938">
        <f t="shared" si="267"/>
        <v>0</v>
      </c>
      <c r="DU98" s="938">
        <f t="shared" si="268"/>
        <v>0</v>
      </c>
      <c r="DV98" s="938">
        <f t="shared" si="269"/>
        <v>0</v>
      </c>
      <c r="DW98" s="938" t="str">
        <f t="shared" si="270"/>
        <v/>
      </c>
      <c r="DX98" s="713">
        <f>'min. Düngung 22'!AR99</f>
        <v>0</v>
      </c>
      <c r="DY98" s="938"/>
      <c r="DZ98" s="938"/>
      <c r="EA98" s="938">
        <f t="shared" si="271"/>
        <v>0</v>
      </c>
      <c r="EB98" s="938">
        <f t="shared" si="272"/>
        <v>0</v>
      </c>
      <c r="EC98" s="938">
        <f t="shared" si="273"/>
        <v>0</v>
      </c>
      <c r="ED98" s="938">
        <f t="shared" si="274"/>
        <v>0</v>
      </c>
      <c r="EE98" s="938">
        <f t="shared" si="275"/>
        <v>0</v>
      </c>
      <c r="EF98" s="938" t="str">
        <f t="shared" si="276"/>
        <v/>
      </c>
      <c r="EG98" s="713">
        <f>'min. Düngung 22'!AU99</f>
        <v>0</v>
      </c>
      <c r="EH98" s="938"/>
      <c r="EI98" s="938"/>
      <c r="EJ98" s="938">
        <f t="shared" si="277"/>
        <v>0</v>
      </c>
      <c r="EK98" s="938">
        <f t="shared" si="278"/>
        <v>0</v>
      </c>
      <c r="EL98" s="938">
        <f t="shared" si="279"/>
        <v>0</v>
      </c>
      <c r="EM98" s="938">
        <f t="shared" si="280"/>
        <v>0</v>
      </c>
      <c r="EN98" s="938">
        <f t="shared" si="281"/>
        <v>0</v>
      </c>
      <c r="EO98" s="938" t="str">
        <f t="shared" si="282"/>
        <v/>
      </c>
      <c r="EP98" s="713">
        <f>'min. Düngung 22'!AX99</f>
        <v>0</v>
      </c>
      <c r="EQ98" s="938"/>
      <c r="ER98" s="938"/>
      <c r="ES98" s="938">
        <f t="shared" si="283"/>
        <v>0</v>
      </c>
      <c r="ET98" s="938">
        <f t="shared" si="284"/>
        <v>0</v>
      </c>
      <c r="EU98" s="938">
        <f t="shared" si="285"/>
        <v>0</v>
      </c>
      <c r="EV98" s="938">
        <f t="shared" si="286"/>
        <v>0</v>
      </c>
      <c r="EW98" s="938">
        <f t="shared" si="287"/>
        <v>0</v>
      </c>
      <c r="EX98" s="938" t="str">
        <f t="shared" si="288"/>
        <v/>
      </c>
      <c r="EY98" s="713">
        <f>'min. Düngung 22'!BA99</f>
        <v>0</v>
      </c>
      <c r="EZ98" s="938"/>
      <c r="FA98" s="938"/>
      <c r="FB98" s="938">
        <f t="shared" si="289"/>
        <v>0</v>
      </c>
      <c r="FC98" s="938">
        <f t="shared" si="290"/>
        <v>0</v>
      </c>
      <c r="FD98" s="938">
        <f t="shared" si="291"/>
        <v>0</v>
      </c>
      <c r="FE98" s="938">
        <f t="shared" si="292"/>
        <v>0</v>
      </c>
      <c r="FF98" s="938">
        <f t="shared" si="293"/>
        <v>0</v>
      </c>
      <c r="FG98" s="938" t="str">
        <f t="shared" si="294"/>
        <v/>
      </c>
      <c r="FH98" s="713">
        <f>'min. Düngung 22'!BD99</f>
        <v>0</v>
      </c>
      <c r="FI98" s="938"/>
      <c r="FJ98" s="938"/>
      <c r="FK98" s="938">
        <f t="shared" si="295"/>
        <v>0</v>
      </c>
      <c r="FL98" s="938">
        <f t="shared" si="296"/>
        <v>0</v>
      </c>
      <c r="FM98" s="938">
        <f t="shared" si="297"/>
        <v>0</v>
      </c>
      <c r="FN98" s="938">
        <f t="shared" si="298"/>
        <v>0</v>
      </c>
      <c r="FO98" s="938">
        <f t="shared" si="299"/>
        <v>0</v>
      </c>
      <c r="FP98" s="938" t="str">
        <f t="shared" si="300"/>
        <v/>
      </c>
      <c r="FQ98" s="713">
        <f>'min. Düngung 22'!BG99</f>
        <v>0</v>
      </c>
      <c r="FR98" s="938"/>
      <c r="FS98" s="938"/>
      <c r="FT98" s="938">
        <f t="shared" si="301"/>
        <v>0</v>
      </c>
      <c r="FU98" s="938">
        <f t="shared" si="302"/>
        <v>0</v>
      </c>
      <c r="FV98" s="938">
        <f t="shared" si="303"/>
        <v>0</v>
      </c>
      <c r="FW98" s="938">
        <f t="shared" si="304"/>
        <v>0</v>
      </c>
      <c r="FX98" s="938">
        <f t="shared" si="305"/>
        <v>0</v>
      </c>
      <c r="FY98" s="938" t="str">
        <f t="shared" si="306"/>
        <v/>
      </c>
      <c r="FZ98" s="713">
        <f>'min. Düngung 22'!BJ99</f>
        <v>0</v>
      </c>
      <c r="GA98" s="938"/>
      <c r="GB98" s="938"/>
      <c r="GC98" s="938">
        <f t="shared" si="307"/>
        <v>0</v>
      </c>
      <c r="GD98" s="938">
        <f t="shared" si="308"/>
        <v>0</v>
      </c>
      <c r="GE98" s="938">
        <f t="shared" si="309"/>
        <v>0</v>
      </c>
      <c r="GF98" s="938">
        <f t="shared" si="310"/>
        <v>0</v>
      </c>
      <c r="GG98" s="938">
        <f t="shared" si="311"/>
        <v>0</v>
      </c>
      <c r="GH98" s="938" t="str">
        <f t="shared" si="312"/>
        <v/>
      </c>
      <c r="GI98" s="713">
        <f>'min. Düngung 22'!BM99</f>
        <v>0</v>
      </c>
      <c r="GJ98" s="938"/>
      <c r="GK98" s="938"/>
      <c r="GL98" s="938">
        <f t="shared" si="313"/>
        <v>0</v>
      </c>
      <c r="GM98" s="938">
        <f t="shared" si="314"/>
        <v>0</v>
      </c>
      <c r="GN98" s="938">
        <f t="shared" si="315"/>
        <v>0</v>
      </c>
      <c r="GO98" s="938">
        <f t="shared" si="316"/>
        <v>0</v>
      </c>
      <c r="GP98" s="938">
        <f t="shared" si="317"/>
        <v>0</v>
      </c>
      <c r="GQ98" s="938" t="str">
        <f t="shared" si="318"/>
        <v/>
      </c>
      <c r="GR98" s="713">
        <f>'min. Düngung 22'!BP99</f>
        <v>0</v>
      </c>
      <c r="GS98" s="938"/>
      <c r="GT98" s="938"/>
      <c r="GU98" s="938">
        <f t="shared" si="319"/>
        <v>0</v>
      </c>
      <c r="GV98" s="938">
        <f t="shared" si="320"/>
        <v>0</v>
      </c>
      <c r="GW98" s="938">
        <f t="shared" si="321"/>
        <v>0</v>
      </c>
      <c r="GX98" s="938">
        <f t="shared" si="322"/>
        <v>0</v>
      </c>
      <c r="GY98" s="938">
        <f t="shared" si="323"/>
        <v>0</v>
      </c>
      <c r="GZ98" s="938" t="str">
        <f t="shared" si="324"/>
        <v/>
      </c>
      <c r="HA98" s="713">
        <f>'min. Düngung 22'!BS99</f>
        <v>0</v>
      </c>
      <c r="HB98" s="938"/>
      <c r="HC98" s="938"/>
      <c r="HD98" s="938">
        <f t="shared" si="325"/>
        <v>0</v>
      </c>
      <c r="HE98" s="938">
        <f t="shared" si="326"/>
        <v>0</v>
      </c>
      <c r="HF98" s="938">
        <f t="shared" si="327"/>
        <v>0</v>
      </c>
      <c r="HG98" s="938">
        <f t="shared" si="328"/>
        <v>0</v>
      </c>
      <c r="HH98" s="938">
        <f t="shared" si="329"/>
        <v>0</v>
      </c>
      <c r="HI98" s="938" t="str">
        <f t="shared" si="330"/>
        <v/>
      </c>
      <c r="HJ98" s="713">
        <f>'min. Düngung 22'!BV99</f>
        <v>0</v>
      </c>
      <c r="HK98" s="938"/>
      <c r="HL98" s="938"/>
      <c r="HM98" s="938">
        <f t="shared" si="331"/>
        <v>0</v>
      </c>
      <c r="HN98" s="938">
        <f t="shared" si="332"/>
        <v>0</v>
      </c>
      <c r="HO98" s="938">
        <f t="shared" si="333"/>
        <v>0</v>
      </c>
      <c r="HP98" s="938">
        <f t="shared" si="334"/>
        <v>0</v>
      </c>
      <c r="HQ98" s="938">
        <f t="shared" si="335"/>
        <v>0</v>
      </c>
      <c r="HR98" s="938" t="str">
        <f t="shared" si="336"/>
        <v/>
      </c>
      <c r="HS98" s="713">
        <f>'min. Düngung 22'!BY99</f>
        <v>0</v>
      </c>
      <c r="HT98" s="938"/>
      <c r="HU98" s="938"/>
      <c r="HV98" s="938">
        <f t="shared" si="337"/>
        <v>0</v>
      </c>
      <c r="HW98" s="938">
        <f t="shared" si="338"/>
        <v>0</v>
      </c>
      <c r="HX98" s="938">
        <f t="shared" si="339"/>
        <v>0</v>
      </c>
      <c r="HY98" s="938">
        <f t="shared" si="340"/>
        <v>0</v>
      </c>
      <c r="HZ98" s="938">
        <f t="shared" si="341"/>
        <v>0</v>
      </c>
      <c r="IA98" s="938" t="str">
        <f t="shared" si="342"/>
        <v/>
      </c>
      <c r="IB98" s="713">
        <f>'min. Düngung 22'!CB99</f>
        <v>0</v>
      </c>
      <c r="IC98" s="938"/>
      <c r="ID98" s="938"/>
      <c r="IE98" s="938">
        <f t="shared" si="343"/>
        <v>0</v>
      </c>
      <c r="IF98" s="938">
        <f t="shared" si="344"/>
        <v>0</v>
      </c>
      <c r="IG98" s="938">
        <f t="shared" si="345"/>
        <v>0</v>
      </c>
      <c r="IH98" s="938">
        <f t="shared" si="346"/>
        <v>0</v>
      </c>
      <c r="II98" s="938">
        <f t="shared" si="347"/>
        <v>0</v>
      </c>
      <c r="IJ98" s="938" t="str">
        <f t="shared" si="348"/>
        <v/>
      </c>
      <c r="IK98" s="713">
        <f>'min. Düngung 22'!CE99</f>
        <v>0</v>
      </c>
      <c r="IL98" s="938"/>
      <c r="IM98" s="938"/>
      <c r="IN98" s="938">
        <f t="shared" si="349"/>
        <v>0</v>
      </c>
      <c r="IO98" s="938">
        <f t="shared" si="350"/>
        <v>0</v>
      </c>
      <c r="IP98" s="938">
        <f t="shared" si="351"/>
        <v>0</v>
      </c>
      <c r="IQ98" s="938">
        <f t="shared" si="352"/>
        <v>0</v>
      </c>
      <c r="IR98" s="938">
        <f t="shared" si="353"/>
        <v>0</v>
      </c>
      <c r="IS98" s="938" t="str">
        <f t="shared" si="354"/>
        <v/>
      </c>
      <c r="IT98" s="713">
        <f>'min. Düngung 22'!CH99</f>
        <v>0</v>
      </c>
      <c r="IU98" s="938"/>
      <c r="IV98" s="938"/>
      <c r="IW98" s="938">
        <f t="shared" si="355"/>
        <v>0</v>
      </c>
      <c r="IX98" s="938">
        <f t="shared" si="356"/>
        <v>0</v>
      </c>
      <c r="IY98" s="938">
        <f t="shared" si="357"/>
        <v>0</v>
      </c>
      <c r="IZ98" s="938">
        <f t="shared" si="358"/>
        <v>0</v>
      </c>
      <c r="JA98" s="938">
        <f t="shared" si="359"/>
        <v>0</v>
      </c>
      <c r="JB98" s="938" t="str">
        <f t="shared" si="360"/>
        <v/>
      </c>
      <c r="JC98" s="713">
        <f>'min. Düngung 22'!CK99</f>
        <v>0</v>
      </c>
      <c r="JD98" s="938"/>
      <c r="JE98" s="938"/>
      <c r="JF98" s="938">
        <f t="shared" si="361"/>
        <v>0</v>
      </c>
      <c r="JG98" s="938">
        <f t="shared" si="362"/>
        <v>0</v>
      </c>
      <c r="JH98" s="938">
        <f t="shared" si="363"/>
        <v>0</v>
      </c>
      <c r="JI98" s="938">
        <f t="shared" si="364"/>
        <v>0</v>
      </c>
      <c r="JJ98" s="938">
        <f t="shared" si="365"/>
        <v>0</v>
      </c>
      <c r="JK98" s="938" t="str">
        <f t="shared" si="366"/>
        <v/>
      </c>
      <c r="JL98" s="713">
        <f>'min. Düngung 22'!CN99</f>
        <v>0</v>
      </c>
      <c r="JM98" s="938"/>
      <c r="JN98" s="938"/>
      <c r="JO98" s="938">
        <f t="shared" si="367"/>
        <v>0</v>
      </c>
      <c r="JP98" s="938">
        <f t="shared" si="368"/>
        <v>0</v>
      </c>
      <c r="JQ98" s="938">
        <f t="shared" si="369"/>
        <v>0</v>
      </c>
      <c r="JR98" s="938">
        <f t="shared" si="370"/>
        <v>0</v>
      </c>
      <c r="JS98" s="938">
        <f t="shared" si="371"/>
        <v>0</v>
      </c>
      <c r="JT98" s="938" t="str">
        <f t="shared" si="372"/>
        <v/>
      </c>
      <c r="JU98" s="713">
        <f>'min. Düngung 22'!CQ99</f>
        <v>0</v>
      </c>
      <c r="JV98" s="938"/>
      <c r="JW98" s="938"/>
      <c r="JX98" s="938">
        <f t="shared" si="373"/>
        <v>0</v>
      </c>
      <c r="JY98" s="938">
        <f t="shared" si="374"/>
        <v>0</v>
      </c>
      <c r="JZ98" s="938">
        <f t="shared" si="375"/>
        <v>0</v>
      </c>
      <c r="KA98" s="938">
        <f t="shared" si="376"/>
        <v>0</v>
      </c>
      <c r="KB98" s="938">
        <f t="shared" si="377"/>
        <v>0</v>
      </c>
      <c r="KC98" s="938" t="str">
        <f t="shared" si="378"/>
        <v/>
      </c>
      <c r="KE98" s="938"/>
      <c r="KF98" s="938" t="str">
        <f>IF(AND($F98=2,$G98=1),"",IF(OR($Q98&gt;0,$O98&gt;60),$KF$7,IF(I98=70,"",IF(AND(I98=80,R98+'#orgDung'!AC101&lt;60,K98=1,OR(C98=2,'#BerechnungDBE'!AH92=4)),"",IF(R98&gt;0,$KF$7,"")))))</f>
        <v/>
      </c>
      <c r="KG98" s="938" t="str">
        <f>IF(AND(P98&gt;'#BerechnungDBE'!BJ92,P98&gt;0),'#minDung'!$KG$7,"")</f>
        <v/>
      </c>
      <c r="KH98" s="938" t="str">
        <f>IF(AND(I98=70,R98&gt;'#BerechnungDBE'!CR92),'#minDung'!$KH$7,"")</f>
        <v/>
      </c>
      <c r="KI98" s="938" t="str">
        <f>IF('#BerechnungDBE'!P92&lt;4,"",IF(AND('#BerechnungDBE'!BZ92&gt;0,N98&gt;0),$KI$7,""))</f>
        <v/>
      </c>
      <c r="KJ98" s="938" t="str">
        <f t="shared" si="197"/>
        <v/>
      </c>
    </row>
    <row r="99" spans="1:296" s="875" customFormat="1" hidden="1" x14ac:dyDescent="0.2">
      <c r="A99" s="875">
        <f>'Flächen u. Kulturen'!A98</f>
        <v>89</v>
      </c>
      <c r="B99" s="734">
        <f>'#BerechnungDBE'!L93</f>
        <v>0</v>
      </c>
      <c r="C99" s="46">
        <f>'#orgDung'!C102</f>
        <v>1</v>
      </c>
      <c r="D99" s="875">
        <f>'#BerechnungDBE'!T93</f>
        <v>2</v>
      </c>
      <c r="E99" s="875" t="str">
        <f>'Flächen u. Kulturen'!E98</f>
        <v>x</v>
      </c>
      <c r="F99" s="52">
        <f>'#BerechnungDBE'!N93</f>
        <v>1</v>
      </c>
      <c r="G99" s="52">
        <f>'#BerechnungDBE'!O93</f>
        <v>1</v>
      </c>
      <c r="H99" s="505">
        <f>'#orgDung'!J102</f>
        <v>2</v>
      </c>
      <c r="I99" s="875">
        <f>'#BerechnungDBE'!AF93</f>
        <v>0</v>
      </c>
      <c r="J99" s="875">
        <f>'#orgDung'!M102</f>
        <v>0</v>
      </c>
      <c r="K99" s="875">
        <f>'#BerechnungDBE'!AG93</f>
        <v>0</v>
      </c>
      <c r="M99" s="875">
        <f t="shared" si="192"/>
        <v>0</v>
      </c>
      <c r="N99" s="875">
        <f t="shared" si="193"/>
        <v>0</v>
      </c>
      <c r="O99" s="875">
        <f t="shared" si="194"/>
        <v>0</v>
      </c>
      <c r="P99" s="875">
        <f t="shared" si="195"/>
        <v>0</v>
      </c>
      <c r="Q99" s="938">
        <f t="shared" si="198"/>
        <v>0</v>
      </c>
      <c r="R99" s="875">
        <f t="shared" si="196"/>
        <v>0</v>
      </c>
      <c r="T99" s="713">
        <f>'min. Düngung 22'!H100</f>
        <v>0</v>
      </c>
      <c r="W99" s="875">
        <f t="shared" si="199"/>
        <v>0</v>
      </c>
      <c r="X99" s="875">
        <f t="shared" si="200"/>
        <v>0</v>
      </c>
      <c r="Y99" s="875">
        <f t="shared" si="201"/>
        <v>0</v>
      </c>
      <c r="Z99" s="875">
        <f t="shared" si="202"/>
        <v>0</v>
      </c>
      <c r="AA99" s="875">
        <f t="shared" si="203"/>
        <v>0</v>
      </c>
      <c r="AB99" s="875" t="str">
        <f t="shared" si="204"/>
        <v/>
      </c>
      <c r="AC99" s="713">
        <f>'min. Düngung 22'!K100</f>
        <v>0</v>
      </c>
      <c r="AD99" s="938"/>
      <c r="AE99" s="938"/>
      <c r="AF99" s="938">
        <f t="shared" si="205"/>
        <v>0</v>
      </c>
      <c r="AG99" s="938">
        <f t="shared" si="206"/>
        <v>0</v>
      </c>
      <c r="AH99" s="938">
        <f t="shared" si="207"/>
        <v>0</v>
      </c>
      <c r="AI99" s="938">
        <f t="shared" si="208"/>
        <v>0</v>
      </c>
      <c r="AJ99" s="938">
        <f t="shared" si="209"/>
        <v>0</v>
      </c>
      <c r="AK99" s="938">
        <f t="shared" si="210"/>
        <v>0</v>
      </c>
      <c r="AL99" s="713">
        <f>'min. Düngung 22'!N100</f>
        <v>0</v>
      </c>
      <c r="AM99" s="938"/>
      <c r="AN99" s="938"/>
      <c r="AO99" s="938">
        <f t="shared" si="211"/>
        <v>0</v>
      </c>
      <c r="AP99" s="938">
        <f t="shared" si="212"/>
        <v>0</v>
      </c>
      <c r="AQ99" s="938">
        <f t="shared" si="213"/>
        <v>0</v>
      </c>
      <c r="AR99" s="938">
        <f t="shared" si="214"/>
        <v>0</v>
      </c>
      <c r="AS99" s="938">
        <f t="shared" si="215"/>
        <v>0</v>
      </c>
      <c r="AT99" s="938" t="str">
        <f t="shared" si="216"/>
        <v/>
      </c>
      <c r="AU99" s="713">
        <f>'min. Düngung 22'!Q100</f>
        <v>0</v>
      </c>
      <c r="AV99" s="938"/>
      <c r="AW99" s="938"/>
      <c r="AX99" s="938">
        <f t="shared" si="217"/>
        <v>0</v>
      </c>
      <c r="AY99" s="938">
        <f t="shared" si="218"/>
        <v>0</v>
      </c>
      <c r="AZ99" s="938">
        <f t="shared" si="219"/>
        <v>0</v>
      </c>
      <c r="BA99" s="938">
        <f t="shared" si="220"/>
        <v>0</v>
      </c>
      <c r="BB99" s="938">
        <f t="shared" si="221"/>
        <v>0</v>
      </c>
      <c r="BC99" s="938" t="str">
        <f t="shared" si="222"/>
        <v/>
      </c>
      <c r="BD99" s="713">
        <f>'min. Düngung 22'!T100</f>
        <v>0</v>
      </c>
      <c r="BE99" s="938"/>
      <c r="BF99" s="938"/>
      <c r="BG99" s="938">
        <f t="shared" si="223"/>
        <v>0</v>
      </c>
      <c r="BH99" s="938">
        <f t="shared" si="224"/>
        <v>0</v>
      </c>
      <c r="BI99" s="938">
        <f t="shared" si="225"/>
        <v>0</v>
      </c>
      <c r="BJ99" s="938">
        <f t="shared" si="226"/>
        <v>0</v>
      </c>
      <c r="BK99" s="938">
        <f t="shared" si="227"/>
        <v>0</v>
      </c>
      <c r="BL99" s="938" t="str">
        <f t="shared" si="228"/>
        <v/>
      </c>
      <c r="BM99" s="713">
        <f>'min. Düngung 22'!W100</f>
        <v>0</v>
      </c>
      <c r="BN99" s="938"/>
      <c r="BO99" s="938"/>
      <c r="BP99" s="938">
        <f t="shared" si="229"/>
        <v>0</v>
      </c>
      <c r="BQ99" s="938">
        <f t="shared" si="230"/>
        <v>0</v>
      </c>
      <c r="BR99" s="938">
        <f t="shared" si="231"/>
        <v>0</v>
      </c>
      <c r="BS99" s="938">
        <f t="shared" si="232"/>
        <v>0</v>
      </c>
      <c r="BT99" s="938">
        <f t="shared" si="233"/>
        <v>0</v>
      </c>
      <c r="BU99" s="938" t="str">
        <f t="shared" si="234"/>
        <v/>
      </c>
      <c r="BV99" s="713">
        <f>'min. Düngung 22'!Z100</f>
        <v>0</v>
      </c>
      <c r="BW99" s="938"/>
      <c r="BX99" s="938"/>
      <c r="BY99" s="938">
        <f t="shared" si="235"/>
        <v>0</v>
      </c>
      <c r="BZ99" s="938">
        <f t="shared" si="236"/>
        <v>0</v>
      </c>
      <c r="CA99" s="938">
        <f t="shared" si="237"/>
        <v>0</v>
      </c>
      <c r="CB99" s="938">
        <f t="shared" si="238"/>
        <v>0</v>
      </c>
      <c r="CC99" s="938">
        <f t="shared" si="239"/>
        <v>0</v>
      </c>
      <c r="CD99" s="938" t="str">
        <f t="shared" si="240"/>
        <v/>
      </c>
      <c r="CE99" s="713">
        <f>'min. Düngung 22'!AC100</f>
        <v>0</v>
      </c>
      <c r="CF99" s="938"/>
      <c r="CG99" s="938"/>
      <c r="CH99" s="938">
        <f t="shared" si="241"/>
        <v>0</v>
      </c>
      <c r="CI99" s="938">
        <f t="shared" si="242"/>
        <v>0</v>
      </c>
      <c r="CJ99" s="938">
        <f t="shared" si="243"/>
        <v>0</v>
      </c>
      <c r="CK99" s="938">
        <f t="shared" si="244"/>
        <v>0</v>
      </c>
      <c r="CL99" s="938">
        <f t="shared" si="245"/>
        <v>0</v>
      </c>
      <c r="CM99" s="938" t="str">
        <f t="shared" si="246"/>
        <v/>
      </c>
      <c r="CN99" s="713">
        <f>'min. Düngung 22'!AF100</f>
        <v>0</v>
      </c>
      <c r="CO99" s="938"/>
      <c r="CP99" s="938"/>
      <c r="CQ99" s="938">
        <f t="shared" si="247"/>
        <v>0</v>
      </c>
      <c r="CR99" s="938">
        <f t="shared" si="248"/>
        <v>0</v>
      </c>
      <c r="CS99" s="938">
        <f t="shared" si="249"/>
        <v>0</v>
      </c>
      <c r="CT99" s="938">
        <f t="shared" si="250"/>
        <v>0</v>
      </c>
      <c r="CU99" s="938">
        <f t="shared" si="251"/>
        <v>0</v>
      </c>
      <c r="CV99" s="938" t="str">
        <f t="shared" si="252"/>
        <v/>
      </c>
      <c r="CW99" s="713">
        <f>'min. Düngung 22'!AI100</f>
        <v>0</v>
      </c>
      <c r="CX99" s="938"/>
      <c r="CY99" s="938"/>
      <c r="CZ99" s="938">
        <f t="shared" si="253"/>
        <v>0</v>
      </c>
      <c r="DA99" s="938">
        <f t="shared" si="254"/>
        <v>0</v>
      </c>
      <c r="DB99" s="938">
        <f t="shared" si="255"/>
        <v>0</v>
      </c>
      <c r="DC99" s="938">
        <f t="shared" si="256"/>
        <v>0</v>
      </c>
      <c r="DD99" s="938">
        <f t="shared" si="257"/>
        <v>0</v>
      </c>
      <c r="DE99" s="938" t="str">
        <f t="shared" si="258"/>
        <v/>
      </c>
      <c r="DF99" s="713">
        <f>'min. Düngung 22'!AL100</f>
        <v>0</v>
      </c>
      <c r="DG99" s="938"/>
      <c r="DH99" s="938"/>
      <c r="DI99" s="938">
        <f t="shared" si="259"/>
        <v>0</v>
      </c>
      <c r="DJ99" s="938">
        <f t="shared" si="260"/>
        <v>0</v>
      </c>
      <c r="DK99" s="938">
        <f t="shared" si="261"/>
        <v>0</v>
      </c>
      <c r="DL99" s="938">
        <f t="shared" si="262"/>
        <v>0</v>
      </c>
      <c r="DM99" s="938">
        <f t="shared" si="263"/>
        <v>0</v>
      </c>
      <c r="DN99" s="938" t="str">
        <f t="shared" si="264"/>
        <v/>
      </c>
      <c r="DO99" s="713">
        <f>'min. Düngung 22'!AO100</f>
        <v>0</v>
      </c>
      <c r="DP99" s="938"/>
      <c r="DQ99" s="938"/>
      <c r="DR99" s="938">
        <f t="shared" si="265"/>
        <v>0</v>
      </c>
      <c r="DS99" s="938">
        <f t="shared" si="266"/>
        <v>0</v>
      </c>
      <c r="DT99" s="938">
        <f t="shared" si="267"/>
        <v>0</v>
      </c>
      <c r="DU99" s="938">
        <f t="shared" si="268"/>
        <v>0</v>
      </c>
      <c r="DV99" s="938">
        <f t="shared" si="269"/>
        <v>0</v>
      </c>
      <c r="DW99" s="938" t="str">
        <f t="shared" si="270"/>
        <v/>
      </c>
      <c r="DX99" s="713">
        <f>'min. Düngung 22'!AR100</f>
        <v>0</v>
      </c>
      <c r="DY99" s="938"/>
      <c r="DZ99" s="938"/>
      <c r="EA99" s="938">
        <f t="shared" si="271"/>
        <v>0</v>
      </c>
      <c r="EB99" s="938">
        <f t="shared" si="272"/>
        <v>0</v>
      </c>
      <c r="EC99" s="938">
        <f t="shared" si="273"/>
        <v>0</v>
      </c>
      <c r="ED99" s="938">
        <f t="shared" si="274"/>
        <v>0</v>
      </c>
      <c r="EE99" s="938">
        <f t="shared" si="275"/>
        <v>0</v>
      </c>
      <c r="EF99" s="938" t="str">
        <f t="shared" si="276"/>
        <v/>
      </c>
      <c r="EG99" s="713">
        <f>'min. Düngung 22'!AU100</f>
        <v>0</v>
      </c>
      <c r="EH99" s="938"/>
      <c r="EI99" s="938"/>
      <c r="EJ99" s="938">
        <f t="shared" si="277"/>
        <v>0</v>
      </c>
      <c r="EK99" s="938">
        <f t="shared" si="278"/>
        <v>0</v>
      </c>
      <c r="EL99" s="938">
        <f t="shared" si="279"/>
        <v>0</v>
      </c>
      <c r="EM99" s="938">
        <f t="shared" si="280"/>
        <v>0</v>
      </c>
      <c r="EN99" s="938">
        <f t="shared" si="281"/>
        <v>0</v>
      </c>
      <c r="EO99" s="938" t="str">
        <f t="shared" si="282"/>
        <v/>
      </c>
      <c r="EP99" s="713">
        <f>'min. Düngung 22'!AX100</f>
        <v>0</v>
      </c>
      <c r="EQ99" s="938"/>
      <c r="ER99" s="938"/>
      <c r="ES99" s="938">
        <f t="shared" si="283"/>
        <v>0</v>
      </c>
      <c r="ET99" s="938">
        <f t="shared" si="284"/>
        <v>0</v>
      </c>
      <c r="EU99" s="938">
        <f t="shared" si="285"/>
        <v>0</v>
      </c>
      <c r="EV99" s="938">
        <f t="shared" si="286"/>
        <v>0</v>
      </c>
      <c r="EW99" s="938">
        <f t="shared" si="287"/>
        <v>0</v>
      </c>
      <c r="EX99" s="938" t="str">
        <f t="shared" si="288"/>
        <v/>
      </c>
      <c r="EY99" s="713">
        <f>'min. Düngung 22'!BA100</f>
        <v>0</v>
      </c>
      <c r="EZ99" s="938"/>
      <c r="FA99" s="938"/>
      <c r="FB99" s="938">
        <f t="shared" si="289"/>
        <v>0</v>
      </c>
      <c r="FC99" s="938">
        <f t="shared" si="290"/>
        <v>0</v>
      </c>
      <c r="FD99" s="938">
        <f t="shared" si="291"/>
        <v>0</v>
      </c>
      <c r="FE99" s="938">
        <f t="shared" si="292"/>
        <v>0</v>
      </c>
      <c r="FF99" s="938">
        <f t="shared" si="293"/>
        <v>0</v>
      </c>
      <c r="FG99" s="938" t="str">
        <f t="shared" si="294"/>
        <v/>
      </c>
      <c r="FH99" s="713">
        <f>'min. Düngung 22'!BD100</f>
        <v>0</v>
      </c>
      <c r="FI99" s="938"/>
      <c r="FJ99" s="938"/>
      <c r="FK99" s="938">
        <f t="shared" si="295"/>
        <v>0</v>
      </c>
      <c r="FL99" s="938">
        <f t="shared" si="296"/>
        <v>0</v>
      </c>
      <c r="FM99" s="938">
        <f t="shared" si="297"/>
        <v>0</v>
      </c>
      <c r="FN99" s="938">
        <f t="shared" si="298"/>
        <v>0</v>
      </c>
      <c r="FO99" s="938">
        <f t="shared" si="299"/>
        <v>0</v>
      </c>
      <c r="FP99" s="938" t="str">
        <f t="shared" si="300"/>
        <v/>
      </c>
      <c r="FQ99" s="713">
        <f>'min. Düngung 22'!BG100</f>
        <v>0</v>
      </c>
      <c r="FR99" s="938"/>
      <c r="FS99" s="938"/>
      <c r="FT99" s="938">
        <f t="shared" si="301"/>
        <v>0</v>
      </c>
      <c r="FU99" s="938">
        <f t="shared" si="302"/>
        <v>0</v>
      </c>
      <c r="FV99" s="938">
        <f t="shared" si="303"/>
        <v>0</v>
      </c>
      <c r="FW99" s="938">
        <f t="shared" si="304"/>
        <v>0</v>
      </c>
      <c r="FX99" s="938">
        <f t="shared" si="305"/>
        <v>0</v>
      </c>
      <c r="FY99" s="938" t="str">
        <f t="shared" si="306"/>
        <v/>
      </c>
      <c r="FZ99" s="713">
        <f>'min. Düngung 22'!BJ100</f>
        <v>0</v>
      </c>
      <c r="GA99" s="938"/>
      <c r="GB99" s="938"/>
      <c r="GC99" s="938">
        <f t="shared" si="307"/>
        <v>0</v>
      </c>
      <c r="GD99" s="938">
        <f t="shared" si="308"/>
        <v>0</v>
      </c>
      <c r="GE99" s="938">
        <f t="shared" si="309"/>
        <v>0</v>
      </c>
      <c r="GF99" s="938">
        <f t="shared" si="310"/>
        <v>0</v>
      </c>
      <c r="GG99" s="938">
        <f t="shared" si="311"/>
        <v>0</v>
      </c>
      <c r="GH99" s="938" t="str">
        <f t="shared" si="312"/>
        <v/>
      </c>
      <c r="GI99" s="713">
        <f>'min. Düngung 22'!BM100</f>
        <v>0</v>
      </c>
      <c r="GJ99" s="938"/>
      <c r="GK99" s="938"/>
      <c r="GL99" s="938">
        <f t="shared" si="313"/>
        <v>0</v>
      </c>
      <c r="GM99" s="938">
        <f t="shared" si="314"/>
        <v>0</v>
      </c>
      <c r="GN99" s="938">
        <f t="shared" si="315"/>
        <v>0</v>
      </c>
      <c r="GO99" s="938">
        <f t="shared" si="316"/>
        <v>0</v>
      </c>
      <c r="GP99" s="938">
        <f t="shared" si="317"/>
        <v>0</v>
      </c>
      <c r="GQ99" s="938" t="str">
        <f t="shared" si="318"/>
        <v/>
      </c>
      <c r="GR99" s="713">
        <f>'min. Düngung 22'!BP100</f>
        <v>0</v>
      </c>
      <c r="GS99" s="938"/>
      <c r="GT99" s="938"/>
      <c r="GU99" s="938">
        <f t="shared" si="319"/>
        <v>0</v>
      </c>
      <c r="GV99" s="938">
        <f t="shared" si="320"/>
        <v>0</v>
      </c>
      <c r="GW99" s="938">
        <f t="shared" si="321"/>
        <v>0</v>
      </c>
      <c r="GX99" s="938">
        <f t="shared" si="322"/>
        <v>0</v>
      </c>
      <c r="GY99" s="938">
        <f t="shared" si="323"/>
        <v>0</v>
      </c>
      <c r="GZ99" s="938" t="str">
        <f t="shared" si="324"/>
        <v/>
      </c>
      <c r="HA99" s="713">
        <f>'min. Düngung 22'!BS100</f>
        <v>0</v>
      </c>
      <c r="HB99" s="938"/>
      <c r="HC99" s="938"/>
      <c r="HD99" s="938">
        <f t="shared" si="325"/>
        <v>0</v>
      </c>
      <c r="HE99" s="938">
        <f t="shared" si="326"/>
        <v>0</v>
      </c>
      <c r="HF99" s="938">
        <f t="shared" si="327"/>
        <v>0</v>
      </c>
      <c r="HG99" s="938">
        <f t="shared" si="328"/>
        <v>0</v>
      </c>
      <c r="HH99" s="938">
        <f t="shared" si="329"/>
        <v>0</v>
      </c>
      <c r="HI99" s="938" t="str">
        <f t="shared" si="330"/>
        <v/>
      </c>
      <c r="HJ99" s="713">
        <f>'min. Düngung 22'!BV100</f>
        <v>0</v>
      </c>
      <c r="HK99" s="938"/>
      <c r="HL99" s="938"/>
      <c r="HM99" s="938">
        <f t="shared" si="331"/>
        <v>0</v>
      </c>
      <c r="HN99" s="938">
        <f t="shared" si="332"/>
        <v>0</v>
      </c>
      <c r="HO99" s="938">
        <f t="shared" si="333"/>
        <v>0</v>
      </c>
      <c r="HP99" s="938">
        <f t="shared" si="334"/>
        <v>0</v>
      </c>
      <c r="HQ99" s="938">
        <f t="shared" si="335"/>
        <v>0</v>
      </c>
      <c r="HR99" s="938" t="str">
        <f t="shared" si="336"/>
        <v/>
      </c>
      <c r="HS99" s="713">
        <f>'min. Düngung 22'!BY100</f>
        <v>0</v>
      </c>
      <c r="HT99" s="938"/>
      <c r="HU99" s="938"/>
      <c r="HV99" s="938">
        <f t="shared" si="337"/>
        <v>0</v>
      </c>
      <c r="HW99" s="938">
        <f t="shared" si="338"/>
        <v>0</v>
      </c>
      <c r="HX99" s="938">
        <f t="shared" si="339"/>
        <v>0</v>
      </c>
      <c r="HY99" s="938">
        <f t="shared" si="340"/>
        <v>0</v>
      </c>
      <c r="HZ99" s="938">
        <f t="shared" si="341"/>
        <v>0</v>
      </c>
      <c r="IA99" s="938" t="str">
        <f t="shared" si="342"/>
        <v/>
      </c>
      <c r="IB99" s="713">
        <f>'min. Düngung 22'!CB100</f>
        <v>0</v>
      </c>
      <c r="IC99" s="938"/>
      <c r="ID99" s="938"/>
      <c r="IE99" s="938">
        <f t="shared" si="343"/>
        <v>0</v>
      </c>
      <c r="IF99" s="938">
        <f t="shared" si="344"/>
        <v>0</v>
      </c>
      <c r="IG99" s="938">
        <f t="shared" si="345"/>
        <v>0</v>
      </c>
      <c r="IH99" s="938">
        <f t="shared" si="346"/>
        <v>0</v>
      </c>
      <c r="II99" s="938">
        <f t="shared" si="347"/>
        <v>0</v>
      </c>
      <c r="IJ99" s="938" t="str">
        <f t="shared" si="348"/>
        <v/>
      </c>
      <c r="IK99" s="713">
        <f>'min. Düngung 22'!CE100</f>
        <v>0</v>
      </c>
      <c r="IL99" s="938"/>
      <c r="IM99" s="938"/>
      <c r="IN99" s="938">
        <f t="shared" si="349"/>
        <v>0</v>
      </c>
      <c r="IO99" s="938">
        <f t="shared" si="350"/>
        <v>0</v>
      </c>
      <c r="IP99" s="938">
        <f t="shared" si="351"/>
        <v>0</v>
      </c>
      <c r="IQ99" s="938">
        <f t="shared" si="352"/>
        <v>0</v>
      </c>
      <c r="IR99" s="938">
        <f t="shared" si="353"/>
        <v>0</v>
      </c>
      <c r="IS99" s="938" t="str">
        <f t="shared" si="354"/>
        <v/>
      </c>
      <c r="IT99" s="713">
        <f>'min. Düngung 22'!CH100</f>
        <v>0</v>
      </c>
      <c r="IU99" s="938"/>
      <c r="IV99" s="938"/>
      <c r="IW99" s="938">
        <f t="shared" si="355"/>
        <v>0</v>
      </c>
      <c r="IX99" s="938">
        <f t="shared" si="356"/>
        <v>0</v>
      </c>
      <c r="IY99" s="938">
        <f t="shared" si="357"/>
        <v>0</v>
      </c>
      <c r="IZ99" s="938">
        <f t="shared" si="358"/>
        <v>0</v>
      </c>
      <c r="JA99" s="938">
        <f t="shared" si="359"/>
        <v>0</v>
      </c>
      <c r="JB99" s="938" t="str">
        <f t="shared" si="360"/>
        <v/>
      </c>
      <c r="JC99" s="713">
        <f>'min. Düngung 22'!CK100</f>
        <v>0</v>
      </c>
      <c r="JD99" s="938"/>
      <c r="JE99" s="938"/>
      <c r="JF99" s="938">
        <f t="shared" si="361"/>
        <v>0</v>
      </c>
      <c r="JG99" s="938">
        <f t="shared" si="362"/>
        <v>0</v>
      </c>
      <c r="JH99" s="938">
        <f t="shared" si="363"/>
        <v>0</v>
      </c>
      <c r="JI99" s="938">
        <f t="shared" si="364"/>
        <v>0</v>
      </c>
      <c r="JJ99" s="938">
        <f t="shared" si="365"/>
        <v>0</v>
      </c>
      <c r="JK99" s="938" t="str">
        <f t="shared" si="366"/>
        <v/>
      </c>
      <c r="JL99" s="713">
        <f>'min. Düngung 22'!CN100</f>
        <v>0</v>
      </c>
      <c r="JM99" s="938"/>
      <c r="JN99" s="938"/>
      <c r="JO99" s="938">
        <f t="shared" si="367"/>
        <v>0</v>
      </c>
      <c r="JP99" s="938">
        <f t="shared" si="368"/>
        <v>0</v>
      </c>
      <c r="JQ99" s="938">
        <f t="shared" si="369"/>
        <v>0</v>
      </c>
      <c r="JR99" s="938">
        <f t="shared" si="370"/>
        <v>0</v>
      </c>
      <c r="JS99" s="938">
        <f t="shared" si="371"/>
        <v>0</v>
      </c>
      <c r="JT99" s="938" t="str">
        <f t="shared" si="372"/>
        <v/>
      </c>
      <c r="JU99" s="713">
        <f>'min. Düngung 22'!CQ100</f>
        <v>0</v>
      </c>
      <c r="JV99" s="938"/>
      <c r="JW99" s="938"/>
      <c r="JX99" s="938">
        <f t="shared" si="373"/>
        <v>0</v>
      </c>
      <c r="JY99" s="938">
        <f t="shared" si="374"/>
        <v>0</v>
      </c>
      <c r="JZ99" s="938">
        <f t="shared" si="375"/>
        <v>0</v>
      </c>
      <c r="KA99" s="938">
        <f t="shared" si="376"/>
        <v>0</v>
      </c>
      <c r="KB99" s="938">
        <f t="shared" si="377"/>
        <v>0</v>
      </c>
      <c r="KC99" s="938" t="str">
        <f t="shared" si="378"/>
        <v/>
      </c>
      <c r="KE99" s="938"/>
      <c r="KF99" s="938" t="str">
        <f>IF(AND($F99=2,$G99=1),"",IF(OR($Q99&gt;0,$O99&gt;60),$KF$7,IF(I99=70,"",IF(AND(I99=80,R99+'#orgDung'!AC102&lt;60,K99=1,OR(C99=2,'#BerechnungDBE'!AH93=4)),"",IF(R99&gt;0,$KF$7,"")))))</f>
        <v/>
      </c>
      <c r="KG99" s="938" t="str">
        <f>IF(AND(P99&gt;'#BerechnungDBE'!BJ93,P99&gt;0),'#minDung'!$KG$7,"")</f>
        <v/>
      </c>
      <c r="KH99" s="938" t="str">
        <f>IF(AND(I99=70,R99&gt;'#BerechnungDBE'!CR93),'#minDung'!$KH$7,"")</f>
        <v/>
      </c>
      <c r="KI99" s="938" t="str">
        <f>IF('#BerechnungDBE'!P93&lt;4,"",IF(AND('#BerechnungDBE'!BZ93&gt;0,N99&gt;0),$KI$7,""))</f>
        <v/>
      </c>
      <c r="KJ99" s="938" t="str">
        <f t="shared" si="197"/>
        <v/>
      </c>
    </row>
    <row r="100" spans="1:296" s="875" customFormat="1" hidden="1" x14ac:dyDescent="0.2">
      <c r="A100" s="875">
        <f>'Flächen u. Kulturen'!A99</f>
        <v>90</v>
      </c>
      <c r="B100" s="734">
        <f>'#BerechnungDBE'!L94</f>
        <v>0</v>
      </c>
      <c r="C100" s="46">
        <f>'#orgDung'!C103</f>
        <v>1</v>
      </c>
      <c r="D100" s="875">
        <f>'#BerechnungDBE'!T94</f>
        <v>2</v>
      </c>
      <c r="E100" s="875" t="str">
        <f>'Flächen u. Kulturen'!E99</f>
        <v>x</v>
      </c>
      <c r="F100" s="52">
        <f>'#BerechnungDBE'!N94</f>
        <v>1</v>
      </c>
      <c r="G100" s="52">
        <f>'#BerechnungDBE'!O94</f>
        <v>1</v>
      </c>
      <c r="H100" s="505">
        <f>'#orgDung'!J103</f>
        <v>2</v>
      </c>
      <c r="I100" s="875">
        <f>'#BerechnungDBE'!AF94</f>
        <v>0</v>
      </c>
      <c r="J100" s="875">
        <f>'#orgDung'!M103</f>
        <v>0</v>
      </c>
      <c r="K100" s="875">
        <f>'#BerechnungDBE'!AG94</f>
        <v>0</v>
      </c>
      <c r="M100" s="875">
        <f t="shared" si="192"/>
        <v>0</v>
      </c>
      <c r="N100" s="875">
        <f t="shared" si="193"/>
        <v>0</v>
      </c>
      <c r="O100" s="875">
        <f t="shared" si="194"/>
        <v>0</v>
      </c>
      <c r="P100" s="875">
        <f t="shared" si="195"/>
        <v>0</v>
      </c>
      <c r="Q100" s="938">
        <f t="shared" si="198"/>
        <v>0</v>
      </c>
      <c r="R100" s="875">
        <f t="shared" si="196"/>
        <v>0</v>
      </c>
      <c r="T100" s="713">
        <f>'min. Düngung 22'!H101</f>
        <v>0</v>
      </c>
      <c r="W100" s="875">
        <f t="shared" si="199"/>
        <v>0</v>
      </c>
      <c r="X100" s="875">
        <f t="shared" si="200"/>
        <v>0</v>
      </c>
      <c r="Y100" s="875">
        <f t="shared" si="201"/>
        <v>0</v>
      </c>
      <c r="Z100" s="875">
        <f t="shared" si="202"/>
        <v>0</v>
      </c>
      <c r="AA100" s="875">
        <f t="shared" si="203"/>
        <v>0</v>
      </c>
      <c r="AB100" s="875" t="str">
        <f t="shared" si="204"/>
        <v/>
      </c>
      <c r="AC100" s="713">
        <f>'min. Düngung 22'!K101</f>
        <v>0</v>
      </c>
      <c r="AD100" s="938"/>
      <c r="AE100" s="938"/>
      <c r="AF100" s="938">
        <f t="shared" si="205"/>
        <v>0</v>
      </c>
      <c r="AG100" s="938">
        <f t="shared" si="206"/>
        <v>0</v>
      </c>
      <c r="AH100" s="938">
        <f t="shared" si="207"/>
        <v>0</v>
      </c>
      <c r="AI100" s="938">
        <f t="shared" si="208"/>
        <v>0</v>
      </c>
      <c r="AJ100" s="938">
        <f t="shared" si="209"/>
        <v>0</v>
      </c>
      <c r="AK100" s="938">
        <f t="shared" si="210"/>
        <v>0</v>
      </c>
      <c r="AL100" s="713">
        <f>'min. Düngung 22'!N101</f>
        <v>0</v>
      </c>
      <c r="AM100" s="938"/>
      <c r="AN100" s="938"/>
      <c r="AO100" s="938">
        <f t="shared" si="211"/>
        <v>0</v>
      </c>
      <c r="AP100" s="938">
        <f t="shared" si="212"/>
        <v>0</v>
      </c>
      <c r="AQ100" s="938">
        <f t="shared" si="213"/>
        <v>0</v>
      </c>
      <c r="AR100" s="938">
        <f t="shared" si="214"/>
        <v>0</v>
      </c>
      <c r="AS100" s="938">
        <f t="shared" si="215"/>
        <v>0</v>
      </c>
      <c r="AT100" s="938" t="str">
        <f t="shared" si="216"/>
        <v/>
      </c>
      <c r="AU100" s="713">
        <f>'min. Düngung 22'!Q101</f>
        <v>0</v>
      </c>
      <c r="AV100" s="938"/>
      <c r="AW100" s="938"/>
      <c r="AX100" s="938">
        <f t="shared" si="217"/>
        <v>0</v>
      </c>
      <c r="AY100" s="938">
        <f t="shared" si="218"/>
        <v>0</v>
      </c>
      <c r="AZ100" s="938">
        <f t="shared" si="219"/>
        <v>0</v>
      </c>
      <c r="BA100" s="938">
        <f t="shared" si="220"/>
        <v>0</v>
      </c>
      <c r="BB100" s="938">
        <f t="shared" si="221"/>
        <v>0</v>
      </c>
      <c r="BC100" s="938" t="str">
        <f t="shared" si="222"/>
        <v/>
      </c>
      <c r="BD100" s="713">
        <f>'min. Düngung 22'!T101</f>
        <v>0</v>
      </c>
      <c r="BE100" s="938"/>
      <c r="BF100" s="938"/>
      <c r="BG100" s="938">
        <f t="shared" si="223"/>
        <v>0</v>
      </c>
      <c r="BH100" s="938">
        <f t="shared" si="224"/>
        <v>0</v>
      </c>
      <c r="BI100" s="938">
        <f t="shared" si="225"/>
        <v>0</v>
      </c>
      <c r="BJ100" s="938">
        <f t="shared" si="226"/>
        <v>0</v>
      </c>
      <c r="BK100" s="938">
        <f t="shared" si="227"/>
        <v>0</v>
      </c>
      <c r="BL100" s="938" t="str">
        <f t="shared" si="228"/>
        <v/>
      </c>
      <c r="BM100" s="713">
        <f>'min. Düngung 22'!W101</f>
        <v>0</v>
      </c>
      <c r="BN100" s="938"/>
      <c r="BO100" s="938"/>
      <c r="BP100" s="938">
        <f t="shared" si="229"/>
        <v>0</v>
      </c>
      <c r="BQ100" s="938">
        <f t="shared" si="230"/>
        <v>0</v>
      </c>
      <c r="BR100" s="938">
        <f t="shared" si="231"/>
        <v>0</v>
      </c>
      <c r="BS100" s="938">
        <f t="shared" si="232"/>
        <v>0</v>
      </c>
      <c r="BT100" s="938">
        <f t="shared" si="233"/>
        <v>0</v>
      </c>
      <c r="BU100" s="938" t="str">
        <f t="shared" si="234"/>
        <v/>
      </c>
      <c r="BV100" s="713">
        <f>'min. Düngung 22'!Z101</f>
        <v>0</v>
      </c>
      <c r="BW100" s="938"/>
      <c r="BX100" s="938"/>
      <c r="BY100" s="938">
        <f t="shared" si="235"/>
        <v>0</v>
      </c>
      <c r="BZ100" s="938">
        <f t="shared" si="236"/>
        <v>0</v>
      </c>
      <c r="CA100" s="938">
        <f t="shared" si="237"/>
        <v>0</v>
      </c>
      <c r="CB100" s="938">
        <f t="shared" si="238"/>
        <v>0</v>
      </c>
      <c r="CC100" s="938">
        <f t="shared" si="239"/>
        <v>0</v>
      </c>
      <c r="CD100" s="938" t="str">
        <f t="shared" si="240"/>
        <v/>
      </c>
      <c r="CE100" s="713">
        <f>'min. Düngung 22'!AC101</f>
        <v>0</v>
      </c>
      <c r="CF100" s="938"/>
      <c r="CG100" s="938"/>
      <c r="CH100" s="938">
        <f t="shared" si="241"/>
        <v>0</v>
      </c>
      <c r="CI100" s="938">
        <f t="shared" si="242"/>
        <v>0</v>
      </c>
      <c r="CJ100" s="938">
        <f t="shared" si="243"/>
        <v>0</v>
      </c>
      <c r="CK100" s="938">
        <f t="shared" si="244"/>
        <v>0</v>
      </c>
      <c r="CL100" s="938">
        <f t="shared" si="245"/>
        <v>0</v>
      </c>
      <c r="CM100" s="938" t="str">
        <f t="shared" si="246"/>
        <v/>
      </c>
      <c r="CN100" s="713">
        <f>'min. Düngung 22'!AF101</f>
        <v>0</v>
      </c>
      <c r="CO100" s="938"/>
      <c r="CP100" s="938"/>
      <c r="CQ100" s="938">
        <f t="shared" si="247"/>
        <v>0</v>
      </c>
      <c r="CR100" s="938">
        <f t="shared" si="248"/>
        <v>0</v>
      </c>
      <c r="CS100" s="938">
        <f t="shared" si="249"/>
        <v>0</v>
      </c>
      <c r="CT100" s="938">
        <f t="shared" si="250"/>
        <v>0</v>
      </c>
      <c r="CU100" s="938">
        <f t="shared" si="251"/>
        <v>0</v>
      </c>
      <c r="CV100" s="938" t="str">
        <f t="shared" si="252"/>
        <v/>
      </c>
      <c r="CW100" s="713">
        <f>'min. Düngung 22'!AI101</f>
        <v>0</v>
      </c>
      <c r="CX100" s="938"/>
      <c r="CY100" s="938"/>
      <c r="CZ100" s="938">
        <f t="shared" si="253"/>
        <v>0</v>
      </c>
      <c r="DA100" s="938">
        <f t="shared" si="254"/>
        <v>0</v>
      </c>
      <c r="DB100" s="938">
        <f t="shared" si="255"/>
        <v>0</v>
      </c>
      <c r="DC100" s="938">
        <f t="shared" si="256"/>
        <v>0</v>
      </c>
      <c r="DD100" s="938">
        <f t="shared" si="257"/>
        <v>0</v>
      </c>
      <c r="DE100" s="938" t="str">
        <f t="shared" si="258"/>
        <v/>
      </c>
      <c r="DF100" s="713">
        <f>'min. Düngung 22'!AL101</f>
        <v>0</v>
      </c>
      <c r="DG100" s="938"/>
      <c r="DH100" s="938"/>
      <c r="DI100" s="938">
        <f t="shared" si="259"/>
        <v>0</v>
      </c>
      <c r="DJ100" s="938">
        <f t="shared" si="260"/>
        <v>0</v>
      </c>
      <c r="DK100" s="938">
        <f t="shared" si="261"/>
        <v>0</v>
      </c>
      <c r="DL100" s="938">
        <f t="shared" si="262"/>
        <v>0</v>
      </c>
      <c r="DM100" s="938">
        <f t="shared" si="263"/>
        <v>0</v>
      </c>
      <c r="DN100" s="938" t="str">
        <f t="shared" si="264"/>
        <v/>
      </c>
      <c r="DO100" s="713">
        <f>'min. Düngung 22'!AO101</f>
        <v>0</v>
      </c>
      <c r="DP100" s="938"/>
      <c r="DQ100" s="938"/>
      <c r="DR100" s="938">
        <f t="shared" si="265"/>
        <v>0</v>
      </c>
      <c r="DS100" s="938">
        <f t="shared" si="266"/>
        <v>0</v>
      </c>
      <c r="DT100" s="938">
        <f t="shared" si="267"/>
        <v>0</v>
      </c>
      <c r="DU100" s="938">
        <f t="shared" si="268"/>
        <v>0</v>
      </c>
      <c r="DV100" s="938">
        <f t="shared" si="269"/>
        <v>0</v>
      </c>
      <c r="DW100" s="938" t="str">
        <f t="shared" si="270"/>
        <v/>
      </c>
      <c r="DX100" s="713">
        <f>'min. Düngung 22'!AR101</f>
        <v>0</v>
      </c>
      <c r="DY100" s="938"/>
      <c r="DZ100" s="938"/>
      <c r="EA100" s="938">
        <f t="shared" si="271"/>
        <v>0</v>
      </c>
      <c r="EB100" s="938">
        <f t="shared" si="272"/>
        <v>0</v>
      </c>
      <c r="EC100" s="938">
        <f t="shared" si="273"/>
        <v>0</v>
      </c>
      <c r="ED100" s="938">
        <f t="shared" si="274"/>
        <v>0</v>
      </c>
      <c r="EE100" s="938">
        <f t="shared" si="275"/>
        <v>0</v>
      </c>
      <c r="EF100" s="938" t="str">
        <f t="shared" si="276"/>
        <v/>
      </c>
      <c r="EG100" s="713">
        <f>'min. Düngung 22'!AU101</f>
        <v>0</v>
      </c>
      <c r="EH100" s="938"/>
      <c r="EI100" s="938"/>
      <c r="EJ100" s="938">
        <f t="shared" si="277"/>
        <v>0</v>
      </c>
      <c r="EK100" s="938">
        <f t="shared" si="278"/>
        <v>0</v>
      </c>
      <c r="EL100" s="938">
        <f t="shared" si="279"/>
        <v>0</v>
      </c>
      <c r="EM100" s="938">
        <f t="shared" si="280"/>
        <v>0</v>
      </c>
      <c r="EN100" s="938">
        <f t="shared" si="281"/>
        <v>0</v>
      </c>
      <c r="EO100" s="938" t="str">
        <f t="shared" si="282"/>
        <v/>
      </c>
      <c r="EP100" s="713">
        <f>'min. Düngung 22'!AX101</f>
        <v>0</v>
      </c>
      <c r="EQ100" s="938"/>
      <c r="ER100" s="938"/>
      <c r="ES100" s="938">
        <f t="shared" si="283"/>
        <v>0</v>
      </c>
      <c r="ET100" s="938">
        <f t="shared" si="284"/>
        <v>0</v>
      </c>
      <c r="EU100" s="938">
        <f t="shared" si="285"/>
        <v>0</v>
      </c>
      <c r="EV100" s="938">
        <f t="shared" si="286"/>
        <v>0</v>
      </c>
      <c r="EW100" s="938">
        <f t="shared" si="287"/>
        <v>0</v>
      </c>
      <c r="EX100" s="938" t="str">
        <f t="shared" si="288"/>
        <v/>
      </c>
      <c r="EY100" s="713">
        <f>'min. Düngung 22'!BA101</f>
        <v>0</v>
      </c>
      <c r="EZ100" s="938"/>
      <c r="FA100" s="938"/>
      <c r="FB100" s="938">
        <f t="shared" si="289"/>
        <v>0</v>
      </c>
      <c r="FC100" s="938">
        <f t="shared" si="290"/>
        <v>0</v>
      </c>
      <c r="FD100" s="938">
        <f t="shared" si="291"/>
        <v>0</v>
      </c>
      <c r="FE100" s="938">
        <f t="shared" si="292"/>
        <v>0</v>
      </c>
      <c r="FF100" s="938">
        <f t="shared" si="293"/>
        <v>0</v>
      </c>
      <c r="FG100" s="938" t="str">
        <f t="shared" si="294"/>
        <v/>
      </c>
      <c r="FH100" s="713">
        <f>'min. Düngung 22'!BD101</f>
        <v>0</v>
      </c>
      <c r="FI100" s="938"/>
      <c r="FJ100" s="938"/>
      <c r="FK100" s="938">
        <f t="shared" si="295"/>
        <v>0</v>
      </c>
      <c r="FL100" s="938">
        <f t="shared" si="296"/>
        <v>0</v>
      </c>
      <c r="FM100" s="938">
        <f t="shared" si="297"/>
        <v>0</v>
      </c>
      <c r="FN100" s="938">
        <f t="shared" si="298"/>
        <v>0</v>
      </c>
      <c r="FO100" s="938">
        <f t="shared" si="299"/>
        <v>0</v>
      </c>
      <c r="FP100" s="938" t="str">
        <f t="shared" si="300"/>
        <v/>
      </c>
      <c r="FQ100" s="713">
        <f>'min. Düngung 22'!BG101</f>
        <v>0</v>
      </c>
      <c r="FR100" s="938"/>
      <c r="FS100" s="938"/>
      <c r="FT100" s="938">
        <f t="shared" si="301"/>
        <v>0</v>
      </c>
      <c r="FU100" s="938">
        <f t="shared" si="302"/>
        <v>0</v>
      </c>
      <c r="FV100" s="938">
        <f t="shared" si="303"/>
        <v>0</v>
      </c>
      <c r="FW100" s="938">
        <f t="shared" si="304"/>
        <v>0</v>
      </c>
      <c r="FX100" s="938">
        <f t="shared" si="305"/>
        <v>0</v>
      </c>
      <c r="FY100" s="938" t="str">
        <f t="shared" si="306"/>
        <v/>
      </c>
      <c r="FZ100" s="713">
        <f>'min. Düngung 22'!BJ101</f>
        <v>0</v>
      </c>
      <c r="GA100" s="938"/>
      <c r="GB100" s="938"/>
      <c r="GC100" s="938">
        <f t="shared" si="307"/>
        <v>0</v>
      </c>
      <c r="GD100" s="938">
        <f t="shared" si="308"/>
        <v>0</v>
      </c>
      <c r="GE100" s="938">
        <f t="shared" si="309"/>
        <v>0</v>
      </c>
      <c r="GF100" s="938">
        <f t="shared" si="310"/>
        <v>0</v>
      </c>
      <c r="GG100" s="938">
        <f t="shared" si="311"/>
        <v>0</v>
      </c>
      <c r="GH100" s="938" t="str">
        <f t="shared" si="312"/>
        <v/>
      </c>
      <c r="GI100" s="713">
        <f>'min. Düngung 22'!BM101</f>
        <v>0</v>
      </c>
      <c r="GJ100" s="938"/>
      <c r="GK100" s="938"/>
      <c r="GL100" s="938">
        <f t="shared" si="313"/>
        <v>0</v>
      </c>
      <c r="GM100" s="938">
        <f t="shared" si="314"/>
        <v>0</v>
      </c>
      <c r="GN100" s="938">
        <f t="shared" si="315"/>
        <v>0</v>
      </c>
      <c r="GO100" s="938">
        <f t="shared" si="316"/>
        <v>0</v>
      </c>
      <c r="GP100" s="938">
        <f t="shared" si="317"/>
        <v>0</v>
      </c>
      <c r="GQ100" s="938" t="str">
        <f t="shared" si="318"/>
        <v/>
      </c>
      <c r="GR100" s="713">
        <f>'min. Düngung 22'!BP101</f>
        <v>0</v>
      </c>
      <c r="GS100" s="938"/>
      <c r="GT100" s="938"/>
      <c r="GU100" s="938">
        <f t="shared" si="319"/>
        <v>0</v>
      </c>
      <c r="GV100" s="938">
        <f t="shared" si="320"/>
        <v>0</v>
      </c>
      <c r="GW100" s="938">
        <f t="shared" si="321"/>
        <v>0</v>
      </c>
      <c r="GX100" s="938">
        <f t="shared" si="322"/>
        <v>0</v>
      </c>
      <c r="GY100" s="938">
        <f t="shared" si="323"/>
        <v>0</v>
      </c>
      <c r="GZ100" s="938" t="str">
        <f t="shared" si="324"/>
        <v/>
      </c>
      <c r="HA100" s="713">
        <f>'min. Düngung 22'!BS101</f>
        <v>0</v>
      </c>
      <c r="HB100" s="938"/>
      <c r="HC100" s="938"/>
      <c r="HD100" s="938">
        <f t="shared" si="325"/>
        <v>0</v>
      </c>
      <c r="HE100" s="938">
        <f t="shared" si="326"/>
        <v>0</v>
      </c>
      <c r="HF100" s="938">
        <f t="shared" si="327"/>
        <v>0</v>
      </c>
      <c r="HG100" s="938">
        <f t="shared" si="328"/>
        <v>0</v>
      </c>
      <c r="HH100" s="938">
        <f t="shared" si="329"/>
        <v>0</v>
      </c>
      <c r="HI100" s="938" t="str">
        <f t="shared" si="330"/>
        <v/>
      </c>
      <c r="HJ100" s="713">
        <f>'min. Düngung 22'!BV101</f>
        <v>0</v>
      </c>
      <c r="HK100" s="938"/>
      <c r="HL100" s="938"/>
      <c r="HM100" s="938">
        <f t="shared" si="331"/>
        <v>0</v>
      </c>
      <c r="HN100" s="938">
        <f t="shared" si="332"/>
        <v>0</v>
      </c>
      <c r="HO100" s="938">
        <f t="shared" si="333"/>
        <v>0</v>
      </c>
      <c r="HP100" s="938">
        <f t="shared" si="334"/>
        <v>0</v>
      </c>
      <c r="HQ100" s="938">
        <f t="shared" si="335"/>
        <v>0</v>
      </c>
      <c r="HR100" s="938" t="str">
        <f t="shared" si="336"/>
        <v/>
      </c>
      <c r="HS100" s="713">
        <f>'min. Düngung 22'!BY101</f>
        <v>0</v>
      </c>
      <c r="HT100" s="938"/>
      <c r="HU100" s="938"/>
      <c r="HV100" s="938">
        <f t="shared" si="337"/>
        <v>0</v>
      </c>
      <c r="HW100" s="938">
        <f t="shared" si="338"/>
        <v>0</v>
      </c>
      <c r="HX100" s="938">
        <f t="shared" si="339"/>
        <v>0</v>
      </c>
      <c r="HY100" s="938">
        <f t="shared" si="340"/>
        <v>0</v>
      </c>
      <c r="HZ100" s="938">
        <f t="shared" si="341"/>
        <v>0</v>
      </c>
      <c r="IA100" s="938" t="str">
        <f t="shared" si="342"/>
        <v/>
      </c>
      <c r="IB100" s="713">
        <f>'min. Düngung 22'!CB101</f>
        <v>0</v>
      </c>
      <c r="IC100" s="938"/>
      <c r="ID100" s="938"/>
      <c r="IE100" s="938">
        <f t="shared" si="343"/>
        <v>0</v>
      </c>
      <c r="IF100" s="938">
        <f t="shared" si="344"/>
        <v>0</v>
      </c>
      <c r="IG100" s="938">
        <f t="shared" si="345"/>
        <v>0</v>
      </c>
      <c r="IH100" s="938">
        <f t="shared" si="346"/>
        <v>0</v>
      </c>
      <c r="II100" s="938">
        <f t="shared" si="347"/>
        <v>0</v>
      </c>
      <c r="IJ100" s="938" t="str">
        <f t="shared" si="348"/>
        <v/>
      </c>
      <c r="IK100" s="713">
        <f>'min. Düngung 22'!CE101</f>
        <v>0</v>
      </c>
      <c r="IL100" s="938"/>
      <c r="IM100" s="938"/>
      <c r="IN100" s="938">
        <f t="shared" si="349"/>
        <v>0</v>
      </c>
      <c r="IO100" s="938">
        <f t="shared" si="350"/>
        <v>0</v>
      </c>
      <c r="IP100" s="938">
        <f t="shared" si="351"/>
        <v>0</v>
      </c>
      <c r="IQ100" s="938">
        <f t="shared" si="352"/>
        <v>0</v>
      </c>
      <c r="IR100" s="938">
        <f t="shared" si="353"/>
        <v>0</v>
      </c>
      <c r="IS100" s="938" t="str">
        <f t="shared" si="354"/>
        <v/>
      </c>
      <c r="IT100" s="713">
        <f>'min. Düngung 22'!CH101</f>
        <v>0</v>
      </c>
      <c r="IU100" s="938"/>
      <c r="IV100" s="938"/>
      <c r="IW100" s="938">
        <f t="shared" si="355"/>
        <v>0</v>
      </c>
      <c r="IX100" s="938">
        <f t="shared" si="356"/>
        <v>0</v>
      </c>
      <c r="IY100" s="938">
        <f t="shared" si="357"/>
        <v>0</v>
      </c>
      <c r="IZ100" s="938">
        <f t="shared" si="358"/>
        <v>0</v>
      </c>
      <c r="JA100" s="938">
        <f t="shared" si="359"/>
        <v>0</v>
      </c>
      <c r="JB100" s="938" t="str">
        <f t="shared" si="360"/>
        <v/>
      </c>
      <c r="JC100" s="713">
        <f>'min. Düngung 22'!CK101</f>
        <v>0</v>
      </c>
      <c r="JD100" s="938"/>
      <c r="JE100" s="938"/>
      <c r="JF100" s="938">
        <f t="shared" si="361"/>
        <v>0</v>
      </c>
      <c r="JG100" s="938">
        <f t="shared" si="362"/>
        <v>0</v>
      </c>
      <c r="JH100" s="938">
        <f t="shared" si="363"/>
        <v>0</v>
      </c>
      <c r="JI100" s="938">
        <f t="shared" si="364"/>
        <v>0</v>
      </c>
      <c r="JJ100" s="938">
        <f t="shared" si="365"/>
        <v>0</v>
      </c>
      <c r="JK100" s="938" t="str">
        <f t="shared" si="366"/>
        <v/>
      </c>
      <c r="JL100" s="713">
        <f>'min. Düngung 22'!CN101</f>
        <v>0</v>
      </c>
      <c r="JM100" s="938"/>
      <c r="JN100" s="938"/>
      <c r="JO100" s="938">
        <f t="shared" si="367"/>
        <v>0</v>
      </c>
      <c r="JP100" s="938">
        <f t="shared" si="368"/>
        <v>0</v>
      </c>
      <c r="JQ100" s="938">
        <f t="shared" si="369"/>
        <v>0</v>
      </c>
      <c r="JR100" s="938">
        <f t="shared" si="370"/>
        <v>0</v>
      </c>
      <c r="JS100" s="938">
        <f t="shared" si="371"/>
        <v>0</v>
      </c>
      <c r="JT100" s="938" t="str">
        <f t="shared" si="372"/>
        <v/>
      </c>
      <c r="JU100" s="713">
        <f>'min. Düngung 22'!CQ101</f>
        <v>0</v>
      </c>
      <c r="JV100" s="938"/>
      <c r="JW100" s="938"/>
      <c r="JX100" s="938">
        <f t="shared" si="373"/>
        <v>0</v>
      </c>
      <c r="JY100" s="938">
        <f t="shared" si="374"/>
        <v>0</v>
      </c>
      <c r="JZ100" s="938">
        <f t="shared" si="375"/>
        <v>0</v>
      </c>
      <c r="KA100" s="938">
        <f t="shared" si="376"/>
        <v>0</v>
      </c>
      <c r="KB100" s="938">
        <f t="shared" si="377"/>
        <v>0</v>
      </c>
      <c r="KC100" s="938" t="str">
        <f t="shared" si="378"/>
        <v/>
      </c>
      <c r="KE100" s="938"/>
      <c r="KF100" s="938" t="str">
        <f>IF(AND($F100=2,$G100=1),"",IF(OR($Q100&gt;0,$O100&gt;60),$KF$7,IF(I100=70,"",IF(AND(I100=80,R100+'#orgDung'!AC103&lt;60,K100=1,OR(C100=2,'#BerechnungDBE'!AH94=4)),"",IF(R100&gt;0,$KF$7,"")))))</f>
        <v/>
      </c>
      <c r="KG100" s="938" t="str">
        <f>IF(AND(P100&gt;'#BerechnungDBE'!BJ94,P100&gt;0),'#minDung'!$KG$7,"")</f>
        <v/>
      </c>
      <c r="KH100" s="938" t="str">
        <f>IF(AND(I100=70,R100&gt;'#BerechnungDBE'!CR94),'#minDung'!$KH$7,"")</f>
        <v/>
      </c>
      <c r="KI100" s="938" t="str">
        <f>IF('#BerechnungDBE'!P94&lt;4,"",IF(AND('#BerechnungDBE'!BZ94&gt;0,N100&gt;0),$KI$7,""))</f>
        <v/>
      </c>
      <c r="KJ100" s="938" t="str">
        <f t="shared" si="197"/>
        <v/>
      </c>
    </row>
    <row r="101" spans="1:296" s="875" customFormat="1" hidden="1" x14ac:dyDescent="0.2">
      <c r="A101" s="875">
        <f>'Flächen u. Kulturen'!A100</f>
        <v>91</v>
      </c>
      <c r="B101" s="734">
        <f>'#BerechnungDBE'!L95</f>
        <v>0</v>
      </c>
      <c r="C101" s="46">
        <f>'#orgDung'!C104</f>
        <v>1</v>
      </c>
      <c r="D101" s="875">
        <f>'#BerechnungDBE'!T95</f>
        <v>2</v>
      </c>
      <c r="E101" s="875" t="str">
        <f>'Flächen u. Kulturen'!E100</f>
        <v>x</v>
      </c>
      <c r="F101" s="52">
        <f>'#BerechnungDBE'!N95</f>
        <v>1</v>
      </c>
      <c r="G101" s="52">
        <f>'#BerechnungDBE'!O95</f>
        <v>1</v>
      </c>
      <c r="H101" s="505">
        <f>'#orgDung'!J104</f>
        <v>2</v>
      </c>
      <c r="I101" s="875">
        <f>'#BerechnungDBE'!AF95</f>
        <v>0</v>
      </c>
      <c r="J101" s="875">
        <f>'#orgDung'!M104</f>
        <v>0</v>
      </c>
      <c r="K101" s="875">
        <f>'#BerechnungDBE'!AG95</f>
        <v>0</v>
      </c>
      <c r="M101" s="875">
        <f t="shared" si="192"/>
        <v>0</v>
      </c>
      <c r="N101" s="875">
        <f t="shared" si="193"/>
        <v>0</v>
      </c>
      <c r="O101" s="875">
        <f t="shared" si="194"/>
        <v>0</v>
      </c>
      <c r="P101" s="875">
        <f t="shared" si="195"/>
        <v>0</v>
      </c>
      <c r="Q101" s="938">
        <f t="shared" si="198"/>
        <v>0</v>
      </c>
      <c r="R101" s="875">
        <f t="shared" si="196"/>
        <v>0</v>
      </c>
      <c r="T101" s="713">
        <f>'min. Düngung 22'!H102</f>
        <v>0</v>
      </c>
      <c r="W101" s="875">
        <f t="shared" si="199"/>
        <v>0</v>
      </c>
      <c r="X101" s="875">
        <f t="shared" si="200"/>
        <v>0</v>
      </c>
      <c r="Y101" s="875">
        <f t="shared" si="201"/>
        <v>0</v>
      </c>
      <c r="Z101" s="875">
        <f t="shared" si="202"/>
        <v>0</v>
      </c>
      <c r="AA101" s="875">
        <f t="shared" si="203"/>
        <v>0</v>
      </c>
      <c r="AB101" s="875" t="str">
        <f t="shared" si="204"/>
        <v/>
      </c>
      <c r="AC101" s="713">
        <f>'min. Düngung 22'!K102</f>
        <v>0</v>
      </c>
      <c r="AD101" s="938"/>
      <c r="AE101" s="938"/>
      <c r="AF101" s="938">
        <f t="shared" si="205"/>
        <v>0</v>
      </c>
      <c r="AG101" s="938">
        <f t="shared" si="206"/>
        <v>0</v>
      </c>
      <c r="AH101" s="938">
        <f t="shared" si="207"/>
        <v>0</v>
      </c>
      <c r="AI101" s="938">
        <f t="shared" si="208"/>
        <v>0</v>
      </c>
      <c r="AJ101" s="938">
        <f t="shared" si="209"/>
        <v>0</v>
      </c>
      <c r="AK101" s="938">
        <f t="shared" si="210"/>
        <v>0</v>
      </c>
      <c r="AL101" s="713">
        <f>'min. Düngung 22'!N102</f>
        <v>0</v>
      </c>
      <c r="AM101" s="938"/>
      <c r="AN101" s="938"/>
      <c r="AO101" s="938">
        <f t="shared" si="211"/>
        <v>0</v>
      </c>
      <c r="AP101" s="938">
        <f t="shared" si="212"/>
        <v>0</v>
      </c>
      <c r="AQ101" s="938">
        <f t="shared" si="213"/>
        <v>0</v>
      </c>
      <c r="AR101" s="938">
        <f t="shared" si="214"/>
        <v>0</v>
      </c>
      <c r="AS101" s="938">
        <f t="shared" si="215"/>
        <v>0</v>
      </c>
      <c r="AT101" s="938" t="str">
        <f t="shared" si="216"/>
        <v/>
      </c>
      <c r="AU101" s="713">
        <f>'min. Düngung 22'!Q102</f>
        <v>0</v>
      </c>
      <c r="AV101" s="938"/>
      <c r="AW101" s="938"/>
      <c r="AX101" s="938">
        <f t="shared" si="217"/>
        <v>0</v>
      </c>
      <c r="AY101" s="938">
        <f t="shared" si="218"/>
        <v>0</v>
      </c>
      <c r="AZ101" s="938">
        <f t="shared" si="219"/>
        <v>0</v>
      </c>
      <c r="BA101" s="938">
        <f t="shared" si="220"/>
        <v>0</v>
      </c>
      <c r="BB101" s="938">
        <f t="shared" si="221"/>
        <v>0</v>
      </c>
      <c r="BC101" s="938" t="str">
        <f t="shared" si="222"/>
        <v/>
      </c>
      <c r="BD101" s="713">
        <f>'min. Düngung 22'!T102</f>
        <v>0</v>
      </c>
      <c r="BE101" s="938"/>
      <c r="BF101" s="938"/>
      <c r="BG101" s="938">
        <f t="shared" si="223"/>
        <v>0</v>
      </c>
      <c r="BH101" s="938">
        <f t="shared" si="224"/>
        <v>0</v>
      </c>
      <c r="BI101" s="938">
        <f t="shared" si="225"/>
        <v>0</v>
      </c>
      <c r="BJ101" s="938">
        <f t="shared" si="226"/>
        <v>0</v>
      </c>
      <c r="BK101" s="938">
        <f t="shared" si="227"/>
        <v>0</v>
      </c>
      <c r="BL101" s="938" t="str">
        <f t="shared" si="228"/>
        <v/>
      </c>
      <c r="BM101" s="713">
        <f>'min. Düngung 22'!W102</f>
        <v>0</v>
      </c>
      <c r="BN101" s="938"/>
      <c r="BO101" s="938"/>
      <c r="BP101" s="938">
        <f t="shared" si="229"/>
        <v>0</v>
      </c>
      <c r="BQ101" s="938">
        <f t="shared" si="230"/>
        <v>0</v>
      </c>
      <c r="BR101" s="938">
        <f t="shared" si="231"/>
        <v>0</v>
      </c>
      <c r="BS101" s="938">
        <f t="shared" si="232"/>
        <v>0</v>
      </c>
      <c r="BT101" s="938">
        <f t="shared" si="233"/>
        <v>0</v>
      </c>
      <c r="BU101" s="938" t="str">
        <f t="shared" si="234"/>
        <v/>
      </c>
      <c r="BV101" s="713">
        <f>'min. Düngung 22'!Z102</f>
        <v>0</v>
      </c>
      <c r="BW101" s="938"/>
      <c r="BX101" s="938"/>
      <c r="BY101" s="938">
        <f t="shared" si="235"/>
        <v>0</v>
      </c>
      <c r="BZ101" s="938">
        <f t="shared" si="236"/>
        <v>0</v>
      </c>
      <c r="CA101" s="938">
        <f t="shared" si="237"/>
        <v>0</v>
      </c>
      <c r="CB101" s="938">
        <f t="shared" si="238"/>
        <v>0</v>
      </c>
      <c r="CC101" s="938">
        <f t="shared" si="239"/>
        <v>0</v>
      </c>
      <c r="CD101" s="938" t="str">
        <f t="shared" si="240"/>
        <v/>
      </c>
      <c r="CE101" s="713">
        <f>'min. Düngung 22'!AC102</f>
        <v>0</v>
      </c>
      <c r="CF101" s="938"/>
      <c r="CG101" s="938"/>
      <c r="CH101" s="938">
        <f t="shared" si="241"/>
        <v>0</v>
      </c>
      <c r="CI101" s="938">
        <f t="shared" si="242"/>
        <v>0</v>
      </c>
      <c r="CJ101" s="938">
        <f t="shared" si="243"/>
        <v>0</v>
      </c>
      <c r="CK101" s="938">
        <f t="shared" si="244"/>
        <v>0</v>
      </c>
      <c r="CL101" s="938">
        <f t="shared" si="245"/>
        <v>0</v>
      </c>
      <c r="CM101" s="938" t="str">
        <f t="shared" si="246"/>
        <v/>
      </c>
      <c r="CN101" s="713">
        <f>'min. Düngung 22'!AF102</f>
        <v>0</v>
      </c>
      <c r="CO101" s="938"/>
      <c r="CP101" s="938"/>
      <c r="CQ101" s="938">
        <f t="shared" si="247"/>
        <v>0</v>
      </c>
      <c r="CR101" s="938">
        <f t="shared" si="248"/>
        <v>0</v>
      </c>
      <c r="CS101" s="938">
        <f t="shared" si="249"/>
        <v>0</v>
      </c>
      <c r="CT101" s="938">
        <f t="shared" si="250"/>
        <v>0</v>
      </c>
      <c r="CU101" s="938">
        <f t="shared" si="251"/>
        <v>0</v>
      </c>
      <c r="CV101" s="938" t="str">
        <f t="shared" si="252"/>
        <v/>
      </c>
      <c r="CW101" s="713">
        <f>'min. Düngung 22'!AI102</f>
        <v>0</v>
      </c>
      <c r="CX101" s="938"/>
      <c r="CY101" s="938"/>
      <c r="CZ101" s="938">
        <f t="shared" si="253"/>
        <v>0</v>
      </c>
      <c r="DA101" s="938">
        <f t="shared" si="254"/>
        <v>0</v>
      </c>
      <c r="DB101" s="938">
        <f t="shared" si="255"/>
        <v>0</v>
      </c>
      <c r="DC101" s="938">
        <f t="shared" si="256"/>
        <v>0</v>
      </c>
      <c r="DD101" s="938">
        <f t="shared" si="257"/>
        <v>0</v>
      </c>
      <c r="DE101" s="938" t="str">
        <f t="shared" si="258"/>
        <v/>
      </c>
      <c r="DF101" s="713">
        <f>'min. Düngung 22'!AL102</f>
        <v>0</v>
      </c>
      <c r="DG101" s="938"/>
      <c r="DH101" s="938"/>
      <c r="DI101" s="938">
        <f t="shared" si="259"/>
        <v>0</v>
      </c>
      <c r="DJ101" s="938">
        <f t="shared" si="260"/>
        <v>0</v>
      </c>
      <c r="DK101" s="938">
        <f t="shared" si="261"/>
        <v>0</v>
      </c>
      <c r="DL101" s="938">
        <f t="shared" si="262"/>
        <v>0</v>
      </c>
      <c r="DM101" s="938">
        <f t="shared" si="263"/>
        <v>0</v>
      </c>
      <c r="DN101" s="938" t="str">
        <f t="shared" si="264"/>
        <v/>
      </c>
      <c r="DO101" s="713">
        <f>'min. Düngung 22'!AO102</f>
        <v>0</v>
      </c>
      <c r="DP101" s="938"/>
      <c r="DQ101" s="938"/>
      <c r="DR101" s="938">
        <f t="shared" si="265"/>
        <v>0</v>
      </c>
      <c r="DS101" s="938">
        <f t="shared" si="266"/>
        <v>0</v>
      </c>
      <c r="DT101" s="938">
        <f t="shared" si="267"/>
        <v>0</v>
      </c>
      <c r="DU101" s="938">
        <f t="shared" si="268"/>
        <v>0</v>
      </c>
      <c r="DV101" s="938">
        <f t="shared" si="269"/>
        <v>0</v>
      </c>
      <c r="DW101" s="938" t="str">
        <f t="shared" si="270"/>
        <v/>
      </c>
      <c r="DX101" s="713">
        <f>'min. Düngung 22'!AR102</f>
        <v>0</v>
      </c>
      <c r="DY101" s="938"/>
      <c r="DZ101" s="938"/>
      <c r="EA101" s="938">
        <f t="shared" si="271"/>
        <v>0</v>
      </c>
      <c r="EB101" s="938">
        <f t="shared" si="272"/>
        <v>0</v>
      </c>
      <c r="EC101" s="938">
        <f t="shared" si="273"/>
        <v>0</v>
      </c>
      <c r="ED101" s="938">
        <f t="shared" si="274"/>
        <v>0</v>
      </c>
      <c r="EE101" s="938">
        <f t="shared" si="275"/>
        <v>0</v>
      </c>
      <c r="EF101" s="938" t="str">
        <f t="shared" si="276"/>
        <v/>
      </c>
      <c r="EG101" s="713">
        <f>'min. Düngung 22'!AU102</f>
        <v>0</v>
      </c>
      <c r="EH101" s="938"/>
      <c r="EI101" s="938"/>
      <c r="EJ101" s="938">
        <f t="shared" si="277"/>
        <v>0</v>
      </c>
      <c r="EK101" s="938">
        <f t="shared" si="278"/>
        <v>0</v>
      </c>
      <c r="EL101" s="938">
        <f t="shared" si="279"/>
        <v>0</v>
      </c>
      <c r="EM101" s="938">
        <f t="shared" si="280"/>
        <v>0</v>
      </c>
      <c r="EN101" s="938">
        <f t="shared" si="281"/>
        <v>0</v>
      </c>
      <c r="EO101" s="938" t="str">
        <f t="shared" si="282"/>
        <v/>
      </c>
      <c r="EP101" s="713">
        <f>'min. Düngung 22'!AX102</f>
        <v>0</v>
      </c>
      <c r="EQ101" s="938"/>
      <c r="ER101" s="938"/>
      <c r="ES101" s="938">
        <f t="shared" si="283"/>
        <v>0</v>
      </c>
      <c r="ET101" s="938">
        <f t="shared" si="284"/>
        <v>0</v>
      </c>
      <c r="EU101" s="938">
        <f t="shared" si="285"/>
        <v>0</v>
      </c>
      <c r="EV101" s="938">
        <f t="shared" si="286"/>
        <v>0</v>
      </c>
      <c r="EW101" s="938">
        <f t="shared" si="287"/>
        <v>0</v>
      </c>
      <c r="EX101" s="938" t="str">
        <f t="shared" si="288"/>
        <v/>
      </c>
      <c r="EY101" s="713">
        <f>'min. Düngung 22'!BA102</f>
        <v>0</v>
      </c>
      <c r="EZ101" s="938"/>
      <c r="FA101" s="938"/>
      <c r="FB101" s="938">
        <f t="shared" si="289"/>
        <v>0</v>
      </c>
      <c r="FC101" s="938">
        <f t="shared" si="290"/>
        <v>0</v>
      </c>
      <c r="FD101" s="938">
        <f t="shared" si="291"/>
        <v>0</v>
      </c>
      <c r="FE101" s="938">
        <f t="shared" si="292"/>
        <v>0</v>
      </c>
      <c r="FF101" s="938">
        <f t="shared" si="293"/>
        <v>0</v>
      </c>
      <c r="FG101" s="938" t="str">
        <f t="shared" si="294"/>
        <v/>
      </c>
      <c r="FH101" s="713">
        <f>'min. Düngung 22'!BD102</f>
        <v>0</v>
      </c>
      <c r="FI101" s="938"/>
      <c r="FJ101" s="938"/>
      <c r="FK101" s="938">
        <f t="shared" si="295"/>
        <v>0</v>
      </c>
      <c r="FL101" s="938">
        <f t="shared" si="296"/>
        <v>0</v>
      </c>
      <c r="FM101" s="938">
        <f t="shared" si="297"/>
        <v>0</v>
      </c>
      <c r="FN101" s="938">
        <f t="shared" si="298"/>
        <v>0</v>
      </c>
      <c r="FO101" s="938">
        <f t="shared" si="299"/>
        <v>0</v>
      </c>
      <c r="FP101" s="938" t="str">
        <f t="shared" si="300"/>
        <v/>
      </c>
      <c r="FQ101" s="713">
        <f>'min. Düngung 22'!BG102</f>
        <v>0</v>
      </c>
      <c r="FR101" s="938"/>
      <c r="FS101" s="938"/>
      <c r="FT101" s="938">
        <f t="shared" si="301"/>
        <v>0</v>
      </c>
      <c r="FU101" s="938">
        <f t="shared" si="302"/>
        <v>0</v>
      </c>
      <c r="FV101" s="938">
        <f t="shared" si="303"/>
        <v>0</v>
      </c>
      <c r="FW101" s="938">
        <f t="shared" si="304"/>
        <v>0</v>
      </c>
      <c r="FX101" s="938">
        <f t="shared" si="305"/>
        <v>0</v>
      </c>
      <c r="FY101" s="938" t="str">
        <f t="shared" si="306"/>
        <v/>
      </c>
      <c r="FZ101" s="713">
        <f>'min. Düngung 22'!BJ102</f>
        <v>0</v>
      </c>
      <c r="GA101" s="938"/>
      <c r="GB101" s="938"/>
      <c r="GC101" s="938">
        <f t="shared" si="307"/>
        <v>0</v>
      </c>
      <c r="GD101" s="938">
        <f t="shared" si="308"/>
        <v>0</v>
      </c>
      <c r="GE101" s="938">
        <f t="shared" si="309"/>
        <v>0</v>
      </c>
      <c r="GF101" s="938">
        <f t="shared" si="310"/>
        <v>0</v>
      </c>
      <c r="GG101" s="938">
        <f t="shared" si="311"/>
        <v>0</v>
      </c>
      <c r="GH101" s="938" t="str">
        <f t="shared" si="312"/>
        <v/>
      </c>
      <c r="GI101" s="713">
        <f>'min. Düngung 22'!BM102</f>
        <v>0</v>
      </c>
      <c r="GJ101" s="938"/>
      <c r="GK101" s="938"/>
      <c r="GL101" s="938">
        <f t="shared" si="313"/>
        <v>0</v>
      </c>
      <c r="GM101" s="938">
        <f t="shared" si="314"/>
        <v>0</v>
      </c>
      <c r="GN101" s="938">
        <f t="shared" si="315"/>
        <v>0</v>
      </c>
      <c r="GO101" s="938">
        <f t="shared" si="316"/>
        <v>0</v>
      </c>
      <c r="GP101" s="938">
        <f t="shared" si="317"/>
        <v>0</v>
      </c>
      <c r="GQ101" s="938" t="str">
        <f t="shared" si="318"/>
        <v/>
      </c>
      <c r="GR101" s="713">
        <f>'min. Düngung 22'!BP102</f>
        <v>0</v>
      </c>
      <c r="GS101" s="938"/>
      <c r="GT101" s="938"/>
      <c r="GU101" s="938">
        <f t="shared" si="319"/>
        <v>0</v>
      </c>
      <c r="GV101" s="938">
        <f t="shared" si="320"/>
        <v>0</v>
      </c>
      <c r="GW101" s="938">
        <f t="shared" si="321"/>
        <v>0</v>
      </c>
      <c r="GX101" s="938">
        <f t="shared" si="322"/>
        <v>0</v>
      </c>
      <c r="GY101" s="938">
        <f t="shared" si="323"/>
        <v>0</v>
      </c>
      <c r="GZ101" s="938" t="str">
        <f t="shared" si="324"/>
        <v/>
      </c>
      <c r="HA101" s="713">
        <f>'min. Düngung 22'!BS102</f>
        <v>0</v>
      </c>
      <c r="HB101" s="938"/>
      <c r="HC101" s="938"/>
      <c r="HD101" s="938">
        <f t="shared" si="325"/>
        <v>0</v>
      </c>
      <c r="HE101" s="938">
        <f t="shared" si="326"/>
        <v>0</v>
      </c>
      <c r="HF101" s="938">
        <f t="shared" si="327"/>
        <v>0</v>
      </c>
      <c r="HG101" s="938">
        <f t="shared" si="328"/>
        <v>0</v>
      </c>
      <c r="HH101" s="938">
        <f t="shared" si="329"/>
        <v>0</v>
      </c>
      <c r="HI101" s="938" t="str">
        <f t="shared" si="330"/>
        <v/>
      </c>
      <c r="HJ101" s="713">
        <f>'min. Düngung 22'!BV102</f>
        <v>0</v>
      </c>
      <c r="HK101" s="938"/>
      <c r="HL101" s="938"/>
      <c r="HM101" s="938">
        <f t="shared" si="331"/>
        <v>0</v>
      </c>
      <c r="HN101" s="938">
        <f t="shared" si="332"/>
        <v>0</v>
      </c>
      <c r="HO101" s="938">
        <f t="shared" si="333"/>
        <v>0</v>
      </c>
      <c r="HP101" s="938">
        <f t="shared" si="334"/>
        <v>0</v>
      </c>
      <c r="HQ101" s="938">
        <f t="shared" si="335"/>
        <v>0</v>
      </c>
      <c r="HR101" s="938" t="str">
        <f t="shared" si="336"/>
        <v/>
      </c>
      <c r="HS101" s="713">
        <f>'min. Düngung 22'!BY102</f>
        <v>0</v>
      </c>
      <c r="HT101" s="938"/>
      <c r="HU101" s="938"/>
      <c r="HV101" s="938">
        <f t="shared" si="337"/>
        <v>0</v>
      </c>
      <c r="HW101" s="938">
        <f t="shared" si="338"/>
        <v>0</v>
      </c>
      <c r="HX101" s="938">
        <f t="shared" si="339"/>
        <v>0</v>
      </c>
      <c r="HY101" s="938">
        <f t="shared" si="340"/>
        <v>0</v>
      </c>
      <c r="HZ101" s="938">
        <f t="shared" si="341"/>
        <v>0</v>
      </c>
      <c r="IA101" s="938" t="str">
        <f t="shared" si="342"/>
        <v/>
      </c>
      <c r="IB101" s="713">
        <f>'min. Düngung 22'!CB102</f>
        <v>0</v>
      </c>
      <c r="IC101" s="938"/>
      <c r="ID101" s="938"/>
      <c r="IE101" s="938">
        <f t="shared" si="343"/>
        <v>0</v>
      </c>
      <c r="IF101" s="938">
        <f t="shared" si="344"/>
        <v>0</v>
      </c>
      <c r="IG101" s="938">
        <f t="shared" si="345"/>
        <v>0</v>
      </c>
      <c r="IH101" s="938">
        <f t="shared" si="346"/>
        <v>0</v>
      </c>
      <c r="II101" s="938">
        <f t="shared" si="347"/>
        <v>0</v>
      </c>
      <c r="IJ101" s="938" t="str">
        <f t="shared" si="348"/>
        <v/>
      </c>
      <c r="IK101" s="713">
        <f>'min. Düngung 22'!CE102</f>
        <v>0</v>
      </c>
      <c r="IL101" s="938"/>
      <c r="IM101" s="938"/>
      <c r="IN101" s="938">
        <f t="shared" si="349"/>
        <v>0</v>
      </c>
      <c r="IO101" s="938">
        <f t="shared" si="350"/>
        <v>0</v>
      </c>
      <c r="IP101" s="938">
        <f t="shared" si="351"/>
        <v>0</v>
      </c>
      <c r="IQ101" s="938">
        <f t="shared" si="352"/>
        <v>0</v>
      </c>
      <c r="IR101" s="938">
        <f t="shared" si="353"/>
        <v>0</v>
      </c>
      <c r="IS101" s="938" t="str">
        <f t="shared" si="354"/>
        <v/>
      </c>
      <c r="IT101" s="713">
        <f>'min. Düngung 22'!CH102</f>
        <v>0</v>
      </c>
      <c r="IU101" s="938"/>
      <c r="IV101" s="938"/>
      <c r="IW101" s="938">
        <f t="shared" si="355"/>
        <v>0</v>
      </c>
      <c r="IX101" s="938">
        <f t="shared" si="356"/>
        <v>0</v>
      </c>
      <c r="IY101" s="938">
        <f t="shared" si="357"/>
        <v>0</v>
      </c>
      <c r="IZ101" s="938">
        <f t="shared" si="358"/>
        <v>0</v>
      </c>
      <c r="JA101" s="938">
        <f t="shared" si="359"/>
        <v>0</v>
      </c>
      <c r="JB101" s="938" t="str">
        <f t="shared" si="360"/>
        <v/>
      </c>
      <c r="JC101" s="713">
        <f>'min. Düngung 22'!CK102</f>
        <v>0</v>
      </c>
      <c r="JD101" s="938"/>
      <c r="JE101" s="938"/>
      <c r="JF101" s="938">
        <f t="shared" si="361"/>
        <v>0</v>
      </c>
      <c r="JG101" s="938">
        <f t="shared" si="362"/>
        <v>0</v>
      </c>
      <c r="JH101" s="938">
        <f t="shared" si="363"/>
        <v>0</v>
      </c>
      <c r="JI101" s="938">
        <f t="shared" si="364"/>
        <v>0</v>
      </c>
      <c r="JJ101" s="938">
        <f t="shared" si="365"/>
        <v>0</v>
      </c>
      <c r="JK101" s="938" t="str">
        <f t="shared" si="366"/>
        <v/>
      </c>
      <c r="JL101" s="713">
        <f>'min. Düngung 22'!CN102</f>
        <v>0</v>
      </c>
      <c r="JM101" s="938"/>
      <c r="JN101" s="938"/>
      <c r="JO101" s="938">
        <f t="shared" si="367"/>
        <v>0</v>
      </c>
      <c r="JP101" s="938">
        <f t="shared" si="368"/>
        <v>0</v>
      </c>
      <c r="JQ101" s="938">
        <f t="shared" si="369"/>
        <v>0</v>
      </c>
      <c r="JR101" s="938">
        <f t="shared" si="370"/>
        <v>0</v>
      </c>
      <c r="JS101" s="938">
        <f t="shared" si="371"/>
        <v>0</v>
      </c>
      <c r="JT101" s="938" t="str">
        <f t="shared" si="372"/>
        <v/>
      </c>
      <c r="JU101" s="713">
        <f>'min. Düngung 22'!CQ102</f>
        <v>0</v>
      </c>
      <c r="JV101" s="938"/>
      <c r="JW101" s="938"/>
      <c r="JX101" s="938">
        <f t="shared" si="373"/>
        <v>0</v>
      </c>
      <c r="JY101" s="938">
        <f t="shared" si="374"/>
        <v>0</v>
      </c>
      <c r="JZ101" s="938">
        <f t="shared" si="375"/>
        <v>0</v>
      </c>
      <c r="KA101" s="938">
        <f t="shared" si="376"/>
        <v>0</v>
      </c>
      <c r="KB101" s="938">
        <f t="shared" si="377"/>
        <v>0</v>
      </c>
      <c r="KC101" s="938" t="str">
        <f t="shared" si="378"/>
        <v/>
      </c>
      <c r="KE101" s="938"/>
      <c r="KF101" s="938" t="str">
        <f>IF(AND($F101=2,$G101=1),"",IF(OR($Q101&gt;0,$O101&gt;60),$KF$7,IF(I101=70,"",IF(AND(I101=80,R101+'#orgDung'!AC104&lt;60,K101=1,OR(C101=2,'#BerechnungDBE'!AH95=4)),"",IF(R101&gt;0,$KF$7,"")))))</f>
        <v/>
      </c>
      <c r="KG101" s="938" t="str">
        <f>IF(AND(P101&gt;'#BerechnungDBE'!BJ95,P101&gt;0),'#minDung'!$KG$7,"")</f>
        <v/>
      </c>
      <c r="KH101" s="938" t="str">
        <f>IF(AND(I101=70,R101&gt;'#BerechnungDBE'!CR95),'#minDung'!$KH$7,"")</f>
        <v/>
      </c>
      <c r="KI101" s="938" t="str">
        <f>IF('#BerechnungDBE'!P95&lt;4,"",IF(AND('#BerechnungDBE'!BZ95&gt;0,N101&gt;0),$KI$7,""))</f>
        <v/>
      </c>
      <c r="KJ101" s="938" t="str">
        <f t="shared" si="197"/>
        <v/>
      </c>
    </row>
    <row r="102" spans="1:296" s="875" customFormat="1" hidden="1" x14ac:dyDescent="0.2">
      <c r="A102" s="875">
        <f>'Flächen u. Kulturen'!A101</f>
        <v>92</v>
      </c>
      <c r="B102" s="734">
        <f>'#BerechnungDBE'!L96</f>
        <v>0</v>
      </c>
      <c r="C102" s="46">
        <f>'#orgDung'!C105</f>
        <v>1</v>
      </c>
      <c r="D102" s="875">
        <f>'#BerechnungDBE'!T96</f>
        <v>2</v>
      </c>
      <c r="E102" s="875" t="str">
        <f>'Flächen u. Kulturen'!E101</f>
        <v>x</v>
      </c>
      <c r="F102" s="52">
        <f>'#BerechnungDBE'!N96</f>
        <v>1</v>
      </c>
      <c r="G102" s="52">
        <f>'#BerechnungDBE'!O96</f>
        <v>1</v>
      </c>
      <c r="H102" s="505">
        <f>'#orgDung'!J105</f>
        <v>2</v>
      </c>
      <c r="I102" s="875">
        <f>'#BerechnungDBE'!AF96</f>
        <v>0</v>
      </c>
      <c r="J102" s="875">
        <f>'#orgDung'!M105</f>
        <v>0</v>
      </c>
      <c r="K102" s="875">
        <f>'#BerechnungDBE'!AG96</f>
        <v>0</v>
      </c>
      <c r="M102" s="875">
        <f t="shared" si="192"/>
        <v>0</v>
      </c>
      <c r="N102" s="875">
        <f t="shared" si="193"/>
        <v>0</v>
      </c>
      <c r="O102" s="875">
        <f t="shared" si="194"/>
        <v>0</v>
      </c>
      <c r="P102" s="875">
        <f t="shared" si="195"/>
        <v>0</v>
      </c>
      <c r="Q102" s="938">
        <f t="shared" si="198"/>
        <v>0</v>
      </c>
      <c r="R102" s="875">
        <f t="shared" si="196"/>
        <v>0</v>
      </c>
      <c r="T102" s="713">
        <f>'min. Düngung 22'!H103</f>
        <v>0</v>
      </c>
      <c r="W102" s="875">
        <f t="shared" si="199"/>
        <v>0</v>
      </c>
      <c r="X102" s="875">
        <f t="shared" si="200"/>
        <v>0</v>
      </c>
      <c r="Y102" s="875">
        <f t="shared" si="201"/>
        <v>0</v>
      </c>
      <c r="Z102" s="875">
        <f t="shared" si="202"/>
        <v>0</v>
      </c>
      <c r="AA102" s="875">
        <f t="shared" si="203"/>
        <v>0</v>
      </c>
      <c r="AB102" s="875" t="str">
        <f t="shared" si="204"/>
        <v/>
      </c>
      <c r="AC102" s="713">
        <f>'min. Düngung 22'!K103</f>
        <v>0</v>
      </c>
      <c r="AD102" s="938"/>
      <c r="AE102" s="938"/>
      <c r="AF102" s="938">
        <f t="shared" si="205"/>
        <v>0</v>
      </c>
      <c r="AG102" s="938">
        <f t="shared" si="206"/>
        <v>0</v>
      </c>
      <c r="AH102" s="938">
        <f t="shared" si="207"/>
        <v>0</v>
      </c>
      <c r="AI102" s="938">
        <f t="shared" si="208"/>
        <v>0</v>
      </c>
      <c r="AJ102" s="938">
        <f t="shared" si="209"/>
        <v>0</v>
      </c>
      <c r="AK102" s="938">
        <f t="shared" si="210"/>
        <v>0</v>
      </c>
      <c r="AL102" s="713">
        <f>'min. Düngung 22'!N103</f>
        <v>0</v>
      </c>
      <c r="AM102" s="938"/>
      <c r="AN102" s="938"/>
      <c r="AO102" s="938">
        <f t="shared" si="211"/>
        <v>0</v>
      </c>
      <c r="AP102" s="938">
        <f t="shared" si="212"/>
        <v>0</v>
      </c>
      <c r="AQ102" s="938">
        <f t="shared" si="213"/>
        <v>0</v>
      </c>
      <c r="AR102" s="938">
        <f t="shared" si="214"/>
        <v>0</v>
      </c>
      <c r="AS102" s="938">
        <f t="shared" si="215"/>
        <v>0</v>
      </c>
      <c r="AT102" s="938" t="str">
        <f t="shared" si="216"/>
        <v/>
      </c>
      <c r="AU102" s="713">
        <f>'min. Düngung 22'!Q103</f>
        <v>0</v>
      </c>
      <c r="AV102" s="938"/>
      <c r="AW102" s="938"/>
      <c r="AX102" s="938">
        <f t="shared" si="217"/>
        <v>0</v>
      </c>
      <c r="AY102" s="938">
        <f t="shared" si="218"/>
        <v>0</v>
      </c>
      <c r="AZ102" s="938">
        <f t="shared" si="219"/>
        <v>0</v>
      </c>
      <c r="BA102" s="938">
        <f t="shared" si="220"/>
        <v>0</v>
      </c>
      <c r="BB102" s="938">
        <f t="shared" si="221"/>
        <v>0</v>
      </c>
      <c r="BC102" s="938" t="str">
        <f t="shared" si="222"/>
        <v/>
      </c>
      <c r="BD102" s="713">
        <f>'min. Düngung 22'!T103</f>
        <v>0</v>
      </c>
      <c r="BE102" s="938"/>
      <c r="BF102" s="938"/>
      <c r="BG102" s="938">
        <f t="shared" si="223"/>
        <v>0</v>
      </c>
      <c r="BH102" s="938">
        <f t="shared" si="224"/>
        <v>0</v>
      </c>
      <c r="BI102" s="938">
        <f t="shared" si="225"/>
        <v>0</v>
      </c>
      <c r="BJ102" s="938">
        <f t="shared" si="226"/>
        <v>0</v>
      </c>
      <c r="BK102" s="938">
        <f t="shared" si="227"/>
        <v>0</v>
      </c>
      <c r="BL102" s="938" t="str">
        <f t="shared" si="228"/>
        <v/>
      </c>
      <c r="BM102" s="713">
        <f>'min. Düngung 22'!W103</f>
        <v>0</v>
      </c>
      <c r="BN102" s="938"/>
      <c r="BO102" s="938"/>
      <c r="BP102" s="938">
        <f t="shared" si="229"/>
        <v>0</v>
      </c>
      <c r="BQ102" s="938">
        <f t="shared" si="230"/>
        <v>0</v>
      </c>
      <c r="BR102" s="938">
        <f t="shared" si="231"/>
        <v>0</v>
      </c>
      <c r="BS102" s="938">
        <f t="shared" si="232"/>
        <v>0</v>
      </c>
      <c r="BT102" s="938">
        <f t="shared" si="233"/>
        <v>0</v>
      </c>
      <c r="BU102" s="938" t="str">
        <f t="shared" si="234"/>
        <v/>
      </c>
      <c r="BV102" s="713">
        <f>'min. Düngung 22'!Z103</f>
        <v>0</v>
      </c>
      <c r="BW102" s="938"/>
      <c r="BX102" s="938"/>
      <c r="BY102" s="938">
        <f t="shared" si="235"/>
        <v>0</v>
      </c>
      <c r="BZ102" s="938">
        <f t="shared" si="236"/>
        <v>0</v>
      </c>
      <c r="CA102" s="938">
        <f t="shared" si="237"/>
        <v>0</v>
      </c>
      <c r="CB102" s="938">
        <f t="shared" si="238"/>
        <v>0</v>
      </c>
      <c r="CC102" s="938">
        <f t="shared" si="239"/>
        <v>0</v>
      </c>
      <c r="CD102" s="938" t="str">
        <f t="shared" si="240"/>
        <v/>
      </c>
      <c r="CE102" s="713">
        <f>'min. Düngung 22'!AC103</f>
        <v>0</v>
      </c>
      <c r="CF102" s="938"/>
      <c r="CG102" s="938"/>
      <c r="CH102" s="938">
        <f t="shared" si="241"/>
        <v>0</v>
      </c>
      <c r="CI102" s="938">
        <f t="shared" si="242"/>
        <v>0</v>
      </c>
      <c r="CJ102" s="938">
        <f t="shared" si="243"/>
        <v>0</v>
      </c>
      <c r="CK102" s="938">
        <f t="shared" si="244"/>
        <v>0</v>
      </c>
      <c r="CL102" s="938">
        <f t="shared" si="245"/>
        <v>0</v>
      </c>
      <c r="CM102" s="938" t="str">
        <f t="shared" si="246"/>
        <v/>
      </c>
      <c r="CN102" s="713">
        <f>'min. Düngung 22'!AF103</f>
        <v>0</v>
      </c>
      <c r="CO102" s="938"/>
      <c r="CP102" s="938"/>
      <c r="CQ102" s="938">
        <f t="shared" si="247"/>
        <v>0</v>
      </c>
      <c r="CR102" s="938">
        <f t="shared" si="248"/>
        <v>0</v>
      </c>
      <c r="CS102" s="938">
        <f t="shared" si="249"/>
        <v>0</v>
      </c>
      <c r="CT102" s="938">
        <f t="shared" si="250"/>
        <v>0</v>
      </c>
      <c r="CU102" s="938">
        <f t="shared" si="251"/>
        <v>0</v>
      </c>
      <c r="CV102" s="938" t="str">
        <f t="shared" si="252"/>
        <v/>
      </c>
      <c r="CW102" s="713">
        <f>'min. Düngung 22'!AI103</f>
        <v>0</v>
      </c>
      <c r="CX102" s="938"/>
      <c r="CY102" s="938"/>
      <c r="CZ102" s="938">
        <f t="shared" si="253"/>
        <v>0</v>
      </c>
      <c r="DA102" s="938">
        <f t="shared" si="254"/>
        <v>0</v>
      </c>
      <c r="DB102" s="938">
        <f t="shared" si="255"/>
        <v>0</v>
      </c>
      <c r="DC102" s="938">
        <f t="shared" si="256"/>
        <v>0</v>
      </c>
      <c r="DD102" s="938">
        <f t="shared" si="257"/>
        <v>0</v>
      </c>
      <c r="DE102" s="938" t="str">
        <f t="shared" si="258"/>
        <v/>
      </c>
      <c r="DF102" s="713">
        <f>'min. Düngung 22'!AL103</f>
        <v>0</v>
      </c>
      <c r="DG102" s="938"/>
      <c r="DH102" s="938"/>
      <c r="DI102" s="938">
        <f t="shared" si="259"/>
        <v>0</v>
      </c>
      <c r="DJ102" s="938">
        <f t="shared" si="260"/>
        <v>0</v>
      </c>
      <c r="DK102" s="938">
        <f t="shared" si="261"/>
        <v>0</v>
      </c>
      <c r="DL102" s="938">
        <f t="shared" si="262"/>
        <v>0</v>
      </c>
      <c r="DM102" s="938">
        <f t="shared" si="263"/>
        <v>0</v>
      </c>
      <c r="DN102" s="938" t="str">
        <f t="shared" si="264"/>
        <v/>
      </c>
      <c r="DO102" s="713">
        <f>'min. Düngung 22'!AO103</f>
        <v>0</v>
      </c>
      <c r="DP102" s="938"/>
      <c r="DQ102" s="938"/>
      <c r="DR102" s="938">
        <f t="shared" si="265"/>
        <v>0</v>
      </c>
      <c r="DS102" s="938">
        <f t="shared" si="266"/>
        <v>0</v>
      </c>
      <c r="DT102" s="938">
        <f t="shared" si="267"/>
        <v>0</v>
      </c>
      <c r="DU102" s="938">
        <f t="shared" si="268"/>
        <v>0</v>
      </c>
      <c r="DV102" s="938">
        <f t="shared" si="269"/>
        <v>0</v>
      </c>
      <c r="DW102" s="938" t="str">
        <f t="shared" si="270"/>
        <v/>
      </c>
      <c r="DX102" s="713">
        <f>'min. Düngung 22'!AR103</f>
        <v>0</v>
      </c>
      <c r="DY102" s="938"/>
      <c r="DZ102" s="938"/>
      <c r="EA102" s="938">
        <f t="shared" si="271"/>
        <v>0</v>
      </c>
      <c r="EB102" s="938">
        <f t="shared" si="272"/>
        <v>0</v>
      </c>
      <c r="EC102" s="938">
        <f t="shared" si="273"/>
        <v>0</v>
      </c>
      <c r="ED102" s="938">
        <f t="shared" si="274"/>
        <v>0</v>
      </c>
      <c r="EE102" s="938">
        <f t="shared" si="275"/>
        <v>0</v>
      </c>
      <c r="EF102" s="938" t="str">
        <f t="shared" si="276"/>
        <v/>
      </c>
      <c r="EG102" s="713">
        <f>'min. Düngung 22'!AU103</f>
        <v>0</v>
      </c>
      <c r="EH102" s="938"/>
      <c r="EI102" s="938"/>
      <c r="EJ102" s="938">
        <f t="shared" si="277"/>
        <v>0</v>
      </c>
      <c r="EK102" s="938">
        <f t="shared" si="278"/>
        <v>0</v>
      </c>
      <c r="EL102" s="938">
        <f t="shared" si="279"/>
        <v>0</v>
      </c>
      <c r="EM102" s="938">
        <f t="shared" si="280"/>
        <v>0</v>
      </c>
      <c r="EN102" s="938">
        <f t="shared" si="281"/>
        <v>0</v>
      </c>
      <c r="EO102" s="938" t="str">
        <f t="shared" si="282"/>
        <v/>
      </c>
      <c r="EP102" s="713">
        <f>'min. Düngung 22'!AX103</f>
        <v>0</v>
      </c>
      <c r="EQ102" s="938"/>
      <c r="ER102" s="938"/>
      <c r="ES102" s="938">
        <f t="shared" si="283"/>
        <v>0</v>
      </c>
      <c r="ET102" s="938">
        <f t="shared" si="284"/>
        <v>0</v>
      </c>
      <c r="EU102" s="938">
        <f t="shared" si="285"/>
        <v>0</v>
      </c>
      <c r="EV102" s="938">
        <f t="shared" si="286"/>
        <v>0</v>
      </c>
      <c r="EW102" s="938">
        <f t="shared" si="287"/>
        <v>0</v>
      </c>
      <c r="EX102" s="938" t="str">
        <f t="shared" si="288"/>
        <v/>
      </c>
      <c r="EY102" s="713">
        <f>'min. Düngung 22'!BA103</f>
        <v>0</v>
      </c>
      <c r="EZ102" s="938"/>
      <c r="FA102" s="938"/>
      <c r="FB102" s="938">
        <f t="shared" si="289"/>
        <v>0</v>
      </c>
      <c r="FC102" s="938">
        <f t="shared" si="290"/>
        <v>0</v>
      </c>
      <c r="FD102" s="938">
        <f t="shared" si="291"/>
        <v>0</v>
      </c>
      <c r="FE102" s="938">
        <f t="shared" si="292"/>
        <v>0</v>
      </c>
      <c r="FF102" s="938">
        <f t="shared" si="293"/>
        <v>0</v>
      </c>
      <c r="FG102" s="938" t="str">
        <f t="shared" si="294"/>
        <v/>
      </c>
      <c r="FH102" s="713">
        <f>'min. Düngung 22'!BD103</f>
        <v>0</v>
      </c>
      <c r="FI102" s="938"/>
      <c r="FJ102" s="938"/>
      <c r="FK102" s="938">
        <f t="shared" si="295"/>
        <v>0</v>
      </c>
      <c r="FL102" s="938">
        <f t="shared" si="296"/>
        <v>0</v>
      </c>
      <c r="FM102" s="938">
        <f t="shared" si="297"/>
        <v>0</v>
      </c>
      <c r="FN102" s="938">
        <f t="shared" si="298"/>
        <v>0</v>
      </c>
      <c r="FO102" s="938">
        <f t="shared" si="299"/>
        <v>0</v>
      </c>
      <c r="FP102" s="938" t="str">
        <f t="shared" si="300"/>
        <v/>
      </c>
      <c r="FQ102" s="713">
        <f>'min. Düngung 22'!BG103</f>
        <v>0</v>
      </c>
      <c r="FR102" s="938"/>
      <c r="FS102" s="938"/>
      <c r="FT102" s="938">
        <f t="shared" si="301"/>
        <v>0</v>
      </c>
      <c r="FU102" s="938">
        <f t="shared" si="302"/>
        <v>0</v>
      </c>
      <c r="FV102" s="938">
        <f t="shared" si="303"/>
        <v>0</v>
      </c>
      <c r="FW102" s="938">
        <f t="shared" si="304"/>
        <v>0</v>
      </c>
      <c r="FX102" s="938">
        <f t="shared" si="305"/>
        <v>0</v>
      </c>
      <c r="FY102" s="938" t="str">
        <f t="shared" si="306"/>
        <v/>
      </c>
      <c r="FZ102" s="713">
        <f>'min. Düngung 22'!BJ103</f>
        <v>0</v>
      </c>
      <c r="GA102" s="938"/>
      <c r="GB102" s="938"/>
      <c r="GC102" s="938">
        <f t="shared" si="307"/>
        <v>0</v>
      </c>
      <c r="GD102" s="938">
        <f t="shared" si="308"/>
        <v>0</v>
      </c>
      <c r="GE102" s="938">
        <f t="shared" si="309"/>
        <v>0</v>
      </c>
      <c r="GF102" s="938">
        <f t="shared" si="310"/>
        <v>0</v>
      </c>
      <c r="GG102" s="938">
        <f t="shared" si="311"/>
        <v>0</v>
      </c>
      <c r="GH102" s="938" t="str">
        <f t="shared" si="312"/>
        <v/>
      </c>
      <c r="GI102" s="713">
        <f>'min. Düngung 22'!BM103</f>
        <v>0</v>
      </c>
      <c r="GJ102" s="938"/>
      <c r="GK102" s="938"/>
      <c r="GL102" s="938">
        <f t="shared" si="313"/>
        <v>0</v>
      </c>
      <c r="GM102" s="938">
        <f t="shared" si="314"/>
        <v>0</v>
      </c>
      <c r="GN102" s="938">
        <f t="shared" si="315"/>
        <v>0</v>
      </c>
      <c r="GO102" s="938">
        <f t="shared" si="316"/>
        <v>0</v>
      </c>
      <c r="GP102" s="938">
        <f t="shared" si="317"/>
        <v>0</v>
      </c>
      <c r="GQ102" s="938" t="str">
        <f t="shared" si="318"/>
        <v/>
      </c>
      <c r="GR102" s="713">
        <f>'min. Düngung 22'!BP103</f>
        <v>0</v>
      </c>
      <c r="GS102" s="938"/>
      <c r="GT102" s="938"/>
      <c r="GU102" s="938">
        <f t="shared" si="319"/>
        <v>0</v>
      </c>
      <c r="GV102" s="938">
        <f t="shared" si="320"/>
        <v>0</v>
      </c>
      <c r="GW102" s="938">
        <f t="shared" si="321"/>
        <v>0</v>
      </c>
      <c r="GX102" s="938">
        <f t="shared" si="322"/>
        <v>0</v>
      </c>
      <c r="GY102" s="938">
        <f t="shared" si="323"/>
        <v>0</v>
      </c>
      <c r="GZ102" s="938" t="str">
        <f t="shared" si="324"/>
        <v/>
      </c>
      <c r="HA102" s="713">
        <f>'min. Düngung 22'!BS103</f>
        <v>0</v>
      </c>
      <c r="HB102" s="938"/>
      <c r="HC102" s="938"/>
      <c r="HD102" s="938">
        <f t="shared" si="325"/>
        <v>0</v>
      </c>
      <c r="HE102" s="938">
        <f t="shared" si="326"/>
        <v>0</v>
      </c>
      <c r="HF102" s="938">
        <f t="shared" si="327"/>
        <v>0</v>
      </c>
      <c r="HG102" s="938">
        <f t="shared" si="328"/>
        <v>0</v>
      </c>
      <c r="HH102" s="938">
        <f t="shared" si="329"/>
        <v>0</v>
      </c>
      <c r="HI102" s="938" t="str">
        <f t="shared" si="330"/>
        <v/>
      </c>
      <c r="HJ102" s="713">
        <f>'min. Düngung 22'!BV103</f>
        <v>0</v>
      </c>
      <c r="HK102" s="938"/>
      <c r="HL102" s="938"/>
      <c r="HM102" s="938">
        <f t="shared" si="331"/>
        <v>0</v>
      </c>
      <c r="HN102" s="938">
        <f t="shared" si="332"/>
        <v>0</v>
      </c>
      <c r="HO102" s="938">
        <f t="shared" si="333"/>
        <v>0</v>
      </c>
      <c r="HP102" s="938">
        <f t="shared" si="334"/>
        <v>0</v>
      </c>
      <c r="HQ102" s="938">
        <f t="shared" si="335"/>
        <v>0</v>
      </c>
      <c r="HR102" s="938" t="str">
        <f t="shared" si="336"/>
        <v/>
      </c>
      <c r="HS102" s="713">
        <f>'min. Düngung 22'!BY103</f>
        <v>0</v>
      </c>
      <c r="HT102" s="938"/>
      <c r="HU102" s="938"/>
      <c r="HV102" s="938">
        <f t="shared" si="337"/>
        <v>0</v>
      </c>
      <c r="HW102" s="938">
        <f t="shared" si="338"/>
        <v>0</v>
      </c>
      <c r="HX102" s="938">
        <f t="shared" si="339"/>
        <v>0</v>
      </c>
      <c r="HY102" s="938">
        <f t="shared" si="340"/>
        <v>0</v>
      </c>
      <c r="HZ102" s="938">
        <f t="shared" si="341"/>
        <v>0</v>
      </c>
      <c r="IA102" s="938" t="str">
        <f t="shared" si="342"/>
        <v/>
      </c>
      <c r="IB102" s="713">
        <f>'min. Düngung 22'!CB103</f>
        <v>0</v>
      </c>
      <c r="IC102" s="938"/>
      <c r="ID102" s="938"/>
      <c r="IE102" s="938">
        <f t="shared" si="343"/>
        <v>0</v>
      </c>
      <c r="IF102" s="938">
        <f t="shared" si="344"/>
        <v>0</v>
      </c>
      <c r="IG102" s="938">
        <f t="shared" si="345"/>
        <v>0</v>
      </c>
      <c r="IH102" s="938">
        <f t="shared" si="346"/>
        <v>0</v>
      </c>
      <c r="II102" s="938">
        <f t="shared" si="347"/>
        <v>0</v>
      </c>
      <c r="IJ102" s="938" t="str">
        <f t="shared" si="348"/>
        <v/>
      </c>
      <c r="IK102" s="713">
        <f>'min. Düngung 22'!CE103</f>
        <v>0</v>
      </c>
      <c r="IL102" s="938"/>
      <c r="IM102" s="938"/>
      <c r="IN102" s="938">
        <f t="shared" si="349"/>
        <v>0</v>
      </c>
      <c r="IO102" s="938">
        <f t="shared" si="350"/>
        <v>0</v>
      </c>
      <c r="IP102" s="938">
        <f t="shared" si="351"/>
        <v>0</v>
      </c>
      <c r="IQ102" s="938">
        <f t="shared" si="352"/>
        <v>0</v>
      </c>
      <c r="IR102" s="938">
        <f t="shared" si="353"/>
        <v>0</v>
      </c>
      <c r="IS102" s="938" t="str">
        <f t="shared" si="354"/>
        <v/>
      </c>
      <c r="IT102" s="713">
        <f>'min. Düngung 22'!CH103</f>
        <v>0</v>
      </c>
      <c r="IU102" s="938"/>
      <c r="IV102" s="938"/>
      <c r="IW102" s="938">
        <f t="shared" si="355"/>
        <v>0</v>
      </c>
      <c r="IX102" s="938">
        <f t="shared" si="356"/>
        <v>0</v>
      </c>
      <c r="IY102" s="938">
        <f t="shared" si="357"/>
        <v>0</v>
      </c>
      <c r="IZ102" s="938">
        <f t="shared" si="358"/>
        <v>0</v>
      </c>
      <c r="JA102" s="938">
        <f t="shared" si="359"/>
        <v>0</v>
      </c>
      <c r="JB102" s="938" t="str">
        <f t="shared" si="360"/>
        <v/>
      </c>
      <c r="JC102" s="713">
        <f>'min. Düngung 22'!CK103</f>
        <v>0</v>
      </c>
      <c r="JD102" s="938"/>
      <c r="JE102" s="938"/>
      <c r="JF102" s="938">
        <f t="shared" si="361"/>
        <v>0</v>
      </c>
      <c r="JG102" s="938">
        <f t="shared" si="362"/>
        <v>0</v>
      </c>
      <c r="JH102" s="938">
        <f t="shared" si="363"/>
        <v>0</v>
      </c>
      <c r="JI102" s="938">
        <f t="shared" si="364"/>
        <v>0</v>
      </c>
      <c r="JJ102" s="938">
        <f t="shared" si="365"/>
        <v>0</v>
      </c>
      <c r="JK102" s="938" t="str">
        <f t="shared" si="366"/>
        <v/>
      </c>
      <c r="JL102" s="713">
        <f>'min. Düngung 22'!CN103</f>
        <v>0</v>
      </c>
      <c r="JM102" s="938"/>
      <c r="JN102" s="938"/>
      <c r="JO102" s="938">
        <f t="shared" si="367"/>
        <v>0</v>
      </c>
      <c r="JP102" s="938">
        <f t="shared" si="368"/>
        <v>0</v>
      </c>
      <c r="JQ102" s="938">
        <f t="shared" si="369"/>
        <v>0</v>
      </c>
      <c r="JR102" s="938">
        <f t="shared" si="370"/>
        <v>0</v>
      </c>
      <c r="JS102" s="938">
        <f t="shared" si="371"/>
        <v>0</v>
      </c>
      <c r="JT102" s="938" t="str">
        <f t="shared" si="372"/>
        <v/>
      </c>
      <c r="JU102" s="713">
        <f>'min. Düngung 22'!CQ103</f>
        <v>0</v>
      </c>
      <c r="JV102" s="938"/>
      <c r="JW102" s="938"/>
      <c r="JX102" s="938">
        <f t="shared" si="373"/>
        <v>0</v>
      </c>
      <c r="JY102" s="938">
        <f t="shared" si="374"/>
        <v>0</v>
      </c>
      <c r="JZ102" s="938">
        <f t="shared" si="375"/>
        <v>0</v>
      </c>
      <c r="KA102" s="938">
        <f t="shared" si="376"/>
        <v>0</v>
      </c>
      <c r="KB102" s="938">
        <f t="shared" si="377"/>
        <v>0</v>
      </c>
      <c r="KC102" s="938" t="str">
        <f t="shared" si="378"/>
        <v/>
      </c>
      <c r="KE102" s="938"/>
      <c r="KF102" s="938" t="str">
        <f>IF(AND($F102=2,$G102=1),"",IF(OR($Q102&gt;0,$O102&gt;60),$KF$7,IF(I102=70,"",IF(AND(I102=80,R102+'#orgDung'!AC105&lt;60,K102=1,OR(C102=2,'#BerechnungDBE'!AH96=4)),"",IF(R102&gt;0,$KF$7,"")))))</f>
        <v/>
      </c>
      <c r="KG102" s="938" t="str">
        <f>IF(AND(P102&gt;'#BerechnungDBE'!BJ96,P102&gt;0),'#minDung'!$KG$7,"")</f>
        <v/>
      </c>
      <c r="KH102" s="938" t="str">
        <f>IF(AND(I102=70,R102&gt;'#BerechnungDBE'!CR96),'#minDung'!$KH$7,"")</f>
        <v/>
      </c>
      <c r="KI102" s="938" t="str">
        <f>IF('#BerechnungDBE'!P96&lt;4,"",IF(AND('#BerechnungDBE'!BZ96&gt;0,N102&gt;0),$KI$7,""))</f>
        <v/>
      </c>
      <c r="KJ102" s="938" t="str">
        <f t="shared" si="197"/>
        <v/>
      </c>
    </row>
    <row r="103" spans="1:296" s="875" customFormat="1" hidden="1" x14ac:dyDescent="0.2">
      <c r="A103" s="875">
        <f>'Flächen u. Kulturen'!A102</f>
        <v>93</v>
      </c>
      <c r="B103" s="734">
        <f>'#BerechnungDBE'!L97</f>
        <v>0</v>
      </c>
      <c r="C103" s="46">
        <f>'#orgDung'!C106</f>
        <v>1</v>
      </c>
      <c r="D103" s="875">
        <f>'#BerechnungDBE'!T97</f>
        <v>2</v>
      </c>
      <c r="E103" s="875" t="str">
        <f>'Flächen u. Kulturen'!E102</f>
        <v>x</v>
      </c>
      <c r="F103" s="52">
        <f>'#BerechnungDBE'!N97</f>
        <v>1</v>
      </c>
      <c r="G103" s="52">
        <f>'#BerechnungDBE'!O97</f>
        <v>1</v>
      </c>
      <c r="H103" s="505">
        <f>'#orgDung'!J106</f>
        <v>2</v>
      </c>
      <c r="I103" s="875">
        <f>'#BerechnungDBE'!AF97</f>
        <v>0</v>
      </c>
      <c r="J103" s="875">
        <f>'#orgDung'!M106</f>
        <v>0</v>
      </c>
      <c r="K103" s="875">
        <f>'#BerechnungDBE'!AG97</f>
        <v>0</v>
      </c>
      <c r="M103" s="875">
        <f t="shared" si="192"/>
        <v>0</v>
      </c>
      <c r="N103" s="875">
        <f t="shared" si="193"/>
        <v>0</v>
      </c>
      <c r="O103" s="875">
        <f t="shared" si="194"/>
        <v>0</v>
      </c>
      <c r="P103" s="875">
        <f t="shared" si="195"/>
        <v>0</v>
      </c>
      <c r="Q103" s="938">
        <f t="shared" si="198"/>
        <v>0</v>
      </c>
      <c r="R103" s="875">
        <f t="shared" si="196"/>
        <v>0</v>
      </c>
      <c r="T103" s="713">
        <f>'min. Düngung 22'!H104</f>
        <v>0</v>
      </c>
      <c r="W103" s="875">
        <f t="shared" si="199"/>
        <v>0</v>
      </c>
      <c r="X103" s="875">
        <f t="shared" si="200"/>
        <v>0</v>
      </c>
      <c r="Y103" s="875">
        <f t="shared" si="201"/>
        <v>0</v>
      </c>
      <c r="Z103" s="875">
        <f t="shared" si="202"/>
        <v>0</v>
      </c>
      <c r="AA103" s="875">
        <f t="shared" si="203"/>
        <v>0</v>
      </c>
      <c r="AB103" s="875" t="str">
        <f t="shared" si="204"/>
        <v/>
      </c>
      <c r="AC103" s="713">
        <f>'min. Düngung 22'!K104</f>
        <v>0</v>
      </c>
      <c r="AD103" s="938"/>
      <c r="AE103" s="938"/>
      <c r="AF103" s="938">
        <f t="shared" si="205"/>
        <v>0</v>
      </c>
      <c r="AG103" s="938">
        <f t="shared" si="206"/>
        <v>0</v>
      </c>
      <c r="AH103" s="938">
        <f t="shared" si="207"/>
        <v>0</v>
      </c>
      <c r="AI103" s="938">
        <f t="shared" si="208"/>
        <v>0</v>
      </c>
      <c r="AJ103" s="938">
        <f t="shared" si="209"/>
        <v>0</v>
      </c>
      <c r="AK103" s="938">
        <f t="shared" si="210"/>
        <v>0</v>
      </c>
      <c r="AL103" s="713">
        <f>'min. Düngung 22'!N104</f>
        <v>0</v>
      </c>
      <c r="AM103" s="938"/>
      <c r="AN103" s="938"/>
      <c r="AO103" s="938">
        <f t="shared" si="211"/>
        <v>0</v>
      </c>
      <c r="AP103" s="938">
        <f t="shared" si="212"/>
        <v>0</v>
      </c>
      <c r="AQ103" s="938">
        <f t="shared" si="213"/>
        <v>0</v>
      </c>
      <c r="AR103" s="938">
        <f t="shared" si="214"/>
        <v>0</v>
      </c>
      <c r="AS103" s="938">
        <f t="shared" si="215"/>
        <v>0</v>
      </c>
      <c r="AT103" s="938" t="str">
        <f t="shared" si="216"/>
        <v/>
      </c>
      <c r="AU103" s="713">
        <f>'min. Düngung 22'!Q104</f>
        <v>0</v>
      </c>
      <c r="AV103" s="938"/>
      <c r="AW103" s="938"/>
      <c r="AX103" s="938">
        <f t="shared" si="217"/>
        <v>0</v>
      </c>
      <c r="AY103" s="938">
        <f t="shared" si="218"/>
        <v>0</v>
      </c>
      <c r="AZ103" s="938">
        <f t="shared" si="219"/>
        <v>0</v>
      </c>
      <c r="BA103" s="938">
        <f t="shared" si="220"/>
        <v>0</v>
      </c>
      <c r="BB103" s="938">
        <f t="shared" si="221"/>
        <v>0</v>
      </c>
      <c r="BC103" s="938" t="str">
        <f t="shared" si="222"/>
        <v/>
      </c>
      <c r="BD103" s="713">
        <f>'min. Düngung 22'!T104</f>
        <v>0</v>
      </c>
      <c r="BE103" s="938"/>
      <c r="BF103" s="938"/>
      <c r="BG103" s="938">
        <f t="shared" si="223"/>
        <v>0</v>
      </c>
      <c r="BH103" s="938">
        <f t="shared" si="224"/>
        <v>0</v>
      </c>
      <c r="BI103" s="938">
        <f t="shared" si="225"/>
        <v>0</v>
      </c>
      <c r="BJ103" s="938">
        <f t="shared" si="226"/>
        <v>0</v>
      </c>
      <c r="BK103" s="938">
        <f t="shared" si="227"/>
        <v>0</v>
      </c>
      <c r="BL103" s="938" t="str">
        <f t="shared" si="228"/>
        <v/>
      </c>
      <c r="BM103" s="713">
        <f>'min. Düngung 22'!W104</f>
        <v>0</v>
      </c>
      <c r="BN103" s="938"/>
      <c r="BO103" s="938"/>
      <c r="BP103" s="938">
        <f t="shared" si="229"/>
        <v>0</v>
      </c>
      <c r="BQ103" s="938">
        <f t="shared" si="230"/>
        <v>0</v>
      </c>
      <c r="BR103" s="938">
        <f t="shared" si="231"/>
        <v>0</v>
      </c>
      <c r="BS103" s="938">
        <f t="shared" si="232"/>
        <v>0</v>
      </c>
      <c r="BT103" s="938">
        <f t="shared" si="233"/>
        <v>0</v>
      </c>
      <c r="BU103" s="938" t="str">
        <f t="shared" si="234"/>
        <v/>
      </c>
      <c r="BV103" s="713">
        <f>'min. Düngung 22'!Z104</f>
        <v>0</v>
      </c>
      <c r="BW103" s="938"/>
      <c r="BX103" s="938"/>
      <c r="BY103" s="938">
        <f t="shared" si="235"/>
        <v>0</v>
      </c>
      <c r="BZ103" s="938">
        <f t="shared" si="236"/>
        <v>0</v>
      </c>
      <c r="CA103" s="938">
        <f t="shared" si="237"/>
        <v>0</v>
      </c>
      <c r="CB103" s="938">
        <f t="shared" si="238"/>
        <v>0</v>
      </c>
      <c r="CC103" s="938">
        <f t="shared" si="239"/>
        <v>0</v>
      </c>
      <c r="CD103" s="938" t="str">
        <f t="shared" si="240"/>
        <v/>
      </c>
      <c r="CE103" s="713">
        <f>'min. Düngung 22'!AC104</f>
        <v>0</v>
      </c>
      <c r="CF103" s="938"/>
      <c r="CG103" s="938"/>
      <c r="CH103" s="938">
        <f t="shared" si="241"/>
        <v>0</v>
      </c>
      <c r="CI103" s="938">
        <f t="shared" si="242"/>
        <v>0</v>
      </c>
      <c r="CJ103" s="938">
        <f t="shared" si="243"/>
        <v>0</v>
      </c>
      <c r="CK103" s="938">
        <f t="shared" si="244"/>
        <v>0</v>
      </c>
      <c r="CL103" s="938">
        <f t="shared" si="245"/>
        <v>0</v>
      </c>
      <c r="CM103" s="938" t="str">
        <f t="shared" si="246"/>
        <v/>
      </c>
      <c r="CN103" s="713">
        <f>'min. Düngung 22'!AF104</f>
        <v>0</v>
      </c>
      <c r="CO103" s="938"/>
      <c r="CP103" s="938"/>
      <c r="CQ103" s="938">
        <f t="shared" si="247"/>
        <v>0</v>
      </c>
      <c r="CR103" s="938">
        <f t="shared" si="248"/>
        <v>0</v>
      </c>
      <c r="CS103" s="938">
        <f t="shared" si="249"/>
        <v>0</v>
      </c>
      <c r="CT103" s="938">
        <f t="shared" si="250"/>
        <v>0</v>
      </c>
      <c r="CU103" s="938">
        <f t="shared" si="251"/>
        <v>0</v>
      </c>
      <c r="CV103" s="938" t="str">
        <f t="shared" si="252"/>
        <v/>
      </c>
      <c r="CW103" s="713">
        <f>'min. Düngung 22'!AI104</f>
        <v>0</v>
      </c>
      <c r="CX103" s="938"/>
      <c r="CY103" s="938"/>
      <c r="CZ103" s="938">
        <f t="shared" si="253"/>
        <v>0</v>
      </c>
      <c r="DA103" s="938">
        <f t="shared" si="254"/>
        <v>0</v>
      </c>
      <c r="DB103" s="938">
        <f t="shared" si="255"/>
        <v>0</v>
      </c>
      <c r="DC103" s="938">
        <f t="shared" si="256"/>
        <v>0</v>
      </c>
      <c r="DD103" s="938">
        <f t="shared" si="257"/>
        <v>0</v>
      </c>
      <c r="DE103" s="938" t="str">
        <f t="shared" si="258"/>
        <v/>
      </c>
      <c r="DF103" s="713">
        <f>'min. Düngung 22'!AL104</f>
        <v>0</v>
      </c>
      <c r="DG103" s="938"/>
      <c r="DH103" s="938"/>
      <c r="DI103" s="938">
        <f t="shared" si="259"/>
        <v>0</v>
      </c>
      <c r="DJ103" s="938">
        <f t="shared" si="260"/>
        <v>0</v>
      </c>
      <c r="DK103" s="938">
        <f t="shared" si="261"/>
        <v>0</v>
      </c>
      <c r="DL103" s="938">
        <f t="shared" si="262"/>
        <v>0</v>
      </c>
      <c r="DM103" s="938">
        <f t="shared" si="263"/>
        <v>0</v>
      </c>
      <c r="DN103" s="938" t="str">
        <f t="shared" si="264"/>
        <v/>
      </c>
      <c r="DO103" s="713">
        <f>'min. Düngung 22'!AO104</f>
        <v>0</v>
      </c>
      <c r="DP103" s="938"/>
      <c r="DQ103" s="938"/>
      <c r="DR103" s="938">
        <f t="shared" si="265"/>
        <v>0</v>
      </c>
      <c r="DS103" s="938">
        <f t="shared" si="266"/>
        <v>0</v>
      </c>
      <c r="DT103" s="938">
        <f t="shared" si="267"/>
        <v>0</v>
      </c>
      <c r="DU103" s="938">
        <f t="shared" si="268"/>
        <v>0</v>
      </c>
      <c r="DV103" s="938">
        <f t="shared" si="269"/>
        <v>0</v>
      </c>
      <c r="DW103" s="938" t="str">
        <f t="shared" si="270"/>
        <v/>
      </c>
      <c r="DX103" s="713">
        <f>'min. Düngung 22'!AR104</f>
        <v>0</v>
      </c>
      <c r="DY103" s="938"/>
      <c r="DZ103" s="938"/>
      <c r="EA103" s="938">
        <f t="shared" si="271"/>
        <v>0</v>
      </c>
      <c r="EB103" s="938">
        <f t="shared" si="272"/>
        <v>0</v>
      </c>
      <c r="EC103" s="938">
        <f t="shared" si="273"/>
        <v>0</v>
      </c>
      <c r="ED103" s="938">
        <f t="shared" si="274"/>
        <v>0</v>
      </c>
      <c r="EE103" s="938">
        <f t="shared" si="275"/>
        <v>0</v>
      </c>
      <c r="EF103" s="938" t="str">
        <f t="shared" si="276"/>
        <v/>
      </c>
      <c r="EG103" s="713">
        <f>'min. Düngung 22'!AU104</f>
        <v>0</v>
      </c>
      <c r="EH103" s="938"/>
      <c r="EI103" s="938"/>
      <c r="EJ103" s="938">
        <f t="shared" si="277"/>
        <v>0</v>
      </c>
      <c r="EK103" s="938">
        <f t="shared" si="278"/>
        <v>0</v>
      </c>
      <c r="EL103" s="938">
        <f t="shared" si="279"/>
        <v>0</v>
      </c>
      <c r="EM103" s="938">
        <f t="shared" si="280"/>
        <v>0</v>
      </c>
      <c r="EN103" s="938">
        <f t="shared" si="281"/>
        <v>0</v>
      </c>
      <c r="EO103" s="938" t="str">
        <f t="shared" si="282"/>
        <v/>
      </c>
      <c r="EP103" s="713">
        <f>'min. Düngung 22'!AX104</f>
        <v>0</v>
      </c>
      <c r="EQ103" s="938"/>
      <c r="ER103" s="938"/>
      <c r="ES103" s="938">
        <f t="shared" si="283"/>
        <v>0</v>
      </c>
      <c r="ET103" s="938">
        <f t="shared" si="284"/>
        <v>0</v>
      </c>
      <c r="EU103" s="938">
        <f t="shared" si="285"/>
        <v>0</v>
      </c>
      <c r="EV103" s="938">
        <f t="shared" si="286"/>
        <v>0</v>
      </c>
      <c r="EW103" s="938">
        <f t="shared" si="287"/>
        <v>0</v>
      </c>
      <c r="EX103" s="938" t="str">
        <f t="shared" si="288"/>
        <v/>
      </c>
      <c r="EY103" s="713">
        <f>'min. Düngung 22'!BA104</f>
        <v>0</v>
      </c>
      <c r="EZ103" s="938"/>
      <c r="FA103" s="938"/>
      <c r="FB103" s="938">
        <f t="shared" si="289"/>
        <v>0</v>
      </c>
      <c r="FC103" s="938">
        <f t="shared" si="290"/>
        <v>0</v>
      </c>
      <c r="FD103" s="938">
        <f t="shared" si="291"/>
        <v>0</v>
      </c>
      <c r="FE103" s="938">
        <f t="shared" si="292"/>
        <v>0</v>
      </c>
      <c r="FF103" s="938">
        <f t="shared" si="293"/>
        <v>0</v>
      </c>
      <c r="FG103" s="938" t="str">
        <f t="shared" si="294"/>
        <v/>
      </c>
      <c r="FH103" s="713">
        <f>'min. Düngung 22'!BD104</f>
        <v>0</v>
      </c>
      <c r="FI103" s="938"/>
      <c r="FJ103" s="938"/>
      <c r="FK103" s="938">
        <f t="shared" si="295"/>
        <v>0</v>
      </c>
      <c r="FL103" s="938">
        <f t="shared" si="296"/>
        <v>0</v>
      </c>
      <c r="FM103" s="938">
        <f t="shared" si="297"/>
        <v>0</v>
      </c>
      <c r="FN103" s="938">
        <f t="shared" si="298"/>
        <v>0</v>
      </c>
      <c r="FO103" s="938">
        <f t="shared" si="299"/>
        <v>0</v>
      </c>
      <c r="FP103" s="938" t="str">
        <f t="shared" si="300"/>
        <v/>
      </c>
      <c r="FQ103" s="713">
        <f>'min. Düngung 22'!BG104</f>
        <v>0</v>
      </c>
      <c r="FR103" s="938"/>
      <c r="FS103" s="938"/>
      <c r="FT103" s="938">
        <f t="shared" si="301"/>
        <v>0</v>
      </c>
      <c r="FU103" s="938">
        <f t="shared" si="302"/>
        <v>0</v>
      </c>
      <c r="FV103" s="938">
        <f t="shared" si="303"/>
        <v>0</v>
      </c>
      <c r="FW103" s="938">
        <f t="shared" si="304"/>
        <v>0</v>
      </c>
      <c r="FX103" s="938">
        <f t="shared" si="305"/>
        <v>0</v>
      </c>
      <c r="FY103" s="938" t="str">
        <f t="shared" si="306"/>
        <v/>
      </c>
      <c r="FZ103" s="713">
        <f>'min. Düngung 22'!BJ104</f>
        <v>0</v>
      </c>
      <c r="GA103" s="938"/>
      <c r="GB103" s="938"/>
      <c r="GC103" s="938">
        <f t="shared" si="307"/>
        <v>0</v>
      </c>
      <c r="GD103" s="938">
        <f t="shared" si="308"/>
        <v>0</v>
      </c>
      <c r="GE103" s="938">
        <f t="shared" si="309"/>
        <v>0</v>
      </c>
      <c r="GF103" s="938">
        <f t="shared" si="310"/>
        <v>0</v>
      </c>
      <c r="GG103" s="938">
        <f t="shared" si="311"/>
        <v>0</v>
      </c>
      <c r="GH103" s="938" t="str">
        <f t="shared" si="312"/>
        <v/>
      </c>
      <c r="GI103" s="713">
        <f>'min. Düngung 22'!BM104</f>
        <v>0</v>
      </c>
      <c r="GJ103" s="938"/>
      <c r="GK103" s="938"/>
      <c r="GL103" s="938">
        <f t="shared" si="313"/>
        <v>0</v>
      </c>
      <c r="GM103" s="938">
        <f t="shared" si="314"/>
        <v>0</v>
      </c>
      <c r="GN103" s="938">
        <f t="shared" si="315"/>
        <v>0</v>
      </c>
      <c r="GO103" s="938">
        <f t="shared" si="316"/>
        <v>0</v>
      </c>
      <c r="GP103" s="938">
        <f t="shared" si="317"/>
        <v>0</v>
      </c>
      <c r="GQ103" s="938" t="str">
        <f t="shared" si="318"/>
        <v/>
      </c>
      <c r="GR103" s="713">
        <f>'min. Düngung 22'!BP104</f>
        <v>0</v>
      </c>
      <c r="GS103" s="938"/>
      <c r="GT103" s="938"/>
      <c r="GU103" s="938">
        <f t="shared" si="319"/>
        <v>0</v>
      </c>
      <c r="GV103" s="938">
        <f t="shared" si="320"/>
        <v>0</v>
      </c>
      <c r="GW103" s="938">
        <f t="shared" si="321"/>
        <v>0</v>
      </c>
      <c r="GX103" s="938">
        <f t="shared" si="322"/>
        <v>0</v>
      </c>
      <c r="GY103" s="938">
        <f t="shared" si="323"/>
        <v>0</v>
      </c>
      <c r="GZ103" s="938" t="str">
        <f t="shared" si="324"/>
        <v/>
      </c>
      <c r="HA103" s="713">
        <f>'min. Düngung 22'!BS104</f>
        <v>0</v>
      </c>
      <c r="HB103" s="938"/>
      <c r="HC103" s="938"/>
      <c r="HD103" s="938">
        <f t="shared" si="325"/>
        <v>0</v>
      </c>
      <c r="HE103" s="938">
        <f t="shared" si="326"/>
        <v>0</v>
      </c>
      <c r="HF103" s="938">
        <f t="shared" si="327"/>
        <v>0</v>
      </c>
      <c r="HG103" s="938">
        <f t="shared" si="328"/>
        <v>0</v>
      </c>
      <c r="HH103" s="938">
        <f t="shared" si="329"/>
        <v>0</v>
      </c>
      <c r="HI103" s="938" t="str">
        <f t="shared" si="330"/>
        <v/>
      </c>
      <c r="HJ103" s="713">
        <f>'min. Düngung 22'!BV104</f>
        <v>0</v>
      </c>
      <c r="HK103" s="938"/>
      <c r="HL103" s="938"/>
      <c r="HM103" s="938">
        <f t="shared" si="331"/>
        <v>0</v>
      </c>
      <c r="HN103" s="938">
        <f t="shared" si="332"/>
        <v>0</v>
      </c>
      <c r="HO103" s="938">
        <f t="shared" si="333"/>
        <v>0</v>
      </c>
      <c r="HP103" s="938">
        <f t="shared" si="334"/>
        <v>0</v>
      </c>
      <c r="HQ103" s="938">
        <f t="shared" si="335"/>
        <v>0</v>
      </c>
      <c r="HR103" s="938" t="str">
        <f t="shared" si="336"/>
        <v/>
      </c>
      <c r="HS103" s="713">
        <f>'min. Düngung 22'!BY104</f>
        <v>0</v>
      </c>
      <c r="HT103" s="938"/>
      <c r="HU103" s="938"/>
      <c r="HV103" s="938">
        <f t="shared" si="337"/>
        <v>0</v>
      </c>
      <c r="HW103" s="938">
        <f t="shared" si="338"/>
        <v>0</v>
      </c>
      <c r="HX103" s="938">
        <f t="shared" si="339"/>
        <v>0</v>
      </c>
      <c r="HY103" s="938">
        <f t="shared" si="340"/>
        <v>0</v>
      </c>
      <c r="HZ103" s="938">
        <f t="shared" si="341"/>
        <v>0</v>
      </c>
      <c r="IA103" s="938" t="str">
        <f t="shared" si="342"/>
        <v/>
      </c>
      <c r="IB103" s="713">
        <f>'min. Düngung 22'!CB104</f>
        <v>0</v>
      </c>
      <c r="IC103" s="938"/>
      <c r="ID103" s="938"/>
      <c r="IE103" s="938">
        <f t="shared" si="343"/>
        <v>0</v>
      </c>
      <c r="IF103" s="938">
        <f t="shared" si="344"/>
        <v>0</v>
      </c>
      <c r="IG103" s="938">
        <f t="shared" si="345"/>
        <v>0</v>
      </c>
      <c r="IH103" s="938">
        <f t="shared" si="346"/>
        <v>0</v>
      </c>
      <c r="II103" s="938">
        <f t="shared" si="347"/>
        <v>0</v>
      </c>
      <c r="IJ103" s="938" t="str">
        <f t="shared" si="348"/>
        <v/>
      </c>
      <c r="IK103" s="713">
        <f>'min. Düngung 22'!CE104</f>
        <v>0</v>
      </c>
      <c r="IL103" s="938"/>
      <c r="IM103" s="938"/>
      <c r="IN103" s="938">
        <f t="shared" si="349"/>
        <v>0</v>
      </c>
      <c r="IO103" s="938">
        <f t="shared" si="350"/>
        <v>0</v>
      </c>
      <c r="IP103" s="938">
        <f t="shared" si="351"/>
        <v>0</v>
      </c>
      <c r="IQ103" s="938">
        <f t="shared" si="352"/>
        <v>0</v>
      </c>
      <c r="IR103" s="938">
        <f t="shared" si="353"/>
        <v>0</v>
      </c>
      <c r="IS103" s="938" t="str">
        <f t="shared" si="354"/>
        <v/>
      </c>
      <c r="IT103" s="713">
        <f>'min. Düngung 22'!CH104</f>
        <v>0</v>
      </c>
      <c r="IU103" s="938"/>
      <c r="IV103" s="938"/>
      <c r="IW103" s="938">
        <f t="shared" si="355"/>
        <v>0</v>
      </c>
      <c r="IX103" s="938">
        <f t="shared" si="356"/>
        <v>0</v>
      </c>
      <c r="IY103" s="938">
        <f t="shared" si="357"/>
        <v>0</v>
      </c>
      <c r="IZ103" s="938">
        <f t="shared" si="358"/>
        <v>0</v>
      </c>
      <c r="JA103" s="938">
        <f t="shared" si="359"/>
        <v>0</v>
      </c>
      <c r="JB103" s="938" t="str">
        <f t="shared" si="360"/>
        <v/>
      </c>
      <c r="JC103" s="713">
        <f>'min. Düngung 22'!CK104</f>
        <v>0</v>
      </c>
      <c r="JD103" s="938"/>
      <c r="JE103" s="938"/>
      <c r="JF103" s="938">
        <f t="shared" si="361"/>
        <v>0</v>
      </c>
      <c r="JG103" s="938">
        <f t="shared" si="362"/>
        <v>0</v>
      </c>
      <c r="JH103" s="938">
        <f t="shared" si="363"/>
        <v>0</v>
      </c>
      <c r="JI103" s="938">
        <f t="shared" si="364"/>
        <v>0</v>
      </c>
      <c r="JJ103" s="938">
        <f t="shared" si="365"/>
        <v>0</v>
      </c>
      <c r="JK103" s="938" t="str">
        <f t="shared" si="366"/>
        <v/>
      </c>
      <c r="JL103" s="713">
        <f>'min. Düngung 22'!CN104</f>
        <v>0</v>
      </c>
      <c r="JM103" s="938"/>
      <c r="JN103" s="938"/>
      <c r="JO103" s="938">
        <f t="shared" si="367"/>
        <v>0</v>
      </c>
      <c r="JP103" s="938">
        <f t="shared" si="368"/>
        <v>0</v>
      </c>
      <c r="JQ103" s="938">
        <f t="shared" si="369"/>
        <v>0</v>
      </c>
      <c r="JR103" s="938">
        <f t="shared" si="370"/>
        <v>0</v>
      </c>
      <c r="JS103" s="938">
        <f t="shared" si="371"/>
        <v>0</v>
      </c>
      <c r="JT103" s="938" t="str">
        <f t="shared" si="372"/>
        <v/>
      </c>
      <c r="JU103" s="713">
        <f>'min. Düngung 22'!CQ104</f>
        <v>0</v>
      </c>
      <c r="JV103" s="938"/>
      <c r="JW103" s="938"/>
      <c r="JX103" s="938">
        <f t="shared" si="373"/>
        <v>0</v>
      </c>
      <c r="JY103" s="938">
        <f t="shared" si="374"/>
        <v>0</v>
      </c>
      <c r="JZ103" s="938">
        <f t="shared" si="375"/>
        <v>0</v>
      </c>
      <c r="KA103" s="938">
        <f t="shared" si="376"/>
        <v>0</v>
      </c>
      <c r="KB103" s="938">
        <f t="shared" si="377"/>
        <v>0</v>
      </c>
      <c r="KC103" s="938" t="str">
        <f t="shared" si="378"/>
        <v/>
      </c>
      <c r="KE103" s="938"/>
      <c r="KF103" s="938" t="str">
        <f>IF(AND($F103=2,$G103=1),"",IF(OR($Q103&gt;0,$O103&gt;60),$KF$7,IF(I103=70,"",IF(AND(I103=80,R103+'#orgDung'!AC106&lt;60,K103=1,OR(C103=2,'#BerechnungDBE'!AH97=4)),"",IF(R103&gt;0,$KF$7,"")))))</f>
        <v/>
      </c>
      <c r="KG103" s="938" t="str">
        <f>IF(AND(P103&gt;'#BerechnungDBE'!BJ97,P103&gt;0),'#minDung'!$KG$7,"")</f>
        <v/>
      </c>
      <c r="KH103" s="938" t="str">
        <f>IF(AND(I103=70,R103&gt;'#BerechnungDBE'!CR97),'#minDung'!$KH$7,"")</f>
        <v/>
      </c>
      <c r="KI103" s="938" t="str">
        <f>IF('#BerechnungDBE'!P97&lt;4,"",IF(AND('#BerechnungDBE'!BZ97&gt;0,N103&gt;0),$KI$7,""))</f>
        <v/>
      </c>
      <c r="KJ103" s="938" t="str">
        <f t="shared" si="197"/>
        <v/>
      </c>
    </row>
    <row r="104" spans="1:296" s="875" customFormat="1" hidden="1" x14ac:dyDescent="0.2">
      <c r="A104" s="875">
        <f>'Flächen u. Kulturen'!A103</f>
        <v>94</v>
      </c>
      <c r="B104" s="734">
        <f>'#BerechnungDBE'!L98</f>
        <v>0</v>
      </c>
      <c r="C104" s="46">
        <f>'#orgDung'!C107</f>
        <v>1</v>
      </c>
      <c r="D104" s="875">
        <f>'#BerechnungDBE'!T98</f>
        <v>2</v>
      </c>
      <c r="E104" s="875" t="str">
        <f>'Flächen u. Kulturen'!E103</f>
        <v>x</v>
      </c>
      <c r="F104" s="52">
        <f>'#BerechnungDBE'!N98</f>
        <v>1</v>
      </c>
      <c r="G104" s="52">
        <f>'#BerechnungDBE'!O98</f>
        <v>1</v>
      </c>
      <c r="H104" s="505">
        <f>'#orgDung'!J107</f>
        <v>2</v>
      </c>
      <c r="I104" s="875">
        <f>'#BerechnungDBE'!AF98</f>
        <v>0</v>
      </c>
      <c r="J104" s="875">
        <f>'#orgDung'!M107</f>
        <v>0</v>
      </c>
      <c r="K104" s="875">
        <f>'#BerechnungDBE'!AG98</f>
        <v>0</v>
      </c>
      <c r="M104" s="875">
        <f t="shared" si="192"/>
        <v>0</v>
      </c>
      <c r="N104" s="875">
        <f t="shared" si="193"/>
        <v>0</v>
      </c>
      <c r="O104" s="875">
        <f t="shared" si="194"/>
        <v>0</v>
      </c>
      <c r="P104" s="875">
        <f t="shared" si="195"/>
        <v>0</v>
      </c>
      <c r="Q104" s="938">
        <f t="shared" si="198"/>
        <v>0</v>
      </c>
      <c r="R104" s="875">
        <f t="shared" si="196"/>
        <v>0</v>
      </c>
      <c r="T104" s="713">
        <f>'min. Düngung 22'!H105</f>
        <v>0</v>
      </c>
      <c r="W104" s="875">
        <f t="shared" si="199"/>
        <v>0</v>
      </c>
      <c r="X104" s="875">
        <f t="shared" si="200"/>
        <v>0</v>
      </c>
      <c r="Y104" s="875">
        <f t="shared" si="201"/>
        <v>0</v>
      </c>
      <c r="Z104" s="875">
        <f t="shared" si="202"/>
        <v>0</v>
      </c>
      <c r="AA104" s="875">
        <f t="shared" si="203"/>
        <v>0</v>
      </c>
      <c r="AB104" s="875" t="str">
        <f t="shared" si="204"/>
        <v/>
      </c>
      <c r="AC104" s="713">
        <f>'min. Düngung 22'!K105</f>
        <v>0</v>
      </c>
      <c r="AD104" s="938"/>
      <c r="AE104" s="938"/>
      <c r="AF104" s="938">
        <f t="shared" si="205"/>
        <v>0</v>
      </c>
      <c r="AG104" s="938">
        <f t="shared" si="206"/>
        <v>0</v>
      </c>
      <c r="AH104" s="938">
        <f t="shared" si="207"/>
        <v>0</v>
      </c>
      <c r="AI104" s="938">
        <f t="shared" si="208"/>
        <v>0</v>
      </c>
      <c r="AJ104" s="938">
        <f t="shared" si="209"/>
        <v>0</v>
      </c>
      <c r="AK104" s="938">
        <f t="shared" si="210"/>
        <v>0</v>
      </c>
      <c r="AL104" s="713">
        <f>'min. Düngung 22'!N105</f>
        <v>0</v>
      </c>
      <c r="AM104" s="938"/>
      <c r="AN104" s="938"/>
      <c r="AO104" s="938">
        <f t="shared" si="211"/>
        <v>0</v>
      </c>
      <c r="AP104" s="938">
        <f t="shared" si="212"/>
        <v>0</v>
      </c>
      <c r="AQ104" s="938">
        <f t="shared" si="213"/>
        <v>0</v>
      </c>
      <c r="AR104" s="938">
        <f t="shared" si="214"/>
        <v>0</v>
      </c>
      <c r="AS104" s="938">
        <f t="shared" si="215"/>
        <v>0</v>
      </c>
      <c r="AT104" s="938" t="str">
        <f t="shared" si="216"/>
        <v/>
      </c>
      <c r="AU104" s="713">
        <f>'min. Düngung 22'!Q105</f>
        <v>0</v>
      </c>
      <c r="AV104" s="938"/>
      <c r="AW104" s="938"/>
      <c r="AX104" s="938">
        <f t="shared" si="217"/>
        <v>0</v>
      </c>
      <c r="AY104" s="938">
        <f t="shared" si="218"/>
        <v>0</v>
      </c>
      <c r="AZ104" s="938">
        <f t="shared" si="219"/>
        <v>0</v>
      </c>
      <c r="BA104" s="938">
        <f t="shared" si="220"/>
        <v>0</v>
      </c>
      <c r="BB104" s="938">
        <f t="shared" si="221"/>
        <v>0</v>
      </c>
      <c r="BC104" s="938" t="str">
        <f t="shared" si="222"/>
        <v/>
      </c>
      <c r="BD104" s="713">
        <f>'min. Düngung 22'!T105</f>
        <v>0</v>
      </c>
      <c r="BE104" s="938"/>
      <c r="BF104" s="938"/>
      <c r="BG104" s="938">
        <f t="shared" si="223"/>
        <v>0</v>
      </c>
      <c r="BH104" s="938">
        <f t="shared" si="224"/>
        <v>0</v>
      </c>
      <c r="BI104" s="938">
        <f t="shared" si="225"/>
        <v>0</v>
      </c>
      <c r="BJ104" s="938">
        <f t="shared" si="226"/>
        <v>0</v>
      </c>
      <c r="BK104" s="938">
        <f t="shared" si="227"/>
        <v>0</v>
      </c>
      <c r="BL104" s="938" t="str">
        <f t="shared" si="228"/>
        <v/>
      </c>
      <c r="BM104" s="713">
        <f>'min. Düngung 22'!W105</f>
        <v>0</v>
      </c>
      <c r="BN104" s="938"/>
      <c r="BO104" s="938"/>
      <c r="BP104" s="938">
        <f t="shared" si="229"/>
        <v>0</v>
      </c>
      <c r="BQ104" s="938">
        <f t="shared" si="230"/>
        <v>0</v>
      </c>
      <c r="BR104" s="938">
        <f t="shared" si="231"/>
        <v>0</v>
      </c>
      <c r="BS104" s="938">
        <f t="shared" si="232"/>
        <v>0</v>
      </c>
      <c r="BT104" s="938">
        <f t="shared" si="233"/>
        <v>0</v>
      </c>
      <c r="BU104" s="938" t="str">
        <f t="shared" si="234"/>
        <v/>
      </c>
      <c r="BV104" s="713">
        <f>'min. Düngung 22'!Z105</f>
        <v>0</v>
      </c>
      <c r="BW104" s="938"/>
      <c r="BX104" s="938"/>
      <c r="BY104" s="938">
        <f t="shared" si="235"/>
        <v>0</v>
      </c>
      <c r="BZ104" s="938">
        <f t="shared" si="236"/>
        <v>0</v>
      </c>
      <c r="CA104" s="938">
        <f t="shared" si="237"/>
        <v>0</v>
      </c>
      <c r="CB104" s="938">
        <f t="shared" si="238"/>
        <v>0</v>
      </c>
      <c r="CC104" s="938">
        <f t="shared" si="239"/>
        <v>0</v>
      </c>
      <c r="CD104" s="938" t="str">
        <f t="shared" si="240"/>
        <v/>
      </c>
      <c r="CE104" s="713">
        <f>'min. Düngung 22'!AC105</f>
        <v>0</v>
      </c>
      <c r="CF104" s="938"/>
      <c r="CG104" s="938"/>
      <c r="CH104" s="938">
        <f t="shared" si="241"/>
        <v>0</v>
      </c>
      <c r="CI104" s="938">
        <f t="shared" si="242"/>
        <v>0</v>
      </c>
      <c r="CJ104" s="938">
        <f t="shared" si="243"/>
        <v>0</v>
      </c>
      <c r="CK104" s="938">
        <f t="shared" si="244"/>
        <v>0</v>
      </c>
      <c r="CL104" s="938">
        <f t="shared" si="245"/>
        <v>0</v>
      </c>
      <c r="CM104" s="938" t="str">
        <f t="shared" si="246"/>
        <v/>
      </c>
      <c r="CN104" s="713">
        <f>'min. Düngung 22'!AF105</f>
        <v>0</v>
      </c>
      <c r="CO104" s="938"/>
      <c r="CP104" s="938"/>
      <c r="CQ104" s="938">
        <f t="shared" si="247"/>
        <v>0</v>
      </c>
      <c r="CR104" s="938">
        <f t="shared" si="248"/>
        <v>0</v>
      </c>
      <c r="CS104" s="938">
        <f t="shared" si="249"/>
        <v>0</v>
      </c>
      <c r="CT104" s="938">
        <f t="shared" si="250"/>
        <v>0</v>
      </c>
      <c r="CU104" s="938">
        <f t="shared" si="251"/>
        <v>0</v>
      </c>
      <c r="CV104" s="938" t="str">
        <f t="shared" si="252"/>
        <v/>
      </c>
      <c r="CW104" s="713">
        <f>'min. Düngung 22'!AI105</f>
        <v>0</v>
      </c>
      <c r="CX104" s="938"/>
      <c r="CY104" s="938"/>
      <c r="CZ104" s="938">
        <f t="shared" si="253"/>
        <v>0</v>
      </c>
      <c r="DA104" s="938">
        <f t="shared" si="254"/>
        <v>0</v>
      </c>
      <c r="DB104" s="938">
        <f t="shared" si="255"/>
        <v>0</v>
      </c>
      <c r="DC104" s="938">
        <f t="shared" si="256"/>
        <v>0</v>
      </c>
      <c r="DD104" s="938">
        <f t="shared" si="257"/>
        <v>0</v>
      </c>
      <c r="DE104" s="938" t="str">
        <f t="shared" si="258"/>
        <v/>
      </c>
      <c r="DF104" s="713">
        <f>'min. Düngung 22'!AL105</f>
        <v>0</v>
      </c>
      <c r="DG104" s="938"/>
      <c r="DH104" s="938"/>
      <c r="DI104" s="938">
        <f t="shared" si="259"/>
        <v>0</v>
      </c>
      <c r="DJ104" s="938">
        <f t="shared" si="260"/>
        <v>0</v>
      </c>
      <c r="DK104" s="938">
        <f t="shared" si="261"/>
        <v>0</v>
      </c>
      <c r="DL104" s="938">
        <f t="shared" si="262"/>
        <v>0</v>
      </c>
      <c r="DM104" s="938">
        <f t="shared" si="263"/>
        <v>0</v>
      </c>
      <c r="DN104" s="938" t="str">
        <f t="shared" si="264"/>
        <v/>
      </c>
      <c r="DO104" s="713">
        <f>'min. Düngung 22'!AO105</f>
        <v>0</v>
      </c>
      <c r="DP104" s="938"/>
      <c r="DQ104" s="938"/>
      <c r="DR104" s="938">
        <f t="shared" si="265"/>
        <v>0</v>
      </c>
      <c r="DS104" s="938">
        <f t="shared" si="266"/>
        <v>0</v>
      </c>
      <c r="DT104" s="938">
        <f t="shared" si="267"/>
        <v>0</v>
      </c>
      <c r="DU104" s="938">
        <f t="shared" si="268"/>
        <v>0</v>
      </c>
      <c r="DV104" s="938">
        <f t="shared" si="269"/>
        <v>0</v>
      </c>
      <c r="DW104" s="938" t="str">
        <f t="shared" si="270"/>
        <v/>
      </c>
      <c r="DX104" s="713">
        <f>'min. Düngung 22'!AR105</f>
        <v>0</v>
      </c>
      <c r="DY104" s="938"/>
      <c r="DZ104" s="938"/>
      <c r="EA104" s="938">
        <f t="shared" si="271"/>
        <v>0</v>
      </c>
      <c r="EB104" s="938">
        <f t="shared" si="272"/>
        <v>0</v>
      </c>
      <c r="EC104" s="938">
        <f t="shared" si="273"/>
        <v>0</v>
      </c>
      <c r="ED104" s="938">
        <f t="shared" si="274"/>
        <v>0</v>
      </c>
      <c r="EE104" s="938">
        <f t="shared" si="275"/>
        <v>0</v>
      </c>
      <c r="EF104" s="938" t="str">
        <f t="shared" si="276"/>
        <v/>
      </c>
      <c r="EG104" s="713">
        <f>'min. Düngung 22'!AU105</f>
        <v>0</v>
      </c>
      <c r="EH104" s="938"/>
      <c r="EI104" s="938"/>
      <c r="EJ104" s="938">
        <f t="shared" si="277"/>
        <v>0</v>
      </c>
      <c r="EK104" s="938">
        <f t="shared" si="278"/>
        <v>0</v>
      </c>
      <c r="EL104" s="938">
        <f t="shared" si="279"/>
        <v>0</v>
      </c>
      <c r="EM104" s="938">
        <f t="shared" si="280"/>
        <v>0</v>
      </c>
      <c r="EN104" s="938">
        <f t="shared" si="281"/>
        <v>0</v>
      </c>
      <c r="EO104" s="938" t="str">
        <f t="shared" si="282"/>
        <v/>
      </c>
      <c r="EP104" s="713">
        <f>'min. Düngung 22'!AX105</f>
        <v>0</v>
      </c>
      <c r="EQ104" s="938"/>
      <c r="ER104" s="938"/>
      <c r="ES104" s="938">
        <f t="shared" si="283"/>
        <v>0</v>
      </c>
      <c r="ET104" s="938">
        <f t="shared" si="284"/>
        <v>0</v>
      </c>
      <c r="EU104" s="938">
        <f t="shared" si="285"/>
        <v>0</v>
      </c>
      <c r="EV104" s="938">
        <f t="shared" si="286"/>
        <v>0</v>
      </c>
      <c r="EW104" s="938">
        <f t="shared" si="287"/>
        <v>0</v>
      </c>
      <c r="EX104" s="938" t="str">
        <f t="shared" si="288"/>
        <v/>
      </c>
      <c r="EY104" s="713">
        <f>'min. Düngung 22'!BA105</f>
        <v>0</v>
      </c>
      <c r="EZ104" s="938"/>
      <c r="FA104" s="938"/>
      <c r="FB104" s="938">
        <f t="shared" si="289"/>
        <v>0</v>
      </c>
      <c r="FC104" s="938">
        <f t="shared" si="290"/>
        <v>0</v>
      </c>
      <c r="FD104" s="938">
        <f t="shared" si="291"/>
        <v>0</v>
      </c>
      <c r="FE104" s="938">
        <f t="shared" si="292"/>
        <v>0</v>
      </c>
      <c r="FF104" s="938">
        <f t="shared" si="293"/>
        <v>0</v>
      </c>
      <c r="FG104" s="938" t="str">
        <f t="shared" si="294"/>
        <v/>
      </c>
      <c r="FH104" s="713">
        <f>'min. Düngung 22'!BD105</f>
        <v>0</v>
      </c>
      <c r="FI104" s="938"/>
      <c r="FJ104" s="938"/>
      <c r="FK104" s="938">
        <f t="shared" si="295"/>
        <v>0</v>
      </c>
      <c r="FL104" s="938">
        <f t="shared" si="296"/>
        <v>0</v>
      </c>
      <c r="FM104" s="938">
        <f t="shared" si="297"/>
        <v>0</v>
      </c>
      <c r="FN104" s="938">
        <f t="shared" si="298"/>
        <v>0</v>
      </c>
      <c r="FO104" s="938">
        <f t="shared" si="299"/>
        <v>0</v>
      </c>
      <c r="FP104" s="938" t="str">
        <f t="shared" si="300"/>
        <v/>
      </c>
      <c r="FQ104" s="713">
        <f>'min. Düngung 22'!BG105</f>
        <v>0</v>
      </c>
      <c r="FR104" s="938"/>
      <c r="FS104" s="938"/>
      <c r="FT104" s="938">
        <f t="shared" si="301"/>
        <v>0</v>
      </c>
      <c r="FU104" s="938">
        <f t="shared" si="302"/>
        <v>0</v>
      </c>
      <c r="FV104" s="938">
        <f t="shared" si="303"/>
        <v>0</v>
      </c>
      <c r="FW104" s="938">
        <f t="shared" si="304"/>
        <v>0</v>
      </c>
      <c r="FX104" s="938">
        <f t="shared" si="305"/>
        <v>0</v>
      </c>
      <c r="FY104" s="938" t="str">
        <f t="shared" si="306"/>
        <v/>
      </c>
      <c r="FZ104" s="713">
        <f>'min. Düngung 22'!BJ105</f>
        <v>0</v>
      </c>
      <c r="GA104" s="938"/>
      <c r="GB104" s="938"/>
      <c r="GC104" s="938">
        <f t="shared" si="307"/>
        <v>0</v>
      </c>
      <c r="GD104" s="938">
        <f t="shared" si="308"/>
        <v>0</v>
      </c>
      <c r="GE104" s="938">
        <f t="shared" si="309"/>
        <v>0</v>
      </c>
      <c r="GF104" s="938">
        <f t="shared" si="310"/>
        <v>0</v>
      </c>
      <c r="GG104" s="938">
        <f t="shared" si="311"/>
        <v>0</v>
      </c>
      <c r="GH104" s="938" t="str">
        <f t="shared" si="312"/>
        <v/>
      </c>
      <c r="GI104" s="713">
        <f>'min. Düngung 22'!BM105</f>
        <v>0</v>
      </c>
      <c r="GJ104" s="938"/>
      <c r="GK104" s="938"/>
      <c r="GL104" s="938">
        <f t="shared" si="313"/>
        <v>0</v>
      </c>
      <c r="GM104" s="938">
        <f t="shared" si="314"/>
        <v>0</v>
      </c>
      <c r="GN104" s="938">
        <f t="shared" si="315"/>
        <v>0</v>
      </c>
      <c r="GO104" s="938">
        <f t="shared" si="316"/>
        <v>0</v>
      </c>
      <c r="GP104" s="938">
        <f t="shared" si="317"/>
        <v>0</v>
      </c>
      <c r="GQ104" s="938" t="str">
        <f t="shared" si="318"/>
        <v/>
      </c>
      <c r="GR104" s="713">
        <f>'min. Düngung 22'!BP105</f>
        <v>0</v>
      </c>
      <c r="GS104" s="938"/>
      <c r="GT104" s="938"/>
      <c r="GU104" s="938">
        <f t="shared" si="319"/>
        <v>0</v>
      </c>
      <c r="GV104" s="938">
        <f t="shared" si="320"/>
        <v>0</v>
      </c>
      <c r="GW104" s="938">
        <f t="shared" si="321"/>
        <v>0</v>
      </c>
      <c r="GX104" s="938">
        <f t="shared" si="322"/>
        <v>0</v>
      </c>
      <c r="GY104" s="938">
        <f t="shared" si="323"/>
        <v>0</v>
      </c>
      <c r="GZ104" s="938" t="str">
        <f t="shared" si="324"/>
        <v/>
      </c>
      <c r="HA104" s="713">
        <f>'min. Düngung 22'!BS105</f>
        <v>0</v>
      </c>
      <c r="HB104" s="938"/>
      <c r="HC104" s="938"/>
      <c r="HD104" s="938">
        <f t="shared" si="325"/>
        <v>0</v>
      </c>
      <c r="HE104" s="938">
        <f t="shared" si="326"/>
        <v>0</v>
      </c>
      <c r="HF104" s="938">
        <f t="shared" si="327"/>
        <v>0</v>
      </c>
      <c r="HG104" s="938">
        <f t="shared" si="328"/>
        <v>0</v>
      </c>
      <c r="HH104" s="938">
        <f t="shared" si="329"/>
        <v>0</v>
      </c>
      <c r="HI104" s="938" t="str">
        <f t="shared" si="330"/>
        <v/>
      </c>
      <c r="HJ104" s="713">
        <f>'min. Düngung 22'!BV105</f>
        <v>0</v>
      </c>
      <c r="HK104" s="938"/>
      <c r="HL104" s="938"/>
      <c r="HM104" s="938">
        <f t="shared" si="331"/>
        <v>0</v>
      </c>
      <c r="HN104" s="938">
        <f t="shared" si="332"/>
        <v>0</v>
      </c>
      <c r="HO104" s="938">
        <f t="shared" si="333"/>
        <v>0</v>
      </c>
      <c r="HP104" s="938">
        <f t="shared" si="334"/>
        <v>0</v>
      </c>
      <c r="HQ104" s="938">
        <f t="shared" si="335"/>
        <v>0</v>
      </c>
      <c r="HR104" s="938" t="str">
        <f t="shared" si="336"/>
        <v/>
      </c>
      <c r="HS104" s="713">
        <f>'min. Düngung 22'!BY105</f>
        <v>0</v>
      </c>
      <c r="HT104" s="938"/>
      <c r="HU104" s="938"/>
      <c r="HV104" s="938">
        <f t="shared" si="337"/>
        <v>0</v>
      </c>
      <c r="HW104" s="938">
        <f t="shared" si="338"/>
        <v>0</v>
      </c>
      <c r="HX104" s="938">
        <f t="shared" si="339"/>
        <v>0</v>
      </c>
      <c r="HY104" s="938">
        <f t="shared" si="340"/>
        <v>0</v>
      </c>
      <c r="HZ104" s="938">
        <f t="shared" si="341"/>
        <v>0</v>
      </c>
      <c r="IA104" s="938" t="str">
        <f t="shared" si="342"/>
        <v/>
      </c>
      <c r="IB104" s="713">
        <f>'min. Düngung 22'!CB105</f>
        <v>0</v>
      </c>
      <c r="IC104" s="938"/>
      <c r="ID104" s="938"/>
      <c r="IE104" s="938">
        <f t="shared" si="343"/>
        <v>0</v>
      </c>
      <c r="IF104" s="938">
        <f t="shared" si="344"/>
        <v>0</v>
      </c>
      <c r="IG104" s="938">
        <f t="shared" si="345"/>
        <v>0</v>
      </c>
      <c r="IH104" s="938">
        <f t="shared" si="346"/>
        <v>0</v>
      </c>
      <c r="II104" s="938">
        <f t="shared" si="347"/>
        <v>0</v>
      </c>
      <c r="IJ104" s="938" t="str">
        <f t="shared" si="348"/>
        <v/>
      </c>
      <c r="IK104" s="713">
        <f>'min. Düngung 22'!CE105</f>
        <v>0</v>
      </c>
      <c r="IL104" s="938"/>
      <c r="IM104" s="938"/>
      <c r="IN104" s="938">
        <f t="shared" si="349"/>
        <v>0</v>
      </c>
      <c r="IO104" s="938">
        <f t="shared" si="350"/>
        <v>0</v>
      </c>
      <c r="IP104" s="938">
        <f t="shared" si="351"/>
        <v>0</v>
      </c>
      <c r="IQ104" s="938">
        <f t="shared" si="352"/>
        <v>0</v>
      </c>
      <c r="IR104" s="938">
        <f t="shared" si="353"/>
        <v>0</v>
      </c>
      <c r="IS104" s="938" t="str">
        <f t="shared" si="354"/>
        <v/>
      </c>
      <c r="IT104" s="713">
        <f>'min. Düngung 22'!CH105</f>
        <v>0</v>
      </c>
      <c r="IU104" s="938"/>
      <c r="IV104" s="938"/>
      <c r="IW104" s="938">
        <f t="shared" si="355"/>
        <v>0</v>
      </c>
      <c r="IX104" s="938">
        <f t="shared" si="356"/>
        <v>0</v>
      </c>
      <c r="IY104" s="938">
        <f t="shared" si="357"/>
        <v>0</v>
      </c>
      <c r="IZ104" s="938">
        <f t="shared" si="358"/>
        <v>0</v>
      </c>
      <c r="JA104" s="938">
        <f t="shared" si="359"/>
        <v>0</v>
      </c>
      <c r="JB104" s="938" t="str">
        <f t="shared" si="360"/>
        <v/>
      </c>
      <c r="JC104" s="713">
        <f>'min. Düngung 22'!CK105</f>
        <v>0</v>
      </c>
      <c r="JD104" s="938"/>
      <c r="JE104" s="938"/>
      <c r="JF104" s="938">
        <f t="shared" si="361"/>
        <v>0</v>
      </c>
      <c r="JG104" s="938">
        <f t="shared" si="362"/>
        <v>0</v>
      </c>
      <c r="JH104" s="938">
        <f t="shared" si="363"/>
        <v>0</v>
      </c>
      <c r="JI104" s="938">
        <f t="shared" si="364"/>
        <v>0</v>
      </c>
      <c r="JJ104" s="938">
        <f t="shared" si="365"/>
        <v>0</v>
      </c>
      <c r="JK104" s="938" t="str">
        <f t="shared" si="366"/>
        <v/>
      </c>
      <c r="JL104" s="713">
        <f>'min. Düngung 22'!CN105</f>
        <v>0</v>
      </c>
      <c r="JM104" s="938"/>
      <c r="JN104" s="938"/>
      <c r="JO104" s="938">
        <f t="shared" si="367"/>
        <v>0</v>
      </c>
      <c r="JP104" s="938">
        <f t="shared" si="368"/>
        <v>0</v>
      </c>
      <c r="JQ104" s="938">
        <f t="shared" si="369"/>
        <v>0</v>
      </c>
      <c r="JR104" s="938">
        <f t="shared" si="370"/>
        <v>0</v>
      </c>
      <c r="JS104" s="938">
        <f t="shared" si="371"/>
        <v>0</v>
      </c>
      <c r="JT104" s="938" t="str">
        <f t="shared" si="372"/>
        <v/>
      </c>
      <c r="JU104" s="713">
        <f>'min. Düngung 22'!CQ105</f>
        <v>0</v>
      </c>
      <c r="JV104" s="938"/>
      <c r="JW104" s="938"/>
      <c r="JX104" s="938">
        <f t="shared" si="373"/>
        <v>0</v>
      </c>
      <c r="JY104" s="938">
        <f t="shared" si="374"/>
        <v>0</v>
      </c>
      <c r="JZ104" s="938">
        <f t="shared" si="375"/>
        <v>0</v>
      </c>
      <c r="KA104" s="938">
        <f t="shared" si="376"/>
        <v>0</v>
      </c>
      <c r="KB104" s="938">
        <f t="shared" si="377"/>
        <v>0</v>
      </c>
      <c r="KC104" s="938" t="str">
        <f t="shared" si="378"/>
        <v/>
      </c>
      <c r="KE104" s="938"/>
      <c r="KF104" s="938" t="str">
        <f>IF(AND($F104=2,$G104=1),"",IF(OR($Q104&gt;0,$O104&gt;60),$KF$7,IF(I104=70,"",IF(AND(I104=80,R104+'#orgDung'!AC107&lt;60,K104=1,OR(C104=2,'#BerechnungDBE'!AH98=4)),"",IF(R104&gt;0,$KF$7,"")))))</f>
        <v/>
      </c>
      <c r="KG104" s="938" t="str">
        <f>IF(AND(P104&gt;'#BerechnungDBE'!BJ98,P104&gt;0),'#minDung'!$KG$7,"")</f>
        <v/>
      </c>
      <c r="KH104" s="938" t="str">
        <f>IF(AND(I104=70,R104&gt;'#BerechnungDBE'!CR98),'#minDung'!$KH$7,"")</f>
        <v/>
      </c>
      <c r="KI104" s="938" t="str">
        <f>IF('#BerechnungDBE'!P98&lt;4,"",IF(AND('#BerechnungDBE'!BZ98&gt;0,N104&gt;0),$KI$7,""))</f>
        <v/>
      </c>
      <c r="KJ104" s="938" t="str">
        <f t="shared" si="197"/>
        <v/>
      </c>
    </row>
    <row r="105" spans="1:296" s="875" customFormat="1" hidden="1" x14ac:dyDescent="0.2">
      <c r="A105" s="875">
        <f>'Flächen u. Kulturen'!A104</f>
        <v>95</v>
      </c>
      <c r="B105" s="734">
        <f>'#BerechnungDBE'!L99</f>
        <v>0</v>
      </c>
      <c r="C105" s="46">
        <f>'#orgDung'!C108</f>
        <v>1</v>
      </c>
      <c r="D105" s="875">
        <f>'#BerechnungDBE'!T99</f>
        <v>2</v>
      </c>
      <c r="E105" s="875" t="str">
        <f>'Flächen u. Kulturen'!E104</f>
        <v>x</v>
      </c>
      <c r="F105" s="52">
        <f>'#BerechnungDBE'!N99</f>
        <v>1</v>
      </c>
      <c r="G105" s="52">
        <f>'#BerechnungDBE'!O99</f>
        <v>1</v>
      </c>
      <c r="H105" s="505">
        <f>'#orgDung'!J108</f>
        <v>2</v>
      </c>
      <c r="I105" s="875">
        <f>'#BerechnungDBE'!AF99</f>
        <v>0</v>
      </c>
      <c r="J105" s="875">
        <f>'#orgDung'!M108</f>
        <v>0</v>
      </c>
      <c r="K105" s="875">
        <f>'#BerechnungDBE'!AG99</f>
        <v>0</v>
      </c>
      <c r="M105" s="875">
        <f t="shared" si="192"/>
        <v>0</v>
      </c>
      <c r="N105" s="875">
        <f t="shared" si="193"/>
        <v>0</v>
      </c>
      <c r="O105" s="875">
        <f t="shared" si="194"/>
        <v>0</v>
      </c>
      <c r="P105" s="875">
        <f t="shared" si="195"/>
        <v>0</v>
      </c>
      <c r="Q105" s="938">
        <f t="shared" si="198"/>
        <v>0</v>
      </c>
      <c r="R105" s="875">
        <f t="shared" si="196"/>
        <v>0</v>
      </c>
      <c r="T105" s="713">
        <f>'min. Düngung 22'!H106</f>
        <v>0</v>
      </c>
      <c r="W105" s="875">
        <f t="shared" si="199"/>
        <v>0</v>
      </c>
      <c r="X105" s="875">
        <f t="shared" si="200"/>
        <v>0</v>
      </c>
      <c r="Y105" s="875">
        <f t="shared" si="201"/>
        <v>0</v>
      </c>
      <c r="Z105" s="875">
        <f t="shared" si="202"/>
        <v>0</v>
      </c>
      <c r="AA105" s="875">
        <f t="shared" si="203"/>
        <v>0</v>
      </c>
      <c r="AB105" s="875" t="str">
        <f t="shared" si="204"/>
        <v/>
      </c>
      <c r="AC105" s="713">
        <f>'min. Düngung 22'!K106</f>
        <v>0</v>
      </c>
      <c r="AD105" s="938"/>
      <c r="AE105" s="938"/>
      <c r="AF105" s="938">
        <f t="shared" si="205"/>
        <v>0</v>
      </c>
      <c r="AG105" s="938">
        <f t="shared" si="206"/>
        <v>0</v>
      </c>
      <c r="AH105" s="938">
        <f t="shared" si="207"/>
        <v>0</v>
      </c>
      <c r="AI105" s="938">
        <f t="shared" si="208"/>
        <v>0</v>
      </c>
      <c r="AJ105" s="938">
        <f t="shared" si="209"/>
        <v>0</v>
      </c>
      <c r="AK105" s="938">
        <f t="shared" si="210"/>
        <v>0</v>
      </c>
      <c r="AL105" s="713">
        <f>'min. Düngung 22'!N106</f>
        <v>0</v>
      </c>
      <c r="AM105" s="938"/>
      <c r="AN105" s="938"/>
      <c r="AO105" s="938">
        <f t="shared" si="211"/>
        <v>0</v>
      </c>
      <c r="AP105" s="938">
        <f t="shared" si="212"/>
        <v>0</v>
      </c>
      <c r="AQ105" s="938">
        <f t="shared" si="213"/>
        <v>0</v>
      </c>
      <c r="AR105" s="938">
        <f t="shared" si="214"/>
        <v>0</v>
      </c>
      <c r="AS105" s="938">
        <f t="shared" si="215"/>
        <v>0</v>
      </c>
      <c r="AT105" s="938" t="str">
        <f t="shared" si="216"/>
        <v/>
      </c>
      <c r="AU105" s="713">
        <f>'min. Düngung 22'!Q106</f>
        <v>0</v>
      </c>
      <c r="AV105" s="938"/>
      <c r="AW105" s="938"/>
      <c r="AX105" s="938">
        <f t="shared" si="217"/>
        <v>0</v>
      </c>
      <c r="AY105" s="938">
        <f t="shared" si="218"/>
        <v>0</v>
      </c>
      <c r="AZ105" s="938">
        <f t="shared" si="219"/>
        <v>0</v>
      </c>
      <c r="BA105" s="938">
        <f t="shared" si="220"/>
        <v>0</v>
      </c>
      <c r="BB105" s="938">
        <f t="shared" si="221"/>
        <v>0</v>
      </c>
      <c r="BC105" s="938" t="str">
        <f t="shared" si="222"/>
        <v/>
      </c>
      <c r="BD105" s="713">
        <f>'min. Düngung 22'!T106</f>
        <v>0</v>
      </c>
      <c r="BE105" s="938"/>
      <c r="BF105" s="938"/>
      <c r="BG105" s="938">
        <f t="shared" si="223"/>
        <v>0</v>
      </c>
      <c r="BH105" s="938">
        <f t="shared" si="224"/>
        <v>0</v>
      </c>
      <c r="BI105" s="938">
        <f t="shared" si="225"/>
        <v>0</v>
      </c>
      <c r="BJ105" s="938">
        <f t="shared" si="226"/>
        <v>0</v>
      </c>
      <c r="BK105" s="938">
        <f t="shared" si="227"/>
        <v>0</v>
      </c>
      <c r="BL105" s="938" t="str">
        <f t="shared" si="228"/>
        <v/>
      </c>
      <c r="BM105" s="713">
        <f>'min. Düngung 22'!W106</f>
        <v>0</v>
      </c>
      <c r="BN105" s="938"/>
      <c r="BO105" s="938"/>
      <c r="BP105" s="938">
        <f t="shared" si="229"/>
        <v>0</v>
      </c>
      <c r="BQ105" s="938">
        <f t="shared" si="230"/>
        <v>0</v>
      </c>
      <c r="BR105" s="938">
        <f t="shared" si="231"/>
        <v>0</v>
      </c>
      <c r="BS105" s="938">
        <f t="shared" si="232"/>
        <v>0</v>
      </c>
      <c r="BT105" s="938">
        <f t="shared" si="233"/>
        <v>0</v>
      </c>
      <c r="BU105" s="938" t="str">
        <f t="shared" si="234"/>
        <v/>
      </c>
      <c r="BV105" s="713">
        <f>'min. Düngung 22'!Z106</f>
        <v>0</v>
      </c>
      <c r="BW105" s="938"/>
      <c r="BX105" s="938"/>
      <c r="BY105" s="938">
        <f t="shared" si="235"/>
        <v>0</v>
      </c>
      <c r="BZ105" s="938">
        <f t="shared" si="236"/>
        <v>0</v>
      </c>
      <c r="CA105" s="938">
        <f t="shared" si="237"/>
        <v>0</v>
      </c>
      <c r="CB105" s="938">
        <f t="shared" si="238"/>
        <v>0</v>
      </c>
      <c r="CC105" s="938">
        <f t="shared" si="239"/>
        <v>0</v>
      </c>
      <c r="CD105" s="938" t="str">
        <f t="shared" si="240"/>
        <v/>
      </c>
      <c r="CE105" s="713">
        <f>'min. Düngung 22'!AC106</f>
        <v>0</v>
      </c>
      <c r="CF105" s="938"/>
      <c r="CG105" s="938"/>
      <c r="CH105" s="938">
        <f t="shared" si="241"/>
        <v>0</v>
      </c>
      <c r="CI105" s="938">
        <f t="shared" si="242"/>
        <v>0</v>
      </c>
      <c r="CJ105" s="938">
        <f t="shared" si="243"/>
        <v>0</v>
      </c>
      <c r="CK105" s="938">
        <f t="shared" si="244"/>
        <v>0</v>
      </c>
      <c r="CL105" s="938">
        <f t="shared" si="245"/>
        <v>0</v>
      </c>
      <c r="CM105" s="938" t="str">
        <f t="shared" si="246"/>
        <v/>
      </c>
      <c r="CN105" s="713">
        <f>'min. Düngung 22'!AF106</f>
        <v>0</v>
      </c>
      <c r="CO105" s="938"/>
      <c r="CP105" s="938"/>
      <c r="CQ105" s="938">
        <f t="shared" si="247"/>
        <v>0</v>
      </c>
      <c r="CR105" s="938">
        <f t="shared" si="248"/>
        <v>0</v>
      </c>
      <c r="CS105" s="938">
        <f t="shared" si="249"/>
        <v>0</v>
      </c>
      <c r="CT105" s="938">
        <f t="shared" si="250"/>
        <v>0</v>
      </c>
      <c r="CU105" s="938">
        <f t="shared" si="251"/>
        <v>0</v>
      </c>
      <c r="CV105" s="938" t="str">
        <f t="shared" si="252"/>
        <v/>
      </c>
      <c r="CW105" s="713">
        <f>'min. Düngung 22'!AI106</f>
        <v>0</v>
      </c>
      <c r="CX105" s="938"/>
      <c r="CY105" s="938"/>
      <c r="CZ105" s="938">
        <f t="shared" si="253"/>
        <v>0</v>
      </c>
      <c r="DA105" s="938">
        <f t="shared" si="254"/>
        <v>0</v>
      </c>
      <c r="DB105" s="938">
        <f t="shared" si="255"/>
        <v>0</v>
      </c>
      <c r="DC105" s="938">
        <f t="shared" si="256"/>
        <v>0</v>
      </c>
      <c r="DD105" s="938">
        <f t="shared" si="257"/>
        <v>0</v>
      </c>
      <c r="DE105" s="938" t="str">
        <f t="shared" si="258"/>
        <v/>
      </c>
      <c r="DF105" s="713">
        <f>'min. Düngung 22'!AL106</f>
        <v>0</v>
      </c>
      <c r="DG105" s="938"/>
      <c r="DH105" s="938"/>
      <c r="DI105" s="938">
        <f t="shared" si="259"/>
        <v>0</v>
      </c>
      <c r="DJ105" s="938">
        <f t="shared" si="260"/>
        <v>0</v>
      </c>
      <c r="DK105" s="938">
        <f t="shared" si="261"/>
        <v>0</v>
      </c>
      <c r="DL105" s="938">
        <f t="shared" si="262"/>
        <v>0</v>
      </c>
      <c r="DM105" s="938">
        <f t="shared" si="263"/>
        <v>0</v>
      </c>
      <c r="DN105" s="938" t="str">
        <f t="shared" si="264"/>
        <v/>
      </c>
      <c r="DO105" s="713">
        <f>'min. Düngung 22'!AO106</f>
        <v>0</v>
      </c>
      <c r="DP105" s="938"/>
      <c r="DQ105" s="938"/>
      <c r="DR105" s="938">
        <f t="shared" si="265"/>
        <v>0</v>
      </c>
      <c r="DS105" s="938">
        <f t="shared" si="266"/>
        <v>0</v>
      </c>
      <c r="DT105" s="938">
        <f t="shared" si="267"/>
        <v>0</v>
      </c>
      <c r="DU105" s="938">
        <f t="shared" si="268"/>
        <v>0</v>
      </c>
      <c r="DV105" s="938">
        <f t="shared" si="269"/>
        <v>0</v>
      </c>
      <c r="DW105" s="938" t="str">
        <f t="shared" si="270"/>
        <v/>
      </c>
      <c r="DX105" s="713">
        <f>'min. Düngung 22'!AR106</f>
        <v>0</v>
      </c>
      <c r="DY105" s="938"/>
      <c r="DZ105" s="938"/>
      <c r="EA105" s="938">
        <f t="shared" si="271"/>
        <v>0</v>
      </c>
      <c r="EB105" s="938">
        <f t="shared" si="272"/>
        <v>0</v>
      </c>
      <c r="EC105" s="938">
        <f t="shared" si="273"/>
        <v>0</v>
      </c>
      <c r="ED105" s="938">
        <f t="shared" si="274"/>
        <v>0</v>
      </c>
      <c r="EE105" s="938">
        <f t="shared" si="275"/>
        <v>0</v>
      </c>
      <c r="EF105" s="938" t="str">
        <f t="shared" si="276"/>
        <v/>
      </c>
      <c r="EG105" s="713">
        <f>'min. Düngung 22'!AU106</f>
        <v>0</v>
      </c>
      <c r="EH105" s="938"/>
      <c r="EI105" s="938"/>
      <c r="EJ105" s="938">
        <f t="shared" si="277"/>
        <v>0</v>
      </c>
      <c r="EK105" s="938">
        <f t="shared" si="278"/>
        <v>0</v>
      </c>
      <c r="EL105" s="938">
        <f t="shared" si="279"/>
        <v>0</v>
      </c>
      <c r="EM105" s="938">
        <f t="shared" si="280"/>
        <v>0</v>
      </c>
      <c r="EN105" s="938">
        <f t="shared" si="281"/>
        <v>0</v>
      </c>
      <c r="EO105" s="938" t="str">
        <f t="shared" si="282"/>
        <v/>
      </c>
      <c r="EP105" s="713">
        <f>'min. Düngung 22'!AX106</f>
        <v>0</v>
      </c>
      <c r="EQ105" s="938"/>
      <c r="ER105" s="938"/>
      <c r="ES105" s="938">
        <f t="shared" si="283"/>
        <v>0</v>
      </c>
      <c r="ET105" s="938">
        <f t="shared" si="284"/>
        <v>0</v>
      </c>
      <c r="EU105" s="938">
        <f t="shared" si="285"/>
        <v>0</v>
      </c>
      <c r="EV105" s="938">
        <f t="shared" si="286"/>
        <v>0</v>
      </c>
      <c r="EW105" s="938">
        <f t="shared" si="287"/>
        <v>0</v>
      </c>
      <c r="EX105" s="938" t="str">
        <f t="shared" si="288"/>
        <v/>
      </c>
      <c r="EY105" s="713">
        <f>'min. Düngung 22'!BA106</f>
        <v>0</v>
      </c>
      <c r="EZ105" s="938"/>
      <c r="FA105" s="938"/>
      <c r="FB105" s="938">
        <f t="shared" si="289"/>
        <v>0</v>
      </c>
      <c r="FC105" s="938">
        <f t="shared" si="290"/>
        <v>0</v>
      </c>
      <c r="FD105" s="938">
        <f t="shared" si="291"/>
        <v>0</v>
      </c>
      <c r="FE105" s="938">
        <f t="shared" si="292"/>
        <v>0</v>
      </c>
      <c r="FF105" s="938">
        <f t="shared" si="293"/>
        <v>0</v>
      </c>
      <c r="FG105" s="938" t="str">
        <f t="shared" si="294"/>
        <v/>
      </c>
      <c r="FH105" s="713">
        <f>'min. Düngung 22'!BD106</f>
        <v>0</v>
      </c>
      <c r="FI105" s="938"/>
      <c r="FJ105" s="938"/>
      <c r="FK105" s="938">
        <f t="shared" si="295"/>
        <v>0</v>
      </c>
      <c r="FL105" s="938">
        <f t="shared" si="296"/>
        <v>0</v>
      </c>
      <c r="FM105" s="938">
        <f t="shared" si="297"/>
        <v>0</v>
      </c>
      <c r="FN105" s="938">
        <f t="shared" si="298"/>
        <v>0</v>
      </c>
      <c r="FO105" s="938">
        <f t="shared" si="299"/>
        <v>0</v>
      </c>
      <c r="FP105" s="938" t="str">
        <f t="shared" si="300"/>
        <v/>
      </c>
      <c r="FQ105" s="713">
        <f>'min. Düngung 22'!BG106</f>
        <v>0</v>
      </c>
      <c r="FR105" s="938"/>
      <c r="FS105" s="938"/>
      <c r="FT105" s="938">
        <f t="shared" si="301"/>
        <v>0</v>
      </c>
      <c r="FU105" s="938">
        <f t="shared" si="302"/>
        <v>0</v>
      </c>
      <c r="FV105" s="938">
        <f t="shared" si="303"/>
        <v>0</v>
      </c>
      <c r="FW105" s="938">
        <f t="shared" si="304"/>
        <v>0</v>
      </c>
      <c r="FX105" s="938">
        <f t="shared" si="305"/>
        <v>0</v>
      </c>
      <c r="FY105" s="938" t="str">
        <f t="shared" si="306"/>
        <v/>
      </c>
      <c r="FZ105" s="713">
        <f>'min. Düngung 22'!BJ106</f>
        <v>0</v>
      </c>
      <c r="GA105" s="938"/>
      <c r="GB105" s="938"/>
      <c r="GC105" s="938">
        <f t="shared" si="307"/>
        <v>0</v>
      </c>
      <c r="GD105" s="938">
        <f t="shared" si="308"/>
        <v>0</v>
      </c>
      <c r="GE105" s="938">
        <f t="shared" si="309"/>
        <v>0</v>
      </c>
      <c r="GF105" s="938">
        <f t="shared" si="310"/>
        <v>0</v>
      </c>
      <c r="GG105" s="938">
        <f t="shared" si="311"/>
        <v>0</v>
      </c>
      <c r="GH105" s="938" t="str">
        <f t="shared" si="312"/>
        <v/>
      </c>
      <c r="GI105" s="713">
        <f>'min. Düngung 22'!BM106</f>
        <v>0</v>
      </c>
      <c r="GJ105" s="938"/>
      <c r="GK105" s="938"/>
      <c r="GL105" s="938">
        <f t="shared" si="313"/>
        <v>0</v>
      </c>
      <c r="GM105" s="938">
        <f t="shared" si="314"/>
        <v>0</v>
      </c>
      <c r="GN105" s="938">
        <f t="shared" si="315"/>
        <v>0</v>
      </c>
      <c r="GO105" s="938">
        <f t="shared" si="316"/>
        <v>0</v>
      </c>
      <c r="GP105" s="938">
        <f t="shared" si="317"/>
        <v>0</v>
      </c>
      <c r="GQ105" s="938" t="str">
        <f t="shared" si="318"/>
        <v/>
      </c>
      <c r="GR105" s="713">
        <f>'min. Düngung 22'!BP106</f>
        <v>0</v>
      </c>
      <c r="GS105" s="938"/>
      <c r="GT105" s="938"/>
      <c r="GU105" s="938">
        <f t="shared" si="319"/>
        <v>0</v>
      </c>
      <c r="GV105" s="938">
        <f t="shared" si="320"/>
        <v>0</v>
      </c>
      <c r="GW105" s="938">
        <f t="shared" si="321"/>
        <v>0</v>
      </c>
      <c r="GX105" s="938">
        <f t="shared" si="322"/>
        <v>0</v>
      </c>
      <c r="GY105" s="938">
        <f t="shared" si="323"/>
        <v>0</v>
      </c>
      <c r="GZ105" s="938" t="str">
        <f t="shared" si="324"/>
        <v/>
      </c>
      <c r="HA105" s="713">
        <f>'min. Düngung 22'!BS106</f>
        <v>0</v>
      </c>
      <c r="HB105" s="938"/>
      <c r="HC105" s="938"/>
      <c r="HD105" s="938">
        <f t="shared" si="325"/>
        <v>0</v>
      </c>
      <c r="HE105" s="938">
        <f t="shared" si="326"/>
        <v>0</v>
      </c>
      <c r="HF105" s="938">
        <f t="shared" si="327"/>
        <v>0</v>
      </c>
      <c r="HG105" s="938">
        <f t="shared" si="328"/>
        <v>0</v>
      </c>
      <c r="HH105" s="938">
        <f t="shared" si="329"/>
        <v>0</v>
      </c>
      <c r="HI105" s="938" t="str">
        <f t="shared" si="330"/>
        <v/>
      </c>
      <c r="HJ105" s="713">
        <f>'min. Düngung 22'!BV106</f>
        <v>0</v>
      </c>
      <c r="HK105" s="938"/>
      <c r="HL105" s="938"/>
      <c r="HM105" s="938">
        <f t="shared" si="331"/>
        <v>0</v>
      </c>
      <c r="HN105" s="938">
        <f t="shared" si="332"/>
        <v>0</v>
      </c>
      <c r="HO105" s="938">
        <f t="shared" si="333"/>
        <v>0</v>
      </c>
      <c r="HP105" s="938">
        <f t="shared" si="334"/>
        <v>0</v>
      </c>
      <c r="HQ105" s="938">
        <f t="shared" si="335"/>
        <v>0</v>
      </c>
      <c r="HR105" s="938" t="str">
        <f t="shared" si="336"/>
        <v/>
      </c>
      <c r="HS105" s="713">
        <f>'min. Düngung 22'!BY106</f>
        <v>0</v>
      </c>
      <c r="HT105" s="938"/>
      <c r="HU105" s="938"/>
      <c r="HV105" s="938">
        <f t="shared" si="337"/>
        <v>0</v>
      </c>
      <c r="HW105" s="938">
        <f t="shared" si="338"/>
        <v>0</v>
      </c>
      <c r="HX105" s="938">
        <f t="shared" si="339"/>
        <v>0</v>
      </c>
      <c r="HY105" s="938">
        <f t="shared" si="340"/>
        <v>0</v>
      </c>
      <c r="HZ105" s="938">
        <f t="shared" si="341"/>
        <v>0</v>
      </c>
      <c r="IA105" s="938" t="str">
        <f t="shared" si="342"/>
        <v/>
      </c>
      <c r="IB105" s="713">
        <f>'min. Düngung 22'!CB106</f>
        <v>0</v>
      </c>
      <c r="IC105" s="938"/>
      <c r="ID105" s="938"/>
      <c r="IE105" s="938">
        <f t="shared" si="343"/>
        <v>0</v>
      </c>
      <c r="IF105" s="938">
        <f t="shared" si="344"/>
        <v>0</v>
      </c>
      <c r="IG105" s="938">
        <f t="shared" si="345"/>
        <v>0</v>
      </c>
      <c r="IH105" s="938">
        <f t="shared" si="346"/>
        <v>0</v>
      </c>
      <c r="II105" s="938">
        <f t="shared" si="347"/>
        <v>0</v>
      </c>
      <c r="IJ105" s="938" t="str">
        <f t="shared" si="348"/>
        <v/>
      </c>
      <c r="IK105" s="713">
        <f>'min. Düngung 22'!CE106</f>
        <v>0</v>
      </c>
      <c r="IL105" s="938"/>
      <c r="IM105" s="938"/>
      <c r="IN105" s="938">
        <f t="shared" si="349"/>
        <v>0</v>
      </c>
      <c r="IO105" s="938">
        <f t="shared" si="350"/>
        <v>0</v>
      </c>
      <c r="IP105" s="938">
        <f t="shared" si="351"/>
        <v>0</v>
      </c>
      <c r="IQ105" s="938">
        <f t="shared" si="352"/>
        <v>0</v>
      </c>
      <c r="IR105" s="938">
        <f t="shared" si="353"/>
        <v>0</v>
      </c>
      <c r="IS105" s="938" t="str">
        <f t="shared" si="354"/>
        <v/>
      </c>
      <c r="IT105" s="713">
        <f>'min. Düngung 22'!CH106</f>
        <v>0</v>
      </c>
      <c r="IU105" s="938"/>
      <c r="IV105" s="938"/>
      <c r="IW105" s="938">
        <f t="shared" si="355"/>
        <v>0</v>
      </c>
      <c r="IX105" s="938">
        <f t="shared" si="356"/>
        <v>0</v>
      </c>
      <c r="IY105" s="938">
        <f t="shared" si="357"/>
        <v>0</v>
      </c>
      <c r="IZ105" s="938">
        <f t="shared" si="358"/>
        <v>0</v>
      </c>
      <c r="JA105" s="938">
        <f t="shared" si="359"/>
        <v>0</v>
      </c>
      <c r="JB105" s="938" t="str">
        <f t="shared" si="360"/>
        <v/>
      </c>
      <c r="JC105" s="713">
        <f>'min. Düngung 22'!CK106</f>
        <v>0</v>
      </c>
      <c r="JD105" s="938"/>
      <c r="JE105" s="938"/>
      <c r="JF105" s="938">
        <f t="shared" si="361"/>
        <v>0</v>
      </c>
      <c r="JG105" s="938">
        <f t="shared" si="362"/>
        <v>0</v>
      </c>
      <c r="JH105" s="938">
        <f t="shared" si="363"/>
        <v>0</v>
      </c>
      <c r="JI105" s="938">
        <f t="shared" si="364"/>
        <v>0</v>
      </c>
      <c r="JJ105" s="938">
        <f t="shared" si="365"/>
        <v>0</v>
      </c>
      <c r="JK105" s="938" t="str">
        <f t="shared" si="366"/>
        <v/>
      </c>
      <c r="JL105" s="713">
        <f>'min. Düngung 22'!CN106</f>
        <v>0</v>
      </c>
      <c r="JM105" s="938"/>
      <c r="JN105" s="938"/>
      <c r="JO105" s="938">
        <f t="shared" si="367"/>
        <v>0</v>
      </c>
      <c r="JP105" s="938">
        <f t="shared" si="368"/>
        <v>0</v>
      </c>
      <c r="JQ105" s="938">
        <f t="shared" si="369"/>
        <v>0</v>
      </c>
      <c r="JR105" s="938">
        <f t="shared" si="370"/>
        <v>0</v>
      </c>
      <c r="JS105" s="938">
        <f t="shared" si="371"/>
        <v>0</v>
      </c>
      <c r="JT105" s="938" t="str">
        <f t="shared" si="372"/>
        <v/>
      </c>
      <c r="JU105" s="713">
        <f>'min. Düngung 22'!CQ106</f>
        <v>0</v>
      </c>
      <c r="JV105" s="938"/>
      <c r="JW105" s="938"/>
      <c r="JX105" s="938">
        <f t="shared" si="373"/>
        <v>0</v>
      </c>
      <c r="JY105" s="938">
        <f t="shared" si="374"/>
        <v>0</v>
      </c>
      <c r="JZ105" s="938">
        <f t="shared" si="375"/>
        <v>0</v>
      </c>
      <c r="KA105" s="938">
        <f t="shared" si="376"/>
        <v>0</v>
      </c>
      <c r="KB105" s="938">
        <f t="shared" si="377"/>
        <v>0</v>
      </c>
      <c r="KC105" s="938" t="str">
        <f t="shared" si="378"/>
        <v/>
      </c>
      <c r="KE105" s="938"/>
      <c r="KF105" s="938" t="str">
        <f>IF(AND($F105=2,$G105=1),"",IF(OR($Q105&gt;0,$O105&gt;60),$KF$7,IF(I105=70,"",IF(AND(I105=80,R105+'#orgDung'!AC108&lt;60,K105=1,OR(C105=2,'#BerechnungDBE'!AH99=4)),"",IF(R105&gt;0,$KF$7,"")))))</f>
        <v/>
      </c>
      <c r="KG105" s="938" t="str">
        <f>IF(AND(P105&gt;'#BerechnungDBE'!BJ99,P105&gt;0),'#minDung'!$KG$7,"")</f>
        <v/>
      </c>
      <c r="KH105" s="938" t="str">
        <f>IF(AND(I105=70,R105&gt;'#BerechnungDBE'!CR99),'#minDung'!$KH$7,"")</f>
        <v/>
      </c>
      <c r="KI105" s="938" t="str">
        <f>IF('#BerechnungDBE'!P99&lt;4,"",IF(AND('#BerechnungDBE'!BZ99&gt;0,N105&gt;0),$KI$7,""))</f>
        <v/>
      </c>
      <c r="KJ105" s="938" t="str">
        <f t="shared" si="197"/>
        <v/>
      </c>
    </row>
    <row r="106" spans="1:296" s="875" customFormat="1" hidden="1" x14ac:dyDescent="0.2">
      <c r="A106" s="875">
        <f>'Flächen u. Kulturen'!A105</f>
        <v>96</v>
      </c>
      <c r="B106" s="734">
        <f>'#BerechnungDBE'!L100</f>
        <v>0</v>
      </c>
      <c r="C106" s="46">
        <f>'#orgDung'!C109</f>
        <v>1</v>
      </c>
      <c r="D106" s="875">
        <f>'#BerechnungDBE'!T100</f>
        <v>2</v>
      </c>
      <c r="E106" s="875" t="str">
        <f>'Flächen u. Kulturen'!E105</f>
        <v>x</v>
      </c>
      <c r="F106" s="52">
        <f>'#BerechnungDBE'!N100</f>
        <v>1</v>
      </c>
      <c r="G106" s="52">
        <f>'#BerechnungDBE'!O100</f>
        <v>1</v>
      </c>
      <c r="H106" s="505">
        <f>'#orgDung'!J109</f>
        <v>2</v>
      </c>
      <c r="I106" s="875">
        <f>'#BerechnungDBE'!AF100</f>
        <v>0</v>
      </c>
      <c r="J106" s="875">
        <f>'#orgDung'!M109</f>
        <v>0</v>
      </c>
      <c r="K106" s="875">
        <f>'#BerechnungDBE'!AG100</f>
        <v>0</v>
      </c>
      <c r="M106" s="875">
        <f t="shared" si="192"/>
        <v>0</v>
      </c>
      <c r="N106" s="875">
        <f t="shared" si="193"/>
        <v>0</v>
      </c>
      <c r="O106" s="875">
        <f t="shared" si="194"/>
        <v>0</v>
      </c>
      <c r="P106" s="875">
        <f t="shared" si="195"/>
        <v>0</v>
      </c>
      <c r="Q106" s="938">
        <f t="shared" si="198"/>
        <v>0</v>
      </c>
      <c r="R106" s="875">
        <f t="shared" si="196"/>
        <v>0</v>
      </c>
      <c r="T106" s="713">
        <f>'min. Düngung 22'!H107</f>
        <v>0</v>
      </c>
      <c r="W106" s="875">
        <f t="shared" si="199"/>
        <v>0</v>
      </c>
      <c r="X106" s="875">
        <f t="shared" si="200"/>
        <v>0</v>
      </c>
      <c r="Y106" s="875">
        <f t="shared" si="201"/>
        <v>0</v>
      </c>
      <c r="Z106" s="875">
        <f t="shared" si="202"/>
        <v>0</v>
      </c>
      <c r="AA106" s="875">
        <f t="shared" si="203"/>
        <v>0</v>
      </c>
      <c r="AB106" s="875" t="str">
        <f t="shared" si="204"/>
        <v/>
      </c>
      <c r="AC106" s="713">
        <f>'min. Düngung 22'!K107</f>
        <v>0</v>
      </c>
      <c r="AD106" s="938"/>
      <c r="AE106" s="938"/>
      <c r="AF106" s="938">
        <f t="shared" si="205"/>
        <v>0</v>
      </c>
      <c r="AG106" s="938">
        <f t="shared" si="206"/>
        <v>0</v>
      </c>
      <c r="AH106" s="938">
        <f t="shared" si="207"/>
        <v>0</v>
      </c>
      <c r="AI106" s="938">
        <f t="shared" si="208"/>
        <v>0</v>
      </c>
      <c r="AJ106" s="938">
        <f t="shared" si="209"/>
        <v>0</v>
      </c>
      <c r="AK106" s="938">
        <f t="shared" si="210"/>
        <v>0</v>
      </c>
      <c r="AL106" s="713">
        <f>'min. Düngung 22'!N107</f>
        <v>0</v>
      </c>
      <c r="AM106" s="938"/>
      <c r="AN106" s="938"/>
      <c r="AO106" s="938">
        <f t="shared" si="211"/>
        <v>0</v>
      </c>
      <c r="AP106" s="938">
        <f t="shared" si="212"/>
        <v>0</v>
      </c>
      <c r="AQ106" s="938">
        <f t="shared" si="213"/>
        <v>0</v>
      </c>
      <c r="AR106" s="938">
        <f t="shared" si="214"/>
        <v>0</v>
      </c>
      <c r="AS106" s="938">
        <f t="shared" si="215"/>
        <v>0</v>
      </c>
      <c r="AT106" s="938" t="str">
        <f t="shared" si="216"/>
        <v/>
      </c>
      <c r="AU106" s="713">
        <f>'min. Düngung 22'!Q107</f>
        <v>0</v>
      </c>
      <c r="AV106" s="938"/>
      <c r="AW106" s="938"/>
      <c r="AX106" s="938">
        <f t="shared" si="217"/>
        <v>0</v>
      </c>
      <c r="AY106" s="938">
        <f t="shared" si="218"/>
        <v>0</v>
      </c>
      <c r="AZ106" s="938">
        <f t="shared" si="219"/>
        <v>0</v>
      </c>
      <c r="BA106" s="938">
        <f t="shared" si="220"/>
        <v>0</v>
      </c>
      <c r="BB106" s="938">
        <f t="shared" si="221"/>
        <v>0</v>
      </c>
      <c r="BC106" s="938" t="str">
        <f t="shared" si="222"/>
        <v/>
      </c>
      <c r="BD106" s="713">
        <f>'min. Düngung 22'!T107</f>
        <v>0</v>
      </c>
      <c r="BE106" s="938"/>
      <c r="BF106" s="938"/>
      <c r="BG106" s="938">
        <f t="shared" si="223"/>
        <v>0</v>
      </c>
      <c r="BH106" s="938">
        <f t="shared" si="224"/>
        <v>0</v>
      </c>
      <c r="BI106" s="938">
        <f t="shared" si="225"/>
        <v>0</v>
      </c>
      <c r="BJ106" s="938">
        <f t="shared" si="226"/>
        <v>0</v>
      </c>
      <c r="BK106" s="938">
        <f t="shared" si="227"/>
        <v>0</v>
      </c>
      <c r="BL106" s="938" t="str">
        <f t="shared" si="228"/>
        <v/>
      </c>
      <c r="BM106" s="713">
        <f>'min. Düngung 22'!W107</f>
        <v>0</v>
      </c>
      <c r="BN106" s="938"/>
      <c r="BO106" s="938"/>
      <c r="BP106" s="938">
        <f t="shared" si="229"/>
        <v>0</v>
      </c>
      <c r="BQ106" s="938">
        <f t="shared" si="230"/>
        <v>0</v>
      </c>
      <c r="BR106" s="938">
        <f t="shared" si="231"/>
        <v>0</v>
      </c>
      <c r="BS106" s="938">
        <f t="shared" si="232"/>
        <v>0</v>
      </c>
      <c r="BT106" s="938">
        <f t="shared" si="233"/>
        <v>0</v>
      </c>
      <c r="BU106" s="938" t="str">
        <f t="shared" si="234"/>
        <v/>
      </c>
      <c r="BV106" s="713">
        <f>'min. Düngung 22'!Z107</f>
        <v>0</v>
      </c>
      <c r="BW106" s="938"/>
      <c r="BX106" s="938"/>
      <c r="BY106" s="938">
        <f t="shared" si="235"/>
        <v>0</v>
      </c>
      <c r="BZ106" s="938">
        <f t="shared" si="236"/>
        <v>0</v>
      </c>
      <c r="CA106" s="938">
        <f t="shared" si="237"/>
        <v>0</v>
      </c>
      <c r="CB106" s="938">
        <f t="shared" si="238"/>
        <v>0</v>
      </c>
      <c r="CC106" s="938">
        <f t="shared" si="239"/>
        <v>0</v>
      </c>
      <c r="CD106" s="938" t="str">
        <f t="shared" si="240"/>
        <v/>
      </c>
      <c r="CE106" s="713">
        <f>'min. Düngung 22'!AC107</f>
        <v>0</v>
      </c>
      <c r="CF106" s="938"/>
      <c r="CG106" s="938"/>
      <c r="CH106" s="938">
        <f t="shared" si="241"/>
        <v>0</v>
      </c>
      <c r="CI106" s="938">
        <f t="shared" si="242"/>
        <v>0</v>
      </c>
      <c r="CJ106" s="938">
        <f t="shared" si="243"/>
        <v>0</v>
      </c>
      <c r="CK106" s="938">
        <f t="shared" si="244"/>
        <v>0</v>
      </c>
      <c r="CL106" s="938">
        <f t="shared" si="245"/>
        <v>0</v>
      </c>
      <c r="CM106" s="938" t="str">
        <f t="shared" si="246"/>
        <v/>
      </c>
      <c r="CN106" s="713">
        <f>'min. Düngung 22'!AF107</f>
        <v>0</v>
      </c>
      <c r="CO106" s="938"/>
      <c r="CP106" s="938"/>
      <c r="CQ106" s="938">
        <f t="shared" si="247"/>
        <v>0</v>
      </c>
      <c r="CR106" s="938">
        <f t="shared" si="248"/>
        <v>0</v>
      </c>
      <c r="CS106" s="938">
        <f t="shared" si="249"/>
        <v>0</v>
      </c>
      <c r="CT106" s="938">
        <f t="shared" si="250"/>
        <v>0</v>
      </c>
      <c r="CU106" s="938">
        <f t="shared" si="251"/>
        <v>0</v>
      </c>
      <c r="CV106" s="938" t="str">
        <f t="shared" si="252"/>
        <v/>
      </c>
      <c r="CW106" s="713">
        <f>'min. Düngung 22'!AI107</f>
        <v>0</v>
      </c>
      <c r="CX106" s="938"/>
      <c r="CY106" s="938"/>
      <c r="CZ106" s="938">
        <f t="shared" si="253"/>
        <v>0</v>
      </c>
      <c r="DA106" s="938">
        <f t="shared" si="254"/>
        <v>0</v>
      </c>
      <c r="DB106" s="938">
        <f t="shared" si="255"/>
        <v>0</v>
      </c>
      <c r="DC106" s="938">
        <f t="shared" si="256"/>
        <v>0</v>
      </c>
      <c r="DD106" s="938">
        <f t="shared" si="257"/>
        <v>0</v>
      </c>
      <c r="DE106" s="938" t="str">
        <f t="shared" si="258"/>
        <v/>
      </c>
      <c r="DF106" s="713">
        <f>'min. Düngung 22'!AL107</f>
        <v>0</v>
      </c>
      <c r="DG106" s="938"/>
      <c r="DH106" s="938"/>
      <c r="DI106" s="938">
        <f t="shared" si="259"/>
        <v>0</v>
      </c>
      <c r="DJ106" s="938">
        <f t="shared" si="260"/>
        <v>0</v>
      </c>
      <c r="DK106" s="938">
        <f t="shared" si="261"/>
        <v>0</v>
      </c>
      <c r="DL106" s="938">
        <f t="shared" si="262"/>
        <v>0</v>
      </c>
      <c r="DM106" s="938">
        <f t="shared" si="263"/>
        <v>0</v>
      </c>
      <c r="DN106" s="938" t="str">
        <f t="shared" si="264"/>
        <v/>
      </c>
      <c r="DO106" s="713">
        <f>'min. Düngung 22'!AO107</f>
        <v>0</v>
      </c>
      <c r="DP106" s="938"/>
      <c r="DQ106" s="938"/>
      <c r="DR106" s="938">
        <f t="shared" si="265"/>
        <v>0</v>
      </c>
      <c r="DS106" s="938">
        <f t="shared" si="266"/>
        <v>0</v>
      </c>
      <c r="DT106" s="938">
        <f t="shared" si="267"/>
        <v>0</v>
      </c>
      <c r="DU106" s="938">
        <f t="shared" si="268"/>
        <v>0</v>
      </c>
      <c r="DV106" s="938">
        <f t="shared" si="269"/>
        <v>0</v>
      </c>
      <c r="DW106" s="938" t="str">
        <f t="shared" si="270"/>
        <v/>
      </c>
      <c r="DX106" s="713">
        <f>'min. Düngung 22'!AR107</f>
        <v>0</v>
      </c>
      <c r="DY106" s="938"/>
      <c r="DZ106" s="938"/>
      <c r="EA106" s="938">
        <f t="shared" si="271"/>
        <v>0</v>
      </c>
      <c r="EB106" s="938">
        <f t="shared" si="272"/>
        <v>0</v>
      </c>
      <c r="EC106" s="938">
        <f t="shared" si="273"/>
        <v>0</v>
      </c>
      <c r="ED106" s="938">
        <f t="shared" si="274"/>
        <v>0</v>
      </c>
      <c r="EE106" s="938">
        <f t="shared" si="275"/>
        <v>0</v>
      </c>
      <c r="EF106" s="938" t="str">
        <f t="shared" si="276"/>
        <v/>
      </c>
      <c r="EG106" s="713">
        <f>'min. Düngung 22'!AU107</f>
        <v>0</v>
      </c>
      <c r="EH106" s="938"/>
      <c r="EI106" s="938"/>
      <c r="EJ106" s="938">
        <f t="shared" si="277"/>
        <v>0</v>
      </c>
      <c r="EK106" s="938">
        <f t="shared" si="278"/>
        <v>0</v>
      </c>
      <c r="EL106" s="938">
        <f t="shared" si="279"/>
        <v>0</v>
      </c>
      <c r="EM106" s="938">
        <f t="shared" si="280"/>
        <v>0</v>
      </c>
      <c r="EN106" s="938">
        <f t="shared" si="281"/>
        <v>0</v>
      </c>
      <c r="EO106" s="938" t="str">
        <f t="shared" si="282"/>
        <v/>
      </c>
      <c r="EP106" s="713">
        <f>'min. Düngung 22'!AX107</f>
        <v>0</v>
      </c>
      <c r="EQ106" s="938"/>
      <c r="ER106" s="938"/>
      <c r="ES106" s="938">
        <f t="shared" si="283"/>
        <v>0</v>
      </c>
      <c r="ET106" s="938">
        <f t="shared" si="284"/>
        <v>0</v>
      </c>
      <c r="EU106" s="938">
        <f t="shared" si="285"/>
        <v>0</v>
      </c>
      <c r="EV106" s="938">
        <f t="shared" si="286"/>
        <v>0</v>
      </c>
      <c r="EW106" s="938">
        <f t="shared" si="287"/>
        <v>0</v>
      </c>
      <c r="EX106" s="938" t="str">
        <f t="shared" si="288"/>
        <v/>
      </c>
      <c r="EY106" s="713">
        <f>'min. Düngung 22'!BA107</f>
        <v>0</v>
      </c>
      <c r="EZ106" s="938"/>
      <c r="FA106" s="938"/>
      <c r="FB106" s="938">
        <f t="shared" si="289"/>
        <v>0</v>
      </c>
      <c r="FC106" s="938">
        <f t="shared" si="290"/>
        <v>0</v>
      </c>
      <c r="FD106" s="938">
        <f t="shared" si="291"/>
        <v>0</v>
      </c>
      <c r="FE106" s="938">
        <f t="shared" si="292"/>
        <v>0</v>
      </c>
      <c r="FF106" s="938">
        <f t="shared" si="293"/>
        <v>0</v>
      </c>
      <c r="FG106" s="938" t="str">
        <f t="shared" si="294"/>
        <v/>
      </c>
      <c r="FH106" s="713">
        <f>'min. Düngung 22'!BD107</f>
        <v>0</v>
      </c>
      <c r="FI106" s="938"/>
      <c r="FJ106" s="938"/>
      <c r="FK106" s="938">
        <f t="shared" si="295"/>
        <v>0</v>
      </c>
      <c r="FL106" s="938">
        <f t="shared" si="296"/>
        <v>0</v>
      </c>
      <c r="FM106" s="938">
        <f t="shared" si="297"/>
        <v>0</v>
      </c>
      <c r="FN106" s="938">
        <f t="shared" si="298"/>
        <v>0</v>
      </c>
      <c r="FO106" s="938">
        <f t="shared" si="299"/>
        <v>0</v>
      </c>
      <c r="FP106" s="938" t="str">
        <f t="shared" si="300"/>
        <v/>
      </c>
      <c r="FQ106" s="713">
        <f>'min. Düngung 22'!BG107</f>
        <v>0</v>
      </c>
      <c r="FR106" s="938"/>
      <c r="FS106" s="938"/>
      <c r="FT106" s="938">
        <f t="shared" si="301"/>
        <v>0</v>
      </c>
      <c r="FU106" s="938">
        <f t="shared" si="302"/>
        <v>0</v>
      </c>
      <c r="FV106" s="938">
        <f t="shared" si="303"/>
        <v>0</v>
      </c>
      <c r="FW106" s="938">
        <f t="shared" si="304"/>
        <v>0</v>
      </c>
      <c r="FX106" s="938">
        <f t="shared" si="305"/>
        <v>0</v>
      </c>
      <c r="FY106" s="938" t="str">
        <f t="shared" si="306"/>
        <v/>
      </c>
      <c r="FZ106" s="713">
        <f>'min. Düngung 22'!BJ107</f>
        <v>0</v>
      </c>
      <c r="GA106" s="938"/>
      <c r="GB106" s="938"/>
      <c r="GC106" s="938">
        <f t="shared" si="307"/>
        <v>0</v>
      </c>
      <c r="GD106" s="938">
        <f t="shared" si="308"/>
        <v>0</v>
      </c>
      <c r="GE106" s="938">
        <f t="shared" si="309"/>
        <v>0</v>
      </c>
      <c r="GF106" s="938">
        <f t="shared" si="310"/>
        <v>0</v>
      </c>
      <c r="GG106" s="938">
        <f t="shared" si="311"/>
        <v>0</v>
      </c>
      <c r="GH106" s="938" t="str">
        <f t="shared" si="312"/>
        <v/>
      </c>
      <c r="GI106" s="713">
        <f>'min. Düngung 22'!BM107</f>
        <v>0</v>
      </c>
      <c r="GJ106" s="938"/>
      <c r="GK106" s="938"/>
      <c r="GL106" s="938">
        <f t="shared" si="313"/>
        <v>0</v>
      </c>
      <c r="GM106" s="938">
        <f t="shared" si="314"/>
        <v>0</v>
      </c>
      <c r="GN106" s="938">
        <f t="shared" si="315"/>
        <v>0</v>
      </c>
      <c r="GO106" s="938">
        <f t="shared" si="316"/>
        <v>0</v>
      </c>
      <c r="GP106" s="938">
        <f t="shared" si="317"/>
        <v>0</v>
      </c>
      <c r="GQ106" s="938" t="str">
        <f t="shared" si="318"/>
        <v/>
      </c>
      <c r="GR106" s="713">
        <f>'min. Düngung 22'!BP107</f>
        <v>0</v>
      </c>
      <c r="GS106" s="938"/>
      <c r="GT106" s="938"/>
      <c r="GU106" s="938">
        <f t="shared" si="319"/>
        <v>0</v>
      </c>
      <c r="GV106" s="938">
        <f t="shared" si="320"/>
        <v>0</v>
      </c>
      <c r="GW106" s="938">
        <f t="shared" si="321"/>
        <v>0</v>
      </c>
      <c r="GX106" s="938">
        <f t="shared" si="322"/>
        <v>0</v>
      </c>
      <c r="GY106" s="938">
        <f t="shared" si="323"/>
        <v>0</v>
      </c>
      <c r="GZ106" s="938" t="str">
        <f t="shared" si="324"/>
        <v/>
      </c>
      <c r="HA106" s="713">
        <f>'min. Düngung 22'!BS107</f>
        <v>0</v>
      </c>
      <c r="HB106" s="938"/>
      <c r="HC106" s="938"/>
      <c r="HD106" s="938">
        <f t="shared" si="325"/>
        <v>0</v>
      </c>
      <c r="HE106" s="938">
        <f t="shared" si="326"/>
        <v>0</v>
      </c>
      <c r="HF106" s="938">
        <f t="shared" si="327"/>
        <v>0</v>
      </c>
      <c r="HG106" s="938">
        <f t="shared" si="328"/>
        <v>0</v>
      </c>
      <c r="HH106" s="938">
        <f t="shared" si="329"/>
        <v>0</v>
      </c>
      <c r="HI106" s="938" t="str">
        <f t="shared" si="330"/>
        <v/>
      </c>
      <c r="HJ106" s="713">
        <f>'min. Düngung 22'!BV107</f>
        <v>0</v>
      </c>
      <c r="HK106" s="938"/>
      <c r="HL106" s="938"/>
      <c r="HM106" s="938">
        <f t="shared" si="331"/>
        <v>0</v>
      </c>
      <c r="HN106" s="938">
        <f t="shared" si="332"/>
        <v>0</v>
      </c>
      <c r="HO106" s="938">
        <f t="shared" si="333"/>
        <v>0</v>
      </c>
      <c r="HP106" s="938">
        <f t="shared" si="334"/>
        <v>0</v>
      </c>
      <c r="HQ106" s="938">
        <f t="shared" si="335"/>
        <v>0</v>
      </c>
      <c r="HR106" s="938" t="str">
        <f t="shared" si="336"/>
        <v/>
      </c>
      <c r="HS106" s="713">
        <f>'min. Düngung 22'!BY107</f>
        <v>0</v>
      </c>
      <c r="HT106" s="938"/>
      <c r="HU106" s="938"/>
      <c r="HV106" s="938">
        <f t="shared" si="337"/>
        <v>0</v>
      </c>
      <c r="HW106" s="938">
        <f t="shared" si="338"/>
        <v>0</v>
      </c>
      <c r="HX106" s="938">
        <f t="shared" si="339"/>
        <v>0</v>
      </c>
      <c r="HY106" s="938">
        <f t="shared" si="340"/>
        <v>0</v>
      </c>
      <c r="HZ106" s="938">
        <f t="shared" si="341"/>
        <v>0</v>
      </c>
      <c r="IA106" s="938" t="str">
        <f t="shared" si="342"/>
        <v/>
      </c>
      <c r="IB106" s="713">
        <f>'min. Düngung 22'!CB107</f>
        <v>0</v>
      </c>
      <c r="IC106" s="938"/>
      <c r="ID106" s="938"/>
      <c r="IE106" s="938">
        <f t="shared" si="343"/>
        <v>0</v>
      </c>
      <c r="IF106" s="938">
        <f t="shared" si="344"/>
        <v>0</v>
      </c>
      <c r="IG106" s="938">
        <f t="shared" si="345"/>
        <v>0</v>
      </c>
      <c r="IH106" s="938">
        <f t="shared" si="346"/>
        <v>0</v>
      </c>
      <c r="II106" s="938">
        <f t="shared" si="347"/>
        <v>0</v>
      </c>
      <c r="IJ106" s="938" t="str">
        <f t="shared" si="348"/>
        <v/>
      </c>
      <c r="IK106" s="713">
        <f>'min. Düngung 22'!CE107</f>
        <v>0</v>
      </c>
      <c r="IL106" s="938"/>
      <c r="IM106" s="938"/>
      <c r="IN106" s="938">
        <f t="shared" si="349"/>
        <v>0</v>
      </c>
      <c r="IO106" s="938">
        <f t="shared" si="350"/>
        <v>0</v>
      </c>
      <c r="IP106" s="938">
        <f t="shared" si="351"/>
        <v>0</v>
      </c>
      <c r="IQ106" s="938">
        <f t="shared" si="352"/>
        <v>0</v>
      </c>
      <c r="IR106" s="938">
        <f t="shared" si="353"/>
        <v>0</v>
      </c>
      <c r="IS106" s="938" t="str">
        <f t="shared" si="354"/>
        <v/>
      </c>
      <c r="IT106" s="713">
        <f>'min. Düngung 22'!CH107</f>
        <v>0</v>
      </c>
      <c r="IU106" s="938"/>
      <c r="IV106" s="938"/>
      <c r="IW106" s="938">
        <f t="shared" si="355"/>
        <v>0</v>
      </c>
      <c r="IX106" s="938">
        <f t="shared" si="356"/>
        <v>0</v>
      </c>
      <c r="IY106" s="938">
        <f t="shared" si="357"/>
        <v>0</v>
      </c>
      <c r="IZ106" s="938">
        <f t="shared" si="358"/>
        <v>0</v>
      </c>
      <c r="JA106" s="938">
        <f t="shared" si="359"/>
        <v>0</v>
      </c>
      <c r="JB106" s="938" t="str">
        <f t="shared" si="360"/>
        <v/>
      </c>
      <c r="JC106" s="713">
        <f>'min. Düngung 22'!CK107</f>
        <v>0</v>
      </c>
      <c r="JD106" s="938"/>
      <c r="JE106" s="938"/>
      <c r="JF106" s="938">
        <f t="shared" si="361"/>
        <v>0</v>
      </c>
      <c r="JG106" s="938">
        <f t="shared" si="362"/>
        <v>0</v>
      </c>
      <c r="JH106" s="938">
        <f t="shared" si="363"/>
        <v>0</v>
      </c>
      <c r="JI106" s="938">
        <f t="shared" si="364"/>
        <v>0</v>
      </c>
      <c r="JJ106" s="938">
        <f t="shared" si="365"/>
        <v>0</v>
      </c>
      <c r="JK106" s="938" t="str">
        <f t="shared" si="366"/>
        <v/>
      </c>
      <c r="JL106" s="713">
        <f>'min. Düngung 22'!CN107</f>
        <v>0</v>
      </c>
      <c r="JM106" s="938"/>
      <c r="JN106" s="938"/>
      <c r="JO106" s="938">
        <f t="shared" si="367"/>
        <v>0</v>
      </c>
      <c r="JP106" s="938">
        <f t="shared" si="368"/>
        <v>0</v>
      </c>
      <c r="JQ106" s="938">
        <f t="shared" si="369"/>
        <v>0</v>
      </c>
      <c r="JR106" s="938">
        <f t="shared" si="370"/>
        <v>0</v>
      </c>
      <c r="JS106" s="938">
        <f t="shared" si="371"/>
        <v>0</v>
      </c>
      <c r="JT106" s="938" t="str">
        <f t="shared" si="372"/>
        <v/>
      </c>
      <c r="JU106" s="713">
        <f>'min. Düngung 22'!CQ107</f>
        <v>0</v>
      </c>
      <c r="JV106" s="938"/>
      <c r="JW106" s="938"/>
      <c r="JX106" s="938">
        <f t="shared" si="373"/>
        <v>0</v>
      </c>
      <c r="JY106" s="938">
        <f t="shared" si="374"/>
        <v>0</v>
      </c>
      <c r="JZ106" s="938">
        <f t="shared" si="375"/>
        <v>0</v>
      </c>
      <c r="KA106" s="938">
        <f t="shared" si="376"/>
        <v>0</v>
      </c>
      <c r="KB106" s="938">
        <f t="shared" si="377"/>
        <v>0</v>
      </c>
      <c r="KC106" s="938" t="str">
        <f t="shared" si="378"/>
        <v/>
      </c>
      <c r="KE106" s="938"/>
      <c r="KF106" s="938" t="str">
        <f>IF(AND($F106=2,$G106=1),"",IF(OR($Q106&gt;0,$O106&gt;60),$KF$7,IF(I106=70,"",IF(AND(I106=80,R106+'#orgDung'!AC109&lt;60,K106=1,OR(C106=2,'#BerechnungDBE'!AH100=4)),"",IF(R106&gt;0,$KF$7,"")))))</f>
        <v/>
      </c>
      <c r="KG106" s="938" t="str">
        <f>IF(AND(P106&gt;'#BerechnungDBE'!BJ100,P106&gt;0),'#minDung'!$KG$7,"")</f>
        <v/>
      </c>
      <c r="KH106" s="938" t="str">
        <f>IF(AND(I106=70,R106&gt;'#BerechnungDBE'!CR100),'#minDung'!$KH$7,"")</f>
        <v/>
      </c>
      <c r="KI106" s="938" t="str">
        <f>IF('#BerechnungDBE'!P100&lt;4,"",IF(AND('#BerechnungDBE'!BZ100&gt;0,N106&gt;0),$KI$7,""))</f>
        <v/>
      </c>
      <c r="KJ106" s="938" t="str">
        <f t="shared" si="197"/>
        <v/>
      </c>
    </row>
    <row r="107" spans="1:296" s="875" customFormat="1" hidden="1" x14ac:dyDescent="0.2">
      <c r="A107" s="875">
        <f>'Flächen u. Kulturen'!A106</f>
        <v>97</v>
      </c>
      <c r="B107" s="734">
        <f>'#BerechnungDBE'!L101</f>
        <v>0</v>
      </c>
      <c r="C107" s="46">
        <f>'#orgDung'!C110</f>
        <v>1</v>
      </c>
      <c r="D107" s="875">
        <f>'#BerechnungDBE'!T101</f>
        <v>2</v>
      </c>
      <c r="E107" s="875" t="str">
        <f>'Flächen u. Kulturen'!E106</f>
        <v>x</v>
      </c>
      <c r="F107" s="52">
        <f>'#BerechnungDBE'!N101</f>
        <v>1</v>
      </c>
      <c r="G107" s="52">
        <f>'#BerechnungDBE'!O101</f>
        <v>1</v>
      </c>
      <c r="H107" s="505">
        <f>'#orgDung'!J110</f>
        <v>2</v>
      </c>
      <c r="I107" s="875">
        <f>'#BerechnungDBE'!AF101</f>
        <v>0</v>
      </c>
      <c r="J107" s="875">
        <f>'#orgDung'!M110</f>
        <v>0</v>
      </c>
      <c r="K107" s="875">
        <f>'#BerechnungDBE'!AG101</f>
        <v>0</v>
      </c>
      <c r="M107" s="875">
        <f t="shared" si="192"/>
        <v>0</v>
      </c>
      <c r="N107" s="875">
        <f t="shared" si="193"/>
        <v>0</v>
      </c>
      <c r="O107" s="875">
        <f t="shared" si="194"/>
        <v>0</v>
      </c>
      <c r="P107" s="875">
        <f t="shared" si="195"/>
        <v>0</v>
      </c>
      <c r="Q107" s="938">
        <f t="shared" si="198"/>
        <v>0</v>
      </c>
      <c r="R107" s="875">
        <f t="shared" si="196"/>
        <v>0</v>
      </c>
      <c r="T107" s="713">
        <f>'min. Düngung 22'!H108</f>
        <v>0</v>
      </c>
      <c r="W107" s="875">
        <f t="shared" si="199"/>
        <v>0</v>
      </c>
      <c r="X107" s="875">
        <f t="shared" si="200"/>
        <v>0</v>
      </c>
      <c r="Y107" s="875">
        <f t="shared" si="201"/>
        <v>0</v>
      </c>
      <c r="Z107" s="875">
        <f t="shared" si="202"/>
        <v>0</v>
      </c>
      <c r="AA107" s="875">
        <f t="shared" si="203"/>
        <v>0</v>
      </c>
      <c r="AB107" s="875" t="str">
        <f t="shared" si="204"/>
        <v/>
      </c>
      <c r="AC107" s="713">
        <f>'min. Düngung 22'!K108</f>
        <v>0</v>
      </c>
      <c r="AD107" s="938"/>
      <c r="AE107" s="938"/>
      <c r="AF107" s="938">
        <f t="shared" si="205"/>
        <v>0</v>
      </c>
      <c r="AG107" s="938">
        <f t="shared" si="206"/>
        <v>0</v>
      </c>
      <c r="AH107" s="938">
        <f t="shared" si="207"/>
        <v>0</v>
      </c>
      <c r="AI107" s="938">
        <f t="shared" si="208"/>
        <v>0</v>
      </c>
      <c r="AJ107" s="938">
        <f t="shared" si="209"/>
        <v>0</v>
      </c>
      <c r="AK107" s="938">
        <f t="shared" si="210"/>
        <v>0</v>
      </c>
      <c r="AL107" s="713">
        <f>'min. Düngung 22'!N108</f>
        <v>0</v>
      </c>
      <c r="AM107" s="938"/>
      <c r="AN107" s="938"/>
      <c r="AO107" s="938">
        <f t="shared" si="211"/>
        <v>0</v>
      </c>
      <c r="AP107" s="938">
        <f t="shared" si="212"/>
        <v>0</v>
      </c>
      <c r="AQ107" s="938">
        <f t="shared" si="213"/>
        <v>0</v>
      </c>
      <c r="AR107" s="938">
        <f t="shared" si="214"/>
        <v>0</v>
      </c>
      <c r="AS107" s="938">
        <f t="shared" si="215"/>
        <v>0</v>
      </c>
      <c r="AT107" s="938" t="str">
        <f t="shared" si="216"/>
        <v/>
      </c>
      <c r="AU107" s="713">
        <f>'min. Düngung 22'!Q108</f>
        <v>0</v>
      </c>
      <c r="AV107" s="938"/>
      <c r="AW107" s="938"/>
      <c r="AX107" s="938">
        <f t="shared" si="217"/>
        <v>0</v>
      </c>
      <c r="AY107" s="938">
        <f t="shared" si="218"/>
        <v>0</v>
      </c>
      <c r="AZ107" s="938">
        <f t="shared" si="219"/>
        <v>0</v>
      </c>
      <c r="BA107" s="938">
        <f t="shared" si="220"/>
        <v>0</v>
      </c>
      <c r="BB107" s="938">
        <f t="shared" si="221"/>
        <v>0</v>
      </c>
      <c r="BC107" s="938" t="str">
        <f t="shared" si="222"/>
        <v/>
      </c>
      <c r="BD107" s="713">
        <f>'min. Düngung 22'!T108</f>
        <v>0</v>
      </c>
      <c r="BE107" s="938"/>
      <c r="BF107" s="938"/>
      <c r="BG107" s="938">
        <f t="shared" si="223"/>
        <v>0</v>
      </c>
      <c r="BH107" s="938">
        <f t="shared" si="224"/>
        <v>0</v>
      </c>
      <c r="BI107" s="938">
        <f t="shared" si="225"/>
        <v>0</v>
      </c>
      <c r="BJ107" s="938">
        <f t="shared" si="226"/>
        <v>0</v>
      </c>
      <c r="BK107" s="938">
        <f t="shared" si="227"/>
        <v>0</v>
      </c>
      <c r="BL107" s="938" t="str">
        <f t="shared" si="228"/>
        <v/>
      </c>
      <c r="BM107" s="713">
        <f>'min. Düngung 22'!W108</f>
        <v>0</v>
      </c>
      <c r="BN107" s="938"/>
      <c r="BO107" s="938"/>
      <c r="BP107" s="938">
        <f t="shared" si="229"/>
        <v>0</v>
      </c>
      <c r="BQ107" s="938">
        <f t="shared" si="230"/>
        <v>0</v>
      </c>
      <c r="BR107" s="938">
        <f t="shared" si="231"/>
        <v>0</v>
      </c>
      <c r="BS107" s="938">
        <f t="shared" si="232"/>
        <v>0</v>
      </c>
      <c r="BT107" s="938">
        <f t="shared" si="233"/>
        <v>0</v>
      </c>
      <c r="BU107" s="938" t="str">
        <f t="shared" si="234"/>
        <v/>
      </c>
      <c r="BV107" s="713">
        <f>'min. Düngung 22'!Z108</f>
        <v>0</v>
      </c>
      <c r="BW107" s="938"/>
      <c r="BX107" s="938"/>
      <c r="BY107" s="938">
        <f t="shared" si="235"/>
        <v>0</v>
      </c>
      <c r="BZ107" s="938">
        <f t="shared" si="236"/>
        <v>0</v>
      </c>
      <c r="CA107" s="938">
        <f t="shared" si="237"/>
        <v>0</v>
      </c>
      <c r="CB107" s="938">
        <f t="shared" si="238"/>
        <v>0</v>
      </c>
      <c r="CC107" s="938">
        <f t="shared" si="239"/>
        <v>0</v>
      </c>
      <c r="CD107" s="938" t="str">
        <f t="shared" si="240"/>
        <v/>
      </c>
      <c r="CE107" s="713">
        <f>'min. Düngung 22'!AC108</f>
        <v>0</v>
      </c>
      <c r="CF107" s="938"/>
      <c r="CG107" s="938"/>
      <c r="CH107" s="938">
        <f t="shared" si="241"/>
        <v>0</v>
      </c>
      <c r="CI107" s="938">
        <f t="shared" si="242"/>
        <v>0</v>
      </c>
      <c r="CJ107" s="938">
        <f t="shared" si="243"/>
        <v>0</v>
      </c>
      <c r="CK107" s="938">
        <f t="shared" si="244"/>
        <v>0</v>
      </c>
      <c r="CL107" s="938">
        <f t="shared" si="245"/>
        <v>0</v>
      </c>
      <c r="CM107" s="938" t="str">
        <f t="shared" si="246"/>
        <v/>
      </c>
      <c r="CN107" s="713">
        <f>'min. Düngung 22'!AF108</f>
        <v>0</v>
      </c>
      <c r="CO107" s="938"/>
      <c r="CP107" s="938"/>
      <c r="CQ107" s="938">
        <f t="shared" si="247"/>
        <v>0</v>
      </c>
      <c r="CR107" s="938">
        <f t="shared" si="248"/>
        <v>0</v>
      </c>
      <c r="CS107" s="938">
        <f t="shared" si="249"/>
        <v>0</v>
      </c>
      <c r="CT107" s="938">
        <f t="shared" si="250"/>
        <v>0</v>
      </c>
      <c r="CU107" s="938">
        <f t="shared" si="251"/>
        <v>0</v>
      </c>
      <c r="CV107" s="938" t="str">
        <f t="shared" si="252"/>
        <v/>
      </c>
      <c r="CW107" s="713">
        <f>'min. Düngung 22'!AI108</f>
        <v>0</v>
      </c>
      <c r="CX107" s="938"/>
      <c r="CY107" s="938"/>
      <c r="CZ107" s="938">
        <f t="shared" si="253"/>
        <v>0</v>
      </c>
      <c r="DA107" s="938">
        <f t="shared" si="254"/>
        <v>0</v>
      </c>
      <c r="DB107" s="938">
        <f t="shared" si="255"/>
        <v>0</v>
      </c>
      <c r="DC107" s="938">
        <f t="shared" si="256"/>
        <v>0</v>
      </c>
      <c r="DD107" s="938">
        <f t="shared" si="257"/>
        <v>0</v>
      </c>
      <c r="DE107" s="938" t="str">
        <f t="shared" si="258"/>
        <v/>
      </c>
      <c r="DF107" s="713">
        <f>'min. Düngung 22'!AL108</f>
        <v>0</v>
      </c>
      <c r="DG107" s="938"/>
      <c r="DH107" s="938"/>
      <c r="DI107" s="938">
        <f t="shared" si="259"/>
        <v>0</v>
      </c>
      <c r="DJ107" s="938">
        <f t="shared" si="260"/>
        <v>0</v>
      </c>
      <c r="DK107" s="938">
        <f t="shared" si="261"/>
        <v>0</v>
      </c>
      <c r="DL107" s="938">
        <f t="shared" si="262"/>
        <v>0</v>
      </c>
      <c r="DM107" s="938">
        <f t="shared" si="263"/>
        <v>0</v>
      </c>
      <c r="DN107" s="938" t="str">
        <f t="shared" si="264"/>
        <v/>
      </c>
      <c r="DO107" s="713">
        <f>'min. Düngung 22'!AO108</f>
        <v>0</v>
      </c>
      <c r="DP107" s="938"/>
      <c r="DQ107" s="938"/>
      <c r="DR107" s="938">
        <f t="shared" si="265"/>
        <v>0</v>
      </c>
      <c r="DS107" s="938">
        <f t="shared" si="266"/>
        <v>0</v>
      </c>
      <c r="DT107" s="938">
        <f t="shared" si="267"/>
        <v>0</v>
      </c>
      <c r="DU107" s="938">
        <f t="shared" si="268"/>
        <v>0</v>
      </c>
      <c r="DV107" s="938">
        <f t="shared" si="269"/>
        <v>0</v>
      </c>
      <c r="DW107" s="938" t="str">
        <f t="shared" si="270"/>
        <v/>
      </c>
      <c r="DX107" s="713">
        <f>'min. Düngung 22'!AR108</f>
        <v>0</v>
      </c>
      <c r="DY107" s="938"/>
      <c r="DZ107" s="938"/>
      <c r="EA107" s="938">
        <f t="shared" si="271"/>
        <v>0</v>
      </c>
      <c r="EB107" s="938">
        <f t="shared" si="272"/>
        <v>0</v>
      </c>
      <c r="EC107" s="938">
        <f t="shared" si="273"/>
        <v>0</v>
      </c>
      <c r="ED107" s="938">
        <f t="shared" si="274"/>
        <v>0</v>
      </c>
      <c r="EE107" s="938">
        <f t="shared" si="275"/>
        <v>0</v>
      </c>
      <c r="EF107" s="938" t="str">
        <f t="shared" si="276"/>
        <v/>
      </c>
      <c r="EG107" s="713">
        <f>'min. Düngung 22'!AU108</f>
        <v>0</v>
      </c>
      <c r="EH107" s="938"/>
      <c r="EI107" s="938"/>
      <c r="EJ107" s="938">
        <f t="shared" si="277"/>
        <v>0</v>
      </c>
      <c r="EK107" s="938">
        <f t="shared" si="278"/>
        <v>0</v>
      </c>
      <c r="EL107" s="938">
        <f t="shared" si="279"/>
        <v>0</v>
      </c>
      <c r="EM107" s="938">
        <f t="shared" si="280"/>
        <v>0</v>
      </c>
      <c r="EN107" s="938">
        <f t="shared" si="281"/>
        <v>0</v>
      </c>
      <c r="EO107" s="938" t="str">
        <f t="shared" si="282"/>
        <v/>
      </c>
      <c r="EP107" s="713">
        <f>'min. Düngung 22'!AX108</f>
        <v>0</v>
      </c>
      <c r="EQ107" s="938"/>
      <c r="ER107" s="938"/>
      <c r="ES107" s="938">
        <f t="shared" si="283"/>
        <v>0</v>
      </c>
      <c r="ET107" s="938">
        <f t="shared" si="284"/>
        <v>0</v>
      </c>
      <c r="EU107" s="938">
        <f t="shared" si="285"/>
        <v>0</v>
      </c>
      <c r="EV107" s="938">
        <f t="shared" si="286"/>
        <v>0</v>
      </c>
      <c r="EW107" s="938">
        <f t="shared" si="287"/>
        <v>0</v>
      </c>
      <c r="EX107" s="938" t="str">
        <f t="shared" si="288"/>
        <v/>
      </c>
      <c r="EY107" s="713">
        <f>'min. Düngung 22'!BA108</f>
        <v>0</v>
      </c>
      <c r="EZ107" s="938"/>
      <c r="FA107" s="938"/>
      <c r="FB107" s="938">
        <f t="shared" si="289"/>
        <v>0</v>
      </c>
      <c r="FC107" s="938">
        <f t="shared" si="290"/>
        <v>0</v>
      </c>
      <c r="FD107" s="938">
        <f t="shared" si="291"/>
        <v>0</v>
      </c>
      <c r="FE107" s="938">
        <f t="shared" si="292"/>
        <v>0</v>
      </c>
      <c r="FF107" s="938">
        <f t="shared" si="293"/>
        <v>0</v>
      </c>
      <c r="FG107" s="938" t="str">
        <f t="shared" si="294"/>
        <v/>
      </c>
      <c r="FH107" s="713">
        <f>'min. Düngung 22'!BD108</f>
        <v>0</v>
      </c>
      <c r="FI107" s="938"/>
      <c r="FJ107" s="938"/>
      <c r="FK107" s="938">
        <f t="shared" si="295"/>
        <v>0</v>
      </c>
      <c r="FL107" s="938">
        <f t="shared" si="296"/>
        <v>0</v>
      </c>
      <c r="FM107" s="938">
        <f t="shared" si="297"/>
        <v>0</v>
      </c>
      <c r="FN107" s="938">
        <f t="shared" si="298"/>
        <v>0</v>
      </c>
      <c r="FO107" s="938">
        <f t="shared" si="299"/>
        <v>0</v>
      </c>
      <c r="FP107" s="938" t="str">
        <f t="shared" si="300"/>
        <v/>
      </c>
      <c r="FQ107" s="713">
        <f>'min. Düngung 22'!BG108</f>
        <v>0</v>
      </c>
      <c r="FR107" s="938"/>
      <c r="FS107" s="938"/>
      <c r="FT107" s="938">
        <f t="shared" si="301"/>
        <v>0</v>
      </c>
      <c r="FU107" s="938">
        <f t="shared" si="302"/>
        <v>0</v>
      </c>
      <c r="FV107" s="938">
        <f t="shared" si="303"/>
        <v>0</v>
      </c>
      <c r="FW107" s="938">
        <f t="shared" si="304"/>
        <v>0</v>
      </c>
      <c r="FX107" s="938">
        <f t="shared" si="305"/>
        <v>0</v>
      </c>
      <c r="FY107" s="938" t="str">
        <f t="shared" si="306"/>
        <v/>
      </c>
      <c r="FZ107" s="713">
        <f>'min. Düngung 22'!BJ108</f>
        <v>0</v>
      </c>
      <c r="GA107" s="938"/>
      <c r="GB107" s="938"/>
      <c r="GC107" s="938">
        <f t="shared" si="307"/>
        <v>0</v>
      </c>
      <c r="GD107" s="938">
        <f t="shared" si="308"/>
        <v>0</v>
      </c>
      <c r="GE107" s="938">
        <f t="shared" si="309"/>
        <v>0</v>
      </c>
      <c r="GF107" s="938">
        <f t="shared" si="310"/>
        <v>0</v>
      </c>
      <c r="GG107" s="938">
        <f t="shared" si="311"/>
        <v>0</v>
      </c>
      <c r="GH107" s="938" t="str">
        <f t="shared" si="312"/>
        <v/>
      </c>
      <c r="GI107" s="713">
        <f>'min. Düngung 22'!BM108</f>
        <v>0</v>
      </c>
      <c r="GJ107" s="938"/>
      <c r="GK107" s="938"/>
      <c r="GL107" s="938">
        <f t="shared" si="313"/>
        <v>0</v>
      </c>
      <c r="GM107" s="938">
        <f t="shared" si="314"/>
        <v>0</v>
      </c>
      <c r="GN107" s="938">
        <f t="shared" si="315"/>
        <v>0</v>
      </c>
      <c r="GO107" s="938">
        <f t="shared" si="316"/>
        <v>0</v>
      </c>
      <c r="GP107" s="938">
        <f t="shared" si="317"/>
        <v>0</v>
      </c>
      <c r="GQ107" s="938" t="str">
        <f t="shared" si="318"/>
        <v/>
      </c>
      <c r="GR107" s="713">
        <f>'min. Düngung 22'!BP108</f>
        <v>0</v>
      </c>
      <c r="GS107" s="938"/>
      <c r="GT107" s="938"/>
      <c r="GU107" s="938">
        <f t="shared" si="319"/>
        <v>0</v>
      </c>
      <c r="GV107" s="938">
        <f t="shared" si="320"/>
        <v>0</v>
      </c>
      <c r="GW107" s="938">
        <f t="shared" si="321"/>
        <v>0</v>
      </c>
      <c r="GX107" s="938">
        <f t="shared" si="322"/>
        <v>0</v>
      </c>
      <c r="GY107" s="938">
        <f t="shared" si="323"/>
        <v>0</v>
      </c>
      <c r="GZ107" s="938" t="str">
        <f t="shared" si="324"/>
        <v/>
      </c>
      <c r="HA107" s="713">
        <f>'min. Düngung 22'!BS108</f>
        <v>0</v>
      </c>
      <c r="HB107" s="938"/>
      <c r="HC107" s="938"/>
      <c r="HD107" s="938">
        <f t="shared" si="325"/>
        <v>0</v>
      </c>
      <c r="HE107" s="938">
        <f t="shared" si="326"/>
        <v>0</v>
      </c>
      <c r="HF107" s="938">
        <f t="shared" si="327"/>
        <v>0</v>
      </c>
      <c r="HG107" s="938">
        <f t="shared" si="328"/>
        <v>0</v>
      </c>
      <c r="HH107" s="938">
        <f t="shared" si="329"/>
        <v>0</v>
      </c>
      <c r="HI107" s="938" t="str">
        <f t="shared" si="330"/>
        <v/>
      </c>
      <c r="HJ107" s="713">
        <f>'min. Düngung 22'!BV108</f>
        <v>0</v>
      </c>
      <c r="HK107" s="938"/>
      <c r="HL107" s="938"/>
      <c r="HM107" s="938">
        <f t="shared" si="331"/>
        <v>0</v>
      </c>
      <c r="HN107" s="938">
        <f t="shared" si="332"/>
        <v>0</v>
      </c>
      <c r="HO107" s="938">
        <f t="shared" si="333"/>
        <v>0</v>
      </c>
      <c r="HP107" s="938">
        <f t="shared" si="334"/>
        <v>0</v>
      </c>
      <c r="HQ107" s="938">
        <f t="shared" si="335"/>
        <v>0</v>
      </c>
      <c r="HR107" s="938" t="str">
        <f t="shared" si="336"/>
        <v/>
      </c>
      <c r="HS107" s="713">
        <f>'min. Düngung 22'!BY108</f>
        <v>0</v>
      </c>
      <c r="HT107" s="938"/>
      <c r="HU107" s="938"/>
      <c r="HV107" s="938">
        <f t="shared" si="337"/>
        <v>0</v>
      </c>
      <c r="HW107" s="938">
        <f t="shared" si="338"/>
        <v>0</v>
      </c>
      <c r="HX107" s="938">
        <f t="shared" si="339"/>
        <v>0</v>
      </c>
      <c r="HY107" s="938">
        <f t="shared" si="340"/>
        <v>0</v>
      </c>
      <c r="HZ107" s="938">
        <f t="shared" si="341"/>
        <v>0</v>
      </c>
      <c r="IA107" s="938" t="str">
        <f t="shared" si="342"/>
        <v/>
      </c>
      <c r="IB107" s="713">
        <f>'min. Düngung 22'!CB108</f>
        <v>0</v>
      </c>
      <c r="IC107" s="938"/>
      <c r="ID107" s="938"/>
      <c r="IE107" s="938">
        <f t="shared" si="343"/>
        <v>0</v>
      </c>
      <c r="IF107" s="938">
        <f t="shared" si="344"/>
        <v>0</v>
      </c>
      <c r="IG107" s="938">
        <f t="shared" si="345"/>
        <v>0</v>
      </c>
      <c r="IH107" s="938">
        <f t="shared" si="346"/>
        <v>0</v>
      </c>
      <c r="II107" s="938">
        <f t="shared" si="347"/>
        <v>0</v>
      </c>
      <c r="IJ107" s="938" t="str">
        <f t="shared" si="348"/>
        <v/>
      </c>
      <c r="IK107" s="713">
        <f>'min. Düngung 22'!CE108</f>
        <v>0</v>
      </c>
      <c r="IL107" s="938"/>
      <c r="IM107" s="938"/>
      <c r="IN107" s="938">
        <f t="shared" si="349"/>
        <v>0</v>
      </c>
      <c r="IO107" s="938">
        <f t="shared" si="350"/>
        <v>0</v>
      </c>
      <c r="IP107" s="938">
        <f t="shared" si="351"/>
        <v>0</v>
      </c>
      <c r="IQ107" s="938">
        <f t="shared" si="352"/>
        <v>0</v>
      </c>
      <c r="IR107" s="938">
        <f t="shared" si="353"/>
        <v>0</v>
      </c>
      <c r="IS107" s="938" t="str">
        <f t="shared" si="354"/>
        <v/>
      </c>
      <c r="IT107" s="713">
        <f>'min. Düngung 22'!CH108</f>
        <v>0</v>
      </c>
      <c r="IU107" s="938"/>
      <c r="IV107" s="938"/>
      <c r="IW107" s="938">
        <f t="shared" si="355"/>
        <v>0</v>
      </c>
      <c r="IX107" s="938">
        <f t="shared" si="356"/>
        <v>0</v>
      </c>
      <c r="IY107" s="938">
        <f t="shared" si="357"/>
        <v>0</v>
      </c>
      <c r="IZ107" s="938">
        <f t="shared" si="358"/>
        <v>0</v>
      </c>
      <c r="JA107" s="938">
        <f t="shared" si="359"/>
        <v>0</v>
      </c>
      <c r="JB107" s="938" t="str">
        <f t="shared" si="360"/>
        <v/>
      </c>
      <c r="JC107" s="713">
        <f>'min. Düngung 22'!CK108</f>
        <v>0</v>
      </c>
      <c r="JD107" s="938"/>
      <c r="JE107" s="938"/>
      <c r="JF107" s="938">
        <f t="shared" si="361"/>
        <v>0</v>
      </c>
      <c r="JG107" s="938">
        <f t="shared" si="362"/>
        <v>0</v>
      </c>
      <c r="JH107" s="938">
        <f t="shared" si="363"/>
        <v>0</v>
      </c>
      <c r="JI107" s="938">
        <f t="shared" si="364"/>
        <v>0</v>
      </c>
      <c r="JJ107" s="938">
        <f t="shared" si="365"/>
        <v>0</v>
      </c>
      <c r="JK107" s="938" t="str">
        <f t="shared" si="366"/>
        <v/>
      </c>
      <c r="JL107" s="713">
        <f>'min. Düngung 22'!CN108</f>
        <v>0</v>
      </c>
      <c r="JM107" s="938"/>
      <c r="JN107" s="938"/>
      <c r="JO107" s="938">
        <f t="shared" si="367"/>
        <v>0</v>
      </c>
      <c r="JP107" s="938">
        <f t="shared" si="368"/>
        <v>0</v>
      </c>
      <c r="JQ107" s="938">
        <f t="shared" si="369"/>
        <v>0</v>
      </c>
      <c r="JR107" s="938">
        <f t="shared" si="370"/>
        <v>0</v>
      </c>
      <c r="JS107" s="938">
        <f t="shared" si="371"/>
        <v>0</v>
      </c>
      <c r="JT107" s="938" t="str">
        <f t="shared" si="372"/>
        <v/>
      </c>
      <c r="JU107" s="713">
        <f>'min. Düngung 22'!CQ108</f>
        <v>0</v>
      </c>
      <c r="JV107" s="938"/>
      <c r="JW107" s="938"/>
      <c r="JX107" s="938">
        <f t="shared" si="373"/>
        <v>0</v>
      </c>
      <c r="JY107" s="938">
        <f t="shared" si="374"/>
        <v>0</v>
      </c>
      <c r="JZ107" s="938">
        <f t="shared" si="375"/>
        <v>0</v>
      </c>
      <c r="KA107" s="938">
        <f t="shared" si="376"/>
        <v>0</v>
      </c>
      <c r="KB107" s="938">
        <f t="shared" si="377"/>
        <v>0</v>
      </c>
      <c r="KC107" s="938" t="str">
        <f t="shared" si="378"/>
        <v/>
      </c>
      <c r="KE107" s="938"/>
      <c r="KF107" s="938" t="str">
        <f>IF(AND($F107=2,$G107=1),"",IF(OR($Q107&gt;0,$O107&gt;60),$KF$7,IF(I107=70,"",IF(AND(I107=80,R107+'#orgDung'!AC110&lt;60,K107=1,OR(C107=2,'#BerechnungDBE'!AH101=4)),"",IF(R107&gt;0,$KF$7,"")))))</f>
        <v/>
      </c>
      <c r="KG107" s="938" t="str">
        <f>IF(AND(P107&gt;'#BerechnungDBE'!BJ101,P107&gt;0),'#minDung'!$KG$7,"")</f>
        <v/>
      </c>
      <c r="KH107" s="938" t="str">
        <f>IF(AND(I107=70,R107&gt;'#BerechnungDBE'!CR101),'#minDung'!$KH$7,"")</f>
        <v/>
      </c>
      <c r="KI107" s="938" t="str">
        <f>IF('#BerechnungDBE'!P101&lt;4,"",IF(AND('#BerechnungDBE'!BZ101&gt;0,N107&gt;0),$KI$7,""))</f>
        <v/>
      </c>
      <c r="KJ107" s="938" t="str">
        <f t="shared" si="197"/>
        <v/>
      </c>
    </row>
    <row r="108" spans="1:296" s="875" customFormat="1" hidden="1" x14ac:dyDescent="0.2">
      <c r="A108" s="875">
        <f>'Flächen u. Kulturen'!A107</f>
        <v>98</v>
      </c>
      <c r="B108" s="734">
        <f>'#BerechnungDBE'!L102</f>
        <v>0</v>
      </c>
      <c r="C108" s="46">
        <f>'#orgDung'!C111</f>
        <v>1</v>
      </c>
      <c r="D108" s="875">
        <f>'#BerechnungDBE'!T102</f>
        <v>2</v>
      </c>
      <c r="E108" s="875" t="str">
        <f>'Flächen u. Kulturen'!E107</f>
        <v>x</v>
      </c>
      <c r="F108" s="52">
        <f>'#BerechnungDBE'!N102</f>
        <v>1</v>
      </c>
      <c r="G108" s="52">
        <f>'#BerechnungDBE'!O102</f>
        <v>1</v>
      </c>
      <c r="H108" s="505">
        <f>'#orgDung'!J111</f>
        <v>2</v>
      </c>
      <c r="I108" s="875">
        <f>'#BerechnungDBE'!AF102</f>
        <v>0</v>
      </c>
      <c r="J108" s="875">
        <f>'#orgDung'!M111</f>
        <v>0</v>
      </c>
      <c r="K108" s="875">
        <f>'#BerechnungDBE'!AG102</f>
        <v>0</v>
      </c>
      <c r="M108" s="875">
        <f t="shared" si="192"/>
        <v>0</v>
      </c>
      <c r="N108" s="875">
        <f t="shared" si="193"/>
        <v>0</v>
      </c>
      <c r="O108" s="875">
        <f t="shared" si="194"/>
        <v>0</v>
      </c>
      <c r="P108" s="875">
        <f t="shared" si="195"/>
        <v>0</v>
      </c>
      <c r="Q108" s="938">
        <f t="shared" si="198"/>
        <v>0</v>
      </c>
      <c r="R108" s="875">
        <f t="shared" si="196"/>
        <v>0</v>
      </c>
      <c r="T108" s="713">
        <f>'min. Düngung 22'!H109</f>
        <v>0</v>
      </c>
      <c r="W108" s="875">
        <f t="shared" si="199"/>
        <v>0</v>
      </c>
      <c r="X108" s="875">
        <f t="shared" si="200"/>
        <v>0</v>
      </c>
      <c r="Y108" s="875">
        <f t="shared" si="201"/>
        <v>0</v>
      </c>
      <c r="Z108" s="875">
        <f t="shared" si="202"/>
        <v>0</v>
      </c>
      <c r="AA108" s="875">
        <f t="shared" si="203"/>
        <v>0</v>
      </c>
      <c r="AB108" s="875" t="str">
        <f t="shared" si="204"/>
        <v/>
      </c>
      <c r="AC108" s="713">
        <f>'min. Düngung 22'!K109</f>
        <v>0</v>
      </c>
      <c r="AD108" s="938"/>
      <c r="AE108" s="938"/>
      <c r="AF108" s="938">
        <f t="shared" si="205"/>
        <v>0</v>
      </c>
      <c r="AG108" s="938">
        <f t="shared" si="206"/>
        <v>0</v>
      </c>
      <c r="AH108" s="938">
        <f t="shared" si="207"/>
        <v>0</v>
      </c>
      <c r="AI108" s="938">
        <f t="shared" si="208"/>
        <v>0</v>
      </c>
      <c r="AJ108" s="938">
        <f t="shared" si="209"/>
        <v>0</v>
      </c>
      <c r="AK108" s="938">
        <f t="shared" si="210"/>
        <v>0</v>
      </c>
      <c r="AL108" s="713">
        <f>'min. Düngung 22'!N109</f>
        <v>0</v>
      </c>
      <c r="AM108" s="938"/>
      <c r="AN108" s="938"/>
      <c r="AO108" s="938">
        <f t="shared" si="211"/>
        <v>0</v>
      </c>
      <c r="AP108" s="938">
        <f t="shared" si="212"/>
        <v>0</v>
      </c>
      <c r="AQ108" s="938">
        <f t="shared" si="213"/>
        <v>0</v>
      </c>
      <c r="AR108" s="938">
        <f t="shared" si="214"/>
        <v>0</v>
      </c>
      <c r="AS108" s="938">
        <f t="shared" si="215"/>
        <v>0</v>
      </c>
      <c r="AT108" s="938" t="str">
        <f t="shared" si="216"/>
        <v/>
      </c>
      <c r="AU108" s="713">
        <f>'min. Düngung 22'!Q109</f>
        <v>0</v>
      </c>
      <c r="AV108" s="938"/>
      <c r="AW108" s="938"/>
      <c r="AX108" s="938">
        <f t="shared" si="217"/>
        <v>0</v>
      </c>
      <c r="AY108" s="938">
        <f t="shared" si="218"/>
        <v>0</v>
      </c>
      <c r="AZ108" s="938">
        <f t="shared" si="219"/>
        <v>0</v>
      </c>
      <c r="BA108" s="938">
        <f t="shared" si="220"/>
        <v>0</v>
      </c>
      <c r="BB108" s="938">
        <f t="shared" si="221"/>
        <v>0</v>
      </c>
      <c r="BC108" s="938" t="str">
        <f t="shared" si="222"/>
        <v/>
      </c>
      <c r="BD108" s="713">
        <f>'min. Düngung 22'!T109</f>
        <v>0</v>
      </c>
      <c r="BE108" s="938"/>
      <c r="BF108" s="938"/>
      <c r="BG108" s="938">
        <f t="shared" si="223"/>
        <v>0</v>
      </c>
      <c r="BH108" s="938">
        <f t="shared" si="224"/>
        <v>0</v>
      </c>
      <c r="BI108" s="938">
        <f t="shared" si="225"/>
        <v>0</v>
      </c>
      <c r="BJ108" s="938">
        <f t="shared" si="226"/>
        <v>0</v>
      </c>
      <c r="BK108" s="938">
        <f t="shared" si="227"/>
        <v>0</v>
      </c>
      <c r="BL108" s="938" t="str">
        <f t="shared" si="228"/>
        <v/>
      </c>
      <c r="BM108" s="713">
        <f>'min. Düngung 22'!W109</f>
        <v>0</v>
      </c>
      <c r="BN108" s="938"/>
      <c r="BO108" s="938"/>
      <c r="BP108" s="938">
        <f t="shared" si="229"/>
        <v>0</v>
      </c>
      <c r="BQ108" s="938">
        <f t="shared" si="230"/>
        <v>0</v>
      </c>
      <c r="BR108" s="938">
        <f t="shared" si="231"/>
        <v>0</v>
      </c>
      <c r="BS108" s="938">
        <f t="shared" si="232"/>
        <v>0</v>
      </c>
      <c r="BT108" s="938">
        <f t="shared" si="233"/>
        <v>0</v>
      </c>
      <c r="BU108" s="938" t="str">
        <f t="shared" si="234"/>
        <v/>
      </c>
      <c r="BV108" s="713">
        <f>'min. Düngung 22'!Z109</f>
        <v>0</v>
      </c>
      <c r="BW108" s="938"/>
      <c r="BX108" s="938"/>
      <c r="BY108" s="938">
        <f t="shared" si="235"/>
        <v>0</v>
      </c>
      <c r="BZ108" s="938">
        <f t="shared" si="236"/>
        <v>0</v>
      </c>
      <c r="CA108" s="938">
        <f t="shared" si="237"/>
        <v>0</v>
      </c>
      <c r="CB108" s="938">
        <f t="shared" si="238"/>
        <v>0</v>
      </c>
      <c r="CC108" s="938">
        <f t="shared" si="239"/>
        <v>0</v>
      </c>
      <c r="CD108" s="938" t="str">
        <f t="shared" si="240"/>
        <v/>
      </c>
      <c r="CE108" s="713">
        <f>'min. Düngung 22'!AC109</f>
        <v>0</v>
      </c>
      <c r="CF108" s="938"/>
      <c r="CG108" s="938"/>
      <c r="CH108" s="938">
        <f t="shared" si="241"/>
        <v>0</v>
      </c>
      <c r="CI108" s="938">
        <f t="shared" si="242"/>
        <v>0</v>
      </c>
      <c r="CJ108" s="938">
        <f t="shared" si="243"/>
        <v>0</v>
      </c>
      <c r="CK108" s="938">
        <f t="shared" si="244"/>
        <v>0</v>
      </c>
      <c r="CL108" s="938">
        <f t="shared" si="245"/>
        <v>0</v>
      </c>
      <c r="CM108" s="938" t="str">
        <f t="shared" si="246"/>
        <v/>
      </c>
      <c r="CN108" s="713">
        <f>'min. Düngung 22'!AF109</f>
        <v>0</v>
      </c>
      <c r="CO108" s="938"/>
      <c r="CP108" s="938"/>
      <c r="CQ108" s="938">
        <f t="shared" si="247"/>
        <v>0</v>
      </c>
      <c r="CR108" s="938">
        <f t="shared" si="248"/>
        <v>0</v>
      </c>
      <c r="CS108" s="938">
        <f t="shared" si="249"/>
        <v>0</v>
      </c>
      <c r="CT108" s="938">
        <f t="shared" si="250"/>
        <v>0</v>
      </c>
      <c r="CU108" s="938">
        <f t="shared" si="251"/>
        <v>0</v>
      </c>
      <c r="CV108" s="938" t="str">
        <f t="shared" si="252"/>
        <v/>
      </c>
      <c r="CW108" s="713">
        <f>'min. Düngung 22'!AI109</f>
        <v>0</v>
      </c>
      <c r="CX108" s="938"/>
      <c r="CY108" s="938"/>
      <c r="CZ108" s="938">
        <f t="shared" si="253"/>
        <v>0</v>
      </c>
      <c r="DA108" s="938">
        <f t="shared" si="254"/>
        <v>0</v>
      </c>
      <c r="DB108" s="938">
        <f t="shared" si="255"/>
        <v>0</v>
      </c>
      <c r="DC108" s="938">
        <f t="shared" si="256"/>
        <v>0</v>
      </c>
      <c r="DD108" s="938">
        <f t="shared" si="257"/>
        <v>0</v>
      </c>
      <c r="DE108" s="938" t="str">
        <f t="shared" si="258"/>
        <v/>
      </c>
      <c r="DF108" s="713">
        <f>'min. Düngung 22'!AL109</f>
        <v>0</v>
      </c>
      <c r="DG108" s="938"/>
      <c r="DH108" s="938"/>
      <c r="DI108" s="938">
        <f t="shared" si="259"/>
        <v>0</v>
      </c>
      <c r="DJ108" s="938">
        <f t="shared" si="260"/>
        <v>0</v>
      </c>
      <c r="DK108" s="938">
        <f t="shared" si="261"/>
        <v>0</v>
      </c>
      <c r="DL108" s="938">
        <f t="shared" si="262"/>
        <v>0</v>
      </c>
      <c r="DM108" s="938">
        <f t="shared" si="263"/>
        <v>0</v>
      </c>
      <c r="DN108" s="938" t="str">
        <f t="shared" si="264"/>
        <v/>
      </c>
      <c r="DO108" s="713">
        <f>'min. Düngung 22'!AO109</f>
        <v>0</v>
      </c>
      <c r="DP108" s="938"/>
      <c r="DQ108" s="938"/>
      <c r="DR108" s="938">
        <f t="shared" si="265"/>
        <v>0</v>
      </c>
      <c r="DS108" s="938">
        <f t="shared" si="266"/>
        <v>0</v>
      </c>
      <c r="DT108" s="938">
        <f t="shared" si="267"/>
        <v>0</v>
      </c>
      <c r="DU108" s="938">
        <f t="shared" si="268"/>
        <v>0</v>
      </c>
      <c r="DV108" s="938">
        <f t="shared" si="269"/>
        <v>0</v>
      </c>
      <c r="DW108" s="938" t="str">
        <f t="shared" si="270"/>
        <v/>
      </c>
      <c r="DX108" s="713">
        <f>'min. Düngung 22'!AR109</f>
        <v>0</v>
      </c>
      <c r="DY108" s="938"/>
      <c r="DZ108" s="938"/>
      <c r="EA108" s="938">
        <f t="shared" si="271"/>
        <v>0</v>
      </c>
      <c r="EB108" s="938">
        <f t="shared" si="272"/>
        <v>0</v>
      </c>
      <c r="EC108" s="938">
        <f t="shared" si="273"/>
        <v>0</v>
      </c>
      <c r="ED108" s="938">
        <f t="shared" si="274"/>
        <v>0</v>
      </c>
      <c r="EE108" s="938">
        <f t="shared" si="275"/>
        <v>0</v>
      </c>
      <c r="EF108" s="938" t="str">
        <f t="shared" si="276"/>
        <v/>
      </c>
      <c r="EG108" s="713">
        <f>'min. Düngung 22'!AU109</f>
        <v>0</v>
      </c>
      <c r="EH108" s="938"/>
      <c r="EI108" s="938"/>
      <c r="EJ108" s="938">
        <f t="shared" si="277"/>
        <v>0</v>
      </c>
      <c r="EK108" s="938">
        <f t="shared" si="278"/>
        <v>0</v>
      </c>
      <c r="EL108" s="938">
        <f t="shared" si="279"/>
        <v>0</v>
      </c>
      <c r="EM108" s="938">
        <f t="shared" si="280"/>
        <v>0</v>
      </c>
      <c r="EN108" s="938">
        <f t="shared" si="281"/>
        <v>0</v>
      </c>
      <c r="EO108" s="938" t="str">
        <f t="shared" si="282"/>
        <v/>
      </c>
      <c r="EP108" s="713">
        <f>'min. Düngung 22'!AX109</f>
        <v>0</v>
      </c>
      <c r="EQ108" s="938"/>
      <c r="ER108" s="938"/>
      <c r="ES108" s="938">
        <f t="shared" si="283"/>
        <v>0</v>
      </c>
      <c r="ET108" s="938">
        <f t="shared" si="284"/>
        <v>0</v>
      </c>
      <c r="EU108" s="938">
        <f t="shared" si="285"/>
        <v>0</v>
      </c>
      <c r="EV108" s="938">
        <f t="shared" si="286"/>
        <v>0</v>
      </c>
      <c r="EW108" s="938">
        <f t="shared" si="287"/>
        <v>0</v>
      </c>
      <c r="EX108" s="938" t="str">
        <f t="shared" si="288"/>
        <v/>
      </c>
      <c r="EY108" s="713">
        <f>'min. Düngung 22'!BA109</f>
        <v>0</v>
      </c>
      <c r="EZ108" s="938"/>
      <c r="FA108" s="938"/>
      <c r="FB108" s="938">
        <f t="shared" si="289"/>
        <v>0</v>
      </c>
      <c r="FC108" s="938">
        <f t="shared" si="290"/>
        <v>0</v>
      </c>
      <c r="FD108" s="938">
        <f t="shared" si="291"/>
        <v>0</v>
      </c>
      <c r="FE108" s="938">
        <f t="shared" si="292"/>
        <v>0</v>
      </c>
      <c r="FF108" s="938">
        <f t="shared" si="293"/>
        <v>0</v>
      </c>
      <c r="FG108" s="938" t="str">
        <f t="shared" si="294"/>
        <v/>
      </c>
      <c r="FH108" s="713">
        <f>'min. Düngung 22'!BD109</f>
        <v>0</v>
      </c>
      <c r="FI108" s="938"/>
      <c r="FJ108" s="938"/>
      <c r="FK108" s="938">
        <f t="shared" si="295"/>
        <v>0</v>
      </c>
      <c r="FL108" s="938">
        <f t="shared" si="296"/>
        <v>0</v>
      </c>
      <c r="FM108" s="938">
        <f t="shared" si="297"/>
        <v>0</v>
      </c>
      <c r="FN108" s="938">
        <f t="shared" si="298"/>
        <v>0</v>
      </c>
      <c r="FO108" s="938">
        <f t="shared" si="299"/>
        <v>0</v>
      </c>
      <c r="FP108" s="938" t="str">
        <f t="shared" si="300"/>
        <v/>
      </c>
      <c r="FQ108" s="713">
        <f>'min. Düngung 22'!BG109</f>
        <v>0</v>
      </c>
      <c r="FR108" s="938"/>
      <c r="FS108" s="938"/>
      <c r="FT108" s="938">
        <f t="shared" si="301"/>
        <v>0</v>
      </c>
      <c r="FU108" s="938">
        <f t="shared" si="302"/>
        <v>0</v>
      </c>
      <c r="FV108" s="938">
        <f t="shared" si="303"/>
        <v>0</v>
      </c>
      <c r="FW108" s="938">
        <f t="shared" si="304"/>
        <v>0</v>
      </c>
      <c r="FX108" s="938">
        <f t="shared" si="305"/>
        <v>0</v>
      </c>
      <c r="FY108" s="938" t="str">
        <f t="shared" si="306"/>
        <v/>
      </c>
      <c r="FZ108" s="713">
        <f>'min. Düngung 22'!BJ109</f>
        <v>0</v>
      </c>
      <c r="GA108" s="938"/>
      <c r="GB108" s="938"/>
      <c r="GC108" s="938">
        <f t="shared" si="307"/>
        <v>0</v>
      </c>
      <c r="GD108" s="938">
        <f t="shared" si="308"/>
        <v>0</v>
      </c>
      <c r="GE108" s="938">
        <f t="shared" si="309"/>
        <v>0</v>
      </c>
      <c r="GF108" s="938">
        <f t="shared" si="310"/>
        <v>0</v>
      </c>
      <c r="GG108" s="938">
        <f t="shared" si="311"/>
        <v>0</v>
      </c>
      <c r="GH108" s="938" t="str">
        <f t="shared" si="312"/>
        <v/>
      </c>
      <c r="GI108" s="713">
        <f>'min. Düngung 22'!BM109</f>
        <v>0</v>
      </c>
      <c r="GJ108" s="938"/>
      <c r="GK108" s="938"/>
      <c r="GL108" s="938">
        <f t="shared" si="313"/>
        <v>0</v>
      </c>
      <c r="GM108" s="938">
        <f t="shared" si="314"/>
        <v>0</v>
      </c>
      <c r="GN108" s="938">
        <f t="shared" si="315"/>
        <v>0</v>
      </c>
      <c r="GO108" s="938">
        <f t="shared" si="316"/>
        <v>0</v>
      </c>
      <c r="GP108" s="938">
        <f t="shared" si="317"/>
        <v>0</v>
      </c>
      <c r="GQ108" s="938" t="str">
        <f t="shared" si="318"/>
        <v/>
      </c>
      <c r="GR108" s="713">
        <f>'min. Düngung 22'!BP109</f>
        <v>0</v>
      </c>
      <c r="GS108" s="938"/>
      <c r="GT108" s="938"/>
      <c r="GU108" s="938">
        <f t="shared" si="319"/>
        <v>0</v>
      </c>
      <c r="GV108" s="938">
        <f t="shared" si="320"/>
        <v>0</v>
      </c>
      <c r="GW108" s="938">
        <f t="shared" si="321"/>
        <v>0</v>
      </c>
      <c r="GX108" s="938">
        <f t="shared" si="322"/>
        <v>0</v>
      </c>
      <c r="GY108" s="938">
        <f t="shared" si="323"/>
        <v>0</v>
      </c>
      <c r="GZ108" s="938" t="str">
        <f t="shared" si="324"/>
        <v/>
      </c>
      <c r="HA108" s="713">
        <f>'min. Düngung 22'!BS109</f>
        <v>0</v>
      </c>
      <c r="HB108" s="938"/>
      <c r="HC108" s="938"/>
      <c r="HD108" s="938">
        <f t="shared" si="325"/>
        <v>0</v>
      </c>
      <c r="HE108" s="938">
        <f t="shared" si="326"/>
        <v>0</v>
      </c>
      <c r="HF108" s="938">
        <f t="shared" si="327"/>
        <v>0</v>
      </c>
      <c r="HG108" s="938">
        <f t="shared" si="328"/>
        <v>0</v>
      </c>
      <c r="HH108" s="938">
        <f t="shared" si="329"/>
        <v>0</v>
      </c>
      <c r="HI108" s="938" t="str">
        <f t="shared" si="330"/>
        <v/>
      </c>
      <c r="HJ108" s="713">
        <f>'min. Düngung 22'!BV109</f>
        <v>0</v>
      </c>
      <c r="HK108" s="938"/>
      <c r="HL108" s="938"/>
      <c r="HM108" s="938">
        <f t="shared" si="331"/>
        <v>0</v>
      </c>
      <c r="HN108" s="938">
        <f t="shared" si="332"/>
        <v>0</v>
      </c>
      <c r="HO108" s="938">
        <f t="shared" si="333"/>
        <v>0</v>
      </c>
      <c r="HP108" s="938">
        <f t="shared" si="334"/>
        <v>0</v>
      </c>
      <c r="HQ108" s="938">
        <f t="shared" si="335"/>
        <v>0</v>
      </c>
      <c r="HR108" s="938" t="str">
        <f t="shared" si="336"/>
        <v/>
      </c>
      <c r="HS108" s="713">
        <f>'min. Düngung 22'!BY109</f>
        <v>0</v>
      </c>
      <c r="HT108" s="938"/>
      <c r="HU108" s="938"/>
      <c r="HV108" s="938">
        <f t="shared" si="337"/>
        <v>0</v>
      </c>
      <c r="HW108" s="938">
        <f t="shared" si="338"/>
        <v>0</v>
      </c>
      <c r="HX108" s="938">
        <f t="shared" si="339"/>
        <v>0</v>
      </c>
      <c r="HY108" s="938">
        <f t="shared" si="340"/>
        <v>0</v>
      </c>
      <c r="HZ108" s="938">
        <f t="shared" si="341"/>
        <v>0</v>
      </c>
      <c r="IA108" s="938" t="str">
        <f t="shared" si="342"/>
        <v/>
      </c>
      <c r="IB108" s="713">
        <f>'min. Düngung 22'!CB109</f>
        <v>0</v>
      </c>
      <c r="IC108" s="938"/>
      <c r="ID108" s="938"/>
      <c r="IE108" s="938">
        <f t="shared" si="343"/>
        <v>0</v>
      </c>
      <c r="IF108" s="938">
        <f t="shared" si="344"/>
        <v>0</v>
      </c>
      <c r="IG108" s="938">
        <f t="shared" si="345"/>
        <v>0</v>
      </c>
      <c r="IH108" s="938">
        <f t="shared" si="346"/>
        <v>0</v>
      </c>
      <c r="II108" s="938">
        <f t="shared" si="347"/>
        <v>0</v>
      </c>
      <c r="IJ108" s="938" t="str">
        <f t="shared" si="348"/>
        <v/>
      </c>
      <c r="IK108" s="713">
        <f>'min. Düngung 22'!CE109</f>
        <v>0</v>
      </c>
      <c r="IL108" s="938"/>
      <c r="IM108" s="938"/>
      <c r="IN108" s="938">
        <f t="shared" si="349"/>
        <v>0</v>
      </c>
      <c r="IO108" s="938">
        <f t="shared" si="350"/>
        <v>0</v>
      </c>
      <c r="IP108" s="938">
        <f t="shared" si="351"/>
        <v>0</v>
      </c>
      <c r="IQ108" s="938">
        <f t="shared" si="352"/>
        <v>0</v>
      </c>
      <c r="IR108" s="938">
        <f t="shared" si="353"/>
        <v>0</v>
      </c>
      <c r="IS108" s="938" t="str">
        <f t="shared" si="354"/>
        <v/>
      </c>
      <c r="IT108" s="713">
        <f>'min. Düngung 22'!CH109</f>
        <v>0</v>
      </c>
      <c r="IU108" s="938"/>
      <c r="IV108" s="938"/>
      <c r="IW108" s="938">
        <f t="shared" si="355"/>
        <v>0</v>
      </c>
      <c r="IX108" s="938">
        <f t="shared" si="356"/>
        <v>0</v>
      </c>
      <c r="IY108" s="938">
        <f t="shared" si="357"/>
        <v>0</v>
      </c>
      <c r="IZ108" s="938">
        <f t="shared" si="358"/>
        <v>0</v>
      </c>
      <c r="JA108" s="938">
        <f t="shared" si="359"/>
        <v>0</v>
      </c>
      <c r="JB108" s="938" t="str">
        <f t="shared" si="360"/>
        <v/>
      </c>
      <c r="JC108" s="713">
        <f>'min. Düngung 22'!CK109</f>
        <v>0</v>
      </c>
      <c r="JD108" s="938"/>
      <c r="JE108" s="938"/>
      <c r="JF108" s="938">
        <f t="shared" si="361"/>
        <v>0</v>
      </c>
      <c r="JG108" s="938">
        <f t="shared" si="362"/>
        <v>0</v>
      </c>
      <c r="JH108" s="938">
        <f t="shared" si="363"/>
        <v>0</v>
      </c>
      <c r="JI108" s="938">
        <f t="shared" si="364"/>
        <v>0</v>
      </c>
      <c r="JJ108" s="938">
        <f t="shared" si="365"/>
        <v>0</v>
      </c>
      <c r="JK108" s="938" t="str">
        <f t="shared" si="366"/>
        <v/>
      </c>
      <c r="JL108" s="713">
        <f>'min. Düngung 22'!CN109</f>
        <v>0</v>
      </c>
      <c r="JM108" s="938"/>
      <c r="JN108" s="938"/>
      <c r="JO108" s="938">
        <f t="shared" si="367"/>
        <v>0</v>
      </c>
      <c r="JP108" s="938">
        <f t="shared" si="368"/>
        <v>0</v>
      </c>
      <c r="JQ108" s="938">
        <f t="shared" si="369"/>
        <v>0</v>
      </c>
      <c r="JR108" s="938">
        <f t="shared" si="370"/>
        <v>0</v>
      </c>
      <c r="JS108" s="938">
        <f t="shared" si="371"/>
        <v>0</v>
      </c>
      <c r="JT108" s="938" t="str">
        <f t="shared" si="372"/>
        <v/>
      </c>
      <c r="JU108" s="713">
        <f>'min. Düngung 22'!CQ109</f>
        <v>0</v>
      </c>
      <c r="JV108" s="938"/>
      <c r="JW108" s="938"/>
      <c r="JX108" s="938">
        <f t="shared" si="373"/>
        <v>0</v>
      </c>
      <c r="JY108" s="938">
        <f t="shared" si="374"/>
        <v>0</v>
      </c>
      <c r="JZ108" s="938">
        <f t="shared" si="375"/>
        <v>0</v>
      </c>
      <c r="KA108" s="938">
        <f t="shared" si="376"/>
        <v>0</v>
      </c>
      <c r="KB108" s="938">
        <f t="shared" si="377"/>
        <v>0</v>
      </c>
      <c r="KC108" s="938" t="str">
        <f t="shared" si="378"/>
        <v/>
      </c>
      <c r="KE108" s="938"/>
      <c r="KF108" s="938" t="str">
        <f>IF(AND($F108=2,$G108=1),"",IF(OR($Q108&gt;0,$O108&gt;60),$KF$7,IF(I108=70,"",IF(AND(I108=80,R108+'#orgDung'!AC111&lt;60,K108=1,OR(C108=2,'#BerechnungDBE'!AH102=4)),"",IF(R108&gt;0,$KF$7,"")))))</f>
        <v/>
      </c>
      <c r="KG108" s="938" t="str">
        <f>IF(AND(P108&gt;'#BerechnungDBE'!BJ102,P108&gt;0),'#minDung'!$KG$7,"")</f>
        <v/>
      </c>
      <c r="KH108" s="938" t="str">
        <f>IF(AND(I108=70,R108&gt;'#BerechnungDBE'!CR102),'#minDung'!$KH$7,"")</f>
        <v/>
      </c>
      <c r="KI108" s="938" t="str">
        <f>IF('#BerechnungDBE'!P102&lt;4,"",IF(AND('#BerechnungDBE'!BZ102&gt;0,N108&gt;0),$KI$7,""))</f>
        <v/>
      </c>
      <c r="KJ108" s="938" t="str">
        <f t="shared" si="197"/>
        <v/>
      </c>
    </row>
    <row r="109" spans="1:296" s="875" customFormat="1" hidden="1" x14ac:dyDescent="0.2">
      <c r="A109" s="875">
        <f>'Flächen u. Kulturen'!A108</f>
        <v>99</v>
      </c>
      <c r="B109" s="734">
        <f>'#BerechnungDBE'!L103</f>
        <v>0</v>
      </c>
      <c r="C109" s="46">
        <f>'#orgDung'!C112</f>
        <v>1</v>
      </c>
      <c r="D109" s="875">
        <f>'#BerechnungDBE'!T103</f>
        <v>2</v>
      </c>
      <c r="E109" s="875" t="str">
        <f>'Flächen u. Kulturen'!E108</f>
        <v>x</v>
      </c>
      <c r="F109" s="52">
        <f>'#BerechnungDBE'!N103</f>
        <v>1</v>
      </c>
      <c r="G109" s="52">
        <f>'#BerechnungDBE'!O103</f>
        <v>1</v>
      </c>
      <c r="H109" s="505">
        <f>'#orgDung'!J112</f>
        <v>2</v>
      </c>
      <c r="I109" s="875">
        <f>'#BerechnungDBE'!AF103</f>
        <v>0</v>
      </c>
      <c r="J109" s="875">
        <f>'#orgDung'!M112</f>
        <v>0</v>
      </c>
      <c r="K109" s="875">
        <f>'#BerechnungDBE'!AG103</f>
        <v>0</v>
      </c>
      <c r="M109" s="875">
        <f t="shared" si="192"/>
        <v>0</v>
      </c>
      <c r="N109" s="875">
        <f t="shared" si="193"/>
        <v>0</v>
      </c>
      <c r="O109" s="875">
        <f t="shared" si="194"/>
        <v>0</v>
      </c>
      <c r="P109" s="875">
        <f t="shared" si="195"/>
        <v>0</v>
      </c>
      <c r="Q109" s="938">
        <f t="shared" si="198"/>
        <v>0</v>
      </c>
      <c r="R109" s="875">
        <f t="shared" si="196"/>
        <v>0</v>
      </c>
      <c r="T109" s="713">
        <f>'min. Düngung 22'!H110</f>
        <v>0</v>
      </c>
      <c r="W109" s="875">
        <f t="shared" si="199"/>
        <v>0</v>
      </c>
      <c r="X109" s="875">
        <f t="shared" si="200"/>
        <v>0</v>
      </c>
      <c r="Y109" s="875">
        <f t="shared" si="201"/>
        <v>0</v>
      </c>
      <c r="Z109" s="875">
        <f t="shared" si="202"/>
        <v>0</v>
      </c>
      <c r="AA109" s="875">
        <f t="shared" si="203"/>
        <v>0</v>
      </c>
      <c r="AB109" s="875" t="str">
        <f t="shared" si="204"/>
        <v/>
      </c>
      <c r="AC109" s="713">
        <f>'min. Düngung 22'!K110</f>
        <v>0</v>
      </c>
      <c r="AD109" s="938"/>
      <c r="AE109" s="938"/>
      <c r="AF109" s="938">
        <f t="shared" si="205"/>
        <v>0</v>
      </c>
      <c r="AG109" s="938">
        <f t="shared" si="206"/>
        <v>0</v>
      </c>
      <c r="AH109" s="938">
        <f t="shared" si="207"/>
        <v>0</v>
      </c>
      <c r="AI109" s="938">
        <f t="shared" si="208"/>
        <v>0</v>
      </c>
      <c r="AJ109" s="938">
        <f t="shared" si="209"/>
        <v>0</v>
      </c>
      <c r="AK109" s="938">
        <f t="shared" si="210"/>
        <v>0</v>
      </c>
      <c r="AL109" s="713">
        <f>'min. Düngung 22'!N110</f>
        <v>0</v>
      </c>
      <c r="AM109" s="938"/>
      <c r="AN109" s="938"/>
      <c r="AO109" s="938">
        <f t="shared" si="211"/>
        <v>0</v>
      </c>
      <c r="AP109" s="938">
        <f t="shared" si="212"/>
        <v>0</v>
      </c>
      <c r="AQ109" s="938">
        <f t="shared" si="213"/>
        <v>0</v>
      </c>
      <c r="AR109" s="938">
        <f t="shared" si="214"/>
        <v>0</v>
      </c>
      <c r="AS109" s="938">
        <f t="shared" si="215"/>
        <v>0</v>
      </c>
      <c r="AT109" s="938" t="str">
        <f t="shared" si="216"/>
        <v/>
      </c>
      <c r="AU109" s="713">
        <f>'min. Düngung 22'!Q110</f>
        <v>0</v>
      </c>
      <c r="AV109" s="938"/>
      <c r="AW109" s="938"/>
      <c r="AX109" s="938">
        <f t="shared" si="217"/>
        <v>0</v>
      </c>
      <c r="AY109" s="938">
        <f t="shared" si="218"/>
        <v>0</v>
      </c>
      <c r="AZ109" s="938">
        <f t="shared" si="219"/>
        <v>0</v>
      </c>
      <c r="BA109" s="938">
        <f t="shared" si="220"/>
        <v>0</v>
      </c>
      <c r="BB109" s="938">
        <f t="shared" si="221"/>
        <v>0</v>
      </c>
      <c r="BC109" s="938" t="str">
        <f t="shared" si="222"/>
        <v/>
      </c>
      <c r="BD109" s="713">
        <f>'min. Düngung 22'!T110</f>
        <v>0</v>
      </c>
      <c r="BE109" s="938"/>
      <c r="BF109" s="938"/>
      <c r="BG109" s="938">
        <f t="shared" si="223"/>
        <v>0</v>
      </c>
      <c r="BH109" s="938">
        <f t="shared" si="224"/>
        <v>0</v>
      </c>
      <c r="BI109" s="938">
        <f t="shared" si="225"/>
        <v>0</v>
      </c>
      <c r="BJ109" s="938">
        <f t="shared" si="226"/>
        <v>0</v>
      </c>
      <c r="BK109" s="938">
        <f t="shared" si="227"/>
        <v>0</v>
      </c>
      <c r="BL109" s="938" t="str">
        <f t="shared" si="228"/>
        <v/>
      </c>
      <c r="BM109" s="713">
        <f>'min. Düngung 22'!W110</f>
        <v>0</v>
      </c>
      <c r="BN109" s="938"/>
      <c r="BO109" s="938"/>
      <c r="BP109" s="938">
        <f t="shared" si="229"/>
        <v>0</v>
      </c>
      <c r="BQ109" s="938">
        <f t="shared" si="230"/>
        <v>0</v>
      </c>
      <c r="BR109" s="938">
        <f t="shared" si="231"/>
        <v>0</v>
      </c>
      <c r="BS109" s="938">
        <f t="shared" si="232"/>
        <v>0</v>
      </c>
      <c r="BT109" s="938">
        <f t="shared" si="233"/>
        <v>0</v>
      </c>
      <c r="BU109" s="938" t="str">
        <f t="shared" si="234"/>
        <v/>
      </c>
      <c r="BV109" s="713">
        <f>'min. Düngung 22'!Z110</f>
        <v>0</v>
      </c>
      <c r="BW109" s="938"/>
      <c r="BX109" s="938"/>
      <c r="BY109" s="938">
        <f t="shared" si="235"/>
        <v>0</v>
      </c>
      <c r="BZ109" s="938">
        <f t="shared" si="236"/>
        <v>0</v>
      </c>
      <c r="CA109" s="938">
        <f t="shared" si="237"/>
        <v>0</v>
      </c>
      <c r="CB109" s="938">
        <f t="shared" si="238"/>
        <v>0</v>
      </c>
      <c r="CC109" s="938">
        <f t="shared" si="239"/>
        <v>0</v>
      </c>
      <c r="CD109" s="938" t="str">
        <f t="shared" si="240"/>
        <v/>
      </c>
      <c r="CE109" s="713">
        <f>'min. Düngung 22'!AC110</f>
        <v>0</v>
      </c>
      <c r="CF109" s="938"/>
      <c r="CG109" s="938"/>
      <c r="CH109" s="938">
        <f t="shared" si="241"/>
        <v>0</v>
      </c>
      <c r="CI109" s="938">
        <f t="shared" si="242"/>
        <v>0</v>
      </c>
      <c r="CJ109" s="938">
        <f t="shared" si="243"/>
        <v>0</v>
      </c>
      <c r="CK109" s="938">
        <f t="shared" si="244"/>
        <v>0</v>
      </c>
      <c r="CL109" s="938">
        <f t="shared" si="245"/>
        <v>0</v>
      </c>
      <c r="CM109" s="938" t="str">
        <f t="shared" si="246"/>
        <v/>
      </c>
      <c r="CN109" s="713">
        <f>'min. Düngung 22'!AF110</f>
        <v>0</v>
      </c>
      <c r="CO109" s="938"/>
      <c r="CP109" s="938"/>
      <c r="CQ109" s="938">
        <f t="shared" si="247"/>
        <v>0</v>
      </c>
      <c r="CR109" s="938">
        <f t="shared" si="248"/>
        <v>0</v>
      </c>
      <c r="CS109" s="938">
        <f t="shared" si="249"/>
        <v>0</v>
      </c>
      <c r="CT109" s="938">
        <f t="shared" si="250"/>
        <v>0</v>
      </c>
      <c r="CU109" s="938">
        <f t="shared" si="251"/>
        <v>0</v>
      </c>
      <c r="CV109" s="938" t="str">
        <f t="shared" si="252"/>
        <v/>
      </c>
      <c r="CW109" s="713">
        <f>'min. Düngung 22'!AI110</f>
        <v>0</v>
      </c>
      <c r="CX109" s="938"/>
      <c r="CY109" s="938"/>
      <c r="CZ109" s="938">
        <f t="shared" si="253"/>
        <v>0</v>
      </c>
      <c r="DA109" s="938">
        <f t="shared" si="254"/>
        <v>0</v>
      </c>
      <c r="DB109" s="938">
        <f t="shared" si="255"/>
        <v>0</v>
      </c>
      <c r="DC109" s="938">
        <f t="shared" si="256"/>
        <v>0</v>
      </c>
      <c r="DD109" s="938">
        <f t="shared" si="257"/>
        <v>0</v>
      </c>
      <c r="DE109" s="938" t="str">
        <f t="shared" si="258"/>
        <v/>
      </c>
      <c r="DF109" s="713">
        <f>'min. Düngung 22'!AL110</f>
        <v>0</v>
      </c>
      <c r="DG109" s="938"/>
      <c r="DH109" s="938"/>
      <c r="DI109" s="938">
        <f t="shared" si="259"/>
        <v>0</v>
      </c>
      <c r="DJ109" s="938">
        <f t="shared" si="260"/>
        <v>0</v>
      </c>
      <c r="DK109" s="938">
        <f t="shared" si="261"/>
        <v>0</v>
      </c>
      <c r="DL109" s="938">
        <f t="shared" si="262"/>
        <v>0</v>
      </c>
      <c r="DM109" s="938">
        <f t="shared" si="263"/>
        <v>0</v>
      </c>
      <c r="DN109" s="938" t="str">
        <f t="shared" si="264"/>
        <v/>
      </c>
      <c r="DO109" s="713">
        <f>'min. Düngung 22'!AO110</f>
        <v>0</v>
      </c>
      <c r="DP109" s="938"/>
      <c r="DQ109" s="938"/>
      <c r="DR109" s="938">
        <f t="shared" si="265"/>
        <v>0</v>
      </c>
      <c r="DS109" s="938">
        <f t="shared" si="266"/>
        <v>0</v>
      </c>
      <c r="DT109" s="938">
        <f t="shared" si="267"/>
        <v>0</v>
      </c>
      <c r="DU109" s="938">
        <f t="shared" si="268"/>
        <v>0</v>
      </c>
      <c r="DV109" s="938">
        <f t="shared" si="269"/>
        <v>0</v>
      </c>
      <c r="DW109" s="938" t="str">
        <f t="shared" si="270"/>
        <v/>
      </c>
      <c r="DX109" s="713">
        <f>'min. Düngung 22'!AR110</f>
        <v>0</v>
      </c>
      <c r="DY109" s="938"/>
      <c r="DZ109" s="938"/>
      <c r="EA109" s="938">
        <f t="shared" si="271"/>
        <v>0</v>
      </c>
      <c r="EB109" s="938">
        <f t="shared" si="272"/>
        <v>0</v>
      </c>
      <c r="EC109" s="938">
        <f t="shared" si="273"/>
        <v>0</v>
      </c>
      <c r="ED109" s="938">
        <f t="shared" si="274"/>
        <v>0</v>
      </c>
      <c r="EE109" s="938">
        <f t="shared" si="275"/>
        <v>0</v>
      </c>
      <c r="EF109" s="938" t="str">
        <f t="shared" si="276"/>
        <v/>
      </c>
      <c r="EG109" s="713">
        <f>'min. Düngung 22'!AU110</f>
        <v>0</v>
      </c>
      <c r="EH109" s="938"/>
      <c r="EI109" s="938"/>
      <c r="EJ109" s="938">
        <f t="shared" si="277"/>
        <v>0</v>
      </c>
      <c r="EK109" s="938">
        <f t="shared" si="278"/>
        <v>0</v>
      </c>
      <c r="EL109" s="938">
        <f t="shared" si="279"/>
        <v>0</v>
      </c>
      <c r="EM109" s="938">
        <f t="shared" si="280"/>
        <v>0</v>
      </c>
      <c r="EN109" s="938">
        <f t="shared" si="281"/>
        <v>0</v>
      </c>
      <c r="EO109" s="938" t="str">
        <f t="shared" si="282"/>
        <v/>
      </c>
      <c r="EP109" s="713">
        <f>'min. Düngung 22'!AX110</f>
        <v>0</v>
      </c>
      <c r="EQ109" s="938"/>
      <c r="ER109" s="938"/>
      <c r="ES109" s="938">
        <f t="shared" si="283"/>
        <v>0</v>
      </c>
      <c r="ET109" s="938">
        <f t="shared" si="284"/>
        <v>0</v>
      </c>
      <c r="EU109" s="938">
        <f t="shared" si="285"/>
        <v>0</v>
      </c>
      <c r="EV109" s="938">
        <f t="shared" si="286"/>
        <v>0</v>
      </c>
      <c r="EW109" s="938">
        <f t="shared" si="287"/>
        <v>0</v>
      </c>
      <c r="EX109" s="938" t="str">
        <f t="shared" si="288"/>
        <v/>
      </c>
      <c r="EY109" s="713">
        <f>'min. Düngung 22'!BA110</f>
        <v>0</v>
      </c>
      <c r="EZ109" s="938"/>
      <c r="FA109" s="938"/>
      <c r="FB109" s="938">
        <f t="shared" si="289"/>
        <v>0</v>
      </c>
      <c r="FC109" s="938">
        <f t="shared" si="290"/>
        <v>0</v>
      </c>
      <c r="FD109" s="938">
        <f t="shared" si="291"/>
        <v>0</v>
      </c>
      <c r="FE109" s="938">
        <f t="shared" si="292"/>
        <v>0</v>
      </c>
      <c r="FF109" s="938">
        <f t="shared" si="293"/>
        <v>0</v>
      </c>
      <c r="FG109" s="938" t="str">
        <f t="shared" si="294"/>
        <v/>
      </c>
      <c r="FH109" s="713">
        <f>'min. Düngung 22'!BD110</f>
        <v>0</v>
      </c>
      <c r="FI109" s="938"/>
      <c r="FJ109" s="938"/>
      <c r="FK109" s="938">
        <f t="shared" si="295"/>
        <v>0</v>
      </c>
      <c r="FL109" s="938">
        <f t="shared" si="296"/>
        <v>0</v>
      </c>
      <c r="FM109" s="938">
        <f t="shared" si="297"/>
        <v>0</v>
      </c>
      <c r="FN109" s="938">
        <f t="shared" si="298"/>
        <v>0</v>
      </c>
      <c r="FO109" s="938">
        <f t="shared" si="299"/>
        <v>0</v>
      </c>
      <c r="FP109" s="938" t="str">
        <f t="shared" si="300"/>
        <v/>
      </c>
      <c r="FQ109" s="713">
        <f>'min. Düngung 22'!BG110</f>
        <v>0</v>
      </c>
      <c r="FR109" s="938"/>
      <c r="FS109" s="938"/>
      <c r="FT109" s="938">
        <f t="shared" si="301"/>
        <v>0</v>
      </c>
      <c r="FU109" s="938">
        <f t="shared" si="302"/>
        <v>0</v>
      </c>
      <c r="FV109" s="938">
        <f t="shared" si="303"/>
        <v>0</v>
      </c>
      <c r="FW109" s="938">
        <f t="shared" si="304"/>
        <v>0</v>
      </c>
      <c r="FX109" s="938">
        <f t="shared" si="305"/>
        <v>0</v>
      </c>
      <c r="FY109" s="938" t="str">
        <f t="shared" si="306"/>
        <v/>
      </c>
      <c r="FZ109" s="713">
        <f>'min. Düngung 22'!BJ110</f>
        <v>0</v>
      </c>
      <c r="GA109" s="938"/>
      <c r="GB109" s="938"/>
      <c r="GC109" s="938">
        <f t="shared" si="307"/>
        <v>0</v>
      </c>
      <c r="GD109" s="938">
        <f t="shared" si="308"/>
        <v>0</v>
      </c>
      <c r="GE109" s="938">
        <f t="shared" si="309"/>
        <v>0</v>
      </c>
      <c r="GF109" s="938">
        <f t="shared" si="310"/>
        <v>0</v>
      </c>
      <c r="GG109" s="938">
        <f t="shared" si="311"/>
        <v>0</v>
      </c>
      <c r="GH109" s="938" t="str">
        <f t="shared" si="312"/>
        <v/>
      </c>
      <c r="GI109" s="713">
        <f>'min. Düngung 22'!BM110</f>
        <v>0</v>
      </c>
      <c r="GJ109" s="938"/>
      <c r="GK109" s="938"/>
      <c r="GL109" s="938">
        <f t="shared" si="313"/>
        <v>0</v>
      </c>
      <c r="GM109" s="938">
        <f t="shared" si="314"/>
        <v>0</v>
      </c>
      <c r="GN109" s="938">
        <f t="shared" si="315"/>
        <v>0</v>
      </c>
      <c r="GO109" s="938">
        <f t="shared" si="316"/>
        <v>0</v>
      </c>
      <c r="GP109" s="938">
        <f t="shared" si="317"/>
        <v>0</v>
      </c>
      <c r="GQ109" s="938" t="str">
        <f t="shared" si="318"/>
        <v/>
      </c>
      <c r="GR109" s="713">
        <f>'min. Düngung 22'!BP110</f>
        <v>0</v>
      </c>
      <c r="GS109" s="938"/>
      <c r="GT109" s="938"/>
      <c r="GU109" s="938">
        <f t="shared" si="319"/>
        <v>0</v>
      </c>
      <c r="GV109" s="938">
        <f t="shared" si="320"/>
        <v>0</v>
      </c>
      <c r="GW109" s="938">
        <f t="shared" si="321"/>
        <v>0</v>
      </c>
      <c r="GX109" s="938">
        <f t="shared" si="322"/>
        <v>0</v>
      </c>
      <c r="GY109" s="938">
        <f t="shared" si="323"/>
        <v>0</v>
      </c>
      <c r="GZ109" s="938" t="str">
        <f t="shared" si="324"/>
        <v/>
      </c>
      <c r="HA109" s="713">
        <f>'min. Düngung 22'!BS110</f>
        <v>0</v>
      </c>
      <c r="HB109" s="938"/>
      <c r="HC109" s="938"/>
      <c r="HD109" s="938">
        <f t="shared" si="325"/>
        <v>0</v>
      </c>
      <c r="HE109" s="938">
        <f t="shared" si="326"/>
        <v>0</v>
      </c>
      <c r="HF109" s="938">
        <f t="shared" si="327"/>
        <v>0</v>
      </c>
      <c r="HG109" s="938">
        <f t="shared" si="328"/>
        <v>0</v>
      </c>
      <c r="HH109" s="938">
        <f t="shared" si="329"/>
        <v>0</v>
      </c>
      <c r="HI109" s="938" t="str">
        <f t="shared" si="330"/>
        <v/>
      </c>
      <c r="HJ109" s="713">
        <f>'min. Düngung 22'!BV110</f>
        <v>0</v>
      </c>
      <c r="HK109" s="938"/>
      <c r="HL109" s="938"/>
      <c r="HM109" s="938">
        <f t="shared" si="331"/>
        <v>0</v>
      </c>
      <c r="HN109" s="938">
        <f t="shared" si="332"/>
        <v>0</v>
      </c>
      <c r="HO109" s="938">
        <f t="shared" si="333"/>
        <v>0</v>
      </c>
      <c r="HP109" s="938">
        <f t="shared" si="334"/>
        <v>0</v>
      </c>
      <c r="HQ109" s="938">
        <f t="shared" si="335"/>
        <v>0</v>
      </c>
      <c r="HR109" s="938" t="str">
        <f t="shared" si="336"/>
        <v/>
      </c>
      <c r="HS109" s="713">
        <f>'min. Düngung 22'!BY110</f>
        <v>0</v>
      </c>
      <c r="HT109" s="938"/>
      <c r="HU109" s="938"/>
      <c r="HV109" s="938">
        <f t="shared" si="337"/>
        <v>0</v>
      </c>
      <c r="HW109" s="938">
        <f t="shared" si="338"/>
        <v>0</v>
      </c>
      <c r="HX109" s="938">
        <f t="shared" si="339"/>
        <v>0</v>
      </c>
      <c r="HY109" s="938">
        <f t="shared" si="340"/>
        <v>0</v>
      </c>
      <c r="HZ109" s="938">
        <f t="shared" si="341"/>
        <v>0</v>
      </c>
      <c r="IA109" s="938" t="str">
        <f t="shared" si="342"/>
        <v/>
      </c>
      <c r="IB109" s="713">
        <f>'min. Düngung 22'!CB110</f>
        <v>0</v>
      </c>
      <c r="IC109" s="938"/>
      <c r="ID109" s="938"/>
      <c r="IE109" s="938">
        <f t="shared" si="343"/>
        <v>0</v>
      </c>
      <c r="IF109" s="938">
        <f t="shared" si="344"/>
        <v>0</v>
      </c>
      <c r="IG109" s="938">
        <f t="shared" si="345"/>
        <v>0</v>
      </c>
      <c r="IH109" s="938">
        <f t="shared" si="346"/>
        <v>0</v>
      </c>
      <c r="II109" s="938">
        <f t="shared" si="347"/>
        <v>0</v>
      </c>
      <c r="IJ109" s="938" t="str">
        <f t="shared" si="348"/>
        <v/>
      </c>
      <c r="IK109" s="713">
        <f>'min. Düngung 22'!CE110</f>
        <v>0</v>
      </c>
      <c r="IL109" s="938"/>
      <c r="IM109" s="938"/>
      <c r="IN109" s="938">
        <f t="shared" si="349"/>
        <v>0</v>
      </c>
      <c r="IO109" s="938">
        <f t="shared" si="350"/>
        <v>0</v>
      </c>
      <c r="IP109" s="938">
        <f t="shared" si="351"/>
        <v>0</v>
      </c>
      <c r="IQ109" s="938">
        <f t="shared" si="352"/>
        <v>0</v>
      </c>
      <c r="IR109" s="938">
        <f t="shared" si="353"/>
        <v>0</v>
      </c>
      <c r="IS109" s="938" t="str">
        <f t="shared" si="354"/>
        <v/>
      </c>
      <c r="IT109" s="713">
        <f>'min. Düngung 22'!CH110</f>
        <v>0</v>
      </c>
      <c r="IU109" s="938"/>
      <c r="IV109" s="938"/>
      <c r="IW109" s="938">
        <f t="shared" si="355"/>
        <v>0</v>
      </c>
      <c r="IX109" s="938">
        <f t="shared" si="356"/>
        <v>0</v>
      </c>
      <c r="IY109" s="938">
        <f t="shared" si="357"/>
        <v>0</v>
      </c>
      <c r="IZ109" s="938">
        <f t="shared" si="358"/>
        <v>0</v>
      </c>
      <c r="JA109" s="938">
        <f t="shared" si="359"/>
        <v>0</v>
      </c>
      <c r="JB109" s="938" t="str">
        <f t="shared" si="360"/>
        <v/>
      </c>
      <c r="JC109" s="713">
        <f>'min. Düngung 22'!CK110</f>
        <v>0</v>
      </c>
      <c r="JD109" s="938"/>
      <c r="JE109" s="938"/>
      <c r="JF109" s="938">
        <f t="shared" si="361"/>
        <v>0</v>
      </c>
      <c r="JG109" s="938">
        <f t="shared" si="362"/>
        <v>0</v>
      </c>
      <c r="JH109" s="938">
        <f t="shared" si="363"/>
        <v>0</v>
      </c>
      <c r="JI109" s="938">
        <f t="shared" si="364"/>
        <v>0</v>
      </c>
      <c r="JJ109" s="938">
        <f t="shared" si="365"/>
        <v>0</v>
      </c>
      <c r="JK109" s="938" t="str">
        <f t="shared" si="366"/>
        <v/>
      </c>
      <c r="JL109" s="713">
        <f>'min. Düngung 22'!CN110</f>
        <v>0</v>
      </c>
      <c r="JM109" s="938"/>
      <c r="JN109" s="938"/>
      <c r="JO109" s="938">
        <f t="shared" si="367"/>
        <v>0</v>
      </c>
      <c r="JP109" s="938">
        <f t="shared" si="368"/>
        <v>0</v>
      </c>
      <c r="JQ109" s="938">
        <f t="shared" si="369"/>
        <v>0</v>
      </c>
      <c r="JR109" s="938">
        <f t="shared" si="370"/>
        <v>0</v>
      </c>
      <c r="JS109" s="938">
        <f t="shared" si="371"/>
        <v>0</v>
      </c>
      <c r="JT109" s="938" t="str">
        <f t="shared" si="372"/>
        <v/>
      </c>
      <c r="JU109" s="713">
        <f>'min. Düngung 22'!CQ110</f>
        <v>0</v>
      </c>
      <c r="JV109" s="938"/>
      <c r="JW109" s="938"/>
      <c r="JX109" s="938">
        <f t="shared" si="373"/>
        <v>0</v>
      </c>
      <c r="JY109" s="938">
        <f t="shared" si="374"/>
        <v>0</v>
      </c>
      <c r="JZ109" s="938">
        <f t="shared" si="375"/>
        <v>0</v>
      </c>
      <c r="KA109" s="938">
        <f t="shared" si="376"/>
        <v>0</v>
      </c>
      <c r="KB109" s="938">
        <f t="shared" si="377"/>
        <v>0</v>
      </c>
      <c r="KC109" s="938" t="str">
        <f t="shared" si="378"/>
        <v/>
      </c>
      <c r="KE109" s="938"/>
      <c r="KF109" s="938" t="str">
        <f>IF(AND($F109=2,$G109=1),"",IF(OR($Q109&gt;0,$O109&gt;60),$KF$7,IF(I109=70,"",IF(AND(I109=80,R109+'#orgDung'!AC112&lt;60,K109=1,OR(C109=2,'#BerechnungDBE'!AH103=4)),"",IF(R109&gt;0,$KF$7,"")))))</f>
        <v/>
      </c>
      <c r="KG109" s="938" t="str">
        <f>IF(AND(P109&gt;'#BerechnungDBE'!BJ103,P109&gt;0),'#minDung'!$KG$7,"")</f>
        <v/>
      </c>
      <c r="KH109" s="938" t="str">
        <f>IF(AND(I109=70,R109&gt;'#BerechnungDBE'!CR103),'#minDung'!$KH$7,"")</f>
        <v/>
      </c>
      <c r="KI109" s="938" t="str">
        <f>IF('#BerechnungDBE'!P103&lt;4,"",IF(AND('#BerechnungDBE'!BZ103&gt;0,N109&gt;0),$KI$7,""))</f>
        <v/>
      </c>
      <c r="KJ109" s="938" t="str">
        <f t="shared" si="197"/>
        <v/>
      </c>
    </row>
    <row r="110" spans="1:296" s="875" customFormat="1" x14ac:dyDescent="0.2">
      <c r="A110" s="875">
        <f>'Flächen u. Kulturen'!A109</f>
        <v>100</v>
      </c>
      <c r="B110" s="734">
        <f>'#BerechnungDBE'!L104</f>
        <v>0</v>
      </c>
      <c r="C110" s="46">
        <f>'#orgDung'!C113</f>
        <v>1</v>
      </c>
      <c r="D110" s="875">
        <f>'#BerechnungDBE'!T104</f>
        <v>2</v>
      </c>
      <c r="E110" s="875" t="str">
        <f>'Flächen u. Kulturen'!E109</f>
        <v>x</v>
      </c>
      <c r="F110" s="52">
        <f>'#BerechnungDBE'!N104</f>
        <v>1</v>
      </c>
      <c r="G110" s="52">
        <f>'#BerechnungDBE'!O104</f>
        <v>1</v>
      </c>
      <c r="H110" s="505">
        <f>'#orgDung'!J113</f>
        <v>2</v>
      </c>
      <c r="I110" s="875">
        <f>'#BerechnungDBE'!AF104</f>
        <v>0</v>
      </c>
      <c r="J110" s="875">
        <f>'#orgDung'!M113</f>
        <v>0</v>
      </c>
      <c r="K110" s="875">
        <f>'#BerechnungDBE'!AG104</f>
        <v>0</v>
      </c>
      <c r="M110" s="875">
        <f t="shared" si="192"/>
        <v>0</v>
      </c>
      <c r="N110" s="875">
        <f t="shared" si="193"/>
        <v>0</v>
      </c>
      <c r="O110" s="875">
        <f t="shared" si="194"/>
        <v>0</v>
      </c>
      <c r="P110" s="875">
        <f t="shared" si="195"/>
        <v>0</v>
      </c>
      <c r="Q110" s="938">
        <f t="shared" si="198"/>
        <v>0</v>
      </c>
      <c r="R110" s="875">
        <f t="shared" si="196"/>
        <v>0</v>
      </c>
      <c r="T110" s="713">
        <f>'min. Düngung 22'!H111</f>
        <v>0</v>
      </c>
      <c r="W110" s="875">
        <f t="shared" si="199"/>
        <v>0</v>
      </c>
      <c r="X110" s="875">
        <f t="shared" si="200"/>
        <v>0</v>
      </c>
      <c r="Y110" s="875">
        <f t="shared" si="201"/>
        <v>0</v>
      </c>
      <c r="Z110" s="875">
        <f t="shared" si="202"/>
        <v>0</v>
      </c>
      <c r="AA110" s="875">
        <f t="shared" si="203"/>
        <v>0</v>
      </c>
      <c r="AB110" s="875" t="str">
        <f t="shared" si="204"/>
        <v/>
      </c>
      <c r="AC110" s="713">
        <f>'min. Düngung 22'!K111</f>
        <v>0</v>
      </c>
      <c r="AD110" s="938"/>
      <c r="AE110" s="938"/>
      <c r="AF110" s="938">
        <f t="shared" si="205"/>
        <v>0</v>
      </c>
      <c r="AG110" s="938">
        <f t="shared" si="206"/>
        <v>0</v>
      </c>
      <c r="AH110" s="938">
        <f t="shared" si="207"/>
        <v>0</v>
      </c>
      <c r="AI110" s="938">
        <f t="shared" si="208"/>
        <v>0</v>
      </c>
      <c r="AJ110" s="938">
        <f t="shared" si="209"/>
        <v>0</v>
      </c>
      <c r="AK110" s="938">
        <f t="shared" si="210"/>
        <v>0</v>
      </c>
      <c r="AL110" s="713">
        <f>'min. Düngung 22'!N111</f>
        <v>0</v>
      </c>
      <c r="AM110" s="938"/>
      <c r="AN110" s="938"/>
      <c r="AO110" s="938">
        <f t="shared" si="211"/>
        <v>0</v>
      </c>
      <c r="AP110" s="938">
        <f t="shared" si="212"/>
        <v>0</v>
      </c>
      <c r="AQ110" s="938">
        <f t="shared" si="213"/>
        <v>0</v>
      </c>
      <c r="AR110" s="938">
        <f t="shared" si="214"/>
        <v>0</v>
      </c>
      <c r="AS110" s="938">
        <f t="shared" si="215"/>
        <v>0</v>
      </c>
      <c r="AT110" s="938" t="str">
        <f t="shared" si="216"/>
        <v/>
      </c>
      <c r="AU110" s="713">
        <f>'min. Düngung 22'!Q111</f>
        <v>0</v>
      </c>
      <c r="AV110" s="938"/>
      <c r="AW110" s="938"/>
      <c r="AX110" s="938">
        <f t="shared" si="217"/>
        <v>0</v>
      </c>
      <c r="AY110" s="938">
        <f t="shared" si="218"/>
        <v>0</v>
      </c>
      <c r="AZ110" s="938">
        <f t="shared" si="219"/>
        <v>0</v>
      </c>
      <c r="BA110" s="938">
        <f t="shared" si="220"/>
        <v>0</v>
      </c>
      <c r="BB110" s="938">
        <f t="shared" si="221"/>
        <v>0</v>
      </c>
      <c r="BC110" s="938" t="str">
        <f t="shared" si="222"/>
        <v/>
      </c>
      <c r="BD110" s="713">
        <f>'min. Düngung 22'!T111</f>
        <v>0</v>
      </c>
      <c r="BE110" s="938"/>
      <c r="BF110" s="938"/>
      <c r="BG110" s="938">
        <f t="shared" si="223"/>
        <v>0</v>
      </c>
      <c r="BH110" s="938">
        <f t="shared" si="224"/>
        <v>0</v>
      </c>
      <c r="BI110" s="938">
        <f t="shared" si="225"/>
        <v>0</v>
      </c>
      <c r="BJ110" s="938">
        <f t="shared" si="226"/>
        <v>0</v>
      </c>
      <c r="BK110" s="938">
        <f t="shared" si="227"/>
        <v>0</v>
      </c>
      <c r="BL110" s="938" t="str">
        <f t="shared" si="228"/>
        <v/>
      </c>
      <c r="BM110" s="713">
        <f>'min. Düngung 22'!W111</f>
        <v>0</v>
      </c>
      <c r="BN110" s="938"/>
      <c r="BO110" s="938"/>
      <c r="BP110" s="938">
        <f t="shared" si="229"/>
        <v>0</v>
      </c>
      <c r="BQ110" s="938">
        <f t="shared" si="230"/>
        <v>0</v>
      </c>
      <c r="BR110" s="938">
        <f t="shared" si="231"/>
        <v>0</v>
      </c>
      <c r="BS110" s="938">
        <f t="shared" si="232"/>
        <v>0</v>
      </c>
      <c r="BT110" s="938">
        <f t="shared" si="233"/>
        <v>0</v>
      </c>
      <c r="BU110" s="938" t="str">
        <f t="shared" si="234"/>
        <v/>
      </c>
      <c r="BV110" s="713">
        <f>'min. Düngung 22'!Z111</f>
        <v>0</v>
      </c>
      <c r="BW110" s="938"/>
      <c r="BX110" s="938"/>
      <c r="BY110" s="938">
        <f t="shared" si="235"/>
        <v>0</v>
      </c>
      <c r="BZ110" s="938">
        <f t="shared" si="236"/>
        <v>0</v>
      </c>
      <c r="CA110" s="938">
        <f t="shared" si="237"/>
        <v>0</v>
      </c>
      <c r="CB110" s="938">
        <f t="shared" si="238"/>
        <v>0</v>
      </c>
      <c r="CC110" s="938">
        <f t="shared" si="239"/>
        <v>0</v>
      </c>
      <c r="CD110" s="938" t="str">
        <f t="shared" si="240"/>
        <v/>
      </c>
      <c r="CE110" s="713">
        <f>'min. Düngung 22'!AC111</f>
        <v>0</v>
      </c>
      <c r="CF110" s="938"/>
      <c r="CG110" s="938"/>
      <c r="CH110" s="938">
        <f t="shared" si="241"/>
        <v>0</v>
      </c>
      <c r="CI110" s="938">
        <f t="shared" si="242"/>
        <v>0</v>
      </c>
      <c r="CJ110" s="938">
        <f t="shared" si="243"/>
        <v>0</v>
      </c>
      <c r="CK110" s="938">
        <f t="shared" si="244"/>
        <v>0</v>
      </c>
      <c r="CL110" s="938">
        <f t="shared" si="245"/>
        <v>0</v>
      </c>
      <c r="CM110" s="938" t="str">
        <f t="shared" si="246"/>
        <v/>
      </c>
      <c r="CN110" s="713">
        <f>'min. Düngung 22'!AF111</f>
        <v>0</v>
      </c>
      <c r="CO110" s="938"/>
      <c r="CP110" s="938"/>
      <c r="CQ110" s="938">
        <f t="shared" si="247"/>
        <v>0</v>
      </c>
      <c r="CR110" s="938">
        <f t="shared" si="248"/>
        <v>0</v>
      </c>
      <c r="CS110" s="938">
        <f t="shared" si="249"/>
        <v>0</v>
      </c>
      <c r="CT110" s="938">
        <f t="shared" si="250"/>
        <v>0</v>
      </c>
      <c r="CU110" s="938">
        <f t="shared" si="251"/>
        <v>0</v>
      </c>
      <c r="CV110" s="938" t="str">
        <f t="shared" si="252"/>
        <v/>
      </c>
      <c r="CW110" s="713">
        <f>'min. Düngung 22'!AI111</f>
        <v>0</v>
      </c>
      <c r="CX110" s="938"/>
      <c r="CY110" s="938"/>
      <c r="CZ110" s="938">
        <f t="shared" si="253"/>
        <v>0</v>
      </c>
      <c r="DA110" s="938">
        <f t="shared" si="254"/>
        <v>0</v>
      </c>
      <c r="DB110" s="938">
        <f t="shared" si="255"/>
        <v>0</v>
      </c>
      <c r="DC110" s="938">
        <f t="shared" si="256"/>
        <v>0</v>
      </c>
      <c r="DD110" s="938">
        <f t="shared" si="257"/>
        <v>0</v>
      </c>
      <c r="DE110" s="938" t="str">
        <f t="shared" si="258"/>
        <v/>
      </c>
      <c r="DF110" s="713">
        <f>'min. Düngung 22'!AL111</f>
        <v>0</v>
      </c>
      <c r="DG110" s="938"/>
      <c r="DH110" s="938"/>
      <c r="DI110" s="938">
        <f t="shared" si="259"/>
        <v>0</v>
      </c>
      <c r="DJ110" s="938">
        <f t="shared" si="260"/>
        <v>0</v>
      </c>
      <c r="DK110" s="938">
        <f t="shared" si="261"/>
        <v>0</v>
      </c>
      <c r="DL110" s="938">
        <f t="shared" si="262"/>
        <v>0</v>
      </c>
      <c r="DM110" s="938">
        <f t="shared" si="263"/>
        <v>0</v>
      </c>
      <c r="DN110" s="938" t="str">
        <f t="shared" si="264"/>
        <v/>
      </c>
      <c r="DO110" s="713">
        <f>'min. Düngung 22'!AO111</f>
        <v>0</v>
      </c>
      <c r="DP110" s="938"/>
      <c r="DQ110" s="938"/>
      <c r="DR110" s="938">
        <f t="shared" si="265"/>
        <v>0</v>
      </c>
      <c r="DS110" s="938">
        <f t="shared" si="266"/>
        <v>0</v>
      </c>
      <c r="DT110" s="938">
        <f t="shared" si="267"/>
        <v>0</v>
      </c>
      <c r="DU110" s="938">
        <f t="shared" si="268"/>
        <v>0</v>
      </c>
      <c r="DV110" s="938">
        <f t="shared" si="269"/>
        <v>0</v>
      </c>
      <c r="DW110" s="938" t="str">
        <f t="shared" si="270"/>
        <v/>
      </c>
      <c r="DX110" s="713">
        <f>'min. Düngung 22'!AR111</f>
        <v>0</v>
      </c>
      <c r="DY110" s="938"/>
      <c r="DZ110" s="938"/>
      <c r="EA110" s="938">
        <f t="shared" si="271"/>
        <v>0</v>
      </c>
      <c r="EB110" s="938">
        <f t="shared" si="272"/>
        <v>0</v>
      </c>
      <c r="EC110" s="938">
        <f t="shared" si="273"/>
        <v>0</v>
      </c>
      <c r="ED110" s="938">
        <f t="shared" si="274"/>
        <v>0</v>
      </c>
      <c r="EE110" s="938">
        <f t="shared" si="275"/>
        <v>0</v>
      </c>
      <c r="EF110" s="938" t="str">
        <f t="shared" si="276"/>
        <v/>
      </c>
      <c r="EG110" s="713">
        <f>'min. Düngung 22'!AU111</f>
        <v>0</v>
      </c>
      <c r="EH110" s="938"/>
      <c r="EI110" s="938"/>
      <c r="EJ110" s="938">
        <f t="shared" si="277"/>
        <v>0</v>
      </c>
      <c r="EK110" s="938">
        <f t="shared" si="278"/>
        <v>0</v>
      </c>
      <c r="EL110" s="938">
        <f t="shared" si="279"/>
        <v>0</v>
      </c>
      <c r="EM110" s="938">
        <f t="shared" si="280"/>
        <v>0</v>
      </c>
      <c r="EN110" s="938">
        <f t="shared" si="281"/>
        <v>0</v>
      </c>
      <c r="EO110" s="938" t="str">
        <f t="shared" si="282"/>
        <v/>
      </c>
      <c r="EP110" s="713">
        <f>'min. Düngung 22'!AX111</f>
        <v>0</v>
      </c>
      <c r="EQ110" s="938"/>
      <c r="ER110" s="938"/>
      <c r="ES110" s="938">
        <f t="shared" si="283"/>
        <v>0</v>
      </c>
      <c r="ET110" s="938">
        <f t="shared" si="284"/>
        <v>0</v>
      </c>
      <c r="EU110" s="938">
        <f t="shared" si="285"/>
        <v>0</v>
      </c>
      <c r="EV110" s="938">
        <f t="shared" si="286"/>
        <v>0</v>
      </c>
      <c r="EW110" s="938">
        <f t="shared" si="287"/>
        <v>0</v>
      </c>
      <c r="EX110" s="938" t="str">
        <f t="shared" si="288"/>
        <v/>
      </c>
      <c r="EY110" s="713">
        <f>'min. Düngung 22'!BA111</f>
        <v>0</v>
      </c>
      <c r="EZ110" s="938"/>
      <c r="FA110" s="938"/>
      <c r="FB110" s="938">
        <f t="shared" si="289"/>
        <v>0</v>
      </c>
      <c r="FC110" s="938">
        <f t="shared" si="290"/>
        <v>0</v>
      </c>
      <c r="FD110" s="938">
        <f t="shared" si="291"/>
        <v>0</v>
      </c>
      <c r="FE110" s="938">
        <f t="shared" si="292"/>
        <v>0</v>
      </c>
      <c r="FF110" s="938">
        <f t="shared" si="293"/>
        <v>0</v>
      </c>
      <c r="FG110" s="938" t="str">
        <f t="shared" si="294"/>
        <v/>
      </c>
      <c r="FH110" s="713">
        <f>'min. Düngung 22'!BD111</f>
        <v>0</v>
      </c>
      <c r="FI110" s="938"/>
      <c r="FJ110" s="938"/>
      <c r="FK110" s="938">
        <f t="shared" si="295"/>
        <v>0</v>
      </c>
      <c r="FL110" s="938">
        <f t="shared" si="296"/>
        <v>0</v>
      </c>
      <c r="FM110" s="938">
        <f t="shared" si="297"/>
        <v>0</v>
      </c>
      <c r="FN110" s="938">
        <f t="shared" si="298"/>
        <v>0</v>
      </c>
      <c r="FO110" s="938">
        <f t="shared" si="299"/>
        <v>0</v>
      </c>
      <c r="FP110" s="938" t="str">
        <f t="shared" si="300"/>
        <v/>
      </c>
      <c r="FQ110" s="713">
        <f>'min. Düngung 22'!BG111</f>
        <v>0</v>
      </c>
      <c r="FR110" s="938"/>
      <c r="FS110" s="938"/>
      <c r="FT110" s="938">
        <f t="shared" si="301"/>
        <v>0</v>
      </c>
      <c r="FU110" s="938">
        <f t="shared" si="302"/>
        <v>0</v>
      </c>
      <c r="FV110" s="938">
        <f t="shared" si="303"/>
        <v>0</v>
      </c>
      <c r="FW110" s="938">
        <f t="shared" si="304"/>
        <v>0</v>
      </c>
      <c r="FX110" s="938">
        <f t="shared" si="305"/>
        <v>0</v>
      </c>
      <c r="FY110" s="938" t="str">
        <f t="shared" si="306"/>
        <v/>
      </c>
      <c r="FZ110" s="713">
        <f>'min. Düngung 22'!BJ111</f>
        <v>0</v>
      </c>
      <c r="GA110" s="938"/>
      <c r="GB110" s="938"/>
      <c r="GC110" s="938">
        <f t="shared" si="307"/>
        <v>0</v>
      </c>
      <c r="GD110" s="938">
        <f t="shared" si="308"/>
        <v>0</v>
      </c>
      <c r="GE110" s="938">
        <f t="shared" si="309"/>
        <v>0</v>
      </c>
      <c r="GF110" s="938">
        <f t="shared" si="310"/>
        <v>0</v>
      </c>
      <c r="GG110" s="938">
        <f t="shared" si="311"/>
        <v>0</v>
      </c>
      <c r="GH110" s="938" t="str">
        <f t="shared" si="312"/>
        <v/>
      </c>
      <c r="GI110" s="713">
        <f>'min. Düngung 22'!BM111</f>
        <v>0</v>
      </c>
      <c r="GJ110" s="938"/>
      <c r="GK110" s="938"/>
      <c r="GL110" s="938">
        <f t="shared" si="313"/>
        <v>0</v>
      </c>
      <c r="GM110" s="938">
        <f t="shared" si="314"/>
        <v>0</v>
      </c>
      <c r="GN110" s="938">
        <f t="shared" si="315"/>
        <v>0</v>
      </c>
      <c r="GO110" s="938">
        <f t="shared" si="316"/>
        <v>0</v>
      </c>
      <c r="GP110" s="938">
        <f t="shared" si="317"/>
        <v>0</v>
      </c>
      <c r="GQ110" s="938" t="str">
        <f t="shared" si="318"/>
        <v/>
      </c>
      <c r="GR110" s="713">
        <f>'min. Düngung 22'!BP111</f>
        <v>0</v>
      </c>
      <c r="GS110" s="938"/>
      <c r="GT110" s="938"/>
      <c r="GU110" s="938">
        <f t="shared" si="319"/>
        <v>0</v>
      </c>
      <c r="GV110" s="938">
        <f t="shared" si="320"/>
        <v>0</v>
      </c>
      <c r="GW110" s="938">
        <f t="shared" si="321"/>
        <v>0</v>
      </c>
      <c r="GX110" s="938">
        <f t="shared" si="322"/>
        <v>0</v>
      </c>
      <c r="GY110" s="938">
        <f t="shared" si="323"/>
        <v>0</v>
      </c>
      <c r="GZ110" s="938" t="str">
        <f t="shared" si="324"/>
        <v/>
      </c>
      <c r="HA110" s="713">
        <f>'min. Düngung 22'!BS111</f>
        <v>0</v>
      </c>
      <c r="HB110" s="938"/>
      <c r="HC110" s="938"/>
      <c r="HD110" s="938">
        <f t="shared" si="325"/>
        <v>0</v>
      </c>
      <c r="HE110" s="938">
        <f t="shared" si="326"/>
        <v>0</v>
      </c>
      <c r="HF110" s="938">
        <f t="shared" si="327"/>
        <v>0</v>
      </c>
      <c r="HG110" s="938">
        <f t="shared" si="328"/>
        <v>0</v>
      </c>
      <c r="HH110" s="938">
        <f t="shared" si="329"/>
        <v>0</v>
      </c>
      <c r="HI110" s="938" t="str">
        <f t="shared" si="330"/>
        <v/>
      </c>
      <c r="HJ110" s="713">
        <f>'min. Düngung 22'!BV111</f>
        <v>0</v>
      </c>
      <c r="HK110" s="938"/>
      <c r="HL110" s="938"/>
      <c r="HM110" s="938">
        <f t="shared" si="331"/>
        <v>0</v>
      </c>
      <c r="HN110" s="938">
        <f t="shared" si="332"/>
        <v>0</v>
      </c>
      <c r="HO110" s="938">
        <f t="shared" si="333"/>
        <v>0</v>
      </c>
      <c r="HP110" s="938">
        <f t="shared" si="334"/>
        <v>0</v>
      </c>
      <c r="HQ110" s="938">
        <f t="shared" si="335"/>
        <v>0</v>
      </c>
      <c r="HR110" s="938" t="str">
        <f t="shared" si="336"/>
        <v/>
      </c>
      <c r="HS110" s="713">
        <f>'min. Düngung 22'!BY111</f>
        <v>0</v>
      </c>
      <c r="HT110" s="938"/>
      <c r="HU110" s="938"/>
      <c r="HV110" s="938">
        <f t="shared" si="337"/>
        <v>0</v>
      </c>
      <c r="HW110" s="938">
        <f t="shared" si="338"/>
        <v>0</v>
      </c>
      <c r="HX110" s="938">
        <f t="shared" si="339"/>
        <v>0</v>
      </c>
      <c r="HY110" s="938">
        <f t="shared" si="340"/>
        <v>0</v>
      </c>
      <c r="HZ110" s="938">
        <f t="shared" si="341"/>
        <v>0</v>
      </c>
      <c r="IA110" s="938" t="str">
        <f t="shared" si="342"/>
        <v/>
      </c>
      <c r="IB110" s="713">
        <f>'min. Düngung 22'!CB111</f>
        <v>0</v>
      </c>
      <c r="IC110" s="938"/>
      <c r="ID110" s="938"/>
      <c r="IE110" s="938">
        <f t="shared" si="343"/>
        <v>0</v>
      </c>
      <c r="IF110" s="938">
        <f t="shared" si="344"/>
        <v>0</v>
      </c>
      <c r="IG110" s="938">
        <f t="shared" si="345"/>
        <v>0</v>
      </c>
      <c r="IH110" s="938">
        <f t="shared" si="346"/>
        <v>0</v>
      </c>
      <c r="II110" s="938">
        <f t="shared" si="347"/>
        <v>0</v>
      </c>
      <c r="IJ110" s="938" t="str">
        <f t="shared" si="348"/>
        <v/>
      </c>
      <c r="IK110" s="713">
        <f>'min. Düngung 22'!CE111</f>
        <v>0</v>
      </c>
      <c r="IL110" s="938"/>
      <c r="IM110" s="938"/>
      <c r="IN110" s="938">
        <f t="shared" si="349"/>
        <v>0</v>
      </c>
      <c r="IO110" s="938">
        <f t="shared" si="350"/>
        <v>0</v>
      </c>
      <c r="IP110" s="938">
        <f t="shared" si="351"/>
        <v>0</v>
      </c>
      <c r="IQ110" s="938">
        <f t="shared" si="352"/>
        <v>0</v>
      </c>
      <c r="IR110" s="938">
        <f t="shared" si="353"/>
        <v>0</v>
      </c>
      <c r="IS110" s="938" t="str">
        <f t="shared" si="354"/>
        <v/>
      </c>
      <c r="IT110" s="713">
        <f>'min. Düngung 22'!CH111</f>
        <v>0</v>
      </c>
      <c r="IU110" s="938"/>
      <c r="IV110" s="938"/>
      <c r="IW110" s="938">
        <f t="shared" si="355"/>
        <v>0</v>
      </c>
      <c r="IX110" s="938">
        <f t="shared" si="356"/>
        <v>0</v>
      </c>
      <c r="IY110" s="938">
        <f t="shared" si="357"/>
        <v>0</v>
      </c>
      <c r="IZ110" s="938">
        <f t="shared" si="358"/>
        <v>0</v>
      </c>
      <c r="JA110" s="938">
        <f t="shared" si="359"/>
        <v>0</v>
      </c>
      <c r="JB110" s="938" t="str">
        <f t="shared" si="360"/>
        <v/>
      </c>
      <c r="JC110" s="713">
        <f>'min. Düngung 22'!CK111</f>
        <v>0</v>
      </c>
      <c r="JD110" s="938"/>
      <c r="JE110" s="938"/>
      <c r="JF110" s="938">
        <f t="shared" si="361"/>
        <v>0</v>
      </c>
      <c r="JG110" s="938">
        <f t="shared" si="362"/>
        <v>0</v>
      </c>
      <c r="JH110" s="938">
        <f t="shared" si="363"/>
        <v>0</v>
      </c>
      <c r="JI110" s="938">
        <f t="shared" si="364"/>
        <v>0</v>
      </c>
      <c r="JJ110" s="938">
        <f t="shared" si="365"/>
        <v>0</v>
      </c>
      <c r="JK110" s="938" t="str">
        <f t="shared" si="366"/>
        <v/>
      </c>
      <c r="JL110" s="713">
        <f>'min. Düngung 22'!CN111</f>
        <v>0</v>
      </c>
      <c r="JM110" s="938"/>
      <c r="JN110" s="938"/>
      <c r="JO110" s="938">
        <f t="shared" si="367"/>
        <v>0</v>
      </c>
      <c r="JP110" s="938">
        <f t="shared" si="368"/>
        <v>0</v>
      </c>
      <c r="JQ110" s="938">
        <f t="shared" si="369"/>
        <v>0</v>
      </c>
      <c r="JR110" s="938">
        <f t="shared" si="370"/>
        <v>0</v>
      </c>
      <c r="JS110" s="938">
        <f t="shared" si="371"/>
        <v>0</v>
      </c>
      <c r="JT110" s="938" t="str">
        <f t="shared" si="372"/>
        <v/>
      </c>
      <c r="JU110" s="713">
        <f>'min. Düngung 22'!CQ111</f>
        <v>0</v>
      </c>
      <c r="JV110" s="938"/>
      <c r="JW110" s="938"/>
      <c r="JX110" s="938">
        <f t="shared" si="373"/>
        <v>0</v>
      </c>
      <c r="JY110" s="938">
        <f t="shared" si="374"/>
        <v>0</v>
      </c>
      <c r="JZ110" s="938">
        <f t="shared" si="375"/>
        <v>0</v>
      </c>
      <c r="KA110" s="938">
        <f t="shared" si="376"/>
        <v>0</v>
      </c>
      <c r="KB110" s="938">
        <f t="shared" si="377"/>
        <v>0</v>
      </c>
      <c r="KC110" s="938" t="str">
        <f t="shared" si="378"/>
        <v/>
      </c>
      <c r="KE110" s="938"/>
      <c r="KF110" s="938" t="str">
        <f>IF(AND($F110=2,$G110=1),"",IF(OR($Q110&gt;0,$O110&gt;60),$KF$7,IF(I110=70,"",IF(AND(I110=80,R110+'#orgDung'!AC113&lt;60,K110=1,OR(C110=2,'#BerechnungDBE'!AH104=4)),"",IF(R110&gt;0,$KF$7,"")))))</f>
        <v/>
      </c>
      <c r="KG110" s="938" t="str">
        <f>IF(AND(P110&gt;'#BerechnungDBE'!BJ104,P110&gt;0),'#minDung'!$KG$7,"")</f>
        <v/>
      </c>
      <c r="KH110" s="938" t="str">
        <f>IF(AND(I110=70,R110&gt;'#BerechnungDBE'!CR104),'#minDung'!$KH$7,"")</f>
        <v/>
      </c>
      <c r="KI110" s="938" t="str">
        <f>IF('#BerechnungDBE'!P104&lt;4,"",IF(AND('#BerechnungDBE'!BZ104&gt;0,N110&gt;0),$KI$7,""))</f>
        <v/>
      </c>
      <c r="KJ110" s="938" t="str">
        <f t="shared" si="197"/>
        <v/>
      </c>
    </row>
    <row r="111" spans="1:296" x14ac:dyDescent="0.2">
      <c r="S111" s="714"/>
      <c r="T111" s="714"/>
      <c r="AC111" s="714"/>
      <c r="AD111" s="938"/>
      <c r="AE111" s="938"/>
      <c r="AF111" s="938"/>
      <c r="AG111" s="938"/>
      <c r="AH111" s="938"/>
      <c r="AI111" s="938"/>
      <c r="AJ111" s="938"/>
      <c r="AK111" s="938"/>
      <c r="AL111" s="714"/>
      <c r="AM111" s="938"/>
      <c r="AN111" s="938"/>
      <c r="AO111" s="938"/>
      <c r="AP111" s="938"/>
      <c r="AQ111" s="938"/>
      <c r="AR111" s="938"/>
      <c r="AS111" s="938"/>
      <c r="AT111" s="938"/>
      <c r="AU111" s="714"/>
      <c r="AV111" s="938"/>
      <c r="AW111" s="938"/>
      <c r="AX111" s="938"/>
      <c r="AY111" s="938"/>
      <c r="AZ111" s="938"/>
      <c r="BA111" s="938"/>
      <c r="BB111" s="938"/>
      <c r="BC111" s="938"/>
      <c r="BD111" s="714"/>
      <c r="BE111" s="938"/>
      <c r="BF111" s="938"/>
      <c r="BG111" s="938"/>
      <c r="BH111" s="938"/>
      <c r="BI111" s="938"/>
      <c r="BJ111" s="938"/>
      <c r="BK111" s="938"/>
      <c r="BL111" s="938"/>
      <c r="BM111" s="714"/>
      <c r="BN111" s="938"/>
      <c r="BO111" s="938"/>
      <c r="BP111" s="938"/>
      <c r="BQ111" s="938"/>
      <c r="BR111" s="938"/>
      <c r="BS111" s="938"/>
      <c r="BT111" s="938"/>
      <c r="BU111" s="938"/>
      <c r="BV111" s="714"/>
      <c r="BW111" s="938"/>
      <c r="BX111" s="938"/>
      <c r="BY111" s="938"/>
      <c r="BZ111" s="938"/>
      <c r="CA111" s="938"/>
      <c r="CB111" s="938"/>
      <c r="CC111" s="938"/>
      <c r="CD111" s="938"/>
      <c r="CE111" s="714"/>
      <c r="CF111" s="938"/>
      <c r="CG111" s="938"/>
      <c r="CH111" s="938"/>
      <c r="CI111" s="938"/>
      <c r="CJ111" s="938"/>
      <c r="CK111" s="938"/>
      <c r="CL111" s="938"/>
      <c r="CM111" s="938"/>
      <c r="CN111" s="714"/>
      <c r="CO111" s="938"/>
      <c r="CP111" s="938"/>
      <c r="CQ111" s="938"/>
      <c r="CR111" s="938"/>
      <c r="CS111" s="938"/>
      <c r="CT111" s="938"/>
      <c r="CU111" s="938"/>
      <c r="CV111" s="938"/>
      <c r="CW111" s="714"/>
      <c r="CX111" s="938"/>
      <c r="CY111" s="938"/>
      <c r="CZ111" s="938"/>
      <c r="DA111" s="938"/>
      <c r="DB111" s="938"/>
      <c r="DC111" s="938"/>
      <c r="DD111" s="938"/>
      <c r="DE111" s="938"/>
      <c r="DF111" s="714"/>
      <c r="DG111" s="938"/>
      <c r="DH111" s="938"/>
      <c r="DI111" s="938"/>
      <c r="DJ111" s="938"/>
      <c r="DK111" s="938"/>
      <c r="DL111" s="938"/>
      <c r="DM111" s="938"/>
      <c r="DN111" s="938"/>
      <c r="DO111" s="714"/>
      <c r="DP111" s="938"/>
      <c r="DQ111" s="938"/>
      <c r="DR111" s="938"/>
      <c r="DS111" s="938"/>
      <c r="DT111" s="938"/>
      <c r="DU111" s="938"/>
      <c r="DV111" s="938"/>
      <c r="DW111" s="938"/>
      <c r="DX111" s="714"/>
      <c r="DY111" s="938"/>
      <c r="DZ111" s="938"/>
      <c r="EA111" s="938"/>
      <c r="EB111" s="938"/>
      <c r="EC111" s="938"/>
      <c r="ED111" s="938"/>
      <c r="EE111" s="938"/>
      <c r="EF111" s="938"/>
      <c r="EG111" s="714"/>
      <c r="EH111" s="938"/>
      <c r="EI111" s="938"/>
      <c r="EJ111" s="938"/>
      <c r="EK111" s="938"/>
      <c r="EL111" s="938"/>
      <c r="EM111" s="938"/>
      <c r="EN111" s="938"/>
      <c r="EO111" s="938"/>
      <c r="EP111" s="714"/>
      <c r="EQ111" s="938"/>
      <c r="ER111" s="938"/>
      <c r="ES111" s="938"/>
      <c r="ET111" s="938"/>
      <c r="EU111" s="938"/>
      <c r="EV111" s="938"/>
      <c r="EW111" s="938"/>
      <c r="EX111" s="938"/>
      <c r="EY111" s="714"/>
      <c r="EZ111" s="938"/>
      <c r="FA111" s="938"/>
      <c r="FB111" s="938"/>
      <c r="FC111" s="938"/>
      <c r="FD111" s="938"/>
      <c r="FE111" s="938"/>
      <c r="FF111" s="938"/>
      <c r="FG111" s="938"/>
      <c r="FH111" s="714"/>
      <c r="FI111" s="938"/>
      <c r="FJ111" s="938"/>
      <c r="FK111" s="938"/>
      <c r="FL111" s="938"/>
      <c r="FM111" s="938"/>
      <c r="FN111" s="938"/>
      <c r="FO111" s="938"/>
      <c r="FP111" s="938"/>
      <c r="FQ111" s="714"/>
      <c r="FR111" s="938"/>
      <c r="FS111" s="938"/>
      <c r="FT111" s="938"/>
      <c r="FU111" s="938"/>
      <c r="FV111" s="938"/>
      <c r="FW111" s="938"/>
      <c r="FX111" s="938"/>
      <c r="FY111" s="938"/>
      <c r="FZ111" s="714"/>
      <c r="GA111" s="938"/>
      <c r="GB111" s="938"/>
      <c r="GC111" s="938"/>
      <c r="GD111" s="938"/>
      <c r="GE111" s="938"/>
      <c r="GF111" s="938"/>
      <c r="GG111" s="938"/>
      <c r="GH111" s="938"/>
      <c r="GI111" s="714"/>
      <c r="GJ111" s="938"/>
      <c r="GK111" s="938"/>
      <c r="GL111" s="938"/>
      <c r="GM111" s="938"/>
      <c r="GN111" s="938"/>
      <c r="GO111" s="938"/>
      <c r="GP111" s="938"/>
      <c r="GQ111" s="938"/>
      <c r="GR111" s="714"/>
      <c r="GS111" s="938"/>
      <c r="GT111" s="938"/>
      <c r="GU111" s="938"/>
      <c r="GV111" s="938"/>
      <c r="GW111" s="938"/>
      <c r="GX111" s="938"/>
      <c r="GY111" s="938"/>
      <c r="GZ111" s="938"/>
      <c r="HA111" s="714"/>
      <c r="HB111" s="938"/>
      <c r="HC111" s="938"/>
      <c r="HD111" s="938"/>
      <c r="HE111" s="938"/>
      <c r="HF111" s="938"/>
      <c r="HG111" s="938"/>
      <c r="HH111" s="938"/>
      <c r="HI111" s="938"/>
      <c r="HJ111" s="714"/>
      <c r="HK111" s="938"/>
      <c r="HL111" s="938"/>
      <c r="HM111" s="938"/>
      <c r="HN111" s="938"/>
      <c r="HO111" s="938"/>
      <c r="HP111" s="938"/>
      <c r="HQ111" s="938"/>
      <c r="HR111" s="938"/>
      <c r="HS111" s="714"/>
      <c r="HT111" s="938"/>
      <c r="HU111" s="938"/>
      <c r="HV111" s="938"/>
      <c r="HW111" s="938"/>
      <c r="HX111" s="938"/>
      <c r="HY111" s="938"/>
      <c r="HZ111" s="938"/>
      <c r="IA111" s="938"/>
      <c r="IB111" s="714"/>
      <c r="IC111" s="938"/>
      <c r="ID111" s="938"/>
      <c r="IE111" s="938"/>
      <c r="IF111" s="938"/>
      <c r="IG111" s="938"/>
      <c r="IH111" s="938"/>
      <c r="II111" s="938"/>
      <c r="IJ111" s="938"/>
      <c r="IK111" s="714"/>
      <c r="IL111" s="938"/>
      <c r="IM111" s="938"/>
      <c r="IN111" s="938"/>
      <c r="IO111" s="938"/>
      <c r="IP111" s="938"/>
      <c r="IQ111" s="938"/>
      <c r="IR111" s="938"/>
      <c r="IS111" s="938"/>
      <c r="IT111" s="714"/>
      <c r="IU111" s="938"/>
      <c r="IV111" s="938"/>
      <c r="IW111" s="938"/>
      <c r="IX111" s="938"/>
      <c r="IY111" s="938"/>
      <c r="IZ111" s="938"/>
      <c r="JA111" s="938"/>
      <c r="JB111" s="938"/>
      <c r="JC111" s="714"/>
      <c r="JD111" s="938"/>
      <c r="JE111" s="938"/>
      <c r="JF111" s="938"/>
      <c r="JG111" s="938"/>
      <c r="JH111" s="938"/>
      <c r="JI111" s="938"/>
      <c r="JJ111" s="938"/>
      <c r="JK111" s="938"/>
      <c r="JL111" s="714"/>
      <c r="JM111" s="938"/>
      <c r="JN111" s="938"/>
      <c r="JO111" s="938"/>
      <c r="JP111" s="938"/>
      <c r="JQ111" s="938"/>
      <c r="JR111" s="938"/>
      <c r="JS111" s="938"/>
      <c r="JT111" s="938"/>
      <c r="JU111" s="714"/>
      <c r="JV111" s="938"/>
      <c r="JW111" s="938"/>
      <c r="JX111" s="938"/>
      <c r="JY111" s="938"/>
      <c r="JZ111" s="938"/>
      <c r="KA111" s="938"/>
      <c r="KB111" s="938"/>
      <c r="KC111" s="938"/>
    </row>
    <row r="112" spans="1:296" x14ac:dyDescent="0.2">
      <c r="S112" s="716" t="s">
        <v>1385</v>
      </c>
      <c r="T112" s="714">
        <f>SUM(T11:T110)</f>
        <v>0</v>
      </c>
      <c r="AC112" s="714">
        <f>SUM(AC11:AC110)</f>
        <v>0</v>
      </c>
      <c r="AD112" s="938"/>
      <c r="AE112" s="938"/>
      <c r="AF112" s="938"/>
      <c r="AG112" s="938"/>
      <c r="AH112" s="938"/>
      <c r="AI112" s="938"/>
      <c r="AJ112" s="938"/>
      <c r="AK112" s="938"/>
      <c r="AL112" s="714">
        <f>SUM(AL11:AL110)</f>
        <v>0</v>
      </c>
      <c r="AM112" s="938"/>
      <c r="AN112" s="938"/>
      <c r="AO112" s="938"/>
      <c r="AP112" s="938"/>
      <c r="AQ112" s="938"/>
      <c r="AR112" s="938"/>
      <c r="AS112" s="938"/>
      <c r="AT112" s="938"/>
      <c r="AU112" s="714">
        <f>SUM(AU11:AU110)</f>
        <v>0</v>
      </c>
      <c r="AV112" s="938"/>
      <c r="AW112" s="938"/>
      <c r="AX112" s="938"/>
      <c r="AY112" s="938"/>
      <c r="AZ112" s="938"/>
      <c r="BA112" s="938"/>
      <c r="BB112" s="938"/>
      <c r="BC112" s="938"/>
      <c r="BD112" s="714">
        <f>SUM(BD11:BD110)</f>
        <v>0</v>
      </c>
      <c r="BE112" s="938"/>
      <c r="BF112" s="938"/>
      <c r="BG112" s="938"/>
      <c r="BH112" s="938"/>
      <c r="BI112" s="938"/>
      <c r="BJ112" s="938"/>
      <c r="BK112" s="938"/>
      <c r="BL112" s="938"/>
      <c r="BM112" s="714">
        <f>SUM(BM11:BM110)</f>
        <v>0</v>
      </c>
      <c r="BN112" s="938"/>
      <c r="BO112" s="938"/>
      <c r="BP112" s="938"/>
      <c r="BQ112" s="938"/>
      <c r="BR112" s="938"/>
      <c r="BS112" s="938"/>
      <c r="BT112" s="938"/>
      <c r="BU112" s="938"/>
      <c r="BV112" s="714">
        <f>SUM(BV11:BV110)</f>
        <v>0</v>
      </c>
      <c r="BW112" s="938"/>
      <c r="BX112" s="938"/>
      <c r="BY112" s="938"/>
      <c r="BZ112" s="938"/>
      <c r="CA112" s="938"/>
      <c r="CB112" s="938"/>
      <c r="CC112" s="938"/>
      <c r="CD112" s="938"/>
      <c r="CE112" s="714">
        <f>SUM(CE11:CE110)</f>
        <v>0</v>
      </c>
      <c r="CF112" s="938"/>
      <c r="CG112" s="938"/>
      <c r="CH112" s="938"/>
      <c r="CI112" s="938"/>
      <c r="CJ112" s="938"/>
      <c r="CK112" s="938"/>
      <c r="CL112" s="938"/>
      <c r="CM112" s="938"/>
      <c r="CN112" s="714">
        <f>SUM(CN11:CN110)</f>
        <v>0</v>
      </c>
      <c r="CO112" s="938"/>
      <c r="CP112" s="938"/>
      <c r="CQ112" s="938"/>
      <c r="CR112" s="938"/>
      <c r="CS112" s="938"/>
      <c r="CT112" s="938"/>
      <c r="CU112" s="938"/>
      <c r="CV112" s="938"/>
      <c r="CW112" s="714">
        <f>SUM(CW11:CW110)</f>
        <v>0</v>
      </c>
      <c r="CX112" s="938"/>
      <c r="CY112" s="938"/>
      <c r="CZ112" s="938"/>
      <c r="DA112" s="938"/>
      <c r="DB112" s="938"/>
      <c r="DC112" s="938"/>
      <c r="DD112" s="938"/>
      <c r="DE112" s="938"/>
      <c r="DF112" s="714">
        <f>SUM(DF11:DF110)</f>
        <v>0</v>
      </c>
      <c r="DG112" s="938"/>
      <c r="DH112" s="938"/>
      <c r="DI112" s="938"/>
      <c r="DJ112" s="938"/>
      <c r="DK112" s="938"/>
      <c r="DL112" s="938"/>
      <c r="DM112" s="938"/>
      <c r="DN112" s="938"/>
      <c r="DO112" s="714">
        <f>SUM(DO11:DO110)</f>
        <v>0</v>
      </c>
      <c r="DP112" s="938"/>
      <c r="DQ112" s="938"/>
      <c r="DR112" s="938"/>
      <c r="DS112" s="938"/>
      <c r="DT112" s="938"/>
      <c r="DU112" s="938"/>
      <c r="DV112" s="938"/>
      <c r="DW112" s="938"/>
      <c r="DX112" s="714">
        <f>SUM(DX11:DX110)</f>
        <v>0</v>
      </c>
      <c r="DY112" s="938"/>
      <c r="DZ112" s="938"/>
      <c r="EA112" s="938"/>
      <c r="EB112" s="938"/>
      <c r="EC112" s="938"/>
      <c r="ED112" s="938"/>
      <c r="EE112" s="938"/>
      <c r="EF112" s="938"/>
      <c r="EG112" s="714">
        <f>SUM(EG11:EG110)</f>
        <v>0</v>
      </c>
      <c r="EH112" s="938"/>
      <c r="EI112" s="938"/>
      <c r="EJ112" s="938"/>
      <c r="EK112" s="938"/>
      <c r="EL112" s="938"/>
      <c r="EM112" s="938"/>
      <c r="EN112" s="938"/>
      <c r="EO112" s="938"/>
      <c r="EP112" s="714">
        <f>SUM(EP11:EP110)</f>
        <v>0</v>
      </c>
      <c r="EQ112" s="938"/>
      <c r="ER112" s="938"/>
      <c r="ES112" s="938"/>
      <c r="ET112" s="938"/>
      <c r="EU112" s="938"/>
      <c r="EV112" s="938"/>
      <c r="EW112" s="938"/>
      <c r="EX112" s="938"/>
      <c r="EY112" s="714">
        <f>SUM(EY11:EY110)</f>
        <v>0</v>
      </c>
      <c r="EZ112" s="938"/>
      <c r="FA112" s="938"/>
      <c r="FB112" s="938"/>
      <c r="FC112" s="938"/>
      <c r="FD112" s="938"/>
      <c r="FE112" s="938"/>
      <c r="FF112" s="938"/>
      <c r="FG112" s="938"/>
      <c r="FH112" s="714">
        <f>SUM(FH11:FH110)</f>
        <v>0</v>
      </c>
      <c r="FI112" s="938"/>
      <c r="FJ112" s="938"/>
      <c r="FK112" s="938"/>
      <c r="FL112" s="938"/>
      <c r="FM112" s="938"/>
      <c r="FN112" s="938"/>
      <c r="FO112" s="938"/>
      <c r="FP112" s="938"/>
      <c r="FQ112" s="714">
        <f>SUM(FQ11:FQ110)</f>
        <v>0</v>
      </c>
      <c r="FR112" s="938"/>
      <c r="FS112" s="938"/>
      <c r="FT112" s="938"/>
      <c r="FU112" s="938"/>
      <c r="FV112" s="938"/>
      <c r="FW112" s="938"/>
      <c r="FX112" s="938"/>
      <c r="FY112" s="938"/>
      <c r="FZ112" s="714">
        <f>SUM(FZ11:FZ110)</f>
        <v>0</v>
      </c>
      <c r="GA112" s="938"/>
      <c r="GB112" s="938"/>
      <c r="GC112" s="938"/>
      <c r="GD112" s="938"/>
      <c r="GE112" s="938"/>
      <c r="GF112" s="938"/>
      <c r="GG112" s="938"/>
      <c r="GH112" s="938"/>
      <c r="GI112" s="714">
        <f>SUM(GI11:GI110)</f>
        <v>0</v>
      </c>
      <c r="GJ112" s="938"/>
      <c r="GK112" s="938"/>
      <c r="GL112" s="938"/>
      <c r="GM112" s="938"/>
      <c r="GN112" s="938"/>
      <c r="GO112" s="938"/>
      <c r="GP112" s="938"/>
      <c r="GQ112" s="938"/>
      <c r="GR112" s="714">
        <f>SUM(GR11:GR110)</f>
        <v>0</v>
      </c>
      <c r="GS112" s="938"/>
      <c r="GT112" s="938"/>
      <c r="GU112" s="938"/>
      <c r="GV112" s="938"/>
      <c r="GW112" s="938"/>
      <c r="GX112" s="938"/>
      <c r="GY112" s="938"/>
      <c r="GZ112" s="938"/>
      <c r="HA112" s="714">
        <f>SUM(HA11:HA110)</f>
        <v>0</v>
      </c>
      <c r="HB112" s="938"/>
      <c r="HC112" s="938"/>
      <c r="HD112" s="938"/>
      <c r="HE112" s="938"/>
      <c r="HF112" s="938"/>
      <c r="HG112" s="938"/>
      <c r="HH112" s="938"/>
      <c r="HI112" s="938"/>
      <c r="HJ112" s="714">
        <f>SUM(HJ11:HJ110)</f>
        <v>0</v>
      </c>
      <c r="HK112" s="938"/>
      <c r="HL112" s="938"/>
      <c r="HM112" s="938"/>
      <c r="HN112" s="938"/>
      <c r="HO112" s="938"/>
      <c r="HP112" s="938"/>
      <c r="HQ112" s="938"/>
      <c r="HR112" s="938"/>
      <c r="HS112" s="714">
        <f>SUM(HS11:HS110)</f>
        <v>0</v>
      </c>
      <c r="HT112" s="938"/>
      <c r="HU112" s="938"/>
      <c r="HV112" s="938"/>
      <c r="HW112" s="938"/>
      <c r="HX112" s="938"/>
      <c r="HY112" s="938"/>
      <c r="HZ112" s="938"/>
      <c r="IA112" s="938"/>
      <c r="IB112" s="714">
        <f>SUM(IB11:IB110)</f>
        <v>0</v>
      </c>
      <c r="IC112" s="938"/>
      <c r="ID112" s="938"/>
      <c r="IE112" s="938"/>
      <c r="IF112" s="938"/>
      <c r="IG112" s="938"/>
      <c r="IH112" s="938"/>
      <c r="II112" s="938"/>
      <c r="IJ112" s="938"/>
      <c r="IK112" s="714">
        <f>SUM(IK11:IK110)</f>
        <v>0</v>
      </c>
      <c r="IL112" s="938"/>
      <c r="IM112" s="938"/>
      <c r="IN112" s="938"/>
      <c r="IO112" s="938"/>
      <c r="IP112" s="938"/>
      <c r="IQ112" s="938"/>
      <c r="IR112" s="938"/>
      <c r="IS112" s="938"/>
      <c r="IT112" s="714">
        <f>SUM(IT11:IT110)</f>
        <v>0</v>
      </c>
      <c r="IU112" s="938"/>
      <c r="IV112" s="938"/>
      <c r="IW112" s="938"/>
      <c r="IX112" s="938"/>
      <c r="IY112" s="938"/>
      <c r="IZ112" s="938"/>
      <c r="JA112" s="938"/>
      <c r="JB112" s="938"/>
      <c r="JC112" s="714">
        <f>SUM(JC11:JC110)</f>
        <v>0</v>
      </c>
      <c r="JD112" s="938"/>
      <c r="JE112" s="938"/>
      <c r="JF112" s="938"/>
      <c r="JG112" s="938"/>
      <c r="JH112" s="938"/>
      <c r="JI112" s="938"/>
      <c r="JJ112" s="938"/>
      <c r="JK112" s="938"/>
      <c r="JL112" s="714">
        <f>SUM(JL11:JL110)</f>
        <v>0</v>
      </c>
      <c r="JM112" s="938"/>
      <c r="JN112" s="938"/>
      <c r="JO112" s="938"/>
      <c r="JP112" s="938"/>
      <c r="JQ112" s="938"/>
      <c r="JR112" s="938"/>
      <c r="JS112" s="938"/>
      <c r="JT112" s="938"/>
      <c r="JU112" s="714">
        <f>SUM(JU11:JU110)</f>
        <v>0</v>
      </c>
      <c r="JV112" s="938"/>
      <c r="JW112" s="938"/>
      <c r="JX112" s="938"/>
      <c r="JY112" s="938"/>
      <c r="JZ112" s="938"/>
      <c r="KA112" s="938"/>
      <c r="KB112" s="938"/>
      <c r="KC112" s="938"/>
    </row>
    <row r="113" spans="11:294" x14ac:dyDescent="0.2">
      <c r="AD113" s="938"/>
      <c r="AE113" s="938"/>
      <c r="AF113" s="938"/>
      <c r="AG113" s="938"/>
      <c r="AH113" s="938"/>
      <c r="AI113" s="938"/>
      <c r="AJ113" s="938"/>
      <c r="AK113" s="938"/>
      <c r="AM113" s="938"/>
      <c r="AN113" s="938"/>
      <c r="AO113" s="938"/>
      <c r="AP113" s="938"/>
      <c r="AQ113" s="938"/>
      <c r="AR113" s="938"/>
      <c r="AS113" s="938"/>
      <c r="AT113" s="938"/>
      <c r="AV113" s="938"/>
      <c r="AW113" s="938"/>
      <c r="AX113" s="938"/>
      <c r="AY113" s="938"/>
      <c r="AZ113" s="938"/>
      <c r="BA113" s="938"/>
      <c r="BB113" s="938"/>
      <c r="BC113" s="938"/>
      <c r="BE113" s="938"/>
      <c r="BF113" s="938"/>
      <c r="BG113" s="938"/>
      <c r="BH113" s="938"/>
      <c r="BI113" s="938"/>
      <c r="BJ113" s="938"/>
      <c r="BK113" s="938"/>
      <c r="BL113" s="938"/>
      <c r="BN113" s="938"/>
      <c r="BO113" s="938"/>
      <c r="BP113" s="938"/>
      <c r="BQ113" s="938"/>
      <c r="BR113" s="938"/>
      <c r="BS113" s="938"/>
      <c r="BT113" s="938"/>
      <c r="BU113" s="938"/>
      <c r="BW113" s="938"/>
      <c r="BX113" s="938"/>
      <c r="BY113" s="938"/>
      <c r="BZ113" s="938"/>
      <c r="CA113" s="938"/>
      <c r="CB113" s="938"/>
      <c r="CC113" s="938"/>
      <c r="CD113" s="938"/>
      <c r="CF113" s="938"/>
      <c r="CG113" s="938"/>
      <c r="CH113" s="938"/>
      <c r="CI113" s="938"/>
      <c r="CJ113" s="938"/>
      <c r="CK113" s="938"/>
      <c r="CL113" s="938"/>
      <c r="CM113" s="938"/>
      <c r="CO113" s="938"/>
      <c r="CP113" s="938"/>
      <c r="CQ113" s="938"/>
      <c r="CR113" s="938"/>
      <c r="CS113" s="938"/>
      <c r="CT113" s="938"/>
      <c r="CU113" s="938"/>
      <c r="CV113" s="938"/>
      <c r="CX113" s="938"/>
      <c r="CY113" s="938"/>
      <c r="CZ113" s="938"/>
      <c r="DA113" s="938"/>
      <c r="DB113" s="938"/>
      <c r="DC113" s="938"/>
      <c r="DD113" s="938"/>
      <c r="DE113" s="938"/>
      <c r="DG113" s="938"/>
      <c r="DH113" s="938"/>
      <c r="DI113" s="938"/>
      <c r="DJ113" s="938"/>
      <c r="DK113" s="938"/>
      <c r="DL113" s="938"/>
      <c r="DM113" s="938"/>
      <c r="DN113" s="938"/>
      <c r="DP113" s="938"/>
      <c r="DQ113" s="938"/>
      <c r="DR113" s="938"/>
      <c r="DS113" s="938"/>
      <c r="DT113" s="938"/>
      <c r="DU113" s="938"/>
      <c r="DV113" s="938"/>
      <c r="DW113" s="938"/>
      <c r="DY113" s="938"/>
      <c r="DZ113" s="938"/>
      <c r="EA113" s="938"/>
      <c r="EB113" s="938"/>
      <c r="EC113" s="938"/>
      <c r="ED113" s="938"/>
      <c r="EE113" s="938"/>
      <c r="EF113" s="938"/>
      <c r="EH113" s="938"/>
      <c r="EI113" s="938"/>
      <c r="EJ113" s="938"/>
      <c r="EK113" s="938"/>
      <c r="EL113" s="938"/>
      <c r="EM113" s="938"/>
      <c r="EN113" s="938"/>
      <c r="EO113" s="938"/>
      <c r="EQ113" s="938"/>
      <c r="ER113" s="938"/>
      <c r="ES113" s="938"/>
      <c r="ET113" s="938"/>
      <c r="EU113" s="938"/>
      <c r="EV113" s="938"/>
      <c r="EW113" s="938"/>
      <c r="EX113" s="938"/>
      <c r="EZ113" s="938"/>
      <c r="FA113" s="938"/>
      <c r="FB113" s="938"/>
      <c r="FC113" s="938"/>
      <c r="FD113" s="938"/>
      <c r="FE113" s="938"/>
      <c r="FF113" s="938"/>
      <c r="FG113" s="938"/>
      <c r="FI113" s="938"/>
      <c r="FJ113" s="938"/>
      <c r="FK113" s="938"/>
      <c r="FL113" s="938"/>
      <c r="FM113" s="938"/>
      <c r="FN113" s="938"/>
      <c r="FO113" s="938"/>
      <c r="FP113" s="938"/>
      <c r="FR113" s="938"/>
      <c r="FS113" s="938"/>
      <c r="FT113" s="938"/>
      <c r="FU113" s="938"/>
      <c r="FV113" s="938"/>
      <c r="FW113" s="938"/>
      <c r="FX113" s="938"/>
      <c r="FY113" s="938"/>
      <c r="GA113" s="938"/>
      <c r="GB113" s="938"/>
      <c r="GC113" s="938"/>
      <c r="GD113" s="938"/>
      <c r="GE113" s="938"/>
      <c r="GF113" s="938"/>
      <c r="GG113" s="938"/>
      <c r="GH113" s="938"/>
      <c r="GJ113" s="938"/>
      <c r="GK113" s="938"/>
      <c r="GL113" s="938"/>
      <c r="GM113" s="938"/>
      <c r="GN113" s="938"/>
      <c r="GO113" s="938"/>
      <c r="GP113" s="938"/>
      <c r="GQ113" s="938"/>
      <c r="GS113" s="938"/>
      <c r="GT113" s="938"/>
      <c r="GU113" s="938"/>
      <c r="GV113" s="938"/>
      <c r="GW113" s="938"/>
      <c r="GX113" s="938"/>
      <c r="GY113" s="938"/>
      <c r="GZ113" s="938"/>
      <c r="HB113" s="938"/>
      <c r="HC113" s="938"/>
      <c r="HD113" s="938"/>
      <c r="HE113" s="938"/>
      <c r="HF113" s="938"/>
      <c r="HG113" s="938"/>
      <c r="HH113" s="938"/>
      <c r="HI113" s="938"/>
      <c r="HK113" s="938"/>
      <c r="HL113" s="938"/>
      <c r="HM113" s="938"/>
      <c r="HN113" s="938"/>
      <c r="HO113" s="938"/>
      <c r="HP113" s="938"/>
      <c r="HQ113" s="938"/>
      <c r="HR113" s="938"/>
      <c r="HT113" s="938"/>
      <c r="HU113" s="938"/>
      <c r="HV113" s="938"/>
      <c r="HW113" s="938"/>
      <c r="HX113" s="938"/>
      <c r="HY113" s="938"/>
      <c r="HZ113" s="938"/>
      <c r="IA113" s="938"/>
      <c r="IC113" s="938"/>
      <c r="ID113" s="938"/>
      <c r="IE113" s="938"/>
      <c r="IF113" s="938"/>
      <c r="IG113" s="938"/>
      <c r="IH113" s="938"/>
      <c r="II113" s="938"/>
      <c r="IJ113" s="938"/>
      <c r="IL113" s="938"/>
      <c r="IM113" s="938"/>
      <c r="IN113" s="938"/>
      <c r="IO113" s="938"/>
      <c r="IP113" s="938"/>
      <c r="IQ113" s="938"/>
      <c r="IR113" s="938"/>
      <c r="IS113" s="938"/>
      <c r="IU113" s="938"/>
      <c r="IV113" s="938"/>
      <c r="IW113" s="938"/>
      <c r="IX113" s="938"/>
      <c r="IY113" s="938"/>
      <c r="IZ113" s="938"/>
      <c r="JA113" s="938"/>
      <c r="JB113" s="938"/>
      <c r="JD113" s="938"/>
      <c r="JE113" s="938"/>
      <c r="JF113" s="938"/>
      <c r="JG113" s="938"/>
      <c r="JH113" s="938"/>
      <c r="JI113" s="938"/>
      <c r="JJ113" s="938"/>
      <c r="JK113" s="938"/>
      <c r="JM113" s="938"/>
      <c r="JN113" s="938"/>
      <c r="JO113" s="938"/>
      <c r="JP113" s="938"/>
      <c r="JQ113" s="938"/>
      <c r="JR113" s="938"/>
      <c r="JS113" s="938"/>
      <c r="JT113" s="938"/>
      <c r="JV113" s="938"/>
      <c r="JW113" s="938"/>
      <c r="JX113" s="938"/>
      <c r="JY113" s="938"/>
      <c r="JZ113" s="938"/>
      <c r="KA113" s="938"/>
      <c r="KB113" s="938"/>
      <c r="KC113" s="938"/>
    </row>
    <row r="114" spans="11:294" x14ac:dyDescent="0.2">
      <c r="S114" t="s">
        <v>344</v>
      </c>
      <c r="T114">
        <v>1</v>
      </c>
      <c r="U114">
        <f>IF(OR(T4=0,T5=0,T5='#min'!$D$6,T5='#Boden'!$G$50,'#minDung'!T6=0),'#minDung'!T112,"")</f>
        <v>0</v>
      </c>
      <c r="V114" s="938" t="str">
        <f>IF(OR(U114="",U114&lt;0.001),"",$T$114)</f>
        <v/>
      </c>
      <c r="AD114" s="938">
        <f>IF(OR(AC4=0,AC5=0,AC5='#min'!$D$6,AC5='#Boden'!$G$50,'#minDung'!AC6=0),'#minDung'!AC112,"")</f>
        <v>0</v>
      </c>
      <c r="AE114" s="938" t="str">
        <f>IF(OR(AD114="",AD114&lt;0.001),"",$T$114)</f>
        <v/>
      </c>
      <c r="AF114" s="938"/>
      <c r="AG114" s="938"/>
      <c r="AH114" s="938"/>
      <c r="AI114" s="938"/>
      <c r="AJ114" s="938"/>
      <c r="AK114" s="938"/>
      <c r="AM114" s="938">
        <f>IF(OR(AL4=0,AL5=0,AL5='#min'!$D$6,AL5='#Boden'!$G$50,'#minDung'!AL6=0),'#minDung'!AL112,"")</f>
        <v>0</v>
      </c>
      <c r="AN114" s="938" t="str">
        <f>IF(OR(AM114="",AM114&lt;0.001),"",$T$114)</f>
        <v/>
      </c>
      <c r="AO114" s="938"/>
      <c r="AP114" s="938"/>
      <c r="AQ114" s="938"/>
      <c r="AR114" s="938"/>
      <c r="AS114" s="938"/>
      <c r="AT114" s="938"/>
      <c r="AV114" s="938">
        <f>IF(OR(AU4=0,AU5=0,AU5='#min'!$D$6,AU5='#Boden'!$G$50,'#minDung'!AU6=0),'#minDung'!AU112,"")</f>
        <v>0</v>
      </c>
      <c r="AW114" s="938" t="str">
        <f>IF(OR(AV114="",AV114&lt;0.001),"",$T$114)</f>
        <v/>
      </c>
      <c r="AX114" s="938"/>
      <c r="AY114" s="938"/>
      <c r="AZ114" s="938"/>
      <c r="BA114" s="938"/>
      <c r="BB114" s="938"/>
      <c r="BC114" s="938"/>
      <c r="BE114" s="938">
        <f>IF(OR(BD4=0,BD5=0,BD5='#min'!$D$6,BD5='#Boden'!$G$50,'#minDung'!BD6=0),'#minDung'!BD112,"")</f>
        <v>0</v>
      </c>
      <c r="BF114" s="938" t="str">
        <f>IF(OR(BE114="",BE114&lt;0.001),"",$T$114)</f>
        <v/>
      </c>
      <c r="BG114" s="938"/>
      <c r="BH114" s="938"/>
      <c r="BI114" s="938"/>
      <c r="BJ114" s="938"/>
      <c r="BK114" s="938"/>
      <c r="BL114" s="938"/>
      <c r="BN114" s="938">
        <f>IF(OR(BM4=0,BM5=0,BM5='#min'!$D$6,BM5='#Boden'!$G$50,'#minDung'!BM6=0),'#minDung'!BM112,"")</f>
        <v>0</v>
      </c>
      <c r="BO114" s="938" t="str">
        <f>IF(OR(BN114="",BN114&lt;0.001),"",$T$114)</f>
        <v/>
      </c>
      <c r="BP114" s="938"/>
      <c r="BQ114" s="938"/>
      <c r="BR114" s="938"/>
      <c r="BS114" s="938"/>
      <c r="BT114" s="938"/>
      <c r="BU114" s="938"/>
      <c r="BW114" s="938">
        <f>IF(OR(BV4=0,BV5=0,BV5='#min'!$D$6,BV5='#Boden'!$G$50,'#minDung'!BV6=0),'#minDung'!BV112,"")</f>
        <v>0</v>
      </c>
      <c r="BX114" s="938" t="str">
        <f>IF(OR(BW114="",BW114&lt;0.001),"",$T$114)</f>
        <v/>
      </c>
      <c r="BY114" s="938"/>
      <c r="BZ114" s="938"/>
      <c r="CA114" s="938"/>
      <c r="CB114" s="938"/>
      <c r="CC114" s="938"/>
      <c r="CD114" s="938"/>
      <c r="CF114" s="938">
        <f>IF(OR(CE4=0,CE5=0,CE5='#min'!$D$6,CE5='#Boden'!$G$50,'#minDung'!CE6=0),'#minDung'!CE112,"")</f>
        <v>0</v>
      </c>
      <c r="CG114" s="938" t="str">
        <f>IF(OR(CF114="",CF114&lt;0.001),"",$T$114)</f>
        <v/>
      </c>
      <c r="CH114" s="938"/>
      <c r="CI114" s="938"/>
      <c r="CJ114" s="938"/>
      <c r="CK114" s="938"/>
      <c r="CL114" s="938"/>
      <c r="CM114" s="938"/>
      <c r="CO114" s="938">
        <f>IF(OR(CN4=0,CN5=0,CN5='#min'!$D$6,CN5='#Boden'!$G$50,'#minDung'!CN6=0),'#minDung'!CN112,"")</f>
        <v>0</v>
      </c>
      <c r="CP114" s="938" t="str">
        <f>IF(OR(CO114="",CO114&lt;0.001),"",$T$114)</f>
        <v/>
      </c>
      <c r="CQ114" s="938"/>
      <c r="CR114" s="938"/>
      <c r="CS114" s="938"/>
      <c r="CT114" s="938"/>
      <c r="CU114" s="938"/>
      <c r="CV114" s="938"/>
      <c r="CX114" s="938">
        <f>IF(OR(CW4=0,CW5=0,CW5='#min'!$D$6,CW5='#Boden'!$G$50,'#minDung'!CW6=0),'#minDung'!CW112,"")</f>
        <v>0</v>
      </c>
      <c r="CY114" s="938" t="str">
        <f>IF(OR(CX114="",CX114&lt;0.001),"",$T$114)</f>
        <v/>
      </c>
      <c r="CZ114" s="938"/>
      <c r="DA114" s="938"/>
      <c r="DB114" s="938"/>
      <c r="DC114" s="938"/>
      <c r="DD114" s="938"/>
      <c r="DE114" s="938"/>
      <c r="DG114" s="938">
        <f>IF(OR(DF4=0,DF5=0,DF5='#min'!$D$6,DF5='#Boden'!$G$50,'#minDung'!DF6=0),'#minDung'!DF112,"")</f>
        <v>0</v>
      </c>
      <c r="DH114" s="938" t="str">
        <f>IF(OR(DG114="",DG114&lt;0.001),"",$T$114)</f>
        <v/>
      </c>
      <c r="DI114" s="938"/>
      <c r="DJ114" s="938"/>
      <c r="DK114" s="938"/>
      <c r="DL114" s="938"/>
      <c r="DM114" s="938"/>
      <c r="DN114" s="938"/>
      <c r="DP114" s="938">
        <f>IF(OR(DO4=0,DO5=0,DO5='#min'!$D$6,DO5='#Boden'!$G$50,'#minDung'!DO6=0),'#minDung'!DO112,"")</f>
        <v>0</v>
      </c>
      <c r="DQ114" s="938" t="str">
        <f>IF(OR(DP114="",DP114&lt;0.001),"",$T$114)</f>
        <v/>
      </c>
      <c r="DR114" s="938"/>
      <c r="DS114" s="938"/>
      <c r="DT114" s="938"/>
      <c r="DU114" s="938"/>
      <c r="DV114" s="938"/>
      <c r="DW114" s="938"/>
      <c r="DY114" s="938">
        <f>IF(OR(DX4=0,DX5=0,DX5='#min'!$D$6,DX5='#Boden'!$G$50,'#minDung'!DX6=0),'#minDung'!DX112,"")</f>
        <v>0</v>
      </c>
      <c r="DZ114" s="938" t="str">
        <f>IF(OR(DY114="",DY114&lt;0.001),"",$T$114)</f>
        <v/>
      </c>
      <c r="EA114" s="938"/>
      <c r="EB114" s="938"/>
      <c r="EC114" s="938"/>
      <c r="ED114" s="938"/>
      <c r="EE114" s="938"/>
      <c r="EF114" s="938"/>
      <c r="EH114" s="938">
        <f>IF(OR(EG4=0,EG5=0,EG5='#min'!$D$6,EG5='#Boden'!$G$50,'#minDung'!EG6=0),'#minDung'!EG112,"")</f>
        <v>0</v>
      </c>
      <c r="EI114" s="938" t="str">
        <f>IF(OR(EH114="",EH114&lt;0.001),"",$T$114)</f>
        <v/>
      </c>
      <c r="EJ114" s="938"/>
      <c r="EK114" s="938"/>
      <c r="EL114" s="938"/>
      <c r="EM114" s="938"/>
      <c r="EN114" s="938"/>
      <c r="EO114" s="938"/>
      <c r="EQ114" s="938">
        <f>IF(OR(EP4=0,EP5=0,EP5='#min'!$D$6,EP5='#Boden'!$G$50,'#minDung'!EP6=0),'#minDung'!EP112,"")</f>
        <v>0</v>
      </c>
      <c r="ER114" s="938" t="str">
        <f>IF(OR(EQ114="",EQ114&lt;0.001),"",$T$114)</f>
        <v/>
      </c>
      <c r="ES114" s="938"/>
      <c r="ET114" s="938"/>
      <c r="EU114" s="938"/>
      <c r="EV114" s="938"/>
      <c r="EW114" s="938"/>
      <c r="EX114" s="938"/>
      <c r="EZ114" s="938">
        <f>IF(OR(EY4=0,EY5=0,EY5='#min'!$D$6,EY5='#Boden'!$G$50,'#minDung'!EY6=0),'#minDung'!EY112,"")</f>
        <v>0</v>
      </c>
      <c r="FA114" s="938" t="str">
        <f>IF(OR(EZ114="",EZ114&lt;0.001),"",$T$114)</f>
        <v/>
      </c>
      <c r="FB114" s="938"/>
      <c r="FC114" s="938"/>
      <c r="FD114" s="938"/>
      <c r="FE114" s="938"/>
      <c r="FF114" s="938"/>
      <c r="FG114" s="938"/>
      <c r="FI114" s="938">
        <f>IF(OR(FH4=0,FH5=0,FH5='#min'!$D$6,FH5='#Boden'!$G$50,'#minDung'!FH6=0),'#minDung'!FH112,"")</f>
        <v>0</v>
      </c>
      <c r="FJ114" s="938" t="str">
        <f>IF(OR(FI114="",FI114&lt;0.001),"",$T$114)</f>
        <v/>
      </c>
      <c r="FK114" s="938"/>
      <c r="FL114" s="938"/>
      <c r="FM114" s="938"/>
      <c r="FN114" s="938"/>
      <c r="FO114" s="938"/>
      <c r="FP114" s="938"/>
      <c r="FR114" s="938">
        <f>IF(OR(FQ4=0,FQ5=0,FQ5='#min'!$D$6,FQ5='#Boden'!$G$50,'#minDung'!FQ6=0),'#minDung'!FQ112,"")</f>
        <v>0</v>
      </c>
      <c r="FS114" s="938" t="str">
        <f>IF(OR(FR114="",FR114&lt;0.001),"",$T$114)</f>
        <v/>
      </c>
      <c r="FT114" s="938"/>
      <c r="FU114" s="938"/>
      <c r="FV114" s="938"/>
      <c r="FW114" s="938"/>
      <c r="FX114" s="938"/>
      <c r="FY114" s="938"/>
      <c r="GA114" s="938">
        <f>IF(OR(FZ4=0,FZ5=0,FZ5='#min'!$D$6,FZ5='#Boden'!$G$50,'#minDung'!FZ6=0),'#minDung'!FZ112,"")</f>
        <v>0</v>
      </c>
      <c r="GB114" s="938" t="str">
        <f>IF(OR(GA114="",GA114&lt;0.001),"",$T$114)</f>
        <v/>
      </c>
      <c r="GC114" s="938"/>
      <c r="GD114" s="938"/>
      <c r="GE114" s="938"/>
      <c r="GF114" s="938"/>
      <c r="GG114" s="938"/>
      <c r="GH114" s="938"/>
      <c r="GJ114" s="938">
        <f>IF(OR(GI4=0,GI5=0,GI5='#min'!$D$6,GI5='#Boden'!$G$50,'#minDung'!GI6=0),'#minDung'!GI112,"")</f>
        <v>0</v>
      </c>
      <c r="GK114" s="938" t="str">
        <f>IF(OR(GJ114="",GJ114&lt;0.001),"",$T$114)</f>
        <v/>
      </c>
      <c r="GL114" s="938"/>
      <c r="GM114" s="938"/>
      <c r="GN114" s="938"/>
      <c r="GO114" s="938"/>
      <c r="GP114" s="938"/>
      <c r="GQ114" s="938"/>
      <c r="GS114" s="938">
        <f>IF(OR(GR4=0,GR5=0,GR5='#min'!$D$6,GR5='#Boden'!$G$50,'#minDung'!GR6=0),'#minDung'!GR112,"")</f>
        <v>0</v>
      </c>
      <c r="GT114" s="938" t="str">
        <f>IF(OR(GS114="",GS114&lt;0.001),"",$T$114)</f>
        <v/>
      </c>
      <c r="GU114" s="938"/>
      <c r="GV114" s="938"/>
      <c r="GW114" s="938"/>
      <c r="GX114" s="938"/>
      <c r="GY114" s="938"/>
      <c r="GZ114" s="938"/>
      <c r="HB114" s="938">
        <f>IF(OR(HA4=0,HA5=0,HA5='#min'!$D$6,HA5='#Boden'!$G$50,'#minDung'!HA6=0),'#minDung'!HA112,"")</f>
        <v>0</v>
      </c>
      <c r="HC114" s="938" t="str">
        <f>IF(OR(HB114="",HB114&lt;0.001),"",$T$114)</f>
        <v/>
      </c>
      <c r="HD114" s="938"/>
      <c r="HE114" s="938"/>
      <c r="HF114" s="938"/>
      <c r="HG114" s="938"/>
      <c r="HH114" s="938"/>
      <c r="HI114" s="938"/>
      <c r="HK114" s="938">
        <f>IF(OR(HJ4=0,HJ5=0,HJ5='#min'!$D$6,HJ5='#Boden'!$G$50,'#minDung'!HJ6=0),'#minDung'!HJ112,"")</f>
        <v>0</v>
      </c>
      <c r="HL114" s="938" t="str">
        <f>IF(OR(HK114="",HK114&lt;0.001),"",$T$114)</f>
        <v/>
      </c>
      <c r="HM114" s="938"/>
      <c r="HN114" s="938"/>
      <c r="HO114" s="938"/>
      <c r="HP114" s="938"/>
      <c r="HQ114" s="938"/>
      <c r="HR114" s="938"/>
      <c r="HT114" s="938">
        <f>IF(OR(HS4=0,HS5=0,HS5='#min'!$D$6,HS5='#Boden'!$G$50,'#minDung'!HS6=0),'#minDung'!HS112,"")</f>
        <v>0</v>
      </c>
      <c r="HU114" s="938" t="str">
        <f>IF(OR(HT114="",HT114&lt;0.001),"",$T$114)</f>
        <v/>
      </c>
      <c r="HV114" s="938"/>
      <c r="HW114" s="938"/>
      <c r="HX114" s="938"/>
      <c r="HY114" s="938"/>
      <c r="HZ114" s="938"/>
      <c r="IA114" s="938"/>
      <c r="IC114" s="938">
        <f>IF(OR(IB4=0,IB5=0,IB5='#min'!$D$6,IB5='#Boden'!$G$50,'#minDung'!IB6=0),'#minDung'!IB112,"")</f>
        <v>0</v>
      </c>
      <c r="ID114" s="938" t="str">
        <f>IF(OR(IC114="",IC114&lt;0.001),"",$T$114)</f>
        <v/>
      </c>
      <c r="IE114" s="938"/>
      <c r="IF114" s="938"/>
      <c r="IG114" s="938"/>
      <c r="IH114" s="938"/>
      <c r="II114" s="938"/>
      <c r="IJ114" s="938"/>
      <c r="IL114" s="938">
        <f>IF(OR(IK4=0,IK5=0,IK5='#min'!$D$6,IK5='#Boden'!$G$50,'#minDung'!IK6=0),'#minDung'!IK112,"")</f>
        <v>0</v>
      </c>
      <c r="IM114" s="938" t="str">
        <f>IF(OR(IL114="",IL114&lt;0.001),"",$T$114)</f>
        <v/>
      </c>
      <c r="IN114" s="938"/>
      <c r="IO114" s="938"/>
      <c r="IP114" s="938"/>
      <c r="IQ114" s="938"/>
      <c r="IR114" s="938"/>
      <c r="IS114" s="938"/>
      <c r="IU114" s="938">
        <f>IF(OR(IT4=0,IT5=0,IT5='#min'!$D$6,IT5='#Boden'!$G$50,'#minDung'!IT6=0),'#minDung'!IT112,"")</f>
        <v>0</v>
      </c>
      <c r="IV114" s="938" t="str">
        <f>IF(OR(IU114="",IU114&lt;0.001),"",$T$114)</f>
        <v/>
      </c>
      <c r="IW114" s="938"/>
      <c r="IX114" s="938"/>
      <c r="IY114" s="938"/>
      <c r="IZ114" s="938"/>
      <c r="JA114" s="938"/>
      <c r="JB114" s="938"/>
      <c r="JD114" s="938">
        <f>IF(OR(JC4=0,JC5=0,JC5='#min'!$D$6,JC5='#Boden'!$G$50,'#minDung'!JC6=0),'#minDung'!JC112,"")</f>
        <v>0</v>
      </c>
      <c r="JE114" s="938" t="str">
        <f>IF(OR(JD114="",JD114&lt;0.001),"",$T$114)</f>
        <v/>
      </c>
      <c r="JF114" s="938"/>
      <c r="JG114" s="938"/>
      <c r="JH114" s="938"/>
      <c r="JI114" s="938"/>
      <c r="JJ114" s="938"/>
      <c r="JK114" s="938"/>
      <c r="JM114" s="938">
        <f>IF(OR(JL4=0,JL5=0,JL5='#min'!$D$6,JL5='#Boden'!$G$50,'#minDung'!JL6=0),'#minDung'!JL112,"")</f>
        <v>0</v>
      </c>
      <c r="JN114" s="938" t="str">
        <f>IF(OR(JM114="",JM114&lt;0.001),"",$T$114)</f>
        <v/>
      </c>
      <c r="JO114" s="938"/>
      <c r="JP114" s="938"/>
      <c r="JQ114" s="938"/>
      <c r="JR114" s="938"/>
      <c r="JS114" s="938"/>
      <c r="JT114" s="938"/>
      <c r="JV114" s="938">
        <f>IF(OR(JU4=0,JU5=0,JU5='#min'!$D$6,JU5='#Boden'!$G$50,'#minDung'!JU6=0),'#minDung'!JU112,"")</f>
        <v>0</v>
      </c>
      <c r="JW114" s="938" t="str">
        <f>IF(OR(JV114="",JV114&lt;0.001),"",$T$114)</f>
        <v/>
      </c>
      <c r="JX114" s="938"/>
      <c r="JY114" s="938"/>
      <c r="JZ114" s="938"/>
      <c r="KA114" s="938"/>
      <c r="KB114" s="938"/>
      <c r="KC114" s="938"/>
    </row>
    <row r="115" spans="11:294" x14ac:dyDescent="0.2">
      <c r="T115">
        <v>2</v>
      </c>
      <c r="U115" t="str">
        <f>IF(LEFT(T5,2)=" +",T112,"")</f>
        <v/>
      </c>
      <c r="V115" s="938" t="str">
        <f>IF(OR(U115="",U115&lt;0.001),"",$T$115)</f>
        <v/>
      </c>
      <c r="AD115" s="938" t="str">
        <f>IF(LEFT(AC5,2)=" +",AC112,"")</f>
        <v/>
      </c>
      <c r="AE115" s="938" t="str">
        <f>IF(OR(AD115="",AD115&lt;0.001),"",$T$115)</f>
        <v/>
      </c>
      <c r="AF115" s="938"/>
      <c r="AG115" s="938"/>
      <c r="AH115" s="938"/>
      <c r="AI115" s="938"/>
      <c r="AJ115" s="938"/>
      <c r="AK115" s="938"/>
      <c r="AM115" s="938" t="str">
        <f>IF(LEFT(AL5,2)=" +",AL112,"")</f>
        <v/>
      </c>
      <c r="AN115" s="938" t="str">
        <f>IF(OR(AM115="",AM115&lt;0.001),"",$T$115)</f>
        <v/>
      </c>
      <c r="AO115" s="938"/>
      <c r="AP115" s="938"/>
      <c r="AQ115" s="938"/>
      <c r="AR115" s="938"/>
      <c r="AS115" s="938"/>
      <c r="AT115" s="938"/>
      <c r="AV115" s="938" t="str">
        <f>IF(LEFT(AU5,2)=" +",AU112,"")</f>
        <v/>
      </c>
      <c r="AW115" s="938" t="str">
        <f>IF(OR(AV115="",AV115&lt;0.001),"",$T$115)</f>
        <v/>
      </c>
      <c r="AX115" s="938"/>
      <c r="AY115" s="938"/>
      <c r="AZ115" s="938"/>
      <c r="BA115" s="938"/>
      <c r="BB115" s="938"/>
      <c r="BC115" s="938"/>
      <c r="BE115" s="938" t="str">
        <f>IF(LEFT(BD5,2)=" +",BD112,"")</f>
        <v/>
      </c>
      <c r="BF115" s="938" t="str">
        <f>IF(OR(BE115="",BE115&lt;0.001),"",$T$115)</f>
        <v/>
      </c>
      <c r="BG115" s="938"/>
      <c r="BH115" s="938"/>
      <c r="BI115" s="938"/>
      <c r="BJ115" s="938"/>
      <c r="BK115" s="938"/>
      <c r="BL115" s="938"/>
      <c r="BN115" s="938" t="str">
        <f>IF(LEFT(BM5,2)=" +",BM112,"")</f>
        <v/>
      </c>
      <c r="BO115" s="938" t="str">
        <f>IF(OR(BN115="",BN115&lt;0.001),"",$T$115)</f>
        <v/>
      </c>
      <c r="BP115" s="938"/>
      <c r="BQ115" s="938"/>
      <c r="BR115" s="938"/>
      <c r="BS115" s="938"/>
      <c r="BT115" s="938"/>
      <c r="BU115" s="938"/>
      <c r="BW115" s="938" t="str">
        <f>IF(LEFT(BV5,2)=" +",BV112,"")</f>
        <v/>
      </c>
      <c r="BX115" s="938" t="str">
        <f>IF(OR(BW115="",BW115&lt;0.001),"",$T$115)</f>
        <v/>
      </c>
      <c r="BY115" s="938"/>
      <c r="BZ115" s="938"/>
      <c r="CA115" s="938"/>
      <c r="CB115" s="938"/>
      <c r="CC115" s="938"/>
      <c r="CD115" s="938"/>
      <c r="CF115" s="938" t="str">
        <f>IF(LEFT(CE5,2)=" +",CE112,"")</f>
        <v/>
      </c>
      <c r="CG115" s="938" t="str">
        <f>IF(OR(CF115="",CF115&lt;0.001),"",$T$115)</f>
        <v/>
      </c>
      <c r="CH115" s="938"/>
      <c r="CI115" s="938"/>
      <c r="CJ115" s="938"/>
      <c r="CK115" s="938"/>
      <c r="CL115" s="938"/>
      <c r="CM115" s="938"/>
      <c r="CO115" s="938" t="str">
        <f>IF(LEFT(CN5,2)=" +",CN112,"")</f>
        <v/>
      </c>
      <c r="CP115" s="938" t="str">
        <f>IF(OR(CO115="",CO115&lt;0.001),"",$T$115)</f>
        <v/>
      </c>
      <c r="CQ115" s="938"/>
      <c r="CR115" s="938"/>
      <c r="CS115" s="938"/>
      <c r="CT115" s="938"/>
      <c r="CU115" s="938"/>
      <c r="CV115" s="938"/>
      <c r="CX115" s="938" t="str">
        <f>IF(LEFT(CW5,2)=" +",CW112,"")</f>
        <v/>
      </c>
      <c r="CY115" s="938" t="str">
        <f>IF(OR(CX115="",CX115&lt;0.001),"",$T$115)</f>
        <v/>
      </c>
      <c r="CZ115" s="938"/>
      <c r="DA115" s="938"/>
      <c r="DB115" s="938"/>
      <c r="DC115" s="938"/>
      <c r="DD115" s="938"/>
      <c r="DE115" s="938"/>
      <c r="DG115" s="938" t="str">
        <f>IF(LEFT(DF5,2)=" +",DF112,"")</f>
        <v/>
      </c>
      <c r="DH115" s="938" t="str">
        <f>IF(OR(DG115="",DG115&lt;0.001),"",$T$115)</f>
        <v/>
      </c>
      <c r="DI115" s="938"/>
      <c r="DJ115" s="938"/>
      <c r="DK115" s="938"/>
      <c r="DL115" s="938"/>
      <c r="DM115" s="938"/>
      <c r="DN115" s="938"/>
      <c r="DP115" s="938" t="str">
        <f>IF(LEFT(DO5,2)=" +",DO112,"")</f>
        <v/>
      </c>
      <c r="DQ115" s="938" t="str">
        <f>IF(OR(DP115="",DP115&lt;0.001),"",$T$115)</f>
        <v/>
      </c>
      <c r="DR115" s="938"/>
      <c r="DS115" s="938"/>
      <c r="DT115" s="938"/>
      <c r="DU115" s="938"/>
      <c r="DV115" s="938"/>
      <c r="DW115" s="938"/>
      <c r="DY115" s="938" t="str">
        <f>IF(LEFT(DX5,2)=" +",DX112,"")</f>
        <v/>
      </c>
      <c r="DZ115" s="938" t="str">
        <f>IF(OR(DY115="",DY115&lt;0.001),"",$T$115)</f>
        <v/>
      </c>
      <c r="EA115" s="938"/>
      <c r="EB115" s="938"/>
      <c r="EC115" s="938"/>
      <c r="ED115" s="938"/>
      <c r="EE115" s="938"/>
      <c r="EF115" s="938"/>
      <c r="EH115" s="938" t="str">
        <f>IF(LEFT(EG5,2)=" +",EG112,"")</f>
        <v/>
      </c>
      <c r="EI115" s="938" t="str">
        <f>IF(OR(EH115="",EH115&lt;0.001),"",$T$115)</f>
        <v/>
      </c>
      <c r="EJ115" s="938"/>
      <c r="EK115" s="938"/>
      <c r="EL115" s="938"/>
      <c r="EM115" s="938"/>
      <c r="EN115" s="938"/>
      <c r="EO115" s="938"/>
      <c r="EQ115" s="938" t="str">
        <f>IF(LEFT(EP5,2)=" +",EP112,"")</f>
        <v/>
      </c>
      <c r="ER115" s="938" t="str">
        <f>IF(OR(EQ115="",EQ115&lt;0.001),"",$T$115)</f>
        <v/>
      </c>
      <c r="ES115" s="938"/>
      <c r="ET115" s="938"/>
      <c r="EU115" s="938"/>
      <c r="EV115" s="938"/>
      <c r="EW115" s="938"/>
      <c r="EX115" s="938"/>
      <c r="EZ115" s="938" t="str">
        <f>IF(LEFT(EY5,2)=" +",EY112,"")</f>
        <v/>
      </c>
      <c r="FA115" s="938" t="str">
        <f>IF(OR(EZ115="",EZ115&lt;0.001),"",$T$115)</f>
        <v/>
      </c>
      <c r="FB115" s="938"/>
      <c r="FC115" s="938"/>
      <c r="FD115" s="938"/>
      <c r="FE115" s="938"/>
      <c r="FF115" s="938"/>
      <c r="FG115" s="938"/>
      <c r="FI115" s="938" t="str">
        <f>IF(LEFT(FH5,2)=" +",FH112,"")</f>
        <v/>
      </c>
      <c r="FJ115" s="938" t="str">
        <f>IF(OR(FI115="",FI115&lt;0.001),"",$T$115)</f>
        <v/>
      </c>
      <c r="FK115" s="938"/>
      <c r="FL115" s="938"/>
      <c r="FM115" s="938"/>
      <c r="FN115" s="938"/>
      <c r="FO115" s="938"/>
      <c r="FP115" s="938"/>
      <c r="FR115" s="938" t="str">
        <f>IF(LEFT(FQ5,2)=" +",FQ112,"")</f>
        <v/>
      </c>
      <c r="FS115" s="938" t="str">
        <f>IF(OR(FR115="",FR115&lt;0.001),"",$T$115)</f>
        <v/>
      </c>
      <c r="FT115" s="938"/>
      <c r="FU115" s="938"/>
      <c r="FV115" s="938"/>
      <c r="FW115" s="938"/>
      <c r="FX115" s="938"/>
      <c r="FY115" s="938"/>
      <c r="GA115" s="938" t="str">
        <f>IF(LEFT(FZ5,2)=" +",FZ112,"")</f>
        <v/>
      </c>
      <c r="GB115" s="938" t="str">
        <f>IF(OR(GA115="",GA115&lt;0.001),"",$T$115)</f>
        <v/>
      </c>
      <c r="GC115" s="938"/>
      <c r="GD115" s="938"/>
      <c r="GE115" s="938"/>
      <c r="GF115" s="938"/>
      <c r="GG115" s="938"/>
      <c r="GH115" s="938"/>
      <c r="GJ115" s="938" t="str">
        <f>IF(LEFT(GI5,2)=" +",GI112,"")</f>
        <v/>
      </c>
      <c r="GK115" s="938" t="str">
        <f>IF(OR(GJ115="",GJ115&lt;0.001),"",$T$115)</f>
        <v/>
      </c>
      <c r="GL115" s="938"/>
      <c r="GM115" s="938"/>
      <c r="GN115" s="938"/>
      <c r="GO115" s="938"/>
      <c r="GP115" s="938"/>
      <c r="GQ115" s="938"/>
      <c r="GS115" s="938" t="str">
        <f>IF(LEFT(GR5,2)=" +",GR112,"")</f>
        <v/>
      </c>
      <c r="GT115" s="938" t="str">
        <f>IF(OR(GS115="",GS115&lt;0.001),"",$T$115)</f>
        <v/>
      </c>
      <c r="GU115" s="938"/>
      <c r="GV115" s="938"/>
      <c r="GW115" s="938"/>
      <c r="GX115" s="938"/>
      <c r="GY115" s="938"/>
      <c r="GZ115" s="938"/>
      <c r="HB115" s="938" t="str">
        <f>IF(LEFT(HA5,2)=" +",HA112,"")</f>
        <v/>
      </c>
      <c r="HC115" s="938" t="str">
        <f>IF(OR(HB115="",HB115&lt;0.001),"",$T$115)</f>
        <v/>
      </c>
      <c r="HD115" s="938"/>
      <c r="HE115" s="938"/>
      <c r="HF115" s="938"/>
      <c r="HG115" s="938"/>
      <c r="HH115" s="938"/>
      <c r="HI115" s="938"/>
      <c r="HK115" s="938" t="str">
        <f>IF(LEFT(HJ5,2)=" +",HJ112,"")</f>
        <v/>
      </c>
      <c r="HL115" s="938" t="str">
        <f>IF(OR(HK115="",HK115&lt;0.001),"",$T$115)</f>
        <v/>
      </c>
      <c r="HM115" s="938"/>
      <c r="HN115" s="938"/>
      <c r="HO115" s="938"/>
      <c r="HP115" s="938"/>
      <c r="HQ115" s="938"/>
      <c r="HR115" s="938"/>
      <c r="HT115" s="938" t="str">
        <f>IF(LEFT(HS5,2)=" +",HS112,"")</f>
        <v/>
      </c>
      <c r="HU115" s="938" t="str">
        <f>IF(OR(HT115="",HT115&lt;0.001),"",$T$115)</f>
        <v/>
      </c>
      <c r="HV115" s="938"/>
      <c r="HW115" s="938"/>
      <c r="HX115" s="938"/>
      <c r="HY115" s="938"/>
      <c r="HZ115" s="938"/>
      <c r="IA115" s="938"/>
      <c r="IC115" s="938" t="str">
        <f>IF(LEFT(IB5,2)=" +",IB112,"")</f>
        <v/>
      </c>
      <c r="ID115" s="938" t="str">
        <f>IF(OR(IC115="",IC115&lt;0.001),"",$T$115)</f>
        <v/>
      </c>
      <c r="IE115" s="938"/>
      <c r="IF115" s="938"/>
      <c r="IG115" s="938"/>
      <c r="IH115" s="938"/>
      <c r="II115" s="938"/>
      <c r="IJ115" s="938"/>
      <c r="IL115" s="938" t="str">
        <f>IF(LEFT(IK5,2)=" +",IK112,"")</f>
        <v/>
      </c>
      <c r="IM115" s="938" t="str">
        <f>IF(OR(IL115="",IL115&lt;0.001),"",$T$115)</f>
        <v/>
      </c>
      <c r="IN115" s="938"/>
      <c r="IO115" s="938"/>
      <c r="IP115" s="938"/>
      <c r="IQ115" s="938"/>
      <c r="IR115" s="938"/>
      <c r="IS115" s="938"/>
      <c r="IU115" s="938" t="str">
        <f>IF(LEFT(IT5,2)=" +",IT112,"")</f>
        <v/>
      </c>
      <c r="IV115" s="938" t="str">
        <f>IF(OR(IU115="",IU115&lt;0.001),"",$T$115)</f>
        <v/>
      </c>
      <c r="IW115" s="938"/>
      <c r="IX115" s="938"/>
      <c r="IY115" s="938"/>
      <c r="IZ115" s="938"/>
      <c r="JA115" s="938"/>
      <c r="JB115" s="938"/>
      <c r="JD115" s="938" t="str">
        <f>IF(LEFT(JC5,2)=" +",JC112,"")</f>
        <v/>
      </c>
      <c r="JE115" s="938" t="str">
        <f>IF(OR(JD115="",JD115&lt;0.001),"",$T$115)</f>
        <v/>
      </c>
      <c r="JF115" s="938"/>
      <c r="JG115" s="938"/>
      <c r="JH115" s="938"/>
      <c r="JI115" s="938"/>
      <c r="JJ115" s="938"/>
      <c r="JK115" s="938"/>
      <c r="JM115" s="938" t="str">
        <f>IF(LEFT(JL5,2)=" +",JL112,"")</f>
        <v/>
      </c>
      <c r="JN115" s="938" t="str">
        <f>IF(OR(JM115="",JM115&lt;0.001),"",$T$115)</f>
        <v/>
      </c>
      <c r="JO115" s="938"/>
      <c r="JP115" s="938"/>
      <c r="JQ115" s="938"/>
      <c r="JR115" s="938"/>
      <c r="JS115" s="938"/>
      <c r="JT115" s="938"/>
      <c r="JV115" s="938" t="str">
        <f>IF(LEFT(JU5,2)=" +",JU112,"")</f>
        <v/>
      </c>
      <c r="JW115" s="938" t="str">
        <f>IF(OR(JV115="",JV115&lt;0.001),"",$T$115)</f>
        <v/>
      </c>
      <c r="JX115" s="938"/>
      <c r="JY115" s="938"/>
      <c r="JZ115" s="938"/>
      <c r="KA115" s="938"/>
      <c r="KB115" s="938"/>
      <c r="KC115" s="938"/>
    </row>
    <row r="116" spans="11:294" x14ac:dyDescent="0.2">
      <c r="T116">
        <v>14</v>
      </c>
      <c r="U116" t="str">
        <f>IF(OR(AND(T6=2,T4&gt;'#orgDung'!$AD$130),AND(T6=3,T4&lt;'#orgDung'!$AD$130,T4&lt;&gt;0)),T112,"")</f>
        <v/>
      </c>
      <c r="V116" s="938" t="str">
        <f>IF(OR(U116="",U116&lt;0.001),"",$T$116)</f>
        <v/>
      </c>
      <c r="AD116" s="938" t="str">
        <f>IF(OR(AND(AC6=2,AC4&gt;'#orgDung'!$AD$130),AND(AC6=3,AC4&lt;'#orgDung'!$AD$130,AC4&lt;&gt;0)),AC112,"")</f>
        <v/>
      </c>
      <c r="AE116" s="938" t="str">
        <f>IF(OR(AD116="",AD116&lt;0.001),"",$T$116)</f>
        <v/>
      </c>
      <c r="AF116" s="938"/>
      <c r="AG116" s="938"/>
      <c r="AH116" s="938"/>
      <c r="AI116" s="938"/>
      <c r="AJ116" s="938"/>
      <c r="AK116" s="938"/>
      <c r="AM116" s="938" t="str">
        <f>IF(OR(AND(AL6=2,AL4&gt;'#orgDung'!$AD$130),AND(AL6=3,AL4&lt;'#orgDung'!$AD$130,AL4&lt;&gt;0)),AL112,"")</f>
        <v/>
      </c>
      <c r="AN116" s="938" t="str">
        <f>IF(OR(AM116="",AM116&lt;0.001),"",$T$116)</f>
        <v/>
      </c>
      <c r="AO116" s="938"/>
      <c r="AP116" s="938"/>
      <c r="AQ116" s="938"/>
      <c r="AR116" s="938"/>
      <c r="AS116" s="938"/>
      <c r="AT116" s="938"/>
      <c r="AV116" s="938" t="str">
        <f>IF(OR(AND(AU6=2,AU4&gt;'#orgDung'!$AD$130),AND(AU6=3,AU4&lt;'#orgDung'!$AD$130,AU4&lt;&gt;0)),AU112,"")</f>
        <v/>
      </c>
      <c r="AW116" s="938" t="str">
        <f>IF(OR(AV116="",AV116&lt;0.001),"",$T$116)</f>
        <v/>
      </c>
      <c r="AX116" s="938"/>
      <c r="AY116" s="938"/>
      <c r="AZ116" s="938"/>
      <c r="BA116" s="938"/>
      <c r="BB116" s="938"/>
      <c r="BC116" s="938"/>
      <c r="BE116" s="938" t="str">
        <f>IF(OR(AND(BD6=2,BD4&gt;'#orgDung'!$AD$130),AND(BD6=3,BD4&lt;'#orgDung'!$AD$130,BD4&lt;&gt;0)),BD112,"")</f>
        <v/>
      </c>
      <c r="BF116" s="938" t="str">
        <f>IF(OR(BE116="",BE116&lt;0.001),"",$T$116)</f>
        <v/>
      </c>
      <c r="BG116" s="938"/>
      <c r="BH116" s="938"/>
      <c r="BI116" s="938"/>
      <c r="BJ116" s="938"/>
      <c r="BK116" s="938"/>
      <c r="BL116" s="938"/>
      <c r="BN116" s="938" t="str">
        <f>IF(OR(AND(BM6=2,BM4&gt;'#orgDung'!$AD$130),AND(BM6=3,BM4&lt;'#orgDung'!$AD$130,BM4&lt;&gt;0)),BM112,"")</f>
        <v/>
      </c>
      <c r="BO116" s="938" t="str">
        <f>IF(OR(BN116="",BN116&lt;0.001),"",$T$116)</f>
        <v/>
      </c>
      <c r="BP116" s="938"/>
      <c r="BQ116" s="938"/>
      <c r="BR116" s="938"/>
      <c r="BS116" s="938"/>
      <c r="BT116" s="938"/>
      <c r="BU116" s="938"/>
      <c r="BW116" s="938" t="str">
        <f>IF(OR(AND(BV6=2,BV4&gt;'#orgDung'!$AD$130),AND(BV6=3,BV4&lt;'#orgDung'!$AD$130,BV4&lt;&gt;0)),BV112,"")</f>
        <v/>
      </c>
      <c r="BX116" s="938" t="str">
        <f>IF(OR(BW116="",BW116&lt;0.001),"",$T$116)</f>
        <v/>
      </c>
      <c r="BY116" s="938"/>
      <c r="BZ116" s="938"/>
      <c r="CA116" s="938"/>
      <c r="CB116" s="938"/>
      <c r="CC116" s="938"/>
      <c r="CD116" s="938"/>
      <c r="CF116" s="938" t="str">
        <f>IF(OR(AND(CE6=2,CE4&gt;'#orgDung'!$AD$130),AND(CE6=3,CE4&lt;'#orgDung'!$AD$130,CE4&lt;&gt;0)),CE112,"")</f>
        <v/>
      </c>
      <c r="CG116" s="938" t="str">
        <f>IF(OR(CF116="",CF116&lt;0.001),"",$T$116)</f>
        <v/>
      </c>
      <c r="CH116" s="938"/>
      <c r="CI116" s="938"/>
      <c r="CJ116" s="938"/>
      <c r="CK116" s="938"/>
      <c r="CL116" s="938"/>
      <c r="CM116" s="938"/>
      <c r="CO116" s="938" t="str">
        <f>IF(OR(AND(CN6=2,CN4&gt;'#orgDung'!$AD$130),AND(CN6=3,CN4&lt;'#orgDung'!$AD$130,CN4&lt;&gt;0)),CN112,"")</f>
        <v/>
      </c>
      <c r="CP116" s="938" t="str">
        <f>IF(OR(CO116="",CO116&lt;0.001),"",$T$116)</f>
        <v/>
      </c>
      <c r="CQ116" s="938"/>
      <c r="CR116" s="938"/>
      <c r="CS116" s="938"/>
      <c r="CT116" s="938"/>
      <c r="CU116" s="938"/>
      <c r="CV116" s="938"/>
      <c r="CX116" s="938" t="str">
        <f>IF(OR(AND(CW6=2,CW4&gt;'#orgDung'!$AD$130),AND(CW6=3,CW4&lt;'#orgDung'!$AD$130,CW4&lt;&gt;0)),CW112,"")</f>
        <v/>
      </c>
      <c r="CY116" s="938" t="str">
        <f>IF(OR(CX116="",CX116&lt;0.001),"",$T$116)</f>
        <v/>
      </c>
      <c r="CZ116" s="938"/>
      <c r="DA116" s="938"/>
      <c r="DB116" s="938"/>
      <c r="DC116" s="938"/>
      <c r="DD116" s="938"/>
      <c r="DE116" s="938"/>
      <c r="DG116" s="938" t="str">
        <f>IF(OR(AND(DF6=2,DF4&gt;'#orgDung'!$AD$130),AND(DF6=3,DF4&lt;'#orgDung'!$AD$130,DF4&lt;&gt;0)),DF112,"")</f>
        <v/>
      </c>
      <c r="DH116" s="938" t="str">
        <f>IF(OR(DG116="",DG116&lt;0.001),"",$T$116)</f>
        <v/>
      </c>
      <c r="DI116" s="938"/>
      <c r="DJ116" s="938"/>
      <c r="DK116" s="938"/>
      <c r="DL116" s="938"/>
      <c r="DM116" s="938"/>
      <c r="DN116" s="938"/>
      <c r="DP116" s="938" t="str">
        <f>IF(OR(AND(DO6=2,DO4&gt;'#orgDung'!$AD$130),AND(DO6=3,DO4&lt;'#orgDung'!$AD$130,DO4&lt;&gt;0)),DO112,"")</f>
        <v/>
      </c>
      <c r="DQ116" s="938" t="str">
        <f>IF(OR(DP116="",DP116&lt;0.001),"",$T$116)</f>
        <v/>
      </c>
      <c r="DR116" s="938"/>
      <c r="DS116" s="938"/>
      <c r="DT116" s="938"/>
      <c r="DU116" s="938"/>
      <c r="DV116" s="938"/>
      <c r="DW116" s="938"/>
      <c r="DY116" s="938" t="str">
        <f>IF(OR(AND(DX6=2,DX4&gt;'#orgDung'!$AD$130),AND(DX6=3,DX4&lt;'#orgDung'!$AD$130,DX4&lt;&gt;0)),DX112,"")</f>
        <v/>
      </c>
      <c r="DZ116" s="938" t="str">
        <f>IF(OR(DY116="",DY116&lt;0.001),"",$T$116)</f>
        <v/>
      </c>
      <c r="EA116" s="938"/>
      <c r="EB116" s="938"/>
      <c r="EC116" s="938"/>
      <c r="ED116" s="938"/>
      <c r="EE116" s="938"/>
      <c r="EF116" s="938"/>
      <c r="EH116" s="938" t="str">
        <f>IF(OR(AND(EG6=2,EG4&gt;'#orgDung'!$AD$130),AND(EG6=3,EG4&lt;'#orgDung'!$AD$130,EG4&lt;&gt;0)),EG112,"")</f>
        <v/>
      </c>
      <c r="EI116" s="938" t="str">
        <f>IF(OR(EH116="",EH116&lt;0.001),"",$T$116)</f>
        <v/>
      </c>
      <c r="EJ116" s="938"/>
      <c r="EK116" s="938"/>
      <c r="EL116" s="938"/>
      <c r="EM116" s="938"/>
      <c r="EN116" s="938"/>
      <c r="EO116" s="938"/>
      <c r="EQ116" s="938" t="str">
        <f>IF(OR(AND(EP6=2,EP4&gt;'#orgDung'!$AD$130),AND(EP6=3,EP4&lt;'#orgDung'!$AD$130,EP4&lt;&gt;0)),EP112,"")</f>
        <v/>
      </c>
      <c r="ER116" s="938" t="str">
        <f>IF(OR(EQ116="",EQ116&lt;0.001),"",$T$116)</f>
        <v/>
      </c>
      <c r="ES116" s="938"/>
      <c r="ET116" s="938"/>
      <c r="EU116" s="938"/>
      <c r="EV116" s="938"/>
      <c r="EW116" s="938"/>
      <c r="EX116" s="938"/>
      <c r="EZ116" s="938" t="str">
        <f>IF(OR(AND(EY6=2,EY4&gt;'#orgDung'!$AD$130),AND(EY6=3,EY4&lt;'#orgDung'!$AD$130,EY4&lt;&gt;0)),EY112,"")</f>
        <v/>
      </c>
      <c r="FA116" s="938" t="str">
        <f>IF(OR(EZ116="",EZ116&lt;0.001),"",$T$116)</f>
        <v/>
      </c>
      <c r="FB116" s="938"/>
      <c r="FC116" s="938"/>
      <c r="FD116" s="938"/>
      <c r="FE116" s="938"/>
      <c r="FF116" s="938"/>
      <c r="FG116" s="938"/>
      <c r="FI116" s="938" t="str">
        <f>IF(OR(AND(FH6=2,FH4&gt;'#orgDung'!$AD$130),AND(FH6=3,FH4&lt;'#orgDung'!$AD$130,FH4&lt;&gt;0)),FH112,"")</f>
        <v/>
      </c>
      <c r="FJ116" s="938" t="str">
        <f>IF(OR(FI116="",FI116&lt;0.001),"",$T$116)</f>
        <v/>
      </c>
      <c r="FK116" s="938"/>
      <c r="FL116" s="938"/>
      <c r="FM116" s="938"/>
      <c r="FN116" s="938"/>
      <c r="FO116" s="938"/>
      <c r="FP116" s="938"/>
      <c r="FR116" s="938" t="str">
        <f>IF(OR(AND(FQ6=2,FQ4&gt;'#orgDung'!$AD$130),AND(FQ6=3,FQ4&lt;'#orgDung'!$AD$130,FQ4&lt;&gt;0)),FQ112,"")</f>
        <v/>
      </c>
      <c r="FS116" s="938" t="str">
        <f>IF(OR(FR116="",FR116&lt;0.001),"",$T$116)</f>
        <v/>
      </c>
      <c r="FT116" s="938"/>
      <c r="FU116" s="938"/>
      <c r="FV116" s="938"/>
      <c r="FW116" s="938"/>
      <c r="FX116" s="938"/>
      <c r="FY116" s="938"/>
      <c r="GA116" s="938" t="str">
        <f>IF(OR(AND(FZ6=2,FZ4&gt;'#orgDung'!$AD$130),AND(FZ6=3,FZ4&lt;'#orgDung'!$AD$130,FZ4&lt;&gt;0)),FZ112,"")</f>
        <v/>
      </c>
      <c r="GB116" s="938" t="str">
        <f>IF(OR(GA116="",GA116&lt;0.001),"",$T$116)</f>
        <v/>
      </c>
      <c r="GC116" s="938"/>
      <c r="GD116" s="938"/>
      <c r="GE116" s="938"/>
      <c r="GF116" s="938"/>
      <c r="GG116" s="938"/>
      <c r="GH116" s="938"/>
      <c r="GJ116" s="938" t="str">
        <f>IF(OR(AND(GI6=2,GI4&gt;'#orgDung'!$AD$130),AND(GI6=3,GI4&lt;'#orgDung'!$AD$130,GI4&lt;&gt;0)),GI112,"")</f>
        <v/>
      </c>
      <c r="GK116" s="938" t="str">
        <f>IF(OR(GJ116="",GJ116&lt;0.001),"",$T$116)</f>
        <v/>
      </c>
      <c r="GL116" s="938"/>
      <c r="GM116" s="938"/>
      <c r="GN116" s="938"/>
      <c r="GO116" s="938"/>
      <c r="GP116" s="938"/>
      <c r="GQ116" s="938"/>
      <c r="GS116" s="938" t="str">
        <f>IF(OR(AND(GR6=2,GR4&gt;'#orgDung'!$AD$130),AND(GR6=3,GR4&lt;'#orgDung'!$AD$130,GR4&lt;&gt;0)),GR112,"")</f>
        <v/>
      </c>
      <c r="GT116" s="938" t="str">
        <f>IF(OR(GS116="",GS116&lt;0.001),"",$T$116)</f>
        <v/>
      </c>
      <c r="GU116" s="938"/>
      <c r="GV116" s="938"/>
      <c r="GW116" s="938"/>
      <c r="GX116" s="938"/>
      <c r="GY116" s="938"/>
      <c r="GZ116" s="938"/>
      <c r="HB116" s="938" t="str">
        <f>IF(OR(AND(HA6=2,HA4&gt;'#orgDung'!$AD$130),AND(HA6=3,HA4&lt;'#orgDung'!$AD$130,HA4&lt;&gt;0)),HA112,"")</f>
        <v/>
      </c>
      <c r="HC116" s="938" t="str">
        <f>IF(OR(HB116="",HB116&lt;0.001),"",$T$116)</f>
        <v/>
      </c>
      <c r="HD116" s="938"/>
      <c r="HE116" s="938"/>
      <c r="HF116" s="938"/>
      <c r="HG116" s="938"/>
      <c r="HH116" s="938"/>
      <c r="HI116" s="938"/>
      <c r="HK116" s="938" t="str">
        <f>IF(OR(AND(HJ6=2,HJ4&gt;'#orgDung'!$AD$130),AND(HJ6=3,HJ4&lt;'#orgDung'!$AD$130,HJ4&lt;&gt;0)),HJ112,"")</f>
        <v/>
      </c>
      <c r="HL116" s="938" t="str">
        <f>IF(OR(HK116="",HK116&lt;0.001),"",$T$116)</f>
        <v/>
      </c>
      <c r="HM116" s="938"/>
      <c r="HN116" s="938"/>
      <c r="HO116" s="938"/>
      <c r="HP116" s="938"/>
      <c r="HQ116" s="938"/>
      <c r="HR116" s="938"/>
      <c r="HT116" s="938" t="str">
        <f>IF(OR(AND(HS6=2,HS4&gt;'#orgDung'!$AD$130),AND(HS6=3,HS4&lt;'#orgDung'!$AD$130,HS4&lt;&gt;0)),HS112,"")</f>
        <v/>
      </c>
      <c r="HU116" s="938" t="str">
        <f>IF(OR(HT116="",HT116&lt;0.001),"",$T$116)</f>
        <v/>
      </c>
      <c r="HV116" s="938"/>
      <c r="HW116" s="938"/>
      <c r="HX116" s="938"/>
      <c r="HY116" s="938"/>
      <c r="HZ116" s="938"/>
      <c r="IA116" s="938"/>
      <c r="IC116" s="938" t="str">
        <f>IF(OR(AND(IB6=2,IB4&gt;'#orgDung'!$AD$130),AND(IB6=3,IB4&lt;'#orgDung'!$AD$130,IB4&lt;&gt;0)),IB112,"")</f>
        <v/>
      </c>
      <c r="ID116" s="938" t="str">
        <f>IF(OR(IC116="",IC116&lt;0.001),"",$T$116)</f>
        <v/>
      </c>
      <c r="IE116" s="938"/>
      <c r="IF116" s="938"/>
      <c r="IG116" s="938"/>
      <c r="IH116" s="938"/>
      <c r="II116" s="938"/>
      <c r="IJ116" s="938"/>
      <c r="IL116" s="938" t="str">
        <f>IF(OR(AND(IK6=2,IK4&gt;'#orgDung'!$AD$130),AND(IK6=3,IK4&lt;'#orgDung'!$AD$130,IK4&lt;&gt;0)),IK112,"")</f>
        <v/>
      </c>
      <c r="IM116" s="938" t="str">
        <f>IF(OR(IL116="",IL116&lt;0.001),"",$T$116)</f>
        <v/>
      </c>
      <c r="IN116" s="938"/>
      <c r="IO116" s="938"/>
      <c r="IP116" s="938"/>
      <c r="IQ116" s="938"/>
      <c r="IR116" s="938"/>
      <c r="IS116" s="938"/>
      <c r="IU116" s="938" t="str">
        <f>IF(OR(AND(IT6=2,IT4&gt;'#orgDung'!$AD$130),AND(IT6=3,IT4&lt;'#orgDung'!$AD$130,IT4&lt;&gt;0)),IT112,"")</f>
        <v/>
      </c>
      <c r="IV116" s="938" t="str">
        <f>IF(OR(IU116="",IU116&lt;0.001),"",$T$116)</f>
        <v/>
      </c>
      <c r="IW116" s="938"/>
      <c r="IX116" s="938"/>
      <c r="IY116" s="938"/>
      <c r="IZ116" s="938"/>
      <c r="JA116" s="938"/>
      <c r="JB116" s="938"/>
      <c r="JD116" s="938" t="str">
        <f>IF(OR(AND(JC6=2,JC4&gt;'#orgDung'!$AD$130),AND(JC6=3,JC4&lt;'#orgDung'!$AD$130,JC4&lt;&gt;0)),JC112,"")</f>
        <v/>
      </c>
      <c r="JE116" s="938" t="str">
        <f>IF(OR(JD116="",JD116&lt;0.001),"",$T$116)</f>
        <v/>
      </c>
      <c r="JF116" s="938"/>
      <c r="JG116" s="938"/>
      <c r="JH116" s="938"/>
      <c r="JI116" s="938"/>
      <c r="JJ116" s="938"/>
      <c r="JK116" s="938"/>
      <c r="JM116" s="938" t="str">
        <f>IF(OR(AND(JL6=2,JL4&gt;'#orgDung'!$AD$130),AND(JL6=3,JL4&lt;'#orgDung'!$AD$130,JL4&lt;&gt;0)),JL112,"")</f>
        <v/>
      </c>
      <c r="JN116" s="938" t="str">
        <f>IF(OR(JM116="",JM116&lt;0.001),"",$T$116)</f>
        <v/>
      </c>
      <c r="JO116" s="938"/>
      <c r="JP116" s="938"/>
      <c r="JQ116" s="938"/>
      <c r="JR116" s="938"/>
      <c r="JS116" s="938"/>
      <c r="JT116" s="938"/>
      <c r="JV116" s="938" t="str">
        <f>IF(OR(AND(JU6=2,JU4&gt;'#orgDung'!$AD$130),AND(JU6=3,JU4&lt;'#orgDung'!$AD$130,JU4&lt;&gt;0)),JU112,"")</f>
        <v/>
      </c>
      <c r="JW116" s="938" t="str">
        <f>IF(OR(JV116="",JV116&lt;0.001),"",$T$116)</f>
        <v/>
      </c>
      <c r="JX116" s="938"/>
      <c r="JY116" s="938"/>
      <c r="JZ116" s="938"/>
      <c r="KA116" s="938"/>
      <c r="KB116" s="938"/>
      <c r="KC116" s="938"/>
    </row>
    <row r="117" spans="11:294" s="938" customFormat="1" x14ac:dyDescent="0.2"/>
    <row r="118" spans="11:294" s="938" customFormat="1" x14ac:dyDescent="0.2">
      <c r="S118" s="938" t="s">
        <v>1041</v>
      </c>
      <c r="T118" s="938">
        <v>17</v>
      </c>
      <c r="U118" s="938">
        <f>IF(AND(T4&gt;='#orgDung'!$AD$128,T4&lt;='#orgDung'!$AE$128),SUM(Y11:Y110),IF(AND(T4&gt;='#orgDung'!$AD$124,T4&lt;='#orgDung'!$AE$124),SUMIF($G$11:$G$110,1,X11:X110),0))</f>
        <v>0</v>
      </c>
      <c r="V118" s="938" t="str">
        <f>IF(OR(U118+U119&lt;0.001),"",$T$118)</f>
        <v/>
      </c>
      <c r="AD118" s="938">
        <f>IF(AND(AC4&gt;='#orgDung'!$AD$128,AC4&lt;='#orgDung'!$AE$128),SUM(AH11:AH110),IF(AND(AC4&gt;='#orgDung'!$AD$124,AC4&lt;='#orgDung'!$AE$124),SUMIF($G$11:$G$110,1,AG11:AG110),0))</f>
        <v>0</v>
      </c>
      <c r="AE118" s="938" t="str">
        <f>IF(OR(AD118+AD119&lt;0.001),"",$T$118)</f>
        <v/>
      </c>
      <c r="AM118" s="938">
        <f>IF(AND(AL4&gt;='#orgDung'!$AD$128,AL4&lt;='#orgDung'!$AE$128),SUM(AQ11:AQ110),IF(AND(AL4&gt;='#orgDung'!$AD$124,AL4&lt;='#orgDung'!$AE$124),SUMIF($G$11:$G$110,1,AP11:AP110),0))</f>
        <v>0</v>
      </c>
      <c r="AN118" s="938" t="str">
        <f>IF(OR(AM118+AM119&lt;0.001),"",$T$118)</f>
        <v/>
      </c>
      <c r="AV118" s="938">
        <f>IF(AND(AU4&gt;='#orgDung'!$AD$128,AU4&lt;='#orgDung'!$AE$128),SUM(AZ11:AZ110),IF(AND(AU4&gt;='#orgDung'!$AD$124,AU4&lt;='#orgDung'!$AE$124),SUMIF($G$11:$G$110,1,AY11:AY110),0))</f>
        <v>0</v>
      </c>
      <c r="AW118" s="938" t="str">
        <f>IF(OR(AV118+AV119&lt;0.001),"",$T$118)</f>
        <v/>
      </c>
      <c r="BE118" s="938">
        <f>IF(AND(BD4&gt;='#orgDung'!$AD$128,BD4&lt;='#orgDung'!$AE$128),SUM(BI11:BI110),IF(AND(BD4&gt;='#orgDung'!$AD$124,BD4&lt;='#orgDung'!$AE$124),SUMIF($G$11:$G$110,1,BH11:BH110),0))</f>
        <v>0</v>
      </c>
      <c r="BF118" s="938" t="str">
        <f>IF(OR(BE118+BE119&lt;0.001),"",$T$118)</f>
        <v/>
      </c>
      <c r="BN118" s="938">
        <f>IF(AND(BM4&gt;='#orgDung'!$AD$128,BM4&lt;='#orgDung'!$AE$128),SUM(BR11:BR110),IF(AND(BM4&gt;='#orgDung'!$AD$124,BM4&lt;='#orgDung'!$AE$124),SUMIF($G$11:$G$110,1,BQ11:BQ110),0))</f>
        <v>0</v>
      </c>
      <c r="BO118" s="938" t="str">
        <f>IF(OR(BN118+BN119&lt;0.001),"",$T$118)</f>
        <v/>
      </c>
      <c r="BW118" s="938">
        <f>IF(AND(BV4&gt;='#orgDung'!$AD$128,BV4&lt;='#orgDung'!$AE$128),SUM(CA11:CA110),IF(AND(BV4&gt;='#orgDung'!$AD$124,BV4&lt;='#orgDung'!$AE$124),SUMIF($G$11:$G$110,1,BZ11:BZ110),0))</f>
        <v>0</v>
      </c>
      <c r="BX118" s="938" t="str">
        <f>IF(OR(BW118+BW119&lt;0.001),"",$T$118)</f>
        <v/>
      </c>
      <c r="CF118" s="938">
        <f>IF(AND(CE4&gt;='#orgDung'!$AD$128,CE4&lt;='#orgDung'!$AE$128),SUM(CJ11:CJ110),IF(AND(CE4&gt;='#orgDung'!$AD$124,CE4&lt;='#orgDung'!$AE$124),SUMIF($G$11:$G$110,1,CI11:CI110),0))</f>
        <v>0</v>
      </c>
      <c r="CG118" s="938" t="str">
        <f>IF(OR(CF118+CF119&lt;0.001),"",$T$118)</f>
        <v/>
      </c>
      <c r="CO118" s="938">
        <f>IF(AND(CN4&gt;='#orgDung'!$AD$128,CN4&lt;='#orgDung'!$AE$128),SUM(CS11:CS110),IF(AND(CN4&gt;='#orgDung'!$AD$124,CN4&lt;='#orgDung'!$AE$124),SUMIF($G$11:$G$110,1,CR11:CR110),0))</f>
        <v>0</v>
      </c>
      <c r="CP118" s="938" t="str">
        <f>IF(OR(CO118+CO119&lt;0.001),"",$T$118)</f>
        <v/>
      </c>
      <c r="CX118" s="938">
        <f>IF(AND(CW4&gt;='#orgDung'!$AD$128,CW4&lt;='#orgDung'!$AE$128),SUM(DB11:DB110),IF(AND(CW4&gt;='#orgDung'!$AD$124,CW4&lt;='#orgDung'!$AE$124),SUMIF($G$11:$G$110,1,DA11:DA110),0))</f>
        <v>0</v>
      </c>
      <c r="CY118" s="938" t="str">
        <f>IF(OR(CX118+CX119&lt;0.001),"",$T$118)</f>
        <v/>
      </c>
      <c r="DG118" s="938">
        <f>IF(AND(DF4&gt;='#orgDung'!$AD$128,DF4&lt;='#orgDung'!$AE$128),SUM(DK11:DK110),IF(AND(DF4&gt;='#orgDung'!$AD$124,DF4&lt;='#orgDung'!$AE$124),SUMIF($G$11:$G$110,1,DJ11:DJ110),0))</f>
        <v>0</v>
      </c>
      <c r="DH118" s="938" t="str">
        <f>IF(OR(DG118+DG119&lt;0.001),"",$T$118)</f>
        <v/>
      </c>
      <c r="DP118" s="938">
        <f>IF(AND(DO4&gt;='#orgDung'!$AD$128,DO4&lt;='#orgDung'!$AE$128),SUM(DT11:DT110),IF(AND(DO4&gt;='#orgDung'!$AD$124,DO4&lt;='#orgDung'!$AE$124),SUMIF($G$11:$G$110,1,DS11:DS110),0))</f>
        <v>0</v>
      </c>
      <c r="DQ118" s="938" t="str">
        <f>IF(OR(DP118+DP119&lt;0.001),"",$T$118)</f>
        <v/>
      </c>
      <c r="DY118" s="938">
        <f>IF(AND(DX4&gt;='#orgDung'!$AD$128,DX4&lt;='#orgDung'!$AE$128),SUM(EC11:EC110),IF(AND(DX4&gt;='#orgDung'!$AD$124,DX4&lt;='#orgDung'!$AE$124),SUMIF($G$11:$G$110,1,EB11:EB110),0))</f>
        <v>0</v>
      </c>
      <c r="DZ118" s="938" t="str">
        <f>IF(OR(DY118+DY119&lt;0.001),"",$T$118)</f>
        <v/>
      </c>
      <c r="EH118" s="938">
        <f>IF(AND(EG4&gt;='#orgDung'!$AD$128,EG4&lt;='#orgDung'!$AE$128),SUM(EL11:EL110),IF(AND(EG4&gt;='#orgDung'!$AD$124,EG4&lt;='#orgDung'!$AE$124),SUMIF($G$11:$G$110,1,EK11:EK110),0))</f>
        <v>0</v>
      </c>
      <c r="EI118" s="938" t="str">
        <f>IF(OR(EH118+EH119&lt;0.001),"",$T$118)</f>
        <v/>
      </c>
      <c r="EQ118" s="938">
        <f>IF(AND(EP4&gt;='#orgDung'!$AD$128,EP4&lt;='#orgDung'!$AE$128),SUM(EU11:EU110),IF(AND(EP4&gt;='#orgDung'!$AD$124,EP4&lt;='#orgDung'!$AE$124),SUMIF($G$11:$G$110,1,ET11:ET110),0))</f>
        <v>0</v>
      </c>
      <c r="ER118" s="938" t="str">
        <f>IF(OR(EQ118+EQ119&lt;0.001),"",$T$118)</f>
        <v/>
      </c>
      <c r="EZ118" s="938">
        <f>IF(AND(EY4&gt;='#orgDung'!$AD$128,EY4&lt;='#orgDung'!$AE$128),SUM(FD11:FD110),IF(AND(EY4&gt;='#orgDung'!$AD$124,EY4&lt;='#orgDung'!$AE$124),SUMIF($G$11:$G$110,1,FC11:FC110),0))</f>
        <v>0</v>
      </c>
      <c r="FA118" s="938" t="str">
        <f>IF(OR(EZ118+EZ119&lt;0.001),"",$T$118)</f>
        <v/>
      </c>
      <c r="FI118" s="938">
        <f>IF(AND(FH4&gt;='#orgDung'!$AD$128,FH4&lt;='#orgDung'!$AE$128),SUM(FM11:FM110),IF(AND(FH4&gt;='#orgDung'!$AD$124,FH4&lt;='#orgDung'!$AE$124),SUMIF($G$11:$G$110,1,FL11:FL110),0))</f>
        <v>0</v>
      </c>
      <c r="FJ118" s="938" t="str">
        <f>IF(OR(FI118+FI119&lt;0.001),"",$T$118)</f>
        <v/>
      </c>
      <c r="FR118" s="938">
        <f>IF(AND(FQ4&gt;='#orgDung'!$AD$128,FQ4&lt;='#orgDung'!$AE$128),SUM(FV11:FV110),IF(AND(FQ4&gt;='#orgDung'!$AD$124,FQ4&lt;='#orgDung'!$AE$124),SUMIF($G$11:$G$110,1,FU11:FU110),0))</f>
        <v>0</v>
      </c>
      <c r="FS118" s="938" t="str">
        <f>IF(OR(FR118+FR119&lt;0.001),"",$T$118)</f>
        <v/>
      </c>
      <c r="GA118" s="938">
        <f>IF(AND(FZ4&gt;='#orgDung'!$AD$128,FZ4&lt;='#orgDung'!$AE$128),SUM(GE11:GE110),IF(AND(FZ4&gt;='#orgDung'!$AD$124,FZ4&lt;='#orgDung'!$AE$124),SUMIF($G$11:$G$110,1,GD11:GD110),0))</f>
        <v>0</v>
      </c>
      <c r="GB118" s="938" t="str">
        <f>IF(OR(GA118+GA119&lt;0.001),"",$T$118)</f>
        <v/>
      </c>
      <c r="GJ118" s="938">
        <f>IF(AND(GI4&gt;='#orgDung'!$AD$128,GI4&lt;='#orgDung'!$AE$128),SUM(GN11:GN110),IF(AND(GI4&gt;='#orgDung'!$AD$124,GI4&lt;='#orgDung'!$AE$124),SUMIF($G$11:$G$110,1,GM11:GM110),0))</f>
        <v>0</v>
      </c>
      <c r="GK118" s="938" t="str">
        <f>IF(OR(GJ118+GJ119&lt;0.001),"",$T$118)</f>
        <v/>
      </c>
      <c r="GS118" s="938">
        <f>IF(AND(GR4&gt;='#orgDung'!$AD$128,GR4&lt;='#orgDung'!$AE$128),SUM(GW11:GW110),IF(AND(GR4&gt;='#orgDung'!$AD$124,GR4&lt;='#orgDung'!$AE$124),SUMIF($G$11:$G$110,1,GV11:GV110),0))</f>
        <v>0</v>
      </c>
      <c r="GT118" s="938" t="str">
        <f>IF(OR(GS118+GS119&lt;0.001),"",$T$118)</f>
        <v/>
      </c>
      <c r="HB118" s="938">
        <f>IF(AND(HA4&gt;='#orgDung'!$AD$128,HA4&lt;='#orgDung'!$AE$128),SUM(HF11:HF110),IF(AND(HA4&gt;='#orgDung'!$AD$124,HA4&lt;='#orgDung'!$AE$124),SUMIF($G$11:$G$110,1,HE11:HE110),0))</f>
        <v>0</v>
      </c>
      <c r="HC118" s="938" t="str">
        <f>IF(OR(HB118+HB119&lt;0.001),"",$T$118)</f>
        <v/>
      </c>
      <c r="HK118" s="938">
        <f>IF(AND(HJ4&gt;='#orgDung'!$AD$128,HJ4&lt;='#orgDung'!$AE$128),SUM(HO11:HO110),IF(AND(HJ4&gt;='#orgDung'!$AD$124,HJ4&lt;='#orgDung'!$AE$124),SUMIF($G$11:$G$110,1,HN11:HN110),0))</f>
        <v>0</v>
      </c>
      <c r="HL118" s="938" t="str">
        <f>IF(OR(HK118+HK119&lt;0.001),"",$T$118)</f>
        <v/>
      </c>
      <c r="HT118" s="938">
        <f>IF(AND(HS4&gt;='#orgDung'!$AD$128,HS4&lt;='#orgDung'!$AE$128),SUM(HX11:HX110),IF(AND(HS4&gt;='#orgDung'!$AD$124,HS4&lt;='#orgDung'!$AE$124),SUMIF($G$11:$G$110,1,HW11:HW110),0))</f>
        <v>0</v>
      </c>
      <c r="HU118" s="938" t="str">
        <f>IF(OR(HT118+HT119&lt;0.001),"",$T$118)</f>
        <v/>
      </c>
      <c r="IC118" s="938">
        <f>IF(AND(IB4&gt;='#orgDung'!$AD$128,IB4&lt;='#orgDung'!$AE$128),SUM(IG11:IG110),IF(AND(IB4&gt;='#orgDung'!$AD$124,IB4&lt;='#orgDung'!$AE$124),SUMIF($G$11:$G$110,1,IF11:IF110),0))</f>
        <v>0</v>
      </c>
      <c r="ID118" s="938" t="str">
        <f>IF(OR(IC118+IC119&lt;0.001),"",$T$118)</f>
        <v/>
      </c>
      <c r="IL118" s="938">
        <f>IF(AND(IK4&gt;='#orgDung'!$AD$128,IK4&lt;='#orgDung'!$AE$128),SUM(IP11:IP110),IF(AND(IK4&gt;='#orgDung'!$AD$124,IK4&lt;='#orgDung'!$AE$124),SUMIF($G$11:$G$110,1,IO11:IO110),0))</f>
        <v>0</v>
      </c>
      <c r="IM118" s="938" t="str">
        <f>IF(OR(IL118+IL119&lt;0.001),"",$T$118)</f>
        <v/>
      </c>
      <c r="IU118" s="938">
        <f>IF(AND(IT4&gt;='#orgDung'!$AD$128,IT4&lt;='#orgDung'!$AE$128),SUM(IY11:IY110),IF(AND(IT4&gt;='#orgDung'!$AD$124,IT4&lt;='#orgDung'!$AE$124),SUMIF($G$11:$G$110,1,IX11:IX110),0))</f>
        <v>0</v>
      </c>
      <c r="IV118" s="938" t="str">
        <f>IF(OR(IU118+IU119&lt;0.001),"",$T$118)</f>
        <v/>
      </c>
      <c r="JD118" s="938">
        <f>IF(AND(JC4&gt;='#orgDung'!$AD$128,JC4&lt;='#orgDung'!$AE$128),SUM(JH11:JH110),IF(AND(JC4&gt;='#orgDung'!$AD$124,JC4&lt;='#orgDung'!$AE$124),SUMIF($G$11:$G$110,1,JG11:JG110),0))</f>
        <v>0</v>
      </c>
      <c r="JE118" s="938" t="str">
        <f>IF(OR(JD118+JD119&lt;0.001),"",$T$118)</f>
        <v/>
      </c>
      <c r="JM118" s="938">
        <f>IF(AND(JL4&gt;='#orgDung'!$AD$128,JL4&lt;='#orgDung'!$AE$128),SUM(JQ11:JQ110),IF(AND(JL4&gt;='#orgDung'!$AD$124,JL4&lt;='#orgDung'!$AE$124),SUMIF($G$11:$G$110,1,JP11:JP110),0))</f>
        <v>0</v>
      </c>
      <c r="JN118" s="938" t="str">
        <f>IF(OR(JM118+JM119&lt;0.001),"",$T$118)</f>
        <v/>
      </c>
      <c r="JV118" s="938">
        <f>IF(AND(JU4&gt;='#orgDung'!$AD$128,JU4&lt;='#orgDung'!$AE$128),SUM(JZ11:JZ110),IF(AND(JU4&gt;='#orgDung'!$AD$124,JU4&lt;='#orgDung'!$AE$124),SUMIF($G$11:$G$110,1,JY11:JY110),0))</f>
        <v>0</v>
      </c>
      <c r="JW118" s="938" t="str">
        <f>IF(OR(JV118+JV119&lt;0.001),"",$T$118)</f>
        <v/>
      </c>
    </row>
    <row r="119" spans="11:294" s="938" customFormat="1" x14ac:dyDescent="0.2">
      <c r="T119" s="938" t="s">
        <v>1654</v>
      </c>
      <c r="U119" s="938">
        <f>IF(AND(T4&gt;='#orgDung'!$AF$119,T4&lt;='#orgDung'!$AG$119),SUMIF($C$11:$C$110,1,X11:X110),IF(AND(T4&gt;='#orgDung'!$AD$119,T4&lt;='#orgDung'!$AE$119),SUM(X11:X110),0))</f>
        <v>0</v>
      </c>
      <c r="AD119" s="938">
        <f>IF(AND(AC4&gt;='#orgDung'!$AF$119,AC4&lt;='#orgDung'!$AG$119),SUMIF($C$11:$C$110,1,AG11:AG110),IF(AND(AC4&gt;='#orgDung'!$AD$119,AC4&lt;='#orgDung'!$AE$119),SUM(AG11:AG110),0))</f>
        <v>0</v>
      </c>
      <c r="AM119" s="938">
        <f>IF(AND(AL4&gt;='#orgDung'!$AF$119,AL4&lt;='#orgDung'!$AG$119),SUMIF($C$11:$C$110,1,AP11:AP110),IF(AND(AL4&gt;='#orgDung'!$AD$119,AL4&lt;='#orgDung'!$AE$119),SUM(AP11:AP110),0))</f>
        <v>0</v>
      </c>
      <c r="AV119" s="938">
        <f>IF(AND(AU4&gt;='#orgDung'!$AF$119,AU4&lt;='#orgDung'!$AG$119),SUMIF($C$11:$C$110,1,AY11:AY110),IF(AND(AU4&gt;='#orgDung'!$AD$119,AU4&lt;='#orgDung'!$AE$119),SUM(AY11:AY110),0))</f>
        <v>0</v>
      </c>
      <c r="BE119" s="938">
        <f>IF(AND(BD4&gt;='#orgDung'!$AF$119,BD4&lt;='#orgDung'!$AG$119),SUMIF($C$11:$C$110,1,BH11:BH110),IF(AND(BD4&gt;='#orgDung'!$AD$119,BD4&lt;='#orgDung'!$AE$119),SUM(BH11:BH110),0))</f>
        <v>0</v>
      </c>
      <c r="BN119" s="938">
        <f>IF(AND(BM4&gt;='#orgDung'!$AF$119,BM4&lt;='#orgDung'!$AG$119),SUMIF($C$11:$C$110,1,BQ11:BQ110),IF(AND(BM4&gt;='#orgDung'!$AD$119,BM4&lt;='#orgDung'!$AE$119),SUM(BQ11:BQ110),0))</f>
        <v>0</v>
      </c>
      <c r="BW119" s="938">
        <f>IF(AND(BV4&gt;='#orgDung'!$AF$119,BV4&lt;='#orgDung'!$AG$119),SUMIF($C$11:$C$110,1,BZ11:BZ110),IF(AND(BV4&gt;='#orgDung'!$AD$119,BV4&lt;='#orgDung'!$AE$119),SUM(BZ11:BZ110),0))</f>
        <v>0</v>
      </c>
      <c r="CF119" s="938">
        <f>IF(AND(CE4&gt;='#orgDung'!$AF$119,CE4&lt;='#orgDung'!$AG$119),SUMIF($C$11:$C$110,1,CI11:CI110),IF(AND(CE4&gt;='#orgDung'!$AD$119,CE4&lt;='#orgDung'!$AE$119),SUM(CI11:CI110),0))</f>
        <v>0</v>
      </c>
      <c r="CO119" s="938">
        <f>IF(AND(CN4&gt;='#orgDung'!$AF$119,CN4&lt;='#orgDung'!$AG$119),SUMIF($C$11:$C$110,1,CR11:CR110),IF(AND(CN4&gt;='#orgDung'!$AD$119,CN4&lt;='#orgDung'!$AE$119),SUM(CR11:CR110),0))</f>
        <v>0</v>
      </c>
      <c r="CX119" s="938">
        <f>IF(AND(CW4&gt;='#orgDung'!$AF$119,CW4&lt;='#orgDung'!$AG$119),SUMIF($C$11:$C$110,1,DA11:DA110),IF(AND(CW4&gt;='#orgDung'!$AD$119,CW4&lt;='#orgDung'!$AE$119),SUM(DA11:DA110),0))</f>
        <v>0</v>
      </c>
      <c r="DG119" s="938">
        <f>IF(AND(DF4&gt;='#orgDung'!$AF$119,DF4&lt;='#orgDung'!$AG$119),SUMIF($C$11:$C$110,1,DJ11:DJ110),IF(AND(DF4&gt;='#orgDung'!$AD$119,DF4&lt;='#orgDung'!$AE$119),SUM(DJ11:DJ110),0))</f>
        <v>0</v>
      </c>
      <c r="DP119" s="938">
        <f>IF(AND(DO4&gt;='#orgDung'!$AF$119,DO4&lt;='#orgDung'!$AG$119),SUMIF($C$11:$C$110,1,DS11:DS110),IF(AND(DO4&gt;='#orgDung'!$AD$119,DO4&lt;='#orgDung'!$AE$119),SUM(DS11:DS110),0))</f>
        <v>0</v>
      </c>
      <c r="DY119" s="938">
        <f>IF(AND(DX4&gt;='#orgDung'!$AF$119,DX4&lt;='#orgDung'!$AG$119),SUMIF($C$11:$C$110,1,EB11:EB110),IF(AND(DX4&gt;='#orgDung'!$AD$119,DX4&lt;='#orgDung'!$AE$119),SUM(EB11:EB110),0))</f>
        <v>0</v>
      </c>
      <c r="EH119" s="938">
        <f>IF(AND(EG4&gt;='#orgDung'!$AF$119,EG4&lt;='#orgDung'!$AG$119),SUMIF($C$11:$C$110,1,EK11:EK110),IF(AND(EG4&gt;='#orgDung'!$AD$119,EG4&lt;='#orgDung'!$AE$119),SUM(EK11:EK110),0))</f>
        <v>0</v>
      </c>
      <c r="EQ119" s="938">
        <f>IF(AND(EP4&gt;='#orgDung'!$AF$119,EP4&lt;='#orgDung'!$AG$119),SUMIF($C$11:$C$110,1,ET11:ET110),IF(AND(EP4&gt;='#orgDung'!$AD$119,EP4&lt;='#orgDung'!$AE$119),SUM(ET11:ET110),0))</f>
        <v>0</v>
      </c>
      <c r="EZ119" s="938">
        <f>IF(AND(EY4&gt;='#orgDung'!$AF$119,EY4&lt;='#orgDung'!$AG$119),SUMIF($C$11:$C$110,1,FC11:FC110),IF(AND(EY4&gt;='#orgDung'!$AD$119,EY4&lt;='#orgDung'!$AE$119),SUM(FC11:FC110),0))</f>
        <v>0</v>
      </c>
      <c r="FI119" s="938">
        <f>IF(AND(FH4&gt;='#orgDung'!$AF$119,FH4&lt;='#orgDung'!$AG$119),SUMIF($C$11:$C$110,1,FL11:FL110),IF(AND(FH4&gt;='#orgDung'!$AD$119,FH4&lt;='#orgDung'!$AE$119),SUM(FL11:FL110),0))</f>
        <v>0</v>
      </c>
      <c r="FR119" s="938">
        <f>IF(AND(FQ4&gt;='#orgDung'!$AF$119,FQ4&lt;='#orgDung'!$AG$119),SUMIF($C$11:$C$110,1,FU11:FU110),IF(AND(FQ4&gt;='#orgDung'!$AD$119,FQ4&lt;='#orgDung'!$AE$119),SUM(FU11:FU110),0))</f>
        <v>0</v>
      </c>
      <c r="GA119" s="938">
        <f>IF(AND(FZ4&gt;='#orgDung'!$AF$119,FZ4&lt;='#orgDung'!$AG$119),SUMIF($C$11:$C$110,1,GD11:GD110),IF(AND(FZ4&gt;='#orgDung'!$AD$119,FZ4&lt;='#orgDung'!$AE$119),SUM(GD11:GD110),0))</f>
        <v>0</v>
      </c>
      <c r="GJ119" s="938">
        <f>IF(AND(GI4&gt;='#orgDung'!$AF$119,GI4&lt;='#orgDung'!$AG$119),SUMIF($C$11:$C$110,1,GM11:GM110),IF(AND(GI4&gt;='#orgDung'!$AD$119,GI4&lt;='#orgDung'!$AE$119),SUM(GM11:GM110),0))</f>
        <v>0</v>
      </c>
      <c r="GS119" s="938">
        <f>IF(AND(GR4&gt;='#orgDung'!$AF$119,GR4&lt;='#orgDung'!$AG$119),SUMIF($C$11:$C$110,1,GV11:GV110),IF(AND(GR4&gt;='#orgDung'!$AD$119,GR4&lt;='#orgDung'!$AE$119),SUM(GV11:GV110),0))</f>
        <v>0</v>
      </c>
      <c r="HB119" s="938">
        <f>IF(AND(HA4&gt;='#orgDung'!$AF$119,HA4&lt;='#orgDung'!$AG$119),SUMIF($C$11:$C$110,1,HE11:HE110),IF(AND(HA4&gt;='#orgDung'!$AD$119,HA4&lt;='#orgDung'!$AE$119),SUM(HE11:HE110),0))</f>
        <v>0</v>
      </c>
      <c r="HK119" s="938">
        <f>IF(AND(HJ4&gt;='#orgDung'!$AF$119,HJ4&lt;='#orgDung'!$AG$119),SUMIF($C$11:$C$110,1,HN11:HN110),IF(AND(HJ4&gt;='#orgDung'!$AD$119,HJ4&lt;='#orgDung'!$AE$119),SUM(HN11:HN110),0))</f>
        <v>0</v>
      </c>
      <c r="HT119" s="938">
        <f>IF(AND(HS4&gt;='#orgDung'!$AF$119,HS4&lt;='#orgDung'!$AG$119),SUMIF($C$11:$C$110,1,HW11:HW110),IF(AND(HS4&gt;='#orgDung'!$AD$119,HS4&lt;='#orgDung'!$AE$119),SUM(HW11:HW110),0))</f>
        <v>0</v>
      </c>
      <c r="IC119" s="938">
        <f>IF(AND(IB4&gt;='#orgDung'!$AF$119,IB4&lt;='#orgDung'!$AG$119),SUMIF($C$11:$C$110,1,IF11:IF110),IF(AND(IB4&gt;='#orgDung'!$AD$119,IB4&lt;='#orgDung'!$AE$119),SUM(IF11:IF110),0))</f>
        <v>0</v>
      </c>
      <c r="IL119" s="938">
        <f>IF(AND(IK4&gt;='#orgDung'!$AF$119,IK4&lt;='#orgDung'!$AG$119),SUMIF($C$11:$C$110,1,IO11:IO110),IF(AND(IK4&gt;='#orgDung'!$AD$119,IK4&lt;='#orgDung'!$AE$119),SUM(IO11:IO110),0))</f>
        <v>0</v>
      </c>
      <c r="IU119" s="938">
        <f>IF(AND(IT4&gt;='#orgDung'!$AF$119,IT4&lt;='#orgDung'!$AG$119),SUMIF($C$11:$C$110,1,IX11:IX110),IF(AND(IT4&gt;='#orgDung'!$AD$119,IT4&lt;='#orgDung'!$AE$119),SUM(IX11:IX110),0))</f>
        <v>0</v>
      </c>
      <c r="JD119" s="938">
        <f>IF(AND(JC4&gt;='#orgDung'!$AF$119,JC4&lt;='#orgDung'!$AG$119),SUMIF($C$11:$C$110,1,JG11:JG110),IF(AND(JC4&gt;='#orgDung'!$AD$119,JC4&lt;='#orgDung'!$AE$119),SUM(JG11:JG110),0))</f>
        <v>0</v>
      </c>
      <c r="JM119" s="938">
        <f>IF(AND(JL4&gt;='#orgDung'!$AF$119,JL4&lt;='#orgDung'!$AG$119),SUMIF($C$11:$C$110,1,JP11:JP110),IF(AND(JL4&gt;='#orgDung'!$AD$119,JL4&lt;='#orgDung'!$AE$119),SUM(JP11:JP110),0))</f>
        <v>0</v>
      </c>
      <c r="JV119" s="938">
        <f>IF(AND(JU4&gt;='#orgDung'!$AF$119,JU4&lt;='#orgDung'!$AG$119),SUMIF($C$11:$C$110,1,JY11:JY110),IF(AND(JU4&gt;='#orgDung'!$AD$119,JU4&lt;='#orgDung'!$AE$119),SUM(JY11:JY110),0))</f>
        <v>0</v>
      </c>
    </row>
    <row r="120" spans="11:294" s="938" customFormat="1" x14ac:dyDescent="0.2"/>
    <row r="121" spans="11:294" s="938" customFormat="1" x14ac:dyDescent="0.2">
      <c r="Q121" s="938" t="s">
        <v>1655</v>
      </c>
      <c r="R121" s="938">
        <f>SUM(T121:XFD121)</f>
        <v>0</v>
      </c>
      <c r="V121" s="938">
        <f>COUNT(V114:V116)</f>
        <v>0</v>
      </c>
      <c r="AE121" s="938">
        <f>COUNT(AE114:AE116)</f>
        <v>0</v>
      </c>
      <c r="AN121" s="938">
        <f>COUNT(AN114:AN116)</f>
        <v>0</v>
      </c>
      <c r="AW121" s="938">
        <f>COUNT(AW114:AW116)</f>
        <v>0</v>
      </c>
      <c r="BF121" s="938">
        <f>COUNT(BF114:BF116)</f>
        <v>0</v>
      </c>
      <c r="BO121" s="938">
        <f>COUNT(BO114:BO116)</f>
        <v>0</v>
      </c>
      <c r="BX121" s="938">
        <f>COUNT(BX114:BX116)</f>
        <v>0</v>
      </c>
      <c r="CG121" s="938">
        <f>COUNT(CG114:CG116)</f>
        <v>0</v>
      </c>
      <c r="CP121" s="938">
        <f>COUNT(CP114:CP116)</f>
        <v>0</v>
      </c>
      <c r="CY121" s="938">
        <f>COUNT(CY114:CY116)</f>
        <v>0</v>
      </c>
      <c r="DH121" s="938">
        <f>COUNT(DH114:DH116)</f>
        <v>0</v>
      </c>
      <c r="DQ121" s="938">
        <f>COUNT(DQ114:DQ116)</f>
        <v>0</v>
      </c>
      <c r="DZ121" s="938">
        <f>COUNT(DZ114:DZ116)</f>
        <v>0</v>
      </c>
      <c r="EI121" s="938">
        <f>COUNT(EI114:EI116)</f>
        <v>0</v>
      </c>
      <c r="ER121" s="938">
        <f>COUNT(ER114:ER116)</f>
        <v>0</v>
      </c>
      <c r="FA121" s="938">
        <f>COUNT(FA114:FA116)</f>
        <v>0</v>
      </c>
      <c r="FJ121" s="938">
        <f>COUNT(FJ114:FJ116)</f>
        <v>0</v>
      </c>
      <c r="FS121" s="938">
        <f>COUNT(FS114:FS116)</f>
        <v>0</v>
      </c>
      <c r="GB121" s="938">
        <f>COUNT(GB114:GB116)</f>
        <v>0</v>
      </c>
      <c r="GK121" s="938">
        <f>COUNT(GK114:GK116)</f>
        <v>0</v>
      </c>
      <c r="GT121" s="938">
        <f>COUNT(GT114:GT116)</f>
        <v>0</v>
      </c>
      <c r="HC121" s="938">
        <f>COUNT(HC114:HC116)</f>
        <v>0</v>
      </c>
      <c r="HL121" s="938">
        <f>COUNT(HL114:HL116)</f>
        <v>0</v>
      </c>
      <c r="HU121" s="938">
        <f>COUNT(HU114:HU116)</f>
        <v>0</v>
      </c>
      <c r="ID121" s="938">
        <f>COUNT(ID114:ID116)</f>
        <v>0</v>
      </c>
      <c r="IM121" s="938">
        <f>COUNT(IM114:IM116)</f>
        <v>0</v>
      </c>
      <c r="IV121" s="938">
        <f>COUNT(IV114:IV116)</f>
        <v>0</v>
      </c>
      <c r="JE121" s="938">
        <f>COUNT(JE114:JE116)</f>
        <v>0</v>
      </c>
      <c r="JN121" s="938">
        <f>COUNT(JN114:JN116)</f>
        <v>0</v>
      </c>
      <c r="JW121" s="938">
        <f>COUNT(JW114:JW116)</f>
        <v>0</v>
      </c>
    </row>
    <row r="122" spans="11:294" s="938" customFormat="1" x14ac:dyDescent="0.2">
      <c r="Q122" s="938" t="s">
        <v>1656</v>
      </c>
      <c r="R122" s="938">
        <f>SUM(T122:XFD122)</f>
        <v>0</v>
      </c>
      <c r="V122" s="938">
        <f>COUNT(V118:V119)</f>
        <v>0</v>
      </c>
      <c r="AE122" s="938">
        <f>COUNT(AE118:AE119)</f>
        <v>0</v>
      </c>
      <c r="AN122" s="938">
        <f>COUNT(AN118:AN119)</f>
        <v>0</v>
      </c>
      <c r="AW122" s="938">
        <f>COUNT(AW118:AW119)</f>
        <v>0</v>
      </c>
      <c r="BF122" s="938">
        <f>COUNT(BF118:BF119)</f>
        <v>0</v>
      </c>
      <c r="BO122" s="938">
        <f>COUNT(BO118:BO119)</f>
        <v>0</v>
      </c>
      <c r="BX122" s="938">
        <f>COUNT(BX118:BX119)</f>
        <v>0</v>
      </c>
      <c r="CG122" s="938">
        <f>COUNT(CG118:CG119)</f>
        <v>0</v>
      </c>
      <c r="CP122" s="938">
        <f>COUNT(CP118:CP119)</f>
        <v>0</v>
      </c>
      <c r="CY122" s="938">
        <f>COUNT(CY118:CY119)</f>
        <v>0</v>
      </c>
      <c r="DH122" s="938">
        <f>COUNT(DH118:DH119)</f>
        <v>0</v>
      </c>
      <c r="DQ122" s="938">
        <f>COUNT(DQ118:DQ119)</f>
        <v>0</v>
      </c>
      <c r="DZ122" s="938">
        <f>COUNT(DZ118:DZ119)</f>
        <v>0</v>
      </c>
      <c r="EI122" s="938">
        <f>COUNT(EI118:EI119)</f>
        <v>0</v>
      </c>
      <c r="ER122" s="938">
        <f>COUNT(ER118:ER119)</f>
        <v>0</v>
      </c>
      <c r="FA122" s="938">
        <f>COUNT(FA118:FA119)</f>
        <v>0</v>
      </c>
      <c r="FJ122" s="938">
        <f>COUNT(FJ118:FJ119)</f>
        <v>0</v>
      </c>
      <c r="FS122" s="938">
        <f>COUNT(FS118:FS119)</f>
        <v>0</v>
      </c>
      <c r="GB122" s="938">
        <f>COUNT(GB118:GB119)</f>
        <v>0</v>
      </c>
      <c r="GK122" s="938">
        <f>COUNT(GK118:GK119)</f>
        <v>0</v>
      </c>
      <c r="GT122" s="938">
        <f>COUNT(GT118:GT119)</f>
        <v>0</v>
      </c>
      <c r="HC122" s="938">
        <f>COUNT(HC118:HC119)</f>
        <v>0</v>
      </c>
      <c r="HL122" s="938">
        <f>COUNT(HL118:HL119)</f>
        <v>0</v>
      </c>
      <c r="HU122" s="938">
        <f>COUNT(HU118:HU119)</f>
        <v>0</v>
      </c>
      <c r="ID122" s="938">
        <f>COUNT(ID118:ID119)</f>
        <v>0</v>
      </c>
      <c r="IM122" s="938">
        <f>COUNT(IM118:IM119)</f>
        <v>0</v>
      </c>
      <c r="IV122" s="938">
        <f>COUNT(IV118:IV119)</f>
        <v>0</v>
      </c>
      <c r="JE122" s="938">
        <f>COUNT(JE118:JE119)</f>
        <v>0</v>
      </c>
      <c r="JN122" s="938">
        <f>COUNT(JN118:JN119)</f>
        <v>0</v>
      </c>
      <c r="JW122" s="938">
        <f>COUNT(JW118:JW119)</f>
        <v>0</v>
      </c>
      <c r="KF122" s="938">
        <f>COUNTIFS($E$11:$E$110,"x",KF11:KF110,KF7)</f>
        <v>0</v>
      </c>
      <c r="KG122" s="938">
        <f>COUNTIFS($E$11:$E$110,"x",KG11:KG110,KG7)</f>
        <v>0</v>
      </c>
      <c r="KH122" s="938">
        <f>COUNTIFS($E$11:$E$110,"x",KH11:KH110,KH7)</f>
        <v>0</v>
      </c>
    </row>
    <row r="123" spans="11:294" x14ac:dyDescent="0.2">
      <c r="AD123" s="938"/>
      <c r="AE123" s="938"/>
      <c r="AF123" s="938"/>
      <c r="AG123" s="938"/>
      <c r="AH123" s="938"/>
      <c r="AI123" s="938"/>
      <c r="AJ123" s="938"/>
      <c r="AK123" s="938"/>
      <c r="AM123" s="938"/>
      <c r="AN123" s="938"/>
      <c r="AO123" s="938"/>
      <c r="AP123" s="938"/>
      <c r="AQ123" s="938"/>
      <c r="AR123" s="938"/>
      <c r="AS123" s="938"/>
      <c r="AT123" s="938"/>
      <c r="AV123" s="938"/>
      <c r="AW123" s="938"/>
      <c r="AX123" s="938"/>
      <c r="AY123" s="938"/>
      <c r="AZ123" s="938"/>
      <c r="BA123" s="938"/>
      <c r="BB123" s="938"/>
      <c r="BC123" s="938"/>
      <c r="BE123" s="938"/>
      <c r="BF123" s="938"/>
      <c r="BG123" s="938"/>
      <c r="BH123" s="938"/>
      <c r="BI123" s="938"/>
      <c r="BJ123" s="938"/>
      <c r="BK123" s="938"/>
      <c r="BL123" s="938"/>
      <c r="BN123" s="938"/>
      <c r="BO123" s="938"/>
      <c r="BP123" s="938"/>
      <c r="BQ123" s="938"/>
      <c r="BR123" s="938"/>
      <c r="BS123" s="938"/>
      <c r="BT123" s="938"/>
      <c r="BU123" s="938"/>
      <c r="BW123" s="938"/>
      <c r="BX123" s="938"/>
      <c r="BY123" s="938"/>
      <c r="BZ123" s="938"/>
      <c r="CA123" s="938"/>
      <c r="CB123" s="938"/>
      <c r="CC123" s="938"/>
      <c r="CD123" s="938"/>
      <c r="CF123" s="938"/>
      <c r="CG123" s="938"/>
      <c r="CH123" s="938"/>
      <c r="CI123" s="938"/>
      <c r="CJ123" s="938"/>
      <c r="CK123" s="938"/>
      <c r="CL123" s="938"/>
      <c r="CM123" s="938"/>
      <c r="CO123" s="938"/>
      <c r="CP123" s="938"/>
      <c r="CQ123" s="938"/>
      <c r="CR123" s="938"/>
      <c r="CS123" s="938"/>
      <c r="CT123" s="938"/>
      <c r="CU123" s="938"/>
      <c r="CV123" s="938"/>
      <c r="CX123" s="938"/>
      <c r="CY123" s="938"/>
      <c r="CZ123" s="938"/>
      <c r="DA123" s="938"/>
      <c r="DB123" s="938"/>
      <c r="DC123" s="938"/>
      <c r="DD123" s="938"/>
      <c r="DE123" s="938"/>
      <c r="DG123" s="938"/>
      <c r="DH123" s="938"/>
      <c r="DI123" s="938"/>
      <c r="DJ123" s="938"/>
      <c r="DK123" s="938"/>
      <c r="DL123" s="938"/>
      <c r="DM123" s="938"/>
      <c r="DN123" s="938"/>
      <c r="DP123" s="938"/>
      <c r="DQ123" s="938"/>
      <c r="DR123" s="938"/>
      <c r="DS123" s="938"/>
      <c r="DT123" s="938"/>
      <c r="DU123" s="938"/>
      <c r="DV123" s="938"/>
      <c r="DW123" s="938"/>
      <c r="DY123" s="938"/>
      <c r="DZ123" s="938"/>
      <c r="EA123" s="938"/>
      <c r="EB123" s="938"/>
      <c r="EC123" s="938"/>
      <c r="ED123" s="938"/>
      <c r="EE123" s="938"/>
      <c r="EF123" s="938"/>
      <c r="EH123" s="938"/>
      <c r="EI123" s="938"/>
      <c r="EJ123" s="938"/>
      <c r="EK123" s="938"/>
      <c r="EL123" s="938"/>
      <c r="EM123" s="938"/>
      <c r="EN123" s="938"/>
      <c r="EO123" s="938"/>
      <c r="EQ123" s="938"/>
      <c r="ER123" s="938"/>
      <c r="ES123" s="938"/>
      <c r="ET123" s="938"/>
      <c r="EU123" s="938"/>
      <c r="EV123" s="938"/>
      <c r="EW123" s="938"/>
      <c r="EX123" s="938"/>
      <c r="EZ123" s="938"/>
      <c r="FA123" s="938"/>
      <c r="FB123" s="938"/>
      <c r="FC123" s="938"/>
      <c r="FD123" s="938"/>
      <c r="FE123" s="938"/>
      <c r="FF123" s="938"/>
      <c r="FG123" s="938"/>
      <c r="FI123" s="938"/>
      <c r="FJ123" s="938"/>
      <c r="FK123" s="938"/>
      <c r="FL123" s="938"/>
      <c r="FM123" s="938"/>
      <c r="FN123" s="938"/>
      <c r="FO123" s="938"/>
      <c r="FP123" s="938"/>
      <c r="FR123" s="938"/>
      <c r="FS123" s="938"/>
      <c r="FT123" s="938"/>
      <c r="FU123" s="938"/>
      <c r="FV123" s="938"/>
      <c r="FW123" s="938"/>
      <c r="FX123" s="938"/>
      <c r="FY123" s="938"/>
      <c r="GA123" s="938"/>
      <c r="GB123" s="938"/>
      <c r="GC123" s="938"/>
      <c r="GD123" s="938"/>
      <c r="GE123" s="938"/>
      <c r="GF123" s="938"/>
      <c r="GG123" s="938"/>
      <c r="GH123" s="938"/>
      <c r="GJ123" s="938"/>
      <c r="GK123" s="938"/>
      <c r="GL123" s="938"/>
      <c r="GM123" s="938"/>
      <c r="GN123" s="938"/>
      <c r="GO123" s="938"/>
      <c r="GP123" s="938"/>
      <c r="GQ123" s="938"/>
      <c r="GS123" s="938"/>
      <c r="GT123" s="938"/>
      <c r="GU123" s="938"/>
      <c r="GV123" s="938"/>
      <c r="GW123" s="938"/>
      <c r="GX123" s="938"/>
      <c r="GY123" s="938"/>
      <c r="GZ123" s="938"/>
      <c r="HB123" s="938"/>
      <c r="HC123" s="938"/>
      <c r="HD123" s="938"/>
      <c r="HE123" s="938"/>
      <c r="HF123" s="938"/>
      <c r="HG123" s="938"/>
      <c r="HH123" s="938"/>
      <c r="HI123" s="938"/>
      <c r="HK123" s="938"/>
      <c r="HL123" s="938"/>
      <c r="HM123" s="938"/>
      <c r="HN123" s="938"/>
      <c r="HO123" s="938"/>
      <c r="HP123" s="938"/>
      <c r="HQ123" s="938"/>
      <c r="HR123" s="938"/>
      <c r="HT123" s="938"/>
      <c r="HU123" s="938"/>
      <c r="HV123" s="938"/>
      <c r="HW123" s="938"/>
      <c r="HX123" s="938"/>
      <c r="HY123" s="938"/>
      <c r="HZ123" s="938"/>
      <c r="IA123" s="938"/>
      <c r="IC123" s="938"/>
      <c r="ID123" s="938"/>
      <c r="IE123" s="938"/>
      <c r="IF123" s="938"/>
      <c r="IG123" s="938"/>
      <c r="IH123" s="938"/>
      <c r="II123" s="938"/>
      <c r="IJ123" s="938"/>
      <c r="IL123" s="938"/>
      <c r="IM123" s="938"/>
      <c r="IN123" s="938"/>
      <c r="IO123" s="938"/>
      <c r="IP123" s="938"/>
      <c r="IQ123" s="938"/>
      <c r="IR123" s="938"/>
      <c r="IS123" s="938"/>
      <c r="IU123" s="938"/>
      <c r="IV123" s="938"/>
      <c r="IW123" s="938"/>
      <c r="IX123" s="938"/>
      <c r="IY123" s="938"/>
      <c r="IZ123" s="938"/>
      <c r="JA123" s="938"/>
      <c r="JB123" s="938"/>
      <c r="JD123" s="938"/>
      <c r="JE123" s="938"/>
      <c r="JF123" s="938"/>
      <c r="JG123" s="938"/>
      <c r="JH123" s="938"/>
      <c r="JI123" s="938"/>
      <c r="JJ123" s="938"/>
      <c r="JK123" s="938"/>
      <c r="JM123" s="938"/>
      <c r="JN123" s="938"/>
      <c r="JO123" s="938"/>
      <c r="JP123" s="938"/>
      <c r="JQ123" s="938"/>
      <c r="JR123" s="938"/>
      <c r="JS123" s="938"/>
      <c r="JT123" s="938"/>
      <c r="JV123" s="938"/>
      <c r="JW123" s="938"/>
      <c r="JX123" s="938"/>
      <c r="JY123" s="938"/>
      <c r="JZ123" s="938"/>
      <c r="KA123" s="938"/>
      <c r="KB123" s="938"/>
      <c r="KC123" s="938"/>
    </row>
    <row r="124" spans="11:294" x14ac:dyDescent="0.2">
      <c r="O124">
        <v>1</v>
      </c>
      <c r="P124">
        <f>COLUMN(P124)-COLUMN($O$124)+1</f>
        <v>2</v>
      </c>
      <c r="Q124" s="938">
        <f>COLUMN(Q124)-COLUMN($O$124)+1</f>
        <v>3</v>
      </c>
    </row>
    <row r="125" spans="11:294" x14ac:dyDescent="0.2">
      <c r="L125" t="s">
        <v>1415</v>
      </c>
      <c r="P125" t="s">
        <v>1409</v>
      </c>
      <c r="Q125" t="s">
        <v>1410</v>
      </c>
      <c r="U125" t="s">
        <v>191</v>
      </c>
      <c r="V125" t="s">
        <v>171</v>
      </c>
      <c r="AD125" s="938" t="s">
        <v>191</v>
      </c>
      <c r="AE125" s="938" t="s">
        <v>171</v>
      </c>
      <c r="AM125" s="938" t="s">
        <v>191</v>
      </c>
      <c r="AN125" s="938" t="s">
        <v>171</v>
      </c>
      <c r="AV125" s="938" t="s">
        <v>191</v>
      </c>
      <c r="AW125" s="938" t="s">
        <v>171</v>
      </c>
      <c r="BE125" s="938" t="s">
        <v>191</v>
      </c>
      <c r="BF125" s="938" t="s">
        <v>171</v>
      </c>
      <c r="BN125" s="938" t="s">
        <v>191</v>
      </c>
      <c r="BO125" s="938" t="s">
        <v>171</v>
      </c>
      <c r="BW125" s="938" t="s">
        <v>191</v>
      </c>
      <c r="BX125" s="938" t="s">
        <v>171</v>
      </c>
      <c r="CF125" s="938" t="s">
        <v>191</v>
      </c>
      <c r="CG125" s="938" t="s">
        <v>171</v>
      </c>
      <c r="CO125" s="938" t="s">
        <v>191</v>
      </c>
      <c r="CP125" s="938" t="s">
        <v>171</v>
      </c>
      <c r="CX125" s="938" t="s">
        <v>191</v>
      </c>
      <c r="CY125" s="938" t="s">
        <v>171</v>
      </c>
      <c r="DG125" s="938" t="s">
        <v>191</v>
      </c>
      <c r="DH125" s="938" t="s">
        <v>171</v>
      </c>
      <c r="DP125" s="938" t="s">
        <v>191</v>
      </c>
      <c r="DQ125" s="938" t="s">
        <v>171</v>
      </c>
      <c r="DY125" s="938" t="s">
        <v>191</v>
      </c>
      <c r="DZ125" s="938" t="s">
        <v>171</v>
      </c>
      <c r="EH125" s="938" t="s">
        <v>191</v>
      </c>
      <c r="EI125" s="938" t="s">
        <v>171</v>
      </c>
      <c r="EQ125" s="938" t="s">
        <v>191</v>
      </c>
      <c r="ER125" s="938" t="s">
        <v>171</v>
      </c>
      <c r="EZ125" s="938" t="s">
        <v>191</v>
      </c>
      <c r="FA125" s="938" t="s">
        <v>171</v>
      </c>
      <c r="FI125" s="938" t="s">
        <v>191</v>
      </c>
      <c r="FJ125" s="938" t="s">
        <v>171</v>
      </c>
      <c r="FR125" s="938" t="s">
        <v>191</v>
      </c>
      <c r="FS125" s="938" t="s">
        <v>171</v>
      </c>
      <c r="GA125" s="938" t="s">
        <v>191</v>
      </c>
      <c r="GB125" s="938" t="s">
        <v>171</v>
      </c>
      <c r="GJ125" s="938" t="s">
        <v>191</v>
      </c>
      <c r="GK125" s="938" t="s">
        <v>171</v>
      </c>
      <c r="GS125" s="938" t="s">
        <v>191</v>
      </c>
      <c r="GT125" s="938" t="s">
        <v>171</v>
      </c>
      <c r="HB125" s="938" t="s">
        <v>191</v>
      </c>
      <c r="HC125" s="938" t="s">
        <v>171</v>
      </c>
      <c r="HK125" s="938" t="s">
        <v>191</v>
      </c>
      <c r="HL125" s="938" t="s">
        <v>171</v>
      </c>
      <c r="HT125" s="938" t="s">
        <v>191</v>
      </c>
      <c r="HU125" s="938" t="s">
        <v>171</v>
      </c>
      <c r="IC125" s="938" t="s">
        <v>191</v>
      </c>
      <c r="ID125" s="938" t="s">
        <v>171</v>
      </c>
      <c r="IL125" s="938" t="s">
        <v>191</v>
      </c>
      <c r="IM125" s="938" t="s">
        <v>171</v>
      </c>
      <c r="IU125" s="938" t="s">
        <v>191</v>
      </c>
      <c r="IV125" s="938" t="s">
        <v>171</v>
      </c>
      <c r="JD125" s="938" t="s">
        <v>191</v>
      </c>
      <c r="JE125" s="938" t="s">
        <v>171</v>
      </c>
      <c r="JM125" s="938" t="s">
        <v>191</v>
      </c>
      <c r="JN125" s="938" t="s">
        <v>171</v>
      </c>
      <c r="JV125" s="938" t="s">
        <v>191</v>
      </c>
      <c r="JW125" s="938" t="s">
        <v>171</v>
      </c>
    </row>
    <row r="126" spans="11:294" x14ac:dyDescent="0.2">
      <c r="K126" s="836" t="str">
        <f>IF(LARGE($L$126:$L$195,N126)=0,"",VLOOKUP(LARGE($L$126:$L$195,N126),$L$126:$Q$195,4,FALSE))</f>
        <v/>
      </c>
      <c r="L126">
        <f>IF(P126&gt;0,P126+M126,0)</f>
        <v>0</v>
      </c>
      <c r="M126">
        <v>1.0000000000000001E-5</v>
      </c>
      <c r="N126">
        <v>1</v>
      </c>
      <c r="O126" t="str" cm="1">
        <f t="array" ref="O126:O195">Tab_min[Mineraldünger]</f>
        <v xml:space="preserve"> --</v>
      </c>
      <c r="P126" s="714">
        <f t="shared" ref="P126:P157" si="379">SUMIF($T$125:$XFD$125,"ges",T126:XFD126)</f>
        <v>0</v>
      </c>
      <c r="Q126" s="714">
        <f t="shared" ref="Q126:Q157" si="380">SUMIF($T$125:$XFD$125,"rot",T126:XFD126)</f>
        <v>0</v>
      </c>
      <c r="U126">
        <f>IF(T$5=$O126,SUMIF($E$11:$E$110,"x",W$11:W$110)," ")</f>
        <v>0</v>
      </c>
      <c r="V126">
        <f>IF(T$5=$O126,SUMIFS(W$11:W$110,$C$11:$C$110,1,$E$11:$E$110,"x")," ")</f>
        <v>0</v>
      </c>
      <c r="AD126" s="938">
        <f>IF(AC$5=$O126,SUMIF($E$11:$E$110,"x",AF$11:AF$110)," ")</f>
        <v>0</v>
      </c>
      <c r="AE126" s="938">
        <f>IF(AC$5=$O126,SUMIFS(AF$11:AF$110,$C$11:$C$110,1,$E$11:$E$110,"x")," ")</f>
        <v>0</v>
      </c>
      <c r="AM126" s="938">
        <f>IF(AL$5=$O126,SUMIF($E$11:$E$110,"x",AO$11:AO$110)," ")</f>
        <v>0</v>
      </c>
      <c r="AN126" s="938">
        <f>IF(AL$5=$O126,SUMIFS(AO$11:AO$110,$C$11:$C$110,1,$E$11:$E$110,"x")," ")</f>
        <v>0</v>
      </c>
      <c r="AV126" s="938">
        <f>IF(AU$5=$O126,SUMIF($E$11:$E$110,"x",AX$11:AX$110)," ")</f>
        <v>0</v>
      </c>
      <c r="AW126" s="938">
        <f>IF(AU$5=$O126,SUMIFS(AX$11:AX$110,$C$11:$C$110,1,$E$11:$E$110,"x")," ")</f>
        <v>0</v>
      </c>
      <c r="BE126" s="938">
        <f>IF(BD$5=$O126,SUMIF($E$11:$E$110,"x",BG$11:BG$110)," ")</f>
        <v>0</v>
      </c>
      <c r="BF126" s="938">
        <f>IF(BD$5=$O126,SUMIFS(BG$11:BG$110,$C$11:$C$110,1,$E$11:$E$110,"x")," ")</f>
        <v>0</v>
      </c>
      <c r="BN126" s="938">
        <f>IF(BM$5=$O126,SUMIF($E$11:$E$110,"x",BP$11:BP$110)," ")</f>
        <v>0</v>
      </c>
      <c r="BO126" s="938">
        <f>IF(BM$5=$O126,SUMIFS(BP$11:BP$110,$C$11:$C$110,1,$E$11:$E$110,"x")," ")</f>
        <v>0</v>
      </c>
      <c r="BW126" s="938">
        <f>IF(BV$5=$O126,SUMIF($E$11:$E$110,"x",BY$11:BY$110)," ")</f>
        <v>0</v>
      </c>
      <c r="BX126" s="938">
        <f>IF(BV$5=$O126,SUMIFS(BY$11:BY$110,$C$11:$C$110,1,$E$11:$E$110,"x")," ")</f>
        <v>0</v>
      </c>
      <c r="CF126" s="938">
        <f>IF(CE$5=$O126,SUMIF($E$11:$E$110,"x",CH$11:CH$110)," ")</f>
        <v>0</v>
      </c>
      <c r="CG126" s="938">
        <f>IF(CE$5=$O126,SUMIFS(CH$11:CH$110,$C$11:$C$110,1,$E$11:$E$110,"x")," ")</f>
        <v>0</v>
      </c>
      <c r="CO126" s="938">
        <f>IF(CN$5=$O126,SUMIF($E$11:$E$110,"x",CQ$11:CQ$110)," ")</f>
        <v>0</v>
      </c>
      <c r="CP126" s="938">
        <f>IF(CN$5=$O126,SUMIFS(CQ$11:CQ$110,$C$11:$C$110,1,$E$11:$E$110,"x")," ")</f>
        <v>0</v>
      </c>
      <c r="CX126" s="938">
        <f>IF(CW$5=$O126,SUMIF($E$11:$E$110,"x",CZ$11:CZ$110)," ")</f>
        <v>0</v>
      </c>
      <c r="CY126" s="938">
        <f>IF(CW$5=$O126,SUMIFS(CZ$11:CZ$110,$C$11:$C$110,1,$E$11:$E$110,"x")," ")</f>
        <v>0</v>
      </c>
      <c r="DG126" s="938">
        <f>IF(DF$5=$O126,SUMIF($E$11:$E$110,"x",DI$11:DI$110)," ")</f>
        <v>0</v>
      </c>
      <c r="DH126" s="938">
        <f>IF(DF$5=$O126,SUMIFS(DI$11:DI$110,$C$11:$C$110,1,$E$11:$E$110,"x")," ")</f>
        <v>0</v>
      </c>
      <c r="DP126" s="938">
        <f>IF(DO$5=$O126,SUMIF($E$11:$E$110,"x",DR$11:DR$110)," ")</f>
        <v>0</v>
      </c>
      <c r="DQ126" s="938">
        <f>IF(DO$5=$O126,SUMIFS(DR$11:DR$110,$C$11:$C$110,1,$E$11:$E$110,"x")," ")</f>
        <v>0</v>
      </c>
      <c r="DY126" s="938">
        <f>IF(DX$5=$O126,SUMIF($E$11:$E$110,"x",EA$11:EA$110)," ")</f>
        <v>0</v>
      </c>
      <c r="DZ126" s="938">
        <f>IF(DX$5=$O126,SUMIFS(EA$11:EA$110,$C$11:$C$110,1,$E$11:$E$110,"x")," ")</f>
        <v>0</v>
      </c>
      <c r="EH126" s="938">
        <f>IF(EG$5=$O126,SUMIF($E$11:$E$110,"x",EJ$11:EJ$110)," ")</f>
        <v>0</v>
      </c>
      <c r="EI126" s="938">
        <f>IF(EG$5=$O126,SUMIFS(EJ$11:EJ$110,$C$11:$C$110,1,$E$11:$E$110,"x")," ")</f>
        <v>0</v>
      </c>
      <c r="EQ126" s="938">
        <f>IF(EP$5=$O126,SUMIF($E$11:$E$110,"x",ES$11:ES$110)," ")</f>
        <v>0</v>
      </c>
      <c r="ER126" s="938">
        <f>IF(EP$5=$O126,SUMIFS(ES$11:ES$110,$C$11:$C$110,1,$E$11:$E$110,"x")," ")</f>
        <v>0</v>
      </c>
      <c r="EZ126" s="938">
        <f>IF(EY$5=$O126,SUMIF($E$11:$E$110,"x",FB$11:FB$110)," ")</f>
        <v>0</v>
      </c>
      <c r="FA126" s="938">
        <f>IF(EY$5=$O126,SUMIFS(FB$11:FB$110,$C$11:$C$110,1,$E$11:$E$110,"x")," ")</f>
        <v>0</v>
      </c>
      <c r="FI126" s="938">
        <f>IF(FH$5=$O126,SUMIF($E$11:$E$110,"x",FK$11:FK$110)," ")</f>
        <v>0</v>
      </c>
      <c r="FJ126" s="938">
        <f>IF(FH$5=$O126,SUMIFS(FK$11:FK$110,$C$11:$C$110,1,$E$11:$E$110,"x")," ")</f>
        <v>0</v>
      </c>
      <c r="FR126" s="938">
        <f>IF(FQ$5=$O126,SUMIF($E$11:$E$110,"x",FT$11:FT$110)," ")</f>
        <v>0</v>
      </c>
      <c r="FS126" s="938">
        <f>IF(FQ$5=$O126,SUMIFS(FT$11:FT$110,$C$11:$C$110,1,$E$11:$E$110,"x")," ")</f>
        <v>0</v>
      </c>
      <c r="GA126" s="938">
        <f>IF(FZ$5=$O126,SUMIF($E$11:$E$110,"x",GC$11:GC$110)," ")</f>
        <v>0</v>
      </c>
      <c r="GB126" s="938">
        <f>IF(FZ$5=$O126,SUMIFS(GC$11:GC$110,$C$11:$C$110,1,$E$11:$E$110,"x")," ")</f>
        <v>0</v>
      </c>
      <c r="GJ126" s="938">
        <f>IF(GI$5=$O126,SUMIF($E$11:$E$110,"x",GL$11:GL$110)," ")</f>
        <v>0</v>
      </c>
      <c r="GK126" s="938">
        <f>IF(GI$5=$O126,SUMIFS(GL$11:GL$110,$C$11:$C$110,1,$E$11:$E$110,"x")," ")</f>
        <v>0</v>
      </c>
      <c r="GS126" s="938">
        <f>IF(GR$5=$O126,SUMIF($E$11:$E$110,"x",GU$11:GU$110)," ")</f>
        <v>0</v>
      </c>
      <c r="GT126" s="938">
        <f>IF(GR$5=$O126,SUMIFS(GU$11:GU$110,$C$11:$C$110,1,$E$11:$E$110,"x")," ")</f>
        <v>0</v>
      </c>
      <c r="HB126" s="938">
        <f>IF(HA$5=$O126,SUMIF($E$11:$E$110,"x",HD$11:HD$110)," ")</f>
        <v>0</v>
      </c>
      <c r="HC126" s="938">
        <f>IF(HA$5=$O126,SUMIFS(HD$11:HD$110,$C$11:$C$110,1,$E$11:$E$110,"x")," ")</f>
        <v>0</v>
      </c>
      <c r="HK126" s="938">
        <f>IF(HJ$5=$O126,SUMIF($E$11:$E$110,"x",HM$11:HM$110)," ")</f>
        <v>0</v>
      </c>
      <c r="HL126" s="938">
        <f>IF(HJ$5=$O126,SUMIFS(HM$11:HM$110,$C$11:$C$110,1,$E$11:$E$110,"x")," ")</f>
        <v>0</v>
      </c>
      <c r="HT126" s="938">
        <f>IF(HS$5=$O126,SUMIF($E$11:$E$110,"x",HV$11:HV$110)," ")</f>
        <v>0</v>
      </c>
      <c r="HU126" s="938">
        <f>IF(HS$5=$O126,SUMIFS(HV$11:HV$110,$C$11:$C$110,1,$E$11:$E$110,"x")," ")</f>
        <v>0</v>
      </c>
      <c r="IC126" s="938">
        <f>IF(IB$5=$O126,SUMIF($E$11:$E$110,"x",IE$11:IE$110)," ")</f>
        <v>0</v>
      </c>
      <c r="ID126" s="938">
        <f>IF(IB$5=$O126,SUMIFS(IE$11:IE$110,$C$11:$C$110,1,$E$11:$E$110,"x")," ")</f>
        <v>0</v>
      </c>
      <c r="IL126" s="938">
        <f>IF(IK$5=$O126,SUMIF($E$11:$E$110,"x",IN$11:IN$110)," ")</f>
        <v>0</v>
      </c>
      <c r="IM126" s="938">
        <f>IF(IK$5=$O126,SUMIFS(IN$11:IN$110,$C$11:$C$110,1,$E$11:$E$110,"x")," ")</f>
        <v>0</v>
      </c>
      <c r="IU126" s="938">
        <f>IF(IT$5=$O126,SUMIF($E$11:$E$110,"x",IW$11:IW$110)," ")</f>
        <v>0</v>
      </c>
      <c r="IV126" s="938">
        <f>IF(IT$5=$O126,SUMIFS(IW$11:IW$110,$C$11:$C$110,1,$E$11:$E$110,"x")," ")</f>
        <v>0</v>
      </c>
      <c r="JD126" s="938">
        <f>IF(JC$5=$O126,SUMIF($E$11:$E$110,"x",JF$11:JF$110)," ")</f>
        <v>0</v>
      </c>
      <c r="JE126" s="938">
        <f>IF(JC$5=$O126,SUMIFS(JF$11:JF$110,$C$11:$C$110,1,$E$11:$E$110,"x")," ")</f>
        <v>0</v>
      </c>
      <c r="JM126" s="938">
        <f>IF(JL$5=$O126,SUMIF($E$11:$E$110,"x",JO$11:JO$110)," ")</f>
        <v>0</v>
      </c>
      <c r="JN126" s="938">
        <f>IF(JL$5=$O126,SUMIFS(JO$11:JO$110,$C$11:$C$110,1,$E$11:$E$110,"x")," ")</f>
        <v>0</v>
      </c>
      <c r="JV126" s="938">
        <f>IF(JU$5=$O126,SUMIF($E$11:$E$110,"x",JX$11:JX$110)," ")</f>
        <v>0</v>
      </c>
      <c r="JW126" s="938">
        <f>IF(JU$5=$O126,SUMIFS(JX$11:JX$110,$C$11:$C$110,1,$E$11:$E$110,"x")," ")</f>
        <v>0</v>
      </c>
    </row>
    <row r="127" spans="11:294" x14ac:dyDescent="0.2">
      <c r="K127" s="938" t="str">
        <f t="shared" ref="K127:K190" si="381">IF(LARGE($L$126:$L$195,N127)=0,"",VLOOKUP(LARGE($L$126:$L$195,N127),$L$126:$Q$195,4,FALSE))</f>
        <v/>
      </c>
      <c r="L127" s="714">
        <f t="shared" ref="L127:L189" si="382">IF(P127&gt;0,P127+M127,0)</f>
        <v>0</v>
      </c>
      <c r="M127">
        <v>2.0000000000000002E-5</v>
      </c>
      <c r="N127">
        <v>2</v>
      </c>
      <c r="O127" t="str">
        <v xml:space="preserve"> +++eigene D.+++</v>
      </c>
      <c r="P127" s="714">
        <f t="shared" si="379"/>
        <v>0</v>
      </c>
      <c r="Q127" s="714">
        <f t="shared" si="380"/>
        <v>0</v>
      </c>
      <c r="U127" s="938" t="str">
        <f t="shared" ref="U127:U190" si="383">IF(T$5=$O127,SUMIF($E$11:$E$110,"x",W$11:W$110)," ")</f>
        <v xml:space="preserve"> </v>
      </c>
      <c r="V127" s="938" t="str">
        <f t="shared" ref="V127:V190" si="384">IF(T$5=$O127,SUMIFS(W$11:W$110,$C$11:$C$110,1,$E$11:$E$110,"x")," ")</f>
        <v xml:space="preserve"> </v>
      </c>
      <c r="AD127" s="938" t="str">
        <f t="shared" ref="AD127:AD190" si="385">IF(AC$5=$O127,SUMIF($E$11:$E$110,"x",AF$11:AF$110)," ")</f>
        <v xml:space="preserve"> </v>
      </c>
      <c r="AE127" s="938" t="str">
        <f t="shared" ref="AE127:AE190" si="386">IF(AC$5=$O127,SUMIFS(AF$11:AF$110,$C$11:$C$110,1,$E$11:$E$110,"x")," ")</f>
        <v xml:space="preserve"> </v>
      </c>
      <c r="AM127" s="938" t="str">
        <f t="shared" ref="AM127:AM190" si="387">IF(AL$5=$O127,SUMIF($E$11:$E$110,"x",AO$11:AO$110)," ")</f>
        <v xml:space="preserve"> </v>
      </c>
      <c r="AN127" s="938" t="str">
        <f t="shared" ref="AN127:AN190" si="388">IF(AL$5=$O127,SUMIFS(AO$11:AO$110,$C$11:$C$110,1,$E$11:$E$110,"x")," ")</f>
        <v xml:space="preserve"> </v>
      </c>
      <c r="AV127" s="938" t="str">
        <f t="shared" ref="AV127:AV190" si="389">IF(AU$5=$O127,SUMIF($E$11:$E$110,"x",AX$11:AX$110)," ")</f>
        <v xml:space="preserve"> </v>
      </c>
      <c r="AW127" s="938" t="str">
        <f t="shared" ref="AW127:AW190" si="390">IF(AU$5=$O127,SUMIFS(AX$11:AX$110,$C$11:$C$110,1,$E$11:$E$110,"x")," ")</f>
        <v xml:space="preserve"> </v>
      </c>
      <c r="BE127" s="938" t="str">
        <f t="shared" ref="BE127:BE190" si="391">IF(BD$5=$O127,SUMIF($E$11:$E$110,"x",BG$11:BG$110)," ")</f>
        <v xml:space="preserve"> </v>
      </c>
      <c r="BF127" s="938" t="str">
        <f t="shared" ref="BF127:BF190" si="392">IF(BD$5=$O127,SUMIFS(BG$11:BG$110,$C$11:$C$110,1,$E$11:$E$110,"x")," ")</f>
        <v xml:space="preserve"> </v>
      </c>
      <c r="BN127" s="938" t="str">
        <f t="shared" ref="BN127:BN190" si="393">IF(BM$5=$O127,SUMIF($E$11:$E$110,"x",BP$11:BP$110)," ")</f>
        <v xml:space="preserve"> </v>
      </c>
      <c r="BO127" s="938" t="str">
        <f t="shared" ref="BO127:BO190" si="394">IF(BM$5=$O127,SUMIFS(BP$11:BP$110,$C$11:$C$110,1,$E$11:$E$110,"x")," ")</f>
        <v xml:space="preserve"> </v>
      </c>
      <c r="BW127" s="938" t="str">
        <f t="shared" ref="BW127:BW190" si="395">IF(BV$5=$O127,SUMIF($E$11:$E$110,"x",BY$11:BY$110)," ")</f>
        <v xml:space="preserve"> </v>
      </c>
      <c r="BX127" s="938" t="str">
        <f t="shared" ref="BX127:BX190" si="396">IF(BV$5=$O127,SUMIFS(BY$11:BY$110,$C$11:$C$110,1,$E$11:$E$110,"x")," ")</f>
        <v xml:space="preserve"> </v>
      </c>
      <c r="CF127" s="938" t="str">
        <f t="shared" ref="CF127:CF190" si="397">IF(CE$5=$O127,SUMIF($E$11:$E$110,"x",CH$11:CH$110)," ")</f>
        <v xml:space="preserve"> </v>
      </c>
      <c r="CG127" s="938" t="str">
        <f t="shared" ref="CG127:CG190" si="398">IF(CE$5=$O127,SUMIFS(CH$11:CH$110,$C$11:$C$110,1,$E$11:$E$110,"x")," ")</f>
        <v xml:space="preserve"> </v>
      </c>
      <c r="CO127" s="938" t="str">
        <f t="shared" ref="CO127:CO190" si="399">IF(CN$5=$O127,SUMIF($E$11:$E$110,"x",CQ$11:CQ$110)," ")</f>
        <v xml:space="preserve"> </v>
      </c>
      <c r="CP127" s="938" t="str">
        <f t="shared" ref="CP127:CP190" si="400">IF(CN$5=$O127,SUMIFS(CQ$11:CQ$110,$C$11:$C$110,1,$E$11:$E$110,"x")," ")</f>
        <v xml:space="preserve"> </v>
      </c>
      <c r="CX127" s="938" t="str">
        <f t="shared" ref="CX127:CX190" si="401">IF(CW$5=$O127,SUMIF($E$11:$E$110,"x",CZ$11:CZ$110)," ")</f>
        <v xml:space="preserve"> </v>
      </c>
      <c r="CY127" s="938" t="str">
        <f t="shared" ref="CY127:CY190" si="402">IF(CW$5=$O127,SUMIFS(CZ$11:CZ$110,$C$11:$C$110,1,$E$11:$E$110,"x")," ")</f>
        <v xml:space="preserve"> </v>
      </c>
      <c r="DG127" s="938" t="str">
        <f t="shared" ref="DG127:DG190" si="403">IF(DF$5=$O127,SUMIF($E$11:$E$110,"x",DI$11:DI$110)," ")</f>
        <v xml:space="preserve"> </v>
      </c>
      <c r="DH127" s="938" t="str">
        <f t="shared" ref="DH127:DH190" si="404">IF(DF$5=$O127,SUMIFS(DI$11:DI$110,$C$11:$C$110,1,$E$11:$E$110,"x")," ")</f>
        <v xml:space="preserve"> </v>
      </c>
      <c r="DP127" s="938" t="str">
        <f t="shared" ref="DP127:DP190" si="405">IF(DO$5=$O127,SUMIF($E$11:$E$110,"x",DR$11:DR$110)," ")</f>
        <v xml:space="preserve"> </v>
      </c>
      <c r="DQ127" s="938" t="str">
        <f t="shared" ref="DQ127:DQ190" si="406">IF(DO$5=$O127,SUMIFS(DR$11:DR$110,$C$11:$C$110,1,$E$11:$E$110,"x")," ")</f>
        <v xml:space="preserve"> </v>
      </c>
      <c r="DY127" s="938" t="str">
        <f t="shared" ref="DY127:DY190" si="407">IF(DX$5=$O127,SUMIF($E$11:$E$110,"x",EA$11:EA$110)," ")</f>
        <v xml:space="preserve"> </v>
      </c>
      <c r="DZ127" s="938" t="str">
        <f t="shared" ref="DZ127:DZ190" si="408">IF(DX$5=$O127,SUMIFS(EA$11:EA$110,$C$11:$C$110,1,$E$11:$E$110,"x")," ")</f>
        <v xml:space="preserve"> </v>
      </c>
      <c r="EH127" s="938" t="str">
        <f t="shared" ref="EH127:EH190" si="409">IF(EG$5=$O127,SUMIF($E$11:$E$110,"x",EJ$11:EJ$110)," ")</f>
        <v xml:space="preserve"> </v>
      </c>
      <c r="EI127" s="938" t="str">
        <f t="shared" ref="EI127:EI190" si="410">IF(EG$5=$O127,SUMIFS(EJ$11:EJ$110,$C$11:$C$110,1,$E$11:$E$110,"x")," ")</f>
        <v xml:space="preserve"> </v>
      </c>
      <c r="EQ127" s="938" t="str">
        <f t="shared" ref="EQ127:EQ190" si="411">IF(EP$5=$O127,SUMIF($E$11:$E$110,"x",ES$11:ES$110)," ")</f>
        <v xml:space="preserve"> </v>
      </c>
      <c r="ER127" s="938" t="str">
        <f t="shared" ref="ER127:ER190" si="412">IF(EP$5=$O127,SUMIFS(ES$11:ES$110,$C$11:$C$110,1,$E$11:$E$110,"x")," ")</f>
        <v xml:space="preserve"> </v>
      </c>
      <c r="EZ127" s="938" t="str">
        <f t="shared" ref="EZ127:EZ190" si="413">IF(EY$5=$O127,SUMIF($E$11:$E$110,"x",FB$11:FB$110)," ")</f>
        <v xml:space="preserve"> </v>
      </c>
      <c r="FA127" s="938" t="str">
        <f t="shared" ref="FA127:FA190" si="414">IF(EY$5=$O127,SUMIFS(FB$11:FB$110,$C$11:$C$110,1,$E$11:$E$110,"x")," ")</f>
        <v xml:space="preserve"> </v>
      </c>
      <c r="FI127" s="938" t="str">
        <f t="shared" ref="FI127:FI190" si="415">IF(FH$5=$O127,SUMIF($E$11:$E$110,"x",FK$11:FK$110)," ")</f>
        <v xml:space="preserve"> </v>
      </c>
      <c r="FJ127" s="938" t="str">
        <f t="shared" ref="FJ127:FJ190" si="416">IF(FH$5=$O127,SUMIFS(FK$11:FK$110,$C$11:$C$110,1,$E$11:$E$110,"x")," ")</f>
        <v xml:space="preserve"> </v>
      </c>
      <c r="FR127" s="938" t="str">
        <f t="shared" ref="FR127:FR190" si="417">IF(FQ$5=$O127,SUMIF($E$11:$E$110,"x",FT$11:FT$110)," ")</f>
        <v xml:space="preserve"> </v>
      </c>
      <c r="FS127" s="938" t="str">
        <f t="shared" ref="FS127:FS190" si="418">IF(FQ$5=$O127,SUMIFS(FT$11:FT$110,$C$11:$C$110,1,$E$11:$E$110,"x")," ")</f>
        <v xml:space="preserve"> </v>
      </c>
      <c r="GA127" s="938" t="str">
        <f t="shared" ref="GA127:GA190" si="419">IF(FZ$5=$O127,SUMIF($E$11:$E$110,"x",GC$11:GC$110)," ")</f>
        <v xml:space="preserve"> </v>
      </c>
      <c r="GB127" s="938" t="str">
        <f t="shared" ref="GB127:GB190" si="420">IF(FZ$5=$O127,SUMIFS(GC$11:GC$110,$C$11:$C$110,1,$E$11:$E$110,"x")," ")</f>
        <v xml:space="preserve"> </v>
      </c>
      <c r="GJ127" s="938" t="str">
        <f t="shared" ref="GJ127:GJ190" si="421">IF(GI$5=$O127,SUMIF($E$11:$E$110,"x",GL$11:GL$110)," ")</f>
        <v xml:space="preserve"> </v>
      </c>
      <c r="GK127" s="938" t="str">
        <f t="shared" ref="GK127:GK190" si="422">IF(GI$5=$O127,SUMIFS(GL$11:GL$110,$C$11:$C$110,1,$E$11:$E$110,"x")," ")</f>
        <v xml:space="preserve"> </v>
      </c>
      <c r="GS127" s="938" t="str">
        <f t="shared" ref="GS127:GS190" si="423">IF(GR$5=$O127,SUMIF($E$11:$E$110,"x",GU$11:GU$110)," ")</f>
        <v xml:space="preserve"> </v>
      </c>
      <c r="GT127" s="938" t="str">
        <f t="shared" ref="GT127:GT190" si="424">IF(GR$5=$O127,SUMIFS(GU$11:GU$110,$C$11:$C$110,1,$E$11:$E$110,"x")," ")</f>
        <v xml:space="preserve"> </v>
      </c>
      <c r="HB127" s="938" t="str">
        <f t="shared" ref="HB127:HB190" si="425">IF(HA$5=$O127,SUMIF($E$11:$E$110,"x",HD$11:HD$110)," ")</f>
        <v xml:space="preserve"> </v>
      </c>
      <c r="HC127" s="938" t="str">
        <f t="shared" ref="HC127:HC190" si="426">IF(HA$5=$O127,SUMIFS(HD$11:HD$110,$C$11:$C$110,1,$E$11:$E$110,"x")," ")</f>
        <v xml:space="preserve"> </v>
      </c>
      <c r="HK127" s="938" t="str">
        <f t="shared" ref="HK127:HK190" si="427">IF(HJ$5=$O127,SUMIF($E$11:$E$110,"x",HM$11:HM$110)," ")</f>
        <v xml:space="preserve"> </v>
      </c>
      <c r="HL127" s="938" t="str">
        <f t="shared" ref="HL127:HL190" si="428">IF(HJ$5=$O127,SUMIFS(HM$11:HM$110,$C$11:$C$110,1,$E$11:$E$110,"x")," ")</f>
        <v xml:space="preserve"> </v>
      </c>
      <c r="HT127" s="938" t="str">
        <f t="shared" ref="HT127:HT190" si="429">IF(HS$5=$O127,SUMIF($E$11:$E$110,"x",HV$11:HV$110)," ")</f>
        <v xml:space="preserve"> </v>
      </c>
      <c r="HU127" s="938" t="str">
        <f t="shared" ref="HU127:HU190" si="430">IF(HS$5=$O127,SUMIFS(HV$11:HV$110,$C$11:$C$110,1,$E$11:$E$110,"x")," ")</f>
        <v xml:space="preserve"> </v>
      </c>
      <c r="IC127" s="938" t="str">
        <f t="shared" ref="IC127:IC190" si="431">IF(IB$5=$O127,SUMIF($E$11:$E$110,"x",IE$11:IE$110)," ")</f>
        <v xml:space="preserve"> </v>
      </c>
      <c r="ID127" s="938" t="str">
        <f t="shared" ref="ID127:ID190" si="432">IF(IB$5=$O127,SUMIFS(IE$11:IE$110,$C$11:$C$110,1,$E$11:$E$110,"x")," ")</f>
        <v xml:space="preserve"> </v>
      </c>
      <c r="IL127" s="938" t="str">
        <f t="shared" ref="IL127:IL190" si="433">IF(IK$5=$O127,SUMIF($E$11:$E$110,"x",IN$11:IN$110)," ")</f>
        <v xml:space="preserve"> </v>
      </c>
      <c r="IM127" s="938" t="str">
        <f t="shared" ref="IM127:IM190" si="434">IF(IK$5=$O127,SUMIFS(IN$11:IN$110,$C$11:$C$110,1,$E$11:$E$110,"x")," ")</f>
        <v xml:space="preserve"> </v>
      </c>
      <c r="IU127" s="938" t="str">
        <f t="shared" ref="IU127:IU190" si="435">IF(IT$5=$O127,SUMIF($E$11:$E$110,"x",IW$11:IW$110)," ")</f>
        <v xml:space="preserve"> </v>
      </c>
      <c r="IV127" s="938" t="str">
        <f t="shared" ref="IV127:IV190" si="436">IF(IT$5=$O127,SUMIFS(IW$11:IW$110,$C$11:$C$110,1,$E$11:$E$110,"x")," ")</f>
        <v xml:space="preserve"> </v>
      </c>
      <c r="JD127" s="938" t="str">
        <f t="shared" ref="JD127:JD190" si="437">IF(JC$5=$O127,SUMIF($E$11:$E$110,"x",JF$11:JF$110)," ")</f>
        <v xml:space="preserve"> </v>
      </c>
      <c r="JE127" s="938" t="str">
        <f t="shared" ref="JE127:JE190" si="438">IF(JC$5=$O127,SUMIFS(JF$11:JF$110,$C$11:$C$110,1,$E$11:$E$110,"x")," ")</f>
        <v xml:space="preserve"> </v>
      </c>
      <c r="JM127" s="938" t="str">
        <f t="shared" ref="JM127:JM190" si="439">IF(JL$5=$O127,SUMIF($E$11:$E$110,"x",JO$11:JO$110)," ")</f>
        <v xml:space="preserve"> </v>
      </c>
      <c r="JN127" s="938" t="str">
        <f t="shared" ref="JN127:JN190" si="440">IF(JL$5=$O127,SUMIFS(JO$11:JO$110,$C$11:$C$110,1,$E$11:$E$110,"x")," ")</f>
        <v xml:space="preserve"> </v>
      </c>
      <c r="JV127" s="938" t="str">
        <f t="shared" ref="JV127:JV190" si="441">IF(JU$5=$O127,SUMIF($E$11:$E$110,"x",JX$11:JX$110)," ")</f>
        <v xml:space="preserve"> </v>
      </c>
      <c r="JW127" s="938" t="str">
        <f t="shared" ref="JW127:JW190" si="442">IF(JU$5=$O127,SUMIFS(JX$11:JX$110,$C$11:$C$110,1,$E$11:$E$110,"x")," ")</f>
        <v xml:space="preserve"> </v>
      </c>
    </row>
    <row r="128" spans="11:294" x14ac:dyDescent="0.2">
      <c r="K128" s="938" t="str">
        <f t="shared" si="381"/>
        <v/>
      </c>
      <c r="L128" s="714">
        <f t="shared" si="382"/>
        <v>0</v>
      </c>
      <c r="M128" s="714">
        <v>3.0000000000000001E-5</v>
      </c>
      <c r="N128" s="714">
        <v>3</v>
      </c>
      <c r="O128" t="str">
        <v>#</v>
      </c>
      <c r="P128" s="714">
        <f t="shared" si="379"/>
        <v>0</v>
      </c>
      <c r="Q128" s="714">
        <f t="shared" si="380"/>
        <v>0</v>
      </c>
      <c r="U128" s="938" t="str">
        <f t="shared" si="383"/>
        <v xml:space="preserve"> </v>
      </c>
      <c r="V128" s="938" t="str">
        <f t="shared" si="384"/>
        <v xml:space="preserve"> </v>
      </c>
      <c r="AD128" s="938" t="str">
        <f t="shared" si="385"/>
        <v xml:space="preserve"> </v>
      </c>
      <c r="AE128" s="938" t="str">
        <f t="shared" si="386"/>
        <v xml:space="preserve"> </v>
      </c>
      <c r="AM128" s="938" t="str">
        <f t="shared" si="387"/>
        <v xml:space="preserve"> </v>
      </c>
      <c r="AN128" s="938" t="str">
        <f t="shared" si="388"/>
        <v xml:space="preserve"> </v>
      </c>
      <c r="AV128" s="938" t="str">
        <f t="shared" si="389"/>
        <v xml:space="preserve"> </v>
      </c>
      <c r="AW128" s="938" t="str">
        <f t="shared" si="390"/>
        <v xml:space="preserve"> </v>
      </c>
      <c r="BE128" s="938" t="str">
        <f t="shared" si="391"/>
        <v xml:space="preserve"> </v>
      </c>
      <c r="BF128" s="938" t="str">
        <f t="shared" si="392"/>
        <v xml:space="preserve"> </v>
      </c>
      <c r="BN128" s="938" t="str">
        <f t="shared" si="393"/>
        <v xml:space="preserve"> </v>
      </c>
      <c r="BO128" s="938" t="str">
        <f t="shared" si="394"/>
        <v xml:space="preserve"> </v>
      </c>
      <c r="BW128" s="938" t="str">
        <f t="shared" si="395"/>
        <v xml:space="preserve"> </v>
      </c>
      <c r="BX128" s="938" t="str">
        <f t="shared" si="396"/>
        <v xml:space="preserve"> </v>
      </c>
      <c r="CF128" s="938" t="str">
        <f t="shared" si="397"/>
        <v xml:space="preserve"> </v>
      </c>
      <c r="CG128" s="938" t="str">
        <f t="shared" si="398"/>
        <v xml:space="preserve"> </v>
      </c>
      <c r="CO128" s="938" t="str">
        <f t="shared" si="399"/>
        <v xml:space="preserve"> </v>
      </c>
      <c r="CP128" s="938" t="str">
        <f t="shared" si="400"/>
        <v xml:space="preserve"> </v>
      </c>
      <c r="CX128" s="938" t="str">
        <f t="shared" si="401"/>
        <v xml:space="preserve"> </v>
      </c>
      <c r="CY128" s="938" t="str">
        <f t="shared" si="402"/>
        <v xml:space="preserve"> </v>
      </c>
      <c r="DG128" s="938" t="str">
        <f t="shared" si="403"/>
        <v xml:space="preserve"> </v>
      </c>
      <c r="DH128" s="938" t="str">
        <f t="shared" si="404"/>
        <v xml:space="preserve"> </v>
      </c>
      <c r="DP128" s="938" t="str">
        <f t="shared" si="405"/>
        <v xml:space="preserve"> </v>
      </c>
      <c r="DQ128" s="938" t="str">
        <f t="shared" si="406"/>
        <v xml:space="preserve"> </v>
      </c>
      <c r="DY128" s="938" t="str">
        <f t="shared" si="407"/>
        <v xml:space="preserve"> </v>
      </c>
      <c r="DZ128" s="938" t="str">
        <f t="shared" si="408"/>
        <v xml:space="preserve"> </v>
      </c>
      <c r="EH128" s="938" t="str">
        <f t="shared" si="409"/>
        <v xml:space="preserve"> </v>
      </c>
      <c r="EI128" s="938" t="str">
        <f t="shared" si="410"/>
        <v xml:space="preserve"> </v>
      </c>
      <c r="EQ128" s="938" t="str">
        <f t="shared" si="411"/>
        <v xml:space="preserve"> </v>
      </c>
      <c r="ER128" s="938" t="str">
        <f t="shared" si="412"/>
        <v xml:space="preserve"> </v>
      </c>
      <c r="EZ128" s="938" t="str">
        <f t="shared" si="413"/>
        <v xml:space="preserve"> </v>
      </c>
      <c r="FA128" s="938" t="str">
        <f t="shared" si="414"/>
        <v xml:space="preserve"> </v>
      </c>
      <c r="FI128" s="938" t="str">
        <f t="shared" si="415"/>
        <v xml:space="preserve"> </v>
      </c>
      <c r="FJ128" s="938" t="str">
        <f t="shared" si="416"/>
        <v xml:space="preserve"> </v>
      </c>
      <c r="FR128" s="938" t="str">
        <f t="shared" si="417"/>
        <v xml:space="preserve"> </v>
      </c>
      <c r="FS128" s="938" t="str">
        <f t="shared" si="418"/>
        <v xml:space="preserve"> </v>
      </c>
      <c r="GA128" s="938" t="str">
        <f t="shared" si="419"/>
        <v xml:space="preserve"> </v>
      </c>
      <c r="GB128" s="938" t="str">
        <f t="shared" si="420"/>
        <v xml:space="preserve"> </v>
      </c>
      <c r="GJ128" s="938" t="str">
        <f t="shared" si="421"/>
        <v xml:space="preserve"> </v>
      </c>
      <c r="GK128" s="938" t="str">
        <f t="shared" si="422"/>
        <v xml:space="preserve"> </v>
      </c>
      <c r="GS128" s="938" t="str">
        <f t="shared" si="423"/>
        <v xml:space="preserve"> </v>
      </c>
      <c r="GT128" s="938" t="str">
        <f t="shared" si="424"/>
        <v xml:space="preserve"> </v>
      </c>
      <c r="HB128" s="938" t="str">
        <f t="shared" si="425"/>
        <v xml:space="preserve"> </v>
      </c>
      <c r="HC128" s="938" t="str">
        <f t="shared" si="426"/>
        <v xml:space="preserve"> </v>
      </c>
      <c r="HK128" s="938" t="str">
        <f t="shared" si="427"/>
        <v xml:space="preserve"> </v>
      </c>
      <c r="HL128" s="938" t="str">
        <f t="shared" si="428"/>
        <v xml:space="preserve"> </v>
      </c>
      <c r="HT128" s="938" t="str">
        <f t="shared" si="429"/>
        <v xml:space="preserve"> </v>
      </c>
      <c r="HU128" s="938" t="str">
        <f t="shared" si="430"/>
        <v xml:space="preserve"> </v>
      </c>
      <c r="IC128" s="938" t="str">
        <f t="shared" si="431"/>
        <v xml:space="preserve"> </v>
      </c>
      <c r="ID128" s="938" t="str">
        <f t="shared" si="432"/>
        <v xml:space="preserve"> </v>
      </c>
      <c r="IL128" s="938" t="str">
        <f t="shared" si="433"/>
        <v xml:space="preserve"> </v>
      </c>
      <c r="IM128" s="938" t="str">
        <f t="shared" si="434"/>
        <v xml:space="preserve"> </v>
      </c>
      <c r="IU128" s="938" t="str">
        <f t="shared" si="435"/>
        <v xml:space="preserve"> </v>
      </c>
      <c r="IV128" s="938" t="str">
        <f t="shared" si="436"/>
        <v xml:space="preserve"> </v>
      </c>
      <c r="JD128" s="938" t="str">
        <f t="shared" si="437"/>
        <v xml:space="preserve"> </v>
      </c>
      <c r="JE128" s="938" t="str">
        <f t="shared" si="438"/>
        <v xml:space="preserve"> </v>
      </c>
      <c r="JM128" s="938" t="str">
        <f t="shared" si="439"/>
        <v xml:space="preserve"> </v>
      </c>
      <c r="JN128" s="938" t="str">
        <f t="shared" si="440"/>
        <v xml:space="preserve"> </v>
      </c>
      <c r="JV128" s="938" t="str">
        <f t="shared" si="441"/>
        <v xml:space="preserve"> </v>
      </c>
      <c r="JW128" s="938" t="str">
        <f t="shared" si="442"/>
        <v xml:space="preserve"> </v>
      </c>
    </row>
    <row r="129" spans="11:283" x14ac:dyDescent="0.2">
      <c r="K129" s="938" t="str">
        <f t="shared" si="381"/>
        <v/>
      </c>
      <c r="L129" s="714">
        <f t="shared" si="382"/>
        <v>0</v>
      </c>
      <c r="M129" s="714">
        <v>4.0000000000000003E-5</v>
      </c>
      <c r="N129" s="714">
        <v>4</v>
      </c>
      <c r="O129" t="str">
        <v>#</v>
      </c>
      <c r="P129" s="714">
        <f t="shared" si="379"/>
        <v>0</v>
      </c>
      <c r="Q129" s="714">
        <f t="shared" si="380"/>
        <v>0</v>
      </c>
      <c r="U129" s="938" t="str">
        <f t="shared" si="383"/>
        <v xml:space="preserve"> </v>
      </c>
      <c r="V129" s="938" t="str">
        <f t="shared" si="384"/>
        <v xml:space="preserve"> </v>
      </c>
      <c r="AD129" s="938" t="str">
        <f>IF(AC$5=$O129,SUMIF($E$11:$E$110,"x",AF$11:AF$110)," ")</f>
        <v xml:space="preserve"> </v>
      </c>
      <c r="AE129" s="938" t="str">
        <f t="shared" si="386"/>
        <v xml:space="preserve"> </v>
      </c>
      <c r="AM129" s="938" t="str">
        <f t="shared" si="387"/>
        <v xml:space="preserve"> </v>
      </c>
      <c r="AN129" s="938" t="str">
        <f t="shared" si="388"/>
        <v xml:space="preserve"> </v>
      </c>
      <c r="AV129" s="938" t="str">
        <f t="shared" si="389"/>
        <v xml:space="preserve"> </v>
      </c>
      <c r="AW129" s="938" t="str">
        <f t="shared" si="390"/>
        <v xml:space="preserve"> </v>
      </c>
      <c r="BE129" s="938" t="str">
        <f t="shared" si="391"/>
        <v xml:space="preserve"> </v>
      </c>
      <c r="BF129" s="938" t="str">
        <f t="shared" si="392"/>
        <v xml:space="preserve"> </v>
      </c>
      <c r="BN129" s="938" t="str">
        <f t="shared" si="393"/>
        <v xml:space="preserve"> </v>
      </c>
      <c r="BO129" s="938" t="str">
        <f t="shared" si="394"/>
        <v xml:space="preserve"> </v>
      </c>
      <c r="BW129" s="938" t="str">
        <f t="shared" si="395"/>
        <v xml:space="preserve"> </v>
      </c>
      <c r="BX129" s="938" t="str">
        <f t="shared" si="396"/>
        <v xml:space="preserve"> </v>
      </c>
      <c r="CF129" s="938" t="str">
        <f t="shared" si="397"/>
        <v xml:space="preserve"> </v>
      </c>
      <c r="CG129" s="938" t="str">
        <f t="shared" si="398"/>
        <v xml:space="preserve"> </v>
      </c>
      <c r="CO129" s="938" t="str">
        <f t="shared" si="399"/>
        <v xml:space="preserve"> </v>
      </c>
      <c r="CP129" s="938" t="str">
        <f t="shared" si="400"/>
        <v xml:space="preserve"> </v>
      </c>
      <c r="CX129" s="938" t="str">
        <f t="shared" si="401"/>
        <v xml:space="preserve"> </v>
      </c>
      <c r="CY129" s="938" t="str">
        <f t="shared" si="402"/>
        <v xml:space="preserve"> </v>
      </c>
      <c r="DG129" s="938" t="str">
        <f t="shared" si="403"/>
        <v xml:space="preserve"> </v>
      </c>
      <c r="DH129" s="938" t="str">
        <f t="shared" si="404"/>
        <v xml:space="preserve"> </v>
      </c>
      <c r="DP129" s="938" t="str">
        <f t="shared" si="405"/>
        <v xml:space="preserve"> </v>
      </c>
      <c r="DQ129" s="938" t="str">
        <f t="shared" si="406"/>
        <v xml:space="preserve"> </v>
      </c>
      <c r="DY129" s="938" t="str">
        <f t="shared" si="407"/>
        <v xml:space="preserve"> </v>
      </c>
      <c r="DZ129" s="938" t="str">
        <f t="shared" si="408"/>
        <v xml:space="preserve"> </v>
      </c>
      <c r="EH129" s="938" t="str">
        <f t="shared" si="409"/>
        <v xml:space="preserve"> </v>
      </c>
      <c r="EI129" s="938" t="str">
        <f t="shared" si="410"/>
        <v xml:space="preserve"> </v>
      </c>
      <c r="EQ129" s="938" t="str">
        <f t="shared" si="411"/>
        <v xml:space="preserve"> </v>
      </c>
      <c r="ER129" s="938" t="str">
        <f t="shared" si="412"/>
        <v xml:space="preserve"> </v>
      </c>
      <c r="EZ129" s="938" t="str">
        <f t="shared" si="413"/>
        <v xml:space="preserve"> </v>
      </c>
      <c r="FA129" s="938" t="str">
        <f t="shared" si="414"/>
        <v xml:space="preserve"> </v>
      </c>
      <c r="FI129" s="938" t="str">
        <f t="shared" si="415"/>
        <v xml:space="preserve"> </v>
      </c>
      <c r="FJ129" s="938" t="str">
        <f t="shared" si="416"/>
        <v xml:space="preserve"> </v>
      </c>
      <c r="FR129" s="938" t="str">
        <f t="shared" si="417"/>
        <v xml:space="preserve"> </v>
      </c>
      <c r="FS129" s="938" t="str">
        <f t="shared" si="418"/>
        <v xml:space="preserve"> </v>
      </c>
      <c r="GA129" s="938" t="str">
        <f t="shared" si="419"/>
        <v xml:space="preserve"> </v>
      </c>
      <c r="GB129" s="938" t="str">
        <f t="shared" si="420"/>
        <v xml:space="preserve"> </v>
      </c>
      <c r="GJ129" s="938" t="str">
        <f t="shared" si="421"/>
        <v xml:space="preserve"> </v>
      </c>
      <c r="GK129" s="938" t="str">
        <f t="shared" si="422"/>
        <v xml:space="preserve"> </v>
      </c>
      <c r="GS129" s="938" t="str">
        <f t="shared" si="423"/>
        <v xml:space="preserve"> </v>
      </c>
      <c r="GT129" s="938" t="str">
        <f t="shared" si="424"/>
        <v xml:space="preserve"> </v>
      </c>
      <c r="HB129" s="938" t="str">
        <f t="shared" si="425"/>
        <v xml:space="preserve"> </v>
      </c>
      <c r="HC129" s="938" t="str">
        <f t="shared" si="426"/>
        <v xml:space="preserve"> </v>
      </c>
      <c r="HK129" s="938" t="str">
        <f t="shared" si="427"/>
        <v xml:space="preserve"> </v>
      </c>
      <c r="HL129" s="938" t="str">
        <f t="shared" si="428"/>
        <v xml:space="preserve"> </v>
      </c>
      <c r="HT129" s="938" t="str">
        <f t="shared" si="429"/>
        <v xml:space="preserve"> </v>
      </c>
      <c r="HU129" s="938" t="str">
        <f t="shared" si="430"/>
        <v xml:space="preserve"> </v>
      </c>
      <c r="IC129" s="938" t="str">
        <f t="shared" si="431"/>
        <v xml:space="preserve"> </v>
      </c>
      <c r="ID129" s="938" t="str">
        <f t="shared" si="432"/>
        <v xml:space="preserve"> </v>
      </c>
      <c r="IL129" s="938" t="str">
        <f t="shared" si="433"/>
        <v xml:space="preserve"> </v>
      </c>
      <c r="IM129" s="938" t="str">
        <f t="shared" si="434"/>
        <v xml:space="preserve"> </v>
      </c>
      <c r="IU129" s="938" t="str">
        <f t="shared" si="435"/>
        <v xml:space="preserve"> </v>
      </c>
      <c r="IV129" s="938" t="str">
        <f t="shared" si="436"/>
        <v xml:space="preserve"> </v>
      </c>
      <c r="JD129" s="938" t="str">
        <f t="shared" si="437"/>
        <v xml:space="preserve"> </v>
      </c>
      <c r="JE129" s="938" t="str">
        <f t="shared" si="438"/>
        <v xml:space="preserve"> </v>
      </c>
      <c r="JM129" s="938" t="str">
        <f t="shared" si="439"/>
        <v xml:space="preserve"> </v>
      </c>
      <c r="JN129" s="938" t="str">
        <f t="shared" si="440"/>
        <v xml:space="preserve"> </v>
      </c>
      <c r="JV129" s="938" t="str">
        <f t="shared" si="441"/>
        <v xml:space="preserve"> </v>
      </c>
      <c r="JW129" s="938" t="str">
        <f t="shared" si="442"/>
        <v xml:space="preserve"> </v>
      </c>
    </row>
    <row r="130" spans="11:283" x14ac:dyDescent="0.2">
      <c r="K130" s="938" t="str">
        <f t="shared" si="381"/>
        <v/>
      </c>
      <c r="L130" s="714">
        <f t="shared" si="382"/>
        <v>0</v>
      </c>
      <c r="M130" s="714">
        <v>5.0000000000000002E-5</v>
      </c>
      <c r="N130" s="714">
        <v>5</v>
      </c>
      <c r="O130" t="str">
        <v>#</v>
      </c>
      <c r="P130" s="714">
        <f t="shared" si="379"/>
        <v>0</v>
      </c>
      <c r="Q130" s="714">
        <f t="shared" si="380"/>
        <v>0</v>
      </c>
      <c r="U130" s="938" t="str">
        <f t="shared" si="383"/>
        <v xml:space="preserve"> </v>
      </c>
      <c r="V130" s="938" t="str">
        <f t="shared" si="384"/>
        <v xml:space="preserve"> </v>
      </c>
      <c r="AD130" s="938" t="str">
        <f t="shared" si="385"/>
        <v xml:space="preserve"> </v>
      </c>
      <c r="AE130" s="938" t="str">
        <f t="shared" si="386"/>
        <v xml:space="preserve"> </v>
      </c>
      <c r="AM130" s="938" t="str">
        <f t="shared" si="387"/>
        <v xml:space="preserve"> </v>
      </c>
      <c r="AN130" s="938" t="str">
        <f t="shared" si="388"/>
        <v xml:space="preserve"> </v>
      </c>
      <c r="AV130" s="938" t="str">
        <f t="shared" si="389"/>
        <v xml:space="preserve"> </v>
      </c>
      <c r="AW130" s="938" t="str">
        <f t="shared" si="390"/>
        <v xml:space="preserve"> </v>
      </c>
      <c r="BE130" s="938" t="str">
        <f t="shared" si="391"/>
        <v xml:space="preserve"> </v>
      </c>
      <c r="BF130" s="938" t="str">
        <f t="shared" si="392"/>
        <v xml:space="preserve"> </v>
      </c>
      <c r="BN130" s="938" t="str">
        <f t="shared" si="393"/>
        <v xml:space="preserve"> </v>
      </c>
      <c r="BO130" s="938" t="str">
        <f t="shared" si="394"/>
        <v xml:space="preserve"> </v>
      </c>
      <c r="BW130" s="938" t="str">
        <f t="shared" si="395"/>
        <v xml:space="preserve"> </v>
      </c>
      <c r="BX130" s="938" t="str">
        <f t="shared" si="396"/>
        <v xml:space="preserve"> </v>
      </c>
      <c r="CF130" s="938" t="str">
        <f t="shared" si="397"/>
        <v xml:space="preserve"> </v>
      </c>
      <c r="CG130" s="938" t="str">
        <f t="shared" si="398"/>
        <v xml:space="preserve"> </v>
      </c>
      <c r="CO130" s="938" t="str">
        <f t="shared" si="399"/>
        <v xml:space="preserve"> </v>
      </c>
      <c r="CP130" s="938" t="str">
        <f t="shared" si="400"/>
        <v xml:space="preserve"> </v>
      </c>
      <c r="CX130" s="938" t="str">
        <f t="shared" si="401"/>
        <v xml:space="preserve"> </v>
      </c>
      <c r="CY130" s="938" t="str">
        <f t="shared" si="402"/>
        <v xml:space="preserve"> </v>
      </c>
      <c r="DG130" s="938" t="str">
        <f t="shared" si="403"/>
        <v xml:space="preserve"> </v>
      </c>
      <c r="DH130" s="938" t="str">
        <f t="shared" si="404"/>
        <v xml:space="preserve"> </v>
      </c>
      <c r="DP130" s="938" t="str">
        <f t="shared" si="405"/>
        <v xml:space="preserve"> </v>
      </c>
      <c r="DQ130" s="938" t="str">
        <f t="shared" si="406"/>
        <v xml:space="preserve"> </v>
      </c>
      <c r="DY130" s="938" t="str">
        <f t="shared" si="407"/>
        <v xml:space="preserve"> </v>
      </c>
      <c r="DZ130" s="938" t="str">
        <f t="shared" si="408"/>
        <v xml:space="preserve"> </v>
      </c>
      <c r="EH130" s="938" t="str">
        <f t="shared" si="409"/>
        <v xml:space="preserve"> </v>
      </c>
      <c r="EI130" s="938" t="str">
        <f t="shared" si="410"/>
        <v xml:space="preserve"> </v>
      </c>
      <c r="EQ130" s="938" t="str">
        <f t="shared" si="411"/>
        <v xml:space="preserve"> </v>
      </c>
      <c r="ER130" s="938" t="str">
        <f t="shared" si="412"/>
        <v xml:space="preserve"> </v>
      </c>
      <c r="EZ130" s="938" t="str">
        <f t="shared" si="413"/>
        <v xml:space="preserve"> </v>
      </c>
      <c r="FA130" s="938" t="str">
        <f t="shared" si="414"/>
        <v xml:space="preserve"> </v>
      </c>
      <c r="FI130" s="938" t="str">
        <f t="shared" si="415"/>
        <v xml:space="preserve"> </v>
      </c>
      <c r="FJ130" s="938" t="str">
        <f t="shared" si="416"/>
        <v xml:space="preserve"> </v>
      </c>
      <c r="FR130" s="938" t="str">
        <f t="shared" si="417"/>
        <v xml:space="preserve"> </v>
      </c>
      <c r="FS130" s="938" t="str">
        <f t="shared" si="418"/>
        <v xml:space="preserve"> </v>
      </c>
      <c r="GA130" s="938" t="str">
        <f t="shared" si="419"/>
        <v xml:space="preserve"> </v>
      </c>
      <c r="GB130" s="938" t="str">
        <f t="shared" si="420"/>
        <v xml:space="preserve"> </v>
      </c>
      <c r="GJ130" s="938" t="str">
        <f t="shared" si="421"/>
        <v xml:space="preserve"> </v>
      </c>
      <c r="GK130" s="938" t="str">
        <f t="shared" si="422"/>
        <v xml:space="preserve"> </v>
      </c>
      <c r="GS130" s="938" t="str">
        <f t="shared" si="423"/>
        <v xml:space="preserve"> </v>
      </c>
      <c r="GT130" s="938" t="str">
        <f t="shared" si="424"/>
        <v xml:space="preserve"> </v>
      </c>
      <c r="HB130" s="938" t="str">
        <f t="shared" si="425"/>
        <v xml:space="preserve"> </v>
      </c>
      <c r="HC130" s="938" t="str">
        <f t="shared" si="426"/>
        <v xml:space="preserve"> </v>
      </c>
      <c r="HK130" s="938" t="str">
        <f t="shared" si="427"/>
        <v xml:space="preserve"> </v>
      </c>
      <c r="HL130" s="938" t="str">
        <f t="shared" si="428"/>
        <v xml:space="preserve"> </v>
      </c>
      <c r="HT130" s="938" t="str">
        <f t="shared" si="429"/>
        <v xml:space="preserve"> </v>
      </c>
      <c r="HU130" s="938" t="str">
        <f t="shared" si="430"/>
        <v xml:space="preserve"> </v>
      </c>
      <c r="IC130" s="938" t="str">
        <f t="shared" si="431"/>
        <v xml:space="preserve"> </v>
      </c>
      <c r="ID130" s="938" t="str">
        <f t="shared" si="432"/>
        <v xml:space="preserve"> </v>
      </c>
      <c r="IL130" s="938" t="str">
        <f t="shared" si="433"/>
        <v xml:space="preserve"> </v>
      </c>
      <c r="IM130" s="938" t="str">
        <f t="shared" si="434"/>
        <v xml:space="preserve"> </v>
      </c>
      <c r="IU130" s="938" t="str">
        <f t="shared" si="435"/>
        <v xml:space="preserve"> </v>
      </c>
      <c r="IV130" s="938" t="str">
        <f t="shared" si="436"/>
        <v xml:space="preserve"> </v>
      </c>
      <c r="JD130" s="938" t="str">
        <f t="shared" si="437"/>
        <v xml:space="preserve"> </v>
      </c>
      <c r="JE130" s="938" t="str">
        <f t="shared" si="438"/>
        <v xml:space="preserve"> </v>
      </c>
      <c r="JM130" s="938" t="str">
        <f t="shared" si="439"/>
        <v xml:space="preserve"> </v>
      </c>
      <c r="JN130" s="938" t="str">
        <f t="shared" si="440"/>
        <v xml:space="preserve"> </v>
      </c>
      <c r="JV130" s="938" t="str">
        <f t="shared" si="441"/>
        <v xml:space="preserve"> </v>
      </c>
      <c r="JW130" s="938" t="str">
        <f t="shared" si="442"/>
        <v xml:space="preserve"> </v>
      </c>
    </row>
    <row r="131" spans="11:283" x14ac:dyDescent="0.2">
      <c r="K131" s="938" t="str">
        <f t="shared" si="381"/>
        <v/>
      </c>
      <c r="L131" s="714">
        <f t="shared" si="382"/>
        <v>0</v>
      </c>
      <c r="M131" s="714">
        <v>6.0000000000000002E-5</v>
      </c>
      <c r="N131" s="714">
        <v>6</v>
      </c>
      <c r="O131" t="str">
        <v>#</v>
      </c>
      <c r="P131" s="714">
        <f t="shared" si="379"/>
        <v>0</v>
      </c>
      <c r="Q131" s="714">
        <f t="shared" si="380"/>
        <v>0</v>
      </c>
      <c r="U131" s="938" t="str">
        <f t="shared" si="383"/>
        <v xml:space="preserve"> </v>
      </c>
      <c r="V131" s="938" t="str">
        <f t="shared" si="384"/>
        <v xml:space="preserve"> </v>
      </c>
      <c r="AD131" s="938" t="str">
        <f t="shared" si="385"/>
        <v xml:space="preserve"> </v>
      </c>
      <c r="AE131" s="938" t="str">
        <f t="shared" si="386"/>
        <v xml:space="preserve"> </v>
      </c>
      <c r="AM131" s="938" t="str">
        <f t="shared" si="387"/>
        <v xml:space="preserve"> </v>
      </c>
      <c r="AN131" s="938" t="str">
        <f t="shared" si="388"/>
        <v xml:space="preserve"> </v>
      </c>
      <c r="AV131" s="938" t="str">
        <f t="shared" si="389"/>
        <v xml:space="preserve"> </v>
      </c>
      <c r="AW131" s="938" t="str">
        <f t="shared" si="390"/>
        <v xml:space="preserve"> </v>
      </c>
      <c r="BE131" s="938" t="str">
        <f t="shared" si="391"/>
        <v xml:space="preserve"> </v>
      </c>
      <c r="BF131" s="938" t="str">
        <f t="shared" si="392"/>
        <v xml:space="preserve"> </v>
      </c>
      <c r="BN131" s="938" t="str">
        <f t="shared" si="393"/>
        <v xml:space="preserve"> </v>
      </c>
      <c r="BO131" s="938" t="str">
        <f t="shared" si="394"/>
        <v xml:space="preserve"> </v>
      </c>
      <c r="BW131" s="938" t="str">
        <f t="shared" si="395"/>
        <v xml:space="preserve"> </v>
      </c>
      <c r="BX131" s="938" t="str">
        <f t="shared" si="396"/>
        <v xml:space="preserve"> </v>
      </c>
      <c r="CF131" s="938" t="str">
        <f t="shared" si="397"/>
        <v xml:space="preserve"> </v>
      </c>
      <c r="CG131" s="938" t="str">
        <f t="shared" si="398"/>
        <v xml:space="preserve"> </v>
      </c>
      <c r="CO131" s="938" t="str">
        <f t="shared" si="399"/>
        <v xml:space="preserve"> </v>
      </c>
      <c r="CP131" s="938" t="str">
        <f t="shared" si="400"/>
        <v xml:space="preserve"> </v>
      </c>
      <c r="CX131" s="938" t="str">
        <f t="shared" si="401"/>
        <v xml:space="preserve"> </v>
      </c>
      <c r="CY131" s="938" t="str">
        <f t="shared" si="402"/>
        <v xml:space="preserve"> </v>
      </c>
      <c r="DG131" s="938" t="str">
        <f t="shared" si="403"/>
        <v xml:space="preserve"> </v>
      </c>
      <c r="DH131" s="938" t="str">
        <f t="shared" si="404"/>
        <v xml:space="preserve"> </v>
      </c>
      <c r="DP131" s="938" t="str">
        <f t="shared" si="405"/>
        <v xml:space="preserve"> </v>
      </c>
      <c r="DQ131" s="938" t="str">
        <f t="shared" si="406"/>
        <v xml:space="preserve"> </v>
      </c>
      <c r="DY131" s="938" t="str">
        <f t="shared" si="407"/>
        <v xml:space="preserve"> </v>
      </c>
      <c r="DZ131" s="938" t="str">
        <f t="shared" si="408"/>
        <v xml:space="preserve"> </v>
      </c>
      <c r="EH131" s="938" t="str">
        <f t="shared" si="409"/>
        <v xml:space="preserve"> </v>
      </c>
      <c r="EI131" s="938" t="str">
        <f t="shared" si="410"/>
        <v xml:space="preserve"> </v>
      </c>
      <c r="EQ131" s="938" t="str">
        <f t="shared" si="411"/>
        <v xml:space="preserve"> </v>
      </c>
      <c r="ER131" s="938" t="str">
        <f t="shared" si="412"/>
        <v xml:space="preserve"> </v>
      </c>
      <c r="EZ131" s="938" t="str">
        <f t="shared" si="413"/>
        <v xml:space="preserve"> </v>
      </c>
      <c r="FA131" s="938" t="str">
        <f t="shared" si="414"/>
        <v xml:space="preserve"> </v>
      </c>
      <c r="FI131" s="938" t="str">
        <f t="shared" si="415"/>
        <v xml:space="preserve"> </v>
      </c>
      <c r="FJ131" s="938" t="str">
        <f t="shared" si="416"/>
        <v xml:space="preserve"> </v>
      </c>
      <c r="FR131" s="938" t="str">
        <f t="shared" si="417"/>
        <v xml:space="preserve"> </v>
      </c>
      <c r="FS131" s="938" t="str">
        <f t="shared" si="418"/>
        <v xml:space="preserve"> </v>
      </c>
      <c r="GA131" s="938" t="str">
        <f t="shared" si="419"/>
        <v xml:space="preserve"> </v>
      </c>
      <c r="GB131" s="938" t="str">
        <f t="shared" si="420"/>
        <v xml:space="preserve"> </v>
      </c>
      <c r="GJ131" s="938" t="str">
        <f t="shared" si="421"/>
        <v xml:space="preserve"> </v>
      </c>
      <c r="GK131" s="938" t="str">
        <f t="shared" si="422"/>
        <v xml:space="preserve"> </v>
      </c>
      <c r="GS131" s="938" t="str">
        <f t="shared" si="423"/>
        <v xml:space="preserve"> </v>
      </c>
      <c r="GT131" s="938" t="str">
        <f t="shared" si="424"/>
        <v xml:space="preserve"> </v>
      </c>
      <c r="HB131" s="938" t="str">
        <f t="shared" si="425"/>
        <v xml:space="preserve"> </v>
      </c>
      <c r="HC131" s="938" t="str">
        <f t="shared" si="426"/>
        <v xml:space="preserve"> </v>
      </c>
      <c r="HK131" s="938" t="str">
        <f t="shared" si="427"/>
        <v xml:space="preserve"> </v>
      </c>
      <c r="HL131" s="938" t="str">
        <f t="shared" si="428"/>
        <v xml:space="preserve"> </v>
      </c>
      <c r="HT131" s="938" t="str">
        <f t="shared" si="429"/>
        <v xml:space="preserve"> </v>
      </c>
      <c r="HU131" s="938" t="str">
        <f t="shared" si="430"/>
        <v xml:space="preserve"> </v>
      </c>
      <c r="IC131" s="938" t="str">
        <f t="shared" si="431"/>
        <v xml:space="preserve"> </v>
      </c>
      <c r="ID131" s="938" t="str">
        <f t="shared" si="432"/>
        <v xml:space="preserve"> </v>
      </c>
      <c r="IL131" s="938" t="str">
        <f t="shared" si="433"/>
        <v xml:space="preserve"> </v>
      </c>
      <c r="IM131" s="938" t="str">
        <f t="shared" si="434"/>
        <v xml:space="preserve"> </v>
      </c>
      <c r="IU131" s="938" t="str">
        <f t="shared" si="435"/>
        <v xml:space="preserve"> </v>
      </c>
      <c r="IV131" s="938" t="str">
        <f t="shared" si="436"/>
        <v xml:space="preserve"> </v>
      </c>
      <c r="JD131" s="938" t="str">
        <f t="shared" si="437"/>
        <v xml:space="preserve"> </v>
      </c>
      <c r="JE131" s="938" t="str">
        <f t="shared" si="438"/>
        <v xml:space="preserve"> </v>
      </c>
      <c r="JM131" s="938" t="str">
        <f t="shared" si="439"/>
        <v xml:space="preserve"> </v>
      </c>
      <c r="JN131" s="938" t="str">
        <f t="shared" si="440"/>
        <v xml:space="preserve"> </v>
      </c>
      <c r="JV131" s="938" t="str">
        <f t="shared" si="441"/>
        <v xml:space="preserve"> </v>
      </c>
      <c r="JW131" s="938" t="str">
        <f t="shared" si="442"/>
        <v xml:space="preserve"> </v>
      </c>
    </row>
    <row r="132" spans="11:283" x14ac:dyDescent="0.2">
      <c r="K132" s="938" t="str">
        <f t="shared" si="381"/>
        <v/>
      </c>
      <c r="L132" s="714">
        <f t="shared" si="382"/>
        <v>0</v>
      </c>
      <c r="M132" s="714">
        <v>6.9999999999999994E-5</v>
      </c>
      <c r="N132" s="714">
        <v>7</v>
      </c>
      <c r="O132" t="str">
        <v>#</v>
      </c>
      <c r="P132" s="714">
        <f t="shared" si="379"/>
        <v>0</v>
      </c>
      <c r="Q132" s="714">
        <f t="shared" si="380"/>
        <v>0</v>
      </c>
      <c r="U132" s="938" t="str">
        <f t="shared" si="383"/>
        <v xml:space="preserve"> </v>
      </c>
      <c r="V132" s="938" t="str">
        <f t="shared" si="384"/>
        <v xml:space="preserve"> </v>
      </c>
      <c r="AD132" s="938" t="str">
        <f t="shared" si="385"/>
        <v xml:space="preserve"> </v>
      </c>
      <c r="AE132" s="938" t="str">
        <f>IF(AC$5=$O132,SUMIFS(AF$11:AF$110,$C$11:$C$110,1,$E$11:$E$110,"x")," ")</f>
        <v xml:space="preserve"> </v>
      </c>
      <c r="AM132" s="938" t="str">
        <f t="shared" si="387"/>
        <v xml:space="preserve"> </v>
      </c>
      <c r="AN132" s="938" t="str">
        <f t="shared" si="388"/>
        <v xml:space="preserve"> </v>
      </c>
      <c r="AV132" s="938" t="str">
        <f t="shared" si="389"/>
        <v xml:space="preserve"> </v>
      </c>
      <c r="AW132" s="938" t="str">
        <f t="shared" si="390"/>
        <v xml:space="preserve"> </v>
      </c>
      <c r="BE132" s="938" t="str">
        <f t="shared" si="391"/>
        <v xml:space="preserve"> </v>
      </c>
      <c r="BF132" s="938" t="str">
        <f t="shared" si="392"/>
        <v xml:space="preserve"> </v>
      </c>
      <c r="BN132" s="938" t="str">
        <f t="shared" si="393"/>
        <v xml:space="preserve"> </v>
      </c>
      <c r="BO132" s="938" t="str">
        <f t="shared" si="394"/>
        <v xml:space="preserve"> </v>
      </c>
      <c r="BW132" s="938" t="str">
        <f t="shared" si="395"/>
        <v xml:space="preserve"> </v>
      </c>
      <c r="BX132" s="938" t="str">
        <f t="shared" si="396"/>
        <v xml:space="preserve"> </v>
      </c>
      <c r="CF132" s="938" t="str">
        <f t="shared" si="397"/>
        <v xml:space="preserve"> </v>
      </c>
      <c r="CG132" s="938" t="str">
        <f t="shared" si="398"/>
        <v xml:space="preserve"> </v>
      </c>
      <c r="CO132" s="938" t="str">
        <f t="shared" si="399"/>
        <v xml:space="preserve"> </v>
      </c>
      <c r="CP132" s="938" t="str">
        <f t="shared" si="400"/>
        <v xml:space="preserve"> </v>
      </c>
      <c r="CX132" s="938" t="str">
        <f t="shared" si="401"/>
        <v xml:space="preserve"> </v>
      </c>
      <c r="CY132" s="938" t="str">
        <f t="shared" si="402"/>
        <v xml:space="preserve"> </v>
      </c>
      <c r="DG132" s="938" t="str">
        <f t="shared" si="403"/>
        <v xml:space="preserve"> </v>
      </c>
      <c r="DH132" s="938" t="str">
        <f t="shared" si="404"/>
        <v xml:space="preserve"> </v>
      </c>
      <c r="DP132" s="938" t="str">
        <f t="shared" si="405"/>
        <v xml:space="preserve"> </v>
      </c>
      <c r="DQ132" s="938" t="str">
        <f t="shared" si="406"/>
        <v xml:space="preserve"> </v>
      </c>
      <c r="DY132" s="938" t="str">
        <f t="shared" si="407"/>
        <v xml:space="preserve"> </v>
      </c>
      <c r="DZ132" s="938" t="str">
        <f t="shared" si="408"/>
        <v xml:space="preserve"> </v>
      </c>
      <c r="EH132" s="938" t="str">
        <f t="shared" si="409"/>
        <v xml:space="preserve"> </v>
      </c>
      <c r="EI132" s="938" t="str">
        <f t="shared" si="410"/>
        <v xml:space="preserve"> </v>
      </c>
      <c r="EQ132" s="938" t="str">
        <f t="shared" si="411"/>
        <v xml:space="preserve"> </v>
      </c>
      <c r="ER132" s="938" t="str">
        <f t="shared" si="412"/>
        <v xml:space="preserve"> </v>
      </c>
      <c r="EZ132" s="938" t="str">
        <f t="shared" si="413"/>
        <v xml:space="preserve"> </v>
      </c>
      <c r="FA132" s="938" t="str">
        <f t="shared" si="414"/>
        <v xml:space="preserve"> </v>
      </c>
      <c r="FI132" s="938" t="str">
        <f t="shared" si="415"/>
        <v xml:space="preserve"> </v>
      </c>
      <c r="FJ132" s="938" t="str">
        <f t="shared" si="416"/>
        <v xml:space="preserve"> </v>
      </c>
      <c r="FR132" s="938" t="str">
        <f t="shared" si="417"/>
        <v xml:space="preserve"> </v>
      </c>
      <c r="FS132" s="938" t="str">
        <f t="shared" si="418"/>
        <v xml:space="preserve"> </v>
      </c>
      <c r="GA132" s="938" t="str">
        <f t="shared" si="419"/>
        <v xml:space="preserve"> </v>
      </c>
      <c r="GB132" s="938" t="str">
        <f t="shared" si="420"/>
        <v xml:space="preserve"> </v>
      </c>
      <c r="GJ132" s="938" t="str">
        <f t="shared" si="421"/>
        <v xml:space="preserve"> </v>
      </c>
      <c r="GK132" s="938" t="str">
        <f t="shared" si="422"/>
        <v xml:space="preserve"> </v>
      </c>
      <c r="GS132" s="938" t="str">
        <f t="shared" si="423"/>
        <v xml:space="preserve"> </v>
      </c>
      <c r="GT132" s="938" t="str">
        <f t="shared" si="424"/>
        <v xml:space="preserve"> </v>
      </c>
      <c r="HB132" s="938" t="str">
        <f t="shared" si="425"/>
        <v xml:space="preserve"> </v>
      </c>
      <c r="HC132" s="938" t="str">
        <f t="shared" si="426"/>
        <v xml:space="preserve"> </v>
      </c>
      <c r="HK132" s="938" t="str">
        <f t="shared" si="427"/>
        <v xml:space="preserve"> </v>
      </c>
      <c r="HL132" s="938" t="str">
        <f t="shared" si="428"/>
        <v xml:space="preserve"> </v>
      </c>
      <c r="HT132" s="938" t="str">
        <f t="shared" si="429"/>
        <v xml:space="preserve"> </v>
      </c>
      <c r="HU132" s="938" t="str">
        <f t="shared" si="430"/>
        <v xml:space="preserve"> </v>
      </c>
      <c r="IC132" s="938" t="str">
        <f t="shared" si="431"/>
        <v xml:space="preserve"> </v>
      </c>
      <c r="ID132" s="938" t="str">
        <f t="shared" si="432"/>
        <v xml:space="preserve"> </v>
      </c>
      <c r="IL132" s="938" t="str">
        <f t="shared" si="433"/>
        <v xml:space="preserve"> </v>
      </c>
      <c r="IM132" s="938" t="str">
        <f t="shared" si="434"/>
        <v xml:space="preserve"> </v>
      </c>
      <c r="IU132" s="938" t="str">
        <f t="shared" si="435"/>
        <v xml:space="preserve"> </v>
      </c>
      <c r="IV132" s="938" t="str">
        <f t="shared" si="436"/>
        <v xml:space="preserve"> </v>
      </c>
      <c r="JD132" s="938" t="str">
        <f t="shared" si="437"/>
        <v xml:space="preserve"> </v>
      </c>
      <c r="JE132" s="938" t="str">
        <f t="shared" si="438"/>
        <v xml:space="preserve"> </v>
      </c>
      <c r="JM132" s="938" t="str">
        <f t="shared" si="439"/>
        <v xml:space="preserve"> </v>
      </c>
      <c r="JN132" s="938" t="str">
        <f t="shared" si="440"/>
        <v xml:space="preserve"> </v>
      </c>
      <c r="JV132" s="938" t="str">
        <f t="shared" si="441"/>
        <v xml:space="preserve"> </v>
      </c>
      <c r="JW132" s="938" t="str">
        <f t="shared" si="442"/>
        <v xml:space="preserve"> </v>
      </c>
    </row>
    <row r="133" spans="11:283" x14ac:dyDescent="0.2">
      <c r="K133" s="938" t="str">
        <f t="shared" si="381"/>
        <v/>
      </c>
      <c r="L133" s="714">
        <f t="shared" si="382"/>
        <v>0</v>
      </c>
      <c r="M133" s="714">
        <v>8.0000000000000007E-5</v>
      </c>
      <c r="N133" s="714">
        <v>8</v>
      </c>
      <c r="O133" t="str">
        <v>#</v>
      </c>
      <c r="P133" s="714">
        <f t="shared" si="379"/>
        <v>0</v>
      </c>
      <c r="Q133" s="714">
        <f t="shared" si="380"/>
        <v>0</v>
      </c>
      <c r="U133" s="938" t="str">
        <f t="shared" si="383"/>
        <v xml:space="preserve"> </v>
      </c>
      <c r="V133" s="938" t="str">
        <f t="shared" si="384"/>
        <v xml:space="preserve"> </v>
      </c>
      <c r="AD133" s="938" t="str">
        <f t="shared" si="385"/>
        <v xml:space="preserve"> </v>
      </c>
      <c r="AE133" s="938" t="str">
        <f t="shared" si="386"/>
        <v xml:space="preserve"> </v>
      </c>
      <c r="AM133" s="938" t="str">
        <f t="shared" si="387"/>
        <v xml:space="preserve"> </v>
      </c>
      <c r="AN133" s="938" t="str">
        <f t="shared" si="388"/>
        <v xml:space="preserve"> </v>
      </c>
      <c r="AV133" s="938" t="str">
        <f t="shared" si="389"/>
        <v xml:space="preserve"> </v>
      </c>
      <c r="AW133" s="938" t="str">
        <f t="shared" si="390"/>
        <v xml:space="preserve"> </v>
      </c>
      <c r="BE133" s="938" t="str">
        <f t="shared" si="391"/>
        <v xml:space="preserve"> </v>
      </c>
      <c r="BF133" s="938" t="str">
        <f t="shared" si="392"/>
        <v xml:space="preserve"> </v>
      </c>
      <c r="BN133" s="938" t="str">
        <f t="shared" si="393"/>
        <v xml:space="preserve"> </v>
      </c>
      <c r="BO133" s="938" t="str">
        <f t="shared" si="394"/>
        <v xml:space="preserve"> </v>
      </c>
      <c r="BW133" s="938" t="str">
        <f t="shared" si="395"/>
        <v xml:space="preserve"> </v>
      </c>
      <c r="BX133" s="938" t="str">
        <f t="shared" si="396"/>
        <v xml:space="preserve"> </v>
      </c>
      <c r="CF133" s="938" t="str">
        <f t="shared" si="397"/>
        <v xml:space="preserve"> </v>
      </c>
      <c r="CG133" s="938" t="str">
        <f t="shared" si="398"/>
        <v xml:space="preserve"> </v>
      </c>
      <c r="CO133" s="938" t="str">
        <f t="shared" si="399"/>
        <v xml:space="preserve"> </v>
      </c>
      <c r="CP133" s="938" t="str">
        <f t="shared" si="400"/>
        <v xml:space="preserve"> </v>
      </c>
      <c r="CX133" s="938" t="str">
        <f t="shared" si="401"/>
        <v xml:space="preserve"> </v>
      </c>
      <c r="CY133" s="938" t="str">
        <f t="shared" si="402"/>
        <v xml:space="preserve"> </v>
      </c>
      <c r="DG133" s="938" t="str">
        <f t="shared" si="403"/>
        <v xml:space="preserve"> </v>
      </c>
      <c r="DH133" s="938" t="str">
        <f t="shared" si="404"/>
        <v xml:space="preserve"> </v>
      </c>
      <c r="DP133" s="938" t="str">
        <f t="shared" si="405"/>
        <v xml:space="preserve"> </v>
      </c>
      <c r="DQ133" s="938" t="str">
        <f t="shared" si="406"/>
        <v xml:space="preserve"> </v>
      </c>
      <c r="DY133" s="938" t="str">
        <f t="shared" si="407"/>
        <v xml:space="preserve"> </v>
      </c>
      <c r="DZ133" s="938" t="str">
        <f t="shared" si="408"/>
        <v xml:space="preserve"> </v>
      </c>
      <c r="EH133" s="938" t="str">
        <f t="shared" si="409"/>
        <v xml:space="preserve"> </v>
      </c>
      <c r="EI133" s="938" t="str">
        <f t="shared" si="410"/>
        <v xml:space="preserve"> </v>
      </c>
      <c r="EQ133" s="938" t="str">
        <f t="shared" si="411"/>
        <v xml:space="preserve"> </v>
      </c>
      <c r="ER133" s="938" t="str">
        <f t="shared" si="412"/>
        <v xml:space="preserve"> </v>
      </c>
      <c r="EZ133" s="938" t="str">
        <f t="shared" si="413"/>
        <v xml:space="preserve"> </v>
      </c>
      <c r="FA133" s="938" t="str">
        <f t="shared" si="414"/>
        <v xml:space="preserve"> </v>
      </c>
      <c r="FI133" s="938" t="str">
        <f t="shared" si="415"/>
        <v xml:space="preserve"> </v>
      </c>
      <c r="FJ133" s="938" t="str">
        <f t="shared" si="416"/>
        <v xml:space="preserve"> </v>
      </c>
      <c r="FR133" s="938" t="str">
        <f t="shared" si="417"/>
        <v xml:space="preserve"> </v>
      </c>
      <c r="FS133" s="938" t="str">
        <f t="shared" si="418"/>
        <v xml:space="preserve"> </v>
      </c>
      <c r="GA133" s="938" t="str">
        <f t="shared" si="419"/>
        <v xml:space="preserve"> </v>
      </c>
      <c r="GB133" s="938" t="str">
        <f t="shared" si="420"/>
        <v xml:space="preserve"> </v>
      </c>
      <c r="GJ133" s="938" t="str">
        <f t="shared" si="421"/>
        <v xml:space="preserve"> </v>
      </c>
      <c r="GK133" s="938" t="str">
        <f t="shared" si="422"/>
        <v xml:space="preserve"> </v>
      </c>
      <c r="GS133" s="938" t="str">
        <f t="shared" si="423"/>
        <v xml:space="preserve"> </v>
      </c>
      <c r="GT133" s="938" t="str">
        <f t="shared" si="424"/>
        <v xml:space="preserve"> </v>
      </c>
      <c r="HB133" s="938" t="str">
        <f t="shared" si="425"/>
        <v xml:space="preserve"> </v>
      </c>
      <c r="HC133" s="938" t="str">
        <f t="shared" si="426"/>
        <v xml:space="preserve"> </v>
      </c>
      <c r="HK133" s="938" t="str">
        <f t="shared" si="427"/>
        <v xml:space="preserve"> </v>
      </c>
      <c r="HL133" s="938" t="str">
        <f t="shared" si="428"/>
        <v xml:space="preserve"> </v>
      </c>
      <c r="HT133" s="938" t="str">
        <f t="shared" si="429"/>
        <v xml:space="preserve"> </v>
      </c>
      <c r="HU133" s="938" t="str">
        <f t="shared" si="430"/>
        <v xml:space="preserve"> </v>
      </c>
      <c r="IC133" s="938" t="str">
        <f t="shared" si="431"/>
        <v xml:space="preserve"> </v>
      </c>
      <c r="ID133" s="938" t="str">
        <f t="shared" si="432"/>
        <v xml:space="preserve"> </v>
      </c>
      <c r="IL133" s="938" t="str">
        <f t="shared" si="433"/>
        <v xml:space="preserve"> </v>
      </c>
      <c r="IM133" s="938" t="str">
        <f t="shared" si="434"/>
        <v xml:space="preserve"> </v>
      </c>
      <c r="IU133" s="938" t="str">
        <f t="shared" si="435"/>
        <v xml:space="preserve"> </v>
      </c>
      <c r="IV133" s="938" t="str">
        <f t="shared" si="436"/>
        <v xml:space="preserve"> </v>
      </c>
      <c r="JD133" s="938" t="str">
        <f t="shared" si="437"/>
        <v xml:space="preserve"> </v>
      </c>
      <c r="JE133" s="938" t="str">
        <f t="shared" si="438"/>
        <v xml:space="preserve"> </v>
      </c>
      <c r="JM133" s="938" t="str">
        <f t="shared" si="439"/>
        <v xml:space="preserve"> </v>
      </c>
      <c r="JN133" s="938" t="str">
        <f t="shared" si="440"/>
        <v xml:space="preserve"> </v>
      </c>
      <c r="JV133" s="938" t="str">
        <f t="shared" si="441"/>
        <v xml:space="preserve"> </v>
      </c>
      <c r="JW133" s="938" t="str">
        <f t="shared" si="442"/>
        <v xml:space="preserve"> </v>
      </c>
    </row>
    <row r="134" spans="11:283" x14ac:dyDescent="0.2">
      <c r="K134" s="938" t="str">
        <f t="shared" si="381"/>
        <v/>
      </c>
      <c r="L134" s="714">
        <f t="shared" si="382"/>
        <v>0</v>
      </c>
      <c r="M134" s="714">
        <v>9.0000000000000006E-5</v>
      </c>
      <c r="N134" s="714">
        <v>9</v>
      </c>
      <c r="O134" t="str">
        <v>#</v>
      </c>
      <c r="P134" s="714">
        <f t="shared" si="379"/>
        <v>0</v>
      </c>
      <c r="Q134" s="714">
        <f t="shared" si="380"/>
        <v>0</v>
      </c>
      <c r="U134" s="938" t="str">
        <f t="shared" si="383"/>
        <v xml:space="preserve"> </v>
      </c>
      <c r="V134" s="938" t="str">
        <f t="shared" si="384"/>
        <v xml:space="preserve"> </v>
      </c>
      <c r="AD134" s="938" t="str">
        <f t="shared" si="385"/>
        <v xml:space="preserve"> </v>
      </c>
      <c r="AE134" s="938" t="str">
        <f t="shared" si="386"/>
        <v xml:space="preserve"> </v>
      </c>
      <c r="AM134" s="938" t="str">
        <f t="shared" si="387"/>
        <v xml:space="preserve"> </v>
      </c>
      <c r="AN134" s="938" t="str">
        <f t="shared" si="388"/>
        <v xml:space="preserve"> </v>
      </c>
      <c r="AV134" s="938" t="str">
        <f t="shared" si="389"/>
        <v xml:space="preserve"> </v>
      </c>
      <c r="AW134" s="938" t="str">
        <f t="shared" si="390"/>
        <v xml:space="preserve"> </v>
      </c>
      <c r="BE134" s="938" t="str">
        <f t="shared" si="391"/>
        <v xml:space="preserve"> </v>
      </c>
      <c r="BF134" s="938" t="str">
        <f t="shared" si="392"/>
        <v xml:space="preserve"> </v>
      </c>
      <c r="BN134" s="938" t="str">
        <f t="shared" si="393"/>
        <v xml:space="preserve"> </v>
      </c>
      <c r="BO134" s="938" t="str">
        <f t="shared" si="394"/>
        <v xml:space="preserve"> </v>
      </c>
      <c r="BW134" s="938" t="str">
        <f t="shared" si="395"/>
        <v xml:space="preserve"> </v>
      </c>
      <c r="BX134" s="938" t="str">
        <f t="shared" si="396"/>
        <v xml:space="preserve"> </v>
      </c>
      <c r="CF134" s="938" t="str">
        <f t="shared" si="397"/>
        <v xml:space="preserve"> </v>
      </c>
      <c r="CG134" s="938" t="str">
        <f t="shared" si="398"/>
        <v xml:space="preserve"> </v>
      </c>
      <c r="CO134" s="938" t="str">
        <f t="shared" si="399"/>
        <v xml:space="preserve"> </v>
      </c>
      <c r="CP134" s="938" t="str">
        <f t="shared" si="400"/>
        <v xml:space="preserve"> </v>
      </c>
      <c r="CX134" s="938" t="str">
        <f t="shared" si="401"/>
        <v xml:space="preserve"> </v>
      </c>
      <c r="CY134" s="938" t="str">
        <f t="shared" si="402"/>
        <v xml:space="preserve"> </v>
      </c>
      <c r="DG134" s="938" t="str">
        <f t="shared" si="403"/>
        <v xml:space="preserve"> </v>
      </c>
      <c r="DH134" s="938" t="str">
        <f t="shared" si="404"/>
        <v xml:space="preserve"> </v>
      </c>
      <c r="DP134" s="938" t="str">
        <f t="shared" si="405"/>
        <v xml:space="preserve"> </v>
      </c>
      <c r="DQ134" s="938" t="str">
        <f t="shared" si="406"/>
        <v xml:space="preserve"> </v>
      </c>
      <c r="DY134" s="938" t="str">
        <f t="shared" si="407"/>
        <v xml:space="preserve"> </v>
      </c>
      <c r="DZ134" s="938" t="str">
        <f t="shared" si="408"/>
        <v xml:space="preserve"> </v>
      </c>
      <c r="EH134" s="938" t="str">
        <f t="shared" si="409"/>
        <v xml:space="preserve"> </v>
      </c>
      <c r="EI134" s="938" t="str">
        <f t="shared" si="410"/>
        <v xml:space="preserve"> </v>
      </c>
      <c r="EQ134" s="938" t="str">
        <f t="shared" si="411"/>
        <v xml:space="preserve"> </v>
      </c>
      <c r="ER134" s="938" t="str">
        <f t="shared" si="412"/>
        <v xml:space="preserve"> </v>
      </c>
      <c r="EZ134" s="938" t="str">
        <f t="shared" si="413"/>
        <v xml:space="preserve"> </v>
      </c>
      <c r="FA134" s="938" t="str">
        <f t="shared" si="414"/>
        <v xml:space="preserve"> </v>
      </c>
      <c r="FI134" s="938" t="str">
        <f t="shared" si="415"/>
        <v xml:space="preserve"> </v>
      </c>
      <c r="FJ134" s="938" t="str">
        <f t="shared" si="416"/>
        <v xml:space="preserve"> </v>
      </c>
      <c r="FR134" s="938" t="str">
        <f t="shared" si="417"/>
        <v xml:space="preserve"> </v>
      </c>
      <c r="FS134" s="938" t="str">
        <f t="shared" si="418"/>
        <v xml:space="preserve"> </v>
      </c>
      <c r="GA134" s="938" t="str">
        <f t="shared" si="419"/>
        <v xml:space="preserve"> </v>
      </c>
      <c r="GB134" s="938" t="str">
        <f t="shared" si="420"/>
        <v xml:space="preserve"> </v>
      </c>
      <c r="GJ134" s="938" t="str">
        <f t="shared" si="421"/>
        <v xml:space="preserve"> </v>
      </c>
      <c r="GK134" s="938" t="str">
        <f t="shared" si="422"/>
        <v xml:space="preserve"> </v>
      </c>
      <c r="GS134" s="938" t="str">
        <f t="shared" si="423"/>
        <v xml:space="preserve"> </v>
      </c>
      <c r="GT134" s="938" t="str">
        <f t="shared" si="424"/>
        <v xml:space="preserve"> </v>
      </c>
      <c r="HB134" s="938" t="str">
        <f t="shared" si="425"/>
        <v xml:space="preserve"> </v>
      </c>
      <c r="HC134" s="938" t="str">
        <f t="shared" si="426"/>
        <v xml:space="preserve"> </v>
      </c>
      <c r="HK134" s="938" t="str">
        <f t="shared" si="427"/>
        <v xml:space="preserve"> </v>
      </c>
      <c r="HL134" s="938" t="str">
        <f t="shared" si="428"/>
        <v xml:space="preserve"> </v>
      </c>
      <c r="HT134" s="938" t="str">
        <f t="shared" si="429"/>
        <v xml:space="preserve"> </v>
      </c>
      <c r="HU134" s="938" t="str">
        <f t="shared" si="430"/>
        <v xml:space="preserve"> </v>
      </c>
      <c r="IC134" s="938" t="str">
        <f t="shared" si="431"/>
        <v xml:space="preserve"> </v>
      </c>
      <c r="ID134" s="938" t="str">
        <f t="shared" si="432"/>
        <v xml:space="preserve"> </v>
      </c>
      <c r="IL134" s="938" t="str">
        <f t="shared" si="433"/>
        <v xml:space="preserve"> </v>
      </c>
      <c r="IM134" s="938" t="str">
        <f t="shared" si="434"/>
        <v xml:space="preserve"> </v>
      </c>
      <c r="IU134" s="938" t="str">
        <f t="shared" si="435"/>
        <v xml:space="preserve"> </v>
      </c>
      <c r="IV134" s="938" t="str">
        <f t="shared" si="436"/>
        <v xml:space="preserve"> </v>
      </c>
      <c r="JD134" s="938" t="str">
        <f t="shared" si="437"/>
        <v xml:space="preserve"> </v>
      </c>
      <c r="JE134" s="938" t="str">
        <f t="shared" si="438"/>
        <v xml:space="preserve"> </v>
      </c>
      <c r="JM134" s="938" t="str">
        <f t="shared" si="439"/>
        <v xml:space="preserve"> </v>
      </c>
      <c r="JN134" s="938" t="str">
        <f t="shared" si="440"/>
        <v xml:space="preserve"> </v>
      </c>
      <c r="JV134" s="938" t="str">
        <f t="shared" si="441"/>
        <v xml:space="preserve"> </v>
      </c>
      <c r="JW134" s="938" t="str">
        <f t="shared" si="442"/>
        <v xml:space="preserve"> </v>
      </c>
    </row>
    <row r="135" spans="11:283" x14ac:dyDescent="0.2">
      <c r="K135" s="938" t="str">
        <f t="shared" si="381"/>
        <v/>
      </c>
      <c r="L135" s="714">
        <f>IF(P135&gt;0,P135+M135,0)</f>
        <v>0</v>
      </c>
      <c r="M135" s="714">
        <v>1E-4</v>
      </c>
      <c r="N135" s="714">
        <v>10</v>
      </c>
      <c r="O135" t="str">
        <v>#</v>
      </c>
      <c r="P135" s="714">
        <f t="shared" si="379"/>
        <v>0</v>
      </c>
      <c r="Q135" s="714">
        <f t="shared" si="380"/>
        <v>0</v>
      </c>
      <c r="U135" s="938" t="str">
        <f t="shared" si="383"/>
        <v xml:space="preserve"> </v>
      </c>
      <c r="V135" s="938" t="str">
        <f t="shared" si="384"/>
        <v xml:space="preserve"> </v>
      </c>
      <c r="AD135" s="938" t="str">
        <f t="shared" si="385"/>
        <v xml:space="preserve"> </v>
      </c>
      <c r="AE135" s="938" t="str">
        <f t="shared" si="386"/>
        <v xml:space="preserve"> </v>
      </c>
      <c r="AM135" s="938" t="str">
        <f t="shared" si="387"/>
        <v xml:space="preserve"> </v>
      </c>
      <c r="AN135" s="938" t="str">
        <f t="shared" si="388"/>
        <v xml:space="preserve"> </v>
      </c>
      <c r="AV135" s="938" t="str">
        <f t="shared" si="389"/>
        <v xml:space="preserve"> </v>
      </c>
      <c r="AW135" s="938" t="str">
        <f t="shared" si="390"/>
        <v xml:space="preserve"> </v>
      </c>
      <c r="BE135" s="938" t="str">
        <f t="shared" si="391"/>
        <v xml:space="preserve"> </v>
      </c>
      <c r="BF135" s="938" t="str">
        <f t="shared" si="392"/>
        <v xml:space="preserve"> </v>
      </c>
      <c r="BN135" s="938" t="str">
        <f t="shared" si="393"/>
        <v xml:space="preserve"> </v>
      </c>
      <c r="BO135" s="938" t="str">
        <f t="shared" si="394"/>
        <v xml:space="preserve"> </v>
      </c>
      <c r="BW135" s="938" t="str">
        <f t="shared" si="395"/>
        <v xml:space="preserve"> </v>
      </c>
      <c r="BX135" s="938" t="str">
        <f t="shared" si="396"/>
        <v xml:space="preserve"> </v>
      </c>
      <c r="CF135" s="938" t="str">
        <f t="shared" si="397"/>
        <v xml:space="preserve"> </v>
      </c>
      <c r="CG135" s="938" t="str">
        <f t="shared" si="398"/>
        <v xml:space="preserve"> </v>
      </c>
      <c r="CO135" s="938" t="str">
        <f t="shared" si="399"/>
        <v xml:space="preserve"> </v>
      </c>
      <c r="CP135" s="938" t="str">
        <f t="shared" si="400"/>
        <v xml:space="preserve"> </v>
      </c>
      <c r="CX135" s="938" t="str">
        <f t="shared" si="401"/>
        <v xml:space="preserve"> </v>
      </c>
      <c r="CY135" s="938" t="str">
        <f t="shared" si="402"/>
        <v xml:space="preserve"> </v>
      </c>
      <c r="DG135" s="938" t="str">
        <f t="shared" si="403"/>
        <v xml:space="preserve"> </v>
      </c>
      <c r="DH135" s="938" t="str">
        <f t="shared" si="404"/>
        <v xml:space="preserve"> </v>
      </c>
      <c r="DP135" s="938" t="str">
        <f t="shared" si="405"/>
        <v xml:space="preserve"> </v>
      </c>
      <c r="DQ135" s="938" t="str">
        <f t="shared" si="406"/>
        <v xml:space="preserve"> </v>
      </c>
      <c r="DY135" s="938" t="str">
        <f t="shared" si="407"/>
        <v xml:space="preserve"> </v>
      </c>
      <c r="DZ135" s="938" t="str">
        <f t="shared" si="408"/>
        <v xml:space="preserve"> </v>
      </c>
      <c r="EH135" s="938" t="str">
        <f t="shared" si="409"/>
        <v xml:space="preserve"> </v>
      </c>
      <c r="EI135" s="938" t="str">
        <f t="shared" si="410"/>
        <v xml:space="preserve"> </v>
      </c>
      <c r="EQ135" s="938" t="str">
        <f t="shared" si="411"/>
        <v xml:space="preserve"> </v>
      </c>
      <c r="ER135" s="938" t="str">
        <f t="shared" si="412"/>
        <v xml:space="preserve"> </v>
      </c>
      <c r="EZ135" s="938" t="str">
        <f t="shared" si="413"/>
        <v xml:space="preserve"> </v>
      </c>
      <c r="FA135" s="938" t="str">
        <f t="shared" si="414"/>
        <v xml:space="preserve"> </v>
      </c>
      <c r="FI135" s="938" t="str">
        <f t="shared" si="415"/>
        <v xml:space="preserve"> </v>
      </c>
      <c r="FJ135" s="938" t="str">
        <f t="shared" si="416"/>
        <v xml:space="preserve"> </v>
      </c>
      <c r="FR135" s="938" t="str">
        <f t="shared" si="417"/>
        <v xml:space="preserve"> </v>
      </c>
      <c r="FS135" s="938" t="str">
        <f t="shared" si="418"/>
        <v xml:space="preserve"> </v>
      </c>
      <c r="GA135" s="938" t="str">
        <f t="shared" si="419"/>
        <v xml:space="preserve"> </v>
      </c>
      <c r="GB135" s="938" t="str">
        <f t="shared" si="420"/>
        <v xml:space="preserve"> </v>
      </c>
      <c r="GJ135" s="938" t="str">
        <f t="shared" si="421"/>
        <v xml:space="preserve"> </v>
      </c>
      <c r="GK135" s="938" t="str">
        <f t="shared" si="422"/>
        <v xml:space="preserve"> </v>
      </c>
      <c r="GS135" s="938" t="str">
        <f t="shared" si="423"/>
        <v xml:space="preserve"> </v>
      </c>
      <c r="GT135" s="938" t="str">
        <f t="shared" si="424"/>
        <v xml:space="preserve"> </v>
      </c>
      <c r="HB135" s="938" t="str">
        <f t="shared" si="425"/>
        <v xml:space="preserve"> </v>
      </c>
      <c r="HC135" s="938" t="str">
        <f t="shared" si="426"/>
        <v xml:space="preserve"> </v>
      </c>
      <c r="HK135" s="938" t="str">
        <f t="shared" si="427"/>
        <v xml:space="preserve"> </v>
      </c>
      <c r="HL135" s="938" t="str">
        <f t="shared" si="428"/>
        <v xml:space="preserve"> </v>
      </c>
      <c r="HT135" s="938" t="str">
        <f t="shared" si="429"/>
        <v xml:space="preserve"> </v>
      </c>
      <c r="HU135" s="938" t="str">
        <f t="shared" si="430"/>
        <v xml:space="preserve"> </v>
      </c>
      <c r="IC135" s="938" t="str">
        <f t="shared" si="431"/>
        <v xml:space="preserve"> </v>
      </c>
      <c r="ID135" s="938" t="str">
        <f t="shared" si="432"/>
        <v xml:space="preserve"> </v>
      </c>
      <c r="IL135" s="938" t="str">
        <f t="shared" si="433"/>
        <v xml:space="preserve"> </v>
      </c>
      <c r="IM135" s="938" t="str">
        <f t="shared" si="434"/>
        <v xml:space="preserve"> </v>
      </c>
      <c r="IU135" s="938" t="str">
        <f t="shared" si="435"/>
        <v xml:space="preserve"> </v>
      </c>
      <c r="IV135" s="938" t="str">
        <f t="shared" si="436"/>
        <v xml:space="preserve"> </v>
      </c>
      <c r="JD135" s="938" t="str">
        <f t="shared" si="437"/>
        <v xml:space="preserve"> </v>
      </c>
      <c r="JE135" s="938" t="str">
        <f t="shared" si="438"/>
        <v xml:space="preserve"> </v>
      </c>
      <c r="JM135" s="938" t="str">
        <f t="shared" si="439"/>
        <v xml:space="preserve"> </v>
      </c>
      <c r="JN135" s="938" t="str">
        <f t="shared" si="440"/>
        <v xml:space="preserve"> </v>
      </c>
      <c r="JV135" s="938" t="str">
        <f t="shared" si="441"/>
        <v xml:space="preserve"> </v>
      </c>
      <c r="JW135" s="938" t="str">
        <f t="shared" si="442"/>
        <v xml:space="preserve"> </v>
      </c>
    </row>
    <row r="136" spans="11:283" x14ac:dyDescent="0.2">
      <c r="K136" s="938" t="str">
        <f t="shared" si="381"/>
        <v/>
      </c>
      <c r="L136" s="714">
        <f t="shared" si="382"/>
        <v>0</v>
      </c>
      <c r="M136" s="714">
        <v>1.1E-4</v>
      </c>
      <c r="N136" s="714">
        <v>11</v>
      </c>
      <c r="O136" t="str">
        <v>#</v>
      </c>
      <c r="P136" s="714">
        <f t="shared" si="379"/>
        <v>0</v>
      </c>
      <c r="Q136" s="714">
        <f t="shared" si="380"/>
        <v>0</v>
      </c>
      <c r="U136" s="938" t="str">
        <f t="shared" si="383"/>
        <v xml:space="preserve"> </v>
      </c>
      <c r="V136" s="938" t="str">
        <f t="shared" si="384"/>
        <v xml:space="preserve"> </v>
      </c>
      <c r="AD136" s="938" t="str">
        <f t="shared" si="385"/>
        <v xml:space="preserve"> </v>
      </c>
      <c r="AE136" s="938" t="str">
        <f t="shared" si="386"/>
        <v xml:space="preserve"> </v>
      </c>
      <c r="AM136" s="938" t="str">
        <f t="shared" si="387"/>
        <v xml:space="preserve"> </v>
      </c>
      <c r="AN136" s="938" t="str">
        <f t="shared" si="388"/>
        <v xml:space="preserve"> </v>
      </c>
      <c r="AV136" s="938" t="str">
        <f t="shared" si="389"/>
        <v xml:space="preserve"> </v>
      </c>
      <c r="AW136" s="938" t="str">
        <f t="shared" si="390"/>
        <v xml:space="preserve"> </v>
      </c>
      <c r="BE136" s="938" t="str">
        <f t="shared" si="391"/>
        <v xml:space="preserve"> </v>
      </c>
      <c r="BF136" s="938" t="str">
        <f t="shared" si="392"/>
        <v xml:space="preserve"> </v>
      </c>
      <c r="BN136" s="938" t="str">
        <f t="shared" si="393"/>
        <v xml:space="preserve"> </v>
      </c>
      <c r="BO136" s="938" t="str">
        <f t="shared" si="394"/>
        <v xml:space="preserve"> </v>
      </c>
      <c r="BW136" s="938" t="str">
        <f t="shared" si="395"/>
        <v xml:space="preserve"> </v>
      </c>
      <c r="BX136" s="938" t="str">
        <f t="shared" si="396"/>
        <v xml:space="preserve"> </v>
      </c>
      <c r="CF136" s="938" t="str">
        <f t="shared" si="397"/>
        <v xml:space="preserve"> </v>
      </c>
      <c r="CG136" s="938" t="str">
        <f t="shared" si="398"/>
        <v xml:space="preserve"> </v>
      </c>
      <c r="CO136" s="938" t="str">
        <f t="shared" si="399"/>
        <v xml:space="preserve"> </v>
      </c>
      <c r="CP136" s="938" t="str">
        <f t="shared" si="400"/>
        <v xml:space="preserve"> </v>
      </c>
      <c r="CX136" s="938" t="str">
        <f t="shared" si="401"/>
        <v xml:space="preserve"> </v>
      </c>
      <c r="CY136" s="938" t="str">
        <f t="shared" si="402"/>
        <v xml:space="preserve"> </v>
      </c>
      <c r="DG136" s="938" t="str">
        <f t="shared" si="403"/>
        <v xml:space="preserve"> </v>
      </c>
      <c r="DH136" s="938" t="str">
        <f t="shared" si="404"/>
        <v xml:space="preserve"> </v>
      </c>
      <c r="DP136" s="938" t="str">
        <f t="shared" si="405"/>
        <v xml:space="preserve"> </v>
      </c>
      <c r="DQ136" s="938" t="str">
        <f t="shared" si="406"/>
        <v xml:space="preserve"> </v>
      </c>
      <c r="DY136" s="938" t="str">
        <f t="shared" si="407"/>
        <v xml:space="preserve"> </v>
      </c>
      <c r="DZ136" s="938" t="str">
        <f t="shared" si="408"/>
        <v xml:space="preserve"> </v>
      </c>
      <c r="EH136" s="938" t="str">
        <f t="shared" si="409"/>
        <v xml:space="preserve"> </v>
      </c>
      <c r="EI136" s="938" t="str">
        <f t="shared" si="410"/>
        <v xml:space="preserve"> </v>
      </c>
      <c r="EQ136" s="938" t="str">
        <f t="shared" si="411"/>
        <v xml:space="preserve"> </v>
      </c>
      <c r="ER136" s="938" t="str">
        <f t="shared" si="412"/>
        <v xml:space="preserve"> </v>
      </c>
      <c r="EZ136" s="938" t="str">
        <f t="shared" si="413"/>
        <v xml:space="preserve"> </v>
      </c>
      <c r="FA136" s="938" t="str">
        <f t="shared" si="414"/>
        <v xml:space="preserve"> </v>
      </c>
      <c r="FI136" s="938" t="str">
        <f t="shared" si="415"/>
        <v xml:space="preserve"> </v>
      </c>
      <c r="FJ136" s="938" t="str">
        <f t="shared" si="416"/>
        <v xml:space="preserve"> </v>
      </c>
      <c r="FR136" s="938" t="str">
        <f t="shared" si="417"/>
        <v xml:space="preserve"> </v>
      </c>
      <c r="FS136" s="938" t="str">
        <f t="shared" si="418"/>
        <v xml:space="preserve"> </v>
      </c>
      <c r="GA136" s="938" t="str">
        <f t="shared" si="419"/>
        <v xml:space="preserve"> </v>
      </c>
      <c r="GB136" s="938" t="str">
        <f t="shared" si="420"/>
        <v xml:space="preserve"> </v>
      </c>
      <c r="GJ136" s="938" t="str">
        <f t="shared" si="421"/>
        <v xml:space="preserve"> </v>
      </c>
      <c r="GK136" s="938" t="str">
        <f t="shared" si="422"/>
        <v xml:space="preserve"> </v>
      </c>
      <c r="GS136" s="938" t="str">
        <f t="shared" si="423"/>
        <v xml:space="preserve"> </v>
      </c>
      <c r="GT136" s="938" t="str">
        <f t="shared" si="424"/>
        <v xml:space="preserve"> </v>
      </c>
      <c r="HB136" s="938" t="str">
        <f t="shared" si="425"/>
        <v xml:space="preserve"> </v>
      </c>
      <c r="HC136" s="938" t="str">
        <f t="shared" si="426"/>
        <v xml:space="preserve"> </v>
      </c>
      <c r="HK136" s="938" t="str">
        <f t="shared" si="427"/>
        <v xml:space="preserve"> </v>
      </c>
      <c r="HL136" s="938" t="str">
        <f t="shared" si="428"/>
        <v xml:space="preserve"> </v>
      </c>
      <c r="HT136" s="938" t="str">
        <f t="shared" si="429"/>
        <v xml:space="preserve"> </v>
      </c>
      <c r="HU136" s="938" t="str">
        <f t="shared" si="430"/>
        <v xml:space="preserve"> </v>
      </c>
      <c r="IC136" s="938" t="str">
        <f t="shared" si="431"/>
        <v xml:space="preserve"> </v>
      </c>
      <c r="ID136" s="938" t="str">
        <f t="shared" si="432"/>
        <v xml:space="preserve"> </v>
      </c>
      <c r="IL136" s="938" t="str">
        <f t="shared" si="433"/>
        <v xml:space="preserve"> </v>
      </c>
      <c r="IM136" s="938" t="str">
        <f t="shared" si="434"/>
        <v xml:space="preserve"> </v>
      </c>
      <c r="IU136" s="938" t="str">
        <f t="shared" si="435"/>
        <v xml:space="preserve"> </v>
      </c>
      <c r="IV136" s="938" t="str">
        <f t="shared" si="436"/>
        <v xml:space="preserve"> </v>
      </c>
      <c r="JD136" s="938" t="str">
        <f t="shared" si="437"/>
        <v xml:space="preserve"> </v>
      </c>
      <c r="JE136" s="938" t="str">
        <f t="shared" si="438"/>
        <v xml:space="preserve"> </v>
      </c>
      <c r="JM136" s="938" t="str">
        <f t="shared" si="439"/>
        <v xml:space="preserve"> </v>
      </c>
      <c r="JN136" s="938" t="str">
        <f t="shared" si="440"/>
        <v xml:space="preserve"> </v>
      </c>
      <c r="JV136" s="938" t="str">
        <f t="shared" si="441"/>
        <v xml:space="preserve"> </v>
      </c>
      <c r="JW136" s="938" t="str">
        <f t="shared" si="442"/>
        <v xml:space="preserve"> </v>
      </c>
    </row>
    <row r="137" spans="11:283" x14ac:dyDescent="0.2">
      <c r="K137" s="938" t="str">
        <f t="shared" si="381"/>
        <v/>
      </c>
      <c r="L137" s="714">
        <f t="shared" si="382"/>
        <v>0</v>
      </c>
      <c r="M137" s="714">
        <v>1.2E-4</v>
      </c>
      <c r="N137" s="714">
        <v>12</v>
      </c>
      <c r="O137" t="str">
        <v>#</v>
      </c>
      <c r="P137" s="714">
        <f t="shared" si="379"/>
        <v>0</v>
      </c>
      <c r="Q137" s="714">
        <f t="shared" si="380"/>
        <v>0</v>
      </c>
      <c r="U137" s="938" t="str">
        <f t="shared" si="383"/>
        <v xml:space="preserve"> </v>
      </c>
      <c r="V137" s="938" t="str">
        <f t="shared" si="384"/>
        <v xml:space="preserve"> </v>
      </c>
      <c r="AD137" s="938" t="str">
        <f t="shared" si="385"/>
        <v xml:space="preserve"> </v>
      </c>
      <c r="AE137" s="938" t="str">
        <f t="shared" si="386"/>
        <v xml:space="preserve"> </v>
      </c>
      <c r="AM137" s="938" t="str">
        <f t="shared" si="387"/>
        <v xml:space="preserve"> </v>
      </c>
      <c r="AN137" s="938" t="str">
        <f t="shared" si="388"/>
        <v xml:space="preserve"> </v>
      </c>
      <c r="AV137" s="938" t="str">
        <f t="shared" si="389"/>
        <v xml:space="preserve"> </v>
      </c>
      <c r="AW137" s="938" t="str">
        <f t="shared" si="390"/>
        <v xml:space="preserve"> </v>
      </c>
      <c r="BE137" s="938" t="str">
        <f t="shared" si="391"/>
        <v xml:space="preserve"> </v>
      </c>
      <c r="BF137" s="938" t="str">
        <f t="shared" si="392"/>
        <v xml:space="preserve"> </v>
      </c>
      <c r="BN137" s="938" t="str">
        <f t="shared" si="393"/>
        <v xml:space="preserve"> </v>
      </c>
      <c r="BO137" s="938" t="str">
        <f t="shared" si="394"/>
        <v xml:space="preserve"> </v>
      </c>
      <c r="BW137" s="938" t="str">
        <f t="shared" si="395"/>
        <v xml:space="preserve"> </v>
      </c>
      <c r="BX137" s="938" t="str">
        <f t="shared" si="396"/>
        <v xml:space="preserve"> </v>
      </c>
      <c r="CF137" s="938" t="str">
        <f t="shared" si="397"/>
        <v xml:space="preserve"> </v>
      </c>
      <c r="CG137" s="938" t="str">
        <f t="shared" si="398"/>
        <v xml:space="preserve"> </v>
      </c>
      <c r="CO137" s="938" t="str">
        <f t="shared" si="399"/>
        <v xml:space="preserve"> </v>
      </c>
      <c r="CP137" s="938" t="str">
        <f t="shared" si="400"/>
        <v xml:space="preserve"> </v>
      </c>
      <c r="CX137" s="938" t="str">
        <f t="shared" si="401"/>
        <v xml:space="preserve"> </v>
      </c>
      <c r="CY137" s="938" t="str">
        <f t="shared" si="402"/>
        <v xml:space="preserve"> </v>
      </c>
      <c r="DG137" s="938" t="str">
        <f t="shared" si="403"/>
        <v xml:space="preserve"> </v>
      </c>
      <c r="DH137" s="938" t="str">
        <f t="shared" si="404"/>
        <v xml:space="preserve"> </v>
      </c>
      <c r="DP137" s="938" t="str">
        <f t="shared" si="405"/>
        <v xml:space="preserve"> </v>
      </c>
      <c r="DQ137" s="938" t="str">
        <f t="shared" si="406"/>
        <v xml:space="preserve"> </v>
      </c>
      <c r="DY137" s="938" t="str">
        <f t="shared" si="407"/>
        <v xml:space="preserve"> </v>
      </c>
      <c r="DZ137" s="938" t="str">
        <f t="shared" si="408"/>
        <v xml:space="preserve"> </v>
      </c>
      <c r="EH137" s="938" t="str">
        <f t="shared" si="409"/>
        <v xml:space="preserve"> </v>
      </c>
      <c r="EI137" s="938" t="str">
        <f t="shared" si="410"/>
        <v xml:space="preserve"> </v>
      </c>
      <c r="EQ137" s="938" t="str">
        <f t="shared" si="411"/>
        <v xml:space="preserve"> </v>
      </c>
      <c r="ER137" s="938" t="str">
        <f t="shared" si="412"/>
        <v xml:space="preserve"> </v>
      </c>
      <c r="EZ137" s="938" t="str">
        <f t="shared" si="413"/>
        <v xml:space="preserve"> </v>
      </c>
      <c r="FA137" s="938" t="str">
        <f t="shared" si="414"/>
        <v xml:space="preserve"> </v>
      </c>
      <c r="FI137" s="938" t="str">
        <f t="shared" si="415"/>
        <v xml:space="preserve"> </v>
      </c>
      <c r="FJ137" s="938" t="str">
        <f t="shared" si="416"/>
        <v xml:space="preserve"> </v>
      </c>
      <c r="FR137" s="938" t="str">
        <f t="shared" si="417"/>
        <v xml:space="preserve"> </v>
      </c>
      <c r="FS137" s="938" t="str">
        <f t="shared" si="418"/>
        <v xml:space="preserve"> </v>
      </c>
      <c r="GA137" s="938" t="str">
        <f t="shared" si="419"/>
        <v xml:space="preserve"> </v>
      </c>
      <c r="GB137" s="938" t="str">
        <f t="shared" si="420"/>
        <v xml:space="preserve"> </v>
      </c>
      <c r="GJ137" s="938" t="str">
        <f t="shared" si="421"/>
        <v xml:space="preserve"> </v>
      </c>
      <c r="GK137" s="938" t="str">
        <f t="shared" si="422"/>
        <v xml:space="preserve"> </v>
      </c>
      <c r="GS137" s="938" t="str">
        <f t="shared" si="423"/>
        <v xml:space="preserve"> </v>
      </c>
      <c r="GT137" s="938" t="str">
        <f t="shared" si="424"/>
        <v xml:space="preserve"> </v>
      </c>
      <c r="HB137" s="938" t="str">
        <f t="shared" si="425"/>
        <v xml:space="preserve"> </v>
      </c>
      <c r="HC137" s="938" t="str">
        <f t="shared" si="426"/>
        <v xml:space="preserve"> </v>
      </c>
      <c r="HK137" s="938" t="str">
        <f t="shared" si="427"/>
        <v xml:space="preserve"> </v>
      </c>
      <c r="HL137" s="938" t="str">
        <f t="shared" si="428"/>
        <v xml:space="preserve"> </v>
      </c>
      <c r="HT137" s="938" t="str">
        <f t="shared" si="429"/>
        <v xml:space="preserve"> </v>
      </c>
      <c r="HU137" s="938" t="str">
        <f t="shared" si="430"/>
        <v xml:space="preserve"> </v>
      </c>
      <c r="IC137" s="938" t="str">
        <f t="shared" si="431"/>
        <v xml:space="preserve"> </v>
      </c>
      <c r="ID137" s="938" t="str">
        <f t="shared" si="432"/>
        <v xml:space="preserve"> </v>
      </c>
      <c r="IL137" s="938" t="str">
        <f t="shared" si="433"/>
        <v xml:space="preserve"> </v>
      </c>
      <c r="IM137" s="938" t="str">
        <f t="shared" si="434"/>
        <v xml:space="preserve"> </v>
      </c>
      <c r="IU137" s="938" t="str">
        <f t="shared" si="435"/>
        <v xml:space="preserve"> </v>
      </c>
      <c r="IV137" s="938" t="str">
        <f t="shared" si="436"/>
        <v xml:space="preserve"> </v>
      </c>
      <c r="JD137" s="938" t="str">
        <f t="shared" si="437"/>
        <v xml:space="preserve"> </v>
      </c>
      <c r="JE137" s="938" t="str">
        <f t="shared" si="438"/>
        <v xml:space="preserve"> </v>
      </c>
      <c r="JM137" s="938" t="str">
        <f t="shared" si="439"/>
        <v xml:space="preserve"> </v>
      </c>
      <c r="JN137" s="938" t="str">
        <f t="shared" si="440"/>
        <v xml:space="preserve"> </v>
      </c>
      <c r="JV137" s="938" t="str">
        <f t="shared" si="441"/>
        <v xml:space="preserve"> </v>
      </c>
      <c r="JW137" s="938" t="str">
        <f t="shared" si="442"/>
        <v xml:space="preserve"> </v>
      </c>
    </row>
    <row r="138" spans="11:283" x14ac:dyDescent="0.2">
      <c r="K138" s="938" t="str">
        <f t="shared" si="381"/>
        <v/>
      </c>
      <c r="L138" s="714">
        <f t="shared" si="382"/>
        <v>0</v>
      </c>
      <c r="M138" s="714">
        <v>1.2999999999999999E-4</v>
      </c>
      <c r="N138" s="714">
        <v>13</v>
      </c>
      <c r="O138" t="str">
        <v xml:space="preserve"> +++min. Düng.++</v>
      </c>
      <c r="P138" s="714">
        <f t="shared" si="379"/>
        <v>0</v>
      </c>
      <c r="Q138" s="714">
        <f t="shared" si="380"/>
        <v>0</v>
      </c>
      <c r="U138" s="938" t="str">
        <f t="shared" si="383"/>
        <v xml:space="preserve"> </v>
      </c>
      <c r="V138" s="938" t="str">
        <f t="shared" si="384"/>
        <v xml:space="preserve"> </v>
      </c>
      <c r="AD138" s="938" t="str">
        <f t="shared" si="385"/>
        <v xml:space="preserve"> </v>
      </c>
      <c r="AE138" s="938" t="str">
        <f t="shared" si="386"/>
        <v xml:space="preserve"> </v>
      </c>
      <c r="AM138" s="938" t="str">
        <f t="shared" si="387"/>
        <v xml:space="preserve"> </v>
      </c>
      <c r="AN138" s="938" t="str">
        <f t="shared" si="388"/>
        <v xml:space="preserve"> </v>
      </c>
      <c r="AV138" s="938" t="str">
        <f t="shared" si="389"/>
        <v xml:space="preserve"> </v>
      </c>
      <c r="AW138" s="938" t="str">
        <f t="shared" si="390"/>
        <v xml:space="preserve"> </v>
      </c>
      <c r="BE138" s="938" t="str">
        <f t="shared" si="391"/>
        <v xml:space="preserve"> </v>
      </c>
      <c r="BF138" s="938" t="str">
        <f t="shared" si="392"/>
        <v xml:space="preserve"> </v>
      </c>
      <c r="BN138" s="938" t="str">
        <f t="shared" si="393"/>
        <v xml:space="preserve"> </v>
      </c>
      <c r="BO138" s="938" t="str">
        <f t="shared" si="394"/>
        <v xml:space="preserve"> </v>
      </c>
      <c r="BW138" s="938" t="str">
        <f t="shared" si="395"/>
        <v xml:space="preserve"> </v>
      </c>
      <c r="BX138" s="938" t="str">
        <f t="shared" si="396"/>
        <v xml:space="preserve"> </v>
      </c>
      <c r="CF138" s="938" t="str">
        <f t="shared" si="397"/>
        <v xml:space="preserve"> </v>
      </c>
      <c r="CG138" s="938" t="str">
        <f t="shared" si="398"/>
        <v xml:space="preserve"> </v>
      </c>
      <c r="CO138" s="938" t="str">
        <f t="shared" si="399"/>
        <v xml:space="preserve"> </v>
      </c>
      <c r="CP138" s="938" t="str">
        <f t="shared" si="400"/>
        <v xml:space="preserve"> </v>
      </c>
      <c r="CX138" s="938" t="str">
        <f t="shared" si="401"/>
        <v xml:space="preserve"> </v>
      </c>
      <c r="CY138" s="938" t="str">
        <f t="shared" si="402"/>
        <v xml:space="preserve"> </v>
      </c>
      <c r="DG138" s="938" t="str">
        <f t="shared" si="403"/>
        <v xml:space="preserve"> </v>
      </c>
      <c r="DH138" s="938" t="str">
        <f t="shared" si="404"/>
        <v xml:space="preserve"> </v>
      </c>
      <c r="DP138" s="938" t="str">
        <f t="shared" si="405"/>
        <v xml:space="preserve"> </v>
      </c>
      <c r="DQ138" s="938" t="str">
        <f t="shared" si="406"/>
        <v xml:space="preserve"> </v>
      </c>
      <c r="DY138" s="938" t="str">
        <f t="shared" si="407"/>
        <v xml:space="preserve"> </v>
      </c>
      <c r="DZ138" s="938" t="str">
        <f t="shared" si="408"/>
        <v xml:space="preserve"> </v>
      </c>
      <c r="EH138" s="938" t="str">
        <f t="shared" si="409"/>
        <v xml:space="preserve"> </v>
      </c>
      <c r="EI138" s="938" t="str">
        <f t="shared" si="410"/>
        <v xml:space="preserve"> </v>
      </c>
      <c r="EQ138" s="938" t="str">
        <f t="shared" si="411"/>
        <v xml:space="preserve"> </v>
      </c>
      <c r="ER138" s="938" t="str">
        <f t="shared" si="412"/>
        <v xml:space="preserve"> </v>
      </c>
      <c r="EZ138" s="938" t="str">
        <f t="shared" si="413"/>
        <v xml:space="preserve"> </v>
      </c>
      <c r="FA138" s="938" t="str">
        <f t="shared" si="414"/>
        <v xml:space="preserve"> </v>
      </c>
      <c r="FI138" s="938" t="str">
        <f t="shared" si="415"/>
        <v xml:space="preserve"> </v>
      </c>
      <c r="FJ138" s="938" t="str">
        <f t="shared" si="416"/>
        <v xml:space="preserve"> </v>
      </c>
      <c r="FR138" s="938" t="str">
        <f t="shared" si="417"/>
        <v xml:space="preserve"> </v>
      </c>
      <c r="FS138" s="938" t="str">
        <f t="shared" si="418"/>
        <v xml:space="preserve"> </v>
      </c>
      <c r="GA138" s="938" t="str">
        <f t="shared" si="419"/>
        <v xml:space="preserve"> </v>
      </c>
      <c r="GB138" s="938" t="str">
        <f t="shared" si="420"/>
        <v xml:space="preserve"> </v>
      </c>
      <c r="GJ138" s="938" t="str">
        <f t="shared" si="421"/>
        <v xml:space="preserve"> </v>
      </c>
      <c r="GK138" s="938" t="str">
        <f t="shared" si="422"/>
        <v xml:space="preserve"> </v>
      </c>
      <c r="GS138" s="938" t="str">
        <f t="shared" si="423"/>
        <v xml:space="preserve"> </v>
      </c>
      <c r="GT138" s="938" t="str">
        <f t="shared" si="424"/>
        <v xml:space="preserve"> </v>
      </c>
      <c r="HB138" s="938" t="str">
        <f t="shared" si="425"/>
        <v xml:space="preserve"> </v>
      </c>
      <c r="HC138" s="938" t="str">
        <f t="shared" si="426"/>
        <v xml:space="preserve"> </v>
      </c>
      <c r="HK138" s="938" t="str">
        <f t="shared" si="427"/>
        <v xml:space="preserve"> </v>
      </c>
      <c r="HL138" s="938" t="str">
        <f t="shared" si="428"/>
        <v xml:space="preserve"> </v>
      </c>
      <c r="HT138" s="938" t="str">
        <f t="shared" si="429"/>
        <v xml:space="preserve"> </v>
      </c>
      <c r="HU138" s="938" t="str">
        <f t="shared" si="430"/>
        <v xml:space="preserve"> </v>
      </c>
      <c r="IC138" s="938" t="str">
        <f t="shared" si="431"/>
        <v xml:space="preserve"> </v>
      </c>
      <c r="ID138" s="938" t="str">
        <f t="shared" si="432"/>
        <v xml:space="preserve"> </v>
      </c>
      <c r="IL138" s="938" t="str">
        <f t="shared" si="433"/>
        <v xml:space="preserve"> </v>
      </c>
      <c r="IM138" s="938" t="str">
        <f t="shared" si="434"/>
        <v xml:space="preserve"> </v>
      </c>
      <c r="IU138" s="938" t="str">
        <f t="shared" si="435"/>
        <v xml:space="preserve"> </v>
      </c>
      <c r="IV138" s="938" t="str">
        <f t="shared" si="436"/>
        <v xml:space="preserve"> </v>
      </c>
      <c r="JD138" s="938" t="str">
        <f t="shared" si="437"/>
        <v xml:space="preserve"> </v>
      </c>
      <c r="JE138" s="938" t="str">
        <f t="shared" si="438"/>
        <v xml:space="preserve"> </v>
      </c>
      <c r="JM138" s="938" t="str">
        <f t="shared" si="439"/>
        <v xml:space="preserve"> </v>
      </c>
      <c r="JN138" s="938" t="str">
        <f t="shared" si="440"/>
        <v xml:space="preserve"> </v>
      </c>
      <c r="JV138" s="938" t="str">
        <f t="shared" si="441"/>
        <v xml:space="preserve"> </v>
      </c>
      <c r="JW138" s="938" t="str">
        <f t="shared" si="442"/>
        <v xml:space="preserve"> </v>
      </c>
    </row>
    <row r="139" spans="11:283" x14ac:dyDescent="0.2">
      <c r="K139" s="938" t="str">
        <f t="shared" si="381"/>
        <v/>
      </c>
      <c r="L139" s="714">
        <f t="shared" si="382"/>
        <v>0</v>
      </c>
      <c r="M139" s="714">
        <v>1.3999999999999999E-4</v>
      </c>
      <c r="N139" s="714">
        <v>14</v>
      </c>
      <c r="O139" t="str">
        <v>AHL28</v>
      </c>
      <c r="P139" s="714">
        <f t="shared" si="379"/>
        <v>0</v>
      </c>
      <c r="Q139" s="714">
        <f t="shared" si="380"/>
        <v>0</v>
      </c>
      <c r="U139" s="938" t="str">
        <f t="shared" si="383"/>
        <v xml:space="preserve"> </v>
      </c>
      <c r="V139" s="938" t="str">
        <f t="shared" si="384"/>
        <v xml:space="preserve"> </v>
      </c>
      <c r="AD139" s="938" t="str">
        <f t="shared" si="385"/>
        <v xml:space="preserve"> </v>
      </c>
      <c r="AE139" s="938" t="str">
        <f t="shared" si="386"/>
        <v xml:space="preserve"> </v>
      </c>
      <c r="AM139" s="938" t="str">
        <f t="shared" si="387"/>
        <v xml:space="preserve"> </v>
      </c>
      <c r="AN139" s="938" t="str">
        <f t="shared" si="388"/>
        <v xml:space="preserve"> </v>
      </c>
      <c r="AV139" s="938" t="str">
        <f t="shared" si="389"/>
        <v xml:space="preserve"> </v>
      </c>
      <c r="AW139" s="938" t="str">
        <f t="shared" si="390"/>
        <v xml:space="preserve"> </v>
      </c>
      <c r="BE139" s="938" t="str">
        <f t="shared" si="391"/>
        <v xml:space="preserve"> </v>
      </c>
      <c r="BF139" s="938" t="str">
        <f t="shared" si="392"/>
        <v xml:space="preserve"> </v>
      </c>
      <c r="BN139" s="938" t="str">
        <f t="shared" si="393"/>
        <v xml:space="preserve"> </v>
      </c>
      <c r="BO139" s="938" t="str">
        <f t="shared" si="394"/>
        <v xml:space="preserve"> </v>
      </c>
      <c r="BW139" s="938" t="str">
        <f t="shared" si="395"/>
        <v xml:space="preserve"> </v>
      </c>
      <c r="BX139" s="938" t="str">
        <f t="shared" si="396"/>
        <v xml:space="preserve"> </v>
      </c>
      <c r="CF139" s="938" t="str">
        <f t="shared" si="397"/>
        <v xml:space="preserve"> </v>
      </c>
      <c r="CG139" s="938" t="str">
        <f t="shared" si="398"/>
        <v xml:space="preserve"> </v>
      </c>
      <c r="CO139" s="938" t="str">
        <f t="shared" si="399"/>
        <v xml:space="preserve"> </v>
      </c>
      <c r="CP139" s="938" t="str">
        <f t="shared" si="400"/>
        <v xml:space="preserve"> </v>
      </c>
      <c r="CX139" s="938" t="str">
        <f t="shared" si="401"/>
        <v xml:space="preserve"> </v>
      </c>
      <c r="CY139" s="938" t="str">
        <f t="shared" si="402"/>
        <v xml:space="preserve"> </v>
      </c>
      <c r="DG139" s="938" t="str">
        <f t="shared" si="403"/>
        <v xml:space="preserve"> </v>
      </c>
      <c r="DH139" s="938" t="str">
        <f t="shared" si="404"/>
        <v xml:space="preserve"> </v>
      </c>
      <c r="DP139" s="938" t="str">
        <f t="shared" si="405"/>
        <v xml:space="preserve"> </v>
      </c>
      <c r="DQ139" s="938" t="str">
        <f t="shared" si="406"/>
        <v xml:space="preserve"> </v>
      </c>
      <c r="DY139" s="938" t="str">
        <f t="shared" si="407"/>
        <v xml:space="preserve"> </v>
      </c>
      <c r="DZ139" s="938" t="str">
        <f t="shared" si="408"/>
        <v xml:space="preserve"> </v>
      </c>
      <c r="EH139" s="938" t="str">
        <f t="shared" si="409"/>
        <v xml:space="preserve"> </v>
      </c>
      <c r="EI139" s="938" t="str">
        <f t="shared" si="410"/>
        <v xml:space="preserve"> </v>
      </c>
      <c r="EQ139" s="938" t="str">
        <f t="shared" si="411"/>
        <v xml:space="preserve"> </v>
      </c>
      <c r="ER139" s="938" t="str">
        <f t="shared" si="412"/>
        <v xml:space="preserve"> </v>
      </c>
      <c r="EZ139" s="938" t="str">
        <f t="shared" si="413"/>
        <v xml:space="preserve"> </v>
      </c>
      <c r="FA139" s="938" t="str">
        <f t="shared" si="414"/>
        <v xml:space="preserve"> </v>
      </c>
      <c r="FI139" s="938" t="str">
        <f t="shared" si="415"/>
        <v xml:space="preserve"> </v>
      </c>
      <c r="FJ139" s="938" t="str">
        <f t="shared" si="416"/>
        <v xml:space="preserve"> </v>
      </c>
      <c r="FR139" s="938" t="str">
        <f t="shared" si="417"/>
        <v xml:space="preserve"> </v>
      </c>
      <c r="FS139" s="938" t="str">
        <f t="shared" si="418"/>
        <v xml:space="preserve"> </v>
      </c>
      <c r="GA139" s="938" t="str">
        <f t="shared" si="419"/>
        <v xml:space="preserve"> </v>
      </c>
      <c r="GB139" s="938" t="str">
        <f t="shared" si="420"/>
        <v xml:space="preserve"> </v>
      </c>
      <c r="GJ139" s="938" t="str">
        <f t="shared" si="421"/>
        <v xml:space="preserve"> </v>
      </c>
      <c r="GK139" s="938" t="str">
        <f t="shared" si="422"/>
        <v xml:space="preserve"> </v>
      </c>
      <c r="GS139" s="938" t="str">
        <f t="shared" si="423"/>
        <v xml:space="preserve"> </v>
      </c>
      <c r="GT139" s="938" t="str">
        <f t="shared" si="424"/>
        <v xml:space="preserve"> </v>
      </c>
      <c r="HB139" s="938" t="str">
        <f t="shared" si="425"/>
        <v xml:space="preserve"> </v>
      </c>
      <c r="HC139" s="938" t="str">
        <f t="shared" si="426"/>
        <v xml:space="preserve"> </v>
      </c>
      <c r="HK139" s="938" t="str">
        <f t="shared" si="427"/>
        <v xml:space="preserve"> </v>
      </c>
      <c r="HL139" s="938" t="str">
        <f t="shared" si="428"/>
        <v xml:space="preserve"> </v>
      </c>
      <c r="HT139" s="938" t="str">
        <f t="shared" si="429"/>
        <v xml:space="preserve"> </v>
      </c>
      <c r="HU139" s="938" t="str">
        <f t="shared" si="430"/>
        <v xml:space="preserve"> </v>
      </c>
      <c r="IC139" s="938" t="str">
        <f t="shared" si="431"/>
        <v xml:space="preserve"> </v>
      </c>
      <c r="ID139" s="938" t="str">
        <f t="shared" si="432"/>
        <v xml:space="preserve"> </v>
      </c>
      <c r="IL139" s="938" t="str">
        <f t="shared" si="433"/>
        <v xml:space="preserve"> </v>
      </c>
      <c r="IM139" s="938" t="str">
        <f t="shared" si="434"/>
        <v xml:space="preserve"> </v>
      </c>
      <c r="IU139" s="938" t="str">
        <f t="shared" si="435"/>
        <v xml:space="preserve"> </v>
      </c>
      <c r="IV139" s="938" t="str">
        <f t="shared" si="436"/>
        <v xml:space="preserve"> </v>
      </c>
      <c r="JD139" s="938" t="str">
        <f t="shared" si="437"/>
        <v xml:space="preserve"> </v>
      </c>
      <c r="JE139" s="938" t="str">
        <f t="shared" si="438"/>
        <v xml:space="preserve"> </v>
      </c>
      <c r="JM139" s="938" t="str">
        <f t="shared" si="439"/>
        <v xml:space="preserve"> </v>
      </c>
      <c r="JN139" s="938" t="str">
        <f t="shared" si="440"/>
        <v xml:space="preserve"> </v>
      </c>
      <c r="JV139" s="938" t="str">
        <f t="shared" si="441"/>
        <v xml:space="preserve"> </v>
      </c>
      <c r="JW139" s="938" t="str">
        <f t="shared" si="442"/>
        <v xml:space="preserve"> </v>
      </c>
    </row>
    <row r="140" spans="11:283" x14ac:dyDescent="0.2">
      <c r="K140" s="938" t="str">
        <f t="shared" si="381"/>
        <v/>
      </c>
      <c r="L140" s="714">
        <f t="shared" si="382"/>
        <v>0</v>
      </c>
      <c r="M140" s="714">
        <v>1.4999999999999999E-4</v>
      </c>
      <c r="N140" s="714">
        <v>15</v>
      </c>
      <c r="O140" t="str">
        <v>ALZONNEO</v>
      </c>
      <c r="P140" s="714">
        <f t="shared" si="379"/>
        <v>0</v>
      </c>
      <c r="Q140" s="714">
        <f t="shared" si="380"/>
        <v>0</v>
      </c>
      <c r="U140" s="938" t="str">
        <f t="shared" si="383"/>
        <v xml:space="preserve"> </v>
      </c>
      <c r="V140" s="938" t="str">
        <f t="shared" si="384"/>
        <v xml:space="preserve"> </v>
      </c>
      <c r="AD140" s="938" t="str">
        <f t="shared" si="385"/>
        <v xml:space="preserve"> </v>
      </c>
      <c r="AE140" s="938" t="str">
        <f t="shared" si="386"/>
        <v xml:space="preserve"> </v>
      </c>
      <c r="AM140" s="938" t="str">
        <f t="shared" si="387"/>
        <v xml:space="preserve"> </v>
      </c>
      <c r="AN140" s="938" t="str">
        <f t="shared" si="388"/>
        <v xml:space="preserve"> </v>
      </c>
      <c r="AV140" s="938" t="str">
        <f t="shared" si="389"/>
        <v xml:space="preserve"> </v>
      </c>
      <c r="AW140" s="938" t="str">
        <f t="shared" si="390"/>
        <v xml:space="preserve"> </v>
      </c>
      <c r="BE140" s="938" t="str">
        <f t="shared" si="391"/>
        <v xml:space="preserve"> </v>
      </c>
      <c r="BF140" s="938" t="str">
        <f t="shared" si="392"/>
        <v xml:space="preserve"> </v>
      </c>
      <c r="BN140" s="938" t="str">
        <f t="shared" si="393"/>
        <v xml:space="preserve"> </v>
      </c>
      <c r="BO140" s="938" t="str">
        <f t="shared" si="394"/>
        <v xml:space="preserve"> </v>
      </c>
      <c r="BW140" s="938" t="str">
        <f t="shared" si="395"/>
        <v xml:space="preserve"> </v>
      </c>
      <c r="BX140" s="938" t="str">
        <f t="shared" si="396"/>
        <v xml:space="preserve"> </v>
      </c>
      <c r="CF140" s="938" t="str">
        <f t="shared" si="397"/>
        <v xml:space="preserve"> </v>
      </c>
      <c r="CG140" s="938" t="str">
        <f t="shared" si="398"/>
        <v xml:space="preserve"> </v>
      </c>
      <c r="CO140" s="938" t="str">
        <f t="shared" si="399"/>
        <v xml:space="preserve"> </v>
      </c>
      <c r="CP140" s="938" t="str">
        <f t="shared" si="400"/>
        <v xml:space="preserve"> </v>
      </c>
      <c r="CX140" s="938" t="str">
        <f t="shared" si="401"/>
        <v xml:space="preserve"> </v>
      </c>
      <c r="CY140" s="938" t="str">
        <f t="shared" si="402"/>
        <v xml:space="preserve"> </v>
      </c>
      <c r="DG140" s="938" t="str">
        <f t="shared" si="403"/>
        <v xml:space="preserve"> </v>
      </c>
      <c r="DH140" s="938" t="str">
        <f t="shared" si="404"/>
        <v xml:space="preserve"> </v>
      </c>
      <c r="DP140" s="938" t="str">
        <f t="shared" si="405"/>
        <v xml:space="preserve"> </v>
      </c>
      <c r="DQ140" s="938" t="str">
        <f t="shared" si="406"/>
        <v xml:space="preserve"> </v>
      </c>
      <c r="DY140" s="938" t="str">
        <f t="shared" si="407"/>
        <v xml:space="preserve"> </v>
      </c>
      <c r="DZ140" s="938" t="str">
        <f t="shared" si="408"/>
        <v xml:space="preserve"> </v>
      </c>
      <c r="EH140" s="938" t="str">
        <f t="shared" si="409"/>
        <v xml:space="preserve"> </v>
      </c>
      <c r="EI140" s="938" t="str">
        <f t="shared" si="410"/>
        <v xml:space="preserve"> </v>
      </c>
      <c r="EQ140" s="938" t="str">
        <f t="shared" si="411"/>
        <v xml:space="preserve"> </v>
      </c>
      <c r="ER140" s="938" t="str">
        <f t="shared" si="412"/>
        <v xml:space="preserve"> </v>
      </c>
      <c r="EZ140" s="938" t="str">
        <f t="shared" si="413"/>
        <v xml:space="preserve"> </v>
      </c>
      <c r="FA140" s="938" t="str">
        <f t="shared" si="414"/>
        <v xml:space="preserve"> </v>
      </c>
      <c r="FI140" s="938" t="str">
        <f t="shared" si="415"/>
        <v xml:space="preserve"> </v>
      </c>
      <c r="FJ140" s="938" t="str">
        <f t="shared" si="416"/>
        <v xml:space="preserve"> </v>
      </c>
      <c r="FR140" s="938" t="str">
        <f t="shared" si="417"/>
        <v xml:space="preserve"> </v>
      </c>
      <c r="FS140" s="938" t="str">
        <f t="shared" si="418"/>
        <v xml:space="preserve"> </v>
      </c>
      <c r="GA140" s="938" t="str">
        <f t="shared" si="419"/>
        <v xml:space="preserve"> </v>
      </c>
      <c r="GB140" s="938" t="str">
        <f t="shared" si="420"/>
        <v xml:space="preserve"> </v>
      </c>
      <c r="GJ140" s="938" t="str">
        <f t="shared" si="421"/>
        <v xml:space="preserve"> </v>
      </c>
      <c r="GK140" s="938" t="str">
        <f t="shared" si="422"/>
        <v xml:space="preserve"> </v>
      </c>
      <c r="GS140" s="938" t="str">
        <f t="shared" si="423"/>
        <v xml:space="preserve"> </v>
      </c>
      <c r="GT140" s="938" t="str">
        <f t="shared" si="424"/>
        <v xml:space="preserve"> </v>
      </c>
      <c r="HB140" s="938" t="str">
        <f t="shared" si="425"/>
        <v xml:space="preserve"> </v>
      </c>
      <c r="HC140" s="938" t="str">
        <f t="shared" si="426"/>
        <v xml:space="preserve"> </v>
      </c>
      <c r="HK140" s="938" t="str">
        <f t="shared" si="427"/>
        <v xml:space="preserve"> </v>
      </c>
      <c r="HL140" s="938" t="str">
        <f t="shared" si="428"/>
        <v xml:space="preserve"> </v>
      </c>
      <c r="HT140" s="938" t="str">
        <f t="shared" si="429"/>
        <v xml:space="preserve"> </v>
      </c>
      <c r="HU140" s="938" t="str">
        <f t="shared" si="430"/>
        <v xml:space="preserve"> </v>
      </c>
      <c r="IC140" s="938" t="str">
        <f t="shared" si="431"/>
        <v xml:space="preserve"> </v>
      </c>
      <c r="ID140" s="938" t="str">
        <f t="shared" si="432"/>
        <v xml:space="preserve"> </v>
      </c>
      <c r="IL140" s="938" t="str">
        <f t="shared" si="433"/>
        <v xml:space="preserve"> </v>
      </c>
      <c r="IM140" s="938" t="str">
        <f t="shared" si="434"/>
        <v xml:space="preserve"> </v>
      </c>
      <c r="IU140" s="938" t="str">
        <f t="shared" si="435"/>
        <v xml:space="preserve"> </v>
      </c>
      <c r="IV140" s="938" t="str">
        <f t="shared" si="436"/>
        <v xml:space="preserve"> </v>
      </c>
      <c r="JD140" s="938" t="str">
        <f t="shared" si="437"/>
        <v xml:space="preserve"> </v>
      </c>
      <c r="JE140" s="938" t="str">
        <f t="shared" si="438"/>
        <v xml:space="preserve"> </v>
      </c>
      <c r="JM140" s="938" t="str">
        <f t="shared" si="439"/>
        <v xml:space="preserve"> </v>
      </c>
      <c r="JN140" s="938" t="str">
        <f t="shared" si="440"/>
        <v xml:space="preserve"> </v>
      </c>
      <c r="JV140" s="938" t="str">
        <f t="shared" si="441"/>
        <v xml:space="preserve"> </v>
      </c>
      <c r="JW140" s="938" t="str">
        <f t="shared" si="442"/>
        <v xml:space="preserve"> </v>
      </c>
    </row>
    <row r="141" spans="11:283" x14ac:dyDescent="0.2">
      <c r="K141" s="938" t="str">
        <f t="shared" si="381"/>
        <v/>
      </c>
      <c r="L141" s="714">
        <f t="shared" si="382"/>
        <v>0</v>
      </c>
      <c r="M141" s="714">
        <v>1.6000000000000001E-4</v>
      </c>
      <c r="N141" s="714">
        <v>16</v>
      </c>
      <c r="O141" t="str">
        <v>SSA</v>
      </c>
      <c r="P141" s="714">
        <f t="shared" si="379"/>
        <v>0</v>
      </c>
      <c r="Q141" s="714">
        <f t="shared" si="380"/>
        <v>0</v>
      </c>
      <c r="U141" s="938" t="str">
        <f t="shared" si="383"/>
        <v xml:space="preserve"> </v>
      </c>
      <c r="V141" s="938" t="str">
        <f t="shared" si="384"/>
        <v xml:space="preserve"> </v>
      </c>
      <c r="AD141" s="938" t="str">
        <f t="shared" si="385"/>
        <v xml:space="preserve"> </v>
      </c>
      <c r="AE141" s="938" t="str">
        <f t="shared" si="386"/>
        <v xml:space="preserve"> </v>
      </c>
      <c r="AM141" s="938" t="str">
        <f t="shared" si="387"/>
        <v xml:space="preserve"> </v>
      </c>
      <c r="AN141" s="938" t="str">
        <f t="shared" si="388"/>
        <v xml:space="preserve"> </v>
      </c>
      <c r="AV141" s="938" t="str">
        <f t="shared" si="389"/>
        <v xml:space="preserve"> </v>
      </c>
      <c r="AW141" s="938" t="str">
        <f t="shared" si="390"/>
        <v xml:space="preserve"> </v>
      </c>
      <c r="BE141" s="938" t="str">
        <f t="shared" si="391"/>
        <v xml:space="preserve"> </v>
      </c>
      <c r="BF141" s="938" t="str">
        <f t="shared" si="392"/>
        <v xml:space="preserve"> </v>
      </c>
      <c r="BN141" s="938" t="str">
        <f t="shared" si="393"/>
        <v xml:space="preserve"> </v>
      </c>
      <c r="BO141" s="938" t="str">
        <f t="shared" si="394"/>
        <v xml:space="preserve"> </v>
      </c>
      <c r="BW141" s="938" t="str">
        <f t="shared" si="395"/>
        <v xml:space="preserve"> </v>
      </c>
      <c r="BX141" s="938" t="str">
        <f t="shared" si="396"/>
        <v xml:space="preserve"> </v>
      </c>
      <c r="CF141" s="938" t="str">
        <f t="shared" si="397"/>
        <v xml:space="preserve"> </v>
      </c>
      <c r="CG141" s="938" t="str">
        <f t="shared" si="398"/>
        <v xml:space="preserve"> </v>
      </c>
      <c r="CO141" s="938" t="str">
        <f t="shared" si="399"/>
        <v xml:space="preserve"> </v>
      </c>
      <c r="CP141" s="938" t="str">
        <f t="shared" si="400"/>
        <v xml:space="preserve"> </v>
      </c>
      <c r="CX141" s="938" t="str">
        <f t="shared" si="401"/>
        <v xml:space="preserve"> </v>
      </c>
      <c r="CY141" s="938" t="str">
        <f t="shared" si="402"/>
        <v xml:space="preserve"> </v>
      </c>
      <c r="DG141" s="938" t="str">
        <f t="shared" si="403"/>
        <v xml:space="preserve"> </v>
      </c>
      <c r="DH141" s="938" t="str">
        <f t="shared" si="404"/>
        <v xml:space="preserve"> </v>
      </c>
      <c r="DP141" s="938" t="str">
        <f t="shared" si="405"/>
        <v xml:space="preserve"> </v>
      </c>
      <c r="DQ141" s="938" t="str">
        <f t="shared" si="406"/>
        <v xml:space="preserve"> </v>
      </c>
      <c r="DY141" s="938" t="str">
        <f t="shared" si="407"/>
        <v xml:space="preserve"> </v>
      </c>
      <c r="DZ141" s="938" t="str">
        <f t="shared" si="408"/>
        <v xml:space="preserve"> </v>
      </c>
      <c r="EH141" s="938" t="str">
        <f t="shared" si="409"/>
        <v xml:space="preserve"> </v>
      </c>
      <c r="EI141" s="938" t="str">
        <f t="shared" si="410"/>
        <v xml:space="preserve"> </v>
      </c>
      <c r="EQ141" s="938" t="str">
        <f t="shared" si="411"/>
        <v xml:space="preserve"> </v>
      </c>
      <c r="ER141" s="938" t="str">
        <f t="shared" si="412"/>
        <v xml:space="preserve"> </v>
      </c>
      <c r="EZ141" s="938" t="str">
        <f t="shared" si="413"/>
        <v xml:space="preserve"> </v>
      </c>
      <c r="FA141" s="938" t="str">
        <f t="shared" si="414"/>
        <v xml:space="preserve"> </v>
      </c>
      <c r="FI141" s="938" t="str">
        <f t="shared" si="415"/>
        <v xml:space="preserve"> </v>
      </c>
      <c r="FJ141" s="938" t="str">
        <f t="shared" si="416"/>
        <v xml:space="preserve"> </v>
      </c>
      <c r="FR141" s="938" t="str">
        <f t="shared" si="417"/>
        <v xml:space="preserve"> </v>
      </c>
      <c r="FS141" s="938" t="str">
        <f t="shared" si="418"/>
        <v xml:space="preserve"> </v>
      </c>
      <c r="GA141" s="938" t="str">
        <f t="shared" si="419"/>
        <v xml:space="preserve"> </v>
      </c>
      <c r="GB141" s="938" t="str">
        <f t="shared" si="420"/>
        <v xml:space="preserve"> </v>
      </c>
      <c r="GJ141" s="938" t="str">
        <f t="shared" si="421"/>
        <v xml:space="preserve"> </v>
      </c>
      <c r="GK141" s="938" t="str">
        <f t="shared" si="422"/>
        <v xml:space="preserve"> </v>
      </c>
      <c r="GS141" s="938" t="str">
        <f t="shared" si="423"/>
        <v xml:space="preserve"> </v>
      </c>
      <c r="GT141" s="938" t="str">
        <f t="shared" si="424"/>
        <v xml:space="preserve"> </v>
      </c>
      <c r="HB141" s="938" t="str">
        <f t="shared" si="425"/>
        <v xml:space="preserve"> </v>
      </c>
      <c r="HC141" s="938" t="str">
        <f t="shared" si="426"/>
        <v xml:space="preserve"> </v>
      </c>
      <c r="HK141" s="938" t="str">
        <f t="shared" si="427"/>
        <v xml:space="preserve"> </v>
      </c>
      <c r="HL141" s="938" t="str">
        <f t="shared" si="428"/>
        <v xml:space="preserve"> </v>
      </c>
      <c r="HT141" s="938" t="str">
        <f t="shared" si="429"/>
        <v xml:space="preserve"> </v>
      </c>
      <c r="HU141" s="938" t="str">
        <f t="shared" si="430"/>
        <v xml:space="preserve"> </v>
      </c>
      <c r="IC141" s="938" t="str">
        <f t="shared" si="431"/>
        <v xml:space="preserve"> </v>
      </c>
      <c r="ID141" s="938" t="str">
        <f t="shared" si="432"/>
        <v xml:space="preserve"> </v>
      </c>
      <c r="IL141" s="938" t="str">
        <f t="shared" si="433"/>
        <v xml:space="preserve"> </v>
      </c>
      <c r="IM141" s="938" t="str">
        <f t="shared" si="434"/>
        <v xml:space="preserve"> </v>
      </c>
      <c r="IU141" s="938" t="str">
        <f t="shared" si="435"/>
        <v xml:space="preserve"> </v>
      </c>
      <c r="IV141" s="938" t="str">
        <f t="shared" si="436"/>
        <v xml:space="preserve"> </v>
      </c>
      <c r="JD141" s="938" t="str">
        <f t="shared" si="437"/>
        <v xml:space="preserve"> </v>
      </c>
      <c r="JE141" s="938" t="str">
        <f t="shared" si="438"/>
        <v xml:space="preserve"> </v>
      </c>
      <c r="JM141" s="938" t="str">
        <f t="shared" si="439"/>
        <v xml:space="preserve"> </v>
      </c>
      <c r="JN141" s="938" t="str">
        <f t="shared" si="440"/>
        <v xml:space="preserve"> </v>
      </c>
      <c r="JV141" s="938" t="str">
        <f t="shared" si="441"/>
        <v xml:space="preserve"> </v>
      </c>
      <c r="JW141" s="938" t="str">
        <f t="shared" si="442"/>
        <v xml:space="preserve"> </v>
      </c>
    </row>
    <row r="142" spans="11:283" x14ac:dyDescent="0.2">
      <c r="K142" s="938" t="str">
        <f t="shared" si="381"/>
        <v/>
      </c>
      <c r="L142" s="714">
        <f t="shared" si="382"/>
        <v>0</v>
      </c>
      <c r="M142" s="714">
        <v>1.7000000000000001E-4</v>
      </c>
      <c r="N142" s="714">
        <v>17</v>
      </c>
      <c r="O142" t="str">
        <v>PIAMON-33S</v>
      </c>
      <c r="P142" s="714">
        <f t="shared" si="379"/>
        <v>0</v>
      </c>
      <c r="Q142" s="714">
        <f t="shared" si="380"/>
        <v>0</v>
      </c>
      <c r="U142" s="938" t="str">
        <f t="shared" si="383"/>
        <v xml:space="preserve"> </v>
      </c>
      <c r="V142" s="938" t="str">
        <f t="shared" si="384"/>
        <v xml:space="preserve"> </v>
      </c>
      <c r="AD142" s="938" t="str">
        <f t="shared" si="385"/>
        <v xml:space="preserve"> </v>
      </c>
      <c r="AE142" s="938" t="str">
        <f t="shared" si="386"/>
        <v xml:space="preserve"> </v>
      </c>
      <c r="AM142" s="938" t="str">
        <f t="shared" si="387"/>
        <v xml:space="preserve"> </v>
      </c>
      <c r="AN142" s="938" t="str">
        <f t="shared" si="388"/>
        <v xml:space="preserve"> </v>
      </c>
      <c r="AV142" s="938" t="str">
        <f t="shared" si="389"/>
        <v xml:space="preserve"> </v>
      </c>
      <c r="AW142" s="938" t="str">
        <f t="shared" si="390"/>
        <v xml:space="preserve"> </v>
      </c>
      <c r="BE142" s="938" t="str">
        <f t="shared" si="391"/>
        <v xml:space="preserve"> </v>
      </c>
      <c r="BF142" s="938" t="str">
        <f t="shared" si="392"/>
        <v xml:space="preserve"> </v>
      </c>
      <c r="BN142" s="938" t="str">
        <f t="shared" si="393"/>
        <v xml:space="preserve"> </v>
      </c>
      <c r="BO142" s="938" t="str">
        <f t="shared" si="394"/>
        <v xml:space="preserve"> </v>
      </c>
      <c r="BW142" s="938" t="str">
        <f t="shared" si="395"/>
        <v xml:space="preserve"> </v>
      </c>
      <c r="BX142" s="938" t="str">
        <f t="shared" si="396"/>
        <v xml:space="preserve"> </v>
      </c>
      <c r="CF142" s="938" t="str">
        <f t="shared" si="397"/>
        <v xml:space="preserve"> </v>
      </c>
      <c r="CG142" s="938" t="str">
        <f t="shared" si="398"/>
        <v xml:space="preserve"> </v>
      </c>
      <c r="CO142" s="938" t="str">
        <f t="shared" si="399"/>
        <v xml:space="preserve"> </v>
      </c>
      <c r="CP142" s="938" t="str">
        <f t="shared" si="400"/>
        <v xml:space="preserve"> </v>
      </c>
      <c r="CX142" s="938" t="str">
        <f t="shared" si="401"/>
        <v xml:space="preserve"> </v>
      </c>
      <c r="CY142" s="938" t="str">
        <f t="shared" si="402"/>
        <v xml:space="preserve"> </v>
      </c>
      <c r="DG142" s="938" t="str">
        <f t="shared" si="403"/>
        <v xml:space="preserve"> </v>
      </c>
      <c r="DH142" s="938" t="str">
        <f t="shared" si="404"/>
        <v xml:space="preserve"> </v>
      </c>
      <c r="DP142" s="938" t="str">
        <f t="shared" si="405"/>
        <v xml:space="preserve"> </v>
      </c>
      <c r="DQ142" s="938" t="str">
        <f t="shared" si="406"/>
        <v xml:space="preserve"> </v>
      </c>
      <c r="DY142" s="938" t="str">
        <f t="shared" si="407"/>
        <v xml:space="preserve"> </v>
      </c>
      <c r="DZ142" s="938" t="str">
        <f t="shared" si="408"/>
        <v xml:space="preserve"> </v>
      </c>
      <c r="EH142" s="938" t="str">
        <f t="shared" si="409"/>
        <v xml:space="preserve"> </v>
      </c>
      <c r="EI142" s="938" t="str">
        <f t="shared" si="410"/>
        <v xml:space="preserve"> </v>
      </c>
      <c r="EQ142" s="938" t="str">
        <f t="shared" si="411"/>
        <v xml:space="preserve"> </v>
      </c>
      <c r="ER142" s="938" t="str">
        <f t="shared" si="412"/>
        <v xml:space="preserve"> </v>
      </c>
      <c r="EZ142" s="938" t="str">
        <f t="shared" si="413"/>
        <v xml:space="preserve"> </v>
      </c>
      <c r="FA142" s="938" t="str">
        <f t="shared" si="414"/>
        <v xml:space="preserve"> </v>
      </c>
      <c r="FI142" s="938" t="str">
        <f t="shared" si="415"/>
        <v xml:space="preserve"> </v>
      </c>
      <c r="FJ142" s="938" t="str">
        <f t="shared" si="416"/>
        <v xml:space="preserve"> </v>
      </c>
      <c r="FR142" s="938" t="str">
        <f t="shared" si="417"/>
        <v xml:space="preserve"> </v>
      </c>
      <c r="FS142" s="938" t="str">
        <f t="shared" si="418"/>
        <v xml:space="preserve"> </v>
      </c>
      <c r="GA142" s="938" t="str">
        <f t="shared" si="419"/>
        <v xml:space="preserve"> </v>
      </c>
      <c r="GB142" s="938" t="str">
        <f t="shared" si="420"/>
        <v xml:space="preserve"> </v>
      </c>
      <c r="GJ142" s="938" t="str">
        <f t="shared" si="421"/>
        <v xml:space="preserve"> </v>
      </c>
      <c r="GK142" s="938" t="str">
        <f t="shared" si="422"/>
        <v xml:space="preserve"> </v>
      </c>
      <c r="GS142" s="938" t="str">
        <f t="shared" si="423"/>
        <v xml:space="preserve"> </v>
      </c>
      <c r="GT142" s="938" t="str">
        <f t="shared" si="424"/>
        <v xml:space="preserve"> </v>
      </c>
      <c r="HB142" s="938" t="str">
        <f t="shared" si="425"/>
        <v xml:space="preserve"> </v>
      </c>
      <c r="HC142" s="938" t="str">
        <f t="shared" si="426"/>
        <v xml:space="preserve"> </v>
      </c>
      <c r="HK142" s="938" t="str">
        <f t="shared" si="427"/>
        <v xml:space="preserve"> </v>
      </c>
      <c r="HL142" s="938" t="str">
        <f t="shared" si="428"/>
        <v xml:space="preserve"> </v>
      </c>
      <c r="HT142" s="938" t="str">
        <f t="shared" si="429"/>
        <v xml:space="preserve"> </v>
      </c>
      <c r="HU142" s="938" t="str">
        <f t="shared" si="430"/>
        <v xml:space="preserve"> </v>
      </c>
      <c r="IC142" s="938" t="str">
        <f t="shared" si="431"/>
        <v xml:space="preserve"> </v>
      </c>
      <c r="ID142" s="938" t="str">
        <f t="shared" si="432"/>
        <v xml:space="preserve"> </v>
      </c>
      <c r="IL142" s="938" t="str">
        <f t="shared" si="433"/>
        <v xml:space="preserve"> </v>
      </c>
      <c r="IM142" s="938" t="str">
        <f t="shared" si="434"/>
        <v xml:space="preserve"> </v>
      </c>
      <c r="IU142" s="938" t="str">
        <f t="shared" si="435"/>
        <v xml:space="preserve"> </v>
      </c>
      <c r="IV142" s="938" t="str">
        <f t="shared" si="436"/>
        <v xml:space="preserve"> </v>
      </c>
      <c r="JD142" s="938" t="str">
        <f t="shared" si="437"/>
        <v xml:space="preserve"> </v>
      </c>
      <c r="JE142" s="938" t="str">
        <f t="shared" si="438"/>
        <v xml:space="preserve"> </v>
      </c>
      <c r="JM142" s="938" t="str">
        <f t="shared" si="439"/>
        <v xml:space="preserve"> </v>
      </c>
      <c r="JN142" s="938" t="str">
        <f t="shared" si="440"/>
        <v xml:space="preserve"> </v>
      </c>
      <c r="JV142" s="938" t="str">
        <f t="shared" si="441"/>
        <v xml:space="preserve"> </v>
      </c>
      <c r="JW142" s="938" t="str">
        <f t="shared" si="442"/>
        <v xml:space="preserve"> </v>
      </c>
    </row>
    <row r="143" spans="11:283" x14ac:dyDescent="0.2">
      <c r="K143" s="938" t="str">
        <f t="shared" si="381"/>
        <v/>
      </c>
      <c r="L143" s="714">
        <f t="shared" si="382"/>
        <v>0</v>
      </c>
      <c r="M143" s="714">
        <v>1.8000000000000001E-4</v>
      </c>
      <c r="N143" s="714">
        <v>18</v>
      </c>
      <c r="O143" t="str">
        <v>ASS</v>
      </c>
      <c r="P143" s="714">
        <f t="shared" si="379"/>
        <v>0</v>
      </c>
      <c r="Q143" s="714">
        <f t="shared" si="380"/>
        <v>0</v>
      </c>
      <c r="U143" s="938" t="str">
        <f t="shared" si="383"/>
        <v xml:space="preserve"> </v>
      </c>
      <c r="V143" s="938" t="str">
        <f t="shared" si="384"/>
        <v xml:space="preserve"> </v>
      </c>
      <c r="AD143" s="938" t="str">
        <f t="shared" si="385"/>
        <v xml:space="preserve"> </v>
      </c>
      <c r="AE143" s="938" t="str">
        <f t="shared" si="386"/>
        <v xml:space="preserve"> </v>
      </c>
      <c r="AM143" s="938" t="str">
        <f t="shared" si="387"/>
        <v xml:space="preserve"> </v>
      </c>
      <c r="AN143" s="938" t="str">
        <f t="shared" si="388"/>
        <v xml:space="preserve"> </v>
      </c>
      <c r="AV143" s="938" t="str">
        <f t="shared" si="389"/>
        <v xml:space="preserve"> </v>
      </c>
      <c r="AW143" s="938" t="str">
        <f t="shared" si="390"/>
        <v xml:space="preserve"> </v>
      </c>
      <c r="BE143" s="938" t="str">
        <f t="shared" si="391"/>
        <v xml:space="preserve"> </v>
      </c>
      <c r="BF143" s="938" t="str">
        <f t="shared" si="392"/>
        <v xml:space="preserve"> </v>
      </c>
      <c r="BN143" s="938" t="str">
        <f t="shared" si="393"/>
        <v xml:space="preserve"> </v>
      </c>
      <c r="BO143" s="938" t="str">
        <f t="shared" si="394"/>
        <v xml:space="preserve"> </v>
      </c>
      <c r="BW143" s="938" t="str">
        <f t="shared" si="395"/>
        <v xml:space="preserve"> </v>
      </c>
      <c r="BX143" s="938" t="str">
        <f t="shared" si="396"/>
        <v xml:space="preserve"> </v>
      </c>
      <c r="CF143" s="938" t="str">
        <f t="shared" si="397"/>
        <v xml:space="preserve"> </v>
      </c>
      <c r="CG143" s="938" t="str">
        <f t="shared" si="398"/>
        <v xml:space="preserve"> </v>
      </c>
      <c r="CO143" s="938" t="str">
        <f t="shared" si="399"/>
        <v xml:space="preserve"> </v>
      </c>
      <c r="CP143" s="938" t="str">
        <f t="shared" si="400"/>
        <v xml:space="preserve"> </v>
      </c>
      <c r="CX143" s="938" t="str">
        <f t="shared" si="401"/>
        <v xml:space="preserve"> </v>
      </c>
      <c r="CY143" s="938" t="str">
        <f t="shared" si="402"/>
        <v xml:space="preserve"> </v>
      </c>
      <c r="DG143" s="938" t="str">
        <f t="shared" si="403"/>
        <v xml:space="preserve"> </v>
      </c>
      <c r="DH143" s="938" t="str">
        <f t="shared" si="404"/>
        <v xml:space="preserve"> </v>
      </c>
      <c r="DP143" s="938" t="str">
        <f t="shared" si="405"/>
        <v xml:space="preserve"> </v>
      </c>
      <c r="DQ143" s="938" t="str">
        <f t="shared" si="406"/>
        <v xml:space="preserve"> </v>
      </c>
      <c r="DY143" s="938" t="str">
        <f t="shared" si="407"/>
        <v xml:space="preserve"> </v>
      </c>
      <c r="DZ143" s="938" t="str">
        <f t="shared" si="408"/>
        <v xml:space="preserve"> </v>
      </c>
      <c r="EH143" s="938" t="str">
        <f t="shared" si="409"/>
        <v xml:space="preserve"> </v>
      </c>
      <c r="EI143" s="938" t="str">
        <f t="shared" si="410"/>
        <v xml:space="preserve"> </v>
      </c>
      <c r="EQ143" s="938" t="str">
        <f t="shared" si="411"/>
        <v xml:space="preserve"> </v>
      </c>
      <c r="ER143" s="938" t="str">
        <f t="shared" si="412"/>
        <v xml:space="preserve"> </v>
      </c>
      <c r="EZ143" s="938" t="str">
        <f t="shared" si="413"/>
        <v xml:space="preserve"> </v>
      </c>
      <c r="FA143" s="938" t="str">
        <f t="shared" si="414"/>
        <v xml:space="preserve"> </v>
      </c>
      <c r="FI143" s="938" t="str">
        <f t="shared" si="415"/>
        <v xml:space="preserve"> </v>
      </c>
      <c r="FJ143" s="938" t="str">
        <f t="shared" si="416"/>
        <v xml:space="preserve"> </v>
      </c>
      <c r="FR143" s="938" t="str">
        <f t="shared" si="417"/>
        <v xml:space="preserve"> </v>
      </c>
      <c r="FS143" s="938" t="str">
        <f t="shared" si="418"/>
        <v xml:space="preserve"> </v>
      </c>
      <c r="GA143" s="938" t="str">
        <f t="shared" si="419"/>
        <v xml:space="preserve"> </v>
      </c>
      <c r="GB143" s="938" t="str">
        <f t="shared" si="420"/>
        <v xml:space="preserve"> </v>
      </c>
      <c r="GJ143" s="938" t="str">
        <f t="shared" si="421"/>
        <v xml:space="preserve"> </v>
      </c>
      <c r="GK143" s="938" t="str">
        <f t="shared" si="422"/>
        <v xml:space="preserve"> </v>
      </c>
      <c r="GS143" s="938" t="str">
        <f t="shared" si="423"/>
        <v xml:space="preserve"> </v>
      </c>
      <c r="GT143" s="938" t="str">
        <f t="shared" si="424"/>
        <v xml:space="preserve"> </v>
      </c>
      <c r="HB143" s="938" t="str">
        <f t="shared" si="425"/>
        <v xml:space="preserve"> </v>
      </c>
      <c r="HC143" s="938" t="str">
        <f t="shared" si="426"/>
        <v xml:space="preserve"> </v>
      </c>
      <c r="HK143" s="938" t="str">
        <f t="shared" si="427"/>
        <v xml:space="preserve"> </v>
      </c>
      <c r="HL143" s="938" t="str">
        <f t="shared" si="428"/>
        <v xml:space="preserve"> </v>
      </c>
      <c r="HT143" s="938" t="str">
        <f t="shared" si="429"/>
        <v xml:space="preserve"> </v>
      </c>
      <c r="HU143" s="938" t="str">
        <f t="shared" si="430"/>
        <v xml:space="preserve"> </v>
      </c>
      <c r="IC143" s="938" t="str">
        <f t="shared" si="431"/>
        <v xml:space="preserve"> </v>
      </c>
      <c r="ID143" s="938" t="str">
        <f t="shared" si="432"/>
        <v xml:space="preserve"> </v>
      </c>
      <c r="IL143" s="938" t="str">
        <f t="shared" si="433"/>
        <v xml:space="preserve"> </v>
      </c>
      <c r="IM143" s="938" t="str">
        <f t="shared" si="434"/>
        <v xml:space="preserve"> </v>
      </c>
      <c r="IU143" s="938" t="str">
        <f t="shared" si="435"/>
        <v xml:space="preserve"> </v>
      </c>
      <c r="IV143" s="938" t="str">
        <f t="shared" si="436"/>
        <v xml:space="preserve"> </v>
      </c>
      <c r="JD143" s="938" t="str">
        <f t="shared" si="437"/>
        <v xml:space="preserve"> </v>
      </c>
      <c r="JE143" s="938" t="str">
        <f t="shared" si="438"/>
        <v xml:space="preserve"> </v>
      </c>
      <c r="JM143" s="938" t="str">
        <f t="shared" si="439"/>
        <v xml:space="preserve"> </v>
      </c>
      <c r="JN143" s="938" t="str">
        <f t="shared" si="440"/>
        <v xml:space="preserve"> </v>
      </c>
      <c r="JV143" s="938" t="str">
        <f t="shared" si="441"/>
        <v xml:space="preserve"> </v>
      </c>
      <c r="JW143" s="938" t="str">
        <f t="shared" si="442"/>
        <v xml:space="preserve"> </v>
      </c>
    </row>
    <row r="144" spans="11:283" x14ac:dyDescent="0.2">
      <c r="K144" s="938" t="str">
        <f t="shared" si="381"/>
        <v/>
      </c>
      <c r="L144" s="714">
        <f t="shared" si="382"/>
        <v>0</v>
      </c>
      <c r="M144" s="714">
        <v>1.9000000000000001E-4</v>
      </c>
      <c r="N144" s="714">
        <v>19</v>
      </c>
      <c r="O144" t="str">
        <v>CARBOKALK</v>
      </c>
      <c r="P144" s="714">
        <f t="shared" si="379"/>
        <v>0</v>
      </c>
      <c r="Q144" s="714">
        <f t="shared" si="380"/>
        <v>0</v>
      </c>
      <c r="U144" s="938" t="str">
        <f t="shared" si="383"/>
        <v xml:space="preserve"> </v>
      </c>
      <c r="V144" s="938" t="str">
        <f t="shared" si="384"/>
        <v xml:space="preserve"> </v>
      </c>
      <c r="AD144" s="938" t="str">
        <f t="shared" si="385"/>
        <v xml:space="preserve"> </v>
      </c>
      <c r="AE144" s="938" t="str">
        <f t="shared" si="386"/>
        <v xml:space="preserve"> </v>
      </c>
      <c r="AM144" s="938" t="str">
        <f t="shared" si="387"/>
        <v xml:space="preserve"> </v>
      </c>
      <c r="AN144" s="938" t="str">
        <f t="shared" si="388"/>
        <v xml:space="preserve"> </v>
      </c>
      <c r="AV144" s="938" t="str">
        <f t="shared" si="389"/>
        <v xml:space="preserve"> </v>
      </c>
      <c r="AW144" s="938" t="str">
        <f t="shared" si="390"/>
        <v xml:space="preserve"> </v>
      </c>
      <c r="BE144" s="938" t="str">
        <f t="shared" si="391"/>
        <v xml:space="preserve"> </v>
      </c>
      <c r="BF144" s="938" t="str">
        <f t="shared" si="392"/>
        <v xml:space="preserve"> </v>
      </c>
      <c r="BN144" s="938" t="str">
        <f t="shared" si="393"/>
        <v xml:space="preserve"> </v>
      </c>
      <c r="BO144" s="938" t="str">
        <f t="shared" si="394"/>
        <v xml:space="preserve"> </v>
      </c>
      <c r="BW144" s="938" t="str">
        <f t="shared" si="395"/>
        <v xml:space="preserve"> </v>
      </c>
      <c r="BX144" s="938" t="str">
        <f t="shared" si="396"/>
        <v xml:space="preserve"> </v>
      </c>
      <c r="CF144" s="938" t="str">
        <f t="shared" si="397"/>
        <v xml:space="preserve"> </v>
      </c>
      <c r="CG144" s="938" t="str">
        <f t="shared" si="398"/>
        <v xml:space="preserve"> </v>
      </c>
      <c r="CO144" s="938" t="str">
        <f t="shared" si="399"/>
        <v xml:space="preserve"> </v>
      </c>
      <c r="CP144" s="938" t="str">
        <f t="shared" si="400"/>
        <v xml:space="preserve"> </v>
      </c>
      <c r="CX144" s="938" t="str">
        <f t="shared" si="401"/>
        <v xml:space="preserve"> </v>
      </c>
      <c r="CY144" s="938" t="str">
        <f t="shared" si="402"/>
        <v xml:space="preserve"> </v>
      </c>
      <c r="DG144" s="938" t="str">
        <f t="shared" si="403"/>
        <v xml:space="preserve"> </v>
      </c>
      <c r="DH144" s="938" t="str">
        <f t="shared" si="404"/>
        <v xml:space="preserve"> </v>
      </c>
      <c r="DP144" s="938" t="str">
        <f t="shared" si="405"/>
        <v xml:space="preserve"> </v>
      </c>
      <c r="DQ144" s="938" t="str">
        <f t="shared" si="406"/>
        <v xml:space="preserve"> </v>
      </c>
      <c r="DY144" s="938" t="str">
        <f t="shared" si="407"/>
        <v xml:space="preserve"> </v>
      </c>
      <c r="DZ144" s="938" t="str">
        <f t="shared" si="408"/>
        <v xml:space="preserve"> </v>
      </c>
      <c r="EH144" s="938" t="str">
        <f t="shared" si="409"/>
        <v xml:space="preserve"> </v>
      </c>
      <c r="EI144" s="938" t="str">
        <f t="shared" si="410"/>
        <v xml:space="preserve"> </v>
      </c>
      <c r="EQ144" s="938" t="str">
        <f t="shared" si="411"/>
        <v xml:space="preserve"> </v>
      </c>
      <c r="ER144" s="938" t="str">
        <f t="shared" si="412"/>
        <v xml:space="preserve"> </v>
      </c>
      <c r="EZ144" s="938" t="str">
        <f t="shared" si="413"/>
        <v xml:space="preserve"> </v>
      </c>
      <c r="FA144" s="938" t="str">
        <f t="shared" si="414"/>
        <v xml:space="preserve"> </v>
      </c>
      <c r="FI144" s="938" t="str">
        <f t="shared" si="415"/>
        <v xml:space="preserve"> </v>
      </c>
      <c r="FJ144" s="938" t="str">
        <f t="shared" si="416"/>
        <v xml:space="preserve"> </v>
      </c>
      <c r="FR144" s="938" t="str">
        <f t="shared" si="417"/>
        <v xml:space="preserve"> </v>
      </c>
      <c r="FS144" s="938" t="str">
        <f t="shared" si="418"/>
        <v xml:space="preserve"> </v>
      </c>
      <c r="GA144" s="938" t="str">
        <f t="shared" si="419"/>
        <v xml:space="preserve"> </v>
      </c>
      <c r="GB144" s="938" t="str">
        <f t="shared" si="420"/>
        <v xml:space="preserve"> </v>
      </c>
      <c r="GJ144" s="938" t="str">
        <f t="shared" si="421"/>
        <v xml:space="preserve"> </v>
      </c>
      <c r="GK144" s="938" t="str">
        <f t="shared" si="422"/>
        <v xml:space="preserve"> </v>
      </c>
      <c r="GS144" s="938" t="str">
        <f t="shared" si="423"/>
        <v xml:space="preserve"> </v>
      </c>
      <c r="GT144" s="938" t="str">
        <f t="shared" si="424"/>
        <v xml:space="preserve"> </v>
      </c>
      <c r="HB144" s="938" t="str">
        <f t="shared" si="425"/>
        <v xml:space="preserve"> </v>
      </c>
      <c r="HC144" s="938" t="str">
        <f t="shared" si="426"/>
        <v xml:space="preserve"> </v>
      </c>
      <c r="HK144" s="938" t="str">
        <f t="shared" si="427"/>
        <v xml:space="preserve"> </v>
      </c>
      <c r="HL144" s="938" t="str">
        <f t="shared" si="428"/>
        <v xml:space="preserve"> </v>
      </c>
      <c r="HT144" s="938" t="str">
        <f t="shared" si="429"/>
        <v xml:space="preserve"> </v>
      </c>
      <c r="HU144" s="938" t="str">
        <f t="shared" si="430"/>
        <v xml:space="preserve"> </v>
      </c>
      <c r="IC144" s="938" t="str">
        <f t="shared" si="431"/>
        <v xml:space="preserve"> </v>
      </c>
      <c r="ID144" s="938" t="str">
        <f t="shared" si="432"/>
        <v xml:space="preserve"> </v>
      </c>
      <c r="IL144" s="938" t="str">
        <f t="shared" si="433"/>
        <v xml:space="preserve"> </v>
      </c>
      <c r="IM144" s="938" t="str">
        <f t="shared" si="434"/>
        <v xml:space="preserve"> </v>
      </c>
      <c r="IU144" s="938" t="str">
        <f t="shared" si="435"/>
        <v xml:space="preserve"> </v>
      </c>
      <c r="IV144" s="938" t="str">
        <f t="shared" si="436"/>
        <v xml:space="preserve"> </v>
      </c>
      <c r="JD144" s="938" t="str">
        <f t="shared" si="437"/>
        <v xml:space="preserve"> </v>
      </c>
      <c r="JE144" s="938" t="str">
        <f t="shared" si="438"/>
        <v xml:space="preserve"> </v>
      </c>
      <c r="JM144" s="938" t="str">
        <f t="shared" si="439"/>
        <v xml:space="preserve"> </v>
      </c>
      <c r="JN144" s="938" t="str">
        <f t="shared" si="440"/>
        <v xml:space="preserve"> </v>
      </c>
      <c r="JV144" s="938" t="str">
        <f t="shared" si="441"/>
        <v xml:space="preserve"> </v>
      </c>
      <c r="JW144" s="938" t="str">
        <f t="shared" si="442"/>
        <v xml:space="preserve"> </v>
      </c>
    </row>
    <row r="145" spans="11:283" x14ac:dyDescent="0.2">
      <c r="K145" s="938" t="str">
        <f t="shared" si="381"/>
        <v/>
      </c>
      <c r="L145" s="714">
        <f t="shared" si="382"/>
        <v>0</v>
      </c>
      <c r="M145" s="714">
        <v>2.0000000000000001E-4</v>
      </c>
      <c r="N145" s="714">
        <v>20</v>
      </c>
      <c r="O145" t="str">
        <v>DOLOPH6</v>
      </c>
      <c r="P145" s="714">
        <f t="shared" si="379"/>
        <v>0</v>
      </c>
      <c r="Q145" s="714">
        <f t="shared" si="380"/>
        <v>0</v>
      </c>
      <c r="U145" s="938" t="str">
        <f t="shared" si="383"/>
        <v xml:space="preserve"> </v>
      </c>
      <c r="V145" s="938" t="str">
        <f t="shared" si="384"/>
        <v xml:space="preserve"> </v>
      </c>
      <c r="AD145" s="938" t="str">
        <f t="shared" si="385"/>
        <v xml:space="preserve"> </v>
      </c>
      <c r="AE145" s="938" t="str">
        <f t="shared" si="386"/>
        <v xml:space="preserve"> </v>
      </c>
      <c r="AM145" s="938" t="str">
        <f t="shared" si="387"/>
        <v xml:space="preserve"> </v>
      </c>
      <c r="AN145" s="938" t="str">
        <f t="shared" si="388"/>
        <v xml:space="preserve"> </v>
      </c>
      <c r="AV145" s="938" t="str">
        <f t="shared" si="389"/>
        <v xml:space="preserve"> </v>
      </c>
      <c r="AW145" s="938" t="str">
        <f t="shared" si="390"/>
        <v xml:space="preserve"> </v>
      </c>
      <c r="BE145" s="938" t="str">
        <f t="shared" si="391"/>
        <v xml:space="preserve"> </v>
      </c>
      <c r="BF145" s="938" t="str">
        <f t="shared" si="392"/>
        <v xml:space="preserve"> </v>
      </c>
      <c r="BN145" s="938" t="str">
        <f t="shared" si="393"/>
        <v xml:space="preserve"> </v>
      </c>
      <c r="BO145" s="938" t="str">
        <f t="shared" si="394"/>
        <v xml:space="preserve"> </v>
      </c>
      <c r="BW145" s="938" t="str">
        <f t="shared" si="395"/>
        <v xml:space="preserve"> </v>
      </c>
      <c r="BX145" s="938" t="str">
        <f t="shared" si="396"/>
        <v xml:space="preserve"> </v>
      </c>
      <c r="CF145" s="938" t="str">
        <f t="shared" si="397"/>
        <v xml:space="preserve"> </v>
      </c>
      <c r="CG145" s="938" t="str">
        <f t="shared" si="398"/>
        <v xml:space="preserve"> </v>
      </c>
      <c r="CO145" s="938" t="str">
        <f t="shared" si="399"/>
        <v xml:space="preserve"> </v>
      </c>
      <c r="CP145" s="938" t="str">
        <f t="shared" si="400"/>
        <v xml:space="preserve"> </v>
      </c>
      <c r="CX145" s="938" t="str">
        <f t="shared" si="401"/>
        <v xml:space="preserve"> </v>
      </c>
      <c r="CY145" s="938" t="str">
        <f t="shared" si="402"/>
        <v xml:space="preserve"> </v>
      </c>
      <c r="DG145" s="938" t="str">
        <f t="shared" si="403"/>
        <v xml:space="preserve"> </v>
      </c>
      <c r="DH145" s="938" t="str">
        <f t="shared" si="404"/>
        <v xml:space="preserve"> </v>
      </c>
      <c r="DP145" s="938" t="str">
        <f t="shared" si="405"/>
        <v xml:space="preserve"> </v>
      </c>
      <c r="DQ145" s="938" t="str">
        <f t="shared" si="406"/>
        <v xml:space="preserve"> </v>
      </c>
      <c r="DY145" s="938" t="str">
        <f t="shared" si="407"/>
        <v xml:space="preserve"> </v>
      </c>
      <c r="DZ145" s="938" t="str">
        <f t="shared" si="408"/>
        <v xml:space="preserve"> </v>
      </c>
      <c r="EH145" s="938" t="str">
        <f t="shared" si="409"/>
        <v xml:space="preserve"> </v>
      </c>
      <c r="EI145" s="938" t="str">
        <f t="shared" si="410"/>
        <v xml:space="preserve"> </v>
      </c>
      <c r="EQ145" s="938" t="str">
        <f t="shared" si="411"/>
        <v xml:space="preserve"> </v>
      </c>
      <c r="ER145" s="938" t="str">
        <f t="shared" si="412"/>
        <v xml:space="preserve"> </v>
      </c>
      <c r="EZ145" s="938" t="str">
        <f t="shared" si="413"/>
        <v xml:space="preserve"> </v>
      </c>
      <c r="FA145" s="938" t="str">
        <f t="shared" si="414"/>
        <v xml:space="preserve"> </v>
      </c>
      <c r="FI145" s="938" t="str">
        <f t="shared" si="415"/>
        <v xml:space="preserve"> </v>
      </c>
      <c r="FJ145" s="938" t="str">
        <f t="shared" si="416"/>
        <v xml:space="preserve"> </v>
      </c>
      <c r="FR145" s="938" t="str">
        <f t="shared" si="417"/>
        <v xml:space="preserve"> </v>
      </c>
      <c r="FS145" s="938" t="str">
        <f t="shared" si="418"/>
        <v xml:space="preserve"> </v>
      </c>
      <c r="GA145" s="938" t="str">
        <f t="shared" si="419"/>
        <v xml:space="preserve"> </v>
      </c>
      <c r="GB145" s="938" t="str">
        <f t="shared" si="420"/>
        <v xml:space="preserve"> </v>
      </c>
      <c r="GJ145" s="938" t="str">
        <f t="shared" si="421"/>
        <v xml:space="preserve"> </v>
      </c>
      <c r="GK145" s="938" t="str">
        <f t="shared" si="422"/>
        <v xml:space="preserve"> </v>
      </c>
      <c r="GS145" s="938" t="str">
        <f t="shared" si="423"/>
        <v xml:space="preserve"> </v>
      </c>
      <c r="GT145" s="938" t="str">
        <f t="shared" si="424"/>
        <v xml:space="preserve"> </v>
      </c>
      <c r="HB145" s="938" t="str">
        <f t="shared" si="425"/>
        <v xml:space="preserve"> </v>
      </c>
      <c r="HC145" s="938" t="str">
        <f t="shared" si="426"/>
        <v xml:space="preserve"> </v>
      </c>
      <c r="HK145" s="938" t="str">
        <f t="shared" si="427"/>
        <v xml:space="preserve"> </v>
      </c>
      <c r="HL145" s="938" t="str">
        <f t="shared" si="428"/>
        <v xml:space="preserve"> </v>
      </c>
      <c r="HT145" s="938" t="str">
        <f t="shared" si="429"/>
        <v xml:space="preserve"> </v>
      </c>
      <c r="HU145" s="938" t="str">
        <f t="shared" si="430"/>
        <v xml:space="preserve"> </v>
      </c>
      <c r="IC145" s="938" t="str">
        <f t="shared" si="431"/>
        <v xml:space="preserve"> </v>
      </c>
      <c r="ID145" s="938" t="str">
        <f t="shared" si="432"/>
        <v xml:space="preserve"> </v>
      </c>
      <c r="IL145" s="938" t="str">
        <f t="shared" si="433"/>
        <v xml:space="preserve"> </v>
      </c>
      <c r="IM145" s="938" t="str">
        <f t="shared" si="434"/>
        <v xml:space="preserve"> </v>
      </c>
      <c r="IU145" s="938" t="str">
        <f t="shared" si="435"/>
        <v xml:space="preserve"> </v>
      </c>
      <c r="IV145" s="938" t="str">
        <f t="shared" si="436"/>
        <v xml:space="preserve"> </v>
      </c>
      <c r="JD145" s="938" t="str">
        <f t="shared" si="437"/>
        <v xml:space="preserve"> </v>
      </c>
      <c r="JE145" s="938" t="str">
        <f t="shared" si="438"/>
        <v xml:space="preserve"> </v>
      </c>
      <c r="JM145" s="938" t="str">
        <f t="shared" si="439"/>
        <v xml:space="preserve"> </v>
      </c>
      <c r="JN145" s="938" t="str">
        <f t="shared" si="440"/>
        <v xml:space="preserve"> </v>
      </c>
      <c r="JV145" s="938" t="str">
        <f t="shared" si="441"/>
        <v xml:space="preserve"> </v>
      </c>
      <c r="JW145" s="938" t="str">
        <f t="shared" si="442"/>
        <v xml:space="preserve"> </v>
      </c>
    </row>
    <row r="146" spans="11:283" x14ac:dyDescent="0.2">
      <c r="K146" s="938" t="str">
        <f t="shared" si="381"/>
        <v/>
      </c>
      <c r="L146" s="714">
        <f t="shared" si="382"/>
        <v>0</v>
      </c>
      <c r="M146" s="714">
        <v>2.1000000000000001E-4</v>
      </c>
      <c r="N146" s="714">
        <v>21</v>
      </c>
      <c r="O146" t="str">
        <v>DOLOPH15</v>
      </c>
      <c r="P146" s="714">
        <f t="shared" si="379"/>
        <v>0</v>
      </c>
      <c r="Q146" s="714">
        <f t="shared" si="380"/>
        <v>0</v>
      </c>
      <c r="U146" s="938" t="str">
        <f t="shared" si="383"/>
        <v xml:space="preserve"> </v>
      </c>
      <c r="V146" s="938" t="str">
        <f t="shared" si="384"/>
        <v xml:space="preserve"> </v>
      </c>
      <c r="AD146" s="938" t="str">
        <f t="shared" si="385"/>
        <v xml:space="preserve"> </v>
      </c>
      <c r="AE146" s="938" t="str">
        <f t="shared" si="386"/>
        <v xml:space="preserve"> </v>
      </c>
      <c r="AM146" s="938" t="str">
        <f t="shared" si="387"/>
        <v xml:space="preserve"> </v>
      </c>
      <c r="AN146" s="938" t="str">
        <f t="shared" si="388"/>
        <v xml:space="preserve"> </v>
      </c>
      <c r="AV146" s="938" t="str">
        <f t="shared" si="389"/>
        <v xml:space="preserve"> </v>
      </c>
      <c r="AW146" s="938" t="str">
        <f t="shared" si="390"/>
        <v xml:space="preserve"> </v>
      </c>
      <c r="BE146" s="938" t="str">
        <f t="shared" si="391"/>
        <v xml:space="preserve"> </v>
      </c>
      <c r="BF146" s="938" t="str">
        <f t="shared" si="392"/>
        <v xml:space="preserve"> </v>
      </c>
      <c r="BN146" s="938" t="str">
        <f t="shared" si="393"/>
        <v xml:space="preserve"> </v>
      </c>
      <c r="BO146" s="938" t="str">
        <f t="shared" si="394"/>
        <v xml:space="preserve"> </v>
      </c>
      <c r="BW146" s="938" t="str">
        <f t="shared" si="395"/>
        <v xml:space="preserve"> </v>
      </c>
      <c r="BX146" s="938" t="str">
        <f t="shared" si="396"/>
        <v xml:space="preserve"> </v>
      </c>
      <c r="CF146" s="938" t="str">
        <f t="shared" si="397"/>
        <v xml:space="preserve"> </v>
      </c>
      <c r="CG146" s="938" t="str">
        <f t="shared" si="398"/>
        <v xml:space="preserve"> </v>
      </c>
      <c r="CO146" s="938" t="str">
        <f t="shared" si="399"/>
        <v xml:space="preserve"> </v>
      </c>
      <c r="CP146" s="938" t="str">
        <f t="shared" si="400"/>
        <v xml:space="preserve"> </v>
      </c>
      <c r="CX146" s="938" t="str">
        <f t="shared" si="401"/>
        <v xml:space="preserve"> </v>
      </c>
      <c r="CY146" s="938" t="str">
        <f t="shared" si="402"/>
        <v xml:space="preserve"> </v>
      </c>
      <c r="DG146" s="938" t="str">
        <f t="shared" si="403"/>
        <v xml:space="preserve"> </v>
      </c>
      <c r="DH146" s="938" t="str">
        <f t="shared" si="404"/>
        <v xml:space="preserve"> </v>
      </c>
      <c r="DP146" s="938" t="str">
        <f t="shared" si="405"/>
        <v xml:space="preserve"> </v>
      </c>
      <c r="DQ146" s="938" t="str">
        <f t="shared" si="406"/>
        <v xml:space="preserve"> </v>
      </c>
      <c r="DY146" s="938" t="str">
        <f t="shared" si="407"/>
        <v xml:space="preserve"> </v>
      </c>
      <c r="DZ146" s="938" t="str">
        <f t="shared" si="408"/>
        <v xml:space="preserve"> </v>
      </c>
      <c r="EH146" s="938" t="str">
        <f t="shared" si="409"/>
        <v xml:space="preserve"> </v>
      </c>
      <c r="EI146" s="938" t="str">
        <f t="shared" si="410"/>
        <v xml:space="preserve"> </v>
      </c>
      <c r="EQ146" s="938" t="str">
        <f t="shared" si="411"/>
        <v xml:space="preserve"> </v>
      </c>
      <c r="ER146" s="938" t="str">
        <f t="shared" si="412"/>
        <v xml:space="preserve"> </v>
      </c>
      <c r="EZ146" s="938" t="str">
        <f t="shared" si="413"/>
        <v xml:space="preserve"> </v>
      </c>
      <c r="FA146" s="938" t="str">
        <f t="shared" si="414"/>
        <v xml:space="preserve"> </v>
      </c>
      <c r="FI146" s="938" t="str">
        <f t="shared" si="415"/>
        <v xml:space="preserve"> </v>
      </c>
      <c r="FJ146" s="938" t="str">
        <f t="shared" si="416"/>
        <v xml:space="preserve"> </v>
      </c>
      <c r="FR146" s="938" t="str">
        <f t="shared" si="417"/>
        <v xml:space="preserve"> </v>
      </c>
      <c r="FS146" s="938" t="str">
        <f t="shared" si="418"/>
        <v xml:space="preserve"> </v>
      </c>
      <c r="GA146" s="938" t="str">
        <f t="shared" si="419"/>
        <v xml:space="preserve"> </v>
      </c>
      <c r="GB146" s="938" t="str">
        <f t="shared" si="420"/>
        <v xml:space="preserve"> </v>
      </c>
      <c r="GJ146" s="938" t="str">
        <f t="shared" si="421"/>
        <v xml:space="preserve"> </v>
      </c>
      <c r="GK146" s="938" t="str">
        <f t="shared" si="422"/>
        <v xml:space="preserve"> </v>
      </c>
      <c r="GS146" s="938" t="str">
        <f t="shared" si="423"/>
        <v xml:space="preserve"> </v>
      </c>
      <c r="GT146" s="938" t="str">
        <f t="shared" si="424"/>
        <v xml:space="preserve"> </v>
      </c>
      <c r="HB146" s="938" t="str">
        <f t="shared" si="425"/>
        <v xml:space="preserve"> </v>
      </c>
      <c r="HC146" s="938" t="str">
        <f t="shared" si="426"/>
        <v xml:space="preserve"> </v>
      </c>
      <c r="HK146" s="938" t="str">
        <f t="shared" si="427"/>
        <v xml:space="preserve"> </v>
      </c>
      <c r="HL146" s="938" t="str">
        <f t="shared" si="428"/>
        <v xml:space="preserve"> </v>
      </c>
      <c r="HT146" s="938" t="str">
        <f t="shared" si="429"/>
        <v xml:space="preserve"> </v>
      </c>
      <c r="HU146" s="938" t="str">
        <f t="shared" si="430"/>
        <v xml:space="preserve"> </v>
      </c>
      <c r="IC146" s="938" t="str">
        <f t="shared" si="431"/>
        <v xml:space="preserve"> </v>
      </c>
      <c r="ID146" s="938" t="str">
        <f t="shared" si="432"/>
        <v xml:space="preserve"> </v>
      </c>
      <c r="IL146" s="938" t="str">
        <f t="shared" si="433"/>
        <v xml:space="preserve"> </v>
      </c>
      <c r="IM146" s="938" t="str">
        <f t="shared" si="434"/>
        <v xml:space="preserve"> </v>
      </c>
      <c r="IU146" s="938" t="str">
        <f t="shared" si="435"/>
        <v xml:space="preserve"> </v>
      </c>
      <c r="IV146" s="938" t="str">
        <f t="shared" si="436"/>
        <v xml:space="preserve"> </v>
      </c>
      <c r="JD146" s="938" t="str">
        <f t="shared" si="437"/>
        <v xml:space="preserve"> </v>
      </c>
      <c r="JE146" s="938" t="str">
        <f t="shared" si="438"/>
        <v xml:space="preserve"> </v>
      </c>
      <c r="JM146" s="938" t="str">
        <f t="shared" si="439"/>
        <v xml:space="preserve"> </v>
      </c>
      <c r="JN146" s="938" t="str">
        <f t="shared" si="440"/>
        <v xml:space="preserve"> </v>
      </c>
      <c r="JV146" s="938" t="str">
        <f t="shared" si="441"/>
        <v xml:space="preserve"> </v>
      </c>
      <c r="JW146" s="938" t="str">
        <f t="shared" si="442"/>
        <v xml:space="preserve"> </v>
      </c>
    </row>
    <row r="147" spans="11:283" x14ac:dyDescent="0.2">
      <c r="K147" s="938" t="str">
        <f t="shared" si="381"/>
        <v/>
      </c>
      <c r="L147" s="714">
        <f t="shared" si="382"/>
        <v>0</v>
      </c>
      <c r="M147" s="714">
        <v>2.2000000000000001E-4</v>
      </c>
      <c r="N147" s="714">
        <v>22</v>
      </c>
      <c r="O147" t="str">
        <v>DOLOPH26</v>
      </c>
      <c r="P147" s="714">
        <f t="shared" si="379"/>
        <v>0</v>
      </c>
      <c r="Q147" s="714">
        <f t="shared" si="380"/>
        <v>0</v>
      </c>
      <c r="U147" s="938" t="str">
        <f t="shared" si="383"/>
        <v xml:space="preserve"> </v>
      </c>
      <c r="V147" s="938" t="str">
        <f t="shared" si="384"/>
        <v xml:space="preserve"> </v>
      </c>
      <c r="AD147" s="938" t="str">
        <f t="shared" si="385"/>
        <v xml:space="preserve"> </v>
      </c>
      <c r="AE147" s="938" t="str">
        <f t="shared" si="386"/>
        <v xml:space="preserve"> </v>
      </c>
      <c r="AM147" s="938" t="str">
        <f t="shared" si="387"/>
        <v xml:space="preserve"> </v>
      </c>
      <c r="AN147" s="938" t="str">
        <f t="shared" si="388"/>
        <v xml:space="preserve"> </v>
      </c>
      <c r="AV147" s="938" t="str">
        <f t="shared" si="389"/>
        <v xml:space="preserve"> </v>
      </c>
      <c r="AW147" s="938" t="str">
        <f t="shared" si="390"/>
        <v xml:space="preserve"> </v>
      </c>
      <c r="BE147" s="938" t="str">
        <f t="shared" si="391"/>
        <v xml:space="preserve"> </v>
      </c>
      <c r="BF147" s="938" t="str">
        <f t="shared" si="392"/>
        <v xml:space="preserve"> </v>
      </c>
      <c r="BN147" s="938" t="str">
        <f t="shared" si="393"/>
        <v xml:space="preserve"> </v>
      </c>
      <c r="BO147" s="938" t="str">
        <f t="shared" si="394"/>
        <v xml:space="preserve"> </v>
      </c>
      <c r="BW147" s="938" t="str">
        <f t="shared" si="395"/>
        <v xml:space="preserve"> </v>
      </c>
      <c r="BX147" s="938" t="str">
        <f t="shared" si="396"/>
        <v xml:space="preserve"> </v>
      </c>
      <c r="CF147" s="938" t="str">
        <f t="shared" si="397"/>
        <v xml:space="preserve"> </v>
      </c>
      <c r="CG147" s="938" t="str">
        <f t="shared" si="398"/>
        <v xml:space="preserve"> </v>
      </c>
      <c r="CO147" s="938" t="str">
        <f t="shared" si="399"/>
        <v xml:space="preserve"> </v>
      </c>
      <c r="CP147" s="938" t="str">
        <f t="shared" si="400"/>
        <v xml:space="preserve"> </v>
      </c>
      <c r="CX147" s="938" t="str">
        <f t="shared" si="401"/>
        <v xml:space="preserve"> </v>
      </c>
      <c r="CY147" s="938" t="str">
        <f t="shared" si="402"/>
        <v xml:space="preserve"> </v>
      </c>
      <c r="DG147" s="938" t="str">
        <f t="shared" si="403"/>
        <v xml:space="preserve"> </v>
      </c>
      <c r="DH147" s="938" t="str">
        <f t="shared" si="404"/>
        <v xml:space="preserve"> </v>
      </c>
      <c r="DP147" s="938" t="str">
        <f t="shared" si="405"/>
        <v xml:space="preserve"> </v>
      </c>
      <c r="DQ147" s="938" t="str">
        <f t="shared" si="406"/>
        <v xml:space="preserve"> </v>
      </c>
      <c r="DY147" s="938" t="str">
        <f t="shared" si="407"/>
        <v xml:space="preserve"> </v>
      </c>
      <c r="DZ147" s="938" t="str">
        <f t="shared" si="408"/>
        <v xml:space="preserve"> </v>
      </c>
      <c r="EH147" s="938" t="str">
        <f t="shared" si="409"/>
        <v xml:space="preserve"> </v>
      </c>
      <c r="EI147" s="938" t="str">
        <f t="shared" si="410"/>
        <v xml:space="preserve"> </v>
      </c>
      <c r="EQ147" s="938" t="str">
        <f t="shared" si="411"/>
        <v xml:space="preserve"> </v>
      </c>
      <c r="ER147" s="938" t="str">
        <f t="shared" si="412"/>
        <v xml:space="preserve"> </v>
      </c>
      <c r="EZ147" s="938" t="str">
        <f t="shared" si="413"/>
        <v xml:space="preserve"> </v>
      </c>
      <c r="FA147" s="938" t="str">
        <f t="shared" si="414"/>
        <v xml:space="preserve"> </v>
      </c>
      <c r="FI147" s="938" t="str">
        <f t="shared" si="415"/>
        <v xml:space="preserve"> </v>
      </c>
      <c r="FJ147" s="938" t="str">
        <f t="shared" si="416"/>
        <v xml:space="preserve"> </v>
      </c>
      <c r="FR147" s="938" t="str">
        <f t="shared" si="417"/>
        <v xml:space="preserve"> </v>
      </c>
      <c r="FS147" s="938" t="str">
        <f t="shared" si="418"/>
        <v xml:space="preserve"> </v>
      </c>
      <c r="GA147" s="938" t="str">
        <f t="shared" si="419"/>
        <v xml:space="preserve"> </v>
      </c>
      <c r="GB147" s="938" t="str">
        <f t="shared" si="420"/>
        <v xml:space="preserve"> </v>
      </c>
      <c r="GJ147" s="938" t="str">
        <f t="shared" si="421"/>
        <v xml:space="preserve"> </v>
      </c>
      <c r="GK147" s="938" t="str">
        <f t="shared" si="422"/>
        <v xml:space="preserve"> </v>
      </c>
      <c r="GS147" s="938" t="str">
        <f t="shared" si="423"/>
        <v xml:space="preserve"> </v>
      </c>
      <c r="GT147" s="938" t="str">
        <f t="shared" si="424"/>
        <v xml:space="preserve"> </v>
      </c>
      <c r="HB147" s="938" t="str">
        <f t="shared" si="425"/>
        <v xml:space="preserve"> </v>
      </c>
      <c r="HC147" s="938" t="str">
        <f t="shared" si="426"/>
        <v xml:space="preserve"> </v>
      </c>
      <c r="HK147" s="938" t="str">
        <f t="shared" si="427"/>
        <v xml:space="preserve"> </v>
      </c>
      <c r="HL147" s="938" t="str">
        <f t="shared" si="428"/>
        <v xml:space="preserve"> </v>
      </c>
      <c r="HT147" s="938" t="str">
        <f t="shared" si="429"/>
        <v xml:space="preserve"> </v>
      </c>
      <c r="HU147" s="938" t="str">
        <f t="shared" si="430"/>
        <v xml:space="preserve"> </v>
      </c>
      <c r="IC147" s="938" t="str">
        <f t="shared" si="431"/>
        <v xml:space="preserve"> </v>
      </c>
      <c r="ID147" s="938" t="str">
        <f t="shared" si="432"/>
        <v xml:space="preserve"> </v>
      </c>
      <c r="IL147" s="938" t="str">
        <f t="shared" si="433"/>
        <v xml:space="preserve"> </v>
      </c>
      <c r="IM147" s="938" t="str">
        <f t="shared" si="434"/>
        <v xml:space="preserve"> </v>
      </c>
      <c r="IU147" s="938" t="str">
        <f t="shared" si="435"/>
        <v xml:space="preserve"> </v>
      </c>
      <c r="IV147" s="938" t="str">
        <f t="shared" si="436"/>
        <v xml:space="preserve"> </v>
      </c>
      <c r="JD147" s="938" t="str">
        <f t="shared" si="437"/>
        <v xml:space="preserve"> </v>
      </c>
      <c r="JE147" s="938" t="str">
        <f t="shared" si="438"/>
        <v xml:space="preserve"> </v>
      </c>
      <c r="JM147" s="938" t="str">
        <f t="shared" si="439"/>
        <v xml:space="preserve"> </v>
      </c>
      <c r="JN147" s="938" t="str">
        <f t="shared" si="440"/>
        <v xml:space="preserve"> </v>
      </c>
      <c r="JV147" s="938" t="str">
        <f t="shared" si="441"/>
        <v xml:space="preserve"> </v>
      </c>
      <c r="JW147" s="938" t="str">
        <f t="shared" si="442"/>
        <v xml:space="preserve"> </v>
      </c>
    </row>
    <row r="148" spans="11:283" x14ac:dyDescent="0.2">
      <c r="K148" s="938" t="str">
        <f t="shared" si="381"/>
        <v/>
      </c>
      <c r="L148" s="714">
        <f t="shared" si="382"/>
        <v>0</v>
      </c>
      <c r="M148" s="714">
        <v>2.3000000000000001E-4</v>
      </c>
      <c r="N148" s="714">
        <v>23</v>
      </c>
      <c r="O148" t="str">
        <v>ENTEC15-5-20</v>
      </c>
      <c r="P148" s="714">
        <f t="shared" si="379"/>
        <v>0</v>
      </c>
      <c r="Q148" s="714">
        <f t="shared" si="380"/>
        <v>0</v>
      </c>
      <c r="U148" s="938" t="str">
        <f t="shared" si="383"/>
        <v xml:space="preserve"> </v>
      </c>
      <c r="V148" s="938" t="str">
        <f t="shared" si="384"/>
        <v xml:space="preserve"> </v>
      </c>
      <c r="AD148" s="938" t="str">
        <f t="shared" si="385"/>
        <v xml:space="preserve"> </v>
      </c>
      <c r="AE148" s="938" t="str">
        <f t="shared" si="386"/>
        <v xml:space="preserve"> </v>
      </c>
      <c r="AM148" s="938" t="str">
        <f t="shared" si="387"/>
        <v xml:space="preserve"> </v>
      </c>
      <c r="AN148" s="938" t="str">
        <f t="shared" si="388"/>
        <v xml:space="preserve"> </v>
      </c>
      <c r="AV148" s="938" t="str">
        <f t="shared" si="389"/>
        <v xml:space="preserve"> </v>
      </c>
      <c r="AW148" s="938" t="str">
        <f t="shared" si="390"/>
        <v xml:space="preserve"> </v>
      </c>
      <c r="BE148" s="938" t="str">
        <f t="shared" si="391"/>
        <v xml:space="preserve"> </v>
      </c>
      <c r="BF148" s="938" t="str">
        <f t="shared" si="392"/>
        <v xml:space="preserve"> </v>
      </c>
      <c r="BN148" s="938" t="str">
        <f t="shared" si="393"/>
        <v xml:space="preserve"> </v>
      </c>
      <c r="BO148" s="938" t="str">
        <f t="shared" si="394"/>
        <v xml:space="preserve"> </v>
      </c>
      <c r="BW148" s="938" t="str">
        <f t="shared" si="395"/>
        <v xml:space="preserve"> </v>
      </c>
      <c r="BX148" s="938" t="str">
        <f t="shared" si="396"/>
        <v xml:space="preserve"> </v>
      </c>
      <c r="CF148" s="938" t="str">
        <f t="shared" si="397"/>
        <v xml:space="preserve"> </v>
      </c>
      <c r="CG148" s="938" t="str">
        <f t="shared" si="398"/>
        <v xml:space="preserve"> </v>
      </c>
      <c r="CO148" s="938" t="str">
        <f t="shared" si="399"/>
        <v xml:space="preserve"> </v>
      </c>
      <c r="CP148" s="938" t="str">
        <f t="shared" si="400"/>
        <v xml:space="preserve"> </v>
      </c>
      <c r="CX148" s="938" t="str">
        <f t="shared" si="401"/>
        <v xml:space="preserve"> </v>
      </c>
      <c r="CY148" s="938" t="str">
        <f t="shared" si="402"/>
        <v xml:space="preserve"> </v>
      </c>
      <c r="DG148" s="938" t="str">
        <f t="shared" si="403"/>
        <v xml:space="preserve"> </v>
      </c>
      <c r="DH148" s="938" t="str">
        <f t="shared" si="404"/>
        <v xml:space="preserve"> </v>
      </c>
      <c r="DP148" s="938" t="str">
        <f t="shared" si="405"/>
        <v xml:space="preserve"> </v>
      </c>
      <c r="DQ148" s="938" t="str">
        <f t="shared" si="406"/>
        <v xml:space="preserve"> </v>
      </c>
      <c r="DY148" s="938" t="str">
        <f t="shared" si="407"/>
        <v xml:space="preserve"> </v>
      </c>
      <c r="DZ148" s="938" t="str">
        <f t="shared" si="408"/>
        <v xml:space="preserve"> </v>
      </c>
      <c r="EH148" s="938" t="str">
        <f t="shared" si="409"/>
        <v xml:space="preserve"> </v>
      </c>
      <c r="EI148" s="938" t="str">
        <f t="shared" si="410"/>
        <v xml:space="preserve"> </v>
      </c>
      <c r="EQ148" s="938" t="str">
        <f t="shared" si="411"/>
        <v xml:space="preserve"> </v>
      </c>
      <c r="ER148" s="938" t="str">
        <f t="shared" si="412"/>
        <v xml:space="preserve"> </v>
      </c>
      <c r="EZ148" s="938" t="str">
        <f t="shared" si="413"/>
        <v xml:space="preserve"> </v>
      </c>
      <c r="FA148" s="938" t="str">
        <f t="shared" si="414"/>
        <v xml:space="preserve"> </v>
      </c>
      <c r="FI148" s="938" t="str">
        <f t="shared" si="415"/>
        <v xml:space="preserve"> </v>
      </c>
      <c r="FJ148" s="938" t="str">
        <f t="shared" si="416"/>
        <v xml:space="preserve"> </v>
      </c>
      <c r="FR148" s="938" t="str">
        <f t="shared" si="417"/>
        <v xml:space="preserve"> </v>
      </c>
      <c r="FS148" s="938" t="str">
        <f t="shared" si="418"/>
        <v xml:space="preserve"> </v>
      </c>
      <c r="GA148" s="938" t="str">
        <f t="shared" si="419"/>
        <v xml:space="preserve"> </v>
      </c>
      <c r="GB148" s="938" t="str">
        <f t="shared" si="420"/>
        <v xml:space="preserve"> </v>
      </c>
      <c r="GJ148" s="938" t="str">
        <f t="shared" si="421"/>
        <v xml:space="preserve"> </v>
      </c>
      <c r="GK148" s="938" t="str">
        <f t="shared" si="422"/>
        <v xml:space="preserve"> </v>
      </c>
      <c r="GS148" s="938" t="str">
        <f t="shared" si="423"/>
        <v xml:space="preserve"> </v>
      </c>
      <c r="GT148" s="938" t="str">
        <f t="shared" si="424"/>
        <v xml:space="preserve"> </v>
      </c>
      <c r="HB148" s="938" t="str">
        <f t="shared" si="425"/>
        <v xml:space="preserve"> </v>
      </c>
      <c r="HC148" s="938" t="str">
        <f t="shared" si="426"/>
        <v xml:space="preserve"> </v>
      </c>
      <c r="HK148" s="938" t="str">
        <f t="shared" si="427"/>
        <v xml:space="preserve"> </v>
      </c>
      <c r="HL148" s="938" t="str">
        <f t="shared" si="428"/>
        <v xml:space="preserve"> </v>
      </c>
      <c r="HT148" s="938" t="str">
        <f t="shared" si="429"/>
        <v xml:space="preserve"> </v>
      </c>
      <c r="HU148" s="938" t="str">
        <f t="shared" si="430"/>
        <v xml:space="preserve"> </v>
      </c>
      <c r="IC148" s="938" t="str">
        <f t="shared" si="431"/>
        <v xml:space="preserve"> </v>
      </c>
      <c r="ID148" s="938" t="str">
        <f t="shared" si="432"/>
        <v xml:space="preserve"> </v>
      </c>
      <c r="IL148" s="938" t="str">
        <f t="shared" si="433"/>
        <v xml:space="preserve"> </v>
      </c>
      <c r="IM148" s="938" t="str">
        <f t="shared" si="434"/>
        <v xml:space="preserve"> </v>
      </c>
      <c r="IU148" s="938" t="str">
        <f t="shared" si="435"/>
        <v xml:space="preserve"> </v>
      </c>
      <c r="IV148" s="938" t="str">
        <f t="shared" si="436"/>
        <v xml:space="preserve"> </v>
      </c>
      <c r="JD148" s="938" t="str">
        <f t="shared" si="437"/>
        <v xml:space="preserve"> </v>
      </c>
      <c r="JE148" s="938" t="str">
        <f t="shared" si="438"/>
        <v xml:space="preserve"> </v>
      </c>
      <c r="JM148" s="938" t="str">
        <f t="shared" si="439"/>
        <v xml:space="preserve"> </v>
      </c>
      <c r="JN148" s="938" t="str">
        <f t="shared" si="440"/>
        <v xml:space="preserve"> </v>
      </c>
      <c r="JV148" s="938" t="str">
        <f t="shared" si="441"/>
        <v xml:space="preserve"> </v>
      </c>
      <c r="JW148" s="938" t="str">
        <f t="shared" si="442"/>
        <v xml:space="preserve"> </v>
      </c>
    </row>
    <row r="149" spans="11:283" x14ac:dyDescent="0.2">
      <c r="K149" s="938" t="str">
        <f t="shared" si="381"/>
        <v/>
      </c>
      <c r="L149" s="714">
        <f t="shared" si="382"/>
        <v>0</v>
      </c>
      <c r="M149" s="714">
        <v>2.4000000000000001E-4</v>
      </c>
      <c r="N149" s="714">
        <v>24</v>
      </c>
      <c r="O149" t="str">
        <v>ENTEC25-15</v>
      </c>
      <c r="P149" s="714">
        <f t="shared" si="379"/>
        <v>0</v>
      </c>
      <c r="Q149" s="714">
        <f t="shared" si="380"/>
        <v>0</v>
      </c>
      <c r="U149" s="938" t="str">
        <f t="shared" si="383"/>
        <v xml:space="preserve"> </v>
      </c>
      <c r="V149" s="938" t="str">
        <f t="shared" si="384"/>
        <v xml:space="preserve"> </v>
      </c>
      <c r="AD149" s="938" t="str">
        <f t="shared" si="385"/>
        <v xml:space="preserve"> </v>
      </c>
      <c r="AE149" s="938" t="str">
        <f t="shared" si="386"/>
        <v xml:space="preserve"> </v>
      </c>
      <c r="AM149" s="938" t="str">
        <f t="shared" si="387"/>
        <v xml:space="preserve"> </v>
      </c>
      <c r="AN149" s="938" t="str">
        <f t="shared" si="388"/>
        <v xml:space="preserve"> </v>
      </c>
      <c r="AV149" s="938" t="str">
        <f t="shared" si="389"/>
        <v xml:space="preserve"> </v>
      </c>
      <c r="AW149" s="938" t="str">
        <f t="shared" si="390"/>
        <v xml:space="preserve"> </v>
      </c>
      <c r="BE149" s="938" t="str">
        <f t="shared" si="391"/>
        <v xml:space="preserve"> </v>
      </c>
      <c r="BF149" s="938" t="str">
        <f t="shared" si="392"/>
        <v xml:space="preserve"> </v>
      </c>
      <c r="BN149" s="938" t="str">
        <f t="shared" si="393"/>
        <v xml:space="preserve"> </v>
      </c>
      <c r="BO149" s="938" t="str">
        <f t="shared" si="394"/>
        <v xml:space="preserve"> </v>
      </c>
      <c r="BW149" s="938" t="str">
        <f t="shared" si="395"/>
        <v xml:space="preserve"> </v>
      </c>
      <c r="BX149" s="938" t="str">
        <f t="shared" si="396"/>
        <v xml:space="preserve"> </v>
      </c>
      <c r="CF149" s="938" t="str">
        <f t="shared" si="397"/>
        <v xml:space="preserve"> </v>
      </c>
      <c r="CG149" s="938" t="str">
        <f t="shared" si="398"/>
        <v xml:space="preserve"> </v>
      </c>
      <c r="CO149" s="938" t="str">
        <f t="shared" si="399"/>
        <v xml:space="preserve"> </v>
      </c>
      <c r="CP149" s="938" t="str">
        <f t="shared" si="400"/>
        <v xml:space="preserve"> </v>
      </c>
      <c r="CX149" s="938" t="str">
        <f t="shared" si="401"/>
        <v xml:space="preserve"> </v>
      </c>
      <c r="CY149" s="938" t="str">
        <f t="shared" si="402"/>
        <v xml:space="preserve"> </v>
      </c>
      <c r="DG149" s="938" t="str">
        <f t="shared" si="403"/>
        <v xml:space="preserve"> </v>
      </c>
      <c r="DH149" s="938" t="str">
        <f t="shared" si="404"/>
        <v xml:space="preserve"> </v>
      </c>
      <c r="DP149" s="938" t="str">
        <f t="shared" si="405"/>
        <v xml:space="preserve"> </v>
      </c>
      <c r="DQ149" s="938" t="str">
        <f t="shared" si="406"/>
        <v xml:space="preserve"> </v>
      </c>
      <c r="DY149" s="938" t="str">
        <f t="shared" si="407"/>
        <v xml:space="preserve"> </v>
      </c>
      <c r="DZ149" s="938" t="str">
        <f t="shared" si="408"/>
        <v xml:space="preserve"> </v>
      </c>
      <c r="EH149" s="938" t="str">
        <f t="shared" si="409"/>
        <v xml:space="preserve"> </v>
      </c>
      <c r="EI149" s="938" t="str">
        <f t="shared" si="410"/>
        <v xml:space="preserve"> </v>
      </c>
      <c r="EQ149" s="938" t="str">
        <f t="shared" si="411"/>
        <v xml:space="preserve"> </v>
      </c>
      <c r="ER149" s="938" t="str">
        <f t="shared" si="412"/>
        <v xml:space="preserve"> </v>
      </c>
      <c r="EZ149" s="938" t="str">
        <f t="shared" si="413"/>
        <v xml:space="preserve"> </v>
      </c>
      <c r="FA149" s="938" t="str">
        <f t="shared" si="414"/>
        <v xml:space="preserve"> </v>
      </c>
      <c r="FI149" s="938" t="str">
        <f t="shared" si="415"/>
        <v xml:space="preserve"> </v>
      </c>
      <c r="FJ149" s="938" t="str">
        <f t="shared" si="416"/>
        <v xml:space="preserve"> </v>
      </c>
      <c r="FR149" s="938" t="str">
        <f t="shared" si="417"/>
        <v xml:space="preserve"> </v>
      </c>
      <c r="FS149" s="938" t="str">
        <f t="shared" si="418"/>
        <v xml:space="preserve"> </v>
      </c>
      <c r="GA149" s="938" t="str">
        <f t="shared" si="419"/>
        <v xml:space="preserve"> </v>
      </c>
      <c r="GB149" s="938" t="str">
        <f t="shared" si="420"/>
        <v xml:space="preserve"> </v>
      </c>
      <c r="GJ149" s="938" t="str">
        <f t="shared" si="421"/>
        <v xml:space="preserve"> </v>
      </c>
      <c r="GK149" s="938" t="str">
        <f t="shared" si="422"/>
        <v xml:space="preserve"> </v>
      </c>
      <c r="GS149" s="938" t="str">
        <f t="shared" si="423"/>
        <v xml:space="preserve"> </v>
      </c>
      <c r="GT149" s="938" t="str">
        <f t="shared" si="424"/>
        <v xml:space="preserve"> </v>
      </c>
      <c r="HB149" s="938" t="str">
        <f t="shared" si="425"/>
        <v xml:space="preserve"> </v>
      </c>
      <c r="HC149" s="938" t="str">
        <f t="shared" si="426"/>
        <v xml:space="preserve"> </v>
      </c>
      <c r="HK149" s="938" t="str">
        <f t="shared" si="427"/>
        <v xml:space="preserve"> </v>
      </c>
      <c r="HL149" s="938" t="str">
        <f t="shared" si="428"/>
        <v xml:space="preserve"> </v>
      </c>
      <c r="HT149" s="938" t="str">
        <f t="shared" si="429"/>
        <v xml:space="preserve"> </v>
      </c>
      <c r="HU149" s="938" t="str">
        <f t="shared" si="430"/>
        <v xml:space="preserve"> </v>
      </c>
      <c r="IC149" s="938" t="str">
        <f t="shared" si="431"/>
        <v xml:space="preserve"> </v>
      </c>
      <c r="ID149" s="938" t="str">
        <f t="shared" si="432"/>
        <v xml:space="preserve"> </v>
      </c>
      <c r="IL149" s="938" t="str">
        <f t="shared" si="433"/>
        <v xml:space="preserve"> </v>
      </c>
      <c r="IM149" s="938" t="str">
        <f t="shared" si="434"/>
        <v xml:space="preserve"> </v>
      </c>
      <c r="IU149" s="938" t="str">
        <f t="shared" si="435"/>
        <v xml:space="preserve"> </v>
      </c>
      <c r="IV149" s="938" t="str">
        <f t="shared" si="436"/>
        <v xml:space="preserve"> </v>
      </c>
      <c r="JD149" s="938" t="str">
        <f t="shared" si="437"/>
        <v xml:space="preserve"> </v>
      </c>
      <c r="JE149" s="938" t="str">
        <f t="shared" si="438"/>
        <v xml:space="preserve"> </v>
      </c>
      <c r="JM149" s="938" t="str">
        <f t="shared" si="439"/>
        <v xml:space="preserve"> </v>
      </c>
      <c r="JN149" s="938" t="str">
        <f t="shared" si="440"/>
        <v xml:space="preserve"> </v>
      </c>
      <c r="JV149" s="938" t="str">
        <f t="shared" si="441"/>
        <v xml:space="preserve"> </v>
      </c>
      <c r="JW149" s="938" t="str">
        <f t="shared" si="442"/>
        <v xml:space="preserve"> </v>
      </c>
    </row>
    <row r="150" spans="11:283" x14ac:dyDescent="0.2">
      <c r="K150" s="938" t="str">
        <f t="shared" si="381"/>
        <v/>
      </c>
      <c r="L150" s="714">
        <f t="shared" si="382"/>
        <v>0</v>
      </c>
      <c r="M150" s="714">
        <v>2.5000000000000001E-4</v>
      </c>
      <c r="N150" s="714">
        <v>25</v>
      </c>
      <c r="O150" t="str">
        <v>HARN46</v>
      </c>
      <c r="P150" s="714">
        <f t="shared" si="379"/>
        <v>0</v>
      </c>
      <c r="Q150" s="714">
        <f t="shared" si="380"/>
        <v>0</v>
      </c>
      <c r="U150" s="938" t="str">
        <f t="shared" si="383"/>
        <v xml:space="preserve"> </v>
      </c>
      <c r="V150" s="938" t="str">
        <f t="shared" si="384"/>
        <v xml:space="preserve"> </v>
      </c>
      <c r="AD150" s="938" t="str">
        <f t="shared" si="385"/>
        <v xml:space="preserve"> </v>
      </c>
      <c r="AE150" s="938" t="str">
        <f t="shared" si="386"/>
        <v xml:space="preserve"> </v>
      </c>
      <c r="AM150" s="938" t="str">
        <f t="shared" si="387"/>
        <v xml:space="preserve"> </v>
      </c>
      <c r="AN150" s="938" t="str">
        <f t="shared" si="388"/>
        <v xml:space="preserve"> </v>
      </c>
      <c r="AV150" s="938" t="str">
        <f t="shared" si="389"/>
        <v xml:space="preserve"> </v>
      </c>
      <c r="AW150" s="938" t="str">
        <f t="shared" si="390"/>
        <v xml:space="preserve"> </v>
      </c>
      <c r="BE150" s="938" t="str">
        <f t="shared" si="391"/>
        <v xml:space="preserve"> </v>
      </c>
      <c r="BF150" s="938" t="str">
        <f t="shared" si="392"/>
        <v xml:space="preserve"> </v>
      </c>
      <c r="BN150" s="938" t="str">
        <f t="shared" si="393"/>
        <v xml:space="preserve"> </v>
      </c>
      <c r="BO150" s="938" t="str">
        <f t="shared" si="394"/>
        <v xml:space="preserve"> </v>
      </c>
      <c r="BW150" s="938" t="str">
        <f t="shared" si="395"/>
        <v xml:space="preserve"> </v>
      </c>
      <c r="BX150" s="938" t="str">
        <f t="shared" si="396"/>
        <v xml:space="preserve"> </v>
      </c>
      <c r="CF150" s="938" t="str">
        <f t="shared" si="397"/>
        <v xml:space="preserve"> </v>
      </c>
      <c r="CG150" s="938" t="str">
        <f t="shared" si="398"/>
        <v xml:space="preserve"> </v>
      </c>
      <c r="CO150" s="938" t="str">
        <f t="shared" si="399"/>
        <v xml:space="preserve"> </v>
      </c>
      <c r="CP150" s="938" t="str">
        <f t="shared" si="400"/>
        <v xml:space="preserve"> </v>
      </c>
      <c r="CX150" s="938" t="str">
        <f t="shared" si="401"/>
        <v xml:space="preserve"> </v>
      </c>
      <c r="CY150" s="938" t="str">
        <f t="shared" si="402"/>
        <v xml:space="preserve"> </v>
      </c>
      <c r="DG150" s="938" t="str">
        <f t="shared" si="403"/>
        <v xml:space="preserve"> </v>
      </c>
      <c r="DH150" s="938" t="str">
        <f t="shared" si="404"/>
        <v xml:space="preserve"> </v>
      </c>
      <c r="DP150" s="938" t="str">
        <f t="shared" si="405"/>
        <v xml:space="preserve"> </v>
      </c>
      <c r="DQ150" s="938" t="str">
        <f t="shared" si="406"/>
        <v xml:space="preserve"> </v>
      </c>
      <c r="DY150" s="938" t="str">
        <f t="shared" si="407"/>
        <v xml:space="preserve"> </v>
      </c>
      <c r="DZ150" s="938" t="str">
        <f t="shared" si="408"/>
        <v xml:space="preserve"> </v>
      </c>
      <c r="EH150" s="938" t="str">
        <f t="shared" si="409"/>
        <v xml:space="preserve"> </v>
      </c>
      <c r="EI150" s="938" t="str">
        <f t="shared" si="410"/>
        <v xml:space="preserve"> </v>
      </c>
      <c r="EQ150" s="938" t="str">
        <f t="shared" si="411"/>
        <v xml:space="preserve"> </v>
      </c>
      <c r="ER150" s="938" t="str">
        <f t="shared" si="412"/>
        <v xml:space="preserve"> </v>
      </c>
      <c r="EZ150" s="938" t="str">
        <f t="shared" si="413"/>
        <v xml:space="preserve"> </v>
      </c>
      <c r="FA150" s="938" t="str">
        <f t="shared" si="414"/>
        <v xml:space="preserve"> </v>
      </c>
      <c r="FI150" s="938" t="str">
        <f t="shared" si="415"/>
        <v xml:space="preserve"> </v>
      </c>
      <c r="FJ150" s="938" t="str">
        <f t="shared" si="416"/>
        <v xml:space="preserve"> </v>
      </c>
      <c r="FR150" s="938" t="str">
        <f t="shared" si="417"/>
        <v xml:space="preserve"> </v>
      </c>
      <c r="FS150" s="938" t="str">
        <f t="shared" si="418"/>
        <v xml:space="preserve"> </v>
      </c>
      <c r="GA150" s="938" t="str">
        <f t="shared" si="419"/>
        <v xml:space="preserve"> </v>
      </c>
      <c r="GB150" s="938" t="str">
        <f t="shared" si="420"/>
        <v xml:space="preserve"> </v>
      </c>
      <c r="GJ150" s="938" t="str">
        <f t="shared" si="421"/>
        <v xml:space="preserve"> </v>
      </c>
      <c r="GK150" s="938" t="str">
        <f t="shared" si="422"/>
        <v xml:space="preserve"> </v>
      </c>
      <c r="GS150" s="938" t="str">
        <f t="shared" si="423"/>
        <v xml:space="preserve"> </v>
      </c>
      <c r="GT150" s="938" t="str">
        <f t="shared" si="424"/>
        <v xml:space="preserve"> </v>
      </c>
      <c r="HB150" s="938" t="str">
        <f t="shared" si="425"/>
        <v xml:space="preserve"> </v>
      </c>
      <c r="HC150" s="938" t="str">
        <f t="shared" si="426"/>
        <v xml:space="preserve"> </v>
      </c>
      <c r="HK150" s="938" t="str">
        <f t="shared" si="427"/>
        <v xml:space="preserve"> </v>
      </c>
      <c r="HL150" s="938" t="str">
        <f t="shared" si="428"/>
        <v xml:space="preserve"> </v>
      </c>
      <c r="HT150" s="938" t="str">
        <f t="shared" si="429"/>
        <v xml:space="preserve"> </v>
      </c>
      <c r="HU150" s="938" t="str">
        <f t="shared" si="430"/>
        <v xml:space="preserve"> </v>
      </c>
      <c r="IC150" s="938" t="str">
        <f t="shared" si="431"/>
        <v xml:space="preserve"> </v>
      </c>
      <c r="ID150" s="938" t="str">
        <f t="shared" si="432"/>
        <v xml:space="preserve"> </v>
      </c>
      <c r="IL150" s="938" t="str">
        <f t="shared" si="433"/>
        <v xml:space="preserve"> </v>
      </c>
      <c r="IM150" s="938" t="str">
        <f t="shared" si="434"/>
        <v xml:space="preserve"> </v>
      </c>
      <c r="IU150" s="938" t="str">
        <f t="shared" si="435"/>
        <v xml:space="preserve"> </v>
      </c>
      <c r="IV150" s="938" t="str">
        <f t="shared" si="436"/>
        <v xml:space="preserve"> </v>
      </c>
      <c r="JD150" s="938" t="str">
        <f t="shared" si="437"/>
        <v xml:space="preserve"> </v>
      </c>
      <c r="JE150" s="938" t="str">
        <f t="shared" si="438"/>
        <v xml:space="preserve"> </v>
      </c>
      <c r="JM150" s="938" t="str">
        <f t="shared" si="439"/>
        <v xml:space="preserve"> </v>
      </c>
      <c r="JN150" s="938" t="str">
        <f t="shared" si="440"/>
        <v xml:space="preserve"> </v>
      </c>
      <c r="JV150" s="938" t="str">
        <f t="shared" si="441"/>
        <v xml:space="preserve"> </v>
      </c>
      <c r="JW150" s="938" t="str">
        <f t="shared" si="442"/>
        <v xml:space="preserve"> </v>
      </c>
    </row>
    <row r="151" spans="11:283" x14ac:dyDescent="0.2">
      <c r="K151" s="938" t="str">
        <f t="shared" si="381"/>
        <v/>
      </c>
      <c r="L151" s="714">
        <f t="shared" si="382"/>
        <v>0</v>
      </c>
      <c r="M151" s="714">
        <v>2.5999999999999998E-4</v>
      </c>
      <c r="N151" s="714">
        <v>26</v>
      </c>
      <c r="O151" t="str">
        <v>HARN46-U</v>
      </c>
      <c r="P151" s="714">
        <f t="shared" si="379"/>
        <v>0</v>
      </c>
      <c r="Q151" s="714">
        <f t="shared" si="380"/>
        <v>0</v>
      </c>
      <c r="U151" s="938" t="str">
        <f t="shared" si="383"/>
        <v xml:space="preserve"> </v>
      </c>
      <c r="V151" s="938" t="str">
        <f t="shared" si="384"/>
        <v xml:space="preserve"> </v>
      </c>
      <c r="AD151" s="938" t="str">
        <f t="shared" si="385"/>
        <v xml:space="preserve"> </v>
      </c>
      <c r="AE151" s="938" t="str">
        <f t="shared" si="386"/>
        <v xml:space="preserve"> </v>
      </c>
      <c r="AM151" s="938" t="str">
        <f t="shared" si="387"/>
        <v xml:space="preserve"> </v>
      </c>
      <c r="AN151" s="938" t="str">
        <f t="shared" si="388"/>
        <v xml:space="preserve"> </v>
      </c>
      <c r="AV151" s="938" t="str">
        <f t="shared" si="389"/>
        <v xml:space="preserve"> </v>
      </c>
      <c r="AW151" s="938" t="str">
        <f t="shared" si="390"/>
        <v xml:space="preserve"> </v>
      </c>
      <c r="BE151" s="938" t="str">
        <f t="shared" si="391"/>
        <v xml:space="preserve"> </v>
      </c>
      <c r="BF151" s="938" t="str">
        <f t="shared" si="392"/>
        <v xml:space="preserve"> </v>
      </c>
      <c r="BN151" s="938" t="str">
        <f t="shared" si="393"/>
        <v xml:space="preserve"> </v>
      </c>
      <c r="BO151" s="938" t="str">
        <f t="shared" si="394"/>
        <v xml:space="preserve"> </v>
      </c>
      <c r="BW151" s="938" t="str">
        <f t="shared" si="395"/>
        <v xml:space="preserve"> </v>
      </c>
      <c r="BX151" s="938" t="str">
        <f t="shared" si="396"/>
        <v xml:space="preserve"> </v>
      </c>
      <c r="CF151" s="938" t="str">
        <f t="shared" si="397"/>
        <v xml:space="preserve"> </v>
      </c>
      <c r="CG151" s="938" t="str">
        <f t="shared" si="398"/>
        <v xml:space="preserve"> </v>
      </c>
      <c r="CO151" s="938" t="str">
        <f t="shared" si="399"/>
        <v xml:space="preserve"> </v>
      </c>
      <c r="CP151" s="938" t="str">
        <f t="shared" si="400"/>
        <v xml:space="preserve"> </v>
      </c>
      <c r="CX151" s="938" t="str">
        <f t="shared" si="401"/>
        <v xml:space="preserve"> </v>
      </c>
      <c r="CY151" s="938" t="str">
        <f t="shared" si="402"/>
        <v xml:space="preserve"> </v>
      </c>
      <c r="DG151" s="938" t="str">
        <f t="shared" si="403"/>
        <v xml:space="preserve"> </v>
      </c>
      <c r="DH151" s="938" t="str">
        <f t="shared" si="404"/>
        <v xml:space="preserve"> </v>
      </c>
      <c r="DP151" s="938" t="str">
        <f t="shared" si="405"/>
        <v xml:space="preserve"> </v>
      </c>
      <c r="DQ151" s="938" t="str">
        <f t="shared" si="406"/>
        <v xml:space="preserve"> </v>
      </c>
      <c r="DY151" s="938" t="str">
        <f t="shared" si="407"/>
        <v xml:space="preserve"> </v>
      </c>
      <c r="DZ151" s="938" t="str">
        <f t="shared" si="408"/>
        <v xml:space="preserve"> </v>
      </c>
      <c r="EH151" s="938" t="str">
        <f t="shared" si="409"/>
        <v xml:space="preserve"> </v>
      </c>
      <c r="EI151" s="938" t="str">
        <f t="shared" si="410"/>
        <v xml:space="preserve"> </v>
      </c>
      <c r="EQ151" s="938" t="str">
        <f t="shared" si="411"/>
        <v xml:space="preserve"> </v>
      </c>
      <c r="ER151" s="938" t="str">
        <f t="shared" si="412"/>
        <v xml:space="preserve"> </v>
      </c>
      <c r="EZ151" s="938" t="str">
        <f t="shared" si="413"/>
        <v xml:space="preserve"> </v>
      </c>
      <c r="FA151" s="938" t="str">
        <f t="shared" si="414"/>
        <v xml:space="preserve"> </v>
      </c>
      <c r="FI151" s="938" t="str">
        <f t="shared" si="415"/>
        <v xml:space="preserve"> </v>
      </c>
      <c r="FJ151" s="938" t="str">
        <f t="shared" si="416"/>
        <v xml:space="preserve"> </v>
      </c>
      <c r="FR151" s="938" t="str">
        <f t="shared" si="417"/>
        <v xml:space="preserve"> </v>
      </c>
      <c r="FS151" s="938" t="str">
        <f t="shared" si="418"/>
        <v xml:space="preserve"> </v>
      </c>
      <c r="GA151" s="938" t="str">
        <f t="shared" si="419"/>
        <v xml:space="preserve"> </v>
      </c>
      <c r="GB151" s="938" t="str">
        <f t="shared" si="420"/>
        <v xml:space="preserve"> </v>
      </c>
      <c r="GJ151" s="938" t="str">
        <f t="shared" si="421"/>
        <v xml:space="preserve"> </v>
      </c>
      <c r="GK151" s="938" t="str">
        <f t="shared" si="422"/>
        <v xml:space="preserve"> </v>
      </c>
      <c r="GS151" s="938" t="str">
        <f t="shared" si="423"/>
        <v xml:space="preserve"> </v>
      </c>
      <c r="GT151" s="938" t="str">
        <f t="shared" si="424"/>
        <v xml:space="preserve"> </v>
      </c>
      <c r="HB151" s="938" t="str">
        <f t="shared" si="425"/>
        <v xml:space="preserve"> </v>
      </c>
      <c r="HC151" s="938" t="str">
        <f t="shared" si="426"/>
        <v xml:space="preserve"> </v>
      </c>
      <c r="HK151" s="938" t="str">
        <f t="shared" si="427"/>
        <v xml:space="preserve"> </v>
      </c>
      <c r="HL151" s="938" t="str">
        <f t="shared" si="428"/>
        <v xml:space="preserve"> </v>
      </c>
      <c r="HT151" s="938" t="str">
        <f t="shared" si="429"/>
        <v xml:space="preserve"> </v>
      </c>
      <c r="HU151" s="938" t="str">
        <f t="shared" si="430"/>
        <v xml:space="preserve"> </v>
      </c>
      <c r="IC151" s="938" t="str">
        <f t="shared" si="431"/>
        <v xml:space="preserve"> </v>
      </c>
      <c r="ID151" s="938" t="str">
        <f t="shared" si="432"/>
        <v xml:space="preserve"> </v>
      </c>
      <c r="IL151" s="938" t="str">
        <f t="shared" si="433"/>
        <v xml:space="preserve"> </v>
      </c>
      <c r="IM151" s="938" t="str">
        <f t="shared" si="434"/>
        <v xml:space="preserve"> </v>
      </c>
      <c r="IU151" s="938" t="str">
        <f t="shared" si="435"/>
        <v xml:space="preserve"> </v>
      </c>
      <c r="IV151" s="938" t="str">
        <f t="shared" si="436"/>
        <v xml:space="preserve"> </v>
      </c>
      <c r="JD151" s="938" t="str">
        <f t="shared" si="437"/>
        <v xml:space="preserve"> </v>
      </c>
      <c r="JE151" s="938" t="str">
        <f t="shared" si="438"/>
        <v xml:space="preserve"> </v>
      </c>
      <c r="JM151" s="938" t="str">
        <f t="shared" si="439"/>
        <v xml:space="preserve"> </v>
      </c>
      <c r="JN151" s="938" t="str">
        <f t="shared" si="440"/>
        <v xml:space="preserve"> </v>
      </c>
      <c r="JV151" s="938" t="str">
        <f t="shared" si="441"/>
        <v xml:space="preserve"> </v>
      </c>
      <c r="JW151" s="938" t="str">
        <f t="shared" si="442"/>
        <v xml:space="preserve"> </v>
      </c>
    </row>
    <row r="152" spans="11:283" x14ac:dyDescent="0.2">
      <c r="K152" s="938" t="str">
        <f t="shared" si="381"/>
        <v/>
      </c>
      <c r="L152" s="714">
        <f t="shared" si="382"/>
        <v>0</v>
      </c>
      <c r="M152" s="714">
        <v>2.7E-4</v>
      </c>
      <c r="N152" s="714">
        <v>27</v>
      </c>
      <c r="O152" t="str">
        <v>KALI60</v>
      </c>
      <c r="P152" s="714">
        <f t="shared" si="379"/>
        <v>0</v>
      </c>
      <c r="Q152" s="714">
        <f t="shared" si="380"/>
        <v>0</v>
      </c>
      <c r="U152" s="938" t="str">
        <f t="shared" si="383"/>
        <v xml:space="preserve"> </v>
      </c>
      <c r="V152" s="938" t="str">
        <f t="shared" si="384"/>
        <v xml:space="preserve"> </v>
      </c>
      <c r="AD152" s="938" t="str">
        <f t="shared" si="385"/>
        <v xml:space="preserve"> </v>
      </c>
      <c r="AE152" s="938" t="str">
        <f t="shared" si="386"/>
        <v xml:space="preserve"> </v>
      </c>
      <c r="AM152" s="938" t="str">
        <f t="shared" si="387"/>
        <v xml:space="preserve"> </v>
      </c>
      <c r="AN152" s="938" t="str">
        <f t="shared" si="388"/>
        <v xml:space="preserve"> </v>
      </c>
      <c r="AV152" s="938" t="str">
        <f t="shared" si="389"/>
        <v xml:space="preserve"> </v>
      </c>
      <c r="AW152" s="938" t="str">
        <f t="shared" si="390"/>
        <v xml:space="preserve"> </v>
      </c>
      <c r="BE152" s="938" t="str">
        <f t="shared" si="391"/>
        <v xml:space="preserve"> </v>
      </c>
      <c r="BF152" s="938" t="str">
        <f t="shared" si="392"/>
        <v xml:space="preserve"> </v>
      </c>
      <c r="BN152" s="938" t="str">
        <f t="shared" si="393"/>
        <v xml:space="preserve"> </v>
      </c>
      <c r="BO152" s="938" t="str">
        <f t="shared" si="394"/>
        <v xml:space="preserve"> </v>
      </c>
      <c r="BW152" s="938" t="str">
        <f t="shared" si="395"/>
        <v xml:space="preserve"> </v>
      </c>
      <c r="BX152" s="938" t="str">
        <f t="shared" si="396"/>
        <v xml:space="preserve"> </v>
      </c>
      <c r="CF152" s="938" t="str">
        <f t="shared" si="397"/>
        <v xml:space="preserve"> </v>
      </c>
      <c r="CG152" s="938" t="str">
        <f t="shared" si="398"/>
        <v xml:space="preserve"> </v>
      </c>
      <c r="CO152" s="938" t="str">
        <f t="shared" si="399"/>
        <v xml:space="preserve"> </v>
      </c>
      <c r="CP152" s="938" t="str">
        <f t="shared" si="400"/>
        <v xml:space="preserve"> </v>
      </c>
      <c r="CX152" s="938" t="str">
        <f t="shared" si="401"/>
        <v xml:space="preserve"> </v>
      </c>
      <c r="CY152" s="938" t="str">
        <f t="shared" si="402"/>
        <v xml:space="preserve"> </v>
      </c>
      <c r="DG152" s="938" t="str">
        <f t="shared" si="403"/>
        <v xml:space="preserve"> </v>
      </c>
      <c r="DH152" s="938" t="str">
        <f t="shared" si="404"/>
        <v xml:space="preserve"> </v>
      </c>
      <c r="DP152" s="938" t="str">
        <f t="shared" si="405"/>
        <v xml:space="preserve"> </v>
      </c>
      <c r="DQ152" s="938" t="str">
        <f t="shared" si="406"/>
        <v xml:space="preserve"> </v>
      </c>
      <c r="DY152" s="938" t="str">
        <f t="shared" si="407"/>
        <v xml:space="preserve"> </v>
      </c>
      <c r="DZ152" s="938" t="str">
        <f t="shared" si="408"/>
        <v xml:space="preserve"> </v>
      </c>
      <c r="EH152" s="938" t="str">
        <f t="shared" si="409"/>
        <v xml:space="preserve"> </v>
      </c>
      <c r="EI152" s="938" t="str">
        <f t="shared" si="410"/>
        <v xml:space="preserve"> </v>
      </c>
      <c r="EQ152" s="938" t="str">
        <f t="shared" si="411"/>
        <v xml:space="preserve"> </v>
      </c>
      <c r="ER152" s="938" t="str">
        <f t="shared" si="412"/>
        <v xml:space="preserve"> </v>
      </c>
      <c r="EZ152" s="938" t="str">
        <f t="shared" si="413"/>
        <v xml:space="preserve"> </v>
      </c>
      <c r="FA152" s="938" t="str">
        <f t="shared" si="414"/>
        <v xml:space="preserve"> </v>
      </c>
      <c r="FI152" s="938" t="str">
        <f t="shared" si="415"/>
        <v xml:space="preserve"> </v>
      </c>
      <c r="FJ152" s="938" t="str">
        <f t="shared" si="416"/>
        <v xml:space="preserve"> </v>
      </c>
      <c r="FR152" s="938" t="str">
        <f t="shared" si="417"/>
        <v xml:space="preserve"> </v>
      </c>
      <c r="FS152" s="938" t="str">
        <f t="shared" si="418"/>
        <v xml:space="preserve"> </v>
      </c>
      <c r="GA152" s="938" t="str">
        <f t="shared" si="419"/>
        <v xml:space="preserve"> </v>
      </c>
      <c r="GB152" s="938" t="str">
        <f t="shared" si="420"/>
        <v xml:space="preserve"> </v>
      </c>
      <c r="GJ152" s="938" t="str">
        <f t="shared" si="421"/>
        <v xml:space="preserve"> </v>
      </c>
      <c r="GK152" s="938" t="str">
        <f t="shared" si="422"/>
        <v xml:space="preserve"> </v>
      </c>
      <c r="GS152" s="938" t="str">
        <f t="shared" si="423"/>
        <v xml:space="preserve"> </v>
      </c>
      <c r="GT152" s="938" t="str">
        <f t="shared" si="424"/>
        <v xml:space="preserve"> </v>
      </c>
      <c r="HB152" s="938" t="str">
        <f t="shared" si="425"/>
        <v xml:space="preserve"> </v>
      </c>
      <c r="HC152" s="938" t="str">
        <f t="shared" si="426"/>
        <v xml:space="preserve"> </v>
      </c>
      <c r="HK152" s="938" t="str">
        <f t="shared" si="427"/>
        <v xml:space="preserve"> </v>
      </c>
      <c r="HL152" s="938" t="str">
        <f t="shared" si="428"/>
        <v xml:space="preserve"> </v>
      </c>
      <c r="HT152" s="938" t="str">
        <f t="shared" si="429"/>
        <v xml:space="preserve"> </v>
      </c>
      <c r="HU152" s="938" t="str">
        <f t="shared" si="430"/>
        <v xml:space="preserve"> </v>
      </c>
      <c r="IC152" s="938" t="str">
        <f t="shared" si="431"/>
        <v xml:space="preserve"> </v>
      </c>
      <c r="ID152" s="938" t="str">
        <f t="shared" si="432"/>
        <v xml:space="preserve"> </v>
      </c>
      <c r="IL152" s="938" t="str">
        <f t="shared" si="433"/>
        <v xml:space="preserve"> </v>
      </c>
      <c r="IM152" s="938" t="str">
        <f t="shared" si="434"/>
        <v xml:space="preserve"> </v>
      </c>
      <c r="IU152" s="938" t="str">
        <f t="shared" si="435"/>
        <v xml:space="preserve"> </v>
      </c>
      <c r="IV152" s="938" t="str">
        <f t="shared" si="436"/>
        <v xml:space="preserve"> </v>
      </c>
      <c r="JD152" s="938" t="str">
        <f t="shared" si="437"/>
        <v xml:space="preserve"> </v>
      </c>
      <c r="JE152" s="938" t="str">
        <f t="shared" si="438"/>
        <v xml:space="preserve"> </v>
      </c>
      <c r="JM152" s="938" t="str">
        <f t="shared" si="439"/>
        <v xml:space="preserve"> </v>
      </c>
      <c r="JN152" s="938" t="str">
        <f t="shared" si="440"/>
        <v xml:space="preserve"> </v>
      </c>
      <c r="JV152" s="938" t="str">
        <f t="shared" si="441"/>
        <v xml:space="preserve"> </v>
      </c>
      <c r="JW152" s="938" t="str">
        <f t="shared" si="442"/>
        <v xml:space="preserve"> </v>
      </c>
    </row>
    <row r="153" spans="11:283" x14ac:dyDescent="0.2">
      <c r="K153" s="938" t="str">
        <f t="shared" si="381"/>
        <v/>
      </c>
      <c r="L153" s="714">
        <f t="shared" si="382"/>
        <v>0</v>
      </c>
      <c r="M153" s="714">
        <v>2.7999999999999998E-4</v>
      </c>
      <c r="N153" s="714">
        <v>28</v>
      </c>
      <c r="O153" t="str">
        <v>KALISOP</v>
      </c>
      <c r="P153" s="714">
        <f t="shared" si="379"/>
        <v>0</v>
      </c>
      <c r="Q153" s="714">
        <f t="shared" si="380"/>
        <v>0</v>
      </c>
      <c r="U153" s="938" t="str">
        <f t="shared" si="383"/>
        <v xml:space="preserve"> </v>
      </c>
      <c r="V153" s="938" t="str">
        <f t="shared" si="384"/>
        <v xml:space="preserve"> </v>
      </c>
      <c r="AD153" s="938" t="str">
        <f t="shared" si="385"/>
        <v xml:space="preserve"> </v>
      </c>
      <c r="AE153" s="938" t="str">
        <f t="shared" si="386"/>
        <v xml:space="preserve"> </v>
      </c>
      <c r="AM153" s="938" t="str">
        <f t="shared" si="387"/>
        <v xml:space="preserve"> </v>
      </c>
      <c r="AN153" s="938" t="str">
        <f t="shared" si="388"/>
        <v xml:space="preserve"> </v>
      </c>
      <c r="AV153" s="938" t="str">
        <f t="shared" si="389"/>
        <v xml:space="preserve"> </v>
      </c>
      <c r="AW153" s="938" t="str">
        <f t="shared" si="390"/>
        <v xml:space="preserve"> </v>
      </c>
      <c r="BE153" s="938" t="str">
        <f t="shared" si="391"/>
        <v xml:space="preserve"> </v>
      </c>
      <c r="BF153" s="938" t="str">
        <f t="shared" si="392"/>
        <v xml:space="preserve"> </v>
      </c>
      <c r="BN153" s="938" t="str">
        <f t="shared" si="393"/>
        <v xml:space="preserve"> </v>
      </c>
      <c r="BO153" s="938" t="str">
        <f t="shared" si="394"/>
        <v xml:space="preserve"> </v>
      </c>
      <c r="BW153" s="938" t="str">
        <f t="shared" si="395"/>
        <v xml:space="preserve"> </v>
      </c>
      <c r="BX153" s="938" t="str">
        <f t="shared" si="396"/>
        <v xml:space="preserve"> </v>
      </c>
      <c r="CF153" s="938" t="str">
        <f t="shared" si="397"/>
        <v xml:space="preserve"> </v>
      </c>
      <c r="CG153" s="938" t="str">
        <f t="shared" si="398"/>
        <v xml:space="preserve"> </v>
      </c>
      <c r="CO153" s="938" t="str">
        <f t="shared" si="399"/>
        <v xml:space="preserve"> </v>
      </c>
      <c r="CP153" s="938" t="str">
        <f t="shared" si="400"/>
        <v xml:space="preserve"> </v>
      </c>
      <c r="CX153" s="938" t="str">
        <f t="shared" si="401"/>
        <v xml:space="preserve"> </v>
      </c>
      <c r="CY153" s="938" t="str">
        <f t="shared" si="402"/>
        <v xml:space="preserve"> </v>
      </c>
      <c r="DG153" s="938" t="str">
        <f t="shared" si="403"/>
        <v xml:space="preserve"> </v>
      </c>
      <c r="DH153" s="938" t="str">
        <f t="shared" si="404"/>
        <v xml:space="preserve"> </v>
      </c>
      <c r="DP153" s="938" t="str">
        <f t="shared" si="405"/>
        <v xml:space="preserve"> </v>
      </c>
      <c r="DQ153" s="938" t="str">
        <f t="shared" si="406"/>
        <v xml:space="preserve"> </v>
      </c>
      <c r="DY153" s="938" t="str">
        <f t="shared" si="407"/>
        <v xml:space="preserve"> </v>
      </c>
      <c r="DZ153" s="938" t="str">
        <f t="shared" si="408"/>
        <v xml:space="preserve"> </v>
      </c>
      <c r="EH153" s="938" t="str">
        <f t="shared" si="409"/>
        <v xml:space="preserve"> </v>
      </c>
      <c r="EI153" s="938" t="str">
        <f t="shared" si="410"/>
        <v xml:space="preserve"> </v>
      </c>
      <c r="EQ153" s="938" t="str">
        <f t="shared" si="411"/>
        <v xml:space="preserve"> </v>
      </c>
      <c r="ER153" s="938" t="str">
        <f t="shared" si="412"/>
        <v xml:space="preserve"> </v>
      </c>
      <c r="EZ153" s="938" t="str">
        <f t="shared" si="413"/>
        <v xml:space="preserve"> </v>
      </c>
      <c r="FA153" s="938" t="str">
        <f t="shared" si="414"/>
        <v xml:space="preserve"> </v>
      </c>
      <c r="FI153" s="938" t="str">
        <f t="shared" si="415"/>
        <v xml:space="preserve"> </v>
      </c>
      <c r="FJ153" s="938" t="str">
        <f t="shared" si="416"/>
        <v xml:space="preserve"> </v>
      </c>
      <c r="FR153" s="938" t="str">
        <f t="shared" si="417"/>
        <v xml:space="preserve"> </v>
      </c>
      <c r="FS153" s="938" t="str">
        <f t="shared" si="418"/>
        <v xml:space="preserve"> </v>
      </c>
      <c r="GA153" s="938" t="str">
        <f t="shared" si="419"/>
        <v xml:space="preserve"> </v>
      </c>
      <c r="GB153" s="938" t="str">
        <f t="shared" si="420"/>
        <v xml:space="preserve"> </v>
      </c>
      <c r="GJ153" s="938" t="str">
        <f t="shared" si="421"/>
        <v xml:space="preserve"> </v>
      </c>
      <c r="GK153" s="938" t="str">
        <f t="shared" si="422"/>
        <v xml:space="preserve"> </v>
      </c>
      <c r="GS153" s="938" t="str">
        <f t="shared" si="423"/>
        <v xml:space="preserve"> </v>
      </c>
      <c r="GT153" s="938" t="str">
        <f t="shared" si="424"/>
        <v xml:space="preserve"> </v>
      </c>
      <c r="HB153" s="938" t="str">
        <f t="shared" si="425"/>
        <v xml:space="preserve"> </v>
      </c>
      <c r="HC153" s="938" t="str">
        <f t="shared" si="426"/>
        <v xml:space="preserve"> </v>
      </c>
      <c r="HK153" s="938" t="str">
        <f t="shared" si="427"/>
        <v xml:space="preserve"> </v>
      </c>
      <c r="HL153" s="938" t="str">
        <f t="shared" si="428"/>
        <v xml:space="preserve"> </v>
      </c>
      <c r="HT153" s="938" t="str">
        <f t="shared" si="429"/>
        <v xml:space="preserve"> </v>
      </c>
      <c r="HU153" s="938" t="str">
        <f t="shared" si="430"/>
        <v xml:space="preserve"> </v>
      </c>
      <c r="IC153" s="938" t="str">
        <f t="shared" si="431"/>
        <v xml:space="preserve"> </v>
      </c>
      <c r="ID153" s="938" t="str">
        <f t="shared" si="432"/>
        <v xml:space="preserve"> </v>
      </c>
      <c r="IL153" s="938" t="str">
        <f t="shared" si="433"/>
        <v xml:space="preserve"> </v>
      </c>
      <c r="IM153" s="938" t="str">
        <f t="shared" si="434"/>
        <v xml:space="preserve"> </v>
      </c>
      <c r="IU153" s="938" t="str">
        <f t="shared" si="435"/>
        <v xml:space="preserve"> </v>
      </c>
      <c r="IV153" s="938" t="str">
        <f t="shared" si="436"/>
        <v xml:space="preserve"> </v>
      </c>
      <c r="JD153" s="938" t="str">
        <f t="shared" si="437"/>
        <v xml:space="preserve"> </v>
      </c>
      <c r="JE153" s="938" t="str">
        <f t="shared" si="438"/>
        <v xml:space="preserve"> </v>
      </c>
      <c r="JM153" s="938" t="str">
        <f t="shared" si="439"/>
        <v xml:space="preserve"> </v>
      </c>
      <c r="JN153" s="938" t="str">
        <f t="shared" si="440"/>
        <v xml:space="preserve"> </v>
      </c>
      <c r="JV153" s="938" t="str">
        <f t="shared" si="441"/>
        <v xml:space="preserve"> </v>
      </c>
      <c r="JW153" s="938" t="str">
        <f t="shared" si="442"/>
        <v xml:space="preserve"> </v>
      </c>
    </row>
    <row r="154" spans="11:283" x14ac:dyDescent="0.2">
      <c r="K154" s="938" t="str">
        <f t="shared" si="381"/>
        <v/>
      </c>
      <c r="L154" s="714">
        <f t="shared" si="382"/>
        <v>0</v>
      </c>
      <c r="M154" s="714">
        <v>2.9E-4</v>
      </c>
      <c r="N154" s="714">
        <v>29</v>
      </c>
      <c r="O154" t="str">
        <v>KAS</v>
      </c>
      <c r="P154" s="714">
        <f t="shared" si="379"/>
        <v>0</v>
      </c>
      <c r="Q154" s="714">
        <f t="shared" si="380"/>
        <v>0</v>
      </c>
      <c r="U154" s="938" t="str">
        <f t="shared" si="383"/>
        <v xml:space="preserve"> </v>
      </c>
      <c r="V154" s="938" t="str">
        <f t="shared" si="384"/>
        <v xml:space="preserve"> </v>
      </c>
      <c r="AD154" s="938" t="str">
        <f t="shared" si="385"/>
        <v xml:space="preserve"> </v>
      </c>
      <c r="AE154" s="938" t="str">
        <f t="shared" si="386"/>
        <v xml:space="preserve"> </v>
      </c>
      <c r="AM154" s="938" t="str">
        <f t="shared" si="387"/>
        <v xml:space="preserve"> </v>
      </c>
      <c r="AN154" s="938" t="str">
        <f t="shared" si="388"/>
        <v xml:space="preserve"> </v>
      </c>
      <c r="AV154" s="938" t="str">
        <f t="shared" si="389"/>
        <v xml:space="preserve"> </v>
      </c>
      <c r="AW154" s="938" t="str">
        <f t="shared" si="390"/>
        <v xml:space="preserve"> </v>
      </c>
      <c r="BE154" s="938" t="str">
        <f t="shared" si="391"/>
        <v xml:space="preserve"> </v>
      </c>
      <c r="BF154" s="938" t="str">
        <f t="shared" si="392"/>
        <v xml:space="preserve"> </v>
      </c>
      <c r="BN154" s="938" t="str">
        <f t="shared" si="393"/>
        <v xml:space="preserve"> </v>
      </c>
      <c r="BO154" s="938" t="str">
        <f t="shared" si="394"/>
        <v xml:space="preserve"> </v>
      </c>
      <c r="BW154" s="938" t="str">
        <f t="shared" si="395"/>
        <v xml:space="preserve"> </v>
      </c>
      <c r="BX154" s="938" t="str">
        <f t="shared" si="396"/>
        <v xml:space="preserve"> </v>
      </c>
      <c r="CF154" s="938" t="str">
        <f t="shared" si="397"/>
        <v xml:space="preserve"> </v>
      </c>
      <c r="CG154" s="938" t="str">
        <f t="shared" si="398"/>
        <v xml:space="preserve"> </v>
      </c>
      <c r="CO154" s="938" t="str">
        <f t="shared" si="399"/>
        <v xml:space="preserve"> </v>
      </c>
      <c r="CP154" s="938" t="str">
        <f t="shared" si="400"/>
        <v xml:space="preserve"> </v>
      </c>
      <c r="CX154" s="938" t="str">
        <f t="shared" si="401"/>
        <v xml:space="preserve"> </v>
      </c>
      <c r="CY154" s="938" t="str">
        <f t="shared" si="402"/>
        <v xml:space="preserve"> </v>
      </c>
      <c r="DG154" s="938" t="str">
        <f t="shared" si="403"/>
        <v xml:space="preserve"> </v>
      </c>
      <c r="DH154" s="938" t="str">
        <f t="shared" si="404"/>
        <v xml:space="preserve"> </v>
      </c>
      <c r="DP154" s="938" t="str">
        <f t="shared" si="405"/>
        <v xml:space="preserve"> </v>
      </c>
      <c r="DQ154" s="938" t="str">
        <f t="shared" si="406"/>
        <v xml:space="preserve"> </v>
      </c>
      <c r="DY154" s="938" t="str">
        <f t="shared" si="407"/>
        <v xml:space="preserve"> </v>
      </c>
      <c r="DZ154" s="938" t="str">
        <f t="shared" si="408"/>
        <v xml:space="preserve"> </v>
      </c>
      <c r="EH154" s="938" t="str">
        <f t="shared" si="409"/>
        <v xml:space="preserve"> </v>
      </c>
      <c r="EI154" s="938" t="str">
        <f t="shared" si="410"/>
        <v xml:space="preserve"> </v>
      </c>
      <c r="EQ154" s="938" t="str">
        <f t="shared" si="411"/>
        <v xml:space="preserve"> </v>
      </c>
      <c r="ER154" s="938" t="str">
        <f t="shared" si="412"/>
        <v xml:space="preserve"> </v>
      </c>
      <c r="EZ154" s="938" t="str">
        <f t="shared" si="413"/>
        <v xml:space="preserve"> </v>
      </c>
      <c r="FA154" s="938" t="str">
        <f t="shared" si="414"/>
        <v xml:space="preserve"> </v>
      </c>
      <c r="FI154" s="938" t="str">
        <f t="shared" si="415"/>
        <v xml:space="preserve"> </v>
      </c>
      <c r="FJ154" s="938" t="str">
        <f t="shared" si="416"/>
        <v xml:space="preserve"> </v>
      </c>
      <c r="FR154" s="938" t="str">
        <f t="shared" si="417"/>
        <v xml:space="preserve"> </v>
      </c>
      <c r="FS154" s="938" t="str">
        <f t="shared" si="418"/>
        <v xml:space="preserve"> </v>
      </c>
      <c r="GA154" s="938" t="str">
        <f t="shared" si="419"/>
        <v xml:space="preserve"> </v>
      </c>
      <c r="GB154" s="938" t="str">
        <f t="shared" si="420"/>
        <v xml:space="preserve"> </v>
      </c>
      <c r="GJ154" s="938" t="str">
        <f t="shared" si="421"/>
        <v xml:space="preserve"> </v>
      </c>
      <c r="GK154" s="938" t="str">
        <f t="shared" si="422"/>
        <v xml:space="preserve"> </v>
      </c>
      <c r="GS154" s="938" t="str">
        <f t="shared" si="423"/>
        <v xml:space="preserve"> </v>
      </c>
      <c r="GT154" s="938" t="str">
        <f t="shared" si="424"/>
        <v xml:space="preserve"> </v>
      </c>
      <c r="HB154" s="938" t="str">
        <f t="shared" si="425"/>
        <v xml:space="preserve"> </v>
      </c>
      <c r="HC154" s="938" t="str">
        <f t="shared" si="426"/>
        <v xml:space="preserve"> </v>
      </c>
      <c r="HK154" s="938" t="str">
        <f t="shared" si="427"/>
        <v xml:space="preserve"> </v>
      </c>
      <c r="HL154" s="938" t="str">
        <f t="shared" si="428"/>
        <v xml:space="preserve"> </v>
      </c>
      <c r="HT154" s="938" t="str">
        <f t="shared" si="429"/>
        <v xml:space="preserve"> </v>
      </c>
      <c r="HU154" s="938" t="str">
        <f t="shared" si="430"/>
        <v xml:space="preserve"> </v>
      </c>
      <c r="IC154" s="938" t="str">
        <f t="shared" si="431"/>
        <v xml:space="preserve"> </v>
      </c>
      <c r="ID154" s="938" t="str">
        <f t="shared" si="432"/>
        <v xml:space="preserve"> </v>
      </c>
      <c r="IL154" s="938" t="str">
        <f t="shared" si="433"/>
        <v xml:space="preserve"> </v>
      </c>
      <c r="IM154" s="938" t="str">
        <f t="shared" si="434"/>
        <v xml:space="preserve"> </v>
      </c>
      <c r="IU154" s="938" t="str">
        <f t="shared" si="435"/>
        <v xml:space="preserve"> </v>
      </c>
      <c r="IV154" s="938" t="str">
        <f t="shared" si="436"/>
        <v xml:space="preserve"> </v>
      </c>
      <c r="JD154" s="938" t="str">
        <f t="shared" si="437"/>
        <v xml:space="preserve"> </v>
      </c>
      <c r="JE154" s="938" t="str">
        <f t="shared" si="438"/>
        <v xml:space="preserve"> </v>
      </c>
      <c r="JM154" s="938" t="str">
        <f t="shared" si="439"/>
        <v xml:space="preserve"> </v>
      </c>
      <c r="JN154" s="938" t="str">
        <f t="shared" si="440"/>
        <v xml:space="preserve"> </v>
      </c>
      <c r="JV154" s="938" t="str">
        <f t="shared" si="441"/>
        <v xml:space="preserve"> </v>
      </c>
      <c r="JW154" s="938" t="str">
        <f t="shared" si="442"/>
        <v xml:space="preserve"> </v>
      </c>
    </row>
    <row r="155" spans="11:283" x14ac:dyDescent="0.2">
      <c r="K155" s="938" t="str">
        <f t="shared" si="381"/>
        <v/>
      </c>
      <c r="L155" s="714">
        <f t="shared" si="382"/>
        <v>0</v>
      </c>
      <c r="M155" s="714">
        <v>2.9999999999999997E-4</v>
      </c>
      <c r="N155" s="714">
        <v>30</v>
      </c>
      <c r="O155" t="str">
        <v>KAS-S</v>
      </c>
      <c r="P155" s="714">
        <f t="shared" si="379"/>
        <v>0</v>
      </c>
      <c r="Q155" s="714">
        <f t="shared" si="380"/>
        <v>0</v>
      </c>
      <c r="U155" s="938" t="str">
        <f t="shared" si="383"/>
        <v xml:space="preserve"> </v>
      </c>
      <c r="V155" s="938" t="str">
        <f t="shared" si="384"/>
        <v xml:space="preserve"> </v>
      </c>
      <c r="AD155" s="938" t="str">
        <f t="shared" si="385"/>
        <v xml:space="preserve"> </v>
      </c>
      <c r="AE155" s="938" t="str">
        <f t="shared" si="386"/>
        <v xml:space="preserve"> </v>
      </c>
      <c r="AM155" s="938" t="str">
        <f t="shared" si="387"/>
        <v xml:space="preserve"> </v>
      </c>
      <c r="AN155" s="938" t="str">
        <f t="shared" si="388"/>
        <v xml:space="preserve"> </v>
      </c>
      <c r="AV155" s="938" t="str">
        <f t="shared" si="389"/>
        <v xml:space="preserve"> </v>
      </c>
      <c r="AW155" s="938" t="str">
        <f t="shared" si="390"/>
        <v xml:space="preserve"> </v>
      </c>
      <c r="BE155" s="938" t="str">
        <f t="shared" si="391"/>
        <v xml:space="preserve"> </v>
      </c>
      <c r="BF155" s="938" t="str">
        <f t="shared" si="392"/>
        <v xml:space="preserve"> </v>
      </c>
      <c r="BN155" s="938" t="str">
        <f t="shared" si="393"/>
        <v xml:space="preserve"> </v>
      </c>
      <c r="BO155" s="938" t="str">
        <f t="shared" si="394"/>
        <v xml:space="preserve"> </v>
      </c>
      <c r="BW155" s="938" t="str">
        <f t="shared" si="395"/>
        <v xml:space="preserve"> </v>
      </c>
      <c r="BX155" s="938" t="str">
        <f t="shared" si="396"/>
        <v xml:space="preserve"> </v>
      </c>
      <c r="CF155" s="938" t="str">
        <f t="shared" si="397"/>
        <v xml:space="preserve"> </v>
      </c>
      <c r="CG155" s="938" t="str">
        <f t="shared" si="398"/>
        <v xml:space="preserve"> </v>
      </c>
      <c r="CO155" s="938" t="str">
        <f t="shared" si="399"/>
        <v xml:space="preserve"> </v>
      </c>
      <c r="CP155" s="938" t="str">
        <f t="shared" si="400"/>
        <v xml:space="preserve"> </v>
      </c>
      <c r="CX155" s="938" t="str">
        <f t="shared" si="401"/>
        <v xml:space="preserve"> </v>
      </c>
      <c r="CY155" s="938" t="str">
        <f t="shared" si="402"/>
        <v xml:space="preserve"> </v>
      </c>
      <c r="DG155" s="938" t="str">
        <f t="shared" si="403"/>
        <v xml:space="preserve"> </v>
      </c>
      <c r="DH155" s="938" t="str">
        <f t="shared" si="404"/>
        <v xml:space="preserve"> </v>
      </c>
      <c r="DP155" s="938" t="str">
        <f t="shared" si="405"/>
        <v xml:space="preserve"> </v>
      </c>
      <c r="DQ155" s="938" t="str">
        <f t="shared" si="406"/>
        <v xml:space="preserve"> </v>
      </c>
      <c r="DY155" s="938" t="str">
        <f t="shared" si="407"/>
        <v xml:space="preserve"> </v>
      </c>
      <c r="DZ155" s="938" t="str">
        <f t="shared" si="408"/>
        <v xml:space="preserve"> </v>
      </c>
      <c r="EH155" s="938" t="str">
        <f t="shared" si="409"/>
        <v xml:space="preserve"> </v>
      </c>
      <c r="EI155" s="938" t="str">
        <f t="shared" si="410"/>
        <v xml:space="preserve"> </v>
      </c>
      <c r="EQ155" s="938" t="str">
        <f t="shared" si="411"/>
        <v xml:space="preserve"> </v>
      </c>
      <c r="ER155" s="938" t="str">
        <f t="shared" si="412"/>
        <v xml:space="preserve"> </v>
      </c>
      <c r="EZ155" s="938" t="str">
        <f t="shared" si="413"/>
        <v xml:space="preserve"> </v>
      </c>
      <c r="FA155" s="938" t="str">
        <f t="shared" si="414"/>
        <v xml:space="preserve"> </v>
      </c>
      <c r="FI155" s="938" t="str">
        <f t="shared" si="415"/>
        <v xml:space="preserve"> </v>
      </c>
      <c r="FJ155" s="938" t="str">
        <f t="shared" si="416"/>
        <v xml:space="preserve"> </v>
      </c>
      <c r="FR155" s="938" t="str">
        <f t="shared" si="417"/>
        <v xml:space="preserve"> </v>
      </c>
      <c r="FS155" s="938" t="str">
        <f t="shared" si="418"/>
        <v xml:space="preserve"> </v>
      </c>
      <c r="GA155" s="938" t="str">
        <f t="shared" si="419"/>
        <v xml:space="preserve"> </v>
      </c>
      <c r="GB155" s="938" t="str">
        <f t="shared" si="420"/>
        <v xml:space="preserve"> </v>
      </c>
      <c r="GJ155" s="938" t="str">
        <f t="shared" si="421"/>
        <v xml:space="preserve"> </v>
      </c>
      <c r="GK155" s="938" t="str">
        <f t="shared" si="422"/>
        <v xml:space="preserve"> </v>
      </c>
      <c r="GS155" s="938" t="str">
        <f t="shared" si="423"/>
        <v xml:space="preserve"> </v>
      </c>
      <c r="GT155" s="938" t="str">
        <f t="shared" si="424"/>
        <v xml:space="preserve"> </v>
      </c>
      <c r="HB155" s="938" t="str">
        <f t="shared" si="425"/>
        <v xml:space="preserve"> </v>
      </c>
      <c r="HC155" s="938" t="str">
        <f t="shared" si="426"/>
        <v xml:space="preserve"> </v>
      </c>
      <c r="HK155" s="938" t="str">
        <f t="shared" si="427"/>
        <v xml:space="preserve"> </v>
      </c>
      <c r="HL155" s="938" t="str">
        <f t="shared" si="428"/>
        <v xml:space="preserve"> </v>
      </c>
      <c r="HT155" s="938" t="str">
        <f t="shared" si="429"/>
        <v xml:space="preserve"> </v>
      </c>
      <c r="HU155" s="938" t="str">
        <f t="shared" si="430"/>
        <v xml:space="preserve"> </v>
      </c>
      <c r="IC155" s="938" t="str">
        <f t="shared" si="431"/>
        <v xml:space="preserve"> </v>
      </c>
      <c r="ID155" s="938" t="str">
        <f t="shared" si="432"/>
        <v xml:space="preserve"> </v>
      </c>
      <c r="IL155" s="938" t="str">
        <f t="shared" si="433"/>
        <v xml:space="preserve"> </v>
      </c>
      <c r="IM155" s="938" t="str">
        <f t="shared" si="434"/>
        <v xml:space="preserve"> </v>
      </c>
      <c r="IU155" s="938" t="str">
        <f t="shared" si="435"/>
        <v xml:space="preserve"> </v>
      </c>
      <c r="IV155" s="938" t="str">
        <f t="shared" si="436"/>
        <v xml:space="preserve"> </v>
      </c>
      <c r="JD155" s="938" t="str">
        <f t="shared" si="437"/>
        <v xml:space="preserve"> </v>
      </c>
      <c r="JE155" s="938" t="str">
        <f t="shared" si="438"/>
        <v xml:space="preserve"> </v>
      </c>
      <c r="JM155" s="938" t="str">
        <f t="shared" si="439"/>
        <v xml:space="preserve"> </v>
      </c>
      <c r="JN155" s="938" t="str">
        <f t="shared" si="440"/>
        <v xml:space="preserve"> </v>
      </c>
      <c r="JV155" s="938" t="str">
        <f t="shared" si="441"/>
        <v xml:space="preserve"> </v>
      </c>
      <c r="JW155" s="938" t="str">
        <f t="shared" si="442"/>
        <v xml:space="preserve"> </v>
      </c>
    </row>
    <row r="156" spans="11:283" x14ac:dyDescent="0.2">
      <c r="K156" s="938" t="str">
        <f t="shared" si="381"/>
        <v/>
      </c>
      <c r="L156" s="714">
        <f t="shared" si="382"/>
        <v>0</v>
      </c>
      <c r="M156" s="714">
        <v>3.1E-4</v>
      </c>
      <c r="N156" s="714">
        <v>31</v>
      </c>
      <c r="O156" t="str">
        <v>PERLKA</v>
      </c>
      <c r="P156" s="714">
        <f t="shared" si="379"/>
        <v>0</v>
      </c>
      <c r="Q156" s="714">
        <f t="shared" si="380"/>
        <v>0</v>
      </c>
      <c r="U156" s="938" t="str">
        <f t="shared" si="383"/>
        <v xml:space="preserve"> </v>
      </c>
      <c r="V156" s="938" t="str">
        <f t="shared" si="384"/>
        <v xml:space="preserve"> </v>
      </c>
      <c r="AD156" s="938" t="str">
        <f t="shared" si="385"/>
        <v xml:space="preserve"> </v>
      </c>
      <c r="AE156" s="938" t="str">
        <f t="shared" si="386"/>
        <v xml:space="preserve"> </v>
      </c>
      <c r="AM156" s="938" t="str">
        <f t="shared" si="387"/>
        <v xml:space="preserve"> </v>
      </c>
      <c r="AN156" s="938" t="str">
        <f t="shared" si="388"/>
        <v xml:space="preserve"> </v>
      </c>
      <c r="AV156" s="938" t="str">
        <f t="shared" si="389"/>
        <v xml:space="preserve"> </v>
      </c>
      <c r="AW156" s="938" t="str">
        <f t="shared" si="390"/>
        <v xml:space="preserve"> </v>
      </c>
      <c r="BE156" s="938" t="str">
        <f t="shared" si="391"/>
        <v xml:space="preserve"> </v>
      </c>
      <c r="BF156" s="938" t="str">
        <f t="shared" si="392"/>
        <v xml:space="preserve"> </v>
      </c>
      <c r="BN156" s="938" t="str">
        <f t="shared" si="393"/>
        <v xml:space="preserve"> </v>
      </c>
      <c r="BO156" s="938" t="str">
        <f t="shared" si="394"/>
        <v xml:space="preserve"> </v>
      </c>
      <c r="BW156" s="938" t="str">
        <f t="shared" si="395"/>
        <v xml:space="preserve"> </v>
      </c>
      <c r="BX156" s="938" t="str">
        <f t="shared" si="396"/>
        <v xml:space="preserve"> </v>
      </c>
      <c r="CF156" s="938" t="str">
        <f t="shared" si="397"/>
        <v xml:space="preserve"> </v>
      </c>
      <c r="CG156" s="938" t="str">
        <f t="shared" si="398"/>
        <v xml:space="preserve"> </v>
      </c>
      <c r="CO156" s="938" t="str">
        <f t="shared" si="399"/>
        <v xml:space="preserve"> </v>
      </c>
      <c r="CP156" s="938" t="str">
        <f t="shared" si="400"/>
        <v xml:space="preserve"> </v>
      </c>
      <c r="CX156" s="938" t="str">
        <f t="shared" si="401"/>
        <v xml:space="preserve"> </v>
      </c>
      <c r="CY156" s="938" t="str">
        <f t="shared" si="402"/>
        <v xml:space="preserve"> </v>
      </c>
      <c r="DG156" s="938" t="str">
        <f t="shared" si="403"/>
        <v xml:space="preserve"> </v>
      </c>
      <c r="DH156" s="938" t="str">
        <f t="shared" si="404"/>
        <v xml:space="preserve"> </v>
      </c>
      <c r="DP156" s="938" t="str">
        <f t="shared" si="405"/>
        <v xml:space="preserve"> </v>
      </c>
      <c r="DQ156" s="938" t="str">
        <f t="shared" si="406"/>
        <v xml:space="preserve"> </v>
      </c>
      <c r="DY156" s="938" t="str">
        <f t="shared" si="407"/>
        <v xml:space="preserve"> </v>
      </c>
      <c r="DZ156" s="938" t="str">
        <f t="shared" si="408"/>
        <v xml:space="preserve"> </v>
      </c>
      <c r="EH156" s="938" t="str">
        <f t="shared" si="409"/>
        <v xml:space="preserve"> </v>
      </c>
      <c r="EI156" s="938" t="str">
        <f t="shared" si="410"/>
        <v xml:space="preserve"> </v>
      </c>
      <c r="EQ156" s="938" t="str">
        <f t="shared" si="411"/>
        <v xml:space="preserve"> </v>
      </c>
      <c r="ER156" s="938" t="str">
        <f t="shared" si="412"/>
        <v xml:space="preserve"> </v>
      </c>
      <c r="EZ156" s="938" t="str">
        <f t="shared" si="413"/>
        <v xml:space="preserve"> </v>
      </c>
      <c r="FA156" s="938" t="str">
        <f t="shared" si="414"/>
        <v xml:space="preserve"> </v>
      </c>
      <c r="FI156" s="938" t="str">
        <f t="shared" si="415"/>
        <v xml:space="preserve"> </v>
      </c>
      <c r="FJ156" s="938" t="str">
        <f t="shared" si="416"/>
        <v xml:space="preserve"> </v>
      </c>
      <c r="FR156" s="938" t="str">
        <f t="shared" si="417"/>
        <v xml:space="preserve"> </v>
      </c>
      <c r="FS156" s="938" t="str">
        <f t="shared" si="418"/>
        <v xml:space="preserve"> </v>
      </c>
      <c r="GA156" s="938" t="str">
        <f t="shared" si="419"/>
        <v xml:space="preserve"> </v>
      </c>
      <c r="GB156" s="938" t="str">
        <f t="shared" si="420"/>
        <v xml:space="preserve"> </v>
      </c>
      <c r="GJ156" s="938" t="str">
        <f t="shared" si="421"/>
        <v xml:space="preserve"> </v>
      </c>
      <c r="GK156" s="938" t="str">
        <f t="shared" si="422"/>
        <v xml:space="preserve"> </v>
      </c>
      <c r="GS156" s="938" t="str">
        <f t="shared" si="423"/>
        <v xml:space="preserve"> </v>
      </c>
      <c r="GT156" s="938" t="str">
        <f t="shared" si="424"/>
        <v xml:space="preserve"> </v>
      </c>
      <c r="HB156" s="938" t="str">
        <f t="shared" si="425"/>
        <v xml:space="preserve"> </v>
      </c>
      <c r="HC156" s="938" t="str">
        <f t="shared" si="426"/>
        <v xml:space="preserve"> </v>
      </c>
      <c r="HK156" s="938" t="str">
        <f t="shared" si="427"/>
        <v xml:space="preserve"> </v>
      </c>
      <c r="HL156" s="938" t="str">
        <f t="shared" si="428"/>
        <v xml:space="preserve"> </v>
      </c>
      <c r="HT156" s="938" t="str">
        <f t="shared" si="429"/>
        <v xml:space="preserve"> </v>
      </c>
      <c r="HU156" s="938" t="str">
        <f t="shared" si="430"/>
        <v xml:space="preserve"> </v>
      </c>
      <c r="IC156" s="938" t="str">
        <f t="shared" si="431"/>
        <v xml:space="preserve"> </v>
      </c>
      <c r="ID156" s="938" t="str">
        <f t="shared" si="432"/>
        <v xml:space="preserve"> </v>
      </c>
      <c r="IL156" s="938" t="str">
        <f t="shared" si="433"/>
        <v xml:space="preserve"> </v>
      </c>
      <c r="IM156" s="938" t="str">
        <f t="shared" si="434"/>
        <v xml:space="preserve"> </v>
      </c>
      <c r="IU156" s="938" t="str">
        <f t="shared" si="435"/>
        <v xml:space="preserve"> </v>
      </c>
      <c r="IV156" s="938" t="str">
        <f t="shared" si="436"/>
        <v xml:space="preserve"> </v>
      </c>
      <c r="JD156" s="938" t="str">
        <f t="shared" si="437"/>
        <v xml:space="preserve"> </v>
      </c>
      <c r="JE156" s="938" t="str">
        <f t="shared" si="438"/>
        <v xml:space="preserve"> </v>
      </c>
      <c r="JM156" s="938" t="str">
        <f t="shared" si="439"/>
        <v xml:space="preserve"> </v>
      </c>
      <c r="JN156" s="938" t="str">
        <f t="shared" si="440"/>
        <v xml:space="preserve"> </v>
      </c>
      <c r="JV156" s="938" t="str">
        <f t="shared" si="441"/>
        <v xml:space="preserve"> </v>
      </c>
      <c r="JW156" s="938" t="str">
        <f t="shared" si="442"/>
        <v xml:space="preserve"> </v>
      </c>
    </row>
    <row r="157" spans="11:283" x14ac:dyDescent="0.2">
      <c r="K157" s="938" t="str">
        <f t="shared" si="381"/>
        <v/>
      </c>
      <c r="L157" s="714">
        <f t="shared" si="382"/>
        <v>0</v>
      </c>
      <c r="M157" s="714">
        <v>3.2000000000000003E-4</v>
      </c>
      <c r="N157" s="714">
        <v>32</v>
      </c>
      <c r="O157" t="str">
        <v>KIESERIT-G</v>
      </c>
      <c r="P157" s="714">
        <f t="shared" si="379"/>
        <v>0</v>
      </c>
      <c r="Q157" s="714">
        <f t="shared" si="380"/>
        <v>0</v>
      </c>
      <c r="U157" s="938" t="str">
        <f t="shared" si="383"/>
        <v xml:space="preserve"> </v>
      </c>
      <c r="V157" s="938" t="str">
        <f t="shared" si="384"/>
        <v xml:space="preserve"> </v>
      </c>
      <c r="AD157" s="938" t="str">
        <f t="shared" si="385"/>
        <v xml:space="preserve"> </v>
      </c>
      <c r="AE157" s="938" t="str">
        <f t="shared" si="386"/>
        <v xml:space="preserve"> </v>
      </c>
      <c r="AM157" s="938" t="str">
        <f t="shared" si="387"/>
        <v xml:space="preserve"> </v>
      </c>
      <c r="AN157" s="938" t="str">
        <f t="shared" si="388"/>
        <v xml:space="preserve"> </v>
      </c>
      <c r="AV157" s="938" t="str">
        <f t="shared" si="389"/>
        <v xml:space="preserve"> </v>
      </c>
      <c r="AW157" s="938" t="str">
        <f t="shared" si="390"/>
        <v xml:space="preserve"> </v>
      </c>
      <c r="BE157" s="938" t="str">
        <f t="shared" si="391"/>
        <v xml:space="preserve"> </v>
      </c>
      <c r="BF157" s="938" t="str">
        <f t="shared" si="392"/>
        <v xml:space="preserve"> </v>
      </c>
      <c r="BN157" s="938" t="str">
        <f t="shared" si="393"/>
        <v xml:space="preserve"> </v>
      </c>
      <c r="BO157" s="938" t="str">
        <f t="shared" si="394"/>
        <v xml:space="preserve"> </v>
      </c>
      <c r="BW157" s="938" t="str">
        <f t="shared" si="395"/>
        <v xml:space="preserve"> </v>
      </c>
      <c r="BX157" s="938" t="str">
        <f t="shared" si="396"/>
        <v xml:space="preserve"> </v>
      </c>
      <c r="CF157" s="938" t="str">
        <f t="shared" si="397"/>
        <v xml:space="preserve"> </v>
      </c>
      <c r="CG157" s="938" t="str">
        <f t="shared" si="398"/>
        <v xml:space="preserve"> </v>
      </c>
      <c r="CO157" s="938" t="str">
        <f t="shared" si="399"/>
        <v xml:space="preserve"> </v>
      </c>
      <c r="CP157" s="938" t="str">
        <f t="shared" si="400"/>
        <v xml:space="preserve"> </v>
      </c>
      <c r="CX157" s="938" t="str">
        <f t="shared" si="401"/>
        <v xml:space="preserve"> </v>
      </c>
      <c r="CY157" s="938" t="str">
        <f t="shared" si="402"/>
        <v xml:space="preserve"> </v>
      </c>
      <c r="DG157" s="938" t="str">
        <f t="shared" si="403"/>
        <v xml:space="preserve"> </v>
      </c>
      <c r="DH157" s="938" t="str">
        <f t="shared" si="404"/>
        <v xml:space="preserve"> </v>
      </c>
      <c r="DP157" s="938" t="str">
        <f t="shared" si="405"/>
        <v xml:space="preserve"> </v>
      </c>
      <c r="DQ157" s="938" t="str">
        <f t="shared" si="406"/>
        <v xml:space="preserve"> </v>
      </c>
      <c r="DY157" s="938" t="str">
        <f t="shared" si="407"/>
        <v xml:space="preserve"> </v>
      </c>
      <c r="DZ157" s="938" t="str">
        <f t="shared" si="408"/>
        <v xml:space="preserve"> </v>
      </c>
      <c r="EH157" s="938" t="str">
        <f t="shared" si="409"/>
        <v xml:space="preserve"> </v>
      </c>
      <c r="EI157" s="938" t="str">
        <f t="shared" si="410"/>
        <v xml:space="preserve"> </v>
      </c>
      <c r="EQ157" s="938" t="str">
        <f t="shared" si="411"/>
        <v xml:space="preserve"> </v>
      </c>
      <c r="ER157" s="938" t="str">
        <f t="shared" si="412"/>
        <v xml:space="preserve"> </v>
      </c>
      <c r="EZ157" s="938" t="str">
        <f t="shared" si="413"/>
        <v xml:space="preserve"> </v>
      </c>
      <c r="FA157" s="938" t="str">
        <f t="shared" si="414"/>
        <v xml:space="preserve"> </v>
      </c>
      <c r="FI157" s="938" t="str">
        <f t="shared" si="415"/>
        <v xml:space="preserve"> </v>
      </c>
      <c r="FJ157" s="938" t="str">
        <f t="shared" si="416"/>
        <v xml:space="preserve"> </v>
      </c>
      <c r="FR157" s="938" t="str">
        <f t="shared" si="417"/>
        <v xml:space="preserve"> </v>
      </c>
      <c r="FS157" s="938" t="str">
        <f t="shared" si="418"/>
        <v xml:space="preserve"> </v>
      </c>
      <c r="GA157" s="938" t="str">
        <f t="shared" si="419"/>
        <v xml:space="preserve"> </v>
      </c>
      <c r="GB157" s="938" t="str">
        <f t="shared" si="420"/>
        <v xml:space="preserve"> </v>
      </c>
      <c r="GJ157" s="938" t="str">
        <f t="shared" si="421"/>
        <v xml:space="preserve"> </v>
      </c>
      <c r="GK157" s="938" t="str">
        <f t="shared" si="422"/>
        <v xml:space="preserve"> </v>
      </c>
      <c r="GS157" s="938" t="str">
        <f t="shared" si="423"/>
        <v xml:space="preserve"> </v>
      </c>
      <c r="GT157" s="938" t="str">
        <f t="shared" si="424"/>
        <v xml:space="preserve"> </v>
      </c>
      <c r="HB157" s="938" t="str">
        <f t="shared" si="425"/>
        <v xml:space="preserve"> </v>
      </c>
      <c r="HC157" s="938" t="str">
        <f t="shared" si="426"/>
        <v xml:space="preserve"> </v>
      </c>
      <c r="HK157" s="938" t="str">
        <f t="shared" si="427"/>
        <v xml:space="preserve"> </v>
      </c>
      <c r="HL157" s="938" t="str">
        <f t="shared" si="428"/>
        <v xml:space="preserve"> </v>
      </c>
      <c r="HT157" s="938" t="str">
        <f t="shared" si="429"/>
        <v xml:space="preserve"> </v>
      </c>
      <c r="HU157" s="938" t="str">
        <f t="shared" si="430"/>
        <v xml:space="preserve"> </v>
      </c>
      <c r="IC157" s="938" t="str">
        <f t="shared" si="431"/>
        <v xml:space="preserve"> </v>
      </c>
      <c r="ID157" s="938" t="str">
        <f t="shared" si="432"/>
        <v xml:space="preserve"> </v>
      </c>
      <c r="IL157" s="938" t="str">
        <f t="shared" si="433"/>
        <v xml:space="preserve"> </v>
      </c>
      <c r="IM157" s="938" t="str">
        <f t="shared" si="434"/>
        <v xml:space="preserve"> </v>
      </c>
      <c r="IU157" s="938" t="str">
        <f t="shared" si="435"/>
        <v xml:space="preserve"> </v>
      </c>
      <c r="IV157" s="938" t="str">
        <f t="shared" si="436"/>
        <v xml:space="preserve"> </v>
      </c>
      <c r="JD157" s="938" t="str">
        <f t="shared" si="437"/>
        <v xml:space="preserve"> </v>
      </c>
      <c r="JE157" s="938" t="str">
        <f t="shared" si="438"/>
        <v xml:space="preserve"> </v>
      </c>
      <c r="JM157" s="938" t="str">
        <f t="shared" si="439"/>
        <v xml:space="preserve"> </v>
      </c>
      <c r="JN157" s="938" t="str">
        <f t="shared" si="440"/>
        <v xml:space="preserve"> </v>
      </c>
      <c r="JV157" s="938" t="str">
        <f t="shared" si="441"/>
        <v xml:space="preserve"> </v>
      </c>
      <c r="JW157" s="938" t="str">
        <f t="shared" si="442"/>
        <v xml:space="preserve"> </v>
      </c>
    </row>
    <row r="158" spans="11:283" x14ac:dyDescent="0.2">
      <c r="K158" s="938" t="str">
        <f t="shared" si="381"/>
        <v/>
      </c>
      <c r="L158" s="714">
        <f t="shared" si="382"/>
        <v>0</v>
      </c>
      <c r="M158" s="714">
        <v>3.3E-4</v>
      </c>
      <c r="N158" s="714">
        <v>33</v>
      </c>
      <c r="O158" t="str">
        <v>KORN-KALI</v>
      </c>
      <c r="P158" s="714">
        <f t="shared" ref="P158:P193" si="443">SUMIF($T$125:$XFD$125,"ges",T158:XFD158)</f>
        <v>0</v>
      </c>
      <c r="Q158" s="714">
        <f t="shared" ref="Q158:Q194" si="444">SUMIF($T$125:$XFD$125,"rot",T158:XFD158)</f>
        <v>0</v>
      </c>
      <c r="U158" s="938" t="str">
        <f t="shared" si="383"/>
        <v xml:space="preserve"> </v>
      </c>
      <c r="V158" s="938" t="str">
        <f t="shared" si="384"/>
        <v xml:space="preserve"> </v>
      </c>
      <c r="AD158" s="938" t="str">
        <f t="shared" si="385"/>
        <v xml:space="preserve"> </v>
      </c>
      <c r="AE158" s="938" t="str">
        <f t="shared" si="386"/>
        <v xml:space="preserve"> </v>
      </c>
      <c r="AM158" s="938" t="str">
        <f t="shared" si="387"/>
        <v xml:space="preserve"> </v>
      </c>
      <c r="AN158" s="938" t="str">
        <f t="shared" si="388"/>
        <v xml:space="preserve"> </v>
      </c>
      <c r="AV158" s="938" t="str">
        <f t="shared" si="389"/>
        <v xml:space="preserve"> </v>
      </c>
      <c r="AW158" s="938" t="str">
        <f t="shared" si="390"/>
        <v xml:space="preserve"> </v>
      </c>
      <c r="BE158" s="938" t="str">
        <f t="shared" si="391"/>
        <v xml:space="preserve"> </v>
      </c>
      <c r="BF158" s="938" t="str">
        <f t="shared" si="392"/>
        <v xml:space="preserve"> </v>
      </c>
      <c r="BN158" s="938" t="str">
        <f t="shared" si="393"/>
        <v xml:space="preserve"> </v>
      </c>
      <c r="BO158" s="938" t="str">
        <f t="shared" si="394"/>
        <v xml:space="preserve"> </v>
      </c>
      <c r="BW158" s="938" t="str">
        <f t="shared" si="395"/>
        <v xml:space="preserve"> </v>
      </c>
      <c r="BX158" s="938" t="str">
        <f t="shared" si="396"/>
        <v xml:space="preserve"> </v>
      </c>
      <c r="CF158" s="938" t="str">
        <f t="shared" si="397"/>
        <v xml:space="preserve"> </v>
      </c>
      <c r="CG158" s="938" t="str">
        <f t="shared" si="398"/>
        <v xml:space="preserve"> </v>
      </c>
      <c r="CO158" s="938" t="str">
        <f t="shared" si="399"/>
        <v xml:space="preserve"> </v>
      </c>
      <c r="CP158" s="938" t="str">
        <f t="shared" si="400"/>
        <v xml:space="preserve"> </v>
      </c>
      <c r="CX158" s="938" t="str">
        <f t="shared" si="401"/>
        <v xml:space="preserve"> </v>
      </c>
      <c r="CY158" s="938" t="str">
        <f t="shared" si="402"/>
        <v xml:space="preserve"> </v>
      </c>
      <c r="DG158" s="938" t="str">
        <f t="shared" si="403"/>
        <v xml:space="preserve"> </v>
      </c>
      <c r="DH158" s="938" t="str">
        <f t="shared" si="404"/>
        <v xml:space="preserve"> </v>
      </c>
      <c r="DP158" s="938" t="str">
        <f t="shared" si="405"/>
        <v xml:space="preserve"> </v>
      </c>
      <c r="DQ158" s="938" t="str">
        <f t="shared" si="406"/>
        <v xml:space="preserve"> </v>
      </c>
      <c r="DY158" s="938" t="str">
        <f t="shared" si="407"/>
        <v xml:space="preserve"> </v>
      </c>
      <c r="DZ158" s="938" t="str">
        <f t="shared" si="408"/>
        <v xml:space="preserve"> </v>
      </c>
      <c r="EH158" s="938" t="str">
        <f t="shared" si="409"/>
        <v xml:space="preserve"> </v>
      </c>
      <c r="EI158" s="938" t="str">
        <f t="shared" si="410"/>
        <v xml:space="preserve"> </v>
      </c>
      <c r="EQ158" s="938" t="str">
        <f t="shared" si="411"/>
        <v xml:space="preserve"> </v>
      </c>
      <c r="ER158" s="938" t="str">
        <f t="shared" si="412"/>
        <v xml:space="preserve"> </v>
      </c>
      <c r="EZ158" s="938" t="str">
        <f t="shared" si="413"/>
        <v xml:space="preserve"> </v>
      </c>
      <c r="FA158" s="938" t="str">
        <f t="shared" si="414"/>
        <v xml:space="preserve"> </v>
      </c>
      <c r="FI158" s="938" t="str">
        <f t="shared" si="415"/>
        <v xml:space="preserve"> </v>
      </c>
      <c r="FJ158" s="938" t="str">
        <f t="shared" si="416"/>
        <v xml:space="preserve"> </v>
      </c>
      <c r="FR158" s="938" t="str">
        <f t="shared" si="417"/>
        <v xml:space="preserve"> </v>
      </c>
      <c r="FS158" s="938" t="str">
        <f t="shared" si="418"/>
        <v xml:space="preserve"> </v>
      </c>
      <c r="GA158" s="938" t="str">
        <f t="shared" si="419"/>
        <v xml:space="preserve"> </v>
      </c>
      <c r="GB158" s="938" t="str">
        <f t="shared" si="420"/>
        <v xml:space="preserve"> </v>
      </c>
      <c r="GJ158" s="938" t="str">
        <f t="shared" si="421"/>
        <v xml:space="preserve"> </v>
      </c>
      <c r="GK158" s="938" t="str">
        <f t="shared" si="422"/>
        <v xml:space="preserve"> </v>
      </c>
      <c r="GS158" s="938" t="str">
        <f t="shared" si="423"/>
        <v xml:space="preserve"> </v>
      </c>
      <c r="GT158" s="938" t="str">
        <f t="shared" si="424"/>
        <v xml:space="preserve"> </v>
      </c>
      <c r="HB158" s="938" t="str">
        <f t="shared" si="425"/>
        <v xml:space="preserve"> </v>
      </c>
      <c r="HC158" s="938" t="str">
        <f t="shared" si="426"/>
        <v xml:space="preserve"> </v>
      </c>
      <c r="HK158" s="938" t="str">
        <f t="shared" si="427"/>
        <v xml:space="preserve"> </v>
      </c>
      <c r="HL158" s="938" t="str">
        <f t="shared" si="428"/>
        <v xml:space="preserve"> </v>
      </c>
      <c r="HT158" s="938" t="str">
        <f t="shared" si="429"/>
        <v xml:space="preserve"> </v>
      </c>
      <c r="HU158" s="938" t="str">
        <f t="shared" si="430"/>
        <v xml:space="preserve"> </v>
      </c>
      <c r="IC158" s="938" t="str">
        <f t="shared" si="431"/>
        <v xml:space="preserve"> </v>
      </c>
      <c r="ID158" s="938" t="str">
        <f t="shared" si="432"/>
        <v xml:space="preserve"> </v>
      </c>
      <c r="IL158" s="938" t="str">
        <f t="shared" si="433"/>
        <v xml:space="preserve"> </v>
      </c>
      <c r="IM158" s="938" t="str">
        <f t="shared" si="434"/>
        <v xml:space="preserve"> </v>
      </c>
      <c r="IU158" s="938" t="str">
        <f t="shared" si="435"/>
        <v xml:space="preserve"> </v>
      </c>
      <c r="IV158" s="938" t="str">
        <f t="shared" si="436"/>
        <v xml:space="preserve"> </v>
      </c>
      <c r="JD158" s="938" t="str">
        <f t="shared" si="437"/>
        <v xml:space="preserve"> </v>
      </c>
      <c r="JE158" s="938" t="str">
        <f t="shared" si="438"/>
        <v xml:space="preserve"> </v>
      </c>
      <c r="JM158" s="938" t="str">
        <f t="shared" si="439"/>
        <v xml:space="preserve"> </v>
      </c>
      <c r="JN158" s="938" t="str">
        <f t="shared" si="440"/>
        <v xml:space="preserve"> </v>
      </c>
      <c r="JV158" s="938" t="str">
        <f t="shared" si="441"/>
        <v xml:space="preserve"> </v>
      </c>
      <c r="JW158" s="938" t="str">
        <f t="shared" si="442"/>
        <v xml:space="preserve"> </v>
      </c>
    </row>
    <row r="159" spans="11:283" x14ac:dyDescent="0.2">
      <c r="K159" s="938" t="str">
        <f t="shared" si="381"/>
        <v/>
      </c>
      <c r="L159" s="714">
        <f t="shared" si="382"/>
        <v>0</v>
      </c>
      <c r="M159" s="714">
        <v>3.4000000000000002E-4</v>
      </c>
      <c r="N159" s="714">
        <v>34</v>
      </c>
      <c r="O159" t="str">
        <v>LAT-12-12-17</v>
      </c>
      <c r="P159" s="714">
        <f t="shared" si="443"/>
        <v>0</v>
      </c>
      <c r="Q159" s="714">
        <f t="shared" si="444"/>
        <v>0</v>
      </c>
      <c r="U159" s="938" t="str">
        <f t="shared" si="383"/>
        <v xml:space="preserve"> </v>
      </c>
      <c r="V159" s="938" t="str">
        <f t="shared" si="384"/>
        <v xml:space="preserve"> </v>
      </c>
      <c r="AD159" s="938" t="str">
        <f t="shared" si="385"/>
        <v xml:space="preserve"> </v>
      </c>
      <c r="AE159" s="938" t="str">
        <f t="shared" si="386"/>
        <v xml:space="preserve"> </v>
      </c>
      <c r="AM159" s="938" t="str">
        <f t="shared" si="387"/>
        <v xml:space="preserve"> </v>
      </c>
      <c r="AN159" s="938" t="str">
        <f t="shared" si="388"/>
        <v xml:space="preserve"> </v>
      </c>
      <c r="AV159" s="938" t="str">
        <f t="shared" si="389"/>
        <v xml:space="preserve"> </v>
      </c>
      <c r="AW159" s="938" t="str">
        <f t="shared" si="390"/>
        <v xml:space="preserve"> </v>
      </c>
      <c r="BE159" s="938" t="str">
        <f t="shared" si="391"/>
        <v xml:space="preserve"> </v>
      </c>
      <c r="BF159" s="938" t="str">
        <f t="shared" si="392"/>
        <v xml:space="preserve"> </v>
      </c>
      <c r="BN159" s="938" t="str">
        <f t="shared" si="393"/>
        <v xml:space="preserve"> </v>
      </c>
      <c r="BO159" s="938" t="str">
        <f t="shared" si="394"/>
        <v xml:space="preserve"> </v>
      </c>
      <c r="BW159" s="938" t="str">
        <f t="shared" si="395"/>
        <v xml:space="preserve"> </v>
      </c>
      <c r="BX159" s="938" t="str">
        <f t="shared" si="396"/>
        <v xml:space="preserve"> </v>
      </c>
      <c r="CF159" s="938" t="str">
        <f t="shared" si="397"/>
        <v xml:space="preserve"> </v>
      </c>
      <c r="CG159" s="938" t="str">
        <f t="shared" si="398"/>
        <v xml:space="preserve"> </v>
      </c>
      <c r="CO159" s="938" t="str">
        <f t="shared" si="399"/>
        <v xml:space="preserve"> </v>
      </c>
      <c r="CP159" s="938" t="str">
        <f t="shared" si="400"/>
        <v xml:space="preserve"> </v>
      </c>
      <c r="CX159" s="938" t="str">
        <f t="shared" si="401"/>
        <v xml:space="preserve"> </v>
      </c>
      <c r="CY159" s="938" t="str">
        <f t="shared" si="402"/>
        <v xml:space="preserve"> </v>
      </c>
      <c r="DG159" s="938" t="str">
        <f t="shared" si="403"/>
        <v xml:space="preserve"> </v>
      </c>
      <c r="DH159" s="938" t="str">
        <f t="shared" si="404"/>
        <v xml:space="preserve"> </v>
      </c>
      <c r="DP159" s="938" t="str">
        <f t="shared" si="405"/>
        <v xml:space="preserve"> </v>
      </c>
      <c r="DQ159" s="938" t="str">
        <f t="shared" si="406"/>
        <v xml:space="preserve"> </v>
      </c>
      <c r="DY159" s="938" t="str">
        <f t="shared" si="407"/>
        <v xml:space="preserve"> </v>
      </c>
      <c r="DZ159" s="938" t="str">
        <f t="shared" si="408"/>
        <v xml:space="preserve"> </v>
      </c>
      <c r="EH159" s="938" t="str">
        <f t="shared" si="409"/>
        <v xml:space="preserve"> </v>
      </c>
      <c r="EI159" s="938" t="str">
        <f t="shared" si="410"/>
        <v xml:space="preserve"> </v>
      </c>
      <c r="EQ159" s="938" t="str">
        <f t="shared" si="411"/>
        <v xml:space="preserve"> </v>
      </c>
      <c r="ER159" s="938" t="str">
        <f t="shared" si="412"/>
        <v xml:space="preserve"> </v>
      </c>
      <c r="EZ159" s="938" t="str">
        <f t="shared" si="413"/>
        <v xml:space="preserve"> </v>
      </c>
      <c r="FA159" s="938" t="str">
        <f t="shared" si="414"/>
        <v xml:space="preserve"> </v>
      </c>
      <c r="FI159" s="938" t="str">
        <f t="shared" si="415"/>
        <v xml:space="preserve"> </v>
      </c>
      <c r="FJ159" s="938" t="str">
        <f t="shared" si="416"/>
        <v xml:space="preserve"> </v>
      </c>
      <c r="FR159" s="938" t="str">
        <f t="shared" si="417"/>
        <v xml:space="preserve"> </v>
      </c>
      <c r="FS159" s="938" t="str">
        <f t="shared" si="418"/>
        <v xml:space="preserve"> </v>
      </c>
      <c r="GA159" s="938" t="str">
        <f t="shared" si="419"/>
        <v xml:space="preserve"> </v>
      </c>
      <c r="GB159" s="938" t="str">
        <f t="shared" si="420"/>
        <v xml:space="preserve"> </v>
      </c>
      <c r="GJ159" s="938" t="str">
        <f t="shared" si="421"/>
        <v xml:space="preserve"> </v>
      </c>
      <c r="GK159" s="938" t="str">
        <f t="shared" si="422"/>
        <v xml:space="preserve"> </v>
      </c>
      <c r="GS159" s="938" t="str">
        <f t="shared" si="423"/>
        <v xml:space="preserve"> </v>
      </c>
      <c r="GT159" s="938" t="str">
        <f t="shared" si="424"/>
        <v xml:space="preserve"> </v>
      </c>
      <c r="HB159" s="938" t="str">
        <f t="shared" si="425"/>
        <v xml:space="preserve"> </v>
      </c>
      <c r="HC159" s="938" t="str">
        <f t="shared" si="426"/>
        <v xml:space="preserve"> </v>
      </c>
      <c r="HK159" s="938" t="str">
        <f t="shared" si="427"/>
        <v xml:space="preserve"> </v>
      </c>
      <c r="HL159" s="938" t="str">
        <f t="shared" si="428"/>
        <v xml:space="preserve"> </v>
      </c>
      <c r="HT159" s="938" t="str">
        <f t="shared" si="429"/>
        <v xml:space="preserve"> </v>
      </c>
      <c r="HU159" s="938" t="str">
        <f t="shared" si="430"/>
        <v xml:space="preserve"> </v>
      </c>
      <c r="IC159" s="938" t="str">
        <f t="shared" si="431"/>
        <v xml:space="preserve"> </v>
      </c>
      <c r="ID159" s="938" t="str">
        <f t="shared" si="432"/>
        <v xml:space="preserve"> </v>
      </c>
      <c r="IL159" s="938" t="str">
        <f t="shared" si="433"/>
        <v xml:space="preserve"> </v>
      </c>
      <c r="IM159" s="938" t="str">
        <f t="shared" si="434"/>
        <v xml:space="preserve"> </v>
      </c>
      <c r="IU159" s="938" t="str">
        <f t="shared" si="435"/>
        <v xml:space="preserve"> </v>
      </c>
      <c r="IV159" s="938" t="str">
        <f t="shared" si="436"/>
        <v xml:space="preserve"> </v>
      </c>
      <c r="JD159" s="938" t="str">
        <f t="shared" si="437"/>
        <v xml:space="preserve"> </v>
      </c>
      <c r="JE159" s="938" t="str">
        <f t="shared" si="438"/>
        <v xml:space="preserve"> </v>
      </c>
      <c r="JM159" s="938" t="str">
        <f t="shared" si="439"/>
        <v xml:space="preserve"> </v>
      </c>
      <c r="JN159" s="938" t="str">
        <f t="shared" si="440"/>
        <v xml:space="preserve"> </v>
      </c>
      <c r="JV159" s="938" t="str">
        <f t="shared" si="441"/>
        <v xml:space="preserve"> </v>
      </c>
      <c r="JW159" s="938" t="str">
        <f t="shared" si="442"/>
        <v xml:space="preserve"> </v>
      </c>
    </row>
    <row r="160" spans="11:283" x14ac:dyDescent="0.2">
      <c r="K160" s="938" t="str">
        <f t="shared" si="381"/>
        <v/>
      </c>
      <c r="L160" s="714">
        <f t="shared" si="382"/>
        <v>0</v>
      </c>
      <c r="M160" s="714">
        <v>3.5E-4</v>
      </c>
      <c r="N160" s="714">
        <v>35</v>
      </c>
      <c r="O160" t="str">
        <v>LAT-14-10-20</v>
      </c>
      <c r="P160" s="714">
        <f t="shared" si="443"/>
        <v>0</v>
      </c>
      <c r="Q160" s="714">
        <f t="shared" si="444"/>
        <v>0</v>
      </c>
      <c r="U160" s="938" t="str">
        <f t="shared" si="383"/>
        <v xml:space="preserve"> </v>
      </c>
      <c r="V160" s="938" t="str">
        <f t="shared" si="384"/>
        <v xml:space="preserve"> </v>
      </c>
      <c r="AD160" s="938" t="str">
        <f t="shared" si="385"/>
        <v xml:space="preserve"> </v>
      </c>
      <c r="AE160" s="938" t="str">
        <f t="shared" si="386"/>
        <v xml:space="preserve"> </v>
      </c>
      <c r="AM160" s="938" t="str">
        <f t="shared" si="387"/>
        <v xml:space="preserve"> </v>
      </c>
      <c r="AN160" s="938" t="str">
        <f t="shared" si="388"/>
        <v xml:space="preserve"> </v>
      </c>
      <c r="AV160" s="938" t="str">
        <f t="shared" si="389"/>
        <v xml:space="preserve"> </v>
      </c>
      <c r="AW160" s="938" t="str">
        <f t="shared" si="390"/>
        <v xml:space="preserve"> </v>
      </c>
      <c r="BE160" s="938" t="str">
        <f t="shared" si="391"/>
        <v xml:space="preserve"> </v>
      </c>
      <c r="BF160" s="938" t="str">
        <f t="shared" si="392"/>
        <v xml:space="preserve"> </v>
      </c>
      <c r="BN160" s="938" t="str">
        <f t="shared" si="393"/>
        <v xml:space="preserve"> </v>
      </c>
      <c r="BO160" s="938" t="str">
        <f t="shared" si="394"/>
        <v xml:space="preserve"> </v>
      </c>
      <c r="BW160" s="938" t="str">
        <f t="shared" si="395"/>
        <v xml:space="preserve"> </v>
      </c>
      <c r="BX160" s="938" t="str">
        <f t="shared" si="396"/>
        <v xml:space="preserve"> </v>
      </c>
      <c r="CF160" s="938" t="str">
        <f t="shared" si="397"/>
        <v xml:space="preserve"> </v>
      </c>
      <c r="CG160" s="938" t="str">
        <f t="shared" si="398"/>
        <v xml:space="preserve"> </v>
      </c>
      <c r="CO160" s="938" t="str">
        <f t="shared" si="399"/>
        <v xml:space="preserve"> </v>
      </c>
      <c r="CP160" s="938" t="str">
        <f t="shared" si="400"/>
        <v xml:space="preserve"> </v>
      </c>
      <c r="CX160" s="938" t="str">
        <f t="shared" si="401"/>
        <v xml:space="preserve"> </v>
      </c>
      <c r="CY160" s="938" t="str">
        <f t="shared" si="402"/>
        <v xml:space="preserve"> </v>
      </c>
      <c r="DG160" s="938" t="str">
        <f t="shared" si="403"/>
        <v xml:space="preserve"> </v>
      </c>
      <c r="DH160" s="938" t="str">
        <f t="shared" si="404"/>
        <v xml:space="preserve"> </v>
      </c>
      <c r="DP160" s="938" t="str">
        <f t="shared" si="405"/>
        <v xml:space="preserve"> </v>
      </c>
      <c r="DQ160" s="938" t="str">
        <f t="shared" si="406"/>
        <v xml:space="preserve"> </v>
      </c>
      <c r="DY160" s="938" t="str">
        <f t="shared" si="407"/>
        <v xml:space="preserve"> </v>
      </c>
      <c r="DZ160" s="938" t="str">
        <f t="shared" si="408"/>
        <v xml:space="preserve"> </v>
      </c>
      <c r="EH160" s="938" t="str">
        <f t="shared" si="409"/>
        <v xml:space="preserve"> </v>
      </c>
      <c r="EI160" s="938" t="str">
        <f t="shared" si="410"/>
        <v xml:space="preserve"> </v>
      </c>
      <c r="EQ160" s="938" t="str">
        <f t="shared" si="411"/>
        <v xml:space="preserve"> </v>
      </c>
      <c r="ER160" s="938" t="str">
        <f t="shared" si="412"/>
        <v xml:space="preserve"> </v>
      </c>
      <c r="EZ160" s="938" t="str">
        <f t="shared" si="413"/>
        <v xml:space="preserve"> </v>
      </c>
      <c r="FA160" s="938" t="str">
        <f t="shared" si="414"/>
        <v xml:space="preserve"> </v>
      </c>
      <c r="FI160" s="938" t="str">
        <f t="shared" si="415"/>
        <v xml:space="preserve"> </v>
      </c>
      <c r="FJ160" s="938" t="str">
        <f t="shared" si="416"/>
        <v xml:space="preserve"> </v>
      </c>
      <c r="FR160" s="938" t="str">
        <f t="shared" si="417"/>
        <v xml:space="preserve"> </v>
      </c>
      <c r="FS160" s="938" t="str">
        <f t="shared" si="418"/>
        <v xml:space="preserve"> </v>
      </c>
      <c r="GA160" s="938" t="str">
        <f t="shared" si="419"/>
        <v xml:space="preserve"> </v>
      </c>
      <c r="GB160" s="938" t="str">
        <f t="shared" si="420"/>
        <v xml:space="preserve"> </v>
      </c>
      <c r="GJ160" s="938" t="str">
        <f t="shared" si="421"/>
        <v xml:space="preserve"> </v>
      </c>
      <c r="GK160" s="938" t="str">
        <f t="shared" si="422"/>
        <v xml:space="preserve"> </v>
      </c>
      <c r="GS160" s="938" t="str">
        <f t="shared" si="423"/>
        <v xml:space="preserve"> </v>
      </c>
      <c r="GT160" s="938" t="str">
        <f t="shared" si="424"/>
        <v xml:space="preserve"> </v>
      </c>
      <c r="HB160" s="938" t="str">
        <f t="shared" si="425"/>
        <v xml:space="preserve"> </v>
      </c>
      <c r="HC160" s="938" t="str">
        <f t="shared" si="426"/>
        <v xml:space="preserve"> </v>
      </c>
      <c r="HK160" s="938" t="str">
        <f t="shared" si="427"/>
        <v xml:space="preserve"> </v>
      </c>
      <c r="HL160" s="938" t="str">
        <f t="shared" si="428"/>
        <v xml:space="preserve"> </v>
      </c>
      <c r="HT160" s="938" t="str">
        <f t="shared" si="429"/>
        <v xml:space="preserve"> </v>
      </c>
      <c r="HU160" s="938" t="str">
        <f t="shared" si="430"/>
        <v xml:space="preserve"> </v>
      </c>
      <c r="IC160" s="938" t="str">
        <f t="shared" si="431"/>
        <v xml:space="preserve"> </v>
      </c>
      <c r="ID160" s="938" t="str">
        <f t="shared" si="432"/>
        <v xml:space="preserve"> </v>
      </c>
      <c r="IL160" s="938" t="str">
        <f t="shared" si="433"/>
        <v xml:space="preserve"> </v>
      </c>
      <c r="IM160" s="938" t="str">
        <f t="shared" si="434"/>
        <v xml:space="preserve"> </v>
      </c>
      <c r="IU160" s="938" t="str">
        <f t="shared" si="435"/>
        <v xml:space="preserve"> </v>
      </c>
      <c r="IV160" s="938" t="str">
        <f t="shared" si="436"/>
        <v xml:space="preserve"> </v>
      </c>
      <c r="JD160" s="938" t="str">
        <f t="shared" si="437"/>
        <v xml:space="preserve"> </v>
      </c>
      <c r="JE160" s="938" t="str">
        <f t="shared" si="438"/>
        <v xml:space="preserve"> </v>
      </c>
      <c r="JM160" s="938" t="str">
        <f t="shared" si="439"/>
        <v xml:space="preserve"> </v>
      </c>
      <c r="JN160" s="938" t="str">
        <f t="shared" si="440"/>
        <v xml:space="preserve"> </v>
      </c>
      <c r="JV160" s="938" t="str">
        <f t="shared" si="441"/>
        <v xml:space="preserve"> </v>
      </c>
      <c r="JW160" s="938" t="str">
        <f t="shared" si="442"/>
        <v xml:space="preserve"> </v>
      </c>
    </row>
    <row r="161" spans="11:283" x14ac:dyDescent="0.2">
      <c r="K161" s="938" t="str">
        <f t="shared" si="381"/>
        <v/>
      </c>
      <c r="L161" s="714">
        <f t="shared" si="382"/>
        <v>0</v>
      </c>
      <c r="M161" s="714">
        <v>3.6000000000000002E-4</v>
      </c>
      <c r="N161" s="714">
        <v>36</v>
      </c>
      <c r="O161" t="str">
        <v>LAT-20-20</v>
      </c>
      <c r="P161" s="714">
        <f t="shared" si="443"/>
        <v>0</v>
      </c>
      <c r="Q161" s="714">
        <f t="shared" si="444"/>
        <v>0</v>
      </c>
      <c r="U161" s="938" t="str">
        <f t="shared" si="383"/>
        <v xml:space="preserve"> </v>
      </c>
      <c r="V161" s="938" t="str">
        <f t="shared" si="384"/>
        <v xml:space="preserve"> </v>
      </c>
      <c r="AD161" s="938" t="str">
        <f t="shared" si="385"/>
        <v xml:space="preserve"> </v>
      </c>
      <c r="AE161" s="938" t="str">
        <f t="shared" si="386"/>
        <v xml:space="preserve"> </v>
      </c>
      <c r="AM161" s="938" t="str">
        <f t="shared" si="387"/>
        <v xml:space="preserve"> </v>
      </c>
      <c r="AN161" s="938" t="str">
        <f t="shared" si="388"/>
        <v xml:space="preserve"> </v>
      </c>
      <c r="AV161" s="938" t="str">
        <f t="shared" si="389"/>
        <v xml:space="preserve"> </v>
      </c>
      <c r="AW161" s="938" t="str">
        <f t="shared" si="390"/>
        <v xml:space="preserve"> </v>
      </c>
      <c r="BE161" s="938" t="str">
        <f t="shared" si="391"/>
        <v xml:space="preserve"> </v>
      </c>
      <c r="BF161" s="938" t="str">
        <f t="shared" si="392"/>
        <v xml:space="preserve"> </v>
      </c>
      <c r="BN161" s="938" t="str">
        <f t="shared" si="393"/>
        <v xml:space="preserve"> </v>
      </c>
      <c r="BO161" s="938" t="str">
        <f t="shared" si="394"/>
        <v xml:space="preserve"> </v>
      </c>
      <c r="BW161" s="938" t="str">
        <f t="shared" si="395"/>
        <v xml:space="preserve"> </v>
      </c>
      <c r="BX161" s="938" t="str">
        <f t="shared" si="396"/>
        <v xml:space="preserve"> </v>
      </c>
      <c r="CF161" s="938" t="str">
        <f t="shared" si="397"/>
        <v xml:space="preserve"> </v>
      </c>
      <c r="CG161" s="938" t="str">
        <f t="shared" si="398"/>
        <v xml:space="preserve"> </v>
      </c>
      <c r="CO161" s="938" t="str">
        <f t="shared" si="399"/>
        <v xml:space="preserve"> </v>
      </c>
      <c r="CP161" s="938" t="str">
        <f t="shared" si="400"/>
        <v xml:space="preserve"> </v>
      </c>
      <c r="CX161" s="938" t="str">
        <f t="shared" si="401"/>
        <v xml:space="preserve"> </v>
      </c>
      <c r="CY161" s="938" t="str">
        <f t="shared" si="402"/>
        <v xml:space="preserve"> </v>
      </c>
      <c r="DG161" s="938" t="str">
        <f t="shared" si="403"/>
        <v xml:space="preserve"> </v>
      </c>
      <c r="DH161" s="938" t="str">
        <f t="shared" si="404"/>
        <v xml:space="preserve"> </v>
      </c>
      <c r="DP161" s="938" t="str">
        <f t="shared" si="405"/>
        <v xml:space="preserve"> </v>
      </c>
      <c r="DQ161" s="938" t="str">
        <f t="shared" si="406"/>
        <v xml:space="preserve"> </v>
      </c>
      <c r="DY161" s="938" t="str">
        <f t="shared" si="407"/>
        <v xml:space="preserve"> </v>
      </c>
      <c r="DZ161" s="938" t="str">
        <f t="shared" si="408"/>
        <v xml:space="preserve"> </v>
      </c>
      <c r="EH161" s="938" t="str">
        <f t="shared" si="409"/>
        <v xml:space="preserve"> </v>
      </c>
      <c r="EI161" s="938" t="str">
        <f t="shared" si="410"/>
        <v xml:space="preserve"> </v>
      </c>
      <c r="EQ161" s="938" t="str">
        <f t="shared" si="411"/>
        <v xml:space="preserve"> </v>
      </c>
      <c r="ER161" s="938" t="str">
        <f t="shared" si="412"/>
        <v xml:space="preserve"> </v>
      </c>
      <c r="EZ161" s="938" t="str">
        <f t="shared" si="413"/>
        <v xml:space="preserve"> </v>
      </c>
      <c r="FA161" s="938" t="str">
        <f t="shared" si="414"/>
        <v xml:space="preserve"> </v>
      </c>
      <c r="FI161" s="938" t="str">
        <f t="shared" si="415"/>
        <v xml:space="preserve"> </v>
      </c>
      <c r="FJ161" s="938" t="str">
        <f t="shared" si="416"/>
        <v xml:space="preserve"> </v>
      </c>
      <c r="FR161" s="938" t="str">
        <f t="shared" si="417"/>
        <v xml:space="preserve"> </v>
      </c>
      <c r="FS161" s="938" t="str">
        <f t="shared" si="418"/>
        <v xml:space="preserve"> </v>
      </c>
      <c r="GA161" s="938" t="str">
        <f t="shared" si="419"/>
        <v xml:space="preserve"> </v>
      </c>
      <c r="GB161" s="938" t="str">
        <f t="shared" si="420"/>
        <v xml:space="preserve"> </v>
      </c>
      <c r="GJ161" s="938" t="str">
        <f t="shared" si="421"/>
        <v xml:space="preserve"> </v>
      </c>
      <c r="GK161" s="938" t="str">
        <f t="shared" si="422"/>
        <v xml:space="preserve"> </v>
      </c>
      <c r="GS161" s="938" t="str">
        <f t="shared" si="423"/>
        <v xml:space="preserve"> </v>
      </c>
      <c r="GT161" s="938" t="str">
        <f t="shared" si="424"/>
        <v xml:space="preserve"> </v>
      </c>
      <c r="HB161" s="938" t="str">
        <f t="shared" si="425"/>
        <v xml:space="preserve"> </v>
      </c>
      <c r="HC161" s="938" t="str">
        <f t="shared" si="426"/>
        <v xml:space="preserve"> </v>
      </c>
      <c r="HK161" s="938" t="str">
        <f t="shared" si="427"/>
        <v xml:space="preserve"> </v>
      </c>
      <c r="HL161" s="938" t="str">
        <f t="shared" si="428"/>
        <v xml:space="preserve"> </v>
      </c>
      <c r="HT161" s="938" t="str">
        <f t="shared" si="429"/>
        <v xml:space="preserve"> </v>
      </c>
      <c r="HU161" s="938" t="str">
        <f t="shared" si="430"/>
        <v xml:space="preserve"> </v>
      </c>
      <c r="IC161" s="938" t="str">
        <f t="shared" si="431"/>
        <v xml:space="preserve"> </v>
      </c>
      <c r="ID161" s="938" t="str">
        <f t="shared" si="432"/>
        <v xml:space="preserve"> </v>
      </c>
      <c r="IL161" s="938" t="str">
        <f t="shared" si="433"/>
        <v xml:space="preserve"> </v>
      </c>
      <c r="IM161" s="938" t="str">
        <f t="shared" si="434"/>
        <v xml:space="preserve"> </v>
      </c>
      <c r="IU161" s="938" t="str">
        <f t="shared" si="435"/>
        <v xml:space="preserve"> </v>
      </c>
      <c r="IV161" s="938" t="str">
        <f t="shared" si="436"/>
        <v xml:space="preserve"> </v>
      </c>
      <c r="JD161" s="938" t="str">
        <f t="shared" si="437"/>
        <v xml:space="preserve"> </v>
      </c>
      <c r="JE161" s="938" t="str">
        <f t="shared" si="438"/>
        <v xml:space="preserve"> </v>
      </c>
      <c r="JM161" s="938" t="str">
        <f t="shared" si="439"/>
        <v xml:space="preserve"> </v>
      </c>
      <c r="JN161" s="938" t="str">
        <f t="shared" si="440"/>
        <v xml:space="preserve"> </v>
      </c>
      <c r="JV161" s="938" t="str">
        <f t="shared" si="441"/>
        <v xml:space="preserve"> </v>
      </c>
      <c r="JW161" s="938" t="str">
        <f t="shared" si="442"/>
        <v xml:space="preserve"> </v>
      </c>
    </row>
    <row r="162" spans="11:283" x14ac:dyDescent="0.2">
      <c r="K162" s="938" t="str">
        <f t="shared" si="381"/>
        <v/>
      </c>
      <c r="L162" s="714">
        <f t="shared" si="382"/>
        <v>0</v>
      </c>
      <c r="M162" s="714">
        <v>3.6999999999999999E-4</v>
      </c>
      <c r="N162" s="714">
        <v>37</v>
      </c>
      <c r="O162" t="str">
        <v>LAT-20-10-8</v>
      </c>
      <c r="P162" s="714">
        <f t="shared" si="443"/>
        <v>0</v>
      </c>
      <c r="Q162" s="714">
        <f t="shared" si="444"/>
        <v>0</v>
      </c>
      <c r="U162" s="938" t="str">
        <f t="shared" si="383"/>
        <v xml:space="preserve"> </v>
      </c>
      <c r="V162" s="938" t="str">
        <f t="shared" si="384"/>
        <v xml:space="preserve"> </v>
      </c>
      <c r="AD162" s="938" t="str">
        <f t="shared" si="385"/>
        <v xml:space="preserve"> </v>
      </c>
      <c r="AE162" s="938" t="str">
        <f t="shared" si="386"/>
        <v xml:space="preserve"> </v>
      </c>
      <c r="AM162" s="938" t="str">
        <f t="shared" si="387"/>
        <v xml:space="preserve"> </v>
      </c>
      <c r="AN162" s="938" t="str">
        <f t="shared" si="388"/>
        <v xml:space="preserve"> </v>
      </c>
      <c r="AV162" s="938" t="str">
        <f t="shared" si="389"/>
        <v xml:space="preserve"> </v>
      </c>
      <c r="AW162" s="938" t="str">
        <f t="shared" si="390"/>
        <v xml:space="preserve"> </v>
      </c>
      <c r="BE162" s="938" t="str">
        <f t="shared" si="391"/>
        <v xml:space="preserve"> </v>
      </c>
      <c r="BF162" s="938" t="str">
        <f t="shared" si="392"/>
        <v xml:space="preserve"> </v>
      </c>
      <c r="BN162" s="938" t="str">
        <f t="shared" si="393"/>
        <v xml:space="preserve"> </v>
      </c>
      <c r="BO162" s="938" t="str">
        <f t="shared" si="394"/>
        <v xml:space="preserve"> </v>
      </c>
      <c r="BW162" s="938" t="str">
        <f t="shared" si="395"/>
        <v xml:space="preserve"> </v>
      </c>
      <c r="BX162" s="938" t="str">
        <f t="shared" si="396"/>
        <v xml:space="preserve"> </v>
      </c>
      <c r="CF162" s="938" t="str">
        <f t="shared" si="397"/>
        <v xml:space="preserve"> </v>
      </c>
      <c r="CG162" s="938" t="str">
        <f t="shared" si="398"/>
        <v xml:space="preserve"> </v>
      </c>
      <c r="CO162" s="938" t="str">
        <f t="shared" si="399"/>
        <v xml:space="preserve"> </v>
      </c>
      <c r="CP162" s="938" t="str">
        <f t="shared" si="400"/>
        <v xml:space="preserve"> </v>
      </c>
      <c r="CX162" s="938" t="str">
        <f t="shared" si="401"/>
        <v xml:space="preserve"> </v>
      </c>
      <c r="CY162" s="938" t="str">
        <f t="shared" si="402"/>
        <v xml:space="preserve"> </v>
      </c>
      <c r="DG162" s="938" t="str">
        <f t="shared" si="403"/>
        <v xml:space="preserve"> </v>
      </c>
      <c r="DH162" s="938" t="str">
        <f t="shared" si="404"/>
        <v xml:space="preserve"> </v>
      </c>
      <c r="DP162" s="938" t="str">
        <f t="shared" si="405"/>
        <v xml:space="preserve"> </v>
      </c>
      <c r="DQ162" s="938" t="str">
        <f t="shared" si="406"/>
        <v xml:space="preserve"> </v>
      </c>
      <c r="DY162" s="938" t="str">
        <f t="shared" si="407"/>
        <v xml:space="preserve"> </v>
      </c>
      <c r="DZ162" s="938" t="str">
        <f t="shared" si="408"/>
        <v xml:space="preserve"> </v>
      </c>
      <c r="EH162" s="938" t="str">
        <f t="shared" si="409"/>
        <v xml:space="preserve"> </v>
      </c>
      <c r="EI162" s="938" t="str">
        <f t="shared" si="410"/>
        <v xml:space="preserve"> </v>
      </c>
      <c r="EQ162" s="938" t="str">
        <f t="shared" si="411"/>
        <v xml:space="preserve"> </v>
      </c>
      <c r="ER162" s="938" t="str">
        <f t="shared" si="412"/>
        <v xml:space="preserve"> </v>
      </c>
      <c r="EZ162" s="938" t="str">
        <f t="shared" si="413"/>
        <v xml:space="preserve"> </v>
      </c>
      <c r="FA162" s="938" t="str">
        <f t="shared" si="414"/>
        <v xml:space="preserve"> </v>
      </c>
      <c r="FI162" s="938" t="str">
        <f t="shared" si="415"/>
        <v xml:space="preserve"> </v>
      </c>
      <c r="FJ162" s="938" t="str">
        <f t="shared" si="416"/>
        <v xml:space="preserve"> </v>
      </c>
      <c r="FR162" s="938" t="str">
        <f t="shared" si="417"/>
        <v xml:space="preserve"> </v>
      </c>
      <c r="FS162" s="938" t="str">
        <f t="shared" si="418"/>
        <v xml:space="preserve"> </v>
      </c>
      <c r="GA162" s="938" t="str">
        <f t="shared" si="419"/>
        <v xml:space="preserve"> </v>
      </c>
      <c r="GB162" s="938" t="str">
        <f t="shared" si="420"/>
        <v xml:space="preserve"> </v>
      </c>
      <c r="GJ162" s="938" t="str">
        <f t="shared" si="421"/>
        <v xml:space="preserve"> </v>
      </c>
      <c r="GK162" s="938" t="str">
        <f t="shared" si="422"/>
        <v xml:space="preserve"> </v>
      </c>
      <c r="GS162" s="938" t="str">
        <f t="shared" si="423"/>
        <v xml:space="preserve"> </v>
      </c>
      <c r="GT162" s="938" t="str">
        <f t="shared" si="424"/>
        <v xml:space="preserve"> </v>
      </c>
      <c r="HB162" s="938" t="str">
        <f t="shared" si="425"/>
        <v xml:space="preserve"> </v>
      </c>
      <c r="HC162" s="938" t="str">
        <f t="shared" si="426"/>
        <v xml:space="preserve"> </v>
      </c>
      <c r="HK162" s="938" t="str">
        <f t="shared" si="427"/>
        <v xml:space="preserve"> </v>
      </c>
      <c r="HL162" s="938" t="str">
        <f t="shared" si="428"/>
        <v xml:space="preserve"> </v>
      </c>
      <c r="HT162" s="938" t="str">
        <f t="shared" si="429"/>
        <v xml:space="preserve"> </v>
      </c>
      <c r="HU162" s="938" t="str">
        <f t="shared" si="430"/>
        <v xml:space="preserve"> </v>
      </c>
      <c r="IC162" s="938" t="str">
        <f t="shared" si="431"/>
        <v xml:space="preserve"> </v>
      </c>
      <c r="ID162" s="938" t="str">
        <f t="shared" si="432"/>
        <v xml:space="preserve"> </v>
      </c>
      <c r="IL162" s="938" t="str">
        <f t="shared" si="433"/>
        <v xml:space="preserve"> </v>
      </c>
      <c r="IM162" s="938" t="str">
        <f t="shared" si="434"/>
        <v xml:space="preserve"> </v>
      </c>
      <c r="IU162" s="938" t="str">
        <f t="shared" si="435"/>
        <v xml:space="preserve"> </v>
      </c>
      <c r="IV162" s="938" t="str">
        <f t="shared" si="436"/>
        <v xml:space="preserve"> </v>
      </c>
      <c r="JD162" s="938" t="str">
        <f t="shared" si="437"/>
        <v xml:space="preserve"> </v>
      </c>
      <c r="JE162" s="938" t="str">
        <f t="shared" si="438"/>
        <v xml:space="preserve"> </v>
      </c>
      <c r="JM162" s="938" t="str">
        <f t="shared" si="439"/>
        <v xml:space="preserve"> </v>
      </c>
      <c r="JN162" s="938" t="str">
        <f t="shared" si="440"/>
        <v xml:space="preserve"> </v>
      </c>
      <c r="JV162" s="938" t="str">
        <f t="shared" si="441"/>
        <v xml:space="preserve"> </v>
      </c>
      <c r="JW162" s="938" t="str">
        <f t="shared" si="442"/>
        <v xml:space="preserve"> </v>
      </c>
    </row>
    <row r="163" spans="11:283" x14ac:dyDescent="0.2">
      <c r="K163" s="938" t="str">
        <f t="shared" si="381"/>
        <v/>
      </c>
      <c r="L163" s="714">
        <f t="shared" si="382"/>
        <v>0</v>
      </c>
      <c r="M163" s="714">
        <v>3.8000000000000002E-4</v>
      </c>
      <c r="N163" s="714">
        <v>38</v>
      </c>
      <c r="O163" t="str">
        <v>LAT-24-14</v>
      </c>
      <c r="P163" s="714">
        <f t="shared" si="443"/>
        <v>0</v>
      </c>
      <c r="Q163" s="714">
        <f t="shared" si="444"/>
        <v>0</v>
      </c>
      <c r="U163" s="938" t="str">
        <f t="shared" si="383"/>
        <v xml:space="preserve"> </v>
      </c>
      <c r="V163" s="938" t="str">
        <f t="shared" si="384"/>
        <v xml:space="preserve"> </v>
      </c>
      <c r="AD163" s="938" t="str">
        <f t="shared" si="385"/>
        <v xml:space="preserve"> </v>
      </c>
      <c r="AE163" s="938" t="str">
        <f t="shared" si="386"/>
        <v xml:space="preserve"> </v>
      </c>
      <c r="AM163" s="938" t="str">
        <f t="shared" si="387"/>
        <v xml:space="preserve"> </v>
      </c>
      <c r="AN163" s="938" t="str">
        <f t="shared" si="388"/>
        <v xml:space="preserve"> </v>
      </c>
      <c r="AV163" s="938" t="str">
        <f t="shared" si="389"/>
        <v xml:space="preserve"> </v>
      </c>
      <c r="AW163" s="938" t="str">
        <f t="shared" si="390"/>
        <v xml:space="preserve"> </v>
      </c>
      <c r="BE163" s="938" t="str">
        <f t="shared" si="391"/>
        <v xml:space="preserve"> </v>
      </c>
      <c r="BF163" s="938" t="str">
        <f t="shared" si="392"/>
        <v xml:space="preserve"> </v>
      </c>
      <c r="BN163" s="938" t="str">
        <f t="shared" si="393"/>
        <v xml:space="preserve"> </v>
      </c>
      <c r="BO163" s="938" t="str">
        <f t="shared" si="394"/>
        <v xml:space="preserve"> </v>
      </c>
      <c r="BW163" s="938" t="str">
        <f t="shared" si="395"/>
        <v xml:space="preserve"> </v>
      </c>
      <c r="BX163" s="938" t="str">
        <f t="shared" si="396"/>
        <v xml:space="preserve"> </v>
      </c>
      <c r="CF163" s="938" t="str">
        <f t="shared" si="397"/>
        <v xml:space="preserve"> </v>
      </c>
      <c r="CG163" s="938" t="str">
        <f t="shared" si="398"/>
        <v xml:space="preserve"> </v>
      </c>
      <c r="CO163" s="938" t="str">
        <f t="shared" si="399"/>
        <v xml:space="preserve"> </v>
      </c>
      <c r="CP163" s="938" t="str">
        <f t="shared" si="400"/>
        <v xml:space="preserve"> </v>
      </c>
      <c r="CX163" s="938" t="str">
        <f t="shared" si="401"/>
        <v xml:space="preserve"> </v>
      </c>
      <c r="CY163" s="938" t="str">
        <f t="shared" si="402"/>
        <v xml:space="preserve"> </v>
      </c>
      <c r="DG163" s="938" t="str">
        <f t="shared" si="403"/>
        <v xml:space="preserve"> </v>
      </c>
      <c r="DH163" s="938" t="str">
        <f t="shared" si="404"/>
        <v xml:space="preserve"> </v>
      </c>
      <c r="DP163" s="938" t="str">
        <f t="shared" si="405"/>
        <v xml:space="preserve"> </v>
      </c>
      <c r="DQ163" s="938" t="str">
        <f t="shared" si="406"/>
        <v xml:space="preserve"> </v>
      </c>
      <c r="DY163" s="938" t="str">
        <f t="shared" si="407"/>
        <v xml:space="preserve"> </v>
      </c>
      <c r="DZ163" s="938" t="str">
        <f t="shared" si="408"/>
        <v xml:space="preserve"> </v>
      </c>
      <c r="EH163" s="938" t="str">
        <f t="shared" si="409"/>
        <v xml:space="preserve"> </v>
      </c>
      <c r="EI163" s="938" t="str">
        <f t="shared" si="410"/>
        <v xml:space="preserve"> </v>
      </c>
      <c r="EQ163" s="938" t="str">
        <f t="shared" si="411"/>
        <v xml:space="preserve"> </v>
      </c>
      <c r="ER163" s="938" t="str">
        <f t="shared" si="412"/>
        <v xml:space="preserve"> </v>
      </c>
      <c r="EZ163" s="938" t="str">
        <f t="shared" si="413"/>
        <v xml:space="preserve"> </v>
      </c>
      <c r="FA163" s="938" t="str">
        <f t="shared" si="414"/>
        <v xml:space="preserve"> </v>
      </c>
      <c r="FI163" s="938" t="str">
        <f t="shared" si="415"/>
        <v xml:space="preserve"> </v>
      </c>
      <c r="FJ163" s="938" t="str">
        <f t="shared" si="416"/>
        <v xml:space="preserve"> </v>
      </c>
      <c r="FR163" s="938" t="str">
        <f t="shared" si="417"/>
        <v xml:space="preserve"> </v>
      </c>
      <c r="FS163" s="938" t="str">
        <f t="shared" si="418"/>
        <v xml:space="preserve"> </v>
      </c>
      <c r="GA163" s="938" t="str">
        <f t="shared" si="419"/>
        <v xml:space="preserve"> </v>
      </c>
      <c r="GB163" s="938" t="str">
        <f t="shared" si="420"/>
        <v xml:space="preserve"> </v>
      </c>
      <c r="GJ163" s="938" t="str">
        <f t="shared" si="421"/>
        <v xml:space="preserve"> </v>
      </c>
      <c r="GK163" s="938" t="str">
        <f t="shared" si="422"/>
        <v xml:space="preserve"> </v>
      </c>
      <c r="GS163" s="938" t="str">
        <f t="shared" si="423"/>
        <v xml:space="preserve"> </v>
      </c>
      <c r="GT163" s="938" t="str">
        <f t="shared" si="424"/>
        <v xml:space="preserve"> </v>
      </c>
      <c r="HB163" s="938" t="str">
        <f t="shared" si="425"/>
        <v xml:space="preserve"> </v>
      </c>
      <c r="HC163" s="938" t="str">
        <f t="shared" si="426"/>
        <v xml:space="preserve"> </v>
      </c>
      <c r="HK163" s="938" t="str">
        <f t="shared" si="427"/>
        <v xml:space="preserve"> </v>
      </c>
      <c r="HL163" s="938" t="str">
        <f t="shared" si="428"/>
        <v xml:space="preserve"> </v>
      </c>
      <c r="HT163" s="938" t="str">
        <f t="shared" si="429"/>
        <v xml:space="preserve"> </v>
      </c>
      <c r="HU163" s="938" t="str">
        <f t="shared" si="430"/>
        <v xml:space="preserve"> </v>
      </c>
      <c r="IC163" s="938" t="str">
        <f t="shared" si="431"/>
        <v xml:space="preserve"> </v>
      </c>
      <c r="ID163" s="938" t="str">
        <f t="shared" si="432"/>
        <v xml:space="preserve"> </v>
      </c>
      <c r="IL163" s="938" t="str">
        <f t="shared" si="433"/>
        <v xml:space="preserve"> </v>
      </c>
      <c r="IM163" s="938" t="str">
        <f t="shared" si="434"/>
        <v xml:space="preserve"> </v>
      </c>
      <c r="IU163" s="938" t="str">
        <f t="shared" si="435"/>
        <v xml:space="preserve"> </v>
      </c>
      <c r="IV163" s="938" t="str">
        <f t="shared" si="436"/>
        <v xml:space="preserve"> </v>
      </c>
      <c r="JD163" s="938" t="str">
        <f t="shared" si="437"/>
        <v xml:space="preserve"> </v>
      </c>
      <c r="JE163" s="938" t="str">
        <f t="shared" si="438"/>
        <v xml:space="preserve"> </v>
      </c>
      <c r="JM163" s="938" t="str">
        <f t="shared" si="439"/>
        <v xml:space="preserve"> </v>
      </c>
      <c r="JN163" s="938" t="str">
        <f t="shared" si="440"/>
        <v xml:space="preserve"> </v>
      </c>
      <c r="JV163" s="938" t="str">
        <f t="shared" si="441"/>
        <v xml:space="preserve"> </v>
      </c>
      <c r="JW163" s="938" t="str">
        <f t="shared" si="442"/>
        <v xml:space="preserve"> </v>
      </c>
    </row>
    <row r="164" spans="11:283" x14ac:dyDescent="0.2">
      <c r="K164" s="938" t="str">
        <f t="shared" si="381"/>
        <v/>
      </c>
      <c r="L164" s="714">
        <f t="shared" si="382"/>
        <v>0</v>
      </c>
      <c r="M164" s="714">
        <v>3.8999999999999999E-4</v>
      </c>
      <c r="N164" s="714">
        <v>39</v>
      </c>
      <c r="O164" t="str">
        <v>LAT-27</v>
      </c>
      <c r="P164" s="714">
        <f t="shared" si="443"/>
        <v>0</v>
      </c>
      <c r="Q164" s="714">
        <f t="shared" si="444"/>
        <v>0</v>
      </c>
      <c r="U164" s="938" t="str">
        <f t="shared" si="383"/>
        <v xml:space="preserve"> </v>
      </c>
      <c r="V164" s="938" t="str">
        <f t="shared" si="384"/>
        <v xml:space="preserve"> </v>
      </c>
      <c r="AD164" s="938" t="str">
        <f t="shared" si="385"/>
        <v xml:space="preserve"> </v>
      </c>
      <c r="AE164" s="938" t="str">
        <f t="shared" si="386"/>
        <v xml:space="preserve"> </v>
      </c>
      <c r="AM164" s="938" t="str">
        <f t="shared" si="387"/>
        <v xml:space="preserve"> </v>
      </c>
      <c r="AN164" s="938" t="str">
        <f t="shared" si="388"/>
        <v xml:space="preserve"> </v>
      </c>
      <c r="AV164" s="938" t="str">
        <f t="shared" si="389"/>
        <v xml:space="preserve"> </v>
      </c>
      <c r="AW164" s="938" t="str">
        <f t="shared" si="390"/>
        <v xml:space="preserve"> </v>
      </c>
      <c r="BE164" s="938" t="str">
        <f t="shared" si="391"/>
        <v xml:space="preserve"> </v>
      </c>
      <c r="BF164" s="938" t="str">
        <f t="shared" si="392"/>
        <v xml:space="preserve"> </v>
      </c>
      <c r="BN164" s="938" t="str">
        <f t="shared" si="393"/>
        <v xml:space="preserve"> </v>
      </c>
      <c r="BO164" s="938" t="str">
        <f t="shared" si="394"/>
        <v xml:space="preserve"> </v>
      </c>
      <c r="BW164" s="938" t="str">
        <f t="shared" si="395"/>
        <v xml:space="preserve"> </v>
      </c>
      <c r="BX164" s="938" t="str">
        <f t="shared" si="396"/>
        <v xml:space="preserve"> </v>
      </c>
      <c r="CF164" s="938" t="str">
        <f t="shared" si="397"/>
        <v xml:space="preserve"> </v>
      </c>
      <c r="CG164" s="938" t="str">
        <f t="shared" si="398"/>
        <v xml:space="preserve"> </v>
      </c>
      <c r="CO164" s="938" t="str">
        <f t="shared" si="399"/>
        <v xml:space="preserve"> </v>
      </c>
      <c r="CP164" s="938" t="str">
        <f t="shared" si="400"/>
        <v xml:space="preserve"> </v>
      </c>
      <c r="CX164" s="938" t="str">
        <f t="shared" si="401"/>
        <v xml:space="preserve"> </v>
      </c>
      <c r="CY164" s="938" t="str">
        <f t="shared" si="402"/>
        <v xml:space="preserve"> </v>
      </c>
      <c r="DG164" s="938" t="str">
        <f t="shared" si="403"/>
        <v xml:space="preserve"> </v>
      </c>
      <c r="DH164" s="938" t="str">
        <f t="shared" si="404"/>
        <v xml:space="preserve"> </v>
      </c>
      <c r="DP164" s="938" t="str">
        <f t="shared" si="405"/>
        <v xml:space="preserve"> </v>
      </c>
      <c r="DQ164" s="938" t="str">
        <f t="shared" si="406"/>
        <v xml:space="preserve"> </v>
      </c>
      <c r="DY164" s="938" t="str">
        <f t="shared" si="407"/>
        <v xml:space="preserve"> </v>
      </c>
      <c r="DZ164" s="938" t="str">
        <f t="shared" si="408"/>
        <v xml:space="preserve"> </v>
      </c>
      <c r="EH164" s="938" t="str">
        <f t="shared" si="409"/>
        <v xml:space="preserve"> </v>
      </c>
      <c r="EI164" s="938" t="str">
        <f t="shared" si="410"/>
        <v xml:space="preserve"> </v>
      </c>
      <c r="EQ164" s="938" t="str">
        <f t="shared" si="411"/>
        <v xml:space="preserve"> </v>
      </c>
      <c r="ER164" s="938" t="str">
        <f t="shared" si="412"/>
        <v xml:space="preserve"> </v>
      </c>
      <c r="EZ164" s="938" t="str">
        <f t="shared" si="413"/>
        <v xml:space="preserve"> </v>
      </c>
      <c r="FA164" s="938" t="str">
        <f t="shared" si="414"/>
        <v xml:space="preserve"> </v>
      </c>
      <c r="FI164" s="938" t="str">
        <f t="shared" si="415"/>
        <v xml:space="preserve"> </v>
      </c>
      <c r="FJ164" s="938" t="str">
        <f t="shared" si="416"/>
        <v xml:space="preserve"> </v>
      </c>
      <c r="FR164" s="938" t="str">
        <f t="shared" si="417"/>
        <v xml:space="preserve"> </v>
      </c>
      <c r="FS164" s="938" t="str">
        <f t="shared" si="418"/>
        <v xml:space="preserve"> </v>
      </c>
      <c r="GA164" s="938" t="str">
        <f t="shared" si="419"/>
        <v xml:space="preserve"> </v>
      </c>
      <c r="GB164" s="938" t="str">
        <f t="shared" si="420"/>
        <v xml:space="preserve"> </v>
      </c>
      <c r="GJ164" s="938" t="str">
        <f t="shared" si="421"/>
        <v xml:space="preserve"> </v>
      </c>
      <c r="GK164" s="938" t="str">
        <f t="shared" si="422"/>
        <v xml:space="preserve"> </v>
      </c>
      <c r="GS164" s="938" t="str">
        <f t="shared" si="423"/>
        <v xml:space="preserve"> </v>
      </c>
      <c r="GT164" s="938" t="str">
        <f t="shared" si="424"/>
        <v xml:space="preserve"> </v>
      </c>
      <c r="HB164" s="938" t="str">
        <f t="shared" si="425"/>
        <v xml:space="preserve"> </v>
      </c>
      <c r="HC164" s="938" t="str">
        <f t="shared" si="426"/>
        <v xml:space="preserve"> </v>
      </c>
      <c r="HK164" s="938" t="str">
        <f t="shared" si="427"/>
        <v xml:space="preserve"> </v>
      </c>
      <c r="HL164" s="938" t="str">
        <f t="shared" si="428"/>
        <v xml:space="preserve"> </v>
      </c>
      <c r="HT164" s="938" t="str">
        <f t="shared" si="429"/>
        <v xml:space="preserve"> </v>
      </c>
      <c r="HU164" s="938" t="str">
        <f t="shared" si="430"/>
        <v xml:space="preserve"> </v>
      </c>
      <c r="IC164" s="938" t="str">
        <f t="shared" si="431"/>
        <v xml:space="preserve"> </v>
      </c>
      <c r="ID164" s="938" t="str">
        <f t="shared" si="432"/>
        <v xml:space="preserve"> </v>
      </c>
      <c r="IL164" s="938" t="str">
        <f t="shared" si="433"/>
        <v xml:space="preserve"> </v>
      </c>
      <c r="IM164" s="938" t="str">
        <f t="shared" si="434"/>
        <v xml:space="preserve"> </v>
      </c>
      <c r="IU164" s="938" t="str">
        <f t="shared" si="435"/>
        <v xml:space="preserve"> </v>
      </c>
      <c r="IV164" s="938" t="str">
        <f t="shared" si="436"/>
        <v xml:space="preserve"> </v>
      </c>
      <c r="JD164" s="938" t="str">
        <f t="shared" si="437"/>
        <v xml:space="preserve"> </v>
      </c>
      <c r="JE164" s="938" t="str">
        <f t="shared" si="438"/>
        <v xml:space="preserve"> </v>
      </c>
      <c r="JM164" s="938" t="str">
        <f t="shared" si="439"/>
        <v xml:space="preserve"> </v>
      </c>
      <c r="JN164" s="938" t="str">
        <f t="shared" si="440"/>
        <v xml:space="preserve"> </v>
      </c>
      <c r="JV164" s="938" t="str">
        <f t="shared" si="441"/>
        <v xml:space="preserve"> </v>
      </c>
      <c r="JW164" s="938" t="str">
        <f t="shared" si="442"/>
        <v xml:space="preserve"> </v>
      </c>
    </row>
    <row r="165" spans="11:283" x14ac:dyDescent="0.2">
      <c r="K165" s="938" t="str">
        <f t="shared" si="381"/>
        <v/>
      </c>
      <c r="L165" s="714">
        <f t="shared" si="382"/>
        <v>0</v>
      </c>
      <c r="M165" s="714">
        <v>4.0000000000000002E-4</v>
      </c>
      <c r="N165" s="714">
        <v>40</v>
      </c>
      <c r="O165" t="str">
        <v>MG-KAINIT</v>
      </c>
      <c r="P165" s="714">
        <f t="shared" si="443"/>
        <v>0</v>
      </c>
      <c r="Q165" s="714">
        <f t="shared" si="444"/>
        <v>0</v>
      </c>
      <c r="U165" s="938" t="str">
        <f t="shared" si="383"/>
        <v xml:space="preserve"> </v>
      </c>
      <c r="V165" s="938" t="str">
        <f t="shared" si="384"/>
        <v xml:space="preserve"> </v>
      </c>
      <c r="AD165" s="938" t="str">
        <f t="shared" si="385"/>
        <v xml:space="preserve"> </v>
      </c>
      <c r="AE165" s="938" t="str">
        <f t="shared" si="386"/>
        <v xml:space="preserve"> </v>
      </c>
      <c r="AM165" s="938" t="str">
        <f t="shared" si="387"/>
        <v xml:space="preserve"> </v>
      </c>
      <c r="AN165" s="938" t="str">
        <f t="shared" si="388"/>
        <v xml:space="preserve"> </v>
      </c>
      <c r="AV165" s="938" t="str">
        <f t="shared" si="389"/>
        <v xml:space="preserve"> </v>
      </c>
      <c r="AW165" s="938" t="str">
        <f t="shared" si="390"/>
        <v xml:space="preserve"> </v>
      </c>
      <c r="BE165" s="938" t="str">
        <f t="shared" si="391"/>
        <v xml:space="preserve"> </v>
      </c>
      <c r="BF165" s="938" t="str">
        <f t="shared" si="392"/>
        <v xml:space="preserve"> </v>
      </c>
      <c r="BN165" s="938" t="str">
        <f t="shared" si="393"/>
        <v xml:space="preserve"> </v>
      </c>
      <c r="BO165" s="938" t="str">
        <f t="shared" si="394"/>
        <v xml:space="preserve"> </v>
      </c>
      <c r="BW165" s="938" t="str">
        <f t="shared" si="395"/>
        <v xml:space="preserve"> </v>
      </c>
      <c r="BX165" s="938" t="str">
        <f t="shared" si="396"/>
        <v xml:space="preserve"> </v>
      </c>
      <c r="CF165" s="938" t="str">
        <f t="shared" si="397"/>
        <v xml:space="preserve"> </v>
      </c>
      <c r="CG165" s="938" t="str">
        <f t="shared" si="398"/>
        <v xml:space="preserve"> </v>
      </c>
      <c r="CO165" s="938" t="str">
        <f t="shared" si="399"/>
        <v xml:space="preserve"> </v>
      </c>
      <c r="CP165" s="938" t="str">
        <f t="shared" si="400"/>
        <v xml:space="preserve"> </v>
      </c>
      <c r="CX165" s="938" t="str">
        <f t="shared" si="401"/>
        <v xml:space="preserve"> </v>
      </c>
      <c r="CY165" s="938" t="str">
        <f t="shared" si="402"/>
        <v xml:space="preserve"> </v>
      </c>
      <c r="DG165" s="938" t="str">
        <f t="shared" si="403"/>
        <v xml:space="preserve"> </v>
      </c>
      <c r="DH165" s="938" t="str">
        <f t="shared" si="404"/>
        <v xml:space="preserve"> </v>
      </c>
      <c r="DP165" s="938" t="str">
        <f t="shared" si="405"/>
        <v xml:space="preserve"> </v>
      </c>
      <c r="DQ165" s="938" t="str">
        <f t="shared" si="406"/>
        <v xml:space="preserve"> </v>
      </c>
      <c r="DY165" s="938" t="str">
        <f t="shared" si="407"/>
        <v xml:space="preserve"> </v>
      </c>
      <c r="DZ165" s="938" t="str">
        <f t="shared" si="408"/>
        <v xml:space="preserve"> </v>
      </c>
      <c r="EH165" s="938" t="str">
        <f t="shared" si="409"/>
        <v xml:space="preserve"> </v>
      </c>
      <c r="EI165" s="938" t="str">
        <f t="shared" si="410"/>
        <v xml:space="preserve"> </v>
      </c>
      <c r="EQ165" s="938" t="str">
        <f t="shared" si="411"/>
        <v xml:space="preserve"> </v>
      </c>
      <c r="ER165" s="938" t="str">
        <f t="shared" si="412"/>
        <v xml:space="preserve"> </v>
      </c>
      <c r="EZ165" s="938" t="str">
        <f t="shared" si="413"/>
        <v xml:space="preserve"> </v>
      </c>
      <c r="FA165" s="938" t="str">
        <f t="shared" si="414"/>
        <v xml:space="preserve"> </v>
      </c>
      <c r="FI165" s="938" t="str">
        <f t="shared" si="415"/>
        <v xml:space="preserve"> </v>
      </c>
      <c r="FJ165" s="938" t="str">
        <f t="shared" si="416"/>
        <v xml:space="preserve"> </v>
      </c>
      <c r="FR165" s="938" t="str">
        <f t="shared" si="417"/>
        <v xml:space="preserve"> </v>
      </c>
      <c r="FS165" s="938" t="str">
        <f t="shared" si="418"/>
        <v xml:space="preserve"> </v>
      </c>
      <c r="GA165" s="938" t="str">
        <f t="shared" si="419"/>
        <v xml:space="preserve"> </v>
      </c>
      <c r="GB165" s="938" t="str">
        <f t="shared" si="420"/>
        <v xml:space="preserve"> </v>
      </c>
      <c r="GJ165" s="938" t="str">
        <f t="shared" si="421"/>
        <v xml:space="preserve"> </v>
      </c>
      <c r="GK165" s="938" t="str">
        <f t="shared" si="422"/>
        <v xml:space="preserve"> </v>
      </c>
      <c r="GS165" s="938" t="str">
        <f t="shared" si="423"/>
        <v xml:space="preserve"> </v>
      </c>
      <c r="GT165" s="938" t="str">
        <f t="shared" si="424"/>
        <v xml:space="preserve"> </v>
      </c>
      <c r="HB165" s="938" t="str">
        <f t="shared" si="425"/>
        <v xml:space="preserve"> </v>
      </c>
      <c r="HC165" s="938" t="str">
        <f t="shared" si="426"/>
        <v xml:space="preserve"> </v>
      </c>
      <c r="HK165" s="938" t="str">
        <f t="shared" si="427"/>
        <v xml:space="preserve"> </v>
      </c>
      <c r="HL165" s="938" t="str">
        <f t="shared" si="428"/>
        <v xml:space="preserve"> </v>
      </c>
      <c r="HT165" s="938" t="str">
        <f t="shared" si="429"/>
        <v xml:space="preserve"> </v>
      </c>
      <c r="HU165" s="938" t="str">
        <f t="shared" si="430"/>
        <v xml:space="preserve"> </v>
      </c>
      <c r="IC165" s="938" t="str">
        <f t="shared" si="431"/>
        <v xml:space="preserve"> </v>
      </c>
      <c r="ID165" s="938" t="str">
        <f t="shared" si="432"/>
        <v xml:space="preserve"> </v>
      </c>
      <c r="IL165" s="938" t="str">
        <f t="shared" si="433"/>
        <v xml:space="preserve"> </v>
      </c>
      <c r="IM165" s="938" t="str">
        <f t="shared" si="434"/>
        <v xml:space="preserve"> </v>
      </c>
      <c r="IU165" s="938" t="str">
        <f t="shared" si="435"/>
        <v xml:space="preserve"> </v>
      </c>
      <c r="IV165" s="938" t="str">
        <f t="shared" si="436"/>
        <v xml:space="preserve"> </v>
      </c>
      <c r="JD165" s="938" t="str">
        <f t="shared" si="437"/>
        <v xml:space="preserve"> </v>
      </c>
      <c r="JE165" s="938" t="str">
        <f t="shared" si="438"/>
        <v xml:space="preserve"> </v>
      </c>
      <c r="JM165" s="938" t="str">
        <f t="shared" si="439"/>
        <v xml:space="preserve"> </v>
      </c>
      <c r="JN165" s="938" t="str">
        <f t="shared" si="440"/>
        <v xml:space="preserve"> </v>
      </c>
      <c r="JV165" s="938" t="str">
        <f t="shared" si="441"/>
        <v xml:space="preserve"> </v>
      </c>
      <c r="JW165" s="938" t="str">
        <f t="shared" si="442"/>
        <v xml:space="preserve"> </v>
      </c>
    </row>
    <row r="166" spans="11:283" x14ac:dyDescent="0.2">
      <c r="K166" s="938" t="str">
        <f t="shared" si="381"/>
        <v/>
      </c>
      <c r="L166" s="714">
        <f t="shared" si="382"/>
        <v>0</v>
      </c>
      <c r="M166" s="714">
        <v>4.0999999999999999E-4</v>
      </c>
      <c r="N166" s="714">
        <v>41</v>
      </c>
      <c r="O166" t="str">
        <v>NOVAPH23</v>
      </c>
      <c r="P166" s="714">
        <f t="shared" si="443"/>
        <v>0</v>
      </c>
      <c r="Q166" s="714">
        <f t="shared" si="444"/>
        <v>0</v>
      </c>
      <c r="U166" s="938" t="str">
        <f t="shared" si="383"/>
        <v xml:space="preserve"> </v>
      </c>
      <c r="V166" s="938" t="str">
        <f t="shared" si="384"/>
        <v xml:space="preserve"> </v>
      </c>
      <c r="AD166" s="938" t="str">
        <f t="shared" si="385"/>
        <v xml:space="preserve"> </v>
      </c>
      <c r="AE166" s="938" t="str">
        <f t="shared" si="386"/>
        <v xml:space="preserve"> </v>
      </c>
      <c r="AM166" s="938" t="str">
        <f t="shared" si="387"/>
        <v xml:space="preserve"> </v>
      </c>
      <c r="AN166" s="938" t="str">
        <f t="shared" si="388"/>
        <v xml:space="preserve"> </v>
      </c>
      <c r="AV166" s="938" t="str">
        <f t="shared" si="389"/>
        <v xml:space="preserve"> </v>
      </c>
      <c r="AW166" s="938" t="str">
        <f t="shared" si="390"/>
        <v xml:space="preserve"> </v>
      </c>
      <c r="BE166" s="938" t="str">
        <f t="shared" si="391"/>
        <v xml:space="preserve"> </v>
      </c>
      <c r="BF166" s="938" t="str">
        <f t="shared" si="392"/>
        <v xml:space="preserve"> </v>
      </c>
      <c r="BN166" s="938" t="str">
        <f t="shared" si="393"/>
        <v xml:space="preserve"> </v>
      </c>
      <c r="BO166" s="938" t="str">
        <f t="shared" si="394"/>
        <v xml:space="preserve"> </v>
      </c>
      <c r="BW166" s="938" t="str">
        <f t="shared" si="395"/>
        <v xml:space="preserve"> </v>
      </c>
      <c r="BX166" s="938" t="str">
        <f t="shared" si="396"/>
        <v xml:space="preserve"> </v>
      </c>
      <c r="CF166" s="938" t="str">
        <f t="shared" si="397"/>
        <v xml:space="preserve"> </v>
      </c>
      <c r="CG166" s="938" t="str">
        <f t="shared" si="398"/>
        <v xml:space="preserve"> </v>
      </c>
      <c r="CO166" s="938" t="str">
        <f t="shared" si="399"/>
        <v xml:space="preserve"> </v>
      </c>
      <c r="CP166" s="938" t="str">
        <f t="shared" si="400"/>
        <v xml:space="preserve"> </v>
      </c>
      <c r="CX166" s="938" t="str">
        <f t="shared" si="401"/>
        <v xml:space="preserve"> </v>
      </c>
      <c r="CY166" s="938" t="str">
        <f t="shared" si="402"/>
        <v xml:space="preserve"> </v>
      </c>
      <c r="DG166" s="938" t="str">
        <f t="shared" si="403"/>
        <v xml:space="preserve"> </v>
      </c>
      <c r="DH166" s="938" t="str">
        <f t="shared" si="404"/>
        <v xml:space="preserve"> </v>
      </c>
      <c r="DP166" s="938" t="str">
        <f t="shared" si="405"/>
        <v xml:space="preserve"> </v>
      </c>
      <c r="DQ166" s="938" t="str">
        <f t="shared" si="406"/>
        <v xml:space="preserve"> </v>
      </c>
      <c r="DY166" s="938" t="str">
        <f t="shared" si="407"/>
        <v xml:space="preserve"> </v>
      </c>
      <c r="DZ166" s="938" t="str">
        <f t="shared" si="408"/>
        <v xml:space="preserve"> </v>
      </c>
      <c r="EH166" s="938" t="str">
        <f t="shared" si="409"/>
        <v xml:space="preserve"> </v>
      </c>
      <c r="EI166" s="938" t="str">
        <f t="shared" si="410"/>
        <v xml:space="preserve"> </v>
      </c>
      <c r="EQ166" s="938" t="str">
        <f t="shared" si="411"/>
        <v xml:space="preserve"> </v>
      </c>
      <c r="ER166" s="938" t="str">
        <f t="shared" si="412"/>
        <v xml:space="preserve"> </v>
      </c>
      <c r="EZ166" s="938" t="str">
        <f t="shared" si="413"/>
        <v xml:space="preserve"> </v>
      </c>
      <c r="FA166" s="938" t="str">
        <f t="shared" si="414"/>
        <v xml:space="preserve"> </v>
      </c>
      <c r="FI166" s="938" t="str">
        <f t="shared" si="415"/>
        <v xml:space="preserve"> </v>
      </c>
      <c r="FJ166" s="938" t="str">
        <f t="shared" si="416"/>
        <v xml:space="preserve"> </v>
      </c>
      <c r="FR166" s="938" t="str">
        <f t="shared" si="417"/>
        <v xml:space="preserve"> </v>
      </c>
      <c r="FS166" s="938" t="str">
        <f t="shared" si="418"/>
        <v xml:space="preserve"> </v>
      </c>
      <c r="GA166" s="938" t="str">
        <f t="shared" si="419"/>
        <v xml:space="preserve"> </v>
      </c>
      <c r="GB166" s="938" t="str">
        <f t="shared" si="420"/>
        <v xml:space="preserve"> </v>
      </c>
      <c r="GJ166" s="938" t="str">
        <f t="shared" si="421"/>
        <v xml:space="preserve"> </v>
      </c>
      <c r="GK166" s="938" t="str">
        <f t="shared" si="422"/>
        <v xml:space="preserve"> </v>
      </c>
      <c r="GS166" s="938" t="str">
        <f t="shared" si="423"/>
        <v xml:space="preserve"> </v>
      </c>
      <c r="GT166" s="938" t="str">
        <f t="shared" si="424"/>
        <v xml:space="preserve"> </v>
      </c>
      <c r="HB166" s="938" t="str">
        <f t="shared" si="425"/>
        <v xml:space="preserve"> </v>
      </c>
      <c r="HC166" s="938" t="str">
        <f t="shared" si="426"/>
        <v xml:space="preserve"> </v>
      </c>
      <c r="HK166" s="938" t="str">
        <f t="shared" si="427"/>
        <v xml:space="preserve"> </v>
      </c>
      <c r="HL166" s="938" t="str">
        <f t="shared" si="428"/>
        <v xml:space="preserve"> </v>
      </c>
      <c r="HT166" s="938" t="str">
        <f t="shared" si="429"/>
        <v xml:space="preserve"> </v>
      </c>
      <c r="HU166" s="938" t="str">
        <f t="shared" si="430"/>
        <v xml:space="preserve"> </v>
      </c>
      <c r="IC166" s="938" t="str">
        <f t="shared" si="431"/>
        <v xml:space="preserve"> </v>
      </c>
      <c r="ID166" s="938" t="str">
        <f t="shared" si="432"/>
        <v xml:space="preserve"> </v>
      </c>
      <c r="IL166" s="938" t="str">
        <f t="shared" si="433"/>
        <v xml:space="preserve"> </v>
      </c>
      <c r="IM166" s="938" t="str">
        <f t="shared" si="434"/>
        <v xml:space="preserve"> </v>
      </c>
      <c r="IU166" s="938" t="str">
        <f t="shared" si="435"/>
        <v xml:space="preserve"> </v>
      </c>
      <c r="IV166" s="938" t="str">
        <f t="shared" si="436"/>
        <v xml:space="preserve"> </v>
      </c>
      <c r="JD166" s="938" t="str">
        <f t="shared" si="437"/>
        <v xml:space="preserve"> </v>
      </c>
      <c r="JE166" s="938" t="str">
        <f t="shared" si="438"/>
        <v xml:space="preserve"> </v>
      </c>
      <c r="JM166" s="938" t="str">
        <f t="shared" si="439"/>
        <v xml:space="preserve"> </v>
      </c>
      <c r="JN166" s="938" t="str">
        <f t="shared" si="440"/>
        <v xml:space="preserve"> </v>
      </c>
      <c r="JV166" s="938" t="str">
        <f t="shared" si="441"/>
        <v xml:space="preserve"> </v>
      </c>
      <c r="JW166" s="938" t="str">
        <f t="shared" si="442"/>
        <v xml:space="preserve"> </v>
      </c>
    </row>
    <row r="167" spans="11:283" x14ac:dyDescent="0.2">
      <c r="K167" s="938" t="str">
        <f t="shared" si="381"/>
        <v/>
      </c>
      <c r="L167" s="714">
        <f t="shared" si="382"/>
        <v>0</v>
      </c>
      <c r="M167" s="714">
        <v>4.2000000000000002E-4</v>
      </c>
      <c r="N167" s="714">
        <v>42</v>
      </c>
      <c r="O167" t="str">
        <v>NP18-46</v>
      </c>
      <c r="P167" s="714">
        <f t="shared" si="443"/>
        <v>0</v>
      </c>
      <c r="Q167" s="714">
        <f t="shared" si="444"/>
        <v>0</v>
      </c>
      <c r="U167" s="938" t="str">
        <f t="shared" si="383"/>
        <v xml:space="preserve"> </v>
      </c>
      <c r="V167" s="938" t="str">
        <f t="shared" si="384"/>
        <v xml:space="preserve"> </v>
      </c>
      <c r="AD167" s="938" t="str">
        <f t="shared" si="385"/>
        <v xml:space="preserve"> </v>
      </c>
      <c r="AE167" s="938" t="str">
        <f t="shared" si="386"/>
        <v xml:space="preserve"> </v>
      </c>
      <c r="AM167" s="938" t="str">
        <f t="shared" si="387"/>
        <v xml:space="preserve"> </v>
      </c>
      <c r="AN167" s="938" t="str">
        <f t="shared" si="388"/>
        <v xml:space="preserve"> </v>
      </c>
      <c r="AV167" s="938" t="str">
        <f t="shared" si="389"/>
        <v xml:space="preserve"> </v>
      </c>
      <c r="AW167" s="938" t="str">
        <f t="shared" si="390"/>
        <v xml:space="preserve"> </v>
      </c>
      <c r="BE167" s="938" t="str">
        <f t="shared" si="391"/>
        <v xml:space="preserve"> </v>
      </c>
      <c r="BF167" s="938" t="str">
        <f t="shared" si="392"/>
        <v xml:space="preserve"> </v>
      </c>
      <c r="BN167" s="938" t="str">
        <f t="shared" si="393"/>
        <v xml:space="preserve"> </v>
      </c>
      <c r="BO167" s="938" t="str">
        <f t="shared" si="394"/>
        <v xml:space="preserve"> </v>
      </c>
      <c r="BW167" s="938" t="str">
        <f t="shared" si="395"/>
        <v xml:space="preserve"> </v>
      </c>
      <c r="BX167" s="938" t="str">
        <f t="shared" si="396"/>
        <v xml:space="preserve"> </v>
      </c>
      <c r="CF167" s="938" t="str">
        <f t="shared" si="397"/>
        <v xml:space="preserve"> </v>
      </c>
      <c r="CG167" s="938" t="str">
        <f t="shared" si="398"/>
        <v xml:space="preserve"> </v>
      </c>
      <c r="CO167" s="938" t="str">
        <f t="shared" si="399"/>
        <v xml:space="preserve"> </v>
      </c>
      <c r="CP167" s="938" t="str">
        <f t="shared" si="400"/>
        <v xml:space="preserve"> </v>
      </c>
      <c r="CX167" s="938" t="str">
        <f t="shared" si="401"/>
        <v xml:space="preserve"> </v>
      </c>
      <c r="CY167" s="938" t="str">
        <f t="shared" si="402"/>
        <v xml:space="preserve"> </v>
      </c>
      <c r="DG167" s="938" t="str">
        <f t="shared" si="403"/>
        <v xml:space="preserve"> </v>
      </c>
      <c r="DH167" s="938" t="str">
        <f t="shared" si="404"/>
        <v xml:space="preserve"> </v>
      </c>
      <c r="DP167" s="938" t="str">
        <f t="shared" si="405"/>
        <v xml:space="preserve"> </v>
      </c>
      <c r="DQ167" s="938" t="str">
        <f t="shared" si="406"/>
        <v xml:space="preserve"> </v>
      </c>
      <c r="DY167" s="938" t="str">
        <f t="shared" si="407"/>
        <v xml:space="preserve"> </v>
      </c>
      <c r="DZ167" s="938" t="str">
        <f t="shared" si="408"/>
        <v xml:space="preserve"> </v>
      </c>
      <c r="EH167" s="938" t="str">
        <f t="shared" si="409"/>
        <v xml:space="preserve"> </v>
      </c>
      <c r="EI167" s="938" t="str">
        <f t="shared" si="410"/>
        <v xml:space="preserve"> </v>
      </c>
      <c r="EQ167" s="938" t="str">
        <f t="shared" si="411"/>
        <v xml:space="preserve"> </v>
      </c>
      <c r="ER167" s="938" t="str">
        <f t="shared" si="412"/>
        <v xml:space="preserve"> </v>
      </c>
      <c r="EZ167" s="938" t="str">
        <f t="shared" si="413"/>
        <v xml:space="preserve"> </v>
      </c>
      <c r="FA167" s="938" t="str">
        <f t="shared" si="414"/>
        <v xml:space="preserve"> </v>
      </c>
      <c r="FI167" s="938" t="str">
        <f t="shared" si="415"/>
        <v xml:space="preserve"> </v>
      </c>
      <c r="FJ167" s="938" t="str">
        <f t="shared" si="416"/>
        <v xml:space="preserve"> </v>
      </c>
      <c r="FR167" s="938" t="str">
        <f t="shared" si="417"/>
        <v xml:space="preserve"> </v>
      </c>
      <c r="FS167" s="938" t="str">
        <f t="shared" si="418"/>
        <v xml:space="preserve"> </v>
      </c>
      <c r="GA167" s="938" t="str">
        <f t="shared" si="419"/>
        <v xml:space="preserve"> </v>
      </c>
      <c r="GB167" s="938" t="str">
        <f t="shared" si="420"/>
        <v xml:space="preserve"> </v>
      </c>
      <c r="GJ167" s="938" t="str">
        <f t="shared" si="421"/>
        <v xml:space="preserve"> </v>
      </c>
      <c r="GK167" s="938" t="str">
        <f t="shared" si="422"/>
        <v xml:space="preserve"> </v>
      </c>
      <c r="GS167" s="938" t="str">
        <f t="shared" si="423"/>
        <v xml:space="preserve"> </v>
      </c>
      <c r="GT167" s="938" t="str">
        <f t="shared" si="424"/>
        <v xml:space="preserve"> </v>
      </c>
      <c r="HB167" s="938" t="str">
        <f t="shared" si="425"/>
        <v xml:space="preserve"> </v>
      </c>
      <c r="HC167" s="938" t="str">
        <f t="shared" si="426"/>
        <v xml:space="preserve"> </v>
      </c>
      <c r="HK167" s="938" t="str">
        <f t="shared" si="427"/>
        <v xml:space="preserve"> </v>
      </c>
      <c r="HL167" s="938" t="str">
        <f t="shared" si="428"/>
        <v xml:space="preserve"> </v>
      </c>
      <c r="HT167" s="938" t="str">
        <f t="shared" si="429"/>
        <v xml:space="preserve"> </v>
      </c>
      <c r="HU167" s="938" t="str">
        <f t="shared" si="430"/>
        <v xml:space="preserve"> </v>
      </c>
      <c r="IC167" s="938" t="str">
        <f t="shared" si="431"/>
        <v xml:space="preserve"> </v>
      </c>
      <c r="ID167" s="938" t="str">
        <f t="shared" si="432"/>
        <v xml:space="preserve"> </v>
      </c>
      <c r="IL167" s="938" t="str">
        <f t="shared" si="433"/>
        <v xml:space="preserve"> </v>
      </c>
      <c r="IM167" s="938" t="str">
        <f t="shared" si="434"/>
        <v xml:space="preserve"> </v>
      </c>
      <c r="IU167" s="938" t="str">
        <f t="shared" si="435"/>
        <v xml:space="preserve"> </v>
      </c>
      <c r="IV167" s="938" t="str">
        <f t="shared" si="436"/>
        <v xml:space="preserve"> </v>
      </c>
      <c r="JD167" s="938" t="str">
        <f t="shared" si="437"/>
        <v xml:space="preserve"> </v>
      </c>
      <c r="JE167" s="938" t="str">
        <f t="shared" si="438"/>
        <v xml:space="preserve"> </v>
      </c>
      <c r="JM167" s="938" t="str">
        <f t="shared" si="439"/>
        <v xml:space="preserve"> </v>
      </c>
      <c r="JN167" s="938" t="str">
        <f t="shared" si="440"/>
        <v xml:space="preserve"> </v>
      </c>
      <c r="JV167" s="938" t="str">
        <f t="shared" si="441"/>
        <v xml:space="preserve"> </v>
      </c>
      <c r="JW167" s="938" t="str">
        <f t="shared" si="442"/>
        <v xml:space="preserve"> </v>
      </c>
    </row>
    <row r="168" spans="11:283" x14ac:dyDescent="0.2">
      <c r="K168" s="938" t="str">
        <f t="shared" si="381"/>
        <v/>
      </c>
      <c r="L168" s="714">
        <f t="shared" si="382"/>
        <v>0</v>
      </c>
      <c r="M168" s="714">
        <v>4.2999999999999999E-4</v>
      </c>
      <c r="N168" s="714">
        <v>43</v>
      </c>
      <c r="O168" t="str">
        <v>NIPH12-12-17</v>
      </c>
      <c r="P168" s="714">
        <f t="shared" si="443"/>
        <v>0</v>
      </c>
      <c r="Q168" s="714">
        <f t="shared" si="444"/>
        <v>0</v>
      </c>
      <c r="U168" s="938" t="str">
        <f t="shared" si="383"/>
        <v xml:space="preserve"> </v>
      </c>
      <c r="V168" s="938" t="str">
        <f t="shared" si="384"/>
        <v xml:space="preserve"> </v>
      </c>
      <c r="AD168" s="938" t="str">
        <f t="shared" si="385"/>
        <v xml:space="preserve"> </v>
      </c>
      <c r="AE168" s="938" t="str">
        <f t="shared" si="386"/>
        <v xml:space="preserve"> </v>
      </c>
      <c r="AM168" s="938" t="str">
        <f t="shared" si="387"/>
        <v xml:space="preserve"> </v>
      </c>
      <c r="AN168" s="938" t="str">
        <f t="shared" si="388"/>
        <v xml:space="preserve"> </v>
      </c>
      <c r="AV168" s="938" t="str">
        <f t="shared" si="389"/>
        <v xml:space="preserve"> </v>
      </c>
      <c r="AW168" s="938" t="str">
        <f t="shared" si="390"/>
        <v xml:space="preserve"> </v>
      </c>
      <c r="BE168" s="938" t="str">
        <f t="shared" si="391"/>
        <v xml:space="preserve"> </v>
      </c>
      <c r="BF168" s="938" t="str">
        <f t="shared" si="392"/>
        <v xml:space="preserve"> </v>
      </c>
      <c r="BN168" s="938" t="str">
        <f t="shared" si="393"/>
        <v xml:space="preserve"> </v>
      </c>
      <c r="BO168" s="938" t="str">
        <f t="shared" si="394"/>
        <v xml:space="preserve"> </v>
      </c>
      <c r="BW168" s="938" t="str">
        <f t="shared" si="395"/>
        <v xml:space="preserve"> </v>
      </c>
      <c r="BX168" s="938" t="str">
        <f t="shared" si="396"/>
        <v xml:space="preserve"> </v>
      </c>
      <c r="CF168" s="938" t="str">
        <f t="shared" si="397"/>
        <v xml:space="preserve"> </v>
      </c>
      <c r="CG168" s="938" t="str">
        <f t="shared" si="398"/>
        <v xml:space="preserve"> </v>
      </c>
      <c r="CO168" s="938" t="str">
        <f t="shared" si="399"/>
        <v xml:space="preserve"> </v>
      </c>
      <c r="CP168" s="938" t="str">
        <f t="shared" si="400"/>
        <v xml:space="preserve"> </v>
      </c>
      <c r="CX168" s="938" t="str">
        <f t="shared" si="401"/>
        <v xml:space="preserve"> </v>
      </c>
      <c r="CY168" s="938" t="str">
        <f t="shared" si="402"/>
        <v xml:space="preserve"> </v>
      </c>
      <c r="DG168" s="938" t="str">
        <f t="shared" si="403"/>
        <v xml:space="preserve"> </v>
      </c>
      <c r="DH168" s="938" t="str">
        <f t="shared" si="404"/>
        <v xml:space="preserve"> </v>
      </c>
      <c r="DP168" s="938" t="str">
        <f t="shared" si="405"/>
        <v xml:space="preserve"> </v>
      </c>
      <c r="DQ168" s="938" t="str">
        <f t="shared" si="406"/>
        <v xml:space="preserve"> </v>
      </c>
      <c r="DY168" s="938" t="str">
        <f t="shared" si="407"/>
        <v xml:space="preserve"> </v>
      </c>
      <c r="DZ168" s="938" t="str">
        <f t="shared" si="408"/>
        <v xml:space="preserve"> </v>
      </c>
      <c r="EH168" s="938" t="str">
        <f t="shared" si="409"/>
        <v xml:space="preserve"> </v>
      </c>
      <c r="EI168" s="938" t="str">
        <f t="shared" si="410"/>
        <v xml:space="preserve"> </v>
      </c>
      <c r="EQ168" s="938" t="str">
        <f t="shared" si="411"/>
        <v xml:space="preserve"> </v>
      </c>
      <c r="ER168" s="938" t="str">
        <f t="shared" si="412"/>
        <v xml:space="preserve"> </v>
      </c>
      <c r="EZ168" s="938" t="str">
        <f t="shared" si="413"/>
        <v xml:space="preserve"> </v>
      </c>
      <c r="FA168" s="938" t="str">
        <f t="shared" si="414"/>
        <v xml:space="preserve"> </v>
      </c>
      <c r="FI168" s="938" t="str">
        <f t="shared" si="415"/>
        <v xml:space="preserve"> </v>
      </c>
      <c r="FJ168" s="938" t="str">
        <f t="shared" si="416"/>
        <v xml:space="preserve"> </v>
      </c>
      <c r="FR168" s="938" t="str">
        <f t="shared" si="417"/>
        <v xml:space="preserve"> </v>
      </c>
      <c r="FS168" s="938" t="str">
        <f t="shared" si="418"/>
        <v xml:space="preserve"> </v>
      </c>
      <c r="GA168" s="938" t="str">
        <f t="shared" si="419"/>
        <v xml:space="preserve"> </v>
      </c>
      <c r="GB168" s="938" t="str">
        <f t="shared" si="420"/>
        <v xml:space="preserve"> </v>
      </c>
      <c r="GJ168" s="938" t="str">
        <f t="shared" si="421"/>
        <v xml:space="preserve"> </v>
      </c>
      <c r="GK168" s="938" t="str">
        <f t="shared" si="422"/>
        <v xml:space="preserve"> </v>
      </c>
      <c r="GS168" s="938" t="str">
        <f t="shared" si="423"/>
        <v xml:space="preserve"> </v>
      </c>
      <c r="GT168" s="938" t="str">
        <f t="shared" si="424"/>
        <v xml:space="preserve"> </v>
      </c>
      <c r="HB168" s="938" t="str">
        <f t="shared" si="425"/>
        <v xml:space="preserve"> </v>
      </c>
      <c r="HC168" s="938" t="str">
        <f t="shared" si="426"/>
        <v xml:space="preserve"> </v>
      </c>
      <c r="HK168" s="938" t="str">
        <f t="shared" si="427"/>
        <v xml:space="preserve"> </v>
      </c>
      <c r="HL168" s="938" t="str">
        <f t="shared" si="428"/>
        <v xml:space="preserve"> </v>
      </c>
      <c r="HT168" s="938" t="str">
        <f t="shared" si="429"/>
        <v xml:space="preserve"> </v>
      </c>
      <c r="HU168" s="938" t="str">
        <f t="shared" si="430"/>
        <v xml:space="preserve"> </v>
      </c>
      <c r="IC168" s="938" t="str">
        <f t="shared" si="431"/>
        <v xml:space="preserve"> </v>
      </c>
      <c r="ID168" s="938" t="str">
        <f t="shared" si="432"/>
        <v xml:space="preserve"> </v>
      </c>
      <c r="IL168" s="938" t="str">
        <f t="shared" si="433"/>
        <v xml:space="preserve"> </v>
      </c>
      <c r="IM168" s="938" t="str">
        <f t="shared" si="434"/>
        <v xml:space="preserve"> </v>
      </c>
      <c r="IU168" s="938" t="str">
        <f t="shared" si="435"/>
        <v xml:space="preserve"> </v>
      </c>
      <c r="IV168" s="938" t="str">
        <f t="shared" si="436"/>
        <v xml:space="preserve"> </v>
      </c>
      <c r="JD168" s="938" t="str">
        <f t="shared" si="437"/>
        <v xml:space="preserve"> </v>
      </c>
      <c r="JE168" s="938" t="str">
        <f t="shared" si="438"/>
        <v xml:space="preserve"> </v>
      </c>
      <c r="JM168" s="938" t="str">
        <f t="shared" si="439"/>
        <v xml:space="preserve"> </v>
      </c>
      <c r="JN168" s="938" t="str">
        <f t="shared" si="440"/>
        <v xml:space="preserve"> </v>
      </c>
      <c r="JV168" s="938" t="str">
        <f t="shared" si="441"/>
        <v xml:space="preserve"> </v>
      </c>
      <c r="JW168" s="938" t="str">
        <f t="shared" si="442"/>
        <v xml:space="preserve"> </v>
      </c>
    </row>
    <row r="169" spans="11:283" x14ac:dyDescent="0.2">
      <c r="K169" s="938" t="str">
        <f t="shared" si="381"/>
        <v/>
      </c>
      <c r="L169" s="714">
        <f t="shared" si="382"/>
        <v>0</v>
      </c>
      <c r="M169" s="714">
        <v>4.4000000000000002E-4</v>
      </c>
      <c r="N169" s="714">
        <v>44</v>
      </c>
      <c r="O169" t="str">
        <v>NPK12-12-17</v>
      </c>
      <c r="P169" s="714">
        <f t="shared" si="443"/>
        <v>0</v>
      </c>
      <c r="Q169" s="714">
        <f t="shared" si="444"/>
        <v>0</v>
      </c>
      <c r="U169" s="938" t="str">
        <f t="shared" si="383"/>
        <v xml:space="preserve"> </v>
      </c>
      <c r="V169" s="938" t="str">
        <f t="shared" si="384"/>
        <v xml:space="preserve"> </v>
      </c>
      <c r="AD169" s="938" t="str">
        <f t="shared" si="385"/>
        <v xml:space="preserve"> </v>
      </c>
      <c r="AE169" s="938" t="str">
        <f t="shared" si="386"/>
        <v xml:space="preserve"> </v>
      </c>
      <c r="AM169" s="938" t="str">
        <f t="shared" si="387"/>
        <v xml:space="preserve"> </v>
      </c>
      <c r="AN169" s="938" t="str">
        <f t="shared" si="388"/>
        <v xml:space="preserve"> </v>
      </c>
      <c r="AV169" s="938" t="str">
        <f t="shared" si="389"/>
        <v xml:space="preserve"> </v>
      </c>
      <c r="AW169" s="938" t="str">
        <f t="shared" si="390"/>
        <v xml:space="preserve"> </v>
      </c>
      <c r="BE169" s="938" t="str">
        <f t="shared" si="391"/>
        <v xml:space="preserve"> </v>
      </c>
      <c r="BF169" s="938" t="str">
        <f t="shared" si="392"/>
        <v xml:space="preserve"> </v>
      </c>
      <c r="BN169" s="938" t="str">
        <f t="shared" si="393"/>
        <v xml:space="preserve"> </v>
      </c>
      <c r="BO169" s="938" t="str">
        <f t="shared" si="394"/>
        <v xml:space="preserve"> </v>
      </c>
      <c r="BW169" s="938" t="str">
        <f t="shared" si="395"/>
        <v xml:space="preserve"> </v>
      </c>
      <c r="BX169" s="938" t="str">
        <f t="shared" si="396"/>
        <v xml:space="preserve"> </v>
      </c>
      <c r="CF169" s="938" t="str">
        <f t="shared" si="397"/>
        <v xml:space="preserve"> </v>
      </c>
      <c r="CG169" s="938" t="str">
        <f t="shared" si="398"/>
        <v xml:space="preserve"> </v>
      </c>
      <c r="CO169" s="938" t="str">
        <f t="shared" si="399"/>
        <v xml:space="preserve"> </v>
      </c>
      <c r="CP169" s="938" t="str">
        <f t="shared" si="400"/>
        <v xml:space="preserve"> </v>
      </c>
      <c r="CX169" s="938" t="str">
        <f t="shared" si="401"/>
        <v xml:space="preserve"> </v>
      </c>
      <c r="CY169" s="938" t="str">
        <f t="shared" si="402"/>
        <v xml:space="preserve"> </v>
      </c>
      <c r="DG169" s="938" t="str">
        <f t="shared" si="403"/>
        <v xml:space="preserve"> </v>
      </c>
      <c r="DH169" s="938" t="str">
        <f t="shared" si="404"/>
        <v xml:space="preserve"> </v>
      </c>
      <c r="DP169" s="938" t="str">
        <f t="shared" si="405"/>
        <v xml:space="preserve"> </v>
      </c>
      <c r="DQ169" s="938" t="str">
        <f t="shared" si="406"/>
        <v xml:space="preserve"> </v>
      </c>
      <c r="DY169" s="938" t="str">
        <f t="shared" si="407"/>
        <v xml:space="preserve"> </v>
      </c>
      <c r="DZ169" s="938" t="str">
        <f t="shared" si="408"/>
        <v xml:space="preserve"> </v>
      </c>
      <c r="EH169" s="938" t="str">
        <f t="shared" si="409"/>
        <v xml:space="preserve"> </v>
      </c>
      <c r="EI169" s="938" t="str">
        <f t="shared" si="410"/>
        <v xml:space="preserve"> </v>
      </c>
      <c r="EQ169" s="938" t="str">
        <f t="shared" si="411"/>
        <v xml:space="preserve"> </v>
      </c>
      <c r="ER169" s="938" t="str">
        <f t="shared" si="412"/>
        <v xml:space="preserve"> </v>
      </c>
      <c r="EZ169" s="938" t="str">
        <f t="shared" si="413"/>
        <v xml:space="preserve"> </v>
      </c>
      <c r="FA169" s="938" t="str">
        <f t="shared" si="414"/>
        <v xml:space="preserve"> </v>
      </c>
      <c r="FI169" s="938" t="str">
        <f t="shared" si="415"/>
        <v xml:space="preserve"> </v>
      </c>
      <c r="FJ169" s="938" t="str">
        <f t="shared" si="416"/>
        <v xml:space="preserve"> </v>
      </c>
      <c r="FR169" s="938" t="str">
        <f t="shared" si="417"/>
        <v xml:space="preserve"> </v>
      </c>
      <c r="FS169" s="938" t="str">
        <f t="shared" si="418"/>
        <v xml:space="preserve"> </v>
      </c>
      <c r="GA169" s="938" t="str">
        <f t="shared" si="419"/>
        <v xml:space="preserve"> </v>
      </c>
      <c r="GB169" s="938" t="str">
        <f t="shared" si="420"/>
        <v xml:space="preserve"> </v>
      </c>
      <c r="GJ169" s="938" t="str">
        <f t="shared" si="421"/>
        <v xml:space="preserve"> </v>
      </c>
      <c r="GK169" s="938" t="str">
        <f t="shared" si="422"/>
        <v xml:space="preserve"> </v>
      </c>
      <c r="GS169" s="938" t="str">
        <f t="shared" si="423"/>
        <v xml:space="preserve"> </v>
      </c>
      <c r="GT169" s="938" t="str">
        <f t="shared" si="424"/>
        <v xml:space="preserve"> </v>
      </c>
      <c r="HB169" s="938" t="str">
        <f t="shared" si="425"/>
        <v xml:space="preserve"> </v>
      </c>
      <c r="HC169" s="938" t="str">
        <f t="shared" si="426"/>
        <v xml:space="preserve"> </v>
      </c>
      <c r="HK169" s="938" t="str">
        <f t="shared" si="427"/>
        <v xml:space="preserve"> </v>
      </c>
      <c r="HL169" s="938" t="str">
        <f t="shared" si="428"/>
        <v xml:space="preserve"> </v>
      </c>
      <c r="HT169" s="938" t="str">
        <f t="shared" si="429"/>
        <v xml:space="preserve"> </v>
      </c>
      <c r="HU169" s="938" t="str">
        <f t="shared" si="430"/>
        <v xml:space="preserve"> </v>
      </c>
      <c r="IC169" s="938" t="str">
        <f t="shared" si="431"/>
        <v xml:space="preserve"> </v>
      </c>
      <c r="ID169" s="938" t="str">
        <f t="shared" si="432"/>
        <v xml:space="preserve"> </v>
      </c>
      <c r="IL169" s="938" t="str">
        <f t="shared" si="433"/>
        <v xml:space="preserve"> </v>
      </c>
      <c r="IM169" s="938" t="str">
        <f t="shared" si="434"/>
        <v xml:space="preserve"> </v>
      </c>
      <c r="IU169" s="938" t="str">
        <f t="shared" si="435"/>
        <v xml:space="preserve"> </v>
      </c>
      <c r="IV169" s="938" t="str">
        <f t="shared" si="436"/>
        <v xml:space="preserve"> </v>
      </c>
      <c r="JD169" s="938" t="str">
        <f t="shared" si="437"/>
        <v xml:space="preserve"> </v>
      </c>
      <c r="JE169" s="938" t="str">
        <f t="shared" si="438"/>
        <v xml:space="preserve"> </v>
      </c>
      <c r="JM169" s="938" t="str">
        <f t="shared" si="439"/>
        <v xml:space="preserve"> </v>
      </c>
      <c r="JN169" s="938" t="str">
        <f t="shared" si="440"/>
        <v xml:space="preserve"> </v>
      </c>
      <c r="JV169" s="938" t="str">
        <f t="shared" si="441"/>
        <v xml:space="preserve"> </v>
      </c>
      <c r="JW169" s="938" t="str">
        <f t="shared" si="442"/>
        <v xml:space="preserve"> </v>
      </c>
    </row>
    <row r="170" spans="11:283" x14ac:dyDescent="0.2">
      <c r="K170" s="938" t="str">
        <f t="shared" si="381"/>
        <v/>
      </c>
      <c r="L170" s="714">
        <f t="shared" si="382"/>
        <v>0</v>
      </c>
      <c r="M170" s="714">
        <v>4.4999999999999999E-4</v>
      </c>
      <c r="N170" s="714">
        <v>45</v>
      </c>
      <c r="O170" t="str">
        <v>NPK12-12-17-CL</v>
      </c>
      <c r="P170" s="714">
        <f t="shared" si="443"/>
        <v>0</v>
      </c>
      <c r="Q170" s="714">
        <f t="shared" si="444"/>
        <v>0</v>
      </c>
      <c r="U170" s="938" t="str">
        <f t="shared" si="383"/>
        <v xml:space="preserve"> </v>
      </c>
      <c r="V170" s="938" t="str">
        <f t="shared" si="384"/>
        <v xml:space="preserve"> </v>
      </c>
      <c r="AD170" s="938" t="str">
        <f t="shared" si="385"/>
        <v xml:space="preserve"> </v>
      </c>
      <c r="AE170" s="938" t="str">
        <f t="shared" si="386"/>
        <v xml:space="preserve"> </v>
      </c>
      <c r="AM170" s="938" t="str">
        <f t="shared" si="387"/>
        <v xml:space="preserve"> </v>
      </c>
      <c r="AN170" s="938" t="str">
        <f t="shared" si="388"/>
        <v xml:space="preserve"> </v>
      </c>
      <c r="AV170" s="938" t="str">
        <f t="shared" si="389"/>
        <v xml:space="preserve"> </v>
      </c>
      <c r="AW170" s="938" t="str">
        <f t="shared" si="390"/>
        <v xml:space="preserve"> </v>
      </c>
      <c r="BE170" s="938" t="str">
        <f t="shared" si="391"/>
        <v xml:space="preserve"> </v>
      </c>
      <c r="BF170" s="938" t="str">
        <f t="shared" si="392"/>
        <v xml:space="preserve"> </v>
      </c>
      <c r="BN170" s="938" t="str">
        <f t="shared" si="393"/>
        <v xml:space="preserve"> </v>
      </c>
      <c r="BO170" s="938" t="str">
        <f t="shared" si="394"/>
        <v xml:space="preserve"> </v>
      </c>
      <c r="BW170" s="938" t="str">
        <f t="shared" si="395"/>
        <v xml:space="preserve"> </v>
      </c>
      <c r="BX170" s="938" t="str">
        <f t="shared" si="396"/>
        <v xml:space="preserve"> </v>
      </c>
      <c r="CF170" s="938" t="str">
        <f t="shared" si="397"/>
        <v xml:space="preserve"> </v>
      </c>
      <c r="CG170" s="938" t="str">
        <f t="shared" si="398"/>
        <v xml:space="preserve"> </v>
      </c>
      <c r="CO170" s="938" t="str">
        <f t="shared" si="399"/>
        <v xml:space="preserve"> </v>
      </c>
      <c r="CP170" s="938" t="str">
        <f t="shared" si="400"/>
        <v xml:space="preserve"> </v>
      </c>
      <c r="CX170" s="938" t="str">
        <f t="shared" si="401"/>
        <v xml:space="preserve"> </v>
      </c>
      <c r="CY170" s="938" t="str">
        <f t="shared" si="402"/>
        <v xml:space="preserve"> </v>
      </c>
      <c r="DG170" s="938" t="str">
        <f t="shared" si="403"/>
        <v xml:space="preserve"> </v>
      </c>
      <c r="DH170" s="938" t="str">
        <f t="shared" si="404"/>
        <v xml:space="preserve"> </v>
      </c>
      <c r="DP170" s="938" t="str">
        <f t="shared" si="405"/>
        <v xml:space="preserve"> </v>
      </c>
      <c r="DQ170" s="938" t="str">
        <f t="shared" si="406"/>
        <v xml:space="preserve"> </v>
      </c>
      <c r="DY170" s="938" t="str">
        <f t="shared" si="407"/>
        <v xml:space="preserve"> </v>
      </c>
      <c r="DZ170" s="938" t="str">
        <f t="shared" si="408"/>
        <v xml:space="preserve"> </v>
      </c>
      <c r="EH170" s="938" t="str">
        <f t="shared" si="409"/>
        <v xml:space="preserve"> </v>
      </c>
      <c r="EI170" s="938" t="str">
        <f t="shared" si="410"/>
        <v xml:space="preserve"> </v>
      </c>
      <c r="EQ170" s="938" t="str">
        <f t="shared" si="411"/>
        <v xml:space="preserve"> </v>
      </c>
      <c r="ER170" s="938" t="str">
        <f t="shared" si="412"/>
        <v xml:space="preserve"> </v>
      </c>
      <c r="EZ170" s="938" t="str">
        <f t="shared" si="413"/>
        <v xml:space="preserve"> </v>
      </c>
      <c r="FA170" s="938" t="str">
        <f t="shared" si="414"/>
        <v xml:space="preserve"> </v>
      </c>
      <c r="FI170" s="938" t="str">
        <f t="shared" si="415"/>
        <v xml:space="preserve"> </v>
      </c>
      <c r="FJ170" s="938" t="str">
        <f t="shared" si="416"/>
        <v xml:space="preserve"> </v>
      </c>
      <c r="FR170" s="938" t="str">
        <f t="shared" si="417"/>
        <v xml:space="preserve"> </v>
      </c>
      <c r="FS170" s="938" t="str">
        <f t="shared" si="418"/>
        <v xml:space="preserve"> </v>
      </c>
      <c r="GA170" s="938" t="str">
        <f t="shared" si="419"/>
        <v xml:space="preserve"> </v>
      </c>
      <c r="GB170" s="938" t="str">
        <f t="shared" si="420"/>
        <v xml:space="preserve"> </v>
      </c>
      <c r="GJ170" s="938" t="str">
        <f t="shared" si="421"/>
        <v xml:space="preserve"> </v>
      </c>
      <c r="GK170" s="938" t="str">
        <f t="shared" si="422"/>
        <v xml:space="preserve"> </v>
      </c>
      <c r="GS170" s="938" t="str">
        <f t="shared" si="423"/>
        <v xml:space="preserve"> </v>
      </c>
      <c r="GT170" s="938" t="str">
        <f t="shared" si="424"/>
        <v xml:space="preserve"> </v>
      </c>
      <c r="HB170" s="938" t="str">
        <f t="shared" si="425"/>
        <v xml:space="preserve"> </v>
      </c>
      <c r="HC170" s="938" t="str">
        <f t="shared" si="426"/>
        <v xml:space="preserve"> </v>
      </c>
      <c r="HK170" s="938" t="str">
        <f t="shared" si="427"/>
        <v xml:space="preserve"> </v>
      </c>
      <c r="HL170" s="938" t="str">
        <f t="shared" si="428"/>
        <v xml:space="preserve"> </v>
      </c>
      <c r="HT170" s="938" t="str">
        <f t="shared" si="429"/>
        <v xml:space="preserve"> </v>
      </c>
      <c r="HU170" s="938" t="str">
        <f t="shared" si="430"/>
        <v xml:space="preserve"> </v>
      </c>
      <c r="IC170" s="938" t="str">
        <f t="shared" si="431"/>
        <v xml:space="preserve"> </v>
      </c>
      <c r="ID170" s="938" t="str">
        <f t="shared" si="432"/>
        <v xml:space="preserve"> </v>
      </c>
      <c r="IL170" s="938" t="str">
        <f t="shared" si="433"/>
        <v xml:space="preserve"> </v>
      </c>
      <c r="IM170" s="938" t="str">
        <f t="shared" si="434"/>
        <v xml:space="preserve"> </v>
      </c>
      <c r="IU170" s="938" t="str">
        <f t="shared" si="435"/>
        <v xml:space="preserve"> </v>
      </c>
      <c r="IV170" s="938" t="str">
        <f t="shared" si="436"/>
        <v xml:space="preserve"> </v>
      </c>
      <c r="JD170" s="938" t="str">
        <f t="shared" si="437"/>
        <v xml:space="preserve"> </v>
      </c>
      <c r="JE170" s="938" t="str">
        <f t="shared" si="438"/>
        <v xml:space="preserve"> </v>
      </c>
      <c r="JM170" s="938" t="str">
        <f t="shared" si="439"/>
        <v xml:space="preserve"> </v>
      </c>
      <c r="JN170" s="938" t="str">
        <f t="shared" si="440"/>
        <v xml:space="preserve"> </v>
      </c>
      <c r="JV170" s="938" t="str">
        <f t="shared" si="441"/>
        <v xml:space="preserve"> </v>
      </c>
      <c r="JW170" s="938" t="str">
        <f t="shared" si="442"/>
        <v xml:space="preserve"> </v>
      </c>
    </row>
    <row r="171" spans="11:283" x14ac:dyDescent="0.2">
      <c r="K171" s="938" t="str">
        <f t="shared" si="381"/>
        <v/>
      </c>
      <c r="L171" s="714">
        <f t="shared" si="382"/>
        <v>0</v>
      </c>
      <c r="M171" s="714">
        <v>4.6000000000000001E-4</v>
      </c>
      <c r="N171" s="714">
        <v>46</v>
      </c>
      <c r="O171" t="str">
        <v>NPK13-9-16</v>
      </c>
      <c r="P171" s="714">
        <f t="shared" si="443"/>
        <v>0</v>
      </c>
      <c r="Q171" s="714">
        <f t="shared" si="444"/>
        <v>0</v>
      </c>
      <c r="U171" s="938" t="str">
        <f t="shared" si="383"/>
        <v xml:space="preserve"> </v>
      </c>
      <c r="V171" s="938" t="str">
        <f t="shared" si="384"/>
        <v xml:space="preserve"> </v>
      </c>
      <c r="AD171" s="938" t="str">
        <f t="shared" si="385"/>
        <v xml:space="preserve"> </v>
      </c>
      <c r="AE171" s="938" t="str">
        <f t="shared" si="386"/>
        <v xml:space="preserve"> </v>
      </c>
      <c r="AM171" s="938" t="str">
        <f t="shared" si="387"/>
        <v xml:space="preserve"> </v>
      </c>
      <c r="AN171" s="938" t="str">
        <f t="shared" si="388"/>
        <v xml:space="preserve"> </v>
      </c>
      <c r="AV171" s="938" t="str">
        <f t="shared" si="389"/>
        <v xml:space="preserve"> </v>
      </c>
      <c r="AW171" s="938" t="str">
        <f t="shared" si="390"/>
        <v xml:space="preserve"> </v>
      </c>
      <c r="BE171" s="938" t="str">
        <f t="shared" si="391"/>
        <v xml:space="preserve"> </v>
      </c>
      <c r="BF171" s="938" t="str">
        <f t="shared" si="392"/>
        <v xml:space="preserve"> </v>
      </c>
      <c r="BN171" s="938" t="str">
        <f t="shared" si="393"/>
        <v xml:space="preserve"> </v>
      </c>
      <c r="BO171" s="938" t="str">
        <f t="shared" si="394"/>
        <v xml:space="preserve"> </v>
      </c>
      <c r="BW171" s="938" t="str">
        <f t="shared" si="395"/>
        <v xml:space="preserve"> </v>
      </c>
      <c r="BX171" s="938" t="str">
        <f t="shared" si="396"/>
        <v xml:space="preserve"> </v>
      </c>
      <c r="CF171" s="938" t="str">
        <f t="shared" si="397"/>
        <v xml:space="preserve"> </v>
      </c>
      <c r="CG171" s="938" t="str">
        <f t="shared" si="398"/>
        <v xml:space="preserve"> </v>
      </c>
      <c r="CO171" s="938" t="str">
        <f t="shared" si="399"/>
        <v xml:space="preserve"> </v>
      </c>
      <c r="CP171" s="938" t="str">
        <f t="shared" si="400"/>
        <v xml:space="preserve"> </v>
      </c>
      <c r="CX171" s="938" t="str">
        <f t="shared" si="401"/>
        <v xml:space="preserve"> </v>
      </c>
      <c r="CY171" s="938" t="str">
        <f t="shared" si="402"/>
        <v xml:space="preserve"> </v>
      </c>
      <c r="DG171" s="938" t="str">
        <f t="shared" si="403"/>
        <v xml:space="preserve"> </v>
      </c>
      <c r="DH171" s="938" t="str">
        <f t="shared" si="404"/>
        <v xml:space="preserve"> </v>
      </c>
      <c r="DP171" s="938" t="str">
        <f t="shared" si="405"/>
        <v xml:space="preserve"> </v>
      </c>
      <c r="DQ171" s="938" t="str">
        <f t="shared" si="406"/>
        <v xml:space="preserve"> </v>
      </c>
      <c r="DY171" s="938" t="str">
        <f t="shared" si="407"/>
        <v xml:space="preserve"> </v>
      </c>
      <c r="DZ171" s="938" t="str">
        <f t="shared" si="408"/>
        <v xml:space="preserve"> </v>
      </c>
      <c r="EH171" s="938" t="str">
        <f t="shared" si="409"/>
        <v xml:space="preserve"> </v>
      </c>
      <c r="EI171" s="938" t="str">
        <f t="shared" si="410"/>
        <v xml:space="preserve"> </v>
      </c>
      <c r="EQ171" s="938" t="str">
        <f t="shared" si="411"/>
        <v xml:space="preserve"> </v>
      </c>
      <c r="ER171" s="938" t="str">
        <f t="shared" si="412"/>
        <v xml:space="preserve"> </v>
      </c>
      <c r="EZ171" s="938" t="str">
        <f t="shared" si="413"/>
        <v xml:space="preserve"> </v>
      </c>
      <c r="FA171" s="938" t="str">
        <f t="shared" si="414"/>
        <v xml:space="preserve"> </v>
      </c>
      <c r="FI171" s="938" t="str">
        <f t="shared" si="415"/>
        <v xml:space="preserve"> </v>
      </c>
      <c r="FJ171" s="938" t="str">
        <f t="shared" si="416"/>
        <v xml:space="preserve"> </v>
      </c>
      <c r="FR171" s="938" t="str">
        <f t="shared" si="417"/>
        <v xml:space="preserve"> </v>
      </c>
      <c r="FS171" s="938" t="str">
        <f t="shared" si="418"/>
        <v xml:space="preserve"> </v>
      </c>
      <c r="GA171" s="938" t="str">
        <f t="shared" si="419"/>
        <v xml:space="preserve"> </v>
      </c>
      <c r="GB171" s="938" t="str">
        <f t="shared" si="420"/>
        <v xml:space="preserve"> </v>
      </c>
      <c r="GJ171" s="938" t="str">
        <f t="shared" si="421"/>
        <v xml:space="preserve"> </v>
      </c>
      <c r="GK171" s="938" t="str">
        <f t="shared" si="422"/>
        <v xml:space="preserve"> </v>
      </c>
      <c r="GS171" s="938" t="str">
        <f t="shared" si="423"/>
        <v xml:space="preserve"> </v>
      </c>
      <c r="GT171" s="938" t="str">
        <f t="shared" si="424"/>
        <v xml:space="preserve"> </v>
      </c>
      <c r="HB171" s="938" t="str">
        <f t="shared" si="425"/>
        <v xml:space="preserve"> </v>
      </c>
      <c r="HC171" s="938" t="str">
        <f t="shared" si="426"/>
        <v xml:space="preserve"> </v>
      </c>
      <c r="HK171" s="938" t="str">
        <f t="shared" si="427"/>
        <v xml:space="preserve"> </v>
      </c>
      <c r="HL171" s="938" t="str">
        <f t="shared" si="428"/>
        <v xml:space="preserve"> </v>
      </c>
      <c r="HT171" s="938" t="str">
        <f t="shared" si="429"/>
        <v xml:space="preserve"> </v>
      </c>
      <c r="HU171" s="938" t="str">
        <f t="shared" si="430"/>
        <v xml:space="preserve"> </v>
      </c>
      <c r="IC171" s="938" t="str">
        <f t="shared" si="431"/>
        <v xml:space="preserve"> </v>
      </c>
      <c r="ID171" s="938" t="str">
        <f t="shared" si="432"/>
        <v xml:space="preserve"> </v>
      </c>
      <c r="IL171" s="938" t="str">
        <f t="shared" si="433"/>
        <v xml:space="preserve"> </v>
      </c>
      <c r="IM171" s="938" t="str">
        <f t="shared" si="434"/>
        <v xml:space="preserve"> </v>
      </c>
      <c r="IU171" s="938" t="str">
        <f t="shared" si="435"/>
        <v xml:space="preserve"> </v>
      </c>
      <c r="IV171" s="938" t="str">
        <f t="shared" si="436"/>
        <v xml:space="preserve"> </v>
      </c>
      <c r="JD171" s="938" t="str">
        <f t="shared" si="437"/>
        <v xml:space="preserve"> </v>
      </c>
      <c r="JE171" s="938" t="str">
        <f t="shared" si="438"/>
        <v xml:space="preserve"> </v>
      </c>
      <c r="JM171" s="938" t="str">
        <f t="shared" si="439"/>
        <v xml:space="preserve"> </v>
      </c>
      <c r="JN171" s="938" t="str">
        <f t="shared" si="440"/>
        <v xml:space="preserve"> </v>
      </c>
      <c r="JV171" s="938" t="str">
        <f t="shared" si="441"/>
        <v xml:space="preserve"> </v>
      </c>
      <c r="JW171" s="938" t="str">
        <f t="shared" si="442"/>
        <v xml:space="preserve"> </v>
      </c>
    </row>
    <row r="172" spans="11:283" x14ac:dyDescent="0.2">
      <c r="K172" s="938" t="str">
        <f t="shared" si="381"/>
        <v/>
      </c>
      <c r="L172" s="714">
        <f t="shared" si="382"/>
        <v>0</v>
      </c>
      <c r="M172" s="714">
        <v>4.6999999999999999E-4</v>
      </c>
      <c r="N172" s="714">
        <v>47</v>
      </c>
      <c r="O172" t="str">
        <v>NIPH15-13-13</v>
      </c>
      <c r="P172" s="714">
        <f t="shared" si="443"/>
        <v>0</v>
      </c>
      <c r="Q172" s="714">
        <f t="shared" si="444"/>
        <v>0</v>
      </c>
      <c r="U172" s="938" t="str">
        <f t="shared" si="383"/>
        <v xml:space="preserve"> </v>
      </c>
      <c r="V172" s="938" t="str">
        <f t="shared" si="384"/>
        <v xml:space="preserve"> </v>
      </c>
      <c r="AD172" s="938" t="str">
        <f t="shared" si="385"/>
        <v xml:space="preserve"> </v>
      </c>
      <c r="AE172" s="938" t="str">
        <f t="shared" si="386"/>
        <v xml:space="preserve"> </v>
      </c>
      <c r="AM172" s="938" t="str">
        <f t="shared" si="387"/>
        <v xml:space="preserve"> </v>
      </c>
      <c r="AN172" s="938" t="str">
        <f t="shared" si="388"/>
        <v xml:space="preserve"> </v>
      </c>
      <c r="AV172" s="938" t="str">
        <f t="shared" si="389"/>
        <v xml:space="preserve"> </v>
      </c>
      <c r="AW172" s="938" t="str">
        <f t="shared" si="390"/>
        <v xml:space="preserve"> </v>
      </c>
      <c r="BE172" s="938" t="str">
        <f t="shared" si="391"/>
        <v xml:space="preserve"> </v>
      </c>
      <c r="BF172" s="938" t="str">
        <f t="shared" si="392"/>
        <v xml:space="preserve"> </v>
      </c>
      <c r="BN172" s="938" t="str">
        <f t="shared" si="393"/>
        <v xml:space="preserve"> </v>
      </c>
      <c r="BO172" s="938" t="str">
        <f t="shared" si="394"/>
        <v xml:space="preserve"> </v>
      </c>
      <c r="BW172" s="938" t="str">
        <f t="shared" si="395"/>
        <v xml:space="preserve"> </v>
      </c>
      <c r="BX172" s="938" t="str">
        <f t="shared" si="396"/>
        <v xml:space="preserve"> </v>
      </c>
      <c r="CF172" s="938" t="str">
        <f t="shared" si="397"/>
        <v xml:space="preserve"> </v>
      </c>
      <c r="CG172" s="938" t="str">
        <f t="shared" si="398"/>
        <v xml:space="preserve"> </v>
      </c>
      <c r="CO172" s="938" t="str">
        <f t="shared" si="399"/>
        <v xml:space="preserve"> </v>
      </c>
      <c r="CP172" s="938" t="str">
        <f t="shared" si="400"/>
        <v xml:space="preserve"> </v>
      </c>
      <c r="CX172" s="938" t="str">
        <f t="shared" si="401"/>
        <v xml:space="preserve"> </v>
      </c>
      <c r="CY172" s="938" t="str">
        <f t="shared" si="402"/>
        <v xml:space="preserve"> </v>
      </c>
      <c r="DG172" s="938" t="str">
        <f t="shared" si="403"/>
        <v xml:space="preserve"> </v>
      </c>
      <c r="DH172" s="938" t="str">
        <f t="shared" si="404"/>
        <v xml:space="preserve"> </v>
      </c>
      <c r="DP172" s="938" t="str">
        <f t="shared" si="405"/>
        <v xml:space="preserve"> </v>
      </c>
      <c r="DQ172" s="938" t="str">
        <f t="shared" si="406"/>
        <v xml:space="preserve"> </v>
      </c>
      <c r="DY172" s="938" t="str">
        <f t="shared" si="407"/>
        <v xml:space="preserve"> </v>
      </c>
      <c r="DZ172" s="938" t="str">
        <f t="shared" si="408"/>
        <v xml:space="preserve"> </v>
      </c>
      <c r="EH172" s="938" t="str">
        <f t="shared" si="409"/>
        <v xml:space="preserve"> </v>
      </c>
      <c r="EI172" s="938" t="str">
        <f t="shared" si="410"/>
        <v xml:space="preserve"> </v>
      </c>
      <c r="EQ172" s="938" t="str">
        <f t="shared" si="411"/>
        <v xml:space="preserve"> </v>
      </c>
      <c r="ER172" s="938" t="str">
        <f t="shared" si="412"/>
        <v xml:space="preserve"> </v>
      </c>
      <c r="EZ172" s="938" t="str">
        <f t="shared" si="413"/>
        <v xml:space="preserve"> </v>
      </c>
      <c r="FA172" s="938" t="str">
        <f t="shared" si="414"/>
        <v xml:space="preserve"> </v>
      </c>
      <c r="FI172" s="938" t="str">
        <f t="shared" si="415"/>
        <v xml:space="preserve"> </v>
      </c>
      <c r="FJ172" s="938" t="str">
        <f t="shared" si="416"/>
        <v xml:space="preserve"> </v>
      </c>
      <c r="FR172" s="938" t="str">
        <f t="shared" si="417"/>
        <v xml:space="preserve"> </v>
      </c>
      <c r="FS172" s="938" t="str">
        <f t="shared" si="418"/>
        <v xml:space="preserve"> </v>
      </c>
      <c r="GA172" s="938" t="str">
        <f t="shared" si="419"/>
        <v xml:space="preserve"> </v>
      </c>
      <c r="GB172" s="938" t="str">
        <f t="shared" si="420"/>
        <v xml:space="preserve"> </v>
      </c>
      <c r="GJ172" s="938" t="str">
        <f t="shared" si="421"/>
        <v xml:space="preserve"> </v>
      </c>
      <c r="GK172" s="938" t="str">
        <f t="shared" si="422"/>
        <v xml:space="preserve"> </v>
      </c>
      <c r="GS172" s="938" t="str">
        <f t="shared" si="423"/>
        <v xml:space="preserve"> </v>
      </c>
      <c r="GT172" s="938" t="str">
        <f t="shared" si="424"/>
        <v xml:space="preserve"> </v>
      </c>
      <c r="HB172" s="938" t="str">
        <f t="shared" si="425"/>
        <v xml:space="preserve"> </v>
      </c>
      <c r="HC172" s="938" t="str">
        <f t="shared" si="426"/>
        <v xml:space="preserve"> </v>
      </c>
      <c r="HK172" s="938" t="str">
        <f t="shared" si="427"/>
        <v xml:space="preserve"> </v>
      </c>
      <c r="HL172" s="938" t="str">
        <f t="shared" si="428"/>
        <v xml:space="preserve"> </v>
      </c>
      <c r="HT172" s="938" t="str">
        <f t="shared" si="429"/>
        <v xml:space="preserve"> </v>
      </c>
      <c r="HU172" s="938" t="str">
        <f t="shared" si="430"/>
        <v xml:space="preserve"> </v>
      </c>
      <c r="IC172" s="938" t="str">
        <f t="shared" si="431"/>
        <v xml:space="preserve"> </v>
      </c>
      <c r="ID172" s="938" t="str">
        <f t="shared" si="432"/>
        <v xml:space="preserve"> </v>
      </c>
      <c r="IL172" s="938" t="str">
        <f t="shared" si="433"/>
        <v xml:space="preserve"> </v>
      </c>
      <c r="IM172" s="938" t="str">
        <f t="shared" si="434"/>
        <v xml:space="preserve"> </v>
      </c>
      <c r="IU172" s="938" t="str">
        <f t="shared" si="435"/>
        <v xml:space="preserve"> </v>
      </c>
      <c r="IV172" s="938" t="str">
        <f t="shared" si="436"/>
        <v xml:space="preserve"> </v>
      </c>
      <c r="JD172" s="938" t="str">
        <f t="shared" si="437"/>
        <v xml:space="preserve"> </v>
      </c>
      <c r="JE172" s="938" t="str">
        <f t="shared" si="438"/>
        <v xml:space="preserve"> </v>
      </c>
      <c r="JM172" s="938" t="str">
        <f t="shared" si="439"/>
        <v xml:space="preserve"> </v>
      </c>
      <c r="JN172" s="938" t="str">
        <f t="shared" si="440"/>
        <v xml:space="preserve"> </v>
      </c>
      <c r="JV172" s="938" t="str">
        <f t="shared" si="441"/>
        <v xml:space="preserve"> </v>
      </c>
      <c r="JW172" s="938" t="str">
        <f t="shared" si="442"/>
        <v xml:space="preserve"> </v>
      </c>
    </row>
    <row r="173" spans="11:283" x14ac:dyDescent="0.2">
      <c r="K173" s="938" t="str">
        <f t="shared" si="381"/>
        <v/>
      </c>
      <c r="L173" s="714">
        <f t="shared" si="382"/>
        <v>0</v>
      </c>
      <c r="M173" s="714">
        <v>4.8000000000000001E-4</v>
      </c>
      <c r="N173" s="714">
        <v>48</v>
      </c>
      <c r="O173" t="str">
        <v>NPK15-15-15</v>
      </c>
      <c r="P173" s="714">
        <f t="shared" si="443"/>
        <v>0</v>
      </c>
      <c r="Q173" s="714">
        <f t="shared" si="444"/>
        <v>0</v>
      </c>
      <c r="U173" s="938" t="str">
        <f t="shared" si="383"/>
        <v xml:space="preserve"> </v>
      </c>
      <c r="V173" s="938" t="str">
        <f t="shared" si="384"/>
        <v xml:space="preserve"> </v>
      </c>
      <c r="AD173" s="938" t="str">
        <f t="shared" si="385"/>
        <v xml:space="preserve"> </v>
      </c>
      <c r="AE173" s="938" t="str">
        <f t="shared" si="386"/>
        <v xml:space="preserve"> </v>
      </c>
      <c r="AM173" s="938" t="str">
        <f t="shared" si="387"/>
        <v xml:space="preserve"> </v>
      </c>
      <c r="AN173" s="938" t="str">
        <f t="shared" si="388"/>
        <v xml:space="preserve"> </v>
      </c>
      <c r="AV173" s="938" t="str">
        <f t="shared" si="389"/>
        <v xml:space="preserve"> </v>
      </c>
      <c r="AW173" s="938" t="str">
        <f t="shared" si="390"/>
        <v xml:space="preserve"> </v>
      </c>
      <c r="BE173" s="938" t="str">
        <f t="shared" si="391"/>
        <v xml:space="preserve"> </v>
      </c>
      <c r="BF173" s="938" t="str">
        <f t="shared" si="392"/>
        <v xml:space="preserve"> </v>
      </c>
      <c r="BN173" s="938" t="str">
        <f t="shared" si="393"/>
        <v xml:space="preserve"> </v>
      </c>
      <c r="BO173" s="938" t="str">
        <f t="shared" si="394"/>
        <v xml:space="preserve"> </v>
      </c>
      <c r="BW173" s="938" t="str">
        <f t="shared" si="395"/>
        <v xml:space="preserve"> </v>
      </c>
      <c r="BX173" s="938" t="str">
        <f t="shared" si="396"/>
        <v xml:space="preserve"> </v>
      </c>
      <c r="CF173" s="938" t="str">
        <f t="shared" si="397"/>
        <v xml:space="preserve"> </v>
      </c>
      <c r="CG173" s="938" t="str">
        <f t="shared" si="398"/>
        <v xml:space="preserve"> </v>
      </c>
      <c r="CO173" s="938" t="str">
        <f t="shared" si="399"/>
        <v xml:space="preserve"> </v>
      </c>
      <c r="CP173" s="938" t="str">
        <f t="shared" si="400"/>
        <v xml:space="preserve"> </v>
      </c>
      <c r="CX173" s="938" t="str">
        <f t="shared" si="401"/>
        <v xml:space="preserve"> </v>
      </c>
      <c r="CY173" s="938" t="str">
        <f t="shared" si="402"/>
        <v xml:space="preserve"> </v>
      </c>
      <c r="DG173" s="938" t="str">
        <f t="shared" si="403"/>
        <v xml:space="preserve"> </v>
      </c>
      <c r="DH173" s="938" t="str">
        <f t="shared" si="404"/>
        <v xml:space="preserve"> </v>
      </c>
      <c r="DP173" s="938" t="str">
        <f t="shared" si="405"/>
        <v xml:space="preserve"> </v>
      </c>
      <c r="DQ173" s="938" t="str">
        <f t="shared" si="406"/>
        <v xml:space="preserve"> </v>
      </c>
      <c r="DY173" s="938" t="str">
        <f t="shared" si="407"/>
        <v xml:space="preserve"> </v>
      </c>
      <c r="DZ173" s="938" t="str">
        <f t="shared" si="408"/>
        <v xml:space="preserve"> </v>
      </c>
      <c r="EH173" s="938" t="str">
        <f t="shared" si="409"/>
        <v xml:space="preserve"> </v>
      </c>
      <c r="EI173" s="938" t="str">
        <f t="shared" si="410"/>
        <v xml:space="preserve"> </v>
      </c>
      <c r="EQ173" s="938" t="str">
        <f t="shared" si="411"/>
        <v xml:space="preserve"> </v>
      </c>
      <c r="ER173" s="938" t="str">
        <f t="shared" si="412"/>
        <v xml:space="preserve"> </v>
      </c>
      <c r="EZ173" s="938" t="str">
        <f t="shared" si="413"/>
        <v xml:space="preserve"> </v>
      </c>
      <c r="FA173" s="938" t="str">
        <f t="shared" si="414"/>
        <v xml:space="preserve"> </v>
      </c>
      <c r="FI173" s="938" t="str">
        <f t="shared" si="415"/>
        <v xml:space="preserve"> </v>
      </c>
      <c r="FJ173" s="938" t="str">
        <f t="shared" si="416"/>
        <v xml:space="preserve"> </v>
      </c>
      <c r="FR173" s="938" t="str">
        <f t="shared" si="417"/>
        <v xml:space="preserve"> </v>
      </c>
      <c r="FS173" s="938" t="str">
        <f t="shared" si="418"/>
        <v xml:space="preserve"> </v>
      </c>
      <c r="GA173" s="938" t="str">
        <f t="shared" si="419"/>
        <v xml:space="preserve"> </v>
      </c>
      <c r="GB173" s="938" t="str">
        <f t="shared" si="420"/>
        <v xml:space="preserve"> </v>
      </c>
      <c r="GJ173" s="938" t="str">
        <f t="shared" si="421"/>
        <v xml:space="preserve"> </v>
      </c>
      <c r="GK173" s="938" t="str">
        <f t="shared" si="422"/>
        <v xml:space="preserve"> </v>
      </c>
      <c r="GS173" s="938" t="str">
        <f t="shared" si="423"/>
        <v xml:space="preserve"> </v>
      </c>
      <c r="GT173" s="938" t="str">
        <f t="shared" si="424"/>
        <v xml:space="preserve"> </v>
      </c>
      <c r="HB173" s="938" t="str">
        <f t="shared" si="425"/>
        <v xml:space="preserve"> </v>
      </c>
      <c r="HC173" s="938" t="str">
        <f t="shared" si="426"/>
        <v xml:space="preserve"> </v>
      </c>
      <c r="HK173" s="938" t="str">
        <f t="shared" si="427"/>
        <v xml:space="preserve"> </v>
      </c>
      <c r="HL173" s="938" t="str">
        <f t="shared" si="428"/>
        <v xml:space="preserve"> </v>
      </c>
      <c r="HT173" s="938" t="str">
        <f t="shared" si="429"/>
        <v xml:space="preserve"> </v>
      </c>
      <c r="HU173" s="938" t="str">
        <f t="shared" si="430"/>
        <v xml:space="preserve"> </v>
      </c>
      <c r="IC173" s="938" t="str">
        <f t="shared" si="431"/>
        <v xml:space="preserve"> </v>
      </c>
      <c r="ID173" s="938" t="str">
        <f t="shared" si="432"/>
        <v xml:space="preserve"> </v>
      </c>
      <c r="IL173" s="938" t="str">
        <f t="shared" si="433"/>
        <v xml:space="preserve"> </v>
      </c>
      <c r="IM173" s="938" t="str">
        <f t="shared" si="434"/>
        <v xml:space="preserve"> </v>
      </c>
      <c r="IU173" s="938" t="str">
        <f t="shared" si="435"/>
        <v xml:space="preserve"> </v>
      </c>
      <c r="IV173" s="938" t="str">
        <f t="shared" si="436"/>
        <v xml:space="preserve"> </v>
      </c>
      <c r="JD173" s="938" t="str">
        <f t="shared" si="437"/>
        <v xml:space="preserve"> </v>
      </c>
      <c r="JE173" s="938" t="str">
        <f t="shared" si="438"/>
        <v xml:space="preserve"> </v>
      </c>
      <c r="JM173" s="938" t="str">
        <f t="shared" si="439"/>
        <v xml:space="preserve"> </v>
      </c>
      <c r="JN173" s="938" t="str">
        <f t="shared" si="440"/>
        <v xml:space="preserve"> </v>
      </c>
      <c r="JV173" s="938" t="str">
        <f t="shared" si="441"/>
        <v xml:space="preserve"> </v>
      </c>
      <c r="JW173" s="938" t="str">
        <f t="shared" si="442"/>
        <v xml:space="preserve"> </v>
      </c>
    </row>
    <row r="174" spans="11:283" x14ac:dyDescent="0.2">
      <c r="K174" s="938" t="str">
        <f t="shared" si="381"/>
        <v/>
      </c>
      <c r="L174" s="714">
        <f t="shared" si="382"/>
        <v>0</v>
      </c>
      <c r="M174" s="714">
        <v>4.8999999999999998E-4</v>
      </c>
      <c r="N174" s="714">
        <v>49</v>
      </c>
      <c r="O174" t="str">
        <v>NIPH15-5-20</v>
      </c>
      <c r="P174" s="714">
        <f t="shared" si="443"/>
        <v>0</v>
      </c>
      <c r="Q174" s="714">
        <f t="shared" si="444"/>
        <v>0</v>
      </c>
      <c r="U174" s="938" t="str">
        <f t="shared" si="383"/>
        <v xml:space="preserve"> </v>
      </c>
      <c r="V174" s="938" t="str">
        <f t="shared" si="384"/>
        <v xml:space="preserve"> </v>
      </c>
      <c r="AD174" s="938" t="str">
        <f t="shared" si="385"/>
        <v xml:space="preserve"> </v>
      </c>
      <c r="AE174" s="938" t="str">
        <f t="shared" si="386"/>
        <v xml:space="preserve"> </v>
      </c>
      <c r="AM174" s="938" t="str">
        <f t="shared" si="387"/>
        <v xml:space="preserve"> </v>
      </c>
      <c r="AN174" s="938" t="str">
        <f t="shared" si="388"/>
        <v xml:space="preserve"> </v>
      </c>
      <c r="AV174" s="938" t="str">
        <f t="shared" si="389"/>
        <v xml:space="preserve"> </v>
      </c>
      <c r="AW174" s="938" t="str">
        <f t="shared" si="390"/>
        <v xml:space="preserve"> </v>
      </c>
      <c r="BE174" s="938" t="str">
        <f t="shared" si="391"/>
        <v xml:space="preserve"> </v>
      </c>
      <c r="BF174" s="938" t="str">
        <f t="shared" si="392"/>
        <v xml:space="preserve"> </v>
      </c>
      <c r="BN174" s="938" t="str">
        <f t="shared" si="393"/>
        <v xml:space="preserve"> </v>
      </c>
      <c r="BO174" s="938" t="str">
        <f t="shared" si="394"/>
        <v xml:space="preserve"> </v>
      </c>
      <c r="BW174" s="938" t="str">
        <f t="shared" si="395"/>
        <v xml:space="preserve"> </v>
      </c>
      <c r="BX174" s="938" t="str">
        <f t="shared" si="396"/>
        <v xml:space="preserve"> </v>
      </c>
      <c r="CF174" s="938" t="str">
        <f t="shared" si="397"/>
        <v xml:space="preserve"> </v>
      </c>
      <c r="CG174" s="938" t="str">
        <f t="shared" si="398"/>
        <v xml:space="preserve"> </v>
      </c>
      <c r="CO174" s="938" t="str">
        <f t="shared" si="399"/>
        <v xml:space="preserve"> </v>
      </c>
      <c r="CP174" s="938" t="str">
        <f t="shared" si="400"/>
        <v xml:space="preserve"> </v>
      </c>
      <c r="CX174" s="938" t="str">
        <f t="shared" si="401"/>
        <v xml:space="preserve"> </v>
      </c>
      <c r="CY174" s="938" t="str">
        <f t="shared" si="402"/>
        <v xml:space="preserve"> </v>
      </c>
      <c r="DG174" s="938" t="str">
        <f t="shared" si="403"/>
        <v xml:space="preserve"> </v>
      </c>
      <c r="DH174" s="938" t="str">
        <f t="shared" si="404"/>
        <v xml:space="preserve"> </v>
      </c>
      <c r="DP174" s="938" t="str">
        <f t="shared" si="405"/>
        <v xml:space="preserve"> </v>
      </c>
      <c r="DQ174" s="938" t="str">
        <f t="shared" si="406"/>
        <v xml:space="preserve"> </v>
      </c>
      <c r="DY174" s="938" t="str">
        <f t="shared" si="407"/>
        <v xml:space="preserve"> </v>
      </c>
      <c r="DZ174" s="938" t="str">
        <f t="shared" si="408"/>
        <v xml:space="preserve"> </v>
      </c>
      <c r="EH174" s="938" t="str">
        <f t="shared" si="409"/>
        <v xml:space="preserve"> </v>
      </c>
      <c r="EI174" s="938" t="str">
        <f t="shared" si="410"/>
        <v xml:space="preserve"> </v>
      </c>
      <c r="EQ174" s="938" t="str">
        <f t="shared" si="411"/>
        <v xml:space="preserve"> </v>
      </c>
      <c r="ER174" s="938" t="str">
        <f t="shared" si="412"/>
        <v xml:space="preserve"> </v>
      </c>
      <c r="EZ174" s="938" t="str">
        <f t="shared" si="413"/>
        <v xml:space="preserve"> </v>
      </c>
      <c r="FA174" s="938" t="str">
        <f t="shared" si="414"/>
        <v xml:space="preserve"> </v>
      </c>
      <c r="FI174" s="938" t="str">
        <f t="shared" si="415"/>
        <v xml:space="preserve"> </v>
      </c>
      <c r="FJ174" s="938" t="str">
        <f t="shared" si="416"/>
        <v xml:space="preserve"> </v>
      </c>
      <c r="FR174" s="938" t="str">
        <f t="shared" si="417"/>
        <v xml:space="preserve"> </v>
      </c>
      <c r="FS174" s="938" t="str">
        <f t="shared" si="418"/>
        <v xml:space="preserve"> </v>
      </c>
      <c r="GA174" s="938" t="str">
        <f t="shared" si="419"/>
        <v xml:space="preserve"> </v>
      </c>
      <c r="GB174" s="938" t="str">
        <f t="shared" si="420"/>
        <v xml:space="preserve"> </v>
      </c>
      <c r="GJ174" s="938" t="str">
        <f t="shared" si="421"/>
        <v xml:space="preserve"> </v>
      </c>
      <c r="GK174" s="938" t="str">
        <f t="shared" si="422"/>
        <v xml:space="preserve"> </v>
      </c>
      <c r="GS174" s="938" t="str">
        <f t="shared" si="423"/>
        <v xml:space="preserve"> </v>
      </c>
      <c r="GT174" s="938" t="str">
        <f t="shared" si="424"/>
        <v xml:space="preserve"> </v>
      </c>
      <c r="HB174" s="938" t="str">
        <f t="shared" si="425"/>
        <v xml:space="preserve"> </v>
      </c>
      <c r="HC174" s="938" t="str">
        <f t="shared" si="426"/>
        <v xml:space="preserve"> </v>
      </c>
      <c r="HK174" s="938" t="str">
        <f t="shared" si="427"/>
        <v xml:space="preserve"> </v>
      </c>
      <c r="HL174" s="938" t="str">
        <f t="shared" si="428"/>
        <v xml:space="preserve"> </v>
      </c>
      <c r="HT174" s="938" t="str">
        <f t="shared" si="429"/>
        <v xml:space="preserve"> </v>
      </c>
      <c r="HU174" s="938" t="str">
        <f t="shared" si="430"/>
        <v xml:space="preserve"> </v>
      </c>
      <c r="IC174" s="938" t="str">
        <f t="shared" si="431"/>
        <v xml:space="preserve"> </v>
      </c>
      <c r="ID174" s="938" t="str">
        <f t="shared" si="432"/>
        <v xml:space="preserve"> </v>
      </c>
      <c r="IL174" s="938" t="str">
        <f t="shared" si="433"/>
        <v xml:space="preserve"> </v>
      </c>
      <c r="IM174" s="938" t="str">
        <f t="shared" si="434"/>
        <v xml:space="preserve"> </v>
      </c>
      <c r="IU174" s="938" t="str">
        <f t="shared" si="435"/>
        <v xml:space="preserve"> </v>
      </c>
      <c r="IV174" s="938" t="str">
        <f t="shared" si="436"/>
        <v xml:space="preserve"> </v>
      </c>
      <c r="JD174" s="938" t="str">
        <f t="shared" si="437"/>
        <v xml:space="preserve"> </v>
      </c>
      <c r="JE174" s="938" t="str">
        <f t="shared" si="438"/>
        <v xml:space="preserve"> </v>
      </c>
      <c r="JM174" s="938" t="str">
        <f t="shared" si="439"/>
        <v xml:space="preserve"> </v>
      </c>
      <c r="JN174" s="938" t="str">
        <f t="shared" si="440"/>
        <v xml:space="preserve"> </v>
      </c>
      <c r="JV174" s="938" t="str">
        <f t="shared" si="441"/>
        <v xml:space="preserve"> </v>
      </c>
      <c r="JW174" s="938" t="str">
        <f t="shared" si="442"/>
        <v xml:space="preserve"> </v>
      </c>
    </row>
    <row r="175" spans="11:283" x14ac:dyDescent="0.2">
      <c r="K175" s="938" t="str">
        <f t="shared" si="381"/>
        <v/>
      </c>
      <c r="L175" s="714">
        <f t="shared" si="382"/>
        <v>0</v>
      </c>
      <c r="M175" s="714">
        <v>5.0000000000000001E-4</v>
      </c>
      <c r="N175" s="714">
        <v>50</v>
      </c>
      <c r="O175" t="str">
        <v>NPK20-8-8</v>
      </c>
      <c r="P175" s="714">
        <f t="shared" si="443"/>
        <v>0</v>
      </c>
      <c r="Q175" s="714">
        <f t="shared" si="444"/>
        <v>0</v>
      </c>
      <c r="U175" s="938" t="str">
        <f t="shared" si="383"/>
        <v xml:space="preserve"> </v>
      </c>
      <c r="V175" s="938" t="str">
        <f t="shared" si="384"/>
        <v xml:space="preserve"> </v>
      </c>
      <c r="AD175" s="938" t="str">
        <f t="shared" si="385"/>
        <v xml:space="preserve"> </v>
      </c>
      <c r="AE175" s="938" t="str">
        <f t="shared" si="386"/>
        <v xml:space="preserve"> </v>
      </c>
      <c r="AM175" s="938" t="str">
        <f t="shared" si="387"/>
        <v xml:space="preserve"> </v>
      </c>
      <c r="AN175" s="938" t="str">
        <f t="shared" si="388"/>
        <v xml:space="preserve"> </v>
      </c>
      <c r="AV175" s="938" t="str">
        <f t="shared" si="389"/>
        <v xml:space="preserve"> </v>
      </c>
      <c r="AW175" s="938" t="str">
        <f t="shared" si="390"/>
        <v xml:space="preserve"> </v>
      </c>
      <c r="BE175" s="938" t="str">
        <f t="shared" si="391"/>
        <v xml:space="preserve"> </v>
      </c>
      <c r="BF175" s="938" t="str">
        <f t="shared" si="392"/>
        <v xml:space="preserve"> </v>
      </c>
      <c r="BN175" s="938" t="str">
        <f t="shared" si="393"/>
        <v xml:space="preserve"> </v>
      </c>
      <c r="BO175" s="938" t="str">
        <f t="shared" si="394"/>
        <v xml:space="preserve"> </v>
      </c>
      <c r="BW175" s="938" t="str">
        <f t="shared" si="395"/>
        <v xml:space="preserve"> </v>
      </c>
      <c r="BX175" s="938" t="str">
        <f t="shared" si="396"/>
        <v xml:space="preserve"> </v>
      </c>
      <c r="CF175" s="938" t="str">
        <f t="shared" si="397"/>
        <v xml:space="preserve"> </v>
      </c>
      <c r="CG175" s="938" t="str">
        <f t="shared" si="398"/>
        <v xml:space="preserve"> </v>
      </c>
      <c r="CO175" s="938" t="str">
        <f t="shared" si="399"/>
        <v xml:space="preserve"> </v>
      </c>
      <c r="CP175" s="938" t="str">
        <f t="shared" si="400"/>
        <v xml:space="preserve"> </v>
      </c>
      <c r="CX175" s="938" t="str">
        <f t="shared" si="401"/>
        <v xml:space="preserve"> </v>
      </c>
      <c r="CY175" s="938" t="str">
        <f t="shared" si="402"/>
        <v xml:space="preserve"> </v>
      </c>
      <c r="DG175" s="938" t="str">
        <f t="shared" si="403"/>
        <v xml:space="preserve"> </v>
      </c>
      <c r="DH175" s="938" t="str">
        <f t="shared" si="404"/>
        <v xml:space="preserve"> </v>
      </c>
      <c r="DP175" s="938" t="str">
        <f t="shared" si="405"/>
        <v xml:space="preserve"> </v>
      </c>
      <c r="DQ175" s="938" t="str">
        <f t="shared" si="406"/>
        <v xml:space="preserve"> </v>
      </c>
      <c r="DY175" s="938" t="str">
        <f t="shared" si="407"/>
        <v xml:space="preserve"> </v>
      </c>
      <c r="DZ175" s="938" t="str">
        <f t="shared" si="408"/>
        <v xml:space="preserve"> </v>
      </c>
      <c r="EH175" s="938" t="str">
        <f t="shared" si="409"/>
        <v xml:space="preserve"> </v>
      </c>
      <c r="EI175" s="938" t="str">
        <f t="shared" si="410"/>
        <v xml:space="preserve"> </v>
      </c>
      <c r="EQ175" s="938" t="str">
        <f t="shared" si="411"/>
        <v xml:space="preserve"> </v>
      </c>
      <c r="ER175" s="938" t="str">
        <f t="shared" si="412"/>
        <v xml:space="preserve"> </v>
      </c>
      <c r="EZ175" s="938" t="str">
        <f t="shared" si="413"/>
        <v xml:space="preserve"> </v>
      </c>
      <c r="FA175" s="938" t="str">
        <f t="shared" si="414"/>
        <v xml:space="preserve"> </v>
      </c>
      <c r="FI175" s="938" t="str">
        <f t="shared" si="415"/>
        <v xml:space="preserve"> </v>
      </c>
      <c r="FJ175" s="938" t="str">
        <f t="shared" si="416"/>
        <v xml:space="preserve"> </v>
      </c>
      <c r="FR175" s="938" t="str">
        <f t="shared" si="417"/>
        <v xml:space="preserve"> </v>
      </c>
      <c r="FS175" s="938" t="str">
        <f t="shared" si="418"/>
        <v xml:space="preserve"> </v>
      </c>
      <c r="GA175" s="938" t="str">
        <f t="shared" si="419"/>
        <v xml:space="preserve"> </v>
      </c>
      <c r="GB175" s="938" t="str">
        <f t="shared" si="420"/>
        <v xml:space="preserve"> </v>
      </c>
      <c r="GJ175" s="938" t="str">
        <f t="shared" si="421"/>
        <v xml:space="preserve"> </v>
      </c>
      <c r="GK175" s="938" t="str">
        <f t="shared" si="422"/>
        <v xml:space="preserve"> </v>
      </c>
      <c r="GS175" s="938" t="str">
        <f t="shared" si="423"/>
        <v xml:space="preserve"> </v>
      </c>
      <c r="GT175" s="938" t="str">
        <f t="shared" si="424"/>
        <v xml:space="preserve"> </v>
      </c>
      <c r="HB175" s="938" t="str">
        <f t="shared" si="425"/>
        <v xml:space="preserve"> </v>
      </c>
      <c r="HC175" s="938" t="str">
        <f t="shared" si="426"/>
        <v xml:space="preserve"> </v>
      </c>
      <c r="HK175" s="938" t="str">
        <f t="shared" si="427"/>
        <v xml:space="preserve"> </v>
      </c>
      <c r="HL175" s="938" t="str">
        <f t="shared" si="428"/>
        <v xml:space="preserve"> </v>
      </c>
      <c r="HT175" s="938" t="str">
        <f t="shared" si="429"/>
        <v xml:space="preserve"> </v>
      </c>
      <c r="HU175" s="938" t="str">
        <f t="shared" si="430"/>
        <v xml:space="preserve"> </v>
      </c>
      <c r="IC175" s="938" t="str">
        <f t="shared" si="431"/>
        <v xml:space="preserve"> </v>
      </c>
      <c r="ID175" s="938" t="str">
        <f t="shared" si="432"/>
        <v xml:space="preserve"> </v>
      </c>
      <c r="IL175" s="938" t="str">
        <f t="shared" si="433"/>
        <v xml:space="preserve"> </v>
      </c>
      <c r="IM175" s="938" t="str">
        <f t="shared" si="434"/>
        <v xml:space="preserve"> </v>
      </c>
      <c r="IU175" s="938" t="str">
        <f t="shared" si="435"/>
        <v xml:space="preserve"> </v>
      </c>
      <c r="IV175" s="938" t="str">
        <f t="shared" si="436"/>
        <v xml:space="preserve"> </v>
      </c>
      <c r="JD175" s="938" t="str">
        <f t="shared" si="437"/>
        <v xml:space="preserve"> </v>
      </c>
      <c r="JE175" s="938" t="str">
        <f t="shared" si="438"/>
        <v xml:space="preserve"> </v>
      </c>
      <c r="JM175" s="938" t="str">
        <f t="shared" si="439"/>
        <v xml:space="preserve"> </v>
      </c>
      <c r="JN175" s="938" t="str">
        <f t="shared" si="440"/>
        <v xml:space="preserve"> </v>
      </c>
      <c r="JV175" s="938" t="str">
        <f t="shared" si="441"/>
        <v xml:space="preserve"> </v>
      </c>
      <c r="JW175" s="938" t="str">
        <f t="shared" si="442"/>
        <v xml:space="preserve"> </v>
      </c>
    </row>
    <row r="176" spans="11:283" x14ac:dyDescent="0.2">
      <c r="K176" s="938" t="str">
        <f t="shared" si="381"/>
        <v/>
      </c>
      <c r="L176" s="714">
        <f t="shared" si="382"/>
        <v>0</v>
      </c>
      <c r="M176" s="714">
        <v>5.1000000000000004E-4</v>
      </c>
      <c r="N176" s="714">
        <v>51</v>
      </c>
      <c r="O176" t="str">
        <v>NIPH20-10-10</v>
      </c>
      <c r="P176" s="714">
        <f t="shared" si="443"/>
        <v>0</v>
      </c>
      <c r="Q176" s="714">
        <f t="shared" si="444"/>
        <v>0</v>
      </c>
      <c r="U176" s="938" t="str">
        <f t="shared" si="383"/>
        <v xml:space="preserve"> </v>
      </c>
      <c r="V176" s="938" t="str">
        <f t="shared" si="384"/>
        <v xml:space="preserve"> </v>
      </c>
      <c r="AD176" s="938" t="str">
        <f t="shared" si="385"/>
        <v xml:space="preserve"> </v>
      </c>
      <c r="AE176" s="938" t="str">
        <f t="shared" si="386"/>
        <v xml:space="preserve"> </v>
      </c>
      <c r="AM176" s="938" t="str">
        <f t="shared" si="387"/>
        <v xml:space="preserve"> </v>
      </c>
      <c r="AN176" s="938" t="str">
        <f t="shared" si="388"/>
        <v xml:space="preserve"> </v>
      </c>
      <c r="AV176" s="938" t="str">
        <f t="shared" si="389"/>
        <v xml:space="preserve"> </v>
      </c>
      <c r="AW176" s="938" t="str">
        <f t="shared" si="390"/>
        <v xml:space="preserve"> </v>
      </c>
      <c r="BE176" s="938" t="str">
        <f t="shared" si="391"/>
        <v xml:space="preserve"> </v>
      </c>
      <c r="BF176" s="938" t="str">
        <f t="shared" si="392"/>
        <v xml:space="preserve"> </v>
      </c>
      <c r="BN176" s="938" t="str">
        <f t="shared" si="393"/>
        <v xml:space="preserve"> </v>
      </c>
      <c r="BO176" s="938" t="str">
        <f t="shared" si="394"/>
        <v xml:space="preserve"> </v>
      </c>
      <c r="BW176" s="938" t="str">
        <f t="shared" si="395"/>
        <v xml:space="preserve"> </v>
      </c>
      <c r="BX176" s="938" t="str">
        <f t="shared" si="396"/>
        <v xml:space="preserve"> </v>
      </c>
      <c r="CF176" s="938" t="str">
        <f t="shared" si="397"/>
        <v xml:space="preserve"> </v>
      </c>
      <c r="CG176" s="938" t="str">
        <f t="shared" si="398"/>
        <v xml:space="preserve"> </v>
      </c>
      <c r="CO176" s="938" t="str">
        <f t="shared" si="399"/>
        <v xml:space="preserve"> </v>
      </c>
      <c r="CP176" s="938" t="str">
        <f t="shared" si="400"/>
        <v xml:space="preserve"> </v>
      </c>
      <c r="CX176" s="938" t="str">
        <f t="shared" si="401"/>
        <v xml:space="preserve"> </v>
      </c>
      <c r="CY176" s="938" t="str">
        <f t="shared" si="402"/>
        <v xml:space="preserve"> </v>
      </c>
      <c r="DG176" s="938" t="str">
        <f t="shared" si="403"/>
        <v xml:space="preserve"> </v>
      </c>
      <c r="DH176" s="938" t="str">
        <f t="shared" si="404"/>
        <v xml:space="preserve"> </v>
      </c>
      <c r="DP176" s="938" t="str">
        <f t="shared" si="405"/>
        <v xml:space="preserve"> </v>
      </c>
      <c r="DQ176" s="938" t="str">
        <f t="shared" si="406"/>
        <v xml:space="preserve"> </v>
      </c>
      <c r="DY176" s="938" t="str">
        <f t="shared" si="407"/>
        <v xml:space="preserve"> </v>
      </c>
      <c r="DZ176" s="938" t="str">
        <f t="shared" si="408"/>
        <v xml:space="preserve"> </v>
      </c>
      <c r="EH176" s="938" t="str">
        <f t="shared" si="409"/>
        <v xml:space="preserve"> </v>
      </c>
      <c r="EI176" s="938" t="str">
        <f t="shared" si="410"/>
        <v xml:space="preserve"> </v>
      </c>
      <c r="EQ176" s="938" t="str">
        <f t="shared" si="411"/>
        <v xml:space="preserve"> </v>
      </c>
      <c r="ER176" s="938" t="str">
        <f t="shared" si="412"/>
        <v xml:space="preserve"> </v>
      </c>
      <c r="EZ176" s="938" t="str">
        <f t="shared" si="413"/>
        <v xml:space="preserve"> </v>
      </c>
      <c r="FA176" s="938" t="str">
        <f t="shared" si="414"/>
        <v xml:space="preserve"> </v>
      </c>
      <c r="FI176" s="938" t="str">
        <f t="shared" si="415"/>
        <v xml:space="preserve"> </v>
      </c>
      <c r="FJ176" s="938" t="str">
        <f t="shared" si="416"/>
        <v xml:space="preserve"> </v>
      </c>
      <c r="FR176" s="938" t="str">
        <f t="shared" si="417"/>
        <v xml:space="preserve"> </v>
      </c>
      <c r="FS176" s="938" t="str">
        <f t="shared" si="418"/>
        <v xml:space="preserve"> </v>
      </c>
      <c r="GA176" s="938" t="str">
        <f t="shared" si="419"/>
        <v xml:space="preserve"> </v>
      </c>
      <c r="GB176" s="938" t="str">
        <f t="shared" si="420"/>
        <v xml:space="preserve"> </v>
      </c>
      <c r="GJ176" s="938" t="str">
        <f t="shared" si="421"/>
        <v xml:space="preserve"> </v>
      </c>
      <c r="GK176" s="938" t="str">
        <f t="shared" si="422"/>
        <v xml:space="preserve"> </v>
      </c>
      <c r="GS176" s="938" t="str">
        <f t="shared" si="423"/>
        <v xml:space="preserve"> </v>
      </c>
      <c r="GT176" s="938" t="str">
        <f t="shared" si="424"/>
        <v xml:space="preserve"> </v>
      </c>
      <c r="HB176" s="938" t="str">
        <f t="shared" si="425"/>
        <v xml:space="preserve"> </v>
      </c>
      <c r="HC176" s="938" t="str">
        <f t="shared" si="426"/>
        <v xml:space="preserve"> </v>
      </c>
      <c r="HK176" s="938" t="str">
        <f t="shared" si="427"/>
        <v xml:space="preserve"> </v>
      </c>
      <c r="HL176" s="938" t="str">
        <f t="shared" si="428"/>
        <v xml:space="preserve"> </v>
      </c>
      <c r="HT176" s="938" t="str">
        <f t="shared" si="429"/>
        <v xml:space="preserve"> </v>
      </c>
      <c r="HU176" s="938" t="str">
        <f t="shared" si="430"/>
        <v xml:space="preserve"> </v>
      </c>
      <c r="IC176" s="938" t="str">
        <f t="shared" si="431"/>
        <v xml:space="preserve"> </v>
      </c>
      <c r="ID176" s="938" t="str">
        <f t="shared" si="432"/>
        <v xml:space="preserve"> </v>
      </c>
      <c r="IL176" s="938" t="str">
        <f t="shared" si="433"/>
        <v xml:space="preserve"> </v>
      </c>
      <c r="IM176" s="938" t="str">
        <f t="shared" si="434"/>
        <v xml:space="preserve"> </v>
      </c>
      <c r="IU176" s="938" t="str">
        <f t="shared" si="435"/>
        <v xml:space="preserve"> </v>
      </c>
      <c r="IV176" s="938" t="str">
        <f t="shared" si="436"/>
        <v xml:space="preserve"> </v>
      </c>
      <c r="JD176" s="938" t="str">
        <f t="shared" si="437"/>
        <v xml:space="preserve"> </v>
      </c>
      <c r="JE176" s="938" t="str">
        <f t="shared" si="438"/>
        <v xml:space="preserve"> </v>
      </c>
      <c r="JM176" s="938" t="str">
        <f t="shared" si="439"/>
        <v xml:space="preserve"> </v>
      </c>
      <c r="JN176" s="938" t="str">
        <f t="shared" si="440"/>
        <v xml:space="preserve"> </v>
      </c>
      <c r="JV176" s="938" t="str">
        <f t="shared" si="441"/>
        <v xml:space="preserve"> </v>
      </c>
      <c r="JW176" s="938" t="str">
        <f t="shared" si="442"/>
        <v xml:space="preserve"> </v>
      </c>
    </row>
    <row r="177" spans="11:283" x14ac:dyDescent="0.2">
      <c r="K177" s="938" t="str">
        <f t="shared" si="381"/>
        <v/>
      </c>
      <c r="L177" s="714">
        <f t="shared" si="382"/>
        <v>0</v>
      </c>
      <c r="M177" s="714">
        <v>5.1999999999999995E-4</v>
      </c>
      <c r="N177" s="714">
        <v>52</v>
      </c>
      <c r="O177" t="str">
        <v>OEKOPH</v>
      </c>
      <c r="P177" s="714">
        <f t="shared" si="443"/>
        <v>0</v>
      </c>
      <c r="Q177" s="714">
        <f t="shared" si="444"/>
        <v>0</v>
      </c>
      <c r="U177" s="938" t="str">
        <f t="shared" si="383"/>
        <v xml:space="preserve"> </v>
      </c>
      <c r="V177" s="938" t="str">
        <f t="shared" si="384"/>
        <v xml:space="preserve"> </v>
      </c>
      <c r="AD177" s="938" t="str">
        <f t="shared" si="385"/>
        <v xml:space="preserve"> </v>
      </c>
      <c r="AE177" s="938" t="str">
        <f t="shared" si="386"/>
        <v xml:space="preserve"> </v>
      </c>
      <c r="AM177" s="938" t="str">
        <f t="shared" si="387"/>
        <v xml:space="preserve"> </v>
      </c>
      <c r="AN177" s="938" t="str">
        <f t="shared" si="388"/>
        <v xml:space="preserve"> </v>
      </c>
      <c r="AV177" s="938" t="str">
        <f t="shared" si="389"/>
        <v xml:space="preserve"> </v>
      </c>
      <c r="AW177" s="938" t="str">
        <f t="shared" si="390"/>
        <v xml:space="preserve"> </v>
      </c>
      <c r="BE177" s="938" t="str">
        <f t="shared" si="391"/>
        <v xml:space="preserve"> </v>
      </c>
      <c r="BF177" s="938" t="str">
        <f t="shared" si="392"/>
        <v xml:space="preserve"> </v>
      </c>
      <c r="BN177" s="938" t="str">
        <f t="shared" si="393"/>
        <v xml:space="preserve"> </v>
      </c>
      <c r="BO177" s="938" t="str">
        <f t="shared" si="394"/>
        <v xml:space="preserve"> </v>
      </c>
      <c r="BW177" s="938" t="str">
        <f t="shared" si="395"/>
        <v xml:space="preserve"> </v>
      </c>
      <c r="BX177" s="938" t="str">
        <f t="shared" si="396"/>
        <v xml:space="preserve"> </v>
      </c>
      <c r="CF177" s="938" t="str">
        <f t="shared" si="397"/>
        <v xml:space="preserve"> </v>
      </c>
      <c r="CG177" s="938" t="str">
        <f t="shared" si="398"/>
        <v xml:space="preserve"> </v>
      </c>
      <c r="CO177" s="938" t="str">
        <f t="shared" si="399"/>
        <v xml:space="preserve"> </v>
      </c>
      <c r="CP177" s="938" t="str">
        <f t="shared" si="400"/>
        <v xml:space="preserve"> </v>
      </c>
      <c r="CX177" s="938" t="str">
        <f t="shared" si="401"/>
        <v xml:space="preserve"> </v>
      </c>
      <c r="CY177" s="938" t="str">
        <f t="shared" si="402"/>
        <v xml:space="preserve"> </v>
      </c>
      <c r="DG177" s="938" t="str">
        <f t="shared" si="403"/>
        <v xml:space="preserve"> </v>
      </c>
      <c r="DH177" s="938" t="str">
        <f t="shared" si="404"/>
        <v xml:space="preserve"> </v>
      </c>
      <c r="DP177" s="938" t="str">
        <f t="shared" si="405"/>
        <v xml:space="preserve"> </v>
      </c>
      <c r="DQ177" s="938" t="str">
        <f t="shared" si="406"/>
        <v xml:space="preserve"> </v>
      </c>
      <c r="DY177" s="938" t="str">
        <f t="shared" si="407"/>
        <v xml:space="preserve"> </v>
      </c>
      <c r="DZ177" s="938" t="str">
        <f t="shared" si="408"/>
        <v xml:space="preserve"> </v>
      </c>
      <c r="EH177" s="938" t="str">
        <f t="shared" si="409"/>
        <v xml:space="preserve"> </v>
      </c>
      <c r="EI177" s="938" t="str">
        <f t="shared" si="410"/>
        <v xml:space="preserve"> </v>
      </c>
      <c r="EQ177" s="938" t="str">
        <f t="shared" si="411"/>
        <v xml:space="preserve"> </v>
      </c>
      <c r="ER177" s="938" t="str">
        <f t="shared" si="412"/>
        <v xml:space="preserve"> </v>
      </c>
      <c r="EZ177" s="938" t="str">
        <f t="shared" si="413"/>
        <v xml:space="preserve"> </v>
      </c>
      <c r="FA177" s="938" t="str">
        <f t="shared" si="414"/>
        <v xml:space="preserve"> </v>
      </c>
      <c r="FI177" s="938" t="str">
        <f t="shared" si="415"/>
        <v xml:space="preserve"> </v>
      </c>
      <c r="FJ177" s="938" t="str">
        <f t="shared" si="416"/>
        <v xml:space="preserve"> </v>
      </c>
      <c r="FR177" s="938" t="str">
        <f t="shared" si="417"/>
        <v xml:space="preserve"> </v>
      </c>
      <c r="FS177" s="938" t="str">
        <f t="shared" si="418"/>
        <v xml:space="preserve"> </v>
      </c>
      <c r="GA177" s="938" t="str">
        <f t="shared" si="419"/>
        <v xml:space="preserve"> </v>
      </c>
      <c r="GB177" s="938" t="str">
        <f t="shared" si="420"/>
        <v xml:space="preserve"> </v>
      </c>
      <c r="GJ177" s="938" t="str">
        <f t="shared" si="421"/>
        <v xml:space="preserve"> </v>
      </c>
      <c r="GK177" s="938" t="str">
        <f t="shared" si="422"/>
        <v xml:space="preserve"> </v>
      </c>
      <c r="GS177" s="938" t="str">
        <f t="shared" si="423"/>
        <v xml:space="preserve"> </v>
      </c>
      <c r="GT177" s="938" t="str">
        <f t="shared" si="424"/>
        <v xml:space="preserve"> </v>
      </c>
      <c r="HB177" s="938" t="str">
        <f t="shared" si="425"/>
        <v xml:space="preserve"> </v>
      </c>
      <c r="HC177" s="938" t="str">
        <f t="shared" si="426"/>
        <v xml:space="preserve"> </v>
      </c>
      <c r="HK177" s="938" t="str">
        <f t="shared" si="427"/>
        <v xml:space="preserve"> </v>
      </c>
      <c r="HL177" s="938" t="str">
        <f t="shared" si="428"/>
        <v xml:space="preserve"> </v>
      </c>
      <c r="HT177" s="938" t="str">
        <f t="shared" si="429"/>
        <v xml:space="preserve"> </v>
      </c>
      <c r="HU177" s="938" t="str">
        <f t="shared" si="430"/>
        <v xml:space="preserve"> </v>
      </c>
      <c r="IC177" s="938" t="str">
        <f t="shared" si="431"/>
        <v xml:space="preserve"> </v>
      </c>
      <c r="ID177" s="938" t="str">
        <f t="shared" si="432"/>
        <v xml:space="preserve"> </v>
      </c>
      <c r="IL177" s="938" t="str">
        <f t="shared" si="433"/>
        <v xml:space="preserve"> </v>
      </c>
      <c r="IM177" s="938" t="str">
        <f t="shared" si="434"/>
        <v xml:space="preserve"> </v>
      </c>
      <c r="IU177" s="938" t="str">
        <f t="shared" si="435"/>
        <v xml:space="preserve"> </v>
      </c>
      <c r="IV177" s="938" t="str">
        <f t="shared" si="436"/>
        <v xml:space="preserve"> </v>
      </c>
      <c r="JD177" s="938" t="str">
        <f t="shared" si="437"/>
        <v xml:space="preserve"> </v>
      </c>
      <c r="JE177" s="938" t="str">
        <f t="shared" si="438"/>
        <v xml:space="preserve"> </v>
      </c>
      <c r="JM177" s="938" t="str">
        <f t="shared" si="439"/>
        <v xml:space="preserve"> </v>
      </c>
      <c r="JN177" s="938" t="str">
        <f t="shared" si="440"/>
        <v xml:space="preserve"> </v>
      </c>
      <c r="JV177" s="938" t="str">
        <f t="shared" si="441"/>
        <v xml:space="preserve"> </v>
      </c>
      <c r="JW177" s="938" t="str">
        <f t="shared" si="442"/>
        <v xml:space="preserve"> </v>
      </c>
    </row>
    <row r="178" spans="11:283" x14ac:dyDescent="0.2">
      <c r="K178" s="938" t="str">
        <f t="shared" si="381"/>
        <v/>
      </c>
      <c r="L178" s="714">
        <f t="shared" si="382"/>
        <v>0</v>
      </c>
      <c r="M178" s="714">
        <v>5.2999999999999998E-4</v>
      </c>
      <c r="N178" s="714">
        <v>53</v>
      </c>
      <c r="O178" t="str">
        <v>P-26</v>
      </c>
      <c r="P178" s="714">
        <f t="shared" si="443"/>
        <v>0</v>
      </c>
      <c r="Q178" s="714">
        <f t="shared" si="444"/>
        <v>0</v>
      </c>
      <c r="U178" s="938" t="str">
        <f t="shared" si="383"/>
        <v xml:space="preserve"> </v>
      </c>
      <c r="V178" s="938" t="str">
        <f t="shared" si="384"/>
        <v xml:space="preserve"> </v>
      </c>
      <c r="AD178" s="938" t="str">
        <f t="shared" si="385"/>
        <v xml:space="preserve"> </v>
      </c>
      <c r="AE178" s="938" t="str">
        <f t="shared" si="386"/>
        <v xml:space="preserve"> </v>
      </c>
      <c r="AM178" s="938" t="str">
        <f t="shared" si="387"/>
        <v xml:space="preserve"> </v>
      </c>
      <c r="AN178" s="938" t="str">
        <f t="shared" si="388"/>
        <v xml:space="preserve"> </v>
      </c>
      <c r="AV178" s="938" t="str">
        <f t="shared" si="389"/>
        <v xml:space="preserve"> </v>
      </c>
      <c r="AW178" s="938" t="str">
        <f t="shared" si="390"/>
        <v xml:space="preserve"> </v>
      </c>
      <c r="BE178" s="938" t="str">
        <f t="shared" si="391"/>
        <v xml:space="preserve"> </v>
      </c>
      <c r="BF178" s="938" t="str">
        <f t="shared" si="392"/>
        <v xml:space="preserve"> </v>
      </c>
      <c r="BN178" s="938" t="str">
        <f t="shared" si="393"/>
        <v xml:space="preserve"> </v>
      </c>
      <c r="BO178" s="938" t="str">
        <f t="shared" si="394"/>
        <v xml:space="preserve"> </v>
      </c>
      <c r="BW178" s="938" t="str">
        <f t="shared" si="395"/>
        <v xml:space="preserve"> </v>
      </c>
      <c r="BX178" s="938" t="str">
        <f t="shared" si="396"/>
        <v xml:space="preserve"> </v>
      </c>
      <c r="CF178" s="938" t="str">
        <f t="shared" si="397"/>
        <v xml:space="preserve"> </v>
      </c>
      <c r="CG178" s="938" t="str">
        <f t="shared" si="398"/>
        <v xml:space="preserve"> </v>
      </c>
      <c r="CO178" s="938" t="str">
        <f t="shared" si="399"/>
        <v xml:space="preserve"> </v>
      </c>
      <c r="CP178" s="938" t="str">
        <f t="shared" si="400"/>
        <v xml:space="preserve"> </v>
      </c>
      <c r="CX178" s="938" t="str">
        <f t="shared" si="401"/>
        <v xml:space="preserve"> </v>
      </c>
      <c r="CY178" s="938" t="str">
        <f t="shared" si="402"/>
        <v xml:space="preserve"> </v>
      </c>
      <c r="DG178" s="938" t="str">
        <f t="shared" si="403"/>
        <v xml:space="preserve"> </v>
      </c>
      <c r="DH178" s="938" t="str">
        <f t="shared" si="404"/>
        <v xml:space="preserve"> </v>
      </c>
      <c r="DP178" s="938" t="str">
        <f t="shared" si="405"/>
        <v xml:space="preserve"> </v>
      </c>
      <c r="DQ178" s="938" t="str">
        <f t="shared" si="406"/>
        <v xml:space="preserve"> </v>
      </c>
      <c r="DY178" s="938" t="str">
        <f t="shared" si="407"/>
        <v xml:space="preserve"> </v>
      </c>
      <c r="DZ178" s="938" t="str">
        <f t="shared" si="408"/>
        <v xml:space="preserve"> </v>
      </c>
      <c r="EH178" s="938" t="str">
        <f t="shared" si="409"/>
        <v xml:space="preserve"> </v>
      </c>
      <c r="EI178" s="938" t="str">
        <f t="shared" si="410"/>
        <v xml:space="preserve"> </v>
      </c>
      <c r="EQ178" s="938" t="str">
        <f t="shared" si="411"/>
        <v xml:space="preserve"> </v>
      </c>
      <c r="ER178" s="938" t="str">
        <f t="shared" si="412"/>
        <v xml:space="preserve"> </v>
      </c>
      <c r="EZ178" s="938" t="str">
        <f t="shared" si="413"/>
        <v xml:space="preserve"> </v>
      </c>
      <c r="FA178" s="938" t="str">
        <f t="shared" si="414"/>
        <v xml:space="preserve"> </v>
      </c>
      <c r="FI178" s="938" t="str">
        <f t="shared" si="415"/>
        <v xml:space="preserve"> </v>
      </c>
      <c r="FJ178" s="938" t="str">
        <f t="shared" si="416"/>
        <v xml:space="preserve"> </v>
      </c>
      <c r="FR178" s="938" t="str">
        <f t="shared" si="417"/>
        <v xml:space="preserve"> </v>
      </c>
      <c r="FS178" s="938" t="str">
        <f t="shared" si="418"/>
        <v xml:space="preserve"> </v>
      </c>
      <c r="GA178" s="938" t="str">
        <f t="shared" si="419"/>
        <v xml:space="preserve"> </v>
      </c>
      <c r="GB178" s="938" t="str">
        <f t="shared" si="420"/>
        <v xml:space="preserve"> </v>
      </c>
      <c r="GJ178" s="938" t="str">
        <f t="shared" si="421"/>
        <v xml:space="preserve"> </v>
      </c>
      <c r="GK178" s="938" t="str">
        <f t="shared" si="422"/>
        <v xml:space="preserve"> </v>
      </c>
      <c r="GS178" s="938" t="str">
        <f t="shared" si="423"/>
        <v xml:space="preserve"> </v>
      </c>
      <c r="GT178" s="938" t="str">
        <f t="shared" si="424"/>
        <v xml:space="preserve"> </v>
      </c>
      <c r="HB178" s="938" t="str">
        <f t="shared" si="425"/>
        <v xml:space="preserve"> </v>
      </c>
      <c r="HC178" s="938" t="str">
        <f t="shared" si="426"/>
        <v xml:space="preserve"> </v>
      </c>
      <c r="HK178" s="938" t="str">
        <f t="shared" si="427"/>
        <v xml:space="preserve"> </v>
      </c>
      <c r="HL178" s="938" t="str">
        <f t="shared" si="428"/>
        <v xml:space="preserve"> </v>
      </c>
      <c r="HT178" s="938" t="str">
        <f t="shared" si="429"/>
        <v xml:space="preserve"> </v>
      </c>
      <c r="HU178" s="938" t="str">
        <f t="shared" si="430"/>
        <v xml:space="preserve"> </v>
      </c>
      <c r="IC178" s="938" t="str">
        <f t="shared" si="431"/>
        <v xml:space="preserve"> </v>
      </c>
      <c r="ID178" s="938" t="str">
        <f t="shared" si="432"/>
        <v xml:space="preserve"> </v>
      </c>
      <c r="IL178" s="938" t="str">
        <f t="shared" si="433"/>
        <v xml:space="preserve"> </v>
      </c>
      <c r="IM178" s="938" t="str">
        <f t="shared" si="434"/>
        <v xml:space="preserve"> </v>
      </c>
      <c r="IU178" s="938" t="str">
        <f t="shared" si="435"/>
        <v xml:space="preserve"> </v>
      </c>
      <c r="IV178" s="938" t="str">
        <f t="shared" si="436"/>
        <v xml:space="preserve"> </v>
      </c>
      <c r="JD178" s="938" t="str">
        <f t="shared" si="437"/>
        <v xml:space="preserve"> </v>
      </c>
      <c r="JE178" s="938" t="str">
        <f t="shared" si="438"/>
        <v xml:space="preserve"> </v>
      </c>
      <c r="JM178" s="938" t="str">
        <f t="shared" si="439"/>
        <v xml:space="preserve"> </v>
      </c>
      <c r="JN178" s="938" t="str">
        <f t="shared" si="440"/>
        <v xml:space="preserve"> </v>
      </c>
      <c r="JV178" s="938" t="str">
        <f t="shared" si="441"/>
        <v xml:space="preserve"> </v>
      </c>
      <c r="JW178" s="938" t="str">
        <f t="shared" si="442"/>
        <v xml:space="preserve"> </v>
      </c>
    </row>
    <row r="179" spans="11:283" x14ac:dyDescent="0.2">
      <c r="K179" s="938" t="str">
        <f t="shared" si="381"/>
        <v/>
      </c>
      <c r="L179" s="714">
        <f t="shared" si="382"/>
        <v>0</v>
      </c>
      <c r="M179" s="714">
        <v>5.4000000000000001E-4</v>
      </c>
      <c r="N179" s="714">
        <v>54</v>
      </c>
      <c r="O179" t="str">
        <v>POLY-SO4</v>
      </c>
      <c r="P179" s="714">
        <f t="shared" si="443"/>
        <v>0</v>
      </c>
      <c r="Q179" s="714">
        <f t="shared" si="444"/>
        <v>0</v>
      </c>
      <c r="U179" s="938" t="str">
        <f t="shared" si="383"/>
        <v xml:space="preserve"> </v>
      </c>
      <c r="V179" s="938" t="str">
        <f t="shared" si="384"/>
        <v xml:space="preserve"> </v>
      </c>
      <c r="AD179" s="938" t="str">
        <f t="shared" si="385"/>
        <v xml:space="preserve"> </v>
      </c>
      <c r="AE179" s="938" t="str">
        <f t="shared" si="386"/>
        <v xml:space="preserve"> </v>
      </c>
      <c r="AM179" s="938" t="str">
        <f t="shared" si="387"/>
        <v xml:space="preserve"> </v>
      </c>
      <c r="AN179" s="938" t="str">
        <f t="shared" si="388"/>
        <v xml:space="preserve"> </v>
      </c>
      <c r="AV179" s="938" t="str">
        <f t="shared" si="389"/>
        <v xml:space="preserve"> </v>
      </c>
      <c r="AW179" s="938" t="str">
        <f t="shared" si="390"/>
        <v xml:space="preserve"> </v>
      </c>
      <c r="BE179" s="938" t="str">
        <f t="shared" si="391"/>
        <v xml:space="preserve"> </v>
      </c>
      <c r="BF179" s="938" t="str">
        <f t="shared" si="392"/>
        <v xml:space="preserve"> </v>
      </c>
      <c r="BN179" s="938" t="str">
        <f t="shared" si="393"/>
        <v xml:space="preserve"> </v>
      </c>
      <c r="BO179" s="938" t="str">
        <f t="shared" si="394"/>
        <v xml:space="preserve"> </v>
      </c>
      <c r="BW179" s="938" t="str">
        <f t="shared" si="395"/>
        <v xml:space="preserve"> </v>
      </c>
      <c r="BX179" s="938" t="str">
        <f t="shared" si="396"/>
        <v xml:space="preserve"> </v>
      </c>
      <c r="CF179" s="938" t="str">
        <f t="shared" si="397"/>
        <v xml:space="preserve"> </v>
      </c>
      <c r="CG179" s="938" t="str">
        <f t="shared" si="398"/>
        <v xml:space="preserve"> </v>
      </c>
      <c r="CO179" s="938" t="str">
        <f t="shared" si="399"/>
        <v xml:space="preserve"> </v>
      </c>
      <c r="CP179" s="938" t="str">
        <f t="shared" si="400"/>
        <v xml:space="preserve"> </v>
      </c>
      <c r="CX179" s="938" t="str">
        <f t="shared" si="401"/>
        <v xml:space="preserve"> </v>
      </c>
      <c r="CY179" s="938" t="str">
        <f t="shared" si="402"/>
        <v xml:space="preserve"> </v>
      </c>
      <c r="DG179" s="938" t="str">
        <f t="shared" si="403"/>
        <v xml:space="preserve"> </v>
      </c>
      <c r="DH179" s="938" t="str">
        <f t="shared" si="404"/>
        <v xml:space="preserve"> </v>
      </c>
      <c r="DP179" s="938" t="str">
        <f t="shared" si="405"/>
        <v xml:space="preserve"> </v>
      </c>
      <c r="DQ179" s="938" t="str">
        <f t="shared" si="406"/>
        <v xml:space="preserve"> </v>
      </c>
      <c r="DY179" s="938" t="str">
        <f t="shared" si="407"/>
        <v xml:space="preserve"> </v>
      </c>
      <c r="DZ179" s="938" t="str">
        <f t="shared" si="408"/>
        <v xml:space="preserve"> </v>
      </c>
      <c r="EH179" s="938" t="str">
        <f t="shared" si="409"/>
        <v xml:space="preserve"> </v>
      </c>
      <c r="EI179" s="938" t="str">
        <f t="shared" si="410"/>
        <v xml:space="preserve"> </v>
      </c>
      <c r="EQ179" s="938" t="str">
        <f t="shared" si="411"/>
        <v xml:space="preserve"> </v>
      </c>
      <c r="ER179" s="938" t="str">
        <f t="shared" si="412"/>
        <v xml:space="preserve"> </v>
      </c>
      <c r="EZ179" s="938" t="str">
        <f t="shared" si="413"/>
        <v xml:space="preserve"> </v>
      </c>
      <c r="FA179" s="938" t="str">
        <f t="shared" si="414"/>
        <v xml:space="preserve"> </v>
      </c>
      <c r="FI179" s="938" t="str">
        <f t="shared" si="415"/>
        <v xml:space="preserve"> </v>
      </c>
      <c r="FJ179" s="938" t="str">
        <f t="shared" si="416"/>
        <v xml:space="preserve"> </v>
      </c>
      <c r="FR179" s="938" t="str">
        <f t="shared" si="417"/>
        <v xml:space="preserve"> </v>
      </c>
      <c r="FS179" s="938" t="str">
        <f t="shared" si="418"/>
        <v xml:space="preserve"> </v>
      </c>
      <c r="GA179" s="938" t="str">
        <f t="shared" si="419"/>
        <v xml:space="preserve"> </v>
      </c>
      <c r="GB179" s="938" t="str">
        <f t="shared" si="420"/>
        <v xml:space="preserve"> </v>
      </c>
      <c r="GJ179" s="938" t="str">
        <f t="shared" si="421"/>
        <v xml:space="preserve"> </v>
      </c>
      <c r="GK179" s="938" t="str">
        <f t="shared" si="422"/>
        <v xml:space="preserve"> </v>
      </c>
      <c r="GS179" s="938" t="str">
        <f t="shared" si="423"/>
        <v xml:space="preserve"> </v>
      </c>
      <c r="GT179" s="938" t="str">
        <f t="shared" si="424"/>
        <v xml:space="preserve"> </v>
      </c>
      <c r="HB179" s="938" t="str">
        <f t="shared" si="425"/>
        <v xml:space="preserve"> </v>
      </c>
      <c r="HC179" s="938" t="str">
        <f t="shared" si="426"/>
        <v xml:space="preserve"> </v>
      </c>
      <c r="HK179" s="938" t="str">
        <f t="shared" si="427"/>
        <v xml:space="preserve"> </v>
      </c>
      <c r="HL179" s="938" t="str">
        <f t="shared" si="428"/>
        <v xml:space="preserve"> </v>
      </c>
      <c r="HT179" s="938" t="str">
        <f t="shared" si="429"/>
        <v xml:space="preserve"> </v>
      </c>
      <c r="HU179" s="938" t="str">
        <f t="shared" si="430"/>
        <v xml:space="preserve"> </v>
      </c>
      <c r="IC179" s="938" t="str">
        <f t="shared" si="431"/>
        <v xml:space="preserve"> </v>
      </c>
      <c r="ID179" s="938" t="str">
        <f t="shared" si="432"/>
        <v xml:space="preserve"> </v>
      </c>
      <c r="IL179" s="938" t="str">
        <f t="shared" si="433"/>
        <v xml:space="preserve"> </v>
      </c>
      <c r="IM179" s="938" t="str">
        <f t="shared" si="434"/>
        <v xml:space="preserve"> </v>
      </c>
      <c r="IU179" s="938" t="str">
        <f t="shared" si="435"/>
        <v xml:space="preserve"> </v>
      </c>
      <c r="IV179" s="938" t="str">
        <f t="shared" si="436"/>
        <v xml:space="preserve"> </v>
      </c>
      <c r="JD179" s="938" t="str">
        <f t="shared" si="437"/>
        <v xml:space="preserve"> </v>
      </c>
      <c r="JE179" s="938" t="str">
        <f t="shared" si="438"/>
        <v xml:space="preserve"> </v>
      </c>
      <c r="JM179" s="938" t="str">
        <f t="shared" si="439"/>
        <v xml:space="preserve"> </v>
      </c>
      <c r="JN179" s="938" t="str">
        <f t="shared" si="440"/>
        <v xml:space="preserve"> </v>
      </c>
      <c r="JV179" s="938" t="str">
        <f t="shared" si="441"/>
        <v xml:space="preserve"> </v>
      </c>
      <c r="JW179" s="938" t="str">
        <f t="shared" si="442"/>
        <v xml:space="preserve"> </v>
      </c>
    </row>
    <row r="180" spans="11:283" x14ac:dyDescent="0.2">
      <c r="K180" s="938" t="str">
        <f t="shared" si="381"/>
        <v/>
      </c>
      <c r="L180" s="714">
        <f t="shared" si="382"/>
        <v>0</v>
      </c>
      <c r="M180" s="714">
        <v>5.5000000000000003E-4</v>
      </c>
      <c r="N180" s="714">
        <v>55</v>
      </c>
      <c r="O180" t="str">
        <v>POTASHPLU</v>
      </c>
      <c r="P180" s="714">
        <f t="shared" si="443"/>
        <v>0</v>
      </c>
      <c r="Q180" s="714">
        <f t="shared" si="444"/>
        <v>0</v>
      </c>
      <c r="U180" s="938" t="str">
        <f t="shared" si="383"/>
        <v xml:space="preserve"> </v>
      </c>
      <c r="V180" s="938" t="str">
        <f t="shared" si="384"/>
        <v xml:space="preserve"> </v>
      </c>
      <c r="AD180" s="938" t="str">
        <f t="shared" si="385"/>
        <v xml:space="preserve"> </v>
      </c>
      <c r="AE180" s="938" t="str">
        <f t="shared" si="386"/>
        <v xml:space="preserve"> </v>
      </c>
      <c r="AM180" s="938" t="str">
        <f t="shared" si="387"/>
        <v xml:space="preserve"> </v>
      </c>
      <c r="AN180" s="938" t="str">
        <f t="shared" si="388"/>
        <v xml:space="preserve"> </v>
      </c>
      <c r="AV180" s="938" t="str">
        <f t="shared" si="389"/>
        <v xml:space="preserve"> </v>
      </c>
      <c r="AW180" s="938" t="str">
        <f t="shared" si="390"/>
        <v xml:space="preserve"> </v>
      </c>
      <c r="BE180" s="938" t="str">
        <f t="shared" si="391"/>
        <v xml:space="preserve"> </v>
      </c>
      <c r="BF180" s="938" t="str">
        <f t="shared" si="392"/>
        <v xml:space="preserve"> </v>
      </c>
      <c r="BN180" s="938" t="str">
        <f t="shared" si="393"/>
        <v xml:space="preserve"> </v>
      </c>
      <c r="BO180" s="938" t="str">
        <f t="shared" si="394"/>
        <v xml:space="preserve"> </v>
      </c>
      <c r="BW180" s="938" t="str">
        <f t="shared" si="395"/>
        <v xml:space="preserve"> </v>
      </c>
      <c r="BX180" s="938" t="str">
        <f t="shared" si="396"/>
        <v xml:space="preserve"> </v>
      </c>
      <c r="CF180" s="938" t="str">
        <f t="shared" si="397"/>
        <v xml:space="preserve"> </v>
      </c>
      <c r="CG180" s="938" t="str">
        <f t="shared" si="398"/>
        <v xml:space="preserve"> </v>
      </c>
      <c r="CO180" s="938" t="str">
        <f t="shared" si="399"/>
        <v xml:space="preserve"> </v>
      </c>
      <c r="CP180" s="938" t="str">
        <f t="shared" si="400"/>
        <v xml:space="preserve"> </v>
      </c>
      <c r="CX180" s="938" t="str">
        <f t="shared" si="401"/>
        <v xml:space="preserve"> </v>
      </c>
      <c r="CY180" s="938" t="str">
        <f t="shared" si="402"/>
        <v xml:space="preserve"> </v>
      </c>
      <c r="DG180" s="938" t="str">
        <f t="shared" si="403"/>
        <v xml:space="preserve"> </v>
      </c>
      <c r="DH180" s="938" t="str">
        <f t="shared" si="404"/>
        <v xml:space="preserve"> </v>
      </c>
      <c r="DP180" s="938" t="str">
        <f t="shared" si="405"/>
        <v xml:space="preserve"> </v>
      </c>
      <c r="DQ180" s="938" t="str">
        <f t="shared" si="406"/>
        <v xml:space="preserve"> </v>
      </c>
      <c r="DY180" s="938" t="str">
        <f t="shared" si="407"/>
        <v xml:space="preserve"> </v>
      </c>
      <c r="DZ180" s="938" t="str">
        <f t="shared" si="408"/>
        <v xml:space="preserve"> </v>
      </c>
      <c r="EH180" s="938" t="str">
        <f t="shared" si="409"/>
        <v xml:space="preserve"> </v>
      </c>
      <c r="EI180" s="938" t="str">
        <f t="shared" si="410"/>
        <v xml:space="preserve"> </v>
      </c>
      <c r="EQ180" s="938" t="str">
        <f t="shared" si="411"/>
        <v xml:space="preserve"> </v>
      </c>
      <c r="ER180" s="938" t="str">
        <f t="shared" si="412"/>
        <v xml:space="preserve"> </v>
      </c>
      <c r="EZ180" s="938" t="str">
        <f t="shared" si="413"/>
        <v xml:space="preserve"> </v>
      </c>
      <c r="FA180" s="938" t="str">
        <f t="shared" si="414"/>
        <v xml:space="preserve"> </v>
      </c>
      <c r="FI180" s="938" t="str">
        <f t="shared" si="415"/>
        <v xml:space="preserve"> </v>
      </c>
      <c r="FJ180" s="938" t="str">
        <f t="shared" si="416"/>
        <v xml:space="preserve"> </v>
      </c>
      <c r="FR180" s="938" t="str">
        <f t="shared" si="417"/>
        <v xml:space="preserve"> </v>
      </c>
      <c r="FS180" s="938" t="str">
        <f t="shared" si="418"/>
        <v xml:space="preserve"> </v>
      </c>
      <c r="GA180" s="938" t="str">
        <f t="shared" si="419"/>
        <v xml:space="preserve"> </v>
      </c>
      <c r="GB180" s="938" t="str">
        <f t="shared" si="420"/>
        <v xml:space="preserve"> </v>
      </c>
      <c r="GJ180" s="938" t="str">
        <f t="shared" si="421"/>
        <v xml:space="preserve"> </v>
      </c>
      <c r="GK180" s="938" t="str">
        <f t="shared" si="422"/>
        <v xml:space="preserve"> </v>
      </c>
      <c r="GS180" s="938" t="str">
        <f t="shared" si="423"/>
        <v xml:space="preserve"> </v>
      </c>
      <c r="GT180" s="938" t="str">
        <f t="shared" si="424"/>
        <v xml:space="preserve"> </v>
      </c>
      <c r="HB180" s="938" t="str">
        <f t="shared" si="425"/>
        <v xml:space="preserve"> </v>
      </c>
      <c r="HC180" s="938" t="str">
        <f t="shared" si="426"/>
        <v xml:space="preserve"> </v>
      </c>
      <c r="HK180" s="938" t="str">
        <f t="shared" si="427"/>
        <v xml:space="preserve"> </v>
      </c>
      <c r="HL180" s="938" t="str">
        <f t="shared" si="428"/>
        <v xml:space="preserve"> </v>
      </c>
      <c r="HT180" s="938" t="str">
        <f t="shared" si="429"/>
        <v xml:space="preserve"> </v>
      </c>
      <c r="HU180" s="938" t="str">
        <f t="shared" si="430"/>
        <v xml:space="preserve"> </v>
      </c>
      <c r="IC180" s="938" t="str">
        <f t="shared" si="431"/>
        <v xml:space="preserve"> </v>
      </c>
      <c r="ID180" s="938" t="str">
        <f t="shared" si="432"/>
        <v xml:space="preserve"> </v>
      </c>
      <c r="IL180" s="938" t="str">
        <f t="shared" si="433"/>
        <v xml:space="preserve"> </v>
      </c>
      <c r="IM180" s="938" t="str">
        <f t="shared" si="434"/>
        <v xml:space="preserve"> </v>
      </c>
      <c r="IU180" s="938" t="str">
        <f t="shared" si="435"/>
        <v xml:space="preserve"> </v>
      </c>
      <c r="IV180" s="938" t="str">
        <f t="shared" si="436"/>
        <v xml:space="preserve"> </v>
      </c>
      <c r="JD180" s="938" t="str">
        <f t="shared" si="437"/>
        <v xml:space="preserve"> </v>
      </c>
      <c r="JE180" s="938" t="str">
        <f t="shared" si="438"/>
        <v xml:space="preserve"> </v>
      </c>
      <c r="JM180" s="938" t="str">
        <f t="shared" si="439"/>
        <v xml:space="preserve"> </v>
      </c>
      <c r="JN180" s="938" t="str">
        <f t="shared" si="440"/>
        <v xml:space="preserve"> </v>
      </c>
      <c r="JV180" s="938" t="str">
        <f t="shared" si="441"/>
        <v xml:space="preserve"> </v>
      </c>
      <c r="JW180" s="938" t="str">
        <f t="shared" si="442"/>
        <v xml:space="preserve"> </v>
      </c>
    </row>
    <row r="181" spans="11:283" x14ac:dyDescent="0.2">
      <c r="K181" s="938" t="str">
        <f t="shared" si="381"/>
        <v/>
      </c>
      <c r="L181" s="714">
        <f t="shared" si="382"/>
        <v>0</v>
      </c>
      <c r="M181" s="714">
        <v>5.5999999999999995E-4</v>
      </c>
      <c r="N181" s="714">
        <v>56</v>
      </c>
      <c r="O181" t="str">
        <v>KAMG</v>
      </c>
      <c r="P181" s="714">
        <f t="shared" si="443"/>
        <v>0</v>
      </c>
      <c r="Q181" s="714">
        <f t="shared" si="444"/>
        <v>0</v>
      </c>
      <c r="U181" s="938" t="str">
        <f t="shared" si="383"/>
        <v xml:space="preserve"> </v>
      </c>
      <c r="V181" s="938" t="str">
        <f t="shared" si="384"/>
        <v xml:space="preserve"> </v>
      </c>
      <c r="AD181" s="938" t="str">
        <f t="shared" si="385"/>
        <v xml:space="preserve"> </v>
      </c>
      <c r="AE181" s="938" t="str">
        <f t="shared" si="386"/>
        <v xml:space="preserve"> </v>
      </c>
      <c r="AM181" s="938" t="str">
        <f t="shared" si="387"/>
        <v xml:space="preserve"> </v>
      </c>
      <c r="AN181" s="938" t="str">
        <f t="shared" si="388"/>
        <v xml:space="preserve"> </v>
      </c>
      <c r="AV181" s="938" t="str">
        <f t="shared" si="389"/>
        <v xml:space="preserve"> </v>
      </c>
      <c r="AW181" s="938" t="str">
        <f t="shared" si="390"/>
        <v xml:space="preserve"> </v>
      </c>
      <c r="BE181" s="938" t="str">
        <f t="shared" si="391"/>
        <v xml:space="preserve"> </v>
      </c>
      <c r="BF181" s="938" t="str">
        <f t="shared" si="392"/>
        <v xml:space="preserve"> </v>
      </c>
      <c r="BN181" s="938" t="str">
        <f t="shared" si="393"/>
        <v xml:space="preserve"> </v>
      </c>
      <c r="BO181" s="938" t="str">
        <f t="shared" si="394"/>
        <v xml:space="preserve"> </v>
      </c>
      <c r="BW181" s="938" t="str">
        <f t="shared" si="395"/>
        <v xml:space="preserve"> </v>
      </c>
      <c r="BX181" s="938" t="str">
        <f t="shared" si="396"/>
        <v xml:space="preserve"> </v>
      </c>
      <c r="CF181" s="938" t="str">
        <f t="shared" si="397"/>
        <v xml:space="preserve"> </v>
      </c>
      <c r="CG181" s="938" t="str">
        <f t="shared" si="398"/>
        <v xml:space="preserve"> </v>
      </c>
      <c r="CO181" s="938" t="str">
        <f t="shared" si="399"/>
        <v xml:space="preserve"> </v>
      </c>
      <c r="CP181" s="938" t="str">
        <f t="shared" si="400"/>
        <v xml:space="preserve"> </v>
      </c>
      <c r="CX181" s="938" t="str">
        <f t="shared" si="401"/>
        <v xml:space="preserve"> </v>
      </c>
      <c r="CY181" s="938" t="str">
        <f t="shared" si="402"/>
        <v xml:space="preserve"> </v>
      </c>
      <c r="DG181" s="938" t="str">
        <f t="shared" si="403"/>
        <v xml:space="preserve"> </v>
      </c>
      <c r="DH181" s="938" t="str">
        <f t="shared" si="404"/>
        <v xml:space="preserve"> </v>
      </c>
      <c r="DP181" s="938" t="str">
        <f t="shared" si="405"/>
        <v xml:space="preserve"> </v>
      </c>
      <c r="DQ181" s="938" t="str">
        <f t="shared" si="406"/>
        <v xml:space="preserve"> </v>
      </c>
      <c r="DY181" s="938" t="str">
        <f t="shared" si="407"/>
        <v xml:space="preserve"> </v>
      </c>
      <c r="DZ181" s="938" t="str">
        <f t="shared" si="408"/>
        <v xml:space="preserve"> </v>
      </c>
      <c r="EH181" s="938" t="str">
        <f t="shared" si="409"/>
        <v xml:space="preserve"> </v>
      </c>
      <c r="EI181" s="938" t="str">
        <f t="shared" si="410"/>
        <v xml:space="preserve"> </v>
      </c>
      <c r="EQ181" s="938" t="str">
        <f t="shared" si="411"/>
        <v xml:space="preserve"> </v>
      </c>
      <c r="ER181" s="938" t="str">
        <f t="shared" si="412"/>
        <v xml:space="preserve"> </v>
      </c>
      <c r="EZ181" s="938" t="str">
        <f t="shared" si="413"/>
        <v xml:space="preserve"> </v>
      </c>
      <c r="FA181" s="938" t="str">
        <f t="shared" si="414"/>
        <v xml:space="preserve"> </v>
      </c>
      <c r="FI181" s="938" t="str">
        <f t="shared" si="415"/>
        <v xml:space="preserve"> </v>
      </c>
      <c r="FJ181" s="938" t="str">
        <f t="shared" si="416"/>
        <v xml:space="preserve"> </v>
      </c>
      <c r="FR181" s="938" t="str">
        <f t="shared" si="417"/>
        <v xml:space="preserve"> </v>
      </c>
      <c r="FS181" s="938" t="str">
        <f t="shared" si="418"/>
        <v xml:space="preserve"> </v>
      </c>
      <c r="GA181" s="938" t="str">
        <f t="shared" si="419"/>
        <v xml:space="preserve"> </v>
      </c>
      <c r="GB181" s="938" t="str">
        <f t="shared" si="420"/>
        <v xml:space="preserve"> </v>
      </c>
      <c r="GJ181" s="938" t="str">
        <f t="shared" si="421"/>
        <v xml:space="preserve"> </v>
      </c>
      <c r="GK181" s="938" t="str">
        <f t="shared" si="422"/>
        <v xml:space="preserve"> </v>
      </c>
      <c r="GS181" s="938" t="str">
        <f t="shared" si="423"/>
        <v xml:space="preserve"> </v>
      </c>
      <c r="GT181" s="938" t="str">
        <f t="shared" si="424"/>
        <v xml:space="preserve"> </v>
      </c>
      <c r="HB181" s="938" t="str">
        <f t="shared" si="425"/>
        <v xml:space="preserve"> </v>
      </c>
      <c r="HC181" s="938" t="str">
        <f t="shared" si="426"/>
        <v xml:space="preserve"> </v>
      </c>
      <c r="HK181" s="938" t="str">
        <f t="shared" si="427"/>
        <v xml:space="preserve"> </v>
      </c>
      <c r="HL181" s="938" t="str">
        <f t="shared" si="428"/>
        <v xml:space="preserve"> </v>
      </c>
      <c r="HT181" s="938" t="str">
        <f t="shared" si="429"/>
        <v xml:space="preserve"> </v>
      </c>
      <c r="HU181" s="938" t="str">
        <f t="shared" si="430"/>
        <v xml:space="preserve"> </v>
      </c>
      <c r="IC181" s="938" t="str">
        <f t="shared" si="431"/>
        <v xml:space="preserve"> </v>
      </c>
      <c r="ID181" s="938" t="str">
        <f t="shared" si="432"/>
        <v xml:space="preserve"> </v>
      </c>
      <c r="IL181" s="938" t="str">
        <f t="shared" si="433"/>
        <v xml:space="preserve"> </v>
      </c>
      <c r="IM181" s="938" t="str">
        <f t="shared" si="434"/>
        <v xml:space="preserve"> </v>
      </c>
      <c r="IU181" s="938" t="str">
        <f t="shared" si="435"/>
        <v xml:space="preserve"> </v>
      </c>
      <c r="IV181" s="938" t="str">
        <f t="shared" si="436"/>
        <v xml:space="preserve"> </v>
      </c>
      <c r="JD181" s="938" t="str">
        <f t="shared" si="437"/>
        <v xml:space="preserve"> </v>
      </c>
      <c r="JE181" s="938" t="str">
        <f t="shared" si="438"/>
        <v xml:space="preserve"> </v>
      </c>
      <c r="JM181" s="938" t="str">
        <f t="shared" si="439"/>
        <v xml:space="preserve"> </v>
      </c>
      <c r="JN181" s="938" t="str">
        <f t="shared" si="440"/>
        <v xml:space="preserve"> </v>
      </c>
      <c r="JV181" s="938" t="str">
        <f t="shared" si="441"/>
        <v xml:space="preserve"> </v>
      </c>
      <c r="JW181" s="938" t="str">
        <f t="shared" si="442"/>
        <v xml:space="preserve"> </v>
      </c>
    </row>
    <row r="182" spans="11:283" x14ac:dyDescent="0.2">
      <c r="K182" s="938" t="str">
        <f t="shared" si="381"/>
        <v/>
      </c>
      <c r="L182" s="714">
        <f t="shared" si="382"/>
        <v>0</v>
      </c>
      <c r="M182" s="714">
        <v>5.6999999999999998E-4</v>
      </c>
      <c r="N182" s="714">
        <v>57</v>
      </c>
      <c r="O182" t="str">
        <v>PKPLUS7-21</v>
      </c>
      <c r="P182" s="714">
        <f t="shared" si="443"/>
        <v>0</v>
      </c>
      <c r="Q182" s="714">
        <f t="shared" si="444"/>
        <v>0</v>
      </c>
      <c r="U182" s="938" t="str">
        <f t="shared" si="383"/>
        <v xml:space="preserve"> </v>
      </c>
      <c r="V182" s="938" t="str">
        <f t="shared" si="384"/>
        <v xml:space="preserve"> </v>
      </c>
      <c r="AD182" s="938" t="str">
        <f t="shared" si="385"/>
        <v xml:space="preserve"> </v>
      </c>
      <c r="AE182" s="938" t="str">
        <f t="shared" si="386"/>
        <v xml:space="preserve"> </v>
      </c>
      <c r="AM182" s="938" t="str">
        <f t="shared" si="387"/>
        <v xml:space="preserve"> </v>
      </c>
      <c r="AN182" s="938" t="str">
        <f t="shared" si="388"/>
        <v xml:space="preserve"> </v>
      </c>
      <c r="AV182" s="938" t="str">
        <f t="shared" si="389"/>
        <v xml:space="preserve"> </v>
      </c>
      <c r="AW182" s="938" t="str">
        <f t="shared" si="390"/>
        <v xml:space="preserve"> </v>
      </c>
      <c r="BE182" s="938" t="str">
        <f t="shared" si="391"/>
        <v xml:space="preserve"> </v>
      </c>
      <c r="BF182" s="938" t="str">
        <f t="shared" si="392"/>
        <v xml:space="preserve"> </v>
      </c>
      <c r="BN182" s="938" t="str">
        <f t="shared" si="393"/>
        <v xml:space="preserve"> </v>
      </c>
      <c r="BO182" s="938" t="str">
        <f t="shared" si="394"/>
        <v xml:space="preserve"> </v>
      </c>
      <c r="BW182" s="938" t="str">
        <f t="shared" si="395"/>
        <v xml:space="preserve"> </v>
      </c>
      <c r="BX182" s="938" t="str">
        <f t="shared" si="396"/>
        <v xml:space="preserve"> </v>
      </c>
      <c r="CF182" s="938" t="str">
        <f t="shared" si="397"/>
        <v xml:space="preserve"> </v>
      </c>
      <c r="CG182" s="938" t="str">
        <f t="shared" si="398"/>
        <v xml:space="preserve"> </v>
      </c>
      <c r="CO182" s="938" t="str">
        <f t="shared" si="399"/>
        <v xml:space="preserve"> </v>
      </c>
      <c r="CP182" s="938" t="str">
        <f t="shared" si="400"/>
        <v xml:space="preserve"> </v>
      </c>
      <c r="CX182" s="938" t="str">
        <f t="shared" si="401"/>
        <v xml:space="preserve"> </v>
      </c>
      <c r="CY182" s="938" t="str">
        <f t="shared" si="402"/>
        <v xml:space="preserve"> </v>
      </c>
      <c r="DG182" s="938" t="str">
        <f t="shared" si="403"/>
        <v xml:space="preserve"> </v>
      </c>
      <c r="DH182" s="938" t="str">
        <f t="shared" si="404"/>
        <v xml:space="preserve"> </v>
      </c>
      <c r="DP182" s="938" t="str">
        <f t="shared" si="405"/>
        <v xml:space="preserve"> </v>
      </c>
      <c r="DQ182" s="938" t="str">
        <f t="shared" si="406"/>
        <v xml:space="preserve"> </v>
      </c>
      <c r="DY182" s="938" t="str">
        <f t="shared" si="407"/>
        <v xml:space="preserve"> </v>
      </c>
      <c r="DZ182" s="938" t="str">
        <f t="shared" si="408"/>
        <v xml:space="preserve"> </v>
      </c>
      <c r="EH182" s="938" t="str">
        <f t="shared" si="409"/>
        <v xml:space="preserve"> </v>
      </c>
      <c r="EI182" s="938" t="str">
        <f t="shared" si="410"/>
        <v xml:space="preserve"> </v>
      </c>
      <c r="EQ182" s="938" t="str">
        <f t="shared" si="411"/>
        <v xml:space="preserve"> </v>
      </c>
      <c r="ER182" s="938" t="str">
        <f t="shared" si="412"/>
        <v xml:space="preserve"> </v>
      </c>
      <c r="EZ182" s="938" t="str">
        <f t="shared" si="413"/>
        <v xml:space="preserve"> </v>
      </c>
      <c r="FA182" s="938" t="str">
        <f t="shared" si="414"/>
        <v xml:space="preserve"> </v>
      </c>
      <c r="FI182" s="938" t="str">
        <f t="shared" si="415"/>
        <v xml:space="preserve"> </v>
      </c>
      <c r="FJ182" s="938" t="str">
        <f t="shared" si="416"/>
        <v xml:space="preserve"> </v>
      </c>
      <c r="FR182" s="938" t="str">
        <f t="shared" si="417"/>
        <v xml:space="preserve"> </v>
      </c>
      <c r="FS182" s="938" t="str">
        <f t="shared" si="418"/>
        <v xml:space="preserve"> </v>
      </c>
      <c r="GA182" s="938" t="str">
        <f t="shared" si="419"/>
        <v xml:space="preserve"> </v>
      </c>
      <c r="GB182" s="938" t="str">
        <f t="shared" si="420"/>
        <v xml:space="preserve"> </v>
      </c>
      <c r="GJ182" s="938" t="str">
        <f t="shared" si="421"/>
        <v xml:space="preserve"> </v>
      </c>
      <c r="GK182" s="938" t="str">
        <f t="shared" si="422"/>
        <v xml:space="preserve"> </v>
      </c>
      <c r="GS182" s="938" t="str">
        <f t="shared" si="423"/>
        <v xml:space="preserve"> </v>
      </c>
      <c r="GT182" s="938" t="str">
        <f t="shared" si="424"/>
        <v xml:space="preserve"> </v>
      </c>
      <c r="HB182" s="938" t="str">
        <f t="shared" si="425"/>
        <v xml:space="preserve"> </v>
      </c>
      <c r="HC182" s="938" t="str">
        <f t="shared" si="426"/>
        <v xml:space="preserve"> </v>
      </c>
      <c r="HK182" s="938" t="str">
        <f t="shared" si="427"/>
        <v xml:space="preserve"> </v>
      </c>
      <c r="HL182" s="938" t="str">
        <f t="shared" si="428"/>
        <v xml:space="preserve"> </v>
      </c>
      <c r="HT182" s="938" t="str">
        <f t="shared" si="429"/>
        <v xml:space="preserve"> </v>
      </c>
      <c r="HU182" s="938" t="str">
        <f t="shared" si="430"/>
        <v xml:space="preserve"> </v>
      </c>
      <c r="IC182" s="938" t="str">
        <f t="shared" si="431"/>
        <v xml:space="preserve"> </v>
      </c>
      <c r="ID182" s="938" t="str">
        <f t="shared" si="432"/>
        <v xml:space="preserve"> </v>
      </c>
      <c r="IL182" s="938" t="str">
        <f t="shared" si="433"/>
        <v xml:space="preserve"> </v>
      </c>
      <c r="IM182" s="938" t="str">
        <f t="shared" si="434"/>
        <v xml:space="preserve"> </v>
      </c>
      <c r="IU182" s="938" t="str">
        <f t="shared" si="435"/>
        <v xml:space="preserve"> </v>
      </c>
      <c r="IV182" s="938" t="str">
        <f t="shared" si="436"/>
        <v xml:space="preserve"> </v>
      </c>
      <c r="JD182" s="938" t="str">
        <f t="shared" si="437"/>
        <v xml:space="preserve"> </v>
      </c>
      <c r="JE182" s="938" t="str">
        <f t="shared" si="438"/>
        <v xml:space="preserve"> </v>
      </c>
      <c r="JM182" s="938" t="str">
        <f t="shared" si="439"/>
        <v xml:space="preserve"> </v>
      </c>
      <c r="JN182" s="938" t="str">
        <f t="shared" si="440"/>
        <v xml:space="preserve"> </v>
      </c>
      <c r="JV182" s="938" t="str">
        <f t="shared" si="441"/>
        <v xml:space="preserve"> </v>
      </c>
      <c r="JW182" s="938" t="str">
        <f t="shared" si="442"/>
        <v xml:space="preserve"> </v>
      </c>
    </row>
    <row r="183" spans="11:283" x14ac:dyDescent="0.2">
      <c r="K183" s="938" t="str">
        <f t="shared" si="381"/>
        <v/>
      </c>
      <c r="L183" s="714">
        <f t="shared" si="382"/>
        <v>0</v>
      </c>
      <c r="M183" s="714">
        <v>5.8E-4</v>
      </c>
      <c r="N183" s="714">
        <v>58</v>
      </c>
      <c r="O183" t="str">
        <v>PKPLUS12-24</v>
      </c>
      <c r="P183" s="714">
        <f t="shared" si="443"/>
        <v>0</v>
      </c>
      <c r="Q183" s="714">
        <f t="shared" si="444"/>
        <v>0</v>
      </c>
      <c r="U183" s="938" t="str">
        <f t="shared" si="383"/>
        <v xml:space="preserve"> </v>
      </c>
      <c r="V183" s="938" t="str">
        <f t="shared" si="384"/>
        <v xml:space="preserve"> </v>
      </c>
      <c r="AD183" s="938" t="str">
        <f t="shared" si="385"/>
        <v xml:space="preserve"> </v>
      </c>
      <c r="AE183" s="938" t="str">
        <f t="shared" si="386"/>
        <v xml:space="preserve"> </v>
      </c>
      <c r="AM183" s="938" t="str">
        <f t="shared" si="387"/>
        <v xml:space="preserve"> </v>
      </c>
      <c r="AN183" s="938" t="str">
        <f t="shared" si="388"/>
        <v xml:space="preserve"> </v>
      </c>
      <c r="AV183" s="938" t="str">
        <f t="shared" si="389"/>
        <v xml:space="preserve"> </v>
      </c>
      <c r="AW183" s="938" t="str">
        <f t="shared" si="390"/>
        <v xml:space="preserve"> </v>
      </c>
      <c r="BE183" s="938" t="str">
        <f t="shared" si="391"/>
        <v xml:space="preserve"> </v>
      </c>
      <c r="BF183" s="938" t="str">
        <f t="shared" si="392"/>
        <v xml:space="preserve"> </v>
      </c>
      <c r="BN183" s="938" t="str">
        <f t="shared" si="393"/>
        <v xml:space="preserve"> </v>
      </c>
      <c r="BO183" s="938" t="str">
        <f t="shared" si="394"/>
        <v xml:space="preserve"> </v>
      </c>
      <c r="BW183" s="938" t="str">
        <f t="shared" si="395"/>
        <v xml:space="preserve"> </v>
      </c>
      <c r="BX183" s="938" t="str">
        <f t="shared" si="396"/>
        <v xml:space="preserve"> </v>
      </c>
      <c r="CF183" s="938" t="str">
        <f t="shared" si="397"/>
        <v xml:space="preserve"> </v>
      </c>
      <c r="CG183" s="938" t="str">
        <f t="shared" si="398"/>
        <v xml:space="preserve"> </v>
      </c>
      <c r="CO183" s="938" t="str">
        <f t="shared" si="399"/>
        <v xml:space="preserve"> </v>
      </c>
      <c r="CP183" s="938" t="str">
        <f t="shared" si="400"/>
        <v xml:space="preserve"> </v>
      </c>
      <c r="CX183" s="938" t="str">
        <f t="shared" si="401"/>
        <v xml:space="preserve"> </v>
      </c>
      <c r="CY183" s="938" t="str">
        <f t="shared" si="402"/>
        <v xml:space="preserve"> </v>
      </c>
      <c r="DG183" s="938" t="str">
        <f t="shared" si="403"/>
        <v xml:space="preserve"> </v>
      </c>
      <c r="DH183" s="938" t="str">
        <f t="shared" si="404"/>
        <v xml:space="preserve"> </v>
      </c>
      <c r="DP183" s="938" t="str">
        <f t="shared" si="405"/>
        <v xml:space="preserve"> </v>
      </c>
      <c r="DQ183" s="938" t="str">
        <f t="shared" si="406"/>
        <v xml:space="preserve"> </v>
      </c>
      <c r="DY183" s="938" t="str">
        <f t="shared" si="407"/>
        <v xml:space="preserve"> </v>
      </c>
      <c r="DZ183" s="938" t="str">
        <f t="shared" si="408"/>
        <v xml:space="preserve"> </v>
      </c>
      <c r="EH183" s="938" t="str">
        <f t="shared" si="409"/>
        <v xml:space="preserve"> </v>
      </c>
      <c r="EI183" s="938" t="str">
        <f t="shared" si="410"/>
        <v xml:space="preserve"> </v>
      </c>
      <c r="EQ183" s="938" t="str">
        <f t="shared" si="411"/>
        <v xml:space="preserve"> </v>
      </c>
      <c r="ER183" s="938" t="str">
        <f t="shared" si="412"/>
        <v xml:space="preserve"> </v>
      </c>
      <c r="EZ183" s="938" t="str">
        <f t="shared" si="413"/>
        <v xml:space="preserve"> </v>
      </c>
      <c r="FA183" s="938" t="str">
        <f t="shared" si="414"/>
        <v xml:space="preserve"> </v>
      </c>
      <c r="FI183" s="938" t="str">
        <f t="shared" si="415"/>
        <v xml:space="preserve"> </v>
      </c>
      <c r="FJ183" s="938" t="str">
        <f t="shared" si="416"/>
        <v xml:space="preserve"> </v>
      </c>
      <c r="FR183" s="938" t="str">
        <f t="shared" si="417"/>
        <v xml:space="preserve"> </v>
      </c>
      <c r="FS183" s="938" t="str">
        <f t="shared" si="418"/>
        <v xml:space="preserve"> </v>
      </c>
      <c r="GA183" s="938" t="str">
        <f t="shared" si="419"/>
        <v xml:space="preserve"> </v>
      </c>
      <c r="GB183" s="938" t="str">
        <f t="shared" si="420"/>
        <v xml:space="preserve"> </v>
      </c>
      <c r="GJ183" s="938" t="str">
        <f t="shared" si="421"/>
        <v xml:space="preserve"> </v>
      </c>
      <c r="GK183" s="938" t="str">
        <f t="shared" si="422"/>
        <v xml:space="preserve"> </v>
      </c>
      <c r="GS183" s="938" t="str">
        <f t="shared" si="423"/>
        <v xml:space="preserve"> </v>
      </c>
      <c r="GT183" s="938" t="str">
        <f t="shared" si="424"/>
        <v xml:space="preserve"> </v>
      </c>
      <c r="HB183" s="938" t="str">
        <f t="shared" si="425"/>
        <v xml:space="preserve"> </v>
      </c>
      <c r="HC183" s="938" t="str">
        <f t="shared" si="426"/>
        <v xml:space="preserve"> </v>
      </c>
      <c r="HK183" s="938" t="str">
        <f t="shared" si="427"/>
        <v xml:space="preserve"> </v>
      </c>
      <c r="HL183" s="938" t="str">
        <f t="shared" si="428"/>
        <v xml:space="preserve"> </v>
      </c>
      <c r="HT183" s="938" t="str">
        <f t="shared" si="429"/>
        <v xml:space="preserve"> </v>
      </c>
      <c r="HU183" s="938" t="str">
        <f t="shared" si="430"/>
        <v xml:space="preserve"> </v>
      </c>
      <c r="IC183" s="938" t="str">
        <f t="shared" si="431"/>
        <v xml:space="preserve"> </v>
      </c>
      <c r="ID183" s="938" t="str">
        <f t="shared" si="432"/>
        <v xml:space="preserve"> </v>
      </c>
      <c r="IL183" s="938" t="str">
        <f t="shared" si="433"/>
        <v xml:space="preserve"> </v>
      </c>
      <c r="IM183" s="938" t="str">
        <f t="shared" si="434"/>
        <v xml:space="preserve"> </v>
      </c>
      <c r="IU183" s="938" t="str">
        <f t="shared" si="435"/>
        <v xml:space="preserve"> </v>
      </c>
      <c r="IV183" s="938" t="str">
        <f t="shared" si="436"/>
        <v xml:space="preserve"> </v>
      </c>
      <c r="JD183" s="938" t="str">
        <f t="shared" si="437"/>
        <v xml:space="preserve"> </v>
      </c>
      <c r="JE183" s="938" t="str">
        <f t="shared" si="438"/>
        <v xml:space="preserve"> </v>
      </c>
      <c r="JM183" s="938" t="str">
        <f t="shared" si="439"/>
        <v xml:space="preserve"> </v>
      </c>
      <c r="JN183" s="938" t="str">
        <f t="shared" si="440"/>
        <v xml:space="preserve"> </v>
      </c>
      <c r="JV183" s="938" t="str">
        <f t="shared" si="441"/>
        <v xml:space="preserve"> </v>
      </c>
      <c r="JW183" s="938" t="str">
        <f t="shared" si="442"/>
        <v xml:space="preserve"> </v>
      </c>
    </row>
    <row r="184" spans="11:283" x14ac:dyDescent="0.2">
      <c r="K184" s="938" t="str">
        <f t="shared" si="381"/>
        <v/>
      </c>
      <c r="L184" s="714">
        <f t="shared" si="382"/>
        <v>0</v>
      </c>
      <c r="M184" s="714">
        <v>5.9000000000000003E-4</v>
      </c>
      <c r="N184" s="714">
        <v>59</v>
      </c>
      <c r="O184" t="str">
        <v>PKPLUS16-12</v>
      </c>
      <c r="P184" s="714">
        <f t="shared" si="443"/>
        <v>0</v>
      </c>
      <c r="Q184" s="714">
        <f t="shared" si="444"/>
        <v>0</v>
      </c>
      <c r="U184" s="938" t="str">
        <f t="shared" si="383"/>
        <v xml:space="preserve"> </v>
      </c>
      <c r="V184" s="938" t="str">
        <f t="shared" si="384"/>
        <v xml:space="preserve"> </v>
      </c>
      <c r="AD184" s="938" t="str">
        <f t="shared" si="385"/>
        <v xml:space="preserve"> </v>
      </c>
      <c r="AE184" s="938" t="str">
        <f t="shared" si="386"/>
        <v xml:space="preserve"> </v>
      </c>
      <c r="AM184" s="938" t="str">
        <f t="shared" si="387"/>
        <v xml:space="preserve"> </v>
      </c>
      <c r="AN184" s="938" t="str">
        <f t="shared" si="388"/>
        <v xml:space="preserve"> </v>
      </c>
      <c r="AV184" s="938" t="str">
        <f t="shared" si="389"/>
        <v xml:space="preserve"> </v>
      </c>
      <c r="AW184" s="938" t="str">
        <f t="shared" si="390"/>
        <v xml:space="preserve"> </v>
      </c>
      <c r="BE184" s="938" t="str">
        <f t="shared" si="391"/>
        <v xml:space="preserve"> </v>
      </c>
      <c r="BF184" s="938" t="str">
        <f t="shared" si="392"/>
        <v xml:space="preserve"> </v>
      </c>
      <c r="BN184" s="938" t="str">
        <f t="shared" si="393"/>
        <v xml:space="preserve"> </v>
      </c>
      <c r="BO184" s="938" t="str">
        <f t="shared" si="394"/>
        <v xml:space="preserve"> </v>
      </c>
      <c r="BW184" s="938" t="str">
        <f t="shared" si="395"/>
        <v xml:space="preserve"> </v>
      </c>
      <c r="BX184" s="938" t="str">
        <f t="shared" si="396"/>
        <v xml:space="preserve"> </v>
      </c>
      <c r="CF184" s="938" t="str">
        <f t="shared" si="397"/>
        <v xml:space="preserve"> </v>
      </c>
      <c r="CG184" s="938" t="str">
        <f t="shared" si="398"/>
        <v xml:space="preserve"> </v>
      </c>
      <c r="CO184" s="938" t="str">
        <f t="shared" si="399"/>
        <v xml:space="preserve"> </v>
      </c>
      <c r="CP184" s="938" t="str">
        <f t="shared" si="400"/>
        <v xml:space="preserve"> </v>
      </c>
      <c r="CX184" s="938" t="str">
        <f t="shared" si="401"/>
        <v xml:space="preserve"> </v>
      </c>
      <c r="CY184" s="938" t="str">
        <f t="shared" si="402"/>
        <v xml:space="preserve"> </v>
      </c>
      <c r="DG184" s="938" t="str">
        <f t="shared" si="403"/>
        <v xml:space="preserve"> </v>
      </c>
      <c r="DH184" s="938" t="str">
        <f t="shared" si="404"/>
        <v xml:space="preserve"> </v>
      </c>
      <c r="DP184" s="938" t="str">
        <f t="shared" si="405"/>
        <v xml:space="preserve"> </v>
      </c>
      <c r="DQ184" s="938" t="str">
        <f t="shared" si="406"/>
        <v xml:space="preserve"> </v>
      </c>
      <c r="DY184" s="938" t="str">
        <f t="shared" si="407"/>
        <v xml:space="preserve"> </v>
      </c>
      <c r="DZ184" s="938" t="str">
        <f t="shared" si="408"/>
        <v xml:space="preserve"> </v>
      </c>
      <c r="EH184" s="938" t="str">
        <f t="shared" si="409"/>
        <v xml:space="preserve"> </v>
      </c>
      <c r="EI184" s="938" t="str">
        <f t="shared" si="410"/>
        <v xml:space="preserve"> </v>
      </c>
      <c r="EQ184" s="938" t="str">
        <f t="shared" si="411"/>
        <v xml:space="preserve"> </v>
      </c>
      <c r="ER184" s="938" t="str">
        <f t="shared" si="412"/>
        <v xml:space="preserve"> </v>
      </c>
      <c r="EZ184" s="938" t="str">
        <f t="shared" si="413"/>
        <v xml:space="preserve"> </v>
      </c>
      <c r="FA184" s="938" t="str">
        <f t="shared" si="414"/>
        <v xml:space="preserve"> </v>
      </c>
      <c r="FI184" s="938" t="str">
        <f t="shared" si="415"/>
        <v xml:space="preserve"> </v>
      </c>
      <c r="FJ184" s="938" t="str">
        <f t="shared" si="416"/>
        <v xml:space="preserve"> </v>
      </c>
      <c r="FR184" s="938" t="str">
        <f t="shared" si="417"/>
        <v xml:space="preserve"> </v>
      </c>
      <c r="FS184" s="938" t="str">
        <f t="shared" si="418"/>
        <v xml:space="preserve"> </v>
      </c>
      <c r="GA184" s="938" t="str">
        <f t="shared" si="419"/>
        <v xml:space="preserve"> </v>
      </c>
      <c r="GB184" s="938" t="str">
        <f t="shared" si="420"/>
        <v xml:space="preserve"> </v>
      </c>
      <c r="GJ184" s="938" t="str">
        <f t="shared" si="421"/>
        <v xml:space="preserve"> </v>
      </c>
      <c r="GK184" s="938" t="str">
        <f t="shared" si="422"/>
        <v xml:space="preserve"> </v>
      </c>
      <c r="GS184" s="938" t="str">
        <f t="shared" si="423"/>
        <v xml:space="preserve"> </v>
      </c>
      <c r="GT184" s="938" t="str">
        <f t="shared" si="424"/>
        <v xml:space="preserve"> </v>
      </c>
      <c r="HB184" s="938" t="str">
        <f t="shared" si="425"/>
        <v xml:space="preserve"> </v>
      </c>
      <c r="HC184" s="938" t="str">
        <f t="shared" si="426"/>
        <v xml:space="preserve"> </v>
      </c>
      <c r="HK184" s="938" t="str">
        <f t="shared" si="427"/>
        <v xml:space="preserve"> </v>
      </c>
      <c r="HL184" s="938" t="str">
        <f t="shared" si="428"/>
        <v xml:space="preserve"> </v>
      </c>
      <c r="HT184" s="938" t="str">
        <f t="shared" si="429"/>
        <v xml:space="preserve"> </v>
      </c>
      <c r="HU184" s="938" t="str">
        <f t="shared" si="430"/>
        <v xml:space="preserve"> </v>
      </c>
      <c r="IC184" s="938" t="str">
        <f t="shared" si="431"/>
        <v xml:space="preserve"> </v>
      </c>
      <c r="ID184" s="938" t="str">
        <f t="shared" si="432"/>
        <v xml:space="preserve"> </v>
      </c>
      <c r="IL184" s="938" t="str">
        <f t="shared" si="433"/>
        <v xml:space="preserve"> </v>
      </c>
      <c r="IM184" s="938" t="str">
        <f t="shared" si="434"/>
        <v xml:space="preserve"> </v>
      </c>
      <c r="IU184" s="938" t="str">
        <f t="shared" si="435"/>
        <v xml:space="preserve"> </v>
      </c>
      <c r="IV184" s="938" t="str">
        <f t="shared" si="436"/>
        <v xml:space="preserve"> </v>
      </c>
      <c r="JD184" s="938" t="str">
        <f t="shared" si="437"/>
        <v xml:space="preserve"> </v>
      </c>
      <c r="JE184" s="938" t="str">
        <f t="shared" si="438"/>
        <v xml:space="preserve"> </v>
      </c>
      <c r="JM184" s="938" t="str">
        <f t="shared" si="439"/>
        <v xml:space="preserve"> </v>
      </c>
      <c r="JN184" s="938" t="str">
        <f t="shared" si="440"/>
        <v xml:space="preserve"> </v>
      </c>
      <c r="JV184" s="938" t="str">
        <f t="shared" si="441"/>
        <v xml:space="preserve"> </v>
      </c>
      <c r="JW184" s="938" t="str">
        <f t="shared" si="442"/>
        <v xml:space="preserve"> </v>
      </c>
    </row>
    <row r="185" spans="11:283" x14ac:dyDescent="0.2">
      <c r="K185" s="938" t="str">
        <f t="shared" si="381"/>
        <v/>
      </c>
      <c r="L185" s="714">
        <f t="shared" si="382"/>
        <v>0</v>
      </c>
      <c r="M185" s="714">
        <v>5.9999999999999995E-4</v>
      </c>
      <c r="N185" s="714">
        <v>60</v>
      </c>
      <c r="O185" t="str">
        <v>PKPLUS16-16</v>
      </c>
      <c r="P185" s="714">
        <f t="shared" si="443"/>
        <v>0</v>
      </c>
      <c r="Q185" s="714">
        <f t="shared" si="444"/>
        <v>0</v>
      </c>
      <c r="U185" s="938" t="str">
        <f t="shared" si="383"/>
        <v xml:space="preserve"> </v>
      </c>
      <c r="V185" s="938" t="str">
        <f t="shared" si="384"/>
        <v xml:space="preserve"> </v>
      </c>
      <c r="AD185" s="938" t="str">
        <f t="shared" si="385"/>
        <v xml:space="preserve"> </v>
      </c>
      <c r="AE185" s="938" t="str">
        <f t="shared" si="386"/>
        <v xml:space="preserve"> </v>
      </c>
      <c r="AM185" s="938" t="str">
        <f t="shared" si="387"/>
        <v xml:space="preserve"> </v>
      </c>
      <c r="AN185" s="938" t="str">
        <f t="shared" si="388"/>
        <v xml:space="preserve"> </v>
      </c>
      <c r="AV185" s="938" t="str">
        <f t="shared" si="389"/>
        <v xml:space="preserve"> </v>
      </c>
      <c r="AW185" s="938" t="str">
        <f t="shared" si="390"/>
        <v xml:space="preserve"> </v>
      </c>
      <c r="BE185" s="938" t="str">
        <f t="shared" si="391"/>
        <v xml:space="preserve"> </v>
      </c>
      <c r="BF185" s="938" t="str">
        <f t="shared" si="392"/>
        <v xml:space="preserve"> </v>
      </c>
      <c r="BN185" s="938" t="str">
        <f t="shared" si="393"/>
        <v xml:space="preserve"> </v>
      </c>
      <c r="BO185" s="938" t="str">
        <f t="shared" si="394"/>
        <v xml:space="preserve"> </v>
      </c>
      <c r="BW185" s="938" t="str">
        <f t="shared" si="395"/>
        <v xml:space="preserve"> </v>
      </c>
      <c r="BX185" s="938" t="str">
        <f t="shared" si="396"/>
        <v xml:space="preserve"> </v>
      </c>
      <c r="CF185" s="938" t="str">
        <f t="shared" si="397"/>
        <v xml:space="preserve"> </v>
      </c>
      <c r="CG185" s="938" t="str">
        <f t="shared" si="398"/>
        <v xml:space="preserve"> </v>
      </c>
      <c r="CO185" s="938" t="str">
        <f t="shared" si="399"/>
        <v xml:space="preserve"> </v>
      </c>
      <c r="CP185" s="938" t="str">
        <f t="shared" si="400"/>
        <v xml:space="preserve"> </v>
      </c>
      <c r="CX185" s="938" t="str">
        <f t="shared" si="401"/>
        <v xml:space="preserve"> </v>
      </c>
      <c r="CY185" s="938" t="str">
        <f t="shared" si="402"/>
        <v xml:space="preserve"> </v>
      </c>
      <c r="DG185" s="938" t="str">
        <f t="shared" si="403"/>
        <v xml:space="preserve"> </v>
      </c>
      <c r="DH185" s="938" t="str">
        <f t="shared" si="404"/>
        <v xml:space="preserve"> </v>
      </c>
      <c r="DP185" s="938" t="str">
        <f t="shared" si="405"/>
        <v xml:space="preserve"> </v>
      </c>
      <c r="DQ185" s="938" t="str">
        <f t="shared" si="406"/>
        <v xml:space="preserve"> </v>
      </c>
      <c r="DY185" s="938" t="str">
        <f t="shared" si="407"/>
        <v xml:space="preserve"> </v>
      </c>
      <c r="DZ185" s="938" t="str">
        <f t="shared" si="408"/>
        <v xml:space="preserve"> </v>
      </c>
      <c r="EH185" s="938" t="str">
        <f t="shared" si="409"/>
        <v xml:space="preserve"> </v>
      </c>
      <c r="EI185" s="938" t="str">
        <f t="shared" si="410"/>
        <v xml:space="preserve"> </v>
      </c>
      <c r="EQ185" s="938" t="str">
        <f t="shared" si="411"/>
        <v xml:space="preserve"> </v>
      </c>
      <c r="ER185" s="938" t="str">
        <f t="shared" si="412"/>
        <v xml:space="preserve"> </v>
      </c>
      <c r="EZ185" s="938" t="str">
        <f t="shared" si="413"/>
        <v xml:space="preserve"> </v>
      </c>
      <c r="FA185" s="938" t="str">
        <f t="shared" si="414"/>
        <v xml:space="preserve"> </v>
      </c>
      <c r="FI185" s="938" t="str">
        <f t="shared" si="415"/>
        <v xml:space="preserve"> </v>
      </c>
      <c r="FJ185" s="938" t="str">
        <f t="shared" si="416"/>
        <v xml:space="preserve"> </v>
      </c>
      <c r="FR185" s="938" t="str">
        <f t="shared" si="417"/>
        <v xml:space="preserve"> </v>
      </c>
      <c r="FS185" s="938" t="str">
        <f t="shared" si="418"/>
        <v xml:space="preserve"> </v>
      </c>
      <c r="GA185" s="938" t="str">
        <f t="shared" si="419"/>
        <v xml:space="preserve"> </v>
      </c>
      <c r="GB185" s="938" t="str">
        <f t="shared" si="420"/>
        <v xml:space="preserve"> </v>
      </c>
      <c r="GJ185" s="938" t="str">
        <f t="shared" si="421"/>
        <v xml:space="preserve"> </v>
      </c>
      <c r="GK185" s="938" t="str">
        <f t="shared" si="422"/>
        <v xml:space="preserve"> </v>
      </c>
      <c r="GS185" s="938" t="str">
        <f t="shared" si="423"/>
        <v xml:space="preserve"> </v>
      </c>
      <c r="GT185" s="938" t="str">
        <f t="shared" si="424"/>
        <v xml:space="preserve"> </v>
      </c>
      <c r="HB185" s="938" t="str">
        <f t="shared" si="425"/>
        <v xml:space="preserve"> </v>
      </c>
      <c r="HC185" s="938" t="str">
        <f t="shared" si="426"/>
        <v xml:space="preserve"> </v>
      </c>
      <c r="HK185" s="938" t="str">
        <f t="shared" si="427"/>
        <v xml:space="preserve"> </v>
      </c>
      <c r="HL185" s="938" t="str">
        <f t="shared" si="428"/>
        <v xml:space="preserve"> </v>
      </c>
      <c r="HT185" s="938" t="str">
        <f t="shared" si="429"/>
        <v xml:space="preserve"> </v>
      </c>
      <c r="HU185" s="938" t="str">
        <f t="shared" si="430"/>
        <v xml:space="preserve"> </v>
      </c>
      <c r="IC185" s="938" t="str">
        <f t="shared" si="431"/>
        <v xml:space="preserve"> </v>
      </c>
      <c r="ID185" s="938" t="str">
        <f t="shared" si="432"/>
        <v xml:space="preserve"> </v>
      </c>
      <c r="IL185" s="938" t="str">
        <f t="shared" si="433"/>
        <v xml:space="preserve"> </v>
      </c>
      <c r="IM185" s="938" t="str">
        <f t="shared" si="434"/>
        <v xml:space="preserve"> </v>
      </c>
      <c r="IU185" s="938" t="str">
        <f t="shared" si="435"/>
        <v xml:space="preserve"> </v>
      </c>
      <c r="IV185" s="938" t="str">
        <f t="shared" si="436"/>
        <v xml:space="preserve"> </v>
      </c>
      <c r="JD185" s="938" t="str">
        <f t="shared" si="437"/>
        <v xml:space="preserve"> </v>
      </c>
      <c r="JE185" s="938" t="str">
        <f t="shared" si="438"/>
        <v xml:space="preserve"> </v>
      </c>
      <c r="JM185" s="938" t="str">
        <f t="shared" si="439"/>
        <v xml:space="preserve"> </v>
      </c>
      <c r="JN185" s="938" t="str">
        <f t="shared" si="440"/>
        <v xml:space="preserve"> </v>
      </c>
      <c r="JV185" s="938" t="str">
        <f t="shared" si="441"/>
        <v xml:space="preserve"> </v>
      </c>
      <c r="JW185" s="938" t="str">
        <f t="shared" si="442"/>
        <v xml:space="preserve"> </v>
      </c>
    </row>
    <row r="186" spans="11:283" x14ac:dyDescent="0.2">
      <c r="K186" s="938" t="str">
        <f t="shared" si="381"/>
        <v/>
      </c>
      <c r="L186" s="714">
        <f t="shared" si="382"/>
        <v>0</v>
      </c>
      <c r="M186" s="714">
        <v>6.0999999999999997E-4</v>
      </c>
      <c r="N186" s="714">
        <v>61</v>
      </c>
      <c r="O186" t="str">
        <v>SW-KALK</v>
      </c>
      <c r="P186" s="714">
        <f t="shared" si="443"/>
        <v>0</v>
      </c>
      <c r="Q186" s="714">
        <f t="shared" si="444"/>
        <v>0</v>
      </c>
      <c r="U186" s="938" t="str">
        <f t="shared" si="383"/>
        <v xml:space="preserve"> </v>
      </c>
      <c r="V186" s="938" t="str">
        <f t="shared" si="384"/>
        <v xml:space="preserve"> </v>
      </c>
      <c r="AD186" s="938" t="str">
        <f t="shared" si="385"/>
        <v xml:space="preserve"> </v>
      </c>
      <c r="AE186" s="938" t="str">
        <f t="shared" si="386"/>
        <v xml:space="preserve"> </v>
      </c>
      <c r="AM186" s="938" t="str">
        <f t="shared" si="387"/>
        <v xml:space="preserve"> </v>
      </c>
      <c r="AN186" s="938" t="str">
        <f t="shared" si="388"/>
        <v xml:space="preserve"> </v>
      </c>
      <c r="AV186" s="938" t="str">
        <f t="shared" si="389"/>
        <v xml:space="preserve"> </v>
      </c>
      <c r="AW186" s="938" t="str">
        <f t="shared" si="390"/>
        <v xml:space="preserve"> </v>
      </c>
      <c r="BE186" s="938" t="str">
        <f t="shared" si="391"/>
        <v xml:space="preserve"> </v>
      </c>
      <c r="BF186" s="938" t="str">
        <f t="shared" si="392"/>
        <v xml:space="preserve"> </v>
      </c>
      <c r="BN186" s="938" t="str">
        <f t="shared" si="393"/>
        <v xml:space="preserve"> </v>
      </c>
      <c r="BO186" s="938" t="str">
        <f t="shared" si="394"/>
        <v xml:space="preserve"> </v>
      </c>
      <c r="BW186" s="938" t="str">
        <f t="shared" si="395"/>
        <v xml:space="preserve"> </v>
      </c>
      <c r="BX186" s="938" t="str">
        <f t="shared" si="396"/>
        <v xml:space="preserve"> </v>
      </c>
      <c r="CF186" s="938" t="str">
        <f t="shared" si="397"/>
        <v xml:space="preserve"> </v>
      </c>
      <c r="CG186" s="938" t="str">
        <f t="shared" si="398"/>
        <v xml:space="preserve"> </v>
      </c>
      <c r="CO186" s="938" t="str">
        <f t="shared" si="399"/>
        <v xml:space="preserve"> </v>
      </c>
      <c r="CP186" s="938" t="str">
        <f t="shared" si="400"/>
        <v xml:space="preserve"> </v>
      </c>
      <c r="CX186" s="938" t="str">
        <f t="shared" si="401"/>
        <v xml:space="preserve"> </v>
      </c>
      <c r="CY186" s="938" t="str">
        <f t="shared" si="402"/>
        <v xml:space="preserve"> </v>
      </c>
      <c r="DG186" s="938" t="str">
        <f t="shared" si="403"/>
        <v xml:space="preserve"> </v>
      </c>
      <c r="DH186" s="938" t="str">
        <f t="shared" si="404"/>
        <v xml:space="preserve"> </v>
      </c>
      <c r="DP186" s="938" t="str">
        <f t="shared" si="405"/>
        <v xml:space="preserve"> </v>
      </c>
      <c r="DQ186" s="938" t="str">
        <f t="shared" si="406"/>
        <v xml:space="preserve"> </v>
      </c>
      <c r="DY186" s="938" t="str">
        <f t="shared" si="407"/>
        <v xml:space="preserve"> </v>
      </c>
      <c r="DZ186" s="938" t="str">
        <f t="shared" si="408"/>
        <v xml:space="preserve"> </v>
      </c>
      <c r="EH186" s="938" t="str">
        <f t="shared" si="409"/>
        <v xml:space="preserve"> </v>
      </c>
      <c r="EI186" s="938" t="str">
        <f t="shared" si="410"/>
        <v xml:space="preserve"> </v>
      </c>
      <c r="EQ186" s="938" t="str">
        <f t="shared" si="411"/>
        <v xml:space="preserve"> </v>
      </c>
      <c r="ER186" s="938" t="str">
        <f t="shared" si="412"/>
        <v xml:space="preserve"> </v>
      </c>
      <c r="EZ186" s="938" t="str">
        <f t="shared" si="413"/>
        <v xml:space="preserve"> </v>
      </c>
      <c r="FA186" s="938" t="str">
        <f t="shared" si="414"/>
        <v xml:space="preserve"> </v>
      </c>
      <c r="FI186" s="938" t="str">
        <f t="shared" si="415"/>
        <v xml:space="preserve"> </v>
      </c>
      <c r="FJ186" s="938" t="str">
        <f t="shared" si="416"/>
        <v xml:space="preserve"> </v>
      </c>
      <c r="FR186" s="938" t="str">
        <f t="shared" si="417"/>
        <v xml:space="preserve"> </v>
      </c>
      <c r="FS186" s="938" t="str">
        <f t="shared" si="418"/>
        <v xml:space="preserve"> </v>
      </c>
      <c r="GA186" s="938" t="str">
        <f t="shared" si="419"/>
        <v xml:space="preserve"> </v>
      </c>
      <c r="GB186" s="938" t="str">
        <f t="shared" si="420"/>
        <v xml:space="preserve"> </v>
      </c>
      <c r="GJ186" s="938" t="str">
        <f t="shared" si="421"/>
        <v xml:space="preserve"> </v>
      </c>
      <c r="GK186" s="938" t="str">
        <f t="shared" si="422"/>
        <v xml:space="preserve"> </v>
      </c>
      <c r="GS186" s="938" t="str">
        <f t="shared" si="423"/>
        <v xml:space="preserve"> </v>
      </c>
      <c r="GT186" s="938" t="str">
        <f t="shared" si="424"/>
        <v xml:space="preserve"> </v>
      </c>
      <c r="HB186" s="938" t="str">
        <f t="shared" si="425"/>
        <v xml:space="preserve"> </v>
      </c>
      <c r="HC186" s="938" t="str">
        <f t="shared" si="426"/>
        <v xml:space="preserve"> </v>
      </c>
      <c r="HK186" s="938" t="str">
        <f t="shared" si="427"/>
        <v xml:space="preserve"> </v>
      </c>
      <c r="HL186" s="938" t="str">
        <f t="shared" si="428"/>
        <v xml:space="preserve"> </v>
      </c>
      <c r="HT186" s="938" t="str">
        <f t="shared" si="429"/>
        <v xml:space="preserve"> </v>
      </c>
      <c r="HU186" s="938" t="str">
        <f t="shared" si="430"/>
        <v xml:space="preserve"> </v>
      </c>
      <c r="IC186" s="938" t="str">
        <f t="shared" si="431"/>
        <v xml:space="preserve"> </v>
      </c>
      <c r="ID186" s="938" t="str">
        <f t="shared" si="432"/>
        <v xml:space="preserve"> </v>
      </c>
      <c r="IL186" s="938" t="str">
        <f t="shared" si="433"/>
        <v xml:space="preserve"> </v>
      </c>
      <c r="IM186" s="938" t="str">
        <f t="shared" si="434"/>
        <v xml:space="preserve"> </v>
      </c>
      <c r="IU186" s="938" t="str">
        <f t="shared" si="435"/>
        <v xml:space="preserve"> </v>
      </c>
      <c r="IV186" s="938" t="str">
        <f t="shared" si="436"/>
        <v xml:space="preserve"> </v>
      </c>
      <c r="JD186" s="938" t="str">
        <f t="shared" si="437"/>
        <v xml:space="preserve"> </v>
      </c>
      <c r="JE186" s="938" t="str">
        <f t="shared" si="438"/>
        <v xml:space="preserve"> </v>
      </c>
      <c r="JM186" s="938" t="str">
        <f t="shared" si="439"/>
        <v xml:space="preserve"> </v>
      </c>
      <c r="JN186" s="938" t="str">
        <f t="shared" si="440"/>
        <v xml:space="preserve"> </v>
      </c>
      <c r="JV186" s="938" t="str">
        <f t="shared" si="441"/>
        <v xml:space="preserve"> </v>
      </c>
      <c r="JW186" s="938" t="str">
        <f t="shared" si="442"/>
        <v xml:space="preserve"> </v>
      </c>
    </row>
    <row r="187" spans="11:283" x14ac:dyDescent="0.2">
      <c r="K187" s="938" t="str">
        <f t="shared" si="381"/>
        <v/>
      </c>
      <c r="L187" s="714">
        <f t="shared" si="382"/>
        <v>0</v>
      </c>
      <c r="M187" s="714">
        <v>6.2E-4</v>
      </c>
      <c r="N187" s="714">
        <v>62</v>
      </c>
      <c r="O187" t="str">
        <v>TRIPLE-SP</v>
      </c>
      <c r="P187" s="714">
        <f t="shared" si="443"/>
        <v>0</v>
      </c>
      <c r="Q187" s="714">
        <f t="shared" si="444"/>
        <v>0</v>
      </c>
      <c r="U187" s="938" t="str">
        <f t="shared" si="383"/>
        <v xml:space="preserve"> </v>
      </c>
      <c r="V187" s="938" t="str">
        <f t="shared" si="384"/>
        <v xml:space="preserve"> </v>
      </c>
      <c r="AD187" s="938" t="str">
        <f t="shared" si="385"/>
        <v xml:space="preserve"> </v>
      </c>
      <c r="AE187" s="938" t="str">
        <f t="shared" si="386"/>
        <v xml:space="preserve"> </v>
      </c>
      <c r="AM187" s="938" t="str">
        <f t="shared" si="387"/>
        <v xml:space="preserve"> </v>
      </c>
      <c r="AN187" s="938" t="str">
        <f t="shared" si="388"/>
        <v xml:space="preserve"> </v>
      </c>
      <c r="AV187" s="938" t="str">
        <f t="shared" si="389"/>
        <v xml:space="preserve"> </v>
      </c>
      <c r="AW187" s="938" t="str">
        <f t="shared" si="390"/>
        <v xml:space="preserve"> </v>
      </c>
      <c r="BE187" s="938" t="str">
        <f t="shared" si="391"/>
        <v xml:space="preserve"> </v>
      </c>
      <c r="BF187" s="938" t="str">
        <f t="shared" si="392"/>
        <v xml:space="preserve"> </v>
      </c>
      <c r="BN187" s="938" t="str">
        <f t="shared" si="393"/>
        <v xml:space="preserve"> </v>
      </c>
      <c r="BO187" s="938" t="str">
        <f t="shared" si="394"/>
        <v xml:space="preserve"> </v>
      </c>
      <c r="BW187" s="938" t="str">
        <f t="shared" si="395"/>
        <v xml:space="preserve"> </v>
      </c>
      <c r="BX187" s="938" t="str">
        <f t="shared" si="396"/>
        <v xml:space="preserve"> </v>
      </c>
      <c r="CF187" s="938" t="str">
        <f t="shared" si="397"/>
        <v xml:space="preserve"> </v>
      </c>
      <c r="CG187" s="938" t="str">
        <f t="shared" si="398"/>
        <v xml:space="preserve"> </v>
      </c>
      <c r="CO187" s="938" t="str">
        <f t="shared" si="399"/>
        <v xml:space="preserve"> </v>
      </c>
      <c r="CP187" s="938" t="str">
        <f t="shared" si="400"/>
        <v xml:space="preserve"> </v>
      </c>
      <c r="CX187" s="938" t="str">
        <f t="shared" si="401"/>
        <v xml:space="preserve"> </v>
      </c>
      <c r="CY187" s="938" t="str">
        <f t="shared" si="402"/>
        <v xml:space="preserve"> </v>
      </c>
      <c r="DG187" s="938" t="str">
        <f t="shared" si="403"/>
        <v xml:space="preserve"> </v>
      </c>
      <c r="DH187" s="938" t="str">
        <f t="shared" si="404"/>
        <v xml:space="preserve"> </v>
      </c>
      <c r="DP187" s="938" t="str">
        <f t="shared" si="405"/>
        <v xml:space="preserve"> </v>
      </c>
      <c r="DQ187" s="938" t="str">
        <f t="shared" si="406"/>
        <v xml:space="preserve"> </v>
      </c>
      <c r="DY187" s="938" t="str">
        <f t="shared" si="407"/>
        <v xml:space="preserve"> </v>
      </c>
      <c r="DZ187" s="938" t="str">
        <f t="shared" si="408"/>
        <v xml:space="preserve"> </v>
      </c>
      <c r="EH187" s="938" t="str">
        <f t="shared" si="409"/>
        <v xml:space="preserve"> </v>
      </c>
      <c r="EI187" s="938" t="str">
        <f t="shared" si="410"/>
        <v xml:space="preserve"> </v>
      </c>
      <c r="EQ187" s="938" t="str">
        <f t="shared" si="411"/>
        <v xml:space="preserve"> </v>
      </c>
      <c r="ER187" s="938" t="str">
        <f t="shared" si="412"/>
        <v xml:space="preserve"> </v>
      </c>
      <c r="EZ187" s="938" t="str">
        <f t="shared" si="413"/>
        <v xml:space="preserve"> </v>
      </c>
      <c r="FA187" s="938" t="str">
        <f t="shared" si="414"/>
        <v xml:space="preserve"> </v>
      </c>
      <c r="FI187" s="938" t="str">
        <f t="shared" si="415"/>
        <v xml:space="preserve"> </v>
      </c>
      <c r="FJ187" s="938" t="str">
        <f t="shared" si="416"/>
        <v xml:space="preserve"> </v>
      </c>
      <c r="FR187" s="938" t="str">
        <f t="shared" si="417"/>
        <v xml:space="preserve"> </v>
      </c>
      <c r="FS187" s="938" t="str">
        <f t="shared" si="418"/>
        <v xml:space="preserve"> </v>
      </c>
      <c r="GA187" s="938" t="str">
        <f t="shared" si="419"/>
        <v xml:space="preserve"> </v>
      </c>
      <c r="GB187" s="938" t="str">
        <f t="shared" si="420"/>
        <v xml:space="preserve"> </v>
      </c>
      <c r="GJ187" s="938" t="str">
        <f t="shared" si="421"/>
        <v xml:space="preserve"> </v>
      </c>
      <c r="GK187" s="938" t="str">
        <f t="shared" si="422"/>
        <v xml:space="preserve"> </v>
      </c>
      <c r="GS187" s="938" t="str">
        <f t="shared" si="423"/>
        <v xml:space="preserve"> </v>
      </c>
      <c r="GT187" s="938" t="str">
        <f t="shared" si="424"/>
        <v xml:space="preserve"> </v>
      </c>
      <c r="HB187" s="938" t="str">
        <f t="shared" si="425"/>
        <v xml:space="preserve"> </v>
      </c>
      <c r="HC187" s="938" t="str">
        <f t="shared" si="426"/>
        <v xml:space="preserve"> </v>
      </c>
      <c r="HK187" s="938" t="str">
        <f t="shared" si="427"/>
        <v xml:space="preserve"> </v>
      </c>
      <c r="HL187" s="938" t="str">
        <f t="shared" si="428"/>
        <v xml:space="preserve"> </v>
      </c>
      <c r="HT187" s="938" t="str">
        <f t="shared" si="429"/>
        <v xml:space="preserve"> </v>
      </c>
      <c r="HU187" s="938" t="str">
        <f t="shared" si="430"/>
        <v xml:space="preserve"> </v>
      </c>
      <c r="IC187" s="938" t="str">
        <f t="shared" si="431"/>
        <v xml:space="preserve"> </v>
      </c>
      <c r="ID187" s="938" t="str">
        <f t="shared" si="432"/>
        <v xml:space="preserve"> </v>
      </c>
      <c r="IL187" s="938" t="str">
        <f t="shared" si="433"/>
        <v xml:space="preserve"> </v>
      </c>
      <c r="IM187" s="938" t="str">
        <f t="shared" si="434"/>
        <v xml:space="preserve"> </v>
      </c>
      <c r="IU187" s="938" t="str">
        <f t="shared" si="435"/>
        <v xml:space="preserve"> </v>
      </c>
      <c r="IV187" s="938" t="str">
        <f t="shared" si="436"/>
        <v xml:space="preserve"> </v>
      </c>
      <c r="JD187" s="938" t="str">
        <f t="shared" si="437"/>
        <v xml:space="preserve"> </v>
      </c>
      <c r="JE187" s="938" t="str">
        <f t="shared" si="438"/>
        <v xml:space="preserve"> </v>
      </c>
      <c r="JM187" s="938" t="str">
        <f t="shared" si="439"/>
        <v xml:space="preserve"> </v>
      </c>
      <c r="JN187" s="938" t="str">
        <f t="shared" si="440"/>
        <v xml:space="preserve"> </v>
      </c>
      <c r="JV187" s="938" t="str">
        <f t="shared" si="441"/>
        <v xml:space="preserve"> </v>
      </c>
      <c r="JW187" s="938" t="str">
        <f t="shared" si="442"/>
        <v xml:space="preserve"> </v>
      </c>
    </row>
    <row r="188" spans="11:283" x14ac:dyDescent="0.2">
      <c r="K188" s="938" t="str">
        <f t="shared" si="381"/>
        <v/>
      </c>
      <c r="L188" s="714">
        <f t="shared" si="382"/>
        <v>0</v>
      </c>
      <c r="M188" s="714">
        <v>6.3000000000000003E-4</v>
      </c>
      <c r="N188" s="714">
        <v>63</v>
      </c>
      <c r="O188" t="str">
        <v>ROHP</v>
      </c>
      <c r="P188" s="714">
        <f t="shared" si="443"/>
        <v>0</v>
      </c>
      <c r="Q188" s="714">
        <f t="shared" si="444"/>
        <v>0</v>
      </c>
      <c r="U188" s="938" t="str">
        <f t="shared" si="383"/>
        <v xml:space="preserve"> </v>
      </c>
      <c r="V188" s="938" t="str">
        <f t="shared" si="384"/>
        <v xml:space="preserve"> </v>
      </c>
      <c r="AD188" s="938" t="str">
        <f t="shared" si="385"/>
        <v xml:space="preserve"> </v>
      </c>
      <c r="AE188" s="938" t="str">
        <f t="shared" si="386"/>
        <v xml:space="preserve"> </v>
      </c>
      <c r="AM188" s="938" t="str">
        <f t="shared" si="387"/>
        <v xml:space="preserve"> </v>
      </c>
      <c r="AN188" s="938" t="str">
        <f t="shared" si="388"/>
        <v xml:space="preserve"> </v>
      </c>
      <c r="AV188" s="938" t="str">
        <f t="shared" si="389"/>
        <v xml:space="preserve"> </v>
      </c>
      <c r="AW188" s="938" t="str">
        <f t="shared" si="390"/>
        <v xml:space="preserve"> </v>
      </c>
      <c r="BE188" s="938" t="str">
        <f t="shared" si="391"/>
        <v xml:space="preserve"> </v>
      </c>
      <c r="BF188" s="938" t="str">
        <f t="shared" si="392"/>
        <v xml:space="preserve"> </v>
      </c>
      <c r="BN188" s="938" t="str">
        <f t="shared" si="393"/>
        <v xml:space="preserve"> </v>
      </c>
      <c r="BO188" s="938" t="str">
        <f t="shared" si="394"/>
        <v xml:space="preserve"> </v>
      </c>
      <c r="BW188" s="938" t="str">
        <f t="shared" si="395"/>
        <v xml:space="preserve"> </v>
      </c>
      <c r="BX188" s="938" t="str">
        <f t="shared" si="396"/>
        <v xml:space="preserve"> </v>
      </c>
      <c r="CF188" s="938" t="str">
        <f t="shared" si="397"/>
        <v xml:space="preserve"> </v>
      </c>
      <c r="CG188" s="938" t="str">
        <f t="shared" si="398"/>
        <v xml:space="preserve"> </v>
      </c>
      <c r="CO188" s="938" t="str">
        <f t="shared" si="399"/>
        <v xml:space="preserve"> </v>
      </c>
      <c r="CP188" s="938" t="str">
        <f t="shared" si="400"/>
        <v xml:space="preserve"> </v>
      </c>
      <c r="CX188" s="938" t="str">
        <f t="shared" si="401"/>
        <v xml:space="preserve"> </v>
      </c>
      <c r="CY188" s="938" t="str">
        <f t="shared" si="402"/>
        <v xml:space="preserve"> </v>
      </c>
      <c r="DG188" s="938" t="str">
        <f t="shared" si="403"/>
        <v xml:space="preserve"> </v>
      </c>
      <c r="DH188" s="938" t="str">
        <f t="shared" si="404"/>
        <v xml:space="preserve"> </v>
      </c>
      <c r="DP188" s="938" t="str">
        <f t="shared" si="405"/>
        <v xml:space="preserve"> </v>
      </c>
      <c r="DQ188" s="938" t="str">
        <f t="shared" si="406"/>
        <v xml:space="preserve"> </v>
      </c>
      <c r="DY188" s="938" t="str">
        <f t="shared" si="407"/>
        <v xml:space="preserve"> </v>
      </c>
      <c r="DZ188" s="938" t="str">
        <f t="shared" si="408"/>
        <v xml:space="preserve"> </v>
      </c>
      <c r="EH188" s="938" t="str">
        <f t="shared" si="409"/>
        <v xml:space="preserve"> </v>
      </c>
      <c r="EI188" s="938" t="str">
        <f t="shared" si="410"/>
        <v xml:space="preserve"> </v>
      </c>
      <c r="EQ188" s="938" t="str">
        <f t="shared" si="411"/>
        <v xml:space="preserve"> </v>
      </c>
      <c r="ER188" s="938" t="str">
        <f t="shared" si="412"/>
        <v xml:space="preserve"> </v>
      </c>
      <c r="EZ188" s="938" t="str">
        <f t="shared" si="413"/>
        <v xml:space="preserve"> </v>
      </c>
      <c r="FA188" s="938" t="str">
        <f t="shared" si="414"/>
        <v xml:space="preserve"> </v>
      </c>
      <c r="FI188" s="938" t="str">
        <f t="shared" si="415"/>
        <v xml:space="preserve"> </v>
      </c>
      <c r="FJ188" s="938" t="str">
        <f t="shared" si="416"/>
        <v xml:space="preserve"> </v>
      </c>
      <c r="FR188" s="938" t="str">
        <f t="shared" si="417"/>
        <v xml:space="preserve"> </v>
      </c>
      <c r="FS188" s="938" t="str">
        <f t="shared" si="418"/>
        <v xml:space="preserve"> </v>
      </c>
      <c r="GA188" s="938" t="str">
        <f t="shared" si="419"/>
        <v xml:space="preserve"> </v>
      </c>
      <c r="GB188" s="938" t="str">
        <f t="shared" si="420"/>
        <v xml:space="preserve"> </v>
      </c>
      <c r="GJ188" s="938" t="str">
        <f t="shared" si="421"/>
        <v xml:space="preserve"> </v>
      </c>
      <c r="GK188" s="938" t="str">
        <f t="shared" si="422"/>
        <v xml:space="preserve"> </v>
      </c>
      <c r="GS188" s="938" t="str">
        <f t="shared" si="423"/>
        <v xml:space="preserve"> </v>
      </c>
      <c r="GT188" s="938" t="str">
        <f t="shared" si="424"/>
        <v xml:space="preserve"> </v>
      </c>
      <c r="HB188" s="938" t="str">
        <f t="shared" si="425"/>
        <v xml:space="preserve"> </v>
      </c>
      <c r="HC188" s="938" t="str">
        <f t="shared" si="426"/>
        <v xml:space="preserve"> </v>
      </c>
      <c r="HK188" s="938" t="str">
        <f t="shared" si="427"/>
        <v xml:space="preserve"> </v>
      </c>
      <c r="HL188" s="938" t="str">
        <f t="shared" si="428"/>
        <v xml:space="preserve"> </v>
      </c>
      <c r="HT188" s="938" t="str">
        <f t="shared" si="429"/>
        <v xml:space="preserve"> </v>
      </c>
      <c r="HU188" s="938" t="str">
        <f t="shared" si="430"/>
        <v xml:space="preserve"> </v>
      </c>
      <c r="IC188" s="938" t="str">
        <f t="shared" si="431"/>
        <v xml:space="preserve"> </v>
      </c>
      <c r="ID188" s="938" t="str">
        <f t="shared" si="432"/>
        <v xml:space="preserve"> </v>
      </c>
      <c r="IL188" s="938" t="str">
        <f t="shared" si="433"/>
        <v xml:space="preserve"> </v>
      </c>
      <c r="IM188" s="938" t="str">
        <f t="shared" si="434"/>
        <v xml:space="preserve"> </v>
      </c>
      <c r="IU188" s="938" t="str">
        <f t="shared" si="435"/>
        <v xml:space="preserve"> </v>
      </c>
      <c r="IV188" s="938" t="str">
        <f t="shared" si="436"/>
        <v xml:space="preserve"> </v>
      </c>
      <c r="JD188" s="938" t="str">
        <f t="shared" si="437"/>
        <v xml:space="preserve"> </v>
      </c>
      <c r="JE188" s="938" t="str">
        <f t="shared" si="438"/>
        <v xml:space="preserve"> </v>
      </c>
      <c r="JM188" s="938" t="str">
        <f t="shared" si="439"/>
        <v xml:space="preserve"> </v>
      </c>
      <c r="JN188" s="938" t="str">
        <f t="shared" si="440"/>
        <v xml:space="preserve"> </v>
      </c>
      <c r="JV188" s="938" t="str">
        <f t="shared" si="441"/>
        <v xml:space="preserve"> </v>
      </c>
      <c r="JW188" s="938" t="str">
        <f t="shared" si="442"/>
        <v xml:space="preserve"> </v>
      </c>
    </row>
    <row r="189" spans="11:283" x14ac:dyDescent="0.2">
      <c r="K189" s="938" t="str">
        <f t="shared" si="381"/>
        <v/>
      </c>
      <c r="L189" s="714">
        <f t="shared" si="382"/>
        <v>0</v>
      </c>
      <c r="M189" s="714">
        <v>6.4000000000000005E-4</v>
      </c>
      <c r="N189" s="714">
        <v>64</v>
      </c>
      <c r="O189" t="str">
        <v>Y-NITROMAG</v>
      </c>
      <c r="P189" s="714">
        <f t="shared" si="443"/>
        <v>0</v>
      </c>
      <c r="Q189" s="714">
        <f t="shared" si="444"/>
        <v>0</v>
      </c>
      <c r="U189" s="938" t="str">
        <f t="shared" si="383"/>
        <v xml:space="preserve"> </v>
      </c>
      <c r="V189" s="938" t="str">
        <f t="shared" si="384"/>
        <v xml:space="preserve"> </v>
      </c>
      <c r="AD189" s="938" t="str">
        <f t="shared" si="385"/>
        <v xml:space="preserve"> </v>
      </c>
      <c r="AE189" s="938" t="str">
        <f t="shared" si="386"/>
        <v xml:space="preserve"> </v>
      </c>
      <c r="AM189" s="938" t="str">
        <f t="shared" si="387"/>
        <v xml:space="preserve"> </v>
      </c>
      <c r="AN189" s="938" t="str">
        <f t="shared" si="388"/>
        <v xml:space="preserve"> </v>
      </c>
      <c r="AV189" s="938" t="str">
        <f t="shared" si="389"/>
        <v xml:space="preserve"> </v>
      </c>
      <c r="AW189" s="938" t="str">
        <f t="shared" si="390"/>
        <v xml:space="preserve"> </v>
      </c>
      <c r="BE189" s="938" t="str">
        <f t="shared" si="391"/>
        <v xml:space="preserve"> </v>
      </c>
      <c r="BF189" s="938" t="str">
        <f t="shared" si="392"/>
        <v xml:space="preserve"> </v>
      </c>
      <c r="BN189" s="938" t="str">
        <f t="shared" si="393"/>
        <v xml:space="preserve"> </v>
      </c>
      <c r="BO189" s="938" t="str">
        <f t="shared" si="394"/>
        <v xml:space="preserve"> </v>
      </c>
      <c r="BW189" s="938" t="str">
        <f t="shared" si="395"/>
        <v xml:space="preserve"> </v>
      </c>
      <c r="BX189" s="938" t="str">
        <f t="shared" si="396"/>
        <v xml:space="preserve"> </v>
      </c>
      <c r="CF189" s="938" t="str">
        <f t="shared" si="397"/>
        <v xml:space="preserve"> </v>
      </c>
      <c r="CG189" s="938" t="str">
        <f t="shared" si="398"/>
        <v xml:space="preserve"> </v>
      </c>
      <c r="CO189" s="938" t="str">
        <f t="shared" si="399"/>
        <v xml:space="preserve"> </v>
      </c>
      <c r="CP189" s="938" t="str">
        <f t="shared" si="400"/>
        <v xml:space="preserve"> </v>
      </c>
      <c r="CX189" s="938" t="str">
        <f t="shared" si="401"/>
        <v xml:space="preserve"> </v>
      </c>
      <c r="CY189" s="938" t="str">
        <f t="shared" si="402"/>
        <v xml:space="preserve"> </v>
      </c>
      <c r="DG189" s="938" t="str">
        <f t="shared" si="403"/>
        <v xml:space="preserve"> </v>
      </c>
      <c r="DH189" s="938" t="str">
        <f t="shared" si="404"/>
        <v xml:space="preserve"> </v>
      </c>
      <c r="DP189" s="938" t="str">
        <f t="shared" si="405"/>
        <v xml:space="preserve"> </v>
      </c>
      <c r="DQ189" s="938" t="str">
        <f t="shared" si="406"/>
        <v xml:space="preserve"> </v>
      </c>
      <c r="DY189" s="938" t="str">
        <f t="shared" si="407"/>
        <v xml:space="preserve"> </v>
      </c>
      <c r="DZ189" s="938" t="str">
        <f t="shared" si="408"/>
        <v xml:space="preserve"> </v>
      </c>
      <c r="EH189" s="938" t="str">
        <f t="shared" si="409"/>
        <v xml:space="preserve"> </v>
      </c>
      <c r="EI189" s="938" t="str">
        <f t="shared" si="410"/>
        <v xml:space="preserve"> </v>
      </c>
      <c r="EQ189" s="938" t="str">
        <f t="shared" si="411"/>
        <v xml:space="preserve"> </v>
      </c>
      <c r="ER189" s="938" t="str">
        <f t="shared" si="412"/>
        <v xml:space="preserve"> </v>
      </c>
      <c r="EZ189" s="938" t="str">
        <f t="shared" si="413"/>
        <v xml:space="preserve"> </v>
      </c>
      <c r="FA189" s="938" t="str">
        <f t="shared" si="414"/>
        <v xml:space="preserve"> </v>
      </c>
      <c r="FI189" s="938" t="str">
        <f t="shared" si="415"/>
        <v xml:space="preserve"> </v>
      </c>
      <c r="FJ189" s="938" t="str">
        <f t="shared" si="416"/>
        <v xml:space="preserve"> </v>
      </c>
      <c r="FR189" s="938" t="str">
        <f t="shared" si="417"/>
        <v xml:space="preserve"> </v>
      </c>
      <c r="FS189" s="938" t="str">
        <f t="shared" si="418"/>
        <v xml:space="preserve"> </v>
      </c>
      <c r="GA189" s="938" t="str">
        <f t="shared" si="419"/>
        <v xml:space="preserve"> </v>
      </c>
      <c r="GB189" s="938" t="str">
        <f t="shared" si="420"/>
        <v xml:space="preserve"> </v>
      </c>
      <c r="GJ189" s="938" t="str">
        <f t="shared" si="421"/>
        <v xml:space="preserve"> </v>
      </c>
      <c r="GK189" s="938" t="str">
        <f t="shared" si="422"/>
        <v xml:space="preserve"> </v>
      </c>
      <c r="GS189" s="938" t="str">
        <f t="shared" si="423"/>
        <v xml:space="preserve"> </v>
      </c>
      <c r="GT189" s="938" t="str">
        <f t="shared" si="424"/>
        <v xml:space="preserve"> </v>
      </c>
      <c r="HB189" s="938" t="str">
        <f t="shared" si="425"/>
        <v xml:space="preserve"> </v>
      </c>
      <c r="HC189" s="938" t="str">
        <f t="shared" si="426"/>
        <v xml:space="preserve"> </v>
      </c>
      <c r="HK189" s="938" t="str">
        <f t="shared" si="427"/>
        <v xml:space="preserve"> </v>
      </c>
      <c r="HL189" s="938" t="str">
        <f t="shared" si="428"/>
        <v xml:space="preserve"> </v>
      </c>
      <c r="HT189" s="938" t="str">
        <f t="shared" si="429"/>
        <v xml:space="preserve"> </v>
      </c>
      <c r="HU189" s="938" t="str">
        <f t="shared" si="430"/>
        <v xml:space="preserve"> </v>
      </c>
      <c r="IC189" s="938" t="str">
        <f t="shared" si="431"/>
        <v xml:space="preserve"> </v>
      </c>
      <c r="ID189" s="938" t="str">
        <f t="shared" si="432"/>
        <v xml:space="preserve"> </v>
      </c>
      <c r="IL189" s="938" t="str">
        <f t="shared" si="433"/>
        <v xml:space="preserve"> </v>
      </c>
      <c r="IM189" s="938" t="str">
        <f t="shared" si="434"/>
        <v xml:space="preserve"> </v>
      </c>
      <c r="IU189" s="938" t="str">
        <f t="shared" si="435"/>
        <v xml:space="preserve"> </v>
      </c>
      <c r="IV189" s="938" t="str">
        <f t="shared" si="436"/>
        <v xml:space="preserve"> </v>
      </c>
      <c r="JD189" s="938" t="str">
        <f t="shared" si="437"/>
        <v xml:space="preserve"> </v>
      </c>
      <c r="JE189" s="938" t="str">
        <f t="shared" si="438"/>
        <v xml:space="preserve"> </v>
      </c>
      <c r="JM189" s="938" t="str">
        <f t="shared" si="439"/>
        <v xml:space="preserve"> </v>
      </c>
      <c r="JN189" s="938" t="str">
        <f t="shared" si="440"/>
        <v xml:space="preserve"> </v>
      </c>
      <c r="JV189" s="938" t="str">
        <f t="shared" si="441"/>
        <v xml:space="preserve"> </v>
      </c>
      <c r="JW189" s="938" t="str">
        <f t="shared" si="442"/>
        <v xml:space="preserve"> </v>
      </c>
    </row>
    <row r="190" spans="11:283" x14ac:dyDescent="0.2">
      <c r="K190" s="938" t="str">
        <f t="shared" si="381"/>
        <v/>
      </c>
      <c r="L190" s="836">
        <f t="shared" ref="L190:L195" si="445">IF(P190&gt;0,P190+M190,0)</f>
        <v>0</v>
      </c>
      <c r="M190" s="836">
        <v>6.4999999999999997E-4</v>
      </c>
      <c r="N190" s="836">
        <v>65</v>
      </c>
      <c r="O190" t="str">
        <v>Y-SULFAN</v>
      </c>
      <c r="P190" s="836">
        <f t="shared" si="443"/>
        <v>0</v>
      </c>
      <c r="Q190" s="836">
        <f t="shared" si="444"/>
        <v>0</v>
      </c>
      <c r="U190" s="938" t="str">
        <f t="shared" si="383"/>
        <v xml:space="preserve"> </v>
      </c>
      <c r="V190" s="938" t="str">
        <f t="shared" si="384"/>
        <v xml:space="preserve"> </v>
      </c>
      <c r="W190" s="836"/>
      <c r="X190" s="836"/>
      <c r="Y190" s="836"/>
      <c r="Z190" s="836"/>
      <c r="AA190" s="836"/>
      <c r="AB190" s="836"/>
      <c r="AC190" s="836"/>
      <c r="AD190" s="938" t="str">
        <f t="shared" si="385"/>
        <v xml:space="preserve"> </v>
      </c>
      <c r="AE190" s="938" t="str">
        <f t="shared" si="386"/>
        <v xml:space="preserve"> </v>
      </c>
      <c r="AF190" s="836"/>
      <c r="AG190" s="836"/>
      <c r="AH190" s="836"/>
      <c r="AI190" s="836"/>
      <c r="AJ190" s="836"/>
      <c r="AK190" s="836"/>
      <c r="AL190" s="836"/>
      <c r="AM190" s="938" t="str">
        <f t="shared" si="387"/>
        <v xml:space="preserve"> </v>
      </c>
      <c r="AN190" s="938" t="str">
        <f t="shared" si="388"/>
        <v xml:space="preserve"> </v>
      </c>
      <c r="AO190" s="836"/>
      <c r="AV190" s="938" t="str">
        <f t="shared" si="389"/>
        <v xml:space="preserve"> </v>
      </c>
      <c r="AW190" s="938" t="str">
        <f t="shared" si="390"/>
        <v xml:space="preserve"> </v>
      </c>
      <c r="BE190" s="938" t="str">
        <f t="shared" si="391"/>
        <v xml:space="preserve"> </v>
      </c>
      <c r="BF190" s="938" t="str">
        <f t="shared" si="392"/>
        <v xml:space="preserve"> </v>
      </c>
      <c r="BN190" s="938" t="str">
        <f t="shared" si="393"/>
        <v xml:space="preserve"> </v>
      </c>
      <c r="BO190" s="938" t="str">
        <f t="shared" si="394"/>
        <v xml:space="preserve"> </v>
      </c>
      <c r="BW190" s="938" t="str">
        <f t="shared" si="395"/>
        <v xml:space="preserve"> </v>
      </c>
      <c r="BX190" s="938" t="str">
        <f t="shared" si="396"/>
        <v xml:space="preserve"> </v>
      </c>
      <c r="CF190" s="938" t="str">
        <f t="shared" si="397"/>
        <v xml:space="preserve"> </v>
      </c>
      <c r="CG190" s="938" t="str">
        <f t="shared" si="398"/>
        <v xml:space="preserve"> </v>
      </c>
      <c r="CO190" s="938" t="str">
        <f t="shared" si="399"/>
        <v xml:space="preserve"> </v>
      </c>
      <c r="CP190" s="938" t="str">
        <f t="shared" si="400"/>
        <v xml:space="preserve"> </v>
      </c>
      <c r="CX190" s="938" t="str">
        <f t="shared" si="401"/>
        <v xml:space="preserve"> </v>
      </c>
      <c r="CY190" s="938" t="str">
        <f t="shared" si="402"/>
        <v xml:space="preserve"> </v>
      </c>
      <c r="DG190" s="938" t="str">
        <f t="shared" si="403"/>
        <v xml:space="preserve"> </v>
      </c>
      <c r="DH190" s="938" t="str">
        <f t="shared" si="404"/>
        <v xml:space="preserve"> </v>
      </c>
      <c r="DP190" s="938" t="str">
        <f t="shared" si="405"/>
        <v xml:space="preserve"> </v>
      </c>
      <c r="DQ190" s="938" t="str">
        <f t="shared" si="406"/>
        <v xml:space="preserve"> </v>
      </c>
      <c r="DY190" s="938" t="str">
        <f t="shared" si="407"/>
        <v xml:space="preserve"> </v>
      </c>
      <c r="DZ190" s="938" t="str">
        <f t="shared" si="408"/>
        <v xml:space="preserve"> </v>
      </c>
      <c r="EH190" s="938" t="str">
        <f t="shared" si="409"/>
        <v xml:space="preserve"> </v>
      </c>
      <c r="EI190" s="938" t="str">
        <f t="shared" si="410"/>
        <v xml:space="preserve"> </v>
      </c>
      <c r="EQ190" s="938" t="str">
        <f t="shared" si="411"/>
        <v xml:space="preserve"> </v>
      </c>
      <c r="ER190" s="938" t="str">
        <f t="shared" si="412"/>
        <v xml:space="preserve"> </v>
      </c>
      <c r="EZ190" s="938" t="str">
        <f t="shared" si="413"/>
        <v xml:space="preserve"> </v>
      </c>
      <c r="FA190" s="938" t="str">
        <f t="shared" si="414"/>
        <v xml:space="preserve"> </v>
      </c>
      <c r="FI190" s="938" t="str">
        <f t="shared" si="415"/>
        <v xml:space="preserve"> </v>
      </c>
      <c r="FJ190" s="938" t="str">
        <f t="shared" si="416"/>
        <v xml:space="preserve"> </v>
      </c>
      <c r="FR190" s="938" t="str">
        <f t="shared" si="417"/>
        <v xml:space="preserve"> </v>
      </c>
      <c r="FS190" s="938" t="str">
        <f t="shared" si="418"/>
        <v xml:space="preserve"> </v>
      </c>
      <c r="GA190" s="938" t="str">
        <f t="shared" si="419"/>
        <v xml:space="preserve"> </v>
      </c>
      <c r="GB190" s="938" t="str">
        <f t="shared" si="420"/>
        <v xml:space="preserve"> </v>
      </c>
      <c r="GJ190" s="938" t="str">
        <f t="shared" si="421"/>
        <v xml:space="preserve"> </v>
      </c>
      <c r="GK190" s="938" t="str">
        <f t="shared" si="422"/>
        <v xml:space="preserve"> </v>
      </c>
      <c r="GS190" s="938" t="str">
        <f t="shared" si="423"/>
        <v xml:space="preserve"> </v>
      </c>
      <c r="GT190" s="938" t="str">
        <f t="shared" si="424"/>
        <v xml:space="preserve"> </v>
      </c>
      <c r="HB190" s="938" t="str">
        <f t="shared" si="425"/>
        <v xml:space="preserve"> </v>
      </c>
      <c r="HC190" s="938" t="str">
        <f t="shared" si="426"/>
        <v xml:space="preserve"> </v>
      </c>
      <c r="HK190" s="938" t="str">
        <f t="shared" si="427"/>
        <v xml:space="preserve"> </v>
      </c>
      <c r="HL190" s="938" t="str">
        <f t="shared" si="428"/>
        <v xml:space="preserve"> </v>
      </c>
      <c r="HT190" s="938" t="str">
        <f t="shared" si="429"/>
        <v xml:space="preserve"> </v>
      </c>
      <c r="HU190" s="938" t="str">
        <f t="shared" si="430"/>
        <v xml:space="preserve"> </v>
      </c>
      <c r="IC190" s="938" t="str">
        <f t="shared" si="431"/>
        <v xml:space="preserve"> </v>
      </c>
      <c r="ID190" s="938" t="str">
        <f t="shared" si="432"/>
        <v xml:space="preserve"> </v>
      </c>
      <c r="IL190" s="938" t="str">
        <f t="shared" si="433"/>
        <v xml:space="preserve"> </v>
      </c>
      <c r="IM190" s="938" t="str">
        <f t="shared" si="434"/>
        <v xml:space="preserve"> </v>
      </c>
      <c r="IU190" s="938" t="str">
        <f t="shared" si="435"/>
        <v xml:space="preserve"> </v>
      </c>
      <c r="IV190" s="938" t="str">
        <f t="shared" si="436"/>
        <v xml:space="preserve"> </v>
      </c>
      <c r="JD190" s="938" t="str">
        <f t="shared" si="437"/>
        <v xml:space="preserve"> </v>
      </c>
      <c r="JE190" s="938" t="str">
        <f t="shared" si="438"/>
        <v xml:space="preserve"> </v>
      </c>
      <c r="JM190" s="938" t="str">
        <f t="shared" si="439"/>
        <v xml:space="preserve"> </v>
      </c>
      <c r="JN190" s="938" t="str">
        <f t="shared" si="440"/>
        <v xml:space="preserve"> </v>
      </c>
      <c r="JV190" s="938" t="str">
        <f t="shared" si="441"/>
        <v xml:space="preserve"> </v>
      </c>
      <c r="JW190" s="938" t="str">
        <f t="shared" si="442"/>
        <v xml:space="preserve"> </v>
      </c>
    </row>
    <row r="191" spans="11:283" x14ac:dyDescent="0.2">
      <c r="K191" s="938" t="str">
        <f t="shared" ref="K191:K195" si="446">IF(LARGE($L$126:$L$195,N191)=0,"",VLOOKUP(LARGE($L$126:$L$195,N191),$L$126:$Q$195,4,FALSE))</f>
        <v/>
      </c>
      <c r="L191" s="836">
        <f t="shared" si="445"/>
        <v>0</v>
      </c>
      <c r="M191" s="836">
        <v>6.6E-4</v>
      </c>
      <c r="N191" s="836">
        <v>66</v>
      </c>
      <c r="O191" t="str">
        <v>Y-WEIDE-S</v>
      </c>
      <c r="P191" s="836">
        <f t="shared" si="443"/>
        <v>0</v>
      </c>
      <c r="Q191" s="836">
        <f t="shared" si="444"/>
        <v>0</v>
      </c>
      <c r="U191" s="938" t="str">
        <f t="shared" ref="U191:U194" si="447">IF(T$5=$O191,SUMIF($E$11:$E$110,"x",W$11:W$110)," ")</f>
        <v xml:space="preserve"> </v>
      </c>
      <c r="V191" s="938" t="str">
        <f t="shared" ref="V191:V194" si="448">IF(T$5=$O191,SUMIFS(W$11:W$110,$C$11:$C$110,1,$E$11:$E$110,"x")," ")</f>
        <v xml:space="preserve"> </v>
      </c>
      <c r="W191" s="836"/>
      <c r="X191" s="836"/>
      <c r="Y191" s="836"/>
      <c r="Z191" s="836"/>
      <c r="AA191" s="836"/>
      <c r="AB191" s="836"/>
      <c r="AC191" s="836"/>
      <c r="AD191" s="938" t="str">
        <f t="shared" ref="AD191:AD194" si="449">IF(AC$5=$O191,SUMIF($E$11:$E$110,"x",AF$11:AF$110)," ")</f>
        <v xml:space="preserve"> </v>
      </c>
      <c r="AE191" s="938" t="str">
        <f t="shared" ref="AE191:AE194" si="450">IF(AC$5=$O191,SUMIFS(AF$11:AF$110,$C$11:$C$110,1,$E$11:$E$110,"x")," ")</f>
        <v xml:space="preserve"> </v>
      </c>
      <c r="AF191" s="836"/>
      <c r="AG191" s="836"/>
      <c r="AH191" s="836"/>
      <c r="AI191" s="836"/>
      <c r="AJ191" s="836"/>
      <c r="AK191" s="836"/>
      <c r="AL191" s="836"/>
      <c r="AM191" s="938" t="str">
        <f t="shared" ref="AM191:AM194" si="451">IF(AL$5=$O191,SUMIF($E$11:$E$110,"x",AO$11:AO$110)," ")</f>
        <v xml:space="preserve"> </v>
      </c>
      <c r="AN191" s="938" t="str">
        <f t="shared" ref="AN191:AN194" si="452">IF(AL$5=$O191,SUMIFS(AO$11:AO$110,$C$11:$C$110,1,$E$11:$E$110,"x")," ")</f>
        <v xml:space="preserve"> </v>
      </c>
      <c r="AO191" s="836"/>
      <c r="AV191" s="938" t="str">
        <f t="shared" ref="AV191:AV194" si="453">IF(AU$5=$O191,SUMIF($E$11:$E$110,"x",AX$11:AX$110)," ")</f>
        <v xml:space="preserve"> </v>
      </c>
      <c r="AW191" s="938" t="str">
        <f t="shared" ref="AW191:AW194" si="454">IF(AU$5=$O191,SUMIFS(AX$11:AX$110,$C$11:$C$110,1,$E$11:$E$110,"x")," ")</f>
        <v xml:space="preserve"> </v>
      </c>
      <c r="BE191" s="938" t="str">
        <f t="shared" ref="BE191:BE194" si="455">IF(BD$5=$O191,SUMIF($E$11:$E$110,"x",BG$11:BG$110)," ")</f>
        <v xml:space="preserve"> </v>
      </c>
      <c r="BF191" s="938" t="str">
        <f t="shared" ref="BF191:BF194" si="456">IF(BD$5=$O191,SUMIFS(BG$11:BG$110,$C$11:$C$110,1,$E$11:$E$110,"x")," ")</f>
        <v xml:space="preserve"> </v>
      </c>
      <c r="BN191" s="938" t="str">
        <f t="shared" ref="BN191:BN194" si="457">IF(BM$5=$O191,SUMIF($E$11:$E$110,"x",BP$11:BP$110)," ")</f>
        <v xml:space="preserve"> </v>
      </c>
      <c r="BO191" s="938" t="str">
        <f t="shared" ref="BO191:BO194" si="458">IF(BM$5=$O191,SUMIFS(BP$11:BP$110,$C$11:$C$110,1,$E$11:$E$110,"x")," ")</f>
        <v xml:space="preserve"> </v>
      </c>
      <c r="BW191" s="938" t="str">
        <f t="shared" ref="BW191:BW194" si="459">IF(BV$5=$O191,SUMIF($E$11:$E$110,"x",BY$11:BY$110)," ")</f>
        <v xml:space="preserve"> </v>
      </c>
      <c r="BX191" s="938" t="str">
        <f t="shared" ref="BX191:BX194" si="460">IF(BV$5=$O191,SUMIFS(BY$11:BY$110,$C$11:$C$110,1,$E$11:$E$110,"x")," ")</f>
        <v xml:space="preserve"> </v>
      </c>
      <c r="CF191" s="938" t="str">
        <f t="shared" ref="CF191:CF194" si="461">IF(CE$5=$O191,SUMIF($E$11:$E$110,"x",CH$11:CH$110)," ")</f>
        <v xml:space="preserve"> </v>
      </c>
      <c r="CG191" s="938" t="str">
        <f t="shared" ref="CG191:CG194" si="462">IF(CE$5=$O191,SUMIFS(CH$11:CH$110,$C$11:$C$110,1,$E$11:$E$110,"x")," ")</f>
        <v xml:space="preserve"> </v>
      </c>
      <c r="CO191" s="938" t="str">
        <f t="shared" ref="CO191:CO194" si="463">IF(CN$5=$O191,SUMIF($E$11:$E$110,"x",CQ$11:CQ$110)," ")</f>
        <v xml:space="preserve"> </v>
      </c>
      <c r="CP191" s="938" t="str">
        <f t="shared" ref="CP191:CP194" si="464">IF(CN$5=$O191,SUMIFS(CQ$11:CQ$110,$C$11:$C$110,1,$E$11:$E$110,"x")," ")</f>
        <v xml:space="preserve"> </v>
      </c>
      <c r="CX191" s="938" t="str">
        <f t="shared" ref="CX191:CX194" si="465">IF(CW$5=$O191,SUMIF($E$11:$E$110,"x",CZ$11:CZ$110)," ")</f>
        <v xml:space="preserve"> </v>
      </c>
      <c r="CY191" s="938" t="str">
        <f t="shared" ref="CY191:CY194" si="466">IF(CW$5=$O191,SUMIFS(CZ$11:CZ$110,$C$11:$C$110,1,$E$11:$E$110,"x")," ")</f>
        <v xml:space="preserve"> </v>
      </c>
      <c r="DG191" s="938" t="str">
        <f t="shared" ref="DG191:DG194" si="467">IF(DF$5=$O191,SUMIF($E$11:$E$110,"x",DI$11:DI$110)," ")</f>
        <v xml:space="preserve"> </v>
      </c>
      <c r="DH191" s="938" t="str">
        <f t="shared" ref="DH191:DH194" si="468">IF(DF$5=$O191,SUMIFS(DI$11:DI$110,$C$11:$C$110,1,$E$11:$E$110,"x")," ")</f>
        <v xml:space="preserve"> </v>
      </c>
      <c r="DP191" s="938" t="str">
        <f t="shared" ref="DP191:DP194" si="469">IF(DO$5=$O191,SUMIF($E$11:$E$110,"x",DR$11:DR$110)," ")</f>
        <v xml:space="preserve"> </v>
      </c>
      <c r="DQ191" s="938" t="str">
        <f t="shared" ref="DQ191:DQ194" si="470">IF(DO$5=$O191,SUMIFS(DR$11:DR$110,$C$11:$C$110,1,$E$11:$E$110,"x")," ")</f>
        <v xml:space="preserve"> </v>
      </c>
      <c r="DY191" s="938" t="str">
        <f t="shared" ref="DY191:DY194" si="471">IF(DX$5=$O191,SUMIF($E$11:$E$110,"x",EA$11:EA$110)," ")</f>
        <v xml:space="preserve"> </v>
      </c>
      <c r="DZ191" s="938" t="str">
        <f t="shared" ref="DZ191:DZ194" si="472">IF(DX$5=$O191,SUMIFS(EA$11:EA$110,$C$11:$C$110,1,$E$11:$E$110,"x")," ")</f>
        <v xml:space="preserve"> </v>
      </c>
      <c r="EH191" s="938" t="str">
        <f t="shared" ref="EH191:EH194" si="473">IF(EG$5=$O191,SUMIF($E$11:$E$110,"x",EJ$11:EJ$110)," ")</f>
        <v xml:space="preserve"> </v>
      </c>
      <c r="EI191" s="938" t="str">
        <f t="shared" ref="EI191:EI194" si="474">IF(EG$5=$O191,SUMIFS(EJ$11:EJ$110,$C$11:$C$110,1,$E$11:$E$110,"x")," ")</f>
        <v xml:space="preserve"> </v>
      </c>
      <c r="EQ191" s="938" t="str">
        <f t="shared" ref="EQ191:EQ194" si="475">IF(EP$5=$O191,SUMIF($E$11:$E$110,"x",ES$11:ES$110)," ")</f>
        <v xml:space="preserve"> </v>
      </c>
      <c r="ER191" s="938" t="str">
        <f t="shared" ref="ER191:ER194" si="476">IF(EP$5=$O191,SUMIFS(ES$11:ES$110,$C$11:$C$110,1,$E$11:$E$110,"x")," ")</f>
        <v xml:space="preserve"> </v>
      </c>
      <c r="EZ191" s="938" t="str">
        <f t="shared" ref="EZ191:EZ194" si="477">IF(EY$5=$O191,SUMIF($E$11:$E$110,"x",FB$11:FB$110)," ")</f>
        <v xml:space="preserve"> </v>
      </c>
      <c r="FA191" s="938" t="str">
        <f t="shared" ref="FA191:FA194" si="478">IF(EY$5=$O191,SUMIFS(FB$11:FB$110,$C$11:$C$110,1,$E$11:$E$110,"x")," ")</f>
        <v xml:space="preserve"> </v>
      </c>
      <c r="FI191" s="938" t="str">
        <f t="shared" ref="FI191:FI194" si="479">IF(FH$5=$O191,SUMIF($E$11:$E$110,"x",FK$11:FK$110)," ")</f>
        <v xml:space="preserve"> </v>
      </c>
      <c r="FJ191" s="938" t="str">
        <f t="shared" ref="FJ191:FJ194" si="480">IF(FH$5=$O191,SUMIFS(FK$11:FK$110,$C$11:$C$110,1,$E$11:$E$110,"x")," ")</f>
        <v xml:space="preserve"> </v>
      </c>
      <c r="FR191" s="938" t="str">
        <f t="shared" ref="FR191:FR194" si="481">IF(FQ$5=$O191,SUMIF($E$11:$E$110,"x",FT$11:FT$110)," ")</f>
        <v xml:space="preserve"> </v>
      </c>
      <c r="FS191" s="938" t="str">
        <f t="shared" ref="FS191:FS194" si="482">IF(FQ$5=$O191,SUMIFS(FT$11:FT$110,$C$11:$C$110,1,$E$11:$E$110,"x")," ")</f>
        <v xml:space="preserve"> </v>
      </c>
      <c r="GA191" s="938" t="str">
        <f t="shared" ref="GA191:GA194" si="483">IF(FZ$5=$O191,SUMIF($E$11:$E$110,"x",GC$11:GC$110)," ")</f>
        <v xml:space="preserve"> </v>
      </c>
      <c r="GB191" s="938" t="str">
        <f t="shared" ref="GB191:GB194" si="484">IF(FZ$5=$O191,SUMIFS(GC$11:GC$110,$C$11:$C$110,1,$E$11:$E$110,"x")," ")</f>
        <v xml:space="preserve"> </v>
      </c>
      <c r="GJ191" s="938" t="str">
        <f t="shared" ref="GJ191:GJ194" si="485">IF(GI$5=$O191,SUMIF($E$11:$E$110,"x",GL$11:GL$110)," ")</f>
        <v xml:space="preserve"> </v>
      </c>
      <c r="GK191" s="938" t="str">
        <f t="shared" ref="GK191:GK194" si="486">IF(GI$5=$O191,SUMIFS(GL$11:GL$110,$C$11:$C$110,1,$E$11:$E$110,"x")," ")</f>
        <v xml:space="preserve"> </v>
      </c>
      <c r="GS191" s="938" t="str">
        <f t="shared" ref="GS191:GS194" si="487">IF(GR$5=$O191,SUMIF($E$11:$E$110,"x",GU$11:GU$110)," ")</f>
        <v xml:space="preserve"> </v>
      </c>
      <c r="GT191" s="938" t="str">
        <f t="shared" ref="GT191:GT194" si="488">IF(GR$5=$O191,SUMIFS(GU$11:GU$110,$C$11:$C$110,1,$E$11:$E$110,"x")," ")</f>
        <v xml:space="preserve"> </v>
      </c>
      <c r="HB191" s="938" t="str">
        <f t="shared" ref="HB191:HB194" si="489">IF(HA$5=$O191,SUMIF($E$11:$E$110,"x",HD$11:HD$110)," ")</f>
        <v xml:space="preserve"> </v>
      </c>
      <c r="HC191" s="938" t="str">
        <f t="shared" ref="HC191:HC194" si="490">IF(HA$5=$O191,SUMIFS(HD$11:HD$110,$C$11:$C$110,1,$E$11:$E$110,"x")," ")</f>
        <v xml:space="preserve"> </v>
      </c>
      <c r="HK191" s="938" t="str">
        <f t="shared" ref="HK191:HK194" si="491">IF(HJ$5=$O191,SUMIF($E$11:$E$110,"x",HM$11:HM$110)," ")</f>
        <v xml:space="preserve"> </v>
      </c>
      <c r="HL191" s="938" t="str">
        <f t="shared" ref="HL191:HL194" si="492">IF(HJ$5=$O191,SUMIFS(HM$11:HM$110,$C$11:$C$110,1,$E$11:$E$110,"x")," ")</f>
        <v xml:space="preserve"> </v>
      </c>
      <c r="HT191" s="938" t="str">
        <f t="shared" ref="HT191:HT194" si="493">IF(HS$5=$O191,SUMIF($E$11:$E$110,"x",HV$11:HV$110)," ")</f>
        <v xml:space="preserve"> </v>
      </c>
      <c r="HU191" s="938" t="str">
        <f t="shared" ref="HU191:HU194" si="494">IF(HS$5=$O191,SUMIFS(HV$11:HV$110,$C$11:$C$110,1,$E$11:$E$110,"x")," ")</f>
        <v xml:space="preserve"> </v>
      </c>
      <c r="IC191" s="938" t="str">
        <f t="shared" ref="IC191:IC194" si="495">IF(IB$5=$O191,SUMIF($E$11:$E$110,"x",IE$11:IE$110)," ")</f>
        <v xml:space="preserve"> </v>
      </c>
      <c r="ID191" s="938" t="str">
        <f t="shared" ref="ID191:ID194" si="496">IF(IB$5=$O191,SUMIFS(IE$11:IE$110,$C$11:$C$110,1,$E$11:$E$110,"x")," ")</f>
        <v xml:space="preserve"> </v>
      </c>
      <c r="IL191" s="938" t="str">
        <f t="shared" ref="IL191:IL194" si="497">IF(IK$5=$O191,SUMIF($E$11:$E$110,"x",IN$11:IN$110)," ")</f>
        <v xml:space="preserve"> </v>
      </c>
      <c r="IM191" s="938" t="str">
        <f t="shared" ref="IM191:IM194" si="498">IF(IK$5=$O191,SUMIFS(IN$11:IN$110,$C$11:$C$110,1,$E$11:$E$110,"x")," ")</f>
        <v xml:space="preserve"> </v>
      </c>
      <c r="IU191" s="938" t="str">
        <f t="shared" ref="IU191:IU194" si="499">IF(IT$5=$O191,SUMIF($E$11:$E$110,"x",IW$11:IW$110)," ")</f>
        <v xml:space="preserve"> </v>
      </c>
      <c r="IV191" s="938" t="str">
        <f t="shared" ref="IV191:IV194" si="500">IF(IT$5=$O191,SUMIFS(IW$11:IW$110,$C$11:$C$110,1,$E$11:$E$110,"x")," ")</f>
        <v xml:space="preserve"> </v>
      </c>
      <c r="JD191" s="938" t="str">
        <f t="shared" ref="JD191:JD194" si="501">IF(JC$5=$O191,SUMIF($E$11:$E$110,"x",JF$11:JF$110)," ")</f>
        <v xml:space="preserve"> </v>
      </c>
      <c r="JE191" s="938" t="str">
        <f t="shared" ref="JE191:JE194" si="502">IF(JC$5=$O191,SUMIFS(JF$11:JF$110,$C$11:$C$110,1,$E$11:$E$110,"x")," ")</f>
        <v xml:space="preserve"> </v>
      </c>
      <c r="JM191" s="938" t="str">
        <f t="shared" ref="JM191:JM194" si="503">IF(JL$5=$O191,SUMIF($E$11:$E$110,"x",JO$11:JO$110)," ")</f>
        <v xml:space="preserve"> </v>
      </c>
      <c r="JN191" s="938" t="str">
        <f t="shared" ref="JN191:JN194" si="504">IF(JL$5=$O191,SUMIFS(JO$11:JO$110,$C$11:$C$110,1,$E$11:$E$110,"x")," ")</f>
        <v xml:space="preserve"> </v>
      </c>
      <c r="JV191" s="938" t="str">
        <f t="shared" ref="JV191:JV194" si="505">IF(JU$5=$O191,SUMIF($E$11:$E$110,"x",JX$11:JX$110)," ")</f>
        <v xml:space="preserve"> </v>
      </c>
      <c r="JW191" s="938" t="str">
        <f t="shared" ref="JW191:JW194" si="506">IF(JU$5=$O191,SUMIFS(JX$11:JX$110,$C$11:$C$110,1,$E$11:$E$110,"x")," ")</f>
        <v xml:space="preserve"> </v>
      </c>
    </row>
    <row r="192" spans="11:283" x14ac:dyDescent="0.2">
      <c r="K192" s="938" t="str">
        <f t="shared" si="446"/>
        <v/>
      </c>
      <c r="L192" s="836">
        <f t="shared" si="445"/>
        <v>0</v>
      </c>
      <c r="M192" s="836">
        <v>6.7000000000000002E-4</v>
      </c>
      <c r="N192" s="836">
        <v>67</v>
      </c>
      <c r="O192" t="str">
        <v>Y-GETREIDE</v>
      </c>
      <c r="P192" s="836">
        <f t="shared" si="443"/>
        <v>0</v>
      </c>
      <c r="Q192" s="836">
        <f t="shared" si="444"/>
        <v>0</v>
      </c>
      <c r="U192" s="938" t="str">
        <f t="shared" si="447"/>
        <v xml:space="preserve"> </v>
      </c>
      <c r="V192" s="938" t="str">
        <f t="shared" si="448"/>
        <v xml:space="preserve"> </v>
      </c>
      <c r="W192" s="836"/>
      <c r="X192" s="836"/>
      <c r="Y192" s="836"/>
      <c r="Z192" s="836"/>
      <c r="AA192" s="836"/>
      <c r="AB192" s="836"/>
      <c r="AC192" s="836"/>
      <c r="AD192" s="938" t="str">
        <f t="shared" si="449"/>
        <v xml:space="preserve"> </v>
      </c>
      <c r="AE192" s="938" t="str">
        <f t="shared" si="450"/>
        <v xml:space="preserve"> </v>
      </c>
      <c r="AF192" s="836"/>
      <c r="AG192" s="836"/>
      <c r="AH192" s="836"/>
      <c r="AI192" s="836"/>
      <c r="AJ192" s="836"/>
      <c r="AK192" s="836"/>
      <c r="AL192" s="836"/>
      <c r="AM192" s="938" t="str">
        <f t="shared" si="451"/>
        <v xml:space="preserve"> </v>
      </c>
      <c r="AN192" s="938" t="str">
        <f t="shared" si="452"/>
        <v xml:space="preserve"> </v>
      </c>
      <c r="AO192" s="836"/>
      <c r="AV192" s="938" t="str">
        <f t="shared" si="453"/>
        <v xml:space="preserve"> </v>
      </c>
      <c r="AW192" s="938" t="str">
        <f t="shared" si="454"/>
        <v xml:space="preserve"> </v>
      </c>
      <c r="BE192" s="938" t="str">
        <f t="shared" si="455"/>
        <v xml:space="preserve"> </v>
      </c>
      <c r="BF192" s="938" t="str">
        <f t="shared" si="456"/>
        <v xml:space="preserve"> </v>
      </c>
      <c r="BN192" s="938" t="str">
        <f t="shared" si="457"/>
        <v xml:space="preserve"> </v>
      </c>
      <c r="BO192" s="938" t="str">
        <f t="shared" si="458"/>
        <v xml:space="preserve"> </v>
      </c>
      <c r="BW192" s="938" t="str">
        <f t="shared" si="459"/>
        <v xml:space="preserve"> </v>
      </c>
      <c r="BX192" s="938" t="str">
        <f t="shared" si="460"/>
        <v xml:space="preserve"> </v>
      </c>
      <c r="CF192" s="938" t="str">
        <f t="shared" si="461"/>
        <v xml:space="preserve"> </v>
      </c>
      <c r="CG192" s="938" t="str">
        <f t="shared" si="462"/>
        <v xml:space="preserve"> </v>
      </c>
      <c r="CO192" s="938" t="str">
        <f t="shared" si="463"/>
        <v xml:space="preserve"> </v>
      </c>
      <c r="CP192" s="938" t="str">
        <f t="shared" si="464"/>
        <v xml:space="preserve"> </v>
      </c>
      <c r="CX192" s="938" t="str">
        <f t="shared" si="465"/>
        <v xml:space="preserve"> </v>
      </c>
      <c r="CY192" s="938" t="str">
        <f t="shared" si="466"/>
        <v xml:space="preserve"> </v>
      </c>
      <c r="DG192" s="938" t="str">
        <f t="shared" si="467"/>
        <v xml:space="preserve"> </v>
      </c>
      <c r="DH192" s="938" t="str">
        <f t="shared" si="468"/>
        <v xml:space="preserve"> </v>
      </c>
      <c r="DP192" s="938" t="str">
        <f t="shared" si="469"/>
        <v xml:space="preserve"> </v>
      </c>
      <c r="DQ192" s="938" t="str">
        <f t="shared" si="470"/>
        <v xml:space="preserve"> </v>
      </c>
      <c r="DY192" s="938" t="str">
        <f t="shared" si="471"/>
        <v xml:space="preserve"> </v>
      </c>
      <c r="DZ192" s="938" t="str">
        <f t="shared" si="472"/>
        <v xml:space="preserve"> </v>
      </c>
      <c r="EH192" s="938" t="str">
        <f t="shared" si="473"/>
        <v xml:space="preserve"> </v>
      </c>
      <c r="EI192" s="938" t="str">
        <f t="shared" si="474"/>
        <v xml:space="preserve"> </v>
      </c>
      <c r="EQ192" s="938" t="str">
        <f t="shared" si="475"/>
        <v xml:space="preserve"> </v>
      </c>
      <c r="ER192" s="938" t="str">
        <f t="shared" si="476"/>
        <v xml:space="preserve"> </v>
      </c>
      <c r="EZ192" s="938" t="str">
        <f t="shared" si="477"/>
        <v xml:space="preserve"> </v>
      </c>
      <c r="FA192" s="938" t="str">
        <f t="shared" si="478"/>
        <v xml:space="preserve"> </v>
      </c>
      <c r="FI192" s="938" t="str">
        <f t="shared" si="479"/>
        <v xml:space="preserve"> </v>
      </c>
      <c r="FJ192" s="938" t="str">
        <f t="shared" si="480"/>
        <v xml:space="preserve"> </v>
      </c>
      <c r="FR192" s="938" t="str">
        <f t="shared" si="481"/>
        <v xml:space="preserve"> </v>
      </c>
      <c r="FS192" s="938" t="str">
        <f t="shared" si="482"/>
        <v xml:space="preserve"> </v>
      </c>
      <c r="GA192" s="938" t="str">
        <f t="shared" si="483"/>
        <v xml:space="preserve"> </v>
      </c>
      <c r="GB192" s="938" t="str">
        <f t="shared" si="484"/>
        <v xml:space="preserve"> </v>
      </c>
      <c r="GJ192" s="938" t="str">
        <f t="shared" si="485"/>
        <v xml:space="preserve"> </v>
      </c>
      <c r="GK192" s="938" t="str">
        <f t="shared" si="486"/>
        <v xml:space="preserve"> </v>
      </c>
      <c r="GS192" s="938" t="str">
        <f t="shared" si="487"/>
        <v xml:space="preserve"> </v>
      </c>
      <c r="GT192" s="938" t="str">
        <f t="shared" si="488"/>
        <v xml:space="preserve"> </v>
      </c>
      <c r="HB192" s="938" t="str">
        <f t="shared" si="489"/>
        <v xml:space="preserve"> </v>
      </c>
      <c r="HC192" s="938" t="str">
        <f t="shared" si="490"/>
        <v xml:space="preserve"> </v>
      </c>
      <c r="HK192" s="938" t="str">
        <f t="shared" si="491"/>
        <v xml:space="preserve"> </v>
      </c>
      <c r="HL192" s="938" t="str">
        <f t="shared" si="492"/>
        <v xml:space="preserve"> </v>
      </c>
      <c r="HT192" s="938" t="str">
        <f t="shared" si="493"/>
        <v xml:space="preserve"> </v>
      </c>
      <c r="HU192" s="938" t="str">
        <f t="shared" si="494"/>
        <v xml:space="preserve"> </v>
      </c>
      <c r="IC192" s="938" t="str">
        <f t="shared" si="495"/>
        <v xml:space="preserve"> </v>
      </c>
      <c r="ID192" s="938" t="str">
        <f t="shared" si="496"/>
        <v xml:space="preserve"> </v>
      </c>
      <c r="IL192" s="938" t="str">
        <f t="shared" si="497"/>
        <v xml:space="preserve"> </v>
      </c>
      <c r="IM192" s="938" t="str">
        <f t="shared" si="498"/>
        <v xml:space="preserve"> </v>
      </c>
      <c r="IU192" s="938" t="str">
        <f t="shared" si="499"/>
        <v xml:space="preserve"> </v>
      </c>
      <c r="IV192" s="938" t="str">
        <f t="shared" si="500"/>
        <v xml:space="preserve"> </v>
      </c>
      <c r="JD192" s="938" t="str">
        <f t="shared" si="501"/>
        <v xml:space="preserve"> </v>
      </c>
      <c r="JE192" s="938" t="str">
        <f t="shared" si="502"/>
        <v xml:space="preserve"> </v>
      </c>
      <c r="JM192" s="938" t="str">
        <f t="shared" si="503"/>
        <v xml:space="preserve"> </v>
      </c>
      <c r="JN192" s="938" t="str">
        <f t="shared" si="504"/>
        <v xml:space="preserve"> </v>
      </c>
      <c r="JV192" s="938" t="str">
        <f t="shared" si="505"/>
        <v xml:space="preserve"> </v>
      </c>
      <c r="JW192" s="938" t="str">
        <f t="shared" si="506"/>
        <v xml:space="preserve"> </v>
      </c>
    </row>
    <row r="193" spans="11:284" x14ac:dyDescent="0.2">
      <c r="K193" s="938" t="str">
        <f t="shared" si="446"/>
        <v/>
      </c>
      <c r="L193" s="836">
        <f t="shared" si="445"/>
        <v>0</v>
      </c>
      <c r="M193" s="836">
        <v>6.8000000000000005E-4</v>
      </c>
      <c r="N193" s="836">
        <v>68</v>
      </c>
      <c r="O193" t="str">
        <v>Y-MAIS</v>
      </c>
      <c r="P193" s="836">
        <f t="shared" si="443"/>
        <v>0</v>
      </c>
      <c r="Q193" s="836">
        <f t="shared" si="444"/>
        <v>0</v>
      </c>
      <c r="U193" s="938" t="str">
        <f t="shared" si="447"/>
        <v xml:space="preserve"> </v>
      </c>
      <c r="V193" s="938" t="str">
        <f t="shared" si="448"/>
        <v xml:space="preserve"> </v>
      </c>
      <c r="W193" s="836"/>
      <c r="X193" s="836"/>
      <c r="Y193" s="836"/>
      <c r="Z193" s="836"/>
      <c r="AA193" s="836"/>
      <c r="AB193" s="836"/>
      <c r="AC193" s="836"/>
      <c r="AD193" s="938" t="str">
        <f t="shared" si="449"/>
        <v xml:space="preserve"> </v>
      </c>
      <c r="AE193" s="938" t="str">
        <f t="shared" si="450"/>
        <v xml:space="preserve"> </v>
      </c>
      <c r="AF193" s="836"/>
      <c r="AG193" s="836"/>
      <c r="AH193" s="836"/>
      <c r="AI193" s="836"/>
      <c r="AJ193" s="836"/>
      <c r="AK193" s="836"/>
      <c r="AL193" s="836"/>
      <c r="AM193" s="938" t="str">
        <f t="shared" si="451"/>
        <v xml:space="preserve"> </v>
      </c>
      <c r="AN193" s="938" t="str">
        <f t="shared" si="452"/>
        <v xml:space="preserve"> </v>
      </c>
      <c r="AO193" s="836"/>
      <c r="AV193" s="938" t="str">
        <f t="shared" si="453"/>
        <v xml:space="preserve"> </v>
      </c>
      <c r="AW193" s="938" t="str">
        <f t="shared" si="454"/>
        <v xml:space="preserve"> </v>
      </c>
      <c r="BE193" s="938" t="str">
        <f t="shared" si="455"/>
        <v xml:space="preserve"> </v>
      </c>
      <c r="BF193" s="938" t="str">
        <f t="shared" si="456"/>
        <v xml:space="preserve"> </v>
      </c>
      <c r="BN193" s="938" t="str">
        <f t="shared" si="457"/>
        <v xml:space="preserve"> </v>
      </c>
      <c r="BO193" s="938" t="str">
        <f t="shared" si="458"/>
        <v xml:space="preserve"> </v>
      </c>
      <c r="BW193" s="938" t="str">
        <f t="shared" si="459"/>
        <v xml:space="preserve"> </v>
      </c>
      <c r="BX193" s="938" t="str">
        <f t="shared" si="460"/>
        <v xml:space="preserve"> </v>
      </c>
      <c r="CF193" s="938" t="str">
        <f t="shared" si="461"/>
        <v xml:space="preserve"> </v>
      </c>
      <c r="CG193" s="938" t="str">
        <f t="shared" si="462"/>
        <v xml:space="preserve"> </v>
      </c>
      <c r="CO193" s="938" t="str">
        <f t="shared" si="463"/>
        <v xml:space="preserve"> </v>
      </c>
      <c r="CP193" s="938" t="str">
        <f t="shared" si="464"/>
        <v xml:space="preserve"> </v>
      </c>
      <c r="CX193" s="938" t="str">
        <f t="shared" si="465"/>
        <v xml:space="preserve"> </v>
      </c>
      <c r="CY193" s="938" t="str">
        <f t="shared" si="466"/>
        <v xml:space="preserve"> </v>
      </c>
      <c r="DG193" s="938" t="str">
        <f t="shared" si="467"/>
        <v xml:space="preserve"> </v>
      </c>
      <c r="DH193" s="938" t="str">
        <f t="shared" si="468"/>
        <v xml:space="preserve"> </v>
      </c>
      <c r="DP193" s="938" t="str">
        <f t="shared" si="469"/>
        <v xml:space="preserve"> </v>
      </c>
      <c r="DQ193" s="938" t="str">
        <f t="shared" si="470"/>
        <v xml:space="preserve"> </v>
      </c>
      <c r="DY193" s="938" t="str">
        <f t="shared" si="471"/>
        <v xml:space="preserve"> </v>
      </c>
      <c r="DZ193" s="938" t="str">
        <f t="shared" si="472"/>
        <v xml:space="preserve"> </v>
      </c>
      <c r="EH193" s="938" t="str">
        <f t="shared" si="473"/>
        <v xml:space="preserve"> </v>
      </c>
      <c r="EI193" s="938" t="str">
        <f t="shared" si="474"/>
        <v xml:space="preserve"> </v>
      </c>
      <c r="EQ193" s="938" t="str">
        <f t="shared" si="475"/>
        <v xml:space="preserve"> </v>
      </c>
      <c r="ER193" s="938" t="str">
        <f t="shared" si="476"/>
        <v xml:space="preserve"> </v>
      </c>
      <c r="EZ193" s="938" t="str">
        <f t="shared" si="477"/>
        <v xml:space="preserve"> </v>
      </c>
      <c r="FA193" s="938" t="str">
        <f t="shared" si="478"/>
        <v xml:space="preserve"> </v>
      </c>
      <c r="FI193" s="938" t="str">
        <f t="shared" si="479"/>
        <v xml:space="preserve"> </v>
      </c>
      <c r="FJ193" s="938" t="str">
        <f t="shared" si="480"/>
        <v xml:space="preserve"> </v>
      </c>
      <c r="FR193" s="938" t="str">
        <f t="shared" si="481"/>
        <v xml:space="preserve"> </v>
      </c>
      <c r="FS193" s="938" t="str">
        <f t="shared" si="482"/>
        <v xml:space="preserve"> </v>
      </c>
      <c r="GA193" s="938" t="str">
        <f t="shared" si="483"/>
        <v xml:space="preserve"> </v>
      </c>
      <c r="GB193" s="938" t="str">
        <f t="shared" si="484"/>
        <v xml:space="preserve"> </v>
      </c>
      <c r="GJ193" s="938" t="str">
        <f t="shared" si="485"/>
        <v xml:space="preserve"> </v>
      </c>
      <c r="GK193" s="938" t="str">
        <f t="shared" si="486"/>
        <v xml:space="preserve"> </v>
      </c>
      <c r="GS193" s="938" t="str">
        <f t="shared" si="487"/>
        <v xml:space="preserve"> </v>
      </c>
      <c r="GT193" s="938" t="str">
        <f t="shared" si="488"/>
        <v xml:space="preserve"> </v>
      </c>
      <c r="HB193" s="938" t="str">
        <f t="shared" si="489"/>
        <v xml:space="preserve"> </v>
      </c>
      <c r="HC193" s="938" t="str">
        <f t="shared" si="490"/>
        <v xml:space="preserve"> </v>
      </c>
      <c r="HK193" s="938" t="str">
        <f t="shared" si="491"/>
        <v xml:space="preserve"> </v>
      </c>
      <c r="HL193" s="938" t="str">
        <f t="shared" si="492"/>
        <v xml:space="preserve"> </v>
      </c>
      <c r="HT193" s="938" t="str">
        <f t="shared" si="493"/>
        <v xml:space="preserve"> </v>
      </c>
      <c r="HU193" s="938" t="str">
        <f t="shared" si="494"/>
        <v xml:space="preserve"> </v>
      </c>
      <c r="IC193" s="938" t="str">
        <f t="shared" si="495"/>
        <v xml:space="preserve"> </v>
      </c>
      <c r="ID193" s="938" t="str">
        <f t="shared" si="496"/>
        <v xml:space="preserve"> </v>
      </c>
      <c r="IL193" s="938" t="str">
        <f t="shared" si="497"/>
        <v xml:space="preserve"> </v>
      </c>
      <c r="IM193" s="938" t="str">
        <f t="shared" si="498"/>
        <v xml:space="preserve"> </v>
      </c>
      <c r="IU193" s="938" t="str">
        <f t="shared" si="499"/>
        <v xml:space="preserve"> </v>
      </c>
      <c r="IV193" s="938" t="str">
        <f t="shared" si="500"/>
        <v xml:space="preserve"> </v>
      </c>
      <c r="JD193" s="938" t="str">
        <f t="shared" si="501"/>
        <v xml:space="preserve"> </v>
      </c>
      <c r="JE193" s="938" t="str">
        <f t="shared" si="502"/>
        <v xml:space="preserve"> </v>
      </c>
      <c r="JM193" s="938" t="str">
        <f t="shared" si="503"/>
        <v xml:space="preserve"> </v>
      </c>
      <c r="JN193" s="938" t="str">
        <f t="shared" si="504"/>
        <v xml:space="preserve"> </v>
      </c>
      <c r="JV193" s="938" t="str">
        <f t="shared" si="505"/>
        <v xml:space="preserve"> </v>
      </c>
      <c r="JW193" s="938" t="str">
        <f t="shared" si="506"/>
        <v xml:space="preserve"> </v>
      </c>
    </row>
    <row r="194" spans="11:284" x14ac:dyDescent="0.2">
      <c r="K194" s="938" t="str">
        <f t="shared" si="446"/>
        <v/>
      </c>
      <c r="L194" s="836">
        <f t="shared" si="445"/>
        <v>0</v>
      </c>
      <c r="M194" s="836">
        <v>6.8999999999999997E-4</v>
      </c>
      <c r="N194" s="836">
        <v>69</v>
      </c>
      <c r="O194" t="str">
        <v>Y-UNIVERSAL</v>
      </c>
      <c r="P194" s="836">
        <f>SUMIF($T$125:$XFD$125,"ges",T194:XFD194)</f>
        <v>0</v>
      </c>
      <c r="Q194" s="836">
        <f t="shared" si="444"/>
        <v>0</v>
      </c>
      <c r="U194" s="938" t="str">
        <f t="shared" si="447"/>
        <v xml:space="preserve"> </v>
      </c>
      <c r="V194" s="938" t="str">
        <f t="shared" si="448"/>
        <v xml:space="preserve"> </v>
      </c>
      <c r="W194" s="836"/>
      <c r="X194" s="836"/>
      <c r="Y194" s="836"/>
      <c r="Z194" s="836"/>
      <c r="AA194" s="836"/>
      <c r="AB194" s="836"/>
      <c r="AC194" s="836"/>
      <c r="AD194" s="938" t="str">
        <f t="shared" si="449"/>
        <v xml:space="preserve"> </v>
      </c>
      <c r="AE194" s="938" t="str">
        <f t="shared" si="450"/>
        <v xml:space="preserve"> </v>
      </c>
      <c r="AF194" s="836"/>
      <c r="AG194" s="836"/>
      <c r="AH194" s="836"/>
      <c r="AI194" s="836"/>
      <c r="AJ194" s="836"/>
      <c r="AK194" s="836"/>
      <c r="AL194" s="836"/>
      <c r="AM194" s="938" t="str">
        <f t="shared" si="451"/>
        <v xml:space="preserve"> </v>
      </c>
      <c r="AN194" s="938" t="str">
        <f t="shared" si="452"/>
        <v xml:space="preserve"> </v>
      </c>
      <c r="AO194" s="836"/>
      <c r="AV194" s="938" t="str">
        <f t="shared" si="453"/>
        <v xml:space="preserve"> </v>
      </c>
      <c r="AW194" s="938" t="str">
        <f t="shared" si="454"/>
        <v xml:space="preserve"> </v>
      </c>
      <c r="BE194" s="938" t="str">
        <f t="shared" si="455"/>
        <v xml:space="preserve"> </v>
      </c>
      <c r="BF194" s="938" t="str">
        <f t="shared" si="456"/>
        <v xml:space="preserve"> </v>
      </c>
      <c r="BN194" s="938" t="str">
        <f t="shared" si="457"/>
        <v xml:space="preserve"> </v>
      </c>
      <c r="BO194" s="938" t="str">
        <f t="shared" si="458"/>
        <v xml:space="preserve"> </v>
      </c>
      <c r="BW194" s="938" t="str">
        <f t="shared" si="459"/>
        <v xml:space="preserve"> </v>
      </c>
      <c r="BX194" s="938" t="str">
        <f t="shared" si="460"/>
        <v xml:space="preserve"> </v>
      </c>
      <c r="CF194" s="938" t="str">
        <f t="shared" si="461"/>
        <v xml:space="preserve"> </v>
      </c>
      <c r="CG194" s="938" t="str">
        <f t="shared" si="462"/>
        <v xml:space="preserve"> </v>
      </c>
      <c r="CO194" s="938" t="str">
        <f t="shared" si="463"/>
        <v xml:space="preserve"> </v>
      </c>
      <c r="CP194" s="938" t="str">
        <f t="shared" si="464"/>
        <v xml:space="preserve"> </v>
      </c>
      <c r="CX194" s="938" t="str">
        <f t="shared" si="465"/>
        <v xml:space="preserve"> </v>
      </c>
      <c r="CY194" s="938" t="str">
        <f t="shared" si="466"/>
        <v xml:space="preserve"> </v>
      </c>
      <c r="DG194" s="938" t="str">
        <f t="shared" si="467"/>
        <v xml:space="preserve"> </v>
      </c>
      <c r="DH194" s="938" t="str">
        <f t="shared" si="468"/>
        <v xml:space="preserve"> </v>
      </c>
      <c r="DP194" s="938" t="str">
        <f t="shared" si="469"/>
        <v xml:space="preserve"> </v>
      </c>
      <c r="DQ194" s="938" t="str">
        <f t="shared" si="470"/>
        <v xml:space="preserve"> </v>
      </c>
      <c r="DY194" s="938" t="str">
        <f t="shared" si="471"/>
        <v xml:space="preserve"> </v>
      </c>
      <c r="DZ194" s="938" t="str">
        <f t="shared" si="472"/>
        <v xml:space="preserve"> </v>
      </c>
      <c r="EH194" s="938" t="str">
        <f t="shared" si="473"/>
        <v xml:space="preserve"> </v>
      </c>
      <c r="EI194" s="938" t="str">
        <f t="shared" si="474"/>
        <v xml:space="preserve"> </v>
      </c>
      <c r="EQ194" s="938" t="str">
        <f t="shared" si="475"/>
        <v xml:space="preserve"> </v>
      </c>
      <c r="ER194" s="938" t="str">
        <f t="shared" si="476"/>
        <v xml:space="preserve"> </v>
      </c>
      <c r="EZ194" s="938" t="str">
        <f t="shared" si="477"/>
        <v xml:space="preserve"> </v>
      </c>
      <c r="FA194" s="938" t="str">
        <f t="shared" si="478"/>
        <v xml:space="preserve"> </v>
      </c>
      <c r="FI194" s="938" t="str">
        <f t="shared" si="479"/>
        <v xml:space="preserve"> </v>
      </c>
      <c r="FJ194" s="938" t="str">
        <f t="shared" si="480"/>
        <v xml:space="preserve"> </v>
      </c>
      <c r="FR194" s="938" t="str">
        <f t="shared" si="481"/>
        <v xml:space="preserve"> </v>
      </c>
      <c r="FS194" s="938" t="str">
        <f t="shared" si="482"/>
        <v xml:space="preserve"> </v>
      </c>
      <c r="GA194" s="938" t="str">
        <f t="shared" si="483"/>
        <v xml:space="preserve"> </v>
      </c>
      <c r="GB194" s="938" t="str">
        <f t="shared" si="484"/>
        <v xml:space="preserve"> </v>
      </c>
      <c r="GJ194" s="938" t="str">
        <f t="shared" si="485"/>
        <v xml:space="preserve"> </v>
      </c>
      <c r="GK194" s="938" t="str">
        <f t="shared" si="486"/>
        <v xml:space="preserve"> </v>
      </c>
      <c r="GS194" s="938" t="str">
        <f t="shared" si="487"/>
        <v xml:space="preserve"> </v>
      </c>
      <c r="GT194" s="938" t="str">
        <f t="shared" si="488"/>
        <v xml:space="preserve"> </v>
      </c>
      <c r="HB194" s="938" t="str">
        <f t="shared" si="489"/>
        <v xml:space="preserve"> </v>
      </c>
      <c r="HC194" s="938" t="str">
        <f t="shared" si="490"/>
        <v xml:space="preserve"> </v>
      </c>
      <c r="HK194" s="938" t="str">
        <f t="shared" si="491"/>
        <v xml:space="preserve"> </v>
      </c>
      <c r="HL194" s="938" t="str">
        <f t="shared" si="492"/>
        <v xml:space="preserve"> </v>
      </c>
      <c r="HT194" s="938" t="str">
        <f t="shared" si="493"/>
        <v xml:space="preserve"> </v>
      </c>
      <c r="HU194" s="938" t="str">
        <f t="shared" si="494"/>
        <v xml:space="preserve"> </v>
      </c>
      <c r="IC194" s="938" t="str">
        <f t="shared" si="495"/>
        <v xml:space="preserve"> </v>
      </c>
      <c r="ID194" s="938" t="str">
        <f t="shared" si="496"/>
        <v xml:space="preserve"> </v>
      </c>
      <c r="IL194" s="938" t="str">
        <f t="shared" si="497"/>
        <v xml:space="preserve"> </v>
      </c>
      <c r="IM194" s="938" t="str">
        <f t="shared" si="498"/>
        <v xml:space="preserve"> </v>
      </c>
      <c r="IU194" s="938" t="str">
        <f t="shared" si="499"/>
        <v xml:space="preserve"> </v>
      </c>
      <c r="IV194" s="938" t="str">
        <f t="shared" si="500"/>
        <v xml:space="preserve"> </v>
      </c>
      <c r="JD194" s="938" t="str">
        <f t="shared" si="501"/>
        <v xml:space="preserve"> </v>
      </c>
      <c r="JE194" s="938" t="str">
        <f t="shared" si="502"/>
        <v xml:space="preserve"> </v>
      </c>
      <c r="JM194" s="938" t="str">
        <f t="shared" si="503"/>
        <v xml:space="preserve"> </v>
      </c>
      <c r="JN194" s="938" t="str">
        <f t="shared" si="504"/>
        <v xml:space="preserve"> </v>
      </c>
      <c r="JV194" s="938" t="str">
        <f t="shared" si="505"/>
        <v xml:space="preserve"> </v>
      </c>
      <c r="JW194" s="938" t="str">
        <f t="shared" si="506"/>
        <v xml:space="preserve"> </v>
      </c>
    </row>
    <row r="195" spans="11:284" x14ac:dyDescent="0.2">
      <c r="K195" s="938" t="str">
        <f t="shared" si="446"/>
        <v/>
      </c>
      <c r="L195" s="938">
        <f t="shared" si="445"/>
        <v>0</v>
      </c>
      <c r="M195" s="938">
        <v>6.9999999999999999E-4</v>
      </c>
      <c r="N195" s="938">
        <v>70</v>
      </c>
      <c r="O195" t="str">
        <v>Weitere s. Vorauswahl</v>
      </c>
      <c r="P195" s="938">
        <f>SUMIF($T$125:$XFD$125,"ges",T195:XFD195)</f>
        <v>0</v>
      </c>
      <c r="Q195" s="938">
        <f t="shared" ref="Q195" si="507">SUMIF($T$125:$XFD$125,"rot",T195:XFD195)</f>
        <v>0</v>
      </c>
      <c r="U195" s="938" t="str">
        <f t="shared" ref="U195" si="508">IF(T$5=$O195,SUMIF($E$11:$E$110,"x",W$11:W$110)," ")</f>
        <v xml:space="preserve"> </v>
      </c>
      <c r="V195" s="938" t="str">
        <f t="shared" ref="V195" si="509">IF(T$5=$O195,SUMIFS(W$11:W$110,$C$11:$C$110,1,$E$11:$E$110,"x")," ")</f>
        <v xml:space="preserve"> </v>
      </c>
      <c r="W195" s="938"/>
      <c r="X195" s="938"/>
      <c r="Y195" s="938"/>
      <c r="Z195" s="938"/>
      <c r="AA195" s="938"/>
      <c r="AB195" s="938"/>
      <c r="AC195" s="938"/>
      <c r="AD195" s="938" t="str">
        <f t="shared" ref="AD195" si="510">IF(AC$5=$O195,SUMIF($E$11:$E$110,"x",AF$11:AF$110)," ")</f>
        <v xml:space="preserve"> </v>
      </c>
      <c r="AE195" s="938" t="str">
        <f t="shared" ref="AE195" si="511">IF(AC$5=$O195,SUMIFS(AF$11:AF$110,$C$11:$C$110,1,$E$11:$E$110,"x")," ")</f>
        <v xml:space="preserve"> </v>
      </c>
      <c r="AF195" s="938"/>
      <c r="AG195" s="938"/>
      <c r="AH195" s="938"/>
      <c r="AI195" s="938"/>
      <c r="AJ195" s="938"/>
      <c r="AK195" s="938"/>
      <c r="AL195" s="938"/>
      <c r="AM195" s="938" t="str">
        <f t="shared" ref="AM195" si="512">IF(AL$5=$O195,SUMIF($E$11:$E$110,"x",AO$11:AO$110)," ")</f>
        <v xml:space="preserve"> </v>
      </c>
      <c r="AN195" s="938" t="str">
        <f t="shared" ref="AN195" si="513">IF(AL$5=$O195,SUMIFS(AO$11:AO$110,$C$11:$C$110,1,$E$11:$E$110,"x")," ")</f>
        <v xml:space="preserve"> </v>
      </c>
      <c r="AO195" s="938"/>
      <c r="AP195" s="938"/>
      <c r="AQ195" s="938"/>
      <c r="AR195" s="938"/>
      <c r="AS195" s="938"/>
      <c r="AT195" s="938"/>
      <c r="AU195" s="938"/>
      <c r="AV195" s="938" t="str">
        <f t="shared" ref="AV195" si="514">IF(AU$5=$O195,SUMIF($E$11:$E$110,"x",AX$11:AX$110)," ")</f>
        <v xml:space="preserve"> </v>
      </c>
      <c r="AW195" s="938" t="str">
        <f t="shared" ref="AW195" si="515">IF(AU$5=$O195,SUMIFS(AX$11:AX$110,$C$11:$C$110,1,$E$11:$E$110,"x")," ")</f>
        <v xml:space="preserve"> </v>
      </c>
      <c r="AX195" s="938"/>
      <c r="AY195" s="938"/>
      <c r="AZ195" s="938"/>
      <c r="BA195" s="938"/>
      <c r="BB195" s="938"/>
      <c r="BC195" s="938"/>
      <c r="BD195" s="938"/>
      <c r="BE195" s="938" t="str">
        <f t="shared" ref="BE195" si="516">IF(BD$5=$O195,SUMIF($E$11:$E$110,"x",BG$11:BG$110)," ")</f>
        <v xml:space="preserve"> </v>
      </c>
      <c r="BF195" s="938" t="str">
        <f t="shared" ref="BF195" si="517">IF(BD$5=$O195,SUMIFS(BG$11:BG$110,$C$11:$C$110,1,$E$11:$E$110,"x")," ")</f>
        <v xml:space="preserve"> </v>
      </c>
      <c r="BG195" s="938"/>
      <c r="BH195" s="938"/>
      <c r="BI195" s="938"/>
      <c r="BJ195" s="938"/>
      <c r="BK195" s="938"/>
      <c r="BL195" s="938"/>
      <c r="BM195" s="938"/>
      <c r="BN195" s="938" t="str">
        <f t="shared" ref="BN195" si="518">IF(BM$5=$O195,SUMIF($E$11:$E$110,"x",BP$11:BP$110)," ")</f>
        <v xml:space="preserve"> </v>
      </c>
      <c r="BO195" s="938" t="str">
        <f t="shared" ref="BO195" si="519">IF(BM$5=$O195,SUMIFS(BP$11:BP$110,$C$11:$C$110,1,$E$11:$E$110,"x")," ")</f>
        <v xml:space="preserve"> </v>
      </c>
      <c r="BP195" s="938"/>
      <c r="BQ195" s="938"/>
      <c r="BR195" s="938"/>
      <c r="BS195" s="938"/>
      <c r="BT195" s="938"/>
      <c r="BU195" s="938"/>
      <c r="BV195" s="938"/>
      <c r="BW195" s="938" t="str">
        <f t="shared" ref="BW195" si="520">IF(BV$5=$O195,SUMIF($E$11:$E$110,"x",BY$11:BY$110)," ")</f>
        <v xml:space="preserve"> </v>
      </c>
      <c r="BX195" s="938" t="str">
        <f t="shared" ref="BX195" si="521">IF(BV$5=$O195,SUMIFS(BY$11:BY$110,$C$11:$C$110,1,$E$11:$E$110,"x")," ")</f>
        <v xml:space="preserve"> </v>
      </c>
      <c r="BY195" s="938"/>
      <c r="BZ195" s="938"/>
      <c r="CA195" s="938"/>
      <c r="CB195" s="938"/>
      <c r="CC195" s="938"/>
      <c r="CD195" s="938"/>
      <c r="CE195" s="938"/>
      <c r="CF195" s="938" t="str">
        <f t="shared" ref="CF195" si="522">IF(CE$5=$O195,SUMIF($E$11:$E$110,"x",CH$11:CH$110)," ")</f>
        <v xml:space="preserve"> </v>
      </c>
      <c r="CG195" s="938" t="str">
        <f t="shared" ref="CG195" si="523">IF(CE$5=$O195,SUMIFS(CH$11:CH$110,$C$11:$C$110,1,$E$11:$E$110,"x")," ")</f>
        <v xml:space="preserve"> </v>
      </c>
      <c r="CH195" s="938"/>
      <c r="CI195" s="938"/>
      <c r="CJ195" s="938"/>
      <c r="CK195" s="938"/>
      <c r="CL195" s="938"/>
      <c r="CM195" s="938"/>
      <c r="CN195" s="938"/>
      <c r="CO195" s="938" t="str">
        <f t="shared" ref="CO195" si="524">IF(CN$5=$O195,SUMIF($E$11:$E$110,"x",CQ$11:CQ$110)," ")</f>
        <v xml:space="preserve"> </v>
      </c>
      <c r="CP195" s="938" t="str">
        <f t="shared" ref="CP195" si="525">IF(CN$5=$O195,SUMIFS(CQ$11:CQ$110,$C$11:$C$110,1,$E$11:$E$110,"x")," ")</f>
        <v xml:space="preserve"> </v>
      </c>
      <c r="CQ195" s="938"/>
      <c r="CR195" s="938"/>
      <c r="CS195" s="938"/>
      <c r="CT195" s="938"/>
      <c r="CU195" s="938"/>
      <c r="CV195" s="938"/>
      <c r="CW195" s="938"/>
      <c r="CX195" s="938" t="str">
        <f t="shared" ref="CX195" si="526">IF(CW$5=$O195,SUMIF($E$11:$E$110,"x",CZ$11:CZ$110)," ")</f>
        <v xml:space="preserve"> </v>
      </c>
      <c r="CY195" s="938" t="str">
        <f t="shared" ref="CY195" si="527">IF(CW$5=$O195,SUMIFS(CZ$11:CZ$110,$C$11:$C$110,1,$E$11:$E$110,"x")," ")</f>
        <v xml:space="preserve"> </v>
      </c>
      <c r="CZ195" s="938"/>
      <c r="DA195" s="938"/>
      <c r="DB195" s="938"/>
      <c r="DC195" s="938"/>
      <c r="DD195" s="938"/>
      <c r="DE195" s="938"/>
      <c r="DF195" s="938"/>
      <c r="DG195" s="938" t="str">
        <f t="shared" ref="DG195" si="528">IF(DF$5=$O195,SUMIF($E$11:$E$110,"x",DI$11:DI$110)," ")</f>
        <v xml:space="preserve"> </v>
      </c>
      <c r="DH195" s="938" t="str">
        <f t="shared" ref="DH195" si="529">IF(DF$5=$O195,SUMIFS(DI$11:DI$110,$C$11:$C$110,1,$E$11:$E$110,"x")," ")</f>
        <v xml:space="preserve"> </v>
      </c>
      <c r="DI195" s="938"/>
      <c r="DJ195" s="938"/>
      <c r="DK195" s="938"/>
      <c r="DL195" s="938"/>
      <c r="DM195" s="938"/>
      <c r="DN195" s="938"/>
      <c r="DO195" s="938"/>
      <c r="DP195" s="938" t="str">
        <f t="shared" ref="DP195" si="530">IF(DO$5=$O195,SUMIF($E$11:$E$110,"x",DR$11:DR$110)," ")</f>
        <v xml:space="preserve"> </v>
      </c>
      <c r="DQ195" s="938" t="str">
        <f t="shared" ref="DQ195" si="531">IF(DO$5=$O195,SUMIFS(DR$11:DR$110,$C$11:$C$110,1,$E$11:$E$110,"x")," ")</f>
        <v xml:space="preserve"> </v>
      </c>
      <c r="DR195" s="938"/>
      <c r="DS195" s="938"/>
      <c r="DT195" s="938"/>
      <c r="DU195" s="938"/>
      <c r="DV195" s="938"/>
      <c r="DW195" s="938"/>
      <c r="DX195" s="938"/>
      <c r="DY195" s="938" t="str">
        <f t="shared" ref="DY195" si="532">IF(DX$5=$O195,SUMIF($E$11:$E$110,"x",EA$11:EA$110)," ")</f>
        <v xml:space="preserve"> </v>
      </c>
      <c r="DZ195" s="938" t="str">
        <f t="shared" ref="DZ195" si="533">IF(DX$5=$O195,SUMIFS(EA$11:EA$110,$C$11:$C$110,1,$E$11:$E$110,"x")," ")</f>
        <v xml:space="preserve"> </v>
      </c>
      <c r="EA195" s="938"/>
      <c r="EB195" s="938"/>
      <c r="EC195" s="938"/>
      <c r="ED195" s="938"/>
      <c r="EE195" s="938"/>
      <c r="EF195" s="938"/>
      <c r="EG195" s="938"/>
      <c r="EH195" s="938" t="str">
        <f t="shared" ref="EH195" si="534">IF(EG$5=$O195,SUMIF($E$11:$E$110,"x",EJ$11:EJ$110)," ")</f>
        <v xml:space="preserve"> </v>
      </c>
      <c r="EI195" s="938" t="str">
        <f t="shared" ref="EI195" si="535">IF(EG$5=$O195,SUMIFS(EJ$11:EJ$110,$C$11:$C$110,1,$E$11:$E$110,"x")," ")</f>
        <v xml:space="preserve"> </v>
      </c>
      <c r="EJ195" s="938"/>
      <c r="EK195" s="938"/>
      <c r="EL195" s="938"/>
      <c r="EM195" s="938"/>
      <c r="EN195" s="938"/>
      <c r="EO195" s="938"/>
      <c r="EP195" s="938"/>
      <c r="EQ195" s="938" t="str">
        <f t="shared" ref="EQ195" si="536">IF(EP$5=$O195,SUMIF($E$11:$E$110,"x",ES$11:ES$110)," ")</f>
        <v xml:space="preserve"> </v>
      </c>
      <c r="ER195" s="938" t="str">
        <f t="shared" ref="ER195" si="537">IF(EP$5=$O195,SUMIFS(ES$11:ES$110,$C$11:$C$110,1,$E$11:$E$110,"x")," ")</f>
        <v xml:space="preserve"> </v>
      </c>
      <c r="ES195" s="938"/>
      <c r="ET195" s="938"/>
      <c r="EU195" s="938"/>
      <c r="EV195" s="938"/>
      <c r="EW195" s="938"/>
      <c r="EX195" s="938"/>
      <c r="EY195" s="938"/>
      <c r="EZ195" s="938" t="str">
        <f t="shared" ref="EZ195" si="538">IF(EY$5=$O195,SUMIF($E$11:$E$110,"x",FB$11:FB$110)," ")</f>
        <v xml:space="preserve"> </v>
      </c>
      <c r="FA195" s="938" t="str">
        <f t="shared" ref="FA195" si="539">IF(EY$5=$O195,SUMIFS(FB$11:FB$110,$C$11:$C$110,1,$E$11:$E$110,"x")," ")</f>
        <v xml:space="preserve"> </v>
      </c>
      <c r="FB195" s="938"/>
      <c r="FC195" s="938"/>
      <c r="FD195" s="938"/>
      <c r="FE195" s="938"/>
      <c r="FF195" s="938"/>
      <c r="FG195" s="938"/>
      <c r="FH195" s="938"/>
      <c r="FI195" s="938" t="str">
        <f t="shared" ref="FI195" si="540">IF(FH$5=$O195,SUMIF($E$11:$E$110,"x",FK$11:FK$110)," ")</f>
        <v xml:space="preserve"> </v>
      </c>
      <c r="FJ195" s="938" t="str">
        <f t="shared" ref="FJ195" si="541">IF(FH$5=$O195,SUMIFS(FK$11:FK$110,$C$11:$C$110,1,$E$11:$E$110,"x")," ")</f>
        <v xml:space="preserve"> </v>
      </c>
      <c r="FK195" s="938"/>
      <c r="FL195" s="938"/>
      <c r="FM195" s="938"/>
      <c r="FN195" s="938"/>
      <c r="FO195" s="938"/>
      <c r="FP195" s="938"/>
      <c r="FQ195" s="938"/>
      <c r="FR195" s="938" t="str">
        <f t="shared" ref="FR195" si="542">IF(FQ$5=$O195,SUMIF($E$11:$E$110,"x",FT$11:FT$110)," ")</f>
        <v xml:space="preserve"> </v>
      </c>
      <c r="FS195" s="938" t="str">
        <f t="shared" ref="FS195" si="543">IF(FQ$5=$O195,SUMIFS(FT$11:FT$110,$C$11:$C$110,1,$E$11:$E$110,"x")," ")</f>
        <v xml:space="preserve"> </v>
      </c>
      <c r="FT195" s="938"/>
      <c r="FU195" s="938"/>
      <c r="FV195" s="938"/>
      <c r="FW195" s="938"/>
      <c r="FX195" s="938"/>
      <c r="FY195" s="938"/>
      <c r="FZ195" s="938"/>
      <c r="GA195" s="938" t="str">
        <f t="shared" ref="GA195" si="544">IF(FZ$5=$O195,SUMIF($E$11:$E$110,"x",GC$11:GC$110)," ")</f>
        <v xml:space="preserve"> </v>
      </c>
      <c r="GB195" s="938" t="str">
        <f t="shared" ref="GB195" si="545">IF(FZ$5=$O195,SUMIFS(GC$11:GC$110,$C$11:$C$110,1,$E$11:$E$110,"x")," ")</f>
        <v xml:space="preserve"> </v>
      </c>
      <c r="GC195" s="938"/>
      <c r="GD195" s="938"/>
      <c r="GE195" s="938"/>
      <c r="GF195" s="938"/>
      <c r="GG195" s="938"/>
      <c r="GH195" s="938"/>
      <c r="GI195" s="938"/>
      <c r="GJ195" s="938" t="str">
        <f t="shared" ref="GJ195" si="546">IF(GI$5=$O195,SUMIF($E$11:$E$110,"x",GL$11:GL$110)," ")</f>
        <v xml:space="preserve"> </v>
      </c>
      <c r="GK195" s="938" t="str">
        <f t="shared" ref="GK195" si="547">IF(GI$5=$O195,SUMIFS(GL$11:GL$110,$C$11:$C$110,1,$E$11:$E$110,"x")," ")</f>
        <v xml:space="preserve"> </v>
      </c>
      <c r="GL195" s="938"/>
      <c r="GM195" s="938"/>
      <c r="GN195" s="938"/>
      <c r="GO195" s="938"/>
      <c r="GP195" s="938"/>
      <c r="GQ195" s="938"/>
      <c r="GR195" s="938"/>
      <c r="GS195" s="938" t="str">
        <f t="shared" ref="GS195" si="548">IF(GR$5=$O195,SUMIF($E$11:$E$110,"x",GU$11:GU$110)," ")</f>
        <v xml:space="preserve"> </v>
      </c>
      <c r="GT195" s="938" t="str">
        <f t="shared" ref="GT195" si="549">IF(GR$5=$O195,SUMIFS(GU$11:GU$110,$C$11:$C$110,1,$E$11:$E$110,"x")," ")</f>
        <v xml:space="preserve"> </v>
      </c>
      <c r="GU195" s="938"/>
      <c r="GV195" s="938"/>
      <c r="GW195" s="938"/>
      <c r="GX195" s="938"/>
      <c r="GY195" s="938"/>
      <c r="GZ195" s="938"/>
      <c r="HA195" s="938"/>
      <c r="HB195" s="938" t="str">
        <f t="shared" ref="HB195" si="550">IF(HA$5=$O195,SUMIF($E$11:$E$110,"x",HD$11:HD$110)," ")</f>
        <v xml:space="preserve"> </v>
      </c>
      <c r="HC195" s="938" t="str">
        <f t="shared" ref="HC195" si="551">IF(HA$5=$O195,SUMIFS(HD$11:HD$110,$C$11:$C$110,1,$E$11:$E$110,"x")," ")</f>
        <v xml:space="preserve"> </v>
      </c>
      <c r="HD195" s="938"/>
      <c r="HE195" s="938"/>
      <c r="HF195" s="938"/>
      <c r="HG195" s="938"/>
      <c r="HH195" s="938"/>
      <c r="HI195" s="938"/>
      <c r="HJ195" s="938"/>
      <c r="HK195" s="938" t="str">
        <f t="shared" ref="HK195" si="552">IF(HJ$5=$O195,SUMIF($E$11:$E$110,"x",HM$11:HM$110)," ")</f>
        <v xml:space="preserve"> </v>
      </c>
      <c r="HL195" s="938" t="str">
        <f t="shared" ref="HL195" si="553">IF(HJ$5=$O195,SUMIFS(HM$11:HM$110,$C$11:$C$110,1,$E$11:$E$110,"x")," ")</f>
        <v xml:space="preserve"> </v>
      </c>
      <c r="HM195" s="938"/>
      <c r="HN195" s="938"/>
      <c r="HO195" s="938"/>
      <c r="HP195" s="938"/>
      <c r="HQ195" s="938"/>
      <c r="HR195" s="938"/>
      <c r="HS195" s="938"/>
      <c r="HT195" s="938" t="str">
        <f t="shared" ref="HT195" si="554">IF(HS$5=$O195,SUMIF($E$11:$E$110,"x",HV$11:HV$110)," ")</f>
        <v xml:space="preserve"> </v>
      </c>
      <c r="HU195" s="938" t="str">
        <f t="shared" ref="HU195" si="555">IF(HS$5=$O195,SUMIFS(HV$11:HV$110,$C$11:$C$110,1,$E$11:$E$110,"x")," ")</f>
        <v xml:space="preserve"> </v>
      </c>
      <c r="HV195" s="938"/>
      <c r="HW195" s="938"/>
      <c r="HX195" s="938"/>
      <c r="HY195" s="938"/>
      <c r="HZ195" s="938"/>
      <c r="IA195" s="938"/>
      <c r="IB195" s="938"/>
      <c r="IC195" s="938" t="str">
        <f t="shared" ref="IC195" si="556">IF(IB$5=$O195,SUMIF($E$11:$E$110,"x",IE$11:IE$110)," ")</f>
        <v xml:space="preserve"> </v>
      </c>
      <c r="ID195" s="938" t="str">
        <f t="shared" ref="ID195" si="557">IF(IB$5=$O195,SUMIFS(IE$11:IE$110,$C$11:$C$110,1,$E$11:$E$110,"x")," ")</f>
        <v xml:space="preserve"> </v>
      </c>
      <c r="IE195" s="938"/>
      <c r="IF195" s="938"/>
      <c r="IG195" s="938"/>
      <c r="IH195" s="938"/>
      <c r="II195" s="938"/>
      <c r="IJ195" s="938"/>
      <c r="IK195" s="938"/>
      <c r="IL195" s="938" t="str">
        <f t="shared" ref="IL195" si="558">IF(IK$5=$O195,SUMIF($E$11:$E$110,"x",IN$11:IN$110)," ")</f>
        <v xml:space="preserve"> </v>
      </c>
      <c r="IM195" s="938" t="str">
        <f t="shared" ref="IM195" si="559">IF(IK$5=$O195,SUMIFS(IN$11:IN$110,$C$11:$C$110,1,$E$11:$E$110,"x")," ")</f>
        <v xml:space="preserve"> </v>
      </c>
      <c r="IN195" s="938"/>
      <c r="IO195" s="938"/>
      <c r="IP195" s="938"/>
      <c r="IQ195" s="938"/>
      <c r="IR195" s="938"/>
      <c r="IS195" s="938"/>
      <c r="IT195" s="938"/>
      <c r="IU195" s="938" t="str">
        <f t="shared" ref="IU195" si="560">IF(IT$5=$O195,SUMIF($E$11:$E$110,"x",IW$11:IW$110)," ")</f>
        <v xml:space="preserve"> </v>
      </c>
      <c r="IV195" s="938" t="str">
        <f t="shared" ref="IV195" si="561">IF(IT$5=$O195,SUMIFS(IW$11:IW$110,$C$11:$C$110,1,$E$11:$E$110,"x")," ")</f>
        <v xml:space="preserve"> </v>
      </c>
      <c r="IW195" s="938"/>
      <c r="IX195" s="938"/>
      <c r="IY195" s="938"/>
      <c r="IZ195" s="938"/>
      <c r="JA195" s="938"/>
      <c r="JB195" s="938"/>
      <c r="JC195" s="938"/>
      <c r="JD195" s="938" t="str">
        <f t="shared" ref="JD195" si="562">IF(JC$5=$O195,SUMIF($E$11:$E$110,"x",JF$11:JF$110)," ")</f>
        <v xml:space="preserve"> </v>
      </c>
      <c r="JE195" s="938" t="str">
        <f t="shared" ref="JE195" si="563">IF(JC$5=$O195,SUMIFS(JF$11:JF$110,$C$11:$C$110,1,$E$11:$E$110,"x")," ")</f>
        <v xml:space="preserve"> </v>
      </c>
      <c r="JF195" s="938"/>
      <c r="JG195" s="938"/>
      <c r="JH195" s="938"/>
      <c r="JI195" s="938"/>
      <c r="JJ195" s="938"/>
      <c r="JK195" s="938"/>
      <c r="JL195" s="938"/>
      <c r="JM195" s="938" t="str">
        <f t="shared" ref="JM195" si="564">IF(JL$5=$O195,SUMIF($E$11:$E$110,"x",JO$11:JO$110)," ")</f>
        <v xml:space="preserve"> </v>
      </c>
      <c r="JN195" s="938" t="str">
        <f t="shared" ref="JN195" si="565">IF(JL$5=$O195,SUMIFS(JO$11:JO$110,$C$11:$C$110,1,$E$11:$E$110,"x")," ")</f>
        <v xml:space="preserve"> </v>
      </c>
      <c r="JO195" s="938"/>
      <c r="JP195" s="938"/>
      <c r="JQ195" s="938"/>
      <c r="JR195" s="938"/>
      <c r="JS195" s="938"/>
      <c r="JT195" s="938"/>
      <c r="JU195" s="938"/>
      <c r="JV195" s="938" t="str">
        <f t="shared" ref="JV195" si="566">IF(JU$5=$O195,SUMIF($E$11:$E$110,"x",JX$11:JX$110)," ")</f>
        <v xml:space="preserve"> </v>
      </c>
      <c r="JW195" s="938" t="str">
        <f t="shared" ref="JW195" si="567">IF(JU$5=$O195,SUMIFS(JX$11:JX$110,$C$11:$C$110,1,$E$11:$E$110,"x")," ")</f>
        <v xml:space="preserve"> </v>
      </c>
      <c r="JX195" s="938"/>
    </row>
  </sheetData>
  <mergeCells count="2">
    <mergeCell ref="O6:P6"/>
    <mergeCell ref="O7:P7"/>
  </mergeCells>
  <phoneticPr fontId="65" type="noConversion"/>
  <pageMargins left="0.7" right="0.7" top="0.78740157499999996" bottom="0.78740157499999996"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CR244"/>
  <sheetViews>
    <sheetView showGridLines="0" zoomScaleNormal="100" zoomScaleSheetLayoutView="85" workbookViewId="0"/>
  </sheetViews>
  <sheetFormatPr baseColWidth="10" defaultColWidth="11.42578125" defaultRowHeight="12.75" x14ac:dyDescent="0.2"/>
  <cols>
    <col min="1" max="3" width="7.7109375" style="592" customWidth="1"/>
    <col min="4" max="4" width="2.42578125" style="592" customWidth="1"/>
    <col min="5" max="5" width="6.42578125" style="592" customWidth="1"/>
    <col min="6" max="7" width="6.5703125" style="592" customWidth="1"/>
    <col min="8" max="9" width="5.140625" style="592" customWidth="1"/>
    <col min="10" max="12" width="10.140625" style="592" customWidth="1"/>
    <col min="13" max="13" width="10.140625" style="825" customWidth="1"/>
    <col min="14" max="15" width="10.140625" style="592" customWidth="1"/>
    <col min="16" max="16" width="10.140625" style="825" customWidth="1"/>
    <col min="17" max="17" width="2.7109375" style="825" customWidth="1"/>
    <col min="18" max="18" width="8.85546875" style="592" customWidth="1"/>
    <col min="19" max="19" width="11.42578125" style="592" hidden="1" customWidth="1"/>
    <col min="20" max="20" width="3.42578125" style="592" customWidth="1"/>
    <col min="21" max="23" width="4.7109375" style="592" customWidth="1"/>
    <col min="24" max="25" width="8.7109375" style="592" customWidth="1"/>
    <col min="26" max="26" width="11.42578125" style="592" hidden="1" customWidth="1"/>
    <col min="27" max="27" width="37.42578125" style="592" customWidth="1"/>
    <col min="28" max="28" width="6.5703125" style="592" customWidth="1"/>
    <col min="29" max="29" width="6.140625" style="592" customWidth="1"/>
    <col min="30" max="30" width="6.28515625" style="592" customWidth="1"/>
    <col min="31" max="31" width="7.140625" style="592" customWidth="1"/>
    <col min="32" max="32" width="6.28515625" style="592" customWidth="1"/>
    <col min="33" max="34" width="7.28515625" style="592" customWidth="1"/>
    <col min="35" max="35" width="8.42578125" style="592" hidden="1" customWidth="1"/>
    <col min="36" max="36" width="8" style="592" hidden="1" customWidth="1"/>
    <col min="37" max="38" width="7.28515625" style="592" hidden="1" customWidth="1"/>
    <col min="39" max="40" width="10.28515625" style="592" hidden="1" customWidth="1"/>
    <col min="41" max="41" width="12.85546875" style="592" hidden="1" customWidth="1"/>
    <col min="42" max="42" width="9.140625" style="592" hidden="1" customWidth="1"/>
    <col min="43" max="43" width="10.7109375" style="592" hidden="1" customWidth="1"/>
    <col min="44" max="44" width="9.140625" style="592" hidden="1" customWidth="1"/>
    <col min="45" max="45" width="8.7109375" style="592" hidden="1" customWidth="1"/>
    <col min="46" max="47" width="8.85546875" style="592" hidden="1" customWidth="1"/>
    <col min="48" max="61" width="11.42578125" style="592" hidden="1" customWidth="1"/>
    <col min="62" max="62" width="3.140625" style="592" customWidth="1"/>
    <col min="63" max="63" width="7.7109375" style="46" customWidth="1"/>
    <col min="64" max="64" width="11.42578125" style="46" customWidth="1"/>
    <col min="65" max="65" width="4.7109375" style="46" customWidth="1"/>
    <col min="66" max="66" width="8.7109375" style="592" customWidth="1"/>
    <col min="67" max="67" width="13" style="592" customWidth="1"/>
    <col min="68" max="68" width="37.42578125" style="592" customWidth="1"/>
    <col min="69" max="69" width="11.42578125" style="592" hidden="1" customWidth="1"/>
    <col min="70" max="71" width="8.28515625" style="592" customWidth="1"/>
    <col min="72" max="73" width="7.28515625" style="592" customWidth="1"/>
    <col min="74" max="83" width="11.42578125" style="592" hidden="1" customWidth="1"/>
    <col min="84" max="84" width="11.42578125" style="592"/>
    <col min="85" max="85" width="6" style="592" customWidth="1"/>
    <col min="86" max="86" width="13.85546875" style="592" customWidth="1"/>
    <col min="87" max="87" width="5.7109375" style="592" customWidth="1"/>
    <col min="88" max="88" width="10.28515625" style="592" customWidth="1"/>
    <col min="89" max="90" width="14.28515625" style="592" customWidth="1"/>
    <col min="91" max="16384" width="11.42578125" style="592"/>
  </cols>
  <sheetData>
    <row r="1" spans="1:96" ht="24" customHeight="1" x14ac:dyDescent="0.3">
      <c r="F1" s="56" t="s">
        <v>1621</v>
      </c>
      <c r="S1" s="251" t="s">
        <v>351</v>
      </c>
      <c r="T1" s="251"/>
      <c r="Z1" s="251" t="s">
        <v>351</v>
      </c>
      <c r="AA1" s="56" t="s">
        <v>1668</v>
      </c>
      <c r="AD1" s="251"/>
      <c r="AF1" s="251"/>
      <c r="AG1" s="251"/>
      <c r="AH1" s="251"/>
      <c r="AI1" s="251" t="s">
        <v>352</v>
      </c>
      <c r="AJ1" s="251" t="s">
        <v>352</v>
      </c>
      <c r="AK1" s="251" t="s">
        <v>352</v>
      </c>
      <c r="AL1" s="251" t="s">
        <v>352</v>
      </c>
      <c r="AM1" s="251" t="s">
        <v>352</v>
      </c>
      <c r="AN1" s="251" t="s">
        <v>352</v>
      </c>
      <c r="AO1" s="251" t="s">
        <v>352</v>
      </c>
      <c r="AP1" s="251" t="s">
        <v>352</v>
      </c>
      <c r="AQ1" s="251" t="s">
        <v>352</v>
      </c>
      <c r="AR1" s="251" t="s">
        <v>352</v>
      </c>
      <c r="AS1" s="251" t="s">
        <v>352</v>
      </c>
      <c r="AT1" s="251" t="s">
        <v>352</v>
      </c>
      <c r="AU1" s="251" t="s">
        <v>352</v>
      </c>
      <c r="AV1" s="251" t="s">
        <v>352</v>
      </c>
      <c r="AX1" s="251" t="s">
        <v>351</v>
      </c>
      <c r="AY1" s="251" t="s">
        <v>351</v>
      </c>
      <c r="AZ1" s="251" t="s">
        <v>351</v>
      </c>
      <c r="BA1" s="251" t="s">
        <v>351</v>
      </c>
      <c r="BB1" s="251" t="s">
        <v>351</v>
      </c>
      <c r="BC1" s="251" t="s">
        <v>351</v>
      </c>
      <c r="BD1" s="251" t="s">
        <v>351</v>
      </c>
      <c r="BE1" s="251" t="s">
        <v>351</v>
      </c>
      <c r="BF1" s="251" t="s">
        <v>351</v>
      </c>
      <c r="BG1" s="251" t="s">
        <v>351</v>
      </c>
      <c r="BH1" s="251" t="s">
        <v>351</v>
      </c>
      <c r="BI1" s="251" t="s">
        <v>351</v>
      </c>
      <c r="BJ1" s="251"/>
      <c r="BK1" s="516"/>
      <c r="BL1" s="516"/>
      <c r="BM1" s="516"/>
      <c r="BO1" s="56" t="s">
        <v>1669</v>
      </c>
      <c r="BQ1" s="251" t="s">
        <v>351</v>
      </c>
      <c r="BV1" s="251" t="s">
        <v>352</v>
      </c>
      <c r="BW1" s="251" t="s">
        <v>352</v>
      </c>
      <c r="BX1" s="251" t="s">
        <v>352</v>
      </c>
      <c r="BY1" s="251" t="s">
        <v>352</v>
      </c>
      <c r="BZ1" s="251" t="s">
        <v>352</v>
      </c>
      <c r="CA1" s="251" t="s">
        <v>352</v>
      </c>
      <c r="CB1" s="251" t="s">
        <v>352</v>
      </c>
      <c r="CC1" s="251" t="s">
        <v>352</v>
      </c>
      <c r="CD1" s="251" t="s">
        <v>352</v>
      </c>
      <c r="CE1" s="251" t="s">
        <v>352</v>
      </c>
      <c r="CJ1" s="56" t="s">
        <v>1802</v>
      </c>
    </row>
    <row r="2" spans="1:96" ht="8.25" customHeight="1" x14ac:dyDescent="0.2">
      <c r="AX2" s="592" t="s">
        <v>260</v>
      </c>
      <c r="AY2" s="592">
        <f>'#BerechnungDBE'!M115</f>
        <v>0</v>
      </c>
      <c r="BN2" s="46"/>
    </row>
    <row r="3" spans="1:96" s="36" customFormat="1" ht="15" customHeight="1" x14ac:dyDescent="0.2">
      <c r="D3" s="485" t="s">
        <v>1056</v>
      </c>
      <c r="E3" s="1665" t="str">
        <f>IF(Betrieb!C8="","Bitte in ''Betrieb'' eintragen",CONCATENATE(Betrieb!B8,Betrieb!C8))</f>
        <v>Bitte in ''Betrieb'' eintragen</v>
      </c>
      <c r="F3" s="1665"/>
      <c r="G3" s="1665"/>
      <c r="H3" s="1665"/>
      <c r="I3" s="561" t="str">
        <f>'Flächen u. Kulturen'!G5</f>
        <v>Name: Bitte in ''Betrieb'' eintragen</v>
      </c>
      <c r="N3" s="485" t="s">
        <v>1050</v>
      </c>
      <c r="O3" s="1727">
        <f ca="1">TODAY()</f>
        <v>44551</v>
      </c>
      <c r="P3" s="1727"/>
      <c r="Q3" s="1727"/>
      <c r="W3" s="485" t="s">
        <v>1056</v>
      </c>
      <c r="X3" s="1601" t="str">
        <f>E3</f>
        <v>Bitte in ''Betrieb'' eintragen</v>
      </c>
      <c r="Y3" s="1601"/>
      <c r="AA3" s="595" t="str">
        <f>'Flächen u. Kulturen'!G5</f>
        <v>Name: Bitte in ''Betrieb'' eintragen</v>
      </c>
      <c r="AG3" s="485" t="s">
        <v>1050</v>
      </c>
      <c r="AH3" s="1728">
        <f ca="1">O3</f>
        <v>44551</v>
      </c>
      <c r="AI3" s="1728"/>
      <c r="AJ3" s="1728"/>
      <c r="AK3" s="1728"/>
      <c r="AL3" s="1728"/>
      <c r="AM3" s="1728"/>
      <c r="AN3" s="1728"/>
      <c r="AO3" s="1728"/>
      <c r="AP3" s="1728"/>
      <c r="AQ3" s="1728"/>
      <c r="AR3" s="1728"/>
      <c r="AS3" s="1728"/>
      <c r="AT3" s="1728"/>
      <c r="AU3" s="1728"/>
      <c r="AV3" s="1728"/>
      <c r="AW3" s="1728"/>
      <c r="AX3" s="1728"/>
      <c r="AY3" s="1728"/>
      <c r="AZ3" s="1728"/>
      <c r="BA3" s="1728"/>
      <c r="BB3" s="1728"/>
      <c r="BC3" s="1728"/>
      <c r="BD3" s="1728"/>
      <c r="BE3" s="1728"/>
      <c r="BF3" s="1728"/>
      <c r="BG3" s="1728"/>
      <c r="BH3" s="1728"/>
      <c r="BI3" s="1728"/>
      <c r="BJ3" s="1728"/>
      <c r="BK3" s="131"/>
      <c r="BL3" s="131"/>
      <c r="BM3" s="485" t="s">
        <v>1056</v>
      </c>
      <c r="BN3" s="1698" t="str">
        <f>X3</f>
        <v>Bitte in ''Betrieb'' eintragen</v>
      </c>
      <c r="BO3" s="1698"/>
      <c r="BP3" s="595" t="str">
        <f>'Flächen u. Kulturen'!G5</f>
        <v>Name: Bitte in ''Betrieb'' eintragen</v>
      </c>
      <c r="BT3" s="349" t="s">
        <v>1050</v>
      </c>
      <c r="BU3" s="1727">
        <f ca="1">AH3</f>
        <v>44551</v>
      </c>
      <c r="BV3" s="1727"/>
      <c r="BW3" s="1727"/>
      <c r="BX3" s="1727"/>
      <c r="BY3" s="1727"/>
      <c r="BZ3" s="1727"/>
      <c r="CA3" s="1727"/>
      <c r="CB3" s="1727"/>
      <c r="CC3" s="1727"/>
      <c r="CD3" s="1727"/>
      <c r="CE3" s="1727"/>
      <c r="CF3" s="1727"/>
      <c r="CJ3" s="485" t="s">
        <v>1056</v>
      </c>
      <c r="CK3" s="36" t="str">
        <f>X3</f>
        <v>Bitte in ''Betrieb'' eintragen</v>
      </c>
      <c r="CN3" s="36" t="str">
        <f>'Flächen u. Kulturen'!G5</f>
        <v>Name: Bitte in ''Betrieb'' eintragen</v>
      </c>
      <c r="CQ3" s="349" t="s">
        <v>1050</v>
      </c>
      <c r="CR3" s="486">
        <f ca="1">AH3</f>
        <v>44551</v>
      </c>
    </row>
    <row r="4" spans="1:96" ht="7.5" customHeight="1" thickBot="1" x14ac:dyDescent="0.25">
      <c r="Y4" s="597"/>
      <c r="AB4" s="292"/>
      <c r="AC4" s="292"/>
      <c r="AD4" s="292"/>
      <c r="AE4" s="31"/>
      <c r="AF4" s="31"/>
      <c r="AG4" s="31"/>
      <c r="AH4" s="31"/>
      <c r="AI4" s="1672" t="s">
        <v>239</v>
      </c>
      <c r="AJ4" s="1672"/>
      <c r="AK4" s="1672"/>
      <c r="AL4" s="1672"/>
      <c r="AM4" s="1672"/>
      <c r="AN4" s="1672"/>
      <c r="AO4" s="1672"/>
      <c r="AP4" s="1672"/>
      <c r="AQ4" s="1679" t="s">
        <v>240</v>
      </c>
      <c r="AR4" s="1679"/>
      <c r="AS4" s="1679"/>
      <c r="AT4" s="1679"/>
      <c r="AU4" s="1679"/>
      <c r="AV4" s="1679"/>
      <c r="AX4" s="36" t="s">
        <v>120</v>
      </c>
      <c r="AY4" s="36">
        <f>'#BerechnungDBE'!N115</f>
        <v>0</v>
      </c>
      <c r="BN4" s="46"/>
    </row>
    <row r="5" spans="1:96" ht="15" customHeight="1" thickBot="1" x14ac:dyDescent="0.25">
      <c r="A5" s="381"/>
      <c r="B5" s="390"/>
      <c r="C5" s="382"/>
      <c r="D5" s="1729" t="s">
        <v>1148</v>
      </c>
      <c r="E5" s="1730"/>
      <c r="F5" s="1730"/>
      <c r="G5" s="1730"/>
      <c r="H5" s="1730"/>
      <c r="I5" s="1730"/>
      <c r="J5" s="1730"/>
      <c r="K5" s="1730"/>
      <c r="L5" s="1730"/>
      <c r="M5" s="1730"/>
      <c r="N5" s="1730"/>
      <c r="O5" s="1730"/>
      <c r="P5" s="1731"/>
      <c r="Y5" s="597"/>
      <c r="AB5" s="597"/>
      <c r="AI5" s="1534" t="s">
        <v>233</v>
      </c>
      <c r="AJ5" s="1534"/>
      <c r="AK5" s="1534"/>
      <c r="AL5" s="1534"/>
      <c r="AM5" s="597" t="s">
        <v>234</v>
      </c>
      <c r="AN5" s="597" t="s">
        <v>1067</v>
      </c>
      <c r="AO5" s="597" t="s">
        <v>1066</v>
      </c>
      <c r="AP5" s="597" t="s">
        <v>231</v>
      </c>
      <c r="AQ5" s="597" t="s">
        <v>233</v>
      </c>
      <c r="AR5" s="597"/>
      <c r="AS5" s="597" t="s">
        <v>234</v>
      </c>
      <c r="AT5" s="597" t="s">
        <v>1067</v>
      </c>
      <c r="AU5" s="597" t="s">
        <v>1066</v>
      </c>
      <c r="AV5" s="597" t="s">
        <v>231</v>
      </c>
      <c r="AX5" s="592" t="s">
        <v>261</v>
      </c>
      <c r="AY5" s="592">
        <f>'#BerechnungDBE'!P115</f>
        <v>0</v>
      </c>
      <c r="BN5" s="46"/>
      <c r="CJ5" s="938"/>
    </row>
    <row r="6" spans="1:96" ht="15" customHeight="1" x14ac:dyDescent="0.2">
      <c r="A6" s="383"/>
      <c r="B6" s="391"/>
      <c r="C6" s="87"/>
      <c r="D6" s="1719" t="s">
        <v>139</v>
      </c>
      <c r="E6" s="1720"/>
      <c r="F6" s="1720"/>
      <c r="G6" s="1720"/>
      <c r="H6" s="1720"/>
      <c r="I6" s="1721"/>
      <c r="J6" s="1719" t="s">
        <v>1073</v>
      </c>
      <c r="K6" s="1720"/>
      <c r="L6" s="1720"/>
      <c r="M6" s="1721"/>
      <c r="N6" s="1719" t="s">
        <v>1077</v>
      </c>
      <c r="O6" s="1720"/>
      <c r="P6" s="1721"/>
      <c r="W6" s="1670" t="s">
        <v>84</v>
      </c>
      <c r="X6" s="1748" t="s">
        <v>1141</v>
      </c>
      <c r="Y6" s="1683" t="s">
        <v>1149</v>
      </c>
      <c r="Z6" s="1750"/>
      <c r="AA6" s="1684"/>
      <c r="AB6" s="1751" t="s">
        <v>1573</v>
      </c>
      <c r="AC6" s="1751"/>
      <c r="AD6" s="1751"/>
      <c r="AE6" s="1751"/>
      <c r="AF6" s="1751"/>
      <c r="AG6" s="1629" t="s">
        <v>1160</v>
      </c>
      <c r="AH6" s="1630"/>
      <c r="AI6" s="597" t="s">
        <v>225</v>
      </c>
      <c r="AK6" s="597" t="s">
        <v>225</v>
      </c>
      <c r="AL6" s="597"/>
      <c r="AM6" s="597" t="s">
        <v>235</v>
      </c>
      <c r="AN6" s="597" t="s">
        <v>236</v>
      </c>
      <c r="AO6" s="597" t="s">
        <v>238</v>
      </c>
      <c r="AQ6" s="597" t="s">
        <v>241</v>
      </c>
      <c r="AR6" s="597" t="s">
        <v>6</v>
      </c>
      <c r="AS6" s="597" t="s">
        <v>235</v>
      </c>
      <c r="AT6" s="597" t="s">
        <v>236</v>
      </c>
      <c r="AU6" s="597" t="s">
        <v>238</v>
      </c>
      <c r="AY6" s="597" t="s">
        <v>153</v>
      </c>
      <c r="AZ6" s="597"/>
      <c r="BA6" s="597"/>
      <c r="BF6" s="592" t="s">
        <v>258</v>
      </c>
      <c r="BG6" s="592" t="s">
        <v>258</v>
      </c>
      <c r="BM6" s="1670" t="s">
        <v>84</v>
      </c>
      <c r="BN6" s="1697" t="s">
        <v>1145</v>
      </c>
      <c r="BO6" s="1683" t="s">
        <v>1150</v>
      </c>
      <c r="BP6" s="1694"/>
      <c r="BQ6" s="57"/>
      <c r="BR6" s="1673" t="s">
        <v>1147</v>
      </c>
      <c r="BS6" s="1674"/>
      <c r="BT6" s="1629" t="s">
        <v>1159</v>
      </c>
      <c r="BU6" s="1694"/>
      <c r="CF6" s="804"/>
      <c r="CG6"/>
      <c r="CI6" s="1681" t="s">
        <v>84</v>
      </c>
      <c r="CJ6" s="1680" t="s">
        <v>1510</v>
      </c>
      <c r="CK6" s="1683" t="s">
        <v>1506</v>
      </c>
      <c r="CL6" s="1684"/>
    </row>
    <row r="7" spans="1:96" ht="15" customHeight="1" x14ac:dyDescent="0.2">
      <c r="A7" s="383"/>
      <c r="B7" s="391"/>
      <c r="C7" s="87"/>
      <c r="D7" s="1719" t="s">
        <v>1079</v>
      </c>
      <c r="E7" s="1724"/>
      <c r="F7" s="1720" t="s">
        <v>1237</v>
      </c>
      <c r="G7" s="1724"/>
      <c r="H7" s="1720" t="s">
        <v>1070</v>
      </c>
      <c r="I7" s="1720"/>
      <c r="J7" s="1732" t="s">
        <v>313</v>
      </c>
      <c r="K7" s="1725"/>
      <c r="L7" s="1725"/>
      <c r="M7" s="1733"/>
      <c r="N7" s="1732" t="s">
        <v>1076</v>
      </c>
      <c r="O7" s="1725"/>
      <c r="P7" s="1733"/>
      <c r="W7" s="1671"/>
      <c r="X7" s="1749"/>
      <c r="Y7" s="1685"/>
      <c r="Z7" s="1725"/>
      <c r="AA7" s="1686"/>
      <c r="AB7" s="905"/>
      <c r="AC7" s="904"/>
      <c r="AD7" s="979" t="s">
        <v>1572</v>
      </c>
      <c r="AE7" s="905"/>
      <c r="AF7" s="1017" t="s">
        <v>1572</v>
      </c>
      <c r="AG7" s="1631"/>
      <c r="AH7" s="1632"/>
      <c r="AI7" s="597" t="s">
        <v>135</v>
      </c>
      <c r="AJ7" s="597" t="s">
        <v>229</v>
      </c>
      <c r="AK7" s="597" t="s">
        <v>230</v>
      </c>
      <c r="AL7" s="597" t="s">
        <v>193</v>
      </c>
      <c r="AQ7" s="597" t="s">
        <v>135</v>
      </c>
      <c r="AR7" s="597" t="s">
        <v>230</v>
      </c>
      <c r="AX7" s="592" t="s">
        <v>225</v>
      </c>
      <c r="AY7" s="597" t="s">
        <v>255</v>
      </c>
      <c r="AZ7" s="597" t="s">
        <v>225</v>
      </c>
      <c r="BA7" s="597" t="s">
        <v>225</v>
      </c>
      <c r="BB7" s="592" t="s">
        <v>253</v>
      </c>
      <c r="BC7" s="592" t="s">
        <v>259</v>
      </c>
      <c r="BD7" s="592" t="s">
        <v>259</v>
      </c>
      <c r="BE7" s="592" t="s">
        <v>226</v>
      </c>
      <c r="BF7" s="592" t="s">
        <v>256</v>
      </c>
      <c r="BG7" s="592" t="s">
        <v>256</v>
      </c>
      <c r="BM7" s="1671"/>
      <c r="BN7" s="1670"/>
      <c r="BO7" s="1695"/>
      <c r="BP7" s="1696"/>
      <c r="BQ7" s="46"/>
      <c r="BR7" s="1675"/>
      <c r="BS7" s="1676"/>
      <c r="BT7" s="1695"/>
      <c r="BU7" s="1696"/>
      <c r="BV7" s="1699" t="s">
        <v>243</v>
      </c>
      <c r="BW7" s="1699"/>
      <c r="BX7" s="1699"/>
      <c r="BY7" s="1699"/>
      <c r="BZ7" s="1700"/>
      <c r="CA7" s="1689" t="s">
        <v>244</v>
      </c>
      <c r="CB7" s="1605"/>
      <c r="CC7" s="1605"/>
      <c r="CD7" s="1605"/>
      <c r="CE7" s="1606"/>
      <c r="CF7" s="444"/>
      <c r="CG7"/>
      <c r="CI7" s="1682"/>
      <c r="CJ7" s="1681"/>
      <c r="CK7" s="1685"/>
      <c r="CL7" s="1686"/>
    </row>
    <row r="8" spans="1:96" ht="15" customHeight="1" x14ac:dyDescent="0.2">
      <c r="A8" s="383"/>
      <c r="B8" s="391"/>
      <c r="C8" s="87"/>
      <c r="D8" s="940"/>
      <c r="E8" s="941"/>
      <c r="F8" s="1725" t="s">
        <v>1132</v>
      </c>
      <c r="G8" s="1726"/>
      <c r="H8" s="1742" t="s">
        <v>140</v>
      </c>
      <c r="I8" s="1721"/>
      <c r="J8" s="940" t="s">
        <v>83</v>
      </c>
      <c r="K8" s="966" t="s">
        <v>1074</v>
      </c>
      <c r="L8" s="1734" t="s">
        <v>1080</v>
      </c>
      <c r="M8" s="1763" t="s">
        <v>1650</v>
      </c>
      <c r="N8" s="392" t="s">
        <v>83</v>
      </c>
      <c r="O8" s="1701" t="s">
        <v>1080</v>
      </c>
      <c r="P8" s="1763" t="s">
        <v>1650</v>
      </c>
      <c r="S8" s="597" t="s">
        <v>1138</v>
      </c>
      <c r="W8" s="1671"/>
      <c r="X8" s="1749"/>
      <c r="Y8" s="1685" t="s">
        <v>1130</v>
      </c>
      <c r="Z8" s="77"/>
      <c r="AA8" s="512"/>
      <c r="AB8" s="1677" t="s">
        <v>1078</v>
      </c>
      <c r="AC8" s="1677" t="s">
        <v>1144</v>
      </c>
      <c r="AD8" s="979" t="s">
        <v>129</v>
      </c>
      <c r="AE8" s="1677" t="s">
        <v>1143</v>
      </c>
      <c r="AF8" s="1017" t="s">
        <v>129</v>
      </c>
      <c r="AG8" s="1631"/>
      <c r="AH8" s="1632"/>
      <c r="AI8" s="597" t="s">
        <v>194</v>
      </c>
      <c r="AJ8" s="597" t="s">
        <v>196</v>
      </c>
      <c r="AK8" s="597"/>
      <c r="AL8" s="597" t="s">
        <v>196</v>
      </c>
      <c r="AQ8" s="597" t="s">
        <v>194</v>
      </c>
      <c r="AR8" s="597"/>
      <c r="AX8" s="592" t="s">
        <v>255</v>
      </c>
      <c r="AY8" s="597" t="s">
        <v>254</v>
      </c>
      <c r="AZ8" s="597" t="s">
        <v>171</v>
      </c>
      <c r="BA8" s="597" t="s">
        <v>174</v>
      </c>
      <c r="BC8" s="592" t="s">
        <v>62</v>
      </c>
      <c r="BD8" s="592" t="s">
        <v>62</v>
      </c>
      <c r="BF8" s="46" t="s">
        <v>257</v>
      </c>
      <c r="BG8" s="46" t="s">
        <v>257</v>
      </c>
      <c r="BM8" s="1671"/>
      <c r="BN8" s="1670"/>
      <c r="BO8" s="1677" t="s">
        <v>1130</v>
      </c>
      <c r="BP8" s="512"/>
      <c r="BQ8" s="77" t="s">
        <v>232</v>
      </c>
      <c r="BR8" s="1677" t="s">
        <v>1078</v>
      </c>
      <c r="BS8" s="1677" t="s">
        <v>1143</v>
      </c>
      <c r="BT8" s="1685" t="s">
        <v>1078</v>
      </c>
      <c r="BU8" s="1677" t="s">
        <v>1143</v>
      </c>
      <c r="BV8" s="77" t="s">
        <v>242</v>
      </c>
      <c r="BW8" s="77" t="s">
        <v>234</v>
      </c>
      <c r="BX8" s="77" t="s">
        <v>76</v>
      </c>
      <c r="BY8" s="77" t="s">
        <v>237</v>
      </c>
      <c r="BZ8" s="79" t="s">
        <v>231</v>
      </c>
      <c r="CA8" s="596" t="s">
        <v>242</v>
      </c>
      <c r="CB8" s="77" t="s">
        <v>234</v>
      </c>
      <c r="CC8" s="77" t="s">
        <v>76</v>
      </c>
      <c r="CD8" s="77" t="s">
        <v>237</v>
      </c>
      <c r="CE8" s="79" t="s">
        <v>231</v>
      </c>
      <c r="CF8" s="77"/>
      <c r="CG8"/>
      <c r="CI8" s="1682"/>
      <c r="CJ8" s="1681"/>
      <c r="CK8" s="1685"/>
      <c r="CL8" s="1686"/>
    </row>
    <row r="9" spans="1:96" ht="15" customHeight="1" x14ac:dyDescent="0.2">
      <c r="A9" s="383"/>
      <c r="B9" s="391"/>
      <c r="C9" s="87"/>
      <c r="D9" s="1732" t="s">
        <v>142</v>
      </c>
      <c r="E9" s="1726"/>
      <c r="F9" s="1725" t="s">
        <v>142</v>
      </c>
      <c r="G9" s="1726"/>
      <c r="H9" s="1746" t="s">
        <v>142</v>
      </c>
      <c r="I9" s="1733"/>
      <c r="J9" s="392" t="s">
        <v>1078</v>
      </c>
      <c r="K9" s="393" t="s">
        <v>1078</v>
      </c>
      <c r="L9" s="1734"/>
      <c r="M9" s="1763"/>
      <c r="N9" s="392" t="s">
        <v>1078</v>
      </c>
      <c r="O9" s="1701"/>
      <c r="P9" s="1763"/>
      <c r="S9" s="592">
        <f>IF('#BerechnungDBE'!N115&gt;0,'#BerechnungDBE'!T115/'#BerechnungDBE'!N115,1)</f>
        <v>1</v>
      </c>
      <c r="W9" s="1671"/>
      <c r="X9" s="1749"/>
      <c r="Y9" s="1687"/>
      <c r="Z9" s="58" t="s">
        <v>316</v>
      </c>
      <c r="AA9" s="513"/>
      <c r="AB9" s="1678"/>
      <c r="AC9" s="1678"/>
      <c r="AD9" s="979" t="s">
        <v>133</v>
      </c>
      <c r="AE9" s="1678"/>
      <c r="AF9" s="1017" t="s">
        <v>133</v>
      </c>
      <c r="AG9" s="902" t="s">
        <v>1078</v>
      </c>
      <c r="AH9" s="901" t="s">
        <v>1143</v>
      </c>
      <c r="AI9" s="58"/>
      <c r="AJ9" s="76" t="s">
        <v>12</v>
      </c>
      <c r="AK9" s="76"/>
      <c r="AL9" s="76" t="s">
        <v>12</v>
      </c>
      <c r="AM9" s="58"/>
      <c r="AN9" s="58"/>
      <c r="AO9" s="58"/>
      <c r="AP9" s="58"/>
      <c r="AQ9" s="58"/>
      <c r="AR9" s="58"/>
      <c r="AS9" s="58"/>
      <c r="AT9" s="58"/>
      <c r="AU9" s="58"/>
      <c r="AV9" s="58"/>
      <c r="AW9" s="58"/>
      <c r="AX9" s="58"/>
      <c r="AY9" s="76" t="s">
        <v>1238</v>
      </c>
      <c r="AZ9" s="76"/>
      <c r="BA9" s="76"/>
      <c r="BB9" s="58"/>
      <c r="BC9" s="58" t="s">
        <v>171</v>
      </c>
      <c r="BD9" s="58" t="s">
        <v>174</v>
      </c>
      <c r="BE9" s="58"/>
      <c r="BF9" s="76" t="s">
        <v>171</v>
      </c>
      <c r="BG9" s="76" t="s">
        <v>174</v>
      </c>
      <c r="BH9" s="46"/>
      <c r="BI9" s="46"/>
      <c r="BJ9" s="46"/>
      <c r="BM9" s="1671"/>
      <c r="BN9" s="1670"/>
      <c r="BO9" s="1678"/>
      <c r="BP9" s="520"/>
      <c r="BQ9" s="58"/>
      <c r="BR9" s="1678"/>
      <c r="BS9" s="1678"/>
      <c r="BT9" s="1687"/>
      <c r="BU9" s="1678"/>
      <c r="BV9" s="76"/>
      <c r="BW9" s="76" t="s">
        <v>235</v>
      </c>
      <c r="BX9" s="76" t="s">
        <v>236</v>
      </c>
      <c r="BY9" s="76" t="s">
        <v>238</v>
      </c>
      <c r="BZ9" s="81"/>
      <c r="CA9" s="80"/>
      <c r="CB9" s="76" t="s">
        <v>235</v>
      </c>
      <c r="CC9" s="76" t="s">
        <v>236</v>
      </c>
      <c r="CD9" s="76" t="s">
        <v>238</v>
      </c>
      <c r="CE9" s="81"/>
      <c r="CF9" s="46"/>
      <c r="CG9"/>
      <c r="CI9" s="1682"/>
      <c r="CJ9" s="1681"/>
      <c r="CK9" s="1687"/>
      <c r="CL9" s="1688"/>
    </row>
    <row r="10" spans="1:96" ht="14.25" customHeight="1" thickBot="1" x14ac:dyDescent="0.25">
      <c r="A10" s="383"/>
      <c r="B10" s="391"/>
      <c r="C10" s="87"/>
      <c r="D10" s="1743" t="s">
        <v>11</v>
      </c>
      <c r="E10" s="1723"/>
      <c r="F10" s="1722" t="s">
        <v>11</v>
      </c>
      <c r="G10" s="1723"/>
      <c r="H10" s="1744" t="s">
        <v>61</v>
      </c>
      <c r="I10" s="1745"/>
      <c r="J10" s="394" t="s">
        <v>143</v>
      </c>
      <c r="K10" s="941" t="s">
        <v>1</v>
      </c>
      <c r="L10" s="1735"/>
      <c r="M10" s="1764"/>
      <c r="N10" s="392" t="s">
        <v>144</v>
      </c>
      <c r="O10" s="1701"/>
      <c r="P10" s="1764"/>
      <c r="V10" s="514" t="s">
        <v>1142</v>
      </c>
      <c r="W10" s="170"/>
      <c r="X10" s="171"/>
      <c r="Y10" s="46"/>
      <c r="Z10" s="77"/>
      <c r="AA10" s="77"/>
      <c r="AB10" s="171"/>
      <c r="AC10" s="171"/>
      <c r="AD10" s="171"/>
      <c r="AE10" s="171"/>
      <c r="AF10" s="171"/>
      <c r="AG10" s="548">
        <f t="shared" ref="AG10:AV10" si="0">SUM(AG12:AG63)</f>
        <v>0</v>
      </c>
      <c r="AH10" s="564">
        <f t="shared" si="0"/>
        <v>0</v>
      </c>
      <c r="AI10" s="179">
        <f t="shared" si="0"/>
        <v>0</v>
      </c>
      <c r="AJ10" s="179">
        <f t="shared" si="0"/>
        <v>0</v>
      </c>
      <c r="AK10" s="179">
        <f t="shared" si="0"/>
        <v>0</v>
      </c>
      <c r="AL10" s="179">
        <f t="shared" si="0"/>
        <v>0</v>
      </c>
      <c r="AM10" s="179">
        <f t="shared" si="0"/>
        <v>0</v>
      </c>
      <c r="AN10" s="179">
        <f t="shared" si="0"/>
        <v>0</v>
      </c>
      <c r="AO10" s="179">
        <f t="shared" si="0"/>
        <v>0</v>
      </c>
      <c r="AP10" s="179">
        <f t="shared" si="0"/>
        <v>0</v>
      </c>
      <c r="AQ10" s="179">
        <f t="shared" si="0"/>
        <v>0</v>
      </c>
      <c r="AR10" s="179">
        <f t="shared" si="0"/>
        <v>0</v>
      </c>
      <c r="AS10" s="179">
        <f t="shared" si="0"/>
        <v>0</v>
      </c>
      <c r="AT10" s="179">
        <f t="shared" si="0"/>
        <v>0</v>
      </c>
      <c r="AU10" s="179">
        <f t="shared" si="0"/>
        <v>0</v>
      </c>
      <c r="AV10" s="179">
        <f t="shared" si="0"/>
        <v>0</v>
      </c>
      <c r="AW10" s="57"/>
      <c r="AX10" s="177">
        <f>SUM(AX12:AX48)</f>
        <v>0</v>
      </c>
      <c r="AY10" s="177">
        <f>SUM(AY12:AY48)</f>
        <v>0</v>
      </c>
      <c r="AZ10" s="177">
        <f>SUM(AZ12:AZ48)</f>
        <v>0</v>
      </c>
      <c r="BA10" s="177">
        <f>SUM(BA12:BA48)</f>
        <v>0</v>
      </c>
      <c r="BB10" s="178"/>
      <c r="BC10" s="177">
        <f>SUM(BC12:BC48)</f>
        <v>0</v>
      </c>
      <c r="BD10" s="177">
        <f>SUM(BD12:BD48)</f>
        <v>0</v>
      </c>
      <c r="BE10" s="178"/>
      <c r="BF10" s="177">
        <f>SUM(BF12:BF48)</f>
        <v>0</v>
      </c>
      <c r="BG10" s="178">
        <f>SUM(BG12:BG48)</f>
        <v>0</v>
      </c>
      <c r="BH10" s="179"/>
      <c r="BI10" s="179"/>
      <c r="BJ10" s="239"/>
      <c r="BK10" s="239"/>
      <c r="BL10" s="514" t="s">
        <v>1142</v>
      </c>
      <c r="BM10" s="565"/>
      <c r="BN10" s="78"/>
      <c r="BO10" s="46"/>
      <c r="BP10" s="77"/>
      <c r="BQ10" s="77"/>
      <c r="BR10" s="77"/>
      <c r="BS10" s="77"/>
      <c r="BT10" s="612">
        <f>SUM(BT12:BT75)</f>
        <v>0</v>
      </c>
      <c r="BU10" s="613">
        <f t="shared" ref="BU10:CE10" si="1">SUM(BU12:BU75)</f>
        <v>0</v>
      </c>
      <c r="BV10" s="172">
        <f t="shared" si="1"/>
        <v>0</v>
      </c>
      <c r="BW10" s="172">
        <f t="shared" si="1"/>
        <v>0</v>
      </c>
      <c r="BX10" s="172">
        <f t="shared" si="1"/>
        <v>0</v>
      </c>
      <c r="BY10" s="172">
        <f t="shared" si="1"/>
        <v>0</v>
      </c>
      <c r="BZ10" s="172">
        <f t="shared" si="1"/>
        <v>0</v>
      </c>
      <c r="CA10" s="172">
        <f t="shared" si="1"/>
        <v>0</v>
      </c>
      <c r="CB10" s="172">
        <f t="shared" si="1"/>
        <v>0</v>
      </c>
      <c r="CC10" s="172">
        <f t="shared" si="1"/>
        <v>0</v>
      </c>
      <c r="CD10" s="172">
        <f t="shared" si="1"/>
        <v>0</v>
      </c>
      <c r="CE10" s="172">
        <f t="shared" si="1"/>
        <v>0</v>
      </c>
      <c r="CF10" s="172"/>
      <c r="CG10"/>
      <c r="CH10" s="485" t="s">
        <v>1142</v>
      </c>
      <c r="CI10" s="812"/>
      <c r="CJ10" s="814">
        <f>SUM(CJ12:CJ34)</f>
        <v>0</v>
      </c>
      <c r="CK10" s="78"/>
      <c r="CL10" s="813"/>
    </row>
    <row r="11" spans="1:96" ht="4.1500000000000004" customHeight="1" thickBot="1" x14ac:dyDescent="0.25">
      <c r="A11" s="395"/>
      <c r="B11" s="396"/>
      <c r="C11" s="397"/>
      <c r="D11" s="1702"/>
      <c r="E11" s="1703"/>
      <c r="F11" s="398"/>
      <c r="G11" s="398"/>
      <c r="H11" s="1703"/>
      <c r="I11" s="1747"/>
      <c r="J11" s="962"/>
      <c r="K11" s="963"/>
      <c r="L11" s="398"/>
      <c r="M11" s="398"/>
      <c r="N11" s="962"/>
      <c r="O11" s="398"/>
      <c r="P11" s="942"/>
      <c r="T11" s="46"/>
      <c r="U11" s="46"/>
      <c r="V11" s="46"/>
      <c r="W11" s="563"/>
      <c r="X11" s="171"/>
      <c r="Y11" s="171"/>
      <c r="Z11" s="171"/>
      <c r="AA11" s="171"/>
      <c r="AB11" s="171"/>
      <c r="AC11" s="171"/>
      <c r="AD11" s="171"/>
      <c r="AE11" s="171"/>
      <c r="AF11" s="171"/>
      <c r="AG11" s="171"/>
      <c r="AH11" s="566"/>
      <c r="AI11" s="78"/>
      <c r="AJ11" s="78"/>
      <c r="AK11" s="78"/>
      <c r="AL11" s="78"/>
      <c r="AM11" s="78"/>
      <c r="AN11" s="78"/>
      <c r="AO11" s="78"/>
      <c r="AP11" s="78"/>
      <c r="AQ11" s="78"/>
      <c r="AR11" s="78"/>
      <c r="AS11" s="78"/>
      <c r="AT11" s="78"/>
      <c r="AU11" s="78"/>
      <c r="AV11" s="78"/>
      <c r="AW11" s="78"/>
      <c r="AX11" s="177" t="e">
        <f>AX10/AY2</f>
        <v>#DIV/0!</v>
      </c>
      <c r="AY11" s="177"/>
      <c r="AZ11" s="177">
        <f>IF(AY4&gt;0,AZ10/AY4,0)</f>
        <v>0</v>
      </c>
      <c r="BA11" s="177">
        <f>IF(AY5&gt;0,BA10/AY5,0)</f>
        <v>0</v>
      </c>
      <c r="BB11" s="178"/>
      <c r="BC11" s="177">
        <f>IF(AY4&gt;0,BC10/AY4,0)</f>
        <v>0</v>
      </c>
      <c r="BD11" s="177">
        <f>IF(AY5&gt;0,BD10/AY5,0)</f>
        <v>0</v>
      </c>
      <c r="BE11" s="178"/>
      <c r="BF11" s="177">
        <f>IF(AY4&gt;0,BF10/AY4,0)</f>
        <v>0</v>
      </c>
      <c r="BG11" s="178">
        <f>IF(AY5&gt;0,BG10/AY5,0)</f>
        <v>0</v>
      </c>
      <c r="BH11" s="177"/>
      <c r="BI11" s="177"/>
      <c r="BJ11" s="521"/>
      <c r="BK11" s="521"/>
      <c r="BL11" s="521"/>
      <c r="BM11" s="563"/>
      <c r="BN11" s="57"/>
      <c r="BO11" s="57"/>
      <c r="BP11" s="57"/>
      <c r="BQ11" s="57"/>
      <c r="BR11" s="57"/>
      <c r="BS11" s="57"/>
      <c r="BT11" s="57"/>
      <c r="BU11" s="295"/>
      <c r="BV11" s="78"/>
      <c r="BW11" s="78"/>
      <c r="BX11" s="78"/>
      <c r="BY11" s="78"/>
      <c r="BZ11" s="78"/>
      <c r="CA11" s="78"/>
      <c r="CB11" s="78"/>
      <c r="CC11" s="78"/>
      <c r="CD11" s="78"/>
      <c r="CE11" s="78"/>
      <c r="CF11" s="46"/>
      <c r="CG11"/>
      <c r="CH11" s="46"/>
      <c r="CI11" s="812"/>
      <c r="CJ11" s="78"/>
      <c r="CK11" s="78"/>
      <c r="CL11" s="813"/>
    </row>
    <row r="12" spans="1:96" ht="14.25" customHeight="1" thickBot="1" x14ac:dyDescent="0.25">
      <c r="A12" s="1765" t="s">
        <v>148</v>
      </c>
      <c r="B12" s="1766"/>
      <c r="C12" s="1766"/>
      <c r="D12" s="1736">
        <f>'#BerechnungDBE'!M115</f>
        <v>0</v>
      </c>
      <c r="E12" s="1737"/>
      <c r="F12" s="1740">
        <f>F13+F17</f>
        <v>0</v>
      </c>
      <c r="G12" s="1741"/>
      <c r="H12" s="1738">
        <f>IF('#BerechnungDBE'!M115&gt;0,'#BerechnungDBE'!Q115/'#BerechnungDBE'!M115,1)</f>
        <v>1</v>
      </c>
      <c r="I12" s="1739"/>
      <c r="J12" s="403">
        <f>+J13+J17+J18</f>
        <v>0</v>
      </c>
      <c r="K12" s="534">
        <f>IF(E20=0,0,J12/E20)</f>
        <v>0</v>
      </c>
      <c r="L12" s="1454" t="str">
        <f>IF('#orgDung'!AI127=0,'Überblick 22'!S20,'Überblick 22'!S21)</f>
        <v>OK</v>
      </c>
      <c r="M12" s="1455">
        <f>'#orgDung'!AI128</f>
        <v>0</v>
      </c>
      <c r="N12" s="951">
        <f>N13+N17</f>
        <v>0</v>
      </c>
      <c r="O12" s="959" t="str">
        <f>IF('#minDung'!R121=0,'Überblick 22'!S20,'Überblick 22'!S21)</f>
        <v>OK</v>
      </c>
      <c r="P12" s="960">
        <f>'#minDung'!R122</f>
        <v>0</v>
      </c>
      <c r="S12" s="597" t="s">
        <v>1140</v>
      </c>
      <c r="W12" s="571" t="str">
        <f>IF(Y12="","",'#orgDung'!AE135)</f>
        <v/>
      </c>
      <c r="X12" s="982" t="str">
        <f>IF(Y12="","",VLOOKUP(Y12,'#orgDung'!$AF$135:$AG$187,'#orgDung'!$AG$133,FALSE))</f>
        <v/>
      </c>
      <c r="Y12" s="983" t="str">
        <f>'#orgDung'!AB135</f>
        <v/>
      </c>
      <c r="Z12" s="574" t="str">
        <f>IF(Y12="","",VLOOKUP(Y12,Tab_org21[[Dünger]:[anrechenbarer N bei DBE Grünland]],'#org22'!$L$1,FALSE))</f>
        <v/>
      </c>
      <c r="AA12" s="607" t="str">
        <f>IF(Y12="","",VLOOKUP(Y12,Tab_org21[[Dünger]:[anrechenbarer N bei DBE Grünland]],'#org22'!$D$1,FALSE))</f>
        <v/>
      </c>
      <c r="AB12" s="574" t="str">
        <f>IF(Y12="","",VLOOKUP(Y12,Tab_org21[[Dünger]:[anrechenbarer N bei DBE Grünland]],'#org22'!$P$1,FALSE))</f>
        <v/>
      </c>
      <c r="AC12" s="574" t="str">
        <f>IF(Y12="","",VLOOKUP(Y12,Tab_org21[[Dünger]:[anrechenbarer N bei DBE Grünland]],'#org22'!$Q$1,FALSE))</f>
        <v/>
      </c>
      <c r="AD12" s="572" t="str">
        <f>IF(Y12="","",VLOOKUP(Y12,Tab_org21[[Dünger]:[anrechenbarer N bei DBE Grünland]],'#org22'!$W$1,FALSE))</f>
        <v/>
      </c>
      <c r="AE12" s="574" t="str">
        <f>IF(Y12="","",VLOOKUP(Y12,Tab_org21[[Dünger]:[anrechenbarer N bei DBE Grünland]],'#org22'!$R$1,FALSE))</f>
        <v/>
      </c>
      <c r="AF12" s="572" t="str">
        <f>IF(Y12="","",VLOOKUP(Y12,Tab_org21[[Dünger]:[anrechenbarer N bei DBE Grünland]],'#org22'!$X$1,FALSE))</f>
        <v/>
      </c>
      <c r="AG12" s="572" t="str">
        <f>IF(Y12="","",X12*AB12)</f>
        <v/>
      </c>
      <c r="AH12" s="575" t="str">
        <f>IF(Y12="","",X12*AE12)</f>
        <v/>
      </c>
      <c r="AI12" s="549" t="str">
        <f>IF(OR(Y12="",NOT(OR(Z12=2,Z12=3))),"",X12*AB12*AD12/100)</f>
        <v/>
      </c>
      <c r="AJ12" s="549" t="str">
        <f>IF(OR(Y12="",NOT(OR(Z12=2,Z12=3))),"",X12*AC12*AD12/100)</f>
        <v/>
      </c>
      <c r="AK12" s="549" t="str">
        <f>IF(OR(Y12="",NOT(OR(Z12=2,Z12=3))),"",X12*AB12*(100-AD12)/100)</f>
        <v/>
      </c>
      <c r="AL12" s="549" t="str">
        <f>IF(OR(Y12="",NOT(OR(Z12=2,Z12=3))),"",X12*AC12*(100-AD12)/100)</f>
        <v/>
      </c>
      <c r="AM12" s="549" t="str">
        <f>IF(OR(Y12="",NOT(Z12=4)),"",X12*AB12)</f>
        <v/>
      </c>
      <c r="AN12" s="549" t="str">
        <f>IF(OR(Y12="",NOT(Z12=5)),"",X12*AB12)</f>
        <v/>
      </c>
      <c r="AO12" s="549" t="str">
        <f>IF(OR(Y12="",NOT(Z12=6)),"",X12*AB12)</f>
        <v/>
      </c>
      <c r="AP12" s="549" t="str">
        <f>IF(OR(Y12="",NOT(Z12=7)),"",X12*AB12)</f>
        <v/>
      </c>
      <c r="AQ12" s="549" t="str">
        <f>IF(Y12="","",IF(OR(Z12=2,Z12=3),X12*AE12*AF12/100,""))</f>
        <v/>
      </c>
      <c r="AR12" s="549" t="str">
        <f>IF(Y12="","",IF(OR(Z12=2,Z12=3),X12*AE12*(100-AF12)/100,""))</f>
        <v/>
      </c>
      <c r="AS12" s="549" t="str">
        <f>IF(OR(Y12="",NOT(Z12=4)),"",X12*AE12)</f>
        <v/>
      </c>
      <c r="AT12" s="549" t="str">
        <f>IF(OR(Y12="",NOT(Z12=5)),"",X12*AE12)</f>
        <v/>
      </c>
      <c r="AU12" s="549" t="str">
        <f>IF(OR(Y12="",NOT(Z12=6)),"",X12*AE12)</f>
        <v/>
      </c>
      <c r="AV12" s="549" t="str">
        <f>IF(OR(Y12="",NOT(Z12=7)),"",X12*AB12)</f>
        <v/>
      </c>
      <c r="AW12" s="549"/>
      <c r="AX12" s="549" t="str">
        <f>IF(Y12="","",X12*AB12)</f>
        <v/>
      </c>
      <c r="AY12" s="549" t="str">
        <f>IF(Y12="","",VLOOKUP(Y12,'#orgDung'!$AF$135:$AH$187,'#orgDung'!$AH$133,FALSE))</f>
        <v/>
      </c>
      <c r="AZ12" s="549" t="str">
        <f>IF(AY12="","",AY12*AB12)</f>
        <v/>
      </c>
      <c r="BA12" s="549" t="str">
        <f>IF(Y12="","",AX12-AZ12)</f>
        <v/>
      </c>
      <c r="BB12" s="549" t="str">
        <f>IF(Y12="","",VLOOKUP(Y12,Tab_org21[[Dünger]:[anrechenbarer N bei DBE Grünland]],'#org22'!$H$1,FALSE))</f>
        <v/>
      </c>
      <c r="BC12" s="549" t="str">
        <f>IF(BB12=1,AZ12,"")</f>
        <v/>
      </c>
      <c r="BD12" s="549" t="str">
        <f>IF(Y12="","",IF(BB12=1,BA12,""))</f>
        <v/>
      </c>
      <c r="BE12" s="549" t="str">
        <f>IF(Y12="","",VLOOKUP(Y12,Tab_org21[[Dünger]:[anrechenbarer N bei DBE Grünland]],'#org22'!$Z$1,FALSE))</f>
        <v/>
      </c>
      <c r="BF12" s="549" t="str">
        <f>IF(BE12&gt;49,AZ12,"")</f>
        <v/>
      </c>
      <c r="BG12" s="549" t="str">
        <f>IF(Y12="","",IF(BE12&gt;49,BA12,""))</f>
        <v/>
      </c>
      <c r="BH12" s="549"/>
      <c r="BI12" s="549"/>
      <c r="BJ12" s="551"/>
      <c r="BK12" s="551"/>
      <c r="BL12" s="551"/>
      <c r="BM12" s="989" t="str">
        <f>IF(BO12="","",'#minDung'!N126)</f>
        <v/>
      </c>
      <c r="BN12" s="982" t="str">
        <f>IF(BO12="","",VLOOKUP(BO12,'#minDung'!$O$126:$Q$195,'#minDung'!$P$124,FALSE))</f>
        <v/>
      </c>
      <c r="BO12" s="573" t="str">
        <f>'#minDung'!K126</f>
        <v/>
      </c>
      <c r="BP12" s="607" t="str">
        <f>IF(BO12="","",VLOOKUP(BO12,Tab_min[[Mineraldünger]:[Kalkwirkung je 100 kg Dünger]],'#min'!$F$1,FALSE))</f>
        <v/>
      </c>
      <c r="BQ12" s="573" t="str">
        <f>IF(BO12="","",VLOOKUP(BO12,Tab_min[[Mineraldünger]:[Kalkwirkung je 100 kg Dünger]],'#min'!$G$1,FALSE))</f>
        <v/>
      </c>
      <c r="BR12" s="574" t="str">
        <f>IF(BO12="","",VLOOKUP(BO12,Tab_min[[Mineraldünger]:[Kalkwirkung je 100 kg Dünger]],'#min'!$H$1,FALSE))</f>
        <v/>
      </c>
      <c r="BS12" s="574" t="str">
        <f>IF(BO12="","",VLOOKUP(BO12,Tab_min[[Mineraldünger]:[Kalkwirkung je 100 kg Dünger]],'#min'!$J$1,FALSE))</f>
        <v/>
      </c>
      <c r="BT12" s="572" t="str">
        <f>IF(BO12="","",BN12*BR12)</f>
        <v/>
      </c>
      <c r="BU12" s="575" t="str">
        <f>IF(BO12="","",BN12*BS12)</f>
        <v/>
      </c>
      <c r="BV12" s="54" t="str">
        <f>IF(OR(BO12="",NOT(BQ12=1)),"",BN12*BR12)</f>
        <v/>
      </c>
      <c r="BW12" s="54" t="str">
        <f>IF(OR(BO12="",NOT(BQ12=4)),"",BN12*BR12)</f>
        <v/>
      </c>
      <c r="BX12" s="54" t="str">
        <f>IF(OR(BO12="",NOT(BQ12=5)),"",BN12*BR12)</f>
        <v/>
      </c>
      <c r="BY12" s="54" t="str">
        <f>IF(OR(BO12="",NOT(BQ12=6)),"",BN12*BR12)</f>
        <v/>
      </c>
      <c r="BZ12" s="54" t="str">
        <f>IF(OR(BO12="",NOT(BQ12=7)),"",BN12*BR12)</f>
        <v/>
      </c>
      <c r="CA12" s="54" t="str">
        <f>IF(OR(BO12="",NOT(BQ12=1)),"",BN12*BS12)</f>
        <v/>
      </c>
      <c r="CB12" s="54" t="str">
        <f>IF(OR(BO12="",NOT(BQ12=4)),"",BN12*BS12)</f>
        <v/>
      </c>
      <c r="CC12" s="54" t="str">
        <f>IF(OR(BO12="",NOT(BQ12=5)),"",BN12*BS12)</f>
        <v/>
      </c>
      <c r="CD12" s="54" t="str">
        <f>IF(OR(BO12="",NOT(BQ12=6)),"",BN12*BS12)</f>
        <v/>
      </c>
      <c r="CE12" s="54" t="str">
        <f>IF(OR(BO12="",NOT(BQ12=7)),"",BN12*BS12)</f>
        <v/>
      </c>
      <c r="CF12" s="54"/>
      <c r="CG12"/>
      <c r="CI12" s="989" t="str">
        <f>IF(CJ12=0,"",'#BerechnungDBE'!I129)</f>
        <v/>
      </c>
      <c r="CJ12" s="991">
        <f>_xlfn.AGGREGATE(14,4,'#BerechnungDBE'!$J$129:$J$494,'#BerechnungDBE'!I129)</f>
        <v>0</v>
      </c>
      <c r="CK12" s="1690" t="str">
        <f>IF(CJ12=0,"",VLOOKUP(CJ12,'#BerechnungDBE'!$J$129:$K$494,2,FALSE))</f>
        <v/>
      </c>
      <c r="CL12" s="1691"/>
      <c r="CN12" s="804"/>
    </row>
    <row r="13" spans="1:96" ht="15" customHeight="1" x14ac:dyDescent="0.2">
      <c r="A13" s="384" t="s">
        <v>92</v>
      </c>
      <c r="B13" s="399"/>
      <c r="C13" s="399"/>
      <c r="D13" s="1708">
        <f>'#BerechnungDBE'!M116+'#BerechnungDBE'!M117</f>
        <v>0</v>
      </c>
      <c r="E13" s="1709"/>
      <c r="F13" s="1718">
        <f>'#BerechnungDBE'!N116+'#BerechnungDBE'!N117</f>
        <v>0</v>
      </c>
      <c r="G13" s="1709"/>
      <c r="H13" s="1710">
        <f>IF('#BerechnungDBE'!M116+'#BerechnungDBE'!M117&gt;0,('#BerechnungDBE'!Q116+'#BerechnungDBE'!Q117)/('#BerechnungDBE'!M116+'#BerechnungDBE'!M117),1)</f>
        <v>1</v>
      </c>
      <c r="I13" s="1711"/>
      <c r="J13" s="1010">
        <f>SUM(J14:J16)</f>
        <v>0</v>
      </c>
      <c r="K13" s="1000"/>
      <c r="L13" s="1001"/>
      <c r="M13" s="1002"/>
      <c r="N13" s="1010">
        <f>N14+N15+N16</f>
        <v>0</v>
      </c>
      <c r="O13" s="996"/>
      <c r="P13" s="954"/>
      <c r="S13" s="592">
        <f>IF(AND(S9=1,L12=S20,O12=S20),1,2)</f>
        <v>1</v>
      </c>
      <c r="W13" s="980" t="str">
        <f>IF(Y13="","",'#orgDung'!AE136)</f>
        <v/>
      </c>
      <c r="X13" s="986" t="str">
        <f>IF(Y13="","",VLOOKUP(Y13,'#orgDung'!$AF$135:$AG$187,'#orgDung'!$AG$133,FALSE))</f>
        <v/>
      </c>
      <c r="Y13" s="987" t="str">
        <f>'#orgDung'!AB136</f>
        <v/>
      </c>
      <c r="Z13" s="981" t="str">
        <f>IF(Y13="","",VLOOKUP(Y13,Tab_org21[[Dünger]:[anrechenbarer N bei DBE Grünland]],'#org22'!$L$1,FALSE))</f>
        <v/>
      </c>
      <c r="AA13" s="608" t="str">
        <f>IF(Y13="","",VLOOKUP(Y13,Tab_org21[[Dünger]:[anrechenbarer N bei DBE Grünland]],'#org22'!$D$1,FALSE))</f>
        <v/>
      </c>
      <c r="AB13" s="570" t="str">
        <f>IF(Y13="","",VLOOKUP(Y13,Tab_org21[[Dünger]:[anrechenbarer N bei DBE Grünland]],'#org22'!$P$1,FALSE))</f>
        <v/>
      </c>
      <c r="AC13" s="570" t="str">
        <f>IF(Y13="","",VLOOKUP(Y13,Tab_org21[[Dünger]:[anrechenbarer N bei DBE Grünland]],'#org22'!$Q$1,FALSE))</f>
        <v/>
      </c>
      <c r="AD13" s="569" t="str">
        <f>IF(Y13="","",VLOOKUP(Y13,Tab_org21[[Dünger]:[anrechenbarer N bei DBE Grünland]],'#org22'!$W$1,FALSE))</f>
        <v/>
      </c>
      <c r="AE13" s="570" t="str">
        <f>IF(Y13="","",VLOOKUP(Y13,Tab_org21[[Dünger]:[anrechenbarer N bei DBE Grünland]],'#org22'!$R$1,FALSE))</f>
        <v/>
      </c>
      <c r="AF13" s="569" t="str">
        <f>IF(Y13="","",VLOOKUP(Y13,Tab_org21[[Dünger]:[anrechenbarer N bei DBE Grünland]],'#org22'!$X$1,FALSE))</f>
        <v/>
      </c>
      <c r="AG13" s="569" t="str">
        <f t="shared" ref="AG13:AG63" si="2">IF(Y13="","",X13*AB13)</f>
        <v/>
      </c>
      <c r="AH13" s="576" t="str">
        <f t="shared" ref="AH13:AH63" si="3">IF(Y13="","",X13*AE13)</f>
        <v/>
      </c>
      <c r="AI13" s="549" t="str">
        <f>IF(OR(Y13="",NOT(OR(Z13=2,Z13=3))),"",X13*AB13*AD13/100)</f>
        <v/>
      </c>
      <c r="AJ13" s="549" t="str">
        <f t="shared" ref="AJ13:AJ63" si="4">IF(OR(Y13="",NOT(OR(Z13=2,Z13=3))),"",X13*AC13*AD13/100)</f>
        <v/>
      </c>
      <c r="AK13" s="549" t="str">
        <f t="shared" ref="AK13:AK63" si="5">IF(OR(Y13="",NOT(OR(Z13=2,Z13=3))),"",X13*AB13*(100-AD13)/100)</f>
        <v/>
      </c>
      <c r="AL13" s="549" t="str">
        <f t="shared" ref="AL13:AL63" si="6">IF(OR(Y13="",NOT(OR(Z13=2,Z13=3))),"",X13*AC13*(100-AD13)/100)</f>
        <v/>
      </c>
      <c r="AM13" s="549" t="str">
        <f t="shared" ref="AM13:AM63" si="7">IF(OR(Y13="",NOT(Z13=4)),"",X13*AB13)</f>
        <v/>
      </c>
      <c r="AN13" s="549" t="str">
        <f t="shared" ref="AN13:AN63" si="8">IF(OR(Y13="",NOT(Z13=5)),"",X13*AB13)</f>
        <v/>
      </c>
      <c r="AO13" s="549" t="str">
        <f t="shared" ref="AO13:AO63" si="9">IF(OR(Y13="",NOT(Z13=6)),"",X13*AB13)</f>
        <v/>
      </c>
      <c r="AP13" s="549" t="str">
        <f t="shared" ref="AP13:AP63" si="10">IF(OR(Y13="",NOT(Z13=7)),"",X13*AB13)</f>
        <v/>
      </c>
      <c r="AQ13" s="549" t="str">
        <f t="shared" ref="AQ13:AQ63" si="11">IF(Y13="","",IF(OR(Z13=2,Z13=3),X13*AE13*AF13/100,""))</f>
        <v/>
      </c>
      <c r="AR13" s="549" t="str">
        <f t="shared" ref="AR13:AR63" si="12">IF(Y13="","",IF(OR(Z13=2,Z13=3),X13*AE13*(100-AF13)/100,""))</f>
        <v/>
      </c>
      <c r="AS13" s="549" t="str">
        <f t="shared" ref="AS13:AS63" si="13">IF(OR(Y13="",NOT(Z13=4)),"",X13*AE13)</f>
        <v/>
      </c>
      <c r="AT13" s="549" t="str">
        <f t="shared" ref="AT13:AT63" si="14">IF(OR(Y13="",NOT(Z13=5)),"",X13*AE13)</f>
        <v/>
      </c>
      <c r="AU13" s="549" t="str">
        <f t="shared" ref="AU13:AU63" si="15">IF(OR(Y13="",NOT(Z13=6)),"",X13*AE13)</f>
        <v/>
      </c>
      <c r="AV13" s="549" t="str">
        <f t="shared" ref="AV13:AV63" si="16">IF(OR(Y13="",NOT(Z13=7)),"",X13*AB13)</f>
        <v/>
      </c>
      <c r="AW13" s="549"/>
      <c r="AX13" s="549" t="str">
        <f t="shared" ref="AX13:AX63" si="17">IF(Y13="","",X13*AB13)</f>
        <v/>
      </c>
      <c r="AY13" s="549" t="str">
        <f>IF(Y13="","",VLOOKUP(Y13,'#orgDung'!$AF$135:$AH$187,'#orgDung'!$AH$133,FALSE))</f>
        <v/>
      </c>
      <c r="AZ13" s="549" t="str">
        <f t="shared" ref="AZ13:AZ57" si="18">IF(AY13="","",AY13*AB13)</f>
        <v/>
      </c>
      <c r="BA13" s="549" t="str">
        <f t="shared" ref="BA13:BA63" si="19">IF(Y13="","",AX13-AZ13)</f>
        <v/>
      </c>
      <c r="BB13" s="549" t="str">
        <f>IF(Y13="","",VLOOKUP(Y13,Tab_org21[[Dünger]:[anrechenbarer N bei DBE Grünland]],'#org22'!$H$1,FALSE))</f>
        <v/>
      </c>
      <c r="BC13" s="549" t="str">
        <f t="shared" ref="BC13:BC57" si="20">IF(BB13=1,AZ13,"")</f>
        <v/>
      </c>
      <c r="BD13" s="549" t="str">
        <f t="shared" ref="BD13:BD63" si="21">IF(Y13="","",IF(BB13=1,BA13,""))</f>
        <v/>
      </c>
      <c r="BE13" s="549" t="str">
        <f>IF(Y13="","",VLOOKUP(Y13,Tab_org21[[Dünger]:[anrechenbarer N bei DBE Grünland]],'#org22'!$Z$1,FALSE))</f>
        <v/>
      </c>
      <c r="BF13" s="549" t="str">
        <f t="shared" ref="BF13:BF57" si="22">IF(BE13&gt;49,AZ13,"")</f>
        <v/>
      </c>
      <c r="BG13" s="549" t="str">
        <f t="shared" ref="BG13:BG63" si="23">IF(Y13="","",IF(BE13&gt;49,BA13,""))</f>
        <v/>
      </c>
      <c r="BH13" s="549"/>
      <c r="BI13" s="549"/>
      <c r="BJ13" s="549"/>
      <c r="BK13" s="551"/>
      <c r="BL13" s="551"/>
      <c r="BM13" s="993" t="str">
        <f>IF(BO13="","",'#minDung'!N127)</f>
        <v/>
      </c>
      <c r="BN13" s="986" t="str">
        <f>IF(BO13="","",VLOOKUP(BO13,'#minDung'!$O$126:$Q$195,'#minDung'!$P$124,FALSE))</f>
        <v/>
      </c>
      <c r="BO13" s="988" t="str">
        <f>'#minDung'!K127</f>
        <v/>
      </c>
      <c r="BP13" s="608" t="str">
        <f>IF(BO13="","",VLOOKUP(BO13,Tab_min[[Mineraldünger]:[Kalkwirkung je 100 kg Dünger]],'#min'!$F$1,FALSE))</f>
        <v/>
      </c>
      <c r="BQ13" s="567" t="str">
        <f>IF(BO13="","",VLOOKUP(BO13,Tab_min[[Mineraldünger]:[Kalkwirkung je 100 kg Dünger]],'#min'!$G$1,FALSE))</f>
        <v/>
      </c>
      <c r="BR13" s="570" t="str">
        <f>IF(BO13="","",VLOOKUP(BO13,Tab_min[[Mineraldünger]:[Kalkwirkung je 100 kg Dünger]],'#min'!$H$1,FALSE))</f>
        <v/>
      </c>
      <c r="BS13" s="570" t="str">
        <f>IF(BO13="","",VLOOKUP(BO13,Tab_min[[Mineraldünger]:[Kalkwirkung je 100 kg Dünger]],'#min'!$J$1,FALSE))</f>
        <v/>
      </c>
      <c r="BT13" s="569" t="str">
        <f t="shared" ref="BT13:BT75" si="24">IF(BO13="","",BN13*BR13)</f>
        <v/>
      </c>
      <c r="BU13" s="576" t="str">
        <f t="shared" ref="BU13:BU75" si="25">IF(BO13="","",BN13*BS13)</f>
        <v/>
      </c>
      <c r="BV13" s="54" t="str">
        <f t="shared" ref="BV13:BV75" si="26">IF(OR(BO13="",NOT(BQ13=1)),"",BN13*BR13)</f>
        <v/>
      </c>
      <c r="BW13" s="54" t="str">
        <f t="shared" ref="BW13:BW75" si="27">IF(OR(BO13="",NOT(BQ13=4)),"",BN13*BR13)</f>
        <v/>
      </c>
      <c r="BX13" s="54" t="str">
        <f t="shared" ref="BX13:BX75" si="28">IF(OR(BO13="",NOT(BQ13=5)),"",BN13*BR13)</f>
        <v/>
      </c>
      <c r="BY13" s="54" t="str">
        <f t="shared" ref="BY13:BY75" si="29">IF(OR(BO13="",NOT(BQ13=6)),"",BN13*BR13)</f>
        <v/>
      </c>
      <c r="BZ13" s="54" t="str">
        <f t="shared" ref="BZ13:BZ75" si="30">IF(OR(BO13="",NOT(BQ13=7)),"",BN13*BR13)</f>
        <v/>
      </c>
      <c r="CA13" s="54" t="str">
        <f t="shared" ref="CA13:CA75" si="31">IF(OR(BO13="",NOT(BQ13=1)),"",BN13*BS13)</f>
        <v/>
      </c>
      <c r="CB13" s="54" t="str">
        <f t="shared" ref="CB13:CB75" si="32">IF(OR(BO13="",NOT(BQ13=4)),"",BN13*BS13)</f>
        <v/>
      </c>
      <c r="CC13" s="54" t="str">
        <f t="shared" ref="CC13:CC75" si="33">IF(OR(BO13="",NOT(BQ13=5)),"",BN13*BS13)</f>
        <v/>
      </c>
      <c r="CD13" s="54" t="str">
        <f t="shared" ref="CD13:CD75" si="34">IF(OR(BO13="",NOT(BQ13=6)),"",BN13*BS13)</f>
        <v/>
      </c>
      <c r="CE13" s="54" t="str">
        <f t="shared" ref="CE13:CE75" si="35">IF(OR(BO13="",NOT(BQ13=7)),"",BN13*BS13)</f>
        <v/>
      </c>
      <c r="CF13" s="54"/>
      <c r="CG13"/>
      <c r="CI13" s="993" t="str">
        <f>IF(CJ13=0,"",'#BerechnungDBE'!I130)</f>
        <v/>
      </c>
      <c r="CJ13" s="992">
        <f>_xlfn.AGGREGATE(14,4,'#BerechnungDBE'!$J$129:$J$494,'#BerechnungDBE'!I130)</f>
        <v>0</v>
      </c>
      <c r="CK13" s="1667" t="str">
        <f>IF(CJ13=0,"",VLOOKUP(CJ13,'#BerechnungDBE'!$J$129:$K$494,2,FALSE))</f>
        <v/>
      </c>
      <c r="CL13" s="1668"/>
    </row>
    <row r="14" spans="1:96" ht="15" customHeight="1" x14ac:dyDescent="0.2">
      <c r="A14" s="384" t="s">
        <v>710</v>
      </c>
      <c r="B14" s="399"/>
      <c r="C14" s="399"/>
      <c r="D14" s="1752">
        <f>D13</f>
        <v>0</v>
      </c>
      <c r="E14" s="1753"/>
      <c r="F14" s="1771">
        <f>F13</f>
        <v>0</v>
      </c>
      <c r="G14" s="1753"/>
      <c r="H14" s="1754"/>
      <c r="I14" s="1755"/>
      <c r="J14" s="1013">
        <f>'#orgDung'!U9</f>
        <v>0</v>
      </c>
      <c r="K14" s="1007"/>
      <c r="L14" s="997"/>
      <c r="M14" s="1007"/>
      <c r="N14" s="1013">
        <f>'#minDung'!O6</f>
        <v>0</v>
      </c>
      <c r="O14" s="997"/>
      <c r="P14" s="955"/>
      <c r="S14" s="251" t="s">
        <v>335</v>
      </c>
      <c r="W14" s="980" t="str">
        <f>IF(Y14="","",'#orgDung'!AE137)</f>
        <v/>
      </c>
      <c r="X14" s="986" t="str">
        <f>IF(Y14="","",VLOOKUP(Y14,'#orgDung'!$AF$135:$AG$187,'#orgDung'!$AG$133,FALSE))</f>
        <v/>
      </c>
      <c r="Y14" s="987" t="str">
        <f>'#orgDung'!AB137</f>
        <v/>
      </c>
      <c r="Z14" s="981" t="str">
        <f>IF(Y14="","",VLOOKUP(Y14,Tab_org21[[Dünger]:[anrechenbarer N bei DBE Grünland]],'#org22'!$L$1,FALSE))</f>
        <v/>
      </c>
      <c r="AA14" s="608" t="str">
        <f>IF(Y14="","",VLOOKUP(Y14,Tab_org21[[Dünger]:[anrechenbarer N bei DBE Grünland]],'#org22'!$D$1,FALSE))</f>
        <v/>
      </c>
      <c r="AB14" s="570" t="str">
        <f>IF(Y14="","",VLOOKUP(Y14,Tab_org21[[Dünger]:[anrechenbarer N bei DBE Grünland]],'#org22'!$P$1,FALSE))</f>
        <v/>
      </c>
      <c r="AC14" s="570" t="str">
        <f>IF(Y14="","",VLOOKUP(Y14,Tab_org21[[Dünger]:[anrechenbarer N bei DBE Grünland]],'#org22'!$Q$1,FALSE))</f>
        <v/>
      </c>
      <c r="AD14" s="569" t="str">
        <f>IF(Y14="","",VLOOKUP(Y14,Tab_org21[[Dünger]:[anrechenbarer N bei DBE Grünland]],'#org22'!$W$1,FALSE))</f>
        <v/>
      </c>
      <c r="AE14" s="570" t="str">
        <f>IF(Y14="","",VLOOKUP(Y14,Tab_org21[[Dünger]:[anrechenbarer N bei DBE Grünland]],'#org22'!$R$1,FALSE))</f>
        <v/>
      </c>
      <c r="AF14" s="569" t="str">
        <f>IF(Y14="","",VLOOKUP(Y14,Tab_org21[[Dünger]:[anrechenbarer N bei DBE Grünland]],'#org22'!$X$1,FALSE))</f>
        <v/>
      </c>
      <c r="AG14" s="569" t="str">
        <f t="shared" si="2"/>
        <v/>
      </c>
      <c r="AH14" s="576" t="str">
        <f t="shared" si="3"/>
        <v/>
      </c>
      <c r="AI14" s="549" t="str">
        <f t="shared" ref="AI14:AI63" si="36">IF(OR(Y14="",NOT(OR(Z14=2,Z14=3))),"",X14*AB14*AD14/100)</f>
        <v/>
      </c>
      <c r="AJ14" s="549" t="str">
        <f t="shared" si="4"/>
        <v/>
      </c>
      <c r="AK14" s="549" t="str">
        <f t="shared" si="5"/>
        <v/>
      </c>
      <c r="AL14" s="549" t="str">
        <f t="shared" si="6"/>
        <v/>
      </c>
      <c r="AM14" s="549" t="str">
        <f t="shared" si="7"/>
        <v/>
      </c>
      <c r="AN14" s="549" t="str">
        <f t="shared" si="8"/>
        <v/>
      </c>
      <c r="AO14" s="549" t="str">
        <f t="shared" si="9"/>
        <v/>
      </c>
      <c r="AP14" s="549" t="str">
        <f t="shared" si="10"/>
        <v/>
      </c>
      <c r="AQ14" s="549" t="str">
        <f t="shared" si="11"/>
        <v/>
      </c>
      <c r="AR14" s="549" t="str">
        <f t="shared" si="12"/>
        <v/>
      </c>
      <c r="AS14" s="549" t="str">
        <f t="shared" si="13"/>
        <v/>
      </c>
      <c r="AT14" s="549" t="str">
        <f t="shared" si="14"/>
        <v/>
      </c>
      <c r="AU14" s="549" t="str">
        <f t="shared" si="15"/>
        <v/>
      </c>
      <c r="AV14" s="549" t="str">
        <f t="shared" si="16"/>
        <v/>
      </c>
      <c r="AW14" s="549"/>
      <c r="AX14" s="549" t="str">
        <f t="shared" si="17"/>
        <v/>
      </c>
      <c r="AY14" s="549" t="str">
        <f>IF(Y14="","",VLOOKUP(Y14,'#orgDung'!$AF$135:$AH$187,'#orgDung'!$AH$133,FALSE))</f>
        <v/>
      </c>
      <c r="AZ14" s="549" t="str">
        <f t="shared" si="18"/>
        <v/>
      </c>
      <c r="BA14" s="549" t="str">
        <f t="shared" si="19"/>
        <v/>
      </c>
      <c r="BB14" s="549" t="str">
        <f>IF(Y14="","",VLOOKUP(Y14,Tab_org21[[Dünger]:[anrechenbarer N bei DBE Grünland]],'#org22'!$H$1,FALSE))</f>
        <v/>
      </c>
      <c r="BC14" s="549" t="str">
        <f t="shared" si="20"/>
        <v/>
      </c>
      <c r="BD14" s="549" t="str">
        <f t="shared" si="21"/>
        <v/>
      </c>
      <c r="BE14" s="549" t="str">
        <f>IF(Y14="","",VLOOKUP(Y14,Tab_org21[[Dünger]:[anrechenbarer N bei DBE Grünland]],'#org22'!$Z$1,FALSE))</f>
        <v/>
      </c>
      <c r="BF14" s="549" t="str">
        <f t="shared" si="22"/>
        <v/>
      </c>
      <c r="BG14" s="549" t="str">
        <f t="shared" si="23"/>
        <v/>
      </c>
      <c r="BH14" s="549"/>
      <c r="BI14" s="549"/>
      <c r="BJ14" s="549"/>
      <c r="BK14" s="551"/>
      <c r="BL14" s="551"/>
      <c r="BM14" s="993" t="str">
        <f>IF(BO14="","",'#minDung'!N128)</f>
        <v/>
      </c>
      <c r="BN14" s="986" t="str">
        <f>IF(BO14="","",VLOOKUP(BO14,'#minDung'!$O$126:$Q$195,'#minDung'!$P$124,FALSE))</f>
        <v/>
      </c>
      <c r="BO14" s="988" t="str">
        <f>'#minDung'!K128</f>
        <v/>
      </c>
      <c r="BP14" s="608" t="str">
        <f>IF(BO14="","",VLOOKUP(BO14,Tab_min[[Mineraldünger]:[Kalkwirkung je 100 kg Dünger]],'#min'!$F$1,FALSE))</f>
        <v/>
      </c>
      <c r="BQ14" s="567" t="str">
        <f>IF(BO14="","",VLOOKUP(BO14,Tab_min[[Mineraldünger]:[Kalkwirkung je 100 kg Dünger]],'#min'!$G$1,FALSE))</f>
        <v/>
      </c>
      <c r="BR14" s="570" t="str">
        <f>IF(BO14="","",VLOOKUP(BO14,Tab_min[[Mineraldünger]:[Kalkwirkung je 100 kg Dünger]],'#min'!$H$1,FALSE))</f>
        <v/>
      </c>
      <c r="BS14" s="570" t="str">
        <f>IF(BO14="","",VLOOKUP(BO14,Tab_min[[Mineraldünger]:[Kalkwirkung je 100 kg Dünger]],'#min'!$J$1,FALSE))</f>
        <v/>
      </c>
      <c r="BT14" s="569" t="str">
        <f t="shared" si="24"/>
        <v/>
      </c>
      <c r="BU14" s="576" t="str">
        <f t="shared" si="25"/>
        <v/>
      </c>
      <c r="BV14" s="54" t="str">
        <f t="shared" si="26"/>
        <v/>
      </c>
      <c r="BW14" s="54" t="str">
        <f t="shared" si="27"/>
        <v/>
      </c>
      <c r="BX14" s="54" t="str">
        <f t="shared" si="28"/>
        <v/>
      </c>
      <c r="BY14" s="54" t="str">
        <f t="shared" si="29"/>
        <v/>
      </c>
      <c r="BZ14" s="54" t="str">
        <f t="shared" si="30"/>
        <v/>
      </c>
      <c r="CA14" s="54" t="str">
        <f t="shared" si="31"/>
        <v/>
      </c>
      <c r="CB14" s="54" t="str">
        <f t="shared" si="32"/>
        <v/>
      </c>
      <c r="CC14" s="54" t="str">
        <f t="shared" si="33"/>
        <v/>
      </c>
      <c r="CD14" s="54" t="str">
        <f t="shared" si="34"/>
        <v/>
      </c>
      <c r="CE14" s="54" t="str">
        <f t="shared" si="35"/>
        <v/>
      </c>
      <c r="CF14" s="54"/>
      <c r="CG14"/>
      <c r="CI14" s="993" t="str">
        <f>IF(CJ14=0,"",'#BerechnungDBE'!I131)</f>
        <v/>
      </c>
      <c r="CJ14" s="992">
        <f>_xlfn.AGGREGATE(14,4,'#BerechnungDBE'!$J$129:$J$494,'#BerechnungDBE'!I131)</f>
        <v>0</v>
      </c>
      <c r="CK14" s="1667" t="str">
        <f>IF(CJ14=0,"",VLOOKUP(CJ14,'#BerechnungDBE'!$J$129:$K$494,2,FALSE))</f>
        <v/>
      </c>
      <c r="CL14" s="1668"/>
    </row>
    <row r="15" spans="1:96" ht="15" customHeight="1" x14ac:dyDescent="0.2">
      <c r="A15" s="400" t="s">
        <v>145</v>
      </c>
      <c r="B15" s="399"/>
      <c r="C15" s="399"/>
      <c r="D15" s="1758">
        <f>'#BerechnungDBE'!M121</f>
        <v>0</v>
      </c>
      <c r="E15" s="1759"/>
      <c r="F15" s="1712">
        <f>'#BerechnungDBE'!N121</f>
        <v>0</v>
      </c>
      <c r="G15" s="1713"/>
      <c r="H15" s="1716"/>
      <c r="I15" s="1717"/>
      <c r="J15" s="1011">
        <f>'#orgDung'!AC10</f>
        <v>0</v>
      </c>
      <c r="K15" s="1003"/>
      <c r="L15" s="1004"/>
      <c r="M15" s="1002"/>
      <c r="N15" s="1011">
        <f>'#minDung'!R7</f>
        <v>0</v>
      </c>
      <c r="O15" s="998"/>
      <c r="P15" s="956"/>
      <c r="S15" s="592">
        <f>IF(AND(H12=1,L12=S20,O12=S20),1,2)</f>
        <v>1</v>
      </c>
      <c r="W15" s="980" t="str">
        <f>IF(Y15="","",'#orgDung'!AE138)</f>
        <v/>
      </c>
      <c r="X15" s="986" t="str">
        <f>IF(Y15="","",VLOOKUP(Y15,'#orgDung'!$AF$135:$AG$187,'#orgDung'!$AG$133,FALSE))</f>
        <v/>
      </c>
      <c r="Y15" s="987" t="str">
        <f>'#orgDung'!AB138</f>
        <v/>
      </c>
      <c r="Z15" s="981" t="str">
        <f>IF(Y15="","",VLOOKUP(Y15,Tab_org21[[Dünger]:[anrechenbarer N bei DBE Grünland]],'#org22'!$L$1,FALSE))</f>
        <v/>
      </c>
      <c r="AA15" s="608" t="str">
        <f>IF(Y15="","",VLOOKUP(Y15,Tab_org21[[Dünger]:[anrechenbarer N bei DBE Grünland]],'#org22'!$D$1,FALSE))</f>
        <v/>
      </c>
      <c r="AB15" s="570" t="str">
        <f>IF(Y15="","",VLOOKUP(Y15,Tab_org21[[Dünger]:[anrechenbarer N bei DBE Grünland]],'#org22'!$P$1,FALSE))</f>
        <v/>
      </c>
      <c r="AC15" s="570" t="str">
        <f>IF(Y15="","",VLOOKUP(Y15,Tab_org21[[Dünger]:[anrechenbarer N bei DBE Grünland]],'#org22'!$Q$1,FALSE))</f>
        <v/>
      </c>
      <c r="AD15" s="569" t="str">
        <f>IF(Y15="","",VLOOKUP(Y15,Tab_org21[[Dünger]:[anrechenbarer N bei DBE Grünland]],'#org22'!$W$1,FALSE))</f>
        <v/>
      </c>
      <c r="AE15" s="570" t="str">
        <f>IF(Y15="","",VLOOKUP(Y15,Tab_org21[[Dünger]:[anrechenbarer N bei DBE Grünland]],'#org22'!$R$1,FALSE))</f>
        <v/>
      </c>
      <c r="AF15" s="569" t="str">
        <f>IF(Y15="","",VLOOKUP(Y15,Tab_org21[[Dünger]:[anrechenbarer N bei DBE Grünland]],'#org22'!$X$1,FALSE))</f>
        <v/>
      </c>
      <c r="AG15" s="569" t="str">
        <f t="shared" si="2"/>
        <v/>
      </c>
      <c r="AH15" s="576" t="str">
        <f t="shared" si="3"/>
        <v/>
      </c>
      <c r="AI15" s="549" t="str">
        <f t="shared" si="36"/>
        <v/>
      </c>
      <c r="AJ15" s="549" t="str">
        <f t="shared" si="4"/>
        <v/>
      </c>
      <c r="AK15" s="549" t="str">
        <f t="shared" si="5"/>
        <v/>
      </c>
      <c r="AL15" s="549" t="str">
        <f t="shared" si="6"/>
        <v/>
      </c>
      <c r="AM15" s="549" t="str">
        <f t="shared" si="7"/>
        <v/>
      </c>
      <c r="AN15" s="549" t="str">
        <f t="shared" si="8"/>
        <v/>
      </c>
      <c r="AO15" s="549" t="str">
        <f t="shared" si="9"/>
        <v/>
      </c>
      <c r="AP15" s="549" t="str">
        <f t="shared" si="10"/>
        <v/>
      </c>
      <c r="AQ15" s="549" t="str">
        <f t="shared" si="11"/>
        <v/>
      </c>
      <c r="AR15" s="549" t="str">
        <f t="shared" si="12"/>
        <v/>
      </c>
      <c r="AS15" s="549" t="str">
        <f t="shared" si="13"/>
        <v/>
      </c>
      <c r="AT15" s="549" t="str">
        <f t="shared" si="14"/>
        <v/>
      </c>
      <c r="AU15" s="549" t="str">
        <f t="shared" si="15"/>
        <v/>
      </c>
      <c r="AV15" s="549" t="str">
        <f t="shared" si="16"/>
        <v/>
      </c>
      <c r="AW15" s="549"/>
      <c r="AX15" s="549" t="str">
        <f t="shared" si="17"/>
        <v/>
      </c>
      <c r="AY15" s="549" t="str">
        <f>IF(Y15="","",VLOOKUP(Y15,'#orgDung'!$AF$135:$AH$187,'#orgDung'!$AH$133,FALSE))</f>
        <v/>
      </c>
      <c r="AZ15" s="549" t="str">
        <f t="shared" si="18"/>
        <v/>
      </c>
      <c r="BA15" s="549" t="str">
        <f t="shared" si="19"/>
        <v/>
      </c>
      <c r="BB15" s="549" t="str">
        <f>IF(Y15="","",VLOOKUP(Y15,Tab_org21[[Dünger]:[anrechenbarer N bei DBE Grünland]],'#org22'!$H$1,FALSE))</f>
        <v/>
      </c>
      <c r="BC15" s="549" t="str">
        <f t="shared" si="20"/>
        <v/>
      </c>
      <c r="BD15" s="549" t="str">
        <f t="shared" si="21"/>
        <v/>
      </c>
      <c r="BE15" s="549" t="str">
        <f>IF(Y15="","",VLOOKUP(Y15,Tab_org21[[Dünger]:[anrechenbarer N bei DBE Grünland]],'#org22'!$Z$1,FALSE))</f>
        <v/>
      </c>
      <c r="BF15" s="549" t="str">
        <f t="shared" si="22"/>
        <v/>
      </c>
      <c r="BG15" s="549" t="str">
        <f t="shared" si="23"/>
        <v/>
      </c>
      <c r="BH15" s="549"/>
      <c r="BI15" s="549"/>
      <c r="BJ15" s="549"/>
      <c r="BK15" s="551"/>
      <c r="BL15" s="551"/>
      <c r="BM15" s="993" t="str">
        <f>IF(BO15="","",'#minDung'!N129)</f>
        <v/>
      </c>
      <c r="BN15" s="986" t="str">
        <f>IF(BO15="","",VLOOKUP(BO15,'#minDung'!$O$126:$Q$195,'#minDung'!$P$124,FALSE))</f>
        <v/>
      </c>
      <c r="BO15" s="988" t="str">
        <f>'#minDung'!K129</f>
        <v/>
      </c>
      <c r="BP15" s="608" t="str">
        <f>IF(BO15="","",VLOOKUP(BO15,Tab_min[[Mineraldünger]:[Kalkwirkung je 100 kg Dünger]],'#min'!$F$1,FALSE))</f>
        <v/>
      </c>
      <c r="BQ15" s="567" t="str">
        <f>IF(BO15="","",VLOOKUP(BO15,Tab_min[[Mineraldünger]:[Kalkwirkung je 100 kg Dünger]],'#min'!$G$1,FALSE))</f>
        <v/>
      </c>
      <c r="BR15" s="570" t="str">
        <f>IF(BO15="","",VLOOKUP(BO15,Tab_min[[Mineraldünger]:[Kalkwirkung je 100 kg Dünger]],'#min'!$H$1,FALSE))</f>
        <v/>
      </c>
      <c r="BS15" s="570" t="str">
        <f>IF(BO15="","",VLOOKUP(BO15,Tab_min[[Mineraldünger]:[Kalkwirkung je 100 kg Dünger]],'#min'!$J$1,FALSE))</f>
        <v/>
      </c>
      <c r="BT15" s="569" t="str">
        <f t="shared" si="24"/>
        <v/>
      </c>
      <c r="BU15" s="576" t="str">
        <f t="shared" si="25"/>
        <v/>
      </c>
      <c r="BV15" s="54" t="str">
        <f t="shared" si="26"/>
        <v/>
      </c>
      <c r="BW15" s="54" t="str">
        <f t="shared" si="27"/>
        <v/>
      </c>
      <c r="BX15" s="54" t="str">
        <f t="shared" si="28"/>
        <v/>
      </c>
      <c r="BY15" s="54" t="str">
        <f t="shared" si="29"/>
        <v/>
      </c>
      <c r="BZ15" s="54" t="str">
        <f t="shared" si="30"/>
        <v/>
      </c>
      <c r="CA15" s="54" t="str">
        <f t="shared" si="31"/>
        <v/>
      </c>
      <c r="CB15" s="54" t="str">
        <f t="shared" si="32"/>
        <v/>
      </c>
      <c r="CC15" s="54" t="str">
        <f t="shared" si="33"/>
        <v/>
      </c>
      <c r="CD15" s="54" t="str">
        <f t="shared" si="34"/>
        <v/>
      </c>
      <c r="CE15" s="54" t="str">
        <f t="shared" si="35"/>
        <v/>
      </c>
      <c r="CF15" s="54"/>
      <c r="CG15"/>
      <c r="CI15" s="993" t="str">
        <f>IF(CJ15=0,"",'#BerechnungDBE'!I132)</f>
        <v/>
      </c>
      <c r="CJ15" s="992">
        <f>_xlfn.AGGREGATE(14,4,'#BerechnungDBE'!$J$129:$J$494,'#BerechnungDBE'!I132)</f>
        <v>0</v>
      </c>
      <c r="CK15" s="1667" t="str">
        <f>IF(CJ15=0,"",VLOOKUP(CJ15,'#BerechnungDBE'!$J$129:$K$494,2,FALSE))</f>
        <v/>
      </c>
      <c r="CL15" s="1668"/>
    </row>
    <row r="16" spans="1:96" ht="15" customHeight="1" x14ac:dyDescent="0.2">
      <c r="A16" s="400" t="s">
        <v>146</v>
      </c>
      <c r="B16" s="399"/>
      <c r="C16" s="399"/>
      <c r="D16" s="1752">
        <f>'#BerechnungDBE'!M120</f>
        <v>0</v>
      </c>
      <c r="E16" s="1753"/>
      <c r="F16" s="1714">
        <f>'#BerechnungDBE'!N120</f>
        <v>0</v>
      </c>
      <c r="G16" s="1715"/>
      <c r="H16" s="1756"/>
      <c r="I16" s="1757"/>
      <c r="J16" s="1013">
        <f>'#orgDung'!AC9</f>
        <v>0</v>
      </c>
      <c r="K16" s="1009"/>
      <c r="L16" s="1008"/>
      <c r="M16" s="1007"/>
      <c r="N16" s="1013">
        <f>'#minDung'!R6</f>
        <v>0</v>
      </c>
      <c r="O16" s="997"/>
      <c r="P16" s="957"/>
      <c r="S16" s="596" t="s">
        <v>713</v>
      </c>
      <c r="W16" s="980" t="str">
        <f>IF(Y16="","",'#orgDung'!AE139)</f>
        <v/>
      </c>
      <c r="X16" s="986" t="str">
        <f>IF(Y16="","",VLOOKUP(Y16,'#orgDung'!$AF$135:$AG$187,'#orgDung'!$AG$133,FALSE))</f>
        <v/>
      </c>
      <c r="Y16" s="987" t="str">
        <f>'#orgDung'!AB139</f>
        <v/>
      </c>
      <c r="Z16" s="981" t="str">
        <f>IF(Y16="","",VLOOKUP(Y16,Tab_org21[[Dünger]:[anrechenbarer N bei DBE Grünland]],'#org22'!$L$1,FALSE))</f>
        <v/>
      </c>
      <c r="AA16" s="608" t="str">
        <f>IF(Y16="","",VLOOKUP(Y16,Tab_org21[[Dünger]:[anrechenbarer N bei DBE Grünland]],'#org22'!$D$1,FALSE))</f>
        <v/>
      </c>
      <c r="AB16" s="570" t="str">
        <f>IF(Y16="","",VLOOKUP(Y16,Tab_org21[[Dünger]:[anrechenbarer N bei DBE Grünland]],'#org22'!$P$1,FALSE))</f>
        <v/>
      </c>
      <c r="AC16" s="570" t="str">
        <f>IF(Y16="","",VLOOKUP(Y16,Tab_org21[[Dünger]:[anrechenbarer N bei DBE Grünland]],'#org22'!$Q$1,FALSE))</f>
        <v/>
      </c>
      <c r="AD16" s="569" t="str">
        <f>IF(Y16="","",VLOOKUP(Y16,Tab_org21[[Dünger]:[anrechenbarer N bei DBE Grünland]],'#org22'!$W$1,FALSE))</f>
        <v/>
      </c>
      <c r="AE16" s="570" t="str">
        <f>IF(Y16="","",VLOOKUP(Y16,Tab_org21[[Dünger]:[anrechenbarer N bei DBE Grünland]],'#org22'!$R$1,FALSE))</f>
        <v/>
      </c>
      <c r="AF16" s="569" t="str">
        <f>IF(Y16="","",VLOOKUP(Y16,Tab_org21[[Dünger]:[anrechenbarer N bei DBE Grünland]],'#org22'!$X$1,FALSE))</f>
        <v/>
      </c>
      <c r="AG16" s="569" t="str">
        <f t="shared" si="2"/>
        <v/>
      </c>
      <c r="AH16" s="576" t="str">
        <f t="shared" si="3"/>
        <v/>
      </c>
      <c r="AI16" s="549" t="str">
        <f t="shared" si="36"/>
        <v/>
      </c>
      <c r="AJ16" s="549" t="str">
        <f t="shared" si="4"/>
        <v/>
      </c>
      <c r="AK16" s="549" t="str">
        <f t="shared" si="5"/>
        <v/>
      </c>
      <c r="AL16" s="549" t="str">
        <f t="shared" si="6"/>
        <v/>
      </c>
      <c r="AM16" s="549" t="str">
        <f t="shared" si="7"/>
        <v/>
      </c>
      <c r="AN16" s="549" t="str">
        <f t="shared" si="8"/>
        <v/>
      </c>
      <c r="AO16" s="549" t="str">
        <f t="shared" si="9"/>
        <v/>
      </c>
      <c r="AP16" s="549" t="str">
        <f t="shared" si="10"/>
        <v/>
      </c>
      <c r="AQ16" s="549" t="str">
        <f t="shared" si="11"/>
        <v/>
      </c>
      <c r="AR16" s="549" t="str">
        <f t="shared" si="12"/>
        <v/>
      </c>
      <c r="AS16" s="549" t="str">
        <f t="shared" si="13"/>
        <v/>
      </c>
      <c r="AT16" s="549" t="str">
        <f t="shared" si="14"/>
        <v/>
      </c>
      <c r="AU16" s="549" t="str">
        <f t="shared" si="15"/>
        <v/>
      </c>
      <c r="AV16" s="549" t="str">
        <f t="shared" si="16"/>
        <v/>
      </c>
      <c r="AW16" s="549"/>
      <c r="AX16" s="549" t="str">
        <f t="shared" si="17"/>
        <v/>
      </c>
      <c r="AY16" s="549" t="str">
        <f>IF(Y16="","",VLOOKUP(Y16,'#orgDung'!$AF$135:$AH$187,'#orgDung'!$AH$133,FALSE))</f>
        <v/>
      </c>
      <c r="AZ16" s="549" t="str">
        <f t="shared" si="18"/>
        <v/>
      </c>
      <c r="BA16" s="549" t="str">
        <f t="shared" si="19"/>
        <v/>
      </c>
      <c r="BB16" s="549" t="str">
        <f>IF(Y16="","",VLOOKUP(Y16,Tab_org21[[Dünger]:[anrechenbarer N bei DBE Grünland]],'#org22'!$H$1,FALSE))</f>
        <v/>
      </c>
      <c r="BC16" s="549" t="str">
        <f t="shared" si="20"/>
        <v/>
      </c>
      <c r="BD16" s="549" t="str">
        <f t="shared" si="21"/>
        <v/>
      </c>
      <c r="BE16" s="549" t="str">
        <f>IF(Y16="","",VLOOKUP(Y16,Tab_org21[[Dünger]:[anrechenbarer N bei DBE Grünland]],'#org22'!$Z$1,FALSE))</f>
        <v/>
      </c>
      <c r="BF16" s="549" t="str">
        <f t="shared" si="22"/>
        <v/>
      </c>
      <c r="BG16" s="549" t="str">
        <f t="shared" si="23"/>
        <v/>
      </c>
      <c r="BH16" s="549"/>
      <c r="BI16" s="549"/>
      <c r="BJ16" s="549"/>
      <c r="BK16" s="551"/>
      <c r="BL16" s="551"/>
      <c r="BM16" s="993" t="str">
        <f>IF(BO16="","",'#minDung'!N130)</f>
        <v/>
      </c>
      <c r="BN16" s="986" t="str">
        <f>IF(BO16="","",VLOOKUP(BO16,'#minDung'!$O$126:$Q$195,'#minDung'!$P$124,FALSE))</f>
        <v/>
      </c>
      <c r="BO16" s="988" t="str">
        <f>'#minDung'!K130</f>
        <v/>
      </c>
      <c r="BP16" s="608" t="str">
        <f>IF(BO16="","",VLOOKUP(BO16,Tab_min[[Mineraldünger]:[Kalkwirkung je 100 kg Dünger]],'#min'!$F$1,FALSE))</f>
        <v/>
      </c>
      <c r="BQ16" s="567" t="str">
        <f>IF(BO16="","",VLOOKUP(BO16,Tab_min[[Mineraldünger]:[Kalkwirkung je 100 kg Dünger]],'#min'!$G$1,FALSE))</f>
        <v/>
      </c>
      <c r="BR16" s="570" t="str">
        <f>IF(BO16="","",VLOOKUP(BO16,Tab_min[[Mineraldünger]:[Kalkwirkung je 100 kg Dünger]],'#min'!$H$1,FALSE))</f>
        <v/>
      </c>
      <c r="BS16" s="570" t="str">
        <f>IF(BO16="","",VLOOKUP(BO16,Tab_min[[Mineraldünger]:[Kalkwirkung je 100 kg Dünger]],'#min'!$J$1,FALSE))</f>
        <v/>
      </c>
      <c r="BT16" s="569" t="str">
        <f t="shared" si="24"/>
        <v/>
      </c>
      <c r="BU16" s="576" t="str">
        <f t="shared" si="25"/>
        <v/>
      </c>
      <c r="BV16" s="54" t="str">
        <f t="shared" si="26"/>
        <v/>
      </c>
      <c r="BW16" s="54" t="str">
        <f t="shared" si="27"/>
        <v/>
      </c>
      <c r="BX16" s="54" t="str">
        <f t="shared" si="28"/>
        <v/>
      </c>
      <c r="BY16" s="54" t="str">
        <f t="shared" si="29"/>
        <v/>
      </c>
      <c r="BZ16" s="54" t="str">
        <f t="shared" si="30"/>
        <v/>
      </c>
      <c r="CA16" s="54" t="str">
        <f t="shared" si="31"/>
        <v/>
      </c>
      <c r="CB16" s="54" t="str">
        <f t="shared" si="32"/>
        <v/>
      </c>
      <c r="CC16" s="54" t="str">
        <f t="shared" si="33"/>
        <v/>
      </c>
      <c r="CD16" s="54" t="str">
        <f t="shared" si="34"/>
        <v/>
      </c>
      <c r="CE16" s="54" t="str">
        <f t="shared" si="35"/>
        <v/>
      </c>
      <c r="CF16" s="54"/>
      <c r="CG16"/>
      <c r="CI16" s="993" t="str">
        <f>IF(CJ16=0,"",'#BerechnungDBE'!I133)</f>
        <v/>
      </c>
      <c r="CJ16" s="992">
        <f>_xlfn.AGGREGATE(14,4,'#BerechnungDBE'!$J$129:$J$494,'#BerechnungDBE'!I133)</f>
        <v>0</v>
      </c>
      <c r="CK16" s="1667" t="str">
        <f>IF(CJ16=0,"",VLOOKUP(CJ16,'#BerechnungDBE'!$J$129:$K$494,2,FALSE))</f>
        <v/>
      </c>
      <c r="CL16" s="1668"/>
    </row>
    <row r="17" spans="1:90" ht="15" customHeight="1" thickBot="1" x14ac:dyDescent="0.25">
      <c r="A17" s="385" t="s">
        <v>15</v>
      </c>
      <c r="B17" s="401"/>
      <c r="C17" s="401"/>
      <c r="D17" s="1774">
        <f>'#BerechnungDBE'!M118</f>
        <v>0</v>
      </c>
      <c r="E17" s="1773"/>
      <c r="F17" s="1772">
        <f>'#BerechnungDBE'!N118</f>
        <v>0</v>
      </c>
      <c r="G17" s="1773"/>
      <c r="H17" s="1775">
        <f>IF('#BerechnungDBE'!M118&gt;0,'#BerechnungDBE'!Q118/'#BerechnungDBE'!M118,1)</f>
        <v>1</v>
      </c>
      <c r="I17" s="1776"/>
      <c r="J17" s="1012">
        <f>'#orgDung'!U10</f>
        <v>0</v>
      </c>
      <c r="K17" s="1006"/>
      <c r="L17" s="1005"/>
      <c r="M17" s="1002"/>
      <c r="N17" s="1012">
        <f>'#minDung'!O7</f>
        <v>0</v>
      </c>
      <c r="O17" s="999"/>
      <c r="P17" s="958"/>
      <c r="S17" s="592" t="s">
        <v>712</v>
      </c>
      <c r="W17" s="980" t="str">
        <f>IF(Y17="","",'#orgDung'!AE140)</f>
        <v/>
      </c>
      <c r="X17" s="986" t="str">
        <f>IF(Y17="","",VLOOKUP(Y17,'#orgDung'!$AF$135:$AG$187,'#orgDung'!$AG$133,FALSE))</f>
        <v/>
      </c>
      <c r="Y17" s="987" t="str">
        <f>'#orgDung'!AB140</f>
        <v/>
      </c>
      <c r="Z17" s="981" t="str">
        <f>IF(Y17="","",VLOOKUP(Y17,Tab_org21[[Dünger]:[anrechenbarer N bei DBE Grünland]],'#org22'!$L$1,FALSE))</f>
        <v/>
      </c>
      <c r="AA17" s="608" t="str">
        <f>IF(Y17="","",VLOOKUP(Y17,Tab_org21[[Dünger]:[anrechenbarer N bei DBE Grünland]],'#org22'!$D$1,FALSE))</f>
        <v/>
      </c>
      <c r="AB17" s="570" t="str">
        <f>IF(Y17="","",VLOOKUP(Y17,Tab_org21[[Dünger]:[anrechenbarer N bei DBE Grünland]],'#org22'!$P$1,FALSE))</f>
        <v/>
      </c>
      <c r="AC17" s="570" t="str">
        <f>IF(Y17="","",VLOOKUP(Y17,Tab_org21[[Dünger]:[anrechenbarer N bei DBE Grünland]],'#org22'!$Q$1,FALSE))</f>
        <v/>
      </c>
      <c r="AD17" s="569" t="str">
        <f>IF(Y17="","",VLOOKUP(Y17,Tab_org21[[Dünger]:[anrechenbarer N bei DBE Grünland]],'#org22'!$W$1,FALSE))</f>
        <v/>
      </c>
      <c r="AE17" s="570" t="str">
        <f>IF(Y17="","",VLOOKUP(Y17,Tab_org21[[Dünger]:[anrechenbarer N bei DBE Grünland]],'#org22'!$R$1,FALSE))</f>
        <v/>
      </c>
      <c r="AF17" s="569" t="str">
        <f>IF(Y17="","",VLOOKUP(Y17,Tab_org21[[Dünger]:[anrechenbarer N bei DBE Grünland]],'#org22'!$X$1,FALSE))</f>
        <v/>
      </c>
      <c r="AG17" s="569" t="str">
        <f t="shared" si="2"/>
        <v/>
      </c>
      <c r="AH17" s="576" t="str">
        <f t="shared" si="3"/>
        <v/>
      </c>
      <c r="AI17" s="549" t="str">
        <f t="shared" si="36"/>
        <v/>
      </c>
      <c r="AJ17" s="549" t="str">
        <f t="shared" si="4"/>
        <v/>
      </c>
      <c r="AK17" s="549" t="str">
        <f t="shared" si="5"/>
        <v/>
      </c>
      <c r="AL17" s="549" t="str">
        <f t="shared" si="6"/>
        <v/>
      </c>
      <c r="AM17" s="549" t="str">
        <f t="shared" si="7"/>
        <v/>
      </c>
      <c r="AN17" s="549" t="str">
        <f t="shared" si="8"/>
        <v/>
      </c>
      <c r="AO17" s="549" t="str">
        <f t="shared" si="9"/>
        <v/>
      </c>
      <c r="AP17" s="549" t="str">
        <f t="shared" si="10"/>
        <v/>
      </c>
      <c r="AQ17" s="549" t="str">
        <f t="shared" si="11"/>
        <v/>
      </c>
      <c r="AR17" s="549" t="str">
        <f t="shared" si="12"/>
        <v/>
      </c>
      <c r="AS17" s="549" t="str">
        <f t="shared" si="13"/>
        <v/>
      </c>
      <c r="AT17" s="549" t="str">
        <f t="shared" si="14"/>
        <v/>
      </c>
      <c r="AU17" s="549" t="str">
        <f t="shared" si="15"/>
        <v/>
      </c>
      <c r="AV17" s="549" t="str">
        <f t="shared" si="16"/>
        <v/>
      </c>
      <c r="AW17" s="549"/>
      <c r="AX17" s="549" t="str">
        <f t="shared" si="17"/>
        <v/>
      </c>
      <c r="AY17" s="549" t="str">
        <f>IF(Y17="","",VLOOKUP(Y17,'#orgDung'!$AF$135:$AH$187,'#orgDung'!$AH$133,FALSE))</f>
        <v/>
      </c>
      <c r="AZ17" s="549" t="str">
        <f t="shared" si="18"/>
        <v/>
      </c>
      <c r="BA17" s="549" t="str">
        <f t="shared" si="19"/>
        <v/>
      </c>
      <c r="BB17" s="549" t="str">
        <f>IF(Y17="","",VLOOKUP(Y17,Tab_org21[[Dünger]:[anrechenbarer N bei DBE Grünland]],'#org22'!$H$1,FALSE))</f>
        <v/>
      </c>
      <c r="BC17" s="549" t="str">
        <f t="shared" si="20"/>
        <v/>
      </c>
      <c r="BD17" s="549" t="str">
        <f t="shared" si="21"/>
        <v/>
      </c>
      <c r="BE17" s="549" t="str">
        <f>IF(Y17="","",VLOOKUP(Y17,Tab_org21[[Dünger]:[anrechenbarer N bei DBE Grünland]],'#org22'!$Z$1,FALSE))</f>
        <v/>
      </c>
      <c r="BF17" s="549" t="str">
        <f t="shared" si="22"/>
        <v/>
      </c>
      <c r="BG17" s="549" t="str">
        <f t="shared" si="23"/>
        <v/>
      </c>
      <c r="BH17" s="549"/>
      <c r="BI17" s="549"/>
      <c r="BJ17" s="549"/>
      <c r="BK17" s="551"/>
      <c r="BL17" s="551"/>
      <c r="BM17" s="993" t="str">
        <f>IF(BO17="","",'#minDung'!N131)</f>
        <v/>
      </c>
      <c r="BN17" s="986" t="str">
        <f>IF(BO17="","",VLOOKUP(BO17,'#minDung'!$O$126:$Q$195,'#minDung'!$P$124,FALSE))</f>
        <v/>
      </c>
      <c r="BO17" s="988" t="str">
        <f>'#minDung'!K131</f>
        <v/>
      </c>
      <c r="BP17" s="608" t="str">
        <f>IF(BO17="","",VLOOKUP(BO17,Tab_min[[Mineraldünger]:[Kalkwirkung je 100 kg Dünger]],'#min'!$F$1,FALSE))</f>
        <v/>
      </c>
      <c r="BQ17" s="567" t="str">
        <f>IF(BO17="","",VLOOKUP(BO17,Tab_min[[Mineraldünger]:[Kalkwirkung je 100 kg Dünger]],'#min'!$G$1,FALSE))</f>
        <v/>
      </c>
      <c r="BR17" s="570" t="str">
        <f>IF(BO17="","",VLOOKUP(BO17,Tab_min[[Mineraldünger]:[Kalkwirkung je 100 kg Dünger]],'#min'!$H$1,FALSE))</f>
        <v/>
      </c>
      <c r="BS17" s="570" t="str">
        <f>IF(BO17="","",VLOOKUP(BO17,Tab_min[[Mineraldünger]:[Kalkwirkung je 100 kg Dünger]],'#min'!$J$1,FALSE))</f>
        <v/>
      </c>
      <c r="BT17" s="569" t="str">
        <f t="shared" si="24"/>
        <v/>
      </c>
      <c r="BU17" s="576" t="str">
        <f t="shared" si="25"/>
        <v/>
      </c>
      <c r="BV17" s="54" t="str">
        <f t="shared" si="26"/>
        <v/>
      </c>
      <c r="BW17" s="54" t="str">
        <f t="shared" si="27"/>
        <v/>
      </c>
      <c r="BX17" s="54" t="str">
        <f t="shared" si="28"/>
        <v/>
      </c>
      <c r="BY17" s="54" t="str">
        <f t="shared" si="29"/>
        <v/>
      </c>
      <c r="BZ17" s="54" t="str">
        <f t="shared" si="30"/>
        <v/>
      </c>
      <c r="CA17" s="54" t="str">
        <f t="shared" si="31"/>
        <v/>
      </c>
      <c r="CB17" s="54" t="str">
        <f t="shared" si="32"/>
        <v/>
      </c>
      <c r="CC17" s="54" t="str">
        <f t="shared" si="33"/>
        <v/>
      </c>
      <c r="CD17" s="54" t="str">
        <f t="shared" si="34"/>
        <v/>
      </c>
      <c r="CE17" s="54" t="str">
        <f t="shared" si="35"/>
        <v/>
      </c>
      <c r="CF17" s="54"/>
      <c r="CG17"/>
      <c r="CI17" s="993" t="str">
        <f>IF(CJ17=0,"",'#BerechnungDBE'!I134)</f>
        <v/>
      </c>
      <c r="CJ17" s="992">
        <f>_xlfn.AGGREGATE(14,4,'#BerechnungDBE'!$J$129:$J$494,'#BerechnungDBE'!I134)</f>
        <v>0</v>
      </c>
      <c r="CK17" s="1667" t="str">
        <f>IF(CJ17=0,"",VLOOKUP(CJ17,'#BerechnungDBE'!$J$129:$K$494,2,FALSE))</f>
        <v/>
      </c>
      <c r="CL17" s="1668"/>
    </row>
    <row r="18" spans="1:90" ht="15" customHeight="1" thickBot="1" x14ac:dyDescent="0.25">
      <c r="A18" s="386" t="s">
        <v>121</v>
      </c>
      <c r="B18" s="402"/>
      <c r="C18" s="402"/>
      <c r="D18" s="1767"/>
      <c r="E18" s="1768"/>
      <c r="F18" s="387"/>
      <c r="G18" s="387"/>
      <c r="H18" s="1769"/>
      <c r="I18" s="1770"/>
      <c r="J18" s="584">
        <f>SUM('#orgDung'!AG9:AG10)</f>
        <v>0</v>
      </c>
      <c r="K18" s="388"/>
      <c r="L18" s="950"/>
      <c r="M18" s="388"/>
      <c r="N18" s="952"/>
      <c r="O18" s="953"/>
      <c r="P18" s="961"/>
      <c r="S18" s="597"/>
      <c r="W18" s="980" t="str">
        <f>IF(Y18="","",'#orgDung'!AE141)</f>
        <v/>
      </c>
      <c r="X18" s="986" t="str">
        <f>IF(Y18="","",VLOOKUP(Y18,'#orgDung'!$AF$135:$AG$187,'#orgDung'!$AG$133,FALSE))</f>
        <v/>
      </c>
      <c r="Y18" s="987" t="str">
        <f>'#orgDung'!AB141</f>
        <v/>
      </c>
      <c r="Z18" s="981" t="str">
        <f>IF(Y18="","",VLOOKUP(Y18,Tab_org21[[Dünger]:[anrechenbarer N bei DBE Grünland]],'#org22'!$L$1,FALSE))</f>
        <v/>
      </c>
      <c r="AA18" s="608" t="str">
        <f>IF(Y18="","",VLOOKUP(Y18,Tab_org21[[Dünger]:[anrechenbarer N bei DBE Grünland]],'#org22'!$D$1,FALSE))</f>
        <v/>
      </c>
      <c r="AB18" s="570" t="str">
        <f>IF(Y18="","",VLOOKUP(Y18,Tab_org21[[Dünger]:[anrechenbarer N bei DBE Grünland]],'#org22'!$P$1,FALSE))</f>
        <v/>
      </c>
      <c r="AC18" s="570" t="str">
        <f>IF(Y18="","",VLOOKUP(Y18,Tab_org21[[Dünger]:[anrechenbarer N bei DBE Grünland]],'#org22'!$Q$1,FALSE))</f>
        <v/>
      </c>
      <c r="AD18" s="569" t="str">
        <f>IF(Y18="","",VLOOKUP(Y18,Tab_org21[[Dünger]:[anrechenbarer N bei DBE Grünland]],'#org22'!$W$1,FALSE))</f>
        <v/>
      </c>
      <c r="AE18" s="570" t="str">
        <f>IF(Y18="","",VLOOKUP(Y18,Tab_org21[[Dünger]:[anrechenbarer N bei DBE Grünland]],'#org22'!$R$1,FALSE))</f>
        <v/>
      </c>
      <c r="AF18" s="569" t="str">
        <f>IF(Y18="","",VLOOKUP(Y18,Tab_org21[[Dünger]:[anrechenbarer N bei DBE Grünland]],'#org22'!$X$1,FALSE))</f>
        <v/>
      </c>
      <c r="AG18" s="569" t="str">
        <f t="shared" si="2"/>
        <v/>
      </c>
      <c r="AH18" s="576" t="str">
        <f t="shared" si="3"/>
        <v/>
      </c>
      <c r="AI18" s="549" t="str">
        <f t="shared" si="36"/>
        <v/>
      </c>
      <c r="AJ18" s="549" t="str">
        <f t="shared" si="4"/>
        <v/>
      </c>
      <c r="AK18" s="549" t="str">
        <f t="shared" si="5"/>
        <v/>
      </c>
      <c r="AL18" s="549" t="str">
        <f t="shared" si="6"/>
        <v/>
      </c>
      <c r="AM18" s="549" t="str">
        <f t="shared" si="7"/>
        <v/>
      </c>
      <c r="AN18" s="549" t="str">
        <f t="shared" si="8"/>
        <v/>
      </c>
      <c r="AO18" s="549" t="str">
        <f t="shared" si="9"/>
        <v/>
      </c>
      <c r="AP18" s="549" t="str">
        <f t="shared" si="10"/>
        <v/>
      </c>
      <c r="AQ18" s="549" t="str">
        <f t="shared" si="11"/>
        <v/>
      </c>
      <c r="AR18" s="549" t="str">
        <f t="shared" si="12"/>
        <v/>
      </c>
      <c r="AS18" s="549" t="str">
        <f t="shared" si="13"/>
        <v/>
      </c>
      <c r="AT18" s="549" t="str">
        <f t="shared" si="14"/>
        <v/>
      </c>
      <c r="AU18" s="549" t="str">
        <f t="shared" si="15"/>
        <v/>
      </c>
      <c r="AV18" s="549" t="str">
        <f t="shared" si="16"/>
        <v/>
      </c>
      <c r="AW18" s="549"/>
      <c r="AX18" s="549" t="str">
        <f t="shared" si="17"/>
        <v/>
      </c>
      <c r="AY18" s="549" t="str">
        <f>IF(Y18="","",VLOOKUP(Y18,'#orgDung'!$AF$135:$AH$187,'#orgDung'!$AH$133,FALSE))</f>
        <v/>
      </c>
      <c r="AZ18" s="549" t="str">
        <f t="shared" si="18"/>
        <v/>
      </c>
      <c r="BA18" s="549" t="str">
        <f t="shared" si="19"/>
        <v/>
      </c>
      <c r="BB18" s="549" t="str">
        <f>IF(Y18="","",VLOOKUP(Y18,Tab_org21[[Dünger]:[anrechenbarer N bei DBE Grünland]],'#org22'!$H$1,FALSE))</f>
        <v/>
      </c>
      <c r="BC18" s="549" t="str">
        <f t="shared" si="20"/>
        <v/>
      </c>
      <c r="BD18" s="549" t="str">
        <f t="shared" si="21"/>
        <v/>
      </c>
      <c r="BE18" s="549" t="str">
        <f>IF(Y18="","",VLOOKUP(Y18,Tab_org21[[Dünger]:[anrechenbarer N bei DBE Grünland]],'#org22'!$Z$1,FALSE))</f>
        <v/>
      </c>
      <c r="BF18" s="549" t="str">
        <f t="shared" si="22"/>
        <v/>
      </c>
      <c r="BG18" s="549" t="str">
        <f t="shared" si="23"/>
        <v/>
      </c>
      <c r="BH18" s="549"/>
      <c r="BI18" s="549"/>
      <c r="BJ18" s="549"/>
      <c r="BK18" s="551"/>
      <c r="BL18" s="551"/>
      <c r="BM18" s="993" t="str">
        <f>IF(BO18="","",'#minDung'!N132)</f>
        <v/>
      </c>
      <c r="BN18" s="986" t="str">
        <f>IF(BO18="","",VLOOKUP(BO18,'#minDung'!$O$126:$Q$195,'#minDung'!$P$124,FALSE))</f>
        <v/>
      </c>
      <c r="BO18" s="988" t="str">
        <f>'#minDung'!K132</f>
        <v/>
      </c>
      <c r="BP18" s="608" t="str">
        <f>IF(BO18="","",VLOOKUP(BO18,Tab_min[[Mineraldünger]:[Kalkwirkung je 100 kg Dünger]],'#min'!$F$1,FALSE))</f>
        <v/>
      </c>
      <c r="BQ18" s="567" t="str">
        <f>IF(BO18="","",VLOOKUP(BO18,Tab_min[[Mineraldünger]:[Kalkwirkung je 100 kg Dünger]],'#min'!$G$1,FALSE))</f>
        <v/>
      </c>
      <c r="BR18" s="570" t="str">
        <f>IF(BO18="","",VLOOKUP(BO18,Tab_min[[Mineraldünger]:[Kalkwirkung je 100 kg Dünger]],'#min'!$H$1,FALSE))</f>
        <v/>
      </c>
      <c r="BS18" s="570" t="str">
        <f>IF(BO18="","",VLOOKUP(BO18,Tab_min[[Mineraldünger]:[Kalkwirkung je 100 kg Dünger]],'#min'!$J$1,FALSE))</f>
        <v/>
      </c>
      <c r="BT18" s="569" t="str">
        <f t="shared" si="24"/>
        <v/>
      </c>
      <c r="BU18" s="576" t="str">
        <f t="shared" si="25"/>
        <v/>
      </c>
      <c r="BV18" s="54" t="str">
        <f t="shared" si="26"/>
        <v/>
      </c>
      <c r="BW18" s="54" t="str">
        <f t="shared" si="27"/>
        <v/>
      </c>
      <c r="BX18" s="54" t="str">
        <f t="shared" si="28"/>
        <v/>
      </c>
      <c r="BY18" s="54" t="str">
        <f t="shared" si="29"/>
        <v/>
      </c>
      <c r="BZ18" s="54" t="str">
        <f t="shared" si="30"/>
        <v/>
      </c>
      <c r="CA18" s="54" t="str">
        <f t="shared" si="31"/>
        <v/>
      </c>
      <c r="CB18" s="54" t="str">
        <f t="shared" si="32"/>
        <v/>
      </c>
      <c r="CC18" s="54" t="str">
        <f t="shared" si="33"/>
        <v/>
      </c>
      <c r="CD18" s="54" t="str">
        <f t="shared" si="34"/>
        <v/>
      </c>
      <c r="CE18" s="54" t="str">
        <f t="shared" si="35"/>
        <v/>
      </c>
      <c r="CF18" s="54"/>
      <c r="CG18"/>
      <c r="CI18" s="993" t="str">
        <f>IF(CJ18=0,"",'#BerechnungDBE'!I135)</f>
        <v/>
      </c>
      <c r="CJ18" s="992">
        <f>_xlfn.AGGREGATE(14,4,'#BerechnungDBE'!$J$129:$J$494,'#BerechnungDBE'!I135)</f>
        <v>0</v>
      </c>
      <c r="CK18" s="1667" t="str">
        <f>IF(CJ18=0,"",VLOOKUP(CJ18,'#BerechnungDBE'!$J$129:$K$494,2,FALSE))</f>
        <v/>
      </c>
      <c r="CL18" s="1668"/>
    </row>
    <row r="19" spans="1:90" ht="15" customHeight="1" x14ac:dyDescent="0.2">
      <c r="A19" s="87" t="s">
        <v>1135</v>
      </c>
      <c r="D19" s="87"/>
      <c r="E19" s="87"/>
      <c r="F19" s="87"/>
      <c r="G19" s="87"/>
      <c r="H19" s="87"/>
      <c r="I19" s="87"/>
      <c r="J19" s="389"/>
      <c r="K19" s="389"/>
      <c r="L19" s="87"/>
      <c r="M19" s="87"/>
      <c r="N19" s="87"/>
      <c r="O19" s="87"/>
      <c r="P19" s="87"/>
      <c r="S19" s="170"/>
      <c r="W19" s="980" t="str">
        <f>IF(Y19="","",'#orgDung'!AE142)</f>
        <v/>
      </c>
      <c r="X19" s="986" t="str">
        <f>IF(Y19="","",VLOOKUP(Y19,'#orgDung'!$AF$135:$AG$187,'#orgDung'!$AG$133,FALSE))</f>
        <v/>
      </c>
      <c r="Y19" s="987" t="str">
        <f>'#orgDung'!AB142</f>
        <v/>
      </c>
      <c r="Z19" s="981" t="str">
        <f>IF(Y19="","",VLOOKUP(Y19,Tab_org21[[Dünger]:[anrechenbarer N bei DBE Grünland]],'#org22'!$L$1,FALSE))</f>
        <v/>
      </c>
      <c r="AA19" s="608" t="str">
        <f>IF(Y19="","",VLOOKUP(Y19,Tab_org21[[Dünger]:[anrechenbarer N bei DBE Grünland]],'#org22'!$D$1,FALSE))</f>
        <v/>
      </c>
      <c r="AB19" s="570" t="str">
        <f>IF(Y19="","",VLOOKUP(Y19,Tab_org21[[Dünger]:[anrechenbarer N bei DBE Grünland]],'#org22'!$P$1,FALSE))</f>
        <v/>
      </c>
      <c r="AC19" s="570" t="str">
        <f>IF(Y19="","",VLOOKUP(Y19,Tab_org21[[Dünger]:[anrechenbarer N bei DBE Grünland]],'#org22'!$Q$1,FALSE))</f>
        <v/>
      </c>
      <c r="AD19" s="569" t="str">
        <f>IF(Y19="","",VLOOKUP(Y19,Tab_org21[[Dünger]:[anrechenbarer N bei DBE Grünland]],'#org22'!$W$1,FALSE))</f>
        <v/>
      </c>
      <c r="AE19" s="570" t="str">
        <f>IF(Y19="","",VLOOKUP(Y19,Tab_org21[[Dünger]:[anrechenbarer N bei DBE Grünland]],'#org22'!$R$1,FALSE))</f>
        <v/>
      </c>
      <c r="AF19" s="569" t="str">
        <f>IF(Y19="","",VLOOKUP(Y19,Tab_org21[[Dünger]:[anrechenbarer N bei DBE Grünland]],'#org22'!$X$1,FALSE))</f>
        <v/>
      </c>
      <c r="AG19" s="569" t="str">
        <f t="shared" si="2"/>
        <v/>
      </c>
      <c r="AH19" s="576" t="str">
        <f t="shared" si="3"/>
        <v/>
      </c>
      <c r="AI19" s="549" t="str">
        <f t="shared" si="36"/>
        <v/>
      </c>
      <c r="AJ19" s="549" t="str">
        <f t="shared" si="4"/>
        <v/>
      </c>
      <c r="AK19" s="549" t="str">
        <f t="shared" si="5"/>
        <v/>
      </c>
      <c r="AL19" s="549" t="str">
        <f t="shared" si="6"/>
        <v/>
      </c>
      <c r="AM19" s="549" t="str">
        <f t="shared" si="7"/>
        <v/>
      </c>
      <c r="AN19" s="549" t="str">
        <f t="shared" si="8"/>
        <v/>
      </c>
      <c r="AO19" s="549" t="str">
        <f t="shared" si="9"/>
        <v/>
      </c>
      <c r="AP19" s="549" t="str">
        <f t="shared" si="10"/>
        <v/>
      </c>
      <c r="AQ19" s="549" t="str">
        <f t="shared" si="11"/>
        <v/>
      </c>
      <c r="AR19" s="549" t="str">
        <f t="shared" si="12"/>
        <v/>
      </c>
      <c r="AS19" s="549" t="str">
        <f t="shared" si="13"/>
        <v/>
      </c>
      <c r="AT19" s="549" t="str">
        <f t="shared" si="14"/>
        <v/>
      </c>
      <c r="AU19" s="549" t="str">
        <f t="shared" si="15"/>
        <v/>
      </c>
      <c r="AV19" s="549" t="str">
        <f t="shared" si="16"/>
        <v/>
      </c>
      <c r="AW19" s="549"/>
      <c r="AX19" s="549" t="str">
        <f t="shared" si="17"/>
        <v/>
      </c>
      <c r="AY19" s="549" t="str">
        <f>IF(Y19="","",VLOOKUP(Y19,'#orgDung'!$AF$135:$AH$187,'#orgDung'!$AH$133,FALSE))</f>
        <v/>
      </c>
      <c r="AZ19" s="549" t="str">
        <f t="shared" si="18"/>
        <v/>
      </c>
      <c r="BA19" s="549" t="str">
        <f t="shared" si="19"/>
        <v/>
      </c>
      <c r="BB19" s="549" t="str">
        <f>IF(Y19="","",VLOOKUP(Y19,Tab_org21[[Dünger]:[anrechenbarer N bei DBE Grünland]],'#org22'!$H$1,FALSE))</f>
        <v/>
      </c>
      <c r="BC19" s="549" t="str">
        <f t="shared" si="20"/>
        <v/>
      </c>
      <c r="BD19" s="549" t="str">
        <f t="shared" si="21"/>
        <v/>
      </c>
      <c r="BE19" s="549" t="str">
        <f>IF(Y19="","",VLOOKUP(Y19,Tab_org21[[Dünger]:[anrechenbarer N bei DBE Grünland]],'#org22'!$Z$1,FALSE))</f>
        <v/>
      </c>
      <c r="BF19" s="549" t="str">
        <f t="shared" si="22"/>
        <v/>
      </c>
      <c r="BG19" s="549" t="str">
        <f t="shared" si="23"/>
        <v/>
      </c>
      <c r="BH19" s="549"/>
      <c r="BI19" s="549"/>
      <c r="BJ19" s="549"/>
      <c r="BK19" s="551"/>
      <c r="BL19" s="551"/>
      <c r="BM19" s="993" t="str">
        <f>IF(BO19="","",'#minDung'!N133)</f>
        <v/>
      </c>
      <c r="BN19" s="986" t="str">
        <f>IF(BO19="","",VLOOKUP(BO19,'#minDung'!$O$126:$Q$195,'#minDung'!$P$124,FALSE))</f>
        <v/>
      </c>
      <c r="BO19" s="988" t="str">
        <f>'#minDung'!K133</f>
        <v/>
      </c>
      <c r="BP19" s="608" t="str">
        <f>IF(BO19="","",VLOOKUP(BO19,Tab_min[[Mineraldünger]:[Kalkwirkung je 100 kg Dünger]],'#min'!$F$1,FALSE))</f>
        <v/>
      </c>
      <c r="BQ19" s="567" t="str">
        <f>IF(BO19="","",VLOOKUP(BO19,Tab_min[[Mineraldünger]:[Kalkwirkung je 100 kg Dünger]],'#min'!$G$1,FALSE))</f>
        <v/>
      </c>
      <c r="BR19" s="570" t="str">
        <f>IF(BO19="","",VLOOKUP(BO19,Tab_min[[Mineraldünger]:[Kalkwirkung je 100 kg Dünger]],'#min'!$H$1,FALSE))</f>
        <v/>
      </c>
      <c r="BS19" s="570" t="str">
        <f>IF(BO19="","",VLOOKUP(BO19,Tab_min[[Mineraldünger]:[Kalkwirkung je 100 kg Dünger]],'#min'!$J$1,FALSE))</f>
        <v/>
      </c>
      <c r="BT19" s="569" t="str">
        <f t="shared" si="24"/>
        <v/>
      </c>
      <c r="BU19" s="576" t="str">
        <f t="shared" si="25"/>
        <v/>
      </c>
      <c r="BV19" s="54" t="str">
        <f t="shared" si="26"/>
        <v/>
      </c>
      <c r="BW19" s="54" t="str">
        <f t="shared" si="27"/>
        <v/>
      </c>
      <c r="BX19" s="54" t="str">
        <f t="shared" si="28"/>
        <v/>
      </c>
      <c r="BY19" s="54" t="str">
        <f t="shared" si="29"/>
        <v/>
      </c>
      <c r="BZ19" s="54" t="str">
        <f t="shared" si="30"/>
        <v/>
      </c>
      <c r="CA19" s="54" t="str">
        <f t="shared" si="31"/>
        <v/>
      </c>
      <c r="CB19" s="54" t="str">
        <f t="shared" si="32"/>
        <v/>
      </c>
      <c r="CC19" s="54" t="str">
        <f t="shared" si="33"/>
        <v/>
      </c>
      <c r="CD19" s="54" t="str">
        <f t="shared" si="34"/>
        <v/>
      </c>
      <c r="CE19" s="54" t="str">
        <f t="shared" si="35"/>
        <v/>
      </c>
      <c r="CF19" s="54"/>
      <c r="CG19"/>
      <c r="CI19" s="993" t="str">
        <f>IF(CJ19=0,"",'#BerechnungDBE'!I136)</f>
        <v/>
      </c>
      <c r="CJ19" s="992">
        <f>_xlfn.AGGREGATE(14,4,'#BerechnungDBE'!$J$129:$J$494,'#BerechnungDBE'!I136)</f>
        <v>0</v>
      </c>
      <c r="CK19" s="1667" t="str">
        <f>IF(CJ19=0,"",VLOOKUP(CJ19,'#BerechnungDBE'!$J$129:$K$494,2,FALSE))</f>
        <v/>
      </c>
      <c r="CL19" s="1668"/>
    </row>
    <row r="20" spans="1:90" ht="15" customHeight="1" x14ac:dyDescent="0.2">
      <c r="A20" s="87" t="s">
        <v>1075</v>
      </c>
      <c r="D20" s="87"/>
      <c r="E20" s="129">
        <f>'#BerechnungDBE'!M119</f>
        <v>0</v>
      </c>
      <c r="F20" s="87" t="s">
        <v>147</v>
      </c>
      <c r="G20" s="87"/>
      <c r="H20" s="87"/>
      <c r="I20" s="87"/>
      <c r="J20" s="87"/>
      <c r="K20" s="87"/>
      <c r="L20" s="389"/>
      <c r="M20" s="389"/>
      <c r="N20" s="389"/>
      <c r="O20" s="389"/>
      <c r="P20" s="389"/>
      <c r="S20" s="596" t="s">
        <v>1039</v>
      </c>
      <c r="W20" s="980" t="str">
        <f>IF(Y20="","",'#orgDung'!AE143)</f>
        <v/>
      </c>
      <c r="X20" s="986" t="str">
        <f>IF(Y20="","",VLOOKUP(Y20,'#orgDung'!$AF$135:$AG$187,'#orgDung'!$AG$133,FALSE))</f>
        <v/>
      </c>
      <c r="Y20" s="987" t="str">
        <f>'#orgDung'!AB143</f>
        <v/>
      </c>
      <c r="Z20" s="981" t="str">
        <f>IF(Y20="","",VLOOKUP(Y20,Tab_org21[[Dünger]:[anrechenbarer N bei DBE Grünland]],'#org22'!$L$1,FALSE))</f>
        <v/>
      </c>
      <c r="AA20" s="608" t="str">
        <f>IF(Y20="","",VLOOKUP(Y20,Tab_org21[[Dünger]:[anrechenbarer N bei DBE Grünland]],'#org22'!$D$1,FALSE))</f>
        <v/>
      </c>
      <c r="AB20" s="570" t="str">
        <f>IF(Y20="","",VLOOKUP(Y20,Tab_org21[[Dünger]:[anrechenbarer N bei DBE Grünland]],'#org22'!$P$1,FALSE))</f>
        <v/>
      </c>
      <c r="AC20" s="570" t="str">
        <f>IF(Y20="","",VLOOKUP(Y20,Tab_org21[[Dünger]:[anrechenbarer N bei DBE Grünland]],'#org22'!$Q$1,FALSE))</f>
        <v/>
      </c>
      <c r="AD20" s="569" t="str">
        <f>IF(Y20="","",VLOOKUP(Y20,Tab_org21[[Dünger]:[anrechenbarer N bei DBE Grünland]],'#org22'!$W$1,FALSE))</f>
        <v/>
      </c>
      <c r="AE20" s="570" t="str">
        <f>IF(Y20="","",VLOOKUP(Y20,Tab_org21[[Dünger]:[anrechenbarer N bei DBE Grünland]],'#org22'!$R$1,FALSE))</f>
        <v/>
      </c>
      <c r="AF20" s="569" t="str">
        <f>IF(Y20="","",VLOOKUP(Y20,Tab_org21[[Dünger]:[anrechenbarer N bei DBE Grünland]],'#org22'!$X$1,FALSE))</f>
        <v/>
      </c>
      <c r="AG20" s="569" t="str">
        <f t="shared" si="2"/>
        <v/>
      </c>
      <c r="AH20" s="576" t="str">
        <f t="shared" si="3"/>
        <v/>
      </c>
      <c r="AI20" s="549" t="str">
        <f t="shared" si="36"/>
        <v/>
      </c>
      <c r="AJ20" s="549" t="str">
        <f t="shared" si="4"/>
        <v/>
      </c>
      <c r="AK20" s="549" t="str">
        <f t="shared" si="5"/>
        <v/>
      </c>
      <c r="AL20" s="549" t="str">
        <f t="shared" si="6"/>
        <v/>
      </c>
      <c r="AM20" s="549" t="str">
        <f t="shared" si="7"/>
        <v/>
      </c>
      <c r="AN20" s="549" t="str">
        <f t="shared" si="8"/>
        <v/>
      </c>
      <c r="AO20" s="549" t="str">
        <f t="shared" si="9"/>
        <v/>
      </c>
      <c r="AP20" s="549" t="str">
        <f t="shared" si="10"/>
        <v/>
      </c>
      <c r="AQ20" s="549" t="str">
        <f t="shared" si="11"/>
        <v/>
      </c>
      <c r="AR20" s="549" t="str">
        <f t="shared" si="12"/>
        <v/>
      </c>
      <c r="AS20" s="549" t="str">
        <f t="shared" si="13"/>
        <v/>
      </c>
      <c r="AT20" s="549" t="str">
        <f t="shared" si="14"/>
        <v/>
      </c>
      <c r="AU20" s="549" t="str">
        <f t="shared" si="15"/>
        <v/>
      </c>
      <c r="AV20" s="549" t="str">
        <f t="shared" si="16"/>
        <v/>
      </c>
      <c r="AW20" s="549"/>
      <c r="AX20" s="549" t="str">
        <f t="shared" si="17"/>
        <v/>
      </c>
      <c r="AY20" s="549" t="str">
        <f>IF(Y20="","",VLOOKUP(Y20,'#orgDung'!$AF$135:$AH$187,'#orgDung'!$AH$133,FALSE))</f>
        <v/>
      </c>
      <c r="AZ20" s="549" t="str">
        <f t="shared" si="18"/>
        <v/>
      </c>
      <c r="BA20" s="549" t="str">
        <f t="shared" si="19"/>
        <v/>
      </c>
      <c r="BB20" s="549" t="str">
        <f>IF(Y20="","",VLOOKUP(Y20,Tab_org21[[Dünger]:[anrechenbarer N bei DBE Grünland]],'#org22'!$H$1,FALSE))</f>
        <v/>
      </c>
      <c r="BC20" s="549" t="str">
        <f t="shared" si="20"/>
        <v/>
      </c>
      <c r="BD20" s="549" t="str">
        <f t="shared" si="21"/>
        <v/>
      </c>
      <c r="BE20" s="549" t="str">
        <f>IF(Y20="","",VLOOKUP(Y20,Tab_org21[[Dünger]:[anrechenbarer N bei DBE Grünland]],'#org22'!$Z$1,FALSE))</f>
        <v/>
      </c>
      <c r="BF20" s="549" t="str">
        <f t="shared" si="22"/>
        <v/>
      </c>
      <c r="BG20" s="549" t="str">
        <f t="shared" si="23"/>
        <v/>
      </c>
      <c r="BH20" s="549"/>
      <c r="BI20" s="549"/>
      <c r="BJ20" s="549"/>
      <c r="BK20" s="551"/>
      <c r="BL20" s="551"/>
      <c r="BM20" s="993" t="str">
        <f>IF(BO20="","",'#minDung'!N134)</f>
        <v/>
      </c>
      <c r="BN20" s="986" t="str">
        <f>IF(BO20="","",VLOOKUP(BO20,'#minDung'!$O$126:$Q$195,'#minDung'!$P$124,FALSE))</f>
        <v/>
      </c>
      <c r="BO20" s="988" t="str">
        <f>'#minDung'!K134</f>
        <v/>
      </c>
      <c r="BP20" s="608" t="str">
        <f>IF(BO20="","",VLOOKUP(BO20,Tab_min[[Mineraldünger]:[Kalkwirkung je 100 kg Dünger]],'#min'!$F$1,FALSE))</f>
        <v/>
      </c>
      <c r="BQ20" s="567" t="str">
        <f>IF(BO20="","",VLOOKUP(BO20,Tab_min[[Mineraldünger]:[Kalkwirkung je 100 kg Dünger]],'#min'!$G$1,FALSE))</f>
        <v/>
      </c>
      <c r="BR20" s="570" t="str">
        <f>IF(BO20="","",VLOOKUP(BO20,Tab_min[[Mineraldünger]:[Kalkwirkung je 100 kg Dünger]],'#min'!$H$1,FALSE))</f>
        <v/>
      </c>
      <c r="BS20" s="570" t="str">
        <f>IF(BO20="","",VLOOKUP(BO20,Tab_min[[Mineraldünger]:[Kalkwirkung je 100 kg Dünger]],'#min'!$J$1,FALSE))</f>
        <v/>
      </c>
      <c r="BT20" s="569" t="str">
        <f t="shared" si="24"/>
        <v/>
      </c>
      <c r="BU20" s="576" t="str">
        <f t="shared" si="25"/>
        <v/>
      </c>
      <c r="BV20" s="54" t="str">
        <f t="shared" si="26"/>
        <v/>
      </c>
      <c r="BW20" s="54" t="str">
        <f t="shared" si="27"/>
        <v/>
      </c>
      <c r="BX20" s="54" t="str">
        <f t="shared" si="28"/>
        <v/>
      </c>
      <c r="BY20" s="54" t="str">
        <f t="shared" si="29"/>
        <v/>
      </c>
      <c r="BZ20" s="54" t="str">
        <f t="shared" si="30"/>
        <v/>
      </c>
      <c r="CA20" s="54" t="str">
        <f t="shared" si="31"/>
        <v/>
      </c>
      <c r="CB20" s="54" t="str">
        <f t="shared" si="32"/>
        <v/>
      </c>
      <c r="CC20" s="54" t="str">
        <f t="shared" si="33"/>
        <v/>
      </c>
      <c r="CD20" s="54" t="str">
        <f t="shared" si="34"/>
        <v/>
      </c>
      <c r="CE20" s="54" t="str">
        <f t="shared" si="35"/>
        <v/>
      </c>
      <c r="CF20" s="54"/>
      <c r="CG20"/>
      <c r="CI20" s="993" t="str">
        <f>IF(CJ20=0,"",'#BerechnungDBE'!I137)</f>
        <v/>
      </c>
      <c r="CJ20" s="992">
        <f>_xlfn.AGGREGATE(14,4,'#BerechnungDBE'!$J$129:$J$494,'#BerechnungDBE'!I137)</f>
        <v>0</v>
      </c>
      <c r="CK20" s="1667" t="str">
        <f>IF(CJ20=0,"",VLOOKUP(CJ20,'#BerechnungDBE'!$J$129:$K$494,2,FALSE))</f>
        <v/>
      </c>
      <c r="CL20" s="1668"/>
    </row>
    <row r="21" spans="1:90" ht="15" customHeight="1" x14ac:dyDescent="0.2">
      <c r="D21" s="600"/>
      <c r="E21" s="600"/>
      <c r="S21" s="596" t="s">
        <v>1040</v>
      </c>
      <c r="W21" s="980" t="str">
        <f>IF(Y21="","",'#orgDung'!AE144)</f>
        <v/>
      </c>
      <c r="X21" s="986" t="str">
        <f>IF(Y21="","",VLOOKUP(Y21,'#orgDung'!$AF$135:$AG$187,'#orgDung'!$AG$133,FALSE))</f>
        <v/>
      </c>
      <c r="Y21" s="987" t="str">
        <f>'#orgDung'!AB144</f>
        <v/>
      </c>
      <c r="Z21" s="981" t="str">
        <f>IF(Y21="","",VLOOKUP(Y21,Tab_org21[[Dünger]:[anrechenbarer N bei DBE Grünland]],'#org22'!$L$1,FALSE))</f>
        <v/>
      </c>
      <c r="AA21" s="608" t="str">
        <f>IF(Y21="","",VLOOKUP(Y21,Tab_org21[[Dünger]:[anrechenbarer N bei DBE Grünland]],'#org22'!$D$1,FALSE))</f>
        <v/>
      </c>
      <c r="AB21" s="570" t="str">
        <f>IF(Y21="","",VLOOKUP(Y21,Tab_org21[[Dünger]:[anrechenbarer N bei DBE Grünland]],'#org22'!$P$1,FALSE))</f>
        <v/>
      </c>
      <c r="AC21" s="570" t="str">
        <f>IF(Y21="","",VLOOKUP(Y21,Tab_org21[[Dünger]:[anrechenbarer N bei DBE Grünland]],'#org22'!$Q$1,FALSE))</f>
        <v/>
      </c>
      <c r="AD21" s="569" t="str">
        <f>IF(Y21="","",VLOOKUP(Y21,Tab_org21[[Dünger]:[anrechenbarer N bei DBE Grünland]],'#org22'!$W$1,FALSE))</f>
        <v/>
      </c>
      <c r="AE21" s="570" t="str">
        <f>IF(Y21="","",VLOOKUP(Y21,Tab_org21[[Dünger]:[anrechenbarer N bei DBE Grünland]],'#org22'!$R$1,FALSE))</f>
        <v/>
      </c>
      <c r="AF21" s="569" t="str">
        <f>IF(Y21="","",VLOOKUP(Y21,Tab_org21[[Dünger]:[anrechenbarer N bei DBE Grünland]],'#org22'!$X$1,FALSE))</f>
        <v/>
      </c>
      <c r="AG21" s="569" t="str">
        <f t="shared" si="2"/>
        <v/>
      </c>
      <c r="AH21" s="576" t="str">
        <f t="shared" si="3"/>
        <v/>
      </c>
      <c r="AI21" s="549" t="str">
        <f t="shared" si="36"/>
        <v/>
      </c>
      <c r="AJ21" s="549" t="str">
        <f t="shared" si="4"/>
        <v/>
      </c>
      <c r="AK21" s="549" t="str">
        <f t="shared" si="5"/>
        <v/>
      </c>
      <c r="AL21" s="549" t="str">
        <f t="shared" si="6"/>
        <v/>
      </c>
      <c r="AM21" s="549" t="str">
        <f t="shared" si="7"/>
        <v/>
      </c>
      <c r="AN21" s="549" t="str">
        <f t="shared" si="8"/>
        <v/>
      </c>
      <c r="AO21" s="549" t="str">
        <f t="shared" si="9"/>
        <v/>
      </c>
      <c r="AP21" s="549" t="str">
        <f t="shared" si="10"/>
        <v/>
      </c>
      <c r="AQ21" s="549" t="str">
        <f t="shared" si="11"/>
        <v/>
      </c>
      <c r="AR21" s="549" t="str">
        <f t="shared" si="12"/>
        <v/>
      </c>
      <c r="AS21" s="549" t="str">
        <f t="shared" si="13"/>
        <v/>
      </c>
      <c r="AT21" s="549" t="str">
        <f t="shared" si="14"/>
        <v/>
      </c>
      <c r="AU21" s="549" t="str">
        <f t="shared" si="15"/>
        <v/>
      </c>
      <c r="AV21" s="549" t="str">
        <f t="shared" si="16"/>
        <v/>
      </c>
      <c r="AW21" s="549"/>
      <c r="AX21" s="549" t="str">
        <f t="shared" si="17"/>
        <v/>
      </c>
      <c r="AY21" s="549" t="str">
        <f>IF(Y21="","",VLOOKUP(Y21,'#orgDung'!$AF$135:$AH$187,'#orgDung'!$AH$133,FALSE))</f>
        <v/>
      </c>
      <c r="AZ21" s="549" t="str">
        <f t="shared" si="18"/>
        <v/>
      </c>
      <c r="BA21" s="549" t="str">
        <f t="shared" si="19"/>
        <v/>
      </c>
      <c r="BB21" s="549" t="str">
        <f>IF(Y21="","",VLOOKUP(Y21,Tab_org21[[Dünger]:[anrechenbarer N bei DBE Grünland]],'#org22'!$H$1,FALSE))</f>
        <v/>
      </c>
      <c r="BC21" s="549" t="str">
        <f t="shared" si="20"/>
        <v/>
      </c>
      <c r="BD21" s="549" t="str">
        <f t="shared" si="21"/>
        <v/>
      </c>
      <c r="BE21" s="549" t="str">
        <f>IF(Y21="","",VLOOKUP(Y21,Tab_org21[[Dünger]:[anrechenbarer N bei DBE Grünland]],'#org22'!$Z$1,FALSE))</f>
        <v/>
      </c>
      <c r="BF21" s="549" t="str">
        <f t="shared" si="22"/>
        <v/>
      </c>
      <c r="BG21" s="549" t="str">
        <f t="shared" si="23"/>
        <v/>
      </c>
      <c r="BH21" s="549"/>
      <c r="BI21" s="549"/>
      <c r="BJ21" s="549"/>
      <c r="BK21" s="551"/>
      <c r="BL21" s="551"/>
      <c r="BM21" s="993" t="str">
        <f>IF(BO21="","",'#minDung'!N135)</f>
        <v/>
      </c>
      <c r="BN21" s="986" t="str">
        <f>IF(BO21="","",VLOOKUP(BO21,'#minDung'!$O$126:$Q$195,'#minDung'!$P$124,FALSE))</f>
        <v/>
      </c>
      <c r="BO21" s="988" t="str">
        <f>'#minDung'!K135</f>
        <v/>
      </c>
      <c r="BP21" s="608" t="str">
        <f>IF(BO21="","",VLOOKUP(BO21,Tab_min[[Mineraldünger]:[Kalkwirkung je 100 kg Dünger]],'#min'!$F$1,FALSE))</f>
        <v/>
      </c>
      <c r="BQ21" s="567" t="str">
        <f>IF(BO21="","",VLOOKUP(BO21,Tab_min[[Mineraldünger]:[Kalkwirkung je 100 kg Dünger]],'#min'!$G$1,FALSE))</f>
        <v/>
      </c>
      <c r="BR21" s="570" t="str">
        <f>IF(BO21="","",VLOOKUP(BO21,Tab_min[[Mineraldünger]:[Kalkwirkung je 100 kg Dünger]],'#min'!$H$1,FALSE))</f>
        <v/>
      </c>
      <c r="BS21" s="570" t="str">
        <f>IF(BO21="","",VLOOKUP(BO21,Tab_min[[Mineraldünger]:[Kalkwirkung je 100 kg Dünger]],'#min'!$J$1,FALSE))</f>
        <v/>
      </c>
      <c r="BT21" s="569" t="str">
        <f t="shared" si="24"/>
        <v/>
      </c>
      <c r="BU21" s="576" t="str">
        <f t="shared" si="25"/>
        <v/>
      </c>
      <c r="BV21" s="54" t="str">
        <f t="shared" si="26"/>
        <v/>
      </c>
      <c r="BW21" s="54" t="str">
        <f t="shared" si="27"/>
        <v/>
      </c>
      <c r="BX21" s="54" t="str">
        <f t="shared" si="28"/>
        <v/>
      </c>
      <c r="BY21" s="54" t="str">
        <f t="shared" si="29"/>
        <v/>
      </c>
      <c r="BZ21" s="54" t="str">
        <f t="shared" si="30"/>
        <v/>
      </c>
      <c r="CA21" s="54" t="str">
        <f t="shared" si="31"/>
        <v/>
      </c>
      <c r="CB21" s="54" t="str">
        <f t="shared" si="32"/>
        <v/>
      </c>
      <c r="CC21" s="54" t="str">
        <f t="shared" si="33"/>
        <v/>
      </c>
      <c r="CD21" s="54" t="str">
        <f t="shared" si="34"/>
        <v/>
      </c>
      <c r="CE21" s="54" t="str">
        <f t="shared" si="35"/>
        <v/>
      </c>
      <c r="CF21" s="54"/>
      <c r="CG21"/>
      <c r="CI21" s="993" t="str">
        <f>IF(CJ21=0,"",'#BerechnungDBE'!I138)</f>
        <v/>
      </c>
      <c r="CJ21" s="992">
        <f>_xlfn.AGGREGATE(14,4,'#BerechnungDBE'!$J$129:$J$494,'#BerechnungDBE'!I138)</f>
        <v>0</v>
      </c>
      <c r="CK21" s="1667" t="str">
        <f>IF(CJ21=0,"",VLOOKUP(CJ21,'#BerechnungDBE'!$J$129:$K$494,2,FALSE))</f>
        <v/>
      </c>
      <c r="CL21" s="1668"/>
    </row>
    <row r="22" spans="1:90" ht="15" customHeight="1" thickBot="1" x14ac:dyDescent="0.25">
      <c r="W22" s="980" t="str">
        <f>IF(Y22="","",'#orgDung'!AE145)</f>
        <v/>
      </c>
      <c r="X22" s="986" t="str">
        <f>IF(Y22="","",VLOOKUP(Y22,'#orgDung'!$AF$135:$AG$187,'#orgDung'!$AG$133,FALSE))</f>
        <v/>
      </c>
      <c r="Y22" s="987" t="str">
        <f>'#orgDung'!AB145</f>
        <v/>
      </c>
      <c r="Z22" s="981" t="str">
        <f>IF(Y22="","",VLOOKUP(Y22,Tab_org21[[Dünger]:[anrechenbarer N bei DBE Grünland]],'#org22'!$L$1,FALSE))</f>
        <v/>
      </c>
      <c r="AA22" s="608" t="str">
        <f>IF(Y22="","",VLOOKUP(Y22,Tab_org21[[Dünger]:[anrechenbarer N bei DBE Grünland]],'#org22'!$D$1,FALSE))</f>
        <v/>
      </c>
      <c r="AB22" s="570" t="str">
        <f>IF(Y22="","",VLOOKUP(Y22,Tab_org21[[Dünger]:[anrechenbarer N bei DBE Grünland]],'#org22'!$P$1,FALSE))</f>
        <v/>
      </c>
      <c r="AC22" s="570" t="str">
        <f>IF(Y22="","",VLOOKUP(Y22,Tab_org21[[Dünger]:[anrechenbarer N bei DBE Grünland]],'#org22'!$Q$1,FALSE))</f>
        <v/>
      </c>
      <c r="AD22" s="569" t="str">
        <f>IF(Y22="","",VLOOKUP(Y22,Tab_org21[[Dünger]:[anrechenbarer N bei DBE Grünland]],'#org22'!$W$1,FALSE))</f>
        <v/>
      </c>
      <c r="AE22" s="570" t="str">
        <f>IF(Y22="","",VLOOKUP(Y22,Tab_org21[[Dünger]:[anrechenbarer N bei DBE Grünland]],'#org22'!$R$1,FALSE))</f>
        <v/>
      </c>
      <c r="AF22" s="569" t="str">
        <f>IF(Y22="","",VLOOKUP(Y22,Tab_org21[[Dünger]:[anrechenbarer N bei DBE Grünland]],'#org22'!$X$1,FALSE))</f>
        <v/>
      </c>
      <c r="AG22" s="569" t="str">
        <f t="shared" si="2"/>
        <v/>
      </c>
      <c r="AH22" s="576" t="str">
        <f t="shared" si="3"/>
        <v/>
      </c>
      <c r="AI22" s="549" t="str">
        <f t="shared" si="36"/>
        <v/>
      </c>
      <c r="AJ22" s="549" t="str">
        <f t="shared" si="4"/>
        <v/>
      </c>
      <c r="AK22" s="549" t="str">
        <f t="shared" si="5"/>
        <v/>
      </c>
      <c r="AL22" s="549" t="str">
        <f t="shared" si="6"/>
        <v/>
      </c>
      <c r="AM22" s="549" t="str">
        <f t="shared" si="7"/>
        <v/>
      </c>
      <c r="AN22" s="549" t="str">
        <f t="shared" si="8"/>
        <v/>
      </c>
      <c r="AO22" s="549" t="str">
        <f t="shared" si="9"/>
        <v/>
      </c>
      <c r="AP22" s="549" t="str">
        <f t="shared" si="10"/>
        <v/>
      </c>
      <c r="AQ22" s="549" t="str">
        <f t="shared" si="11"/>
        <v/>
      </c>
      <c r="AR22" s="549" t="str">
        <f t="shared" si="12"/>
        <v/>
      </c>
      <c r="AS22" s="549" t="str">
        <f t="shared" si="13"/>
        <v/>
      </c>
      <c r="AT22" s="549" t="str">
        <f t="shared" si="14"/>
        <v/>
      </c>
      <c r="AU22" s="549" t="str">
        <f t="shared" si="15"/>
        <v/>
      </c>
      <c r="AV22" s="549" t="str">
        <f t="shared" si="16"/>
        <v/>
      </c>
      <c r="AW22" s="549"/>
      <c r="AX22" s="549" t="str">
        <f t="shared" si="17"/>
        <v/>
      </c>
      <c r="AY22" s="549" t="str">
        <f>IF(Y22="","",VLOOKUP(Y22,'#orgDung'!$AF$135:$AH$187,'#orgDung'!$AH$133,FALSE))</f>
        <v/>
      </c>
      <c r="AZ22" s="549" t="str">
        <f t="shared" si="18"/>
        <v/>
      </c>
      <c r="BA22" s="549" t="str">
        <f t="shared" si="19"/>
        <v/>
      </c>
      <c r="BB22" s="549" t="str">
        <f>IF(Y22="","",VLOOKUP(Y22,Tab_org21[[Dünger]:[anrechenbarer N bei DBE Grünland]],'#org22'!$H$1,FALSE))</f>
        <v/>
      </c>
      <c r="BC22" s="549" t="str">
        <f t="shared" si="20"/>
        <v/>
      </c>
      <c r="BD22" s="549" t="str">
        <f t="shared" si="21"/>
        <v/>
      </c>
      <c r="BE22" s="549" t="str">
        <f>IF(Y22="","",VLOOKUP(Y22,Tab_org21[[Dünger]:[anrechenbarer N bei DBE Grünland]],'#org22'!$Z$1,FALSE))</f>
        <v/>
      </c>
      <c r="BF22" s="549" t="str">
        <f t="shared" si="22"/>
        <v/>
      </c>
      <c r="BG22" s="549" t="str">
        <f t="shared" si="23"/>
        <v/>
      </c>
      <c r="BH22" s="549"/>
      <c r="BI22" s="549"/>
      <c r="BJ22" s="549"/>
      <c r="BK22" s="551"/>
      <c r="BL22" s="551"/>
      <c r="BM22" s="993" t="str">
        <f>IF(BO22="","",'#minDung'!N136)</f>
        <v/>
      </c>
      <c r="BN22" s="986" t="str">
        <f>IF(BO22="","",VLOOKUP(BO22,'#minDung'!$O$126:$Q$195,'#minDung'!$P$124,FALSE))</f>
        <v/>
      </c>
      <c r="BO22" s="988" t="str">
        <f>'#minDung'!K136</f>
        <v/>
      </c>
      <c r="BP22" s="608" t="str">
        <f>IF(BO22="","",VLOOKUP(BO22,Tab_min[[Mineraldünger]:[Kalkwirkung je 100 kg Dünger]],'#min'!$F$1,FALSE))</f>
        <v/>
      </c>
      <c r="BQ22" s="567" t="str">
        <f>IF(BO22="","",VLOOKUP(BO22,Tab_min[[Mineraldünger]:[Kalkwirkung je 100 kg Dünger]],'#min'!$G$1,FALSE))</f>
        <v/>
      </c>
      <c r="BR22" s="570" t="str">
        <f>IF(BO22="","",VLOOKUP(BO22,Tab_min[[Mineraldünger]:[Kalkwirkung je 100 kg Dünger]],'#min'!$H$1,FALSE))</f>
        <v/>
      </c>
      <c r="BS22" s="570" t="str">
        <f>IF(BO22="","",VLOOKUP(BO22,Tab_min[[Mineraldünger]:[Kalkwirkung je 100 kg Dünger]],'#min'!$J$1,FALSE))</f>
        <v/>
      </c>
      <c r="BT22" s="569" t="str">
        <f t="shared" si="24"/>
        <v/>
      </c>
      <c r="BU22" s="576" t="str">
        <f t="shared" si="25"/>
        <v/>
      </c>
      <c r="BV22" s="54" t="str">
        <f t="shared" si="26"/>
        <v/>
      </c>
      <c r="BW22" s="54" t="str">
        <f t="shared" si="27"/>
        <v/>
      </c>
      <c r="BX22" s="54" t="str">
        <f t="shared" si="28"/>
        <v/>
      </c>
      <c r="BY22" s="54" t="str">
        <f t="shared" si="29"/>
        <v/>
      </c>
      <c r="BZ22" s="54" t="str">
        <f t="shared" si="30"/>
        <v/>
      </c>
      <c r="CA22" s="54" t="str">
        <f t="shared" si="31"/>
        <v/>
      </c>
      <c r="CB22" s="54" t="str">
        <f t="shared" si="32"/>
        <v/>
      </c>
      <c r="CC22" s="54" t="str">
        <f t="shared" si="33"/>
        <v/>
      </c>
      <c r="CD22" s="54" t="str">
        <f t="shared" si="34"/>
        <v/>
      </c>
      <c r="CE22" s="54" t="str">
        <f t="shared" si="35"/>
        <v/>
      </c>
      <c r="CF22" s="54"/>
      <c r="CG22"/>
      <c r="CI22" s="993" t="str">
        <f>IF(CJ22=0,"",'#BerechnungDBE'!I139)</f>
        <v/>
      </c>
      <c r="CJ22" s="992">
        <f>_xlfn.AGGREGATE(14,4,'#BerechnungDBE'!$J$129:$J$494,'#BerechnungDBE'!I139)</f>
        <v>0</v>
      </c>
      <c r="CK22" s="1667" t="str">
        <f>IF(CJ22=0,"",VLOOKUP(CJ22,'#BerechnungDBE'!$J$129:$K$494,2,FALSE))</f>
        <v/>
      </c>
      <c r="CL22" s="1668"/>
    </row>
    <row r="23" spans="1:90" ht="15" customHeight="1" x14ac:dyDescent="0.2">
      <c r="B23" s="1337" t="s">
        <v>1533</v>
      </c>
      <c r="C23" s="1338"/>
      <c r="D23" s="1338"/>
      <c r="E23" s="1338"/>
      <c r="F23" s="1338"/>
      <c r="G23" s="1338"/>
      <c r="H23" s="1338"/>
      <c r="I23" s="1338"/>
      <c r="J23" s="1338"/>
      <c r="K23" s="1338"/>
      <c r="L23" s="1339"/>
      <c r="M23" s="1339"/>
      <c r="N23" s="1338"/>
      <c r="O23" s="1340"/>
      <c r="S23" s="882" t="s">
        <v>2453</v>
      </c>
      <c r="W23" s="980" t="str">
        <f>IF(Y23="","",'#orgDung'!AE146)</f>
        <v/>
      </c>
      <c r="X23" s="986" t="str">
        <f>IF(Y23="","",VLOOKUP(Y23,'#orgDung'!$AF$135:$AG$187,'#orgDung'!$AG$133,FALSE))</f>
        <v/>
      </c>
      <c r="Y23" s="987" t="str">
        <f>'#orgDung'!AB146</f>
        <v/>
      </c>
      <c r="Z23" s="981" t="str">
        <f>IF(Y23="","",VLOOKUP(Y23,Tab_org21[[Dünger]:[anrechenbarer N bei DBE Grünland]],'#org22'!$L$1,FALSE))</f>
        <v/>
      </c>
      <c r="AA23" s="608" t="str">
        <f>IF(Y23="","",VLOOKUP(Y23,Tab_org21[[Dünger]:[anrechenbarer N bei DBE Grünland]],'#org22'!$D$1,FALSE))</f>
        <v/>
      </c>
      <c r="AB23" s="570" t="str">
        <f>IF(Y23="","",VLOOKUP(Y23,Tab_org21[[Dünger]:[anrechenbarer N bei DBE Grünland]],'#org22'!$P$1,FALSE))</f>
        <v/>
      </c>
      <c r="AC23" s="570" t="str">
        <f>IF(Y23="","",VLOOKUP(Y23,Tab_org21[[Dünger]:[anrechenbarer N bei DBE Grünland]],'#org22'!$Q$1,FALSE))</f>
        <v/>
      </c>
      <c r="AD23" s="569" t="str">
        <f>IF(Y23="","",VLOOKUP(Y23,Tab_org21[[Dünger]:[anrechenbarer N bei DBE Grünland]],'#org22'!$W$1,FALSE))</f>
        <v/>
      </c>
      <c r="AE23" s="570" t="str">
        <f>IF(Y23="","",VLOOKUP(Y23,Tab_org21[[Dünger]:[anrechenbarer N bei DBE Grünland]],'#org22'!$R$1,FALSE))</f>
        <v/>
      </c>
      <c r="AF23" s="569" t="str">
        <f>IF(Y23="","",VLOOKUP(Y23,Tab_org21[[Dünger]:[anrechenbarer N bei DBE Grünland]],'#org22'!$X$1,FALSE))</f>
        <v/>
      </c>
      <c r="AG23" s="569" t="str">
        <f t="shared" si="2"/>
        <v/>
      </c>
      <c r="AH23" s="576" t="str">
        <f t="shared" si="3"/>
        <v/>
      </c>
      <c r="AI23" s="549" t="str">
        <f t="shared" si="36"/>
        <v/>
      </c>
      <c r="AJ23" s="549" t="str">
        <f t="shared" si="4"/>
        <v/>
      </c>
      <c r="AK23" s="549" t="str">
        <f t="shared" si="5"/>
        <v/>
      </c>
      <c r="AL23" s="549" t="str">
        <f t="shared" si="6"/>
        <v/>
      </c>
      <c r="AM23" s="549" t="str">
        <f t="shared" si="7"/>
        <v/>
      </c>
      <c r="AN23" s="549" t="str">
        <f t="shared" si="8"/>
        <v/>
      </c>
      <c r="AO23" s="549" t="str">
        <f t="shared" si="9"/>
        <v/>
      </c>
      <c r="AP23" s="549" t="str">
        <f t="shared" si="10"/>
        <v/>
      </c>
      <c r="AQ23" s="549" t="str">
        <f t="shared" si="11"/>
        <v/>
      </c>
      <c r="AR23" s="549" t="str">
        <f t="shared" si="12"/>
        <v/>
      </c>
      <c r="AS23" s="549" t="str">
        <f t="shared" si="13"/>
        <v/>
      </c>
      <c r="AT23" s="549" t="str">
        <f t="shared" si="14"/>
        <v/>
      </c>
      <c r="AU23" s="549" t="str">
        <f t="shared" si="15"/>
        <v/>
      </c>
      <c r="AV23" s="549" t="str">
        <f t="shared" si="16"/>
        <v/>
      </c>
      <c r="AW23" s="549"/>
      <c r="AX23" s="549" t="str">
        <f t="shared" si="17"/>
        <v/>
      </c>
      <c r="AY23" s="549" t="str">
        <f>IF(Y23="","",VLOOKUP(Y23,'#orgDung'!$AF$135:$AH$187,'#orgDung'!$AH$133,FALSE))</f>
        <v/>
      </c>
      <c r="AZ23" s="549" t="str">
        <f t="shared" si="18"/>
        <v/>
      </c>
      <c r="BA23" s="549" t="str">
        <f t="shared" si="19"/>
        <v/>
      </c>
      <c r="BB23" s="549" t="str">
        <f>IF(Y23="","",VLOOKUP(Y23,Tab_org21[[Dünger]:[anrechenbarer N bei DBE Grünland]],'#org22'!$H$1,FALSE))</f>
        <v/>
      </c>
      <c r="BC23" s="549" t="str">
        <f t="shared" si="20"/>
        <v/>
      </c>
      <c r="BD23" s="549" t="str">
        <f t="shared" si="21"/>
        <v/>
      </c>
      <c r="BE23" s="549" t="str">
        <f>IF(Y23="","",VLOOKUP(Y23,Tab_org21[[Dünger]:[anrechenbarer N bei DBE Grünland]],'#org22'!$Z$1,FALSE))</f>
        <v/>
      </c>
      <c r="BF23" s="549" t="str">
        <f t="shared" si="22"/>
        <v/>
      </c>
      <c r="BG23" s="549" t="str">
        <f t="shared" si="23"/>
        <v/>
      </c>
      <c r="BH23" s="549"/>
      <c r="BI23" s="549"/>
      <c r="BJ23" s="549"/>
      <c r="BK23" s="551"/>
      <c r="BL23" s="551"/>
      <c r="BM23" s="993" t="str">
        <f>IF(BO23="","",'#minDung'!N137)</f>
        <v/>
      </c>
      <c r="BN23" s="986" t="str">
        <f>IF(BO23="","",VLOOKUP(BO23,'#minDung'!$O$126:$Q$195,'#minDung'!$P$124,FALSE))</f>
        <v/>
      </c>
      <c r="BO23" s="988" t="str">
        <f>'#minDung'!K137</f>
        <v/>
      </c>
      <c r="BP23" s="608" t="str">
        <f>IF(BO23="","",VLOOKUP(BO23,Tab_min[[Mineraldünger]:[Kalkwirkung je 100 kg Dünger]],'#min'!$F$1,FALSE))</f>
        <v/>
      </c>
      <c r="BQ23" s="567" t="str">
        <f>IF(BO23="","",VLOOKUP(BO23,Tab_min[[Mineraldünger]:[Kalkwirkung je 100 kg Dünger]],'#min'!$G$1,FALSE))</f>
        <v/>
      </c>
      <c r="BR23" s="570" t="str">
        <f>IF(BO23="","",VLOOKUP(BO23,Tab_min[[Mineraldünger]:[Kalkwirkung je 100 kg Dünger]],'#min'!$H$1,FALSE))</f>
        <v/>
      </c>
      <c r="BS23" s="570" t="str">
        <f>IF(BO23="","",VLOOKUP(BO23,Tab_min[[Mineraldünger]:[Kalkwirkung je 100 kg Dünger]],'#min'!$J$1,FALSE))</f>
        <v/>
      </c>
      <c r="BT23" s="569" t="str">
        <f t="shared" si="24"/>
        <v/>
      </c>
      <c r="BU23" s="576" t="str">
        <f t="shared" si="25"/>
        <v/>
      </c>
      <c r="BV23" s="54" t="str">
        <f t="shared" si="26"/>
        <v/>
      </c>
      <c r="BW23" s="54" t="str">
        <f t="shared" si="27"/>
        <v/>
      </c>
      <c r="BX23" s="54" t="str">
        <f t="shared" si="28"/>
        <v/>
      </c>
      <c r="BY23" s="54" t="str">
        <f t="shared" si="29"/>
        <v/>
      </c>
      <c r="BZ23" s="54" t="str">
        <f t="shared" si="30"/>
        <v/>
      </c>
      <c r="CA23" s="54" t="str">
        <f t="shared" si="31"/>
        <v/>
      </c>
      <c r="CB23" s="54" t="str">
        <f t="shared" si="32"/>
        <v/>
      </c>
      <c r="CC23" s="54" t="str">
        <f t="shared" si="33"/>
        <v/>
      </c>
      <c r="CD23" s="54" t="str">
        <f t="shared" si="34"/>
        <v/>
      </c>
      <c r="CE23" s="54" t="str">
        <f t="shared" si="35"/>
        <v/>
      </c>
      <c r="CF23" s="54"/>
      <c r="CG23"/>
      <c r="CI23" s="993" t="str">
        <f>IF(CJ23=0,"",'#BerechnungDBE'!I140)</f>
        <v/>
      </c>
      <c r="CJ23" s="992">
        <f>_xlfn.AGGREGATE(14,4,'#BerechnungDBE'!$J$129:$J$494,'#BerechnungDBE'!I140)</f>
        <v>0</v>
      </c>
      <c r="CK23" s="1667" t="str">
        <f>IF(CJ23=0,"",VLOOKUP(CJ23,'#BerechnungDBE'!$J$129:$K$494,2,FALSE))</f>
        <v/>
      </c>
      <c r="CL23" s="1668"/>
    </row>
    <row r="24" spans="1:90" ht="15" customHeight="1" x14ac:dyDescent="0.2">
      <c r="B24" s="1341"/>
      <c r="C24" s="1342"/>
      <c r="D24" s="1342"/>
      <c r="E24" s="1342"/>
      <c r="F24" s="1342"/>
      <c r="G24" s="1342"/>
      <c r="H24" s="1342"/>
      <c r="I24" s="1342"/>
      <c r="J24" s="1342"/>
      <c r="K24" s="1342"/>
      <c r="L24" s="1342"/>
      <c r="M24" s="1342"/>
      <c r="N24" s="1342"/>
      <c r="O24" s="1343"/>
      <c r="S24" s="938">
        <f>IF(AND(L12=S20,O12=S20),1,2)</f>
        <v>1</v>
      </c>
      <c r="W24" s="980" t="str">
        <f>IF(Y24="","",'#orgDung'!AE147)</f>
        <v/>
      </c>
      <c r="X24" s="986" t="str">
        <f>IF(Y24="","",VLOOKUP(Y24,'#orgDung'!$AF$135:$AG$187,'#orgDung'!$AG$133,FALSE))</f>
        <v/>
      </c>
      <c r="Y24" s="987" t="str">
        <f>'#orgDung'!AB147</f>
        <v/>
      </c>
      <c r="Z24" s="981" t="str">
        <f>IF(Y24="","",VLOOKUP(Y24,Tab_org21[[Dünger]:[anrechenbarer N bei DBE Grünland]],'#org22'!$L$1,FALSE))</f>
        <v/>
      </c>
      <c r="AA24" s="608" t="str">
        <f>IF(Y24="","",VLOOKUP(Y24,Tab_org21[[Dünger]:[anrechenbarer N bei DBE Grünland]],'#org22'!$D$1,FALSE))</f>
        <v/>
      </c>
      <c r="AB24" s="570" t="str">
        <f>IF(Y24="","",VLOOKUP(Y24,Tab_org21[[Dünger]:[anrechenbarer N bei DBE Grünland]],'#org22'!$P$1,FALSE))</f>
        <v/>
      </c>
      <c r="AC24" s="570" t="str">
        <f>IF(Y24="","",VLOOKUP(Y24,Tab_org21[[Dünger]:[anrechenbarer N bei DBE Grünland]],'#org22'!$Q$1,FALSE))</f>
        <v/>
      </c>
      <c r="AD24" s="569" t="str">
        <f>IF(Y24="","",VLOOKUP(Y24,Tab_org21[[Dünger]:[anrechenbarer N bei DBE Grünland]],'#org22'!$W$1,FALSE))</f>
        <v/>
      </c>
      <c r="AE24" s="570" t="str">
        <f>IF(Y24="","",VLOOKUP(Y24,Tab_org21[[Dünger]:[anrechenbarer N bei DBE Grünland]],'#org22'!$R$1,FALSE))</f>
        <v/>
      </c>
      <c r="AF24" s="569" t="str">
        <f>IF(Y24="","",VLOOKUP(Y24,Tab_org21[[Dünger]:[anrechenbarer N bei DBE Grünland]],'#org22'!$X$1,FALSE))</f>
        <v/>
      </c>
      <c r="AG24" s="569" t="str">
        <f t="shared" si="2"/>
        <v/>
      </c>
      <c r="AH24" s="576" t="str">
        <f t="shared" si="3"/>
        <v/>
      </c>
      <c r="AI24" s="549" t="str">
        <f t="shared" si="36"/>
        <v/>
      </c>
      <c r="AJ24" s="549" t="str">
        <f t="shared" si="4"/>
        <v/>
      </c>
      <c r="AK24" s="549" t="str">
        <f t="shared" si="5"/>
        <v/>
      </c>
      <c r="AL24" s="549" t="str">
        <f t="shared" si="6"/>
        <v/>
      </c>
      <c r="AM24" s="549" t="str">
        <f t="shared" si="7"/>
        <v/>
      </c>
      <c r="AN24" s="549" t="str">
        <f t="shared" si="8"/>
        <v/>
      </c>
      <c r="AO24" s="549" t="str">
        <f t="shared" si="9"/>
        <v/>
      </c>
      <c r="AP24" s="549" t="str">
        <f t="shared" si="10"/>
        <v/>
      </c>
      <c r="AQ24" s="549" t="str">
        <f t="shared" si="11"/>
        <v/>
      </c>
      <c r="AR24" s="549" t="str">
        <f t="shared" si="12"/>
        <v/>
      </c>
      <c r="AS24" s="549" t="str">
        <f t="shared" si="13"/>
        <v/>
      </c>
      <c r="AT24" s="549" t="str">
        <f t="shared" si="14"/>
        <v/>
      </c>
      <c r="AU24" s="549" t="str">
        <f t="shared" si="15"/>
        <v/>
      </c>
      <c r="AV24" s="549" t="str">
        <f t="shared" si="16"/>
        <v/>
      </c>
      <c r="AW24" s="549"/>
      <c r="AX24" s="549" t="str">
        <f t="shared" si="17"/>
        <v/>
      </c>
      <c r="AY24" s="549" t="str">
        <f>IF(Y24="","",VLOOKUP(Y24,'#orgDung'!$AF$135:$AH$187,'#orgDung'!$AH$133,FALSE))</f>
        <v/>
      </c>
      <c r="AZ24" s="549" t="str">
        <f t="shared" si="18"/>
        <v/>
      </c>
      <c r="BA24" s="549" t="str">
        <f t="shared" si="19"/>
        <v/>
      </c>
      <c r="BB24" s="549" t="str">
        <f>IF(Y24="","",VLOOKUP(Y24,Tab_org21[[Dünger]:[anrechenbarer N bei DBE Grünland]],'#org22'!$H$1,FALSE))</f>
        <v/>
      </c>
      <c r="BC24" s="549" t="str">
        <f t="shared" si="20"/>
        <v/>
      </c>
      <c r="BD24" s="549" t="str">
        <f t="shared" si="21"/>
        <v/>
      </c>
      <c r="BE24" s="549" t="str">
        <f>IF(Y24="","",VLOOKUP(Y24,Tab_org21[[Dünger]:[anrechenbarer N bei DBE Grünland]],'#org22'!$Z$1,FALSE))</f>
        <v/>
      </c>
      <c r="BF24" s="549" t="str">
        <f t="shared" si="22"/>
        <v/>
      </c>
      <c r="BG24" s="549" t="str">
        <f t="shared" si="23"/>
        <v/>
      </c>
      <c r="BH24" s="549"/>
      <c r="BI24" s="549"/>
      <c r="BJ24" s="549"/>
      <c r="BK24" s="551"/>
      <c r="BL24" s="551"/>
      <c r="BM24" s="993" t="str">
        <f>IF(BO24="","",'#minDung'!N138)</f>
        <v/>
      </c>
      <c r="BN24" s="986" t="str">
        <f>IF(BO24="","",VLOOKUP(BO24,'#minDung'!$O$126:$Q$195,'#minDung'!$P$124,FALSE))</f>
        <v/>
      </c>
      <c r="BO24" s="988" t="str">
        <f>'#minDung'!K138</f>
        <v/>
      </c>
      <c r="BP24" s="608" t="str">
        <f>IF(BO24="","",VLOOKUP(BO24,Tab_min[[Mineraldünger]:[Kalkwirkung je 100 kg Dünger]],'#min'!$F$1,FALSE))</f>
        <v/>
      </c>
      <c r="BQ24" s="567" t="str">
        <f>IF(BO24="","",VLOOKUP(BO24,Tab_min[[Mineraldünger]:[Kalkwirkung je 100 kg Dünger]],'#min'!$G$1,FALSE))</f>
        <v/>
      </c>
      <c r="BR24" s="570" t="str">
        <f>IF(BO24="","",VLOOKUP(BO24,Tab_min[[Mineraldünger]:[Kalkwirkung je 100 kg Dünger]],'#min'!$H$1,FALSE))</f>
        <v/>
      </c>
      <c r="BS24" s="570" t="str">
        <f>IF(BO24="","",VLOOKUP(BO24,Tab_min[[Mineraldünger]:[Kalkwirkung je 100 kg Dünger]],'#min'!$J$1,FALSE))</f>
        <v/>
      </c>
      <c r="BT24" s="569" t="str">
        <f t="shared" si="24"/>
        <v/>
      </c>
      <c r="BU24" s="576" t="str">
        <f t="shared" si="25"/>
        <v/>
      </c>
      <c r="BV24" s="54" t="str">
        <f t="shared" si="26"/>
        <v/>
      </c>
      <c r="BW24" s="54" t="str">
        <f t="shared" si="27"/>
        <v/>
      </c>
      <c r="BX24" s="54" t="str">
        <f t="shared" si="28"/>
        <v/>
      </c>
      <c r="BY24" s="54" t="str">
        <f t="shared" si="29"/>
        <v/>
      </c>
      <c r="BZ24" s="54" t="str">
        <f t="shared" si="30"/>
        <v/>
      </c>
      <c r="CA24" s="54" t="str">
        <f t="shared" si="31"/>
        <v/>
      </c>
      <c r="CB24" s="54" t="str">
        <f t="shared" si="32"/>
        <v/>
      </c>
      <c r="CC24" s="54" t="str">
        <f t="shared" si="33"/>
        <v/>
      </c>
      <c r="CD24" s="54" t="str">
        <f t="shared" si="34"/>
        <v/>
      </c>
      <c r="CE24" s="54" t="str">
        <f t="shared" si="35"/>
        <v/>
      </c>
      <c r="CF24" s="54"/>
      <c r="CG24"/>
      <c r="CI24" s="993" t="str">
        <f>IF(CJ24=0,"",'#BerechnungDBE'!I141)</f>
        <v/>
      </c>
      <c r="CJ24" s="992">
        <f>_xlfn.AGGREGATE(14,4,'#BerechnungDBE'!$J$129:$J$494,'#BerechnungDBE'!I141)</f>
        <v>0</v>
      </c>
      <c r="CK24" s="1667" t="str">
        <f>IF(CJ24=0,"",VLOOKUP(CJ24,'#BerechnungDBE'!$J$129:$K$494,2,FALSE))</f>
        <v/>
      </c>
      <c r="CL24" s="1668"/>
    </row>
    <row r="25" spans="1:90" ht="15" customHeight="1" x14ac:dyDescent="0.2">
      <c r="B25" s="1344" t="s">
        <v>1593</v>
      </c>
      <c r="C25" s="78"/>
      <c r="D25" s="78"/>
      <c r="E25" s="78"/>
      <c r="F25" s="78"/>
      <c r="G25" s="78"/>
      <c r="H25" s="78"/>
      <c r="I25" s="78"/>
      <c r="J25" s="78"/>
      <c r="K25" s="78"/>
      <c r="L25" s="78" t="str">
        <f>IF('#BerechnungDBE'!N115=0,"Keine roten Flächen im Betrieb",IF('#Kürzungen'!F2=2,"nach Regel 160/80","nach Kürzung 20 %"))</f>
        <v>Keine roten Flächen im Betrieb</v>
      </c>
      <c r="M25" s="78"/>
      <c r="N25" s="78"/>
      <c r="O25" s="1345" t="str">
        <f>IF('#BerechnungDBE'!N115=0,"",IF(AND('#Kürzungen'!AI232&lt;=0,S13=1),"ja","nein"))</f>
        <v/>
      </c>
      <c r="W25" s="980" t="str">
        <f>IF(Y25="","",'#orgDung'!AE148)</f>
        <v/>
      </c>
      <c r="X25" s="986" t="str">
        <f>IF(Y25="","",VLOOKUP(Y25,'#orgDung'!$AF$135:$AG$187,'#orgDung'!$AG$133,FALSE))</f>
        <v/>
      </c>
      <c r="Y25" s="987" t="str">
        <f>'#orgDung'!AB148</f>
        <v/>
      </c>
      <c r="Z25" s="981" t="str">
        <f>IF(Y25="","",VLOOKUP(Y25,Tab_org21[[Dünger]:[anrechenbarer N bei DBE Grünland]],'#org22'!$L$1,FALSE))</f>
        <v/>
      </c>
      <c r="AA25" s="608" t="str">
        <f>IF(Y25="","",VLOOKUP(Y25,Tab_org21[[Dünger]:[anrechenbarer N bei DBE Grünland]],'#org22'!$D$1,FALSE))</f>
        <v/>
      </c>
      <c r="AB25" s="570" t="str">
        <f>IF(Y25="","",VLOOKUP(Y25,Tab_org21[[Dünger]:[anrechenbarer N bei DBE Grünland]],'#org22'!$P$1,FALSE))</f>
        <v/>
      </c>
      <c r="AC25" s="570" t="str">
        <f>IF(Y25="","",VLOOKUP(Y25,Tab_org21[[Dünger]:[anrechenbarer N bei DBE Grünland]],'#org22'!$Q$1,FALSE))</f>
        <v/>
      </c>
      <c r="AD25" s="569" t="str">
        <f>IF(Y25="","",VLOOKUP(Y25,Tab_org21[[Dünger]:[anrechenbarer N bei DBE Grünland]],'#org22'!$W$1,FALSE))</f>
        <v/>
      </c>
      <c r="AE25" s="570" t="str">
        <f>IF(Y25="","",VLOOKUP(Y25,Tab_org21[[Dünger]:[anrechenbarer N bei DBE Grünland]],'#org22'!$R$1,FALSE))</f>
        <v/>
      </c>
      <c r="AF25" s="569" t="str">
        <f>IF(Y25="","",VLOOKUP(Y25,Tab_org21[[Dünger]:[anrechenbarer N bei DBE Grünland]],'#org22'!$X$1,FALSE))</f>
        <v/>
      </c>
      <c r="AG25" s="569" t="str">
        <f t="shared" si="2"/>
        <v/>
      </c>
      <c r="AH25" s="576" t="str">
        <f t="shared" si="3"/>
        <v/>
      </c>
      <c r="AI25" s="549" t="str">
        <f t="shared" si="36"/>
        <v/>
      </c>
      <c r="AJ25" s="549" t="str">
        <f t="shared" si="4"/>
        <v/>
      </c>
      <c r="AK25" s="549" t="str">
        <f t="shared" si="5"/>
        <v/>
      </c>
      <c r="AL25" s="549" t="str">
        <f t="shared" si="6"/>
        <v/>
      </c>
      <c r="AM25" s="549" t="str">
        <f t="shared" si="7"/>
        <v/>
      </c>
      <c r="AN25" s="549" t="str">
        <f t="shared" si="8"/>
        <v/>
      </c>
      <c r="AO25" s="549" t="str">
        <f t="shared" si="9"/>
        <v/>
      </c>
      <c r="AP25" s="549" t="str">
        <f t="shared" si="10"/>
        <v/>
      </c>
      <c r="AQ25" s="549" t="str">
        <f t="shared" si="11"/>
        <v/>
      </c>
      <c r="AR25" s="549" t="str">
        <f t="shared" si="12"/>
        <v/>
      </c>
      <c r="AS25" s="549" t="str">
        <f t="shared" si="13"/>
        <v/>
      </c>
      <c r="AT25" s="549" t="str">
        <f t="shared" si="14"/>
        <v/>
      </c>
      <c r="AU25" s="549" t="str">
        <f t="shared" si="15"/>
        <v/>
      </c>
      <c r="AV25" s="549" t="str">
        <f t="shared" si="16"/>
        <v/>
      </c>
      <c r="AW25" s="549"/>
      <c r="AX25" s="549" t="str">
        <f t="shared" si="17"/>
        <v/>
      </c>
      <c r="AY25" s="549" t="str">
        <f>IF(Y25="","",VLOOKUP(Y25,'#orgDung'!$AF$135:$AH$187,'#orgDung'!$AH$133,FALSE))</f>
        <v/>
      </c>
      <c r="AZ25" s="549" t="str">
        <f t="shared" si="18"/>
        <v/>
      </c>
      <c r="BA25" s="549" t="str">
        <f t="shared" si="19"/>
        <v/>
      </c>
      <c r="BB25" s="549" t="str">
        <f>IF(Y25="","",VLOOKUP(Y25,Tab_org21[[Dünger]:[anrechenbarer N bei DBE Grünland]],'#org22'!$H$1,FALSE))</f>
        <v/>
      </c>
      <c r="BC25" s="549" t="str">
        <f t="shared" si="20"/>
        <v/>
      </c>
      <c r="BD25" s="549" t="str">
        <f t="shared" si="21"/>
        <v/>
      </c>
      <c r="BE25" s="549" t="str">
        <f>IF(Y25="","",VLOOKUP(Y25,Tab_org21[[Dünger]:[anrechenbarer N bei DBE Grünland]],'#org22'!$Z$1,FALSE))</f>
        <v/>
      </c>
      <c r="BF25" s="549" t="str">
        <f t="shared" si="22"/>
        <v/>
      </c>
      <c r="BG25" s="549" t="str">
        <f t="shared" si="23"/>
        <v/>
      </c>
      <c r="BH25" s="549"/>
      <c r="BI25" s="549"/>
      <c r="BJ25" s="549"/>
      <c r="BK25" s="551"/>
      <c r="BL25" s="551"/>
      <c r="BM25" s="993" t="str">
        <f>IF(BO25="","",'#minDung'!N139)</f>
        <v/>
      </c>
      <c r="BN25" s="986" t="str">
        <f>IF(BO25="","",VLOOKUP(BO25,'#minDung'!$O$126:$Q$195,'#minDung'!$P$124,FALSE))</f>
        <v/>
      </c>
      <c r="BO25" s="988" t="str">
        <f>'#minDung'!K139</f>
        <v/>
      </c>
      <c r="BP25" s="608" t="str">
        <f>IF(BO25="","",VLOOKUP(BO25,Tab_min[[Mineraldünger]:[Kalkwirkung je 100 kg Dünger]],'#min'!$F$1,FALSE))</f>
        <v/>
      </c>
      <c r="BQ25" s="567" t="str">
        <f>IF(BO25="","",VLOOKUP(BO25,Tab_min[[Mineraldünger]:[Kalkwirkung je 100 kg Dünger]],'#min'!$G$1,FALSE))</f>
        <v/>
      </c>
      <c r="BR25" s="570" t="str">
        <f>IF(BO25="","",VLOOKUP(BO25,Tab_min[[Mineraldünger]:[Kalkwirkung je 100 kg Dünger]],'#min'!$H$1,FALSE))</f>
        <v/>
      </c>
      <c r="BS25" s="570" t="str">
        <f>IF(BO25="","",VLOOKUP(BO25,Tab_min[[Mineraldünger]:[Kalkwirkung je 100 kg Dünger]],'#min'!$J$1,FALSE))</f>
        <v/>
      </c>
      <c r="BT25" s="569" t="str">
        <f t="shared" si="24"/>
        <v/>
      </c>
      <c r="BU25" s="576" t="str">
        <f t="shared" si="25"/>
        <v/>
      </c>
      <c r="BV25" s="54" t="str">
        <f t="shared" si="26"/>
        <v/>
      </c>
      <c r="BW25" s="54" t="str">
        <f t="shared" si="27"/>
        <v/>
      </c>
      <c r="BX25" s="54" t="str">
        <f t="shared" si="28"/>
        <v/>
      </c>
      <c r="BY25" s="54" t="str">
        <f t="shared" si="29"/>
        <v/>
      </c>
      <c r="BZ25" s="54" t="str">
        <f t="shared" si="30"/>
        <v/>
      </c>
      <c r="CA25" s="54" t="str">
        <f t="shared" si="31"/>
        <v/>
      </c>
      <c r="CB25" s="54" t="str">
        <f t="shared" si="32"/>
        <v/>
      </c>
      <c r="CC25" s="54" t="str">
        <f t="shared" si="33"/>
        <v/>
      </c>
      <c r="CD25" s="54" t="str">
        <f t="shared" si="34"/>
        <v/>
      </c>
      <c r="CE25" s="54" t="str">
        <f t="shared" si="35"/>
        <v/>
      </c>
      <c r="CF25" s="54"/>
      <c r="CG25"/>
      <c r="CI25" s="993" t="str">
        <f>IF(CJ25=0,"",'#BerechnungDBE'!I142)</f>
        <v/>
      </c>
      <c r="CJ25" s="992">
        <f>_xlfn.AGGREGATE(14,4,'#BerechnungDBE'!$J$129:$J$494,'#BerechnungDBE'!I142)</f>
        <v>0</v>
      </c>
      <c r="CK25" s="1667" t="str">
        <f>IF(CJ25=0,"",VLOOKUP(CJ25,'#BerechnungDBE'!$J$129:$K$494,2,FALSE))</f>
        <v/>
      </c>
      <c r="CL25" s="1668"/>
    </row>
    <row r="26" spans="1:90" ht="15" customHeight="1" x14ac:dyDescent="0.2">
      <c r="B26" s="1760" t="s">
        <v>1595</v>
      </c>
      <c r="C26" s="1761"/>
      <c r="D26" s="1761"/>
      <c r="E26" s="1761"/>
      <c r="F26" s="1761"/>
      <c r="G26" s="1761"/>
      <c r="H26" s="1761"/>
      <c r="I26" s="1761"/>
      <c r="J26" s="1704" t="str">
        <f>IF(OR('#Kürzungen'!F2=2,'#BerechnungDBE'!N115=0),"--",IF(S13=2,"n.b.",'#BerechnungDBE'!AX115))</f>
        <v>--</v>
      </c>
      <c r="K26" s="1706" t="s">
        <v>155</v>
      </c>
      <c r="L26" s="563"/>
      <c r="M26" s="46"/>
      <c r="N26" s="46"/>
      <c r="O26" s="1330"/>
      <c r="W26" s="980" t="str">
        <f>IF(Y26="","",'#orgDung'!AE149)</f>
        <v/>
      </c>
      <c r="X26" s="986" t="str">
        <f>IF(Y26="","",VLOOKUP(Y26,'#orgDung'!$AF$135:$AG$187,'#orgDung'!$AG$133,FALSE))</f>
        <v/>
      </c>
      <c r="Y26" s="987" t="str">
        <f>'#orgDung'!AB149</f>
        <v/>
      </c>
      <c r="Z26" s="981" t="str">
        <f>IF(Y26="","",VLOOKUP(Y26,Tab_org21[[Dünger]:[anrechenbarer N bei DBE Grünland]],'#org22'!$L$1,FALSE))</f>
        <v/>
      </c>
      <c r="AA26" s="608" t="str">
        <f>IF(Y26="","",VLOOKUP(Y26,Tab_org21[[Dünger]:[anrechenbarer N bei DBE Grünland]],'#org22'!$D$1,FALSE))</f>
        <v/>
      </c>
      <c r="AB26" s="570" t="str">
        <f>IF(Y26="","",VLOOKUP(Y26,Tab_org21[[Dünger]:[anrechenbarer N bei DBE Grünland]],'#org22'!$P$1,FALSE))</f>
        <v/>
      </c>
      <c r="AC26" s="570" t="str">
        <f>IF(Y26="","",VLOOKUP(Y26,Tab_org21[[Dünger]:[anrechenbarer N bei DBE Grünland]],'#org22'!$Q$1,FALSE))</f>
        <v/>
      </c>
      <c r="AD26" s="569" t="str">
        <f>IF(Y26="","",VLOOKUP(Y26,Tab_org21[[Dünger]:[anrechenbarer N bei DBE Grünland]],'#org22'!$W$1,FALSE))</f>
        <v/>
      </c>
      <c r="AE26" s="570" t="str">
        <f>IF(Y26="","",VLOOKUP(Y26,Tab_org21[[Dünger]:[anrechenbarer N bei DBE Grünland]],'#org22'!$R$1,FALSE))</f>
        <v/>
      </c>
      <c r="AF26" s="569" t="str">
        <f>IF(Y26="","",VLOOKUP(Y26,Tab_org21[[Dünger]:[anrechenbarer N bei DBE Grünland]],'#org22'!$X$1,FALSE))</f>
        <v/>
      </c>
      <c r="AG26" s="569" t="str">
        <f t="shared" si="2"/>
        <v/>
      </c>
      <c r="AH26" s="576" t="str">
        <f t="shared" si="3"/>
        <v/>
      </c>
      <c r="AI26" s="549" t="str">
        <f t="shared" si="36"/>
        <v/>
      </c>
      <c r="AJ26" s="549" t="str">
        <f t="shared" si="4"/>
        <v/>
      </c>
      <c r="AK26" s="549" t="str">
        <f t="shared" si="5"/>
        <v/>
      </c>
      <c r="AL26" s="549" t="str">
        <f t="shared" si="6"/>
        <v/>
      </c>
      <c r="AM26" s="549" t="str">
        <f t="shared" si="7"/>
        <v/>
      </c>
      <c r="AN26" s="549" t="str">
        <f t="shared" si="8"/>
        <v/>
      </c>
      <c r="AO26" s="549" t="str">
        <f t="shared" si="9"/>
        <v/>
      </c>
      <c r="AP26" s="549" t="str">
        <f t="shared" si="10"/>
        <v/>
      </c>
      <c r="AQ26" s="549" t="str">
        <f t="shared" si="11"/>
        <v/>
      </c>
      <c r="AR26" s="549" t="str">
        <f t="shared" si="12"/>
        <v/>
      </c>
      <c r="AS26" s="549" t="str">
        <f t="shared" si="13"/>
        <v/>
      </c>
      <c r="AT26" s="549" t="str">
        <f t="shared" si="14"/>
        <v/>
      </c>
      <c r="AU26" s="549" t="str">
        <f t="shared" si="15"/>
        <v/>
      </c>
      <c r="AV26" s="549" t="str">
        <f t="shared" si="16"/>
        <v/>
      </c>
      <c r="AW26" s="549"/>
      <c r="AX26" s="549" t="str">
        <f t="shared" si="17"/>
        <v/>
      </c>
      <c r="AY26" s="549" t="str">
        <f>IF(Y26="","",VLOOKUP(Y26,'#orgDung'!$AF$135:$AH$187,'#orgDung'!$AH$133,FALSE))</f>
        <v/>
      </c>
      <c r="AZ26" s="549" t="str">
        <f t="shared" si="18"/>
        <v/>
      </c>
      <c r="BA26" s="549" t="str">
        <f t="shared" si="19"/>
        <v/>
      </c>
      <c r="BB26" s="549" t="str">
        <f>IF(Y26="","",VLOOKUP(Y26,Tab_org21[[Dünger]:[anrechenbarer N bei DBE Grünland]],'#org22'!$H$1,FALSE))</f>
        <v/>
      </c>
      <c r="BC26" s="549" t="str">
        <f t="shared" si="20"/>
        <v/>
      </c>
      <c r="BD26" s="549" t="str">
        <f t="shared" si="21"/>
        <v/>
      </c>
      <c r="BE26" s="549" t="str">
        <f>IF(Y26="","",VLOOKUP(Y26,Tab_org21[[Dünger]:[anrechenbarer N bei DBE Grünland]],'#org22'!$Z$1,FALSE))</f>
        <v/>
      </c>
      <c r="BF26" s="549" t="str">
        <f t="shared" si="22"/>
        <v/>
      </c>
      <c r="BG26" s="549" t="str">
        <f t="shared" si="23"/>
        <v/>
      </c>
      <c r="BH26" s="549"/>
      <c r="BI26" s="549"/>
      <c r="BJ26" s="549"/>
      <c r="BK26" s="551"/>
      <c r="BL26" s="551"/>
      <c r="BM26" s="993" t="str">
        <f>IF(BO26="","",'#minDung'!N140)</f>
        <v/>
      </c>
      <c r="BN26" s="986" t="str">
        <f>IF(BO26="","",VLOOKUP(BO26,'#minDung'!$O$126:$Q$195,'#minDung'!$P$124,FALSE))</f>
        <v/>
      </c>
      <c r="BO26" s="988" t="str">
        <f>'#minDung'!K140</f>
        <v/>
      </c>
      <c r="BP26" s="608" t="str">
        <f>IF(BO26="","",VLOOKUP(BO26,Tab_min[[Mineraldünger]:[Kalkwirkung je 100 kg Dünger]],'#min'!$F$1,FALSE))</f>
        <v/>
      </c>
      <c r="BQ26" s="567" t="str">
        <f>IF(BO26="","",VLOOKUP(BO26,Tab_min[[Mineraldünger]:[Kalkwirkung je 100 kg Dünger]],'#min'!$G$1,FALSE))</f>
        <v/>
      </c>
      <c r="BR26" s="570" t="str">
        <f>IF(BO26="","",VLOOKUP(BO26,Tab_min[[Mineraldünger]:[Kalkwirkung je 100 kg Dünger]],'#min'!$H$1,FALSE))</f>
        <v/>
      </c>
      <c r="BS26" s="570" t="str">
        <f>IF(BO26="","",VLOOKUP(BO26,Tab_min[[Mineraldünger]:[Kalkwirkung je 100 kg Dünger]],'#min'!$J$1,FALSE))</f>
        <v/>
      </c>
      <c r="BT26" s="569" t="str">
        <f t="shared" si="24"/>
        <v/>
      </c>
      <c r="BU26" s="576" t="str">
        <f t="shared" si="25"/>
        <v/>
      </c>
      <c r="BV26" s="54" t="str">
        <f t="shared" si="26"/>
        <v/>
      </c>
      <c r="BW26" s="54" t="str">
        <f t="shared" si="27"/>
        <v/>
      </c>
      <c r="BX26" s="54" t="str">
        <f t="shared" si="28"/>
        <v/>
      </c>
      <c r="BY26" s="54" t="str">
        <f t="shared" si="29"/>
        <v/>
      </c>
      <c r="BZ26" s="54" t="str">
        <f t="shared" si="30"/>
        <v/>
      </c>
      <c r="CA26" s="54" t="str">
        <f t="shared" si="31"/>
        <v/>
      </c>
      <c r="CB26" s="54" t="str">
        <f t="shared" si="32"/>
        <v/>
      </c>
      <c r="CC26" s="54" t="str">
        <f t="shared" si="33"/>
        <v/>
      </c>
      <c r="CD26" s="54" t="str">
        <f t="shared" si="34"/>
        <v/>
      </c>
      <c r="CE26" s="54" t="str">
        <f t="shared" si="35"/>
        <v/>
      </c>
      <c r="CF26" s="54"/>
      <c r="CG26"/>
      <c r="CI26" s="993" t="str">
        <f>IF(CJ26=0,"",'#BerechnungDBE'!I143)</f>
        <v/>
      </c>
      <c r="CJ26" s="992">
        <f>_xlfn.AGGREGATE(14,4,'#BerechnungDBE'!$J$129:$J$494,'#BerechnungDBE'!I143)</f>
        <v>0</v>
      </c>
      <c r="CK26" s="1667" t="str">
        <f>IF(CJ26=0,"",VLOOKUP(CJ26,'#BerechnungDBE'!$J$129:$K$494,2,FALSE))</f>
        <v/>
      </c>
      <c r="CL26" s="1668"/>
    </row>
    <row r="27" spans="1:90" ht="15" customHeight="1" x14ac:dyDescent="0.2">
      <c r="B27" s="1762"/>
      <c r="C27" s="1519"/>
      <c r="D27" s="1519"/>
      <c r="E27" s="1519"/>
      <c r="F27" s="1519"/>
      <c r="G27" s="1519"/>
      <c r="H27" s="1519"/>
      <c r="I27" s="1519"/>
      <c r="J27" s="1705"/>
      <c r="K27" s="1707"/>
      <c r="L27" s="170"/>
      <c r="M27" s="46"/>
      <c r="N27" s="46"/>
      <c r="O27" s="1330"/>
      <c r="W27" s="980" t="str">
        <f>IF(Y27="","",'#orgDung'!AE150)</f>
        <v/>
      </c>
      <c r="X27" s="986" t="str">
        <f>IF(Y27="","",VLOOKUP(Y27,'#orgDung'!$AF$135:$AG$187,'#orgDung'!$AG$133,FALSE))</f>
        <v/>
      </c>
      <c r="Y27" s="987" t="str">
        <f>'#orgDung'!AB150</f>
        <v/>
      </c>
      <c r="Z27" s="981" t="str">
        <f>IF(Y27="","",VLOOKUP(Y27,Tab_org21[[Dünger]:[anrechenbarer N bei DBE Grünland]],'#org22'!$L$1,FALSE))</f>
        <v/>
      </c>
      <c r="AA27" s="608" t="str">
        <f>IF(Y27="","",VLOOKUP(Y27,Tab_org21[[Dünger]:[anrechenbarer N bei DBE Grünland]],'#org22'!$D$1,FALSE))</f>
        <v/>
      </c>
      <c r="AB27" s="570" t="str">
        <f>IF(Y27="","",VLOOKUP(Y27,Tab_org21[[Dünger]:[anrechenbarer N bei DBE Grünland]],'#org22'!$P$1,FALSE))</f>
        <v/>
      </c>
      <c r="AC27" s="570" t="str">
        <f>IF(Y27="","",VLOOKUP(Y27,Tab_org21[[Dünger]:[anrechenbarer N bei DBE Grünland]],'#org22'!$Q$1,FALSE))</f>
        <v/>
      </c>
      <c r="AD27" s="569" t="str">
        <f>IF(Y27="","",VLOOKUP(Y27,Tab_org21[[Dünger]:[anrechenbarer N bei DBE Grünland]],'#org22'!$W$1,FALSE))</f>
        <v/>
      </c>
      <c r="AE27" s="570" t="str">
        <f>IF(Y27="","",VLOOKUP(Y27,Tab_org21[[Dünger]:[anrechenbarer N bei DBE Grünland]],'#org22'!$R$1,FALSE))</f>
        <v/>
      </c>
      <c r="AF27" s="569" t="str">
        <f>IF(Y27="","",VLOOKUP(Y27,Tab_org21[[Dünger]:[anrechenbarer N bei DBE Grünland]],'#org22'!$X$1,FALSE))</f>
        <v/>
      </c>
      <c r="AG27" s="569" t="str">
        <f t="shared" si="2"/>
        <v/>
      </c>
      <c r="AH27" s="576" t="str">
        <f t="shared" si="3"/>
        <v/>
      </c>
      <c r="AI27" s="549" t="str">
        <f t="shared" si="36"/>
        <v/>
      </c>
      <c r="AJ27" s="549" t="str">
        <f t="shared" si="4"/>
        <v/>
      </c>
      <c r="AK27" s="549" t="str">
        <f t="shared" si="5"/>
        <v/>
      </c>
      <c r="AL27" s="549" t="str">
        <f t="shared" si="6"/>
        <v/>
      </c>
      <c r="AM27" s="549" t="str">
        <f t="shared" si="7"/>
        <v/>
      </c>
      <c r="AN27" s="549" t="str">
        <f t="shared" si="8"/>
        <v/>
      </c>
      <c r="AO27" s="549" t="str">
        <f t="shared" si="9"/>
        <v/>
      </c>
      <c r="AP27" s="549" t="str">
        <f t="shared" si="10"/>
        <v/>
      </c>
      <c r="AQ27" s="549" t="str">
        <f t="shared" si="11"/>
        <v/>
      </c>
      <c r="AR27" s="549" t="str">
        <f t="shared" si="12"/>
        <v/>
      </c>
      <c r="AS27" s="549" t="str">
        <f t="shared" si="13"/>
        <v/>
      </c>
      <c r="AT27" s="549" t="str">
        <f t="shared" si="14"/>
        <v/>
      </c>
      <c r="AU27" s="549" t="str">
        <f t="shared" si="15"/>
        <v/>
      </c>
      <c r="AV27" s="549" t="str">
        <f t="shared" si="16"/>
        <v/>
      </c>
      <c r="AW27" s="549"/>
      <c r="AX27" s="549" t="str">
        <f t="shared" si="17"/>
        <v/>
      </c>
      <c r="AY27" s="549" t="str">
        <f>IF(Y27="","",VLOOKUP(Y27,'#orgDung'!$AF$135:$AH$187,'#orgDung'!$AH$133,FALSE))</f>
        <v/>
      </c>
      <c r="AZ27" s="549" t="str">
        <f t="shared" si="18"/>
        <v/>
      </c>
      <c r="BA27" s="549" t="str">
        <f t="shared" si="19"/>
        <v/>
      </c>
      <c r="BB27" s="549" t="str">
        <f>IF(Y27="","",VLOOKUP(Y27,Tab_org21[[Dünger]:[anrechenbarer N bei DBE Grünland]],'#org22'!$H$1,FALSE))</f>
        <v/>
      </c>
      <c r="BC27" s="549" t="str">
        <f t="shared" si="20"/>
        <v/>
      </c>
      <c r="BD27" s="549" t="str">
        <f t="shared" si="21"/>
        <v/>
      </c>
      <c r="BE27" s="549" t="str">
        <f>IF(Y27="","",VLOOKUP(Y27,Tab_org21[[Dünger]:[anrechenbarer N bei DBE Grünland]],'#org22'!$Z$1,FALSE))</f>
        <v/>
      </c>
      <c r="BF27" s="549" t="str">
        <f t="shared" si="22"/>
        <v/>
      </c>
      <c r="BG27" s="549" t="str">
        <f t="shared" si="23"/>
        <v/>
      </c>
      <c r="BH27" s="549"/>
      <c r="BI27" s="549"/>
      <c r="BJ27" s="549"/>
      <c r="BK27" s="551"/>
      <c r="BL27" s="551"/>
      <c r="BM27" s="993" t="str">
        <f>IF(BO27="","",'#minDung'!N141)</f>
        <v/>
      </c>
      <c r="BN27" s="986" t="str">
        <f>IF(BO27="","",VLOOKUP(BO27,'#minDung'!$O$126:$Q$195,'#minDung'!$P$124,FALSE))</f>
        <v/>
      </c>
      <c r="BO27" s="988" t="str">
        <f>'#minDung'!K141</f>
        <v/>
      </c>
      <c r="BP27" s="608" t="str">
        <f>IF(BO27="","",VLOOKUP(BO27,Tab_min[[Mineraldünger]:[Kalkwirkung je 100 kg Dünger]],'#min'!$F$1,FALSE))</f>
        <v/>
      </c>
      <c r="BQ27" s="567" t="str">
        <f>IF(BO27="","",VLOOKUP(BO27,Tab_min[[Mineraldünger]:[Kalkwirkung je 100 kg Dünger]],'#min'!$G$1,FALSE))</f>
        <v/>
      </c>
      <c r="BR27" s="570" t="str">
        <f>IF(BO27="","",VLOOKUP(BO27,Tab_min[[Mineraldünger]:[Kalkwirkung je 100 kg Dünger]],'#min'!$H$1,FALSE))</f>
        <v/>
      </c>
      <c r="BS27" s="570" t="str">
        <f>IF(BO27="","",VLOOKUP(BO27,Tab_min[[Mineraldünger]:[Kalkwirkung je 100 kg Dünger]],'#min'!$J$1,FALSE))</f>
        <v/>
      </c>
      <c r="BT27" s="569" t="str">
        <f t="shared" si="24"/>
        <v/>
      </c>
      <c r="BU27" s="576" t="str">
        <f t="shared" si="25"/>
        <v/>
      </c>
      <c r="BV27" s="54" t="str">
        <f t="shared" si="26"/>
        <v/>
      </c>
      <c r="BW27" s="54" t="str">
        <f t="shared" si="27"/>
        <v/>
      </c>
      <c r="BX27" s="54" t="str">
        <f t="shared" si="28"/>
        <v/>
      </c>
      <c r="BY27" s="54" t="str">
        <f t="shared" si="29"/>
        <v/>
      </c>
      <c r="BZ27" s="54" t="str">
        <f t="shared" si="30"/>
        <v/>
      </c>
      <c r="CA27" s="54" t="str">
        <f t="shared" si="31"/>
        <v/>
      </c>
      <c r="CB27" s="54" t="str">
        <f t="shared" si="32"/>
        <v/>
      </c>
      <c r="CC27" s="54" t="str">
        <f t="shared" si="33"/>
        <v/>
      </c>
      <c r="CD27" s="54" t="str">
        <f t="shared" si="34"/>
        <v/>
      </c>
      <c r="CE27" s="54" t="str">
        <f t="shared" si="35"/>
        <v/>
      </c>
      <c r="CF27" s="54"/>
      <c r="CG27"/>
      <c r="CI27" s="993" t="str">
        <f>IF(CJ27=0,"",'#BerechnungDBE'!I144)</f>
        <v/>
      </c>
      <c r="CJ27" s="992">
        <f>_xlfn.AGGREGATE(14,4,'#BerechnungDBE'!$J$129:$J$494,'#BerechnungDBE'!I144)</f>
        <v>0</v>
      </c>
      <c r="CK27" s="1667" t="str">
        <f>IF(CJ27=0,"",VLOOKUP(CJ27,'#BerechnungDBE'!$J$129:$K$494,2,FALSE))</f>
        <v/>
      </c>
      <c r="CL27" s="1668"/>
    </row>
    <row r="28" spans="1:90" ht="15" customHeight="1" x14ac:dyDescent="0.2">
      <c r="B28" s="1346" t="s">
        <v>1596</v>
      </c>
      <c r="C28" s="1347"/>
      <c r="D28" s="1347"/>
      <c r="E28" s="1347"/>
      <c r="F28" s="1347"/>
      <c r="G28" s="1347"/>
      <c r="H28" s="1347"/>
      <c r="I28" s="1347"/>
      <c r="J28" s="1348" t="str">
        <f>IF(OR('#Kürzungen'!F2=2,'#BerechnungDBE'!N115=0),"--",IF(S13=2,"n.b.",J26*0.2))</f>
        <v>--</v>
      </c>
      <c r="K28" s="1349" t="s">
        <v>155</v>
      </c>
      <c r="L28" s="170"/>
      <c r="M28" s="46"/>
      <c r="N28" s="46"/>
      <c r="O28" s="1330"/>
      <c r="W28" s="980" t="str">
        <f>IF(Y28="","",'#orgDung'!AE151)</f>
        <v/>
      </c>
      <c r="X28" s="986" t="str">
        <f>IF(Y28="","",VLOOKUP(Y28,'#orgDung'!$AF$135:$AG$187,'#orgDung'!$AG$133,FALSE))</f>
        <v/>
      </c>
      <c r="Y28" s="987" t="str">
        <f>'#orgDung'!AB151</f>
        <v/>
      </c>
      <c r="Z28" s="981" t="str">
        <f>IF(Y28="","",VLOOKUP(Y28,Tab_org21[[Dünger]:[anrechenbarer N bei DBE Grünland]],'#org22'!$L$1,FALSE))</f>
        <v/>
      </c>
      <c r="AA28" s="608" t="str">
        <f>IF(Y28="","",VLOOKUP(Y28,Tab_org21[[Dünger]:[anrechenbarer N bei DBE Grünland]],'#org22'!$D$1,FALSE))</f>
        <v/>
      </c>
      <c r="AB28" s="570" t="str">
        <f>IF(Y28="","",VLOOKUP(Y28,Tab_org21[[Dünger]:[anrechenbarer N bei DBE Grünland]],'#org22'!$P$1,FALSE))</f>
        <v/>
      </c>
      <c r="AC28" s="570" t="str">
        <f>IF(Y28="","",VLOOKUP(Y28,Tab_org21[[Dünger]:[anrechenbarer N bei DBE Grünland]],'#org22'!$Q$1,FALSE))</f>
        <v/>
      </c>
      <c r="AD28" s="569" t="str">
        <f>IF(Y28="","",VLOOKUP(Y28,Tab_org21[[Dünger]:[anrechenbarer N bei DBE Grünland]],'#org22'!$W$1,FALSE))</f>
        <v/>
      </c>
      <c r="AE28" s="570" t="str">
        <f>IF(Y28="","",VLOOKUP(Y28,Tab_org21[[Dünger]:[anrechenbarer N bei DBE Grünland]],'#org22'!$R$1,FALSE))</f>
        <v/>
      </c>
      <c r="AF28" s="569" t="str">
        <f>IF(Y28="","",VLOOKUP(Y28,Tab_org21[[Dünger]:[anrechenbarer N bei DBE Grünland]],'#org22'!$X$1,FALSE))</f>
        <v/>
      </c>
      <c r="AG28" s="569" t="str">
        <f t="shared" si="2"/>
        <v/>
      </c>
      <c r="AH28" s="576" t="str">
        <f t="shared" si="3"/>
        <v/>
      </c>
      <c r="AI28" s="549" t="str">
        <f t="shared" si="36"/>
        <v/>
      </c>
      <c r="AJ28" s="549" t="str">
        <f t="shared" si="4"/>
        <v/>
      </c>
      <c r="AK28" s="549" t="str">
        <f t="shared" si="5"/>
        <v/>
      </c>
      <c r="AL28" s="549" t="str">
        <f t="shared" si="6"/>
        <v/>
      </c>
      <c r="AM28" s="549" t="str">
        <f t="shared" si="7"/>
        <v/>
      </c>
      <c r="AN28" s="549" t="str">
        <f t="shared" si="8"/>
        <v/>
      </c>
      <c r="AO28" s="549" t="str">
        <f t="shared" si="9"/>
        <v/>
      </c>
      <c r="AP28" s="549" t="str">
        <f t="shared" si="10"/>
        <v/>
      </c>
      <c r="AQ28" s="549" t="str">
        <f t="shared" si="11"/>
        <v/>
      </c>
      <c r="AR28" s="549" t="str">
        <f t="shared" si="12"/>
        <v/>
      </c>
      <c r="AS28" s="549" t="str">
        <f t="shared" si="13"/>
        <v/>
      </c>
      <c r="AT28" s="549" t="str">
        <f t="shared" si="14"/>
        <v/>
      </c>
      <c r="AU28" s="549" t="str">
        <f t="shared" si="15"/>
        <v/>
      </c>
      <c r="AV28" s="549" t="str">
        <f t="shared" si="16"/>
        <v/>
      </c>
      <c r="AW28" s="549"/>
      <c r="AX28" s="549" t="str">
        <f t="shared" si="17"/>
        <v/>
      </c>
      <c r="AY28" s="549" t="str">
        <f>IF(Y28="","",VLOOKUP(Y28,'#orgDung'!$AF$135:$AH$187,'#orgDung'!$AH$133,FALSE))</f>
        <v/>
      </c>
      <c r="AZ28" s="549" t="str">
        <f t="shared" si="18"/>
        <v/>
      </c>
      <c r="BA28" s="549" t="str">
        <f t="shared" si="19"/>
        <v/>
      </c>
      <c r="BB28" s="549" t="str">
        <f>IF(Y28="","",VLOOKUP(Y28,Tab_org21[[Dünger]:[anrechenbarer N bei DBE Grünland]],'#org22'!$H$1,FALSE))</f>
        <v/>
      </c>
      <c r="BC28" s="549" t="str">
        <f t="shared" si="20"/>
        <v/>
      </c>
      <c r="BD28" s="549" t="str">
        <f t="shared" si="21"/>
        <v/>
      </c>
      <c r="BE28" s="549" t="str">
        <f>IF(Y28="","",VLOOKUP(Y28,Tab_org21[[Dünger]:[anrechenbarer N bei DBE Grünland]],'#org22'!$Z$1,FALSE))</f>
        <v/>
      </c>
      <c r="BF28" s="549" t="str">
        <f t="shared" si="22"/>
        <v/>
      </c>
      <c r="BG28" s="549" t="str">
        <f t="shared" si="23"/>
        <v/>
      </c>
      <c r="BH28" s="549"/>
      <c r="BI28" s="549"/>
      <c r="BJ28" s="549"/>
      <c r="BK28" s="551"/>
      <c r="BL28" s="551"/>
      <c r="BM28" s="993" t="str">
        <f>IF(BO28="","",'#minDung'!N142)</f>
        <v/>
      </c>
      <c r="BN28" s="986" t="str">
        <f>IF(BO28="","",VLOOKUP(BO28,'#minDung'!$O$126:$Q$195,'#minDung'!$P$124,FALSE))</f>
        <v/>
      </c>
      <c r="BO28" s="988" t="str">
        <f>'#minDung'!K142</f>
        <v/>
      </c>
      <c r="BP28" s="608" t="str">
        <f>IF(BO28="","",VLOOKUP(BO28,Tab_min[[Mineraldünger]:[Kalkwirkung je 100 kg Dünger]],'#min'!$F$1,FALSE))</f>
        <v/>
      </c>
      <c r="BQ28" s="567" t="str">
        <f>IF(BO28="","",VLOOKUP(BO28,Tab_min[[Mineraldünger]:[Kalkwirkung je 100 kg Dünger]],'#min'!$G$1,FALSE))</f>
        <v/>
      </c>
      <c r="BR28" s="570" t="str">
        <f>IF(BO28="","",VLOOKUP(BO28,Tab_min[[Mineraldünger]:[Kalkwirkung je 100 kg Dünger]],'#min'!$H$1,FALSE))</f>
        <v/>
      </c>
      <c r="BS28" s="570" t="str">
        <f>IF(BO28="","",VLOOKUP(BO28,Tab_min[[Mineraldünger]:[Kalkwirkung je 100 kg Dünger]],'#min'!$J$1,FALSE))</f>
        <v/>
      </c>
      <c r="BT28" s="569" t="str">
        <f t="shared" si="24"/>
        <v/>
      </c>
      <c r="BU28" s="576" t="str">
        <f t="shared" si="25"/>
        <v/>
      </c>
      <c r="BV28" s="54" t="str">
        <f t="shared" si="26"/>
        <v/>
      </c>
      <c r="BW28" s="54" t="str">
        <f t="shared" si="27"/>
        <v/>
      </c>
      <c r="BX28" s="54" t="str">
        <f t="shared" si="28"/>
        <v/>
      </c>
      <c r="BY28" s="54" t="str">
        <f t="shared" si="29"/>
        <v/>
      </c>
      <c r="BZ28" s="54" t="str">
        <f t="shared" si="30"/>
        <v/>
      </c>
      <c r="CA28" s="54" t="str">
        <f t="shared" si="31"/>
        <v/>
      </c>
      <c r="CB28" s="54" t="str">
        <f t="shared" si="32"/>
        <v/>
      </c>
      <c r="CC28" s="54" t="str">
        <f t="shared" si="33"/>
        <v/>
      </c>
      <c r="CD28" s="54" t="str">
        <f t="shared" si="34"/>
        <v/>
      </c>
      <c r="CE28" s="54" t="str">
        <f t="shared" si="35"/>
        <v/>
      </c>
      <c r="CF28" s="54"/>
      <c r="CG28"/>
      <c r="CI28" s="993" t="str">
        <f>IF(CJ28=0,"",'#BerechnungDBE'!I145)</f>
        <v/>
      </c>
      <c r="CJ28" s="992">
        <f>_xlfn.AGGREGATE(14,4,'#BerechnungDBE'!$J$129:$J$494,'#BerechnungDBE'!I145)</f>
        <v>0</v>
      </c>
      <c r="CK28" s="1667" t="str">
        <f>IF(CJ28=0,"",VLOOKUP(CJ28,'#BerechnungDBE'!$J$129:$K$494,2,FALSE))</f>
        <v/>
      </c>
      <c r="CL28" s="1668"/>
    </row>
    <row r="29" spans="1:90" ht="15" customHeight="1" thickBot="1" x14ac:dyDescent="0.25">
      <c r="B29" s="1331" t="s">
        <v>1532</v>
      </c>
      <c r="C29" s="1332"/>
      <c r="D29" s="1332"/>
      <c r="E29" s="1332"/>
      <c r="F29" s="1332"/>
      <c r="G29" s="1332"/>
      <c r="H29" s="1332"/>
      <c r="I29" s="1332"/>
      <c r="J29" s="1333" t="str">
        <f>IF(OR('#Kürzungen'!F2=2,'#BerechnungDBE'!N115=0),"--",IF(S13=2,"n.b.",J26-J28))</f>
        <v>--</v>
      </c>
      <c r="K29" s="1334" t="s">
        <v>155</v>
      </c>
      <c r="L29" s="1350"/>
      <c r="M29" s="1335"/>
      <c r="N29" s="1335"/>
      <c r="O29" s="1336"/>
      <c r="W29" s="980" t="str">
        <f>IF(Y29="","",'#orgDung'!AE152)</f>
        <v/>
      </c>
      <c r="X29" s="986" t="str">
        <f>IF(Y29="","",VLOOKUP(Y29,'#orgDung'!$AF$135:$AG$187,'#orgDung'!$AG$133,FALSE))</f>
        <v/>
      </c>
      <c r="Y29" s="987" t="str">
        <f>'#orgDung'!AB152</f>
        <v/>
      </c>
      <c r="Z29" s="981" t="str">
        <f>IF(Y29="","",VLOOKUP(Y29,Tab_org21[[Dünger]:[anrechenbarer N bei DBE Grünland]],'#org22'!$L$1,FALSE))</f>
        <v/>
      </c>
      <c r="AA29" s="608" t="str">
        <f>IF(Y29="","",VLOOKUP(Y29,Tab_org21[[Dünger]:[anrechenbarer N bei DBE Grünland]],'#org22'!$D$1,FALSE))</f>
        <v/>
      </c>
      <c r="AB29" s="570" t="str">
        <f>IF(Y29="","",VLOOKUP(Y29,Tab_org21[[Dünger]:[anrechenbarer N bei DBE Grünland]],'#org22'!$P$1,FALSE))</f>
        <v/>
      </c>
      <c r="AC29" s="570" t="str">
        <f>IF(Y29="","",VLOOKUP(Y29,Tab_org21[[Dünger]:[anrechenbarer N bei DBE Grünland]],'#org22'!$Q$1,FALSE))</f>
        <v/>
      </c>
      <c r="AD29" s="569" t="str">
        <f>IF(Y29="","",VLOOKUP(Y29,Tab_org21[[Dünger]:[anrechenbarer N bei DBE Grünland]],'#org22'!$W$1,FALSE))</f>
        <v/>
      </c>
      <c r="AE29" s="570" t="str">
        <f>IF(Y29="","",VLOOKUP(Y29,Tab_org21[[Dünger]:[anrechenbarer N bei DBE Grünland]],'#org22'!$R$1,FALSE))</f>
        <v/>
      </c>
      <c r="AF29" s="569" t="str">
        <f>IF(Y29="","",VLOOKUP(Y29,Tab_org21[[Dünger]:[anrechenbarer N bei DBE Grünland]],'#org22'!$X$1,FALSE))</f>
        <v/>
      </c>
      <c r="AG29" s="569" t="str">
        <f t="shared" si="2"/>
        <v/>
      </c>
      <c r="AH29" s="576" t="str">
        <f t="shared" si="3"/>
        <v/>
      </c>
      <c r="AI29" s="549" t="str">
        <f t="shared" si="36"/>
        <v/>
      </c>
      <c r="AJ29" s="549" t="str">
        <f t="shared" si="4"/>
        <v/>
      </c>
      <c r="AK29" s="549" t="str">
        <f t="shared" si="5"/>
        <v/>
      </c>
      <c r="AL29" s="549" t="str">
        <f t="shared" si="6"/>
        <v/>
      </c>
      <c r="AM29" s="549" t="str">
        <f t="shared" si="7"/>
        <v/>
      </c>
      <c r="AN29" s="549" t="str">
        <f t="shared" si="8"/>
        <v/>
      </c>
      <c r="AO29" s="549" t="str">
        <f t="shared" si="9"/>
        <v/>
      </c>
      <c r="AP29" s="549" t="str">
        <f t="shared" si="10"/>
        <v/>
      </c>
      <c r="AQ29" s="549" t="str">
        <f t="shared" si="11"/>
        <v/>
      </c>
      <c r="AR29" s="549" t="str">
        <f t="shared" si="12"/>
        <v/>
      </c>
      <c r="AS29" s="549" t="str">
        <f t="shared" si="13"/>
        <v/>
      </c>
      <c r="AT29" s="549" t="str">
        <f t="shared" si="14"/>
        <v/>
      </c>
      <c r="AU29" s="549" t="str">
        <f t="shared" si="15"/>
        <v/>
      </c>
      <c r="AV29" s="549" t="str">
        <f t="shared" si="16"/>
        <v/>
      </c>
      <c r="AW29" s="549"/>
      <c r="AX29" s="549" t="str">
        <f t="shared" si="17"/>
        <v/>
      </c>
      <c r="AY29" s="549" t="str">
        <f>IF(Y29="","",VLOOKUP(Y29,'#orgDung'!$AF$135:$AH$187,'#orgDung'!$AH$133,FALSE))</f>
        <v/>
      </c>
      <c r="AZ29" s="549" t="str">
        <f t="shared" si="18"/>
        <v/>
      </c>
      <c r="BA29" s="549" t="str">
        <f t="shared" si="19"/>
        <v/>
      </c>
      <c r="BB29" s="549" t="str">
        <f>IF(Y29="","",VLOOKUP(Y29,Tab_org21[[Dünger]:[anrechenbarer N bei DBE Grünland]],'#org22'!$H$1,FALSE))</f>
        <v/>
      </c>
      <c r="BC29" s="549" t="str">
        <f t="shared" si="20"/>
        <v/>
      </c>
      <c r="BD29" s="549" t="str">
        <f t="shared" si="21"/>
        <v/>
      </c>
      <c r="BE29" s="549" t="str">
        <f>IF(Y29="","",VLOOKUP(Y29,Tab_org21[[Dünger]:[anrechenbarer N bei DBE Grünland]],'#org22'!$Z$1,FALSE))</f>
        <v/>
      </c>
      <c r="BF29" s="549" t="str">
        <f t="shared" si="22"/>
        <v/>
      </c>
      <c r="BG29" s="549" t="str">
        <f t="shared" si="23"/>
        <v/>
      </c>
      <c r="BH29" s="549"/>
      <c r="BI29" s="549"/>
      <c r="BJ29" s="549"/>
      <c r="BK29" s="551"/>
      <c r="BL29" s="551"/>
      <c r="BM29" s="993" t="str">
        <f>IF(BO29="","",'#minDung'!N143)</f>
        <v/>
      </c>
      <c r="BN29" s="986" t="str">
        <f>IF(BO29="","",VLOOKUP(BO29,'#minDung'!$O$126:$Q$195,'#minDung'!$P$124,FALSE))</f>
        <v/>
      </c>
      <c r="BO29" s="988" t="str">
        <f>'#minDung'!K143</f>
        <v/>
      </c>
      <c r="BP29" s="608" t="str">
        <f>IF(BO29="","",VLOOKUP(BO29,Tab_min[[Mineraldünger]:[Kalkwirkung je 100 kg Dünger]],'#min'!$F$1,FALSE))</f>
        <v/>
      </c>
      <c r="BQ29" s="567" t="str">
        <f>IF(BO29="","",VLOOKUP(BO29,Tab_min[[Mineraldünger]:[Kalkwirkung je 100 kg Dünger]],'#min'!$G$1,FALSE))</f>
        <v/>
      </c>
      <c r="BR29" s="570" t="str">
        <f>IF(BO29="","",VLOOKUP(BO29,Tab_min[[Mineraldünger]:[Kalkwirkung je 100 kg Dünger]],'#min'!$H$1,FALSE))</f>
        <v/>
      </c>
      <c r="BS29" s="570" t="str">
        <f>IF(BO29="","",VLOOKUP(BO29,Tab_min[[Mineraldünger]:[Kalkwirkung je 100 kg Dünger]],'#min'!$J$1,FALSE))</f>
        <v/>
      </c>
      <c r="BT29" s="569" t="str">
        <f t="shared" si="24"/>
        <v/>
      </c>
      <c r="BU29" s="576" t="str">
        <f t="shared" si="25"/>
        <v/>
      </c>
      <c r="BV29" s="54" t="str">
        <f t="shared" si="26"/>
        <v/>
      </c>
      <c r="BW29" s="54" t="str">
        <f t="shared" si="27"/>
        <v/>
      </c>
      <c r="BX29" s="54" t="str">
        <f t="shared" si="28"/>
        <v/>
      </c>
      <c r="BY29" s="54" t="str">
        <f t="shared" si="29"/>
        <v/>
      </c>
      <c r="BZ29" s="54" t="str">
        <f t="shared" si="30"/>
        <v/>
      </c>
      <c r="CA29" s="54" t="str">
        <f t="shared" si="31"/>
        <v/>
      </c>
      <c r="CB29" s="54" t="str">
        <f t="shared" si="32"/>
        <v/>
      </c>
      <c r="CC29" s="54" t="str">
        <f t="shared" si="33"/>
        <v/>
      </c>
      <c r="CD29" s="54" t="str">
        <f t="shared" si="34"/>
        <v/>
      </c>
      <c r="CE29" s="54" t="str">
        <f t="shared" si="35"/>
        <v/>
      </c>
      <c r="CF29" s="54"/>
      <c r="CG29"/>
      <c r="CI29" s="993" t="str">
        <f>IF(CJ29=0,"",'#BerechnungDBE'!I146)</f>
        <v/>
      </c>
      <c r="CJ29" s="992">
        <f>_xlfn.AGGREGATE(14,4,'#BerechnungDBE'!$J$129:$J$494,'#BerechnungDBE'!I146)</f>
        <v>0</v>
      </c>
      <c r="CK29" s="1667" t="str">
        <f>IF(CJ29=0,"",VLOOKUP(CJ29,'#BerechnungDBE'!$J$129:$K$494,2,FALSE))</f>
        <v/>
      </c>
      <c r="CL29" s="1668"/>
    </row>
    <row r="30" spans="1:90" ht="15" customHeight="1" x14ac:dyDescent="0.2">
      <c r="W30" s="980" t="str">
        <f>IF(Y30="","",'#orgDung'!AE153)</f>
        <v/>
      </c>
      <c r="X30" s="986" t="str">
        <f>IF(Y30="","",VLOOKUP(Y30,'#orgDung'!$AF$135:$AG$187,'#orgDung'!$AG$133,FALSE))</f>
        <v/>
      </c>
      <c r="Y30" s="987" t="str">
        <f>'#orgDung'!AB153</f>
        <v/>
      </c>
      <c r="Z30" s="981" t="str">
        <f>IF(Y30="","",VLOOKUP(Y30,Tab_org21[[Dünger]:[anrechenbarer N bei DBE Grünland]],'#org22'!$L$1,FALSE))</f>
        <v/>
      </c>
      <c r="AA30" s="608" t="str">
        <f>IF(Y30="","",VLOOKUP(Y30,Tab_org21[[Dünger]:[anrechenbarer N bei DBE Grünland]],'#org22'!$D$1,FALSE))</f>
        <v/>
      </c>
      <c r="AB30" s="570" t="str">
        <f>IF(Y30="","",VLOOKUP(Y30,Tab_org21[[Dünger]:[anrechenbarer N bei DBE Grünland]],'#org22'!$P$1,FALSE))</f>
        <v/>
      </c>
      <c r="AC30" s="570" t="str">
        <f>IF(Y30="","",VLOOKUP(Y30,Tab_org21[[Dünger]:[anrechenbarer N bei DBE Grünland]],'#org22'!$Q$1,FALSE))</f>
        <v/>
      </c>
      <c r="AD30" s="569" t="str">
        <f>IF(Y30="","",VLOOKUP(Y30,Tab_org21[[Dünger]:[anrechenbarer N bei DBE Grünland]],'#org22'!$W$1,FALSE))</f>
        <v/>
      </c>
      <c r="AE30" s="570" t="str">
        <f>IF(Y30="","",VLOOKUP(Y30,Tab_org21[[Dünger]:[anrechenbarer N bei DBE Grünland]],'#org22'!$R$1,FALSE))</f>
        <v/>
      </c>
      <c r="AF30" s="569" t="str">
        <f>IF(Y30="","",VLOOKUP(Y30,Tab_org21[[Dünger]:[anrechenbarer N bei DBE Grünland]],'#org22'!$X$1,FALSE))</f>
        <v/>
      </c>
      <c r="AG30" s="569" t="str">
        <f t="shared" si="2"/>
        <v/>
      </c>
      <c r="AH30" s="576" t="str">
        <f t="shared" si="3"/>
        <v/>
      </c>
      <c r="AI30" s="549" t="str">
        <f t="shared" si="36"/>
        <v/>
      </c>
      <c r="AJ30" s="549" t="str">
        <f t="shared" si="4"/>
        <v/>
      </c>
      <c r="AK30" s="549" t="str">
        <f t="shared" si="5"/>
        <v/>
      </c>
      <c r="AL30" s="549" t="str">
        <f t="shared" si="6"/>
        <v/>
      </c>
      <c r="AM30" s="549" t="str">
        <f t="shared" si="7"/>
        <v/>
      </c>
      <c r="AN30" s="549" t="str">
        <f t="shared" si="8"/>
        <v/>
      </c>
      <c r="AO30" s="549" t="str">
        <f t="shared" si="9"/>
        <v/>
      </c>
      <c r="AP30" s="549" t="str">
        <f t="shared" si="10"/>
        <v/>
      </c>
      <c r="AQ30" s="549" t="str">
        <f t="shared" si="11"/>
        <v/>
      </c>
      <c r="AR30" s="549" t="str">
        <f t="shared" si="12"/>
        <v/>
      </c>
      <c r="AS30" s="549" t="str">
        <f t="shared" si="13"/>
        <v/>
      </c>
      <c r="AT30" s="549" t="str">
        <f t="shared" si="14"/>
        <v/>
      </c>
      <c r="AU30" s="549" t="str">
        <f t="shared" si="15"/>
        <v/>
      </c>
      <c r="AV30" s="549" t="str">
        <f t="shared" si="16"/>
        <v/>
      </c>
      <c r="AW30" s="549"/>
      <c r="AX30" s="549" t="str">
        <f t="shared" si="17"/>
        <v/>
      </c>
      <c r="AY30" s="549" t="str">
        <f>IF(Y30="","",VLOOKUP(Y30,'#orgDung'!$AF$135:$AH$187,'#orgDung'!$AH$133,FALSE))</f>
        <v/>
      </c>
      <c r="AZ30" s="549" t="str">
        <f t="shared" si="18"/>
        <v/>
      </c>
      <c r="BA30" s="549" t="str">
        <f t="shared" si="19"/>
        <v/>
      </c>
      <c r="BB30" s="549" t="str">
        <f>IF(Y30="","",VLOOKUP(Y30,Tab_org21[[Dünger]:[anrechenbarer N bei DBE Grünland]],'#org22'!$H$1,FALSE))</f>
        <v/>
      </c>
      <c r="BC30" s="549" t="str">
        <f t="shared" si="20"/>
        <v/>
      </c>
      <c r="BD30" s="549" t="str">
        <f t="shared" si="21"/>
        <v/>
      </c>
      <c r="BE30" s="549" t="str">
        <f>IF(Y30="","",VLOOKUP(Y30,Tab_org21[[Dünger]:[anrechenbarer N bei DBE Grünland]],'#org22'!$Z$1,FALSE))</f>
        <v/>
      </c>
      <c r="BF30" s="549" t="str">
        <f t="shared" si="22"/>
        <v/>
      </c>
      <c r="BG30" s="549" t="str">
        <f t="shared" si="23"/>
        <v/>
      </c>
      <c r="BH30" s="549"/>
      <c r="BI30" s="549"/>
      <c r="BJ30" s="549"/>
      <c r="BK30" s="551"/>
      <c r="BL30" s="551"/>
      <c r="BM30" s="993" t="str">
        <f>IF(BO30="","",'#minDung'!N144)</f>
        <v/>
      </c>
      <c r="BN30" s="986" t="str">
        <f>IF(BO30="","",VLOOKUP(BO30,'#minDung'!$O$126:$Q$195,'#minDung'!$P$124,FALSE))</f>
        <v/>
      </c>
      <c r="BO30" s="988" t="str">
        <f>'#minDung'!K144</f>
        <v/>
      </c>
      <c r="BP30" s="608" t="str">
        <f>IF(BO30="","",VLOOKUP(BO30,Tab_min[[Mineraldünger]:[Kalkwirkung je 100 kg Dünger]],'#min'!$F$1,FALSE))</f>
        <v/>
      </c>
      <c r="BQ30" s="567" t="str">
        <f>IF(BO30="","",VLOOKUP(BO30,Tab_min[[Mineraldünger]:[Kalkwirkung je 100 kg Dünger]],'#min'!$G$1,FALSE))</f>
        <v/>
      </c>
      <c r="BR30" s="570" t="str">
        <f>IF(BO30="","",VLOOKUP(BO30,Tab_min[[Mineraldünger]:[Kalkwirkung je 100 kg Dünger]],'#min'!$H$1,FALSE))</f>
        <v/>
      </c>
      <c r="BS30" s="570" t="str">
        <f>IF(BO30="","",VLOOKUP(BO30,Tab_min[[Mineraldünger]:[Kalkwirkung je 100 kg Dünger]],'#min'!$J$1,FALSE))</f>
        <v/>
      </c>
      <c r="BT30" s="569" t="str">
        <f t="shared" si="24"/>
        <v/>
      </c>
      <c r="BU30" s="576" t="str">
        <f t="shared" si="25"/>
        <v/>
      </c>
      <c r="BV30" s="54" t="str">
        <f t="shared" si="26"/>
        <v/>
      </c>
      <c r="BW30" s="54" t="str">
        <f t="shared" si="27"/>
        <v/>
      </c>
      <c r="BX30" s="54" t="str">
        <f t="shared" si="28"/>
        <v/>
      </c>
      <c r="BY30" s="54" t="str">
        <f t="shared" si="29"/>
        <v/>
      </c>
      <c r="BZ30" s="54" t="str">
        <f t="shared" si="30"/>
        <v/>
      </c>
      <c r="CA30" s="54" t="str">
        <f t="shared" si="31"/>
        <v/>
      </c>
      <c r="CB30" s="54" t="str">
        <f t="shared" si="32"/>
        <v/>
      </c>
      <c r="CC30" s="54" t="str">
        <f t="shared" si="33"/>
        <v/>
      </c>
      <c r="CD30" s="54" t="str">
        <f t="shared" si="34"/>
        <v/>
      </c>
      <c r="CE30" s="54" t="str">
        <f t="shared" si="35"/>
        <v/>
      </c>
      <c r="CF30" s="54"/>
      <c r="CG30"/>
      <c r="CI30" s="993" t="str">
        <f>IF(CJ30=0,"",'#BerechnungDBE'!I147)</f>
        <v/>
      </c>
      <c r="CJ30" s="992">
        <f>_xlfn.AGGREGATE(14,4,'#BerechnungDBE'!$J$129:$J$494,'#BerechnungDBE'!I147)</f>
        <v>0</v>
      </c>
      <c r="CK30" s="1667" t="str">
        <f>IF(CJ30=0,"",VLOOKUP(CJ30,'#BerechnungDBE'!$J$129:$K$494,2,FALSE))</f>
        <v/>
      </c>
      <c r="CL30" s="1668"/>
    </row>
    <row r="31" spans="1:90" ht="15" customHeight="1" x14ac:dyDescent="0.2">
      <c r="W31" s="980" t="str">
        <f>IF(Y31="","",'#orgDung'!AE154)</f>
        <v/>
      </c>
      <c r="X31" s="986" t="str">
        <f>IF(Y31="","",VLOOKUP(Y31,'#orgDung'!$AF$135:$AG$187,'#orgDung'!$AG$133,FALSE))</f>
        <v/>
      </c>
      <c r="Y31" s="987" t="str">
        <f>'#orgDung'!AB154</f>
        <v/>
      </c>
      <c r="Z31" s="981" t="str">
        <f>IF(Y31="","",VLOOKUP(Y31,Tab_org21[[Dünger]:[anrechenbarer N bei DBE Grünland]],'#org22'!$L$1,FALSE))</f>
        <v/>
      </c>
      <c r="AA31" s="608" t="str">
        <f>IF(Y31="","",VLOOKUP(Y31,Tab_org21[[Dünger]:[anrechenbarer N bei DBE Grünland]],'#org22'!$D$1,FALSE))</f>
        <v/>
      </c>
      <c r="AB31" s="570" t="str">
        <f>IF(Y31="","",VLOOKUP(Y31,Tab_org21[[Dünger]:[anrechenbarer N bei DBE Grünland]],'#org22'!$P$1,FALSE))</f>
        <v/>
      </c>
      <c r="AC31" s="570" t="str">
        <f>IF(Y31="","",VLOOKUP(Y31,Tab_org21[[Dünger]:[anrechenbarer N bei DBE Grünland]],'#org22'!$Q$1,FALSE))</f>
        <v/>
      </c>
      <c r="AD31" s="569" t="str">
        <f>IF(Y31="","",VLOOKUP(Y31,Tab_org21[[Dünger]:[anrechenbarer N bei DBE Grünland]],'#org22'!$W$1,FALSE))</f>
        <v/>
      </c>
      <c r="AE31" s="570" t="str">
        <f>IF(Y31="","",VLOOKUP(Y31,Tab_org21[[Dünger]:[anrechenbarer N bei DBE Grünland]],'#org22'!$R$1,FALSE))</f>
        <v/>
      </c>
      <c r="AF31" s="569" t="str">
        <f>IF(Y31="","",VLOOKUP(Y31,Tab_org21[[Dünger]:[anrechenbarer N bei DBE Grünland]],'#org22'!$X$1,FALSE))</f>
        <v/>
      </c>
      <c r="AG31" s="569" t="str">
        <f t="shared" si="2"/>
        <v/>
      </c>
      <c r="AH31" s="576" t="str">
        <f t="shared" si="3"/>
        <v/>
      </c>
      <c r="AI31" s="549" t="str">
        <f t="shared" si="36"/>
        <v/>
      </c>
      <c r="AJ31" s="549" t="str">
        <f t="shared" si="4"/>
        <v/>
      </c>
      <c r="AK31" s="549" t="str">
        <f t="shared" si="5"/>
        <v/>
      </c>
      <c r="AL31" s="549" t="str">
        <f t="shared" si="6"/>
        <v/>
      </c>
      <c r="AM31" s="549" t="str">
        <f t="shared" si="7"/>
        <v/>
      </c>
      <c r="AN31" s="549" t="str">
        <f t="shared" si="8"/>
        <v/>
      </c>
      <c r="AO31" s="549" t="str">
        <f t="shared" si="9"/>
        <v/>
      </c>
      <c r="AP31" s="549" t="str">
        <f t="shared" si="10"/>
        <v/>
      </c>
      <c r="AQ31" s="549" t="str">
        <f t="shared" si="11"/>
        <v/>
      </c>
      <c r="AR31" s="549" t="str">
        <f t="shared" si="12"/>
        <v/>
      </c>
      <c r="AS31" s="549" t="str">
        <f t="shared" si="13"/>
        <v/>
      </c>
      <c r="AT31" s="549" t="str">
        <f t="shared" si="14"/>
        <v/>
      </c>
      <c r="AU31" s="549" t="str">
        <f t="shared" si="15"/>
        <v/>
      </c>
      <c r="AV31" s="549" t="str">
        <f t="shared" si="16"/>
        <v/>
      </c>
      <c r="AW31" s="549"/>
      <c r="AX31" s="549" t="str">
        <f t="shared" si="17"/>
        <v/>
      </c>
      <c r="AY31" s="549" t="str">
        <f>IF(Y31="","",VLOOKUP(Y31,'#orgDung'!$AF$135:$AH$187,'#orgDung'!$AH$133,FALSE))</f>
        <v/>
      </c>
      <c r="AZ31" s="549" t="str">
        <f t="shared" si="18"/>
        <v/>
      </c>
      <c r="BA31" s="549" t="str">
        <f t="shared" si="19"/>
        <v/>
      </c>
      <c r="BB31" s="549" t="str">
        <f>IF(Y31="","",VLOOKUP(Y31,Tab_org21[[Dünger]:[anrechenbarer N bei DBE Grünland]],'#org22'!$H$1,FALSE))</f>
        <v/>
      </c>
      <c r="BC31" s="549" t="str">
        <f t="shared" si="20"/>
        <v/>
      </c>
      <c r="BD31" s="549" t="str">
        <f t="shared" si="21"/>
        <v/>
      </c>
      <c r="BE31" s="549" t="str">
        <f>IF(Y31="","",VLOOKUP(Y31,Tab_org21[[Dünger]:[anrechenbarer N bei DBE Grünland]],'#org22'!$Z$1,FALSE))</f>
        <v/>
      </c>
      <c r="BF31" s="549" t="str">
        <f t="shared" si="22"/>
        <v/>
      </c>
      <c r="BG31" s="549" t="str">
        <f t="shared" si="23"/>
        <v/>
      </c>
      <c r="BH31" s="549"/>
      <c r="BI31" s="549"/>
      <c r="BJ31" s="549"/>
      <c r="BK31" s="551"/>
      <c r="BL31" s="551"/>
      <c r="BM31" s="993" t="str">
        <f>IF(BO31="","",'#minDung'!N145)</f>
        <v/>
      </c>
      <c r="BN31" s="986" t="str">
        <f>IF(BO31="","",VLOOKUP(BO31,'#minDung'!$O$126:$Q$195,'#minDung'!$P$124,FALSE))</f>
        <v/>
      </c>
      <c r="BO31" s="988" t="str">
        <f>'#minDung'!K145</f>
        <v/>
      </c>
      <c r="BP31" s="608" t="str">
        <f>IF(BO31="","",VLOOKUP(BO31,Tab_min[[Mineraldünger]:[Kalkwirkung je 100 kg Dünger]],'#min'!$F$1,FALSE))</f>
        <v/>
      </c>
      <c r="BQ31" s="567" t="str">
        <f>IF(BO31="","",VLOOKUP(BO31,Tab_min[[Mineraldünger]:[Kalkwirkung je 100 kg Dünger]],'#min'!$G$1,FALSE))</f>
        <v/>
      </c>
      <c r="BR31" s="570" t="str">
        <f>IF(BO31="","",VLOOKUP(BO31,Tab_min[[Mineraldünger]:[Kalkwirkung je 100 kg Dünger]],'#min'!$H$1,FALSE))</f>
        <v/>
      </c>
      <c r="BS31" s="570" t="str">
        <f>IF(BO31="","",VLOOKUP(BO31,Tab_min[[Mineraldünger]:[Kalkwirkung je 100 kg Dünger]],'#min'!$J$1,FALSE))</f>
        <v/>
      </c>
      <c r="BT31" s="569" t="str">
        <f t="shared" si="24"/>
        <v/>
      </c>
      <c r="BU31" s="576" t="str">
        <f t="shared" si="25"/>
        <v/>
      </c>
      <c r="BV31" s="54" t="str">
        <f t="shared" si="26"/>
        <v/>
      </c>
      <c r="BW31" s="54" t="str">
        <f t="shared" si="27"/>
        <v/>
      </c>
      <c r="BX31" s="54" t="str">
        <f t="shared" si="28"/>
        <v/>
      </c>
      <c r="BY31" s="54" t="str">
        <f t="shared" si="29"/>
        <v/>
      </c>
      <c r="BZ31" s="54" t="str">
        <f t="shared" si="30"/>
        <v/>
      </c>
      <c r="CA31" s="54" t="str">
        <f t="shared" si="31"/>
        <v/>
      </c>
      <c r="CB31" s="54" t="str">
        <f t="shared" si="32"/>
        <v/>
      </c>
      <c r="CC31" s="54" t="str">
        <f t="shared" si="33"/>
        <v/>
      </c>
      <c r="CD31" s="54" t="str">
        <f t="shared" si="34"/>
        <v/>
      </c>
      <c r="CE31" s="54" t="str">
        <f t="shared" si="35"/>
        <v/>
      </c>
      <c r="CF31" s="54"/>
      <c r="CG31"/>
      <c r="CI31" s="993" t="str">
        <f>IF(CJ31=0,"",'#BerechnungDBE'!I148)</f>
        <v/>
      </c>
      <c r="CJ31" s="992">
        <f>_xlfn.AGGREGATE(14,4,'#BerechnungDBE'!$J$129:$J$494,'#BerechnungDBE'!I148)</f>
        <v>0</v>
      </c>
      <c r="CK31" s="1667" t="str">
        <f>IF(CJ31=0,"",VLOOKUP(CJ31,'#BerechnungDBE'!$J$129:$K$494,2,FALSE))</f>
        <v/>
      </c>
      <c r="CL31" s="1668"/>
    </row>
    <row r="32" spans="1:90" ht="15" customHeight="1" x14ac:dyDescent="0.2">
      <c r="W32" s="980" t="str">
        <f>IF(Y32="","",'#orgDung'!AE155)</f>
        <v/>
      </c>
      <c r="X32" s="986" t="str">
        <f>IF(Y32="","",VLOOKUP(Y32,'#orgDung'!$AF$135:$AG$187,'#orgDung'!$AG$133,FALSE))</f>
        <v/>
      </c>
      <c r="Y32" s="987" t="str">
        <f>'#orgDung'!AB155</f>
        <v/>
      </c>
      <c r="Z32" s="981" t="str">
        <f>IF(Y32="","",VLOOKUP(Y32,Tab_org21[[Dünger]:[anrechenbarer N bei DBE Grünland]],'#org22'!$L$1,FALSE))</f>
        <v/>
      </c>
      <c r="AA32" s="608" t="str">
        <f>IF(Y32="","",VLOOKUP(Y32,Tab_org21[[Dünger]:[anrechenbarer N bei DBE Grünland]],'#org22'!$D$1,FALSE))</f>
        <v/>
      </c>
      <c r="AB32" s="570" t="str">
        <f>IF(Y32="","",VLOOKUP(Y32,Tab_org21[[Dünger]:[anrechenbarer N bei DBE Grünland]],'#org22'!$P$1,FALSE))</f>
        <v/>
      </c>
      <c r="AC32" s="570" t="str">
        <f>IF(Y32="","",VLOOKUP(Y32,Tab_org21[[Dünger]:[anrechenbarer N bei DBE Grünland]],'#org22'!$Q$1,FALSE))</f>
        <v/>
      </c>
      <c r="AD32" s="569" t="str">
        <f>IF(Y32="","",VLOOKUP(Y32,Tab_org21[[Dünger]:[anrechenbarer N bei DBE Grünland]],'#org22'!$W$1,FALSE))</f>
        <v/>
      </c>
      <c r="AE32" s="570" t="str">
        <f>IF(Y32="","",VLOOKUP(Y32,Tab_org21[[Dünger]:[anrechenbarer N bei DBE Grünland]],'#org22'!$R$1,FALSE))</f>
        <v/>
      </c>
      <c r="AF32" s="569" t="str">
        <f>IF(Y32="","",VLOOKUP(Y32,Tab_org21[[Dünger]:[anrechenbarer N bei DBE Grünland]],'#org22'!$X$1,FALSE))</f>
        <v/>
      </c>
      <c r="AG32" s="569" t="str">
        <f t="shared" si="2"/>
        <v/>
      </c>
      <c r="AH32" s="576" t="str">
        <f t="shared" si="3"/>
        <v/>
      </c>
      <c r="AI32" s="549" t="str">
        <f t="shared" si="36"/>
        <v/>
      </c>
      <c r="AJ32" s="549" t="str">
        <f t="shared" si="4"/>
        <v/>
      </c>
      <c r="AK32" s="549" t="str">
        <f t="shared" si="5"/>
        <v/>
      </c>
      <c r="AL32" s="549" t="str">
        <f t="shared" si="6"/>
        <v/>
      </c>
      <c r="AM32" s="549" t="str">
        <f t="shared" si="7"/>
        <v/>
      </c>
      <c r="AN32" s="549" t="str">
        <f t="shared" si="8"/>
        <v/>
      </c>
      <c r="AO32" s="549" t="str">
        <f t="shared" si="9"/>
        <v/>
      </c>
      <c r="AP32" s="549" t="str">
        <f t="shared" si="10"/>
        <v/>
      </c>
      <c r="AQ32" s="549" t="str">
        <f t="shared" si="11"/>
        <v/>
      </c>
      <c r="AR32" s="549" t="str">
        <f t="shared" si="12"/>
        <v/>
      </c>
      <c r="AS32" s="549" t="str">
        <f t="shared" si="13"/>
        <v/>
      </c>
      <c r="AT32" s="549" t="str">
        <f t="shared" si="14"/>
        <v/>
      </c>
      <c r="AU32" s="549" t="str">
        <f t="shared" si="15"/>
        <v/>
      </c>
      <c r="AV32" s="549" t="str">
        <f t="shared" si="16"/>
        <v/>
      </c>
      <c r="AW32" s="549"/>
      <c r="AX32" s="549" t="str">
        <f t="shared" si="17"/>
        <v/>
      </c>
      <c r="AY32" s="549" t="str">
        <f>IF(Y32="","",VLOOKUP(Y32,'#orgDung'!$AF$135:$AH$187,'#orgDung'!$AH$133,FALSE))</f>
        <v/>
      </c>
      <c r="AZ32" s="549" t="str">
        <f t="shared" si="18"/>
        <v/>
      </c>
      <c r="BA32" s="549" t="str">
        <f t="shared" si="19"/>
        <v/>
      </c>
      <c r="BB32" s="549" t="str">
        <f>IF(Y32="","",VLOOKUP(Y32,Tab_org21[[Dünger]:[anrechenbarer N bei DBE Grünland]],'#org22'!$H$1,FALSE))</f>
        <v/>
      </c>
      <c r="BC32" s="549" t="str">
        <f t="shared" si="20"/>
        <v/>
      </c>
      <c r="BD32" s="549" t="str">
        <f t="shared" si="21"/>
        <v/>
      </c>
      <c r="BE32" s="549" t="str">
        <f>IF(Y32="","",VLOOKUP(Y32,Tab_org21[[Dünger]:[anrechenbarer N bei DBE Grünland]],'#org22'!$Z$1,FALSE))</f>
        <v/>
      </c>
      <c r="BF32" s="549" t="str">
        <f t="shared" si="22"/>
        <v/>
      </c>
      <c r="BG32" s="549" t="str">
        <f t="shared" si="23"/>
        <v/>
      </c>
      <c r="BH32" s="549"/>
      <c r="BI32" s="549"/>
      <c r="BJ32" s="549"/>
      <c r="BK32" s="551"/>
      <c r="BL32" s="551"/>
      <c r="BM32" s="993" t="str">
        <f>IF(BO32="","",'#minDung'!N146)</f>
        <v/>
      </c>
      <c r="BN32" s="986" t="str">
        <f>IF(BO32="","",VLOOKUP(BO32,'#minDung'!$O$126:$Q$195,'#minDung'!$P$124,FALSE))</f>
        <v/>
      </c>
      <c r="BO32" s="988" t="str">
        <f>'#minDung'!K146</f>
        <v/>
      </c>
      <c r="BP32" s="608" t="str">
        <f>IF(BO32="","",VLOOKUP(BO32,Tab_min[[Mineraldünger]:[Kalkwirkung je 100 kg Dünger]],'#min'!$F$1,FALSE))</f>
        <v/>
      </c>
      <c r="BQ32" s="567" t="str">
        <f>IF(BO32="","",VLOOKUP(BO32,Tab_min[[Mineraldünger]:[Kalkwirkung je 100 kg Dünger]],'#min'!$G$1,FALSE))</f>
        <v/>
      </c>
      <c r="BR32" s="570" t="str">
        <f>IF(BO32="","",VLOOKUP(BO32,Tab_min[[Mineraldünger]:[Kalkwirkung je 100 kg Dünger]],'#min'!$H$1,FALSE))</f>
        <v/>
      </c>
      <c r="BS32" s="570" t="str">
        <f>IF(BO32="","",VLOOKUP(BO32,Tab_min[[Mineraldünger]:[Kalkwirkung je 100 kg Dünger]],'#min'!$J$1,FALSE))</f>
        <v/>
      </c>
      <c r="BT32" s="569" t="str">
        <f t="shared" si="24"/>
        <v/>
      </c>
      <c r="BU32" s="576" t="str">
        <f t="shared" si="25"/>
        <v/>
      </c>
      <c r="BV32" s="54" t="str">
        <f t="shared" si="26"/>
        <v/>
      </c>
      <c r="BW32" s="54" t="str">
        <f t="shared" si="27"/>
        <v/>
      </c>
      <c r="BX32" s="54" t="str">
        <f t="shared" si="28"/>
        <v/>
      </c>
      <c r="BY32" s="54" t="str">
        <f t="shared" si="29"/>
        <v/>
      </c>
      <c r="BZ32" s="54" t="str">
        <f t="shared" si="30"/>
        <v/>
      </c>
      <c r="CA32" s="54" t="str">
        <f t="shared" si="31"/>
        <v/>
      </c>
      <c r="CB32" s="54" t="str">
        <f t="shared" si="32"/>
        <v/>
      </c>
      <c r="CC32" s="54" t="str">
        <f t="shared" si="33"/>
        <v/>
      </c>
      <c r="CD32" s="54" t="str">
        <f t="shared" si="34"/>
        <v/>
      </c>
      <c r="CE32" s="54" t="str">
        <f t="shared" si="35"/>
        <v/>
      </c>
      <c r="CF32" s="54"/>
      <c r="CG32"/>
      <c r="CI32" s="993" t="str">
        <f>IF(CJ32=0,"",'#BerechnungDBE'!I149)</f>
        <v/>
      </c>
      <c r="CJ32" s="992">
        <f>_xlfn.AGGREGATE(14,4,'#BerechnungDBE'!$J$129:$J$494,'#BerechnungDBE'!I149)</f>
        <v>0</v>
      </c>
      <c r="CK32" s="1667" t="str">
        <f>IF(CJ32=0,"",VLOOKUP(CJ32,'#BerechnungDBE'!$J$129:$K$494,2,FALSE))</f>
        <v/>
      </c>
      <c r="CL32" s="1668"/>
    </row>
    <row r="33" spans="3:90" ht="15" customHeight="1" x14ac:dyDescent="0.2">
      <c r="W33" s="980" t="str">
        <f>IF(Y33="","",'#orgDung'!AE156)</f>
        <v/>
      </c>
      <c r="X33" s="986" t="str">
        <f>IF(Y33="","",VLOOKUP(Y33,'#orgDung'!$AF$135:$AG$187,'#orgDung'!$AG$133,FALSE))</f>
        <v/>
      </c>
      <c r="Y33" s="987" t="str">
        <f>'#orgDung'!AB156</f>
        <v/>
      </c>
      <c r="Z33" s="981" t="str">
        <f>IF(Y33="","",VLOOKUP(Y33,Tab_org21[[Dünger]:[anrechenbarer N bei DBE Grünland]],'#org22'!$L$1,FALSE))</f>
        <v/>
      </c>
      <c r="AA33" s="608" t="str">
        <f>IF(Y33="","",VLOOKUP(Y33,Tab_org21[[Dünger]:[anrechenbarer N bei DBE Grünland]],'#org22'!$D$1,FALSE))</f>
        <v/>
      </c>
      <c r="AB33" s="570" t="str">
        <f>IF(Y33="","",VLOOKUP(Y33,Tab_org21[[Dünger]:[anrechenbarer N bei DBE Grünland]],'#org22'!$P$1,FALSE))</f>
        <v/>
      </c>
      <c r="AC33" s="570" t="str">
        <f>IF(Y33="","",VLOOKUP(Y33,Tab_org21[[Dünger]:[anrechenbarer N bei DBE Grünland]],'#org22'!$Q$1,FALSE))</f>
        <v/>
      </c>
      <c r="AD33" s="569" t="str">
        <f>IF(Y33="","",VLOOKUP(Y33,Tab_org21[[Dünger]:[anrechenbarer N bei DBE Grünland]],'#org22'!$W$1,FALSE))</f>
        <v/>
      </c>
      <c r="AE33" s="570" t="str">
        <f>IF(Y33="","",VLOOKUP(Y33,Tab_org21[[Dünger]:[anrechenbarer N bei DBE Grünland]],'#org22'!$R$1,FALSE))</f>
        <v/>
      </c>
      <c r="AF33" s="569" t="str">
        <f>IF(Y33="","",VLOOKUP(Y33,Tab_org21[[Dünger]:[anrechenbarer N bei DBE Grünland]],'#org22'!$X$1,FALSE))</f>
        <v/>
      </c>
      <c r="AG33" s="569" t="str">
        <f t="shared" si="2"/>
        <v/>
      </c>
      <c r="AH33" s="576" t="str">
        <f t="shared" si="3"/>
        <v/>
      </c>
      <c r="AI33" s="549" t="str">
        <f t="shared" si="36"/>
        <v/>
      </c>
      <c r="AJ33" s="549" t="str">
        <f t="shared" si="4"/>
        <v/>
      </c>
      <c r="AK33" s="549" t="str">
        <f t="shared" si="5"/>
        <v/>
      </c>
      <c r="AL33" s="549" t="str">
        <f t="shared" si="6"/>
        <v/>
      </c>
      <c r="AM33" s="549" t="str">
        <f t="shared" si="7"/>
        <v/>
      </c>
      <c r="AN33" s="549" t="str">
        <f t="shared" si="8"/>
        <v/>
      </c>
      <c r="AO33" s="549" t="str">
        <f t="shared" si="9"/>
        <v/>
      </c>
      <c r="AP33" s="549" t="str">
        <f t="shared" si="10"/>
        <v/>
      </c>
      <c r="AQ33" s="549" t="str">
        <f t="shared" si="11"/>
        <v/>
      </c>
      <c r="AR33" s="549" t="str">
        <f t="shared" si="12"/>
        <v/>
      </c>
      <c r="AS33" s="549" t="str">
        <f t="shared" si="13"/>
        <v/>
      </c>
      <c r="AT33" s="549" t="str">
        <f t="shared" si="14"/>
        <v/>
      </c>
      <c r="AU33" s="549" t="str">
        <f t="shared" si="15"/>
        <v/>
      </c>
      <c r="AV33" s="549" t="str">
        <f t="shared" si="16"/>
        <v/>
      </c>
      <c r="AW33" s="549"/>
      <c r="AX33" s="549" t="str">
        <f t="shared" si="17"/>
        <v/>
      </c>
      <c r="AY33" s="549" t="str">
        <f>IF(Y33="","",VLOOKUP(Y33,'#orgDung'!$AF$135:$AH$187,'#orgDung'!$AH$133,FALSE))</f>
        <v/>
      </c>
      <c r="AZ33" s="549" t="str">
        <f t="shared" si="18"/>
        <v/>
      </c>
      <c r="BA33" s="549" t="str">
        <f t="shared" si="19"/>
        <v/>
      </c>
      <c r="BB33" s="549" t="str">
        <f>IF(Y33="","",VLOOKUP(Y33,Tab_org21[[Dünger]:[anrechenbarer N bei DBE Grünland]],'#org22'!$H$1,FALSE))</f>
        <v/>
      </c>
      <c r="BC33" s="549" t="str">
        <f t="shared" si="20"/>
        <v/>
      </c>
      <c r="BD33" s="549" t="str">
        <f t="shared" si="21"/>
        <v/>
      </c>
      <c r="BE33" s="549" t="str">
        <f>IF(Y33="","",VLOOKUP(Y33,Tab_org21[[Dünger]:[anrechenbarer N bei DBE Grünland]],'#org22'!$Z$1,FALSE))</f>
        <v/>
      </c>
      <c r="BF33" s="549" t="str">
        <f t="shared" si="22"/>
        <v/>
      </c>
      <c r="BG33" s="549" t="str">
        <f t="shared" si="23"/>
        <v/>
      </c>
      <c r="BH33" s="549"/>
      <c r="BI33" s="549"/>
      <c r="BJ33" s="549"/>
      <c r="BK33" s="551"/>
      <c r="BL33" s="551"/>
      <c r="BM33" s="990" t="str">
        <f>IF(BO33="","",'#minDung'!N147)</f>
        <v/>
      </c>
      <c r="BN33" s="582" t="str">
        <f>IF(BO33="","",VLOOKUP(BO33,'#minDung'!$O$126:$Q$195,'#minDung'!$P$124,FALSE))</f>
        <v/>
      </c>
      <c r="BO33" s="567" t="str">
        <f>'#minDung'!K147</f>
        <v/>
      </c>
      <c r="BP33" s="608" t="str">
        <f>IF(BO33="","",VLOOKUP(BO33,Tab_min[[Mineraldünger]:[Kalkwirkung je 100 kg Dünger]],'#min'!$F$1,FALSE))</f>
        <v/>
      </c>
      <c r="BQ33" s="567" t="str">
        <f>IF(BO33="","",VLOOKUP(BO33,Tab_min[[Mineraldünger]:[Kalkwirkung je 100 kg Dünger]],'#min'!$G$1,FALSE))</f>
        <v/>
      </c>
      <c r="BR33" s="570" t="str">
        <f>IF(BO33="","",VLOOKUP(BO33,Tab_min[[Mineraldünger]:[Kalkwirkung je 100 kg Dünger]],'#min'!$H$1,FALSE))</f>
        <v/>
      </c>
      <c r="BS33" s="570" t="str">
        <f>IF(BO33="","",VLOOKUP(BO33,Tab_min[[Mineraldünger]:[Kalkwirkung je 100 kg Dünger]],'#min'!$J$1,FALSE))</f>
        <v/>
      </c>
      <c r="BT33" s="569" t="str">
        <f t="shared" si="24"/>
        <v/>
      </c>
      <c r="BU33" s="576" t="str">
        <f t="shared" si="25"/>
        <v/>
      </c>
      <c r="BV33" s="54" t="str">
        <f t="shared" si="26"/>
        <v/>
      </c>
      <c r="BW33" s="54" t="str">
        <f t="shared" si="27"/>
        <v/>
      </c>
      <c r="BX33" s="54" t="str">
        <f t="shared" si="28"/>
        <v/>
      </c>
      <c r="BY33" s="54" t="str">
        <f t="shared" si="29"/>
        <v/>
      </c>
      <c r="BZ33" s="54" t="str">
        <f t="shared" si="30"/>
        <v/>
      </c>
      <c r="CA33" s="54" t="str">
        <f t="shared" si="31"/>
        <v/>
      </c>
      <c r="CB33" s="54" t="str">
        <f t="shared" si="32"/>
        <v/>
      </c>
      <c r="CC33" s="54" t="str">
        <f t="shared" si="33"/>
        <v/>
      </c>
      <c r="CD33" s="54" t="str">
        <f t="shared" si="34"/>
        <v/>
      </c>
      <c r="CE33" s="54" t="str">
        <f t="shared" si="35"/>
        <v/>
      </c>
      <c r="CF33" s="54"/>
      <c r="CG33"/>
      <c r="CI33" s="993" t="str">
        <f>IF(CJ33=0,"",'#BerechnungDBE'!I150)</f>
        <v/>
      </c>
      <c r="CJ33" s="992">
        <f>_xlfn.AGGREGATE(14,4,'#BerechnungDBE'!$J$129:$J$494,'#BerechnungDBE'!I150)</f>
        <v>0</v>
      </c>
      <c r="CK33" s="1667" t="str">
        <f>IF(CJ33=0,"",VLOOKUP(CJ33,'#BerechnungDBE'!$J$129:$K$494,2,FALSE))</f>
        <v/>
      </c>
      <c r="CL33" s="1668"/>
    </row>
    <row r="34" spans="3:90" ht="15" customHeight="1" x14ac:dyDescent="0.2">
      <c r="W34" s="577" t="str">
        <f>IF(Y34="","",'#orgDung'!AE157)</f>
        <v/>
      </c>
      <c r="X34" s="984" t="str">
        <f>IF(Y34="","",VLOOKUP(Y34,'#orgDung'!$AF$135:$AG$187,'#orgDung'!$AG$133,FALSE))</f>
        <v/>
      </c>
      <c r="Y34" s="985" t="str">
        <f>'#orgDung'!AB157</f>
        <v/>
      </c>
      <c r="Z34" s="579" t="str">
        <f>IF(Y34="","",VLOOKUP(Y34,Tab_org21[[Dünger]:[anrechenbarer N bei DBE Grünland]],'#org22'!$L$1,FALSE))</f>
        <v/>
      </c>
      <c r="AA34" s="609" t="str">
        <f>IF(Y34="","",VLOOKUP(Y34,Tab_org21[[Dünger]:[anrechenbarer N bei DBE Grünland]],'#org22'!$D$1,FALSE))</f>
        <v/>
      </c>
      <c r="AB34" s="579" t="str">
        <f>IF(Y34="","",VLOOKUP(Y34,Tab_org21[[Dünger]:[anrechenbarer N bei DBE Grünland]],'#org22'!$P$1,FALSE))</f>
        <v/>
      </c>
      <c r="AC34" s="579" t="str">
        <f>IF(Y34="","",VLOOKUP(Y34,Tab_org21[[Dünger]:[anrechenbarer N bei DBE Grünland]],'#org22'!$Q$1,FALSE))</f>
        <v/>
      </c>
      <c r="AD34" s="578" t="str">
        <f>IF(Y34="","",VLOOKUP(Y34,Tab_org21[[Dünger]:[anrechenbarer N bei DBE Grünland]],'#org22'!$W$1,FALSE))</f>
        <v/>
      </c>
      <c r="AE34" s="579" t="str">
        <f>IF(Y34="","",VLOOKUP(Y34,Tab_org21[[Dünger]:[anrechenbarer N bei DBE Grünland]],'#org22'!$R$1,FALSE))</f>
        <v/>
      </c>
      <c r="AF34" s="578" t="str">
        <f>IF(Y34="","",VLOOKUP(Y34,Tab_org21[[Dünger]:[anrechenbarer N bei DBE Grünland]],'#org22'!$X$1,FALSE))</f>
        <v/>
      </c>
      <c r="AG34" s="578" t="str">
        <f t="shared" si="2"/>
        <v/>
      </c>
      <c r="AH34" s="580" t="str">
        <f t="shared" si="3"/>
        <v/>
      </c>
      <c r="AI34" s="549" t="str">
        <f t="shared" si="36"/>
        <v/>
      </c>
      <c r="AJ34" s="549" t="str">
        <f t="shared" si="4"/>
        <v/>
      </c>
      <c r="AK34" s="549" t="str">
        <f t="shared" si="5"/>
        <v/>
      </c>
      <c r="AL34" s="549" t="str">
        <f t="shared" si="6"/>
        <v/>
      </c>
      <c r="AM34" s="549" t="str">
        <f t="shared" si="7"/>
        <v/>
      </c>
      <c r="AN34" s="549" t="str">
        <f t="shared" si="8"/>
        <v/>
      </c>
      <c r="AO34" s="549" t="str">
        <f t="shared" si="9"/>
        <v/>
      </c>
      <c r="AP34" s="549" t="str">
        <f t="shared" si="10"/>
        <v/>
      </c>
      <c r="AQ34" s="549" t="str">
        <f t="shared" si="11"/>
        <v/>
      </c>
      <c r="AR34" s="549" t="str">
        <f t="shared" si="12"/>
        <v/>
      </c>
      <c r="AS34" s="549" t="str">
        <f t="shared" si="13"/>
        <v/>
      </c>
      <c r="AT34" s="549" t="str">
        <f t="shared" si="14"/>
        <v/>
      </c>
      <c r="AU34" s="549" t="str">
        <f t="shared" si="15"/>
        <v/>
      </c>
      <c r="AV34" s="549" t="str">
        <f t="shared" si="16"/>
        <v/>
      </c>
      <c r="AW34" s="549"/>
      <c r="AX34" s="549" t="str">
        <f t="shared" si="17"/>
        <v/>
      </c>
      <c r="AY34" s="549" t="str">
        <f>IF(Y34="","",VLOOKUP(Y34,'#orgDung'!$AF$135:$AH$187,'#orgDung'!$AH$133,FALSE))</f>
        <v/>
      </c>
      <c r="AZ34" s="549" t="str">
        <f t="shared" si="18"/>
        <v/>
      </c>
      <c r="BA34" s="549" t="str">
        <f t="shared" si="19"/>
        <v/>
      </c>
      <c r="BB34" s="549" t="str">
        <f>IF(Y34="","",VLOOKUP(Y34,Tab_org21[[Dünger]:[anrechenbarer N bei DBE Grünland]],'#org22'!$H$1,FALSE))</f>
        <v/>
      </c>
      <c r="BC34" s="549" t="str">
        <f t="shared" si="20"/>
        <v/>
      </c>
      <c r="BD34" s="549" t="str">
        <f t="shared" si="21"/>
        <v/>
      </c>
      <c r="BE34" s="549" t="str">
        <f>IF(Y34="","",VLOOKUP(Y34,Tab_org21[[Dünger]:[anrechenbarer N bei DBE Grünland]],'#org22'!$Z$1,FALSE))</f>
        <v/>
      </c>
      <c r="BF34" s="549" t="str">
        <f t="shared" si="22"/>
        <v/>
      </c>
      <c r="BG34" s="549" t="str">
        <f t="shared" si="23"/>
        <v/>
      </c>
      <c r="BH34" s="549"/>
      <c r="BI34" s="549"/>
      <c r="BJ34" s="549"/>
      <c r="BK34" s="551"/>
      <c r="BL34" s="551"/>
      <c r="BM34" s="744" t="str">
        <f>IF(BO34="","",'#minDung'!N148)</f>
        <v/>
      </c>
      <c r="BN34" s="743" t="str">
        <f>IF(BO34="","",VLOOKUP(BO34,'#minDung'!$O$126:$Q$195,'#minDung'!$P$124,FALSE))</f>
        <v/>
      </c>
      <c r="BO34" s="568" t="str">
        <f>'#minDung'!K148</f>
        <v/>
      </c>
      <c r="BP34" s="609" t="str">
        <f>IF(BO34="","",VLOOKUP(BO34,Tab_min[[Mineraldünger]:[Kalkwirkung je 100 kg Dünger]],'#min'!$F$1,FALSE))</f>
        <v/>
      </c>
      <c r="BQ34" s="568" t="str">
        <f>IF(BO34="","",VLOOKUP(BO34,Tab_min[[Mineraldünger]:[Kalkwirkung je 100 kg Dünger]],'#min'!$G$1,FALSE))</f>
        <v/>
      </c>
      <c r="BR34" s="579" t="str">
        <f>IF(BO34="","",VLOOKUP(BO34,Tab_min[[Mineraldünger]:[Kalkwirkung je 100 kg Dünger]],'#min'!$H$1,FALSE))</f>
        <v/>
      </c>
      <c r="BS34" s="579" t="str">
        <f>IF(BO34="","",VLOOKUP(BO34,Tab_min[[Mineraldünger]:[Kalkwirkung je 100 kg Dünger]],'#min'!$J$1,FALSE))</f>
        <v/>
      </c>
      <c r="BT34" s="578" t="str">
        <f t="shared" si="24"/>
        <v/>
      </c>
      <c r="BU34" s="580" t="str">
        <f t="shared" si="25"/>
        <v/>
      </c>
      <c r="BV34" s="54" t="str">
        <f t="shared" si="26"/>
        <v/>
      </c>
      <c r="BW34" s="54" t="str">
        <f t="shared" si="27"/>
        <v/>
      </c>
      <c r="BX34" s="54" t="str">
        <f t="shared" si="28"/>
        <v/>
      </c>
      <c r="BY34" s="54" t="str">
        <f t="shared" si="29"/>
        <v/>
      </c>
      <c r="BZ34" s="54" t="str">
        <f t="shared" si="30"/>
        <v/>
      </c>
      <c r="CA34" s="54" t="str">
        <f t="shared" si="31"/>
        <v/>
      </c>
      <c r="CB34" s="54" t="str">
        <f t="shared" si="32"/>
        <v/>
      </c>
      <c r="CC34" s="54" t="str">
        <f t="shared" si="33"/>
        <v/>
      </c>
      <c r="CD34" s="54" t="str">
        <f t="shared" si="34"/>
        <v/>
      </c>
      <c r="CE34" s="54" t="str">
        <f t="shared" si="35"/>
        <v/>
      </c>
      <c r="CF34" s="54"/>
      <c r="CG34"/>
      <c r="CI34" s="994" t="str">
        <f>IF(CJ34=0,"",'#BerechnungDBE'!I151)</f>
        <v/>
      </c>
      <c r="CJ34" s="995">
        <f>_xlfn.AGGREGATE(14,4,'#BerechnungDBE'!$J$129:$J$494,'#BerechnungDBE'!I151)</f>
        <v>0</v>
      </c>
      <c r="CK34" s="1692" t="str">
        <f>IF(CJ34=0,"",VLOOKUP(CJ34,'#BerechnungDBE'!$J$129:$K$494,2,FALSE))</f>
        <v/>
      </c>
      <c r="CL34" s="1693"/>
    </row>
    <row r="35" spans="3:90" ht="15" customHeight="1" x14ac:dyDescent="0.2">
      <c r="W35" s="547" t="str">
        <f>IF(Y35="","",'#orgDung'!AE158)</f>
        <v/>
      </c>
      <c r="X35" s="552" t="str">
        <f>IF(Y35="","",VLOOKUP(Y35,'#orgDung'!$AF$135:$AG$187,'#orgDung'!$AG$133,FALSE))</f>
        <v/>
      </c>
      <c r="Y35" s="55" t="str">
        <f>'#orgDung'!AB158</f>
        <v/>
      </c>
      <c r="Z35" s="549" t="str">
        <f>IF(Y35="","",VLOOKUP(Y35,Tab_org21[[Dünger]:[anrechenbarer N bei DBE Grünland]],'#org22'!$L$1,FALSE))</f>
        <v/>
      </c>
      <c r="AA35" s="610" t="str">
        <f>IF(Y35="","",VLOOKUP(Y35,Tab_org21[[Dünger]:[anrechenbarer N bei DBE Grünland]],'#org22'!$D$1,FALSE))</f>
        <v/>
      </c>
      <c r="AB35" s="549" t="str">
        <f>IF(Y35="","",VLOOKUP(Y35,Tab_org21[[Dünger]:[anrechenbarer N bei DBE Grünland]],'#org22'!$P$1,FALSE))</f>
        <v/>
      </c>
      <c r="AC35" s="549" t="str">
        <f>IF(Y35="","",VLOOKUP(Y35,Tab_org21[[Dünger]:[anrechenbarer N bei DBE Grünland]],'#org22'!$Q$1,FALSE))</f>
        <v/>
      </c>
      <c r="AD35" s="547" t="str">
        <f>IF(Y35="","",VLOOKUP(Y35,Tab_org21[[Dünger]:[anrechenbarer N bei DBE Grünland]],'#org22'!$W$1,FALSE))</f>
        <v/>
      </c>
      <c r="AE35" s="549" t="str">
        <f>IF(Y35="","",VLOOKUP(Y35,Tab_org21[[Dünger]:[anrechenbarer N bei DBE Grünland]],'#org22'!$R$1,FALSE))</f>
        <v/>
      </c>
      <c r="AF35" s="547" t="str">
        <f>IF(Y35="","",VLOOKUP(Y35,Tab_org21[[Dünger]:[anrechenbarer N bei DBE Grünland]],'#org22'!$X$1,FALSE))</f>
        <v/>
      </c>
      <c r="AG35" s="547" t="str">
        <f t="shared" si="2"/>
        <v/>
      </c>
      <c r="AH35" s="547" t="str">
        <f t="shared" si="3"/>
        <v/>
      </c>
      <c r="AI35" s="549" t="str">
        <f t="shared" si="36"/>
        <v/>
      </c>
      <c r="AJ35" s="549" t="str">
        <f t="shared" si="4"/>
        <v/>
      </c>
      <c r="AK35" s="549" t="str">
        <f t="shared" si="5"/>
        <v/>
      </c>
      <c r="AL35" s="549" t="str">
        <f t="shared" si="6"/>
        <v/>
      </c>
      <c r="AM35" s="549" t="str">
        <f t="shared" si="7"/>
        <v/>
      </c>
      <c r="AN35" s="549" t="str">
        <f t="shared" si="8"/>
        <v/>
      </c>
      <c r="AO35" s="549" t="str">
        <f t="shared" si="9"/>
        <v/>
      </c>
      <c r="AP35" s="549" t="str">
        <f t="shared" si="10"/>
        <v/>
      </c>
      <c r="AQ35" s="549" t="str">
        <f t="shared" si="11"/>
        <v/>
      </c>
      <c r="AR35" s="549" t="str">
        <f t="shared" si="12"/>
        <v/>
      </c>
      <c r="AS35" s="549" t="str">
        <f t="shared" si="13"/>
        <v/>
      </c>
      <c r="AT35" s="549" t="str">
        <f t="shared" si="14"/>
        <v/>
      </c>
      <c r="AU35" s="549" t="str">
        <f t="shared" si="15"/>
        <v/>
      </c>
      <c r="AV35" s="549" t="str">
        <f t="shared" si="16"/>
        <v/>
      </c>
      <c r="AW35" s="549"/>
      <c r="AX35" s="549" t="str">
        <f t="shared" si="17"/>
        <v/>
      </c>
      <c r="AY35" s="549" t="str">
        <f>IF(Y35="","",VLOOKUP(Y35,'#orgDung'!$AF$135:$AH$187,'#orgDung'!$AH$133,FALSE))</f>
        <v/>
      </c>
      <c r="AZ35" s="549" t="str">
        <f t="shared" si="18"/>
        <v/>
      </c>
      <c r="BA35" s="549" t="str">
        <f t="shared" si="19"/>
        <v/>
      </c>
      <c r="BB35" s="549" t="str">
        <f>IF(Y35="","",VLOOKUP(Y35,Tab_org21[[Dünger]:[anrechenbarer N bei DBE Grünland]],'#org22'!$H$1,FALSE))</f>
        <v/>
      </c>
      <c r="BC35" s="549" t="str">
        <f t="shared" si="20"/>
        <v/>
      </c>
      <c r="BD35" s="549" t="str">
        <f t="shared" si="21"/>
        <v/>
      </c>
      <c r="BE35" s="549" t="str">
        <f>IF(Y35="","",VLOOKUP(Y35,Tab_org21[[Dünger]:[anrechenbarer N bei DBE Grünland]],'#org22'!$Z$1,FALSE))</f>
        <v/>
      </c>
      <c r="BF35" s="549" t="str">
        <f t="shared" si="22"/>
        <v/>
      </c>
      <c r="BG35" s="549" t="str">
        <f t="shared" si="23"/>
        <v/>
      </c>
      <c r="BH35" s="549"/>
      <c r="BI35" s="549"/>
      <c r="BJ35" s="549"/>
      <c r="BK35" s="551"/>
      <c r="BL35" s="551"/>
      <c r="BM35" s="552" t="str">
        <f>IF(BO35="","",'#minDung'!N149)</f>
        <v/>
      </c>
      <c r="BN35" s="552" t="str">
        <f>IF(BO35="","",VLOOKUP(BO35,'#minDung'!$O$126:$Q$195,'#minDung'!$P$124,FALSE))</f>
        <v/>
      </c>
      <c r="BO35" s="594" t="str">
        <f>'#minDung'!K149</f>
        <v/>
      </c>
      <c r="BP35" s="610" t="str">
        <f>IF(BO35="","",VLOOKUP(BO35,Tab_min[[Mineraldünger]:[Kalkwirkung je 100 kg Dünger]],'#min'!$F$1,FALSE))</f>
        <v/>
      </c>
      <c r="BQ35" s="594" t="str">
        <f>IF(BO35="","",VLOOKUP(BO35,Tab_min[[Mineraldünger]:[Kalkwirkung je 100 kg Dünger]],'#min'!$G$1,FALSE))</f>
        <v/>
      </c>
      <c r="BR35" s="549" t="str">
        <f>IF(BO35="","",VLOOKUP(BO35,Tab_min[[Mineraldünger]:[Kalkwirkung je 100 kg Dünger]],'#min'!$H$1,FALSE))</f>
        <v/>
      </c>
      <c r="BS35" s="549" t="str">
        <f>IF(BO35="","",VLOOKUP(BO35,Tab_min[[Mineraldünger]:[Kalkwirkung je 100 kg Dünger]],'#min'!$J$1,FALSE))</f>
        <v/>
      </c>
      <c r="BT35" s="547" t="str">
        <f t="shared" si="24"/>
        <v/>
      </c>
      <c r="BU35" s="547" t="str">
        <f t="shared" si="25"/>
        <v/>
      </c>
      <c r="BV35" s="54" t="str">
        <f t="shared" si="26"/>
        <v/>
      </c>
      <c r="BW35" s="54" t="str">
        <f t="shared" si="27"/>
        <v/>
      </c>
      <c r="BX35" s="54" t="str">
        <f t="shared" si="28"/>
        <v/>
      </c>
      <c r="BY35" s="54" t="str">
        <f t="shared" si="29"/>
        <v/>
      </c>
      <c r="BZ35" s="54" t="str">
        <f t="shared" si="30"/>
        <v/>
      </c>
      <c r="CA35" s="54" t="str">
        <f t="shared" si="31"/>
        <v/>
      </c>
      <c r="CB35" s="54" t="str">
        <f t="shared" si="32"/>
        <v/>
      </c>
      <c r="CC35" s="54" t="str">
        <f t="shared" si="33"/>
        <v/>
      </c>
      <c r="CD35" s="54" t="str">
        <f t="shared" si="34"/>
        <v/>
      </c>
      <c r="CE35" s="54" t="str">
        <f t="shared" si="35"/>
        <v/>
      </c>
      <c r="CG35" s="804"/>
      <c r="CI35" s="592" t="str">
        <f>IF(CJ35=0,"",'#BerechnungDBE'!I152)</f>
        <v/>
      </c>
      <c r="CJ35" s="816">
        <f>_xlfn.AGGREGATE(14,4,'#BerechnungDBE'!$J$129:$J$494,'#BerechnungDBE'!I152)</f>
        <v>0</v>
      </c>
      <c r="CK35" s="1669" t="str">
        <f>IF(CJ35=0,"",VLOOKUP(CJ35,'#BerechnungDBE'!$J$129:$K$494,2,FALSE))</f>
        <v/>
      </c>
      <c r="CL35" s="1669"/>
    </row>
    <row r="36" spans="3:90" ht="15" customHeight="1" x14ac:dyDescent="0.2">
      <c r="W36" s="547" t="str">
        <f>IF(Y36="","",'#orgDung'!AE159)</f>
        <v/>
      </c>
      <c r="X36" s="552" t="str">
        <f>IF(Y36="","",VLOOKUP(Y36,'#orgDung'!$AF$135:$AG$187,'#orgDung'!$AG$133,FALSE))</f>
        <v/>
      </c>
      <c r="Y36" s="55" t="str">
        <f>'#orgDung'!AB159</f>
        <v/>
      </c>
      <c r="Z36" s="549" t="str">
        <f>IF(Y36="","",VLOOKUP(Y36,Tab_org21[[Dünger]:[anrechenbarer N bei DBE Grünland]],'#org22'!$L$1,FALSE))</f>
        <v/>
      </c>
      <c r="AA36" s="610" t="str">
        <f>IF(Y36="","",VLOOKUP(Y36,Tab_org21[[Dünger]:[anrechenbarer N bei DBE Grünland]],'#org22'!$D$1,FALSE))</f>
        <v/>
      </c>
      <c r="AB36" s="549" t="str">
        <f>IF(Y36="","",VLOOKUP(Y36,Tab_org21[[Dünger]:[anrechenbarer N bei DBE Grünland]],'#org22'!$P$1,FALSE))</f>
        <v/>
      </c>
      <c r="AC36" s="549" t="str">
        <f>IF(Y36="","",VLOOKUP(Y36,Tab_org21[[Dünger]:[anrechenbarer N bei DBE Grünland]],'#org22'!$Q$1,FALSE))</f>
        <v/>
      </c>
      <c r="AD36" s="547" t="str">
        <f>IF(Y36="","",VLOOKUP(Y36,Tab_org21[[Dünger]:[anrechenbarer N bei DBE Grünland]],'#org22'!$W$1,FALSE))</f>
        <v/>
      </c>
      <c r="AE36" s="549" t="str">
        <f>IF(Y36="","",VLOOKUP(Y36,Tab_org21[[Dünger]:[anrechenbarer N bei DBE Grünland]],'#org22'!$R$1,FALSE))</f>
        <v/>
      </c>
      <c r="AF36" s="547" t="str">
        <f>IF(Y36="","",VLOOKUP(Y36,Tab_org21[[Dünger]:[anrechenbarer N bei DBE Grünland]],'#org22'!$X$1,FALSE))</f>
        <v/>
      </c>
      <c r="AG36" s="547" t="str">
        <f t="shared" si="2"/>
        <v/>
      </c>
      <c r="AH36" s="547" t="str">
        <f t="shared" si="3"/>
        <v/>
      </c>
      <c r="AI36" s="549" t="str">
        <f t="shared" si="36"/>
        <v/>
      </c>
      <c r="AJ36" s="549" t="str">
        <f t="shared" si="4"/>
        <v/>
      </c>
      <c r="AK36" s="549" t="str">
        <f t="shared" si="5"/>
        <v/>
      </c>
      <c r="AL36" s="549" t="str">
        <f t="shared" si="6"/>
        <v/>
      </c>
      <c r="AM36" s="549" t="str">
        <f t="shared" si="7"/>
        <v/>
      </c>
      <c r="AN36" s="549" t="str">
        <f t="shared" si="8"/>
        <v/>
      </c>
      <c r="AO36" s="549" t="str">
        <f t="shared" si="9"/>
        <v/>
      </c>
      <c r="AP36" s="549" t="str">
        <f t="shared" si="10"/>
        <v/>
      </c>
      <c r="AQ36" s="549" t="str">
        <f t="shared" si="11"/>
        <v/>
      </c>
      <c r="AR36" s="549" t="str">
        <f t="shared" si="12"/>
        <v/>
      </c>
      <c r="AS36" s="549" t="str">
        <f t="shared" si="13"/>
        <v/>
      </c>
      <c r="AT36" s="549" t="str">
        <f t="shared" si="14"/>
        <v/>
      </c>
      <c r="AU36" s="549" t="str">
        <f t="shared" si="15"/>
        <v/>
      </c>
      <c r="AV36" s="549" t="str">
        <f t="shared" si="16"/>
        <v/>
      </c>
      <c r="AW36" s="549"/>
      <c r="AX36" s="549" t="str">
        <f t="shared" si="17"/>
        <v/>
      </c>
      <c r="AY36" s="549" t="str">
        <f>IF(Y36="","",VLOOKUP(Y36,'#orgDung'!$AF$135:$AH$187,'#orgDung'!$AH$133,FALSE))</f>
        <v/>
      </c>
      <c r="AZ36" s="549" t="str">
        <f t="shared" si="18"/>
        <v/>
      </c>
      <c r="BA36" s="549" t="str">
        <f t="shared" si="19"/>
        <v/>
      </c>
      <c r="BB36" s="549" t="str">
        <f>IF(Y36="","",VLOOKUP(Y36,Tab_org21[[Dünger]:[anrechenbarer N bei DBE Grünland]],'#org22'!$H$1,FALSE))</f>
        <v/>
      </c>
      <c r="BC36" s="549" t="str">
        <f t="shared" si="20"/>
        <v/>
      </c>
      <c r="BD36" s="549" t="str">
        <f t="shared" si="21"/>
        <v/>
      </c>
      <c r="BE36" s="549" t="str">
        <f>IF(Y36="","",VLOOKUP(Y36,Tab_org21[[Dünger]:[anrechenbarer N bei DBE Grünland]],'#org22'!$Z$1,FALSE))</f>
        <v/>
      </c>
      <c r="BF36" s="549" t="str">
        <f t="shared" si="22"/>
        <v/>
      </c>
      <c r="BG36" s="549" t="str">
        <f t="shared" si="23"/>
        <v/>
      </c>
      <c r="BH36" s="549"/>
      <c r="BI36" s="549"/>
      <c r="BJ36" s="549"/>
      <c r="BK36" s="551"/>
      <c r="BL36" s="551"/>
      <c r="BM36" s="552" t="str">
        <f>IF(BO36="","",'#minDung'!N150)</f>
        <v/>
      </c>
      <c r="BN36" s="552" t="str">
        <f>IF(BO36="","",VLOOKUP(BO36,'#minDung'!$O$126:$Q$195,'#minDung'!$P$124,FALSE))</f>
        <v/>
      </c>
      <c r="BO36" s="594" t="str">
        <f>'#minDung'!K150</f>
        <v/>
      </c>
      <c r="BP36" s="610" t="str">
        <f>IF(BO36="","",VLOOKUP(BO36,Tab_min[[Mineraldünger]:[Kalkwirkung je 100 kg Dünger]],'#min'!$F$1,FALSE))</f>
        <v/>
      </c>
      <c r="BQ36" s="594" t="str">
        <f>IF(BO36="","",VLOOKUP(BO36,Tab_min[[Mineraldünger]:[Kalkwirkung je 100 kg Dünger]],'#min'!$G$1,FALSE))</f>
        <v/>
      </c>
      <c r="BR36" s="549" t="str">
        <f>IF(BO36="","",VLOOKUP(BO36,Tab_min[[Mineraldünger]:[Kalkwirkung je 100 kg Dünger]],'#min'!$H$1,FALSE))</f>
        <v/>
      </c>
      <c r="BS36" s="549" t="str">
        <f>IF(BO36="","",VLOOKUP(BO36,Tab_min[[Mineraldünger]:[Kalkwirkung je 100 kg Dünger]],'#min'!$J$1,FALSE))</f>
        <v/>
      </c>
      <c r="BT36" s="547" t="str">
        <f t="shared" si="24"/>
        <v/>
      </c>
      <c r="BU36" s="547" t="str">
        <f t="shared" si="25"/>
        <v/>
      </c>
      <c r="BV36" s="54" t="str">
        <f t="shared" si="26"/>
        <v/>
      </c>
      <c r="BW36" s="54" t="str">
        <f t="shared" si="27"/>
        <v/>
      </c>
      <c r="BX36" s="54" t="str">
        <f t="shared" si="28"/>
        <v/>
      </c>
      <c r="BY36" s="54" t="str">
        <f t="shared" si="29"/>
        <v/>
      </c>
      <c r="BZ36" s="54" t="str">
        <f t="shared" si="30"/>
        <v/>
      </c>
      <c r="CA36" s="54" t="str">
        <f t="shared" si="31"/>
        <v/>
      </c>
      <c r="CB36" s="54" t="str">
        <f t="shared" si="32"/>
        <v/>
      </c>
      <c r="CC36" s="54" t="str">
        <f t="shared" si="33"/>
        <v/>
      </c>
      <c r="CD36" s="54" t="str">
        <f t="shared" si="34"/>
        <v/>
      </c>
      <c r="CE36" s="54" t="str">
        <f t="shared" si="35"/>
        <v/>
      </c>
      <c r="CI36" s="592" t="str">
        <f>IF(CJ36=0,"",'#BerechnungDBE'!I153)</f>
        <v/>
      </c>
      <c r="CJ36" s="816">
        <f>_xlfn.AGGREGATE(14,4,'#BerechnungDBE'!$J$129:$J$494,'#BerechnungDBE'!I153)</f>
        <v>0</v>
      </c>
      <c r="CK36" s="1666" t="str">
        <f>IF(CJ36=0,"",VLOOKUP(CJ36,'#BerechnungDBE'!$J$129:$K$494,2,FALSE))</f>
        <v/>
      </c>
      <c r="CL36" s="1666"/>
    </row>
    <row r="37" spans="3:90" ht="15" customHeight="1" x14ac:dyDescent="0.2">
      <c r="W37" s="547" t="str">
        <f>IF(Y37="","",'#orgDung'!AE160)</f>
        <v/>
      </c>
      <c r="X37" s="552" t="str">
        <f>IF(Y37="","",VLOOKUP(Y37,'#orgDung'!$AF$135:$AG$187,'#orgDung'!$AG$133,FALSE))</f>
        <v/>
      </c>
      <c r="Y37" s="55" t="str">
        <f>'#orgDung'!AB160</f>
        <v/>
      </c>
      <c r="Z37" s="549" t="str">
        <f>IF(Y37="","",VLOOKUP(Y37,Tab_org21[[Dünger]:[anrechenbarer N bei DBE Grünland]],'#org22'!$L$1,FALSE))</f>
        <v/>
      </c>
      <c r="AA37" s="610" t="str">
        <f>IF(Y37="","",VLOOKUP(Y37,Tab_org21[[Dünger]:[anrechenbarer N bei DBE Grünland]],'#org22'!$D$1,FALSE))</f>
        <v/>
      </c>
      <c r="AB37" s="549" t="str">
        <f>IF(Y37="","",VLOOKUP(Y37,Tab_org21[[Dünger]:[anrechenbarer N bei DBE Grünland]],'#org22'!$P$1,FALSE))</f>
        <v/>
      </c>
      <c r="AC37" s="549" t="str">
        <f>IF(Y37="","",VLOOKUP(Y37,Tab_org21[[Dünger]:[anrechenbarer N bei DBE Grünland]],'#org22'!$Q$1,FALSE))</f>
        <v/>
      </c>
      <c r="AD37" s="547" t="str">
        <f>IF(Y37="","",VLOOKUP(Y37,Tab_org21[[Dünger]:[anrechenbarer N bei DBE Grünland]],'#org22'!$W$1,FALSE))</f>
        <v/>
      </c>
      <c r="AE37" s="549" t="str">
        <f>IF(Y37="","",VLOOKUP(Y37,Tab_org21[[Dünger]:[anrechenbarer N bei DBE Grünland]],'#org22'!$R$1,FALSE))</f>
        <v/>
      </c>
      <c r="AF37" s="547" t="str">
        <f>IF(Y37="","",VLOOKUP(Y37,Tab_org21[[Dünger]:[anrechenbarer N bei DBE Grünland]],'#org22'!$X$1,FALSE))</f>
        <v/>
      </c>
      <c r="AG37" s="547" t="str">
        <f t="shared" si="2"/>
        <v/>
      </c>
      <c r="AH37" s="547" t="str">
        <f t="shared" si="3"/>
        <v/>
      </c>
      <c r="AI37" s="549" t="str">
        <f t="shared" si="36"/>
        <v/>
      </c>
      <c r="AJ37" s="549" t="str">
        <f t="shared" si="4"/>
        <v/>
      </c>
      <c r="AK37" s="549" t="str">
        <f t="shared" si="5"/>
        <v/>
      </c>
      <c r="AL37" s="549" t="str">
        <f t="shared" si="6"/>
        <v/>
      </c>
      <c r="AM37" s="549" t="str">
        <f t="shared" si="7"/>
        <v/>
      </c>
      <c r="AN37" s="549" t="str">
        <f t="shared" si="8"/>
        <v/>
      </c>
      <c r="AO37" s="549" t="str">
        <f t="shared" si="9"/>
        <v/>
      </c>
      <c r="AP37" s="549" t="str">
        <f t="shared" si="10"/>
        <v/>
      </c>
      <c r="AQ37" s="549" t="str">
        <f t="shared" si="11"/>
        <v/>
      </c>
      <c r="AR37" s="549" t="str">
        <f t="shared" si="12"/>
        <v/>
      </c>
      <c r="AS37" s="549" t="str">
        <f t="shared" si="13"/>
        <v/>
      </c>
      <c r="AT37" s="549" t="str">
        <f t="shared" si="14"/>
        <v/>
      </c>
      <c r="AU37" s="549" t="str">
        <f t="shared" si="15"/>
        <v/>
      </c>
      <c r="AV37" s="549" t="str">
        <f t="shared" si="16"/>
        <v/>
      </c>
      <c r="AW37" s="549"/>
      <c r="AX37" s="549" t="str">
        <f t="shared" si="17"/>
        <v/>
      </c>
      <c r="AY37" s="549" t="str">
        <f>IF(Y37="","",VLOOKUP(Y37,'#orgDung'!$AF$135:$AH$187,'#orgDung'!$AH$133,FALSE))</f>
        <v/>
      </c>
      <c r="AZ37" s="549" t="str">
        <f t="shared" si="18"/>
        <v/>
      </c>
      <c r="BA37" s="549" t="str">
        <f t="shared" si="19"/>
        <v/>
      </c>
      <c r="BB37" s="549" t="str">
        <f>IF(Y37="","",VLOOKUP(Y37,Tab_org21[[Dünger]:[anrechenbarer N bei DBE Grünland]],'#org22'!$H$1,FALSE))</f>
        <v/>
      </c>
      <c r="BC37" s="549" t="str">
        <f t="shared" si="20"/>
        <v/>
      </c>
      <c r="BD37" s="549" t="str">
        <f t="shared" si="21"/>
        <v/>
      </c>
      <c r="BE37" s="549" t="str">
        <f>IF(Y37="","",VLOOKUP(Y37,Tab_org21[[Dünger]:[anrechenbarer N bei DBE Grünland]],'#org22'!$Z$1,FALSE))</f>
        <v/>
      </c>
      <c r="BF37" s="549" t="str">
        <f t="shared" si="22"/>
        <v/>
      </c>
      <c r="BG37" s="549" t="str">
        <f t="shared" si="23"/>
        <v/>
      </c>
      <c r="BH37" s="549"/>
      <c r="BI37" s="549"/>
      <c r="BJ37" s="549"/>
      <c r="BK37" s="551"/>
      <c r="BL37" s="551"/>
      <c r="BM37" s="552" t="str">
        <f>IF(BO37="","",'#minDung'!N151)</f>
        <v/>
      </c>
      <c r="BN37" s="552" t="str">
        <f>IF(BO37="","",VLOOKUP(BO37,'#minDung'!$O$126:$Q$195,'#minDung'!$P$124,FALSE))</f>
        <v/>
      </c>
      <c r="BO37" s="594" t="str">
        <f>'#minDung'!K151</f>
        <v/>
      </c>
      <c r="BP37" s="610" t="str">
        <f>IF(BO37="","",VLOOKUP(BO37,Tab_min[[Mineraldünger]:[Kalkwirkung je 100 kg Dünger]],'#min'!$F$1,FALSE))</f>
        <v/>
      </c>
      <c r="BQ37" s="594" t="str">
        <f>IF(BO37="","",VLOOKUP(BO37,Tab_min[[Mineraldünger]:[Kalkwirkung je 100 kg Dünger]],'#min'!$G$1,FALSE))</f>
        <v/>
      </c>
      <c r="BR37" s="549" t="str">
        <f>IF(BO37="","",VLOOKUP(BO37,Tab_min[[Mineraldünger]:[Kalkwirkung je 100 kg Dünger]],'#min'!$H$1,FALSE))</f>
        <v/>
      </c>
      <c r="BS37" s="549" t="str">
        <f>IF(BO37="","",VLOOKUP(BO37,Tab_min[[Mineraldünger]:[Kalkwirkung je 100 kg Dünger]],'#min'!$J$1,FALSE))</f>
        <v/>
      </c>
      <c r="BT37" s="547" t="str">
        <f t="shared" si="24"/>
        <v/>
      </c>
      <c r="BU37" s="547" t="str">
        <f t="shared" si="25"/>
        <v/>
      </c>
      <c r="BV37" s="54" t="str">
        <f t="shared" si="26"/>
        <v/>
      </c>
      <c r="BW37" s="54" t="str">
        <f t="shared" si="27"/>
        <v/>
      </c>
      <c r="BX37" s="54" t="str">
        <f t="shared" si="28"/>
        <v/>
      </c>
      <c r="BY37" s="54" t="str">
        <f t="shared" si="29"/>
        <v/>
      </c>
      <c r="BZ37" s="54" t="str">
        <f t="shared" si="30"/>
        <v/>
      </c>
      <c r="CA37" s="54" t="str">
        <f t="shared" si="31"/>
        <v/>
      </c>
      <c r="CB37" s="54" t="str">
        <f t="shared" si="32"/>
        <v/>
      </c>
      <c r="CC37" s="54" t="str">
        <f t="shared" si="33"/>
        <v/>
      </c>
      <c r="CD37" s="54" t="str">
        <f t="shared" si="34"/>
        <v/>
      </c>
      <c r="CE37" s="54" t="str">
        <f t="shared" si="35"/>
        <v/>
      </c>
      <c r="CI37" s="592" t="str">
        <f>IF(CJ37=0,"",'#BerechnungDBE'!I154)</f>
        <v/>
      </c>
      <c r="CJ37" s="816">
        <f>_xlfn.AGGREGATE(14,4,'#BerechnungDBE'!$J$129:$J$494,'#BerechnungDBE'!I154)</f>
        <v>0</v>
      </c>
      <c r="CK37" s="1666" t="str">
        <f>IF(CJ37=0,"",VLOOKUP(CJ37,'#BerechnungDBE'!$J$129:$K$494,2,FALSE))</f>
        <v/>
      </c>
      <c r="CL37" s="1666"/>
    </row>
    <row r="38" spans="3:90" ht="15" customHeight="1" x14ac:dyDescent="0.2">
      <c r="W38" s="547" t="str">
        <f>IF(Y38="","",'#orgDung'!AE161)</f>
        <v/>
      </c>
      <c r="X38" s="552" t="str">
        <f>IF(Y38="","",VLOOKUP(Y38,'#orgDung'!$AF$135:$AG$187,'#orgDung'!$AG$133,FALSE))</f>
        <v/>
      </c>
      <c r="Y38" s="55" t="str">
        <f>'#orgDung'!AB161</f>
        <v/>
      </c>
      <c r="Z38" s="549" t="str">
        <f>IF(Y38="","",VLOOKUP(Y38,Tab_org21[[Dünger]:[anrechenbarer N bei DBE Grünland]],'#org22'!$L$1,FALSE))</f>
        <v/>
      </c>
      <c r="AA38" s="610" t="str">
        <f>IF(Y38="","",VLOOKUP(Y38,Tab_org21[[Dünger]:[anrechenbarer N bei DBE Grünland]],'#org22'!$D$1,FALSE))</f>
        <v/>
      </c>
      <c r="AB38" s="549" t="str">
        <f>IF(Y38="","",VLOOKUP(Y38,Tab_org21[[Dünger]:[anrechenbarer N bei DBE Grünland]],'#org22'!$P$1,FALSE))</f>
        <v/>
      </c>
      <c r="AC38" s="549" t="str">
        <f>IF(Y38="","",VLOOKUP(Y38,Tab_org21[[Dünger]:[anrechenbarer N bei DBE Grünland]],'#org22'!$Q$1,FALSE))</f>
        <v/>
      </c>
      <c r="AD38" s="547" t="str">
        <f>IF(Y38="","",VLOOKUP(Y38,Tab_org21[[Dünger]:[anrechenbarer N bei DBE Grünland]],'#org22'!$W$1,FALSE))</f>
        <v/>
      </c>
      <c r="AE38" s="549" t="str">
        <f>IF(Y38="","",VLOOKUP(Y38,Tab_org21[[Dünger]:[anrechenbarer N bei DBE Grünland]],'#org22'!$R$1,FALSE))</f>
        <v/>
      </c>
      <c r="AF38" s="547" t="str">
        <f>IF(Y38="","",VLOOKUP(Y38,Tab_org21[[Dünger]:[anrechenbarer N bei DBE Grünland]],'#org22'!$X$1,FALSE))</f>
        <v/>
      </c>
      <c r="AG38" s="547" t="str">
        <f t="shared" si="2"/>
        <v/>
      </c>
      <c r="AH38" s="547" t="str">
        <f t="shared" si="3"/>
        <v/>
      </c>
      <c r="AI38" s="549" t="str">
        <f t="shared" si="36"/>
        <v/>
      </c>
      <c r="AJ38" s="549" t="str">
        <f t="shared" si="4"/>
        <v/>
      </c>
      <c r="AK38" s="549" t="str">
        <f t="shared" si="5"/>
        <v/>
      </c>
      <c r="AL38" s="549" t="str">
        <f t="shared" si="6"/>
        <v/>
      </c>
      <c r="AM38" s="549" t="str">
        <f t="shared" si="7"/>
        <v/>
      </c>
      <c r="AN38" s="549" t="str">
        <f t="shared" si="8"/>
        <v/>
      </c>
      <c r="AO38" s="549" t="str">
        <f t="shared" si="9"/>
        <v/>
      </c>
      <c r="AP38" s="549" t="str">
        <f t="shared" si="10"/>
        <v/>
      </c>
      <c r="AQ38" s="549" t="str">
        <f t="shared" si="11"/>
        <v/>
      </c>
      <c r="AR38" s="549" t="str">
        <f t="shared" si="12"/>
        <v/>
      </c>
      <c r="AS38" s="549" t="str">
        <f t="shared" si="13"/>
        <v/>
      </c>
      <c r="AT38" s="549" t="str">
        <f t="shared" si="14"/>
        <v/>
      </c>
      <c r="AU38" s="549" t="str">
        <f t="shared" si="15"/>
        <v/>
      </c>
      <c r="AV38" s="549" t="str">
        <f t="shared" si="16"/>
        <v/>
      </c>
      <c r="AW38" s="549"/>
      <c r="AX38" s="549" t="str">
        <f t="shared" si="17"/>
        <v/>
      </c>
      <c r="AY38" s="549" t="str">
        <f>IF(Y38="","",VLOOKUP(Y38,'#orgDung'!$AF$135:$AH$187,'#orgDung'!$AH$133,FALSE))</f>
        <v/>
      </c>
      <c r="AZ38" s="549" t="str">
        <f t="shared" si="18"/>
        <v/>
      </c>
      <c r="BA38" s="549" t="str">
        <f t="shared" si="19"/>
        <v/>
      </c>
      <c r="BB38" s="549" t="str">
        <f>IF(Y38="","",VLOOKUP(Y38,Tab_org21[[Dünger]:[anrechenbarer N bei DBE Grünland]],'#org22'!$H$1,FALSE))</f>
        <v/>
      </c>
      <c r="BC38" s="549" t="str">
        <f t="shared" si="20"/>
        <v/>
      </c>
      <c r="BD38" s="549" t="str">
        <f t="shared" si="21"/>
        <v/>
      </c>
      <c r="BE38" s="549" t="str">
        <f>IF(Y38="","",VLOOKUP(Y38,Tab_org21[[Dünger]:[anrechenbarer N bei DBE Grünland]],'#org22'!$Z$1,FALSE))</f>
        <v/>
      </c>
      <c r="BF38" s="549" t="str">
        <f t="shared" si="22"/>
        <v/>
      </c>
      <c r="BG38" s="549" t="str">
        <f t="shared" si="23"/>
        <v/>
      </c>
      <c r="BH38" s="549"/>
      <c r="BI38" s="549"/>
      <c r="BJ38" s="549"/>
      <c r="BK38" s="551"/>
      <c r="BL38" s="551"/>
      <c r="BM38" s="552" t="str">
        <f>IF(BO38="","",'#minDung'!N152)</f>
        <v/>
      </c>
      <c r="BN38" s="552" t="str">
        <f>IF(BO38="","",VLOOKUP(BO38,'#minDung'!$O$126:$Q$195,'#minDung'!$P$124,FALSE))</f>
        <v/>
      </c>
      <c r="BO38" s="594" t="str">
        <f>'#minDung'!K152</f>
        <v/>
      </c>
      <c r="BP38" s="610" t="str">
        <f>IF(BO38="","",VLOOKUP(BO38,Tab_min[[Mineraldünger]:[Kalkwirkung je 100 kg Dünger]],'#min'!$F$1,FALSE))</f>
        <v/>
      </c>
      <c r="BQ38" s="594" t="str">
        <f>IF(BO38="","",VLOOKUP(BO38,Tab_min[[Mineraldünger]:[Kalkwirkung je 100 kg Dünger]],'#min'!$G$1,FALSE))</f>
        <v/>
      </c>
      <c r="BR38" s="549" t="str">
        <f>IF(BO38="","",VLOOKUP(BO38,Tab_min[[Mineraldünger]:[Kalkwirkung je 100 kg Dünger]],'#min'!$H$1,FALSE))</f>
        <v/>
      </c>
      <c r="BS38" s="549" t="str">
        <f>IF(BO38="","",VLOOKUP(BO38,Tab_min[[Mineraldünger]:[Kalkwirkung je 100 kg Dünger]],'#min'!$J$1,FALSE))</f>
        <v/>
      </c>
      <c r="BT38" s="547" t="str">
        <f t="shared" si="24"/>
        <v/>
      </c>
      <c r="BU38" s="547" t="str">
        <f t="shared" si="25"/>
        <v/>
      </c>
      <c r="BV38" s="54" t="str">
        <f t="shared" si="26"/>
        <v/>
      </c>
      <c r="BW38" s="54" t="str">
        <f t="shared" si="27"/>
        <v/>
      </c>
      <c r="BX38" s="54" t="str">
        <f t="shared" si="28"/>
        <v/>
      </c>
      <c r="BY38" s="54" t="str">
        <f t="shared" si="29"/>
        <v/>
      </c>
      <c r="BZ38" s="54" t="str">
        <f t="shared" si="30"/>
        <v/>
      </c>
      <c r="CA38" s="54" t="str">
        <f t="shared" si="31"/>
        <v/>
      </c>
      <c r="CB38" s="54" t="str">
        <f t="shared" si="32"/>
        <v/>
      </c>
      <c r="CC38" s="54" t="str">
        <f t="shared" si="33"/>
        <v/>
      </c>
      <c r="CD38" s="54" t="str">
        <f t="shared" si="34"/>
        <v/>
      </c>
      <c r="CE38" s="54" t="str">
        <f t="shared" si="35"/>
        <v/>
      </c>
      <c r="CI38" s="592" t="str">
        <f>IF(CJ38=0,"",'#BerechnungDBE'!I155)</f>
        <v/>
      </c>
      <c r="CJ38" s="816">
        <f>_xlfn.AGGREGATE(14,4,'#BerechnungDBE'!$J$129:$J$494,'#BerechnungDBE'!I155)</f>
        <v>0</v>
      </c>
      <c r="CK38" s="1666" t="str">
        <f>IF(CJ38=0,"",VLOOKUP(CJ38,'#BerechnungDBE'!$J$129:$K$494,2,FALSE))</f>
        <v/>
      </c>
      <c r="CL38" s="1666"/>
    </row>
    <row r="39" spans="3:90" ht="15" customHeight="1" x14ac:dyDescent="0.2">
      <c r="W39" s="547" t="str">
        <f>IF(Y39="","",'#orgDung'!AE162)</f>
        <v/>
      </c>
      <c r="X39" s="552" t="str">
        <f>IF(Y39="","",VLOOKUP(Y39,'#orgDung'!$AF$135:$AG$187,'#orgDung'!$AG$133,FALSE))</f>
        <v/>
      </c>
      <c r="Y39" s="55" t="str">
        <f>'#orgDung'!AB162</f>
        <v/>
      </c>
      <c r="Z39" s="549" t="str">
        <f>IF(Y39="","",VLOOKUP(Y39,Tab_org21[[Dünger]:[anrechenbarer N bei DBE Grünland]],'#org22'!$L$1,FALSE))</f>
        <v/>
      </c>
      <c r="AA39" s="610" t="str">
        <f>IF(Y39="","",VLOOKUP(Y39,Tab_org21[[Dünger]:[anrechenbarer N bei DBE Grünland]],'#org22'!$D$1,FALSE))</f>
        <v/>
      </c>
      <c r="AB39" s="549" t="str">
        <f>IF(Y39="","",VLOOKUP(Y39,Tab_org21[[Dünger]:[anrechenbarer N bei DBE Grünland]],'#org22'!$P$1,FALSE))</f>
        <v/>
      </c>
      <c r="AC39" s="549" t="str">
        <f>IF(Y39="","",VLOOKUP(Y39,Tab_org21[[Dünger]:[anrechenbarer N bei DBE Grünland]],'#org22'!$Q$1,FALSE))</f>
        <v/>
      </c>
      <c r="AD39" s="547" t="str">
        <f>IF(Y39="","",VLOOKUP(Y39,Tab_org21[[Dünger]:[anrechenbarer N bei DBE Grünland]],'#org22'!$W$1,FALSE))</f>
        <v/>
      </c>
      <c r="AE39" s="549" t="str">
        <f>IF(Y39="","",VLOOKUP(Y39,Tab_org21[[Dünger]:[anrechenbarer N bei DBE Grünland]],'#org22'!$R$1,FALSE))</f>
        <v/>
      </c>
      <c r="AF39" s="547" t="str">
        <f>IF(Y39="","",VLOOKUP(Y39,Tab_org21[[Dünger]:[anrechenbarer N bei DBE Grünland]],'#org22'!$X$1,FALSE))</f>
        <v/>
      </c>
      <c r="AG39" s="547" t="str">
        <f t="shared" si="2"/>
        <v/>
      </c>
      <c r="AH39" s="547" t="str">
        <f t="shared" si="3"/>
        <v/>
      </c>
      <c r="AI39" s="549" t="str">
        <f t="shared" si="36"/>
        <v/>
      </c>
      <c r="AJ39" s="549" t="str">
        <f t="shared" si="4"/>
        <v/>
      </c>
      <c r="AK39" s="549" t="str">
        <f t="shared" si="5"/>
        <v/>
      </c>
      <c r="AL39" s="549" t="str">
        <f t="shared" si="6"/>
        <v/>
      </c>
      <c r="AM39" s="549" t="str">
        <f t="shared" si="7"/>
        <v/>
      </c>
      <c r="AN39" s="549" t="str">
        <f t="shared" si="8"/>
        <v/>
      </c>
      <c r="AO39" s="549" t="str">
        <f t="shared" si="9"/>
        <v/>
      </c>
      <c r="AP39" s="549" t="str">
        <f t="shared" si="10"/>
        <v/>
      </c>
      <c r="AQ39" s="549" t="str">
        <f t="shared" si="11"/>
        <v/>
      </c>
      <c r="AR39" s="549" t="str">
        <f t="shared" si="12"/>
        <v/>
      </c>
      <c r="AS39" s="549" t="str">
        <f t="shared" si="13"/>
        <v/>
      </c>
      <c r="AT39" s="549" t="str">
        <f t="shared" si="14"/>
        <v/>
      </c>
      <c r="AU39" s="549" t="str">
        <f t="shared" si="15"/>
        <v/>
      </c>
      <c r="AV39" s="549" t="str">
        <f t="shared" si="16"/>
        <v/>
      </c>
      <c r="AW39" s="549"/>
      <c r="AX39" s="549" t="str">
        <f t="shared" si="17"/>
        <v/>
      </c>
      <c r="AY39" s="549" t="str">
        <f>IF(Y39="","",VLOOKUP(Y39,'#orgDung'!$AF$135:$AH$187,'#orgDung'!$AH$133,FALSE))</f>
        <v/>
      </c>
      <c r="AZ39" s="549" t="str">
        <f t="shared" si="18"/>
        <v/>
      </c>
      <c r="BA39" s="549" t="str">
        <f t="shared" si="19"/>
        <v/>
      </c>
      <c r="BB39" s="549" t="str">
        <f>IF(Y39="","",VLOOKUP(Y39,Tab_org21[[Dünger]:[anrechenbarer N bei DBE Grünland]],'#org22'!$H$1,FALSE))</f>
        <v/>
      </c>
      <c r="BC39" s="549" t="str">
        <f t="shared" si="20"/>
        <v/>
      </c>
      <c r="BD39" s="549" t="str">
        <f t="shared" si="21"/>
        <v/>
      </c>
      <c r="BE39" s="549" t="str">
        <f>IF(Y39="","",VLOOKUP(Y39,Tab_org21[[Dünger]:[anrechenbarer N bei DBE Grünland]],'#org22'!$Z$1,FALSE))</f>
        <v/>
      </c>
      <c r="BF39" s="549" t="str">
        <f t="shared" si="22"/>
        <v/>
      </c>
      <c r="BG39" s="549" t="str">
        <f t="shared" si="23"/>
        <v/>
      </c>
      <c r="BH39" s="549"/>
      <c r="BI39" s="549"/>
      <c r="BJ39" s="549"/>
      <c r="BK39" s="551"/>
      <c r="BL39" s="551"/>
      <c r="BM39" s="552" t="str">
        <f>IF(BO39="","",'#minDung'!N153)</f>
        <v/>
      </c>
      <c r="BN39" s="552" t="str">
        <f>IF(BO39="","",VLOOKUP(BO39,'#minDung'!$O$126:$Q$195,'#minDung'!$P$124,FALSE))</f>
        <v/>
      </c>
      <c r="BO39" s="594" t="str">
        <f>'#minDung'!K153</f>
        <v/>
      </c>
      <c r="BP39" s="610" t="str">
        <f>IF(BO39="","",VLOOKUP(BO39,Tab_min[[Mineraldünger]:[Kalkwirkung je 100 kg Dünger]],'#min'!$F$1,FALSE))</f>
        <v/>
      </c>
      <c r="BQ39" s="594" t="str">
        <f>IF(BO39="","",VLOOKUP(BO39,Tab_min[[Mineraldünger]:[Kalkwirkung je 100 kg Dünger]],'#min'!$G$1,FALSE))</f>
        <v/>
      </c>
      <c r="BR39" s="549" t="str">
        <f>IF(BO39="","",VLOOKUP(BO39,Tab_min[[Mineraldünger]:[Kalkwirkung je 100 kg Dünger]],'#min'!$H$1,FALSE))</f>
        <v/>
      </c>
      <c r="BS39" s="549" t="str">
        <f>IF(BO39="","",VLOOKUP(BO39,Tab_min[[Mineraldünger]:[Kalkwirkung je 100 kg Dünger]],'#min'!$J$1,FALSE))</f>
        <v/>
      </c>
      <c r="BT39" s="547" t="str">
        <f t="shared" si="24"/>
        <v/>
      </c>
      <c r="BU39" s="547" t="str">
        <f t="shared" si="25"/>
        <v/>
      </c>
      <c r="BV39" s="54" t="str">
        <f t="shared" si="26"/>
        <v/>
      </c>
      <c r="BW39" s="54" t="str">
        <f t="shared" si="27"/>
        <v/>
      </c>
      <c r="BX39" s="54" t="str">
        <f t="shared" si="28"/>
        <v/>
      </c>
      <c r="BY39" s="54" t="str">
        <f t="shared" si="29"/>
        <v/>
      </c>
      <c r="BZ39" s="54" t="str">
        <f t="shared" si="30"/>
        <v/>
      </c>
      <c r="CA39" s="54" t="str">
        <f t="shared" si="31"/>
        <v/>
      </c>
      <c r="CB39" s="54" t="str">
        <f t="shared" si="32"/>
        <v/>
      </c>
      <c r="CC39" s="54" t="str">
        <f t="shared" si="33"/>
        <v/>
      </c>
      <c r="CD39" s="54" t="str">
        <f t="shared" si="34"/>
        <v/>
      </c>
      <c r="CE39" s="54" t="str">
        <f t="shared" si="35"/>
        <v/>
      </c>
      <c r="CI39" s="592" t="str">
        <f>IF(CJ39=0,"",'#BerechnungDBE'!I156)</f>
        <v/>
      </c>
      <c r="CJ39" s="816">
        <f>_xlfn.AGGREGATE(14,4,'#BerechnungDBE'!$J$129:$J$494,'#BerechnungDBE'!I156)</f>
        <v>0</v>
      </c>
      <c r="CK39" s="1666" t="str">
        <f>IF(CJ39=0,"",VLOOKUP(CJ39,'#BerechnungDBE'!$J$129:$K$494,2,FALSE))</f>
        <v/>
      </c>
      <c r="CL39" s="1666"/>
    </row>
    <row r="40" spans="3:90" ht="15" customHeight="1" x14ac:dyDescent="0.2">
      <c r="W40" s="547" t="str">
        <f>IF(Y40="","",'#orgDung'!AE163)</f>
        <v/>
      </c>
      <c r="X40" s="552" t="str">
        <f>IF(Y40="","",VLOOKUP(Y40,'#orgDung'!$AF$135:$AG$187,'#orgDung'!$AG$133,FALSE))</f>
        <v/>
      </c>
      <c r="Y40" s="55" t="str">
        <f>'#orgDung'!AB163</f>
        <v/>
      </c>
      <c r="Z40" s="549" t="str">
        <f>IF(Y40="","",VLOOKUP(Y40,Tab_org21[[Dünger]:[anrechenbarer N bei DBE Grünland]],'#org22'!$L$1,FALSE))</f>
        <v/>
      </c>
      <c r="AA40" s="610" t="str">
        <f>IF(Y40="","",VLOOKUP(Y40,Tab_org21[[Dünger]:[anrechenbarer N bei DBE Grünland]],'#org22'!$D$1,FALSE))</f>
        <v/>
      </c>
      <c r="AB40" s="549" t="str">
        <f>IF(Y40="","",VLOOKUP(Y40,Tab_org21[[Dünger]:[anrechenbarer N bei DBE Grünland]],'#org22'!$P$1,FALSE))</f>
        <v/>
      </c>
      <c r="AC40" s="549" t="str">
        <f>IF(Y40="","",VLOOKUP(Y40,Tab_org21[[Dünger]:[anrechenbarer N bei DBE Grünland]],'#org22'!$Q$1,FALSE))</f>
        <v/>
      </c>
      <c r="AD40" s="547" t="str">
        <f>IF(Y40="","",VLOOKUP(Y40,Tab_org21[[Dünger]:[anrechenbarer N bei DBE Grünland]],'#org22'!$W$1,FALSE))</f>
        <v/>
      </c>
      <c r="AE40" s="549" t="str">
        <f>IF(Y40="","",VLOOKUP(Y40,Tab_org21[[Dünger]:[anrechenbarer N bei DBE Grünland]],'#org22'!$R$1,FALSE))</f>
        <v/>
      </c>
      <c r="AF40" s="547" t="str">
        <f>IF(Y40="","",VLOOKUP(Y40,Tab_org21[[Dünger]:[anrechenbarer N bei DBE Grünland]],'#org22'!$X$1,FALSE))</f>
        <v/>
      </c>
      <c r="AG40" s="547" t="str">
        <f t="shared" si="2"/>
        <v/>
      </c>
      <c r="AH40" s="547" t="str">
        <f t="shared" si="3"/>
        <v/>
      </c>
      <c r="AI40" s="549" t="str">
        <f t="shared" si="36"/>
        <v/>
      </c>
      <c r="AJ40" s="549" t="str">
        <f t="shared" si="4"/>
        <v/>
      </c>
      <c r="AK40" s="549" t="str">
        <f t="shared" si="5"/>
        <v/>
      </c>
      <c r="AL40" s="549" t="str">
        <f t="shared" si="6"/>
        <v/>
      </c>
      <c r="AM40" s="549" t="str">
        <f t="shared" si="7"/>
        <v/>
      </c>
      <c r="AN40" s="549" t="str">
        <f t="shared" si="8"/>
        <v/>
      </c>
      <c r="AO40" s="549" t="str">
        <f t="shared" si="9"/>
        <v/>
      </c>
      <c r="AP40" s="549" t="str">
        <f t="shared" si="10"/>
        <v/>
      </c>
      <c r="AQ40" s="549" t="str">
        <f t="shared" si="11"/>
        <v/>
      </c>
      <c r="AR40" s="549" t="str">
        <f t="shared" si="12"/>
        <v/>
      </c>
      <c r="AS40" s="549" t="str">
        <f t="shared" si="13"/>
        <v/>
      </c>
      <c r="AT40" s="549" t="str">
        <f t="shared" si="14"/>
        <v/>
      </c>
      <c r="AU40" s="549" t="str">
        <f t="shared" si="15"/>
        <v/>
      </c>
      <c r="AV40" s="549" t="str">
        <f t="shared" si="16"/>
        <v/>
      </c>
      <c r="AW40" s="549"/>
      <c r="AX40" s="549" t="str">
        <f t="shared" si="17"/>
        <v/>
      </c>
      <c r="AY40" s="549" t="str">
        <f>IF(Y40="","",VLOOKUP(Y40,'#orgDung'!$AF$135:$AH$187,'#orgDung'!$AH$133,FALSE))</f>
        <v/>
      </c>
      <c r="AZ40" s="549" t="str">
        <f t="shared" si="18"/>
        <v/>
      </c>
      <c r="BA40" s="549" t="str">
        <f t="shared" si="19"/>
        <v/>
      </c>
      <c r="BB40" s="549" t="str">
        <f>IF(Y40="","",VLOOKUP(Y40,Tab_org21[[Dünger]:[anrechenbarer N bei DBE Grünland]],'#org22'!$H$1,FALSE))</f>
        <v/>
      </c>
      <c r="BC40" s="549" t="str">
        <f t="shared" si="20"/>
        <v/>
      </c>
      <c r="BD40" s="549" t="str">
        <f t="shared" si="21"/>
        <v/>
      </c>
      <c r="BE40" s="549" t="str">
        <f>IF(Y40="","",VLOOKUP(Y40,Tab_org21[[Dünger]:[anrechenbarer N bei DBE Grünland]],'#org22'!$Z$1,FALSE))</f>
        <v/>
      </c>
      <c r="BF40" s="549" t="str">
        <f t="shared" si="22"/>
        <v/>
      </c>
      <c r="BG40" s="549" t="str">
        <f t="shared" si="23"/>
        <v/>
      </c>
      <c r="BH40" s="549"/>
      <c r="BI40" s="549"/>
      <c r="BJ40" s="549"/>
      <c r="BK40" s="551"/>
      <c r="BL40" s="551"/>
      <c r="BM40" s="552" t="str">
        <f>IF(BO40="","",'#minDung'!N154)</f>
        <v/>
      </c>
      <c r="BN40" s="552" t="str">
        <f>IF(BO40="","",VLOOKUP(BO40,'#minDung'!$O$126:$Q$195,'#minDung'!$P$124,FALSE))</f>
        <v/>
      </c>
      <c r="BO40" s="594" t="str">
        <f>'#minDung'!K154</f>
        <v/>
      </c>
      <c r="BP40" s="610" t="str">
        <f>IF(BO40="","",VLOOKUP(BO40,Tab_min[[Mineraldünger]:[Kalkwirkung je 100 kg Dünger]],'#min'!$F$1,FALSE))</f>
        <v/>
      </c>
      <c r="BQ40" s="594" t="str">
        <f>IF(BO40="","",VLOOKUP(BO40,Tab_min[[Mineraldünger]:[Kalkwirkung je 100 kg Dünger]],'#min'!$G$1,FALSE))</f>
        <v/>
      </c>
      <c r="BR40" s="549" t="str">
        <f>IF(BO40="","",VLOOKUP(BO40,Tab_min[[Mineraldünger]:[Kalkwirkung je 100 kg Dünger]],'#min'!$H$1,FALSE))</f>
        <v/>
      </c>
      <c r="BS40" s="549" t="str">
        <f>IF(BO40="","",VLOOKUP(BO40,Tab_min[[Mineraldünger]:[Kalkwirkung je 100 kg Dünger]],'#min'!$J$1,FALSE))</f>
        <v/>
      </c>
      <c r="BT40" s="547" t="str">
        <f t="shared" si="24"/>
        <v/>
      </c>
      <c r="BU40" s="547" t="str">
        <f t="shared" si="25"/>
        <v/>
      </c>
      <c r="BV40" s="54" t="str">
        <f t="shared" si="26"/>
        <v/>
      </c>
      <c r="BW40" s="54" t="str">
        <f t="shared" si="27"/>
        <v/>
      </c>
      <c r="BX40" s="54" t="str">
        <f t="shared" si="28"/>
        <v/>
      </c>
      <c r="BY40" s="54" t="str">
        <f t="shared" si="29"/>
        <v/>
      </c>
      <c r="BZ40" s="54" t="str">
        <f t="shared" si="30"/>
        <v/>
      </c>
      <c r="CA40" s="54" t="str">
        <f t="shared" si="31"/>
        <v/>
      </c>
      <c r="CB40" s="54" t="str">
        <f t="shared" si="32"/>
        <v/>
      </c>
      <c r="CC40" s="54" t="str">
        <f t="shared" si="33"/>
        <v/>
      </c>
      <c r="CD40" s="54" t="str">
        <f t="shared" si="34"/>
        <v/>
      </c>
      <c r="CE40" s="54" t="str">
        <f t="shared" si="35"/>
        <v/>
      </c>
      <c r="CI40" s="592" t="str">
        <f>IF(CJ40=0,"",'#BerechnungDBE'!I157)</f>
        <v/>
      </c>
      <c r="CJ40" s="816">
        <f>_xlfn.AGGREGATE(14,4,'#BerechnungDBE'!$J$129:$J$494,'#BerechnungDBE'!I157)</f>
        <v>0</v>
      </c>
      <c r="CK40" s="1666" t="str">
        <f>IF(CJ40=0,"",VLOOKUP(CJ40,'#BerechnungDBE'!$J$129:$K$494,2,FALSE))</f>
        <v/>
      </c>
      <c r="CL40" s="1666"/>
    </row>
    <row r="41" spans="3:90" ht="15" customHeight="1" x14ac:dyDescent="0.2">
      <c r="W41" s="547" t="str">
        <f>IF(Y41="","",'#orgDung'!AE164)</f>
        <v/>
      </c>
      <c r="X41" s="552" t="str">
        <f>IF(Y41="","",VLOOKUP(Y41,'#orgDung'!$AF$135:$AG$187,'#orgDung'!$AG$133,FALSE))</f>
        <v/>
      </c>
      <c r="Y41" s="55" t="str">
        <f>'#orgDung'!AB164</f>
        <v/>
      </c>
      <c r="Z41" s="549" t="str">
        <f>IF(Y41="","",VLOOKUP(Y41,Tab_org21[[Dünger]:[anrechenbarer N bei DBE Grünland]],'#org22'!$L$1,FALSE))</f>
        <v/>
      </c>
      <c r="AA41" s="610" t="str">
        <f>IF(Y41="","",VLOOKUP(Y41,Tab_org21[[Dünger]:[anrechenbarer N bei DBE Grünland]],'#org22'!$D$1,FALSE))</f>
        <v/>
      </c>
      <c r="AB41" s="549" t="str">
        <f>IF(Y41="","",VLOOKUP(Y41,Tab_org21[[Dünger]:[anrechenbarer N bei DBE Grünland]],'#org22'!$P$1,FALSE))</f>
        <v/>
      </c>
      <c r="AC41" s="549" t="str">
        <f>IF(Y41="","",VLOOKUP(Y41,Tab_org21[[Dünger]:[anrechenbarer N bei DBE Grünland]],'#org22'!$Q$1,FALSE))</f>
        <v/>
      </c>
      <c r="AD41" s="547" t="str">
        <f>IF(Y41="","",VLOOKUP(Y41,Tab_org21[[Dünger]:[anrechenbarer N bei DBE Grünland]],'#org22'!$W$1,FALSE))</f>
        <v/>
      </c>
      <c r="AE41" s="549" t="str">
        <f>IF(Y41="","",VLOOKUP(Y41,Tab_org21[[Dünger]:[anrechenbarer N bei DBE Grünland]],'#org22'!$R$1,FALSE))</f>
        <v/>
      </c>
      <c r="AF41" s="547" t="str">
        <f>IF(Y41="","",VLOOKUP(Y41,Tab_org21[[Dünger]:[anrechenbarer N bei DBE Grünland]],'#org22'!$X$1,FALSE))</f>
        <v/>
      </c>
      <c r="AG41" s="547" t="str">
        <f t="shared" si="2"/>
        <v/>
      </c>
      <c r="AH41" s="547" t="str">
        <f t="shared" si="3"/>
        <v/>
      </c>
      <c r="AI41" s="549" t="str">
        <f t="shared" si="36"/>
        <v/>
      </c>
      <c r="AJ41" s="549" t="str">
        <f t="shared" si="4"/>
        <v/>
      </c>
      <c r="AK41" s="549" t="str">
        <f t="shared" si="5"/>
        <v/>
      </c>
      <c r="AL41" s="549" t="str">
        <f t="shared" si="6"/>
        <v/>
      </c>
      <c r="AM41" s="549" t="str">
        <f t="shared" si="7"/>
        <v/>
      </c>
      <c r="AN41" s="549" t="str">
        <f t="shared" si="8"/>
        <v/>
      </c>
      <c r="AO41" s="549" t="str">
        <f t="shared" si="9"/>
        <v/>
      </c>
      <c r="AP41" s="549" t="str">
        <f t="shared" si="10"/>
        <v/>
      </c>
      <c r="AQ41" s="549" t="str">
        <f t="shared" si="11"/>
        <v/>
      </c>
      <c r="AR41" s="549" t="str">
        <f t="shared" si="12"/>
        <v/>
      </c>
      <c r="AS41" s="549" t="str">
        <f t="shared" si="13"/>
        <v/>
      </c>
      <c r="AT41" s="549" t="str">
        <f t="shared" si="14"/>
        <v/>
      </c>
      <c r="AU41" s="549" t="str">
        <f t="shared" si="15"/>
        <v/>
      </c>
      <c r="AV41" s="549" t="str">
        <f t="shared" si="16"/>
        <v/>
      </c>
      <c r="AW41" s="549"/>
      <c r="AX41" s="549" t="str">
        <f t="shared" si="17"/>
        <v/>
      </c>
      <c r="AY41" s="549" t="str">
        <f>IF(Y41="","",VLOOKUP(Y41,'#orgDung'!$AF$135:$AH$187,'#orgDung'!$AH$133,FALSE))</f>
        <v/>
      </c>
      <c r="AZ41" s="549" t="str">
        <f t="shared" si="18"/>
        <v/>
      </c>
      <c r="BA41" s="549" t="str">
        <f t="shared" si="19"/>
        <v/>
      </c>
      <c r="BB41" s="549" t="str">
        <f>IF(Y41="","",VLOOKUP(Y41,Tab_org21[[Dünger]:[anrechenbarer N bei DBE Grünland]],'#org22'!$H$1,FALSE))</f>
        <v/>
      </c>
      <c r="BC41" s="549" t="str">
        <f t="shared" si="20"/>
        <v/>
      </c>
      <c r="BD41" s="549" t="str">
        <f t="shared" si="21"/>
        <v/>
      </c>
      <c r="BE41" s="549" t="str">
        <f>IF(Y41="","",VLOOKUP(Y41,Tab_org21[[Dünger]:[anrechenbarer N bei DBE Grünland]],'#org22'!$Z$1,FALSE))</f>
        <v/>
      </c>
      <c r="BF41" s="549" t="str">
        <f t="shared" si="22"/>
        <v/>
      </c>
      <c r="BG41" s="549" t="str">
        <f t="shared" si="23"/>
        <v/>
      </c>
      <c r="BH41" s="549"/>
      <c r="BI41" s="549"/>
      <c r="BJ41" s="549"/>
      <c r="BK41" s="551"/>
      <c r="BL41" s="551"/>
      <c r="BM41" s="552" t="str">
        <f>IF(BO41="","",'#minDung'!N155)</f>
        <v/>
      </c>
      <c r="BN41" s="552" t="str">
        <f>IF(BO41="","",VLOOKUP(BO41,'#minDung'!$O$126:$Q$195,'#minDung'!$P$124,FALSE))</f>
        <v/>
      </c>
      <c r="BO41" s="594" t="str">
        <f>'#minDung'!K155</f>
        <v/>
      </c>
      <c r="BP41" s="610" t="str">
        <f>IF(BO41="","",VLOOKUP(BO41,Tab_min[[Mineraldünger]:[Kalkwirkung je 100 kg Dünger]],'#min'!$F$1,FALSE))</f>
        <v/>
      </c>
      <c r="BQ41" s="594" t="str">
        <f>IF(BO41="","",VLOOKUP(BO41,Tab_min[[Mineraldünger]:[Kalkwirkung je 100 kg Dünger]],'#min'!$G$1,FALSE))</f>
        <v/>
      </c>
      <c r="BR41" s="549" t="str">
        <f>IF(BO41="","",VLOOKUP(BO41,Tab_min[[Mineraldünger]:[Kalkwirkung je 100 kg Dünger]],'#min'!$H$1,FALSE))</f>
        <v/>
      </c>
      <c r="BS41" s="549" t="str">
        <f>IF(BO41="","",VLOOKUP(BO41,Tab_min[[Mineraldünger]:[Kalkwirkung je 100 kg Dünger]],'#min'!$J$1,FALSE))</f>
        <v/>
      </c>
      <c r="BT41" s="547" t="str">
        <f t="shared" si="24"/>
        <v/>
      </c>
      <c r="BU41" s="547" t="str">
        <f t="shared" si="25"/>
        <v/>
      </c>
      <c r="BV41" s="54" t="str">
        <f t="shared" si="26"/>
        <v/>
      </c>
      <c r="BW41" s="54" t="str">
        <f t="shared" si="27"/>
        <v/>
      </c>
      <c r="BX41" s="54" t="str">
        <f t="shared" si="28"/>
        <v/>
      </c>
      <c r="BY41" s="54" t="str">
        <f t="shared" si="29"/>
        <v/>
      </c>
      <c r="BZ41" s="54" t="str">
        <f t="shared" si="30"/>
        <v/>
      </c>
      <c r="CA41" s="54" t="str">
        <f t="shared" si="31"/>
        <v/>
      </c>
      <c r="CB41" s="54" t="str">
        <f t="shared" si="32"/>
        <v/>
      </c>
      <c r="CC41" s="54" t="str">
        <f t="shared" si="33"/>
        <v/>
      </c>
      <c r="CD41" s="54" t="str">
        <f t="shared" si="34"/>
        <v/>
      </c>
      <c r="CE41" s="54" t="str">
        <f t="shared" si="35"/>
        <v/>
      </c>
      <c r="CI41" s="592" t="str">
        <f>IF(CJ41=0,"",'#BerechnungDBE'!I158)</f>
        <v/>
      </c>
      <c r="CJ41" s="816">
        <f>_xlfn.AGGREGATE(14,4,'#BerechnungDBE'!$J$129:$J$494,'#BerechnungDBE'!I158)</f>
        <v>0</v>
      </c>
      <c r="CK41" s="1666" t="str">
        <f>IF(CJ41=0,"",VLOOKUP(CJ41,'#BerechnungDBE'!$J$129:$K$494,2,FALSE))</f>
        <v/>
      </c>
      <c r="CL41" s="1666"/>
    </row>
    <row r="42" spans="3:90" s="46" customFormat="1" ht="15" customHeight="1" x14ac:dyDescent="0.2">
      <c r="C42" s="592"/>
      <c r="D42" s="592"/>
      <c r="E42" s="592"/>
      <c r="F42" s="592"/>
      <c r="G42" s="592"/>
      <c r="H42" s="592"/>
      <c r="I42" s="592"/>
      <c r="J42" s="592"/>
      <c r="K42" s="592"/>
      <c r="L42" s="592"/>
      <c r="M42" s="825"/>
      <c r="N42" s="592"/>
      <c r="O42" s="592"/>
      <c r="P42" s="825"/>
      <c r="Q42" s="825"/>
      <c r="R42" s="592"/>
      <c r="S42" s="592"/>
      <c r="T42" s="592"/>
      <c r="U42" s="592"/>
      <c r="V42" s="592"/>
      <c r="W42" s="547" t="str">
        <f>IF(Y42="","",'#orgDung'!AE165)</f>
        <v/>
      </c>
      <c r="X42" s="552" t="str">
        <f>IF(Y42="","",VLOOKUP(Y42,'#orgDung'!$AF$135:$AG$187,'#orgDung'!$AG$133,FALSE))</f>
        <v/>
      </c>
      <c r="Y42" s="55" t="str">
        <f>'#orgDung'!AB165</f>
        <v/>
      </c>
      <c r="Z42" s="549" t="str">
        <f>IF(Y42="","",VLOOKUP(Y42,Tab_org21[[Dünger]:[anrechenbarer N bei DBE Grünland]],'#org22'!$L$1,FALSE))</f>
        <v/>
      </c>
      <c r="AA42" s="610" t="str">
        <f>IF(Y42="","",VLOOKUP(Y42,Tab_org21[[Dünger]:[anrechenbarer N bei DBE Grünland]],'#org22'!$D$1,FALSE))</f>
        <v/>
      </c>
      <c r="AB42" s="549" t="str">
        <f>IF(Y42="","",VLOOKUP(Y42,Tab_org21[[Dünger]:[anrechenbarer N bei DBE Grünland]],'#org22'!$P$1,FALSE))</f>
        <v/>
      </c>
      <c r="AC42" s="549" t="str">
        <f>IF(Y42="","",VLOOKUP(Y42,Tab_org21[[Dünger]:[anrechenbarer N bei DBE Grünland]],'#org22'!$Q$1,FALSE))</f>
        <v/>
      </c>
      <c r="AD42" s="547" t="str">
        <f>IF(Y42="","",VLOOKUP(Y42,Tab_org21[[Dünger]:[anrechenbarer N bei DBE Grünland]],'#org22'!$W$1,FALSE))</f>
        <v/>
      </c>
      <c r="AE42" s="549" t="str">
        <f>IF(Y42="","",VLOOKUP(Y42,Tab_org21[[Dünger]:[anrechenbarer N bei DBE Grünland]],'#org22'!$R$1,FALSE))</f>
        <v/>
      </c>
      <c r="AF42" s="547" t="str">
        <f>IF(Y42="","",VLOOKUP(Y42,Tab_org21[[Dünger]:[anrechenbarer N bei DBE Grünland]],'#org22'!$X$1,FALSE))</f>
        <v/>
      </c>
      <c r="AG42" s="547" t="str">
        <f t="shared" si="2"/>
        <v/>
      </c>
      <c r="AH42" s="547" t="str">
        <f t="shared" si="3"/>
        <v/>
      </c>
      <c r="AI42" s="549" t="str">
        <f t="shared" si="36"/>
        <v/>
      </c>
      <c r="AJ42" s="549" t="str">
        <f t="shared" si="4"/>
        <v/>
      </c>
      <c r="AK42" s="549" t="str">
        <f t="shared" si="5"/>
        <v/>
      </c>
      <c r="AL42" s="549" t="str">
        <f t="shared" si="6"/>
        <v/>
      </c>
      <c r="AM42" s="549" t="str">
        <f t="shared" si="7"/>
        <v/>
      </c>
      <c r="AN42" s="549" t="str">
        <f t="shared" si="8"/>
        <v/>
      </c>
      <c r="AO42" s="549" t="str">
        <f t="shared" si="9"/>
        <v/>
      </c>
      <c r="AP42" s="549" t="str">
        <f t="shared" si="10"/>
        <v/>
      </c>
      <c r="AQ42" s="549" t="str">
        <f t="shared" si="11"/>
        <v/>
      </c>
      <c r="AR42" s="549" t="str">
        <f t="shared" si="12"/>
        <v/>
      </c>
      <c r="AS42" s="549" t="str">
        <f t="shared" si="13"/>
        <v/>
      </c>
      <c r="AT42" s="549" t="str">
        <f t="shared" si="14"/>
        <v/>
      </c>
      <c r="AU42" s="549" t="str">
        <f t="shared" si="15"/>
        <v/>
      </c>
      <c r="AV42" s="549" t="str">
        <f t="shared" si="16"/>
        <v/>
      </c>
      <c r="AW42" s="549"/>
      <c r="AX42" s="549" t="str">
        <f t="shared" si="17"/>
        <v/>
      </c>
      <c r="AY42" s="549" t="str">
        <f>IF(Y42="","",VLOOKUP(Y42,'#orgDung'!$AF$135:$AH$187,'#orgDung'!$AH$133,FALSE))</f>
        <v/>
      </c>
      <c r="AZ42" s="549" t="str">
        <f t="shared" si="18"/>
        <v/>
      </c>
      <c r="BA42" s="549" t="str">
        <f t="shared" si="19"/>
        <v/>
      </c>
      <c r="BB42" s="549" t="str">
        <f>IF(Y42="","",VLOOKUP(Y42,Tab_org21[[Dünger]:[anrechenbarer N bei DBE Grünland]],'#org22'!$H$1,FALSE))</f>
        <v/>
      </c>
      <c r="BC42" s="549" t="str">
        <f t="shared" si="20"/>
        <v/>
      </c>
      <c r="BD42" s="549" t="str">
        <f t="shared" si="21"/>
        <v/>
      </c>
      <c r="BE42" s="549" t="str">
        <f>IF(Y42="","",VLOOKUP(Y42,Tab_org21[[Dünger]:[anrechenbarer N bei DBE Grünland]],'#org22'!$Z$1,FALSE))</f>
        <v/>
      </c>
      <c r="BF42" s="549" t="str">
        <f t="shared" si="22"/>
        <v/>
      </c>
      <c r="BG42" s="549" t="str">
        <f t="shared" si="23"/>
        <v/>
      </c>
      <c r="BH42" s="549"/>
      <c r="BI42" s="549"/>
      <c r="BJ42" s="549"/>
      <c r="BK42" s="551"/>
      <c r="BL42" s="551"/>
      <c r="BM42" s="552" t="str">
        <f>IF(BO42="","",'#minDung'!N156)</f>
        <v/>
      </c>
      <c r="BN42" s="552" t="str">
        <f>IF(BO42="","",VLOOKUP(BO42,'#minDung'!$O$126:$Q$195,'#minDung'!$P$124,FALSE))</f>
        <v/>
      </c>
      <c r="BO42" s="594" t="str">
        <f>'#minDung'!K156</f>
        <v/>
      </c>
      <c r="BP42" s="610" t="str">
        <f>IF(BO42="","",VLOOKUP(BO42,Tab_min[[Mineraldünger]:[Kalkwirkung je 100 kg Dünger]],'#min'!$F$1,FALSE))</f>
        <v/>
      </c>
      <c r="BQ42" s="594" t="str">
        <f>IF(BO42="","",VLOOKUP(BO42,Tab_min[[Mineraldünger]:[Kalkwirkung je 100 kg Dünger]],'#min'!$G$1,FALSE))</f>
        <v/>
      </c>
      <c r="BR42" s="549" t="str">
        <f>IF(BO42="","",VLOOKUP(BO42,Tab_min[[Mineraldünger]:[Kalkwirkung je 100 kg Dünger]],'#min'!$H$1,FALSE))</f>
        <v/>
      </c>
      <c r="BS42" s="549" t="str">
        <f>IF(BO42="","",VLOOKUP(BO42,Tab_min[[Mineraldünger]:[Kalkwirkung je 100 kg Dünger]],'#min'!$J$1,FALSE))</f>
        <v/>
      </c>
      <c r="BT42" s="547" t="str">
        <f t="shared" si="24"/>
        <v/>
      </c>
      <c r="BU42" s="547" t="str">
        <f t="shared" si="25"/>
        <v/>
      </c>
      <c r="BV42" s="54" t="str">
        <f t="shared" si="26"/>
        <v/>
      </c>
      <c r="BW42" s="54" t="str">
        <f t="shared" si="27"/>
        <v/>
      </c>
      <c r="BX42" s="54" t="str">
        <f t="shared" si="28"/>
        <v/>
      </c>
      <c r="BY42" s="54" t="str">
        <f t="shared" si="29"/>
        <v/>
      </c>
      <c r="BZ42" s="54" t="str">
        <f t="shared" si="30"/>
        <v/>
      </c>
      <c r="CA42" s="54" t="str">
        <f t="shared" si="31"/>
        <v/>
      </c>
      <c r="CB42" s="54" t="str">
        <f t="shared" si="32"/>
        <v/>
      </c>
      <c r="CC42" s="54" t="str">
        <f t="shared" si="33"/>
        <v/>
      </c>
      <c r="CD42" s="54" t="str">
        <f t="shared" si="34"/>
        <v/>
      </c>
      <c r="CE42" s="54" t="str">
        <f t="shared" si="35"/>
        <v/>
      </c>
      <c r="CF42" s="592"/>
      <c r="CI42" s="46" t="str">
        <f>IF(CJ42=0,"",'#BerechnungDBE'!I159)</f>
        <v/>
      </c>
      <c r="CJ42" s="816">
        <f>_xlfn.AGGREGATE(14,4,'#BerechnungDBE'!$J$129:$J$494,'#BerechnungDBE'!I159)</f>
        <v>0</v>
      </c>
      <c r="CK42" s="1666" t="str">
        <f>IF(CJ42=0,"",VLOOKUP(CJ42,'#BerechnungDBE'!$J$129:$K$494,2,FALSE))</f>
        <v/>
      </c>
      <c r="CL42" s="1666"/>
    </row>
    <row r="43" spans="3:90" ht="15" customHeight="1" x14ac:dyDescent="0.2">
      <c r="W43" s="547" t="str">
        <f>IF(Y43="","",'#orgDung'!AE166)</f>
        <v/>
      </c>
      <c r="X43" s="552" t="str">
        <f>IF(Y43="","",VLOOKUP(Y43,'#orgDung'!$AF$135:$AG$187,'#orgDung'!$AG$133,FALSE))</f>
        <v/>
      </c>
      <c r="Y43" s="55" t="str">
        <f>'#orgDung'!AB166</f>
        <v/>
      </c>
      <c r="Z43" s="549" t="str">
        <f>IF(Y43="","",VLOOKUP(Y43,Tab_org21[[Dünger]:[anrechenbarer N bei DBE Grünland]],'#org22'!$L$1,FALSE))</f>
        <v/>
      </c>
      <c r="AA43" s="610" t="str">
        <f>IF(Y43="","",VLOOKUP(Y43,Tab_org21[[Dünger]:[anrechenbarer N bei DBE Grünland]],'#org22'!$D$1,FALSE))</f>
        <v/>
      </c>
      <c r="AB43" s="549" t="str">
        <f>IF(Y43="","",VLOOKUP(Y43,Tab_org21[[Dünger]:[anrechenbarer N bei DBE Grünland]],'#org22'!$P$1,FALSE))</f>
        <v/>
      </c>
      <c r="AC43" s="549" t="str">
        <f>IF(Y43="","",VLOOKUP(Y43,Tab_org21[[Dünger]:[anrechenbarer N bei DBE Grünland]],'#org22'!$Q$1,FALSE))</f>
        <v/>
      </c>
      <c r="AD43" s="547" t="str">
        <f>IF(Y43="","",VLOOKUP(Y43,Tab_org21[[Dünger]:[anrechenbarer N bei DBE Grünland]],'#org22'!$W$1,FALSE))</f>
        <v/>
      </c>
      <c r="AE43" s="549" t="str">
        <f>IF(Y43="","",VLOOKUP(Y43,Tab_org21[[Dünger]:[anrechenbarer N bei DBE Grünland]],'#org22'!$R$1,FALSE))</f>
        <v/>
      </c>
      <c r="AF43" s="547" t="str">
        <f>IF(Y43="","",VLOOKUP(Y43,Tab_org21[[Dünger]:[anrechenbarer N bei DBE Grünland]],'#org22'!$X$1,FALSE))</f>
        <v/>
      </c>
      <c r="AG43" s="547" t="str">
        <f t="shared" si="2"/>
        <v/>
      </c>
      <c r="AH43" s="547" t="str">
        <f t="shared" si="3"/>
        <v/>
      </c>
      <c r="AI43" s="549" t="str">
        <f t="shared" si="36"/>
        <v/>
      </c>
      <c r="AJ43" s="549" t="str">
        <f t="shared" si="4"/>
        <v/>
      </c>
      <c r="AK43" s="549" t="str">
        <f t="shared" si="5"/>
        <v/>
      </c>
      <c r="AL43" s="549" t="str">
        <f t="shared" si="6"/>
        <v/>
      </c>
      <c r="AM43" s="549" t="str">
        <f t="shared" si="7"/>
        <v/>
      </c>
      <c r="AN43" s="549" t="str">
        <f t="shared" si="8"/>
        <v/>
      </c>
      <c r="AO43" s="549" t="str">
        <f t="shared" si="9"/>
        <v/>
      </c>
      <c r="AP43" s="549" t="str">
        <f t="shared" si="10"/>
        <v/>
      </c>
      <c r="AQ43" s="549" t="str">
        <f t="shared" si="11"/>
        <v/>
      </c>
      <c r="AR43" s="549" t="str">
        <f t="shared" si="12"/>
        <v/>
      </c>
      <c r="AS43" s="549" t="str">
        <f t="shared" si="13"/>
        <v/>
      </c>
      <c r="AT43" s="549" t="str">
        <f t="shared" si="14"/>
        <v/>
      </c>
      <c r="AU43" s="549" t="str">
        <f t="shared" si="15"/>
        <v/>
      </c>
      <c r="AV43" s="549" t="str">
        <f t="shared" si="16"/>
        <v/>
      </c>
      <c r="AW43" s="549"/>
      <c r="AX43" s="549" t="str">
        <f t="shared" si="17"/>
        <v/>
      </c>
      <c r="AY43" s="549" t="str">
        <f>IF(Y43="","",VLOOKUP(Y43,'#orgDung'!$AF$135:$AH$187,'#orgDung'!$AH$133,FALSE))</f>
        <v/>
      </c>
      <c r="AZ43" s="549" t="str">
        <f t="shared" si="18"/>
        <v/>
      </c>
      <c r="BA43" s="549" t="str">
        <f t="shared" si="19"/>
        <v/>
      </c>
      <c r="BB43" s="549" t="str">
        <f>IF(Y43="","",VLOOKUP(Y43,Tab_org21[[Dünger]:[anrechenbarer N bei DBE Grünland]],'#org22'!$H$1,FALSE))</f>
        <v/>
      </c>
      <c r="BC43" s="549" t="str">
        <f t="shared" si="20"/>
        <v/>
      </c>
      <c r="BD43" s="549" t="str">
        <f t="shared" si="21"/>
        <v/>
      </c>
      <c r="BE43" s="549" t="str">
        <f>IF(Y43="","",VLOOKUP(Y43,Tab_org21[[Dünger]:[anrechenbarer N bei DBE Grünland]],'#org22'!$Z$1,FALSE))</f>
        <v/>
      </c>
      <c r="BF43" s="549" t="str">
        <f t="shared" si="22"/>
        <v/>
      </c>
      <c r="BG43" s="549" t="str">
        <f t="shared" si="23"/>
        <v/>
      </c>
      <c r="BH43" s="549"/>
      <c r="BI43" s="549"/>
      <c r="BJ43" s="549"/>
      <c r="BK43" s="551"/>
      <c r="BL43" s="551"/>
      <c r="BM43" s="552" t="str">
        <f>IF(BO43="","",'#minDung'!N157)</f>
        <v/>
      </c>
      <c r="BN43" s="552" t="str">
        <f>IF(BO43="","",VLOOKUP(BO43,'#minDung'!$O$126:$Q$195,'#minDung'!$P$124,FALSE))</f>
        <v/>
      </c>
      <c r="BO43" s="594" t="str">
        <f>'#minDung'!K157</f>
        <v/>
      </c>
      <c r="BP43" s="610" t="str">
        <f>IF(BO43="","",VLOOKUP(BO43,Tab_min[[Mineraldünger]:[Kalkwirkung je 100 kg Dünger]],'#min'!$F$1,FALSE))</f>
        <v/>
      </c>
      <c r="BQ43" s="594" t="str">
        <f>IF(BO43="","",VLOOKUP(BO43,Tab_min[[Mineraldünger]:[Kalkwirkung je 100 kg Dünger]],'#min'!$G$1,FALSE))</f>
        <v/>
      </c>
      <c r="BR43" s="549" t="str">
        <f>IF(BO43="","",VLOOKUP(BO43,Tab_min[[Mineraldünger]:[Kalkwirkung je 100 kg Dünger]],'#min'!$H$1,FALSE))</f>
        <v/>
      </c>
      <c r="BS43" s="549" t="str">
        <f>IF(BO43="","",VLOOKUP(BO43,Tab_min[[Mineraldünger]:[Kalkwirkung je 100 kg Dünger]],'#min'!$J$1,FALSE))</f>
        <v/>
      </c>
      <c r="BT43" s="547" t="str">
        <f t="shared" si="24"/>
        <v/>
      </c>
      <c r="BU43" s="547" t="str">
        <f t="shared" si="25"/>
        <v/>
      </c>
      <c r="BV43" s="54" t="str">
        <f t="shared" si="26"/>
        <v/>
      </c>
      <c r="BW43" s="54" t="str">
        <f t="shared" si="27"/>
        <v/>
      </c>
      <c r="BX43" s="54" t="str">
        <f t="shared" si="28"/>
        <v/>
      </c>
      <c r="BY43" s="54" t="str">
        <f t="shared" si="29"/>
        <v/>
      </c>
      <c r="BZ43" s="54" t="str">
        <f t="shared" si="30"/>
        <v/>
      </c>
      <c r="CA43" s="54" t="str">
        <f t="shared" si="31"/>
        <v/>
      </c>
      <c r="CB43" s="54" t="str">
        <f t="shared" si="32"/>
        <v/>
      </c>
      <c r="CC43" s="54" t="str">
        <f t="shared" si="33"/>
        <v/>
      </c>
      <c r="CD43" s="54" t="str">
        <f t="shared" si="34"/>
        <v/>
      </c>
      <c r="CE43" s="54" t="str">
        <f t="shared" si="35"/>
        <v/>
      </c>
      <c r="CI43" s="592" t="str">
        <f>IF(CJ43=0,"",'#BerechnungDBE'!I160)</f>
        <v/>
      </c>
      <c r="CJ43" s="816">
        <f>_xlfn.AGGREGATE(14,4,'#BerechnungDBE'!$J$129:$J$494,'#BerechnungDBE'!I160)</f>
        <v>0</v>
      </c>
      <c r="CK43" s="1666" t="str">
        <f>IF(CJ43=0,"",VLOOKUP(CJ43,'#BerechnungDBE'!$J$129:$K$494,2,FALSE))</f>
        <v/>
      </c>
      <c r="CL43" s="1666"/>
    </row>
    <row r="44" spans="3:90" ht="15" customHeight="1" x14ac:dyDescent="0.2">
      <c r="W44" s="547" t="str">
        <f>IF(Y44="","",'#orgDung'!AE167)</f>
        <v/>
      </c>
      <c r="X44" s="552" t="str">
        <f>IF(Y44="","",VLOOKUP(Y44,'#orgDung'!$AF$135:$AG$187,'#orgDung'!$AG$133,FALSE))</f>
        <v/>
      </c>
      <c r="Y44" s="55" t="str">
        <f>'#orgDung'!AB167</f>
        <v/>
      </c>
      <c r="Z44" s="549" t="str">
        <f>IF(Y44="","",VLOOKUP(Y44,Tab_org21[[Dünger]:[anrechenbarer N bei DBE Grünland]],'#org22'!$L$1,FALSE))</f>
        <v/>
      </c>
      <c r="AA44" s="610" t="str">
        <f>IF(Y44="","",VLOOKUP(Y44,Tab_org21[[Dünger]:[anrechenbarer N bei DBE Grünland]],'#org22'!$D$1,FALSE))</f>
        <v/>
      </c>
      <c r="AB44" s="549" t="str">
        <f>IF(Y44="","",VLOOKUP(Y44,Tab_org21[[Dünger]:[anrechenbarer N bei DBE Grünland]],'#org22'!$P$1,FALSE))</f>
        <v/>
      </c>
      <c r="AC44" s="549" t="str">
        <f>IF(Y44="","",VLOOKUP(Y44,Tab_org21[[Dünger]:[anrechenbarer N bei DBE Grünland]],'#org22'!$Q$1,FALSE))</f>
        <v/>
      </c>
      <c r="AD44" s="547" t="str">
        <f>IF(Y44="","",VLOOKUP(Y44,Tab_org21[[Dünger]:[anrechenbarer N bei DBE Grünland]],'#org22'!$W$1,FALSE))</f>
        <v/>
      </c>
      <c r="AE44" s="549" t="str">
        <f>IF(Y44="","",VLOOKUP(Y44,Tab_org21[[Dünger]:[anrechenbarer N bei DBE Grünland]],'#org22'!$R$1,FALSE))</f>
        <v/>
      </c>
      <c r="AF44" s="547" t="str">
        <f>IF(Y44="","",VLOOKUP(Y44,Tab_org21[[Dünger]:[anrechenbarer N bei DBE Grünland]],'#org22'!$X$1,FALSE))</f>
        <v/>
      </c>
      <c r="AG44" s="547" t="str">
        <f t="shared" si="2"/>
        <v/>
      </c>
      <c r="AH44" s="547" t="str">
        <f t="shared" si="3"/>
        <v/>
      </c>
      <c r="AI44" s="549" t="str">
        <f t="shared" si="36"/>
        <v/>
      </c>
      <c r="AJ44" s="549" t="str">
        <f t="shared" si="4"/>
        <v/>
      </c>
      <c r="AK44" s="549" t="str">
        <f t="shared" si="5"/>
        <v/>
      </c>
      <c r="AL44" s="549" t="str">
        <f t="shared" si="6"/>
        <v/>
      </c>
      <c r="AM44" s="549" t="str">
        <f t="shared" si="7"/>
        <v/>
      </c>
      <c r="AN44" s="549" t="str">
        <f t="shared" si="8"/>
        <v/>
      </c>
      <c r="AO44" s="549" t="str">
        <f t="shared" si="9"/>
        <v/>
      </c>
      <c r="AP44" s="549" t="str">
        <f t="shared" si="10"/>
        <v/>
      </c>
      <c r="AQ44" s="549" t="str">
        <f t="shared" si="11"/>
        <v/>
      </c>
      <c r="AR44" s="549" t="str">
        <f t="shared" si="12"/>
        <v/>
      </c>
      <c r="AS44" s="549" t="str">
        <f t="shared" si="13"/>
        <v/>
      </c>
      <c r="AT44" s="549" t="str">
        <f t="shared" si="14"/>
        <v/>
      </c>
      <c r="AU44" s="549" t="str">
        <f t="shared" si="15"/>
        <v/>
      </c>
      <c r="AV44" s="549" t="str">
        <f t="shared" si="16"/>
        <v/>
      </c>
      <c r="AW44" s="549"/>
      <c r="AX44" s="549" t="str">
        <f t="shared" si="17"/>
        <v/>
      </c>
      <c r="AY44" s="549" t="str">
        <f>IF(Y44="","",VLOOKUP(Y44,'#orgDung'!$AF$135:$AH$187,'#orgDung'!$AH$133,FALSE))</f>
        <v/>
      </c>
      <c r="AZ44" s="549" t="str">
        <f t="shared" si="18"/>
        <v/>
      </c>
      <c r="BA44" s="549" t="str">
        <f t="shared" si="19"/>
        <v/>
      </c>
      <c r="BB44" s="549" t="str">
        <f>IF(Y44="","",VLOOKUP(Y44,Tab_org21[[Dünger]:[anrechenbarer N bei DBE Grünland]],'#org22'!$H$1,FALSE))</f>
        <v/>
      </c>
      <c r="BC44" s="549" t="str">
        <f t="shared" si="20"/>
        <v/>
      </c>
      <c r="BD44" s="549" t="str">
        <f t="shared" si="21"/>
        <v/>
      </c>
      <c r="BE44" s="549" t="str">
        <f>IF(Y44="","",VLOOKUP(Y44,Tab_org21[[Dünger]:[anrechenbarer N bei DBE Grünland]],'#org22'!$Z$1,FALSE))</f>
        <v/>
      </c>
      <c r="BF44" s="549" t="str">
        <f t="shared" si="22"/>
        <v/>
      </c>
      <c r="BG44" s="549" t="str">
        <f t="shared" si="23"/>
        <v/>
      </c>
      <c r="BH44" s="549"/>
      <c r="BI44" s="549"/>
      <c r="BJ44" s="549"/>
      <c r="BK44" s="551"/>
      <c r="BL44" s="551"/>
      <c r="BM44" s="552" t="str">
        <f>IF(BO44="","",'#minDung'!N158)</f>
        <v/>
      </c>
      <c r="BN44" s="552" t="str">
        <f>IF(BO44="","",VLOOKUP(BO44,'#minDung'!$O$126:$Q$195,'#minDung'!$P$124,FALSE))</f>
        <v/>
      </c>
      <c r="BO44" s="594" t="str">
        <f>'#minDung'!K158</f>
        <v/>
      </c>
      <c r="BP44" s="610" t="str">
        <f>IF(BO44="","",VLOOKUP(BO44,Tab_min[[Mineraldünger]:[Kalkwirkung je 100 kg Dünger]],'#min'!$F$1,FALSE))</f>
        <v/>
      </c>
      <c r="BQ44" s="594" t="str">
        <f>IF(BO44="","",VLOOKUP(BO44,Tab_min[[Mineraldünger]:[Kalkwirkung je 100 kg Dünger]],'#min'!$G$1,FALSE))</f>
        <v/>
      </c>
      <c r="BR44" s="549" t="str">
        <f>IF(BO44="","",VLOOKUP(BO44,Tab_min[[Mineraldünger]:[Kalkwirkung je 100 kg Dünger]],'#min'!$H$1,FALSE))</f>
        <v/>
      </c>
      <c r="BS44" s="549" t="str">
        <f>IF(BO44="","",VLOOKUP(BO44,Tab_min[[Mineraldünger]:[Kalkwirkung je 100 kg Dünger]],'#min'!$J$1,FALSE))</f>
        <v/>
      </c>
      <c r="BT44" s="547" t="str">
        <f t="shared" si="24"/>
        <v/>
      </c>
      <c r="BU44" s="547" t="str">
        <f t="shared" si="25"/>
        <v/>
      </c>
      <c r="BV44" s="54" t="str">
        <f t="shared" si="26"/>
        <v/>
      </c>
      <c r="BW44" s="54" t="str">
        <f t="shared" si="27"/>
        <v/>
      </c>
      <c r="BX44" s="54" t="str">
        <f t="shared" si="28"/>
        <v/>
      </c>
      <c r="BY44" s="54" t="str">
        <f t="shared" si="29"/>
        <v/>
      </c>
      <c r="BZ44" s="54" t="str">
        <f t="shared" si="30"/>
        <v/>
      </c>
      <c r="CA44" s="54" t="str">
        <f t="shared" si="31"/>
        <v/>
      </c>
      <c r="CB44" s="54" t="str">
        <f t="shared" si="32"/>
        <v/>
      </c>
      <c r="CC44" s="54" t="str">
        <f t="shared" si="33"/>
        <v/>
      </c>
      <c r="CD44" s="54" t="str">
        <f t="shared" si="34"/>
        <v/>
      </c>
      <c r="CE44" s="54" t="str">
        <f t="shared" si="35"/>
        <v/>
      </c>
      <c r="CI44" s="592" t="str">
        <f>IF(CJ44=0,"",'#BerechnungDBE'!I161)</f>
        <v/>
      </c>
      <c r="CJ44" s="816">
        <f>_xlfn.AGGREGATE(14,4,'#BerechnungDBE'!$J$129:$J$494,'#BerechnungDBE'!I161)</f>
        <v>0</v>
      </c>
      <c r="CK44" s="1666" t="str">
        <f>IF(CJ44=0,"",VLOOKUP(CJ44,'#BerechnungDBE'!$J$129:$K$494,2,FALSE))</f>
        <v/>
      </c>
      <c r="CL44" s="1666"/>
    </row>
    <row r="45" spans="3:90" ht="15" customHeight="1" x14ac:dyDescent="0.2">
      <c r="W45" s="547" t="str">
        <f>IF(Y45="","",'#orgDung'!AE168)</f>
        <v/>
      </c>
      <c r="X45" s="552" t="str">
        <f>IF(Y45="","",VLOOKUP(Y45,'#orgDung'!$AF$135:$AG$187,'#orgDung'!$AG$133,FALSE))</f>
        <v/>
      </c>
      <c r="Y45" s="55" t="str">
        <f>'#orgDung'!AB168</f>
        <v/>
      </c>
      <c r="Z45" s="549" t="str">
        <f>IF(Y45="","",VLOOKUP(Y45,Tab_org21[[Dünger]:[anrechenbarer N bei DBE Grünland]],'#org22'!$L$1,FALSE))</f>
        <v/>
      </c>
      <c r="AA45" s="610" t="str">
        <f>IF(Y45="","",VLOOKUP(Y45,Tab_org21[[Dünger]:[anrechenbarer N bei DBE Grünland]],'#org22'!$D$1,FALSE))</f>
        <v/>
      </c>
      <c r="AB45" s="549" t="str">
        <f>IF(Y45="","",VLOOKUP(Y45,Tab_org21[[Dünger]:[anrechenbarer N bei DBE Grünland]],'#org22'!$P$1,FALSE))</f>
        <v/>
      </c>
      <c r="AC45" s="549" t="str">
        <f>IF(Y45="","",VLOOKUP(Y45,Tab_org21[[Dünger]:[anrechenbarer N bei DBE Grünland]],'#org22'!$Q$1,FALSE))</f>
        <v/>
      </c>
      <c r="AD45" s="547" t="str">
        <f>IF(Y45="","",VLOOKUP(Y45,Tab_org21[[Dünger]:[anrechenbarer N bei DBE Grünland]],'#org22'!$W$1,FALSE))</f>
        <v/>
      </c>
      <c r="AE45" s="549" t="str">
        <f>IF(Y45="","",VLOOKUP(Y45,Tab_org21[[Dünger]:[anrechenbarer N bei DBE Grünland]],'#org22'!$R$1,FALSE))</f>
        <v/>
      </c>
      <c r="AF45" s="547" t="str">
        <f>IF(Y45="","",VLOOKUP(Y45,Tab_org21[[Dünger]:[anrechenbarer N bei DBE Grünland]],'#org22'!$X$1,FALSE))</f>
        <v/>
      </c>
      <c r="AG45" s="547" t="str">
        <f t="shared" si="2"/>
        <v/>
      </c>
      <c r="AH45" s="547" t="str">
        <f t="shared" si="3"/>
        <v/>
      </c>
      <c r="AI45" s="549" t="str">
        <f t="shared" si="36"/>
        <v/>
      </c>
      <c r="AJ45" s="549" t="str">
        <f t="shared" si="4"/>
        <v/>
      </c>
      <c r="AK45" s="549" t="str">
        <f t="shared" si="5"/>
        <v/>
      </c>
      <c r="AL45" s="549" t="str">
        <f t="shared" si="6"/>
        <v/>
      </c>
      <c r="AM45" s="549" t="str">
        <f t="shared" si="7"/>
        <v/>
      </c>
      <c r="AN45" s="549" t="str">
        <f t="shared" si="8"/>
        <v/>
      </c>
      <c r="AO45" s="549" t="str">
        <f t="shared" si="9"/>
        <v/>
      </c>
      <c r="AP45" s="549" t="str">
        <f t="shared" si="10"/>
        <v/>
      </c>
      <c r="AQ45" s="549" t="str">
        <f t="shared" si="11"/>
        <v/>
      </c>
      <c r="AR45" s="549" t="str">
        <f t="shared" si="12"/>
        <v/>
      </c>
      <c r="AS45" s="549" t="str">
        <f t="shared" si="13"/>
        <v/>
      </c>
      <c r="AT45" s="549" t="str">
        <f t="shared" si="14"/>
        <v/>
      </c>
      <c r="AU45" s="549" t="str">
        <f t="shared" si="15"/>
        <v/>
      </c>
      <c r="AV45" s="549" t="str">
        <f t="shared" si="16"/>
        <v/>
      </c>
      <c r="AW45" s="549"/>
      <c r="AX45" s="549" t="str">
        <f t="shared" si="17"/>
        <v/>
      </c>
      <c r="AY45" s="549" t="str">
        <f>IF(Y45="","",VLOOKUP(Y45,'#orgDung'!$AF$135:$AH$187,'#orgDung'!$AH$133,FALSE))</f>
        <v/>
      </c>
      <c r="AZ45" s="549" t="str">
        <f t="shared" si="18"/>
        <v/>
      </c>
      <c r="BA45" s="549" t="str">
        <f t="shared" si="19"/>
        <v/>
      </c>
      <c r="BB45" s="549" t="str">
        <f>IF(Y45="","",VLOOKUP(Y45,Tab_org21[[Dünger]:[anrechenbarer N bei DBE Grünland]],'#org22'!$H$1,FALSE))</f>
        <v/>
      </c>
      <c r="BC45" s="549" t="str">
        <f t="shared" si="20"/>
        <v/>
      </c>
      <c r="BD45" s="549" t="str">
        <f t="shared" si="21"/>
        <v/>
      </c>
      <c r="BE45" s="549" t="str">
        <f>IF(Y45="","",VLOOKUP(Y45,Tab_org21[[Dünger]:[anrechenbarer N bei DBE Grünland]],'#org22'!$Z$1,FALSE))</f>
        <v/>
      </c>
      <c r="BF45" s="549" t="str">
        <f t="shared" si="22"/>
        <v/>
      </c>
      <c r="BG45" s="549" t="str">
        <f t="shared" si="23"/>
        <v/>
      </c>
      <c r="BH45" s="549"/>
      <c r="BI45" s="549"/>
      <c r="BJ45" s="549"/>
      <c r="BK45" s="551"/>
      <c r="BL45" s="551"/>
      <c r="BM45" s="552" t="str">
        <f>IF(BO45="","",'#minDung'!N159)</f>
        <v/>
      </c>
      <c r="BN45" s="552" t="str">
        <f>IF(BO45="","",VLOOKUP(BO45,'#minDung'!$O$126:$Q$195,'#minDung'!$P$124,FALSE))</f>
        <v/>
      </c>
      <c r="BO45" s="594" t="str">
        <f>'#minDung'!K159</f>
        <v/>
      </c>
      <c r="BP45" s="610" t="str">
        <f>IF(BO45="","",VLOOKUP(BO45,Tab_min[[Mineraldünger]:[Kalkwirkung je 100 kg Dünger]],'#min'!$F$1,FALSE))</f>
        <v/>
      </c>
      <c r="BQ45" s="594" t="str">
        <f>IF(BO45="","",VLOOKUP(BO45,Tab_min[[Mineraldünger]:[Kalkwirkung je 100 kg Dünger]],'#min'!$G$1,FALSE))</f>
        <v/>
      </c>
      <c r="BR45" s="549" t="str">
        <f>IF(BO45="","",VLOOKUP(BO45,Tab_min[[Mineraldünger]:[Kalkwirkung je 100 kg Dünger]],'#min'!$H$1,FALSE))</f>
        <v/>
      </c>
      <c r="BS45" s="549" t="str">
        <f>IF(BO45="","",VLOOKUP(BO45,Tab_min[[Mineraldünger]:[Kalkwirkung je 100 kg Dünger]],'#min'!$J$1,FALSE))</f>
        <v/>
      </c>
      <c r="BT45" s="547" t="str">
        <f t="shared" si="24"/>
        <v/>
      </c>
      <c r="BU45" s="547" t="str">
        <f t="shared" si="25"/>
        <v/>
      </c>
      <c r="BV45" s="54" t="str">
        <f t="shared" si="26"/>
        <v/>
      </c>
      <c r="BW45" s="54" t="str">
        <f t="shared" si="27"/>
        <v/>
      </c>
      <c r="BX45" s="54" t="str">
        <f t="shared" si="28"/>
        <v/>
      </c>
      <c r="BY45" s="54" t="str">
        <f t="shared" si="29"/>
        <v/>
      </c>
      <c r="BZ45" s="54" t="str">
        <f t="shared" si="30"/>
        <v/>
      </c>
      <c r="CA45" s="54" t="str">
        <f t="shared" si="31"/>
        <v/>
      </c>
      <c r="CB45" s="54" t="str">
        <f t="shared" si="32"/>
        <v/>
      </c>
      <c r="CC45" s="54" t="str">
        <f t="shared" si="33"/>
        <v/>
      </c>
      <c r="CD45" s="54" t="str">
        <f t="shared" si="34"/>
        <v/>
      </c>
      <c r="CE45" s="54" t="str">
        <f t="shared" si="35"/>
        <v/>
      </c>
      <c r="CI45" s="592" t="str">
        <f>IF(CJ45=0,"",'#BerechnungDBE'!I162)</f>
        <v/>
      </c>
      <c r="CJ45" s="816">
        <f>_xlfn.AGGREGATE(14,4,'#BerechnungDBE'!$J$129:$J$494,'#BerechnungDBE'!I162)</f>
        <v>0</v>
      </c>
      <c r="CK45" s="1666" t="str">
        <f>IF(CJ45=0,"",VLOOKUP(CJ45,'#BerechnungDBE'!$J$129:$K$494,2,FALSE))</f>
        <v/>
      </c>
      <c r="CL45" s="1666"/>
    </row>
    <row r="46" spans="3:90" ht="15" customHeight="1" x14ac:dyDescent="0.2">
      <c r="W46" s="547" t="str">
        <f>IF(Y46="","",'#orgDung'!AE169)</f>
        <v/>
      </c>
      <c r="X46" s="552" t="str">
        <f>IF(Y46="","",VLOOKUP(Y46,'#orgDung'!$AF$135:$AG$187,'#orgDung'!$AG$133,FALSE))</f>
        <v/>
      </c>
      <c r="Y46" s="55" t="str">
        <f>'#orgDung'!AB169</f>
        <v/>
      </c>
      <c r="Z46" s="549" t="str">
        <f>IF(Y46="","",VLOOKUP(Y46,Tab_org21[[Dünger]:[anrechenbarer N bei DBE Grünland]],'#org22'!$L$1,FALSE))</f>
        <v/>
      </c>
      <c r="AA46" s="610" t="str">
        <f>IF(Y46="","",VLOOKUP(Y46,Tab_org21[[Dünger]:[anrechenbarer N bei DBE Grünland]],'#org22'!$D$1,FALSE))</f>
        <v/>
      </c>
      <c r="AB46" s="549" t="str">
        <f>IF(Y46="","",VLOOKUP(Y46,Tab_org21[[Dünger]:[anrechenbarer N bei DBE Grünland]],'#org22'!$P$1,FALSE))</f>
        <v/>
      </c>
      <c r="AC46" s="549" t="str">
        <f>IF(Y46="","",VLOOKUP(Y46,Tab_org21[[Dünger]:[anrechenbarer N bei DBE Grünland]],'#org22'!$Q$1,FALSE))</f>
        <v/>
      </c>
      <c r="AD46" s="547" t="str">
        <f>IF(Y46="","",VLOOKUP(Y46,Tab_org21[[Dünger]:[anrechenbarer N bei DBE Grünland]],'#org22'!$W$1,FALSE))</f>
        <v/>
      </c>
      <c r="AE46" s="549" t="str">
        <f>IF(Y46="","",VLOOKUP(Y46,Tab_org21[[Dünger]:[anrechenbarer N bei DBE Grünland]],'#org22'!$R$1,FALSE))</f>
        <v/>
      </c>
      <c r="AF46" s="547" t="str">
        <f>IF(Y46="","",VLOOKUP(Y46,Tab_org21[[Dünger]:[anrechenbarer N bei DBE Grünland]],'#org22'!$X$1,FALSE))</f>
        <v/>
      </c>
      <c r="AG46" s="547" t="str">
        <f t="shared" si="2"/>
        <v/>
      </c>
      <c r="AH46" s="547" t="str">
        <f t="shared" si="3"/>
        <v/>
      </c>
      <c r="AI46" s="549" t="str">
        <f t="shared" si="36"/>
        <v/>
      </c>
      <c r="AJ46" s="549" t="str">
        <f t="shared" si="4"/>
        <v/>
      </c>
      <c r="AK46" s="549" t="str">
        <f t="shared" si="5"/>
        <v/>
      </c>
      <c r="AL46" s="549" t="str">
        <f t="shared" si="6"/>
        <v/>
      </c>
      <c r="AM46" s="549" t="str">
        <f t="shared" si="7"/>
        <v/>
      </c>
      <c r="AN46" s="549" t="str">
        <f t="shared" si="8"/>
        <v/>
      </c>
      <c r="AO46" s="549" t="str">
        <f t="shared" si="9"/>
        <v/>
      </c>
      <c r="AP46" s="549" t="str">
        <f t="shared" si="10"/>
        <v/>
      </c>
      <c r="AQ46" s="549" t="str">
        <f t="shared" si="11"/>
        <v/>
      </c>
      <c r="AR46" s="549" t="str">
        <f t="shared" si="12"/>
        <v/>
      </c>
      <c r="AS46" s="549" t="str">
        <f t="shared" si="13"/>
        <v/>
      </c>
      <c r="AT46" s="549" t="str">
        <f t="shared" si="14"/>
        <v/>
      </c>
      <c r="AU46" s="549" t="str">
        <f t="shared" si="15"/>
        <v/>
      </c>
      <c r="AV46" s="549" t="str">
        <f t="shared" si="16"/>
        <v/>
      </c>
      <c r="AW46" s="549"/>
      <c r="AX46" s="549" t="str">
        <f t="shared" si="17"/>
        <v/>
      </c>
      <c r="AY46" s="549" t="str">
        <f>IF(Y46="","",VLOOKUP(Y46,'#orgDung'!$AF$135:$AH$187,'#orgDung'!$AH$133,FALSE))</f>
        <v/>
      </c>
      <c r="AZ46" s="549" t="str">
        <f t="shared" si="18"/>
        <v/>
      </c>
      <c r="BA46" s="549" t="str">
        <f t="shared" si="19"/>
        <v/>
      </c>
      <c r="BB46" s="549" t="str">
        <f>IF(Y46="","",VLOOKUP(Y46,Tab_org21[[Dünger]:[anrechenbarer N bei DBE Grünland]],'#org22'!$H$1,FALSE))</f>
        <v/>
      </c>
      <c r="BC46" s="549" t="str">
        <f t="shared" si="20"/>
        <v/>
      </c>
      <c r="BD46" s="549" t="str">
        <f t="shared" si="21"/>
        <v/>
      </c>
      <c r="BE46" s="549" t="str">
        <f>IF(Y46="","",VLOOKUP(Y46,Tab_org21[[Dünger]:[anrechenbarer N bei DBE Grünland]],'#org22'!$Z$1,FALSE))</f>
        <v/>
      </c>
      <c r="BF46" s="549" t="str">
        <f t="shared" si="22"/>
        <v/>
      </c>
      <c r="BG46" s="549" t="str">
        <f t="shared" si="23"/>
        <v/>
      </c>
      <c r="BH46" s="549"/>
      <c r="BI46" s="549"/>
      <c r="BJ46" s="549"/>
      <c r="BK46" s="551"/>
      <c r="BL46" s="551"/>
      <c r="BM46" s="552" t="str">
        <f>IF(BO46="","",'#minDung'!N160)</f>
        <v/>
      </c>
      <c r="BN46" s="552" t="str">
        <f>IF(BO46="","",VLOOKUP(BO46,'#minDung'!$O$126:$Q$195,'#minDung'!$P$124,FALSE))</f>
        <v/>
      </c>
      <c r="BO46" s="594" t="str">
        <f>'#minDung'!K160</f>
        <v/>
      </c>
      <c r="BP46" s="610" t="str">
        <f>IF(BO46="","",VLOOKUP(BO46,Tab_min[[Mineraldünger]:[Kalkwirkung je 100 kg Dünger]],'#min'!$F$1,FALSE))</f>
        <v/>
      </c>
      <c r="BQ46" s="594" t="str">
        <f>IF(BO46="","",VLOOKUP(BO46,Tab_min[[Mineraldünger]:[Kalkwirkung je 100 kg Dünger]],'#min'!$G$1,FALSE))</f>
        <v/>
      </c>
      <c r="BR46" s="549" t="str">
        <f>IF(BO46="","",VLOOKUP(BO46,Tab_min[[Mineraldünger]:[Kalkwirkung je 100 kg Dünger]],'#min'!$H$1,FALSE))</f>
        <v/>
      </c>
      <c r="BS46" s="549" t="str">
        <f>IF(BO46="","",VLOOKUP(BO46,Tab_min[[Mineraldünger]:[Kalkwirkung je 100 kg Dünger]],'#min'!$J$1,FALSE))</f>
        <v/>
      </c>
      <c r="BT46" s="547" t="str">
        <f t="shared" si="24"/>
        <v/>
      </c>
      <c r="BU46" s="547" t="str">
        <f t="shared" si="25"/>
        <v/>
      </c>
      <c r="BV46" s="54" t="str">
        <f t="shared" si="26"/>
        <v/>
      </c>
      <c r="BW46" s="54" t="str">
        <f t="shared" si="27"/>
        <v/>
      </c>
      <c r="BX46" s="54" t="str">
        <f t="shared" si="28"/>
        <v/>
      </c>
      <c r="BY46" s="54" t="str">
        <f t="shared" si="29"/>
        <v/>
      </c>
      <c r="BZ46" s="54" t="str">
        <f t="shared" si="30"/>
        <v/>
      </c>
      <c r="CA46" s="54" t="str">
        <f t="shared" si="31"/>
        <v/>
      </c>
      <c r="CB46" s="54" t="str">
        <f t="shared" si="32"/>
        <v/>
      </c>
      <c r="CC46" s="54" t="str">
        <f t="shared" si="33"/>
        <v/>
      </c>
      <c r="CD46" s="54" t="str">
        <f t="shared" si="34"/>
        <v/>
      </c>
      <c r="CE46" s="54" t="str">
        <f t="shared" si="35"/>
        <v/>
      </c>
      <c r="CI46" s="592" t="str">
        <f>IF(CJ46=0,"",'#BerechnungDBE'!I163)</f>
        <v/>
      </c>
      <c r="CJ46" s="816">
        <f>_xlfn.AGGREGATE(14,4,'#BerechnungDBE'!$J$129:$J$494,'#BerechnungDBE'!I163)</f>
        <v>0</v>
      </c>
      <c r="CK46" s="1666" t="str">
        <f>IF(CJ46=0,"",VLOOKUP(CJ46,'#BerechnungDBE'!$J$129:$K$494,2,FALSE))</f>
        <v/>
      </c>
      <c r="CL46" s="1666"/>
    </row>
    <row r="47" spans="3:90" ht="15" customHeight="1" x14ac:dyDescent="0.2">
      <c r="W47" s="547" t="str">
        <f>IF(Y47="","",'#orgDung'!AE170)</f>
        <v/>
      </c>
      <c r="X47" s="552" t="str">
        <f>IF(Y47="","",VLOOKUP(Y47,'#orgDung'!$AF$135:$AG$187,'#orgDung'!$AG$133,FALSE))</f>
        <v/>
      </c>
      <c r="Y47" s="55" t="str">
        <f>'#orgDung'!AB170</f>
        <v/>
      </c>
      <c r="Z47" s="549" t="str">
        <f>IF(Y47="","",VLOOKUP(Y47,Tab_org21[[Dünger]:[anrechenbarer N bei DBE Grünland]],'#org22'!$L$1,FALSE))</f>
        <v/>
      </c>
      <c r="AA47" s="610" t="str">
        <f>IF(Y47="","",VLOOKUP(Y47,Tab_org21[[Dünger]:[anrechenbarer N bei DBE Grünland]],'#org22'!$D$1,FALSE))</f>
        <v/>
      </c>
      <c r="AB47" s="549" t="str">
        <f>IF(Y47="","",VLOOKUP(Y47,Tab_org21[[Dünger]:[anrechenbarer N bei DBE Grünland]],'#org22'!$P$1,FALSE))</f>
        <v/>
      </c>
      <c r="AC47" s="549" t="str">
        <f>IF(Y47="","",VLOOKUP(Y47,Tab_org21[[Dünger]:[anrechenbarer N bei DBE Grünland]],'#org22'!$Q$1,FALSE))</f>
        <v/>
      </c>
      <c r="AD47" s="547" t="str">
        <f>IF(Y47="","",VLOOKUP(Y47,Tab_org21[[Dünger]:[anrechenbarer N bei DBE Grünland]],'#org22'!$W$1,FALSE))</f>
        <v/>
      </c>
      <c r="AE47" s="549" t="str">
        <f>IF(Y47="","",VLOOKUP(Y47,Tab_org21[[Dünger]:[anrechenbarer N bei DBE Grünland]],'#org22'!$R$1,FALSE))</f>
        <v/>
      </c>
      <c r="AF47" s="547" t="str">
        <f>IF(Y47="","",VLOOKUP(Y47,Tab_org21[[Dünger]:[anrechenbarer N bei DBE Grünland]],'#org22'!$X$1,FALSE))</f>
        <v/>
      </c>
      <c r="AG47" s="547" t="str">
        <f t="shared" si="2"/>
        <v/>
      </c>
      <c r="AH47" s="547" t="str">
        <f t="shared" si="3"/>
        <v/>
      </c>
      <c r="AI47" s="549" t="str">
        <f t="shared" si="36"/>
        <v/>
      </c>
      <c r="AJ47" s="549" t="str">
        <f t="shared" si="4"/>
        <v/>
      </c>
      <c r="AK47" s="549" t="str">
        <f t="shared" si="5"/>
        <v/>
      </c>
      <c r="AL47" s="549" t="str">
        <f t="shared" si="6"/>
        <v/>
      </c>
      <c r="AM47" s="549" t="str">
        <f t="shared" si="7"/>
        <v/>
      </c>
      <c r="AN47" s="549" t="str">
        <f t="shared" si="8"/>
        <v/>
      </c>
      <c r="AO47" s="549" t="str">
        <f t="shared" si="9"/>
        <v/>
      </c>
      <c r="AP47" s="549" t="str">
        <f t="shared" si="10"/>
        <v/>
      </c>
      <c r="AQ47" s="549" t="str">
        <f t="shared" si="11"/>
        <v/>
      </c>
      <c r="AR47" s="549" t="str">
        <f t="shared" si="12"/>
        <v/>
      </c>
      <c r="AS47" s="549" t="str">
        <f t="shared" si="13"/>
        <v/>
      </c>
      <c r="AT47" s="549" t="str">
        <f t="shared" si="14"/>
        <v/>
      </c>
      <c r="AU47" s="549" t="str">
        <f t="shared" si="15"/>
        <v/>
      </c>
      <c r="AV47" s="549" t="str">
        <f t="shared" si="16"/>
        <v/>
      </c>
      <c r="AW47" s="549"/>
      <c r="AX47" s="549" t="str">
        <f t="shared" si="17"/>
        <v/>
      </c>
      <c r="AY47" s="549" t="str">
        <f>IF(Y47="","",VLOOKUP(Y47,'#orgDung'!$AF$135:$AH$187,'#orgDung'!$AH$133,FALSE))</f>
        <v/>
      </c>
      <c r="AZ47" s="549" t="str">
        <f t="shared" si="18"/>
        <v/>
      </c>
      <c r="BA47" s="549" t="str">
        <f t="shared" si="19"/>
        <v/>
      </c>
      <c r="BB47" s="549" t="str">
        <f>IF(Y47="","",VLOOKUP(Y47,Tab_org21[[Dünger]:[anrechenbarer N bei DBE Grünland]],'#org22'!$H$1,FALSE))</f>
        <v/>
      </c>
      <c r="BC47" s="549" t="str">
        <f t="shared" si="20"/>
        <v/>
      </c>
      <c r="BD47" s="549" t="str">
        <f t="shared" si="21"/>
        <v/>
      </c>
      <c r="BE47" s="549" t="str">
        <f>IF(Y47="","",VLOOKUP(Y47,Tab_org21[[Dünger]:[anrechenbarer N bei DBE Grünland]],'#org22'!$Z$1,FALSE))</f>
        <v/>
      </c>
      <c r="BF47" s="549" t="str">
        <f t="shared" si="22"/>
        <v/>
      </c>
      <c r="BG47" s="549" t="str">
        <f t="shared" si="23"/>
        <v/>
      </c>
      <c r="BH47" s="549"/>
      <c r="BI47" s="549"/>
      <c r="BJ47" s="549"/>
      <c r="BK47" s="551"/>
      <c r="BL47" s="551"/>
      <c r="BM47" s="552" t="str">
        <f>IF(BO47="","",'#minDung'!N161)</f>
        <v/>
      </c>
      <c r="BN47" s="552" t="str">
        <f>IF(BO47="","",VLOOKUP(BO47,'#minDung'!$O$126:$Q$195,'#minDung'!$P$124,FALSE))</f>
        <v/>
      </c>
      <c r="BO47" s="594" t="str">
        <f>'#minDung'!K161</f>
        <v/>
      </c>
      <c r="BP47" s="610" t="str">
        <f>IF(BO47="","",VLOOKUP(BO47,Tab_min[[Mineraldünger]:[Kalkwirkung je 100 kg Dünger]],'#min'!$F$1,FALSE))</f>
        <v/>
      </c>
      <c r="BQ47" s="594" t="str">
        <f>IF(BO47="","",VLOOKUP(BO47,Tab_min[[Mineraldünger]:[Kalkwirkung je 100 kg Dünger]],'#min'!$G$1,FALSE))</f>
        <v/>
      </c>
      <c r="BR47" s="549" t="str">
        <f>IF(BO47="","",VLOOKUP(BO47,Tab_min[[Mineraldünger]:[Kalkwirkung je 100 kg Dünger]],'#min'!$H$1,FALSE))</f>
        <v/>
      </c>
      <c r="BS47" s="549" t="str">
        <f>IF(BO47="","",VLOOKUP(BO47,Tab_min[[Mineraldünger]:[Kalkwirkung je 100 kg Dünger]],'#min'!$J$1,FALSE))</f>
        <v/>
      </c>
      <c r="BT47" s="547" t="str">
        <f t="shared" si="24"/>
        <v/>
      </c>
      <c r="BU47" s="547" t="str">
        <f t="shared" si="25"/>
        <v/>
      </c>
      <c r="BV47" s="54" t="str">
        <f t="shared" si="26"/>
        <v/>
      </c>
      <c r="BW47" s="54" t="str">
        <f t="shared" si="27"/>
        <v/>
      </c>
      <c r="BX47" s="54" t="str">
        <f t="shared" si="28"/>
        <v/>
      </c>
      <c r="BY47" s="54" t="str">
        <f t="shared" si="29"/>
        <v/>
      </c>
      <c r="BZ47" s="54" t="str">
        <f t="shared" si="30"/>
        <v/>
      </c>
      <c r="CA47" s="54" t="str">
        <f t="shared" si="31"/>
        <v/>
      </c>
      <c r="CB47" s="54" t="str">
        <f t="shared" si="32"/>
        <v/>
      </c>
      <c r="CC47" s="54" t="str">
        <f t="shared" si="33"/>
        <v/>
      </c>
      <c r="CD47" s="54" t="str">
        <f t="shared" si="34"/>
        <v/>
      </c>
      <c r="CE47" s="54" t="str">
        <f t="shared" si="35"/>
        <v/>
      </c>
      <c r="CI47" s="592" t="str">
        <f>IF(CJ47=0,"",'#BerechnungDBE'!I164)</f>
        <v/>
      </c>
      <c r="CJ47" s="816">
        <f>_xlfn.AGGREGATE(14,4,'#BerechnungDBE'!$J$129:$J$494,'#BerechnungDBE'!I164)</f>
        <v>0</v>
      </c>
      <c r="CK47" s="1666" t="str">
        <f>IF(CJ47=0,"",VLOOKUP(CJ47,'#BerechnungDBE'!$J$129:$K$494,2,FALSE))</f>
        <v/>
      </c>
      <c r="CL47" s="1666"/>
    </row>
    <row r="48" spans="3:90" ht="15" customHeight="1" x14ac:dyDescent="0.2">
      <c r="T48" s="46"/>
      <c r="U48" s="46"/>
      <c r="V48" s="46"/>
      <c r="W48" s="547" t="str">
        <f>IF(Y48="","",'#orgDung'!AE171)</f>
        <v/>
      </c>
      <c r="X48" s="552" t="str">
        <f>IF(Y48="","",VLOOKUP(Y48,'#orgDung'!$AF$135:$AG$187,'#orgDung'!$AG$133,FALSE))</f>
        <v/>
      </c>
      <c r="Y48" s="55" t="str">
        <f>'#orgDung'!AB171</f>
        <v/>
      </c>
      <c r="Z48" s="549" t="str">
        <f>IF(Y48="","",VLOOKUP(Y48,Tab_org21[[Dünger]:[anrechenbarer N bei DBE Grünland]],'#org22'!$L$1,FALSE))</f>
        <v/>
      </c>
      <c r="AA48" s="610" t="str">
        <f>IF(Y48="","",VLOOKUP(Y48,Tab_org21[[Dünger]:[anrechenbarer N bei DBE Grünland]],'#org22'!$D$1,FALSE))</f>
        <v/>
      </c>
      <c r="AB48" s="549" t="str">
        <f>IF(Y48="","",VLOOKUP(Y48,Tab_org21[[Dünger]:[anrechenbarer N bei DBE Grünland]],'#org22'!$P$1,FALSE))</f>
        <v/>
      </c>
      <c r="AC48" s="549" t="str">
        <f>IF(Y48="","",VLOOKUP(Y48,Tab_org21[[Dünger]:[anrechenbarer N bei DBE Grünland]],'#org22'!$Q$1,FALSE))</f>
        <v/>
      </c>
      <c r="AD48" s="547" t="str">
        <f>IF(Y48="","",VLOOKUP(Y48,Tab_org21[[Dünger]:[anrechenbarer N bei DBE Grünland]],'#org22'!$W$1,FALSE))</f>
        <v/>
      </c>
      <c r="AE48" s="549" t="str">
        <f>IF(Y48="","",VLOOKUP(Y48,Tab_org21[[Dünger]:[anrechenbarer N bei DBE Grünland]],'#org22'!$R$1,FALSE))</f>
        <v/>
      </c>
      <c r="AF48" s="547" t="str">
        <f>IF(Y48="","",VLOOKUP(Y48,Tab_org21[[Dünger]:[anrechenbarer N bei DBE Grünland]],'#org22'!$X$1,FALSE))</f>
        <v/>
      </c>
      <c r="AG48" s="547" t="str">
        <f t="shared" si="2"/>
        <v/>
      </c>
      <c r="AH48" s="547" t="str">
        <f t="shared" si="3"/>
        <v/>
      </c>
      <c r="AI48" s="549" t="str">
        <f t="shared" si="36"/>
        <v/>
      </c>
      <c r="AJ48" s="549" t="str">
        <f t="shared" si="4"/>
        <v/>
      </c>
      <c r="AK48" s="549" t="str">
        <f t="shared" si="5"/>
        <v/>
      </c>
      <c r="AL48" s="549" t="str">
        <f t="shared" si="6"/>
        <v/>
      </c>
      <c r="AM48" s="549" t="str">
        <f t="shared" si="7"/>
        <v/>
      </c>
      <c r="AN48" s="549" t="str">
        <f t="shared" si="8"/>
        <v/>
      </c>
      <c r="AO48" s="549" t="str">
        <f t="shared" si="9"/>
        <v/>
      </c>
      <c r="AP48" s="549" t="str">
        <f t="shared" si="10"/>
        <v/>
      </c>
      <c r="AQ48" s="549" t="str">
        <f t="shared" si="11"/>
        <v/>
      </c>
      <c r="AR48" s="549" t="str">
        <f t="shared" si="12"/>
        <v/>
      </c>
      <c r="AS48" s="549" t="str">
        <f t="shared" si="13"/>
        <v/>
      </c>
      <c r="AT48" s="549" t="str">
        <f t="shared" si="14"/>
        <v/>
      </c>
      <c r="AU48" s="549" t="str">
        <f t="shared" si="15"/>
        <v/>
      </c>
      <c r="AV48" s="549" t="str">
        <f t="shared" si="16"/>
        <v/>
      </c>
      <c r="AW48" s="551"/>
      <c r="AX48" s="549" t="str">
        <f t="shared" si="17"/>
        <v/>
      </c>
      <c r="AY48" s="549" t="str">
        <f>IF(Y48="","",VLOOKUP(Y48,'#orgDung'!$AF$135:$AH$187,'#orgDung'!$AH$133,FALSE))</f>
        <v/>
      </c>
      <c r="AZ48" s="549" t="str">
        <f t="shared" si="18"/>
        <v/>
      </c>
      <c r="BA48" s="549" t="str">
        <f t="shared" si="19"/>
        <v/>
      </c>
      <c r="BB48" s="549" t="str">
        <f>IF(Y48="","",VLOOKUP(Y48,Tab_org21[[Dünger]:[anrechenbarer N bei DBE Grünland]],'#org22'!$H$1,FALSE))</f>
        <v/>
      </c>
      <c r="BC48" s="549" t="str">
        <f t="shared" si="20"/>
        <v/>
      </c>
      <c r="BD48" s="549" t="str">
        <f t="shared" si="21"/>
        <v/>
      </c>
      <c r="BE48" s="549" t="str">
        <f>IF(Y48="","",VLOOKUP(Y48,Tab_org21[[Dünger]:[anrechenbarer N bei DBE Grünland]],'#org22'!$Z$1,FALSE))</f>
        <v/>
      </c>
      <c r="BF48" s="549" t="str">
        <f t="shared" si="22"/>
        <v/>
      </c>
      <c r="BG48" s="549" t="str">
        <f t="shared" si="23"/>
        <v/>
      </c>
      <c r="BH48" s="551"/>
      <c r="BI48" s="551"/>
      <c r="BJ48" s="551"/>
      <c r="BK48" s="551"/>
      <c r="BL48" s="551"/>
      <c r="BM48" s="552" t="str">
        <f>IF(BO48="","",'#minDung'!N162)</f>
        <v/>
      </c>
      <c r="BN48" s="552" t="str">
        <f>IF(BO48="","",VLOOKUP(BO48,'#minDung'!$O$126:$Q$195,'#minDung'!$P$124,FALSE))</f>
        <v/>
      </c>
      <c r="BO48" s="55" t="str">
        <f>'#minDung'!K162</f>
        <v/>
      </c>
      <c r="BP48" s="610" t="str">
        <f>IF(BO48="","",VLOOKUP(BO48,Tab_min[[Mineraldünger]:[Kalkwirkung je 100 kg Dünger]],'#min'!$F$1,FALSE))</f>
        <v/>
      </c>
      <c r="BQ48" s="55" t="str">
        <f>IF(BO48="","",VLOOKUP(BO48,Tab_min[[Mineraldünger]:[Kalkwirkung je 100 kg Dünger]],'#min'!$G$1,FALSE))</f>
        <v/>
      </c>
      <c r="BR48" s="551" t="str">
        <f>IF(BO48="","",VLOOKUP(BO48,Tab_min[[Mineraldünger]:[Kalkwirkung je 100 kg Dünger]],'#min'!$H$1,FALSE))</f>
        <v/>
      </c>
      <c r="BS48" s="551" t="str">
        <f>IF(BO48="","",VLOOKUP(BO48,Tab_min[[Mineraldünger]:[Kalkwirkung je 100 kg Dünger]],'#min'!$J$1,FALSE))</f>
        <v/>
      </c>
      <c r="BT48" s="547" t="str">
        <f t="shared" si="24"/>
        <v/>
      </c>
      <c r="BU48" s="547" t="str">
        <f t="shared" si="25"/>
        <v/>
      </c>
      <c r="BV48" s="239" t="str">
        <f t="shared" si="26"/>
        <v/>
      </c>
      <c r="BW48" s="54" t="str">
        <f t="shared" si="27"/>
        <v/>
      </c>
      <c r="BX48" s="54" t="str">
        <f t="shared" si="28"/>
        <v/>
      </c>
      <c r="BY48" s="54" t="str">
        <f t="shared" si="29"/>
        <v/>
      </c>
      <c r="BZ48" s="54" t="str">
        <f t="shared" si="30"/>
        <v/>
      </c>
      <c r="CA48" s="54" t="str">
        <f t="shared" si="31"/>
        <v/>
      </c>
      <c r="CB48" s="54" t="str">
        <f t="shared" si="32"/>
        <v/>
      </c>
      <c r="CC48" s="54" t="str">
        <f t="shared" si="33"/>
        <v/>
      </c>
      <c r="CD48" s="54" t="str">
        <f t="shared" si="34"/>
        <v/>
      </c>
      <c r="CE48" s="54" t="str">
        <f t="shared" si="35"/>
        <v/>
      </c>
      <c r="CF48" s="46"/>
      <c r="CI48" s="592" t="str">
        <f>IF(CJ48=0,"",'#BerechnungDBE'!I165)</f>
        <v/>
      </c>
      <c r="CJ48" s="816">
        <f>_xlfn.AGGREGATE(14,4,'#BerechnungDBE'!$J$129:$J$494,'#BerechnungDBE'!I165)</f>
        <v>0</v>
      </c>
      <c r="CK48" s="1666" t="str">
        <f>IF(CJ48=0,"",VLOOKUP(CJ48,'#BerechnungDBE'!$J$129:$K$494,2,FALSE))</f>
        <v/>
      </c>
      <c r="CL48" s="1666"/>
    </row>
    <row r="49" spans="20:90" ht="15" customHeight="1" x14ac:dyDescent="0.2">
      <c r="T49" s="46"/>
      <c r="U49" s="46"/>
      <c r="V49" s="46"/>
      <c r="W49" s="547" t="str">
        <f>IF(Y49="","",'#orgDung'!AE172)</f>
        <v/>
      </c>
      <c r="X49" s="552" t="str">
        <f>IF(Y49="","",VLOOKUP(Y49,'#orgDung'!$AF$135:$AG$187,'#orgDung'!$AG$133,FALSE))</f>
        <v/>
      </c>
      <c r="Y49" s="55" t="str">
        <f>'#orgDung'!AB172</f>
        <v/>
      </c>
      <c r="Z49" s="549" t="str">
        <f>IF(Y49="","",VLOOKUP(Y49,Tab_org21[[Dünger]:[anrechenbarer N bei DBE Grünland]],'#org22'!$L$1,FALSE))</f>
        <v/>
      </c>
      <c r="AA49" s="610" t="str">
        <f>IF(Y49="","",VLOOKUP(Y49,Tab_org21[[Dünger]:[anrechenbarer N bei DBE Grünland]],'#org22'!$D$1,FALSE))</f>
        <v/>
      </c>
      <c r="AB49" s="549" t="str">
        <f>IF(Y49="","",VLOOKUP(Y49,Tab_org21[[Dünger]:[anrechenbarer N bei DBE Grünland]],'#org22'!$P$1,FALSE))</f>
        <v/>
      </c>
      <c r="AC49" s="549" t="str">
        <f>IF(Y49="","",VLOOKUP(Y49,Tab_org21[[Dünger]:[anrechenbarer N bei DBE Grünland]],'#org22'!$Q$1,FALSE))</f>
        <v/>
      </c>
      <c r="AD49" s="547" t="str">
        <f>IF(Y49="","",VLOOKUP(Y49,Tab_org21[[Dünger]:[anrechenbarer N bei DBE Grünland]],'#org22'!$W$1,FALSE))</f>
        <v/>
      </c>
      <c r="AE49" s="549" t="str">
        <f>IF(Y49="","",VLOOKUP(Y49,Tab_org21[[Dünger]:[anrechenbarer N bei DBE Grünland]],'#org22'!$R$1,FALSE))</f>
        <v/>
      </c>
      <c r="AF49" s="547" t="str">
        <f>IF(Y49="","",VLOOKUP(Y49,Tab_org21[[Dünger]:[anrechenbarer N bei DBE Grünland]],'#org22'!$X$1,FALSE))</f>
        <v/>
      </c>
      <c r="AG49" s="547" t="str">
        <f t="shared" si="2"/>
        <v/>
      </c>
      <c r="AH49" s="547" t="str">
        <f t="shared" si="3"/>
        <v/>
      </c>
      <c r="AI49" s="549" t="str">
        <f t="shared" si="36"/>
        <v/>
      </c>
      <c r="AJ49" s="549" t="str">
        <f t="shared" si="4"/>
        <v/>
      </c>
      <c r="AK49" s="549" t="str">
        <f t="shared" si="5"/>
        <v/>
      </c>
      <c r="AL49" s="549" t="str">
        <f t="shared" si="6"/>
        <v/>
      </c>
      <c r="AM49" s="549" t="str">
        <f t="shared" si="7"/>
        <v/>
      </c>
      <c r="AN49" s="549" t="str">
        <f t="shared" si="8"/>
        <v/>
      </c>
      <c r="AO49" s="549" t="str">
        <f t="shared" si="9"/>
        <v/>
      </c>
      <c r="AP49" s="549" t="str">
        <f t="shared" si="10"/>
        <v/>
      </c>
      <c r="AQ49" s="549" t="str">
        <f t="shared" si="11"/>
        <v/>
      </c>
      <c r="AR49" s="549" t="str">
        <f t="shared" si="12"/>
        <v/>
      </c>
      <c r="AS49" s="549" t="str">
        <f t="shared" si="13"/>
        <v/>
      </c>
      <c r="AT49" s="549" t="str">
        <f t="shared" si="14"/>
        <v/>
      </c>
      <c r="AU49" s="549" t="str">
        <f t="shared" si="15"/>
        <v/>
      </c>
      <c r="AV49" s="549" t="str">
        <f t="shared" si="16"/>
        <v/>
      </c>
      <c r="AW49" s="551"/>
      <c r="AX49" s="549" t="str">
        <f t="shared" si="17"/>
        <v/>
      </c>
      <c r="AY49" s="549" t="str">
        <f>IF(Y49="","",VLOOKUP(Y49,'#orgDung'!$AF$135:$AH$187,'#orgDung'!$AH$133,FALSE))</f>
        <v/>
      </c>
      <c r="AZ49" s="549" t="str">
        <f t="shared" si="18"/>
        <v/>
      </c>
      <c r="BA49" s="549" t="str">
        <f t="shared" si="19"/>
        <v/>
      </c>
      <c r="BB49" s="549" t="str">
        <f>IF(Y49="","",VLOOKUP(Y49,Tab_org21[[Dünger]:[anrechenbarer N bei DBE Grünland]],'#org22'!$H$1,FALSE))</f>
        <v/>
      </c>
      <c r="BC49" s="549" t="str">
        <f t="shared" si="20"/>
        <v/>
      </c>
      <c r="BD49" s="549" t="str">
        <f t="shared" si="21"/>
        <v/>
      </c>
      <c r="BE49" s="549" t="str">
        <f>IF(Y49="","",VLOOKUP(Y49,Tab_org21[[Dünger]:[anrechenbarer N bei DBE Grünland]],'#org22'!$Z$1,FALSE))</f>
        <v/>
      </c>
      <c r="BF49" s="549" t="str">
        <f t="shared" si="22"/>
        <v/>
      </c>
      <c r="BG49" s="549" t="str">
        <f t="shared" si="23"/>
        <v/>
      </c>
      <c r="BH49" s="551"/>
      <c r="BI49" s="551"/>
      <c r="BJ49" s="551"/>
      <c r="BK49" s="551"/>
      <c r="BL49" s="551"/>
      <c r="BM49" s="552" t="str">
        <f>IF(BO49="","",'#minDung'!N163)</f>
        <v/>
      </c>
      <c r="BN49" s="552" t="str">
        <f>IF(BO49="","",VLOOKUP(BO49,'#minDung'!$O$126:$Q$195,'#minDung'!$P$124,FALSE))</f>
        <v/>
      </c>
      <c r="BO49" s="55" t="str">
        <f>'#minDung'!K163</f>
        <v/>
      </c>
      <c r="BP49" s="610" t="str">
        <f>IF(BO49="","",VLOOKUP(BO49,Tab_min[[Mineraldünger]:[Kalkwirkung je 100 kg Dünger]],'#min'!$F$1,FALSE))</f>
        <v/>
      </c>
      <c r="BQ49" s="55" t="str">
        <f>IF(BO49="","",VLOOKUP(BO49,Tab_min[[Mineraldünger]:[Kalkwirkung je 100 kg Dünger]],'#min'!$G$1,FALSE))</f>
        <v/>
      </c>
      <c r="BR49" s="551" t="str">
        <f>IF(BO49="","",VLOOKUP(BO49,Tab_min[[Mineraldünger]:[Kalkwirkung je 100 kg Dünger]],'#min'!$H$1,FALSE))</f>
        <v/>
      </c>
      <c r="BS49" s="551" t="str">
        <f>IF(BO49="","",VLOOKUP(BO49,Tab_min[[Mineraldünger]:[Kalkwirkung je 100 kg Dünger]],'#min'!$J$1,FALSE))</f>
        <v/>
      </c>
      <c r="BT49" s="547" t="str">
        <f t="shared" si="24"/>
        <v/>
      </c>
      <c r="BU49" s="547" t="str">
        <f t="shared" si="25"/>
        <v/>
      </c>
      <c r="BV49" s="239" t="str">
        <f t="shared" si="26"/>
        <v/>
      </c>
      <c r="BW49" s="54" t="str">
        <f t="shared" si="27"/>
        <v/>
      </c>
      <c r="BX49" s="54" t="str">
        <f t="shared" si="28"/>
        <v/>
      </c>
      <c r="BY49" s="54" t="str">
        <f t="shared" si="29"/>
        <v/>
      </c>
      <c r="BZ49" s="54" t="str">
        <f t="shared" si="30"/>
        <v/>
      </c>
      <c r="CA49" s="54" t="str">
        <f t="shared" si="31"/>
        <v/>
      </c>
      <c r="CB49" s="54" t="str">
        <f t="shared" si="32"/>
        <v/>
      </c>
      <c r="CC49" s="54" t="str">
        <f t="shared" si="33"/>
        <v/>
      </c>
      <c r="CD49" s="54" t="str">
        <f t="shared" si="34"/>
        <v/>
      </c>
      <c r="CE49" s="54" t="str">
        <f t="shared" si="35"/>
        <v/>
      </c>
      <c r="CF49" s="46"/>
      <c r="CI49" s="592" t="str">
        <f>IF(CJ49=0,"",'#BerechnungDBE'!I166)</f>
        <v/>
      </c>
      <c r="CJ49" s="816">
        <f>_xlfn.AGGREGATE(14,4,'#BerechnungDBE'!$J$129:$J$494,'#BerechnungDBE'!I166)</f>
        <v>0</v>
      </c>
      <c r="CK49" s="1666" t="str">
        <f>IF(CJ49=0,"",VLOOKUP(CJ49,'#BerechnungDBE'!$J$129:$K$494,2,FALSE))</f>
        <v/>
      </c>
      <c r="CL49" s="1666"/>
    </row>
    <row r="50" spans="20:90" ht="15" customHeight="1" x14ac:dyDescent="0.2">
      <c r="T50" s="46"/>
      <c r="U50" s="46"/>
      <c r="V50" s="46"/>
      <c r="W50" s="547" t="str">
        <f>IF(Y50="","",'#orgDung'!AE173)</f>
        <v/>
      </c>
      <c r="X50" s="552" t="str">
        <f>IF(Y50="","",VLOOKUP(Y50,'#orgDung'!$AF$135:$AG$187,'#orgDung'!$AG$133,FALSE))</f>
        <v/>
      </c>
      <c r="Y50" s="55" t="str">
        <f>'#orgDung'!AB173</f>
        <v/>
      </c>
      <c r="Z50" s="549" t="str">
        <f>IF(Y50="","",VLOOKUP(Y50,Tab_org21[[Dünger]:[anrechenbarer N bei DBE Grünland]],'#org22'!$L$1,FALSE))</f>
        <v/>
      </c>
      <c r="AA50" s="610" t="str">
        <f>IF(Y50="","",VLOOKUP(Y50,Tab_org21[[Dünger]:[anrechenbarer N bei DBE Grünland]],'#org22'!$D$1,FALSE))</f>
        <v/>
      </c>
      <c r="AB50" s="549" t="str">
        <f>IF(Y50="","",VLOOKUP(Y50,Tab_org21[[Dünger]:[anrechenbarer N bei DBE Grünland]],'#org22'!$P$1,FALSE))</f>
        <v/>
      </c>
      <c r="AC50" s="549" t="str">
        <f>IF(Y50="","",VLOOKUP(Y50,Tab_org21[[Dünger]:[anrechenbarer N bei DBE Grünland]],'#org22'!$Q$1,FALSE))</f>
        <v/>
      </c>
      <c r="AD50" s="547" t="str">
        <f>IF(Y50="","",VLOOKUP(Y50,Tab_org21[[Dünger]:[anrechenbarer N bei DBE Grünland]],'#org22'!$W$1,FALSE))</f>
        <v/>
      </c>
      <c r="AE50" s="549" t="str">
        <f>IF(Y50="","",VLOOKUP(Y50,Tab_org21[[Dünger]:[anrechenbarer N bei DBE Grünland]],'#org22'!$R$1,FALSE))</f>
        <v/>
      </c>
      <c r="AF50" s="547" t="str">
        <f>IF(Y50="","",VLOOKUP(Y50,Tab_org21[[Dünger]:[anrechenbarer N bei DBE Grünland]],'#org22'!$X$1,FALSE))</f>
        <v/>
      </c>
      <c r="AG50" s="547" t="str">
        <f t="shared" si="2"/>
        <v/>
      </c>
      <c r="AH50" s="547" t="str">
        <f t="shared" si="3"/>
        <v/>
      </c>
      <c r="AI50" s="549" t="str">
        <f t="shared" si="36"/>
        <v/>
      </c>
      <c r="AJ50" s="549" t="str">
        <f t="shared" si="4"/>
        <v/>
      </c>
      <c r="AK50" s="549" t="str">
        <f t="shared" si="5"/>
        <v/>
      </c>
      <c r="AL50" s="549" t="str">
        <f t="shared" si="6"/>
        <v/>
      </c>
      <c r="AM50" s="549" t="str">
        <f t="shared" si="7"/>
        <v/>
      </c>
      <c r="AN50" s="549" t="str">
        <f t="shared" si="8"/>
        <v/>
      </c>
      <c r="AO50" s="549" t="str">
        <f t="shared" si="9"/>
        <v/>
      </c>
      <c r="AP50" s="549" t="str">
        <f t="shared" si="10"/>
        <v/>
      </c>
      <c r="AQ50" s="549" t="str">
        <f t="shared" si="11"/>
        <v/>
      </c>
      <c r="AR50" s="549" t="str">
        <f t="shared" si="12"/>
        <v/>
      </c>
      <c r="AS50" s="549" t="str">
        <f t="shared" si="13"/>
        <v/>
      </c>
      <c r="AT50" s="549" t="str">
        <f t="shared" si="14"/>
        <v/>
      </c>
      <c r="AU50" s="549" t="str">
        <f t="shared" si="15"/>
        <v/>
      </c>
      <c r="AV50" s="549" t="str">
        <f t="shared" si="16"/>
        <v/>
      </c>
      <c r="AW50" s="551"/>
      <c r="AX50" s="549" t="str">
        <f t="shared" si="17"/>
        <v/>
      </c>
      <c r="AY50" s="549" t="str">
        <f>IF(Y50="","",VLOOKUP(Y50,'#orgDung'!$AF$135:$AH$187,'#orgDung'!$AH$133,FALSE))</f>
        <v/>
      </c>
      <c r="AZ50" s="549" t="str">
        <f t="shared" si="18"/>
        <v/>
      </c>
      <c r="BA50" s="549" t="str">
        <f t="shared" si="19"/>
        <v/>
      </c>
      <c r="BB50" s="549" t="str">
        <f>IF(Y50="","",VLOOKUP(Y50,Tab_org21[[Dünger]:[anrechenbarer N bei DBE Grünland]],'#org22'!$H$1,FALSE))</f>
        <v/>
      </c>
      <c r="BC50" s="549" t="str">
        <f t="shared" si="20"/>
        <v/>
      </c>
      <c r="BD50" s="549" t="str">
        <f t="shared" si="21"/>
        <v/>
      </c>
      <c r="BE50" s="549" t="str">
        <f>IF(Y50="","",VLOOKUP(Y50,Tab_org21[[Dünger]:[anrechenbarer N bei DBE Grünland]],'#org22'!$Z$1,FALSE))</f>
        <v/>
      </c>
      <c r="BF50" s="549" t="str">
        <f t="shared" si="22"/>
        <v/>
      </c>
      <c r="BG50" s="549" t="str">
        <f t="shared" si="23"/>
        <v/>
      </c>
      <c r="BH50" s="551"/>
      <c r="BI50" s="551"/>
      <c r="BJ50" s="551"/>
      <c r="BK50" s="551"/>
      <c r="BL50" s="551"/>
      <c r="BM50" s="552" t="str">
        <f>IF(BO50="","",'#minDung'!N164)</f>
        <v/>
      </c>
      <c r="BN50" s="552" t="str">
        <f>IF(BO50="","",VLOOKUP(BO50,'#minDung'!$O$126:$Q$195,'#minDung'!$P$124,FALSE))</f>
        <v/>
      </c>
      <c r="BO50" s="55" t="str">
        <f>'#minDung'!K164</f>
        <v/>
      </c>
      <c r="BP50" s="610" t="str">
        <f>IF(BO50="","",VLOOKUP(BO50,Tab_min[[Mineraldünger]:[Kalkwirkung je 100 kg Dünger]],'#min'!$F$1,FALSE))</f>
        <v/>
      </c>
      <c r="BQ50" s="55" t="str">
        <f>IF(BO50="","",VLOOKUP(BO50,Tab_min[[Mineraldünger]:[Kalkwirkung je 100 kg Dünger]],'#min'!$G$1,FALSE))</f>
        <v/>
      </c>
      <c r="BR50" s="551" t="str">
        <f>IF(BO50="","",VLOOKUP(BO50,Tab_min[[Mineraldünger]:[Kalkwirkung je 100 kg Dünger]],'#min'!$H$1,FALSE))</f>
        <v/>
      </c>
      <c r="BS50" s="551" t="str">
        <f>IF(BO50="","",VLOOKUP(BO50,Tab_min[[Mineraldünger]:[Kalkwirkung je 100 kg Dünger]],'#min'!$J$1,FALSE))</f>
        <v/>
      </c>
      <c r="BT50" s="547" t="str">
        <f t="shared" si="24"/>
        <v/>
      </c>
      <c r="BU50" s="547" t="str">
        <f t="shared" si="25"/>
        <v/>
      </c>
      <c r="BV50" s="239" t="str">
        <f t="shared" si="26"/>
        <v/>
      </c>
      <c r="BW50" s="54" t="str">
        <f t="shared" si="27"/>
        <v/>
      </c>
      <c r="BX50" s="54" t="str">
        <f t="shared" si="28"/>
        <v/>
      </c>
      <c r="BY50" s="54" t="str">
        <f t="shared" si="29"/>
        <v/>
      </c>
      <c r="BZ50" s="54" t="str">
        <f t="shared" si="30"/>
        <v/>
      </c>
      <c r="CA50" s="54" t="str">
        <f t="shared" si="31"/>
        <v/>
      </c>
      <c r="CB50" s="54" t="str">
        <f t="shared" si="32"/>
        <v/>
      </c>
      <c r="CC50" s="54" t="str">
        <f t="shared" si="33"/>
        <v/>
      </c>
      <c r="CD50" s="54" t="str">
        <f t="shared" si="34"/>
        <v/>
      </c>
      <c r="CE50" s="54" t="str">
        <f t="shared" si="35"/>
        <v/>
      </c>
      <c r="CF50" s="46"/>
      <c r="CI50" s="592" t="str">
        <f>IF(CJ50=0,"",'#BerechnungDBE'!I167)</f>
        <v/>
      </c>
      <c r="CJ50" s="816">
        <f>_xlfn.AGGREGATE(14,4,'#BerechnungDBE'!$J$129:$J$494,'#BerechnungDBE'!I167)</f>
        <v>0</v>
      </c>
      <c r="CK50" s="1666" t="str">
        <f>IF(CJ50=0,"",VLOOKUP(CJ50,'#BerechnungDBE'!$J$129:$K$494,2,FALSE))</f>
        <v/>
      </c>
      <c r="CL50" s="1666"/>
    </row>
    <row r="51" spans="20:90" ht="15" customHeight="1" x14ac:dyDescent="0.2">
      <c r="T51" s="46"/>
      <c r="U51" s="46"/>
      <c r="V51" s="46"/>
      <c r="W51" s="547" t="str">
        <f>IF(Y51="","",'#orgDung'!AE174)</f>
        <v/>
      </c>
      <c r="X51" s="552" t="str">
        <f>IF(Y51="","",VLOOKUP(Y51,'#orgDung'!$AF$135:$AG$187,'#orgDung'!$AG$133,FALSE))</f>
        <v/>
      </c>
      <c r="Y51" s="55" t="str">
        <f>'#orgDung'!AB174</f>
        <v/>
      </c>
      <c r="Z51" s="549" t="str">
        <f>IF(Y51="","",VLOOKUP(Y51,Tab_org21[[Dünger]:[anrechenbarer N bei DBE Grünland]],'#org22'!$L$1,FALSE))</f>
        <v/>
      </c>
      <c r="AA51" s="610" t="str">
        <f>IF(Y51="","",VLOOKUP(Y51,Tab_org21[[Dünger]:[anrechenbarer N bei DBE Grünland]],'#org22'!$D$1,FALSE))</f>
        <v/>
      </c>
      <c r="AB51" s="549" t="str">
        <f>IF(Y51="","",VLOOKUP(Y51,Tab_org21[[Dünger]:[anrechenbarer N bei DBE Grünland]],'#org22'!$P$1,FALSE))</f>
        <v/>
      </c>
      <c r="AC51" s="549" t="str">
        <f>IF(Y51="","",VLOOKUP(Y51,Tab_org21[[Dünger]:[anrechenbarer N bei DBE Grünland]],'#org22'!$Q$1,FALSE))</f>
        <v/>
      </c>
      <c r="AD51" s="547" t="str">
        <f>IF(Y51="","",VLOOKUP(Y51,Tab_org21[[Dünger]:[anrechenbarer N bei DBE Grünland]],'#org22'!$W$1,FALSE))</f>
        <v/>
      </c>
      <c r="AE51" s="549" t="str">
        <f>IF(Y51="","",VLOOKUP(Y51,Tab_org21[[Dünger]:[anrechenbarer N bei DBE Grünland]],'#org22'!$R$1,FALSE))</f>
        <v/>
      </c>
      <c r="AF51" s="547" t="str">
        <f>IF(Y51="","",VLOOKUP(Y51,Tab_org21[[Dünger]:[anrechenbarer N bei DBE Grünland]],'#org22'!$X$1,FALSE))</f>
        <v/>
      </c>
      <c r="AG51" s="547" t="str">
        <f t="shared" si="2"/>
        <v/>
      </c>
      <c r="AH51" s="547" t="str">
        <f t="shared" si="3"/>
        <v/>
      </c>
      <c r="AI51" s="549" t="str">
        <f t="shared" si="36"/>
        <v/>
      </c>
      <c r="AJ51" s="549" t="str">
        <f t="shared" si="4"/>
        <v/>
      </c>
      <c r="AK51" s="549" t="str">
        <f t="shared" si="5"/>
        <v/>
      </c>
      <c r="AL51" s="549" t="str">
        <f t="shared" si="6"/>
        <v/>
      </c>
      <c r="AM51" s="549" t="str">
        <f t="shared" si="7"/>
        <v/>
      </c>
      <c r="AN51" s="549" t="str">
        <f t="shared" si="8"/>
        <v/>
      </c>
      <c r="AO51" s="549" t="str">
        <f t="shared" si="9"/>
        <v/>
      </c>
      <c r="AP51" s="549" t="str">
        <f t="shared" si="10"/>
        <v/>
      </c>
      <c r="AQ51" s="549" t="str">
        <f t="shared" si="11"/>
        <v/>
      </c>
      <c r="AR51" s="549" t="str">
        <f t="shared" si="12"/>
        <v/>
      </c>
      <c r="AS51" s="549" t="str">
        <f t="shared" si="13"/>
        <v/>
      </c>
      <c r="AT51" s="549" t="str">
        <f t="shared" si="14"/>
        <v/>
      </c>
      <c r="AU51" s="549" t="str">
        <f t="shared" si="15"/>
        <v/>
      </c>
      <c r="AV51" s="549" t="str">
        <f t="shared" si="16"/>
        <v/>
      </c>
      <c r="AW51" s="551"/>
      <c r="AX51" s="549" t="str">
        <f t="shared" si="17"/>
        <v/>
      </c>
      <c r="AY51" s="549" t="str">
        <f>IF(Y51="","",VLOOKUP(Y51,'#orgDung'!$AF$135:$AH$187,'#orgDung'!$AH$133,FALSE))</f>
        <v/>
      </c>
      <c r="AZ51" s="549" t="str">
        <f t="shared" si="18"/>
        <v/>
      </c>
      <c r="BA51" s="549" t="str">
        <f t="shared" si="19"/>
        <v/>
      </c>
      <c r="BB51" s="549" t="str">
        <f>IF(Y51="","",VLOOKUP(Y51,Tab_org21[[Dünger]:[anrechenbarer N bei DBE Grünland]],'#org22'!$H$1,FALSE))</f>
        <v/>
      </c>
      <c r="BC51" s="549" t="str">
        <f t="shared" si="20"/>
        <v/>
      </c>
      <c r="BD51" s="549" t="str">
        <f t="shared" si="21"/>
        <v/>
      </c>
      <c r="BE51" s="549" t="str">
        <f>IF(Y51="","",VLOOKUP(Y51,Tab_org21[[Dünger]:[anrechenbarer N bei DBE Grünland]],'#org22'!$Z$1,FALSE))</f>
        <v/>
      </c>
      <c r="BF51" s="549" t="str">
        <f t="shared" si="22"/>
        <v/>
      </c>
      <c r="BG51" s="549" t="str">
        <f t="shared" si="23"/>
        <v/>
      </c>
      <c r="BH51" s="551"/>
      <c r="BI51" s="551"/>
      <c r="BJ51" s="551"/>
      <c r="BK51" s="551"/>
      <c r="BL51" s="551"/>
      <c r="BM51" s="552" t="str">
        <f>IF(BO51="","",'#minDung'!N165)</f>
        <v/>
      </c>
      <c r="BN51" s="552" t="str">
        <f>IF(BO51="","",VLOOKUP(BO51,'#minDung'!$O$126:$Q$195,'#minDung'!$P$124,FALSE))</f>
        <v/>
      </c>
      <c r="BO51" s="55" t="str">
        <f>'#minDung'!K165</f>
        <v/>
      </c>
      <c r="BP51" s="610" t="str">
        <f>IF(BO51="","",VLOOKUP(BO51,Tab_min[[Mineraldünger]:[Kalkwirkung je 100 kg Dünger]],'#min'!$F$1,FALSE))</f>
        <v/>
      </c>
      <c r="BQ51" s="55" t="str">
        <f>IF(BO51="","",VLOOKUP(BO51,Tab_min[[Mineraldünger]:[Kalkwirkung je 100 kg Dünger]],'#min'!$G$1,FALSE))</f>
        <v/>
      </c>
      <c r="BR51" s="551" t="str">
        <f>IF(BO51="","",VLOOKUP(BO51,Tab_min[[Mineraldünger]:[Kalkwirkung je 100 kg Dünger]],'#min'!$H$1,FALSE))</f>
        <v/>
      </c>
      <c r="BS51" s="551" t="str">
        <f>IF(BO51="","",VLOOKUP(BO51,Tab_min[[Mineraldünger]:[Kalkwirkung je 100 kg Dünger]],'#min'!$J$1,FALSE))</f>
        <v/>
      </c>
      <c r="BT51" s="547" t="str">
        <f t="shared" si="24"/>
        <v/>
      </c>
      <c r="BU51" s="547" t="str">
        <f t="shared" si="25"/>
        <v/>
      </c>
      <c r="BV51" s="239" t="str">
        <f t="shared" si="26"/>
        <v/>
      </c>
      <c r="BW51" s="54" t="str">
        <f t="shared" si="27"/>
        <v/>
      </c>
      <c r="BX51" s="54" t="str">
        <f t="shared" si="28"/>
        <v/>
      </c>
      <c r="BY51" s="54" t="str">
        <f t="shared" si="29"/>
        <v/>
      </c>
      <c r="BZ51" s="54" t="str">
        <f t="shared" si="30"/>
        <v/>
      </c>
      <c r="CA51" s="54" t="str">
        <f t="shared" si="31"/>
        <v/>
      </c>
      <c r="CB51" s="54" t="str">
        <f t="shared" si="32"/>
        <v/>
      </c>
      <c r="CC51" s="54" t="str">
        <f t="shared" si="33"/>
        <v/>
      </c>
      <c r="CD51" s="54" t="str">
        <f t="shared" si="34"/>
        <v/>
      </c>
      <c r="CE51" s="54" t="str">
        <f t="shared" si="35"/>
        <v/>
      </c>
      <c r="CF51" s="46"/>
      <c r="CI51" s="592" t="str">
        <f>IF(CJ51=0,"",'#BerechnungDBE'!I168)</f>
        <v/>
      </c>
      <c r="CJ51" s="816">
        <f>_xlfn.AGGREGATE(14,4,'#BerechnungDBE'!$J$129:$J$494,'#BerechnungDBE'!I168)</f>
        <v>0</v>
      </c>
      <c r="CK51" s="1666" t="str">
        <f>IF(CJ51=0,"",VLOOKUP(CJ51,'#BerechnungDBE'!$J$129:$K$494,2,FALSE))</f>
        <v/>
      </c>
      <c r="CL51" s="1666"/>
    </row>
    <row r="52" spans="20:90" ht="15" customHeight="1" x14ac:dyDescent="0.2">
      <c r="T52" s="46"/>
      <c r="U52" s="46"/>
      <c r="V52" s="46"/>
      <c r="W52" s="547" t="str">
        <f>IF(Y52="","",'#orgDung'!AE175)</f>
        <v/>
      </c>
      <c r="X52" s="552" t="str">
        <f>IF(Y52="","",VLOOKUP(Y52,'#orgDung'!$AF$135:$AG$187,'#orgDung'!$AG$133,FALSE))</f>
        <v/>
      </c>
      <c r="Y52" s="55" t="str">
        <f>'#orgDung'!AB175</f>
        <v/>
      </c>
      <c r="Z52" s="549" t="str">
        <f>IF(Y52="","",VLOOKUP(Y52,Tab_org21[[Dünger]:[anrechenbarer N bei DBE Grünland]],'#org22'!$L$1,FALSE))</f>
        <v/>
      </c>
      <c r="AA52" s="610" t="str">
        <f>IF(Y52="","",VLOOKUP(Y52,Tab_org21[[Dünger]:[anrechenbarer N bei DBE Grünland]],'#org22'!$D$1,FALSE))</f>
        <v/>
      </c>
      <c r="AB52" s="549" t="str">
        <f>IF(Y52="","",VLOOKUP(Y52,Tab_org21[[Dünger]:[anrechenbarer N bei DBE Grünland]],'#org22'!$P$1,FALSE))</f>
        <v/>
      </c>
      <c r="AC52" s="549" t="str">
        <f>IF(Y52="","",VLOOKUP(Y52,Tab_org21[[Dünger]:[anrechenbarer N bei DBE Grünland]],'#org22'!$Q$1,FALSE))</f>
        <v/>
      </c>
      <c r="AD52" s="547" t="str">
        <f>IF(Y52="","",VLOOKUP(Y52,Tab_org21[[Dünger]:[anrechenbarer N bei DBE Grünland]],'#org22'!$W$1,FALSE))</f>
        <v/>
      </c>
      <c r="AE52" s="549" t="str">
        <f>IF(Y52="","",VLOOKUP(Y52,Tab_org21[[Dünger]:[anrechenbarer N bei DBE Grünland]],'#org22'!$R$1,FALSE))</f>
        <v/>
      </c>
      <c r="AF52" s="547" t="str">
        <f>IF(Y52="","",VLOOKUP(Y52,Tab_org21[[Dünger]:[anrechenbarer N bei DBE Grünland]],'#org22'!$X$1,FALSE))</f>
        <v/>
      </c>
      <c r="AG52" s="547" t="str">
        <f t="shared" si="2"/>
        <v/>
      </c>
      <c r="AH52" s="547" t="str">
        <f t="shared" si="3"/>
        <v/>
      </c>
      <c r="AI52" s="549" t="str">
        <f t="shared" si="36"/>
        <v/>
      </c>
      <c r="AJ52" s="549" t="str">
        <f t="shared" si="4"/>
        <v/>
      </c>
      <c r="AK52" s="549" t="str">
        <f t="shared" si="5"/>
        <v/>
      </c>
      <c r="AL52" s="549" t="str">
        <f t="shared" si="6"/>
        <v/>
      </c>
      <c r="AM52" s="549" t="str">
        <f t="shared" si="7"/>
        <v/>
      </c>
      <c r="AN52" s="549" t="str">
        <f t="shared" si="8"/>
        <v/>
      </c>
      <c r="AO52" s="549" t="str">
        <f t="shared" si="9"/>
        <v/>
      </c>
      <c r="AP52" s="549" t="str">
        <f t="shared" si="10"/>
        <v/>
      </c>
      <c r="AQ52" s="549" t="str">
        <f t="shared" si="11"/>
        <v/>
      </c>
      <c r="AR52" s="549" t="str">
        <f t="shared" si="12"/>
        <v/>
      </c>
      <c r="AS52" s="549" t="str">
        <f t="shared" si="13"/>
        <v/>
      </c>
      <c r="AT52" s="549" t="str">
        <f t="shared" si="14"/>
        <v/>
      </c>
      <c r="AU52" s="549" t="str">
        <f t="shared" si="15"/>
        <v/>
      </c>
      <c r="AV52" s="549" t="str">
        <f t="shared" si="16"/>
        <v/>
      </c>
      <c r="AW52" s="551"/>
      <c r="AX52" s="549" t="str">
        <f t="shared" si="17"/>
        <v/>
      </c>
      <c r="AY52" s="549" t="str">
        <f>IF(Y52="","",VLOOKUP(Y52,'#orgDung'!$AF$135:$AH$187,'#orgDung'!$AH$133,FALSE))</f>
        <v/>
      </c>
      <c r="AZ52" s="549" t="str">
        <f t="shared" si="18"/>
        <v/>
      </c>
      <c r="BA52" s="549" t="str">
        <f t="shared" si="19"/>
        <v/>
      </c>
      <c r="BB52" s="549" t="str">
        <f>IF(Y52="","",VLOOKUP(Y52,Tab_org21[[Dünger]:[anrechenbarer N bei DBE Grünland]],'#org22'!$H$1,FALSE))</f>
        <v/>
      </c>
      <c r="BC52" s="549" t="str">
        <f t="shared" si="20"/>
        <v/>
      </c>
      <c r="BD52" s="549" t="str">
        <f t="shared" si="21"/>
        <v/>
      </c>
      <c r="BE52" s="549" t="str">
        <f>IF(Y52="","",VLOOKUP(Y52,Tab_org21[[Dünger]:[anrechenbarer N bei DBE Grünland]],'#org22'!$Z$1,FALSE))</f>
        <v/>
      </c>
      <c r="BF52" s="549" t="str">
        <f t="shared" si="22"/>
        <v/>
      </c>
      <c r="BG52" s="549" t="str">
        <f t="shared" si="23"/>
        <v/>
      </c>
      <c r="BH52" s="551"/>
      <c r="BI52" s="551"/>
      <c r="BJ52" s="551"/>
      <c r="BK52" s="551"/>
      <c r="BL52" s="551"/>
      <c r="BM52" s="552" t="str">
        <f>IF(BO52="","",'#minDung'!N166)</f>
        <v/>
      </c>
      <c r="BN52" s="552" t="str">
        <f>IF(BO52="","",VLOOKUP(BO52,'#minDung'!$O$126:$Q$195,'#minDung'!$P$124,FALSE))</f>
        <v/>
      </c>
      <c r="BO52" s="55" t="str">
        <f>'#minDung'!K166</f>
        <v/>
      </c>
      <c r="BP52" s="610" t="str">
        <f>IF(BO52="","",VLOOKUP(BO52,Tab_min[[Mineraldünger]:[Kalkwirkung je 100 kg Dünger]],'#min'!$F$1,FALSE))</f>
        <v/>
      </c>
      <c r="BQ52" s="55" t="str">
        <f>IF(BO52="","",VLOOKUP(BO52,Tab_min[[Mineraldünger]:[Kalkwirkung je 100 kg Dünger]],'#min'!$G$1,FALSE))</f>
        <v/>
      </c>
      <c r="BR52" s="551" t="str">
        <f>IF(BO52="","",VLOOKUP(BO52,Tab_min[[Mineraldünger]:[Kalkwirkung je 100 kg Dünger]],'#min'!$H$1,FALSE))</f>
        <v/>
      </c>
      <c r="BS52" s="551" t="str">
        <f>IF(BO52="","",VLOOKUP(BO52,Tab_min[[Mineraldünger]:[Kalkwirkung je 100 kg Dünger]],'#min'!$J$1,FALSE))</f>
        <v/>
      </c>
      <c r="BT52" s="547" t="str">
        <f t="shared" si="24"/>
        <v/>
      </c>
      <c r="BU52" s="547" t="str">
        <f t="shared" si="25"/>
        <v/>
      </c>
      <c r="BV52" s="239" t="str">
        <f t="shared" si="26"/>
        <v/>
      </c>
      <c r="BW52" s="54" t="str">
        <f t="shared" si="27"/>
        <v/>
      </c>
      <c r="BX52" s="54" t="str">
        <f t="shared" si="28"/>
        <v/>
      </c>
      <c r="BY52" s="54" t="str">
        <f t="shared" si="29"/>
        <v/>
      </c>
      <c r="BZ52" s="54" t="str">
        <f t="shared" si="30"/>
        <v/>
      </c>
      <c r="CA52" s="54" t="str">
        <f t="shared" si="31"/>
        <v/>
      </c>
      <c r="CB52" s="54" t="str">
        <f t="shared" si="32"/>
        <v/>
      </c>
      <c r="CC52" s="54" t="str">
        <f t="shared" si="33"/>
        <v/>
      </c>
      <c r="CD52" s="54" t="str">
        <f t="shared" si="34"/>
        <v/>
      </c>
      <c r="CE52" s="54" t="str">
        <f t="shared" si="35"/>
        <v/>
      </c>
      <c r="CF52" s="46"/>
      <c r="CI52" s="592" t="str">
        <f>IF(CJ52=0,"",'#BerechnungDBE'!I169)</f>
        <v/>
      </c>
      <c r="CJ52" s="816">
        <f>_xlfn.AGGREGATE(14,4,'#BerechnungDBE'!$J$129:$J$494,'#BerechnungDBE'!I169)</f>
        <v>0</v>
      </c>
      <c r="CK52" s="1666" t="str">
        <f>IF(CJ52=0,"",VLOOKUP(CJ52,'#BerechnungDBE'!$J$129:$K$494,2,FALSE))</f>
        <v/>
      </c>
      <c r="CL52" s="1666"/>
    </row>
    <row r="53" spans="20:90" ht="15" customHeight="1" x14ac:dyDescent="0.2">
      <c r="T53" s="46"/>
      <c r="U53" s="46"/>
      <c r="V53" s="46"/>
      <c r="W53" s="547" t="str">
        <f>IF(Y53="","",'#orgDung'!AE176)</f>
        <v/>
      </c>
      <c r="X53" s="552" t="str">
        <f>IF(Y53="","",VLOOKUP(Y53,'#orgDung'!$AF$135:$AG$187,'#orgDung'!$AG$133,FALSE))</f>
        <v/>
      </c>
      <c r="Y53" s="55" t="str">
        <f>'#orgDung'!AB176</f>
        <v/>
      </c>
      <c r="Z53" s="549" t="str">
        <f>IF(Y53="","",VLOOKUP(Y53,Tab_org21[[Dünger]:[anrechenbarer N bei DBE Grünland]],'#org22'!$L$1,FALSE))</f>
        <v/>
      </c>
      <c r="AA53" s="610" t="str">
        <f>IF(Y53="","",VLOOKUP(Y53,Tab_org21[[Dünger]:[anrechenbarer N bei DBE Grünland]],'#org22'!$D$1,FALSE))</f>
        <v/>
      </c>
      <c r="AB53" s="549" t="str">
        <f>IF(Y53="","",VLOOKUP(Y53,Tab_org21[[Dünger]:[anrechenbarer N bei DBE Grünland]],'#org22'!$P$1,FALSE))</f>
        <v/>
      </c>
      <c r="AC53" s="549" t="str">
        <f>IF(Y53="","",VLOOKUP(Y53,Tab_org21[[Dünger]:[anrechenbarer N bei DBE Grünland]],'#org22'!$Q$1,FALSE))</f>
        <v/>
      </c>
      <c r="AD53" s="547" t="str">
        <f>IF(Y53="","",VLOOKUP(Y53,Tab_org21[[Dünger]:[anrechenbarer N bei DBE Grünland]],'#org22'!$W$1,FALSE))</f>
        <v/>
      </c>
      <c r="AE53" s="549" t="str">
        <f>IF(Y53="","",VLOOKUP(Y53,Tab_org21[[Dünger]:[anrechenbarer N bei DBE Grünland]],'#org22'!$R$1,FALSE))</f>
        <v/>
      </c>
      <c r="AF53" s="547" t="str">
        <f>IF(Y53="","",VLOOKUP(Y53,Tab_org21[[Dünger]:[anrechenbarer N bei DBE Grünland]],'#org22'!$X$1,FALSE))</f>
        <v/>
      </c>
      <c r="AG53" s="547" t="str">
        <f t="shared" si="2"/>
        <v/>
      </c>
      <c r="AH53" s="547" t="str">
        <f t="shared" si="3"/>
        <v/>
      </c>
      <c r="AI53" s="549" t="str">
        <f t="shared" si="36"/>
        <v/>
      </c>
      <c r="AJ53" s="549" t="str">
        <f t="shared" si="4"/>
        <v/>
      </c>
      <c r="AK53" s="549" t="str">
        <f t="shared" si="5"/>
        <v/>
      </c>
      <c r="AL53" s="549" t="str">
        <f t="shared" si="6"/>
        <v/>
      </c>
      <c r="AM53" s="549" t="str">
        <f t="shared" si="7"/>
        <v/>
      </c>
      <c r="AN53" s="549" t="str">
        <f t="shared" si="8"/>
        <v/>
      </c>
      <c r="AO53" s="549" t="str">
        <f t="shared" si="9"/>
        <v/>
      </c>
      <c r="AP53" s="549" t="str">
        <f t="shared" si="10"/>
        <v/>
      </c>
      <c r="AQ53" s="549" t="str">
        <f t="shared" si="11"/>
        <v/>
      </c>
      <c r="AR53" s="549" t="str">
        <f t="shared" si="12"/>
        <v/>
      </c>
      <c r="AS53" s="549" t="str">
        <f t="shared" si="13"/>
        <v/>
      </c>
      <c r="AT53" s="549" t="str">
        <f t="shared" si="14"/>
        <v/>
      </c>
      <c r="AU53" s="549" t="str">
        <f t="shared" si="15"/>
        <v/>
      </c>
      <c r="AV53" s="549" t="str">
        <f t="shared" si="16"/>
        <v/>
      </c>
      <c r="AW53" s="551"/>
      <c r="AX53" s="549" t="str">
        <f t="shared" si="17"/>
        <v/>
      </c>
      <c r="AY53" s="549" t="str">
        <f>IF(Y53="","",VLOOKUP(Y53,'#orgDung'!$AF$135:$AH$187,'#orgDung'!$AH$133,FALSE))</f>
        <v/>
      </c>
      <c r="AZ53" s="549" t="str">
        <f t="shared" si="18"/>
        <v/>
      </c>
      <c r="BA53" s="549" t="str">
        <f t="shared" si="19"/>
        <v/>
      </c>
      <c r="BB53" s="549" t="str">
        <f>IF(Y53="","",VLOOKUP(Y53,Tab_org21[[Dünger]:[anrechenbarer N bei DBE Grünland]],'#org22'!$H$1,FALSE))</f>
        <v/>
      </c>
      <c r="BC53" s="549" t="str">
        <f t="shared" si="20"/>
        <v/>
      </c>
      <c r="BD53" s="549" t="str">
        <f t="shared" si="21"/>
        <v/>
      </c>
      <c r="BE53" s="549" t="str">
        <f>IF(Y53="","",VLOOKUP(Y53,Tab_org21[[Dünger]:[anrechenbarer N bei DBE Grünland]],'#org22'!$Z$1,FALSE))</f>
        <v/>
      </c>
      <c r="BF53" s="549" t="str">
        <f t="shared" si="22"/>
        <v/>
      </c>
      <c r="BG53" s="549" t="str">
        <f t="shared" si="23"/>
        <v/>
      </c>
      <c r="BH53" s="551"/>
      <c r="BI53" s="551"/>
      <c r="BJ53" s="551"/>
      <c r="BK53" s="551"/>
      <c r="BL53" s="551"/>
      <c r="BM53" s="552" t="str">
        <f>IF(BO53="","",'#minDung'!N167)</f>
        <v/>
      </c>
      <c r="BN53" s="552" t="str">
        <f>IF(BO53="","",VLOOKUP(BO53,'#minDung'!$O$126:$Q$195,'#minDung'!$P$124,FALSE))</f>
        <v/>
      </c>
      <c r="BO53" s="55" t="str">
        <f>'#minDung'!K167</f>
        <v/>
      </c>
      <c r="BP53" s="610" t="str">
        <f>IF(BO53="","",VLOOKUP(BO53,Tab_min[[Mineraldünger]:[Kalkwirkung je 100 kg Dünger]],'#min'!$F$1,FALSE))</f>
        <v/>
      </c>
      <c r="BQ53" s="55" t="str">
        <f>IF(BO53="","",VLOOKUP(BO53,Tab_min[[Mineraldünger]:[Kalkwirkung je 100 kg Dünger]],'#min'!$G$1,FALSE))</f>
        <v/>
      </c>
      <c r="BR53" s="551" t="str">
        <f>IF(BO53="","",VLOOKUP(BO53,Tab_min[[Mineraldünger]:[Kalkwirkung je 100 kg Dünger]],'#min'!$H$1,FALSE))</f>
        <v/>
      </c>
      <c r="BS53" s="551" t="str">
        <f>IF(BO53="","",VLOOKUP(BO53,Tab_min[[Mineraldünger]:[Kalkwirkung je 100 kg Dünger]],'#min'!$J$1,FALSE))</f>
        <v/>
      </c>
      <c r="BT53" s="547" t="str">
        <f t="shared" si="24"/>
        <v/>
      </c>
      <c r="BU53" s="547" t="str">
        <f t="shared" si="25"/>
        <v/>
      </c>
      <c r="BV53" s="239" t="str">
        <f t="shared" si="26"/>
        <v/>
      </c>
      <c r="BW53" s="54" t="str">
        <f t="shared" si="27"/>
        <v/>
      </c>
      <c r="BX53" s="54" t="str">
        <f t="shared" si="28"/>
        <v/>
      </c>
      <c r="BY53" s="54" t="str">
        <f t="shared" si="29"/>
        <v/>
      </c>
      <c r="BZ53" s="54" t="str">
        <f t="shared" si="30"/>
        <v/>
      </c>
      <c r="CA53" s="54" t="str">
        <f t="shared" si="31"/>
        <v/>
      </c>
      <c r="CB53" s="54" t="str">
        <f t="shared" si="32"/>
        <v/>
      </c>
      <c r="CC53" s="54" t="str">
        <f t="shared" si="33"/>
        <v/>
      </c>
      <c r="CD53" s="54" t="str">
        <f t="shared" si="34"/>
        <v/>
      </c>
      <c r="CE53" s="54" t="str">
        <f t="shared" si="35"/>
        <v/>
      </c>
      <c r="CF53" s="46"/>
      <c r="CI53" s="592" t="str">
        <f>IF(CJ53=0,"",'#BerechnungDBE'!I170)</f>
        <v/>
      </c>
      <c r="CJ53" s="816">
        <f>_xlfn.AGGREGATE(14,4,'#BerechnungDBE'!$J$129:$J$494,'#BerechnungDBE'!I170)</f>
        <v>0</v>
      </c>
      <c r="CK53" s="1666" t="str">
        <f>IF(CJ53=0,"",VLOOKUP(CJ53,'#BerechnungDBE'!$J$129:$K$494,2,FALSE))</f>
        <v/>
      </c>
      <c r="CL53" s="1666"/>
    </row>
    <row r="54" spans="20:90" ht="15" customHeight="1" x14ac:dyDescent="0.2">
      <c r="T54" s="46"/>
      <c r="U54" s="46"/>
      <c r="V54" s="46"/>
      <c r="W54" s="547" t="str">
        <f>IF(Y54="","",'#orgDung'!AE177)</f>
        <v/>
      </c>
      <c r="X54" s="552" t="str">
        <f>IF(Y54="","",VLOOKUP(Y54,'#orgDung'!$AF$135:$AG$187,'#orgDung'!$AG$133,FALSE))</f>
        <v/>
      </c>
      <c r="Y54" s="55" t="str">
        <f>'#orgDung'!AB177</f>
        <v/>
      </c>
      <c r="Z54" s="549" t="str">
        <f>IF(Y54="","",VLOOKUP(Y54,Tab_org21[[Dünger]:[anrechenbarer N bei DBE Grünland]],'#org22'!$L$1,FALSE))</f>
        <v/>
      </c>
      <c r="AA54" s="610" t="str">
        <f>IF(Y54="","",VLOOKUP(Y54,Tab_org21[[Dünger]:[anrechenbarer N bei DBE Grünland]],'#org22'!$D$1,FALSE))</f>
        <v/>
      </c>
      <c r="AB54" s="549" t="str">
        <f>IF(Y54="","",VLOOKUP(Y54,Tab_org21[[Dünger]:[anrechenbarer N bei DBE Grünland]],'#org22'!$P$1,FALSE))</f>
        <v/>
      </c>
      <c r="AC54" s="549" t="str">
        <f>IF(Y54="","",VLOOKUP(Y54,Tab_org21[[Dünger]:[anrechenbarer N bei DBE Grünland]],'#org22'!$Q$1,FALSE))</f>
        <v/>
      </c>
      <c r="AD54" s="547" t="str">
        <f>IF(Y54="","",VLOOKUP(Y54,Tab_org21[[Dünger]:[anrechenbarer N bei DBE Grünland]],'#org22'!$W$1,FALSE))</f>
        <v/>
      </c>
      <c r="AE54" s="549" t="str">
        <f>IF(Y54="","",VLOOKUP(Y54,Tab_org21[[Dünger]:[anrechenbarer N bei DBE Grünland]],'#org22'!$R$1,FALSE))</f>
        <v/>
      </c>
      <c r="AF54" s="547" t="str">
        <f>IF(Y54="","",VLOOKUP(Y54,Tab_org21[[Dünger]:[anrechenbarer N bei DBE Grünland]],'#org22'!$X$1,FALSE))</f>
        <v/>
      </c>
      <c r="AG54" s="547" t="str">
        <f t="shared" si="2"/>
        <v/>
      </c>
      <c r="AH54" s="547" t="str">
        <f t="shared" si="3"/>
        <v/>
      </c>
      <c r="AI54" s="549" t="str">
        <f t="shared" si="36"/>
        <v/>
      </c>
      <c r="AJ54" s="549" t="str">
        <f t="shared" si="4"/>
        <v/>
      </c>
      <c r="AK54" s="549" t="str">
        <f t="shared" si="5"/>
        <v/>
      </c>
      <c r="AL54" s="549" t="str">
        <f t="shared" si="6"/>
        <v/>
      </c>
      <c r="AM54" s="549" t="str">
        <f t="shared" si="7"/>
        <v/>
      </c>
      <c r="AN54" s="549" t="str">
        <f t="shared" si="8"/>
        <v/>
      </c>
      <c r="AO54" s="549" t="str">
        <f t="shared" si="9"/>
        <v/>
      </c>
      <c r="AP54" s="549" t="str">
        <f t="shared" si="10"/>
        <v/>
      </c>
      <c r="AQ54" s="549" t="str">
        <f t="shared" si="11"/>
        <v/>
      </c>
      <c r="AR54" s="549" t="str">
        <f t="shared" si="12"/>
        <v/>
      </c>
      <c r="AS54" s="549" t="str">
        <f t="shared" si="13"/>
        <v/>
      </c>
      <c r="AT54" s="549" t="str">
        <f t="shared" si="14"/>
        <v/>
      </c>
      <c r="AU54" s="549" t="str">
        <f t="shared" si="15"/>
        <v/>
      </c>
      <c r="AV54" s="549" t="str">
        <f t="shared" si="16"/>
        <v/>
      </c>
      <c r="AW54" s="551"/>
      <c r="AX54" s="549" t="str">
        <f t="shared" si="17"/>
        <v/>
      </c>
      <c r="AY54" s="549" t="str">
        <f>IF(Y54="","",VLOOKUP(Y54,'#orgDung'!$AF$135:$AH$187,'#orgDung'!$AH$133,FALSE))</f>
        <v/>
      </c>
      <c r="AZ54" s="549" t="str">
        <f t="shared" si="18"/>
        <v/>
      </c>
      <c r="BA54" s="549" t="str">
        <f t="shared" si="19"/>
        <v/>
      </c>
      <c r="BB54" s="549" t="str">
        <f>IF(Y54="","",VLOOKUP(Y54,Tab_org21[[Dünger]:[anrechenbarer N bei DBE Grünland]],'#org22'!$H$1,FALSE))</f>
        <v/>
      </c>
      <c r="BC54" s="549" t="str">
        <f t="shared" si="20"/>
        <v/>
      </c>
      <c r="BD54" s="549" t="str">
        <f t="shared" si="21"/>
        <v/>
      </c>
      <c r="BE54" s="549" t="str">
        <f>IF(Y54="","",VLOOKUP(Y54,Tab_org21[[Dünger]:[anrechenbarer N bei DBE Grünland]],'#org22'!$Z$1,FALSE))</f>
        <v/>
      </c>
      <c r="BF54" s="549" t="str">
        <f t="shared" si="22"/>
        <v/>
      </c>
      <c r="BG54" s="549" t="str">
        <f t="shared" si="23"/>
        <v/>
      </c>
      <c r="BH54" s="551"/>
      <c r="BI54" s="551"/>
      <c r="BJ54" s="551"/>
      <c r="BK54" s="551"/>
      <c r="BL54" s="551"/>
      <c r="BM54" s="552" t="str">
        <f>IF(BO54="","",'#minDung'!N168)</f>
        <v/>
      </c>
      <c r="BN54" s="552" t="str">
        <f>IF(BO54="","",VLOOKUP(BO54,'#minDung'!$O$126:$Q$195,'#minDung'!$P$124,FALSE))</f>
        <v/>
      </c>
      <c r="BO54" s="55" t="str">
        <f>'#minDung'!K168</f>
        <v/>
      </c>
      <c r="BP54" s="610" t="str">
        <f>IF(BO54="","",VLOOKUP(BO54,Tab_min[[Mineraldünger]:[Kalkwirkung je 100 kg Dünger]],'#min'!$F$1,FALSE))</f>
        <v/>
      </c>
      <c r="BQ54" s="55" t="str">
        <f>IF(BO54="","",VLOOKUP(BO54,Tab_min[[Mineraldünger]:[Kalkwirkung je 100 kg Dünger]],'#min'!$G$1,FALSE))</f>
        <v/>
      </c>
      <c r="BR54" s="551" t="str">
        <f>IF(BO54="","",VLOOKUP(BO54,Tab_min[[Mineraldünger]:[Kalkwirkung je 100 kg Dünger]],'#min'!$H$1,FALSE))</f>
        <v/>
      </c>
      <c r="BS54" s="551" t="str">
        <f>IF(BO54="","",VLOOKUP(BO54,Tab_min[[Mineraldünger]:[Kalkwirkung je 100 kg Dünger]],'#min'!$J$1,FALSE))</f>
        <v/>
      </c>
      <c r="BT54" s="547" t="str">
        <f t="shared" si="24"/>
        <v/>
      </c>
      <c r="BU54" s="547" t="str">
        <f t="shared" si="25"/>
        <v/>
      </c>
      <c r="BV54" s="239" t="str">
        <f t="shared" si="26"/>
        <v/>
      </c>
      <c r="BW54" s="54" t="str">
        <f t="shared" si="27"/>
        <v/>
      </c>
      <c r="BX54" s="54" t="str">
        <f t="shared" si="28"/>
        <v/>
      </c>
      <c r="BY54" s="54" t="str">
        <f t="shared" si="29"/>
        <v/>
      </c>
      <c r="BZ54" s="54" t="str">
        <f t="shared" si="30"/>
        <v/>
      </c>
      <c r="CA54" s="54" t="str">
        <f t="shared" si="31"/>
        <v/>
      </c>
      <c r="CB54" s="54" t="str">
        <f t="shared" si="32"/>
        <v/>
      </c>
      <c r="CC54" s="54" t="str">
        <f t="shared" si="33"/>
        <v/>
      </c>
      <c r="CD54" s="54" t="str">
        <f t="shared" si="34"/>
        <v/>
      </c>
      <c r="CE54" s="54" t="str">
        <f t="shared" si="35"/>
        <v/>
      </c>
      <c r="CF54" s="46"/>
      <c r="CI54" s="592" t="str">
        <f>IF(CJ54=0,"",'#BerechnungDBE'!I171)</f>
        <v/>
      </c>
      <c r="CJ54" s="816">
        <f>_xlfn.AGGREGATE(14,4,'#BerechnungDBE'!$J$129:$J$494,'#BerechnungDBE'!I171)</f>
        <v>0</v>
      </c>
      <c r="CK54" s="1666" t="str">
        <f>IF(CJ54=0,"",VLOOKUP(CJ54,'#BerechnungDBE'!$J$129:$K$494,2,FALSE))</f>
        <v/>
      </c>
      <c r="CL54" s="1666"/>
    </row>
    <row r="55" spans="20:90" ht="15" customHeight="1" x14ac:dyDescent="0.2">
      <c r="T55" s="46"/>
      <c r="U55" s="46"/>
      <c r="V55" s="46"/>
      <c r="W55" s="547" t="str">
        <f>IF(Y55="","",'#orgDung'!AE178)</f>
        <v/>
      </c>
      <c r="X55" s="552" t="str">
        <f>IF(Y55="","",VLOOKUP(Y55,'#orgDung'!$AF$135:$AG$187,'#orgDung'!$AG$133,FALSE))</f>
        <v/>
      </c>
      <c r="Y55" s="55" t="str">
        <f>'#orgDung'!AB178</f>
        <v/>
      </c>
      <c r="Z55" s="549" t="str">
        <f>IF(Y55="","",VLOOKUP(Y55,Tab_org21[[Dünger]:[anrechenbarer N bei DBE Grünland]],'#org22'!$L$1,FALSE))</f>
        <v/>
      </c>
      <c r="AA55" s="610" t="str">
        <f>IF(Y55="","",VLOOKUP(Y55,Tab_org21[[Dünger]:[anrechenbarer N bei DBE Grünland]],'#org22'!$D$1,FALSE))</f>
        <v/>
      </c>
      <c r="AB55" s="549" t="str">
        <f>IF(Y55="","",VLOOKUP(Y55,Tab_org21[[Dünger]:[anrechenbarer N bei DBE Grünland]],'#org22'!$P$1,FALSE))</f>
        <v/>
      </c>
      <c r="AC55" s="549" t="str">
        <f>IF(Y55="","",VLOOKUP(Y55,Tab_org21[[Dünger]:[anrechenbarer N bei DBE Grünland]],'#org22'!$Q$1,FALSE))</f>
        <v/>
      </c>
      <c r="AD55" s="547" t="str">
        <f>IF(Y55="","",VLOOKUP(Y55,Tab_org21[[Dünger]:[anrechenbarer N bei DBE Grünland]],'#org22'!$W$1,FALSE))</f>
        <v/>
      </c>
      <c r="AE55" s="549" t="str">
        <f>IF(Y55="","",VLOOKUP(Y55,Tab_org21[[Dünger]:[anrechenbarer N bei DBE Grünland]],'#org22'!$R$1,FALSE))</f>
        <v/>
      </c>
      <c r="AF55" s="547" t="str">
        <f>IF(Y55="","",VLOOKUP(Y55,Tab_org21[[Dünger]:[anrechenbarer N bei DBE Grünland]],'#org22'!$X$1,FALSE))</f>
        <v/>
      </c>
      <c r="AG55" s="547" t="str">
        <f t="shared" si="2"/>
        <v/>
      </c>
      <c r="AH55" s="547" t="str">
        <f t="shared" si="3"/>
        <v/>
      </c>
      <c r="AI55" s="549" t="str">
        <f t="shared" si="36"/>
        <v/>
      </c>
      <c r="AJ55" s="549" t="str">
        <f t="shared" si="4"/>
        <v/>
      </c>
      <c r="AK55" s="549" t="str">
        <f t="shared" si="5"/>
        <v/>
      </c>
      <c r="AL55" s="549" t="str">
        <f t="shared" si="6"/>
        <v/>
      </c>
      <c r="AM55" s="549" t="str">
        <f t="shared" si="7"/>
        <v/>
      </c>
      <c r="AN55" s="549" t="str">
        <f t="shared" si="8"/>
        <v/>
      </c>
      <c r="AO55" s="549" t="str">
        <f t="shared" si="9"/>
        <v/>
      </c>
      <c r="AP55" s="549" t="str">
        <f t="shared" si="10"/>
        <v/>
      </c>
      <c r="AQ55" s="549" t="str">
        <f t="shared" si="11"/>
        <v/>
      </c>
      <c r="AR55" s="549" t="str">
        <f t="shared" si="12"/>
        <v/>
      </c>
      <c r="AS55" s="549" t="str">
        <f t="shared" si="13"/>
        <v/>
      </c>
      <c r="AT55" s="549" t="str">
        <f t="shared" si="14"/>
        <v/>
      </c>
      <c r="AU55" s="549" t="str">
        <f t="shared" si="15"/>
        <v/>
      </c>
      <c r="AV55" s="549" t="str">
        <f t="shared" si="16"/>
        <v/>
      </c>
      <c r="AW55" s="551"/>
      <c r="AX55" s="549" t="str">
        <f t="shared" si="17"/>
        <v/>
      </c>
      <c r="AY55" s="549" t="str">
        <f>IF(Y55="","",VLOOKUP(Y55,'#orgDung'!$AF$135:$AH$187,'#orgDung'!$AH$133,FALSE))</f>
        <v/>
      </c>
      <c r="AZ55" s="549" t="str">
        <f t="shared" si="18"/>
        <v/>
      </c>
      <c r="BA55" s="549" t="str">
        <f t="shared" si="19"/>
        <v/>
      </c>
      <c r="BB55" s="549" t="str">
        <f>IF(Y55="","",VLOOKUP(Y55,Tab_org21[[Dünger]:[anrechenbarer N bei DBE Grünland]],'#org22'!$H$1,FALSE))</f>
        <v/>
      </c>
      <c r="BC55" s="549" t="str">
        <f t="shared" si="20"/>
        <v/>
      </c>
      <c r="BD55" s="549" t="str">
        <f t="shared" si="21"/>
        <v/>
      </c>
      <c r="BE55" s="549" t="str">
        <f>IF(Y55="","",VLOOKUP(Y55,Tab_org21[[Dünger]:[anrechenbarer N bei DBE Grünland]],'#org22'!$Z$1,FALSE))</f>
        <v/>
      </c>
      <c r="BF55" s="549" t="str">
        <f t="shared" si="22"/>
        <v/>
      </c>
      <c r="BG55" s="549" t="str">
        <f t="shared" si="23"/>
        <v/>
      </c>
      <c r="BH55" s="551"/>
      <c r="BI55" s="551"/>
      <c r="BJ55" s="551"/>
      <c r="BK55" s="551"/>
      <c r="BL55" s="551"/>
      <c r="BM55" s="552" t="str">
        <f>IF(BO55="","",'#minDung'!N169)</f>
        <v/>
      </c>
      <c r="BN55" s="552" t="str">
        <f>IF(BO55="","",VLOOKUP(BO55,'#minDung'!$O$126:$Q$195,'#minDung'!$P$124,FALSE))</f>
        <v/>
      </c>
      <c r="BO55" s="55" t="str">
        <f>'#minDung'!K169</f>
        <v/>
      </c>
      <c r="BP55" s="610" t="str">
        <f>IF(BO55="","",VLOOKUP(BO55,Tab_min[[Mineraldünger]:[Kalkwirkung je 100 kg Dünger]],'#min'!$F$1,FALSE))</f>
        <v/>
      </c>
      <c r="BQ55" s="55" t="str">
        <f>IF(BO55="","",VLOOKUP(BO55,Tab_min[[Mineraldünger]:[Kalkwirkung je 100 kg Dünger]],'#min'!$G$1,FALSE))</f>
        <v/>
      </c>
      <c r="BR55" s="551" t="str">
        <f>IF(BO55="","",VLOOKUP(BO55,Tab_min[[Mineraldünger]:[Kalkwirkung je 100 kg Dünger]],'#min'!$H$1,FALSE))</f>
        <v/>
      </c>
      <c r="BS55" s="551" t="str">
        <f>IF(BO55="","",VLOOKUP(BO55,Tab_min[[Mineraldünger]:[Kalkwirkung je 100 kg Dünger]],'#min'!$J$1,FALSE))</f>
        <v/>
      </c>
      <c r="BT55" s="547" t="str">
        <f t="shared" si="24"/>
        <v/>
      </c>
      <c r="BU55" s="547" t="str">
        <f t="shared" si="25"/>
        <v/>
      </c>
      <c r="BV55" s="239" t="str">
        <f t="shared" si="26"/>
        <v/>
      </c>
      <c r="BW55" s="54" t="str">
        <f t="shared" si="27"/>
        <v/>
      </c>
      <c r="BX55" s="54" t="str">
        <f t="shared" si="28"/>
        <v/>
      </c>
      <c r="BY55" s="54" t="str">
        <f t="shared" si="29"/>
        <v/>
      </c>
      <c r="BZ55" s="54" t="str">
        <f t="shared" si="30"/>
        <v/>
      </c>
      <c r="CA55" s="54" t="str">
        <f t="shared" si="31"/>
        <v/>
      </c>
      <c r="CB55" s="54" t="str">
        <f t="shared" si="32"/>
        <v/>
      </c>
      <c r="CC55" s="54" t="str">
        <f t="shared" si="33"/>
        <v/>
      </c>
      <c r="CD55" s="54" t="str">
        <f t="shared" si="34"/>
        <v/>
      </c>
      <c r="CE55" s="54" t="str">
        <f t="shared" si="35"/>
        <v/>
      </c>
      <c r="CF55" s="46"/>
      <c r="CI55" s="592" t="str">
        <f>IF(CJ55=0,"",'#BerechnungDBE'!I172)</f>
        <v/>
      </c>
      <c r="CJ55" s="816">
        <f>_xlfn.AGGREGATE(14,4,'#BerechnungDBE'!$J$129:$J$494,'#BerechnungDBE'!I172)</f>
        <v>0</v>
      </c>
      <c r="CK55" s="1666" t="str">
        <f>IF(CJ55=0,"",VLOOKUP(CJ55,'#BerechnungDBE'!$J$129:$K$494,2,FALSE))</f>
        <v/>
      </c>
      <c r="CL55" s="1666"/>
    </row>
    <row r="56" spans="20:90" ht="15" customHeight="1" x14ac:dyDescent="0.2">
      <c r="T56" s="46"/>
      <c r="U56" s="46"/>
      <c r="V56" s="46"/>
      <c r="W56" s="547" t="str">
        <f>IF(Y56="","",'#orgDung'!AE179)</f>
        <v/>
      </c>
      <c r="X56" s="552" t="str">
        <f>IF(Y56="","",VLOOKUP(Y56,'#orgDung'!$AF$135:$AG$187,'#orgDung'!$AG$133,FALSE))</f>
        <v/>
      </c>
      <c r="Y56" s="55" t="str">
        <f>'#orgDung'!AB179</f>
        <v/>
      </c>
      <c r="Z56" s="549" t="str">
        <f>IF(Y56="","",VLOOKUP(Y56,Tab_org21[[Dünger]:[anrechenbarer N bei DBE Grünland]],'#org22'!$L$1,FALSE))</f>
        <v/>
      </c>
      <c r="AA56" s="610" t="str">
        <f>IF(Y56="","",VLOOKUP(Y56,Tab_org21[[Dünger]:[anrechenbarer N bei DBE Grünland]],'#org22'!$D$1,FALSE))</f>
        <v/>
      </c>
      <c r="AB56" s="549" t="str">
        <f>IF(Y56="","",VLOOKUP(Y56,Tab_org21[[Dünger]:[anrechenbarer N bei DBE Grünland]],'#org22'!$P$1,FALSE))</f>
        <v/>
      </c>
      <c r="AC56" s="549" t="str">
        <f>IF(Y56="","",VLOOKUP(Y56,Tab_org21[[Dünger]:[anrechenbarer N bei DBE Grünland]],'#org22'!$Q$1,FALSE))</f>
        <v/>
      </c>
      <c r="AD56" s="547" t="str">
        <f>IF(Y56="","",VLOOKUP(Y56,Tab_org21[[Dünger]:[anrechenbarer N bei DBE Grünland]],'#org22'!$W$1,FALSE))</f>
        <v/>
      </c>
      <c r="AE56" s="549" t="str">
        <f>IF(Y56="","",VLOOKUP(Y56,Tab_org21[[Dünger]:[anrechenbarer N bei DBE Grünland]],'#org22'!$R$1,FALSE))</f>
        <v/>
      </c>
      <c r="AF56" s="547" t="str">
        <f>IF(Y56="","",VLOOKUP(Y56,Tab_org21[[Dünger]:[anrechenbarer N bei DBE Grünland]],'#org22'!$X$1,FALSE))</f>
        <v/>
      </c>
      <c r="AG56" s="547" t="str">
        <f t="shared" si="2"/>
        <v/>
      </c>
      <c r="AH56" s="547" t="str">
        <f t="shared" si="3"/>
        <v/>
      </c>
      <c r="AI56" s="549" t="str">
        <f t="shared" si="36"/>
        <v/>
      </c>
      <c r="AJ56" s="549" t="str">
        <f t="shared" si="4"/>
        <v/>
      </c>
      <c r="AK56" s="549" t="str">
        <f t="shared" si="5"/>
        <v/>
      </c>
      <c r="AL56" s="549" t="str">
        <f t="shared" si="6"/>
        <v/>
      </c>
      <c r="AM56" s="549" t="str">
        <f t="shared" si="7"/>
        <v/>
      </c>
      <c r="AN56" s="549" t="str">
        <f t="shared" si="8"/>
        <v/>
      </c>
      <c r="AO56" s="549" t="str">
        <f t="shared" si="9"/>
        <v/>
      </c>
      <c r="AP56" s="549" t="str">
        <f t="shared" si="10"/>
        <v/>
      </c>
      <c r="AQ56" s="549" t="str">
        <f t="shared" si="11"/>
        <v/>
      </c>
      <c r="AR56" s="549" t="str">
        <f t="shared" si="12"/>
        <v/>
      </c>
      <c r="AS56" s="549" t="str">
        <f t="shared" si="13"/>
        <v/>
      </c>
      <c r="AT56" s="549" t="str">
        <f t="shared" si="14"/>
        <v/>
      </c>
      <c r="AU56" s="549" t="str">
        <f t="shared" si="15"/>
        <v/>
      </c>
      <c r="AV56" s="549" t="str">
        <f t="shared" si="16"/>
        <v/>
      </c>
      <c r="AW56" s="551"/>
      <c r="AX56" s="549" t="str">
        <f t="shared" si="17"/>
        <v/>
      </c>
      <c r="AY56" s="549" t="str">
        <f>IF(Y56="","",VLOOKUP(Y56,'#orgDung'!$AF$135:$AH$187,'#orgDung'!$AH$133,FALSE))</f>
        <v/>
      </c>
      <c r="AZ56" s="549" t="str">
        <f t="shared" si="18"/>
        <v/>
      </c>
      <c r="BA56" s="549" t="str">
        <f t="shared" si="19"/>
        <v/>
      </c>
      <c r="BB56" s="549" t="str">
        <f>IF(Y56="","",VLOOKUP(Y56,Tab_org21[[Dünger]:[anrechenbarer N bei DBE Grünland]],'#org22'!$H$1,FALSE))</f>
        <v/>
      </c>
      <c r="BC56" s="549" t="str">
        <f t="shared" si="20"/>
        <v/>
      </c>
      <c r="BD56" s="549" t="str">
        <f t="shared" si="21"/>
        <v/>
      </c>
      <c r="BE56" s="549" t="str">
        <f>IF(Y56="","",VLOOKUP(Y56,Tab_org21[[Dünger]:[anrechenbarer N bei DBE Grünland]],'#org22'!$Z$1,FALSE))</f>
        <v/>
      </c>
      <c r="BF56" s="549" t="str">
        <f t="shared" si="22"/>
        <v/>
      </c>
      <c r="BG56" s="549" t="str">
        <f t="shared" si="23"/>
        <v/>
      </c>
      <c r="BH56" s="551"/>
      <c r="BI56" s="551"/>
      <c r="BJ56" s="551"/>
      <c r="BK56" s="551"/>
      <c r="BL56" s="551"/>
      <c r="BM56" s="552" t="str">
        <f>IF(BO56="","",'#minDung'!N170)</f>
        <v/>
      </c>
      <c r="BN56" s="552" t="str">
        <f>IF(BO56="","",VLOOKUP(BO56,'#minDung'!$O$126:$Q$195,'#minDung'!$P$124,FALSE))</f>
        <v/>
      </c>
      <c r="BO56" s="55" t="str">
        <f>'#minDung'!K170</f>
        <v/>
      </c>
      <c r="BP56" s="610" t="str">
        <f>IF(BO56="","",VLOOKUP(BO56,Tab_min[[Mineraldünger]:[Kalkwirkung je 100 kg Dünger]],'#min'!$F$1,FALSE))</f>
        <v/>
      </c>
      <c r="BQ56" s="55" t="str">
        <f>IF(BO56="","",VLOOKUP(BO56,Tab_min[[Mineraldünger]:[Kalkwirkung je 100 kg Dünger]],'#min'!$G$1,FALSE))</f>
        <v/>
      </c>
      <c r="BR56" s="551" t="str">
        <f>IF(BO56="","",VLOOKUP(BO56,Tab_min[[Mineraldünger]:[Kalkwirkung je 100 kg Dünger]],'#min'!$H$1,FALSE))</f>
        <v/>
      </c>
      <c r="BS56" s="551" t="str">
        <f>IF(BO56="","",VLOOKUP(BO56,Tab_min[[Mineraldünger]:[Kalkwirkung je 100 kg Dünger]],'#min'!$J$1,FALSE))</f>
        <v/>
      </c>
      <c r="BT56" s="547" t="str">
        <f t="shared" si="24"/>
        <v/>
      </c>
      <c r="BU56" s="547" t="str">
        <f t="shared" si="25"/>
        <v/>
      </c>
      <c r="BV56" s="239" t="str">
        <f t="shared" si="26"/>
        <v/>
      </c>
      <c r="BW56" s="54" t="str">
        <f t="shared" si="27"/>
        <v/>
      </c>
      <c r="BX56" s="54" t="str">
        <f t="shared" si="28"/>
        <v/>
      </c>
      <c r="BY56" s="54" t="str">
        <f t="shared" si="29"/>
        <v/>
      </c>
      <c r="BZ56" s="54" t="str">
        <f t="shared" si="30"/>
        <v/>
      </c>
      <c r="CA56" s="54" t="str">
        <f t="shared" si="31"/>
        <v/>
      </c>
      <c r="CB56" s="54" t="str">
        <f t="shared" si="32"/>
        <v/>
      </c>
      <c r="CC56" s="54" t="str">
        <f t="shared" si="33"/>
        <v/>
      </c>
      <c r="CD56" s="54" t="str">
        <f t="shared" si="34"/>
        <v/>
      </c>
      <c r="CE56" s="54" t="str">
        <f t="shared" si="35"/>
        <v/>
      </c>
      <c r="CF56" s="46"/>
      <c r="CI56" s="592" t="str">
        <f>IF(CJ56=0,"",'#BerechnungDBE'!I173)</f>
        <v/>
      </c>
      <c r="CJ56" s="816">
        <f>_xlfn.AGGREGATE(14,4,'#BerechnungDBE'!$J$129:$J$494,'#BerechnungDBE'!I173)</f>
        <v>0</v>
      </c>
      <c r="CK56" s="1666" t="str">
        <f>IF(CJ56=0,"",VLOOKUP(CJ56,'#BerechnungDBE'!$J$129:$K$494,2,FALSE))</f>
        <v/>
      </c>
      <c r="CL56" s="1666"/>
    </row>
    <row r="57" spans="20:90" ht="15" customHeight="1" x14ac:dyDescent="0.2">
      <c r="T57" s="46"/>
      <c r="U57" s="46"/>
      <c r="V57" s="46"/>
      <c r="W57" s="547" t="str">
        <f>IF(Y57="","",'#orgDung'!AE180)</f>
        <v/>
      </c>
      <c r="X57" s="552" t="str">
        <f>IF(Y57="","",VLOOKUP(Y57,'#orgDung'!$AF$135:$AG$187,'#orgDung'!$AG$133,FALSE))</f>
        <v/>
      </c>
      <c r="Y57" s="55" t="str">
        <f>'#orgDung'!AB180</f>
        <v/>
      </c>
      <c r="Z57" s="549" t="str">
        <f>IF(Y57="","",VLOOKUP(Y57,Tab_org21[[Dünger]:[anrechenbarer N bei DBE Grünland]],'#org22'!$L$1,FALSE))</f>
        <v/>
      </c>
      <c r="AA57" s="610" t="str">
        <f>IF(Y57="","",VLOOKUP(Y57,Tab_org21[[Dünger]:[anrechenbarer N bei DBE Grünland]],'#org22'!$D$1,FALSE))</f>
        <v/>
      </c>
      <c r="AB57" s="549" t="str">
        <f>IF(Y57="","",VLOOKUP(Y57,Tab_org21[[Dünger]:[anrechenbarer N bei DBE Grünland]],'#org22'!$P$1,FALSE))</f>
        <v/>
      </c>
      <c r="AC57" s="549" t="str">
        <f>IF(Y57="","",VLOOKUP(Y57,Tab_org21[[Dünger]:[anrechenbarer N bei DBE Grünland]],'#org22'!$Q$1,FALSE))</f>
        <v/>
      </c>
      <c r="AD57" s="547" t="str">
        <f>IF(Y57="","",VLOOKUP(Y57,Tab_org21[[Dünger]:[anrechenbarer N bei DBE Grünland]],'#org22'!$W$1,FALSE))</f>
        <v/>
      </c>
      <c r="AE57" s="549" t="str">
        <f>IF(Y57="","",VLOOKUP(Y57,Tab_org21[[Dünger]:[anrechenbarer N bei DBE Grünland]],'#org22'!$R$1,FALSE))</f>
        <v/>
      </c>
      <c r="AF57" s="547" t="str">
        <f>IF(Y57="","",VLOOKUP(Y57,Tab_org21[[Dünger]:[anrechenbarer N bei DBE Grünland]],'#org22'!$X$1,FALSE))</f>
        <v/>
      </c>
      <c r="AG57" s="547" t="str">
        <f t="shared" si="2"/>
        <v/>
      </c>
      <c r="AH57" s="547" t="str">
        <f t="shared" si="3"/>
        <v/>
      </c>
      <c r="AI57" s="549" t="str">
        <f t="shared" si="36"/>
        <v/>
      </c>
      <c r="AJ57" s="549" t="str">
        <f t="shared" si="4"/>
        <v/>
      </c>
      <c r="AK57" s="549" t="str">
        <f t="shared" si="5"/>
        <v/>
      </c>
      <c r="AL57" s="549" t="str">
        <f t="shared" si="6"/>
        <v/>
      </c>
      <c r="AM57" s="549" t="str">
        <f t="shared" si="7"/>
        <v/>
      </c>
      <c r="AN57" s="549" t="str">
        <f t="shared" si="8"/>
        <v/>
      </c>
      <c r="AO57" s="549" t="str">
        <f t="shared" si="9"/>
        <v/>
      </c>
      <c r="AP57" s="549" t="str">
        <f t="shared" si="10"/>
        <v/>
      </c>
      <c r="AQ57" s="549" t="str">
        <f t="shared" si="11"/>
        <v/>
      </c>
      <c r="AR57" s="549" t="str">
        <f t="shared" si="12"/>
        <v/>
      </c>
      <c r="AS57" s="549" t="str">
        <f t="shared" si="13"/>
        <v/>
      </c>
      <c r="AT57" s="549" t="str">
        <f t="shared" si="14"/>
        <v/>
      </c>
      <c r="AU57" s="549" t="str">
        <f t="shared" si="15"/>
        <v/>
      </c>
      <c r="AV57" s="549" t="str">
        <f t="shared" si="16"/>
        <v/>
      </c>
      <c r="AW57" s="551"/>
      <c r="AX57" s="549" t="str">
        <f t="shared" si="17"/>
        <v/>
      </c>
      <c r="AY57" s="549" t="str">
        <f>IF(Y57="","",VLOOKUP(Y57,'#orgDung'!$AF$135:$AH$187,'#orgDung'!$AH$133,FALSE))</f>
        <v/>
      </c>
      <c r="AZ57" s="549" t="str">
        <f t="shared" si="18"/>
        <v/>
      </c>
      <c r="BA57" s="549" t="str">
        <f t="shared" si="19"/>
        <v/>
      </c>
      <c r="BB57" s="549" t="str">
        <f>IF(Y57="","",VLOOKUP(Y57,Tab_org21[[Dünger]:[anrechenbarer N bei DBE Grünland]],'#org22'!$H$1,FALSE))</f>
        <v/>
      </c>
      <c r="BC57" s="549" t="str">
        <f t="shared" si="20"/>
        <v/>
      </c>
      <c r="BD57" s="549" t="str">
        <f t="shared" si="21"/>
        <v/>
      </c>
      <c r="BE57" s="549" t="str">
        <f>IF(Y57="","",VLOOKUP(Y57,Tab_org21[[Dünger]:[anrechenbarer N bei DBE Grünland]],'#org22'!$Z$1,FALSE))</f>
        <v/>
      </c>
      <c r="BF57" s="549" t="str">
        <f t="shared" si="22"/>
        <v/>
      </c>
      <c r="BG57" s="549" t="str">
        <f t="shared" si="23"/>
        <v/>
      </c>
      <c r="BH57" s="551"/>
      <c r="BI57" s="551"/>
      <c r="BJ57" s="551"/>
      <c r="BK57" s="551"/>
      <c r="BL57" s="551"/>
      <c r="BM57" s="552" t="str">
        <f>IF(BO57="","",'#minDung'!N171)</f>
        <v/>
      </c>
      <c r="BN57" s="552" t="str">
        <f>IF(BO57="","",VLOOKUP(BO57,'#minDung'!$O$126:$Q$195,'#minDung'!$P$124,FALSE))</f>
        <v/>
      </c>
      <c r="BO57" s="55" t="str">
        <f>'#minDung'!K171</f>
        <v/>
      </c>
      <c r="BP57" s="610" t="str">
        <f>IF(BO57="","",VLOOKUP(BO57,Tab_min[[Mineraldünger]:[Kalkwirkung je 100 kg Dünger]],'#min'!$F$1,FALSE))</f>
        <v/>
      </c>
      <c r="BQ57" s="55" t="str">
        <f>IF(BO57="","",VLOOKUP(BO57,Tab_min[[Mineraldünger]:[Kalkwirkung je 100 kg Dünger]],'#min'!$G$1,FALSE))</f>
        <v/>
      </c>
      <c r="BR57" s="551" t="str">
        <f>IF(BO57="","",VLOOKUP(BO57,Tab_min[[Mineraldünger]:[Kalkwirkung je 100 kg Dünger]],'#min'!$H$1,FALSE))</f>
        <v/>
      </c>
      <c r="BS57" s="551" t="str">
        <f>IF(BO57="","",VLOOKUP(BO57,Tab_min[[Mineraldünger]:[Kalkwirkung je 100 kg Dünger]],'#min'!$J$1,FALSE))</f>
        <v/>
      </c>
      <c r="BT57" s="547" t="str">
        <f t="shared" si="24"/>
        <v/>
      </c>
      <c r="BU57" s="547" t="str">
        <f t="shared" si="25"/>
        <v/>
      </c>
      <c r="BV57" s="239" t="str">
        <f t="shared" si="26"/>
        <v/>
      </c>
      <c r="BW57" s="54" t="str">
        <f t="shared" si="27"/>
        <v/>
      </c>
      <c r="BX57" s="54" t="str">
        <f t="shared" si="28"/>
        <v/>
      </c>
      <c r="BY57" s="54" t="str">
        <f t="shared" si="29"/>
        <v/>
      </c>
      <c r="BZ57" s="54" t="str">
        <f t="shared" si="30"/>
        <v/>
      </c>
      <c r="CA57" s="54" t="str">
        <f t="shared" si="31"/>
        <v/>
      </c>
      <c r="CB57" s="54" t="str">
        <f t="shared" si="32"/>
        <v/>
      </c>
      <c r="CC57" s="54" t="str">
        <f t="shared" si="33"/>
        <v/>
      </c>
      <c r="CD57" s="54" t="str">
        <f t="shared" si="34"/>
        <v/>
      </c>
      <c r="CE57" s="54" t="str">
        <f t="shared" si="35"/>
        <v/>
      </c>
      <c r="CF57" s="46"/>
      <c r="CI57" s="592" t="str">
        <f>IF(CJ57=0,"",'#BerechnungDBE'!I174)</f>
        <v/>
      </c>
      <c r="CJ57" s="816">
        <f>_xlfn.AGGREGATE(14,4,'#BerechnungDBE'!$J$129:$J$494,'#BerechnungDBE'!I174)</f>
        <v>0</v>
      </c>
      <c r="CK57" s="1666" t="str">
        <f>IF(CJ57=0,"",VLOOKUP(CJ57,'#BerechnungDBE'!$J$129:$K$494,2,FALSE))</f>
        <v/>
      </c>
      <c r="CL57" s="1666"/>
    </row>
    <row r="58" spans="20:90" ht="15" customHeight="1" x14ac:dyDescent="0.2">
      <c r="T58" s="46"/>
      <c r="U58" s="46"/>
      <c r="V58" s="46"/>
      <c r="W58" s="547" t="str">
        <f>IF(Y58="","",'#orgDung'!AE181)</f>
        <v/>
      </c>
      <c r="X58" s="552" t="str">
        <f>IF(Y58="","",VLOOKUP(Y58,'#orgDung'!$AF$135:$AG$187,'#orgDung'!$AG$133,FALSE))</f>
        <v/>
      </c>
      <c r="Y58" s="55" t="str">
        <f>'#orgDung'!AB181</f>
        <v/>
      </c>
      <c r="Z58" s="549" t="str">
        <f>IF(Y58="","",VLOOKUP(Y58,Tab_org21[[Dünger]:[anrechenbarer N bei DBE Grünland]],'#org22'!$L$1,FALSE))</f>
        <v/>
      </c>
      <c r="AA58" s="610" t="str">
        <f>IF(Y58="","",VLOOKUP(Y58,Tab_org21[[Dünger]:[anrechenbarer N bei DBE Grünland]],'#org22'!$D$1,FALSE))</f>
        <v/>
      </c>
      <c r="AB58" s="549" t="str">
        <f>IF(Y58="","",VLOOKUP(Y58,Tab_org21[[Dünger]:[anrechenbarer N bei DBE Grünland]],'#org22'!$P$1,FALSE))</f>
        <v/>
      </c>
      <c r="AC58" s="549" t="str">
        <f>IF(Y58="","",VLOOKUP(Y58,Tab_org21[[Dünger]:[anrechenbarer N bei DBE Grünland]],'#org22'!$Q$1,FALSE))</f>
        <v/>
      </c>
      <c r="AD58" s="547" t="str">
        <f>IF(Y58="","",VLOOKUP(Y58,Tab_org21[[Dünger]:[anrechenbarer N bei DBE Grünland]],'#org22'!$W$1,FALSE))</f>
        <v/>
      </c>
      <c r="AE58" s="549" t="str">
        <f>IF(Y58="","",VLOOKUP(Y58,Tab_org21[[Dünger]:[anrechenbarer N bei DBE Grünland]],'#org22'!$R$1,FALSE))</f>
        <v/>
      </c>
      <c r="AF58" s="547" t="str">
        <f>IF(Y58="","",VLOOKUP(Y58,Tab_org21[[Dünger]:[anrechenbarer N bei DBE Grünland]],'#org22'!$X$1,FALSE))</f>
        <v/>
      </c>
      <c r="AG58" s="547" t="str">
        <f t="shared" si="2"/>
        <v/>
      </c>
      <c r="AH58" s="547" t="str">
        <f t="shared" si="3"/>
        <v/>
      </c>
      <c r="AI58" s="549" t="str">
        <f t="shared" si="36"/>
        <v/>
      </c>
      <c r="AJ58" s="549" t="str">
        <f t="shared" si="4"/>
        <v/>
      </c>
      <c r="AK58" s="549" t="str">
        <f t="shared" si="5"/>
        <v/>
      </c>
      <c r="AL58" s="549" t="str">
        <f t="shared" si="6"/>
        <v/>
      </c>
      <c r="AM58" s="549" t="str">
        <f t="shared" si="7"/>
        <v/>
      </c>
      <c r="AN58" s="549" t="str">
        <f t="shared" si="8"/>
        <v/>
      </c>
      <c r="AO58" s="549" t="str">
        <f t="shared" si="9"/>
        <v/>
      </c>
      <c r="AP58" s="549" t="str">
        <f t="shared" si="10"/>
        <v/>
      </c>
      <c r="AQ58" s="549" t="str">
        <f t="shared" si="11"/>
        <v/>
      </c>
      <c r="AR58" s="549" t="str">
        <f t="shared" si="12"/>
        <v/>
      </c>
      <c r="AS58" s="549" t="str">
        <f t="shared" si="13"/>
        <v/>
      </c>
      <c r="AT58" s="549" t="str">
        <f t="shared" si="14"/>
        <v/>
      </c>
      <c r="AU58" s="549" t="str">
        <f t="shared" si="15"/>
        <v/>
      </c>
      <c r="AV58" s="549" t="str">
        <f t="shared" si="16"/>
        <v/>
      </c>
      <c r="AW58" s="551"/>
      <c r="AX58" s="549" t="str">
        <f t="shared" si="17"/>
        <v/>
      </c>
      <c r="AY58" s="549" t="str">
        <f>IF(Y58="","",VLOOKUP(Y58,'#orgDung'!$AF$135:$AH$187,'#orgDung'!$AH$133,FALSE))</f>
        <v/>
      </c>
      <c r="AZ58" s="549" t="str">
        <f t="shared" ref="AZ58:AZ63" si="37">IF(AY58="","",AY58*AB58)</f>
        <v/>
      </c>
      <c r="BA58" s="549" t="str">
        <f t="shared" si="19"/>
        <v/>
      </c>
      <c r="BB58" s="549" t="str">
        <f>IF(Y58="","",VLOOKUP(Y58,Tab_org21[[Dünger]:[anrechenbarer N bei DBE Grünland]],'#org22'!$H$1,FALSE))</f>
        <v/>
      </c>
      <c r="BC58" s="549" t="str">
        <f t="shared" ref="BC58:BC63" si="38">IF(BB58=1,AZ58,"")</f>
        <v/>
      </c>
      <c r="BD58" s="549" t="str">
        <f t="shared" si="21"/>
        <v/>
      </c>
      <c r="BE58" s="549" t="str">
        <f>IF(Y58="","",VLOOKUP(Y58,Tab_org21[[Dünger]:[anrechenbarer N bei DBE Grünland]],'#org22'!$Z$1,FALSE))</f>
        <v/>
      </c>
      <c r="BF58" s="549" t="str">
        <f t="shared" ref="BF58:BF63" si="39">IF(BE58&gt;49,AZ58,"")</f>
        <v/>
      </c>
      <c r="BG58" s="549" t="str">
        <f t="shared" si="23"/>
        <v/>
      </c>
      <c r="BH58" s="551"/>
      <c r="BI58" s="551"/>
      <c r="BJ58" s="551"/>
      <c r="BK58" s="551"/>
      <c r="BL58" s="551"/>
      <c r="BM58" s="552" t="str">
        <f>IF(BO58="","",'#minDung'!N172)</f>
        <v/>
      </c>
      <c r="BN58" s="552" t="str">
        <f>IF(BO58="","",VLOOKUP(BO58,'#minDung'!$O$126:$Q$195,'#minDung'!$P$124,FALSE))</f>
        <v/>
      </c>
      <c r="BO58" s="55" t="str">
        <f>'#minDung'!K172</f>
        <v/>
      </c>
      <c r="BP58" s="610" t="str">
        <f>IF(BO58="","",VLOOKUP(BO58,Tab_min[[Mineraldünger]:[Kalkwirkung je 100 kg Dünger]],'#min'!$F$1,FALSE))</f>
        <v/>
      </c>
      <c r="BQ58" s="55" t="str">
        <f>IF(BO58="","",VLOOKUP(BO58,Tab_min[[Mineraldünger]:[Kalkwirkung je 100 kg Dünger]],'#min'!$G$1,FALSE))</f>
        <v/>
      </c>
      <c r="BR58" s="551" t="str">
        <f>IF(BO58="","",VLOOKUP(BO58,Tab_min[[Mineraldünger]:[Kalkwirkung je 100 kg Dünger]],'#min'!$H$1,FALSE))</f>
        <v/>
      </c>
      <c r="BS58" s="551" t="str">
        <f>IF(BO58="","",VLOOKUP(BO58,Tab_min[[Mineraldünger]:[Kalkwirkung je 100 kg Dünger]],'#min'!$J$1,FALSE))</f>
        <v/>
      </c>
      <c r="BT58" s="547" t="str">
        <f t="shared" si="24"/>
        <v/>
      </c>
      <c r="BU58" s="547" t="str">
        <f t="shared" si="25"/>
        <v/>
      </c>
      <c r="BV58" s="239" t="str">
        <f t="shared" si="26"/>
        <v/>
      </c>
      <c r="BW58" s="54" t="str">
        <f t="shared" si="27"/>
        <v/>
      </c>
      <c r="BX58" s="54" t="str">
        <f t="shared" si="28"/>
        <v/>
      </c>
      <c r="BY58" s="54" t="str">
        <f t="shared" si="29"/>
        <v/>
      </c>
      <c r="BZ58" s="54" t="str">
        <f t="shared" si="30"/>
        <v/>
      </c>
      <c r="CA58" s="54" t="str">
        <f t="shared" si="31"/>
        <v/>
      </c>
      <c r="CB58" s="54" t="str">
        <f t="shared" si="32"/>
        <v/>
      </c>
      <c r="CC58" s="54" t="str">
        <f t="shared" si="33"/>
        <v/>
      </c>
      <c r="CD58" s="54" t="str">
        <f t="shared" si="34"/>
        <v/>
      </c>
      <c r="CE58" s="54" t="str">
        <f t="shared" si="35"/>
        <v/>
      </c>
      <c r="CF58" s="46"/>
      <c r="CI58" s="592" t="str">
        <f>IF(CJ58=0,"",'#BerechnungDBE'!I175)</f>
        <v/>
      </c>
      <c r="CJ58" s="816">
        <f>_xlfn.AGGREGATE(14,4,'#BerechnungDBE'!$J$129:$J$494,'#BerechnungDBE'!I175)</f>
        <v>0</v>
      </c>
      <c r="CK58" s="1666" t="str">
        <f>IF(CJ58=0,"",VLOOKUP(CJ58,'#BerechnungDBE'!$J$129:$K$494,2,FALSE))</f>
        <v/>
      </c>
      <c r="CL58" s="1666"/>
    </row>
    <row r="59" spans="20:90" ht="15" customHeight="1" x14ac:dyDescent="0.2">
      <c r="T59" s="46"/>
      <c r="U59" s="46"/>
      <c r="V59" s="46"/>
      <c r="W59" s="547" t="str">
        <f>IF(Y59="","",'#orgDung'!AE182)</f>
        <v/>
      </c>
      <c r="X59" s="552" t="str">
        <f>IF(Y59="","",VLOOKUP(Y59,'#orgDung'!$AF$135:$AG$187,'#orgDung'!$AG$133,FALSE))</f>
        <v/>
      </c>
      <c r="Y59" s="55" t="str">
        <f>'#orgDung'!AB182</f>
        <v/>
      </c>
      <c r="Z59" s="549" t="str">
        <f>IF(Y59="","",VLOOKUP(Y59,Tab_org21[[Dünger]:[anrechenbarer N bei DBE Grünland]],'#org22'!$L$1,FALSE))</f>
        <v/>
      </c>
      <c r="AA59" s="610" t="str">
        <f>IF(Y59="","",VLOOKUP(Y59,Tab_org21[[Dünger]:[anrechenbarer N bei DBE Grünland]],'#org22'!$D$1,FALSE))</f>
        <v/>
      </c>
      <c r="AB59" s="549" t="str">
        <f>IF(Y59="","",VLOOKUP(Y59,Tab_org21[[Dünger]:[anrechenbarer N bei DBE Grünland]],'#org22'!$P$1,FALSE))</f>
        <v/>
      </c>
      <c r="AC59" s="549" t="str">
        <f>IF(Y59="","",VLOOKUP(Y59,Tab_org21[[Dünger]:[anrechenbarer N bei DBE Grünland]],'#org22'!$Q$1,FALSE))</f>
        <v/>
      </c>
      <c r="AD59" s="547" t="str">
        <f>IF(Y59="","",VLOOKUP(Y59,Tab_org21[[Dünger]:[anrechenbarer N bei DBE Grünland]],'#org22'!$W$1,FALSE))</f>
        <v/>
      </c>
      <c r="AE59" s="549" t="str">
        <f>IF(Y59="","",VLOOKUP(Y59,Tab_org21[[Dünger]:[anrechenbarer N bei DBE Grünland]],'#org22'!$R$1,FALSE))</f>
        <v/>
      </c>
      <c r="AF59" s="547" t="str">
        <f>IF(Y59="","",VLOOKUP(Y59,Tab_org21[[Dünger]:[anrechenbarer N bei DBE Grünland]],'#org22'!$X$1,FALSE))</f>
        <v/>
      </c>
      <c r="AG59" s="547" t="str">
        <f t="shared" si="2"/>
        <v/>
      </c>
      <c r="AH59" s="547" t="str">
        <f t="shared" si="3"/>
        <v/>
      </c>
      <c r="AI59" s="549" t="str">
        <f t="shared" si="36"/>
        <v/>
      </c>
      <c r="AJ59" s="549" t="str">
        <f t="shared" si="4"/>
        <v/>
      </c>
      <c r="AK59" s="549" t="str">
        <f t="shared" si="5"/>
        <v/>
      </c>
      <c r="AL59" s="549" t="str">
        <f t="shared" si="6"/>
        <v/>
      </c>
      <c r="AM59" s="549" t="str">
        <f t="shared" si="7"/>
        <v/>
      </c>
      <c r="AN59" s="549" t="str">
        <f t="shared" si="8"/>
        <v/>
      </c>
      <c r="AO59" s="549" t="str">
        <f t="shared" si="9"/>
        <v/>
      </c>
      <c r="AP59" s="549" t="str">
        <f t="shared" si="10"/>
        <v/>
      </c>
      <c r="AQ59" s="549" t="str">
        <f t="shared" si="11"/>
        <v/>
      </c>
      <c r="AR59" s="549" t="str">
        <f t="shared" si="12"/>
        <v/>
      </c>
      <c r="AS59" s="549" t="str">
        <f t="shared" si="13"/>
        <v/>
      </c>
      <c r="AT59" s="549" t="str">
        <f t="shared" si="14"/>
        <v/>
      </c>
      <c r="AU59" s="549" t="str">
        <f t="shared" si="15"/>
        <v/>
      </c>
      <c r="AV59" s="549" t="str">
        <f t="shared" si="16"/>
        <v/>
      </c>
      <c r="AW59" s="551"/>
      <c r="AX59" s="549" t="str">
        <f t="shared" si="17"/>
        <v/>
      </c>
      <c r="AY59" s="549" t="str">
        <f>IF(Y59="","",VLOOKUP(Y59,'#orgDung'!$AF$135:$AH$187,'#orgDung'!$AH$133,FALSE))</f>
        <v/>
      </c>
      <c r="AZ59" s="549" t="str">
        <f t="shared" si="37"/>
        <v/>
      </c>
      <c r="BA59" s="549" t="str">
        <f t="shared" si="19"/>
        <v/>
      </c>
      <c r="BB59" s="549" t="str">
        <f>IF(Y59="","",VLOOKUP(Y59,Tab_org21[[Dünger]:[anrechenbarer N bei DBE Grünland]],'#org22'!$H$1,FALSE))</f>
        <v/>
      </c>
      <c r="BC59" s="549" t="str">
        <f t="shared" si="38"/>
        <v/>
      </c>
      <c r="BD59" s="549" t="str">
        <f t="shared" si="21"/>
        <v/>
      </c>
      <c r="BE59" s="549" t="str">
        <f>IF(Y59="","",VLOOKUP(Y59,Tab_org21[[Dünger]:[anrechenbarer N bei DBE Grünland]],'#org22'!$Z$1,FALSE))</f>
        <v/>
      </c>
      <c r="BF59" s="549" t="str">
        <f t="shared" si="39"/>
        <v/>
      </c>
      <c r="BG59" s="549" t="str">
        <f t="shared" si="23"/>
        <v/>
      </c>
      <c r="BH59" s="551"/>
      <c r="BI59" s="551"/>
      <c r="BJ59" s="551"/>
      <c r="BK59" s="551"/>
      <c r="BL59" s="551"/>
      <c r="BM59" s="552" t="str">
        <f>IF(BO59="","",'#minDung'!N173)</f>
        <v/>
      </c>
      <c r="BN59" s="552" t="str">
        <f>IF(BO59="","",VLOOKUP(BO59,'#minDung'!$O$126:$Q$195,'#minDung'!$P$124,FALSE))</f>
        <v/>
      </c>
      <c r="BO59" s="55" t="str">
        <f>'#minDung'!K173</f>
        <v/>
      </c>
      <c r="BP59" s="610" t="str">
        <f>IF(BO59="","",VLOOKUP(BO59,Tab_min[[Mineraldünger]:[Kalkwirkung je 100 kg Dünger]],'#min'!$F$1,FALSE))</f>
        <v/>
      </c>
      <c r="BQ59" s="55" t="str">
        <f>IF(BO59="","",VLOOKUP(BO59,Tab_min[[Mineraldünger]:[Kalkwirkung je 100 kg Dünger]],'#min'!$G$1,FALSE))</f>
        <v/>
      </c>
      <c r="BR59" s="551" t="str">
        <f>IF(BO59="","",VLOOKUP(BO59,Tab_min[[Mineraldünger]:[Kalkwirkung je 100 kg Dünger]],'#min'!$H$1,FALSE))</f>
        <v/>
      </c>
      <c r="BS59" s="551" t="str">
        <f>IF(BO59="","",VLOOKUP(BO59,Tab_min[[Mineraldünger]:[Kalkwirkung je 100 kg Dünger]],'#min'!$J$1,FALSE))</f>
        <v/>
      </c>
      <c r="BT59" s="547" t="str">
        <f t="shared" si="24"/>
        <v/>
      </c>
      <c r="BU59" s="547" t="str">
        <f t="shared" si="25"/>
        <v/>
      </c>
      <c r="BV59" s="239" t="str">
        <f t="shared" si="26"/>
        <v/>
      </c>
      <c r="BW59" s="54" t="str">
        <f t="shared" si="27"/>
        <v/>
      </c>
      <c r="BX59" s="54" t="str">
        <f t="shared" si="28"/>
        <v/>
      </c>
      <c r="BY59" s="54" t="str">
        <f t="shared" si="29"/>
        <v/>
      </c>
      <c r="BZ59" s="54" t="str">
        <f t="shared" si="30"/>
        <v/>
      </c>
      <c r="CA59" s="54" t="str">
        <f t="shared" si="31"/>
        <v/>
      </c>
      <c r="CB59" s="54" t="str">
        <f t="shared" si="32"/>
        <v/>
      </c>
      <c r="CC59" s="54" t="str">
        <f t="shared" si="33"/>
        <v/>
      </c>
      <c r="CD59" s="54" t="str">
        <f t="shared" si="34"/>
        <v/>
      </c>
      <c r="CE59" s="54" t="str">
        <f t="shared" si="35"/>
        <v/>
      </c>
      <c r="CF59" s="46"/>
      <c r="CI59" s="592" t="str">
        <f>IF(CJ59=0,"",'#BerechnungDBE'!I176)</f>
        <v/>
      </c>
      <c r="CJ59" s="816">
        <f>_xlfn.AGGREGATE(14,4,'#BerechnungDBE'!$J$129:$J$494,'#BerechnungDBE'!I176)</f>
        <v>0</v>
      </c>
      <c r="CK59" s="1666" t="str">
        <f>IF(CJ59=0,"",VLOOKUP(CJ59,'#BerechnungDBE'!$J$129:$K$494,2,FALSE))</f>
        <v/>
      </c>
      <c r="CL59" s="1666"/>
    </row>
    <row r="60" spans="20:90" ht="15" customHeight="1" x14ac:dyDescent="0.2">
      <c r="T60" s="46"/>
      <c r="U60" s="46"/>
      <c r="V60" s="46"/>
      <c r="W60" s="547" t="str">
        <f>IF(Y60="","",'#orgDung'!AE183)</f>
        <v/>
      </c>
      <c r="X60" s="552" t="str">
        <f>IF(Y60="","",VLOOKUP(Y60,'#orgDung'!$AF$135:$AG$187,'#orgDung'!$AG$133,FALSE))</f>
        <v/>
      </c>
      <c r="Y60" s="55" t="str">
        <f>'#orgDung'!AB183</f>
        <v/>
      </c>
      <c r="Z60" s="549" t="str">
        <f>IF(Y60="","",VLOOKUP(Y60,Tab_org21[[Dünger]:[anrechenbarer N bei DBE Grünland]],'#org22'!$L$1,FALSE))</f>
        <v/>
      </c>
      <c r="AA60" s="610" t="str">
        <f>IF(Y60="","",VLOOKUP(Y60,Tab_org21[[Dünger]:[anrechenbarer N bei DBE Grünland]],'#org22'!$D$1,FALSE))</f>
        <v/>
      </c>
      <c r="AB60" s="549" t="str">
        <f>IF(Y60="","",VLOOKUP(Y60,Tab_org21[[Dünger]:[anrechenbarer N bei DBE Grünland]],'#org22'!$P$1,FALSE))</f>
        <v/>
      </c>
      <c r="AC60" s="549" t="str">
        <f>IF(Y60="","",VLOOKUP(Y60,Tab_org21[[Dünger]:[anrechenbarer N bei DBE Grünland]],'#org22'!$Q$1,FALSE))</f>
        <v/>
      </c>
      <c r="AD60" s="547" t="str">
        <f>IF(Y60="","",VLOOKUP(Y60,Tab_org21[[Dünger]:[anrechenbarer N bei DBE Grünland]],'#org22'!$W$1,FALSE))</f>
        <v/>
      </c>
      <c r="AE60" s="549" t="str">
        <f>IF(Y60="","",VLOOKUP(Y60,Tab_org21[[Dünger]:[anrechenbarer N bei DBE Grünland]],'#org22'!$R$1,FALSE))</f>
        <v/>
      </c>
      <c r="AF60" s="547" t="str">
        <f>IF(Y60="","",VLOOKUP(Y60,Tab_org21[[Dünger]:[anrechenbarer N bei DBE Grünland]],'#org22'!$X$1,FALSE))</f>
        <v/>
      </c>
      <c r="AG60" s="547" t="str">
        <f t="shared" si="2"/>
        <v/>
      </c>
      <c r="AH60" s="547" t="str">
        <f t="shared" si="3"/>
        <v/>
      </c>
      <c r="AI60" s="549" t="str">
        <f t="shared" si="36"/>
        <v/>
      </c>
      <c r="AJ60" s="549" t="str">
        <f t="shared" si="4"/>
        <v/>
      </c>
      <c r="AK60" s="549" t="str">
        <f t="shared" si="5"/>
        <v/>
      </c>
      <c r="AL60" s="549" t="str">
        <f t="shared" si="6"/>
        <v/>
      </c>
      <c r="AM60" s="549" t="str">
        <f t="shared" si="7"/>
        <v/>
      </c>
      <c r="AN60" s="549" t="str">
        <f t="shared" si="8"/>
        <v/>
      </c>
      <c r="AO60" s="549" t="str">
        <f t="shared" si="9"/>
        <v/>
      </c>
      <c r="AP60" s="549" t="str">
        <f t="shared" si="10"/>
        <v/>
      </c>
      <c r="AQ60" s="549" t="str">
        <f t="shared" si="11"/>
        <v/>
      </c>
      <c r="AR60" s="549" t="str">
        <f t="shared" si="12"/>
        <v/>
      </c>
      <c r="AS60" s="549" t="str">
        <f t="shared" si="13"/>
        <v/>
      </c>
      <c r="AT60" s="549" t="str">
        <f t="shared" si="14"/>
        <v/>
      </c>
      <c r="AU60" s="549" t="str">
        <f t="shared" si="15"/>
        <v/>
      </c>
      <c r="AV60" s="549" t="str">
        <f t="shared" si="16"/>
        <v/>
      </c>
      <c r="AW60" s="551"/>
      <c r="AX60" s="549" t="str">
        <f t="shared" si="17"/>
        <v/>
      </c>
      <c r="AY60" s="549" t="str">
        <f>IF(Y60="","",VLOOKUP(Y60,'#orgDung'!$AF$135:$AH$187,'#orgDung'!$AH$133,FALSE))</f>
        <v/>
      </c>
      <c r="AZ60" s="549" t="str">
        <f t="shared" si="37"/>
        <v/>
      </c>
      <c r="BA60" s="549" t="str">
        <f t="shared" si="19"/>
        <v/>
      </c>
      <c r="BB60" s="549" t="str">
        <f>IF(Y60="","",VLOOKUP(Y60,Tab_org21[[Dünger]:[anrechenbarer N bei DBE Grünland]],'#org22'!$H$1,FALSE))</f>
        <v/>
      </c>
      <c r="BC60" s="549" t="str">
        <f t="shared" si="38"/>
        <v/>
      </c>
      <c r="BD60" s="549" t="str">
        <f t="shared" si="21"/>
        <v/>
      </c>
      <c r="BE60" s="549" t="str">
        <f>IF(Y60="","",VLOOKUP(Y60,Tab_org21[[Dünger]:[anrechenbarer N bei DBE Grünland]],'#org22'!$Z$1,FALSE))</f>
        <v/>
      </c>
      <c r="BF60" s="549" t="str">
        <f t="shared" si="39"/>
        <v/>
      </c>
      <c r="BG60" s="549" t="str">
        <f t="shared" si="23"/>
        <v/>
      </c>
      <c r="BH60" s="551"/>
      <c r="BI60" s="551"/>
      <c r="BJ60" s="551"/>
      <c r="BK60" s="551"/>
      <c r="BL60" s="551"/>
      <c r="BM60" s="552" t="str">
        <f>IF(BO60="","",'#minDung'!N174)</f>
        <v/>
      </c>
      <c r="BN60" s="552" t="str">
        <f>IF(BO60="","",VLOOKUP(BO60,'#minDung'!$O$126:$Q$195,'#minDung'!$P$124,FALSE))</f>
        <v/>
      </c>
      <c r="BO60" s="55" t="str">
        <f>'#minDung'!K174</f>
        <v/>
      </c>
      <c r="BP60" s="610" t="str">
        <f>IF(BO60="","",VLOOKUP(BO60,Tab_min[[Mineraldünger]:[Kalkwirkung je 100 kg Dünger]],'#min'!$F$1,FALSE))</f>
        <v/>
      </c>
      <c r="BQ60" s="55" t="str">
        <f>IF(BO60="","",VLOOKUP(BO60,Tab_min[[Mineraldünger]:[Kalkwirkung je 100 kg Dünger]],'#min'!$G$1,FALSE))</f>
        <v/>
      </c>
      <c r="BR60" s="551" t="str">
        <f>IF(BO60="","",VLOOKUP(BO60,Tab_min[[Mineraldünger]:[Kalkwirkung je 100 kg Dünger]],'#min'!$H$1,FALSE))</f>
        <v/>
      </c>
      <c r="BS60" s="551" t="str">
        <f>IF(BO60="","",VLOOKUP(BO60,Tab_min[[Mineraldünger]:[Kalkwirkung je 100 kg Dünger]],'#min'!$J$1,FALSE))</f>
        <v/>
      </c>
      <c r="BT60" s="547" t="str">
        <f t="shared" si="24"/>
        <v/>
      </c>
      <c r="BU60" s="547" t="str">
        <f t="shared" si="25"/>
        <v/>
      </c>
      <c r="BV60" s="239" t="str">
        <f t="shared" si="26"/>
        <v/>
      </c>
      <c r="BW60" s="54" t="str">
        <f t="shared" si="27"/>
        <v/>
      </c>
      <c r="BX60" s="54" t="str">
        <f t="shared" si="28"/>
        <v/>
      </c>
      <c r="BY60" s="54" t="str">
        <f t="shared" si="29"/>
        <v/>
      </c>
      <c r="BZ60" s="54" t="str">
        <f t="shared" si="30"/>
        <v/>
      </c>
      <c r="CA60" s="54" t="str">
        <f t="shared" si="31"/>
        <v/>
      </c>
      <c r="CB60" s="54" t="str">
        <f t="shared" si="32"/>
        <v/>
      </c>
      <c r="CC60" s="54" t="str">
        <f t="shared" si="33"/>
        <v/>
      </c>
      <c r="CD60" s="54" t="str">
        <f t="shared" si="34"/>
        <v/>
      </c>
      <c r="CE60" s="54" t="str">
        <f t="shared" si="35"/>
        <v/>
      </c>
      <c r="CF60" s="46"/>
      <c r="CI60" s="592" t="str">
        <f>IF(CJ60=0,"",'#BerechnungDBE'!I177)</f>
        <v/>
      </c>
      <c r="CJ60" s="816">
        <f>_xlfn.AGGREGATE(14,4,'#BerechnungDBE'!$J$129:$J$494,'#BerechnungDBE'!I177)</f>
        <v>0</v>
      </c>
      <c r="CK60" s="1666" t="str">
        <f>IF(CJ60=0,"",VLOOKUP(CJ60,'#BerechnungDBE'!$J$129:$K$494,2,FALSE))</f>
        <v/>
      </c>
      <c r="CL60" s="1666"/>
    </row>
    <row r="61" spans="20:90" ht="15" customHeight="1" x14ac:dyDescent="0.2">
      <c r="T61" s="46"/>
      <c r="U61" s="46"/>
      <c r="V61" s="46"/>
      <c r="W61" s="547" t="str">
        <f>IF(Y61="","",'#orgDung'!AE184)</f>
        <v/>
      </c>
      <c r="X61" s="552" t="str">
        <f>IF(Y61="","",VLOOKUP(Y61,'#orgDung'!$AF$135:$AG$187,'#orgDung'!$AG$133,FALSE))</f>
        <v/>
      </c>
      <c r="Y61" s="55" t="str">
        <f>'#orgDung'!AB184</f>
        <v/>
      </c>
      <c r="Z61" s="549" t="str">
        <f>IF(Y61="","",VLOOKUP(Y61,Tab_org21[[Dünger]:[anrechenbarer N bei DBE Grünland]],'#org22'!$L$1,FALSE))</f>
        <v/>
      </c>
      <c r="AA61" s="610" t="str">
        <f>IF(Y61="","",VLOOKUP(Y61,Tab_org21[[Dünger]:[anrechenbarer N bei DBE Grünland]],'#org22'!$D$1,FALSE))</f>
        <v/>
      </c>
      <c r="AB61" s="549" t="str">
        <f>IF(Y61="","",VLOOKUP(Y61,Tab_org21[[Dünger]:[anrechenbarer N bei DBE Grünland]],'#org22'!$P$1,FALSE))</f>
        <v/>
      </c>
      <c r="AC61" s="549" t="str">
        <f>IF(Y61="","",VLOOKUP(Y61,Tab_org21[[Dünger]:[anrechenbarer N bei DBE Grünland]],'#org22'!$Q$1,FALSE))</f>
        <v/>
      </c>
      <c r="AD61" s="547" t="str">
        <f>IF(Y61="","",VLOOKUP(Y61,Tab_org21[[Dünger]:[anrechenbarer N bei DBE Grünland]],'#org22'!$W$1,FALSE))</f>
        <v/>
      </c>
      <c r="AE61" s="549" t="str">
        <f>IF(Y61="","",VLOOKUP(Y61,Tab_org21[[Dünger]:[anrechenbarer N bei DBE Grünland]],'#org22'!$R$1,FALSE))</f>
        <v/>
      </c>
      <c r="AF61" s="547" t="str">
        <f>IF(Y61="","",VLOOKUP(Y61,Tab_org21[[Dünger]:[anrechenbarer N bei DBE Grünland]],'#org22'!$X$1,FALSE))</f>
        <v/>
      </c>
      <c r="AG61" s="547" t="str">
        <f t="shared" si="2"/>
        <v/>
      </c>
      <c r="AH61" s="547" t="str">
        <f t="shared" si="3"/>
        <v/>
      </c>
      <c r="AI61" s="549" t="str">
        <f t="shared" si="36"/>
        <v/>
      </c>
      <c r="AJ61" s="549" t="str">
        <f t="shared" si="4"/>
        <v/>
      </c>
      <c r="AK61" s="549" t="str">
        <f t="shared" si="5"/>
        <v/>
      </c>
      <c r="AL61" s="549" t="str">
        <f t="shared" si="6"/>
        <v/>
      </c>
      <c r="AM61" s="549" t="str">
        <f t="shared" si="7"/>
        <v/>
      </c>
      <c r="AN61" s="549" t="str">
        <f t="shared" si="8"/>
        <v/>
      </c>
      <c r="AO61" s="549" t="str">
        <f t="shared" si="9"/>
        <v/>
      </c>
      <c r="AP61" s="549" t="str">
        <f t="shared" si="10"/>
        <v/>
      </c>
      <c r="AQ61" s="549" t="str">
        <f t="shared" si="11"/>
        <v/>
      </c>
      <c r="AR61" s="549" t="str">
        <f t="shared" si="12"/>
        <v/>
      </c>
      <c r="AS61" s="549" t="str">
        <f t="shared" si="13"/>
        <v/>
      </c>
      <c r="AT61" s="549" t="str">
        <f t="shared" si="14"/>
        <v/>
      </c>
      <c r="AU61" s="549" t="str">
        <f t="shared" si="15"/>
        <v/>
      </c>
      <c r="AV61" s="549" t="str">
        <f t="shared" si="16"/>
        <v/>
      </c>
      <c r="AW61" s="551"/>
      <c r="AX61" s="549" t="str">
        <f t="shared" si="17"/>
        <v/>
      </c>
      <c r="AY61" s="549" t="str">
        <f>IF(Y61="","",VLOOKUP(Y61,'#orgDung'!$AF$135:$AH$187,'#orgDung'!$AH$133,FALSE))</f>
        <v/>
      </c>
      <c r="AZ61" s="549" t="str">
        <f t="shared" si="37"/>
        <v/>
      </c>
      <c r="BA61" s="549" t="str">
        <f t="shared" si="19"/>
        <v/>
      </c>
      <c r="BB61" s="549" t="str">
        <f>IF(Y61="","",VLOOKUP(Y61,Tab_org21[[Dünger]:[anrechenbarer N bei DBE Grünland]],'#org22'!$H$1,FALSE))</f>
        <v/>
      </c>
      <c r="BC61" s="549" t="str">
        <f t="shared" si="38"/>
        <v/>
      </c>
      <c r="BD61" s="549" t="str">
        <f t="shared" si="21"/>
        <v/>
      </c>
      <c r="BE61" s="549" t="str">
        <f>IF(Y61="","",VLOOKUP(Y61,Tab_org21[[Dünger]:[anrechenbarer N bei DBE Grünland]],'#org22'!$Z$1,FALSE))</f>
        <v/>
      </c>
      <c r="BF61" s="549" t="str">
        <f t="shared" si="39"/>
        <v/>
      </c>
      <c r="BG61" s="549" t="str">
        <f t="shared" si="23"/>
        <v/>
      </c>
      <c r="BH61" s="551"/>
      <c r="BI61" s="551"/>
      <c r="BJ61" s="551"/>
      <c r="BK61" s="551"/>
      <c r="BL61" s="551"/>
      <c r="BM61" s="552" t="str">
        <f>IF(BO61="","",'#minDung'!N175)</f>
        <v/>
      </c>
      <c r="BN61" s="552" t="str">
        <f>IF(BO61="","",VLOOKUP(BO61,'#minDung'!$O$126:$Q$195,'#minDung'!$P$124,FALSE))</f>
        <v/>
      </c>
      <c r="BO61" s="55" t="str">
        <f>'#minDung'!K175</f>
        <v/>
      </c>
      <c r="BP61" s="610" t="str">
        <f>IF(BO61="","",VLOOKUP(BO61,Tab_min[[Mineraldünger]:[Kalkwirkung je 100 kg Dünger]],'#min'!$F$1,FALSE))</f>
        <v/>
      </c>
      <c r="BQ61" s="55" t="str">
        <f>IF(BO61="","",VLOOKUP(BO61,Tab_min[[Mineraldünger]:[Kalkwirkung je 100 kg Dünger]],'#min'!$G$1,FALSE))</f>
        <v/>
      </c>
      <c r="BR61" s="551" t="str">
        <f>IF(BO61="","",VLOOKUP(BO61,Tab_min[[Mineraldünger]:[Kalkwirkung je 100 kg Dünger]],'#min'!$H$1,FALSE))</f>
        <v/>
      </c>
      <c r="BS61" s="551" t="str">
        <f>IF(BO61="","",VLOOKUP(BO61,Tab_min[[Mineraldünger]:[Kalkwirkung je 100 kg Dünger]],'#min'!$J$1,FALSE))</f>
        <v/>
      </c>
      <c r="BT61" s="547" t="str">
        <f t="shared" si="24"/>
        <v/>
      </c>
      <c r="BU61" s="547" t="str">
        <f t="shared" si="25"/>
        <v/>
      </c>
      <c r="BV61" s="239" t="str">
        <f t="shared" si="26"/>
        <v/>
      </c>
      <c r="BW61" s="54" t="str">
        <f t="shared" si="27"/>
        <v/>
      </c>
      <c r="BX61" s="54" t="str">
        <f t="shared" si="28"/>
        <v/>
      </c>
      <c r="BY61" s="54" t="str">
        <f t="shared" si="29"/>
        <v/>
      </c>
      <c r="BZ61" s="54" t="str">
        <f t="shared" si="30"/>
        <v/>
      </c>
      <c r="CA61" s="54" t="str">
        <f t="shared" si="31"/>
        <v/>
      </c>
      <c r="CB61" s="54" t="str">
        <f t="shared" si="32"/>
        <v/>
      </c>
      <c r="CC61" s="54" t="str">
        <f t="shared" si="33"/>
        <v/>
      </c>
      <c r="CD61" s="54" t="str">
        <f t="shared" si="34"/>
        <v/>
      </c>
      <c r="CE61" s="54" t="str">
        <f t="shared" si="35"/>
        <v/>
      </c>
      <c r="CF61" s="46"/>
      <c r="CI61" s="592" t="str">
        <f>IF(CJ61=0,"",'#BerechnungDBE'!I178)</f>
        <v/>
      </c>
      <c r="CJ61" s="816">
        <f>_xlfn.AGGREGATE(14,4,'#BerechnungDBE'!$J$129:$J$494,'#BerechnungDBE'!I178)</f>
        <v>0</v>
      </c>
      <c r="CK61" s="1666" t="str">
        <f>IF(CJ61=0,"",VLOOKUP(CJ61,'#BerechnungDBE'!$J$129:$K$494,2,FALSE))</f>
        <v/>
      </c>
      <c r="CL61" s="1666"/>
    </row>
    <row r="62" spans="20:90" ht="15" customHeight="1" x14ac:dyDescent="0.2">
      <c r="T62" s="46"/>
      <c r="U62" s="46"/>
      <c r="V62" s="46"/>
      <c r="W62" s="547" t="str">
        <f>IF(Y62="","",'#orgDung'!AE185)</f>
        <v/>
      </c>
      <c r="X62" s="552" t="str">
        <f>IF(Y62="","",VLOOKUP(Y62,'#orgDung'!$AF$135:$AG$187,'#orgDung'!$AG$133,FALSE))</f>
        <v/>
      </c>
      <c r="Y62" s="55" t="str">
        <f>'#orgDung'!AB185</f>
        <v/>
      </c>
      <c r="Z62" s="549" t="str">
        <f>IF(Y62="","",VLOOKUP(Y62,Tab_org21[[Dünger]:[anrechenbarer N bei DBE Grünland]],'#org22'!$L$1,FALSE))</f>
        <v/>
      </c>
      <c r="AA62" s="610" t="str">
        <f>IF(Y62="","",VLOOKUP(Y62,Tab_org21[[Dünger]:[anrechenbarer N bei DBE Grünland]],'#org22'!$D$1,FALSE))</f>
        <v/>
      </c>
      <c r="AB62" s="549" t="str">
        <f>IF(Y62="","",VLOOKUP(Y62,Tab_org21[[Dünger]:[anrechenbarer N bei DBE Grünland]],'#org22'!$P$1,FALSE))</f>
        <v/>
      </c>
      <c r="AC62" s="549" t="str">
        <f>IF(Y62="","",VLOOKUP(Y62,Tab_org21[[Dünger]:[anrechenbarer N bei DBE Grünland]],'#org22'!$Q$1,FALSE))</f>
        <v/>
      </c>
      <c r="AD62" s="547" t="str">
        <f>IF(Y62="","",VLOOKUP(Y62,Tab_org21[[Dünger]:[anrechenbarer N bei DBE Grünland]],'#org22'!$W$1,FALSE))</f>
        <v/>
      </c>
      <c r="AE62" s="549" t="str">
        <f>IF(Y62="","",VLOOKUP(Y62,Tab_org21[[Dünger]:[anrechenbarer N bei DBE Grünland]],'#org22'!$R$1,FALSE))</f>
        <v/>
      </c>
      <c r="AF62" s="547" t="str">
        <f>IF(Y62="","",VLOOKUP(Y62,Tab_org21[[Dünger]:[anrechenbarer N bei DBE Grünland]],'#org22'!$X$1,FALSE))</f>
        <v/>
      </c>
      <c r="AG62" s="547" t="str">
        <f t="shared" si="2"/>
        <v/>
      </c>
      <c r="AH62" s="547" t="str">
        <f t="shared" si="3"/>
        <v/>
      </c>
      <c r="AI62" s="549" t="str">
        <f t="shared" si="36"/>
        <v/>
      </c>
      <c r="AJ62" s="549" t="str">
        <f t="shared" si="4"/>
        <v/>
      </c>
      <c r="AK62" s="549" t="str">
        <f t="shared" si="5"/>
        <v/>
      </c>
      <c r="AL62" s="549" t="str">
        <f t="shared" si="6"/>
        <v/>
      </c>
      <c r="AM62" s="549" t="str">
        <f t="shared" si="7"/>
        <v/>
      </c>
      <c r="AN62" s="549" t="str">
        <f t="shared" si="8"/>
        <v/>
      </c>
      <c r="AO62" s="549" t="str">
        <f t="shared" si="9"/>
        <v/>
      </c>
      <c r="AP62" s="549" t="str">
        <f t="shared" si="10"/>
        <v/>
      </c>
      <c r="AQ62" s="549" t="str">
        <f t="shared" si="11"/>
        <v/>
      </c>
      <c r="AR62" s="549" t="str">
        <f t="shared" si="12"/>
        <v/>
      </c>
      <c r="AS62" s="549" t="str">
        <f t="shared" si="13"/>
        <v/>
      </c>
      <c r="AT62" s="549" t="str">
        <f t="shared" si="14"/>
        <v/>
      </c>
      <c r="AU62" s="549" t="str">
        <f t="shared" si="15"/>
        <v/>
      </c>
      <c r="AV62" s="549" t="str">
        <f t="shared" si="16"/>
        <v/>
      </c>
      <c r="AW62" s="551"/>
      <c r="AX62" s="549" t="str">
        <f t="shared" si="17"/>
        <v/>
      </c>
      <c r="AY62" s="549" t="str">
        <f>IF(Y62="","",VLOOKUP(Y62,'#orgDung'!$AF$135:$AH$187,'#orgDung'!$AH$133,FALSE))</f>
        <v/>
      </c>
      <c r="AZ62" s="549" t="str">
        <f t="shared" si="37"/>
        <v/>
      </c>
      <c r="BA62" s="549" t="str">
        <f t="shared" si="19"/>
        <v/>
      </c>
      <c r="BB62" s="549" t="str">
        <f>IF(Y62="","",VLOOKUP(Y62,Tab_org21[[Dünger]:[anrechenbarer N bei DBE Grünland]],'#org22'!$H$1,FALSE))</f>
        <v/>
      </c>
      <c r="BC62" s="549" t="str">
        <f t="shared" si="38"/>
        <v/>
      </c>
      <c r="BD62" s="549" t="str">
        <f t="shared" si="21"/>
        <v/>
      </c>
      <c r="BE62" s="549" t="str">
        <f>IF(Y62="","",VLOOKUP(Y62,Tab_org21[[Dünger]:[anrechenbarer N bei DBE Grünland]],'#org22'!$Z$1,FALSE))</f>
        <v/>
      </c>
      <c r="BF62" s="549" t="str">
        <f t="shared" si="39"/>
        <v/>
      </c>
      <c r="BG62" s="549" t="str">
        <f t="shared" si="23"/>
        <v/>
      </c>
      <c r="BH62" s="551"/>
      <c r="BI62" s="551"/>
      <c r="BJ62" s="551"/>
      <c r="BK62" s="551"/>
      <c r="BL62" s="551"/>
      <c r="BM62" s="552" t="str">
        <f>IF(BO62="","",'#minDung'!N176)</f>
        <v/>
      </c>
      <c r="BN62" s="552" t="str">
        <f>IF(BO62="","",VLOOKUP(BO62,'#minDung'!$O$126:$Q$195,'#minDung'!$P$124,FALSE))</f>
        <v/>
      </c>
      <c r="BO62" s="55" t="str">
        <f>'#minDung'!K176</f>
        <v/>
      </c>
      <c r="BP62" s="610" t="str">
        <f>IF(BO62="","",VLOOKUP(BO62,Tab_min[[Mineraldünger]:[Kalkwirkung je 100 kg Dünger]],'#min'!$F$1,FALSE))</f>
        <v/>
      </c>
      <c r="BQ62" s="55" t="str">
        <f>IF(BO62="","",VLOOKUP(BO62,Tab_min[[Mineraldünger]:[Kalkwirkung je 100 kg Dünger]],'#min'!$G$1,FALSE))</f>
        <v/>
      </c>
      <c r="BR62" s="551" t="str">
        <f>IF(BO62="","",VLOOKUP(BO62,Tab_min[[Mineraldünger]:[Kalkwirkung je 100 kg Dünger]],'#min'!$H$1,FALSE))</f>
        <v/>
      </c>
      <c r="BS62" s="551" t="str">
        <f>IF(BO62="","",VLOOKUP(BO62,Tab_min[[Mineraldünger]:[Kalkwirkung je 100 kg Dünger]],'#min'!$J$1,FALSE))</f>
        <v/>
      </c>
      <c r="BT62" s="547" t="str">
        <f t="shared" si="24"/>
        <v/>
      </c>
      <c r="BU62" s="547" t="str">
        <f t="shared" si="25"/>
        <v/>
      </c>
      <c r="BV62" s="239" t="str">
        <f t="shared" si="26"/>
        <v/>
      </c>
      <c r="BW62" s="54" t="str">
        <f t="shared" si="27"/>
        <v/>
      </c>
      <c r="BX62" s="54" t="str">
        <f t="shared" si="28"/>
        <v/>
      </c>
      <c r="BY62" s="54" t="str">
        <f t="shared" si="29"/>
        <v/>
      </c>
      <c r="BZ62" s="54" t="str">
        <f t="shared" si="30"/>
        <v/>
      </c>
      <c r="CA62" s="54" t="str">
        <f t="shared" si="31"/>
        <v/>
      </c>
      <c r="CB62" s="54" t="str">
        <f t="shared" si="32"/>
        <v/>
      </c>
      <c r="CC62" s="54" t="str">
        <f t="shared" si="33"/>
        <v/>
      </c>
      <c r="CD62" s="54" t="str">
        <f t="shared" si="34"/>
        <v/>
      </c>
      <c r="CE62" s="54" t="str">
        <f t="shared" si="35"/>
        <v/>
      </c>
      <c r="CF62" s="46"/>
      <c r="CI62" s="592" t="str">
        <f>IF(CJ62=0,"",'#BerechnungDBE'!I179)</f>
        <v/>
      </c>
      <c r="CJ62" s="816">
        <f>_xlfn.AGGREGATE(14,4,'#BerechnungDBE'!$J$129:$J$494,'#BerechnungDBE'!I179)</f>
        <v>0</v>
      </c>
      <c r="CK62" s="1666" t="str">
        <f>IF(CJ62=0,"",VLOOKUP(CJ62,'#BerechnungDBE'!$J$129:$K$494,2,FALSE))</f>
        <v/>
      </c>
      <c r="CL62" s="1666"/>
    </row>
    <row r="63" spans="20:90" ht="15" customHeight="1" x14ac:dyDescent="0.2">
      <c r="T63" s="46"/>
      <c r="U63" s="46"/>
      <c r="V63" s="46"/>
      <c r="W63" s="547" t="str">
        <f>IF(Y63="","",'#orgDung'!AE186)</f>
        <v/>
      </c>
      <c r="X63" s="552" t="str">
        <f>IF(Y63="","",VLOOKUP(Y63,'#orgDung'!$AF$135:$AG$187,'#orgDung'!$AG$133,FALSE))</f>
        <v/>
      </c>
      <c r="Y63" s="55" t="str">
        <f>'#orgDung'!AB186</f>
        <v/>
      </c>
      <c r="Z63" s="549" t="str">
        <f>IF(Y63="","",VLOOKUP(Y63,Tab_org21[[Dünger]:[anrechenbarer N bei DBE Grünland]],'#org22'!$L$1,FALSE))</f>
        <v/>
      </c>
      <c r="AA63" s="610" t="str">
        <f>IF(Y63="","",VLOOKUP(Y63,Tab_org21[[Dünger]:[anrechenbarer N bei DBE Grünland]],'#org22'!$D$1,FALSE))</f>
        <v/>
      </c>
      <c r="AB63" s="549" t="str">
        <f>IF(Y63="","",VLOOKUP(Y63,Tab_org21[[Dünger]:[anrechenbarer N bei DBE Grünland]],'#org22'!$P$1,FALSE))</f>
        <v/>
      </c>
      <c r="AC63" s="549" t="str">
        <f>IF(Y63="","",VLOOKUP(Y63,Tab_org21[[Dünger]:[anrechenbarer N bei DBE Grünland]],'#org22'!$Q$1,FALSE))</f>
        <v/>
      </c>
      <c r="AD63" s="547" t="str">
        <f>IF(Y63="","",VLOOKUP(Y63,Tab_org21[[Dünger]:[anrechenbarer N bei DBE Grünland]],'#org22'!$W$1,FALSE))</f>
        <v/>
      </c>
      <c r="AE63" s="549" t="str">
        <f>IF(Y63="","",VLOOKUP(Y63,Tab_org21[[Dünger]:[anrechenbarer N bei DBE Grünland]],'#org22'!$R$1,FALSE))</f>
        <v/>
      </c>
      <c r="AF63" s="547" t="str">
        <f>IF(Y63="","",VLOOKUP(Y63,Tab_org21[[Dünger]:[anrechenbarer N bei DBE Grünland]],'#org22'!$X$1,FALSE))</f>
        <v/>
      </c>
      <c r="AG63" s="547" t="str">
        <f t="shared" si="2"/>
        <v/>
      </c>
      <c r="AH63" s="547" t="str">
        <f t="shared" si="3"/>
        <v/>
      </c>
      <c r="AI63" s="549" t="str">
        <f t="shared" si="36"/>
        <v/>
      </c>
      <c r="AJ63" s="549" t="str">
        <f t="shared" si="4"/>
        <v/>
      </c>
      <c r="AK63" s="549" t="str">
        <f t="shared" si="5"/>
        <v/>
      </c>
      <c r="AL63" s="549" t="str">
        <f t="shared" si="6"/>
        <v/>
      </c>
      <c r="AM63" s="549" t="str">
        <f t="shared" si="7"/>
        <v/>
      </c>
      <c r="AN63" s="549" t="str">
        <f t="shared" si="8"/>
        <v/>
      </c>
      <c r="AO63" s="549" t="str">
        <f t="shared" si="9"/>
        <v/>
      </c>
      <c r="AP63" s="549" t="str">
        <f t="shared" si="10"/>
        <v/>
      </c>
      <c r="AQ63" s="549" t="str">
        <f t="shared" si="11"/>
        <v/>
      </c>
      <c r="AR63" s="549" t="str">
        <f t="shared" si="12"/>
        <v/>
      </c>
      <c r="AS63" s="549" t="str">
        <f t="shared" si="13"/>
        <v/>
      </c>
      <c r="AT63" s="549" t="str">
        <f t="shared" si="14"/>
        <v/>
      </c>
      <c r="AU63" s="549" t="str">
        <f t="shared" si="15"/>
        <v/>
      </c>
      <c r="AV63" s="549" t="str">
        <f t="shared" si="16"/>
        <v/>
      </c>
      <c r="AW63" s="551"/>
      <c r="AX63" s="549" t="str">
        <f t="shared" si="17"/>
        <v/>
      </c>
      <c r="AY63" s="549" t="str">
        <f>IF(Y63="","",VLOOKUP(Y63,'#orgDung'!$AF$135:$AH$187,'#orgDung'!$AH$133,FALSE))</f>
        <v/>
      </c>
      <c r="AZ63" s="549" t="str">
        <f t="shared" si="37"/>
        <v/>
      </c>
      <c r="BA63" s="549" t="str">
        <f t="shared" si="19"/>
        <v/>
      </c>
      <c r="BB63" s="549" t="str">
        <f>IF(Y63="","",VLOOKUP(Y63,Tab_org21[[Dünger]:[anrechenbarer N bei DBE Grünland]],'#org22'!$H$1,FALSE))</f>
        <v/>
      </c>
      <c r="BC63" s="549" t="str">
        <f t="shared" si="38"/>
        <v/>
      </c>
      <c r="BD63" s="549" t="str">
        <f t="shared" si="21"/>
        <v/>
      </c>
      <c r="BE63" s="549" t="str">
        <f>IF(Y63="","",VLOOKUP(Y63,Tab_org21[[Dünger]:[anrechenbarer N bei DBE Grünland]],'#org22'!$Z$1,FALSE))</f>
        <v/>
      </c>
      <c r="BF63" s="549" t="str">
        <f t="shared" si="39"/>
        <v/>
      </c>
      <c r="BG63" s="549" t="str">
        <f t="shared" si="23"/>
        <v/>
      </c>
      <c r="BH63" s="551"/>
      <c r="BI63" s="551"/>
      <c r="BJ63" s="551"/>
      <c r="BK63" s="551"/>
      <c r="BL63" s="551"/>
      <c r="BM63" s="552" t="str">
        <f>IF(BO63="","",'#minDung'!N177)</f>
        <v/>
      </c>
      <c r="BN63" s="552" t="str">
        <f>IF(BO63="","",VLOOKUP(BO63,'#minDung'!$O$126:$Q$195,'#minDung'!$P$124,FALSE))</f>
        <v/>
      </c>
      <c r="BO63" s="55" t="str">
        <f>'#minDung'!K177</f>
        <v/>
      </c>
      <c r="BP63" s="610" t="str">
        <f>IF(BO63="","",VLOOKUP(BO63,Tab_min[[Mineraldünger]:[Kalkwirkung je 100 kg Dünger]],'#min'!$F$1,FALSE))</f>
        <v/>
      </c>
      <c r="BQ63" s="55" t="str">
        <f>IF(BO63="","",VLOOKUP(BO63,Tab_min[[Mineraldünger]:[Kalkwirkung je 100 kg Dünger]],'#min'!$G$1,FALSE))</f>
        <v/>
      </c>
      <c r="BR63" s="551" t="str">
        <f>IF(BO63="","",VLOOKUP(BO63,Tab_min[[Mineraldünger]:[Kalkwirkung je 100 kg Dünger]],'#min'!$H$1,FALSE))</f>
        <v/>
      </c>
      <c r="BS63" s="551" t="str">
        <f>IF(BO63="","",VLOOKUP(BO63,Tab_min[[Mineraldünger]:[Kalkwirkung je 100 kg Dünger]],'#min'!$J$1,FALSE))</f>
        <v/>
      </c>
      <c r="BT63" s="547" t="str">
        <f t="shared" si="24"/>
        <v/>
      </c>
      <c r="BU63" s="547" t="str">
        <f t="shared" si="25"/>
        <v/>
      </c>
      <c r="BV63" s="239" t="str">
        <f t="shared" si="26"/>
        <v/>
      </c>
      <c r="BW63" s="54" t="str">
        <f t="shared" si="27"/>
        <v/>
      </c>
      <c r="BX63" s="54" t="str">
        <f t="shared" si="28"/>
        <v/>
      </c>
      <c r="BY63" s="54" t="str">
        <f t="shared" si="29"/>
        <v/>
      </c>
      <c r="BZ63" s="54" t="str">
        <f t="shared" si="30"/>
        <v/>
      </c>
      <c r="CA63" s="54" t="str">
        <f t="shared" si="31"/>
        <v/>
      </c>
      <c r="CB63" s="54" t="str">
        <f t="shared" si="32"/>
        <v/>
      </c>
      <c r="CC63" s="54" t="str">
        <f t="shared" si="33"/>
        <v/>
      </c>
      <c r="CD63" s="54" t="str">
        <f t="shared" si="34"/>
        <v/>
      </c>
      <c r="CE63" s="54" t="str">
        <f t="shared" si="35"/>
        <v/>
      </c>
      <c r="CF63" s="46"/>
      <c r="CI63" s="592" t="str">
        <f>IF(CJ63=0,"",'#BerechnungDBE'!I180)</f>
        <v/>
      </c>
      <c r="CJ63" s="816">
        <f>_xlfn.AGGREGATE(14,4,'#BerechnungDBE'!$J$129:$J$494,'#BerechnungDBE'!I180)</f>
        <v>0</v>
      </c>
      <c r="CK63" s="1666" t="str">
        <f>IF(CJ63=0,"",VLOOKUP(CJ63,'#BerechnungDBE'!$J$129:$K$494,2,FALSE))</f>
        <v/>
      </c>
      <c r="CL63" s="1666"/>
    </row>
    <row r="64" spans="20:90" ht="15" customHeight="1" x14ac:dyDescent="0.2">
      <c r="T64" s="46"/>
      <c r="U64" s="46"/>
      <c r="V64" s="46"/>
      <c r="W64" s="594"/>
      <c r="X64" s="547"/>
      <c r="Y64" s="594"/>
      <c r="Z64" s="549" t="str">
        <f>IF(Y64="","",VLOOKUP(Y64,Tab_org21[[Dünger]:[anrechenbarer N bei DBE Grünland]],'#org22'!$L$1,FALSE))</f>
        <v/>
      </c>
      <c r="AA64" s="550"/>
      <c r="AB64" s="549"/>
      <c r="AC64" s="549"/>
      <c r="AD64" s="549"/>
      <c r="AE64" s="549"/>
      <c r="AF64" s="549"/>
      <c r="AG64" s="547"/>
      <c r="AH64" s="547"/>
      <c r="AI64" s="549"/>
      <c r="AJ64" s="549"/>
      <c r="AK64" s="549"/>
      <c r="AL64" s="549"/>
      <c r="AM64" s="549"/>
      <c r="AN64" s="549"/>
      <c r="AO64" s="549"/>
      <c r="AP64" s="549"/>
      <c r="AQ64" s="549"/>
      <c r="AR64" s="549"/>
      <c r="AS64" s="549"/>
      <c r="AT64" s="549"/>
      <c r="AU64" s="549"/>
      <c r="AV64" s="549"/>
      <c r="AW64" s="551"/>
      <c r="AX64" s="549"/>
      <c r="AY64" s="549"/>
      <c r="AZ64" s="549"/>
      <c r="BA64" s="549"/>
      <c r="BB64" s="549"/>
      <c r="BC64" s="549"/>
      <c r="BD64" s="549"/>
      <c r="BE64" s="549"/>
      <c r="BF64" s="549"/>
      <c r="BG64" s="549"/>
      <c r="BH64" s="551"/>
      <c r="BI64" s="551"/>
      <c r="BJ64" s="551"/>
      <c r="BK64" s="551"/>
      <c r="BL64" s="551"/>
      <c r="BM64" s="552" t="str">
        <f>IF(BO64="","",'#minDung'!N178)</f>
        <v/>
      </c>
      <c r="BN64" s="552" t="str">
        <f>IF(BO64="","",VLOOKUP(BO64,'#minDung'!$O$126:$Q$195,'#minDung'!$P$124,FALSE))</f>
        <v/>
      </c>
      <c r="BO64" s="55" t="str">
        <f>'#minDung'!K178</f>
        <v/>
      </c>
      <c r="BP64" s="610" t="str">
        <f>IF(BO64="","",VLOOKUP(BO64,Tab_min[[Mineraldünger]:[Kalkwirkung je 100 kg Dünger]],'#min'!$F$1,FALSE))</f>
        <v/>
      </c>
      <c r="BQ64" s="55" t="str">
        <f>IF(BO64="","",VLOOKUP(BO64,Tab_min[[Mineraldünger]:[Kalkwirkung je 100 kg Dünger]],'#min'!$G$1,FALSE))</f>
        <v/>
      </c>
      <c r="BR64" s="551" t="str">
        <f>IF(BO64="","",VLOOKUP(BO64,Tab_min[[Mineraldünger]:[Kalkwirkung je 100 kg Dünger]],'#min'!$H$1,FALSE))</f>
        <v/>
      </c>
      <c r="BS64" s="551" t="str">
        <f>IF(BO64="","",VLOOKUP(BO64,Tab_min[[Mineraldünger]:[Kalkwirkung je 100 kg Dünger]],'#min'!$J$1,FALSE))</f>
        <v/>
      </c>
      <c r="BT64" s="547" t="str">
        <f t="shared" si="24"/>
        <v/>
      </c>
      <c r="BU64" s="547" t="str">
        <f t="shared" si="25"/>
        <v/>
      </c>
      <c r="BV64" s="239" t="str">
        <f t="shared" si="26"/>
        <v/>
      </c>
      <c r="BW64" s="54" t="str">
        <f t="shared" si="27"/>
        <v/>
      </c>
      <c r="BX64" s="54" t="str">
        <f t="shared" si="28"/>
        <v/>
      </c>
      <c r="BY64" s="54" t="str">
        <f t="shared" si="29"/>
        <v/>
      </c>
      <c r="BZ64" s="54" t="str">
        <f t="shared" si="30"/>
        <v/>
      </c>
      <c r="CA64" s="54" t="str">
        <f t="shared" si="31"/>
        <v/>
      </c>
      <c r="CB64" s="54" t="str">
        <f t="shared" si="32"/>
        <v/>
      </c>
      <c r="CC64" s="54" t="str">
        <f t="shared" si="33"/>
        <v/>
      </c>
      <c r="CD64" s="54" t="str">
        <f t="shared" si="34"/>
        <v/>
      </c>
      <c r="CE64" s="54" t="str">
        <f t="shared" si="35"/>
        <v/>
      </c>
      <c r="CF64" s="46"/>
      <c r="CI64" s="592" t="str">
        <f>IF(CJ64=0,"",'#BerechnungDBE'!I181)</f>
        <v/>
      </c>
      <c r="CJ64" s="816">
        <f>_xlfn.AGGREGATE(14,4,'#BerechnungDBE'!$J$129:$J$494,'#BerechnungDBE'!I181)</f>
        <v>0</v>
      </c>
      <c r="CK64" s="1666" t="str">
        <f>IF(CJ64=0,"",VLOOKUP(CJ64,'#BerechnungDBE'!$J$129:$K$494,2,FALSE))</f>
        <v/>
      </c>
      <c r="CL64" s="1666"/>
    </row>
    <row r="65" spans="20:90" ht="15" customHeight="1" x14ac:dyDescent="0.2">
      <c r="T65" s="46"/>
      <c r="U65" s="46"/>
      <c r="V65" s="46"/>
      <c r="W65" s="594"/>
      <c r="X65" s="547"/>
      <c r="Y65" s="594"/>
      <c r="Z65" s="549" t="str">
        <f>IF(Y65="","",VLOOKUP(Y65,Tab_org21[[Dünger]:[anrechenbarer N bei DBE Grünland]],'#org22'!$L$1,FALSE))</f>
        <v/>
      </c>
      <c r="AA65" s="550"/>
      <c r="AB65" s="549"/>
      <c r="AC65" s="549"/>
      <c r="AD65" s="549"/>
      <c r="AE65" s="549"/>
      <c r="AF65" s="549"/>
      <c r="AG65" s="547"/>
      <c r="AH65" s="547"/>
      <c r="AI65" s="549"/>
      <c r="AJ65" s="549"/>
      <c r="AK65" s="549"/>
      <c r="AL65" s="549"/>
      <c r="AM65" s="549"/>
      <c r="AN65" s="549"/>
      <c r="AO65" s="549"/>
      <c r="AP65" s="549"/>
      <c r="AQ65" s="549"/>
      <c r="AR65" s="549"/>
      <c r="AS65" s="549"/>
      <c r="AT65" s="549"/>
      <c r="AU65" s="549"/>
      <c r="AV65" s="549"/>
      <c r="AW65" s="551"/>
      <c r="AX65" s="549"/>
      <c r="AY65" s="549"/>
      <c r="AZ65" s="549"/>
      <c r="BA65" s="549"/>
      <c r="BB65" s="549"/>
      <c r="BC65" s="549"/>
      <c r="BD65" s="549"/>
      <c r="BE65" s="549"/>
      <c r="BF65" s="549"/>
      <c r="BG65" s="549"/>
      <c r="BH65" s="551"/>
      <c r="BI65" s="551"/>
      <c r="BJ65" s="551"/>
      <c r="BK65" s="551"/>
      <c r="BL65" s="551"/>
      <c r="BM65" s="552" t="str">
        <f>IF(BO65="","",'#minDung'!N179)</f>
        <v/>
      </c>
      <c r="BN65" s="552" t="str">
        <f>IF(BO65="","",VLOOKUP(BO65,'#minDung'!$O$126:$Q$195,'#minDung'!$P$124,FALSE))</f>
        <v/>
      </c>
      <c r="BO65" s="55" t="str">
        <f>'#minDung'!K179</f>
        <v/>
      </c>
      <c r="BP65" s="610" t="str">
        <f>IF(BO65="","",VLOOKUP(BO65,Tab_min[[Mineraldünger]:[Kalkwirkung je 100 kg Dünger]],'#min'!$F$1,FALSE))</f>
        <v/>
      </c>
      <c r="BQ65" s="55" t="str">
        <f>IF(BO65="","",VLOOKUP(BO65,Tab_min[[Mineraldünger]:[Kalkwirkung je 100 kg Dünger]],'#min'!$G$1,FALSE))</f>
        <v/>
      </c>
      <c r="BR65" s="551" t="str">
        <f>IF(BO65="","",VLOOKUP(BO65,Tab_min[[Mineraldünger]:[Kalkwirkung je 100 kg Dünger]],'#min'!$H$1,FALSE))</f>
        <v/>
      </c>
      <c r="BS65" s="551" t="str">
        <f>IF(BO65="","",VLOOKUP(BO65,Tab_min[[Mineraldünger]:[Kalkwirkung je 100 kg Dünger]],'#min'!$J$1,FALSE))</f>
        <v/>
      </c>
      <c r="BT65" s="547" t="str">
        <f t="shared" si="24"/>
        <v/>
      </c>
      <c r="BU65" s="547" t="str">
        <f t="shared" si="25"/>
        <v/>
      </c>
      <c r="BV65" s="239" t="str">
        <f t="shared" si="26"/>
        <v/>
      </c>
      <c r="BW65" s="54" t="str">
        <f t="shared" si="27"/>
        <v/>
      </c>
      <c r="BX65" s="54" t="str">
        <f t="shared" si="28"/>
        <v/>
      </c>
      <c r="BY65" s="54" t="str">
        <f t="shared" si="29"/>
        <v/>
      </c>
      <c r="BZ65" s="54" t="str">
        <f t="shared" si="30"/>
        <v/>
      </c>
      <c r="CA65" s="54" t="str">
        <f t="shared" si="31"/>
        <v/>
      </c>
      <c r="CB65" s="54" t="str">
        <f t="shared" si="32"/>
        <v/>
      </c>
      <c r="CC65" s="54" t="str">
        <f t="shared" si="33"/>
        <v/>
      </c>
      <c r="CD65" s="54" t="str">
        <f t="shared" si="34"/>
        <v/>
      </c>
      <c r="CE65" s="54" t="str">
        <f t="shared" si="35"/>
        <v/>
      </c>
      <c r="CF65" s="46"/>
      <c r="CI65" s="592" t="str">
        <f>IF(CJ65=0,"",'#BerechnungDBE'!I182)</f>
        <v/>
      </c>
      <c r="CJ65" s="816">
        <f>_xlfn.AGGREGATE(14,4,'#BerechnungDBE'!$J$129:$J$494,'#BerechnungDBE'!I182)</f>
        <v>0</v>
      </c>
      <c r="CK65" s="1666" t="str">
        <f>IF(CJ65=0,"",VLOOKUP(CJ65,'#BerechnungDBE'!$J$129:$K$494,2,FALSE))</f>
        <v/>
      </c>
      <c r="CL65" s="1666"/>
    </row>
    <row r="66" spans="20:90" ht="15" customHeight="1" x14ac:dyDescent="0.2">
      <c r="T66" s="46"/>
      <c r="U66" s="46"/>
      <c r="V66" s="46"/>
      <c r="W66" s="594"/>
      <c r="X66" s="547"/>
      <c r="Y66" s="594"/>
      <c r="Z66" s="549" t="str">
        <f>IF(Y66="","",VLOOKUP(Y66,Tab_org21[[Dünger]:[anrechenbarer N bei DBE Grünland]],'#org22'!$L$1,FALSE))</f>
        <v/>
      </c>
      <c r="AA66" s="550"/>
      <c r="AB66" s="549"/>
      <c r="AC66" s="549"/>
      <c r="AD66" s="549"/>
      <c r="AE66" s="549"/>
      <c r="AF66" s="549"/>
      <c r="AG66" s="547"/>
      <c r="AH66" s="547"/>
      <c r="AI66" s="549"/>
      <c r="AJ66" s="549"/>
      <c r="AK66" s="549"/>
      <c r="AL66" s="549"/>
      <c r="AM66" s="549"/>
      <c r="AN66" s="549"/>
      <c r="AO66" s="549"/>
      <c r="AP66" s="549"/>
      <c r="AQ66" s="549"/>
      <c r="AR66" s="549"/>
      <c r="AS66" s="549"/>
      <c r="AT66" s="549"/>
      <c r="AU66" s="549"/>
      <c r="AV66" s="549"/>
      <c r="AW66" s="551"/>
      <c r="AX66" s="549"/>
      <c r="AY66" s="549"/>
      <c r="AZ66" s="549"/>
      <c r="BA66" s="549"/>
      <c r="BB66" s="549"/>
      <c r="BC66" s="549"/>
      <c r="BD66" s="549"/>
      <c r="BE66" s="549"/>
      <c r="BF66" s="549"/>
      <c r="BG66" s="549"/>
      <c r="BH66" s="551"/>
      <c r="BI66" s="551"/>
      <c r="BJ66" s="551"/>
      <c r="BK66" s="551"/>
      <c r="BL66" s="551"/>
      <c r="BM66" s="552" t="str">
        <f>IF(BO66="","",'#minDung'!N180)</f>
        <v/>
      </c>
      <c r="BN66" s="552" t="str">
        <f>IF(BO66="","",VLOOKUP(BO66,'#minDung'!$O$126:$Q$195,'#minDung'!$P$124,FALSE))</f>
        <v/>
      </c>
      <c r="BO66" s="55" t="str">
        <f>'#minDung'!K180</f>
        <v/>
      </c>
      <c r="BP66" s="610" t="str">
        <f>IF(BO66="","",VLOOKUP(BO66,Tab_min[[Mineraldünger]:[Kalkwirkung je 100 kg Dünger]],'#min'!$F$1,FALSE))</f>
        <v/>
      </c>
      <c r="BQ66" s="55" t="str">
        <f>IF(BO66="","",VLOOKUP(BO66,Tab_min[[Mineraldünger]:[Kalkwirkung je 100 kg Dünger]],'#min'!$G$1,FALSE))</f>
        <v/>
      </c>
      <c r="BR66" s="551" t="str">
        <f>IF(BO66="","",VLOOKUP(BO66,Tab_min[[Mineraldünger]:[Kalkwirkung je 100 kg Dünger]],'#min'!$H$1,FALSE))</f>
        <v/>
      </c>
      <c r="BS66" s="551" t="str">
        <f>IF(BO66="","",VLOOKUP(BO66,Tab_min[[Mineraldünger]:[Kalkwirkung je 100 kg Dünger]],'#min'!$J$1,FALSE))</f>
        <v/>
      </c>
      <c r="BT66" s="547" t="str">
        <f t="shared" si="24"/>
        <v/>
      </c>
      <c r="BU66" s="547" t="str">
        <f t="shared" si="25"/>
        <v/>
      </c>
      <c r="BV66" s="239" t="str">
        <f t="shared" si="26"/>
        <v/>
      </c>
      <c r="BW66" s="54" t="str">
        <f t="shared" si="27"/>
        <v/>
      </c>
      <c r="BX66" s="54" t="str">
        <f t="shared" si="28"/>
        <v/>
      </c>
      <c r="BY66" s="54" t="str">
        <f t="shared" si="29"/>
        <v/>
      </c>
      <c r="BZ66" s="54" t="str">
        <f t="shared" si="30"/>
        <v/>
      </c>
      <c r="CA66" s="54" t="str">
        <f t="shared" si="31"/>
        <v/>
      </c>
      <c r="CB66" s="54" t="str">
        <f t="shared" si="32"/>
        <v/>
      </c>
      <c r="CC66" s="54" t="str">
        <f t="shared" si="33"/>
        <v/>
      </c>
      <c r="CD66" s="54" t="str">
        <f t="shared" si="34"/>
        <v/>
      </c>
      <c r="CE66" s="54" t="str">
        <f t="shared" si="35"/>
        <v/>
      </c>
      <c r="CF66" s="46"/>
      <c r="CI66" s="592" t="str">
        <f>IF(CJ66=0,"",'#BerechnungDBE'!I183)</f>
        <v/>
      </c>
      <c r="CJ66" s="816">
        <f>_xlfn.AGGREGATE(14,4,'#BerechnungDBE'!$J$129:$J$494,'#BerechnungDBE'!I183)</f>
        <v>0</v>
      </c>
      <c r="CK66" s="1666" t="str">
        <f>IF(CJ66=0,"",VLOOKUP(CJ66,'#BerechnungDBE'!$J$129:$K$494,2,FALSE))</f>
        <v/>
      </c>
      <c r="CL66" s="1666"/>
    </row>
    <row r="67" spans="20:90" ht="15" customHeight="1" x14ac:dyDescent="0.2">
      <c r="T67" s="46"/>
      <c r="U67" s="46"/>
      <c r="V67" s="46"/>
      <c r="W67" s="594"/>
      <c r="X67" s="547"/>
      <c r="Y67" s="594"/>
      <c r="Z67" s="549" t="str">
        <f>IF(Y67="","",VLOOKUP(Y67,Tab_org21[[Dünger]:[anrechenbarer N bei DBE Grünland]],'#org22'!$L$1,FALSE))</f>
        <v/>
      </c>
      <c r="AA67" s="550"/>
      <c r="AB67" s="549"/>
      <c r="AC67" s="549"/>
      <c r="AD67" s="549"/>
      <c r="AE67" s="549"/>
      <c r="AF67" s="549"/>
      <c r="AG67" s="547"/>
      <c r="AH67" s="547"/>
      <c r="AI67" s="549"/>
      <c r="AJ67" s="549"/>
      <c r="AK67" s="549"/>
      <c r="AL67" s="549"/>
      <c r="AM67" s="549"/>
      <c r="AN67" s="549"/>
      <c r="AO67" s="549"/>
      <c r="AP67" s="549"/>
      <c r="AQ67" s="549"/>
      <c r="AR67" s="549"/>
      <c r="AS67" s="549"/>
      <c r="AT67" s="549"/>
      <c r="AU67" s="549"/>
      <c r="AV67" s="549"/>
      <c r="AW67" s="551"/>
      <c r="AX67" s="549"/>
      <c r="AY67" s="549"/>
      <c r="AZ67" s="549"/>
      <c r="BA67" s="549"/>
      <c r="BB67" s="549"/>
      <c r="BC67" s="549"/>
      <c r="BD67" s="549"/>
      <c r="BE67" s="549"/>
      <c r="BF67" s="549"/>
      <c r="BG67" s="549"/>
      <c r="BH67" s="551"/>
      <c r="BI67" s="551"/>
      <c r="BJ67" s="551"/>
      <c r="BK67" s="551"/>
      <c r="BL67" s="551"/>
      <c r="BM67" s="552" t="str">
        <f>IF(BO67="","",'#minDung'!N181)</f>
        <v/>
      </c>
      <c r="BN67" s="552" t="str">
        <f>IF(BO67="","",VLOOKUP(BO67,'#minDung'!$O$126:$Q$195,'#minDung'!$P$124,FALSE))</f>
        <v/>
      </c>
      <c r="BO67" s="55" t="str">
        <f>'#minDung'!K181</f>
        <v/>
      </c>
      <c r="BP67" s="610" t="str">
        <f>IF(BO67="","",VLOOKUP(BO67,Tab_min[[Mineraldünger]:[Kalkwirkung je 100 kg Dünger]],'#min'!$F$1,FALSE))</f>
        <v/>
      </c>
      <c r="BQ67" s="55" t="str">
        <f>IF(BO67="","",VLOOKUP(BO67,Tab_min[[Mineraldünger]:[Kalkwirkung je 100 kg Dünger]],'#min'!$G$1,FALSE))</f>
        <v/>
      </c>
      <c r="BR67" s="551" t="str">
        <f>IF(BO67="","",VLOOKUP(BO67,Tab_min[[Mineraldünger]:[Kalkwirkung je 100 kg Dünger]],'#min'!$H$1,FALSE))</f>
        <v/>
      </c>
      <c r="BS67" s="551" t="str">
        <f>IF(BO67="","",VLOOKUP(BO67,Tab_min[[Mineraldünger]:[Kalkwirkung je 100 kg Dünger]],'#min'!$J$1,FALSE))</f>
        <v/>
      </c>
      <c r="BT67" s="547" t="str">
        <f t="shared" si="24"/>
        <v/>
      </c>
      <c r="BU67" s="547" t="str">
        <f t="shared" si="25"/>
        <v/>
      </c>
      <c r="BV67" s="239" t="str">
        <f t="shared" si="26"/>
        <v/>
      </c>
      <c r="BW67" s="54" t="str">
        <f t="shared" si="27"/>
        <v/>
      </c>
      <c r="BX67" s="54" t="str">
        <f t="shared" si="28"/>
        <v/>
      </c>
      <c r="BY67" s="54" t="str">
        <f t="shared" si="29"/>
        <v/>
      </c>
      <c r="BZ67" s="54" t="str">
        <f t="shared" si="30"/>
        <v/>
      </c>
      <c r="CA67" s="54" t="str">
        <f t="shared" si="31"/>
        <v/>
      </c>
      <c r="CB67" s="54" t="str">
        <f t="shared" si="32"/>
        <v/>
      </c>
      <c r="CC67" s="54" t="str">
        <f t="shared" si="33"/>
        <v/>
      </c>
      <c r="CD67" s="54" t="str">
        <f t="shared" si="34"/>
        <v/>
      </c>
      <c r="CE67" s="54" t="str">
        <f t="shared" si="35"/>
        <v/>
      </c>
      <c r="CF67" s="46"/>
      <c r="CI67" s="592" t="str">
        <f>IF(CJ67=0,"",'#BerechnungDBE'!I184)</f>
        <v/>
      </c>
      <c r="CJ67" s="816">
        <f>_xlfn.AGGREGATE(14,4,'#BerechnungDBE'!$J$129:$J$494,'#BerechnungDBE'!I184)</f>
        <v>0</v>
      </c>
      <c r="CK67" s="1666" t="str">
        <f>IF(CJ67=0,"",VLOOKUP(CJ67,'#BerechnungDBE'!$J$129:$K$494,2,FALSE))</f>
        <v/>
      </c>
      <c r="CL67" s="1666"/>
    </row>
    <row r="68" spans="20:90" ht="15" customHeight="1" x14ac:dyDescent="0.2">
      <c r="T68" s="46"/>
      <c r="U68" s="46"/>
      <c r="V68" s="46"/>
      <c r="W68" s="594"/>
      <c r="X68" s="547"/>
      <c r="Y68" s="594"/>
      <c r="Z68" s="549" t="str">
        <f>IF(Y68="","",VLOOKUP(Y68,Tab_org21[[Dünger]:[anrechenbarer N bei DBE Grünland]],'#org22'!$L$1,FALSE))</f>
        <v/>
      </c>
      <c r="AA68" s="550"/>
      <c r="AB68" s="549"/>
      <c r="AC68" s="549"/>
      <c r="AD68" s="549"/>
      <c r="AE68" s="549"/>
      <c r="AF68" s="549"/>
      <c r="AG68" s="547"/>
      <c r="AH68" s="547"/>
      <c r="AI68" s="549"/>
      <c r="AJ68" s="549"/>
      <c r="AK68" s="549"/>
      <c r="AL68" s="549"/>
      <c r="AM68" s="549"/>
      <c r="AN68" s="549"/>
      <c r="AO68" s="549"/>
      <c r="AP68" s="549"/>
      <c r="AQ68" s="549"/>
      <c r="AR68" s="549"/>
      <c r="AS68" s="549"/>
      <c r="AT68" s="549"/>
      <c r="AU68" s="549"/>
      <c r="AV68" s="549"/>
      <c r="AW68" s="551"/>
      <c r="AX68" s="549"/>
      <c r="AY68" s="549"/>
      <c r="AZ68" s="549"/>
      <c r="BA68" s="549"/>
      <c r="BB68" s="549"/>
      <c r="BC68" s="549"/>
      <c r="BD68" s="549"/>
      <c r="BE68" s="549"/>
      <c r="BF68" s="549"/>
      <c r="BG68" s="549"/>
      <c r="BH68" s="551"/>
      <c r="BI68" s="551"/>
      <c r="BJ68" s="551"/>
      <c r="BK68" s="551"/>
      <c r="BL68" s="551"/>
      <c r="BM68" s="552" t="str">
        <f>IF(BO68="","",'#minDung'!N182)</f>
        <v/>
      </c>
      <c r="BN68" s="552" t="str">
        <f>IF(BO68="","",VLOOKUP(BO68,'#minDung'!$O$126:$Q$195,'#minDung'!$P$124,FALSE))</f>
        <v/>
      </c>
      <c r="BO68" s="55" t="str">
        <f>'#minDung'!K182</f>
        <v/>
      </c>
      <c r="BP68" s="610" t="str">
        <f>IF(BO68="","",VLOOKUP(BO68,Tab_min[[Mineraldünger]:[Kalkwirkung je 100 kg Dünger]],'#min'!$F$1,FALSE))</f>
        <v/>
      </c>
      <c r="BQ68" s="55" t="str">
        <f>IF(BO68="","",VLOOKUP(BO68,Tab_min[[Mineraldünger]:[Kalkwirkung je 100 kg Dünger]],'#min'!$G$1,FALSE))</f>
        <v/>
      </c>
      <c r="BR68" s="551" t="str">
        <f>IF(BO68="","",VLOOKUP(BO68,Tab_min[[Mineraldünger]:[Kalkwirkung je 100 kg Dünger]],'#min'!$H$1,FALSE))</f>
        <v/>
      </c>
      <c r="BS68" s="551" t="str">
        <f>IF(BO68="","",VLOOKUP(BO68,Tab_min[[Mineraldünger]:[Kalkwirkung je 100 kg Dünger]],'#min'!$J$1,FALSE))</f>
        <v/>
      </c>
      <c r="BT68" s="547" t="str">
        <f t="shared" si="24"/>
        <v/>
      </c>
      <c r="BU68" s="547" t="str">
        <f t="shared" si="25"/>
        <v/>
      </c>
      <c r="BV68" s="239" t="str">
        <f t="shared" si="26"/>
        <v/>
      </c>
      <c r="BW68" s="54" t="str">
        <f t="shared" si="27"/>
        <v/>
      </c>
      <c r="BX68" s="54" t="str">
        <f t="shared" si="28"/>
        <v/>
      </c>
      <c r="BY68" s="54" t="str">
        <f t="shared" si="29"/>
        <v/>
      </c>
      <c r="BZ68" s="54" t="str">
        <f t="shared" si="30"/>
        <v/>
      </c>
      <c r="CA68" s="54" t="str">
        <f t="shared" si="31"/>
        <v/>
      </c>
      <c r="CB68" s="54" t="str">
        <f t="shared" si="32"/>
        <v/>
      </c>
      <c r="CC68" s="54" t="str">
        <f t="shared" si="33"/>
        <v/>
      </c>
      <c r="CD68" s="54" t="str">
        <f t="shared" si="34"/>
        <v/>
      </c>
      <c r="CE68" s="54" t="str">
        <f t="shared" si="35"/>
        <v/>
      </c>
      <c r="CF68" s="46"/>
      <c r="CI68" s="592" t="str">
        <f>IF(CJ68=0,"",'#BerechnungDBE'!I185)</f>
        <v/>
      </c>
      <c r="CJ68" s="816">
        <f>_xlfn.AGGREGATE(14,4,'#BerechnungDBE'!$J$129:$J$494,'#BerechnungDBE'!I185)</f>
        <v>0</v>
      </c>
      <c r="CK68" s="1666" t="str">
        <f>IF(CJ68=0,"",VLOOKUP(CJ68,'#BerechnungDBE'!$J$129:$K$494,2,FALSE))</f>
        <v/>
      </c>
      <c r="CL68" s="1666"/>
    </row>
    <row r="69" spans="20:90" ht="15" customHeight="1" x14ac:dyDescent="0.2">
      <c r="T69" s="46"/>
      <c r="U69" s="46"/>
      <c r="V69" s="46"/>
      <c r="W69" s="594"/>
      <c r="X69" s="547"/>
      <c r="Y69" s="594"/>
      <c r="Z69" s="549" t="str">
        <f>IF(Y69="","",VLOOKUP(Y69,Tab_org21[[Dünger]:[anrechenbarer N bei DBE Grünland]],'#org22'!$L$1,FALSE))</f>
        <v/>
      </c>
      <c r="AA69" s="550"/>
      <c r="AB69" s="549"/>
      <c r="AC69" s="549"/>
      <c r="AD69" s="549"/>
      <c r="AE69" s="549"/>
      <c r="AF69" s="549"/>
      <c r="AG69" s="547"/>
      <c r="AH69" s="547"/>
      <c r="AI69" s="549"/>
      <c r="AJ69" s="549"/>
      <c r="AK69" s="549"/>
      <c r="AL69" s="549"/>
      <c r="AM69" s="549"/>
      <c r="AN69" s="549"/>
      <c r="AO69" s="549"/>
      <c r="AP69" s="549"/>
      <c r="AQ69" s="549"/>
      <c r="AR69" s="549"/>
      <c r="AS69" s="549"/>
      <c r="AT69" s="549"/>
      <c r="AU69" s="549"/>
      <c r="AV69" s="549"/>
      <c r="AW69" s="551"/>
      <c r="AX69" s="549"/>
      <c r="AY69" s="549"/>
      <c r="AZ69" s="549"/>
      <c r="BA69" s="549"/>
      <c r="BB69" s="549"/>
      <c r="BC69" s="549"/>
      <c r="BD69" s="549"/>
      <c r="BE69" s="549"/>
      <c r="BF69" s="549"/>
      <c r="BG69" s="549"/>
      <c r="BH69" s="551"/>
      <c r="BI69" s="551"/>
      <c r="BJ69" s="551"/>
      <c r="BK69" s="551"/>
      <c r="BL69" s="551"/>
      <c r="BM69" s="552" t="str">
        <f>IF(BO69="","",'#minDung'!N183)</f>
        <v/>
      </c>
      <c r="BN69" s="552" t="str">
        <f>IF(BO69="","",VLOOKUP(BO69,'#minDung'!$O$126:$Q$195,'#minDung'!$P$124,FALSE))</f>
        <v/>
      </c>
      <c r="BO69" s="55" t="str">
        <f>'#minDung'!K183</f>
        <v/>
      </c>
      <c r="BP69" s="610" t="str">
        <f>IF(BO69="","",VLOOKUP(BO69,Tab_min[[Mineraldünger]:[Kalkwirkung je 100 kg Dünger]],'#min'!$F$1,FALSE))</f>
        <v/>
      </c>
      <c r="BQ69" s="55" t="str">
        <f>IF(BO69="","",VLOOKUP(BO69,Tab_min[[Mineraldünger]:[Kalkwirkung je 100 kg Dünger]],'#min'!$G$1,FALSE))</f>
        <v/>
      </c>
      <c r="BR69" s="551" t="str">
        <f>IF(BO69="","",VLOOKUP(BO69,Tab_min[[Mineraldünger]:[Kalkwirkung je 100 kg Dünger]],'#min'!$H$1,FALSE))</f>
        <v/>
      </c>
      <c r="BS69" s="551" t="str">
        <f>IF(BO69="","",VLOOKUP(BO69,Tab_min[[Mineraldünger]:[Kalkwirkung je 100 kg Dünger]],'#min'!$J$1,FALSE))</f>
        <v/>
      </c>
      <c r="BT69" s="547" t="str">
        <f t="shared" si="24"/>
        <v/>
      </c>
      <c r="BU69" s="547" t="str">
        <f t="shared" si="25"/>
        <v/>
      </c>
      <c r="BV69" s="239" t="str">
        <f t="shared" si="26"/>
        <v/>
      </c>
      <c r="BW69" s="54" t="str">
        <f t="shared" si="27"/>
        <v/>
      </c>
      <c r="BX69" s="54" t="str">
        <f t="shared" si="28"/>
        <v/>
      </c>
      <c r="BY69" s="54" t="str">
        <f t="shared" si="29"/>
        <v/>
      </c>
      <c r="BZ69" s="54" t="str">
        <f t="shared" si="30"/>
        <v/>
      </c>
      <c r="CA69" s="54" t="str">
        <f t="shared" si="31"/>
        <v/>
      </c>
      <c r="CB69" s="54" t="str">
        <f t="shared" si="32"/>
        <v/>
      </c>
      <c r="CC69" s="54" t="str">
        <f t="shared" si="33"/>
        <v/>
      </c>
      <c r="CD69" s="54" t="str">
        <f t="shared" si="34"/>
        <v/>
      </c>
      <c r="CE69" s="54" t="str">
        <f t="shared" si="35"/>
        <v/>
      </c>
      <c r="CF69" s="46"/>
      <c r="CI69" s="592" t="str">
        <f>IF(CJ69=0,"",'#BerechnungDBE'!I186)</f>
        <v/>
      </c>
      <c r="CJ69" s="816">
        <f>_xlfn.AGGREGATE(14,4,'#BerechnungDBE'!$J$129:$J$494,'#BerechnungDBE'!I186)</f>
        <v>0</v>
      </c>
      <c r="CK69" s="1666" t="str">
        <f>IF(CJ69=0,"",VLOOKUP(CJ69,'#BerechnungDBE'!$J$129:$K$494,2,FALSE))</f>
        <v/>
      </c>
      <c r="CL69" s="1666"/>
    </row>
    <row r="70" spans="20:90" ht="15" customHeight="1" x14ac:dyDescent="0.2">
      <c r="T70" s="46"/>
      <c r="U70" s="46"/>
      <c r="V70" s="46"/>
      <c r="W70" s="594"/>
      <c r="X70" s="547"/>
      <c r="Y70" s="594"/>
      <c r="Z70" s="549" t="str">
        <f>IF(Y70="","",VLOOKUP(Y70,Tab_org21[[Dünger]:[anrechenbarer N bei DBE Grünland]],'#org22'!$L$1,FALSE))</f>
        <v/>
      </c>
      <c r="AA70" s="550"/>
      <c r="AB70" s="549"/>
      <c r="AC70" s="549"/>
      <c r="AD70" s="549"/>
      <c r="AE70" s="549"/>
      <c r="AF70" s="549"/>
      <c r="AG70" s="547"/>
      <c r="AH70" s="547"/>
      <c r="AI70" s="549"/>
      <c r="AJ70" s="549"/>
      <c r="AK70" s="549"/>
      <c r="AL70" s="549"/>
      <c r="AM70" s="549"/>
      <c r="AN70" s="549"/>
      <c r="AO70" s="549"/>
      <c r="AP70" s="549"/>
      <c r="AQ70" s="549"/>
      <c r="AR70" s="549"/>
      <c r="AS70" s="549"/>
      <c r="AT70" s="549"/>
      <c r="AU70" s="549"/>
      <c r="AV70" s="549"/>
      <c r="AW70" s="551"/>
      <c r="AX70" s="549"/>
      <c r="AY70" s="549"/>
      <c r="AZ70" s="549"/>
      <c r="BA70" s="549"/>
      <c r="BB70" s="549"/>
      <c r="BC70" s="549"/>
      <c r="BD70" s="549"/>
      <c r="BE70" s="549"/>
      <c r="BF70" s="549"/>
      <c r="BG70" s="549"/>
      <c r="BH70" s="551"/>
      <c r="BI70" s="551"/>
      <c r="BJ70" s="551"/>
      <c r="BK70" s="551"/>
      <c r="BL70" s="551"/>
      <c r="BM70" s="552" t="str">
        <f>IF(BO70="","",'#minDung'!N184)</f>
        <v/>
      </c>
      <c r="BN70" s="552" t="str">
        <f>IF(BO70="","",VLOOKUP(BO70,'#minDung'!$O$126:$Q$195,'#minDung'!$P$124,FALSE))</f>
        <v/>
      </c>
      <c r="BO70" s="55" t="str">
        <f>'#minDung'!K184</f>
        <v/>
      </c>
      <c r="BP70" s="610" t="str">
        <f>IF(BO70="","",VLOOKUP(BO70,Tab_min[[Mineraldünger]:[Kalkwirkung je 100 kg Dünger]],'#min'!$F$1,FALSE))</f>
        <v/>
      </c>
      <c r="BQ70" s="55" t="str">
        <f>IF(BO70="","",VLOOKUP(BO70,Tab_min[[Mineraldünger]:[Kalkwirkung je 100 kg Dünger]],'#min'!$G$1,FALSE))</f>
        <v/>
      </c>
      <c r="BR70" s="551" t="str">
        <f>IF(BO70="","",VLOOKUP(BO70,Tab_min[[Mineraldünger]:[Kalkwirkung je 100 kg Dünger]],'#min'!$H$1,FALSE))</f>
        <v/>
      </c>
      <c r="BS70" s="551" t="str">
        <f>IF(BO70="","",VLOOKUP(BO70,Tab_min[[Mineraldünger]:[Kalkwirkung je 100 kg Dünger]],'#min'!$J$1,FALSE))</f>
        <v/>
      </c>
      <c r="BT70" s="547" t="str">
        <f t="shared" si="24"/>
        <v/>
      </c>
      <c r="BU70" s="547" t="str">
        <f t="shared" si="25"/>
        <v/>
      </c>
      <c r="BV70" s="239" t="str">
        <f t="shared" si="26"/>
        <v/>
      </c>
      <c r="BW70" s="54" t="str">
        <f t="shared" si="27"/>
        <v/>
      </c>
      <c r="BX70" s="54" t="str">
        <f t="shared" si="28"/>
        <v/>
      </c>
      <c r="BY70" s="54" t="str">
        <f t="shared" si="29"/>
        <v/>
      </c>
      <c r="BZ70" s="54" t="str">
        <f t="shared" si="30"/>
        <v/>
      </c>
      <c r="CA70" s="54" t="str">
        <f t="shared" si="31"/>
        <v/>
      </c>
      <c r="CB70" s="54" t="str">
        <f t="shared" si="32"/>
        <v/>
      </c>
      <c r="CC70" s="54" t="str">
        <f t="shared" si="33"/>
        <v/>
      </c>
      <c r="CD70" s="54" t="str">
        <f t="shared" si="34"/>
        <v/>
      </c>
      <c r="CE70" s="54" t="str">
        <f t="shared" si="35"/>
        <v/>
      </c>
      <c r="CF70" s="46"/>
      <c r="CI70" s="592" t="str">
        <f>IF(CJ70=0,"",'#BerechnungDBE'!I187)</f>
        <v/>
      </c>
      <c r="CJ70" s="816">
        <f>_xlfn.AGGREGATE(14,4,'#BerechnungDBE'!$J$129:$J$494,'#BerechnungDBE'!I187)</f>
        <v>0</v>
      </c>
      <c r="CK70" s="1666" t="str">
        <f>IF(CJ70=0,"",VLOOKUP(CJ70,'#BerechnungDBE'!$J$129:$K$494,2,FALSE))</f>
        <v/>
      </c>
      <c r="CL70" s="1666"/>
    </row>
    <row r="71" spans="20:90" ht="15" customHeight="1" x14ac:dyDescent="0.2">
      <c r="T71" s="46"/>
      <c r="U71" s="46"/>
      <c r="V71" s="46"/>
      <c r="W71" s="594"/>
      <c r="X71" s="547"/>
      <c r="Y71" s="594"/>
      <c r="Z71" s="549" t="str">
        <f>IF(Y71="","",VLOOKUP(Y71,Tab_org21[[Dünger]:[anrechenbarer N bei DBE Grünland]],'#org22'!$L$1,FALSE))</f>
        <v/>
      </c>
      <c r="AA71" s="550"/>
      <c r="AB71" s="549"/>
      <c r="AC71" s="549"/>
      <c r="AD71" s="549"/>
      <c r="AE71" s="549"/>
      <c r="AF71" s="549"/>
      <c r="AG71" s="547"/>
      <c r="AH71" s="547"/>
      <c r="AI71" s="549"/>
      <c r="AJ71" s="549"/>
      <c r="AK71" s="549"/>
      <c r="AL71" s="549"/>
      <c r="AM71" s="549"/>
      <c r="AN71" s="549"/>
      <c r="AO71" s="549"/>
      <c r="AP71" s="549"/>
      <c r="AQ71" s="549"/>
      <c r="AR71" s="549"/>
      <c r="AS71" s="549"/>
      <c r="AT71" s="549"/>
      <c r="AU71" s="549"/>
      <c r="AV71" s="549"/>
      <c r="AW71" s="551"/>
      <c r="AX71" s="549"/>
      <c r="AY71" s="549"/>
      <c r="AZ71" s="549"/>
      <c r="BA71" s="549"/>
      <c r="BB71" s="549"/>
      <c r="BC71" s="549"/>
      <c r="BD71" s="549"/>
      <c r="BE71" s="549"/>
      <c r="BF71" s="549"/>
      <c r="BG71" s="549"/>
      <c r="BH71" s="551"/>
      <c r="BI71" s="551"/>
      <c r="BJ71" s="551"/>
      <c r="BK71" s="551"/>
      <c r="BL71" s="551"/>
      <c r="BM71" s="552" t="str">
        <f>IF(BO71="","",'#minDung'!N185)</f>
        <v/>
      </c>
      <c r="BN71" s="552" t="str">
        <f>IF(BO71="","",VLOOKUP(BO71,'#minDung'!$O$126:$Q$195,'#minDung'!$P$124,FALSE))</f>
        <v/>
      </c>
      <c r="BO71" s="55" t="str">
        <f>'#minDung'!K185</f>
        <v/>
      </c>
      <c r="BP71" s="610" t="str">
        <f>IF(BO71="","",VLOOKUP(BO71,Tab_min[[Mineraldünger]:[Kalkwirkung je 100 kg Dünger]],'#min'!$F$1,FALSE))</f>
        <v/>
      </c>
      <c r="BQ71" s="55" t="str">
        <f>IF(BO71="","",VLOOKUP(BO71,Tab_min[[Mineraldünger]:[Kalkwirkung je 100 kg Dünger]],'#min'!$G$1,FALSE))</f>
        <v/>
      </c>
      <c r="BR71" s="551" t="str">
        <f>IF(BO71="","",VLOOKUP(BO71,Tab_min[[Mineraldünger]:[Kalkwirkung je 100 kg Dünger]],'#min'!$H$1,FALSE))</f>
        <v/>
      </c>
      <c r="BS71" s="551" t="str">
        <f>IF(BO71="","",VLOOKUP(BO71,Tab_min[[Mineraldünger]:[Kalkwirkung je 100 kg Dünger]],'#min'!$J$1,FALSE))</f>
        <v/>
      </c>
      <c r="BT71" s="547" t="str">
        <f t="shared" si="24"/>
        <v/>
      </c>
      <c r="BU71" s="547" t="str">
        <f t="shared" si="25"/>
        <v/>
      </c>
      <c r="BV71" s="239" t="str">
        <f t="shared" si="26"/>
        <v/>
      </c>
      <c r="BW71" s="54" t="str">
        <f t="shared" si="27"/>
        <v/>
      </c>
      <c r="BX71" s="54" t="str">
        <f t="shared" si="28"/>
        <v/>
      </c>
      <c r="BY71" s="54" t="str">
        <f t="shared" si="29"/>
        <v/>
      </c>
      <c r="BZ71" s="54" t="str">
        <f t="shared" si="30"/>
        <v/>
      </c>
      <c r="CA71" s="54" t="str">
        <f t="shared" si="31"/>
        <v/>
      </c>
      <c r="CB71" s="54" t="str">
        <f t="shared" si="32"/>
        <v/>
      </c>
      <c r="CC71" s="54" t="str">
        <f t="shared" si="33"/>
        <v/>
      </c>
      <c r="CD71" s="54" t="str">
        <f t="shared" si="34"/>
        <v/>
      </c>
      <c r="CE71" s="54" t="str">
        <f t="shared" si="35"/>
        <v/>
      </c>
      <c r="CF71" s="46"/>
      <c r="CI71" s="592" t="str">
        <f>IF(CJ71=0,"",'#BerechnungDBE'!I188)</f>
        <v/>
      </c>
      <c r="CJ71" s="816">
        <f>_xlfn.AGGREGATE(14,4,'#BerechnungDBE'!$J$129:$J$494,'#BerechnungDBE'!I188)</f>
        <v>0</v>
      </c>
      <c r="CK71" s="1666" t="str">
        <f>IF(CJ71=0,"",VLOOKUP(CJ71,'#BerechnungDBE'!$J$129:$K$494,2,FALSE))</f>
        <v/>
      </c>
      <c r="CL71" s="1666"/>
    </row>
    <row r="72" spans="20:90" ht="15" customHeight="1" x14ac:dyDescent="0.2">
      <c r="T72" s="46"/>
      <c r="U72" s="46"/>
      <c r="V72" s="46"/>
      <c r="W72" s="594"/>
      <c r="X72" s="547"/>
      <c r="Y72" s="594"/>
      <c r="Z72" s="549" t="str">
        <f>IF(Y72="","",VLOOKUP(Y72,Tab_org21[[Dünger]:[anrechenbarer N bei DBE Grünland]],'#org22'!$L$1,FALSE))</f>
        <v/>
      </c>
      <c r="AA72" s="550"/>
      <c r="AB72" s="549"/>
      <c r="AC72" s="549"/>
      <c r="AD72" s="549"/>
      <c r="AE72" s="549"/>
      <c r="AF72" s="549"/>
      <c r="AG72" s="547"/>
      <c r="AH72" s="547"/>
      <c r="AI72" s="549"/>
      <c r="AJ72" s="549"/>
      <c r="AK72" s="549"/>
      <c r="AL72" s="549"/>
      <c r="AM72" s="549"/>
      <c r="AN72" s="549"/>
      <c r="AO72" s="549"/>
      <c r="AP72" s="549"/>
      <c r="AQ72" s="549"/>
      <c r="AR72" s="549"/>
      <c r="AS72" s="549"/>
      <c r="AT72" s="549"/>
      <c r="AU72" s="549"/>
      <c r="AV72" s="549"/>
      <c r="AW72" s="551"/>
      <c r="AX72" s="549"/>
      <c r="AY72" s="549"/>
      <c r="AZ72" s="549"/>
      <c r="BA72" s="549"/>
      <c r="BB72" s="549"/>
      <c r="BC72" s="549"/>
      <c r="BD72" s="549"/>
      <c r="BE72" s="549"/>
      <c r="BF72" s="549"/>
      <c r="BG72" s="549"/>
      <c r="BH72" s="551"/>
      <c r="BI72" s="551"/>
      <c r="BJ72" s="551"/>
      <c r="BK72" s="551"/>
      <c r="BL72" s="551"/>
      <c r="BM72" s="552" t="str">
        <f>IF(BO72="","",'#minDung'!N186)</f>
        <v/>
      </c>
      <c r="BN72" s="552" t="str">
        <f>IF(BO72="","",VLOOKUP(BO72,'#minDung'!$O$126:$Q$195,'#minDung'!$P$124,FALSE))</f>
        <v/>
      </c>
      <c r="BO72" s="55" t="str">
        <f>'#minDung'!K186</f>
        <v/>
      </c>
      <c r="BP72" s="610" t="str">
        <f>IF(BO72="","",VLOOKUP(BO72,Tab_min[[Mineraldünger]:[Kalkwirkung je 100 kg Dünger]],'#min'!$F$1,FALSE))</f>
        <v/>
      </c>
      <c r="BQ72" s="55" t="str">
        <f>IF(BO72="","",VLOOKUP(BO72,Tab_min[[Mineraldünger]:[Kalkwirkung je 100 kg Dünger]],'#min'!$G$1,FALSE))</f>
        <v/>
      </c>
      <c r="BR72" s="551" t="str">
        <f>IF(BO72="","",VLOOKUP(BO72,Tab_min[[Mineraldünger]:[Kalkwirkung je 100 kg Dünger]],'#min'!$H$1,FALSE))</f>
        <v/>
      </c>
      <c r="BS72" s="551" t="str">
        <f>IF(BO72="","",VLOOKUP(BO72,Tab_min[[Mineraldünger]:[Kalkwirkung je 100 kg Dünger]],'#min'!$J$1,FALSE))</f>
        <v/>
      </c>
      <c r="BT72" s="547" t="str">
        <f t="shared" si="24"/>
        <v/>
      </c>
      <c r="BU72" s="547" t="str">
        <f t="shared" si="25"/>
        <v/>
      </c>
      <c r="BV72" s="239" t="str">
        <f t="shared" si="26"/>
        <v/>
      </c>
      <c r="BW72" s="54" t="str">
        <f t="shared" si="27"/>
        <v/>
      </c>
      <c r="BX72" s="54" t="str">
        <f t="shared" si="28"/>
        <v/>
      </c>
      <c r="BY72" s="54" t="str">
        <f t="shared" si="29"/>
        <v/>
      </c>
      <c r="BZ72" s="54" t="str">
        <f t="shared" si="30"/>
        <v/>
      </c>
      <c r="CA72" s="54" t="str">
        <f t="shared" si="31"/>
        <v/>
      </c>
      <c r="CB72" s="54" t="str">
        <f t="shared" si="32"/>
        <v/>
      </c>
      <c r="CC72" s="54" t="str">
        <f t="shared" si="33"/>
        <v/>
      </c>
      <c r="CD72" s="54" t="str">
        <f t="shared" si="34"/>
        <v/>
      </c>
      <c r="CE72" s="54" t="str">
        <f t="shared" si="35"/>
        <v/>
      </c>
      <c r="CF72" s="46"/>
      <c r="CI72" s="592" t="str">
        <f>IF(CJ72=0,"",'#BerechnungDBE'!I189)</f>
        <v/>
      </c>
      <c r="CJ72" s="816">
        <f>_xlfn.AGGREGATE(14,4,'#BerechnungDBE'!$J$129:$J$494,'#BerechnungDBE'!I189)</f>
        <v>0</v>
      </c>
      <c r="CK72" s="1666" t="str">
        <f>IF(CJ72=0,"",VLOOKUP(CJ72,'#BerechnungDBE'!$J$129:$K$494,2,FALSE))</f>
        <v/>
      </c>
      <c r="CL72" s="1666"/>
    </row>
    <row r="73" spans="20:90" ht="15" customHeight="1" x14ac:dyDescent="0.2">
      <c r="T73" s="46"/>
      <c r="U73" s="46"/>
      <c r="V73" s="46"/>
      <c r="W73" s="594"/>
      <c r="X73" s="547"/>
      <c r="Y73" s="594"/>
      <c r="Z73" s="549" t="str">
        <f>IF(Y73="","",VLOOKUP(Y73,Tab_org21[[Dünger]:[anrechenbarer N bei DBE Grünland]],'#org22'!$L$1,FALSE))</f>
        <v/>
      </c>
      <c r="AA73" s="550"/>
      <c r="AB73" s="549"/>
      <c r="AC73" s="549"/>
      <c r="AD73" s="549"/>
      <c r="AE73" s="549"/>
      <c r="AF73" s="549"/>
      <c r="AG73" s="547"/>
      <c r="AH73" s="547"/>
      <c r="AI73" s="549"/>
      <c r="AJ73" s="549"/>
      <c r="AK73" s="549"/>
      <c r="AL73" s="549"/>
      <c r="AM73" s="549"/>
      <c r="AN73" s="549"/>
      <c r="AO73" s="549"/>
      <c r="AP73" s="549"/>
      <c r="AQ73" s="549"/>
      <c r="AR73" s="549"/>
      <c r="AS73" s="549"/>
      <c r="AT73" s="549"/>
      <c r="AU73" s="549"/>
      <c r="AV73" s="549"/>
      <c r="AW73" s="551"/>
      <c r="AX73" s="549"/>
      <c r="AY73" s="549"/>
      <c r="AZ73" s="549"/>
      <c r="BA73" s="549"/>
      <c r="BB73" s="549"/>
      <c r="BC73" s="549"/>
      <c r="BD73" s="549"/>
      <c r="BE73" s="549"/>
      <c r="BF73" s="549"/>
      <c r="BG73" s="549"/>
      <c r="BH73" s="551"/>
      <c r="BI73" s="551"/>
      <c r="BJ73" s="551"/>
      <c r="BK73" s="551"/>
      <c r="BL73" s="551"/>
      <c r="BM73" s="552" t="str">
        <f>IF(BO73="","",'#minDung'!N187)</f>
        <v/>
      </c>
      <c r="BN73" s="552" t="str">
        <f>IF(BO73="","",VLOOKUP(BO73,'#minDung'!$O$126:$Q$195,'#minDung'!$P$124,FALSE))</f>
        <v/>
      </c>
      <c r="BO73" s="55" t="str">
        <f>'#minDung'!K187</f>
        <v/>
      </c>
      <c r="BP73" s="610" t="str">
        <f>IF(BO73="","",VLOOKUP(BO73,Tab_min[[Mineraldünger]:[Kalkwirkung je 100 kg Dünger]],'#min'!$F$1,FALSE))</f>
        <v/>
      </c>
      <c r="BQ73" s="55" t="str">
        <f>IF(BO73="","",VLOOKUP(BO73,Tab_min[[Mineraldünger]:[Kalkwirkung je 100 kg Dünger]],'#min'!$G$1,FALSE))</f>
        <v/>
      </c>
      <c r="BR73" s="551" t="str">
        <f>IF(BO73="","",VLOOKUP(BO73,Tab_min[[Mineraldünger]:[Kalkwirkung je 100 kg Dünger]],'#min'!$H$1,FALSE))</f>
        <v/>
      </c>
      <c r="BS73" s="551" t="str">
        <f>IF(BO73="","",VLOOKUP(BO73,Tab_min[[Mineraldünger]:[Kalkwirkung je 100 kg Dünger]],'#min'!$J$1,FALSE))</f>
        <v/>
      </c>
      <c r="BT73" s="547" t="str">
        <f t="shared" si="24"/>
        <v/>
      </c>
      <c r="BU73" s="547" t="str">
        <f t="shared" si="25"/>
        <v/>
      </c>
      <c r="BV73" s="239" t="str">
        <f t="shared" si="26"/>
        <v/>
      </c>
      <c r="BW73" s="54" t="str">
        <f t="shared" si="27"/>
        <v/>
      </c>
      <c r="BX73" s="54" t="str">
        <f t="shared" si="28"/>
        <v/>
      </c>
      <c r="BY73" s="54" t="str">
        <f t="shared" si="29"/>
        <v/>
      </c>
      <c r="BZ73" s="54" t="str">
        <f t="shared" si="30"/>
        <v/>
      </c>
      <c r="CA73" s="54" t="str">
        <f t="shared" si="31"/>
        <v/>
      </c>
      <c r="CB73" s="54" t="str">
        <f t="shared" si="32"/>
        <v/>
      </c>
      <c r="CC73" s="54" t="str">
        <f t="shared" si="33"/>
        <v/>
      </c>
      <c r="CD73" s="54" t="str">
        <f t="shared" si="34"/>
        <v/>
      </c>
      <c r="CE73" s="54" t="str">
        <f t="shared" si="35"/>
        <v/>
      </c>
      <c r="CF73" s="46"/>
      <c r="CI73" s="592" t="str">
        <f>IF(CJ73=0,"",'#BerechnungDBE'!I190)</f>
        <v/>
      </c>
      <c r="CJ73" s="816">
        <f>_xlfn.AGGREGATE(14,4,'#BerechnungDBE'!$J$129:$J$494,'#BerechnungDBE'!I190)</f>
        <v>0</v>
      </c>
      <c r="CK73" s="1666" t="str">
        <f>IF(CJ73=0,"",VLOOKUP(CJ73,'#BerechnungDBE'!$J$129:$K$494,2,FALSE))</f>
        <v/>
      </c>
      <c r="CL73" s="1666"/>
    </row>
    <row r="74" spans="20:90" ht="15" customHeight="1" x14ac:dyDescent="0.2">
      <c r="T74" s="46"/>
      <c r="U74" s="46"/>
      <c r="V74" s="46"/>
      <c r="W74" s="594"/>
      <c r="X74" s="547"/>
      <c r="Y74" s="594"/>
      <c r="Z74" s="549" t="str">
        <f>IF(Y74="","",VLOOKUP(Y74,Tab_org21[[Dünger]:[anrechenbarer N bei DBE Grünland]],'#org22'!$L$1,FALSE))</f>
        <v/>
      </c>
      <c r="AA74" s="550"/>
      <c r="AB74" s="549"/>
      <c r="AC74" s="549"/>
      <c r="AD74" s="549"/>
      <c r="AE74" s="549"/>
      <c r="AF74" s="549"/>
      <c r="AG74" s="547"/>
      <c r="AH74" s="547"/>
      <c r="AI74" s="549"/>
      <c r="AJ74" s="549"/>
      <c r="AK74" s="549"/>
      <c r="AL74" s="549"/>
      <c r="AM74" s="549"/>
      <c r="AN74" s="549"/>
      <c r="AO74" s="549"/>
      <c r="AP74" s="549"/>
      <c r="AQ74" s="549"/>
      <c r="AR74" s="549"/>
      <c r="AS74" s="549"/>
      <c r="AT74" s="549"/>
      <c r="AU74" s="549"/>
      <c r="AV74" s="549"/>
      <c r="AW74" s="551"/>
      <c r="AX74" s="549"/>
      <c r="AY74" s="549"/>
      <c r="AZ74" s="549"/>
      <c r="BA74" s="549"/>
      <c r="BB74" s="549"/>
      <c r="BC74" s="549"/>
      <c r="BD74" s="549"/>
      <c r="BE74" s="549"/>
      <c r="BF74" s="549"/>
      <c r="BG74" s="549"/>
      <c r="BH74" s="551"/>
      <c r="BI74" s="551"/>
      <c r="BJ74" s="551"/>
      <c r="BK74" s="551"/>
      <c r="BL74" s="551"/>
      <c r="BM74" s="552" t="str">
        <f>IF(BO74="","",'#minDung'!N188)</f>
        <v/>
      </c>
      <c r="BN74" s="552" t="str">
        <f>IF(BO74="","",VLOOKUP(BO74,'#minDung'!$O$126:$Q$195,'#minDung'!$P$124,FALSE))</f>
        <v/>
      </c>
      <c r="BO74" s="55" t="str">
        <f>'#minDung'!K188</f>
        <v/>
      </c>
      <c r="BP74" s="610" t="str">
        <f>IF(BO74="","",VLOOKUP(BO74,Tab_min[[Mineraldünger]:[Kalkwirkung je 100 kg Dünger]],'#min'!$F$1,FALSE))</f>
        <v/>
      </c>
      <c r="BQ74" s="55" t="str">
        <f>IF(BO74="","",VLOOKUP(BO74,Tab_min[[Mineraldünger]:[Kalkwirkung je 100 kg Dünger]],'#min'!$G$1,FALSE))</f>
        <v/>
      </c>
      <c r="BR74" s="551" t="str">
        <f>IF(BO74="","",VLOOKUP(BO74,Tab_min[[Mineraldünger]:[Kalkwirkung je 100 kg Dünger]],'#min'!$H$1,FALSE))</f>
        <v/>
      </c>
      <c r="BS74" s="551" t="str">
        <f>IF(BO74="","",VLOOKUP(BO74,Tab_min[[Mineraldünger]:[Kalkwirkung je 100 kg Dünger]],'#min'!$J$1,FALSE))</f>
        <v/>
      </c>
      <c r="BT74" s="547" t="str">
        <f t="shared" si="24"/>
        <v/>
      </c>
      <c r="BU74" s="547" t="str">
        <f t="shared" si="25"/>
        <v/>
      </c>
      <c r="BV74" s="239" t="str">
        <f t="shared" si="26"/>
        <v/>
      </c>
      <c r="BW74" s="54" t="str">
        <f t="shared" si="27"/>
        <v/>
      </c>
      <c r="BX74" s="54" t="str">
        <f t="shared" si="28"/>
        <v/>
      </c>
      <c r="BY74" s="54" t="str">
        <f t="shared" si="29"/>
        <v/>
      </c>
      <c r="BZ74" s="54" t="str">
        <f t="shared" si="30"/>
        <v/>
      </c>
      <c r="CA74" s="54" t="str">
        <f t="shared" si="31"/>
        <v/>
      </c>
      <c r="CB74" s="54" t="str">
        <f t="shared" si="32"/>
        <v/>
      </c>
      <c r="CC74" s="54" t="str">
        <f t="shared" si="33"/>
        <v/>
      </c>
      <c r="CD74" s="54" t="str">
        <f t="shared" si="34"/>
        <v/>
      </c>
      <c r="CE74" s="54" t="str">
        <f t="shared" si="35"/>
        <v/>
      </c>
      <c r="CF74" s="46"/>
      <c r="CI74" s="592" t="str">
        <f>IF(CJ74=0,"",'#BerechnungDBE'!I191)</f>
        <v/>
      </c>
      <c r="CJ74" s="816">
        <f>_xlfn.AGGREGATE(14,4,'#BerechnungDBE'!$J$129:$J$494,'#BerechnungDBE'!I191)</f>
        <v>0</v>
      </c>
      <c r="CK74" s="1666" t="str">
        <f>IF(CJ74=0,"",VLOOKUP(CJ74,'#BerechnungDBE'!$J$129:$K$494,2,FALSE))</f>
        <v/>
      </c>
      <c r="CL74" s="1666"/>
    </row>
    <row r="75" spans="20:90" s="46" customFormat="1" ht="15" customHeight="1" x14ac:dyDescent="0.2">
      <c r="W75" s="55"/>
      <c r="X75" s="552"/>
      <c r="Y75" s="55"/>
      <c r="Z75" s="551" t="str">
        <f>IF(Y75="","",VLOOKUP(Y75,Tab_org21[[Dünger]:[anrechenbarer N bei DBE Grünland]],'#org22'!$L$1,FALSE))</f>
        <v/>
      </c>
      <c r="AA75" s="598"/>
      <c r="AB75" s="551"/>
      <c r="AC75" s="551"/>
      <c r="AD75" s="551"/>
      <c r="AE75" s="551"/>
      <c r="AF75" s="551"/>
      <c r="AG75" s="552"/>
      <c r="AH75" s="552"/>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2" t="str">
        <f>IF(BO75="","",'#minDung'!N189)</f>
        <v/>
      </c>
      <c r="BN75" s="552" t="str">
        <f>IF(BO75="","",VLOOKUP(BO75,'#minDung'!$O$126:$Q$195,'#minDung'!$P$124,FALSE))</f>
        <v/>
      </c>
      <c r="BO75" s="55" t="str">
        <f>'#minDung'!K189</f>
        <v/>
      </c>
      <c r="BP75" s="611" t="str">
        <f>IF(BO75="","",VLOOKUP(BO75,Tab_min[[Mineraldünger]:[Kalkwirkung je 100 kg Dünger]],'#min'!$F$1,FALSE))</f>
        <v/>
      </c>
      <c r="BQ75" s="55" t="str">
        <f>IF(BO75="","",VLOOKUP(BO75,Tab_min[[Mineraldünger]:[Kalkwirkung je 100 kg Dünger]],'#min'!$G$1,FALSE))</f>
        <v/>
      </c>
      <c r="BR75" s="551" t="str">
        <f>IF(BO75="","",VLOOKUP(BO75,Tab_min[[Mineraldünger]:[Kalkwirkung je 100 kg Dünger]],'#min'!$H$1,FALSE))</f>
        <v/>
      </c>
      <c r="BS75" s="551" t="str">
        <f>IF(BO75="","",VLOOKUP(BO75,Tab_min[[Mineraldünger]:[Kalkwirkung je 100 kg Dünger]],'#min'!$J$1,FALSE))</f>
        <v/>
      </c>
      <c r="BT75" s="552" t="str">
        <f t="shared" si="24"/>
        <v/>
      </c>
      <c r="BU75" s="552" t="str">
        <f t="shared" si="25"/>
        <v/>
      </c>
      <c r="BV75" s="239" t="str">
        <f t="shared" si="26"/>
        <v/>
      </c>
      <c r="BW75" s="54" t="str">
        <f t="shared" si="27"/>
        <v/>
      </c>
      <c r="BX75" s="54" t="str">
        <f t="shared" si="28"/>
        <v/>
      </c>
      <c r="BY75" s="54" t="str">
        <f t="shared" si="29"/>
        <v/>
      </c>
      <c r="BZ75" s="54" t="str">
        <f t="shared" si="30"/>
        <v/>
      </c>
      <c r="CA75" s="54" t="str">
        <f t="shared" si="31"/>
        <v/>
      </c>
      <c r="CB75" s="54" t="str">
        <f t="shared" si="32"/>
        <v/>
      </c>
      <c r="CC75" s="54" t="str">
        <f t="shared" si="33"/>
        <v/>
      </c>
      <c r="CD75" s="54" t="str">
        <f t="shared" si="34"/>
        <v/>
      </c>
      <c r="CE75" s="54" t="str">
        <f t="shared" si="35"/>
        <v/>
      </c>
      <c r="CI75" s="46" t="str">
        <f>IF(CJ75=0,"",'#BerechnungDBE'!I192)</f>
        <v/>
      </c>
      <c r="CJ75" s="816">
        <f>_xlfn.AGGREGATE(14,4,'#BerechnungDBE'!$J$129:$J$494,'#BerechnungDBE'!I192)</f>
        <v>0</v>
      </c>
      <c r="CK75" s="1666" t="str">
        <f>IF(CJ75=0,"",VLOOKUP(CJ75,'#BerechnungDBE'!$J$129:$K$494,2,FALSE))</f>
        <v/>
      </c>
      <c r="CL75" s="1666"/>
    </row>
    <row r="76" spans="20:90" x14ac:dyDescent="0.2">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N76" s="515"/>
      <c r="BO76" s="46"/>
      <c r="BP76" s="46"/>
      <c r="BQ76" s="46"/>
      <c r="BR76" s="46"/>
      <c r="BS76" s="46"/>
      <c r="BT76" s="46"/>
      <c r="BU76" s="46"/>
      <c r="BV76" s="46"/>
      <c r="BW76" s="46"/>
      <c r="BX76" s="46"/>
      <c r="BY76" s="46"/>
      <c r="BZ76" s="46"/>
      <c r="CA76" s="46"/>
      <c r="CB76" s="46"/>
      <c r="CC76" s="46"/>
      <c r="CD76" s="46"/>
      <c r="CE76" s="46"/>
      <c r="CF76" s="46"/>
      <c r="CI76" s="592" t="str">
        <f>IF(CJ76=0,"",'#BerechnungDBE'!I193)</f>
        <v/>
      </c>
      <c r="CJ76" s="816">
        <f>_xlfn.AGGREGATE(14,4,'#BerechnungDBE'!$J$129:$J$494,'#BerechnungDBE'!I193)</f>
        <v>0</v>
      </c>
      <c r="CK76" s="1666" t="str">
        <f>IF(CJ76=0,"",VLOOKUP(CJ76,'#BerechnungDBE'!$J$129:$K$494,2,FALSE))</f>
        <v/>
      </c>
      <c r="CL76" s="1666"/>
    </row>
    <row r="77" spans="20:90" x14ac:dyDescent="0.2">
      <c r="CI77" s="592" t="str">
        <f>IF(CJ77=0,"",'#BerechnungDBE'!I194)</f>
        <v/>
      </c>
      <c r="CJ77" s="816">
        <f>_xlfn.AGGREGATE(14,4,'#BerechnungDBE'!$J$129:$J$494,'#BerechnungDBE'!I194)</f>
        <v>0</v>
      </c>
      <c r="CK77" s="1666" t="str">
        <f>IF(CJ77=0,"",VLOOKUP(CJ77,'#BerechnungDBE'!$J$129:$K$494,2,FALSE))</f>
        <v/>
      </c>
      <c r="CL77" s="1666"/>
    </row>
    <row r="78" spans="20:90" x14ac:dyDescent="0.2">
      <c r="CI78" s="592" t="str">
        <f>IF(CJ78=0,"",'#BerechnungDBE'!I195)</f>
        <v/>
      </c>
      <c r="CJ78" s="816">
        <f>_xlfn.AGGREGATE(14,4,'#BerechnungDBE'!$J$129:$J$494,'#BerechnungDBE'!I195)</f>
        <v>0</v>
      </c>
      <c r="CK78" s="1666" t="str">
        <f>IF(CJ78=0,"",VLOOKUP(CJ78,'#BerechnungDBE'!$J$129:$K$494,2,FALSE))</f>
        <v/>
      </c>
      <c r="CL78" s="1666"/>
    </row>
    <row r="79" spans="20:90" s="46" customFormat="1" x14ac:dyDescent="0.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N79" s="592"/>
      <c r="BO79" s="592"/>
      <c r="BP79" s="592"/>
      <c r="BQ79" s="592"/>
      <c r="BR79" s="592"/>
      <c r="BS79" s="592"/>
      <c r="BT79" s="592"/>
      <c r="BU79" s="592"/>
      <c r="BV79" s="592"/>
      <c r="BW79" s="592"/>
      <c r="BX79" s="592"/>
      <c r="BY79" s="592"/>
      <c r="BZ79" s="592"/>
      <c r="CA79" s="592"/>
      <c r="CB79" s="592"/>
      <c r="CC79" s="592"/>
      <c r="CD79" s="592"/>
      <c r="CE79" s="592"/>
      <c r="CF79" s="592"/>
      <c r="CI79" s="46" t="str">
        <f>IF(CJ79=0,"",'#BerechnungDBE'!I196)</f>
        <v/>
      </c>
      <c r="CJ79" s="816">
        <f>_xlfn.AGGREGATE(14,4,'#BerechnungDBE'!$J$129:$J$494,'#BerechnungDBE'!I196)</f>
        <v>0</v>
      </c>
      <c r="CK79" s="1666" t="str">
        <f>IF(CJ79=0,"",VLOOKUP(CJ79,'#BerechnungDBE'!$J$129:$K$494,2,FALSE))</f>
        <v/>
      </c>
      <c r="CL79" s="1666"/>
    </row>
    <row r="80" spans="20:90" s="46" customFormat="1" x14ac:dyDescent="0.2">
      <c r="T80" s="592"/>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c r="AS80" s="592"/>
      <c r="AT80" s="592"/>
      <c r="AU80" s="592"/>
      <c r="AV80" s="592"/>
      <c r="AW80" s="592"/>
      <c r="AX80" s="592"/>
      <c r="AY80" s="592"/>
      <c r="AZ80" s="592"/>
      <c r="BA80" s="592"/>
      <c r="BB80" s="592"/>
      <c r="BC80" s="592"/>
      <c r="BD80" s="592"/>
      <c r="BE80" s="592"/>
      <c r="BF80" s="592"/>
      <c r="BG80" s="592"/>
      <c r="BH80" s="592"/>
      <c r="BI80" s="592"/>
      <c r="BJ80" s="592"/>
      <c r="BN80" s="592"/>
      <c r="BO80" s="592"/>
      <c r="BP80" s="592"/>
      <c r="BQ80" s="592"/>
      <c r="BR80" s="592"/>
      <c r="BS80" s="592"/>
      <c r="BT80" s="592"/>
      <c r="BU80" s="592"/>
      <c r="BV80" s="592"/>
      <c r="BW80" s="592"/>
      <c r="BX80" s="592"/>
      <c r="BY80" s="592"/>
      <c r="BZ80" s="592"/>
      <c r="CA80" s="592"/>
      <c r="CB80" s="592"/>
      <c r="CC80" s="592"/>
      <c r="CD80" s="592"/>
      <c r="CE80" s="592"/>
      <c r="CF80" s="592"/>
      <c r="CI80" s="46" t="str">
        <f>IF(CJ80=0,"",'#BerechnungDBE'!I197)</f>
        <v/>
      </c>
      <c r="CJ80" s="816">
        <f>_xlfn.AGGREGATE(14,4,'#BerechnungDBE'!$J$129:$J$494,'#BerechnungDBE'!I197)</f>
        <v>0</v>
      </c>
      <c r="CK80" s="1666" t="str">
        <f>IF(CJ80=0,"",VLOOKUP(CJ80,'#BerechnungDBE'!$J$129:$K$494,2,FALSE))</f>
        <v/>
      </c>
      <c r="CL80" s="1666"/>
    </row>
    <row r="81" spans="20:90" s="46" customFormat="1" x14ac:dyDescent="0.2">
      <c r="T81" s="592"/>
      <c r="U81" s="592"/>
      <c r="V81" s="592"/>
      <c r="W81" s="592"/>
      <c r="X81" s="72"/>
      <c r="Y81" s="31"/>
      <c r="Z81" s="31"/>
      <c r="AA81" s="31"/>
      <c r="AB81" s="31"/>
      <c r="AC81" s="31"/>
      <c r="AD81" s="31"/>
      <c r="AE81" s="31"/>
      <c r="AF81" s="31"/>
      <c r="AG81" s="31"/>
      <c r="AH81" s="31"/>
      <c r="AI81" s="31"/>
      <c r="AJ81" s="31"/>
      <c r="AK81" s="592"/>
      <c r="AL81" s="592"/>
      <c r="AM81" s="592"/>
      <c r="AN81" s="592"/>
      <c r="AO81" s="592"/>
      <c r="AP81" s="592"/>
      <c r="AQ81" s="592"/>
      <c r="AR81" s="592"/>
      <c r="AS81" s="592"/>
      <c r="AT81" s="592"/>
      <c r="AU81" s="592"/>
      <c r="AV81" s="592"/>
      <c r="AW81" s="592"/>
      <c r="AX81" s="592"/>
      <c r="AY81" s="592"/>
      <c r="AZ81" s="592"/>
      <c r="BA81" s="592"/>
      <c r="BB81" s="592"/>
      <c r="BC81" s="592"/>
      <c r="BD81" s="592"/>
      <c r="BE81" s="592"/>
      <c r="BF81" s="592"/>
      <c r="BG81" s="592"/>
      <c r="BH81" s="592"/>
      <c r="BI81" s="592"/>
      <c r="BJ81" s="592"/>
      <c r="BN81" s="592"/>
      <c r="BO81" s="592"/>
      <c r="BP81" s="592"/>
      <c r="BQ81" s="592"/>
      <c r="BR81" s="592"/>
      <c r="BS81" s="592"/>
      <c r="BT81" s="592"/>
      <c r="BU81" s="592"/>
      <c r="BV81" s="592"/>
      <c r="BW81" s="592"/>
      <c r="BX81" s="592"/>
      <c r="BY81" s="592"/>
      <c r="BZ81" s="592"/>
      <c r="CA81" s="592"/>
      <c r="CB81" s="592"/>
      <c r="CC81" s="592"/>
      <c r="CD81" s="592"/>
      <c r="CE81" s="592"/>
      <c r="CF81" s="592"/>
      <c r="CI81" s="46" t="str">
        <f>IF(CJ81=0,"",'#BerechnungDBE'!I198)</f>
        <v/>
      </c>
      <c r="CJ81" s="816">
        <f>_xlfn.AGGREGATE(14,4,'#BerechnungDBE'!$J$129:$J$494,'#BerechnungDBE'!I198)</f>
        <v>0</v>
      </c>
      <c r="CK81" s="1666" t="str">
        <f>IF(CJ81=0,"",VLOOKUP(CJ81,'#BerechnungDBE'!$J$129:$K$494,2,FALSE))</f>
        <v/>
      </c>
      <c r="CL81" s="1666"/>
    </row>
    <row r="82" spans="20:90" s="46" customFormat="1" x14ac:dyDescent="0.2">
      <c r="T82" s="592"/>
      <c r="U82" s="592"/>
      <c r="V82" s="592"/>
      <c r="W82" s="592"/>
      <c r="X82" s="72"/>
      <c r="Y82" s="31"/>
      <c r="Z82" s="31"/>
      <c r="AA82" s="292"/>
      <c r="AB82" s="292"/>
      <c r="AC82" s="292"/>
      <c r="AD82" s="31"/>
      <c r="AE82" s="292"/>
      <c r="AF82" s="292"/>
      <c r="AG82" s="292"/>
      <c r="AH82" s="292"/>
      <c r="AI82" s="292"/>
      <c r="AJ82" s="292"/>
      <c r="AK82" s="292"/>
      <c r="AL82" s="292"/>
      <c r="AM82" s="292"/>
      <c r="AN82" s="292"/>
      <c r="AO82" s="292"/>
      <c r="AP82" s="292"/>
      <c r="AQ82" s="292"/>
      <c r="AR82" s="292"/>
      <c r="AS82" s="292"/>
      <c r="AT82" s="292"/>
      <c r="AU82" s="292"/>
      <c r="AV82" s="592"/>
      <c r="AW82" s="592"/>
      <c r="AX82" s="592"/>
      <c r="AY82" s="592"/>
      <c r="AZ82" s="592"/>
      <c r="BA82" s="592"/>
      <c r="BB82" s="592"/>
      <c r="BC82" s="592"/>
      <c r="BD82" s="592"/>
      <c r="BE82" s="592"/>
      <c r="BF82" s="592"/>
      <c r="BG82" s="592"/>
      <c r="BH82" s="592"/>
      <c r="BI82" s="592"/>
      <c r="BJ82" s="592"/>
      <c r="BN82" s="592"/>
      <c r="BO82" s="592"/>
      <c r="BP82" s="592"/>
      <c r="BQ82" s="592"/>
      <c r="BR82" s="592"/>
      <c r="BS82" s="592"/>
      <c r="BT82" s="592"/>
      <c r="BU82" s="592"/>
      <c r="BV82" s="592"/>
      <c r="BW82" s="592"/>
      <c r="BX82" s="592"/>
      <c r="BY82" s="592"/>
      <c r="BZ82" s="592"/>
      <c r="CA82" s="592"/>
      <c r="CB82" s="592"/>
      <c r="CC82" s="592"/>
      <c r="CD82" s="592"/>
      <c r="CE82" s="592"/>
      <c r="CF82" s="592"/>
      <c r="CI82" s="46" t="str">
        <f>IF(CJ82=0,"",'#BerechnungDBE'!I199)</f>
        <v/>
      </c>
      <c r="CJ82" s="816">
        <f>_xlfn.AGGREGATE(14,4,'#BerechnungDBE'!$J$129:$J$494,'#BerechnungDBE'!I199)</f>
        <v>0</v>
      </c>
      <c r="CK82" s="1666" t="str">
        <f>IF(CJ82=0,"",VLOOKUP(CJ82,'#BerechnungDBE'!$J$129:$K$494,2,FALSE))</f>
        <v/>
      </c>
      <c r="CL82" s="1666"/>
    </row>
    <row r="83" spans="20:90" s="46" customFormat="1" x14ac:dyDescent="0.2">
      <c r="T83" s="592"/>
      <c r="U83" s="592"/>
      <c r="V83" s="592"/>
      <c r="W83" s="592"/>
      <c r="X83" s="72"/>
      <c r="Y83" s="31"/>
      <c r="Z83" s="31"/>
      <c r="AA83" s="72"/>
      <c r="AB83" s="31"/>
      <c r="AC83" s="31"/>
      <c r="AD83" s="31"/>
      <c r="AE83" s="292"/>
      <c r="AF83" s="292"/>
      <c r="AG83" s="292"/>
      <c r="AH83" s="292"/>
      <c r="AI83" s="292"/>
      <c r="AJ83" s="292"/>
      <c r="AK83" s="292"/>
      <c r="AL83" s="72"/>
      <c r="AM83" s="72"/>
      <c r="AN83" s="72"/>
      <c r="AO83" s="72"/>
      <c r="AP83" s="597"/>
      <c r="AQ83" s="597"/>
      <c r="AR83" s="597"/>
      <c r="AS83" s="597"/>
      <c r="AT83" s="597"/>
      <c r="AU83" s="597"/>
      <c r="AV83" s="592"/>
      <c r="AW83" s="592"/>
      <c r="AX83" s="592"/>
      <c r="AY83" s="592"/>
      <c r="AZ83" s="592"/>
      <c r="BA83" s="592"/>
      <c r="BB83" s="592"/>
      <c r="BC83" s="592"/>
      <c r="BD83" s="592"/>
      <c r="BE83" s="592"/>
      <c r="BF83" s="592"/>
      <c r="BG83" s="592"/>
      <c r="BH83" s="592"/>
      <c r="BI83" s="592"/>
      <c r="BJ83" s="592"/>
      <c r="BN83" s="592"/>
      <c r="BO83" s="592"/>
      <c r="BP83" s="592"/>
      <c r="BQ83" s="592"/>
      <c r="BR83" s="592"/>
      <c r="BS83" s="592"/>
      <c r="BT83" s="592"/>
      <c r="BU83" s="592"/>
      <c r="BV83" s="592"/>
      <c r="BW83" s="592"/>
      <c r="BX83" s="592"/>
      <c r="BY83" s="592"/>
      <c r="BZ83" s="592"/>
      <c r="CA83" s="592"/>
      <c r="CB83" s="592"/>
      <c r="CC83" s="592"/>
      <c r="CD83" s="592"/>
      <c r="CE83" s="592"/>
      <c r="CF83" s="592"/>
      <c r="CI83" s="46" t="str">
        <f>IF(CJ83=0,"",'#BerechnungDBE'!I200)</f>
        <v/>
      </c>
      <c r="CJ83" s="816">
        <f>_xlfn.AGGREGATE(14,4,'#BerechnungDBE'!$J$129:$J$494,'#BerechnungDBE'!I200)</f>
        <v>0</v>
      </c>
      <c r="CK83" s="1666" t="str">
        <f>IF(CJ83=0,"",VLOOKUP(CJ83,'#BerechnungDBE'!$J$129:$K$494,2,FALSE))</f>
        <v/>
      </c>
      <c r="CL83" s="1666"/>
    </row>
    <row r="84" spans="20:90" s="46" customFormat="1" x14ac:dyDescent="0.2">
      <c r="T84" s="592"/>
      <c r="U84" s="592"/>
      <c r="V84" s="592"/>
      <c r="W84" s="592"/>
      <c r="X84" s="72"/>
      <c r="Y84" s="72"/>
      <c r="Z84" s="31"/>
      <c r="AA84" s="72"/>
      <c r="AB84" s="72"/>
      <c r="AC84" s="72"/>
      <c r="AD84" s="72"/>
      <c r="AE84" s="72"/>
      <c r="AF84" s="72"/>
      <c r="AG84" s="72"/>
      <c r="AH84" s="72"/>
      <c r="AI84" s="31"/>
      <c r="AJ84" s="72"/>
      <c r="AK84" s="597"/>
      <c r="AL84" s="597"/>
      <c r="AM84" s="597"/>
      <c r="AN84" s="597"/>
      <c r="AO84" s="592"/>
      <c r="AP84" s="597"/>
      <c r="AQ84" s="597"/>
      <c r="AR84" s="597"/>
      <c r="AS84" s="597"/>
      <c r="AT84" s="597"/>
      <c r="AU84" s="592"/>
      <c r="AV84" s="592"/>
      <c r="AW84" s="592"/>
      <c r="AX84" s="592"/>
      <c r="AY84" s="597"/>
      <c r="AZ84" s="597"/>
      <c r="BA84" s="597"/>
      <c r="BB84" s="592"/>
      <c r="BC84" s="592"/>
      <c r="BD84" s="592"/>
      <c r="BE84" s="592"/>
      <c r="BF84" s="592"/>
      <c r="BG84" s="592"/>
      <c r="BH84" s="592"/>
      <c r="BI84" s="592"/>
      <c r="BJ84" s="592"/>
      <c r="BN84" s="592"/>
      <c r="BO84" s="592"/>
      <c r="BP84" s="592"/>
      <c r="BQ84" s="592"/>
      <c r="BR84" s="592"/>
      <c r="BS84" s="592"/>
      <c r="BT84" s="592"/>
      <c r="BU84" s="592"/>
      <c r="BV84" s="592"/>
      <c r="BW84" s="592"/>
      <c r="BX84" s="592"/>
      <c r="BY84" s="592"/>
      <c r="BZ84" s="592"/>
      <c r="CA84" s="592"/>
      <c r="CB84" s="592"/>
      <c r="CC84" s="592"/>
      <c r="CD84" s="592"/>
      <c r="CE84" s="592"/>
      <c r="CF84" s="592"/>
      <c r="CI84" s="46" t="str">
        <f>IF(CJ84=0,"",'#BerechnungDBE'!I201)</f>
        <v/>
      </c>
      <c r="CJ84" s="816">
        <f>_xlfn.AGGREGATE(14,4,'#BerechnungDBE'!$J$129:$J$494,'#BerechnungDBE'!I201)</f>
        <v>0</v>
      </c>
      <c r="CK84" s="1666" t="str">
        <f>IF(CJ84=0,"",VLOOKUP(CJ84,'#BerechnungDBE'!$J$129:$K$494,2,FALSE))</f>
        <v/>
      </c>
      <c r="CL84" s="1666"/>
    </row>
    <row r="85" spans="20:90" s="46" customFormat="1" x14ac:dyDescent="0.2">
      <c r="T85" s="592"/>
      <c r="U85" s="592"/>
      <c r="V85" s="592"/>
      <c r="W85" s="592"/>
      <c r="X85" s="72"/>
      <c r="Y85" s="72"/>
      <c r="Z85" s="31"/>
      <c r="AA85" s="72"/>
      <c r="AB85" s="72"/>
      <c r="AC85" s="72"/>
      <c r="AD85" s="72"/>
      <c r="AE85" s="72"/>
      <c r="AF85" s="72"/>
      <c r="AG85" s="72"/>
      <c r="AH85" s="72"/>
      <c r="AI85" s="72"/>
      <c r="AJ85" s="72"/>
      <c r="AK85" s="597"/>
      <c r="AL85" s="592"/>
      <c r="AM85" s="592"/>
      <c r="AN85" s="592"/>
      <c r="AO85" s="592"/>
      <c r="AP85" s="597"/>
      <c r="AQ85" s="597"/>
      <c r="AR85" s="592"/>
      <c r="AS85" s="592"/>
      <c r="AT85" s="592"/>
      <c r="AU85" s="592"/>
      <c r="AV85" s="592"/>
      <c r="AW85" s="592"/>
      <c r="AX85" s="592"/>
      <c r="AY85" s="597"/>
      <c r="AZ85" s="597"/>
      <c r="BA85" s="597"/>
      <c r="BB85" s="592"/>
      <c r="BC85" s="592"/>
      <c r="BD85" s="592"/>
      <c r="BE85" s="592"/>
      <c r="BF85" s="592"/>
      <c r="BG85" s="592"/>
      <c r="BH85" s="592"/>
      <c r="BI85" s="592"/>
      <c r="BJ85" s="592"/>
      <c r="BN85" s="592"/>
      <c r="BO85" s="592"/>
      <c r="BP85" s="592"/>
      <c r="BQ85" s="592"/>
      <c r="BR85" s="592"/>
      <c r="BS85" s="592"/>
      <c r="BT85" s="592"/>
      <c r="BU85" s="592"/>
      <c r="BV85" s="592"/>
      <c r="BW85" s="592"/>
      <c r="BX85" s="592"/>
      <c r="BY85" s="592"/>
      <c r="BZ85" s="592"/>
      <c r="CA85" s="592"/>
      <c r="CB85" s="592"/>
      <c r="CC85" s="592"/>
      <c r="CD85" s="592"/>
      <c r="CE85" s="592"/>
      <c r="CF85" s="592"/>
      <c r="CI85" s="46" t="str">
        <f>IF(CJ85=0,"",'#BerechnungDBE'!I202)</f>
        <v/>
      </c>
      <c r="CJ85" s="816">
        <f>_xlfn.AGGREGATE(14,4,'#BerechnungDBE'!$J$129:$J$494,'#BerechnungDBE'!I202)</f>
        <v>0</v>
      </c>
      <c r="CK85" s="1666" t="str">
        <f>IF(CJ85=0,"",VLOOKUP(CJ85,'#BerechnungDBE'!$J$129:$K$494,2,FALSE))</f>
        <v/>
      </c>
      <c r="CL85" s="1666"/>
    </row>
    <row r="86" spans="20:90" s="46" customFormat="1" x14ac:dyDescent="0.2">
      <c r="T86" s="592"/>
      <c r="U86" s="592"/>
      <c r="V86" s="592"/>
      <c r="W86" s="592"/>
      <c r="X86" s="72"/>
      <c r="Y86" s="72"/>
      <c r="Z86" s="31"/>
      <c r="AA86" s="72"/>
      <c r="AB86" s="72"/>
      <c r="AC86" s="72"/>
      <c r="AD86" s="72"/>
      <c r="AE86" s="72"/>
      <c r="AF86" s="72"/>
      <c r="AG86" s="72"/>
      <c r="AH86" s="72"/>
      <c r="AI86" s="72"/>
      <c r="AJ86" s="72"/>
      <c r="AK86" s="597"/>
      <c r="AL86" s="592"/>
      <c r="AM86" s="592"/>
      <c r="AN86" s="592"/>
      <c r="AO86" s="592"/>
      <c r="AP86" s="597"/>
      <c r="AQ86" s="597"/>
      <c r="AR86" s="592"/>
      <c r="AS86" s="592"/>
      <c r="AT86" s="592"/>
      <c r="AU86" s="592"/>
      <c r="AV86" s="592"/>
      <c r="AW86" s="592"/>
      <c r="AX86" s="592"/>
      <c r="AY86" s="597"/>
      <c r="AZ86" s="597"/>
      <c r="BA86" s="597"/>
      <c r="BB86" s="592"/>
      <c r="BC86" s="592"/>
      <c r="BD86" s="592"/>
      <c r="BE86" s="592"/>
      <c r="BH86" s="592"/>
      <c r="BI86" s="592"/>
      <c r="BJ86" s="592"/>
      <c r="BN86" s="592"/>
      <c r="BO86" s="592"/>
      <c r="BP86" s="592"/>
      <c r="BQ86" s="592"/>
      <c r="BR86" s="592"/>
      <c r="BS86" s="592"/>
      <c r="BT86" s="592"/>
      <c r="BU86" s="592"/>
      <c r="BV86" s="592"/>
      <c r="BW86" s="592"/>
      <c r="BX86" s="592"/>
      <c r="BY86" s="592"/>
      <c r="BZ86" s="592"/>
      <c r="CA86" s="592"/>
      <c r="CB86" s="592"/>
      <c r="CC86" s="592"/>
      <c r="CD86" s="592"/>
      <c r="CE86" s="592"/>
      <c r="CF86" s="592"/>
      <c r="CI86" s="46" t="str">
        <f>IF(CJ86=0,"",'#BerechnungDBE'!I203)</f>
        <v/>
      </c>
      <c r="CJ86" s="816">
        <f>_xlfn.AGGREGATE(14,4,'#BerechnungDBE'!$J$129:$J$494,'#BerechnungDBE'!I203)</f>
        <v>0</v>
      </c>
      <c r="CK86" s="1666" t="str">
        <f>IF(CJ86=0,"",VLOOKUP(CJ86,'#BerechnungDBE'!$J$129:$K$494,2,FALSE))</f>
        <v/>
      </c>
      <c r="CL86" s="1666"/>
    </row>
    <row r="87" spans="20:90" s="46" customFormat="1" x14ac:dyDescent="0.2">
      <c r="X87" s="248"/>
      <c r="Y87" s="72"/>
      <c r="Z87" s="245"/>
      <c r="AA87" s="248"/>
      <c r="AB87" s="248"/>
      <c r="AC87" s="248"/>
      <c r="AD87" s="248"/>
      <c r="AE87" s="245"/>
      <c r="AF87" s="245"/>
      <c r="AG87" s="245"/>
      <c r="AH87" s="245"/>
      <c r="AI87" s="248"/>
      <c r="AJ87" s="248"/>
      <c r="AK87" s="77"/>
      <c r="AY87" s="77"/>
      <c r="AZ87" s="77"/>
      <c r="BA87" s="77"/>
      <c r="BF87" s="77"/>
      <c r="BG87" s="77"/>
      <c r="CI87" s="46" t="str">
        <f>IF(CJ87=0,"",'#BerechnungDBE'!I204)</f>
        <v/>
      </c>
      <c r="CJ87" s="816">
        <f>_xlfn.AGGREGATE(14,4,'#BerechnungDBE'!$J$129:$J$494,'#BerechnungDBE'!I204)</f>
        <v>0</v>
      </c>
      <c r="CK87" s="1666" t="str">
        <f>IF(CJ87=0,"",VLOOKUP(CJ87,'#BerechnungDBE'!$J$129:$K$494,2,FALSE))</f>
        <v/>
      </c>
      <c r="CL87" s="1666"/>
    </row>
    <row r="88" spans="20:90" s="46" customFormat="1" x14ac:dyDescent="0.2">
      <c r="X88" s="248"/>
      <c r="Y88" s="248"/>
      <c r="Z88" s="245"/>
      <c r="AA88" s="248"/>
      <c r="AB88" s="248"/>
      <c r="AC88" s="248"/>
      <c r="AD88" s="248"/>
      <c r="AE88" s="245"/>
      <c r="AF88" s="245"/>
      <c r="AG88" s="245"/>
      <c r="AH88" s="245"/>
      <c r="AI88" s="245"/>
      <c r="AJ88" s="245"/>
      <c r="AW88" s="245"/>
      <c r="AX88" s="248"/>
      <c r="AY88" s="248"/>
      <c r="AZ88" s="248"/>
      <c r="BA88" s="248"/>
      <c r="BB88" s="245"/>
      <c r="BC88" s="815"/>
      <c r="BD88" s="815"/>
      <c r="BE88" s="245"/>
      <c r="BF88" s="248"/>
      <c r="BG88" s="245"/>
      <c r="CI88" s="46" t="str">
        <f>IF(CJ88=0,"",'#BerechnungDBE'!I205)</f>
        <v/>
      </c>
      <c r="CJ88" s="816">
        <f>_xlfn.AGGREGATE(14,4,'#BerechnungDBE'!$J$129:$J$494,'#BerechnungDBE'!I205)</f>
        <v>0</v>
      </c>
      <c r="CK88" s="1666" t="str">
        <f>IF(CJ88=0,"",VLOOKUP(CJ88,'#BerechnungDBE'!$J$129:$K$494,2,FALSE))</f>
        <v/>
      </c>
      <c r="CL88" s="1666"/>
    </row>
    <row r="89" spans="20:90" s="46" customFormat="1" x14ac:dyDescent="0.2">
      <c r="X89" s="248"/>
      <c r="Y89" s="248"/>
      <c r="Z89" s="248"/>
      <c r="AA89" s="248"/>
      <c r="AB89" s="248"/>
      <c r="AC89" s="248"/>
      <c r="AD89" s="248"/>
      <c r="AE89" s="248"/>
      <c r="AF89" s="248"/>
      <c r="AG89" s="248"/>
      <c r="AH89" s="248"/>
      <c r="AI89" s="248"/>
      <c r="AJ89" s="248"/>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CI89" s="46" t="str">
        <f>IF(CJ89=0,"",'#BerechnungDBE'!I206)</f>
        <v/>
      </c>
      <c r="CJ89" s="816">
        <f>_xlfn.AGGREGATE(14,4,'#BerechnungDBE'!$J$129:$J$494,'#BerechnungDBE'!I206)</f>
        <v>0</v>
      </c>
      <c r="CK89" s="1666" t="str">
        <f>IF(CJ89=0,"",VLOOKUP(CJ89,'#BerechnungDBE'!$J$129:$K$494,2,FALSE))</f>
        <v/>
      </c>
      <c r="CL89" s="1666"/>
    </row>
    <row r="90" spans="20:90" s="46" customFormat="1" x14ac:dyDescent="0.2">
      <c r="T90" s="592"/>
      <c r="U90" s="592"/>
      <c r="V90" s="592"/>
      <c r="W90" s="592"/>
      <c r="X90" s="31"/>
      <c r="Y90" s="31"/>
      <c r="Z90" s="31"/>
      <c r="AA90" s="31"/>
      <c r="AB90" s="31"/>
      <c r="AC90" s="31"/>
      <c r="AD90" s="31"/>
      <c r="AE90" s="31"/>
      <c r="AF90" s="31"/>
      <c r="AG90" s="31"/>
      <c r="AH90" s="31"/>
      <c r="AI90" s="31"/>
      <c r="AJ90" s="31"/>
      <c r="AK90" s="592"/>
      <c r="AL90" s="592"/>
      <c r="AM90" s="592"/>
      <c r="AN90" s="592"/>
      <c r="AO90" s="592"/>
      <c r="AP90" s="592"/>
      <c r="AQ90" s="592"/>
      <c r="AR90" s="592"/>
      <c r="AS90" s="592"/>
      <c r="AT90" s="592"/>
      <c r="AU90" s="592"/>
      <c r="AV90" s="592"/>
      <c r="AW90" s="592"/>
      <c r="AX90" s="592"/>
      <c r="AY90" s="592"/>
      <c r="AZ90" s="592"/>
      <c r="BA90" s="592"/>
      <c r="BB90" s="52"/>
      <c r="BC90" s="52"/>
      <c r="BD90" s="52"/>
      <c r="BE90" s="592"/>
      <c r="BF90" s="592"/>
      <c r="BG90" s="592"/>
      <c r="BH90" s="592"/>
      <c r="BI90" s="592"/>
      <c r="BJ90" s="592"/>
      <c r="BN90" s="592"/>
      <c r="BO90" s="592"/>
      <c r="BP90" s="592"/>
      <c r="BQ90" s="592"/>
      <c r="BR90" s="592"/>
      <c r="BS90" s="592"/>
      <c r="BT90" s="592"/>
      <c r="BU90" s="592"/>
      <c r="BV90" s="592"/>
      <c r="BW90" s="592"/>
      <c r="BX90" s="592"/>
      <c r="BY90" s="592"/>
      <c r="BZ90" s="592"/>
      <c r="CA90" s="592"/>
      <c r="CB90" s="592"/>
      <c r="CC90" s="592"/>
      <c r="CD90" s="592"/>
      <c r="CE90" s="592"/>
      <c r="CF90" s="592"/>
      <c r="CI90" s="46" t="str">
        <f>IF(CJ90=0,"",'#BerechnungDBE'!I207)</f>
        <v/>
      </c>
      <c r="CJ90" s="816">
        <f>_xlfn.AGGREGATE(14,4,'#BerechnungDBE'!$J$129:$J$494,'#BerechnungDBE'!I207)</f>
        <v>0</v>
      </c>
      <c r="CK90" s="1666" t="str">
        <f>IF(CJ90=0,"",VLOOKUP(CJ90,'#BerechnungDBE'!$J$129:$K$494,2,FALSE))</f>
        <v/>
      </c>
      <c r="CL90" s="1666"/>
    </row>
    <row r="91" spans="20:90" s="46" customFormat="1" x14ac:dyDescent="0.2">
      <c r="T91" s="592"/>
      <c r="U91" s="592"/>
      <c r="V91" s="592"/>
      <c r="W91" s="592"/>
      <c r="X91" s="31"/>
      <c r="Y91" s="31"/>
      <c r="Z91" s="31"/>
      <c r="AA91" s="31"/>
      <c r="AB91" s="31"/>
      <c r="AC91" s="31"/>
      <c r="AD91" s="31"/>
      <c r="AE91" s="31"/>
      <c r="AF91" s="31"/>
      <c r="AG91" s="31"/>
      <c r="AH91" s="31"/>
      <c r="AI91" s="31"/>
      <c r="AJ91" s="31"/>
      <c r="AK91" s="592"/>
      <c r="AL91" s="592"/>
      <c r="AM91" s="592"/>
      <c r="AN91" s="592"/>
      <c r="AO91" s="592"/>
      <c r="AP91" s="592"/>
      <c r="AQ91" s="592"/>
      <c r="AR91" s="592"/>
      <c r="AS91" s="592"/>
      <c r="AT91" s="592"/>
      <c r="AU91" s="592"/>
      <c r="AV91" s="592"/>
      <c r="AW91" s="592"/>
      <c r="AX91" s="592"/>
      <c r="AY91" s="592"/>
      <c r="AZ91" s="592"/>
      <c r="BA91" s="592"/>
      <c r="BB91" s="52"/>
      <c r="BC91" s="52"/>
      <c r="BD91" s="52"/>
      <c r="BE91" s="592"/>
      <c r="BF91" s="592"/>
      <c r="BG91" s="592"/>
      <c r="BH91" s="592"/>
      <c r="BI91" s="592"/>
      <c r="BJ91" s="592"/>
      <c r="BN91" s="592"/>
      <c r="BO91" s="592"/>
      <c r="BP91" s="592"/>
      <c r="BQ91" s="592"/>
      <c r="BR91" s="592"/>
      <c r="BS91" s="592"/>
      <c r="BT91" s="592"/>
      <c r="BU91" s="592"/>
      <c r="BV91" s="592"/>
      <c r="BW91" s="592"/>
      <c r="BX91" s="592"/>
      <c r="BY91" s="592"/>
      <c r="BZ91" s="592"/>
      <c r="CA91" s="592"/>
      <c r="CB91" s="592"/>
      <c r="CC91" s="592"/>
      <c r="CD91" s="592"/>
      <c r="CE91" s="592"/>
      <c r="CF91" s="592"/>
      <c r="CI91" s="46" t="str">
        <f>IF(CJ91=0,"",'#BerechnungDBE'!I208)</f>
        <v/>
      </c>
      <c r="CJ91" s="816">
        <f>_xlfn.AGGREGATE(14,4,'#BerechnungDBE'!$J$129:$J$494,'#BerechnungDBE'!I208)</f>
        <v>0</v>
      </c>
      <c r="CK91" s="1666" t="str">
        <f>IF(CJ91=0,"",VLOOKUP(CJ91,'#BerechnungDBE'!$J$129:$K$494,2,FALSE))</f>
        <v/>
      </c>
      <c r="CL91" s="1666"/>
    </row>
    <row r="92" spans="20:90" s="46" customFormat="1" x14ac:dyDescent="0.2">
      <c r="T92" s="592"/>
      <c r="U92" s="592"/>
      <c r="V92" s="592"/>
      <c r="W92" s="592"/>
      <c r="X92" s="31"/>
      <c r="Y92" s="31"/>
      <c r="Z92" s="31"/>
      <c r="AA92" s="31"/>
      <c r="AB92" s="31"/>
      <c r="AC92" s="31"/>
      <c r="AD92" s="31"/>
      <c r="AE92" s="31"/>
      <c r="AF92" s="31"/>
      <c r="AG92" s="31"/>
      <c r="AH92" s="31"/>
      <c r="AI92" s="31"/>
      <c r="AJ92" s="31"/>
      <c r="AK92" s="592"/>
      <c r="AL92" s="592"/>
      <c r="AM92" s="592"/>
      <c r="AN92" s="592"/>
      <c r="AO92" s="592"/>
      <c r="AP92" s="592"/>
      <c r="AQ92" s="592"/>
      <c r="AR92" s="592"/>
      <c r="AS92" s="592"/>
      <c r="AT92" s="592"/>
      <c r="AU92" s="592"/>
      <c r="AV92" s="592"/>
      <c r="AW92" s="592"/>
      <c r="AX92" s="592"/>
      <c r="AY92" s="592"/>
      <c r="AZ92" s="592"/>
      <c r="BA92" s="592"/>
      <c r="BB92" s="52"/>
      <c r="BC92" s="52"/>
      <c r="BD92" s="52"/>
      <c r="BE92" s="592"/>
      <c r="BF92" s="592"/>
      <c r="BG92" s="592"/>
      <c r="BH92" s="592"/>
      <c r="BI92" s="592"/>
      <c r="BJ92" s="592"/>
      <c r="BN92" s="592"/>
      <c r="BO92" s="592"/>
      <c r="BP92" s="592"/>
      <c r="BQ92" s="592"/>
      <c r="BR92" s="592"/>
      <c r="BS92" s="592"/>
      <c r="BT92" s="592"/>
      <c r="BU92" s="592"/>
      <c r="BV92" s="592"/>
      <c r="BW92" s="592"/>
      <c r="BX92" s="592"/>
      <c r="BY92" s="592"/>
      <c r="BZ92" s="592"/>
      <c r="CA92" s="592"/>
      <c r="CB92" s="592"/>
      <c r="CC92" s="592"/>
      <c r="CD92" s="592"/>
      <c r="CE92" s="592"/>
      <c r="CF92" s="592"/>
      <c r="CI92" s="46" t="str">
        <f>IF(CJ92=0,"",'#BerechnungDBE'!I209)</f>
        <v/>
      </c>
      <c r="CJ92" s="816">
        <f>_xlfn.AGGREGATE(14,4,'#BerechnungDBE'!$J$129:$J$494,'#BerechnungDBE'!I209)</f>
        <v>0</v>
      </c>
      <c r="CK92" s="1666" t="str">
        <f>IF(CJ92=0,"",VLOOKUP(CJ92,'#BerechnungDBE'!$J$129:$K$494,2,FALSE))</f>
        <v/>
      </c>
      <c r="CL92" s="1666"/>
    </row>
    <row r="93" spans="20:90" s="46" customFormat="1" x14ac:dyDescent="0.2">
      <c r="T93" s="592"/>
      <c r="U93" s="592"/>
      <c r="V93" s="592"/>
      <c r="W93" s="592"/>
      <c r="X93" s="31"/>
      <c r="Y93" s="31"/>
      <c r="Z93" s="31"/>
      <c r="AA93" s="31"/>
      <c r="AB93" s="31"/>
      <c r="AC93" s="31"/>
      <c r="AD93" s="31"/>
      <c r="AE93" s="31"/>
      <c r="AF93" s="31"/>
      <c r="AG93" s="31"/>
      <c r="AH93" s="31"/>
      <c r="AI93" s="31"/>
      <c r="AJ93" s="31"/>
      <c r="AK93" s="592"/>
      <c r="AL93" s="592"/>
      <c r="AM93" s="592"/>
      <c r="AN93" s="592"/>
      <c r="AO93" s="592"/>
      <c r="AP93" s="592"/>
      <c r="AQ93" s="592"/>
      <c r="AR93" s="592"/>
      <c r="AS93" s="592"/>
      <c r="AT93" s="592"/>
      <c r="AU93" s="592"/>
      <c r="AV93" s="592"/>
      <c r="AW93" s="592"/>
      <c r="AX93" s="592"/>
      <c r="AY93" s="592"/>
      <c r="AZ93" s="592"/>
      <c r="BA93" s="592"/>
      <c r="BB93" s="52"/>
      <c r="BC93" s="52"/>
      <c r="BD93" s="52"/>
      <c r="BE93" s="592"/>
      <c r="BF93" s="592"/>
      <c r="BG93" s="592"/>
      <c r="BH93" s="592"/>
      <c r="BI93" s="592"/>
      <c r="BJ93" s="592"/>
      <c r="BN93" s="592"/>
      <c r="BO93" s="592"/>
      <c r="BP93" s="592"/>
      <c r="BQ93" s="592"/>
      <c r="BR93" s="592"/>
      <c r="BS93" s="592"/>
      <c r="BT93" s="592"/>
      <c r="BU93" s="592"/>
      <c r="BV93" s="592"/>
      <c r="BW93" s="592"/>
      <c r="BX93" s="592"/>
      <c r="BY93" s="592"/>
      <c r="BZ93" s="592"/>
      <c r="CA93" s="592"/>
      <c r="CB93" s="592"/>
      <c r="CC93" s="592"/>
      <c r="CD93" s="592"/>
      <c r="CE93" s="592"/>
      <c r="CF93" s="592"/>
      <c r="CI93" s="46" t="str">
        <f>IF(CJ93=0,"",'#BerechnungDBE'!I210)</f>
        <v/>
      </c>
      <c r="CJ93" s="816">
        <f>_xlfn.AGGREGATE(14,4,'#BerechnungDBE'!$J$129:$J$494,'#BerechnungDBE'!I210)</f>
        <v>0</v>
      </c>
      <c r="CK93" s="1666" t="str">
        <f>IF(CJ93=0,"",VLOOKUP(CJ93,'#BerechnungDBE'!$J$129:$K$494,2,FALSE))</f>
        <v/>
      </c>
      <c r="CL93" s="1666"/>
    </row>
    <row r="94" spans="20:90" s="46" customFormat="1" x14ac:dyDescent="0.2">
      <c r="T94" s="592"/>
      <c r="U94" s="592"/>
      <c r="V94" s="592"/>
      <c r="W94" s="592"/>
      <c r="X94" s="31"/>
      <c r="Y94" s="31"/>
      <c r="Z94" s="31"/>
      <c r="AA94" s="31"/>
      <c r="AB94" s="31"/>
      <c r="AC94" s="31"/>
      <c r="AD94" s="31"/>
      <c r="AE94" s="31"/>
      <c r="AF94" s="31"/>
      <c r="AG94" s="31"/>
      <c r="AH94" s="31"/>
      <c r="AI94" s="31"/>
      <c r="AJ94" s="31"/>
      <c r="AK94" s="592"/>
      <c r="AL94" s="592"/>
      <c r="AM94" s="592"/>
      <c r="AN94" s="592"/>
      <c r="AO94" s="592"/>
      <c r="AP94" s="592"/>
      <c r="AQ94" s="592"/>
      <c r="AR94" s="592"/>
      <c r="AS94" s="592"/>
      <c r="AT94" s="592"/>
      <c r="AU94" s="592"/>
      <c r="AV94" s="592"/>
      <c r="AW94" s="592"/>
      <c r="AX94" s="592"/>
      <c r="AY94" s="592"/>
      <c r="AZ94" s="592"/>
      <c r="BA94" s="592"/>
      <c r="BB94" s="52"/>
      <c r="BC94" s="52"/>
      <c r="BD94" s="52"/>
      <c r="BE94" s="592"/>
      <c r="BF94" s="592"/>
      <c r="BG94" s="592"/>
      <c r="BH94" s="592"/>
      <c r="BI94" s="592"/>
      <c r="BJ94" s="592"/>
      <c r="BN94" s="592"/>
      <c r="BO94" s="592"/>
      <c r="BP94" s="592"/>
      <c r="BQ94" s="592"/>
      <c r="BR94" s="592"/>
      <c r="BS94" s="592"/>
      <c r="BT94" s="592"/>
      <c r="BU94" s="592"/>
      <c r="BV94" s="592"/>
      <c r="BW94" s="592"/>
      <c r="BX94" s="592"/>
      <c r="BY94" s="592"/>
      <c r="BZ94" s="592"/>
      <c r="CA94" s="592"/>
      <c r="CB94" s="592"/>
      <c r="CC94" s="592"/>
      <c r="CD94" s="592"/>
      <c r="CE94" s="592"/>
      <c r="CF94" s="592"/>
      <c r="CI94" s="46" t="str">
        <f>IF(CJ94=0,"",'#BerechnungDBE'!I211)</f>
        <v/>
      </c>
      <c r="CJ94" s="816">
        <f>_xlfn.AGGREGATE(14,4,'#BerechnungDBE'!$J$129:$J$494,'#BerechnungDBE'!I211)</f>
        <v>0</v>
      </c>
      <c r="CK94" s="1666" t="str">
        <f>IF(CJ94=0,"",VLOOKUP(CJ94,'#BerechnungDBE'!$J$129:$K$494,2,FALSE))</f>
        <v/>
      </c>
      <c r="CL94" s="1666"/>
    </row>
    <row r="95" spans="20:90" s="46" customFormat="1" x14ac:dyDescent="0.2">
      <c r="T95" s="592"/>
      <c r="U95" s="592"/>
      <c r="V95" s="592"/>
      <c r="W95" s="592"/>
      <c r="X95" s="31"/>
      <c r="Y95" s="31"/>
      <c r="Z95" s="31"/>
      <c r="AA95" s="31"/>
      <c r="AB95" s="31"/>
      <c r="AC95" s="31"/>
      <c r="AD95" s="31"/>
      <c r="AE95" s="31"/>
      <c r="AF95" s="31"/>
      <c r="AG95" s="31"/>
      <c r="AH95" s="31"/>
      <c r="AI95" s="31"/>
      <c r="AJ95" s="31"/>
      <c r="AK95" s="592"/>
      <c r="AL95" s="592"/>
      <c r="AM95" s="592"/>
      <c r="AN95" s="592"/>
      <c r="AO95" s="592"/>
      <c r="AP95" s="592"/>
      <c r="AQ95" s="592"/>
      <c r="AR95" s="592"/>
      <c r="AS95" s="592"/>
      <c r="AT95" s="592"/>
      <c r="AU95" s="592"/>
      <c r="AV95" s="592"/>
      <c r="AW95" s="592"/>
      <c r="AX95" s="592"/>
      <c r="AY95" s="592"/>
      <c r="AZ95" s="592"/>
      <c r="BA95" s="592"/>
      <c r="BB95" s="52"/>
      <c r="BC95" s="52"/>
      <c r="BD95" s="52"/>
      <c r="BE95" s="592"/>
      <c r="BF95" s="592"/>
      <c r="BG95" s="592"/>
      <c r="BH95" s="592"/>
      <c r="BI95" s="592"/>
      <c r="BJ95" s="592"/>
      <c r="BN95" s="592"/>
      <c r="BO95" s="592"/>
      <c r="BP95" s="592"/>
      <c r="BQ95" s="592"/>
      <c r="BR95" s="592"/>
      <c r="BS95" s="592"/>
      <c r="BT95" s="592"/>
      <c r="BU95" s="592"/>
      <c r="BV95" s="592"/>
      <c r="BW95" s="592"/>
      <c r="BX95" s="592"/>
      <c r="BY95" s="592"/>
      <c r="BZ95" s="592"/>
      <c r="CA95" s="592"/>
      <c r="CB95" s="592"/>
      <c r="CC95" s="592"/>
      <c r="CD95" s="592"/>
      <c r="CE95" s="592"/>
      <c r="CF95" s="592"/>
      <c r="CI95" s="46" t="str">
        <f>IF(CJ95=0,"",'#BerechnungDBE'!I212)</f>
        <v/>
      </c>
      <c r="CJ95" s="816">
        <f>_xlfn.AGGREGATE(14,4,'#BerechnungDBE'!$J$129:$J$494,'#BerechnungDBE'!I212)</f>
        <v>0</v>
      </c>
      <c r="CK95" s="1666" t="str">
        <f>IF(CJ95=0,"",VLOOKUP(CJ95,'#BerechnungDBE'!$J$129:$K$494,2,FALSE))</f>
        <v/>
      </c>
      <c r="CL95" s="1666"/>
    </row>
    <row r="96" spans="20:90" s="46" customFormat="1" x14ac:dyDescent="0.2">
      <c r="T96" s="592"/>
      <c r="U96" s="592"/>
      <c r="V96" s="592"/>
      <c r="W96" s="592"/>
      <c r="X96" s="31"/>
      <c r="Y96" s="31"/>
      <c r="Z96" s="31"/>
      <c r="AA96" s="31"/>
      <c r="AB96" s="31"/>
      <c r="AC96" s="31"/>
      <c r="AD96" s="31"/>
      <c r="AE96" s="31"/>
      <c r="AF96" s="31"/>
      <c r="AG96" s="31"/>
      <c r="AH96" s="31"/>
      <c r="AI96" s="31"/>
      <c r="AJ96" s="31"/>
      <c r="AK96" s="592"/>
      <c r="AL96" s="592"/>
      <c r="AM96" s="592"/>
      <c r="AN96" s="592"/>
      <c r="AO96" s="592"/>
      <c r="AP96" s="592"/>
      <c r="AQ96" s="592"/>
      <c r="AR96" s="592"/>
      <c r="AS96" s="592"/>
      <c r="AT96" s="592"/>
      <c r="AU96" s="592"/>
      <c r="AV96" s="592"/>
      <c r="AW96" s="592"/>
      <c r="AX96" s="592"/>
      <c r="AY96" s="592"/>
      <c r="AZ96" s="592"/>
      <c r="BA96" s="592"/>
      <c r="BB96" s="52"/>
      <c r="BC96" s="52"/>
      <c r="BD96" s="52"/>
      <c r="BE96" s="592"/>
      <c r="BF96" s="592"/>
      <c r="BG96" s="592"/>
      <c r="BH96" s="592"/>
      <c r="BI96" s="592"/>
      <c r="BJ96" s="592"/>
      <c r="BN96" s="592"/>
      <c r="BO96" s="592"/>
      <c r="BP96" s="592"/>
      <c r="BQ96" s="592"/>
      <c r="BR96" s="592"/>
      <c r="BS96" s="592"/>
      <c r="BT96" s="592"/>
      <c r="BU96" s="592"/>
      <c r="BV96" s="592"/>
      <c r="BW96" s="592"/>
      <c r="BX96" s="592"/>
      <c r="BY96" s="592"/>
      <c r="BZ96" s="592"/>
      <c r="CA96" s="592"/>
      <c r="CB96" s="592"/>
      <c r="CC96" s="592"/>
      <c r="CD96" s="592"/>
      <c r="CE96" s="592"/>
      <c r="CF96" s="592"/>
      <c r="CI96" s="46" t="str">
        <f>IF(CJ96=0,"",'#BerechnungDBE'!I213)</f>
        <v/>
      </c>
      <c r="CJ96" s="816">
        <f>_xlfn.AGGREGATE(14,4,'#BerechnungDBE'!$J$129:$J$494,'#BerechnungDBE'!I213)</f>
        <v>0</v>
      </c>
      <c r="CK96" s="1666" t="str">
        <f>IF(CJ96=0,"",VLOOKUP(CJ96,'#BerechnungDBE'!$J$129:$K$494,2,FALSE))</f>
        <v/>
      </c>
      <c r="CL96" s="1666"/>
    </row>
    <row r="97" spans="20:90" s="46" customFormat="1" x14ac:dyDescent="0.2">
      <c r="T97" s="592"/>
      <c r="U97" s="592"/>
      <c r="V97" s="592"/>
      <c r="W97" s="592"/>
      <c r="X97" s="31"/>
      <c r="Y97" s="31"/>
      <c r="Z97" s="31"/>
      <c r="AA97" s="31"/>
      <c r="AB97" s="31"/>
      <c r="AC97" s="31"/>
      <c r="AD97" s="31"/>
      <c r="AE97" s="31"/>
      <c r="AF97" s="31"/>
      <c r="AG97" s="31"/>
      <c r="AH97" s="31"/>
      <c r="AI97" s="31"/>
      <c r="AJ97" s="31"/>
      <c r="AK97" s="592"/>
      <c r="AL97" s="592"/>
      <c r="AM97" s="592"/>
      <c r="AN97" s="592"/>
      <c r="AO97" s="592"/>
      <c r="AP97" s="592"/>
      <c r="AQ97" s="592"/>
      <c r="AR97" s="592"/>
      <c r="AS97" s="592"/>
      <c r="AT97" s="592"/>
      <c r="AU97" s="592"/>
      <c r="AV97" s="592"/>
      <c r="AW97" s="592"/>
      <c r="AX97" s="592"/>
      <c r="AY97" s="592"/>
      <c r="AZ97" s="592"/>
      <c r="BA97" s="592"/>
      <c r="BB97" s="52"/>
      <c r="BC97" s="52"/>
      <c r="BD97" s="52"/>
      <c r="BE97" s="592"/>
      <c r="BF97" s="592"/>
      <c r="BG97" s="592"/>
      <c r="BH97" s="592"/>
      <c r="BI97" s="592"/>
      <c r="BJ97" s="592"/>
      <c r="BN97" s="592"/>
      <c r="BO97" s="592"/>
      <c r="BP97" s="592"/>
      <c r="BQ97" s="592"/>
      <c r="BR97" s="592"/>
      <c r="BS97" s="592"/>
      <c r="BT97" s="592"/>
      <c r="BU97" s="592"/>
      <c r="BV97" s="592"/>
      <c r="BW97" s="592"/>
      <c r="BX97" s="592"/>
      <c r="BY97" s="592"/>
      <c r="BZ97" s="592"/>
      <c r="CA97" s="592"/>
      <c r="CB97" s="592"/>
      <c r="CC97" s="592"/>
      <c r="CD97" s="592"/>
      <c r="CE97" s="592"/>
      <c r="CF97" s="592"/>
      <c r="CI97" s="46" t="str">
        <f>IF(CJ97=0,"",'#BerechnungDBE'!I214)</f>
        <v/>
      </c>
      <c r="CJ97" s="816">
        <f>_xlfn.AGGREGATE(14,4,'#BerechnungDBE'!$J$129:$J$494,'#BerechnungDBE'!I214)</f>
        <v>0</v>
      </c>
      <c r="CK97" s="1666" t="str">
        <f>IF(CJ97=0,"",VLOOKUP(CJ97,'#BerechnungDBE'!$J$129:$K$494,2,FALSE))</f>
        <v/>
      </c>
      <c r="CL97" s="1666"/>
    </row>
    <row r="98" spans="20:90" s="46" customFormat="1" x14ac:dyDescent="0.2">
      <c r="T98" s="592"/>
      <c r="U98" s="592"/>
      <c r="V98" s="592"/>
      <c r="W98" s="592"/>
      <c r="X98" s="31"/>
      <c r="Y98" s="31"/>
      <c r="Z98" s="31"/>
      <c r="AA98" s="31"/>
      <c r="AB98" s="31"/>
      <c r="AC98" s="31"/>
      <c r="AD98" s="31"/>
      <c r="AE98" s="31"/>
      <c r="AF98" s="31"/>
      <c r="AG98" s="31"/>
      <c r="AH98" s="31"/>
      <c r="AI98" s="31"/>
      <c r="AJ98" s="31"/>
      <c r="AK98" s="592"/>
      <c r="AL98" s="592"/>
      <c r="AM98" s="592"/>
      <c r="AN98" s="592"/>
      <c r="AO98" s="592"/>
      <c r="AP98" s="592"/>
      <c r="AQ98" s="592"/>
      <c r="AR98" s="592"/>
      <c r="AS98" s="592"/>
      <c r="AT98" s="592"/>
      <c r="AU98" s="592"/>
      <c r="AV98" s="592"/>
      <c r="AW98" s="592"/>
      <c r="AX98" s="592"/>
      <c r="AY98" s="592"/>
      <c r="AZ98" s="592"/>
      <c r="BA98" s="592"/>
      <c r="BB98" s="52"/>
      <c r="BC98" s="52"/>
      <c r="BD98" s="52"/>
      <c r="BE98" s="592"/>
      <c r="BF98" s="592"/>
      <c r="BG98" s="592"/>
      <c r="BH98" s="592"/>
      <c r="BI98" s="592"/>
      <c r="BJ98" s="592"/>
      <c r="BN98" s="592"/>
      <c r="BO98" s="592"/>
      <c r="BP98" s="592"/>
      <c r="BQ98" s="592"/>
      <c r="BR98" s="592"/>
      <c r="BS98" s="592"/>
      <c r="BT98" s="592"/>
      <c r="BU98" s="592"/>
      <c r="BV98" s="592"/>
      <c r="BW98" s="592"/>
      <c r="BX98" s="592"/>
      <c r="BY98" s="592"/>
      <c r="BZ98" s="592"/>
      <c r="CA98" s="592"/>
      <c r="CB98" s="592"/>
      <c r="CC98" s="592"/>
      <c r="CD98" s="592"/>
      <c r="CE98" s="592"/>
      <c r="CF98" s="592"/>
      <c r="CI98" s="46" t="str">
        <f>IF(CJ98=0,"",'#BerechnungDBE'!I215)</f>
        <v/>
      </c>
      <c r="CJ98" s="816">
        <f>_xlfn.AGGREGATE(14,4,'#BerechnungDBE'!$J$129:$J$494,'#BerechnungDBE'!I215)</f>
        <v>0</v>
      </c>
      <c r="CK98" s="1666" t="str">
        <f>IF(CJ98=0,"",VLOOKUP(CJ98,'#BerechnungDBE'!$J$129:$K$494,2,FALSE))</f>
        <v/>
      </c>
      <c r="CL98" s="1666"/>
    </row>
    <row r="99" spans="20:90" s="46" customFormat="1" x14ac:dyDescent="0.2">
      <c r="T99" s="592"/>
      <c r="U99" s="592"/>
      <c r="V99" s="592"/>
      <c r="W99" s="592"/>
      <c r="X99" s="31"/>
      <c r="Y99" s="31"/>
      <c r="Z99" s="31"/>
      <c r="AA99" s="31"/>
      <c r="AB99" s="31"/>
      <c r="AC99" s="31"/>
      <c r="AD99" s="31"/>
      <c r="AE99" s="31"/>
      <c r="AF99" s="31"/>
      <c r="AG99" s="31"/>
      <c r="AH99" s="31"/>
      <c r="AI99" s="31"/>
      <c r="AJ99" s="31"/>
      <c r="AK99" s="592"/>
      <c r="AL99" s="592"/>
      <c r="AM99" s="592"/>
      <c r="AN99" s="592"/>
      <c r="AO99" s="592"/>
      <c r="AP99" s="592"/>
      <c r="AQ99" s="592"/>
      <c r="AR99" s="592"/>
      <c r="AS99" s="592"/>
      <c r="AT99" s="592"/>
      <c r="AU99" s="592"/>
      <c r="AV99" s="592"/>
      <c r="AW99" s="592"/>
      <c r="AX99" s="592"/>
      <c r="AY99" s="592"/>
      <c r="AZ99" s="592"/>
      <c r="BA99" s="592"/>
      <c r="BB99" s="52"/>
      <c r="BC99" s="52"/>
      <c r="BD99" s="52"/>
      <c r="BE99" s="592"/>
      <c r="BF99" s="592"/>
      <c r="BG99" s="592"/>
      <c r="BH99" s="592"/>
      <c r="BI99" s="592"/>
      <c r="BJ99" s="592"/>
      <c r="BN99" s="592"/>
      <c r="BO99" s="592"/>
      <c r="BP99" s="592"/>
      <c r="BQ99" s="592"/>
      <c r="BR99" s="592"/>
      <c r="BS99" s="592"/>
      <c r="BT99" s="592"/>
      <c r="BU99" s="592"/>
      <c r="BV99" s="592"/>
      <c r="BW99" s="592"/>
      <c r="BX99" s="592"/>
      <c r="BY99" s="592"/>
      <c r="BZ99" s="592"/>
      <c r="CA99" s="592"/>
      <c r="CB99" s="592"/>
      <c r="CC99" s="592"/>
      <c r="CD99" s="592"/>
      <c r="CE99" s="592"/>
      <c r="CF99" s="592"/>
      <c r="CI99" s="46" t="str">
        <f>IF(CJ99=0,"",'#BerechnungDBE'!I216)</f>
        <v/>
      </c>
      <c r="CJ99" s="816">
        <f>_xlfn.AGGREGATE(14,4,'#BerechnungDBE'!$J$129:$J$494,'#BerechnungDBE'!I216)</f>
        <v>0</v>
      </c>
      <c r="CK99" s="1666" t="str">
        <f>IF(CJ99=0,"",VLOOKUP(CJ99,'#BerechnungDBE'!$J$129:$K$494,2,FALSE))</f>
        <v/>
      </c>
      <c r="CL99" s="1666"/>
    </row>
    <row r="100" spans="20:90" s="46" customFormat="1" x14ac:dyDescent="0.2">
      <c r="T100" s="592"/>
      <c r="U100" s="592"/>
      <c r="V100" s="592"/>
      <c r="W100" s="592"/>
      <c r="X100" s="31"/>
      <c r="Y100" s="31"/>
      <c r="Z100" s="31"/>
      <c r="AA100" s="31"/>
      <c r="AB100" s="31"/>
      <c r="AC100" s="31"/>
      <c r="AD100" s="31"/>
      <c r="AE100" s="31"/>
      <c r="AF100" s="31"/>
      <c r="AG100" s="31"/>
      <c r="AH100" s="31"/>
      <c r="AI100" s="31"/>
      <c r="AJ100" s="31"/>
      <c r="AK100" s="592"/>
      <c r="AL100" s="592"/>
      <c r="AM100" s="592"/>
      <c r="AN100" s="592"/>
      <c r="AO100" s="592"/>
      <c r="AP100" s="592"/>
      <c r="AQ100" s="592"/>
      <c r="AR100" s="592"/>
      <c r="AS100" s="592"/>
      <c r="AT100" s="592"/>
      <c r="AU100" s="592"/>
      <c r="AV100" s="592"/>
      <c r="AW100" s="592"/>
      <c r="AX100" s="592"/>
      <c r="AY100" s="592"/>
      <c r="AZ100" s="592"/>
      <c r="BA100" s="592"/>
      <c r="BB100" s="52"/>
      <c r="BC100" s="52"/>
      <c r="BD100" s="52"/>
      <c r="BE100" s="592"/>
      <c r="BF100" s="592"/>
      <c r="BG100" s="592"/>
      <c r="BH100" s="592"/>
      <c r="BI100" s="592"/>
      <c r="BJ100" s="592"/>
      <c r="BN100" s="592"/>
      <c r="BO100" s="592"/>
      <c r="BP100" s="592"/>
      <c r="BQ100" s="592"/>
      <c r="BR100" s="592"/>
      <c r="BS100" s="592"/>
      <c r="BT100" s="592"/>
      <c r="BU100" s="592"/>
      <c r="BV100" s="592"/>
      <c r="BW100" s="592"/>
      <c r="BX100" s="592"/>
      <c r="BY100" s="592"/>
      <c r="BZ100" s="592"/>
      <c r="CA100" s="592"/>
      <c r="CB100" s="592"/>
      <c r="CC100" s="592"/>
      <c r="CD100" s="592"/>
      <c r="CE100" s="592"/>
      <c r="CF100" s="592"/>
      <c r="CI100" s="46" t="str">
        <f>IF(CJ100=0,"",'#BerechnungDBE'!I217)</f>
        <v/>
      </c>
      <c r="CJ100" s="816">
        <f>_xlfn.AGGREGATE(14,4,'#BerechnungDBE'!$J$129:$J$494,'#BerechnungDBE'!I217)</f>
        <v>0</v>
      </c>
      <c r="CK100" s="1666" t="str">
        <f>IF(CJ100=0,"",VLOOKUP(CJ100,'#BerechnungDBE'!$J$129:$K$494,2,FALSE))</f>
        <v/>
      </c>
      <c r="CL100" s="1666"/>
    </row>
    <row r="101" spans="20:90" s="46" customFormat="1" x14ac:dyDescent="0.2">
      <c r="T101" s="592"/>
      <c r="U101" s="592"/>
      <c r="V101" s="592"/>
      <c r="W101" s="592"/>
      <c r="X101" s="31"/>
      <c r="Y101" s="31"/>
      <c r="Z101" s="31"/>
      <c r="AA101" s="31"/>
      <c r="AB101" s="31"/>
      <c r="AC101" s="31"/>
      <c r="AD101" s="31"/>
      <c r="AE101" s="31"/>
      <c r="AF101" s="31"/>
      <c r="AG101" s="31"/>
      <c r="AH101" s="31"/>
      <c r="AI101" s="31"/>
      <c r="AJ101" s="31"/>
      <c r="AK101" s="592"/>
      <c r="AL101" s="592"/>
      <c r="AM101" s="592"/>
      <c r="AN101" s="592"/>
      <c r="AO101" s="592"/>
      <c r="AP101" s="592"/>
      <c r="AQ101" s="592"/>
      <c r="AR101" s="592"/>
      <c r="AS101" s="592"/>
      <c r="AT101" s="592"/>
      <c r="AU101" s="592"/>
      <c r="AV101" s="592"/>
      <c r="AW101" s="592"/>
      <c r="AX101" s="592"/>
      <c r="AY101" s="592"/>
      <c r="AZ101" s="592"/>
      <c r="BA101" s="592"/>
      <c r="BB101" s="52"/>
      <c r="BC101" s="52"/>
      <c r="BD101" s="52"/>
      <c r="BE101" s="592"/>
      <c r="BF101" s="592"/>
      <c r="BG101" s="592"/>
      <c r="BH101" s="592"/>
      <c r="BI101" s="592"/>
      <c r="BJ101" s="592"/>
      <c r="BN101" s="592"/>
      <c r="BO101" s="592"/>
      <c r="BP101" s="592"/>
      <c r="BQ101" s="592"/>
      <c r="BR101" s="592"/>
      <c r="BS101" s="592"/>
      <c r="BT101" s="592"/>
      <c r="BU101" s="592"/>
      <c r="BV101" s="592"/>
      <c r="BW101" s="592"/>
      <c r="BX101" s="592"/>
      <c r="BY101" s="592"/>
      <c r="BZ101" s="592"/>
      <c r="CA101" s="592"/>
      <c r="CB101" s="592"/>
      <c r="CC101" s="592"/>
      <c r="CD101" s="592"/>
      <c r="CE101" s="592"/>
      <c r="CF101" s="592"/>
      <c r="CI101" s="46" t="str">
        <f>IF(CJ101=0,"",'#BerechnungDBE'!I218)</f>
        <v/>
      </c>
      <c r="CJ101" s="816">
        <f>_xlfn.AGGREGATE(14,4,'#BerechnungDBE'!$J$129:$J$494,'#BerechnungDBE'!I218)</f>
        <v>0</v>
      </c>
      <c r="CK101" s="1666" t="str">
        <f>IF(CJ101=0,"",VLOOKUP(CJ101,'#BerechnungDBE'!$J$129:$K$494,2,FALSE))</f>
        <v/>
      </c>
      <c r="CL101" s="1666"/>
    </row>
    <row r="102" spans="20:90" s="46" customFormat="1" x14ac:dyDescent="0.2">
      <c r="T102" s="592"/>
      <c r="U102" s="592"/>
      <c r="V102" s="592"/>
      <c r="W102" s="592"/>
      <c r="X102" s="31"/>
      <c r="Y102" s="31"/>
      <c r="Z102" s="31"/>
      <c r="AA102" s="31"/>
      <c r="AB102" s="31"/>
      <c r="AC102" s="31"/>
      <c r="AD102" s="31"/>
      <c r="AE102" s="31"/>
      <c r="AF102" s="31"/>
      <c r="AG102" s="31"/>
      <c r="AH102" s="31"/>
      <c r="AI102" s="31"/>
      <c r="AJ102" s="31"/>
      <c r="AK102" s="592"/>
      <c r="AL102" s="592"/>
      <c r="AM102" s="592"/>
      <c r="AN102" s="592"/>
      <c r="AO102" s="592"/>
      <c r="AP102" s="592"/>
      <c r="AQ102" s="592"/>
      <c r="AR102" s="592"/>
      <c r="AS102" s="592"/>
      <c r="AT102" s="592"/>
      <c r="AU102" s="592"/>
      <c r="AV102" s="592"/>
      <c r="AW102" s="592"/>
      <c r="AX102" s="592"/>
      <c r="AY102" s="592"/>
      <c r="AZ102" s="592"/>
      <c r="BA102" s="592"/>
      <c r="BB102" s="52"/>
      <c r="BC102" s="52"/>
      <c r="BD102" s="52"/>
      <c r="BE102" s="592"/>
      <c r="BF102" s="592"/>
      <c r="BG102" s="592"/>
      <c r="BH102" s="592"/>
      <c r="BI102" s="592"/>
      <c r="BJ102" s="592"/>
      <c r="BN102" s="592"/>
      <c r="BO102" s="592"/>
      <c r="BP102" s="592"/>
      <c r="BQ102" s="592"/>
      <c r="BR102" s="592"/>
      <c r="BS102" s="592"/>
      <c r="BT102" s="592"/>
      <c r="BU102" s="592"/>
      <c r="BV102" s="592"/>
      <c r="BW102" s="592"/>
      <c r="BX102" s="592"/>
      <c r="BY102" s="592"/>
      <c r="BZ102" s="592"/>
      <c r="CA102" s="592"/>
      <c r="CB102" s="592"/>
      <c r="CC102" s="592"/>
      <c r="CD102" s="592"/>
      <c r="CE102" s="592"/>
      <c r="CF102" s="592"/>
      <c r="CI102" s="46" t="str">
        <f>IF(CJ102=0,"",'#BerechnungDBE'!I219)</f>
        <v/>
      </c>
      <c r="CJ102" s="816">
        <f>_xlfn.AGGREGATE(14,4,'#BerechnungDBE'!$J$129:$J$494,'#BerechnungDBE'!I219)</f>
        <v>0</v>
      </c>
      <c r="CK102" s="1666" t="str">
        <f>IF(CJ102=0,"",VLOOKUP(CJ102,'#BerechnungDBE'!$J$129:$K$494,2,FALSE))</f>
        <v/>
      </c>
      <c r="CL102" s="1666"/>
    </row>
    <row r="103" spans="20:90" s="46" customFormat="1" x14ac:dyDescent="0.2">
      <c r="T103" s="592"/>
      <c r="U103" s="592"/>
      <c r="V103" s="592"/>
      <c r="W103" s="592"/>
      <c r="X103" s="31"/>
      <c r="Y103" s="31"/>
      <c r="Z103" s="31"/>
      <c r="AA103" s="31"/>
      <c r="AB103" s="31"/>
      <c r="AC103" s="31"/>
      <c r="AD103" s="31"/>
      <c r="AE103" s="31"/>
      <c r="AF103" s="31"/>
      <c r="AG103" s="31"/>
      <c r="AH103" s="31"/>
      <c r="AI103" s="31"/>
      <c r="AJ103" s="31"/>
      <c r="AK103" s="592"/>
      <c r="AL103" s="592"/>
      <c r="AM103" s="592"/>
      <c r="AN103" s="592"/>
      <c r="AO103" s="592"/>
      <c r="AP103" s="592"/>
      <c r="AQ103" s="592"/>
      <c r="AR103" s="592"/>
      <c r="AS103" s="592"/>
      <c r="AT103" s="592"/>
      <c r="AU103" s="592"/>
      <c r="AV103" s="592"/>
      <c r="AW103" s="592"/>
      <c r="AX103" s="592"/>
      <c r="AY103" s="592"/>
      <c r="AZ103" s="592"/>
      <c r="BA103" s="592"/>
      <c r="BB103" s="52"/>
      <c r="BC103" s="52"/>
      <c r="BD103" s="52"/>
      <c r="BE103" s="592"/>
      <c r="BF103" s="592"/>
      <c r="BG103" s="592"/>
      <c r="BH103" s="592"/>
      <c r="BI103" s="592"/>
      <c r="BJ103" s="592"/>
      <c r="BN103" s="592"/>
      <c r="BO103" s="592"/>
      <c r="BP103" s="592"/>
      <c r="BQ103" s="592"/>
      <c r="BR103" s="592"/>
      <c r="BS103" s="592"/>
      <c r="BT103" s="592"/>
      <c r="BU103" s="592"/>
      <c r="BV103" s="592"/>
      <c r="BW103" s="592"/>
      <c r="BX103" s="592"/>
      <c r="BY103" s="592"/>
      <c r="BZ103" s="592"/>
      <c r="CA103" s="592"/>
      <c r="CB103" s="592"/>
      <c r="CC103" s="592"/>
      <c r="CD103" s="592"/>
      <c r="CE103" s="592"/>
      <c r="CF103" s="592"/>
      <c r="CI103" s="46" t="str">
        <f>IF(CJ103=0,"",'#BerechnungDBE'!I220)</f>
        <v/>
      </c>
      <c r="CJ103" s="816">
        <f>_xlfn.AGGREGATE(14,4,'#BerechnungDBE'!$J$129:$J$494,'#BerechnungDBE'!I220)</f>
        <v>0</v>
      </c>
      <c r="CK103" s="1666" t="str">
        <f>IF(CJ103=0,"",VLOOKUP(CJ103,'#BerechnungDBE'!$J$129:$K$494,2,FALSE))</f>
        <v/>
      </c>
      <c r="CL103" s="1666"/>
    </row>
    <row r="104" spans="20:90" s="46" customFormat="1" x14ac:dyDescent="0.2">
      <c r="T104" s="592"/>
      <c r="U104" s="592"/>
      <c r="V104" s="592"/>
      <c r="W104" s="592"/>
      <c r="X104" s="31"/>
      <c r="Y104" s="31"/>
      <c r="Z104" s="31"/>
      <c r="AA104" s="31"/>
      <c r="AB104" s="31"/>
      <c r="AC104" s="31"/>
      <c r="AD104" s="31"/>
      <c r="AE104" s="31"/>
      <c r="AF104" s="31"/>
      <c r="AG104" s="31"/>
      <c r="AH104" s="31"/>
      <c r="AI104" s="31"/>
      <c r="AJ104" s="31"/>
      <c r="AK104" s="592"/>
      <c r="AL104" s="592"/>
      <c r="AM104" s="592"/>
      <c r="AN104" s="592"/>
      <c r="AO104" s="592"/>
      <c r="AP104" s="592"/>
      <c r="AQ104" s="592"/>
      <c r="AR104" s="592"/>
      <c r="AS104" s="592"/>
      <c r="AT104" s="592"/>
      <c r="AU104" s="592"/>
      <c r="AV104" s="592"/>
      <c r="AW104" s="592"/>
      <c r="AX104" s="592"/>
      <c r="AY104" s="592"/>
      <c r="AZ104" s="592"/>
      <c r="BA104" s="592"/>
      <c r="BB104" s="52"/>
      <c r="BC104" s="52"/>
      <c r="BD104" s="52"/>
      <c r="BE104" s="592"/>
      <c r="BF104" s="592"/>
      <c r="BG104" s="592"/>
      <c r="BH104" s="592"/>
      <c r="BI104" s="592"/>
      <c r="BJ104" s="592"/>
      <c r="BN104" s="592"/>
      <c r="BO104" s="592"/>
      <c r="BP104" s="592"/>
      <c r="BQ104" s="592"/>
      <c r="BR104" s="592"/>
      <c r="BS104" s="592"/>
      <c r="BT104" s="592"/>
      <c r="BU104" s="592"/>
      <c r="BV104" s="592"/>
      <c r="BW104" s="592"/>
      <c r="BX104" s="592"/>
      <c r="BY104" s="592"/>
      <c r="BZ104" s="592"/>
      <c r="CA104" s="592"/>
      <c r="CB104" s="592"/>
      <c r="CC104" s="592"/>
      <c r="CD104" s="592"/>
      <c r="CE104" s="592"/>
      <c r="CF104" s="592"/>
      <c r="CI104" s="46" t="str">
        <f>IF(CJ104=0,"",'#BerechnungDBE'!I221)</f>
        <v/>
      </c>
      <c r="CJ104" s="816">
        <f>_xlfn.AGGREGATE(14,4,'#BerechnungDBE'!$J$129:$J$494,'#BerechnungDBE'!I221)</f>
        <v>0</v>
      </c>
      <c r="CK104" s="1666" t="str">
        <f>IF(CJ104=0,"",VLOOKUP(CJ104,'#BerechnungDBE'!$J$129:$K$494,2,FALSE))</f>
        <v/>
      </c>
      <c r="CL104" s="1666"/>
    </row>
    <row r="105" spans="20:90" s="46" customFormat="1" x14ac:dyDescent="0.2">
      <c r="T105" s="592"/>
      <c r="U105" s="592"/>
      <c r="V105" s="592"/>
      <c r="W105" s="592"/>
      <c r="X105" s="31"/>
      <c r="Y105" s="31"/>
      <c r="Z105" s="31"/>
      <c r="AA105" s="31"/>
      <c r="AB105" s="31"/>
      <c r="AC105" s="31"/>
      <c r="AD105" s="31"/>
      <c r="AE105" s="31"/>
      <c r="AF105" s="31"/>
      <c r="AG105" s="31"/>
      <c r="AH105" s="31"/>
      <c r="AI105" s="31"/>
      <c r="AJ105" s="31"/>
      <c r="AK105" s="592"/>
      <c r="AL105" s="592"/>
      <c r="AM105" s="592"/>
      <c r="AN105" s="592"/>
      <c r="AO105" s="592"/>
      <c r="AP105" s="592"/>
      <c r="AQ105" s="592"/>
      <c r="AR105" s="592"/>
      <c r="AS105" s="592"/>
      <c r="AT105" s="592"/>
      <c r="AU105" s="592"/>
      <c r="AV105" s="592"/>
      <c r="AW105" s="592"/>
      <c r="AX105" s="592"/>
      <c r="AY105" s="592"/>
      <c r="AZ105" s="592"/>
      <c r="BA105" s="592"/>
      <c r="BB105" s="52"/>
      <c r="BC105" s="52"/>
      <c r="BD105" s="52"/>
      <c r="BE105" s="592"/>
      <c r="BF105" s="592"/>
      <c r="BG105" s="592"/>
      <c r="BH105" s="592"/>
      <c r="BI105" s="592"/>
      <c r="BJ105" s="592"/>
      <c r="BN105" s="592"/>
      <c r="BO105" s="592"/>
      <c r="BP105" s="592"/>
      <c r="BQ105" s="592"/>
      <c r="BR105" s="592"/>
      <c r="BS105" s="592"/>
      <c r="BT105" s="592"/>
      <c r="BU105" s="592"/>
      <c r="BV105" s="592"/>
      <c r="BW105" s="592"/>
      <c r="BX105" s="592"/>
      <c r="BY105" s="592"/>
      <c r="BZ105" s="592"/>
      <c r="CA105" s="592"/>
      <c r="CB105" s="592"/>
      <c r="CC105" s="592"/>
      <c r="CD105" s="592"/>
      <c r="CE105" s="592"/>
      <c r="CF105" s="592"/>
      <c r="CI105" s="46" t="str">
        <f>IF(CJ105=0,"",'#BerechnungDBE'!I222)</f>
        <v/>
      </c>
      <c r="CJ105" s="816">
        <f>_xlfn.AGGREGATE(14,4,'#BerechnungDBE'!$J$129:$J$494,'#BerechnungDBE'!I222)</f>
        <v>0</v>
      </c>
      <c r="CK105" s="1666" t="str">
        <f>IF(CJ105=0,"",VLOOKUP(CJ105,'#BerechnungDBE'!$J$129:$K$494,2,FALSE))</f>
        <v/>
      </c>
      <c r="CL105" s="1666"/>
    </row>
    <row r="106" spans="20:90" s="46" customFormat="1" x14ac:dyDescent="0.2">
      <c r="X106" s="245"/>
      <c r="Y106" s="245"/>
      <c r="Z106" s="245"/>
      <c r="AA106" s="245"/>
      <c r="AB106" s="245"/>
      <c r="AC106" s="245"/>
      <c r="AD106" s="245"/>
      <c r="AE106" s="245"/>
      <c r="AF106" s="245"/>
      <c r="AG106" s="245"/>
      <c r="AH106" s="245"/>
      <c r="AI106" s="245"/>
      <c r="AJ106" s="245"/>
      <c r="BB106" s="515"/>
      <c r="BC106" s="515"/>
      <c r="BD106" s="515"/>
      <c r="CI106" s="46" t="str">
        <f>IF(CJ106=0,"",'#BerechnungDBE'!I223)</f>
        <v/>
      </c>
      <c r="CJ106" s="816">
        <f>_xlfn.AGGREGATE(14,4,'#BerechnungDBE'!$J$129:$J$494,'#BerechnungDBE'!I223)</f>
        <v>0</v>
      </c>
      <c r="CK106" s="1666" t="str">
        <f>IF(CJ106=0,"",VLOOKUP(CJ106,'#BerechnungDBE'!$J$129:$K$494,2,FALSE))</f>
        <v/>
      </c>
      <c r="CL106" s="1666"/>
    </row>
    <row r="107" spans="20:90" s="46" customFormat="1" x14ac:dyDescent="0.2">
      <c r="X107" s="245"/>
      <c r="Y107" s="245"/>
      <c r="Z107" s="245"/>
      <c r="AA107" s="245"/>
      <c r="AB107" s="245"/>
      <c r="AC107" s="245"/>
      <c r="AD107" s="245"/>
      <c r="AE107" s="245"/>
      <c r="AF107" s="245"/>
      <c r="AG107" s="245"/>
      <c r="AH107" s="245"/>
      <c r="AI107" s="245"/>
      <c r="AJ107" s="245"/>
      <c r="BB107" s="515"/>
      <c r="BC107" s="515"/>
      <c r="BD107" s="515"/>
      <c r="CI107" s="46" t="str">
        <f>IF(CJ107=0,"",'#BerechnungDBE'!I224)</f>
        <v/>
      </c>
      <c r="CJ107" s="816">
        <f>_xlfn.AGGREGATE(14,4,'#BerechnungDBE'!$J$129:$J$494,'#BerechnungDBE'!I224)</f>
        <v>0</v>
      </c>
      <c r="CK107" s="1666" t="str">
        <f>IF(CJ107=0,"",VLOOKUP(CJ107,'#BerechnungDBE'!$J$129:$K$494,2,FALSE))</f>
        <v/>
      </c>
      <c r="CL107" s="1666"/>
    </row>
    <row r="108" spans="20:90" s="46" customFormat="1" x14ac:dyDescent="0.2">
      <c r="X108" s="245"/>
      <c r="Y108" s="245"/>
      <c r="Z108" s="245"/>
      <c r="AA108" s="245"/>
      <c r="AB108" s="245"/>
      <c r="AC108" s="245"/>
      <c r="AD108" s="245"/>
      <c r="AE108" s="245"/>
      <c r="AF108" s="245"/>
      <c r="AG108" s="245"/>
      <c r="AH108" s="245"/>
      <c r="AI108" s="245"/>
      <c r="AJ108" s="245"/>
      <c r="BB108" s="515"/>
      <c r="BC108" s="515"/>
      <c r="BD108" s="515"/>
      <c r="CI108" s="46" t="str">
        <f>IF(CJ108=0,"",'#BerechnungDBE'!I225)</f>
        <v/>
      </c>
      <c r="CJ108" s="816">
        <f>_xlfn.AGGREGATE(14,4,'#BerechnungDBE'!$J$129:$J$494,'#BerechnungDBE'!I225)</f>
        <v>0</v>
      </c>
      <c r="CK108" s="1666" t="str">
        <f>IF(CJ108=0,"",VLOOKUP(CJ108,'#BerechnungDBE'!$J$129:$K$494,2,FALSE))</f>
        <v/>
      </c>
      <c r="CL108" s="1666"/>
    </row>
    <row r="109" spans="20:90" s="46" customFormat="1" x14ac:dyDescent="0.2">
      <c r="X109" s="245"/>
      <c r="Y109" s="245"/>
      <c r="Z109" s="245"/>
      <c r="AA109" s="245"/>
      <c r="AB109" s="245"/>
      <c r="AC109" s="245"/>
      <c r="AD109" s="245"/>
      <c r="AE109" s="245"/>
      <c r="AF109" s="245"/>
      <c r="AG109" s="245"/>
      <c r="AH109" s="245"/>
      <c r="AI109" s="245"/>
      <c r="AJ109" s="245"/>
      <c r="BB109" s="515"/>
      <c r="BC109" s="515"/>
      <c r="BD109" s="515"/>
      <c r="CI109" s="46" t="str">
        <f>IF(CJ109=0,"",'#BerechnungDBE'!I226)</f>
        <v/>
      </c>
      <c r="CJ109" s="816">
        <f>_xlfn.AGGREGATE(14,4,'#BerechnungDBE'!$J$129:$J$494,'#BerechnungDBE'!I226)</f>
        <v>0</v>
      </c>
      <c r="CK109" s="1666" t="str">
        <f>IF(CJ109=0,"",VLOOKUP(CJ109,'#BerechnungDBE'!$J$129:$K$494,2,FALSE))</f>
        <v/>
      </c>
      <c r="CL109" s="1666"/>
    </row>
    <row r="110" spans="20:90" s="46" customFormat="1" x14ac:dyDescent="0.2">
      <c r="X110" s="245"/>
      <c r="Y110" s="245"/>
      <c r="Z110" s="245"/>
      <c r="AA110" s="245"/>
      <c r="AB110" s="245"/>
      <c r="AC110" s="245"/>
      <c r="AD110" s="245"/>
      <c r="AE110" s="245"/>
      <c r="AF110" s="245"/>
      <c r="AG110" s="245"/>
      <c r="AH110" s="245"/>
      <c r="AI110" s="245"/>
      <c r="AJ110" s="245"/>
      <c r="BB110" s="515"/>
      <c r="BC110" s="515"/>
      <c r="BD110" s="515"/>
      <c r="CI110" s="46" t="str">
        <f>IF(CJ110=0,"",'#BerechnungDBE'!I227)</f>
        <v/>
      </c>
      <c r="CJ110" s="816">
        <f>_xlfn.AGGREGATE(14,4,'#BerechnungDBE'!$J$129:$J$494,'#BerechnungDBE'!I227)</f>
        <v>0</v>
      </c>
      <c r="CK110" s="1666" t="str">
        <f>IF(CJ110=0,"",VLOOKUP(CJ110,'#BerechnungDBE'!$J$129:$K$494,2,FALSE))</f>
        <v/>
      </c>
      <c r="CL110" s="1666"/>
    </row>
    <row r="111" spans="20:90" s="46" customFormat="1" x14ac:dyDescent="0.2">
      <c r="X111" s="245"/>
      <c r="Y111" s="245"/>
      <c r="Z111" s="245"/>
      <c r="AA111" s="245"/>
      <c r="AB111" s="245"/>
      <c r="AC111" s="245"/>
      <c r="AD111" s="245"/>
      <c r="AE111" s="245"/>
      <c r="AF111" s="245"/>
      <c r="AG111" s="245"/>
      <c r="AH111" s="245"/>
      <c r="AI111" s="245"/>
      <c r="AJ111" s="245"/>
      <c r="BB111" s="515"/>
      <c r="BC111" s="515"/>
      <c r="BD111" s="515"/>
      <c r="CI111" s="46" t="str">
        <f>IF(CJ111=0,"",'#BerechnungDBE'!I228)</f>
        <v/>
      </c>
      <c r="CJ111" s="816">
        <f>_xlfn.AGGREGATE(14,4,'#BerechnungDBE'!$J$129:$J$494,'#BerechnungDBE'!I228)</f>
        <v>0</v>
      </c>
      <c r="CK111" s="1666" t="str">
        <f>IF(CJ111=0,"",VLOOKUP(CJ111,'#BerechnungDBE'!$J$129:$K$494,2,FALSE))</f>
        <v/>
      </c>
      <c r="CL111" s="1666"/>
    </row>
    <row r="112" spans="20:90" s="46" customFormat="1" x14ac:dyDescent="0.2">
      <c r="X112" s="245"/>
      <c r="Y112" s="245"/>
      <c r="Z112" s="245"/>
      <c r="AA112" s="245"/>
      <c r="AB112" s="245"/>
      <c r="AC112" s="245"/>
      <c r="AD112" s="245"/>
      <c r="AE112" s="245"/>
      <c r="AF112" s="245"/>
      <c r="AG112" s="245"/>
      <c r="AH112" s="245"/>
      <c r="AI112" s="245"/>
      <c r="AJ112" s="245"/>
      <c r="BB112" s="515"/>
      <c r="BC112" s="515"/>
      <c r="BD112" s="515"/>
      <c r="CI112" s="46" t="str">
        <f>IF(CJ112=0,"",'#BerechnungDBE'!I229)</f>
        <v/>
      </c>
      <c r="CJ112" s="816">
        <f>_xlfn.AGGREGATE(14,4,'#BerechnungDBE'!$J$129:$J$494,'#BerechnungDBE'!I229)</f>
        <v>0</v>
      </c>
      <c r="CK112" s="1666" t="str">
        <f>IF(CJ112=0,"",VLOOKUP(CJ112,'#BerechnungDBE'!$J$129:$K$494,2,FALSE))</f>
        <v/>
      </c>
      <c r="CL112" s="1666"/>
    </row>
    <row r="113" spans="24:56" s="46" customFormat="1" x14ac:dyDescent="0.2">
      <c r="X113" s="245"/>
      <c r="Y113" s="245"/>
      <c r="Z113" s="245"/>
      <c r="AA113" s="245"/>
      <c r="AB113" s="245"/>
      <c r="AC113" s="245"/>
      <c r="AD113" s="245"/>
      <c r="AE113" s="245"/>
      <c r="AF113" s="245"/>
      <c r="AG113" s="245"/>
      <c r="AH113" s="245"/>
      <c r="AI113" s="245"/>
      <c r="AJ113" s="245"/>
      <c r="BB113" s="515"/>
      <c r="BC113" s="515"/>
      <c r="BD113" s="515"/>
    </row>
    <row r="114" spans="24:56" s="46" customFormat="1" x14ac:dyDescent="0.2">
      <c r="X114" s="245"/>
      <c r="Y114" s="245"/>
      <c r="Z114" s="245"/>
      <c r="AA114" s="245"/>
      <c r="AB114" s="245"/>
      <c r="AC114" s="245"/>
      <c r="AD114" s="245"/>
      <c r="AE114" s="245"/>
      <c r="AF114" s="245"/>
      <c r="AG114" s="245"/>
      <c r="AH114" s="245"/>
      <c r="AI114" s="245"/>
      <c r="AJ114" s="245"/>
      <c r="BB114" s="515"/>
      <c r="BC114" s="515"/>
      <c r="BD114" s="515"/>
    </row>
    <row r="115" spans="24:56" s="46" customFormat="1" x14ac:dyDescent="0.2">
      <c r="X115" s="245"/>
      <c r="Y115" s="245"/>
      <c r="Z115" s="245"/>
      <c r="AA115" s="245"/>
      <c r="AB115" s="245"/>
      <c r="AC115" s="245"/>
      <c r="AD115" s="245"/>
      <c r="AE115" s="245"/>
      <c r="AF115" s="245"/>
      <c r="AG115" s="245"/>
      <c r="AH115" s="245"/>
      <c r="AI115" s="245"/>
      <c r="AJ115" s="245"/>
      <c r="BB115" s="515"/>
      <c r="BC115" s="515"/>
      <c r="BD115" s="515"/>
    </row>
    <row r="116" spans="24:56" s="46" customFormat="1" x14ac:dyDescent="0.2">
      <c r="X116" s="245"/>
      <c r="Y116" s="245"/>
      <c r="Z116" s="245"/>
      <c r="AA116" s="245"/>
      <c r="AB116" s="245"/>
      <c r="AC116" s="245"/>
      <c r="AD116" s="245"/>
      <c r="AE116" s="245"/>
      <c r="AF116" s="245"/>
      <c r="AG116" s="245"/>
      <c r="AH116" s="245"/>
      <c r="AI116" s="245"/>
      <c r="AJ116" s="245"/>
      <c r="BB116" s="515"/>
      <c r="BC116" s="515"/>
      <c r="BD116" s="515"/>
    </row>
    <row r="117" spans="24:56" s="46" customFormat="1" x14ac:dyDescent="0.2">
      <c r="X117" s="245"/>
      <c r="Y117" s="245"/>
      <c r="Z117" s="245"/>
      <c r="AA117" s="245"/>
      <c r="AB117" s="245"/>
      <c r="AC117" s="245"/>
      <c r="AD117" s="245"/>
      <c r="AE117" s="245"/>
      <c r="AF117" s="245"/>
      <c r="AG117" s="245"/>
      <c r="AH117" s="245"/>
      <c r="AI117" s="245"/>
      <c r="AJ117" s="245"/>
      <c r="BB117" s="515"/>
      <c r="BC117" s="515"/>
      <c r="BD117" s="515"/>
    </row>
    <row r="118" spans="24:56" s="46" customFormat="1" x14ac:dyDescent="0.2">
      <c r="X118" s="245"/>
      <c r="Y118" s="245"/>
      <c r="Z118" s="245"/>
      <c r="AA118" s="245"/>
      <c r="AB118" s="245"/>
      <c r="AC118" s="245"/>
      <c r="AD118" s="245"/>
      <c r="AE118" s="245"/>
      <c r="AF118" s="245"/>
      <c r="AG118" s="245"/>
      <c r="AH118" s="245"/>
      <c r="AI118" s="245"/>
      <c r="AJ118" s="245"/>
      <c r="BB118" s="515"/>
      <c r="BC118" s="515"/>
      <c r="BD118" s="515"/>
    </row>
    <row r="119" spans="24:56" s="46" customFormat="1" x14ac:dyDescent="0.2">
      <c r="X119" s="245"/>
      <c r="Y119" s="245"/>
      <c r="Z119" s="245"/>
      <c r="AA119" s="245"/>
      <c r="AB119" s="245"/>
      <c r="AC119" s="245"/>
      <c r="AD119" s="245"/>
      <c r="AE119" s="245"/>
      <c r="AF119" s="245"/>
      <c r="AG119" s="245"/>
      <c r="AH119" s="245"/>
      <c r="AI119" s="245"/>
      <c r="AJ119" s="245"/>
      <c r="BB119" s="515"/>
      <c r="BC119" s="515"/>
      <c r="BD119" s="515"/>
    </row>
    <row r="120" spans="24:56" s="46" customFormat="1" x14ac:dyDescent="0.2">
      <c r="X120" s="245"/>
      <c r="Y120" s="245"/>
      <c r="Z120" s="245"/>
      <c r="AA120" s="245"/>
      <c r="AB120" s="245"/>
      <c r="AC120" s="245"/>
      <c r="AD120" s="245"/>
      <c r="AE120" s="245"/>
      <c r="AF120" s="245"/>
      <c r="AG120" s="245"/>
      <c r="AH120" s="245"/>
      <c r="AI120" s="245"/>
      <c r="AJ120" s="245"/>
      <c r="BB120" s="515"/>
      <c r="BC120" s="515"/>
      <c r="BD120" s="515"/>
    </row>
    <row r="121" spans="24:56" x14ac:dyDescent="0.2">
      <c r="X121" s="31"/>
      <c r="Y121" s="31"/>
      <c r="Z121" s="31"/>
      <c r="AA121" s="31"/>
      <c r="AB121" s="31"/>
      <c r="AC121" s="31"/>
      <c r="AD121" s="31"/>
      <c r="AE121" s="31"/>
      <c r="AF121" s="31"/>
      <c r="AG121" s="31"/>
      <c r="AH121" s="31"/>
      <c r="AI121" s="31"/>
      <c r="AJ121" s="31"/>
      <c r="BB121" s="52"/>
      <c r="BC121" s="52"/>
      <c r="BD121" s="52"/>
    </row>
    <row r="122" spans="24:56" x14ac:dyDescent="0.2">
      <c r="X122" s="31"/>
      <c r="Y122" s="31"/>
      <c r="Z122" s="31"/>
      <c r="AA122" s="31"/>
      <c r="AB122" s="31"/>
      <c r="AC122" s="31"/>
      <c r="AD122" s="31"/>
      <c r="AE122" s="31"/>
      <c r="AF122" s="31"/>
      <c r="AG122" s="31"/>
      <c r="AH122" s="31"/>
      <c r="AI122" s="31"/>
      <c r="AJ122" s="31"/>
      <c r="BB122" s="52"/>
      <c r="BC122" s="52"/>
      <c r="BD122" s="52"/>
    </row>
    <row r="123" spans="24:56" x14ac:dyDescent="0.2">
      <c r="X123" s="31"/>
      <c r="Y123" s="31"/>
      <c r="Z123" s="31"/>
      <c r="AA123" s="31"/>
      <c r="AB123" s="31"/>
      <c r="AC123" s="31"/>
      <c r="AD123" s="31"/>
      <c r="AE123" s="31"/>
      <c r="AF123" s="31"/>
      <c r="AG123" s="31"/>
      <c r="AH123" s="31"/>
      <c r="AI123" s="31"/>
      <c r="AJ123" s="31"/>
      <c r="BB123" s="52"/>
      <c r="BC123" s="52"/>
      <c r="BD123" s="52"/>
    </row>
    <row r="124" spans="24:56" x14ac:dyDescent="0.2">
      <c r="X124" s="31"/>
      <c r="Y124" s="31"/>
      <c r="Z124" s="31"/>
      <c r="AA124" s="31"/>
      <c r="AB124" s="31"/>
      <c r="AC124" s="31"/>
      <c r="AD124" s="31"/>
      <c r="AE124" s="31"/>
      <c r="AF124" s="31"/>
      <c r="AG124" s="31"/>
      <c r="AH124" s="31"/>
      <c r="AI124" s="31"/>
      <c r="AJ124" s="31"/>
      <c r="BB124" s="52"/>
      <c r="BC124" s="52"/>
      <c r="BD124" s="52"/>
    </row>
    <row r="125" spans="24:56" x14ac:dyDescent="0.2">
      <c r="X125" s="31"/>
      <c r="Y125" s="31"/>
      <c r="Z125" s="31"/>
      <c r="AA125" s="31"/>
      <c r="AB125" s="31"/>
      <c r="AC125" s="31"/>
      <c r="AD125" s="31"/>
      <c r="AE125" s="31"/>
      <c r="AF125" s="31"/>
      <c r="AG125" s="31"/>
      <c r="AH125" s="31"/>
      <c r="AI125" s="31"/>
      <c r="AJ125" s="31"/>
      <c r="BB125" s="52"/>
      <c r="BC125" s="52"/>
      <c r="BD125" s="52"/>
    </row>
    <row r="126" spans="24:56" x14ac:dyDescent="0.2">
      <c r="X126" s="31"/>
      <c r="Y126" s="31"/>
      <c r="Z126" s="31"/>
      <c r="AA126" s="31"/>
      <c r="AB126" s="31"/>
      <c r="AC126" s="31"/>
      <c r="AD126" s="31"/>
      <c r="AE126" s="31"/>
      <c r="AF126" s="31"/>
      <c r="AG126" s="31"/>
      <c r="AH126" s="31"/>
      <c r="AI126" s="31"/>
      <c r="AJ126" s="31"/>
      <c r="BB126" s="52"/>
      <c r="BC126" s="52"/>
      <c r="BD126" s="52"/>
    </row>
    <row r="127" spans="24:56" x14ac:dyDescent="0.2">
      <c r="X127" s="31"/>
      <c r="Y127" s="31"/>
      <c r="Z127" s="31"/>
      <c r="AA127" s="31"/>
      <c r="AB127" s="31"/>
      <c r="AC127" s="31"/>
      <c r="AD127" s="31"/>
      <c r="AE127" s="31"/>
      <c r="AF127" s="31"/>
      <c r="AG127" s="31"/>
      <c r="AH127" s="31"/>
      <c r="AI127" s="31"/>
      <c r="AJ127" s="31"/>
      <c r="BB127" s="52"/>
      <c r="BC127" s="52"/>
      <c r="BD127" s="52"/>
    </row>
    <row r="128" spans="24:56" x14ac:dyDescent="0.2">
      <c r="X128" s="31"/>
      <c r="Y128" s="31"/>
      <c r="Z128" s="31"/>
      <c r="AA128" s="31"/>
      <c r="AB128" s="31"/>
      <c r="AC128" s="31"/>
      <c r="AD128" s="31"/>
      <c r="AE128" s="31"/>
      <c r="AF128" s="31"/>
      <c r="AG128" s="31"/>
      <c r="AH128" s="31"/>
      <c r="AI128" s="31"/>
      <c r="AJ128" s="31"/>
      <c r="BB128" s="52"/>
      <c r="BC128" s="52"/>
      <c r="BD128" s="52"/>
    </row>
    <row r="129" spans="24:56" x14ac:dyDescent="0.2">
      <c r="X129" s="31"/>
      <c r="Y129" s="31"/>
      <c r="Z129" s="31"/>
      <c r="AA129" s="31"/>
      <c r="AB129" s="31"/>
      <c r="AC129" s="31"/>
      <c r="AD129" s="31"/>
      <c r="AE129" s="31"/>
      <c r="AF129" s="31"/>
      <c r="AG129" s="31"/>
      <c r="AH129" s="31"/>
      <c r="AI129" s="31"/>
      <c r="AJ129" s="31"/>
      <c r="BB129" s="52"/>
      <c r="BC129" s="52"/>
      <c r="BD129" s="52"/>
    </row>
    <row r="130" spans="24:56" x14ac:dyDescent="0.2">
      <c r="X130" s="31"/>
      <c r="Y130" s="31"/>
      <c r="Z130" s="31"/>
      <c r="AA130" s="31"/>
      <c r="AB130" s="31"/>
      <c r="AC130" s="31"/>
      <c r="AD130" s="31"/>
      <c r="AE130" s="31"/>
      <c r="AF130" s="31"/>
      <c r="AG130" s="31"/>
      <c r="AH130" s="31"/>
      <c r="AI130" s="31"/>
      <c r="AJ130" s="31"/>
      <c r="BB130" s="52"/>
      <c r="BC130" s="52"/>
      <c r="BD130" s="52"/>
    </row>
    <row r="131" spans="24:56" x14ac:dyDescent="0.2">
      <c r="X131" s="31"/>
      <c r="Y131" s="31"/>
      <c r="Z131" s="31"/>
      <c r="AA131" s="31"/>
      <c r="AB131" s="31"/>
      <c r="AC131" s="31"/>
      <c r="AD131" s="31"/>
      <c r="AE131" s="31"/>
      <c r="AF131" s="31"/>
      <c r="AG131" s="31"/>
      <c r="AH131" s="31"/>
      <c r="AI131" s="31"/>
      <c r="AJ131" s="31"/>
      <c r="BB131" s="52"/>
      <c r="BC131" s="52"/>
      <c r="BD131" s="52"/>
    </row>
    <row r="132" spans="24:56" x14ac:dyDescent="0.2">
      <c r="X132" s="31"/>
      <c r="Y132" s="31"/>
      <c r="Z132" s="31"/>
      <c r="AA132" s="31"/>
      <c r="AB132" s="31"/>
      <c r="AC132" s="31"/>
      <c r="AD132" s="31"/>
      <c r="AE132" s="31"/>
      <c r="AF132" s="31"/>
      <c r="AG132" s="31"/>
      <c r="AH132" s="31"/>
      <c r="AI132" s="31"/>
      <c r="AJ132" s="31"/>
      <c r="BB132" s="52"/>
      <c r="BC132" s="52"/>
      <c r="BD132" s="52"/>
    </row>
    <row r="133" spans="24:56" x14ac:dyDescent="0.2">
      <c r="X133" s="31"/>
      <c r="Y133" s="31"/>
      <c r="Z133" s="31"/>
      <c r="AA133" s="31"/>
      <c r="AB133" s="31"/>
      <c r="AC133" s="31"/>
      <c r="AD133" s="31"/>
      <c r="AE133" s="31"/>
      <c r="AF133" s="31"/>
      <c r="AG133" s="31"/>
      <c r="AH133" s="31"/>
      <c r="AI133" s="31"/>
      <c r="AJ133" s="31"/>
      <c r="BB133" s="52"/>
      <c r="BC133" s="52"/>
      <c r="BD133" s="52"/>
    </row>
    <row r="134" spans="24:56" x14ac:dyDescent="0.2">
      <c r="X134" s="31"/>
      <c r="Y134" s="31"/>
      <c r="Z134" s="31"/>
      <c r="AA134" s="31"/>
      <c r="AB134" s="31"/>
      <c r="AC134" s="31"/>
      <c r="AD134" s="31"/>
      <c r="AE134" s="31"/>
      <c r="AF134" s="31"/>
      <c r="AG134" s="31"/>
      <c r="AH134" s="31"/>
      <c r="AI134" s="31"/>
      <c r="AJ134" s="31"/>
      <c r="BB134" s="52"/>
      <c r="BC134" s="52"/>
      <c r="BD134" s="52"/>
    </row>
    <row r="135" spans="24:56" x14ac:dyDescent="0.2">
      <c r="X135" s="31"/>
      <c r="Y135" s="31"/>
      <c r="Z135" s="31"/>
      <c r="AA135" s="31"/>
      <c r="AB135" s="31"/>
      <c r="AC135" s="31"/>
      <c r="AD135" s="31"/>
      <c r="AE135" s="31"/>
      <c r="AF135" s="31"/>
      <c r="AG135" s="31"/>
      <c r="AH135" s="31"/>
      <c r="AI135" s="31"/>
      <c r="AJ135" s="31"/>
      <c r="BB135" s="52"/>
      <c r="BC135" s="52"/>
      <c r="BD135" s="52"/>
    </row>
    <row r="136" spans="24:56" x14ac:dyDescent="0.2">
      <c r="X136" s="31"/>
      <c r="Y136" s="31"/>
      <c r="Z136" s="31"/>
      <c r="AA136" s="31"/>
      <c r="AB136" s="31"/>
      <c r="AC136" s="31"/>
      <c r="AD136" s="31"/>
      <c r="AE136" s="31"/>
      <c r="AF136" s="31"/>
      <c r="AG136" s="31"/>
      <c r="AH136" s="31"/>
      <c r="AI136" s="31"/>
      <c r="AJ136" s="31"/>
      <c r="BB136" s="52"/>
      <c r="BC136" s="52"/>
      <c r="BD136" s="52"/>
    </row>
    <row r="137" spans="24:56" x14ac:dyDescent="0.2">
      <c r="X137" s="31"/>
      <c r="Y137" s="31"/>
      <c r="Z137" s="31"/>
      <c r="AA137" s="31"/>
      <c r="AB137" s="31"/>
      <c r="AC137" s="31"/>
      <c r="AD137" s="31"/>
      <c r="AE137" s="31"/>
      <c r="AF137" s="31"/>
      <c r="AG137" s="31"/>
      <c r="AH137" s="31"/>
      <c r="AI137" s="31"/>
      <c r="AJ137" s="31"/>
      <c r="BB137" s="52"/>
      <c r="BC137" s="52"/>
      <c r="BD137" s="52"/>
    </row>
    <row r="138" spans="24:56" x14ac:dyDescent="0.2">
      <c r="X138" s="31"/>
      <c r="Y138" s="31"/>
      <c r="Z138" s="31"/>
      <c r="AA138" s="31"/>
      <c r="AB138" s="31"/>
      <c r="AC138" s="31"/>
      <c r="AD138" s="31"/>
      <c r="AE138" s="31"/>
      <c r="AF138" s="31"/>
      <c r="AG138" s="31"/>
      <c r="AH138" s="31"/>
      <c r="AI138" s="31"/>
      <c r="AJ138" s="31"/>
      <c r="BB138" s="52"/>
      <c r="BC138" s="52"/>
      <c r="BD138" s="52"/>
    </row>
    <row r="139" spans="24:56" x14ac:dyDescent="0.2">
      <c r="X139" s="31"/>
      <c r="Y139" s="31"/>
      <c r="Z139" s="31"/>
      <c r="AA139" s="31"/>
      <c r="AB139" s="31"/>
      <c r="AC139" s="31"/>
      <c r="AD139" s="31"/>
      <c r="AE139" s="31"/>
      <c r="AF139" s="31"/>
      <c r="AG139" s="31"/>
      <c r="AH139" s="31"/>
      <c r="AI139" s="31"/>
      <c r="AJ139" s="31"/>
      <c r="BB139" s="52"/>
      <c r="BC139" s="52"/>
      <c r="BD139" s="52"/>
    </row>
    <row r="140" spans="24:56" x14ac:dyDescent="0.2">
      <c r="X140" s="31"/>
      <c r="Y140" s="31"/>
      <c r="Z140" s="31"/>
      <c r="AA140" s="31"/>
      <c r="AB140" s="31"/>
      <c r="AC140" s="31"/>
      <c r="AD140" s="31"/>
      <c r="AE140" s="31"/>
      <c r="AF140" s="31"/>
      <c r="AG140" s="31"/>
      <c r="AH140" s="31"/>
      <c r="AI140" s="31"/>
      <c r="AJ140" s="31"/>
      <c r="BB140" s="52"/>
      <c r="BC140" s="52"/>
      <c r="BD140" s="52"/>
    </row>
    <row r="141" spans="24:56" x14ac:dyDescent="0.2">
      <c r="X141" s="31"/>
      <c r="Y141" s="31"/>
      <c r="Z141" s="31"/>
      <c r="AA141" s="31"/>
      <c r="AB141" s="31"/>
      <c r="AC141" s="31"/>
      <c r="AD141" s="31"/>
      <c r="AE141" s="31"/>
      <c r="AF141" s="31"/>
      <c r="AG141" s="31"/>
      <c r="AH141" s="31"/>
      <c r="AI141" s="31"/>
      <c r="AJ141" s="31"/>
      <c r="BB141" s="52"/>
      <c r="BC141" s="52"/>
      <c r="BD141" s="52"/>
    </row>
    <row r="142" spans="24:56" x14ac:dyDescent="0.2">
      <c r="X142" s="72"/>
      <c r="Y142" s="31"/>
      <c r="Z142" s="31"/>
      <c r="AA142" s="31"/>
      <c r="AB142" s="31"/>
      <c r="AC142" s="31"/>
      <c r="AD142" s="31"/>
      <c r="AE142" s="31"/>
      <c r="AF142" s="31"/>
      <c r="AG142" s="31"/>
      <c r="AH142" s="31"/>
      <c r="AI142" s="31"/>
      <c r="AJ142" s="31"/>
      <c r="BB142" s="52"/>
      <c r="BC142" s="52"/>
      <c r="BD142" s="52"/>
    </row>
    <row r="143" spans="24:56" x14ac:dyDescent="0.2">
      <c r="X143" s="72"/>
      <c r="Y143" s="31"/>
      <c r="Z143" s="31"/>
      <c r="AA143" s="31"/>
      <c r="AB143" s="31"/>
      <c r="AC143" s="31"/>
      <c r="AD143" s="31"/>
      <c r="AE143" s="31"/>
      <c r="AF143" s="31"/>
      <c r="AG143" s="31"/>
      <c r="AH143" s="31"/>
      <c r="AI143" s="31"/>
      <c r="AJ143" s="31"/>
      <c r="BB143" s="52"/>
      <c r="BC143" s="52"/>
      <c r="BD143" s="52"/>
    </row>
    <row r="144" spans="24:56" x14ac:dyDescent="0.2">
      <c r="X144" s="72"/>
      <c r="Y144" s="31"/>
      <c r="Z144" s="31"/>
      <c r="AA144" s="31"/>
      <c r="AB144" s="31"/>
      <c r="AC144" s="31"/>
      <c r="AD144" s="31"/>
      <c r="AE144" s="31"/>
      <c r="AF144" s="31"/>
      <c r="AG144" s="31"/>
      <c r="AH144" s="31"/>
      <c r="AI144" s="31"/>
      <c r="AJ144" s="31"/>
      <c r="BB144" s="52"/>
      <c r="BC144" s="52"/>
      <c r="BD144" s="52"/>
    </row>
    <row r="145" spans="20:84" x14ac:dyDescent="0.2">
      <c r="X145" s="31"/>
      <c r="Y145" s="31"/>
      <c r="Z145" s="31"/>
      <c r="AA145" s="31"/>
      <c r="AB145" s="245"/>
      <c r="AC145" s="245"/>
      <c r="AD145" s="245"/>
      <c r="AE145" s="245"/>
      <c r="AF145" s="245"/>
      <c r="AG145" s="245"/>
      <c r="AH145" s="245"/>
      <c r="AI145" s="31"/>
      <c r="AJ145" s="31"/>
      <c r="BB145" s="52"/>
      <c r="BC145" s="52"/>
      <c r="BD145" s="52"/>
    </row>
    <row r="146" spans="20:84" x14ac:dyDescent="0.2">
      <c r="X146" s="72"/>
      <c r="Y146" s="31"/>
      <c r="Z146" s="31"/>
      <c r="AA146" s="31"/>
      <c r="AB146" s="245"/>
      <c r="AC146" s="142"/>
      <c r="AD146" s="142"/>
      <c r="AE146" s="142"/>
      <c r="AF146" s="142"/>
      <c r="AG146" s="142"/>
      <c r="AH146" s="142"/>
      <c r="AI146" s="142"/>
      <c r="AJ146" s="142"/>
      <c r="AK146" s="429"/>
      <c r="AL146" s="380"/>
      <c r="AM146" s="380"/>
      <c r="AN146" s="380"/>
      <c r="AO146" s="380"/>
    </row>
    <row r="147" spans="20:84" x14ac:dyDescent="0.2">
      <c r="X147" s="72"/>
      <c r="Y147" s="72"/>
      <c r="Z147" s="31"/>
      <c r="AA147" s="292"/>
      <c r="AB147" s="142"/>
      <c r="AC147" s="248"/>
      <c r="AD147" s="248"/>
      <c r="AE147" s="248"/>
      <c r="AF147" s="248"/>
      <c r="AG147" s="248"/>
      <c r="AH147" s="248"/>
      <c r="AI147" s="248"/>
      <c r="AJ147" s="248"/>
      <c r="AK147" s="77"/>
      <c r="AL147" s="77"/>
      <c r="AM147" s="77"/>
      <c r="AN147" s="77"/>
      <c r="AO147" s="77"/>
      <c r="AY147" s="597"/>
      <c r="AZ147" s="597"/>
      <c r="BA147" s="597"/>
    </row>
    <row r="148" spans="20:84" s="46" customFormat="1" x14ac:dyDescent="0.2">
      <c r="X148" s="245"/>
      <c r="Y148" s="245"/>
      <c r="Z148" s="245"/>
      <c r="AA148" s="248"/>
      <c r="AB148" s="248"/>
      <c r="AC148" s="248"/>
      <c r="AD148" s="248"/>
      <c r="AE148" s="248"/>
      <c r="AF148" s="248"/>
      <c r="AG148" s="248"/>
      <c r="AH148" s="248"/>
      <c r="AI148" s="248"/>
      <c r="AJ148" s="245"/>
      <c r="AK148" s="77"/>
      <c r="AL148" s="77"/>
      <c r="AM148" s="77"/>
      <c r="AN148" s="77"/>
    </row>
    <row r="149" spans="20:84" s="46" customFormat="1" x14ac:dyDescent="0.2">
      <c r="T149" s="77"/>
      <c r="U149" s="77"/>
      <c r="V149" s="77"/>
      <c r="W149" s="77"/>
      <c r="X149" s="248"/>
      <c r="Y149" s="248"/>
      <c r="Z149" s="248"/>
      <c r="AA149" s="248"/>
      <c r="AB149" s="248"/>
      <c r="AC149" s="248"/>
      <c r="AD149" s="248"/>
      <c r="AE149" s="248"/>
      <c r="AF149" s="248"/>
      <c r="AG149" s="248"/>
      <c r="AH149" s="248"/>
      <c r="AI149" s="248"/>
      <c r="AJ149" s="248"/>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row>
    <row r="150" spans="20:84" s="46" customFormat="1" x14ac:dyDescent="0.2">
      <c r="X150" s="245"/>
      <c r="Y150" s="245"/>
      <c r="Z150" s="245"/>
      <c r="AA150" s="245"/>
      <c r="AB150" s="245"/>
      <c r="AC150" s="245"/>
      <c r="AD150" s="245"/>
      <c r="AE150" s="245"/>
      <c r="AF150" s="245"/>
      <c r="AG150" s="245"/>
      <c r="AH150" s="245"/>
      <c r="AI150" s="245"/>
      <c r="AJ150" s="245"/>
    </row>
    <row r="151" spans="20:84" x14ac:dyDescent="0.2">
      <c r="X151" s="31"/>
      <c r="Y151" s="31"/>
      <c r="Z151" s="31"/>
      <c r="AA151" s="31"/>
      <c r="AB151" s="31"/>
      <c r="AC151" s="31"/>
      <c r="AD151" s="31"/>
      <c r="AE151" s="31"/>
      <c r="AF151" s="31"/>
      <c r="AG151" s="31"/>
      <c r="AH151" s="31"/>
      <c r="AI151" s="31"/>
      <c r="AJ151" s="31"/>
    </row>
    <row r="152" spans="20:84" x14ac:dyDescent="0.2">
      <c r="X152" s="31"/>
      <c r="Y152" s="31"/>
      <c r="Z152" s="31"/>
      <c r="AA152" s="31"/>
      <c r="AB152" s="31"/>
      <c r="AC152" s="31"/>
      <c r="AD152" s="31"/>
      <c r="AE152" s="31"/>
      <c r="AF152" s="31"/>
      <c r="AG152" s="31"/>
      <c r="AH152" s="31"/>
      <c r="AI152" s="31"/>
      <c r="AJ152" s="31"/>
    </row>
    <row r="153" spans="20:84" x14ac:dyDescent="0.2">
      <c r="X153" s="31"/>
      <c r="Y153" s="31"/>
      <c r="Z153" s="31"/>
      <c r="AA153" s="31"/>
      <c r="AB153" s="31"/>
      <c r="AC153" s="31"/>
      <c r="AD153" s="31"/>
      <c r="AE153" s="31"/>
      <c r="AF153" s="31"/>
      <c r="AG153" s="31"/>
      <c r="AH153" s="31"/>
      <c r="AI153" s="31"/>
      <c r="AJ153" s="31"/>
    </row>
    <row r="154" spans="20:84" x14ac:dyDescent="0.2">
      <c r="X154" s="31"/>
      <c r="Y154" s="31"/>
      <c r="Z154" s="31"/>
      <c r="AA154" s="31"/>
      <c r="AB154" s="31"/>
      <c r="AC154" s="31"/>
      <c r="AD154" s="31"/>
      <c r="AE154" s="31"/>
      <c r="AF154" s="31"/>
      <c r="AG154" s="31"/>
      <c r="AH154" s="31"/>
      <c r="AI154" s="31"/>
      <c r="AJ154" s="31"/>
    </row>
    <row r="155" spans="20:84" x14ac:dyDescent="0.2">
      <c r="X155" s="31"/>
      <c r="Y155" s="31"/>
      <c r="Z155" s="31"/>
      <c r="AA155" s="31"/>
      <c r="AB155" s="31"/>
      <c r="AC155" s="31"/>
      <c r="AD155" s="31"/>
      <c r="AE155" s="31"/>
      <c r="AF155" s="31"/>
      <c r="AG155" s="31"/>
      <c r="AH155" s="31"/>
      <c r="AI155" s="31"/>
      <c r="AJ155" s="31"/>
    </row>
    <row r="156" spans="20:84" x14ac:dyDescent="0.2">
      <c r="X156" s="31"/>
      <c r="Y156" s="31"/>
      <c r="Z156" s="31"/>
      <c r="AA156" s="31"/>
      <c r="AB156" s="31"/>
      <c r="AC156" s="31"/>
      <c r="AD156" s="31"/>
      <c r="AE156" s="31"/>
      <c r="AF156" s="31"/>
      <c r="AG156" s="31"/>
      <c r="AH156" s="31"/>
      <c r="AI156" s="31"/>
      <c r="AJ156" s="31"/>
    </row>
    <row r="157" spans="20:84" x14ac:dyDescent="0.2">
      <c r="X157" s="31"/>
      <c r="Y157" s="31"/>
      <c r="Z157" s="31"/>
      <c r="AA157" s="31"/>
      <c r="AB157" s="31"/>
      <c r="AC157" s="31"/>
      <c r="AD157" s="31"/>
      <c r="AE157" s="31"/>
      <c r="AF157" s="31"/>
      <c r="AG157" s="31"/>
      <c r="AH157" s="31"/>
      <c r="AI157" s="31"/>
      <c r="AJ157" s="31"/>
    </row>
    <row r="158" spans="20:84" x14ac:dyDescent="0.2">
      <c r="X158" s="31"/>
      <c r="Y158" s="31"/>
      <c r="Z158" s="31"/>
      <c r="AA158" s="31"/>
      <c r="AB158" s="31"/>
      <c r="AC158" s="31"/>
      <c r="AD158" s="31"/>
      <c r="AE158" s="31"/>
      <c r="AF158" s="31"/>
      <c r="AG158" s="31"/>
      <c r="AH158" s="31"/>
      <c r="AI158" s="31"/>
      <c r="AJ158" s="31"/>
    </row>
    <row r="159" spans="20:84" x14ac:dyDescent="0.2">
      <c r="X159" s="31"/>
      <c r="Y159" s="31"/>
      <c r="Z159" s="31"/>
      <c r="AA159" s="31"/>
      <c r="AB159" s="31"/>
      <c r="AC159" s="31"/>
      <c r="AD159" s="31"/>
      <c r="AE159" s="31"/>
      <c r="AF159" s="31"/>
      <c r="AG159" s="31"/>
      <c r="AH159" s="31"/>
      <c r="AI159" s="31"/>
      <c r="AJ159" s="31"/>
    </row>
    <row r="160" spans="20:84" x14ac:dyDescent="0.2">
      <c r="X160" s="31"/>
      <c r="Y160" s="31"/>
      <c r="Z160" s="31"/>
      <c r="AA160" s="31"/>
      <c r="AB160" s="31"/>
      <c r="AC160" s="31"/>
      <c r="AD160" s="31"/>
      <c r="AE160" s="31"/>
      <c r="AF160" s="31"/>
      <c r="AG160" s="31"/>
      <c r="AH160" s="31"/>
      <c r="AI160" s="31"/>
      <c r="AJ160" s="31"/>
    </row>
    <row r="161" spans="24:36" x14ac:dyDescent="0.2">
      <c r="X161" s="31"/>
      <c r="Y161" s="31"/>
      <c r="Z161" s="31"/>
      <c r="AA161" s="31"/>
      <c r="AB161" s="31"/>
      <c r="AC161" s="31"/>
      <c r="AD161" s="31"/>
      <c r="AE161" s="31"/>
      <c r="AF161" s="31"/>
      <c r="AG161" s="31"/>
      <c r="AH161" s="31"/>
      <c r="AI161" s="31"/>
      <c r="AJ161" s="31"/>
    </row>
    <row r="162" spans="24:36" x14ac:dyDescent="0.2">
      <c r="X162" s="31"/>
      <c r="Y162" s="31"/>
      <c r="Z162" s="31"/>
      <c r="AA162" s="31"/>
      <c r="AB162" s="31"/>
      <c r="AC162" s="31"/>
      <c r="AD162" s="31"/>
      <c r="AE162" s="31"/>
      <c r="AF162" s="31"/>
      <c r="AG162" s="31"/>
      <c r="AH162" s="31"/>
      <c r="AI162" s="31"/>
      <c r="AJ162" s="31"/>
    </row>
    <row r="163" spans="24:36" x14ac:dyDescent="0.2">
      <c r="X163" s="31"/>
      <c r="Y163" s="31"/>
      <c r="Z163" s="31"/>
      <c r="AA163" s="31"/>
      <c r="AB163" s="31"/>
      <c r="AC163" s="31"/>
      <c r="AD163" s="31"/>
      <c r="AE163" s="31"/>
      <c r="AF163" s="31"/>
      <c r="AG163" s="31"/>
      <c r="AH163" s="31"/>
      <c r="AI163" s="31"/>
      <c r="AJ163" s="31"/>
    </row>
    <row r="164" spans="24:36" x14ac:dyDescent="0.2">
      <c r="X164" s="31"/>
      <c r="Y164" s="31"/>
      <c r="Z164" s="31"/>
      <c r="AA164" s="31"/>
      <c r="AB164" s="31"/>
      <c r="AC164" s="31"/>
      <c r="AD164" s="31"/>
      <c r="AE164" s="31"/>
      <c r="AF164" s="31"/>
      <c r="AG164" s="31"/>
      <c r="AH164" s="31"/>
      <c r="AI164" s="31"/>
      <c r="AJ164" s="31"/>
    </row>
    <row r="165" spans="24:36" x14ac:dyDescent="0.2">
      <c r="X165" s="31"/>
      <c r="Y165" s="31"/>
      <c r="Z165" s="31"/>
      <c r="AA165" s="31"/>
      <c r="AB165" s="31"/>
      <c r="AC165" s="31"/>
      <c r="AD165" s="31"/>
      <c r="AE165" s="31"/>
      <c r="AF165" s="31"/>
      <c r="AG165" s="31"/>
      <c r="AH165" s="31"/>
      <c r="AI165" s="31"/>
      <c r="AJ165" s="31"/>
    </row>
    <row r="166" spans="24:36" x14ac:dyDescent="0.2">
      <c r="X166" s="31"/>
      <c r="Y166" s="31"/>
      <c r="Z166" s="31"/>
      <c r="AA166" s="31"/>
      <c r="AB166" s="31"/>
      <c r="AC166" s="31"/>
      <c r="AD166" s="31"/>
      <c r="AE166" s="31"/>
      <c r="AF166" s="31"/>
      <c r="AG166" s="31"/>
      <c r="AH166" s="31"/>
      <c r="AI166" s="31"/>
      <c r="AJ166" s="31"/>
    </row>
    <row r="167" spans="24:36" x14ac:dyDescent="0.2">
      <c r="X167" s="31"/>
      <c r="Y167" s="31"/>
      <c r="Z167" s="31"/>
      <c r="AA167" s="31"/>
      <c r="AB167" s="31"/>
      <c r="AC167" s="31"/>
      <c r="AD167" s="31"/>
      <c r="AE167" s="31"/>
      <c r="AF167" s="31"/>
      <c r="AG167" s="31"/>
      <c r="AH167" s="31"/>
      <c r="AI167" s="31"/>
      <c r="AJ167" s="31"/>
    </row>
    <row r="168" spans="24:36" x14ac:dyDescent="0.2">
      <c r="X168" s="31"/>
      <c r="Y168" s="31"/>
      <c r="Z168" s="31"/>
      <c r="AA168" s="31"/>
      <c r="AB168" s="31"/>
      <c r="AC168" s="31"/>
      <c r="AD168" s="31"/>
      <c r="AE168" s="31"/>
      <c r="AF168" s="31"/>
      <c r="AG168" s="31"/>
      <c r="AH168" s="31"/>
      <c r="AI168" s="31"/>
      <c r="AJ168" s="31"/>
    </row>
    <row r="169" spans="24:36" x14ac:dyDescent="0.2">
      <c r="X169" s="31"/>
      <c r="Y169" s="31"/>
      <c r="Z169" s="31"/>
      <c r="AA169" s="31"/>
      <c r="AB169" s="31"/>
      <c r="AC169" s="31"/>
      <c r="AD169" s="31"/>
      <c r="AE169" s="31"/>
      <c r="AF169" s="31"/>
      <c r="AG169" s="31"/>
      <c r="AH169" s="31"/>
      <c r="AI169" s="31"/>
      <c r="AJ169" s="31"/>
    </row>
    <row r="170" spans="24:36" x14ac:dyDescent="0.2">
      <c r="X170" s="31"/>
      <c r="Y170" s="31"/>
      <c r="Z170" s="31"/>
      <c r="AA170" s="31"/>
      <c r="AB170" s="31"/>
      <c r="AC170" s="31"/>
      <c r="AD170" s="31"/>
      <c r="AE170" s="31"/>
      <c r="AF170" s="31"/>
      <c r="AG170" s="31"/>
      <c r="AH170" s="31"/>
      <c r="AI170" s="31"/>
      <c r="AJ170" s="31"/>
    </row>
    <row r="171" spans="24:36" x14ac:dyDescent="0.2">
      <c r="X171" s="31"/>
      <c r="Y171" s="31"/>
      <c r="Z171" s="31"/>
      <c r="AA171" s="31"/>
      <c r="AB171" s="31"/>
      <c r="AC171" s="31"/>
      <c r="AD171" s="31"/>
      <c r="AE171" s="31"/>
      <c r="AF171" s="31"/>
      <c r="AG171" s="31"/>
      <c r="AH171" s="31"/>
      <c r="AI171" s="31"/>
      <c r="AJ171" s="31"/>
    </row>
    <row r="172" spans="24:36" x14ac:dyDescent="0.2">
      <c r="X172" s="31"/>
      <c r="Y172" s="31"/>
      <c r="Z172" s="31"/>
      <c r="AA172" s="31"/>
      <c r="AB172" s="31"/>
      <c r="AC172" s="31"/>
      <c r="AD172" s="31"/>
      <c r="AE172" s="31"/>
      <c r="AF172" s="31"/>
      <c r="AG172" s="31"/>
      <c r="AH172" s="31"/>
      <c r="AI172" s="31"/>
      <c r="AJ172" s="31"/>
    </row>
    <row r="173" spans="24:36" x14ac:dyDescent="0.2">
      <c r="X173" s="31"/>
      <c r="Y173" s="31"/>
      <c r="Z173" s="31"/>
      <c r="AA173" s="31"/>
      <c r="AB173" s="31"/>
      <c r="AC173" s="31"/>
      <c r="AD173" s="31"/>
      <c r="AE173" s="31"/>
      <c r="AF173" s="31"/>
      <c r="AG173" s="31"/>
      <c r="AH173" s="31"/>
      <c r="AI173" s="31"/>
      <c r="AJ173" s="31"/>
    </row>
    <row r="174" spans="24:36" x14ac:dyDescent="0.2">
      <c r="X174" s="31"/>
      <c r="Y174" s="31"/>
      <c r="Z174" s="31"/>
      <c r="AA174" s="31"/>
      <c r="AB174" s="31"/>
      <c r="AC174" s="31"/>
      <c r="AD174" s="31"/>
      <c r="AE174" s="31"/>
      <c r="AF174" s="31"/>
      <c r="AG174" s="31"/>
      <c r="AH174" s="31"/>
      <c r="AI174" s="31"/>
      <c r="AJ174" s="31"/>
    </row>
    <row r="175" spans="24:36" x14ac:dyDescent="0.2">
      <c r="X175" s="31"/>
      <c r="Y175" s="31"/>
      <c r="Z175" s="31"/>
      <c r="AA175" s="31"/>
      <c r="AB175" s="31"/>
      <c r="AC175" s="31"/>
      <c r="AD175" s="31"/>
      <c r="AE175" s="31"/>
      <c r="AF175" s="31"/>
      <c r="AG175" s="31"/>
      <c r="AH175" s="31"/>
      <c r="AI175" s="31"/>
      <c r="AJ175" s="31"/>
    </row>
    <row r="176" spans="24:36" x14ac:dyDescent="0.2">
      <c r="X176" s="31"/>
      <c r="Y176" s="31"/>
      <c r="Z176" s="31"/>
      <c r="AA176" s="31"/>
      <c r="AB176" s="31"/>
      <c r="AC176" s="31"/>
      <c r="AD176" s="31"/>
      <c r="AE176" s="31"/>
      <c r="AF176" s="31"/>
      <c r="AG176" s="31"/>
      <c r="AH176" s="31"/>
      <c r="AI176" s="31"/>
      <c r="AJ176" s="31"/>
    </row>
    <row r="177" spans="20:84" ht="12" customHeight="1" x14ac:dyDescent="0.2">
      <c r="X177" s="31"/>
      <c r="Y177" s="31"/>
      <c r="Z177" s="31"/>
      <c r="AA177" s="31"/>
      <c r="AB177" s="31"/>
      <c r="AC177" s="31"/>
      <c r="AD177" s="31"/>
      <c r="AE177" s="31"/>
      <c r="AF177" s="31"/>
      <c r="AG177" s="31"/>
      <c r="AH177" s="31"/>
      <c r="AI177" s="31"/>
      <c r="AJ177" s="31"/>
    </row>
    <row r="178" spans="20:84" x14ac:dyDescent="0.2">
      <c r="X178" s="31"/>
      <c r="Y178" s="31"/>
      <c r="Z178" s="31"/>
      <c r="AA178" s="31"/>
      <c r="AB178" s="31"/>
      <c r="AC178" s="31"/>
      <c r="AD178" s="31"/>
      <c r="AE178" s="31"/>
      <c r="AF178" s="31"/>
      <c r="AG178" s="31"/>
      <c r="AH178" s="31"/>
      <c r="AI178" s="31"/>
      <c r="AJ178" s="31"/>
    </row>
    <row r="179" spans="20:84" s="46" customFormat="1" x14ac:dyDescent="0.2">
      <c r="X179" s="245"/>
      <c r="Y179" s="245"/>
      <c r="Z179" s="245"/>
      <c r="AA179" s="245"/>
      <c r="AB179" s="245"/>
      <c r="AC179" s="245"/>
      <c r="AD179" s="245"/>
      <c r="AE179" s="245"/>
      <c r="AF179" s="245"/>
      <c r="AG179" s="245"/>
      <c r="AH179" s="245"/>
      <c r="AI179" s="245"/>
      <c r="AJ179" s="245"/>
    </row>
    <row r="180" spans="20:84" s="77" customFormat="1" x14ac:dyDescent="0.2">
      <c r="T180" s="46"/>
      <c r="U180" s="46"/>
      <c r="V180" s="46"/>
      <c r="W180" s="46"/>
      <c r="X180" s="245"/>
      <c r="Y180" s="245"/>
      <c r="Z180" s="245"/>
      <c r="AA180" s="245"/>
      <c r="AB180" s="245"/>
      <c r="AC180" s="245"/>
      <c r="AD180" s="245"/>
      <c r="AE180" s="245"/>
      <c r="AF180" s="245"/>
      <c r="AG180" s="245"/>
      <c r="AH180" s="245"/>
      <c r="AI180" s="245"/>
      <c r="AJ180" s="245"/>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row>
    <row r="181" spans="20:84" s="46" customFormat="1" x14ac:dyDescent="0.2">
      <c r="X181" s="245"/>
      <c r="Y181" s="245"/>
      <c r="Z181" s="245"/>
      <c r="AA181" s="245"/>
      <c r="AB181" s="245"/>
      <c r="AC181" s="245"/>
      <c r="AD181" s="245"/>
      <c r="AE181" s="245"/>
      <c r="AF181" s="245"/>
      <c r="AG181" s="245"/>
      <c r="AH181" s="245"/>
      <c r="AI181" s="245"/>
      <c r="AJ181" s="245"/>
    </row>
    <row r="182" spans="20:84" s="46" customFormat="1" x14ac:dyDescent="0.2">
      <c r="X182" s="245"/>
      <c r="Y182" s="245"/>
      <c r="Z182" s="245"/>
      <c r="AA182" s="245"/>
      <c r="AB182" s="245"/>
      <c r="AC182" s="245"/>
      <c r="AD182" s="245"/>
      <c r="AE182" s="245"/>
      <c r="AF182" s="245"/>
      <c r="AG182" s="245"/>
      <c r="AH182" s="245"/>
      <c r="AI182" s="245"/>
      <c r="AJ182" s="245"/>
    </row>
    <row r="183" spans="20:84" x14ac:dyDescent="0.2">
      <c r="X183" s="31"/>
      <c r="Y183" s="31"/>
      <c r="Z183" s="31"/>
      <c r="AA183" s="31"/>
      <c r="AB183" s="31"/>
      <c r="AC183" s="31"/>
      <c r="AD183" s="31"/>
      <c r="AE183" s="31"/>
      <c r="AF183" s="31"/>
      <c r="AG183" s="31"/>
      <c r="AH183" s="31"/>
      <c r="AI183" s="31"/>
      <c r="AJ183" s="31"/>
    </row>
    <row r="184" spans="20:84" x14ac:dyDescent="0.2">
      <c r="X184" s="31"/>
      <c r="Y184" s="31"/>
      <c r="Z184" s="31"/>
      <c r="AA184" s="31"/>
      <c r="AB184" s="31"/>
      <c r="AC184" s="31"/>
      <c r="AD184" s="31"/>
      <c r="AE184" s="31"/>
      <c r="AF184" s="31"/>
      <c r="AG184" s="31"/>
      <c r="AH184" s="31"/>
      <c r="AI184" s="31"/>
      <c r="AJ184" s="31"/>
    </row>
    <row r="185" spans="20:84" x14ac:dyDescent="0.2">
      <c r="X185" s="31"/>
      <c r="Y185" s="31"/>
      <c r="Z185" s="31"/>
      <c r="AA185" s="31"/>
      <c r="AB185" s="31"/>
      <c r="AC185" s="31"/>
      <c r="AD185" s="31"/>
      <c r="AE185" s="31"/>
      <c r="AF185" s="31"/>
      <c r="AG185" s="31"/>
      <c r="AH185" s="31"/>
      <c r="AI185" s="31"/>
      <c r="AJ185" s="31"/>
    </row>
    <row r="186" spans="20:84" x14ac:dyDescent="0.2">
      <c r="X186" s="31"/>
      <c r="Y186" s="31"/>
      <c r="Z186" s="31"/>
      <c r="AA186" s="31"/>
      <c r="AB186" s="31"/>
      <c r="AC186" s="31"/>
      <c r="AD186" s="31"/>
      <c r="AE186" s="31"/>
      <c r="AF186" s="31"/>
      <c r="AG186" s="31"/>
      <c r="AH186" s="31"/>
      <c r="AI186" s="31"/>
      <c r="AJ186" s="31"/>
    </row>
    <row r="187" spans="20:84" x14ac:dyDescent="0.2">
      <c r="X187" s="31"/>
      <c r="Y187" s="31"/>
      <c r="Z187" s="31"/>
      <c r="AA187" s="31"/>
      <c r="AB187" s="31"/>
      <c r="AC187" s="31"/>
      <c r="AD187" s="31"/>
      <c r="AE187" s="31"/>
      <c r="AF187" s="31"/>
      <c r="AG187" s="31"/>
      <c r="AH187" s="31"/>
      <c r="AI187" s="31"/>
      <c r="AJ187" s="31"/>
    </row>
    <row r="188" spans="20:84" x14ac:dyDescent="0.2">
      <c r="X188" s="31"/>
      <c r="Y188" s="31"/>
      <c r="Z188" s="31"/>
      <c r="AA188" s="31"/>
      <c r="AB188" s="31"/>
      <c r="AC188" s="31"/>
      <c r="AD188" s="31"/>
      <c r="AE188" s="31"/>
      <c r="AF188" s="31"/>
      <c r="AG188" s="31"/>
      <c r="AH188" s="31"/>
      <c r="AI188" s="31"/>
      <c r="AJ188" s="31"/>
    </row>
    <row r="189" spans="20:84" x14ac:dyDescent="0.2">
      <c r="X189" s="31"/>
      <c r="Y189" s="31"/>
      <c r="Z189" s="31"/>
      <c r="AA189" s="31"/>
      <c r="AB189" s="31"/>
      <c r="AC189" s="31"/>
      <c r="AD189" s="31"/>
      <c r="AE189" s="31"/>
      <c r="AF189" s="31"/>
      <c r="AG189" s="31"/>
      <c r="AH189" s="31"/>
      <c r="AI189" s="31"/>
      <c r="AJ189" s="31"/>
    </row>
    <row r="190" spans="20:84" x14ac:dyDescent="0.2">
      <c r="X190" s="31"/>
      <c r="Y190" s="31"/>
      <c r="Z190" s="31"/>
      <c r="AA190" s="31"/>
      <c r="AB190" s="31"/>
      <c r="AC190" s="31"/>
      <c r="AD190" s="31"/>
      <c r="AE190" s="31"/>
      <c r="AF190" s="31"/>
      <c r="AG190" s="31"/>
      <c r="AH190" s="31"/>
      <c r="AI190" s="31"/>
      <c r="AJ190" s="31"/>
    </row>
    <row r="191" spans="20:84" x14ac:dyDescent="0.2">
      <c r="X191" s="31"/>
      <c r="Y191" s="31"/>
      <c r="Z191" s="31"/>
      <c r="AA191" s="31"/>
      <c r="AB191" s="31"/>
      <c r="AC191" s="31"/>
      <c r="AD191" s="31"/>
      <c r="AE191" s="31"/>
      <c r="AF191" s="31"/>
      <c r="AG191" s="31"/>
      <c r="AH191" s="31"/>
      <c r="AI191" s="31"/>
      <c r="AJ191" s="31"/>
    </row>
    <row r="192" spans="20:84" x14ac:dyDescent="0.2">
      <c r="X192" s="31"/>
      <c r="Y192" s="31"/>
      <c r="Z192" s="31"/>
      <c r="AA192" s="31"/>
      <c r="AB192" s="31"/>
      <c r="AC192" s="31"/>
      <c r="AD192" s="31"/>
      <c r="AE192" s="31"/>
      <c r="AF192" s="31"/>
      <c r="AG192" s="31"/>
      <c r="AH192" s="31"/>
      <c r="AI192" s="31"/>
      <c r="AJ192" s="31"/>
    </row>
    <row r="193" spans="24:36" x14ac:dyDescent="0.2">
      <c r="X193" s="31"/>
      <c r="Y193" s="31"/>
      <c r="Z193" s="31"/>
      <c r="AA193" s="31"/>
      <c r="AB193" s="31"/>
      <c r="AC193" s="31"/>
      <c r="AD193" s="31"/>
      <c r="AE193" s="31"/>
      <c r="AF193" s="31"/>
      <c r="AG193" s="31"/>
      <c r="AH193" s="31"/>
      <c r="AI193" s="31"/>
      <c r="AJ193" s="31"/>
    </row>
    <row r="194" spans="24:36" x14ac:dyDescent="0.2">
      <c r="X194" s="31"/>
      <c r="Y194" s="31"/>
      <c r="Z194" s="31"/>
      <c r="AA194" s="31"/>
      <c r="AB194" s="31"/>
      <c r="AC194" s="31"/>
      <c r="AD194" s="31"/>
      <c r="AE194" s="31"/>
      <c r="AF194" s="31"/>
      <c r="AG194" s="31"/>
      <c r="AH194" s="31"/>
      <c r="AI194" s="31"/>
      <c r="AJ194" s="31"/>
    </row>
    <row r="195" spans="24:36" x14ac:dyDescent="0.2">
      <c r="X195" s="31"/>
      <c r="Y195" s="31"/>
      <c r="Z195" s="31"/>
      <c r="AA195" s="31"/>
      <c r="AB195" s="31"/>
      <c r="AC195" s="31"/>
      <c r="AD195" s="31"/>
      <c r="AE195" s="31"/>
      <c r="AF195" s="31"/>
      <c r="AG195" s="31"/>
      <c r="AH195" s="31"/>
      <c r="AI195" s="31"/>
      <c r="AJ195" s="31"/>
    </row>
    <row r="196" spans="24:36" x14ac:dyDescent="0.2">
      <c r="X196" s="31"/>
      <c r="Y196" s="31"/>
      <c r="Z196" s="31"/>
      <c r="AA196" s="31"/>
      <c r="AB196" s="31"/>
      <c r="AC196" s="31"/>
      <c r="AD196" s="31"/>
      <c r="AE196" s="31"/>
      <c r="AF196" s="31"/>
      <c r="AG196" s="31"/>
      <c r="AH196" s="31"/>
      <c r="AI196" s="31"/>
      <c r="AJ196" s="31"/>
    </row>
    <row r="197" spans="24:36" x14ac:dyDescent="0.2">
      <c r="X197" s="31"/>
      <c r="Y197" s="31"/>
      <c r="Z197" s="31"/>
      <c r="AA197" s="31"/>
      <c r="AB197" s="31"/>
      <c r="AC197" s="31"/>
      <c r="AD197" s="31"/>
      <c r="AE197" s="31"/>
      <c r="AF197" s="31"/>
      <c r="AG197" s="31"/>
      <c r="AH197" s="31"/>
      <c r="AI197" s="31"/>
      <c r="AJ197" s="31"/>
    </row>
    <row r="198" spans="24:36" x14ac:dyDescent="0.2">
      <c r="X198" s="31"/>
      <c r="Y198" s="31"/>
      <c r="Z198" s="31"/>
      <c r="AA198" s="31"/>
      <c r="AB198" s="31"/>
      <c r="AC198" s="31"/>
      <c r="AD198" s="31"/>
      <c r="AE198" s="31"/>
      <c r="AF198" s="31"/>
      <c r="AG198" s="31"/>
      <c r="AH198" s="31"/>
      <c r="AI198" s="31"/>
      <c r="AJ198" s="31"/>
    </row>
    <row r="199" spans="24:36" x14ac:dyDescent="0.2">
      <c r="X199" s="31"/>
      <c r="Y199" s="31"/>
      <c r="Z199" s="31"/>
      <c r="AA199" s="31"/>
      <c r="AB199" s="31"/>
      <c r="AC199" s="31"/>
      <c r="AD199" s="31"/>
      <c r="AE199" s="31"/>
      <c r="AF199" s="31"/>
      <c r="AG199" s="31"/>
      <c r="AH199" s="31"/>
      <c r="AI199" s="31"/>
      <c r="AJ199" s="31"/>
    </row>
    <row r="200" spans="24:36" x14ac:dyDescent="0.2">
      <c r="X200" s="31"/>
      <c r="Y200" s="31"/>
      <c r="Z200" s="31"/>
      <c r="AA200" s="31"/>
      <c r="AB200" s="31"/>
      <c r="AC200" s="31"/>
      <c r="AD200" s="31"/>
      <c r="AE200" s="31"/>
      <c r="AF200" s="31"/>
      <c r="AG200" s="31"/>
      <c r="AH200" s="31"/>
      <c r="AI200" s="31"/>
      <c r="AJ200" s="31"/>
    </row>
    <row r="201" spans="24:36" x14ac:dyDescent="0.2">
      <c r="X201" s="31"/>
      <c r="Y201" s="31"/>
      <c r="Z201" s="31"/>
      <c r="AA201" s="31"/>
      <c r="AB201" s="31"/>
      <c r="AC201" s="31"/>
      <c r="AD201" s="31"/>
      <c r="AE201" s="31"/>
      <c r="AF201" s="31"/>
      <c r="AG201" s="31"/>
      <c r="AH201" s="31"/>
      <c r="AI201" s="31"/>
      <c r="AJ201" s="31"/>
    </row>
    <row r="202" spans="24:36" x14ac:dyDescent="0.2">
      <c r="X202" s="31"/>
      <c r="Y202" s="31"/>
      <c r="Z202" s="31"/>
      <c r="AA202" s="31"/>
      <c r="AB202" s="31"/>
      <c r="AC202" s="31"/>
      <c r="AD202" s="31"/>
      <c r="AE202" s="31"/>
      <c r="AF202" s="31"/>
      <c r="AG202" s="31"/>
      <c r="AH202" s="31"/>
      <c r="AI202" s="31"/>
      <c r="AJ202" s="31"/>
    </row>
    <row r="203" spans="24:36" x14ac:dyDescent="0.2">
      <c r="X203" s="31"/>
      <c r="Y203" s="31"/>
      <c r="Z203" s="31"/>
      <c r="AA203" s="31"/>
      <c r="AB203" s="31"/>
      <c r="AC203" s="31"/>
      <c r="AD203" s="31"/>
      <c r="AE203" s="31"/>
      <c r="AF203" s="31"/>
      <c r="AG203" s="31"/>
      <c r="AH203" s="31"/>
      <c r="AI203" s="31"/>
      <c r="AJ203" s="31"/>
    </row>
    <row r="204" spans="24:36" x14ac:dyDescent="0.2">
      <c r="X204" s="31"/>
      <c r="Y204" s="31"/>
      <c r="Z204" s="31"/>
      <c r="AA204" s="31"/>
      <c r="AB204" s="31"/>
      <c r="AC204" s="31"/>
      <c r="AD204" s="31"/>
      <c r="AE204" s="31"/>
      <c r="AF204" s="31"/>
      <c r="AG204" s="31"/>
      <c r="AH204" s="31"/>
      <c r="AI204" s="31"/>
      <c r="AJ204" s="31"/>
    </row>
    <row r="205" spans="24:36" x14ac:dyDescent="0.2">
      <c r="X205" s="31"/>
      <c r="Y205" s="31"/>
      <c r="Z205" s="31"/>
      <c r="AA205" s="31"/>
      <c r="AB205" s="31"/>
      <c r="AC205" s="31"/>
      <c r="AD205" s="31"/>
      <c r="AE205" s="31"/>
      <c r="AF205" s="31"/>
      <c r="AG205" s="31"/>
      <c r="AH205" s="31"/>
      <c r="AI205" s="31"/>
      <c r="AJ205" s="31"/>
    </row>
    <row r="206" spans="24:36" x14ac:dyDescent="0.2">
      <c r="X206" s="31"/>
      <c r="Y206" s="31"/>
      <c r="Z206" s="31"/>
      <c r="AA206" s="31"/>
      <c r="AB206" s="31"/>
      <c r="AC206" s="31"/>
      <c r="AD206" s="31"/>
      <c r="AE206" s="31"/>
      <c r="AF206" s="31"/>
      <c r="AG206" s="31"/>
      <c r="AH206" s="31"/>
      <c r="AI206" s="31"/>
      <c r="AJ206" s="31"/>
    </row>
    <row r="207" spans="24:36" x14ac:dyDescent="0.2">
      <c r="X207" s="31"/>
      <c r="Y207" s="31"/>
      <c r="Z207" s="31"/>
      <c r="AA207" s="31"/>
      <c r="AB207" s="31"/>
      <c r="AC207" s="31"/>
      <c r="AD207" s="31"/>
      <c r="AE207" s="31"/>
      <c r="AF207" s="31"/>
      <c r="AG207" s="31"/>
      <c r="AH207" s="31"/>
      <c r="AI207" s="31"/>
      <c r="AJ207" s="31"/>
    </row>
    <row r="208" spans="24:36" x14ac:dyDescent="0.2">
      <c r="X208" s="31"/>
      <c r="Y208" s="31"/>
      <c r="Z208" s="31"/>
      <c r="AA208" s="31"/>
      <c r="AB208" s="31"/>
      <c r="AC208" s="31"/>
      <c r="AD208" s="31"/>
      <c r="AE208" s="31"/>
      <c r="AF208" s="31"/>
      <c r="AG208" s="31"/>
      <c r="AH208" s="31"/>
      <c r="AI208" s="31"/>
      <c r="AJ208" s="31"/>
    </row>
    <row r="209" spans="24:36" x14ac:dyDescent="0.2">
      <c r="X209" s="31"/>
      <c r="Y209" s="31"/>
      <c r="Z209" s="31"/>
      <c r="AA209" s="31"/>
      <c r="AB209" s="31"/>
      <c r="AC209" s="31"/>
      <c r="AD209" s="31"/>
      <c r="AE209" s="31"/>
      <c r="AF209" s="31"/>
      <c r="AG209" s="31"/>
      <c r="AH209" s="31"/>
      <c r="AI209" s="31"/>
      <c r="AJ209" s="31"/>
    </row>
    <row r="210" spans="24:36" x14ac:dyDescent="0.2">
      <c r="X210" s="31"/>
      <c r="Y210" s="31"/>
      <c r="Z210" s="31"/>
      <c r="AA210" s="31"/>
      <c r="AB210" s="31"/>
      <c r="AC210" s="31"/>
      <c r="AD210" s="31"/>
      <c r="AE210" s="31"/>
      <c r="AF210" s="31"/>
      <c r="AG210" s="31"/>
      <c r="AH210" s="31"/>
      <c r="AI210" s="31"/>
      <c r="AJ210" s="31"/>
    </row>
    <row r="211" spans="24:36" x14ac:dyDescent="0.2">
      <c r="X211" s="31"/>
      <c r="Y211" s="31"/>
      <c r="Z211" s="31"/>
      <c r="AA211" s="31"/>
      <c r="AB211" s="31"/>
      <c r="AC211" s="31"/>
      <c r="AD211" s="31"/>
      <c r="AE211" s="31"/>
      <c r="AF211" s="31"/>
      <c r="AG211" s="31"/>
      <c r="AH211" s="31"/>
      <c r="AI211" s="31"/>
      <c r="AJ211" s="31"/>
    </row>
    <row r="212" spans="24:36" x14ac:dyDescent="0.2">
      <c r="X212" s="31"/>
      <c r="Y212" s="31"/>
      <c r="Z212" s="31"/>
      <c r="AA212" s="31"/>
      <c r="AB212" s="31"/>
      <c r="AC212" s="31"/>
      <c r="AD212" s="31"/>
      <c r="AE212" s="31"/>
      <c r="AF212" s="31"/>
      <c r="AG212" s="31"/>
      <c r="AH212" s="31"/>
      <c r="AI212" s="31"/>
      <c r="AJ212" s="31"/>
    </row>
    <row r="213" spans="24:36" x14ac:dyDescent="0.2">
      <c r="X213" s="31"/>
      <c r="Y213" s="31"/>
      <c r="Z213" s="31"/>
      <c r="AA213" s="31"/>
      <c r="AB213" s="31"/>
      <c r="AC213" s="31"/>
      <c r="AD213" s="31"/>
      <c r="AE213" s="31"/>
      <c r="AF213" s="31"/>
      <c r="AG213" s="31"/>
      <c r="AH213" s="31"/>
      <c r="AI213" s="31"/>
      <c r="AJ213" s="31"/>
    </row>
    <row r="214" spans="24:36" x14ac:dyDescent="0.2">
      <c r="X214" s="31"/>
      <c r="Y214" s="31"/>
      <c r="Z214" s="31"/>
      <c r="AA214" s="31"/>
      <c r="AB214" s="31"/>
      <c r="AC214" s="31"/>
      <c r="AD214" s="31"/>
      <c r="AE214" s="31"/>
      <c r="AF214" s="31"/>
      <c r="AG214" s="31"/>
      <c r="AH214" s="31"/>
      <c r="AI214" s="31"/>
      <c r="AJ214" s="31"/>
    </row>
    <row r="215" spans="24:36" x14ac:dyDescent="0.2">
      <c r="X215" s="31"/>
      <c r="Y215" s="31"/>
      <c r="Z215" s="31"/>
      <c r="AA215" s="31"/>
      <c r="AB215" s="31"/>
      <c r="AC215" s="31"/>
      <c r="AD215" s="31"/>
      <c r="AE215" s="31"/>
      <c r="AF215" s="31"/>
      <c r="AG215" s="31"/>
      <c r="AH215" s="31"/>
      <c r="AI215" s="31"/>
      <c r="AJ215" s="31"/>
    </row>
    <row r="216" spans="24:36" x14ac:dyDescent="0.2">
      <c r="X216" s="31"/>
      <c r="Y216" s="31"/>
      <c r="Z216" s="31"/>
      <c r="AA216" s="31"/>
      <c r="AB216" s="31"/>
      <c r="AC216" s="31"/>
      <c r="AD216" s="31"/>
      <c r="AE216" s="31"/>
      <c r="AF216" s="31"/>
      <c r="AG216" s="31"/>
      <c r="AH216" s="31"/>
      <c r="AI216" s="31"/>
      <c r="AJ216" s="31"/>
    </row>
    <row r="217" spans="24:36" x14ac:dyDescent="0.2">
      <c r="X217" s="31"/>
      <c r="Y217" s="31"/>
      <c r="Z217" s="31"/>
      <c r="AA217" s="31"/>
      <c r="AB217" s="31"/>
      <c r="AC217" s="31"/>
      <c r="AD217" s="31"/>
      <c r="AE217" s="31"/>
      <c r="AF217" s="31"/>
      <c r="AG217" s="31"/>
      <c r="AH217" s="31"/>
      <c r="AI217" s="31"/>
      <c r="AJ217" s="31"/>
    </row>
    <row r="218" spans="24:36" x14ac:dyDescent="0.2">
      <c r="X218" s="31"/>
      <c r="Y218" s="31"/>
      <c r="Z218" s="31"/>
      <c r="AA218" s="31"/>
      <c r="AB218" s="31"/>
      <c r="AC218" s="31"/>
      <c r="AD218" s="31"/>
      <c r="AE218" s="31"/>
      <c r="AF218" s="31"/>
      <c r="AG218" s="31"/>
      <c r="AH218" s="31"/>
      <c r="AI218" s="31"/>
      <c r="AJ218" s="31"/>
    </row>
    <row r="219" spans="24:36" x14ac:dyDescent="0.2">
      <c r="X219" s="31"/>
      <c r="Y219" s="31"/>
      <c r="Z219" s="31"/>
      <c r="AA219" s="31"/>
      <c r="AB219" s="31"/>
      <c r="AC219" s="31"/>
      <c r="AD219" s="31"/>
      <c r="AE219" s="31"/>
      <c r="AF219" s="31"/>
      <c r="AG219" s="31"/>
      <c r="AH219" s="31"/>
      <c r="AI219" s="31"/>
      <c r="AJ219" s="31"/>
    </row>
    <row r="220" spans="24:36" x14ac:dyDescent="0.2">
      <c r="X220" s="31"/>
      <c r="Y220" s="31"/>
      <c r="Z220" s="31"/>
      <c r="AA220" s="31"/>
      <c r="AB220" s="31"/>
      <c r="AC220" s="31"/>
      <c r="AD220" s="31"/>
      <c r="AE220" s="31"/>
      <c r="AF220" s="31"/>
      <c r="AG220" s="31"/>
      <c r="AH220" s="31"/>
      <c r="AI220" s="31"/>
      <c r="AJ220" s="31"/>
    </row>
    <row r="221" spans="24:36" x14ac:dyDescent="0.2">
      <c r="X221" s="31"/>
      <c r="Y221" s="31"/>
      <c r="Z221" s="31"/>
      <c r="AA221" s="31"/>
      <c r="AB221" s="31"/>
      <c r="AC221" s="31"/>
      <c r="AD221" s="31"/>
      <c r="AE221" s="31"/>
      <c r="AF221" s="31"/>
      <c r="AG221" s="31"/>
      <c r="AH221" s="31"/>
      <c r="AI221" s="31"/>
      <c r="AJ221" s="31"/>
    </row>
    <row r="222" spans="24:36" x14ac:dyDescent="0.2">
      <c r="X222" s="31"/>
      <c r="Y222" s="31"/>
      <c r="Z222" s="31"/>
      <c r="AA222" s="31"/>
      <c r="AB222" s="31"/>
      <c r="AC222" s="31"/>
      <c r="AD222" s="31"/>
      <c r="AE222" s="31"/>
      <c r="AF222" s="31"/>
      <c r="AG222" s="31"/>
      <c r="AH222" s="31"/>
      <c r="AI222" s="31"/>
      <c r="AJ222" s="31"/>
    </row>
    <row r="223" spans="24:36" x14ac:dyDescent="0.2">
      <c r="X223" s="31"/>
      <c r="Y223" s="31"/>
      <c r="Z223" s="31"/>
      <c r="AA223" s="31"/>
      <c r="AB223" s="31"/>
      <c r="AC223" s="31"/>
      <c r="AD223" s="31"/>
      <c r="AE223" s="31"/>
      <c r="AF223" s="31"/>
      <c r="AG223" s="31"/>
      <c r="AH223" s="31"/>
      <c r="AI223" s="31"/>
      <c r="AJ223" s="31"/>
    </row>
    <row r="224" spans="24:36" x14ac:dyDescent="0.2">
      <c r="X224" s="31"/>
      <c r="Y224" s="31"/>
      <c r="Z224" s="31"/>
      <c r="AA224" s="31"/>
      <c r="AB224" s="31"/>
      <c r="AC224" s="31"/>
      <c r="AD224" s="31"/>
      <c r="AE224" s="31"/>
      <c r="AF224" s="31"/>
      <c r="AG224" s="31"/>
      <c r="AH224" s="31"/>
      <c r="AI224" s="31"/>
      <c r="AJ224" s="31"/>
    </row>
    <row r="225" spans="24:36" x14ac:dyDescent="0.2">
      <c r="X225" s="31"/>
      <c r="Y225" s="31"/>
      <c r="Z225" s="31"/>
      <c r="AA225" s="31"/>
      <c r="AB225" s="31"/>
      <c r="AC225" s="31"/>
      <c r="AD225" s="31"/>
      <c r="AE225" s="31"/>
      <c r="AF225" s="31"/>
      <c r="AG225" s="31"/>
      <c r="AH225" s="31"/>
      <c r="AI225" s="31"/>
      <c r="AJ225" s="31"/>
    </row>
    <row r="226" spans="24:36" x14ac:dyDescent="0.2">
      <c r="X226" s="31"/>
      <c r="Y226" s="31"/>
      <c r="Z226" s="31"/>
      <c r="AA226" s="31"/>
      <c r="AB226" s="31"/>
      <c r="AC226" s="31"/>
      <c r="AD226" s="31"/>
      <c r="AE226" s="31"/>
      <c r="AF226" s="31"/>
      <c r="AG226" s="31"/>
      <c r="AH226" s="31"/>
      <c r="AI226" s="31"/>
      <c r="AJ226" s="31"/>
    </row>
    <row r="227" spans="24:36" x14ac:dyDescent="0.2">
      <c r="X227" s="31"/>
      <c r="Y227" s="31"/>
      <c r="Z227" s="31"/>
      <c r="AA227" s="31"/>
      <c r="AB227" s="31"/>
      <c r="AC227" s="31"/>
      <c r="AD227" s="31"/>
      <c r="AE227" s="31"/>
      <c r="AF227" s="31"/>
      <c r="AG227" s="31"/>
      <c r="AH227" s="31"/>
      <c r="AI227" s="31"/>
      <c r="AJ227" s="31"/>
    </row>
    <row r="228" spans="24:36" x14ac:dyDescent="0.2">
      <c r="X228" s="31"/>
      <c r="Y228" s="31"/>
      <c r="Z228" s="31"/>
      <c r="AA228" s="31"/>
      <c r="AB228" s="31"/>
      <c r="AC228" s="31"/>
      <c r="AD228" s="31"/>
      <c r="AE228" s="31"/>
      <c r="AF228" s="31"/>
      <c r="AG228" s="31"/>
      <c r="AH228" s="31"/>
      <c r="AI228" s="31"/>
      <c r="AJ228" s="31"/>
    </row>
    <row r="229" spans="24:36" x14ac:dyDescent="0.2">
      <c r="X229" s="31"/>
      <c r="Y229" s="31"/>
      <c r="Z229" s="31"/>
      <c r="AA229" s="31"/>
      <c r="AB229" s="31"/>
      <c r="AC229" s="31"/>
      <c r="AD229" s="31"/>
      <c r="AE229" s="31"/>
      <c r="AF229" s="31"/>
      <c r="AG229" s="31"/>
      <c r="AH229" s="31"/>
      <c r="AI229" s="31"/>
      <c r="AJ229" s="31"/>
    </row>
    <row r="230" spans="24:36" x14ac:dyDescent="0.2">
      <c r="X230" s="31"/>
      <c r="Y230" s="31"/>
      <c r="Z230" s="31"/>
      <c r="AA230" s="31"/>
      <c r="AB230" s="31"/>
      <c r="AC230" s="31"/>
      <c r="AD230" s="31"/>
      <c r="AE230" s="31"/>
      <c r="AF230" s="31"/>
      <c r="AG230" s="31"/>
      <c r="AH230" s="31"/>
      <c r="AI230" s="31"/>
      <c r="AJ230" s="31"/>
    </row>
    <row r="231" spans="24:36" x14ac:dyDescent="0.2">
      <c r="X231" s="31"/>
      <c r="Y231" s="31"/>
      <c r="Z231" s="31"/>
      <c r="AA231" s="31"/>
      <c r="AB231" s="31"/>
      <c r="AC231" s="31"/>
      <c r="AD231" s="31"/>
      <c r="AE231" s="31"/>
      <c r="AF231" s="31"/>
      <c r="AG231" s="31"/>
      <c r="AH231" s="31"/>
      <c r="AI231" s="31"/>
      <c r="AJ231" s="31"/>
    </row>
    <row r="232" spans="24:36" x14ac:dyDescent="0.2">
      <c r="X232" s="31"/>
      <c r="Y232" s="31"/>
      <c r="Z232" s="31"/>
      <c r="AA232" s="31"/>
      <c r="AB232" s="31"/>
      <c r="AC232" s="31"/>
      <c r="AD232" s="31"/>
      <c r="AE232" s="31"/>
      <c r="AF232" s="31"/>
      <c r="AG232" s="31"/>
      <c r="AH232" s="31"/>
      <c r="AI232" s="31"/>
      <c r="AJ232" s="31"/>
    </row>
    <row r="233" spans="24:36" x14ac:dyDescent="0.2">
      <c r="X233" s="31"/>
      <c r="Y233" s="31"/>
      <c r="Z233" s="31"/>
      <c r="AA233" s="31"/>
      <c r="AB233" s="31"/>
      <c r="AC233" s="31"/>
      <c r="AD233" s="31"/>
      <c r="AE233" s="31"/>
      <c r="AF233" s="31"/>
      <c r="AG233" s="31"/>
      <c r="AH233" s="31"/>
      <c r="AI233" s="31"/>
      <c r="AJ233" s="31"/>
    </row>
    <row r="234" spans="24:36" x14ac:dyDescent="0.2">
      <c r="X234" s="31"/>
      <c r="Y234" s="31"/>
      <c r="Z234" s="31"/>
      <c r="AA234" s="31"/>
      <c r="AB234" s="31"/>
      <c r="AC234" s="31"/>
      <c r="AD234" s="31"/>
      <c r="AE234" s="31"/>
      <c r="AF234" s="31"/>
      <c r="AG234" s="31"/>
      <c r="AH234" s="31"/>
      <c r="AI234" s="31"/>
      <c r="AJ234" s="31"/>
    </row>
    <row r="244" ht="15.75" customHeight="1" x14ac:dyDescent="0.2"/>
  </sheetData>
  <sheetProtection algorithmName="SHA-512" hashValue="+xB/heS2F18Hso/cVyNI9GzALbE0tMQ1EwaSnkPCquIGFYlnN3TbGLwVImbHrn68wUb+uyFRkpuJ8HKfEAIoKA==" saltValue="cH17LUdinvbs2i8jEM4riw=="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 ref="W6:W9"/>
    <mergeCell ref="X6:X9"/>
    <mergeCell ref="Y6:AA7"/>
    <mergeCell ref="Y8:Y9"/>
    <mergeCell ref="AB6:AF6"/>
    <mergeCell ref="AB8:AB9"/>
    <mergeCell ref="AC8:AC9"/>
    <mergeCell ref="AE8:AE9"/>
    <mergeCell ref="AI5:AL5"/>
    <mergeCell ref="AG6:AH8"/>
    <mergeCell ref="D5:P5"/>
    <mergeCell ref="J7:M7"/>
    <mergeCell ref="N7:P7"/>
    <mergeCell ref="L8:L10"/>
    <mergeCell ref="D12:E12"/>
    <mergeCell ref="H12:I12"/>
    <mergeCell ref="F12:G12"/>
    <mergeCell ref="D7:E7"/>
    <mergeCell ref="H8:I8"/>
    <mergeCell ref="D10:E10"/>
    <mergeCell ref="H10:I10"/>
    <mergeCell ref="D9:E9"/>
    <mergeCell ref="H9:I9"/>
    <mergeCell ref="H11:I11"/>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BT6:BU7"/>
    <mergeCell ref="BT8:BT9"/>
    <mergeCell ref="BU8:BU9"/>
    <mergeCell ref="BN6:BN9"/>
    <mergeCell ref="BO6:BP7"/>
    <mergeCell ref="BO8:BO9"/>
    <mergeCell ref="CK30:CL30"/>
    <mergeCell ref="CK31:CL31"/>
    <mergeCell ref="CK25:CL25"/>
    <mergeCell ref="CK26:CL26"/>
    <mergeCell ref="CK28:CL28"/>
    <mergeCell ref="CK29:CL29"/>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CK45:CL45"/>
    <mergeCell ref="CK46:CL46"/>
    <mergeCell ref="CK47:CL47"/>
    <mergeCell ref="CK48:CL48"/>
    <mergeCell ref="CK49:CL49"/>
    <mergeCell ref="CK50:CL50"/>
    <mergeCell ref="CK51:CL51"/>
    <mergeCell ref="CK52:CL52"/>
    <mergeCell ref="CK53:CL53"/>
    <mergeCell ref="CK54:CL54"/>
    <mergeCell ref="CK55:CL55"/>
    <mergeCell ref="CK56:CL56"/>
    <mergeCell ref="CK57:CL57"/>
    <mergeCell ref="CK58:CL58"/>
    <mergeCell ref="CK59:CL59"/>
    <mergeCell ref="CK60:CL60"/>
    <mergeCell ref="CK61:CL61"/>
    <mergeCell ref="CK62:CL62"/>
    <mergeCell ref="CK63:CL63"/>
    <mergeCell ref="CK64:CL64"/>
    <mergeCell ref="CK65:CL65"/>
    <mergeCell ref="CK66:CL66"/>
    <mergeCell ref="CK67:CL67"/>
    <mergeCell ref="CK68:CL68"/>
    <mergeCell ref="CK69:CL69"/>
    <mergeCell ref="CK70:CL70"/>
    <mergeCell ref="CK71:CL71"/>
    <mergeCell ref="CK72:CL72"/>
    <mergeCell ref="CK73:CL73"/>
    <mergeCell ref="CK74:CL74"/>
    <mergeCell ref="CK75:CL75"/>
    <mergeCell ref="CK76:CL76"/>
    <mergeCell ref="CK77:CL77"/>
    <mergeCell ref="CK78:CL78"/>
    <mergeCell ref="CK79:CL79"/>
    <mergeCell ref="CK80:CL80"/>
    <mergeCell ref="CK81:CL81"/>
    <mergeCell ref="CK82:CL82"/>
    <mergeCell ref="CK83:CL83"/>
    <mergeCell ref="CK84:CL84"/>
    <mergeCell ref="CK85:CL85"/>
    <mergeCell ref="CK86:CL86"/>
    <mergeCell ref="CK87:CL87"/>
    <mergeCell ref="CK88:CL88"/>
    <mergeCell ref="CK89:CL89"/>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13.12.2021&amp;RSeite &amp;P; &amp;D, &amp;T</oddFooter>
  </headerFooter>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AJ45"/>
  <sheetViews>
    <sheetView showGridLines="0" topLeftCell="C3" workbookViewId="0">
      <selection activeCell="Z23" sqref="Z23:AA23"/>
    </sheetView>
  </sheetViews>
  <sheetFormatPr baseColWidth="10" defaultRowHeight="12.75" x14ac:dyDescent="0.2"/>
  <cols>
    <col min="1" max="1" width="3.28515625" style="242" hidden="1" customWidth="1"/>
    <col min="2" max="2" width="9.7109375" style="242" hidden="1" customWidth="1"/>
    <col min="3" max="3" width="21.42578125" customWidth="1"/>
    <col min="4" max="4" width="4.7109375" customWidth="1"/>
    <col min="5" max="5" width="4" customWidth="1"/>
    <col min="6" max="6" width="4.42578125" customWidth="1"/>
    <col min="7" max="7" width="4.140625" customWidth="1"/>
    <col min="8" max="8" width="12.5703125" bestFit="1" customWidth="1"/>
    <col min="9" max="10" width="11.42578125" style="369"/>
    <col min="11" max="11" width="11.28515625" hidden="1" customWidth="1"/>
    <col min="12" max="12" width="7.140625" hidden="1" customWidth="1"/>
    <col min="13" max="13" width="8.5703125" hidden="1" customWidth="1"/>
    <col min="14" max="21" width="7.140625" hidden="1" customWidth="1"/>
    <col min="22" max="22" width="11.42578125" hidden="1" customWidth="1"/>
    <col min="23" max="23" width="4.5703125" customWidth="1"/>
    <col min="24" max="24" width="3.7109375" customWidth="1"/>
    <col min="25" max="25" width="21.5703125" customWidth="1"/>
    <col min="27" max="27" width="15.140625" customWidth="1"/>
    <col min="28" max="28" width="2.140625" customWidth="1"/>
    <col min="29" max="36" width="11.42578125" hidden="1" customWidth="1"/>
    <col min="37" max="37" width="11.42578125" customWidth="1"/>
  </cols>
  <sheetData>
    <row r="1" spans="1:35" s="242" customFormat="1" hidden="1" x14ac:dyDescent="0.2">
      <c r="A1" s="251" t="s">
        <v>352</v>
      </c>
      <c r="B1" s="251" t="s">
        <v>352</v>
      </c>
      <c r="I1" s="369"/>
      <c r="J1" s="369"/>
      <c r="K1" s="251" t="s">
        <v>352</v>
      </c>
      <c r="L1" s="251" t="s">
        <v>352</v>
      </c>
      <c r="M1" s="251" t="s">
        <v>352</v>
      </c>
      <c r="N1" s="251" t="s">
        <v>352</v>
      </c>
      <c r="O1" s="251" t="s">
        <v>352</v>
      </c>
      <c r="P1" s="251" t="s">
        <v>352</v>
      </c>
      <c r="Q1" s="251" t="s">
        <v>352</v>
      </c>
      <c r="R1" s="251" t="s">
        <v>352</v>
      </c>
      <c r="S1" s="251" t="s">
        <v>352</v>
      </c>
      <c r="T1" s="251" t="s">
        <v>352</v>
      </c>
      <c r="U1" s="251" t="s">
        <v>352</v>
      </c>
      <c r="V1" s="251" t="s">
        <v>352</v>
      </c>
      <c r="W1" s="251" t="s">
        <v>352</v>
      </c>
      <c r="X1" s="251" t="s">
        <v>352</v>
      </c>
      <c r="AC1" s="251" t="s">
        <v>352</v>
      </c>
      <c r="AD1" s="251" t="s">
        <v>352</v>
      </c>
      <c r="AE1" s="251" t="s">
        <v>352</v>
      </c>
      <c r="AF1" s="251" t="s">
        <v>352</v>
      </c>
      <c r="AG1" s="251" t="s">
        <v>352</v>
      </c>
      <c r="AH1" s="251" t="s">
        <v>352</v>
      </c>
      <c r="AI1" s="251" t="s">
        <v>352</v>
      </c>
    </row>
    <row r="2" spans="1:35" s="88" customFormat="1" ht="5.25" hidden="1" customHeight="1" x14ac:dyDescent="0.2">
      <c r="A2" s="242"/>
      <c r="B2" s="242"/>
      <c r="C2" s="18"/>
      <c r="I2" s="369"/>
      <c r="J2" s="369"/>
      <c r="W2" s="31"/>
    </row>
    <row r="3" spans="1:35" s="368" customFormat="1" ht="21.75" customHeight="1" x14ac:dyDescent="0.2">
      <c r="C3" s="1778" t="s">
        <v>1670</v>
      </c>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468"/>
    </row>
    <row r="4" spans="1:35" ht="15" hidden="1" x14ac:dyDescent="0.25">
      <c r="A4" s="251" t="s">
        <v>352</v>
      </c>
      <c r="C4" s="90"/>
      <c r="K4" s="31"/>
      <c r="W4" s="127">
        <f>IF('Überblick 22'!S13=2,2,IF(H8='#Boden'!B27,1,2))</f>
        <v>1</v>
      </c>
      <c r="X4" s="128" t="s">
        <v>1231</v>
      </c>
      <c r="Y4" s="127"/>
    </row>
    <row r="5" spans="1:35" x14ac:dyDescent="0.2">
      <c r="C5" s="1041"/>
      <c r="D5" s="1041"/>
      <c r="E5" s="1041"/>
      <c r="F5" s="1041"/>
      <c r="G5" s="1041"/>
      <c r="H5" s="1041"/>
      <c r="I5" s="1169"/>
      <c r="J5" s="1169"/>
      <c r="K5" s="31"/>
      <c r="W5" s="1041"/>
      <c r="X5" s="1041"/>
      <c r="Y5" s="1041"/>
      <c r="Z5" s="1041"/>
      <c r="AA5" s="1041"/>
    </row>
    <row r="6" spans="1:35" s="522" customFormat="1" x14ac:dyDescent="0.2">
      <c r="D6" s="1172" t="s">
        <v>1056</v>
      </c>
      <c r="E6" s="1781" t="str">
        <f>'Flächen u. Kulturen'!D5</f>
        <v>Bitte in ''Betrieb'' eintragen</v>
      </c>
      <c r="F6" s="1781"/>
      <c r="G6" s="1781"/>
      <c r="H6" s="1781"/>
      <c r="I6" s="1211" t="str">
        <f>'Flächen u. Kulturen'!G5</f>
        <v>Name: Bitte in ''Betrieb'' eintragen</v>
      </c>
      <c r="J6" s="1169"/>
      <c r="K6" s="31"/>
      <c r="W6" s="1041"/>
      <c r="X6" s="1041"/>
      <c r="Y6" s="1172" t="s">
        <v>1050</v>
      </c>
      <c r="Z6" s="1045">
        <f ca="1">TODAY()</f>
        <v>44551</v>
      </c>
      <c r="AA6" s="1041"/>
    </row>
    <row r="7" spans="1:35" s="522" customFormat="1" x14ac:dyDescent="0.2">
      <c r="C7" s="1212" t="str">
        <f>IF(H8='#Boden'!B27,IF('Überblick 22'!S13=2,"Dateneingabe fehlerhaft. Die Überprüfung der Regel 160/80 kann nicht erfolgen. Beachten Sie die Fehlermeldungen.",""),"")</f>
        <v/>
      </c>
      <c r="D7" s="1041"/>
      <c r="E7" s="1041"/>
      <c r="F7" s="1041"/>
      <c r="G7" s="1041"/>
      <c r="H7" s="1041"/>
      <c r="I7" s="1169"/>
      <c r="J7" s="1169"/>
      <c r="K7" s="31"/>
      <c r="L7" s="938"/>
      <c r="M7" s="938"/>
      <c r="N7" s="938"/>
      <c r="O7" s="938"/>
      <c r="P7" s="938"/>
      <c r="Q7" s="938"/>
      <c r="R7" s="938"/>
      <c r="S7" s="938"/>
      <c r="T7" s="938"/>
      <c r="U7" s="938"/>
      <c r="V7" s="938"/>
      <c r="W7" s="938"/>
      <c r="X7" s="938"/>
      <c r="Y7" s="826"/>
    </row>
    <row r="8" spans="1:35" ht="15.75" hidden="1" customHeight="1" x14ac:dyDescent="0.2">
      <c r="A8" s="251" t="s">
        <v>352</v>
      </c>
      <c r="B8" s="127"/>
      <c r="C8" s="976" t="s">
        <v>1137</v>
      </c>
      <c r="D8" s="976"/>
      <c r="E8" s="976"/>
      <c r="F8" s="976"/>
      <c r="G8" s="976"/>
      <c r="H8" s="874" t="s">
        <v>103</v>
      </c>
      <c r="I8" s="234"/>
      <c r="J8" s="234"/>
      <c r="K8" s="127"/>
      <c r="L8" s="127"/>
      <c r="M8" s="938"/>
      <c r="N8" s="938"/>
      <c r="O8" s="938"/>
      <c r="P8" s="938"/>
      <c r="Q8" s="938"/>
      <c r="R8" s="938"/>
      <c r="S8" s="938"/>
      <c r="T8" s="938"/>
      <c r="U8" s="938"/>
      <c r="V8" s="938"/>
      <c r="W8" s="938"/>
      <c r="X8" s="938"/>
      <c r="Y8" s="558"/>
      <c r="Z8" s="52"/>
    </row>
    <row r="9" spans="1:35" s="510" customFormat="1" x14ac:dyDescent="0.2">
      <c r="C9" s="1041"/>
      <c r="D9" s="1041"/>
      <c r="E9" s="1041"/>
      <c r="F9" s="1041"/>
      <c r="G9" s="1041"/>
      <c r="H9" s="1041"/>
      <c r="I9" s="1169"/>
      <c r="J9" s="1169"/>
      <c r="K9" s="938"/>
      <c r="L9" s="938"/>
      <c r="M9" s="938"/>
      <c r="N9" s="938"/>
      <c r="O9" s="938"/>
      <c r="P9" s="938"/>
      <c r="Q9" s="938"/>
      <c r="R9" s="938"/>
      <c r="S9" s="938"/>
      <c r="T9" s="938"/>
      <c r="U9" s="938"/>
      <c r="V9" s="938"/>
      <c r="W9" s="1041"/>
      <c r="X9" s="1041"/>
      <c r="Y9" s="1041" t="s">
        <v>1626</v>
      </c>
      <c r="Z9" s="1041"/>
      <c r="AA9" s="1041"/>
    </row>
    <row r="10" spans="1:35" s="510" customFormat="1" ht="17.25" customHeight="1" x14ac:dyDescent="0.2">
      <c r="C10" s="1213" t="str">
        <f>IF(H8="nein","Optimierung nicht möglich, solange Flächen nicht vollständig erfasst sind","")</f>
        <v/>
      </c>
      <c r="D10" s="1041"/>
      <c r="E10" s="1041"/>
      <c r="F10" s="1041"/>
      <c r="G10" s="1041"/>
      <c r="H10" s="1041"/>
      <c r="I10" s="1169"/>
      <c r="J10" s="1169"/>
      <c r="W10" s="1041"/>
      <c r="X10" s="1041"/>
      <c r="Y10" s="1214" t="s">
        <v>1530</v>
      </c>
      <c r="Z10" s="1215">
        <f>IF('Überblick 22'!S13=2,"n.b.",'#BerechnungDBE'!AX118)</f>
        <v>0</v>
      </c>
      <c r="AA10" s="1041" t="s">
        <v>155</v>
      </c>
    </row>
    <row r="11" spans="1:35" ht="20.100000000000001" customHeight="1" x14ac:dyDescent="0.2">
      <c r="C11" s="1216" t="s">
        <v>1531</v>
      </c>
      <c r="D11" s="1176"/>
      <c r="E11" s="1176"/>
      <c r="F11" s="1176"/>
      <c r="G11" s="1176"/>
      <c r="H11" s="1176"/>
      <c r="I11" s="1217" t="s">
        <v>1068</v>
      </c>
      <c r="J11" s="1217" t="s">
        <v>1085</v>
      </c>
      <c r="K11" s="30"/>
      <c r="M11" s="35" t="s">
        <v>174</v>
      </c>
      <c r="N11" s="35" t="s">
        <v>172</v>
      </c>
      <c r="O11" s="30" t="s">
        <v>173</v>
      </c>
      <c r="P11" s="30"/>
      <c r="R11" s="35" t="s">
        <v>175</v>
      </c>
      <c r="S11" s="35" t="s">
        <v>172</v>
      </c>
      <c r="T11" s="30" t="s">
        <v>173</v>
      </c>
      <c r="U11" s="30"/>
      <c r="W11" s="1041"/>
      <c r="X11" s="1041"/>
      <c r="Y11" s="1214" t="s">
        <v>1628</v>
      </c>
      <c r="Z11" s="1329">
        <f>IF(J13&gt;160,"--",IF('Überblick 22'!S13=2,"n.b.",P24+O24))</f>
        <v>0</v>
      </c>
      <c r="AA11" s="1136" t="s">
        <v>155</v>
      </c>
    </row>
    <row r="12" spans="1:35" s="66" customFormat="1" ht="15.95" customHeight="1" x14ac:dyDescent="0.2">
      <c r="C12" s="1219" t="s">
        <v>176</v>
      </c>
      <c r="D12" s="1220"/>
      <c r="E12" s="1220"/>
      <c r="F12" s="1220"/>
      <c r="G12" s="1220"/>
      <c r="H12" s="1221">
        <f>IF(W4=2,0.001,IF('#BerechnungDBE'!M115=0,0,'#BerechnungDBE'!N115/'#BerechnungDBE'!M115*100))</f>
        <v>0</v>
      </c>
      <c r="I12" s="1222"/>
      <c r="J12" s="1222"/>
      <c r="M12" s="66">
        <f>100-H12</f>
        <v>100</v>
      </c>
      <c r="R12" s="66">
        <f>+M12+H12</f>
        <v>100</v>
      </c>
      <c r="W12" s="1178"/>
      <c r="X12" s="1178"/>
      <c r="Y12" s="1214" t="s">
        <v>2432</v>
      </c>
      <c r="Z12" s="1329">
        <f>'#BerechnungDBE'!AX116*-1</f>
        <v>0</v>
      </c>
      <c r="AA12" s="1136" t="s">
        <v>155</v>
      </c>
    </row>
    <row r="13" spans="1:35" s="66" customFormat="1" ht="15.95" customHeight="1" x14ac:dyDescent="0.2">
      <c r="C13" s="1219" t="s">
        <v>2451</v>
      </c>
      <c r="D13" s="1220"/>
      <c r="E13" s="1220"/>
      <c r="F13" s="1220"/>
      <c r="G13" s="1220"/>
      <c r="H13" s="1223"/>
      <c r="I13" s="1221">
        <f>IF(W4=2,0,IF(Z23='#Boden'!G45,'#BerechnungDBE'!BK119,'#BerechnungDBE'!BK130))</f>
        <v>0</v>
      </c>
      <c r="J13" s="1221">
        <f>+H15</f>
        <v>0</v>
      </c>
      <c r="K13" s="377"/>
      <c r="L13" s="379"/>
      <c r="M13" s="377"/>
      <c r="N13" s="378">
        <f>'#BerechnungDBE'!BL119</f>
        <v>0</v>
      </c>
      <c r="O13" s="379">
        <f>+M15</f>
        <v>0</v>
      </c>
      <c r="P13" s="377"/>
      <c r="Q13" s="379"/>
      <c r="R13" s="379"/>
      <c r="S13" s="377">
        <f>(N13*M12+I13*H12)/(M12+H12)</f>
        <v>0</v>
      </c>
      <c r="T13" s="379">
        <f>+R15</f>
        <v>0</v>
      </c>
      <c r="U13" s="377"/>
      <c r="W13" s="1178"/>
      <c r="X13" s="1178"/>
      <c r="Y13" s="1176"/>
      <c r="Z13" s="1178"/>
      <c r="AA13" s="1178"/>
    </row>
    <row r="14" spans="1:35" hidden="1" x14ac:dyDescent="0.2">
      <c r="A14" s="251" t="s">
        <v>352</v>
      </c>
      <c r="C14" s="58" t="s">
        <v>264</v>
      </c>
      <c r="D14" s="59"/>
      <c r="E14" s="59"/>
      <c r="F14" s="59"/>
      <c r="G14" s="59"/>
      <c r="H14" s="101">
        <f>IF(W4=1,'#BerechnungDBE'!BK111,0)</f>
        <v>0</v>
      </c>
      <c r="I14" s="60"/>
      <c r="J14" s="45"/>
      <c r="K14" s="61"/>
      <c r="L14" s="58"/>
      <c r="M14" s="159">
        <f>IF(W4=1,'#BerechnungDBE'!BL111,0)</f>
        <v>0</v>
      </c>
      <c r="N14" s="60"/>
      <c r="O14" s="45"/>
      <c r="P14" s="61"/>
      <c r="Q14" s="58"/>
      <c r="R14" s="59"/>
      <c r="S14" s="60"/>
      <c r="T14" s="45"/>
      <c r="U14" s="61"/>
      <c r="Y14" s="601"/>
    </row>
    <row r="15" spans="1:35" hidden="1" x14ac:dyDescent="0.2">
      <c r="A15" s="251" t="s">
        <v>352</v>
      </c>
      <c r="C15" t="s">
        <v>177</v>
      </c>
      <c r="D15" s="35"/>
      <c r="E15" s="35"/>
      <c r="F15" s="35"/>
      <c r="G15" s="35"/>
      <c r="H15" s="99">
        <f>IF(W4=1,'Überblick 22'!AZ11,0)</f>
        <v>0</v>
      </c>
      <c r="I15" s="371"/>
      <c r="K15" s="30"/>
      <c r="M15" s="99">
        <f>IF(W4=1,'Überblick 22'!BA11,0)</f>
        <v>0</v>
      </c>
      <c r="N15" s="35"/>
      <c r="R15" s="35">
        <f t="shared" ref="R15:R20" si="0">+(H15*$H$12+M15*$M$12)/($H$12+$M$12)</f>
        <v>0</v>
      </c>
      <c r="Y15" s="601"/>
    </row>
    <row r="16" spans="1:35" hidden="1" x14ac:dyDescent="0.2">
      <c r="A16" s="251" t="s">
        <v>352</v>
      </c>
      <c r="D16" s="46" t="s">
        <v>178</v>
      </c>
      <c r="E16" s="55"/>
      <c r="F16" s="55"/>
      <c r="G16" s="55"/>
      <c r="H16" s="100">
        <f>IF(W4=1,'Überblick 22'!BC11,0)</f>
        <v>0</v>
      </c>
      <c r="I16" s="55"/>
      <c r="J16" s="372"/>
      <c r="K16" s="44"/>
      <c r="L16" s="46"/>
      <c r="M16" s="100">
        <f>IF(W4=1,'Überblick 22'!BD11,0)</f>
        <v>0</v>
      </c>
      <c r="N16" s="55"/>
      <c r="O16" s="46"/>
      <c r="P16" s="46"/>
      <c r="Q16" s="46"/>
      <c r="R16" s="55">
        <f t="shared" si="0"/>
        <v>0</v>
      </c>
      <c r="Y16" s="601"/>
    </row>
    <row r="17" spans="1:27" hidden="1" x14ac:dyDescent="0.2">
      <c r="A17" s="251" t="s">
        <v>352</v>
      </c>
      <c r="C17" s="58"/>
      <c r="D17" s="62" t="s">
        <v>179</v>
      </c>
      <c r="E17" s="59"/>
      <c r="F17" s="59"/>
      <c r="G17" s="59"/>
      <c r="H17" s="160">
        <f>IF(W4=1,'Überblick 22'!BF11,0)</f>
        <v>0</v>
      </c>
      <c r="I17" s="370"/>
      <c r="J17" s="45"/>
      <c r="K17" s="45"/>
      <c r="L17" s="58"/>
      <c r="M17" s="101">
        <f>IF(W4=1,'Überblick 22'!BG11,0)</f>
        <v>0</v>
      </c>
      <c r="N17" s="59"/>
      <c r="O17" s="58"/>
      <c r="P17" s="58"/>
      <c r="Q17" s="58"/>
      <c r="R17" s="59">
        <f t="shared" si="0"/>
        <v>0</v>
      </c>
      <c r="S17" s="58"/>
      <c r="T17" s="58"/>
      <c r="U17" s="58"/>
      <c r="Y17" s="601"/>
    </row>
    <row r="18" spans="1:27" hidden="1" x14ac:dyDescent="0.2">
      <c r="A18" s="251" t="s">
        <v>352</v>
      </c>
      <c r="C18" t="s">
        <v>180</v>
      </c>
      <c r="D18" s="35"/>
      <c r="E18" s="35"/>
      <c r="F18" s="35"/>
      <c r="G18" s="35"/>
      <c r="H18" s="99">
        <f>IF('#BerechnungDBE'!N115=0,0,IF(W4=1,'#orgDung'!AG7/'#BerechnungDBE'!N115,0))</f>
        <v>0</v>
      </c>
      <c r="I18" s="371"/>
      <c r="K18" s="30"/>
      <c r="M18" s="99">
        <f>IF('#BerechnungDBE'!P115=0,0,IF(W4=1,'#orgDung'!AG8/'#BerechnungDBE'!P115,0))</f>
        <v>0</v>
      </c>
      <c r="N18" s="35"/>
      <c r="R18" s="35">
        <f t="shared" si="0"/>
        <v>0</v>
      </c>
      <c r="Y18" s="601"/>
    </row>
    <row r="19" spans="1:27" hidden="1" x14ac:dyDescent="0.2">
      <c r="A19" s="251" t="s">
        <v>352</v>
      </c>
      <c r="C19" t="s">
        <v>181</v>
      </c>
      <c r="D19" s="35"/>
      <c r="E19" s="35"/>
      <c r="F19" s="35"/>
      <c r="G19" s="35"/>
      <c r="H19" s="99">
        <f>IF(W4=1,IF(('#BerechnungDBE'!N116+'#BerechnungDBE'!N117)=0,0,'#BerechnungDBE'!N123/('#BerechnungDBE'!N116+'#BerechnungDBE'!N117)*100),0)</f>
        <v>0</v>
      </c>
      <c r="I19" s="371"/>
      <c r="K19" s="30"/>
      <c r="M19" s="99">
        <f>IF(AB4=1,IF(('#BerechnungDBE'!P116+'#BerechnungDBE'!P117)=0,0,'#BerechnungDBE'!P123/('#BerechnungDBE'!P116+'#BerechnungDBE'!P117)*100),0)</f>
        <v>0</v>
      </c>
      <c r="N19" s="35"/>
      <c r="R19" s="35">
        <f t="shared" si="0"/>
        <v>0</v>
      </c>
      <c r="Y19" s="601"/>
    </row>
    <row r="20" spans="1:27" hidden="1" x14ac:dyDescent="0.2">
      <c r="A20" s="251" t="s">
        <v>352</v>
      </c>
      <c r="C20" s="72" t="s">
        <v>343</v>
      </c>
      <c r="D20" s="35"/>
      <c r="E20" s="35"/>
      <c r="F20" s="35"/>
      <c r="G20" s="35"/>
      <c r="H20" s="99">
        <f>IF(W4=1,'#BerechnungDBE'!BK122,0)</f>
        <v>0</v>
      </c>
      <c r="I20" s="371"/>
      <c r="K20" s="30"/>
      <c r="M20" s="161">
        <f>IF(W4=1,'#BerechnungDBE'!BL122,0)</f>
        <v>0</v>
      </c>
      <c r="N20" s="35"/>
      <c r="R20" s="35">
        <f t="shared" si="0"/>
        <v>0</v>
      </c>
      <c r="Y20" s="601"/>
    </row>
    <row r="21" spans="1:27" s="836" customFormat="1" hidden="1" x14ac:dyDescent="0.2">
      <c r="A21" s="251" t="s">
        <v>352</v>
      </c>
      <c r="C21" s="72" t="s">
        <v>1549</v>
      </c>
      <c r="D21" s="601"/>
      <c r="E21" s="601"/>
      <c r="F21" s="601"/>
      <c r="G21" s="601"/>
      <c r="H21" s="99">
        <f>'#BerechnungDBE'!N115</f>
        <v>0</v>
      </c>
      <c r="I21" s="601"/>
      <c r="J21" s="837"/>
      <c r="K21" s="837"/>
      <c r="M21" s="161">
        <f>'#BerechnungDBE'!P115</f>
        <v>0</v>
      </c>
      <c r="N21" s="601"/>
      <c r="R21" s="601"/>
      <c r="Y21" s="601"/>
    </row>
    <row r="22" spans="1:27" ht="8.25" customHeight="1" x14ac:dyDescent="0.2">
      <c r="D22" s="35"/>
      <c r="E22" s="35"/>
      <c r="F22" s="35"/>
      <c r="G22" s="35"/>
      <c r="H22" s="35"/>
      <c r="I22" s="371"/>
      <c r="K22" s="35"/>
      <c r="L22" s="35"/>
      <c r="M22" s="35"/>
      <c r="N22" s="35"/>
      <c r="Y22" s="601"/>
    </row>
    <row r="23" spans="1:27" ht="15" customHeight="1" x14ac:dyDescent="0.2">
      <c r="D23" s="35"/>
      <c r="E23" s="35"/>
      <c r="F23" s="35"/>
      <c r="G23" s="35"/>
      <c r="I23" s="33" t="s">
        <v>1086</v>
      </c>
      <c r="J23" s="33" t="s">
        <v>119</v>
      </c>
      <c r="L23" s="35"/>
      <c r="N23" s="558" t="s">
        <v>1623</v>
      </c>
      <c r="O23" s="558" t="s">
        <v>1551</v>
      </c>
      <c r="P23" s="558" t="s">
        <v>1550</v>
      </c>
      <c r="X23" s="1041"/>
      <c r="Y23" s="1214" t="s">
        <v>1539</v>
      </c>
      <c r="Z23" s="1779" t="s">
        <v>1508</v>
      </c>
      <c r="AA23" s="1779"/>
    </row>
    <row r="24" spans="1:27" ht="15.95" customHeight="1" x14ac:dyDescent="0.2">
      <c r="C24" s="1224" t="s">
        <v>1069</v>
      </c>
      <c r="D24" s="1225"/>
      <c r="E24" s="1225"/>
      <c r="F24" s="1225"/>
      <c r="G24" s="1225"/>
      <c r="H24" s="1226"/>
      <c r="I24" s="1227">
        <v>80</v>
      </c>
      <c r="J24" s="1227">
        <f>160-I13+I25</f>
        <v>160</v>
      </c>
      <c r="L24" s="35"/>
      <c r="M24" s="35" t="s">
        <v>91</v>
      </c>
      <c r="O24">
        <f>IF('#BerechnungDBE'!BK120&lt;80,0,'#BerechnungDBE'!BH120-80*H21)</f>
        <v>0</v>
      </c>
      <c r="P24" s="35">
        <f>MAX(0,'#BerechnungDBE'!BH119-O24+'Überblick 22'!AZ11*H21-160*H21)</f>
        <v>0</v>
      </c>
      <c r="Q24" t="s">
        <v>91</v>
      </c>
      <c r="X24" s="1041"/>
      <c r="Y24" s="1780" t="s">
        <v>2433</v>
      </c>
      <c r="Z24" s="1780"/>
      <c r="AA24" s="1780"/>
    </row>
    <row r="25" spans="1:27" ht="15.95" customHeight="1" x14ac:dyDescent="0.2">
      <c r="C25" s="1228" t="s">
        <v>182</v>
      </c>
      <c r="D25" s="1229"/>
      <c r="E25" s="1229"/>
      <c r="F25" s="1229"/>
      <c r="G25" s="1229"/>
      <c r="H25" s="1230"/>
      <c r="I25" s="1231">
        <f>IF(I13&gt;I24,I13-I24,0)</f>
        <v>0</v>
      </c>
      <c r="J25" s="1231">
        <f>+J13-J24</f>
        <v>-160</v>
      </c>
      <c r="K25" s="35">
        <f>IF(J25&lt;0,0,J25)</f>
        <v>0</v>
      </c>
      <c r="L25" s="35"/>
      <c r="M25" s="35"/>
      <c r="S25" s="162"/>
      <c r="T25" t="s">
        <v>345</v>
      </c>
      <c r="X25" s="1041"/>
      <c r="Y25" s="1780"/>
      <c r="Z25" s="1780"/>
      <c r="AA25" s="1780"/>
    </row>
    <row r="26" spans="1:27" ht="15.95" customHeight="1" x14ac:dyDescent="0.2">
      <c r="C26" s="1232" t="s">
        <v>1233</v>
      </c>
      <c r="D26" s="1225"/>
      <c r="E26" s="1225"/>
      <c r="F26" s="1225"/>
      <c r="G26" s="1225"/>
      <c r="H26" s="1233"/>
      <c r="I26" s="1227"/>
      <c r="J26" s="1227">
        <f>IF(J25&lt;0,J25*-1,0)</f>
        <v>160</v>
      </c>
      <c r="K26" s="35"/>
      <c r="L26" s="35"/>
      <c r="M26" s="35"/>
      <c r="X26" s="1041"/>
      <c r="Y26" s="1780"/>
      <c r="Z26" s="1780"/>
      <c r="AA26" s="1780"/>
    </row>
    <row r="27" spans="1:27" ht="22.5" customHeight="1" x14ac:dyDescent="0.2">
      <c r="C27" s="1087"/>
      <c r="D27" s="1234"/>
      <c r="E27" s="1234"/>
      <c r="F27" s="1235" t="str">
        <f>IF(AND(W4=2,'Überblick 22'!S13=1),"Abprüfen Regel 160/80 nur auf vollständig eingegebenen Betrieben möglich",IF(B32=1,"Regel 160/80 wird eingehalten","Regel 160/80 überschritten "))</f>
        <v>Regel 160/80 wird eingehalten</v>
      </c>
      <c r="G27" s="1041"/>
      <c r="H27" s="1041"/>
      <c r="I27" s="1234"/>
      <c r="J27" s="1234"/>
      <c r="K27" s="35"/>
      <c r="L27" s="35"/>
      <c r="M27" s="35"/>
      <c r="X27" s="1041"/>
      <c r="Y27" s="1777" t="str">
        <f>IF(Z23='#Boden'!$G$45,"",IF(AND(Z23='#Boden'!G47,'Optimierung rote Flächen'!J13&gt;=160),"organische Düngung zu hoch, automatische Kürzung nicht möglich",IF('Überblick 22'!S13=2,"Eingaben unvollständig, es wurde pauschal um 20 % gekürzt","")))</f>
        <v/>
      </c>
      <c r="Z27" s="1777"/>
      <c r="AA27" s="1777"/>
    </row>
    <row r="28" spans="1:27" ht="3.75" customHeight="1" x14ac:dyDescent="0.2">
      <c r="C28" s="1087"/>
      <c r="D28" s="1234"/>
      <c r="E28" s="1234"/>
      <c r="F28" s="1234"/>
      <c r="G28" s="1234"/>
      <c r="H28" s="1234"/>
      <c r="I28" s="1234"/>
      <c r="J28" s="1234"/>
      <c r="K28" s="35"/>
      <c r="L28" s="35"/>
      <c r="M28" s="35"/>
      <c r="X28" s="1041"/>
      <c r="Y28" s="1777"/>
      <c r="Z28" s="1777"/>
      <c r="AA28" s="1777"/>
    </row>
    <row r="29" spans="1:27" ht="3.75" customHeight="1" x14ac:dyDescent="0.2">
      <c r="C29" s="1087"/>
      <c r="D29" s="1234"/>
      <c r="E29" s="1234"/>
      <c r="F29" s="1234"/>
      <c r="G29" s="1234"/>
      <c r="H29" s="1234"/>
      <c r="I29" s="1234"/>
      <c r="J29" s="1234"/>
      <c r="K29" s="35"/>
      <c r="L29" s="35"/>
      <c r="M29" s="35"/>
      <c r="X29" s="1041"/>
      <c r="Y29" s="1777"/>
      <c r="Z29" s="1777"/>
      <c r="AA29" s="1777"/>
    </row>
    <row r="30" spans="1:27" ht="3.75" customHeight="1" x14ac:dyDescent="0.2">
      <c r="C30" s="1087"/>
      <c r="D30" s="1234"/>
      <c r="E30" s="1234"/>
      <c r="F30" s="1234"/>
      <c r="G30" s="1234"/>
      <c r="H30" s="1234"/>
      <c r="I30" s="1234"/>
      <c r="J30" s="1234"/>
      <c r="K30" s="35"/>
      <c r="L30" s="35"/>
      <c r="M30" s="35"/>
      <c r="X30" s="1041"/>
      <c r="Y30" s="1777"/>
      <c r="Z30" s="1777"/>
      <c r="AA30" s="1777"/>
    </row>
    <row r="31" spans="1:27" ht="19.5" customHeight="1" x14ac:dyDescent="0.25">
      <c r="C31" s="1236" t="s">
        <v>1084</v>
      </c>
      <c r="D31" s="1234"/>
      <c r="E31" s="1234"/>
      <c r="F31" s="1234"/>
      <c r="G31" s="1234"/>
      <c r="H31" s="1234"/>
      <c r="I31" s="1234"/>
      <c r="J31" s="1234"/>
      <c r="K31" s="35"/>
      <c r="L31" s="35"/>
      <c r="M31" s="35"/>
      <c r="X31" s="1041"/>
      <c r="Y31" s="1041"/>
      <c r="Z31" s="1041"/>
      <c r="AA31" s="1041"/>
    </row>
    <row r="32" spans="1:27" ht="7.5" customHeight="1" x14ac:dyDescent="0.2">
      <c r="B32" s="85">
        <f>IF(W4=2," ",IF((I25+K25)=0,1," "))</f>
        <v>1</v>
      </c>
      <c r="E32" s="156"/>
      <c r="F32" s="156"/>
      <c r="G32" s="156"/>
      <c r="H32" s="156"/>
      <c r="I32" s="371"/>
      <c r="J32" s="371"/>
      <c r="K32" s="156"/>
      <c r="L32" s="156"/>
      <c r="M32" s="157"/>
      <c r="N32" s="157"/>
      <c r="O32" s="157"/>
    </row>
    <row r="33" spans="1:35" hidden="1" x14ac:dyDescent="0.2">
      <c r="A33" s="251" t="s">
        <v>352</v>
      </c>
      <c r="B33" s="63" t="str">
        <f>IF(R15&gt;160,1," ")</f>
        <v xml:space="preserve"> </v>
      </c>
      <c r="C33" s="64" t="str">
        <f>IF(B33=1,"Optimierung nicht möglich &gt;160 org"," ")</f>
        <v xml:space="preserve"> </v>
      </c>
      <c r="D33" s="64"/>
      <c r="E33" s="64"/>
      <c r="F33" s="64"/>
      <c r="G33" s="65"/>
      <c r="H33" s="37"/>
      <c r="I33" s="37"/>
      <c r="AC33" s="156"/>
      <c r="AD33" s="157"/>
      <c r="AE33" s="157"/>
      <c r="AF33" s="66" t="s">
        <v>183</v>
      </c>
      <c r="AG33" s="157"/>
    </row>
    <row r="34" spans="1:35" ht="15.95" customHeight="1" x14ac:dyDescent="0.2">
      <c r="B34" s="67" t="str">
        <f>IF(AND(J26&gt;10,J26&gt;M17,I25&gt;0),1," ")</f>
        <v xml:space="preserve"> </v>
      </c>
      <c r="C34" s="1237" t="str">
        <f>IF(B34=1,"Durch die Aufnahme von "," ")</f>
        <v xml:space="preserve"> </v>
      </c>
      <c r="D34" s="1238" t="str">
        <f>IF(B34=1,J26," ")</f>
        <v xml:space="preserve"> </v>
      </c>
      <c r="E34" s="1239" t="str">
        <f>IF(B34=1," kg N/ha organisch, Einsparung mineralisch ca.:"," ")</f>
        <v xml:space="preserve"> </v>
      </c>
      <c r="F34" s="1238"/>
      <c r="G34" s="1238"/>
      <c r="H34" s="1238"/>
      <c r="I34" s="1238"/>
      <c r="J34" s="1238"/>
      <c r="K34" s="68"/>
      <c r="L34" s="542"/>
      <c r="M34" s="542"/>
      <c r="N34" s="542"/>
      <c r="O34" s="542"/>
      <c r="P34" s="542"/>
      <c r="Q34" s="68"/>
      <c r="R34" s="542"/>
      <c r="S34" s="68"/>
      <c r="T34" s="542"/>
      <c r="U34" s="68"/>
      <c r="V34" s="68"/>
      <c r="W34" s="1238"/>
      <c r="X34" s="1238"/>
      <c r="Y34" s="1238"/>
      <c r="Z34" s="1238" t="str">
        <f>IF(B34=1,ROUND(J26*0.6,0)," ")</f>
        <v xml:space="preserve"> </v>
      </c>
      <c r="AA34" s="1240" t="str">
        <f t="shared" ref="AA34:AA39" si="1">IF(B34=1,$AE$34," ")</f>
        <v xml:space="preserve"> </v>
      </c>
      <c r="AC34" s="68"/>
      <c r="AD34" s="68"/>
      <c r="AE34" s="68" t="s">
        <v>78</v>
      </c>
      <c r="AF34" s="68" t="s">
        <v>184</v>
      </c>
      <c r="AG34" s="68"/>
      <c r="AH34" s="68"/>
      <c r="AI34" s="68" t="s">
        <v>346</v>
      </c>
    </row>
    <row r="35" spans="1:35" ht="15.95" customHeight="1" x14ac:dyDescent="0.2">
      <c r="B35" s="67" t="str">
        <f>IF(AND(J26&gt;0,M17&gt;0,I25&gt;0),1," ")</f>
        <v xml:space="preserve"> </v>
      </c>
      <c r="C35" s="1241" t="str">
        <f>IF(B35=1,"Durch die Verschiebung von"," ")</f>
        <v xml:space="preserve"> </v>
      </c>
      <c r="D35" s="1242"/>
      <c r="E35" s="1238" t="str">
        <f>IF(B35=1,AC35," ")</f>
        <v xml:space="preserve"> </v>
      </c>
      <c r="F35" s="1237" t="str">
        <f>IF(B35=1,"kg N/ha organisch von nicht roten auf rote Flächen, Einsparung mineralisch ca.:"," ")</f>
        <v xml:space="preserve"> </v>
      </c>
      <c r="G35" s="1238"/>
      <c r="H35" s="1238"/>
      <c r="I35" s="1238"/>
      <c r="J35" s="1238"/>
      <c r="K35" s="68"/>
      <c r="L35" s="542"/>
      <c r="M35" s="542"/>
      <c r="N35" s="542"/>
      <c r="O35" s="542"/>
      <c r="P35" s="542"/>
      <c r="Q35" s="68"/>
      <c r="R35" s="68"/>
      <c r="S35" s="68"/>
      <c r="T35" s="68"/>
      <c r="U35" s="68"/>
      <c r="V35" s="68"/>
      <c r="W35" s="1238"/>
      <c r="X35" s="1238"/>
      <c r="Y35" s="1238"/>
      <c r="Z35" s="1238" t="str">
        <f>IF(B35=1,ROUND(E35*0.6,0)," ")</f>
        <v xml:space="preserve"> </v>
      </c>
      <c r="AA35" s="1240" t="str">
        <f t="shared" si="1"/>
        <v xml:space="preserve"> </v>
      </c>
      <c r="AC35" s="502" t="e">
        <f>ROUND(MIN(AD35,AE35),0)</f>
        <v>#DIV/0!</v>
      </c>
      <c r="AD35" s="502">
        <f>ROUND(J26,0)</f>
        <v>160</v>
      </c>
      <c r="AE35" s="502" t="e">
        <f>ROUND(M17*M12/H12,0)</f>
        <v>#DIV/0!</v>
      </c>
      <c r="AF35" s="68" t="s">
        <v>185</v>
      </c>
      <c r="AG35" s="68"/>
    </row>
    <row r="36" spans="1:35" ht="15.95" customHeight="1" x14ac:dyDescent="0.2">
      <c r="B36" s="69" t="str">
        <f>IF(J25&gt;0,IF(R16&gt;20,IF(R16/4&gt;R18,1," ")," ")," ")</f>
        <v xml:space="preserve"> </v>
      </c>
      <c r="C36" s="1241" t="str">
        <f>IF(B36=1,"Durch Weide z.B. Jungvieh können eingespart werden ca."," ")</f>
        <v xml:space="preserve"> </v>
      </c>
      <c r="D36" s="1242"/>
      <c r="E36" s="1242"/>
      <c r="F36" s="1238"/>
      <c r="G36" s="1238"/>
      <c r="H36" s="1238"/>
      <c r="I36" s="1238"/>
      <c r="J36" s="1238"/>
      <c r="K36" s="68"/>
      <c r="L36" s="542"/>
      <c r="M36" s="542"/>
      <c r="N36" s="542"/>
      <c r="O36" s="542"/>
      <c r="P36" s="542"/>
      <c r="Q36" s="68"/>
      <c r="R36" s="68"/>
      <c r="S36" s="68"/>
      <c r="T36" s="68"/>
      <c r="U36" s="68"/>
      <c r="V36" s="68"/>
      <c r="W36" s="1238"/>
      <c r="X36" s="1238"/>
      <c r="Y36" s="1238"/>
      <c r="Z36" s="1238" t="str">
        <f>IF(B36=1,CONCATENATE("0 - ",AC36)," " )</f>
        <v xml:space="preserve"> </v>
      </c>
      <c r="AA36" s="1240" t="str">
        <f t="shared" si="1"/>
        <v xml:space="preserve"> </v>
      </c>
      <c r="AC36" s="502" t="e">
        <f>ROUND(MIN(AD36:AE36),0)</f>
        <v>#DIV/0!</v>
      </c>
      <c r="AD36" s="502" t="e">
        <f>ROUND(R16/(H12/100)/4,0)</f>
        <v>#DIV/0!</v>
      </c>
      <c r="AE36" s="502" t="e">
        <f>ROUND((R16-R18)/4/(H12/100),0)</f>
        <v>#DIV/0!</v>
      </c>
      <c r="AF36" s="68" t="s">
        <v>186</v>
      </c>
      <c r="AG36" s="68"/>
    </row>
    <row r="37" spans="1:35" ht="15.95" customHeight="1" x14ac:dyDescent="0.2">
      <c r="B37" s="69" t="str">
        <f>IF(N13&gt;30,IF(J25&gt;0,IF(J13&gt;80,1," ")," ")," ")</f>
        <v xml:space="preserve"> </v>
      </c>
      <c r="C37" s="1241" t="str">
        <f>IF(B37=1,"Durch Verschiebung von org. Düngern von roten auf nicht rote Flächen können eingespart werden ca.:"," ")</f>
        <v xml:space="preserve"> </v>
      </c>
      <c r="D37" s="1242"/>
      <c r="E37" s="1242"/>
      <c r="F37" s="1238"/>
      <c r="G37" s="1238"/>
      <c r="H37" s="1238"/>
      <c r="I37" s="1238"/>
      <c r="J37" s="1238"/>
      <c r="K37" s="68"/>
      <c r="L37" s="542"/>
      <c r="M37" s="542"/>
      <c r="N37" s="542"/>
      <c r="O37" s="542"/>
      <c r="P37" s="542"/>
      <c r="Q37" s="68"/>
      <c r="R37" s="68"/>
      <c r="S37" s="68"/>
      <c r="T37" s="68"/>
      <c r="U37" s="68"/>
      <c r="V37" s="68"/>
      <c r="W37" s="1238"/>
      <c r="X37" s="1238"/>
      <c r="Y37" s="1238"/>
      <c r="Z37" s="1238" t="str">
        <f>IF(B37=1,CONCATENATE("0 - ",AC37)," " )</f>
        <v xml:space="preserve"> </v>
      </c>
      <c r="AA37" s="1240" t="str">
        <f t="shared" si="1"/>
        <v xml:space="preserve"> </v>
      </c>
      <c r="AC37" s="68" t="str">
        <f>IF(B37=1,IF(AD37&gt;J25,ROUND(J25,0),ROUND(AD37,0))," ")</f>
        <v xml:space="preserve"> </v>
      </c>
      <c r="AD37" s="502">
        <f>IF(B37=1,IF(N13&gt;30,ROUND((N13-30)/0.6*M12/H12,0),0),0)</f>
        <v>0</v>
      </c>
      <c r="AE37" s="502"/>
      <c r="AF37" s="68" t="s">
        <v>187</v>
      </c>
      <c r="AG37" s="68"/>
    </row>
    <row r="38" spans="1:35" ht="15.95" customHeight="1" x14ac:dyDescent="0.2">
      <c r="B38" s="67" t="str">
        <f>IF((I25+K25)&gt;0,IF(H19&lt;25,IF(S13&gt;30,1," ")," ")," ")</f>
        <v xml:space="preserve"> </v>
      </c>
      <c r="C38" s="1237" t="str">
        <f>IF(B38=1,"Die Erhöhung des Leguminosenanteils auf 25% der roten Flächen reduziert den Düngebedarf um ca.:"," ")</f>
        <v xml:space="preserve"> </v>
      </c>
      <c r="D38" s="1238"/>
      <c r="E38" s="1238"/>
      <c r="F38" s="1238"/>
      <c r="G38" s="1238"/>
      <c r="H38" s="1238"/>
      <c r="I38" s="1238"/>
      <c r="J38" s="1238"/>
      <c r="K38" s="68"/>
      <c r="L38" s="542"/>
      <c r="M38" s="542"/>
      <c r="N38" s="542"/>
      <c r="O38" s="542"/>
      <c r="P38" s="542"/>
      <c r="Q38" s="68"/>
      <c r="R38" s="68"/>
      <c r="S38" s="68"/>
      <c r="T38" s="68"/>
      <c r="U38" s="68"/>
      <c r="V38" s="68"/>
      <c r="W38" s="1238"/>
      <c r="X38" s="1238"/>
      <c r="Y38" s="1238"/>
      <c r="Z38" s="1238" t="str">
        <f>IF(B38=1,CONCATENATE("0 - ",AC38)," " )</f>
        <v xml:space="preserve"> </v>
      </c>
      <c r="AA38" s="1240" t="str">
        <f t="shared" si="1"/>
        <v xml:space="preserve"> </v>
      </c>
      <c r="AC38" s="68" t="str">
        <f>IF(B38=1,IF(AD38&lt;AE38,AD38,AE38)," ")</f>
        <v xml:space="preserve"> </v>
      </c>
      <c r="AD38" s="502">
        <f>IF(B38=1,ROUND((25-H19)*H14/100,0),0)</f>
        <v>0</v>
      </c>
      <c r="AE38" s="502" t="e">
        <f>ROUND((S13-30)*(R12/H12),0)</f>
        <v>#DIV/0!</v>
      </c>
      <c r="AF38" s="68" t="s">
        <v>188</v>
      </c>
      <c r="AG38" s="68"/>
    </row>
    <row r="39" spans="1:35" ht="15.95" customHeight="1" x14ac:dyDescent="0.2">
      <c r="B39" s="69" t="str">
        <f>IF((I25+K25)&gt;0,IF(H20&gt;180,IF(I13&gt;20,1," ")," ")," ")</f>
        <v xml:space="preserve"> </v>
      </c>
      <c r="C39" s="1241" t="str">
        <f>IF(B39=1,"Verwendung einer extensiveren Fruchtfolge reduziert den Düngebedarf um ca.: "," ")</f>
        <v xml:space="preserve"> </v>
      </c>
      <c r="D39" s="1242"/>
      <c r="E39" s="1242"/>
      <c r="F39" s="1238"/>
      <c r="G39" s="1238"/>
      <c r="H39" s="1238"/>
      <c r="I39" s="1238"/>
      <c r="J39" s="1238"/>
      <c r="K39" s="68"/>
      <c r="L39" s="542"/>
      <c r="M39" s="542"/>
      <c r="N39" s="542"/>
      <c r="O39" s="542"/>
      <c r="P39" s="542"/>
      <c r="Q39" s="68"/>
      <c r="R39" s="68"/>
      <c r="S39" s="68"/>
      <c r="T39" s="68"/>
      <c r="U39" s="68"/>
      <c r="V39" s="68"/>
      <c r="W39" s="1238"/>
      <c r="X39" s="1238"/>
      <c r="Y39" s="1238"/>
      <c r="Z39" s="1238" t="str">
        <f>IF(B39=1,CONCATENATE("0 - ",AC39)," " )</f>
        <v xml:space="preserve"> </v>
      </c>
      <c r="AA39" s="1240" t="str">
        <f t="shared" si="1"/>
        <v xml:space="preserve"> </v>
      </c>
      <c r="AC39" s="68" t="str">
        <f>IF(B39=1,IF(AD39&lt;AE39,AD39,AE39)," ")</f>
        <v xml:space="preserve"> </v>
      </c>
      <c r="AD39" s="502" t="str">
        <f>IF(B39=1,ROUND(H20-180,0)," ")</f>
        <v xml:space="preserve"> </v>
      </c>
      <c r="AE39" s="502">
        <f>ROUND(I13-20,0)</f>
        <v>-20</v>
      </c>
      <c r="AF39" s="68" t="s">
        <v>189</v>
      </c>
      <c r="AG39" s="68"/>
    </row>
    <row r="40" spans="1:35" x14ac:dyDescent="0.2">
      <c r="C40" s="542"/>
      <c r="D40" s="66"/>
      <c r="E40" s="35"/>
      <c r="F40" s="561"/>
      <c r="G40" s="35"/>
      <c r="H40" s="35"/>
      <c r="I40" s="371"/>
      <c r="J40" s="371"/>
      <c r="K40" s="35"/>
      <c r="L40" s="66"/>
      <c r="M40" s="35"/>
    </row>
    <row r="41" spans="1:35" x14ac:dyDescent="0.2">
      <c r="D41" s="66"/>
      <c r="E41" s="35"/>
      <c r="F41" s="35"/>
      <c r="G41" s="35"/>
      <c r="H41" s="35"/>
      <c r="I41" s="371"/>
      <c r="J41" s="371"/>
      <c r="K41" s="35"/>
      <c r="L41" s="66"/>
      <c r="M41" s="35"/>
    </row>
    <row r="42" spans="1:35" x14ac:dyDescent="0.2">
      <c r="D42" s="66"/>
      <c r="E42" s="35"/>
      <c r="F42" s="35"/>
      <c r="G42" s="35"/>
      <c r="H42" s="35"/>
      <c r="I42" s="371"/>
      <c r="J42" s="371"/>
      <c r="K42" s="35"/>
      <c r="L42" s="66"/>
      <c r="M42" s="35"/>
      <c r="N42" t="s">
        <v>190</v>
      </c>
    </row>
    <row r="43" spans="1:35" x14ac:dyDescent="0.2">
      <c r="D43" s="66"/>
      <c r="E43" s="35"/>
      <c r="F43" s="35"/>
      <c r="G43" s="35"/>
      <c r="H43" s="35"/>
      <c r="I43" s="371"/>
      <c r="J43" s="371"/>
      <c r="K43" s="35"/>
      <c r="L43" s="66"/>
      <c r="M43" s="35"/>
    </row>
    <row r="44" spans="1:35" x14ac:dyDescent="0.2">
      <c r="D44" s="35"/>
      <c r="E44" s="35"/>
      <c r="F44" s="35"/>
      <c r="G44" s="35"/>
      <c r="H44" s="35"/>
      <c r="I44" s="371"/>
      <c r="J44" s="371"/>
      <c r="K44" s="35"/>
      <c r="L44" s="35"/>
      <c r="M44" s="35"/>
    </row>
    <row r="45" spans="1:35" x14ac:dyDescent="0.2">
      <c r="D45" s="35"/>
      <c r="E45" s="35"/>
      <c r="F45" s="35"/>
      <c r="G45" s="35"/>
      <c r="H45" s="35"/>
      <c r="I45" s="371"/>
      <c r="J45" s="371"/>
      <c r="K45" s="35"/>
      <c r="L45" s="35"/>
      <c r="M45" s="35"/>
    </row>
  </sheetData>
  <sheetProtection algorithmName="SHA-512" hashValue="vlyl39HqeC7JExoRT9ojXXCrrWTRTvwNerllvfWHvu71lxYlbnVe2BF8maLL6cvf4sCOTlexYXu7EZ2QZxGBVA==" saltValue="mGIqZ+fmAeifgViiAGiA7Q=="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13.12.2021&amp;RSeite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14:formula1>
            <xm:f>'#Boden'!$B$24:$B$25</xm:f>
          </x14:formula1>
          <xm:sqref>H8</xm:sqref>
        </x14:dataValidation>
        <x14:dataValidation type="list" allowBlank="1" showInputMessage="1" showErrorMessage="1">
          <x14:formula1>
            <xm:f>'#Boden'!$G$45:$G$47</xm:f>
          </x14:formula1>
          <xm:sqref>Z23:AA23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AY242"/>
  <sheetViews>
    <sheetView workbookViewId="0">
      <selection activeCell="AN233" sqref="AN233"/>
    </sheetView>
  </sheetViews>
  <sheetFormatPr baseColWidth="10" defaultRowHeight="12.75" x14ac:dyDescent="0.2"/>
  <cols>
    <col min="2" max="2" width="8.140625" customWidth="1"/>
    <col min="3" max="4" width="7.85546875" style="30"/>
    <col min="5" max="5" width="8.28515625" style="30" bestFit="1" customWidth="1"/>
    <col min="6" max="6" width="12.42578125" customWidth="1"/>
    <col min="7" max="7" width="12.42578125" style="31" customWidth="1"/>
    <col min="8" max="8" width="19" customWidth="1"/>
    <col min="9" max="10" width="19" style="373" customWidth="1"/>
    <col min="11" max="12" width="11.85546875" style="434" customWidth="1"/>
    <col min="14" max="17" width="11.42578125" style="906"/>
    <col min="19" max="19" width="11.42578125" style="906"/>
    <col min="26" max="29" width="11.42578125" style="906"/>
    <col min="31" max="31" width="11.42578125" style="906"/>
    <col min="33" max="33" width="12.28515625" bestFit="1" customWidth="1"/>
    <col min="44" max="46" width="11.42578125" style="98"/>
  </cols>
  <sheetData>
    <row r="1" spans="1:46" x14ac:dyDescent="0.2">
      <c r="A1" s="95" t="s">
        <v>269</v>
      </c>
      <c r="B1" s="95"/>
      <c r="C1" s="91"/>
      <c r="D1" s="91"/>
      <c r="E1" s="93"/>
      <c r="F1" s="95"/>
      <c r="G1" s="95"/>
      <c r="H1" s="373"/>
      <c r="J1" s="434"/>
      <c r="L1" s="95"/>
      <c r="M1" s="95"/>
      <c r="R1" s="95"/>
      <c r="T1" s="95"/>
      <c r="U1" s="95"/>
      <c r="V1" s="95"/>
      <c r="W1" s="95"/>
      <c r="X1" s="95"/>
      <c r="Y1" s="95"/>
      <c r="AD1" s="95"/>
      <c r="AF1" s="95"/>
      <c r="AG1" s="95"/>
      <c r="AH1" s="95"/>
      <c r="AI1" s="95"/>
      <c r="AJ1" s="95"/>
      <c r="AK1" s="95"/>
      <c r="AL1" s="95"/>
      <c r="AM1" s="95"/>
      <c r="AQ1" s="98"/>
      <c r="AT1"/>
    </row>
    <row r="2" spans="1:46" x14ac:dyDescent="0.2">
      <c r="A2" s="95"/>
      <c r="B2" s="95"/>
      <c r="C2" s="91"/>
      <c r="D2" s="828" t="s">
        <v>1540</v>
      </c>
      <c r="E2" s="91"/>
      <c r="F2" s="95">
        <f>IF('Überblick 22'!S13=2,3,IF('Optimierung rote Flächen'!Z23='#Boden'!G46,1,IF(AND('Optimierung rote Flächen'!Z23='#Boden'!G47,'Optimierung rote Flächen'!J13&lt;=160),2,3)))</f>
        <v>3</v>
      </c>
      <c r="G2" s="95"/>
      <c r="H2" s="373"/>
      <c r="J2" s="434"/>
      <c r="L2" s="95"/>
      <c r="M2" s="95"/>
      <c r="R2" s="95"/>
      <c r="T2" s="95"/>
      <c r="U2" s="95"/>
      <c r="V2" s="95"/>
      <c r="W2" s="95"/>
      <c r="X2" s="95"/>
      <c r="Y2" s="95"/>
      <c r="AD2" s="95"/>
      <c r="AF2" s="95"/>
      <c r="AG2" s="95"/>
      <c r="AH2" s="95"/>
      <c r="AI2" s="95"/>
      <c r="AJ2" s="95"/>
      <c r="AK2" s="95"/>
      <c r="AL2" s="95"/>
      <c r="AM2" s="95"/>
      <c r="AQ2" s="98"/>
      <c r="AT2"/>
    </row>
    <row r="3" spans="1:46" x14ac:dyDescent="0.2">
      <c r="A3" s="95"/>
      <c r="B3" s="95"/>
      <c r="C3" s="1604" t="s">
        <v>270</v>
      </c>
      <c r="D3" s="1606"/>
      <c r="E3" s="92" t="s">
        <v>271</v>
      </c>
      <c r="F3" s="102" t="s">
        <v>270</v>
      </c>
      <c r="G3" s="92" t="s">
        <v>271</v>
      </c>
      <c r="H3" s="375"/>
      <c r="I3" s="375"/>
      <c r="J3" s="444"/>
      <c r="K3" s="444"/>
      <c r="L3" s="95"/>
      <c r="M3" s="95"/>
      <c r="R3" s="95"/>
      <c r="T3" s="95"/>
      <c r="U3" s="95"/>
      <c r="V3" s="95"/>
      <c r="W3" s="95"/>
      <c r="X3" s="95"/>
      <c r="Y3" s="95"/>
      <c r="AD3" s="95"/>
      <c r="AF3" s="95"/>
      <c r="AG3" s="95"/>
      <c r="AH3" s="95"/>
      <c r="AI3" s="95"/>
      <c r="AJ3" s="95"/>
      <c r="AK3" s="95"/>
      <c r="AL3" s="95"/>
      <c r="AM3" s="95"/>
      <c r="AQ3" s="98"/>
      <c r="AT3"/>
    </row>
    <row r="4" spans="1:46" x14ac:dyDescent="0.2">
      <c r="A4" s="95"/>
      <c r="B4" s="95"/>
      <c r="C4" s="1782" t="s">
        <v>272</v>
      </c>
      <c r="D4" s="1783"/>
      <c r="E4" s="89"/>
      <c r="F4" s="103" t="s">
        <v>272</v>
      </c>
      <c r="G4" s="104"/>
      <c r="H4" s="380"/>
      <c r="I4" s="380"/>
      <c r="J4" s="380"/>
      <c r="K4" s="380"/>
      <c r="L4" s="95"/>
      <c r="M4" s="95"/>
      <c r="R4" s="95"/>
      <c r="T4" s="95"/>
      <c r="U4" s="95"/>
      <c r="V4" s="95"/>
      <c r="W4" s="95"/>
      <c r="X4" s="95"/>
      <c r="Y4" s="95"/>
      <c r="AD4" s="95"/>
      <c r="AF4" s="95"/>
      <c r="AG4" s="95"/>
      <c r="AH4" s="95"/>
      <c r="AI4" s="95"/>
      <c r="AJ4" s="95"/>
      <c r="AK4" s="95"/>
      <c r="AL4" s="95"/>
      <c r="AM4" s="95"/>
      <c r="AQ4" s="98"/>
      <c r="AT4"/>
    </row>
    <row r="5" spans="1:46" x14ac:dyDescent="0.2">
      <c r="A5" s="95"/>
      <c r="B5" s="95"/>
      <c r="C5" s="84" t="s">
        <v>273</v>
      </c>
      <c r="D5" s="89" t="s">
        <v>273</v>
      </c>
      <c r="E5" s="89" t="s">
        <v>273</v>
      </c>
      <c r="F5" s="84" t="s">
        <v>273</v>
      </c>
      <c r="G5" s="89" t="s">
        <v>273</v>
      </c>
      <c r="H5" s="375"/>
      <c r="I5" s="375"/>
      <c r="J5" s="444"/>
      <c r="K5" s="444"/>
      <c r="L5" s="95"/>
      <c r="M5" s="95"/>
      <c r="R5" s="95"/>
      <c r="T5" s="95"/>
      <c r="U5" s="95"/>
      <c r="V5" s="95"/>
      <c r="W5" s="95"/>
      <c r="X5" s="95"/>
      <c r="Y5" s="95"/>
      <c r="AD5" s="95"/>
      <c r="AF5" s="95"/>
      <c r="AG5" s="95"/>
      <c r="AH5" s="95"/>
      <c r="AI5" s="95"/>
      <c r="AJ5" s="95"/>
      <c r="AK5" s="95"/>
      <c r="AL5" s="95"/>
      <c r="AM5" s="95"/>
      <c r="AQ5" s="98"/>
      <c r="AT5"/>
    </row>
    <row r="6" spans="1:46" x14ac:dyDescent="0.2">
      <c r="A6" s="95"/>
      <c r="B6" s="95" t="s">
        <v>274</v>
      </c>
      <c r="C6" s="84" t="s">
        <v>275</v>
      </c>
      <c r="D6" s="89" t="s">
        <v>276</v>
      </c>
      <c r="E6" s="89" t="s">
        <v>107</v>
      </c>
      <c r="F6" s="84" t="s">
        <v>275</v>
      </c>
      <c r="G6" s="89" t="s">
        <v>276</v>
      </c>
      <c r="H6" s="375"/>
      <c r="I6" s="375"/>
      <c r="J6" s="444"/>
      <c r="K6" s="444"/>
      <c r="L6" s="95"/>
      <c r="M6" s="95"/>
      <c r="R6" s="95"/>
      <c r="T6" s="95"/>
      <c r="U6" s="95"/>
      <c r="V6" s="95"/>
      <c r="W6" s="95"/>
      <c r="X6" s="95"/>
      <c r="Y6" s="95"/>
      <c r="AD6" s="95"/>
      <c r="AF6" s="95"/>
      <c r="AG6" s="95"/>
      <c r="AH6" s="95"/>
      <c r="AI6" s="95"/>
      <c r="AJ6" s="95"/>
      <c r="AK6" s="95"/>
      <c r="AL6" s="95"/>
      <c r="AM6" s="95"/>
      <c r="AQ6" s="98"/>
      <c r="AT6"/>
    </row>
    <row r="7" spans="1:46" x14ac:dyDescent="0.2">
      <c r="A7" s="95" t="s">
        <v>277</v>
      </c>
      <c r="B7" s="95"/>
      <c r="C7" s="84" t="s">
        <v>78</v>
      </c>
      <c r="D7" s="89" t="s">
        <v>278</v>
      </c>
      <c r="E7" s="89" t="s">
        <v>279</v>
      </c>
      <c r="F7" s="84" t="s">
        <v>78</v>
      </c>
      <c r="G7" s="89" t="s">
        <v>278</v>
      </c>
      <c r="H7" s="375"/>
      <c r="I7" s="375"/>
      <c r="J7" s="444"/>
      <c r="K7" s="444"/>
      <c r="L7" s="95"/>
      <c r="M7" s="95"/>
      <c r="R7" s="95"/>
      <c r="T7" s="95"/>
      <c r="U7" s="95"/>
      <c r="V7" s="95"/>
      <c r="W7" s="95"/>
      <c r="X7" s="95"/>
      <c r="Y7" s="95"/>
      <c r="AD7" s="95"/>
      <c r="AF7" s="95"/>
      <c r="AG7" s="95"/>
      <c r="AH7" s="95"/>
      <c r="AI7" s="95"/>
      <c r="AJ7" s="95"/>
      <c r="AK7" s="95"/>
      <c r="AL7" s="95"/>
      <c r="AM7" s="95"/>
      <c r="AQ7" s="98"/>
      <c r="AT7"/>
    </row>
    <row r="8" spans="1:46" x14ac:dyDescent="0.2">
      <c r="A8" s="95"/>
      <c r="B8" s="95"/>
      <c r="C8" s="84"/>
      <c r="D8" s="89"/>
      <c r="E8" s="89"/>
      <c r="F8" s="84"/>
      <c r="G8" s="89"/>
      <c r="H8" s="375"/>
      <c r="I8" s="375"/>
      <c r="J8" s="444"/>
      <c r="K8" s="444"/>
      <c r="L8" s="95"/>
      <c r="M8" s="95"/>
      <c r="R8" s="95"/>
      <c r="T8" s="95"/>
      <c r="U8" s="95"/>
      <c r="V8" s="95"/>
      <c r="W8" s="95"/>
      <c r="X8" s="95"/>
      <c r="Y8" s="95"/>
      <c r="AD8" s="95"/>
      <c r="AF8" s="95"/>
      <c r="AG8" s="95"/>
      <c r="AH8" s="95"/>
      <c r="AI8" s="95"/>
      <c r="AJ8" s="95"/>
      <c r="AK8" s="95"/>
      <c r="AL8" s="95"/>
      <c r="AM8" s="95"/>
      <c r="AQ8" s="98"/>
      <c r="AT8"/>
    </row>
    <row r="9" spans="1:46" x14ac:dyDescent="0.2">
      <c r="A9" s="95"/>
      <c r="B9" s="95"/>
      <c r="C9" s="84" t="s">
        <v>280</v>
      </c>
      <c r="D9" s="89" t="s">
        <v>280</v>
      </c>
      <c r="E9" s="89" t="s">
        <v>280</v>
      </c>
      <c r="F9" s="84" t="s">
        <v>280</v>
      </c>
      <c r="G9" s="89" t="s">
        <v>280</v>
      </c>
      <c r="H9" s="375"/>
      <c r="I9" s="375"/>
      <c r="J9" s="444"/>
      <c r="K9" s="444"/>
      <c r="L9" s="95"/>
      <c r="M9" s="95"/>
      <c r="R9" s="95"/>
      <c r="T9" s="95"/>
      <c r="U9" s="95"/>
      <c r="V9" s="95"/>
      <c r="W9" s="95"/>
      <c r="X9" s="95"/>
      <c r="Y9" s="95"/>
      <c r="AD9" s="95"/>
      <c r="AF9" s="95"/>
      <c r="AG9" s="95"/>
      <c r="AH9" s="95"/>
      <c r="AI9" s="95"/>
      <c r="AJ9" s="95"/>
      <c r="AK9" s="95"/>
      <c r="AL9" s="95"/>
      <c r="AM9" s="95"/>
      <c r="AQ9" s="98"/>
      <c r="AT9"/>
    </row>
    <row r="10" spans="1:46" x14ac:dyDescent="0.2">
      <c r="A10" s="95"/>
      <c r="B10" s="95"/>
      <c r="C10" s="84" t="s">
        <v>78</v>
      </c>
      <c r="D10" s="89" t="s">
        <v>281</v>
      </c>
      <c r="E10" s="89" t="s">
        <v>281</v>
      </c>
      <c r="F10" s="84" t="s">
        <v>78</v>
      </c>
      <c r="G10" s="89" t="s">
        <v>281</v>
      </c>
      <c r="H10" s="375"/>
      <c r="I10" s="375"/>
      <c r="J10" s="444"/>
      <c r="K10" s="444"/>
      <c r="L10" s="95"/>
      <c r="M10" s="95"/>
      <c r="R10" s="95"/>
      <c r="T10" s="95"/>
      <c r="U10" s="95"/>
      <c r="V10" s="95"/>
      <c r="W10" s="95"/>
      <c r="X10" s="95"/>
      <c r="Y10" s="95"/>
      <c r="AD10" s="95"/>
      <c r="AF10" s="95"/>
      <c r="AG10" s="95"/>
      <c r="AH10" s="95"/>
      <c r="AI10" s="95"/>
      <c r="AJ10" s="95"/>
      <c r="AK10" s="95"/>
      <c r="AL10" s="95"/>
      <c r="AM10" s="95"/>
      <c r="AQ10" s="98"/>
      <c r="AT10"/>
    </row>
    <row r="11" spans="1:46" x14ac:dyDescent="0.2">
      <c r="A11" s="95">
        <v>1</v>
      </c>
      <c r="B11" s="95" t="s">
        <v>282</v>
      </c>
      <c r="C11" s="105">
        <v>0</v>
      </c>
      <c r="D11" s="884">
        <v>5</v>
      </c>
      <c r="E11" s="884">
        <v>20</v>
      </c>
      <c r="F11" s="885">
        <v>0</v>
      </c>
      <c r="G11" s="106">
        <v>20</v>
      </c>
      <c r="H11" s="42"/>
      <c r="I11" s="42"/>
      <c r="J11" s="42"/>
      <c r="K11" s="42"/>
      <c r="L11" s="95"/>
      <c r="M11" s="95"/>
      <c r="R11" s="95"/>
      <c r="T11" s="95"/>
      <c r="U11" s="95"/>
      <c r="V11" s="95"/>
      <c r="W11" s="95"/>
      <c r="X11" s="95"/>
      <c r="Y11" s="95"/>
      <c r="AD11" s="95"/>
      <c r="AF11" s="95"/>
      <c r="AG11" s="95"/>
      <c r="AH11" s="95"/>
      <c r="AI11" s="95"/>
      <c r="AJ11" s="95"/>
      <c r="AK11" s="95"/>
      <c r="AL11" s="95"/>
      <c r="AM11" s="95"/>
      <c r="AQ11" s="98"/>
      <c r="AT11"/>
    </row>
    <row r="12" spans="1:46" x14ac:dyDescent="0.2">
      <c r="A12" s="95">
        <v>2</v>
      </c>
      <c r="B12" s="95" t="s">
        <v>283</v>
      </c>
      <c r="C12" s="107">
        <v>0</v>
      </c>
      <c r="D12" s="886">
        <v>10</v>
      </c>
      <c r="E12" s="886">
        <v>30</v>
      </c>
      <c r="F12" s="887">
        <v>0</v>
      </c>
      <c r="G12" s="108">
        <v>30</v>
      </c>
      <c r="H12" s="42"/>
      <c r="I12" s="42"/>
      <c r="J12" s="42"/>
      <c r="K12" s="42"/>
      <c r="L12" s="95"/>
      <c r="M12" s="95"/>
      <c r="R12" s="95"/>
      <c r="T12" s="95"/>
      <c r="U12" s="95"/>
      <c r="V12" s="95"/>
      <c r="W12" s="95"/>
      <c r="X12" s="95"/>
      <c r="Y12" s="95"/>
      <c r="AD12" s="95"/>
      <c r="AF12" s="95"/>
      <c r="AG12" s="95"/>
      <c r="AH12" s="95"/>
      <c r="AI12" s="95"/>
      <c r="AJ12" s="95"/>
      <c r="AK12" s="95"/>
      <c r="AL12" s="95"/>
      <c r="AM12" s="95"/>
      <c r="AQ12" s="98"/>
      <c r="AT12"/>
    </row>
    <row r="13" spans="1:46" x14ac:dyDescent="0.2">
      <c r="A13" s="95">
        <v>3</v>
      </c>
      <c r="B13" s="95" t="s">
        <v>284</v>
      </c>
      <c r="C13" s="107">
        <v>10</v>
      </c>
      <c r="D13" s="886">
        <v>20</v>
      </c>
      <c r="E13" s="886">
        <v>35</v>
      </c>
      <c r="F13" s="887">
        <v>10</v>
      </c>
      <c r="G13" s="108">
        <v>35</v>
      </c>
      <c r="H13" s="42"/>
      <c r="I13" s="42"/>
      <c r="J13" s="42"/>
      <c r="K13" s="42"/>
      <c r="L13" s="95"/>
      <c r="M13" s="95"/>
      <c r="R13" s="95"/>
      <c r="T13" s="95"/>
      <c r="U13" s="95"/>
      <c r="V13" s="95"/>
      <c r="W13" s="95"/>
      <c r="X13" s="95"/>
      <c r="Y13" s="95"/>
      <c r="AD13" s="95"/>
      <c r="AF13" s="95"/>
      <c r="AG13" s="95"/>
      <c r="AH13" s="95"/>
      <c r="AI13" s="95"/>
      <c r="AJ13" s="95"/>
      <c r="AK13" s="95"/>
      <c r="AL13" s="95"/>
      <c r="AM13" s="95"/>
      <c r="AQ13" s="98"/>
      <c r="AT13"/>
    </row>
    <row r="14" spans="1:46" x14ac:dyDescent="0.2">
      <c r="A14" s="95">
        <v>4</v>
      </c>
      <c r="B14" s="95" t="s">
        <v>285</v>
      </c>
      <c r="C14" s="107">
        <v>20</v>
      </c>
      <c r="D14" s="886">
        <v>20</v>
      </c>
      <c r="E14" s="886">
        <v>35</v>
      </c>
      <c r="F14" s="887">
        <v>20</v>
      </c>
      <c r="G14" s="108">
        <v>35</v>
      </c>
      <c r="H14" s="42"/>
      <c r="I14" s="42"/>
      <c r="J14" s="42"/>
      <c r="K14" s="42"/>
      <c r="L14" s="95"/>
      <c r="M14" s="95"/>
      <c r="R14" s="95"/>
      <c r="T14" s="95"/>
      <c r="U14" s="95"/>
      <c r="V14" s="95"/>
      <c r="W14" s="95"/>
      <c r="X14" s="95"/>
      <c r="Y14" s="95"/>
      <c r="AD14" s="95"/>
      <c r="AF14" s="95"/>
      <c r="AG14" s="95"/>
      <c r="AH14" s="95"/>
      <c r="AI14" s="95"/>
      <c r="AJ14" s="95"/>
      <c r="AK14" s="95"/>
      <c r="AL14" s="95"/>
      <c r="AM14" s="95"/>
      <c r="AQ14" s="98"/>
      <c r="AT14"/>
    </row>
    <row r="15" spans="1:46" x14ac:dyDescent="0.2">
      <c r="A15" s="95">
        <v>5</v>
      </c>
      <c r="B15" s="95" t="s">
        <v>286</v>
      </c>
      <c r="C15" s="109">
        <v>20</v>
      </c>
      <c r="D15" s="888">
        <v>20</v>
      </c>
      <c r="E15" s="888">
        <v>35</v>
      </c>
      <c r="F15" s="889">
        <v>20</v>
      </c>
      <c r="G15" s="111">
        <v>35</v>
      </c>
      <c r="H15" s="42"/>
      <c r="I15" s="42"/>
      <c r="J15" s="42"/>
      <c r="K15" s="42"/>
      <c r="L15" s="95"/>
      <c r="M15" s="95"/>
      <c r="R15" s="95"/>
      <c r="T15" s="95"/>
      <c r="U15" s="95"/>
      <c r="V15" s="95"/>
      <c r="W15" s="95"/>
      <c r="X15" s="95"/>
      <c r="Y15" s="95"/>
      <c r="AD15" s="95"/>
      <c r="AF15" s="95"/>
      <c r="AG15" s="95"/>
      <c r="AH15" s="95"/>
      <c r="AI15" s="95"/>
      <c r="AJ15" s="95"/>
      <c r="AK15" s="95"/>
      <c r="AL15" s="95"/>
      <c r="AM15" s="95"/>
      <c r="AQ15" s="98"/>
      <c r="AT15"/>
    </row>
    <row r="16" spans="1:46" x14ac:dyDescent="0.2">
      <c r="A16" s="95"/>
      <c r="B16" s="95"/>
      <c r="C16" s="84"/>
      <c r="D16" s="89"/>
      <c r="E16" s="89"/>
      <c r="F16" s="84"/>
      <c r="G16" s="89"/>
      <c r="H16" s="375"/>
      <c r="I16" s="375"/>
      <c r="J16" s="444"/>
      <c r="K16" s="444"/>
      <c r="L16" s="95"/>
      <c r="M16" s="95"/>
      <c r="R16" s="95"/>
      <c r="T16" s="95"/>
      <c r="U16" s="95"/>
      <c r="V16" s="95"/>
      <c r="W16" s="95"/>
      <c r="X16" s="95"/>
      <c r="Y16" s="95"/>
      <c r="AD16" s="95"/>
      <c r="AF16" s="95"/>
      <c r="AG16" s="95"/>
      <c r="AH16" s="95"/>
      <c r="AI16" s="95"/>
      <c r="AJ16" s="95"/>
      <c r="AK16" s="95"/>
      <c r="AL16" s="95"/>
      <c r="AM16" s="95"/>
      <c r="AQ16" s="98"/>
      <c r="AT16"/>
    </row>
    <row r="17" spans="1:51" x14ac:dyDescent="0.2">
      <c r="A17" s="95"/>
      <c r="B17" s="95"/>
      <c r="C17" s="84" t="s">
        <v>287</v>
      </c>
      <c r="D17" s="89" t="s">
        <v>287</v>
      </c>
      <c r="E17" s="89" t="s">
        <v>287</v>
      </c>
      <c r="F17" s="84" t="s">
        <v>287</v>
      </c>
      <c r="G17" s="89" t="s">
        <v>287</v>
      </c>
      <c r="H17" s="375"/>
      <c r="I17" s="375"/>
      <c r="J17" s="444"/>
      <c r="K17" s="444"/>
      <c r="L17" s="95"/>
      <c r="M17" s="95"/>
      <c r="R17" s="95"/>
      <c r="T17" s="95"/>
      <c r="U17" s="95"/>
      <c r="V17" s="95"/>
      <c r="W17" s="95"/>
      <c r="X17" s="95"/>
      <c r="Y17" s="95"/>
      <c r="AD17" s="95"/>
      <c r="AF17" s="95"/>
      <c r="AG17" s="95"/>
      <c r="AH17" s="95"/>
      <c r="AI17" s="95"/>
      <c r="AJ17" s="95"/>
      <c r="AK17" s="95"/>
      <c r="AL17" s="95"/>
      <c r="AM17" s="95"/>
      <c r="AQ17" s="98"/>
      <c r="AT17"/>
    </row>
    <row r="18" spans="1:51" x14ac:dyDescent="0.2">
      <c r="A18" s="95"/>
      <c r="B18" s="95"/>
      <c r="C18" s="84" t="s">
        <v>288</v>
      </c>
      <c r="D18" s="89" t="s">
        <v>288</v>
      </c>
      <c r="E18" s="89" t="s">
        <v>288</v>
      </c>
      <c r="F18" s="84" t="s">
        <v>288</v>
      </c>
      <c r="G18" s="89" t="s">
        <v>288</v>
      </c>
      <c r="H18" s="375"/>
      <c r="I18" s="375"/>
      <c r="J18" s="444"/>
      <c r="K18" s="444"/>
      <c r="L18" s="95"/>
      <c r="M18" s="95"/>
      <c r="R18" s="95"/>
      <c r="T18" s="95"/>
      <c r="U18" s="95"/>
      <c r="V18" s="95"/>
      <c r="W18" s="95"/>
      <c r="X18" s="95"/>
      <c r="Y18" s="95"/>
      <c r="AD18" s="95"/>
      <c r="AF18" s="95"/>
      <c r="AG18" s="95"/>
      <c r="AH18" s="95"/>
      <c r="AI18" s="95"/>
      <c r="AJ18" s="95"/>
      <c r="AK18" s="95"/>
      <c r="AL18" s="95"/>
      <c r="AM18" s="95"/>
      <c r="AQ18" s="98"/>
      <c r="AT18"/>
    </row>
    <row r="19" spans="1:51" x14ac:dyDescent="0.2">
      <c r="A19" s="95"/>
      <c r="B19" s="95"/>
      <c r="C19" s="110" t="s">
        <v>289</v>
      </c>
      <c r="D19" s="71" t="s">
        <v>289</v>
      </c>
      <c r="E19" s="71" t="s">
        <v>289</v>
      </c>
      <c r="F19" s="110" t="s">
        <v>289</v>
      </c>
      <c r="G19" s="71" t="s">
        <v>289</v>
      </c>
      <c r="H19" s="375"/>
      <c r="I19" s="375"/>
      <c r="J19" s="444"/>
      <c r="K19" s="444"/>
      <c r="L19" s="95"/>
      <c r="M19" s="95"/>
      <c r="R19" s="95"/>
      <c r="T19" s="95"/>
      <c r="U19" s="95"/>
      <c r="V19" s="95"/>
      <c r="W19" s="95"/>
      <c r="X19" s="95"/>
      <c r="Y19" s="95"/>
      <c r="AD19" s="95"/>
      <c r="AF19" s="95"/>
      <c r="AG19" s="95"/>
      <c r="AH19" s="95"/>
      <c r="AI19" s="95"/>
      <c r="AJ19" s="95"/>
      <c r="AK19" s="95"/>
      <c r="AL19" s="95"/>
      <c r="AM19" s="95"/>
      <c r="AQ19" s="98"/>
      <c r="AT19"/>
    </row>
    <row r="20" spans="1:51" x14ac:dyDescent="0.2">
      <c r="A20" s="95" t="s">
        <v>290</v>
      </c>
      <c r="B20" s="95"/>
      <c r="C20" s="91"/>
      <c r="D20" s="91"/>
      <c r="E20" s="91"/>
      <c r="F20" s="95"/>
      <c r="G20" s="95"/>
      <c r="H20" s="373"/>
      <c r="J20" s="434"/>
      <c r="L20" s="95"/>
      <c r="M20" s="95"/>
      <c r="R20" s="95"/>
      <c r="T20" s="95"/>
      <c r="U20" s="95"/>
      <c r="V20" s="95"/>
      <c r="W20" s="95"/>
      <c r="X20" s="95"/>
      <c r="Y20" s="95"/>
      <c r="AD20" s="95"/>
      <c r="AF20" s="95"/>
      <c r="AG20" s="95"/>
      <c r="AH20" s="95"/>
      <c r="AI20" s="95"/>
      <c r="AJ20" s="95"/>
      <c r="AK20" s="95"/>
      <c r="AL20" s="95"/>
      <c r="AM20" s="95"/>
      <c r="AQ20" s="98"/>
      <c r="AT20"/>
    </row>
    <row r="21" spans="1:51" x14ac:dyDescent="0.2">
      <c r="A21" s="95"/>
      <c r="B21" s="95"/>
      <c r="C21" s="91"/>
      <c r="D21" s="91"/>
      <c r="E21" s="91"/>
      <c r="F21" s="95"/>
      <c r="G21" s="95"/>
      <c r="H21" s="373"/>
      <c r="J21" s="434"/>
      <c r="L21" s="95"/>
      <c r="M21" s="95"/>
      <c r="R21" s="95"/>
      <c r="T21" s="95"/>
      <c r="U21" s="95"/>
      <c r="V21" s="95"/>
      <c r="W21" s="95"/>
      <c r="X21" s="95"/>
      <c r="Y21" s="95"/>
      <c r="AD21" s="95"/>
      <c r="AF21" s="95"/>
      <c r="AG21" s="95"/>
      <c r="AH21" s="95"/>
      <c r="AI21" s="95"/>
      <c r="AJ21" s="95"/>
      <c r="AK21" s="95"/>
      <c r="AL21" s="95"/>
      <c r="AM21" s="95"/>
      <c r="AQ21" s="98"/>
      <c r="AT21"/>
    </row>
    <row r="22" spans="1:51" x14ac:dyDescent="0.2">
      <c r="A22" s="95" t="s">
        <v>291</v>
      </c>
      <c r="B22" s="95"/>
      <c r="C22" s="91"/>
      <c r="D22" s="91"/>
      <c r="E22" s="91"/>
      <c r="F22" s="95"/>
      <c r="G22" s="899"/>
      <c r="H22" s="95"/>
      <c r="M22" s="95"/>
      <c r="R22" s="95"/>
      <c r="T22" s="95"/>
      <c r="U22" s="95"/>
      <c r="V22" s="95"/>
      <c r="W22" s="95"/>
      <c r="X22" s="95"/>
      <c r="Y22" s="95"/>
      <c r="AD22" s="95"/>
      <c r="AF22" s="95"/>
      <c r="AG22" s="95"/>
      <c r="AH22" s="95"/>
      <c r="AI22" s="95"/>
      <c r="AJ22" s="95"/>
      <c r="AK22" s="95"/>
      <c r="AL22" s="95"/>
      <c r="AM22" s="95"/>
      <c r="AN22" s="95"/>
    </row>
    <row r="23" spans="1:51" x14ac:dyDescent="0.2">
      <c r="A23" s="829"/>
      <c r="B23" s="95"/>
      <c r="C23" s="91"/>
      <c r="D23" s="91"/>
      <c r="E23" s="91"/>
      <c r="F23" s="95"/>
      <c r="G23" s="899"/>
      <c r="H23" s="95"/>
      <c r="M23" s="95"/>
      <c r="R23" s="95"/>
      <c r="T23" s="95"/>
      <c r="U23" s="95"/>
      <c r="V23" s="95"/>
      <c r="W23" s="95"/>
      <c r="X23" s="95"/>
      <c r="Y23" s="95"/>
      <c r="AD23" s="95"/>
      <c r="AF23" s="95"/>
      <c r="AG23" s="95"/>
      <c r="AH23" s="95"/>
      <c r="AI23" s="95"/>
      <c r="AJ23" s="95"/>
      <c r="AK23" s="95"/>
      <c r="AL23" s="95"/>
      <c r="AM23" s="95"/>
      <c r="AN23" s="95"/>
    </row>
    <row r="24" spans="1:51" ht="13.5" thickBot="1" x14ac:dyDescent="0.25">
      <c r="A24" s="95" t="s">
        <v>299</v>
      </c>
      <c r="B24" s="95"/>
      <c r="C24" s="91"/>
      <c r="D24" s="91"/>
      <c r="E24" s="91"/>
      <c r="F24" s="95"/>
      <c r="G24" s="899"/>
      <c r="H24" s="95"/>
      <c r="M24" s="95"/>
      <c r="R24" s="95"/>
      <c r="T24" s="95"/>
      <c r="U24" s="95"/>
      <c r="V24" s="95"/>
      <c r="W24" s="95"/>
      <c r="X24" s="95"/>
      <c r="Y24" s="95"/>
      <c r="AD24" s="95"/>
      <c r="AF24" s="95"/>
      <c r="AG24" s="95"/>
      <c r="AH24" s="95"/>
      <c r="AI24" s="95"/>
      <c r="AJ24" s="95"/>
      <c r="AK24" s="95"/>
      <c r="AL24" s="95"/>
      <c r="AM24" s="95"/>
      <c r="AN24" s="95"/>
      <c r="AO24" s="95"/>
      <c r="AP24" s="95"/>
      <c r="AQ24" s="95"/>
      <c r="AU24" s="98"/>
      <c r="AV24" s="98"/>
      <c r="AW24" s="98"/>
      <c r="AX24" s="98"/>
      <c r="AY24" s="98"/>
    </row>
    <row r="25" spans="1:51" x14ac:dyDescent="0.2">
      <c r="A25" s="450"/>
      <c r="B25" s="451"/>
      <c r="C25" s="452"/>
      <c r="D25" s="453"/>
      <c r="E25" s="454"/>
      <c r="F25" s="866" t="s">
        <v>301</v>
      </c>
      <c r="G25" s="455" t="s">
        <v>1541</v>
      </c>
      <c r="H25" s="455" t="s">
        <v>1541</v>
      </c>
      <c r="I25" s="455" t="s">
        <v>267</v>
      </c>
      <c r="J25" s="462" t="s">
        <v>1071</v>
      </c>
      <c r="K25" s="1787" t="s">
        <v>1118</v>
      </c>
      <c r="L25" s="1788"/>
      <c r="M25" s="1784" t="s">
        <v>305</v>
      </c>
      <c r="N25" s="1785"/>
      <c r="O25" s="1785"/>
      <c r="P25" s="1785"/>
      <c r="Q25" s="1785"/>
      <c r="R25" s="1785"/>
      <c r="S25" s="1785"/>
      <c r="T25" s="1785"/>
      <c r="U25" s="1785"/>
      <c r="V25" s="1785"/>
      <c r="W25" s="1786"/>
      <c r="X25" s="1784" t="s">
        <v>292</v>
      </c>
      <c r="Y25" s="1785"/>
      <c r="Z25" s="1785"/>
      <c r="AA25" s="1785"/>
      <c r="AB25" s="1785"/>
      <c r="AC25" s="1785"/>
      <c r="AD25" s="1785"/>
      <c r="AE25" s="1785"/>
      <c r="AF25" s="1785"/>
      <c r="AG25" s="1785"/>
      <c r="AH25" s="1785"/>
      <c r="AI25" s="1786"/>
      <c r="AJ25" s="1784" t="s">
        <v>293</v>
      </c>
      <c r="AK25" s="1785"/>
      <c r="AL25" s="1785"/>
      <c r="AM25" s="1785"/>
      <c r="AN25" s="1785"/>
      <c r="AO25" s="1785"/>
      <c r="AP25" s="1785"/>
      <c r="AQ25" s="1785"/>
      <c r="AR25" s="1786"/>
      <c r="AS25" s="1534" t="s">
        <v>307</v>
      </c>
      <c r="AT25" s="1534"/>
      <c r="AU25" s="95"/>
      <c r="AV25" s="95"/>
    </row>
    <row r="26" spans="1:51" x14ac:dyDescent="0.2">
      <c r="A26" s="456" t="s">
        <v>294</v>
      </c>
      <c r="B26" s="449" t="s">
        <v>11</v>
      </c>
      <c r="C26" s="363" t="s">
        <v>295</v>
      </c>
      <c r="D26" s="1782" t="s">
        <v>296</v>
      </c>
      <c r="E26" s="1783"/>
      <c r="F26" s="867" t="s">
        <v>297</v>
      </c>
      <c r="G26" s="903"/>
      <c r="H26" s="448" t="s">
        <v>1571</v>
      </c>
      <c r="I26" s="363" t="s">
        <v>270</v>
      </c>
      <c r="J26" s="441" t="s">
        <v>270</v>
      </c>
      <c r="K26" s="437"/>
      <c r="L26" s="833"/>
      <c r="M26" s="1689" t="s">
        <v>302</v>
      </c>
      <c r="N26" s="1699"/>
      <c r="O26" s="1699"/>
      <c r="P26" s="1699"/>
      <c r="Q26" s="1699"/>
      <c r="R26" s="438" t="s">
        <v>303</v>
      </c>
      <c r="S26" s="908"/>
      <c r="T26" s="439"/>
      <c r="U26" s="439"/>
      <c r="V26" s="1605" t="s">
        <v>298</v>
      </c>
      <c r="W26" s="1606"/>
      <c r="X26" s="1689" t="s">
        <v>302</v>
      </c>
      <c r="Y26" s="1699"/>
      <c r="Z26" s="1699"/>
      <c r="AA26" s="1699"/>
      <c r="AB26" s="1699"/>
      <c r="AC26" s="1699"/>
      <c r="AD26" s="439" t="s">
        <v>304</v>
      </c>
      <c r="AE26" s="908"/>
      <c r="AF26" s="439"/>
      <c r="AG26" s="439"/>
      <c r="AH26" s="1605" t="s">
        <v>298</v>
      </c>
      <c r="AI26" s="1606"/>
      <c r="AJ26" s="1689" t="s">
        <v>302</v>
      </c>
      <c r="AK26" s="1699"/>
      <c r="AL26" s="439" t="s">
        <v>306</v>
      </c>
      <c r="AM26" s="439"/>
      <c r="AN26" s="439"/>
      <c r="AO26" s="1605" t="s">
        <v>298</v>
      </c>
      <c r="AP26" s="1605"/>
      <c r="AQ26" s="1605"/>
      <c r="AR26" s="1606"/>
      <c r="AS26" s="1534" t="s">
        <v>172</v>
      </c>
      <c r="AT26" s="1534"/>
    </row>
    <row r="27" spans="1:51" x14ac:dyDescent="0.2">
      <c r="A27" s="456"/>
      <c r="B27" s="363"/>
      <c r="C27" s="363"/>
      <c r="D27" s="440" t="s">
        <v>11</v>
      </c>
      <c r="E27" s="443" t="s">
        <v>294</v>
      </c>
      <c r="F27" s="867"/>
      <c r="G27" s="903"/>
      <c r="H27" s="448"/>
      <c r="I27" s="448"/>
      <c r="J27" s="441"/>
      <c r="K27" s="440" t="s">
        <v>141</v>
      </c>
      <c r="L27" s="443" t="s">
        <v>294</v>
      </c>
      <c r="M27" s="440" t="s">
        <v>141</v>
      </c>
      <c r="N27" s="444" t="s">
        <v>294</v>
      </c>
      <c r="O27" s="444" t="s">
        <v>133</v>
      </c>
      <c r="P27" s="444" t="s">
        <v>141</v>
      </c>
      <c r="Q27" s="444" t="s">
        <v>309</v>
      </c>
      <c r="R27" s="444" t="s">
        <v>141</v>
      </c>
      <c r="S27" s="444" t="s">
        <v>1575</v>
      </c>
      <c r="T27" s="444" t="s">
        <v>294</v>
      </c>
      <c r="U27" s="444" t="s">
        <v>133</v>
      </c>
      <c r="V27" s="444" t="s">
        <v>141</v>
      </c>
      <c r="W27" s="443" t="s">
        <v>294</v>
      </c>
      <c r="X27" s="440" t="s">
        <v>141</v>
      </c>
      <c r="Y27" s="444" t="s">
        <v>141</v>
      </c>
      <c r="Z27" s="444" t="s">
        <v>294</v>
      </c>
      <c r="AA27" s="444" t="s">
        <v>133</v>
      </c>
      <c r="AB27" s="444" t="s">
        <v>141</v>
      </c>
      <c r="AC27" s="444" t="s">
        <v>309</v>
      </c>
      <c r="AD27" s="444" t="s">
        <v>141</v>
      </c>
      <c r="AE27" s="444" t="s">
        <v>1575</v>
      </c>
      <c r="AF27" s="444" t="s">
        <v>294</v>
      </c>
      <c r="AG27" s="444" t="s">
        <v>133</v>
      </c>
      <c r="AH27" s="444" t="s">
        <v>141</v>
      </c>
      <c r="AI27" s="443" t="s">
        <v>294</v>
      </c>
      <c r="AJ27" s="440" t="s">
        <v>141</v>
      </c>
      <c r="AK27" s="444" t="s">
        <v>141</v>
      </c>
      <c r="AL27" s="444" t="s">
        <v>141</v>
      </c>
      <c r="AM27" s="444" t="s">
        <v>294</v>
      </c>
      <c r="AN27" s="444" t="s">
        <v>133</v>
      </c>
      <c r="AO27" s="444" t="s">
        <v>141</v>
      </c>
      <c r="AP27" s="442" t="s">
        <v>294</v>
      </c>
      <c r="AQ27" s="444" t="s">
        <v>141</v>
      </c>
      <c r="AR27" s="122" t="s">
        <v>294</v>
      </c>
      <c r="AS27" s="42" t="s">
        <v>141</v>
      </c>
      <c r="AT27" s="42" t="s">
        <v>309</v>
      </c>
      <c r="AU27" s="133" t="s">
        <v>312</v>
      </c>
    </row>
    <row r="28" spans="1:51" ht="13.5" thickBot="1" x14ac:dyDescent="0.25">
      <c r="A28" s="457"/>
      <c r="B28" s="458"/>
      <c r="C28" s="458"/>
      <c r="D28" s="459" t="s">
        <v>144</v>
      </c>
      <c r="E28" s="460" t="s">
        <v>144</v>
      </c>
      <c r="F28" s="868" t="s">
        <v>1</v>
      </c>
      <c r="G28" s="461" t="s">
        <v>1</v>
      </c>
      <c r="H28" s="461" t="s">
        <v>1</v>
      </c>
      <c r="I28" s="461" t="s">
        <v>1</v>
      </c>
      <c r="J28" s="463" t="s">
        <v>1</v>
      </c>
      <c r="K28" s="110" t="s">
        <v>144</v>
      </c>
      <c r="L28" s="71" t="s">
        <v>144</v>
      </c>
      <c r="M28" s="110" t="s">
        <v>144</v>
      </c>
      <c r="N28" s="45" t="s">
        <v>144</v>
      </c>
      <c r="O28" s="45" t="s">
        <v>144</v>
      </c>
      <c r="P28" s="45" t="s">
        <v>144</v>
      </c>
      <c r="Q28" s="45" t="s">
        <v>144</v>
      </c>
      <c r="R28" s="45" t="s">
        <v>144</v>
      </c>
      <c r="S28" s="45" t="s">
        <v>1574</v>
      </c>
      <c r="T28" s="45" t="s">
        <v>144</v>
      </c>
      <c r="U28" s="45" t="s">
        <v>144</v>
      </c>
      <c r="V28" s="45" t="s">
        <v>144</v>
      </c>
      <c r="W28" s="71" t="s">
        <v>144</v>
      </c>
      <c r="X28" s="110" t="s">
        <v>61</v>
      </c>
      <c r="Y28" s="45" t="s">
        <v>144</v>
      </c>
      <c r="Z28" s="45" t="s">
        <v>144</v>
      </c>
      <c r="AA28" s="45" t="s">
        <v>144</v>
      </c>
      <c r="AB28" s="45" t="s">
        <v>144</v>
      </c>
      <c r="AC28" s="45" t="s">
        <v>144</v>
      </c>
      <c r="AD28" s="45" t="s">
        <v>144</v>
      </c>
      <c r="AE28" s="45" t="s">
        <v>1574</v>
      </c>
      <c r="AF28" s="45"/>
      <c r="AG28" s="45"/>
      <c r="AH28" s="45"/>
      <c r="AI28" s="71"/>
      <c r="AJ28" s="110" t="s">
        <v>61</v>
      </c>
      <c r="AK28" s="45" t="s">
        <v>144</v>
      </c>
      <c r="AL28" s="45" t="s">
        <v>144</v>
      </c>
      <c r="AM28" s="45"/>
      <c r="AN28" s="45"/>
      <c r="AO28" s="464" t="s">
        <v>1545</v>
      </c>
      <c r="AP28" s="464" t="s">
        <v>1545</v>
      </c>
      <c r="AQ28" s="45" t="s">
        <v>308</v>
      </c>
      <c r="AR28" s="465" t="s">
        <v>308</v>
      </c>
      <c r="AS28"/>
      <c r="AT28"/>
    </row>
    <row r="29" spans="1:51" x14ac:dyDescent="0.2">
      <c r="A29" s="447" t="str">
        <f>IF('Flächen u. Kulturen'!E10="x",IF(AND('#Kürzungen'!$F$2=2,'#BerechnungDBE'!R5=1,'Flächen u. Kulturen'!D10&lt;&gt;""),'Flächen u. Kulturen'!A10,IF(AND('#BerechnungDBE'!S5=1,'Flächen u. Kulturen'!D10&lt;&gt;""),'Flächen u. Kulturen'!A10," "))," ")</f>
        <v xml:space="preserve"> </v>
      </c>
      <c r="B29" s="436" t="str">
        <f>'Flächen u. Kulturen'!D10</f>
        <v/>
      </c>
      <c r="C29" s="42" t="str">
        <f>IF(A29=" "," ",'#BerechnungDBE'!AA5)</f>
        <v xml:space="preserve"> </v>
      </c>
      <c r="D29" s="42" t="str">
        <f>IF(A29=" "," ",'#BerechnungDBE'!BA5)</f>
        <v xml:space="preserve"> </v>
      </c>
      <c r="E29" s="42" t="str">
        <f t="shared" ref="E29:E34" si="0">IF(A29=" "," ",D29*B29)</f>
        <v xml:space="preserve"> </v>
      </c>
      <c r="F29" s="869"/>
      <c r="G29" s="42" t="str">
        <f>IF(A29=" ","",'#BerechnungDBE'!BA5+'#BerechnungDBE'!BF5)</f>
        <v/>
      </c>
      <c r="H29" s="444" t="str">
        <f>IF(A29=" ","",MAX(0,G29))</f>
        <v/>
      </c>
      <c r="I29" s="444">
        <f>'#minDung'!P11</f>
        <v>0</v>
      </c>
      <c r="J29" s="430" t="str">
        <f>IF(A29=" "," ",MAX(0,H29-I29))</f>
        <v xml:space="preserve"> </v>
      </c>
      <c r="K29" s="435">
        <f>IF(A29=" ",0,'Flächen u. Kulturen'!V10)</f>
        <v>0</v>
      </c>
      <c r="L29" s="873" t="str">
        <f t="shared" ref="L29:L60" si="1">IF(B29="","",K29*B29)</f>
        <v/>
      </c>
      <c r="M29" s="84" t="str">
        <f>IF($A29=" "," ",IF(C29=1,$C$11,IF(C29=2,$C$12,IF(C29=3,$C$13,IF(C29=4,$C$14,$C$15)))))</f>
        <v xml:space="preserve"> </v>
      </c>
      <c r="N29" s="444" t="str">
        <f>IF(A29=" "," ",M29*B29)</f>
        <v xml:space="preserve"> </v>
      </c>
      <c r="O29" s="911" t="str">
        <f>IF(A29=" "," ",$O$231)</f>
        <v xml:space="preserve"> </v>
      </c>
      <c r="P29" s="912" t="str">
        <f>IF(A29=" "," ",M29*O29)</f>
        <v xml:space="preserve"> </v>
      </c>
      <c r="Q29" s="912" t="str">
        <f>IF($A29=" "," ",P29*$B29)</f>
        <v xml:space="preserve"> </v>
      </c>
      <c r="R29" s="44" t="str">
        <f t="shared" ref="R29:R60" si="2">IF(A29=" ","",IF(M29&lt;J29-K29,M29,J29-K29))</f>
        <v/>
      </c>
      <c r="S29" s="444" t="str">
        <f>IF($A29=" ","",IF(R29&lt;P29,R29*$B29,""))</f>
        <v/>
      </c>
      <c r="T29" s="44" t="str">
        <f t="shared" ref="T29:T60" si="3">IF(A29=" "," ",R29*B29)</f>
        <v xml:space="preserve"> </v>
      </c>
      <c r="U29" s="119" t="str">
        <f>IF($A29=" "," ",IF(S29="",$U$231,1))</f>
        <v xml:space="preserve"> </v>
      </c>
      <c r="V29" s="44" t="str">
        <f>IF($A29=" "," ",IF($S$231=0,P29,R29*U29))</f>
        <v xml:space="preserve"> </v>
      </c>
      <c r="W29" s="89" t="str">
        <f>+IF($A29=" "," ",IF($S$231=0,Q29,U29*T29))</f>
        <v xml:space="preserve"> </v>
      </c>
      <c r="X29" s="84" t="str">
        <f>IF(A29=" "," ",IF($F$2=2,100,IF(C29=1,$G$11,IF(C29=2,$G$12,IF(C29=3,$G$13,IF(C29=4,$G$14,$G$15))))))</f>
        <v xml:space="preserve"> </v>
      </c>
      <c r="Y29" s="44" t="str">
        <f t="shared" ref="Y29:Y60" si="4">+IF(A29=" "," ",X29*D29/100)</f>
        <v xml:space="preserve"> </v>
      </c>
      <c r="Z29" s="444" t="str">
        <f>IF(A29=" "," ",Y29*B29)</f>
        <v xml:space="preserve"> </v>
      </c>
      <c r="AA29" s="444" t="str">
        <f>IF(A29=" "," ",$AA$231)</f>
        <v xml:space="preserve"> </v>
      </c>
      <c r="AB29" s="912" t="str">
        <f>IF($A29=" "," ",Y29*AA29)</f>
        <v xml:space="preserve"> </v>
      </c>
      <c r="AC29" s="912" t="str">
        <f>IF($A29=" "," ",AB29*$B29)</f>
        <v xml:space="preserve"> </v>
      </c>
      <c r="AD29" s="44" t="str">
        <f>IF(A29=" "," ",IF(J29-K29-V29&gt;Y29,Y29,J29-K29-V29))</f>
        <v xml:space="preserve"> </v>
      </c>
      <c r="AE29" s="444" t="str">
        <f>IF($A29=" ","",IF(AD29&lt;AB29,AD29*$B29,""))</f>
        <v/>
      </c>
      <c r="AF29" s="44" t="str">
        <f>IF(A29=" "," ",AD29*B29)</f>
        <v xml:space="preserve"> </v>
      </c>
      <c r="AG29" s="119" t="str">
        <f>IF($A29=" "," ",IF(AE29="",$AG$231,1))</f>
        <v xml:space="preserve"> </v>
      </c>
      <c r="AH29" s="444" t="str">
        <f>IF($A29=" "," ",IF($AE$231=0,AB29,AD29*AG29))</f>
        <v xml:space="preserve"> </v>
      </c>
      <c r="AI29" s="909" t="str">
        <f>+IF($A29=" "," ",IF($AE$231=0,AC29,AG29*AF29))</f>
        <v xml:space="preserve"> </v>
      </c>
      <c r="AJ29" s="84" t="str">
        <f>+X29</f>
        <v xml:space="preserve"> </v>
      </c>
      <c r="AK29" s="44" t="str">
        <f t="shared" ref="AK29:AK60" si="5">IF(A29=" "," ",AJ29*D29/100)</f>
        <v xml:space="preserve"> </v>
      </c>
      <c r="AL29" s="44" t="str">
        <f t="shared" ref="AL29:AL60" si="6">IF(A29=" "," ",AK29-AH29)</f>
        <v xml:space="preserve"> </v>
      </c>
      <c r="AM29" s="44" t="str">
        <f t="shared" ref="AM29:AM60" si="7">IF(A29=" "," ",AL29*B29)</f>
        <v xml:space="preserve"> </v>
      </c>
      <c r="AN29" s="119" t="str">
        <f t="shared" ref="AN29:AN60" si="8">IF(A29=" "," ",$AN$231)</f>
        <v xml:space="preserve"> </v>
      </c>
      <c r="AO29" s="44" t="str">
        <f t="shared" ref="AO29:AO60" si="9">IF(A29=" "," ",AN29*AL29)</f>
        <v xml:space="preserve"> </v>
      </c>
      <c r="AP29" s="117" t="str">
        <f t="shared" ref="AP29:AP60" si="10">IF(A29=" "," ",AM29*AN29)</f>
        <v xml:space="preserve"> </v>
      </c>
      <c r="AQ29" s="123" t="str">
        <f>IF(A29=" "," ",IF('#orgDung'!AB14=0,0,AO29/'#orgDung'!AB14))</f>
        <v xml:space="preserve"> </v>
      </c>
      <c r="AR29" s="47" t="str">
        <f>IF(A29=" "," ",IF('#orgDung'!AB14=0,0,AP29/'#orgDung'!AB14))</f>
        <v xml:space="preserve"> </v>
      </c>
      <c r="AS29" s="602">
        <f>IF(OR(B29=0,B29=""),0,MAX('Flächen u. Kulturen'!V10,AT29/B29))</f>
        <v>0</v>
      </c>
      <c r="AT29" s="98">
        <f>IF(A29=" ",0,IF($F$2=3,E29*0.2,SUM(AI29,W29,L29)))</f>
        <v>0</v>
      </c>
      <c r="AU29" s="120" t="str">
        <f t="shared" ref="AU29:AU60" si="11">IF(A29=" "," ",AS29+AO29)</f>
        <v xml:space="preserve"> </v>
      </c>
    </row>
    <row r="30" spans="1:51" x14ac:dyDescent="0.2">
      <c r="A30" s="447" t="str">
        <f>IF('Flächen u. Kulturen'!E11="x",IF(AND('#Kürzungen'!$F$2=2,'#BerechnungDBE'!R6=1,'Flächen u. Kulturen'!D11&lt;&gt;""),'Flächen u. Kulturen'!A11,IF(AND('#BerechnungDBE'!S6=1,'Flächen u. Kulturen'!D11&lt;&gt;""),'Flächen u. Kulturen'!A11," "))," ")</f>
        <v xml:space="preserve"> </v>
      </c>
      <c r="B30" s="505" t="str">
        <f>'Flächen u. Kulturen'!D11</f>
        <v/>
      </c>
      <c r="C30" s="42" t="str">
        <f>IF(A30=" "," ",'#BerechnungDBE'!AA6)</f>
        <v xml:space="preserve"> </v>
      </c>
      <c r="D30" s="42" t="str">
        <f>IF(A30=" "," ",'#BerechnungDBE'!BA6)</f>
        <v xml:space="preserve"> </v>
      </c>
      <c r="E30" s="42" t="str">
        <f t="shared" si="0"/>
        <v xml:space="preserve"> </v>
      </c>
      <c r="F30" s="869"/>
      <c r="G30" s="42" t="str">
        <f>IF(A30=" ","",'#BerechnungDBE'!BA6+'#BerechnungDBE'!BF6)</f>
        <v/>
      </c>
      <c r="H30" s="444" t="str">
        <f t="shared" ref="H30:H93" si="12">IF(A30=" ","",MAX(0,G30))</f>
        <v/>
      </c>
      <c r="I30" s="444">
        <f>'#minDung'!P12</f>
        <v>0</v>
      </c>
      <c r="J30" s="430" t="str">
        <f>IF(A30=" "," ",MAX(0,H30-I30))</f>
        <v xml:space="preserve"> </v>
      </c>
      <c r="K30" s="913">
        <f>IF(A30=" ",0,'Flächen u. Kulturen'!V11)</f>
        <v>0</v>
      </c>
      <c r="L30" s="873" t="str">
        <f t="shared" si="1"/>
        <v/>
      </c>
      <c r="M30" s="491" t="str">
        <f t="shared" ref="M30:M60" si="13">IF($A30=" "," ",IF(C30=1,$C$11,IF(C30=2,$C$12,IF(C30=3,$C$13,IF(C30=4,$C$14,$C$15)))))</f>
        <v xml:space="preserve"> </v>
      </c>
      <c r="N30" s="444" t="str">
        <f t="shared" ref="N30:N93" si="14">IF(A30=" "," ",M30*B30)</f>
        <v xml:space="preserve"> </v>
      </c>
      <c r="O30" s="911" t="str">
        <f t="shared" ref="O30:O93" si="15">IF(A30=" "," ",$O$231)</f>
        <v xml:space="preserve"> </v>
      </c>
      <c r="P30" s="912" t="str">
        <f t="shared" ref="P30:P93" si="16">IF(A30=" "," ",M30*O30)</f>
        <v xml:space="preserve"> </v>
      </c>
      <c r="Q30" s="912" t="str">
        <f t="shared" ref="Q30:Q93" si="17">IF(A30=" "," ",P30*B30)</f>
        <v xml:space="preserve"> </v>
      </c>
      <c r="R30" s="444" t="str">
        <f t="shared" si="2"/>
        <v/>
      </c>
      <c r="S30" s="444" t="str">
        <f t="shared" ref="S30:S93" si="18">IF($A30=" ","",IF(R30&lt;P30,R30*$B30,""))</f>
        <v/>
      </c>
      <c r="T30" s="444" t="str">
        <f t="shared" si="3"/>
        <v xml:space="preserve"> </v>
      </c>
      <c r="U30" s="119" t="str">
        <f t="shared" ref="U30:U93" si="19">IF($A30=" "," ",IF(S30="",$U$231,1))</f>
        <v xml:space="preserve"> </v>
      </c>
      <c r="V30" s="444" t="str">
        <f>IF(A30=" "," ",IF($S$231=0,P30,R30*U30))</f>
        <v xml:space="preserve"> </v>
      </c>
      <c r="W30" s="909" t="str">
        <f t="shared" ref="W30:W93" si="20">+IF(A30=" "," ",IF($S$231=0,Q30,U30*T30))</f>
        <v xml:space="preserve"> </v>
      </c>
      <c r="X30" s="924" t="str">
        <f t="shared" ref="X30:X93" si="21">IF(A30=" "," ",IF($F$2=2,100,IF(C30=1,$G$11,IF(C30=2,$G$12,IF(C30=3,$G$13,IF(C30=4,$G$14,$G$15))))))</f>
        <v xml:space="preserve"> </v>
      </c>
      <c r="Y30" s="444" t="str">
        <f t="shared" si="4"/>
        <v xml:space="preserve"> </v>
      </c>
      <c r="Z30" s="444" t="str">
        <f t="shared" ref="Z30:Z93" si="22">IF(A30=" "," ",Y30*B30)</f>
        <v xml:space="preserve"> </v>
      </c>
      <c r="AA30" s="444" t="str">
        <f t="shared" ref="AA30:AA93" si="23">IF(A30=" "," ",$AA$231)</f>
        <v xml:space="preserve"> </v>
      </c>
      <c r="AB30" s="912" t="str">
        <f t="shared" ref="AB30:AB93" si="24">IF($A30=" "," ",Y30*AA30)</f>
        <v xml:space="preserve"> </v>
      </c>
      <c r="AC30" s="912" t="str">
        <f t="shared" ref="AC30:AC93" si="25">IF($A30=" "," ",AB30*$B30)</f>
        <v xml:space="preserve"> </v>
      </c>
      <c r="AD30" s="444" t="str">
        <f t="shared" ref="AD30:AD93" si="26">IF(A30=" "," ",IF(J30-K30-V30&gt;Y30,Y30,J30-K30-V30))</f>
        <v xml:space="preserve"> </v>
      </c>
      <c r="AE30" s="444" t="str">
        <f t="shared" ref="AE30:AE93" si="27">IF($A30=" ","",IF(AD30&lt;AB30,AD30*$B30,""))</f>
        <v/>
      </c>
      <c r="AF30" s="444" t="str">
        <f t="shared" ref="AF30:AF60" si="28">IF(A30=" "," ",AD30*B30)</f>
        <v xml:space="preserve"> </v>
      </c>
      <c r="AG30" s="119" t="str">
        <f t="shared" ref="AG30:AG93" si="29">IF($A30=" "," ",IF(AE30="",$AG$231,1))</f>
        <v xml:space="preserve"> </v>
      </c>
      <c r="AH30" s="444" t="str">
        <f t="shared" ref="AH30:AH93" si="30">IF($A30=" "," ",IF($AE$231=0,AB30,AD30*AG30))</f>
        <v xml:space="preserve"> </v>
      </c>
      <c r="AI30" s="909" t="str">
        <f t="shared" ref="AI30:AI93" si="31">+IF($A30=" "," ",IF($AE$231=0,AC30,AG30*AF30))</f>
        <v xml:space="preserve"> </v>
      </c>
      <c r="AJ30" s="491" t="str">
        <f>+X30</f>
        <v xml:space="preserve"> </v>
      </c>
      <c r="AK30" s="444" t="str">
        <f t="shared" si="5"/>
        <v xml:space="preserve"> </v>
      </c>
      <c r="AL30" s="444" t="str">
        <f t="shared" si="6"/>
        <v xml:space="preserve"> </v>
      </c>
      <c r="AM30" s="444" t="str">
        <f t="shared" si="7"/>
        <v xml:space="preserve"> </v>
      </c>
      <c r="AN30" s="119" t="str">
        <f t="shared" si="8"/>
        <v xml:space="preserve"> </v>
      </c>
      <c r="AO30" s="444" t="str">
        <f t="shared" si="9"/>
        <v xml:space="preserve"> </v>
      </c>
      <c r="AP30" s="444" t="str">
        <f t="shared" si="10"/>
        <v xml:space="preserve"> </v>
      </c>
      <c r="AQ30" s="123" t="str">
        <f>IF(A30=" "," ",IF('#orgDung'!AB15=0,0,AO30/'#orgDung'!AB15))</f>
        <v xml:space="preserve"> </v>
      </c>
      <c r="AR30" s="47" t="str">
        <f>IF(A30=" "," ",IF('#orgDung'!AB15=0,0,AP30/'#orgDung'!AB15))</f>
        <v xml:space="preserve"> </v>
      </c>
      <c r="AS30" s="890">
        <f>IF(OR(B30=0,B30=""),0,MAX('Flächen u. Kulturen'!V11,AT30/B30))</f>
        <v>0</v>
      </c>
      <c r="AT30" s="875">
        <f t="shared" ref="AT30:AT60" si="32">IF(A30=" ",0,IF($F$2=3,E30*0.2,SUM(AI30,W30,L30)))</f>
        <v>0</v>
      </c>
      <c r="AU30" s="120" t="str">
        <f t="shared" si="11"/>
        <v xml:space="preserve"> </v>
      </c>
      <c r="AY30" s="98"/>
    </row>
    <row r="31" spans="1:51" x14ac:dyDescent="0.2">
      <c r="A31" s="447" t="str">
        <f>IF('Flächen u. Kulturen'!E12="x",IF(AND('#Kürzungen'!$F$2=2,'#BerechnungDBE'!R7=1,'Flächen u. Kulturen'!D12&lt;&gt;""),'Flächen u. Kulturen'!A12,IF(AND('#BerechnungDBE'!S7=1,'Flächen u. Kulturen'!D12&lt;&gt;""),'Flächen u. Kulturen'!A12," "))," ")</f>
        <v xml:space="preserve"> </v>
      </c>
      <c r="B31" s="505" t="str">
        <f>'Flächen u. Kulturen'!D12</f>
        <v/>
      </c>
      <c r="C31" s="42" t="str">
        <f>IF(A31=" "," ",'#BerechnungDBE'!AA7)</f>
        <v xml:space="preserve"> </v>
      </c>
      <c r="D31" s="42" t="str">
        <f>IF(A31=" "," ",'#BerechnungDBE'!BA7)</f>
        <v xml:space="preserve"> </v>
      </c>
      <c r="E31" s="42" t="str">
        <f t="shared" si="0"/>
        <v xml:space="preserve"> </v>
      </c>
      <c r="F31" s="869"/>
      <c r="G31" s="42" t="str">
        <f>IF(A31=" ","",'#BerechnungDBE'!BA7+'#BerechnungDBE'!BF7)</f>
        <v/>
      </c>
      <c r="H31" s="444" t="str">
        <f t="shared" si="12"/>
        <v/>
      </c>
      <c r="I31" s="444">
        <f>'#minDung'!P13</f>
        <v>0</v>
      </c>
      <c r="J31" s="430" t="str">
        <f>IF(A31=" "," ",MAX(0,H31-I31))</f>
        <v xml:space="preserve"> </v>
      </c>
      <c r="K31" s="913">
        <f>IF(A31=" ",0,'Flächen u. Kulturen'!V12)</f>
        <v>0</v>
      </c>
      <c r="L31" s="873" t="str">
        <f t="shared" si="1"/>
        <v/>
      </c>
      <c r="M31" s="491" t="str">
        <f t="shared" si="13"/>
        <v xml:space="preserve"> </v>
      </c>
      <c r="N31" s="444" t="str">
        <f t="shared" si="14"/>
        <v xml:space="preserve"> </v>
      </c>
      <c r="O31" s="911" t="str">
        <f t="shared" si="15"/>
        <v xml:space="preserve"> </v>
      </c>
      <c r="P31" s="912" t="str">
        <f t="shared" si="16"/>
        <v xml:space="preserve"> </v>
      </c>
      <c r="Q31" s="912" t="str">
        <f t="shared" si="17"/>
        <v xml:space="preserve"> </v>
      </c>
      <c r="R31" s="444" t="str">
        <f t="shared" si="2"/>
        <v/>
      </c>
      <c r="S31" s="444" t="str">
        <f t="shared" si="18"/>
        <v/>
      </c>
      <c r="T31" s="444" t="str">
        <f t="shared" si="3"/>
        <v xml:space="preserve"> </v>
      </c>
      <c r="U31" s="119" t="str">
        <f t="shared" si="19"/>
        <v xml:space="preserve"> </v>
      </c>
      <c r="V31" s="444" t="str">
        <f t="shared" ref="V31:V93" si="33">IF(A31=" "," ",IF($S$231=0,P31,R31*U31))</f>
        <v xml:space="preserve"> </v>
      </c>
      <c r="W31" s="909" t="str">
        <f t="shared" si="20"/>
        <v xml:space="preserve"> </v>
      </c>
      <c r="X31" s="924" t="str">
        <f t="shared" si="21"/>
        <v xml:space="preserve"> </v>
      </c>
      <c r="Y31" s="444" t="str">
        <f t="shared" si="4"/>
        <v xml:space="preserve"> </v>
      </c>
      <c r="Z31" s="444" t="str">
        <f t="shared" si="22"/>
        <v xml:space="preserve"> </v>
      </c>
      <c r="AA31" s="444" t="str">
        <f t="shared" si="23"/>
        <v xml:space="preserve"> </v>
      </c>
      <c r="AB31" s="912" t="str">
        <f t="shared" si="24"/>
        <v xml:space="preserve"> </v>
      </c>
      <c r="AC31" s="912" t="str">
        <f t="shared" si="25"/>
        <v xml:space="preserve"> </v>
      </c>
      <c r="AD31" s="444" t="str">
        <f t="shared" si="26"/>
        <v xml:space="preserve"> </v>
      </c>
      <c r="AE31" s="444" t="str">
        <f t="shared" si="27"/>
        <v/>
      </c>
      <c r="AF31" s="444" t="str">
        <f t="shared" si="28"/>
        <v xml:space="preserve"> </v>
      </c>
      <c r="AG31" s="119" t="str">
        <f t="shared" si="29"/>
        <v xml:space="preserve"> </v>
      </c>
      <c r="AH31" s="444" t="str">
        <f t="shared" si="30"/>
        <v xml:space="preserve"> </v>
      </c>
      <c r="AI31" s="909" t="str">
        <f t="shared" si="31"/>
        <v xml:space="preserve"> </v>
      </c>
      <c r="AJ31" s="491" t="str">
        <f>+X31</f>
        <v xml:space="preserve"> </v>
      </c>
      <c r="AK31" s="444" t="str">
        <f t="shared" si="5"/>
        <v xml:space="preserve"> </v>
      </c>
      <c r="AL31" s="444" t="str">
        <f t="shared" si="6"/>
        <v xml:space="preserve"> </v>
      </c>
      <c r="AM31" s="444" t="str">
        <f t="shared" si="7"/>
        <v xml:space="preserve"> </v>
      </c>
      <c r="AN31" s="119" t="str">
        <f t="shared" si="8"/>
        <v xml:space="preserve"> </v>
      </c>
      <c r="AO31" s="444" t="str">
        <f t="shared" si="9"/>
        <v xml:space="preserve"> </v>
      </c>
      <c r="AP31" s="444" t="str">
        <f t="shared" si="10"/>
        <v xml:space="preserve"> </v>
      </c>
      <c r="AQ31" s="123" t="str">
        <f>IF(A31=" "," ",IF('#orgDung'!AB16=0,0,AO31/'#orgDung'!AB16))</f>
        <v xml:space="preserve"> </v>
      </c>
      <c r="AR31" s="47" t="str">
        <f>IF(A31=" "," ",IF('#orgDung'!AB16=0,0,AP31/'#orgDung'!AB16))</f>
        <v xml:space="preserve"> </v>
      </c>
      <c r="AS31" s="890">
        <f>IF(OR(B31=0,B31=""),0,MAX('Flächen u. Kulturen'!V12,AT31/B31))</f>
        <v>0</v>
      </c>
      <c r="AT31" s="875">
        <f t="shared" si="32"/>
        <v>0</v>
      </c>
      <c r="AU31" s="120" t="str">
        <f t="shared" si="11"/>
        <v xml:space="preserve"> </v>
      </c>
      <c r="AY31" s="98"/>
    </row>
    <row r="32" spans="1:51" x14ac:dyDescent="0.2">
      <c r="A32" s="447" t="str">
        <f>IF('Flächen u. Kulturen'!E13="x",IF(AND('#Kürzungen'!$F$2=2,'#BerechnungDBE'!R8=1,'Flächen u. Kulturen'!D13&lt;&gt;""),'Flächen u. Kulturen'!A13,IF(AND('#BerechnungDBE'!S8=1,'Flächen u. Kulturen'!D13&lt;&gt;""),'Flächen u. Kulturen'!A13," "))," ")</f>
        <v xml:space="preserve"> </v>
      </c>
      <c r="B32" s="505" t="str">
        <f>'Flächen u. Kulturen'!D13</f>
        <v/>
      </c>
      <c r="C32" s="42" t="str">
        <f>IF(A32=" "," ",'#BerechnungDBE'!AA8)</f>
        <v xml:space="preserve"> </v>
      </c>
      <c r="D32" s="42" t="str">
        <f>IF(A32=" "," ",'#BerechnungDBE'!BA8)</f>
        <v xml:space="preserve"> </v>
      </c>
      <c r="E32" s="42" t="str">
        <f t="shared" si="0"/>
        <v xml:space="preserve"> </v>
      </c>
      <c r="F32" s="869"/>
      <c r="G32" s="42" t="str">
        <f>IF(A32=" ","",'#BerechnungDBE'!BA8+'#BerechnungDBE'!BF8)</f>
        <v/>
      </c>
      <c r="H32" s="444" t="str">
        <f t="shared" si="12"/>
        <v/>
      </c>
      <c r="I32" s="444">
        <f>'#minDung'!P14</f>
        <v>0</v>
      </c>
      <c r="J32" s="430" t="str">
        <f>IF(A32=" "," ",MAX(0,H32-I32))</f>
        <v xml:space="preserve"> </v>
      </c>
      <c r="K32" s="913">
        <f>IF(A32=" ",0,'Flächen u. Kulturen'!V13)</f>
        <v>0</v>
      </c>
      <c r="L32" s="873" t="str">
        <f t="shared" si="1"/>
        <v/>
      </c>
      <c r="M32" s="491" t="str">
        <f t="shared" si="13"/>
        <v xml:space="preserve"> </v>
      </c>
      <c r="N32" s="444" t="str">
        <f t="shared" si="14"/>
        <v xml:space="preserve"> </v>
      </c>
      <c r="O32" s="911" t="str">
        <f t="shared" si="15"/>
        <v xml:space="preserve"> </v>
      </c>
      <c r="P32" s="912" t="str">
        <f t="shared" si="16"/>
        <v xml:space="preserve"> </v>
      </c>
      <c r="Q32" s="912" t="str">
        <f t="shared" si="17"/>
        <v xml:space="preserve"> </v>
      </c>
      <c r="R32" s="444" t="str">
        <f t="shared" si="2"/>
        <v/>
      </c>
      <c r="S32" s="444" t="str">
        <f t="shared" si="18"/>
        <v/>
      </c>
      <c r="T32" s="444" t="str">
        <f t="shared" si="3"/>
        <v xml:space="preserve"> </v>
      </c>
      <c r="U32" s="119" t="str">
        <f t="shared" si="19"/>
        <v xml:space="preserve"> </v>
      </c>
      <c r="V32" s="444" t="str">
        <f t="shared" si="33"/>
        <v xml:space="preserve"> </v>
      </c>
      <c r="W32" s="909" t="str">
        <f t="shared" si="20"/>
        <v xml:space="preserve"> </v>
      </c>
      <c r="X32" s="924" t="str">
        <f t="shared" si="21"/>
        <v xml:space="preserve"> </v>
      </c>
      <c r="Y32" s="444" t="str">
        <f t="shared" si="4"/>
        <v xml:space="preserve"> </v>
      </c>
      <c r="Z32" s="444" t="str">
        <f t="shared" si="22"/>
        <v xml:space="preserve"> </v>
      </c>
      <c r="AA32" s="444" t="str">
        <f t="shared" si="23"/>
        <v xml:space="preserve"> </v>
      </c>
      <c r="AB32" s="912" t="str">
        <f t="shared" si="24"/>
        <v xml:space="preserve"> </v>
      </c>
      <c r="AC32" s="912" t="str">
        <f t="shared" si="25"/>
        <v xml:space="preserve"> </v>
      </c>
      <c r="AD32" s="444" t="str">
        <f t="shared" si="26"/>
        <v xml:space="preserve"> </v>
      </c>
      <c r="AE32" s="444" t="str">
        <f t="shared" si="27"/>
        <v/>
      </c>
      <c r="AF32" s="444" t="str">
        <f t="shared" si="28"/>
        <v xml:space="preserve"> </v>
      </c>
      <c r="AG32" s="119" t="str">
        <f t="shared" si="29"/>
        <v xml:space="preserve"> </v>
      </c>
      <c r="AH32" s="444" t="str">
        <f t="shared" si="30"/>
        <v xml:space="preserve"> </v>
      </c>
      <c r="AI32" s="909" t="str">
        <f t="shared" si="31"/>
        <v xml:space="preserve"> </v>
      </c>
      <c r="AJ32" s="491" t="str">
        <f>+X32</f>
        <v xml:space="preserve"> </v>
      </c>
      <c r="AK32" s="444" t="str">
        <f t="shared" si="5"/>
        <v xml:space="preserve"> </v>
      </c>
      <c r="AL32" s="444" t="str">
        <f t="shared" si="6"/>
        <v xml:space="preserve"> </v>
      </c>
      <c r="AM32" s="444" t="str">
        <f t="shared" si="7"/>
        <v xml:space="preserve"> </v>
      </c>
      <c r="AN32" s="119" t="str">
        <f t="shared" si="8"/>
        <v xml:space="preserve"> </v>
      </c>
      <c r="AO32" s="444" t="str">
        <f t="shared" si="9"/>
        <v xml:space="preserve"> </v>
      </c>
      <c r="AP32" s="444" t="str">
        <f t="shared" si="10"/>
        <v xml:space="preserve"> </v>
      </c>
      <c r="AQ32" s="123" t="str">
        <f>IF(A32=" "," ",IF('#orgDung'!AB17=0,0,AO32/'#orgDung'!AB17))</f>
        <v xml:space="preserve"> </v>
      </c>
      <c r="AR32" s="47" t="str">
        <f>IF(A32=" "," ",IF('#orgDung'!AB17=0,0,AP32/'#orgDung'!AB17))</f>
        <v xml:space="preserve"> </v>
      </c>
      <c r="AS32" s="890">
        <f>IF(OR(B32=0,B32=""),0,MAX('Flächen u. Kulturen'!V13,AT32/B32))</f>
        <v>0</v>
      </c>
      <c r="AT32" s="875">
        <f t="shared" si="32"/>
        <v>0</v>
      </c>
      <c r="AU32" s="120" t="str">
        <f t="shared" si="11"/>
        <v xml:space="preserve"> </v>
      </c>
      <c r="AY32" s="98"/>
    </row>
    <row r="33" spans="1:47" s="294" customFormat="1" x14ac:dyDescent="0.2">
      <c r="A33" s="447" t="str">
        <f>IF('Flächen u. Kulturen'!E14="x",IF(AND('#Kürzungen'!$F$2=2,'#BerechnungDBE'!R9=1,'Flächen u. Kulturen'!D14&lt;&gt;""),'Flächen u. Kulturen'!A14,IF(AND('#BerechnungDBE'!S9=1,'Flächen u. Kulturen'!D14&lt;&gt;""),'Flächen u. Kulturen'!A14," "))," ")</f>
        <v xml:space="preserve"> </v>
      </c>
      <c r="B33" s="505" t="str">
        <f>'Flächen u. Kulturen'!D14</f>
        <v/>
      </c>
      <c r="C33" s="42" t="str">
        <f>IF(A33=" "," ",'#BerechnungDBE'!AA9)</f>
        <v xml:space="preserve"> </v>
      </c>
      <c r="D33" s="42" t="str">
        <f>IF(A33=" "," ",'#BerechnungDBE'!BA9)</f>
        <v xml:space="preserve"> </v>
      </c>
      <c r="E33" s="42" t="str">
        <f t="shared" si="0"/>
        <v xml:space="preserve"> </v>
      </c>
      <c r="F33" s="869"/>
      <c r="G33" s="42" t="str">
        <f>IF(A33=" ","",'#BerechnungDBE'!BA9+'#BerechnungDBE'!BF9)</f>
        <v/>
      </c>
      <c r="H33" s="444" t="str">
        <f t="shared" si="12"/>
        <v/>
      </c>
      <c r="I33" s="444">
        <f>'#minDung'!P15</f>
        <v>0</v>
      </c>
      <c r="J33" s="430" t="str">
        <f>IF(A33=" "," ",MAX(0,H33-I33))</f>
        <v xml:space="preserve"> </v>
      </c>
      <c r="K33" s="913">
        <f>IF(A33=" ",0,'Flächen u. Kulturen'!V14)</f>
        <v>0</v>
      </c>
      <c r="L33" s="873" t="str">
        <f t="shared" si="1"/>
        <v/>
      </c>
      <c r="M33" s="491" t="str">
        <f t="shared" si="13"/>
        <v xml:space="preserve"> </v>
      </c>
      <c r="N33" s="444" t="str">
        <f t="shared" si="14"/>
        <v xml:space="preserve"> </v>
      </c>
      <c r="O33" s="911" t="str">
        <f t="shared" si="15"/>
        <v xml:space="preserve"> </v>
      </c>
      <c r="P33" s="912" t="str">
        <f t="shared" si="16"/>
        <v xml:space="preserve"> </v>
      </c>
      <c r="Q33" s="912" t="str">
        <f t="shared" si="17"/>
        <v xml:space="preserve"> </v>
      </c>
      <c r="R33" s="444" t="str">
        <f t="shared" si="2"/>
        <v/>
      </c>
      <c r="S33" s="444" t="str">
        <f t="shared" si="18"/>
        <v/>
      </c>
      <c r="T33" s="444" t="str">
        <f t="shared" si="3"/>
        <v xml:space="preserve"> </v>
      </c>
      <c r="U33" s="119" t="str">
        <f t="shared" si="19"/>
        <v xml:space="preserve"> </v>
      </c>
      <c r="V33" s="444" t="str">
        <f t="shared" si="33"/>
        <v xml:space="preserve"> </v>
      </c>
      <c r="W33" s="909" t="str">
        <f t="shared" si="20"/>
        <v xml:space="preserve"> </v>
      </c>
      <c r="X33" s="924" t="str">
        <f t="shared" si="21"/>
        <v xml:space="preserve"> </v>
      </c>
      <c r="Y33" s="444" t="str">
        <f t="shared" si="4"/>
        <v xml:space="preserve"> </v>
      </c>
      <c r="Z33" s="444" t="str">
        <f t="shared" si="22"/>
        <v xml:space="preserve"> </v>
      </c>
      <c r="AA33" s="444" t="str">
        <f t="shared" si="23"/>
        <v xml:space="preserve"> </v>
      </c>
      <c r="AB33" s="912" t="str">
        <f t="shared" si="24"/>
        <v xml:space="preserve"> </v>
      </c>
      <c r="AC33" s="912" t="str">
        <f t="shared" si="25"/>
        <v xml:space="preserve"> </v>
      </c>
      <c r="AD33" s="444" t="str">
        <f t="shared" si="26"/>
        <v xml:space="preserve"> </v>
      </c>
      <c r="AE33" s="444" t="str">
        <f t="shared" si="27"/>
        <v/>
      </c>
      <c r="AF33" s="444" t="str">
        <f t="shared" si="28"/>
        <v xml:space="preserve"> </v>
      </c>
      <c r="AG33" s="119" t="str">
        <f t="shared" si="29"/>
        <v xml:space="preserve"> </v>
      </c>
      <c r="AH33" s="444" t="str">
        <f t="shared" si="30"/>
        <v xml:space="preserve"> </v>
      </c>
      <c r="AI33" s="909" t="str">
        <f t="shared" si="31"/>
        <v xml:space="preserve"> </v>
      </c>
      <c r="AJ33" s="491" t="str">
        <f>+X33</f>
        <v xml:space="preserve"> </v>
      </c>
      <c r="AK33" s="444" t="str">
        <f t="shared" si="5"/>
        <v xml:space="preserve"> </v>
      </c>
      <c r="AL33" s="444" t="str">
        <f t="shared" si="6"/>
        <v xml:space="preserve"> </v>
      </c>
      <c r="AM33" s="444" t="str">
        <f t="shared" si="7"/>
        <v xml:space="preserve"> </v>
      </c>
      <c r="AN33" s="119" t="str">
        <f t="shared" si="8"/>
        <v xml:space="preserve"> </v>
      </c>
      <c r="AO33" s="444" t="str">
        <f t="shared" si="9"/>
        <v xml:space="preserve"> </v>
      </c>
      <c r="AP33" s="444" t="str">
        <f t="shared" si="10"/>
        <v xml:space="preserve"> </v>
      </c>
      <c r="AQ33" s="123" t="str">
        <f>IF(A33=" "," ",IF('#orgDung'!AB18=0,0,AO33/'#orgDung'!AB18))</f>
        <v xml:space="preserve"> </v>
      </c>
      <c r="AR33" s="47" t="str">
        <f>IF(A33=" "," ",IF('#orgDung'!AB18=0,0,AP33/'#orgDung'!AB18))</f>
        <v xml:space="preserve"> </v>
      </c>
      <c r="AS33" s="890">
        <f>IF(OR(B33=0,B33=""),0,MAX('Flächen u. Kulturen'!V14,AT33/B33))</f>
        <v>0</v>
      </c>
      <c r="AT33" s="875">
        <f t="shared" si="32"/>
        <v>0</v>
      </c>
      <c r="AU33" s="120" t="str">
        <f t="shared" si="11"/>
        <v xml:space="preserve"> </v>
      </c>
    </row>
    <row r="34" spans="1:47" s="875" customFormat="1" x14ac:dyDescent="0.2">
      <c r="A34" s="447" t="str">
        <f>IF('Flächen u. Kulturen'!E15="x",IF(AND('#Kürzungen'!$F$2=2,'#BerechnungDBE'!R10=1,'Flächen u. Kulturen'!D15&lt;&gt;""),'Flächen u. Kulturen'!A15,IF(AND('#BerechnungDBE'!S10=1,'Flächen u. Kulturen'!D15&lt;&gt;""),'Flächen u. Kulturen'!A15," "))," ")</f>
        <v xml:space="preserve"> </v>
      </c>
      <c r="B34" s="505" t="str">
        <f>'Flächen u. Kulturen'!D15</f>
        <v/>
      </c>
      <c r="C34" s="42" t="str">
        <f>IF(A34=" "," ",'#BerechnungDBE'!AA10)</f>
        <v xml:space="preserve"> </v>
      </c>
      <c r="D34" s="42" t="str">
        <f>IF(A34=" "," ",'#BerechnungDBE'!BA10)</f>
        <v xml:space="preserve"> </v>
      </c>
      <c r="E34" s="42" t="str">
        <f t="shared" si="0"/>
        <v xml:space="preserve"> </v>
      </c>
      <c r="F34" s="869"/>
      <c r="G34" s="42" t="str">
        <f>IF(A34=" ","",'#BerechnungDBE'!BA10+'#BerechnungDBE'!BF10)</f>
        <v/>
      </c>
      <c r="H34" s="444" t="str">
        <f t="shared" si="12"/>
        <v/>
      </c>
      <c r="I34" s="444">
        <f>'#minDung'!P16</f>
        <v>0</v>
      </c>
      <c r="J34" s="430" t="str">
        <f t="shared" ref="J34:J97" si="34">IF(A34=" "," ",MAX(0,H34-I34))</f>
        <v xml:space="preserve"> </v>
      </c>
      <c r="K34" s="913">
        <f>IF(A34=" ",0,'Flächen u. Kulturen'!V15)</f>
        <v>0</v>
      </c>
      <c r="L34" s="883" t="str">
        <f t="shared" si="1"/>
        <v/>
      </c>
      <c r="M34" s="879" t="str">
        <f t="shared" si="13"/>
        <v xml:space="preserve"> </v>
      </c>
      <c r="N34" s="444" t="str">
        <f t="shared" si="14"/>
        <v xml:space="preserve"> </v>
      </c>
      <c r="O34" s="911" t="str">
        <f t="shared" si="15"/>
        <v xml:space="preserve"> </v>
      </c>
      <c r="P34" s="912" t="str">
        <f t="shared" si="16"/>
        <v xml:space="preserve"> </v>
      </c>
      <c r="Q34" s="912" t="str">
        <f t="shared" si="17"/>
        <v xml:space="preserve"> </v>
      </c>
      <c r="R34" s="444" t="str">
        <f t="shared" si="2"/>
        <v/>
      </c>
      <c r="S34" s="444" t="str">
        <f t="shared" si="18"/>
        <v/>
      </c>
      <c r="T34" s="444" t="str">
        <f t="shared" si="3"/>
        <v xml:space="preserve"> </v>
      </c>
      <c r="U34" s="119" t="str">
        <f t="shared" si="19"/>
        <v xml:space="preserve"> </v>
      </c>
      <c r="V34" s="444" t="str">
        <f t="shared" si="33"/>
        <v xml:space="preserve"> </v>
      </c>
      <c r="W34" s="909" t="str">
        <f t="shared" si="20"/>
        <v xml:space="preserve"> </v>
      </c>
      <c r="X34" s="924" t="str">
        <f t="shared" si="21"/>
        <v xml:space="preserve"> </v>
      </c>
      <c r="Y34" s="444" t="str">
        <f t="shared" si="4"/>
        <v xml:space="preserve"> </v>
      </c>
      <c r="Z34" s="444" t="str">
        <f t="shared" si="22"/>
        <v xml:space="preserve"> </v>
      </c>
      <c r="AA34" s="444" t="str">
        <f t="shared" si="23"/>
        <v xml:space="preserve"> </v>
      </c>
      <c r="AB34" s="912" t="str">
        <f t="shared" si="24"/>
        <v xml:space="preserve"> </v>
      </c>
      <c r="AC34" s="912" t="str">
        <f t="shared" si="25"/>
        <v xml:space="preserve"> </v>
      </c>
      <c r="AD34" s="444" t="str">
        <f t="shared" si="26"/>
        <v xml:space="preserve"> </v>
      </c>
      <c r="AE34" s="444" t="str">
        <f t="shared" si="27"/>
        <v/>
      </c>
      <c r="AF34" s="444" t="str">
        <f t="shared" si="28"/>
        <v xml:space="preserve"> </v>
      </c>
      <c r="AG34" s="119" t="str">
        <f t="shared" si="29"/>
        <v xml:space="preserve"> </v>
      </c>
      <c r="AH34" s="444" t="str">
        <f t="shared" si="30"/>
        <v xml:space="preserve"> </v>
      </c>
      <c r="AI34" s="909" t="str">
        <f t="shared" si="31"/>
        <v xml:space="preserve"> </v>
      </c>
      <c r="AJ34" s="879" t="str">
        <f t="shared" ref="AJ34:AJ97" si="35">+X34</f>
        <v xml:space="preserve"> </v>
      </c>
      <c r="AK34" s="444" t="str">
        <f t="shared" si="5"/>
        <v xml:space="preserve"> </v>
      </c>
      <c r="AL34" s="444" t="str">
        <f t="shared" si="6"/>
        <v xml:space="preserve"> </v>
      </c>
      <c r="AM34" s="444" t="str">
        <f t="shared" si="7"/>
        <v xml:space="preserve"> </v>
      </c>
      <c r="AN34" s="119" t="str">
        <f t="shared" si="8"/>
        <v xml:space="preserve"> </v>
      </c>
      <c r="AO34" s="444" t="str">
        <f t="shared" si="9"/>
        <v xml:space="preserve"> </v>
      </c>
      <c r="AP34" s="444" t="str">
        <f t="shared" si="10"/>
        <v xml:space="preserve"> </v>
      </c>
      <c r="AQ34" s="123" t="str">
        <f>IF(A34=" "," ",IF('#orgDung'!AB19=0,0,AO34/'#orgDung'!AB19))</f>
        <v xml:space="preserve"> </v>
      </c>
      <c r="AR34" s="47" t="str">
        <f>IF(A34=" "," ",IF('#orgDung'!AB19=0,0,AP34/'#orgDung'!AB19))</f>
        <v xml:space="preserve"> </v>
      </c>
      <c r="AS34" s="890">
        <f>IF(OR(B34=0,B34=""),0,MAX('Flächen u. Kulturen'!V15,AT34/B34))</f>
        <v>0</v>
      </c>
      <c r="AT34" s="875">
        <f t="shared" si="32"/>
        <v>0</v>
      </c>
      <c r="AU34" s="120" t="str">
        <f t="shared" si="11"/>
        <v xml:space="preserve"> </v>
      </c>
    </row>
    <row r="35" spans="1:47" s="875" customFormat="1" x14ac:dyDescent="0.2">
      <c r="A35" s="447" t="str">
        <f>IF('Flächen u. Kulturen'!E16="x",IF(AND('#Kürzungen'!$F$2=2,'#BerechnungDBE'!R11=1,'Flächen u. Kulturen'!D16&lt;&gt;""),'Flächen u. Kulturen'!A16,IF(AND('#BerechnungDBE'!S11=1,'Flächen u. Kulturen'!D16&lt;&gt;""),'Flächen u. Kulturen'!A16," "))," ")</f>
        <v xml:space="preserve"> </v>
      </c>
      <c r="B35" s="505" t="str">
        <f>'Flächen u. Kulturen'!D16</f>
        <v/>
      </c>
      <c r="C35" s="42" t="str">
        <f>IF(A35=" "," ",'#BerechnungDBE'!AA11)</f>
        <v xml:space="preserve"> </v>
      </c>
      <c r="D35" s="42" t="str">
        <f>IF(A35=" "," ",'#BerechnungDBE'!BA11)</f>
        <v xml:space="preserve"> </v>
      </c>
      <c r="E35" s="42" t="str">
        <f t="shared" ref="E35:E98" si="36">IF(A35=" "," ",D35*B35)</f>
        <v xml:space="preserve"> </v>
      </c>
      <c r="F35" s="869"/>
      <c r="G35" s="42" t="str">
        <f>IF(A35=" ","",'#BerechnungDBE'!BA11+'#BerechnungDBE'!BF11)</f>
        <v/>
      </c>
      <c r="H35" s="444" t="str">
        <f t="shared" si="12"/>
        <v/>
      </c>
      <c r="I35" s="444">
        <f>'#minDung'!P17</f>
        <v>0</v>
      </c>
      <c r="J35" s="430" t="str">
        <f t="shared" si="34"/>
        <v xml:space="preserve"> </v>
      </c>
      <c r="K35" s="913">
        <f>IF(A35=" ",0,'Flächen u. Kulturen'!V16)</f>
        <v>0</v>
      </c>
      <c r="L35" s="883" t="str">
        <f t="shared" si="1"/>
        <v/>
      </c>
      <c r="M35" s="879" t="str">
        <f t="shared" si="13"/>
        <v xml:space="preserve"> </v>
      </c>
      <c r="N35" s="444" t="str">
        <f t="shared" si="14"/>
        <v xml:space="preserve"> </v>
      </c>
      <c r="O35" s="911" t="str">
        <f t="shared" si="15"/>
        <v xml:space="preserve"> </v>
      </c>
      <c r="P35" s="912" t="str">
        <f t="shared" si="16"/>
        <v xml:space="preserve"> </v>
      </c>
      <c r="Q35" s="912" t="str">
        <f t="shared" si="17"/>
        <v xml:space="preserve"> </v>
      </c>
      <c r="R35" s="444" t="str">
        <f t="shared" si="2"/>
        <v/>
      </c>
      <c r="S35" s="444" t="str">
        <f t="shared" si="18"/>
        <v/>
      </c>
      <c r="T35" s="444" t="str">
        <f t="shared" si="3"/>
        <v xml:space="preserve"> </v>
      </c>
      <c r="U35" s="119" t="str">
        <f t="shared" si="19"/>
        <v xml:space="preserve"> </v>
      </c>
      <c r="V35" s="444" t="str">
        <f t="shared" si="33"/>
        <v xml:space="preserve"> </v>
      </c>
      <c r="W35" s="909" t="str">
        <f t="shared" si="20"/>
        <v xml:space="preserve"> </v>
      </c>
      <c r="X35" s="924" t="str">
        <f t="shared" si="21"/>
        <v xml:space="preserve"> </v>
      </c>
      <c r="Y35" s="444" t="str">
        <f t="shared" si="4"/>
        <v xml:space="preserve"> </v>
      </c>
      <c r="Z35" s="444" t="str">
        <f t="shared" si="22"/>
        <v xml:space="preserve"> </v>
      </c>
      <c r="AA35" s="444" t="str">
        <f t="shared" si="23"/>
        <v xml:space="preserve"> </v>
      </c>
      <c r="AB35" s="912" t="str">
        <f t="shared" si="24"/>
        <v xml:space="preserve"> </v>
      </c>
      <c r="AC35" s="912" t="str">
        <f t="shared" si="25"/>
        <v xml:space="preserve"> </v>
      </c>
      <c r="AD35" s="444" t="str">
        <f t="shared" si="26"/>
        <v xml:space="preserve"> </v>
      </c>
      <c r="AE35" s="444" t="str">
        <f t="shared" si="27"/>
        <v/>
      </c>
      <c r="AF35" s="444" t="str">
        <f t="shared" si="28"/>
        <v xml:space="preserve"> </v>
      </c>
      <c r="AG35" s="119" t="str">
        <f t="shared" si="29"/>
        <v xml:space="preserve"> </v>
      </c>
      <c r="AH35" s="444" t="str">
        <f t="shared" si="30"/>
        <v xml:space="preserve"> </v>
      </c>
      <c r="AI35" s="909" t="str">
        <f t="shared" si="31"/>
        <v xml:space="preserve"> </v>
      </c>
      <c r="AJ35" s="879" t="str">
        <f t="shared" si="35"/>
        <v xml:space="preserve"> </v>
      </c>
      <c r="AK35" s="444" t="str">
        <f t="shared" si="5"/>
        <v xml:space="preserve"> </v>
      </c>
      <c r="AL35" s="444" t="str">
        <f t="shared" si="6"/>
        <v xml:space="preserve"> </v>
      </c>
      <c r="AM35" s="444" t="str">
        <f t="shared" si="7"/>
        <v xml:space="preserve"> </v>
      </c>
      <c r="AN35" s="119" t="str">
        <f t="shared" si="8"/>
        <v xml:space="preserve"> </v>
      </c>
      <c r="AO35" s="444" t="str">
        <f t="shared" si="9"/>
        <v xml:space="preserve"> </v>
      </c>
      <c r="AP35" s="444" t="str">
        <f t="shared" si="10"/>
        <v xml:space="preserve"> </v>
      </c>
      <c r="AQ35" s="123" t="str">
        <f>IF(A35=" "," ",IF('#orgDung'!AB20=0,0,AO35/'#orgDung'!AB20))</f>
        <v xml:space="preserve"> </v>
      </c>
      <c r="AR35" s="47" t="str">
        <f>IF(A35=" "," ",IF('#orgDung'!AB20=0,0,AP35/'#orgDung'!AB20))</f>
        <v xml:space="preserve"> </v>
      </c>
      <c r="AS35" s="890">
        <f>IF(OR(B35=0,B35=""),0,MAX('Flächen u. Kulturen'!V16,AT35/B35))</f>
        <v>0</v>
      </c>
      <c r="AT35" s="875">
        <f t="shared" si="32"/>
        <v>0</v>
      </c>
      <c r="AU35" s="120" t="str">
        <f t="shared" si="11"/>
        <v xml:space="preserve"> </v>
      </c>
    </row>
    <row r="36" spans="1:47" s="875" customFormat="1" x14ac:dyDescent="0.2">
      <c r="A36" s="447" t="str">
        <f>IF('Flächen u. Kulturen'!E17="x",IF(AND('#Kürzungen'!$F$2=2,'#BerechnungDBE'!R12=1,'Flächen u. Kulturen'!D17&lt;&gt;""),'Flächen u. Kulturen'!A17,IF(AND('#BerechnungDBE'!S12=1,'Flächen u. Kulturen'!D17&lt;&gt;""),'Flächen u. Kulturen'!A17," "))," ")</f>
        <v xml:space="preserve"> </v>
      </c>
      <c r="B36" s="505" t="str">
        <f>'Flächen u. Kulturen'!D17</f>
        <v/>
      </c>
      <c r="C36" s="42" t="str">
        <f>IF(A36=" "," ",'#BerechnungDBE'!AA12)</f>
        <v xml:space="preserve"> </v>
      </c>
      <c r="D36" s="42" t="str">
        <f>IF(A36=" "," ",'#BerechnungDBE'!BA12)</f>
        <v xml:space="preserve"> </v>
      </c>
      <c r="E36" s="42" t="str">
        <f t="shared" si="36"/>
        <v xml:space="preserve"> </v>
      </c>
      <c r="F36" s="869"/>
      <c r="G36" s="42" t="str">
        <f>IF(A36=" ","",'#BerechnungDBE'!BA12+'#BerechnungDBE'!BF12)</f>
        <v/>
      </c>
      <c r="H36" s="444" t="str">
        <f t="shared" si="12"/>
        <v/>
      </c>
      <c r="I36" s="444">
        <f>'#minDung'!P18</f>
        <v>0</v>
      </c>
      <c r="J36" s="430" t="str">
        <f t="shared" si="34"/>
        <v xml:space="preserve"> </v>
      </c>
      <c r="K36" s="913">
        <f>IF(A36=" ",0,'Flächen u. Kulturen'!V17)</f>
        <v>0</v>
      </c>
      <c r="L36" s="883" t="str">
        <f t="shared" si="1"/>
        <v/>
      </c>
      <c r="M36" s="879" t="str">
        <f t="shared" si="13"/>
        <v xml:space="preserve"> </v>
      </c>
      <c r="N36" s="444" t="str">
        <f t="shared" si="14"/>
        <v xml:space="preserve"> </v>
      </c>
      <c r="O36" s="911" t="str">
        <f t="shared" si="15"/>
        <v xml:space="preserve"> </v>
      </c>
      <c r="P36" s="912" t="str">
        <f t="shared" si="16"/>
        <v xml:space="preserve"> </v>
      </c>
      <c r="Q36" s="912" t="str">
        <f t="shared" si="17"/>
        <v xml:space="preserve"> </v>
      </c>
      <c r="R36" s="444" t="str">
        <f t="shared" si="2"/>
        <v/>
      </c>
      <c r="S36" s="444" t="str">
        <f t="shared" si="18"/>
        <v/>
      </c>
      <c r="T36" s="444" t="str">
        <f t="shared" si="3"/>
        <v xml:space="preserve"> </v>
      </c>
      <c r="U36" s="119" t="str">
        <f t="shared" si="19"/>
        <v xml:space="preserve"> </v>
      </c>
      <c r="V36" s="444" t="str">
        <f t="shared" si="33"/>
        <v xml:space="preserve"> </v>
      </c>
      <c r="W36" s="909" t="str">
        <f t="shared" si="20"/>
        <v xml:space="preserve"> </v>
      </c>
      <c r="X36" s="924" t="str">
        <f t="shared" si="21"/>
        <v xml:space="preserve"> </v>
      </c>
      <c r="Y36" s="444" t="str">
        <f t="shared" si="4"/>
        <v xml:space="preserve"> </v>
      </c>
      <c r="Z36" s="444" t="str">
        <f t="shared" si="22"/>
        <v xml:space="preserve"> </v>
      </c>
      <c r="AA36" s="444" t="str">
        <f t="shared" si="23"/>
        <v xml:space="preserve"> </v>
      </c>
      <c r="AB36" s="912" t="str">
        <f t="shared" si="24"/>
        <v xml:space="preserve"> </v>
      </c>
      <c r="AC36" s="912" t="str">
        <f t="shared" si="25"/>
        <v xml:space="preserve"> </v>
      </c>
      <c r="AD36" s="444" t="str">
        <f t="shared" si="26"/>
        <v xml:space="preserve"> </v>
      </c>
      <c r="AE36" s="444" t="str">
        <f t="shared" si="27"/>
        <v/>
      </c>
      <c r="AF36" s="444" t="str">
        <f t="shared" si="28"/>
        <v xml:space="preserve"> </v>
      </c>
      <c r="AG36" s="119" t="str">
        <f t="shared" si="29"/>
        <v xml:space="preserve"> </v>
      </c>
      <c r="AH36" s="444" t="str">
        <f t="shared" si="30"/>
        <v xml:space="preserve"> </v>
      </c>
      <c r="AI36" s="909" t="str">
        <f t="shared" si="31"/>
        <v xml:space="preserve"> </v>
      </c>
      <c r="AJ36" s="879" t="str">
        <f t="shared" si="35"/>
        <v xml:space="preserve"> </v>
      </c>
      <c r="AK36" s="444" t="str">
        <f t="shared" si="5"/>
        <v xml:space="preserve"> </v>
      </c>
      <c r="AL36" s="444" t="str">
        <f t="shared" si="6"/>
        <v xml:space="preserve"> </v>
      </c>
      <c r="AM36" s="444" t="str">
        <f t="shared" si="7"/>
        <v xml:space="preserve"> </v>
      </c>
      <c r="AN36" s="119" t="str">
        <f t="shared" si="8"/>
        <v xml:space="preserve"> </v>
      </c>
      <c r="AO36" s="444" t="str">
        <f t="shared" si="9"/>
        <v xml:space="preserve"> </v>
      </c>
      <c r="AP36" s="444" t="str">
        <f t="shared" si="10"/>
        <v xml:space="preserve"> </v>
      </c>
      <c r="AQ36" s="123" t="str">
        <f>IF(A36=" "," ",IF('#orgDung'!AB21=0,0,AO36/'#orgDung'!AB21))</f>
        <v xml:space="preserve"> </v>
      </c>
      <c r="AR36" s="47" t="str">
        <f>IF(A36=" "," ",IF('#orgDung'!AB21=0,0,AP36/'#orgDung'!AB21))</f>
        <v xml:space="preserve"> </v>
      </c>
      <c r="AS36" s="890">
        <f>IF(OR(B36=0,B36=""),0,MAX('Flächen u. Kulturen'!V17,AT36/B36))</f>
        <v>0</v>
      </c>
      <c r="AT36" s="875">
        <f t="shared" si="32"/>
        <v>0</v>
      </c>
      <c r="AU36" s="120" t="str">
        <f t="shared" si="11"/>
        <v xml:space="preserve"> </v>
      </c>
    </row>
    <row r="37" spans="1:47" s="875" customFormat="1" x14ac:dyDescent="0.2">
      <c r="A37" s="447" t="str">
        <f>IF('Flächen u. Kulturen'!E18="x",IF(AND('#Kürzungen'!$F$2=2,'#BerechnungDBE'!R13=1,'Flächen u. Kulturen'!D18&lt;&gt;""),'Flächen u. Kulturen'!A18,IF(AND('#BerechnungDBE'!S13=1,'Flächen u. Kulturen'!D18&lt;&gt;""),'Flächen u. Kulturen'!A18," "))," ")</f>
        <v xml:space="preserve"> </v>
      </c>
      <c r="B37" s="505" t="str">
        <f>'Flächen u. Kulturen'!D18</f>
        <v/>
      </c>
      <c r="C37" s="42" t="str">
        <f>IF(A37=" "," ",'#BerechnungDBE'!AA13)</f>
        <v xml:space="preserve"> </v>
      </c>
      <c r="D37" s="42" t="str">
        <f>IF(A37=" "," ",'#BerechnungDBE'!BA13)</f>
        <v xml:space="preserve"> </v>
      </c>
      <c r="E37" s="42" t="str">
        <f t="shared" si="36"/>
        <v xml:space="preserve"> </v>
      </c>
      <c r="F37" s="869"/>
      <c r="G37" s="42" t="str">
        <f>IF(A37=" ","",'#BerechnungDBE'!BA13+'#BerechnungDBE'!BF13)</f>
        <v/>
      </c>
      <c r="H37" s="444" t="str">
        <f t="shared" si="12"/>
        <v/>
      </c>
      <c r="I37" s="444">
        <f>'#minDung'!P19</f>
        <v>0</v>
      </c>
      <c r="J37" s="430" t="str">
        <f t="shared" si="34"/>
        <v xml:space="preserve"> </v>
      </c>
      <c r="K37" s="913">
        <f>IF(A37=" ",0,'Flächen u. Kulturen'!V18)</f>
        <v>0</v>
      </c>
      <c r="L37" s="883" t="str">
        <f t="shared" si="1"/>
        <v/>
      </c>
      <c r="M37" s="879" t="str">
        <f t="shared" si="13"/>
        <v xml:space="preserve"> </v>
      </c>
      <c r="N37" s="444" t="str">
        <f t="shared" si="14"/>
        <v xml:space="preserve"> </v>
      </c>
      <c r="O37" s="911" t="str">
        <f t="shared" si="15"/>
        <v xml:space="preserve"> </v>
      </c>
      <c r="P37" s="912" t="str">
        <f t="shared" si="16"/>
        <v xml:space="preserve"> </v>
      </c>
      <c r="Q37" s="912" t="str">
        <f t="shared" si="17"/>
        <v xml:space="preserve"> </v>
      </c>
      <c r="R37" s="444" t="str">
        <f t="shared" si="2"/>
        <v/>
      </c>
      <c r="S37" s="444" t="str">
        <f t="shared" si="18"/>
        <v/>
      </c>
      <c r="T37" s="444" t="str">
        <f t="shared" si="3"/>
        <v xml:space="preserve"> </v>
      </c>
      <c r="U37" s="119" t="str">
        <f t="shared" si="19"/>
        <v xml:space="preserve"> </v>
      </c>
      <c r="V37" s="444" t="str">
        <f t="shared" si="33"/>
        <v xml:space="preserve"> </v>
      </c>
      <c r="W37" s="909" t="str">
        <f t="shared" si="20"/>
        <v xml:space="preserve"> </v>
      </c>
      <c r="X37" s="924" t="str">
        <f t="shared" si="21"/>
        <v xml:space="preserve"> </v>
      </c>
      <c r="Y37" s="444" t="str">
        <f t="shared" si="4"/>
        <v xml:space="preserve"> </v>
      </c>
      <c r="Z37" s="444" t="str">
        <f t="shared" si="22"/>
        <v xml:space="preserve"> </v>
      </c>
      <c r="AA37" s="444" t="str">
        <f t="shared" si="23"/>
        <v xml:space="preserve"> </v>
      </c>
      <c r="AB37" s="912" t="str">
        <f t="shared" si="24"/>
        <v xml:space="preserve"> </v>
      </c>
      <c r="AC37" s="912" t="str">
        <f t="shared" si="25"/>
        <v xml:space="preserve"> </v>
      </c>
      <c r="AD37" s="444" t="str">
        <f t="shared" si="26"/>
        <v xml:space="preserve"> </v>
      </c>
      <c r="AE37" s="444" t="str">
        <f t="shared" si="27"/>
        <v/>
      </c>
      <c r="AF37" s="444" t="str">
        <f t="shared" si="28"/>
        <v xml:space="preserve"> </v>
      </c>
      <c r="AG37" s="119" t="str">
        <f t="shared" si="29"/>
        <v xml:space="preserve"> </v>
      </c>
      <c r="AH37" s="444" t="str">
        <f t="shared" si="30"/>
        <v xml:space="preserve"> </v>
      </c>
      <c r="AI37" s="909" t="str">
        <f t="shared" si="31"/>
        <v xml:space="preserve"> </v>
      </c>
      <c r="AJ37" s="879" t="str">
        <f t="shared" si="35"/>
        <v xml:space="preserve"> </v>
      </c>
      <c r="AK37" s="444" t="str">
        <f t="shared" si="5"/>
        <v xml:space="preserve"> </v>
      </c>
      <c r="AL37" s="444" t="str">
        <f t="shared" si="6"/>
        <v xml:space="preserve"> </v>
      </c>
      <c r="AM37" s="444" t="str">
        <f t="shared" si="7"/>
        <v xml:space="preserve"> </v>
      </c>
      <c r="AN37" s="119" t="str">
        <f t="shared" si="8"/>
        <v xml:space="preserve"> </v>
      </c>
      <c r="AO37" s="444" t="str">
        <f t="shared" si="9"/>
        <v xml:space="preserve"> </v>
      </c>
      <c r="AP37" s="444" t="str">
        <f t="shared" si="10"/>
        <v xml:space="preserve"> </v>
      </c>
      <c r="AQ37" s="123" t="str">
        <f>IF(A37=" "," ",IF('#orgDung'!AB22=0,0,AO37/'#orgDung'!AB22))</f>
        <v xml:space="preserve"> </v>
      </c>
      <c r="AR37" s="47" t="str">
        <f>IF(A37=" "," ",IF('#orgDung'!AB22=0,0,AP37/'#orgDung'!AB22))</f>
        <v xml:space="preserve"> </v>
      </c>
      <c r="AS37" s="890">
        <f>IF(OR(B37=0,B37=""),0,MAX('Flächen u. Kulturen'!V18,AT37/B37))</f>
        <v>0</v>
      </c>
      <c r="AT37" s="875">
        <f t="shared" si="32"/>
        <v>0</v>
      </c>
      <c r="AU37" s="120" t="str">
        <f t="shared" si="11"/>
        <v xml:space="preserve"> </v>
      </c>
    </row>
    <row r="38" spans="1:47" s="875" customFormat="1" x14ac:dyDescent="0.2">
      <c r="A38" s="447" t="str">
        <f>IF('Flächen u. Kulturen'!E19="x",IF(AND('#Kürzungen'!$F$2=2,'#BerechnungDBE'!R14=1,'Flächen u. Kulturen'!D19&lt;&gt;""),'Flächen u. Kulturen'!A19,IF(AND('#BerechnungDBE'!S14=1,'Flächen u. Kulturen'!D19&lt;&gt;""),'Flächen u. Kulturen'!A19," "))," ")</f>
        <v xml:space="preserve"> </v>
      </c>
      <c r="B38" s="505" t="str">
        <f>'Flächen u. Kulturen'!D19</f>
        <v/>
      </c>
      <c r="C38" s="42" t="str">
        <f>IF(A38=" "," ",'#BerechnungDBE'!AA14)</f>
        <v xml:space="preserve"> </v>
      </c>
      <c r="D38" s="42" t="str">
        <f>IF(A38=" "," ",'#BerechnungDBE'!BA14)</f>
        <v xml:space="preserve"> </v>
      </c>
      <c r="E38" s="42" t="str">
        <f t="shared" si="36"/>
        <v xml:space="preserve"> </v>
      </c>
      <c r="F38" s="869"/>
      <c r="G38" s="42" t="str">
        <f>IF(A38=" ","",'#BerechnungDBE'!BA14+'#BerechnungDBE'!BF14)</f>
        <v/>
      </c>
      <c r="H38" s="444" t="str">
        <f t="shared" si="12"/>
        <v/>
      </c>
      <c r="I38" s="444">
        <f>'#minDung'!P20</f>
        <v>0</v>
      </c>
      <c r="J38" s="430" t="str">
        <f t="shared" si="34"/>
        <v xml:space="preserve"> </v>
      </c>
      <c r="K38" s="913">
        <f>IF(A38=" ",0,'Flächen u. Kulturen'!V19)</f>
        <v>0</v>
      </c>
      <c r="L38" s="883" t="str">
        <f t="shared" si="1"/>
        <v/>
      </c>
      <c r="M38" s="879" t="str">
        <f t="shared" si="13"/>
        <v xml:space="preserve"> </v>
      </c>
      <c r="N38" s="444" t="str">
        <f t="shared" si="14"/>
        <v xml:space="preserve"> </v>
      </c>
      <c r="O38" s="911" t="str">
        <f t="shared" si="15"/>
        <v xml:space="preserve"> </v>
      </c>
      <c r="P38" s="912" t="str">
        <f t="shared" si="16"/>
        <v xml:space="preserve"> </v>
      </c>
      <c r="Q38" s="912" t="str">
        <f t="shared" si="17"/>
        <v xml:space="preserve"> </v>
      </c>
      <c r="R38" s="444" t="str">
        <f t="shared" si="2"/>
        <v/>
      </c>
      <c r="S38" s="444" t="str">
        <f t="shared" si="18"/>
        <v/>
      </c>
      <c r="T38" s="444" t="str">
        <f t="shared" si="3"/>
        <v xml:space="preserve"> </v>
      </c>
      <c r="U38" s="119" t="str">
        <f t="shared" si="19"/>
        <v xml:space="preserve"> </v>
      </c>
      <c r="V38" s="444" t="str">
        <f t="shared" si="33"/>
        <v xml:space="preserve"> </v>
      </c>
      <c r="W38" s="909" t="str">
        <f t="shared" si="20"/>
        <v xml:space="preserve"> </v>
      </c>
      <c r="X38" s="924" t="str">
        <f t="shared" si="21"/>
        <v xml:space="preserve"> </v>
      </c>
      <c r="Y38" s="444" t="str">
        <f t="shared" si="4"/>
        <v xml:space="preserve"> </v>
      </c>
      <c r="Z38" s="444" t="str">
        <f t="shared" si="22"/>
        <v xml:space="preserve"> </v>
      </c>
      <c r="AA38" s="444" t="str">
        <f t="shared" si="23"/>
        <v xml:space="preserve"> </v>
      </c>
      <c r="AB38" s="912" t="str">
        <f t="shared" si="24"/>
        <v xml:space="preserve"> </v>
      </c>
      <c r="AC38" s="912" t="str">
        <f t="shared" si="25"/>
        <v xml:space="preserve"> </v>
      </c>
      <c r="AD38" s="444" t="str">
        <f t="shared" si="26"/>
        <v xml:space="preserve"> </v>
      </c>
      <c r="AE38" s="444" t="str">
        <f t="shared" si="27"/>
        <v/>
      </c>
      <c r="AF38" s="444" t="str">
        <f t="shared" si="28"/>
        <v xml:space="preserve"> </v>
      </c>
      <c r="AG38" s="119" t="str">
        <f t="shared" si="29"/>
        <v xml:space="preserve"> </v>
      </c>
      <c r="AH38" s="444" t="str">
        <f t="shared" si="30"/>
        <v xml:space="preserve"> </v>
      </c>
      <c r="AI38" s="909" t="str">
        <f t="shared" si="31"/>
        <v xml:space="preserve"> </v>
      </c>
      <c r="AJ38" s="879" t="str">
        <f t="shared" si="35"/>
        <v xml:space="preserve"> </v>
      </c>
      <c r="AK38" s="444" t="str">
        <f t="shared" si="5"/>
        <v xml:space="preserve"> </v>
      </c>
      <c r="AL38" s="444" t="str">
        <f t="shared" si="6"/>
        <v xml:space="preserve"> </v>
      </c>
      <c r="AM38" s="444" t="str">
        <f t="shared" si="7"/>
        <v xml:space="preserve"> </v>
      </c>
      <c r="AN38" s="119" t="str">
        <f t="shared" si="8"/>
        <v xml:space="preserve"> </v>
      </c>
      <c r="AO38" s="444" t="str">
        <f t="shared" si="9"/>
        <v xml:space="preserve"> </v>
      </c>
      <c r="AP38" s="444" t="str">
        <f t="shared" si="10"/>
        <v xml:space="preserve"> </v>
      </c>
      <c r="AQ38" s="123" t="str">
        <f>IF(A38=" "," ",IF('#orgDung'!AB23=0,0,AO38/'#orgDung'!AB23))</f>
        <v xml:space="preserve"> </v>
      </c>
      <c r="AR38" s="47" t="str">
        <f>IF(A38=" "," ",IF('#orgDung'!AB23=0,0,AP38/'#orgDung'!AB23))</f>
        <v xml:space="preserve"> </v>
      </c>
      <c r="AS38" s="890">
        <f>IF(OR(B38=0,B38=""),0,MAX('Flächen u. Kulturen'!V19,AT38/B38))</f>
        <v>0</v>
      </c>
      <c r="AT38" s="875">
        <f t="shared" si="32"/>
        <v>0</v>
      </c>
      <c r="AU38" s="120" t="str">
        <f t="shared" si="11"/>
        <v xml:space="preserve"> </v>
      </c>
    </row>
    <row r="39" spans="1:47" s="875" customFormat="1" x14ac:dyDescent="0.2">
      <c r="A39" s="447" t="str">
        <f>IF('Flächen u. Kulturen'!E20="x",IF(AND('#Kürzungen'!$F$2=2,'#BerechnungDBE'!R15=1,'Flächen u. Kulturen'!D20&lt;&gt;""),'Flächen u. Kulturen'!A20,IF(AND('#BerechnungDBE'!S15=1,'Flächen u. Kulturen'!D20&lt;&gt;""),'Flächen u. Kulturen'!A20," "))," ")</f>
        <v xml:space="preserve"> </v>
      </c>
      <c r="B39" s="505" t="str">
        <f>'Flächen u. Kulturen'!D20</f>
        <v/>
      </c>
      <c r="C39" s="42" t="str">
        <f>IF(A39=" "," ",'#BerechnungDBE'!AA15)</f>
        <v xml:space="preserve"> </v>
      </c>
      <c r="D39" s="42" t="str">
        <f>IF(A39=" "," ",'#BerechnungDBE'!BA15)</f>
        <v xml:space="preserve"> </v>
      </c>
      <c r="E39" s="42" t="str">
        <f t="shared" si="36"/>
        <v xml:space="preserve"> </v>
      </c>
      <c r="F39" s="869"/>
      <c r="G39" s="42" t="str">
        <f>IF(A39=" ","",'#BerechnungDBE'!BA15+'#BerechnungDBE'!BF15)</f>
        <v/>
      </c>
      <c r="H39" s="444" t="str">
        <f t="shared" si="12"/>
        <v/>
      </c>
      <c r="I39" s="444">
        <f>'#minDung'!P21</f>
        <v>0</v>
      </c>
      <c r="J39" s="430" t="str">
        <f t="shared" si="34"/>
        <v xml:space="preserve"> </v>
      </c>
      <c r="K39" s="913">
        <f>IF(A39=" ",0,'Flächen u. Kulturen'!V20)</f>
        <v>0</v>
      </c>
      <c r="L39" s="883" t="str">
        <f t="shared" si="1"/>
        <v/>
      </c>
      <c r="M39" s="879" t="str">
        <f t="shared" si="13"/>
        <v xml:space="preserve"> </v>
      </c>
      <c r="N39" s="444" t="str">
        <f t="shared" si="14"/>
        <v xml:space="preserve"> </v>
      </c>
      <c r="O39" s="911" t="str">
        <f t="shared" si="15"/>
        <v xml:space="preserve"> </v>
      </c>
      <c r="P39" s="912" t="str">
        <f t="shared" si="16"/>
        <v xml:space="preserve"> </v>
      </c>
      <c r="Q39" s="912" t="str">
        <f t="shared" si="17"/>
        <v xml:space="preserve"> </v>
      </c>
      <c r="R39" s="444" t="str">
        <f t="shared" si="2"/>
        <v/>
      </c>
      <c r="S39" s="444" t="str">
        <f t="shared" si="18"/>
        <v/>
      </c>
      <c r="T39" s="444" t="str">
        <f t="shared" si="3"/>
        <v xml:space="preserve"> </v>
      </c>
      <c r="U39" s="119" t="str">
        <f t="shared" si="19"/>
        <v xml:space="preserve"> </v>
      </c>
      <c r="V39" s="444" t="str">
        <f t="shared" si="33"/>
        <v xml:space="preserve"> </v>
      </c>
      <c r="W39" s="909" t="str">
        <f t="shared" si="20"/>
        <v xml:space="preserve"> </v>
      </c>
      <c r="X39" s="924" t="str">
        <f t="shared" si="21"/>
        <v xml:space="preserve"> </v>
      </c>
      <c r="Y39" s="444" t="str">
        <f t="shared" si="4"/>
        <v xml:space="preserve"> </v>
      </c>
      <c r="Z39" s="444" t="str">
        <f t="shared" si="22"/>
        <v xml:space="preserve"> </v>
      </c>
      <c r="AA39" s="444" t="str">
        <f t="shared" si="23"/>
        <v xml:space="preserve"> </v>
      </c>
      <c r="AB39" s="912" t="str">
        <f t="shared" si="24"/>
        <v xml:space="preserve"> </v>
      </c>
      <c r="AC39" s="912" t="str">
        <f t="shared" si="25"/>
        <v xml:space="preserve"> </v>
      </c>
      <c r="AD39" s="444" t="str">
        <f t="shared" si="26"/>
        <v xml:space="preserve"> </v>
      </c>
      <c r="AE39" s="444" t="str">
        <f t="shared" si="27"/>
        <v/>
      </c>
      <c r="AF39" s="444" t="str">
        <f t="shared" si="28"/>
        <v xml:space="preserve"> </v>
      </c>
      <c r="AG39" s="119" t="str">
        <f t="shared" si="29"/>
        <v xml:space="preserve"> </v>
      </c>
      <c r="AH39" s="444" t="str">
        <f t="shared" si="30"/>
        <v xml:space="preserve"> </v>
      </c>
      <c r="AI39" s="909" t="str">
        <f t="shared" si="31"/>
        <v xml:space="preserve"> </v>
      </c>
      <c r="AJ39" s="879" t="str">
        <f t="shared" si="35"/>
        <v xml:space="preserve"> </v>
      </c>
      <c r="AK39" s="444" t="str">
        <f t="shared" si="5"/>
        <v xml:space="preserve"> </v>
      </c>
      <c r="AL39" s="444" t="str">
        <f t="shared" si="6"/>
        <v xml:space="preserve"> </v>
      </c>
      <c r="AM39" s="444" t="str">
        <f t="shared" si="7"/>
        <v xml:space="preserve"> </v>
      </c>
      <c r="AN39" s="119" t="str">
        <f t="shared" si="8"/>
        <v xml:space="preserve"> </v>
      </c>
      <c r="AO39" s="444" t="str">
        <f t="shared" si="9"/>
        <v xml:space="preserve"> </v>
      </c>
      <c r="AP39" s="444" t="str">
        <f t="shared" si="10"/>
        <v xml:space="preserve"> </v>
      </c>
      <c r="AQ39" s="123" t="str">
        <f>IF(A39=" "," ",IF('#orgDung'!AB24=0,0,AO39/'#orgDung'!AB24))</f>
        <v xml:space="preserve"> </v>
      </c>
      <c r="AR39" s="47" t="str">
        <f>IF(A39=" "," ",IF('#orgDung'!AB24=0,0,AP39/'#orgDung'!AB24))</f>
        <v xml:space="preserve"> </v>
      </c>
      <c r="AS39" s="890">
        <f>IF(OR(B39=0,B39=""),0,MAX('Flächen u. Kulturen'!V20,AT39/B39))</f>
        <v>0</v>
      </c>
      <c r="AT39" s="875">
        <f t="shared" si="32"/>
        <v>0</v>
      </c>
      <c r="AU39" s="120" t="str">
        <f t="shared" si="11"/>
        <v xml:space="preserve"> </v>
      </c>
    </row>
    <row r="40" spans="1:47" s="875" customFormat="1" x14ac:dyDescent="0.2">
      <c r="A40" s="447" t="str">
        <f>IF('Flächen u. Kulturen'!E21="x",IF(AND('#Kürzungen'!$F$2=2,'#BerechnungDBE'!R16=1,'Flächen u. Kulturen'!D21&lt;&gt;""),'Flächen u. Kulturen'!A21,IF(AND('#BerechnungDBE'!S16=1,'Flächen u. Kulturen'!D21&lt;&gt;""),'Flächen u. Kulturen'!A21," "))," ")</f>
        <v xml:space="preserve"> </v>
      </c>
      <c r="B40" s="505" t="str">
        <f>'Flächen u. Kulturen'!D21</f>
        <v/>
      </c>
      <c r="C40" s="42" t="str">
        <f>IF(A40=" "," ",'#BerechnungDBE'!AA16)</f>
        <v xml:space="preserve"> </v>
      </c>
      <c r="D40" s="42" t="str">
        <f>IF(A40=" "," ",'#BerechnungDBE'!BA16)</f>
        <v xml:space="preserve"> </v>
      </c>
      <c r="E40" s="42" t="str">
        <f t="shared" si="36"/>
        <v xml:space="preserve"> </v>
      </c>
      <c r="F40" s="869"/>
      <c r="G40" s="42" t="str">
        <f>IF(A40=" ","",'#BerechnungDBE'!BA16+'#BerechnungDBE'!BF16)</f>
        <v/>
      </c>
      <c r="H40" s="444" t="str">
        <f t="shared" si="12"/>
        <v/>
      </c>
      <c r="I40" s="444">
        <f>'#minDung'!P22</f>
        <v>0</v>
      </c>
      <c r="J40" s="430" t="str">
        <f t="shared" si="34"/>
        <v xml:space="preserve"> </v>
      </c>
      <c r="K40" s="913">
        <f>IF(A40=" ",0,'Flächen u. Kulturen'!V21)</f>
        <v>0</v>
      </c>
      <c r="L40" s="883" t="str">
        <f t="shared" si="1"/>
        <v/>
      </c>
      <c r="M40" s="879" t="str">
        <f t="shared" si="13"/>
        <v xml:space="preserve"> </v>
      </c>
      <c r="N40" s="444" t="str">
        <f t="shared" si="14"/>
        <v xml:space="preserve"> </v>
      </c>
      <c r="O40" s="911" t="str">
        <f t="shared" si="15"/>
        <v xml:space="preserve"> </v>
      </c>
      <c r="P40" s="912" t="str">
        <f t="shared" si="16"/>
        <v xml:space="preserve"> </v>
      </c>
      <c r="Q40" s="912" t="str">
        <f t="shared" si="17"/>
        <v xml:space="preserve"> </v>
      </c>
      <c r="R40" s="444" t="str">
        <f t="shared" si="2"/>
        <v/>
      </c>
      <c r="S40" s="444" t="str">
        <f t="shared" si="18"/>
        <v/>
      </c>
      <c r="T40" s="444" t="str">
        <f t="shared" si="3"/>
        <v xml:space="preserve"> </v>
      </c>
      <c r="U40" s="119" t="str">
        <f t="shared" si="19"/>
        <v xml:space="preserve"> </v>
      </c>
      <c r="V40" s="444" t="str">
        <f t="shared" si="33"/>
        <v xml:space="preserve"> </v>
      </c>
      <c r="W40" s="909" t="str">
        <f t="shared" si="20"/>
        <v xml:space="preserve"> </v>
      </c>
      <c r="X40" s="924" t="str">
        <f t="shared" si="21"/>
        <v xml:space="preserve"> </v>
      </c>
      <c r="Y40" s="444" t="str">
        <f t="shared" si="4"/>
        <v xml:space="preserve"> </v>
      </c>
      <c r="Z40" s="444" t="str">
        <f t="shared" si="22"/>
        <v xml:space="preserve"> </v>
      </c>
      <c r="AA40" s="444" t="str">
        <f t="shared" si="23"/>
        <v xml:space="preserve"> </v>
      </c>
      <c r="AB40" s="912" t="str">
        <f t="shared" si="24"/>
        <v xml:space="preserve"> </v>
      </c>
      <c r="AC40" s="912" t="str">
        <f t="shared" si="25"/>
        <v xml:space="preserve"> </v>
      </c>
      <c r="AD40" s="444" t="str">
        <f t="shared" si="26"/>
        <v xml:space="preserve"> </v>
      </c>
      <c r="AE40" s="444" t="str">
        <f t="shared" si="27"/>
        <v/>
      </c>
      <c r="AF40" s="444" t="str">
        <f t="shared" si="28"/>
        <v xml:space="preserve"> </v>
      </c>
      <c r="AG40" s="119" t="str">
        <f t="shared" si="29"/>
        <v xml:space="preserve"> </v>
      </c>
      <c r="AH40" s="444" t="str">
        <f t="shared" si="30"/>
        <v xml:space="preserve"> </v>
      </c>
      <c r="AI40" s="909" t="str">
        <f t="shared" si="31"/>
        <v xml:space="preserve"> </v>
      </c>
      <c r="AJ40" s="879" t="str">
        <f t="shared" si="35"/>
        <v xml:space="preserve"> </v>
      </c>
      <c r="AK40" s="444" t="str">
        <f t="shared" si="5"/>
        <v xml:space="preserve"> </v>
      </c>
      <c r="AL40" s="444" t="str">
        <f t="shared" si="6"/>
        <v xml:space="preserve"> </v>
      </c>
      <c r="AM40" s="444" t="str">
        <f t="shared" si="7"/>
        <v xml:space="preserve"> </v>
      </c>
      <c r="AN40" s="119" t="str">
        <f t="shared" si="8"/>
        <v xml:space="preserve"> </v>
      </c>
      <c r="AO40" s="444" t="str">
        <f t="shared" si="9"/>
        <v xml:space="preserve"> </v>
      </c>
      <c r="AP40" s="444" t="str">
        <f t="shared" si="10"/>
        <v xml:space="preserve"> </v>
      </c>
      <c r="AQ40" s="123" t="str">
        <f>IF(A40=" "," ",IF('#orgDung'!AB25=0,0,AO40/'#orgDung'!AB25))</f>
        <v xml:space="preserve"> </v>
      </c>
      <c r="AR40" s="47" t="str">
        <f>IF(A40=" "," ",IF('#orgDung'!AB25=0,0,AP40/'#orgDung'!AB25))</f>
        <v xml:space="preserve"> </v>
      </c>
      <c r="AS40" s="890">
        <f>IF(OR(B40=0,B40=""),0,MAX('Flächen u. Kulturen'!V21,AT40/B40))</f>
        <v>0</v>
      </c>
      <c r="AT40" s="875">
        <f t="shared" si="32"/>
        <v>0</v>
      </c>
      <c r="AU40" s="120" t="str">
        <f t="shared" si="11"/>
        <v xml:space="preserve"> </v>
      </c>
    </row>
    <row r="41" spans="1:47" s="875" customFormat="1" x14ac:dyDescent="0.2">
      <c r="A41" s="447" t="str">
        <f>IF('Flächen u. Kulturen'!E22="x",IF(AND('#Kürzungen'!$F$2=2,'#BerechnungDBE'!R17=1,'Flächen u. Kulturen'!D22&lt;&gt;""),'Flächen u. Kulturen'!A22,IF(AND('#BerechnungDBE'!S17=1,'Flächen u. Kulturen'!D22&lt;&gt;""),'Flächen u. Kulturen'!A22," "))," ")</f>
        <v xml:space="preserve"> </v>
      </c>
      <c r="B41" s="505" t="str">
        <f>'Flächen u. Kulturen'!D22</f>
        <v/>
      </c>
      <c r="C41" s="42" t="str">
        <f>IF(A41=" "," ",'#BerechnungDBE'!AA17)</f>
        <v xml:space="preserve"> </v>
      </c>
      <c r="D41" s="42" t="str">
        <f>IF(A41=" "," ",'#BerechnungDBE'!BA17)</f>
        <v xml:space="preserve"> </v>
      </c>
      <c r="E41" s="42" t="str">
        <f t="shared" si="36"/>
        <v xml:space="preserve"> </v>
      </c>
      <c r="F41" s="869"/>
      <c r="G41" s="42" t="str">
        <f>IF(A41=" ","",'#BerechnungDBE'!BA17+'#BerechnungDBE'!BF17)</f>
        <v/>
      </c>
      <c r="H41" s="444" t="str">
        <f t="shared" si="12"/>
        <v/>
      </c>
      <c r="I41" s="444">
        <f>'#minDung'!P23</f>
        <v>0</v>
      </c>
      <c r="J41" s="430" t="str">
        <f t="shared" si="34"/>
        <v xml:space="preserve"> </v>
      </c>
      <c r="K41" s="913">
        <f>IF(A41=" ",0,'Flächen u. Kulturen'!V22)</f>
        <v>0</v>
      </c>
      <c r="L41" s="883" t="str">
        <f t="shared" si="1"/>
        <v/>
      </c>
      <c r="M41" s="879" t="str">
        <f t="shared" si="13"/>
        <v xml:space="preserve"> </v>
      </c>
      <c r="N41" s="444" t="str">
        <f t="shared" si="14"/>
        <v xml:space="preserve"> </v>
      </c>
      <c r="O41" s="911" t="str">
        <f t="shared" si="15"/>
        <v xml:space="preserve"> </v>
      </c>
      <c r="P41" s="912" t="str">
        <f t="shared" si="16"/>
        <v xml:space="preserve"> </v>
      </c>
      <c r="Q41" s="912" t="str">
        <f t="shared" si="17"/>
        <v xml:space="preserve"> </v>
      </c>
      <c r="R41" s="444" t="str">
        <f t="shared" si="2"/>
        <v/>
      </c>
      <c r="S41" s="444" t="str">
        <f t="shared" si="18"/>
        <v/>
      </c>
      <c r="T41" s="444" t="str">
        <f t="shared" si="3"/>
        <v xml:space="preserve"> </v>
      </c>
      <c r="U41" s="119" t="str">
        <f t="shared" si="19"/>
        <v xml:space="preserve"> </v>
      </c>
      <c r="V41" s="444" t="str">
        <f t="shared" si="33"/>
        <v xml:space="preserve"> </v>
      </c>
      <c r="W41" s="909" t="str">
        <f t="shared" si="20"/>
        <v xml:space="preserve"> </v>
      </c>
      <c r="X41" s="924" t="str">
        <f t="shared" si="21"/>
        <v xml:space="preserve"> </v>
      </c>
      <c r="Y41" s="444" t="str">
        <f t="shared" si="4"/>
        <v xml:space="preserve"> </v>
      </c>
      <c r="Z41" s="444" t="str">
        <f t="shared" si="22"/>
        <v xml:space="preserve"> </v>
      </c>
      <c r="AA41" s="444" t="str">
        <f t="shared" si="23"/>
        <v xml:space="preserve"> </v>
      </c>
      <c r="AB41" s="912" t="str">
        <f t="shared" si="24"/>
        <v xml:space="preserve"> </v>
      </c>
      <c r="AC41" s="912" t="str">
        <f t="shared" si="25"/>
        <v xml:space="preserve"> </v>
      </c>
      <c r="AD41" s="444" t="str">
        <f t="shared" si="26"/>
        <v xml:space="preserve"> </v>
      </c>
      <c r="AE41" s="444" t="str">
        <f t="shared" si="27"/>
        <v/>
      </c>
      <c r="AF41" s="444" t="str">
        <f t="shared" si="28"/>
        <v xml:space="preserve"> </v>
      </c>
      <c r="AG41" s="119" t="str">
        <f t="shared" si="29"/>
        <v xml:space="preserve"> </v>
      </c>
      <c r="AH41" s="444" t="str">
        <f t="shared" si="30"/>
        <v xml:space="preserve"> </v>
      </c>
      <c r="AI41" s="909" t="str">
        <f t="shared" si="31"/>
        <v xml:space="preserve"> </v>
      </c>
      <c r="AJ41" s="879" t="str">
        <f t="shared" si="35"/>
        <v xml:space="preserve"> </v>
      </c>
      <c r="AK41" s="444" t="str">
        <f t="shared" si="5"/>
        <v xml:space="preserve"> </v>
      </c>
      <c r="AL41" s="444" t="str">
        <f t="shared" si="6"/>
        <v xml:space="preserve"> </v>
      </c>
      <c r="AM41" s="444" t="str">
        <f t="shared" si="7"/>
        <v xml:space="preserve"> </v>
      </c>
      <c r="AN41" s="119" t="str">
        <f t="shared" si="8"/>
        <v xml:space="preserve"> </v>
      </c>
      <c r="AO41" s="444" t="str">
        <f t="shared" si="9"/>
        <v xml:space="preserve"> </v>
      </c>
      <c r="AP41" s="444" t="str">
        <f t="shared" si="10"/>
        <v xml:space="preserve"> </v>
      </c>
      <c r="AQ41" s="123" t="str">
        <f>IF(A41=" "," ",IF('#orgDung'!AB26=0,0,AO41/'#orgDung'!AB26))</f>
        <v xml:space="preserve"> </v>
      </c>
      <c r="AR41" s="47" t="str">
        <f>IF(A41=" "," ",IF('#orgDung'!AB26=0,0,AP41/'#orgDung'!AB26))</f>
        <v xml:space="preserve"> </v>
      </c>
      <c r="AS41" s="890">
        <f>IF(OR(B41=0,B41=""),0,MAX('Flächen u. Kulturen'!V22,AT41/B41))</f>
        <v>0</v>
      </c>
      <c r="AT41" s="875">
        <f t="shared" si="32"/>
        <v>0</v>
      </c>
      <c r="AU41" s="120" t="str">
        <f t="shared" si="11"/>
        <v xml:space="preserve"> </v>
      </c>
    </row>
    <row r="42" spans="1:47" s="875" customFormat="1" x14ac:dyDescent="0.2">
      <c r="A42" s="447" t="str">
        <f>IF('Flächen u. Kulturen'!E23="x",IF(AND('#Kürzungen'!$F$2=2,'#BerechnungDBE'!R18=1,'Flächen u. Kulturen'!D23&lt;&gt;""),'Flächen u. Kulturen'!A23,IF(AND('#BerechnungDBE'!S18=1,'Flächen u. Kulturen'!D23&lt;&gt;""),'Flächen u. Kulturen'!A23," "))," ")</f>
        <v xml:space="preserve"> </v>
      </c>
      <c r="B42" s="505" t="str">
        <f>'Flächen u. Kulturen'!D23</f>
        <v/>
      </c>
      <c r="C42" s="42" t="str">
        <f>IF(A42=" "," ",'#BerechnungDBE'!AA18)</f>
        <v xml:space="preserve"> </v>
      </c>
      <c r="D42" s="42" t="str">
        <f>IF(A42=" "," ",'#BerechnungDBE'!BA18)</f>
        <v xml:space="preserve"> </v>
      </c>
      <c r="E42" s="42" t="str">
        <f t="shared" si="36"/>
        <v xml:space="preserve"> </v>
      </c>
      <c r="F42" s="869"/>
      <c r="G42" s="42" t="str">
        <f>IF(A42=" ","",'#BerechnungDBE'!BA18+'#BerechnungDBE'!BF18)</f>
        <v/>
      </c>
      <c r="H42" s="444" t="str">
        <f t="shared" si="12"/>
        <v/>
      </c>
      <c r="I42" s="444">
        <f>'#minDung'!P24</f>
        <v>0</v>
      </c>
      <c r="J42" s="430" t="str">
        <f t="shared" si="34"/>
        <v xml:space="preserve"> </v>
      </c>
      <c r="K42" s="913">
        <f>IF(A42=" ",0,'Flächen u. Kulturen'!V23)</f>
        <v>0</v>
      </c>
      <c r="L42" s="883" t="str">
        <f t="shared" si="1"/>
        <v/>
      </c>
      <c r="M42" s="879" t="str">
        <f t="shared" si="13"/>
        <v xml:space="preserve"> </v>
      </c>
      <c r="N42" s="444" t="str">
        <f t="shared" si="14"/>
        <v xml:space="preserve"> </v>
      </c>
      <c r="O42" s="911" t="str">
        <f t="shared" si="15"/>
        <v xml:space="preserve"> </v>
      </c>
      <c r="P42" s="912" t="str">
        <f t="shared" si="16"/>
        <v xml:space="preserve"> </v>
      </c>
      <c r="Q42" s="912" t="str">
        <f t="shared" si="17"/>
        <v xml:space="preserve"> </v>
      </c>
      <c r="R42" s="444" t="str">
        <f t="shared" si="2"/>
        <v/>
      </c>
      <c r="S42" s="444" t="str">
        <f t="shared" si="18"/>
        <v/>
      </c>
      <c r="T42" s="444" t="str">
        <f t="shared" si="3"/>
        <v xml:space="preserve"> </v>
      </c>
      <c r="U42" s="119" t="str">
        <f t="shared" si="19"/>
        <v xml:space="preserve"> </v>
      </c>
      <c r="V42" s="444" t="str">
        <f t="shared" si="33"/>
        <v xml:space="preserve"> </v>
      </c>
      <c r="W42" s="909" t="str">
        <f t="shared" si="20"/>
        <v xml:space="preserve"> </v>
      </c>
      <c r="X42" s="924" t="str">
        <f t="shared" si="21"/>
        <v xml:space="preserve"> </v>
      </c>
      <c r="Y42" s="444" t="str">
        <f t="shared" si="4"/>
        <v xml:space="preserve"> </v>
      </c>
      <c r="Z42" s="444" t="str">
        <f t="shared" si="22"/>
        <v xml:space="preserve"> </v>
      </c>
      <c r="AA42" s="444" t="str">
        <f t="shared" si="23"/>
        <v xml:space="preserve"> </v>
      </c>
      <c r="AB42" s="912" t="str">
        <f t="shared" si="24"/>
        <v xml:space="preserve"> </v>
      </c>
      <c r="AC42" s="912" t="str">
        <f t="shared" si="25"/>
        <v xml:space="preserve"> </v>
      </c>
      <c r="AD42" s="444" t="str">
        <f t="shared" si="26"/>
        <v xml:space="preserve"> </v>
      </c>
      <c r="AE42" s="444" t="str">
        <f t="shared" si="27"/>
        <v/>
      </c>
      <c r="AF42" s="444" t="str">
        <f t="shared" si="28"/>
        <v xml:space="preserve"> </v>
      </c>
      <c r="AG42" s="119" t="str">
        <f t="shared" si="29"/>
        <v xml:space="preserve"> </v>
      </c>
      <c r="AH42" s="444" t="str">
        <f t="shared" si="30"/>
        <v xml:space="preserve"> </v>
      </c>
      <c r="AI42" s="909" t="str">
        <f t="shared" si="31"/>
        <v xml:space="preserve"> </v>
      </c>
      <c r="AJ42" s="879" t="str">
        <f t="shared" si="35"/>
        <v xml:space="preserve"> </v>
      </c>
      <c r="AK42" s="444" t="str">
        <f t="shared" si="5"/>
        <v xml:space="preserve"> </v>
      </c>
      <c r="AL42" s="444" t="str">
        <f t="shared" si="6"/>
        <v xml:space="preserve"> </v>
      </c>
      <c r="AM42" s="444" t="str">
        <f t="shared" si="7"/>
        <v xml:space="preserve"> </v>
      </c>
      <c r="AN42" s="119" t="str">
        <f t="shared" si="8"/>
        <v xml:space="preserve"> </v>
      </c>
      <c r="AO42" s="444" t="str">
        <f t="shared" si="9"/>
        <v xml:space="preserve"> </v>
      </c>
      <c r="AP42" s="444" t="str">
        <f t="shared" si="10"/>
        <v xml:space="preserve"> </v>
      </c>
      <c r="AQ42" s="123" t="str">
        <f>IF(A42=" "," ",IF('#orgDung'!AB27=0,0,AO42/'#orgDung'!AB27))</f>
        <v xml:space="preserve"> </v>
      </c>
      <c r="AR42" s="47" t="str">
        <f>IF(A42=" "," ",IF('#orgDung'!AB27=0,0,AP42/'#orgDung'!AB27))</f>
        <v xml:space="preserve"> </v>
      </c>
      <c r="AS42" s="890">
        <f>IF(OR(B42=0,B42=""),0,MAX('Flächen u. Kulturen'!V23,AT42/B42))</f>
        <v>0</v>
      </c>
      <c r="AT42" s="875">
        <f t="shared" si="32"/>
        <v>0</v>
      </c>
      <c r="AU42" s="120" t="str">
        <f t="shared" si="11"/>
        <v xml:space="preserve"> </v>
      </c>
    </row>
    <row r="43" spans="1:47" s="875" customFormat="1" x14ac:dyDescent="0.2">
      <c r="A43" s="447" t="str">
        <f>IF('Flächen u. Kulturen'!E24="x",IF(AND('#Kürzungen'!$F$2=2,'#BerechnungDBE'!R19=1,'Flächen u. Kulturen'!D24&lt;&gt;""),'Flächen u. Kulturen'!A24,IF(AND('#BerechnungDBE'!S19=1,'Flächen u. Kulturen'!D24&lt;&gt;""),'Flächen u. Kulturen'!A24," "))," ")</f>
        <v xml:space="preserve"> </v>
      </c>
      <c r="B43" s="505" t="str">
        <f>'Flächen u. Kulturen'!D24</f>
        <v/>
      </c>
      <c r="C43" s="42" t="str">
        <f>IF(A43=" "," ",'#BerechnungDBE'!AA19)</f>
        <v xml:space="preserve"> </v>
      </c>
      <c r="D43" s="42" t="str">
        <f>IF(A43=" "," ",'#BerechnungDBE'!BA19)</f>
        <v xml:space="preserve"> </v>
      </c>
      <c r="E43" s="42" t="str">
        <f t="shared" si="36"/>
        <v xml:space="preserve"> </v>
      </c>
      <c r="F43" s="869"/>
      <c r="G43" s="42" t="str">
        <f>IF(A43=" ","",'#BerechnungDBE'!BA19+'#BerechnungDBE'!BF19)</f>
        <v/>
      </c>
      <c r="H43" s="444" t="str">
        <f t="shared" si="12"/>
        <v/>
      </c>
      <c r="I43" s="444">
        <f>'#minDung'!P25</f>
        <v>0</v>
      </c>
      <c r="J43" s="430" t="str">
        <f t="shared" si="34"/>
        <v xml:space="preserve"> </v>
      </c>
      <c r="K43" s="913">
        <f>IF(A43=" ",0,'Flächen u. Kulturen'!V24)</f>
        <v>0</v>
      </c>
      <c r="L43" s="883" t="str">
        <f t="shared" si="1"/>
        <v/>
      </c>
      <c r="M43" s="879" t="str">
        <f t="shared" si="13"/>
        <v xml:space="preserve"> </v>
      </c>
      <c r="N43" s="444" t="str">
        <f t="shared" si="14"/>
        <v xml:space="preserve"> </v>
      </c>
      <c r="O43" s="911" t="str">
        <f t="shared" si="15"/>
        <v xml:space="preserve"> </v>
      </c>
      <c r="P43" s="912" t="str">
        <f t="shared" si="16"/>
        <v xml:space="preserve"> </v>
      </c>
      <c r="Q43" s="912" t="str">
        <f t="shared" si="17"/>
        <v xml:space="preserve"> </v>
      </c>
      <c r="R43" s="444" t="str">
        <f t="shared" si="2"/>
        <v/>
      </c>
      <c r="S43" s="444" t="str">
        <f t="shared" si="18"/>
        <v/>
      </c>
      <c r="T43" s="444" t="str">
        <f t="shared" si="3"/>
        <v xml:space="preserve"> </v>
      </c>
      <c r="U43" s="119" t="str">
        <f t="shared" si="19"/>
        <v xml:space="preserve"> </v>
      </c>
      <c r="V43" s="444" t="str">
        <f t="shared" si="33"/>
        <v xml:space="preserve"> </v>
      </c>
      <c r="W43" s="909" t="str">
        <f t="shared" si="20"/>
        <v xml:space="preserve"> </v>
      </c>
      <c r="X43" s="924" t="str">
        <f t="shared" si="21"/>
        <v xml:space="preserve"> </v>
      </c>
      <c r="Y43" s="444" t="str">
        <f t="shared" si="4"/>
        <v xml:space="preserve"> </v>
      </c>
      <c r="Z43" s="444" t="str">
        <f t="shared" si="22"/>
        <v xml:space="preserve"> </v>
      </c>
      <c r="AA43" s="444" t="str">
        <f t="shared" si="23"/>
        <v xml:space="preserve"> </v>
      </c>
      <c r="AB43" s="912" t="str">
        <f t="shared" si="24"/>
        <v xml:space="preserve"> </v>
      </c>
      <c r="AC43" s="912" t="str">
        <f t="shared" si="25"/>
        <v xml:space="preserve"> </v>
      </c>
      <c r="AD43" s="444" t="str">
        <f t="shared" si="26"/>
        <v xml:space="preserve"> </v>
      </c>
      <c r="AE43" s="444" t="str">
        <f t="shared" si="27"/>
        <v/>
      </c>
      <c r="AF43" s="444" t="str">
        <f t="shared" si="28"/>
        <v xml:space="preserve"> </v>
      </c>
      <c r="AG43" s="119" t="str">
        <f t="shared" si="29"/>
        <v xml:space="preserve"> </v>
      </c>
      <c r="AH43" s="444" t="str">
        <f t="shared" si="30"/>
        <v xml:space="preserve"> </v>
      </c>
      <c r="AI43" s="909" t="str">
        <f t="shared" si="31"/>
        <v xml:space="preserve"> </v>
      </c>
      <c r="AJ43" s="879" t="str">
        <f t="shared" si="35"/>
        <v xml:space="preserve"> </v>
      </c>
      <c r="AK43" s="444" t="str">
        <f t="shared" si="5"/>
        <v xml:space="preserve"> </v>
      </c>
      <c r="AL43" s="444" t="str">
        <f t="shared" si="6"/>
        <v xml:space="preserve"> </v>
      </c>
      <c r="AM43" s="444" t="str">
        <f t="shared" si="7"/>
        <v xml:space="preserve"> </v>
      </c>
      <c r="AN43" s="119" t="str">
        <f t="shared" si="8"/>
        <v xml:space="preserve"> </v>
      </c>
      <c r="AO43" s="444" t="str">
        <f t="shared" si="9"/>
        <v xml:space="preserve"> </v>
      </c>
      <c r="AP43" s="444" t="str">
        <f t="shared" si="10"/>
        <v xml:space="preserve"> </v>
      </c>
      <c r="AQ43" s="123" t="str">
        <f>IF(A43=" "," ",IF('#orgDung'!AB28=0,0,AO43/'#orgDung'!AB28))</f>
        <v xml:space="preserve"> </v>
      </c>
      <c r="AR43" s="47" t="str">
        <f>IF(A43=" "," ",IF('#orgDung'!AB28=0,0,AP43/'#orgDung'!AB28))</f>
        <v xml:space="preserve"> </v>
      </c>
      <c r="AS43" s="890">
        <f>IF(OR(B43=0,B43=""),0,MAX('Flächen u. Kulturen'!V24,AT43/B43))</f>
        <v>0</v>
      </c>
      <c r="AT43" s="875">
        <f t="shared" si="32"/>
        <v>0</v>
      </c>
      <c r="AU43" s="120" t="str">
        <f t="shared" si="11"/>
        <v xml:space="preserve"> </v>
      </c>
    </row>
    <row r="44" spans="1:47" s="875" customFormat="1" x14ac:dyDescent="0.2">
      <c r="A44" s="447" t="str">
        <f>IF('Flächen u. Kulturen'!E25="x",IF(AND('#Kürzungen'!$F$2=2,'#BerechnungDBE'!R20=1,'Flächen u. Kulturen'!D25&lt;&gt;""),'Flächen u. Kulturen'!A25,IF(AND('#BerechnungDBE'!S20=1,'Flächen u. Kulturen'!D25&lt;&gt;""),'Flächen u. Kulturen'!A25," "))," ")</f>
        <v xml:space="preserve"> </v>
      </c>
      <c r="B44" s="505" t="str">
        <f>'Flächen u. Kulturen'!D25</f>
        <v/>
      </c>
      <c r="C44" s="42" t="str">
        <f>IF(A44=" "," ",'#BerechnungDBE'!AA20)</f>
        <v xml:space="preserve"> </v>
      </c>
      <c r="D44" s="42" t="str">
        <f>IF(A44=" "," ",'#BerechnungDBE'!BA20)</f>
        <v xml:space="preserve"> </v>
      </c>
      <c r="E44" s="42" t="str">
        <f t="shared" si="36"/>
        <v xml:space="preserve"> </v>
      </c>
      <c r="F44" s="869"/>
      <c r="G44" s="42" t="str">
        <f>IF(A44=" ","",'#BerechnungDBE'!BA20+'#BerechnungDBE'!BF20)</f>
        <v/>
      </c>
      <c r="H44" s="444" t="str">
        <f t="shared" si="12"/>
        <v/>
      </c>
      <c r="I44" s="444">
        <f>'#minDung'!P26</f>
        <v>0</v>
      </c>
      <c r="J44" s="430" t="str">
        <f t="shared" si="34"/>
        <v xml:space="preserve"> </v>
      </c>
      <c r="K44" s="913">
        <f>IF(A44=" ",0,'Flächen u. Kulturen'!V25)</f>
        <v>0</v>
      </c>
      <c r="L44" s="883" t="str">
        <f t="shared" si="1"/>
        <v/>
      </c>
      <c r="M44" s="879" t="str">
        <f t="shared" si="13"/>
        <v xml:space="preserve"> </v>
      </c>
      <c r="N44" s="444" t="str">
        <f t="shared" si="14"/>
        <v xml:space="preserve"> </v>
      </c>
      <c r="O44" s="911" t="str">
        <f t="shared" si="15"/>
        <v xml:space="preserve"> </v>
      </c>
      <c r="P44" s="912" t="str">
        <f t="shared" si="16"/>
        <v xml:space="preserve"> </v>
      </c>
      <c r="Q44" s="912" t="str">
        <f t="shared" si="17"/>
        <v xml:space="preserve"> </v>
      </c>
      <c r="R44" s="444" t="str">
        <f t="shared" si="2"/>
        <v/>
      </c>
      <c r="S44" s="444" t="str">
        <f t="shared" si="18"/>
        <v/>
      </c>
      <c r="T44" s="444" t="str">
        <f t="shared" si="3"/>
        <v xml:space="preserve"> </v>
      </c>
      <c r="U44" s="119" t="str">
        <f t="shared" si="19"/>
        <v xml:space="preserve"> </v>
      </c>
      <c r="V44" s="444" t="str">
        <f t="shared" si="33"/>
        <v xml:space="preserve"> </v>
      </c>
      <c r="W44" s="909" t="str">
        <f t="shared" si="20"/>
        <v xml:space="preserve"> </v>
      </c>
      <c r="X44" s="924" t="str">
        <f t="shared" si="21"/>
        <v xml:space="preserve"> </v>
      </c>
      <c r="Y44" s="444" t="str">
        <f t="shared" si="4"/>
        <v xml:space="preserve"> </v>
      </c>
      <c r="Z44" s="444" t="str">
        <f t="shared" si="22"/>
        <v xml:space="preserve"> </v>
      </c>
      <c r="AA44" s="444" t="str">
        <f t="shared" si="23"/>
        <v xml:space="preserve"> </v>
      </c>
      <c r="AB44" s="912" t="str">
        <f t="shared" si="24"/>
        <v xml:space="preserve"> </v>
      </c>
      <c r="AC44" s="912" t="str">
        <f t="shared" si="25"/>
        <v xml:space="preserve"> </v>
      </c>
      <c r="AD44" s="444" t="str">
        <f t="shared" si="26"/>
        <v xml:space="preserve"> </v>
      </c>
      <c r="AE44" s="444" t="str">
        <f t="shared" si="27"/>
        <v/>
      </c>
      <c r="AF44" s="444" t="str">
        <f t="shared" si="28"/>
        <v xml:space="preserve"> </v>
      </c>
      <c r="AG44" s="119" t="str">
        <f t="shared" si="29"/>
        <v xml:space="preserve"> </v>
      </c>
      <c r="AH44" s="444" t="str">
        <f t="shared" si="30"/>
        <v xml:space="preserve"> </v>
      </c>
      <c r="AI44" s="909" t="str">
        <f t="shared" si="31"/>
        <v xml:space="preserve"> </v>
      </c>
      <c r="AJ44" s="879" t="str">
        <f t="shared" si="35"/>
        <v xml:space="preserve"> </v>
      </c>
      <c r="AK44" s="444" t="str">
        <f t="shared" si="5"/>
        <v xml:space="preserve"> </v>
      </c>
      <c r="AL44" s="444" t="str">
        <f t="shared" si="6"/>
        <v xml:space="preserve"> </v>
      </c>
      <c r="AM44" s="444" t="str">
        <f t="shared" si="7"/>
        <v xml:space="preserve"> </v>
      </c>
      <c r="AN44" s="119" t="str">
        <f t="shared" si="8"/>
        <v xml:space="preserve"> </v>
      </c>
      <c r="AO44" s="444" t="str">
        <f t="shared" si="9"/>
        <v xml:space="preserve"> </v>
      </c>
      <c r="AP44" s="444" t="str">
        <f t="shared" si="10"/>
        <v xml:space="preserve"> </v>
      </c>
      <c r="AQ44" s="123" t="str">
        <f>IF(A44=" "," ",IF('#orgDung'!AB29=0,0,AO44/'#orgDung'!AB29))</f>
        <v xml:space="preserve"> </v>
      </c>
      <c r="AR44" s="47" t="str">
        <f>IF(A44=" "," ",IF('#orgDung'!AB29=0,0,AP44/'#orgDung'!AB29))</f>
        <v xml:space="preserve"> </v>
      </c>
      <c r="AS44" s="890">
        <f>IF(OR(B44=0,B44=""),0,MAX('Flächen u. Kulturen'!V25,AT44/B44))</f>
        <v>0</v>
      </c>
      <c r="AT44" s="875">
        <f t="shared" si="32"/>
        <v>0</v>
      </c>
      <c r="AU44" s="120" t="str">
        <f t="shared" si="11"/>
        <v xml:space="preserve"> </v>
      </c>
    </row>
    <row r="45" spans="1:47" s="875" customFormat="1" x14ac:dyDescent="0.2">
      <c r="A45" s="447" t="str">
        <f>IF('Flächen u. Kulturen'!E26="x",IF(AND('#Kürzungen'!$F$2=2,'#BerechnungDBE'!R21=1,'Flächen u. Kulturen'!D26&lt;&gt;""),'Flächen u. Kulturen'!A26,IF(AND('#BerechnungDBE'!S21=1,'Flächen u. Kulturen'!D26&lt;&gt;""),'Flächen u. Kulturen'!A26," "))," ")</f>
        <v xml:space="preserve"> </v>
      </c>
      <c r="B45" s="505" t="str">
        <f>'Flächen u. Kulturen'!D26</f>
        <v/>
      </c>
      <c r="C45" s="42" t="str">
        <f>IF(A45=" "," ",'#BerechnungDBE'!AA21)</f>
        <v xml:space="preserve"> </v>
      </c>
      <c r="D45" s="42" t="str">
        <f>IF(A45=" "," ",'#BerechnungDBE'!BA21)</f>
        <v xml:space="preserve"> </v>
      </c>
      <c r="E45" s="42" t="str">
        <f t="shared" si="36"/>
        <v xml:space="preserve"> </v>
      </c>
      <c r="F45" s="869"/>
      <c r="G45" s="42" t="str">
        <f>IF(A45=" ","",'#BerechnungDBE'!BA21+'#BerechnungDBE'!BF21)</f>
        <v/>
      </c>
      <c r="H45" s="444" t="str">
        <f t="shared" si="12"/>
        <v/>
      </c>
      <c r="I45" s="444">
        <f>'#minDung'!P27</f>
        <v>0</v>
      </c>
      <c r="J45" s="430" t="str">
        <f t="shared" si="34"/>
        <v xml:space="preserve"> </v>
      </c>
      <c r="K45" s="913">
        <f>IF(A45=" ",0,'Flächen u. Kulturen'!V26)</f>
        <v>0</v>
      </c>
      <c r="L45" s="883" t="str">
        <f t="shared" si="1"/>
        <v/>
      </c>
      <c r="M45" s="879" t="str">
        <f t="shared" si="13"/>
        <v xml:space="preserve"> </v>
      </c>
      <c r="N45" s="444" t="str">
        <f t="shared" si="14"/>
        <v xml:space="preserve"> </v>
      </c>
      <c r="O45" s="911" t="str">
        <f t="shared" si="15"/>
        <v xml:space="preserve"> </v>
      </c>
      <c r="P45" s="912" t="str">
        <f t="shared" si="16"/>
        <v xml:space="preserve"> </v>
      </c>
      <c r="Q45" s="912" t="str">
        <f t="shared" si="17"/>
        <v xml:space="preserve"> </v>
      </c>
      <c r="R45" s="444" t="str">
        <f t="shared" si="2"/>
        <v/>
      </c>
      <c r="S45" s="444" t="str">
        <f t="shared" si="18"/>
        <v/>
      </c>
      <c r="T45" s="444" t="str">
        <f t="shared" si="3"/>
        <v xml:space="preserve"> </v>
      </c>
      <c r="U45" s="119" t="str">
        <f t="shared" si="19"/>
        <v xml:space="preserve"> </v>
      </c>
      <c r="V45" s="444" t="str">
        <f t="shared" si="33"/>
        <v xml:space="preserve"> </v>
      </c>
      <c r="W45" s="909" t="str">
        <f t="shared" si="20"/>
        <v xml:space="preserve"> </v>
      </c>
      <c r="X45" s="924" t="str">
        <f t="shared" si="21"/>
        <v xml:space="preserve"> </v>
      </c>
      <c r="Y45" s="444" t="str">
        <f t="shared" si="4"/>
        <v xml:space="preserve"> </v>
      </c>
      <c r="Z45" s="444" t="str">
        <f t="shared" si="22"/>
        <v xml:space="preserve"> </v>
      </c>
      <c r="AA45" s="444" t="str">
        <f t="shared" si="23"/>
        <v xml:space="preserve"> </v>
      </c>
      <c r="AB45" s="912" t="str">
        <f t="shared" si="24"/>
        <v xml:space="preserve"> </v>
      </c>
      <c r="AC45" s="912" t="str">
        <f t="shared" si="25"/>
        <v xml:space="preserve"> </v>
      </c>
      <c r="AD45" s="444" t="str">
        <f t="shared" si="26"/>
        <v xml:space="preserve"> </v>
      </c>
      <c r="AE45" s="444" t="str">
        <f t="shared" si="27"/>
        <v/>
      </c>
      <c r="AF45" s="444" t="str">
        <f t="shared" si="28"/>
        <v xml:space="preserve"> </v>
      </c>
      <c r="AG45" s="119" t="str">
        <f t="shared" si="29"/>
        <v xml:space="preserve"> </v>
      </c>
      <c r="AH45" s="444" t="str">
        <f t="shared" si="30"/>
        <v xml:space="preserve"> </v>
      </c>
      <c r="AI45" s="909" t="str">
        <f t="shared" si="31"/>
        <v xml:space="preserve"> </v>
      </c>
      <c r="AJ45" s="879" t="str">
        <f t="shared" si="35"/>
        <v xml:space="preserve"> </v>
      </c>
      <c r="AK45" s="444" t="str">
        <f t="shared" si="5"/>
        <v xml:space="preserve"> </v>
      </c>
      <c r="AL45" s="444" t="str">
        <f t="shared" si="6"/>
        <v xml:space="preserve"> </v>
      </c>
      <c r="AM45" s="444" t="str">
        <f t="shared" si="7"/>
        <v xml:space="preserve"> </v>
      </c>
      <c r="AN45" s="119" t="str">
        <f t="shared" si="8"/>
        <v xml:space="preserve"> </v>
      </c>
      <c r="AO45" s="444" t="str">
        <f t="shared" si="9"/>
        <v xml:space="preserve"> </v>
      </c>
      <c r="AP45" s="444" t="str">
        <f t="shared" si="10"/>
        <v xml:space="preserve"> </v>
      </c>
      <c r="AQ45" s="123" t="str">
        <f>IF(A45=" "," ",IF('#orgDung'!AB30=0,0,AO45/'#orgDung'!AB30))</f>
        <v xml:space="preserve"> </v>
      </c>
      <c r="AR45" s="47" t="str">
        <f>IF(A45=" "," ",IF('#orgDung'!AB30=0,0,AP45/'#orgDung'!AB30))</f>
        <v xml:space="preserve"> </v>
      </c>
      <c r="AS45" s="890">
        <f>IF(OR(B45=0,B45=""),0,MAX('Flächen u. Kulturen'!V26,AT45/B45))</f>
        <v>0</v>
      </c>
      <c r="AT45" s="875">
        <f t="shared" si="32"/>
        <v>0</v>
      </c>
      <c r="AU45" s="120" t="str">
        <f t="shared" si="11"/>
        <v xml:space="preserve"> </v>
      </c>
    </row>
    <row r="46" spans="1:47" s="875" customFormat="1" x14ac:dyDescent="0.2">
      <c r="A46" s="447" t="str">
        <f>IF('Flächen u. Kulturen'!E27="x",IF(AND('#Kürzungen'!$F$2=2,'#BerechnungDBE'!R22=1,'Flächen u. Kulturen'!D27&lt;&gt;""),'Flächen u. Kulturen'!A27,IF(AND('#BerechnungDBE'!S22=1,'Flächen u. Kulturen'!D27&lt;&gt;""),'Flächen u. Kulturen'!A27," "))," ")</f>
        <v xml:space="preserve"> </v>
      </c>
      <c r="B46" s="505" t="str">
        <f>'Flächen u. Kulturen'!D27</f>
        <v/>
      </c>
      <c r="C46" s="42" t="str">
        <f>IF(A46=" "," ",'#BerechnungDBE'!AA22)</f>
        <v xml:space="preserve"> </v>
      </c>
      <c r="D46" s="42" t="str">
        <f>IF(A46=" "," ",'#BerechnungDBE'!BA22)</f>
        <v xml:space="preserve"> </v>
      </c>
      <c r="E46" s="42" t="str">
        <f t="shared" si="36"/>
        <v xml:space="preserve"> </v>
      </c>
      <c r="F46" s="869"/>
      <c r="G46" s="42" t="str">
        <f>IF(A46=" ","",'#BerechnungDBE'!BA22+'#BerechnungDBE'!BF22)</f>
        <v/>
      </c>
      <c r="H46" s="444" t="str">
        <f t="shared" si="12"/>
        <v/>
      </c>
      <c r="I46" s="444">
        <f>'#minDung'!P28</f>
        <v>0</v>
      </c>
      <c r="J46" s="430" t="str">
        <f t="shared" si="34"/>
        <v xml:space="preserve"> </v>
      </c>
      <c r="K46" s="913">
        <f>IF(A46=" ",0,'Flächen u. Kulturen'!V27)</f>
        <v>0</v>
      </c>
      <c r="L46" s="883" t="str">
        <f t="shared" si="1"/>
        <v/>
      </c>
      <c r="M46" s="879" t="str">
        <f t="shared" si="13"/>
        <v xml:space="preserve"> </v>
      </c>
      <c r="N46" s="444" t="str">
        <f t="shared" si="14"/>
        <v xml:space="preserve"> </v>
      </c>
      <c r="O46" s="911" t="str">
        <f t="shared" si="15"/>
        <v xml:space="preserve"> </v>
      </c>
      <c r="P46" s="912" t="str">
        <f t="shared" si="16"/>
        <v xml:space="preserve"> </v>
      </c>
      <c r="Q46" s="912" t="str">
        <f t="shared" si="17"/>
        <v xml:space="preserve"> </v>
      </c>
      <c r="R46" s="444" t="str">
        <f t="shared" si="2"/>
        <v/>
      </c>
      <c r="S46" s="444" t="str">
        <f t="shared" si="18"/>
        <v/>
      </c>
      <c r="T46" s="444" t="str">
        <f t="shared" si="3"/>
        <v xml:space="preserve"> </v>
      </c>
      <c r="U46" s="119" t="str">
        <f t="shared" si="19"/>
        <v xml:space="preserve"> </v>
      </c>
      <c r="V46" s="444" t="str">
        <f t="shared" si="33"/>
        <v xml:space="preserve"> </v>
      </c>
      <c r="W46" s="909" t="str">
        <f t="shared" si="20"/>
        <v xml:space="preserve"> </v>
      </c>
      <c r="X46" s="924" t="str">
        <f t="shared" si="21"/>
        <v xml:space="preserve"> </v>
      </c>
      <c r="Y46" s="444" t="str">
        <f t="shared" si="4"/>
        <v xml:space="preserve"> </v>
      </c>
      <c r="Z46" s="444" t="str">
        <f t="shared" si="22"/>
        <v xml:space="preserve"> </v>
      </c>
      <c r="AA46" s="444" t="str">
        <f t="shared" si="23"/>
        <v xml:space="preserve"> </v>
      </c>
      <c r="AB46" s="912" t="str">
        <f t="shared" si="24"/>
        <v xml:space="preserve"> </v>
      </c>
      <c r="AC46" s="912" t="str">
        <f t="shared" si="25"/>
        <v xml:space="preserve"> </v>
      </c>
      <c r="AD46" s="444" t="str">
        <f t="shared" si="26"/>
        <v xml:space="preserve"> </v>
      </c>
      <c r="AE46" s="444" t="str">
        <f t="shared" si="27"/>
        <v/>
      </c>
      <c r="AF46" s="444" t="str">
        <f t="shared" si="28"/>
        <v xml:space="preserve"> </v>
      </c>
      <c r="AG46" s="119" t="str">
        <f t="shared" si="29"/>
        <v xml:space="preserve"> </v>
      </c>
      <c r="AH46" s="444" t="str">
        <f t="shared" si="30"/>
        <v xml:space="preserve"> </v>
      </c>
      <c r="AI46" s="909" t="str">
        <f t="shared" si="31"/>
        <v xml:space="preserve"> </v>
      </c>
      <c r="AJ46" s="879" t="str">
        <f t="shared" si="35"/>
        <v xml:space="preserve"> </v>
      </c>
      <c r="AK46" s="444" t="str">
        <f t="shared" si="5"/>
        <v xml:space="preserve"> </v>
      </c>
      <c r="AL46" s="444" t="str">
        <f t="shared" si="6"/>
        <v xml:space="preserve"> </v>
      </c>
      <c r="AM46" s="444" t="str">
        <f t="shared" si="7"/>
        <v xml:space="preserve"> </v>
      </c>
      <c r="AN46" s="119" t="str">
        <f t="shared" si="8"/>
        <v xml:space="preserve"> </v>
      </c>
      <c r="AO46" s="444" t="str">
        <f t="shared" si="9"/>
        <v xml:space="preserve"> </v>
      </c>
      <c r="AP46" s="444" t="str">
        <f t="shared" si="10"/>
        <v xml:space="preserve"> </v>
      </c>
      <c r="AQ46" s="123" t="str">
        <f>IF(A46=" "," ",IF('#orgDung'!AB31=0,0,AO46/'#orgDung'!AB31))</f>
        <v xml:space="preserve"> </v>
      </c>
      <c r="AR46" s="47" t="str">
        <f>IF(A46=" "," ",IF('#orgDung'!AB31=0,0,AP46/'#orgDung'!AB31))</f>
        <v xml:space="preserve"> </v>
      </c>
      <c r="AS46" s="890">
        <f>IF(OR(B46=0,B46=""),0,MAX('Flächen u. Kulturen'!V27,AT46/B46))</f>
        <v>0</v>
      </c>
      <c r="AT46" s="875">
        <f t="shared" si="32"/>
        <v>0</v>
      </c>
      <c r="AU46" s="120" t="str">
        <f t="shared" si="11"/>
        <v xml:space="preserve"> </v>
      </c>
    </row>
    <row r="47" spans="1:47" s="875" customFormat="1" x14ac:dyDescent="0.2">
      <c r="A47" s="447" t="str">
        <f>IF('Flächen u. Kulturen'!E28="x",IF(AND('#Kürzungen'!$F$2=2,'#BerechnungDBE'!R23=1,'Flächen u. Kulturen'!D28&lt;&gt;""),'Flächen u. Kulturen'!A28,IF(AND('#BerechnungDBE'!S23=1,'Flächen u. Kulturen'!D28&lt;&gt;""),'Flächen u. Kulturen'!A28," "))," ")</f>
        <v xml:space="preserve"> </v>
      </c>
      <c r="B47" s="505" t="str">
        <f>'Flächen u. Kulturen'!D28</f>
        <v/>
      </c>
      <c r="C47" s="42" t="str">
        <f>IF(A47=" "," ",'#BerechnungDBE'!AA23)</f>
        <v xml:space="preserve"> </v>
      </c>
      <c r="D47" s="42" t="str">
        <f>IF(A47=" "," ",'#BerechnungDBE'!BA23)</f>
        <v xml:space="preserve"> </v>
      </c>
      <c r="E47" s="42" t="str">
        <f t="shared" si="36"/>
        <v xml:space="preserve"> </v>
      </c>
      <c r="F47" s="869"/>
      <c r="G47" s="42" t="str">
        <f>IF(A47=" ","",'#BerechnungDBE'!BA23+'#BerechnungDBE'!BF23)</f>
        <v/>
      </c>
      <c r="H47" s="444" t="str">
        <f t="shared" si="12"/>
        <v/>
      </c>
      <c r="I47" s="444">
        <f>'#minDung'!P29</f>
        <v>0</v>
      </c>
      <c r="J47" s="430" t="str">
        <f t="shared" si="34"/>
        <v xml:space="preserve"> </v>
      </c>
      <c r="K47" s="913">
        <f>IF(A47=" ",0,'Flächen u. Kulturen'!V28)</f>
        <v>0</v>
      </c>
      <c r="L47" s="883" t="str">
        <f t="shared" si="1"/>
        <v/>
      </c>
      <c r="M47" s="879" t="str">
        <f t="shared" si="13"/>
        <v xml:space="preserve"> </v>
      </c>
      <c r="N47" s="444" t="str">
        <f t="shared" si="14"/>
        <v xml:space="preserve"> </v>
      </c>
      <c r="O47" s="911" t="str">
        <f t="shared" si="15"/>
        <v xml:space="preserve"> </v>
      </c>
      <c r="P47" s="912" t="str">
        <f t="shared" si="16"/>
        <v xml:space="preserve"> </v>
      </c>
      <c r="Q47" s="912" t="str">
        <f t="shared" si="17"/>
        <v xml:space="preserve"> </v>
      </c>
      <c r="R47" s="444" t="str">
        <f t="shared" si="2"/>
        <v/>
      </c>
      <c r="S47" s="444" t="str">
        <f t="shared" si="18"/>
        <v/>
      </c>
      <c r="T47" s="444" t="str">
        <f t="shared" si="3"/>
        <v xml:space="preserve"> </v>
      </c>
      <c r="U47" s="119" t="str">
        <f t="shared" si="19"/>
        <v xml:space="preserve"> </v>
      </c>
      <c r="V47" s="444" t="str">
        <f t="shared" si="33"/>
        <v xml:space="preserve"> </v>
      </c>
      <c r="W47" s="909" t="str">
        <f t="shared" si="20"/>
        <v xml:space="preserve"> </v>
      </c>
      <c r="X47" s="924" t="str">
        <f t="shared" si="21"/>
        <v xml:space="preserve"> </v>
      </c>
      <c r="Y47" s="444" t="str">
        <f t="shared" si="4"/>
        <v xml:space="preserve"> </v>
      </c>
      <c r="Z47" s="444" t="str">
        <f t="shared" si="22"/>
        <v xml:space="preserve"> </v>
      </c>
      <c r="AA47" s="444" t="str">
        <f t="shared" si="23"/>
        <v xml:space="preserve"> </v>
      </c>
      <c r="AB47" s="912" t="str">
        <f t="shared" si="24"/>
        <v xml:space="preserve"> </v>
      </c>
      <c r="AC47" s="912" t="str">
        <f t="shared" si="25"/>
        <v xml:space="preserve"> </v>
      </c>
      <c r="AD47" s="444" t="str">
        <f t="shared" si="26"/>
        <v xml:space="preserve"> </v>
      </c>
      <c r="AE47" s="444" t="str">
        <f t="shared" si="27"/>
        <v/>
      </c>
      <c r="AF47" s="444" t="str">
        <f t="shared" si="28"/>
        <v xml:space="preserve"> </v>
      </c>
      <c r="AG47" s="119" t="str">
        <f t="shared" si="29"/>
        <v xml:space="preserve"> </v>
      </c>
      <c r="AH47" s="444" t="str">
        <f t="shared" si="30"/>
        <v xml:space="preserve"> </v>
      </c>
      <c r="AI47" s="909" t="str">
        <f t="shared" si="31"/>
        <v xml:space="preserve"> </v>
      </c>
      <c r="AJ47" s="879" t="str">
        <f t="shared" si="35"/>
        <v xml:space="preserve"> </v>
      </c>
      <c r="AK47" s="444" t="str">
        <f t="shared" si="5"/>
        <v xml:space="preserve"> </v>
      </c>
      <c r="AL47" s="444" t="str">
        <f t="shared" si="6"/>
        <v xml:space="preserve"> </v>
      </c>
      <c r="AM47" s="444" t="str">
        <f t="shared" si="7"/>
        <v xml:space="preserve"> </v>
      </c>
      <c r="AN47" s="119" t="str">
        <f t="shared" si="8"/>
        <v xml:space="preserve"> </v>
      </c>
      <c r="AO47" s="444" t="str">
        <f t="shared" si="9"/>
        <v xml:space="preserve"> </v>
      </c>
      <c r="AP47" s="444" t="str">
        <f t="shared" si="10"/>
        <v xml:space="preserve"> </v>
      </c>
      <c r="AQ47" s="123" t="str">
        <f>IF(A47=" "," ",IF('#orgDung'!AB32=0,0,AO47/'#orgDung'!AB32))</f>
        <v xml:space="preserve"> </v>
      </c>
      <c r="AR47" s="47" t="str">
        <f>IF(A47=" "," ",IF('#orgDung'!AB32=0,0,AP47/'#orgDung'!AB32))</f>
        <v xml:space="preserve"> </v>
      </c>
      <c r="AS47" s="890">
        <f>IF(OR(B47=0,B47=""),0,MAX('Flächen u. Kulturen'!V28,AT47/B47))</f>
        <v>0</v>
      </c>
      <c r="AT47" s="875">
        <f t="shared" si="32"/>
        <v>0</v>
      </c>
      <c r="AU47" s="120" t="str">
        <f t="shared" si="11"/>
        <v xml:space="preserve"> </v>
      </c>
    </row>
    <row r="48" spans="1:47" s="875" customFormat="1" x14ac:dyDescent="0.2">
      <c r="A48" s="447" t="str">
        <f>IF('Flächen u. Kulturen'!E29="x",IF(AND('#Kürzungen'!$F$2=2,'#BerechnungDBE'!R24=1,'Flächen u. Kulturen'!D29&lt;&gt;""),'Flächen u. Kulturen'!A29,IF(AND('#BerechnungDBE'!S24=1,'Flächen u. Kulturen'!D29&lt;&gt;""),'Flächen u. Kulturen'!A29," "))," ")</f>
        <v xml:space="preserve"> </v>
      </c>
      <c r="B48" s="505" t="str">
        <f>'Flächen u. Kulturen'!D29</f>
        <v/>
      </c>
      <c r="C48" s="42" t="str">
        <f>IF(A48=" "," ",'#BerechnungDBE'!AA24)</f>
        <v xml:space="preserve"> </v>
      </c>
      <c r="D48" s="42" t="str">
        <f>IF(A48=" "," ",'#BerechnungDBE'!BA24)</f>
        <v xml:space="preserve"> </v>
      </c>
      <c r="E48" s="42" t="str">
        <f t="shared" si="36"/>
        <v xml:space="preserve"> </v>
      </c>
      <c r="F48" s="869"/>
      <c r="G48" s="42" t="str">
        <f>IF(A48=" ","",'#BerechnungDBE'!BA24+'#BerechnungDBE'!BF24)</f>
        <v/>
      </c>
      <c r="H48" s="444" t="str">
        <f t="shared" si="12"/>
        <v/>
      </c>
      <c r="I48" s="444">
        <f>'#minDung'!P30</f>
        <v>0</v>
      </c>
      <c r="J48" s="430" t="str">
        <f t="shared" si="34"/>
        <v xml:space="preserve"> </v>
      </c>
      <c r="K48" s="913">
        <f>IF(A48=" ",0,'Flächen u. Kulturen'!V29)</f>
        <v>0</v>
      </c>
      <c r="L48" s="883" t="str">
        <f t="shared" si="1"/>
        <v/>
      </c>
      <c r="M48" s="879" t="str">
        <f t="shared" si="13"/>
        <v xml:space="preserve"> </v>
      </c>
      <c r="N48" s="444" t="str">
        <f t="shared" si="14"/>
        <v xml:space="preserve"> </v>
      </c>
      <c r="O48" s="911" t="str">
        <f t="shared" si="15"/>
        <v xml:space="preserve"> </v>
      </c>
      <c r="P48" s="912" t="str">
        <f t="shared" si="16"/>
        <v xml:space="preserve"> </v>
      </c>
      <c r="Q48" s="912" t="str">
        <f t="shared" si="17"/>
        <v xml:space="preserve"> </v>
      </c>
      <c r="R48" s="444" t="str">
        <f t="shared" si="2"/>
        <v/>
      </c>
      <c r="S48" s="444" t="str">
        <f t="shared" si="18"/>
        <v/>
      </c>
      <c r="T48" s="444" t="str">
        <f t="shared" si="3"/>
        <v xml:space="preserve"> </v>
      </c>
      <c r="U48" s="119" t="str">
        <f t="shared" si="19"/>
        <v xml:space="preserve"> </v>
      </c>
      <c r="V48" s="444" t="str">
        <f t="shared" si="33"/>
        <v xml:space="preserve"> </v>
      </c>
      <c r="W48" s="909" t="str">
        <f t="shared" si="20"/>
        <v xml:space="preserve"> </v>
      </c>
      <c r="X48" s="924" t="str">
        <f t="shared" si="21"/>
        <v xml:space="preserve"> </v>
      </c>
      <c r="Y48" s="444" t="str">
        <f t="shared" si="4"/>
        <v xml:space="preserve"> </v>
      </c>
      <c r="Z48" s="444" t="str">
        <f t="shared" si="22"/>
        <v xml:space="preserve"> </v>
      </c>
      <c r="AA48" s="444" t="str">
        <f t="shared" si="23"/>
        <v xml:space="preserve"> </v>
      </c>
      <c r="AB48" s="912" t="str">
        <f t="shared" si="24"/>
        <v xml:space="preserve"> </v>
      </c>
      <c r="AC48" s="912" t="str">
        <f t="shared" si="25"/>
        <v xml:space="preserve"> </v>
      </c>
      <c r="AD48" s="444" t="str">
        <f t="shared" si="26"/>
        <v xml:space="preserve"> </v>
      </c>
      <c r="AE48" s="444" t="str">
        <f t="shared" si="27"/>
        <v/>
      </c>
      <c r="AF48" s="444" t="str">
        <f t="shared" si="28"/>
        <v xml:space="preserve"> </v>
      </c>
      <c r="AG48" s="119" t="str">
        <f t="shared" si="29"/>
        <v xml:space="preserve"> </v>
      </c>
      <c r="AH48" s="444" t="str">
        <f t="shared" si="30"/>
        <v xml:space="preserve"> </v>
      </c>
      <c r="AI48" s="909" t="str">
        <f t="shared" si="31"/>
        <v xml:space="preserve"> </v>
      </c>
      <c r="AJ48" s="879" t="str">
        <f t="shared" si="35"/>
        <v xml:space="preserve"> </v>
      </c>
      <c r="AK48" s="444" t="str">
        <f t="shared" si="5"/>
        <v xml:space="preserve"> </v>
      </c>
      <c r="AL48" s="444" t="str">
        <f t="shared" si="6"/>
        <v xml:space="preserve"> </v>
      </c>
      <c r="AM48" s="444" t="str">
        <f t="shared" si="7"/>
        <v xml:space="preserve"> </v>
      </c>
      <c r="AN48" s="119" t="str">
        <f t="shared" si="8"/>
        <v xml:space="preserve"> </v>
      </c>
      <c r="AO48" s="444" t="str">
        <f t="shared" si="9"/>
        <v xml:space="preserve"> </v>
      </c>
      <c r="AP48" s="444" t="str">
        <f t="shared" si="10"/>
        <v xml:space="preserve"> </v>
      </c>
      <c r="AQ48" s="123" t="str">
        <f>IF(A48=" "," ",IF('#orgDung'!AB33=0,0,AO48/'#orgDung'!AB33))</f>
        <v xml:space="preserve"> </v>
      </c>
      <c r="AR48" s="47" t="str">
        <f>IF(A48=" "," ",IF('#orgDung'!AB33=0,0,AP48/'#orgDung'!AB33))</f>
        <v xml:space="preserve"> </v>
      </c>
      <c r="AS48" s="890">
        <f>IF(OR(B48=0,B48=""),0,MAX('Flächen u. Kulturen'!V29,AT48/B48))</f>
        <v>0</v>
      </c>
      <c r="AT48" s="875">
        <f t="shared" si="32"/>
        <v>0</v>
      </c>
      <c r="AU48" s="120" t="str">
        <f t="shared" si="11"/>
        <v xml:space="preserve"> </v>
      </c>
    </row>
    <row r="49" spans="1:47" s="875" customFormat="1" x14ac:dyDescent="0.2">
      <c r="A49" s="447" t="str">
        <f>IF('Flächen u. Kulturen'!E30="x",IF(AND('#Kürzungen'!$F$2=2,'#BerechnungDBE'!R25=1,'Flächen u. Kulturen'!D30&lt;&gt;""),'Flächen u. Kulturen'!A30,IF(AND('#BerechnungDBE'!S25=1,'Flächen u. Kulturen'!D30&lt;&gt;""),'Flächen u. Kulturen'!A30," "))," ")</f>
        <v xml:space="preserve"> </v>
      </c>
      <c r="B49" s="505" t="str">
        <f>'Flächen u. Kulturen'!D30</f>
        <v/>
      </c>
      <c r="C49" s="42" t="str">
        <f>IF(A49=" "," ",'#BerechnungDBE'!AA25)</f>
        <v xml:space="preserve"> </v>
      </c>
      <c r="D49" s="42" t="str">
        <f>IF(A49=" "," ",'#BerechnungDBE'!BA25)</f>
        <v xml:space="preserve"> </v>
      </c>
      <c r="E49" s="42" t="str">
        <f t="shared" si="36"/>
        <v xml:space="preserve"> </v>
      </c>
      <c r="F49" s="869"/>
      <c r="G49" s="42" t="str">
        <f>IF(A49=" ","",'#BerechnungDBE'!BA25+'#BerechnungDBE'!BF25)</f>
        <v/>
      </c>
      <c r="H49" s="444" t="str">
        <f t="shared" si="12"/>
        <v/>
      </c>
      <c r="I49" s="444">
        <f>'#minDung'!P31</f>
        <v>0</v>
      </c>
      <c r="J49" s="430" t="str">
        <f t="shared" si="34"/>
        <v xml:space="preserve"> </v>
      </c>
      <c r="K49" s="913">
        <f>IF(A49=" ",0,'Flächen u. Kulturen'!V30)</f>
        <v>0</v>
      </c>
      <c r="L49" s="883" t="str">
        <f t="shared" si="1"/>
        <v/>
      </c>
      <c r="M49" s="879" t="str">
        <f t="shared" si="13"/>
        <v xml:space="preserve"> </v>
      </c>
      <c r="N49" s="444" t="str">
        <f t="shared" si="14"/>
        <v xml:space="preserve"> </v>
      </c>
      <c r="O49" s="911" t="str">
        <f t="shared" si="15"/>
        <v xml:space="preserve"> </v>
      </c>
      <c r="P49" s="912" t="str">
        <f t="shared" si="16"/>
        <v xml:space="preserve"> </v>
      </c>
      <c r="Q49" s="912" t="str">
        <f t="shared" si="17"/>
        <v xml:space="preserve"> </v>
      </c>
      <c r="R49" s="444" t="str">
        <f t="shared" si="2"/>
        <v/>
      </c>
      <c r="S49" s="444" t="str">
        <f t="shared" si="18"/>
        <v/>
      </c>
      <c r="T49" s="444" t="str">
        <f t="shared" si="3"/>
        <v xml:space="preserve"> </v>
      </c>
      <c r="U49" s="119" t="str">
        <f t="shared" si="19"/>
        <v xml:space="preserve"> </v>
      </c>
      <c r="V49" s="444" t="str">
        <f t="shared" si="33"/>
        <v xml:space="preserve"> </v>
      </c>
      <c r="W49" s="909" t="str">
        <f t="shared" si="20"/>
        <v xml:space="preserve"> </v>
      </c>
      <c r="X49" s="924" t="str">
        <f t="shared" si="21"/>
        <v xml:space="preserve"> </v>
      </c>
      <c r="Y49" s="444" t="str">
        <f t="shared" si="4"/>
        <v xml:space="preserve"> </v>
      </c>
      <c r="Z49" s="444" t="str">
        <f t="shared" si="22"/>
        <v xml:space="preserve"> </v>
      </c>
      <c r="AA49" s="444" t="str">
        <f t="shared" si="23"/>
        <v xml:space="preserve"> </v>
      </c>
      <c r="AB49" s="912" t="str">
        <f t="shared" si="24"/>
        <v xml:space="preserve"> </v>
      </c>
      <c r="AC49" s="912" t="str">
        <f t="shared" si="25"/>
        <v xml:space="preserve"> </v>
      </c>
      <c r="AD49" s="444" t="str">
        <f t="shared" si="26"/>
        <v xml:space="preserve"> </v>
      </c>
      <c r="AE49" s="444" t="str">
        <f t="shared" si="27"/>
        <v/>
      </c>
      <c r="AF49" s="444" t="str">
        <f t="shared" si="28"/>
        <v xml:space="preserve"> </v>
      </c>
      <c r="AG49" s="119" t="str">
        <f t="shared" si="29"/>
        <v xml:space="preserve"> </v>
      </c>
      <c r="AH49" s="444" t="str">
        <f t="shared" si="30"/>
        <v xml:space="preserve"> </v>
      </c>
      <c r="AI49" s="909" t="str">
        <f t="shared" si="31"/>
        <v xml:space="preserve"> </v>
      </c>
      <c r="AJ49" s="879" t="str">
        <f t="shared" si="35"/>
        <v xml:space="preserve"> </v>
      </c>
      <c r="AK49" s="444" t="str">
        <f t="shared" si="5"/>
        <v xml:space="preserve"> </v>
      </c>
      <c r="AL49" s="444" t="str">
        <f t="shared" si="6"/>
        <v xml:space="preserve"> </v>
      </c>
      <c r="AM49" s="444" t="str">
        <f t="shared" si="7"/>
        <v xml:space="preserve"> </v>
      </c>
      <c r="AN49" s="119" t="str">
        <f t="shared" si="8"/>
        <v xml:space="preserve"> </v>
      </c>
      <c r="AO49" s="444" t="str">
        <f t="shared" si="9"/>
        <v xml:space="preserve"> </v>
      </c>
      <c r="AP49" s="444" t="str">
        <f t="shared" si="10"/>
        <v xml:space="preserve"> </v>
      </c>
      <c r="AQ49" s="123" t="str">
        <f>IF(A49=" "," ",IF('#orgDung'!AB34=0,0,AO49/'#orgDung'!AB34))</f>
        <v xml:space="preserve"> </v>
      </c>
      <c r="AR49" s="47" t="str">
        <f>IF(A49=" "," ",IF('#orgDung'!AB34=0,0,AP49/'#orgDung'!AB34))</f>
        <v xml:space="preserve"> </v>
      </c>
      <c r="AS49" s="890">
        <f>IF(OR(B49=0,B49=""),0,MAX('Flächen u. Kulturen'!V30,AT49/B49))</f>
        <v>0</v>
      </c>
      <c r="AT49" s="875">
        <f t="shared" si="32"/>
        <v>0</v>
      </c>
      <c r="AU49" s="120" t="str">
        <f t="shared" si="11"/>
        <v xml:space="preserve"> </v>
      </c>
    </row>
    <row r="50" spans="1:47" s="875" customFormat="1" x14ac:dyDescent="0.2">
      <c r="A50" s="447" t="str">
        <f>IF('Flächen u. Kulturen'!E31="x",IF(AND('#Kürzungen'!$F$2=2,'#BerechnungDBE'!R26=1,'Flächen u. Kulturen'!D31&lt;&gt;""),'Flächen u. Kulturen'!A31,IF(AND('#BerechnungDBE'!S26=1,'Flächen u. Kulturen'!D31&lt;&gt;""),'Flächen u. Kulturen'!A31," "))," ")</f>
        <v xml:space="preserve"> </v>
      </c>
      <c r="B50" s="505" t="str">
        <f>'Flächen u. Kulturen'!D31</f>
        <v/>
      </c>
      <c r="C50" s="42" t="str">
        <f>IF(A50=" "," ",'#BerechnungDBE'!AA26)</f>
        <v xml:space="preserve"> </v>
      </c>
      <c r="D50" s="42" t="str">
        <f>IF(A50=" "," ",'#BerechnungDBE'!BA26)</f>
        <v xml:space="preserve"> </v>
      </c>
      <c r="E50" s="42" t="str">
        <f t="shared" si="36"/>
        <v xml:space="preserve"> </v>
      </c>
      <c r="F50" s="869"/>
      <c r="G50" s="42" t="str">
        <f>IF(A50=" ","",'#BerechnungDBE'!BA26+'#BerechnungDBE'!BF26)</f>
        <v/>
      </c>
      <c r="H50" s="444" t="str">
        <f t="shared" si="12"/>
        <v/>
      </c>
      <c r="I50" s="444">
        <f>'#minDung'!P32</f>
        <v>0</v>
      </c>
      <c r="J50" s="430" t="str">
        <f t="shared" si="34"/>
        <v xml:space="preserve"> </v>
      </c>
      <c r="K50" s="913">
        <f>IF(A50=" ",0,'Flächen u. Kulturen'!V31)</f>
        <v>0</v>
      </c>
      <c r="L50" s="883" t="str">
        <f t="shared" si="1"/>
        <v/>
      </c>
      <c r="M50" s="879" t="str">
        <f t="shared" si="13"/>
        <v xml:space="preserve"> </v>
      </c>
      <c r="N50" s="444" t="str">
        <f t="shared" si="14"/>
        <v xml:space="preserve"> </v>
      </c>
      <c r="O50" s="911" t="str">
        <f t="shared" si="15"/>
        <v xml:space="preserve"> </v>
      </c>
      <c r="P50" s="912" t="str">
        <f t="shared" si="16"/>
        <v xml:space="preserve"> </v>
      </c>
      <c r="Q50" s="912" t="str">
        <f t="shared" si="17"/>
        <v xml:space="preserve"> </v>
      </c>
      <c r="R50" s="444" t="str">
        <f t="shared" si="2"/>
        <v/>
      </c>
      <c r="S50" s="444" t="str">
        <f t="shared" si="18"/>
        <v/>
      </c>
      <c r="T50" s="444" t="str">
        <f t="shared" si="3"/>
        <v xml:space="preserve"> </v>
      </c>
      <c r="U50" s="119" t="str">
        <f t="shared" si="19"/>
        <v xml:space="preserve"> </v>
      </c>
      <c r="V50" s="444" t="str">
        <f t="shared" si="33"/>
        <v xml:space="preserve"> </v>
      </c>
      <c r="W50" s="909" t="str">
        <f t="shared" si="20"/>
        <v xml:space="preserve"> </v>
      </c>
      <c r="X50" s="924" t="str">
        <f t="shared" si="21"/>
        <v xml:space="preserve"> </v>
      </c>
      <c r="Y50" s="444" t="str">
        <f t="shared" si="4"/>
        <v xml:space="preserve"> </v>
      </c>
      <c r="Z50" s="444" t="str">
        <f t="shared" si="22"/>
        <v xml:space="preserve"> </v>
      </c>
      <c r="AA50" s="444" t="str">
        <f t="shared" si="23"/>
        <v xml:space="preserve"> </v>
      </c>
      <c r="AB50" s="912" t="str">
        <f t="shared" si="24"/>
        <v xml:space="preserve"> </v>
      </c>
      <c r="AC50" s="912" t="str">
        <f t="shared" si="25"/>
        <v xml:space="preserve"> </v>
      </c>
      <c r="AD50" s="444" t="str">
        <f t="shared" si="26"/>
        <v xml:space="preserve"> </v>
      </c>
      <c r="AE50" s="444" t="str">
        <f t="shared" si="27"/>
        <v/>
      </c>
      <c r="AF50" s="444" t="str">
        <f t="shared" si="28"/>
        <v xml:space="preserve"> </v>
      </c>
      <c r="AG50" s="119" t="str">
        <f t="shared" si="29"/>
        <v xml:space="preserve"> </v>
      </c>
      <c r="AH50" s="444" t="str">
        <f t="shared" si="30"/>
        <v xml:space="preserve"> </v>
      </c>
      <c r="AI50" s="909" t="str">
        <f t="shared" si="31"/>
        <v xml:space="preserve"> </v>
      </c>
      <c r="AJ50" s="879" t="str">
        <f t="shared" si="35"/>
        <v xml:space="preserve"> </v>
      </c>
      <c r="AK50" s="444" t="str">
        <f t="shared" si="5"/>
        <v xml:space="preserve"> </v>
      </c>
      <c r="AL50" s="444" t="str">
        <f t="shared" si="6"/>
        <v xml:space="preserve"> </v>
      </c>
      <c r="AM50" s="444" t="str">
        <f t="shared" si="7"/>
        <v xml:space="preserve"> </v>
      </c>
      <c r="AN50" s="119" t="str">
        <f t="shared" si="8"/>
        <v xml:space="preserve"> </v>
      </c>
      <c r="AO50" s="444" t="str">
        <f t="shared" si="9"/>
        <v xml:space="preserve"> </v>
      </c>
      <c r="AP50" s="444" t="str">
        <f t="shared" si="10"/>
        <v xml:space="preserve"> </v>
      </c>
      <c r="AQ50" s="123" t="str">
        <f>IF(A50=" "," ",IF('#orgDung'!AB35=0,0,AO50/'#orgDung'!AB35))</f>
        <v xml:space="preserve"> </v>
      </c>
      <c r="AR50" s="47" t="str">
        <f>IF(A50=" "," ",IF('#orgDung'!AB35=0,0,AP50/'#orgDung'!AB35))</f>
        <v xml:space="preserve"> </v>
      </c>
      <c r="AS50" s="890">
        <f>IF(OR(B50=0,B50=""),0,MAX('Flächen u. Kulturen'!V31,AT50/B50))</f>
        <v>0</v>
      </c>
      <c r="AT50" s="875">
        <f t="shared" si="32"/>
        <v>0</v>
      </c>
      <c r="AU50" s="120" t="str">
        <f t="shared" si="11"/>
        <v xml:space="preserve"> </v>
      </c>
    </row>
    <row r="51" spans="1:47" s="875" customFormat="1" x14ac:dyDescent="0.2">
      <c r="A51" s="447" t="str">
        <f>IF('Flächen u. Kulturen'!E32="x",IF(AND('#Kürzungen'!$F$2=2,'#BerechnungDBE'!R27=1,'Flächen u. Kulturen'!D32&lt;&gt;""),'Flächen u. Kulturen'!A32,IF(AND('#BerechnungDBE'!S27=1,'Flächen u. Kulturen'!D32&lt;&gt;""),'Flächen u. Kulturen'!A32," "))," ")</f>
        <v xml:space="preserve"> </v>
      </c>
      <c r="B51" s="505" t="str">
        <f>'Flächen u. Kulturen'!D32</f>
        <v/>
      </c>
      <c r="C51" s="42" t="str">
        <f>IF(A51=" "," ",'#BerechnungDBE'!AA27)</f>
        <v xml:space="preserve"> </v>
      </c>
      <c r="D51" s="42" t="str">
        <f>IF(A51=" "," ",'#BerechnungDBE'!BA27)</f>
        <v xml:space="preserve"> </v>
      </c>
      <c r="E51" s="42" t="str">
        <f t="shared" si="36"/>
        <v xml:space="preserve"> </v>
      </c>
      <c r="F51" s="869"/>
      <c r="G51" s="42" t="str">
        <f>IF(A51=" ","",'#BerechnungDBE'!BA27+'#BerechnungDBE'!BF27)</f>
        <v/>
      </c>
      <c r="H51" s="444" t="str">
        <f t="shared" si="12"/>
        <v/>
      </c>
      <c r="I51" s="444">
        <f>'#minDung'!P33</f>
        <v>0</v>
      </c>
      <c r="J51" s="430" t="str">
        <f t="shared" si="34"/>
        <v xml:space="preserve"> </v>
      </c>
      <c r="K51" s="913">
        <f>IF(A51=" ",0,'Flächen u. Kulturen'!V32)</f>
        <v>0</v>
      </c>
      <c r="L51" s="883" t="str">
        <f t="shared" si="1"/>
        <v/>
      </c>
      <c r="M51" s="879" t="str">
        <f t="shared" si="13"/>
        <v xml:space="preserve"> </v>
      </c>
      <c r="N51" s="444" t="str">
        <f t="shared" si="14"/>
        <v xml:space="preserve"> </v>
      </c>
      <c r="O51" s="911" t="str">
        <f t="shared" si="15"/>
        <v xml:space="preserve"> </v>
      </c>
      <c r="P51" s="912" t="str">
        <f t="shared" si="16"/>
        <v xml:space="preserve"> </v>
      </c>
      <c r="Q51" s="912" t="str">
        <f t="shared" si="17"/>
        <v xml:space="preserve"> </v>
      </c>
      <c r="R51" s="444" t="str">
        <f t="shared" si="2"/>
        <v/>
      </c>
      <c r="S51" s="444" t="str">
        <f t="shared" si="18"/>
        <v/>
      </c>
      <c r="T51" s="444" t="str">
        <f t="shared" si="3"/>
        <v xml:space="preserve"> </v>
      </c>
      <c r="U51" s="119" t="str">
        <f t="shared" si="19"/>
        <v xml:space="preserve"> </v>
      </c>
      <c r="V51" s="444" t="str">
        <f t="shared" si="33"/>
        <v xml:space="preserve"> </v>
      </c>
      <c r="W51" s="909" t="str">
        <f t="shared" si="20"/>
        <v xml:space="preserve"> </v>
      </c>
      <c r="X51" s="924" t="str">
        <f t="shared" si="21"/>
        <v xml:space="preserve"> </v>
      </c>
      <c r="Y51" s="444" t="str">
        <f t="shared" si="4"/>
        <v xml:space="preserve"> </v>
      </c>
      <c r="Z51" s="444" t="str">
        <f t="shared" si="22"/>
        <v xml:space="preserve"> </v>
      </c>
      <c r="AA51" s="444" t="str">
        <f t="shared" si="23"/>
        <v xml:space="preserve"> </v>
      </c>
      <c r="AB51" s="912" t="str">
        <f t="shared" si="24"/>
        <v xml:space="preserve"> </v>
      </c>
      <c r="AC51" s="912" t="str">
        <f t="shared" si="25"/>
        <v xml:space="preserve"> </v>
      </c>
      <c r="AD51" s="444" t="str">
        <f t="shared" si="26"/>
        <v xml:space="preserve"> </v>
      </c>
      <c r="AE51" s="444" t="str">
        <f t="shared" si="27"/>
        <v/>
      </c>
      <c r="AF51" s="444" t="str">
        <f t="shared" si="28"/>
        <v xml:space="preserve"> </v>
      </c>
      <c r="AG51" s="119" t="str">
        <f t="shared" si="29"/>
        <v xml:space="preserve"> </v>
      </c>
      <c r="AH51" s="444" t="str">
        <f t="shared" si="30"/>
        <v xml:space="preserve"> </v>
      </c>
      <c r="AI51" s="909" t="str">
        <f t="shared" si="31"/>
        <v xml:space="preserve"> </v>
      </c>
      <c r="AJ51" s="879" t="str">
        <f t="shared" si="35"/>
        <v xml:space="preserve"> </v>
      </c>
      <c r="AK51" s="444" t="str">
        <f t="shared" si="5"/>
        <v xml:space="preserve"> </v>
      </c>
      <c r="AL51" s="444" t="str">
        <f t="shared" si="6"/>
        <v xml:space="preserve"> </v>
      </c>
      <c r="AM51" s="444" t="str">
        <f t="shared" si="7"/>
        <v xml:space="preserve"> </v>
      </c>
      <c r="AN51" s="119" t="str">
        <f t="shared" si="8"/>
        <v xml:space="preserve"> </v>
      </c>
      <c r="AO51" s="444" t="str">
        <f t="shared" si="9"/>
        <v xml:space="preserve"> </v>
      </c>
      <c r="AP51" s="444" t="str">
        <f t="shared" si="10"/>
        <v xml:space="preserve"> </v>
      </c>
      <c r="AQ51" s="123" t="str">
        <f>IF(A51=" "," ",IF('#orgDung'!AB36=0,0,AO51/'#orgDung'!AB36))</f>
        <v xml:space="preserve"> </v>
      </c>
      <c r="AR51" s="47" t="str">
        <f>IF(A51=" "," ",IF('#orgDung'!AB36=0,0,AP51/'#orgDung'!AB36))</f>
        <v xml:space="preserve"> </v>
      </c>
      <c r="AS51" s="890">
        <f>IF(OR(B51=0,B51=""),0,MAX('Flächen u. Kulturen'!V32,AT51/B51))</f>
        <v>0</v>
      </c>
      <c r="AT51" s="875">
        <f t="shared" si="32"/>
        <v>0</v>
      </c>
      <c r="AU51" s="120" t="str">
        <f t="shared" si="11"/>
        <v xml:space="preserve"> </v>
      </c>
    </row>
    <row r="52" spans="1:47" s="875" customFormat="1" x14ac:dyDescent="0.2">
      <c r="A52" s="447" t="str">
        <f>IF('Flächen u. Kulturen'!E33="x",IF(AND('#Kürzungen'!$F$2=2,'#BerechnungDBE'!R28=1,'Flächen u. Kulturen'!D33&lt;&gt;""),'Flächen u. Kulturen'!A33,IF(AND('#BerechnungDBE'!S28=1,'Flächen u. Kulturen'!D33&lt;&gt;""),'Flächen u. Kulturen'!A33," "))," ")</f>
        <v xml:space="preserve"> </v>
      </c>
      <c r="B52" s="505" t="str">
        <f>'Flächen u. Kulturen'!D33</f>
        <v/>
      </c>
      <c r="C52" s="42" t="str">
        <f>IF(A52=" "," ",'#BerechnungDBE'!AA28)</f>
        <v xml:space="preserve"> </v>
      </c>
      <c r="D52" s="42" t="str">
        <f>IF(A52=" "," ",'#BerechnungDBE'!BA28)</f>
        <v xml:space="preserve"> </v>
      </c>
      <c r="E52" s="42" t="str">
        <f t="shared" si="36"/>
        <v xml:space="preserve"> </v>
      </c>
      <c r="F52" s="869"/>
      <c r="G52" s="42" t="str">
        <f>IF(A52=" ","",'#BerechnungDBE'!BA28+'#BerechnungDBE'!BF28)</f>
        <v/>
      </c>
      <c r="H52" s="444" t="str">
        <f t="shared" si="12"/>
        <v/>
      </c>
      <c r="I52" s="444">
        <f>'#minDung'!P34</f>
        <v>0</v>
      </c>
      <c r="J52" s="430" t="str">
        <f t="shared" si="34"/>
        <v xml:space="preserve"> </v>
      </c>
      <c r="K52" s="913">
        <f>IF(A52=" ",0,'Flächen u. Kulturen'!V33)</f>
        <v>0</v>
      </c>
      <c r="L52" s="883" t="str">
        <f t="shared" si="1"/>
        <v/>
      </c>
      <c r="M52" s="879" t="str">
        <f t="shared" si="13"/>
        <v xml:space="preserve"> </v>
      </c>
      <c r="N52" s="444" t="str">
        <f t="shared" si="14"/>
        <v xml:space="preserve"> </v>
      </c>
      <c r="O52" s="911" t="str">
        <f t="shared" si="15"/>
        <v xml:space="preserve"> </v>
      </c>
      <c r="P52" s="912" t="str">
        <f t="shared" si="16"/>
        <v xml:space="preserve"> </v>
      </c>
      <c r="Q52" s="912" t="str">
        <f t="shared" si="17"/>
        <v xml:space="preserve"> </v>
      </c>
      <c r="R52" s="444" t="str">
        <f t="shared" si="2"/>
        <v/>
      </c>
      <c r="S52" s="444" t="str">
        <f t="shared" si="18"/>
        <v/>
      </c>
      <c r="T52" s="444" t="str">
        <f t="shared" si="3"/>
        <v xml:space="preserve"> </v>
      </c>
      <c r="U52" s="119" t="str">
        <f t="shared" si="19"/>
        <v xml:space="preserve"> </v>
      </c>
      <c r="V52" s="444" t="str">
        <f t="shared" si="33"/>
        <v xml:space="preserve"> </v>
      </c>
      <c r="W52" s="909" t="str">
        <f t="shared" si="20"/>
        <v xml:space="preserve"> </v>
      </c>
      <c r="X52" s="924" t="str">
        <f t="shared" si="21"/>
        <v xml:space="preserve"> </v>
      </c>
      <c r="Y52" s="444" t="str">
        <f t="shared" si="4"/>
        <v xml:space="preserve"> </v>
      </c>
      <c r="Z52" s="444" t="str">
        <f t="shared" si="22"/>
        <v xml:space="preserve"> </v>
      </c>
      <c r="AA52" s="444" t="str">
        <f t="shared" si="23"/>
        <v xml:space="preserve"> </v>
      </c>
      <c r="AB52" s="912" t="str">
        <f t="shared" si="24"/>
        <v xml:space="preserve"> </v>
      </c>
      <c r="AC52" s="912" t="str">
        <f t="shared" si="25"/>
        <v xml:space="preserve"> </v>
      </c>
      <c r="AD52" s="444" t="str">
        <f t="shared" si="26"/>
        <v xml:space="preserve"> </v>
      </c>
      <c r="AE52" s="444" t="str">
        <f t="shared" si="27"/>
        <v/>
      </c>
      <c r="AF52" s="444" t="str">
        <f t="shared" si="28"/>
        <v xml:space="preserve"> </v>
      </c>
      <c r="AG52" s="119" t="str">
        <f t="shared" si="29"/>
        <v xml:space="preserve"> </v>
      </c>
      <c r="AH52" s="444" t="str">
        <f t="shared" si="30"/>
        <v xml:space="preserve"> </v>
      </c>
      <c r="AI52" s="909" t="str">
        <f t="shared" si="31"/>
        <v xml:space="preserve"> </v>
      </c>
      <c r="AJ52" s="879" t="str">
        <f t="shared" si="35"/>
        <v xml:space="preserve"> </v>
      </c>
      <c r="AK52" s="444" t="str">
        <f t="shared" si="5"/>
        <v xml:space="preserve"> </v>
      </c>
      <c r="AL52" s="444" t="str">
        <f t="shared" si="6"/>
        <v xml:space="preserve"> </v>
      </c>
      <c r="AM52" s="444" t="str">
        <f t="shared" si="7"/>
        <v xml:space="preserve"> </v>
      </c>
      <c r="AN52" s="119" t="str">
        <f t="shared" si="8"/>
        <v xml:space="preserve"> </v>
      </c>
      <c r="AO52" s="444" t="str">
        <f t="shared" si="9"/>
        <v xml:space="preserve"> </v>
      </c>
      <c r="AP52" s="444" t="str">
        <f t="shared" si="10"/>
        <v xml:space="preserve"> </v>
      </c>
      <c r="AQ52" s="123" t="str">
        <f>IF(A52=" "," ",IF('#orgDung'!AB37=0,0,AO52/'#orgDung'!AB37))</f>
        <v xml:space="preserve"> </v>
      </c>
      <c r="AR52" s="47" t="str">
        <f>IF(A52=" "," ",IF('#orgDung'!AB37=0,0,AP52/'#orgDung'!AB37))</f>
        <v xml:space="preserve"> </v>
      </c>
      <c r="AS52" s="890">
        <f>IF(OR(B52=0,B52=""),0,MAX('Flächen u. Kulturen'!V33,AT52/B52))</f>
        <v>0</v>
      </c>
      <c r="AT52" s="875">
        <f t="shared" si="32"/>
        <v>0</v>
      </c>
      <c r="AU52" s="120" t="str">
        <f t="shared" si="11"/>
        <v xml:space="preserve"> </v>
      </c>
    </row>
    <row r="53" spans="1:47" s="875" customFormat="1" x14ac:dyDescent="0.2">
      <c r="A53" s="447" t="str">
        <f>IF('Flächen u. Kulturen'!E34="x",IF(AND('#Kürzungen'!$F$2=2,'#BerechnungDBE'!R29=1,'Flächen u. Kulturen'!D34&lt;&gt;""),'Flächen u. Kulturen'!A34,IF(AND('#BerechnungDBE'!S29=1,'Flächen u. Kulturen'!D34&lt;&gt;""),'Flächen u. Kulturen'!A34," "))," ")</f>
        <v xml:space="preserve"> </v>
      </c>
      <c r="B53" s="505" t="str">
        <f>'Flächen u. Kulturen'!D34</f>
        <v/>
      </c>
      <c r="C53" s="42" t="str">
        <f>IF(A53=" "," ",'#BerechnungDBE'!AA29)</f>
        <v xml:space="preserve"> </v>
      </c>
      <c r="D53" s="42" t="str">
        <f>IF(A53=" "," ",'#BerechnungDBE'!BA29)</f>
        <v xml:space="preserve"> </v>
      </c>
      <c r="E53" s="42" t="str">
        <f t="shared" si="36"/>
        <v xml:space="preserve"> </v>
      </c>
      <c r="F53" s="869"/>
      <c r="G53" s="42" t="str">
        <f>IF(A53=" ","",'#BerechnungDBE'!BA29+'#BerechnungDBE'!BF29)</f>
        <v/>
      </c>
      <c r="H53" s="444" t="str">
        <f t="shared" si="12"/>
        <v/>
      </c>
      <c r="I53" s="444">
        <f>'#minDung'!P35</f>
        <v>0</v>
      </c>
      <c r="J53" s="430" t="str">
        <f t="shared" si="34"/>
        <v xml:space="preserve"> </v>
      </c>
      <c r="K53" s="913">
        <f>IF(A53=" ",0,'Flächen u. Kulturen'!V34)</f>
        <v>0</v>
      </c>
      <c r="L53" s="883" t="str">
        <f t="shared" si="1"/>
        <v/>
      </c>
      <c r="M53" s="879" t="str">
        <f t="shared" si="13"/>
        <v xml:space="preserve"> </v>
      </c>
      <c r="N53" s="444" t="str">
        <f t="shared" si="14"/>
        <v xml:space="preserve"> </v>
      </c>
      <c r="O53" s="911" t="str">
        <f t="shared" si="15"/>
        <v xml:space="preserve"> </v>
      </c>
      <c r="P53" s="912" t="str">
        <f t="shared" si="16"/>
        <v xml:space="preserve"> </v>
      </c>
      <c r="Q53" s="912" t="str">
        <f t="shared" si="17"/>
        <v xml:space="preserve"> </v>
      </c>
      <c r="R53" s="444" t="str">
        <f t="shared" si="2"/>
        <v/>
      </c>
      <c r="S53" s="444" t="str">
        <f t="shared" si="18"/>
        <v/>
      </c>
      <c r="T53" s="444" t="str">
        <f t="shared" si="3"/>
        <v xml:space="preserve"> </v>
      </c>
      <c r="U53" s="119" t="str">
        <f t="shared" si="19"/>
        <v xml:space="preserve"> </v>
      </c>
      <c r="V53" s="444" t="str">
        <f t="shared" si="33"/>
        <v xml:space="preserve"> </v>
      </c>
      <c r="W53" s="909" t="str">
        <f t="shared" si="20"/>
        <v xml:space="preserve"> </v>
      </c>
      <c r="X53" s="924" t="str">
        <f t="shared" si="21"/>
        <v xml:space="preserve"> </v>
      </c>
      <c r="Y53" s="444" t="str">
        <f t="shared" si="4"/>
        <v xml:space="preserve"> </v>
      </c>
      <c r="Z53" s="444" t="str">
        <f t="shared" si="22"/>
        <v xml:space="preserve"> </v>
      </c>
      <c r="AA53" s="444" t="str">
        <f t="shared" si="23"/>
        <v xml:space="preserve"> </v>
      </c>
      <c r="AB53" s="912" t="str">
        <f t="shared" si="24"/>
        <v xml:space="preserve"> </v>
      </c>
      <c r="AC53" s="912" t="str">
        <f t="shared" si="25"/>
        <v xml:space="preserve"> </v>
      </c>
      <c r="AD53" s="444" t="str">
        <f t="shared" si="26"/>
        <v xml:space="preserve"> </v>
      </c>
      <c r="AE53" s="444" t="str">
        <f t="shared" si="27"/>
        <v/>
      </c>
      <c r="AF53" s="444" t="str">
        <f t="shared" si="28"/>
        <v xml:space="preserve"> </v>
      </c>
      <c r="AG53" s="119" t="str">
        <f t="shared" si="29"/>
        <v xml:space="preserve"> </v>
      </c>
      <c r="AH53" s="444" t="str">
        <f t="shared" si="30"/>
        <v xml:space="preserve"> </v>
      </c>
      <c r="AI53" s="909" t="str">
        <f t="shared" si="31"/>
        <v xml:space="preserve"> </v>
      </c>
      <c r="AJ53" s="879" t="str">
        <f t="shared" si="35"/>
        <v xml:space="preserve"> </v>
      </c>
      <c r="AK53" s="444" t="str">
        <f t="shared" si="5"/>
        <v xml:space="preserve"> </v>
      </c>
      <c r="AL53" s="444" t="str">
        <f t="shared" si="6"/>
        <v xml:space="preserve"> </v>
      </c>
      <c r="AM53" s="444" t="str">
        <f t="shared" si="7"/>
        <v xml:space="preserve"> </v>
      </c>
      <c r="AN53" s="119" t="str">
        <f t="shared" si="8"/>
        <v xml:space="preserve"> </v>
      </c>
      <c r="AO53" s="444" t="str">
        <f t="shared" si="9"/>
        <v xml:space="preserve"> </v>
      </c>
      <c r="AP53" s="444" t="str">
        <f t="shared" si="10"/>
        <v xml:space="preserve"> </v>
      </c>
      <c r="AQ53" s="123" t="str">
        <f>IF(A53=" "," ",IF('#orgDung'!AB38=0,0,AO53/'#orgDung'!AB38))</f>
        <v xml:space="preserve"> </v>
      </c>
      <c r="AR53" s="47" t="str">
        <f>IF(A53=" "," ",IF('#orgDung'!AB38=0,0,AP53/'#orgDung'!AB38))</f>
        <v xml:space="preserve"> </v>
      </c>
      <c r="AS53" s="890">
        <f>IF(OR(B53=0,B53=""),0,MAX('Flächen u. Kulturen'!V34,AT53/B53))</f>
        <v>0</v>
      </c>
      <c r="AT53" s="875">
        <f t="shared" si="32"/>
        <v>0</v>
      </c>
      <c r="AU53" s="120" t="str">
        <f t="shared" si="11"/>
        <v xml:space="preserve"> </v>
      </c>
    </row>
    <row r="54" spans="1:47" s="875" customFormat="1" x14ac:dyDescent="0.2">
      <c r="A54" s="447" t="str">
        <f>IF('Flächen u. Kulturen'!E35="x",IF(AND('#Kürzungen'!$F$2=2,'#BerechnungDBE'!R30=1,'Flächen u. Kulturen'!D35&lt;&gt;""),'Flächen u. Kulturen'!A35,IF(AND('#BerechnungDBE'!S30=1,'Flächen u. Kulturen'!D35&lt;&gt;""),'Flächen u. Kulturen'!A35," "))," ")</f>
        <v xml:space="preserve"> </v>
      </c>
      <c r="B54" s="505" t="str">
        <f>'Flächen u. Kulturen'!D35</f>
        <v/>
      </c>
      <c r="C54" s="42" t="str">
        <f>IF(A54=" "," ",'#BerechnungDBE'!AA30)</f>
        <v xml:space="preserve"> </v>
      </c>
      <c r="D54" s="42" t="str">
        <f>IF(A54=" "," ",'#BerechnungDBE'!BA30)</f>
        <v xml:space="preserve"> </v>
      </c>
      <c r="E54" s="42" t="str">
        <f t="shared" si="36"/>
        <v xml:space="preserve"> </v>
      </c>
      <c r="F54" s="869"/>
      <c r="G54" s="42" t="str">
        <f>IF(A54=" ","",'#BerechnungDBE'!BA30+'#BerechnungDBE'!BF30)</f>
        <v/>
      </c>
      <c r="H54" s="444" t="str">
        <f t="shared" si="12"/>
        <v/>
      </c>
      <c r="I54" s="444">
        <f>'#minDung'!P36</f>
        <v>0</v>
      </c>
      <c r="J54" s="430" t="str">
        <f t="shared" si="34"/>
        <v xml:space="preserve"> </v>
      </c>
      <c r="K54" s="913">
        <f>IF(A54=" ",0,'Flächen u. Kulturen'!V35)</f>
        <v>0</v>
      </c>
      <c r="L54" s="883" t="str">
        <f t="shared" si="1"/>
        <v/>
      </c>
      <c r="M54" s="879" t="str">
        <f t="shared" si="13"/>
        <v xml:space="preserve"> </v>
      </c>
      <c r="N54" s="444" t="str">
        <f t="shared" si="14"/>
        <v xml:space="preserve"> </v>
      </c>
      <c r="O54" s="911" t="str">
        <f t="shared" si="15"/>
        <v xml:space="preserve"> </v>
      </c>
      <c r="P54" s="912" t="str">
        <f t="shared" si="16"/>
        <v xml:space="preserve"> </v>
      </c>
      <c r="Q54" s="912" t="str">
        <f t="shared" si="17"/>
        <v xml:space="preserve"> </v>
      </c>
      <c r="R54" s="444" t="str">
        <f t="shared" si="2"/>
        <v/>
      </c>
      <c r="S54" s="444" t="str">
        <f t="shared" si="18"/>
        <v/>
      </c>
      <c r="T54" s="444" t="str">
        <f t="shared" si="3"/>
        <v xml:space="preserve"> </v>
      </c>
      <c r="U54" s="119" t="str">
        <f t="shared" si="19"/>
        <v xml:space="preserve"> </v>
      </c>
      <c r="V54" s="444" t="str">
        <f t="shared" si="33"/>
        <v xml:space="preserve"> </v>
      </c>
      <c r="W54" s="909" t="str">
        <f t="shared" si="20"/>
        <v xml:space="preserve"> </v>
      </c>
      <c r="X54" s="924" t="str">
        <f t="shared" si="21"/>
        <v xml:space="preserve"> </v>
      </c>
      <c r="Y54" s="444" t="str">
        <f t="shared" si="4"/>
        <v xml:space="preserve"> </v>
      </c>
      <c r="Z54" s="444" t="str">
        <f t="shared" si="22"/>
        <v xml:space="preserve"> </v>
      </c>
      <c r="AA54" s="444" t="str">
        <f t="shared" si="23"/>
        <v xml:space="preserve"> </v>
      </c>
      <c r="AB54" s="912" t="str">
        <f t="shared" si="24"/>
        <v xml:space="preserve"> </v>
      </c>
      <c r="AC54" s="912" t="str">
        <f t="shared" si="25"/>
        <v xml:space="preserve"> </v>
      </c>
      <c r="AD54" s="444" t="str">
        <f t="shared" si="26"/>
        <v xml:space="preserve"> </v>
      </c>
      <c r="AE54" s="444" t="str">
        <f t="shared" si="27"/>
        <v/>
      </c>
      <c r="AF54" s="444" t="str">
        <f t="shared" si="28"/>
        <v xml:space="preserve"> </v>
      </c>
      <c r="AG54" s="119" t="str">
        <f t="shared" si="29"/>
        <v xml:space="preserve"> </v>
      </c>
      <c r="AH54" s="444" t="str">
        <f t="shared" si="30"/>
        <v xml:space="preserve"> </v>
      </c>
      <c r="AI54" s="909" t="str">
        <f t="shared" si="31"/>
        <v xml:space="preserve"> </v>
      </c>
      <c r="AJ54" s="879" t="str">
        <f t="shared" si="35"/>
        <v xml:space="preserve"> </v>
      </c>
      <c r="AK54" s="444" t="str">
        <f t="shared" si="5"/>
        <v xml:space="preserve"> </v>
      </c>
      <c r="AL54" s="444" t="str">
        <f t="shared" si="6"/>
        <v xml:space="preserve"> </v>
      </c>
      <c r="AM54" s="444" t="str">
        <f t="shared" si="7"/>
        <v xml:space="preserve"> </v>
      </c>
      <c r="AN54" s="119" t="str">
        <f t="shared" si="8"/>
        <v xml:space="preserve"> </v>
      </c>
      <c r="AO54" s="444" t="str">
        <f t="shared" si="9"/>
        <v xml:space="preserve"> </v>
      </c>
      <c r="AP54" s="444" t="str">
        <f t="shared" si="10"/>
        <v xml:space="preserve"> </v>
      </c>
      <c r="AQ54" s="123" t="str">
        <f>IF(A54=" "," ",IF('#orgDung'!AB39=0,0,AO54/'#orgDung'!AB39))</f>
        <v xml:space="preserve"> </v>
      </c>
      <c r="AR54" s="47" t="str">
        <f>IF(A54=" "," ",IF('#orgDung'!AB39=0,0,AP54/'#orgDung'!AB39))</f>
        <v xml:space="preserve"> </v>
      </c>
      <c r="AS54" s="890">
        <f>IF(OR(B54=0,B54=""),0,MAX('Flächen u. Kulturen'!V35,AT54/B54))</f>
        <v>0</v>
      </c>
      <c r="AT54" s="875">
        <f t="shared" si="32"/>
        <v>0</v>
      </c>
      <c r="AU54" s="120" t="str">
        <f t="shared" si="11"/>
        <v xml:space="preserve"> </v>
      </c>
    </row>
    <row r="55" spans="1:47" s="875" customFormat="1" x14ac:dyDescent="0.2">
      <c r="A55" s="447" t="str">
        <f>IF('Flächen u. Kulturen'!E36="x",IF(AND('#Kürzungen'!$F$2=2,'#BerechnungDBE'!R31=1,'Flächen u. Kulturen'!D36&lt;&gt;""),'Flächen u. Kulturen'!A36,IF(AND('#BerechnungDBE'!S31=1,'Flächen u. Kulturen'!D36&lt;&gt;""),'Flächen u. Kulturen'!A36," "))," ")</f>
        <v xml:space="preserve"> </v>
      </c>
      <c r="B55" s="505" t="str">
        <f>'Flächen u. Kulturen'!D36</f>
        <v/>
      </c>
      <c r="C55" s="42" t="str">
        <f>IF(A55=" "," ",'#BerechnungDBE'!AA31)</f>
        <v xml:space="preserve"> </v>
      </c>
      <c r="D55" s="42" t="str">
        <f>IF(A55=" "," ",'#BerechnungDBE'!BA31)</f>
        <v xml:space="preserve"> </v>
      </c>
      <c r="E55" s="42" t="str">
        <f t="shared" si="36"/>
        <v xml:space="preserve"> </v>
      </c>
      <c r="F55" s="869"/>
      <c r="G55" s="42" t="str">
        <f>IF(A55=" ","",'#BerechnungDBE'!BA31+'#BerechnungDBE'!BF31)</f>
        <v/>
      </c>
      <c r="H55" s="444" t="str">
        <f t="shared" si="12"/>
        <v/>
      </c>
      <c r="I55" s="444">
        <f>'#minDung'!P37</f>
        <v>0</v>
      </c>
      <c r="J55" s="430" t="str">
        <f t="shared" si="34"/>
        <v xml:space="preserve"> </v>
      </c>
      <c r="K55" s="913">
        <f>IF(A55=" ",0,'Flächen u. Kulturen'!V36)</f>
        <v>0</v>
      </c>
      <c r="L55" s="883" t="str">
        <f t="shared" si="1"/>
        <v/>
      </c>
      <c r="M55" s="879" t="str">
        <f t="shared" si="13"/>
        <v xml:space="preserve"> </v>
      </c>
      <c r="N55" s="444" t="str">
        <f t="shared" si="14"/>
        <v xml:space="preserve"> </v>
      </c>
      <c r="O55" s="911" t="str">
        <f t="shared" si="15"/>
        <v xml:space="preserve"> </v>
      </c>
      <c r="P55" s="912" t="str">
        <f t="shared" si="16"/>
        <v xml:space="preserve"> </v>
      </c>
      <c r="Q55" s="912" t="str">
        <f t="shared" si="17"/>
        <v xml:space="preserve"> </v>
      </c>
      <c r="R55" s="444" t="str">
        <f t="shared" si="2"/>
        <v/>
      </c>
      <c r="S55" s="444" t="str">
        <f t="shared" si="18"/>
        <v/>
      </c>
      <c r="T55" s="444" t="str">
        <f t="shared" si="3"/>
        <v xml:space="preserve"> </v>
      </c>
      <c r="U55" s="119" t="str">
        <f t="shared" si="19"/>
        <v xml:space="preserve"> </v>
      </c>
      <c r="V55" s="444" t="str">
        <f t="shared" si="33"/>
        <v xml:space="preserve"> </v>
      </c>
      <c r="W55" s="909" t="str">
        <f t="shared" si="20"/>
        <v xml:space="preserve"> </v>
      </c>
      <c r="X55" s="924" t="str">
        <f t="shared" si="21"/>
        <v xml:space="preserve"> </v>
      </c>
      <c r="Y55" s="444" t="str">
        <f t="shared" si="4"/>
        <v xml:space="preserve"> </v>
      </c>
      <c r="Z55" s="444" t="str">
        <f t="shared" si="22"/>
        <v xml:space="preserve"> </v>
      </c>
      <c r="AA55" s="444" t="str">
        <f t="shared" si="23"/>
        <v xml:space="preserve"> </v>
      </c>
      <c r="AB55" s="912" t="str">
        <f t="shared" si="24"/>
        <v xml:space="preserve"> </v>
      </c>
      <c r="AC55" s="912" t="str">
        <f t="shared" si="25"/>
        <v xml:space="preserve"> </v>
      </c>
      <c r="AD55" s="444" t="str">
        <f t="shared" si="26"/>
        <v xml:space="preserve"> </v>
      </c>
      <c r="AE55" s="444" t="str">
        <f t="shared" si="27"/>
        <v/>
      </c>
      <c r="AF55" s="444" t="str">
        <f t="shared" si="28"/>
        <v xml:space="preserve"> </v>
      </c>
      <c r="AG55" s="119" t="str">
        <f t="shared" si="29"/>
        <v xml:space="preserve"> </v>
      </c>
      <c r="AH55" s="444" t="str">
        <f t="shared" si="30"/>
        <v xml:space="preserve"> </v>
      </c>
      <c r="AI55" s="909" t="str">
        <f t="shared" si="31"/>
        <v xml:space="preserve"> </v>
      </c>
      <c r="AJ55" s="879" t="str">
        <f t="shared" si="35"/>
        <v xml:space="preserve"> </v>
      </c>
      <c r="AK55" s="444" t="str">
        <f t="shared" si="5"/>
        <v xml:space="preserve"> </v>
      </c>
      <c r="AL55" s="444" t="str">
        <f t="shared" si="6"/>
        <v xml:space="preserve"> </v>
      </c>
      <c r="AM55" s="444" t="str">
        <f t="shared" si="7"/>
        <v xml:space="preserve"> </v>
      </c>
      <c r="AN55" s="119" t="str">
        <f t="shared" si="8"/>
        <v xml:space="preserve"> </v>
      </c>
      <c r="AO55" s="444" t="str">
        <f t="shared" si="9"/>
        <v xml:space="preserve"> </v>
      </c>
      <c r="AP55" s="444" t="str">
        <f t="shared" si="10"/>
        <v xml:space="preserve"> </v>
      </c>
      <c r="AQ55" s="123" t="str">
        <f>IF(A55=" "," ",IF('#orgDung'!AB40=0,0,AO55/'#orgDung'!AB40))</f>
        <v xml:space="preserve"> </v>
      </c>
      <c r="AR55" s="47" t="str">
        <f>IF(A55=" "," ",IF('#orgDung'!AB40=0,0,AP55/'#orgDung'!AB40))</f>
        <v xml:space="preserve"> </v>
      </c>
      <c r="AS55" s="890">
        <f>IF(OR(B55=0,B55=""),0,MAX('Flächen u. Kulturen'!V36,AT55/B55))</f>
        <v>0</v>
      </c>
      <c r="AT55" s="875">
        <f t="shared" si="32"/>
        <v>0</v>
      </c>
      <c r="AU55" s="120" t="str">
        <f t="shared" si="11"/>
        <v xml:space="preserve"> </v>
      </c>
    </row>
    <row r="56" spans="1:47" s="875" customFormat="1" x14ac:dyDescent="0.2">
      <c r="A56" s="447" t="str">
        <f>IF('Flächen u. Kulturen'!E37="x",IF(AND('#Kürzungen'!$F$2=2,'#BerechnungDBE'!R32=1,'Flächen u. Kulturen'!D37&lt;&gt;""),'Flächen u. Kulturen'!A37,IF(AND('#BerechnungDBE'!S32=1,'Flächen u. Kulturen'!D37&lt;&gt;""),'Flächen u. Kulturen'!A37," "))," ")</f>
        <v xml:space="preserve"> </v>
      </c>
      <c r="B56" s="505" t="str">
        <f>'Flächen u. Kulturen'!D37</f>
        <v/>
      </c>
      <c r="C56" s="42" t="str">
        <f>IF(A56=" "," ",'#BerechnungDBE'!AA32)</f>
        <v xml:space="preserve"> </v>
      </c>
      <c r="D56" s="42" t="str">
        <f>IF(A56=" "," ",'#BerechnungDBE'!BA32)</f>
        <v xml:space="preserve"> </v>
      </c>
      <c r="E56" s="42" t="str">
        <f t="shared" si="36"/>
        <v xml:space="preserve"> </v>
      </c>
      <c r="F56" s="869"/>
      <c r="G56" s="42" t="str">
        <f>IF(A56=" ","",'#BerechnungDBE'!BA32+'#BerechnungDBE'!BF32)</f>
        <v/>
      </c>
      <c r="H56" s="444" t="str">
        <f t="shared" si="12"/>
        <v/>
      </c>
      <c r="I56" s="444">
        <f>'#minDung'!P38</f>
        <v>0</v>
      </c>
      <c r="J56" s="430" t="str">
        <f t="shared" si="34"/>
        <v xml:space="preserve"> </v>
      </c>
      <c r="K56" s="913">
        <f>IF(A56=" ",0,'Flächen u. Kulturen'!V37)</f>
        <v>0</v>
      </c>
      <c r="L56" s="883" t="str">
        <f t="shared" si="1"/>
        <v/>
      </c>
      <c r="M56" s="879" t="str">
        <f t="shared" si="13"/>
        <v xml:space="preserve"> </v>
      </c>
      <c r="N56" s="444" t="str">
        <f t="shared" si="14"/>
        <v xml:space="preserve"> </v>
      </c>
      <c r="O56" s="911" t="str">
        <f t="shared" si="15"/>
        <v xml:space="preserve"> </v>
      </c>
      <c r="P56" s="912" t="str">
        <f t="shared" si="16"/>
        <v xml:space="preserve"> </v>
      </c>
      <c r="Q56" s="912" t="str">
        <f t="shared" si="17"/>
        <v xml:space="preserve"> </v>
      </c>
      <c r="R56" s="444" t="str">
        <f t="shared" si="2"/>
        <v/>
      </c>
      <c r="S56" s="444" t="str">
        <f t="shared" si="18"/>
        <v/>
      </c>
      <c r="T56" s="444" t="str">
        <f t="shared" si="3"/>
        <v xml:space="preserve"> </v>
      </c>
      <c r="U56" s="119" t="str">
        <f t="shared" si="19"/>
        <v xml:space="preserve"> </v>
      </c>
      <c r="V56" s="444" t="str">
        <f t="shared" si="33"/>
        <v xml:space="preserve"> </v>
      </c>
      <c r="W56" s="909" t="str">
        <f t="shared" si="20"/>
        <v xml:space="preserve"> </v>
      </c>
      <c r="X56" s="924" t="str">
        <f t="shared" si="21"/>
        <v xml:space="preserve"> </v>
      </c>
      <c r="Y56" s="444" t="str">
        <f t="shared" si="4"/>
        <v xml:space="preserve"> </v>
      </c>
      <c r="Z56" s="444" t="str">
        <f t="shared" si="22"/>
        <v xml:space="preserve"> </v>
      </c>
      <c r="AA56" s="444" t="str">
        <f t="shared" si="23"/>
        <v xml:space="preserve"> </v>
      </c>
      <c r="AB56" s="912" t="str">
        <f t="shared" si="24"/>
        <v xml:space="preserve"> </v>
      </c>
      <c r="AC56" s="912" t="str">
        <f t="shared" si="25"/>
        <v xml:space="preserve"> </v>
      </c>
      <c r="AD56" s="444" t="str">
        <f t="shared" si="26"/>
        <v xml:space="preserve"> </v>
      </c>
      <c r="AE56" s="444" t="str">
        <f t="shared" si="27"/>
        <v/>
      </c>
      <c r="AF56" s="444" t="str">
        <f t="shared" si="28"/>
        <v xml:space="preserve"> </v>
      </c>
      <c r="AG56" s="119" t="str">
        <f t="shared" si="29"/>
        <v xml:space="preserve"> </v>
      </c>
      <c r="AH56" s="444" t="str">
        <f t="shared" si="30"/>
        <v xml:space="preserve"> </v>
      </c>
      <c r="AI56" s="909" t="str">
        <f t="shared" si="31"/>
        <v xml:space="preserve"> </v>
      </c>
      <c r="AJ56" s="879" t="str">
        <f t="shared" si="35"/>
        <v xml:space="preserve"> </v>
      </c>
      <c r="AK56" s="444" t="str">
        <f t="shared" si="5"/>
        <v xml:space="preserve"> </v>
      </c>
      <c r="AL56" s="444" t="str">
        <f t="shared" si="6"/>
        <v xml:space="preserve"> </v>
      </c>
      <c r="AM56" s="444" t="str">
        <f t="shared" si="7"/>
        <v xml:space="preserve"> </v>
      </c>
      <c r="AN56" s="119" t="str">
        <f t="shared" si="8"/>
        <v xml:space="preserve"> </v>
      </c>
      <c r="AO56" s="444" t="str">
        <f t="shared" si="9"/>
        <v xml:space="preserve"> </v>
      </c>
      <c r="AP56" s="444" t="str">
        <f t="shared" si="10"/>
        <v xml:space="preserve"> </v>
      </c>
      <c r="AQ56" s="123" t="str">
        <f>IF(A56=" "," ",IF('#orgDung'!AB41=0,0,AO56/'#orgDung'!AB41))</f>
        <v xml:space="preserve"> </v>
      </c>
      <c r="AR56" s="47" t="str">
        <f>IF(A56=" "," ",IF('#orgDung'!AB41=0,0,AP56/'#orgDung'!AB41))</f>
        <v xml:space="preserve"> </v>
      </c>
      <c r="AS56" s="890">
        <f>IF(OR(B56=0,B56=""),0,MAX('Flächen u. Kulturen'!V37,AT56/B56))</f>
        <v>0</v>
      </c>
      <c r="AT56" s="875">
        <f t="shared" si="32"/>
        <v>0</v>
      </c>
      <c r="AU56" s="120" t="str">
        <f t="shared" si="11"/>
        <v xml:space="preserve"> </v>
      </c>
    </row>
    <row r="57" spans="1:47" s="875" customFormat="1" x14ac:dyDescent="0.2">
      <c r="A57" s="447" t="str">
        <f>IF('Flächen u. Kulturen'!E38="x",IF(AND('#Kürzungen'!$F$2=2,'#BerechnungDBE'!R33=1,'Flächen u. Kulturen'!D38&lt;&gt;""),'Flächen u. Kulturen'!A38,IF(AND('#BerechnungDBE'!S33=1,'Flächen u. Kulturen'!D38&lt;&gt;""),'Flächen u. Kulturen'!A38," "))," ")</f>
        <v xml:space="preserve"> </v>
      </c>
      <c r="B57" s="505" t="str">
        <f>'Flächen u. Kulturen'!D38</f>
        <v/>
      </c>
      <c r="C57" s="42" t="str">
        <f>IF(A57=" "," ",'#BerechnungDBE'!AA33)</f>
        <v xml:space="preserve"> </v>
      </c>
      <c r="D57" s="42" t="str">
        <f>IF(A57=" "," ",'#BerechnungDBE'!BA33)</f>
        <v xml:space="preserve"> </v>
      </c>
      <c r="E57" s="42" t="str">
        <f t="shared" si="36"/>
        <v xml:space="preserve"> </v>
      </c>
      <c r="F57" s="869"/>
      <c r="G57" s="42" t="str">
        <f>IF(A57=" ","",'#BerechnungDBE'!BA33+'#BerechnungDBE'!BF33)</f>
        <v/>
      </c>
      <c r="H57" s="444" t="str">
        <f t="shared" si="12"/>
        <v/>
      </c>
      <c r="I57" s="444">
        <f>'#minDung'!P39</f>
        <v>0</v>
      </c>
      <c r="J57" s="430" t="str">
        <f t="shared" si="34"/>
        <v xml:space="preserve"> </v>
      </c>
      <c r="K57" s="913">
        <f>IF(A57=" ",0,'Flächen u. Kulturen'!V38)</f>
        <v>0</v>
      </c>
      <c r="L57" s="883" t="str">
        <f t="shared" si="1"/>
        <v/>
      </c>
      <c r="M57" s="879" t="str">
        <f t="shared" si="13"/>
        <v xml:space="preserve"> </v>
      </c>
      <c r="N57" s="444" t="str">
        <f t="shared" si="14"/>
        <v xml:space="preserve"> </v>
      </c>
      <c r="O57" s="911" t="str">
        <f t="shared" si="15"/>
        <v xml:space="preserve"> </v>
      </c>
      <c r="P57" s="912" t="str">
        <f t="shared" si="16"/>
        <v xml:space="preserve"> </v>
      </c>
      <c r="Q57" s="912" t="str">
        <f t="shared" si="17"/>
        <v xml:space="preserve"> </v>
      </c>
      <c r="R57" s="444" t="str">
        <f t="shared" si="2"/>
        <v/>
      </c>
      <c r="S57" s="444" t="str">
        <f t="shared" si="18"/>
        <v/>
      </c>
      <c r="T57" s="444" t="str">
        <f t="shared" si="3"/>
        <v xml:space="preserve"> </v>
      </c>
      <c r="U57" s="119" t="str">
        <f t="shared" si="19"/>
        <v xml:space="preserve"> </v>
      </c>
      <c r="V57" s="444" t="str">
        <f t="shared" si="33"/>
        <v xml:space="preserve"> </v>
      </c>
      <c r="W57" s="909" t="str">
        <f t="shared" si="20"/>
        <v xml:space="preserve"> </v>
      </c>
      <c r="X57" s="924" t="str">
        <f t="shared" si="21"/>
        <v xml:space="preserve"> </v>
      </c>
      <c r="Y57" s="444" t="str">
        <f t="shared" si="4"/>
        <v xml:space="preserve"> </v>
      </c>
      <c r="Z57" s="444" t="str">
        <f t="shared" si="22"/>
        <v xml:space="preserve"> </v>
      </c>
      <c r="AA57" s="444" t="str">
        <f t="shared" si="23"/>
        <v xml:space="preserve"> </v>
      </c>
      <c r="AB57" s="912" t="str">
        <f t="shared" si="24"/>
        <v xml:space="preserve"> </v>
      </c>
      <c r="AC57" s="912" t="str">
        <f t="shared" si="25"/>
        <v xml:space="preserve"> </v>
      </c>
      <c r="AD57" s="444" t="str">
        <f t="shared" si="26"/>
        <v xml:space="preserve"> </v>
      </c>
      <c r="AE57" s="444" t="str">
        <f t="shared" si="27"/>
        <v/>
      </c>
      <c r="AF57" s="444" t="str">
        <f t="shared" si="28"/>
        <v xml:space="preserve"> </v>
      </c>
      <c r="AG57" s="119" t="str">
        <f t="shared" si="29"/>
        <v xml:space="preserve"> </v>
      </c>
      <c r="AH57" s="444" t="str">
        <f t="shared" si="30"/>
        <v xml:space="preserve"> </v>
      </c>
      <c r="AI57" s="909" t="str">
        <f t="shared" si="31"/>
        <v xml:space="preserve"> </v>
      </c>
      <c r="AJ57" s="879" t="str">
        <f t="shared" si="35"/>
        <v xml:space="preserve"> </v>
      </c>
      <c r="AK57" s="444" t="str">
        <f t="shared" si="5"/>
        <v xml:space="preserve"> </v>
      </c>
      <c r="AL57" s="444" t="str">
        <f t="shared" si="6"/>
        <v xml:space="preserve"> </v>
      </c>
      <c r="AM57" s="444" t="str">
        <f t="shared" si="7"/>
        <v xml:space="preserve"> </v>
      </c>
      <c r="AN57" s="119" t="str">
        <f t="shared" si="8"/>
        <v xml:space="preserve"> </v>
      </c>
      <c r="AO57" s="444" t="str">
        <f t="shared" si="9"/>
        <v xml:space="preserve"> </v>
      </c>
      <c r="AP57" s="444" t="str">
        <f t="shared" si="10"/>
        <v xml:space="preserve"> </v>
      </c>
      <c r="AQ57" s="123" t="str">
        <f>IF(A57=" "," ",IF('#orgDung'!AB42=0,0,AO57/'#orgDung'!AB42))</f>
        <v xml:space="preserve"> </v>
      </c>
      <c r="AR57" s="47" t="str">
        <f>IF(A57=" "," ",IF('#orgDung'!AB42=0,0,AP57/'#orgDung'!AB42))</f>
        <v xml:space="preserve"> </v>
      </c>
      <c r="AS57" s="890">
        <f>IF(OR(B57=0,B57=""),0,MAX('Flächen u. Kulturen'!V38,AT57/B57))</f>
        <v>0</v>
      </c>
      <c r="AT57" s="875">
        <f t="shared" si="32"/>
        <v>0</v>
      </c>
      <c r="AU57" s="120" t="str">
        <f t="shared" si="11"/>
        <v xml:space="preserve"> </v>
      </c>
    </row>
    <row r="58" spans="1:47" s="875" customFormat="1" x14ac:dyDescent="0.2">
      <c r="A58" s="447" t="str">
        <f>IF('Flächen u. Kulturen'!E39="x",IF(AND('#Kürzungen'!$F$2=2,'#BerechnungDBE'!R34=1,'Flächen u. Kulturen'!D39&lt;&gt;""),'Flächen u. Kulturen'!A39,IF(AND('#BerechnungDBE'!S34=1,'Flächen u. Kulturen'!D39&lt;&gt;""),'Flächen u. Kulturen'!A39," "))," ")</f>
        <v xml:space="preserve"> </v>
      </c>
      <c r="B58" s="505" t="str">
        <f>'Flächen u. Kulturen'!D39</f>
        <v/>
      </c>
      <c r="C58" s="42" t="str">
        <f>IF(A58=" "," ",'#BerechnungDBE'!AA34)</f>
        <v xml:space="preserve"> </v>
      </c>
      <c r="D58" s="42" t="str">
        <f>IF(A58=" "," ",'#BerechnungDBE'!BA34)</f>
        <v xml:space="preserve"> </v>
      </c>
      <c r="E58" s="42" t="str">
        <f t="shared" si="36"/>
        <v xml:space="preserve"> </v>
      </c>
      <c r="F58" s="869"/>
      <c r="G58" s="42" t="str">
        <f>IF(A58=" ","",'#BerechnungDBE'!BA34+'#BerechnungDBE'!BF34)</f>
        <v/>
      </c>
      <c r="H58" s="444" t="str">
        <f t="shared" si="12"/>
        <v/>
      </c>
      <c r="I58" s="444">
        <f>'#minDung'!P40</f>
        <v>0</v>
      </c>
      <c r="J58" s="430" t="str">
        <f t="shared" si="34"/>
        <v xml:space="preserve"> </v>
      </c>
      <c r="K58" s="913">
        <f>IF(A58=" ",0,'Flächen u. Kulturen'!V39)</f>
        <v>0</v>
      </c>
      <c r="L58" s="883" t="str">
        <f t="shared" si="1"/>
        <v/>
      </c>
      <c r="M58" s="879" t="str">
        <f t="shared" si="13"/>
        <v xml:space="preserve"> </v>
      </c>
      <c r="N58" s="444" t="str">
        <f t="shared" si="14"/>
        <v xml:space="preserve"> </v>
      </c>
      <c r="O58" s="911" t="str">
        <f t="shared" si="15"/>
        <v xml:space="preserve"> </v>
      </c>
      <c r="P58" s="912" t="str">
        <f t="shared" si="16"/>
        <v xml:space="preserve"> </v>
      </c>
      <c r="Q58" s="912" t="str">
        <f t="shared" si="17"/>
        <v xml:space="preserve"> </v>
      </c>
      <c r="R58" s="444" t="str">
        <f t="shared" si="2"/>
        <v/>
      </c>
      <c r="S58" s="444" t="str">
        <f t="shared" si="18"/>
        <v/>
      </c>
      <c r="T58" s="444" t="str">
        <f t="shared" si="3"/>
        <v xml:space="preserve"> </v>
      </c>
      <c r="U58" s="119" t="str">
        <f t="shared" si="19"/>
        <v xml:space="preserve"> </v>
      </c>
      <c r="V58" s="444" t="str">
        <f t="shared" si="33"/>
        <v xml:space="preserve"> </v>
      </c>
      <c r="W58" s="909" t="str">
        <f t="shared" si="20"/>
        <v xml:space="preserve"> </v>
      </c>
      <c r="X58" s="924" t="str">
        <f t="shared" si="21"/>
        <v xml:space="preserve"> </v>
      </c>
      <c r="Y58" s="444" t="str">
        <f t="shared" si="4"/>
        <v xml:space="preserve"> </v>
      </c>
      <c r="Z58" s="444" t="str">
        <f t="shared" si="22"/>
        <v xml:space="preserve"> </v>
      </c>
      <c r="AA58" s="444" t="str">
        <f t="shared" si="23"/>
        <v xml:space="preserve"> </v>
      </c>
      <c r="AB58" s="912" t="str">
        <f t="shared" si="24"/>
        <v xml:space="preserve"> </v>
      </c>
      <c r="AC58" s="912" t="str">
        <f t="shared" si="25"/>
        <v xml:space="preserve"> </v>
      </c>
      <c r="AD58" s="444" t="str">
        <f t="shared" si="26"/>
        <v xml:space="preserve"> </v>
      </c>
      <c r="AE58" s="444" t="str">
        <f t="shared" si="27"/>
        <v/>
      </c>
      <c r="AF58" s="444" t="str">
        <f t="shared" si="28"/>
        <v xml:space="preserve"> </v>
      </c>
      <c r="AG58" s="119" t="str">
        <f t="shared" si="29"/>
        <v xml:space="preserve"> </v>
      </c>
      <c r="AH58" s="444" t="str">
        <f t="shared" si="30"/>
        <v xml:space="preserve"> </v>
      </c>
      <c r="AI58" s="909" t="str">
        <f t="shared" si="31"/>
        <v xml:space="preserve"> </v>
      </c>
      <c r="AJ58" s="879" t="str">
        <f t="shared" si="35"/>
        <v xml:space="preserve"> </v>
      </c>
      <c r="AK58" s="444" t="str">
        <f t="shared" si="5"/>
        <v xml:space="preserve"> </v>
      </c>
      <c r="AL58" s="444" t="str">
        <f t="shared" si="6"/>
        <v xml:space="preserve"> </v>
      </c>
      <c r="AM58" s="444" t="str">
        <f t="shared" si="7"/>
        <v xml:space="preserve"> </v>
      </c>
      <c r="AN58" s="119" t="str">
        <f t="shared" si="8"/>
        <v xml:space="preserve"> </v>
      </c>
      <c r="AO58" s="444" t="str">
        <f t="shared" si="9"/>
        <v xml:space="preserve"> </v>
      </c>
      <c r="AP58" s="444" t="str">
        <f t="shared" si="10"/>
        <v xml:space="preserve"> </v>
      </c>
      <c r="AQ58" s="123" t="str">
        <f>IF(A58=" "," ",IF('#orgDung'!AB43=0,0,AO58/'#orgDung'!AB43))</f>
        <v xml:space="preserve"> </v>
      </c>
      <c r="AR58" s="47" t="str">
        <f>IF(A58=" "," ",IF('#orgDung'!AB43=0,0,AP58/'#orgDung'!AB43))</f>
        <v xml:space="preserve"> </v>
      </c>
      <c r="AS58" s="890">
        <f>IF(OR(B58=0,B58=""),0,MAX('Flächen u. Kulturen'!V39,AT58/B58))</f>
        <v>0</v>
      </c>
      <c r="AT58" s="875">
        <f t="shared" si="32"/>
        <v>0</v>
      </c>
      <c r="AU58" s="120" t="str">
        <f t="shared" si="11"/>
        <v xml:space="preserve"> </v>
      </c>
    </row>
    <row r="59" spans="1:47" s="875" customFormat="1" x14ac:dyDescent="0.2">
      <c r="A59" s="447" t="str">
        <f>IF('Flächen u. Kulturen'!E40="x",IF(AND('#Kürzungen'!$F$2=2,'#BerechnungDBE'!R35=1,'Flächen u. Kulturen'!D40&lt;&gt;""),'Flächen u. Kulturen'!A40,IF(AND('#BerechnungDBE'!S35=1,'Flächen u. Kulturen'!D40&lt;&gt;""),'Flächen u. Kulturen'!A40," "))," ")</f>
        <v xml:space="preserve"> </v>
      </c>
      <c r="B59" s="505" t="str">
        <f>'Flächen u. Kulturen'!D40</f>
        <v/>
      </c>
      <c r="C59" s="42" t="str">
        <f>IF(A59=" "," ",'#BerechnungDBE'!AA35)</f>
        <v xml:space="preserve"> </v>
      </c>
      <c r="D59" s="42" t="str">
        <f>IF(A59=" "," ",'#BerechnungDBE'!BA35)</f>
        <v xml:space="preserve"> </v>
      </c>
      <c r="E59" s="42" t="str">
        <f t="shared" si="36"/>
        <v xml:space="preserve"> </v>
      </c>
      <c r="F59" s="869"/>
      <c r="G59" s="42" t="str">
        <f>IF(A59=" ","",'#BerechnungDBE'!BA35+'#BerechnungDBE'!BF35)</f>
        <v/>
      </c>
      <c r="H59" s="444" t="str">
        <f t="shared" si="12"/>
        <v/>
      </c>
      <c r="I59" s="444">
        <f>'#minDung'!P41</f>
        <v>0</v>
      </c>
      <c r="J59" s="430" t="str">
        <f t="shared" si="34"/>
        <v xml:space="preserve"> </v>
      </c>
      <c r="K59" s="913">
        <f>IF(A59=" ",0,'Flächen u. Kulturen'!V40)</f>
        <v>0</v>
      </c>
      <c r="L59" s="883" t="str">
        <f t="shared" si="1"/>
        <v/>
      </c>
      <c r="M59" s="879" t="str">
        <f t="shared" si="13"/>
        <v xml:space="preserve"> </v>
      </c>
      <c r="N59" s="444" t="str">
        <f t="shared" si="14"/>
        <v xml:space="preserve"> </v>
      </c>
      <c r="O59" s="911" t="str">
        <f t="shared" si="15"/>
        <v xml:space="preserve"> </v>
      </c>
      <c r="P59" s="912" t="str">
        <f t="shared" si="16"/>
        <v xml:space="preserve"> </v>
      </c>
      <c r="Q59" s="912" t="str">
        <f t="shared" si="17"/>
        <v xml:space="preserve"> </v>
      </c>
      <c r="R59" s="444" t="str">
        <f t="shared" si="2"/>
        <v/>
      </c>
      <c r="S59" s="444" t="str">
        <f t="shared" si="18"/>
        <v/>
      </c>
      <c r="T59" s="444" t="str">
        <f t="shared" si="3"/>
        <v xml:space="preserve"> </v>
      </c>
      <c r="U59" s="119" t="str">
        <f t="shared" si="19"/>
        <v xml:space="preserve"> </v>
      </c>
      <c r="V59" s="444" t="str">
        <f t="shared" si="33"/>
        <v xml:space="preserve"> </v>
      </c>
      <c r="W59" s="909" t="str">
        <f t="shared" si="20"/>
        <v xml:space="preserve"> </v>
      </c>
      <c r="X59" s="924" t="str">
        <f t="shared" si="21"/>
        <v xml:space="preserve"> </v>
      </c>
      <c r="Y59" s="444" t="str">
        <f t="shared" si="4"/>
        <v xml:space="preserve"> </v>
      </c>
      <c r="Z59" s="444" t="str">
        <f t="shared" si="22"/>
        <v xml:space="preserve"> </v>
      </c>
      <c r="AA59" s="444" t="str">
        <f t="shared" si="23"/>
        <v xml:space="preserve"> </v>
      </c>
      <c r="AB59" s="912" t="str">
        <f t="shared" si="24"/>
        <v xml:space="preserve"> </v>
      </c>
      <c r="AC59" s="912" t="str">
        <f t="shared" si="25"/>
        <v xml:space="preserve"> </v>
      </c>
      <c r="AD59" s="444" t="str">
        <f t="shared" si="26"/>
        <v xml:space="preserve"> </v>
      </c>
      <c r="AE59" s="444" t="str">
        <f t="shared" si="27"/>
        <v/>
      </c>
      <c r="AF59" s="444" t="str">
        <f t="shared" si="28"/>
        <v xml:space="preserve"> </v>
      </c>
      <c r="AG59" s="119" t="str">
        <f t="shared" si="29"/>
        <v xml:space="preserve"> </v>
      </c>
      <c r="AH59" s="444" t="str">
        <f t="shared" si="30"/>
        <v xml:space="preserve"> </v>
      </c>
      <c r="AI59" s="909" t="str">
        <f t="shared" si="31"/>
        <v xml:space="preserve"> </v>
      </c>
      <c r="AJ59" s="879" t="str">
        <f t="shared" si="35"/>
        <v xml:space="preserve"> </v>
      </c>
      <c r="AK59" s="444" t="str">
        <f t="shared" si="5"/>
        <v xml:space="preserve"> </v>
      </c>
      <c r="AL59" s="444" t="str">
        <f t="shared" si="6"/>
        <v xml:space="preserve"> </v>
      </c>
      <c r="AM59" s="444" t="str">
        <f t="shared" si="7"/>
        <v xml:space="preserve"> </v>
      </c>
      <c r="AN59" s="119" t="str">
        <f t="shared" si="8"/>
        <v xml:space="preserve"> </v>
      </c>
      <c r="AO59" s="444" t="str">
        <f t="shared" si="9"/>
        <v xml:space="preserve"> </v>
      </c>
      <c r="AP59" s="444" t="str">
        <f t="shared" si="10"/>
        <v xml:space="preserve"> </v>
      </c>
      <c r="AQ59" s="123" t="str">
        <f>IF(A59=" "," ",IF('#orgDung'!AB44=0,0,AO59/'#orgDung'!AB44))</f>
        <v xml:space="preserve"> </v>
      </c>
      <c r="AR59" s="47" t="str">
        <f>IF(A59=" "," ",IF('#orgDung'!AB44=0,0,AP59/'#orgDung'!AB44))</f>
        <v xml:space="preserve"> </v>
      </c>
      <c r="AS59" s="890">
        <f>IF(OR(B59=0,B59=""),0,MAX('Flächen u. Kulturen'!V40,AT59/B59))</f>
        <v>0</v>
      </c>
      <c r="AT59" s="875">
        <f t="shared" si="32"/>
        <v>0</v>
      </c>
      <c r="AU59" s="120" t="str">
        <f t="shared" si="11"/>
        <v xml:space="preserve"> </v>
      </c>
    </row>
    <row r="60" spans="1:47" s="875" customFormat="1" x14ac:dyDescent="0.2">
      <c r="A60" s="447" t="str">
        <f>IF('Flächen u. Kulturen'!E41="x",IF(AND('#Kürzungen'!$F$2=2,'#BerechnungDBE'!R36=1,'Flächen u. Kulturen'!D41&lt;&gt;""),'Flächen u. Kulturen'!A41,IF(AND('#BerechnungDBE'!S36=1,'Flächen u. Kulturen'!D41&lt;&gt;""),'Flächen u. Kulturen'!A41," "))," ")</f>
        <v xml:space="preserve"> </v>
      </c>
      <c r="B60" s="505" t="str">
        <f>'Flächen u. Kulturen'!D41</f>
        <v/>
      </c>
      <c r="C60" s="42" t="str">
        <f>IF(A60=" "," ",'#BerechnungDBE'!AA36)</f>
        <v xml:space="preserve"> </v>
      </c>
      <c r="D60" s="42" t="str">
        <f>IF(A60=" "," ",'#BerechnungDBE'!BA36)</f>
        <v xml:space="preserve"> </v>
      </c>
      <c r="E60" s="42" t="str">
        <f t="shared" si="36"/>
        <v xml:space="preserve"> </v>
      </c>
      <c r="F60" s="869"/>
      <c r="G60" s="42" t="str">
        <f>IF(A60=" ","",'#BerechnungDBE'!BA36+'#BerechnungDBE'!BF36)</f>
        <v/>
      </c>
      <c r="H60" s="444" t="str">
        <f t="shared" si="12"/>
        <v/>
      </c>
      <c r="I60" s="444">
        <f>'#minDung'!P42</f>
        <v>0</v>
      </c>
      <c r="J60" s="430" t="str">
        <f t="shared" si="34"/>
        <v xml:space="preserve"> </v>
      </c>
      <c r="K60" s="913">
        <f>IF(A60=" ",0,'Flächen u. Kulturen'!V41)</f>
        <v>0</v>
      </c>
      <c r="L60" s="883" t="str">
        <f t="shared" si="1"/>
        <v/>
      </c>
      <c r="M60" s="879" t="str">
        <f t="shared" si="13"/>
        <v xml:space="preserve"> </v>
      </c>
      <c r="N60" s="444" t="str">
        <f t="shared" si="14"/>
        <v xml:space="preserve"> </v>
      </c>
      <c r="O60" s="911" t="str">
        <f t="shared" si="15"/>
        <v xml:space="preserve"> </v>
      </c>
      <c r="P60" s="912" t="str">
        <f t="shared" si="16"/>
        <v xml:space="preserve"> </v>
      </c>
      <c r="Q60" s="912" t="str">
        <f t="shared" si="17"/>
        <v xml:space="preserve"> </v>
      </c>
      <c r="R60" s="444" t="str">
        <f t="shared" si="2"/>
        <v/>
      </c>
      <c r="S60" s="444" t="str">
        <f t="shared" si="18"/>
        <v/>
      </c>
      <c r="T60" s="444" t="str">
        <f t="shared" si="3"/>
        <v xml:space="preserve"> </v>
      </c>
      <c r="U60" s="119" t="str">
        <f t="shared" si="19"/>
        <v xml:space="preserve"> </v>
      </c>
      <c r="V60" s="444" t="str">
        <f t="shared" si="33"/>
        <v xml:space="preserve"> </v>
      </c>
      <c r="W60" s="909" t="str">
        <f t="shared" si="20"/>
        <v xml:space="preserve"> </v>
      </c>
      <c r="X60" s="924" t="str">
        <f t="shared" si="21"/>
        <v xml:space="preserve"> </v>
      </c>
      <c r="Y60" s="444" t="str">
        <f t="shared" si="4"/>
        <v xml:space="preserve"> </v>
      </c>
      <c r="Z60" s="444" t="str">
        <f t="shared" si="22"/>
        <v xml:space="preserve"> </v>
      </c>
      <c r="AA60" s="444" t="str">
        <f t="shared" si="23"/>
        <v xml:space="preserve"> </v>
      </c>
      <c r="AB60" s="912" t="str">
        <f t="shared" si="24"/>
        <v xml:space="preserve"> </v>
      </c>
      <c r="AC60" s="912" t="str">
        <f t="shared" si="25"/>
        <v xml:space="preserve"> </v>
      </c>
      <c r="AD60" s="444" t="str">
        <f t="shared" si="26"/>
        <v xml:space="preserve"> </v>
      </c>
      <c r="AE60" s="444" t="str">
        <f t="shared" si="27"/>
        <v/>
      </c>
      <c r="AF60" s="444" t="str">
        <f t="shared" si="28"/>
        <v xml:space="preserve"> </v>
      </c>
      <c r="AG60" s="119" t="str">
        <f t="shared" si="29"/>
        <v xml:space="preserve"> </v>
      </c>
      <c r="AH60" s="444" t="str">
        <f t="shared" si="30"/>
        <v xml:space="preserve"> </v>
      </c>
      <c r="AI60" s="909" t="str">
        <f t="shared" si="31"/>
        <v xml:space="preserve"> </v>
      </c>
      <c r="AJ60" s="879" t="str">
        <f t="shared" si="35"/>
        <v xml:space="preserve"> </v>
      </c>
      <c r="AK60" s="444" t="str">
        <f t="shared" si="5"/>
        <v xml:space="preserve"> </v>
      </c>
      <c r="AL60" s="444" t="str">
        <f t="shared" si="6"/>
        <v xml:space="preserve"> </v>
      </c>
      <c r="AM60" s="444" t="str">
        <f t="shared" si="7"/>
        <v xml:space="preserve"> </v>
      </c>
      <c r="AN60" s="119" t="str">
        <f t="shared" si="8"/>
        <v xml:space="preserve"> </v>
      </c>
      <c r="AO60" s="444" t="str">
        <f t="shared" si="9"/>
        <v xml:space="preserve"> </v>
      </c>
      <c r="AP60" s="444" t="str">
        <f t="shared" si="10"/>
        <v xml:space="preserve"> </v>
      </c>
      <c r="AQ60" s="123" t="str">
        <f>IF(A60=" "," ",IF('#orgDung'!AB45=0,0,AO60/'#orgDung'!AB45))</f>
        <v xml:space="preserve"> </v>
      </c>
      <c r="AR60" s="47" t="str">
        <f>IF(A60=" "," ",IF('#orgDung'!AB45=0,0,AP60/'#orgDung'!AB45))</f>
        <v xml:space="preserve"> </v>
      </c>
      <c r="AS60" s="890">
        <f>IF(OR(B60=0,B60=""),0,MAX('Flächen u. Kulturen'!V41,AT60/B60))</f>
        <v>0</v>
      </c>
      <c r="AT60" s="875">
        <f t="shared" si="32"/>
        <v>0</v>
      </c>
      <c r="AU60" s="120" t="str">
        <f t="shared" si="11"/>
        <v xml:space="preserve"> </v>
      </c>
    </row>
    <row r="61" spans="1:47" s="875" customFormat="1" x14ac:dyDescent="0.2">
      <c r="A61" s="447" t="str">
        <f>IF('Flächen u. Kulturen'!E42="x",IF(AND('#Kürzungen'!$F$2=2,'#BerechnungDBE'!R37=1,'Flächen u. Kulturen'!D42&lt;&gt;""),'Flächen u. Kulturen'!A42,IF(AND('#BerechnungDBE'!S37=1,'Flächen u. Kulturen'!D42&lt;&gt;""),'Flächen u. Kulturen'!A42," "))," ")</f>
        <v xml:space="preserve"> </v>
      </c>
      <c r="B61" s="505" t="str">
        <f>'Flächen u. Kulturen'!D42</f>
        <v/>
      </c>
      <c r="C61" s="42" t="str">
        <f>IF(A61=" "," ",'#BerechnungDBE'!AA37)</f>
        <v xml:space="preserve"> </v>
      </c>
      <c r="D61" s="42" t="str">
        <f>IF(A61=" "," ",'#BerechnungDBE'!BA37)</f>
        <v xml:space="preserve"> </v>
      </c>
      <c r="E61" s="42" t="str">
        <f t="shared" si="36"/>
        <v xml:space="preserve"> </v>
      </c>
      <c r="F61" s="869"/>
      <c r="G61" s="42" t="str">
        <f>IF(A61=" ","",'#BerechnungDBE'!BA37+'#BerechnungDBE'!BF37)</f>
        <v/>
      </c>
      <c r="H61" s="444" t="str">
        <f t="shared" si="12"/>
        <v/>
      </c>
      <c r="I61" s="444">
        <f>'#minDung'!P43</f>
        <v>0</v>
      </c>
      <c r="J61" s="430" t="str">
        <f t="shared" si="34"/>
        <v xml:space="preserve"> </v>
      </c>
      <c r="K61" s="913">
        <f>IF(A61=" ",0,'Flächen u. Kulturen'!V42)</f>
        <v>0</v>
      </c>
      <c r="L61" s="883" t="str">
        <f t="shared" ref="L61:L92" si="37">IF(B61="","",K61*B61)</f>
        <v/>
      </c>
      <c r="M61" s="879" t="str">
        <f t="shared" ref="M61:M92" si="38">IF($A61=" "," ",IF(C61=1,$C$11,IF(C61=2,$C$12,IF(C61=3,$C$13,IF(C61=4,$C$14,$C$15)))))</f>
        <v xml:space="preserve"> </v>
      </c>
      <c r="N61" s="444" t="str">
        <f t="shared" si="14"/>
        <v xml:space="preserve"> </v>
      </c>
      <c r="O61" s="911" t="str">
        <f t="shared" si="15"/>
        <v xml:space="preserve"> </v>
      </c>
      <c r="P61" s="912" t="str">
        <f t="shared" si="16"/>
        <v xml:space="preserve"> </v>
      </c>
      <c r="Q61" s="912" t="str">
        <f t="shared" si="17"/>
        <v xml:space="preserve"> </v>
      </c>
      <c r="R61" s="444" t="str">
        <f t="shared" ref="R61:R92" si="39">IF(A61=" ","",IF(M61&lt;J61-K61,M61,J61-K61))</f>
        <v/>
      </c>
      <c r="S61" s="444" t="str">
        <f t="shared" si="18"/>
        <v/>
      </c>
      <c r="T61" s="444" t="str">
        <f t="shared" ref="T61:T92" si="40">IF(A61=" "," ",R61*B61)</f>
        <v xml:space="preserve"> </v>
      </c>
      <c r="U61" s="119" t="str">
        <f t="shared" si="19"/>
        <v xml:space="preserve"> </v>
      </c>
      <c r="V61" s="444" t="str">
        <f t="shared" si="33"/>
        <v xml:space="preserve"> </v>
      </c>
      <c r="W61" s="909" t="str">
        <f t="shared" si="20"/>
        <v xml:space="preserve"> </v>
      </c>
      <c r="X61" s="924" t="str">
        <f t="shared" si="21"/>
        <v xml:space="preserve"> </v>
      </c>
      <c r="Y61" s="444" t="str">
        <f t="shared" ref="Y61:Y92" si="41">+IF(A61=" "," ",X61*D61/100)</f>
        <v xml:space="preserve"> </v>
      </c>
      <c r="Z61" s="444" t="str">
        <f t="shared" si="22"/>
        <v xml:space="preserve"> </v>
      </c>
      <c r="AA61" s="444" t="str">
        <f t="shared" si="23"/>
        <v xml:space="preserve"> </v>
      </c>
      <c r="AB61" s="912" t="str">
        <f t="shared" si="24"/>
        <v xml:space="preserve"> </v>
      </c>
      <c r="AC61" s="912" t="str">
        <f t="shared" si="25"/>
        <v xml:space="preserve"> </v>
      </c>
      <c r="AD61" s="444" t="str">
        <f t="shared" si="26"/>
        <v xml:space="preserve"> </v>
      </c>
      <c r="AE61" s="444" t="str">
        <f t="shared" si="27"/>
        <v/>
      </c>
      <c r="AF61" s="444" t="str">
        <f t="shared" ref="AF61:AF92" si="42">IF(A61=" "," ",AD61*B61)</f>
        <v xml:space="preserve"> </v>
      </c>
      <c r="AG61" s="119" t="str">
        <f t="shared" si="29"/>
        <v xml:space="preserve"> </v>
      </c>
      <c r="AH61" s="444" t="str">
        <f t="shared" si="30"/>
        <v xml:space="preserve"> </v>
      </c>
      <c r="AI61" s="909" t="str">
        <f t="shared" si="31"/>
        <v xml:space="preserve"> </v>
      </c>
      <c r="AJ61" s="879" t="str">
        <f t="shared" si="35"/>
        <v xml:space="preserve"> </v>
      </c>
      <c r="AK61" s="444" t="str">
        <f t="shared" ref="AK61:AK92" si="43">IF(A61=" "," ",AJ61*D61/100)</f>
        <v xml:space="preserve"> </v>
      </c>
      <c r="AL61" s="444" t="str">
        <f t="shared" ref="AL61:AL92" si="44">IF(A61=" "," ",AK61-AH61)</f>
        <v xml:space="preserve"> </v>
      </c>
      <c r="AM61" s="444" t="str">
        <f t="shared" ref="AM61:AM92" si="45">IF(A61=" "," ",AL61*B61)</f>
        <v xml:space="preserve"> </v>
      </c>
      <c r="AN61" s="119" t="str">
        <f t="shared" ref="AN61:AN92" si="46">IF(A61=" "," ",$AN$231)</f>
        <v xml:space="preserve"> </v>
      </c>
      <c r="AO61" s="444" t="str">
        <f t="shared" ref="AO61:AO92" si="47">IF(A61=" "," ",AN61*AL61)</f>
        <v xml:space="preserve"> </v>
      </c>
      <c r="AP61" s="444" t="str">
        <f t="shared" ref="AP61:AP92" si="48">IF(A61=" "," ",AM61*AN61)</f>
        <v xml:space="preserve"> </v>
      </c>
      <c r="AQ61" s="123" t="str">
        <f>IF(A61=" "," ",IF('#orgDung'!AB46=0,0,AO61/'#orgDung'!AB46))</f>
        <v xml:space="preserve"> </v>
      </c>
      <c r="AR61" s="47" t="str">
        <f>IF(A61=" "," ",IF('#orgDung'!AB46=0,0,AP61/'#orgDung'!AB46))</f>
        <v xml:space="preserve"> </v>
      </c>
      <c r="AS61" s="890">
        <f>IF(OR(B61=0,B61=""),0,MAX('Flächen u. Kulturen'!V42,AT61/B61))</f>
        <v>0</v>
      </c>
      <c r="AT61" s="875">
        <f t="shared" ref="AT61:AT92" si="49">IF(A61=" ",0,IF($F$2=3,E61*0.2,SUM(AI61,W61,L61)))</f>
        <v>0</v>
      </c>
      <c r="AU61" s="120" t="str">
        <f t="shared" ref="AU61:AU92" si="50">IF(A61=" "," ",AS61+AO61)</f>
        <v xml:space="preserve"> </v>
      </c>
    </row>
    <row r="62" spans="1:47" s="875" customFormat="1" x14ac:dyDescent="0.2">
      <c r="A62" s="447" t="str">
        <f>IF('Flächen u. Kulturen'!E43="x",IF(AND('#Kürzungen'!$F$2=2,'#BerechnungDBE'!R38=1,'Flächen u. Kulturen'!D43&lt;&gt;""),'Flächen u. Kulturen'!A43,IF(AND('#BerechnungDBE'!S38=1,'Flächen u. Kulturen'!D43&lt;&gt;""),'Flächen u. Kulturen'!A43," "))," ")</f>
        <v xml:space="preserve"> </v>
      </c>
      <c r="B62" s="505" t="str">
        <f>'Flächen u. Kulturen'!D43</f>
        <v/>
      </c>
      <c r="C62" s="42" t="str">
        <f>IF(A62=" "," ",'#BerechnungDBE'!AA38)</f>
        <v xml:space="preserve"> </v>
      </c>
      <c r="D62" s="42" t="str">
        <f>IF(A62=" "," ",'#BerechnungDBE'!BA38)</f>
        <v xml:space="preserve"> </v>
      </c>
      <c r="E62" s="42" t="str">
        <f t="shared" si="36"/>
        <v xml:space="preserve"> </v>
      </c>
      <c r="F62" s="869"/>
      <c r="G62" s="42" t="str">
        <f>IF(A62=" ","",'#BerechnungDBE'!BA38+'#BerechnungDBE'!BF38)</f>
        <v/>
      </c>
      <c r="H62" s="444" t="str">
        <f t="shared" si="12"/>
        <v/>
      </c>
      <c r="I62" s="444">
        <f>'#minDung'!P44</f>
        <v>0</v>
      </c>
      <c r="J62" s="430" t="str">
        <f t="shared" si="34"/>
        <v xml:space="preserve"> </v>
      </c>
      <c r="K62" s="913">
        <f>IF(A62=" ",0,'Flächen u. Kulturen'!V43)</f>
        <v>0</v>
      </c>
      <c r="L62" s="883" t="str">
        <f t="shared" si="37"/>
        <v/>
      </c>
      <c r="M62" s="879" t="str">
        <f t="shared" si="38"/>
        <v xml:space="preserve"> </v>
      </c>
      <c r="N62" s="444" t="str">
        <f t="shared" si="14"/>
        <v xml:space="preserve"> </v>
      </c>
      <c r="O62" s="911" t="str">
        <f t="shared" si="15"/>
        <v xml:space="preserve"> </v>
      </c>
      <c r="P62" s="912" t="str">
        <f t="shared" si="16"/>
        <v xml:space="preserve"> </v>
      </c>
      <c r="Q62" s="912" t="str">
        <f t="shared" si="17"/>
        <v xml:space="preserve"> </v>
      </c>
      <c r="R62" s="444" t="str">
        <f t="shared" si="39"/>
        <v/>
      </c>
      <c r="S62" s="444" t="str">
        <f t="shared" si="18"/>
        <v/>
      </c>
      <c r="T62" s="444" t="str">
        <f t="shared" si="40"/>
        <v xml:space="preserve"> </v>
      </c>
      <c r="U62" s="119" t="str">
        <f t="shared" si="19"/>
        <v xml:space="preserve"> </v>
      </c>
      <c r="V62" s="444" t="str">
        <f t="shared" si="33"/>
        <v xml:space="preserve"> </v>
      </c>
      <c r="W62" s="909" t="str">
        <f t="shared" si="20"/>
        <v xml:space="preserve"> </v>
      </c>
      <c r="X62" s="924" t="str">
        <f t="shared" si="21"/>
        <v xml:space="preserve"> </v>
      </c>
      <c r="Y62" s="444" t="str">
        <f t="shared" si="41"/>
        <v xml:space="preserve"> </v>
      </c>
      <c r="Z62" s="444" t="str">
        <f t="shared" si="22"/>
        <v xml:space="preserve"> </v>
      </c>
      <c r="AA62" s="444" t="str">
        <f t="shared" si="23"/>
        <v xml:space="preserve"> </v>
      </c>
      <c r="AB62" s="912" t="str">
        <f t="shared" si="24"/>
        <v xml:space="preserve"> </v>
      </c>
      <c r="AC62" s="912" t="str">
        <f t="shared" si="25"/>
        <v xml:space="preserve"> </v>
      </c>
      <c r="AD62" s="444" t="str">
        <f t="shared" si="26"/>
        <v xml:space="preserve"> </v>
      </c>
      <c r="AE62" s="444" t="str">
        <f t="shared" si="27"/>
        <v/>
      </c>
      <c r="AF62" s="444" t="str">
        <f t="shared" si="42"/>
        <v xml:space="preserve"> </v>
      </c>
      <c r="AG62" s="119" t="str">
        <f t="shared" si="29"/>
        <v xml:space="preserve"> </v>
      </c>
      <c r="AH62" s="444" t="str">
        <f t="shared" si="30"/>
        <v xml:space="preserve"> </v>
      </c>
      <c r="AI62" s="909" t="str">
        <f t="shared" si="31"/>
        <v xml:space="preserve"> </v>
      </c>
      <c r="AJ62" s="879" t="str">
        <f t="shared" si="35"/>
        <v xml:space="preserve"> </v>
      </c>
      <c r="AK62" s="444" t="str">
        <f t="shared" si="43"/>
        <v xml:space="preserve"> </v>
      </c>
      <c r="AL62" s="444" t="str">
        <f t="shared" si="44"/>
        <v xml:space="preserve"> </v>
      </c>
      <c r="AM62" s="444" t="str">
        <f t="shared" si="45"/>
        <v xml:space="preserve"> </v>
      </c>
      <c r="AN62" s="119" t="str">
        <f t="shared" si="46"/>
        <v xml:space="preserve"> </v>
      </c>
      <c r="AO62" s="444" t="str">
        <f t="shared" si="47"/>
        <v xml:space="preserve"> </v>
      </c>
      <c r="AP62" s="444" t="str">
        <f t="shared" si="48"/>
        <v xml:space="preserve"> </v>
      </c>
      <c r="AQ62" s="123" t="str">
        <f>IF(A62=" "," ",IF('#orgDung'!AB47=0,0,AO62/'#orgDung'!AB47))</f>
        <v xml:space="preserve"> </v>
      </c>
      <c r="AR62" s="47" t="str">
        <f>IF(A62=" "," ",IF('#orgDung'!AB47=0,0,AP62/'#orgDung'!AB47))</f>
        <v xml:space="preserve"> </v>
      </c>
      <c r="AS62" s="890">
        <f>IF(OR(B62=0,B62=""),0,MAX('Flächen u. Kulturen'!V43,AT62/B62))</f>
        <v>0</v>
      </c>
      <c r="AT62" s="875">
        <f t="shared" si="49"/>
        <v>0</v>
      </c>
      <c r="AU62" s="120" t="str">
        <f t="shared" si="50"/>
        <v xml:space="preserve"> </v>
      </c>
    </row>
    <row r="63" spans="1:47" s="875" customFormat="1" x14ac:dyDescent="0.2">
      <c r="A63" s="447" t="str">
        <f>IF('Flächen u. Kulturen'!E44="x",IF(AND('#Kürzungen'!$F$2=2,'#BerechnungDBE'!R39=1,'Flächen u. Kulturen'!D44&lt;&gt;""),'Flächen u. Kulturen'!A44,IF(AND('#BerechnungDBE'!S39=1,'Flächen u. Kulturen'!D44&lt;&gt;""),'Flächen u. Kulturen'!A44," "))," ")</f>
        <v xml:space="preserve"> </v>
      </c>
      <c r="B63" s="505" t="str">
        <f>'Flächen u. Kulturen'!D44</f>
        <v/>
      </c>
      <c r="C63" s="42" t="str">
        <f>IF(A63=" "," ",'#BerechnungDBE'!AA39)</f>
        <v xml:space="preserve"> </v>
      </c>
      <c r="D63" s="42" t="str">
        <f>IF(A63=" "," ",'#BerechnungDBE'!BA39)</f>
        <v xml:space="preserve"> </v>
      </c>
      <c r="E63" s="42" t="str">
        <f t="shared" si="36"/>
        <v xml:space="preserve"> </v>
      </c>
      <c r="F63" s="869"/>
      <c r="G63" s="42" t="str">
        <f>IF(A63=" ","",'#BerechnungDBE'!BA39+'#BerechnungDBE'!BF39)</f>
        <v/>
      </c>
      <c r="H63" s="444" t="str">
        <f t="shared" si="12"/>
        <v/>
      </c>
      <c r="I63" s="444">
        <f>'#minDung'!P45</f>
        <v>0</v>
      </c>
      <c r="J63" s="430" t="str">
        <f t="shared" si="34"/>
        <v xml:space="preserve"> </v>
      </c>
      <c r="K63" s="913">
        <f>IF(A63=" ",0,'Flächen u. Kulturen'!V44)</f>
        <v>0</v>
      </c>
      <c r="L63" s="883" t="str">
        <f t="shared" si="37"/>
        <v/>
      </c>
      <c r="M63" s="879" t="str">
        <f t="shared" si="38"/>
        <v xml:space="preserve"> </v>
      </c>
      <c r="N63" s="444" t="str">
        <f t="shared" si="14"/>
        <v xml:space="preserve"> </v>
      </c>
      <c r="O63" s="911" t="str">
        <f t="shared" si="15"/>
        <v xml:space="preserve"> </v>
      </c>
      <c r="P63" s="912" t="str">
        <f t="shared" si="16"/>
        <v xml:space="preserve"> </v>
      </c>
      <c r="Q63" s="912" t="str">
        <f t="shared" si="17"/>
        <v xml:space="preserve"> </v>
      </c>
      <c r="R63" s="444" t="str">
        <f t="shared" si="39"/>
        <v/>
      </c>
      <c r="S63" s="444" t="str">
        <f t="shared" si="18"/>
        <v/>
      </c>
      <c r="T63" s="444" t="str">
        <f t="shared" si="40"/>
        <v xml:space="preserve"> </v>
      </c>
      <c r="U63" s="119" t="str">
        <f t="shared" si="19"/>
        <v xml:space="preserve"> </v>
      </c>
      <c r="V63" s="444" t="str">
        <f t="shared" si="33"/>
        <v xml:space="preserve"> </v>
      </c>
      <c r="W63" s="909" t="str">
        <f t="shared" si="20"/>
        <v xml:space="preserve"> </v>
      </c>
      <c r="X63" s="924" t="str">
        <f t="shared" si="21"/>
        <v xml:space="preserve"> </v>
      </c>
      <c r="Y63" s="444" t="str">
        <f t="shared" si="41"/>
        <v xml:space="preserve"> </v>
      </c>
      <c r="Z63" s="444" t="str">
        <f t="shared" si="22"/>
        <v xml:space="preserve"> </v>
      </c>
      <c r="AA63" s="444" t="str">
        <f t="shared" si="23"/>
        <v xml:space="preserve"> </v>
      </c>
      <c r="AB63" s="912" t="str">
        <f t="shared" si="24"/>
        <v xml:space="preserve"> </v>
      </c>
      <c r="AC63" s="912" t="str">
        <f t="shared" si="25"/>
        <v xml:space="preserve"> </v>
      </c>
      <c r="AD63" s="444" t="str">
        <f t="shared" si="26"/>
        <v xml:space="preserve"> </v>
      </c>
      <c r="AE63" s="444" t="str">
        <f t="shared" si="27"/>
        <v/>
      </c>
      <c r="AF63" s="444" t="str">
        <f t="shared" si="42"/>
        <v xml:space="preserve"> </v>
      </c>
      <c r="AG63" s="119" t="str">
        <f t="shared" si="29"/>
        <v xml:space="preserve"> </v>
      </c>
      <c r="AH63" s="444" t="str">
        <f t="shared" si="30"/>
        <v xml:space="preserve"> </v>
      </c>
      <c r="AI63" s="909" t="str">
        <f t="shared" si="31"/>
        <v xml:space="preserve"> </v>
      </c>
      <c r="AJ63" s="879" t="str">
        <f t="shared" si="35"/>
        <v xml:space="preserve"> </v>
      </c>
      <c r="AK63" s="444" t="str">
        <f t="shared" si="43"/>
        <v xml:space="preserve"> </v>
      </c>
      <c r="AL63" s="444" t="str">
        <f t="shared" si="44"/>
        <v xml:space="preserve"> </v>
      </c>
      <c r="AM63" s="444" t="str">
        <f t="shared" si="45"/>
        <v xml:space="preserve"> </v>
      </c>
      <c r="AN63" s="119" t="str">
        <f t="shared" si="46"/>
        <v xml:space="preserve"> </v>
      </c>
      <c r="AO63" s="444" t="str">
        <f t="shared" si="47"/>
        <v xml:space="preserve"> </v>
      </c>
      <c r="AP63" s="444" t="str">
        <f t="shared" si="48"/>
        <v xml:space="preserve"> </v>
      </c>
      <c r="AQ63" s="123" t="str">
        <f>IF(A63=" "," ",IF('#orgDung'!AB48=0,0,AO63/'#orgDung'!AB48))</f>
        <v xml:space="preserve"> </v>
      </c>
      <c r="AR63" s="47" t="str">
        <f>IF(A63=" "," ",IF('#orgDung'!AB48=0,0,AP63/'#orgDung'!AB48))</f>
        <v xml:space="preserve"> </v>
      </c>
      <c r="AS63" s="890">
        <f>IF(OR(B63=0,B63=""),0,MAX('Flächen u. Kulturen'!V44,AT63/B63))</f>
        <v>0</v>
      </c>
      <c r="AT63" s="875">
        <f t="shared" si="49"/>
        <v>0</v>
      </c>
      <c r="AU63" s="120" t="str">
        <f t="shared" si="50"/>
        <v xml:space="preserve"> </v>
      </c>
    </row>
    <row r="64" spans="1:47" s="875" customFormat="1" x14ac:dyDescent="0.2">
      <c r="A64" s="447" t="str">
        <f>IF('Flächen u. Kulturen'!E45="x",IF(AND('#Kürzungen'!$F$2=2,'#BerechnungDBE'!R40=1,'Flächen u. Kulturen'!D45&lt;&gt;""),'Flächen u. Kulturen'!A45,IF(AND('#BerechnungDBE'!S40=1,'Flächen u. Kulturen'!D45&lt;&gt;""),'Flächen u. Kulturen'!A45," "))," ")</f>
        <v xml:space="preserve"> </v>
      </c>
      <c r="B64" s="505" t="str">
        <f>'Flächen u. Kulturen'!D45</f>
        <v/>
      </c>
      <c r="C64" s="42" t="str">
        <f>IF(A64=" "," ",'#BerechnungDBE'!AA40)</f>
        <v xml:space="preserve"> </v>
      </c>
      <c r="D64" s="42" t="str">
        <f>IF(A64=" "," ",'#BerechnungDBE'!BA40)</f>
        <v xml:space="preserve"> </v>
      </c>
      <c r="E64" s="42" t="str">
        <f t="shared" si="36"/>
        <v xml:space="preserve"> </v>
      </c>
      <c r="F64" s="869"/>
      <c r="G64" s="42" t="str">
        <f>IF(A64=" ","",'#BerechnungDBE'!BA40+'#BerechnungDBE'!BF40)</f>
        <v/>
      </c>
      <c r="H64" s="444" t="str">
        <f t="shared" si="12"/>
        <v/>
      </c>
      <c r="I64" s="444">
        <f>'#minDung'!P46</f>
        <v>0</v>
      </c>
      <c r="J64" s="430" t="str">
        <f t="shared" si="34"/>
        <v xml:space="preserve"> </v>
      </c>
      <c r="K64" s="913">
        <f>IF(A64=" ",0,'Flächen u. Kulturen'!V45)</f>
        <v>0</v>
      </c>
      <c r="L64" s="883" t="str">
        <f t="shared" si="37"/>
        <v/>
      </c>
      <c r="M64" s="879" t="str">
        <f t="shared" si="38"/>
        <v xml:space="preserve"> </v>
      </c>
      <c r="N64" s="444" t="str">
        <f t="shared" si="14"/>
        <v xml:space="preserve"> </v>
      </c>
      <c r="O64" s="911" t="str">
        <f t="shared" si="15"/>
        <v xml:space="preserve"> </v>
      </c>
      <c r="P64" s="912" t="str">
        <f t="shared" si="16"/>
        <v xml:space="preserve"> </v>
      </c>
      <c r="Q64" s="912" t="str">
        <f t="shared" si="17"/>
        <v xml:space="preserve"> </v>
      </c>
      <c r="R64" s="444" t="str">
        <f t="shared" si="39"/>
        <v/>
      </c>
      <c r="S64" s="444" t="str">
        <f t="shared" si="18"/>
        <v/>
      </c>
      <c r="T64" s="444" t="str">
        <f t="shared" si="40"/>
        <v xml:space="preserve"> </v>
      </c>
      <c r="U64" s="119" t="str">
        <f t="shared" si="19"/>
        <v xml:space="preserve"> </v>
      </c>
      <c r="V64" s="444" t="str">
        <f t="shared" si="33"/>
        <v xml:space="preserve"> </v>
      </c>
      <c r="W64" s="909" t="str">
        <f t="shared" si="20"/>
        <v xml:space="preserve"> </v>
      </c>
      <c r="X64" s="924" t="str">
        <f t="shared" si="21"/>
        <v xml:space="preserve"> </v>
      </c>
      <c r="Y64" s="444" t="str">
        <f t="shared" si="41"/>
        <v xml:space="preserve"> </v>
      </c>
      <c r="Z64" s="444" t="str">
        <f t="shared" si="22"/>
        <v xml:space="preserve"> </v>
      </c>
      <c r="AA64" s="444" t="str">
        <f t="shared" si="23"/>
        <v xml:space="preserve"> </v>
      </c>
      <c r="AB64" s="912" t="str">
        <f t="shared" si="24"/>
        <v xml:space="preserve"> </v>
      </c>
      <c r="AC64" s="912" t="str">
        <f t="shared" si="25"/>
        <v xml:space="preserve"> </v>
      </c>
      <c r="AD64" s="444" t="str">
        <f t="shared" si="26"/>
        <v xml:space="preserve"> </v>
      </c>
      <c r="AE64" s="444" t="str">
        <f t="shared" si="27"/>
        <v/>
      </c>
      <c r="AF64" s="444" t="str">
        <f t="shared" si="42"/>
        <v xml:space="preserve"> </v>
      </c>
      <c r="AG64" s="119" t="str">
        <f t="shared" si="29"/>
        <v xml:space="preserve"> </v>
      </c>
      <c r="AH64" s="444" t="str">
        <f t="shared" si="30"/>
        <v xml:space="preserve"> </v>
      </c>
      <c r="AI64" s="909" t="str">
        <f t="shared" si="31"/>
        <v xml:space="preserve"> </v>
      </c>
      <c r="AJ64" s="879" t="str">
        <f t="shared" si="35"/>
        <v xml:space="preserve"> </v>
      </c>
      <c r="AK64" s="444" t="str">
        <f t="shared" si="43"/>
        <v xml:space="preserve"> </v>
      </c>
      <c r="AL64" s="444" t="str">
        <f t="shared" si="44"/>
        <v xml:space="preserve"> </v>
      </c>
      <c r="AM64" s="444" t="str">
        <f t="shared" si="45"/>
        <v xml:space="preserve"> </v>
      </c>
      <c r="AN64" s="119" t="str">
        <f t="shared" si="46"/>
        <v xml:space="preserve"> </v>
      </c>
      <c r="AO64" s="444" t="str">
        <f t="shared" si="47"/>
        <v xml:space="preserve"> </v>
      </c>
      <c r="AP64" s="444" t="str">
        <f t="shared" si="48"/>
        <v xml:space="preserve"> </v>
      </c>
      <c r="AQ64" s="123" t="str">
        <f>IF(A64=" "," ",IF('#orgDung'!AB49=0,0,AO64/'#orgDung'!AB49))</f>
        <v xml:space="preserve"> </v>
      </c>
      <c r="AR64" s="47" t="str">
        <f>IF(A64=" "," ",IF('#orgDung'!AB49=0,0,AP64/'#orgDung'!AB49))</f>
        <v xml:space="preserve"> </v>
      </c>
      <c r="AS64" s="890">
        <f>IF(OR(B64=0,B64=""),0,MAX('Flächen u. Kulturen'!V45,AT64/B64))</f>
        <v>0</v>
      </c>
      <c r="AT64" s="875">
        <f t="shared" si="49"/>
        <v>0</v>
      </c>
      <c r="AU64" s="120" t="str">
        <f t="shared" si="50"/>
        <v xml:space="preserve"> </v>
      </c>
    </row>
    <row r="65" spans="1:47" s="875" customFormat="1" x14ac:dyDescent="0.2">
      <c r="A65" s="447" t="str">
        <f>IF('Flächen u. Kulturen'!E46="x",IF(AND('#Kürzungen'!$F$2=2,'#BerechnungDBE'!R41=1,'Flächen u. Kulturen'!D46&lt;&gt;""),'Flächen u. Kulturen'!A46,IF(AND('#BerechnungDBE'!S41=1,'Flächen u. Kulturen'!D46&lt;&gt;""),'Flächen u. Kulturen'!A46," "))," ")</f>
        <v xml:space="preserve"> </v>
      </c>
      <c r="B65" s="505" t="str">
        <f>'Flächen u. Kulturen'!D46</f>
        <v/>
      </c>
      <c r="C65" s="42" t="str">
        <f>IF(A65=" "," ",'#BerechnungDBE'!AA41)</f>
        <v xml:space="preserve"> </v>
      </c>
      <c r="D65" s="42" t="str">
        <f>IF(A65=" "," ",'#BerechnungDBE'!BA41)</f>
        <v xml:space="preserve"> </v>
      </c>
      <c r="E65" s="42" t="str">
        <f t="shared" si="36"/>
        <v xml:space="preserve"> </v>
      </c>
      <c r="F65" s="869"/>
      <c r="G65" s="42" t="str">
        <f>IF(A65=" ","",'#BerechnungDBE'!BA41+'#BerechnungDBE'!BF41)</f>
        <v/>
      </c>
      <c r="H65" s="444" t="str">
        <f t="shared" si="12"/>
        <v/>
      </c>
      <c r="I65" s="444">
        <f>'#minDung'!P47</f>
        <v>0</v>
      </c>
      <c r="J65" s="430" t="str">
        <f t="shared" si="34"/>
        <v xml:space="preserve"> </v>
      </c>
      <c r="K65" s="913">
        <f>IF(A65=" ",0,'Flächen u. Kulturen'!V46)</f>
        <v>0</v>
      </c>
      <c r="L65" s="883" t="str">
        <f t="shared" si="37"/>
        <v/>
      </c>
      <c r="M65" s="879" t="str">
        <f t="shared" si="38"/>
        <v xml:space="preserve"> </v>
      </c>
      <c r="N65" s="444" t="str">
        <f t="shared" si="14"/>
        <v xml:space="preserve"> </v>
      </c>
      <c r="O65" s="911" t="str">
        <f t="shared" si="15"/>
        <v xml:space="preserve"> </v>
      </c>
      <c r="P65" s="912" t="str">
        <f t="shared" si="16"/>
        <v xml:space="preserve"> </v>
      </c>
      <c r="Q65" s="912" t="str">
        <f t="shared" si="17"/>
        <v xml:space="preserve"> </v>
      </c>
      <c r="R65" s="444" t="str">
        <f t="shared" si="39"/>
        <v/>
      </c>
      <c r="S65" s="444" t="str">
        <f t="shared" si="18"/>
        <v/>
      </c>
      <c r="T65" s="444" t="str">
        <f t="shared" si="40"/>
        <v xml:space="preserve"> </v>
      </c>
      <c r="U65" s="119" t="str">
        <f t="shared" si="19"/>
        <v xml:space="preserve"> </v>
      </c>
      <c r="V65" s="444" t="str">
        <f t="shared" si="33"/>
        <v xml:space="preserve"> </v>
      </c>
      <c r="W65" s="909" t="str">
        <f t="shared" si="20"/>
        <v xml:space="preserve"> </v>
      </c>
      <c r="X65" s="924" t="str">
        <f t="shared" si="21"/>
        <v xml:space="preserve"> </v>
      </c>
      <c r="Y65" s="444" t="str">
        <f t="shared" si="41"/>
        <v xml:space="preserve"> </v>
      </c>
      <c r="Z65" s="444" t="str">
        <f t="shared" si="22"/>
        <v xml:space="preserve"> </v>
      </c>
      <c r="AA65" s="444" t="str">
        <f t="shared" si="23"/>
        <v xml:space="preserve"> </v>
      </c>
      <c r="AB65" s="912" t="str">
        <f t="shared" si="24"/>
        <v xml:space="preserve"> </v>
      </c>
      <c r="AC65" s="912" t="str">
        <f t="shared" si="25"/>
        <v xml:space="preserve"> </v>
      </c>
      <c r="AD65" s="444" t="str">
        <f t="shared" si="26"/>
        <v xml:space="preserve"> </v>
      </c>
      <c r="AE65" s="444" t="str">
        <f t="shared" si="27"/>
        <v/>
      </c>
      <c r="AF65" s="444" t="str">
        <f t="shared" si="42"/>
        <v xml:space="preserve"> </v>
      </c>
      <c r="AG65" s="119" t="str">
        <f t="shared" si="29"/>
        <v xml:space="preserve"> </v>
      </c>
      <c r="AH65" s="444" t="str">
        <f t="shared" si="30"/>
        <v xml:space="preserve"> </v>
      </c>
      <c r="AI65" s="909" t="str">
        <f t="shared" si="31"/>
        <v xml:space="preserve"> </v>
      </c>
      <c r="AJ65" s="879" t="str">
        <f t="shared" si="35"/>
        <v xml:space="preserve"> </v>
      </c>
      <c r="AK65" s="444" t="str">
        <f t="shared" si="43"/>
        <v xml:space="preserve"> </v>
      </c>
      <c r="AL65" s="444" t="str">
        <f t="shared" si="44"/>
        <v xml:space="preserve"> </v>
      </c>
      <c r="AM65" s="444" t="str">
        <f t="shared" si="45"/>
        <v xml:space="preserve"> </v>
      </c>
      <c r="AN65" s="119" t="str">
        <f t="shared" si="46"/>
        <v xml:space="preserve"> </v>
      </c>
      <c r="AO65" s="444" t="str">
        <f t="shared" si="47"/>
        <v xml:space="preserve"> </v>
      </c>
      <c r="AP65" s="444" t="str">
        <f t="shared" si="48"/>
        <v xml:space="preserve"> </v>
      </c>
      <c r="AQ65" s="123" t="str">
        <f>IF(A65=" "," ",IF('#orgDung'!AB50=0,0,AO65/'#orgDung'!AB50))</f>
        <v xml:space="preserve"> </v>
      </c>
      <c r="AR65" s="47" t="str">
        <f>IF(A65=" "," ",IF('#orgDung'!AB50=0,0,AP65/'#orgDung'!AB50))</f>
        <v xml:space="preserve"> </v>
      </c>
      <c r="AS65" s="890">
        <f>IF(OR(B65=0,B65=""),0,MAX('Flächen u. Kulturen'!V46,AT65/B65))</f>
        <v>0</v>
      </c>
      <c r="AT65" s="875">
        <f t="shared" si="49"/>
        <v>0</v>
      </c>
      <c r="AU65" s="120" t="str">
        <f t="shared" si="50"/>
        <v xml:space="preserve"> </v>
      </c>
    </row>
    <row r="66" spans="1:47" s="875" customFormat="1" x14ac:dyDescent="0.2">
      <c r="A66" s="447" t="str">
        <f>IF('Flächen u. Kulturen'!E47="x",IF(AND('#Kürzungen'!$F$2=2,'#BerechnungDBE'!R42=1,'Flächen u. Kulturen'!D47&lt;&gt;""),'Flächen u. Kulturen'!A47,IF(AND('#BerechnungDBE'!S42=1,'Flächen u. Kulturen'!D47&lt;&gt;""),'Flächen u. Kulturen'!A47," "))," ")</f>
        <v xml:space="preserve"> </v>
      </c>
      <c r="B66" s="505" t="str">
        <f>'Flächen u. Kulturen'!D47</f>
        <v/>
      </c>
      <c r="C66" s="42" t="str">
        <f>IF(A66=" "," ",'#BerechnungDBE'!AA42)</f>
        <v xml:space="preserve"> </v>
      </c>
      <c r="D66" s="42" t="str">
        <f>IF(A66=" "," ",'#BerechnungDBE'!BA42)</f>
        <v xml:space="preserve"> </v>
      </c>
      <c r="E66" s="42" t="str">
        <f t="shared" si="36"/>
        <v xml:space="preserve"> </v>
      </c>
      <c r="F66" s="869"/>
      <c r="G66" s="42" t="str">
        <f>IF(A66=" ","",'#BerechnungDBE'!BA42+'#BerechnungDBE'!BF42)</f>
        <v/>
      </c>
      <c r="H66" s="444" t="str">
        <f t="shared" si="12"/>
        <v/>
      </c>
      <c r="I66" s="444">
        <f>'#minDung'!P48</f>
        <v>0</v>
      </c>
      <c r="J66" s="430" t="str">
        <f t="shared" si="34"/>
        <v xml:space="preserve"> </v>
      </c>
      <c r="K66" s="913">
        <f>IF(A66=" ",0,'Flächen u. Kulturen'!V47)</f>
        <v>0</v>
      </c>
      <c r="L66" s="883" t="str">
        <f t="shared" si="37"/>
        <v/>
      </c>
      <c r="M66" s="879" t="str">
        <f t="shared" si="38"/>
        <v xml:space="preserve"> </v>
      </c>
      <c r="N66" s="444" t="str">
        <f t="shared" si="14"/>
        <v xml:space="preserve"> </v>
      </c>
      <c r="O66" s="911" t="str">
        <f t="shared" si="15"/>
        <v xml:space="preserve"> </v>
      </c>
      <c r="P66" s="912" t="str">
        <f t="shared" si="16"/>
        <v xml:space="preserve"> </v>
      </c>
      <c r="Q66" s="912" t="str">
        <f t="shared" si="17"/>
        <v xml:space="preserve"> </v>
      </c>
      <c r="R66" s="444" t="str">
        <f t="shared" si="39"/>
        <v/>
      </c>
      <c r="S66" s="444" t="str">
        <f t="shared" si="18"/>
        <v/>
      </c>
      <c r="T66" s="444" t="str">
        <f t="shared" si="40"/>
        <v xml:space="preserve"> </v>
      </c>
      <c r="U66" s="119" t="str">
        <f t="shared" si="19"/>
        <v xml:space="preserve"> </v>
      </c>
      <c r="V66" s="444" t="str">
        <f t="shared" si="33"/>
        <v xml:space="preserve"> </v>
      </c>
      <c r="W66" s="909" t="str">
        <f t="shared" si="20"/>
        <v xml:space="preserve"> </v>
      </c>
      <c r="X66" s="924" t="str">
        <f t="shared" si="21"/>
        <v xml:space="preserve"> </v>
      </c>
      <c r="Y66" s="444" t="str">
        <f t="shared" si="41"/>
        <v xml:space="preserve"> </v>
      </c>
      <c r="Z66" s="444" t="str">
        <f t="shared" si="22"/>
        <v xml:space="preserve"> </v>
      </c>
      <c r="AA66" s="444" t="str">
        <f t="shared" si="23"/>
        <v xml:space="preserve"> </v>
      </c>
      <c r="AB66" s="912" t="str">
        <f t="shared" si="24"/>
        <v xml:space="preserve"> </v>
      </c>
      <c r="AC66" s="912" t="str">
        <f t="shared" si="25"/>
        <v xml:space="preserve"> </v>
      </c>
      <c r="AD66" s="444" t="str">
        <f t="shared" si="26"/>
        <v xml:space="preserve"> </v>
      </c>
      <c r="AE66" s="444" t="str">
        <f t="shared" si="27"/>
        <v/>
      </c>
      <c r="AF66" s="444" t="str">
        <f t="shared" si="42"/>
        <v xml:space="preserve"> </v>
      </c>
      <c r="AG66" s="119" t="str">
        <f t="shared" si="29"/>
        <v xml:space="preserve"> </v>
      </c>
      <c r="AH66" s="444" t="str">
        <f t="shared" si="30"/>
        <v xml:space="preserve"> </v>
      </c>
      <c r="AI66" s="909" t="str">
        <f t="shared" si="31"/>
        <v xml:space="preserve"> </v>
      </c>
      <c r="AJ66" s="879" t="str">
        <f t="shared" si="35"/>
        <v xml:space="preserve"> </v>
      </c>
      <c r="AK66" s="444" t="str">
        <f t="shared" si="43"/>
        <v xml:space="preserve"> </v>
      </c>
      <c r="AL66" s="444" t="str">
        <f t="shared" si="44"/>
        <v xml:space="preserve"> </v>
      </c>
      <c r="AM66" s="444" t="str">
        <f t="shared" si="45"/>
        <v xml:space="preserve"> </v>
      </c>
      <c r="AN66" s="119" t="str">
        <f t="shared" si="46"/>
        <v xml:space="preserve"> </v>
      </c>
      <c r="AO66" s="444" t="str">
        <f t="shared" si="47"/>
        <v xml:space="preserve"> </v>
      </c>
      <c r="AP66" s="444" t="str">
        <f t="shared" si="48"/>
        <v xml:space="preserve"> </v>
      </c>
      <c r="AQ66" s="123" t="str">
        <f>IF(A66=" "," ",IF('#orgDung'!AB51=0,0,AO66/'#orgDung'!AB51))</f>
        <v xml:space="preserve"> </v>
      </c>
      <c r="AR66" s="47" t="str">
        <f>IF(A66=" "," ",IF('#orgDung'!AB51=0,0,AP66/'#orgDung'!AB51))</f>
        <v xml:space="preserve"> </v>
      </c>
      <c r="AS66" s="890">
        <f>IF(OR(B66=0,B66=""),0,MAX('Flächen u. Kulturen'!V47,AT66/B66))</f>
        <v>0</v>
      </c>
      <c r="AT66" s="875">
        <f t="shared" si="49"/>
        <v>0</v>
      </c>
      <c r="AU66" s="120" t="str">
        <f t="shared" si="50"/>
        <v xml:space="preserve"> </v>
      </c>
    </row>
    <row r="67" spans="1:47" s="875" customFormat="1" x14ac:dyDescent="0.2">
      <c r="A67" s="447" t="str">
        <f>IF('Flächen u. Kulturen'!E48="x",IF(AND('#Kürzungen'!$F$2=2,'#BerechnungDBE'!R43=1,'Flächen u. Kulturen'!D48&lt;&gt;""),'Flächen u. Kulturen'!A48,IF(AND('#BerechnungDBE'!S43=1,'Flächen u. Kulturen'!D48&lt;&gt;""),'Flächen u. Kulturen'!A48," "))," ")</f>
        <v xml:space="preserve"> </v>
      </c>
      <c r="B67" s="505" t="str">
        <f>'Flächen u. Kulturen'!D48</f>
        <v/>
      </c>
      <c r="C67" s="42" t="str">
        <f>IF(A67=" "," ",'#BerechnungDBE'!AA43)</f>
        <v xml:space="preserve"> </v>
      </c>
      <c r="D67" s="42" t="str">
        <f>IF(A67=" "," ",'#BerechnungDBE'!BA43)</f>
        <v xml:space="preserve"> </v>
      </c>
      <c r="E67" s="42" t="str">
        <f t="shared" si="36"/>
        <v xml:space="preserve"> </v>
      </c>
      <c r="F67" s="869"/>
      <c r="G67" s="42" t="str">
        <f>IF(A67=" ","",'#BerechnungDBE'!BA43+'#BerechnungDBE'!BF43)</f>
        <v/>
      </c>
      <c r="H67" s="444" t="str">
        <f t="shared" si="12"/>
        <v/>
      </c>
      <c r="I67" s="444">
        <f>'#minDung'!P49</f>
        <v>0</v>
      </c>
      <c r="J67" s="430" t="str">
        <f t="shared" si="34"/>
        <v xml:space="preserve"> </v>
      </c>
      <c r="K67" s="913">
        <f>IF(A67=" ",0,'Flächen u. Kulturen'!V48)</f>
        <v>0</v>
      </c>
      <c r="L67" s="883" t="str">
        <f t="shared" si="37"/>
        <v/>
      </c>
      <c r="M67" s="879" t="str">
        <f t="shared" si="38"/>
        <v xml:space="preserve"> </v>
      </c>
      <c r="N67" s="444" t="str">
        <f t="shared" si="14"/>
        <v xml:space="preserve"> </v>
      </c>
      <c r="O67" s="911" t="str">
        <f t="shared" si="15"/>
        <v xml:space="preserve"> </v>
      </c>
      <c r="P67" s="912" t="str">
        <f t="shared" si="16"/>
        <v xml:space="preserve"> </v>
      </c>
      <c r="Q67" s="912" t="str">
        <f t="shared" si="17"/>
        <v xml:space="preserve"> </v>
      </c>
      <c r="R67" s="444" t="str">
        <f t="shared" si="39"/>
        <v/>
      </c>
      <c r="S67" s="444" t="str">
        <f t="shared" si="18"/>
        <v/>
      </c>
      <c r="T67" s="444" t="str">
        <f t="shared" si="40"/>
        <v xml:space="preserve"> </v>
      </c>
      <c r="U67" s="119" t="str">
        <f t="shared" si="19"/>
        <v xml:space="preserve"> </v>
      </c>
      <c r="V67" s="444" t="str">
        <f t="shared" si="33"/>
        <v xml:space="preserve"> </v>
      </c>
      <c r="W67" s="909" t="str">
        <f t="shared" si="20"/>
        <v xml:space="preserve"> </v>
      </c>
      <c r="X67" s="924" t="str">
        <f t="shared" si="21"/>
        <v xml:space="preserve"> </v>
      </c>
      <c r="Y67" s="444" t="str">
        <f t="shared" si="41"/>
        <v xml:space="preserve"> </v>
      </c>
      <c r="Z67" s="444" t="str">
        <f t="shared" si="22"/>
        <v xml:space="preserve"> </v>
      </c>
      <c r="AA67" s="444" t="str">
        <f t="shared" si="23"/>
        <v xml:space="preserve"> </v>
      </c>
      <c r="AB67" s="912" t="str">
        <f t="shared" si="24"/>
        <v xml:space="preserve"> </v>
      </c>
      <c r="AC67" s="912" t="str">
        <f t="shared" si="25"/>
        <v xml:space="preserve"> </v>
      </c>
      <c r="AD67" s="444" t="str">
        <f t="shared" si="26"/>
        <v xml:space="preserve"> </v>
      </c>
      <c r="AE67" s="444" t="str">
        <f t="shared" si="27"/>
        <v/>
      </c>
      <c r="AF67" s="444" t="str">
        <f t="shared" si="42"/>
        <v xml:space="preserve"> </v>
      </c>
      <c r="AG67" s="119" t="str">
        <f t="shared" si="29"/>
        <v xml:space="preserve"> </v>
      </c>
      <c r="AH67" s="444" t="str">
        <f t="shared" si="30"/>
        <v xml:space="preserve"> </v>
      </c>
      <c r="AI67" s="909" t="str">
        <f t="shared" si="31"/>
        <v xml:space="preserve"> </v>
      </c>
      <c r="AJ67" s="879" t="str">
        <f t="shared" si="35"/>
        <v xml:space="preserve"> </v>
      </c>
      <c r="AK67" s="444" t="str">
        <f t="shared" si="43"/>
        <v xml:space="preserve"> </v>
      </c>
      <c r="AL67" s="444" t="str">
        <f t="shared" si="44"/>
        <v xml:space="preserve"> </v>
      </c>
      <c r="AM67" s="444" t="str">
        <f t="shared" si="45"/>
        <v xml:space="preserve"> </v>
      </c>
      <c r="AN67" s="119" t="str">
        <f t="shared" si="46"/>
        <v xml:space="preserve"> </v>
      </c>
      <c r="AO67" s="444" t="str">
        <f t="shared" si="47"/>
        <v xml:space="preserve"> </v>
      </c>
      <c r="AP67" s="444" t="str">
        <f t="shared" si="48"/>
        <v xml:space="preserve"> </v>
      </c>
      <c r="AQ67" s="123" t="str">
        <f>IF(A67=" "," ",IF('#orgDung'!AB52=0,0,AO67/'#orgDung'!AB52))</f>
        <v xml:space="preserve"> </v>
      </c>
      <c r="AR67" s="47" t="str">
        <f>IF(A67=" "," ",IF('#orgDung'!AB52=0,0,AP67/'#orgDung'!AB52))</f>
        <v xml:space="preserve"> </v>
      </c>
      <c r="AS67" s="890">
        <f>IF(OR(B67=0,B67=""),0,MAX('Flächen u. Kulturen'!V48,AT67/B67))</f>
        <v>0</v>
      </c>
      <c r="AT67" s="875">
        <f t="shared" si="49"/>
        <v>0</v>
      </c>
      <c r="AU67" s="120" t="str">
        <f t="shared" si="50"/>
        <v xml:space="preserve"> </v>
      </c>
    </row>
    <row r="68" spans="1:47" s="875" customFormat="1" x14ac:dyDescent="0.2">
      <c r="A68" s="447" t="str">
        <f>IF('Flächen u. Kulturen'!E49="x",IF(AND('#Kürzungen'!$F$2=2,'#BerechnungDBE'!R44=1,'Flächen u. Kulturen'!D49&lt;&gt;""),'Flächen u. Kulturen'!A49,IF(AND('#BerechnungDBE'!S44=1,'Flächen u. Kulturen'!D49&lt;&gt;""),'Flächen u. Kulturen'!A49," "))," ")</f>
        <v xml:space="preserve"> </v>
      </c>
      <c r="B68" s="505" t="str">
        <f>'Flächen u. Kulturen'!D49</f>
        <v/>
      </c>
      <c r="C68" s="42" t="str">
        <f>IF(A68=" "," ",'#BerechnungDBE'!AA44)</f>
        <v xml:space="preserve"> </v>
      </c>
      <c r="D68" s="42" t="str">
        <f>IF(A68=" "," ",'#BerechnungDBE'!BA44)</f>
        <v xml:space="preserve"> </v>
      </c>
      <c r="E68" s="42" t="str">
        <f t="shared" si="36"/>
        <v xml:space="preserve"> </v>
      </c>
      <c r="F68" s="869"/>
      <c r="G68" s="42" t="str">
        <f>IF(A68=" ","",'#BerechnungDBE'!BA44+'#BerechnungDBE'!BF44)</f>
        <v/>
      </c>
      <c r="H68" s="444" t="str">
        <f t="shared" si="12"/>
        <v/>
      </c>
      <c r="I68" s="444">
        <f>'#minDung'!P50</f>
        <v>0</v>
      </c>
      <c r="J68" s="430" t="str">
        <f t="shared" si="34"/>
        <v xml:space="preserve"> </v>
      </c>
      <c r="K68" s="913">
        <f>IF(A68=" ",0,'Flächen u. Kulturen'!V49)</f>
        <v>0</v>
      </c>
      <c r="L68" s="883" t="str">
        <f t="shared" si="37"/>
        <v/>
      </c>
      <c r="M68" s="879" t="str">
        <f t="shared" si="38"/>
        <v xml:space="preserve"> </v>
      </c>
      <c r="N68" s="444" t="str">
        <f t="shared" si="14"/>
        <v xml:space="preserve"> </v>
      </c>
      <c r="O68" s="911" t="str">
        <f t="shared" si="15"/>
        <v xml:space="preserve"> </v>
      </c>
      <c r="P68" s="912" t="str">
        <f t="shared" si="16"/>
        <v xml:space="preserve"> </v>
      </c>
      <c r="Q68" s="912" t="str">
        <f t="shared" si="17"/>
        <v xml:space="preserve"> </v>
      </c>
      <c r="R68" s="444" t="str">
        <f t="shared" si="39"/>
        <v/>
      </c>
      <c r="S68" s="444" t="str">
        <f t="shared" si="18"/>
        <v/>
      </c>
      <c r="T68" s="444" t="str">
        <f t="shared" si="40"/>
        <v xml:space="preserve"> </v>
      </c>
      <c r="U68" s="119" t="str">
        <f t="shared" si="19"/>
        <v xml:space="preserve"> </v>
      </c>
      <c r="V68" s="444" t="str">
        <f t="shared" si="33"/>
        <v xml:space="preserve"> </v>
      </c>
      <c r="W68" s="909" t="str">
        <f t="shared" si="20"/>
        <v xml:space="preserve"> </v>
      </c>
      <c r="X68" s="924" t="str">
        <f t="shared" si="21"/>
        <v xml:space="preserve"> </v>
      </c>
      <c r="Y68" s="444" t="str">
        <f t="shared" si="41"/>
        <v xml:space="preserve"> </v>
      </c>
      <c r="Z68" s="444" t="str">
        <f t="shared" si="22"/>
        <v xml:space="preserve"> </v>
      </c>
      <c r="AA68" s="444" t="str">
        <f t="shared" si="23"/>
        <v xml:space="preserve"> </v>
      </c>
      <c r="AB68" s="912" t="str">
        <f t="shared" si="24"/>
        <v xml:space="preserve"> </v>
      </c>
      <c r="AC68" s="912" t="str">
        <f t="shared" si="25"/>
        <v xml:space="preserve"> </v>
      </c>
      <c r="AD68" s="444" t="str">
        <f t="shared" si="26"/>
        <v xml:space="preserve"> </v>
      </c>
      <c r="AE68" s="444" t="str">
        <f t="shared" si="27"/>
        <v/>
      </c>
      <c r="AF68" s="444" t="str">
        <f t="shared" si="42"/>
        <v xml:space="preserve"> </v>
      </c>
      <c r="AG68" s="119" t="str">
        <f t="shared" si="29"/>
        <v xml:space="preserve"> </v>
      </c>
      <c r="AH68" s="444" t="str">
        <f t="shared" si="30"/>
        <v xml:space="preserve"> </v>
      </c>
      <c r="AI68" s="909" t="str">
        <f t="shared" si="31"/>
        <v xml:space="preserve"> </v>
      </c>
      <c r="AJ68" s="879" t="str">
        <f t="shared" si="35"/>
        <v xml:space="preserve"> </v>
      </c>
      <c r="AK68" s="444" t="str">
        <f t="shared" si="43"/>
        <v xml:space="preserve"> </v>
      </c>
      <c r="AL68" s="444" t="str">
        <f t="shared" si="44"/>
        <v xml:space="preserve"> </v>
      </c>
      <c r="AM68" s="444" t="str">
        <f t="shared" si="45"/>
        <v xml:space="preserve"> </v>
      </c>
      <c r="AN68" s="119" t="str">
        <f t="shared" si="46"/>
        <v xml:space="preserve"> </v>
      </c>
      <c r="AO68" s="444" t="str">
        <f t="shared" si="47"/>
        <v xml:space="preserve"> </v>
      </c>
      <c r="AP68" s="444" t="str">
        <f t="shared" si="48"/>
        <v xml:space="preserve"> </v>
      </c>
      <c r="AQ68" s="123" t="str">
        <f>IF(A68=" "," ",IF('#orgDung'!AB53=0,0,AO68/'#orgDung'!AB53))</f>
        <v xml:space="preserve"> </v>
      </c>
      <c r="AR68" s="47" t="str">
        <f>IF(A68=" "," ",IF('#orgDung'!AB53=0,0,AP68/'#orgDung'!AB53))</f>
        <v xml:space="preserve"> </v>
      </c>
      <c r="AS68" s="890">
        <f>IF(OR(B68=0,B68=""),0,MAX('Flächen u. Kulturen'!V49,AT68/B68))</f>
        <v>0</v>
      </c>
      <c r="AT68" s="875">
        <f t="shared" si="49"/>
        <v>0</v>
      </c>
      <c r="AU68" s="120" t="str">
        <f t="shared" si="50"/>
        <v xml:space="preserve"> </v>
      </c>
    </row>
    <row r="69" spans="1:47" s="875" customFormat="1" x14ac:dyDescent="0.2">
      <c r="A69" s="447" t="str">
        <f>IF('Flächen u. Kulturen'!E50="x",IF(AND('#Kürzungen'!$F$2=2,'#BerechnungDBE'!R45=1,'Flächen u. Kulturen'!D50&lt;&gt;""),'Flächen u. Kulturen'!A50,IF(AND('#BerechnungDBE'!S45=1,'Flächen u. Kulturen'!D50&lt;&gt;""),'Flächen u. Kulturen'!A50," "))," ")</f>
        <v xml:space="preserve"> </v>
      </c>
      <c r="B69" s="505" t="str">
        <f>'Flächen u. Kulturen'!D50</f>
        <v/>
      </c>
      <c r="C69" s="42" t="str">
        <f>IF(A69=" "," ",'#BerechnungDBE'!AA45)</f>
        <v xml:space="preserve"> </v>
      </c>
      <c r="D69" s="42" t="str">
        <f>IF(A69=" "," ",'#BerechnungDBE'!BA45)</f>
        <v xml:space="preserve"> </v>
      </c>
      <c r="E69" s="42" t="str">
        <f t="shared" si="36"/>
        <v xml:space="preserve"> </v>
      </c>
      <c r="F69" s="869"/>
      <c r="G69" s="42" t="str">
        <f>IF(A69=" ","",'#BerechnungDBE'!BA45+'#BerechnungDBE'!BF45)</f>
        <v/>
      </c>
      <c r="H69" s="444" t="str">
        <f t="shared" si="12"/>
        <v/>
      </c>
      <c r="I69" s="444">
        <f>'#minDung'!P51</f>
        <v>0</v>
      </c>
      <c r="J69" s="430" t="str">
        <f t="shared" si="34"/>
        <v xml:space="preserve"> </v>
      </c>
      <c r="K69" s="913">
        <f>IF(A69=" ",0,'Flächen u. Kulturen'!V50)</f>
        <v>0</v>
      </c>
      <c r="L69" s="883" t="str">
        <f t="shared" si="37"/>
        <v/>
      </c>
      <c r="M69" s="879" t="str">
        <f t="shared" si="38"/>
        <v xml:space="preserve"> </v>
      </c>
      <c r="N69" s="444" t="str">
        <f t="shared" si="14"/>
        <v xml:space="preserve"> </v>
      </c>
      <c r="O69" s="911" t="str">
        <f t="shared" si="15"/>
        <v xml:space="preserve"> </v>
      </c>
      <c r="P69" s="912" t="str">
        <f t="shared" si="16"/>
        <v xml:space="preserve"> </v>
      </c>
      <c r="Q69" s="912" t="str">
        <f t="shared" si="17"/>
        <v xml:space="preserve"> </v>
      </c>
      <c r="R69" s="444" t="str">
        <f t="shared" si="39"/>
        <v/>
      </c>
      <c r="S69" s="444" t="str">
        <f t="shared" si="18"/>
        <v/>
      </c>
      <c r="T69" s="444" t="str">
        <f t="shared" si="40"/>
        <v xml:space="preserve"> </v>
      </c>
      <c r="U69" s="119" t="str">
        <f t="shared" si="19"/>
        <v xml:space="preserve"> </v>
      </c>
      <c r="V69" s="444" t="str">
        <f t="shared" si="33"/>
        <v xml:space="preserve"> </v>
      </c>
      <c r="W69" s="909" t="str">
        <f t="shared" si="20"/>
        <v xml:space="preserve"> </v>
      </c>
      <c r="X69" s="924" t="str">
        <f t="shared" si="21"/>
        <v xml:space="preserve"> </v>
      </c>
      <c r="Y69" s="444" t="str">
        <f t="shared" si="41"/>
        <v xml:space="preserve"> </v>
      </c>
      <c r="Z69" s="444" t="str">
        <f t="shared" si="22"/>
        <v xml:space="preserve"> </v>
      </c>
      <c r="AA69" s="444" t="str">
        <f t="shared" si="23"/>
        <v xml:space="preserve"> </v>
      </c>
      <c r="AB69" s="912" t="str">
        <f t="shared" si="24"/>
        <v xml:space="preserve"> </v>
      </c>
      <c r="AC69" s="912" t="str">
        <f t="shared" si="25"/>
        <v xml:space="preserve"> </v>
      </c>
      <c r="AD69" s="444" t="str">
        <f t="shared" si="26"/>
        <v xml:space="preserve"> </v>
      </c>
      <c r="AE69" s="444" t="str">
        <f t="shared" si="27"/>
        <v/>
      </c>
      <c r="AF69" s="444" t="str">
        <f t="shared" si="42"/>
        <v xml:space="preserve"> </v>
      </c>
      <c r="AG69" s="119" t="str">
        <f t="shared" si="29"/>
        <v xml:space="preserve"> </v>
      </c>
      <c r="AH69" s="444" t="str">
        <f t="shared" si="30"/>
        <v xml:space="preserve"> </v>
      </c>
      <c r="AI69" s="909" t="str">
        <f t="shared" si="31"/>
        <v xml:space="preserve"> </v>
      </c>
      <c r="AJ69" s="879" t="str">
        <f t="shared" si="35"/>
        <v xml:space="preserve"> </v>
      </c>
      <c r="AK69" s="444" t="str">
        <f t="shared" si="43"/>
        <v xml:space="preserve"> </v>
      </c>
      <c r="AL69" s="444" t="str">
        <f t="shared" si="44"/>
        <v xml:space="preserve"> </v>
      </c>
      <c r="AM69" s="444" t="str">
        <f t="shared" si="45"/>
        <v xml:space="preserve"> </v>
      </c>
      <c r="AN69" s="119" t="str">
        <f t="shared" si="46"/>
        <v xml:space="preserve"> </v>
      </c>
      <c r="AO69" s="444" t="str">
        <f t="shared" si="47"/>
        <v xml:space="preserve"> </v>
      </c>
      <c r="AP69" s="444" t="str">
        <f t="shared" si="48"/>
        <v xml:space="preserve"> </v>
      </c>
      <c r="AQ69" s="123" t="str">
        <f>IF(A69=" "," ",IF('#orgDung'!AB54=0,0,AO69/'#orgDung'!AB54))</f>
        <v xml:space="preserve"> </v>
      </c>
      <c r="AR69" s="47" t="str">
        <f>IF(A69=" "," ",IF('#orgDung'!AB54=0,0,AP69/'#orgDung'!AB54))</f>
        <v xml:space="preserve"> </v>
      </c>
      <c r="AS69" s="890">
        <f>IF(OR(B69=0,B69=""),0,MAX('Flächen u. Kulturen'!V50,AT69/B69))</f>
        <v>0</v>
      </c>
      <c r="AT69" s="875">
        <f t="shared" si="49"/>
        <v>0</v>
      </c>
      <c r="AU69" s="120" t="str">
        <f t="shared" si="50"/>
        <v xml:space="preserve"> </v>
      </c>
    </row>
    <row r="70" spans="1:47" s="875" customFormat="1" x14ac:dyDescent="0.2">
      <c r="A70" s="447" t="str">
        <f>IF('Flächen u. Kulturen'!E51="x",IF(AND('#Kürzungen'!$F$2=2,'#BerechnungDBE'!R46=1,'Flächen u. Kulturen'!D51&lt;&gt;""),'Flächen u. Kulturen'!A51,IF(AND('#BerechnungDBE'!S46=1,'Flächen u. Kulturen'!D51&lt;&gt;""),'Flächen u. Kulturen'!A51," "))," ")</f>
        <v xml:space="preserve"> </v>
      </c>
      <c r="B70" s="505" t="str">
        <f>'Flächen u. Kulturen'!D51</f>
        <v/>
      </c>
      <c r="C70" s="42" t="str">
        <f>IF(A70=" "," ",'#BerechnungDBE'!AA46)</f>
        <v xml:space="preserve"> </v>
      </c>
      <c r="D70" s="42" t="str">
        <f>IF(A70=" "," ",'#BerechnungDBE'!BA46)</f>
        <v xml:space="preserve"> </v>
      </c>
      <c r="E70" s="42" t="str">
        <f t="shared" si="36"/>
        <v xml:space="preserve"> </v>
      </c>
      <c r="F70" s="869"/>
      <c r="G70" s="42" t="str">
        <f>IF(A70=" ","",'#BerechnungDBE'!BA46+'#BerechnungDBE'!BF46)</f>
        <v/>
      </c>
      <c r="H70" s="444" t="str">
        <f t="shared" si="12"/>
        <v/>
      </c>
      <c r="I70" s="444">
        <f>'#minDung'!P52</f>
        <v>0</v>
      </c>
      <c r="J70" s="430" t="str">
        <f t="shared" si="34"/>
        <v xml:space="preserve"> </v>
      </c>
      <c r="K70" s="913">
        <f>IF(A70=" ",0,'Flächen u. Kulturen'!V51)</f>
        <v>0</v>
      </c>
      <c r="L70" s="883" t="str">
        <f t="shared" si="37"/>
        <v/>
      </c>
      <c r="M70" s="879" t="str">
        <f t="shared" si="38"/>
        <v xml:space="preserve"> </v>
      </c>
      <c r="N70" s="444" t="str">
        <f t="shared" si="14"/>
        <v xml:space="preserve"> </v>
      </c>
      <c r="O70" s="911" t="str">
        <f t="shared" si="15"/>
        <v xml:space="preserve"> </v>
      </c>
      <c r="P70" s="912" t="str">
        <f t="shared" si="16"/>
        <v xml:space="preserve"> </v>
      </c>
      <c r="Q70" s="912" t="str">
        <f t="shared" si="17"/>
        <v xml:space="preserve"> </v>
      </c>
      <c r="R70" s="444" t="str">
        <f t="shared" si="39"/>
        <v/>
      </c>
      <c r="S70" s="444" t="str">
        <f t="shared" si="18"/>
        <v/>
      </c>
      <c r="T70" s="444" t="str">
        <f t="shared" si="40"/>
        <v xml:space="preserve"> </v>
      </c>
      <c r="U70" s="119" t="str">
        <f t="shared" si="19"/>
        <v xml:space="preserve"> </v>
      </c>
      <c r="V70" s="444" t="str">
        <f t="shared" si="33"/>
        <v xml:space="preserve"> </v>
      </c>
      <c r="W70" s="909" t="str">
        <f t="shared" si="20"/>
        <v xml:space="preserve"> </v>
      </c>
      <c r="X70" s="924" t="str">
        <f t="shared" si="21"/>
        <v xml:space="preserve"> </v>
      </c>
      <c r="Y70" s="444" t="str">
        <f t="shared" si="41"/>
        <v xml:space="preserve"> </v>
      </c>
      <c r="Z70" s="444" t="str">
        <f t="shared" si="22"/>
        <v xml:space="preserve"> </v>
      </c>
      <c r="AA70" s="444" t="str">
        <f t="shared" si="23"/>
        <v xml:space="preserve"> </v>
      </c>
      <c r="AB70" s="912" t="str">
        <f t="shared" si="24"/>
        <v xml:space="preserve"> </v>
      </c>
      <c r="AC70" s="912" t="str">
        <f t="shared" si="25"/>
        <v xml:space="preserve"> </v>
      </c>
      <c r="AD70" s="444" t="str">
        <f t="shared" si="26"/>
        <v xml:space="preserve"> </v>
      </c>
      <c r="AE70" s="444" t="str">
        <f t="shared" si="27"/>
        <v/>
      </c>
      <c r="AF70" s="444" t="str">
        <f t="shared" si="42"/>
        <v xml:space="preserve"> </v>
      </c>
      <c r="AG70" s="119" t="str">
        <f t="shared" si="29"/>
        <v xml:space="preserve"> </v>
      </c>
      <c r="AH70" s="444" t="str">
        <f t="shared" si="30"/>
        <v xml:space="preserve"> </v>
      </c>
      <c r="AI70" s="909" t="str">
        <f t="shared" si="31"/>
        <v xml:space="preserve"> </v>
      </c>
      <c r="AJ70" s="879" t="str">
        <f t="shared" si="35"/>
        <v xml:space="preserve"> </v>
      </c>
      <c r="AK70" s="444" t="str">
        <f t="shared" si="43"/>
        <v xml:space="preserve"> </v>
      </c>
      <c r="AL70" s="444" t="str">
        <f t="shared" si="44"/>
        <v xml:space="preserve"> </v>
      </c>
      <c r="AM70" s="444" t="str">
        <f t="shared" si="45"/>
        <v xml:space="preserve"> </v>
      </c>
      <c r="AN70" s="119" t="str">
        <f t="shared" si="46"/>
        <v xml:space="preserve"> </v>
      </c>
      <c r="AO70" s="444" t="str">
        <f t="shared" si="47"/>
        <v xml:space="preserve"> </v>
      </c>
      <c r="AP70" s="444" t="str">
        <f t="shared" si="48"/>
        <v xml:space="preserve"> </v>
      </c>
      <c r="AQ70" s="123" t="str">
        <f>IF(A70=" "," ",IF('#orgDung'!AB55=0,0,AO70/'#orgDung'!AB55))</f>
        <v xml:space="preserve"> </v>
      </c>
      <c r="AR70" s="47" t="str">
        <f>IF(A70=" "," ",IF('#orgDung'!AB55=0,0,AP70/'#orgDung'!AB55))</f>
        <v xml:space="preserve"> </v>
      </c>
      <c r="AS70" s="890">
        <f>IF(OR(B70=0,B70=""),0,MAX('Flächen u. Kulturen'!V51,AT70/B70))</f>
        <v>0</v>
      </c>
      <c r="AT70" s="875">
        <f t="shared" si="49"/>
        <v>0</v>
      </c>
      <c r="AU70" s="120" t="str">
        <f t="shared" si="50"/>
        <v xml:space="preserve"> </v>
      </c>
    </row>
    <row r="71" spans="1:47" s="875" customFormat="1" x14ac:dyDescent="0.2">
      <c r="A71" s="447" t="str">
        <f>IF('Flächen u. Kulturen'!E52="x",IF(AND('#Kürzungen'!$F$2=2,'#BerechnungDBE'!R47=1,'Flächen u. Kulturen'!D52&lt;&gt;""),'Flächen u. Kulturen'!A52,IF(AND('#BerechnungDBE'!S47=1,'Flächen u. Kulturen'!D52&lt;&gt;""),'Flächen u. Kulturen'!A52," "))," ")</f>
        <v xml:space="preserve"> </v>
      </c>
      <c r="B71" s="505" t="str">
        <f>'Flächen u. Kulturen'!D52</f>
        <v/>
      </c>
      <c r="C71" s="42" t="str">
        <f>IF(A71=" "," ",'#BerechnungDBE'!AA47)</f>
        <v xml:space="preserve"> </v>
      </c>
      <c r="D71" s="42" t="str">
        <f>IF(A71=" "," ",'#BerechnungDBE'!BA47)</f>
        <v xml:space="preserve"> </v>
      </c>
      <c r="E71" s="42" t="str">
        <f t="shared" si="36"/>
        <v xml:space="preserve"> </v>
      </c>
      <c r="F71" s="869"/>
      <c r="G71" s="42" t="str">
        <f>IF(A71=" ","",'#BerechnungDBE'!BA47+'#BerechnungDBE'!BF47)</f>
        <v/>
      </c>
      <c r="H71" s="444" t="str">
        <f t="shared" si="12"/>
        <v/>
      </c>
      <c r="I71" s="444">
        <f>'#minDung'!P53</f>
        <v>0</v>
      </c>
      <c r="J71" s="430" t="str">
        <f t="shared" si="34"/>
        <v xml:space="preserve"> </v>
      </c>
      <c r="K71" s="913">
        <f>IF(A71=" ",0,'Flächen u. Kulturen'!V52)</f>
        <v>0</v>
      </c>
      <c r="L71" s="883" t="str">
        <f t="shared" si="37"/>
        <v/>
      </c>
      <c r="M71" s="879" t="str">
        <f t="shared" si="38"/>
        <v xml:space="preserve"> </v>
      </c>
      <c r="N71" s="444" t="str">
        <f t="shared" si="14"/>
        <v xml:space="preserve"> </v>
      </c>
      <c r="O71" s="911" t="str">
        <f t="shared" si="15"/>
        <v xml:space="preserve"> </v>
      </c>
      <c r="P71" s="912" t="str">
        <f t="shared" si="16"/>
        <v xml:space="preserve"> </v>
      </c>
      <c r="Q71" s="912" t="str">
        <f t="shared" si="17"/>
        <v xml:space="preserve"> </v>
      </c>
      <c r="R71" s="444" t="str">
        <f t="shared" si="39"/>
        <v/>
      </c>
      <c r="S71" s="444" t="str">
        <f t="shared" si="18"/>
        <v/>
      </c>
      <c r="T71" s="444" t="str">
        <f t="shared" si="40"/>
        <v xml:space="preserve"> </v>
      </c>
      <c r="U71" s="119" t="str">
        <f t="shared" si="19"/>
        <v xml:space="preserve"> </v>
      </c>
      <c r="V71" s="444" t="str">
        <f t="shared" si="33"/>
        <v xml:space="preserve"> </v>
      </c>
      <c r="W71" s="909" t="str">
        <f t="shared" si="20"/>
        <v xml:space="preserve"> </v>
      </c>
      <c r="X71" s="924" t="str">
        <f t="shared" si="21"/>
        <v xml:space="preserve"> </v>
      </c>
      <c r="Y71" s="444" t="str">
        <f t="shared" si="41"/>
        <v xml:space="preserve"> </v>
      </c>
      <c r="Z71" s="444" t="str">
        <f t="shared" si="22"/>
        <v xml:space="preserve"> </v>
      </c>
      <c r="AA71" s="444" t="str">
        <f t="shared" si="23"/>
        <v xml:space="preserve"> </v>
      </c>
      <c r="AB71" s="912" t="str">
        <f t="shared" si="24"/>
        <v xml:space="preserve"> </v>
      </c>
      <c r="AC71" s="912" t="str">
        <f t="shared" si="25"/>
        <v xml:space="preserve"> </v>
      </c>
      <c r="AD71" s="444" t="str">
        <f t="shared" si="26"/>
        <v xml:space="preserve"> </v>
      </c>
      <c r="AE71" s="444" t="str">
        <f t="shared" si="27"/>
        <v/>
      </c>
      <c r="AF71" s="444" t="str">
        <f t="shared" si="42"/>
        <v xml:space="preserve"> </v>
      </c>
      <c r="AG71" s="119" t="str">
        <f t="shared" si="29"/>
        <v xml:space="preserve"> </v>
      </c>
      <c r="AH71" s="444" t="str">
        <f t="shared" si="30"/>
        <v xml:space="preserve"> </v>
      </c>
      <c r="AI71" s="909" t="str">
        <f t="shared" si="31"/>
        <v xml:space="preserve"> </v>
      </c>
      <c r="AJ71" s="879" t="str">
        <f t="shared" si="35"/>
        <v xml:space="preserve"> </v>
      </c>
      <c r="AK71" s="444" t="str">
        <f t="shared" si="43"/>
        <v xml:space="preserve"> </v>
      </c>
      <c r="AL71" s="444" t="str">
        <f t="shared" si="44"/>
        <v xml:space="preserve"> </v>
      </c>
      <c r="AM71" s="444" t="str">
        <f t="shared" si="45"/>
        <v xml:space="preserve"> </v>
      </c>
      <c r="AN71" s="119" t="str">
        <f t="shared" si="46"/>
        <v xml:space="preserve"> </v>
      </c>
      <c r="AO71" s="444" t="str">
        <f t="shared" si="47"/>
        <v xml:space="preserve"> </v>
      </c>
      <c r="AP71" s="444" t="str">
        <f t="shared" si="48"/>
        <v xml:space="preserve"> </v>
      </c>
      <c r="AQ71" s="123" t="str">
        <f>IF(A71=" "," ",IF('#orgDung'!AB56=0,0,AO71/'#orgDung'!AB56))</f>
        <v xml:space="preserve"> </v>
      </c>
      <c r="AR71" s="47" t="str">
        <f>IF(A71=" "," ",IF('#orgDung'!AB56=0,0,AP71/'#orgDung'!AB56))</f>
        <v xml:space="preserve"> </v>
      </c>
      <c r="AS71" s="890">
        <f>IF(OR(B71=0,B71=""),0,MAX('Flächen u. Kulturen'!V52,AT71/B71))</f>
        <v>0</v>
      </c>
      <c r="AT71" s="875">
        <f t="shared" si="49"/>
        <v>0</v>
      </c>
      <c r="AU71" s="120" t="str">
        <f t="shared" si="50"/>
        <v xml:space="preserve"> </v>
      </c>
    </row>
    <row r="72" spans="1:47" s="875" customFormat="1" x14ac:dyDescent="0.2">
      <c r="A72" s="447" t="str">
        <f>IF('Flächen u. Kulturen'!E53="x",IF(AND('#Kürzungen'!$F$2=2,'#BerechnungDBE'!R48=1,'Flächen u. Kulturen'!D53&lt;&gt;""),'Flächen u. Kulturen'!A53,IF(AND('#BerechnungDBE'!S48=1,'Flächen u. Kulturen'!D53&lt;&gt;""),'Flächen u. Kulturen'!A53," "))," ")</f>
        <v xml:space="preserve"> </v>
      </c>
      <c r="B72" s="505" t="str">
        <f>'Flächen u. Kulturen'!D53</f>
        <v/>
      </c>
      <c r="C72" s="42" t="str">
        <f>IF(A72=" "," ",'#BerechnungDBE'!AA48)</f>
        <v xml:space="preserve"> </v>
      </c>
      <c r="D72" s="42" t="str">
        <f>IF(A72=" "," ",'#BerechnungDBE'!BA48)</f>
        <v xml:space="preserve"> </v>
      </c>
      <c r="E72" s="42" t="str">
        <f t="shared" si="36"/>
        <v xml:space="preserve"> </v>
      </c>
      <c r="F72" s="869"/>
      <c r="G72" s="42" t="str">
        <f>IF(A72=" ","",'#BerechnungDBE'!BA48+'#BerechnungDBE'!BF48)</f>
        <v/>
      </c>
      <c r="H72" s="444" t="str">
        <f t="shared" si="12"/>
        <v/>
      </c>
      <c r="I72" s="444">
        <f>'#minDung'!P54</f>
        <v>0</v>
      </c>
      <c r="J72" s="430" t="str">
        <f t="shared" si="34"/>
        <v xml:space="preserve"> </v>
      </c>
      <c r="K72" s="913">
        <f>IF(A72=" ",0,'Flächen u. Kulturen'!V53)</f>
        <v>0</v>
      </c>
      <c r="L72" s="883" t="str">
        <f t="shared" si="37"/>
        <v/>
      </c>
      <c r="M72" s="879" t="str">
        <f t="shared" si="38"/>
        <v xml:space="preserve"> </v>
      </c>
      <c r="N72" s="444" t="str">
        <f t="shared" si="14"/>
        <v xml:space="preserve"> </v>
      </c>
      <c r="O72" s="911" t="str">
        <f t="shared" si="15"/>
        <v xml:space="preserve"> </v>
      </c>
      <c r="P72" s="912" t="str">
        <f t="shared" si="16"/>
        <v xml:space="preserve"> </v>
      </c>
      <c r="Q72" s="912" t="str">
        <f t="shared" si="17"/>
        <v xml:space="preserve"> </v>
      </c>
      <c r="R72" s="444" t="str">
        <f t="shared" si="39"/>
        <v/>
      </c>
      <c r="S72" s="444" t="str">
        <f t="shared" si="18"/>
        <v/>
      </c>
      <c r="T72" s="444" t="str">
        <f t="shared" si="40"/>
        <v xml:space="preserve"> </v>
      </c>
      <c r="U72" s="119" t="str">
        <f t="shared" si="19"/>
        <v xml:space="preserve"> </v>
      </c>
      <c r="V72" s="444" t="str">
        <f t="shared" si="33"/>
        <v xml:space="preserve"> </v>
      </c>
      <c r="W72" s="909" t="str">
        <f t="shared" si="20"/>
        <v xml:space="preserve"> </v>
      </c>
      <c r="X72" s="924" t="str">
        <f t="shared" si="21"/>
        <v xml:space="preserve"> </v>
      </c>
      <c r="Y72" s="444" t="str">
        <f t="shared" si="41"/>
        <v xml:space="preserve"> </v>
      </c>
      <c r="Z72" s="444" t="str">
        <f t="shared" si="22"/>
        <v xml:space="preserve"> </v>
      </c>
      <c r="AA72" s="444" t="str">
        <f t="shared" si="23"/>
        <v xml:space="preserve"> </v>
      </c>
      <c r="AB72" s="912" t="str">
        <f t="shared" si="24"/>
        <v xml:space="preserve"> </v>
      </c>
      <c r="AC72" s="912" t="str">
        <f t="shared" si="25"/>
        <v xml:space="preserve"> </v>
      </c>
      <c r="AD72" s="444" t="str">
        <f t="shared" si="26"/>
        <v xml:space="preserve"> </v>
      </c>
      <c r="AE72" s="444" t="str">
        <f t="shared" si="27"/>
        <v/>
      </c>
      <c r="AF72" s="444" t="str">
        <f t="shared" si="42"/>
        <v xml:space="preserve"> </v>
      </c>
      <c r="AG72" s="119" t="str">
        <f t="shared" si="29"/>
        <v xml:space="preserve"> </v>
      </c>
      <c r="AH72" s="444" t="str">
        <f t="shared" si="30"/>
        <v xml:space="preserve"> </v>
      </c>
      <c r="AI72" s="909" t="str">
        <f t="shared" si="31"/>
        <v xml:space="preserve"> </v>
      </c>
      <c r="AJ72" s="879" t="str">
        <f t="shared" si="35"/>
        <v xml:space="preserve"> </v>
      </c>
      <c r="AK72" s="444" t="str">
        <f t="shared" si="43"/>
        <v xml:space="preserve"> </v>
      </c>
      <c r="AL72" s="444" t="str">
        <f t="shared" si="44"/>
        <v xml:space="preserve"> </v>
      </c>
      <c r="AM72" s="444" t="str">
        <f t="shared" si="45"/>
        <v xml:space="preserve"> </v>
      </c>
      <c r="AN72" s="119" t="str">
        <f t="shared" si="46"/>
        <v xml:space="preserve"> </v>
      </c>
      <c r="AO72" s="444" t="str">
        <f t="shared" si="47"/>
        <v xml:space="preserve"> </v>
      </c>
      <c r="AP72" s="444" t="str">
        <f t="shared" si="48"/>
        <v xml:space="preserve"> </v>
      </c>
      <c r="AQ72" s="123" t="str">
        <f>IF(A72=" "," ",IF('#orgDung'!AB57=0,0,AO72/'#orgDung'!AB57))</f>
        <v xml:space="preserve"> </v>
      </c>
      <c r="AR72" s="47" t="str">
        <f>IF(A72=" "," ",IF('#orgDung'!AB57=0,0,AP72/'#orgDung'!AB57))</f>
        <v xml:space="preserve"> </v>
      </c>
      <c r="AS72" s="890">
        <f>IF(OR(B72=0,B72=""),0,MAX('Flächen u. Kulturen'!V53,AT72/B72))</f>
        <v>0</v>
      </c>
      <c r="AT72" s="875">
        <f t="shared" si="49"/>
        <v>0</v>
      </c>
      <c r="AU72" s="120" t="str">
        <f t="shared" si="50"/>
        <v xml:space="preserve"> </v>
      </c>
    </row>
    <row r="73" spans="1:47" s="875" customFormat="1" x14ac:dyDescent="0.2">
      <c r="A73" s="447" t="str">
        <f>IF('Flächen u. Kulturen'!E54="x",IF(AND('#Kürzungen'!$F$2=2,'#BerechnungDBE'!R49=1,'Flächen u. Kulturen'!D54&lt;&gt;""),'Flächen u. Kulturen'!A54,IF(AND('#BerechnungDBE'!S49=1,'Flächen u. Kulturen'!D54&lt;&gt;""),'Flächen u. Kulturen'!A54," "))," ")</f>
        <v xml:space="preserve"> </v>
      </c>
      <c r="B73" s="505" t="str">
        <f>'Flächen u. Kulturen'!D54</f>
        <v/>
      </c>
      <c r="C73" s="42" t="str">
        <f>IF(A73=" "," ",'#BerechnungDBE'!AA49)</f>
        <v xml:space="preserve"> </v>
      </c>
      <c r="D73" s="42" t="str">
        <f>IF(A73=" "," ",'#BerechnungDBE'!BA49)</f>
        <v xml:space="preserve"> </v>
      </c>
      <c r="E73" s="42" t="str">
        <f t="shared" si="36"/>
        <v xml:space="preserve"> </v>
      </c>
      <c r="F73" s="869"/>
      <c r="G73" s="42" t="str">
        <f>IF(A73=" ","",'#BerechnungDBE'!BA49+'#BerechnungDBE'!BF49)</f>
        <v/>
      </c>
      <c r="H73" s="444" t="str">
        <f t="shared" si="12"/>
        <v/>
      </c>
      <c r="I73" s="444">
        <f>'#minDung'!P55</f>
        <v>0</v>
      </c>
      <c r="J73" s="430" t="str">
        <f t="shared" si="34"/>
        <v xml:space="preserve"> </v>
      </c>
      <c r="K73" s="913">
        <f>IF(A73=" ",0,'Flächen u. Kulturen'!V54)</f>
        <v>0</v>
      </c>
      <c r="L73" s="883" t="str">
        <f t="shared" si="37"/>
        <v/>
      </c>
      <c r="M73" s="879" t="str">
        <f t="shared" si="38"/>
        <v xml:space="preserve"> </v>
      </c>
      <c r="N73" s="444" t="str">
        <f t="shared" si="14"/>
        <v xml:space="preserve"> </v>
      </c>
      <c r="O73" s="911" t="str">
        <f t="shared" si="15"/>
        <v xml:space="preserve"> </v>
      </c>
      <c r="P73" s="912" t="str">
        <f t="shared" si="16"/>
        <v xml:space="preserve"> </v>
      </c>
      <c r="Q73" s="912" t="str">
        <f t="shared" si="17"/>
        <v xml:space="preserve"> </v>
      </c>
      <c r="R73" s="444" t="str">
        <f t="shared" si="39"/>
        <v/>
      </c>
      <c r="S73" s="444" t="str">
        <f t="shared" si="18"/>
        <v/>
      </c>
      <c r="T73" s="444" t="str">
        <f t="shared" si="40"/>
        <v xml:space="preserve"> </v>
      </c>
      <c r="U73" s="119" t="str">
        <f t="shared" si="19"/>
        <v xml:space="preserve"> </v>
      </c>
      <c r="V73" s="444" t="str">
        <f t="shared" si="33"/>
        <v xml:space="preserve"> </v>
      </c>
      <c r="W73" s="909" t="str">
        <f t="shared" si="20"/>
        <v xml:space="preserve"> </v>
      </c>
      <c r="X73" s="924" t="str">
        <f t="shared" si="21"/>
        <v xml:space="preserve"> </v>
      </c>
      <c r="Y73" s="444" t="str">
        <f t="shared" si="41"/>
        <v xml:space="preserve"> </v>
      </c>
      <c r="Z73" s="444" t="str">
        <f t="shared" si="22"/>
        <v xml:space="preserve"> </v>
      </c>
      <c r="AA73" s="444" t="str">
        <f t="shared" si="23"/>
        <v xml:space="preserve"> </v>
      </c>
      <c r="AB73" s="912" t="str">
        <f t="shared" si="24"/>
        <v xml:space="preserve"> </v>
      </c>
      <c r="AC73" s="912" t="str">
        <f t="shared" si="25"/>
        <v xml:space="preserve"> </v>
      </c>
      <c r="AD73" s="444" t="str">
        <f t="shared" si="26"/>
        <v xml:space="preserve"> </v>
      </c>
      <c r="AE73" s="444" t="str">
        <f t="shared" si="27"/>
        <v/>
      </c>
      <c r="AF73" s="444" t="str">
        <f t="shared" si="42"/>
        <v xml:space="preserve"> </v>
      </c>
      <c r="AG73" s="119" t="str">
        <f t="shared" si="29"/>
        <v xml:space="preserve"> </v>
      </c>
      <c r="AH73" s="444" t="str">
        <f t="shared" si="30"/>
        <v xml:space="preserve"> </v>
      </c>
      <c r="AI73" s="909" t="str">
        <f t="shared" si="31"/>
        <v xml:space="preserve"> </v>
      </c>
      <c r="AJ73" s="879" t="str">
        <f t="shared" si="35"/>
        <v xml:space="preserve"> </v>
      </c>
      <c r="AK73" s="444" t="str">
        <f t="shared" si="43"/>
        <v xml:space="preserve"> </v>
      </c>
      <c r="AL73" s="444" t="str">
        <f t="shared" si="44"/>
        <v xml:space="preserve"> </v>
      </c>
      <c r="AM73" s="444" t="str">
        <f t="shared" si="45"/>
        <v xml:space="preserve"> </v>
      </c>
      <c r="AN73" s="119" t="str">
        <f t="shared" si="46"/>
        <v xml:space="preserve"> </v>
      </c>
      <c r="AO73" s="444" t="str">
        <f t="shared" si="47"/>
        <v xml:space="preserve"> </v>
      </c>
      <c r="AP73" s="444" t="str">
        <f t="shared" si="48"/>
        <v xml:space="preserve"> </v>
      </c>
      <c r="AQ73" s="123" t="str">
        <f>IF(A73=" "," ",IF('#orgDung'!AB58=0,0,AO73/'#orgDung'!AB58))</f>
        <v xml:space="preserve"> </v>
      </c>
      <c r="AR73" s="47" t="str">
        <f>IF(A73=" "," ",IF('#orgDung'!AB58=0,0,AP73/'#orgDung'!AB58))</f>
        <v xml:space="preserve"> </v>
      </c>
      <c r="AS73" s="890">
        <f>IF(OR(B73=0,B73=""),0,MAX('Flächen u. Kulturen'!V54,AT73/B73))</f>
        <v>0</v>
      </c>
      <c r="AT73" s="875">
        <f t="shared" si="49"/>
        <v>0</v>
      </c>
      <c r="AU73" s="120" t="str">
        <f t="shared" si="50"/>
        <v xml:space="preserve"> </v>
      </c>
    </row>
    <row r="74" spans="1:47" s="875" customFormat="1" x14ac:dyDescent="0.2">
      <c r="A74" s="447" t="str">
        <f>IF('Flächen u. Kulturen'!E55="x",IF(AND('#Kürzungen'!$F$2=2,'#BerechnungDBE'!R50=1,'Flächen u. Kulturen'!D55&lt;&gt;""),'Flächen u. Kulturen'!A55,IF(AND('#BerechnungDBE'!S50=1,'Flächen u. Kulturen'!D55&lt;&gt;""),'Flächen u. Kulturen'!A55," "))," ")</f>
        <v xml:space="preserve"> </v>
      </c>
      <c r="B74" s="505" t="str">
        <f>'Flächen u. Kulturen'!D55</f>
        <v/>
      </c>
      <c r="C74" s="42" t="str">
        <f>IF(A74=" "," ",'#BerechnungDBE'!AA50)</f>
        <v xml:space="preserve"> </v>
      </c>
      <c r="D74" s="42" t="str">
        <f>IF(A74=" "," ",'#BerechnungDBE'!BA50)</f>
        <v xml:space="preserve"> </v>
      </c>
      <c r="E74" s="42" t="str">
        <f t="shared" si="36"/>
        <v xml:space="preserve"> </v>
      </c>
      <c r="F74" s="869"/>
      <c r="G74" s="42" t="str">
        <f>IF(A74=" ","",'#BerechnungDBE'!BA50+'#BerechnungDBE'!BF50)</f>
        <v/>
      </c>
      <c r="H74" s="444" t="str">
        <f t="shared" si="12"/>
        <v/>
      </c>
      <c r="I74" s="444">
        <f>'#minDung'!P56</f>
        <v>0</v>
      </c>
      <c r="J74" s="430" t="str">
        <f t="shared" si="34"/>
        <v xml:space="preserve"> </v>
      </c>
      <c r="K74" s="913">
        <f>IF(A74=" ",0,'Flächen u. Kulturen'!V55)</f>
        <v>0</v>
      </c>
      <c r="L74" s="883" t="str">
        <f t="shared" si="37"/>
        <v/>
      </c>
      <c r="M74" s="879" t="str">
        <f t="shared" si="38"/>
        <v xml:space="preserve"> </v>
      </c>
      <c r="N74" s="444" t="str">
        <f t="shared" si="14"/>
        <v xml:space="preserve"> </v>
      </c>
      <c r="O74" s="911" t="str">
        <f t="shared" si="15"/>
        <v xml:space="preserve"> </v>
      </c>
      <c r="P74" s="912" t="str">
        <f t="shared" si="16"/>
        <v xml:space="preserve"> </v>
      </c>
      <c r="Q74" s="912" t="str">
        <f t="shared" si="17"/>
        <v xml:space="preserve"> </v>
      </c>
      <c r="R74" s="444" t="str">
        <f t="shared" si="39"/>
        <v/>
      </c>
      <c r="S74" s="444" t="str">
        <f t="shared" si="18"/>
        <v/>
      </c>
      <c r="T74" s="444" t="str">
        <f t="shared" si="40"/>
        <v xml:space="preserve"> </v>
      </c>
      <c r="U74" s="119" t="str">
        <f t="shared" si="19"/>
        <v xml:space="preserve"> </v>
      </c>
      <c r="V74" s="444" t="str">
        <f t="shared" si="33"/>
        <v xml:space="preserve"> </v>
      </c>
      <c r="W74" s="909" t="str">
        <f t="shared" si="20"/>
        <v xml:space="preserve"> </v>
      </c>
      <c r="X74" s="924" t="str">
        <f t="shared" si="21"/>
        <v xml:space="preserve"> </v>
      </c>
      <c r="Y74" s="444" t="str">
        <f t="shared" si="41"/>
        <v xml:space="preserve"> </v>
      </c>
      <c r="Z74" s="444" t="str">
        <f t="shared" si="22"/>
        <v xml:space="preserve"> </v>
      </c>
      <c r="AA74" s="444" t="str">
        <f t="shared" si="23"/>
        <v xml:space="preserve"> </v>
      </c>
      <c r="AB74" s="912" t="str">
        <f t="shared" si="24"/>
        <v xml:space="preserve"> </v>
      </c>
      <c r="AC74" s="912" t="str">
        <f t="shared" si="25"/>
        <v xml:space="preserve"> </v>
      </c>
      <c r="AD74" s="444" t="str">
        <f t="shared" si="26"/>
        <v xml:space="preserve"> </v>
      </c>
      <c r="AE74" s="444" t="str">
        <f t="shared" si="27"/>
        <v/>
      </c>
      <c r="AF74" s="444" t="str">
        <f t="shared" si="42"/>
        <v xml:space="preserve"> </v>
      </c>
      <c r="AG74" s="119" t="str">
        <f t="shared" si="29"/>
        <v xml:space="preserve"> </v>
      </c>
      <c r="AH74" s="444" t="str">
        <f t="shared" si="30"/>
        <v xml:space="preserve"> </v>
      </c>
      <c r="AI74" s="909" t="str">
        <f t="shared" si="31"/>
        <v xml:space="preserve"> </v>
      </c>
      <c r="AJ74" s="879" t="str">
        <f t="shared" si="35"/>
        <v xml:space="preserve"> </v>
      </c>
      <c r="AK74" s="444" t="str">
        <f t="shared" si="43"/>
        <v xml:space="preserve"> </v>
      </c>
      <c r="AL74" s="444" t="str">
        <f t="shared" si="44"/>
        <v xml:space="preserve"> </v>
      </c>
      <c r="AM74" s="444" t="str">
        <f t="shared" si="45"/>
        <v xml:space="preserve"> </v>
      </c>
      <c r="AN74" s="119" t="str">
        <f t="shared" si="46"/>
        <v xml:space="preserve"> </v>
      </c>
      <c r="AO74" s="444" t="str">
        <f t="shared" si="47"/>
        <v xml:space="preserve"> </v>
      </c>
      <c r="AP74" s="444" t="str">
        <f t="shared" si="48"/>
        <v xml:space="preserve"> </v>
      </c>
      <c r="AQ74" s="123" t="str">
        <f>IF(A74=" "," ",IF('#orgDung'!AB59=0,0,AO74/'#orgDung'!AB59))</f>
        <v xml:space="preserve"> </v>
      </c>
      <c r="AR74" s="47" t="str">
        <f>IF(A74=" "," ",IF('#orgDung'!AB59=0,0,AP74/'#orgDung'!AB59))</f>
        <v xml:space="preserve"> </v>
      </c>
      <c r="AS74" s="890">
        <f>IF(OR(B74=0,B74=""),0,MAX('Flächen u. Kulturen'!V55,AT74/B74))</f>
        <v>0</v>
      </c>
      <c r="AT74" s="875">
        <f t="shared" si="49"/>
        <v>0</v>
      </c>
      <c r="AU74" s="120" t="str">
        <f t="shared" si="50"/>
        <v xml:space="preserve"> </v>
      </c>
    </row>
    <row r="75" spans="1:47" s="875" customFormat="1" x14ac:dyDescent="0.2">
      <c r="A75" s="447" t="str">
        <f>IF('Flächen u. Kulturen'!E56="x",IF(AND('#Kürzungen'!$F$2=2,'#BerechnungDBE'!R51=1,'Flächen u. Kulturen'!D56&lt;&gt;""),'Flächen u. Kulturen'!A56,IF(AND('#BerechnungDBE'!S51=1,'Flächen u. Kulturen'!D56&lt;&gt;""),'Flächen u. Kulturen'!A56," "))," ")</f>
        <v xml:space="preserve"> </v>
      </c>
      <c r="B75" s="505" t="str">
        <f>'Flächen u. Kulturen'!D56</f>
        <v/>
      </c>
      <c r="C75" s="42" t="str">
        <f>IF(A75=" "," ",'#BerechnungDBE'!AA51)</f>
        <v xml:space="preserve"> </v>
      </c>
      <c r="D75" s="42" t="str">
        <f>IF(A75=" "," ",'#BerechnungDBE'!BA51)</f>
        <v xml:space="preserve"> </v>
      </c>
      <c r="E75" s="42" t="str">
        <f t="shared" si="36"/>
        <v xml:space="preserve"> </v>
      </c>
      <c r="F75" s="869"/>
      <c r="G75" s="42" t="str">
        <f>IF(A75=" ","",'#BerechnungDBE'!BA51+'#BerechnungDBE'!BF51)</f>
        <v/>
      </c>
      <c r="H75" s="444" t="str">
        <f t="shared" si="12"/>
        <v/>
      </c>
      <c r="I75" s="444">
        <f>'#minDung'!P57</f>
        <v>0</v>
      </c>
      <c r="J75" s="430" t="str">
        <f t="shared" si="34"/>
        <v xml:space="preserve"> </v>
      </c>
      <c r="K75" s="913">
        <f>IF(A75=" ",0,'Flächen u. Kulturen'!V56)</f>
        <v>0</v>
      </c>
      <c r="L75" s="883" t="str">
        <f t="shared" si="37"/>
        <v/>
      </c>
      <c r="M75" s="879" t="str">
        <f t="shared" si="38"/>
        <v xml:space="preserve"> </v>
      </c>
      <c r="N75" s="444" t="str">
        <f t="shared" si="14"/>
        <v xml:space="preserve"> </v>
      </c>
      <c r="O75" s="911" t="str">
        <f t="shared" si="15"/>
        <v xml:space="preserve"> </v>
      </c>
      <c r="P75" s="912" t="str">
        <f t="shared" si="16"/>
        <v xml:space="preserve"> </v>
      </c>
      <c r="Q75" s="912" t="str">
        <f t="shared" si="17"/>
        <v xml:space="preserve"> </v>
      </c>
      <c r="R75" s="444" t="str">
        <f t="shared" si="39"/>
        <v/>
      </c>
      <c r="S75" s="444" t="str">
        <f t="shared" si="18"/>
        <v/>
      </c>
      <c r="T75" s="444" t="str">
        <f t="shared" si="40"/>
        <v xml:space="preserve"> </v>
      </c>
      <c r="U75" s="119" t="str">
        <f t="shared" si="19"/>
        <v xml:space="preserve"> </v>
      </c>
      <c r="V75" s="444" t="str">
        <f t="shared" si="33"/>
        <v xml:space="preserve"> </v>
      </c>
      <c r="W75" s="909" t="str">
        <f t="shared" si="20"/>
        <v xml:space="preserve"> </v>
      </c>
      <c r="X75" s="924" t="str">
        <f t="shared" si="21"/>
        <v xml:space="preserve"> </v>
      </c>
      <c r="Y75" s="444" t="str">
        <f t="shared" si="41"/>
        <v xml:space="preserve"> </v>
      </c>
      <c r="Z75" s="444" t="str">
        <f t="shared" si="22"/>
        <v xml:space="preserve"> </v>
      </c>
      <c r="AA75" s="444" t="str">
        <f t="shared" si="23"/>
        <v xml:space="preserve"> </v>
      </c>
      <c r="AB75" s="912" t="str">
        <f t="shared" si="24"/>
        <v xml:space="preserve"> </v>
      </c>
      <c r="AC75" s="912" t="str">
        <f t="shared" si="25"/>
        <v xml:space="preserve"> </v>
      </c>
      <c r="AD75" s="444" t="str">
        <f t="shared" si="26"/>
        <v xml:space="preserve"> </v>
      </c>
      <c r="AE75" s="444" t="str">
        <f t="shared" si="27"/>
        <v/>
      </c>
      <c r="AF75" s="444" t="str">
        <f t="shared" si="42"/>
        <v xml:space="preserve"> </v>
      </c>
      <c r="AG75" s="119" t="str">
        <f t="shared" si="29"/>
        <v xml:space="preserve"> </v>
      </c>
      <c r="AH75" s="444" t="str">
        <f t="shared" si="30"/>
        <v xml:space="preserve"> </v>
      </c>
      <c r="AI75" s="909" t="str">
        <f t="shared" si="31"/>
        <v xml:space="preserve"> </v>
      </c>
      <c r="AJ75" s="879" t="str">
        <f t="shared" si="35"/>
        <v xml:space="preserve"> </v>
      </c>
      <c r="AK75" s="444" t="str">
        <f t="shared" si="43"/>
        <v xml:space="preserve"> </v>
      </c>
      <c r="AL75" s="444" t="str">
        <f t="shared" si="44"/>
        <v xml:space="preserve"> </v>
      </c>
      <c r="AM75" s="444" t="str">
        <f t="shared" si="45"/>
        <v xml:space="preserve"> </v>
      </c>
      <c r="AN75" s="119" t="str">
        <f t="shared" si="46"/>
        <v xml:space="preserve"> </v>
      </c>
      <c r="AO75" s="444" t="str">
        <f t="shared" si="47"/>
        <v xml:space="preserve"> </v>
      </c>
      <c r="AP75" s="444" t="str">
        <f t="shared" si="48"/>
        <v xml:space="preserve"> </v>
      </c>
      <c r="AQ75" s="123" t="str">
        <f>IF(A75=" "," ",IF('#orgDung'!AB60=0,0,AO75/'#orgDung'!AB60))</f>
        <v xml:space="preserve"> </v>
      </c>
      <c r="AR75" s="47" t="str">
        <f>IF(A75=" "," ",IF('#orgDung'!AB60=0,0,AP75/'#orgDung'!AB60))</f>
        <v xml:space="preserve"> </v>
      </c>
      <c r="AS75" s="890">
        <f>IF(OR(B75=0,B75=""),0,MAX('Flächen u. Kulturen'!V56,AT75/B75))</f>
        <v>0</v>
      </c>
      <c r="AT75" s="875">
        <f t="shared" si="49"/>
        <v>0</v>
      </c>
      <c r="AU75" s="120" t="str">
        <f t="shared" si="50"/>
        <v xml:space="preserve"> </v>
      </c>
    </row>
    <row r="76" spans="1:47" s="875" customFormat="1" x14ac:dyDescent="0.2">
      <c r="A76" s="447" t="str">
        <f>IF('Flächen u. Kulturen'!E57="x",IF(AND('#Kürzungen'!$F$2=2,'#BerechnungDBE'!R52=1,'Flächen u. Kulturen'!D57&lt;&gt;""),'Flächen u. Kulturen'!A57,IF(AND('#BerechnungDBE'!S52=1,'Flächen u. Kulturen'!D57&lt;&gt;""),'Flächen u. Kulturen'!A57," "))," ")</f>
        <v xml:space="preserve"> </v>
      </c>
      <c r="B76" s="505" t="str">
        <f>'Flächen u. Kulturen'!D57</f>
        <v/>
      </c>
      <c r="C76" s="42" t="str">
        <f>IF(A76=" "," ",'#BerechnungDBE'!AA52)</f>
        <v xml:space="preserve"> </v>
      </c>
      <c r="D76" s="42" t="str">
        <f>IF(A76=" "," ",'#BerechnungDBE'!BA52)</f>
        <v xml:space="preserve"> </v>
      </c>
      <c r="E76" s="42" t="str">
        <f t="shared" si="36"/>
        <v xml:space="preserve"> </v>
      </c>
      <c r="F76" s="869"/>
      <c r="G76" s="42" t="str">
        <f>IF(A76=" ","",'#BerechnungDBE'!BA52+'#BerechnungDBE'!BF52)</f>
        <v/>
      </c>
      <c r="H76" s="444" t="str">
        <f t="shared" si="12"/>
        <v/>
      </c>
      <c r="I76" s="444">
        <f>'#minDung'!P58</f>
        <v>0</v>
      </c>
      <c r="J76" s="430" t="str">
        <f t="shared" si="34"/>
        <v xml:space="preserve"> </v>
      </c>
      <c r="K76" s="913">
        <f>IF(A76=" ",0,'Flächen u. Kulturen'!V57)</f>
        <v>0</v>
      </c>
      <c r="L76" s="883" t="str">
        <f t="shared" si="37"/>
        <v/>
      </c>
      <c r="M76" s="879" t="str">
        <f t="shared" si="38"/>
        <v xml:space="preserve"> </v>
      </c>
      <c r="N76" s="444" t="str">
        <f t="shared" si="14"/>
        <v xml:space="preserve"> </v>
      </c>
      <c r="O76" s="911" t="str">
        <f t="shared" si="15"/>
        <v xml:space="preserve"> </v>
      </c>
      <c r="P76" s="912" t="str">
        <f t="shared" si="16"/>
        <v xml:space="preserve"> </v>
      </c>
      <c r="Q76" s="912" t="str">
        <f t="shared" si="17"/>
        <v xml:space="preserve"> </v>
      </c>
      <c r="R76" s="444" t="str">
        <f t="shared" si="39"/>
        <v/>
      </c>
      <c r="S76" s="444" t="str">
        <f t="shared" si="18"/>
        <v/>
      </c>
      <c r="T76" s="444" t="str">
        <f t="shared" si="40"/>
        <v xml:space="preserve"> </v>
      </c>
      <c r="U76" s="119" t="str">
        <f t="shared" si="19"/>
        <v xml:space="preserve"> </v>
      </c>
      <c r="V76" s="444" t="str">
        <f t="shared" si="33"/>
        <v xml:space="preserve"> </v>
      </c>
      <c r="W76" s="909" t="str">
        <f t="shared" si="20"/>
        <v xml:space="preserve"> </v>
      </c>
      <c r="X76" s="924" t="str">
        <f t="shared" si="21"/>
        <v xml:space="preserve"> </v>
      </c>
      <c r="Y76" s="444" t="str">
        <f t="shared" si="41"/>
        <v xml:space="preserve"> </v>
      </c>
      <c r="Z76" s="444" t="str">
        <f t="shared" si="22"/>
        <v xml:space="preserve"> </v>
      </c>
      <c r="AA76" s="444" t="str">
        <f t="shared" si="23"/>
        <v xml:space="preserve"> </v>
      </c>
      <c r="AB76" s="912" t="str">
        <f t="shared" si="24"/>
        <v xml:space="preserve"> </v>
      </c>
      <c r="AC76" s="912" t="str">
        <f t="shared" si="25"/>
        <v xml:space="preserve"> </v>
      </c>
      <c r="AD76" s="444" t="str">
        <f t="shared" si="26"/>
        <v xml:space="preserve"> </v>
      </c>
      <c r="AE76" s="444" t="str">
        <f t="shared" si="27"/>
        <v/>
      </c>
      <c r="AF76" s="444" t="str">
        <f t="shared" si="42"/>
        <v xml:space="preserve"> </v>
      </c>
      <c r="AG76" s="119" t="str">
        <f t="shared" si="29"/>
        <v xml:space="preserve"> </v>
      </c>
      <c r="AH76" s="444" t="str">
        <f t="shared" si="30"/>
        <v xml:space="preserve"> </v>
      </c>
      <c r="AI76" s="909" t="str">
        <f t="shared" si="31"/>
        <v xml:space="preserve"> </v>
      </c>
      <c r="AJ76" s="879" t="str">
        <f t="shared" si="35"/>
        <v xml:space="preserve"> </v>
      </c>
      <c r="AK76" s="444" t="str">
        <f t="shared" si="43"/>
        <v xml:space="preserve"> </v>
      </c>
      <c r="AL76" s="444" t="str">
        <f t="shared" si="44"/>
        <v xml:space="preserve"> </v>
      </c>
      <c r="AM76" s="444" t="str">
        <f t="shared" si="45"/>
        <v xml:space="preserve"> </v>
      </c>
      <c r="AN76" s="119" t="str">
        <f t="shared" si="46"/>
        <v xml:space="preserve"> </v>
      </c>
      <c r="AO76" s="444" t="str">
        <f t="shared" si="47"/>
        <v xml:space="preserve"> </v>
      </c>
      <c r="AP76" s="444" t="str">
        <f t="shared" si="48"/>
        <v xml:space="preserve"> </v>
      </c>
      <c r="AQ76" s="123" t="str">
        <f>IF(A76=" "," ",IF('#orgDung'!AB61=0,0,AO76/'#orgDung'!AB61))</f>
        <v xml:space="preserve"> </v>
      </c>
      <c r="AR76" s="47" t="str">
        <f>IF(A76=" "," ",IF('#orgDung'!AB61=0,0,AP76/'#orgDung'!AB61))</f>
        <v xml:space="preserve"> </v>
      </c>
      <c r="AS76" s="890">
        <f>IF(OR(B76=0,B76=""),0,MAX('Flächen u. Kulturen'!V57,AT76/B76))</f>
        <v>0</v>
      </c>
      <c r="AT76" s="875">
        <f t="shared" si="49"/>
        <v>0</v>
      </c>
      <c r="AU76" s="120" t="str">
        <f t="shared" si="50"/>
        <v xml:space="preserve"> </v>
      </c>
    </row>
    <row r="77" spans="1:47" s="875" customFormat="1" x14ac:dyDescent="0.2">
      <c r="A77" s="447" t="str">
        <f>IF('Flächen u. Kulturen'!E58="x",IF(AND('#Kürzungen'!$F$2=2,'#BerechnungDBE'!R53=1,'Flächen u. Kulturen'!D58&lt;&gt;""),'Flächen u. Kulturen'!A58,IF(AND('#BerechnungDBE'!S53=1,'Flächen u. Kulturen'!D58&lt;&gt;""),'Flächen u. Kulturen'!A58," "))," ")</f>
        <v xml:space="preserve"> </v>
      </c>
      <c r="B77" s="505" t="str">
        <f>'Flächen u. Kulturen'!D58</f>
        <v/>
      </c>
      <c r="C77" s="42" t="str">
        <f>IF(A77=" "," ",'#BerechnungDBE'!AA53)</f>
        <v xml:space="preserve"> </v>
      </c>
      <c r="D77" s="42" t="str">
        <f>IF(A77=" "," ",'#BerechnungDBE'!BA53)</f>
        <v xml:space="preserve"> </v>
      </c>
      <c r="E77" s="42" t="str">
        <f t="shared" si="36"/>
        <v xml:space="preserve"> </v>
      </c>
      <c r="F77" s="869"/>
      <c r="G77" s="42" t="str">
        <f>IF(A77=" ","",'#BerechnungDBE'!BA53+'#BerechnungDBE'!BF53)</f>
        <v/>
      </c>
      <c r="H77" s="444" t="str">
        <f t="shared" si="12"/>
        <v/>
      </c>
      <c r="I77" s="444">
        <f>'#minDung'!P59</f>
        <v>0</v>
      </c>
      <c r="J77" s="430" t="str">
        <f t="shared" si="34"/>
        <v xml:space="preserve"> </v>
      </c>
      <c r="K77" s="913">
        <f>IF(A77=" ",0,'Flächen u. Kulturen'!V58)</f>
        <v>0</v>
      </c>
      <c r="L77" s="883" t="str">
        <f t="shared" si="37"/>
        <v/>
      </c>
      <c r="M77" s="879" t="str">
        <f t="shared" si="38"/>
        <v xml:space="preserve"> </v>
      </c>
      <c r="N77" s="444" t="str">
        <f t="shared" si="14"/>
        <v xml:space="preserve"> </v>
      </c>
      <c r="O77" s="911" t="str">
        <f t="shared" si="15"/>
        <v xml:space="preserve"> </v>
      </c>
      <c r="P77" s="912" t="str">
        <f t="shared" si="16"/>
        <v xml:space="preserve"> </v>
      </c>
      <c r="Q77" s="912" t="str">
        <f t="shared" si="17"/>
        <v xml:space="preserve"> </v>
      </c>
      <c r="R77" s="444" t="str">
        <f t="shared" si="39"/>
        <v/>
      </c>
      <c r="S77" s="444" t="str">
        <f t="shared" si="18"/>
        <v/>
      </c>
      <c r="T77" s="444" t="str">
        <f t="shared" si="40"/>
        <v xml:space="preserve"> </v>
      </c>
      <c r="U77" s="119" t="str">
        <f t="shared" si="19"/>
        <v xml:space="preserve"> </v>
      </c>
      <c r="V77" s="444" t="str">
        <f t="shared" si="33"/>
        <v xml:space="preserve"> </v>
      </c>
      <c r="W77" s="909" t="str">
        <f t="shared" si="20"/>
        <v xml:space="preserve"> </v>
      </c>
      <c r="X77" s="924" t="str">
        <f t="shared" si="21"/>
        <v xml:space="preserve"> </v>
      </c>
      <c r="Y77" s="444" t="str">
        <f t="shared" si="41"/>
        <v xml:space="preserve"> </v>
      </c>
      <c r="Z77" s="444" t="str">
        <f t="shared" si="22"/>
        <v xml:space="preserve"> </v>
      </c>
      <c r="AA77" s="444" t="str">
        <f t="shared" si="23"/>
        <v xml:space="preserve"> </v>
      </c>
      <c r="AB77" s="912" t="str">
        <f t="shared" si="24"/>
        <v xml:space="preserve"> </v>
      </c>
      <c r="AC77" s="912" t="str">
        <f t="shared" si="25"/>
        <v xml:space="preserve"> </v>
      </c>
      <c r="AD77" s="444" t="str">
        <f t="shared" si="26"/>
        <v xml:space="preserve"> </v>
      </c>
      <c r="AE77" s="444" t="str">
        <f t="shared" si="27"/>
        <v/>
      </c>
      <c r="AF77" s="444" t="str">
        <f t="shared" si="42"/>
        <v xml:space="preserve"> </v>
      </c>
      <c r="AG77" s="119" t="str">
        <f t="shared" si="29"/>
        <v xml:space="preserve"> </v>
      </c>
      <c r="AH77" s="444" t="str">
        <f t="shared" si="30"/>
        <v xml:space="preserve"> </v>
      </c>
      <c r="AI77" s="909" t="str">
        <f t="shared" si="31"/>
        <v xml:space="preserve"> </v>
      </c>
      <c r="AJ77" s="879" t="str">
        <f t="shared" si="35"/>
        <v xml:space="preserve"> </v>
      </c>
      <c r="AK77" s="444" t="str">
        <f t="shared" si="43"/>
        <v xml:space="preserve"> </v>
      </c>
      <c r="AL77" s="444" t="str">
        <f t="shared" si="44"/>
        <v xml:space="preserve"> </v>
      </c>
      <c r="AM77" s="444" t="str">
        <f t="shared" si="45"/>
        <v xml:space="preserve"> </v>
      </c>
      <c r="AN77" s="119" t="str">
        <f t="shared" si="46"/>
        <v xml:space="preserve"> </v>
      </c>
      <c r="AO77" s="444" t="str">
        <f t="shared" si="47"/>
        <v xml:space="preserve"> </v>
      </c>
      <c r="AP77" s="444" t="str">
        <f t="shared" si="48"/>
        <v xml:space="preserve"> </v>
      </c>
      <c r="AQ77" s="123" t="str">
        <f>IF(A77=" "," ",IF('#orgDung'!AB62=0,0,AO77/'#orgDung'!AB62))</f>
        <v xml:space="preserve"> </v>
      </c>
      <c r="AR77" s="47" t="str">
        <f>IF(A77=" "," ",IF('#orgDung'!AB62=0,0,AP77/'#orgDung'!AB62))</f>
        <v xml:space="preserve"> </v>
      </c>
      <c r="AS77" s="890">
        <f>IF(OR(B77=0,B77=""),0,MAX('Flächen u. Kulturen'!V58,AT77/B77))</f>
        <v>0</v>
      </c>
      <c r="AT77" s="875">
        <f t="shared" si="49"/>
        <v>0</v>
      </c>
      <c r="AU77" s="120" t="str">
        <f t="shared" si="50"/>
        <v xml:space="preserve"> </v>
      </c>
    </row>
    <row r="78" spans="1:47" s="875" customFormat="1" x14ac:dyDescent="0.2">
      <c r="A78" s="447" t="str">
        <f>IF('Flächen u. Kulturen'!E59="x",IF(AND('#Kürzungen'!$F$2=2,'#BerechnungDBE'!R54=1,'Flächen u. Kulturen'!D59&lt;&gt;""),'Flächen u. Kulturen'!A59,IF(AND('#BerechnungDBE'!S54=1,'Flächen u. Kulturen'!D59&lt;&gt;""),'Flächen u. Kulturen'!A59," "))," ")</f>
        <v xml:space="preserve"> </v>
      </c>
      <c r="B78" s="505" t="str">
        <f>'Flächen u. Kulturen'!D59</f>
        <v/>
      </c>
      <c r="C78" s="42" t="str">
        <f>IF(A78=" "," ",'#BerechnungDBE'!AA54)</f>
        <v xml:space="preserve"> </v>
      </c>
      <c r="D78" s="42" t="str">
        <f>IF(A78=" "," ",'#BerechnungDBE'!BA54)</f>
        <v xml:space="preserve"> </v>
      </c>
      <c r="E78" s="42" t="str">
        <f t="shared" si="36"/>
        <v xml:space="preserve"> </v>
      </c>
      <c r="F78" s="869"/>
      <c r="G78" s="42" t="str">
        <f>IF(A78=" ","",'#BerechnungDBE'!BA54+'#BerechnungDBE'!BF54)</f>
        <v/>
      </c>
      <c r="H78" s="444" t="str">
        <f t="shared" si="12"/>
        <v/>
      </c>
      <c r="I78" s="444">
        <f>'#minDung'!P60</f>
        <v>0</v>
      </c>
      <c r="J78" s="430" t="str">
        <f t="shared" si="34"/>
        <v xml:space="preserve"> </v>
      </c>
      <c r="K78" s="913">
        <f>IF(A78=" ",0,'Flächen u. Kulturen'!V59)</f>
        <v>0</v>
      </c>
      <c r="L78" s="883" t="str">
        <f t="shared" si="37"/>
        <v/>
      </c>
      <c r="M78" s="879" t="str">
        <f t="shared" si="38"/>
        <v xml:space="preserve"> </v>
      </c>
      <c r="N78" s="444" t="str">
        <f t="shared" si="14"/>
        <v xml:space="preserve"> </v>
      </c>
      <c r="O78" s="911" t="str">
        <f t="shared" si="15"/>
        <v xml:space="preserve"> </v>
      </c>
      <c r="P78" s="912" t="str">
        <f t="shared" si="16"/>
        <v xml:space="preserve"> </v>
      </c>
      <c r="Q78" s="912" t="str">
        <f t="shared" si="17"/>
        <v xml:space="preserve"> </v>
      </c>
      <c r="R78" s="444" t="str">
        <f t="shared" si="39"/>
        <v/>
      </c>
      <c r="S78" s="444" t="str">
        <f t="shared" si="18"/>
        <v/>
      </c>
      <c r="T78" s="444" t="str">
        <f t="shared" si="40"/>
        <v xml:space="preserve"> </v>
      </c>
      <c r="U78" s="119" t="str">
        <f t="shared" si="19"/>
        <v xml:space="preserve"> </v>
      </c>
      <c r="V78" s="444" t="str">
        <f t="shared" si="33"/>
        <v xml:space="preserve"> </v>
      </c>
      <c r="W78" s="909" t="str">
        <f t="shared" si="20"/>
        <v xml:space="preserve"> </v>
      </c>
      <c r="X78" s="924" t="str">
        <f t="shared" si="21"/>
        <v xml:space="preserve"> </v>
      </c>
      <c r="Y78" s="444" t="str">
        <f t="shared" si="41"/>
        <v xml:space="preserve"> </v>
      </c>
      <c r="Z78" s="444" t="str">
        <f t="shared" si="22"/>
        <v xml:space="preserve"> </v>
      </c>
      <c r="AA78" s="444" t="str">
        <f t="shared" si="23"/>
        <v xml:space="preserve"> </v>
      </c>
      <c r="AB78" s="912" t="str">
        <f t="shared" si="24"/>
        <v xml:space="preserve"> </v>
      </c>
      <c r="AC78" s="912" t="str">
        <f t="shared" si="25"/>
        <v xml:space="preserve"> </v>
      </c>
      <c r="AD78" s="444" t="str">
        <f t="shared" si="26"/>
        <v xml:space="preserve"> </v>
      </c>
      <c r="AE78" s="444" t="str">
        <f t="shared" si="27"/>
        <v/>
      </c>
      <c r="AF78" s="444" t="str">
        <f t="shared" si="42"/>
        <v xml:space="preserve"> </v>
      </c>
      <c r="AG78" s="119" t="str">
        <f t="shared" si="29"/>
        <v xml:space="preserve"> </v>
      </c>
      <c r="AH78" s="444" t="str">
        <f t="shared" si="30"/>
        <v xml:space="preserve"> </v>
      </c>
      <c r="AI78" s="909" t="str">
        <f t="shared" si="31"/>
        <v xml:space="preserve"> </v>
      </c>
      <c r="AJ78" s="879" t="str">
        <f t="shared" si="35"/>
        <v xml:space="preserve"> </v>
      </c>
      <c r="AK78" s="444" t="str">
        <f t="shared" si="43"/>
        <v xml:space="preserve"> </v>
      </c>
      <c r="AL78" s="444" t="str">
        <f t="shared" si="44"/>
        <v xml:space="preserve"> </v>
      </c>
      <c r="AM78" s="444" t="str">
        <f t="shared" si="45"/>
        <v xml:space="preserve"> </v>
      </c>
      <c r="AN78" s="119" t="str">
        <f t="shared" si="46"/>
        <v xml:space="preserve"> </v>
      </c>
      <c r="AO78" s="444" t="str">
        <f t="shared" si="47"/>
        <v xml:space="preserve"> </v>
      </c>
      <c r="AP78" s="444" t="str">
        <f t="shared" si="48"/>
        <v xml:space="preserve"> </v>
      </c>
      <c r="AQ78" s="123" t="str">
        <f>IF(A78=" "," ",IF('#orgDung'!AB63=0,0,AO78/'#orgDung'!AB63))</f>
        <v xml:space="preserve"> </v>
      </c>
      <c r="AR78" s="47" t="str">
        <f>IF(A78=" "," ",IF('#orgDung'!AB63=0,0,AP78/'#orgDung'!AB63))</f>
        <v xml:space="preserve"> </v>
      </c>
      <c r="AS78" s="890">
        <f>IF(OR(B78=0,B78=""),0,MAX('Flächen u. Kulturen'!V59,AT78/B78))</f>
        <v>0</v>
      </c>
      <c r="AT78" s="875">
        <f t="shared" si="49"/>
        <v>0</v>
      </c>
      <c r="AU78" s="120" t="str">
        <f t="shared" si="50"/>
        <v xml:space="preserve"> </v>
      </c>
    </row>
    <row r="79" spans="1:47" s="875" customFormat="1" x14ac:dyDescent="0.2">
      <c r="A79" s="447" t="str">
        <f>IF('Flächen u. Kulturen'!E60="x",IF(AND('#Kürzungen'!$F$2=2,'#BerechnungDBE'!R55=1,'Flächen u. Kulturen'!D60&lt;&gt;""),'Flächen u. Kulturen'!A60,IF(AND('#BerechnungDBE'!S55=1,'Flächen u. Kulturen'!D60&lt;&gt;""),'Flächen u. Kulturen'!A60," "))," ")</f>
        <v xml:space="preserve"> </v>
      </c>
      <c r="B79" s="505" t="str">
        <f>'Flächen u. Kulturen'!D60</f>
        <v/>
      </c>
      <c r="C79" s="42" t="str">
        <f>IF(A79=" "," ",'#BerechnungDBE'!AA55)</f>
        <v xml:space="preserve"> </v>
      </c>
      <c r="D79" s="42" t="str">
        <f>IF(A79=" "," ",'#BerechnungDBE'!BA55)</f>
        <v xml:space="preserve"> </v>
      </c>
      <c r="E79" s="42" t="str">
        <f t="shared" si="36"/>
        <v xml:space="preserve"> </v>
      </c>
      <c r="F79" s="869"/>
      <c r="G79" s="42" t="str">
        <f>IF(A79=" ","",'#BerechnungDBE'!BA55+'#BerechnungDBE'!BF55)</f>
        <v/>
      </c>
      <c r="H79" s="444" t="str">
        <f t="shared" si="12"/>
        <v/>
      </c>
      <c r="I79" s="444">
        <f>'#minDung'!P61</f>
        <v>0</v>
      </c>
      <c r="J79" s="430" t="str">
        <f t="shared" si="34"/>
        <v xml:space="preserve"> </v>
      </c>
      <c r="K79" s="913">
        <f>IF(A79=" ",0,'Flächen u. Kulturen'!V60)</f>
        <v>0</v>
      </c>
      <c r="L79" s="883" t="str">
        <f t="shared" si="37"/>
        <v/>
      </c>
      <c r="M79" s="879" t="str">
        <f t="shared" si="38"/>
        <v xml:space="preserve"> </v>
      </c>
      <c r="N79" s="444" t="str">
        <f t="shared" si="14"/>
        <v xml:space="preserve"> </v>
      </c>
      <c r="O79" s="911" t="str">
        <f t="shared" si="15"/>
        <v xml:space="preserve"> </v>
      </c>
      <c r="P79" s="912" t="str">
        <f t="shared" si="16"/>
        <v xml:space="preserve"> </v>
      </c>
      <c r="Q79" s="912" t="str">
        <f t="shared" si="17"/>
        <v xml:space="preserve"> </v>
      </c>
      <c r="R79" s="444" t="str">
        <f t="shared" si="39"/>
        <v/>
      </c>
      <c r="S79" s="444" t="str">
        <f t="shared" si="18"/>
        <v/>
      </c>
      <c r="T79" s="444" t="str">
        <f t="shared" si="40"/>
        <v xml:space="preserve"> </v>
      </c>
      <c r="U79" s="119" t="str">
        <f t="shared" si="19"/>
        <v xml:space="preserve"> </v>
      </c>
      <c r="V79" s="444" t="str">
        <f t="shared" si="33"/>
        <v xml:space="preserve"> </v>
      </c>
      <c r="W79" s="909" t="str">
        <f t="shared" si="20"/>
        <v xml:space="preserve"> </v>
      </c>
      <c r="X79" s="924" t="str">
        <f t="shared" si="21"/>
        <v xml:space="preserve"> </v>
      </c>
      <c r="Y79" s="444" t="str">
        <f t="shared" si="41"/>
        <v xml:space="preserve"> </v>
      </c>
      <c r="Z79" s="444" t="str">
        <f t="shared" si="22"/>
        <v xml:space="preserve"> </v>
      </c>
      <c r="AA79" s="444" t="str">
        <f t="shared" si="23"/>
        <v xml:space="preserve"> </v>
      </c>
      <c r="AB79" s="912" t="str">
        <f t="shared" si="24"/>
        <v xml:space="preserve"> </v>
      </c>
      <c r="AC79" s="912" t="str">
        <f t="shared" si="25"/>
        <v xml:space="preserve"> </v>
      </c>
      <c r="AD79" s="444" t="str">
        <f t="shared" si="26"/>
        <v xml:space="preserve"> </v>
      </c>
      <c r="AE79" s="444" t="str">
        <f t="shared" si="27"/>
        <v/>
      </c>
      <c r="AF79" s="444" t="str">
        <f t="shared" si="42"/>
        <v xml:space="preserve"> </v>
      </c>
      <c r="AG79" s="119" t="str">
        <f t="shared" si="29"/>
        <v xml:space="preserve"> </v>
      </c>
      <c r="AH79" s="444" t="str">
        <f t="shared" si="30"/>
        <v xml:space="preserve"> </v>
      </c>
      <c r="AI79" s="909" t="str">
        <f t="shared" si="31"/>
        <v xml:space="preserve"> </v>
      </c>
      <c r="AJ79" s="879" t="str">
        <f t="shared" si="35"/>
        <v xml:space="preserve"> </v>
      </c>
      <c r="AK79" s="444" t="str">
        <f t="shared" si="43"/>
        <v xml:space="preserve"> </v>
      </c>
      <c r="AL79" s="444" t="str">
        <f t="shared" si="44"/>
        <v xml:space="preserve"> </v>
      </c>
      <c r="AM79" s="444" t="str">
        <f t="shared" si="45"/>
        <v xml:space="preserve"> </v>
      </c>
      <c r="AN79" s="119" t="str">
        <f t="shared" si="46"/>
        <v xml:space="preserve"> </v>
      </c>
      <c r="AO79" s="444" t="str">
        <f t="shared" si="47"/>
        <v xml:space="preserve"> </v>
      </c>
      <c r="AP79" s="444" t="str">
        <f t="shared" si="48"/>
        <v xml:space="preserve"> </v>
      </c>
      <c r="AQ79" s="123" t="str">
        <f>IF(A79=" "," ",IF('#orgDung'!AB64=0,0,AO79/'#orgDung'!AB64))</f>
        <v xml:space="preserve"> </v>
      </c>
      <c r="AR79" s="47" t="str">
        <f>IF(A79=" "," ",IF('#orgDung'!AB64=0,0,AP79/'#orgDung'!AB64))</f>
        <v xml:space="preserve"> </v>
      </c>
      <c r="AS79" s="890">
        <f>IF(OR(B79=0,B79=""),0,MAX('Flächen u. Kulturen'!V60,AT79/B79))</f>
        <v>0</v>
      </c>
      <c r="AT79" s="875">
        <f t="shared" si="49"/>
        <v>0</v>
      </c>
      <c r="AU79" s="120" t="str">
        <f t="shared" si="50"/>
        <v xml:space="preserve"> </v>
      </c>
    </row>
    <row r="80" spans="1:47" s="875" customFormat="1" x14ac:dyDescent="0.2">
      <c r="A80" s="447" t="str">
        <f>IF('Flächen u. Kulturen'!E61="x",IF(AND('#Kürzungen'!$F$2=2,'#BerechnungDBE'!R56=1,'Flächen u. Kulturen'!D61&lt;&gt;""),'Flächen u. Kulturen'!A61,IF(AND('#BerechnungDBE'!S56=1,'Flächen u. Kulturen'!D61&lt;&gt;""),'Flächen u. Kulturen'!A61," "))," ")</f>
        <v xml:space="preserve"> </v>
      </c>
      <c r="B80" s="505" t="str">
        <f>'Flächen u. Kulturen'!D61</f>
        <v/>
      </c>
      <c r="C80" s="42" t="str">
        <f>IF(A80=" "," ",'#BerechnungDBE'!AA56)</f>
        <v xml:space="preserve"> </v>
      </c>
      <c r="D80" s="42" t="str">
        <f>IF(A80=" "," ",'#BerechnungDBE'!BA56)</f>
        <v xml:space="preserve"> </v>
      </c>
      <c r="E80" s="42" t="str">
        <f t="shared" si="36"/>
        <v xml:space="preserve"> </v>
      </c>
      <c r="F80" s="869"/>
      <c r="G80" s="42" t="str">
        <f>IF(A80=" ","",'#BerechnungDBE'!BA56+'#BerechnungDBE'!BF56)</f>
        <v/>
      </c>
      <c r="H80" s="444" t="str">
        <f t="shared" si="12"/>
        <v/>
      </c>
      <c r="I80" s="444">
        <f>'#minDung'!P62</f>
        <v>0</v>
      </c>
      <c r="J80" s="430" t="str">
        <f t="shared" si="34"/>
        <v xml:space="preserve"> </v>
      </c>
      <c r="K80" s="913">
        <f>IF(A80=" ",0,'Flächen u. Kulturen'!V61)</f>
        <v>0</v>
      </c>
      <c r="L80" s="883" t="str">
        <f t="shared" si="37"/>
        <v/>
      </c>
      <c r="M80" s="879" t="str">
        <f t="shared" si="38"/>
        <v xml:space="preserve"> </v>
      </c>
      <c r="N80" s="444" t="str">
        <f t="shared" si="14"/>
        <v xml:space="preserve"> </v>
      </c>
      <c r="O80" s="911" t="str">
        <f t="shared" si="15"/>
        <v xml:space="preserve"> </v>
      </c>
      <c r="P80" s="912" t="str">
        <f t="shared" si="16"/>
        <v xml:space="preserve"> </v>
      </c>
      <c r="Q80" s="912" t="str">
        <f t="shared" si="17"/>
        <v xml:space="preserve"> </v>
      </c>
      <c r="R80" s="444" t="str">
        <f t="shared" si="39"/>
        <v/>
      </c>
      <c r="S80" s="444" t="str">
        <f t="shared" si="18"/>
        <v/>
      </c>
      <c r="T80" s="444" t="str">
        <f t="shared" si="40"/>
        <v xml:space="preserve"> </v>
      </c>
      <c r="U80" s="119" t="str">
        <f t="shared" si="19"/>
        <v xml:space="preserve"> </v>
      </c>
      <c r="V80" s="444" t="str">
        <f t="shared" si="33"/>
        <v xml:space="preserve"> </v>
      </c>
      <c r="W80" s="909" t="str">
        <f t="shared" si="20"/>
        <v xml:space="preserve"> </v>
      </c>
      <c r="X80" s="924" t="str">
        <f t="shared" si="21"/>
        <v xml:space="preserve"> </v>
      </c>
      <c r="Y80" s="444" t="str">
        <f t="shared" si="41"/>
        <v xml:space="preserve"> </v>
      </c>
      <c r="Z80" s="444" t="str">
        <f t="shared" si="22"/>
        <v xml:space="preserve"> </v>
      </c>
      <c r="AA80" s="444" t="str">
        <f t="shared" si="23"/>
        <v xml:space="preserve"> </v>
      </c>
      <c r="AB80" s="912" t="str">
        <f t="shared" si="24"/>
        <v xml:space="preserve"> </v>
      </c>
      <c r="AC80" s="912" t="str">
        <f t="shared" si="25"/>
        <v xml:space="preserve"> </v>
      </c>
      <c r="AD80" s="444" t="str">
        <f t="shared" si="26"/>
        <v xml:space="preserve"> </v>
      </c>
      <c r="AE80" s="444" t="str">
        <f t="shared" si="27"/>
        <v/>
      </c>
      <c r="AF80" s="444" t="str">
        <f t="shared" si="42"/>
        <v xml:space="preserve"> </v>
      </c>
      <c r="AG80" s="119" t="str">
        <f t="shared" si="29"/>
        <v xml:space="preserve"> </v>
      </c>
      <c r="AH80" s="444" t="str">
        <f t="shared" si="30"/>
        <v xml:space="preserve"> </v>
      </c>
      <c r="AI80" s="909" t="str">
        <f t="shared" si="31"/>
        <v xml:space="preserve"> </v>
      </c>
      <c r="AJ80" s="879" t="str">
        <f t="shared" si="35"/>
        <v xml:space="preserve"> </v>
      </c>
      <c r="AK80" s="444" t="str">
        <f t="shared" si="43"/>
        <v xml:space="preserve"> </v>
      </c>
      <c r="AL80" s="444" t="str">
        <f t="shared" si="44"/>
        <v xml:space="preserve"> </v>
      </c>
      <c r="AM80" s="444" t="str">
        <f t="shared" si="45"/>
        <v xml:space="preserve"> </v>
      </c>
      <c r="AN80" s="119" t="str">
        <f t="shared" si="46"/>
        <v xml:space="preserve"> </v>
      </c>
      <c r="AO80" s="444" t="str">
        <f t="shared" si="47"/>
        <v xml:space="preserve"> </v>
      </c>
      <c r="AP80" s="444" t="str">
        <f t="shared" si="48"/>
        <v xml:space="preserve"> </v>
      </c>
      <c r="AQ80" s="123" t="str">
        <f>IF(A80=" "," ",IF('#orgDung'!AB65=0,0,AO80/'#orgDung'!AB65))</f>
        <v xml:space="preserve"> </v>
      </c>
      <c r="AR80" s="47" t="str">
        <f>IF(A80=" "," ",IF('#orgDung'!AB65=0,0,AP80/'#orgDung'!AB65))</f>
        <v xml:space="preserve"> </v>
      </c>
      <c r="AS80" s="890">
        <f>IF(OR(B80=0,B80=""),0,MAX('Flächen u. Kulturen'!V61,AT80/B80))</f>
        <v>0</v>
      </c>
      <c r="AT80" s="875">
        <f t="shared" si="49"/>
        <v>0</v>
      </c>
      <c r="AU80" s="120" t="str">
        <f t="shared" si="50"/>
        <v xml:space="preserve"> </v>
      </c>
    </row>
    <row r="81" spans="1:47" s="875" customFormat="1" x14ac:dyDescent="0.2">
      <c r="A81" s="447" t="str">
        <f>IF('Flächen u. Kulturen'!E62="x",IF(AND('#Kürzungen'!$F$2=2,'#BerechnungDBE'!R57=1,'Flächen u. Kulturen'!D62&lt;&gt;""),'Flächen u. Kulturen'!A62,IF(AND('#BerechnungDBE'!S57=1,'Flächen u. Kulturen'!D62&lt;&gt;""),'Flächen u. Kulturen'!A62," "))," ")</f>
        <v xml:space="preserve"> </v>
      </c>
      <c r="B81" s="505" t="str">
        <f>'Flächen u. Kulturen'!D62</f>
        <v/>
      </c>
      <c r="C81" s="42" t="str">
        <f>IF(A81=" "," ",'#BerechnungDBE'!AA57)</f>
        <v xml:space="preserve"> </v>
      </c>
      <c r="D81" s="42" t="str">
        <f>IF(A81=" "," ",'#BerechnungDBE'!BA57)</f>
        <v xml:space="preserve"> </v>
      </c>
      <c r="E81" s="42" t="str">
        <f t="shared" si="36"/>
        <v xml:space="preserve"> </v>
      </c>
      <c r="F81" s="869"/>
      <c r="G81" s="42" t="str">
        <f>IF(A81=" ","",'#BerechnungDBE'!BA57+'#BerechnungDBE'!BF57)</f>
        <v/>
      </c>
      <c r="H81" s="444" t="str">
        <f t="shared" si="12"/>
        <v/>
      </c>
      <c r="I81" s="444">
        <f>'#minDung'!P63</f>
        <v>0</v>
      </c>
      <c r="J81" s="430" t="str">
        <f t="shared" si="34"/>
        <v xml:space="preserve"> </v>
      </c>
      <c r="K81" s="913">
        <f>IF(A81=" ",0,'Flächen u. Kulturen'!V62)</f>
        <v>0</v>
      </c>
      <c r="L81" s="883" t="str">
        <f t="shared" si="37"/>
        <v/>
      </c>
      <c r="M81" s="879" t="str">
        <f t="shared" si="38"/>
        <v xml:space="preserve"> </v>
      </c>
      <c r="N81" s="444" t="str">
        <f t="shared" si="14"/>
        <v xml:space="preserve"> </v>
      </c>
      <c r="O81" s="911" t="str">
        <f t="shared" si="15"/>
        <v xml:space="preserve"> </v>
      </c>
      <c r="P81" s="912" t="str">
        <f t="shared" si="16"/>
        <v xml:space="preserve"> </v>
      </c>
      <c r="Q81" s="912" t="str">
        <f t="shared" si="17"/>
        <v xml:space="preserve"> </v>
      </c>
      <c r="R81" s="444" t="str">
        <f t="shared" si="39"/>
        <v/>
      </c>
      <c r="S81" s="444" t="str">
        <f t="shared" si="18"/>
        <v/>
      </c>
      <c r="T81" s="444" t="str">
        <f t="shared" si="40"/>
        <v xml:space="preserve"> </v>
      </c>
      <c r="U81" s="119" t="str">
        <f t="shared" si="19"/>
        <v xml:space="preserve"> </v>
      </c>
      <c r="V81" s="444" t="str">
        <f t="shared" si="33"/>
        <v xml:space="preserve"> </v>
      </c>
      <c r="W81" s="909" t="str">
        <f t="shared" si="20"/>
        <v xml:space="preserve"> </v>
      </c>
      <c r="X81" s="924" t="str">
        <f t="shared" si="21"/>
        <v xml:space="preserve"> </v>
      </c>
      <c r="Y81" s="444" t="str">
        <f t="shared" si="41"/>
        <v xml:space="preserve"> </v>
      </c>
      <c r="Z81" s="444" t="str">
        <f t="shared" si="22"/>
        <v xml:space="preserve"> </v>
      </c>
      <c r="AA81" s="444" t="str">
        <f t="shared" si="23"/>
        <v xml:space="preserve"> </v>
      </c>
      <c r="AB81" s="912" t="str">
        <f t="shared" si="24"/>
        <v xml:space="preserve"> </v>
      </c>
      <c r="AC81" s="912" t="str">
        <f t="shared" si="25"/>
        <v xml:space="preserve"> </v>
      </c>
      <c r="AD81" s="444" t="str">
        <f t="shared" si="26"/>
        <v xml:space="preserve"> </v>
      </c>
      <c r="AE81" s="444" t="str">
        <f t="shared" si="27"/>
        <v/>
      </c>
      <c r="AF81" s="444" t="str">
        <f t="shared" si="42"/>
        <v xml:space="preserve"> </v>
      </c>
      <c r="AG81" s="119" t="str">
        <f t="shared" si="29"/>
        <v xml:space="preserve"> </v>
      </c>
      <c r="AH81" s="444" t="str">
        <f t="shared" si="30"/>
        <v xml:space="preserve"> </v>
      </c>
      <c r="AI81" s="909" t="str">
        <f t="shared" si="31"/>
        <v xml:space="preserve"> </v>
      </c>
      <c r="AJ81" s="879" t="str">
        <f t="shared" si="35"/>
        <v xml:space="preserve"> </v>
      </c>
      <c r="AK81" s="444" t="str">
        <f t="shared" si="43"/>
        <v xml:space="preserve"> </v>
      </c>
      <c r="AL81" s="444" t="str">
        <f t="shared" si="44"/>
        <v xml:space="preserve"> </v>
      </c>
      <c r="AM81" s="444" t="str">
        <f t="shared" si="45"/>
        <v xml:space="preserve"> </v>
      </c>
      <c r="AN81" s="119" t="str">
        <f t="shared" si="46"/>
        <v xml:space="preserve"> </v>
      </c>
      <c r="AO81" s="444" t="str">
        <f t="shared" si="47"/>
        <v xml:space="preserve"> </v>
      </c>
      <c r="AP81" s="444" t="str">
        <f t="shared" si="48"/>
        <v xml:space="preserve"> </v>
      </c>
      <c r="AQ81" s="123" t="str">
        <f>IF(A81=" "," ",IF('#orgDung'!AB66=0,0,AO81/'#orgDung'!AB66))</f>
        <v xml:space="preserve"> </v>
      </c>
      <c r="AR81" s="47" t="str">
        <f>IF(A81=" "," ",IF('#orgDung'!AB66=0,0,AP81/'#orgDung'!AB66))</f>
        <v xml:space="preserve"> </v>
      </c>
      <c r="AS81" s="890">
        <f>IF(OR(B81=0,B81=""),0,MAX('Flächen u. Kulturen'!V62,AT81/B81))</f>
        <v>0</v>
      </c>
      <c r="AT81" s="875">
        <f t="shared" si="49"/>
        <v>0</v>
      </c>
      <c r="AU81" s="120" t="str">
        <f t="shared" si="50"/>
        <v xml:space="preserve"> </v>
      </c>
    </row>
    <row r="82" spans="1:47" s="875" customFormat="1" x14ac:dyDescent="0.2">
      <c r="A82" s="447" t="str">
        <f>IF('Flächen u. Kulturen'!E63="x",IF(AND('#Kürzungen'!$F$2=2,'#BerechnungDBE'!R58=1,'Flächen u. Kulturen'!D63&lt;&gt;""),'Flächen u. Kulturen'!A63,IF(AND('#BerechnungDBE'!S58=1,'Flächen u. Kulturen'!D63&lt;&gt;""),'Flächen u. Kulturen'!A63," "))," ")</f>
        <v xml:space="preserve"> </v>
      </c>
      <c r="B82" s="505" t="str">
        <f>'Flächen u. Kulturen'!D63</f>
        <v/>
      </c>
      <c r="C82" s="42" t="str">
        <f>IF(A82=" "," ",'#BerechnungDBE'!AA58)</f>
        <v xml:space="preserve"> </v>
      </c>
      <c r="D82" s="42" t="str">
        <f>IF(A82=" "," ",'#BerechnungDBE'!BA58)</f>
        <v xml:space="preserve"> </v>
      </c>
      <c r="E82" s="42" t="str">
        <f t="shared" si="36"/>
        <v xml:space="preserve"> </v>
      </c>
      <c r="F82" s="869"/>
      <c r="G82" s="42" t="str">
        <f>IF(A82=" ","",'#BerechnungDBE'!BA58+'#BerechnungDBE'!BF58)</f>
        <v/>
      </c>
      <c r="H82" s="444" t="str">
        <f t="shared" si="12"/>
        <v/>
      </c>
      <c r="I82" s="444">
        <f>'#minDung'!P64</f>
        <v>0</v>
      </c>
      <c r="J82" s="430" t="str">
        <f t="shared" si="34"/>
        <v xml:space="preserve"> </v>
      </c>
      <c r="K82" s="913">
        <f>IF(A82=" ",0,'Flächen u. Kulturen'!V63)</f>
        <v>0</v>
      </c>
      <c r="L82" s="883" t="str">
        <f t="shared" si="37"/>
        <v/>
      </c>
      <c r="M82" s="879" t="str">
        <f t="shared" si="38"/>
        <v xml:space="preserve"> </v>
      </c>
      <c r="N82" s="444" t="str">
        <f t="shared" si="14"/>
        <v xml:space="preserve"> </v>
      </c>
      <c r="O82" s="911" t="str">
        <f t="shared" si="15"/>
        <v xml:space="preserve"> </v>
      </c>
      <c r="P82" s="912" t="str">
        <f t="shared" si="16"/>
        <v xml:space="preserve"> </v>
      </c>
      <c r="Q82" s="912" t="str">
        <f t="shared" si="17"/>
        <v xml:space="preserve"> </v>
      </c>
      <c r="R82" s="444" t="str">
        <f t="shared" si="39"/>
        <v/>
      </c>
      <c r="S82" s="444" t="str">
        <f t="shared" si="18"/>
        <v/>
      </c>
      <c r="T82" s="444" t="str">
        <f t="shared" si="40"/>
        <v xml:space="preserve"> </v>
      </c>
      <c r="U82" s="119" t="str">
        <f t="shared" si="19"/>
        <v xml:space="preserve"> </v>
      </c>
      <c r="V82" s="444" t="str">
        <f t="shared" si="33"/>
        <v xml:space="preserve"> </v>
      </c>
      <c r="W82" s="909" t="str">
        <f t="shared" si="20"/>
        <v xml:space="preserve"> </v>
      </c>
      <c r="X82" s="924" t="str">
        <f t="shared" si="21"/>
        <v xml:space="preserve"> </v>
      </c>
      <c r="Y82" s="444" t="str">
        <f t="shared" si="41"/>
        <v xml:space="preserve"> </v>
      </c>
      <c r="Z82" s="444" t="str">
        <f t="shared" si="22"/>
        <v xml:space="preserve"> </v>
      </c>
      <c r="AA82" s="444" t="str">
        <f t="shared" si="23"/>
        <v xml:space="preserve"> </v>
      </c>
      <c r="AB82" s="912" t="str">
        <f t="shared" si="24"/>
        <v xml:space="preserve"> </v>
      </c>
      <c r="AC82" s="912" t="str">
        <f t="shared" si="25"/>
        <v xml:space="preserve"> </v>
      </c>
      <c r="AD82" s="444" t="str">
        <f t="shared" si="26"/>
        <v xml:space="preserve"> </v>
      </c>
      <c r="AE82" s="444" t="str">
        <f t="shared" si="27"/>
        <v/>
      </c>
      <c r="AF82" s="444" t="str">
        <f t="shared" si="42"/>
        <v xml:space="preserve"> </v>
      </c>
      <c r="AG82" s="119" t="str">
        <f t="shared" si="29"/>
        <v xml:space="preserve"> </v>
      </c>
      <c r="AH82" s="444" t="str">
        <f t="shared" si="30"/>
        <v xml:space="preserve"> </v>
      </c>
      <c r="AI82" s="909" t="str">
        <f t="shared" si="31"/>
        <v xml:space="preserve"> </v>
      </c>
      <c r="AJ82" s="879" t="str">
        <f t="shared" si="35"/>
        <v xml:space="preserve"> </v>
      </c>
      <c r="AK82" s="444" t="str">
        <f t="shared" si="43"/>
        <v xml:space="preserve"> </v>
      </c>
      <c r="AL82" s="444" t="str">
        <f t="shared" si="44"/>
        <v xml:space="preserve"> </v>
      </c>
      <c r="AM82" s="444" t="str">
        <f t="shared" si="45"/>
        <v xml:space="preserve"> </v>
      </c>
      <c r="AN82" s="119" t="str">
        <f t="shared" si="46"/>
        <v xml:space="preserve"> </v>
      </c>
      <c r="AO82" s="444" t="str">
        <f t="shared" si="47"/>
        <v xml:space="preserve"> </v>
      </c>
      <c r="AP82" s="444" t="str">
        <f t="shared" si="48"/>
        <v xml:space="preserve"> </v>
      </c>
      <c r="AQ82" s="123" t="str">
        <f>IF(A82=" "," ",IF('#orgDung'!AB67=0,0,AO82/'#orgDung'!AB67))</f>
        <v xml:space="preserve"> </v>
      </c>
      <c r="AR82" s="47" t="str">
        <f>IF(A82=" "," ",IF('#orgDung'!AB67=0,0,AP82/'#orgDung'!AB67))</f>
        <v xml:space="preserve"> </v>
      </c>
      <c r="AS82" s="890">
        <f>IF(OR(B82=0,B82=""),0,MAX('Flächen u. Kulturen'!V63,AT82/B82))</f>
        <v>0</v>
      </c>
      <c r="AT82" s="875">
        <f t="shared" si="49"/>
        <v>0</v>
      </c>
      <c r="AU82" s="120" t="str">
        <f t="shared" si="50"/>
        <v xml:space="preserve"> </v>
      </c>
    </row>
    <row r="83" spans="1:47" s="875" customFormat="1" x14ac:dyDescent="0.2">
      <c r="A83" s="447" t="str">
        <f>IF('Flächen u. Kulturen'!E64="x",IF(AND('#Kürzungen'!$F$2=2,'#BerechnungDBE'!R59=1,'Flächen u. Kulturen'!D64&lt;&gt;""),'Flächen u. Kulturen'!A64,IF(AND('#BerechnungDBE'!S59=1,'Flächen u. Kulturen'!D64&lt;&gt;""),'Flächen u. Kulturen'!A64," "))," ")</f>
        <v xml:space="preserve"> </v>
      </c>
      <c r="B83" s="505" t="str">
        <f>'Flächen u. Kulturen'!D64</f>
        <v/>
      </c>
      <c r="C83" s="42" t="str">
        <f>IF(A83=" "," ",'#BerechnungDBE'!AA59)</f>
        <v xml:space="preserve"> </v>
      </c>
      <c r="D83" s="42" t="str">
        <f>IF(A83=" "," ",'#BerechnungDBE'!BA59)</f>
        <v xml:space="preserve"> </v>
      </c>
      <c r="E83" s="42" t="str">
        <f t="shared" si="36"/>
        <v xml:space="preserve"> </v>
      </c>
      <c r="F83" s="869"/>
      <c r="G83" s="42" t="str">
        <f>IF(A83=" ","",'#BerechnungDBE'!BA59+'#BerechnungDBE'!BF59)</f>
        <v/>
      </c>
      <c r="H83" s="444" t="str">
        <f t="shared" si="12"/>
        <v/>
      </c>
      <c r="I83" s="444">
        <f>'#minDung'!P65</f>
        <v>0</v>
      </c>
      <c r="J83" s="430" t="str">
        <f t="shared" si="34"/>
        <v xml:space="preserve"> </v>
      </c>
      <c r="K83" s="913">
        <f>IF(A83=" ",0,'Flächen u. Kulturen'!V64)</f>
        <v>0</v>
      </c>
      <c r="L83" s="883" t="str">
        <f t="shared" si="37"/>
        <v/>
      </c>
      <c r="M83" s="879" t="str">
        <f t="shared" si="38"/>
        <v xml:space="preserve"> </v>
      </c>
      <c r="N83" s="444" t="str">
        <f t="shared" si="14"/>
        <v xml:space="preserve"> </v>
      </c>
      <c r="O83" s="911" t="str">
        <f t="shared" si="15"/>
        <v xml:space="preserve"> </v>
      </c>
      <c r="P83" s="912" t="str">
        <f t="shared" si="16"/>
        <v xml:space="preserve"> </v>
      </c>
      <c r="Q83" s="912" t="str">
        <f t="shared" si="17"/>
        <v xml:space="preserve"> </v>
      </c>
      <c r="R83" s="444" t="str">
        <f t="shared" si="39"/>
        <v/>
      </c>
      <c r="S83" s="444" t="str">
        <f t="shared" si="18"/>
        <v/>
      </c>
      <c r="T83" s="444" t="str">
        <f t="shared" si="40"/>
        <v xml:space="preserve"> </v>
      </c>
      <c r="U83" s="119" t="str">
        <f t="shared" si="19"/>
        <v xml:space="preserve"> </v>
      </c>
      <c r="V83" s="444" t="str">
        <f t="shared" si="33"/>
        <v xml:space="preserve"> </v>
      </c>
      <c r="W83" s="909" t="str">
        <f t="shared" si="20"/>
        <v xml:space="preserve"> </v>
      </c>
      <c r="X83" s="924" t="str">
        <f t="shared" si="21"/>
        <v xml:space="preserve"> </v>
      </c>
      <c r="Y83" s="444" t="str">
        <f t="shared" si="41"/>
        <v xml:space="preserve"> </v>
      </c>
      <c r="Z83" s="444" t="str">
        <f t="shared" si="22"/>
        <v xml:space="preserve"> </v>
      </c>
      <c r="AA83" s="444" t="str">
        <f t="shared" si="23"/>
        <v xml:space="preserve"> </v>
      </c>
      <c r="AB83" s="912" t="str">
        <f t="shared" si="24"/>
        <v xml:space="preserve"> </v>
      </c>
      <c r="AC83" s="912" t="str">
        <f t="shared" si="25"/>
        <v xml:space="preserve"> </v>
      </c>
      <c r="AD83" s="444" t="str">
        <f t="shared" si="26"/>
        <v xml:space="preserve"> </v>
      </c>
      <c r="AE83" s="444" t="str">
        <f t="shared" si="27"/>
        <v/>
      </c>
      <c r="AF83" s="444" t="str">
        <f t="shared" si="42"/>
        <v xml:space="preserve"> </v>
      </c>
      <c r="AG83" s="119" t="str">
        <f t="shared" si="29"/>
        <v xml:space="preserve"> </v>
      </c>
      <c r="AH83" s="444" t="str">
        <f t="shared" si="30"/>
        <v xml:space="preserve"> </v>
      </c>
      <c r="AI83" s="909" t="str">
        <f t="shared" si="31"/>
        <v xml:space="preserve"> </v>
      </c>
      <c r="AJ83" s="879" t="str">
        <f t="shared" si="35"/>
        <v xml:space="preserve"> </v>
      </c>
      <c r="AK83" s="444" t="str">
        <f t="shared" si="43"/>
        <v xml:space="preserve"> </v>
      </c>
      <c r="AL83" s="444" t="str">
        <f t="shared" si="44"/>
        <v xml:space="preserve"> </v>
      </c>
      <c r="AM83" s="444" t="str">
        <f t="shared" si="45"/>
        <v xml:space="preserve"> </v>
      </c>
      <c r="AN83" s="119" t="str">
        <f t="shared" si="46"/>
        <v xml:space="preserve"> </v>
      </c>
      <c r="AO83" s="444" t="str">
        <f t="shared" si="47"/>
        <v xml:space="preserve"> </v>
      </c>
      <c r="AP83" s="444" t="str">
        <f t="shared" si="48"/>
        <v xml:space="preserve"> </v>
      </c>
      <c r="AQ83" s="123" t="str">
        <f>IF(A83=" "," ",IF('#orgDung'!AB68=0,0,AO83/'#orgDung'!AB68))</f>
        <v xml:space="preserve"> </v>
      </c>
      <c r="AR83" s="47" t="str">
        <f>IF(A83=" "," ",IF('#orgDung'!AB68=0,0,AP83/'#orgDung'!AB68))</f>
        <v xml:space="preserve"> </v>
      </c>
      <c r="AS83" s="890">
        <f>IF(OR(B83=0,B83=""),0,MAX('Flächen u. Kulturen'!V64,AT83/B83))</f>
        <v>0</v>
      </c>
      <c r="AT83" s="875">
        <f t="shared" si="49"/>
        <v>0</v>
      </c>
      <c r="AU83" s="120" t="str">
        <f t="shared" si="50"/>
        <v xml:space="preserve"> </v>
      </c>
    </row>
    <row r="84" spans="1:47" s="875" customFormat="1" x14ac:dyDescent="0.2">
      <c r="A84" s="447" t="str">
        <f>IF('Flächen u. Kulturen'!E65="x",IF(AND('#Kürzungen'!$F$2=2,'#BerechnungDBE'!R60=1,'Flächen u. Kulturen'!D65&lt;&gt;""),'Flächen u. Kulturen'!A65,IF(AND('#BerechnungDBE'!S60=1,'Flächen u. Kulturen'!D65&lt;&gt;""),'Flächen u. Kulturen'!A65," "))," ")</f>
        <v xml:space="preserve"> </v>
      </c>
      <c r="B84" s="505" t="str">
        <f>'Flächen u. Kulturen'!D65</f>
        <v/>
      </c>
      <c r="C84" s="42" t="str">
        <f>IF(A84=" "," ",'#BerechnungDBE'!AA60)</f>
        <v xml:space="preserve"> </v>
      </c>
      <c r="D84" s="42" t="str">
        <f>IF(A84=" "," ",'#BerechnungDBE'!BA60)</f>
        <v xml:space="preserve"> </v>
      </c>
      <c r="E84" s="42" t="str">
        <f t="shared" si="36"/>
        <v xml:space="preserve"> </v>
      </c>
      <c r="F84" s="869"/>
      <c r="G84" s="42" t="str">
        <f>IF(A84=" ","",'#BerechnungDBE'!BA60+'#BerechnungDBE'!BF60)</f>
        <v/>
      </c>
      <c r="H84" s="444" t="str">
        <f t="shared" si="12"/>
        <v/>
      </c>
      <c r="I84" s="444">
        <f>'#minDung'!P66</f>
        <v>0</v>
      </c>
      <c r="J84" s="430" t="str">
        <f t="shared" si="34"/>
        <v xml:space="preserve"> </v>
      </c>
      <c r="K84" s="913">
        <f>IF(A84=" ",0,'Flächen u. Kulturen'!V65)</f>
        <v>0</v>
      </c>
      <c r="L84" s="883" t="str">
        <f t="shared" si="37"/>
        <v/>
      </c>
      <c r="M84" s="879" t="str">
        <f t="shared" si="38"/>
        <v xml:space="preserve"> </v>
      </c>
      <c r="N84" s="444" t="str">
        <f t="shared" si="14"/>
        <v xml:space="preserve"> </v>
      </c>
      <c r="O84" s="911" t="str">
        <f t="shared" si="15"/>
        <v xml:space="preserve"> </v>
      </c>
      <c r="P84" s="912" t="str">
        <f t="shared" si="16"/>
        <v xml:space="preserve"> </v>
      </c>
      <c r="Q84" s="912" t="str">
        <f t="shared" si="17"/>
        <v xml:space="preserve"> </v>
      </c>
      <c r="R84" s="444" t="str">
        <f t="shared" si="39"/>
        <v/>
      </c>
      <c r="S84" s="444" t="str">
        <f t="shared" si="18"/>
        <v/>
      </c>
      <c r="T84" s="444" t="str">
        <f t="shared" si="40"/>
        <v xml:space="preserve"> </v>
      </c>
      <c r="U84" s="119" t="str">
        <f t="shared" si="19"/>
        <v xml:space="preserve"> </v>
      </c>
      <c r="V84" s="444" t="str">
        <f t="shared" si="33"/>
        <v xml:space="preserve"> </v>
      </c>
      <c r="W84" s="909" t="str">
        <f t="shared" si="20"/>
        <v xml:space="preserve"> </v>
      </c>
      <c r="X84" s="924" t="str">
        <f t="shared" si="21"/>
        <v xml:space="preserve"> </v>
      </c>
      <c r="Y84" s="444" t="str">
        <f t="shared" si="41"/>
        <v xml:space="preserve"> </v>
      </c>
      <c r="Z84" s="444" t="str">
        <f t="shared" si="22"/>
        <v xml:space="preserve"> </v>
      </c>
      <c r="AA84" s="444" t="str">
        <f t="shared" si="23"/>
        <v xml:space="preserve"> </v>
      </c>
      <c r="AB84" s="912" t="str">
        <f t="shared" si="24"/>
        <v xml:space="preserve"> </v>
      </c>
      <c r="AC84" s="912" t="str">
        <f t="shared" si="25"/>
        <v xml:space="preserve"> </v>
      </c>
      <c r="AD84" s="444" t="str">
        <f t="shared" si="26"/>
        <v xml:space="preserve"> </v>
      </c>
      <c r="AE84" s="444" t="str">
        <f t="shared" si="27"/>
        <v/>
      </c>
      <c r="AF84" s="444" t="str">
        <f t="shared" si="42"/>
        <v xml:space="preserve"> </v>
      </c>
      <c r="AG84" s="119" t="str">
        <f t="shared" si="29"/>
        <v xml:space="preserve"> </v>
      </c>
      <c r="AH84" s="444" t="str">
        <f t="shared" si="30"/>
        <v xml:space="preserve"> </v>
      </c>
      <c r="AI84" s="909" t="str">
        <f t="shared" si="31"/>
        <v xml:space="preserve"> </v>
      </c>
      <c r="AJ84" s="879" t="str">
        <f t="shared" si="35"/>
        <v xml:space="preserve"> </v>
      </c>
      <c r="AK84" s="444" t="str">
        <f t="shared" si="43"/>
        <v xml:space="preserve"> </v>
      </c>
      <c r="AL84" s="444" t="str">
        <f t="shared" si="44"/>
        <v xml:space="preserve"> </v>
      </c>
      <c r="AM84" s="444" t="str">
        <f t="shared" si="45"/>
        <v xml:space="preserve"> </v>
      </c>
      <c r="AN84" s="119" t="str">
        <f t="shared" si="46"/>
        <v xml:space="preserve"> </v>
      </c>
      <c r="AO84" s="444" t="str">
        <f t="shared" si="47"/>
        <v xml:space="preserve"> </v>
      </c>
      <c r="AP84" s="444" t="str">
        <f t="shared" si="48"/>
        <v xml:space="preserve"> </v>
      </c>
      <c r="AQ84" s="123" t="str">
        <f>IF(A84=" "," ",IF('#orgDung'!AB69=0,0,AO84/'#orgDung'!AB69))</f>
        <v xml:space="preserve"> </v>
      </c>
      <c r="AR84" s="47" t="str">
        <f>IF(A84=" "," ",IF('#orgDung'!AB69=0,0,AP84/'#orgDung'!AB69))</f>
        <v xml:space="preserve"> </v>
      </c>
      <c r="AS84" s="890">
        <f>IF(OR(B84=0,B84=""),0,MAX('Flächen u. Kulturen'!V65,AT84/B84))</f>
        <v>0</v>
      </c>
      <c r="AT84" s="875">
        <f t="shared" si="49"/>
        <v>0</v>
      </c>
      <c r="AU84" s="120" t="str">
        <f t="shared" si="50"/>
        <v xml:space="preserve"> </v>
      </c>
    </row>
    <row r="85" spans="1:47" s="875" customFormat="1" x14ac:dyDescent="0.2">
      <c r="A85" s="447" t="str">
        <f>IF('Flächen u. Kulturen'!E66="x",IF(AND('#Kürzungen'!$F$2=2,'#BerechnungDBE'!R61=1,'Flächen u. Kulturen'!D66&lt;&gt;""),'Flächen u. Kulturen'!A66,IF(AND('#BerechnungDBE'!S61=1,'Flächen u. Kulturen'!D66&lt;&gt;""),'Flächen u. Kulturen'!A66," "))," ")</f>
        <v xml:space="preserve"> </v>
      </c>
      <c r="B85" s="505" t="str">
        <f>'Flächen u. Kulturen'!D66</f>
        <v/>
      </c>
      <c r="C85" s="42" t="str">
        <f>IF(A85=" "," ",'#BerechnungDBE'!AA61)</f>
        <v xml:space="preserve"> </v>
      </c>
      <c r="D85" s="42" t="str">
        <f>IF(A85=" "," ",'#BerechnungDBE'!BA61)</f>
        <v xml:space="preserve"> </v>
      </c>
      <c r="E85" s="42" t="str">
        <f t="shared" si="36"/>
        <v xml:space="preserve"> </v>
      </c>
      <c r="F85" s="869"/>
      <c r="G85" s="42" t="str">
        <f>IF(A85=" ","",'#BerechnungDBE'!BA61+'#BerechnungDBE'!BF61)</f>
        <v/>
      </c>
      <c r="H85" s="444" t="str">
        <f t="shared" si="12"/>
        <v/>
      </c>
      <c r="I85" s="444">
        <f>'#minDung'!P67</f>
        <v>0</v>
      </c>
      <c r="J85" s="430" t="str">
        <f t="shared" si="34"/>
        <v xml:space="preserve"> </v>
      </c>
      <c r="K85" s="913">
        <f>IF(A85=" ",0,'Flächen u. Kulturen'!V66)</f>
        <v>0</v>
      </c>
      <c r="L85" s="883" t="str">
        <f t="shared" si="37"/>
        <v/>
      </c>
      <c r="M85" s="879" t="str">
        <f t="shared" si="38"/>
        <v xml:space="preserve"> </v>
      </c>
      <c r="N85" s="444" t="str">
        <f t="shared" si="14"/>
        <v xml:space="preserve"> </v>
      </c>
      <c r="O85" s="911" t="str">
        <f t="shared" si="15"/>
        <v xml:space="preserve"> </v>
      </c>
      <c r="P85" s="912" t="str">
        <f t="shared" si="16"/>
        <v xml:space="preserve"> </v>
      </c>
      <c r="Q85" s="912" t="str">
        <f t="shared" si="17"/>
        <v xml:space="preserve"> </v>
      </c>
      <c r="R85" s="444" t="str">
        <f t="shared" si="39"/>
        <v/>
      </c>
      <c r="S85" s="444" t="str">
        <f t="shared" si="18"/>
        <v/>
      </c>
      <c r="T85" s="444" t="str">
        <f t="shared" si="40"/>
        <v xml:space="preserve"> </v>
      </c>
      <c r="U85" s="119" t="str">
        <f t="shared" si="19"/>
        <v xml:space="preserve"> </v>
      </c>
      <c r="V85" s="444" t="str">
        <f t="shared" si="33"/>
        <v xml:space="preserve"> </v>
      </c>
      <c r="W85" s="909" t="str">
        <f t="shared" si="20"/>
        <v xml:space="preserve"> </v>
      </c>
      <c r="X85" s="924" t="str">
        <f t="shared" si="21"/>
        <v xml:space="preserve"> </v>
      </c>
      <c r="Y85" s="444" t="str">
        <f t="shared" si="41"/>
        <v xml:space="preserve"> </v>
      </c>
      <c r="Z85" s="444" t="str">
        <f t="shared" si="22"/>
        <v xml:space="preserve"> </v>
      </c>
      <c r="AA85" s="444" t="str">
        <f t="shared" si="23"/>
        <v xml:space="preserve"> </v>
      </c>
      <c r="AB85" s="912" t="str">
        <f t="shared" si="24"/>
        <v xml:space="preserve"> </v>
      </c>
      <c r="AC85" s="912" t="str">
        <f t="shared" si="25"/>
        <v xml:space="preserve"> </v>
      </c>
      <c r="AD85" s="444" t="str">
        <f t="shared" si="26"/>
        <v xml:space="preserve"> </v>
      </c>
      <c r="AE85" s="444" t="str">
        <f t="shared" si="27"/>
        <v/>
      </c>
      <c r="AF85" s="444" t="str">
        <f t="shared" si="42"/>
        <v xml:space="preserve"> </v>
      </c>
      <c r="AG85" s="119" t="str">
        <f t="shared" si="29"/>
        <v xml:space="preserve"> </v>
      </c>
      <c r="AH85" s="444" t="str">
        <f t="shared" si="30"/>
        <v xml:space="preserve"> </v>
      </c>
      <c r="AI85" s="909" t="str">
        <f t="shared" si="31"/>
        <v xml:space="preserve"> </v>
      </c>
      <c r="AJ85" s="879" t="str">
        <f t="shared" si="35"/>
        <v xml:space="preserve"> </v>
      </c>
      <c r="AK85" s="444" t="str">
        <f t="shared" si="43"/>
        <v xml:space="preserve"> </v>
      </c>
      <c r="AL85" s="444" t="str">
        <f t="shared" si="44"/>
        <v xml:space="preserve"> </v>
      </c>
      <c r="AM85" s="444" t="str">
        <f t="shared" si="45"/>
        <v xml:space="preserve"> </v>
      </c>
      <c r="AN85" s="119" t="str">
        <f t="shared" si="46"/>
        <v xml:space="preserve"> </v>
      </c>
      <c r="AO85" s="444" t="str">
        <f t="shared" si="47"/>
        <v xml:space="preserve"> </v>
      </c>
      <c r="AP85" s="444" t="str">
        <f t="shared" si="48"/>
        <v xml:space="preserve"> </v>
      </c>
      <c r="AQ85" s="123" t="str">
        <f>IF(A85=" "," ",IF('#orgDung'!AB70=0,0,AO85/'#orgDung'!AB70))</f>
        <v xml:space="preserve"> </v>
      </c>
      <c r="AR85" s="47" t="str">
        <f>IF(A85=" "," ",IF('#orgDung'!AB70=0,0,AP85/'#orgDung'!AB70))</f>
        <v xml:space="preserve"> </v>
      </c>
      <c r="AS85" s="890">
        <f>IF(OR(B85=0,B85=""),0,MAX('Flächen u. Kulturen'!V66,AT85/B85))</f>
        <v>0</v>
      </c>
      <c r="AT85" s="875">
        <f t="shared" si="49"/>
        <v>0</v>
      </c>
      <c r="AU85" s="120" t="str">
        <f t="shared" si="50"/>
        <v xml:space="preserve"> </v>
      </c>
    </row>
    <row r="86" spans="1:47" s="875" customFormat="1" x14ac:dyDescent="0.2">
      <c r="A86" s="447" t="str">
        <f>IF('Flächen u. Kulturen'!E67="x",IF(AND('#Kürzungen'!$F$2=2,'#BerechnungDBE'!R62=1,'Flächen u. Kulturen'!D67&lt;&gt;""),'Flächen u. Kulturen'!A67,IF(AND('#BerechnungDBE'!S62=1,'Flächen u. Kulturen'!D67&lt;&gt;""),'Flächen u. Kulturen'!A67," "))," ")</f>
        <v xml:space="preserve"> </v>
      </c>
      <c r="B86" s="505" t="str">
        <f>'Flächen u. Kulturen'!D67</f>
        <v/>
      </c>
      <c r="C86" s="42" t="str">
        <f>IF(A86=" "," ",'#BerechnungDBE'!AA62)</f>
        <v xml:space="preserve"> </v>
      </c>
      <c r="D86" s="42" t="str">
        <f>IF(A86=" "," ",'#BerechnungDBE'!BA62)</f>
        <v xml:space="preserve"> </v>
      </c>
      <c r="E86" s="42" t="str">
        <f t="shared" si="36"/>
        <v xml:space="preserve"> </v>
      </c>
      <c r="F86" s="869"/>
      <c r="G86" s="42" t="str">
        <f>IF(A86=" ","",'#BerechnungDBE'!BA62+'#BerechnungDBE'!BF62)</f>
        <v/>
      </c>
      <c r="H86" s="444" t="str">
        <f t="shared" si="12"/>
        <v/>
      </c>
      <c r="I86" s="444">
        <f>'#minDung'!P68</f>
        <v>0</v>
      </c>
      <c r="J86" s="430" t="str">
        <f t="shared" si="34"/>
        <v xml:space="preserve"> </v>
      </c>
      <c r="K86" s="913">
        <f>IF(A86=" ",0,'Flächen u. Kulturen'!V67)</f>
        <v>0</v>
      </c>
      <c r="L86" s="883" t="str">
        <f t="shared" si="37"/>
        <v/>
      </c>
      <c r="M86" s="879" t="str">
        <f t="shared" si="38"/>
        <v xml:space="preserve"> </v>
      </c>
      <c r="N86" s="444" t="str">
        <f t="shared" si="14"/>
        <v xml:space="preserve"> </v>
      </c>
      <c r="O86" s="911" t="str">
        <f t="shared" si="15"/>
        <v xml:space="preserve"> </v>
      </c>
      <c r="P86" s="912" t="str">
        <f t="shared" si="16"/>
        <v xml:space="preserve"> </v>
      </c>
      <c r="Q86" s="912" t="str">
        <f t="shared" si="17"/>
        <v xml:space="preserve"> </v>
      </c>
      <c r="R86" s="444" t="str">
        <f t="shared" si="39"/>
        <v/>
      </c>
      <c r="S86" s="444" t="str">
        <f t="shared" si="18"/>
        <v/>
      </c>
      <c r="T86" s="444" t="str">
        <f t="shared" si="40"/>
        <v xml:space="preserve"> </v>
      </c>
      <c r="U86" s="119" t="str">
        <f t="shared" si="19"/>
        <v xml:space="preserve"> </v>
      </c>
      <c r="V86" s="444" t="str">
        <f t="shared" si="33"/>
        <v xml:space="preserve"> </v>
      </c>
      <c r="W86" s="909" t="str">
        <f t="shared" si="20"/>
        <v xml:space="preserve"> </v>
      </c>
      <c r="X86" s="924" t="str">
        <f t="shared" si="21"/>
        <v xml:space="preserve"> </v>
      </c>
      <c r="Y86" s="444" t="str">
        <f t="shared" si="41"/>
        <v xml:space="preserve"> </v>
      </c>
      <c r="Z86" s="444" t="str">
        <f t="shared" si="22"/>
        <v xml:space="preserve"> </v>
      </c>
      <c r="AA86" s="444" t="str">
        <f t="shared" si="23"/>
        <v xml:space="preserve"> </v>
      </c>
      <c r="AB86" s="912" t="str">
        <f t="shared" si="24"/>
        <v xml:space="preserve"> </v>
      </c>
      <c r="AC86" s="912" t="str">
        <f t="shared" si="25"/>
        <v xml:space="preserve"> </v>
      </c>
      <c r="AD86" s="444" t="str">
        <f t="shared" si="26"/>
        <v xml:space="preserve"> </v>
      </c>
      <c r="AE86" s="444" t="str">
        <f t="shared" si="27"/>
        <v/>
      </c>
      <c r="AF86" s="444" t="str">
        <f t="shared" si="42"/>
        <v xml:space="preserve"> </v>
      </c>
      <c r="AG86" s="119" t="str">
        <f t="shared" si="29"/>
        <v xml:space="preserve"> </v>
      </c>
      <c r="AH86" s="444" t="str">
        <f t="shared" si="30"/>
        <v xml:space="preserve"> </v>
      </c>
      <c r="AI86" s="909" t="str">
        <f t="shared" si="31"/>
        <v xml:space="preserve"> </v>
      </c>
      <c r="AJ86" s="879" t="str">
        <f t="shared" si="35"/>
        <v xml:space="preserve"> </v>
      </c>
      <c r="AK86" s="444" t="str">
        <f t="shared" si="43"/>
        <v xml:space="preserve"> </v>
      </c>
      <c r="AL86" s="444" t="str">
        <f t="shared" si="44"/>
        <v xml:space="preserve"> </v>
      </c>
      <c r="AM86" s="444" t="str">
        <f t="shared" si="45"/>
        <v xml:space="preserve"> </v>
      </c>
      <c r="AN86" s="119" t="str">
        <f t="shared" si="46"/>
        <v xml:space="preserve"> </v>
      </c>
      <c r="AO86" s="444" t="str">
        <f t="shared" si="47"/>
        <v xml:space="preserve"> </v>
      </c>
      <c r="AP86" s="444" t="str">
        <f t="shared" si="48"/>
        <v xml:space="preserve"> </v>
      </c>
      <c r="AQ86" s="123" t="str">
        <f>IF(A86=" "," ",IF('#orgDung'!AB71=0,0,AO86/'#orgDung'!AB71))</f>
        <v xml:space="preserve"> </v>
      </c>
      <c r="AR86" s="47" t="str">
        <f>IF(A86=" "," ",IF('#orgDung'!AB71=0,0,AP86/'#orgDung'!AB71))</f>
        <v xml:space="preserve"> </v>
      </c>
      <c r="AS86" s="890">
        <f>IF(OR(B86=0,B86=""),0,MAX('Flächen u. Kulturen'!V67,AT86/B86))</f>
        <v>0</v>
      </c>
      <c r="AT86" s="875">
        <f t="shared" si="49"/>
        <v>0</v>
      </c>
      <c r="AU86" s="120" t="str">
        <f t="shared" si="50"/>
        <v xml:space="preserve"> </v>
      </c>
    </row>
    <row r="87" spans="1:47" s="875" customFormat="1" x14ac:dyDescent="0.2">
      <c r="A87" s="447" t="str">
        <f>IF('Flächen u. Kulturen'!E68="x",IF(AND('#Kürzungen'!$F$2=2,'#BerechnungDBE'!R63=1,'Flächen u. Kulturen'!D68&lt;&gt;""),'Flächen u. Kulturen'!A68,IF(AND('#BerechnungDBE'!S63=1,'Flächen u. Kulturen'!D68&lt;&gt;""),'Flächen u. Kulturen'!A68," "))," ")</f>
        <v xml:space="preserve"> </v>
      </c>
      <c r="B87" s="505" t="str">
        <f>'Flächen u. Kulturen'!D68</f>
        <v/>
      </c>
      <c r="C87" s="42" t="str">
        <f>IF(A87=" "," ",'#BerechnungDBE'!AA63)</f>
        <v xml:space="preserve"> </v>
      </c>
      <c r="D87" s="42" t="str">
        <f>IF(A87=" "," ",'#BerechnungDBE'!BA63)</f>
        <v xml:space="preserve"> </v>
      </c>
      <c r="E87" s="42" t="str">
        <f t="shared" si="36"/>
        <v xml:space="preserve"> </v>
      </c>
      <c r="F87" s="869"/>
      <c r="G87" s="42" t="str">
        <f>IF(A87=" ","",'#BerechnungDBE'!BA63+'#BerechnungDBE'!BF63)</f>
        <v/>
      </c>
      <c r="H87" s="444" t="str">
        <f t="shared" si="12"/>
        <v/>
      </c>
      <c r="I87" s="444">
        <f>'#minDung'!P69</f>
        <v>0</v>
      </c>
      <c r="J87" s="430" t="str">
        <f t="shared" si="34"/>
        <v xml:space="preserve"> </v>
      </c>
      <c r="K87" s="913">
        <f>IF(A87=" ",0,'Flächen u. Kulturen'!V68)</f>
        <v>0</v>
      </c>
      <c r="L87" s="883" t="str">
        <f t="shared" si="37"/>
        <v/>
      </c>
      <c r="M87" s="879" t="str">
        <f t="shared" si="38"/>
        <v xml:space="preserve"> </v>
      </c>
      <c r="N87" s="444" t="str">
        <f t="shared" si="14"/>
        <v xml:space="preserve"> </v>
      </c>
      <c r="O87" s="911" t="str">
        <f t="shared" si="15"/>
        <v xml:space="preserve"> </v>
      </c>
      <c r="P87" s="912" t="str">
        <f t="shared" si="16"/>
        <v xml:space="preserve"> </v>
      </c>
      <c r="Q87" s="912" t="str">
        <f t="shared" si="17"/>
        <v xml:space="preserve"> </v>
      </c>
      <c r="R87" s="444" t="str">
        <f t="shared" si="39"/>
        <v/>
      </c>
      <c r="S87" s="444" t="str">
        <f t="shared" si="18"/>
        <v/>
      </c>
      <c r="T87" s="444" t="str">
        <f t="shared" si="40"/>
        <v xml:space="preserve"> </v>
      </c>
      <c r="U87" s="119" t="str">
        <f t="shared" si="19"/>
        <v xml:space="preserve"> </v>
      </c>
      <c r="V87" s="444" t="str">
        <f t="shared" si="33"/>
        <v xml:space="preserve"> </v>
      </c>
      <c r="W87" s="909" t="str">
        <f t="shared" si="20"/>
        <v xml:space="preserve"> </v>
      </c>
      <c r="X87" s="924" t="str">
        <f t="shared" si="21"/>
        <v xml:space="preserve"> </v>
      </c>
      <c r="Y87" s="444" t="str">
        <f t="shared" si="41"/>
        <v xml:space="preserve"> </v>
      </c>
      <c r="Z87" s="444" t="str">
        <f t="shared" si="22"/>
        <v xml:space="preserve"> </v>
      </c>
      <c r="AA87" s="444" t="str">
        <f t="shared" si="23"/>
        <v xml:space="preserve"> </v>
      </c>
      <c r="AB87" s="912" t="str">
        <f t="shared" si="24"/>
        <v xml:space="preserve"> </v>
      </c>
      <c r="AC87" s="912" t="str">
        <f t="shared" si="25"/>
        <v xml:space="preserve"> </v>
      </c>
      <c r="AD87" s="444" t="str">
        <f t="shared" si="26"/>
        <v xml:space="preserve"> </v>
      </c>
      <c r="AE87" s="444" t="str">
        <f t="shared" si="27"/>
        <v/>
      </c>
      <c r="AF87" s="444" t="str">
        <f t="shared" si="42"/>
        <v xml:space="preserve"> </v>
      </c>
      <c r="AG87" s="119" t="str">
        <f t="shared" si="29"/>
        <v xml:space="preserve"> </v>
      </c>
      <c r="AH87" s="444" t="str">
        <f t="shared" si="30"/>
        <v xml:space="preserve"> </v>
      </c>
      <c r="AI87" s="909" t="str">
        <f t="shared" si="31"/>
        <v xml:space="preserve"> </v>
      </c>
      <c r="AJ87" s="879" t="str">
        <f t="shared" si="35"/>
        <v xml:space="preserve"> </v>
      </c>
      <c r="AK87" s="444" t="str">
        <f t="shared" si="43"/>
        <v xml:space="preserve"> </v>
      </c>
      <c r="AL87" s="444" t="str">
        <f t="shared" si="44"/>
        <v xml:space="preserve"> </v>
      </c>
      <c r="AM87" s="444" t="str">
        <f t="shared" si="45"/>
        <v xml:space="preserve"> </v>
      </c>
      <c r="AN87" s="119" t="str">
        <f t="shared" si="46"/>
        <v xml:space="preserve"> </v>
      </c>
      <c r="AO87" s="444" t="str">
        <f t="shared" si="47"/>
        <v xml:space="preserve"> </v>
      </c>
      <c r="AP87" s="444" t="str">
        <f t="shared" si="48"/>
        <v xml:space="preserve"> </v>
      </c>
      <c r="AQ87" s="123" t="str">
        <f>IF(A87=" "," ",IF('#orgDung'!AB72=0,0,AO87/'#orgDung'!AB72))</f>
        <v xml:space="preserve"> </v>
      </c>
      <c r="AR87" s="47" t="str">
        <f>IF(A87=" "," ",IF('#orgDung'!AB72=0,0,AP87/'#orgDung'!AB72))</f>
        <v xml:space="preserve"> </v>
      </c>
      <c r="AS87" s="890">
        <f>IF(OR(B87=0,B87=""),0,MAX('Flächen u. Kulturen'!V68,AT87/B87))</f>
        <v>0</v>
      </c>
      <c r="AT87" s="875">
        <f t="shared" si="49"/>
        <v>0</v>
      </c>
      <c r="AU87" s="120" t="str">
        <f t="shared" si="50"/>
        <v xml:space="preserve"> </v>
      </c>
    </row>
    <row r="88" spans="1:47" s="875" customFormat="1" x14ac:dyDescent="0.2">
      <c r="A88" s="447" t="str">
        <f>IF('Flächen u. Kulturen'!E69="x",IF(AND('#Kürzungen'!$F$2=2,'#BerechnungDBE'!R64=1,'Flächen u. Kulturen'!D69&lt;&gt;""),'Flächen u. Kulturen'!A69,IF(AND('#BerechnungDBE'!S64=1,'Flächen u. Kulturen'!D69&lt;&gt;""),'Flächen u. Kulturen'!A69," "))," ")</f>
        <v xml:space="preserve"> </v>
      </c>
      <c r="B88" s="505" t="str">
        <f>'Flächen u. Kulturen'!D69</f>
        <v/>
      </c>
      <c r="C88" s="42" t="str">
        <f>IF(A88=" "," ",'#BerechnungDBE'!AA64)</f>
        <v xml:space="preserve"> </v>
      </c>
      <c r="D88" s="42" t="str">
        <f>IF(A88=" "," ",'#BerechnungDBE'!BA64)</f>
        <v xml:space="preserve"> </v>
      </c>
      <c r="E88" s="42" t="str">
        <f t="shared" si="36"/>
        <v xml:space="preserve"> </v>
      </c>
      <c r="F88" s="869"/>
      <c r="G88" s="42" t="str">
        <f>IF(A88=" ","",'#BerechnungDBE'!BA64+'#BerechnungDBE'!BF64)</f>
        <v/>
      </c>
      <c r="H88" s="444" t="str">
        <f t="shared" si="12"/>
        <v/>
      </c>
      <c r="I88" s="444">
        <f>'#minDung'!P70</f>
        <v>0</v>
      </c>
      <c r="J88" s="430" t="str">
        <f t="shared" si="34"/>
        <v xml:space="preserve"> </v>
      </c>
      <c r="K88" s="913">
        <f>IF(A88=" ",0,'Flächen u. Kulturen'!V69)</f>
        <v>0</v>
      </c>
      <c r="L88" s="883" t="str">
        <f t="shared" si="37"/>
        <v/>
      </c>
      <c r="M88" s="879" t="str">
        <f t="shared" si="38"/>
        <v xml:space="preserve"> </v>
      </c>
      <c r="N88" s="444" t="str">
        <f t="shared" si="14"/>
        <v xml:space="preserve"> </v>
      </c>
      <c r="O88" s="911" t="str">
        <f t="shared" si="15"/>
        <v xml:space="preserve"> </v>
      </c>
      <c r="P88" s="912" t="str">
        <f t="shared" si="16"/>
        <v xml:space="preserve"> </v>
      </c>
      <c r="Q88" s="912" t="str">
        <f t="shared" si="17"/>
        <v xml:space="preserve"> </v>
      </c>
      <c r="R88" s="444" t="str">
        <f t="shared" si="39"/>
        <v/>
      </c>
      <c r="S88" s="444" t="str">
        <f t="shared" si="18"/>
        <v/>
      </c>
      <c r="T88" s="444" t="str">
        <f t="shared" si="40"/>
        <v xml:space="preserve"> </v>
      </c>
      <c r="U88" s="119" t="str">
        <f t="shared" si="19"/>
        <v xml:space="preserve"> </v>
      </c>
      <c r="V88" s="444" t="str">
        <f t="shared" si="33"/>
        <v xml:space="preserve"> </v>
      </c>
      <c r="W88" s="909" t="str">
        <f t="shared" si="20"/>
        <v xml:space="preserve"> </v>
      </c>
      <c r="X88" s="924" t="str">
        <f t="shared" si="21"/>
        <v xml:space="preserve"> </v>
      </c>
      <c r="Y88" s="444" t="str">
        <f t="shared" si="41"/>
        <v xml:space="preserve"> </v>
      </c>
      <c r="Z88" s="444" t="str">
        <f t="shared" si="22"/>
        <v xml:space="preserve"> </v>
      </c>
      <c r="AA88" s="444" t="str">
        <f t="shared" si="23"/>
        <v xml:space="preserve"> </v>
      </c>
      <c r="AB88" s="912" t="str">
        <f t="shared" si="24"/>
        <v xml:space="preserve"> </v>
      </c>
      <c r="AC88" s="912" t="str">
        <f t="shared" si="25"/>
        <v xml:space="preserve"> </v>
      </c>
      <c r="AD88" s="444" t="str">
        <f t="shared" si="26"/>
        <v xml:space="preserve"> </v>
      </c>
      <c r="AE88" s="444" t="str">
        <f t="shared" si="27"/>
        <v/>
      </c>
      <c r="AF88" s="444" t="str">
        <f t="shared" si="42"/>
        <v xml:space="preserve"> </v>
      </c>
      <c r="AG88" s="119" t="str">
        <f t="shared" si="29"/>
        <v xml:space="preserve"> </v>
      </c>
      <c r="AH88" s="444" t="str">
        <f t="shared" si="30"/>
        <v xml:space="preserve"> </v>
      </c>
      <c r="AI88" s="909" t="str">
        <f t="shared" si="31"/>
        <v xml:space="preserve"> </v>
      </c>
      <c r="AJ88" s="879" t="str">
        <f t="shared" si="35"/>
        <v xml:space="preserve"> </v>
      </c>
      <c r="AK88" s="444" t="str">
        <f t="shared" si="43"/>
        <v xml:space="preserve"> </v>
      </c>
      <c r="AL88" s="444" t="str">
        <f t="shared" si="44"/>
        <v xml:space="preserve"> </v>
      </c>
      <c r="AM88" s="444" t="str">
        <f t="shared" si="45"/>
        <v xml:space="preserve"> </v>
      </c>
      <c r="AN88" s="119" t="str">
        <f t="shared" si="46"/>
        <v xml:space="preserve"> </v>
      </c>
      <c r="AO88" s="444" t="str">
        <f t="shared" si="47"/>
        <v xml:space="preserve"> </v>
      </c>
      <c r="AP88" s="444" t="str">
        <f t="shared" si="48"/>
        <v xml:space="preserve"> </v>
      </c>
      <c r="AQ88" s="123" t="str">
        <f>IF(A88=" "," ",IF('#orgDung'!AB73=0,0,AO88/'#orgDung'!AB73))</f>
        <v xml:space="preserve"> </v>
      </c>
      <c r="AR88" s="47" t="str">
        <f>IF(A88=" "," ",IF('#orgDung'!AB73=0,0,AP88/'#orgDung'!AB73))</f>
        <v xml:space="preserve"> </v>
      </c>
      <c r="AS88" s="890">
        <f>IF(OR(B88=0,B88=""),0,MAX('Flächen u. Kulturen'!V69,AT88/B88))</f>
        <v>0</v>
      </c>
      <c r="AT88" s="875">
        <f t="shared" si="49"/>
        <v>0</v>
      </c>
      <c r="AU88" s="120" t="str">
        <f t="shared" si="50"/>
        <v xml:space="preserve"> </v>
      </c>
    </row>
    <row r="89" spans="1:47" s="875" customFormat="1" x14ac:dyDescent="0.2">
      <c r="A89" s="447" t="str">
        <f>IF('Flächen u. Kulturen'!E70="x",IF(AND('#Kürzungen'!$F$2=2,'#BerechnungDBE'!R65=1,'Flächen u. Kulturen'!D70&lt;&gt;""),'Flächen u. Kulturen'!A70,IF(AND('#BerechnungDBE'!S65=1,'Flächen u. Kulturen'!D70&lt;&gt;""),'Flächen u. Kulturen'!A70," "))," ")</f>
        <v xml:space="preserve"> </v>
      </c>
      <c r="B89" s="505" t="str">
        <f>'Flächen u. Kulturen'!D70</f>
        <v/>
      </c>
      <c r="C89" s="42" t="str">
        <f>IF(A89=" "," ",'#BerechnungDBE'!AA65)</f>
        <v xml:space="preserve"> </v>
      </c>
      <c r="D89" s="42" t="str">
        <f>IF(A89=" "," ",'#BerechnungDBE'!BA65)</f>
        <v xml:space="preserve"> </v>
      </c>
      <c r="E89" s="42" t="str">
        <f t="shared" si="36"/>
        <v xml:space="preserve"> </v>
      </c>
      <c r="F89" s="869"/>
      <c r="G89" s="42" t="str">
        <f>IF(A89=" ","",'#BerechnungDBE'!BA65+'#BerechnungDBE'!BF65)</f>
        <v/>
      </c>
      <c r="H89" s="444" t="str">
        <f t="shared" si="12"/>
        <v/>
      </c>
      <c r="I89" s="444">
        <f>'#minDung'!P71</f>
        <v>0</v>
      </c>
      <c r="J89" s="430" t="str">
        <f t="shared" si="34"/>
        <v xml:space="preserve"> </v>
      </c>
      <c r="K89" s="913">
        <f>IF(A89=" ",0,'Flächen u. Kulturen'!V70)</f>
        <v>0</v>
      </c>
      <c r="L89" s="883" t="str">
        <f t="shared" si="37"/>
        <v/>
      </c>
      <c r="M89" s="879" t="str">
        <f t="shared" si="38"/>
        <v xml:space="preserve"> </v>
      </c>
      <c r="N89" s="444" t="str">
        <f t="shared" si="14"/>
        <v xml:space="preserve"> </v>
      </c>
      <c r="O89" s="911" t="str">
        <f t="shared" si="15"/>
        <v xml:space="preserve"> </v>
      </c>
      <c r="P89" s="912" t="str">
        <f t="shared" si="16"/>
        <v xml:space="preserve"> </v>
      </c>
      <c r="Q89" s="912" t="str">
        <f t="shared" si="17"/>
        <v xml:space="preserve"> </v>
      </c>
      <c r="R89" s="444" t="str">
        <f t="shared" si="39"/>
        <v/>
      </c>
      <c r="S89" s="444" t="str">
        <f t="shared" si="18"/>
        <v/>
      </c>
      <c r="T89" s="444" t="str">
        <f t="shared" si="40"/>
        <v xml:space="preserve"> </v>
      </c>
      <c r="U89" s="119" t="str">
        <f t="shared" si="19"/>
        <v xml:space="preserve"> </v>
      </c>
      <c r="V89" s="444" t="str">
        <f t="shared" si="33"/>
        <v xml:space="preserve"> </v>
      </c>
      <c r="W89" s="909" t="str">
        <f t="shared" si="20"/>
        <v xml:space="preserve"> </v>
      </c>
      <c r="X89" s="924" t="str">
        <f t="shared" si="21"/>
        <v xml:space="preserve"> </v>
      </c>
      <c r="Y89" s="444" t="str">
        <f t="shared" si="41"/>
        <v xml:space="preserve"> </v>
      </c>
      <c r="Z89" s="444" t="str">
        <f t="shared" si="22"/>
        <v xml:space="preserve"> </v>
      </c>
      <c r="AA89" s="444" t="str">
        <f t="shared" si="23"/>
        <v xml:space="preserve"> </v>
      </c>
      <c r="AB89" s="912" t="str">
        <f t="shared" si="24"/>
        <v xml:space="preserve"> </v>
      </c>
      <c r="AC89" s="912" t="str">
        <f t="shared" si="25"/>
        <v xml:space="preserve"> </v>
      </c>
      <c r="AD89" s="444" t="str">
        <f t="shared" si="26"/>
        <v xml:space="preserve"> </v>
      </c>
      <c r="AE89" s="444" t="str">
        <f t="shared" si="27"/>
        <v/>
      </c>
      <c r="AF89" s="444" t="str">
        <f t="shared" si="42"/>
        <v xml:space="preserve"> </v>
      </c>
      <c r="AG89" s="119" t="str">
        <f t="shared" si="29"/>
        <v xml:space="preserve"> </v>
      </c>
      <c r="AH89" s="444" t="str">
        <f t="shared" si="30"/>
        <v xml:space="preserve"> </v>
      </c>
      <c r="AI89" s="909" t="str">
        <f t="shared" si="31"/>
        <v xml:space="preserve"> </v>
      </c>
      <c r="AJ89" s="879" t="str">
        <f t="shared" si="35"/>
        <v xml:space="preserve"> </v>
      </c>
      <c r="AK89" s="444" t="str">
        <f t="shared" si="43"/>
        <v xml:space="preserve"> </v>
      </c>
      <c r="AL89" s="444" t="str">
        <f t="shared" si="44"/>
        <v xml:space="preserve"> </v>
      </c>
      <c r="AM89" s="444" t="str">
        <f t="shared" si="45"/>
        <v xml:space="preserve"> </v>
      </c>
      <c r="AN89" s="119" t="str">
        <f t="shared" si="46"/>
        <v xml:space="preserve"> </v>
      </c>
      <c r="AO89" s="444" t="str">
        <f t="shared" si="47"/>
        <v xml:space="preserve"> </v>
      </c>
      <c r="AP89" s="444" t="str">
        <f t="shared" si="48"/>
        <v xml:space="preserve"> </v>
      </c>
      <c r="AQ89" s="123" t="str">
        <f>IF(A89=" "," ",IF('#orgDung'!AB74=0,0,AO89/'#orgDung'!AB74))</f>
        <v xml:space="preserve"> </v>
      </c>
      <c r="AR89" s="47" t="str">
        <f>IF(A89=" "," ",IF('#orgDung'!AB74=0,0,AP89/'#orgDung'!AB74))</f>
        <v xml:space="preserve"> </v>
      </c>
      <c r="AS89" s="890">
        <f>IF(OR(B89=0,B89=""),0,MAX('Flächen u. Kulturen'!V70,AT89/B89))</f>
        <v>0</v>
      </c>
      <c r="AT89" s="875">
        <f t="shared" si="49"/>
        <v>0</v>
      </c>
      <c r="AU89" s="120" t="str">
        <f t="shared" si="50"/>
        <v xml:space="preserve"> </v>
      </c>
    </row>
    <row r="90" spans="1:47" s="875" customFormat="1" x14ac:dyDescent="0.2">
      <c r="A90" s="447" t="str">
        <f>IF('Flächen u. Kulturen'!E71="x",IF(AND('#Kürzungen'!$F$2=2,'#BerechnungDBE'!R66=1,'Flächen u. Kulturen'!D71&lt;&gt;""),'Flächen u. Kulturen'!A71,IF(AND('#BerechnungDBE'!S66=1,'Flächen u. Kulturen'!D71&lt;&gt;""),'Flächen u. Kulturen'!A71," "))," ")</f>
        <v xml:space="preserve"> </v>
      </c>
      <c r="B90" s="505" t="str">
        <f>'Flächen u. Kulturen'!D71</f>
        <v/>
      </c>
      <c r="C90" s="42" t="str">
        <f>IF(A90=" "," ",'#BerechnungDBE'!AA66)</f>
        <v xml:space="preserve"> </v>
      </c>
      <c r="D90" s="42" t="str">
        <f>IF(A90=" "," ",'#BerechnungDBE'!BA66)</f>
        <v xml:space="preserve"> </v>
      </c>
      <c r="E90" s="42" t="str">
        <f t="shared" si="36"/>
        <v xml:space="preserve"> </v>
      </c>
      <c r="F90" s="869"/>
      <c r="G90" s="42" t="str">
        <f>IF(A90=" ","",'#BerechnungDBE'!BA66+'#BerechnungDBE'!BF66)</f>
        <v/>
      </c>
      <c r="H90" s="444" t="str">
        <f t="shared" si="12"/>
        <v/>
      </c>
      <c r="I90" s="444">
        <f>'#minDung'!P72</f>
        <v>0</v>
      </c>
      <c r="J90" s="430" t="str">
        <f t="shared" si="34"/>
        <v xml:space="preserve"> </v>
      </c>
      <c r="K90" s="913">
        <f>IF(A90=" ",0,'Flächen u. Kulturen'!V71)</f>
        <v>0</v>
      </c>
      <c r="L90" s="883" t="str">
        <f t="shared" si="37"/>
        <v/>
      </c>
      <c r="M90" s="879" t="str">
        <f t="shared" si="38"/>
        <v xml:space="preserve"> </v>
      </c>
      <c r="N90" s="444" t="str">
        <f t="shared" si="14"/>
        <v xml:space="preserve"> </v>
      </c>
      <c r="O90" s="911" t="str">
        <f t="shared" si="15"/>
        <v xml:space="preserve"> </v>
      </c>
      <c r="P90" s="912" t="str">
        <f t="shared" si="16"/>
        <v xml:space="preserve"> </v>
      </c>
      <c r="Q90" s="912" t="str">
        <f t="shared" si="17"/>
        <v xml:space="preserve"> </v>
      </c>
      <c r="R90" s="444" t="str">
        <f t="shared" si="39"/>
        <v/>
      </c>
      <c r="S90" s="444" t="str">
        <f t="shared" si="18"/>
        <v/>
      </c>
      <c r="T90" s="444" t="str">
        <f t="shared" si="40"/>
        <v xml:space="preserve"> </v>
      </c>
      <c r="U90" s="119" t="str">
        <f t="shared" si="19"/>
        <v xml:space="preserve"> </v>
      </c>
      <c r="V90" s="444" t="str">
        <f t="shared" si="33"/>
        <v xml:space="preserve"> </v>
      </c>
      <c r="W90" s="909" t="str">
        <f t="shared" si="20"/>
        <v xml:space="preserve"> </v>
      </c>
      <c r="X90" s="924" t="str">
        <f t="shared" si="21"/>
        <v xml:space="preserve"> </v>
      </c>
      <c r="Y90" s="444" t="str">
        <f t="shared" si="41"/>
        <v xml:space="preserve"> </v>
      </c>
      <c r="Z90" s="444" t="str">
        <f t="shared" si="22"/>
        <v xml:space="preserve"> </v>
      </c>
      <c r="AA90" s="444" t="str">
        <f t="shared" si="23"/>
        <v xml:space="preserve"> </v>
      </c>
      <c r="AB90" s="912" t="str">
        <f t="shared" si="24"/>
        <v xml:space="preserve"> </v>
      </c>
      <c r="AC90" s="912" t="str">
        <f t="shared" si="25"/>
        <v xml:space="preserve"> </v>
      </c>
      <c r="AD90" s="444" t="str">
        <f t="shared" si="26"/>
        <v xml:space="preserve"> </v>
      </c>
      <c r="AE90" s="444" t="str">
        <f t="shared" si="27"/>
        <v/>
      </c>
      <c r="AF90" s="444" t="str">
        <f t="shared" si="42"/>
        <v xml:space="preserve"> </v>
      </c>
      <c r="AG90" s="119" t="str">
        <f t="shared" si="29"/>
        <v xml:space="preserve"> </v>
      </c>
      <c r="AH90" s="444" t="str">
        <f t="shared" si="30"/>
        <v xml:space="preserve"> </v>
      </c>
      <c r="AI90" s="909" t="str">
        <f t="shared" si="31"/>
        <v xml:space="preserve"> </v>
      </c>
      <c r="AJ90" s="879" t="str">
        <f t="shared" si="35"/>
        <v xml:space="preserve"> </v>
      </c>
      <c r="AK90" s="444" t="str">
        <f t="shared" si="43"/>
        <v xml:space="preserve"> </v>
      </c>
      <c r="AL90" s="444" t="str">
        <f t="shared" si="44"/>
        <v xml:space="preserve"> </v>
      </c>
      <c r="AM90" s="444" t="str">
        <f t="shared" si="45"/>
        <v xml:space="preserve"> </v>
      </c>
      <c r="AN90" s="119" t="str">
        <f t="shared" si="46"/>
        <v xml:space="preserve"> </v>
      </c>
      <c r="AO90" s="444" t="str">
        <f t="shared" si="47"/>
        <v xml:space="preserve"> </v>
      </c>
      <c r="AP90" s="444" t="str">
        <f t="shared" si="48"/>
        <v xml:space="preserve"> </v>
      </c>
      <c r="AQ90" s="123" t="str">
        <f>IF(A90=" "," ",IF('#orgDung'!AB75=0,0,AO90/'#orgDung'!AB75))</f>
        <v xml:space="preserve"> </v>
      </c>
      <c r="AR90" s="47" t="str">
        <f>IF(A90=" "," ",IF('#orgDung'!AB75=0,0,AP90/'#orgDung'!AB75))</f>
        <v xml:space="preserve"> </v>
      </c>
      <c r="AS90" s="890">
        <f>IF(OR(B90=0,B90=""),0,MAX('Flächen u. Kulturen'!V71,AT90/B90))</f>
        <v>0</v>
      </c>
      <c r="AT90" s="875">
        <f t="shared" si="49"/>
        <v>0</v>
      </c>
      <c r="AU90" s="120" t="str">
        <f t="shared" si="50"/>
        <v xml:space="preserve"> </v>
      </c>
    </row>
    <row r="91" spans="1:47" s="875" customFormat="1" x14ac:dyDescent="0.2">
      <c r="A91" s="447" t="str">
        <f>IF('Flächen u. Kulturen'!E72="x",IF(AND('#Kürzungen'!$F$2=2,'#BerechnungDBE'!R67=1,'Flächen u. Kulturen'!D72&lt;&gt;""),'Flächen u. Kulturen'!A72,IF(AND('#BerechnungDBE'!S67=1,'Flächen u. Kulturen'!D72&lt;&gt;""),'Flächen u. Kulturen'!A72," "))," ")</f>
        <v xml:space="preserve"> </v>
      </c>
      <c r="B91" s="505" t="str">
        <f>'Flächen u. Kulturen'!D72</f>
        <v/>
      </c>
      <c r="C91" s="42" t="str">
        <f>IF(A91=" "," ",'#BerechnungDBE'!AA67)</f>
        <v xml:space="preserve"> </v>
      </c>
      <c r="D91" s="42" t="str">
        <f>IF(A91=" "," ",'#BerechnungDBE'!BA67)</f>
        <v xml:space="preserve"> </v>
      </c>
      <c r="E91" s="42" t="str">
        <f t="shared" si="36"/>
        <v xml:space="preserve"> </v>
      </c>
      <c r="F91" s="869"/>
      <c r="G91" s="42" t="str">
        <f>IF(A91=" ","",'#BerechnungDBE'!BA67+'#BerechnungDBE'!BF67)</f>
        <v/>
      </c>
      <c r="H91" s="444" t="str">
        <f t="shared" si="12"/>
        <v/>
      </c>
      <c r="I91" s="444">
        <f>'#minDung'!P73</f>
        <v>0</v>
      </c>
      <c r="J91" s="430" t="str">
        <f t="shared" si="34"/>
        <v xml:space="preserve"> </v>
      </c>
      <c r="K91" s="913">
        <f>IF(A91=" ",0,'Flächen u. Kulturen'!V72)</f>
        <v>0</v>
      </c>
      <c r="L91" s="883" t="str">
        <f t="shared" si="37"/>
        <v/>
      </c>
      <c r="M91" s="879" t="str">
        <f t="shared" si="38"/>
        <v xml:space="preserve"> </v>
      </c>
      <c r="N91" s="444" t="str">
        <f t="shared" si="14"/>
        <v xml:space="preserve"> </v>
      </c>
      <c r="O91" s="911" t="str">
        <f t="shared" si="15"/>
        <v xml:space="preserve"> </v>
      </c>
      <c r="P91" s="912" t="str">
        <f t="shared" si="16"/>
        <v xml:space="preserve"> </v>
      </c>
      <c r="Q91" s="912" t="str">
        <f t="shared" si="17"/>
        <v xml:space="preserve"> </v>
      </c>
      <c r="R91" s="444" t="str">
        <f t="shared" si="39"/>
        <v/>
      </c>
      <c r="S91" s="444" t="str">
        <f t="shared" si="18"/>
        <v/>
      </c>
      <c r="T91" s="444" t="str">
        <f t="shared" si="40"/>
        <v xml:space="preserve"> </v>
      </c>
      <c r="U91" s="119" t="str">
        <f t="shared" si="19"/>
        <v xml:space="preserve"> </v>
      </c>
      <c r="V91" s="444" t="str">
        <f t="shared" si="33"/>
        <v xml:space="preserve"> </v>
      </c>
      <c r="W91" s="909" t="str">
        <f t="shared" si="20"/>
        <v xml:space="preserve"> </v>
      </c>
      <c r="X91" s="924" t="str">
        <f t="shared" si="21"/>
        <v xml:space="preserve"> </v>
      </c>
      <c r="Y91" s="444" t="str">
        <f t="shared" si="41"/>
        <v xml:space="preserve"> </v>
      </c>
      <c r="Z91" s="444" t="str">
        <f t="shared" si="22"/>
        <v xml:space="preserve"> </v>
      </c>
      <c r="AA91" s="444" t="str">
        <f t="shared" si="23"/>
        <v xml:space="preserve"> </v>
      </c>
      <c r="AB91" s="912" t="str">
        <f t="shared" si="24"/>
        <v xml:space="preserve"> </v>
      </c>
      <c r="AC91" s="912" t="str">
        <f t="shared" si="25"/>
        <v xml:space="preserve"> </v>
      </c>
      <c r="AD91" s="444" t="str">
        <f t="shared" si="26"/>
        <v xml:space="preserve"> </v>
      </c>
      <c r="AE91" s="444" t="str">
        <f t="shared" si="27"/>
        <v/>
      </c>
      <c r="AF91" s="444" t="str">
        <f t="shared" si="42"/>
        <v xml:space="preserve"> </v>
      </c>
      <c r="AG91" s="119" t="str">
        <f t="shared" si="29"/>
        <v xml:space="preserve"> </v>
      </c>
      <c r="AH91" s="444" t="str">
        <f t="shared" si="30"/>
        <v xml:space="preserve"> </v>
      </c>
      <c r="AI91" s="909" t="str">
        <f t="shared" si="31"/>
        <v xml:space="preserve"> </v>
      </c>
      <c r="AJ91" s="879" t="str">
        <f t="shared" si="35"/>
        <v xml:space="preserve"> </v>
      </c>
      <c r="AK91" s="444" t="str">
        <f t="shared" si="43"/>
        <v xml:space="preserve"> </v>
      </c>
      <c r="AL91" s="444" t="str">
        <f t="shared" si="44"/>
        <v xml:space="preserve"> </v>
      </c>
      <c r="AM91" s="444" t="str">
        <f t="shared" si="45"/>
        <v xml:space="preserve"> </v>
      </c>
      <c r="AN91" s="119" t="str">
        <f t="shared" si="46"/>
        <v xml:space="preserve"> </v>
      </c>
      <c r="AO91" s="444" t="str">
        <f t="shared" si="47"/>
        <v xml:space="preserve"> </v>
      </c>
      <c r="AP91" s="444" t="str">
        <f t="shared" si="48"/>
        <v xml:space="preserve"> </v>
      </c>
      <c r="AQ91" s="123" t="str">
        <f>IF(A91=" "," ",IF('#orgDung'!AB76=0,0,AO91/'#orgDung'!AB76))</f>
        <v xml:space="preserve"> </v>
      </c>
      <c r="AR91" s="47" t="str">
        <f>IF(A91=" "," ",IF('#orgDung'!AB76=0,0,AP91/'#orgDung'!AB76))</f>
        <v xml:space="preserve"> </v>
      </c>
      <c r="AS91" s="890">
        <f>IF(OR(B91=0,B91=""),0,MAX('Flächen u. Kulturen'!V72,AT91/B91))</f>
        <v>0</v>
      </c>
      <c r="AT91" s="875">
        <f t="shared" si="49"/>
        <v>0</v>
      </c>
      <c r="AU91" s="120" t="str">
        <f t="shared" si="50"/>
        <v xml:space="preserve"> </v>
      </c>
    </row>
    <row r="92" spans="1:47" s="875" customFormat="1" x14ac:dyDescent="0.2">
      <c r="A92" s="447" t="str">
        <f>IF('Flächen u. Kulturen'!E73="x",IF(AND('#Kürzungen'!$F$2=2,'#BerechnungDBE'!R68=1,'Flächen u. Kulturen'!D73&lt;&gt;""),'Flächen u. Kulturen'!A73,IF(AND('#BerechnungDBE'!S68=1,'Flächen u. Kulturen'!D73&lt;&gt;""),'Flächen u. Kulturen'!A73," "))," ")</f>
        <v xml:space="preserve"> </v>
      </c>
      <c r="B92" s="505" t="str">
        <f>'Flächen u. Kulturen'!D73</f>
        <v/>
      </c>
      <c r="C92" s="42" t="str">
        <f>IF(A92=" "," ",'#BerechnungDBE'!AA68)</f>
        <v xml:space="preserve"> </v>
      </c>
      <c r="D92" s="42" t="str">
        <f>IF(A92=" "," ",'#BerechnungDBE'!BA68)</f>
        <v xml:space="preserve"> </v>
      </c>
      <c r="E92" s="42" t="str">
        <f t="shared" si="36"/>
        <v xml:space="preserve"> </v>
      </c>
      <c r="F92" s="869"/>
      <c r="G92" s="42" t="str">
        <f>IF(A92=" ","",'#BerechnungDBE'!BA68+'#BerechnungDBE'!BF68)</f>
        <v/>
      </c>
      <c r="H92" s="444" t="str">
        <f t="shared" si="12"/>
        <v/>
      </c>
      <c r="I92" s="444">
        <f>'#minDung'!P74</f>
        <v>0</v>
      </c>
      <c r="J92" s="430" t="str">
        <f t="shared" si="34"/>
        <v xml:space="preserve"> </v>
      </c>
      <c r="K92" s="913">
        <f>IF(A92=" ",0,'Flächen u. Kulturen'!V73)</f>
        <v>0</v>
      </c>
      <c r="L92" s="883" t="str">
        <f t="shared" si="37"/>
        <v/>
      </c>
      <c r="M92" s="879" t="str">
        <f t="shared" si="38"/>
        <v xml:space="preserve"> </v>
      </c>
      <c r="N92" s="444" t="str">
        <f t="shared" si="14"/>
        <v xml:space="preserve"> </v>
      </c>
      <c r="O92" s="911" t="str">
        <f t="shared" si="15"/>
        <v xml:space="preserve"> </v>
      </c>
      <c r="P92" s="912" t="str">
        <f t="shared" si="16"/>
        <v xml:space="preserve"> </v>
      </c>
      <c r="Q92" s="912" t="str">
        <f t="shared" si="17"/>
        <v xml:space="preserve"> </v>
      </c>
      <c r="R92" s="444" t="str">
        <f t="shared" si="39"/>
        <v/>
      </c>
      <c r="S92" s="444" t="str">
        <f t="shared" si="18"/>
        <v/>
      </c>
      <c r="T92" s="444" t="str">
        <f t="shared" si="40"/>
        <v xml:space="preserve"> </v>
      </c>
      <c r="U92" s="119" t="str">
        <f t="shared" si="19"/>
        <v xml:space="preserve"> </v>
      </c>
      <c r="V92" s="444" t="str">
        <f t="shared" si="33"/>
        <v xml:space="preserve"> </v>
      </c>
      <c r="W92" s="909" t="str">
        <f t="shared" si="20"/>
        <v xml:space="preserve"> </v>
      </c>
      <c r="X92" s="924" t="str">
        <f t="shared" si="21"/>
        <v xml:space="preserve"> </v>
      </c>
      <c r="Y92" s="444" t="str">
        <f t="shared" si="41"/>
        <v xml:space="preserve"> </v>
      </c>
      <c r="Z92" s="444" t="str">
        <f t="shared" si="22"/>
        <v xml:space="preserve"> </v>
      </c>
      <c r="AA92" s="444" t="str">
        <f t="shared" si="23"/>
        <v xml:space="preserve"> </v>
      </c>
      <c r="AB92" s="912" t="str">
        <f t="shared" si="24"/>
        <v xml:space="preserve"> </v>
      </c>
      <c r="AC92" s="912" t="str">
        <f t="shared" si="25"/>
        <v xml:space="preserve"> </v>
      </c>
      <c r="AD92" s="444" t="str">
        <f t="shared" si="26"/>
        <v xml:space="preserve"> </v>
      </c>
      <c r="AE92" s="444" t="str">
        <f t="shared" si="27"/>
        <v/>
      </c>
      <c r="AF92" s="444" t="str">
        <f t="shared" si="42"/>
        <v xml:space="preserve"> </v>
      </c>
      <c r="AG92" s="119" t="str">
        <f t="shared" si="29"/>
        <v xml:space="preserve"> </v>
      </c>
      <c r="AH92" s="444" t="str">
        <f t="shared" si="30"/>
        <v xml:space="preserve"> </v>
      </c>
      <c r="AI92" s="909" t="str">
        <f t="shared" si="31"/>
        <v xml:space="preserve"> </v>
      </c>
      <c r="AJ92" s="879" t="str">
        <f t="shared" si="35"/>
        <v xml:space="preserve"> </v>
      </c>
      <c r="AK92" s="444" t="str">
        <f t="shared" si="43"/>
        <v xml:space="preserve"> </v>
      </c>
      <c r="AL92" s="444" t="str">
        <f t="shared" si="44"/>
        <v xml:space="preserve"> </v>
      </c>
      <c r="AM92" s="444" t="str">
        <f t="shared" si="45"/>
        <v xml:space="preserve"> </v>
      </c>
      <c r="AN92" s="119" t="str">
        <f t="shared" si="46"/>
        <v xml:space="preserve"> </v>
      </c>
      <c r="AO92" s="444" t="str">
        <f t="shared" si="47"/>
        <v xml:space="preserve"> </v>
      </c>
      <c r="AP92" s="444" t="str">
        <f t="shared" si="48"/>
        <v xml:space="preserve"> </v>
      </c>
      <c r="AQ92" s="123" t="str">
        <f>IF(A92=" "," ",IF('#orgDung'!AB77=0,0,AO92/'#orgDung'!AB77))</f>
        <v xml:space="preserve"> </v>
      </c>
      <c r="AR92" s="47" t="str">
        <f>IF(A92=" "," ",IF('#orgDung'!AB77=0,0,AP92/'#orgDung'!AB77))</f>
        <v xml:space="preserve"> </v>
      </c>
      <c r="AS92" s="890">
        <f>IF(OR(B92=0,B92=""),0,MAX('Flächen u. Kulturen'!V73,AT92/B92))</f>
        <v>0</v>
      </c>
      <c r="AT92" s="875">
        <f t="shared" si="49"/>
        <v>0</v>
      </c>
      <c r="AU92" s="120" t="str">
        <f t="shared" si="50"/>
        <v xml:space="preserve"> </v>
      </c>
    </row>
    <row r="93" spans="1:47" s="875" customFormat="1" x14ac:dyDescent="0.2">
      <c r="A93" s="447" t="str">
        <f>IF('Flächen u. Kulturen'!E74="x",IF(AND('#Kürzungen'!$F$2=2,'#BerechnungDBE'!R69=1,'Flächen u. Kulturen'!D74&lt;&gt;""),'Flächen u. Kulturen'!A74,IF(AND('#BerechnungDBE'!S69=1,'Flächen u. Kulturen'!D74&lt;&gt;""),'Flächen u. Kulturen'!A74," "))," ")</f>
        <v xml:space="preserve"> </v>
      </c>
      <c r="B93" s="505" t="str">
        <f>'Flächen u. Kulturen'!D74</f>
        <v/>
      </c>
      <c r="C93" s="42" t="str">
        <f>IF(A93=" "," ",'#BerechnungDBE'!AA69)</f>
        <v xml:space="preserve"> </v>
      </c>
      <c r="D93" s="42" t="str">
        <f>IF(A93=" "," ",'#BerechnungDBE'!BA69)</f>
        <v xml:space="preserve"> </v>
      </c>
      <c r="E93" s="42" t="str">
        <f t="shared" si="36"/>
        <v xml:space="preserve"> </v>
      </c>
      <c r="F93" s="869"/>
      <c r="G93" s="42" t="str">
        <f>IF(A93=" ","",'#BerechnungDBE'!BA69+'#BerechnungDBE'!BF69)</f>
        <v/>
      </c>
      <c r="H93" s="444" t="str">
        <f t="shared" si="12"/>
        <v/>
      </c>
      <c r="I93" s="444">
        <f>'#minDung'!P75</f>
        <v>0</v>
      </c>
      <c r="J93" s="430" t="str">
        <f t="shared" si="34"/>
        <v xml:space="preserve"> </v>
      </c>
      <c r="K93" s="913">
        <f>IF(A93=" ",0,'Flächen u. Kulturen'!V74)</f>
        <v>0</v>
      </c>
      <c r="L93" s="883" t="str">
        <f t="shared" ref="L93:L124" si="51">IF(B93="","",K93*B93)</f>
        <v/>
      </c>
      <c r="M93" s="879" t="str">
        <f t="shared" ref="M93:M128" si="52">IF($A93=" "," ",IF(C93=1,$C$11,IF(C93=2,$C$12,IF(C93=3,$C$13,IF(C93=4,$C$14,$C$15)))))</f>
        <v xml:space="preserve"> </v>
      </c>
      <c r="N93" s="444" t="str">
        <f t="shared" si="14"/>
        <v xml:space="preserve"> </v>
      </c>
      <c r="O93" s="911" t="str">
        <f t="shared" si="15"/>
        <v xml:space="preserve"> </v>
      </c>
      <c r="P93" s="912" t="str">
        <f t="shared" si="16"/>
        <v xml:space="preserve"> </v>
      </c>
      <c r="Q93" s="912" t="str">
        <f t="shared" si="17"/>
        <v xml:space="preserve"> </v>
      </c>
      <c r="R93" s="444" t="str">
        <f t="shared" ref="R93:R124" si="53">IF(A93=" ","",IF(M93&lt;J93-K93,M93,J93-K93))</f>
        <v/>
      </c>
      <c r="S93" s="444" t="str">
        <f t="shared" si="18"/>
        <v/>
      </c>
      <c r="T93" s="444" t="str">
        <f t="shared" ref="T93:T124" si="54">IF(A93=" "," ",R93*B93)</f>
        <v xml:space="preserve"> </v>
      </c>
      <c r="U93" s="119" t="str">
        <f t="shared" si="19"/>
        <v xml:space="preserve"> </v>
      </c>
      <c r="V93" s="444" t="str">
        <f t="shared" si="33"/>
        <v xml:space="preserve"> </v>
      </c>
      <c r="W93" s="909" t="str">
        <f t="shared" si="20"/>
        <v xml:space="preserve"> </v>
      </c>
      <c r="X93" s="924" t="str">
        <f t="shared" si="21"/>
        <v xml:space="preserve"> </v>
      </c>
      <c r="Y93" s="444" t="str">
        <f t="shared" ref="Y93:Y124" si="55">+IF(A93=" "," ",X93*D93/100)</f>
        <v xml:space="preserve"> </v>
      </c>
      <c r="Z93" s="444" t="str">
        <f t="shared" si="22"/>
        <v xml:space="preserve"> </v>
      </c>
      <c r="AA93" s="444" t="str">
        <f t="shared" si="23"/>
        <v xml:space="preserve"> </v>
      </c>
      <c r="AB93" s="912" t="str">
        <f t="shared" si="24"/>
        <v xml:space="preserve"> </v>
      </c>
      <c r="AC93" s="912" t="str">
        <f t="shared" si="25"/>
        <v xml:space="preserve"> </v>
      </c>
      <c r="AD93" s="444" t="str">
        <f t="shared" si="26"/>
        <v xml:space="preserve"> </v>
      </c>
      <c r="AE93" s="444" t="str">
        <f t="shared" si="27"/>
        <v/>
      </c>
      <c r="AF93" s="444" t="str">
        <f t="shared" ref="AF93:AF124" si="56">IF(A93=" "," ",AD93*B93)</f>
        <v xml:space="preserve"> </v>
      </c>
      <c r="AG93" s="119" t="str">
        <f t="shared" si="29"/>
        <v xml:space="preserve"> </v>
      </c>
      <c r="AH93" s="444" t="str">
        <f t="shared" si="30"/>
        <v xml:space="preserve"> </v>
      </c>
      <c r="AI93" s="909" t="str">
        <f t="shared" si="31"/>
        <v xml:space="preserve"> </v>
      </c>
      <c r="AJ93" s="879" t="str">
        <f t="shared" si="35"/>
        <v xml:space="preserve"> </v>
      </c>
      <c r="AK93" s="444" t="str">
        <f t="shared" ref="AK93:AK124" si="57">IF(A93=" "," ",AJ93*D93/100)</f>
        <v xml:space="preserve"> </v>
      </c>
      <c r="AL93" s="444" t="str">
        <f t="shared" ref="AL93:AL124" si="58">IF(A93=" "," ",AK93-AH93)</f>
        <v xml:space="preserve"> </v>
      </c>
      <c r="AM93" s="444" t="str">
        <f t="shared" ref="AM93:AM124" si="59">IF(A93=" "," ",AL93*B93)</f>
        <v xml:space="preserve"> </v>
      </c>
      <c r="AN93" s="119" t="str">
        <f t="shared" ref="AN93:AN128" si="60">IF(A93=" "," ",$AN$231)</f>
        <v xml:space="preserve"> </v>
      </c>
      <c r="AO93" s="444" t="str">
        <f t="shared" ref="AO93:AO124" si="61">IF(A93=" "," ",AN93*AL93)</f>
        <v xml:space="preserve"> </v>
      </c>
      <c r="AP93" s="444" t="str">
        <f t="shared" ref="AP93:AP128" si="62">IF(A93=" "," ",AM93*AN93)</f>
        <v xml:space="preserve"> </v>
      </c>
      <c r="AQ93" s="123" t="str">
        <f>IF(A93=" "," ",IF('#orgDung'!AB78=0,0,AO93/'#orgDung'!AB78))</f>
        <v xml:space="preserve"> </v>
      </c>
      <c r="AR93" s="47" t="str">
        <f>IF(A93=" "," ",IF('#orgDung'!AB78=0,0,AP93/'#orgDung'!AB78))</f>
        <v xml:space="preserve"> </v>
      </c>
      <c r="AS93" s="890">
        <f>IF(OR(B93=0,B93=""),0,MAX('Flächen u. Kulturen'!V74,AT93/B93))</f>
        <v>0</v>
      </c>
      <c r="AT93" s="875">
        <f t="shared" ref="AT93:AT128" si="63">IF(A93=" ",0,IF($F$2=3,E93*0.2,SUM(AI93,W93,L93)))</f>
        <v>0</v>
      </c>
      <c r="AU93" s="120" t="str">
        <f t="shared" ref="AU93:AU128" si="64">IF(A93=" "," ",AS93+AO93)</f>
        <v xml:space="preserve"> </v>
      </c>
    </row>
    <row r="94" spans="1:47" s="875" customFormat="1" x14ac:dyDescent="0.2">
      <c r="A94" s="447" t="str">
        <f>IF('Flächen u. Kulturen'!E75="x",IF(AND('#Kürzungen'!$F$2=2,'#BerechnungDBE'!R70=1,'Flächen u. Kulturen'!D75&lt;&gt;""),'Flächen u. Kulturen'!A75,IF(AND('#BerechnungDBE'!S70=1,'Flächen u. Kulturen'!D75&lt;&gt;""),'Flächen u. Kulturen'!A75," "))," ")</f>
        <v xml:space="preserve"> </v>
      </c>
      <c r="B94" s="505" t="str">
        <f>'Flächen u. Kulturen'!D75</f>
        <v/>
      </c>
      <c r="C94" s="42" t="str">
        <f>IF(A94=" "," ",'#BerechnungDBE'!AA70)</f>
        <v xml:space="preserve"> </v>
      </c>
      <c r="D94" s="42" t="str">
        <f>IF(A94=" "," ",'#BerechnungDBE'!BA70)</f>
        <v xml:space="preserve"> </v>
      </c>
      <c r="E94" s="42" t="str">
        <f t="shared" si="36"/>
        <v xml:space="preserve"> </v>
      </c>
      <c r="F94" s="869"/>
      <c r="G94" s="42" t="str">
        <f>IF(A94=" ","",'#BerechnungDBE'!BA70+'#BerechnungDBE'!BF70)</f>
        <v/>
      </c>
      <c r="H94" s="444" t="str">
        <f t="shared" ref="H94:H128" si="65">IF(A94=" ","",MAX(0,G94))</f>
        <v/>
      </c>
      <c r="I94" s="444">
        <f>'#minDung'!P76</f>
        <v>0</v>
      </c>
      <c r="J94" s="430" t="str">
        <f t="shared" si="34"/>
        <v xml:space="preserve"> </v>
      </c>
      <c r="K94" s="913">
        <f>IF(A94=" ",0,'Flächen u. Kulturen'!V75)</f>
        <v>0</v>
      </c>
      <c r="L94" s="883" t="str">
        <f t="shared" si="51"/>
        <v/>
      </c>
      <c r="M94" s="879" t="str">
        <f t="shared" si="52"/>
        <v xml:space="preserve"> </v>
      </c>
      <c r="N94" s="444" t="str">
        <f t="shared" ref="N94:N157" si="66">IF(A94=" "," ",M94*B94)</f>
        <v xml:space="preserve"> </v>
      </c>
      <c r="O94" s="911" t="str">
        <f t="shared" ref="O94:O157" si="67">IF(A94=" "," ",$O$231)</f>
        <v xml:space="preserve"> </v>
      </c>
      <c r="P94" s="912" t="str">
        <f t="shared" ref="P94:P157" si="68">IF(A94=" "," ",M94*O94)</f>
        <v xml:space="preserve"> </v>
      </c>
      <c r="Q94" s="912" t="str">
        <f t="shared" ref="Q94:Q157" si="69">IF(A94=" "," ",P94*B94)</f>
        <v xml:space="preserve"> </v>
      </c>
      <c r="R94" s="444" t="str">
        <f t="shared" si="53"/>
        <v/>
      </c>
      <c r="S94" s="444" t="str">
        <f t="shared" ref="S94:S157" si="70">IF($A94=" ","",IF(R94&lt;P94,R94*$B94,""))</f>
        <v/>
      </c>
      <c r="T94" s="444" t="str">
        <f t="shared" si="54"/>
        <v xml:space="preserve"> </v>
      </c>
      <c r="U94" s="119" t="str">
        <f t="shared" ref="U94:U157" si="71">IF($A94=" "," ",IF(S94="",$U$231,1))</f>
        <v xml:space="preserve"> </v>
      </c>
      <c r="V94" s="444" t="str">
        <f t="shared" ref="V94:V128" si="72">IF(A94=" "," ",IF($S$231=0,P94,R94*U94))</f>
        <v xml:space="preserve"> </v>
      </c>
      <c r="W94" s="909" t="str">
        <f t="shared" ref="W94:W128" si="73">+IF(A94=" "," ",IF($S$231=0,Q94,U94*T94))</f>
        <v xml:space="preserve"> </v>
      </c>
      <c r="X94" s="924" t="str">
        <f t="shared" ref="X94:X157" si="74">IF(A94=" "," ",IF($F$2=2,100,IF(C94=1,$G$11,IF(C94=2,$G$12,IF(C94=3,$G$13,IF(C94=4,$G$14,$G$15))))))</f>
        <v xml:space="preserve"> </v>
      </c>
      <c r="Y94" s="444" t="str">
        <f t="shared" si="55"/>
        <v xml:space="preserve"> </v>
      </c>
      <c r="Z94" s="444" t="str">
        <f t="shared" ref="Z94:Z128" si="75">IF(A94=" "," ",Y94*B94)</f>
        <v xml:space="preserve"> </v>
      </c>
      <c r="AA94" s="444" t="str">
        <f t="shared" ref="AA94:AA128" si="76">IF(A94=" "," ",$AA$231)</f>
        <v xml:space="preserve"> </v>
      </c>
      <c r="AB94" s="912" t="str">
        <f t="shared" ref="AB94:AB128" si="77">IF($A94=" "," ",Y94*AA94)</f>
        <v xml:space="preserve"> </v>
      </c>
      <c r="AC94" s="912" t="str">
        <f t="shared" ref="AC94:AC157" si="78">IF($A94=" "," ",AB94*$B94)</f>
        <v xml:space="preserve"> </v>
      </c>
      <c r="AD94" s="444" t="str">
        <f t="shared" ref="AD94:AD128" si="79">IF(A94=" "," ",IF(J94-K94-V94&gt;Y94,Y94,J94-K94-V94))</f>
        <v xml:space="preserve"> </v>
      </c>
      <c r="AE94" s="444" t="str">
        <f t="shared" ref="AE94:AE157" si="80">IF($A94=" ","",IF(AD94&lt;AB94,AD94*$B94,""))</f>
        <v/>
      </c>
      <c r="AF94" s="444" t="str">
        <f t="shared" si="56"/>
        <v xml:space="preserve"> </v>
      </c>
      <c r="AG94" s="119" t="str">
        <f t="shared" ref="AG94:AG157" si="81">IF($A94=" "," ",IF(AE94="",$AG$231,1))</f>
        <v xml:space="preserve"> </v>
      </c>
      <c r="AH94" s="444" t="str">
        <f t="shared" ref="AH94:AH128" si="82">IF($A94=" "," ",IF($AE$231=0,AB94,AD94*AG94))</f>
        <v xml:space="preserve"> </v>
      </c>
      <c r="AI94" s="909" t="str">
        <f t="shared" ref="AI94:AI128" si="83">+IF($A94=" "," ",IF($AE$231=0,AC94,AG94*AF94))</f>
        <v xml:space="preserve"> </v>
      </c>
      <c r="AJ94" s="879" t="str">
        <f t="shared" si="35"/>
        <v xml:space="preserve"> </v>
      </c>
      <c r="AK94" s="444" t="str">
        <f t="shared" si="57"/>
        <v xml:space="preserve"> </v>
      </c>
      <c r="AL94" s="444" t="str">
        <f t="shared" si="58"/>
        <v xml:space="preserve"> </v>
      </c>
      <c r="AM94" s="444" t="str">
        <f t="shared" si="59"/>
        <v xml:space="preserve"> </v>
      </c>
      <c r="AN94" s="119" t="str">
        <f t="shared" si="60"/>
        <v xml:space="preserve"> </v>
      </c>
      <c r="AO94" s="444" t="str">
        <f t="shared" si="61"/>
        <v xml:space="preserve"> </v>
      </c>
      <c r="AP94" s="444" t="str">
        <f t="shared" si="62"/>
        <v xml:space="preserve"> </v>
      </c>
      <c r="AQ94" s="123" t="str">
        <f>IF(A94=" "," ",IF('#orgDung'!AB79=0,0,AO94/'#orgDung'!AB79))</f>
        <v xml:space="preserve"> </v>
      </c>
      <c r="AR94" s="47" t="str">
        <f>IF(A94=" "," ",IF('#orgDung'!AB79=0,0,AP94/'#orgDung'!AB79))</f>
        <v xml:space="preserve"> </v>
      </c>
      <c r="AS94" s="890">
        <f>IF(OR(B94=0,B94=""),0,MAX('Flächen u. Kulturen'!V75,AT94/B94))</f>
        <v>0</v>
      </c>
      <c r="AT94" s="875">
        <f t="shared" si="63"/>
        <v>0</v>
      </c>
      <c r="AU94" s="120" t="str">
        <f t="shared" si="64"/>
        <v xml:space="preserve"> </v>
      </c>
    </row>
    <row r="95" spans="1:47" s="875" customFormat="1" x14ac:dyDescent="0.2">
      <c r="A95" s="447" t="str">
        <f>IF('Flächen u. Kulturen'!E76="x",IF(AND('#Kürzungen'!$F$2=2,'#BerechnungDBE'!R71=1,'Flächen u. Kulturen'!D76&lt;&gt;""),'Flächen u. Kulturen'!A76,IF(AND('#BerechnungDBE'!S71=1,'Flächen u. Kulturen'!D76&lt;&gt;""),'Flächen u. Kulturen'!A76," "))," ")</f>
        <v xml:space="preserve"> </v>
      </c>
      <c r="B95" s="505" t="str">
        <f>'Flächen u. Kulturen'!D76</f>
        <v/>
      </c>
      <c r="C95" s="42" t="str">
        <f>IF(A95=" "," ",'#BerechnungDBE'!AA71)</f>
        <v xml:space="preserve"> </v>
      </c>
      <c r="D95" s="42" t="str">
        <f>IF(A95=" "," ",'#BerechnungDBE'!BA71)</f>
        <v xml:space="preserve"> </v>
      </c>
      <c r="E95" s="42" t="str">
        <f t="shared" si="36"/>
        <v xml:space="preserve"> </v>
      </c>
      <c r="F95" s="869"/>
      <c r="G95" s="42" t="str">
        <f>IF(A95=" ","",'#BerechnungDBE'!BA71+'#BerechnungDBE'!BF71)</f>
        <v/>
      </c>
      <c r="H95" s="444" t="str">
        <f t="shared" si="65"/>
        <v/>
      </c>
      <c r="I95" s="444">
        <f>'#minDung'!P77</f>
        <v>0</v>
      </c>
      <c r="J95" s="430" t="str">
        <f t="shared" si="34"/>
        <v xml:space="preserve"> </v>
      </c>
      <c r="K95" s="913">
        <f>IF(A95=" ",0,'Flächen u. Kulturen'!V76)</f>
        <v>0</v>
      </c>
      <c r="L95" s="883" t="str">
        <f t="shared" si="51"/>
        <v/>
      </c>
      <c r="M95" s="879" t="str">
        <f t="shared" si="52"/>
        <v xml:space="preserve"> </v>
      </c>
      <c r="N95" s="444" t="str">
        <f t="shared" si="66"/>
        <v xml:space="preserve"> </v>
      </c>
      <c r="O95" s="911" t="str">
        <f t="shared" si="67"/>
        <v xml:space="preserve"> </v>
      </c>
      <c r="P95" s="912" t="str">
        <f t="shared" si="68"/>
        <v xml:space="preserve"> </v>
      </c>
      <c r="Q95" s="912" t="str">
        <f t="shared" si="69"/>
        <v xml:space="preserve"> </v>
      </c>
      <c r="R95" s="444" t="str">
        <f t="shared" si="53"/>
        <v/>
      </c>
      <c r="S95" s="444" t="str">
        <f t="shared" si="70"/>
        <v/>
      </c>
      <c r="T95" s="444" t="str">
        <f t="shared" si="54"/>
        <v xml:space="preserve"> </v>
      </c>
      <c r="U95" s="119" t="str">
        <f t="shared" si="71"/>
        <v xml:space="preserve"> </v>
      </c>
      <c r="V95" s="444" t="str">
        <f t="shared" si="72"/>
        <v xml:space="preserve"> </v>
      </c>
      <c r="W95" s="909" t="str">
        <f t="shared" si="73"/>
        <v xml:space="preserve"> </v>
      </c>
      <c r="X95" s="924" t="str">
        <f t="shared" si="74"/>
        <v xml:space="preserve"> </v>
      </c>
      <c r="Y95" s="444" t="str">
        <f t="shared" si="55"/>
        <v xml:space="preserve"> </v>
      </c>
      <c r="Z95" s="444" t="str">
        <f t="shared" si="75"/>
        <v xml:space="preserve"> </v>
      </c>
      <c r="AA95" s="444" t="str">
        <f t="shared" si="76"/>
        <v xml:space="preserve"> </v>
      </c>
      <c r="AB95" s="912" t="str">
        <f t="shared" si="77"/>
        <v xml:space="preserve"> </v>
      </c>
      <c r="AC95" s="912" t="str">
        <f t="shared" si="78"/>
        <v xml:space="preserve"> </v>
      </c>
      <c r="AD95" s="444" t="str">
        <f t="shared" si="79"/>
        <v xml:space="preserve"> </v>
      </c>
      <c r="AE95" s="444" t="str">
        <f t="shared" si="80"/>
        <v/>
      </c>
      <c r="AF95" s="444" t="str">
        <f t="shared" si="56"/>
        <v xml:space="preserve"> </v>
      </c>
      <c r="AG95" s="119" t="str">
        <f t="shared" si="81"/>
        <v xml:space="preserve"> </v>
      </c>
      <c r="AH95" s="444" t="str">
        <f t="shared" si="82"/>
        <v xml:space="preserve"> </v>
      </c>
      <c r="AI95" s="909" t="str">
        <f t="shared" si="83"/>
        <v xml:space="preserve"> </v>
      </c>
      <c r="AJ95" s="879" t="str">
        <f t="shared" si="35"/>
        <v xml:space="preserve"> </v>
      </c>
      <c r="AK95" s="444" t="str">
        <f t="shared" si="57"/>
        <v xml:space="preserve"> </v>
      </c>
      <c r="AL95" s="444" t="str">
        <f t="shared" si="58"/>
        <v xml:space="preserve"> </v>
      </c>
      <c r="AM95" s="444" t="str">
        <f t="shared" si="59"/>
        <v xml:space="preserve"> </v>
      </c>
      <c r="AN95" s="119" t="str">
        <f t="shared" si="60"/>
        <v xml:space="preserve"> </v>
      </c>
      <c r="AO95" s="444" t="str">
        <f t="shared" si="61"/>
        <v xml:space="preserve"> </v>
      </c>
      <c r="AP95" s="444" t="str">
        <f t="shared" si="62"/>
        <v xml:space="preserve"> </v>
      </c>
      <c r="AQ95" s="123" t="str">
        <f>IF(A95=" "," ",IF('#orgDung'!AB80=0,0,AO95/'#orgDung'!AB80))</f>
        <v xml:space="preserve"> </v>
      </c>
      <c r="AR95" s="47" t="str">
        <f>IF(A95=" "," ",IF('#orgDung'!AB80=0,0,AP95/'#orgDung'!AB80))</f>
        <v xml:space="preserve"> </v>
      </c>
      <c r="AS95" s="890">
        <f>IF(OR(B95=0,B95=""),0,MAX('Flächen u. Kulturen'!V76,AT95/B95))</f>
        <v>0</v>
      </c>
      <c r="AT95" s="875">
        <f t="shared" si="63"/>
        <v>0</v>
      </c>
      <c r="AU95" s="120" t="str">
        <f t="shared" si="64"/>
        <v xml:space="preserve"> </v>
      </c>
    </row>
    <row r="96" spans="1:47" s="875" customFormat="1" x14ac:dyDescent="0.2">
      <c r="A96" s="447" t="str">
        <f>IF('Flächen u. Kulturen'!E77="x",IF(AND('#Kürzungen'!$F$2=2,'#BerechnungDBE'!R72=1,'Flächen u. Kulturen'!D77&lt;&gt;""),'Flächen u. Kulturen'!A77,IF(AND('#BerechnungDBE'!S72=1,'Flächen u. Kulturen'!D77&lt;&gt;""),'Flächen u. Kulturen'!A77," "))," ")</f>
        <v xml:space="preserve"> </v>
      </c>
      <c r="B96" s="505" t="str">
        <f>'Flächen u. Kulturen'!D77</f>
        <v/>
      </c>
      <c r="C96" s="42" t="str">
        <f>IF(A96=" "," ",'#BerechnungDBE'!AA72)</f>
        <v xml:space="preserve"> </v>
      </c>
      <c r="D96" s="42" t="str">
        <f>IF(A96=" "," ",'#BerechnungDBE'!BA72)</f>
        <v xml:space="preserve"> </v>
      </c>
      <c r="E96" s="42" t="str">
        <f t="shared" si="36"/>
        <v xml:space="preserve"> </v>
      </c>
      <c r="F96" s="869"/>
      <c r="G96" s="42" t="str">
        <f>IF(A96=" ","",'#BerechnungDBE'!BA72+'#BerechnungDBE'!BF72)</f>
        <v/>
      </c>
      <c r="H96" s="444" t="str">
        <f t="shared" si="65"/>
        <v/>
      </c>
      <c r="I96" s="444">
        <f>'#minDung'!P78</f>
        <v>0</v>
      </c>
      <c r="J96" s="430" t="str">
        <f t="shared" si="34"/>
        <v xml:space="preserve"> </v>
      </c>
      <c r="K96" s="913">
        <f>IF(A96=" ",0,'Flächen u. Kulturen'!V77)</f>
        <v>0</v>
      </c>
      <c r="L96" s="883" t="str">
        <f t="shared" si="51"/>
        <v/>
      </c>
      <c r="M96" s="879" t="str">
        <f t="shared" si="52"/>
        <v xml:space="preserve"> </v>
      </c>
      <c r="N96" s="444" t="str">
        <f t="shared" si="66"/>
        <v xml:space="preserve"> </v>
      </c>
      <c r="O96" s="911" t="str">
        <f t="shared" si="67"/>
        <v xml:space="preserve"> </v>
      </c>
      <c r="P96" s="912" t="str">
        <f t="shared" si="68"/>
        <v xml:space="preserve"> </v>
      </c>
      <c r="Q96" s="912" t="str">
        <f t="shared" si="69"/>
        <v xml:space="preserve"> </v>
      </c>
      <c r="R96" s="444" t="str">
        <f t="shared" si="53"/>
        <v/>
      </c>
      <c r="S96" s="444" t="str">
        <f t="shared" si="70"/>
        <v/>
      </c>
      <c r="T96" s="444" t="str">
        <f t="shared" si="54"/>
        <v xml:space="preserve"> </v>
      </c>
      <c r="U96" s="119" t="str">
        <f t="shared" si="71"/>
        <v xml:space="preserve"> </v>
      </c>
      <c r="V96" s="444" t="str">
        <f t="shared" si="72"/>
        <v xml:space="preserve"> </v>
      </c>
      <c r="W96" s="909" t="str">
        <f t="shared" si="73"/>
        <v xml:space="preserve"> </v>
      </c>
      <c r="X96" s="924" t="str">
        <f t="shared" si="74"/>
        <v xml:space="preserve"> </v>
      </c>
      <c r="Y96" s="444" t="str">
        <f t="shared" si="55"/>
        <v xml:space="preserve"> </v>
      </c>
      <c r="Z96" s="444" t="str">
        <f t="shared" si="75"/>
        <v xml:space="preserve"> </v>
      </c>
      <c r="AA96" s="444" t="str">
        <f t="shared" si="76"/>
        <v xml:space="preserve"> </v>
      </c>
      <c r="AB96" s="912" t="str">
        <f t="shared" si="77"/>
        <v xml:space="preserve"> </v>
      </c>
      <c r="AC96" s="912" t="str">
        <f t="shared" si="78"/>
        <v xml:space="preserve"> </v>
      </c>
      <c r="AD96" s="444" t="str">
        <f t="shared" si="79"/>
        <v xml:space="preserve"> </v>
      </c>
      <c r="AE96" s="444" t="str">
        <f t="shared" si="80"/>
        <v/>
      </c>
      <c r="AF96" s="444" t="str">
        <f t="shared" si="56"/>
        <v xml:space="preserve"> </v>
      </c>
      <c r="AG96" s="119" t="str">
        <f t="shared" si="81"/>
        <v xml:space="preserve"> </v>
      </c>
      <c r="AH96" s="444" t="str">
        <f t="shared" si="82"/>
        <v xml:space="preserve"> </v>
      </c>
      <c r="AI96" s="909" t="str">
        <f t="shared" si="83"/>
        <v xml:space="preserve"> </v>
      </c>
      <c r="AJ96" s="879" t="str">
        <f t="shared" si="35"/>
        <v xml:space="preserve"> </v>
      </c>
      <c r="AK96" s="444" t="str">
        <f t="shared" si="57"/>
        <v xml:space="preserve"> </v>
      </c>
      <c r="AL96" s="444" t="str">
        <f t="shared" si="58"/>
        <v xml:space="preserve"> </v>
      </c>
      <c r="AM96" s="444" t="str">
        <f t="shared" si="59"/>
        <v xml:space="preserve"> </v>
      </c>
      <c r="AN96" s="119" t="str">
        <f t="shared" si="60"/>
        <v xml:space="preserve"> </v>
      </c>
      <c r="AO96" s="444" t="str">
        <f t="shared" si="61"/>
        <v xml:space="preserve"> </v>
      </c>
      <c r="AP96" s="444" t="str">
        <f t="shared" si="62"/>
        <v xml:space="preserve"> </v>
      </c>
      <c r="AQ96" s="123" t="str">
        <f>IF(A96=" "," ",IF('#orgDung'!AB81=0,0,AO96/'#orgDung'!AB81))</f>
        <v xml:space="preserve"> </v>
      </c>
      <c r="AR96" s="47" t="str">
        <f>IF(A96=" "," ",IF('#orgDung'!AB81=0,0,AP96/'#orgDung'!AB81))</f>
        <v xml:space="preserve"> </v>
      </c>
      <c r="AS96" s="890">
        <f>IF(OR(B96=0,B96=""),0,MAX('Flächen u. Kulturen'!V77,AT96/B96))</f>
        <v>0</v>
      </c>
      <c r="AT96" s="875">
        <f t="shared" si="63"/>
        <v>0</v>
      </c>
      <c r="AU96" s="120" t="str">
        <f t="shared" si="64"/>
        <v xml:space="preserve"> </v>
      </c>
    </row>
    <row r="97" spans="1:47" s="875" customFormat="1" x14ac:dyDescent="0.2">
      <c r="A97" s="447" t="str">
        <f>IF('Flächen u. Kulturen'!E78="x",IF(AND('#Kürzungen'!$F$2=2,'#BerechnungDBE'!R73=1,'Flächen u. Kulturen'!D78&lt;&gt;""),'Flächen u. Kulturen'!A78,IF(AND('#BerechnungDBE'!S73=1,'Flächen u. Kulturen'!D78&lt;&gt;""),'Flächen u. Kulturen'!A78," "))," ")</f>
        <v xml:space="preserve"> </v>
      </c>
      <c r="B97" s="505" t="str">
        <f>'Flächen u. Kulturen'!D78</f>
        <v/>
      </c>
      <c r="C97" s="42" t="str">
        <f>IF(A97=" "," ",'#BerechnungDBE'!AA73)</f>
        <v xml:space="preserve"> </v>
      </c>
      <c r="D97" s="42" t="str">
        <f>IF(A97=" "," ",'#BerechnungDBE'!BA73)</f>
        <v xml:space="preserve"> </v>
      </c>
      <c r="E97" s="42" t="str">
        <f t="shared" si="36"/>
        <v xml:space="preserve"> </v>
      </c>
      <c r="F97" s="869"/>
      <c r="G97" s="42" t="str">
        <f>IF(A97=" ","",'#BerechnungDBE'!BA73+'#BerechnungDBE'!BF73)</f>
        <v/>
      </c>
      <c r="H97" s="444" t="str">
        <f t="shared" si="65"/>
        <v/>
      </c>
      <c r="I97" s="444">
        <f>'#minDung'!P79</f>
        <v>0</v>
      </c>
      <c r="J97" s="430" t="str">
        <f t="shared" si="34"/>
        <v xml:space="preserve"> </v>
      </c>
      <c r="K97" s="913">
        <f>IF(A97=" ",0,'Flächen u. Kulturen'!V78)</f>
        <v>0</v>
      </c>
      <c r="L97" s="883" t="str">
        <f t="shared" si="51"/>
        <v/>
      </c>
      <c r="M97" s="879" t="str">
        <f t="shared" si="52"/>
        <v xml:space="preserve"> </v>
      </c>
      <c r="N97" s="444" t="str">
        <f t="shared" si="66"/>
        <v xml:space="preserve"> </v>
      </c>
      <c r="O97" s="911" t="str">
        <f t="shared" si="67"/>
        <v xml:space="preserve"> </v>
      </c>
      <c r="P97" s="912" t="str">
        <f t="shared" si="68"/>
        <v xml:space="preserve"> </v>
      </c>
      <c r="Q97" s="912" t="str">
        <f t="shared" si="69"/>
        <v xml:space="preserve"> </v>
      </c>
      <c r="R97" s="444" t="str">
        <f t="shared" si="53"/>
        <v/>
      </c>
      <c r="S97" s="444" t="str">
        <f t="shared" si="70"/>
        <v/>
      </c>
      <c r="T97" s="444" t="str">
        <f t="shared" si="54"/>
        <v xml:space="preserve"> </v>
      </c>
      <c r="U97" s="119" t="str">
        <f t="shared" si="71"/>
        <v xml:space="preserve"> </v>
      </c>
      <c r="V97" s="444" t="str">
        <f t="shared" si="72"/>
        <v xml:space="preserve"> </v>
      </c>
      <c r="W97" s="909" t="str">
        <f t="shared" si="73"/>
        <v xml:space="preserve"> </v>
      </c>
      <c r="X97" s="924" t="str">
        <f t="shared" si="74"/>
        <v xml:space="preserve"> </v>
      </c>
      <c r="Y97" s="444" t="str">
        <f t="shared" si="55"/>
        <v xml:space="preserve"> </v>
      </c>
      <c r="Z97" s="444" t="str">
        <f t="shared" si="75"/>
        <v xml:space="preserve"> </v>
      </c>
      <c r="AA97" s="444" t="str">
        <f t="shared" si="76"/>
        <v xml:space="preserve"> </v>
      </c>
      <c r="AB97" s="912" t="str">
        <f t="shared" si="77"/>
        <v xml:space="preserve"> </v>
      </c>
      <c r="AC97" s="912" t="str">
        <f t="shared" si="78"/>
        <v xml:space="preserve"> </v>
      </c>
      <c r="AD97" s="444" t="str">
        <f t="shared" si="79"/>
        <v xml:space="preserve"> </v>
      </c>
      <c r="AE97" s="444" t="str">
        <f t="shared" si="80"/>
        <v/>
      </c>
      <c r="AF97" s="444" t="str">
        <f t="shared" si="56"/>
        <v xml:space="preserve"> </v>
      </c>
      <c r="AG97" s="119" t="str">
        <f t="shared" si="81"/>
        <v xml:space="preserve"> </v>
      </c>
      <c r="AH97" s="444" t="str">
        <f t="shared" si="82"/>
        <v xml:space="preserve"> </v>
      </c>
      <c r="AI97" s="909" t="str">
        <f t="shared" si="83"/>
        <v xml:space="preserve"> </v>
      </c>
      <c r="AJ97" s="879" t="str">
        <f t="shared" si="35"/>
        <v xml:space="preserve"> </v>
      </c>
      <c r="AK97" s="444" t="str">
        <f t="shared" si="57"/>
        <v xml:space="preserve"> </v>
      </c>
      <c r="AL97" s="444" t="str">
        <f t="shared" si="58"/>
        <v xml:space="preserve"> </v>
      </c>
      <c r="AM97" s="444" t="str">
        <f t="shared" si="59"/>
        <v xml:space="preserve"> </v>
      </c>
      <c r="AN97" s="119" t="str">
        <f t="shared" si="60"/>
        <v xml:space="preserve"> </v>
      </c>
      <c r="AO97" s="444" t="str">
        <f t="shared" si="61"/>
        <v xml:space="preserve"> </v>
      </c>
      <c r="AP97" s="444" t="str">
        <f t="shared" si="62"/>
        <v xml:space="preserve"> </v>
      </c>
      <c r="AQ97" s="123" t="str">
        <f>IF(A97=" "," ",IF('#orgDung'!AB82=0,0,AO97/'#orgDung'!AB82))</f>
        <v xml:space="preserve"> </v>
      </c>
      <c r="AR97" s="47" t="str">
        <f>IF(A97=" "," ",IF('#orgDung'!AB82=0,0,AP97/'#orgDung'!AB82))</f>
        <v xml:space="preserve"> </v>
      </c>
      <c r="AS97" s="890">
        <f>IF(OR(B97=0,B97=""),0,MAX('Flächen u. Kulturen'!V78,AT97/B97))</f>
        <v>0</v>
      </c>
      <c r="AT97" s="875">
        <f t="shared" si="63"/>
        <v>0</v>
      </c>
      <c r="AU97" s="120" t="str">
        <f t="shared" si="64"/>
        <v xml:space="preserve"> </v>
      </c>
    </row>
    <row r="98" spans="1:47" s="875" customFormat="1" x14ac:dyDescent="0.2">
      <c r="A98" s="447" t="str">
        <f>IF('Flächen u. Kulturen'!E79="x",IF(AND('#Kürzungen'!$F$2=2,'#BerechnungDBE'!R74=1,'Flächen u. Kulturen'!D79&lt;&gt;""),'Flächen u. Kulturen'!A79,IF(AND('#BerechnungDBE'!S74=1,'Flächen u. Kulturen'!D79&lt;&gt;""),'Flächen u. Kulturen'!A79," "))," ")</f>
        <v xml:space="preserve"> </v>
      </c>
      <c r="B98" s="505" t="str">
        <f>'Flächen u. Kulturen'!D79</f>
        <v/>
      </c>
      <c r="C98" s="42" t="str">
        <f>IF(A98=" "," ",'#BerechnungDBE'!AA74)</f>
        <v xml:space="preserve"> </v>
      </c>
      <c r="D98" s="42" t="str">
        <f>IF(A98=" "," ",'#BerechnungDBE'!BA74)</f>
        <v xml:space="preserve"> </v>
      </c>
      <c r="E98" s="42" t="str">
        <f t="shared" si="36"/>
        <v xml:space="preserve"> </v>
      </c>
      <c r="F98" s="869"/>
      <c r="G98" s="42" t="str">
        <f>IF(A98=" ","",'#BerechnungDBE'!BA74+'#BerechnungDBE'!BF74)</f>
        <v/>
      </c>
      <c r="H98" s="444" t="str">
        <f t="shared" si="65"/>
        <v/>
      </c>
      <c r="I98" s="444">
        <f>'#minDung'!P80</f>
        <v>0</v>
      </c>
      <c r="J98" s="430" t="str">
        <f t="shared" ref="J98:J128" si="84">IF(A98=" "," ",MAX(0,H98-I98))</f>
        <v xml:space="preserve"> </v>
      </c>
      <c r="K98" s="913">
        <f>IF(A98=" ",0,'Flächen u. Kulturen'!V79)</f>
        <v>0</v>
      </c>
      <c r="L98" s="883" t="str">
        <f t="shared" si="51"/>
        <v/>
      </c>
      <c r="M98" s="879" t="str">
        <f t="shared" si="52"/>
        <v xml:space="preserve"> </v>
      </c>
      <c r="N98" s="444" t="str">
        <f t="shared" si="66"/>
        <v xml:space="preserve"> </v>
      </c>
      <c r="O98" s="911" t="str">
        <f t="shared" si="67"/>
        <v xml:space="preserve"> </v>
      </c>
      <c r="P98" s="912" t="str">
        <f t="shared" si="68"/>
        <v xml:space="preserve"> </v>
      </c>
      <c r="Q98" s="912" t="str">
        <f t="shared" si="69"/>
        <v xml:space="preserve"> </v>
      </c>
      <c r="R98" s="444" t="str">
        <f t="shared" si="53"/>
        <v/>
      </c>
      <c r="S98" s="444" t="str">
        <f t="shared" si="70"/>
        <v/>
      </c>
      <c r="T98" s="444" t="str">
        <f t="shared" si="54"/>
        <v xml:space="preserve"> </v>
      </c>
      <c r="U98" s="119" t="str">
        <f t="shared" si="71"/>
        <v xml:space="preserve"> </v>
      </c>
      <c r="V98" s="444" t="str">
        <f t="shared" si="72"/>
        <v xml:space="preserve"> </v>
      </c>
      <c r="W98" s="909" t="str">
        <f t="shared" si="73"/>
        <v xml:space="preserve"> </v>
      </c>
      <c r="X98" s="924" t="str">
        <f t="shared" si="74"/>
        <v xml:space="preserve"> </v>
      </c>
      <c r="Y98" s="444" t="str">
        <f t="shared" si="55"/>
        <v xml:space="preserve"> </v>
      </c>
      <c r="Z98" s="444" t="str">
        <f t="shared" si="75"/>
        <v xml:space="preserve"> </v>
      </c>
      <c r="AA98" s="444" t="str">
        <f t="shared" si="76"/>
        <v xml:space="preserve"> </v>
      </c>
      <c r="AB98" s="912" t="str">
        <f t="shared" si="77"/>
        <v xml:space="preserve"> </v>
      </c>
      <c r="AC98" s="912" t="str">
        <f t="shared" si="78"/>
        <v xml:space="preserve"> </v>
      </c>
      <c r="AD98" s="444" t="str">
        <f t="shared" si="79"/>
        <v xml:space="preserve"> </v>
      </c>
      <c r="AE98" s="444" t="str">
        <f t="shared" si="80"/>
        <v/>
      </c>
      <c r="AF98" s="444" t="str">
        <f t="shared" si="56"/>
        <v xml:space="preserve"> </v>
      </c>
      <c r="AG98" s="119" t="str">
        <f t="shared" si="81"/>
        <v xml:space="preserve"> </v>
      </c>
      <c r="AH98" s="444" t="str">
        <f t="shared" si="82"/>
        <v xml:space="preserve"> </v>
      </c>
      <c r="AI98" s="909" t="str">
        <f t="shared" si="83"/>
        <v xml:space="preserve"> </v>
      </c>
      <c r="AJ98" s="879" t="str">
        <f t="shared" ref="AJ98:AJ128" si="85">+X98</f>
        <v xml:space="preserve"> </v>
      </c>
      <c r="AK98" s="444" t="str">
        <f t="shared" si="57"/>
        <v xml:space="preserve"> </v>
      </c>
      <c r="AL98" s="444" t="str">
        <f t="shared" si="58"/>
        <v xml:space="preserve"> </v>
      </c>
      <c r="AM98" s="444" t="str">
        <f t="shared" si="59"/>
        <v xml:space="preserve"> </v>
      </c>
      <c r="AN98" s="119" t="str">
        <f t="shared" si="60"/>
        <v xml:space="preserve"> </v>
      </c>
      <c r="AO98" s="444" t="str">
        <f t="shared" si="61"/>
        <v xml:space="preserve"> </v>
      </c>
      <c r="AP98" s="444" t="str">
        <f t="shared" si="62"/>
        <v xml:space="preserve"> </v>
      </c>
      <c r="AQ98" s="123" t="str">
        <f>IF(A98=" "," ",IF('#orgDung'!AB83=0,0,AO98/'#orgDung'!AB83))</f>
        <v xml:space="preserve"> </v>
      </c>
      <c r="AR98" s="47" t="str">
        <f>IF(A98=" "," ",IF('#orgDung'!AB83=0,0,AP98/'#orgDung'!AB83))</f>
        <v xml:space="preserve"> </v>
      </c>
      <c r="AS98" s="890">
        <f>IF(OR(B98=0,B98=""),0,MAX('Flächen u. Kulturen'!V79,AT98/B98))</f>
        <v>0</v>
      </c>
      <c r="AT98" s="875">
        <f t="shared" si="63"/>
        <v>0</v>
      </c>
      <c r="AU98" s="120" t="str">
        <f t="shared" si="64"/>
        <v xml:space="preserve"> </v>
      </c>
    </row>
    <row r="99" spans="1:47" s="875" customFormat="1" x14ac:dyDescent="0.2">
      <c r="A99" s="447" t="str">
        <f>IF('Flächen u. Kulturen'!E80="x",IF(AND('#Kürzungen'!$F$2=2,'#BerechnungDBE'!R75=1,'Flächen u. Kulturen'!D80&lt;&gt;""),'Flächen u. Kulturen'!A80,IF(AND('#BerechnungDBE'!S75=1,'Flächen u. Kulturen'!D80&lt;&gt;""),'Flächen u. Kulturen'!A80," "))," ")</f>
        <v xml:space="preserve"> </v>
      </c>
      <c r="B99" s="505" t="str">
        <f>'Flächen u. Kulturen'!D80</f>
        <v/>
      </c>
      <c r="C99" s="42" t="str">
        <f>IF(A99=" "," ",'#BerechnungDBE'!AA75)</f>
        <v xml:space="preserve"> </v>
      </c>
      <c r="D99" s="42" t="str">
        <f>IF(A99=" "," ",'#BerechnungDBE'!BA75)</f>
        <v xml:space="preserve"> </v>
      </c>
      <c r="E99" s="42" t="str">
        <f t="shared" ref="E99:E128" si="86">IF(A99=" "," ",D99*B99)</f>
        <v xml:space="preserve"> </v>
      </c>
      <c r="F99" s="869"/>
      <c r="G99" s="42" t="str">
        <f>IF(A99=" ","",'#BerechnungDBE'!BA75+'#BerechnungDBE'!BF75)</f>
        <v/>
      </c>
      <c r="H99" s="444" t="str">
        <f t="shared" si="65"/>
        <v/>
      </c>
      <c r="I99" s="444">
        <f>'#minDung'!P81</f>
        <v>0</v>
      </c>
      <c r="J99" s="430" t="str">
        <f t="shared" si="84"/>
        <v xml:space="preserve"> </v>
      </c>
      <c r="K99" s="913">
        <f>IF(A99=" ",0,'Flächen u. Kulturen'!V80)</f>
        <v>0</v>
      </c>
      <c r="L99" s="883" t="str">
        <f t="shared" si="51"/>
        <v/>
      </c>
      <c r="M99" s="879" t="str">
        <f t="shared" si="52"/>
        <v xml:space="preserve"> </v>
      </c>
      <c r="N99" s="444" t="str">
        <f t="shared" si="66"/>
        <v xml:space="preserve"> </v>
      </c>
      <c r="O99" s="911" t="str">
        <f t="shared" si="67"/>
        <v xml:space="preserve"> </v>
      </c>
      <c r="P99" s="912" t="str">
        <f t="shared" si="68"/>
        <v xml:space="preserve"> </v>
      </c>
      <c r="Q99" s="912" t="str">
        <f t="shared" si="69"/>
        <v xml:space="preserve"> </v>
      </c>
      <c r="R99" s="444" t="str">
        <f t="shared" si="53"/>
        <v/>
      </c>
      <c r="S99" s="444" t="str">
        <f t="shared" si="70"/>
        <v/>
      </c>
      <c r="T99" s="444" t="str">
        <f t="shared" si="54"/>
        <v xml:space="preserve"> </v>
      </c>
      <c r="U99" s="119" t="str">
        <f t="shared" si="71"/>
        <v xml:space="preserve"> </v>
      </c>
      <c r="V99" s="444" t="str">
        <f t="shared" si="72"/>
        <v xml:space="preserve"> </v>
      </c>
      <c r="W99" s="909" t="str">
        <f t="shared" si="73"/>
        <v xml:space="preserve"> </v>
      </c>
      <c r="X99" s="924" t="str">
        <f t="shared" si="74"/>
        <v xml:space="preserve"> </v>
      </c>
      <c r="Y99" s="444" t="str">
        <f t="shared" si="55"/>
        <v xml:space="preserve"> </v>
      </c>
      <c r="Z99" s="444" t="str">
        <f t="shared" si="75"/>
        <v xml:space="preserve"> </v>
      </c>
      <c r="AA99" s="444" t="str">
        <f t="shared" si="76"/>
        <v xml:space="preserve"> </v>
      </c>
      <c r="AB99" s="912" t="str">
        <f t="shared" si="77"/>
        <v xml:space="preserve"> </v>
      </c>
      <c r="AC99" s="912" t="str">
        <f t="shared" si="78"/>
        <v xml:space="preserve"> </v>
      </c>
      <c r="AD99" s="444" t="str">
        <f t="shared" si="79"/>
        <v xml:space="preserve"> </v>
      </c>
      <c r="AE99" s="444" t="str">
        <f t="shared" si="80"/>
        <v/>
      </c>
      <c r="AF99" s="444" t="str">
        <f t="shared" si="56"/>
        <v xml:space="preserve"> </v>
      </c>
      <c r="AG99" s="119" t="str">
        <f t="shared" si="81"/>
        <v xml:space="preserve"> </v>
      </c>
      <c r="AH99" s="444" t="str">
        <f t="shared" si="82"/>
        <v xml:space="preserve"> </v>
      </c>
      <c r="AI99" s="909" t="str">
        <f t="shared" si="83"/>
        <v xml:space="preserve"> </v>
      </c>
      <c r="AJ99" s="879" t="str">
        <f t="shared" si="85"/>
        <v xml:space="preserve"> </v>
      </c>
      <c r="AK99" s="444" t="str">
        <f t="shared" si="57"/>
        <v xml:space="preserve"> </v>
      </c>
      <c r="AL99" s="444" t="str">
        <f t="shared" si="58"/>
        <v xml:space="preserve"> </v>
      </c>
      <c r="AM99" s="444" t="str">
        <f t="shared" si="59"/>
        <v xml:space="preserve"> </v>
      </c>
      <c r="AN99" s="119" t="str">
        <f t="shared" si="60"/>
        <v xml:space="preserve"> </v>
      </c>
      <c r="AO99" s="444" t="str">
        <f t="shared" si="61"/>
        <v xml:space="preserve"> </v>
      </c>
      <c r="AP99" s="444" t="str">
        <f t="shared" si="62"/>
        <v xml:space="preserve"> </v>
      </c>
      <c r="AQ99" s="123" t="str">
        <f>IF(A99=" "," ",IF('#orgDung'!AB84=0,0,AO99/'#orgDung'!AB84))</f>
        <v xml:space="preserve"> </v>
      </c>
      <c r="AR99" s="47" t="str">
        <f>IF(A99=" "," ",IF('#orgDung'!AB84=0,0,AP99/'#orgDung'!AB84))</f>
        <v xml:space="preserve"> </v>
      </c>
      <c r="AS99" s="890">
        <f>IF(OR(B99=0,B99=""),0,MAX('Flächen u. Kulturen'!V80,AT99/B99))</f>
        <v>0</v>
      </c>
      <c r="AT99" s="875">
        <f t="shared" si="63"/>
        <v>0</v>
      </c>
      <c r="AU99" s="120" t="str">
        <f t="shared" si="64"/>
        <v xml:space="preserve"> </v>
      </c>
    </row>
    <row r="100" spans="1:47" s="875" customFormat="1" x14ac:dyDescent="0.2">
      <c r="A100" s="447" t="str">
        <f>IF('Flächen u. Kulturen'!E81="x",IF(AND('#Kürzungen'!$F$2=2,'#BerechnungDBE'!R76=1,'Flächen u. Kulturen'!D81&lt;&gt;""),'Flächen u. Kulturen'!A81,IF(AND('#BerechnungDBE'!S76=1,'Flächen u. Kulturen'!D81&lt;&gt;""),'Flächen u. Kulturen'!A81," "))," ")</f>
        <v xml:space="preserve"> </v>
      </c>
      <c r="B100" s="505" t="str">
        <f>'Flächen u. Kulturen'!D81</f>
        <v/>
      </c>
      <c r="C100" s="42" t="str">
        <f>IF(A100=" "," ",'#BerechnungDBE'!AA76)</f>
        <v xml:space="preserve"> </v>
      </c>
      <c r="D100" s="42" t="str">
        <f>IF(A100=" "," ",'#BerechnungDBE'!BA76)</f>
        <v xml:space="preserve"> </v>
      </c>
      <c r="E100" s="42" t="str">
        <f t="shared" si="86"/>
        <v xml:space="preserve"> </v>
      </c>
      <c r="F100" s="869"/>
      <c r="G100" s="42" t="str">
        <f>IF(A100=" ","",'#BerechnungDBE'!BA76+'#BerechnungDBE'!BF76)</f>
        <v/>
      </c>
      <c r="H100" s="444" t="str">
        <f t="shared" si="65"/>
        <v/>
      </c>
      <c r="I100" s="444">
        <f>'#minDung'!P82</f>
        <v>0</v>
      </c>
      <c r="J100" s="430" t="str">
        <f t="shared" si="84"/>
        <v xml:space="preserve"> </v>
      </c>
      <c r="K100" s="913">
        <f>IF(A100=" ",0,'Flächen u. Kulturen'!V81)</f>
        <v>0</v>
      </c>
      <c r="L100" s="883" t="str">
        <f t="shared" si="51"/>
        <v/>
      </c>
      <c r="M100" s="879" t="str">
        <f t="shared" si="52"/>
        <v xml:space="preserve"> </v>
      </c>
      <c r="N100" s="444" t="str">
        <f t="shared" si="66"/>
        <v xml:space="preserve"> </v>
      </c>
      <c r="O100" s="911" t="str">
        <f t="shared" si="67"/>
        <v xml:space="preserve"> </v>
      </c>
      <c r="P100" s="912" t="str">
        <f t="shared" si="68"/>
        <v xml:space="preserve"> </v>
      </c>
      <c r="Q100" s="912" t="str">
        <f t="shared" si="69"/>
        <v xml:space="preserve"> </v>
      </c>
      <c r="R100" s="444" t="str">
        <f t="shared" si="53"/>
        <v/>
      </c>
      <c r="S100" s="444" t="str">
        <f t="shared" si="70"/>
        <v/>
      </c>
      <c r="T100" s="444" t="str">
        <f t="shared" si="54"/>
        <v xml:space="preserve"> </v>
      </c>
      <c r="U100" s="119" t="str">
        <f t="shared" si="71"/>
        <v xml:space="preserve"> </v>
      </c>
      <c r="V100" s="444" t="str">
        <f t="shared" si="72"/>
        <v xml:space="preserve"> </v>
      </c>
      <c r="W100" s="909" t="str">
        <f t="shared" si="73"/>
        <v xml:space="preserve"> </v>
      </c>
      <c r="X100" s="924" t="str">
        <f t="shared" si="74"/>
        <v xml:space="preserve"> </v>
      </c>
      <c r="Y100" s="444" t="str">
        <f t="shared" si="55"/>
        <v xml:space="preserve"> </v>
      </c>
      <c r="Z100" s="444" t="str">
        <f t="shared" si="75"/>
        <v xml:space="preserve"> </v>
      </c>
      <c r="AA100" s="444" t="str">
        <f t="shared" si="76"/>
        <v xml:space="preserve"> </v>
      </c>
      <c r="AB100" s="912" t="str">
        <f t="shared" si="77"/>
        <v xml:space="preserve"> </v>
      </c>
      <c r="AC100" s="912" t="str">
        <f t="shared" si="78"/>
        <v xml:space="preserve"> </v>
      </c>
      <c r="AD100" s="444" t="str">
        <f t="shared" si="79"/>
        <v xml:space="preserve"> </v>
      </c>
      <c r="AE100" s="444" t="str">
        <f t="shared" si="80"/>
        <v/>
      </c>
      <c r="AF100" s="444" t="str">
        <f t="shared" si="56"/>
        <v xml:space="preserve"> </v>
      </c>
      <c r="AG100" s="119" t="str">
        <f t="shared" si="81"/>
        <v xml:space="preserve"> </v>
      </c>
      <c r="AH100" s="444" t="str">
        <f t="shared" si="82"/>
        <v xml:space="preserve"> </v>
      </c>
      <c r="AI100" s="909" t="str">
        <f t="shared" si="83"/>
        <v xml:space="preserve"> </v>
      </c>
      <c r="AJ100" s="879" t="str">
        <f t="shared" si="85"/>
        <v xml:space="preserve"> </v>
      </c>
      <c r="AK100" s="444" t="str">
        <f t="shared" si="57"/>
        <v xml:space="preserve"> </v>
      </c>
      <c r="AL100" s="444" t="str">
        <f t="shared" si="58"/>
        <v xml:space="preserve"> </v>
      </c>
      <c r="AM100" s="444" t="str">
        <f t="shared" si="59"/>
        <v xml:space="preserve"> </v>
      </c>
      <c r="AN100" s="119" t="str">
        <f t="shared" si="60"/>
        <v xml:space="preserve"> </v>
      </c>
      <c r="AO100" s="444" t="str">
        <f t="shared" si="61"/>
        <v xml:space="preserve"> </v>
      </c>
      <c r="AP100" s="444" t="str">
        <f t="shared" si="62"/>
        <v xml:space="preserve"> </v>
      </c>
      <c r="AQ100" s="123" t="str">
        <f>IF(A100=" "," ",IF('#orgDung'!AB85=0,0,AO100/'#orgDung'!AB85))</f>
        <v xml:space="preserve"> </v>
      </c>
      <c r="AR100" s="47" t="str">
        <f>IF(A100=" "," ",IF('#orgDung'!AB85=0,0,AP100/'#orgDung'!AB85))</f>
        <v xml:space="preserve"> </v>
      </c>
      <c r="AS100" s="890">
        <f>IF(OR(B100=0,B100=""),0,MAX('Flächen u. Kulturen'!V81,AT100/B100))</f>
        <v>0</v>
      </c>
      <c r="AT100" s="875">
        <f t="shared" si="63"/>
        <v>0</v>
      </c>
      <c r="AU100" s="120" t="str">
        <f t="shared" si="64"/>
        <v xml:space="preserve"> </v>
      </c>
    </row>
    <row r="101" spans="1:47" s="875" customFormat="1" x14ac:dyDescent="0.2">
      <c r="A101" s="447" t="str">
        <f>IF('Flächen u. Kulturen'!E82="x",IF(AND('#Kürzungen'!$F$2=2,'#BerechnungDBE'!R77=1,'Flächen u. Kulturen'!D82&lt;&gt;""),'Flächen u. Kulturen'!A82,IF(AND('#BerechnungDBE'!S77=1,'Flächen u. Kulturen'!D82&lt;&gt;""),'Flächen u. Kulturen'!A82," "))," ")</f>
        <v xml:space="preserve"> </v>
      </c>
      <c r="B101" s="505" t="str">
        <f>'Flächen u. Kulturen'!D82</f>
        <v/>
      </c>
      <c r="C101" s="42" t="str">
        <f>IF(A101=" "," ",'#BerechnungDBE'!AA77)</f>
        <v xml:space="preserve"> </v>
      </c>
      <c r="D101" s="42" t="str">
        <f>IF(A101=" "," ",'#BerechnungDBE'!BA77)</f>
        <v xml:space="preserve"> </v>
      </c>
      <c r="E101" s="42" t="str">
        <f t="shared" si="86"/>
        <v xml:space="preserve"> </v>
      </c>
      <c r="F101" s="869"/>
      <c r="G101" s="42" t="str">
        <f>IF(A101=" ","",'#BerechnungDBE'!BA77+'#BerechnungDBE'!BF77)</f>
        <v/>
      </c>
      <c r="H101" s="444" t="str">
        <f t="shared" si="65"/>
        <v/>
      </c>
      <c r="I101" s="444">
        <f>'#minDung'!P83</f>
        <v>0</v>
      </c>
      <c r="J101" s="430" t="str">
        <f t="shared" si="84"/>
        <v xml:space="preserve"> </v>
      </c>
      <c r="K101" s="913">
        <f>IF(A101=" ",0,'Flächen u. Kulturen'!V82)</f>
        <v>0</v>
      </c>
      <c r="L101" s="883" t="str">
        <f t="shared" si="51"/>
        <v/>
      </c>
      <c r="M101" s="879" t="str">
        <f t="shared" si="52"/>
        <v xml:space="preserve"> </v>
      </c>
      <c r="N101" s="444" t="str">
        <f t="shared" si="66"/>
        <v xml:space="preserve"> </v>
      </c>
      <c r="O101" s="911" t="str">
        <f t="shared" si="67"/>
        <v xml:space="preserve"> </v>
      </c>
      <c r="P101" s="912" t="str">
        <f t="shared" si="68"/>
        <v xml:space="preserve"> </v>
      </c>
      <c r="Q101" s="912" t="str">
        <f t="shared" si="69"/>
        <v xml:space="preserve"> </v>
      </c>
      <c r="R101" s="444" t="str">
        <f t="shared" si="53"/>
        <v/>
      </c>
      <c r="S101" s="444" t="str">
        <f t="shared" si="70"/>
        <v/>
      </c>
      <c r="T101" s="444" t="str">
        <f t="shared" si="54"/>
        <v xml:space="preserve"> </v>
      </c>
      <c r="U101" s="119" t="str">
        <f t="shared" si="71"/>
        <v xml:space="preserve"> </v>
      </c>
      <c r="V101" s="444" t="str">
        <f t="shared" si="72"/>
        <v xml:space="preserve"> </v>
      </c>
      <c r="W101" s="909" t="str">
        <f t="shared" si="73"/>
        <v xml:space="preserve"> </v>
      </c>
      <c r="X101" s="924" t="str">
        <f t="shared" si="74"/>
        <v xml:space="preserve"> </v>
      </c>
      <c r="Y101" s="444" t="str">
        <f t="shared" si="55"/>
        <v xml:space="preserve"> </v>
      </c>
      <c r="Z101" s="444" t="str">
        <f t="shared" si="75"/>
        <v xml:space="preserve"> </v>
      </c>
      <c r="AA101" s="444" t="str">
        <f t="shared" si="76"/>
        <v xml:space="preserve"> </v>
      </c>
      <c r="AB101" s="912" t="str">
        <f t="shared" si="77"/>
        <v xml:space="preserve"> </v>
      </c>
      <c r="AC101" s="912" t="str">
        <f t="shared" si="78"/>
        <v xml:space="preserve"> </v>
      </c>
      <c r="AD101" s="444" t="str">
        <f t="shared" si="79"/>
        <v xml:space="preserve"> </v>
      </c>
      <c r="AE101" s="444" t="str">
        <f t="shared" si="80"/>
        <v/>
      </c>
      <c r="AF101" s="444" t="str">
        <f t="shared" si="56"/>
        <v xml:space="preserve"> </v>
      </c>
      <c r="AG101" s="119" t="str">
        <f t="shared" si="81"/>
        <v xml:space="preserve"> </v>
      </c>
      <c r="AH101" s="444" t="str">
        <f t="shared" si="82"/>
        <v xml:space="preserve"> </v>
      </c>
      <c r="AI101" s="909" t="str">
        <f t="shared" si="83"/>
        <v xml:space="preserve"> </v>
      </c>
      <c r="AJ101" s="879" t="str">
        <f t="shared" si="85"/>
        <v xml:space="preserve"> </v>
      </c>
      <c r="AK101" s="444" t="str">
        <f t="shared" si="57"/>
        <v xml:space="preserve"> </v>
      </c>
      <c r="AL101" s="444" t="str">
        <f t="shared" si="58"/>
        <v xml:space="preserve"> </v>
      </c>
      <c r="AM101" s="444" t="str">
        <f t="shared" si="59"/>
        <v xml:space="preserve"> </v>
      </c>
      <c r="AN101" s="119" t="str">
        <f t="shared" si="60"/>
        <v xml:space="preserve"> </v>
      </c>
      <c r="AO101" s="444" t="str">
        <f t="shared" si="61"/>
        <v xml:space="preserve"> </v>
      </c>
      <c r="AP101" s="444" t="str">
        <f t="shared" si="62"/>
        <v xml:space="preserve"> </v>
      </c>
      <c r="AQ101" s="123" t="str">
        <f>IF(A101=" "," ",IF('#orgDung'!AB86=0,0,AO101/'#orgDung'!AB86))</f>
        <v xml:space="preserve"> </v>
      </c>
      <c r="AR101" s="47" t="str">
        <f>IF(A101=" "," ",IF('#orgDung'!AB86=0,0,AP101/'#orgDung'!AB86))</f>
        <v xml:space="preserve"> </v>
      </c>
      <c r="AS101" s="890">
        <f>IF(OR(B101=0,B101=""),0,MAX('Flächen u. Kulturen'!V82,AT101/B101))</f>
        <v>0</v>
      </c>
      <c r="AT101" s="875">
        <f t="shared" si="63"/>
        <v>0</v>
      </c>
      <c r="AU101" s="120" t="str">
        <f t="shared" si="64"/>
        <v xml:space="preserve"> </v>
      </c>
    </row>
    <row r="102" spans="1:47" s="875" customFormat="1" x14ac:dyDescent="0.2">
      <c r="A102" s="447" t="str">
        <f>IF('Flächen u. Kulturen'!E83="x",IF(AND('#Kürzungen'!$F$2=2,'#BerechnungDBE'!R78=1,'Flächen u. Kulturen'!D83&lt;&gt;""),'Flächen u. Kulturen'!A83,IF(AND('#BerechnungDBE'!S78=1,'Flächen u. Kulturen'!D83&lt;&gt;""),'Flächen u. Kulturen'!A83," "))," ")</f>
        <v xml:space="preserve"> </v>
      </c>
      <c r="B102" s="505" t="str">
        <f>'Flächen u. Kulturen'!D83</f>
        <v/>
      </c>
      <c r="C102" s="42" t="str">
        <f>IF(A102=" "," ",'#BerechnungDBE'!AA78)</f>
        <v xml:space="preserve"> </v>
      </c>
      <c r="D102" s="42" t="str">
        <f>IF(A102=" "," ",'#BerechnungDBE'!BA78)</f>
        <v xml:space="preserve"> </v>
      </c>
      <c r="E102" s="42" t="str">
        <f t="shared" si="86"/>
        <v xml:space="preserve"> </v>
      </c>
      <c r="F102" s="869"/>
      <c r="G102" s="42" t="str">
        <f>IF(A102=" ","",'#BerechnungDBE'!BA78+'#BerechnungDBE'!BF78)</f>
        <v/>
      </c>
      <c r="H102" s="444" t="str">
        <f t="shared" si="65"/>
        <v/>
      </c>
      <c r="I102" s="444">
        <f>'#minDung'!P84</f>
        <v>0</v>
      </c>
      <c r="J102" s="430" t="str">
        <f t="shared" si="84"/>
        <v xml:space="preserve"> </v>
      </c>
      <c r="K102" s="913">
        <f>IF(A102=" ",0,'Flächen u. Kulturen'!V83)</f>
        <v>0</v>
      </c>
      <c r="L102" s="883" t="str">
        <f t="shared" si="51"/>
        <v/>
      </c>
      <c r="M102" s="879" t="str">
        <f t="shared" si="52"/>
        <v xml:space="preserve"> </v>
      </c>
      <c r="N102" s="444" t="str">
        <f t="shared" si="66"/>
        <v xml:space="preserve"> </v>
      </c>
      <c r="O102" s="911" t="str">
        <f t="shared" si="67"/>
        <v xml:space="preserve"> </v>
      </c>
      <c r="P102" s="912" t="str">
        <f t="shared" si="68"/>
        <v xml:space="preserve"> </v>
      </c>
      <c r="Q102" s="912" t="str">
        <f t="shared" si="69"/>
        <v xml:space="preserve"> </v>
      </c>
      <c r="R102" s="444" t="str">
        <f t="shared" si="53"/>
        <v/>
      </c>
      <c r="S102" s="444" t="str">
        <f t="shared" si="70"/>
        <v/>
      </c>
      <c r="T102" s="444" t="str">
        <f t="shared" si="54"/>
        <v xml:space="preserve"> </v>
      </c>
      <c r="U102" s="119" t="str">
        <f t="shared" si="71"/>
        <v xml:space="preserve"> </v>
      </c>
      <c r="V102" s="444" t="str">
        <f t="shared" si="72"/>
        <v xml:space="preserve"> </v>
      </c>
      <c r="W102" s="909" t="str">
        <f t="shared" si="73"/>
        <v xml:space="preserve"> </v>
      </c>
      <c r="X102" s="924" t="str">
        <f t="shared" si="74"/>
        <v xml:space="preserve"> </v>
      </c>
      <c r="Y102" s="444" t="str">
        <f t="shared" si="55"/>
        <v xml:space="preserve"> </v>
      </c>
      <c r="Z102" s="444" t="str">
        <f t="shared" si="75"/>
        <v xml:space="preserve"> </v>
      </c>
      <c r="AA102" s="444" t="str">
        <f t="shared" si="76"/>
        <v xml:space="preserve"> </v>
      </c>
      <c r="AB102" s="912" t="str">
        <f t="shared" si="77"/>
        <v xml:space="preserve"> </v>
      </c>
      <c r="AC102" s="912" t="str">
        <f t="shared" si="78"/>
        <v xml:space="preserve"> </v>
      </c>
      <c r="AD102" s="444" t="str">
        <f t="shared" si="79"/>
        <v xml:space="preserve"> </v>
      </c>
      <c r="AE102" s="444" t="str">
        <f t="shared" si="80"/>
        <v/>
      </c>
      <c r="AF102" s="444" t="str">
        <f t="shared" si="56"/>
        <v xml:space="preserve"> </v>
      </c>
      <c r="AG102" s="119" t="str">
        <f t="shared" si="81"/>
        <v xml:space="preserve"> </v>
      </c>
      <c r="AH102" s="444" t="str">
        <f t="shared" si="82"/>
        <v xml:space="preserve"> </v>
      </c>
      <c r="AI102" s="909" t="str">
        <f t="shared" si="83"/>
        <v xml:space="preserve"> </v>
      </c>
      <c r="AJ102" s="879" t="str">
        <f t="shared" si="85"/>
        <v xml:space="preserve"> </v>
      </c>
      <c r="AK102" s="444" t="str">
        <f t="shared" si="57"/>
        <v xml:space="preserve"> </v>
      </c>
      <c r="AL102" s="444" t="str">
        <f t="shared" si="58"/>
        <v xml:space="preserve"> </v>
      </c>
      <c r="AM102" s="444" t="str">
        <f t="shared" si="59"/>
        <v xml:space="preserve"> </v>
      </c>
      <c r="AN102" s="119" t="str">
        <f t="shared" si="60"/>
        <v xml:space="preserve"> </v>
      </c>
      <c r="AO102" s="444" t="str">
        <f t="shared" si="61"/>
        <v xml:space="preserve"> </v>
      </c>
      <c r="AP102" s="444" t="str">
        <f t="shared" si="62"/>
        <v xml:space="preserve"> </v>
      </c>
      <c r="AQ102" s="123" t="str">
        <f>IF(A102=" "," ",IF('#orgDung'!AB87=0,0,AO102/'#orgDung'!AB87))</f>
        <v xml:space="preserve"> </v>
      </c>
      <c r="AR102" s="47" t="str">
        <f>IF(A102=" "," ",IF('#orgDung'!AB87=0,0,AP102/'#orgDung'!AB87))</f>
        <v xml:space="preserve"> </v>
      </c>
      <c r="AS102" s="890">
        <f>IF(OR(B102=0,B102=""),0,MAX('Flächen u. Kulturen'!V83,AT102/B102))</f>
        <v>0</v>
      </c>
      <c r="AT102" s="875">
        <f t="shared" si="63"/>
        <v>0</v>
      </c>
      <c r="AU102" s="120" t="str">
        <f t="shared" si="64"/>
        <v xml:space="preserve"> </v>
      </c>
    </row>
    <row r="103" spans="1:47" s="875" customFormat="1" x14ac:dyDescent="0.2">
      <c r="A103" s="447" t="str">
        <f>IF('Flächen u. Kulturen'!E84="x",IF(AND('#Kürzungen'!$F$2=2,'#BerechnungDBE'!R79=1,'Flächen u. Kulturen'!D84&lt;&gt;""),'Flächen u. Kulturen'!A84,IF(AND('#BerechnungDBE'!S79=1,'Flächen u. Kulturen'!D84&lt;&gt;""),'Flächen u. Kulturen'!A84," "))," ")</f>
        <v xml:space="preserve"> </v>
      </c>
      <c r="B103" s="505" t="str">
        <f>'Flächen u. Kulturen'!D84</f>
        <v/>
      </c>
      <c r="C103" s="42" t="str">
        <f>IF(A103=" "," ",'#BerechnungDBE'!AA79)</f>
        <v xml:space="preserve"> </v>
      </c>
      <c r="D103" s="42" t="str">
        <f>IF(A103=" "," ",'#BerechnungDBE'!BA79)</f>
        <v xml:space="preserve"> </v>
      </c>
      <c r="E103" s="42" t="str">
        <f t="shared" si="86"/>
        <v xml:space="preserve"> </v>
      </c>
      <c r="F103" s="869"/>
      <c r="G103" s="42" t="str">
        <f>IF(A103=" ","",'#BerechnungDBE'!BA79+'#BerechnungDBE'!BF79)</f>
        <v/>
      </c>
      <c r="H103" s="444" t="str">
        <f t="shared" si="65"/>
        <v/>
      </c>
      <c r="I103" s="444">
        <f>'#minDung'!P85</f>
        <v>0</v>
      </c>
      <c r="J103" s="430" t="str">
        <f t="shared" si="84"/>
        <v xml:space="preserve"> </v>
      </c>
      <c r="K103" s="913">
        <f>IF(A103=" ",0,'Flächen u. Kulturen'!V84)</f>
        <v>0</v>
      </c>
      <c r="L103" s="883" t="str">
        <f t="shared" si="51"/>
        <v/>
      </c>
      <c r="M103" s="879" t="str">
        <f t="shared" si="52"/>
        <v xml:space="preserve"> </v>
      </c>
      <c r="N103" s="444" t="str">
        <f t="shared" si="66"/>
        <v xml:space="preserve"> </v>
      </c>
      <c r="O103" s="911" t="str">
        <f t="shared" si="67"/>
        <v xml:space="preserve"> </v>
      </c>
      <c r="P103" s="912" t="str">
        <f t="shared" si="68"/>
        <v xml:space="preserve"> </v>
      </c>
      <c r="Q103" s="912" t="str">
        <f t="shared" si="69"/>
        <v xml:space="preserve"> </v>
      </c>
      <c r="R103" s="444" t="str">
        <f t="shared" si="53"/>
        <v/>
      </c>
      <c r="S103" s="444" t="str">
        <f t="shared" si="70"/>
        <v/>
      </c>
      <c r="T103" s="444" t="str">
        <f t="shared" si="54"/>
        <v xml:space="preserve"> </v>
      </c>
      <c r="U103" s="119" t="str">
        <f t="shared" si="71"/>
        <v xml:space="preserve"> </v>
      </c>
      <c r="V103" s="444" t="str">
        <f t="shared" si="72"/>
        <v xml:space="preserve"> </v>
      </c>
      <c r="W103" s="909" t="str">
        <f t="shared" si="73"/>
        <v xml:space="preserve"> </v>
      </c>
      <c r="X103" s="924" t="str">
        <f t="shared" si="74"/>
        <v xml:space="preserve"> </v>
      </c>
      <c r="Y103" s="444" t="str">
        <f t="shared" si="55"/>
        <v xml:space="preserve"> </v>
      </c>
      <c r="Z103" s="444" t="str">
        <f t="shared" si="75"/>
        <v xml:space="preserve"> </v>
      </c>
      <c r="AA103" s="444" t="str">
        <f t="shared" si="76"/>
        <v xml:space="preserve"> </v>
      </c>
      <c r="AB103" s="912" t="str">
        <f t="shared" si="77"/>
        <v xml:space="preserve"> </v>
      </c>
      <c r="AC103" s="912" t="str">
        <f t="shared" si="78"/>
        <v xml:space="preserve"> </v>
      </c>
      <c r="AD103" s="444" t="str">
        <f t="shared" si="79"/>
        <v xml:space="preserve"> </v>
      </c>
      <c r="AE103" s="444" t="str">
        <f t="shared" si="80"/>
        <v/>
      </c>
      <c r="AF103" s="444" t="str">
        <f t="shared" si="56"/>
        <v xml:space="preserve"> </v>
      </c>
      <c r="AG103" s="119" t="str">
        <f t="shared" si="81"/>
        <v xml:space="preserve"> </v>
      </c>
      <c r="AH103" s="444" t="str">
        <f t="shared" si="82"/>
        <v xml:space="preserve"> </v>
      </c>
      <c r="AI103" s="909" t="str">
        <f t="shared" si="83"/>
        <v xml:space="preserve"> </v>
      </c>
      <c r="AJ103" s="879" t="str">
        <f t="shared" si="85"/>
        <v xml:space="preserve"> </v>
      </c>
      <c r="AK103" s="444" t="str">
        <f t="shared" si="57"/>
        <v xml:space="preserve"> </v>
      </c>
      <c r="AL103" s="444" t="str">
        <f t="shared" si="58"/>
        <v xml:space="preserve"> </v>
      </c>
      <c r="AM103" s="444" t="str">
        <f t="shared" si="59"/>
        <v xml:space="preserve"> </v>
      </c>
      <c r="AN103" s="119" t="str">
        <f t="shared" si="60"/>
        <v xml:space="preserve"> </v>
      </c>
      <c r="AO103" s="444" t="str">
        <f t="shared" si="61"/>
        <v xml:space="preserve"> </v>
      </c>
      <c r="AP103" s="444" t="str">
        <f t="shared" si="62"/>
        <v xml:space="preserve"> </v>
      </c>
      <c r="AQ103" s="123" t="str">
        <f>IF(A103=" "," ",IF('#orgDung'!AB88=0,0,AO103/'#orgDung'!AB88))</f>
        <v xml:space="preserve"> </v>
      </c>
      <c r="AR103" s="47" t="str">
        <f>IF(A103=" "," ",IF('#orgDung'!AB88=0,0,AP103/'#orgDung'!AB88))</f>
        <v xml:space="preserve"> </v>
      </c>
      <c r="AS103" s="890">
        <f>IF(OR(B103=0,B103=""),0,MAX('Flächen u. Kulturen'!V84,AT103/B103))</f>
        <v>0</v>
      </c>
      <c r="AT103" s="875">
        <f t="shared" si="63"/>
        <v>0</v>
      </c>
      <c r="AU103" s="120" t="str">
        <f t="shared" si="64"/>
        <v xml:space="preserve"> </v>
      </c>
    </row>
    <row r="104" spans="1:47" s="875" customFormat="1" x14ac:dyDescent="0.2">
      <c r="A104" s="447" t="str">
        <f>IF('Flächen u. Kulturen'!E85="x",IF(AND('#Kürzungen'!$F$2=2,'#BerechnungDBE'!R80=1,'Flächen u. Kulturen'!D85&lt;&gt;""),'Flächen u. Kulturen'!A85,IF(AND('#BerechnungDBE'!S80=1,'Flächen u. Kulturen'!D85&lt;&gt;""),'Flächen u. Kulturen'!A85," "))," ")</f>
        <v xml:space="preserve"> </v>
      </c>
      <c r="B104" s="505" t="str">
        <f>'Flächen u. Kulturen'!D85</f>
        <v/>
      </c>
      <c r="C104" s="42" t="str">
        <f>IF(A104=" "," ",'#BerechnungDBE'!AA80)</f>
        <v xml:space="preserve"> </v>
      </c>
      <c r="D104" s="42" t="str">
        <f>IF(A104=" "," ",'#BerechnungDBE'!BA80)</f>
        <v xml:space="preserve"> </v>
      </c>
      <c r="E104" s="42" t="str">
        <f t="shared" si="86"/>
        <v xml:space="preserve"> </v>
      </c>
      <c r="F104" s="869"/>
      <c r="G104" s="42" t="str">
        <f>IF(A104=" ","",'#BerechnungDBE'!BA80+'#BerechnungDBE'!BF80)</f>
        <v/>
      </c>
      <c r="H104" s="444" t="str">
        <f t="shared" si="65"/>
        <v/>
      </c>
      <c r="I104" s="444">
        <f>'#minDung'!P86</f>
        <v>0</v>
      </c>
      <c r="J104" s="430" t="str">
        <f t="shared" si="84"/>
        <v xml:space="preserve"> </v>
      </c>
      <c r="K104" s="913">
        <f>IF(A104=" ",0,'Flächen u. Kulturen'!V85)</f>
        <v>0</v>
      </c>
      <c r="L104" s="883" t="str">
        <f t="shared" si="51"/>
        <v/>
      </c>
      <c r="M104" s="879" t="str">
        <f t="shared" si="52"/>
        <v xml:space="preserve"> </v>
      </c>
      <c r="N104" s="444" t="str">
        <f t="shared" si="66"/>
        <v xml:space="preserve"> </v>
      </c>
      <c r="O104" s="911" t="str">
        <f t="shared" si="67"/>
        <v xml:space="preserve"> </v>
      </c>
      <c r="P104" s="912" t="str">
        <f t="shared" si="68"/>
        <v xml:space="preserve"> </v>
      </c>
      <c r="Q104" s="912" t="str">
        <f t="shared" si="69"/>
        <v xml:space="preserve"> </v>
      </c>
      <c r="R104" s="444" t="str">
        <f t="shared" si="53"/>
        <v/>
      </c>
      <c r="S104" s="444" t="str">
        <f t="shared" si="70"/>
        <v/>
      </c>
      <c r="T104" s="444" t="str">
        <f t="shared" si="54"/>
        <v xml:space="preserve"> </v>
      </c>
      <c r="U104" s="119" t="str">
        <f t="shared" si="71"/>
        <v xml:space="preserve"> </v>
      </c>
      <c r="V104" s="444" t="str">
        <f t="shared" si="72"/>
        <v xml:space="preserve"> </v>
      </c>
      <c r="W104" s="909" t="str">
        <f t="shared" si="73"/>
        <v xml:space="preserve"> </v>
      </c>
      <c r="X104" s="924" t="str">
        <f t="shared" si="74"/>
        <v xml:space="preserve"> </v>
      </c>
      <c r="Y104" s="444" t="str">
        <f t="shared" si="55"/>
        <v xml:space="preserve"> </v>
      </c>
      <c r="Z104" s="444" t="str">
        <f t="shared" si="75"/>
        <v xml:space="preserve"> </v>
      </c>
      <c r="AA104" s="444" t="str">
        <f t="shared" si="76"/>
        <v xml:space="preserve"> </v>
      </c>
      <c r="AB104" s="912" t="str">
        <f t="shared" si="77"/>
        <v xml:space="preserve"> </v>
      </c>
      <c r="AC104" s="912" t="str">
        <f t="shared" si="78"/>
        <v xml:space="preserve"> </v>
      </c>
      <c r="AD104" s="444" t="str">
        <f t="shared" si="79"/>
        <v xml:space="preserve"> </v>
      </c>
      <c r="AE104" s="444" t="str">
        <f t="shared" si="80"/>
        <v/>
      </c>
      <c r="AF104" s="444" t="str">
        <f t="shared" si="56"/>
        <v xml:space="preserve"> </v>
      </c>
      <c r="AG104" s="119" t="str">
        <f t="shared" si="81"/>
        <v xml:space="preserve"> </v>
      </c>
      <c r="AH104" s="444" t="str">
        <f t="shared" si="82"/>
        <v xml:space="preserve"> </v>
      </c>
      <c r="AI104" s="909" t="str">
        <f t="shared" si="83"/>
        <v xml:space="preserve"> </v>
      </c>
      <c r="AJ104" s="879" t="str">
        <f t="shared" si="85"/>
        <v xml:space="preserve"> </v>
      </c>
      <c r="AK104" s="444" t="str">
        <f t="shared" si="57"/>
        <v xml:space="preserve"> </v>
      </c>
      <c r="AL104" s="444" t="str">
        <f t="shared" si="58"/>
        <v xml:space="preserve"> </v>
      </c>
      <c r="AM104" s="444" t="str">
        <f t="shared" si="59"/>
        <v xml:space="preserve"> </v>
      </c>
      <c r="AN104" s="119" t="str">
        <f t="shared" si="60"/>
        <v xml:space="preserve"> </v>
      </c>
      <c r="AO104" s="444" t="str">
        <f t="shared" si="61"/>
        <v xml:space="preserve"> </v>
      </c>
      <c r="AP104" s="444" t="str">
        <f t="shared" si="62"/>
        <v xml:space="preserve"> </v>
      </c>
      <c r="AQ104" s="123" t="str">
        <f>IF(A104=" "," ",IF('#orgDung'!AB89=0,0,AO104/'#orgDung'!AB89))</f>
        <v xml:space="preserve"> </v>
      </c>
      <c r="AR104" s="47" t="str">
        <f>IF(A104=" "," ",IF('#orgDung'!AB89=0,0,AP104/'#orgDung'!AB89))</f>
        <v xml:space="preserve"> </v>
      </c>
      <c r="AS104" s="890">
        <f>IF(OR(B104=0,B104=""),0,MAX('Flächen u. Kulturen'!V85,AT104/B104))</f>
        <v>0</v>
      </c>
      <c r="AT104" s="875">
        <f t="shared" si="63"/>
        <v>0</v>
      </c>
      <c r="AU104" s="120" t="str">
        <f t="shared" si="64"/>
        <v xml:space="preserve"> </v>
      </c>
    </row>
    <row r="105" spans="1:47" s="875" customFormat="1" x14ac:dyDescent="0.2">
      <c r="A105" s="447" t="str">
        <f>IF('Flächen u. Kulturen'!E86="x",IF(AND('#Kürzungen'!$F$2=2,'#BerechnungDBE'!R81=1,'Flächen u. Kulturen'!D86&lt;&gt;""),'Flächen u. Kulturen'!A86,IF(AND('#BerechnungDBE'!S81=1,'Flächen u. Kulturen'!D86&lt;&gt;""),'Flächen u. Kulturen'!A86," "))," ")</f>
        <v xml:space="preserve"> </v>
      </c>
      <c r="B105" s="505" t="str">
        <f>'Flächen u. Kulturen'!D86</f>
        <v/>
      </c>
      <c r="C105" s="42" t="str">
        <f>IF(A105=" "," ",'#BerechnungDBE'!AA81)</f>
        <v xml:space="preserve"> </v>
      </c>
      <c r="D105" s="42" t="str">
        <f>IF(A105=" "," ",'#BerechnungDBE'!BA81)</f>
        <v xml:space="preserve"> </v>
      </c>
      <c r="E105" s="42" t="str">
        <f t="shared" si="86"/>
        <v xml:space="preserve"> </v>
      </c>
      <c r="F105" s="869"/>
      <c r="G105" s="42" t="str">
        <f>IF(A105=" ","",'#BerechnungDBE'!BA81+'#BerechnungDBE'!BF81)</f>
        <v/>
      </c>
      <c r="H105" s="444" t="str">
        <f t="shared" si="65"/>
        <v/>
      </c>
      <c r="I105" s="444">
        <f>'#minDung'!P87</f>
        <v>0</v>
      </c>
      <c r="J105" s="430" t="str">
        <f t="shared" si="84"/>
        <v xml:space="preserve"> </v>
      </c>
      <c r="K105" s="913">
        <f>IF(A105=" ",0,'Flächen u. Kulturen'!V86)</f>
        <v>0</v>
      </c>
      <c r="L105" s="883" t="str">
        <f t="shared" si="51"/>
        <v/>
      </c>
      <c r="M105" s="879" t="str">
        <f t="shared" si="52"/>
        <v xml:space="preserve"> </v>
      </c>
      <c r="N105" s="444" t="str">
        <f t="shared" si="66"/>
        <v xml:space="preserve"> </v>
      </c>
      <c r="O105" s="911" t="str">
        <f t="shared" si="67"/>
        <v xml:space="preserve"> </v>
      </c>
      <c r="P105" s="912" t="str">
        <f t="shared" si="68"/>
        <v xml:space="preserve"> </v>
      </c>
      <c r="Q105" s="912" t="str">
        <f t="shared" si="69"/>
        <v xml:space="preserve"> </v>
      </c>
      <c r="R105" s="444" t="str">
        <f t="shared" si="53"/>
        <v/>
      </c>
      <c r="S105" s="444" t="str">
        <f t="shared" si="70"/>
        <v/>
      </c>
      <c r="T105" s="444" t="str">
        <f t="shared" si="54"/>
        <v xml:space="preserve"> </v>
      </c>
      <c r="U105" s="119" t="str">
        <f t="shared" si="71"/>
        <v xml:space="preserve"> </v>
      </c>
      <c r="V105" s="444" t="str">
        <f t="shared" si="72"/>
        <v xml:space="preserve"> </v>
      </c>
      <c r="W105" s="909" t="str">
        <f t="shared" si="73"/>
        <v xml:space="preserve"> </v>
      </c>
      <c r="X105" s="924" t="str">
        <f t="shared" si="74"/>
        <v xml:space="preserve"> </v>
      </c>
      <c r="Y105" s="444" t="str">
        <f t="shared" si="55"/>
        <v xml:space="preserve"> </v>
      </c>
      <c r="Z105" s="444" t="str">
        <f t="shared" si="75"/>
        <v xml:space="preserve"> </v>
      </c>
      <c r="AA105" s="444" t="str">
        <f t="shared" si="76"/>
        <v xml:space="preserve"> </v>
      </c>
      <c r="AB105" s="912" t="str">
        <f t="shared" si="77"/>
        <v xml:space="preserve"> </v>
      </c>
      <c r="AC105" s="912" t="str">
        <f t="shared" si="78"/>
        <v xml:space="preserve"> </v>
      </c>
      <c r="AD105" s="444" t="str">
        <f t="shared" si="79"/>
        <v xml:space="preserve"> </v>
      </c>
      <c r="AE105" s="444" t="str">
        <f t="shared" si="80"/>
        <v/>
      </c>
      <c r="AF105" s="444" t="str">
        <f t="shared" si="56"/>
        <v xml:space="preserve"> </v>
      </c>
      <c r="AG105" s="119" t="str">
        <f t="shared" si="81"/>
        <v xml:space="preserve"> </v>
      </c>
      <c r="AH105" s="444" t="str">
        <f t="shared" si="82"/>
        <v xml:space="preserve"> </v>
      </c>
      <c r="AI105" s="909" t="str">
        <f t="shared" si="83"/>
        <v xml:space="preserve"> </v>
      </c>
      <c r="AJ105" s="879" t="str">
        <f t="shared" si="85"/>
        <v xml:space="preserve"> </v>
      </c>
      <c r="AK105" s="444" t="str">
        <f t="shared" si="57"/>
        <v xml:space="preserve"> </v>
      </c>
      <c r="AL105" s="444" t="str">
        <f t="shared" si="58"/>
        <v xml:space="preserve"> </v>
      </c>
      <c r="AM105" s="444" t="str">
        <f t="shared" si="59"/>
        <v xml:space="preserve"> </v>
      </c>
      <c r="AN105" s="119" t="str">
        <f t="shared" si="60"/>
        <v xml:space="preserve"> </v>
      </c>
      <c r="AO105" s="444" t="str">
        <f t="shared" si="61"/>
        <v xml:space="preserve"> </v>
      </c>
      <c r="AP105" s="444" t="str">
        <f t="shared" si="62"/>
        <v xml:space="preserve"> </v>
      </c>
      <c r="AQ105" s="123" t="str">
        <f>IF(A105=" "," ",IF('#orgDung'!AB90=0,0,AO105/'#orgDung'!AB90))</f>
        <v xml:space="preserve"> </v>
      </c>
      <c r="AR105" s="47" t="str">
        <f>IF(A105=" "," ",IF('#orgDung'!AB90=0,0,AP105/'#orgDung'!AB90))</f>
        <v xml:space="preserve"> </v>
      </c>
      <c r="AS105" s="890">
        <f>IF(OR(B105=0,B105=""),0,MAX('Flächen u. Kulturen'!V86,AT105/B105))</f>
        <v>0</v>
      </c>
      <c r="AT105" s="875">
        <f t="shared" si="63"/>
        <v>0</v>
      </c>
      <c r="AU105" s="120" t="str">
        <f t="shared" si="64"/>
        <v xml:space="preserve"> </v>
      </c>
    </row>
    <row r="106" spans="1:47" s="875" customFormat="1" x14ac:dyDescent="0.2">
      <c r="A106" s="447" t="str">
        <f>IF('Flächen u. Kulturen'!E87="x",IF(AND('#Kürzungen'!$F$2=2,'#BerechnungDBE'!R82=1,'Flächen u. Kulturen'!D87&lt;&gt;""),'Flächen u. Kulturen'!A87,IF(AND('#BerechnungDBE'!S82=1,'Flächen u. Kulturen'!D87&lt;&gt;""),'Flächen u. Kulturen'!A87," "))," ")</f>
        <v xml:space="preserve"> </v>
      </c>
      <c r="B106" s="505" t="str">
        <f>'Flächen u. Kulturen'!D87</f>
        <v/>
      </c>
      <c r="C106" s="42" t="str">
        <f>IF(A106=" "," ",'#BerechnungDBE'!AA82)</f>
        <v xml:space="preserve"> </v>
      </c>
      <c r="D106" s="42" t="str">
        <f>IF(A106=" "," ",'#BerechnungDBE'!BA82)</f>
        <v xml:space="preserve"> </v>
      </c>
      <c r="E106" s="42" t="str">
        <f t="shared" si="86"/>
        <v xml:space="preserve"> </v>
      </c>
      <c r="F106" s="869"/>
      <c r="G106" s="42" t="str">
        <f>IF(A106=" ","",'#BerechnungDBE'!BA82+'#BerechnungDBE'!BF82)</f>
        <v/>
      </c>
      <c r="H106" s="444" t="str">
        <f t="shared" si="65"/>
        <v/>
      </c>
      <c r="I106" s="444">
        <f>'#minDung'!P88</f>
        <v>0</v>
      </c>
      <c r="J106" s="430" t="str">
        <f t="shared" si="84"/>
        <v xml:space="preserve"> </v>
      </c>
      <c r="K106" s="913">
        <f>IF(A106=" ",0,'Flächen u. Kulturen'!V87)</f>
        <v>0</v>
      </c>
      <c r="L106" s="883" t="str">
        <f t="shared" si="51"/>
        <v/>
      </c>
      <c r="M106" s="879" t="str">
        <f t="shared" si="52"/>
        <v xml:space="preserve"> </v>
      </c>
      <c r="N106" s="444" t="str">
        <f t="shared" si="66"/>
        <v xml:space="preserve"> </v>
      </c>
      <c r="O106" s="911" t="str">
        <f t="shared" si="67"/>
        <v xml:space="preserve"> </v>
      </c>
      <c r="P106" s="912" t="str">
        <f t="shared" si="68"/>
        <v xml:space="preserve"> </v>
      </c>
      <c r="Q106" s="912" t="str">
        <f t="shared" si="69"/>
        <v xml:space="preserve"> </v>
      </c>
      <c r="R106" s="444" t="str">
        <f t="shared" si="53"/>
        <v/>
      </c>
      <c r="S106" s="444" t="str">
        <f t="shared" si="70"/>
        <v/>
      </c>
      <c r="T106" s="444" t="str">
        <f t="shared" si="54"/>
        <v xml:space="preserve"> </v>
      </c>
      <c r="U106" s="119" t="str">
        <f t="shared" si="71"/>
        <v xml:space="preserve"> </v>
      </c>
      <c r="V106" s="444" t="str">
        <f t="shared" si="72"/>
        <v xml:space="preserve"> </v>
      </c>
      <c r="W106" s="909" t="str">
        <f t="shared" si="73"/>
        <v xml:space="preserve"> </v>
      </c>
      <c r="X106" s="924" t="str">
        <f t="shared" si="74"/>
        <v xml:space="preserve"> </v>
      </c>
      <c r="Y106" s="444" t="str">
        <f t="shared" si="55"/>
        <v xml:space="preserve"> </v>
      </c>
      <c r="Z106" s="444" t="str">
        <f t="shared" si="75"/>
        <v xml:space="preserve"> </v>
      </c>
      <c r="AA106" s="444" t="str">
        <f t="shared" si="76"/>
        <v xml:space="preserve"> </v>
      </c>
      <c r="AB106" s="912" t="str">
        <f t="shared" si="77"/>
        <v xml:space="preserve"> </v>
      </c>
      <c r="AC106" s="912" t="str">
        <f t="shared" si="78"/>
        <v xml:space="preserve"> </v>
      </c>
      <c r="AD106" s="444" t="str">
        <f t="shared" si="79"/>
        <v xml:space="preserve"> </v>
      </c>
      <c r="AE106" s="444" t="str">
        <f t="shared" si="80"/>
        <v/>
      </c>
      <c r="AF106" s="444" t="str">
        <f t="shared" si="56"/>
        <v xml:space="preserve"> </v>
      </c>
      <c r="AG106" s="119" t="str">
        <f t="shared" si="81"/>
        <v xml:space="preserve"> </v>
      </c>
      <c r="AH106" s="444" t="str">
        <f t="shared" si="82"/>
        <v xml:space="preserve"> </v>
      </c>
      <c r="AI106" s="909" t="str">
        <f t="shared" si="83"/>
        <v xml:space="preserve"> </v>
      </c>
      <c r="AJ106" s="879" t="str">
        <f t="shared" si="85"/>
        <v xml:space="preserve"> </v>
      </c>
      <c r="AK106" s="444" t="str">
        <f t="shared" si="57"/>
        <v xml:space="preserve"> </v>
      </c>
      <c r="AL106" s="444" t="str">
        <f t="shared" si="58"/>
        <v xml:space="preserve"> </v>
      </c>
      <c r="AM106" s="444" t="str">
        <f t="shared" si="59"/>
        <v xml:space="preserve"> </v>
      </c>
      <c r="AN106" s="119" t="str">
        <f t="shared" si="60"/>
        <v xml:space="preserve"> </v>
      </c>
      <c r="AO106" s="444" t="str">
        <f t="shared" si="61"/>
        <v xml:space="preserve"> </v>
      </c>
      <c r="AP106" s="444" t="str">
        <f t="shared" si="62"/>
        <v xml:space="preserve"> </v>
      </c>
      <c r="AQ106" s="123" t="str">
        <f>IF(A106=" "," ",IF('#orgDung'!AB91=0,0,AO106/'#orgDung'!AB91))</f>
        <v xml:space="preserve"> </v>
      </c>
      <c r="AR106" s="47" t="str">
        <f>IF(A106=" "," ",IF('#orgDung'!AB91=0,0,AP106/'#orgDung'!AB91))</f>
        <v xml:space="preserve"> </v>
      </c>
      <c r="AS106" s="890">
        <f>IF(OR(B106=0,B106=""),0,MAX('Flächen u. Kulturen'!V87,AT106/B106))</f>
        <v>0</v>
      </c>
      <c r="AT106" s="875">
        <f t="shared" si="63"/>
        <v>0</v>
      </c>
      <c r="AU106" s="120" t="str">
        <f t="shared" si="64"/>
        <v xml:space="preserve"> </v>
      </c>
    </row>
    <row r="107" spans="1:47" s="875" customFormat="1" x14ac:dyDescent="0.2">
      <c r="A107" s="447" t="str">
        <f>IF('Flächen u. Kulturen'!E88="x",IF(AND('#Kürzungen'!$F$2=2,'#BerechnungDBE'!R83=1,'Flächen u. Kulturen'!D88&lt;&gt;""),'Flächen u. Kulturen'!A88,IF(AND('#BerechnungDBE'!S83=1,'Flächen u. Kulturen'!D88&lt;&gt;""),'Flächen u. Kulturen'!A88," "))," ")</f>
        <v xml:space="preserve"> </v>
      </c>
      <c r="B107" s="505" t="str">
        <f>'Flächen u. Kulturen'!D88</f>
        <v/>
      </c>
      <c r="C107" s="42" t="str">
        <f>IF(A107=" "," ",'#BerechnungDBE'!AA83)</f>
        <v xml:space="preserve"> </v>
      </c>
      <c r="D107" s="42" t="str">
        <f>IF(A107=" "," ",'#BerechnungDBE'!BA83)</f>
        <v xml:space="preserve"> </v>
      </c>
      <c r="E107" s="42" t="str">
        <f t="shared" si="86"/>
        <v xml:space="preserve"> </v>
      </c>
      <c r="F107" s="869"/>
      <c r="G107" s="42" t="str">
        <f>IF(A107=" ","",'#BerechnungDBE'!BA83+'#BerechnungDBE'!BF83)</f>
        <v/>
      </c>
      <c r="H107" s="444" t="str">
        <f t="shared" si="65"/>
        <v/>
      </c>
      <c r="I107" s="444">
        <f>'#minDung'!P89</f>
        <v>0</v>
      </c>
      <c r="J107" s="430" t="str">
        <f t="shared" si="84"/>
        <v xml:space="preserve"> </v>
      </c>
      <c r="K107" s="913">
        <f>IF(A107=" ",0,'Flächen u. Kulturen'!V88)</f>
        <v>0</v>
      </c>
      <c r="L107" s="883" t="str">
        <f t="shared" si="51"/>
        <v/>
      </c>
      <c r="M107" s="879" t="str">
        <f t="shared" si="52"/>
        <v xml:space="preserve"> </v>
      </c>
      <c r="N107" s="444" t="str">
        <f t="shared" si="66"/>
        <v xml:space="preserve"> </v>
      </c>
      <c r="O107" s="911" t="str">
        <f t="shared" si="67"/>
        <v xml:space="preserve"> </v>
      </c>
      <c r="P107" s="912" t="str">
        <f t="shared" si="68"/>
        <v xml:space="preserve"> </v>
      </c>
      <c r="Q107" s="912" t="str">
        <f t="shared" si="69"/>
        <v xml:space="preserve"> </v>
      </c>
      <c r="R107" s="444" t="str">
        <f t="shared" si="53"/>
        <v/>
      </c>
      <c r="S107" s="444" t="str">
        <f t="shared" si="70"/>
        <v/>
      </c>
      <c r="T107" s="444" t="str">
        <f t="shared" si="54"/>
        <v xml:space="preserve"> </v>
      </c>
      <c r="U107" s="119" t="str">
        <f t="shared" si="71"/>
        <v xml:space="preserve"> </v>
      </c>
      <c r="V107" s="444" t="str">
        <f t="shared" si="72"/>
        <v xml:space="preserve"> </v>
      </c>
      <c r="W107" s="909" t="str">
        <f t="shared" si="73"/>
        <v xml:space="preserve"> </v>
      </c>
      <c r="X107" s="924" t="str">
        <f t="shared" si="74"/>
        <v xml:space="preserve"> </v>
      </c>
      <c r="Y107" s="444" t="str">
        <f t="shared" si="55"/>
        <v xml:space="preserve"> </v>
      </c>
      <c r="Z107" s="444" t="str">
        <f t="shared" si="75"/>
        <v xml:space="preserve"> </v>
      </c>
      <c r="AA107" s="444" t="str">
        <f t="shared" si="76"/>
        <v xml:space="preserve"> </v>
      </c>
      <c r="AB107" s="912" t="str">
        <f t="shared" si="77"/>
        <v xml:space="preserve"> </v>
      </c>
      <c r="AC107" s="912" t="str">
        <f t="shared" si="78"/>
        <v xml:space="preserve"> </v>
      </c>
      <c r="AD107" s="444" t="str">
        <f t="shared" si="79"/>
        <v xml:space="preserve"> </v>
      </c>
      <c r="AE107" s="444" t="str">
        <f t="shared" si="80"/>
        <v/>
      </c>
      <c r="AF107" s="444" t="str">
        <f t="shared" si="56"/>
        <v xml:space="preserve"> </v>
      </c>
      <c r="AG107" s="119" t="str">
        <f t="shared" si="81"/>
        <v xml:space="preserve"> </v>
      </c>
      <c r="AH107" s="444" t="str">
        <f t="shared" si="82"/>
        <v xml:space="preserve"> </v>
      </c>
      <c r="AI107" s="909" t="str">
        <f t="shared" si="83"/>
        <v xml:space="preserve"> </v>
      </c>
      <c r="AJ107" s="879" t="str">
        <f t="shared" si="85"/>
        <v xml:space="preserve"> </v>
      </c>
      <c r="AK107" s="444" t="str">
        <f t="shared" si="57"/>
        <v xml:space="preserve"> </v>
      </c>
      <c r="AL107" s="444" t="str">
        <f t="shared" si="58"/>
        <v xml:space="preserve"> </v>
      </c>
      <c r="AM107" s="444" t="str">
        <f t="shared" si="59"/>
        <v xml:space="preserve"> </v>
      </c>
      <c r="AN107" s="119" t="str">
        <f t="shared" si="60"/>
        <v xml:space="preserve"> </v>
      </c>
      <c r="AO107" s="444" t="str">
        <f t="shared" si="61"/>
        <v xml:space="preserve"> </v>
      </c>
      <c r="AP107" s="444" t="str">
        <f t="shared" si="62"/>
        <v xml:space="preserve"> </v>
      </c>
      <c r="AQ107" s="123" t="str">
        <f>IF(A107=" "," ",IF('#orgDung'!AB92=0,0,AO107/'#orgDung'!AB92))</f>
        <v xml:space="preserve"> </v>
      </c>
      <c r="AR107" s="47" t="str">
        <f>IF(A107=" "," ",IF('#orgDung'!AB92=0,0,AP107/'#orgDung'!AB92))</f>
        <v xml:space="preserve"> </v>
      </c>
      <c r="AS107" s="890">
        <f>IF(OR(B107=0,B107=""),0,MAX('Flächen u. Kulturen'!V88,AT107/B107))</f>
        <v>0</v>
      </c>
      <c r="AT107" s="875">
        <f t="shared" si="63"/>
        <v>0</v>
      </c>
      <c r="AU107" s="120" t="str">
        <f t="shared" si="64"/>
        <v xml:space="preserve"> </v>
      </c>
    </row>
    <row r="108" spans="1:47" s="875" customFormat="1" x14ac:dyDescent="0.2">
      <c r="A108" s="447" t="str">
        <f>IF('Flächen u. Kulturen'!E89="x",IF(AND('#Kürzungen'!$F$2=2,'#BerechnungDBE'!R84=1,'Flächen u. Kulturen'!D89&lt;&gt;""),'Flächen u. Kulturen'!A89,IF(AND('#BerechnungDBE'!S84=1,'Flächen u. Kulturen'!D89&lt;&gt;""),'Flächen u. Kulturen'!A89," "))," ")</f>
        <v xml:space="preserve"> </v>
      </c>
      <c r="B108" s="505" t="str">
        <f>'Flächen u. Kulturen'!D89</f>
        <v/>
      </c>
      <c r="C108" s="42" t="str">
        <f>IF(A108=" "," ",'#BerechnungDBE'!AA84)</f>
        <v xml:space="preserve"> </v>
      </c>
      <c r="D108" s="42" t="str">
        <f>IF(A108=" "," ",'#BerechnungDBE'!BA84)</f>
        <v xml:space="preserve"> </v>
      </c>
      <c r="E108" s="42" t="str">
        <f t="shared" si="86"/>
        <v xml:space="preserve"> </v>
      </c>
      <c r="F108" s="869"/>
      <c r="G108" s="42" t="str">
        <f>IF(A108=" ","",'#BerechnungDBE'!BA84+'#BerechnungDBE'!BF84)</f>
        <v/>
      </c>
      <c r="H108" s="444" t="str">
        <f t="shared" si="65"/>
        <v/>
      </c>
      <c r="I108" s="444">
        <f>'#minDung'!P90</f>
        <v>0</v>
      </c>
      <c r="J108" s="430" t="str">
        <f t="shared" si="84"/>
        <v xml:space="preserve"> </v>
      </c>
      <c r="K108" s="913">
        <f>IF(A108=" ",0,'Flächen u. Kulturen'!V89)</f>
        <v>0</v>
      </c>
      <c r="L108" s="883" t="str">
        <f t="shared" si="51"/>
        <v/>
      </c>
      <c r="M108" s="879" t="str">
        <f t="shared" si="52"/>
        <v xml:space="preserve"> </v>
      </c>
      <c r="N108" s="444" t="str">
        <f t="shared" si="66"/>
        <v xml:space="preserve"> </v>
      </c>
      <c r="O108" s="911" t="str">
        <f t="shared" si="67"/>
        <v xml:space="preserve"> </v>
      </c>
      <c r="P108" s="912" t="str">
        <f t="shared" si="68"/>
        <v xml:space="preserve"> </v>
      </c>
      <c r="Q108" s="912" t="str">
        <f t="shared" si="69"/>
        <v xml:space="preserve"> </v>
      </c>
      <c r="R108" s="444" t="str">
        <f t="shared" si="53"/>
        <v/>
      </c>
      <c r="S108" s="444" t="str">
        <f t="shared" si="70"/>
        <v/>
      </c>
      <c r="T108" s="444" t="str">
        <f t="shared" si="54"/>
        <v xml:space="preserve"> </v>
      </c>
      <c r="U108" s="119" t="str">
        <f t="shared" si="71"/>
        <v xml:space="preserve"> </v>
      </c>
      <c r="V108" s="444" t="str">
        <f t="shared" si="72"/>
        <v xml:space="preserve"> </v>
      </c>
      <c r="W108" s="909" t="str">
        <f t="shared" si="73"/>
        <v xml:space="preserve"> </v>
      </c>
      <c r="X108" s="924" t="str">
        <f t="shared" si="74"/>
        <v xml:space="preserve"> </v>
      </c>
      <c r="Y108" s="444" t="str">
        <f t="shared" si="55"/>
        <v xml:space="preserve"> </v>
      </c>
      <c r="Z108" s="444" t="str">
        <f t="shared" si="75"/>
        <v xml:space="preserve"> </v>
      </c>
      <c r="AA108" s="444" t="str">
        <f t="shared" si="76"/>
        <v xml:space="preserve"> </v>
      </c>
      <c r="AB108" s="912" t="str">
        <f t="shared" si="77"/>
        <v xml:space="preserve"> </v>
      </c>
      <c r="AC108" s="912" t="str">
        <f t="shared" si="78"/>
        <v xml:space="preserve"> </v>
      </c>
      <c r="AD108" s="444" t="str">
        <f t="shared" si="79"/>
        <v xml:space="preserve"> </v>
      </c>
      <c r="AE108" s="444" t="str">
        <f t="shared" si="80"/>
        <v/>
      </c>
      <c r="AF108" s="444" t="str">
        <f t="shared" si="56"/>
        <v xml:space="preserve"> </v>
      </c>
      <c r="AG108" s="119" t="str">
        <f t="shared" si="81"/>
        <v xml:space="preserve"> </v>
      </c>
      <c r="AH108" s="444" t="str">
        <f t="shared" si="82"/>
        <v xml:space="preserve"> </v>
      </c>
      <c r="AI108" s="909" t="str">
        <f t="shared" si="83"/>
        <v xml:space="preserve"> </v>
      </c>
      <c r="AJ108" s="879" t="str">
        <f t="shared" si="85"/>
        <v xml:space="preserve"> </v>
      </c>
      <c r="AK108" s="444" t="str">
        <f t="shared" si="57"/>
        <v xml:space="preserve"> </v>
      </c>
      <c r="AL108" s="444" t="str">
        <f t="shared" si="58"/>
        <v xml:space="preserve"> </v>
      </c>
      <c r="AM108" s="444" t="str">
        <f t="shared" si="59"/>
        <v xml:space="preserve"> </v>
      </c>
      <c r="AN108" s="119" t="str">
        <f t="shared" si="60"/>
        <v xml:space="preserve"> </v>
      </c>
      <c r="AO108" s="444" t="str">
        <f t="shared" si="61"/>
        <v xml:space="preserve"> </v>
      </c>
      <c r="AP108" s="444" t="str">
        <f t="shared" si="62"/>
        <v xml:space="preserve"> </v>
      </c>
      <c r="AQ108" s="123" t="str">
        <f>IF(A108=" "," ",IF('#orgDung'!AB93=0,0,AO108/'#orgDung'!AB93))</f>
        <v xml:space="preserve"> </v>
      </c>
      <c r="AR108" s="47" t="str">
        <f>IF(A108=" "," ",IF('#orgDung'!AB93=0,0,AP108/'#orgDung'!AB93))</f>
        <v xml:space="preserve"> </v>
      </c>
      <c r="AS108" s="890">
        <f>IF(OR(B108=0,B108=""),0,MAX('Flächen u. Kulturen'!V89,AT108/B108))</f>
        <v>0</v>
      </c>
      <c r="AT108" s="875">
        <f t="shared" si="63"/>
        <v>0</v>
      </c>
      <c r="AU108" s="120" t="str">
        <f t="shared" si="64"/>
        <v xml:space="preserve"> </v>
      </c>
    </row>
    <row r="109" spans="1:47" s="875" customFormat="1" x14ac:dyDescent="0.2">
      <c r="A109" s="447" t="str">
        <f>IF('Flächen u. Kulturen'!E90="x",IF(AND('#Kürzungen'!$F$2=2,'#BerechnungDBE'!R85=1,'Flächen u. Kulturen'!D90&lt;&gt;""),'Flächen u. Kulturen'!A90,IF(AND('#BerechnungDBE'!S85=1,'Flächen u. Kulturen'!D90&lt;&gt;""),'Flächen u. Kulturen'!A90," "))," ")</f>
        <v xml:space="preserve"> </v>
      </c>
      <c r="B109" s="505" t="str">
        <f>'Flächen u. Kulturen'!D90</f>
        <v/>
      </c>
      <c r="C109" s="42" t="str">
        <f>IF(A109=" "," ",'#BerechnungDBE'!AA85)</f>
        <v xml:space="preserve"> </v>
      </c>
      <c r="D109" s="42" t="str">
        <f>IF(A109=" "," ",'#BerechnungDBE'!BA85)</f>
        <v xml:space="preserve"> </v>
      </c>
      <c r="E109" s="42" t="str">
        <f t="shared" si="86"/>
        <v xml:space="preserve"> </v>
      </c>
      <c r="F109" s="869"/>
      <c r="G109" s="42" t="str">
        <f>IF(A109=" ","",'#BerechnungDBE'!BA85+'#BerechnungDBE'!BF85)</f>
        <v/>
      </c>
      <c r="H109" s="444" t="str">
        <f t="shared" si="65"/>
        <v/>
      </c>
      <c r="I109" s="444">
        <f>'#minDung'!P91</f>
        <v>0</v>
      </c>
      <c r="J109" s="430" t="str">
        <f t="shared" si="84"/>
        <v xml:space="preserve"> </v>
      </c>
      <c r="K109" s="913">
        <f>IF(A109=" ",0,'Flächen u. Kulturen'!V90)</f>
        <v>0</v>
      </c>
      <c r="L109" s="883" t="str">
        <f t="shared" si="51"/>
        <v/>
      </c>
      <c r="M109" s="879" t="str">
        <f t="shared" si="52"/>
        <v xml:space="preserve"> </v>
      </c>
      <c r="N109" s="444" t="str">
        <f t="shared" si="66"/>
        <v xml:space="preserve"> </v>
      </c>
      <c r="O109" s="911" t="str">
        <f t="shared" si="67"/>
        <v xml:space="preserve"> </v>
      </c>
      <c r="P109" s="912" t="str">
        <f t="shared" si="68"/>
        <v xml:space="preserve"> </v>
      </c>
      <c r="Q109" s="912" t="str">
        <f t="shared" si="69"/>
        <v xml:space="preserve"> </v>
      </c>
      <c r="R109" s="444" t="str">
        <f t="shared" si="53"/>
        <v/>
      </c>
      <c r="S109" s="444" t="str">
        <f t="shared" si="70"/>
        <v/>
      </c>
      <c r="T109" s="444" t="str">
        <f t="shared" si="54"/>
        <v xml:space="preserve"> </v>
      </c>
      <c r="U109" s="119" t="str">
        <f t="shared" si="71"/>
        <v xml:space="preserve"> </v>
      </c>
      <c r="V109" s="444" t="str">
        <f t="shared" si="72"/>
        <v xml:space="preserve"> </v>
      </c>
      <c r="W109" s="909" t="str">
        <f t="shared" si="73"/>
        <v xml:space="preserve"> </v>
      </c>
      <c r="X109" s="924" t="str">
        <f t="shared" si="74"/>
        <v xml:space="preserve"> </v>
      </c>
      <c r="Y109" s="444" t="str">
        <f t="shared" si="55"/>
        <v xml:space="preserve"> </v>
      </c>
      <c r="Z109" s="444" t="str">
        <f t="shared" si="75"/>
        <v xml:space="preserve"> </v>
      </c>
      <c r="AA109" s="444" t="str">
        <f t="shared" si="76"/>
        <v xml:space="preserve"> </v>
      </c>
      <c r="AB109" s="912" t="str">
        <f t="shared" si="77"/>
        <v xml:space="preserve"> </v>
      </c>
      <c r="AC109" s="912" t="str">
        <f t="shared" si="78"/>
        <v xml:space="preserve"> </v>
      </c>
      <c r="AD109" s="444" t="str">
        <f t="shared" si="79"/>
        <v xml:space="preserve"> </v>
      </c>
      <c r="AE109" s="444" t="str">
        <f t="shared" si="80"/>
        <v/>
      </c>
      <c r="AF109" s="444" t="str">
        <f t="shared" si="56"/>
        <v xml:space="preserve"> </v>
      </c>
      <c r="AG109" s="119" t="str">
        <f t="shared" si="81"/>
        <v xml:space="preserve"> </v>
      </c>
      <c r="AH109" s="444" t="str">
        <f t="shared" si="82"/>
        <v xml:space="preserve"> </v>
      </c>
      <c r="AI109" s="909" t="str">
        <f t="shared" si="83"/>
        <v xml:space="preserve"> </v>
      </c>
      <c r="AJ109" s="879" t="str">
        <f t="shared" si="85"/>
        <v xml:space="preserve"> </v>
      </c>
      <c r="AK109" s="444" t="str">
        <f t="shared" si="57"/>
        <v xml:space="preserve"> </v>
      </c>
      <c r="AL109" s="444" t="str">
        <f t="shared" si="58"/>
        <v xml:space="preserve"> </v>
      </c>
      <c r="AM109" s="444" t="str">
        <f t="shared" si="59"/>
        <v xml:space="preserve"> </v>
      </c>
      <c r="AN109" s="119" t="str">
        <f t="shared" si="60"/>
        <v xml:space="preserve"> </v>
      </c>
      <c r="AO109" s="444" t="str">
        <f t="shared" si="61"/>
        <v xml:space="preserve"> </v>
      </c>
      <c r="AP109" s="444" t="str">
        <f t="shared" si="62"/>
        <v xml:space="preserve"> </v>
      </c>
      <c r="AQ109" s="123" t="str">
        <f>IF(A109=" "," ",IF('#orgDung'!AB94=0,0,AO109/'#orgDung'!AB94))</f>
        <v xml:space="preserve"> </v>
      </c>
      <c r="AR109" s="47" t="str">
        <f>IF(A109=" "," ",IF('#orgDung'!AB94=0,0,AP109/'#orgDung'!AB94))</f>
        <v xml:space="preserve"> </v>
      </c>
      <c r="AS109" s="890">
        <f>IF(OR(B109=0,B109=""),0,MAX('Flächen u. Kulturen'!V90,AT109/B109))</f>
        <v>0</v>
      </c>
      <c r="AT109" s="875">
        <f t="shared" si="63"/>
        <v>0</v>
      </c>
      <c r="AU109" s="120" t="str">
        <f t="shared" si="64"/>
        <v xml:space="preserve"> </v>
      </c>
    </row>
    <row r="110" spans="1:47" s="875" customFormat="1" x14ac:dyDescent="0.2">
      <c r="A110" s="447" t="str">
        <f>IF('Flächen u. Kulturen'!E91="x",IF(AND('#Kürzungen'!$F$2=2,'#BerechnungDBE'!R86=1,'Flächen u. Kulturen'!D91&lt;&gt;""),'Flächen u. Kulturen'!A91,IF(AND('#BerechnungDBE'!S86=1,'Flächen u. Kulturen'!D91&lt;&gt;""),'Flächen u. Kulturen'!A91," "))," ")</f>
        <v xml:space="preserve"> </v>
      </c>
      <c r="B110" s="505" t="str">
        <f>'Flächen u. Kulturen'!D91</f>
        <v/>
      </c>
      <c r="C110" s="42" t="str">
        <f>IF(A110=" "," ",'#BerechnungDBE'!AA86)</f>
        <v xml:space="preserve"> </v>
      </c>
      <c r="D110" s="42" t="str">
        <f>IF(A110=" "," ",'#BerechnungDBE'!BA86)</f>
        <v xml:space="preserve"> </v>
      </c>
      <c r="E110" s="42" t="str">
        <f t="shared" si="86"/>
        <v xml:space="preserve"> </v>
      </c>
      <c r="F110" s="869"/>
      <c r="G110" s="42" t="str">
        <f>IF(A110=" ","",'#BerechnungDBE'!BA86+'#BerechnungDBE'!BF86)</f>
        <v/>
      </c>
      <c r="H110" s="444" t="str">
        <f t="shared" si="65"/>
        <v/>
      </c>
      <c r="I110" s="444">
        <f>'#minDung'!P92</f>
        <v>0</v>
      </c>
      <c r="J110" s="430" t="str">
        <f t="shared" si="84"/>
        <v xml:space="preserve"> </v>
      </c>
      <c r="K110" s="913">
        <f>IF(A110=" ",0,'Flächen u. Kulturen'!V91)</f>
        <v>0</v>
      </c>
      <c r="L110" s="883" t="str">
        <f t="shared" si="51"/>
        <v/>
      </c>
      <c r="M110" s="879" t="str">
        <f t="shared" si="52"/>
        <v xml:space="preserve"> </v>
      </c>
      <c r="N110" s="444" t="str">
        <f t="shared" si="66"/>
        <v xml:space="preserve"> </v>
      </c>
      <c r="O110" s="911" t="str">
        <f t="shared" si="67"/>
        <v xml:space="preserve"> </v>
      </c>
      <c r="P110" s="912" t="str">
        <f t="shared" si="68"/>
        <v xml:space="preserve"> </v>
      </c>
      <c r="Q110" s="912" t="str">
        <f t="shared" si="69"/>
        <v xml:space="preserve"> </v>
      </c>
      <c r="R110" s="444" t="str">
        <f t="shared" si="53"/>
        <v/>
      </c>
      <c r="S110" s="444" t="str">
        <f t="shared" si="70"/>
        <v/>
      </c>
      <c r="T110" s="444" t="str">
        <f t="shared" si="54"/>
        <v xml:space="preserve"> </v>
      </c>
      <c r="U110" s="119" t="str">
        <f t="shared" si="71"/>
        <v xml:space="preserve"> </v>
      </c>
      <c r="V110" s="444" t="str">
        <f t="shared" si="72"/>
        <v xml:space="preserve"> </v>
      </c>
      <c r="W110" s="909" t="str">
        <f t="shared" si="73"/>
        <v xml:space="preserve"> </v>
      </c>
      <c r="X110" s="924" t="str">
        <f t="shared" si="74"/>
        <v xml:space="preserve"> </v>
      </c>
      <c r="Y110" s="444" t="str">
        <f t="shared" si="55"/>
        <v xml:space="preserve"> </v>
      </c>
      <c r="Z110" s="444" t="str">
        <f t="shared" si="75"/>
        <v xml:space="preserve"> </v>
      </c>
      <c r="AA110" s="444" t="str">
        <f t="shared" si="76"/>
        <v xml:space="preserve"> </v>
      </c>
      <c r="AB110" s="912" t="str">
        <f t="shared" si="77"/>
        <v xml:space="preserve"> </v>
      </c>
      <c r="AC110" s="912" t="str">
        <f t="shared" si="78"/>
        <v xml:space="preserve"> </v>
      </c>
      <c r="AD110" s="444" t="str">
        <f t="shared" si="79"/>
        <v xml:space="preserve"> </v>
      </c>
      <c r="AE110" s="444" t="str">
        <f t="shared" si="80"/>
        <v/>
      </c>
      <c r="AF110" s="444" t="str">
        <f t="shared" si="56"/>
        <v xml:space="preserve"> </v>
      </c>
      <c r="AG110" s="119" t="str">
        <f t="shared" si="81"/>
        <v xml:space="preserve"> </v>
      </c>
      <c r="AH110" s="444" t="str">
        <f t="shared" si="82"/>
        <v xml:space="preserve"> </v>
      </c>
      <c r="AI110" s="909" t="str">
        <f t="shared" si="83"/>
        <v xml:space="preserve"> </v>
      </c>
      <c r="AJ110" s="879" t="str">
        <f t="shared" si="85"/>
        <v xml:space="preserve"> </v>
      </c>
      <c r="AK110" s="444" t="str">
        <f t="shared" si="57"/>
        <v xml:space="preserve"> </v>
      </c>
      <c r="AL110" s="444" t="str">
        <f t="shared" si="58"/>
        <v xml:space="preserve"> </v>
      </c>
      <c r="AM110" s="444" t="str">
        <f t="shared" si="59"/>
        <v xml:space="preserve"> </v>
      </c>
      <c r="AN110" s="119" t="str">
        <f t="shared" si="60"/>
        <v xml:space="preserve"> </v>
      </c>
      <c r="AO110" s="444" t="str">
        <f t="shared" si="61"/>
        <v xml:space="preserve"> </v>
      </c>
      <c r="AP110" s="444" t="str">
        <f t="shared" si="62"/>
        <v xml:space="preserve"> </v>
      </c>
      <c r="AQ110" s="123" t="str">
        <f>IF(A110=" "," ",IF('#orgDung'!AB95=0,0,AO110/'#orgDung'!AB95))</f>
        <v xml:space="preserve"> </v>
      </c>
      <c r="AR110" s="47" t="str">
        <f>IF(A110=" "," ",IF('#orgDung'!AB95=0,0,AP110/'#orgDung'!AB95))</f>
        <v xml:space="preserve"> </v>
      </c>
      <c r="AS110" s="890">
        <f>IF(OR(B110=0,B110=""),0,MAX('Flächen u. Kulturen'!V91,AT110/B110))</f>
        <v>0</v>
      </c>
      <c r="AT110" s="875">
        <f t="shared" si="63"/>
        <v>0</v>
      </c>
      <c r="AU110" s="120" t="str">
        <f t="shared" si="64"/>
        <v xml:space="preserve"> </v>
      </c>
    </row>
    <row r="111" spans="1:47" s="875" customFormat="1" x14ac:dyDescent="0.2">
      <c r="A111" s="447" t="str">
        <f>IF('Flächen u. Kulturen'!E92="x",IF(AND('#Kürzungen'!$F$2=2,'#BerechnungDBE'!R87=1,'Flächen u. Kulturen'!D92&lt;&gt;""),'Flächen u. Kulturen'!A92,IF(AND('#BerechnungDBE'!S87=1,'Flächen u. Kulturen'!D92&lt;&gt;""),'Flächen u. Kulturen'!A92," "))," ")</f>
        <v xml:space="preserve"> </v>
      </c>
      <c r="B111" s="505" t="str">
        <f>'Flächen u. Kulturen'!D92</f>
        <v/>
      </c>
      <c r="C111" s="42" t="str">
        <f>IF(A111=" "," ",'#BerechnungDBE'!AA87)</f>
        <v xml:space="preserve"> </v>
      </c>
      <c r="D111" s="42" t="str">
        <f>IF(A111=" "," ",'#BerechnungDBE'!BA87)</f>
        <v xml:space="preserve"> </v>
      </c>
      <c r="E111" s="42" t="str">
        <f t="shared" si="86"/>
        <v xml:space="preserve"> </v>
      </c>
      <c r="F111" s="869"/>
      <c r="G111" s="42" t="str">
        <f>IF(A111=" ","",'#BerechnungDBE'!BA87+'#BerechnungDBE'!BF87)</f>
        <v/>
      </c>
      <c r="H111" s="444" t="str">
        <f t="shared" si="65"/>
        <v/>
      </c>
      <c r="I111" s="444">
        <f>'#minDung'!P93</f>
        <v>0</v>
      </c>
      <c r="J111" s="430" t="str">
        <f t="shared" si="84"/>
        <v xml:space="preserve"> </v>
      </c>
      <c r="K111" s="913">
        <f>IF(A111=" ",0,'Flächen u. Kulturen'!V92)</f>
        <v>0</v>
      </c>
      <c r="L111" s="883" t="str">
        <f t="shared" si="51"/>
        <v/>
      </c>
      <c r="M111" s="879" t="str">
        <f t="shared" si="52"/>
        <v xml:space="preserve"> </v>
      </c>
      <c r="N111" s="444" t="str">
        <f t="shared" si="66"/>
        <v xml:space="preserve"> </v>
      </c>
      <c r="O111" s="911" t="str">
        <f t="shared" si="67"/>
        <v xml:space="preserve"> </v>
      </c>
      <c r="P111" s="912" t="str">
        <f t="shared" si="68"/>
        <v xml:space="preserve"> </v>
      </c>
      <c r="Q111" s="912" t="str">
        <f t="shared" si="69"/>
        <v xml:space="preserve"> </v>
      </c>
      <c r="R111" s="444" t="str">
        <f t="shared" si="53"/>
        <v/>
      </c>
      <c r="S111" s="444" t="str">
        <f t="shared" si="70"/>
        <v/>
      </c>
      <c r="T111" s="444" t="str">
        <f t="shared" si="54"/>
        <v xml:space="preserve"> </v>
      </c>
      <c r="U111" s="119" t="str">
        <f t="shared" si="71"/>
        <v xml:space="preserve"> </v>
      </c>
      <c r="V111" s="444" t="str">
        <f t="shared" si="72"/>
        <v xml:space="preserve"> </v>
      </c>
      <c r="W111" s="909" t="str">
        <f t="shared" si="73"/>
        <v xml:space="preserve"> </v>
      </c>
      <c r="X111" s="924" t="str">
        <f t="shared" si="74"/>
        <v xml:space="preserve"> </v>
      </c>
      <c r="Y111" s="444" t="str">
        <f t="shared" si="55"/>
        <v xml:space="preserve"> </v>
      </c>
      <c r="Z111" s="444" t="str">
        <f t="shared" si="75"/>
        <v xml:space="preserve"> </v>
      </c>
      <c r="AA111" s="444" t="str">
        <f t="shared" si="76"/>
        <v xml:space="preserve"> </v>
      </c>
      <c r="AB111" s="912" t="str">
        <f t="shared" si="77"/>
        <v xml:space="preserve"> </v>
      </c>
      <c r="AC111" s="912" t="str">
        <f t="shared" si="78"/>
        <v xml:space="preserve"> </v>
      </c>
      <c r="AD111" s="444" t="str">
        <f t="shared" si="79"/>
        <v xml:space="preserve"> </v>
      </c>
      <c r="AE111" s="444" t="str">
        <f t="shared" si="80"/>
        <v/>
      </c>
      <c r="AF111" s="444" t="str">
        <f t="shared" si="56"/>
        <v xml:space="preserve"> </v>
      </c>
      <c r="AG111" s="119" t="str">
        <f t="shared" si="81"/>
        <v xml:space="preserve"> </v>
      </c>
      <c r="AH111" s="444" t="str">
        <f t="shared" si="82"/>
        <v xml:space="preserve"> </v>
      </c>
      <c r="AI111" s="909" t="str">
        <f t="shared" si="83"/>
        <v xml:space="preserve"> </v>
      </c>
      <c r="AJ111" s="879" t="str">
        <f t="shared" si="85"/>
        <v xml:space="preserve"> </v>
      </c>
      <c r="AK111" s="444" t="str">
        <f t="shared" si="57"/>
        <v xml:space="preserve"> </v>
      </c>
      <c r="AL111" s="444" t="str">
        <f t="shared" si="58"/>
        <v xml:space="preserve"> </v>
      </c>
      <c r="AM111" s="444" t="str">
        <f t="shared" si="59"/>
        <v xml:space="preserve"> </v>
      </c>
      <c r="AN111" s="119" t="str">
        <f t="shared" si="60"/>
        <v xml:space="preserve"> </v>
      </c>
      <c r="AO111" s="444" t="str">
        <f t="shared" si="61"/>
        <v xml:space="preserve"> </v>
      </c>
      <c r="AP111" s="444" t="str">
        <f t="shared" si="62"/>
        <v xml:space="preserve"> </v>
      </c>
      <c r="AQ111" s="123" t="str">
        <f>IF(A111=" "," ",IF('#orgDung'!AB96=0,0,AO111/'#orgDung'!AB96))</f>
        <v xml:space="preserve"> </v>
      </c>
      <c r="AR111" s="47" t="str">
        <f>IF(A111=" "," ",IF('#orgDung'!AB96=0,0,AP111/'#orgDung'!AB96))</f>
        <v xml:space="preserve"> </v>
      </c>
      <c r="AS111" s="890">
        <f>IF(OR(B111=0,B111=""),0,MAX('Flächen u. Kulturen'!V92,AT111/B111))</f>
        <v>0</v>
      </c>
      <c r="AT111" s="875">
        <f t="shared" si="63"/>
        <v>0</v>
      </c>
      <c r="AU111" s="120" t="str">
        <f t="shared" si="64"/>
        <v xml:space="preserve"> </v>
      </c>
    </row>
    <row r="112" spans="1:47" s="875" customFormat="1" x14ac:dyDescent="0.2">
      <c r="A112" s="447" t="str">
        <f>IF('Flächen u. Kulturen'!E93="x",IF(AND('#Kürzungen'!$F$2=2,'#BerechnungDBE'!R88=1,'Flächen u. Kulturen'!D93&lt;&gt;""),'Flächen u. Kulturen'!A93,IF(AND('#BerechnungDBE'!S88=1,'Flächen u. Kulturen'!D93&lt;&gt;""),'Flächen u. Kulturen'!A93," "))," ")</f>
        <v xml:space="preserve"> </v>
      </c>
      <c r="B112" s="505" t="str">
        <f>'Flächen u. Kulturen'!D93</f>
        <v/>
      </c>
      <c r="C112" s="42" t="str">
        <f>IF(A112=" "," ",'#BerechnungDBE'!AA88)</f>
        <v xml:space="preserve"> </v>
      </c>
      <c r="D112" s="42" t="str">
        <f>IF(A112=" "," ",'#BerechnungDBE'!BA88)</f>
        <v xml:space="preserve"> </v>
      </c>
      <c r="E112" s="42" t="str">
        <f t="shared" si="86"/>
        <v xml:space="preserve"> </v>
      </c>
      <c r="F112" s="869"/>
      <c r="G112" s="42" t="str">
        <f>IF(A112=" ","",'#BerechnungDBE'!BA88+'#BerechnungDBE'!BF88)</f>
        <v/>
      </c>
      <c r="H112" s="444" t="str">
        <f t="shared" si="65"/>
        <v/>
      </c>
      <c r="I112" s="444">
        <f>'#minDung'!P94</f>
        <v>0</v>
      </c>
      <c r="J112" s="430" t="str">
        <f t="shared" si="84"/>
        <v xml:space="preserve"> </v>
      </c>
      <c r="K112" s="913">
        <f>IF(A112=" ",0,'Flächen u. Kulturen'!V93)</f>
        <v>0</v>
      </c>
      <c r="L112" s="883" t="str">
        <f t="shared" si="51"/>
        <v/>
      </c>
      <c r="M112" s="879" t="str">
        <f t="shared" si="52"/>
        <v xml:space="preserve"> </v>
      </c>
      <c r="N112" s="444" t="str">
        <f t="shared" si="66"/>
        <v xml:space="preserve"> </v>
      </c>
      <c r="O112" s="911" t="str">
        <f t="shared" si="67"/>
        <v xml:space="preserve"> </v>
      </c>
      <c r="P112" s="912" t="str">
        <f t="shared" si="68"/>
        <v xml:space="preserve"> </v>
      </c>
      <c r="Q112" s="912" t="str">
        <f t="shared" si="69"/>
        <v xml:space="preserve"> </v>
      </c>
      <c r="R112" s="444" t="str">
        <f t="shared" si="53"/>
        <v/>
      </c>
      <c r="S112" s="444" t="str">
        <f t="shared" si="70"/>
        <v/>
      </c>
      <c r="T112" s="444" t="str">
        <f t="shared" si="54"/>
        <v xml:space="preserve"> </v>
      </c>
      <c r="U112" s="119" t="str">
        <f t="shared" si="71"/>
        <v xml:space="preserve"> </v>
      </c>
      <c r="V112" s="444" t="str">
        <f t="shared" si="72"/>
        <v xml:space="preserve"> </v>
      </c>
      <c r="W112" s="909" t="str">
        <f t="shared" si="73"/>
        <v xml:space="preserve"> </v>
      </c>
      <c r="X112" s="924" t="str">
        <f t="shared" si="74"/>
        <v xml:space="preserve"> </v>
      </c>
      <c r="Y112" s="444" t="str">
        <f t="shared" si="55"/>
        <v xml:space="preserve"> </v>
      </c>
      <c r="Z112" s="444" t="str">
        <f t="shared" si="75"/>
        <v xml:space="preserve"> </v>
      </c>
      <c r="AA112" s="444" t="str">
        <f t="shared" si="76"/>
        <v xml:space="preserve"> </v>
      </c>
      <c r="AB112" s="912" t="str">
        <f t="shared" si="77"/>
        <v xml:space="preserve"> </v>
      </c>
      <c r="AC112" s="912" t="str">
        <f t="shared" si="78"/>
        <v xml:space="preserve"> </v>
      </c>
      <c r="AD112" s="444" t="str">
        <f t="shared" si="79"/>
        <v xml:space="preserve"> </v>
      </c>
      <c r="AE112" s="444" t="str">
        <f t="shared" si="80"/>
        <v/>
      </c>
      <c r="AF112" s="444" t="str">
        <f t="shared" si="56"/>
        <v xml:space="preserve"> </v>
      </c>
      <c r="AG112" s="119" t="str">
        <f t="shared" si="81"/>
        <v xml:space="preserve"> </v>
      </c>
      <c r="AH112" s="444" t="str">
        <f t="shared" si="82"/>
        <v xml:space="preserve"> </v>
      </c>
      <c r="AI112" s="909" t="str">
        <f t="shared" si="83"/>
        <v xml:space="preserve"> </v>
      </c>
      <c r="AJ112" s="879" t="str">
        <f t="shared" si="85"/>
        <v xml:space="preserve"> </v>
      </c>
      <c r="AK112" s="444" t="str">
        <f t="shared" si="57"/>
        <v xml:space="preserve"> </v>
      </c>
      <c r="AL112" s="444" t="str">
        <f t="shared" si="58"/>
        <v xml:space="preserve"> </v>
      </c>
      <c r="AM112" s="444" t="str">
        <f t="shared" si="59"/>
        <v xml:space="preserve"> </v>
      </c>
      <c r="AN112" s="119" t="str">
        <f t="shared" si="60"/>
        <v xml:space="preserve"> </v>
      </c>
      <c r="AO112" s="444" t="str">
        <f t="shared" si="61"/>
        <v xml:space="preserve"> </v>
      </c>
      <c r="AP112" s="444" t="str">
        <f t="shared" si="62"/>
        <v xml:space="preserve"> </v>
      </c>
      <c r="AQ112" s="123" t="str">
        <f>IF(A112=" "," ",IF('#orgDung'!AB97=0,0,AO112/'#orgDung'!AB97))</f>
        <v xml:space="preserve"> </v>
      </c>
      <c r="AR112" s="47" t="str">
        <f>IF(A112=" "," ",IF('#orgDung'!AB97=0,0,AP112/'#orgDung'!AB97))</f>
        <v xml:space="preserve"> </v>
      </c>
      <c r="AS112" s="890">
        <f>IF(OR(B112=0,B112=""),0,MAX('Flächen u. Kulturen'!V93,AT112/B112))</f>
        <v>0</v>
      </c>
      <c r="AT112" s="875">
        <f t="shared" si="63"/>
        <v>0</v>
      </c>
      <c r="AU112" s="120" t="str">
        <f t="shared" si="64"/>
        <v xml:space="preserve"> </v>
      </c>
    </row>
    <row r="113" spans="1:47" s="875" customFormat="1" x14ac:dyDescent="0.2">
      <c r="A113" s="447" t="str">
        <f>IF('Flächen u. Kulturen'!E94="x",IF(AND('#Kürzungen'!$F$2=2,'#BerechnungDBE'!R89=1,'Flächen u. Kulturen'!D94&lt;&gt;""),'Flächen u. Kulturen'!A94,IF(AND('#BerechnungDBE'!S89=1,'Flächen u. Kulturen'!D94&lt;&gt;""),'Flächen u. Kulturen'!A94," "))," ")</f>
        <v xml:space="preserve"> </v>
      </c>
      <c r="B113" s="505" t="str">
        <f>'Flächen u. Kulturen'!D94</f>
        <v/>
      </c>
      <c r="C113" s="42" t="str">
        <f>IF(A113=" "," ",'#BerechnungDBE'!AA89)</f>
        <v xml:space="preserve"> </v>
      </c>
      <c r="D113" s="42" t="str">
        <f>IF(A113=" "," ",'#BerechnungDBE'!BA89)</f>
        <v xml:space="preserve"> </v>
      </c>
      <c r="E113" s="42" t="str">
        <f t="shared" si="86"/>
        <v xml:space="preserve"> </v>
      </c>
      <c r="F113" s="869"/>
      <c r="G113" s="42" t="str">
        <f>IF(A113=" ","",'#BerechnungDBE'!BA89+'#BerechnungDBE'!BF89)</f>
        <v/>
      </c>
      <c r="H113" s="444" t="str">
        <f t="shared" si="65"/>
        <v/>
      </c>
      <c r="I113" s="444">
        <f>'#minDung'!P95</f>
        <v>0</v>
      </c>
      <c r="J113" s="430" t="str">
        <f t="shared" si="84"/>
        <v xml:space="preserve"> </v>
      </c>
      <c r="K113" s="913">
        <f>IF(A113=" ",0,'Flächen u. Kulturen'!V94)</f>
        <v>0</v>
      </c>
      <c r="L113" s="883" t="str">
        <f t="shared" si="51"/>
        <v/>
      </c>
      <c r="M113" s="879" t="str">
        <f t="shared" si="52"/>
        <v xml:space="preserve"> </v>
      </c>
      <c r="N113" s="444" t="str">
        <f t="shared" si="66"/>
        <v xml:space="preserve"> </v>
      </c>
      <c r="O113" s="911" t="str">
        <f t="shared" si="67"/>
        <v xml:space="preserve"> </v>
      </c>
      <c r="P113" s="912" t="str">
        <f t="shared" si="68"/>
        <v xml:space="preserve"> </v>
      </c>
      <c r="Q113" s="912" t="str">
        <f t="shared" si="69"/>
        <v xml:space="preserve"> </v>
      </c>
      <c r="R113" s="444" t="str">
        <f t="shared" si="53"/>
        <v/>
      </c>
      <c r="S113" s="444" t="str">
        <f t="shared" si="70"/>
        <v/>
      </c>
      <c r="T113" s="444" t="str">
        <f t="shared" si="54"/>
        <v xml:space="preserve"> </v>
      </c>
      <c r="U113" s="119" t="str">
        <f t="shared" si="71"/>
        <v xml:space="preserve"> </v>
      </c>
      <c r="V113" s="444" t="str">
        <f t="shared" si="72"/>
        <v xml:space="preserve"> </v>
      </c>
      <c r="W113" s="909" t="str">
        <f t="shared" si="73"/>
        <v xml:space="preserve"> </v>
      </c>
      <c r="X113" s="924" t="str">
        <f t="shared" si="74"/>
        <v xml:space="preserve"> </v>
      </c>
      <c r="Y113" s="444" t="str">
        <f t="shared" si="55"/>
        <v xml:space="preserve"> </v>
      </c>
      <c r="Z113" s="444" t="str">
        <f t="shared" si="75"/>
        <v xml:space="preserve"> </v>
      </c>
      <c r="AA113" s="444" t="str">
        <f t="shared" si="76"/>
        <v xml:space="preserve"> </v>
      </c>
      <c r="AB113" s="912" t="str">
        <f t="shared" si="77"/>
        <v xml:space="preserve"> </v>
      </c>
      <c r="AC113" s="912" t="str">
        <f t="shared" si="78"/>
        <v xml:space="preserve"> </v>
      </c>
      <c r="AD113" s="444" t="str">
        <f t="shared" si="79"/>
        <v xml:space="preserve"> </v>
      </c>
      <c r="AE113" s="444" t="str">
        <f t="shared" si="80"/>
        <v/>
      </c>
      <c r="AF113" s="444" t="str">
        <f t="shared" si="56"/>
        <v xml:space="preserve"> </v>
      </c>
      <c r="AG113" s="119" t="str">
        <f t="shared" si="81"/>
        <v xml:space="preserve"> </v>
      </c>
      <c r="AH113" s="444" t="str">
        <f t="shared" si="82"/>
        <v xml:space="preserve"> </v>
      </c>
      <c r="AI113" s="909" t="str">
        <f t="shared" si="83"/>
        <v xml:space="preserve"> </v>
      </c>
      <c r="AJ113" s="879" t="str">
        <f t="shared" si="85"/>
        <v xml:space="preserve"> </v>
      </c>
      <c r="AK113" s="444" t="str">
        <f t="shared" si="57"/>
        <v xml:space="preserve"> </v>
      </c>
      <c r="AL113" s="444" t="str">
        <f t="shared" si="58"/>
        <v xml:space="preserve"> </v>
      </c>
      <c r="AM113" s="444" t="str">
        <f t="shared" si="59"/>
        <v xml:space="preserve"> </v>
      </c>
      <c r="AN113" s="119" t="str">
        <f t="shared" si="60"/>
        <v xml:space="preserve"> </v>
      </c>
      <c r="AO113" s="444" t="str">
        <f t="shared" si="61"/>
        <v xml:space="preserve"> </v>
      </c>
      <c r="AP113" s="444" t="str">
        <f t="shared" si="62"/>
        <v xml:space="preserve"> </v>
      </c>
      <c r="AQ113" s="123" t="str">
        <f>IF(A113=" "," ",IF('#orgDung'!AB98=0,0,AO113/'#orgDung'!AB98))</f>
        <v xml:space="preserve"> </v>
      </c>
      <c r="AR113" s="47" t="str">
        <f>IF(A113=" "," ",IF('#orgDung'!AB98=0,0,AP113/'#orgDung'!AB98))</f>
        <v xml:space="preserve"> </v>
      </c>
      <c r="AS113" s="890">
        <f>IF(OR(B113=0,B113=""),0,MAX('Flächen u. Kulturen'!V94,AT113/B113))</f>
        <v>0</v>
      </c>
      <c r="AT113" s="875">
        <f t="shared" si="63"/>
        <v>0</v>
      </c>
      <c r="AU113" s="120" t="str">
        <f t="shared" si="64"/>
        <v xml:space="preserve"> </v>
      </c>
    </row>
    <row r="114" spans="1:47" s="875" customFormat="1" x14ac:dyDescent="0.2">
      <c r="A114" s="447" t="str">
        <f>IF('Flächen u. Kulturen'!E95="x",IF(AND('#Kürzungen'!$F$2=2,'#BerechnungDBE'!R90=1,'Flächen u. Kulturen'!D95&lt;&gt;""),'Flächen u. Kulturen'!A95,IF(AND('#BerechnungDBE'!S90=1,'Flächen u. Kulturen'!D95&lt;&gt;""),'Flächen u. Kulturen'!A95," "))," ")</f>
        <v xml:space="preserve"> </v>
      </c>
      <c r="B114" s="505" t="str">
        <f>'Flächen u. Kulturen'!D95</f>
        <v/>
      </c>
      <c r="C114" s="42" t="str">
        <f>IF(A114=" "," ",'#BerechnungDBE'!AA90)</f>
        <v xml:space="preserve"> </v>
      </c>
      <c r="D114" s="42" t="str">
        <f>IF(A114=" "," ",'#BerechnungDBE'!BA90)</f>
        <v xml:space="preserve"> </v>
      </c>
      <c r="E114" s="42" t="str">
        <f t="shared" si="86"/>
        <v xml:space="preserve"> </v>
      </c>
      <c r="F114" s="869"/>
      <c r="G114" s="42" t="str">
        <f>IF(A114=" ","",'#BerechnungDBE'!BA90+'#BerechnungDBE'!BF90)</f>
        <v/>
      </c>
      <c r="H114" s="444" t="str">
        <f t="shared" si="65"/>
        <v/>
      </c>
      <c r="I114" s="444">
        <f>'#minDung'!P96</f>
        <v>0</v>
      </c>
      <c r="J114" s="430" t="str">
        <f t="shared" si="84"/>
        <v xml:space="preserve"> </v>
      </c>
      <c r="K114" s="913">
        <f>IF(A114=" ",0,'Flächen u. Kulturen'!V95)</f>
        <v>0</v>
      </c>
      <c r="L114" s="883" t="str">
        <f t="shared" si="51"/>
        <v/>
      </c>
      <c r="M114" s="879" t="str">
        <f t="shared" si="52"/>
        <v xml:space="preserve"> </v>
      </c>
      <c r="N114" s="444" t="str">
        <f t="shared" si="66"/>
        <v xml:space="preserve"> </v>
      </c>
      <c r="O114" s="911" t="str">
        <f t="shared" si="67"/>
        <v xml:space="preserve"> </v>
      </c>
      <c r="P114" s="912" t="str">
        <f t="shared" si="68"/>
        <v xml:space="preserve"> </v>
      </c>
      <c r="Q114" s="912" t="str">
        <f t="shared" si="69"/>
        <v xml:space="preserve"> </v>
      </c>
      <c r="R114" s="444" t="str">
        <f t="shared" si="53"/>
        <v/>
      </c>
      <c r="S114" s="444" t="str">
        <f t="shared" si="70"/>
        <v/>
      </c>
      <c r="T114" s="444" t="str">
        <f t="shared" si="54"/>
        <v xml:space="preserve"> </v>
      </c>
      <c r="U114" s="119" t="str">
        <f t="shared" si="71"/>
        <v xml:space="preserve"> </v>
      </c>
      <c r="V114" s="444" t="str">
        <f t="shared" si="72"/>
        <v xml:space="preserve"> </v>
      </c>
      <c r="W114" s="909" t="str">
        <f t="shared" si="73"/>
        <v xml:space="preserve"> </v>
      </c>
      <c r="X114" s="924" t="str">
        <f t="shared" si="74"/>
        <v xml:space="preserve"> </v>
      </c>
      <c r="Y114" s="444" t="str">
        <f t="shared" si="55"/>
        <v xml:space="preserve"> </v>
      </c>
      <c r="Z114" s="444" t="str">
        <f t="shared" si="75"/>
        <v xml:space="preserve"> </v>
      </c>
      <c r="AA114" s="444" t="str">
        <f t="shared" si="76"/>
        <v xml:space="preserve"> </v>
      </c>
      <c r="AB114" s="912" t="str">
        <f t="shared" si="77"/>
        <v xml:space="preserve"> </v>
      </c>
      <c r="AC114" s="912" t="str">
        <f t="shared" si="78"/>
        <v xml:space="preserve"> </v>
      </c>
      <c r="AD114" s="444" t="str">
        <f t="shared" si="79"/>
        <v xml:space="preserve"> </v>
      </c>
      <c r="AE114" s="444" t="str">
        <f t="shared" si="80"/>
        <v/>
      </c>
      <c r="AF114" s="444" t="str">
        <f t="shared" si="56"/>
        <v xml:space="preserve"> </v>
      </c>
      <c r="AG114" s="119" t="str">
        <f t="shared" si="81"/>
        <v xml:space="preserve"> </v>
      </c>
      <c r="AH114" s="444" t="str">
        <f t="shared" si="82"/>
        <v xml:space="preserve"> </v>
      </c>
      <c r="AI114" s="909" t="str">
        <f t="shared" si="83"/>
        <v xml:space="preserve"> </v>
      </c>
      <c r="AJ114" s="879" t="str">
        <f t="shared" si="85"/>
        <v xml:space="preserve"> </v>
      </c>
      <c r="AK114" s="444" t="str">
        <f t="shared" si="57"/>
        <v xml:space="preserve"> </v>
      </c>
      <c r="AL114" s="444" t="str">
        <f t="shared" si="58"/>
        <v xml:space="preserve"> </v>
      </c>
      <c r="AM114" s="444" t="str">
        <f t="shared" si="59"/>
        <v xml:space="preserve"> </v>
      </c>
      <c r="AN114" s="119" t="str">
        <f t="shared" si="60"/>
        <v xml:space="preserve"> </v>
      </c>
      <c r="AO114" s="444" t="str">
        <f t="shared" si="61"/>
        <v xml:space="preserve"> </v>
      </c>
      <c r="AP114" s="444" t="str">
        <f t="shared" si="62"/>
        <v xml:space="preserve"> </v>
      </c>
      <c r="AQ114" s="123" t="str">
        <f>IF(A114=" "," ",IF('#orgDung'!AB99=0,0,AO114/'#orgDung'!AB99))</f>
        <v xml:space="preserve"> </v>
      </c>
      <c r="AR114" s="47" t="str">
        <f>IF(A114=" "," ",IF('#orgDung'!AB99=0,0,AP114/'#orgDung'!AB99))</f>
        <v xml:space="preserve"> </v>
      </c>
      <c r="AS114" s="890">
        <f>IF(OR(B114=0,B114=""),0,MAX('Flächen u. Kulturen'!V95,AT114/B114))</f>
        <v>0</v>
      </c>
      <c r="AT114" s="875">
        <f t="shared" si="63"/>
        <v>0</v>
      </c>
      <c r="AU114" s="120" t="str">
        <f t="shared" si="64"/>
        <v xml:space="preserve"> </v>
      </c>
    </row>
    <row r="115" spans="1:47" s="875" customFormat="1" x14ac:dyDescent="0.2">
      <c r="A115" s="447" t="str">
        <f>IF('Flächen u. Kulturen'!E96="x",IF(AND('#Kürzungen'!$F$2=2,'#BerechnungDBE'!R91=1,'Flächen u. Kulturen'!D96&lt;&gt;""),'Flächen u. Kulturen'!A96,IF(AND('#BerechnungDBE'!S91=1,'Flächen u. Kulturen'!D96&lt;&gt;""),'Flächen u. Kulturen'!A96," "))," ")</f>
        <v xml:space="preserve"> </v>
      </c>
      <c r="B115" s="505" t="str">
        <f>'Flächen u. Kulturen'!D96</f>
        <v/>
      </c>
      <c r="C115" s="42" t="str">
        <f>IF(A115=" "," ",'#BerechnungDBE'!AA91)</f>
        <v xml:space="preserve"> </v>
      </c>
      <c r="D115" s="42" t="str">
        <f>IF(A115=" "," ",'#BerechnungDBE'!BA91)</f>
        <v xml:space="preserve"> </v>
      </c>
      <c r="E115" s="42" t="str">
        <f t="shared" si="86"/>
        <v xml:space="preserve"> </v>
      </c>
      <c r="F115" s="869"/>
      <c r="G115" s="42" t="str">
        <f>IF(A115=" ","",'#BerechnungDBE'!BA91+'#BerechnungDBE'!BF91)</f>
        <v/>
      </c>
      <c r="H115" s="444" t="str">
        <f t="shared" si="65"/>
        <v/>
      </c>
      <c r="I115" s="444">
        <f>'#minDung'!P97</f>
        <v>0</v>
      </c>
      <c r="J115" s="430" t="str">
        <f t="shared" si="84"/>
        <v xml:space="preserve"> </v>
      </c>
      <c r="K115" s="913">
        <f>IF(A115=" ",0,'Flächen u. Kulturen'!V96)</f>
        <v>0</v>
      </c>
      <c r="L115" s="883" t="str">
        <f t="shared" si="51"/>
        <v/>
      </c>
      <c r="M115" s="879" t="str">
        <f t="shared" si="52"/>
        <v xml:space="preserve"> </v>
      </c>
      <c r="N115" s="444" t="str">
        <f t="shared" si="66"/>
        <v xml:space="preserve"> </v>
      </c>
      <c r="O115" s="911" t="str">
        <f t="shared" si="67"/>
        <v xml:space="preserve"> </v>
      </c>
      <c r="P115" s="912" t="str">
        <f t="shared" si="68"/>
        <v xml:space="preserve"> </v>
      </c>
      <c r="Q115" s="912" t="str">
        <f t="shared" si="69"/>
        <v xml:space="preserve"> </v>
      </c>
      <c r="R115" s="444" t="str">
        <f t="shared" si="53"/>
        <v/>
      </c>
      <c r="S115" s="444" t="str">
        <f t="shared" si="70"/>
        <v/>
      </c>
      <c r="T115" s="444" t="str">
        <f t="shared" si="54"/>
        <v xml:space="preserve"> </v>
      </c>
      <c r="U115" s="119" t="str">
        <f t="shared" si="71"/>
        <v xml:space="preserve"> </v>
      </c>
      <c r="V115" s="444" t="str">
        <f t="shared" si="72"/>
        <v xml:space="preserve"> </v>
      </c>
      <c r="W115" s="909" t="str">
        <f t="shared" si="73"/>
        <v xml:space="preserve"> </v>
      </c>
      <c r="X115" s="924" t="str">
        <f t="shared" si="74"/>
        <v xml:space="preserve"> </v>
      </c>
      <c r="Y115" s="444" t="str">
        <f t="shared" si="55"/>
        <v xml:space="preserve"> </v>
      </c>
      <c r="Z115" s="444" t="str">
        <f t="shared" si="75"/>
        <v xml:space="preserve"> </v>
      </c>
      <c r="AA115" s="444" t="str">
        <f t="shared" si="76"/>
        <v xml:space="preserve"> </v>
      </c>
      <c r="AB115" s="912" t="str">
        <f t="shared" si="77"/>
        <v xml:space="preserve"> </v>
      </c>
      <c r="AC115" s="912" t="str">
        <f t="shared" si="78"/>
        <v xml:space="preserve"> </v>
      </c>
      <c r="AD115" s="444" t="str">
        <f t="shared" si="79"/>
        <v xml:space="preserve"> </v>
      </c>
      <c r="AE115" s="444" t="str">
        <f t="shared" si="80"/>
        <v/>
      </c>
      <c r="AF115" s="444" t="str">
        <f t="shared" si="56"/>
        <v xml:space="preserve"> </v>
      </c>
      <c r="AG115" s="119" t="str">
        <f t="shared" si="81"/>
        <v xml:space="preserve"> </v>
      </c>
      <c r="AH115" s="444" t="str">
        <f t="shared" si="82"/>
        <v xml:space="preserve"> </v>
      </c>
      <c r="AI115" s="909" t="str">
        <f t="shared" si="83"/>
        <v xml:space="preserve"> </v>
      </c>
      <c r="AJ115" s="879" t="str">
        <f t="shared" si="85"/>
        <v xml:space="preserve"> </v>
      </c>
      <c r="AK115" s="444" t="str">
        <f t="shared" si="57"/>
        <v xml:space="preserve"> </v>
      </c>
      <c r="AL115" s="444" t="str">
        <f t="shared" si="58"/>
        <v xml:space="preserve"> </v>
      </c>
      <c r="AM115" s="444" t="str">
        <f t="shared" si="59"/>
        <v xml:space="preserve"> </v>
      </c>
      <c r="AN115" s="119" t="str">
        <f t="shared" si="60"/>
        <v xml:space="preserve"> </v>
      </c>
      <c r="AO115" s="444" t="str">
        <f t="shared" si="61"/>
        <v xml:space="preserve"> </v>
      </c>
      <c r="AP115" s="444" t="str">
        <f t="shared" si="62"/>
        <v xml:space="preserve"> </v>
      </c>
      <c r="AQ115" s="123" t="str">
        <f>IF(A115=" "," ",IF('#orgDung'!AB100=0,0,AO115/'#orgDung'!AB100))</f>
        <v xml:space="preserve"> </v>
      </c>
      <c r="AR115" s="47" t="str">
        <f>IF(A115=" "," ",IF('#orgDung'!AB100=0,0,AP115/'#orgDung'!AB100))</f>
        <v xml:space="preserve"> </v>
      </c>
      <c r="AS115" s="890">
        <f>IF(OR(B115=0,B115=""),0,MAX('Flächen u. Kulturen'!V96,AT115/B115))</f>
        <v>0</v>
      </c>
      <c r="AT115" s="875">
        <f t="shared" si="63"/>
        <v>0</v>
      </c>
      <c r="AU115" s="120" t="str">
        <f t="shared" si="64"/>
        <v xml:space="preserve"> </v>
      </c>
    </row>
    <row r="116" spans="1:47" s="875" customFormat="1" x14ac:dyDescent="0.2">
      <c r="A116" s="447" t="str">
        <f>IF('Flächen u. Kulturen'!E97="x",IF(AND('#Kürzungen'!$F$2=2,'#BerechnungDBE'!R92=1,'Flächen u. Kulturen'!D97&lt;&gt;""),'Flächen u. Kulturen'!A97,IF(AND('#BerechnungDBE'!S92=1,'Flächen u. Kulturen'!D97&lt;&gt;""),'Flächen u. Kulturen'!A97," "))," ")</f>
        <v xml:space="preserve"> </v>
      </c>
      <c r="B116" s="505" t="str">
        <f>'Flächen u. Kulturen'!D97</f>
        <v/>
      </c>
      <c r="C116" s="42" t="str">
        <f>IF(A116=" "," ",'#BerechnungDBE'!AA92)</f>
        <v xml:space="preserve"> </v>
      </c>
      <c r="D116" s="42" t="str">
        <f>IF(A116=" "," ",'#BerechnungDBE'!BA92)</f>
        <v xml:space="preserve"> </v>
      </c>
      <c r="E116" s="42" t="str">
        <f t="shared" si="86"/>
        <v xml:space="preserve"> </v>
      </c>
      <c r="F116" s="869"/>
      <c r="G116" s="42" t="str">
        <f>IF(A116=" ","",'#BerechnungDBE'!BA92+'#BerechnungDBE'!BF92)</f>
        <v/>
      </c>
      <c r="H116" s="444" t="str">
        <f t="shared" si="65"/>
        <v/>
      </c>
      <c r="I116" s="444">
        <f>'#minDung'!P98</f>
        <v>0</v>
      </c>
      <c r="J116" s="430" t="str">
        <f t="shared" si="84"/>
        <v xml:space="preserve"> </v>
      </c>
      <c r="K116" s="913">
        <f>IF(A116=" ",0,'Flächen u. Kulturen'!V97)</f>
        <v>0</v>
      </c>
      <c r="L116" s="883" t="str">
        <f t="shared" si="51"/>
        <v/>
      </c>
      <c r="M116" s="879" t="str">
        <f t="shared" si="52"/>
        <v xml:space="preserve"> </v>
      </c>
      <c r="N116" s="444" t="str">
        <f t="shared" si="66"/>
        <v xml:space="preserve"> </v>
      </c>
      <c r="O116" s="911" t="str">
        <f t="shared" si="67"/>
        <v xml:space="preserve"> </v>
      </c>
      <c r="P116" s="912" t="str">
        <f t="shared" si="68"/>
        <v xml:space="preserve"> </v>
      </c>
      <c r="Q116" s="912" t="str">
        <f t="shared" si="69"/>
        <v xml:space="preserve"> </v>
      </c>
      <c r="R116" s="444" t="str">
        <f t="shared" si="53"/>
        <v/>
      </c>
      <c r="S116" s="444" t="str">
        <f t="shared" si="70"/>
        <v/>
      </c>
      <c r="T116" s="444" t="str">
        <f t="shared" si="54"/>
        <v xml:space="preserve"> </v>
      </c>
      <c r="U116" s="119" t="str">
        <f t="shared" si="71"/>
        <v xml:space="preserve"> </v>
      </c>
      <c r="V116" s="444" t="str">
        <f t="shared" si="72"/>
        <v xml:space="preserve"> </v>
      </c>
      <c r="W116" s="909" t="str">
        <f t="shared" si="73"/>
        <v xml:space="preserve"> </v>
      </c>
      <c r="X116" s="924" t="str">
        <f t="shared" si="74"/>
        <v xml:space="preserve"> </v>
      </c>
      <c r="Y116" s="444" t="str">
        <f t="shared" si="55"/>
        <v xml:space="preserve"> </v>
      </c>
      <c r="Z116" s="444" t="str">
        <f t="shared" si="75"/>
        <v xml:space="preserve"> </v>
      </c>
      <c r="AA116" s="444" t="str">
        <f t="shared" si="76"/>
        <v xml:space="preserve"> </v>
      </c>
      <c r="AB116" s="912" t="str">
        <f t="shared" si="77"/>
        <v xml:space="preserve"> </v>
      </c>
      <c r="AC116" s="912" t="str">
        <f t="shared" si="78"/>
        <v xml:space="preserve"> </v>
      </c>
      <c r="AD116" s="444" t="str">
        <f t="shared" si="79"/>
        <v xml:space="preserve"> </v>
      </c>
      <c r="AE116" s="444" t="str">
        <f t="shared" si="80"/>
        <v/>
      </c>
      <c r="AF116" s="444" t="str">
        <f t="shared" si="56"/>
        <v xml:space="preserve"> </v>
      </c>
      <c r="AG116" s="119" t="str">
        <f t="shared" si="81"/>
        <v xml:space="preserve"> </v>
      </c>
      <c r="AH116" s="444" t="str">
        <f t="shared" si="82"/>
        <v xml:space="preserve"> </v>
      </c>
      <c r="AI116" s="909" t="str">
        <f t="shared" si="83"/>
        <v xml:space="preserve"> </v>
      </c>
      <c r="AJ116" s="879" t="str">
        <f t="shared" si="85"/>
        <v xml:space="preserve"> </v>
      </c>
      <c r="AK116" s="444" t="str">
        <f t="shared" si="57"/>
        <v xml:space="preserve"> </v>
      </c>
      <c r="AL116" s="444" t="str">
        <f t="shared" si="58"/>
        <v xml:space="preserve"> </v>
      </c>
      <c r="AM116" s="444" t="str">
        <f t="shared" si="59"/>
        <v xml:space="preserve"> </v>
      </c>
      <c r="AN116" s="119" t="str">
        <f t="shared" si="60"/>
        <v xml:space="preserve"> </v>
      </c>
      <c r="AO116" s="444" t="str">
        <f t="shared" si="61"/>
        <v xml:space="preserve"> </v>
      </c>
      <c r="AP116" s="444" t="str">
        <f t="shared" si="62"/>
        <v xml:space="preserve"> </v>
      </c>
      <c r="AQ116" s="123" t="str">
        <f>IF(A116=" "," ",IF('#orgDung'!AB101=0,0,AO116/'#orgDung'!AB101))</f>
        <v xml:space="preserve"> </v>
      </c>
      <c r="AR116" s="47" t="str">
        <f>IF(A116=" "," ",IF('#orgDung'!AB101=0,0,AP116/'#orgDung'!AB101))</f>
        <v xml:space="preserve"> </v>
      </c>
      <c r="AS116" s="890">
        <f>IF(OR(B116=0,B116=""),0,MAX('Flächen u. Kulturen'!V97,AT116/B116))</f>
        <v>0</v>
      </c>
      <c r="AT116" s="875">
        <f t="shared" si="63"/>
        <v>0</v>
      </c>
      <c r="AU116" s="120" t="str">
        <f t="shared" si="64"/>
        <v xml:space="preserve"> </v>
      </c>
    </row>
    <row r="117" spans="1:47" s="875" customFormat="1" x14ac:dyDescent="0.2">
      <c r="A117" s="447" t="str">
        <f>IF('Flächen u. Kulturen'!E98="x",IF(AND('#Kürzungen'!$F$2=2,'#BerechnungDBE'!R93=1,'Flächen u. Kulturen'!D98&lt;&gt;""),'Flächen u. Kulturen'!A98,IF(AND('#BerechnungDBE'!S93=1,'Flächen u. Kulturen'!D98&lt;&gt;""),'Flächen u. Kulturen'!A98," "))," ")</f>
        <v xml:space="preserve"> </v>
      </c>
      <c r="B117" s="505" t="str">
        <f>'Flächen u. Kulturen'!D98</f>
        <v/>
      </c>
      <c r="C117" s="42" t="str">
        <f>IF(A117=" "," ",'#BerechnungDBE'!AA93)</f>
        <v xml:space="preserve"> </v>
      </c>
      <c r="D117" s="42" t="str">
        <f>IF(A117=" "," ",'#BerechnungDBE'!BA93)</f>
        <v xml:space="preserve"> </v>
      </c>
      <c r="E117" s="42" t="str">
        <f t="shared" si="86"/>
        <v xml:space="preserve"> </v>
      </c>
      <c r="F117" s="869"/>
      <c r="G117" s="42" t="str">
        <f>IF(A117=" ","",'#BerechnungDBE'!BA93+'#BerechnungDBE'!BF93)</f>
        <v/>
      </c>
      <c r="H117" s="444" t="str">
        <f t="shared" si="65"/>
        <v/>
      </c>
      <c r="I117" s="444">
        <f>'#minDung'!P99</f>
        <v>0</v>
      </c>
      <c r="J117" s="430" t="str">
        <f t="shared" si="84"/>
        <v xml:space="preserve"> </v>
      </c>
      <c r="K117" s="913">
        <f>IF(A117=" ",0,'Flächen u. Kulturen'!V98)</f>
        <v>0</v>
      </c>
      <c r="L117" s="883" t="str">
        <f t="shared" si="51"/>
        <v/>
      </c>
      <c r="M117" s="879" t="str">
        <f t="shared" si="52"/>
        <v xml:space="preserve"> </v>
      </c>
      <c r="N117" s="444" t="str">
        <f t="shared" si="66"/>
        <v xml:space="preserve"> </v>
      </c>
      <c r="O117" s="911" t="str">
        <f t="shared" si="67"/>
        <v xml:space="preserve"> </v>
      </c>
      <c r="P117" s="912" t="str">
        <f t="shared" si="68"/>
        <v xml:space="preserve"> </v>
      </c>
      <c r="Q117" s="912" t="str">
        <f t="shared" si="69"/>
        <v xml:space="preserve"> </v>
      </c>
      <c r="R117" s="444" t="str">
        <f t="shared" si="53"/>
        <v/>
      </c>
      <c r="S117" s="444" t="str">
        <f t="shared" si="70"/>
        <v/>
      </c>
      <c r="T117" s="444" t="str">
        <f t="shared" si="54"/>
        <v xml:space="preserve"> </v>
      </c>
      <c r="U117" s="119" t="str">
        <f t="shared" si="71"/>
        <v xml:space="preserve"> </v>
      </c>
      <c r="V117" s="444" t="str">
        <f t="shared" si="72"/>
        <v xml:space="preserve"> </v>
      </c>
      <c r="W117" s="909" t="str">
        <f t="shared" si="73"/>
        <v xml:space="preserve"> </v>
      </c>
      <c r="X117" s="924" t="str">
        <f t="shared" si="74"/>
        <v xml:space="preserve"> </v>
      </c>
      <c r="Y117" s="444" t="str">
        <f t="shared" si="55"/>
        <v xml:space="preserve"> </v>
      </c>
      <c r="Z117" s="444" t="str">
        <f t="shared" si="75"/>
        <v xml:space="preserve"> </v>
      </c>
      <c r="AA117" s="444" t="str">
        <f t="shared" si="76"/>
        <v xml:space="preserve"> </v>
      </c>
      <c r="AB117" s="912" t="str">
        <f t="shared" si="77"/>
        <v xml:space="preserve"> </v>
      </c>
      <c r="AC117" s="912" t="str">
        <f t="shared" si="78"/>
        <v xml:space="preserve"> </v>
      </c>
      <c r="AD117" s="444" t="str">
        <f t="shared" si="79"/>
        <v xml:space="preserve"> </v>
      </c>
      <c r="AE117" s="444" t="str">
        <f t="shared" si="80"/>
        <v/>
      </c>
      <c r="AF117" s="444" t="str">
        <f t="shared" si="56"/>
        <v xml:space="preserve"> </v>
      </c>
      <c r="AG117" s="119" t="str">
        <f t="shared" si="81"/>
        <v xml:space="preserve"> </v>
      </c>
      <c r="AH117" s="444" t="str">
        <f t="shared" si="82"/>
        <v xml:space="preserve"> </v>
      </c>
      <c r="AI117" s="909" t="str">
        <f t="shared" si="83"/>
        <v xml:space="preserve"> </v>
      </c>
      <c r="AJ117" s="879" t="str">
        <f t="shared" si="85"/>
        <v xml:space="preserve"> </v>
      </c>
      <c r="AK117" s="444" t="str">
        <f t="shared" si="57"/>
        <v xml:space="preserve"> </v>
      </c>
      <c r="AL117" s="444" t="str">
        <f t="shared" si="58"/>
        <v xml:space="preserve"> </v>
      </c>
      <c r="AM117" s="444" t="str">
        <f t="shared" si="59"/>
        <v xml:space="preserve"> </v>
      </c>
      <c r="AN117" s="119" t="str">
        <f t="shared" si="60"/>
        <v xml:space="preserve"> </v>
      </c>
      <c r="AO117" s="444" t="str">
        <f t="shared" si="61"/>
        <v xml:space="preserve"> </v>
      </c>
      <c r="AP117" s="444" t="str">
        <f t="shared" si="62"/>
        <v xml:space="preserve"> </v>
      </c>
      <c r="AQ117" s="123" t="str">
        <f>IF(A117=" "," ",IF('#orgDung'!AB102=0,0,AO117/'#orgDung'!AB102))</f>
        <v xml:space="preserve"> </v>
      </c>
      <c r="AR117" s="47" t="str">
        <f>IF(A117=" "," ",IF('#orgDung'!AB102=0,0,AP117/'#orgDung'!AB102))</f>
        <v xml:space="preserve"> </v>
      </c>
      <c r="AS117" s="890">
        <f>IF(OR(B117=0,B117=""),0,MAX('Flächen u. Kulturen'!V98,AT117/B117))</f>
        <v>0</v>
      </c>
      <c r="AT117" s="875">
        <f t="shared" si="63"/>
        <v>0</v>
      </c>
      <c r="AU117" s="120" t="str">
        <f t="shared" si="64"/>
        <v xml:space="preserve"> </v>
      </c>
    </row>
    <row r="118" spans="1:47" s="875" customFormat="1" x14ac:dyDescent="0.2">
      <c r="A118" s="447" t="str">
        <f>IF('Flächen u. Kulturen'!E99="x",IF(AND('#Kürzungen'!$F$2=2,'#BerechnungDBE'!R94=1,'Flächen u. Kulturen'!D99&lt;&gt;""),'Flächen u. Kulturen'!A99,IF(AND('#BerechnungDBE'!S94=1,'Flächen u. Kulturen'!D99&lt;&gt;""),'Flächen u. Kulturen'!A99," "))," ")</f>
        <v xml:space="preserve"> </v>
      </c>
      <c r="B118" s="505" t="str">
        <f>'Flächen u. Kulturen'!D99</f>
        <v/>
      </c>
      <c r="C118" s="42" t="str">
        <f>IF(A118=" "," ",'#BerechnungDBE'!AA94)</f>
        <v xml:space="preserve"> </v>
      </c>
      <c r="D118" s="42" t="str">
        <f>IF(A118=" "," ",'#BerechnungDBE'!BA94)</f>
        <v xml:space="preserve"> </v>
      </c>
      <c r="E118" s="42" t="str">
        <f t="shared" si="86"/>
        <v xml:space="preserve"> </v>
      </c>
      <c r="F118" s="869"/>
      <c r="G118" s="42" t="str">
        <f>IF(A118=" ","",'#BerechnungDBE'!BA94+'#BerechnungDBE'!BF94)</f>
        <v/>
      </c>
      <c r="H118" s="444" t="str">
        <f t="shared" si="65"/>
        <v/>
      </c>
      <c r="I118" s="444">
        <f>'#minDung'!P100</f>
        <v>0</v>
      </c>
      <c r="J118" s="430" t="str">
        <f t="shared" si="84"/>
        <v xml:space="preserve"> </v>
      </c>
      <c r="K118" s="913">
        <f>IF(A118=" ",0,'Flächen u. Kulturen'!V99)</f>
        <v>0</v>
      </c>
      <c r="L118" s="883" t="str">
        <f t="shared" si="51"/>
        <v/>
      </c>
      <c r="M118" s="879" t="str">
        <f t="shared" si="52"/>
        <v xml:space="preserve"> </v>
      </c>
      <c r="N118" s="444" t="str">
        <f t="shared" si="66"/>
        <v xml:space="preserve"> </v>
      </c>
      <c r="O118" s="911" t="str">
        <f t="shared" si="67"/>
        <v xml:space="preserve"> </v>
      </c>
      <c r="P118" s="912" t="str">
        <f t="shared" si="68"/>
        <v xml:space="preserve"> </v>
      </c>
      <c r="Q118" s="912" t="str">
        <f t="shared" si="69"/>
        <v xml:space="preserve"> </v>
      </c>
      <c r="R118" s="444" t="str">
        <f t="shared" si="53"/>
        <v/>
      </c>
      <c r="S118" s="444" t="str">
        <f t="shared" si="70"/>
        <v/>
      </c>
      <c r="T118" s="444" t="str">
        <f t="shared" si="54"/>
        <v xml:space="preserve"> </v>
      </c>
      <c r="U118" s="119" t="str">
        <f t="shared" si="71"/>
        <v xml:space="preserve"> </v>
      </c>
      <c r="V118" s="444" t="str">
        <f t="shared" si="72"/>
        <v xml:space="preserve"> </v>
      </c>
      <c r="W118" s="909" t="str">
        <f t="shared" si="73"/>
        <v xml:space="preserve"> </v>
      </c>
      <c r="X118" s="924" t="str">
        <f t="shared" si="74"/>
        <v xml:space="preserve"> </v>
      </c>
      <c r="Y118" s="444" t="str">
        <f t="shared" si="55"/>
        <v xml:space="preserve"> </v>
      </c>
      <c r="Z118" s="444" t="str">
        <f t="shared" si="75"/>
        <v xml:space="preserve"> </v>
      </c>
      <c r="AA118" s="444" t="str">
        <f t="shared" si="76"/>
        <v xml:space="preserve"> </v>
      </c>
      <c r="AB118" s="912" t="str">
        <f t="shared" si="77"/>
        <v xml:space="preserve"> </v>
      </c>
      <c r="AC118" s="912" t="str">
        <f t="shared" si="78"/>
        <v xml:space="preserve"> </v>
      </c>
      <c r="AD118" s="444" t="str">
        <f t="shared" si="79"/>
        <v xml:space="preserve"> </v>
      </c>
      <c r="AE118" s="444" t="str">
        <f t="shared" si="80"/>
        <v/>
      </c>
      <c r="AF118" s="444" t="str">
        <f t="shared" si="56"/>
        <v xml:space="preserve"> </v>
      </c>
      <c r="AG118" s="119" t="str">
        <f t="shared" si="81"/>
        <v xml:space="preserve"> </v>
      </c>
      <c r="AH118" s="444" t="str">
        <f t="shared" si="82"/>
        <v xml:space="preserve"> </v>
      </c>
      <c r="AI118" s="909" t="str">
        <f t="shared" si="83"/>
        <v xml:space="preserve"> </v>
      </c>
      <c r="AJ118" s="879" t="str">
        <f t="shared" si="85"/>
        <v xml:space="preserve"> </v>
      </c>
      <c r="AK118" s="444" t="str">
        <f t="shared" si="57"/>
        <v xml:space="preserve"> </v>
      </c>
      <c r="AL118" s="444" t="str">
        <f t="shared" si="58"/>
        <v xml:space="preserve"> </v>
      </c>
      <c r="AM118" s="444" t="str">
        <f t="shared" si="59"/>
        <v xml:space="preserve"> </v>
      </c>
      <c r="AN118" s="119" t="str">
        <f t="shared" si="60"/>
        <v xml:space="preserve"> </v>
      </c>
      <c r="AO118" s="444" t="str">
        <f t="shared" si="61"/>
        <v xml:space="preserve"> </v>
      </c>
      <c r="AP118" s="444" t="str">
        <f t="shared" si="62"/>
        <v xml:space="preserve"> </v>
      </c>
      <c r="AQ118" s="123" t="str">
        <f>IF(A118=" "," ",IF('#orgDung'!AB103=0,0,AO118/'#orgDung'!AB103))</f>
        <v xml:space="preserve"> </v>
      </c>
      <c r="AR118" s="47" t="str">
        <f>IF(A118=" "," ",IF('#orgDung'!AB103=0,0,AP118/'#orgDung'!AB103))</f>
        <v xml:space="preserve"> </v>
      </c>
      <c r="AS118" s="890">
        <f>IF(OR(B118=0,B118=""),0,MAX('Flächen u. Kulturen'!V99,AT118/B118))</f>
        <v>0</v>
      </c>
      <c r="AT118" s="875">
        <f t="shared" si="63"/>
        <v>0</v>
      </c>
      <c r="AU118" s="120" t="str">
        <f t="shared" si="64"/>
        <v xml:space="preserve"> </v>
      </c>
    </row>
    <row r="119" spans="1:47" s="875" customFormat="1" x14ac:dyDescent="0.2">
      <c r="A119" s="447" t="str">
        <f>IF('Flächen u. Kulturen'!E100="x",IF(AND('#Kürzungen'!$F$2=2,'#BerechnungDBE'!R95=1,'Flächen u. Kulturen'!D100&lt;&gt;""),'Flächen u. Kulturen'!A100,IF(AND('#BerechnungDBE'!S95=1,'Flächen u. Kulturen'!D100&lt;&gt;""),'Flächen u. Kulturen'!A100," "))," ")</f>
        <v xml:space="preserve"> </v>
      </c>
      <c r="B119" s="505" t="str">
        <f>'Flächen u. Kulturen'!D100</f>
        <v/>
      </c>
      <c r="C119" s="42" t="str">
        <f>IF(A119=" "," ",'#BerechnungDBE'!AA95)</f>
        <v xml:space="preserve"> </v>
      </c>
      <c r="D119" s="42" t="str">
        <f>IF(A119=" "," ",'#BerechnungDBE'!BA95)</f>
        <v xml:space="preserve"> </v>
      </c>
      <c r="E119" s="42" t="str">
        <f t="shared" si="86"/>
        <v xml:space="preserve"> </v>
      </c>
      <c r="F119" s="869"/>
      <c r="G119" s="42" t="str">
        <f>IF(A119=" ","",'#BerechnungDBE'!BA95+'#BerechnungDBE'!BF95)</f>
        <v/>
      </c>
      <c r="H119" s="444" t="str">
        <f t="shared" si="65"/>
        <v/>
      </c>
      <c r="I119" s="444">
        <f>'#minDung'!P101</f>
        <v>0</v>
      </c>
      <c r="J119" s="430" t="str">
        <f t="shared" si="84"/>
        <v xml:space="preserve"> </v>
      </c>
      <c r="K119" s="913">
        <f>IF(A119=" ",0,'Flächen u. Kulturen'!V100)</f>
        <v>0</v>
      </c>
      <c r="L119" s="883" t="str">
        <f t="shared" si="51"/>
        <v/>
      </c>
      <c r="M119" s="879" t="str">
        <f t="shared" si="52"/>
        <v xml:space="preserve"> </v>
      </c>
      <c r="N119" s="444" t="str">
        <f t="shared" si="66"/>
        <v xml:space="preserve"> </v>
      </c>
      <c r="O119" s="911" t="str">
        <f t="shared" si="67"/>
        <v xml:space="preserve"> </v>
      </c>
      <c r="P119" s="912" t="str">
        <f t="shared" si="68"/>
        <v xml:space="preserve"> </v>
      </c>
      <c r="Q119" s="912" t="str">
        <f t="shared" si="69"/>
        <v xml:space="preserve"> </v>
      </c>
      <c r="R119" s="444" t="str">
        <f t="shared" si="53"/>
        <v/>
      </c>
      <c r="S119" s="444" t="str">
        <f t="shared" si="70"/>
        <v/>
      </c>
      <c r="T119" s="444" t="str">
        <f t="shared" si="54"/>
        <v xml:space="preserve"> </v>
      </c>
      <c r="U119" s="119" t="str">
        <f t="shared" si="71"/>
        <v xml:space="preserve"> </v>
      </c>
      <c r="V119" s="444" t="str">
        <f t="shared" si="72"/>
        <v xml:space="preserve"> </v>
      </c>
      <c r="W119" s="909" t="str">
        <f t="shared" si="73"/>
        <v xml:space="preserve"> </v>
      </c>
      <c r="X119" s="924" t="str">
        <f t="shared" si="74"/>
        <v xml:space="preserve"> </v>
      </c>
      <c r="Y119" s="444" t="str">
        <f t="shared" si="55"/>
        <v xml:space="preserve"> </v>
      </c>
      <c r="Z119" s="444" t="str">
        <f t="shared" si="75"/>
        <v xml:space="preserve"> </v>
      </c>
      <c r="AA119" s="444" t="str">
        <f t="shared" si="76"/>
        <v xml:space="preserve"> </v>
      </c>
      <c r="AB119" s="912" t="str">
        <f t="shared" si="77"/>
        <v xml:space="preserve"> </v>
      </c>
      <c r="AC119" s="912" t="str">
        <f t="shared" si="78"/>
        <v xml:space="preserve"> </v>
      </c>
      <c r="AD119" s="444" t="str">
        <f t="shared" si="79"/>
        <v xml:space="preserve"> </v>
      </c>
      <c r="AE119" s="444" t="str">
        <f t="shared" si="80"/>
        <v/>
      </c>
      <c r="AF119" s="444" t="str">
        <f t="shared" si="56"/>
        <v xml:space="preserve"> </v>
      </c>
      <c r="AG119" s="119" t="str">
        <f t="shared" si="81"/>
        <v xml:space="preserve"> </v>
      </c>
      <c r="AH119" s="444" t="str">
        <f t="shared" si="82"/>
        <v xml:space="preserve"> </v>
      </c>
      <c r="AI119" s="909" t="str">
        <f t="shared" si="83"/>
        <v xml:space="preserve"> </v>
      </c>
      <c r="AJ119" s="879" t="str">
        <f t="shared" si="85"/>
        <v xml:space="preserve"> </v>
      </c>
      <c r="AK119" s="444" t="str">
        <f t="shared" si="57"/>
        <v xml:space="preserve"> </v>
      </c>
      <c r="AL119" s="444" t="str">
        <f t="shared" si="58"/>
        <v xml:space="preserve"> </v>
      </c>
      <c r="AM119" s="444" t="str">
        <f t="shared" si="59"/>
        <v xml:space="preserve"> </v>
      </c>
      <c r="AN119" s="119" t="str">
        <f t="shared" si="60"/>
        <v xml:space="preserve"> </v>
      </c>
      <c r="AO119" s="444" t="str">
        <f t="shared" si="61"/>
        <v xml:space="preserve"> </v>
      </c>
      <c r="AP119" s="444" t="str">
        <f t="shared" si="62"/>
        <v xml:space="preserve"> </v>
      </c>
      <c r="AQ119" s="123" t="str">
        <f>IF(A119=" "," ",IF('#orgDung'!AB104=0,0,AO119/'#orgDung'!AB104))</f>
        <v xml:space="preserve"> </v>
      </c>
      <c r="AR119" s="47" t="str">
        <f>IF(A119=" "," ",IF('#orgDung'!AB104=0,0,AP119/'#orgDung'!AB104))</f>
        <v xml:space="preserve"> </v>
      </c>
      <c r="AS119" s="890">
        <f>IF(OR(B119=0,B119=""),0,MAX('Flächen u. Kulturen'!V100,AT119/B119))</f>
        <v>0</v>
      </c>
      <c r="AT119" s="875">
        <f t="shared" si="63"/>
        <v>0</v>
      </c>
      <c r="AU119" s="120" t="str">
        <f t="shared" si="64"/>
        <v xml:space="preserve"> </v>
      </c>
    </row>
    <row r="120" spans="1:47" s="875" customFormat="1" x14ac:dyDescent="0.2">
      <c r="A120" s="447" t="str">
        <f>IF('Flächen u. Kulturen'!E101="x",IF(AND('#Kürzungen'!$F$2=2,'#BerechnungDBE'!R96=1,'Flächen u. Kulturen'!D101&lt;&gt;""),'Flächen u. Kulturen'!A101,IF(AND('#BerechnungDBE'!S96=1,'Flächen u. Kulturen'!D101&lt;&gt;""),'Flächen u. Kulturen'!A101," "))," ")</f>
        <v xml:space="preserve"> </v>
      </c>
      <c r="B120" s="505" t="str">
        <f>'Flächen u. Kulturen'!D101</f>
        <v/>
      </c>
      <c r="C120" s="42" t="str">
        <f>IF(A120=" "," ",'#BerechnungDBE'!AA96)</f>
        <v xml:space="preserve"> </v>
      </c>
      <c r="D120" s="42" t="str">
        <f>IF(A120=" "," ",'#BerechnungDBE'!BA96)</f>
        <v xml:space="preserve"> </v>
      </c>
      <c r="E120" s="42" t="str">
        <f t="shared" si="86"/>
        <v xml:space="preserve"> </v>
      </c>
      <c r="F120" s="869"/>
      <c r="G120" s="42" t="str">
        <f>IF(A120=" ","",'#BerechnungDBE'!BA96+'#BerechnungDBE'!BF96)</f>
        <v/>
      </c>
      <c r="H120" s="444" t="str">
        <f t="shared" si="65"/>
        <v/>
      </c>
      <c r="I120" s="444">
        <f>'#minDung'!P102</f>
        <v>0</v>
      </c>
      <c r="J120" s="430" t="str">
        <f t="shared" si="84"/>
        <v xml:space="preserve"> </v>
      </c>
      <c r="K120" s="913">
        <f>IF(A120=" ",0,'Flächen u. Kulturen'!V101)</f>
        <v>0</v>
      </c>
      <c r="L120" s="883" t="str">
        <f t="shared" si="51"/>
        <v/>
      </c>
      <c r="M120" s="879" t="str">
        <f t="shared" si="52"/>
        <v xml:space="preserve"> </v>
      </c>
      <c r="N120" s="444" t="str">
        <f t="shared" si="66"/>
        <v xml:space="preserve"> </v>
      </c>
      <c r="O120" s="911" t="str">
        <f t="shared" si="67"/>
        <v xml:space="preserve"> </v>
      </c>
      <c r="P120" s="912" t="str">
        <f t="shared" si="68"/>
        <v xml:space="preserve"> </v>
      </c>
      <c r="Q120" s="912" t="str">
        <f t="shared" si="69"/>
        <v xml:space="preserve"> </v>
      </c>
      <c r="R120" s="444" t="str">
        <f t="shared" si="53"/>
        <v/>
      </c>
      <c r="S120" s="444" t="str">
        <f t="shared" si="70"/>
        <v/>
      </c>
      <c r="T120" s="444" t="str">
        <f t="shared" si="54"/>
        <v xml:space="preserve"> </v>
      </c>
      <c r="U120" s="119" t="str">
        <f t="shared" si="71"/>
        <v xml:space="preserve"> </v>
      </c>
      <c r="V120" s="444" t="str">
        <f t="shared" si="72"/>
        <v xml:space="preserve"> </v>
      </c>
      <c r="W120" s="909" t="str">
        <f t="shared" si="73"/>
        <v xml:space="preserve"> </v>
      </c>
      <c r="X120" s="924" t="str">
        <f t="shared" si="74"/>
        <v xml:space="preserve"> </v>
      </c>
      <c r="Y120" s="444" t="str">
        <f t="shared" si="55"/>
        <v xml:space="preserve"> </v>
      </c>
      <c r="Z120" s="444" t="str">
        <f t="shared" si="75"/>
        <v xml:space="preserve"> </v>
      </c>
      <c r="AA120" s="444" t="str">
        <f t="shared" si="76"/>
        <v xml:space="preserve"> </v>
      </c>
      <c r="AB120" s="912" t="str">
        <f t="shared" si="77"/>
        <v xml:space="preserve"> </v>
      </c>
      <c r="AC120" s="912" t="str">
        <f t="shared" si="78"/>
        <v xml:space="preserve"> </v>
      </c>
      <c r="AD120" s="444" t="str">
        <f t="shared" si="79"/>
        <v xml:space="preserve"> </v>
      </c>
      <c r="AE120" s="444" t="str">
        <f t="shared" si="80"/>
        <v/>
      </c>
      <c r="AF120" s="444" t="str">
        <f t="shared" si="56"/>
        <v xml:space="preserve"> </v>
      </c>
      <c r="AG120" s="119" t="str">
        <f t="shared" si="81"/>
        <v xml:space="preserve"> </v>
      </c>
      <c r="AH120" s="444" t="str">
        <f t="shared" si="82"/>
        <v xml:space="preserve"> </v>
      </c>
      <c r="AI120" s="909" t="str">
        <f t="shared" si="83"/>
        <v xml:space="preserve"> </v>
      </c>
      <c r="AJ120" s="879" t="str">
        <f t="shared" si="85"/>
        <v xml:space="preserve"> </v>
      </c>
      <c r="AK120" s="444" t="str">
        <f t="shared" si="57"/>
        <v xml:space="preserve"> </v>
      </c>
      <c r="AL120" s="444" t="str">
        <f t="shared" si="58"/>
        <v xml:space="preserve"> </v>
      </c>
      <c r="AM120" s="444" t="str">
        <f t="shared" si="59"/>
        <v xml:space="preserve"> </v>
      </c>
      <c r="AN120" s="119" t="str">
        <f t="shared" si="60"/>
        <v xml:space="preserve"> </v>
      </c>
      <c r="AO120" s="444" t="str">
        <f t="shared" si="61"/>
        <v xml:space="preserve"> </v>
      </c>
      <c r="AP120" s="444" t="str">
        <f t="shared" si="62"/>
        <v xml:space="preserve"> </v>
      </c>
      <c r="AQ120" s="123" t="str">
        <f>IF(A120=" "," ",IF('#orgDung'!AB105=0,0,AO120/'#orgDung'!AB105))</f>
        <v xml:space="preserve"> </v>
      </c>
      <c r="AR120" s="47" t="str">
        <f>IF(A120=" "," ",IF('#orgDung'!AB105=0,0,AP120/'#orgDung'!AB105))</f>
        <v xml:space="preserve"> </v>
      </c>
      <c r="AS120" s="890">
        <f>IF(OR(B120=0,B120=""),0,MAX('Flächen u. Kulturen'!V101,AT120/B120))</f>
        <v>0</v>
      </c>
      <c r="AT120" s="875">
        <f t="shared" si="63"/>
        <v>0</v>
      </c>
      <c r="AU120" s="120" t="str">
        <f t="shared" si="64"/>
        <v xml:space="preserve"> </v>
      </c>
    </row>
    <row r="121" spans="1:47" s="875" customFormat="1" x14ac:dyDescent="0.2">
      <c r="A121" s="447" t="str">
        <f>IF('Flächen u. Kulturen'!E102="x",IF(AND('#Kürzungen'!$F$2=2,'#BerechnungDBE'!R97=1,'Flächen u. Kulturen'!D102&lt;&gt;""),'Flächen u. Kulturen'!A102,IF(AND('#BerechnungDBE'!S97=1,'Flächen u. Kulturen'!D102&lt;&gt;""),'Flächen u. Kulturen'!A102," "))," ")</f>
        <v xml:space="preserve"> </v>
      </c>
      <c r="B121" s="505" t="str">
        <f>'Flächen u. Kulturen'!D102</f>
        <v/>
      </c>
      <c r="C121" s="42" t="str">
        <f>IF(A121=" "," ",'#BerechnungDBE'!AA97)</f>
        <v xml:space="preserve"> </v>
      </c>
      <c r="D121" s="42" t="str">
        <f>IF(A121=" "," ",'#BerechnungDBE'!BA97)</f>
        <v xml:space="preserve"> </v>
      </c>
      <c r="E121" s="42" t="str">
        <f t="shared" si="86"/>
        <v xml:space="preserve"> </v>
      </c>
      <c r="F121" s="869"/>
      <c r="G121" s="42" t="str">
        <f>IF(A121=" ","",'#BerechnungDBE'!BA97+'#BerechnungDBE'!BF97)</f>
        <v/>
      </c>
      <c r="H121" s="444" t="str">
        <f t="shared" si="65"/>
        <v/>
      </c>
      <c r="I121" s="444">
        <f>'#minDung'!P103</f>
        <v>0</v>
      </c>
      <c r="J121" s="430" t="str">
        <f t="shared" si="84"/>
        <v xml:space="preserve"> </v>
      </c>
      <c r="K121" s="913">
        <f>IF(A121=" ",0,'Flächen u. Kulturen'!V102)</f>
        <v>0</v>
      </c>
      <c r="L121" s="883" t="str">
        <f t="shared" si="51"/>
        <v/>
      </c>
      <c r="M121" s="879" t="str">
        <f t="shared" si="52"/>
        <v xml:space="preserve"> </v>
      </c>
      <c r="N121" s="444" t="str">
        <f t="shared" si="66"/>
        <v xml:space="preserve"> </v>
      </c>
      <c r="O121" s="911" t="str">
        <f t="shared" si="67"/>
        <v xml:space="preserve"> </v>
      </c>
      <c r="P121" s="912" t="str">
        <f t="shared" si="68"/>
        <v xml:space="preserve"> </v>
      </c>
      <c r="Q121" s="912" t="str">
        <f t="shared" si="69"/>
        <v xml:space="preserve"> </v>
      </c>
      <c r="R121" s="444" t="str">
        <f t="shared" si="53"/>
        <v/>
      </c>
      <c r="S121" s="444" t="str">
        <f t="shared" si="70"/>
        <v/>
      </c>
      <c r="T121" s="444" t="str">
        <f t="shared" si="54"/>
        <v xml:space="preserve"> </v>
      </c>
      <c r="U121" s="119" t="str">
        <f t="shared" si="71"/>
        <v xml:space="preserve"> </v>
      </c>
      <c r="V121" s="444" t="str">
        <f t="shared" si="72"/>
        <v xml:space="preserve"> </v>
      </c>
      <c r="W121" s="909" t="str">
        <f t="shared" si="73"/>
        <v xml:space="preserve"> </v>
      </c>
      <c r="X121" s="924" t="str">
        <f t="shared" si="74"/>
        <v xml:space="preserve"> </v>
      </c>
      <c r="Y121" s="444" t="str">
        <f t="shared" si="55"/>
        <v xml:space="preserve"> </v>
      </c>
      <c r="Z121" s="444" t="str">
        <f t="shared" si="75"/>
        <v xml:space="preserve"> </v>
      </c>
      <c r="AA121" s="444" t="str">
        <f t="shared" si="76"/>
        <v xml:space="preserve"> </v>
      </c>
      <c r="AB121" s="912" t="str">
        <f t="shared" si="77"/>
        <v xml:space="preserve"> </v>
      </c>
      <c r="AC121" s="912" t="str">
        <f t="shared" si="78"/>
        <v xml:space="preserve"> </v>
      </c>
      <c r="AD121" s="444" t="str">
        <f t="shared" si="79"/>
        <v xml:space="preserve"> </v>
      </c>
      <c r="AE121" s="444" t="str">
        <f t="shared" si="80"/>
        <v/>
      </c>
      <c r="AF121" s="444" t="str">
        <f t="shared" si="56"/>
        <v xml:space="preserve"> </v>
      </c>
      <c r="AG121" s="119" t="str">
        <f t="shared" si="81"/>
        <v xml:space="preserve"> </v>
      </c>
      <c r="AH121" s="444" t="str">
        <f t="shared" si="82"/>
        <v xml:space="preserve"> </v>
      </c>
      <c r="AI121" s="909" t="str">
        <f t="shared" si="83"/>
        <v xml:space="preserve"> </v>
      </c>
      <c r="AJ121" s="879" t="str">
        <f t="shared" si="85"/>
        <v xml:space="preserve"> </v>
      </c>
      <c r="AK121" s="444" t="str">
        <f t="shared" si="57"/>
        <v xml:space="preserve"> </v>
      </c>
      <c r="AL121" s="444" t="str">
        <f t="shared" si="58"/>
        <v xml:space="preserve"> </v>
      </c>
      <c r="AM121" s="444" t="str">
        <f t="shared" si="59"/>
        <v xml:space="preserve"> </v>
      </c>
      <c r="AN121" s="119" t="str">
        <f t="shared" si="60"/>
        <v xml:space="preserve"> </v>
      </c>
      <c r="AO121" s="444" t="str">
        <f t="shared" si="61"/>
        <v xml:space="preserve"> </v>
      </c>
      <c r="AP121" s="444" t="str">
        <f t="shared" si="62"/>
        <v xml:space="preserve"> </v>
      </c>
      <c r="AQ121" s="123" t="str">
        <f>IF(A121=" "," ",IF('#orgDung'!AB106=0,0,AO121/'#orgDung'!AB106))</f>
        <v xml:space="preserve"> </v>
      </c>
      <c r="AR121" s="47" t="str">
        <f>IF(A121=" "," ",IF('#orgDung'!AB106=0,0,AP121/'#orgDung'!AB106))</f>
        <v xml:space="preserve"> </v>
      </c>
      <c r="AS121" s="890">
        <f>IF(OR(B121=0,B121=""),0,MAX('Flächen u. Kulturen'!V102,AT121/B121))</f>
        <v>0</v>
      </c>
      <c r="AT121" s="875">
        <f t="shared" si="63"/>
        <v>0</v>
      </c>
      <c r="AU121" s="120" t="str">
        <f t="shared" si="64"/>
        <v xml:space="preserve"> </v>
      </c>
    </row>
    <row r="122" spans="1:47" s="875" customFormat="1" x14ac:dyDescent="0.2">
      <c r="A122" s="447" t="str">
        <f>IF('Flächen u. Kulturen'!E103="x",IF(AND('#Kürzungen'!$F$2=2,'#BerechnungDBE'!R98=1,'Flächen u. Kulturen'!D103&lt;&gt;""),'Flächen u. Kulturen'!A103,IF(AND('#BerechnungDBE'!S98=1,'Flächen u. Kulturen'!D103&lt;&gt;""),'Flächen u. Kulturen'!A103," "))," ")</f>
        <v xml:space="preserve"> </v>
      </c>
      <c r="B122" s="505" t="str">
        <f>'Flächen u. Kulturen'!D103</f>
        <v/>
      </c>
      <c r="C122" s="42" t="str">
        <f>IF(A122=" "," ",'#BerechnungDBE'!AA98)</f>
        <v xml:space="preserve"> </v>
      </c>
      <c r="D122" s="42" t="str">
        <f>IF(A122=" "," ",'#BerechnungDBE'!BA98)</f>
        <v xml:space="preserve"> </v>
      </c>
      <c r="E122" s="42" t="str">
        <f t="shared" si="86"/>
        <v xml:space="preserve"> </v>
      </c>
      <c r="F122" s="869"/>
      <c r="G122" s="42" t="str">
        <f>IF(A122=" ","",'#BerechnungDBE'!BA98+'#BerechnungDBE'!BF98)</f>
        <v/>
      </c>
      <c r="H122" s="444" t="str">
        <f t="shared" si="65"/>
        <v/>
      </c>
      <c r="I122" s="444">
        <f>'#minDung'!P104</f>
        <v>0</v>
      </c>
      <c r="J122" s="430" t="str">
        <f t="shared" si="84"/>
        <v xml:space="preserve"> </v>
      </c>
      <c r="K122" s="913">
        <f>IF(A122=" ",0,'Flächen u. Kulturen'!V103)</f>
        <v>0</v>
      </c>
      <c r="L122" s="883" t="str">
        <f t="shared" si="51"/>
        <v/>
      </c>
      <c r="M122" s="879" t="str">
        <f t="shared" si="52"/>
        <v xml:space="preserve"> </v>
      </c>
      <c r="N122" s="444" t="str">
        <f t="shared" si="66"/>
        <v xml:space="preserve"> </v>
      </c>
      <c r="O122" s="911" t="str">
        <f t="shared" si="67"/>
        <v xml:space="preserve"> </v>
      </c>
      <c r="P122" s="912" t="str">
        <f t="shared" si="68"/>
        <v xml:space="preserve"> </v>
      </c>
      <c r="Q122" s="912" t="str">
        <f t="shared" si="69"/>
        <v xml:space="preserve"> </v>
      </c>
      <c r="R122" s="444" t="str">
        <f t="shared" si="53"/>
        <v/>
      </c>
      <c r="S122" s="444" t="str">
        <f t="shared" si="70"/>
        <v/>
      </c>
      <c r="T122" s="444" t="str">
        <f t="shared" si="54"/>
        <v xml:space="preserve"> </v>
      </c>
      <c r="U122" s="119" t="str">
        <f t="shared" si="71"/>
        <v xml:space="preserve"> </v>
      </c>
      <c r="V122" s="444" t="str">
        <f t="shared" si="72"/>
        <v xml:space="preserve"> </v>
      </c>
      <c r="W122" s="909" t="str">
        <f t="shared" si="73"/>
        <v xml:space="preserve"> </v>
      </c>
      <c r="X122" s="924" t="str">
        <f t="shared" si="74"/>
        <v xml:space="preserve"> </v>
      </c>
      <c r="Y122" s="444" t="str">
        <f t="shared" si="55"/>
        <v xml:space="preserve"> </v>
      </c>
      <c r="Z122" s="444" t="str">
        <f t="shared" si="75"/>
        <v xml:space="preserve"> </v>
      </c>
      <c r="AA122" s="444" t="str">
        <f t="shared" si="76"/>
        <v xml:space="preserve"> </v>
      </c>
      <c r="AB122" s="912" t="str">
        <f t="shared" si="77"/>
        <v xml:space="preserve"> </v>
      </c>
      <c r="AC122" s="912" t="str">
        <f t="shared" si="78"/>
        <v xml:space="preserve"> </v>
      </c>
      <c r="AD122" s="444" t="str">
        <f t="shared" si="79"/>
        <v xml:space="preserve"> </v>
      </c>
      <c r="AE122" s="444" t="str">
        <f t="shared" si="80"/>
        <v/>
      </c>
      <c r="AF122" s="444" t="str">
        <f t="shared" si="56"/>
        <v xml:space="preserve"> </v>
      </c>
      <c r="AG122" s="119" t="str">
        <f t="shared" si="81"/>
        <v xml:space="preserve"> </v>
      </c>
      <c r="AH122" s="444" t="str">
        <f t="shared" si="82"/>
        <v xml:space="preserve"> </v>
      </c>
      <c r="AI122" s="909" t="str">
        <f t="shared" si="83"/>
        <v xml:space="preserve"> </v>
      </c>
      <c r="AJ122" s="879" t="str">
        <f t="shared" si="85"/>
        <v xml:space="preserve"> </v>
      </c>
      <c r="AK122" s="444" t="str">
        <f t="shared" si="57"/>
        <v xml:space="preserve"> </v>
      </c>
      <c r="AL122" s="444" t="str">
        <f t="shared" si="58"/>
        <v xml:space="preserve"> </v>
      </c>
      <c r="AM122" s="444" t="str">
        <f t="shared" si="59"/>
        <v xml:space="preserve"> </v>
      </c>
      <c r="AN122" s="119" t="str">
        <f t="shared" si="60"/>
        <v xml:space="preserve"> </v>
      </c>
      <c r="AO122" s="444" t="str">
        <f t="shared" si="61"/>
        <v xml:space="preserve"> </v>
      </c>
      <c r="AP122" s="444" t="str">
        <f t="shared" si="62"/>
        <v xml:space="preserve"> </v>
      </c>
      <c r="AQ122" s="123" t="str">
        <f>IF(A122=" "," ",IF('#orgDung'!AB107=0,0,AO122/'#orgDung'!AB107))</f>
        <v xml:space="preserve"> </v>
      </c>
      <c r="AR122" s="47" t="str">
        <f>IF(A122=" "," ",IF('#orgDung'!AB107=0,0,AP122/'#orgDung'!AB107))</f>
        <v xml:space="preserve"> </v>
      </c>
      <c r="AS122" s="890">
        <f>IF(OR(B122=0,B122=""),0,MAX('Flächen u. Kulturen'!V103,AT122/B122))</f>
        <v>0</v>
      </c>
      <c r="AT122" s="875">
        <f t="shared" si="63"/>
        <v>0</v>
      </c>
      <c r="AU122" s="120" t="str">
        <f t="shared" si="64"/>
        <v xml:space="preserve"> </v>
      </c>
    </row>
    <row r="123" spans="1:47" s="875" customFormat="1" x14ac:dyDescent="0.2">
      <c r="A123" s="447" t="str">
        <f>IF('Flächen u. Kulturen'!E104="x",IF(AND('#Kürzungen'!$F$2=2,'#BerechnungDBE'!R99=1,'Flächen u. Kulturen'!D104&lt;&gt;""),'Flächen u. Kulturen'!A104,IF(AND('#BerechnungDBE'!S99=1,'Flächen u. Kulturen'!D104&lt;&gt;""),'Flächen u. Kulturen'!A104," "))," ")</f>
        <v xml:space="preserve"> </v>
      </c>
      <c r="B123" s="505" t="str">
        <f>'Flächen u. Kulturen'!D104</f>
        <v/>
      </c>
      <c r="C123" s="42" t="str">
        <f>IF(A123=" "," ",'#BerechnungDBE'!AA99)</f>
        <v xml:space="preserve"> </v>
      </c>
      <c r="D123" s="42" t="str">
        <f>IF(A123=" "," ",'#BerechnungDBE'!BA99)</f>
        <v xml:space="preserve"> </v>
      </c>
      <c r="E123" s="42" t="str">
        <f t="shared" si="86"/>
        <v xml:space="preserve"> </v>
      </c>
      <c r="F123" s="869"/>
      <c r="G123" s="42" t="str">
        <f>IF(A123=" ","",'#BerechnungDBE'!BA99+'#BerechnungDBE'!BF99)</f>
        <v/>
      </c>
      <c r="H123" s="444" t="str">
        <f t="shared" si="65"/>
        <v/>
      </c>
      <c r="I123" s="444">
        <f>'#minDung'!P105</f>
        <v>0</v>
      </c>
      <c r="J123" s="430" t="str">
        <f t="shared" si="84"/>
        <v xml:space="preserve"> </v>
      </c>
      <c r="K123" s="913">
        <f>IF(A123=" ",0,'Flächen u. Kulturen'!V104)</f>
        <v>0</v>
      </c>
      <c r="L123" s="883" t="str">
        <f t="shared" si="51"/>
        <v/>
      </c>
      <c r="M123" s="879" t="str">
        <f t="shared" si="52"/>
        <v xml:space="preserve"> </v>
      </c>
      <c r="N123" s="444" t="str">
        <f t="shared" si="66"/>
        <v xml:space="preserve"> </v>
      </c>
      <c r="O123" s="911" t="str">
        <f t="shared" si="67"/>
        <v xml:space="preserve"> </v>
      </c>
      <c r="P123" s="912" t="str">
        <f t="shared" si="68"/>
        <v xml:space="preserve"> </v>
      </c>
      <c r="Q123" s="912" t="str">
        <f t="shared" si="69"/>
        <v xml:space="preserve"> </v>
      </c>
      <c r="R123" s="444" t="str">
        <f t="shared" si="53"/>
        <v/>
      </c>
      <c r="S123" s="444" t="str">
        <f t="shared" si="70"/>
        <v/>
      </c>
      <c r="T123" s="444" t="str">
        <f t="shared" si="54"/>
        <v xml:space="preserve"> </v>
      </c>
      <c r="U123" s="119" t="str">
        <f t="shared" si="71"/>
        <v xml:space="preserve"> </v>
      </c>
      <c r="V123" s="444" t="str">
        <f t="shared" si="72"/>
        <v xml:space="preserve"> </v>
      </c>
      <c r="W123" s="909" t="str">
        <f t="shared" si="73"/>
        <v xml:space="preserve"> </v>
      </c>
      <c r="X123" s="924" t="str">
        <f t="shared" si="74"/>
        <v xml:space="preserve"> </v>
      </c>
      <c r="Y123" s="444" t="str">
        <f t="shared" si="55"/>
        <v xml:space="preserve"> </v>
      </c>
      <c r="Z123" s="444" t="str">
        <f t="shared" si="75"/>
        <v xml:space="preserve"> </v>
      </c>
      <c r="AA123" s="444" t="str">
        <f t="shared" si="76"/>
        <v xml:space="preserve"> </v>
      </c>
      <c r="AB123" s="912" t="str">
        <f t="shared" si="77"/>
        <v xml:space="preserve"> </v>
      </c>
      <c r="AC123" s="912" t="str">
        <f t="shared" si="78"/>
        <v xml:space="preserve"> </v>
      </c>
      <c r="AD123" s="444" t="str">
        <f t="shared" si="79"/>
        <v xml:space="preserve"> </v>
      </c>
      <c r="AE123" s="444" t="str">
        <f t="shared" si="80"/>
        <v/>
      </c>
      <c r="AF123" s="444" t="str">
        <f t="shared" si="56"/>
        <v xml:space="preserve"> </v>
      </c>
      <c r="AG123" s="119" t="str">
        <f t="shared" si="81"/>
        <v xml:space="preserve"> </v>
      </c>
      <c r="AH123" s="444" t="str">
        <f t="shared" si="82"/>
        <v xml:space="preserve"> </v>
      </c>
      <c r="AI123" s="909" t="str">
        <f t="shared" si="83"/>
        <v xml:space="preserve"> </v>
      </c>
      <c r="AJ123" s="879" t="str">
        <f t="shared" si="85"/>
        <v xml:space="preserve"> </v>
      </c>
      <c r="AK123" s="444" t="str">
        <f t="shared" si="57"/>
        <v xml:space="preserve"> </v>
      </c>
      <c r="AL123" s="444" t="str">
        <f t="shared" si="58"/>
        <v xml:space="preserve"> </v>
      </c>
      <c r="AM123" s="444" t="str">
        <f t="shared" si="59"/>
        <v xml:space="preserve"> </v>
      </c>
      <c r="AN123" s="119" t="str">
        <f t="shared" si="60"/>
        <v xml:space="preserve"> </v>
      </c>
      <c r="AO123" s="444" t="str">
        <f t="shared" si="61"/>
        <v xml:space="preserve"> </v>
      </c>
      <c r="AP123" s="444" t="str">
        <f t="shared" si="62"/>
        <v xml:space="preserve"> </v>
      </c>
      <c r="AQ123" s="123" t="str">
        <f>IF(A123=" "," ",IF('#orgDung'!AB108=0,0,AO123/'#orgDung'!AB108))</f>
        <v xml:space="preserve"> </v>
      </c>
      <c r="AR123" s="47" t="str">
        <f>IF(A123=" "," ",IF('#orgDung'!AB108=0,0,AP123/'#orgDung'!AB108))</f>
        <v xml:space="preserve"> </v>
      </c>
      <c r="AS123" s="890">
        <f>IF(OR(B123=0,B123=""),0,MAX('Flächen u. Kulturen'!V104,AT123/B123))</f>
        <v>0</v>
      </c>
      <c r="AT123" s="875">
        <f t="shared" si="63"/>
        <v>0</v>
      </c>
      <c r="AU123" s="120" t="str">
        <f t="shared" si="64"/>
        <v xml:space="preserve"> </v>
      </c>
    </row>
    <row r="124" spans="1:47" s="875" customFormat="1" x14ac:dyDescent="0.2">
      <c r="A124" s="447" t="str">
        <f>IF('Flächen u. Kulturen'!E105="x",IF(AND('#Kürzungen'!$F$2=2,'#BerechnungDBE'!R100=1,'Flächen u. Kulturen'!D105&lt;&gt;""),'Flächen u. Kulturen'!A105,IF(AND('#BerechnungDBE'!S100=1,'Flächen u. Kulturen'!D105&lt;&gt;""),'Flächen u. Kulturen'!A105," "))," ")</f>
        <v xml:space="preserve"> </v>
      </c>
      <c r="B124" s="505" t="str">
        <f>'Flächen u. Kulturen'!D105</f>
        <v/>
      </c>
      <c r="C124" s="42" t="str">
        <f>IF(A124=" "," ",'#BerechnungDBE'!AA100)</f>
        <v xml:space="preserve"> </v>
      </c>
      <c r="D124" s="42" t="str">
        <f>IF(A124=" "," ",'#BerechnungDBE'!BA100)</f>
        <v xml:space="preserve"> </v>
      </c>
      <c r="E124" s="42" t="str">
        <f t="shared" si="86"/>
        <v xml:space="preserve"> </v>
      </c>
      <c r="F124" s="869"/>
      <c r="G124" s="42" t="str">
        <f>IF(A124=" ","",'#BerechnungDBE'!BA100+'#BerechnungDBE'!BF100)</f>
        <v/>
      </c>
      <c r="H124" s="444" t="str">
        <f t="shared" si="65"/>
        <v/>
      </c>
      <c r="I124" s="444">
        <f>'#minDung'!P106</f>
        <v>0</v>
      </c>
      <c r="J124" s="430" t="str">
        <f t="shared" si="84"/>
        <v xml:space="preserve"> </v>
      </c>
      <c r="K124" s="913">
        <f>IF(A124=" ",0,'Flächen u. Kulturen'!V105)</f>
        <v>0</v>
      </c>
      <c r="L124" s="883" t="str">
        <f t="shared" si="51"/>
        <v/>
      </c>
      <c r="M124" s="879" t="str">
        <f t="shared" si="52"/>
        <v xml:space="preserve"> </v>
      </c>
      <c r="N124" s="444" t="str">
        <f t="shared" si="66"/>
        <v xml:space="preserve"> </v>
      </c>
      <c r="O124" s="911" t="str">
        <f t="shared" si="67"/>
        <v xml:space="preserve"> </v>
      </c>
      <c r="P124" s="912" t="str">
        <f t="shared" si="68"/>
        <v xml:space="preserve"> </v>
      </c>
      <c r="Q124" s="912" t="str">
        <f t="shared" si="69"/>
        <v xml:space="preserve"> </v>
      </c>
      <c r="R124" s="444" t="str">
        <f t="shared" si="53"/>
        <v/>
      </c>
      <c r="S124" s="444" t="str">
        <f t="shared" si="70"/>
        <v/>
      </c>
      <c r="T124" s="444" t="str">
        <f t="shared" si="54"/>
        <v xml:space="preserve"> </v>
      </c>
      <c r="U124" s="119" t="str">
        <f t="shared" si="71"/>
        <v xml:space="preserve"> </v>
      </c>
      <c r="V124" s="444" t="str">
        <f t="shared" si="72"/>
        <v xml:space="preserve"> </v>
      </c>
      <c r="W124" s="909" t="str">
        <f t="shared" si="73"/>
        <v xml:space="preserve"> </v>
      </c>
      <c r="X124" s="924" t="str">
        <f t="shared" si="74"/>
        <v xml:space="preserve"> </v>
      </c>
      <c r="Y124" s="444" t="str">
        <f t="shared" si="55"/>
        <v xml:space="preserve"> </v>
      </c>
      <c r="Z124" s="444" t="str">
        <f t="shared" si="75"/>
        <v xml:space="preserve"> </v>
      </c>
      <c r="AA124" s="444" t="str">
        <f t="shared" si="76"/>
        <v xml:space="preserve"> </v>
      </c>
      <c r="AB124" s="912" t="str">
        <f t="shared" si="77"/>
        <v xml:space="preserve"> </v>
      </c>
      <c r="AC124" s="912" t="str">
        <f t="shared" si="78"/>
        <v xml:space="preserve"> </v>
      </c>
      <c r="AD124" s="444" t="str">
        <f t="shared" si="79"/>
        <v xml:space="preserve"> </v>
      </c>
      <c r="AE124" s="444" t="str">
        <f t="shared" si="80"/>
        <v/>
      </c>
      <c r="AF124" s="444" t="str">
        <f t="shared" si="56"/>
        <v xml:space="preserve"> </v>
      </c>
      <c r="AG124" s="119" t="str">
        <f t="shared" si="81"/>
        <v xml:space="preserve"> </v>
      </c>
      <c r="AH124" s="444" t="str">
        <f t="shared" si="82"/>
        <v xml:space="preserve"> </v>
      </c>
      <c r="AI124" s="909" t="str">
        <f t="shared" si="83"/>
        <v xml:space="preserve"> </v>
      </c>
      <c r="AJ124" s="879" t="str">
        <f t="shared" si="85"/>
        <v xml:space="preserve"> </v>
      </c>
      <c r="AK124" s="444" t="str">
        <f t="shared" si="57"/>
        <v xml:space="preserve"> </v>
      </c>
      <c r="AL124" s="444" t="str">
        <f t="shared" si="58"/>
        <v xml:space="preserve"> </v>
      </c>
      <c r="AM124" s="444" t="str">
        <f t="shared" si="59"/>
        <v xml:space="preserve"> </v>
      </c>
      <c r="AN124" s="119" t="str">
        <f t="shared" si="60"/>
        <v xml:space="preserve"> </v>
      </c>
      <c r="AO124" s="444" t="str">
        <f t="shared" si="61"/>
        <v xml:space="preserve"> </v>
      </c>
      <c r="AP124" s="444" t="str">
        <f t="shared" si="62"/>
        <v xml:space="preserve"> </v>
      </c>
      <c r="AQ124" s="123" t="str">
        <f>IF(A124=" "," ",IF('#orgDung'!AB109=0,0,AO124/'#orgDung'!AB109))</f>
        <v xml:space="preserve"> </v>
      </c>
      <c r="AR124" s="47" t="str">
        <f>IF(A124=" "," ",IF('#orgDung'!AB109=0,0,AP124/'#orgDung'!AB109))</f>
        <v xml:space="preserve"> </v>
      </c>
      <c r="AS124" s="890">
        <f>IF(OR(B124=0,B124=""),0,MAX('Flächen u. Kulturen'!V105,AT124/B124))</f>
        <v>0</v>
      </c>
      <c r="AT124" s="875">
        <f t="shared" si="63"/>
        <v>0</v>
      </c>
      <c r="AU124" s="120" t="str">
        <f t="shared" si="64"/>
        <v xml:space="preserve"> </v>
      </c>
    </row>
    <row r="125" spans="1:47" s="875" customFormat="1" x14ac:dyDescent="0.2">
      <c r="A125" s="447" t="str">
        <f>IF('Flächen u. Kulturen'!E106="x",IF(AND('#Kürzungen'!$F$2=2,'#BerechnungDBE'!R101=1,'Flächen u. Kulturen'!D106&lt;&gt;""),'Flächen u. Kulturen'!A106,IF(AND('#BerechnungDBE'!S101=1,'Flächen u. Kulturen'!D106&lt;&gt;""),'Flächen u. Kulturen'!A106," "))," ")</f>
        <v xml:space="preserve"> </v>
      </c>
      <c r="B125" s="505" t="str">
        <f>'Flächen u. Kulturen'!D106</f>
        <v/>
      </c>
      <c r="C125" s="42" t="str">
        <f>IF(A125=" "," ",'#BerechnungDBE'!AA101)</f>
        <v xml:space="preserve"> </v>
      </c>
      <c r="D125" s="42" t="str">
        <f>IF(A125=" "," ",'#BerechnungDBE'!BA101)</f>
        <v xml:space="preserve"> </v>
      </c>
      <c r="E125" s="42" t="str">
        <f t="shared" si="86"/>
        <v xml:space="preserve"> </v>
      </c>
      <c r="F125" s="869"/>
      <c r="G125" s="42" t="str">
        <f>IF(A125=" ","",'#BerechnungDBE'!BA101+'#BerechnungDBE'!BF101)</f>
        <v/>
      </c>
      <c r="H125" s="444" t="str">
        <f t="shared" si="65"/>
        <v/>
      </c>
      <c r="I125" s="444">
        <f>'#minDung'!P107</f>
        <v>0</v>
      </c>
      <c r="J125" s="430" t="str">
        <f t="shared" si="84"/>
        <v xml:space="preserve"> </v>
      </c>
      <c r="K125" s="913">
        <f>IF(A125=" ",0,'Flächen u. Kulturen'!V106)</f>
        <v>0</v>
      </c>
      <c r="L125" s="883" t="str">
        <f>IF(B125="","",K125*B125)</f>
        <v/>
      </c>
      <c r="M125" s="879" t="str">
        <f t="shared" si="52"/>
        <v xml:space="preserve"> </v>
      </c>
      <c r="N125" s="444" t="str">
        <f t="shared" si="66"/>
        <v xml:space="preserve"> </v>
      </c>
      <c r="O125" s="911" t="str">
        <f t="shared" si="67"/>
        <v xml:space="preserve"> </v>
      </c>
      <c r="P125" s="912" t="str">
        <f t="shared" si="68"/>
        <v xml:space="preserve"> </v>
      </c>
      <c r="Q125" s="912" t="str">
        <f t="shared" si="69"/>
        <v xml:space="preserve"> </v>
      </c>
      <c r="R125" s="444" t="str">
        <f>IF(A125=" ","",IF(M125&lt;J125-K125,M125,J125-K125))</f>
        <v/>
      </c>
      <c r="S125" s="444" t="str">
        <f t="shared" si="70"/>
        <v/>
      </c>
      <c r="T125" s="444" t="str">
        <f>IF(A125=" "," ",R125*B125)</f>
        <v xml:space="preserve"> </v>
      </c>
      <c r="U125" s="119" t="str">
        <f t="shared" si="71"/>
        <v xml:space="preserve"> </v>
      </c>
      <c r="V125" s="444" t="str">
        <f t="shared" si="72"/>
        <v xml:space="preserve"> </v>
      </c>
      <c r="W125" s="909" t="str">
        <f t="shared" si="73"/>
        <v xml:space="preserve"> </v>
      </c>
      <c r="X125" s="924" t="str">
        <f t="shared" si="74"/>
        <v xml:space="preserve"> </v>
      </c>
      <c r="Y125" s="444" t="str">
        <f>+IF(A125=" "," ",X125*D125/100)</f>
        <v xml:space="preserve"> </v>
      </c>
      <c r="Z125" s="444" t="str">
        <f t="shared" si="75"/>
        <v xml:space="preserve"> </v>
      </c>
      <c r="AA125" s="444" t="str">
        <f t="shared" si="76"/>
        <v xml:space="preserve"> </v>
      </c>
      <c r="AB125" s="912" t="str">
        <f t="shared" si="77"/>
        <v xml:space="preserve"> </v>
      </c>
      <c r="AC125" s="912" t="str">
        <f t="shared" si="78"/>
        <v xml:space="preserve"> </v>
      </c>
      <c r="AD125" s="444" t="str">
        <f t="shared" si="79"/>
        <v xml:space="preserve"> </v>
      </c>
      <c r="AE125" s="444" t="str">
        <f t="shared" si="80"/>
        <v/>
      </c>
      <c r="AF125" s="444" t="str">
        <f>IF(A125=" "," ",AD125*B125)</f>
        <v xml:space="preserve"> </v>
      </c>
      <c r="AG125" s="119" t="str">
        <f t="shared" si="81"/>
        <v xml:space="preserve"> </v>
      </c>
      <c r="AH125" s="444" t="str">
        <f t="shared" si="82"/>
        <v xml:space="preserve"> </v>
      </c>
      <c r="AI125" s="909" t="str">
        <f t="shared" si="83"/>
        <v xml:space="preserve"> </v>
      </c>
      <c r="AJ125" s="879" t="str">
        <f t="shared" si="85"/>
        <v xml:space="preserve"> </v>
      </c>
      <c r="AK125" s="444" t="str">
        <f>IF(A125=" "," ",AJ125*D125/100)</f>
        <v xml:space="preserve"> </v>
      </c>
      <c r="AL125" s="444" t="str">
        <f>IF(A125=" "," ",AK125-AH125)</f>
        <v xml:space="preserve"> </v>
      </c>
      <c r="AM125" s="444" t="str">
        <f>IF(A125=" "," ",AL125*B125)</f>
        <v xml:space="preserve"> </v>
      </c>
      <c r="AN125" s="119" t="str">
        <f t="shared" si="60"/>
        <v xml:space="preserve"> </v>
      </c>
      <c r="AO125" s="444" t="str">
        <f>IF(A125=" "," ",AN125*AL125)</f>
        <v xml:space="preserve"> </v>
      </c>
      <c r="AP125" s="444" t="str">
        <f t="shared" si="62"/>
        <v xml:space="preserve"> </v>
      </c>
      <c r="AQ125" s="123" t="str">
        <f>IF(A125=" "," ",IF('#orgDung'!AB110=0,0,AO125/'#orgDung'!AB110))</f>
        <v xml:space="preserve"> </v>
      </c>
      <c r="AR125" s="47" t="str">
        <f>IF(A125=" "," ",IF('#orgDung'!AB110=0,0,AP125/'#orgDung'!AB110))</f>
        <v xml:space="preserve"> </v>
      </c>
      <c r="AS125" s="890">
        <f>IF(OR(B125=0,B125=""),0,MAX('Flächen u. Kulturen'!V106,AT125/B125))</f>
        <v>0</v>
      </c>
      <c r="AT125" s="875">
        <f t="shared" si="63"/>
        <v>0</v>
      </c>
      <c r="AU125" s="120" t="str">
        <f t="shared" si="64"/>
        <v xml:space="preserve"> </v>
      </c>
    </row>
    <row r="126" spans="1:47" s="875" customFormat="1" x14ac:dyDescent="0.2">
      <c r="A126" s="447" t="str">
        <f>IF('Flächen u. Kulturen'!E107="x",IF(AND('#Kürzungen'!$F$2=2,'#BerechnungDBE'!R102=1,'Flächen u. Kulturen'!D107&lt;&gt;""),'Flächen u. Kulturen'!A107,IF(AND('#BerechnungDBE'!S102=1,'Flächen u. Kulturen'!D107&lt;&gt;""),'Flächen u. Kulturen'!A107," "))," ")</f>
        <v xml:space="preserve"> </v>
      </c>
      <c r="B126" s="505" t="str">
        <f>'Flächen u. Kulturen'!D107</f>
        <v/>
      </c>
      <c r="C126" s="42" t="str">
        <f>IF(A126=" "," ",'#BerechnungDBE'!AA102)</f>
        <v xml:space="preserve"> </v>
      </c>
      <c r="D126" s="42" t="str">
        <f>IF(A126=" "," ",'#BerechnungDBE'!BA102)</f>
        <v xml:space="preserve"> </v>
      </c>
      <c r="E126" s="42" t="str">
        <f t="shared" si="86"/>
        <v xml:space="preserve"> </v>
      </c>
      <c r="F126" s="869"/>
      <c r="G126" s="42" t="str">
        <f>IF(A126=" ","",'#BerechnungDBE'!BA102+'#BerechnungDBE'!BF102)</f>
        <v/>
      </c>
      <c r="H126" s="444" t="str">
        <f t="shared" si="65"/>
        <v/>
      </c>
      <c r="I126" s="444">
        <f>'#minDung'!P108</f>
        <v>0</v>
      </c>
      <c r="J126" s="430" t="str">
        <f t="shared" si="84"/>
        <v xml:space="preserve"> </v>
      </c>
      <c r="K126" s="913">
        <f>IF(A126=" ",0,'Flächen u. Kulturen'!V107)</f>
        <v>0</v>
      </c>
      <c r="L126" s="883" t="str">
        <f>IF(B126="","",K126*B126)</f>
        <v/>
      </c>
      <c r="M126" s="879" t="str">
        <f t="shared" si="52"/>
        <v xml:space="preserve"> </v>
      </c>
      <c r="N126" s="444" t="str">
        <f t="shared" si="66"/>
        <v xml:space="preserve"> </v>
      </c>
      <c r="O126" s="911" t="str">
        <f t="shared" si="67"/>
        <v xml:space="preserve"> </v>
      </c>
      <c r="P126" s="912" t="str">
        <f t="shared" si="68"/>
        <v xml:space="preserve"> </v>
      </c>
      <c r="Q126" s="912" t="str">
        <f t="shared" si="69"/>
        <v xml:space="preserve"> </v>
      </c>
      <c r="R126" s="444" t="str">
        <f>IF(A126=" ","",IF(M126&lt;J126-K126,M126,J126-K126))</f>
        <v/>
      </c>
      <c r="S126" s="444" t="str">
        <f t="shared" si="70"/>
        <v/>
      </c>
      <c r="T126" s="444" t="str">
        <f>IF(A126=" "," ",R126*B126)</f>
        <v xml:space="preserve"> </v>
      </c>
      <c r="U126" s="119" t="str">
        <f t="shared" si="71"/>
        <v xml:space="preserve"> </v>
      </c>
      <c r="V126" s="444" t="str">
        <f t="shared" si="72"/>
        <v xml:space="preserve"> </v>
      </c>
      <c r="W126" s="909" t="str">
        <f t="shared" si="73"/>
        <v xml:space="preserve"> </v>
      </c>
      <c r="X126" s="924" t="str">
        <f t="shared" si="74"/>
        <v xml:space="preserve"> </v>
      </c>
      <c r="Y126" s="444" t="str">
        <f>+IF(A126=" "," ",X126*D126/100)</f>
        <v xml:space="preserve"> </v>
      </c>
      <c r="Z126" s="444" t="str">
        <f t="shared" si="75"/>
        <v xml:space="preserve"> </v>
      </c>
      <c r="AA126" s="444" t="str">
        <f t="shared" si="76"/>
        <v xml:space="preserve"> </v>
      </c>
      <c r="AB126" s="912" t="str">
        <f t="shared" si="77"/>
        <v xml:space="preserve"> </v>
      </c>
      <c r="AC126" s="912" t="str">
        <f t="shared" si="78"/>
        <v xml:space="preserve"> </v>
      </c>
      <c r="AD126" s="444" t="str">
        <f t="shared" si="79"/>
        <v xml:space="preserve"> </v>
      </c>
      <c r="AE126" s="444" t="str">
        <f t="shared" si="80"/>
        <v/>
      </c>
      <c r="AF126" s="444" t="str">
        <f>IF(A126=" "," ",AD126*B126)</f>
        <v xml:space="preserve"> </v>
      </c>
      <c r="AG126" s="119" t="str">
        <f t="shared" si="81"/>
        <v xml:space="preserve"> </v>
      </c>
      <c r="AH126" s="444" t="str">
        <f t="shared" si="82"/>
        <v xml:space="preserve"> </v>
      </c>
      <c r="AI126" s="909" t="str">
        <f t="shared" si="83"/>
        <v xml:space="preserve"> </v>
      </c>
      <c r="AJ126" s="879" t="str">
        <f t="shared" si="85"/>
        <v xml:space="preserve"> </v>
      </c>
      <c r="AK126" s="444" t="str">
        <f>IF(A126=" "," ",AJ126*D126/100)</f>
        <v xml:space="preserve"> </v>
      </c>
      <c r="AL126" s="444" t="str">
        <f>IF(A126=" "," ",AK126-AH126)</f>
        <v xml:space="preserve"> </v>
      </c>
      <c r="AM126" s="444" t="str">
        <f>IF(A126=" "," ",AL126*B126)</f>
        <v xml:space="preserve"> </v>
      </c>
      <c r="AN126" s="119" t="str">
        <f t="shared" si="60"/>
        <v xml:space="preserve"> </v>
      </c>
      <c r="AO126" s="444" t="str">
        <f>IF(A126=" "," ",AN126*AL126)</f>
        <v xml:space="preserve"> </v>
      </c>
      <c r="AP126" s="444" t="str">
        <f t="shared" si="62"/>
        <v xml:space="preserve"> </v>
      </c>
      <c r="AQ126" s="123" t="str">
        <f>IF(A126=" "," ",IF('#orgDung'!AB111=0,0,AO126/'#orgDung'!AB111))</f>
        <v xml:space="preserve"> </v>
      </c>
      <c r="AR126" s="47" t="str">
        <f>IF(A126=" "," ",IF('#orgDung'!AB111=0,0,AP126/'#orgDung'!AB111))</f>
        <v xml:space="preserve"> </v>
      </c>
      <c r="AS126" s="890">
        <f>IF(OR(B126=0,B126=""),0,MAX('Flächen u. Kulturen'!V107,AT126/B126))</f>
        <v>0</v>
      </c>
      <c r="AT126" s="875">
        <f t="shared" si="63"/>
        <v>0</v>
      </c>
      <c r="AU126" s="120" t="str">
        <f t="shared" si="64"/>
        <v xml:space="preserve"> </v>
      </c>
    </row>
    <row r="127" spans="1:47" s="875" customFormat="1" x14ac:dyDescent="0.2">
      <c r="A127" s="447" t="str">
        <f>IF('Flächen u. Kulturen'!E108="x",IF(AND('#Kürzungen'!$F$2=2,'#BerechnungDBE'!R103=1,'Flächen u. Kulturen'!D108&lt;&gt;""),'Flächen u. Kulturen'!A108,IF(AND('#BerechnungDBE'!S103=1,'Flächen u. Kulturen'!D108&lt;&gt;""),'Flächen u. Kulturen'!A108," "))," ")</f>
        <v xml:space="preserve"> </v>
      </c>
      <c r="B127" s="505" t="str">
        <f>'Flächen u. Kulturen'!D108</f>
        <v/>
      </c>
      <c r="C127" s="42" t="str">
        <f>IF(A127=" "," ",'#BerechnungDBE'!AA103)</f>
        <v xml:space="preserve"> </v>
      </c>
      <c r="D127" s="42" t="str">
        <f>IF(A127=" "," ",'#BerechnungDBE'!BA103)</f>
        <v xml:space="preserve"> </v>
      </c>
      <c r="E127" s="42" t="str">
        <f t="shared" si="86"/>
        <v xml:space="preserve"> </v>
      </c>
      <c r="F127" s="869"/>
      <c r="G127" s="42" t="str">
        <f>IF(A127=" ","",'#BerechnungDBE'!BA103+'#BerechnungDBE'!BF103)</f>
        <v/>
      </c>
      <c r="H127" s="444" t="str">
        <f t="shared" si="65"/>
        <v/>
      </c>
      <c r="I127" s="444">
        <f>'#minDung'!P109</f>
        <v>0</v>
      </c>
      <c r="J127" s="430" t="str">
        <f t="shared" si="84"/>
        <v xml:space="preserve"> </v>
      </c>
      <c r="K127" s="913">
        <f>IF(A127=" ",0,'Flächen u. Kulturen'!V108)</f>
        <v>0</v>
      </c>
      <c r="L127" s="883" t="str">
        <f>IF(B127="","",K127*B127)</f>
        <v/>
      </c>
      <c r="M127" s="879" t="str">
        <f t="shared" si="52"/>
        <v xml:space="preserve"> </v>
      </c>
      <c r="N127" s="444" t="str">
        <f t="shared" si="66"/>
        <v xml:space="preserve"> </v>
      </c>
      <c r="O127" s="911" t="str">
        <f t="shared" si="67"/>
        <v xml:space="preserve"> </v>
      </c>
      <c r="P127" s="912" t="str">
        <f t="shared" si="68"/>
        <v xml:space="preserve"> </v>
      </c>
      <c r="Q127" s="912" t="str">
        <f t="shared" si="69"/>
        <v xml:space="preserve"> </v>
      </c>
      <c r="R127" s="444" t="str">
        <f>IF(A127=" ","",IF(M127&lt;J127-K127,M127,J127-K127))</f>
        <v/>
      </c>
      <c r="S127" s="444" t="str">
        <f t="shared" si="70"/>
        <v/>
      </c>
      <c r="T127" s="444" t="str">
        <f>IF(A127=" "," ",R127*B127)</f>
        <v xml:space="preserve"> </v>
      </c>
      <c r="U127" s="119" t="str">
        <f t="shared" si="71"/>
        <v xml:space="preserve"> </v>
      </c>
      <c r="V127" s="444" t="str">
        <f t="shared" si="72"/>
        <v xml:space="preserve"> </v>
      </c>
      <c r="W127" s="909" t="str">
        <f t="shared" si="73"/>
        <v xml:space="preserve"> </v>
      </c>
      <c r="X127" s="924" t="str">
        <f t="shared" si="74"/>
        <v xml:space="preserve"> </v>
      </c>
      <c r="Y127" s="444" t="str">
        <f>+IF(A127=" "," ",X127*D127/100)</f>
        <v xml:space="preserve"> </v>
      </c>
      <c r="Z127" s="444" t="str">
        <f t="shared" si="75"/>
        <v xml:space="preserve"> </v>
      </c>
      <c r="AA127" s="444" t="str">
        <f t="shared" si="76"/>
        <v xml:space="preserve"> </v>
      </c>
      <c r="AB127" s="912" t="str">
        <f t="shared" si="77"/>
        <v xml:space="preserve"> </v>
      </c>
      <c r="AC127" s="912" t="str">
        <f t="shared" si="78"/>
        <v xml:space="preserve"> </v>
      </c>
      <c r="AD127" s="444" t="str">
        <f t="shared" si="79"/>
        <v xml:space="preserve"> </v>
      </c>
      <c r="AE127" s="444" t="str">
        <f t="shared" si="80"/>
        <v/>
      </c>
      <c r="AF127" s="444" t="str">
        <f>IF(A127=" "," ",AD127*B127)</f>
        <v xml:space="preserve"> </v>
      </c>
      <c r="AG127" s="119" t="str">
        <f t="shared" si="81"/>
        <v xml:space="preserve"> </v>
      </c>
      <c r="AH127" s="444" t="str">
        <f t="shared" si="82"/>
        <v xml:space="preserve"> </v>
      </c>
      <c r="AI127" s="909" t="str">
        <f t="shared" si="83"/>
        <v xml:space="preserve"> </v>
      </c>
      <c r="AJ127" s="879" t="str">
        <f t="shared" si="85"/>
        <v xml:space="preserve"> </v>
      </c>
      <c r="AK127" s="444" t="str">
        <f>IF(A127=" "," ",AJ127*D127/100)</f>
        <v xml:space="preserve"> </v>
      </c>
      <c r="AL127" s="444" t="str">
        <f>IF(A127=" "," ",AK127-AH127)</f>
        <v xml:space="preserve"> </v>
      </c>
      <c r="AM127" s="444" t="str">
        <f>IF(A127=" "," ",AL127*B127)</f>
        <v xml:space="preserve"> </v>
      </c>
      <c r="AN127" s="119" t="str">
        <f t="shared" si="60"/>
        <v xml:space="preserve"> </v>
      </c>
      <c r="AO127" s="444" t="str">
        <f>IF(A127=" "," ",AN127*AL127)</f>
        <v xml:space="preserve"> </v>
      </c>
      <c r="AP127" s="444" t="str">
        <f t="shared" si="62"/>
        <v xml:space="preserve"> </v>
      </c>
      <c r="AQ127" s="123" t="str">
        <f>IF(A127=" "," ",IF('#orgDung'!AB112=0,0,AO127/'#orgDung'!AB112))</f>
        <v xml:space="preserve"> </v>
      </c>
      <c r="AR127" s="47" t="str">
        <f>IF(A127=" "," ",IF('#orgDung'!AB112=0,0,AP127/'#orgDung'!AB112))</f>
        <v xml:space="preserve"> </v>
      </c>
      <c r="AS127" s="890">
        <f>IF(OR(B127=0,B127=""),0,MAX('Flächen u. Kulturen'!V108,AT127/B127))</f>
        <v>0</v>
      </c>
      <c r="AT127" s="875">
        <f t="shared" si="63"/>
        <v>0</v>
      </c>
      <c r="AU127" s="120" t="str">
        <f t="shared" si="64"/>
        <v xml:space="preserve"> </v>
      </c>
    </row>
    <row r="128" spans="1:47" s="875" customFormat="1" x14ac:dyDescent="0.2">
      <c r="A128" s="447" t="str">
        <f>IF('Flächen u. Kulturen'!E109="x",IF(AND('#Kürzungen'!$F$2=2,'#BerechnungDBE'!R104=1,'Flächen u. Kulturen'!D109&lt;&gt;""),'Flächen u. Kulturen'!A109,IF(AND('#BerechnungDBE'!S104=1,'Flächen u. Kulturen'!D109&lt;&gt;""),'Flächen u. Kulturen'!A109," "))," ")</f>
        <v xml:space="preserve"> </v>
      </c>
      <c r="B128" s="505" t="str">
        <f>'Flächen u. Kulturen'!D109</f>
        <v/>
      </c>
      <c r="C128" s="42" t="str">
        <f>IF(A128=" "," ",'#BerechnungDBE'!AA104)</f>
        <v xml:space="preserve"> </v>
      </c>
      <c r="D128" s="42" t="str">
        <f>IF(A128=" "," ",'#BerechnungDBE'!BA104)</f>
        <v xml:space="preserve"> </v>
      </c>
      <c r="E128" s="42" t="str">
        <f t="shared" si="86"/>
        <v xml:space="preserve"> </v>
      </c>
      <c r="F128" s="869"/>
      <c r="G128" s="42" t="str">
        <f>IF(A128=" ","",'#BerechnungDBE'!BA104+'#BerechnungDBE'!BF104)</f>
        <v/>
      </c>
      <c r="H128" s="444" t="str">
        <f t="shared" si="65"/>
        <v/>
      </c>
      <c r="I128" s="444">
        <f>'#minDung'!P110</f>
        <v>0</v>
      </c>
      <c r="J128" s="430" t="str">
        <f t="shared" si="84"/>
        <v xml:space="preserve"> </v>
      </c>
      <c r="K128" s="913">
        <f>IF(A128=" ",0,'Flächen u. Kulturen'!V109)</f>
        <v>0</v>
      </c>
      <c r="L128" s="883" t="str">
        <f>IF(B128="","",K128*B128)</f>
        <v/>
      </c>
      <c r="M128" s="879" t="str">
        <f t="shared" si="52"/>
        <v xml:space="preserve"> </v>
      </c>
      <c r="N128" s="444" t="str">
        <f t="shared" si="66"/>
        <v xml:space="preserve"> </v>
      </c>
      <c r="O128" s="911" t="str">
        <f t="shared" si="67"/>
        <v xml:space="preserve"> </v>
      </c>
      <c r="P128" s="912" t="str">
        <f t="shared" si="68"/>
        <v xml:space="preserve"> </v>
      </c>
      <c r="Q128" s="912" t="str">
        <f t="shared" si="69"/>
        <v xml:space="preserve"> </v>
      </c>
      <c r="R128" s="444" t="str">
        <f>IF(A128=" ","",IF(M128&lt;J128-K128,M128,J128-K128))</f>
        <v/>
      </c>
      <c r="S128" s="444" t="str">
        <f t="shared" si="70"/>
        <v/>
      </c>
      <c r="T128" s="444" t="str">
        <f>IF(A128=" "," ",R128*B128)</f>
        <v xml:space="preserve"> </v>
      </c>
      <c r="U128" s="119" t="str">
        <f t="shared" si="71"/>
        <v xml:space="preserve"> </v>
      </c>
      <c r="V128" s="444" t="str">
        <f t="shared" si="72"/>
        <v xml:space="preserve"> </v>
      </c>
      <c r="W128" s="909" t="str">
        <f t="shared" si="73"/>
        <v xml:space="preserve"> </v>
      </c>
      <c r="X128" s="924" t="str">
        <f t="shared" si="74"/>
        <v xml:space="preserve"> </v>
      </c>
      <c r="Y128" s="444" t="str">
        <f>+IF(A128=" "," ",X128*D128/100)</f>
        <v xml:space="preserve"> </v>
      </c>
      <c r="Z128" s="444" t="str">
        <f t="shared" si="75"/>
        <v xml:space="preserve"> </v>
      </c>
      <c r="AA128" s="444" t="str">
        <f t="shared" si="76"/>
        <v xml:space="preserve"> </v>
      </c>
      <c r="AB128" s="912" t="str">
        <f t="shared" si="77"/>
        <v xml:space="preserve"> </v>
      </c>
      <c r="AC128" s="912" t="str">
        <f t="shared" si="78"/>
        <v xml:space="preserve"> </v>
      </c>
      <c r="AD128" s="444" t="str">
        <f t="shared" si="79"/>
        <v xml:space="preserve"> </v>
      </c>
      <c r="AE128" s="444" t="str">
        <f t="shared" si="80"/>
        <v/>
      </c>
      <c r="AF128" s="444" t="str">
        <f>IF(A128=" "," ",AD128*B128)</f>
        <v xml:space="preserve"> </v>
      </c>
      <c r="AG128" s="119" t="str">
        <f t="shared" si="81"/>
        <v xml:space="preserve"> </v>
      </c>
      <c r="AH128" s="444" t="str">
        <f t="shared" si="82"/>
        <v xml:space="preserve"> </v>
      </c>
      <c r="AI128" s="909" t="str">
        <f t="shared" si="83"/>
        <v xml:space="preserve"> </v>
      </c>
      <c r="AJ128" s="879" t="str">
        <f t="shared" si="85"/>
        <v xml:space="preserve"> </v>
      </c>
      <c r="AK128" s="444" t="str">
        <f>IF(A128=" "," ",AJ128*D128/100)</f>
        <v xml:space="preserve"> </v>
      </c>
      <c r="AL128" s="444" t="str">
        <f>IF(A128=" "," ",AK128-AH128)</f>
        <v xml:space="preserve"> </v>
      </c>
      <c r="AM128" s="444" t="str">
        <f>IF(A128=" "," ",AL128*B128)</f>
        <v xml:space="preserve"> </v>
      </c>
      <c r="AN128" s="119" t="str">
        <f t="shared" si="60"/>
        <v xml:space="preserve"> </v>
      </c>
      <c r="AO128" s="444" t="str">
        <f>IF(A128=" "," ",AN128*AL128)</f>
        <v xml:space="preserve"> </v>
      </c>
      <c r="AP128" s="444" t="str">
        <f t="shared" si="62"/>
        <v xml:space="preserve"> </v>
      </c>
      <c r="AQ128" s="123" t="str">
        <f>IF(A128=" "," ",IF('#orgDung'!AB113=0,0,AO128/'#orgDung'!AB113))</f>
        <v xml:space="preserve"> </v>
      </c>
      <c r="AR128" s="47" t="str">
        <f>IF(A128=" "," ",IF('#orgDung'!AB113=0,0,AP128/'#orgDung'!AB113))</f>
        <v xml:space="preserve"> </v>
      </c>
      <c r="AS128" s="890">
        <f>IF(OR(B128=0,B128=""),0,MAX('Flächen u. Kulturen'!V109,AT128/B128))</f>
        <v>0</v>
      </c>
      <c r="AT128" s="875">
        <f t="shared" si="63"/>
        <v>0</v>
      </c>
      <c r="AU128" s="120" t="str">
        <f t="shared" si="64"/>
        <v xml:space="preserve"> </v>
      </c>
    </row>
    <row r="129" spans="1:47" s="864" customFormat="1" x14ac:dyDescent="0.2">
      <c r="A129" s="855"/>
      <c r="B129" s="856"/>
      <c r="C129" s="857"/>
      <c r="D129" s="857"/>
      <c r="E129" s="857"/>
      <c r="F129" s="870"/>
      <c r="G129" s="857"/>
      <c r="H129" s="857"/>
      <c r="I129" s="857"/>
      <c r="J129" s="857"/>
      <c r="K129" s="857"/>
      <c r="L129" s="857"/>
      <c r="M129" s="858"/>
      <c r="N129" s="857"/>
      <c r="O129" s="857"/>
      <c r="P129" s="857"/>
      <c r="Q129" s="857"/>
      <c r="R129" s="857"/>
      <c r="S129" s="857"/>
      <c r="T129" s="857"/>
      <c r="U129" s="859"/>
      <c r="V129" s="857"/>
      <c r="W129" s="860"/>
      <c r="X129" s="858"/>
      <c r="Y129" s="857"/>
      <c r="Z129" s="857"/>
      <c r="AA129" s="857"/>
      <c r="AB129" s="857"/>
      <c r="AC129" s="857"/>
      <c r="AD129" s="857"/>
      <c r="AE129" s="857"/>
      <c r="AF129" s="857"/>
      <c r="AG129" s="859"/>
      <c r="AH129" s="857"/>
      <c r="AI129" s="861"/>
      <c r="AJ129" s="858"/>
      <c r="AK129" s="857"/>
      <c r="AL129" s="857"/>
      <c r="AM129" s="857"/>
      <c r="AN129" s="859"/>
      <c r="AO129" s="857"/>
      <c r="AP129" s="857"/>
      <c r="AQ129" s="862"/>
      <c r="AR129" s="863"/>
      <c r="AU129" s="865"/>
    </row>
    <row r="130" spans="1:47" s="46" customFormat="1" x14ac:dyDescent="0.2">
      <c r="A130" s="42" t="str">
        <f>IF('Flächen u. Kulturen'!E10="x",IF(AND('#Kürzungen'!$F$2=2,'#BerechnungDBE'!R5=1,'Flächen u. Kulturen'!D10&lt;&gt;"",'#BerechnungDBE'!AF5=70),'Flächen u. Kulturen'!A10,IF(AND('#BerechnungDBE'!S5=1,'Flächen u. Kulturen'!D10&lt;&gt;"",'#BerechnungDBE'!AF5=70),'Flächen u. Kulturen'!A10," "))," ")</f>
        <v xml:space="preserve"> </v>
      </c>
      <c r="B130" s="505" t="str">
        <f>'Flächen u. Kulturen'!D10</f>
        <v/>
      </c>
      <c r="C130" s="42" t="str">
        <f>IF(A130=" "," ",'#BerechnungDBE'!AK5)</f>
        <v xml:space="preserve"> </v>
      </c>
      <c r="D130" s="42" t="str">
        <f>IF(A130=" "," ",'#BerechnungDBE'!CK5)</f>
        <v xml:space="preserve"> </v>
      </c>
      <c r="E130" s="42" t="str">
        <f>IF(A130=" "," ",D130*B130)</f>
        <v xml:space="preserve"> </v>
      </c>
      <c r="F130" s="869"/>
      <c r="G130" s="42" t="str">
        <f>IF(A130=" ","",'#BerechnungDBE'!CK5+'#BerechnungDBE'!CM5)</f>
        <v/>
      </c>
      <c r="H130" s="444" t="str">
        <f>IF(A130=" ","",MAX(0,G130))</f>
        <v/>
      </c>
      <c r="I130" s="444">
        <f>IF(A130=" ",0,'#minDung'!R11)</f>
        <v>0</v>
      </c>
      <c r="J130" s="430" t="str">
        <f>IF(A130=" "," ",MAX(0,H130-I130))</f>
        <v xml:space="preserve"> </v>
      </c>
      <c r="K130" s="444">
        <f>IF(A130=" ",0,'Flächen u. Kulturen'!W10)</f>
        <v>0</v>
      </c>
      <c r="L130" s="873" t="str">
        <f t="shared" ref="L130:L161" si="87">IF(B130="","",K130*B130)</f>
        <v/>
      </c>
      <c r="M130" s="444" t="str">
        <f t="shared" ref="M130:M161" si="88">IF($A130=" "," ",IF(C130=1,$C$11,IF(C130=2,$C$12,IF(C130=3,$C$13,IF(C130=4,$C$14,$C$15)))))</f>
        <v xml:space="preserve"> </v>
      </c>
      <c r="N130" s="444" t="str">
        <f t="shared" si="66"/>
        <v xml:space="preserve"> </v>
      </c>
      <c r="O130" s="911" t="str">
        <f t="shared" si="67"/>
        <v xml:space="preserve"> </v>
      </c>
      <c r="P130" s="912" t="str">
        <f t="shared" si="68"/>
        <v xml:space="preserve"> </v>
      </c>
      <c r="Q130" s="912" t="str">
        <f t="shared" si="69"/>
        <v xml:space="preserve"> </v>
      </c>
      <c r="R130" s="444" t="str">
        <f t="shared" ref="R130:R161" si="89">IF(A130=" ","",IF(M130&lt;J130-K130,M130,J130-K130))</f>
        <v/>
      </c>
      <c r="S130" s="444" t="str">
        <f t="shared" si="70"/>
        <v/>
      </c>
      <c r="T130" s="444" t="str">
        <f t="shared" ref="T130:T161" si="90">IF(A130=" "," ",R130*B130)</f>
        <v xml:space="preserve"> </v>
      </c>
      <c r="U130" s="119" t="str">
        <f t="shared" si="71"/>
        <v xml:space="preserve"> </v>
      </c>
      <c r="V130" s="444" t="str">
        <f t="shared" ref="V130" si="91">IF(A130=" "," ",IF($S$231=0,P130,R130*U130))</f>
        <v xml:space="preserve"> </v>
      </c>
      <c r="W130" s="909" t="str">
        <f t="shared" ref="W130" si="92">+IF(A130=" "," ",IF($S$231=0,Q130,U130*T130))</f>
        <v xml:space="preserve"> </v>
      </c>
      <c r="X130" s="924" t="str">
        <f t="shared" si="74"/>
        <v xml:space="preserve"> </v>
      </c>
      <c r="Y130" s="444" t="str">
        <f>+IF(A130=" "," ",X130*D130/100)</f>
        <v xml:space="preserve"> </v>
      </c>
      <c r="Z130" s="444" t="str">
        <f t="shared" ref="Z130" si="93">IF(A130=" "," ",Y130*B130)</f>
        <v xml:space="preserve"> </v>
      </c>
      <c r="AA130" s="444" t="str">
        <f t="shared" ref="AA130" si="94">IF(A130=" "," ",$AA$231)</f>
        <v xml:space="preserve"> </v>
      </c>
      <c r="AB130" s="912" t="str">
        <f t="shared" ref="AB130" si="95">IF($A130=" "," ",Y130*AA130)</f>
        <v xml:space="preserve"> </v>
      </c>
      <c r="AC130" s="912" t="str">
        <f t="shared" si="78"/>
        <v xml:space="preserve"> </v>
      </c>
      <c r="AD130" s="444" t="str">
        <f t="shared" ref="AD130" si="96">IF(A130=" "," ",IF(J130-K130-V130&gt;Y130,Y130,J130-K130-V130))</f>
        <v xml:space="preserve"> </v>
      </c>
      <c r="AE130" s="444" t="str">
        <f t="shared" si="80"/>
        <v/>
      </c>
      <c r="AF130" s="444" t="str">
        <f>IF(A130=" "," ",AD130*B130)</f>
        <v xml:space="preserve"> </v>
      </c>
      <c r="AG130" s="119" t="str">
        <f t="shared" si="81"/>
        <v xml:space="preserve"> </v>
      </c>
      <c r="AH130" s="444" t="str">
        <f t="shared" ref="AH130" si="97">IF($A130=" "," ",IF($AE$231=0,AB130,AD130*AG130))</f>
        <v xml:space="preserve"> </v>
      </c>
      <c r="AI130" s="909" t="str">
        <f t="shared" ref="AI130" si="98">+IF($A130=" "," ",IF($AE$231=0,AC130,AG130*AF130))</f>
        <v xml:space="preserve"> </v>
      </c>
      <c r="AJ130" s="834" t="str">
        <f>+X130</f>
        <v xml:space="preserve"> </v>
      </c>
      <c r="AK130" s="444" t="str">
        <f t="shared" ref="AK130:AK161" si="99">IF(A130=" "," ",AJ130*D130/100)</f>
        <v xml:space="preserve"> </v>
      </c>
      <c r="AL130" s="444" t="str">
        <f t="shared" ref="AL130:AL161" si="100">IF(A130=" "," ",AK130-AH130)</f>
        <v xml:space="preserve"> </v>
      </c>
      <c r="AM130" s="444" t="str">
        <f t="shared" ref="AM130:AM161" si="101">IF(A130=" "," ",AL130*B130)</f>
        <v xml:space="preserve"> </v>
      </c>
      <c r="AN130" s="119" t="str">
        <f t="shared" ref="AN130:AN161" si="102">IF(A130=" "," ",$AN$231)</f>
        <v xml:space="preserve"> </v>
      </c>
      <c r="AO130" s="444" t="str">
        <f t="shared" ref="AO130:AO161" si="103">IF(A130=" "," ",AN130*AL130)</f>
        <v xml:space="preserve"> </v>
      </c>
      <c r="AP130" s="444" t="str">
        <f t="shared" ref="AP130:AP161" si="104">IF(A130=" "," ",AM130*AN130)</f>
        <v xml:space="preserve"> </v>
      </c>
      <c r="AQ130" s="123" t="str">
        <f>IF(A130=" "," ",IF('#orgDung'!AF14=0,0,AO130/'#orgDung'!AF14))</f>
        <v xml:space="preserve"> </v>
      </c>
      <c r="AR130" s="47" t="str">
        <f>IF(A130=" "," ",IF('#orgDung'!AF14=0,0,AP130/'#orgDung'!AF14))</f>
        <v xml:space="preserve"> </v>
      </c>
      <c r="AS130" s="871">
        <f>IF(OR(B130=0,B130=""),0,MAX('Flächen u. Kulturen'!W10,AT130/B130))</f>
        <v>0</v>
      </c>
      <c r="AT130" s="875">
        <f t="shared" ref="AT130:AT161" si="105">IF(A130=" ",0,IF($F$2=3,E130*0.2,SUM(AI130,W130,L130)))</f>
        <v>0</v>
      </c>
      <c r="AU130" s="851"/>
    </row>
    <row r="131" spans="1:47" s="830" customFormat="1" x14ac:dyDescent="0.2">
      <c r="A131" s="42" t="str">
        <f>IF('Flächen u. Kulturen'!E11="x",IF(AND('#Kürzungen'!$F$2=2,'#BerechnungDBE'!R6=1,'Flächen u. Kulturen'!D11&lt;&gt;"",'#BerechnungDBE'!AF6=70),'Flächen u. Kulturen'!A11,IF(AND('#BerechnungDBE'!S6=1,'Flächen u. Kulturen'!D11&lt;&gt;"",'#BerechnungDBE'!AF6=70),'Flächen u. Kulturen'!A11," "))," ")</f>
        <v xml:space="preserve"> </v>
      </c>
      <c r="B131" s="505" t="str">
        <f>'Flächen u. Kulturen'!D11</f>
        <v/>
      </c>
      <c r="C131" s="42" t="str">
        <f>IF(A131=" "," ",'#BerechnungDBE'!AK6)</f>
        <v xml:space="preserve"> </v>
      </c>
      <c r="D131" s="42" t="str">
        <f>IF(A131=" "," ",'#BerechnungDBE'!CK6)</f>
        <v xml:space="preserve"> </v>
      </c>
      <c r="E131" s="42" t="str">
        <f>IF(A131=" "," ",D131*B131)</f>
        <v xml:space="preserve"> </v>
      </c>
      <c r="F131" s="869"/>
      <c r="G131" s="42" t="str">
        <f>IF(A131=" ","",'#BerechnungDBE'!CK6+'#BerechnungDBE'!CM6)</f>
        <v/>
      </c>
      <c r="H131" s="444" t="str">
        <f t="shared" ref="H131:H194" si="106">IF(A131=" ","",MAX(0,G131))</f>
        <v/>
      </c>
      <c r="I131" s="444">
        <f>IF(A131=" ",0,'#minDung'!R12)</f>
        <v>0</v>
      </c>
      <c r="J131" s="430" t="str">
        <f>IF(A131=" "," ",MAX(0,H131-I131))</f>
        <v xml:space="preserve"> </v>
      </c>
      <c r="K131" s="444">
        <f>IF(A131=" ",0,'Flächen u. Kulturen'!W11)</f>
        <v>0</v>
      </c>
      <c r="L131" s="873" t="str">
        <f t="shared" si="87"/>
        <v/>
      </c>
      <c r="M131" s="444" t="str">
        <f t="shared" si="88"/>
        <v xml:space="preserve"> </v>
      </c>
      <c r="N131" s="444" t="str">
        <f t="shared" si="66"/>
        <v xml:space="preserve"> </v>
      </c>
      <c r="O131" s="911" t="str">
        <f t="shared" si="67"/>
        <v xml:space="preserve"> </v>
      </c>
      <c r="P131" s="912" t="str">
        <f t="shared" si="68"/>
        <v xml:space="preserve"> </v>
      </c>
      <c r="Q131" s="912" t="str">
        <f t="shared" si="69"/>
        <v xml:space="preserve"> </v>
      </c>
      <c r="R131" s="444" t="str">
        <f t="shared" si="89"/>
        <v/>
      </c>
      <c r="S131" s="444" t="str">
        <f t="shared" si="70"/>
        <v/>
      </c>
      <c r="T131" s="444" t="str">
        <f t="shared" si="90"/>
        <v xml:space="preserve"> </v>
      </c>
      <c r="U131" s="119" t="str">
        <f t="shared" si="71"/>
        <v xml:space="preserve"> </v>
      </c>
      <c r="V131" s="444" t="str">
        <f t="shared" ref="V131:V194" si="107">IF(A131=" "," ",IF($S$231=0,P131,R131*U131))</f>
        <v xml:space="preserve"> </v>
      </c>
      <c r="W131" s="909" t="str">
        <f t="shared" ref="W131:W194" si="108">+IF(A131=" "," ",IF($S$231=0,Q131,U131*T131))</f>
        <v xml:space="preserve"> </v>
      </c>
      <c r="X131" s="924" t="str">
        <f t="shared" si="74"/>
        <v xml:space="preserve"> </v>
      </c>
      <c r="Y131" s="444" t="str">
        <f t="shared" ref="Y131:Y194" si="109">+IF(A131=" "," ",X131*D131/100)</f>
        <v xml:space="preserve"> </v>
      </c>
      <c r="Z131" s="444" t="str">
        <f t="shared" ref="Z131:Z194" si="110">IF(A131=" "," ",Y131*B131)</f>
        <v xml:space="preserve"> </v>
      </c>
      <c r="AA131" s="444" t="str">
        <f t="shared" ref="AA131:AA194" si="111">IF(A131=" "," ",$AA$231)</f>
        <v xml:space="preserve"> </v>
      </c>
      <c r="AB131" s="912" t="str">
        <f t="shared" ref="AB131:AB194" si="112">IF($A131=" "," ",Y131*AA131)</f>
        <v xml:space="preserve"> </v>
      </c>
      <c r="AC131" s="912" t="str">
        <f t="shared" si="78"/>
        <v xml:space="preserve"> </v>
      </c>
      <c r="AD131" s="444" t="str">
        <f t="shared" ref="AD131:AD194" si="113">IF(A131=" "," ",IF(J131-K131-V131&gt;Y131,Y131,J131-K131-V131))</f>
        <v xml:space="preserve"> </v>
      </c>
      <c r="AE131" s="444" t="str">
        <f t="shared" si="80"/>
        <v/>
      </c>
      <c r="AF131" s="444" t="str">
        <f t="shared" ref="AF131:AF194" si="114">IF(A131=" "," ",AD131*B131)</f>
        <v xml:space="preserve"> </v>
      </c>
      <c r="AG131" s="119" t="str">
        <f t="shared" si="81"/>
        <v xml:space="preserve"> </v>
      </c>
      <c r="AH131" s="444" t="str">
        <f t="shared" ref="AH131:AH194" si="115">IF($A131=" "," ",IF($AE$231=0,AB131,AD131*AG131))</f>
        <v xml:space="preserve"> </v>
      </c>
      <c r="AI131" s="909" t="str">
        <f t="shared" ref="AI131:AI194" si="116">+IF($A131=" "," ",IF($AE$231=0,AC131,AG131*AF131))</f>
        <v xml:space="preserve"> </v>
      </c>
      <c r="AJ131" s="834" t="str">
        <f>+X131</f>
        <v xml:space="preserve"> </v>
      </c>
      <c r="AK131" s="444" t="str">
        <f t="shared" si="99"/>
        <v xml:space="preserve"> </v>
      </c>
      <c r="AL131" s="444" t="str">
        <f t="shared" si="100"/>
        <v xml:space="preserve"> </v>
      </c>
      <c r="AM131" s="444" t="str">
        <f t="shared" si="101"/>
        <v xml:space="preserve"> </v>
      </c>
      <c r="AN131" s="119" t="str">
        <f t="shared" si="102"/>
        <v xml:space="preserve"> </v>
      </c>
      <c r="AO131" s="444" t="str">
        <f t="shared" si="103"/>
        <v xml:space="preserve"> </v>
      </c>
      <c r="AP131" s="444" t="str">
        <f t="shared" si="104"/>
        <v xml:space="preserve"> </v>
      </c>
      <c r="AQ131" s="123" t="str">
        <f>IF(A131=" "," ",IF('#orgDung'!AF15=0,0,AO131/'#orgDung'!AF15))</f>
        <v xml:space="preserve"> </v>
      </c>
      <c r="AR131" s="47" t="str">
        <f>IF(A131=" "," ",IF('#orgDung'!AF15=0,0,AP131/'#orgDung'!AF15))</f>
        <v xml:space="preserve"> </v>
      </c>
      <c r="AS131" s="890">
        <f>IF(OR(B131=0,B131=""),0,MAX('Flächen u. Kulturen'!W11,AT131/B131))</f>
        <v>0</v>
      </c>
      <c r="AT131" s="875">
        <f t="shared" si="105"/>
        <v>0</v>
      </c>
      <c r="AU131" s="120"/>
    </row>
    <row r="132" spans="1:47" s="830" customFormat="1" x14ac:dyDescent="0.2">
      <c r="A132" s="42" t="str">
        <f>IF('Flächen u. Kulturen'!E12="x",IF(AND('#Kürzungen'!$F$2=2,'#BerechnungDBE'!R7=1,'Flächen u. Kulturen'!D12&lt;&gt;"",'#BerechnungDBE'!AF7=70),'Flächen u. Kulturen'!A12,IF(AND('#BerechnungDBE'!S7=1,'Flächen u. Kulturen'!D12&lt;&gt;"",'#BerechnungDBE'!AF7=70),'Flächen u. Kulturen'!A12," "))," ")</f>
        <v xml:space="preserve"> </v>
      </c>
      <c r="B132" s="505" t="str">
        <f>'Flächen u. Kulturen'!D12</f>
        <v/>
      </c>
      <c r="C132" s="42" t="str">
        <f>IF(A132=" "," ",'#BerechnungDBE'!AK7)</f>
        <v xml:space="preserve"> </v>
      </c>
      <c r="D132" s="42" t="str">
        <f>IF(A132=" "," ",'#BerechnungDBE'!CK7)</f>
        <v xml:space="preserve"> </v>
      </c>
      <c r="E132" s="42" t="str">
        <f>IF(A132=" "," ",D132*B132)</f>
        <v xml:space="preserve"> </v>
      </c>
      <c r="F132" s="869"/>
      <c r="G132" s="42" t="str">
        <f>IF(A132=" ","",'#BerechnungDBE'!CK7+'#BerechnungDBE'!CM7)</f>
        <v/>
      </c>
      <c r="H132" s="444" t="str">
        <f t="shared" si="106"/>
        <v/>
      </c>
      <c r="I132" s="444">
        <f>IF(A132=" ",0,'#minDung'!R13)</f>
        <v>0</v>
      </c>
      <c r="J132" s="430" t="str">
        <f>IF(A132=" "," ",MAX(0,H132-I132))</f>
        <v xml:space="preserve"> </v>
      </c>
      <c r="K132" s="444">
        <f>IF(A132=" ",0,'Flächen u. Kulturen'!W12)</f>
        <v>0</v>
      </c>
      <c r="L132" s="873" t="str">
        <f t="shared" si="87"/>
        <v/>
      </c>
      <c r="M132" s="444" t="str">
        <f t="shared" si="88"/>
        <v xml:space="preserve"> </v>
      </c>
      <c r="N132" s="444" t="str">
        <f t="shared" si="66"/>
        <v xml:space="preserve"> </v>
      </c>
      <c r="O132" s="911" t="str">
        <f t="shared" si="67"/>
        <v xml:space="preserve"> </v>
      </c>
      <c r="P132" s="912" t="str">
        <f t="shared" si="68"/>
        <v xml:space="preserve"> </v>
      </c>
      <c r="Q132" s="912" t="str">
        <f t="shared" si="69"/>
        <v xml:space="preserve"> </v>
      </c>
      <c r="R132" s="444" t="str">
        <f t="shared" si="89"/>
        <v/>
      </c>
      <c r="S132" s="444" t="str">
        <f t="shared" si="70"/>
        <v/>
      </c>
      <c r="T132" s="444" t="str">
        <f t="shared" si="90"/>
        <v xml:space="preserve"> </v>
      </c>
      <c r="U132" s="119" t="str">
        <f t="shared" si="71"/>
        <v xml:space="preserve"> </v>
      </c>
      <c r="V132" s="444" t="str">
        <f t="shared" si="107"/>
        <v xml:space="preserve"> </v>
      </c>
      <c r="W132" s="909" t="str">
        <f t="shared" si="108"/>
        <v xml:space="preserve"> </v>
      </c>
      <c r="X132" s="924" t="str">
        <f t="shared" si="74"/>
        <v xml:space="preserve"> </v>
      </c>
      <c r="Y132" s="444" t="str">
        <f t="shared" si="109"/>
        <v xml:space="preserve"> </v>
      </c>
      <c r="Z132" s="444" t="str">
        <f t="shared" si="110"/>
        <v xml:space="preserve"> </v>
      </c>
      <c r="AA132" s="444" t="str">
        <f t="shared" si="111"/>
        <v xml:space="preserve"> </v>
      </c>
      <c r="AB132" s="912" t="str">
        <f t="shared" si="112"/>
        <v xml:space="preserve"> </v>
      </c>
      <c r="AC132" s="912" t="str">
        <f t="shared" si="78"/>
        <v xml:space="preserve"> </v>
      </c>
      <c r="AD132" s="444" t="str">
        <f t="shared" si="113"/>
        <v xml:space="preserve"> </v>
      </c>
      <c r="AE132" s="444" t="str">
        <f t="shared" si="80"/>
        <v/>
      </c>
      <c r="AF132" s="444" t="str">
        <f t="shared" si="114"/>
        <v xml:space="preserve"> </v>
      </c>
      <c r="AG132" s="119" t="str">
        <f t="shared" si="81"/>
        <v xml:space="preserve"> </v>
      </c>
      <c r="AH132" s="444" t="str">
        <f t="shared" si="115"/>
        <v xml:space="preserve"> </v>
      </c>
      <c r="AI132" s="909" t="str">
        <f t="shared" si="116"/>
        <v xml:space="preserve"> </v>
      </c>
      <c r="AJ132" s="834" t="str">
        <f>+X132</f>
        <v xml:space="preserve"> </v>
      </c>
      <c r="AK132" s="444" t="str">
        <f t="shared" si="99"/>
        <v xml:space="preserve"> </v>
      </c>
      <c r="AL132" s="444" t="str">
        <f t="shared" si="100"/>
        <v xml:space="preserve"> </v>
      </c>
      <c r="AM132" s="444" t="str">
        <f t="shared" si="101"/>
        <v xml:space="preserve"> </v>
      </c>
      <c r="AN132" s="119" t="str">
        <f t="shared" si="102"/>
        <v xml:space="preserve"> </v>
      </c>
      <c r="AO132" s="444" t="str">
        <f t="shared" si="103"/>
        <v xml:space="preserve"> </v>
      </c>
      <c r="AP132" s="444" t="str">
        <f t="shared" si="104"/>
        <v xml:space="preserve"> </v>
      </c>
      <c r="AQ132" s="123" t="str">
        <f>IF(A132=" "," ",IF('#orgDung'!AF16=0,0,AO132/'#orgDung'!AF16))</f>
        <v xml:space="preserve"> </v>
      </c>
      <c r="AR132" s="47" t="str">
        <f>IF(A132=" "," ",IF('#orgDung'!AF16=0,0,AP132/'#orgDung'!AF16))</f>
        <v xml:space="preserve"> </v>
      </c>
      <c r="AS132" s="890">
        <f>IF(OR(B132=0,B132=""),0,MAX('Flächen u. Kulturen'!W12,AT132/B132))</f>
        <v>0</v>
      </c>
      <c r="AT132" s="875">
        <f t="shared" si="105"/>
        <v>0</v>
      </c>
      <c r="AU132" s="120"/>
    </row>
    <row r="133" spans="1:47" s="830" customFormat="1" x14ac:dyDescent="0.2">
      <c r="A133" s="42" t="str">
        <f>IF('Flächen u. Kulturen'!E13="x",IF(AND('#Kürzungen'!$F$2=2,'#BerechnungDBE'!R8=1,'Flächen u. Kulturen'!D13&lt;&gt;"",'#BerechnungDBE'!AF8=70),'Flächen u. Kulturen'!A13,IF(AND('#BerechnungDBE'!S8=1,'Flächen u. Kulturen'!D13&lt;&gt;"",'#BerechnungDBE'!AF8=70),'Flächen u. Kulturen'!A13," "))," ")</f>
        <v xml:space="preserve"> </v>
      </c>
      <c r="B133" s="505" t="str">
        <f>'Flächen u. Kulturen'!D13</f>
        <v/>
      </c>
      <c r="C133" s="42" t="str">
        <f>IF(A133=" "," ",'#BerechnungDBE'!AK8)</f>
        <v xml:space="preserve"> </v>
      </c>
      <c r="D133" s="42" t="str">
        <f>IF(A133=" "," ",'#BerechnungDBE'!CK8)</f>
        <v xml:space="preserve"> </v>
      </c>
      <c r="E133" s="42" t="str">
        <f>IF(A133=" "," ",D133*B133)</f>
        <v xml:space="preserve"> </v>
      </c>
      <c r="F133" s="869"/>
      <c r="G133" s="42" t="str">
        <f>IF(A133=" ","",'#BerechnungDBE'!CK8+'#BerechnungDBE'!CM8)</f>
        <v/>
      </c>
      <c r="H133" s="444" t="str">
        <f t="shared" si="106"/>
        <v/>
      </c>
      <c r="I133" s="444">
        <f>IF(A133=" ",0,'#minDung'!R14)</f>
        <v>0</v>
      </c>
      <c r="J133" s="430" t="str">
        <f>IF(A133=" "," ",MAX(0,H133-I133))</f>
        <v xml:space="preserve"> </v>
      </c>
      <c r="K133" s="444">
        <f>IF(A133=" ",0,'Flächen u. Kulturen'!W13)</f>
        <v>0</v>
      </c>
      <c r="L133" s="873" t="str">
        <f t="shared" si="87"/>
        <v/>
      </c>
      <c r="M133" s="444" t="str">
        <f t="shared" si="88"/>
        <v xml:space="preserve"> </v>
      </c>
      <c r="N133" s="444" t="str">
        <f t="shared" si="66"/>
        <v xml:space="preserve"> </v>
      </c>
      <c r="O133" s="911" t="str">
        <f t="shared" si="67"/>
        <v xml:space="preserve"> </v>
      </c>
      <c r="P133" s="912" t="str">
        <f t="shared" si="68"/>
        <v xml:space="preserve"> </v>
      </c>
      <c r="Q133" s="912" t="str">
        <f t="shared" si="69"/>
        <v xml:space="preserve"> </v>
      </c>
      <c r="R133" s="444" t="str">
        <f t="shared" si="89"/>
        <v/>
      </c>
      <c r="S133" s="444" t="str">
        <f t="shared" si="70"/>
        <v/>
      </c>
      <c r="T133" s="444" t="str">
        <f t="shared" si="90"/>
        <v xml:space="preserve"> </v>
      </c>
      <c r="U133" s="119" t="str">
        <f t="shared" si="71"/>
        <v xml:space="preserve"> </v>
      </c>
      <c r="V133" s="444" t="str">
        <f t="shared" si="107"/>
        <v xml:space="preserve"> </v>
      </c>
      <c r="W133" s="909" t="str">
        <f t="shared" si="108"/>
        <v xml:space="preserve"> </v>
      </c>
      <c r="X133" s="924" t="str">
        <f t="shared" si="74"/>
        <v xml:space="preserve"> </v>
      </c>
      <c r="Y133" s="444" t="str">
        <f t="shared" si="109"/>
        <v xml:space="preserve"> </v>
      </c>
      <c r="Z133" s="444" t="str">
        <f t="shared" si="110"/>
        <v xml:space="preserve"> </v>
      </c>
      <c r="AA133" s="444" t="str">
        <f t="shared" si="111"/>
        <v xml:space="preserve"> </v>
      </c>
      <c r="AB133" s="912" t="str">
        <f t="shared" si="112"/>
        <v xml:space="preserve"> </v>
      </c>
      <c r="AC133" s="912" t="str">
        <f t="shared" si="78"/>
        <v xml:space="preserve"> </v>
      </c>
      <c r="AD133" s="444" t="str">
        <f t="shared" si="113"/>
        <v xml:space="preserve"> </v>
      </c>
      <c r="AE133" s="444" t="str">
        <f t="shared" si="80"/>
        <v/>
      </c>
      <c r="AF133" s="444" t="str">
        <f t="shared" si="114"/>
        <v xml:space="preserve"> </v>
      </c>
      <c r="AG133" s="119" t="str">
        <f t="shared" si="81"/>
        <v xml:space="preserve"> </v>
      </c>
      <c r="AH133" s="444" t="str">
        <f t="shared" si="115"/>
        <v xml:space="preserve"> </v>
      </c>
      <c r="AI133" s="909" t="str">
        <f t="shared" si="116"/>
        <v xml:space="preserve"> </v>
      </c>
      <c r="AJ133" s="834" t="str">
        <f>+X133</f>
        <v xml:space="preserve"> </v>
      </c>
      <c r="AK133" s="444" t="str">
        <f t="shared" si="99"/>
        <v xml:space="preserve"> </v>
      </c>
      <c r="AL133" s="444" t="str">
        <f t="shared" si="100"/>
        <v xml:space="preserve"> </v>
      </c>
      <c r="AM133" s="444" t="str">
        <f t="shared" si="101"/>
        <v xml:space="preserve"> </v>
      </c>
      <c r="AN133" s="119" t="str">
        <f t="shared" si="102"/>
        <v xml:space="preserve"> </v>
      </c>
      <c r="AO133" s="444" t="str">
        <f t="shared" si="103"/>
        <v xml:space="preserve"> </v>
      </c>
      <c r="AP133" s="444" t="str">
        <f t="shared" si="104"/>
        <v xml:space="preserve"> </v>
      </c>
      <c r="AQ133" s="123" t="str">
        <f>IF(A133=" "," ",IF('#orgDung'!AF17=0,0,AO133/'#orgDung'!AF17))</f>
        <v xml:space="preserve"> </v>
      </c>
      <c r="AR133" s="47" t="str">
        <f>IF(A133=" "," ",IF('#orgDung'!AF17=0,0,AP133/'#orgDung'!AF17))</f>
        <v xml:space="preserve"> </v>
      </c>
      <c r="AS133" s="890">
        <f>IF(OR(B133=0,B133=""),0,MAX('Flächen u. Kulturen'!W13,AT133/B133))</f>
        <v>0</v>
      </c>
      <c r="AT133" s="875">
        <f t="shared" si="105"/>
        <v>0</v>
      </c>
      <c r="AU133" s="120"/>
    </row>
    <row r="134" spans="1:47" s="830" customFormat="1" x14ac:dyDescent="0.2">
      <c r="A134" s="42" t="str">
        <f>IF('Flächen u. Kulturen'!E14="x",IF(AND('#Kürzungen'!$F$2=2,'#BerechnungDBE'!R9=1,'Flächen u. Kulturen'!D14&lt;&gt;"",'#BerechnungDBE'!AF9=70),'Flächen u. Kulturen'!A14,IF(AND('#BerechnungDBE'!S9=1,'Flächen u. Kulturen'!D14&lt;&gt;"",'#BerechnungDBE'!AF9=70),'Flächen u. Kulturen'!A14," "))," ")</f>
        <v xml:space="preserve"> </v>
      </c>
      <c r="B134" s="505" t="str">
        <f>'Flächen u. Kulturen'!D14</f>
        <v/>
      </c>
      <c r="C134" s="42" t="str">
        <f>IF(A134=" "," ",'#BerechnungDBE'!AK9)</f>
        <v xml:space="preserve"> </v>
      </c>
      <c r="D134" s="42" t="str">
        <f>IF(A134=" "," ",'#BerechnungDBE'!CK9)</f>
        <v xml:space="preserve"> </v>
      </c>
      <c r="E134" s="42" t="str">
        <f>IF(A134=" "," ",D134*B134)</f>
        <v xml:space="preserve"> </v>
      </c>
      <c r="F134" s="869"/>
      <c r="G134" s="42" t="str">
        <f>IF(A134=" ","",'#BerechnungDBE'!CK9+'#BerechnungDBE'!CM9)</f>
        <v/>
      </c>
      <c r="H134" s="444" t="str">
        <f t="shared" si="106"/>
        <v/>
      </c>
      <c r="I134" s="444">
        <f>IF(A134=" ",0,'#minDung'!R15)</f>
        <v>0</v>
      </c>
      <c r="J134" s="430" t="str">
        <f>IF(A134=" "," ",MAX(0,H134-I134))</f>
        <v xml:space="preserve"> </v>
      </c>
      <c r="K134" s="444">
        <f>IF(A134=" ",0,'Flächen u. Kulturen'!W14)</f>
        <v>0</v>
      </c>
      <c r="L134" s="873" t="str">
        <f t="shared" si="87"/>
        <v/>
      </c>
      <c r="M134" s="444" t="str">
        <f t="shared" si="88"/>
        <v xml:space="preserve"> </v>
      </c>
      <c r="N134" s="444" t="str">
        <f t="shared" si="66"/>
        <v xml:space="preserve"> </v>
      </c>
      <c r="O134" s="911" t="str">
        <f t="shared" si="67"/>
        <v xml:space="preserve"> </v>
      </c>
      <c r="P134" s="912" t="str">
        <f t="shared" si="68"/>
        <v xml:space="preserve"> </v>
      </c>
      <c r="Q134" s="912" t="str">
        <f t="shared" si="69"/>
        <v xml:space="preserve"> </v>
      </c>
      <c r="R134" s="444" t="str">
        <f t="shared" si="89"/>
        <v/>
      </c>
      <c r="S134" s="444" t="str">
        <f t="shared" si="70"/>
        <v/>
      </c>
      <c r="T134" s="444" t="str">
        <f t="shared" si="90"/>
        <v xml:space="preserve"> </v>
      </c>
      <c r="U134" s="119" t="str">
        <f t="shared" si="71"/>
        <v xml:space="preserve"> </v>
      </c>
      <c r="V134" s="444" t="str">
        <f t="shared" si="107"/>
        <v xml:space="preserve"> </v>
      </c>
      <c r="W134" s="909" t="str">
        <f t="shared" si="108"/>
        <v xml:space="preserve"> </v>
      </c>
      <c r="X134" s="924" t="str">
        <f t="shared" si="74"/>
        <v xml:space="preserve"> </v>
      </c>
      <c r="Y134" s="444" t="str">
        <f t="shared" si="109"/>
        <v xml:space="preserve"> </v>
      </c>
      <c r="Z134" s="444" t="str">
        <f t="shared" si="110"/>
        <v xml:space="preserve"> </v>
      </c>
      <c r="AA134" s="444" t="str">
        <f t="shared" si="111"/>
        <v xml:space="preserve"> </v>
      </c>
      <c r="AB134" s="912" t="str">
        <f t="shared" si="112"/>
        <v xml:space="preserve"> </v>
      </c>
      <c r="AC134" s="912" t="str">
        <f t="shared" si="78"/>
        <v xml:space="preserve"> </v>
      </c>
      <c r="AD134" s="444" t="str">
        <f t="shared" si="113"/>
        <v xml:space="preserve"> </v>
      </c>
      <c r="AE134" s="444" t="str">
        <f t="shared" si="80"/>
        <v/>
      </c>
      <c r="AF134" s="444" t="str">
        <f t="shared" si="114"/>
        <v xml:space="preserve"> </v>
      </c>
      <c r="AG134" s="119" t="str">
        <f t="shared" si="81"/>
        <v xml:space="preserve"> </v>
      </c>
      <c r="AH134" s="444" t="str">
        <f t="shared" si="115"/>
        <v xml:space="preserve"> </v>
      </c>
      <c r="AI134" s="909" t="str">
        <f t="shared" si="116"/>
        <v xml:space="preserve"> </v>
      </c>
      <c r="AJ134" s="834" t="str">
        <f>+X134</f>
        <v xml:space="preserve"> </v>
      </c>
      <c r="AK134" s="444" t="str">
        <f t="shared" si="99"/>
        <v xml:space="preserve"> </v>
      </c>
      <c r="AL134" s="444" t="str">
        <f t="shared" si="100"/>
        <v xml:space="preserve"> </v>
      </c>
      <c r="AM134" s="444" t="str">
        <f t="shared" si="101"/>
        <v xml:space="preserve"> </v>
      </c>
      <c r="AN134" s="119" t="str">
        <f t="shared" si="102"/>
        <v xml:space="preserve"> </v>
      </c>
      <c r="AO134" s="444" t="str">
        <f t="shared" si="103"/>
        <v xml:space="preserve"> </v>
      </c>
      <c r="AP134" s="444" t="str">
        <f t="shared" si="104"/>
        <v xml:space="preserve"> </v>
      </c>
      <c r="AQ134" s="123" t="str">
        <f>IF(A134=" "," ",IF('#orgDung'!AF18=0,0,AO134/'#orgDung'!AF18))</f>
        <v xml:space="preserve"> </v>
      </c>
      <c r="AR134" s="47" t="str">
        <f>IF(A134=" "," ",IF('#orgDung'!AF18=0,0,AP134/'#orgDung'!AF18))</f>
        <v xml:space="preserve"> </v>
      </c>
      <c r="AS134" s="890">
        <f>IF(OR(B134=0,B134=""),0,MAX('Flächen u. Kulturen'!W14,AT134/B134))</f>
        <v>0</v>
      </c>
      <c r="AT134" s="875">
        <f t="shared" si="105"/>
        <v>0</v>
      </c>
      <c r="AU134" s="120"/>
    </row>
    <row r="135" spans="1:47" s="875" customFormat="1" x14ac:dyDescent="0.2">
      <c r="A135" s="42" t="str">
        <f>IF('Flächen u. Kulturen'!E15="x",IF(AND('#Kürzungen'!$F$2=2,'#BerechnungDBE'!R10=1,'Flächen u. Kulturen'!D15&lt;&gt;"",'#BerechnungDBE'!AF10=70),'Flächen u. Kulturen'!A15,IF(AND('#BerechnungDBE'!S10=1,'Flächen u. Kulturen'!D15&lt;&gt;"",'#BerechnungDBE'!AF10=70),'Flächen u. Kulturen'!A15," "))," ")</f>
        <v xml:space="preserve"> </v>
      </c>
      <c r="B135" s="505" t="str">
        <f>'Flächen u. Kulturen'!D15</f>
        <v/>
      </c>
      <c r="C135" s="42" t="str">
        <f>IF(A135=" "," ",'#BerechnungDBE'!AK10)</f>
        <v xml:space="preserve"> </v>
      </c>
      <c r="D135" s="42" t="str">
        <f>IF(A135=" "," ",'#BerechnungDBE'!CK10)</f>
        <v xml:space="preserve"> </v>
      </c>
      <c r="E135" s="42" t="str">
        <f t="shared" ref="E135:E198" si="117">IF(A135=" "," ",D135*B135)</f>
        <v xml:space="preserve"> </v>
      </c>
      <c r="F135" s="869"/>
      <c r="G135" s="42" t="str">
        <f>IF(A135=" ","",'#BerechnungDBE'!CK10+'#BerechnungDBE'!CM10)</f>
        <v/>
      </c>
      <c r="H135" s="444" t="str">
        <f t="shared" si="106"/>
        <v/>
      </c>
      <c r="I135" s="444">
        <f>IF(A135=" ",0,'#minDung'!R16)</f>
        <v>0</v>
      </c>
      <c r="J135" s="430" t="str">
        <f t="shared" ref="J135:J198" si="118">IF(A135=" "," ",MAX(0,H135-I135))</f>
        <v xml:space="preserve"> </v>
      </c>
      <c r="K135" s="444">
        <f>IF(A135=" ",0,'Flächen u. Kulturen'!W15)</f>
        <v>0</v>
      </c>
      <c r="L135" s="883" t="str">
        <f t="shared" si="87"/>
        <v/>
      </c>
      <c r="M135" s="444" t="str">
        <f t="shared" si="88"/>
        <v xml:space="preserve"> </v>
      </c>
      <c r="N135" s="444" t="str">
        <f t="shared" si="66"/>
        <v xml:space="preserve"> </v>
      </c>
      <c r="O135" s="911" t="str">
        <f t="shared" si="67"/>
        <v xml:space="preserve"> </v>
      </c>
      <c r="P135" s="912" t="str">
        <f t="shared" si="68"/>
        <v xml:space="preserve"> </v>
      </c>
      <c r="Q135" s="912" t="str">
        <f t="shared" si="69"/>
        <v xml:space="preserve"> </v>
      </c>
      <c r="R135" s="444" t="str">
        <f t="shared" si="89"/>
        <v/>
      </c>
      <c r="S135" s="444" t="str">
        <f t="shared" si="70"/>
        <v/>
      </c>
      <c r="T135" s="444" t="str">
        <f t="shared" si="90"/>
        <v xml:space="preserve"> </v>
      </c>
      <c r="U135" s="119" t="str">
        <f t="shared" si="71"/>
        <v xml:space="preserve"> </v>
      </c>
      <c r="V135" s="444" t="str">
        <f t="shared" si="107"/>
        <v xml:space="preserve"> </v>
      </c>
      <c r="W135" s="909" t="str">
        <f t="shared" si="108"/>
        <v xml:space="preserve"> </v>
      </c>
      <c r="X135" s="924" t="str">
        <f t="shared" si="74"/>
        <v xml:space="preserve"> </v>
      </c>
      <c r="Y135" s="444" t="str">
        <f t="shared" si="109"/>
        <v xml:space="preserve"> </v>
      </c>
      <c r="Z135" s="444" t="str">
        <f t="shared" si="110"/>
        <v xml:space="preserve"> </v>
      </c>
      <c r="AA135" s="444" t="str">
        <f t="shared" si="111"/>
        <v xml:space="preserve"> </v>
      </c>
      <c r="AB135" s="912" t="str">
        <f t="shared" si="112"/>
        <v xml:space="preserve"> </v>
      </c>
      <c r="AC135" s="912" t="str">
        <f t="shared" si="78"/>
        <v xml:space="preserve"> </v>
      </c>
      <c r="AD135" s="444" t="str">
        <f t="shared" si="113"/>
        <v xml:space="preserve"> </v>
      </c>
      <c r="AE135" s="444" t="str">
        <f t="shared" si="80"/>
        <v/>
      </c>
      <c r="AF135" s="444" t="str">
        <f t="shared" si="114"/>
        <v xml:space="preserve"> </v>
      </c>
      <c r="AG135" s="119" t="str">
        <f t="shared" si="81"/>
        <v xml:space="preserve"> </v>
      </c>
      <c r="AH135" s="444" t="str">
        <f t="shared" si="115"/>
        <v xml:space="preserve"> </v>
      </c>
      <c r="AI135" s="909" t="str">
        <f t="shared" si="116"/>
        <v xml:space="preserve"> </v>
      </c>
      <c r="AJ135" s="879" t="str">
        <f t="shared" ref="AJ135:AJ198" si="119">+X135</f>
        <v xml:space="preserve"> </v>
      </c>
      <c r="AK135" s="444" t="str">
        <f t="shared" si="99"/>
        <v xml:space="preserve"> </v>
      </c>
      <c r="AL135" s="444" t="str">
        <f t="shared" si="100"/>
        <v xml:space="preserve"> </v>
      </c>
      <c r="AM135" s="444" t="str">
        <f t="shared" si="101"/>
        <v xml:space="preserve"> </v>
      </c>
      <c r="AN135" s="119" t="str">
        <f t="shared" si="102"/>
        <v xml:space="preserve"> </v>
      </c>
      <c r="AO135" s="444" t="str">
        <f t="shared" si="103"/>
        <v xml:space="preserve"> </v>
      </c>
      <c r="AP135" s="444" t="str">
        <f t="shared" si="104"/>
        <v xml:space="preserve"> </v>
      </c>
      <c r="AQ135" s="123" t="str">
        <f>IF(A135=" "," ",IF('#orgDung'!AF19=0,0,AO135/'#orgDung'!AF19))</f>
        <v xml:space="preserve"> </v>
      </c>
      <c r="AR135" s="47" t="str">
        <f>IF(A135=" "," ",IF('#orgDung'!AF19=0,0,AP135/'#orgDung'!AF19))</f>
        <v xml:space="preserve"> </v>
      </c>
      <c r="AS135" s="890">
        <f>IF(OR(B135=0,B135=""),0,MAX('Flächen u. Kulturen'!W15,AT135/B135))</f>
        <v>0</v>
      </c>
      <c r="AT135" s="875">
        <f t="shared" si="105"/>
        <v>0</v>
      </c>
      <c r="AU135" s="120"/>
    </row>
    <row r="136" spans="1:47" s="875" customFormat="1" x14ac:dyDescent="0.2">
      <c r="A136" s="42" t="str">
        <f>IF('Flächen u. Kulturen'!E16="x",IF(AND('#Kürzungen'!$F$2=2,'#BerechnungDBE'!R11=1,'Flächen u. Kulturen'!D16&lt;&gt;"",'#BerechnungDBE'!AF11=70),'Flächen u. Kulturen'!A16,IF(AND('#BerechnungDBE'!S11=1,'Flächen u. Kulturen'!D16&lt;&gt;"",'#BerechnungDBE'!AF11=70),'Flächen u. Kulturen'!A16," "))," ")</f>
        <v xml:space="preserve"> </v>
      </c>
      <c r="B136" s="505" t="str">
        <f>'Flächen u. Kulturen'!D16</f>
        <v/>
      </c>
      <c r="C136" s="42" t="str">
        <f>IF(A136=" "," ",'#BerechnungDBE'!AK11)</f>
        <v xml:space="preserve"> </v>
      </c>
      <c r="D136" s="42" t="str">
        <f>IF(A136=" "," ",'#BerechnungDBE'!CK11)</f>
        <v xml:space="preserve"> </v>
      </c>
      <c r="E136" s="42" t="str">
        <f t="shared" si="117"/>
        <v xml:space="preserve"> </v>
      </c>
      <c r="F136" s="869"/>
      <c r="G136" s="42" t="str">
        <f>IF(A136=" ","",'#BerechnungDBE'!CK11+'#BerechnungDBE'!CM11)</f>
        <v/>
      </c>
      <c r="H136" s="444" t="str">
        <f t="shared" si="106"/>
        <v/>
      </c>
      <c r="I136" s="444">
        <f>IF(A136=" ",0,'#minDung'!R17)</f>
        <v>0</v>
      </c>
      <c r="J136" s="430" t="str">
        <f t="shared" si="118"/>
        <v xml:space="preserve"> </v>
      </c>
      <c r="K136" s="444">
        <f>IF(A136=" ",0,'Flächen u. Kulturen'!W16)</f>
        <v>0</v>
      </c>
      <c r="L136" s="883" t="str">
        <f t="shared" si="87"/>
        <v/>
      </c>
      <c r="M136" s="444" t="str">
        <f t="shared" si="88"/>
        <v xml:space="preserve"> </v>
      </c>
      <c r="N136" s="444" t="str">
        <f t="shared" si="66"/>
        <v xml:space="preserve"> </v>
      </c>
      <c r="O136" s="911" t="str">
        <f t="shared" si="67"/>
        <v xml:space="preserve"> </v>
      </c>
      <c r="P136" s="912" t="str">
        <f t="shared" si="68"/>
        <v xml:space="preserve"> </v>
      </c>
      <c r="Q136" s="912" t="str">
        <f t="shared" si="69"/>
        <v xml:space="preserve"> </v>
      </c>
      <c r="R136" s="444" t="str">
        <f t="shared" si="89"/>
        <v/>
      </c>
      <c r="S136" s="444" t="str">
        <f t="shared" si="70"/>
        <v/>
      </c>
      <c r="T136" s="444" t="str">
        <f t="shared" si="90"/>
        <v xml:space="preserve"> </v>
      </c>
      <c r="U136" s="119" t="str">
        <f t="shared" si="71"/>
        <v xml:space="preserve"> </v>
      </c>
      <c r="V136" s="444" t="str">
        <f t="shared" si="107"/>
        <v xml:space="preserve"> </v>
      </c>
      <c r="W136" s="909" t="str">
        <f t="shared" si="108"/>
        <v xml:space="preserve"> </v>
      </c>
      <c r="X136" s="924" t="str">
        <f t="shared" si="74"/>
        <v xml:space="preserve"> </v>
      </c>
      <c r="Y136" s="444" t="str">
        <f t="shared" si="109"/>
        <v xml:space="preserve"> </v>
      </c>
      <c r="Z136" s="444" t="str">
        <f t="shared" si="110"/>
        <v xml:space="preserve"> </v>
      </c>
      <c r="AA136" s="444" t="str">
        <f t="shared" si="111"/>
        <v xml:space="preserve"> </v>
      </c>
      <c r="AB136" s="912" t="str">
        <f t="shared" si="112"/>
        <v xml:space="preserve"> </v>
      </c>
      <c r="AC136" s="912" t="str">
        <f t="shared" si="78"/>
        <v xml:space="preserve"> </v>
      </c>
      <c r="AD136" s="444" t="str">
        <f t="shared" si="113"/>
        <v xml:space="preserve"> </v>
      </c>
      <c r="AE136" s="444" t="str">
        <f t="shared" si="80"/>
        <v/>
      </c>
      <c r="AF136" s="444" t="str">
        <f t="shared" si="114"/>
        <v xml:space="preserve"> </v>
      </c>
      <c r="AG136" s="119" t="str">
        <f t="shared" si="81"/>
        <v xml:space="preserve"> </v>
      </c>
      <c r="AH136" s="444" t="str">
        <f t="shared" si="115"/>
        <v xml:space="preserve"> </v>
      </c>
      <c r="AI136" s="909" t="str">
        <f t="shared" si="116"/>
        <v xml:space="preserve"> </v>
      </c>
      <c r="AJ136" s="879" t="str">
        <f t="shared" si="119"/>
        <v xml:space="preserve"> </v>
      </c>
      <c r="AK136" s="444" t="str">
        <f t="shared" si="99"/>
        <v xml:space="preserve"> </v>
      </c>
      <c r="AL136" s="444" t="str">
        <f t="shared" si="100"/>
        <v xml:space="preserve"> </v>
      </c>
      <c r="AM136" s="444" t="str">
        <f t="shared" si="101"/>
        <v xml:space="preserve"> </v>
      </c>
      <c r="AN136" s="119" t="str">
        <f t="shared" si="102"/>
        <v xml:space="preserve"> </v>
      </c>
      <c r="AO136" s="444" t="str">
        <f t="shared" si="103"/>
        <v xml:space="preserve"> </v>
      </c>
      <c r="AP136" s="444" t="str">
        <f t="shared" si="104"/>
        <v xml:space="preserve"> </v>
      </c>
      <c r="AQ136" s="123" t="str">
        <f>IF(A136=" "," ",IF('#orgDung'!AF20=0,0,AO136/'#orgDung'!AF20))</f>
        <v xml:space="preserve"> </v>
      </c>
      <c r="AR136" s="47" t="str">
        <f>IF(A136=" "," ",IF('#orgDung'!AF20=0,0,AP136/'#orgDung'!AF20))</f>
        <v xml:space="preserve"> </v>
      </c>
      <c r="AS136" s="890">
        <f>IF(OR(B136=0,B136=""),0,MAX('Flächen u. Kulturen'!W16,AT136/B136))</f>
        <v>0</v>
      </c>
      <c r="AT136" s="875">
        <f t="shared" si="105"/>
        <v>0</v>
      </c>
      <c r="AU136" s="120"/>
    </row>
    <row r="137" spans="1:47" s="875" customFormat="1" x14ac:dyDescent="0.2">
      <c r="A137" s="42" t="str">
        <f>IF('Flächen u. Kulturen'!E17="x",IF(AND('#Kürzungen'!$F$2=2,'#BerechnungDBE'!R12=1,'Flächen u. Kulturen'!D17&lt;&gt;"",'#BerechnungDBE'!AF12=70),'Flächen u. Kulturen'!A17,IF(AND('#BerechnungDBE'!S12=1,'Flächen u. Kulturen'!D17&lt;&gt;"",'#BerechnungDBE'!AF12=70),'Flächen u. Kulturen'!A17," "))," ")</f>
        <v xml:space="preserve"> </v>
      </c>
      <c r="B137" s="505" t="str">
        <f>'Flächen u. Kulturen'!D17</f>
        <v/>
      </c>
      <c r="C137" s="42" t="str">
        <f>IF(A137=" "," ",'#BerechnungDBE'!AK12)</f>
        <v xml:space="preserve"> </v>
      </c>
      <c r="D137" s="42" t="str">
        <f>IF(A137=" "," ",'#BerechnungDBE'!CK12)</f>
        <v xml:space="preserve"> </v>
      </c>
      <c r="E137" s="42" t="str">
        <f t="shared" si="117"/>
        <v xml:space="preserve"> </v>
      </c>
      <c r="F137" s="869"/>
      <c r="G137" s="42" t="str">
        <f>IF(A137=" ","",'#BerechnungDBE'!CK12+'#BerechnungDBE'!CM12)</f>
        <v/>
      </c>
      <c r="H137" s="444" t="str">
        <f t="shared" si="106"/>
        <v/>
      </c>
      <c r="I137" s="444">
        <f>IF(A137=" ",0,'#minDung'!R18)</f>
        <v>0</v>
      </c>
      <c r="J137" s="430" t="str">
        <f t="shared" si="118"/>
        <v xml:space="preserve"> </v>
      </c>
      <c r="K137" s="444">
        <f>IF(A137=" ",0,'Flächen u. Kulturen'!W17)</f>
        <v>0</v>
      </c>
      <c r="L137" s="883" t="str">
        <f t="shared" si="87"/>
        <v/>
      </c>
      <c r="M137" s="444" t="str">
        <f t="shared" si="88"/>
        <v xml:space="preserve"> </v>
      </c>
      <c r="N137" s="444" t="str">
        <f t="shared" si="66"/>
        <v xml:space="preserve"> </v>
      </c>
      <c r="O137" s="911" t="str">
        <f t="shared" si="67"/>
        <v xml:space="preserve"> </v>
      </c>
      <c r="P137" s="912" t="str">
        <f t="shared" si="68"/>
        <v xml:space="preserve"> </v>
      </c>
      <c r="Q137" s="912" t="str">
        <f t="shared" si="69"/>
        <v xml:space="preserve"> </v>
      </c>
      <c r="R137" s="444" t="str">
        <f t="shared" si="89"/>
        <v/>
      </c>
      <c r="S137" s="444" t="str">
        <f t="shared" si="70"/>
        <v/>
      </c>
      <c r="T137" s="444" t="str">
        <f t="shared" si="90"/>
        <v xml:space="preserve"> </v>
      </c>
      <c r="U137" s="119" t="str">
        <f t="shared" si="71"/>
        <v xml:space="preserve"> </v>
      </c>
      <c r="V137" s="444" t="str">
        <f t="shared" si="107"/>
        <v xml:space="preserve"> </v>
      </c>
      <c r="W137" s="909" t="str">
        <f t="shared" si="108"/>
        <v xml:space="preserve"> </v>
      </c>
      <c r="X137" s="924" t="str">
        <f t="shared" si="74"/>
        <v xml:space="preserve"> </v>
      </c>
      <c r="Y137" s="444" t="str">
        <f t="shared" si="109"/>
        <v xml:space="preserve"> </v>
      </c>
      <c r="Z137" s="444" t="str">
        <f t="shared" si="110"/>
        <v xml:space="preserve"> </v>
      </c>
      <c r="AA137" s="444" t="str">
        <f t="shared" si="111"/>
        <v xml:space="preserve"> </v>
      </c>
      <c r="AB137" s="912" t="str">
        <f t="shared" si="112"/>
        <v xml:space="preserve"> </v>
      </c>
      <c r="AC137" s="912" t="str">
        <f t="shared" si="78"/>
        <v xml:space="preserve"> </v>
      </c>
      <c r="AD137" s="444" t="str">
        <f t="shared" si="113"/>
        <v xml:space="preserve"> </v>
      </c>
      <c r="AE137" s="444" t="str">
        <f t="shared" si="80"/>
        <v/>
      </c>
      <c r="AF137" s="444" t="str">
        <f t="shared" si="114"/>
        <v xml:space="preserve"> </v>
      </c>
      <c r="AG137" s="119" t="str">
        <f t="shared" si="81"/>
        <v xml:space="preserve"> </v>
      </c>
      <c r="AH137" s="444" t="str">
        <f t="shared" si="115"/>
        <v xml:space="preserve"> </v>
      </c>
      <c r="AI137" s="909" t="str">
        <f t="shared" si="116"/>
        <v xml:space="preserve"> </v>
      </c>
      <c r="AJ137" s="879" t="str">
        <f t="shared" si="119"/>
        <v xml:space="preserve"> </v>
      </c>
      <c r="AK137" s="444" t="str">
        <f t="shared" si="99"/>
        <v xml:space="preserve"> </v>
      </c>
      <c r="AL137" s="444" t="str">
        <f t="shared" si="100"/>
        <v xml:space="preserve"> </v>
      </c>
      <c r="AM137" s="444" t="str">
        <f t="shared" si="101"/>
        <v xml:space="preserve"> </v>
      </c>
      <c r="AN137" s="119" t="str">
        <f t="shared" si="102"/>
        <v xml:space="preserve"> </v>
      </c>
      <c r="AO137" s="444" t="str">
        <f t="shared" si="103"/>
        <v xml:space="preserve"> </v>
      </c>
      <c r="AP137" s="444" t="str">
        <f t="shared" si="104"/>
        <v xml:space="preserve"> </v>
      </c>
      <c r="AQ137" s="123" t="str">
        <f>IF(A137=" "," ",IF('#orgDung'!AF21=0,0,AO137/'#orgDung'!AF21))</f>
        <v xml:space="preserve"> </v>
      </c>
      <c r="AR137" s="47" t="str">
        <f>IF(A137=" "," ",IF('#orgDung'!AF21=0,0,AP137/'#orgDung'!AF21))</f>
        <v xml:space="preserve"> </v>
      </c>
      <c r="AS137" s="890">
        <f>IF(OR(B137=0,B137=""),0,MAX('Flächen u. Kulturen'!W17,AT137/B137))</f>
        <v>0</v>
      </c>
      <c r="AT137" s="875">
        <f t="shared" si="105"/>
        <v>0</v>
      </c>
      <c r="AU137" s="120"/>
    </row>
    <row r="138" spans="1:47" s="875" customFormat="1" x14ac:dyDescent="0.2">
      <c r="A138" s="42" t="str">
        <f>IF('Flächen u. Kulturen'!E18="x",IF(AND('#Kürzungen'!$F$2=2,'#BerechnungDBE'!R13=1,'Flächen u. Kulturen'!D18&lt;&gt;"",'#BerechnungDBE'!AF13=70),'Flächen u. Kulturen'!A18,IF(AND('#BerechnungDBE'!S13=1,'Flächen u. Kulturen'!D18&lt;&gt;"",'#BerechnungDBE'!AF13=70),'Flächen u. Kulturen'!A18," "))," ")</f>
        <v xml:space="preserve"> </v>
      </c>
      <c r="B138" s="505" t="str">
        <f>'Flächen u. Kulturen'!D18</f>
        <v/>
      </c>
      <c r="C138" s="42" t="str">
        <f>IF(A138=" "," ",'#BerechnungDBE'!AK13)</f>
        <v xml:space="preserve"> </v>
      </c>
      <c r="D138" s="42" t="str">
        <f>IF(A138=" "," ",'#BerechnungDBE'!CK13)</f>
        <v xml:space="preserve"> </v>
      </c>
      <c r="E138" s="42" t="str">
        <f t="shared" si="117"/>
        <v xml:space="preserve"> </v>
      </c>
      <c r="F138" s="869"/>
      <c r="G138" s="42" t="str">
        <f>IF(A138=" ","",'#BerechnungDBE'!CK13+'#BerechnungDBE'!CM13)</f>
        <v/>
      </c>
      <c r="H138" s="444" t="str">
        <f t="shared" si="106"/>
        <v/>
      </c>
      <c r="I138" s="444">
        <f>IF(A138=" ",0,'#minDung'!R19)</f>
        <v>0</v>
      </c>
      <c r="J138" s="430" t="str">
        <f t="shared" si="118"/>
        <v xml:space="preserve"> </v>
      </c>
      <c r="K138" s="444">
        <f>IF(A138=" ",0,'Flächen u. Kulturen'!W18)</f>
        <v>0</v>
      </c>
      <c r="L138" s="883" t="str">
        <f t="shared" si="87"/>
        <v/>
      </c>
      <c r="M138" s="444" t="str">
        <f t="shared" si="88"/>
        <v xml:space="preserve"> </v>
      </c>
      <c r="N138" s="444" t="str">
        <f t="shared" si="66"/>
        <v xml:space="preserve"> </v>
      </c>
      <c r="O138" s="911" t="str">
        <f t="shared" si="67"/>
        <v xml:space="preserve"> </v>
      </c>
      <c r="P138" s="912" t="str">
        <f t="shared" si="68"/>
        <v xml:space="preserve"> </v>
      </c>
      <c r="Q138" s="912" t="str">
        <f t="shared" si="69"/>
        <v xml:space="preserve"> </v>
      </c>
      <c r="R138" s="444" t="str">
        <f t="shared" si="89"/>
        <v/>
      </c>
      <c r="S138" s="444" t="str">
        <f t="shared" si="70"/>
        <v/>
      </c>
      <c r="T138" s="444" t="str">
        <f t="shared" si="90"/>
        <v xml:space="preserve"> </v>
      </c>
      <c r="U138" s="119" t="str">
        <f t="shared" si="71"/>
        <v xml:space="preserve"> </v>
      </c>
      <c r="V138" s="444" t="str">
        <f t="shared" si="107"/>
        <v xml:space="preserve"> </v>
      </c>
      <c r="W138" s="909" t="str">
        <f t="shared" si="108"/>
        <v xml:space="preserve"> </v>
      </c>
      <c r="X138" s="924" t="str">
        <f t="shared" si="74"/>
        <v xml:space="preserve"> </v>
      </c>
      <c r="Y138" s="444" t="str">
        <f t="shared" si="109"/>
        <v xml:space="preserve"> </v>
      </c>
      <c r="Z138" s="444" t="str">
        <f t="shared" si="110"/>
        <v xml:space="preserve"> </v>
      </c>
      <c r="AA138" s="444" t="str">
        <f t="shared" si="111"/>
        <v xml:space="preserve"> </v>
      </c>
      <c r="AB138" s="912" t="str">
        <f t="shared" si="112"/>
        <v xml:space="preserve"> </v>
      </c>
      <c r="AC138" s="912" t="str">
        <f t="shared" si="78"/>
        <v xml:space="preserve"> </v>
      </c>
      <c r="AD138" s="444" t="str">
        <f t="shared" si="113"/>
        <v xml:space="preserve"> </v>
      </c>
      <c r="AE138" s="444" t="str">
        <f t="shared" si="80"/>
        <v/>
      </c>
      <c r="AF138" s="444" t="str">
        <f t="shared" si="114"/>
        <v xml:space="preserve"> </v>
      </c>
      <c r="AG138" s="119" t="str">
        <f t="shared" si="81"/>
        <v xml:space="preserve"> </v>
      </c>
      <c r="AH138" s="444" t="str">
        <f t="shared" si="115"/>
        <v xml:space="preserve"> </v>
      </c>
      <c r="AI138" s="909" t="str">
        <f t="shared" si="116"/>
        <v xml:space="preserve"> </v>
      </c>
      <c r="AJ138" s="879" t="str">
        <f t="shared" si="119"/>
        <v xml:space="preserve"> </v>
      </c>
      <c r="AK138" s="444" t="str">
        <f t="shared" si="99"/>
        <v xml:space="preserve"> </v>
      </c>
      <c r="AL138" s="444" t="str">
        <f t="shared" si="100"/>
        <v xml:space="preserve"> </v>
      </c>
      <c r="AM138" s="444" t="str">
        <f t="shared" si="101"/>
        <v xml:space="preserve"> </v>
      </c>
      <c r="AN138" s="119" t="str">
        <f t="shared" si="102"/>
        <v xml:space="preserve"> </v>
      </c>
      <c r="AO138" s="444" t="str">
        <f t="shared" si="103"/>
        <v xml:space="preserve"> </v>
      </c>
      <c r="AP138" s="444" t="str">
        <f t="shared" si="104"/>
        <v xml:space="preserve"> </v>
      </c>
      <c r="AQ138" s="123" t="str">
        <f>IF(A138=" "," ",IF('#orgDung'!AF22=0,0,AO138/'#orgDung'!AF22))</f>
        <v xml:space="preserve"> </v>
      </c>
      <c r="AR138" s="47" t="str">
        <f>IF(A138=" "," ",IF('#orgDung'!AF22=0,0,AP138/'#orgDung'!AF22))</f>
        <v xml:space="preserve"> </v>
      </c>
      <c r="AS138" s="890">
        <f>IF(OR(B138=0,B138=""),0,MAX('Flächen u. Kulturen'!W18,AT138/B138))</f>
        <v>0</v>
      </c>
      <c r="AT138" s="875">
        <f t="shared" si="105"/>
        <v>0</v>
      </c>
      <c r="AU138" s="120"/>
    </row>
    <row r="139" spans="1:47" s="875" customFormat="1" x14ac:dyDescent="0.2">
      <c r="A139" s="42" t="str">
        <f>IF('Flächen u. Kulturen'!E19="x",IF(AND('#Kürzungen'!$F$2=2,'#BerechnungDBE'!R14=1,'Flächen u. Kulturen'!D19&lt;&gt;"",'#BerechnungDBE'!AF14=70),'Flächen u. Kulturen'!A19,IF(AND('#BerechnungDBE'!S14=1,'Flächen u. Kulturen'!D19&lt;&gt;"",'#BerechnungDBE'!AF14=70),'Flächen u. Kulturen'!A19," "))," ")</f>
        <v xml:space="preserve"> </v>
      </c>
      <c r="B139" s="505" t="str">
        <f>'Flächen u. Kulturen'!D19</f>
        <v/>
      </c>
      <c r="C139" s="42" t="str">
        <f>IF(A139=" "," ",'#BerechnungDBE'!AK14)</f>
        <v xml:space="preserve"> </v>
      </c>
      <c r="D139" s="42" t="str">
        <f>IF(A139=" "," ",'#BerechnungDBE'!CK14)</f>
        <v xml:space="preserve"> </v>
      </c>
      <c r="E139" s="42" t="str">
        <f t="shared" si="117"/>
        <v xml:space="preserve"> </v>
      </c>
      <c r="F139" s="869"/>
      <c r="G139" s="42" t="str">
        <f>IF(A139=" ","",'#BerechnungDBE'!CK14+'#BerechnungDBE'!CM14)</f>
        <v/>
      </c>
      <c r="H139" s="444" t="str">
        <f t="shared" si="106"/>
        <v/>
      </c>
      <c r="I139" s="444">
        <f>IF(A139=" ",0,'#minDung'!R20)</f>
        <v>0</v>
      </c>
      <c r="J139" s="430" t="str">
        <f t="shared" si="118"/>
        <v xml:space="preserve"> </v>
      </c>
      <c r="K139" s="444">
        <f>IF(A139=" ",0,'Flächen u. Kulturen'!W19)</f>
        <v>0</v>
      </c>
      <c r="L139" s="883" t="str">
        <f t="shared" si="87"/>
        <v/>
      </c>
      <c r="M139" s="444" t="str">
        <f t="shared" si="88"/>
        <v xml:space="preserve"> </v>
      </c>
      <c r="N139" s="444" t="str">
        <f t="shared" si="66"/>
        <v xml:space="preserve"> </v>
      </c>
      <c r="O139" s="911" t="str">
        <f t="shared" si="67"/>
        <v xml:space="preserve"> </v>
      </c>
      <c r="P139" s="912" t="str">
        <f t="shared" si="68"/>
        <v xml:space="preserve"> </v>
      </c>
      <c r="Q139" s="912" t="str">
        <f t="shared" si="69"/>
        <v xml:space="preserve"> </v>
      </c>
      <c r="R139" s="444" t="str">
        <f t="shared" si="89"/>
        <v/>
      </c>
      <c r="S139" s="444" t="str">
        <f t="shared" si="70"/>
        <v/>
      </c>
      <c r="T139" s="444" t="str">
        <f t="shared" si="90"/>
        <v xml:space="preserve"> </v>
      </c>
      <c r="U139" s="119" t="str">
        <f t="shared" si="71"/>
        <v xml:space="preserve"> </v>
      </c>
      <c r="V139" s="444" t="str">
        <f t="shared" si="107"/>
        <v xml:space="preserve"> </v>
      </c>
      <c r="W139" s="909" t="str">
        <f t="shared" si="108"/>
        <v xml:space="preserve"> </v>
      </c>
      <c r="X139" s="924" t="str">
        <f t="shared" si="74"/>
        <v xml:space="preserve"> </v>
      </c>
      <c r="Y139" s="444" t="str">
        <f t="shared" si="109"/>
        <v xml:space="preserve"> </v>
      </c>
      <c r="Z139" s="444" t="str">
        <f t="shared" si="110"/>
        <v xml:space="preserve"> </v>
      </c>
      <c r="AA139" s="444" t="str">
        <f t="shared" si="111"/>
        <v xml:space="preserve"> </v>
      </c>
      <c r="AB139" s="912" t="str">
        <f t="shared" si="112"/>
        <v xml:space="preserve"> </v>
      </c>
      <c r="AC139" s="912" t="str">
        <f t="shared" si="78"/>
        <v xml:space="preserve"> </v>
      </c>
      <c r="AD139" s="444" t="str">
        <f t="shared" si="113"/>
        <v xml:space="preserve"> </v>
      </c>
      <c r="AE139" s="444" t="str">
        <f t="shared" si="80"/>
        <v/>
      </c>
      <c r="AF139" s="444" t="str">
        <f t="shared" si="114"/>
        <v xml:space="preserve"> </v>
      </c>
      <c r="AG139" s="119" t="str">
        <f t="shared" si="81"/>
        <v xml:space="preserve"> </v>
      </c>
      <c r="AH139" s="444" t="str">
        <f t="shared" si="115"/>
        <v xml:space="preserve"> </v>
      </c>
      <c r="AI139" s="909" t="str">
        <f t="shared" si="116"/>
        <v xml:space="preserve"> </v>
      </c>
      <c r="AJ139" s="879" t="str">
        <f t="shared" si="119"/>
        <v xml:space="preserve"> </v>
      </c>
      <c r="AK139" s="444" t="str">
        <f t="shared" si="99"/>
        <v xml:space="preserve"> </v>
      </c>
      <c r="AL139" s="444" t="str">
        <f t="shared" si="100"/>
        <v xml:space="preserve"> </v>
      </c>
      <c r="AM139" s="444" t="str">
        <f t="shared" si="101"/>
        <v xml:space="preserve"> </v>
      </c>
      <c r="AN139" s="119" t="str">
        <f t="shared" si="102"/>
        <v xml:space="preserve"> </v>
      </c>
      <c r="AO139" s="444" t="str">
        <f t="shared" si="103"/>
        <v xml:space="preserve"> </v>
      </c>
      <c r="AP139" s="444" t="str">
        <f t="shared" si="104"/>
        <v xml:space="preserve"> </v>
      </c>
      <c r="AQ139" s="123" t="str">
        <f>IF(A139=" "," ",IF('#orgDung'!AF23=0,0,AO139/'#orgDung'!AF23))</f>
        <v xml:space="preserve"> </v>
      </c>
      <c r="AR139" s="47" t="str">
        <f>IF(A139=" "," ",IF('#orgDung'!AF23=0,0,AP139/'#orgDung'!AF23))</f>
        <v xml:space="preserve"> </v>
      </c>
      <c r="AS139" s="890">
        <f>IF(OR(B139=0,B139=""),0,MAX('Flächen u. Kulturen'!W19,AT139/B139))</f>
        <v>0</v>
      </c>
      <c r="AT139" s="875">
        <f t="shared" si="105"/>
        <v>0</v>
      </c>
      <c r="AU139" s="120"/>
    </row>
    <row r="140" spans="1:47" s="875" customFormat="1" x14ac:dyDescent="0.2">
      <c r="A140" s="42" t="str">
        <f>IF('Flächen u. Kulturen'!E20="x",IF(AND('#Kürzungen'!$F$2=2,'#BerechnungDBE'!R15=1,'Flächen u. Kulturen'!D20&lt;&gt;"",'#BerechnungDBE'!AF15=70),'Flächen u. Kulturen'!A20,IF(AND('#BerechnungDBE'!S15=1,'Flächen u. Kulturen'!D20&lt;&gt;"",'#BerechnungDBE'!AF15=70),'Flächen u. Kulturen'!A20," "))," ")</f>
        <v xml:space="preserve"> </v>
      </c>
      <c r="B140" s="505" t="str">
        <f>'Flächen u. Kulturen'!D20</f>
        <v/>
      </c>
      <c r="C140" s="42" t="str">
        <f>IF(A140=" "," ",'#BerechnungDBE'!AK15)</f>
        <v xml:space="preserve"> </v>
      </c>
      <c r="D140" s="42" t="str">
        <f>IF(A140=" "," ",'#BerechnungDBE'!CK15)</f>
        <v xml:space="preserve"> </v>
      </c>
      <c r="E140" s="42" t="str">
        <f t="shared" si="117"/>
        <v xml:space="preserve"> </v>
      </c>
      <c r="F140" s="869"/>
      <c r="G140" s="42" t="str">
        <f>IF(A140=" ","",'#BerechnungDBE'!CK15+'#BerechnungDBE'!CM15)</f>
        <v/>
      </c>
      <c r="H140" s="444" t="str">
        <f t="shared" si="106"/>
        <v/>
      </c>
      <c r="I140" s="444">
        <f>IF(A140=" ",0,'#minDung'!R21)</f>
        <v>0</v>
      </c>
      <c r="J140" s="430" t="str">
        <f t="shared" si="118"/>
        <v xml:space="preserve"> </v>
      </c>
      <c r="K140" s="444">
        <f>IF(A140=" ",0,'Flächen u. Kulturen'!W20)</f>
        <v>0</v>
      </c>
      <c r="L140" s="883" t="str">
        <f t="shared" si="87"/>
        <v/>
      </c>
      <c r="M140" s="444" t="str">
        <f t="shared" si="88"/>
        <v xml:space="preserve"> </v>
      </c>
      <c r="N140" s="444" t="str">
        <f t="shared" si="66"/>
        <v xml:space="preserve"> </v>
      </c>
      <c r="O140" s="911" t="str">
        <f t="shared" si="67"/>
        <v xml:space="preserve"> </v>
      </c>
      <c r="P140" s="912" t="str">
        <f t="shared" si="68"/>
        <v xml:space="preserve"> </v>
      </c>
      <c r="Q140" s="912" t="str">
        <f t="shared" si="69"/>
        <v xml:space="preserve"> </v>
      </c>
      <c r="R140" s="444" t="str">
        <f t="shared" si="89"/>
        <v/>
      </c>
      <c r="S140" s="444" t="str">
        <f t="shared" si="70"/>
        <v/>
      </c>
      <c r="T140" s="444" t="str">
        <f t="shared" si="90"/>
        <v xml:space="preserve"> </v>
      </c>
      <c r="U140" s="119" t="str">
        <f t="shared" si="71"/>
        <v xml:space="preserve"> </v>
      </c>
      <c r="V140" s="444" t="str">
        <f t="shared" si="107"/>
        <v xml:space="preserve"> </v>
      </c>
      <c r="W140" s="909" t="str">
        <f t="shared" si="108"/>
        <v xml:space="preserve"> </v>
      </c>
      <c r="X140" s="924" t="str">
        <f t="shared" si="74"/>
        <v xml:space="preserve"> </v>
      </c>
      <c r="Y140" s="444" t="str">
        <f t="shared" si="109"/>
        <v xml:space="preserve"> </v>
      </c>
      <c r="Z140" s="444" t="str">
        <f t="shared" si="110"/>
        <v xml:space="preserve"> </v>
      </c>
      <c r="AA140" s="444" t="str">
        <f t="shared" si="111"/>
        <v xml:space="preserve"> </v>
      </c>
      <c r="AB140" s="912" t="str">
        <f t="shared" si="112"/>
        <v xml:space="preserve"> </v>
      </c>
      <c r="AC140" s="912" t="str">
        <f t="shared" si="78"/>
        <v xml:space="preserve"> </v>
      </c>
      <c r="AD140" s="444" t="str">
        <f t="shared" si="113"/>
        <v xml:space="preserve"> </v>
      </c>
      <c r="AE140" s="444" t="str">
        <f t="shared" si="80"/>
        <v/>
      </c>
      <c r="AF140" s="444" t="str">
        <f t="shared" si="114"/>
        <v xml:space="preserve"> </v>
      </c>
      <c r="AG140" s="119" t="str">
        <f t="shared" si="81"/>
        <v xml:space="preserve"> </v>
      </c>
      <c r="AH140" s="444" t="str">
        <f t="shared" si="115"/>
        <v xml:space="preserve"> </v>
      </c>
      <c r="AI140" s="909" t="str">
        <f t="shared" si="116"/>
        <v xml:space="preserve"> </v>
      </c>
      <c r="AJ140" s="879" t="str">
        <f t="shared" si="119"/>
        <v xml:space="preserve"> </v>
      </c>
      <c r="AK140" s="444" t="str">
        <f t="shared" si="99"/>
        <v xml:space="preserve"> </v>
      </c>
      <c r="AL140" s="444" t="str">
        <f t="shared" si="100"/>
        <v xml:space="preserve"> </v>
      </c>
      <c r="AM140" s="444" t="str">
        <f t="shared" si="101"/>
        <v xml:space="preserve"> </v>
      </c>
      <c r="AN140" s="119" t="str">
        <f t="shared" si="102"/>
        <v xml:space="preserve"> </v>
      </c>
      <c r="AO140" s="444" t="str">
        <f t="shared" si="103"/>
        <v xml:space="preserve"> </v>
      </c>
      <c r="AP140" s="444" t="str">
        <f t="shared" si="104"/>
        <v xml:space="preserve"> </v>
      </c>
      <c r="AQ140" s="123" t="str">
        <f>IF(A140=" "," ",IF('#orgDung'!AF24=0,0,AO140/'#orgDung'!AF24))</f>
        <v xml:space="preserve"> </v>
      </c>
      <c r="AR140" s="47" t="str">
        <f>IF(A140=" "," ",IF('#orgDung'!AF24=0,0,AP140/'#orgDung'!AF24))</f>
        <v xml:space="preserve"> </v>
      </c>
      <c r="AS140" s="890">
        <f>IF(OR(B140=0,B140=""),0,MAX('Flächen u. Kulturen'!W20,AT140/B140))</f>
        <v>0</v>
      </c>
      <c r="AT140" s="875">
        <f t="shared" si="105"/>
        <v>0</v>
      </c>
      <c r="AU140" s="120"/>
    </row>
    <row r="141" spans="1:47" s="875" customFormat="1" x14ac:dyDescent="0.2">
      <c r="A141" s="42" t="str">
        <f>IF('Flächen u. Kulturen'!E21="x",IF(AND('#Kürzungen'!$F$2=2,'#BerechnungDBE'!R16=1,'Flächen u. Kulturen'!D21&lt;&gt;"",'#BerechnungDBE'!AF16=70),'Flächen u. Kulturen'!A21,IF(AND('#BerechnungDBE'!S16=1,'Flächen u. Kulturen'!D21&lt;&gt;"",'#BerechnungDBE'!AF16=70),'Flächen u. Kulturen'!A21," "))," ")</f>
        <v xml:space="preserve"> </v>
      </c>
      <c r="B141" s="505" t="str">
        <f>'Flächen u. Kulturen'!D21</f>
        <v/>
      </c>
      <c r="C141" s="42" t="str">
        <f>IF(A141=" "," ",'#BerechnungDBE'!AK16)</f>
        <v xml:space="preserve"> </v>
      </c>
      <c r="D141" s="42" t="str">
        <f>IF(A141=" "," ",'#BerechnungDBE'!CK16)</f>
        <v xml:space="preserve"> </v>
      </c>
      <c r="E141" s="42" t="str">
        <f t="shared" si="117"/>
        <v xml:space="preserve"> </v>
      </c>
      <c r="F141" s="869"/>
      <c r="G141" s="42" t="str">
        <f>IF(A141=" ","",'#BerechnungDBE'!CK16+'#BerechnungDBE'!CM16)</f>
        <v/>
      </c>
      <c r="H141" s="444" t="str">
        <f t="shared" si="106"/>
        <v/>
      </c>
      <c r="I141" s="444">
        <f>IF(A141=" ",0,'#minDung'!R22)</f>
        <v>0</v>
      </c>
      <c r="J141" s="430" t="str">
        <f t="shared" si="118"/>
        <v xml:space="preserve"> </v>
      </c>
      <c r="K141" s="444">
        <f>IF(A141=" ",0,'Flächen u. Kulturen'!W21)</f>
        <v>0</v>
      </c>
      <c r="L141" s="883" t="str">
        <f t="shared" si="87"/>
        <v/>
      </c>
      <c r="M141" s="444" t="str">
        <f t="shared" si="88"/>
        <v xml:space="preserve"> </v>
      </c>
      <c r="N141" s="444" t="str">
        <f t="shared" si="66"/>
        <v xml:space="preserve"> </v>
      </c>
      <c r="O141" s="911" t="str">
        <f t="shared" si="67"/>
        <v xml:space="preserve"> </v>
      </c>
      <c r="P141" s="912" t="str">
        <f t="shared" si="68"/>
        <v xml:space="preserve"> </v>
      </c>
      <c r="Q141" s="912" t="str">
        <f t="shared" si="69"/>
        <v xml:space="preserve"> </v>
      </c>
      <c r="R141" s="444" t="str">
        <f t="shared" si="89"/>
        <v/>
      </c>
      <c r="S141" s="444" t="str">
        <f t="shared" si="70"/>
        <v/>
      </c>
      <c r="T141" s="444" t="str">
        <f t="shared" si="90"/>
        <v xml:space="preserve"> </v>
      </c>
      <c r="U141" s="119" t="str">
        <f t="shared" si="71"/>
        <v xml:space="preserve"> </v>
      </c>
      <c r="V141" s="444" t="str">
        <f t="shared" si="107"/>
        <v xml:space="preserve"> </v>
      </c>
      <c r="W141" s="909" t="str">
        <f t="shared" si="108"/>
        <v xml:space="preserve"> </v>
      </c>
      <c r="X141" s="924" t="str">
        <f t="shared" si="74"/>
        <v xml:space="preserve"> </v>
      </c>
      <c r="Y141" s="444" t="str">
        <f t="shared" si="109"/>
        <v xml:space="preserve"> </v>
      </c>
      <c r="Z141" s="444" t="str">
        <f t="shared" si="110"/>
        <v xml:space="preserve"> </v>
      </c>
      <c r="AA141" s="444" t="str">
        <f t="shared" si="111"/>
        <v xml:space="preserve"> </v>
      </c>
      <c r="AB141" s="912" t="str">
        <f t="shared" si="112"/>
        <v xml:space="preserve"> </v>
      </c>
      <c r="AC141" s="912" t="str">
        <f t="shared" si="78"/>
        <v xml:space="preserve"> </v>
      </c>
      <c r="AD141" s="444" t="str">
        <f t="shared" si="113"/>
        <v xml:space="preserve"> </v>
      </c>
      <c r="AE141" s="444" t="str">
        <f t="shared" si="80"/>
        <v/>
      </c>
      <c r="AF141" s="444" t="str">
        <f t="shared" si="114"/>
        <v xml:space="preserve"> </v>
      </c>
      <c r="AG141" s="119" t="str">
        <f t="shared" si="81"/>
        <v xml:space="preserve"> </v>
      </c>
      <c r="AH141" s="444" t="str">
        <f t="shared" si="115"/>
        <v xml:space="preserve"> </v>
      </c>
      <c r="AI141" s="909" t="str">
        <f t="shared" si="116"/>
        <v xml:space="preserve"> </v>
      </c>
      <c r="AJ141" s="879" t="str">
        <f t="shared" si="119"/>
        <v xml:space="preserve"> </v>
      </c>
      <c r="AK141" s="444" t="str">
        <f t="shared" si="99"/>
        <v xml:space="preserve"> </v>
      </c>
      <c r="AL141" s="444" t="str">
        <f t="shared" si="100"/>
        <v xml:space="preserve"> </v>
      </c>
      <c r="AM141" s="444" t="str">
        <f t="shared" si="101"/>
        <v xml:space="preserve"> </v>
      </c>
      <c r="AN141" s="119" t="str">
        <f t="shared" si="102"/>
        <v xml:space="preserve"> </v>
      </c>
      <c r="AO141" s="444" t="str">
        <f t="shared" si="103"/>
        <v xml:space="preserve"> </v>
      </c>
      <c r="AP141" s="444" t="str">
        <f t="shared" si="104"/>
        <v xml:space="preserve"> </v>
      </c>
      <c r="AQ141" s="123" t="str">
        <f>IF(A141=" "," ",IF('#orgDung'!AF25=0,0,AO141/'#orgDung'!AF25))</f>
        <v xml:space="preserve"> </v>
      </c>
      <c r="AR141" s="47" t="str">
        <f>IF(A141=" "," ",IF('#orgDung'!AF25=0,0,AP141/'#orgDung'!AF25))</f>
        <v xml:space="preserve"> </v>
      </c>
      <c r="AS141" s="890">
        <f>IF(OR(B141=0,B141=""),0,MAX('Flächen u. Kulturen'!W21,AT141/B141))</f>
        <v>0</v>
      </c>
      <c r="AT141" s="875">
        <f t="shared" si="105"/>
        <v>0</v>
      </c>
      <c r="AU141" s="120"/>
    </row>
    <row r="142" spans="1:47" s="875" customFormat="1" x14ac:dyDescent="0.2">
      <c r="A142" s="42" t="str">
        <f>IF('Flächen u. Kulturen'!E22="x",IF(AND('#Kürzungen'!$F$2=2,'#BerechnungDBE'!R17=1,'Flächen u. Kulturen'!D22&lt;&gt;"",'#BerechnungDBE'!AF17=70),'Flächen u. Kulturen'!A22,IF(AND('#BerechnungDBE'!S17=1,'Flächen u. Kulturen'!D22&lt;&gt;"",'#BerechnungDBE'!AF17=70),'Flächen u. Kulturen'!A22," "))," ")</f>
        <v xml:space="preserve"> </v>
      </c>
      <c r="B142" s="505" t="str">
        <f>'Flächen u. Kulturen'!D22</f>
        <v/>
      </c>
      <c r="C142" s="42" t="str">
        <f>IF(A142=" "," ",'#BerechnungDBE'!AK17)</f>
        <v xml:space="preserve"> </v>
      </c>
      <c r="D142" s="42" t="str">
        <f>IF(A142=" "," ",'#BerechnungDBE'!CK17)</f>
        <v xml:space="preserve"> </v>
      </c>
      <c r="E142" s="42" t="str">
        <f t="shared" si="117"/>
        <v xml:space="preserve"> </v>
      </c>
      <c r="F142" s="869"/>
      <c r="G142" s="42" t="str">
        <f>IF(A142=" ","",'#BerechnungDBE'!CK17+'#BerechnungDBE'!CM17)</f>
        <v/>
      </c>
      <c r="H142" s="444" t="str">
        <f t="shared" si="106"/>
        <v/>
      </c>
      <c r="I142" s="444">
        <f>IF(A142=" ",0,'#minDung'!R23)</f>
        <v>0</v>
      </c>
      <c r="J142" s="430" t="str">
        <f t="shared" si="118"/>
        <v xml:space="preserve"> </v>
      </c>
      <c r="K142" s="444">
        <f>IF(A142=" ",0,'Flächen u. Kulturen'!W22)</f>
        <v>0</v>
      </c>
      <c r="L142" s="883" t="str">
        <f t="shared" si="87"/>
        <v/>
      </c>
      <c r="M142" s="444" t="str">
        <f t="shared" si="88"/>
        <v xml:space="preserve"> </v>
      </c>
      <c r="N142" s="444" t="str">
        <f t="shared" si="66"/>
        <v xml:space="preserve"> </v>
      </c>
      <c r="O142" s="911" t="str">
        <f t="shared" si="67"/>
        <v xml:space="preserve"> </v>
      </c>
      <c r="P142" s="912" t="str">
        <f t="shared" si="68"/>
        <v xml:space="preserve"> </v>
      </c>
      <c r="Q142" s="912" t="str">
        <f t="shared" si="69"/>
        <v xml:space="preserve"> </v>
      </c>
      <c r="R142" s="444" t="str">
        <f t="shared" si="89"/>
        <v/>
      </c>
      <c r="S142" s="444" t="str">
        <f t="shared" si="70"/>
        <v/>
      </c>
      <c r="T142" s="444" t="str">
        <f t="shared" si="90"/>
        <v xml:space="preserve"> </v>
      </c>
      <c r="U142" s="119" t="str">
        <f t="shared" si="71"/>
        <v xml:space="preserve"> </v>
      </c>
      <c r="V142" s="444" t="str">
        <f t="shared" si="107"/>
        <v xml:space="preserve"> </v>
      </c>
      <c r="W142" s="909" t="str">
        <f t="shared" si="108"/>
        <v xml:space="preserve"> </v>
      </c>
      <c r="X142" s="924" t="str">
        <f t="shared" si="74"/>
        <v xml:space="preserve"> </v>
      </c>
      <c r="Y142" s="444" t="str">
        <f t="shared" si="109"/>
        <v xml:space="preserve"> </v>
      </c>
      <c r="Z142" s="444" t="str">
        <f t="shared" si="110"/>
        <v xml:space="preserve"> </v>
      </c>
      <c r="AA142" s="444" t="str">
        <f t="shared" si="111"/>
        <v xml:space="preserve"> </v>
      </c>
      <c r="AB142" s="912" t="str">
        <f t="shared" si="112"/>
        <v xml:space="preserve"> </v>
      </c>
      <c r="AC142" s="912" t="str">
        <f t="shared" si="78"/>
        <v xml:space="preserve"> </v>
      </c>
      <c r="AD142" s="444" t="str">
        <f t="shared" si="113"/>
        <v xml:space="preserve"> </v>
      </c>
      <c r="AE142" s="444" t="str">
        <f t="shared" si="80"/>
        <v/>
      </c>
      <c r="AF142" s="444" t="str">
        <f t="shared" si="114"/>
        <v xml:space="preserve"> </v>
      </c>
      <c r="AG142" s="119" t="str">
        <f t="shared" si="81"/>
        <v xml:space="preserve"> </v>
      </c>
      <c r="AH142" s="444" t="str">
        <f t="shared" si="115"/>
        <v xml:space="preserve"> </v>
      </c>
      <c r="AI142" s="909" t="str">
        <f t="shared" si="116"/>
        <v xml:space="preserve"> </v>
      </c>
      <c r="AJ142" s="879" t="str">
        <f t="shared" si="119"/>
        <v xml:space="preserve"> </v>
      </c>
      <c r="AK142" s="444" t="str">
        <f t="shared" si="99"/>
        <v xml:space="preserve"> </v>
      </c>
      <c r="AL142" s="444" t="str">
        <f t="shared" si="100"/>
        <v xml:space="preserve"> </v>
      </c>
      <c r="AM142" s="444" t="str">
        <f t="shared" si="101"/>
        <v xml:space="preserve"> </v>
      </c>
      <c r="AN142" s="119" t="str">
        <f t="shared" si="102"/>
        <v xml:space="preserve"> </v>
      </c>
      <c r="AO142" s="444" t="str">
        <f t="shared" si="103"/>
        <v xml:space="preserve"> </v>
      </c>
      <c r="AP142" s="444" t="str">
        <f t="shared" si="104"/>
        <v xml:space="preserve"> </v>
      </c>
      <c r="AQ142" s="123" t="str">
        <f>IF(A142=" "," ",IF('#orgDung'!AF26=0,0,AO142/'#orgDung'!AF26))</f>
        <v xml:space="preserve"> </v>
      </c>
      <c r="AR142" s="47" t="str">
        <f>IF(A142=" "," ",IF('#orgDung'!AF26=0,0,AP142/'#orgDung'!AF26))</f>
        <v xml:space="preserve"> </v>
      </c>
      <c r="AS142" s="890">
        <f>IF(OR(B142=0,B142=""),0,MAX('Flächen u. Kulturen'!W22,AT142/B142))</f>
        <v>0</v>
      </c>
      <c r="AT142" s="875">
        <f t="shared" si="105"/>
        <v>0</v>
      </c>
      <c r="AU142" s="120"/>
    </row>
    <row r="143" spans="1:47" s="875" customFormat="1" x14ac:dyDescent="0.2">
      <c r="A143" s="42" t="str">
        <f>IF('Flächen u. Kulturen'!E23="x",IF(AND('#Kürzungen'!$F$2=2,'#BerechnungDBE'!R18=1,'Flächen u. Kulturen'!D23&lt;&gt;"",'#BerechnungDBE'!AF18=70),'Flächen u. Kulturen'!A23,IF(AND('#BerechnungDBE'!S18=1,'Flächen u. Kulturen'!D23&lt;&gt;"",'#BerechnungDBE'!AF18=70),'Flächen u. Kulturen'!A23," "))," ")</f>
        <v xml:space="preserve"> </v>
      </c>
      <c r="B143" s="505" t="str">
        <f>'Flächen u. Kulturen'!D23</f>
        <v/>
      </c>
      <c r="C143" s="42" t="str">
        <f>IF(A143=" "," ",'#BerechnungDBE'!AK18)</f>
        <v xml:space="preserve"> </v>
      </c>
      <c r="D143" s="42" t="str">
        <f>IF(A143=" "," ",'#BerechnungDBE'!CK18)</f>
        <v xml:space="preserve"> </v>
      </c>
      <c r="E143" s="42" t="str">
        <f t="shared" si="117"/>
        <v xml:space="preserve"> </v>
      </c>
      <c r="F143" s="869"/>
      <c r="G143" s="42" t="str">
        <f>IF(A143=" ","",'#BerechnungDBE'!CK18+'#BerechnungDBE'!CM18)</f>
        <v/>
      </c>
      <c r="H143" s="444" t="str">
        <f t="shared" si="106"/>
        <v/>
      </c>
      <c r="I143" s="444">
        <f>IF(A143=" ",0,'#minDung'!R24)</f>
        <v>0</v>
      </c>
      <c r="J143" s="430" t="str">
        <f t="shared" si="118"/>
        <v xml:space="preserve"> </v>
      </c>
      <c r="K143" s="444">
        <f>IF(A143=" ",0,'Flächen u. Kulturen'!W23)</f>
        <v>0</v>
      </c>
      <c r="L143" s="883" t="str">
        <f t="shared" si="87"/>
        <v/>
      </c>
      <c r="M143" s="444" t="str">
        <f t="shared" si="88"/>
        <v xml:space="preserve"> </v>
      </c>
      <c r="N143" s="444" t="str">
        <f t="shared" si="66"/>
        <v xml:space="preserve"> </v>
      </c>
      <c r="O143" s="911" t="str">
        <f t="shared" si="67"/>
        <v xml:space="preserve"> </v>
      </c>
      <c r="P143" s="912" t="str">
        <f t="shared" si="68"/>
        <v xml:space="preserve"> </v>
      </c>
      <c r="Q143" s="912" t="str">
        <f t="shared" si="69"/>
        <v xml:space="preserve"> </v>
      </c>
      <c r="R143" s="444" t="str">
        <f t="shared" si="89"/>
        <v/>
      </c>
      <c r="S143" s="444" t="str">
        <f t="shared" si="70"/>
        <v/>
      </c>
      <c r="T143" s="444" t="str">
        <f t="shared" si="90"/>
        <v xml:space="preserve"> </v>
      </c>
      <c r="U143" s="119" t="str">
        <f t="shared" si="71"/>
        <v xml:space="preserve"> </v>
      </c>
      <c r="V143" s="444" t="str">
        <f t="shared" si="107"/>
        <v xml:space="preserve"> </v>
      </c>
      <c r="W143" s="909" t="str">
        <f t="shared" si="108"/>
        <v xml:space="preserve"> </v>
      </c>
      <c r="X143" s="924" t="str">
        <f t="shared" si="74"/>
        <v xml:space="preserve"> </v>
      </c>
      <c r="Y143" s="444" t="str">
        <f t="shared" si="109"/>
        <v xml:space="preserve"> </v>
      </c>
      <c r="Z143" s="444" t="str">
        <f t="shared" si="110"/>
        <v xml:space="preserve"> </v>
      </c>
      <c r="AA143" s="444" t="str">
        <f t="shared" si="111"/>
        <v xml:space="preserve"> </v>
      </c>
      <c r="AB143" s="912" t="str">
        <f t="shared" si="112"/>
        <v xml:space="preserve"> </v>
      </c>
      <c r="AC143" s="912" t="str">
        <f t="shared" si="78"/>
        <v xml:space="preserve"> </v>
      </c>
      <c r="AD143" s="444" t="str">
        <f t="shared" si="113"/>
        <v xml:space="preserve"> </v>
      </c>
      <c r="AE143" s="444" t="str">
        <f t="shared" si="80"/>
        <v/>
      </c>
      <c r="AF143" s="444" t="str">
        <f t="shared" si="114"/>
        <v xml:space="preserve"> </v>
      </c>
      <c r="AG143" s="119" t="str">
        <f t="shared" si="81"/>
        <v xml:space="preserve"> </v>
      </c>
      <c r="AH143" s="444" t="str">
        <f t="shared" si="115"/>
        <v xml:space="preserve"> </v>
      </c>
      <c r="AI143" s="909" t="str">
        <f t="shared" si="116"/>
        <v xml:space="preserve"> </v>
      </c>
      <c r="AJ143" s="879" t="str">
        <f t="shared" si="119"/>
        <v xml:space="preserve"> </v>
      </c>
      <c r="AK143" s="444" t="str">
        <f t="shared" si="99"/>
        <v xml:space="preserve"> </v>
      </c>
      <c r="AL143" s="444" t="str">
        <f t="shared" si="100"/>
        <v xml:space="preserve"> </v>
      </c>
      <c r="AM143" s="444" t="str">
        <f t="shared" si="101"/>
        <v xml:space="preserve"> </v>
      </c>
      <c r="AN143" s="119" t="str">
        <f t="shared" si="102"/>
        <v xml:space="preserve"> </v>
      </c>
      <c r="AO143" s="444" t="str">
        <f t="shared" si="103"/>
        <v xml:space="preserve"> </v>
      </c>
      <c r="AP143" s="444" t="str">
        <f t="shared" si="104"/>
        <v xml:space="preserve"> </v>
      </c>
      <c r="AQ143" s="123" t="str">
        <f>IF(A143=" "," ",IF('#orgDung'!AF27=0,0,AO143/'#orgDung'!AF27))</f>
        <v xml:space="preserve"> </v>
      </c>
      <c r="AR143" s="47" t="str">
        <f>IF(A143=" "," ",IF('#orgDung'!AF27=0,0,AP143/'#orgDung'!AF27))</f>
        <v xml:space="preserve"> </v>
      </c>
      <c r="AS143" s="890">
        <f>IF(OR(B143=0,B143=""),0,MAX('Flächen u. Kulturen'!W23,AT143/B143))</f>
        <v>0</v>
      </c>
      <c r="AT143" s="875">
        <f t="shared" si="105"/>
        <v>0</v>
      </c>
      <c r="AU143" s="120"/>
    </row>
    <row r="144" spans="1:47" s="875" customFormat="1" x14ac:dyDescent="0.2">
      <c r="A144" s="42" t="str">
        <f>IF('Flächen u. Kulturen'!E24="x",IF(AND('#Kürzungen'!$F$2=2,'#BerechnungDBE'!R19=1,'Flächen u. Kulturen'!D24&lt;&gt;"",'#BerechnungDBE'!AF19=70),'Flächen u. Kulturen'!A24,IF(AND('#BerechnungDBE'!S19=1,'Flächen u. Kulturen'!D24&lt;&gt;"",'#BerechnungDBE'!AF19=70),'Flächen u. Kulturen'!A24," "))," ")</f>
        <v xml:space="preserve"> </v>
      </c>
      <c r="B144" s="505" t="str">
        <f>'Flächen u. Kulturen'!D24</f>
        <v/>
      </c>
      <c r="C144" s="42" t="str">
        <f>IF(A144=" "," ",'#BerechnungDBE'!AK19)</f>
        <v xml:space="preserve"> </v>
      </c>
      <c r="D144" s="42" t="str">
        <f>IF(A144=" "," ",'#BerechnungDBE'!CK19)</f>
        <v xml:space="preserve"> </v>
      </c>
      <c r="E144" s="42" t="str">
        <f t="shared" si="117"/>
        <v xml:space="preserve"> </v>
      </c>
      <c r="F144" s="869"/>
      <c r="G144" s="42" t="str">
        <f>IF(A144=" ","",'#BerechnungDBE'!CK19+'#BerechnungDBE'!CM19)</f>
        <v/>
      </c>
      <c r="H144" s="444" t="str">
        <f t="shared" si="106"/>
        <v/>
      </c>
      <c r="I144" s="444">
        <f>IF(A144=" ",0,'#minDung'!R25)</f>
        <v>0</v>
      </c>
      <c r="J144" s="430" t="str">
        <f t="shared" si="118"/>
        <v xml:space="preserve"> </v>
      </c>
      <c r="K144" s="444">
        <f>IF(A144=" ",0,'Flächen u. Kulturen'!W24)</f>
        <v>0</v>
      </c>
      <c r="L144" s="883" t="str">
        <f t="shared" si="87"/>
        <v/>
      </c>
      <c r="M144" s="444" t="str">
        <f t="shared" si="88"/>
        <v xml:space="preserve"> </v>
      </c>
      <c r="N144" s="444" t="str">
        <f t="shared" si="66"/>
        <v xml:space="preserve"> </v>
      </c>
      <c r="O144" s="911" t="str">
        <f t="shared" si="67"/>
        <v xml:space="preserve"> </v>
      </c>
      <c r="P144" s="912" t="str">
        <f t="shared" si="68"/>
        <v xml:space="preserve"> </v>
      </c>
      <c r="Q144" s="912" t="str">
        <f t="shared" si="69"/>
        <v xml:space="preserve"> </v>
      </c>
      <c r="R144" s="444" t="str">
        <f t="shared" si="89"/>
        <v/>
      </c>
      <c r="S144" s="444" t="str">
        <f t="shared" si="70"/>
        <v/>
      </c>
      <c r="T144" s="444" t="str">
        <f t="shared" si="90"/>
        <v xml:space="preserve"> </v>
      </c>
      <c r="U144" s="119" t="str">
        <f t="shared" si="71"/>
        <v xml:space="preserve"> </v>
      </c>
      <c r="V144" s="444" t="str">
        <f t="shared" si="107"/>
        <v xml:space="preserve"> </v>
      </c>
      <c r="W144" s="909" t="str">
        <f t="shared" si="108"/>
        <v xml:space="preserve"> </v>
      </c>
      <c r="X144" s="924" t="str">
        <f t="shared" si="74"/>
        <v xml:space="preserve"> </v>
      </c>
      <c r="Y144" s="444" t="str">
        <f t="shared" si="109"/>
        <v xml:space="preserve"> </v>
      </c>
      <c r="Z144" s="444" t="str">
        <f t="shared" si="110"/>
        <v xml:space="preserve"> </v>
      </c>
      <c r="AA144" s="444" t="str">
        <f t="shared" si="111"/>
        <v xml:space="preserve"> </v>
      </c>
      <c r="AB144" s="912" t="str">
        <f t="shared" si="112"/>
        <v xml:space="preserve"> </v>
      </c>
      <c r="AC144" s="912" t="str">
        <f t="shared" si="78"/>
        <v xml:space="preserve"> </v>
      </c>
      <c r="AD144" s="444" t="str">
        <f t="shared" si="113"/>
        <v xml:space="preserve"> </v>
      </c>
      <c r="AE144" s="444" t="str">
        <f t="shared" si="80"/>
        <v/>
      </c>
      <c r="AF144" s="444" t="str">
        <f t="shared" si="114"/>
        <v xml:space="preserve"> </v>
      </c>
      <c r="AG144" s="119" t="str">
        <f t="shared" si="81"/>
        <v xml:space="preserve"> </v>
      </c>
      <c r="AH144" s="444" t="str">
        <f t="shared" si="115"/>
        <v xml:space="preserve"> </v>
      </c>
      <c r="AI144" s="909" t="str">
        <f t="shared" si="116"/>
        <v xml:space="preserve"> </v>
      </c>
      <c r="AJ144" s="879" t="str">
        <f t="shared" si="119"/>
        <v xml:space="preserve"> </v>
      </c>
      <c r="AK144" s="444" t="str">
        <f t="shared" si="99"/>
        <v xml:space="preserve"> </v>
      </c>
      <c r="AL144" s="444" t="str">
        <f t="shared" si="100"/>
        <v xml:space="preserve"> </v>
      </c>
      <c r="AM144" s="444" t="str">
        <f t="shared" si="101"/>
        <v xml:space="preserve"> </v>
      </c>
      <c r="AN144" s="119" t="str">
        <f t="shared" si="102"/>
        <v xml:space="preserve"> </v>
      </c>
      <c r="AO144" s="444" t="str">
        <f t="shared" si="103"/>
        <v xml:space="preserve"> </v>
      </c>
      <c r="AP144" s="444" t="str">
        <f t="shared" si="104"/>
        <v xml:space="preserve"> </v>
      </c>
      <c r="AQ144" s="123" t="str">
        <f>IF(A144=" "," ",IF('#orgDung'!AF28=0,0,AO144/'#orgDung'!AF28))</f>
        <v xml:space="preserve"> </v>
      </c>
      <c r="AR144" s="47" t="str">
        <f>IF(A144=" "," ",IF('#orgDung'!AF28=0,0,AP144/'#orgDung'!AF28))</f>
        <v xml:space="preserve"> </v>
      </c>
      <c r="AS144" s="890">
        <f>IF(OR(B144=0,B144=""),0,MAX('Flächen u. Kulturen'!W24,AT144/B144))</f>
        <v>0</v>
      </c>
      <c r="AT144" s="875">
        <f t="shared" si="105"/>
        <v>0</v>
      </c>
      <c r="AU144" s="120"/>
    </row>
    <row r="145" spans="1:47" s="875" customFormat="1" x14ac:dyDescent="0.2">
      <c r="A145" s="42" t="str">
        <f>IF('Flächen u. Kulturen'!E25="x",IF(AND('#Kürzungen'!$F$2=2,'#BerechnungDBE'!R20=1,'Flächen u. Kulturen'!D25&lt;&gt;"",'#BerechnungDBE'!AF20=70),'Flächen u. Kulturen'!A25,IF(AND('#BerechnungDBE'!S20=1,'Flächen u. Kulturen'!D25&lt;&gt;"",'#BerechnungDBE'!AF20=70),'Flächen u. Kulturen'!A25," "))," ")</f>
        <v xml:space="preserve"> </v>
      </c>
      <c r="B145" s="505" t="str">
        <f>'Flächen u. Kulturen'!D25</f>
        <v/>
      </c>
      <c r="C145" s="42" t="str">
        <f>IF(A145=" "," ",'#BerechnungDBE'!AK20)</f>
        <v xml:space="preserve"> </v>
      </c>
      <c r="D145" s="42" t="str">
        <f>IF(A145=" "," ",'#BerechnungDBE'!CK20)</f>
        <v xml:space="preserve"> </v>
      </c>
      <c r="E145" s="42" t="str">
        <f t="shared" si="117"/>
        <v xml:space="preserve"> </v>
      </c>
      <c r="F145" s="869"/>
      <c r="G145" s="42" t="str">
        <f>IF(A145=" ","",'#BerechnungDBE'!CK20+'#BerechnungDBE'!CM20)</f>
        <v/>
      </c>
      <c r="H145" s="444" t="str">
        <f t="shared" si="106"/>
        <v/>
      </c>
      <c r="I145" s="444">
        <f>IF(A145=" ",0,'#minDung'!R26)</f>
        <v>0</v>
      </c>
      <c r="J145" s="430" t="str">
        <f t="shared" si="118"/>
        <v xml:space="preserve"> </v>
      </c>
      <c r="K145" s="444">
        <f>IF(A145=" ",0,'Flächen u. Kulturen'!W25)</f>
        <v>0</v>
      </c>
      <c r="L145" s="883" t="str">
        <f t="shared" si="87"/>
        <v/>
      </c>
      <c r="M145" s="444" t="str">
        <f t="shared" si="88"/>
        <v xml:space="preserve"> </v>
      </c>
      <c r="N145" s="444" t="str">
        <f t="shared" si="66"/>
        <v xml:space="preserve"> </v>
      </c>
      <c r="O145" s="911" t="str">
        <f t="shared" si="67"/>
        <v xml:space="preserve"> </v>
      </c>
      <c r="P145" s="912" t="str">
        <f t="shared" si="68"/>
        <v xml:space="preserve"> </v>
      </c>
      <c r="Q145" s="912" t="str">
        <f t="shared" si="69"/>
        <v xml:space="preserve"> </v>
      </c>
      <c r="R145" s="444" t="str">
        <f t="shared" si="89"/>
        <v/>
      </c>
      <c r="S145" s="444" t="str">
        <f t="shared" si="70"/>
        <v/>
      </c>
      <c r="T145" s="444" t="str">
        <f t="shared" si="90"/>
        <v xml:space="preserve"> </v>
      </c>
      <c r="U145" s="119" t="str">
        <f t="shared" si="71"/>
        <v xml:space="preserve"> </v>
      </c>
      <c r="V145" s="444" t="str">
        <f t="shared" si="107"/>
        <v xml:space="preserve"> </v>
      </c>
      <c r="W145" s="909" t="str">
        <f t="shared" si="108"/>
        <v xml:space="preserve"> </v>
      </c>
      <c r="X145" s="924" t="str">
        <f t="shared" si="74"/>
        <v xml:space="preserve"> </v>
      </c>
      <c r="Y145" s="444" t="str">
        <f t="shared" si="109"/>
        <v xml:space="preserve"> </v>
      </c>
      <c r="Z145" s="444" t="str">
        <f t="shared" si="110"/>
        <v xml:space="preserve"> </v>
      </c>
      <c r="AA145" s="444" t="str">
        <f t="shared" si="111"/>
        <v xml:space="preserve"> </v>
      </c>
      <c r="AB145" s="912" t="str">
        <f t="shared" si="112"/>
        <v xml:space="preserve"> </v>
      </c>
      <c r="AC145" s="912" t="str">
        <f t="shared" si="78"/>
        <v xml:space="preserve"> </v>
      </c>
      <c r="AD145" s="444" t="str">
        <f t="shared" si="113"/>
        <v xml:space="preserve"> </v>
      </c>
      <c r="AE145" s="444" t="str">
        <f t="shared" si="80"/>
        <v/>
      </c>
      <c r="AF145" s="444" t="str">
        <f t="shared" si="114"/>
        <v xml:space="preserve"> </v>
      </c>
      <c r="AG145" s="119" t="str">
        <f t="shared" si="81"/>
        <v xml:space="preserve"> </v>
      </c>
      <c r="AH145" s="444" t="str">
        <f t="shared" si="115"/>
        <v xml:space="preserve"> </v>
      </c>
      <c r="AI145" s="909" t="str">
        <f t="shared" si="116"/>
        <v xml:space="preserve"> </v>
      </c>
      <c r="AJ145" s="879" t="str">
        <f t="shared" si="119"/>
        <v xml:space="preserve"> </v>
      </c>
      <c r="AK145" s="444" t="str">
        <f t="shared" si="99"/>
        <v xml:space="preserve"> </v>
      </c>
      <c r="AL145" s="444" t="str">
        <f t="shared" si="100"/>
        <v xml:space="preserve"> </v>
      </c>
      <c r="AM145" s="444" t="str">
        <f t="shared" si="101"/>
        <v xml:space="preserve"> </v>
      </c>
      <c r="AN145" s="119" t="str">
        <f t="shared" si="102"/>
        <v xml:space="preserve"> </v>
      </c>
      <c r="AO145" s="444" t="str">
        <f t="shared" si="103"/>
        <v xml:space="preserve"> </v>
      </c>
      <c r="AP145" s="444" t="str">
        <f t="shared" si="104"/>
        <v xml:space="preserve"> </v>
      </c>
      <c r="AQ145" s="123" t="str">
        <f>IF(A145=" "," ",IF('#orgDung'!AF29=0,0,AO145/'#orgDung'!AF29))</f>
        <v xml:space="preserve"> </v>
      </c>
      <c r="AR145" s="47" t="str">
        <f>IF(A145=" "," ",IF('#orgDung'!AF29=0,0,AP145/'#orgDung'!AF29))</f>
        <v xml:space="preserve"> </v>
      </c>
      <c r="AS145" s="890">
        <f>IF(OR(B145=0,B145=""),0,MAX('Flächen u. Kulturen'!W25,AT145/B145))</f>
        <v>0</v>
      </c>
      <c r="AT145" s="875">
        <f t="shared" si="105"/>
        <v>0</v>
      </c>
      <c r="AU145" s="120"/>
    </row>
    <row r="146" spans="1:47" s="875" customFormat="1" x14ac:dyDescent="0.2">
      <c r="A146" s="42" t="str">
        <f>IF('Flächen u. Kulturen'!E26="x",IF(AND('#Kürzungen'!$F$2=2,'#BerechnungDBE'!R21=1,'Flächen u. Kulturen'!D26&lt;&gt;"",'#BerechnungDBE'!AF21=70),'Flächen u. Kulturen'!A26,IF(AND('#BerechnungDBE'!S21=1,'Flächen u. Kulturen'!D26&lt;&gt;"",'#BerechnungDBE'!AF21=70),'Flächen u. Kulturen'!A26," "))," ")</f>
        <v xml:space="preserve"> </v>
      </c>
      <c r="B146" s="505" t="str">
        <f>'Flächen u. Kulturen'!D26</f>
        <v/>
      </c>
      <c r="C146" s="42" t="str">
        <f>IF(A146=" "," ",'#BerechnungDBE'!AK21)</f>
        <v xml:space="preserve"> </v>
      </c>
      <c r="D146" s="42" t="str">
        <f>IF(A146=" "," ",'#BerechnungDBE'!CK21)</f>
        <v xml:space="preserve"> </v>
      </c>
      <c r="E146" s="42" t="str">
        <f t="shared" si="117"/>
        <v xml:space="preserve"> </v>
      </c>
      <c r="F146" s="869"/>
      <c r="G146" s="42" t="str">
        <f>IF(A146=" ","",'#BerechnungDBE'!CK21+'#BerechnungDBE'!CM21)</f>
        <v/>
      </c>
      <c r="H146" s="444" t="str">
        <f t="shared" si="106"/>
        <v/>
      </c>
      <c r="I146" s="444">
        <f>IF(A146=" ",0,'#minDung'!R27)</f>
        <v>0</v>
      </c>
      <c r="J146" s="430" t="str">
        <f t="shared" si="118"/>
        <v xml:space="preserve"> </v>
      </c>
      <c r="K146" s="444">
        <f>IF(A146=" ",0,'Flächen u. Kulturen'!W26)</f>
        <v>0</v>
      </c>
      <c r="L146" s="883" t="str">
        <f t="shared" si="87"/>
        <v/>
      </c>
      <c r="M146" s="444" t="str">
        <f t="shared" si="88"/>
        <v xml:space="preserve"> </v>
      </c>
      <c r="N146" s="444" t="str">
        <f t="shared" si="66"/>
        <v xml:space="preserve"> </v>
      </c>
      <c r="O146" s="911" t="str">
        <f t="shared" si="67"/>
        <v xml:space="preserve"> </v>
      </c>
      <c r="P146" s="912" t="str">
        <f t="shared" si="68"/>
        <v xml:space="preserve"> </v>
      </c>
      <c r="Q146" s="912" t="str">
        <f t="shared" si="69"/>
        <v xml:space="preserve"> </v>
      </c>
      <c r="R146" s="444" t="str">
        <f t="shared" si="89"/>
        <v/>
      </c>
      <c r="S146" s="444" t="str">
        <f t="shared" si="70"/>
        <v/>
      </c>
      <c r="T146" s="444" t="str">
        <f t="shared" si="90"/>
        <v xml:space="preserve"> </v>
      </c>
      <c r="U146" s="119" t="str">
        <f t="shared" si="71"/>
        <v xml:space="preserve"> </v>
      </c>
      <c r="V146" s="444" t="str">
        <f t="shared" si="107"/>
        <v xml:space="preserve"> </v>
      </c>
      <c r="W146" s="909" t="str">
        <f t="shared" si="108"/>
        <v xml:space="preserve"> </v>
      </c>
      <c r="X146" s="924" t="str">
        <f t="shared" si="74"/>
        <v xml:space="preserve"> </v>
      </c>
      <c r="Y146" s="444" t="str">
        <f t="shared" si="109"/>
        <v xml:space="preserve"> </v>
      </c>
      <c r="Z146" s="444" t="str">
        <f t="shared" si="110"/>
        <v xml:space="preserve"> </v>
      </c>
      <c r="AA146" s="444" t="str">
        <f t="shared" si="111"/>
        <v xml:space="preserve"> </v>
      </c>
      <c r="AB146" s="912" t="str">
        <f t="shared" si="112"/>
        <v xml:space="preserve"> </v>
      </c>
      <c r="AC146" s="912" t="str">
        <f t="shared" si="78"/>
        <v xml:space="preserve"> </v>
      </c>
      <c r="AD146" s="444" t="str">
        <f t="shared" si="113"/>
        <v xml:space="preserve"> </v>
      </c>
      <c r="AE146" s="444" t="str">
        <f t="shared" si="80"/>
        <v/>
      </c>
      <c r="AF146" s="444" t="str">
        <f t="shared" si="114"/>
        <v xml:space="preserve"> </v>
      </c>
      <c r="AG146" s="119" t="str">
        <f t="shared" si="81"/>
        <v xml:space="preserve"> </v>
      </c>
      <c r="AH146" s="444" t="str">
        <f t="shared" si="115"/>
        <v xml:space="preserve"> </v>
      </c>
      <c r="AI146" s="909" t="str">
        <f t="shared" si="116"/>
        <v xml:space="preserve"> </v>
      </c>
      <c r="AJ146" s="879" t="str">
        <f t="shared" si="119"/>
        <v xml:space="preserve"> </v>
      </c>
      <c r="AK146" s="444" t="str">
        <f t="shared" si="99"/>
        <v xml:space="preserve"> </v>
      </c>
      <c r="AL146" s="444" t="str">
        <f t="shared" si="100"/>
        <v xml:space="preserve"> </v>
      </c>
      <c r="AM146" s="444" t="str">
        <f t="shared" si="101"/>
        <v xml:space="preserve"> </v>
      </c>
      <c r="AN146" s="119" t="str">
        <f t="shared" si="102"/>
        <v xml:space="preserve"> </v>
      </c>
      <c r="AO146" s="444" t="str">
        <f t="shared" si="103"/>
        <v xml:space="preserve"> </v>
      </c>
      <c r="AP146" s="444" t="str">
        <f t="shared" si="104"/>
        <v xml:space="preserve"> </v>
      </c>
      <c r="AQ146" s="123" t="str">
        <f>IF(A146=" "," ",IF('#orgDung'!AF30=0,0,AO146/'#orgDung'!AF30))</f>
        <v xml:space="preserve"> </v>
      </c>
      <c r="AR146" s="47" t="str">
        <f>IF(A146=" "," ",IF('#orgDung'!AF30=0,0,AP146/'#orgDung'!AF30))</f>
        <v xml:space="preserve"> </v>
      </c>
      <c r="AS146" s="890">
        <f>IF(OR(B146=0,B146=""),0,MAX('Flächen u. Kulturen'!W26,AT146/B146))</f>
        <v>0</v>
      </c>
      <c r="AT146" s="875">
        <f t="shared" si="105"/>
        <v>0</v>
      </c>
      <c r="AU146" s="120"/>
    </row>
    <row r="147" spans="1:47" s="875" customFormat="1" x14ac:dyDescent="0.2">
      <c r="A147" s="42" t="str">
        <f>IF('Flächen u. Kulturen'!E27="x",IF(AND('#Kürzungen'!$F$2=2,'#BerechnungDBE'!R22=1,'Flächen u. Kulturen'!D27&lt;&gt;"",'#BerechnungDBE'!AF22=70),'Flächen u. Kulturen'!A27,IF(AND('#BerechnungDBE'!S22=1,'Flächen u. Kulturen'!D27&lt;&gt;"",'#BerechnungDBE'!AF22=70),'Flächen u. Kulturen'!A27," "))," ")</f>
        <v xml:space="preserve"> </v>
      </c>
      <c r="B147" s="505" t="str">
        <f>'Flächen u. Kulturen'!D27</f>
        <v/>
      </c>
      <c r="C147" s="42" t="str">
        <f>IF(A147=" "," ",'#BerechnungDBE'!AK22)</f>
        <v xml:space="preserve"> </v>
      </c>
      <c r="D147" s="42" t="str">
        <f>IF(A147=" "," ",'#BerechnungDBE'!CK22)</f>
        <v xml:space="preserve"> </v>
      </c>
      <c r="E147" s="42" t="str">
        <f t="shared" si="117"/>
        <v xml:space="preserve"> </v>
      </c>
      <c r="F147" s="869"/>
      <c r="G147" s="42" t="str">
        <f>IF(A147=" ","",'#BerechnungDBE'!CK22+'#BerechnungDBE'!CM22)</f>
        <v/>
      </c>
      <c r="H147" s="444" t="str">
        <f t="shared" si="106"/>
        <v/>
      </c>
      <c r="I147" s="444">
        <f>IF(A147=" ",0,'#minDung'!R28)</f>
        <v>0</v>
      </c>
      <c r="J147" s="430" t="str">
        <f t="shared" si="118"/>
        <v xml:space="preserve"> </v>
      </c>
      <c r="K147" s="444">
        <f>IF(A147=" ",0,'Flächen u. Kulturen'!W27)</f>
        <v>0</v>
      </c>
      <c r="L147" s="883" t="str">
        <f t="shared" si="87"/>
        <v/>
      </c>
      <c r="M147" s="444" t="str">
        <f t="shared" si="88"/>
        <v xml:space="preserve"> </v>
      </c>
      <c r="N147" s="444" t="str">
        <f t="shared" si="66"/>
        <v xml:space="preserve"> </v>
      </c>
      <c r="O147" s="911" t="str">
        <f t="shared" si="67"/>
        <v xml:space="preserve"> </v>
      </c>
      <c r="P147" s="912" t="str">
        <f t="shared" si="68"/>
        <v xml:space="preserve"> </v>
      </c>
      <c r="Q147" s="912" t="str">
        <f t="shared" si="69"/>
        <v xml:space="preserve"> </v>
      </c>
      <c r="R147" s="444" t="str">
        <f t="shared" si="89"/>
        <v/>
      </c>
      <c r="S147" s="444" t="str">
        <f t="shared" si="70"/>
        <v/>
      </c>
      <c r="T147" s="444" t="str">
        <f t="shared" si="90"/>
        <v xml:space="preserve"> </v>
      </c>
      <c r="U147" s="119" t="str">
        <f t="shared" si="71"/>
        <v xml:space="preserve"> </v>
      </c>
      <c r="V147" s="444" t="str">
        <f t="shared" si="107"/>
        <v xml:space="preserve"> </v>
      </c>
      <c r="W147" s="909" t="str">
        <f t="shared" si="108"/>
        <v xml:space="preserve"> </v>
      </c>
      <c r="X147" s="924" t="str">
        <f t="shared" si="74"/>
        <v xml:space="preserve"> </v>
      </c>
      <c r="Y147" s="444" t="str">
        <f t="shared" si="109"/>
        <v xml:space="preserve"> </v>
      </c>
      <c r="Z147" s="444" t="str">
        <f t="shared" si="110"/>
        <v xml:space="preserve"> </v>
      </c>
      <c r="AA147" s="444" t="str">
        <f t="shared" si="111"/>
        <v xml:space="preserve"> </v>
      </c>
      <c r="AB147" s="912" t="str">
        <f t="shared" si="112"/>
        <v xml:space="preserve"> </v>
      </c>
      <c r="AC147" s="912" t="str">
        <f t="shared" si="78"/>
        <v xml:space="preserve"> </v>
      </c>
      <c r="AD147" s="444" t="str">
        <f t="shared" si="113"/>
        <v xml:space="preserve"> </v>
      </c>
      <c r="AE147" s="444" t="str">
        <f t="shared" si="80"/>
        <v/>
      </c>
      <c r="AF147" s="444" t="str">
        <f t="shared" si="114"/>
        <v xml:space="preserve"> </v>
      </c>
      <c r="AG147" s="119" t="str">
        <f t="shared" si="81"/>
        <v xml:space="preserve"> </v>
      </c>
      <c r="AH147" s="444" t="str">
        <f t="shared" si="115"/>
        <v xml:space="preserve"> </v>
      </c>
      <c r="AI147" s="909" t="str">
        <f t="shared" si="116"/>
        <v xml:space="preserve"> </v>
      </c>
      <c r="AJ147" s="879" t="str">
        <f t="shared" si="119"/>
        <v xml:space="preserve"> </v>
      </c>
      <c r="AK147" s="444" t="str">
        <f t="shared" si="99"/>
        <v xml:space="preserve"> </v>
      </c>
      <c r="AL147" s="444" t="str">
        <f t="shared" si="100"/>
        <v xml:space="preserve"> </v>
      </c>
      <c r="AM147" s="444" t="str">
        <f t="shared" si="101"/>
        <v xml:space="preserve"> </v>
      </c>
      <c r="AN147" s="119" t="str">
        <f t="shared" si="102"/>
        <v xml:space="preserve"> </v>
      </c>
      <c r="AO147" s="444" t="str">
        <f t="shared" si="103"/>
        <v xml:space="preserve"> </v>
      </c>
      <c r="AP147" s="444" t="str">
        <f t="shared" si="104"/>
        <v xml:space="preserve"> </v>
      </c>
      <c r="AQ147" s="123" t="str">
        <f>IF(A147=" "," ",IF('#orgDung'!AF31=0,0,AO147/'#orgDung'!AF31))</f>
        <v xml:space="preserve"> </v>
      </c>
      <c r="AR147" s="47" t="str">
        <f>IF(A147=" "," ",IF('#orgDung'!AF31=0,0,AP147/'#orgDung'!AF31))</f>
        <v xml:space="preserve"> </v>
      </c>
      <c r="AS147" s="890">
        <f>IF(OR(B147=0,B147=""),0,MAX('Flächen u. Kulturen'!W27,AT147/B147))</f>
        <v>0</v>
      </c>
      <c r="AT147" s="875">
        <f t="shared" si="105"/>
        <v>0</v>
      </c>
      <c r="AU147" s="120"/>
    </row>
    <row r="148" spans="1:47" s="875" customFormat="1" x14ac:dyDescent="0.2">
      <c r="A148" s="42" t="str">
        <f>IF('Flächen u. Kulturen'!E28="x",IF(AND('#Kürzungen'!$F$2=2,'#BerechnungDBE'!R23=1,'Flächen u. Kulturen'!D28&lt;&gt;"",'#BerechnungDBE'!AF23=70),'Flächen u. Kulturen'!A28,IF(AND('#BerechnungDBE'!S23=1,'Flächen u. Kulturen'!D28&lt;&gt;"",'#BerechnungDBE'!AF23=70),'Flächen u. Kulturen'!A28," "))," ")</f>
        <v xml:space="preserve"> </v>
      </c>
      <c r="B148" s="505" t="str">
        <f>'Flächen u. Kulturen'!D28</f>
        <v/>
      </c>
      <c r="C148" s="42" t="str">
        <f>IF(A148=" "," ",'#BerechnungDBE'!AK23)</f>
        <v xml:space="preserve"> </v>
      </c>
      <c r="D148" s="42" t="str">
        <f>IF(A148=" "," ",'#BerechnungDBE'!CK23)</f>
        <v xml:space="preserve"> </v>
      </c>
      <c r="E148" s="42" t="str">
        <f t="shared" si="117"/>
        <v xml:space="preserve"> </v>
      </c>
      <c r="F148" s="869"/>
      <c r="G148" s="42" t="str">
        <f>IF(A148=" ","",'#BerechnungDBE'!CK23+'#BerechnungDBE'!CM23)</f>
        <v/>
      </c>
      <c r="H148" s="444" t="str">
        <f t="shared" si="106"/>
        <v/>
      </c>
      <c r="I148" s="444">
        <f>IF(A148=" ",0,'#minDung'!R29)</f>
        <v>0</v>
      </c>
      <c r="J148" s="430" t="str">
        <f t="shared" si="118"/>
        <v xml:space="preserve"> </v>
      </c>
      <c r="K148" s="444">
        <f>IF(A148=" ",0,'Flächen u. Kulturen'!W28)</f>
        <v>0</v>
      </c>
      <c r="L148" s="883" t="str">
        <f t="shared" si="87"/>
        <v/>
      </c>
      <c r="M148" s="444" t="str">
        <f t="shared" si="88"/>
        <v xml:space="preserve"> </v>
      </c>
      <c r="N148" s="444" t="str">
        <f t="shared" si="66"/>
        <v xml:space="preserve"> </v>
      </c>
      <c r="O148" s="911" t="str">
        <f t="shared" si="67"/>
        <v xml:space="preserve"> </v>
      </c>
      <c r="P148" s="912" t="str">
        <f t="shared" si="68"/>
        <v xml:space="preserve"> </v>
      </c>
      <c r="Q148" s="912" t="str">
        <f t="shared" si="69"/>
        <v xml:space="preserve"> </v>
      </c>
      <c r="R148" s="444" t="str">
        <f t="shared" si="89"/>
        <v/>
      </c>
      <c r="S148" s="444" t="str">
        <f t="shared" si="70"/>
        <v/>
      </c>
      <c r="T148" s="444" t="str">
        <f t="shared" si="90"/>
        <v xml:space="preserve"> </v>
      </c>
      <c r="U148" s="119" t="str">
        <f t="shared" si="71"/>
        <v xml:space="preserve"> </v>
      </c>
      <c r="V148" s="444" t="str">
        <f t="shared" si="107"/>
        <v xml:space="preserve"> </v>
      </c>
      <c r="W148" s="909" t="str">
        <f t="shared" si="108"/>
        <v xml:space="preserve"> </v>
      </c>
      <c r="X148" s="924" t="str">
        <f t="shared" si="74"/>
        <v xml:space="preserve"> </v>
      </c>
      <c r="Y148" s="444" t="str">
        <f t="shared" si="109"/>
        <v xml:space="preserve"> </v>
      </c>
      <c r="Z148" s="444" t="str">
        <f t="shared" si="110"/>
        <v xml:space="preserve"> </v>
      </c>
      <c r="AA148" s="444" t="str">
        <f t="shared" si="111"/>
        <v xml:space="preserve"> </v>
      </c>
      <c r="AB148" s="912" t="str">
        <f t="shared" si="112"/>
        <v xml:space="preserve"> </v>
      </c>
      <c r="AC148" s="912" t="str">
        <f t="shared" si="78"/>
        <v xml:space="preserve"> </v>
      </c>
      <c r="AD148" s="444" t="str">
        <f t="shared" si="113"/>
        <v xml:space="preserve"> </v>
      </c>
      <c r="AE148" s="444" t="str">
        <f t="shared" si="80"/>
        <v/>
      </c>
      <c r="AF148" s="444" t="str">
        <f t="shared" si="114"/>
        <v xml:space="preserve"> </v>
      </c>
      <c r="AG148" s="119" t="str">
        <f t="shared" si="81"/>
        <v xml:space="preserve"> </v>
      </c>
      <c r="AH148" s="444" t="str">
        <f t="shared" si="115"/>
        <v xml:space="preserve"> </v>
      </c>
      <c r="AI148" s="909" t="str">
        <f t="shared" si="116"/>
        <v xml:space="preserve"> </v>
      </c>
      <c r="AJ148" s="879" t="str">
        <f t="shared" si="119"/>
        <v xml:space="preserve"> </v>
      </c>
      <c r="AK148" s="444" t="str">
        <f t="shared" si="99"/>
        <v xml:space="preserve"> </v>
      </c>
      <c r="AL148" s="444" t="str">
        <f t="shared" si="100"/>
        <v xml:space="preserve"> </v>
      </c>
      <c r="AM148" s="444" t="str">
        <f t="shared" si="101"/>
        <v xml:space="preserve"> </v>
      </c>
      <c r="AN148" s="119" t="str">
        <f t="shared" si="102"/>
        <v xml:space="preserve"> </v>
      </c>
      <c r="AO148" s="444" t="str">
        <f t="shared" si="103"/>
        <v xml:space="preserve"> </v>
      </c>
      <c r="AP148" s="444" t="str">
        <f t="shared" si="104"/>
        <v xml:space="preserve"> </v>
      </c>
      <c r="AQ148" s="123" t="str">
        <f>IF(A148=" "," ",IF('#orgDung'!AF32=0,0,AO148/'#orgDung'!AF32))</f>
        <v xml:space="preserve"> </v>
      </c>
      <c r="AR148" s="47" t="str">
        <f>IF(A148=" "," ",IF('#orgDung'!AF32=0,0,AP148/'#orgDung'!AF32))</f>
        <v xml:space="preserve"> </v>
      </c>
      <c r="AS148" s="890">
        <f>IF(OR(B148=0,B148=""),0,MAX('Flächen u. Kulturen'!W28,AT148/B148))</f>
        <v>0</v>
      </c>
      <c r="AT148" s="875">
        <f t="shared" si="105"/>
        <v>0</v>
      </c>
      <c r="AU148" s="120"/>
    </row>
    <row r="149" spans="1:47" s="875" customFormat="1" x14ac:dyDescent="0.2">
      <c r="A149" s="42" t="str">
        <f>IF('Flächen u. Kulturen'!E29="x",IF(AND('#Kürzungen'!$F$2=2,'#BerechnungDBE'!R24=1,'Flächen u. Kulturen'!D29&lt;&gt;"",'#BerechnungDBE'!AF24=70),'Flächen u. Kulturen'!A29,IF(AND('#BerechnungDBE'!S24=1,'Flächen u. Kulturen'!D29&lt;&gt;"",'#BerechnungDBE'!AF24=70),'Flächen u. Kulturen'!A29," "))," ")</f>
        <v xml:space="preserve"> </v>
      </c>
      <c r="B149" s="505" t="str">
        <f>'Flächen u. Kulturen'!D29</f>
        <v/>
      </c>
      <c r="C149" s="42" t="str">
        <f>IF(A149=" "," ",'#BerechnungDBE'!AK24)</f>
        <v xml:space="preserve"> </v>
      </c>
      <c r="D149" s="42" t="str">
        <f>IF(A149=" "," ",'#BerechnungDBE'!CK24)</f>
        <v xml:space="preserve"> </v>
      </c>
      <c r="E149" s="42" t="str">
        <f t="shared" si="117"/>
        <v xml:space="preserve"> </v>
      </c>
      <c r="F149" s="869"/>
      <c r="G149" s="42" t="str">
        <f>IF(A149=" ","",'#BerechnungDBE'!CK24+'#BerechnungDBE'!CM24)</f>
        <v/>
      </c>
      <c r="H149" s="444" t="str">
        <f t="shared" si="106"/>
        <v/>
      </c>
      <c r="I149" s="444">
        <f>IF(A149=" ",0,'#minDung'!R30)</f>
        <v>0</v>
      </c>
      <c r="J149" s="430" t="str">
        <f t="shared" si="118"/>
        <v xml:space="preserve"> </v>
      </c>
      <c r="K149" s="444">
        <f>IF(A149=" ",0,'Flächen u. Kulturen'!W29)</f>
        <v>0</v>
      </c>
      <c r="L149" s="883" t="str">
        <f t="shared" si="87"/>
        <v/>
      </c>
      <c r="M149" s="444" t="str">
        <f t="shared" si="88"/>
        <v xml:space="preserve"> </v>
      </c>
      <c r="N149" s="444" t="str">
        <f t="shared" si="66"/>
        <v xml:space="preserve"> </v>
      </c>
      <c r="O149" s="911" t="str">
        <f t="shared" si="67"/>
        <v xml:space="preserve"> </v>
      </c>
      <c r="P149" s="912" t="str">
        <f t="shared" si="68"/>
        <v xml:space="preserve"> </v>
      </c>
      <c r="Q149" s="912" t="str">
        <f t="shared" si="69"/>
        <v xml:space="preserve"> </v>
      </c>
      <c r="R149" s="444" t="str">
        <f t="shared" si="89"/>
        <v/>
      </c>
      <c r="S149" s="444" t="str">
        <f t="shared" si="70"/>
        <v/>
      </c>
      <c r="T149" s="444" t="str">
        <f t="shared" si="90"/>
        <v xml:space="preserve"> </v>
      </c>
      <c r="U149" s="119" t="str">
        <f t="shared" si="71"/>
        <v xml:space="preserve"> </v>
      </c>
      <c r="V149" s="444" t="str">
        <f t="shared" si="107"/>
        <v xml:space="preserve"> </v>
      </c>
      <c r="W149" s="909" t="str">
        <f t="shared" si="108"/>
        <v xml:space="preserve"> </v>
      </c>
      <c r="X149" s="924" t="str">
        <f t="shared" si="74"/>
        <v xml:space="preserve"> </v>
      </c>
      <c r="Y149" s="444" t="str">
        <f t="shared" si="109"/>
        <v xml:space="preserve"> </v>
      </c>
      <c r="Z149" s="444" t="str">
        <f t="shared" si="110"/>
        <v xml:space="preserve"> </v>
      </c>
      <c r="AA149" s="444" t="str">
        <f t="shared" si="111"/>
        <v xml:space="preserve"> </v>
      </c>
      <c r="AB149" s="912" t="str">
        <f t="shared" si="112"/>
        <v xml:space="preserve"> </v>
      </c>
      <c r="AC149" s="912" t="str">
        <f t="shared" si="78"/>
        <v xml:space="preserve"> </v>
      </c>
      <c r="AD149" s="444" t="str">
        <f t="shared" si="113"/>
        <v xml:space="preserve"> </v>
      </c>
      <c r="AE149" s="444" t="str">
        <f t="shared" si="80"/>
        <v/>
      </c>
      <c r="AF149" s="444" t="str">
        <f t="shared" si="114"/>
        <v xml:space="preserve"> </v>
      </c>
      <c r="AG149" s="119" t="str">
        <f t="shared" si="81"/>
        <v xml:space="preserve"> </v>
      </c>
      <c r="AH149" s="444" t="str">
        <f t="shared" si="115"/>
        <v xml:space="preserve"> </v>
      </c>
      <c r="AI149" s="909" t="str">
        <f t="shared" si="116"/>
        <v xml:space="preserve"> </v>
      </c>
      <c r="AJ149" s="879" t="str">
        <f t="shared" si="119"/>
        <v xml:space="preserve"> </v>
      </c>
      <c r="AK149" s="444" t="str">
        <f t="shared" si="99"/>
        <v xml:space="preserve"> </v>
      </c>
      <c r="AL149" s="444" t="str">
        <f t="shared" si="100"/>
        <v xml:space="preserve"> </v>
      </c>
      <c r="AM149" s="444" t="str">
        <f t="shared" si="101"/>
        <v xml:space="preserve"> </v>
      </c>
      <c r="AN149" s="119" t="str">
        <f t="shared" si="102"/>
        <v xml:space="preserve"> </v>
      </c>
      <c r="AO149" s="444" t="str">
        <f t="shared" si="103"/>
        <v xml:space="preserve"> </v>
      </c>
      <c r="AP149" s="444" t="str">
        <f t="shared" si="104"/>
        <v xml:space="preserve"> </v>
      </c>
      <c r="AQ149" s="123" t="str">
        <f>IF(A149=" "," ",IF('#orgDung'!AF33=0,0,AO149/'#orgDung'!AF33))</f>
        <v xml:space="preserve"> </v>
      </c>
      <c r="AR149" s="47" t="str">
        <f>IF(A149=" "," ",IF('#orgDung'!AF33=0,0,AP149/'#orgDung'!AF33))</f>
        <v xml:space="preserve"> </v>
      </c>
      <c r="AS149" s="890">
        <f>IF(OR(B149=0,B149=""),0,MAX('Flächen u. Kulturen'!W29,AT149/B149))</f>
        <v>0</v>
      </c>
      <c r="AT149" s="875">
        <f t="shared" si="105"/>
        <v>0</v>
      </c>
      <c r="AU149" s="120"/>
    </row>
    <row r="150" spans="1:47" s="875" customFormat="1" x14ac:dyDescent="0.2">
      <c r="A150" s="42" t="str">
        <f>IF('Flächen u. Kulturen'!E30="x",IF(AND('#Kürzungen'!$F$2=2,'#BerechnungDBE'!R25=1,'Flächen u. Kulturen'!D30&lt;&gt;"",'#BerechnungDBE'!AF25=70),'Flächen u. Kulturen'!A30,IF(AND('#BerechnungDBE'!S25=1,'Flächen u. Kulturen'!D30&lt;&gt;"",'#BerechnungDBE'!AF25=70),'Flächen u. Kulturen'!A30," "))," ")</f>
        <v xml:space="preserve"> </v>
      </c>
      <c r="B150" s="505" t="str">
        <f>'Flächen u. Kulturen'!D30</f>
        <v/>
      </c>
      <c r="C150" s="42" t="str">
        <f>IF(A150=" "," ",'#BerechnungDBE'!AK25)</f>
        <v xml:space="preserve"> </v>
      </c>
      <c r="D150" s="42" t="str">
        <f>IF(A150=" "," ",'#BerechnungDBE'!CK25)</f>
        <v xml:space="preserve"> </v>
      </c>
      <c r="E150" s="42" t="str">
        <f t="shared" si="117"/>
        <v xml:space="preserve"> </v>
      </c>
      <c r="F150" s="869"/>
      <c r="G150" s="42" t="str">
        <f>IF(A150=" ","",'#BerechnungDBE'!CK25+'#BerechnungDBE'!CM25)</f>
        <v/>
      </c>
      <c r="H150" s="444" t="str">
        <f t="shared" si="106"/>
        <v/>
      </c>
      <c r="I150" s="444">
        <f>IF(A150=" ",0,'#minDung'!R31)</f>
        <v>0</v>
      </c>
      <c r="J150" s="430" t="str">
        <f t="shared" si="118"/>
        <v xml:space="preserve"> </v>
      </c>
      <c r="K150" s="444">
        <f>IF(A150=" ",0,'Flächen u. Kulturen'!W30)</f>
        <v>0</v>
      </c>
      <c r="L150" s="883" t="str">
        <f t="shared" si="87"/>
        <v/>
      </c>
      <c r="M150" s="444" t="str">
        <f t="shared" si="88"/>
        <v xml:space="preserve"> </v>
      </c>
      <c r="N150" s="444" t="str">
        <f t="shared" si="66"/>
        <v xml:space="preserve"> </v>
      </c>
      <c r="O150" s="911" t="str">
        <f t="shared" si="67"/>
        <v xml:space="preserve"> </v>
      </c>
      <c r="P150" s="912" t="str">
        <f t="shared" si="68"/>
        <v xml:space="preserve"> </v>
      </c>
      <c r="Q150" s="912" t="str">
        <f t="shared" si="69"/>
        <v xml:space="preserve"> </v>
      </c>
      <c r="R150" s="444" t="str">
        <f t="shared" si="89"/>
        <v/>
      </c>
      <c r="S150" s="444" t="str">
        <f t="shared" si="70"/>
        <v/>
      </c>
      <c r="T150" s="444" t="str">
        <f t="shared" si="90"/>
        <v xml:space="preserve"> </v>
      </c>
      <c r="U150" s="119" t="str">
        <f t="shared" si="71"/>
        <v xml:space="preserve"> </v>
      </c>
      <c r="V150" s="444" t="str">
        <f t="shared" si="107"/>
        <v xml:space="preserve"> </v>
      </c>
      <c r="W150" s="909" t="str">
        <f t="shared" si="108"/>
        <v xml:space="preserve"> </v>
      </c>
      <c r="X150" s="924" t="str">
        <f t="shared" si="74"/>
        <v xml:space="preserve"> </v>
      </c>
      <c r="Y150" s="444" t="str">
        <f t="shared" si="109"/>
        <v xml:space="preserve"> </v>
      </c>
      <c r="Z150" s="444" t="str">
        <f t="shared" si="110"/>
        <v xml:space="preserve"> </v>
      </c>
      <c r="AA150" s="444" t="str">
        <f t="shared" si="111"/>
        <v xml:space="preserve"> </v>
      </c>
      <c r="AB150" s="912" t="str">
        <f t="shared" si="112"/>
        <v xml:space="preserve"> </v>
      </c>
      <c r="AC150" s="912" t="str">
        <f t="shared" si="78"/>
        <v xml:space="preserve"> </v>
      </c>
      <c r="AD150" s="444" t="str">
        <f t="shared" si="113"/>
        <v xml:space="preserve"> </v>
      </c>
      <c r="AE150" s="444" t="str">
        <f t="shared" si="80"/>
        <v/>
      </c>
      <c r="AF150" s="444" t="str">
        <f t="shared" si="114"/>
        <v xml:space="preserve"> </v>
      </c>
      <c r="AG150" s="119" t="str">
        <f t="shared" si="81"/>
        <v xml:space="preserve"> </v>
      </c>
      <c r="AH150" s="444" t="str">
        <f t="shared" si="115"/>
        <v xml:space="preserve"> </v>
      </c>
      <c r="AI150" s="909" t="str">
        <f t="shared" si="116"/>
        <v xml:space="preserve"> </v>
      </c>
      <c r="AJ150" s="879" t="str">
        <f t="shared" si="119"/>
        <v xml:space="preserve"> </v>
      </c>
      <c r="AK150" s="444" t="str">
        <f t="shared" si="99"/>
        <v xml:space="preserve"> </v>
      </c>
      <c r="AL150" s="444" t="str">
        <f t="shared" si="100"/>
        <v xml:space="preserve"> </v>
      </c>
      <c r="AM150" s="444" t="str">
        <f t="shared" si="101"/>
        <v xml:space="preserve"> </v>
      </c>
      <c r="AN150" s="119" t="str">
        <f t="shared" si="102"/>
        <v xml:space="preserve"> </v>
      </c>
      <c r="AO150" s="444" t="str">
        <f t="shared" si="103"/>
        <v xml:space="preserve"> </v>
      </c>
      <c r="AP150" s="444" t="str">
        <f t="shared" si="104"/>
        <v xml:space="preserve"> </v>
      </c>
      <c r="AQ150" s="123" t="str">
        <f>IF(A150=" "," ",IF('#orgDung'!AF34=0,0,AO150/'#orgDung'!AF34))</f>
        <v xml:space="preserve"> </v>
      </c>
      <c r="AR150" s="47" t="str">
        <f>IF(A150=" "," ",IF('#orgDung'!AF34=0,0,AP150/'#orgDung'!AF34))</f>
        <v xml:space="preserve"> </v>
      </c>
      <c r="AS150" s="890">
        <f>IF(OR(B150=0,B150=""),0,MAX('Flächen u. Kulturen'!W30,AT150/B150))</f>
        <v>0</v>
      </c>
      <c r="AT150" s="875">
        <f t="shared" si="105"/>
        <v>0</v>
      </c>
      <c r="AU150" s="120"/>
    </row>
    <row r="151" spans="1:47" s="875" customFormat="1" x14ac:dyDescent="0.2">
      <c r="A151" s="42" t="str">
        <f>IF('Flächen u. Kulturen'!E31="x",IF(AND('#Kürzungen'!$F$2=2,'#BerechnungDBE'!R26=1,'Flächen u. Kulturen'!D31&lt;&gt;"",'#BerechnungDBE'!AF26=70),'Flächen u. Kulturen'!A31,IF(AND('#BerechnungDBE'!S26=1,'Flächen u. Kulturen'!D31&lt;&gt;"",'#BerechnungDBE'!AF26=70),'Flächen u. Kulturen'!A31," "))," ")</f>
        <v xml:space="preserve"> </v>
      </c>
      <c r="B151" s="505" t="str">
        <f>'Flächen u. Kulturen'!D31</f>
        <v/>
      </c>
      <c r="C151" s="42" t="str">
        <f>IF(A151=" "," ",'#BerechnungDBE'!AK26)</f>
        <v xml:space="preserve"> </v>
      </c>
      <c r="D151" s="42" t="str">
        <f>IF(A151=" "," ",'#BerechnungDBE'!CK26)</f>
        <v xml:space="preserve"> </v>
      </c>
      <c r="E151" s="42" t="str">
        <f t="shared" si="117"/>
        <v xml:space="preserve"> </v>
      </c>
      <c r="F151" s="869"/>
      <c r="G151" s="42" t="str">
        <f>IF(A151=" ","",'#BerechnungDBE'!CK26+'#BerechnungDBE'!CM26)</f>
        <v/>
      </c>
      <c r="H151" s="444" t="str">
        <f t="shared" si="106"/>
        <v/>
      </c>
      <c r="I151" s="444">
        <f>IF(A151=" ",0,'#minDung'!R32)</f>
        <v>0</v>
      </c>
      <c r="J151" s="430" t="str">
        <f t="shared" si="118"/>
        <v xml:space="preserve"> </v>
      </c>
      <c r="K151" s="444">
        <f>IF(A151=" ",0,'Flächen u. Kulturen'!W31)</f>
        <v>0</v>
      </c>
      <c r="L151" s="883" t="str">
        <f t="shared" si="87"/>
        <v/>
      </c>
      <c r="M151" s="444" t="str">
        <f t="shared" si="88"/>
        <v xml:space="preserve"> </v>
      </c>
      <c r="N151" s="444" t="str">
        <f t="shared" si="66"/>
        <v xml:space="preserve"> </v>
      </c>
      <c r="O151" s="911" t="str">
        <f t="shared" si="67"/>
        <v xml:space="preserve"> </v>
      </c>
      <c r="P151" s="912" t="str">
        <f t="shared" si="68"/>
        <v xml:space="preserve"> </v>
      </c>
      <c r="Q151" s="912" t="str">
        <f t="shared" si="69"/>
        <v xml:space="preserve"> </v>
      </c>
      <c r="R151" s="444" t="str">
        <f t="shared" si="89"/>
        <v/>
      </c>
      <c r="S151" s="444" t="str">
        <f t="shared" si="70"/>
        <v/>
      </c>
      <c r="T151" s="444" t="str">
        <f t="shared" si="90"/>
        <v xml:space="preserve"> </v>
      </c>
      <c r="U151" s="119" t="str">
        <f t="shared" si="71"/>
        <v xml:space="preserve"> </v>
      </c>
      <c r="V151" s="444" t="str">
        <f t="shared" si="107"/>
        <v xml:space="preserve"> </v>
      </c>
      <c r="W151" s="909" t="str">
        <f t="shared" si="108"/>
        <v xml:space="preserve"> </v>
      </c>
      <c r="X151" s="924" t="str">
        <f t="shared" si="74"/>
        <v xml:space="preserve"> </v>
      </c>
      <c r="Y151" s="444" t="str">
        <f t="shared" si="109"/>
        <v xml:space="preserve"> </v>
      </c>
      <c r="Z151" s="444" t="str">
        <f t="shared" si="110"/>
        <v xml:space="preserve"> </v>
      </c>
      <c r="AA151" s="444" t="str">
        <f t="shared" si="111"/>
        <v xml:space="preserve"> </v>
      </c>
      <c r="AB151" s="912" t="str">
        <f t="shared" si="112"/>
        <v xml:space="preserve"> </v>
      </c>
      <c r="AC151" s="912" t="str">
        <f t="shared" si="78"/>
        <v xml:space="preserve"> </v>
      </c>
      <c r="AD151" s="444" t="str">
        <f t="shared" si="113"/>
        <v xml:space="preserve"> </v>
      </c>
      <c r="AE151" s="444" t="str">
        <f t="shared" si="80"/>
        <v/>
      </c>
      <c r="AF151" s="444" t="str">
        <f t="shared" si="114"/>
        <v xml:space="preserve"> </v>
      </c>
      <c r="AG151" s="119" t="str">
        <f t="shared" si="81"/>
        <v xml:space="preserve"> </v>
      </c>
      <c r="AH151" s="444" t="str">
        <f t="shared" si="115"/>
        <v xml:space="preserve"> </v>
      </c>
      <c r="AI151" s="909" t="str">
        <f t="shared" si="116"/>
        <v xml:space="preserve"> </v>
      </c>
      <c r="AJ151" s="879" t="str">
        <f t="shared" si="119"/>
        <v xml:space="preserve"> </v>
      </c>
      <c r="AK151" s="444" t="str">
        <f t="shared" si="99"/>
        <v xml:space="preserve"> </v>
      </c>
      <c r="AL151" s="444" t="str">
        <f t="shared" si="100"/>
        <v xml:space="preserve"> </v>
      </c>
      <c r="AM151" s="444" t="str">
        <f t="shared" si="101"/>
        <v xml:space="preserve"> </v>
      </c>
      <c r="AN151" s="119" t="str">
        <f t="shared" si="102"/>
        <v xml:space="preserve"> </v>
      </c>
      <c r="AO151" s="444" t="str">
        <f t="shared" si="103"/>
        <v xml:space="preserve"> </v>
      </c>
      <c r="AP151" s="444" t="str">
        <f t="shared" si="104"/>
        <v xml:space="preserve"> </v>
      </c>
      <c r="AQ151" s="123" t="str">
        <f>IF(A151=" "," ",IF('#orgDung'!AF35=0,0,AO151/'#orgDung'!AF35))</f>
        <v xml:space="preserve"> </v>
      </c>
      <c r="AR151" s="47" t="str">
        <f>IF(A151=" "," ",IF('#orgDung'!AF35=0,0,AP151/'#orgDung'!AF35))</f>
        <v xml:space="preserve"> </v>
      </c>
      <c r="AS151" s="890">
        <f>IF(OR(B151=0,B151=""),0,MAX('Flächen u. Kulturen'!W31,AT151/B151))</f>
        <v>0</v>
      </c>
      <c r="AT151" s="875">
        <f t="shared" si="105"/>
        <v>0</v>
      </c>
      <c r="AU151" s="120"/>
    </row>
    <row r="152" spans="1:47" s="875" customFormat="1" x14ac:dyDescent="0.2">
      <c r="A152" s="42" t="str">
        <f>IF('Flächen u. Kulturen'!E32="x",IF(AND('#Kürzungen'!$F$2=2,'#BerechnungDBE'!R27=1,'Flächen u. Kulturen'!D32&lt;&gt;"",'#BerechnungDBE'!AF27=70),'Flächen u. Kulturen'!A32,IF(AND('#BerechnungDBE'!S27=1,'Flächen u. Kulturen'!D32&lt;&gt;"",'#BerechnungDBE'!AF27=70),'Flächen u. Kulturen'!A32," "))," ")</f>
        <v xml:space="preserve"> </v>
      </c>
      <c r="B152" s="505" t="str">
        <f>'Flächen u. Kulturen'!D32</f>
        <v/>
      </c>
      <c r="C152" s="42" t="str">
        <f>IF(A152=" "," ",'#BerechnungDBE'!AK27)</f>
        <v xml:space="preserve"> </v>
      </c>
      <c r="D152" s="42" t="str">
        <f>IF(A152=" "," ",'#BerechnungDBE'!CK27)</f>
        <v xml:space="preserve"> </v>
      </c>
      <c r="E152" s="42" t="str">
        <f t="shared" si="117"/>
        <v xml:space="preserve"> </v>
      </c>
      <c r="F152" s="869"/>
      <c r="G152" s="42" t="str">
        <f>IF(A152=" ","",'#BerechnungDBE'!CK27+'#BerechnungDBE'!CM27)</f>
        <v/>
      </c>
      <c r="H152" s="444" t="str">
        <f t="shared" si="106"/>
        <v/>
      </c>
      <c r="I152" s="444">
        <f>IF(A152=" ",0,'#minDung'!R33)</f>
        <v>0</v>
      </c>
      <c r="J152" s="430" t="str">
        <f t="shared" si="118"/>
        <v xml:space="preserve"> </v>
      </c>
      <c r="K152" s="444">
        <f>IF(A152=" ",0,'Flächen u. Kulturen'!W32)</f>
        <v>0</v>
      </c>
      <c r="L152" s="883" t="str">
        <f t="shared" si="87"/>
        <v/>
      </c>
      <c r="M152" s="444" t="str">
        <f t="shared" si="88"/>
        <v xml:space="preserve"> </v>
      </c>
      <c r="N152" s="444" t="str">
        <f t="shared" si="66"/>
        <v xml:space="preserve"> </v>
      </c>
      <c r="O152" s="911" t="str">
        <f t="shared" si="67"/>
        <v xml:space="preserve"> </v>
      </c>
      <c r="P152" s="912" t="str">
        <f t="shared" si="68"/>
        <v xml:space="preserve"> </v>
      </c>
      <c r="Q152" s="912" t="str">
        <f t="shared" si="69"/>
        <v xml:space="preserve"> </v>
      </c>
      <c r="R152" s="444" t="str">
        <f t="shared" si="89"/>
        <v/>
      </c>
      <c r="S152" s="444" t="str">
        <f t="shared" si="70"/>
        <v/>
      </c>
      <c r="T152" s="444" t="str">
        <f t="shared" si="90"/>
        <v xml:space="preserve"> </v>
      </c>
      <c r="U152" s="119" t="str">
        <f t="shared" si="71"/>
        <v xml:space="preserve"> </v>
      </c>
      <c r="V152" s="444" t="str">
        <f t="shared" si="107"/>
        <v xml:space="preserve"> </v>
      </c>
      <c r="W152" s="909" t="str">
        <f t="shared" si="108"/>
        <v xml:space="preserve"> </v>
      </c>
      <c r="X152" s="924" t="str">
        <f t="shared" si="74"/>
        <v xml:space="preserve"> </v>
      </c>
      <c r="Y152" s="444" t="str">
        <f t="shared" si="109"/>
        <v xml:space="preserve"> </v>
      </c>
      <c r="Z152" s="444" t="str">
        <f t="shared" si="110"/>
        <v xml:space="preserve"> </v>
      </c>
      <c r="AA152" s="444" t="str">
        <f t="shared" si="111"/>
        <v xml:space="preserve"> </v>
      </c>
      <c r="AB152" s="912" t="str">
        <f t="shared" si="112"/>
        <v xml:space="preserve"> </v>
      </c>
      <c r="AC152" s="912" t="str">
        <f t="shared" si="78"/>
        <v xml:space="preserve"> </v>
      </c>
      <c r="AD152" s="444" t="str">
        <f t="shared" si="113"/>
        <v xml:space="preserve"> </v>
      </c>
      <c r="AE152" s="444" t="str">
        <f t="shared" si="80"/>
        <v/>
      </c>
      <c r="AF152" s="444" t="str">
        <f t="shared" si="114"/>
        <v xml:space="preserve"> </v>
      </c>
      <c r="AG152" s="119" t="str">
        <f t="shared" si="81"/>
        <v xml:space="preserve"> </v>
      </c>
      <c r="AH152" s="444" t="str">
        <f t="shared" si="115"/>
        <v xml:space="preserve"> </v>
      </c>
      <c r="AI152" s="909" t="str">
        <f t="shared" si="116"/>
        <v xml:space="preserve"> </v>
      </c>
      <c r="AJ152" s="879" t="str">
        <f t="shared" si="119"/>
        <v xml:space="preserve"> </v>
      </c>
      <c r="AK152" s="444" t="str">
        <f t="shared" si="99"/>
        <v xml:space="preserve"> </v>
      </c>
      <c r="AL152" s="444" t="str">
        <f t="shared" si="100"/>
        <v xml:space="preserve"> </v>
      </c>
      <c r="AM152" s="444" t="str">
        <f t="shared" si="101"/>
        <v xml:space="preserve"> </v>
      </c>
      <c r="AN152" s="119" t="str">
        <f t="shared" si="102"/>
        <v xml:space="preserve"> </v>
      </c>
      <c r="AO152" s="444" t="str">
        <f t="shared" si="103"/>
        <v xml:space="preserve"> </v>
      </c>
      <c r="AP152" s="444" t="str">
        <f t="shared" si="104"/>
        <v xml:space="preserve"> </v>
      </c>
      <c r="AQ152" s="123" t="str">
        <f>IF(A152=" "," ",IF('#orgDung'!AF36=0,0,AO152/'#orgDung'!AF36))</f>
        <v xml:space="preserve"> </v>
      </c>
      <c r="AR152" s="47" t="str">
        <f>IF(A152=" "," ",IF('#orgDung'!AF36=0,0,AP152/'#orgDung'!AF36))</f>
        <v xml:space="preserve"> </v>
      </c>
      <c r="AS152" s="890">
        <f>IF(OR(B152=0,B152=""),0,MAX('Flächen u. Kulturen'!W32,AT152/B152))</f>
        <v>0</v>
      </c>
      <c r="AT152" s="875">
        <f t="shared" si="105"/>
        <v>0</v>
      </c>
      <c r="AU152" s="120"/>
    </row>
    <row r="153" spans="1:47" s="875" customFormat="1" x14ac:dyDescent="0.2">
      <c r="A153" s="42" t="str">
        <f>IF('Flächen u. Kulturen'!E33="x",IF(AND('#Kürzungen'!$F$2=2,'#BerechnungDBE'!R28=1,'Flächen u. Kulturen'!D33&lt;&gt;"",'#BerechnungDBE'!AF28=70),'Flächen u. Kulturen'!A33,IF(AND('#BerechnungDBE'!S28=1,'Flächen u. Kulturen'!D33&lt;&gt;"",'#BerechnungDBE'!AF28=70),'Flächen u. Kulturen'!A33," "))," ")</f>
        <v xml:space="preserve"> </v>
      </c>
      <c r="B153" s="505" t="str">
        <f>'Flächen u. Kulturen'!D33</f>
        <v/>
      </c>
      <c r="C153" s="42" t="str">
        <f>IF(A153=" "," ",'#BerechnungDBE'!AK28)</f>
        <v xml:space="preserve"> </v>
      </c>
      <c r="D153" s="42" t="str">
        <f>IF(A153=" "," ",'#BerechnungDBE'!CK28)</f>
        <v xml:space="preserve"> </v>
      </c>
      <c r="E153" s="42" t="str">
        <f t="shared" si="117"/>
        <v xml:space="preserve"> </v>
      </c>
      <c r="F153" s="869"/>
      <c r="G153" s="42" t="str">
        <f>IF(A153=" ","",'#BerechnungDBE'!CK28+'#BerechnungDBE'!CM28)</f>
        <v/>
      </c>
      <c r="H153" s="444" t="str">
        <f t="shared" si="106"/>
        <v/>
      </c>
      <c r="I153" s="444">
        <f>IF(A153=" ",0,'#minDung'!R34)</f>
        <v>0</v>
      </c>
      <c r="J153" s="430" t="str">
        <f t="shared" si="118"/>
        <v xml:space="preserve"> </v>
      </c>
      <c r="K153" s="444">
        <f>IF(A153=" ",0,'Flächen u. Kulturen'!W33)</f>
        <v>0</v>
      </c>
      <c r="L153" s="883" t="str">
        <f t="shared" si="87"/>
        <v/>
      </c>
      <c r="M153" s="444" t="str">
        <f t="shared" si="88"/>
        <v xml:space="preserve"> </v>
      </c>
      <c r="N153" s="444" t="str">
        <f t="shared" si="66"/>
        <v xml:space="preserve"> </v>
      </c>
      <c r="O153" s="911" t="str">
        <f t="shared" si="67"/>
        <v xml:space="preserve"> </v>
      </c>
      <c r="P153" s="912" t="str">
        <f t="shared" si="68"/>
        <v xml:space="preserve"> </v>
      </c>
      <c r="Q153" s="912" t="str">
        <f t="shared" si="69"/>
        <v xml:space="preserve"> </v>
      </c>
      <c r="R153" s="444" t="str">
        <f t="shared" si="89"/>
        <v/>
      </c>
      <c r="S153" s="444" t="str">
        <f t="shared" si="70"/>
        <v/>
      </c>
      <c r="T153" s="444" t="str">
        <f t="shared" si="90"/>
        <v xml:space="preserve"> </v>
      </c>
      <c r="U153" s="119" t="str">
        <f t="shared" si="71"/>
        <v xml:space="preserve"> </v>
      </c>
      <c r="V153" s="444" t="str">
        <f t="shared" si="107"/>
        <v xml:space="preserve"> </v>
      </c>
      <c r="W153" s="909" t="str">
        <f t="shared" si="108"/>
        <v xml:space="preserve"> </v>
      </c>
      <c r="X153" s="924" t="str">
        <f t="shared" si="74"/>
        <v xml:space="preserve"> </v>
      </c>
      <c r="Y153" s="444" t="str">
        <f t="shared" si="109"/>
        <v xml:space="preserve"> </v>
      </c>
      <c r="Z153" s="444" t="str">
        <f t="shared" si="110"/>
        <v xml:space="preserve"> </v>
      </c>
      <c r="AA153" s="444" t="str">
        <f t="shared" si="111"/>
        <v xml:space="preserve"> </v>
      </c>
      <c r="AB153" s="912" t="str">
        <f t="shared" si="112"/>
        <v xml:space="preserve"> </v>
      </c>
      <c r="AC153" s="912" t="str">
        <f t="shared" si="78"/>
        <v xml:space="preserve"> </v>
      </c>
      <c r="AD153" s="444" t="str">
        <f t="shared" si="113"/>
        <v xml:space="preserve"> </v>
      </c>
      <c r="AE153" s="444" t="str">
        <f t="shared" si="80"/>
        <v/>
      </c>
      <c r="AF153" s="444" t="str">
        <f t="shared" si="114"/>
        <v xml:space="preserve"> </v>
      </c>
      <c r="AG153" s="119" t="str">
        <f t="shared" si="81"/>
        <v xml:space="preserve"> </v>
      </c>
      <c r="AH153" s="444" t="str">
        <f t="shared" si="115"/>
        <v xml:space="preserve"> </v>
      </c>
      <c r="AI153" s="909" t="str">
        <f t="shared" si="116"/>
        <v xml:space="preserve"> </v>
      </c>
      <c r="AJ153" s="879" t="str">
        <f t="shared" si="119"/>
        <v xml:space="preserve"> </v>
      </c>
      <c r="AK153" s="444" t="str">
        <f t="shared" si="99"/>
        <v xml:space="preserve"> </v>
      </c>
      <c r="AL153" s="444" t="str">
        <f t="shared" si="100"/>
        <v xml:space="preserve"> </v>
      </c>
      <c r="AM153" s="444" t="str">
        <f t="shared" si="101"/>
        <v xml:space="preserve"> </v>
      </c>
      <c r="AN153" s="119" t="str">
        <f t="shared" si="102"/>
        <v xml:space="preserve"> </v>
      </c>
      <c r="AO153" s="444" t="str">
        <f t="shared" si="103"/>
        <v xml:space="preserve"> </v>
      </c>
      <c r="AP153" s="444" t="str">
        <f t="shared" si="104"/>
        <v xml:space="preserve"> </v>
      </c>
      <c r="AQ153" s="123" t="str">
        <f>IF(A153=" "," ",IF('#orgDung'!AF37=0,0,AO153/'#orgDung'!AF37))</f>
        <v xml:space="preserve"> </v>
      </c>
      <c r="AR153" s="47" t="str">
        <f>IF(A153=" "," ",IF('#orgDung'!AF37=0,0,AP153/'#orgDung'!AF37))</f>
        <v xml:space="preserve"> </v>
      </c>
      <c r="AS153" s="890">
        <f>IF(OR(B153=0,B153=""),0,MAX('Flächen u. Kulturen'!W33,AT153/B153))</f>
        <v>0</v>
      </c>
      <c r="AT153" s="875">
        <f t="shared" si="105"/>
        <v>0</v>
      </c>
      <c r="AU153" s="120"/>
    </row>
    <row r="154" spans="1:47" s="875" customFormat="1" x14ac:dyDescent="0.2">
      <c r="A154" s="42" t="str">
        <f>IF('Flächen u. Kulturen'!E34="x",IF(AND('#Kürzungen'!$F$2=2,'#BerechnungDBE'!R29=1,'Flächen u. Kulturen'!D34&lt;&gt;"",'#BerechnungDBE'!AF29=70),'Flächen u. Kulturen'!A34,IF(AND('#BerechnungDBE'!S29=1,'Flächen u. Kulturen'!D34&lt;&gt;"",'#BerechnungDBE'!AF29=70),'Flächen u. Kulturen'!A34," "))," ")</f>
        <v xml:space="preserve"> </v>
      </c>
      <c r="B154" s="505" t="str">
        <f>'Flächen u. Kulturen'!D34</f>
        <v/>
      </c>
      <c r="C154" s="42" t="str">
        <f>IF(A154=" "," ",'#BerechnungDBE'!AK29)</f>
        <v xml:space="preserve"> </v>
      </c>
      <c r="D154" s="42" t="str">
        <f>IF(A154=" "," ",'#BerechnungDBE'!CK29)</f>
        <v xml:space="preserve"> </v>
      </c>
      <c r="E154" s="42" t="str">
        <f t="shared" si="117"/>
        <v xml:space="preserve"> </v>
      </c>
      <c r="F154" s="869"/>
      <c r="G154" s="42" t="str">
        <f>IF(A154=" ","",'#BerechnungDBE'!CK29+'#BerechnungDBE'!CM29)</f>
        <v/>
      </c>
      <c r="H154" s="444" t="str">
        <f t="shared" si="106"/>
        <v/>
      </c>
      <c r="I154" s="444">
        <f>IF(A154=" ",0,'#minDung'!R35)</f>
        <v>0</v>
      </c>
      <c r="J154" s="430" t="str">
        <f t="shared" si="118"/>
        <v xml:space="preserve"> </v>
      </c>
      <c r="K154" s="444">
        <f>IF(A154=" ",0,'Flächen u. Kulturen'!W34)</f>
        <v>0</v>
      </c>
      <c r="L154" s="883" t="str">
        <f t="shared" si="87"/>
        <v/>
      </c>
      <c r="M154" s="444" t="str">
        <f t="shared" si="88"/>
        <v xml:space="preserve"> </v>
      </c>
      <c r="N154" s="444" t="str">
        <f t="shared" si="66"/>
        <v xml:space="preserve"> </v>
      </c>
      <c r="O154" s="911" t="str">
        <f t="shared" si="67"/>
        <v xml:space="preserve"> </v>
      </c>
      <c r="P154" s="912" t="str">
        <f t="shared" si="68"/>
        <v xml:space="preserve"> </v>
      </c>
      <c r="Q154" s="912" t="str">
        <f t="shared" si="69"/>
        <v xml:space="preserve"> </v>
      </c>
      <c r="R154" s="444" t="str">
        <f t="shared" si="89"/>
        <v/>
      </c>
      <c r="S154" s="444" t="str">
        <f t="shared" si="70"/>
        <v/>
      </c>
      <c r="T154" s="444" t="str">
        <f t="shared" si="90"/>
        <v xml:space="preserve"> </v>
      </c>
      <c r="U154" s="119" t="str">
        <f t="shared" si="71"/>
        <v xml:space="preserve"> </v>
      </c>
      <c r="V154" s="444" t="str">
        <f t="shared" si="107"/>
        <v xml:space="preserve"> </v>
      </c>
      <c r="W154" s="909" t="str">
        <f t="shared" si="108"/>
        <v xml:space="preserve"> </v>
      </c>
      <c r="X154" s="924" t="str">
        <f t="shared" si="74"/>
        <v xml:space="preserve"> </v>
      </c>
      <c r="Y154" s="444" t="str">
        <f t="shared" si="109"/>
        <v xml:space="preserve"> </v>
      </c>
      <c r="Z154" s="444" t="str">
        <f t="shared" si="110"/>
        <v xml:space="preserve"> </v>
      </c>
      <c r="AA154" s="444" t="str">
        <f t="shared" si="111"/>
        <v xml:space="preserve"> </v>
      </c>
      <c r="AB154" s="912" t="str">
        <f t="shared" si="112"/>
        <v xml:space="preserve"> </v>
      </c>
      <c r="AC154" s="912" t="str">
        <f t="shared" si="78"/>
        <v xml:space="preserve"> </v>
      </c>
      <c r="AD154" s="444" t="str">
        <f t="shared" si="113"/>
        <v xml:space="preserve"> </v>
      </c>
      <c r="AE154" s="444" t="str">
        <f t="shared" si="80"/>
        <v/>
      </c>
      <c r="AF154" s="444" t="str">
        <f t="shared" si="114"/>
        <v xml:space="preserve"> </v>
      </c>
      <c r="AG154" s="119" t="str">
        <f t="shared" si="81"/>
        <v xml:space="preserve"> </v>
      </c>
      <c r="AH154" s="444" t="str">
        <f t="shared" si="115"/>
        <v xml:space="preserve"> </v>
      </c>
      <c r="AI154" s="909" t="str">
        <f t="shared" si="116"/>
        <v xml:space="preserve"> </v>
      </c>
      <c r="AJ154" s="879" t="str">
        <f t="shared" si="119"/>
        <v xml:space="preserve"> </v>
      </c>
      <c r="AK154" s="444" t="str">
        <f t="shared" si="99"/>
        <v xml:space="preserve"> </v>
      </c>
      <c r="AL154" s="444" t="str">
        <f t="shared" si="100"/>
        <v xml:space="preserve"> </v>
      </c>
      <c r="AM154" s="444" t="str">
        <f t="shared" si="101"/>
        <v xml:space="preserve"> </v>
      </c>
      <c r="AN154" s="119" t="str">
        <f t="shared" si="102"/>
        <v xml:space="preserve"> </v>
      </c>
      <c r="AO154" s="444" t="str">
        <f t="shared" si="103"/>
        <v xml:space="preserve"> </v>
      </c>
      <c r="AP154" s="444" t="str">
        <f t="shared" si="104"/>
        <v xml:space="preserve"> </v>
      </c>
      <c r="AQ154" s="123" t="str">
        <f>IF(A154=" "," ",IF('#orgDung'!AF38=0,0,AO154/'#orgDung'!AF38))</f>
        <v xml:space="preserve"> </v>
      </c>
      <c r="AR154" s="47" t="str">
        <f>IF(A154=" "," ",IF('#orgDung'!AF38=0,0,AP154/'#orgDung'!AF38))</f>
        <v xml:space="preserve"> </v>
      </c>
      <c r="AS154" s="890">
        <f>IF(OR(B154=0,B154=""),0,MAX('Flächen u. Kulturen'!W34,AT154/B154))</f>
        <v>0</v>
      </c>
      <c r="AT154" s="875">
        <f t="shared" si="105"/>
        <v>0</v>
      </c>
      <c r="AU154" s="120"/>
    </row>
    <row r="155" spans="1:47" s="875" customFormat="1" x14ac:dyDescent="0.2">
      <c r="A155" s="42" t="str">
        <f>IF('Flächen u. Kulturen'!E35="x",IF(AND('#Kürzungen'!$F$2=2,'#BerechnungDBE'!R30=1,'Flächen u. Kulturen'!D35&lt;&gt;"",'#BerechnungDBE'!AF30=70),'Flächen u. Kulturen'!A35,IF(AND('#BerechnungDBE'!S30=1,'Flächen u. Kulturen'!D35&lt;&gt;"",'#BerechnungDBE'!AF30=70),'Flächen u. Kulturen'!A35," "))," ")</f>
        <v xml:space="preserve"> </v>
      </c>
      <c r="B155" s="505" t="str">
        <f>'Flächen u. Kulturen'!D35</f>
        <v/>
      </c>
      <c r="C155" s="42" t="str">
        <f>IF(A155=" "," ",'#BerechnungDBE'!AK30)</f>
        <v xml:space="preserve"> </v>
      </c>
      <c r="D155" s="42" t="str">
        <f>IF(A155=" "," ",'#BerechnungDBE'!CK30)</f>
        <v xml:space="preserve"> </v>
      </c>
      <c r="E155" s="42" t="str">
        <f t="shared" si="117"/>
        <v xml:space="preserve"> </v>
      </c>
      <c r="F155" s="869"/>
      <c r="G155" s="42" t="str">
        <f>IF(A155=" ","",'#BerechnungDBE'!CK30+'#BerechnungDBE'!CM30)</f>
        <v/>
      </c>
      <c r="H155" s="444" t="str">
        <f t="shared" si="106"/>
        <v/>
      </c>
      <c r="I155" s="444">
        <f>IF(A155=" ",0,'#minDung'!R36)</f>
        <v>0</v>
      </c>
      <c r="J155" s="430" t="str">
        <f t="shared" si="118"/>
        <v xml:space="preserve"> </v>
      </c>
      <c r="K155" s="444">
        <f>IF(A155=" ",0,'Flächen u. Kulturen'!W35)</f>
        <v>0</v>
      </c>
      <c r="L155" s="883" t="str">
        <f t="shared" si="87"/>
        <v/>
      </c>
      <c r="M155" s="444" t="str">
        <f t="shared" si="88"/>
        <v xml:space="preserve"> </v>
      </c>
      <c r="N155" s="444" t="str">
        <f t="shared" si="66"/>
        <v xml:space="preserve"> </v>
      </c>
      <c r="O155" s="911" t="str">
        <f t="shared" si="67"/>
        <v xml:space="preserve"> </v>
      </c>
      <c r="P155" s="912" t="str">
        <f t="shared" si="68"/>
        <v xml:space="preserve"> </v>
      </c>
      <c r="Q155" s="912" t="str">
        <f t="shared" si="69"/>
        <v xml:space="preserve"> </v>
      </c>
      <c r="R155" s="444" t="str">
        <f t="shared" si="89"/>
        <v/>
      </c>
      <c r="S155" s="444" t="str">
        <f t="shared" si="70"/>
        <v/>
      </c>
      <c r="T155" s="444" t="str">
        <f t="shared" si="90"/>
        <v xml:space="preserve"> </v>
      </c>
      <c r="U155" s="119" t="str">
        <f t="shared" si="71"/>
        <v xml:space="preserve"> </v>
      </c>
      <c r="V155" s="444" t="str">
        <f t="shared" si="107"/>
        <v xml:space="preserve"> </v>
      </c>
      <c r="W155" s="909" t="str">
        <f t="shared" si="108"/>
        <v xml:space="preserve"> </v>
      </c>
      <c r="X155" s="924" t="str">
        <f t="shared" si="74"/>
        <v xml:space="preserve"> </v>
      </c>
      <c r="Y155" s="444" t="str">
        <f t="shared" si="109"/>
        <v xml:space="preserve"> </v>
      </c>
      <c r="Z155" s="444" t="str">
        <f t="shared" si="110"/>
        <v xml:space="preserve"> </v>
      </c>
      <c r="AA155" s="444" t="str">
        <f t="shared" si="111"/>
        <v xml:space="preserve"> </v>
      </c>
      <c r="AB155" s="912" t="str">
        <f t="shared" si="112"/>
        <v xml:space="preserve"> </v>
      </c>
      <c r="AC155" s="912" t="str">
        <f t="shared" si="78"/>
        <v xml:space="preserve"> </v>
      </c>
      <c r="AD155" s="444" t="str">
        <f t="shared" si="113"/>
        <v xml:space="preserve"> </v>
      </c>
      <c r="AE155" s="444" t="str">
        <f t="shared" si="80"/>
        <v/>
      </c>
      <c r="AF155" s="444" t="str">
        <f t="shared" si="114"/>
        <v xml:space="preserve"> </v>
      </c>
      <c r="AG155" s="119" t="str">
        <f t="shared" si="81"/>
        <v xml:space="preserve"> </v>
      </c>
      <c r="AH155" s="444" t="str">
        <f t="shared" si="115"/>
        <v xml:space="preserve"> </v>
      </c>
      <c r="AI155" s="909" t="str">
        <f t="shared" si="116"/>
        <v xml:space="preserve"> </v>
      </c>
      <c r="AJ155" s="879" t="str">
        <f t="shared" si="119"/>
        <v xml:space="preserve"> </v>
      </c>
      <c r="AK155" s="444" t="str">
        <f t="shared" si="99"/>
        <v xml:space="preserve"> </v>
      </c>
      <c r="AL155" s="444" t="str">
        <f t="shared" si="100"/>
        <v xml:space="preserve"> </v>
      </c>
      <c r="AM155" s="444" t="str">
        <f t="shared" si="101"/>
        <v xml:space="preserve"> </v>
      </c>
      <c r="AN155" s="119" t="str">
        <f t="shared" si="102"/>
        <v xml:space="preserve"> </v>
      </c>
      <c r="AO155" s="444" t="str">
        <f t="shared" si="103"/>
        <v xml:space="preserve"> </v>
      </c>
      <c r="AP155" s="444" t="str">
        <f t="shared" si="104"/>
        <v xml:space="preserve"> </v>
      </c>
      <c r="AQ155" s="123" t="str">
        <f>IF(A155=" "," ",IF('#orgDung'!AF39=0,0,AO155/'#orgDung'!AF39))</f>
        <v xml:space="preserve"> </v>
      </c>
      <c r="AR155" s="47" t="str">
        <f>IF(A155=" "," ",IF('#orgDung'!AF39=0,0,AP155/'#orgDung'!AF39))</f>
        <v xml:space="preserve"> </v>
      </c>
      <c r="AS155" s="890">
        <f>IF(OR(B155=0,B155=""),0,MAX('Flächen u. Kulturen'!W35,AT155/B155))</f>
        <v>0</v>
      </c>
      <c r="AT155" s="875">
        <f t="shared" si="105"/>
        <v>0</v>
      </c>
      <c r="AU155" s="120"/>
    </row>
    <row r="156" spans="1:47" s="875" customFormat="1" x14ac:dyDescent="0.2">
      <c r="A156" s="42" t="str">
        <f>IF('Flächen u. Kulturen'!E36="x",IF(AND('#Kürzungen'!$F$2=2,'#BerechnungDBE'!R31=1,'Flächen u. Kulturen'!D36&lt;&gt;"",'#BerechnungDBE'!AF31=70),'Flächen u. Kulturen'!A36,IF(AND('#BerechnungDBE'!S31=1,'Flächen u. Kulturen'!D36&lt;&gt;"",'#BerechnungDBE'!AF31=70),'Flächen u. Kulturen'!A36," "))," ")</f>
        <v xml:space="preserve"> </v>
      </c>
      <c r="B156" s="505" t="str">
        <f>'Flächen u. Kulturen'!D36</f>
        <v/>
      </c>
      <c r="C156" s="42" t="str">
        <f>IF(A156=" "," ",'#BerechnungDBE'!AK31)</f>
        <v xml:space="preserve"> </v>
      </c>
      <c r="D156" s="42" t="str">
        <f>IF(A156=" "," ",'#BerechnungDBE'!CK31)</f>
        <v xml:space="preserve"> </v>
      </c>
      <c r="E156" s="42" t="str">
        <f t="shared" si="117"/>
        <v xml:space="preserve"> </v>
      </c>
      <c r="F156" s="869"/>
      <c r="G156" s="42" t="str">
        <f>IF(A156=" ","",'#BerechnungDBE'!CK31+'#BerechnungDBE'!CM31)</f>
        <v/>
      </c>
      <c r="H156" s="444" t="str">
        <f t="shared" si="106"/>
        <v/>
      </c>
      <c r="I156" s="444">
        <f>IF(A156=" ",0,'#minDung'!R37)</f>
        <v>0</v>
      </c>
      <c r="J156" s="430" t="str">
        <f t="shared" si="118"/>
        <v xml:space="preserve"> </v>
      </c>
      <c r="K156" s="444">
        <f>IF(A156=" ",0,'Flächen u. Kulturen'!W36)</f>
        <v>0</v>
      </c>
      <c r="L156" s="883" t="str">
        <f t="shared" si="87"/>
        <v/>
      </c>
      <c r="M156" s="444" t="str">
        <f t="shared" si="88"/>
        <v xml:space="preserve"> </v>
      </c>
      <c r="N156" s="444" t="str">
        <f t="shared" si="66"/>
        <v xml:space="preserve"> </v>
      </c>
      <c r="O156" s="911" t="str">
        <f t="shared" si="67"/>
        <v xml:space="preserve"> </v>
      </c>
      <c r="P156" s="912" t="str">
        <f t="shared" si="68"/>
        <v xml:space="preserve"> </v>
      </c>
      <c r="Q156" s="912" t="str">
        <f t="shared" si="69"/>
        <v xml:space="preserve"> </v>
      </c>
      <c r="R156" s="444" t="str">
        <f t="shared" si="89"/>
        <v/>
      </c>
      <c r="S156" s="444" t="str">
        <f t="shared" si="70"/>
        <v/>
      </c>
      <c r="T156" s="444" t="str">
        <f t="shared" si="90"/>
        <v xml:space="preserve"> </v>
      </c>
      <c r="U156" s="119" t="str">
        <f t="shared" si="71"/>
        <v xml:space="preserve"> </v>
      </c>
      <c r="V156" s="444" t="str">
        <f t="shared" si="107"/>
        <v xml:space="preserve"> </v>
      </c>
      <c r="W156" s="909" t="str">
        <f t="shared" si="108"/>
        <v xml:space="preserve"> </v>
      </c>
      <c r="X156" s="924" t="str">
        <f t="shared" si="74"/>
        <v xml:space="preserve"> </v>
      </c>
      <c r="Y156" s="444" t="str">
        <f t="shared" si="109"/>
        <v xml:space="preserve"> </v>
      </c>
      <c r="Z156" s="444" t="str">
        <f t="shared" si="110"/>
        <v xml:space="preserve"> </v>
      </c>
      <c r="AA156" s="444" t="str">
        <f t="shared" si="111"/>
        <v xml:space="preserve"> </v>
      </c>
      <c r="AB156" s="912" t="str">
        <f t="shared" si="112"/>
        <v xml:space="preserve"> </v>
      </c>
      <c r="AC156" s="912" t="str">
        <f t="shared" si="78"/>
        <v xml:space="preserve"> </v>
      </c>
      <c r="AD156" s="444" t="str">
        <f t="shared" si="113"/>
        <v xml:space="preserve"> </v>
      </c>
      <c r="AE156" s="444" t="str">
        <f t="shared" si="80"/>
        <v/>
      </c>
      <c r="AF156" s="444" t="str">
        <f t="shared" si="114"/>
        <v xml:space="preserve"> </v>
      </c>
      <c r="AG156" s="119" t="str">
        <f t="shared" si="81"/>
        <v xml:space="preserve"> </v>
      </c>
      <c r="AH156" s="444" t="str">
        <f t="shared" si="115"/>
        <v xml:space="preserve"> </v>
      </c>
      <c r="AI156" s="909" t="str">
        <f t="shared" si="116"/>
        <v xml:space="preserve"> </v>
      </c>
      <c r="AJ156" s="879" t="str">
        <f t="shared" si="119"/>
        <v xml:space="preserve"> </v>
      </c>
      <c r="AK156" s="444" t="str">
        <f t="shared" si="99"/>
        <v xml:space="preserve"> </v>
      </c>
      <c r="AL156" s="444" t="str">
        <f t="shared" si="100"/>
        <v xml:space="preserve"> </v>
      </c>
      <c r="AM156" s="444" t="str">
        <f t="shared" si="101"/>
        <v xml:space="preserve"> </v>
      </c>
      <c r="AN156" s="119" t="str">
        <f t="shared" si="102"/>
        <v xml:space="preserve"> </v>
      </c>
      <c r="AO156" s="444" t="str">
        <f t="shared" si="103"/>
        <v xml:space="preserve"> </v>
      </c>
      <c r="AP156" s="444" t="str">
        <f t="shared" si="104"/>
        <v xml:space="preserve"> </v>
      </c>
      <c r="AQ156" s="123" t="str">
        <f>IF(A156=" "," ",IF('#orgDung'!AF40=0,0,AO156/'#orgDung'!AF40))</f>
        <v xml:space="preserve"> </v>
      </c>
      <c r="AR156" s="47" t="str">
        <f>IF(A156=" "," ",IF('#orgDung'!AF40=0,0,AP156/'#orgDung'!AF40))</f>
        <v xml:space="preserve"> </v>
      </c>
      <c r="AS156" s="890">
        <f>IF(OR(B156=0,B156=""),0,MAX('Flächen u. Kulturen'!W36,AT156/B156))</f>
        <v>0</v>
      </c>
      <c r="AT156" s="875">
        <f t="shared" si="105"/>
        <v>0</v>
      </c>
      <c r="AU156" s="120"/>
    </row>
    <row r="157" spans="1:47" s="875" customFormat="1" x14ac:dyDescent="0.2">
      <c r="A157" s="42" t="str">
        <f>IF('Flächen u. Kulturen'!E37="x",IF(AND('#Kürzungen'!$F$2=2,'#BerechnungDBE'!R32=1,'Flächen u. Kulturen'!D37&lt;&gt;"",'#BerechnungDBE'!AF32=70),'Flächen u. Kulturen'!A37,IF(AND('#BerechnungDBE'!S32=1,'Flächen u. Kulturen'!D37&lt;&gt;"",'#BerechnungDBE'!AF32=70),'Flächen u. Kulturen'!A37," "))," ")</f>
        <v xml:space="preserve"> </v>
      </c>
      <c r="B157" s="505" t="str">
        <f>'Flächen u. Kulturen'!D37</f>
        <v/>
      </c>
      <c r="C157" s="42" t="str">
        <f>IF(A157=" "," ",'#BerechnungDBE'!AK32)</f>
        <v xml:space="preserve"> </v>
      </c>
      <c r="D157" s="42" t="str">
        <f>IF(A157=" "," ",'#BerechnungDBE'!CK32)</f>
        <v xml:space="preserve"> </v>
      </c>
      <c r="E157" s="42" t="str">
        <f t="shared" si="117"/>
        <v xml:space="preserve"> </v>
      </c>
      <c r="F157" s="869"/>
      <c r="G157" s="42" t="str">
        <f>IF(A157=" ","",'#BerechnungDBE'!CK32+'#BerechnungDBE'!CM32)</f>
        <v/>
      </c>
      <c r="H157" s="444" t="str">
        <f t="shared" si="106"/>
        <v/>
      </c>
      <c r="I157" s="444">
        <f>IF(A157=" ",0,'#minDung'!R38)</f>
        <v>0</v>
      </c>
      <c r="J157" s="430" t="str">
        <f t="shared" si="118"/>
        <v xml:space="preserve"> </v>
      </c>
      <c r="K157" s="444">
        <f>IF(A157=" ",0,'Flächen u. Kulturen'!W37)</f>
        <v>0</v>
      </c>
      <c r="L157" s="883" t="str">
        <f t="shared" si="87"/>
        <v/>
      </c>
      <c r="M157" s="444" t="str">
        <f t="shared" si="88"/>
        <v xml:space="preserve"> </v>
      </c>
      <c r="N157" s="444" t="str">
        <f t="shared" si="66"/>
        <v xml:space="preserve"> </v>
      </c>
      <c r="O157" s="911" t="str">
        <f t="shared" si="67"/>
        <v xml:space="preserve"> </v>
      </c>
      <c r="P157" s="912" t="str">
        <f t="shared" si="68"/>
        <v xml:space="preserve"> </v>
      </c>
      <c r="Q157" s="912" t="str">
        <f t="shared" si="69"/>
        <v xml:space="preserve"> </v>
      </c>
      <c r="R157" s="444" t="str">
        <f t="shared" si="89"/>
        <v/>
      </c>
      <c r="S157" s="444" t="str">
        <f t="shared" si="70"/>
        <v/>
      </c>
      <c r="T157" s="444" t="str">
        <f t="shared" si="90"/>
        <v xml:space="preserve"> </v>
      </c>
      <c r="U157" s="119" t="str">
        <f t="shared" si="71"/>
        <v xml:space="preserve"> </v>
      </c>
      <c r="V157" s="444" t="str">
        <f t="shared" si="107"/>
        <v xml:space="preserve"> </v>
      </c>
      <c r="W157" s="909" t="str">
        <f t="shared" si="108"/>
        <v xml:space="preserve"> </v>
      </c>
      <c r="X157" s="924" t="str">
        <f t="shared" si="74"/>
        <v xml:space="preserve"> </v>
      </c>
      <c r="Y157" s="444" t="str">
        <f t="shared" si="109"/>
        <v xml:space="preserve"> </v>
      </c>
      <c r="Z157" s="444" t="str">
        <f t="shared" si="110"/>
        <v xml:space="preserve"> </v>
      </c>
      <c r="AA157" s="444" t="str">
        <f t="shared" si="111"/>
        <v xml:space="preserve"> </v>
      </c>
      <c r="AB157" s="912" t="str">
        <f t="shared" si="112"/>
        <v xml:space="preserve"> </v>
      </c>
      <c r="AC157" s="912" t="str">
        <f t="shared" si="78"/>
        <v xml:space="preserve"> </v>
      </c>
      <c r="AD157" s="444" t="str">
        <f t="shared" si="113"/>
        <v xml:space="preserve"> </v>
      </c>
      <c r="AE157" s="444" t="str">
        <f t="shared" si="80"/>
        <v/>
      </c>
      <c r="AF157" s="444" t="str">
        <f t="shared" si="114"/>
        <v xml:space="preserve"> </v>
      </c>
      <c r="AG157" s="119" t="str">
        <f t="shared" si="81"/>
        <v xml:space="preserve"> </v>
      </c>
      <c r="AH157" s="444" t="str">
        <f t="shared" si="115"/>
        <v xml:space="preserve"> </v>
      </c>
      <c r="AI157" s="909" t="str">
        <f t="shared" si="116"/>
        <v xml:space="preserve"> </v>
      </c>
      <c r="AJ157" s="879" t="str">
        <f t="shared" si="119"/>
        <v xml:space="preserve"> </v>
      </c>
      <c r="AK157" s="444" t="str">
        <f t="shared" si="99"/>
        <v xml:space="preserve"> </v>
      </c>
      <c r="AL157" s="444" t="str">
        <f t="shared" si="100"/>
        <v xml:space="preserve"> </v>
      </c>
      <c r="AM157" s="444" t="str">
        <f t="shared" si="101"/>
        <v xml:space="preserve"> </v>
      </c>
      <c r="AN157" s="119" t="str">
        <f t="shared" si="102"/>
        <v xml:space="preserve"> </v>
      </c>
      <c r="AO157" s="444" t="str">
        <f t="shared" si="103"/>
        <v xml:space="preserve"> </v>
      </c>
      <c r="AP157" s="444" t="str">
        <f t="shared" si="104"/>
        <v xml:space="preserve"> </v>
      </c>
      <c r="AQ157" s="123" t="str">
        <f>IF(A157=" "," ",IF('#orgDung'!AF41=0,0,AO157/'#orgDung'!AF41))</f>
        <v xml:space="preserve"> </v>
      </c>
      <c r="AR157" s="47" t="str">
        <f>IF(A157=" "," ",IF('#orgDung'!AF41=0,0,AP157/'#orgDung'!AF41))</f>
        <v xml:space="preserve"> </v>
      </c>
      <c r="AS157" s="890">
        <f>IF(OR(B157=0,B157=""),0,MAX('Flächen u. Kulturen'!W37,AT157/B157))</f>
        <v>0</v>
      </c>
      <c r="AT157" s="875">
        <f t="shared" si="105"/>
        <v>0</v>
      </c>
      <c r="AU157" s="120"/>
    </row>
    <row r="158" spans="1:47" s="875" customFormat="1" x14ac:dyDescent="0.2">
      <c r="A158" s="42" t="str">
        <f>IF('Flächen u. Kulturen'!E38="x",IF(AND('#Kürzungen'!$F$2=2,'#BerechnungDBE'!R33=1,'Flächen u. Kulturen'!D38&lt;&gt;"",'#BerechnungDBE'!AF33=70),'Flächen u. Kulturen'!A38,IF(AND('#BerechnungDBE'!S33=1,'Flächen u. Kulturen'!D38&lt;&gt;"",'#BerechnungDBE'!AF33=70),'Flächen u. Kulturen'!A38," "))," ")</f>
        <v xml:space="preserve"> </v>
      </c>
      <c r="B158" s="505" t="str">
        <f>'Flächen u. Kulturen'!D38</f>
        <v/>
      </c>
      <c r="C158" s="42" t="str">
        <f>IF(A158=" "," ",'#BerechnungDBE'!AK33)</f>
        <v xml:space="preserve"> </v>
      </c>
      <c r="D158" s="42" t="str">
        <f>IF(A158=" "," ",'#BerechnungDBE'!CK33)</f>
        <v xml:space="preserve"> </v>
      </c>
      <c r="E158" s="42" t="str">
        <f t="shared" si="117"/>
        <v xml:space="preserve"> </v>
      </c>
      <c r="F158" s="869"/>
      <c r="G158" s="42" t="str">
        <f>IF(A158=" ","",'#BerechnungDBE'!CK33+'#BerechnungDBE'!CM33)</f>
        <v/>
      </c>
      <c r="H158" s="444" t="str">
        <f t="shared" si="106"/>
        <v/>
      </c>
      <c r="I158" s="444">
        <f>IF(A158=" ",0,'#minDung'!R39)</f>
        <v>0</v>
      </c>
      <c r="J158" s="430" t="str">
        <f t="shared" si="118"/>
        <v xml:space="preserve"> </v>
      </c>
      <c r="K158" s="444">
        <f>IF(A158=" ",0,'Flächen u. Kulturen'!W38)</f>
        <v>0</v>
      </c>
      <c r="L158" s="883" t="str">
        <f t="shared" si="87"/>
        <v/>
      </c>
      <c r="M158" s="444" t="str">
        <f t="shared" si="88"/>
        <v xml:space="preserve"> </v>
      </c>
      <c r="N158" s="444" t="str">
        <f t="shared" ref="N158:N221" si="120">IF(A158=" "," ",M158*B158)</f>
        <v xml:space="preserve"> </v>
      </c>
      <c r="O158" s="911" t="str">
        <f t="shared" ref="O158:O221" si="121">IF(A158=" "," ",$O$231)</f>
        <v xml:space="preserve"> </v>
      </c>
      <c r="P158" s="912" t="str">
        <f t="shared" ref="P158:P221" si="122">IF(A158=" "," ",M158*O158)</f>
        <v xml:space="preserve"> </v>
      </c>
      <c r="Q158" s="912" t="str">
        <f t="shared" ref="Q158:Q221" si="123">IF(A158=" "," ",P158*B158)</f>
        <v xml:space="preserve"> </v>
      </c>
      <c r="R158" s="444" t="str">
        <f t="shared" si="89"/>
        <v/>
      </c>
      <c r="S158" s="444" t="str">
        <f t="shared" ref="S158:S221" si="124">IF($A158=" ","",IF(R158&lt;P158,R158*$B158,""))</f>
        <v/>
      </c>
      <c r="T158" s="444" t="str">
        <f t="shared" si="90"/>
        <v xml:space="preserve"> </v>
      </c>
      <c r="U158" s="119" t="str">
        <f t="shared" ref="U158:U221" si="125">IF($A158=" "," ",IF(S158="",$U$231,1))</f>
        <v xml:space="preserve"> </v>
      </c>
      <c r="V158" s="444" t="str">
        <f t="shared" si="107"/>
        <v xml:space="preserve"> </v>
      </c>
      <c r="W158" s="909" t="str">
        <f t="shared" si="108"/>
        <v xml:space="preserve"> </v>
      </c>
      <c r="X158" s="924" t="str">
        <f t="shared" ref="X158:X221" si="126">IF(A158=" "," ",IF($F$2=2,100,IF(C158=1,$G$11,IF(C158=2,$G$12,IF(C158=3,$G$13,IF(C158=4,$G$14,$G$15))))))</f>
        <v xml:space="preserve"> </v>
      </c>
      <c r="Y158" s="444" t="str">
        <f t="shared" si="109"/>
        <v xml:space="preserve"> </v>
      </c>
      <c r="Z158" s="444" t="str">
        <f t="shared" si="110"/>
        <v xml:space="preserve"> </v>
      </c>
      <c r="AA158" s="444" t="str">
        <f t="shared" si="111"/>
        <v xml:space="preserve"> </v>
      </c>
      <c r="AB158" s="912" t="str">
        <f t="shared" si="112"/>
        <v xml:space="preserve"> </v>
      </c>
      <c r="AC158" s="912" t="str">
        <f t="shared" ref="AC158:AC221" si="127">IF($A158=" "," ",AB158*$B158)</f>
        <v xml:space="preserve"> </v>
      </c>
      <c r="AD158" s="444" t="str">
        <f t="shared" si="113"/>
        <v xml:space="preserve"> </v>
      </c>
      <c r="AE158" s="444" t="str">
        <f t="shared" ref="AE158:AE221" si="128">IF($A158=" ","",IF(AD158&lt;AB158,AD158*$B158,""))</f>
        <v/>
      </c>
      <c r="AF158" s="444" t="str">
        <f t="shared" si="114"/>
        <v xml:space="preserve"> </v>
      </c>
      <c r="AG158" s="119" t="str">
        <f t="shared" ref="AG158:AG221" si="129">IF($A158=" "," ",IF(AE158="",$AG$231,1))</f>
        <v xml:space="preserve"> </v>
      </c>
      <c r="AH158" s="444" t="str">
        <f t="shared" si="115"/>
        <v xml:space="preserve"> </v>
      </c>
      <c r="AI158" s="909" t="str">
        <f t="shared" si="116"/>
        <v xml:space="preserve"> </v>
      </c>
      <c r="AJ158" s="879" t="str">
        <f t="shared" si="119"/>
        <v xml:space="preserve"> </v>
      </c>
      <c r="AK158" s="444" t="str">
        <f t="shared" si="99"/>
        <v xml:space="preserve"> </v>
      </c>
      <c r="AL158" s="444" t="str">
        <f t="shared" si="100"/>
        <v xml:space="preserve"> </v>
      </c>
      <c r="AM158" s="444" t="str">
        <f t="shared" si="101"/>
        <v xml:space="preserve"> </v>
      </c>
      <c r="AN158" s="119" t="str">
        <f t="shared" si="102"/>
        <v xml:space="preserve"> </v>
      </c>
      <c r="AO158" s="444" t="str">
        <f t="shared" si="103"/>
        <v xml:space="preserve"> </v>
      </c>
      <c r="AP158" s="444" t="str">
        <f t="shared" si="104"/>
        <v xml:space="preserve"> </v>
      </c>
      <c r="AQ158" s="123" t="str">
        <f>IF(A158=" "," ",IF('#orgDung'!AF42=0,0,AO158/'#orgDung'!AF42))</f>
        <v xml:space="preserve"> </v>
      </c>
      <c r="AR158" s="47" t="str">
        <f>IF(A158=" "," ",IF('#orgDung'!AF42=0,0,AP158/'#orgDung'!AF42))</f>
        <v xml:space="preserve"> </v>
      </c>
      <c r="AS158" s="890">
        <f>IF(OR(B158=0,B158=""),0,MAX('Flächen u. Kulturen'!W38,AT158/B158))</f>
        <v>0</v>
      </c>
      <c r="AT158" s="875">
        <f t="shared" si="105"/>
        <v>0</v>
      </c>
      <c r="AU158" s="120"/>
    </row>
    <row r="159" spans="1:47" s="875" customFormat="1" x14ac:dyDescent="0.2">
      <c r="A159" s="42" t="str">
        <f>IF('Flächen u. Kulturen'!E39="x",IF(AND('#Kürzungen'!$F$2=2,'#BerechnungDBE'!R34=1,'Flächen u. Kulturen'!D39&lt;&gt;"",'#BerechnungDBE'!AF34=70),'Flächen u. Kulturen'!A39,IF(AND('#BerechnungDBE'!S34=1,'Flächen u. Kulturen'!D39&lt;&gt;"",'#BerechnungDBE'!AF34=70),'Flächen u. Kulturen'!A39," "))," ")</f>
        <v xml:space="preserve"> </v>
      </c>
      <c r="B159" s="505" t="str">
        <f>'Flächen u. Kulturen'!D39</f>
        <v/>
      </c>
      <c r="C159" s="42" t="str">
        <f>IF(A159=" "," ",'#BerechnungDBE'!AK34)</f>
        <v xml:space="preserve"> </v>
      </c>
      <c r="D159" s="42" t="str">
        <f>IF(A159=" "," ",'#BerechnungDBE'!CK34)</f>
        <v xml:space="preserve"> </v>
      </c>
      <c r="E159" s="42" t="str">
        <f t="shared" si="117"/>
        <v xml:space="preserve"> </v>
      </c>
      <c r="F159" s="869"/>
      <c r="G159" s="42" t="str">
        <f>IF(A159=" ","",'#BerechnungDBE'!CK34+'#BerechnungDBE'!CM34)</f>
        <v/>
      </c>
      <c r="H159" s="444" t="str">
        <f t="shared" si="106"/>
        <v/>
      </c>
      <c r="I159" s="444">
        <f>IF(A159=" ",0,'#minDung'!R40)</f>
        <v>0</v>
      </c>
      <c r="J159" s="430" t="str">
        <f t="shared" si="118"/>
        <v xml:space="preserve"> </v>
      </c>
      <c r="K159" s="444">
        <f>IF(A159=" ",0,'Flächen u. Kulturen'!W39)</f>
        <v>0</v>
      </c>
      <c r="L159" s="883" t="str">
        <f t="shared" si="87"/>
        <v/>
      </c>
      <c r="M159" s="444" t="str">
        <f t="shared" si="88"/>
        <v xml:space="preserve"> </v>
      </c>
      <c r="N159" s="444" t="str">
        <f t="shared" si="120"/>
        <v xml:space="preserve"> </v>
      </c>
      <c r="O159" s="911" t="str">
        <f t="shared" si="121"/>
        <v xml:space="preserve"> </v>
      </c>
      <c r="P159" s="912" t="str">
        <f t="shared" si="122"/>
        <v xml:space="preserve"> </v>
      </c>
      <c r="Q159" s="912" t="str">
        <f t="shared" si="123"/>
        <v xml:space="preserve"> </v>
      </c>
      <c r="R159" s="444" t="str">
        <f t="shared" si="89"/>
        <v/>
      </c>
      <c r="S159" s="444" t="str">
        <f t="shared" si="124"/>
        <v/>
      </c>
      <c r="T159" s="444" t="str">
        <f t="shared" si="90"/>
        <v xml:space="preserve"> </v>
      </c>
      <c r="U159" s="119" t="str">
        <f t="shared" si="125"/>
        <v xml:space="preserve"> </v>
      </c>
      <c r="V159" s="444" t="str">
        <f t="shared" si="107"/>
        <v xml:space="preserve"> </v>
      </c>
      <c r="W159" s="909" t="str">
        <f t="shared" si="108"/>
        <v xml:space="preserve"> </v>
      </c>
      <c r="X159" s="924" t="str">
        <f t="shared" si="126"/>
        <v xml:space="preserve"> </v>
      </c>
      <c r="Y159" s="444" t="str">
        <f t="shared" si="109"/>
        <v xml:space="preserve"> </v>
      </c>
      <c r="Z159" s="444" t="str">
        <f t="shared" si="110"/>
        <v xml:space="preserve"> </v>
      </c>
      <c r="AA159" s="444" t="str">
        <f t="shared" si="111"/>
        <v xml:space="preserve"> </v>
      </c>
      <c r="AB159" s="912" t="str">
        <f t="shared" si="112"/>
        <v xml:space="preserve"> </v>
      </c>
      <c r="AC159" s="912" t="str">
        <f t="shared" si="127"/>
        <v xml:space="preserve"> </v>
      </c>
      <c r="AD159" s="444" t="str">
        <f t="shared" si="113"/>
        <v xml:space="preserve"> </v>
      </c>
      <c r="AE159" s="444" t="str">
        <f t="shared" si="128"/>
        <v/>
      </c>
      <c r="AF159" s="444" t="str">
        <f t="shared" si="114"/>
        <v xml:space="preserve"> </v>
      </c>
      <c r="AG159" s="119" t="str">
        <f t="shared" si="129"/>
        <v xml:space="preserve"> </v>
      </c>
      <c r="AH159" s="444" t="str">
        <f t="shared" si="115"/>
        <v xml:space="preserve"> </v>
      </c>
      <c r="AI159" s="909" t="str">
        <f t="shared" si="116"/>
        <v xml:space="preserve"> </v>
      </c>
      <c r="AJ159" s="879" t="str">
        <f t="shared" si="119"/>
        <v xml:space="preserve"> </v>
      </c>
      <c r="AK159" s="444" t="str">
        <f t="shared" si="99"/>
        <v xml:space="preserve"> </v>
      </c>
      <c r="AL159" s="444" t="str">
        <f t="shared" si="100"/>
        <v xml:space="preserve"> </v>
      </c>
      <c r="AM159" s="444" t="str">
        <f t="shared" si="101"/>
        <v xml:space="preserve"> </v>
      </c>
      <c r="AN159" s="119" t="str">
        <f t="shared" si="102"/>
        <v xml:space="preserve"> </v>
      </c>
      <c r="AO159" s="444" t="str">
        <f t="shared" si="103"/>
        <v xml:space="preserve"> </v>
      </c>
      <c r="AP159" s="444" t="str">
        <f t="shared" si="104"/>
        <v xml:space="preserve"> </v>
      </c>
      <c r="AQ159" s="123" t="str">
        <f>IF(A159=" "," ",IF('#orgDung'!AF43=0,0,AO159/'#orgDung'!AF43))</f>
        <v xml:space="preserve"> </v>
      </c>
      <c r="AR159" s="47" t="str">
        <f>IF(A159=" "," ",IF('#orgDung'!AF43=0,0,AP159/'#orgDung'!AF43))</f>
        <v xml:space="preserve"> </v>
      </c>
      <c r="AS159" s="890">
        <f>IF(OR(B159=0,B159=""),0,MAX('Flächen u. Kulturen'!W39,AT159/B159))</f>
        <v>0</v>
      </c>
      <c r="AT159" s="875">
        <f t="shared" si="105"/>
        <v>0</v>
      </c>
      <c r="AU159" s="120"/>
    </row>
    <row r="160" spans="1:47" s="875" customFormat="1" x14ac:dyDescent="0.2">
      <c r="A160" s="42" t="str">
        <f>IF('Flächen u. Kulturen'!E40="x",IF(AND('#Kürzungen'!$F$2=2,'#BerechnungDBE'!R35=1,'Flächen u. Kulturen'!D40&lt;&gt;"",'#BerechnungDBE'!AF35=70),'Flächen u. Kulturen'!A40,IF(AND('#BerechnungDBE'!S35=1,'Flächen u. Kulturen'!D40&lt;&gt;"",'#BerechnungDBE'!AF35=70),'Flächen u. Kulturen'!A40," "))," ")</f>
        <v xml:space="preserve"> </v>
      </c>
      <c r="B160" s="505" t="str">
        <f>'Flächen u. Kulturen'!D40</f>
        <v/>
      </c>
      <c r="C160" s="42" t="str">
        <f>IF(A160=" "," ",'#BerechnungDBE'!AK35)</f>
        <v xml:space="preserve"> </v>
      </c>
      <c r="D160" s="42" t="str">
        <f>IF(A160=" "," ",'#BerechnungDBE'!CK35)</f>
        <v xml:space="preserve"> </v>
      </c>
      <c r="E160" s="42" t="str">
        <f t="shared" si="117"/>
        <v xml:space="preserve"> </v>
      </c>
      <c r="F160" s="869"/>
      <c r="G160" s="42" t="str">
        <f>IF(A160=" ","",'#BerechnungDBE'!CK35+'#BerechnungDBE'!CM35)</f>
        <v/>
      </c>
      <c r="H160" s="444" t="str">
        <f t="shared" si="106"/>
        <v/>
      </c>
      <c r="I160" s="444">
        <f>IF(A160=" ",0,'#minDung'!R41)</f>
        <v>0</v>
      </c>
      <c r="J160" s="430" t="str">
        <f t="shared" si="118"/>
        <v xml:space="preserve"> </v>
      </c>
      <c r="K160" s="444">
        <f>IF(A160=" ",0,'Flächen u. Kulturen'!W40)</f>
        <v>0</v>
      </c>
      <c r="L160" s="883" t="str">
        <f t="shared" si="87"/>
        <v/>
      </c>
      <c r="M160" s="444" t="str">
        <f t="shared" si="88"/>
        <v xml:space="preserve"> </v>
      </c>
      <c r="N160" s="444" t="str">
        <f t="shared" si="120"/>
        <v xml:space="preserve"> </v>
      </c>
      <c r="O160" s="911" t="str">
        <f t="shared" si="121"/>
        <v xml:space="preserve"> </v>
      </c>
      <c r="P160" s="912" t="str">
        <f t="shared" si="122"/>
        <v xml:space="preserve"> </v>
      </c>
      <c r="Q160" s="912" t="str">
        <f t="shared" si="123"/>
        <v xml:space="preserve"> </v>
      </c>
      <c r="R160" s="444" t="str">
        <f t="shared" si="89"/>
        <v/>
      </c>
      <c r="S160" s="444" t="str">
        <f t="shared" si="124"/>
        <v/>
      </c>
      <c r="T160" s="444" t="str">
        <f t="shared" si="90"/>
        <v xml:space="preserve"> </v>
      </c>
      <c r="U160" s="119" t="str">
        <f t="shared" si="125"/>
        <v xml:space="preserve"> </v>
      </c>
      <c r="V160" s="444" t="str">
        <f t="shared" si="107"/>
        <v xml:space="preserve"> </v>
      </c>
      <c r="W160" s="909" t="str">
        <f t="shared" si="108"/>
        <v xml:space="preserve"> </v>
      </c>
      <c r="X160" s="924" t="str">
        <f t="shared" si="126"/>
        <v xml:space="preserve"> </v>
      </c>
      <c r="Y160" s="444" t="str">
        <f t="shared" si="109"/>
        <v xml:space="preserve"> </v>
      </c>
      <c r="Z160" s="444" t="str">
        <f t="shared" si="110"/>
        <v xml:space="preserve"> </v>
      </c>
      <c r="AA160" s="444" t="str">
        <f t="shared" si="111"/>
        <v xml:space="preserve"> </v>
      </c>
      <c r="AB160" s="912" t="str">
        <f t="shared" si="112"/>
        <v xml:space="preserve"> </v>
      </c>
      <c r="AC160" s="912" t="str">
        <f t="shared" si="127"/>
        <v xml:space="preserve"> </v>
      </c>
      <c r="AD160" s="444" t="str">
        <f t="shared" si="113"/>
        <v xml:space="preserve"> </v>
      </c>
      <c r="AE160" s="444" t="str">
        <f t="shared" si="128"/>
        <v/>
      </c>
      <c r="AF160" s="444" t="str">
        <f t="shared" si="114"/>
        <v xml:space="preserve"> </v>
      </c>
      <c r="AG160" s="119" t="str">
        <f t="shared" si="129"/>
        <v xml:space="preserve"> </v>
      </c>
      <c r="AH160" s="444" t="str">
        <f t="shared" si="115"/>
        <v xml:space="preserve"> </v>
      </c>
      <c r="AI160" s="909" t="str">
        <f t="shared" si="116"/>
        <v xml:space="preserve"> </v>
      </c>
      <c r="AJ160" s="879" t="str">
        <f t="shared" si="119"/>
        <v xml:space="preserve"> </v>
      </c>
      <c r="AK160" s="444" t="str">
        <f t="shared" si="99"/>
        <v xml:space="preserve"> </v>
      </c>
      <c r="AL160" s="444" t="str">
        <f t="shared" si="100"/>
        <v xml:space="preserve"> </v>
      </c>
      <c r="AM160" s="444" t="str">
        <f t="shared" si="101"/>
        <v xml:space="preserve"> </v>
      </c>
      <c r="AN160" s="119" t="str">
        <f t="shared" si="102"/>
        <v xml:space="preserve"> </v>
      </c>
      <c r="AO160" s="444" t="str">
        <f t="shared" si="103"/>
        <v xml:space="preserve"> </v>
      </c>
      <c r="AP160" s="444" t="str">
        <f t="shared" si="104"/>
        <v xml:space="preserve"> </v>
      </c>
      <c r="AQ160" s="123" t="str">
        <f>IF(A160=" "," ",IF('#orgDung'!AF44=0,0,AO160/'#orgDung'!AF44))</f>
        <v xml:space="preserve"> </v>
      </c>
      <c r="AR160" s="47" t="str">
        <f>IF(A160=" "," ",IF('#orgDung'!AF44=0,0,AP160/'#orgDung'!AF44))</f>
        <v xml:space="preserve"> </v>
      </c>
      <c r="AS160" s="890">
        <f>IF(OR(B160=0,B160=""),0,MAX('Flächen u. Kulturen'!W40,AT160/B160))</f>
        <v>0</v>
      </c>
      <c r="AT160" s="875">
        <f t="shared" si="105"/>
        <v>0</v>
      </c>
      <c r="AU160" s="120"/>
    </row>
    <row r="161" spans="1:47" s="875" customFormat="1" x14ac:dyDescent="0.2">
      <c r="A161" s="42" t="str">
        <f>IF('Flächen u. Kulturen'!E41="x",IF(AND('#Kürzungen'!$F$2=2,'#BerechnungDBE'!R36=1,'Flächen u. Kulturen'!D41&lt;&gt;"",'#BerechnungDBE'!AF36=70),'Flächen u. Kulturen'!A41,IF(AND('#BerechnungDBE'!S36=1,'Flächen u. Kulturen'!D41&lt;&gt;"",'#BerechnungDBE'!AF36=70),'Flächen u. Kulturen'!A41," "))," ")</f>
        <v xml:space="preserve"> </v>
      </c>
      <c r="B161" s="505" t="str">
        <f>'Flächen u. Kulturen'!D41</f>
        <v/>
      </c>
      <c r="C161" s="42" t="str">
        <f>IF(A161=" "," ",'#BerechnungDBE'!AK36)</f>
        <v xml:space="preserve"> </v>
      </c>
      <c r="D161" s="42" t="str">
        <f>IF(A161=" "," ",'#BerechnungDBE'!CK36)</f>
        <v xml:space="preserve"> </v>
      </c>
      <c r="E161" s="42" t="str">
        <f t="shared" si="117"/>
        <v xml:space="preserve"> </v>
      </c>
      <c r="F161" s="869"/>
      <c r="G161" s="42" t="str">
        <f>IF(A161=" ","",'#BerechnungDBE'!CK36+'#BerechnungDBE'!CM36)</f>
        <v/>
      </c>
      <c r="H161" s="444" t="str">
        <f t="shared" si="106"/>
        <v/>
      </c>
      <c r="I161" s="444">
        <f>IF(A161=" ",0,'#minDung'!R42)</f>
        <v>0</v>
      </c>
      <c r="J161" s="430" t="str">
        <f t="shared" si="118"/>
        <v xml:space="preserve"> </v>
      </c>
      <c r="K161" s="444">
        <f>IF(A161=" ",0,'Flächen u. Kulturen'!W41)</f>
        <v>0</v>
      </c>
      <c r="L161" s="883" t="str">
        <f t="shared" si="87"/>
        <v/>
      </c>
      <c r="M161" s="444" t="str">
        <f t="shared" si="88"/>
        <v xml:space="preserve"> </v>
      </c>
      <c r="N161" s="444" t="str">
        <f t="shared" si="120"/>
        <v xml:space="preserve"> </v>
      </c>
      <c r="O161" s="911" t="str">
        <f t="shared" si="121"/>
        <v xml:space="preserve"> </v>
      </c>
      <c r="P161" s="912" t="str">
        <f t="shared" si="122"/>
        <v xml:space="preserve"> </v>
      </c>
      <c r="Q161" s="912" t="str">
        <f t="shared" si="123"/>
        <v xml:space="preserve"> </v>
      </c>
      <c r="R161" s="444" t="str">
        <f t="shared" si="89"/>
        <v/>
      </c>
      <c r="S161" s="444" t="str">
        <f t="shared" si="124"/>
        <v/>
      </c>
      <c r="T161" s="444" t="str">
        <f t="shared" si="90"/>
        <v xml:space="preserve"> </v>
      </c>
      <c r="U161" s="119" t="str">
        <f t="shared" si="125"/>
        <v xml:space="preserve"> </v>
      </c>
      <c r="V161" s="444" t="str">
        <f t="shared" si="107"/>
        <v xml:space="preserve"> </v>
      </c>
      <c r="W161" s="909" t="str">
        <f t="shared" si="108"/>
        <v xml:space="preserve"> </v>
      </c>
      <c r="X161" s="924" t="str">
        <f t="shared" si="126"/>
        <v xml:space="preserve"> </v>
      </c>
      <c r="Y161" s="444" t="str">
        <f t="shared" si="109"/>
        <v xml:space="preserve"> </v>
      </c>
      <c r="Z161" s="444" t="str">
        <f t="shared" si="110"/>
        <v xml:space="preserve"> </v>
      </c>
      <c r="AA161" s="444" t="str">
        <f t="shared" si="111"/>
        <v xml:space="preserve"> </v>
      </c>
      <c r="AB161" s="912" t="str">
        <f t="shared" si="112"/>
        <v xml:space="preserve"> </v>
      </c>
      <c r="AC161" s="912" t="str">
        <f t="shared" si="127"/>
        <v xml:space="preserve"> </v>
      </c>
      <c r="AD161" s="444" t="str">
        <f t="shared" si="113"/>
        <v xml:space="preserve"> </v>
      </c>
      <c r="AE161" s="444" t="str">
        <f t="shared" si="128"/>
        <v/>
      </c>
      <c r="AF161" s="444" t="str">
        <f t="shared" si="114"/>
        <v xml:space="preserve"> </v>
      </c>
      <c r="AG161" s="119" t="str">
        <f t="shared" si="129"/>
        <v xml:space="preserve"> </v>
      </c>
      <c r="AH161" s="444" t="str">
        <f t="shared" si="115"/>
        <v xml:space="preserve"> </v>
      </c>
      <c r="AI161" s="909" t="str">
        <f t="shared" si="116"/>
        <v xml:space="preserve"> </v>
      </c>
      <c r="AJ161" s="879" t="str">
        <f t="shared" si="119"/>
        <v xml:space="preserve"> </v>
      </c>
      <c r="AK161" s="444" t="str">
        <f t="shared" si="99"/>
        <v xml:space="preserve"> </v>
      </c>
      <c r="AL161" s="444" t="str">
        <f t="shared" si="100"/>
        <v xml:space="preserve"> </v>
      </c>
      <c r="AM161" s="444" t="str">
        <f t="shared" si="101"/>
        <v xml:space="preserve"> </v>
      </c>
      <c r="AN161" s="119" t="str">
        <f t="shared" si="102"/>
        <v xml:space="preserve"> </v>
      </c>
      <c r="AO161" s="444" t="str">
        <f t="shared" si="103"/>
        <v xml:space="preserve"> </v>
      </c>
      <c r="AP161" s="444" t="str">
        <f t="shared" si="104"/>
        <v xml:space="preserve"> </v>
      </c>
      <c r="AQ161" s="123" t="str">
        <f>IF(A161=" "," ",IF('#orgDung'!AF45=0,0,AO161/'#orgDung'!AF45))</f>
        <v xml:space="preserve"> </v>
      </c>
      <c r="AR161" s="47" t="str">
        <f>IF(A161=" "," ",IF('#orgDung'!AF45=0,0,AP161/'#orgDung'!AF45))</f>
        <v xml:space="preserve"> </v>
      </c>
      <c r="AS161" s="890">
        <f>IF(OR(B161=0,B161=""),0,MAX('Flächen u. Kulturen'!W41,AT161/B161))</f>
        <v>0</v>
      </c>
      <c r="AT161" s="875">
        <f t="shared" si="105"/>
        <v>0</v>
      </c>
      <c r="AU161" s="120"/>
    </row>
    <row r="162" spans="1:47" s="875" customFormat="1" x14ac:dyDescent="0.2">
      <c r="A162" s="42" t="str">
        <f>IF('Flächen u. Kulturen'!E42="x",IF(AND('#Kürzungen'!$F$2=2,'#BerechnungDBE'!R37=1,'Flächen u. Kulturen'!D42&lt;&gt;"",'#BerechnungDBE'!AF37=70),'Flächen u. Kulturen'!A42,IF(AND('#BerechnungDBE'!S37=1,'Flächen u. Kulturen'!D42&lt;&gt;"",'#BerechnungDBE'!AF37=70),'Flächen u. Kulturen'!A42," "))," ")</f>
        <v xml:space="preserve"> </v>
      </c>
      <c r="B162" s="505" t="str">
        <f>'Flächen u. Kulturen'!D42</f>
        <v/>
      </c>
      <c r="C162" s="42" t="str">
        <f>IF(A162=" "," ",'#BerechnungDBE'!AK37)</f>
        <v xml:space="preserve"> </v>
      </c>
      <c r="D162" s="42" t="str">
        <f>IF(A162=" "," ",'#BerechnungDBE'!CK37)</f>
        <v xml:space="preserve"> </v>
      </c>
      <c r="E162" s="42" t="str">
        <f t="shared" si="117"/>
        <v xml:space="preserve"> </v>
      </c>
      <c r="F162" s="869"/>
      <c r="G162" s="42" t="str">
        <f>IF(A162=" ","",'#BerechnungDBE'!CK37+'#BerechnungDBE'!CM37)</f>
        <v/>
      </c>
      <c r="H162" s="444" t="str">
        <f t="shared" si="106"/>
        <v/>
      </c>
      <c r="I162" s="444">
        <f>IF(A162=" ",0,'#minDung'!R43)</f>
        <v>0</v>
      </c>
      <c r="J162" s="430" t="str">
        <f t="shared" si="118"/>
        <v xml:space="preserve"> </v>
      </c>
      <c r="K162" s="444">
        <f>IF(A162=" ",0,'Flächen u. Kulturen'!W42)</f>
        <v>0</v>
      </c>
      <c r="L162" s="883" t="str">
        <f t="shared" ref="L162:L193" si="130">IF(B162="","",K162*B162)</f>
        <v/>
      </c>
      <c r="M162" s="444" t="str">
        <f t="shared" ref="M162:M193" si="131">IF($A162=" "," ",IF(C162=1,$C$11,IF(C162=2,$C$12,IF(C162=3,$C$13,IF(C162=4,$C$14,$C$15)))))</f>
        <v xml:space="preserve"> </v>
      </c>
      <c r="N162" s="444" t="str">
        <f t="shared" si="120"/>
        <v xml:space="preserve"> </v>
      </c>
      <c r="O162" s="911" t="str">
        <f t="shared" si="121"/>
        <v xml:space="preserve"> </v>
      </c>
      <c r="P162" s="912" t="str">
        <f t="shared" si="122"/>
        <v xml:space="preserve"> </v>
      </c>
      <c r="Q162" s="912" t="str">
        <f t="shared" si="123"/>
        <v xml:space="preserve"> </v>
      </c>
      <c r="R162" s="444" t="str">
        <f t="shared" ref="R162:R193" si="132">IF(A162=" ","",IF(M162&lt;J162-K162,M162,J162-K162))</f>
        <v/>
      </c>
      <c r="S162" s="444" t="str">
        <f t="shared" si="124"/>
        <v/>
      </c>
      <c r="T162" s="444" t="str">
        <f t="shared" ref="T162:T193" si="133">IF(A162=" "," ",R162*B162)</f>
        <v xml:space="preserve"> </v>
      </c>
      <c r="U162" s="119" t="str">
        <f t="shared" si="125"/>
        <v xml:space="preserve"> </v>
      </c>
      <c r="V162" s="444" t="str">
        <f t="shared" si="107"/>
        <v xml:space="preserve"> </v>
      </c>
      <c r="W162" s="909" t="str">
        <f t="shared" si="108"/>
        <v xml:space="preserve"> </v>
      </c>
      <c r="X162" s="924" t="str">
        <f t="shared" si="126"/>
        <v xml:space="preserve"> </v>
      </c>
      <c r="Y162" s="444" t="str">
        <f t="shared" si="109"/>
        <v xml:space="preserve"> </v>
      </c>
      <c r="Z162" s="444" t="str">
        <f t="shared" si="110"/>
        <v xml:space="preserve"> </v>
      </c>
      <c r="AA162" s="444" t="str">
        <f t="shared" si="111"/>
        <v xml:space="preserve"> </v>
      </c>
      <c r="AB162" s="912" t="str">
        <f t="shared" si="112"/>
        <v xml:space="preserve"> </v>
      </c>
      <c r="AC162" s="912" t="str">
        <f t="shared" si="127"/>
        <v xml:space="preserve"> </v>
      </c>
      <c r="AD162" s="444" t="str">
        <f t="shared" si="113"/>
        <v xml:space="preserve"> </v>
      </c>
      <c r="AE162" s="444" t="str">
        <f t="shared" si="128"/>
        <v/>
      </c>
      <c r="AF162" s="444" t="str">
        <f t="shared" si="114"/>
        <v xml:space="preserve"> </v>
      </c>
      <c r="AG162" s="119" t="str">
        <f t="shared" si="129"/>
        <v xml:space="preserve"> </v>
      </c>
      <c r="AH162" s="444" t="str">
        <f t="shared" si="115"/>
        <v xml:space="preserve"> </v>
      </c>
      <c r="AI162" s="909" t="str">
        <f t="shared" si="116"/>
        <v xml:space="preserve"> </v>
      </c>
      <c r="AJ162" s="879" t="str">
        <f t="shared" si="119"/>
        <v xml:space="preserve"> </v>
      </c>
      <c r="AK162" s="444" t="str">
        <f t="shared" ref="AK162:AK193" si="134">IF(A162=" "," ",AJ162*D162/100)</f>
        <v xml:space="preserve"> </v>
      </c>
      <c r="AL162" s="444" t="str">
        <f t="shared" ref="AL162:AL193" si="135">IF(A162=" "," ",AK162-AH162)</f>
        <v xml:space="preserve"> </v>
      </c>
      <c r="AM162" s="444" t="str">
        <f t="shared" ref="AM162:AM193" si="136">IF(A162=" "," ",AL162*B162)</f>
        <v xml:space="preserve"> </v>
      </c>
      <c r="AN162" s="119" t="str">
        <f t="shared" ref="AN162:AN193" si="137">IF(A162=" "," ",$AN$231)</f>
        <v xml:space="preserve"> </v>
      </c>
      <c r="AO162" s="444" t="str">
        <f t="shared" ref="AO162:AO193" si="138">IF(A162=" "," ",AN162*AL162)</f>
        <v xml:space="preserve"> </v>
      </c>
      <c r="AP162" s="444" t="str">
        <f t="shared" ref="AP162:AP193" si="139">IF(A162=" "," ",AM162*AN162)</f>
        <v xml:space="preserve"> </v>
      </c>
      <c r="AQ162" s="123" t="str">
        <f>IF(A162=" "," ",IF('#orgDung'!AF46=0,0,AO162/'#orgDung'!AF46))</f>
        <v xml:space="preserve"> </v>
      </c>
      <c r="AR162" s="47" t="str">
        <f>IF(A162=" "," ",IF('#orgDung'!AF46=0,0,AP162/'#orgDung'!AF46))</f>
        <v xml:space="preserve"> </v>
      </c>
      <c r="AS162" s="890">
        <f>IF(OR(B162=0,B162=""),0,MAX('Flächen u. Kulturen'!W42,AT162/B162))</f>
        <v>0</v>
      </c>
      <c r="AT162" s="875">
        <f t="shared" ref="AT162:AT193" si="140">IF(A162=" ",0,IF($F$2=3,E162*0.2,SUM(AI162,W162,L162)))</f>
        <v>0</v>
      </c>
      <c r="AU162" s="120"/>
    </row>
    <row r="163" spans="1:47" s="875" customFormat="1" x14ac:dyDescent="0.2">
      <c r="A163" s="42" t="str">
        <f>IF('Flächen u. Kulturen'!E43="x",IF(AND('#Kürzungen'!$F$2=2,'#BerechnungDBE'!R38=1,'Flächen u. Kulturen'!D43&lt;&gt;"",'#BerechnungDBE'!AF38=70),'Flächen u. Kulturen'!A43,IF(AND('#BerechnungDBE'!S38=1,'Flächen u. Kulturen'!D43&lt;&gt;"",'#BerechnungDBE'!AF38=70),'Flächen u. Kulturen'!A43," "))," ")</f>
        <v xml:space="preserve"> </v>
      </c>
      <c r="B163" s="505" t="str">
        <f>'Flächen u. Kulturen'!D43</f>
        <v/>
      </c>
      <c r="C163" s="42" t="str">
        <f>IF(A163=" "," ",'#BerechnungDBE'!AK38)</f>
        <v xml:space="preserve"> </v>
      </c>
      <c r="D163" s="42" t="str">
        <f>IF(A163=" "," ",'#BerechnungDBE'!CK38)</f>
        <v xml:space="preserve"> </v>
      </c>
      <c r="E163" s="42" t="str">
        <f t="shared" si="117"/>
        <v xml:space="preserve"> </v>
      </c>
      <c r="F163" s="869"/>
      <c r="G163" s="42" t="str">
        <f>IF(A163=" ","",'#BerechnungDBE'!CK38+'#BerechnungDBE'!CM38)</f>
        <v/>
      </c>
      <c r="H163" s="444" t="str">
        <f t="shared" si="106"/>
        <v/>
      </c>
      <c r="I163" s="444">
        <f>IF(A163=" ",0,'#minDung'!R44)</f>
        <v>0</v>
      </c>
      <c r="J163" s="430" t="str">
        <f t="shared" si="118"/>
        <v xml:space="preserve"> </v>
      </c>
      <c r="K163" s="444">
        <f>IF(A163=" ",0,'Flächen u. Kulturen'!W43)</f>
        <v>0</v>
      </c>
      <c r="L163" s="883" t="str">
        <f t="shared" si="130"/>
        <v/>
      </c>
      <c r="M163" s="444" t="str">
        <f t="shared" si="131"/>
        <v xml:space="preserve"> </v>
      </c>
      <c r="N163" s="444" t="str">
        <f t="shared" si="120"/>
        <v xml:space="preserve"> </v>
      </c>
      <c r="O163" s="911" t="str">
        <f t="shared" si="121"/>
        <v xml:space="preserve"> </v>
      </c>
      <c r="P163" s="912" t="str">
        <f t="shared" si="122"/>
        <v xml:space="preserve"> </v>
      </c>
      <c r="Q163" s="912" t="str">
        <f t="shared" si="123"/>
        <v xml:space="preserve"> </v>
      </c>
      <c r="R163" s="444" t="str">
        <f t="shared" si="132"/>
        <v/>
      </c>
      <c r="S163" s="444" t="str">
        <f t="shared" si="124"/>
        <v/>
      </c>
      <c r="T163" s="444" t="str">
        <f t="shared" si="133"/>
        <v xml:space="preserve"> </v>
      </c>
      <c r="U163" s="119" t="str">
        <f t="shared" si="125"/>
        <v xml:space="preserve"> </v>
      </c>
      <c r="V163" s="444" t="str">
        <f t="shared" si="107"/>
        <v xml:space="preserve"> </v>
      </c>
      <c r="W163" s="909" t="str">
        <f t="shared" si="108"/>
        <v xml:space="preserve"> </v>
      </c>
      <c r="X163" s="924" t="str">
        <f t="shared" si="126"/>
        <v xml:space="preserve"> </v>
      </c>
      <c r="Y163" s="444" t="str">
        <f t="shared" si="109"/>
        <v xml:space="preserve"> </v>
      </c>
      <c r="Z163" s="444" t="str">
        <f t="shared" si="110"/>
        <v xml:space="preserve"> </v>
      </c>
      <c r="AA163" s="444" t="str">
        <f t="shared" si="111"/>
        <v xml:space="preserve"> </v>
      </c>
      <c r="AB163" s="912" t="str">
        <f t="shared" si="112"/>
        <v xml:space="preserve"> </v>
      </c>
      <c r="AC163" s="912" t="str">
        <f t="shared" si="127"/>
        <v xml:space="preserve"> </v>
      </c>
      <c r="AD163" s="444" t="str">
        <f t="shared" si="113"/>
        <v xml:space="preserve"> </v>
      </c>
      <c r="AE163" s="444" t="str">
        <f t="shared" si="128"/>
        <v/>
      </c>
      <c r="AF163" s="444" t="str">
        <f t="shared" si="114"/>
        <v xml:space="preserve"> </v>
      </c>
      <c r="AG163" s="119" t="str">
        <f t="shared" si="129"/>
        <v xml:space="preserve"> </v>
      </c>
      <c r="AH163" s="444" t="str">
        <f t="shared" si="115"/>
        <v xml:space="preserve"> </v>
      </c>
      <c r="AI163" s="909" t="str">
        <f t="shared" si="116"/>
        <v xml:space="preserve"> </v>
      </c>
      <c r="AJ163" s="879" t="str">
        <f t="shared" si="119"/>
        <v xml:space="preserve"> </v>
      </c>
      <c r="AK163" s="444" t="str">
        <f t="shared" si="134"/>
        <v xml:space="preserve"> </v>
      </c>
      <c r="AL163" s="444" t="str">
        <f t="shared" si="135"/>
        <v xml:space="preserve"> </v>
      </c>
      <c r="AM163" s="444" t="str">
        <f t="shared" si="136"/>
        <v xml:space="preserve"> </v>
      </c>
      <c r="AN163" s="119" t="str">
        <f t="shared" si="137"/>
        <v xml:space="preserve"> </v>
      </c>
      <c r="AO163" s="444" t="str">
        <f t="shared" si="138"/>
        <v xml:space="preserve"> </v>
      </c>
      <c r="AP163" s="444" t="str">
        <f t="shared" si="139"/>
        <v xml:space="preserve"> </v>
      </c>
      <c r="AQ163" s="123" t="str">
        <f>IF(A163=" "," ",IF('#orgDung'!AF47=0,0,AO163/'#orgDung'!AF47))</f>
        <v xml:space="preserve"> </v>
      </c>
      <c r="AR163" s="47" t="str">
        <f>IF(A163=" "," ",IF('#orgDung'!AF47=0,0,AP163/'#orgDung'!AF47))</f>
        <v xml:space="preserve"> </v>
      </c>
      <c r="AS163" s="890">
        <f>IF(OR(B163=0,B163=""),0,MAX('Flächen u. Kulturen'!W43,AT163/B163))</f>
        <v>0</v>
      </c>
      <c r="AT163" s="875">
        <f t="shared" si="140"/>
        <v>0</v>
      </c>
      <c r="AU163" s="120"/>
    </row>
    <row r="164" spans="1:47" s="875" customFormat="1" x14ac:dyDescent="0.2">
      <c r="A164" s="42" t="str">
        <f>IF('Flächen u. Kulturen'!E44="x",IF(AND('#Kürzungen'!$F$2=2,'#BerechnungDBE'!R39=1,'Flächen u. Kulturen'!D44&lt;&gt;"",'#BerechnungDBE'!AF39=70),'Flächen u. Kulturen'!A44,IF(AND('#BerechnungDBE'!S39=1,'Flächen u. Kulturen'!D44&lt;&gt;"",'#BerechnungDBE'!AF39=70),'Flächen u. Kulturen'!A44," "))," ")</f>
        <v xml:space="preserve"> </v>
      </c>
      <c r="B164" s="505" t="str">
        <f>'Flächen u. Kulturen'!D44</f>
        <v/>
      </c>
      <c r="C164" s="42" t="str">
        <f>IF(A164=" "," ",'#BerechnungDBE'!AK39)</f>
        <v xml:space="preserve"> </v>
      </c>
      <c r="D164" s="42" t="str">
        <f>IF(A164=" "," ",'#BerechnungDBE'!CK39)</f>
        <v xml:space="preserve"> </v>
      </c>
      <c r="E164" s="42" t="str">
        <f t="shared" si="117"/>
        <v xml:space="preserve"> </v>
      </c>
      <c r="F164" s="869"/>
      <c r="G164" s="42" t="str">
        <f>IF(A164=" ","",'#BerechnungDBE'!CK39+'#BerechnungDBE'!CM39)</f>
        <v/>
      </c>
      <c r="H164" s="444" t="str">
        <f t="shared" si="106"/>
        <v/>
      </c>
      <c r="I164" s="444">
        <f>IF(A164=" ",0,'#minDung'!R45)</f>
        <v>0</v>
      </c>
      <c r="J164" s="430" t="str">
        <f t="shared" si="118"/>
        <v xml:space="preserve"> </v>
      </c>
      <c r="K164" s="444">
        <f>IF(A164=" ",0,'Flächen u. Kulturen'!W44)</f>
        <v>0</v>
      </c>
      <c r="L164" s="883" t="str">
        <f t="shared" si="130"/>
        <v/>
      </c>
      <c r="M164" s="444" t="str">
        <f t="shared" si="131"/>
        <v xml:space="preserve"> </v>
      </c>
      <c r="N164" s="444" t="str">
        <f t="shared" si="120"/>
        <v xml:space="preserve"> </v>
      </c>
      <c r="O164" s="911" t="str">
        <f t="shared" si="121"/>
        <v xml:space="preserve"> </v>
      </c>
      <c r="P164" s="912" t="str">
        <f t="shared" si="122"/>
        <v xml:space="preserve"> </v>
      </c>
      <c r="Q164" s="912" t="str">
        <f t="shared" si="123"/>
        <v xml:space="preserve"> </v>
      </c>
      <c r="R164" s="444" t="str">
        <f t="shared" si="132"/>
        <v/>
      </c>
      <c r="S164" s="444" t="str">
        <f t="shared" si="124"/>
        <v/>
      </c>
      <c r="T164" s="444" t="str">
        <f t="shared" si="133"/>
        <v xml:space="preserve"> </v>
      </c>
      <c r="U164" s="119" t="str">
        <f t="shared" si="125"/>
        <v xml:space="preserve"> </v>
      </c>
      <c r="V164" s="444" t="str">
        <f t="shared" si="107"/>
        <v xml:space="preserve"> </v>
      </c>
      <c r="W164" s="909" t="str">
        <f t="shared" si="108"/>
        <v xml:space="preserve"> </v>
      </c>
      <c r="X164" s="924" t="str">
        <f t="shared" si="126"/>
        <v xml:space="preserve"> </v>
      </c>
      <c r="Y164" s="444" t="str">
        <f t="shared" si="109"/>
        <v xml:space="preserve"> </v>
      </c>
      <c r="Z164" s="444" t="str">
        <f t="shared" si="110"/>
        <v xml:space="preserve"> </v>
      </c>
      <c r="AA164" s="444" t="str">
        <f t="shared" si="111"/>
        <v xml:space="preserve"> </v>
      </c>
      <c r="AB164" s="912" t="str">
        <f t="shared" si="112"/>
        <v xml:space="preserve"> </v>
      </c>
      <c r="AC164" s="912" t="str">
        <f t="shared" si="127"/>
        <v xml:space="preserve"> </v>
      </c>
      <c r="AD164" s="444" t="str">
        <f t="shared" si="113"/>
        <v xml:space="preserve"> </v>
      </c>
      <c r="AE164" s="444" t="str">
        <f t="shared" si="128"/>
        <v/>
      </c>
      <c r="AF164" s="444" t="str">
        <f t="shared" si="114"/>
        <v xml:space="preserve"> </v>
      </c>
      <c r="AG164" s="119" t="str">
        <f t="shared" si="129"/>
        <v xml:space="preserve"> </v>
      </c>
      <c r="AH164" s="444" t="str">
        <f t="shared" si="115"/>
        <v xml:space="preserve"> </v>
      </c>
      <c r="AI164" s="909" t="str">
        <f t="shared" si="116"/>
        <v xml:space="preserve"> </v>
      </c>
      <c r="AJ164" s="879" t="str">
        <f t="shared" si="119"/>
        <v xml:space="preserve"> </v>
      </c>
      <c r="AK164" s="444" t="str">
        <f t="shared" si="134"/>
        <v xml:space="preserve"> </v>
      </c>
      <c r="AL164" s="444" t="str">
        <f t="shared" si="135"/>
        <v xml:space="preserve"> </v>
      </c>
      <c r="AM164" s="444" t="str">
        <f t="shared" si="136"/>
        <v xml:space="preserve"> </v>
      </c>
      <c r="AN164" s="119" t="str">
        <f t="shared" si="137"/>
        <v xml:space="preserve"> </v>
      </c>
      <c r="AO164" s="444" t="str">
        <f t="shared" si="138"/>
        <v xml:space="preserve"> </v>
      </c>
      <c r="AP164" s="444" t="str">
        <f t="shared" si="139"/>
        <v xml:space="preserve"> </v>
      </c>
      <c r="AQ164" s="123" t="str">
        <f>IF(A164=" "," ",IF('#orgDung'!AF48=0,0,AO164/'#orgDung'!AF48))</f>
        <v xml:space="preserve"> </v>
      </c>
      <c r="AR164" s="47" t="str">
        <f>IF(A164=" "," ",IF('#orgDung'!AF48=0,0,AP164/'#orgDung'!AF48))</f>
        <v xml:space="preserve"> </v>
      </c>
      <c r="AS164" s="890">
        <f>IF(OR(B164=0,B164=""),0,MAX('Flächen u. Kulturen'!W44,AT164/B164))</f>
        <v>0</v>
      </c>
      <c r="AT164" s="875">
        <f t="shared" si="140"/>
        <v>0</v>
      </c>
      <c r="AU164" s="120"/>
    </row>
    <row r="165" spans="1:47" s="875" customFormat="1" x14ac:dyDescent="0.2">
      <c r="A165" s="42" t="str">
        <f>IF('Flächen u. Kulturen'!E45="x",IF(AND('#Kürzungen'!$F$2=2,'#BerechnungDBE'!R40=1,'Flächen u. Kulturen'!D45&lt;&gt;"",'#BerechnungDBE'!AF40=70),'Flächen u. Kulturen'!A45,IF(AND('#BerechnungDBE'!S40=1,'Flächen u. Kulturen'!D45&lt;&gt;"",'#BerechnungDBE'!AF40=70),'Flächen u. Kulturen'!A45," "))," ")</f>
        <v xml:space="preserve"> </v>
      </c>
      <c r="B165" s="505" t="str">
        <f>'Flächen u. Kulturen'!D45</f>
        <v/>
      </c>
      <c r="C165" s="42" t="str">
        <f>IF(A165=" "," ",'#BerechnungDBE'!AK40)</f>
        <v xml:space="preserve"> </v>
      </c>
      <c r="D165" s="42" t="str">
        <f>IF(A165=" "," ",'#BerechnungDBE'!CK40)</f>
        <v xml:space="preserve"> </v>
      </c>
      <c r="E165" s="42" t="str">
        <f t="shared" si="117"/>
        <v xml:space="preserve"> </v>
      </c>
      <c r="F165" s="869"/>
      <c r="G165" s="42" t="str">
        <f>IF(A165=" ","",'#BerechnungDBE'!CK40+'#BerechnungDBE'!CM40)</f>
        <v/>
      </c>
      <c r="H165" s="444" t="str">
        <f t="shared" si="106"/>
        <v/>
      </c>
      <c r="I165" s="444">
        <f>IF(A165=" ",0,'#minDung'!R46)</f>
        <v>0</v>
      </c>
      <c r="J165" s="430" t="str">
        <f t="shared" si="118"/>
        <v xml:space="preserve"> </v>
      </c>
      <c r="K165" s="444">
        <f>IF(A165=" ",0,'Flächen u. Kulturen'!W45)</f>
        <v>0</v>
      </c>
      <c r="L165" s="883" t="str">
        <f t="shared" si="130"/>
        <v/>
      </c>
      <c r="M165" s="444" t="str">
        <f t="shared" si="131"/>
        <v xml:space="preserve"> </v>
      </c>
      <c r="N165" s="444" t="str">
        <f t="shared" si="120"/>
        <v xml:space="preserve"> </v>
      </c>
      <c r="O165" s="911" t="str">
        <f t="shared" si="121"/>
        <v xml:space="preserve"> </v>
      </c>
      <c r="P165" s="912" t="str">
        <f t="shared" si="122"/>
        <v xml:space="preserve"> </v>
      </c>
      <c r="Q165" s="912" t="str">
        <f t="shared" si="123"/>
        <v xml:space="preserve"> </v>
      </c>
      <c r="R165" s="444" t="str">
        <f t="shared" si="132"/>
        <v/>
      </c>
      <c r="S165" s="444" t="str">
        <f t="shared" si="124"/>
        <v/>
      </c>
      <c r="T165" s="444" t="str">
        <f t="shared" si="133"/>
        <v xml:space="preserve"> </v>
      </c>
      <c r="U165" s="119" t="str">
        <f t="shared" si="125"/>
        <v xml:space="preserve"> </v>
      </c>
      <c r="V165" s="444" t="str">
        <f t="shared" si="107"/>
        <v xml:space="preserve"> </v>
      </c>
      <c r="W165" s="909" t="str">
        <f t="shared" si="108"/>
        <v xml:space="preserve"> </v>
      </c>
      <c r="X165" s="924" t="str">
        <f t="shared" si="126"/>
        <v xml:space="preserve"> </v>
      </c>
      <c r="Y165" s="444" t="str">
        <f t="shared" si="109"/>
        <v xml:space="preserve"> </v>
      </c>
      <c r="Z165" s="444" t="str">
        <f t="shared" si="110"/>
        <v xml:space="preserve"> </v>
      </c>
      <c r="AA165" s="444" t="str">
        <f t="shared" si="111"/>
        <v xml:space="preserve"> </v>
      </c>
      <c r="AB165" s="912" t="str">
        <f t="shared" si="112"/>
        <v xml:space="preserve"> </v>
      </c>
      <c r="AC165" s="912" t="str">
        <f t="shared" si="127"/>
        <v xml:space="preserve"> </v>
      </c>
      <c r="AD165" s="444" t="str">
        <f t="shared" si="113"/>
        <v xml:space="preserve"> </v>
      </c>
      <c r="AE165" s="444" t="str">
        <f t="shared" si="128"/>
        <v/>
      </c>
      <c r="AF165" s="444" t="str">
        <f t="shared" si="114"/>
        <v xml:space="preserve"> </v>
      </c>
      <c r="AG165" s="119" t="str">
        <f t="shared" si="129"/>
        <v xml:space="preserve"> </v>
      </c>
      <c r="AH165" s="444" t="str">
        <f t="shared" si="115"/>
        <v xml:space="preserve"> </v>
      </c>
      <c r="AI165" s="909" t="str">
        <f t="shared" si="116"/>
        <v xml:space="preserve"> </v>
      </c>
      <c r="AJ165" s="879" t="str">
        <f t="shared" si="119"/>
        <v xml:space="preserve"> </v>
      </c>
      <c r="AK165" s="444" t="str">
        <f t="shared" si="134"/>
        <v xml:space="preserve"> </v>
      </c>
      <c r="AL165" s="444" t="str">
        <f t="shared" si="135"/>
        <v xml:space="preserve"> </v>
      </c>
      <c r="AM165" s="444" t="str">
        <f t="shared" si="136"/>
        <v xml:space="preserve"> </v>
      </c>
      <c r="AN165" s="119" t="str">
        <f t="shared" si="137"/>
        <v xml:space="preserve"> </v>
      </c>
      <c r="AO165" s="444" t="str">
        <f t="shared" si="138"/>
        <v xml:space="preserve"> </v>
      </c>
      <c r="AP165" s="444" t="str">
        <f t="shared" si="139"/>
        <v xml:space="preserve"> </v>
      </c>
      <c r="AQ165" s="123" t="str">
        <f>IF(A165=" "," ",IF('#orgDung'!AF49=0,0,AO165/'#orgDung'!AF49))</f>
        <v xml:space="preserve"> </v>
      </c>
      <c r="AR165" s="47" t="str">
        <f>IF(A165=" "," ",IF('#orgDung'!AF49=0,0,AP165/'#orgDung'!AF49))</f>
        <v xml:space="preserve"> </v>
      </c>
      <c r="AS165" s="890">
        <f>IF(OR(B165=0,B165=""),0,MAX('Flächen u. Kulturen'!W45,AT165/B165))</f>
        <v>0</v>
      </c>
      <c r="AT165" s="875">
        <f t="shared" si="140"/>
        <v>0</v>
      </c>
      <c r="AU165" s="120"/>
    </row>
    <row r="166" spans="1:47" s="875" customFormat="1" x14ac:dyDescent="0.2">
      <c r="A166" s="42" t="str">
        <f>IF('Flächen u. Kulturen'!E46="x",IF(AND('#Kürzungen'!$F$2=2,'#BerechnungDBE'!R41=1,'Flächen u. Kulturen'!D46&lt;&gt;"",'#BerechnungDBE'!AF41=70),'Flächen u. Kulturen'!A46,IF(AND('#BerechnungDBE'!S41=1,'Flächen u. Kulturen'!D46&lt;&gt;"",'#BerechnungDBE'!AF41=70),'Flächen u. Kulturen'!A46," "))," ")</f>
        <v xml:space="preserve"> </v>
      </c>
      <c r="B166" s="505" t="str">
        <f>'Flächen u. Kulturen'!D46</f>
        <v/>
      </c>
      <c r="C166" s="42" t="str">
        <f>IF(A166=" "," ",'#BerechnungDBE'!AK41)</f>
        <v xml:space="preserve"> </v>
      </c>
      <c r="D166" s="42" t="str">
        <f>IF(A166=" "," ",'#BerechnungDBE'!CK41)</f>
        <v xml:space="preserve"> </v>
      </c>
      <c r="E166" s="42" t="str">
        <f t="shared" si="117"/>
        <v xml:space="preserve"> </v>
      </c>
      <c r="F166" s="869"/>
      <c r="G166" s="42" t="str">
        <f>IF(A166=" ","",'#BerechnungDBE'!CK41+'#BerechnungDBE'!CM41)</f>
        <v/>
      </c>
      <c r="H166" s="444" t="str">
        <f t="shared" si="106"/>
        <v/>
      </c>
      <c r="I166" s="444">
        <f>IF(A166=" ",0,'#minDung'!R47)</f>
        <v>0</v>
      </c>
      <c r="J166" s="430" t="str">
        <f t="shared" si="118"/>
        <v xml:space="preserve"> </v>
      </c>
      <c r="K166" s="444">
        <f>IF(A166=" ",0,'Flächen u. Kulturen'!W46)</f>
        <v>0</v>
      </c>
      <c r="L166" s="883" t="str">
        <f t="shared" si="130"/>
        <v/>
      </c>
      <c r="M166" s="444" t="str">
        <f t="shared" si="131"/>
        <v xml:space="preserve"> </v>
      </c>
      <c r="N166" s="444" t="str">
        <f t="shared" si="120"/>
        <v xml:space="preserve"> </v>
      </c>
      <c r="O166" s="911" t="str">
        <f t="shared" si="121"/>
        <v xml:space="preserve"> </v>
      </c>
      <c r="P166" s="912" t="str">
        <f t="shared" si="122"/>
        <v xml:space="preserve"> </v>
      </c>
      <c r="Q166" s="912" t="str">
        <f t="shared" si="123"/>
        <v xml:space="preserve"> </v>
      </c>
      <c r="R166" s="444" t="str">
        <f t="shared" si="132"/>
        <v/>
      </c>
      <c r="S166" s="444" t="str">
        <f t="shared" si="124"/>
        <v/>
      </c>
      <c r="T166" s="444" t="str">
        <f t="shared" si="133"/>
        <v xml:space="preserve"> </v>
      </c>
      <c r="U166" s="119" t="str">
        <f t="shared" si="125"/>
        <v xml:space="preserve"> </v>
      </c>
      <c r="V166" s="444" t="str">
        <f t="shared" si="107"/>
        <v xml:space="preserve"> </v>
      </c>
      <c r="W166" s="909" t="str">
        <f t="shared" si="108"/>
        <v xml:space="preserve"> </v>
      </c>
      <c r="X166" s="924" t="str">
        <f t="shared" si="126"/>
        <v xml:space="preserve"> </v>
      </c>
      <c r="Y166" s="444" t="str">
        <f t="shared" si="109"/>
        <v xml:space="preserve"> </v>
      </c>
      <c r="Z166" s="444" t="str">
        <f t="shared" si="110"/>
        <v xml:space="preserve"> </v>
      </c>
      <c r="AA166" s="444" t="str">
        <f t="shared" si="111"/>
        <v xml:space="preserve"> </v>
      </c>
      <c r="AB166" s="912" t="str">
        <f t="shared" si="112"/>
        <v xml:space="preserve"> </v>
      </c>
      <c r="AC166" s="912" t="str">
        <f t="shared" si="127"/>
        <v xml:space="preserve"> </v>
      </c>
      <c r="AD166" s="444" t="str">
        <f t="shared" si="113"/>
        <v xml:space="preserve"> </v>
      </c>
      <c r="AE166" s="444" t="str">
        <f t="shared" si="128"/>
        <v/>
      </c>
      <c r="AF166" s="444" t="str">
        <f t="shared" si="114"/>
        <v xml:space="preserve"> </v>
      </c>
      <c r="AG166" s="119" t="str">
        <f t="shared" si="129"/>
        <v xml:space="preserve"> </v>
      </c>
      <c r="AH166" s="444" t="str">
        <f t="shared" si="115"/>
        <v xml:space="preserve"> </v>
      </c>
      <c r="AI166" s="909" t="str">
        <f t="shared" si="116"/>
        <v xml:space="preserve"> </v>
      </c>
      <c r="AJ166" s="879" t="str">
        <f t="shared" si="119"/>
        <v xml:space="preserve"> </v>
      </c>
      <c r="AK166" s="444" t="str">
        <f t="shared" si="134"/>
        <v xml:space="preserve"> </v>
      </c>
      <c r="AL166" s="444" t="str">
        <f t="shared" si="135"/>
        <v xml:space="preserve"> </v>
      </c>
      <c r="AM166" s="444" t="str">
        <f t="shared" si="136"/>
        <v xml:space="preserve"> </v>
      </c>
      <c r="AN166" s="119" t="str">
        <f t="shared" si="137"/>
        <v xml:space="preserve"> </v>
      </c>
      <c r="AO166" s="444" t="str">
        <f t="shared" si="138"/>
        <v xml:space="preserve"> </v>
      </c>
      <c r="AP166" s="444" t="str">
        <f t="shared" si="139"/>
        <v xml:space="preserve"> </v>
      </c>
      <c r="AQ166" s="123" t="str">
        <f>IF(A166=" "," ",IF('#orgDung'!AF50=0,0,AO166/'#orgDung'!AF50))</f>
        <v xml:space="preserve"> </v>
      </c>
      <c r="AR166" s="47" t="str">
        <f>IF(A166=" "," ",IF('#orgDung'!AF50=0,0,AP166/'#orgDung'!AF50))</f>
        <v xml:space="preserve"> </v>
      </c>
      <c r="AS166" s="890">
        <f>IF(OR(B166=0,B166=""),0,MAX('Flächen u. Kulturen'!W46,AT166/B166))</f>
        <v>0</v>
      </c>
      <c r="AT166" s="875">
        <f t="shared" si="140"/>
        <v>0</v>
      </c>
      <c r="AU166" s="120"/>
    </row>
    <row r="167" spans="1:47" s="875" customFormat="1" x14ac:dyDescent="0.2">
      <c r="A167" s="42" t="str">
        <f>IF('Flächen u. Kulturen'!E47="x",IF(AND('#Kürzungen'!$F$2=2,'#BerechnungDBE'!R42=1,'Flächen u. Kulturen'!D47&lt;&gt;"",'#BerechnungDBE'!AF42=70),'Flächen u. Kulturen'!A47,IF(AND('#BerechnungDBE'!S42=1,'Flächen u. Kulturen'!D47&lt;&gt;"",'#BerechnungDBE'!AF42=70),'Flächen u. Kulturen'!A47," "))," ")</f>
        <v xml:space="preserve"> </v>
      </c>
      <c r="B167" s="505" t="str">
        <f>'Flächen u. Kulturen'!D47</f>
        <v/>
      </c>
      <c r="C167" s="42" t="str">
        <f>IF(A167=" "," ",'#BerechnungDBE'!AK42)</f>
        <v xml:space="preserve"> </v>
      </c>
      <c r="D167" s="42" t="str">
        <f>IF(A167=" "," ",'#BerechnungDBE'!CK42)</f>
        <v xml:space="preserve"> </v>
      </c>
      <c r="E167" s="42" t="str">
        <f t="shared" si="117"/>
        <v xml:space="preserve"> </v>
      </c>
      <c r="F167" s="869"/>
      <c r="G167" s="42" t="str">
        <f>IF(A167=" ","",'#BerechnungDBE'!CK42+'#BerechnungDBE'!CM42)</f>
        <v/>
      </c>
      <c r="H167" s="444" t="str">
        <f t="shared" si="106"/>
        <v/>
      </c>
      <c r="I167" s="444">
        <f>IF(A167=" ",0,'#minDung'!R48)</f>
        <v>0</v>
      </c>
      <c r="J167" s="430" t="str">
        <f t="shared" si="118"/>
        <v xml:space="preserve"> </v>
      </c>
      <c r="K167" s="444">
        <f>IF(A167=" ",0,'Flächen u. Kulturen'!W47)</f>
        <v>0</v>
      </c>
      <c r="L167" s="883" t="str">
        <f t="shared" si="130"/>
        <v/>
      </c>
      <c r="M167" s="444" t="str">
        <f t="shared" si="131"/>
        <v xml:space="preserve"> </v>
      </c>
      <c r="N167" s="444" t="str">
        <f t="shared" si="120"/>
        <v xml:space="preserve"> </v>
      </c>
      <c r="O167" s="911" t="str">
        <f t="shared" si="121"/>
        <v xml:space="preserve"> </v>
      </c>
      <c r="P167" s="912" t="str">
        <f t="shared" si="122"/>
        <v xml:space="preserve"> </v>
      </c>
      <c r="Q167" s="912" t="str">
        <f t="shared" si="123"/>
        <v xml:space="preserve"> </v>
      </c>
      <c r="R167" s="444" t="str">
        <f t="shared" si="132"/>
        <v/>
      </c>
      <c r="S167" s="444" t="str">
        <f t="shared" si="124"/>
        <v/>
      </c>
      <c r="T167" s="444" t="str">
        <f t="shared" si="133"/>
        <v xml:space="preserve"> </v>
      </c>
      <c r="U167" s="119" t="str">
        <f t="shared" si="125"/>
        <v xml:space="preserve"> </v>
      </c>
      <c r="V167" s="444" t="str">
        <f t="shared" si="107"/>
        <v xml:space="preserve"> </v>
      </c>
      <c r="W167" s="909" t="str">
        <f t="shared" si="108"/>
        <v xml:space="preserve"> </v>
      </c>
      <c r="X167" s="924" t="str">
        <f t="shared" si="126"/>
        <v xml:space="preserve"> </v>
      </c>
      <c r="Y167" s="444" t="str">
        <f t="shared" si="109"/>
        <v xml:space="preserve"> </v>
      </c>
      <c r="Z167" s="444" t="str">
        <f t="shared" si="110"/>
        <v xml:space="preserve"> </v>
      </c>
      <c r="AA167" s="444" t="str">
        <f t="shared" si="111"/>
        <v xml:space="preserve"> </v>
      </c>
      <c r="AB167" s="912" t="str">
        <f t="shared" si="112"/>
        <v xml:space="preserve"> </v>
      </c>
      <c r="AC167" s="912" t="str">
        <f t="shared" si="127"/>
        <v xml:space="preserve"> </v>
      </c>
      <c r="AD167" s="444" t="str">
        <f t="shared" si="113"/>
        <v xml:space="preserve"> </v>
      </c>
      <c r="AE167" s="444" t="str">
        <f t="shared" si="128"/>
        <v/>
      </c>
      <c r="AF167" s="444" t="str">
        <f t="shared" si="114"/>
        <v xml:space="preserve"> </v>
      </c>
      <c r="AG167" s="119" t="str">
        <f t="shared" si="129"/>
        <v xml:space="preserve"> </v>
      </c>
      <c r="AH167" s="444" t="str">
        <f t="shared" si="115"/>
        <v xml:space="preserve"> </v>
      </c>
      <c r="AI167" s="909" t="str">
        <f t="shared" si="116"/>
        <v xml:space="preserve"> </v>
      </c>
      <c r="AJ167" s="879" t="str">
        <f t="shared" si="119"/>
        <v xml:space="preserve"> </v>
      </c>
      <c r="AK167" s="444" t="str">
        <f t="shared" si="134"/>
        <v xml:space="preserve"> </v>
      </c>
      <c r="AL167" s="444" t="str">
        <f t="shared" si="135"/>
        <v xml:space="preserve"> </v>
      </c>
      <c r="AM167" s="444" t="str">
        <f t="shared" si="136"/>
        <v xml:space="preserve"> </v>
      </c>
      <c r="AN167" s="119" t="str">
        <f t="shared" si="137"/>
        <v xml:space="preserve"> </v>
      </c>
      <c r="AO167" s="444" t="str">
        <f t="shared" si="138"/>
        <v xml:space="preserve"> </v>
      </c>
      <c r="AP167" s="444" t="str">
        <f t="shared" si="139"/>
        <v xml:space="preserve"> </v>
      </c>
      <c r="AQ167" s="123" t="str">
        <f>IF(A167=" "," ",IF('#orgDung'!AF51=0,0,AO167/'#orgDung'!AF51))</f>
        <v xml:space="preserve"> </v>
      </c>
      <c r="AR167" s="47" t="str">
        <f>IF(A167=" "," ",IF('#orgDung'!AF51=0,0,AP167/'#orgDung'!AF51))</f>
        <v xml:space="preserve"> </v>
      </c>
      <c r="AS167" s="890">
        <f>IF(OR(B167=0,B167=""),0,MAX('Flächen u. Kulturen'!W47,AT167/B167))</f>
        <v>0</v>
      </c>
      <c r="AT167" s="875">
        <f t="shared" si="140"/>
        <v>0</v>
      </c>
      <c r="AU167" s="120"/>
    </row>
    <row r="168" spans="1:47" s="875" customFormat="1" x14ac:dyDescent="0.2">
      <c r="A168" s="42" t="str">
        <f>IF('Flächen u. Kulturen'!E48="x",IF(AND('#Kürzungen'!$F$2=2,'#BerechnungDBE'!R43=1,'Flächen u. Kulturen'!D48&lt;&gt;"",'#BerechnungDBE'!AF43=70),'Flächen u. Kulturen'!A48,IF(AND('#BerechnungDBE'!S43=1,'Flächen u. Kulturen'!D48&lt;&gt;"",'#BerechnungDBE'!AF43=70),'Flächen u. Kulturen'!A48," "))," ")</f>
        <v xml:space="preserve"> </v>
      </c>
      <c r="B168" s="505" t="str">
        <f>'Flächen u. Kulturen'!D48</f>
        <v/>
      </c>
      <c r="C168" s="42" t="str">
        <f>IF(A168=" "," ",'#BerechnungDBE'!AK43)</f>
        <v xml:space="preserve"> </v>
      </c>
      <c r="D168" s="42" t="str">
        <f>IF(A168=" "," ",'#BerechnungDBE'!CK43)</f>
        <v xml:space="preserve"> </v>
      </c>
      <c r="E168" s="42" t="str">
        <f t="shared" si="117"/>
        <v xml:space="preserve"> </v>
      </c>
      <c r="F168" s="869"/>
      <c r="G168" s="42" t="str">
        <f>IF(A168=" ","",'#BerechnungDBE'!CK43+'#BerechnungDBE'!CM43)</f>
        <v/>
      </c>
      <c r="H168" s="444" t="str">
        <f t="shared" si="106"/>
        <v/>
      </c>
      <c r="I168" s="444">
        <f>IF(A168=" ",0,'#minDung'!R49)</f>
        <v>0</v>
      </c>
      <c r="J168" s="430" t="str">
        <f t="shared" si="118"/>
        <v xml:space="preserve"> </v>
      </c>
      <c r="K168" s="444">
        <f>IF(A168=" ",0,'Flächen u. Kulturen'!W48)</f>
        <v>0</v>
      </c>
      <c r="L168" s="883" t="str">
        <f t="shared" si="130"/>
        <v/>
      </c>
      <c r="M168" s="444" t="str">
        <f t="shared" si="131"/>
        <v xml:space="preserve"> </v>
      </c>
      <c r="N168" s="444" t="str">
        <f t="shared" si="120"/>
        <v xml:space="preserve"> </v>
      </c>
      <c r="O168" s="911" t="str">
        <f t="shared" si="121"/>
        <v xml:space="preserve"> </v>
      </c>
      <c r="P168" s="912" t="str">
        <f t="shared" si="122"/>
        <v xml:space="preserve"> </v>
      </c>
      <c r="Q168" s="912" t="str">
        <f t="shared" si="123"/>
        <v xml:space="preserve"> </v>
      </c>
      <c r="R168" s="444" t="str">
        <f t="shared" si="132"/>
        <v/>
      </c>
      <c r="S168" s="444" t="str">
        <f t="shared" si="124"/>
        <v/>
      </c>
      <c r="T168" s="444" t="str">
        <f t="shared" si="133"/>
        <v xml:space="preserve"> </v>
      </c>
      <c r="U168" s="119" t="str">
        <f t="shared" si="125"/>
        <v xml:space="preserve"> </v>
      </c>
      <c r="V168" s="444" t="str">
        <f t="shared" si="107"/>
        <v xml:space="preserve"> </v>
      </c>
      <c r="W168" s="909" t="str">
        <f t="shared" si="108"/>
        <v xml:space="preserve"> </v>
      </c>
      <c r="X168" s="924" t="str">
        <f t="shared" si="126"/>
        <v xml:space="preserve"> </v>
      </c>
      <c r="Y168" s="444" t="str">
        <f t="shared" si="109"/>
        <v xml:space="preserve"> </v>
      </c>
      <c r="Z168" s="444" t="str">
        <f t="shared" si="110"/>
        <v xml:space="preserve"> </v>
      </c>
      <c r="AA168" s="444" t="str">
        <f t="shared" si="111"/>
        <v xml:space="preserve"> </v>
      </c>
      <c r="AB168" s="912" t="str">
        <f t="shared" si="112"/>
        <v xml:space="preserve"> </v>
      </c>
      <c r="AC168" s="912" t="str">
        <f t="shared" si="127"/>
        <v xml:space="preserve"> </v>
      </c>
      <c r="AD168" s="444" t="str">
        <f t="shared" si="113"/>
        <v xml:space="preserve"> </v>
      </c>
      <c r="AE168" s="444" t="str">
        <f t="shared" si="128"/>
        <v/>
      </c>
      <c r="AF168" s="444" t="str">
        <f t="shared" si="114"/>
        <v xml:space="preserve"> </v>
      </c>
      <c r="AG168" s="119" t="str">
        <f t="shared" si="129"/>
        <v xml:space="preserve"> </v>
      </c>
      <c r="AH168" s="444" t="str">
        <f t="shared" si="115"/>
        <v xml:space="preserve"> </v>
      </c>
      <c r="AI168" s="909" t="str">
        <f t="shared" si="116"/>
        <v xml:space="preserve"> </v>
      </c>
      <c r="AJ168" s="879" t="str">
        <f t="shared" si="119"/>
        <v xml:space="preserve"> </v>
      </c>
      <c r="AK168" s="444" t="str">
        <f t="shared" si="134"/>
        <v xml:space="preserve"> </v>
      </c>
      <c r="AL168" s="444" t="str">
        <f t="shared" si="135"/>
        <v xml:space="preserve"> </v>
      </c>
      <c r="AM168" s="444" t="str">
        <f t="shared" si="136"/>
        <v xml:space="preserve"> </v>
      </c>
      <c r="AN168" s="119" t="str">
        <f t="shared" si="137"/>
        <v xml:space="preserve"> </v>
      </c>
      <c r="AO168" s="444" t="str">
        <f t="shared" si="138"/>
        <v xml:space="preserve"> </v>
      </c>
      <c r="AP168" s="444" t="str">
        <f t="shared" si="139"/>
        <v xml:space="preserve"> </v>
      </c>
      <c r="AQ168" s="123" t="str">
        <f>IF(A168=" "," ",IF('#orgDung'!AF52=0,0,AO168/'#orgDung'!AF52))</f>
        <v xml:space="preserve"> </v>
      </c>
      <c r="AR168" s="47" t="str">
        <f>IF(A168=" "," ",IF('#orgDung'!AF52=0,0,AP168/'#orgDung'!AF52))</f>
        <v xml:space="preserve"> </v>
      </c>
      <c r="AS168" s="890">
        <f>IF(OR(B168=0,B168=""),0,MAX('Flächen u. Kulturen'!W48,AT168/B168))</f>
        <v>0</v>
      </c>
      <c r="AT168" s="875">
        <f t="shared" si="140"/>
        <v>0</v>
      </c>
      <c r="AU168" s="120"/>
    </row>
    <row r="169" spans="1:47" s="875" customFormat="1" x14ac:dyDescent="0.2">
      <c r="A169" s="42" t="str">
        <f>IF('Flächen u. Kulturen'!E49="x",IF(AND('#Kürzungen'!$F$2=2,'#BerechnungDBE'!R44=1,'Flächen u. Kulturen'!D49&lt;&gt;"",'#BerechnungDBE'!AF44=70),'Flächen u. Kulturen'!A49,IF(AND('#BerechnungDBE'!S44=1,'Flächen u. Kulturen'!D49&lt;&gt;"",'#BerechnungDBE'!AF44=70),'Flächen u. Kulturen'!A49," "))," ")</f>
        <v xml:space="preserve"> </v>
      </c>
      <c r="B169" s="505" t="str">
        <f>'Flächen u. Kulturen'!D49</f>
        <v/>
      </c>
      <c r="C169" s="42" t="str">
        <f>IF(A169=" "," ",'#BerechnungDBE'!AK44)</f>
        <v xml:space="preserve"> </v>
      </c>
      <c r="D169" s="42" t="str">
        <f>IF(A169=" "," ",'#BerechnungDBE'!CK44)</f>
        <v xml:space="preserve"> </v>
      </c>
      <c r="E169" s="42" t="str">
        <f t="shared" si="117"/>
        <v xml:space="preserve"> </v>
      </c>
      <c r="F169" s="869"/>
      <c r="G169" s="42" t="str">
        <f>IF(A169=" ","",'#BerechnungDBE'!CK44+'#BerechnungDBE'!CM44)</f>
        <v/>
      </c>
      <c r="H169" s="444" t="str">
        <f t="shared" si="106"/>
        <v/>
      </c>
      <c r="I169" s="444">
        <f>IF(A169=" ",0,'#minDung'!R50)</f>
        <v>0</v>
      </c>
      <c r="J169" s="430" t="str">
        <f t="shared" si="118"/>
        <v xml:space="preserve"> </v>
      </c>
      <c r="K169" s="444">
        <f>IF(A169=" ",0,'Flächen u. Kulturen'!W49)</f>
        <v>0</v>
      </c>
      <c r="L169" s="883" t="str">
        <f t="shared" si="130"/>
        <v/>
      </c>
      <c r="M169" s="444" t="str">
        <f t="shared" si="131"/>
        <v xml:space="preserve"> </v>
      </c>
      <c r="N169" s="444" t="str">
        <f t="shared" si="120"/>
        <v xml:space="preserve"> </v>
      </c>
      <c r="O169" s="911" t="str">
        <f t="shared" si="121"/>
        <v xml:space="preserve"> </v>
      </c>
      <c r="P169" s="912" t="str">
        <f t="shared" si="122"/>
        <v xml:space="preserve"> </v>
      </c>
      <c r="Q169" s="912" t="str">
        <f t="shared" si="123"/>
        <v xml:space="preserve"> </v>
      </c>
      <c r="R169" s="444" t="str">
        <f t="shared" si="132"/>
        <v/>
      </c>
      <c r="S169" s="444" t="str">
        <f t="shared" si="124"/>
        <v/>
      </c>
      <c r="T169" s="444" t="str">
        <f t="shared" si="133"/>
        <v xml:space="preserve"> </v>
      </c>
      <c r="U169" s="119" t="str">
        <f t="shared" si="125"/>
        <v xml:space="preserve"> </v>
      </c>
      <c r="V169" s="444" t="str">
        <f t="shared" si="107"/>
        <v xml:space="preserve"> </v>
      </c>
      <c r="W169" s="909" t="str">
        <f t="shared" si="108"/>
        <v xml:space="preserve"> </v>
      </c>
      <c r="X169" s="924" t="str">
        <f t="shared" si="126"/>
        <v xml:space="preserve"> </v>
      </c>
      <c r="Y169" s="444" t="str">
        <f t="shared" si="109"/>
        <v xml:space="preserve"> </v>
      </c>
      <c r="Z169" s="444" t="str">
        <f t="shared" si="110"/>
        <v xml:space="preserve"> </v>
      </c>
      <c r="AA169" s="444" t="str">
        <f t="shared" si="111"/>
        <v xml:space="preserve"> </v>
      </c>
      <c r="AB169" s="912" t="str">
        <f t="shared" si="112"/>
        <v xml:space="preserve"> </v>
      </c>
      <c r="AC169" s="912" t="str">
        <f t="shared" si="127"/>
        <v xml:space="preserve"> </v>
      </c>
      <c r="AD169" s="444" t="str">
        <f t="shared" si="113"/>
        <v xml:space="preserve"> </v>
      </c>
      <c r="AE169" s="444" t="str">
        <f t="shared" si="128"/>
        <v/>
      </c>
      <c r="AF169" s="444" t="str">
        <f t="shared" si="114"/>
        <v xml:space="preserve"> </v>
      </c>
      <c r="AG169" s="119" t="str">
        <f t="shared" si="129"/>
        <v xml:space="preserve"> </v>
      </c>
      <c r="AH169" s="444" t="str">
        <f t="shared" si="115"/>
        <v xml:space="preserve"> </v>
      </c>
      <c r="AI169" s="909" t="str">
        <f t="shared" si="116"/>
        <v xml:space="preserve"> </v>
      </c>
      <c r="AJ169" s="879" t="str">
        <f t="shared" si="119"/>
        <v xml:space="preserve"> </v>
      </c>
      <c r="AK169" s="444" t="str">
        <f t="shared" si="134"/>
        <v xml:space="preserve"> </v>
      </c>
      <c r="AL169" s="444" t="str">
        <f t="shared" si="135"/>
        <v xml:space="preserve"> </v>
      </c>
      <c r="AM169" s="444" t="str">
        <f t="shared" si="136"/>
        <v xml:space="preserve"> </v>
      </c>
      <c r="AN169" s="119" t="str">
        <f t="shared" si="137"/>
        <v xml:space="preserve"> </v>
      </c>
      <c r="AO169" s="444" t="str">
        <f t="shared" si="138"/>
        <v xml:space="preserve"> </v>
      </c>
      <c r="AP169" s="444" t="str">
        <f t="shared" si="139"/>
        <v xml:space="preserve"> </v>
      </c>
      <c r="AQ169" s="123" t="str">
        <f>IF(A169=" "," ",IF('#orgDung'!AF53=0,0,AO169/'#orgDung'!AF53))</f>
        <v xml:space="preserve"> </v>
      </c>
      <c r="AR169" s="47" t="str">
        <f>IF(A169=" "," ",IF('#orgDung'!AF53=0,0,AP169/'#orgDung'!AF53))</f>
        <v xml:space="preserve"> </v>
      </c>
      <c r="AS169" s="890">
        <f>IF(OR(B169=0,B169=""),0,MAX('Flächen u. Kulturen'!W49,AT169/B169))</f>
        <v>0</v>
      </c>
      <c r="AT169" s="875">
        <f t="shared" si="140"/>
        <v>0</v>
      </c>
      <c r="AU169" s="120"/>
    </row>
    <row r="170" spans="1:47" s="875" customFormat="1" x14ac:dyDescent="0.2">
      <c r="A170" s="42" t="str">
        <f>IF('Flächen u. Kulturen'!E50="x",IF(AND('#Kürzungen'!$F$2=2,'#BerechnungDBE'!R45=1,'Flächen u. Kulturen'!D50&lt;&gt;"",'#BerechnungDBE'!AF45=70),'Flächen u. Kulturen'!A50,IF(AND('#BerechnungDBE'!S45=1,'Flächen u. Kulturen'!D50&lt;&gt;"",'#BerechnungDBE'!AF45=70),'Flächen u. Kulturen'!A50," "))," ")</f>
        <v xml:space="preserve"> </v>
      </c>
      <c r="B170" s="505" t="str">
        <f>'Flächen u. Kulturen'!D50</f>
        <v/>
      </c>
      <c r="C170" s="42" t="str">
        <f>IF(A170=" "," ",'#BerechnungDBE'!AK45)</f>
        <v xml:space="preserve"> </v>
      </c>
      <c r="D170" s="42" t="str">
        <f>IF(A170=" "," ",'#BerechnungDBE'!CK45)</f>
        <v xml:space="preserve"> </v>
      </c>
      <c r="E170" s="42" t="str">
        <f t="shared" si="117"/>
        <v xml:space="preserve"> </v>
      </c>
      <c r="F170" s="869"/>
      <c r="G170" s="42" t="str">
        <f>IF(A170=" ","",'#BerechnungDBE'!CK45+'#BerechnungDBE'!CM45)</f>
        <v/>
      </c>
      <c r="H170" s="444" t="str">
        <f t="shared" si="106"/>
        <v/>
      </c>
      <c r="I170" s="444">
        <f>IF(A170=" ",0,'#minDung'!R51)</f>
        <v>0</v>
      </c>
      <c r="J170" s="430" t="str">
        <f t="shared" si="118"/>
        <v xml:space="preserve"> </v>
      </c>
      <c r="K170" s="444">
        <f>IF(A170=" ",0,'Flächen u. Kulturen'!W50)</f>
        <v>0</v>
      </c>
      <c r="L170" s="883" t="str">
        <f t="shared" si="130"/>
        <v/>
      </c>
      <c r="M170" s="444" t="str">
        <f t="shared" si="131"/>
        <v xml:space="preserve"> </v>
      </c>
      <c r="N170" s="444" t="str">
        <f t="shared" si="120"/>
        <v xml:space="preserve"> </v>
      </c>
      <c r="O170" s="911" t="str">
        <f t="shared" si="121"/>
        <v xml:space="preserve"> </v>
      </c>
      <c r="P170" s="912" t="str">
        <f t="shared" si="122"/>
        <v xml:space="preserve"> </v>
      </c>
      <c r="Q170" s="912" t="str">
        <f t="shared" si="123"/>
        <v xml:space="preserve"> </v>
      </c>
      <c r="R170" s="444" t="str">
        <f t="shared" si="132"/>
        <v/>
      </c>
      <c r="S170" s="444" t="str">
        <f t="shared" si="124"/>
        <v/>
      </c>
      <c r="T170" s="444" t="str">
        <f t="shared" si="133"/>
        <v xml:space="preserve"> </v>
      </c>
      <c r="U170" s="119" t="str">
        <f t="shared" si="125"/>
        <v xml:space="preserve"> </v>
      </c>
      <c r="V170" s="444" t="str">
        <f t="shared" si="107"/>
        <v xml:space="preserve"> </v>
      </c>
      <c r="W170" s="909" t="str">
        <f t="shared" si="108"/>
        <v xml:space="preserve"> </v>
      </c>
      <c r="X170" s="924" t="str">
        <f t="shared" si="126"/>
        <v xml:space="preserve"> </v>
      </c>
      <c r="Y170" s="444" t="str">
        <f t="shared" si="109"/>
        <v xml:space="preserve"> </v>
      </c>
      <c r="Z170" s="444" t="str">
        <f t="shared" si="110"/>
        <v xml:space="preserve"> </v>
      </c>
      <c r="AA170" s="444" t="str">
        <f t="shared" si="111"/>
        <v xml:space="preserve"> </v>
      </c>
      <c r="AB170" s="912" t="str">
        <f t="shared" si="112"/>
        <v xml:space="preserve"> </v>
      </c>
      <c r="AC170" s="912" t="str">
        <f t="shared" si="127"/>
        <v xml:space="preserve"> </v>
      </c>
      <c r="AD170" s="444" t="str">
        <f t="shared" si="113"/>
        <v xml:space="preserve"> </v>
      </c>
      <c r="AE170" s="444" t="str">
        <f t="shared" si="128"/>
        <v/>
      </c>
      <c r="AF170" s="444" t="str">
        <f t="shared" si="114"/>
        <v xml:space="preserve"> </v>
      </c>
      <c r="AG170" s="119" t="str">
        <f t="shared" si="129"/>
        <v xml:space="preserve"> </v>
      </c>
      <c r="AH170" s="444" t="str">
        <f t="shared" si="115"/>
        <v xml:space="preserve"> </v>
      </c>
      <c r="AI170" s="909" t="str">
        <f t="shared" si="116"/>
        <v xml:space="preserve"> </v>
      </c>
      <c r="AJ170" s="879" t="str">
        <f t="shared" si="119"/>
        <v xml:space="preserve"> </v>
      </c>
      <c r="AK170" s="444" t="str">
        <f t="shared" si="134"/>
        <v xml:space="preserve"> </v>
      </c>
      <c r="AL170" s="444" t="str">
        <f t="shared" si="135"/>
        <v xml:space="preserve"> </v>
      </c>
      <c r="AM170" s="444" t="str">
        <f t="shared" si="136"/>
        <v xml:space="preserve"> </v>
      </c>
      <c r="AN170" s="119" t="str">
        <f t="shared" si="137"/>
        <v xml:space="preserve"> </v>
      </c>
      <c r="AO170" s="444" t="str">
        <f t="shared" si="138"/>
        <v xml:space="preserve"> </v>
      </c>
      <c r="AP170" s="444" t="str">
        <f t="shared" si="139"/>
        <v xml:space="preserve"> </v>
      </c>
      <c r="AQ170" s="123" t="str">
        <f>IF(A170=" "," ",IF('#orgDung'!AF54=0,0,AO170/'#orgDung'!AF54))</f>
        <v xml:space="preserve"> </v>
      </c>
      <c r="AR170" s="47" t="str">
        <f>IF(A170=" "," ",IF('#orgDung'!AF54=0,0,AP170/'#orgDung'!AF54))</f>
        <v xml:space="preserve"> </v>
      </c>
      <c r="AS170" s="890">
        <f>IF(OR(B170=0,B170=""),0,MAX('Flächen u. Kulturen'!W50,AT170/B170))</f>
        <v>0</v>
      </c>
      <c r="AT170" s="875">
        <f t="shared" si="140"/>
        <v>0</v>
      </c>
      <c r="AU170" s="120"/>
    </row>
    <row r="171" spans="1:47" s="875" customFormat="1" x14ac:dyDescent="0.2">
      <c r="A171" s="42" t="str">
        <f>IF('Flächen u. Kulturen'!E51="x",IF(AND('#Kürzungen'!$F$2=2,'#BerechnungDBE'!R46=1,'Flächen u. Kulturen'!D51&lt;&gt;"",'#BerechnungDBE'!AF46=70),'Flächen u. Kulturen'!A51,IF(AND('#BerechnungDBE'!S46=1,'Flächen u. Kulturen'!D51&lt;&gt;"",'#BerechnungDBE'!AF46=70),'Flächen u. Kulturen'!A51," "))," ")</f>
        <v xml:space="preserve"> </v>
      </c>
      <c r="B171" s="505" t="str">
        <f>'Flächen u. Kulturen'!D51</f>
        <v/>
      </c>
      <c r="C171" s="42" t="str">
        <f>IF(A171=" "," ",'#BerechnungDBE'!AK46)</f>
        <v xml:space="preserve"> </v>
      </c>
      <c r="D171" s="42" t="str">
        <f>IF(A171=" "," ",'#BerechnungDBE'!CK46)</f>
        <v xml:space="preserve"> </v>
      </c>
      <c r="E171" s="42" t="str">
        <f t="shared" si="117"/>
        <v xml:space="preserve"> </v>
      </c>
      <c r="F171" s="869"/>
      <c r="G171" s="42" t="str">
        <f>IF(A171=" ","",'#BerechnungDBE'!CK46+'#BerechnungDBE'!CM46)</f>
        <v/>
      </c>
      <c r="H171" s="444" t="str">
        <f t="shared" si="106"/>
        <v/>
      </c>
      <c r="I171" s="444">
        <f>IF(A171=" ",0,'#minDung'!R52)</f>
        <v>0</v>
      </c>
      <c r="J171" s="430" t="str">
        <f t="shared" si="118"/>
        <v xml:space="preserve"> </v>
      </c>
      <c r="K171" s="444">
        <f>IF(A171=" ",0,'Flächen u. Kulturen'!W51)</f>
        <v>0</v>
      </c>
      <c r="L171" s="883" t="str">
        <f t="shared" si="130"/>
        <v/>
      </c>
      <c r="M171" s="444" t="str">
        <f t="shared" si="131"/>
        <v xml:space="preserve"> </v>
      </c>
      <c r="N171" s="444" t="str">
        <f t="shared" si="120"/>
        <v xml:space="preserve"> </v>
      </c>
      <c r="O171" s="911" t="str">
        <f t="shared" si="121"/>
        <v xml:space="preserve"> </v>
      </c>
      <c r="P171" s="912" t="str">
        <f t="shared" si="122"/>
        <v xml:space="preserve"> </v>
      </c>
      <c r="Q171" s="912" t="str">
        <f t="shared" si="123"/>
        <v xml:space="preserve"> </v>
      </c>
      <c r="R171" s="444" t="str">
        <f t="shared" si="132"/>
        <v/>
      </c>
      <c r="S171" s="444" t="str">
        <f t="shared" si="124"/>
        <v/>
      </c>
      <c r="T171" s="444" t="str">
        <f t="shared" si="133"/>
        <v xml:space="preserve"> </v>
      </c>
      <c r="U171" s="119" t="str">
        <f t="shared" si="125"/>
        <v xml:space="preserve"> </v>
      </c>
      <c r="V171" s="444" t="str">
        <f t="shared" si="107"/>
        <v xml:space="preserve"> </v>
      </c>
      <c r="W171" s="909" t="str">
        <f t="shared" si="108"/>
        <v xml:space="preserve"> </v>
      </c>
      <c r="X171" s="924" t="str">
        <f t="shared" si="126"/>
        <v xml:space="preserve"> </v>
      </c>
      <c r="Y171" s="444" t="str">
        <f t="shared" si="109"/>
        <v xml:space="preserve"> </v>
      </c>
      <c r="Z171" s="444" t="str">
        <f t="shared" si="110"/>
        <v xml:space="preserve"> </v>
      </c>
      <c r="AA171" s="444" t="str">
        <f t="shared" si="111"/>
        <v xml:space="preserve"> </v>
      </c>
      <c r="AB171" s="912" t="str">
        <f t="shared" si="112"/>
        <v xml:space="preserve"> </v>
      </c>
      <c r="AC171" s="912" t="str">
        <f t="shared" si="127"/>
        <v xml:space="preserve"> </v>
      </c>
      <c r="AD171" s="444" t="str">
        <f t="shared" si="113"/>
        <v xml:space="preserve"> </v>
      </c>
      <c r="AE171" s="444" t="str">
        <f t="shared" si="128"/>
        <v/>
      </c>
      <c r="AF171" s="444" t="str">
        <f t="shared" si="114"/>
        <v xml:space="preserve"> </v>
      </c>
      <c r="AG171" s="119" t="str">
        <f t="shared" si="129"/>
        <v xml:space="preserve"> </v>
      </c>
      <c r="AH171" s="444" t="str">
        <f t="shared" si="115"/>
        <v xml:space="preserve"> </v>
      </c>
      <c r="AI171" s="909" t="str">
        <f t="shared" si="116"/>
        <v xml:space="preserve"> </v>
      </c>
      <c r="AJ171" s="879" t="str">
        <f t="shared" si="119"/>
        <v xml:space="preserve"> </v>
      </c>
      <c r="AK171" s="444" t="str">
        <f t="shared" si="134"/>
        <v xml:space="preserve"> </v>
      </c>
      <c r="AL171" s="444" t="str">
        <f t="shared" si="135"/>
        <v xml:space="preserve"> </v>
      </c>
      <c r="AM171" s="444" t="str">
        <f t="shared" si="136"/>
        <v xml:space="preserve"> </v>
      </c>
      <c r="AN171" s="119" t="str">
        <f t="shared" si="137"/>
        <v xml:space="preserve"> </v>
      </c>
      <c r="AO171" s="444" t="str">
        <f t="shared" si="138"/>
        <v xml:space="preserve"> </v>
      </c>
      <c r="AP171" s="444" t="str">
        <f t="shared" si="139"/>
        <v xml:space="preserve"> </v>
      </c>
      <c r="AQ171" s="123" t="str">
        <f>IF(A171=" "," ",IF('#orgDung'!AF55=0,0,AO171/'#orgDung'!AF55))</f>
        <v xml:space="preserve"> </v>
      </c>
      <c r="AR171" s="47" t="str">
        <f>IF(A171=" "," ",IF('#orgDung'!AF55=0,0,AP171/'#orgDung'!AF55))</f>
        <v xml:space="preserve"> </v>
      </c>
      <c r="AS171" s="890">
        <f>IF(OR(B171=0,B171=""),0,MAX('Flächen u. Kulturen'!W51,AT171/B171))</f>
        <v>0</v>
      </c>
      <c r="AT171" s="875">
        <f t="shared" si="140"/>
        <v>0</v>
      </c>
      <c r="AU171" s="120"/>
    </row>
    <row r="172" spans="1:47" s="875" customFormat="1" x14ac:dyDescent="0.2">
      <c r="A172" s="42" t="str">
        <f>IF('Flächen u. Kulturen'!E52="x",IF(AND('#Kürzungen'!$F$2=2,'#BerechnungDBE'!R47=1,'Flächen u. Kulturen'!D52&lt;&gt;"",'#BerechnungDBE'!AF47=70),'Flächen u. Kulturen'!A52,IF(AND('#BerechnungDBE'!S47=1,'Flächen u. Kulturen'!D52&lt;&gt;"",'#BerechnungDBE'!AF47=70),'Flächen u. Kulturen'!A52," "))," ")</f>
        <v xml:space="preserve"> </v>
      </c>
      <c r="B172" s="505" t="str">
        <f>'Flächen u. Kulturen'!D52</f>
        <v/>
      </c>
      <c r="C172" s="42" t="str">
        <f>IF(A172=" "," ",'#BerechnungDBE'!AK47)</f>
        <v xml:space="preserve"> </v>
      </c>
      <c r="D172" s="42" t="str">
        <f>IF(A172=" "," ",'#BerechnungDBE'!CK47)</f>
        <v xml:space="preserve"> </v>
      </c>
      <c r="E172" s="42" t="str">
        <f t="shared" si="117"/>
        <v xml:space="preserve"> </v>
      </c>
      <c r="F172" s="869"/>
      <c r="G172" s="42" t="str">
        <f>IF(A172=" ","",'#BerechnungDBE'!CK47+'#BerechnungDBE'!CM47)</f>
        <v/>
      </c>
      <c r="H172" s="444" t="str">
        <f t="shared" si="106"/>
        <v/>
      </c>
      <c r="I172" s="444">
        <f>IF(A172=" ",0,'#minDung'!R53)</f>
        <v>0</v>
      </c>
      <c r="J172" s="430" t="str">
        <f t="shared" si="118"/>
        <v xml:space="preserve"> </v>
      </c>
      <c r="K172" s="444">
        <f>IF(A172=" ",0,'Flächen u. Kulturen'!W52)</f>
        <v>0</v>
      </c>
      <c r="L172" s="883" t="str">
        <f t="shared" si="130"/>
        <v/>
      </c>
      <c r="M172" s="444" t="str">
        <f t="shared" si="131"/>
        <v xml:space="preserve"> </v>
      </c>
      <c r="N172" s="444" t="str">
        <f t="shared" si="120"/>
        <v xml:space="preserve"> </v>
      </c>
      <c r="O172" s="911" t="str">
        <f t="shared" si="121"/>
        <v xml:space="preserve"> </v>
      </c>
      <c r="P172" s="912" t="str">
        <f t="shared" si="122"/>
        <v xml:space="preserve"> </v>
      </c>
      <c r="Q172" s="912" t="str">
        <f t="shared" si="123"/>
        <v xml:space="preserve"> </v>
      </c>
      <c r="R172" s="444" t="str">
        <f t="shared" si="132"/>
        <v/>
      </c>
      <c r="S172" s="444" t="str">
        <f t="shared" si="124"/>
        <v/>
      </c>
      <c r="T172" s="444" t="str">
        <f t="shared" si="133"/>
        <v xml:space="preserve"> </v>
      </c>
      <c r="U172" s="119" t="str">
        <f t="shared" si="125"/>
        <v xml:space="preserve"> </v>
      </c>
      <c r="V172" s="444" t="str">
        <f t="shared" si="107"/>
        <v xml:space="preserve"> </v>
      </c>
      <c r="W172" s="909" t="str">
        <f t="shared" si="108"/>
        <v xml:space="preserve"> </v>
      </c>
      <c r="X172" s="924" t="str">
        <f t="shared" si="126"/>
        <v xml:space="preserve"> </v>
      </c>
      <c r="Y172" s="444" t="str">
        <f t="shared" si="109"/>
        <v xml:space="preserve"> </v>
      </c>
      <c r="Z172" s="444" t="str">
        <f t="shared" si="110"/>
        <v xml:space="preserve"> </v>
      </c>
      <c r="AA172" s="444" t="str">
        <f t="shared" si="111"/>
        <v xml:space="preserve"> </v>
      </c>
      <c r="AB172" s="912" t="str">
        <f t="shared" si="112"/>
        <v xml:space="preserve"> </v>
      </c>
      <c r="AC172" s="912" t="str">
        <f t="shared" si="127"/>
        <v xml:space="preserve"> </v>
      </c>
      <c r="AD172" s="444" t="str">
        <f t="shared" si="113"/>
        <v xml:space="preserve"> </v>
      </c>
      <c r="AE172" s="444" t="str">
        <f t="shared" si="128"/>
        <v/>
      </c>
      <c r="AF172" s="444" t="str">
        <f t="shared" si="114"/>
        <v xml:space="preserve"> </v>
      </c>
      <c r="AG172" s="119" t="str">
        <f t="shared" si="129"/>
        <v xml:space="preserve"> </v>
      </c>
      <c r="AH172" s="444" t="str">
        <f t="shared" si="115"/>
        <v xml:space="preserve"> </v>
      </c>
      <c r="AI172" s="909" t="str">
        <f t="shared" si="116"/>
        <v xml:space="preserve"> </v>
      </c>
      <c r="AJ172" s="879" t="str">
        <f t="shared" si="119"/>
        <v xml:space="preserve"> </v>
      </c>
      <c r="AK172" s="444" t="str">
        <f t="shared" si="134"/>
        <v xml:space="preserve"> </v>
      </c>
      <c r="AL172" s="444" t="str">
        <f t="shared" si="135"/>
        <v xml:space="preserve"> </v>
      </c>
      <c r="AM172" s="444" t="str">
        <f t="shared" si="136"/>
        <v xml:space="preserve"> </v>
      </c>
      <c r="AN172" s="119" t="str">
        <f t="shared" si="137"/>
        <v xml:space="preserve"> </v>
      </c>
      <c r="AO172" s="444" t="str">
        <f t="shared" si="138"/>
        <v xml:space="preserve"> </v>
      </c>
      <c r="AP172" s="444" t="str">
        <f t="shared" si="139"/>
        <v xml:space="preserve"> </v>
      </c>
      <c r="AQ172" s="123" t="str">
        <f>IF(A172=" "," ",IF('#orgDung'!AF56=0,0,AO172/'#orgDung'!AF56))</f>
        <v xml:space="preserve"> </v>
      </c>
      <c r="AR172" s="47" t="str">
        <f>IF(A172=" "," ",IF('#orgDung'!AF56=0,0,AP172/'#orgDung'!AF56))</f>
        <v xml:space="preserve"> </v>
      </c>
      <c r="AS172" s="890">
        <f>IF(OR(B172=0,B172=""),0,MAX('Flächen u. Kulturen'!W52,AT172/B172))</f>
        <v>0</v>
      </c>
      <c r="AT172" s="875">
        <f t="shared" si="140"/>
        <v>0</v>
      </c>
      <c r="AU172" s="120"/>
    </row>
    <row r="173" spans="1:47" s="875" customFormat="1" x14ac:dyDescent="0.2">
      <c r="A173" s="42" t="str">
        <f>IF('Flächen u. Kulturen'!E53="x",IF(AND('#Kürzungen'!$F$2=2,'#BerechnungDBE'!R48=1,'Flächen u. Kulturen'!D53&lt;&gt;"",'#BerechnungDBE'!AF48=70),'Flächen u. Kulturen'!A53,IF(AND('#BerechnungDBE'!S48=1,'Flächen u. Kulturen'!D53&lt;&gt;"",'#BerechnungDBE'!AF48=70),'Flächen u. Kulturen'!A53," "))," ")</f>
        <v xml:space="preserve"> </v>
      </c>
      <c r="B173" s="505" t="str">
        <f>'Flächen u. Kulturen'!D53</f>
        <v/>
      </c>
      <c r="C173" s="42" t="str">
        <f>IF(A173=" "," ",'#BerechnungDBE'!AK48)</f>
        <v xml:space="preserve"> </v>
      </c>
      <c r="D173" s="42" t="str">
        <f>IF(A173=" "," ",'#BerechnungDBE'!CK48)</f>
        <v xml:space="preserve"> </v>
      </c>
      <c r="E173" s="42" t="str">
        <f t="shared" si="117"/>
        <v xml:space="preserve"> </v>
      </c>
      <c r="F173" s="869"/>
      <c r="G173" s="42" t="str">
        <f>IF(A173=" ","",'#BerechnungDBE'!CK48+'#BerechnungDBE'!CM48)</f>
        <v/>
      </c>
      <c r="H173" s="444" t="str">
        <f t="shared" si="106"/>
        <v/>
      </c>
      <c r="I173" s="444">
        <f>IF(A173=" ",0,'#minDung'!R54)</f>
        <v>0</v>
      </c>
      <c r="J173" s="430" t="str">
        <f t="shared" si="118"/>
        <v xml:space="preserve"> </v>
      </c>
      <c r="K173" s="444">
        <f>IF(A173=" ",0,'Flächen u. Kulturen'!W53)</f>
        <v>0</v>
      </c>
      <c r="L173" s="883" t="str">
        <f t="shared" si="130"/>
        <v/>
      </c>
      <c r="M173" s="444" t="str">
        <f t="shared" si="131"/>
        <v xml:space="preserve"> </v>
      </c>
      <c r="N173" s="444" t="str">
        <f t="shared" si="120"/>
        <v xml:space="preserve"> </v>
      </c>
      <c r="O173" s="911" t="str">
        <f t="shared" si="121"/>
        <v xml:space="preserve"> </v>
      </c>
      <c r="P173" s="912" t="str">
        <f t="shared" si="122"/>
        <v xml:space="preserve"> </v>
      </c>
      <c r="Q173" s="912" t="str">
        <f t="shared" si="123"/>
        <v xml:space="preserve"> </v>
      </c>
      <c r="R173" s="444" t="str">
        <f t="shared" si="132"/>
        <v/>
      </c>
      <c r="S173" s="444" t="str">
        <f t="shared" si="124"/>
        <v/>
      </c>
      <c r="T173" s="444" t="str">
        <f t="shared" si="133"/>
        <v xml:space="preserve"> </v>
      </c>
      <c r="U173" s="119" t="str">
        <f t="shared" si="125"/>
        <v xml:space="preserve"> </v>
      </c>
      <c r="V173" s="444" t="str">
        <f t="shared" si="107"/>
        <v xml:space="preserve"> </v>
      </c>
      <c r="W173" s="909" t="str">
        <f t="shared" si="108"/>
        <v xml:space="preserve"> </v>
      </c>
      <c r="X173" s="924" t="str">
        <f t="shared" si="126"/>
        <v xml:space="preserve"> </v>
      </c>
      <c r="Y173" s="444" t="str">
        <f t="shared" si="109"/>
        <v xml:space="preserve"> </v>
      </c>
      <c r="Z173" s="444" t="str">
        <f t="shared" si="110"/>
        <v xml:space="preserve"> </v>
      </c>
      <c r="AA173" s="444" t="str">
        <f t="shared" si="111"/>
        <v xml:space="preserve"> </v>
      </c>
      <c r="AB173" s="912" t="str">
        <f t="shared" si="112"/>
        <v xml:space="preserve"> </v>
      </c>
      <c r="AC173" s="912" t="str">
        <f t="shared" si="127"/>
        <v xml:space="preserve"> </v>
      </c>
      <c r="AD173" s="444" t="str">
        <f t="shared" si="113"/>
        <v xml:space="preserve"> </v>
      </c>
      <c r="AE173" s="444" t="str">
        <f t="shared" si="128"/>
        <v/>
      </c>
      <c r="AF173" s="444" t="str">
        <f t="shared" si="114"/>
        <v xml:space="preserve"> </v>
      </c>
      <c r="AG173" s="119" t="str">
        <f t="shared" si="129"/>
        <v xml:space="preserve"> </v>
      </c>
      <c r="AH173" s="444" t="str">
        <f t="shared" si="115"/>
        <v xml:space="preserve"> </v>
      </c>
      <c r="AI173" s="909" t="str">
        <f t="shared" si="116"/>
        <v xml:space="preserve"> </v>
      </c>
      <c r="AJ173" s="879" t="str">
        <f t="shared" si="119"/>
        <v xml:space="preserve"> </v>
      </c>
      <c r="AK173" s="444" t="str">
        <f t="shared" si="134"/>
        <v xml:space="preserve"> </v>
      </c>
      <c r="AL173" s="444" t="str">
        <f t="shared" si="135"/>
        <v xml:space="preserve"> </v>
      </c>
      <c r="AM173" s="444" t="str">
        <f t="shared" si="136"/>
        <v xml:space="preserve"> </v>
      </c>
      <c r="AN173" s="119" t="str">
        <f t="shared" si="137"/>
        <v xml:space="preserve"> </v>
      </c>
      <c r="AO173" s="444" t="str">
        <f t="shared" si="138"/>
        <v xml:space="preserve"> </v>
      </c>
      <c r="AP173" s="444" t="str">
        <f t="shared" si="139"/>
        <v xml:space="preserve"> </v>
      </c>
      <c r="AQ173" s="123" t="str">
        <f>IF(A173=" "," ",IF('#orgDung'!AF57=0,0,AO173/'#orgDung'!AF57))</f>
        <v xml:space="preserve"> </v>
      </c>
      <c r="AR173" s="47" t="str">
        <f>IF(A173=" "," ",IF('#orgDung'!AF57=0,0,AP173/'#orgDung'!AF57))</f>
        <v xml:space="preserve"> </v>
      </c>
      <c r="AS173" s="890">
        <f>IF(OR(B173=0,B173=""),0,MAX('Flächen u. Kulturen'!W53,AT173/B173))</f>
        <v>0</v>
      </c>
      <c r="AT173" s="875">
        <f t="shared" si="140"/>
        <v>0</v>
      </c>
      <c r="AU173" s="120"/>
    </row>
    <row r="174" spans="1:47" s="875" customFormat="1" x14ac:dyDescent="0.2">
      <c r="A174" s="42" t="str">
        <f>IF('Flächen u. Kulturen'!E54="x",IF(AND('#Kürzungen'!$F$2=2,'#BerechnungDBE'!R49=1,'Flächen u. Kulturen'!D54&lt;&gt;"",'#BerechnungDBE'!AF49=70),'Flächen u. Kulturen'!A54,IF(AND('#BerechnungDBE'!S49=1,'Flächen u. Kulturen'!D54&lt;&gt;"",'#BerechnungDBE'!AF49=70),'Flächen u. Kulturen'!A54," "))," ")</f>
        <v xml:space="preserve"> </v>
      </c>
      <c r="B174" s="505" t="str">
        <f>'Flächen u. Kulturen'!D54</f>
        <v/>
      </c>
      <c r="C174" s="42" t="str">
        <f>IF(A174=" "," ",'#BerechnungDBE'!AK49)</f>
        <v xml:space="preserve"> </v>
      </c>
      <c r="D174" s="42" t="str">
        <f>IF(A174=" "," ",'#BerechnungDBE'!CK49)</f>
        <v xml:space="preserve"> </v>
      </c>
      <c r="E174" s="42" t="str">
        <f t="shared" si="117"/>
        <v xml:space="preserve"> </v>
      </c>
      <c r="F174" s="869"/>
      <c r="G174" s="42" t="str">
        <f>IF(A174=" ","",'#BerechnungDBE'!CK49+'#BerechnungDBE'!CM49)</f>
        <v/>
      </c>
      <c r="H174" s="444" t="str">
        <f t="shared" si="106"/>
        <v/>
      </c>
      <c r="I174" s="444">
        <f>IF(A174=" ",0,'#minDung'!R55)</f>
        <v>0</v>
      </c>
      <c r="J174" s="430" t="str">
        <f t="shared" si="118"/>
        <v xml:space="preserve"> </v>
      </c>
      <c r="K174" s="444">
        <f>IF(A174=" ",0,'Flächen u. Kulturen'!W54)</f>
        <v>0</v>
      </c>
      <c r="L174" s="883" t="str">
        <f t="shared" si="130"/>
        <v/>
      </c>
      <c r="M174" s="444" t="str">
        <f t="shared" si="131"/>
        <v xml:space="preserve"> </v>
      </c>
      <c r="N174" s="444" t="str">
        <f t="shared" si="120"/>
        <v xml:space="preserve"> </v>
      </c>
      <c r="O174" s="911" t="str">
        <f t="shared" si="121"/>
        <v xml:space="preserve"> </v>
      </c>
      <c r="P174" s="912" t="str">
        <f t="shared" si="122"/>
        <v xml:space="preserve"> </v>
      </c>
      <c r="Q174" s="912" t="str">
        <f t="shared" si="123"/>
        <v xml:space="preserve"> </v>
      </c>
      <c r="R174" s="444" t="str">
        <f t="shared" si="132"/>
        <v/>
      </c>
      <c r="S174" s="444" t="str">
        <f t="shared" si="124"/>
        <v/>
      </c>
      <c r="T174" s="444" t="str">
        <f t="shared" si="133"/>
        <v xml:space="preserve"> </v>
      </c>
      <c r="U174" s="119" t="str">
        <f t="shared" si="125"/>
        <v xml:space="preserve"> </v>
      </c>
      <c r="V174" s="444" t="str">
        <f t="shared" si="107"/>
        <v xml:space="preserve"> </v>
      </c>
      <c r="W174" s="909" t="str">
        <f t="shared" si="108"/>
        <v xml:space="preserve"> </v>
      </c>
      <c r="X174" s="924" t="str">
        <f t="shared" si="126"/>
        <v xml:space="preserve"> </v>
      </c>
      <c r="Y174" s="444" t="str">
        <f t="shared" si="109"/>
        <v xml:space="preserve"> </v>
      </c>
      <c r="Z174" s="444" t="str">
        <f t="shared" si="110"/>
        <v xml:space="preserve"> </v>
      </c>
      <c r="AA174" s="444" t="str">
        <f t="shared" si="111"/>
        <v xml:space="preserve"> </v>
      </c>
      <c r="AB174" s="912" t="str">
        <f t="shared" si="112"/>
        <v xml:space="preserve"> </v>
      </c>
      <c r="AC174" s="912" t="str">
        <f t="shared" si="127"/>
        <v xml:space="preserve"> </v>
      </c>
      <c r="AD174" s="444" t="str">
        <f t="shared" si="113"/>
        <v xml:space="preserve"> </v>
      </c>
      <c r="AE174" s="444" t="str">
        <f t="shared" si="128"/>
        <v/>
      </c>
      <c r="AF174" s="444" t="str">
        <f t="shared" si="114"/>
        <v xml:space="preserve"> </v>
      </c>
      <c r="AG174" s="119" t="str">
        <f t="shared" si="129"/>
        <v xml:space="preserve"> </v>
      </c>
      <c r="AH174" s="444" t="str">
        <f t="shared" si="115"/>
        <v xml:space="preserve"> </v>
      </c>
      <c r="AI174" s="909" t="str">
        <f t="shared" si="116"/>
        <v xml:space="preserve"> </v>
      </c>
      <c r="AJ174" s="879" t="str">
        <f t="shared" si="119"/>
        <v xml:space="preserve"> </v>
      </c>
      <c r="AK174" s="444" t="str">
        <f t="shared" si="134"/>
        <v xml:space="preserve"> </v>
      </c>
      <c r="AL174" s="444" t="str">
        <f t="shared" si="135"/>
        <v xml:space="preserve"> </v>
      </c>
      <c r="AM174" s="444" t="str">
        <f t="shared" si="136"/>
        <v xml:space="preserve"> </v>
      </c>
      <c r="AN174" s="119" t="str">
        <f t="shared" si="137"/>
        <v xml:space="preserve"> </v>
      </c>
      <c r="AO174" s="444" t="str">
        <f t="shared" si="138"/>
        <v xml:space="preserve"> </v>
      </c>
      <c r="AP174" s="444" t="str">
        <f t="shared" si="139"/>
        <v xml:space="preserve"> </v>
      </c>
      <c r="AQ174" s="123" t="str">
        <f>IF(A174=" "," ",IF('#orgDung'!AF58=0,0,AO174/'#orgDung'!AF58))</f>
        <v xml:space="preserve"> </v>
      </c>
      <c r="AR174" s="47" t="str">
        <f>IF(A174=" "," ",IF('#orgDung'!AF58=0,0,AP174/'#orgDung'!AF58))</f>
        <v xml:space="preserve"> </v>
      </c>
      <c r="AS174" s="890">
        <f>IF(OR(B174=0,B174=""),0,MAX('Flächen u. Kulturen'!W54,AT174/B174))</f>
        <v>0</v>
      </c>
      <c r="AT174" s="875">
        <f t="shared" si="140"/>
        <v>0</v>
      </c>
      <c r="AU174" s="120"/>
    </row>
    <row r="175" spans="1:47" s="875" customFormat="1" x14ac:dyDescent="0.2">
      <c r="A175" s="42" t="str">
        <f>IF('Flächen u. Kulturen'!E55="x",IF(AND('#Kürzungen'!$F$2=2,'#BerechnungDBE'!R50=1,'Flächen u. Kulturen'!D55&lt;&gt;"",'#BerechnungDBE'!AF50=70),'Flächen u. Kulturen'!A55,IF(AND('#BerechnungDBE'!S50=1,'Flächen u. Kulturen'!D55&lt;&gt;"",'#BerechnungDBE'!AF50=70),'Flächen u. Kulturen'!A55," "))," ")</f>
        <v xml:space="preserve"> </v>
      </c>
      <c r="B175" s="505" t="str">
        <f>'Flächen u. Kulturen'!D55</f>
        <v/>
      </c>
      <c r="C175" s="42" t="str">
        <f>IF(A175=" "," ",'#BerechnungDBE'!AK50)</f>
        <v xml:space="preserve"> </v>
      </c>
      <c r="D175" s="42" t="str">
        <f>IF(A175=" "," ",'#BerechnungDBE'!CK50)</f>
        <v xml:space="preserve"> </v>
      </c>
      <c r="E175" s="42" t="str">
        <f t="shared" si="117"/>
        <v xml:space="preserve"> </v>
      </c>
      <c r="F175" s="869"/>
      <c r="G175" s="42" t="str">
        <f>IF(A175=" ","",'#BerechnungDBE'!CK50+'#BerechnungDBE'!CM50)</f>
        <v/>
      </c>
      <c r="H175" s="444" t="str">
        <f t="shared" si="106"/>
        <v/>
      </c>
      <c r="I175" s="444">
        <f>IF(A175=" ",0,'#minDung'!R56)</f>
        <v>0</v>
      </c>
      <c r="J175" s="430" t="str">
        <f t="shared" si="118"/>
        <v xml:space="preserve"> </v>
      </c>
      <c r="K175" s="444">
        <f>IF(A175=" ",0,'Flächen u. Kulturen'!W55)</f>
        <v>0</v>
      </c>
      <c r="L175" s="883" t="str">
        <f t="shared" si="130"/>
        <v/>
      </c>
      <c r="M175" s="444" t="str">
        <f t="shared" si="131"/>
        <v xml:space="preserve"> </v>
      </c>
      <c r="N175" s="444" t="str">
        <f t="shared" si="120"/>
        <v xml:space="preserve"> </v>
      </c>
      <c r="O175" s="911" t="str">
        <f t="shared" si="121"/>
        <v xml:space="preserve"> </v>
      </c>
      <c r="P175" s="912" t="str">
        <f t="shared" si="122"/>
        <v xml:space="preserve"> </v>
      </c>
      <c r="Q175" s="912" t="str">
        <f t="shared" si="123"/>
        <v xml:space="preserve"> </v>
      </c>
      <c r="R175" s="444" t="str">
        <f t="shared" si="132"/>
        <v/>
      </c>
      <c r="S175" s="444" t="str">
        <f t="shared" si="124"/>
        <v/>
      </c>
      <c r="T175" s="444" t="str">
        <f t="shared" si="133"/>
        <v xml:space="preserve"> </v>
      </c>
      <c r="U175" s="119" t="str">
        <f t="shared" si="125"/>
        <v xml:space="preserve"> </v>
      </c>
      <c r="V175" s="444" t="str">
        <f t="shared" si="107"/>
        <v xml:space="preserve"> </v>
      </c>
      <c r="W175" s="909" t="str">
        <f t="shared" si="108"/>
        <v xml:space="preserve"> </v>
      </c>
      <c r="X175" s="924" t="str">
        <f t="shared" si="126"/>
        <v xml:space="preserve"> </v>
      </c>
      <c r="Y175" s="444" t="str">
        <f t="shared" si="109"/>
        <v xml:space="preserve"> </v>
      </c>
      <c r="Z175" s="444" t="str">
        <f t="shared" si="110"/>
        <v xml:space="preserve"> </v>
      </c>
      <c r="AA175" s="444" t="str">
        <f t="shared" si="111"/>
        <v xml:space="preserve"> </v>
      </c>
      <c r="AB175" s="912" t="str">
        <f t="shared" si="112"/>
        <v xml:space="preserve"> </v>
      </c>
      <c r="AC175" s="912" t="str">
        <f t="shared" si="127"/>
        <v xml:space="preserve"> </v>
      </c>
      <c r="AD175" s="444" t="str">
        <f t="shared" si="113"/>
        <v xml:space="preserve"> </v>
      </c>
      <c r="AE175" s="444" t="str">
        <f t="shared" si="128"/>
        <v/>
      </c>
      <c r="AF175" s="444" t="str">
        <f t="shared" si="114"/>
        <v xml:space="preserve"> </v>
      </c>
      <c r="AG175" s="119" t="str">
        <f t="shared" si="129"/>
        <v xml:space="preserve"> </v>
      </c>
      <c r="AH175" s="444" t="str">
        <f t="shared" si="115"/>
        <v xml:space="preserve"> </v>
      </c>
      <c r="AI175" s="909" t="str">
        <f t="shared" si="116"/>
        <v xml:space="preserve"> </v>
      </c>
      <c r="AJ175" s="879" t="str">
        <f t="shared" si="119"/>
        <v xml:space="preserve"> </v>
      </c>
      <c r="AK175" s="444" t="str">
        <f t="shared" si="134"/>
        <v xml:space="preserve"> </v>
      </c>
      <c r="AL175" s="444" t="str">
        <f t="shared" si="135"/>
        <v xml:space="preserve"> </v>
      </c>
      <c r="AM175" s="444" t="str">
        <f t="shared" si="136"/>
        <v xml:space="preserve"> </v>
      </c>
      <c r="AN175" s="119" t="str">
        <f t="shared" si="137"/>
        <v xml:space="preserve"> </v>
      </c>
      <c r="AO175" s="444" t="str">
        <f t="shared" si="138"/>
        <v xml:space="preserve"> </v>
      </c>
      <c r="AP175" s="444" t="str">
        <f t="shared" si="139"/>
        <v xml:space="preserve"> </v>
      </c>
      <c r="AQ175" s="123" t="str">
        <f>IF(A175=" "," ",IF('#orgDung'!AF59=0,0,AO175/'#orgDung'!AF59))</f>
        <v xml:space="preserve"> </v>
      </c>
      <c r="AR175" s="47" t="str">
        <f>IF(A175=" "," ",IF('#orgDung'!AF59=0,0,AP175/'#orgDung'!AF59))</f>
        <v xml:space="preserve"> </v>
      </c>
      <c r="AS175" s="890">
        <f>IF(OR(B175=0,B175=""),0,MAX('Flächen u. Kulturen'!W55,AT175/B175))</f>
        <v>0</v>
      </c>
      <c r="AT175" s="875">
        <f t="shared" si="140"/>
        <v>0</v>
      </c>
      <c r="AU175" s="120"/>
    </row>
    <row r="176" spans="1:47" s="875" customFormat="1" x14ac:dyDescent="0.2">
      <c r="A176" s="42" t="str">
        <f>IF('Flächen u. Kulturen'!E56="x",IF(AND('#Kürzungen'!$F$2=2,'#BerechnungDBE'!R51=1,'Flächen u. Kulturen'!D56&lt;&gt;"",'#BerechnungDBE'!AF51=70),'Flächen u. Kulturen'!A56,IF(AND('#BerechnungDBE'!S51=1,'Flächen u. Kulturen'!D56&lt;&gt;"",'#BerechnungDBE'!AF51=70),'Flächen u. Kulturen'!A56," "))," ")</f>
        <v xml:space="preserve"> </v>
      </c>
      <c r="B176" s="505" t="str">
        <f>'Flächen u. Kulturen'!D56</f>
        <v/>
      </c>
      <c r="C176" s="42" t="str">
        <f>IF(A176=" "," ",'#BerechnungDBE'!AK51)</f>
        <v xml:space="preserve"> </v>
      </c>
      <c r="D176" s="42" t="str">
        <f>IF(A176=" "," ",'#BerechnungDBE'!CK51)</f>
        <v xml:space="preserve"> </v>
      </c>
      <c r="E176" s="42" t="str">
        <f t="shared" si="117"/>
        <v xml:space="preserve"> </v>
      </c>
      <c r="F176" s="869"/>
      <c r="G176" s="42" t="str">
        <f>IF(A176=" ","",'#BerechnungDBE'!CK51+'#BerechnungDBE'!CM51)</f>
        <v/>
      </c>
      <c r="H176" s="444" t="str">
        <f t="shared" si="106"/>
        <v/>
      </c>
      <c r="I176" s="444">
        <f>IF(A176=" ",0,'#minDung'!R57)</f>
        <v>0</v>
      </c>
      <c r="J176" s="430" t="str">
        <f t="shared" si="118"/>
        <v xml:space="preserve"> </v>
      </c>
      <c r="K176" s="444">
        <f>IF(A176=" ",0,'Flächen u. Kulturen'!W56)</f>
        <v>0</v>
      </c>
      <c r="L176" s="883" t="str">
        <f t="shared" si="130"/>
        <v/>
      </c>
      <c r="M176" s="444" t="str">
        <f t="shared" si="131"/>
        <v xml:space="preserve"> </v>
      </c>
      <c r="N176" s="444" t="str">
        <f t="shared" si="120"/>
        <v xml:space="preserve"> </v>
      </c>
      <c r="O176" s="911" t="str">
        <f t="shared" si="121"/>
        <v xml:space="preserve"> </v>
      </c>
      <c r="P176" s="912" t="str">
        <f t="shared" si="122"/>
        <v xml:space="preserve"> </v>
      </c>
      <c r="Q176" s="912" t="str">
        <f t="shared" si="123"/>
        <v xml:space="preserve"> </v>
      </c>
      <c r="R176" s="444" t="str">
        <f t="shared" si="132"/>
        <v/>
      </c>
      <c r="S176" s="444" t="str">
        <f t="shared" si="124"/>
        <v/>
      </c>
      <c r="T176" s="444" t="str">
        <f t="shared" si="133"/>
        <v xml:space="preserve"> </v>
      </c>
      <c r="U176" s="119" t="str">
        <f t="shared" si="125"/>
        <v xml:space="preserve"> </v>
      </c>
      <c r="V176" s="444" t="str">
        <f t="shared" si="107"/>
        <v xml:space="preserve"> </v>
      </c>
      <c r="W176" s="909" t="str">
        <f t="shared" si="108"/>
        <v xml:space="preserve"> </v>
      </c>
      <c r="X176" s="924" t="str">
        <f t="shared" si="126"/>
        <v xml:space="preserve"> </v>
      </c>
      <c r="Y176" s="444" t="str">
        <f t="shared" si="109"/>
        <v xml:space="preserve"> </v>
      </c>
      <c r="Z176" s="444" t="str">
        <f t="shared" si="110"/>
        <v xml:space="preserve"> </v>
      </c>
      <c r="AA176" s="444" t="str">
        <f t="shared" si="111"/>
        <v xml:space="preserve"> </v>
      </c>
      <c r="AB176" s="912" t="str">
        <f t="shared" si="112"/>
        <v xml:space="preserve"> </v>
      </c>
      <c r="AC176" s="912" t="str">
        <f t="shared" si="127"/>
        <v xml:space="preserve"> </v>
      </c>
      <c r="AD176" s="444" t="str">
        <f t="shared" si="113"/>
        <v xml:space="preserve"> </v>
      </c>
      <c r="AE176" s="444" t="str">
        <f t="shared" si="128"/>
        <v/>
      </c>
      <c r="AF176" s="444" t="str">
        <f t="shared" si="114"/>
        <v xml:space="preserve"> </v>
      </c>
      <c r="AG176" s="119" t="str">
        <f t="shared" si="129"/>
        <v xml:space="preserve"> </v>
      </c>
      <c r="AH176" s="444" t="str">
        <f t="shared" si="115"/>
        <v xml:space="preserve"> </v>
      </c>
      <c r="AI176" s="909" t="str">
        <f t="shared" si="116"/>
        <v xml:space="preserve"> </v>
      </c>
      <c r="AJ176" s="879" t="str">
        <f t="shared" si="119"/>
        <v xml:space="preserve"> </v>
      </c>
      <c r="AK176" s="444" t="str">
        <f t="shared" si="134"/>
        <v xml:space="preserve"> </v>
      </c>
      <c r="AL176" s="444" t="str">
        <f t="shared" si="135"/>
        <v xml:space="preserve"> </v>
      </c>
      <c r="AM176" s="444" t="str">
        <f t="shared" si="136"/>
        <v xml:space="preserve"> </v>
      </c>
      <c r="AN176" s="119" t="str">
        <f t="shared" si="137"/>
        <v xml:space="preserve"> </v>
      </c>
      <c r="AO176" s="444" t="str">
        <f t="shared" si="138"/>
        <v xml:space="preserve"> </v>
      </c>
      <c r="AP176" s="444" t="str">
        <f t="shared" si="139"/>
        <v xml:space="preserve"> </v>
      </c>
      <c r="AQ176" s="123" t="str">
        <f>IF(A176=" "," ",IF('#orgDung'!AF60=0,0,AO176/'#orgDung'!AF60))</f>
        <v xml:space="preserve"> </v>
      </c>
      <c r="AR176" s="47" t="str">
        <f>IF(A176=" "," ",IF('#orgDung'!AF60=0,0,AP176/'#orgDung'!AF60))</f>
        <v xml:space="preserve"> </v>
      </c>
      <c r="AS176" s="890">
        <f>IF(OR(B176=0,B176=""),0,MAX('Flächen u. Kulturen'!W56,AT176/B176))</f>
        <v>0</v>
      </c>
      <c r="AT176" s="875">
        <f t="shared" si="140"/>
        <v>0</v>
      </c>
      <c r="AU176" s="120"/>
    </row>
    <row r="177" spans="1:47" s="875" customFormat="1" x14ac:dyDescent="0.2">
      <c r="A177" s="42" t="str">
        <f>IF('Flächen u. Kulturen'!E57="x",IF(AND('#Kürzungen'!$F$2=2,'#BerechnungDBE'!R52=1,'Flächen u. Kulturen'!D57&lt;&gt;"",'#BerechnungDBE'!AF52=70),'Flächen u. Kulturen'!A57,IF(AND('#BerechnungDBE'!S52=1,'Flächen u. Kulturen'!D57&lt;&gt;"",'#BerechnungDBE'!AF52=70),'Flächen u. Kulturen'!A57," "))," ")</f>
        <v xml:space="preserve"> </v>
      </c>
      <c r="B177" s="505" t="str">
        <f>'Flächen u. Kulturen'!D57</f>
        <v/>
      </c>
      <c r="C177" s="42" t="str">
        <f>IF(A177=" "," ",'#BerechnungDBE'!AK52)</f>
        <v xml:space="preserve"> </v>
      </c>
      <c r="D177" s="42" t="str">
        <f>IF(A177=" "," ",'#BerechnungDBE'!CK52)</f>
        <v xml:space="preserve"> </v>
      </c>
      <c r="E177" s="42" t="str">
        <f t="shared" si="117"/>
        <v xml:space="preserve"> </v>
      </c>
      <c r="F177" s="869"/>
      <c r="G177" s="42" t="str">
        <f>IF(A177=" ","",'#BerechnungDBE'!CK52+'#BerechnungDBE'!CM52)</f>
        <v/>
      </c>
      <c r="H177" s="444" t="str">
        <f t="shared" si="106"/>
        <v/>
      </c>
      <c r="I177" s="444">
        <f>IF(A177=" ",0,'#minDung'!R58)</f>
        <v>0</v>
      </c>
      <c r="J177" s="430" t="str">
        <f t="shared" si="118"/>
        <v xml:space="preserve"> </v>
      </c>
      <c r="K177" s="444">
        <f>IF(A177=" ",0,'Flächen u. Kulturen'!W57)</f>
        <v>0</v>
      </c>
      <c r="L177" s="883" t="str">
        <f t="shared" si="130"/>
        <v/>
      </c>
      <c r="M177" s="444" t="str">
        <f t="shared" si="131"/>
        <v xml:space="preserve"> </v>
      </c>
      <c r="N177" s="444" t="str">
        <f t="shared" si="120"/>
        <v xml:space="preserve"> </v>
      </c>
      <c r="O177" s="911" t="str">
        <f t="shared" si="121"/>
        <v xml:space="preserve"> </v>
      </c>
      <c r="P177" s="912" t="str">
        <f t="shared" si="122"/>
        <v xml:space="preserve"> </v>
      </c>
      <c r="Q177" s="912" t="str">
        <f t="shared" si="123"/>
        <v xml:space="preserve"> </v>
      </c>
      <c r="R177" s="444" t="str">
        <f t="shared" si="132"/>
        <v/>
      </c>
      <c r="S177" s="444" t="str">
        <f t="shared" si="124"/>
        <v/>
      </c>
      <c r="T177" s="444" t="str">
        <f t="shared" si="133"/>
        <v xml:space="preserve"> </v>
      </c>
      <c r="U177" s="119" t="str">
        <f t="shared" si="125"/>
        <v xml:space="preserve"> </v>
      </c>
      <c r="V177" s="444" t="str">
        <f t="shared" si="107"/>
        <v xml:space="preserve"> </v>
      </c>
      <c r="W177" s="909" t="str">
        <f t="shared" si="108"/>
        <v xml:space="preserve"> </v>
      </c>
      <c r="X177" s="924" t="str">
        <f t="shared" si="126"/>
        <v xml:space="preserve"> </v>
      </c>
      <c r="Y177" s="444" t="str">
        <f t="shared" si="109"/>
        <v xml:space="preserve"> </v>
      </c>
      <c r="Z177" s="444" t="str">
        <f t="shared" si="110"/>
        <v xml:space="preserve"> </v>
      </c>
      <c r="AA177" s="444" t="str">
        <f t="shared" si="111"/>
        <v xml:space="preserve"> </v>
      </c>
      <c r="AB177" s="912" t="str">
        <f t="shared" si="112"/>
        <v xml:space="preserve"> </v>
      </c>
      <c r="AC177" s="912" t="str">
        <f t="shared" si="127"/>
        <v xml:space="preserve"> </v>
      </c>
      <c r="AD177" s="444" t="str">
        <f t="shared" si="113"/>
        <v xml:space="preserve"> </v>
      </c>
      <c r="AE177" s="444" t="str">
        <f t="shared" si="128"/>
        <v/>
      </c>
      <c r="AF177" s="444" t="str">
        <f t="shared" si="114"/>
        <v xml:space="preserve"> </v>
      </c>
      <c r="AG177" s="119" t="str">
        <f t="shared" si="129"/>
        <v xml:space="preserve"> </v>
      </c>
      <c r="AH177" s="444" t="str">
        <f t="shared" si="115"/>
        <v xml:space="preserve"> </v>
      </c>
      <c r="AI177" s="909" t="str">
        <f t="shared" si="116"/>
        <v xml:space="preserve"> </v>
      </c>
      <c r="AJ177" s="879" t="str">
        <f t="shared" si="119"/>
        <v xml:space="preserve"> </v>
      </c>
      <c r="AK177" s="444" t="str">
        <f t="shared" si="134"/>
        <v xml:space="preserve"> </v>
      </c>
      <c r="AL177" s="444" t="str">
        <f t="shared" si="135"/>
        <v xml:space="preserve"> </v>
      </c>
      <c r="AM177" s="444" t="str">
        <f t="shared" si="136"/>
        <v xml:space="preserve"> </v>
      </c>
      <c r="AN177" s="119" t="str">
        <f t="shared" si="137"/>
        <v xml:space="preserve"> </v>
      </c>
      <c r="AO177" s="444" t="str">
        <f t="shared" si="138"/>
        <v xml:space="preserve"> </v>
      </c>
      <c r="AP177" s="444" t="str">
        <f t="shared" si="139"/>
        <v xml:space="preserve"> </v>
      </c>
      <c r="AQ177" s="123" t="str">
        <f>IF(A177=" "," ",IF('#orgDung'!AF61=0,0,AO177/'#orgDung'!AF61))</f>
        <v xml:space="preserve"> </v>
      </c>
      <c r="AR177" s="47" t="str">
        <f>IF(A177=" "," ",IF('#orgDung'!AF61=0,0,AP177/'#orgDung'!AF61))</f>
        <v xml:space="preserve"> </v>
      </c>
      <c r="AS177" s="890">
        <f>IF(OR(B177=0,B177=""),0,MAX('Flächen u. Kulturen'!W57,AT177/B177))</f>
        <v>0</v>
      </c>
      <c r="AT177" s="875">
        <f t="shared" si="140"/>
        <v>0</v>
      </c>
      <c r="AU177" s="120"/>
    </row>
    <row r="178" spans="1:47" s="875" customFormat="1" x14ac:dyDescent="0.2">
      <c r="A178" s="42" t="str">
        <f>IF('Flächen u. Kulturen'!E58="x",IF(AND('#Kürzungen'!$F$2=2,'#BerechnungDBE'!R53=1,'Flächen u. Kulturen'!D58&lt;&gt;"",'#BerechnungDBE'!AF53=70),'Flächen u. Kulturen'!A58,IF(AND('#BerechnungDBE'!S53=1,'Flächen u. Kulturen'!D58&lt;&gt;"",'#BerechnungDBE'!AF53=70),'Flächen u. Kulturen'!A58," "))," ")</f>
        <v xml:space="preserve"> </v>
      </c>
      <c r="B178" s="505" t="str">
        <f>'Flächen u. Kulturen'!D58</f>
        <v/>
      </c>
      <c r="C178" s="42" t="str">
        <f>IF(A178=" "," ",'#BerechnungDBE'!AK53)</f>
        <v xml:space="preserve"> </v>
      </c>
      <c r="D178" s="42" t="str">
        <f>IF(A178=" "," ",'#BerechnungDBE'!CK53)</f>
        <v xml:space="preserve"> </v>
      </c>
      <c r="E178" s="42" t="str">
        <f t="shared" si="117"/>
        <v xml:space="preserve"> </v>
      </c>
      <c r="F178" s="869"/>
      <c r="G178" s="42" t="str">
        <f>IF(A178=" ","",'#BerechnungDBE'!CK53+'#BerechnungDBE'!CM53)</f>
        <v/>
      </c>
      <c r="H178" s="444" t="str">
        <f t="shared" si="106"/>
        <v/>
      </c>
      <c r="I178" s="444">
        <f>IF(A178=" ",0,'#minDung'!R59)</f>
        <v>0</v>
      </c>
      <c r="J178" s="430" t="str">
        <f t="shared" si="118"/>
        <v xml:space="preserve"> </v>
      </c>
      <c r="K178" s="444">
        <f>IF(A178=" ",0,'Flächen u. Kulturen'!W58)</f>
        <v>0</v>
      </c>
      <c r="L178" s="883" t="str">
        <f t="shared" si="130"/>
        <v/>
      </c>
      <c r="M178" s="444" t="str">
        <f t="shared" si="131"/>
        <v xml:space="preserve"> </v>
      </c>
      <c r="N178" s="444" t="str">
        <f t="shared" si="120"/>
        <v xml:space="preserve"> </v>
      </c>
      <c r="O178" s="911" t="str">
        <f t="shared" si="121"/>
        <v xml:space="preserve"> </v>
      </c>
      <c r="P178" s="912" t="str">
        <f t="shared" si="122"/>
        <v xml:space="preserve"> </v>
      </c>
      <c r="Q178" s="912" t="str">
        <f t="shared" si="123"/>
        <v xml:space="preserve"> </v>
      </c>
      <c r="R178" s="444" t="str">
        <f t="shared" si="132"/>
        <v/>
      </c>
      <c r="S178" s="444" t="str">
        <f t="shared" si="124"/>
        <v/>
      </c>
      <c r="T178" s="444" t="str">
        <f t="shared" si="133"/>
        <v xml:space="preserve"> </v>
      </c>
      <c r="U178" s="119" t="str">
        <f t="shared" si="125"/>
        <v xml:space="preserve"> </v>
      </c>
      <c r="V178" s="444" t="str">
        <f t="shared" si="107"/>
        <v xml:space="preserve"> </v>
      </c>
      <c r="W178" s="909" t="str">
        <f t="shared" si="108"/>
        <v xml:space="preserve"> </v>
      </c>
      <c r="X178" s="924" t="str">
        <f t="shared" si="126"/>
        <v xml:space="preserve"> </v>
      </c>
      <c r="Y178" s="444" t="str">
        <f t="shared" si="109"/>
        <v xml:space="preserve"> </v>
      </c>
      <c r="Z178" s="444" t="str">
        <f t="shared" si="110"/>
        <v xml:space="preserve"> </v>
      </c>
      <c r="AA178" s="444" t="str">
        <f t="shared" si="111"/>
        <v xml:space="preserve"> </v>
      </c>
      <c r="AB178" s="912" t="str">
        <f t="shared" si="112"/>
        <v xml:space="preserve"> </v>
      </c>
      <c r="AC178" s="912" t="str">
        <f t="shared" si="127"/>
        <v xml:space="preserve"> </v>
      </c>
      <c r="AD178" s="444" t="str">
        <f t="shared" si="113"/>
        <v xml:space="preserve"> </v>
      </c>
      <c r="AE178" s="444" t="str">
        <f t="shared" si="128"/>
        <v/>
      </c>
      <c r="AF178" s="444" t="str">
        <f t="shared" si="114"/>
        <v xml:space="preserve"> </v>
      </c>
      <c r="AG178" s="119" t="str">
        <f t="shared" si="129"/>
        <v xml:space="preserve"> </v>
      </c>
      <c r="AH178" s="444" t="str">
        <f t="shared" si="115"/>
        <v xml:space="preserve"> </v>
      </c>
      <c r="AI178" s="909" t="str">
        <f t="shared" si="116"/>
        <v xml:space="preserve"> </v>
      </c>
      <c r="AJ178" s="879" t="str">
        <f t="shared" si="119"/>
        <v xml:space="preserve"> </v>
      </c>
      <c r="AK178" s="444" t="str">
        <f t="shared" si="134"/>
        <v xml:space="preserve"> </v>
      </c>
      <c r="AL178" s="444" t="str">
        <f t="shared" si="135"/>
        <v xml:space="preserve"> </v>
      </c>
      <c r="AM178" s="444" t="str">
        <f t="shared" si="136"/>
        <v xml:space="preserve"> </v>
      </c>
      <c r="AN178" s="119" t="str">
        <f t="shared" si="137"/>
        <v xml:space="preserve"> </v>
      </c>
      <c r="AO178" s="444" t="str">
        <f t="shared" si="138"/>
        <v xml:space="preserve"> </v>
      </c>
      <c r="AP178" s="444" t="str">
        <f t="shared" si="139"/>
        <v xml:space="preserve"> </v>
      </c>
      <c r="AQ178" s="123" t="str">
        <f>IF(A178=" "," ",IF('#orgDung'!AF62=0,0,AO178/'#orgDung'!AF62))</f>
        <v xml:space="preserve"> </v>
      </c>
      <c r="AR178" s="47" t="str">
        <f>IF(A178=" "," ",IF('#orgDung'!AF62=0,0,AP178/'#orgDung'!AF62))</f>
        <v xml:space="preserve"> </v>
      </c>
      <c r="AS178" s="890">
        <f>IF(OR(B178=0,B178=""),0,MAX('Flächen u. Kulturen'!W58,AT178/B178))</f>
        <v>0</v>
      </c>
      <c r="AT178" s="875">
        <f t="shared" si="140"/>
        <v>0</v>
      </c>
      <c r="AU178" s="120"/>
    </row>
    <row r="179" spans="1:47" s="875" customFormat="1" x14ac:dyDescent="0.2">
      <c r="A179" s="42" t="str">
        <f>IF('Flächen u. Kulturen'!E59="x",IF(AND('#Kürzungen'!$F$2=2,'#BerechnungDBE'!R54=1,'Flächen u. Kulturen'!D59&lt;&gt;"",'#BerechnungDBE'!AF54=70),'Flächen u. Kulturen'!A59,IF(AND('#BerechnungDBE'!S54=1,'Flächen u. Kulturen'!D59&lt;&gt;"",'#BerechnungDBE'!AF54=70),'Flächen u. Kulturen'!A59," "))," ")</f>
        <v xml:space="preserve"> </v>
      </c>
      <c r="B179" s="505" t="str">
        <f>'Flächen u. Kulturen'!D59</f>
        <v/>
      </c>
      <c r="C179" s="42" t="str">
        <f>IF(A179=" "," ",'#BerechnungDBE'!AK54)</f>
        <v xml:space="preserve"> </v>
      </c>
      <c r="D179" s="42" t="str">
        <f>IF(A179=" "," ",'#BerechnungDBE'!CK54)</f>
        <v xml:space="preserve"> </v>
      </c>
      <c r="E179" s="42" t="str">
        <f t="shared" si="117"/>
        <v xml:space="preserve"> </v>
      </c>
      <c r="F179" s="869"/>
      <c r="G179" s="42" t="str">
        <f>IF(A179=" ","",'#BerechnungDBE'!CK54+'#BerechnungDBE'!CM54)</f>
        <v/>
      </c>
      <c r="H179" s="444" t="str">
        <f t="shared" si="106"/>
        <v/>
      </c>
      <c r="I179" s="444">
        <f>IF(A179=" ",0,'#minDung'!R60)</f>
        <v>0</v>
      </c>
      <c r="J179" s="430" t="str">
        <f t="shared" si="118"/>
        <v xml:space="preserve"> </v>
      </c>
      <c r="K179" s="444">
        <f>IF(A179=" ",0,'Flächen u. Kulturen'!W59)</f>
        <v>0</v>
      </c>
      <c r="L179" s="883" t="str">
        <f t="shared" si="130"/>
        <v/>
      </c>
      <c r="M179" s="444" t="str">
        <f t="shared" si="131"/>
        <v xml:space="preserve"> </v>
      </c>
      <c r="N179" s="444" t="str">
        <f t="shared" si="120"/>
        <v xml:space="preserve"> </v>
      </c>
      <c r="O179" s="911" t="str">
        <f t="shared" si="121"/>
        <v xml:space="preserve"> </v>
      </c>
      <c r="P179" s="912" t="str">
        <f t="shared" si="122"/>
        <v xml:space="preserve"> </v>
      </c>
      <c r="Q179" s="912" t="str">
        <f t="shared" si="123"/>
        <v xml:space="preserve"> </v>
      </c>
      <c r="R179" s="444" t="str">
        <f t="shared" si="132"/>
        <v/>
      </c>
      <c r="S179" s="444" t="str">
        <f t="shared" si="124"/>
        <v/>
      </c>
      <c r="T179" s="444" t="str">
        <f t="shared" si="133"/>
        <v xml:space="preserve"> </v>
      </c>
      <c r="U179" s="119" t="str">
        <f t="shared" si="125"/>
        <v xml:space="preserve"> </v>
      </c>
      <c r="V179" s="444" t="str">
        <f t="shared" si="107"/>
        <v xml:space="preserve"> </v>
      </c>
      <c r="W179" s="909" t="str">
        <f t="shared" si="108"/>
        <v xml:space="preserve"> </v>
      </c>
      <c r="X179" s="924" t="str">
        <f t="shared" si="126"/>
        <v xml:space="preserve"> </v>
      </c>
      <c r="Y179" s="444" t="str">
        <f t="shared" si="109"/>
        <v xml:space="preserve"> </v>
      </c>
      <c r="Z179" s="444" t="str">
        <f t="shared" si="110"/>
        <v xml:space="preserve"> </v>
      </c>
      <c r="AA179" s="444" t="str">
        <f t="shared" si="111"/>
        <v xml:space="preserve"> </v>
      </c>
      <c r="AB179" s="912" t="str">
        <f t="shared" si="112"/>
        <v xml:space="preserve"> </v>
      </c>
      <c r="AC179" s="912" t="str">
        <f t="shared" si="127"/>
        <v xml:space="preserve"> </v>
      </c>
      <c r="AD179" s="444" t="str">
        <f t="shared" si="113"/>
        <v xml:space="preserve"> </v>
      </c>
      <c r="AE179" s="444" t="str">
        <f t="shared" si="128"/>
        <v/>
      </c>
      <c r="AF179" s="444" t="str">
        <f t="shared" si="114"/>
        <v xml:space="preserve"> </v>
      </c>
      <c r="AG179" s="119" t="str">
        <f t="shared" si="129"/>
        <v xml:space="preserve"> </v>
      </c>
      <c r="AH179" s="444" t="str">
        <f t="shared" si="115"/>
        <v xml:space="preserve"> </v>
      </c>
      <c r="AI179" s="909" t="str">
        <f t="shared" si="116"/>
        <v xml:space="preserve"> </v>
      </c>
      <c r="AJ179" s="879" t="str">
        <f t="shared" si="119"/>
        <v xml:space="preserve"> </v>
      </c>
      <c r="AK179" s="444" t="str">
        <f t="shared" si="134"/>
        <v xml:space="preserve"> </v>
      </c>
      <c r="AL179" s="444" t="str">
        <f t="shared" si="135"/>
        <v xml:space="preserve"> </v>
      </c>
      <c r="AM179" s="444" t="str">
        <f t="shared" si="136"/>
        <v xml:space="preserve"> </v>
      </c>
      <c r="AN179" s="119" t="str">
        <f t="shared" si="137"/>
        <v xml:space="preserve"> </v>
      </c>
      <c r="AO179" s="444" t="str">
        <f t="shared" si="138"/>
        <v xml:space="preserve"> </v>
      </c>
      <c r="AP179" s="444" t="str">
        <f t="shared" si="139"/>
        <v xml:space="preserve"> </v>
      </c>
      <c r="AQ179" s="123" t="str">
        <f>IF(A179=" "," ",IF('#orgDung'!AF63=0,0,AO179/'#orgDung'!AF63))</f>
        <v xml:space="preserve"> </v>
      </c>
      <c r="AR179" s="47" t="str">
        <f>IF(A179=" "," ",IF('#orgDung'!AF63=0,0,AP179/'#orgDung'!AF63))</f>
        <v xml:space="preserve"> </v>
      </c>
      <c r="AS179" s="890">
        <f>IF(OR(B179=0,B179=""),0,MAX('Flächen u. Kulturen'!W59,AT179/B179))</f>
        <v>0</v>
      </c>
      <c r="AT179" s="875">
        <f t="shared" si="140"/>
        <v>0</v>
      </c>
      <c r="AU179" s="120"/>
    </row>
    <row r="180" spans="1:47" s="875" customFormat="1" x14ac:dyDescent="0.2">
      <c r="A180" s="42" t="str">
        <f>IF('Flächen u. Kulturen'!E60="x",IF(AND('#Kürzungen'!$F$2=2,'#BerechnungDBE'!R55=1,'Flächen u. Kulturen'!D60&lt;&gt;"",'#BerechnungDBE'!AF55=70),'Flächen u. Kulturen'!A60,IF(AND('#BerechnungDBE'!S55=1,'Flächen u. Kulturen'!D60&lt;&gt;"",'#BerechnungDBE'!AF55=70),'Flächen u. Kulturen'!A60," "))," ")</f>
        <v xml:space="preserve"> </v>
      </c>
      <c r="B180" s="505" t="str">
        <f>'Flächen u. Kulturen'!D60</f>
        <v/>
      </c>
      <c r="C180" s="42" t="str">
        <f>IF(A180=" "," ",'#BerechnungDBE'!AK55)</f>
        <v xml:space="preserve"> </v>
      </c>
      <c r="D180" s="42" t="str">
        <f>IF(A180=" "," ",'#BerechnungDBE'!CK55)</f>
        <v xml:space="preserve"> </v>
      </c>
      <c r="E180" s="42" t="str">
        <f t="shared" si="117"/>
        <v xml:space="preserve"> </v>
      </c>
      <c r="F180" s="869"/>
      <c r="G180" s="42" t="str">
        <f>IF(A180=" ","",'#BerechnungDBE'!CK55+'#BerechnungDBE'!CM55)</f>
        <v/>
      </c>
      <c r="H180" s="444" t="str">
        <f t="shared" si="106"/>
        <v/>
      </c>
      <c r="I180" s="444">
        <f>IF(A180=" ",0,'#minDung'!R61)</f>
        <v>0</v>
      </c>
      <c r="J180" s="430" t="str">
        <f t="shared" si="118"/>
        <v xml:space="preserve"> </v>
      </c>
      <c r="K180" s="444">
        <f>IF(A180=" ",0,'Flächen u. Kulturen'!W60)</f>
        <v>0</v>
      </c>
      <c r="L180" s="883" t="str">
        <f t="shared" si="130"/>
        <v/>
      </c>
      <c r="M180" s="444" t="str">
        <f t="shared" si="131"/>
        <v xml:space="preserve"> </v>
      </c>
      <c r="N180" s="444" t="str">
        <f t="shared" si="120"/>
        <v xml:space="preserve"> </v>
      </c>
      <c r="O180" s="911" t="str">
        <f t="shared" si="121"/>
        <v xml:space="preserve"> </v>
      </c>
      <c r="P180" s="912" t="str">
        <f t="shared" si="122"/>
        <v xml:space="preserve"> </v>
      </c>
      <c r="Q180" s="912" t="str">
        <f t="shared" si="123"/>
        <v xml:space="preserve"> </v>
      </c>
      <c r="R180" s="444" t="str">
        <f t="shared" si="132"/>
        <v/>
      </c>
      <c r="S180" s="444" t="str">
        <f t="shared" si="124"/>
        <v/>
      </c>
      <c r="T180" s="444" t="str">
        <f t="shared" si="133"/>
        <v xml:space="preserve"> </v>
      </c>
      <c r="U180" s="119" t="str">
        <f t="shared" si="125"/>
        <v xml:space="preserve"> </v>
      </c>
      <c r="V180" s="444" t="str">
        <f t="shared" si="107"/>
        <v xml:space="preserve"> </v>
      </c>
      <c r="W180" s="909" t="str">
        <f t="shared" si="108"/>
        <v xml:space="preserve"> </v>
      </c>
      <c r="X180" s="924" t="str">
        <f t="shared" si="126"/>
        <v xml:space="preserve"> </v>
      </c>
      <c r="Y180" s="444" t="str">
        <f t="shared" si="109"/>
        <v xml:space="preserve"> </v>
      </c>
      <c r="Z180" s="444" t="str">
        <f t="shared" si="110"/>
        <v xml:space="preserve"> </v>
      </c>
      <c r="AA180" s="444" t="str">
        <f t="shared" si="111"/>
        <v xml:space="preserve"> </v>
      </c>
      <c r="AB180" s="912" t="str">
        <f t="shared" si="112"/>
        <v xml:space="preserve"> </v>
      </c>
      <c r="AC180" s="912" t="str">
        <f t="shared" si="127"/>
        <v xml:space="preserve"> </v>
      </c>
      <c r="AD180" s="444" t="str">
        <f t="shared" si="113"/>
        <v xml:space="preserve"> </v>
      </c>
      <c r="AE180" s="444" t="str">
        <f t="shared" si="128"/>
        <v/>
      </c>
      <c r="AF180" s="444" t="str">
        <f t="shared" si="114"/>
        <v xml:space="preserve"> </v>
      </c>
      <c r="AG180" s="119" t="str">
        <f t="shared" si="129"/>
        <v xml:space="preserve"> </v>
      </c>
      <c r="AH180" s="444" t="str">
        <f t="shared" si="115"/>
        <v xml:space="preserve"> </v>
      </c>
      <c r="AI180" s="909" t="str">
        <f t="shared" si="116"/>
        <v xml:space="preserve"> </v>
      </c>
      <c r="AJ180" s="879" t="str">
        <f t="shared" si="119"/>
        <v xml:space="preserve"> </v>
      </c>
      <c r="AK180" s="444" t="str">
        <f t="shared" si="134"/>
        <v xml:space="preserve"> </v>
      </c>
      <c r="AL180" s="444" t="str">
        <f t="shared" si="135"/>
        <v xml:space="preserve"> </v>
      </c>
      <c r="AM180" s="444" t="str">
        <f t="shared" si="136"/>
        <v xml:space="preserve"> </v>
      </c>
      <c r="AN180" s="119" t="str">
        <f t="shared" si="137"/>
        <v xml:space="preserve"> </v>
      </c>
      <c r="AO180" s="444" t="str">
        <f t="shared" si="138"/>
        <v xml:space="preserve"> </v>
      </c>
      <c r="AP180" s="444" t="str">
        <f t="shared" si="139"/>
        <v xml:space="preserve"> </v>
      </c>
      <c r="AQ180" s="123" t="str">
        <f>IF(A180=" "," ",IF('#orgDung'!AF64=0,0,AO180/'#orgDung'!AF64))</f>
        <v xml:space="preserve"> </v>
      </c>
      <c r="AR180" s="47" t="str">
        <f>IF(A180=" "," ",IF('#orgDung'!AF64=0,0,AP180/'#orgDung'!AF64))</f>
        <v xml:space="preserve"> </v>
      </c>
      <c r="AS180" s="890">
        <f>IF(OR(B180=0,B180=""),0,MAX('Flächen u. Kulturen'!W60,AT180/B180))</f>
        <v>0</v>
      </c>
      <c r="AT180" s="875">
        <f t="shared" si="140"/>
        <v>0</v>
      </c>
      <c r="AU180" s="120"/>
    </row>
    <row r="181" spans="1:47" s="875" customFormat="1" x14ac:dyDescent="0.2">
      <c r="A181" s="42" t="str">
        <f>IF('Flächen u. Kulturen'!E61="x",IF(AND('#Kürzungen'!$F$2=2,'#BerechnungDBE'!R56=1,'Flächen u. Kulturen'!D61&lt;&gt;"",'#BerechnungDBE'!AF56=70),'Flächen u. Kulturen'!A61,IF(AND('#BerechnungDBE'!S56=1,'Flächen u. Kulturen'!D61&lt;&gt;"",'#BerechnungDBE'!AF56=70),'Flächen u. Kulturen'!A61," "))," ")</f>
        <v xml:space="preserve"> </v>
      </c>
      <c r="B181" s="505" t="str">
        <f>'Flächen u. Kulturen'!D61</f>
        <v/>
      </c>
      <c r="C181" s="42" t="str">
        <f>IF(A181=" "," ",'#BerechnungDBE'!AK56)</f>
        <v xml:space="preserve"> </v>
      </c>
      <c r="D181" s="42" t="str">
        <f>IF(A181=" "," ",'#BerechnungDBE'!CK56)</f>
        <v xml:space="preserve"> </v>
      </c>
      <c r="E181" s="42" t="str">
        <f t="shared" si="117"/>
        <v xml:space="preserve"> </v>
      </c>
      <c r="F181" s="869"/>
      <c r="G181" s="42" t="str">
        <f>IF(A181=" ","",'#BerechnungDBE'!CK56+'#BerechnungDBE'!CM56)</f>
        <v/>
      </c>
      <c r="H181" s="444" t="str">
        <f t="shared" si="106"/>
        <v/>
      </c>
      <c r="I181" s="444">
        <f>IF(A181=" ",0,'#minDung'!R62)</f>
        <v>0</v>
      </c>
      <c r="J181" s="430" t="str">
        <f t="shared" si="118"/>
        <v xml:space="preserve"> </v>
      </c>
      <c r="K181" s="444">
        <f>IF(A181=" ",0,'Flächen u. Kulturen'!W61)</f>
        <v>0</v>
      </c>
      <c r="L181" s="883" t="str">
        <f t="shared" si="130"/>
        <v/>
      </c>
      <c r="M181" s="444" t="str">
        <f t="shared" si="131"/>
        <v xml:space="preserve"> </v>
      </c>
      <c r="N181" s="444" t="str">
        <f t="shared" si="120"/>
        <v xml:space="preserve"> </v>
      </c>
      <c r="O181" s="911" t="str">
        <f t="shared" si="121"/>
        <v xml:space="preserve"> </v>
      </c>
      <c r="P181" s="912" t="str">
        <f t="shared" si="122"/>
        <v xml:space="preserve"> </v>
      </c>
      <c r="Q181" s="912" t="str">
        <f t="shared" si="123"/>
        <v xml:space="preserve"> </v>
      </c>
      <c r="R181" s="444" t="str">
        <f t="shared" si="132"/>
        <v/>
      </c>
      <c r="S181" s="444" t="str">
        <f t="shared" si="124"/>
        <v/>
      </c>
      <c r="T181" s="444" t="str">
        <f t="shared" si="133"/>
        <v xml:space="preserve"> </v>
      </c>
      <c r="U181" s="119" t="str">
        <f t="shared" si="125"/>
        <v xml:space="preserve"> </v>
      </c>
      <c r="V181" s="444" t="str">
        <f t="shared" si="107"/>
        <v xml:space="preserve"> </v>
      </c>
      <c r="W181" s="909" t="str">
        <f t="shared" si="108"/>
        <v xml:space="preserve"> </v>
      </c>
      <c r="X181" s="924" t="str">
        <f t="shared" si="126"/>
        <v xml:space="preserve"> </v>
      </c>
      <c r="Y181" s="444" t="str">
        <f t="shared" si="109"/>
        <v xml:space="preserve"> </v>
      </c>
      <c r="Z181" s="444" t="str">
        <f t="shared" si="110"/>
        <v xml:space="preserve"> </v>
      </c>
      <c r="AA181" s="444" t="str">
        <f t="shared" si="111"/>
        <v xml:space="preserve"> </v>
      </c>
      <c r="AB181" s="912" t="str">
        <f t="shared" si="112"/>
        <v xml:space="preserve"> </v>
      </c>
      <c r="AC181" s="912" t="str">
        <f t="shared" si="127"/>
        <v xml:space="preserve"> </v>
      </c>
      <c r="AD181" s="444" t="str">
        <f t="shared" si="113"/>
        <v xml:space="preserve"> </v>
      </c>
      <c r="AE181" s="444" t="str">
        <f t="shared" si="128"/>
        <v/>
      </c>
      <c r="AF181" s="444" t="str">
        <f t="shared" si="114"/>
        <v xml:space="preserve"> </v>
      </c>
      <c r="AG181" s="119" t="str">
        <f t="shared" si="129"/>
        <v xml:space="preserve"> </v>
      </c>
      <c r="AH181" s="444" t="str">
        <f t="shared" si="115"/>
        <v xml:space="preserve"> </v>
      </c>
      <c r="AI181" s="909" t="str">
        <f t="shared" si="116"/>
        <v xml:space="preserve"> </v>
      </c>
      <c r="AJ181" s="879" t="str">
        <f t="shared" si="119"/>
        <v xml:space="preserve"> </v>
      </c>
      <c r="AK181" s="444" t="str">
        <f t="shared" si="134"/>
        <v xml:space="preserve"> </v>
      </c>
      <c r="AL181" s="444" t="str">
        <f t="shared" si="135"/>
        <v xml:space="preserve"> </v>
      </c>
      <c r="AM181" s="444" t="str">
        <f t="shared" si="136"/>
        <v xml:space="preserve"> </v>
      </c>
      <c r="AN181" s="119" t="str">
        <f t="shared" si="137"/>
        <v xml:space="preserve"> </v>
      </c>
      <c r="AO181" s="444" t="str">
        <f t="shared" si="138"/>
        <v xml:space="preserve"> </v>
      </c>
      <c r="AP181" s="444" t="str">
        <f t="shared" si="139"/>
        <v xml:space="preserve"> </v>
      </c>
      <c r="AQ181" s="123" t="str">
        <f>IF(A181=" "," ",IF('#orgDung'!AF65=0,0,AO181/'#orgDung'!AF65))</f>
        <v xml:space="preserve"> </v>
      </c>
      <c r="AR181" s="47" t="str">
        <f>IF(A181=" "," ",IF('#orgDung'!AF65=0,0,AP181/'#orgDung'!AF65))</f>
        <v xml:space="preserve"> </v>
      </c>
      <c r="AS181" s="890">
        <f>IF(OR(B181=0,B181=""),0,MAX('Flächen u. Kulturen'!W61,AT181/B181))</f>
        <v>0</v>
      </c>
      <c r="AT181" s="875">
        <f t="shared" si="140"/>
        <v>0</v>
      </c>
      <c r="AU181" s="120"/>
    </row>
    <row r="182" spans="1:47" s="875" customFormat="1" x14ac:dyDescent="0.2">
      <c r="A182" s="42" t="str">
        <f>IF('Flächen u. Kulturen'!E62="x",IF(AND('#Kürzungen'!$F$2=2,'#BerechnungDBE'!R57=1,'Flächen u. Kulturen'!D62&lt;&gt;"",'#BerechnungDBE'!AF57=70),'Flächen u. Kulturen'!A62,IF(AND('#BerechnungDBE'!S57=1,'Flächen u. Kulturen'!D62&lt;&gt;"",'#BerechnungDBE'!AF57=70),'Flächen u. Kulturen'!A62," "))," ")</f>
        <v xml:space="preserve"> </v>
      </c>
      <c r="B182" s="505" t="str">
        <f>'Flächen u. Kulturen'!D62</f>
        <v/>
      </c>
      <c r="C182" s="42" t="str">
        <f>IF(A182=" "," ",'#BerechnungDBE'!AK57)</f>
        <v xml:space="preserve"> </v>
      </c>
      <c r="D182" s="42" t="str">
        <f>IF(A182=" "," ",'#BerechnungDBE'!CK57)</f>
        <v xml:space="preserve"> </v>
      </c>
      <c r="E182" s="42" t="str">
        <f t="shared" si="117"/>
        <v xml:space="preserve"> </v>
      </c>
      <c r="F182" s="869"/>
      <c r="G182" s="42" t="str">
        <f>IF(A182=" ","",'#BerechnungDBE'!CK57+'#BerechnungDBE'!CM57)</f>
        <v/>
      </c>
      <c r="H182" s="444" t="str">
        <f t="shared" si="106"/>
        <v/>
      </c>
      <c r="I182" s="444">
        <f>IF(A182=" ",0,'#minDung'!R63)</f>
        <v>0</v>
      </c>
      <c r="J182" s="430" t="str">
        <f t="shared" si="118"/>
        <v xml:space="preserve"> </v>
      </c>
      <c r="K182" s="444">
        <f>IF(A182=" ",0,'Flächen u. Kulturen'!W62)</f>
        <v>0</v>
      </c>
      <c r="L182" s="883" t="str">
        <f t="shared" si="130"/>
        <v/>
      </c>
      <c r="M182" s="444" t="str">
        <f t="shared" si="131"/>
        <v xml:space="preserve"> </v>
      </c>
      <c r="N182" s="444" t="str">
        <f t="shared" si="120"/>
        <v xml:space="preserve"> </v>
      </c>
      <c r="O182" s="911" t="str">
        <f t="shared" si="121"/>
        <v xml:space="preserve"> </v>
      </c>
      <c r="P182" s="912" t="str">
        <f t="shared" si="122"/>
        <v xml:space="preserve"> </v>
      </c>
      <c r="Q182" s="912" t="str">
        <f t="shared" si="123"/>
        <v xml:space="preserve"> </v>
      </c>
      <c r="R182" s="444" t="str">
        <f t="shared" si="132"/>
        <v/>
      </c>
      <c r="S182" s="444" t="str">
        <f t="shared" si="124"/>
        <v/>
      </c>
      <c r="T182" s="444" t="str">
        <f t="shared" si="133"/>
        <v xml:space="preserve"> </v>
      </c>
      <c r="U182" s="119" t="str">
        <f t="shared" si="125"/>
        <v xml:space="preserve"> </v>
      </c>
      <c r="V182" s="444" t="str">
        <f t="shared" si="107"/>
        <v xml:space="preserve"> </v>
      </c>
      <c r="W182" s="909" t="str">
        <f t="shared" si="108"/>
        <v xml:space="preserve"> </v>
      </c>
      <c r="X182" s="924" t="str">
        <f t="shared" si="126"/>
        <v xml:space="preserve"> </v>
      </c>
      <c r="Y182" s="444" t="str">
        <f t="shared" si="109"/>
        <v xml:space="preserve"> </v>
      </c>
      <c r="Z182" s="444" t="str">
        <f t="shared" si="110"/>
        <v xml:space="preserve"> </v>
      </c>
      <c r="AA182" s="444" t="str">
        <f t="shared" si="111"/>
        <v xml:space="preserve"> </v>
      </c>
      <c r="AB182" s="912" t="str">
        <f t="shared" si="112"/>
        <v xml:space="preserve"> </v>
      </c>
      <c r="AC182" s="912" t="str">
        <f t="shared" si="127"/>
        <v xml:space="preserve"> </v>
      </c>
      <c r="AD182" s="444" t="str">
        <f t="shared" si="113"/>
        <v xml:space="preserve"> </v>
      </c>
      <c r="AE182" s="444" t="str">
        <f t="shared" si="128"/>
        <v/>
      </c>
      <c r="AF182" s="444" t="str">
        <f t="shared" si="114"/>
        <v xml:space="preserve"> </v>
      </c>
      <c r="AG182" s="119" t="str">
        <f t="shared" si="129"/>
        <v xml:space="preserve"> </v>
      </c>
      <c r="AH182" s="444" t="str">
        <f t="shared" si="115"/>
        <v xml:space="preserve"> </v>
      </c>
      <c r="AI182" s="909" t="str">
        <f t="shared" si="116"/>
        <v xml:space="preserve"> </v>
      </c>
      <c r="AJ182" s="879" t="str">
        <f t="shared" si="119"/>
        <v xml:space="preserve"> </v>
      </c>
      <c r="AK182" s="444" t="str">
        <f t="shared" si="134"/>
        <v xml:space="preserve"> </v>
      </c>
      <c r="AL182" s="444" t="str">
        <f t="shared" si="135"/>
        <v xml:space="preserve"> </v>
      </c>
      <c r="AM182" s="444" t="str">
        <f t="shared" si="136"/>
        <v xml:space="preserve"> </v>
      </c>
      <c r="AN182" s="119" t="str">
        <f t="shared" si="137"/>
        <v xml:space="preserve"> </v>
      </c>
      <c r="AO182" s="444" t="str">
        <f t="shared" si="138"/>
        <v xml:space="preserve"> </v>
      </c>
      <c r="AP182" s="444" t="str">
        <f t="shared" si="139"/>
        <v xml:space="preserve"> </v>
      </c>
      <c r="AQ182" s="123" t="str">
        <f>IF(A182=" "," ",IF('#orgDung'!AF66=0,0,AO182/'#orgDung'!AF66))</f>
        <v xml:space="preserve"> </v>
      </c>
      <c r="AR182" s="47" t="str">
        <f>IF(A182=" "," ",IF('#orgDung'!AF66=0,0,AP182/'#orgDung'!AF66))</f>
        <v xml:space="preserve"> </v>
      </c>
      <c r="AS182" s="890">
        <f>IF(OR(B182=0,B182=""),0,MAX('Flächen u. Kulturen'!W62,AT182/B182))</f>
        <v>0</v>
      </c>
      <c r="AT182" s="875">
        <f t="shared" si="140"/>
        <v>0</v>
      </c>
      <c r="AU182" s="120"/>
    </row>
    <row r="183" spans="1:47" s="875" customFormat="1" x14ac:dyDescent="0.2">
      <c r="A183" s="42" t="str">
        <f>IF('Flächen u. Kulturen'!E63="x",IF(AND('#Kürzungen'!$F$2=2,'#BerechnungDBE'!R58=1,'Flächen u. Kulturen'!D63&lt;&gt;"",'#BerechnungDBE'!AF58=70),'Flächen u. Kulturen'!A63,IF(AND('#BerechnungDBE'!S58=1,'Flächen u. Kulturen'!D63&lt;&gt;"",'#BerechnungDBE'!AF58=70),'Flächen u. Kulturen'!A63," "))," ")</f>
        <v xml:space="preserve"> </v>
      </c>
      <c r="B183" s="505" t="str">
        <f>'Flächen u. Kulturen'!D63</f>
        <v/>
      </c>
      <c r="C183" s="42" t="str">
        <f>IF(A183=" "," ",'#BerechnungDBE'!AK58)</f>
        <v xml:space="preserve"> </v>
      </c>
      <c r="D183" s="42" t="str">
        <f>IF(A183=" "," ",'#BerechnungDBE'!CK58)</f>
        <v xml:space="preserve"> </v>
      </c>
      <c r="E183" s="42" t="str">
        <f t="shared" si="117"/>
        <v xml:space="preserve"> </v>
      </c>
      <c r="F183" s="869"/>
      <c r="G183" s="42" t="str">
        <f>IF(A183=" ","",'#BerechnungDBE'!CK58+'#BerechnungDBE'!CM58)</f>
        <v/>
      </c>
      <c r="H183" s="444" t="str">
        <f t="shared" si="106"/>
        <v/>
      </c>
      <c r="I183" s="444">
        <f>IF(A183=" ",0,'#minDung'!R64)</f>
        <v>0</v>
      </c>
      <c r="J183" s="430" t="str">
        <f t="shared" si="118"/>
        <v xml:space="preserve"> </v>
      </c>
      <c r="K183" s="444">
        <f>IF(A183=" ",0,'Flächen u. Kulturen'!W63)</f>
        <v>0</v>
      </c>
      <c r="L183" s="883" t="str">
        <f t="shared" si="130"/>
        <v/>
      </c>
      <c r="M183" s="444" t="str">
        <f t="shared" si="131"/>
        <v xml:space="preserve"> </v>
      </c>
      <c r="N183" s="444" t="str">
        <f t="shared" si="120"/>
        <v xml:space="preserve"> </v>
      </c>
      <c r="O183" s="911" t="str">
        <f t="shared" si="121"/>
        <v xml:space="preserve"> </v>
      </c>
      <c r="P183" s="912" t="str">
        <f t="shared" si="122"/>
        <v xml:space="preserve"> </v>
      </c>
      <c r="Q183" s="912" t="str">
        <f t="shared" si="123"/>
        <v xml:space="preserve"> </v>
      </c>
      <c r="R183" s="444" t="str">
        <f t="shared" si="132"/>
        <v/>
      </c>
      <c r="S183" s="444" t="str">
        <f t="shared" si="124"/>
        <v/>
      </c>
      <c r="T183" s="444" t="str">
        <f t="shared" si="133"/>
        <v xml:space="preserve"> </v>
      </c>
      <c r="U183" s="119" t="str">
        <f t="shared" si="125"/>
        <v xml:space="preserve"> </v>
      </c>
      <c r="V183" s="444" t="str">
        <f t="shared" si="107"/>
        <v xml:space="preserve"> </v>
      </c>
      <c r="W183" s="909" t="str">
        <f t="shared" si="108"/>
        <v xml:space="preserve"> </v>
      </c>
      <c r="X183" s="924" t="str">
        <f t="shared" si="126"/>
        <v xml:space="preserve"> </v>
      </c>
      <c r="Y183" s="444" t="str">
        <f t="shared" si="109"/>
        <v xml:space="preserve"> </v>
      </c>
      <c r="Z183" s="444" t="str">
        <f t="shared" si="110"/>
        <v xml:space="preserve"> </v>
      </c>
      <c r="AA183" s="444" t="str">
        <f t="shared" si="111"/>
        <v xml:space="preserve"> </v>
      </c>
      <c r="AB183" s="912" t="str">
        <f t="shared" si="112"/>
        <v xml:space="preserve"> </v>
      </c>
      <c r="AC183" s="912" t="str">
        <f t="shared" si="127"/>
        <v xml:space="preserve"> </v>
      </c>
      <c r="AD183" s="444" t="str">
        <f t="shared" si="113"/>
        <v xml:space="preserve"> </v>
      </c>
      <c r="AE183" s="444" t="str">
        <f t="shared" si="128"/>
        <v/>
      </c>
      <c r="AF183" s="444" t="str">
        <f t="shared" si="114"/>
        <v xml:space="preserve"> </v>
      </c>
      <c r="AG183" s="119" t="str">
        <f t="shared" si="129"/>
        <v xml:space="preserve"> </v>
      </c>
      <c r="AH183" s="444" t="str">
        <f t="shared" si="115"/>
        <v xml:space="preserve"> </v>
      </c>
      <c r="AI183" s="909" t="str">
        <f t="shared" si="116"/>
        <v xml:space="preserve"> </v>
      </c>
      <c r="AJ183" s="879" t="str">
        <f t="shared" si="119"/>
        <v xml:space="preserve"> </v>
      </c>
      <c r="AK183" s="444" t="str">
        <f t="shared" si="134"/>
        <v xml:space="preserve"> </v>
      </c>
      <c r="AL183" s="444" t="str">
        <f t="shared" si="135"/>
        <v xml:space="preserve"> </v>
      </c>
      <c r="AM183" s="444" t="str">
        <f t="shared" si="136"/>
        <v xml:space="preserve"> </v>
      </c>
      <c r="AN183" s="119" t="str">
        <f t="shared" si="137"/>
        <v xml:space="preserve"> </v>
      </c>
      <c r="AO183" s="444" t="str">
        <f t="shared" si="138"/>
        <v xml:space="preserve"> </v>
      </c>
      <c r="AP183" s="444" t="str">
        <f t="shared" si="139"/>
        <v xml:space="preserve"> </v>
      </c>
      <c r="AQ183" s="123" t="str">
        <f>IF(A183=" "," ",IF('#orgDung'!AF67=0,0,AO183/'#orgDung'!AF67))</f>
        <v xml:space="preserve"> </v>
      </c>
      <c r="AR183" s="47" t="str">
        <f>IF(A183=" "," ",IF('#orgDung'!AF67=0,0,AP183/'#orgDung'!AF67))</f>
        <v xml:space="preserve"> </v>
      </c>
      <c r="AS183" s="890">
        <f>IF(OR(B183=0,B183=""),0,MAX('Flächen u. Kulturen'!W63,AT183/B183))</f>
        <v>0</v>
      </c>
      <c r="AT183" s="875">
        <f t="shared" si="140"/>
        <v>0</v>
      </c>
      <c r="AU183" s="120"/>
    </row>
    <row r="184" spans="1:47" s="875" customFormat="1" x14ac:dyDescent="0.2">
      <c r="A184" s="42" t="str">
        <f>IF('Flächen u. Kulturen'!E64="x",IF(AND('#Kürzungen'!$F$2=2,'#BerechnungDBE'!R59=1,'Flächen u. Kulturen'!D64&lt;&gt;"",'#BerechnungDBE'!AF59=70),'Flächen u. Kulturen'!A64,IF(AND('#BerechnungDBE'!S59=1,'Flächen u. Kulturen'!D64&lt;&gt;"",'#BerechnungDBE'!AF59=70),'Flächen u. Kulturen'!A64," "))," ")</f>
        <v xml:space="preserve"> </v>
      </c>
      <c r="B184" s="505" t="str">
        <f>'Flächen u. Kulturen'!D64</f>
        <v/>
      </c>
      <c r="C184" s="42" t="str">
        <f>IF(A184=" "," ",'#BerechnungDBE'!AK59)</f>
        <v xml:space="preserve"> </v>
      </c>
      <c r="D184" s="42" t="str">
        <f>IF(A184=" "," ",'#BerechnungDBE'!CK59)</f>
        <v xml:space="preserve"> </v>
      </c>
      <c r="E184" s="42" t="str">
        <f t="shared" si="117"/>
        <v xml:space="preserve"> </v>
      </c>
      <c r="F184" s="869"/>
      <c r="G184" s="42" t="str">
        <f>IF(A184=" ","",'#BerechnungDBE'!CK59+'#BerechnungDBE'!CM59)</f>
        <v/>
      </c>
      <c r="H184" s="444" t="str">
        <f t="shared" si="106"/>
        <v/>
      </c>
      <c r="I184" s="444">
        <f>IF(A184=" ",0,'#minDung'!R65)</f>
        <v>0</v>
      </c>
      <c r="J184" s="430" t="str">
        <f t="shared" si="118"/>
        <v xml:space="preserve"> </v>
      </c>
      <c r="K184" s="444">
        <f>IF(A184=" ",0,'Flächen u. Kulturen'!W64)</f>
        <v>0</v>
      </c>
      <c r="L184" s="883" t="str">
        <f t="shared" si="130"/>
        <v/>
      </c>
      <c r="M184" s="444" t="str">
        <f t="shared" si="131"/>
        <v xml:space="preserve"> </v>
      </c>
      <c r="N184" s="444" t="str">
        <f t="shared" si="120"/>
        <v xml:space="preserve"> </v>
      </c>
      <c r="O184" s="911" t="str">
        <f t="shared" si="121"/>
        <v xml:space="preserve"> </v>
      </c>
      <c r="P184" s="912" t="str">
        <f t="shared" si="122"/>
        <v xml:space="preserve"> </v>
      </c>
      <c r="Q184" s="912" t="str">
        <f t="shared" si="123"/>
        <v xml:space="preserve"> </v>
      </c>
      <c r="R184" s="444" t="str">
        <f t="shared" si="132"/>
        <v/>
      </c>
      <c r="S184" s="444" t="str">
        <f t="shared" si="124"/>
        <v/>
      </c>
      <c r="T184" s="444" t="str">
        <f t="shared" si="133"/>
        <v xml:space="preserve"> </v>
      </c>
      <c r="U184" s="119" t="str">
        <f t="shared" si="125"/>
        <v xml:space="preserve"> </v>
      </c>
      <c r="V184" s="444" t="str">
        <f t="shared" si="107"/>
        <v xml:space="preserve"> </v>
      </c>
      <c r="W184" s="909" t="str">
        <f t="shared" si="108"/>
        <v xml:space="preserve"> </v>
      </c>
      <c r="X184" s="924" t="str">
        <f t="shared" si="126"/>
        <v xml:space="preserve"> </v>
      </c>
      <c r="Y184" s="444" t="str">
        <f t="shared" si="109"/>
        <v xml:space="preserve"> </v>
      </c>
      <c r="Z184" s="444" t="str">
        <f t="shared" si="110"/>
        <v xml:space="preserve"> </v>
      </c>
      <c r="AA184" s="444" t="str">
        <f t="shared" si="111"/>
        <v xml:space="preserve"> </v>
      </c>
      <c r="AB184" s="912" t="str">
        <f t="shared" si="112"/>
        <v xml:space="preserve"> </v>
      </c>
      <c r="AC184" s="912" t="str">
        <f t="shared" si="127"/>
        <v xml:space="preserve"> </v>
      </c>
      <c r="AD184" s="444" t="str">
        <f t="shared" si="113"/>
        <v xml:space="preserve"> </v>
      </c>
      <c r="AE184" s="444" t="str">
        <f t="shared" si="128"/>
        <v/>
      </c>
      <c r="AF184" s="444" t="str">
        <f t="shared" si="114"/>
        <v xml:space="preserve"> </v>
      </c>
      <c r="AG184" s="119" t="str">
        <f t="shared" si="129"/>
        <v xml:space="preserve"> </v>
      </c>
      <c r="AH184" s="444" t="str">
        <f t="shared" si="115"/>
        <v xml:space="preserve"> </v>
      </c>
      <c r="AI184" s="909" t="str">
        <f t="shared" si="116"/>
        <v xml:space="preserve"> </v>
      </c>
      <c r="AJ184" s="879" t="str">
        <f t="shared" si="119"/>
        <v xml:space="preserve"> </v>
      </c>
      <c r="AK184" s="444" t="str">
        <f t="shared" si="134"/>
        <v xml:space="preserve"> </v>
      </c>
      <c r="AL184" s="444" t="str">
        <f t="shared" si="135"/>
        <v xml:space="preserve"> </v>
      </c>
      <c r="AM184" s="444" t="str">
        <f t="shared" si="136"/>
        <v xml:space="preserve"> </v>
      </c>
      <c r="AN184" s="119" t="str">
        <f t="shared" si="137"/>
        <v xml:space="preserve"> </v>
      </c>
      <c r="AO184" s="444" t="str">
        <f t="shared" si="138"/>
        <v xml:space="preserve"> </v>
      </c>
      <c r="AP184" s="444" t="str">
        <f t="shared" si="139"/>
        <v xml:space="preserve"> </v>
      </c>
      <c r="AQ184" s="123" t="str">
        <f>IF(A184=" "," ",IF('#orgDung'!AF68=0,0,AO184/'#orgDung'!AF68))</f>
        <v xml:space="preserve"> </v>
      </c>
      <c r="AR184" s="47" t="str">
        <f>IF(A184=" "," ",IF('#orgDung'!AF68=0,0,AP184/'#orgDung'!AF68))</f>
        <v xml:space="preserve"> </v>
      </c>
      <c r="AS184" s="890">
        <f>IF(OR(B184=0,B184=""),0,MAX('Flächen u. Kulturen'!W64,AT184/B184))</f>
        <v>0</v>
      </c>
      <c r="AT184" s="875">
        <f t="shared" si="140"/>
        <v>0</v>
      </c>
      <c r="AU184" s="120"/>
    </row>
    <row r="185" spans="1:47" s="875" customFormat="1" x14ac:dyDescent="0.2">
      <c r="A185" s="42" t="str">
        <f>IF('Flächen u. Kulturen'!E65="x",IF(AND('#Kürzungen'!$F$2=2,'#BerechnungDBE'!R60=1,'Flächen u. Kulturen'!D65&lt;&gt;"",'#BerechnungDBE'!AF60=70),'Flächen u. Kulturen'!A65,IF(AND('#BerechnungDBE'!S60=1,'Flächen u. Kulturen'!D65&lt;&gt;"",'#BerechnungDBE'!AF60=70),'Flächen u. Kulturen'!A65," "))," ")</f>
        <v xml:space="preserve"> </v>
      </c>
      <c r="B185" s="505" t="str">
        <f>'Flächen u. Kulturen'!D65</f>
        <v/>
      </c>
      <c r="C185" s="42" t="str">
        <f>IF(A185=" "," ",'#BerechnungDBE'!AK60)</f>
        <v xml:space="preserve"> </v>
      </c>
      <c r="D185" s="42" t="str">
        <f>IF(A185=" "," ",'#BerechnungDBE'!CK60)</f>
        <v xml:space="preserve"> </v>
      </c>
      <c r="E185" s="42" t="str">
        <f t="shared" si="117"/>
        <v xml:space="preserve"> </v>
      </c>
      <c r="F185" s="869"/>
      <c r="G185" s="42" t="str">
        <f>IF(A185=" ","",'#BerechnungDBE'!CK60+'#BerechnungDBE'!CM60)</f>
        <v/>
      </c>
      <c r="H185" s="444" t="str">
        <f t="shared" si="106"/>
        <v/>
      </c>
      <c r="I185" s="444">
        <f>IF(A185=" ",0,'#minDung'!R66)</f>
        <v>0</v>
      </c>
      <c r="J185" s="430" t="str">
        <f t="shared" si="118"/>
        <v xml:space="preserve"> </v>
      </c>
      <c r="K185" s="444">
        <f>IF(A185=" ",0,'Flächen u. Kulturen'!W65)</f>
        <v>0</v>
      </c>
      <c r="L185" s="883" t="str">
        <f t="shared" si="130"/>
        <v/>
      </c>
      <c r="M185" s="444" t="str">
        <f t="shared" si="131"/>
        <v xml:space="preserve"> </v>
      </c>
      <c r="N185" s="444" t="str">
        <f t="shared" si="120"/>
        <v xml:space="preserve"> </v>
      </c>
      <c r="O185" s="911" t="str">
        <f t="shared" si="121"/>
        <v xml:space="preserve"> </v>
      </c>
      <c r="P185" s="912" t="str">
        <f t="shared" si="122"/>
        <v xml:space="preserve"> </v>
      </c>
      <c r="Q185" s="912" t="str">
        <f t="shared" si="123"/>
        <v xml:space="preserve"> </v>
      </c>
      <c r="R185" s="444" t="str">
        <f t="shared" si="132"/>
        <v/>
      </c>
      <c r="S185" s="444" t="str">
        <f t="shared" si="124"/>
        <v/>
      </c>
      <c r="T185" s="444" t="str">
        <f t="shared" si="133"/>
        <v xml:space="preserve"> </v>
      </c>
      <c r="U185" s="119" t="str">
        <f t="shared" si="125"/>
        <v xml:space="preserve"> </v>
      </c>
      <c r="V185" s="444" t="str">
        <f t="shared" si="107"/>
        <v xml:space="preserve"> </v>
      </c>
      <c r="W185" s="909" t="str">
        <f t="shared" si="108"/>
        <v xml:space="preserve"> </v>
      </c>
      <c r="X185" s="924" t="str">
        <f t="shared" si="126"/>
        <v xml:space="preserve"> </v>
      </c>
      <c r="Y185" s="444" t="str">
        <f t="shared" si="109"/>
        <v xml:space="preserve"> </v>
      </c>
      <c r="Z185" s="444" t="str">
        <f t="shared" si="110"/>
        <v xml:space="preserve"> </v>
      </c>
      <c r="AA185" s="444" t="str">
        <f t="shared" si="111"/>
        <v xml:space="preserve"> </v>
      </c>
      <c r="AB185" s="912" t="str">
        <f t="shared" si="112"/>
        <v xml:space="preserve"> </v>
      </c>
      <c r="AC185" s="912" t="str">
        <f t="shared" si="127"/>
        <v xml:space="preserve"> </v>
      </c>
      <c r="AD185" s="444" t="str">
        <f t="shared" si="113"/>
        <v xml:space="preserve"> </v>
      </c>
      <c r="AE185" s="444" t="str">
        <f t="shared" si="128"/>
        <v/>
      </c>
      <c r="AF185" s="444" t="str">
        <f t="shared" si="114"/>
        <v xml:space="preserve"> </v>
      </c>
      <c r="AG185" s="119" t="str">
        <f t="shared" si="129"/>
        <v xml:space="preserve"> </v>
      </c>
      <c r="AH185" s="444" t="str">
        <f t="shared" si="115"/>
        <v xml:space="preserve"> </v>
      </c>
      <c r="AI185" s="909" t="str">
        <f t="shared" si="116"/>
        <v xml:space="preserve"> </v>
      </c>
      <c r="AJ185" s="879" t="str">
        <f t="shared" si="119"/>
        <v xml:space="preserve"> </v>
      </c>
      <c r="AK185" s="444" t="str">
        <f t="shared" si="134"/>
        <v xml:space="preserve"> </v>
      </c>
      <c r="AL185" s="444" t="str">
        <f t="shared" si="135"/>
        <v xml:space="preserve"> </v>
      </c>
      <c r="AM185" s="444" t="str">
        <f t="shared" si="136"/>
        <v xml:space="preserve"> </v>
      </c>
      <c r="AN185" s="119" t="str">
        <f t="shared" si="137"/>
        <v xml:space="preserve"> </v>
      </c>
      <c r="AO185" s="444" t="str">
        <f t="shared" si="138"/>
        <v xml:space="preserve"> </v>
      </c>
      <c r="AP185" s="444" t="str">
        <f t="shared" si="139"/>
        <v xml:space="preserve"> </v>
      </c>
      <c r="AQ185" s="123" t="str">
        <f>IF(A185=" "," ",IF('#orgDung'!AF69=0,0,AO185/'#orgDung'!AF69))</f>
        <v xml:space="preserve"> </v>
      </c>
      <c r="AR185" s="47" t="str">
        <f>IF(A185=" "," ",IF('#orgDung'!AF69=0,0,AP185/'#orgDung'!AF69))</f>
        <v xml:space="preserve"> </v>
      </c>
      <c r="AS185" s="890">
        <f>IF(OR(B185=0,B185=""),0,MAX('Flächen u. Kulturen'!W65,AT185/B185))</f>
        <v>0</v>
      </c>
      <c r="AT185" s="875">
        <f t="shared" si="140"/>
        <v>0</v>
      </c>
      <c r="AU185" s="120"/>
    </row>
    <row r="186" spans="1:47" s="875" customFormat="1" x14ac:dyDescent="0.2">
      <c r="A186" s="42" t="str">
        <f>IF('Flächen u. Kulturen'!E66="x",IF(AND('#Kürzungen'!$F$2=2,'#BerechnungDBE'!R61=1,'Flächen u. Kulturen'!D66&lt;&gt;"",'#BerechnungDBE'!AF61=70),'Flächen u. Kulturen'!A66,IF(AND('#BerechnungDBE'!S61=1,'Flächen u. Kulturen'!D66&lt;&gt;"",'#BerechnungDBE'!AF61=70),'Flächen u. Kulturen'!A66," "))," ")</f>
        <v xml:space="preserve"> </v>
      </c>
      <c r="B186" s="505" t="str">
        <f>'Flächen u. Kulturen'!D66</f>
        <v/>
      </c>
      <c r="C186" s="42" t="str">
        <f>IF(A186=" "," ",'#BerechnungDBE'!AK61)</f>
        <v xml:space="preserve"> </v>
      </c>
      <c r="D186" s="42" t="str">
        <f>IF(A186=" "," ",'#BerechnungDBE'!CK61)</f>
        <v xml:space="preserve"> </v>
      </c>
      <c r="E186" s="42" t="str">
        <f t="shared" si="117"/>
        <v xml:space="preserve"> </v>
      </c>
      <c r="F186" s="869"/>
      <c r="G186" s="42" t="str">
        <f>IF(A186=" ","",'#BerechnungDBE'!CK61+'#BerechnungDBE'!CM61)</f>
        <v/>
      </c>
      <c r="H186" s="444" t="str">
        <f t="shared" si="106"/>
        <v/>
      </c>
      <c r="I186" s="444">
        <f>IF(A186=" ",0,'#minDung'!R67)</f>
        <v>0</v>
      </c>
      <c r="J186" s="430" t="str">
        <f t="shared" si="118"/>
        <v xml:space="preserve"> </v>
      </c>
      <c r="K186" s="444">
        <f>IF(A186=" ",0,'Flächen u. Kulturen'!W66)</f>
        <v>0</v>
      </c>
      <c r="L186" s="883" t="str">
        <f t="shared" si="130"/>
        <v/>
      </c>
      <c r="M186" s="444" t="str">
        <f t="shared" si="131"/>
        <v xml:space="preserve"> </v>
      </c>
      <c r="N186" s="444" t="str">
        <f t="shared" si="120"/>
        <v xml:space="preserve"> </v>
      </c>
      <c r="O186" s="911" t="str">
        <f t="shared" si="121"/>
        <v xml:space="preserve"> </v>
      </c>
      <c r="P186" s="912" t="str">
        <f t="shared" si="122"/>
        <v xml:space="preserve"> </v>
      </c>
      <c r="Q186" s="912" t="str">
        <f t="shared" si="123"/>
        <v xml:space="preserve"> </v>
      </c>
      <c r="R186" s="444" t="str">
        <f t="shared" si="132"/>
        <v/>
      </c>
      <c r="S186" s="444" t="str">
        <f t="shared" si="124"/>
        <v/>
      </c>
      <c r="T186" s="444" t="str">
        <f t="shared" si="133"/>
        <v xml:space="preserve"> </v>
      </c>
      <c r="U186" s="119" t="str">
        <f t="shared" si="125"/>
        <v xml:space="preserve"> </v>
      </c>
      <c r="V186" s="444" t="str">
        <f t="shared" si="107"/>
        <v xml:space="preserve"> </v>
      </c>
      <c r="W186" s="909" t="str">
        <f t="shared" si="108"/>
        <v xml:space="preserve"> </v>
      </c>
      <c r="X186" s="924" t="str">
        <f t="shared" si="126"/>
        <v xml:space="preserve"> </v>
      </c>
      <c r="Y186" s="444" t="str">
        <f t="shared" si="109"/>
        <v xml:space="preserve"> </v>
      </c>
      <c r="Z186" s="444" t="str">
        <f t="shared" si="110"/>
        <v xml:space="preserve"> </v>
      </c>
      <c r="AA186" s="444" t="str">
        <f t="shared" si="111"/>
        <v xml:space="preserve"> </v>
      </c>
      <c r="AB186" s="912" t="str">
        <f t="shared" si="112"/>
        <v xml:space="preserve"> </v>
      </c>
      <c r="AC186" s="912" t="str">
        <f t="shared" si="127"/>
        <v xml:space="preserve"> </v>
      </c>
      <c r="AD186" s="444" t="str">
        <f t="shared" si="113"/>
        <v xml:space="preserve"> </v>
      </c>
      <c r="AE186" s="444" t="str">
        <f t="shared" si="128"/>
        <v/>
      </c>
      <c r="AF186" s="444" t="str">
        <f t="shared" si="114"/>
        <v xml:space="preserve"> </v>
      </c>
      <c r="AG186" s="119" t="str">
        <f t="shared" si="129"/>
        <v xml:space="preserve"> </v>
      </c>
      <c r="AH186" s="444" t="str">
        <f t="shared" si="115"/>
        <v xml:space="preserve"> </v>
      </c>
      <c r="AI186" s="909" t="str">
        <f t="shared" si="116"/>
        <v xml:space="preserve"> </v>
      </c>
      <c r="AJ186" s="879" t="str">
        <f t="shared" si="119"/>
        <v xml:space="preserve"> </v>
      </c>
      <c r="AK186" s="444" t="str">
        <f t="shared" si="134"/>
        <v xml:space="preserve"> </v>
      </c>
      <c r="AL186" s="444" t="str">
        <f t="shared" si="135"/>
        <v xml:space="preserve"> </v>
      </c>
      <c r="AM186" s="444" t="str">
        <f t="shared" si="136"/>
        <v xml:space="preserve"> </v>
      </c>
      <c r="AN186" s="119" t="str">
        <f t="shared" si="137"/>
        <v xml:space="preserve"> </v>
      </c>
      <c r="AO186" s="444" t="str">
        <f t="shared" si="138"/>
        <v xml:space="preserve"> </v>
      </c>
      <c r="AP186" s="444" t="str">
        <f t="shared" si="139"/>
        <v xml:space="preserve"> </v>
      </c>
      <c r="AQ186" s="123" t="str">
        <f>IF(A186=" "," ",IF('#orgDung'!AF70=0,0,AO186/'#orgDung'!AF70))</f>
        <v xml:space="preserve"> </v>
      </c>
      <c r="AR186" s="47" t="str">
        <f>IF(A186=" "," ",IF('#orgDung'!AF70=0,0,AP186/'#orgDung'!AF70))</f>
        <v xml:space="preserve"> </v>
      </c>
      <c r="AS186" s="890">
        <f>IF(OR(B186=0,B186=""),0,MAX('Flächen u. Kulturen'!W66,AT186/B186))</f>
        <v>0</v>
      </c>
      <c r="AT186" s="875">
        <f t="shared" si="140"/>
        <v>0</v>
      </c>
      <c r="AU186" s="120"/>
    </row>
    <row r="187" spans="1:47" s="875" customFormat="1" x14ac:dyDescent="0.2">
      <c r="A187" s="42" t="str">
        <f>IF('Flächen u. Kulturen'!E67="x",IF(AND('#Kürzungen'!$F$2=2,'#BerechnungDBE'!R62=1,'Flächen u. Kulturen'!D67&lt;&gt;"",'#BerechnungDBE'!AF62=70),'Flächen u. Kulturen'!A67,IF(AND('#BerechnungDBE'!S62=1,'Flächen u. Kulturen'!D67&lt;&gt;"",'#BerechnungDBE'!AF62=70),'Flächen u. Kulturen'!A67," "))," ")</f>
        <v xml:space="preserve"> </v>
      </c>
      <c r="B187" s="505" t="str">
        <f>'Flächen u. Kulturen'!D67</f>
        <v/>
      </c>
      <c r="C187" s="42" t="str">
        <f>IF(A187=" "," ",'#BerechnungDBE'!AK62)</f>
        <v xml:space="preserve"> </v>
      </c>
      <c r="D187" s="42" t="str">
        <f>IF(A187=" "," ",'#BerechnungDBE'!CK62)</f>
        <v xml:space="preserve"> </v>
      </c>
      <c r="E187" s="42" t="str">
        <f t="shared" si="117"/>
        <v xml:space="preserve"> </v>
      </c>
      <c r="F187" s="869"/>
      <c r="G187" s="42" t="str">
        <f>IF(A187=" ","",'#BerechnungDBE'!CK62+'#BerechnungDBE'!CM62)</f>
        <v/>
      </c>
      <c r="H187" s="444" t="str">
        <f t="shared" si="106"/>
        <v/>
      </c>
      <c r="I187" s="444">
        <f>IF(A187=" ",0,'#minDung'!R68)</f>
        <v>0</v>
      </c>
      <c r="J187" s="430" t="str">
        <f t="shared" si="118"/>
        <v xml:space="preserve"> </v>
      </c>
      <c r="K187" s="444">
        <f>IF(A187=" ",0,'Flächen u. Kulturen'!W67)</f>
        <v>0</v>
      </c>
      <c r="L187" s="883" t="str">
        <f t="shared" si="130"/>
        <v/>
      </c>
      <c r="M187" s="444" t="str">
        <f t="shared" si="131"/>
        <v xml:space="preserve"> </v>
      </c>
      <c r="N187" s="444" t="str">
        <f t="shared" si="120"/>
        <v xml:space="preserve"> </v>
      </c>
      <c r="O187" s="911" t="str">
        <f t="shared" si="121"/>
        <v xml:space="preserve"> </v>
      </c>
      <c r="P187" s="912" t="str">
        <f t="shared" si="122"/>
        <v xml:space="preserve"> </v>
      </c>
      <c r="Q187" s="912" t="str">
        <f t="shared" si="123"/>
        <v xml:space="preserve"> </v>
      </c>
      <c r="R187" s="444" t="str">
        <f t="shared" si="132"/>
        <v/>
      </c>
      <c r="S187" s="444" t="str">
        <f t="shared" si="124"/>
        <v/>
      </c>
      <c r="T187" s="444" t="str">
        <f t="shared" si="133"/>
        <v xml:space="preserve"> </v>
      </c>
      <c r="U187" s="119" t="str">
        <f t="shared" si="125"/>
        <v xml:space="preserve"> </v>
      </c>
      <c r="V187" s="444" t="str">
        <f t="shared" si="107"/>
        <v xml:space="preserve"> </v>
      </c>
      <c r="W187" s="909" t="str">
        <f t="shared" si="108"/>
        <v xml:space="preserve"> </v>
      </c>
      <c r="X187" s="924" t="str">
        <f t="shared" si="126"/>
        <v xml:space="preserve"> </v>
      </c>
      <c r="Y187" s="444" t="str">
        <f t="shared" si="109"/>
        <v xml:space="preserve"> </v>
      </c>
      <c r="Z187" s="444" t="str">
        <f t="shared" si="110"/>
        <v xml:space="preserve"> </v>
      </c>
      <c r="AA187" s="444" t="str">
        <f t="shared" si="111"/>
        <v xml:space="preserve"> </v>
      </c>
      <c r="AB187" s="912" t="str">
        <f t="shared" si="112"/>
        <v xml:space="preserve"> </v>
      </c>
      <c r="AC187" s="912" t="str">
        <f t="shared" si="127"/>
        <v xml:space="preserve"> </v>
      </c>
      <c r="AD187" s="444" t="str">
        <f t="shared" si="113"/>
        <v xml:space="preserve"> </v>
      </c>
      <c r="AE187" s="444" t="str">
        <f t="shared" si="128"/>
        <v/>
      </c>
      <c r="AF187" s="444" t="str">
        <f t="shared" si="114"/>
        <v xml:space="preserve"> </v>
      </c>
      <c r="AG187" s="119" t="str">
        <f t="shared" si="129"/>
        <v xml:space="preserve"> </v>
      </c>
      <c r="AH187" s="444" t="str">
        <f t="shared" si="115"/>
        <v xml:space="preserve"> </v>
      </c>
      <c r="AI187" s="909" t="str">
        <f t="shared" si="116"/>
        <v xml:space="preserve"> </v>
      </c>
      <c r="AJ187" s="879" t="str">
        <f t="shared" si="119"/>
        <v xml:space="preserve"> </v>
      </c>
      <c r="AK187" s="444" t="str">
        <f t="shared" si="134"/>
        <v xml:space="preserve"> </v>
      </c>
      <c r="AL187" s="444" t="str">
        <f t="shared" si="135"/>
        <v xml:space="preserve"> </v>
      </c>
      <c r="AM187" s="444" t="str">
        <f t="shared" si="136"/>
        <v xml:space="preserve"> </v>
      </c>
      <c r="AN187" s="119" t="str">
        <f t="shared" si="137"/>
        <v xml:space="preserve"> </v>
      </c>
      <c r="AO187" s="444" t="str">
        <f t="shared" si="138"/>
        <v xml:space="preserve"> </v>
      </c>
      <c r="AP187" s="444" t="str">
        <f t="shared" si="139"/>
        <v xml:space="preserve"> </v>
      </c>
      <c r="AQ187" s="123" t="str">
        <f>IF(A187=" "," ",IF('#orgDung'!AF71=0,0,AO187/'#orgDung'!AF71))</f>
        <v xml:space="preserve"> </v>
      </c>
      <c r="AR187" s="47" t="str">
        <f>IF(A187=" "," ",IF('#orgDung'!AF71=0,0,AP187/'#orgDung'!AF71))</f>
        <v xml:space="preserve"> </v>
      </c>
      <c r="AS187" s="890">
        <f>IF(OR(B187=0,B187=""),0,MAX('Flächen u. Kulturen'!W67,AT187/B187))</f>
        <v>0</v>
      </c>
      <c r="AT187" s="875">
        <f t="shared" si="140"/>
        <v>0</v>
      </c>
      <c r="AU187" s="120"/>
    </row>
    <row r="188" spans="1:47" s="875" customFormat="1" x14ac:dyDescent="0.2">
      <c r="A188" s="42" t="str">
        <f>IF('Flächen u. Kulturen'!E68="x",IF(AND('#Kürzungen'!$F$2=2,'#BerechnungDBE'!R63=1,'Flächen u. Kulturen'!D68&lt;&gt;"",'#BerechnungDBE'!AF63=70),'Flächen u. Kulturen'!A68,IF(AND('#BerechnungDBE'!S63=1,'Flächen u. Kulturen'!D68&lt;&gt;"",'#BerechnungDBE'!AF63=70),'Flächen u. Kulturen'!A68," "))," ")</f>
        <v xml:space="preserve"> </v>
      </c>
      <c r="B188" s="505" t="str">
        <f>'Flächen u. Kulturen'!D68</f>
        <v/>
      </c>
      <c r="C188" s="42" t="str">
        <f>IF(A188=" "," ",'#BerechnungDBE'!AK63)</f>
        <v xml:space="preserve"> </v>
      </c>
      <c r="D188" s="42" t="str">
        <f>IF(A188=" "," ",'#BerechnungDBE'!CK63)</f>
        <v xml:space="preserve"> </v>
      </c>
      <c r="E188" s="42" t="str">
        <f t="shared" si="117"/>
        <v xml:space="preserve"> </v>
      </c>
      <c r="F188" s="869"/>
      <c r="G188" s="42" t="str">
        <f>IF(A188=" ","",'#BerechnungDBE'!CK63+'#BerechnungDBE'!CM63)</f>
        <v/>
      </c>
      <c r="H188" s="444" t="str">
        <f t="shared" si="106"/>
        <v/>
      </c>
      <c r="I188" s="444">
        <f>IF(A188=" ",0,'#minDung'!R69)</f>
        <v>0</v>
      </c>
      <c r="J188" s="430" t="str">
        <f t="shared" si="118"/>
        <v xml:space="preserve"> </v>
      </c>
      <c r="K188" s="444">
        <f>IF(A188=" ",0,'Flächen u. Kulturen'!W68)</f>
        <v>0</v>
      </c>
      <c r="L188" s="883" t="str">
        <f t="shared" si="130"/>
        <v/>
      </c>
      <c r="M188" s="444" t="str">
        <f t="shared" si="131"/>
        <v xml:space="preserve"> </v>
      </c>
      <c r="N188" s="444" t="str">
        <f t="shared" si="120"/>
        <v xml:space="preserve"> </v>
      </c>
      <c r="O188" s="911" t="str">
        <f t="shared" si="121"/>
        <v xml:space="preserve"> </v>
      </c>
      <c r="P188" s="912" t="str">
        <f t="shared" si="122"/>
        <v xml:space="preserve"> </v>
      </c>
      <c r="Q188" s="912" t="str">
        <f t="shared" si="123"/>
        <v xml:space="preserve"> </v>
      </c>
      <c r="R188" s="444" t="str">
        <f t="shared" si="132"/>
        <v/>
      </c>
      <c r="S188" s="444" t="str">
        <f t="shared" si="124"/>
        <v/>
      </c>
      <c r="T188" s="444" t="str">
        <f t="shared" si="133"/>
        <v xml:space="preserve"> </v>
      </c>
      <c r="U188" s="119" t="str">
        <f t="shared" si="125"/>
        <v xml:space="preserve"> </v>
      </c>
      <c r="V188" s="444" t="str">
        <f t="shared" si="107"/>
        <v xml:space="preserve"> </v>
      </c>
      <c r="W188" s="909" t="str">
        <f t="shared" si="108"/>
        <v xml:space="preserve"> </v>
      </c>
      <c r="X188" s="924" t="str">
        <f t="shared" si="126"/>
        <v xml:space="preserve"> </v>
      </c>
      <c r="Y188" s="444" t="str">
        <f t="shared" si="109"/>
        <v xml:space="preserve"> </v>
      </c>
      <c r="Z188" s="444" t="str">
        <f t="shared" si="110"/>
        <v xml:space="preserve"> </v>
      </c>
      <c r="AA188" s="444" t="str">
        <f t="shared" si="111"/>
        <v xml:space="preserve"> </v>
      </c>
      <c r="AB188" s="912" t="str">
        <f t="shared" si="112"/>
        <v xml:space="preserve"> </v>
      </c>
      <c r="AC188" s="912" t="str">
        <f t="shared" si="127"/>
        <v xml:space="preserve"> </v>
      </c>
      <c r="AD188" s="444" t="str">
        <f t="shared" si="113"/>
        <v xml:space="preserve"> </v>
      </c>
      <c r="AE188" s="444" t="str">
        <f t="shared" si="128"/>
        <v/>
      </c>
      <c r="AF188" s="444" t="str">
        <f t="shared" si="114"/>
        <v xml:space="preserve"> </v>
      </c>
      <c r="AG188" s="119" t="str">
        <f t="shared" si="129"/>
        <v xml:space="preserve"> </v>
      </c>
      <c r="AH188" s="444" t="str">
        <f t="shared" si="115"/>
        <v xml:space="preserve"> </v>
      </c>
      <c r="AI188" s="909" t="str">
        <f t="shared" si="116"/>
        <v xml:space="preserve"> </v>
      </c>
      <c r="AJ188" s="879" t="str">
        <f t="shared" si="119"/>
        <v xml:space="preserve"> </v>
      </c>
      <c r="AK188" s="444" t="str">
        <f t="shared" si="134"/>
        <v xml:space="preserve"> </v>
      </c>
      <c r="AL188" s="444" t="str">
        <f t="shared" si="135"/>
        <v xml:space="preserve"> </v>
      </c>
      <c r="AM188" s="444" t="str">
        <f t="shared" si="136"/>
        <v xml:space="preserve"> </v>
      </c>
      <c r="AN188" s="119" t="str">
        <f t="shared" si="137"/>
        <v xml:space="preserve"> </v>
      </c>
      <c r="AO188" s="444" t="str">
        <f t="shared" si="138"/>
        <v xml:space="preserve"> </v>
      </c>
      <c r="AP188" s="444" t="str">
        <f t="shared" si="139"/>
        <v xml:space="preserve"> </v>
      </c>
      <c r="AQ188" s="123" t="str">
        <f>IF(A188=" "," ",IF('#orgDung'!AF72=0,0,AO188/'#orgDung'!AF72))</f>
        <v xml:space="preserve"> </v>
      </c>
      <c r="AR188" s="47" t="str">
        <f>IF(A188=" "," ",IF('#orgDung'!AF72=0,0,AP188/'#orgDung'!AF72))</f>
        <v xml:space="preserve"> </v>
      </c>
      <c r="AS188" s="890">
        <f>IF(OR(B188=0,B188=""),0,MAX('Flächen u. Kulturen'!W68,AT188/B188))</f>
        <v>0</v>
      </c>
      <c r="AT188" s="875">
        <f t="shared" si="140"/>
        <v>0</v>
      </c>
      <c r="AU188" s="120"/>
    </row>
    <row r="189" spans="1:47" s="875" customFormat="1" x14ac:dyDescent="0.2">
      <c r="A189" s="42" t="str">
        <f>IF('Flächen u. Kulturen'!E69="x",IF(AND('#Kürzungen'!$F$2=2,'#BerechnungDBE'!R64=1,'Flächen u. Kulturen'!D69&lt;&gt;"",'#BerechnungDBE'!AF64=70),'Flächen u. Kulturen'!A69,IF(AND('#BerechnungDBE'!S64=1,'Flächen u. Kulturen'!D69&lt;&gt;"",'#BerechnungDBE'!AF64=70),'Flächen u. Kulturen'!A69," "))," ")</f>
        <v xml:space="preserve"> </v>
      </c>
      <c r="B189" s="505" t="str">
        <f>'Flächen u. Kulturen'!D69</f>
        <v/>
      </c>
      <c r="C189" s="42" t="str">
        <f>IF(A189=" "," ",'#BerechnungDBE'!AK64)</f>
        <v xml:space="preserve"> </v>
      </c>
      <c r="D189" s="42" t="str">
        <f>IF(A189=" "," ",'#BerechnungDBE'!CK64)</f>
        <v xml:space="preserve"> </v>
      </c>
      <c r="E189" s="42" t="str">
        <f t="shared" si="117"/>
        <v xml:space="preserve"> </v>
      </c>
      <c r="F189" s="869"/>
      <c r="G189" s="42" t="str">
        <f>IF(A189=" ","",'#BerechnungDBE'!CK64+'#BerechnungDBE'!CM64)</f>
        <v/>
      </c>
      <c r="H189" s="444" t="str">
        <f t="shared" si="106"/>
        <v/>
      </c>
      <c r="I189" s="444">
        <f>IF(A189=" ",0,'#minDung'!R70)</f>
        <v>0</v>
      </c>
      <c r="J189" s="430" t="str">
        <f t="shared" si="118"/>
        <v xml:space="preserve"> </v>
      </c>
      <c r="K189" s="444">
        <f>IF(A189=" ",0,'Flächen u. Kulturen'!W69)</f>
        <v>0</v>
      </c>
      <c r="L189" s="883" t="str">
        <f t="shared" si="130"/>
        <v/>
      </c>
      <c r="M189" s="444" t="str">
        <f t="shared" si="131"/>
        <v xml:space="preserve"> </v>
      </c>
      <c r="N189" s="444" t="str">
        <f t="shared" si="120"/>
        <v xml:space="preserve"> </v>
      </c>
      <c r="O189" s="911" t="str">
        <f t="shared" si="121"/>
        <v xml:space="preserve"> </v>
      </c>
      <c r="P189" s="912" t="str">
        <f t="shared" si="122"/>
        <v xml:space="preserve"> </v>
      </c>
      <c r="Q189" s="912" t="str">
        <f t="shared" si="123"/>
        <v xml:space="preserve"> </v>
      </c>
      <c r="R189" s="444" t="str">
        <f t="shared" si="132"/>
        <v/>
      </c>
      <c r="S189" s="444" t="str">
        <f t="shared" si="124"/>
        <v/>
      </c>
      <c r="T189" s="444" t="str">
        <f t="shared" si="133"/>
        <v xml:space="preserve"> </v>
      </c>
      <c r="U189" s="119" t="str">
        <f t="shared" si="125"/>
        <v xml:space="preserve"> </v>
      </c>
      <c r="V189" s="444" t="str">
        <f t="shared" si="107"/>
        <v xml:space="preserve"> </v>
      </c>
      <c r="W189" s="909" t="str">
        <f t="shared" si="108"/>
        <v xml:space="preserve"> </v>
      </c>
      <c r="X189" s="924" t="str">
        <f t="shared" si="126"/>
        <v xml:space="preserve"> </v>
      </c>
      <c r="Y189" s="444" t="str">
        <f t="shared" si="109"/>
        <v xml:space="preserve"> </v>
      </c>
      <c r="Z189" s="444" t="str">
        <f t="shared" si="110"/>
        <v xml:space="preserve"> </v>
      </c>
      <c r="AA189" s="444" t="str">
        <f t="shared" si="111"/>
        <v xml:space="preserve"> </v>
      </c>
      <c r="AB189" s="912" t="str">
        <f t="shared" si="112"/>
        <v xml:space="preserve"> </v>
      </c>
      <c r="AC189" s="912" t="str">
        <f t="shared" si="127"/>
        <v xml:space="preserve"> </v>
      </c>
      <c r="AD189" s="444" t="str">
        <f t="shared" si="113"/>
        <v xml:space="preserve"> </v>
      </c>
      <c r="AE189" s="444" t="str">
        <f t="shared" si="128"/>
        <v/>
      </c>
      <c r="AF189" s="444" t="str">
        <f t="shared" si="114"/>
        <v xml:space="preserve"> </v>
      </c>
      <c r="AG189" s="119" t="str">
        <f t="shared" si="129"/>
        <v xml:space="preserve"> </v>
      </c>
      <c r="AH189" s="444" t="str">
        <f t="shared" si="115"/>
        <v xml:space="preserve"> </v>
      </c>
      <c r="AI189" s="909" t="str">
        <f t="shared" si="116"/>
        <v xml:space="preserve"> </v>
      </c>
      <c r="AJ189" s="879" t="str">
        <f t="shared" si="119"/>
        <v xml:space="preserve"> </v>
      </c>
      <c r="AK189" s="444" t="str">
        <f t="shared" si="134"/>
        <v xml:space="preserve"> </v>
      </c>
      <c r="AL189" s="444" t="str">
        <f t="shared" si="135"/>
        <v xml:space="preserve"> </v>
      </c>
      <c r="AM189" s="444" t="str">
        <f t="shared" si="136"/>
        <v xml:space="preserve"> </v>
      </c>
      <c r="AN189" s="119" t="str">
        <f t="shared" si="137"/>
        <v xml:space="preserve"> </v>
      </c>
      <c r="AO189" s="444" t="str">
        <f t="shared" si="138"/>
        <v xml:space="preserve"> </v>
      </c>
      <c r="AP189" s="444" t="str">
        <f t="shared" si="139"/>
        <v xml:space="preserve"> </v>
      </c>
      <c r="AQ189" s="123" t="str">
        <f>IF(A189=" "," ",IF('#orgDung'!AF73=0,0,AO189/'#orgDung'!AF73))</f>
        <v xml:space="preserve"> </v>
      </c>
      <c r="AR189" s="47" t="str">
        <f>IF(A189=" "," ",IF('#orgDung'!AF73=0,0,AP189/'#orgDung'!AF73))</f>
        <v xml:space="preserve"> </v>
      </c>
      <c r="AS189" s="890">
        <f>IF(OR(B189=0,B189=""),0,MAX('Flächen u. Kulturen'!W69,AT189/B189))</f>
        <v>0</v>
      </c>
      <c r="AT189" s="875">
        <f t="shared" si="140"/>
        <v>0</v>
      </c>
      <c r="AU189" s="120"/>
    </row>
    <row r="190" spans="1:47" s="875" customFormat="1" x14ac:dyDescent="0.2">
      <c r="A190" s="42" t="str">
        <f>IF('Flächen u. Kulturen'!E70="x",IF(AND('#Kürzungen'!$F$2=2,'#BerechnungDBE'!R65=1,'Flächen u. Kulturen'!D70&lt;&gt;"",'#BerechnungDBE'!AF65=70),'Flächen u. Kulturen'!A70,IF(AND('#BerechnungDBE'!S65=1,'Flächen u. Kulturen'!D70&lt;&gt;"",'#BerechnungDBE'!AF65=70),'Flächen u. Kulturen'!A70," "))," ")</f>
        <v xml:space="preserve"> </v>
      </c>
      <c r="B190" s="505" t="str">
        <f>'Flächen u. Kulturen'!D70</f>
        <v/>
      </c>
      <c r="C190" s="42" t="str">
        <f>IF(A190=" "," ",'#BerechnungDBE'!AK65)</f>
        <v xml:space="preserve"> </v>
      </c>
      <c r="D190" s="42" t="str">
        <f>IF(A190=" "," ",'#BerechnungDBE'!CK65)</f>
        <v xml:space="preserve"> </v>
      </c>
      <c r="E190" s="42" t="str">
        <f t="shared" si="117"/>
        <v xml:space="preserve"> </v>
      </c>
      <c r="F190" s="869"/>
      <c r="G190" s="42" t="str">
        <f>IF(A190=" ","",'#BerechnungDBE'!CK65+'#BerechnungDBE'!CM65)</f>
        <v/>
      </c>
      <c r="H190" s="444" t="str">
        <f t="shared" si="106"/>
        <v/>
      </c>
      <c r="I190" s="444">
        <f>IF(A190=" ",0,'#minDung'!R71)</f>
        <v>0</v>
      </c>
      <c r="J190" s="430" t="str">
        <f t="shared" si="118"/>
        <v xml:space="preserve"> </v>
      </c>
      <c r="K190" s="444">
        <f>IF(A190=" ",0,'Flächen u. Kulturen'!W70)</f>
        <v>0</v>
      </c>
      <c r="L190" s="883" t="str">
        <f t="shared" si="130"/>
        <v/>
      </c>
      <c r="M190" s="444" t="str">
        <f t="shared" si="131"/>
        <v xml:space="preserve"> </v>
      </c>
      <c r="N190" s="444" t="str">
        <f t="shared" si="120"/>
        <v xml:space="preserve"> </v>
      </c>
      <c r="O190" s="911" t="str">
        <f t="shared" si="121"/>
        <v xml:space="preserve"> </v>
      </c>
      <c r="P190" s="912" t="str">
        <f t="shared" si="122"/>
        <v xml:space="preserve"> </v>
      </c>
      <c r="Q190" s="912" t="str">
        <f t="shared" si="123"/>
        <v xml:space="preserve"> </v>
      </c>
      <c r="R190" s="444" t="str">
        <f t="shared" si="132"/>
        <v/>
      </c>
      <c r="S190" s="444" t="str">
        <f t="shared" si="124"/>
        <v/>
      </c>
      <c r="T190" s="444" t="str">
        <f t="shared" si="133"/>
        <v xml:space="preserve"> </v>
      </c>
      <c r="U190" s="119" t="str">
        <f t="shared" si="125"/>
        <v xml:space="preserve"> </v>
      </c>
      <c r="V190" s="444" t="str">
        <f t="shared" si="107"/>
        <v xml:space="preserve"> </v>
      </c>
      <c r="W190" s="909" t="str">
        <f t="shared" si="108"/>
        <v xml:space="preserve"> </v>
      </c>
      <c r="X190" s="924" t="str">
        <f t="shared" si="126"/>
        <v xml:space="preserve"> </v>
      </c>
      <c r="Y190" s="444" t="str">
        <f t="shared" si="109"/>
        <v xml:space="preserve"> </v>
      </c>
      <c r="Z190" s="444" t="str">
        <f t="shared" si="110"/>
        <v xml:space="preserve"> </v>
      </c>
      <c r="AA190" s="444" t="str">
        <f t="shared" si="111"/>
        <v xml:space="preserve"> </v>
      </c>
      <c r="AB190" s="912" t="str">
        <f t="shared" si="112"/>
        <v xml:space="preserve"> </v>
      </c>
      <c r="AC190" s="912" t="str">
        <f t="shared" si="127"/>
        <v xml:space="preserve"> </v>
      </c>
      <c r="AD190" s="444" t="str">
        <f t="shared" si="113"/>
        <v xml:space="preserve"> </v>
      </c>
      <c r="AE190" s="444" t="str">
        <f t="shared" si="128"/>
        <v/>
      </c>
      <c r="AF190" s="444" t="str">
        <f t="shared" si="114"/>
        <v xml:space="preserve"> </v>
      </c>
      <c r="AG190" s="119" t="str">
        <f t="shared" si="129"/>
        <v xml:space="preserve"> </v>
      </c>
      <c r="AH190" s="444" t="str">
        <f t="shared" si="115"/>
        <v xml:space="preserve"> </v>
      </c>
      <c r="AI190" s="909" t="str">
        <f t="shared" si="116"/>
        <v xml:space="preserve"> </v>
      </c>
      <c r="AJ190" s="879" t="str">
        <f t="shared" si="119"/>
        <v xml:space="preserve"> </v>
      </c>
      <c r="AK190" s="444" t="str">
        <f t="shared" si="134"/>
        <v xml:space="preserve"> </v>
      </c>
      <c r="AL190" s="444" t="str">
        <f t="shared" si="135"/>
        <v xml:space="preserve"> </v>
      </c>
      <c r="AM190" s="444" t="str">
        <f t="shared" si="136"/>
        <v xml:space="preserve"> </v>
      </c>
      <c r="AN190" s="119" t="str">
        <f t="shared" si="137"/>
        <v xml:space="preserve"> </v>
      </c>
      <c r="AO190" s="444" t="str">
        <f t="shared" si="138"/>
        <v xml:space="preserve"> </v>
      </c>
      <c r="AP190" s="444" t="str">
        <f t="shared" si="139"/>
        <v xml:space="preserve"> </v>
      </c>
      <c r="AQ190" s="123" t="str">
        <f>IF(A190=" "," ",IF('#orgDung'!AF74=0,0,AO190/'#orgDung'!AF74))</f>
        <v xml:space="preserve"> </v>
      </c>
      <c r="AR190" s="47" t="str">
        <f>IF(A190=" "," ",IF('#orgDung'!AF74=0,0,AP190/'#orgDung'!AF74))</f>
        <v xml:space="preserve"> </v>
      </c>
      <c r="AS190" s="890">
        <f>IF(OR(B190=0,B190=""),0,MAX('Flächen u. Kulturen'!W70,AT190/B190))</f>
        <v>0</v>
      </c>
      <c r="AT190" s="875">
        <f t="shared" si="140"/>
        <v>0</v>
      </c>
      <c r="AU190" s="120"/>
    </row>
    <row r="191" spans="1:47" s="875" customFormat="1" x14ac:dyDescent="0.2">
      <c r="A191" s="42" t="str">
        <f>IF('Flächen u. Kulturen'!E71="x",IF(AND('#Kürzungen'!$F$2=2,'#BerechnungDBE'!R66=1,'Flächen u. Kulturen'!D71&lt;&gt;"",'#BerechnungDBE'!AF66=70),'Flächen u. Kulturen'!A71,IF(AND('#BerechnungDBE'!S66=1,'Flächen u. Kulturen'!D71&lt;&gt;"",'#BerechnungDBE'!AF66=70),'Flächen u. Kulturen'!A71," "))," ")</f>
        <v xml:space="preserve"> </v>
      </c>
      <c r="B191" s="505" t="str">
        <f>'Flächen u. Kulturen'!D71</f>
        <v/>
      </c>
      <c r="C191" s="42" t="str">
        <f>IF(A191=" "," ",'#BerechnungDBE'!AK66)</f>
        <v xml:space="preserve"> </v>
      </c>
      <c r="D191" s="42" t="str">
        <f>IF(A191=" "," ",'#BerechnungDBE'!CK66)</f>
        <v xml:space="preserve"> </v>
      </c>
      <c r="E191" s="42" t="str">
        <f t="shared" si="117"/>
        <v xml:space="preserve"> </v>
      </c>
      <c r="F191" s="869"/>
      <c r="G191" s="42" t="str">
        <f>IF(A191=" ","",'#BerechnungDBE'!CK66+'#BerechnungDBE'!CM66)</f>
        <v/>
      </c>
      <c r="H191" s="444" t="str">
        <f t="shared" si="106"/>
        <v/>
      </c>
      <c r="I191" s="444">
        <f>IF(A191=" ",0,'#minDung'!R72)</f>
        <v>0</v>
      </c>
      <c r="J191" s="430" t="str">
        <f t="shared" si="118"/>
        <v xml:space="preserve"> </v>
      </c>
      <c r="K191" s="444">
        <f>IF(A191=" ",0,'Flächen u. Kulturen'!W71)</f>
        <v>0</v>
      </c>
      <c r="L191" s="883" t="str">
        <f t="shared" si="130"/>
        <v/>
      </c>
      <c r="M191" s="444" t="str">
        <f t="shared" si="131"/>
        <v xml:space="preserve"> </v>
      </c>
      <c r="N191" s="444" t="str">
        <f t="shared" si="120"/>
        <v xml:space="preserve"> </v>
      </c>
      <c r="O191" s="911" t="str">
        <f t="shared" si="121"/>
        <v xml:space="preserve"> </v>
      </c>
      <c r="P191" s="912" t="str">
        <f t="shared" si="122"/>
        <v xml:space="preserve"> </v>
      </c>
      <c r="Q191" s="912" t="str">
        <f t="shared" si="123"/>
        <v xml:space="preserve"> </v>
      </c>
      <c r="R191" s="444" t="str">
        <f t="shared" si="132"/>
        <v/>
      </c>
      <c r="S191" s="444" t="str">
        <f t="shared" si="124"/>
        <v/>
      </c>
      <c r="T191" s="444" t="str">
        <f t="shared" si="133"/>
        <v xml:space="preserve"> </v>
      </c>
      <c r="U191" s="119" t="str">
        <f t="shared" si="125"/>
        <v xml:space="preserve"> </v>
      </c>
      <c r="V191" s="444" t="str">
        <f t="shared" si="107"/>
        <v xml:space="preserve"> </v>
      </c>
      <c r="W191" s="909" t="str">
        <f t="shared" si="108"/>
        <v xml:space="preserve"> </v>
      </c>
      <c r="X191" s="924" t="str">
        <f t="shared" si="126"/>
        <v xml:space="preserve"> </v>
      </c>
      <c r="Y191" s="444" t="str">
        <f t="shared" si="109"/>
        <v xml:space="preserve"> </v>
      </c>
      <c r="Z191" s="444" t="str">
        <f t="shared" si="110"/>
        <v xml:space="preserve"> </v>
      </c>
      <c r="AA191" s="444" t="str">
        <f t="shared" si="111"/>
        <v xml:space="preserve"> </v>
      </c>
      <c r="AB191" s="912" t="str">
        <f t="shared" si="112"/>
        <v xml:space="preserve"> </v>
      </c>
      <c r="AC191" s="912" t="str">
        <f t="shared" si="127"/>
        <v xml:space="preserve"> </v>
      </c>
      <c r="AD191" s="444" t="str">
        <f t="shared" si="113"/>
        <v xml:space="preserve"> </v>
      </c>
      <c r="AE191" s="444" t="str">
        <f t="shared" si="128"/>
        <v/>
      </c>
      <c r="AF191" s="444" t="str">
        <f t="shared" si="114"/>
        <v xml:space="preserve"> </v>
      </c>
      <c r="AG191" s="119" t="str">
        <f t="shared" si="129"/>
        <v xml:space="preserve"> </v>
      </c>
      <c r="AH191" s="444" t="str">
        <f t="shared" si="115"/>
        <v xml:space="preserve"> </v>
      </c>
      <c r="AI191" s="909" t="str">
        <f t="shared" si="116"/>
        <v xml:space="preserve"> </v>
      </c>
      <c r="AJ191" s="879" t="str">
        <f t="shared" si="119"/>
        <v xml:space="preserve"> </v>
      </c>
      <c r="AK191" s="444" t="str">
        <f t="shared" si="134"/>
        <v xml:space="preserve"> </v>
      </c>
      <c r="AL191" s="444" t="str">
        <f t="shared" si="135"/>
        <v xml:space="preserve"> </v>
      </c>
      <c r="AM191" s="444" t="str">
        <f t="shared" si="136"/>
        <v xml:space="preserve"> </v>
      </c>
      <c r="AN191" s="119" t="str">
        <f t="shared" si="137"/>
        <v xml:space="preserve"> </v>
      </c>
      <c r="AO191" s="444" t="str">
        <f t="shared" si="138"/>
        <v xml:space="preserve"> </v>
      </c>
      <c r="AP191" s="444" t="str">
        <f t="shared" si="139"/>
        <v xml:space="preserve"> </v>
      </c>
      <c r="AQ191" s="123" t="str">
        <f>IF(A191=" "," ",IF('#orgDung'!AF75=0,0,AO191/'#orgDung'!AF75))</f>
        <v xml:space="preserve"> </v>
      </c>
      <c r="AR191" s="47" t="str">
        <f>IF(A191=" "," ",IF('#orgDung'!AF75=0,0,AP191/'#orgDung'!AF75))</f>
        <v xml:space="preserve"> </v>
      </c>
      <c r="AS191" s="890">
        <f>IF(OR(B191=0,B191=""),0,MAX('Flächen u. Kulturen'!W71,AT191/B191))</f>
        <v>0</v>
      </c>
      <c r="AT191" s="875">
        <f t="shared" si="140"/>
        <v>0</v>
      </c>
      <c r="AU191" s="120"/>
    </row>
    <row r="192" spans="1:47" s="875" customFormat="1" x14ac:dyDescent="0.2">
      <c r="A192" s="42" t="str">
        <f>IF('Flächen u. Kulturen'!E72="x",IF(AND('#Kürzungen'!$F$2=2,'#BerechnungDBE'!R67=1,'Flächen u. Kulturen'!D72&lt;&gt;"",'#BerechnungDBE'!AF67=70),'Flächen u. Kulturen'!A72,IF(AND('#BerechnungDBE'!S67=1,'Flächen u. Kulturen'!D72&lt;&gt;"",'#BerechnungDBE'!AF67=70),'Flächen u. Kulturen'!A72," "))," ")</f>
        <v xml:space="preserve"> </v>
      </c>
      <c r="B192" s="505" t="str">
        <f>'Flächen u. Kulturen'!D72</f>
        <v/>
      </c>
      <c r="C192" s="42" t="str">
        <f>IF(A192=" "," ",'#BerechnungDBE'!AK67)</f>
        <v xml:space="preserve"> </v>
      </c>
      <c r="D192" s="42" t="str">
        <f>IF(A192=" "," ",'#BerechnungDBE'!CK67)</f>
        <v xml:space="preserve"> </v>
      </c>
      <c r="E192" s="42" t="str">
        <f t="shared" si="117"/>
        <v xml:space="preserve"> </v>
      </c>
      <c r="F192" s="869"/>
      <c r="G192" s="42" t="str">
        <f>IF(A192=" ","",'#BerechnungDBE'!CK67+'#BerechnungDBE'!CM67)</f>
        <v/>
      </c>
      <c r="H192" s="444" t="str">
        <f t="shared" si="106"/>
        <v/>
      </c>
      <c r="I192" s="444">
        <f>IF(A192=" ",0,'#minDung'!R73)</f>
        <v>0</v>
      </c>
      <c r="J192" s="430" t="str">
        <f t="shared" si="118"/>
        <v xml:space="preserve"> </v>
      </c>
      <c r="K192" s="444">
        <f>IF(A192=" ",0,'Flächen u. Kulturen'!W72)</f>
        <v>0</v>
      </c>
      <c r="L192" s="883" t="str">
        <f t="shared" si="130"/>
        <v/>
      </c>
      <c r="M192" s="444" t="str">
        <f t="shared" si="131"/>
        <v xml:space="preserve"> </v>
      </c>
      <c r="N192" s="444" t="str">
        <f t="shared" si="120"/>
        <v xml:space="preserve"> </v>
      </c>
      <c r="O192" s="911" t="str">
        <f t="shared" si="121"/>
        <v xml:space="preserve"> </v>
      </c>
      <c r="P192" s="912" t="str">
        <f t="shared" si="122"/>
        <v xml:space="preserve"> </v>
      </c>
      <c r="Q192" s="912" t="str">
        <f t="shared" si="123"/>
        <v xml:space="preserve"> </v>
      </c>
      <c r="R192" s="444" t="str">
        <f t="shared" si="132"/>
        <v/>
      </c>
      <c r="S192" s="444" t="str">
        <f t="shared" si="124"/>
        <v/>
      </c>
      <c r="T192" s="444" t="str">
        <f t="shared" si="133"/>
        <v xml:space="preserve"> </v>
      </c>
      <c r="U192" s="119" t="str">
        <f t="shared" si="125"/>
        <v xml:space="preserve"> </v>
      </c>
      <c r="V192" s="444" t="str">
        <f t="shared" si="107"/>
        <v xml:space="preserve"> </v>
      </c>
      <c r="W192" s="909" t="str">
        <f t="shared" si="108"/>
        <v xml:space="preserve"> </v>
      </c>
      <c r="X192" s="924" t="str">
        <f t="shared" si="126"/>
        <v xml:space="preserve"> </v>
      </c>
      <c r="Y192" s="444" t="str">
        <f t="shared" si="109"/>
        <v xml:space="preserve"> </v>
      </c>
      <c r="Z192" s="444" t="str">
        <f t="shared" si="110"/>
        <v xml:space="preserve"> </v>
      </c>
      <c r="AA192" s="444" t="str">
        <f t="shared" si="111"/>
        <v xml:space="preserve"> </v>
      </c>
      <c r="AB192" s="912" t="str">
        <f t="shared" si="112"/>
        <v xml:space="preserve"> </v>
      </c>
      <c r="AC192" s="912" t="str">
        <f t="shared" si="127"/>
        <v xml:space="preserve"> </v>
      </c>
      <c r="AD192" s="444" t="str">
        <f t="shared" si="113"/>
        <v xml:space="preserve"> </v>
      </c>
      <c r="AE192" s="444" t="str">
        <f t="shared" si="128"/>
        <v/>
      </c>
      <c r="AF192" s="444" t="str">
        <f t="shared" si="114"/>
        <v xml:space="preserve"> </v>
      </c>
      <c r="AG192" s="119" t="str">
        <f t="shared" si="129"/>
        <v xml:space="preserve"> </v>
      </c>
      <c r="AH192" s="444" t="str">
        <f t="shared" si="115"/>
        <v xml:space="preserve"> </v>
      </c>
      <c r="AI192" s="909" t="str">
        <f t="shared" si="116"/>
        <v xml:space="preserve"> </v>
      </c>
      <c r="AJ192" s="879" t="str">
        <f t="shared" si="119"/>
        <v xml:space="preserve"> </v>
      </c>
      <c r="AK192" s="444" t="str">
        <f t="shared" si="134"/>
        <v xml:space="preserve"> </v>
      </c>
      <c r="AL192" s="444" t="str">
        <f t="shared" si="135"/>
        <v xml:space="preserve"> </v>
      </c>
      <c r="AM192" s="444" t="str">
        <f t="shared" si="136"/>
        <v xml:space="preserve"> </v>
      </c>
      <c r="AN192" s="119" t="str">
        <f t="shared" si="137"/>
        <v xml:space="preserve"> </v>
      </c>
      <c r="AO192" s="444" t="str">
        <f t="shared" si="138"/>
        <v xml:space="preserve"> </v>
      </c>
      <c r="AP192" s="444" t="str">
        <f t="shared" si="139"/>
        <v xml:space="preserve"> </v>
      </c>
      <c r="AQ192" s="123" t="str">
        <f>IF(A192=" "," ",IF('#orgDung'!AF76=0,0,AO192/'#orgDung'!AF76))</f>
        <v xml:space="preserve"> </v>
      </c>
      <c r="AR192" s="47" t="str">
        <f>IF(A192=" "," ",IF('#orgDung'!AF76=0,0,AP192/'#orgDung'!AF76))</f>
        <v xml:space="preserve"> </v>
      </c>
      <c r="AS192" s="890">
        <f>IF(OR(B192=0,B192=""),0,MAX('Flächen u. Kulturen'!W72,AT192/B192))</f>
        <v>0</v>
      </c>
      <c r="AT192" s="875">
        <f t="shared" si="140"/>
        <v>0</v>
      </c>
      <c r="AU192" s="120"/>
    </row>
    <row r="193" spans="1:47" s="875" customFormat="1" x14ac:dyDescent="0.2">
      <c r="A193" s="42" t="str">
        <f>IF('Flächen u. Kulturen'!E73="x",IF(AND('#Kürzungen'!$F$2=2,'#BerechnungDBE'!R68=1,'Flächen u. Kulturen'!D73&lt;&gt;"",'#BerechnungDBE'!AF68=70),'Flächen u. Kulturen'!A73,IF(AND('#BerechnungDBE'!S68=1,'Flächen u. Kulturen'!D73&lt;&gt;"",'#BerechnungDBE'!AF68=70),'Flächen u. Kulturen'!A73," "))," ")</f>
        <v xml:space="preserve"> </v>
      </c>
      <c r="B193" s="505" t="str">
        <f>'Flächen u. Kulturen'!D73</f>
        <v/>
      </c>
      <c r="C193" s="42" t="str">
        <f>IF(A193=" "," ",'#BerechnungDBE'!AK68)</f>
        <v xml:space="preserve"> </v>
      </c>
      <c r="D193" s="42" t="str">
        <f>IF(A193=" "," ",'#BerechnungDBE'!CK68)</f>
        <v xml:space="preserve"> </v>
      </c>
      <c r="E193" s="42" t="str">
        <f t="shared" si="117"/>
        <v xml:space="preserve"> </v>
      </c>
      <c r="F193" s="869"/>
      <c r="G193" s="42" t="str">
        <f>IF(A193=" ","",'#BerechnungDBE'!CK68+'#BerechnungDBE'!CM68)</f>
        <v/>
      </c>
      <c r="H193" s="444" t="str">
        <f t="shared" si="106"/>
        <v/>
      </c>
      <c r="I193" s="444">
        <f>IF(A193=" ",0,'#minDung'!R74)</f>
        <v>0</v>
      </c>
      <c r="J193" s="430" t="str">
        <f t="shared" si="118"/>
        <v xml:space="preserve"> </v>
      </c>
      <c r="K193" s="444">
        <f>IF(A193=" ",0,'Flächen u. Kulturen'!W73)</f>
        <v>0</v>
      </c>
      <c r="L193" s="883" t="str">
        <f t="shared" si="130"/>
        <v/>
      </c>
      <c r="M193" s="444" t="str">
        <f t="shared" si="131"/>
        <v xml:space="preserve"> </v>
      </c>
      <c r="N193" s="444" t="str">
        <f t="shared" si="120"/>
        <v xml:space="preserve"> </v>
      </c>
      <c r="O193" s="911" t="str">
        <f t="shared" si="121"/>
        <v xml:space="preserve"> </v>
      </c>
      <c r="P193" s="912" t="str">
        <f t="shared" si="122"/>
        <v xml:space="preserve"> </v>
      </c>
      <c r="Q193" s="912" t="str">
        <f t="shared" si="123"/>
        <v xml:space="preserve"> </v>
      </c>
      <c r="R193" s="444" t="str">
        <f t="shared" si="132"/>
        <v/>
      </c>
      <c r="S193" s="444" t="str">
        <f t="shared" si="124"/>
        <v/>
      </c>
      <c r="T193" s="444" t="str">
        <f t="shared" si="133"/>
        <v xml:space="preserve"> </v>
      </c>
      <c r="U193" s="119" t="str">
        <f t="shared" si="125"/>
        <v xml:space="preserve"> </v>
      </c>
      <c r="V193" s="444" t="str">
        <f t="shared" si="107"/>
        <v xml:space="preserve"> </v>
      </c>
      <c r="W193" s="909" t="str">
        <f t="shared" si="108"/>
        <v xml:space="preserve"> </v>
      </c>
      <c r="X193" s="924" t="str">
        <f t="shared" si="126"/>
        <v xml:space="preserve"> </v>
      </c>
      <c r="Y193" s="444" t="str">
        <f t="shared" si="109"/>
        <v xml:space="preserve"> </v>
      </c>
      <c r="Z193" s="444" t="str">
        <f t="shared" si="110"/>
        <v xml:space="preserve"> </v>
      </c>
      <c r="AA193" s="444" t="str">
        <f t="shared" si="111"/>
        <v xml:space="preserve"> </v>
      </c>
      <c r="AB193" s="912" t="str">
        <f t="shared" si="112"/>
        <v xml:space="preserve"> </v>
      </c>
      <c r="AC193" s="912" t="str">
        <f t="shared" si="127"/>
        <v xml:space="preserve"> </v>
      </c>
      <c r="AD193" s="444" t="str">
        <f t="shared" si="113"/>
        <v xml:space="preserve"> </v>
      </c>
      <c r="AE193" s="444" t="str">
        <f t="shared" si="128"/>
        <v/>
      </c>
      <c r="AF193" s="444" t="str">
        <f t="shared" si="114"/>
        <v xml:space="preserve"> </v>
      </c>
      <c r="AG193" s="119" t="str">
        <f t="shared" si="129"/>
        <v xml:space="preserve"> </v>
      </c>
      <c r="AH193" s="444" t="str">
        <f t="shared" si="115"/>
        <v xml:space="preserve"> </v>
      </c>
      <c r="AI193" s="909" t="str">
        <f t="shared" si="116"/>
        <v xml:space="preserve"> </v>
      </c>
      <c r="AJ193" s="879" t="str">
        <f t="shared" si="119"/>
        <v xml:space="preserve"> </v>
      </c>
      <c r="AK193" s="444" t="str">
        <f t="shared" si="134"/>
        <v xml:space="preserve"> </v>
      </c>
      <c r="AL193" s="444" t="str">
        <f t="shared" si="135"/>
        <v xml:space="preserve"> </v>
      </c>
      <c r="AM193" s="444" t="str">
        <f t="shared" si="136"/>
        <v xml:space="preserve"> </v>
      </c>
      <c r="AN193" s="119" t="str">
        <f t="shared" si="137"/>
        <v xml:space="preserve"> </v>
      </c>
      <c r="AO193" s="444" t="str">
        <f t="shared" si="138"/>
        <v xml:space="preserve"> </v>
      </c>
      <c r="AP193" s="444" t="str">
        <f t="shared" si="139"/>
        <v xml:space="preserve"> </v>
      </c>
      <c r="AQ193" s="123" t="str">
        <f>IF(A193=" "," ",IF('#orgDung'!AF77=0,0,AO193/'#orgDung'!AF77))</f>
        <v xml:space="preserve"> </v>
      </c>
      <c r="AR193" s="47" t="str">
        <f>IF(A193=" "," ",IF('#orgDung'!AF77=0,0,AP193/'#orgDung'!AF77))</f>
        <v xml:space="preserve"> </v>
      </c>
      <c r="AS193" s="890">
        <f>IF(OR(B193=0,B193=""),0,MAX('Flächen u. Kulturen'!W73,AT193/B193))</f>
        <v>0</v>
      </c>
      <c r="AT193" s="875">
        <f t="shared" si="140"/>
        <v>0</v>
      </c>
      <c r="AU193" s="120"/>
    </row>
    <row r="194" spans="1:47" s="875" customFormat="1" x14ac:dyDescent="0.2">
      <c r="A194" s="42" t="str">
        <f>IF('Flächen u. Kulturen'!E74="x",IF(AND('#Kürzungen'!$F$2=2,'#BerechnungDBE'!R69=1,'Flächen u. Kulturen'!D74&lt;&gt;"",'#BerechnungDBE'!AF69=70),'Flächen u. Kulturen'!A74,IF(AND('#BerechnungDBE'!S69=1,'Flächen u. Kulturen'!D74&lt;&gt;"",'#BerechnungDBE'!AF69=70),'Flächen u. Kulturen'!A74," "))," ")</f>
        <v xml:space="preserve"> </v>
      </c>
      <c r="B194" s="505" t="str">
        <f>'Flächen u. Kulturen'!D74</f>
        <v/>
      </c>
      <c r="C194" s="42" t="str">
        <f>IF(A194=" "," ",'#BerechnungDBE'!AK69)</f>
        <v xml:space="preserve"> </v>
      </c>
      <c r="D194" s="42" t="str">
        <f>IF(A194=" "," ",'#BerechnungDBE'!CK69)</f>
        <v xml:space="preserve"> </v>
      </c>
      <c r="E194" s="42" t="str">
        <f t="shared" si="117"/>
        <v xml:space="preserve"> </v>
      </c>
      <c r="F194" s="869"/>
      <c r="G194" s="42" t="str">
        <f>IF(A194=" ","",'#BerechnungDBE'!CK69+'#BerechnungDBE'!CM69)</f>
        <v/>
      </c>
      <c r="H194" s="444" t="str">
        <f t="shared" si="106"/>
        <v/>
      </c>
      <c r="I194" s="444">
        <f>IF(A194=" ",0,'#minDung'!R75)</f>
        <v>0</v>
      </c>
      <c r="J194" s="430" t="str">
        <f t="shared" si="118"/>
        <v xml:space="preserve"> </v>
      </c>
      <c r="K194" s="444">
        <f>IF(A194=" ",0,'Flächen u. Kulturen'!W74)</f>
        <v>0</v>
      </c>
      <c r="L194" s="883" t="str">
        <f t="shared" ref="L194:L225" si="141">IF(B194="","",K194*B194)</f>
        <v/>
      </c>
      <c r="M194" s="444" t="str">
        <f t="shared" ref="M194:M229" si="142">IF($A194=" "," ",IF(C194=1,$C$11,IF(C194=2,$C$12,IF(C194=3,$C$13,IF(C194=4,$C$14,$C$15)))))</f>
        <v xml:space="preserve"> </v>
      </c>
      <c r="N194" s="444" t="str">
        <f t="shared" si="120"/>
        <v xml:space="preserve"> </v>
      </c>
      <c r="O194" s="911" t="str">
        <f t="shared" si="121"/>
        <v xml:space="preserve"> </v>
      </c>
      <c r="P194" s="912" t="str">
        <f t="shared" si="122"/>
        <v xml:space="preserve"> </v>
      </c>
      <c r="Q194" s="912" t="str">
        <f t="shared" si="123"/>
        <v xml:space="preserve"> </v>
      </c>
      <c r="R194" s="444" t="str">
        <f t="shared" ref="R194:R225" si="143">IF(A194=" ","",IF(M194&lt;J194-K194,M194,J194-K194))</f>
        <v/>
      </c>
      <c r="S194" s="444" t="str">
        <f t="shared" si="124"/>
        <v/>
      </c>
      <c r="T194" s="444" t="str">
        <f t="shared" ref="T194:T225" si="144">IF(A194=" "," ",R194*B194)</f>
        <v xml:space="preserve"> </v>
      </c>
      <c r="U194" s="119" t="str">
        <f t="shared" si="125"/>
        <v xml:space="preserve"> </v>
      </c>
      <c r="V194" s="444" t="str">
        <f t="shared" si="107"/>
        <v xml:space="preserve"> </v>
      </c>
      <c r="W194" s="909" t="str">
        <f t="shared" si="108"/>
        <v xml:space="preserve"> </v>
      </c>
      <c r="X194" s="924" t="str">
        <f t="shared" si="126"/>
        <v xml:space="preserve"> </v>
      </c>
      <c r="Y194" s="444" t="str">
        <f t="shared" si="109"/>
        <v xml:space="preserve"> </v>
      </c>
      <c r="Z194" s="444" t="str">
        <f t="shared" si="110"/>
        <v xml:space="preserve"> </v>
      </c>
      <c r="AA194" s="444" t="str">
        <f t="shared" si="111"/>
        <v xml:space="preserve"> </v>
      </c>
      <c r="AB194" s="912" t="str">
        <f t="shared" si="112"/>
        <v xml:space="preserve"> </v>
      </c>
      <c r="AC194" s="912" t="str">
        <f t="shared" si="127"/>
        <v xml:space="preserve"> </v>
      </c>
      <c r="AD194" s="444" t="str">
        <f t="shared" si="113"/>
        <v xml:space="preserve"> </v>
      </c>
      <c r="AE194" s="444" t="str">
        <f t="shared" si="128"/>
        <v/>
      </c>
      <c r="AF194" s="444" t="str">
        <f t="shared" si="114"/>
        <v xml:space="preserve"> </v>
      </c>
      <c r="AG194" s="119" t="str">
        <f t="shared" si="129"/>
        <v xml:space="preserve"> </v>
      </c>
      <c r="AH194" s="444" t="str">
        <f t="shared" si="115"/>
        <v xml:space="preserve"> </v>
      </c>
      <c r="AI194" s="909" t="str">
        <f t="shared" si="116"/>
        <v xml:space="preserve"> </v>
      </c>
      <c r="AJ194" s="879" t="str">
        <f t="shared" si="119"/>
        <v xml:space="preserve"> </v>
      </c>
      <c r="AK194" s="444" t="str">
        <f t="shared" ref="AK194:AK225" si="145">IF(A194=" "," ",AJ194*D194/100)</f>
        <v xml:space="preserve"> </v>
      </c>
      <c r="AL194" s="444" t="str">
        <f t="shared" ref="AL194:AL225" si="146">IF(A194=" "," ",AK194-AH194)</f>
        <v xml:space="preserve"> </v>
      </c>
      <c r="AM194" s="444" t="str">
        <f t="shared" ref="AM194:AM225" si="147">IF(A194=" "," ",AL194*B194)</f>
        <v xml:space="preserve"> </v>
      </c>
      <c r="AN194" s="119" t="str">
        <f t="shared" ref="AN194:AN229" si="148">IF(A194=" "," ",$AN$231)</f>
        <v xml:space="preserve"> </v>
      </c>
      <c r="AO194" s="444" t="str">
        <f t="shared" ref="AO194:AO225" si="149">IF(A194=" "," ",AN194*AL194)</f>
        <v xml:space="preserve"> </v>
      </c>
      <c r="AP194" s="444" t="str">
        <f t="shared" ref="AP194:AP229" si="150">IF(A194=" "," ",AM194*AN194)</f>
        <v xml:space="preserve"> </v>
      </c>
      <c r="AQ194" s="123" t="str">
        <f>IF(A194=" "," ",IF('#orgDung'!AF78=0,0,AO194/'#orgDung'!AF78))</f>
        <v xml:space="preserve"> </v>
      </c>
      <c r="AR194" s="47" t="str">
        <f>IF(A194=" "," ",IF('#orgDung'!AF78=0,0,AP194/'#orgDung'!AF78))</f>
        <v xml:space="preserve"> </v>
      </c>
      <c r="AS194" s="890">
        <f>IF(OR(B194=0,B194=""),0,MAX('Flächen u. Kulturen'!W74,AT194/B194))</f>
        <v>0</v>
      </c>
      <c r="AT194" s="875">
        <f t="shared" ref="AT194:AT229" si="151">IF(A194=" ",0,IF($F$2=3,E194*0.2,SUM(AI194,W194,L194)))</f>
        <v>0</v>
      </c>
      <c r="AU194" s="120"/>
    </row>
    <row r="195" spans="1:47" s="875" customFormat="1" x14ac:dyDescent="0.2">
      <c r="A195" s="42" t="str">
        <f>IF('Flächen u. Kulturen'!E75="x",IF(AND('#Kürzungen'!$F$2=2,'#BerechnungDBE'!R70=1,'Flächen u. Kulturen'!D75&lt;&gt;"",'#BerechnungDBE'!AF70=70),'Flächen u. Kulturen'!A75,IF(AND('#BerechnungDBE'!S70=1,'Flächen u. Kulturen'!D75&lt;&gt;"",'#BerechnungDBE'!AF70=70),'Flächen u. Kulturen'!A75," "))," ")</f>
        <v xml:space="preserve"> </v>
      </c>
      <c r="B195" s="505" t="str">
        <f>'Flächen u. Kulturen'!D75</f>
        <v/>
      </c>
      <c r="C195" s="42" t="str">
        <f>IF(A195=" "," ",'#BerechnungDBE'!AK70)</f>
        <v xml:space="preserve"> </v>
      </c>
      <c r="D195" s="42" t="str">
        <f>IF(A195=" "," ",'#BerechnungDBE'!CK70)</f>
        <v xml:space="preserve"> </v>
      </c>
      <c r="E195" s="42" t="str">
        <f t="shared" si="117"/>
        <v xml:space="preserve"> </v>
      </c>
      <c r="F195" s="869"/>
      <c r="G195" s="42" t="str">
        <f>IF(A195=" ","",'#BerechnungDBE'!CK70+'#BerechnungDBE'!CM70)</f>
        <v/>
      </c>
      <c r="H195" s="444" t="str">
        <f t="shared" ref="H195:H228" si="152">IF(A195=" ","",MAX(0,G195))</f>
        <v/>
      </c>
      <c r="I195" s="444">
        <f>IF(A195=" ",0,'#minDung'!R76)</f>
        <v>0</v>
      </c>
      <c r="J195" s="430" t="str">
        <f t="shared" si="118"/>
        <v xml:space="preserve"> </v>
      </c>
      <c r="K195" s="444">
        <f>IF(A195=" ",0,'Flächen u. Kulturen'!W75)</f>
        <v>0</v>
      </c>
      <c r="L195" s="883" t="str">
        <f t="shared" si="141"/>
        <v/>
      </c>
      <c r="M195" s="444" t="str">
        <f t="shared" si="142"/>
        <v xml:space="preserve"> </v>
      </c>
      <c r="N195" s="444" t="str">
        <f t="shared" si="120"/>
        <v xml:space="preserve"> </v>
      </c>
      <c r="O195" s="911" t="str">
        <f t="shared" si="121"/>
        <v xml:space="preserve"> </v>
      </c>
      <c r="P195" s="912" t="str">
        <f t="shared" si="122"/>
        <v xml:space="preserve"> </v>
      </c>
      <c r="Q195" s="912" t="str">
        <f t="shared" si="123"/>
        <v xml:space="preserve"> </v>
      </c>
      <c r="R195" s="444" t="str">
        <f t="shared" si="143"/>
        <v/>
      </c>
      <c r="S195" s="444" t="str">
        <f t="shared" si="124"/>
        <v/>
      </c>
      <c r="T195" s="444" t="str">
        <f t="shared" si="144"/>
        <v xml:space="preserve"> </v>
      </c>
      <c r="U195" s="119" t="str">
        <f t="shared" si="125"/>
        <v xml:space="preserve"> </v>
      </c>
      <c r="V195" s="444" t="str">
        <f t="shared" ref="V195:V229" si="153">IF(A195=" "," ",IF($S$231=0,P195,R195*U195))</f>
        <v xml:space="preserve"> </v>
      </c>
      <c r="W195" s="909" t="str">
        <f t="shared" ref="W195:W229" si="154">+IF(A195=" "," ",IF($S$231=0,Q195,U195*T195))</f>
        <v xml:space="preserve"> </v>
      </c>
      <c r="X195" s="924" t="str">
        <f t="shared" si="126"/>
        <v xml:space="preserve"> </v>
      </c>
      <c r="Y195" s="444" t="str">
        <f t="shared" ref="Y195:Y229" si="155">+IF(A195=" "," ",X195*D195/100)</f>
        <v xml:space="preserve"> </v>
      </c>
      <c r="Z195" s="444" t="str">
        <f t="shared" ref="Z195:Z229" si="156">IF(A195=" "," ",Y195*B195)</f>
        <v xml:space="preserve"> </v>
      </c>
      <c r="AA195" s="444" t="str">
        <f t="shared" ref="AA195:AA229" si="157">IF(A195=" "," ",$AA$231)</f>
        <v xml:space="preserve"> </v>
      </c>
      <c r="AB195" s="912" t="str">
        <f t="shared" ref="AB195:AB229" si="158">IF($A195=" "," ",Y195*AA195)</f>
        <v xml:space="preserve"> </v>
      </c>
      <c r="AC195" s="912" t="str">
        <f t="shared" si="127"/>
        <v xml:space="preserve"> </v>
      </c>
      <c r="AD195" s="444" t="str">
        <f t="shared" ref="AD195:AD229" si="159">IF(A195=" "," ",IF(J195-K195-V195&gt;Y195,Y195,J195-K195-V195))</f>
        <v xml:space="preserve"> </v>
      </c>
      <c r="AE195" s="444" t="str">
        <f t="shared" si="128"/>
        <v/>
      </c>
      <c r="AF195" s="444" t="str">
        <f t="shared" ref="AF195:AF229" si="160">IF(A195=" "," ",AD195*B195)</f>
        <v xml:space="preserve"> </v>
      </c>
      <c r="AG195" s="119" t="str">
        <f t="shared" si="129"/>
        <v xml:space="preserve"> </v>
      </c>
      <c r="AH195" s="444" t="str">
        <f t="shared" ref="AH195:AH229" si="161">IF($A195=" "," ",IF($AE$231=0,AB195,AD195*AG195))</f>
        <v xml:space="preserve"> </v>
      </c>
      <c r="AI195" s="909" t="str">
        <f t="shared" ref="AI195:AI229" si="162">+IF($A195=" "," ",IF($AE$231=0,AC195,AG195*AF195))</f>
        <v xml:space="preserve"> </v>
      </c>
      <c r="AJ195" s="879" t="str">
        <f t="shared" si="119"/>
        <v xml:space="preserve"> </v>
      </c>
      <c r="AK195" s="444" t="str">
        <f t="shared" si="145"/>
        <v xml:space="preserve"> </v>
      </c>
      <c r="AL195" s="444" t="str">
        <f t="shared" si="146"/>
        <v xml:space="preserve"> </v>
      </c>
      <c r="AM195" s="444" t="str">
        <f t="shared" si="147"/>
        <v xml:space="preserve"> </v>
      </c>
      <c r="AN195" s="119" t="str">
        <f t="shared" si="148"/>
        <v xml:space="preserve"> </v>
      </c>
      <c r="AO195" s="444" t="str">
        <f t="shared" si="149"/>
        <v xml:space="preserve"> </v>
      </c>
      <c r="AP195" s="444" t="str">
        <f t="shared" si="150"/>
        <v xml:space="preserve"> </v>
      </c>
      <c r="AQ195" s="123" t="str">
        <f>IF(A195=" "," ",IF('#orgDung'!AF79=0,0,AO195/'#orgDung'!AF79))</f>
        <v xml:space="preserve"> </v>
      </c>
      <c r="AR195" s="47" t="str">
        <f>IF(A195=" "," ",IF('#orgDung'!AF79=0,0,AP195/'#orgDung'!AF79))</f>
        <v xml:space="preserve"> </v>
      </c>
      <c r="AS195" s="890">
        <f>IF(OR(B195=0,B195=""),0,MAX('Flächen u. Kulturen'!W75,AT195/B195))</f>
        <v>0</v>
      </c>
      <c r="AT195" s="875">
        <f t="shared" si="151"/>
        <v>0</v>
      </c>
      <c r="AU195" s="120"/>
    </row>
    <row r="196" spans="1:47" s="875" customFormat="1" x14ac:dyDescent="0.2">
      <c r="A196" s="42" t="str">
        <f>IF('Flächen u. Kulturen'!E76="x",IF(AND('#Kürzungen'!$F$2=2,'#BerechnungDBE'!R71=1,'Flächen u. Kulturen'!D76&lt;&gt;"",'#BerechnungDBE'!AF71=70),'Flächen u. Kulturen'!A76,IF(AND('#BerechnungDBE'!S71=1,'Flächen u. Kulturen'!D76&lt;&gt;"",'#BerechnungDBE'!AF71=70),'Flächen u. Kulturen'!A76," "))," ")</f>
        <v xml:space="preserve"> </v>
      </c>
      <c r="B196" s="505" t="str">
        <f>'Flächen u. Kulturen'!D76</f>
        <v/>
      </c>
      <c r="C196" s="42" t="str">
        <f>IF(A196=" "," ",'#BerechnungDBE'!AK71)</f>
        <v xml:space="preserve"> </v>
      </c>
      <c r="D196" s="42" t="str">
        <f>IF(A196=" "," ",'#BerechnungDBE'!CK71)</f>
        <v xml:space="preserve"> </v>
      </c>
      <c r="E196" s="42" t="str">
        <f t="shared" si="117"/>
        <v xml:space="preserve"> </v>
      </c>
      <c r="F196" s="869"/>
      <c r="G196" s="42" t="str">
        <f>IF(A196=" ","",'#BerechnungDBE'!CK71+'#BerechnungDBE'!CM71)</f>
        <v/>
      </c>
      <c r="H196" s="444" t="str">
        <f t="shared" si="152"/>
        <v/>
      </c>
      <c r="I196" s="444">
        <f>IF(A196=" ",0,'#minDung'!R77)</f>
        <v>0</v>
      </c>
      <c r="J196" s="430" t="str">
        <f t="shared" si="118"/>
        <v xml:space="preserve"> </v>
      </c>
      <c r="K196" s="444">
        <f>IF(A196=" ",0,'Flächen u. Kulturen'!W76)</f>
        <v>0</v>
      </c>
      <c r="L196" s="883" t="str">
        <f t="shared" si="141"/>
        <v/>
      </c>
      <c r="M196" s="444" t="str">
        <f t="shared" si="142"/>
        <v xml:space="preserve"> </v>
      </c>
      <c r="N196" s="444" t="str">
        <f t="shared" si="120"/>
        <v xml:space="preserve"> </v>
      </c>
      <c r="O196" s="911" t="str">
        <f t="shared" si="121"/>
        <v xml:space="preserve"> </v>
      </c>
      <c r="P196" s="912" t="str">
        <f t="shared" si="122"/>
        <v xml:space="preserve"> </v>
      </c>
      <c r="Q196" s="912" t="str">
        <f t="shared" si="123"/>
        <v xml:space="preserve"> </v>
      </c>
      <c r="R196" s="444" t="str">
        <f t="shared" si="143"/>
        <v/>
      </c>
      <c r="S196" s="444" t="str">
        <f t="shared" si="124"/>
        <v/>
      </c>
      <c r="T196" s="444" t="str">
        <f t="shared" si="144"/>
        <v xml:space="preserve"> </v>
      </c>
      <c r="U196" s="119" t="str">
        <f t="shared" si="125"/>
        <v xml:space="preserve"> </v>
      </c>
      <c r="V196" s="444" t="str">
        <f t="shared" si="153"/>
        <v xml:space="preserve"> </v>
      </c>
      <c r="W196" s="909" t="str">
        <f t="shared" si="154"/>
        <v xml:space="preserve"> </v>
      </c>
      <c r="X196" s="924" t="str">
        <f t="shared" si="126"/>
        <v xml:space="preserve"> </v>
      </c>
      <c r="Y196" s="444" t="str">
        <f t="shared" si="155"/>
        <v xml:space="preserve"> </v>
      </c>
      <c r="Z196" s="444" t="str">
        <f t="shared" si="156"/>
        <v xml:space="preserve"> </v>
      </c>
      <c r="AA196" s="444" t="str">
        <f t="shared" si="157"/>
        <v xml:space="preserve"> </v>
      </c>
      <c r="AB196" s="912" t="str">
        <f t="shared" si="158"/>
        <v xml:space="preserve"> </v>
      </c>
      <c r="AC196" s="912" t="str">
        <f t="shared" si="127"/>
        <v xml:space="preserve"> </v>
      </c>
      <c r="AD196" s="444" t="str">
        <f t="shared" si="159"/>
        <v xml:space="preserve"> </v>
      </c>
      <c r="AE196" s="444" t="str">
        <f t="shared" si="128"/>
        <v/>
      </c>
      <c r="AF196" s="444" t="str">
        <f t="shared" si="160"/>
        <v xml:space="preserve"> </v>
      </c>
      <c r="AG196" s="119" t="str">
        <f t="shared" si="129"/>
        <v xml:space="preserve"> </v>
      </c>
      <c r="AH196" s="444" t="str">
        <f t="shared" si="161"/>
        <v xml:space="preserve"> </v>
      </c>
      <c r="AI196" s="909" t="str">
        <f t="shared" si="162"/>
        <v xml:space="preserve"> </v>
      </c>
      <c r="AJ196" s="879" t="str">
        <f t="shared" si="119"/>
        <v xml:space="preserve"> </v>
      </c>
      <c r="AK196" s="444" t="str">
        <f t="shared" si="145"/>
        <v xml:space="preserve"> </v>
      </c>
      <c r="AL196" s="444" t="str">
        <f t="shared" si="146"/>
        <v xml:space="preserve"> </v>
      </c>
      <c r="AM196" s="444" t="str">
        <f t="shared" si="147"/>
        <v xml:space="preserve"> </v>
      </c>
      <c r="AN196" s="119" t="str">
        <f t="shared" si="148"/>
        <v xml:space="preserve"> </v>
      </c>
      <c r="AO196" s="444" t="str">
        <f t="shared" si="149"/>
        <v xml:space="preserve"> </v>
      </c>
      <c r="AP196" s="444" t="str">
        <f t="shared" si="150"/>
        <v xml:space="preserve"> </v>
      </c>
      <c r="AQ196" s="123" t="str">
        <f>IF(A196=" "," ",IF('#orgDung'!AF80=0,0,AO196/'#orgDung'!AF80))</f>
        <v xml:space="preserve"> </v>
      </c>
      <c r="AR196" s="47" t="str">
        <f>IF(A196=" "," ",IF('#orgDung'!AF80=0,0,AP196/'#orgDung'!AF80))</f>
        <v xml:space="preserve"> </v>
      </c>
      <c r="AS196" s="890">
        <f>IF(OR(B196=0,B196=""),0,MAX('Flächen u. Kulturen'!W76,AT196/B196))</f>
        <v>0</v>
      </c>
      <c r="AT196" s="875">
        <f t="shared" si="151"/>
        <v>0</v>
      </c>
      <c r="AU196" s="120"/>
    </row>
    <row r="197" spans="1:47" s="875" customFormat="1" x14ac:dyDescent="0.2">
      <c r="A197" s="42" t="str">
        <f>IF('Flächen u. Kulturen'!E77="x",IF(AND('#Kürzungen'!$F$2=2,'#BerechnungDBE'!R72=1,'Flächen u. Kulturen'!D77&lt;&gt;"",'#BerechnungDBE'!AF72=70),'Flächen u. Kulturen'!A77,IF(AND('#BerechnungDBE'!S72=1,'Flächen u. Kulturen'!D77&lt;&gt;"",'#BerechnungDBE'!AF72=70),'Flächen u. Kulturen'!A77," "))," ")</f>
        <v xml:space="preserve"> </v>
      </c>
      <c r="B197" s="505" t="str">
        <f>'Flächen u. Kulturen'!D77</f>
        <v/>
      </c>
      <c r="C197" s="42" t="str">
        <f>IF(A197=" "," ",'#BerechnungDBE'!AK72)</f>
        <v xml:space="preserve"> </v>
      </c>
      <c r="D197" s="42" t="str">
        <f>IF(A197=" "," ",'#BerechnungDBE'!CK72)</f>
        <v xml:space="preserve"> </v>
      </c>
      <c r="E197" s="42" t="str">
        <f t="shared" si="117"/>
        <v xml:space="preserve"> </v>
      </c>
      <c r="F197" s="869"/>
      <c r="G197" s="42" t="str">
        <f>IF(A197=" ","",'#BerechnungDBE'!CK72+'#BerechnungDBE'!CM72)</f>
        <v/>
      </c>
      <c r="H197" s="444" t="str">
        <f t="shared" si="152"/>
        <v/>
      </c>
      <c r="I197" s="444">
        <f>IF(A197=" ",0,'#minDung'!R78)</f>
        <v>0</v>
      </c>
      <c r="J197" s="430" t="str">
        <f t="shared" si="118"/>
        <v xml:space="preserve"> </v>
      </c>
      <c r="K197" s="444">
        <f>IF(A197=" ",0,'Flächen u. Kulturen'!W77)</f>
        <v>0</v>
      </c>
      <c r="L197" s="883" t="str">
        <f t="shared" si="141"/>
        <v/>
      </c>
      <c r="M197" s="444" t="str">
        <f t="shared" si="142"/>
        <v xml:space="preserve"> </v>
      </c>
      <c r="N197" s="444" t="str">
        <f t="shared" si="120"/>
        <v xml:space="preserve"> </v>
      </c>
      <c r="O197" s="911" t="str">
        <f t="shared" si="121"/>
        <v xml:space="preserve"> </v>
      </c>
      <c r="P197" s="912" t="str">
        <f t="shared" si="122"/>
        <v xml:space="preserve"> </v>
      </c>
      <c r="Q197" s="912" t="str">
        <f t="shared" si="123"/>
        <v xml:space="preserve"> </v>
      </c>
      <c r="R197" s="444" t="str">
        <f t="shared" si="143"/>
        <v/>
      </c>
      <c r="S197" s="444" t="str">
        <f t="shared" si="124"/>
        <v/>
      </c>
      <c r="T197" s="444" t="str">
        <f t="shared" si="144"/>
        <v xml:space="preserve"> </v>
      </c>
      <c r="U197" s="119" t="str">
        <f t="shared" si="125"/>
        <v xml:space="preserve"> </v>
      </c>
      <c r="V197" s="444" t="str">
        <f t="shared" si="153"/>
        <v xml:space="preserve"> </v>
      </c>
      <c r="W197" s="909" t="str">
        <f t="shared" si="154"/>
        <v xml:space="preserve"> </v>
      </c>
      <c r="X197" s="924" t="str">
        <f t="shared" si="126"/>
        <v xml:space="preserve"> </v>
      </c>
      <c r="Y197" s="444" t="str">
        <f t="shared" si="155"/>
        <v xml:space="preserve"> </v>
      </c>
      <c r="Z197" s="444" t="str">
        <f t="shared" si="156"/>
        <v xml:space="preserve"> </v>
      </c>
      <c r="AA197" s="444" t="str">
        <f t="shared" si="157"/>
        <v xml:space="preserve"> </v>
      </c>
      <c r="AB197" s="912" t="str">
        <f t="shared" si="158"/>
        <v xml:space="preserve"> </v>
      </c>
      <c r="AC197" s="912" t="str">
        <f t="shared" si="127"/>
        <v xml:space="preserve"> </v>
      </c>
      <c r="AD197" s="444" t="str">
        <f t="shared" si="159"/>
        <v xml:space="preserve"> </v>
      </c>
      <c r="AE197" s="444" t="str">
        <f t="shared" si="128"/>
        <v/>
      </c>
      <c r="AF197" s="444" t="str">
        <f t="shared" si="160"/>
        <v xml:space="preserve"> </v>
      </c>
      <c r="AG197" s="119" t="str">
        <f t="shared" si="129"/>
        <v xml:space="preserve"> </v>
      </c>
      <c r="AH197" s="444" t="str">
        <f t="shared" si="161"/>
        <v xml:space="preserve"> </v>
      </c>
      <c r="AI197" s="909" t="str">
        <f t="shared" si="162"/>
        <v xml:space="preserve"> </v>
      </c>
      <c r="AJ197" s="879" t="str">
        <f t="shared" si="119"/>
        <v xml:space="preserve"> </v>
      </c>
      <c r="AK197" s="444" t="str">
        <f t="shared" si="145"/>
        <v xml:space="preserve"> </v>
      </c>
      <c r="AL197" s="444" t="str">
        <f t="shared" si="146"/>
        <v xml:space="preserve"> </v>
      </c>
      <c r="AM197" s="444" t="str">
        <f t="shared" si="147"/>
        <v xml:space="preserve"> </v>
      </c>
      <c r="AN197" s="119" t="str">
        <f t="shared" si="148"/>
        <v xml:space="preserve"> </v>
      </c>
      <c r="AO197" s="444" t="str">
        <f t="shared" si="149"/>
        <v xml:space="preserve"> </v>
      </c>
      <c r="AP197" s="444" t="str">
        <f t="shared" si="150"/>
        <v xml:space="preserve"> </v>
      </c>
      <c r="AQ197" s="123" t="str">
        <f>IF(A197=" "," ",IF('#orgDung'!AF81=0,0,AO197/'#orgDung'!AF81))</f>
        <v xml:space="preserve"> </v>
      </c>
      <c r="AR197" s="47" t="str">
        <f>IF(A197=" "," ",IF('#orgDung'!AF81=0,0,AP197/'#orgDung'!AF81))</f>
        <v xml:space="preserve"> </v>
      </c>
      <c r="AS197" s="890">
        <f>IF(OR(B197=0,B197=""),0,MAX('Flächen u. Kulturen'!W77,AT197/B197))</f>
        <v>0</v>
      </c>
      <c r="AT197" s="875">
        <f t="shared" si="151"/>
        <v>0</v>
      </c>
      <c r="AU197" s="120"/>
    </row>
    <row r="198" spans="1:47" s="875" customFormat="1" x14ac:dyDescent="0.2">
      <c r="A198" s="42" t="str">
        <f>IF('Flächen u. Kulturen'!E78="x",IF(AND('#Kürzungen'!$F$2=2,'#BerechnungDBE'!R73=1,'Flächen u. Kulturen'!D78&lt;&gt;"",'#BerechnungDBE'!AF73=70),'Flächen u. Kulturen'!A78,IF(AND('#BerechnungDBE'!S73=1,'Flächen u. Kulturen'!D78&lt;&gt;"",'#BerechnungDBE'!AF73=70),'Flächen u. Kulturen'!A78," "))," ")</f>
        <v xml:space="preserve"> </v>
      </c>
      <c r="B198" s="505" t="str">
        <f>'Flächen u. Kulturen'!D78</f>
        <v/>
      </c>
      <c r="C198" s="42" t="str">
        <f>IF(A198=" "," ",'#BerechnungDBE'!AK73)</f>
        <v xml:space="preserve"> </v>
      </c>
      <c r="D198" s="42" t="str">
        <f>IF(A198=" "," ",'#BerechnungDBE'!CK73)</f>
        <v xml:space="preserve"> </v>
      </c>
      <c r="E198" s="42" t="str">
        <f t="shared" si="117"/>
        <v xml:space="preserve"> </v>
      </c>
      <c r="F198" s="869"/>
      <c r="G198" s="42" t="str">
        <f>IF(A198=" ","",'#BerechnungDBE'!CK73+'#BerechnungDBE'!CM73)</f>
        <v/>
      </c>
      <c r="H198" s="444" t="str">
        <f t="shared" si="152"/>
        <v/>
      </c>
      <c r="I198" s="444">
        <f>IF(A198=" ",0,'#minDung'!R79)</f>
        <v>0</v>
      </c>
      <c r="J198" s="430" t="str">
        <f t="shared" si="118"/>
        <v xml:space="preserve"> </v>
      </c>
      <c r="K198" s="444">
        <f>IF(A198=" ",0,'Flächen u. Kulturen'!W78)</f>
        <v>0</v>
      </c>
      <c r="L198" s="883" t="str">
        <f t="shared" si="141"/>
        <v/>
      </c>
      <c r="M198" s="444" t="str">
        <f t="shared" si="142"/>
        <v xml:space="preserve"> </v>
      </c>
      <c r="N198" s="444" t="str">
        <f t="shared" si="120"/>
        <v xml:space="preserve"> </v>
      </c>
      <c r="O198" s="911" t="str">
        <f t="shared" si="121"/>
        <v xml:space="preserve"> </v>
      </c>
      <c r="P198" s="912" t="str">
        <f t="shared" si="122"/>
        <v xml:space="preserve"> </v>
      </c>
      <c r="Q198" s="912" t="str">
        <f t="shared" si="123"/>
        <v xml:space="preserve"> </v>
      </c>
      <c r="R198" s="444" t="str">
        <f t="shared" si="143"/>
        <v/>
      </c>
      <c r="S198" s="444" t="str">
        <f t="shared" si="124"/>
        <v/>
      </c>
      <c r="T198" s="444" t="str">
        <f t="shared" si="144"/>
        <v xml:space="preserve"> </v>
      </c>
      <c r="U198" s="119" t="str">
        <f t="shared" si="125"/>
        <v xml:space="preserve"> </v>
      </c>
      <c r="V198" s="444" t="str">
        <f t="shared" si="153"/>
        <v xml:space="preserve"> </v>
      </c>
      <c r="W198" s="909" t="str">
        <f t="shared" si="154"/>
        <v xml:space="preserve"> </v>
      </c>
      <c r="X198" s="924" t="str">
        <f t="shared" si="126"/>
        <v xml:space="preserve"> </v>
      </c>
      <c r="Y198" s="444" t="str">
        <f t="shared" si="155"/>
        <v xml:space="preserve"> </v>
      </c>
      <c r="Z198" s="444" t="str">
        <f t="shared" si="156"/>
        <v xml:space="preserve"> </v>
      </c>
      <c r="AA198" s="444" t="str">
        <f t="shared" si="157"/>
        <v xml:space="preserve"> </v>
      </c>
      <c r="AB198" s="912" t="str">
        <f t="shared" si="158"/>
        <v xml:space="preserve"> </v>
      </c>
      <c r="AC198" s="912" t="str">
        <f t="shared" si="127"/>
        <v xml:space="preserve"> </v>
      </c>
      <c r="AD198" s="444" t="str">
        <f t="shared" si="159"/>
        <v xml:space="preserve"> </v>
      </c>
      <c r="AE198" s="444" t="str">
        <f t="shared" si="128"/>
        <v/>
      </c>
      <c r="AF198" s="444" t="str">
        <f t="shared" si="160"/>
        <v xml:space="preserve"> </v>
      </c>
      <c r="AG198" s="119" t="str">
        <f t="shared" si="129"/>
        <v xml:space="preserve"> </v>
      </c>
      <c r="AH198" s="444" t="str">
        <f t="shared" si="161"/>
        <v xml:space="preserve"> </v>
      </c>
      <c r="AI198" s="909" t="str">
        <f t="shared" si="162"/>
        <v xml:space="preserve"> </v>
      </c>
      <c r="AJ198" s="879" t="str">
        <f t="shared" si="119"/>
        <v xml:space="preserve"> </v>
      </c>
      <c r="AK198" s="444" t="str">
        <f t="shared" si="145"/>
        <v xml:space="preserve"> </v>
      </c>
      <c r="AL198" s="444" t="str">
        <f t="shared" si="146"/>
        <v xml:space="preserve"> </v>
      </c>
      <c r="AM198" s="444" t="str">
        <f t="shared" si="147"/>
        <v xml:space="preserve"> </v>
      </c>
      <c r="AN198" s="119" t="str">
        <f t="shared" si="148"/>
        <v xml:space="preserve"> </v>
      </c>
      <c r="AO198" s="444" t="str">
        <f t="shared" si="149"/>
        <v xml:space="preserve"> </v>
      </c>
      <c r="AP198" s="444" t="str">
        <f t="shared" si="150"/>
        <v xml:space="preserve"> </v>
      </c>
      <c r="AQ198" s="123" t="str">
        <f>IF(A198=" "," ",IF('#orgDung'!AF82=0,0,AO198/'#orgDung'!AF82))</f>
        <v xml:space="preserve"> </v>
      </c>
      <c r="AR198" s="47" t="str">
        <f>IF(A198=" "," ",IF('#orgDung'!AF82=0,0,AP198/'#orgDung'!AF82))</f>
        <v xml:space="preserve"> </v>
      </c>
      <c r="AS198" s="890">
        <f>IF(OR(B198=0,B198=""),0,MAX('Flächen u. Kulturen'!W78,AT198/B198))</f>
        <v>0</v>
      </c>
      <c r="AT198" s="875">
        <f t="shared" si="151"/>
        <v>0</v>
      </c>
      <c r="AU198" s="120"/>
    </row>
    <row r="199" spans="1:47" s="875" customFormat="1" x14ac:dyDescent="0.2">
      <c r="A199" s="42" t="str">
        <f>IF('Flächen u. Kulturen'!E79="x",IF(AND('#Kürzungen'!$F$2=2,'#BerechnungDBE'!R74=1,'Flächen u. Kulturen'!D79&lt;&gt;"",'#BerechnungDBE'!AF74=70),'Flächen u. Kulturen'!A79,IF(AND('#BerechnungDBE'!S74=1,'Flächen u. Kulturen'!D79&lt;&gt;"",'#BerechnungDBE'!AF74=70),'Flächen u. Kulturen'!A79," "))," ")</f>
        <v xml:space="preserve"> </v>
      </c>
      <c r="B199" s="505" t="str">
        <f>'Flächen u. Kulturen'!D79</f>
        <v/>
      </c>
      <c r="C199" s="42" t="str">
        <f>IF(A199=" "," ",'#BerechnungDBE'!AK74)</f>
        <v xml:space="preserve"> </v>
      </c>
      <c r="D199" s="42" t="str">
        <f>IF(A199=" "," ",'#BerechnungDBE'!CK74)</f>
        <v xml:space="preserve"> </v>
      </c>
      <c r="E199" s="42" t="str">
        <f t="shared" ref="E199:E229" si="163">IF(A199=" "," ",D199*B199)</f>
        <v xml:space="preserve"> </v>
      </c>
      <c r="F199" s="869"/>
      <c r="G199" s="42" t="str">
        <f>IF(A199=" ","",'#BerechnungDBE'!CK74+'#BerechnungDBE'!CM74)</f>
        <v/>
      </c>
      <c r="H199" s="444" t="str">
        <f t="shared" si="152"/>
        <v/>
      </c>
      <c r="I199" s="444">
        <f>IF(A199=" ",0,'#minDung'!R80)</f>
        <v>0</v>
      </c>
      <c r="J199" s="430" t="str">
        <f t="shared" ref="J199:J229" si="164">IF(A199=" "," ",MAX(0,H199-I199))</f>
        <v xml:space="preserve"> </v>
      </c>
      <c r="K199" s="444">
        <f>IF(A199=" ",0,'Flächen u. Kulturen'!W79)</f>
        <v>0</v>
      </c>
      <c r="L199" s="883" t="str">
        <f t="shared" si="141"/>
        <v/>
      </c>
      <c r="M199" s="444" t="str">
        <f t="shared" si="142"/>
        <v xml:space="preserve"> </v>
      </c>
      <c r="N199" s="444" t="str">
        <f t="shared" si="120"/>
        <v xml:space="preserve"> </v>
      </c>
      <c r="O199" s="911" t="str">
        <f t="shared" si="121"/>
        <v xml:space="preserve"> </v>
      </c>
      <c r="P199" s="912" t="str">
        <f t="shared" si="122"/>
        <v xml:space="preserve"> </v>
      </c>
      <c r="Q199" s="912" t="str">
        <f t="shared" si="123"/>
        <v xml:space="preserve"> </v>
      </c>
      <c r="R199" s="444" t="str">
        <f t="shared" si="143"/>
        <v/>
      </c>
      <c r="S199" s="444" t="str">
        <f t="shared" si="124"/>
        <v/>
      </c>
      <c r="T199" s="444" t="str">
        <f t="shared" si="144"/>
        <v xml:space="preserve"> </v>
      </c>
      <c r="U199" s="119" t="str">
        <f t="shared" si="125"/>
        <v xml:space="preserve"> </v>
      </c>
      <c r="V199" s="444" t="str">
        <f t="shared" si="153"/>
        <v xml:space="preserve"> </v>
      </c>
      <c r="W199" s="909" t="str">
        <f t="shared" si="154"/>
        <v xml:space="preserve"> </v>
      </c>
      <c r="X199" s="924" t="str">
        <f t="shared" si="126"/>
        <v xml:space="preserve"> </v>
      </c>
      <c r="Y199" s="444" t="str">
        <f t="shared" si="155"/>
        <v xml:space="preserve"> </v>
      </c>
      <c r="Z199" s="444" t="str">
        <f t="shared" si="156"/>
        <v xml:space="preserve"> </v>
      </c>
      <c r="AA199" s="444" t="str">
        <f t="shared" si="157"/>
        <v xml:space="preserve"> </v>
      </c>
      <c r="AB199" s="912" t="str">
        <f t="shared" si="158"/>
        <v xml:space="preserve"> </v>
      </c>
      <c r="AC199" s="912" t="str">
        <f t="shared" si="127"/>
        <v xml:space="preserve"> </v>
      </c>
      <c r="AD199" s="444" t="str">
        <f t="shared" si="159"/>
        <v xml:space="preserve"> </v>
      </c>
      <c r="AE199" s="444" t="str">
        <f t="shared" si="128"/>
        <v/>
      </c>
      <c r="AF199" s="444" t="str">
        <f t="shared" si="160"/>
        <v xml:space="preserve"> </v>
      </c>
      <c r="AG199" s="119" t="str">
        <f t="shared" si="129"/>
        <v xml:space="preserve"> </v>
      </c>
      <c r="AH199" s="444" t="str">
        <f t="shared" si="161"/>
        <v xml:space="preserve"> </v>
      </c>
      <c r="AI199" s="909" t="str">
        <f t="shared" si="162"/>
        <v xml:space="preserve"> </v>
      </c>
      <c r="AJ199" s="879" t="str">
        <f t="shared" ref="AJ199:AJ229" si="165">+X199</f>
        <v xml:space="preserve"> </v>
      </c>
      <c r="AK199" s="444" t="str">
        <f t="shared" si="145"/>
        <v xml:space="preserve"> </v>
      </c>
      <c r="AL199" s="444" t="str">
        <f t="shared" si="146"/>
        <v xml:space="preserve"> </v>
      </c>
      <c r="AM199" s="444" t="str">
        <f t="shared" si="147"/>
        <v xml:space="preserve"> </v>
      </c>
      <c r="AN199" s="119" t="str">
        <f t="shared" si="148"/>
        <v xml:space="preserve"> </v>
      </c>
      <c r="AO199" s="444" t="str">
        <f t="shared" si="149"/>
        <v xml:space="preserve"> </v>
      </c>
      <c r="AP199" s="444" t="str">
        <f t="shared" si="150"/>
        <v xml:space="preserve"> </v>
      </c>
      <c r="AQ199" s="123" t="str">
        <f>IF(A199=" "," ",IF('#orgDung'!AF83=0,0,AO199/'#orgDung'!AF83))</f>
        <v xml:space="preserve"> </v>
      </c>
      <c r="AR199" s="47" t="str">
        <f>IF(A199=" "," ",IF('#orgDung'!AF83=0,0,AP199/'#orgDung'!AF83))</f>
        <v xml:space="preserve"> </v>
      </c>
      <c r="AS199" s="890">
        <f>IF(OR(B199=0,B199=""),0,MAX('Flächen u. Kulturen'!W79,AT199/B199))</f>
        <v>0</v>
      </c>
      <c r="AT199" s="875">
        <f t="shared" si="151"/>
        <v>0</v>
      </c>
      <c r="AU199" s="120"/>
    </row>
    <row r="200" spans="1:47" s="875" customFormat="1" x14ac:dyDescent="0.2">
      <c r="A200" s="42" t="str">
        <f>IF('Flächen u. Kulturen'!E80="x",IF(AND('#Kürzungen'!$F$2=2,'#BerechnungDBE'!R75=1,'Flächen u. Kulturen'!D80&lt;&gt;"",'#BerechnungDBE'!AF75=70),'Flächen u. Kulturen'!A80,IF(AND('#BerechnungDBE'!S75=1,'Flächen u. Kulturen'!D80&lt;&gt;"",'#BerechnungDBE'!AF75=70),'Flächen u. Kulturen'!A80," "))," ")</f>
        <v xml:space="preserve"> </v>
      </c>
      <c r="B200" s="505" t="str">
        <f>'Flächen u. Kulturen'!D80</f>
        <v/>
      </c>
      <c r="C200" s="42" t="str">
        <f>IF(A200=" "," ",'#BerechnungDBE'!AK75)</f>
        <v xml:space="preserve"> </v>
      </c>
      <c r="D200" s="42" t="str">
        <f>IF(A200=" "," ",'#BerechnungDBE'!CK75)</f>
        <v xml:space="preserve"> </v>
      </c>
      <c r="E200" s="42" t="str">
        <f t="shared" si="163"/>
        <v xml:space="preserve"> </v>
      </c>
      <c r="F200" s="869"/>
      <c r="G200" s="42" t="str">
        <f>IF(A200=" ","",'#BerechnungDBE'!CK75+'#BerechnungDBE'!CM75)</f>
        <v/>
      </c>
      <c r="H200" s="444" t="str">
        <f t="shared" si="152"/>
        <v/>
      </c>
      <c r="I200" s="444">
        <f>IF(A200=" ",0,'#minDung'!R81)</f>
        <v>0</v>
      </c>
      <c r="J200" s="430" t="str">
        <f t="shared" si="164"/>
        <v xml:space="preserve"> </v>
      </c>
      <c r="K200" s="444">
        <f>IF(A200=" ",0,'Flächen u. Kulturen'!W80)</f>
        <v>0</v>
      </c>
      <c r="L200" s="883" t="str">
        <f t="shared" si="141"/>
        <v/>
      </c>
      <c r="M200" s="444" t="str">
        <f t="shared" si="142"/>
        <v xml:space="preserve"> </v>
      </c>
      <c r="N200" s="444" t="str">
        <f t="shared" si="120"/>
        <v xml:space="preserve"> </v>
      </c>
      <c r="O200" s="911" t="str">
        <f t="shared" si="121"/>
        <v xml:space="preserve"> </v>
      </c>
      <c r="P200" s="912" t="str">
        <f t="shared" si="122"/>
        <v xml:space="preserve"> </v>
      </c>
      <c r="Q200" s="912" t="str">
        <f t="shared" si="123"/>
        <v xml:space="preserve"> </v>
      </c>
      <c r="R200" s="444" t="str">
        <f t="shared" si="143"/>
        <v/>
      </c>
      <c r="S200" s="444" t="str">
        <f t="shared" si="124"/>
        <v/>
      </c>
      <c r="T200" s="444" t="str">
        <f t="shared" si="144"/>
        <v xml:space="preserve"> </v>
      </c>
      <c r="U200" s="119" t="str">
        <f t="shared" si="125"/>
        <v xml:space="preserve"> </v>
      </c>
      <c r="V200" s="444" t="str">
        <f t="shared" si="153"/>
        <v xml:space="preserve"> </v>
      </c>
      <c r="W200" s="909" t="str">
        <f t="shared" si="154"/>
        <v xml:space="preserve"> </v>
      </c>
      <c r="X200" s="924" t="str">
        <f t="shared" si="126"/>
        <v xml:space="preserve"> </v>
      </c>
      <c r="Y200" s="444" t="str">
        <f t="shared" si="155"/>
        <v xml:space="preserve"> </v>
      </c>
      <c r="Z200" s="444" t="str">
        <f t="shared" si="156"/>
        <v xml:space="preserve"> </v>
      </c>
      <c r="AA200" s="444" t="str">
        <f t="shared" si="157"/>
        <v xml:space="preserve"> </v>
      </c>
      <c r="AB200" s="912" t="str">
        <f t="shared" si="158"/>
        <v xml:space="preserve"> </v>
      </c>
      <c r="AC200" s="912" t="str">
        <f t="shared" si="127"/>
        <v xml:space="preserve"> </v>
      </c>
      <c r="AD200" s="444" t="str">
        <f t="shared" si="159"/>
        <v xml:space="preserve"> </v>
      </c>
      <c r="AE200" s="444" t="str">
        <f t="shared" si="128"/>
        <v/>
      </c>
      <c r="AF200" s="444" t="str">
        <f t="shared" si="160"/>
        <v xml:space="preserve"> </v>
      </c>
      <c r="AG200" s="119" t="str">
        <f t="shared" si="129"/>
        <v xml:space="preserve"> </v>
      </c>
      <c r="AH200" s="444" t="str">
        <f t="shared" si="161"/>
        <v xml:space="preserve"> </v>
      </c>
      <c r="AI200" s="909" t="str">
        <f t="shared" si="162"/>
        <v xml:space="preserve"> </v>
      </c>
      <c r="AJ200" s="879" t="str">
        <f t="shared" si="165"/>
        <v xml:space="preserve"> </v>
      </c>
      <c r="AK200" s="444" t="str">
        <f t="shared" si="145"/>
        <v xml:space="preserve"> </v>
      </c>
      <c r="AL200" s="444" t="str">
        <f t="shared" si="146"/>
        <v xml:space="preserve"> </v>
      </c>
      <c r="AM200" s="444" t="str">
        <f t="shared" si="147"/>
        <v xml:space="preserve"> </v>
      </c>
      <c r="AN200" s="119" t="str">
        <f t="shared" si="148"/>
        <v xml:space="preserve"> </v>
      </c>
      <c r="AO200" s="444" t="str">
        <f t="shared" si="149"/>
        <v xml:space="preserve"> </v>
      </c>
      <c r="AP200" s="444" t="str">
        <f t="shared" si="150"/>
        <v xml:space="preserve"> </v>
      </c>
      <c r="AQ200" s="123" t="str">
        <f>IF(A200=" "," ",IF('#orgDung'!AF84=0,0,AO200/'#orgDung'!AF84))</f>
        <v xml:space="preserve"> </v>
      </c>
      <c r="AR200" s="47" t="str">
        <f>IF(A200=" "," ",IF('#orgDung'!AF84=0,0,AP200/'#orgDung'!AF84))</f>
        <v xml:space="preserve"> </v>
      </c>
      <c r="AS200" s="890">
        <f>IF(OR(B200=0,B200=""),0,MAX('Flächen u. Kulturen'!W80,AT200/B200))</f>
        <v>0</v>
      </c>
      <c r="AT200" s="875">
        <f t="shared" si="151"/>
        <v>0</v>
      </c>
      <c r="AU200" s="120"/>
    </row>
    <row r="201" spans="1:47" s="875" customFormat="1" x14ac:dyDescent="0.2">
      <c r="A201" s="42" t="str">
        <f>IF('Flächen u. Kulturen'!E81="x",IF(AND('#Kürzungen'!$F$2=2,'#BerechnungDBE'!R76=1,'Flächen u. Kulturen'!D81&lt;&gt;"",'#BerechnungDBE'!AF76=70),'Flächen u. Kulturen'!A81,IF(AND('#BerechnungDBE'!S76=1,'Flächen u. Kulturen'!D81&lt;&gt;"",'#BerechnungDBE'!AF76=70),'Flächen u. Kulturen'!A81," "))," ")</f>
        <v xml:space="preserve"> </v>
      </c>
      <c r="B201" s="505" t="str">
        <f>'Flächen u. Kulturen'!D81</f>
        <v/>
      </c>
      <c r="C201" s="42" t="str">
        <f>IF(A201=" "," ",'#BerechnungDBE'!AK76)</f>
        <v xml:space="preserve"> </v>
      </c>
      <c r="D201" s="42" t="str">
        <f>IF(A201=" "," ",'#BerechnungDBE'!CK76)</f>
        <v xml:space="preserve"> </v>
      </c>
      <c r="E201" s="42" t="str">
        <f t="shared" si="163"/>
        <v xml:space="preserve"> </v>
      </c>
      <c r="F201" s="869"/>
      <c r="G201" s="42" t="str">
        <f>IF(A201=" ","",'#BerechnungDBE'!CK76+'#BerechnungDBE'!CM76)</f>
        <v/>
      </c>
      <c r="H201" s="444" t="str">
        <f t="shared" si="152"/>
        <v/>
      </c>
      <c r="I201" s="444">
        <f>IF(A201=" ",0,'#minDung'!R82)</f>
        <v>0</v>
      </c>
      <c r="J201" s="430" t="str">
        <f t="shared" si="164"/>
        <v xml:space="preserve"> </v>
      </c>
      <c r="K201" s="444">
        <f>IF(A201=" ",0,'Flächen u. Kulturen'!W81)</f>
        <v>0</v>
      </c>
      <c r="L201" s="883" t="str">
        <f t="shared" si="141"/>
        <v/>
      </c>
      <c r="M201" s="444" t="str">
        <f t="shared" si="142"/>
        <v xml:space="preserve"> </v>
      </c>
      <c r="N201" s="444" t="str">
        <f t="shared" si="120"/>
        <v xml:space="preserve"> </v>
      </c>
      <c r="O201" s="911" t="str">
        <f t="shared" si="121"/>
        <v xml:space="preserve"> </v>
      </c>
      <c r="P201" s="912" t="str">
        <f t="shared" si="122"/>
        <v xml:space="preserve"> </v>
      </c>
      <c r="Q201" s="912" t="str">
        <f t="shared" si="123"/>
        <v xml:space="preserve"> </v>
      </c>
      <c r="R201" s="444" t="str">
        <f t="shared" si="143"/>
        <v/>
      </c>
      <c r="S201" s="444" t="str">
        <f t="shared" si="124"/>
        <v/>
      </c>
      <c r="T201" s="444" t="str">
        <f t="shared" si="144"/>
        <v xml:space="preserve"> </v>
      </c>
      <c r="U201" s="119" t="str">
        <f t="shared" si="125"/>
        <v xml:space="preserve"> </v>
      </c>
      <c r="V201" s="444" t="str">
        <f t="shared" si="153"/>
        <v xml:space="preserve"> </v>
      </c>
      <c r="W201" s="909" t="str">
        <f t="shared" si="154"/>
        <v xml:space="preserve"> </v>
      </c>
      <c r="X201" s="924" t="str">
        <f t="shared" si="126"/>
        <v xml:space="preserve"> </v>
      </c>
      <c r="Y201" s="444" t="str">
        <f t="shared" si="155"/>
        <v xml:space="preserve"> </v>
      </c>
      <c r="Z201" s="444" t="str">
        <f t="shared" si="156"/>
        <v xml:space="preserve"> </v>
      </c>
      <c r="AA201" s="444" t="str">
        <f t="shared" si="157"/>
        <v xml:space="preserve"> </v>
      </c>
      <c r="AB201" s="912" t="str">
        <f t="shared" si="158"/>
        <v xml:space="preserve"> </v>
      </c>
      <c r="AC201" s="912" t="str">
        <f t="shared" si="127"/>
        <v xml:space="preserve"> </v>
      </c>
      <c r="AD201" s="444" t="str">
        <f t="shared" si="159"/>
        <v xml:space="preserve"> </v>
      </c>
      <c r="AE201" s="444" t="str">
        <f t="shared" si="128"/>
        <v/>
      </c>
      <c r="AF201" s="444" t="str">
        <f t="shared" si="160"/>
        <v xml:space="preserve"> </v>
      </c>
      <c r="AG201" s="119" t="str">
        <f t="shared" si="129"/>
        <v xml:space="preserve"> </v>
      </c>
      <c r="AH201" s="444" t="str">
        <f t="shared" si="161"/>
        <v xml:space="preserve"> </v>
      </c>
      <c r="AI201" s="909" t="str">
        <f t="shared" si="162"/>
        <v xml:space="preserve"> </v>
      </c>
      <c r="AJ201" s="879" t="str">
        <f t="shared" si="165"/>
        <v xml:space="preserve"> </v>
      </c>
      <c r="AK201" s="444" t="str">
        <f t="shared" si="145"/>
        <v xml:space="preserve"> </v>
      </c>
      <c r="AL201" s="444" t="str">
        <f t="shared" si="146"/>
        <v xml:space="preserve"> </v>
      </c>
      <c r="AM201" s="444" t="str">
        <f t="shared" si="147"/>
        <v xml:space="preserve"> </v>
      </c>
      <c r="AN201" s="119" t="str">
        <f t="shared" si="148"/>
        <v xml:space="preserve"> </v>
      </c>
      <c r="AO201" s="444" t="str">
        <f t="shared" si="149"/>
        <v xml:space="preserve"> </v>
      </c>
      <c r="AP201" s="444" t="str">
        <f t="shared" si="150"/>
        <v xml:space="preserve"> </v>
      </c>
      <c r="AQ201" s="123" t="str">
        <f>IF(A201=" "," ",IF('#orgDung'!AF85=0,0,AO201/'#orgDung'!AF85))</f>
        <v xml:space="preserve"> </v>
      </c>
      <c r="AR201" s="47" t="str">
        <f>IF(A201=" "," ",IF('#orgDung'!AF85=0,0,AP201/'#orgDung'!AF85))</f>
        <v xml:space="preserve"> </v>
      </c>
      <c r="AS201" s="890">
        <f>IF(OR(B201=0,B201=""),0,MAX('Flächen u. Kulturen'!W81,AT201/B201))</f>
        <v>0</v>
      </c>
      <c r="AT201" s="875">
        <f t="shared" si="151"/>
        <v>0</v>
      </c>
      <c r="AU201" s="120"/>
    </row>
    <row r="202" spans="1:47" s="875" customFormat="1" x14ac:dyDescent="0.2">
      <c r="A202" s="42" t="str">
        <f>IF('Flächen u. Kulturen'!E82="x",IF(AND('#Kürzungen'!$F$2=2,'#BerechnungDBE'!R77=1,'Flächen u. Kulturen'!D82&lt;&gt;"",'#BerechnungDBE'!AF77=70),'Flächen u. Kulturen'!A82,IF(AND('#BerechnungDBE'!S77=1,'Flächen u. Kulturen'!D82&lt;&gt;"",'#BerechnungDBE'!AF77=70),'Flächen u. Kulturen'!A82," "))," ")</f>
        <v xml:space="preserve"> </v>
      </c>
      <c r="B202" s="505" t="str">
        <f>'Flächen u. Kulturen'!D82</f>
        <v/>
      </c>
      <c r="C202" s="42" t="str">
        <f>IF(A202=" "," ",'#BerechnungDBE'!AK77)</f>
        <v xml:space="preserve"> </v>
      </c>
      <c r="D202" s="42" t="str">
        <f>IF(A202=" "," ",'#BerechnungDBE'!CK77)</f>
        <v xml:space="preserve"> </v>
      </c>
      <c r="E202" s="42" t="str">
        <f t="shared" si="163"/>
        <v xml:space="preserve"> </v>
      </c>
      <c r="F202" s="869"/>
      <c r="G202" s="42" t="str">
        <f>IF(A202=" ","",'#BerechnungDBE'!CK77+'#BerechnungDBE'!CM77)</f>
        <v/>
      </c>
      <c r="H202" s="444" t="str">
        <f t="shared" si="152"/>
        <v/>
      </c>
      <c r="I202" s="444">
        <f>IF(A202=" ",0,'#minDung'!R83)</f>
        <v>0</v>
      </c>
      <c r="J202" s="430" t="str">
        <f t="shared" si="164"/>
        <v xml:space="preserve"> </v>
      </c>
      <c r="K202" s="444">
        <f>IF(A202=" ",0,'Flächen u. Kulturen'!W82)</f>
        <v>0</v>
      </c>
      <c r="L202" s="883" t="str">
        <f t="shared" si="141"/>
        <v/>
      </c>
      <c r="M202" s="444" t="str">
        <f t="shared" si="142"/>
        <v xml:space="preserve"> </v>
      </c>
      <c r="N202" s="444" t="str">
        <f t="shared" si="120"/>
        <v xml:space="preserve"> </v>
      </c>
      <c r="O202" s="911" t="str">
        <f t="shared" si="121"/>
        <v xml:space="preserve"> </v>
      </c>
      <c r="P202" s="912" t="str">
        <f t="shared" si="122"/>
        <v xml:space="preserve"> </v>
      </c>
      <c r="Q202" s="912" t="str">
        <f t="shared" si="123"/>
        <v xml:space="preserve"> </v>
      </c>
      <c r="R202" s="444" t="str">
        <f t="shared" si="143"/>
        <v/>
      </c>
      <c r="S202" s="444" t="str">
        <f t="shared" si="124"/>
        <v/>
      </c>
      <c r="T202" s="444" t="str">
        <f t="shared" si="144"/>
        <v xml:space="preserve"> </v>
      </c>
      <c r="U202" s="119" t="str">
        <f t="shared" si="125"/>
        <v xml:space="preserve"> </v>
      </c>
      <c r="V202" s="444" t="str">
        <f t="shared" si="153"/>
        <v xml:space="preserve"> </v>
      </c>
      <c r="W202" s="909" t="str">
        <f t="shared" si="154"/>
        <v xml:space="preserve"> </v>
      </c>
      <c r="X202" s="924" t="str">
        <f t="shared" si="126"/>
        <v xml:space="preserve"> </v>
      </c>
      <c r="Y202" s="444" t="str">
        <f t="shared" si="155"/>
        <v xml:space="preserve"> </v>
      </c>
      <c r="Z202" s="444" t="str">
        <f t="shared" si="156"/>
        <v xml:space="preserve"> </v>
      </c>
      <c r="AA202" s="444" t="str">
        <f t="shared" si="157"/>
        <v xml:space="preserve"> </v>
      </c>
      <c r="AB202" s="912" t="str">
        <f t="shared" si="158"/>
        <v xml:space="preserve"> </v>
      </c>
      <c r="AC202" s="912" t="str">
        <f t="shared" si="127"/>
        <v xml:space="preserve"> </v>
      </c>
      <c r="AD202" s="444" t="str">
        <f t="shared" si="159"/>
        <v xml:space="preserve"> </v>
      </c>
      <c r="AE202" s="444" t="str">
        <f t="shared" si="128"/>
        <v/>
      </c>
      <c r="AF202" s="444" t="str">
        <f t="shared" si="160"/>
        <v xml:space="preserve"> </v>
      </c>
      <c r="AG202" s="119" t="str">
        <f t="shared" si="129"/>
        <v xml:space="preserve"> </v>
      </c>
      <c r="AH202" s="444" t="str">
        <f t="shared" si="161"/>
        <v xml:space="preserve"> </v>
      </c>
      <c r="AI202" s="909" t="str">
        <f t="shared" si="162"/>
        <v xml:space="preserve"> </v>
      </c>
      <c r="AJ202" s="879" t="str">
        <f t="shared" si="165"/>
        <v xml:space="preserve"> </v>
      </c>
      <c r="AK202" s="444" t="str">
        <f t="shared" si="145"/>
        <v xml:space="preserve"> </v>
      </c>
      <c r="AL202" s="444" t="str">
        <f t="shared" si="146"/>
        <v xml:space="preserve"> </v>
      </c>
      <c r="AM202" s="444" t="str">
        <f t="shared" si="147"/>
        <v xml:space="preserve"> </v>
      </c>
      <c r="AN202" s="119" t="str">
        <f t="shared" si="148"/>
        <v xml:space="preserve"> </v>
      </c>
      <c r="AO202" s="444" t="str">
        <f t="shared" si="149"/>
        <v xml:space="preserve"> </v>
      </c>
      <c r="AP202" s="444" t="str">
        <f t="shared" si="150"/>
        <v xml:space="preserve"> </v>
      </c>
      <c r="AQ202" s="123" t="str">
        <f>IF(A202=" "," ",IF('#orgDung'!AF86=0,0,AO202/'#orgDung'!AF86))</f>
        <v xml:space="preserve"> </v>
      </c>
      <c r="AR202" s="47" t="str">
        <f>IF(A202=" "," ",IF('#orgDung'!AF86=0,0,AP202/'#orgDung'!AF86))</f>
        <v xml:space="preserve"> </v>
      </c>
      <c r="AS202" s="890">
        <f>IF(OR(B202=0,B202=""),0,MAX('Flächen u. Kulturen'!W82,AT202/B202))</f>
        <v>0</v>
      </c>
      <c r="AT202" s="875">
        <f t="shared" si="151"/>
        <v>0</v>
      </c>
      <c r="AU202" s="120"/>
    </row>
    <row r="203" spans="1:47" s="875" customFormat="1" x14ac:dyDescent="0.2">
      <c r="A203" s="42" t="str">
        <f>IF('Flächen u. Kulturen'!E83="x",IF(AND('#Kürzungen'!$F$2=2,'#BerechnungDBE'!R78=1,'Flächen u. Kulturen'!D83&lt;&gt;"",'#BerechnungDBE'!AF78=70),'Flächen u. Kulturen'!A83,IF(AND('#BerechnungDBE'!S78=1,'Flächen u. Kulturen'!D83&lt;&gt;"",'#BerechnungDBE'!AF78=70),'Flächen u. Kulturen'!A83," "))," ")</f>
        <v xml:space="preserve"> </v>
      </c>
      <c r="B203" s="505" t="str">
        <f>'Flächen u. Kulturen'!D83</f>
        <v/>
      </c>
      <c r="C203" s="42" t="str">
        <f>IF(A203=" "," ",'#BerechnungDBE'!AK78)</f>
        <v xml:space="preserve"> </v>
      </c>
      <c r="D203" s="42" t="str">
        <f>IF(A203=" "," ",'#BerechnungDBE'!CK78)</f>
        <v xml:space="preserve"> </v>
      </c>
      <c r="E203" s="42" t="str">
        <f t="shared" si="163"/>
        <v xml:space="preserve"> </v>
      </c>
      <c r="F203" s="869"/>
      <c r="G203" s="42" t="str">
        <f>IF(A203=" ","",'#BerechnungDBE'!CK78+'#BerechnungDBE'!CM78)</f>
        <v/>
      </c>
      <c r="H203" s="444" t="str">
        <f t="shared" si="152"/>
        <v/>
      </c>
      <c r="I203" s="444">
        <f>IF(A203=" ",0,'#minDung'!R84)</f>
        <v>0</v>
      </c>
      <c r="J203" s="430" t="str">
        <f t="shared" si="164"/>
        <v xml:space="preserve"> </v>
      </c>
      <c r="K203" s="444">
        <f>IF(A203=" ",0,'Flächen u. Kulturen'!W83)</f>
        <v>0</v>
      </c>
      <c r="L203" s="883" t="str">
        <f t="shared" si="141"/>
        <v/>
      </c>
      <c r="M203" s="444" t="str">
        <f t="shared" si="142"/>
        <v xml:space="preserve"> </v>
      </c>
      <c r="N203" s="444" t="str">
        <f t="shared" si="120"/>
        <v xml:space="preserve"> </v>
      </c>
      <c r="O203" s="911" t="str">
        <f t="shared" si="121"/>
        <v xml:space="preserve"> </v>
      </c>
      <c r="P203" s="912" t="str">
        <f t="shared" si="122"/>
        <v xml:space="preserve"> </v>
      </c>
      <c r="Q203" s="912" t="str">
        <f t="shared" si="123"/>
        <v xml:space="preserve"> </v>
      </c>
      <c r="R203" s="444" t="str">
        <f t="shared" si="143"/>
        <v/>
      </c>
      <c r="S203" s="444" t="str">
        <f t="shared" si="124"/>
        <v/>
      </c>
      <c r="T203" s="444" t="str">
        <f t="shared" si="144"/>
        <v xml:space="preserve"> </v>
      </c>
      <c r="U203" s="119" t="str">
        <f t="shared" si="125"/>
        <v xml:space="preserve"> </v>
      </c>
      <c r="V203" s="444" t="str">
        <f t="shared" si="153"/>
        <v xml:space="preserve"> </v>
      </c>
      <c r="W203" s="909" t="str">
        <f t="shared" si="154"/>
        <v xml:space="preserve"> </v>
      </c>
      <c r="X203" s="924" t="str">
        <f t="shared" si="126"/>
        <v xml:space="preserve"> </v>
      </c>
      <c r="Y203" s="444" t="str">
        <f t="shared" si="155"/>
        <v xml:space="preserve"> </v>
      </c>
      <c r="Z203" s="444" t="str">
        <f t="shared" si="156"/>
        <v xml:space="preserve"> </v>
      </c>
      <c r="AA203" s="444" t="str">
        <f t="shared" si="157"/>
        <v xml:space="preserve"> </v>
      </c>
      <c r="AB203" s="912" t="str">
        <f t="shared" si="158"/>
        <v xml:space="preserve"> </v>
      </c>
      <c r="AC203" s="912" t="str">
        <f t="shared" si="127"/>
        <v xml:space="preserve"> </v>
      </c>
      <c r="AD203" s="444" t="str">
        <f t="shared" si="159"/>
        <v xml:space="preserve"> </v>
      </c>
      <c r="AE203" s="444" t="str">
        <f t="shared" si="128"/>
        <v/>
      </c>
      <c r="AF203" s="444" t="str">
        <f t="shared" si="160"/>
        <v xml:space="preserve"> </v>
      </c>
      <c r="AG203" s="119" t="str">
        <f t="shared" si="129"/>
        <v xml:space="preserve"> </v>
      </c>
      <c r="AH203" s="444" t="str">
        <f t="shared" si="161"/>
        <v xml:space="preserve"> </v>
      </c>
      <c r="AI203" s="909" t="str">
        <f t="shared" si="162"/>
        <v xml:space="preserve"> </v>
      </c>
      <c r="AJ203" s="879" t="str">
        <f t="shared" si="165"/>
        <v xml:space="preserve"> </v>
      </c>
      <c r="AK203" s="444" t="str">
        <f t="shared" si="145"/>
        <v xml:space="preserve"> </v>
      </c>
      <c r="AL203" s="444" t="str">
        <f t="shared" si="146"/>
        <v xml:space="preserve"> </v>
      </c>
      <c r="AM203" s="444" t="str">
        <f t="shared" si="147"/>
        <v xml:space="preserve"> </v>
      </c>
      <c r="AN203" s="119" t="str">
        <f t="shared" si="148"/>
        <v xml:space="preserve"> </v>
      </c>
      <c r="AO203" s="444" t="str">
        <f t="shared" si="149"/>
        <v xml:space="preserve"> </v>
      </c>
      <c r="AP203" s="444" t="str">
        <f t="shared" si="150"/>
        <v xml:space="preserve"> </v>
      </c>
      <c r="AQ203" s="123" t="str">
        <f>IF(A203=" "," ",IF('#orgDung'!AF87=0,0,AO203/'#orgDung'!AF87))</f>
        <v xml:space="preserve"> </v>
      </c>
      <c r="AR203" s="47" t="str">
        <f>IF(A203=" "," ",IF('#orgDung'!AF87=0,0,AP203/'#orgDung'!AF87))</f>
        <v xml:space="preserve"> </v>
      </c>
      <c r="AS203" s="890">
        <f>IF(OR(B203=0,B203=""),0,MAX('Flächen u. Kulturen'!W83,AT203/B203))</f>
        <v>0</v>
      </c>
      <c r="AT203" s="875">
        <f t="shared" si="151"/>
        <v>0</v>
      </c>
      <c r="AU203" s="120"/>
    </row>
    <row r="204" spans="1:47" s="875" customFormat="1" x14ac:dyDescent="0.2">
      <c r="A204" s="42" t="str">
        <f>IF('Flächen u. Kulturen'!E84="x",IF(AND('#Kürzungen'!$F$2=2,'#BerechnungDBE'!R79=1,'Flächen u. Kulturen'!D84&lt;&gt;"",'#BerechnungDBE'!AF79=70),'Flächen u. Kulturen'!A84,IF(AND('#BerechnungDBE'!S79=1,'Flächen u. Kulturen'!D84&lt;&gt;"",'#BerechnungDBE'!AF79=70),'Flächen u. Kulturen'!A84," "))," ")</f>
        <v xml:space="preserve"> </v>
      </c>
      <c r="B204" s="505" t="str">
        <f>'Flächen u. Kulturen'!D84</f>
        <v/>
      </c>
      <c r="C204" s="42" t="str">
        <f>IF(A204=" "," ",'#BerechnungDBE'!AK79)</f>
        <v xml:space="preserve"> </v>
      </c>
      <c r="D204" s="42" t="str">
        <f>IF(A204=" "," ",'#BerechnungDBE'!CK79)</f>
        <v xml:space="preserve"> </v>
      </c>
      <c r="E204" s="42" t="str">
        <f t="shared" si="163"/>
        <v xml:space="preserve"> </v>
      </c>
      <c r="F204" s="869"/>
      <c r="G204" s="42" t="str">
        <f>IF(A204=" ","",'#BerechnungDBE'!CK79+'#BerechnungDBE'!CM79)</f>
        <v/>
      </c>
      <c r="H204" s="444" t="str">
        <f t="shared" si="152"/>
        <v/>
      </c>
      <c r="I204" s="444">
        <f>IF(A204=" ",0,'#minDung'!R85)</f>
        <v>0</v>
      </c>
      <c r="J204" s="430" t="str">
        <f t="shared" si="164"/>
        <v xml:space="preserve"> </v>
      </c>
      <c r="K204" s="444">
        <f>IF(A204=" ",0,'Flächen u. Kulturen'!W84)</f>
        <v>0</v>
      </c>
      <c r="L204" s="883" t="str">
        <f t="shared" si="141"/>
        <v/>
      </c>
      <c r="M204" s="444" t="str">
        <f t="shared" si="142"/>
        <v xml:space="preserve"> </v>
      </c>
      <c r="N204" s="444" t="str">
        <f t="shared" si="120"/>
        <v xml:space="preserve"> </v>
      </c>
      <c r="O204" s="911" t="str">
        <f t="shared" si="121"/>
        <v xml:space="preserve"> </v>
      </c>
      <c r="P204" s="912" t="str">
        <f t="shared" si="122"/>
        <v xml:space="preserve"> </v>
      </c>
      <c r="Q204" s="912" t="str">
        <f t="shared" si="123"/>
        <v xml:space="preserve"> </v>
      </c>
      <c r="R204" s="444" t="str">
        <f t="shared" si="143"/>
        <v/>
      </c>
      <c r="S204" s="444" t="str">
        <f t="shared" si="124"/>
        <v/>
      </c>
      <c r="T204" s="444" t="str">
        <f t="shared" si="144"/>
        <v xml:space="preserve"> </v>
      </c>
      <c r="U204" s="119" t="str">
        <f t="shared" si="125"/>
        <v xml:space="preserve"> </v>
      </c>
      <c r="V204" s="444" t="str">
        <f t="shared" si="153"/>
        <v xml:space="preserve"> </v>
      </c>
      <c r="W204" s="909" t="str">
        <f t="shared" si="154"/>
        <v xml:space="preserve"> </v>
      </c>
      <c r="X204" s="924" t="str">
        <f t="shared" si="126"/>
        <v xml:space="preserve"> </v>
      </c>
      <c r="Y204" s="444" t="str">
        <f t="shared" si="155"/>
        <v xml:space="preserve"> </v>
      </c>
      <c r="Z204" s="444" t="str">
        <f t="shared" si="156"/>
        <v xml:space="preserve"> </v>
      </c>
      <c r="AA204" s="444" t="str">
        <f t="shared" si="157"/>
        <v xml:space="preserve"> </v>
      </c>
      <c r="AB204" s="912" t="str">
        <f t="shared" si="158"/>
        <v xml:space="preserve"> </v>
      </c>
      <c r="AC204" s="912" t="str">
        <f t="shared" si="127"/>
        <v xml:space="preserve"> </v>
      </c>
      <c r="AD204" s="444" t="str">
        <f t="shared" si="159"/>
        <v xml:space="preserve"> </v>
      </c>
      <c r="AE204" s="444" t="str">
        <f t="shared" si="128"/>
        <v/>
      </c>
      <c r="AF204" s="444" t="str">
        <f t="shared" si="160"/>
        <v xml:space="preserve"> </v>
      </c>
      <c r="AG204" s="119" t="str">
        <f t="shared" si="129"/>
        <v xml:space="preserve"> </v>
      </c>
      <c r="AH204" s="444" t="str">
        <f t="shared" si="161"/>
        <v xml:space="preserve"> </v>
      </c>
      <c r="AI204" s="909" t="str">
        <f t="shared" si="162"/>
        <v xml:space="preserve"> </v>
      </c>
      <c r="AJ204" s="879" t="str">
        <f t="shared" si="165"/>
        <v xml:space="preserve"> </v>
      </c>
      <c r="AK204" s="444" t="str">
        <f t="shared" si="145"/>
        <v xml:space="preserve"> </v>
      </c>
      <c r="AL204" s="444" t="str">
        <f t="shared" si="146"/>
        <v xml:space="preserve"> </v>
      </c>
      <c r="AM204" s="444" t="str">
        <f t="shared" si="147"/>
        <v xml:space="preserve"> </v>
      </c>
      <c r="AN204" s="119" t="str">
        <f t="shared" si="148"/>
        <v xml:space="preserve"> </v>
      </c>
      <c r="AO204" s="444" t="str">
        <f t="shared" si="149"/>
        <v xml:space="preserve"> </v>
      </c>
      <c r="AP204" s="444" t="str">
        <f t="shared" si="150"/>
        <v xml:space="preserve"> </v>
      </c>
      <c r="AQ204" s="123" t="str">
        <f>IF(A204=" "," ",IF('#orgDung'!AF88=0,0,AO204/'#orgDung'!AF88))</f>
        <v xml:space="preserve"> </v>
      </c>
      <c r="AR204" s="47" t="str">
        <f>IF(A204=" "," ",IF('#orgDung'!AF88=0,0,AP204/'#orgDung'!AF88))</f>
        <v xml:space="preserve"> </v>
      </c>
      <c r="AS204" s="890">
        <f>IF(OR(B204=0,B204=""),0,MAX('Flächen u. Kulturen'!W84,AT204/B204))</f>
        <v>0</v>
      </c>
      <c r="AT204" s="875">
        <f t="shared" si="151"/>
        <v>0</v>
      </c>
      <c r="AU204" s="120"/>
    </row>
    <row r="205" spans="1:47" s="875" customFormat="1" x14ac:dyDescent="0.2">
      <c r="A205" s="42" t="str">
        <f>IF('Flächen u. Kulturen'!E85="x",IF(AND('#Kürzungen'!$F$2=2,'#BerechnungDBE'!R80=1,'Flächen u. Kulturen'!D85&lt;&gt;"",'#BerechnungDBE'!AF80=70),'Flächen u. Kulturen'!A85,IF(AND('#BerechnungDBE'!S80=1,'Flächen u. Kulturen'!D85&lt;&gt;"",'#BerechnungDBE'!AF80=70),'Flächen u. Kulturen'!A85," "))," ")</f>
        <v xml:space="preserve"> </v>
      </c>
      <c r="B205" s="505" t="str">
        <f>'Flächen u. Kulturen'!D85</f>
        <v/>
      </c>
      <c r="C205" s="42" t="str">
        <f>IF(A205=" "," ",'#BerechnungDBE'!AK80)</f>
        <v xml:space="preserve"> </v>
      </c>
      <c r="D205" s="42" t="str">
        <f>IF(A205=" "," ",'#BerechnungDBE'!CK80)</f>
        <v xml:space="preserve"> </v>
      </c>
      <c r="E205" s="42" t="str">
        <f t="shared" si="163"/>
        <v xml:space="preserve"> </v>
      </c>
      <c r="F205" s="869"/>
      <c r="G205" s="42" t="str">
        <f>IF(A205=" ","",'#BerechnungDBE'!CK80+'#BerechnungDBE'!CM80)</f>
        <v/>
      </c>
      <c r="H205" s="444" t="str">
        <f t="shared" si="152"/>
        <v/>
      </c>
      <c r="I205" s="444">
        <f>IF(A205=" ",0,'#minDung'!R86)</f>
        <v>0</v>
      </c>
      <c r="J205" s="430" t="str">
        <f t="shared" si="164"/>
        <v xml:space="preserve"> </v>
      </c>
      <c r="K205" s="444">
        <f>IF(A205=" ",0,'Flächen u. Kulturen'!W85)</f>
        <v>0</v>
      </c>
      <c r="L205" s="883" t="str">
        <f t="shared" si="141"/>
        <v/>
      </c>
      <c r="M205" s="444" t="str">
        <f t="shared" si="142"/>
        <v xml:space="preserve"> </v>
      </c>
      <c r="N205" s="444" t="str">
        <f t="shared" si="120"/>
        <v xml:space="preserve"> </v>
      </c>
      <c r="O205" s="911" t="str">
        <f t="shared" si="121"/>
        <v xml:space="preserve"> </v>
      </c>
      <c r="P205" s="912" t="str">
        <f t="shared" si="122"/>
        <v xml:space="preserve"> </v>
      </c>
      <c r="Q205" s="912" t="str">
        <f t="shared" si="123"/>
        <v xml:space="preserve"> </v>
      </c>
      <c r="R205" s="444" t="str">
        <f t="shared" si="143"/>
        <v/>
      </c>
      <c r="S205" s="444" t="str">
        <f t="shared" si="124"/>
        <v/>
      </c>
      <c r="T205" s="444" t="str">
        <f t="shared" si="144"/>
        <v xml:space="preserve"> </v>
      </c>
      <c r="U205" s="119" t="str">
        <f t="shared" si="125"/>
        <v xml:space="preserve"> </v>
      </c>
      <c r="V205" s="444" t="str">
        <f t="shared" si="153"/>
        <v xml:space="preserve"> </v>
      </c>
      <c r="W205" s="909" t="str">
        <f t="shared" si="154"/>
        <v xml:space="preserve"> </v>
      </c>
      <c r="X205" s="924" t="str">
        <f t="shared" si="126"/>
        <v xml:space="preserve"> </v>
      </c>
      <c r="Y205" s="444" t="str">
        <f t="shared" si="155"/>
        <v xml:space="preserve"> </v>
      </c>
      <c r="Z205" s="444" t="str">
        <f t="shared" si="156"/>
        <v xml:space="preserve"> </v>
      </c>
      <c r="AA205" s="444" t="str">
        <f t="shared" si="157"/>
        <v xml:space="preserve"> </v>
      </c>
      <c r="AB205" s="912" t="str">
        <f t="shared" si="158"/>
        <v xml:space="preserve"> </v>
      </c>
      <c r="AC205" s="912" t="str">
        <f t="shared" si="127"/>
        <v xml:space="preserve"> </v>
      </c>
      <c r="AD205" s="444" t="str">
        <f t="shared" si="159"/>
        <v xml:space="preserve"> </v>
      </c>
      <c r="AE205" s="444" t="str">
        <f t="shared" si="128"/>
        <v/>
      </c>
      <c r="AF205" s="444" t="str">
        <f t="shared" si="160"/>
        <v xml:space="preserve"> </v>
      </c>
      <c r="AG205" s="119" t="str">
        <f t="shared" si="129"/>
        <v xml:space="preserve"> </v>
      </c>
      <c r="AH205" s="444" t="str">
        <f t="shared" si="161"/>
        <v xml:space="preserve"> </v>
      </c>
      <c r="AI205" s="909" t="str">
        <f t="shared" si="162"/>
        <v xml:space="preserve"> </v>
      </c>
      <c r="AJ205" s="879" t="str">
        <f t="shared" si="165"/>
        <v xml:space="preserve"> </v>
      </c>
      <c r="AK205" s="444" t="str">
        <f t="shared" si="145"/>
        <v xml:space="preserve"> </v>
      </c>
      <c r="AL205" s="444" t="str">
        <f t="shared" si="146"/>
        <v xml:space="preserve"> </v>
      </c>
      <c r="AM205" s="444" t="str">
        <f t="shared" si="147"/>
        <v xml:space="preserve"> </v>
      </c>
      <c r="AN205" s="119" t="str">
        <f t="shared" si="148"/>
        <v xml:space="preserve"> </v>
      </c>
      <c r="AO205" s="444" t="str">
        <f t="shared" si="149"/>
        <v xml:space="preserve"> </v>
      </c>
      <c r="AP205" s="444" t="str">
        <f t="shared" si="150"/>
        <v xml:space="preserve"> </v>
      </c>
      <c r="AQ205" s="123" t="str">
        <f>IF(A205=" "," ",IF('#orgDung'!AF89=0,0,AO205/'#orgDung'!AF89))</f>
        <v xml:space="preserve"> </v>
      </c>
      <c r="AR205" s="47" t="str">
        <f>IF(A205=" "," ",IF('#orgDung'!AF89=0,0,AP205/'#orgDung'!AF89))</f>
        <v xml:space="preserve"> </v>
      </c>
      <c r="AS205" s="890">
        <f>IF(OR(B205=0,B205=""),0,MAX('Flächen u. Kulturen'!W85,AT205/B205))</f>
        <v>0</v>
      </c>
      <c r="AT205" s="875">
        <f t="shared" si="151"/>
        <v>0</v>
      </c>
      <c r="AU205" s="120"/>
    </row>
    <row r="206" spans="1:47" s="875" customFormat="1" x14ac:dyDescent="0.2">
      <c r="A206" s="42" t="str">
        <f>IF('Flächen u. Kulturen'!E86="x",IF(AND('#Kürzungen'!$F$2=2,'#BerechnungDBE'!R81=1,'Flächen u. Kulturen'!D86&lt;&gt;"",'#BerechnungDBE'!AF81=70),'Flächen u. Kulturen'!A86,IF(AND('#BerechnungDBE'!S81=1,'Flächen u. Kulturen'!D86&lt;&gt;"",'#BerechnungDBE'!AF81=70),'Flächen u. Kulturen'!A86," "))," ")</f>
        <v xml:space="preserve"> </v>
      </c>
      <c r="B206" s="505" t="str">
        <f>'Flächen u. Kulturen'!D86</f>
        <v/>
      </c>
      <c r="C206" s="42" t="str">
        <f>IF(A206=" "," ",'#BerechnungDBE'!AK81)</f>
        <v xml:space="preserve"> </v>
      </c>
      <c r="D206" s="42" t="str">
        <f>IF(A206=" "," ",'#BerechnungDBE'!CK81)</f>
        <v xml:space="preserve"> </v>
      </c>
      <c r="E206" s="42" t="str">
        <f t="shared" si="163"/>
        <v xml:space="preserve"> </v>
      </c>
      <c r="F206" s="869"/>
      <c r="G206" s="42" t="str">
        <f>IF(A206=" ","",'#BerechnungDBE'!CK81+'#BerechnungDBE'!CM81)</f>
        <v/>
      </c>
      <c r="H206" s="444" t="str">
        <f t="shared" si="152"/>
        <v/>
      </c>
      <c r="I206" s="444">
        <f>IF(A206=" ",0,'#minDung'!R87)</f>
        <v>0</v>
      </c>
      <c r="J206" s="430" t="str">
        <f t="shared" si="164"/>
        <v xml:space="preserve"> </v>
      </c>
      <c r="K206" s="444">
        <f>IF(A206=" ",0,'Flächen u. Kulturen'!W86)</f>
        <v>0</v>
      </c>
      <c r="L206" s="883" t="str">
        <f t="shared" si="141"/>
        <v/>
      </c>
      <c r="M206" s="444" t="str">
        <f t="shared" si="142"/>
        <v xml:space="preserve"> </v>
      </c>
      <c r="N206" s="444" t="str">
        <f t="shared" si="120"/>
        <v xml:space="preserve"> </v>
      </c>
      <c r="O206" s="911" t="str">
        <f t="shared" si="121"/>
        <v xml:space="preserve"> </v>
      </c>
      <c r="P206" s="912" t="str">
        <f t="shared" si="122"/>
        <v xml:space="preserve"> </v>
      </c>
      <c r="Q206" s="912" t="str">
        <f t="shared" si="123"/>
        <v xml:space="preserve"> </v>
      </c>
      <c r="R206" s="444" t="str">
        <f t="shared" si="143"/>
        <v/>
      </c>
      <c r="S206" s="444" t="str">
        <f t="shared" si="124"/>
        <v/>
      </c>
      <c r="T206" s="444" t="str">
        <f t="shared" si="144"/>
        <v xml:space="preserve"> </v>
      </c>
      <c r="U206" s="119" t="str">
        <f t="shared" si="125"/>
        <v xml:space="preserve"> </v>
      </c>
      <c r="V206" s="444" t="str">
        <f t="shared" si="153"/>
        <v xml:space="preserve"> </v>
      </c>
      <c r="W206" s="909" t="str">
        <f t="shared" si="154"/>
        <v xml:space="preserve"> </v>
      </c>
      <c r="X206" s="924" t="str">
        <f t="shared" si="126"/>
        <v xml:space="preserve"> </v>
      </c>
      <c r="Y206" s="444" t="str">
        <f t="shared" si="155"/>
        <v xml:space="preserve"> </v>
      </c>
      <c r="Z206" s="444" t="str">
        <f t="shared" si="156"/>
        <v xml:space="preserve"> </v>
      </c>
      <c r="AA206" s="444" t="str">
        <f t="shared" si="157"/>
        <v xml:space="preserve"> </v>
      </c>
      <c r="AB206" s="912" t="str">
        <f t="shared" si="158"/>
        <v xml:space="preserve"> </v>
      </c>
      <c r="AC206" s="912" t="str">
        <f t="shared" si="127"/>
        <v xml:space="preserve"> </v>
      </c>
      <c r="AD206" s="444" t="str">
        <f t="shared" si="159"/>
        <v xml:space="preserve"> </v>
      </c>
      <c r="AE206" s="444" t="str">
        <f t="shared" si="128"/>
        <v/>
      </c>
      <c r="AF206" s="444" t="str">
        <f t="shared" si="160"/>
        <v xml:space="preserve"> </v>
      </c>
      <c r="AG206" s="119" t="str">
        <f t="shared" si="129"/>
        <v xml:space="preserve"> </v>
      </c>
      <c r="AH206" s="444" t="str">
        <f t="shared" si="161"/>
        <v xml:space="preserve"> </v>
      </c>
      <c r="AI206" s="909" t="str">
        <f t="shared" si="162"/>
        <v xml:space="preserve"> </v>
      </c>
      <c r="AJ206" s="879" t="str">
        <f t="shared" si="165"/>
        <v xml:space="preserve"> </v>
      </c>
      <c r="AK206" s="444" t="str">
        <f t="shared" si="145"/>
        <v xml:space="preserve"> </v>
      </c>
      <c r="AL206" s="444" t="str">
        <f t="shared" si="146"/>
        <v xml:space="preserve"> </v>
      </c>
      <c r="AM206" s="444" t="str">
        <f t="shared" si="147"/>
        <v xml:space="preserve"> </v>
      </c>
      <c r="AN206" s="119" t="str">
        <f t="shared" si="148"/>
        <v xml:space="preserve"> </v>
      </c>
      <c r="AO206" s="444" t="str">
        <f t="shared" si="149"/>
        <v xml:space="preserve"> </v>
      </c>
      <c r="AP206" s="444" t="str">
        <f t="shared" si="150"/>
        <v xml:space="preserve"> </v>
      </c>
      <c r="AQ206" s="123" t="str">
        <f>IF(A206=" "," ",IF('#orgDung'!AF90=0,0,AO206/'#orgDung'!AF90))</f>
        <v xml:space="preserve"> </v>
      </c>
      <c r="AR206" s="47" t="str">
        <f>IF(A206=" "," ",IF('#orgDung'!AF90=0,0,AP206/'#orgDung'!AF90))</f>
        <v xml:space="preserve"> </v>
      </c>
      <c r="AS206" s="890">
        <f>IF(OR(B206=0,B206=""),0,MAX('Flächen u. Kulturen'!W86,AT206/B206))</f>
        <v>0</v>
      </c>
      <c r="AT206" s="875">
        <f t="shared" si="151"/>
        <v>0</v>
      </c>
      <c r="AU206" s="120"/>
    </row>
    <row r="207" spans="1:47" s="875" customFormat="1" x14ac:dyDescent="0.2">
      <c r="A207" s="42" t="str">
        <f>IF('Flächen u. Kulturen'!E87="x",IF(AND('#Kürzungen'!$F$2=2,'#BerechnungDBE'!R82=1,'Flächen u. Kulturen'!D87&lt;&gt;"",'#BerechnungDBE'!AF82=70),'Flächen u. Kulturen'!A87,IF(AND('#BerechnungDBE'!S82=1,'Flächen u. Kulturen'!D87&lt;&gt;"",'#BerechnungDBE'!AF82=70),'Flächen u. Kulturen'!A87," "))," ")</f>
        <v xml:space="preserve"> </v>
      </c>
      <c r="B207" s="505" t="str">
        <f>'Flächen u. Kulturen'!D87</f>
        <v/>
      </c>
      <c r="C207" s="42" t="str">
        <f>IF(A207=" "," ",'#BerechnungDBE'!AK82)</f>
        <v xml:space="preserve"> </v>
      </c>
      <c r="D207" s="42" t="str">
        <f>IF(A207=" "," ",'#BerechnungDBE'!CK82)</f>
        <v xml:space="preserve"> </v>
      </c>
      <c r="E207" s="42" t="str">
        <f t="shared" si="163"/>
        <v xml:space="preserve"> </v>
      </c>
      <c r="F207" s="869"/>
      <c r="G207" s="42" t="str">
        <f>IF(A207=" ","",'#BerechnungDBE'!CK82+'#BerechnungDBE'!CM82)</f>
        <v/>
      </c>
      <c r="H207" s="444" t="str">
        <f t="shared" si="152"/>
        <v/>
      </c>
      <c r="I207" s="444">
        <f>IF(A207=" ",0,'#minDung'!R88)</f>
        <v>0</v>
      </c>
      <c r="J207" s="430" t="str">
        <f t="shared" si="164"/>
        <v xml:space="preserve"> </v>
      </c>
      <c r="K207" s="444">
        <f>IF(A207=" ",0,'Flächen u. Kulturen'!W87)</f>
        <v>0</v>
      </c>
      <c r="L207" s="883" t="str">
        <f t="shared" si="141"/>
        <v/>
      </c>
      <c r="M207" s="444" t="str">
        <f t="shared" si="142"/>
        <v xml:space="preserve"> </v>
      </c>
      <c r="N207" s="444" t="str">
        <f t="shared" si="120"/>
        <v xml:space="preserve"> </v>
      </c>
      <c r="O207" s="911" t="str">
        <f t="shared" si="121"/>
        <v xml:space="preserve"> </v>
      </c>
      <c r="P207" s="912" t="str">
        <f t="shared" si="122"/>
        <v xml:space="preserve"> </v>
      </c>
      <c r="Q207" s="912" t="str">
        <f t="shared" si="123"/>
        <v xml:space="preserve"> </v>
      </c>
      <c r="R207" s="444" t="str">
        <f t="shared" si="143"/>
        <v/>
      </c>
      <c r="S207" s="444" t="str">
        <f t="shared" si="124"/>
        <v/>
      </c>
      <c r="T207" s="444" t="str">
        <f t="shared" si="144"/>
        <v xml:space="preserve"> </v>
      </c>
      <c r="U207" s="119" t="str">
        <f t="shared" si="125"/>
        <v xml:space="preserve"> </v>
      </c>
      <c r="V207" s="444" t="str">
        <f t="shared" si="153"/>
        <v xml:space="preserve"> </v>
      </c>
      <c r="W207" s="909" t="str">
        <f t="shared" si="154"/>
        <v xml:space="preserve"> </v>
      </c>
      <c r="X207" s="924" t="str">
        <f t="shared" si="126"/>
        <v xml:space="preserve"> </v>
      </c>
      <c r="Y207" s="444" t="str">
        <f t="shared" si="155"/>
        <v xml:space="preserve"> </v>
      </c>
      <c r="Z207" s="444" t="str">
        <f t="shared" si="156"/>
        <v xml:space="preserve"> </v>
      </c>
      <c r="AA207" s="444" t="str">
        <f t="shared" si="157"/>
        <v xml:space="preserve"> </v>
      </c>
      <c r="AB207" s="912" t="str">
        <f t="shared" si="158"/>
        <v xml:space="preserve"> </v>
      </c>
      <c r="AC207" s="912" t="str">
        <f t="shared" si="127"/>
        <v xml:space="preserve"> </v>
      </c>
      <c r="AD207" s="444" t="str">
        <f t="shared" si="159"/>
        <v xml:space="preserve"> </v>
      </c>
      <c r="AE207" s="444" t="str">
        <f t="shared" si="128"/>
        <v/>
      </c>
      <c r="AF207" s="444" t="str">
        <f t="shared" si="160"/>
        <v xml:space="preserve"> </v>
      </c>
      <c r="AG207" s="119" t="str">
        <f t="shared" si="129"/>
        <v xml:space="preserve"> </v>
      </c>
      <c r="AH207" s="444" t="str">
        <f t="shared" si="161"/>
        <v xml:space="preserve"> </v>
      </c>
      <c r="AI207" s="909" t="str">
        <f t="shared" si="162"/>
        <v xml:space="preserve"> </v>
      </c>
      <c r="AJ207" s="879" t="str">
        <f t="shared" si="165"/>
        <v xml:space="preserve"> </v>
      </c>
      <c r="AK207" s="444" t="str">
        <f t="shared" si="145"/>
        <v xml:space="preserve"> </v>
      </c>
      <c r="AL207" s="444" t="str">
        <f t="shared" si="146"/>
        <v xml:space="preserve"> </v>
      </c>
      <c r="AM207" s="444" t="str">
        <f t="shared" si="147"/>
        <v xml:space="preserve"> </v>
      </c>
      <c r="AN207" s="119" t="str">
        <f t="shared" si="148"/>
        <v xml:space="preserve"> </v>
      </c>
      <c r="AO207" s="444" t="str">
        <f t="shared" si="149"/>
        <v xml:space="preserve"> </v>
      </c>
      <c r="AP207" s="444" t="str">
        <f t="shared" si="150"/>
        <v xml:space="preserve"> </v>
      </c>
      <c r="AQ207" s="123" t="str">
        <f>IF(A207=" "," ",IF('#orgDung'!AF91=0,0,AO207/'#orgDung'!AF91))</f>
        <v xml:space="preserve"> </v>
      </c>
      <c r="AR207" s="47" t="str">
        <f>IF(A207=" "," ",IF('#orgDung'!AF91=0,0,AP207/'#orgDung'!AF91))</f>
        <v xml:space="preserve"> </v>
      </c>
      <c r="AS207" s="890">
        <f>IF(OR(B207=0,B207=""),0,MAX('Flächen u. Kulturen'!W87,AT207/B207))</f>
        <v>0</v>
      </c>
      <c r="AT207" s="875">
        <f t="shared" si="151"/>
        <v>0</v>
      </c>
      <c r="AU207" s="120"/>
    </row>
    <row r="208" spans="1:47" s="875" customFormat="1" x14ac:dyDescent="0.2">
      <c r="A208" s="42" t="str">
        <f>IF('Flächen u. Kulturen'!E88="x",IF(AND('#Kürzungen'!$F$2=2,'#BerechnungDBE'!R83=1,'Flächen u. Kulturen'!D88&lt;&gt;"",'#BerechnungDBE'!AF83=70),'Flächen u. Kulturen'!A88,IF(AND('#BerechnungDBE'!S83=1,'Flächen u. Kulturen'!D88&lt;&gt;"",'#BerechnungDBE'!AF83=70),'Flächen u. Kulturen'!A88," "))," ")</f>
        <v xml:space="preserve"> </v>
      </c>
      <c r="B208" s="505" t="str">
        <f>'Flächen u. Kulturen'!D88</f>
        <v/>
      </c>
      <c r="C208" s="42" t="str">
        <f>IF(A208=" "," ",'#BerechnungDBE'!AK83)</f>
        <v xml:space="preserve"> </v>
      </c>
      <c r="D208" s="42" t="str">
        <f>IF(A208=" "," ",'#BerechnungDBE'!CK83)</f>
        <v xml:space="preserve"> </v>
      </c>
      <c r="E208" s="42" t="str">
        <f t="shared" si="163"/>
        <v xml:space="preserve"> </v>
      </c>
      <c r="F208" s="869"/>
      <c r="G208" s="42" t="str">
        <f>IF(A208=" ","",'#BerechnungDBE'!CK83+'#BerechnungDBE'!CM83)</f>
        <v/>
      </c>
      <c r="H208" s="444" t="str">
        <f t="shared" si="152"/>
        <v/>
      </c>
      <c r="I208" s="444">
        <f>IF(A208=" ",0,'#minDung'!R89)</f>
        <v>0</v>
      </c>
      <c r="J208" s="430" t="str">
        <f t="shared" si="164"/>
        <v xml:space="preserve"> </v>
      </c>
      <c r="K208" s="444">
        <f>IF(A208=" ",0,'Flächen u. Kulturen'!W88)</f>
        <v>0</v>
      </c>
      <c r="L208" s="883" t="str">
        <f t="shared" si="141"/>
        <v/>
      </c>
      <c r="M208" s="444" t="str">
        <f t="shared" si="142"/>
        <v xml:space="preserve"> </v>
      </c>
      <c r="N208" s="444" t="str">
        <f t="shared" si="120"/>
        <v xml:space="preserve"> </v>
      </c>
      <c r="O208" s="911" t="str">
        <f t="shared" si="121"/>
        <v xml:space="preserve"> </v>
      </c>
      <c r="P208" s="912" t="str">
        <f t="shared" si="122"/>
        <v xml:space="preserve"> </v>
      </c>
      <c r="Q208" s="912" t="str">
        <f t="shared" si="123"/>
        <v xml:space="preserve"> </v>
      </c>
      <c r="R208" s="444" t="str">
        <f t="shared" si="143"/>
        <v/>
      </c>
      <c r="S208" s="444" t="str">
        <f t="shared" si="124"/>
        <v/>
      </c>
      <c r="T208" s="444" t="str">
        <f t="shared" si="144"/>
        <v xml:space="preserve"> </v>
      </c>
      <c r="U208" s="119" t="str">
        <f t="shared" si="125"/>
        <v xml:space="preserve"> </v>
      </c>
      <c r="V208" s="444" t="str">
        <f t="shared" si="153"/>
        <v xml:space="preserve"> </v>
      </c>
      <c r="W208" s="909" t="str">
        <f t="shared" si="154"/>
        <v xml:space="preserve"> </v>
      </c>
      <c r="X208" s="924" t="str">
        <f t="shared" si="126"/>
        <v xml:space="preserve"> </v>
      </c>
      <c r="Y208" s="444" t="str">
        <f t="shared" si="155"/>
        <v xml:space="preserve"> </v>
      </c>
      <c r="Z208" s="444" t="str">
        <f t="shared" si="156"/>
        <v xml:space="preserve"> </v>
      </c>
      <c r="AA208" s="444" t="str">
        <f t="shared" si="157"/>
        <v xml:space="preserve"> </v>
      </c>
      <c r="AB208" s="912" t="str">
        <f t="shared" si="158"/>
        <v xml:space="preserve"> </v>
      </c>
      <c r="AC208" s="912" t="str">
        <f t="shared" si="127"/>
        <v xml:space="preserve"> </v>
      </c>
      <c r="AD208" s="444" t="str">
        <f t="shared" si="159"/>
        <v xml:space="preserve"> </v>
      </c>
      <c r="AE208" s="444" t="str">
        <f t="shared" si="128"/>
        <v/>
      </c>
      <c r="AF208" s="444" t="str">
        <f t="shared" si="160"/>
        <v xml:space="preserve"> </v>
      </c>
      <c r="AG208" s="119" t="str">
        <f t="shared" si="129"/>
        <v xml:space="preserve"> </v>
      </c>
      <c r="AH208" s="444" t="str">
        <f t="shared" si="161"/>
        <v xml:space="preserve"> </v>
      </c>
      <c r="AI208" s="909" t="str">
        <f t="shared" si="162"/>
        <v xml:space="preserve"> </v>
      </c>
      <c r="AJ208" s="879" t="str">
        <f t="shared" si="165"/>
        <v xml:space="preserve"> </v>
      </c>
      <c r="AK208" s="444" t="str">
        <f t="shared" si="145"/>
        <v xml:space="preserve"> </v>
      </c>
      <c r="AL208" s="444" t="str">
        <f t="shared" si="146"/>
        <v xml:space="preserve"> </v>
      </c>
      <c r="AM208" s="444" t="str">
        <f t="shared" si="147"/>
        <v xml:space="preserve"> </v>
      </c>
      <c r="AN208" s="119" t="str">
        <f t="shared" si="148"/>
        <v xml:space="preserve"> </v>
      </c>
      <c r="AO208" s="444" t="str">
        <f t="shared" si="149"/>
        <v xml:space="preserve"> </v>
      </c>
      <c r="AP208" s="444" t="str">
        <f t="shared" si="150"/>
        <v xml:space="preserve"> </v>
      </c>
      <c r="AQ208" s="123" t="str">
        <f>IF(A208=" "," ",IF('#orgDung'!AF92=0,0,AO208/'#orgDung'!AF92))</f>
        <v xml:space="preserve"> </v>
      </c>
      <c r="AR208" s="47" t="str">
        <f>IF(A208=" "," ",IF('#orgDung'!AF92=0,0,AP208/'#orgDung'!AF92))</f>
        <v xml:space="preserve"> </v>
      </c>
      <c r="AS208" s="890">
        <f>IF(OR(B208=0,B208=""),0,MAX('Flächen u. Kulturen'!W88,AT208/B208))</f>
        <v>0</v>
      </c>
      <c r="AT208" s="875">
        <f t="shared" si="151"/>
        <v>0</v>
      </c>
      <c r="AU208" s="120"/>
    </row>
    <row r="209" spans="1:47" s="875" customFormat="1" x14ac:dyDescent="0.2">
      <c r="A209" s="42" t="str">
        <f>IF('Flächen u. Kulturen'!E89="x",IF(AND('#Kürzungen'!$F$2=2,'#BerechnungDBE'!R84=1,'Flächen u. Kulturen'!D89&lt;&gt;"",'#BerechnungDBE'!AF84=70),'Flächen u. Kulturen'!A89,IF(AND('#BerechnungDBE'!S84=1,'Flächen u. Kulturen'!D89&lt;&gt;"",'#BerechnungDBE'!AF84=70),'Flächen u. Kulturen'!A89," "))," ")</f>
        <v xml:space="preserve"> </v>
      </c>
      <c r="B209" s="505" t="str">
        <f>'Flächen u. Kulturen'!D89</f>
        <v/>
      </c>
      <c r="C209" s="42" t="str">
        <f>IF(A209=" "," ",'#BerechnungDBE'!AK84)</f>
        <v xml:space="preserve"> </v>
      </c>
      <c r="D209" s="42" t="str">
        <f>IF(A209=" "," ",'#BerechnungDBE'!CK84)</f>
        <v xml:space="preserve"> </v>
      </c>
      <c r="E209" s="42" t="str">
        <f t="shared" si="163"/>
        <v xml:space="preserve"> </v>
      </c>
      <c r="F209" s="869"/>
      <c r="G209" s="42" t="str">
        <f>IF(A209=" ","",'#BerechnungDBE'!CK84+'#BerechnungDBE'!CM84)</f>
        <v/>
      </c>
      <c r="H209" s="444" t="str">
        <f t="shared" si="152"/>
        <v/>
      </c>
      <c r="I209" s="444">
        <f>IF(A209=" ",0,'#minDung'!R90)</f>
        <v>0</v>
      </c>
      <c r="J209" s="430" t="str">
        <f t="shared" si="164"/>
        <v xml:space="preserve"> </v>
      </c>
      <c r="K209" s="444">
        <f>IF(A209=" ",0,'Flächen u. Kulturen'!W89)</f>
        <v>0</v>
      </c>
      <c r="L209" s="883" t="str">
        <f t="shared" si="141"/>
        <v/>
      </c>
      <c r="M209" s="444" t="str">
        <f t="shared" si="142"/>
        <v xml:space="preserve"> </v>
      </c>
      <c r="N209" s="444" t="str">
        <f t="shared" si="120"/>
        <v xml:space="preserve"> </v>
      </c>
      <c r="O209" s="911" t="str">
        <f t="shared" si="121"/>
        <v xml:space="preserve"> </v>
      </c>
      <c r="P209" s="912" t="str">
        <f t="shared" si="122"/>
        <v xml:space="preserve"> </v>
      </c>
      <c r="Q209" s="912" t="str">
        <f t="shared" si="123"/>
        <v xml:space="preserve"> </v>
      </c>
      <c r="R209" s="444" t="str">
        <f t="shared" si="143"/>
        <v/>
      </c>
      <c r="S209" s="444" t="str">
        <f t="shared" si="124"/>
        <v/>
      </c>
      <c r="T209" s="444" t="str">
        <f t="shared" si="144"/>
        <v xml:space="preserve"> </v>
      </c>
      <c r="U209" s="119" t="str">
        <f t="shared" si="125"/>
        <v xml:space="preserve"> </v>
      </c>
      <c r="V209" s="444" t="str">
        <f t="shared" si="153"/>
        <v xml:space="preserve"> </v>
      </c>
      <c r="W209" s="909" t="str">
        <f t="shared" si="154"/>
        <v xml:space="preserve"> </v>
      </c>
      <c r="X209" s="924" t="str">
        <f t="shared" si="126"/>
        <v xml:space="preserve"> </v>
      </c>
      <c r="Y209" s="444" t="str">
        <f t="shared" si="155"/>
        <v xml:space="preserve"> </v>
      </c>
      <c r="Z209" s="444" t="str">
        <f t="shared" si="156"/>
        <v xml:space="preserve"> </v>
      </c>
      <c r="AA209" s="444" t="str">
        <f t="shared" si="157"/>
        <v xml:space="preserve"> </v>
      </c>
      <c r="AB209" s="912" t="str">
        <f t="shared" si="158"/>
        <v xml:space="preserve"> </v>
      </c>
      <c r="AC209" s="912" t="str">
        <f t="shared" si="127"/>
        <v xml:space="preserve"> </v>
      </c>
      <c r="AD209" s="444" t="str">
        <f t="shared" si="159"/>
        <v xml:space="preserve"> </v>
      </c>
      <c r="AE209" s="444" t="str">
        <f t="shared" si="128"/>
        <v/>
      </c>
      <c r="AF209" s="444" t="str">
        <f t="shared" si="160"/>
        <v xml:space="preserve"> </v>
      </c>
      <c r="AG209" s="119" t="str">
        <f t="shared" si="129"/>
        <v xml:space="preserve"> </v>
      </c>
      <c r="AH209" s="444" t="str">
        <f t="shared" si="161"/>
        <v xml:space="preserve"> </v>
      </c>
      <c r="AI209" s="909" t="str">
        <f t="shared" si="162"/>
        <v xml:space="preserve"> </v>
      </c>
      <c r="AJ209" s="879" t="str">
        <f t="shared" si="165"/>
        <v xml:space="preserve"> </v>
      </c>
      <c r="AK209" s="444" t="str">
        <f t="shared" si="145"/>
        <v xml:space="preserve"> </v>
      </c>
      <c r="AL209" s="444" t="str">
        <f t="shared" si="146"/>
        <v xml:space="preserve"> </v>
      </c>
      <c r="AM209" s="444" t="str">
        <f t="shared" si="147"/>
        <v xml:space="preserve"> </v>
      </c>
      <c r="AN209" s="119" t="str">
        <f t="shared" si="148"/>
        <v xml:space="preserve"> </v>
      </c>
      <c r="AO209" s="444" t="str">
        <f t="shared" si="149"/>
        <v xml:space="preserve"> </v>
      </c>
      <c r="AP209" s="444" t="str">
        <f t="shared" si="150"/>
        <v xml:space="preserve"> </v>
      </c>
      <c r="AQ209" s="123" t="str">
        <f>IF(A209=" "," ",IF('#orgDung'!AF93=0,0,AO209/'#orgDung'!AF93))</f>
        <v xml:space="preserve"> </v>
      </c>
      <c r="AR209" s="47" t="str">
        <f>IF(A209=" "," ",IF('#orgDung'!AF93=0,0,AP209/'#orgDung'!AF93))</f>
        <v xml:space="preserve"> </v>
      </c>
      <c r="AS209" s="890">
        <f>IF(OR(B209=0,B209=""),0,MAX('Flächen u. Kulturen'!W89,AT209/B209))</f>
        <v>0</v>
      </c>
      <c r="AT209" s="875">
        <f t="shared" si="151"/>
        <v>0</v>
      </c>
      <c r="AU209" s="120"/>
    </row>
    <row r="210" spans="1:47" s="875" customFormat="1" x14ac:dyDescent="0.2">
      <c r="A210" s="42" t="str">
        <f>IF('Flächen u. Kulturen'!E90="x",IF(AND('#Kürzungen'!$F$2=2,'#BerechnungDBE'!R85=1,'Flächen u. Kulturen'!D90&lt;&gt;"",'#BerechnungDBE'!AF85=70),'Flächen u. Kulturen'!A90,IF(AND('#BerechnungDBE'!S85=1,'Flächen u. Kulturen'!D90&lt;&gt;"",'#BerechnungDBE'!AF85=70),'Flächen u. Kulturen'!A90," "))," ")</f>
        <v xml:space="preserve"> </v>
      </c>
      <c r="B210" s="505" t="str">
        <f>'Flächen u. Kulturen'!D90</f>
        <v/>
      </c>
      <c r="C210" s="42" t="str">
        <f>IF(A210=" "," ",'#BerechnungDBE'!AK85)</f>
        <v xml:space="preserve"> </v>
      </c>
      <c r="D210" s="42" t="str">
        <f>IF(A210=" "," ",'#BerechnungDBE'!CK85)</f>
        <v xml:space="preserve"> </v>
      </c>
      <c r="E210" s="42" t="str">
        <f t="shared" si="163"/>
        <v xml:space="preserve"> </v>
      </c>
      <c r="F210" s="869"/>
      <c r="G210" s="42" t="str">
        <f>IF(A210=" ","",'#BerechnungDBE'!CK85+'#BerechnungDBE'!CM85)</f>
        <v/>
      </c>
      <c r="H210" s="444" t="str">
        <f t="shared" si="152"/>
        <v/>
      </c>
      <c r="I210" s="444">
        <f>IF(A210=" ",0,'#minDung'!R91)</f>
        <v>0</v>
      </c>
      <c r="J210" s="430" t="str">
        <f t="shared" si="164"/>
        <v xml:space="preserve"> </v>
      </c>
      <c r="K210" s="444">
        <f>IF(A210=" ",0,'Flächen u. Kulturen'!W90)</f>
        <v>0</v>
      </c>
      <c r="L210" s="883" t="str">
        <f t="shared" si="141"/>
        <v/>
      </c>
      <c r="M210" s="444" t="str">
        <f t="shared" si="142"/>
        <v xml:space="preserve"> </v>
      </c>
      <c r="N210" s="444" t="str">
        <f t="shared" si="120"/>
        <v xml:space="preserve"> </v>
      </c>
      <c r="O210" s="911" t="str">
        <f t="shared" si="121"/>
        <v xml:space="preserve"> </v>
      </c>
      <c r="P210" s="912" t="str">
        <f t="shared" si="122"/>
        <v xml:space="preserve"> </v>
      </c>
      <c r="Q210" s="912" t="str">
        <f t="shared" si="123"/>
        <v xml:space="preserve"> </v>
      </c>
      <c r="R210" s="444" t="str">
        <f t="shared" si="143"/>
        <v/>
      </c>
      <c r="S210" s="444" t="str">
        <f t="shared" si="124"/>
        <v/>
      </c>
      <c r="T210" s="444" t="str">
        <f t="shared" si="144"/>
        <v xml:space="preserve"> </v>
      </c>
      <c r="U210" s="119" t="str">
        <f t="shared" si="125"/>
        <v xml:space="preserve"> </v>
      </c>
      <c r="V210" s="444" t="str">
        <f t="shared" si="153"/>
        <v xml:space="preserve"> </v>
      </c>
      <c r="W210" s="909" t="str">
        <f t="shared" si="154"/>
        <v xml:space="preserve"> </v>
      </c>
      <c r="X210" s="924" t="str">
        <f t="shared" si="126"/>
        <v xml:space="preserve"> </v>
      </c>
      <c r="Y210" s="444" t="str">
        <f t="shared" si="155"/>
        <v xml:space="preserve"> </v>
      </c>
      <c r="Z210" s="444" t="str">
        <f t="shared" si="156"/>
        <v xml:space="preserve"> </v>
      </c>
      <c r="AA210" s="444" t="str">
        <f t="shared" si="157"/>
        <v xml:space="preserve"> </v>
      </c>
      <c r="AB210" s="912" t="str">
        <f t="shared" si="158"/>
        <v xml:space="preserve"> </v>
      </c>
      <c r="AC210" s="912" t="str">
        <f t="shared" si="127"/>
        <v xml:space="preserve"> </v>
      </c>
      <c r="AD210" s="444" t="str">
        <f t="shared" si="159"/>
        <v xml:space="preserve"> </v>
      </c>
      <c r="AE210" s="444" t="str">
        <f t="shared" si="128"/>
        <v/>
      </c>
      <c r="AF210" s="444" t="str">
        <f t="shared" si="160"/>
        <v xml:space="preserve"> </v>
      </c>
      <c r="AG210" s="119" t="str">
        <f t="shared" si="129"/>
        <v xml:space="preserve"> </v>
      </c>
      <c r="AH210" s="444" t="str">
        <f t="shared" si="161"/>
        <v xml:space="preserve"> </v>
      </c>
      <c r="AI210" s="909" t="str">
        <f t="shared" si="162"/>
        <v xml:space="preserve"> </v>
      </c>
      <c r="AJ210" s="879" t="str">
        <f t="shared" si="165"/>
        <v xml:space="preserve"> </v>
      </c>
      <c r="AK210" s="444" t="str">
        <f t="shared" si="145"/>
        <v xml:space="preserve"> </v>
      </c>
      <c r="AL210" s="444" t="str">
        <f t="shared" si="146"/>
        <v xml:space="preserve"> </v>
      </c>
      <c r="AM210" s="444" t="str">
        <f t="shared" si="147"/>
        <v xml:space="preserve"> </v>
      </c>
      <c r="AN210" s="119" t="str">
        <f t="shared" si="148"/>
        <v xml:space="preserve"> </v>
      </c>
      <c r="AO210" s="444" t="str">
        <f t="shared" si="149"/>
        <v xml:space="preserve"> </v>
      </c>
      <c r="AP210" s="444" t="str">
        <f t="shared" si="150"/>
        <v xml:space="preserve"> </v>
      </c>
      <c r="AQ210" s="123" t="str">
        <f>IF(A210=" "," ",IF('#orgDung'!AF94=0,0,AO210/'#orgDung'!AF94))</f>
        <v xml:space="preserve"> </v>
      </c>
      <c r="AR210" s="47" t="str">
        <f>IF(A210=" "," ",IF('#orgDung'!AF94=0,0,AP210/'#orgDung'!AF94))</f>
        <v xml:space="preserve"> </v>
      </c>
      <c r="AS210" s="890">
        <f>IF(OR(B210=0,B210=""),0,MAX('Flächen u. Kulturen'!W90,AT210/B210))</f>
        <v>0</v>
      </c>
      <c r="AT210" s="875">
        <f t="shared" si="151"/>
        <v>0</v>
      </c>
      <c r="AU210" s="120"/>
    </row>
    <row r="211" spans="1:47" s="875" customFormat="1" x14ac:dyDescent="0.2">
      <c r="A211" s="42" t="str">
        <f>IF('Flächen u. Kulturen'!E91="x",IF(AND('#Kürzungen'!$F$2=2,'#BerechnungDBE'!R86=1,'Flächen u. Kulturen'!D91&lt;&gt;"",'#BerechnungDBE'!AF86=70),'Flächen u. Kulturen'!A91,IF(AND('#BerechnungDBE'!S86=1,'Flächen u. Kulturen'!D91&lt;&gt;"",'#BerechnungDBE'!AF86=70),'Flächen u. Kulturen'!A91," "))," ")</f>
        <v xml:space="preserve"> </v>
      </c>
      <c r="B211" s="505" t="str">
        <f>'Flächen u. Kulturen'!D91</f>
        <v/>
      </c>
      <c r="C211" s="42" t="str">
        <f>IF(A211=" "," ",'#BerechnungDBE'!AK86)</f>
        <v xml:space="preserve"> </v>
      </c>
      <c r="D211" s="42" t="str">
        <f>IF(A211=" "," ",'#BerechnungDBE'!CK86)</f>
        <v xml:space="preserve"> </v>
      </c>
      <c r="E211" s="42" t="str">
        <f t="shared" si="163"/>
        <v xml:space="preserve"> </v>
      </c>
      <c r="F211" s="869"/>
      <c r="G211" s="42" t="str">
        <f>IF(A211=" ","",'#BerechnungDBE'!CK86+'#BerechnungDBE'!CM86)</f>
        <v/>
      </c>
      <c r="H211" s="444" t="str">
        <f t="shared" si="152"/>
        <v/>
      </c>
      <c r="I211" s="444">
        <f>IF(A211=" ",0,'#minDung'!R92)</f>
        <v>0</v>
      </c>
      <c r="J211" s="430" t="str">
        <f t="shared" si="164"/>
        <v xml:space="preserve"> </v>
      </c>
      <c r="K211" s="444">
        <f>IF(A211=" ",0,'Flächen u. Kulturen'!W91)</f>
        <v>0</v>
      </c>
      <c r="L211" s="883" t="str">
        <f t="shared" si="141"/>
        <v/>
      </c>
      <c r="M211" s="444" t="str">
        <f t="shared" si="142"/>
        <v xml:space="preserve"> </v>
      </c>
      <c r="N211" s="444" t="str">
        <f t="shared" si="120"/>
        <v xml:space="preserve"> </v>
      </c>
      <c r="O211" s="911" t="str">
        <f t="shared" si="121"/>
        <v xml:space="preserve"> </v>
      </c>
      <c r="P211" s="912" t="str">
        <f t="shared" si="122"/>
        <v xml:space="preserve"> </v>
      </c>
      <c r="Q211" s="912" t="str">
        <f t="shared" si="123"/>
        <v xml:space="preserve"> </v>
      </c>
      <c r="R211" s="444" t="str">
        <f t="shared" si="143"/>
        <v/>
      </c>
      <c r="S211" s="444" t="str">
        <f t="shared" si="124"/>
        <v/>
      </c>
      <c r="T211" s="444" t="str">
        <f t="shared" si="144"/>
        <v xml:space="preserve"> </v>
      </c>
      <c r="U211" s="119" t="str">
        <f t="shared" si="125"/>
        <v xml:space="preserve"> </v>
      </c>
      <c r="V211" s="444" t="str">
        <f t="shared" si="153"/>
        <v xml:space="preserve"> </v>
      </c>
      <c r="W211" s="909" t="str">
        <f t="shared" si="154"/>
        <v xml:space="preserve"> </v>
      </c>
      <c r="X211" s="924" t="str">
        <f t="shared" si="126"/>
        <v xml:space="preserve"> </v>
      </c>
      <c r="Y211" s="444" t="str">
        <f t="shared" si="155"/>
        <v xml:space="preserve"> </v>
      </c>
      <c r="Z211" s="444" t="str">
        <f t="shared" si="156"/>
        <v xml:space="preserve"> </v>
      </c>
      <c r="AA211" s="444" t="str">
        <f t="shared" si="157"/>
        <v xml:space="preserve"> </v>
      </c>
      <c r="AB211" s="912" t="str">
        <f t="shared" si="158"/>
        <v xml:space="preserve"> </v>
      </c>
      <c r="AC211" s="912" t="str">
        <f t="shared" si="127"/>
        <v xml:space="preserve"> </v>
      </c>
      <c r="AD211" s="444" t="str">
        <f t="shared" si="159"/>
        <v xml:space="preserve"> </v>
      </c>
      <c r="AE211" s="444" t="str">
        <f t="shared" si="128"/>
        <v/>
      </c>
      <c r="AF211" s="444" t="str">
        <f t="shared" si="160"/>
        <v xml:space="preserve"> </v>
      </c>
      <c r="AG211" s="119" t="str">
        <f t="shared" si="129"/>
        <v xml:space="preserve"> </v>
      </c>
      <c r="AH211" s="444" t="str">
        <f t="shared" si="161"/>
        <v xml:space="preserve"> </v>
      </c>
      <c r="AI211" s="909" t="str">
        <f t="shared" si="162"/>
        <v xml:space="preserve"> </v>
      </c>
      <c r="AJ211" s="879" t="str">
        <f t="shared" si="165"/>
        <v xml:space="preserve"> </v>
      </c>
      <c r="AK211" s="444" t="str">
        <f t="shared" si="145"/>
        <v xml:space="preserve"> </v>
      </c>
      <c r="AL211" s="444" t="str">
        <f t="shared" si="146"/>
        <v xml:space="preserve"> </v>
      </c>
      <c r="AM211" s="444" t="str">
        <f t="shared" si="147"/>
        <v xml:space="preserve"> </v>
      </c>
      <c r="AN211" s="119" t="str">
        <f t="shared" si="148"/>
        <v xml:space="preserve"> </v>
      </c>
      <c r="AO211" s="444" t="str">
        <f t="shared" si="149"/>
        <v xml:space="preserve"> </v>
      </c>
      <c r="AP211" s="444" t="str">
        <f t="shared" si="150"/>
        <v xml:space="preserve"> </v>
      </c>
      <c r="AQ211" s="123" t="str">
        <f>IF(A211=" "," ",IF('#orgDung'!AF95=0,0,AO211/'#orgDung'!AF95))</f>
        <v xml:space="preserve"> </v>
      </c>
      <c r="AR211" s="47" t="str">
        <f>IF(A211=" "," ",IF('#orgDung'!AF95=0,0,AP211/'#orgDung'!AF95))</f>
        <v xml:space="preserve"> </v>
      </c>
      <c r="AS211" s="890">
        <f>IF(OR(B211=0,B211=""),0,MAX('Flächen u. Kulturen'!W91,AT211/B211))</f>
        <v>0</v>
      </c>
      <c r="AT211" s="875">
        <f t="shared" si="151"/>
        <v>0</v>
      </c>
      <c r="AU211" s="120"/>
    </row>
    <row r="212" spans="1:47" s="875" customFormat="1" x14ac:dyDescent="0.2">
      <c r="A212" s="42" t="str">
        <f>IF('Flächen u. Kulturen'!E92="x",IF(AND('#Kürzungen'!$F$2=2,'#BerechnungDBE'!R87=1,'Flächen u. Kulturen'!D92&lt;&gt;"",'#BerechnungDBE'!AF87=70),'Flächen u. Kulturen'!A92,IF(AND('#BerechnungDBE'!S87=1,'Flächen u. Kulturen'!D92&lt;&gt;"",'#BerechnungDBE'!AF87=70),'Flächen u. Kulturen'!A92," "))," ")</f>
        <v xml:space="preserve"> </v>
      </c>
      <c r="B212" s="505" t="str">
        <f>'Flächen u. Kulturen'!D92</f>
        <v/>
      </c>
      <c r="C212" s="42" t="str">
        <f>IF(A212=" "," ",'#BerechnungDBE'!AK87)</f>
        <v xml:space="preserve"> </v>
      </c>
      <c r="D212" s="42" t="str">
        <f>IF(A212=" "," ",'#BerechnungDBE'!CK87)</f>
        <v xml:space="preserve"> </v>
      </c>
      <c r="E212" s="42" t="str">
        <f t="shared" si="163"/>
        <v xml:space="preserve"> </v>
      </c>
      <c r="F212" s="869"/>
      <c r="G212" s="42" t="str">
        <f>IF(A212=" ","",'#BerechnungDBE'!CK87+'#BerechnungDBE'!CM87)</f>
        <v/>
      </c>
      <c r="H212" s="444" t="str">
        <f t="shared" si="152"/>
        <v/>
      </c>
      <c r="I212" s="444">
        <f>IF(A212=" ",0,'#minDung'!R93)</f>
        <v>0</v>
      </c>
      <c r="J212" s="430" t="str">
        <f t="shared" si="164"/>
        <v xml:space="preserve"> </v>
      </c>
      <c r="K212" s="444">
        <f>IF(A212=" ",0,'Flächen u. Kulturen'!W92)</f>
        <v>0</v>
      </c>
      <c r="L212" s="883" t="str">
        <f t="shared" si="141"/>
        <v/>
      </c>
      <c r="M212" s="444" t="str">
        <f t="shared" si="142"/>
        <v xml:space="preserve"> </v>
      </c>
      <c r="N212" s="444" t="str">
        <f t="shared" si="120"/>
        <v xml:space="preserve"> </v>
      </c>
      <c r="O212" s="911" t="str">
        <f t="shared" si="121"/>
        <v xml:space="preserve"> </v>
      </c>
      <c r="P212" s="912" t="str">
        <f t="shared" si="122"/>
        <v xml:space="preserve"> </v>
      </c>
      <c r="Q212" s="912" t="str">
        <f t="shared" si="123"/>
        <v xml:space="preserve"> </v>
      </c>
      <c r="R212" s="444" t="str">
        <f t="shared" si="143"/>
        <v/>
      </c>
      <c r="S212" s="444" t="str">
        <f t="shared" si="124"/>
        <v/>
      </c>
      <c r="T212" s="444" t="str">
        <f t="shared" si="144"/>
        <v xml:space="preserve"> </v>
      </c>
      <c r="U212" s="119" t="str">
        <f t="shared" si="125"/>
        <v xml:space="preserve"> </v>
      </c>
      <c r="V212" s="444" t="str">
        <f t="shared" si="153"/>
        <v xml:space="preserve"> </v>
      </c>
      <c r="W212" s="909" t="str">
        <f t="shared" si="154"/>
        <v xml:space="preserve"> </v>
      </c>
      <c r="X212" s="924" t="str">
        <f t="shared" si="126"/>
        <v xml:space="preserve"> </v>
      </c>
      <c r="Y212" s="444" t="str">
        <f t="shared" si="155"/>
        <v xml:space="preserve"> </v>
      </c>
      <c r="Z212" s="444" t="str">
        <f t="shared" si="156"/>
        <v xml:space="preserve"> </v>
      </c>
      <c r="AA212" s="444" t="str">
        <f t="shared" si="157"/>
        <v xml:space="preserve"> </v>
      </c>
      <c r="AB212" s="912" t="str">
        <f t="shared" si="158"/>
        <v xml:space="preserve"> </v>
      </c>
      <c r="AC212" s="912" t="str">
        <f t="shared" si="127"/>
        <v xml:space="preserve"> </v>
      </c>
      <c r="AD212" s="444" t="str">
        <f t="shared" si="159"/>
        <v xml:space="preserve"> </v>
      </c>
      <c r="AE212" s="444" t="str">
        <f t="shared" si="128"/>
        <v/>
      </c>
      <c r="AF212" s="444" t="str">
        <f t="shared" si="160"/>
        <v xml:space="preserve"> </v>
      </c>
      <c r="AG212" s="119" t="str">
        <f t="shared" si="129"/>
        <v xml:space="preserve"> </v>
      </c>
      <c r="AH212" s="444" t="str">
        <f t="shared" si="161"/>
        <v xml:space="preserve"> </v>
      </c>
      <c r="AI212" s="909" t="str">
        <f t="shared" si="162"/>
        <v xml:space="preserve"> </v>
      </c>
      <c r="AJ212" s="879" t="str">
        <f t="shared" si="165"/>
        <v xml:space="preserve"> </v>
      </c>
      <c r="AK212" s="444" t="str">
        <f t="shared" si="145"/>
        <v xml:space="preserve"> </v>
      </c>
      <c r="AL212" s="444" t="str">
        <f t="shared" si="146"/>
        <v xml:space="preserve"> </v>
      </c>
      <c r="AM212" s="444" t="str">
        <f t="shared" si="147"/>
        <v xml:space="preserve"> </v>
      </c>
      <c r="AN212" s="119" t="str">
        <f t="shared" si="148"/>
        <v xml:space="preserve"> </v>
      </c>
      <c r="AO212" s="444" t="str">
        <f t="shared" si="149"/>
        <v xml:space="preserve"> </v>
      </c>
      <c r="AP212" s="444" t="str">
        <f t="shared" si="150"/>
        <v xml:space="preserve"> </v>
      </c>
      <c r="AQ212" s="123" t="str">
        <f>IF(A212=" "," ",IF('#orgDung'!AF96=0,0,AO212/'#orgDung'!AF96))</f>
        <v xml:space="preserve"> </v>
      </c>
      <c r="AR212" s="47" t="str">
        <f>IF(A212=" "," ",IF('#orgDung'!AF96=0,0,AP212/'#orgDung'!AF96))</f>
        <v xml:space="preserve"> </v>
      </c>
      <c r="AS212" s="890">
        <f>IF(OR(B212=0,B212=""),0,MAX('Flächen u. Kulturen'!W92,AT212/B212))</f>
        <v>0</v>
      </c>
      <c r="AT212" s="875">
        <f t="shared" si="151"/>
        <v>0</v>
      </c>
      <c r="AU212" s="120"/>
    </row>
    <row r="213" spans="1:47" s="875" customFormat="1" x14ac:dyDescent="0.2">
      <c r="A213" s="42" t="str">
        <f>IF('Flächen u. Kulturen'!E93="x",IF(AND('#Kürzungen'!$F$2=2,'#BerechnungDBE'!R88=1,'Flächen u. Kulturen'!D93&lt;&gt;"",'#BerechnungDBE'!AF88=70),'Flächen u. Kulturen'!A93,IF(AND('#BerechnungDBE'!S88=1,'Flächen u. Kulturen'!D93&lt;&gt;"",'#BerechnungDBE'!AF88=70),'Flächen u. Kulturen'!A93," "))," ")</f>
        <v xml:space="preserve"> </v>
      </c>
      <c r="B213" s="505" t="str">
        <f>'Flächen u. Kulturen'!D93</f>
        <v/>
      </c>
      <c r="C213" s="42" t="str">
        <f>IF(A213=" "," ",'#BerechnungDBE'!AK88)</f>
        <v xml:space="preserve"> </v>
      </c>
      <c r="D213" s="42" t="str">
        <f>IF(A213=" "," ",'#BerechnungDBE'!CK88)</f>
        <v xml:space="preserve"> </v>
      </c>
      <c r="E213" s="42" t="str">
        <f t="shared" si="163"/>
        <v xml:space="preserve"> </v>
      </c>
      <c r="F213" s="869"/>
      <c r="G213" s="42" t="str">
        <f>IF(A213=" ","",'#BerechnungDBE'!CK88+'#BerechnungDBE'!CM88)</f>
        <v/>
      </c>
      <c r="H213" s="444" t="str">
        <f t="shared" si="152"/>
        <v/>
      </c>
      <c r="I213" s="444">
        <f>IF(A213=" ",0,'#minDung'!R94)</f>
        <v>0</v>
      </c>
      <c r="J213" s="430" t="str">
        <f t="shared" si="164"/>
        <v xml:space="preserve"> </v>
      </c>
      <c r="K213" s="444">
        <f>IF(A213=" ",0,'Flächen u. Kulturen'!W93)</f>
        <v>0</v>
      </c>
      <c r="L213" s="883" t="str">
        <f t="shared" si="141"/>
        <v/>
      </c>
      <c r="M213" s="444" t="str">
        <f t="shared" si="142"/>
        <v xml:space="preserve"> </v>
      </c>
      <c r="N213" s="444" t="str">
        <f t="shared" si="120"/>
        <v xml:space="preserve"> </v>
      </c>
      <c r="O213" s="911" t="str">
        <f t="shared" si="121"/>
        <v xml:space="preserve"> </v>
      </c>
      <c r="P213" s="912" t="str">
        <f t="shared" si="122"/>
        <v xml:space="preserve"> </v>
      </c>
      <c r="Q213" s="912" t="str">
        <f t="shared" si="123"/>
        <v xml:space="preserve"> </v>
      </c>
      <c r="R213" s="444" t="str">
        <f t="shared" si="143"/>
        <v/>
      </c>
      <c r="S213" s="444" t="str">
        <f t="shared" si="124"/>
        <v/>
      </c>
      <c r="T213" s="444" t="str">
        <f t="shared" si="144"/>
        <v xml:space="preserve"> </v>
      </c>
      <c r="U213" s="119" t="str">
        <f t="shared" si="125"/>
        <v xml:space="preserve"> </v>
      </c>
      <c r="V213" s="444" t="str">
        <f t="shared" si="153"/>
        <v xml:space="preserve"> </v>
      </c>
      <c r="W213" s="909" t="str">
        <f t="shared" si="154"/>
        <v xml:space="preserve"> </v>
      </c>
      <c r="X213" s="924" t="str">
        <f t="shared" si="126"/>
        <v xml:space="preserve"> </v>
      </c>
      <c r="Y213" s="444" t="str">
        <f t="shared" si="155"/>
        <v xml:space="preserve"> </v>
      </c>
      <c r="Z213" s="444" t="str">
        <f t="shared" si="156"/>
        <v xml:space="preserve"> </v>
      </c>
      <c r="AA213" s="444" t="str">
        <f t="shared" si="157"/>
        <v xml:space="preserve"> </v>
      </c>
      <c r="AB213" s="912" t="str">
        <f t="shared" si="158"/>
        <v xml:space="preserve"> </v>
      </c>
      <c r="AC213" s="912" t="str">
        <f t="shared" si="127"/>
        <v xml:space="preserve"> </v>
      </c>
      <c r="AD213" s="444" t="str">
        <f t="shared" si="159"/>
        <v xml:space="preserve"> </v>
      </c>
      <c r="AE213" s="444" t="str">
        <f t="shared" si="128"/>
        <v/>
      </c>
      <c r="AF213" s="444" t="str">
        <f t="shared" si="160"/>
        <v xml:space="preserve"> </v>
      </c>
      <c r="AG213" s="119" t="str">
        <f t="shared" si="129"/>
        <v xml:space="preserve"> </v>
      </c>
      <c r="AH213" s="444" t="str">
        <f t="shared" si="161"/>
        <v xml:space="preserve"> </v>
      </c>
      <c r="AI213" s="909" t="str">
        <f t="shared" si="162"/>
        <v xml:space="preserve"> </v>
      </c>
      <c r="AJ213" s="879" t="str">
        <f t="shared" si="165"/>
        <v xml:space="preserve"> </v>
      </c>
      <c r="AK213" s="444" t="str">
        <f t="shared" si="145"/>
        <v xml:space="preserve"> </v>
      </c>
      <c r="AL213" s="444" t="str">
        <f t="shared" si="146"/>
        <v xml:space="preserve"> </v>
      </c>
      <c r="AM213" s="444" t="str">
        <f t="shared" si="147"/>
        <v xml:space="preserve"> </v>
      </c>
      <c r="AN213" s="119" t="str">
        <f t="shared" si="148"/>
        <v xml:space="preserve"> </v>
      </c>
      <c r="AO213" s="444" t="str">
        <f t="shared" si="149"/>
        <v xml:space="preserve"> </v>
      </c>
      <c r="AP213" s="444" t="str">
        <f t="shared" si="150"/>
        <v xml:space="preserve"> </v>
      </c>
      <c r="AQ213" s="123" t="str">
        <f>IF(A213=" "," ",IF('#orgDung'!AF97=0,0,AO213/'#orgDung'!AF97))</f>
        <v xml:space="preserve"> </v>
      </c>
      <c r="AR213" s="47" t="str">
        <f>IF(A213=" "," ",IF('#orgDung'!AF97=0,0,AP213/'#orgDung'!AF97))</f>
        <v xml:space="preserve"> </v>
      </c>
      <c r="AS213" s="890">
        <f>IF(OR(B213=0,B213=""),0,MAX('Flächen u. Kulturen'!W93,AT213/B213))</f>
        <v>0</v>
      </c>
      <c r="AT213" s="875">
        <f t="shared" si="151"/>
        <v>0</v>
      </c>
      <c r="AU213" s="120"/>
    </row>
    <row r="214" spans="1:47" s="875" customFormat="1" x14ac:dyDescent="0.2">
      <c r="A214" s="42" t="str">
        <f>IF('Flächen u. Kulturen'!E94="x",IF(AND('#Kürzungen'!$F$2=2,'#BerechnungDBE'!R89=1,'Flächen u. Kulturen'!D94&lt;&gt;"",'#BerechnungDBE'!AF89=70),'Flächen u. Kulturen'!A94,IF(AND('#BerechnungDBE'!S89=1,'Flächen u. Kulturen'!D94&lt;&gt;"",'#BerechnungDBE'!AF89=70),'Flächen u. Kulturen'!A94," "))," ")</f>
        <v xml:space="preserve"> </v>
      </c>
      <c r="B214" s="505" t="str">
        <f>'Flächen u. Kulturen'!D94</f>
        <v/>
      </c>
      <c r="C214" s="42" t="str">
        <f>IF(A214=" "," ",'#BerechnungDBE'!AK89)</f>
        <v xml:space="preserve"> </v>
      </c>
      <c r="D214" s="42" t="str">
        <f>IF(A214=" "," ",'#BerechnungDBE'!CK89)</f>
        <v xml:space="preserve"> </v>
      </c>
      <c r="E214" s="42" t="str">
        <f t="shared" si="163"/>
        <v xml:space="preserve"> </v>
      </c>
      <c r="F214" s="869"/>
      <c r="G214" s="42" t="str">
        <f>IF(A214=" ","",'#BerechnungDBE'!CK89+'#BerechnungDBE'!CM89)</f>
        <v/>
      </c>
      <c r="H214" s="444" t="str">
        <f t="shared" si="152"/>
        <v/>
      </c>
      <c r="I214" s="444">
        <f>IF(A214=" ",0,'#minDung'!R95)</f>
        <v>0</v>
      </c>
      <c r="J214" s="430" t="str">
        <f t="shared" si="164"/>
        <v xml:space="preserve"> </v>
      </c>
      <c r="K214" s="444">
        <f>IF(A214=" ",0,'Flächen u. Kulturen'!W94)</f>
        <v>0</v>
      </c>
      <c r="L214" s="883" t="str">
        <f t="shared" si="141"/>
        <v/>
      </c>
      <c r="M214" s="444" t="str">
        <f t="shared" si="142"/>
        <v xml:space="preserve"> </v>
      </c>
      <c r="N214" s="444" t="str">
        <f t="shared" si="120"/>
        <v xml:space="preserve"> </v>
      </c>
      <c r="O214" s="911" t="str">
        <f t="shared" si="121"/>
        <v xml:space="preserve"> </v>
      </c>
      <c r="P214" s="912" t="str">
        <f t="shared" si="122"/>
        <v xml:space="preserve"> </v>
      </c>
      <c r="Q214" s="912" t="str">
        <f t="shared" si="123"/>
        <v xml:space="preserve"> </v>
      </c>
      <c r="R214" s="444" t="str">
        <f t="shared" si="143"/>
        <v/>
      </c>
      <c r="S214" s="444" t="str">
        <f t="shared" si="124"/>
        <v/>
      </c>
      <c r="T214" s="444" t="str">
        <f t="shared" si="144"/>
        <v xml:space="preserve"> </v>
      </c>
      <c r="U214" s="119" t="str">
        <f t="shared" si="125"/>
        <v xml:space="preserve"> </v>
      </c>
      <c r="V214" s="444" t="str">
        <f t="shared" si="153"/>
        <v xml:space="preserve"> </v>
      </c>
      <c r="W214" s="909" t="str">
        <f t="shared" si="154"/>
        <v xml:space="preserve"> </v>
      </c>
      <c r="X214" s="924" t="str">
        <f t="shared" si="126"/>
        <v xml:space="preserve"> </v>
      </c>
      <c r="Y214" s="444" t="str">
        <f t="shared" si="155"/>
        <v xml:space="preserve"> </v>
      </c>
      <c r="Z214" s="444" t="str">
        <f t="shared" si="156"/>
        <v xml:space="preserve"> </v>
      </c>
      <c r="AA214" s="444" t="str">
        <f t="shared" si="157"/>
        <v xml:space="preserve"> </v>
      </c>
      <c r="AB214" s="912" t="str">
        <f t="shared" si="158"/>
        <v xml:space="preserve"> </v>
      </c>
      <c r="AC214" s="912" t="str">
        <f t="shared" si="127"/>
        <v xml:space="preserve"> </v>
      </c>
      <c r="AD214" s="444" t="str">
        <f t="shared" si="159"/>
        <v xml:space="preserve"> </v>
      </c>
      <c r="AE214" s="444" t="str">
        <f t="shared" si="128"/>
        <v/>
      </c>
      <c r="AF214" s="444" t="str">
        <f t="shared" si="160"/>
        <v xml:space="preserve"> </v>
      </c>
      <c r="AG214" s="119" t="str">
        <f t="shared" si="129"/>
        <v xml:space="preserve"> </v>
      </c>
      <c r="AH214" s="444" t="str">
        <f t="shared" si="161"/>
        <v xml:space="preserve"> </v>
      </c>
      <c r="AI214" s="909" t="str">
        <f t="shared" si="162"/>
        <v xml:space="preserve"> </v>
      </c>
      <c r="AJ214" s="879" t="str">
        <f t="shared" si="165"/>
        <v xml:space="preserve"> </v>
      </c>
      <c r="AK214" s="444" t="str">
        <f t="shared" si="145"/>
        <v xml:space="preserve"> </v>
      </c>
      <c r="AL214" s="444" t="str">
        <f t="shared" si="146"/>
        <v xml:space="preserve"> </v>
      </c>
      <c r="AM214" s="444" t="str">
        <f t="shared" si="147"/>
        <v xml:space="preserve"> </v>
      </c>
      <c r="AN214" s="119" t="str">
        <f t="shared" si="148"/>
        <v xml:space="preserve"> </v>
      </c>
      <c r="AO214" s="444" t="str">
        <f t="shared" si="149"/>
        <v xml:space="preserve"> </v>
      </c>
      <c r="AP214" s="444" t="str">
        <f t="shared" si="150"/>
        <v xml:space="preserve"> </v>
      </c>
      <c r="AQ214" s="123" t="str">
        <f>IF(A214=" "," ",IF('#orgDung'!AF98=0,0,AO214/'#orgDung'!AF98))</f>
        <v xml:space="preserve"> </v>
      </c>
      <c r="AR214" s="47" t="str">
        <f>IF(A214=" "," ",IF('#orgDung'!AF98=0,0,AP214/'#orgDung'!AF98))</f>
        <v xml:space="preserve"> </v>
      </c>
      <c r="AS214" s="890">
        <f>IF(OR(B214=0,B214=""),0,MAX('Flächen u. Kulturen'!W94,AT214/B214))</f>
        <v>0</v>
      </c>
      <c r="AT214" s="875">
        <f t="shared" si="151"/>
        <v>0</v>
      </c>
      <c r="AU214" s="120"/>
    </row>
    <row r="215" spans="1:47" s="875" customFormat="1" x14ac:dyDescent="0.2">
      <c r="A215" s="42" t="str">
        <f>IF('Flächen u. Kulturen'!E95="x",IF(AND('#Kürzungen'!$F$2=2,'#BerechnungDBE'!R90=1,'Flächen u. Kulturen'!D95&lt;&gt;"",'#BerechnungDBE'!AF90=70),'Flächen u. Kulturen'!A95,IF(AND('#BerechnungDBE'!S90=1,'Flächen u. Kulturen'!D95&lt;&gt;"",'#BerechnungDBE'!AF90=70),'Flächen u. Kulturen'!A95," "))," ")</f>
        <v xml:space="preserve"> </v>
      </c>
      <c r="B215" s="505" t="str">
        <f>'Flächen u. Kulturen'!D95</f>
        <v/>
      </c>
      <c r="C215" s="42" t="str">
        <f>IF(A215=" "," ",'#BerechnungDBE'!AK90)</f>
        <v xml:space="preserve"> </v>
      </c>
      <c r="D215" s="42" t="str">
        <f>IF(A215=" "," ",'#BerechnungDBE'!CK90)</f>
        <v xml:space="preserve"> </v>
      </c>
      <c r="E215" s="42" t="str">
        <f t="shared" si="163"/>
        <v xml:space="preserve"> </v>
      </c>
      <c r="F215" s="869"/>
      <c r="G215" s="42" t="str">
        <f>IF(A215=" ","",'#BerechnungDBE'!CK90+'#BerechnungDBE'!CM90)</f>
        <v/>
      </c>
      <c r="H215" s="444" t="str">
        <f t="shared" si="152"/>
        <v/>
      </c>
      <c r="I215" s="444">
        <f>IF(A215=" ",0,'#minDung'!R96)</f>
        <v>0</v>
      </c>
      <c r="J215" s="430" t="str">
        <f t="shared" si="164"/>
        <v xml:space="preserve"> </v>
      </c>
      <c r="K215" s="444">
        <f>IF(A215=" ",0,'Flächen u. Kulturen'!W95)</f>
        <v>0</v>
      </c>
      <c r="L215" s="883" t="str">
        <f t="shared" si="141"/>
        <v/>
      </c>
      <c r="M215" s="444" t="str">
        <f t="shared" si="142"/>
        <v xml:space="preserve"> </v>
      </c>
      <c r="N215" s="444" t="str">
        <f t="shared" si="120"/>
        <v xml:space="preserve"> </v>
      </c>
      <c r="O215" s="911" t="str">
        <f t="shared" si="121"/>
        <v xml:space="preserve"> </v>
      </c>
      <c r="P215" s="912" t="str">
        <f t="shared" si="122"/>
        <v xml:space="preserve"> </v>
      </c>
      <c r="Q215" s="912" t="str">
        <f t="shared" si="123"/>
        <v xml:space="preserve"> </v>
      </c>
      <c r="R215" s="444" t="str">
        <f t="shared" si="143"/>
        <v/>
      </c>
      <c r="S215" s="444" t="str">
        <f t="shared" si="124"/>
        <v/>
      </c>
      <c r="T215" s="444" t="str">
        <f t="shared" si="144"/>
        <v xml:space="preserve"> </v>
      </c>
      <c r="U215" s="119" t="str">
        <f t="shared" si="125"/>
        <v xml:space="preserve"> </v>
      </c>
      <c r="V215" s="444" t="str">
        <f t="shared" si="153"/>
        <v xml:space="preserve"> </v>
      </c>
      <c r="W215" s="909" t="str">
        <f t="shared" si="154"/>
        <v xml:space="preserve"> </v>
      </c>
      <c r="X215" s="924" t="str">
        <f t="shared" si="126"/>
        <v xml:space="preserve"> </v>
      </c>
      <c r="Y215" s="444" t="str">
        <f t="shared" si="155"/>
        <v xml:space="preserve"> </v>
      </c>
      <c r="Z215" s="444" t="str">
        <f t="shared" si="156"/>
        <v xml:space="preserve"> </v>
      </c>
      <c r="AA215" s="444" t="str">
        <f t="shared" si="157"/>
        <v xml:space="preserve"> </v>
      </c>
      <c r="AB215" s="912" t="str">
        <f t="shared" si="158"/>
        <v xml:space="preserve"> </v>
      </c>
      <c r="AC215" s="912" t="str">
        <f t="shared" si="127"/>
        <v xml:space="preserve"> </v>
      </c>
      <c r="AD215" s="444" t="str">
        <f t="shared" si="159"/>
        <v xml:space="preserve"> </v>
      </c>
      <c r="AE215" s="444" t="str">
        <f t="shared" si="128"/>
        <v/>
      </c>
      <c r="AF215" s="444" t="str">
        <f t="shared" si="160"/>
        <v xml:space="preserve"> </v>
      </c>
      <c r="AG215" s="119" t="str">
        <f t="shared" si="129"/>
        <v xml:space="preserve"> </v>
      </c>
      <c r="AH215" s="444" t="str">
        <f t="shared" si="161"/>
        <v xml:space="preserve"> </v>
      </c>
      <c r="AI215" s="909" t="str">
        <f t="shared" si="162"/>
        <v xml:space="preserve"> </v>
      </c>
      <c r="AJ215" s="879" t="str">
        <f t="shared" si="165"/>
        <v xml:space="preserve"> </v>
      </c>
      <c r="AK215" s="444" t="str">
        <f t="shared" si="145"/>
        <v xml:space="preserve"> </v>
      </c>
      <c r="AL215" s="444" t="str">
        <f t="shared" si="146"/>
        <v xml:space="preserve"> </v>
      </c>
      <c r="AM215" s="444" t="str">
        <f t="shared" si="147"/>
        <v xml:space="preserve"> </v>
      </c>
      <c r="AN215" s="119" t="str">
        <f t="shared" si="148"/>
        <v xml:space="preserve"> </v>
      </c>
      <c r="AO215" s="444" t="str">
        <f t="shared" si="149"/>
        <v xml:space="preserve"> </v>
      </c>
      <c r="AP215" s="444" t="str">
        <f t="shared" si="150"/>
        <v xml:space="preserve"> </v>
      </c>
      <c r="AQ215" s="123" t="str">
        <f>IF(A215=" "," ",IF('#orgDung'!AF99=0,0,AO215/'#orgDung'!AF99))</f>
        <v xml:space="preserve"> </v>
      </c>
      <c r="AR215" s="47" t="str">
        <f>IF(A215=" "," ",IF('#orgDung'!AF99=0,0,AP215/'#orgDung'!AF99))</f>
        <v xml:space="preserve"> </v>
      </c>
      <c r="AS215" s="890">
        <f>IF(OR(B215=0,B215=""),0,MAX('Flächen u. Kulturen'!W95,AT215/B215))</f>
        <v>0</v>
      </c>
      <c r="AT215" s="875">
        <f t="shared" si="151"/>
        <v>0</v>
      </c>
      <c r="AU215" s="120"/>
    </row>
    <row r="216" spans="1:47" s="875" customFormat="1" x14ac:dyDescent="0.2">
      <c r="A216" s="42" t="str">
        <f>IF('Flächen u. Kulturen'!E96="x",IF(AND('#Kürzungen'!$F$2=2,'#BerechnungDBE'!R91=1,'Flächen u. Kulturen'!D96&lt;&gt;"",'#BerechnungDBE'!AF91=70),'Flächen u. Kulturen'!A96,IF(AND('#BerechnungDBE'!S91=1,'Flächen u. Kulturen'!D96&lt;&gt;"",'#BerechnungDBE'!AF91=70),'Flächen u. Kulturen'!A96," "))," ")</f>
        <v xml:space="preserve"> </v>
      </c>
      <c r="B216" s="505" t="str">
        <f>'Flächen u. Kulturen'!D96</f>
        <v/>
      </c>
      <c r="C216" s="42" t="str">
        <f>IF(A216=" "," ",'#BerechnungDBE'!AK91)</f>
        <v xml:space="preserve"> </v>
      </c>
      <c r="D216" s="42" t="str">
        <f>IF(A216=" "," ",'#BerechnungDBE'!CK91)</f>
        <v xml:space="preserve"> </v>
      </c>
      <c r="E216" s="42" t="str">
        <f t="shared" si="163"/>
        <v xml:space="preserve"> </v>
      </c>
      <c r="F216" s="869"/>
      <c r="G216" s="42" t="str">
        <f>IF(A216=" ","",'#BerechnungDBE'!CK91+'#BerechnungDBE'!CM91)</f>
        <v/>
      </c>
      <c r="H216" s="444" t="str">
        <f t="shared" si="152"/>
        <v/>
      </c>
      <c r="I216" s="444">
        <f>IF(A216=" ",0,'#minDung'!R97)</f>
        <v>0</v>
      </c>
      <c r="J216" s="430" t="str">
        <f t="shared" si="164"/>
        <v xml:space="preserve"> </v>
      </c>
      <c r="K216" s="444">
        <f>IF(A216=" ",0,'Flächen u. Kulturen'!W96)</f>
        <v>0</v>
      </c>
      <c r="L216" s="883" t="str">
        <f t="shared" si="141"/>
        <v/>
      </c>
      <c r="M216" s="444" t="str">
        <f t="shared" si="142"/>
        <v xml:space="preserve"> </v>
      </c>
      <c r="N216" s="444" t="str">
        <f t="shared" si="120"/>
        <v xml:space="preserve"> </v>
      </c>
      <c r="O216" s="911" t="str">
        <f t="shared" si="121"/>
        <v xml:space="preserve"> </v>
      </c>
      <c r="P216" s="912" t="str">
        <f t="shared" si="122"/>
        <v xml:space="preserve"> </v>
      </c>
      <c r="Q216" s="912" t="str">
        <f t="shared" si="123"/>
        <v xml:space="preserve"> </v>
      </c>
      <c r="R216" s="444" t="str">
        <f t="shared" si="143"/>
        <v/>
      </c>
      <c r="S216" s="444" t="str">
        <f t="shared" si="124"/>
        <v/>
      </c>
      <c r="T216" s="444" t="str">
        <f t="shared" si="144"/>
        <v xml:space="preserve"> </v>
      </c>
      <c r="U216" s="119" t="str">
        <f t="shared" si="125"/>
        <v xml:space="preserve"> </v>
      </c>
      <c r="V216" s="444" t="str">
        <f t="shared" si="153"/>
        <v xml:space="preserve"> </v>
      </c>
      <c r="W216" s="909" t="str">
        <f t="shared" si="154"/>
        <v xml:space="preserve"> </v>
      </c>
      <c r="X216" s="924" t="str">
        <f t="shared" si="126"/>
        <v xml:space="preserve"> </v>
      </c>
      <c r="Y216" s="444" t="str">
        <f t="shared" si="155"/>
        <v xml:space="preserve"> </v>
      </c>
      <c r="Z216" s="444" t="str">
        <f t="shared" si="156"/>
        <v xml:space="preserve"> </v>
      </c>
      <c r="AA216" s="444" t="str">
        <f t="shared" si="157"/>
        <v xml:space="preserve"> </v>
      </c>
      <c r="AB216" s="912" t="str">
        <f t="shared" si="158"/>
        <v xml:space="preserve"> </v>
      </c>
      <c r="AC216" s="912" t="str">
        <f t="shared" si="127"/>
        <v xml:space="preserve"> </v>
      </c>
      <c r="AD216" s="444" t="str">
        <f t="shared" si="159"/>
        <v xml:space="preserve"> </v>
      </c>
      <c r="AE216" s="444" t="str">
        <f t="shared" si="128"/>
        <v/>
      </c>
      <c r="AF216" s="444" t="str">
        <f t="shared" si="160"/>
        <v xml:space="preserve"> </v>
      </c>
      <c r="AG216" s="119" t="str">
        <f t="shared" si="129"/>
        <v xml:space="preserve"> </v>
      </c>
      <c r="AH216" s="444" t="str">
        <f t="shared" si="161"/>
        <v xml:space="preserve"> </v>
      </c>
      <c r="AI216" s="909" t="str">
        <f t="shared" si="162"/>
        <v xml:space="preserve"> </v>
      </c>
      <c r="AJ216" s="879" t="str">
        <f t="shared" si="165"/>
        <v xml:space="preserve"> </v>
      </c>
      <c r="AK216" s="444" t="str">
        <f t="shared" si="145"/>
        <v xml:space="preserve"> </v>
      </c>
      <c r="AL216" s="444" t="str">
        <f t="shared" si="146"/>
        <v xml:space="preserve"> </v>
      </c>
      <c r="AM216" s="444" t="str">
        <f t="shared" si="147"/>
        <v xml:space="preserve"> </v>
      </c>
      <c r="AN216" s="119" t="str">
        <f t="shared" si="148"/>
        <v xml:space="preserve"> </v>
      </c>
      <c r="AO216" s="444" t="str">
        <f t="shared" si="149"/>
        <v xml:space="preserve"> </v>
      </c>
      <c r="AP216" s="444" t="str">
        <f t="shared" si="150"/>
        <v xml:space="preserve"> </v>
      </c>
      <c r="AQ216" s="123" t="str">
        <f>IF(A216=" "," ",IF('#orgDung'!AF100=0,0,AO216/'#orgDung'!AF100))</f>
        <v xml:space="preserve"> </v>
      </c>
      <c r="AR216" s="47" t="str">
        <f>IF(A216=" "," ",IF('#orgDung'!AF100=0,0,AP216/'#orgDung'!AF100))</f>
        <v xml:space="preserve"> </v>
      </c>
      <c r="AS216" s="890">
        <f>IF(OR(B216=0,B216=""),0,MAX('Flächen u. Kulturen'!W96,AT216/B216))</f>
        <v>0</v>
      </c>
      <c r="AT216" s="875">
        <f t="shared" si="151"/>
        <v>0</v>
      </c>
      <c r="AU216" s="120"/>
    </row>
    <row r="217" spans="1:47" s="875" customFormat="1" x14ac:dyDescent="0.2">
      <c r="A217" s="42" t="str">
        <f>IF('Flächen u. Kulturen'!E97="x",IF(AND('#Kürzungen'!$F$2=2,'#BerechnungDBE'!R92=1,'Flächen u. Kulturen'!D97&lt;&gt;"",'#BerechnungDBE'!AF92=70),'Flächen u. Kulturen'!A97,IF(AND('#BerechnungDBE'!S92=1,'Flächen u. Kulturen'!D97&lt;&gt;"",'#BerechnungDBE'!AF92=70),'Flächen u. Kulturen'!A97," "))," ")</f>
        <v xml:space="preserve"> </v>
      </c>
      <c r="B217" s="505" t="str">
        <f>'Flächen u. Kulturen'!D97</f>
        <v/>
      </c>
      <c r="C217" s="42" t="str">
        <f>IF(A217=" "," ",'#BerechnungDBE'!AK92)</f>
        <v xml:space="preserve"> </v>
      </c>
      <c r="D217" s="42" t="str">
        <f>IF(A217=" "," ",'#BerechnungDBE'!CK92)</f>
        <v xml:space="preserve"> </v>
      </c>
      <c r="E217" s="42" t="str">
        <f t="shared" si="163"/>
        <v xml:space="preserve"> </v>
      </c>
      <c r="F217" s="869"/>
      <c r="G217" s="42" t="str">
        <f>IF(A217=" ","",'#BerechnungDBE'!CK92+'#BerechnungDBE'!CM92)</f>
        <v/>
      </c>
      <c r="H217" s="444" t="str">
        <f t="shared" si="152"/>
        <v/>
      </c>
      <c r="I217" s="444">
        <f>IF(A217=" ",0,'#minDung'!R98)</f>
        <v>0</v>
      </c>
      <c r="J217" s="430" t="str">
        <f t="shared" si="164"/>
        <v xml:space="preserve"> </v>
      </c>
      <c r="K217" s="444">
        <f>IF(A217=" ",0,'Flächen u. Kulturen'!W97)</f>
        <v>0</v>
      </c>
      <c r="L217" s="883" t="str">
        <f t="shared" si="141"/>
        <v/>
      </c>
      <c r="M217" s="444" t="str">
        <f t="shared" si="142"/>
        <v xml:space="preserve"> </v>
      </c>
      <c r="N217" s="444" t="str">
        <f t="shared" si="120"/>
        <v xml:space="preserve"> </v>
      </c>
      <c r="O217" s="911" t="str">
        <f t="shared" si="121"/>
        <v xml:space="preserve"> </v>
      </c>
      <c r="P217" s="912" t="str">
        <f t="shared" si="122"/>
        <v xml:space="preserve"> </v>
      </c>
      <c r="Q217" s="912" t="str">
        <f t="shared" si="123"/>
        <v xml:space="preserve"> </v>
      </c>
      <c r="R217" s="444" t="str">
        <f t="shared" si="143"/>
        <v/>
      </c>
      <c r="S217" s="444" t="str">
        <f t="shared" si="124"/>
        <v/>
      </c>
      <c r="T217" s="444" t="str">
        <f t="shared" si="144"/>
        <v xml:space="preserve"> </v>
      </c>
      <c r="U217" s="119" t="str">
        <f t="shared" si="125"/>
        <v xml:space="preserve"> </v>
      </c>
      <c r="V217" s="444" t="str">
        <f t="shared" si="153"/>
        <v xml:space="preserve"> </v>
      </c>
      <c r="W217" s="909" t="str">
        <f t="shared" si="154"/>
        <v xml:space="preserve"> </v>
      </c>
      <c r="X217" s="924" t="str">
        <f t="shared" si="126"/>
        <v xml:space="preserve"> </v>
      </c>
      <c r="Y217" s="444" t="str">
        <f t="shared" si="155"/>
        <v xml:space="preserve"> </v>
      </c>
      <c r="Z217" s="444" t="str">
        <f t="shared" si="156"/>
        <v xml:space="preserve"> </v>
      </c>
      <c r="AA217" s="444" t="str">
        <f t="shared" si="157"/>
        <v xml:space="preserve"> </v>
      </c>
      <c r="AB217" s="912" t="str">
        <f t="shared" si="158"/>
        <v xml:space="preserve"> </v>
      </c>
      <c r="AC217" s="912" t="str">
        <f t="shared" si="127"/>
        <v xml:space="preserve"> </v>
      </c>
      <c r="AD217" s="444" t="str">
        <f t="shared" si="159"/>
        <v xml:space="preserve"> </v>
      </c>
      <c r="AE217" s="444" t="str">
        <f t="shared" si="128"/>
        <v/>
      </c>
      <c r="AF217" s="444" t="str">
        <f t="shared" si="160"/>
        <v xml:space="preserve"> </v>
      </c>
      <c r="AG217" s="119" t="str">
        <f t="shared" si="129"/>
        <v xml:space="preserve"> </v>
      </c>
      <c r="AH217" s="444" t="str">
        <f t="shared" si="161"/>
        <v xml:space="preserve"> </v>
      </c>
      <c r="AI217" s="909" t="str">
        <f t="shared" si="162"/>
        <v xml:space="preserve"> </v>
      </c>
      <c r="AJ217" s="879" t="str">
        <f t="shared" si="165"/>
        <v xml:space="preserve"> </v>
      </c>
      <c r="AK217" s="444" t="str">
        <f t="shared" si="145"/>
        <v xml:space="preserve"> </v>
      </c>
      <c r="AL217" s="444" t="str">
        <f t="shared" si="146"/>
        <v xml:space="preserve"> </v>
      </c>
      <c r="AM217" s="444" t="str">
        <f t="shared" si="147"/>
        <v xml:space="preserve"> </v>
      </c>
      <c r="AN217" s="119" t="str">
        <f t="shared" si="148"/>
        <v xml:space="preserve"> </v>
      </c>
      <c r="AO217" s="444" t="str">
        <f t="shared" si="149"/>
        <v xml:space="preserve"> </v>
      </c>
      <c r="AP217" s="444" t="str">
        <f t="shared" si="150"/>
        <v xml:space="preserve"> </v>
      </c>
      <c r="AQ217" s="123" t="str">
        <f>IF(A217=" "," ",IF('#orgDung'!AF101=0,0,AO217/'#orgDung'!AF101))</f>
        <v xml:space="preserve"> </v>
      </c>
      <c r="AR217" s="47" t="str">
        <f>IF(A217=" "," ",IF('#orgDung'!AF101=0,0,AP217/'#orgDung'!AF101))</f>
        <v xml:space="preserve"> </v>
      </c>
      <c r="AS217" s="890">
        <f>IF(OR(B217=0,B217=""),0,MAX('Flächen u. Kulturen'!W97,AT217/B217))</f>
        <v>0</v>
      </c>
      <c r="AT217" s="875">
        <f t="shared" si="151"/>
        <v>0</v>
      </c>
      <c r="AU217" s="120"/>
    </row>
    <row r="218" spans="1:47" s="875" customFormat="1" x14ac:dyDescent="0.2">
      <c r="A218" s="42" t="str">
        <f>IF('Flächen u. Kulturen'!E98="x",IF(AND('#Kürzungen'!$F$2=2,'#BerechnungDBE'!R93=1,'Flächen u. Kulturen'!D98&lt;&gt;"",'#BerechnungDBE'!AF93=70),'Flächen u. Kulturen'!A98,IF(AND('#BerechnungDBE'!S93=1,'Flächen u. Kulturen'!D98&lt;&gt;"",'#BerechnungDBE'!AF93=70),'Flächen u. Kulturen'!A98," "))," ")</f>
        <v xml:space="preserve"> </v>
      </c>
      <c r="B218" s="505" t="str">
        <f>'Flächen u. Kulturen'!D98</f>
        <v/>
      </c>
      <c r="C218" s="42" t="str">
        <f>IF(A218=" "," ",'#BerechnungDBE'!AK93)</f>
        <v xml:space="preserve"> </v>
      </c>
      <c r="D218" s="42" t="str">
        <f>IF(A218=" "," ",'#BerechnungDBE'!CK93)</f>
        <v xml:space="preserve"> </v>
      </c>
      <c r="E218" s="42" t="str">
        <f t="shared" si="163"/>
        <v xml:space="preserve"> </v>
      </c>
      <c r="F218" s="869"/>
      <c r="G218" s="42" t="str">
        <f>IF(A218=" ","",'#BerechnungDBE'!CK93+'#BerechnungDBE'!CM93)</f>
        <v/>
      </c>
      <c r="H218" s="444" t="str">
        <f t="shared" si="152"/>
        <v/>
      </c>
      <c r="I218" s="444">
        <f>IF(A218=" ",0,'#minDung'!R99)</f>
        <v>0</v>
      </c>
      <c r="J218" s="430" t="str">
        <f t="shared" si="164"/>
        <v xml:space="preserve"> </v>
      </c>
      <c r="K218" s="444">
        <f>IF(A218=" ",0,'Flächen u. Kulturen'!W98)</f>
        <v>0</v>
      </c>
      <c r="L218" s="883" t="str">
        <f t="shared" si="141"/>
        <v/>
      </c>
      <c r="M218" s="444" t="str">
        <f t="shared" si="142"/>
        <v xml:space="preserve"> </v>
      </c>
      <c r="N218" s="444" t="str">
        <f t="shared" si="120"/>
        <v xml:space="preserve"> </v>
      </c>
      <c r="O218" s="911" t="str">
        <f t="shared" si="121"/>
        <v xml:space="preserve"> </v>
      </c>
      <c r="P218" s="912" t="str">
        <f t="shared" si="122"/>
        <v xml:space="preserve"> </v>
      </c>
      <c r="Q218" s="912" t="str">
        <f t="shared" si="123"/>
        <v xml:space="preserve"> </v>
      </c>
      <c r="R218" s="444" t="str">
        <f t="shared" si="143"/>
        <v/>
      </c>
      <c r="S218" s="444" t="str">
        <f t="shared" si="124"/>
        <v/>
      </c>
      <c r="T218" s="444" t="str">
        <f t="shared" si="144"/>
        <v xml:space="preserve"> </v>
      </c>
      <c r="U218" s="119" t="str">
        <f t="shared" si="125"/>
        <v xml:space="preserve"> </v>
      </c>
      <c r="V218" s="444" t="str">
        <f t="shared" si="153"/>
        <v xml:space="preserve"> </v>
      </c>
      <c r="W218" s="909" t="str">
        <f t="shared" si="154"/>
        <v xml:space="preserve"> </v>
      </c>
      <c r="X218" s="924" t="str">
        <f t="shared" si="126"/>
        <v xml:space="preserve"> </v>
      </c>
      <c r="Y218" s="444" t="str">
        <f t="shared" si="155"/>
        <v xml:space="preserve"> </v>
      </c>
      <c r="Z218" s="444" t="str">
        <f t="shared" si="156"/>
        <v xml:space="preserve"> </v>
      </c>
      <c r="AA218" s="444" t="str">
        <f t="shared" si="157"/>
        <v xml:space="preserve"> </v>
      </c>
      <c r="AB218" s="912" t="str">
        <f t="shared" si="158"/>
        <v xml:space="preserve"> </v>
      </c>
      <c r="AC218" s="912" t="str">
        <f t="shared" si="127"/>
        <v xml:space="preserve"> </v>
      </c>
      <c r="AD218" s="444" t="str">
        <f t="shared" si="159"/>
        <v xml:space="preserve"> </v>
      </c>
      <c r="AE218" s="444" t="str">
        <f t="shared" si="128"/>
        <v/>
      </c>
      <c r="AF218" s="444" t="str">
        <f t="shared" si="160"/>
        <v xml:space="preserve"> </v>
      </c>
      <c r="AG218" s="119" t="str">
        <f t="shared" si="129"/>
        <v xml:space="preserve"> </v>
      </c>
      <c r="AH218" s="444" t="str">
        <f t="shared" si="161"/>
        <v xml:space="preserve"> </v>
      </c>
      <c r="AI218" s="909" t="str">
        <f t="shared" si="162"/>
        <v xml:space="preserve"> </v>
      </c>
      <c r="AJ218" s="879" t="str">
        <f t="shared" si="165"/>
        <v xml:space="preserve"> </v>
      </c>
      <c r="AK218" s="444" t="str">
        <f t="shared" si="145"/>
        <v xml:space="preserve"> </v>
      </c>
      <c r="AL218" s="444" t="str">
        <f t="shared" si="146"/>
        <v xml:space="preserve"> </v>
      </c>
      <c r="AM218" s="444" t="str">
        <f t="shared" si="147"/>
        <v xml:space="preserve"> </v>
      </c>
      <c r="AN218" s="119" t="str">
        <f t="shared" si="148"/>
        <v xml:space="preserve"> </v>
      </c>
      <c r="AO218" s="444" t="str">
        <f t="shared" si="149"/>
        <v xml:space="preserve"> </v>
      </c>
      <c r="AP218" s="444" t="str">
        <f t="shared" si="150"/>
        <v xml:space="preserve"> </v>
      </c>
      <c r="AQ218" s="123" t="str">
        <f>IF(A218=" "," ",IF('#orgDung'!AF102=0,0,AO218/'#orgDung'!AF102))</f>
        <v xml:space="preserve"> </v>
      </c>
      <c r="AR218" s="47" t="str">
        <f>IF(A218=" "," ",IF('#orgDung'!AF102=0,0,AP218/'#orgDung'!AF102))</f>
        <v xml:space="preserve"> </v>
      </c>
      <c r="AS218" s="890">
        <f>IF(OR(B218=0,B218=""),0,MAX('Flächen u. Kulturen'!W98,AT218/B218))</f>
        <v>0</v>
      </c>
      <c r="AT218" s="875">
        <f t="shared" si="151"/>
        <v>0</v>
      </c>
      <c r="AU218" s="120"/>
    </row>
    <row r="219" spans="1:47" s="875" customFormat="1" x14ac:dyDescent="0.2">
      <c r="A219" s="42" t="str">
        <f>IF('Flächen u. Kulturen'!E99="x",IF(AND('#Kürzungen'!$F$2=2,'#BerechnungDBE'!R94=1,'Flächen u. Kulturen'!D99&lt;&gt;"",'#BerechnungDBE'!AF94=70),'Flächen u. Kulturen'!A99,IF(AND('#BerechnungDBE'!S94=1,'Flächen u. Kulturen'!D99&lt;&gt;"",'#BerechnungDBE'!AF94=70),'Flächen u. Kulturen'!A99," "))," ")</f>
        <v xml:space="preserve"> </v>
      </c>
      <c r="B219" s="505" t="str">
        <f>'Flächen u. Kulturen'!D99</f>
        <v/>
      </c>
      <c r="C219" s="42" t="str">
        <f>IF(A219=" "," ",'#BerechnungDBE'!AK94)</f>
        <v xml:space="preserve"> </v>
      </c>
      <c r="D219" s="42" t="str">
        <f>IF(A219=" "," ",'#BerechnungDBE'!CK94)</f>
        <v xml:space="preserve"> </v>
      </c>
      <c r="E219" s="42" t="str">
        <f t="shared" si="163"/>
        <v xml:space="preserve"> </v>
      </c>
      <c r="F219" s="869"/>
      <c r="G219" s="42" t="str">
        <f>IF(A219=" ","",'#BerechnungDBE'!CK94+'#BerechnungDBE'!CM94)</f>
        <v/>
      </c>
      <c r="H219" s="444" t="str">
        <f t="shared" si="152"/>
        <v/>
      </c>
      <c r="I219" s="444">
        <f>IF(A219=" ",0,'#minDung'!R100)</f>
        <v>0</v>
      </c>
      <c r="J219" s="430" t="str">
        <f t="shared" si="164"/>
        <v xml:space="preserve"> </v>
      </c>
      <c r="K219" s="444">
        <f>IF(A219=" ",0,'Flächen u. Kulturen'!W99)</f>
        <v>0</v>
      </c>
      <c r="L219" s="883" t="str">
        <f t="shared" si="141"/>
        <v/>
      </c>
      <c r="M219" s="444" t="str">
        <f t="shared" si="142"/>
        <v xml:space="preserve"> </v>
      </c>
      <c r="N219" s="444" t="str">
        <f t="shared" si="120"/>
        <v xml:space="preserve"> </v>
      </c>
      <c r="O219" s="911" t="str">
        <f t="shared" si="121"/>
        <v xml:space="preserve"> </v>
      </c>
      <c r="P219" s="912" t="str">
        <f t="shared" si="122"/>
        <v xml:space="preserve"> </v>
      </c>
      <c r="Q219" s="912" t="str">
        <f t="shared" si="123"/>
        <v xml:space="preserve"> </v>
      </c>
      <c r="R219" s="444" t="str">
        <f t="shared" si="143"/>
        <v/>
      </c>
      <c r="S219" s="444" t="str">
        <f t="shared" si="124"/>
        <v/>
      </c>
      <c r="T219" s="444" t="str">
        <f t="shared" si="144"/>
        <v xml:space="preserve"> </v>
      </c>
      <c r="U219" s="119" t="str">
        <f t="shared" si="125"/>
        <v xml:space="preserve"> </v>
      </c>
      <c r="V219" s="444" t="str">
        <f t="shared" si="153"/>
        <v xml:space="preserve"> </v>
      </c>
      <c r="W219" s="909" t="str">
        <f t="shared" si="154"/>
        <v xml:space="preserve"> </v>
      </c>
      <c r="X219" s="924" t="str">
        <f t="shared" si="126"/>
        <v xml:space="preserve"> </v>
      </c>
      <c r="Y219" s="444" t="str">
        <f t="shared" si="155"/>
        <v xml:space="preserve"> </v>
      </c>
      <c r="Z219" s="444" t="str">
        <f t="shared" si="156"/>
        <v xml:space="preserve"> </v>
      </c>
      <c r="AA219" s="444" t="str">
        <f t="shared" si="157"/>
        <v xml:space="preserve"> </v>
      </c>
      <c r="AB219" s="912" t="str">
        <f t="shared" si="158"/>
        <v xml:space="preserve"> </v>
      </c>
      <c r="AC219" s="912" t="str">
        <f t="shared" si="127"/>
        <v xml:space="preserve"> </v>
      </c>
      <c r="AD219" s="444" t="str">
        <f t="shared" si="159"/>
        <v xml:space="preserve"> </v>
      </c>
      <c r="AE219" s="444" t="str">
        <f t="shared" si="128"/>
        <v/>
      </c>
      <c r="AF219" s="444" t="str">
        <f t="shared" si="160"/>
        <v xml:space="preserve"> </v>
      </c>
      <c r="AG219" s="119" t="str">
        <f t="shared" si="129"/>
        <v xml:space="preserve"> </v>
      </c>
      <c r="AH219" s="444" t="str">
        <f t="shared" si="161"/>
        <v xml:space="preserve"> </v>
      </c>
      <c r="AI219" s="909" t="str">
        <f t="shared" si="162"/>
        <v xml:space="preserve"> </v>
      </c>
      <c r="AJ219" s="879" t="str">
        <f t="shared" si="165"/>
        <v xml:space="preserve"> </v>
      </c>
      <c r="AK219" s="444" t="str">
        <f t="shared" si="145"/>
        <v xml:space="preserve"> </v>
      </c>
      <c r="AL219" s="444" t="str">
        <f t="shared" si="146"/>
        <v xml:space="preserve"> </v>
      </c>
      <c r="AM219" s="444" t="str">
        <f t="shared" si="147"/>
        <v xml:space="preserve"> </v>
      </c>
      <c r="AN219" s="119" t="str">
        <f t="shared" si="148"/>
        <v xml:space="preserve"> </v>
      </c>
      <c r="AO219" s="444" t="str">
        <f t="shared" si="149"/>
        <v xml:space="preserve"> </v>
      </c>
      <c r="AP219" s="444" t="str">
        <f t="shared" si="150"/>
        <v xml:space="preserve"> </v>
      </c>
      <c r="AQ219" s="123" t="str">
        <f>IF(A219=" "," ",IF('#orgDung'!AF103=0,0,AO219/'#orgDung'!AF103))</f>
        <v xml:space="preserve"> </v>
      </c>
      <c r="AR219" s="47" t="str">
        <f>IF(A219=" "," ",IF('#orgDung'!AF103=0,0,AP219/'#orgDung'!AF103))</f>
        <v xml:space="preserve"> </v>
      </c>
      <c r="AS219" s="890">
        <f>IF(OR(B219=0,B219=""),0,MAX('Flächen u. Kulturen'!W99,AT219/B219))</f>
        <v>0</v>
      </c>
      <c r="AT219" s="875">
        <f t="shared" si="151"/>
        <v>0</v>
      </c>
      <c r="AU219" s="120"/>
    </row>
    <row r="220" spans="1:47" s="875" customFormat="1" x14ac:dyDescent="0.2">
      <c r="A220" s="42" t="str">
        <f>IF('Flächen u. Kulturen'!E100="x",IF(AND('#Kürzungen'!$F$2=2,'#BerechnungDBE'!R95=1,'Flächen u. Kulturen'!D100&lt;&gt;"",'#BerechnungDBE'!AF95=70),'Flächen u. Kulturen'!A100,IF(AND('#BerechnungDBE'!S95=1,'Flächen u. Kulturen'!D100&lt;&gt;"",'#BerechnungDBE'!AF95=70),'Flächen u. Kulturen'!A100," "))," ")</f>
        <v xml:space="preserve"> </v>
      </c>
      <c r="B220" s="505" t="str">
        <f>'Flächen u. Kulturen'!D100</f>
        <v/>
      </c>
      <c r="C220" s="42" t="str">
        <f>IF(A220=" "," ",'#BerechnungDBE'!AK95)</f>
        <v xml:space="preserve"> </v>
      </c>
      <c r="D220" s="42" t="str">
        <f>IF(A220=" "," ",'#BerechnungDBE'!CK95)</f>
        <v xml:space="preserve"> </v>
      </c>
      <c r="E220" s="42" t="str">
        <f t="shared" si="163"/>
        <v xml:space="preserve"> </v>
      </c>
      <c r="F220" s="869"/>
      <c r="G220" s="42" t="str">
        <f>IF(A220=" ","",'#BerechnungDBE'!CK95+'#BerechnungDBE'!CM95)</f>
        <v/>
      </c>
      <c r="H220" s="444" t="str">
        <f t="shared" si="152"/>
        <v/>
      </c>
      <c r="I220" s="444">
        <f>IF(A220=" ",0,'#minDung'!R101)</f>
        <v>0</v>
      </c>
      <c r="J220" s="430" t="str">
        <f t="shared" si="164"/>
        <v xml:space="preserve"> </v>
      </c>
      <c r="K220" s="444">
        <f>IF(A220=" ",0,'Flächen u. Kulturen'!W100)</f>
        <v>0</v>
      </c>
      <c r="L220" s="883" t="str">
        <f t="shared" si="141"/>
        <v/>
      </c>
      <c r="M220" s="444" t="str">
        <f t="shared" si="142"/>
        <v xml:space="preserve"> </v>
      </c>
      <c r="N220" s="444" t="str">
        <f t="shared" si="120"/>
        <v xml:space="preserve"> </v>
      </c>
      <c r="O220" s="911" t="str">
        <f t="shared" si="121"/>
        <v xml:space="preserve"> </v>
      </c>
      <c r="P220" s="912" t="str">
        <f t="shared" si="122"/>
        <v xml:space="preserve"> </v>
      </c>
      <c r="Q220" s="912" t="str">
        <f t="shared" si="123"/>
        <v xml:space="preserve"> </v>
      </c>
      <c r="R220" s="444" t="str">
        <f t="shared" si="143"/>
        <v/>
      </c>
      <c r="S220" s="444" t="str">
        <f t="shared" si="124"/>
        <v/>
      </c>
      <c r="T220" s="444" t="str">
        <f t="shared" si="144"/>
        <v xml:space="preserve"> </v>
      </c>
      <c r="U220" s="119" t="str">
        <f t="shared" si="125"/>
        <v xml:space="preserve"> </v>
      </c>
      <c r="V220" s="444" t="str">
        <f t="shared" si="153"/>
        <v xml:space="preserve"> </v>
      </c>
      <c r="W220" s="909" t="str">
        <f t="shared" si="154"/>
        <v xml:space="preserve"> </v>
      </c>
      <c r="X220" s="924" t="str">
        <f t="shared" si="126"/>
        <v xml:space="preserve"> </v>
      </c>
      <c r="Y220" s="444" t="str">
        <f t="shared" si="155"/>
        <v xml:space="preserve"> </v>
      </c>
      <c r="Z220" s="444" t="str">
        <f t="shared" si="156"/>
        <v xml:space="preserve"> </v>
      </c>
      <c r="AA220" s="444" t="str">
        <f t="shared" si="157"/>
        <v xml:space="preserve"> </v>
      </c>
      <c r="AB220" s="912" t="str">
        <f t="shared" si="158"/>
        <v xml:space="preserve"> </v>
      </c>
      <c r="AC220" s="912" t="str">
        <f t="shared" si="127"/>
        <v xml:space="preserve"> </v>
      </c>
      <c r="AD220" s="444" t="str">
        <f t="shared" si="159"/>
        <v xml:space="preserve"> </v>
      </c>
      <c r="AE220" s="444" t="str">
        <f t="shared" si="128"/>
        <v/>
      </c>
      <c r="AF220" s="444" t="str">
        <f t="shared" si="160"/>
        <v xml:space="preserve"> </v>
      </c>
      <c r="AG220" s="119" t="str">
        <f t="shared" si="129"/>
        <v xml:space="preserve"> </v>
      </c>
      <c r="AH220" s="444" t="str">
        <f t="shared" si="161"/>
        <v xml:space="preserve"> </v>
      </c>
      <c r="AI220" s="909" t="str">
        <f t="shared" si="162"/>
        <v xml:space="preserve"> </v>
      </c>
      <c r="AJ220" s="879" t="str">
        <f t="shared" si="165"/>
        <v xml:space="preserve"> </v>
      </c>
      <c r="AK220" s="444" t="str">
        <f t="shared" si="145"/>
        <v xml:space="preserve"> </v>
      </c>
      <c r="AL220" s="444" t="str">
        <f t="shared" si="146"/>
        <v xml:space="preserve"> </v>
      </c>
      <c r="AM220" s="444" t="str">
        <f t="shared" si="147"/>
        <v xml:space="preserve"> </v>
      </c>
      <c r="AN220" s="119" t="str">
        <f t="shared" si="148"/>
        <v xml:space="preserve"> </v>
      </c>
      <c r="AO220" s="444" t="str">
        <f t="shared" si="149"/>
        <v xml:space="preserve"> </v>
      </c>
      <c r="AP220" s="444" t="str">
        <f t="shared" si="150"/>
        <v xml:space="preserve"> </v>
      </c>
      <c r="AQ220" s="123" t="str">
        <f>IF(A220=" "," ",IF('#orgDung'!AF104=0,0,AO220/'#orgDung'!AF104))</f>
        <v xml:space="preserve"> </v>
      </c>
      <c r="AR220" s="47" t="str">
        <f>IF(A220=" "," ",IF('#orgDung'!AF104=0,0,AP220/'#orgDung'!AF104))</f>
        <v xml:space="preserve"> </v>
      </c>
      <c r="AS220" s="890">
        <f>IF(OR(B220=0,B220=""),0,MAX('Flächen u. Kulturen'!W100,AT220/B220))</f>
        <v>0</v>
      </c>
      <c r="AT220" s="875">
        <f t="shared" si="151"/>
        <v>0</v>
      </c>
      <c r="AU220" s="120"/>
    </row>
    <row r="221" spans="1:47" s="875" customFormat="1" x14ac:dyDescent="0.2">
      <c r="A221" s="42" t="str">
        <f>IF('Flächen u. Kulturen'!E101="x",IF(AND('#Kürzungen'!$F$2=2,'#BerechnungDBE'!R96=1,'Flächen u. Kulturen'!D101&lt;&gt;"",'#BerechnungDBE'!AF96=70),'Flächen u. Kulturen'!A101,IF(AND('#BerechnungDBE'!S96=1,'Flächen u. Kulturen'!D101&lt;&gt;"",'#BerechnungDBE'!AF96=70),'Flächen u. Kulturen'!A101," "))," ")</f>
        <v xml:space="preserve"> </v>
      </c>
      <c r="B221" s="505" t="str">
        <f>'Flächen u. Kulturen'!D101</f>
        <v/>
      </c>
      <c r="C221" s="42" t="str">
        <f>IF(A221=" "," ",'#BerechnungDBE'!AK96)</f>
        <v xml:space="preserve"> </v>
      </c>
      <c r="D221" s="42" t="str">
        <f>IF(A221=" "," ",'#BerechnungDBE'!CK96)</f>
        <v xml:space="preserve"> </v>
      </c>
      <c r="E221" s="42" t="str">
        <f t="shared" si="163"/>
        <v xml:space="preserve"> </v>
      </c>
      <c r="F221" s="869"/>
      <c r="G221" s="42" t="str">
        <f>IF(A221=" ","",'#BerechnungDBE'!CK96+'#BerechnungDBE'!CM96)</f>
        <v/>
      </c>
      <c r="H221" s="444" t="str">
        <f t="shared" si="152"/>
        <v/>
      </c>
      <c r="I221" s="444">
        <f>IF(A221=" ",0,'#minDung'!R102)</f>
        <v>0</v>
      </c>
      <c r="J221" s="430" t="str">
        <f t="shared" si="164"/>
        <v xml:space="preserve"> </v>
      </c>
      <c r="K221" s="444">
        <f>IF(A221=" ",0,'Flächen u. Kulturen'!W101)</f>
        <v>0</v>
      </c>
      <c r="L221" s="883" t="str">
        <f t="shared" si="141"/>
        <v/>
      </c>
      <c r="M221" s="444" t="str">
        <f t="shared" si="142"/>
        <v xml:space="preserve"> </v>
      </c>
      <c r="N221" s="444" t="str">
        <f t="shared" si="120"/>
        <v xml:space="preserve"> </v>
      </c>
      <c r="O221" s="911" t="str">
        <f t="shared" si="121"/>
        <v xml:space="preserve"> </v>
      </c>
      <c r="P221" s="912" t="str">
        <f t="shared" si="122"/>
        <v xml:space="preserve"> </v>
      </c>
      <c r="Q221" s="912" t="str">
        <f t="shared" si="123"/>
        <v xml:space="preserve"> </v>
      </c>
      <c r="R221" s="444" t="str">
        <f t="shared" si="143"/>
        <v/>
      </c>
      <c r="S221" s="444" t="str">
        <f t="shared" si="124"/>
        <v/>
      </c>
      <c r="T221" s="444" t="str">
        <f t="shared" si="144"/>
        <v xml:space="preserve"> </v>
      </c>
      <c r="U221" s="119" t="str">
        <f t="shared" si="125"/>
        <v xml:space="preserve"> </v>
      </c>
      <c r="V221" s="444" t="str">
        <f t="shared" si="153"/>
        <v xml:space="preserve"> </v>
      </c>
      <c r="W221" s="909" t="str">
        <f t="shared" si="154"/>
        <v xml:space="preserve"> </v>
      </c>
      <c r="X221" s="924" t="str">
        <f t="shared" si="126"/>
        <v xml:space="preserve"> </v>
      </c>
      <c r="Y221" s="444" t="str">
        <f t="shared" si="155"/>
        <v xml:space="preserve"> </v>
      </c>
      <c r="Z221" s="444" t="str">
        <f t="shared" si="156"/>
        <v xml:space="preserve"> </v>
      </c>
      <c r="AA221" s="444" t="str">
        <f t="shared" si="157"/>
        <v xml:space="preserve"> </v>
      </c>
      <c r="AB221" s="912" t="str">
        <f t="shared" si="158"/>
        <v xml:space="preserve"> </v>
      </c>
      <c r="AC221" s="912" t="str">
        <f t="shared" si="127"/>
        <v xml:space="preserve"> </v>
      </c>
      <c r="AD221" s="444" t="str">
        <f t="shared" si="159"/>
        <v xml:space="preserve"> </v>
      </c>
      <c r="AE221" s="444" t="str">
        <f t="shared" si="128"/>
        <v/>
      </c>
      <c r="AF221" s="444" t="str">
        <f t="shared" si="160"/>
        <v xml:space="preserve"> </v>
      </c>
      <c r="AG221" s="119" t="str">
        <f t="shared" si="129"/>
        <v xml:space="preserve"> </v>
      </c>
      <c r="AH221" s="444" t="str">
        <f t="shared" si="161"/>
        <v xml:space="preserve"> </v>
      </c>
      <c r="AI221" s="909" t="str">
        <f t="shared" si="162"/>
        <v xml:space="preserve"> </v>
      </c>
      <c r="AJ221" s="879" t="str">
        <f t="shared" si="165"/>
        <v xml:space="preserve"> </v>
      </c>
      <c r="AK221" s="444" t="str">
        <f t="shared" si="145"/>
        <v xml:space="preserve"> </v>
      </c>
      <c r="AL221" s="444" t="str">
        <f t="shared" si="146"/>
        <v xml:space="preserve"> </v>
      </c>
      <c r="AM221" s="444" t="str">
        <f t="shared" si="147"/>
        <v xml:space="preserve"> </v>
      </c>
      <c r="AN221" s="119" t="str">
        <f t="shared" si="148"/>
        <v xml:space="preserve"> </v>
      </c>
      <c r="AO221" s="444" t="str">
        <f t="shared" si="149"/>
        <v xml:space="preserve"> </v>
      </c>
      <c r="AP221" s="444" t="str">
        <f t="shared" si="150"/>
        <v xml:space="preserve"> </v>
      </c>
      <c r="AQ221" s="123" t="str">
        <f>IF(A221=" "," ",IF('#orgDung'!AF105=0,0,AO221/'#orgDung'!AF105))</f>
        <v xml:space="preserve"> </v>
      </c>
      <c r="AR221" s="47" t="str">
        <f>IF(A221=" "," ",IF('#orgDung'!AF105=0,0,AP221/'#orgDung'!AF105))</f>
        <v xml:space="preserve"> </v>
      </c>
      <c r="AS221" s="890">
        <f>IF(OR(B221=0,B221=""),0,MAX('Flächen u. Kulturen'!W101,AT221/B221))</f>
        <v>0</v>
      </c>
      <c r="AT221" s="875">
        <f t="shared" si="151"/>
        <v>0</v>
      </c>
      <c r="AU221" s="120"/>
    </row>
    <row r="222" spans="1:47" s="875" customFormat="1" x14ac:dyDescent="0.2">
      <c r="A222" s="42" t="str">
        <f>IF('Flächen u. Kulturen'!E102="x",IF(AND('#Kürzungen'!$F$2=2,'#BerechnungDBE'!R97=1,'Flächen u. Kulturen'!D102&lt;&gt;"",'#BerechnungDBE'!AF97=70),'Flächen u. Kulturen'!A102,IF(AND('#BerechnungDBE'!S97=1,'Flächen u. Kulturen'!D102&lt;&gt;"",'#BerechnungDBE'!AF97=70),'Flächen u. Kulturen'!A102," "))," ")</f>
        <v xml:space="preserve"> </v>
      </c>
      <c r="B222" s="505" t="str">
        <f>'Flächen u. Kulturen'!D102</f>
        <v/>
      </c>
      <c r="C222" s="42" t="str">
        <f>IF(A222=" "," ",'#BerechnungDBE'!AK97)</f>
        <v xml:space="preserve"> </v>
      </c>
      <c r="D222" s="42" t="str">
        <f>IF(A222=" "," ",'#BerechnungDBE'!CK97)</f>
        <v xml:space="preserve"> </v>
      </c>
      <c r="E222" s="42" t="str">
        <f t="shared" si="163"/>
        <v xml:space="preserve"> </v>
      </c>
      <c r="F222" s="869"/>
      <c r="G222" s="42" t="str">
        <f>IF(A222=" ","",'#BerechnungDBE'!CK97+'#BerechnungDBE'!CM97)</f>
        <v/>
      </c>
      <c r="H222" s="444" t="str">
        <f t="shared" si="152"/>
        <v/>
      </c>
      <c r="I222" s="444">
        <f>IF(A222=" ",0,'#minDung'!R103)</f>
        <v>0</v>
      </c>
      <c r="J222" s="430" t="str">
        <f t="shared" si="164"/>
        <v xml:space="preserve"> </v>
      </c>
      <c r="K222" s="444">
        <f>IF(A222=" ",0,'Flächen u. Kulturen'!W102)</f>
        <v>0</v>
      </c>
      <c r="L222" s="883" t="str">
        <f t="shared" si="141"/>
        <v/>
      </c>
      <c r="M222" s="444" t="str">
        <f t="shared" si="142"/>
        <v xml:space="preserve"> </v>
      </c>
      <c r="N222" s="444" t="str">
        <f t="shared" ref="N222:N229" si="166">IF(A222=" "," ",M222*B222)</f>
        <v xml:space="preserve"> </v>
      </c>
      <c r="O222" s="911" t="str">
        <f t="shared" ref="O222:O229" si="167">IF(A222=" "," ",$O$231)</f>
        <v xml:space="preserve"> </v>
      </c>
      <c r="P222" s="912" t="str">
        <f t="shared" ref="P222:P229" si="168">IF(A222=" "," ",M222*O222)</f>
        <v xml:space="preserve"> </v>
      </c>
      <c r="Q222" s="912" t="str">
        <f t="shared" ref="Q222:Q229" si="169">IF(A222=" "," ",P222*B222)</f>
        <v xml:space="preserve"> </v>
      </c>
      <c r="R222" s="444" t="str">
        <f t="shared" si="143"/>
        <v/>
      </c>
      <c r="S222" s="444" t="str">
        <f t="shared" ref="S222:S229" si="170">IF($A222=" ","",IF(R222&lt;P222,R222*$B222,""))</f>
        <v/>
      </c>
      <c r="T222" s="444" t="str">
        <f t="shared" si="144"/>
        <v xml:space="preserve"> </v>
      </c>
      <c r="U222" s="119" t="str">
        <f t="shared" ref="U222:U229" si="171">IF($A222=" "," ",IF(S222="",$U$231,1))</f>
        <v xml:space="preserve"> </v>
      </c>
      <c r="V222" s="444" t="str">
        <f t="shared" si="153"/>
        <v xml:space="preserve"> </v>
      </c>
      <c r="W222" s="909" t="str">
        <f t="shared" si="154"/>
        <v xml:space="preserve"> </v>
      </c>
      <c r="X222" s="924" t="str">
        <f t="shared" ref="X222:X229" si="172">IF(A222=" "," ",IF($F$2=2,100,IF(C222=1,$G$11,IF(C222=2,$G$12,IF(C222=3,$G$13,IF(C222=4,$G$14,$G$15))))))</f>
        <v xml:space="preserve"> </v>
      </c>
      <c r="Y222" s="444" t="str">
        <f t="shared" si="155"/>
        <v xml:space="preserve"> </v>
      </c>
      <c r="Z222" s="444" t="str">
        <f t="shared" si="156"/>
        <v xml:space="preserve"> </v>
      </c>
      <c r="AA222" s="444" t="str">
        <f t="shared" si="157"/>
        <v xml:space="preserve"> </v>
      </c>
      <c r="AB222" s="912" t="str">
        <f t="shared" si="158"/>
        <v xml:space="preserve"> </v>
      </c>
      <c r="AC222" s="912" t="str">
        <f t="shared" ref="AC222:AC229" si="173">IF($A222=" "," ",AB222*$B222)</f>
        <v xml:space="preserve"> </v>
      </c>
      <c r="AD222" s="444" t="str">
        <f t="shared" si="159"/>
        <v xml:space="preserve"> </v>
      </c>
      <c r="AE222" s="444" t="str">
        <f t="shared" ref="AE222:AE229" si="174">IF($A222=" ","",IF(AD222&lt;AB222,AD222*$B222,""))</f>
        <v/>
      </c>
      <c r="AF222" s="444" t="str">
        <f t="shared" si="160"/>
        <v xml:space="preserve"> </v>
      </c>
      <c r="AG222" s="119" t="str">
        <f t="shared" ref="AG222:AG229" si="175">IF($A222=" "," ",IF(AE222="",$AG$231,1))</f>
        <v xml:space="preserve"> </v>
      </c>
      <c r="AH222" s="444" t="str">
        <f t="shared" si="161"/>
        <v xml:space="preserve"> </v>
      </c>
      <c r="AI222" s="909" t="str">
        <f t="shared" si="162"/>
        <v xml:space="preserve"> </v>
      </c>
      <c r="AJ222" s="879" t="str">
        <f t="shared" si="165"/>
        <v xml:space="preserve"> </v>
      </c>
      <c r="AK222" s="444" t="str">
        <f t="shared" si="145"/>
        <v xml:space="preserve"> </v>
      </c>
      <c r="AL222" s="444" t="str">
        <f t="shared" si="146"/>
        <v xml:space="preserve"> </v>
      </c>
      <c r="AM222" s="444" t="str">
        <f t="shared" si="147"/>
        <v xml:space="preserve"> </v>
      </c>
      <c r="AN222" s="119" t="str">
        <f t="shared" si="148"/>
        <v xml:space="preserve"> </v>
      </c>
      <c r="AO222" s="444" t="str">
        <f t="shared" si="149"/>
        <v xml:space="preserve"> </v>
      </c>
      <c r="AP222" s="444" t="str">
        <f t="shared" si="150"/>
        <v xml:space="preserve"> </v>
      </c>
      <c r="AQ222" s="123" t="str">
        <f>IF(A222=" "," ",IF('#orgDung'!AF106=0,0,AO222/'#orgDung'!AF106))</f>
        <v xml:space="preserve"> </v>
      </c>
      <c r="AR222" s="47" t="str">
        <f>IF(A222=" "," ",IF('#orgDung'!AF106=0,0,AP222/'#orgDung'!AF106))</f>
        <v xml:space="preserve"> </v>
      </c>
      <c r="AS222" s="890">
        <f>IF(OR(B222=0,B222=""),0,MAX('Flächen u. Kulturen'!W102,AT222/B222))</f>
        <v>0</v>
      </c>
      <c r="AT222" s="875">
        <f t="shared" si="151"/>
        <v>0</v>
      </c>
      <c r="AU222" s="120"/>
    </row>
    <row r="223" spans="1:47" s="875" customFormat="1" x14ac:dyDescent="0.2">
      <c r="A223" s="42" t="str">
        <f>IF('Flächen u. Kulturen'!E103="x",IF(AND('#Kürzungen'!$F$2=2,'#BerechnungDBE'!R98=1,'Flächen u. Kulturen'!D103&lt;&gt;"",'#BerechnungDBE'!AF98=70),'Flächen u. Kulturen'!A103,IF(AND('#BerechnungDBE'!S98=1,'Flächen u. Kulturen'!D103&lt;&gt;"",'#BerechnungDBE'!AF98=70),'Flächen u. Kulturen'!A103," "))," ")</f>
        <v xml:space="preserve"> </v>
      </c>
      <c r="B223" s="505" t="str">
        <f>'Flächen u. Kulturen'!D103</f>
        <v/>
      </c>
      <c r="C223" s="42" t="str">
        <f>IF(A223=" "," ",'#BerechnungDBE'!AK98)</f>
        <v xml:space="preserve"> </v>
      </c>
      <c r="D223" s="42" t="str">
        <f>IF(A223=" "," ",'#BerechnungDBE'!CK98)</f>
        <v xml:space="preserve"> </v>
      </c>
      <c r="E223" s="42" t="str">
        <f t="shared" si="163"/>
        <v xml:space="preserve"> </v>
      </c>
      <c r="F223" s="869"/>
      <c r="G223" s="42" t="str">
        <f>IF(A223=" ","",'#BerechnungDBE'!CK98+'#BerechnungDBE'!CM98)</f>
        <v/>
      </c>
      <c r="H223" s="444" t="str">
        <f t="shared" si="152"/>
        <v/>
      </c>
      <c r="I223" s="444">
        <f>IF(A223=" ",0,'#minDung'!R104)</f>
        <v>0</v>
      </c>
      <c r="J223" s="430" t="str">
        <f t="shared" si="164"/>
        <v xml:space="preserve"> </v>
      </c>
      <c r="K223" s="444">
        <f>IF(A223=" ",0,'Flächen u. Kulturen'!W103)</f>
        <v>0</v>
      </c>
      <c r="L223" s="883" t="str">
        <f t="shared" si="141"/>
        <v/>
      </c>
      <c r="M223" s="444" t="str">
        <f t="shared" si="142"/>
        <v xml:space="preserve"> </v>
      </c>
      <c r="N223" s="444" t="str">
        <f t="shared" si="166"/>
        <v xml:space="preserve"> </v>
      </c>
      <c r="O223" s="911" t="str">
        <f t="shared" si="167"/>
        <v xml:space="preserve"> </v>
      </c>
      <c r="P223" s="912" t="str">
        <f t="shared" si="168"/>
        <v xml:space="preserve"> </v>
      </c>
      <c r="Q223" s="912" t="str">
        <f t="shared" si="169"/>
        <v xml:space="preserve"> </v>
      </c>
      <c r="R223" s="444" t="str">
        <f t="shared" si="143"/>
        <v/>
      </c>
      <c r="S223" s="444" t="str">
        <f t="shared" si="170"/>
        <v/>
      </c>
      <c r="T223" s="444" t="str">
        <f t="shared" si="144"/>
        <v xml:space="preserve"> </v>
      </c>
      <c r="U223" s="119" t="str">
        <f t="shared" si="171"/>
        <v xml:space="preserve"> </v>
      </c>
      <c r="V223" s="444" t="str">
        <f t="shared" si="153"/>
        <v xml:space="preserve"> </v>
      </c>
      <c r="W223" s="909" t="str">
        <f t="shared" si="154"/>
        <v xml:space="preserve"> </v>
      </c>
      <c r="X223" s="924" t="str">
        <f t="shared" si="172"/>
        <v xml:space="preserve"> </v>
      </c>
      <c r="Y223" s="444" t="str">
        <f t="shared" si="155"/>
        <v xml:space="preserve"> </v>
      </c>
      <c r="Z223" s="444" t="str">
        <f t="shared" si="156"/>
        <v xml:space="preserve"> </v>
      </c>
      <c r="AA223" s="444" t="str">
        <f t="shared" si="157"/>
        <v xml:space="preserve"> </v>
      </c>
      <c r="AB223" s="912" t="str">
        <f t="shared" si="158"/>
        <v xml:space="preserve"> </v>
      </c>
      <c r="AC223" s="912" t="str">
        <f t="shared" si="173"/>
        <v xml:space="preserve"> </v>
      </c>
      <c r="AD223" s="444" t="str">
        <f t="shared" si="159"/>
        <v xml:space="preserve"> </v>
      </c>
      <c r="AE223" s="444" t="str">
        <f t="shared" si="174"/>
        <v/>
      </c>
      <c r="AF223" s="444" t="str">
        <f t="shared" si="160"/>
        <v xml:space="preserve"> </v>
      </c>
      <c r="AG223" s="119" t="str">
        <f t="shared" si="175"/>
        <v xml:space="preserve"> </v>
      </c>
      <c r="AH223" s="444" t="str">
        <f t="shared" si="161"/>
        <v xml:space="preserve"> </v>
      </c>
      <c r="AI223" s="909" t="str">
        <f t="shared" si="162"/>
        <v xml:space="preserve"> </v>
      </c>
      <c r="AJ223" s="879" t="str">
        <f t="shared" si="165"/>
        <v xml:space="preserve"> </v>
      </c>
      <c r="AK223" s="444" t="str">
        <f t="shared" si="145"/>
        <v xml:space="preserve"> </v>
      </c>
      <c r="AL223" s="444" t="str">
        <f t="shared" si="146"/>
        <v xml:space="preserve"> </v>
      </c>
      <c r="AM223" s="444" t="str">
        <f t="shared" si="147"/>
        <v xml:space="preserve"> </v>
      </c>
      <c r="AN223" s="119" t="str">
        <f t="shared" si="148"/>
        <v xml:space="preserve"> </v>
      </c>
      <c r="AO223" s="444" t="str">
        <f t="shared" si="149"/>
        <v xml:space="preserve"> </v>
      </c>
      <c r="AP223" s="444" t="str">
        <f t="shared" si="150"/>
        <v xml:space="preserve"> </v>
      </c>
      <c r="AQ223" s="123" t="str">
        <f>IF(A223=" "," ",IF('#orgDung'!AF107=0,0,AO223/'#orgDung'!AF107))</f>
        <v xml:space="preserve"> </v>
      </c>
      <c r="AR223" s="47" t="str">
        <f>IF(A223=" "," ",IF('#orgDung'!AF107=0,0,AP223/'#orgDung'!AF107))</f>
        <v xml:space="preserve"> </v>
      </c>
      <c r="AS223" s="890">
        <f>IF(OR(B223=0,B223=""),0,MAX('Flächen u. Kulturen'!W103,AT223/B223))</f>
        <v>0</v>
      </c>
      <c r="AT223" s="875">
        <f t="shared" si="151"/>
        <v>0</v>
      </c>
      <c r="AU223" s="120"/>
    </row>
    <row r="224" spans="1:47" s="875" customFormat="1" x14ac:dyDescent="0.2">
      <c r="A224" s="42" t="str">
        <f>IF('Flächen u. Kulturen'!E104="x",IF(AND('#Kürzungen'!$F$2=2,'#BerechnungDBE'!R99=1,'Flächen u. Kulturen'!D104&lt;&gt;"",'#BerechnungDBE'!AF99=70),'Flächen u. Kulturen'!A104,IF(AND('#BerechnungDBE'!S99=1,'Flächen u. Kulturen'!D104&lt;&gt;"",'#BerechnungDBE'!AF99=70),'Flächen u. Kulturen'!A104," "))," ")</f>
        <v xml:space="preserve"> </v>
      </c>
      <c r="B224" s="505" t="str">
        <f>'Flächen u. Kulturen'!D104</f>
        <v/>
      </c>
      <c r="C224" s="42" t="str">
        <f>IF(A224=" "," ",'#BerechnungDBE'!AK99)</f>
        <v xml:space="preserve"> </v>
      </c>
      <c r="D224" s="42" t="str">
        <f>IF(A224=" "," ",'#BerechnungDBE'!CK99)</f>
        <v xml:space="preserve"> </v>
      </c>
      <c r="E224" s="42" t="str">
        <f t="shared" si="163"/>
        <v xml:space="preserve"> </v>
      </c>
      <c r="F224" s="869"/>
      <c r="G224" s="42" t="str">
        <f>IF(A224=" ","",'#BerechnungDBE'!CK99+'#BerechnungDBE'!CM99)</f>
        <v/>
      </c>
      <c r="H224" s="444" t="str">
        <f t="shared" si="152"/>
        <v/>
      </c>
      <c r="I224" s="444">
        <f>IF(A224=" ",0,'#minDung'!R105)</f>
        <v>0</v>
      </c>
      <c r="J224" s="430" t="str">
        <f t="shared" si="164"/>
        <v xml:space="preserve"> </v>
      </c>
      <c r="K224" s="444">
        <f>IF(A224=" ",0,'Flächen u. Kulturen'!W104)</f>
        <v>0</v>
      </c>
      <c r="L224" s="883" t="str">
        <f t="shared" si="141"/>
        <v/>
      </c>
      <c r="M224" s="444" t="str">
        <f t="shared" si="142"/>
        <v xml:space="preserve"> </v>
      </c>
      <c r="N224" s="444" t="str">
        <f t="shared" si="166"/>
        <v xml:space="preserve"> </v>
      </c>
      <c r="O224" s="911" t="str">
        <f t="shared" si="167"/>
        <v xml:space="preserve"> </v>
      </c>
      <c r="P224" s="912" t="str">
        <f t="shared" si="168"/>
        <v xml:space="preserve"> </v>
      </c>
      <c r="Q224" s="912" t="str">
        <f t="shared" si="169"/>
        <v xml:space="preserve"> </v>
      </c>
      <c r="R224" s="444" t="str">
        <f t="shared" si="143"/>
        <v/>
      </c>
      <c r="S224" s="444" t="str">
        <f t="shared" si="170"/>
        <v/>
      </c>
      <c r="T224" s="444" t="str">
        <f t="shared" si="144"/>
        <v xml:space="preserve"> </v>
      </c>
      <c r="U224" s="119" t="str">
        <f t="shared" si="171"/>
        <v xml:space="preserve"> </v>
      </c>
      <c r="V224" s="444" t="str">
        <f t="shared" si="153"/>
        <v xml:space="preserve"> </v>
      </c>
      <c r="W224" s="909" t="str">
        <f t="shared" si="154"/>
        <v xml:space="preserve"> </v>
      </c>
      <c r="X224" s="924" t="str">
        <f t="shared" si="172"/>
        <v xml:space="preserve"> </v>
      </c>
      <c r="Y224" s="444" t="str">
        <f t="shared" si="155"/>
        <v xml:space="preserve"> </v>
      </c>
      <c r="Z224" s="444" t="str">
        <f t="shared" si="156"/>
        <v xml:space="preserve"> </v>
      </c>
      <c r="AA224" s="444" t="str">
        <f t="shared" si="157"/>
        <v xml:space="preserve"> </v>
      </c>
      <c r="AB224" s="912" t="str">
        <f t="shared" si="158"/>
        <v xml:space="preserve"> </v>
      </c>
      <c r="AC224" s="912" t="str">
        <f t="shared" si="173"/>
        <v xml:space="preserve"> </v>
      </c>
      <c r="AD224" s="444" t="str">
        <f t="shared" si="159"/>
        <v xml:space="preserve"> </v>
      </c>
      <c r="AE224" s="444" t="str">
        <f t="shared" si="174"/>
        <v/>
      </c>
      <c r="AF224" s="444" t="str">
        <f t="shared" si="160"/>
        <v xml:space="preserve"> </v>
      </c>
      <c r="AG224" s="119" t="str">
        <f t="shared" si="175"/>
        <v xml:space="preserve"> </v>
      </c>
      <c r="AH224" s="444" t="str">
        <f t="shared" si="161"/>
        <v xml:space="preserve"> </v>
      </c>
      <c r="AI224" s="909" t="str">
        <f t="shared" si="162"/>
        <v xml:space="preserve"> </v>
      </c>
      <c r="AJ224" s="879" t="str">
        <f t="shared" si="165"/>
        <v xml:space="preserve"> </v>
      </c>
      <c r="AK224" s="444" t="str">
        <f t="shared" si="145"/>
        <v xml:space="preserve"> </v>
      </c>
      <c r="AL224" s="444" t="str">
        <f t="shared" si="146"/>
        <v xml:space="preserve"> </v>
      </c>
      <c r="AM224" s="444" t="str">
        <f t="shared" si="147"/>
        <v xml:space="preserve"> </v>
      </c>
      <c r="AN224" s="119" t="str">
        <f t="shared" si="148"/>
        <v xml:space="preserve"> </v>
      </c>
      <c r="AO224" s="444" t="str">
        <f t="shared" si="149"/>
        <v xml:space="preserve"> </v>
      </c>
      <c r="AP224" s="444" t="str">
        <f t="shared" si="150"/>
        <v xml:space="preserve"> </v>
      </c>
      <c r="AQ224" s="123" t="str">
        <f>IF(A224=" "," ",IF('#orgDung'!AF108=0,0,AO224/'#orgDung'!AF108))</f>
        <v xml:space="preserve"> </v>
      </c>
      <c r="AR224" s="47" t="str">
        <f>IF(A224=" "," ",IF('#orgDung'!AF108=0,0,AP224/'#orgDung'!AF108))</f>
        <v xml:space="preserve"> </v>
      </c>
      <c r="AS224" s="890">
        <f>IF(OR(B224=0,B224=""),0,MAX('Flächen u. Kulturen'!W104,AT224/B224))</f>
        <v>0</v>
      </c>
      <c r="AT224" s="875">
        <f t="shared" si="151"/>
        <v>0</v>
      </c>
      <c r="AU224" s="120"/>
    </row>
    <row r="225" spans="1:47" s="875" customFormat="1" x14ac:dyDescent="0.2">
      <c r="A225" s="42" t="str">
        <f>IF('Flächen u. Kulturen'!E105="x",IF(AND('#Kürzungen'!$F$2=2,'#BerechnungDBE'!R100=1,'Flächen u. Kulturen'!D105&lt;&gt;"",'#BerechnungDBE'!AF100=70),'Flächen u. Kulturen'!A105,IF(AND('#BerechnungDBE'!S100=1,'Flächen u. Kulturen'!D105&lt;&gt;"",'#BerechnungDBE'!AF100=70),'Flächen u. Kulturen'!A105," "))," ")</f>
        <v xml:space="preserve"> </v>
      </c>
      <c r="B225" s="505" t="str">
        <f>'Flächen u. Kulturen'!D105</f>
        <v/>
      </c>
      <c r="C225" s="42" t="str">
        <f>IF(A225=" "," ",'#BerechnungDBE'!AK100)</f>
        <v xml:space="preserve"> </v>
      </c>
      <c r="D225" s="42" t="str">
        <f>IF(A225=" "," ",'#BerechnungDBE'!CK100)</f>
        <v xml:space="preserve"> </v>
      </c>
      <c r="E225" s="42" t="str">
        <f t="shared" si="163"/>
        <v xml:space="preserve"> </v>
      </c>
      <c r="F225" s="869"/>
      <c r="G225" s="42" t="str">
        <f>IF(A225=" ","",'#BerechnungDBE'!CK100+'#BerechnungDBE'!CM100)</f>
        <v/>
      </c>
      <c r="H225" s="444" t="str">
        <f t="shared" si="152"/>
        <v/>
      </c>
      <c r="I225" s="444">
        <f>IF(A225=" ",0,'#minDung'!R106)</f>
        <v>0</v>
      </c>
      <c r="J225" s="430" t="str">
        <f t="shared" si="164"/>
        <v xml:space="preserve"> </v>
      </c>
      <c r="K225" s="444">
        <f>IF(A225=" ",0,'Flächen u. Kulturen'!W105)</f>
        <v>0</v>
      </c>
      <c r="L225" s="883" t="str">
        <f t="shared" si="141"/>
        <v/>
      </c>
      <c r="M225" s="444" t="str">
        <f t="shared" si="142"/>
        <v xml:space="preserve"> </v>
      </c>
      <c r="N225" s="444" t="str">
        <f t="shared" si="166"/>
        <v xml:space="preserve"> </v>
      </c>
      <c r="O225" s="911" t="str">
        <f t="shared" si="167"/>
        <v xml:space="preserve"> </v>
      </c>
      <c r="P225" s="912" t="str">
        <f t="shared" si="168"/>
        <v xml:space="preserve"> </v>
      </c>
      <c r="Q225" s="912" t="str">
        <f t="shared" si="169"/>
        <v xml:space="preserve"> </v>
      </c>
      <c r="R225" s="444" t="str">
        <f t="shared" si="143"/>
        <v/>
      </c>
      <c r="S225" s="444" t="str">
        <f t="shared" si="170"/>
        <v/>
      </c>
      <c r="T225" s="444" t="str">
        <f t="shared" si="144"/>
        <v xml:space="preserve"> </v>
      </c>
      <c r="U225" s="119" t="str">
        <f t="shared" si="171"/>
        <v xml:space="preserve"> </v>
      </c>
      <c r="V225" s="444" t="str">
        <f t="shared" si="153"/>
        <v xml:space="preserve"> </v>
      </c>
      <c r="W225" s="909" t="str">
        <f t="shared" si="154"/>
        <v xml:space="preserve"> </v>
      </c>
      <c r="X225" s="924" t="str">
        <f t="shared" si="172"/>
        <v xml:space="preserve"> </v>
      </c>
      <c r="Y225" s="444" t="str">
        <f t="shared" si="155"/>
        <v xml:space="preserve"> </v>
      </c>
      <c r="Z225" s="444" t="str">
        <f t="shared" si="156"/>
        <v xml:space="preserve"> </v>
      </c>
      <c r="AA225" s="444" t="str">
        <f t="shared" si="157"/>
        <v xml:space="preserve"> </v>
      </c>
      <c r="AB225" s="912" t="str">
        <f t="shared" si="158"/>
        <v xml:space="preserve"> </v>
      </c>
      <c r="AC225" s="912" t="str">
        <f t="shared" si="173"/>
        <v xml:space="preserve"> </v>
      </c>
      <c r="AD225" s="444" t="str">
        <f t="shared" si="159"/>
        <v xml:space="preserve"> </v>
      </c>
      <c r="AE225" s="444" t="str">
        <f t="shared" si="174"/>
        <v/>
      </c>
      <c r="AF225" s="444" t="str">
        <f t="shared" si="160"/>
        <v xml:space="preserve"> </v>
      </c>
      <c r="AG225" s="119" t="str">
        <f t="shared" si="175"/>
        <v xml:space="preserve"> </v>
      </c>
      <c r="AH225" s="444" t="str">
        <f t="shared" si="161"/>
        <v xml:space="preserve"> </v>
      </c>
      <c r="AI225" s="909" t="str">
        <f t="shared" si="162"/>
        <v xml:space="preserve"> </v>
      </c>
      <c r="AJ225" s="879" t="str">
        <f t="shared" si="165"/>
        <v xml:space="preserve"> </v>
      </c>
      <c r="AK225" s="444" t="str">
        <f t="shared" si="145"/>
        <v xml:space="preserve"> </v>
      </c>
      <c r="AL225" s="444" t="str">
        <f t="shared" si="146"/>
        <v xml:space="preserve"> </v>
      </c>
      <c r="AM225" s="444" t="str">
        <f t="shared" si="147"/>
        <v xml:space="preserve"> </v>
      </c>
      <c r="AN225" s="119" t="str">
        <f t="shared" si="148"/>
        <v xml:space="preserve"> </v>
      </c>
      <c r="AO225" s="444" t="str">
        <f t="shared" si="149"/>
        <v xml:space="preserve"> </v>
      </c>
      <c r="AP225" s="444" t="str">
        <f t="shared" si="150"/>
        <v xml:space="preserve"> </v>
      </c>
      <c r="AQ225" s="123" t="str">
        <f>IF(A225=" "," ",IF('#orgDung'!AF109=0,0,AO225/'#orgDung'!AF109))</f>
        <v xml:space="preserve"> </v>
      </c>
      <c r="AR225" s="47" t="str">
        <f>IF(A225=" "," ",IF('#orgDung'!AF109=0,0,AP225/'#orgDung'!AF109))</f>
        <v xml:space="preserve"> </v>
      </c>
      <c r="AS225" s="890">
        <f>IF(OR(B225=0,B225=""),0,MAX('Flächen u. Kulturen'!W105,AT225/B225))</f>
        <v>0</v>
      </c>
      <c r="AT225" s="875">
        <f t="shared" si="151"/>
        <v>0</v>
      </c>
      <c r="AU225" s="120"/>
    </row>
    <row r="226" spans="1:47" s="875" customFormat="1" x14ac:dyDescent="0.2">
      <c r="A226" s="42" t="str">
        <f>IF('Flächen u. Kulturen'!E106="x",IF(AND('#Kürzungen'!$F$2=2,'#BerechnungDBE'!R101=1,'Flächen u. Kulturen'!D106&lt;&gt;"",'#BerechnungDBE'!AF101=70),'Flächen u. Kulturen'!A106,IF(AND('#BerechnungDBE'!S101=1,'Flächen u. Kulturen'!D106&lt;&gt;"",'#BerechnungDBE'!AF101=70),'Flächen u. Kulturen'!A106," "))," ")</f>
        <v xml:space="preserve"> </v>
      </c>
      <c r="B226" s="505" t="str">
        <f>'Flächen u. Kulturen'!D106</f>
        <v/>
      </c>
      <c r="C226" s="42" t="str">
        <f>IF(A226=" "," ",'#BerechnungDBE'!AK101)</f>
        <v xml:space="preserve"> </v>
      </c>
      <c r="D226" s="42" t="str">
        <f>IF(A226=" "," ",'#BerechnungDBE'!CK101)</f>
        <v xml:space="preserve"> </v>
      </c>
      <c r="E226" s="42" t="str">
        <f t="shared" si="163"/>
        <v xml:space="preserve"> </v>
      </c>
      <c r="F226" s="869"/>
      <c r="G226" s="42" t="str">
        <f>IF(A226=" ","",'#BerechnungDBE'!CK101+'#BerechnungDBE'!CM101)</f>
        <v/>
      </c>
      <c r="H226" s="444" t="str">
        <f t="shared" si="152"/>
        <v/>
      </c>
      <c r="I226" s="444">
        <f>IF(A226=" ",0,'#minDung'!R107)</f>
        <v>0</v>
      </c>
      <c r="J226" s="430" t="str">
        <f t="shared" si="164"/>
        <v xml:space="preserve"> </v>
      </c>
      <c r="K226" s="444">
        <f>IF(A226=" ",0,'Flächen u. Kulturen'!W106)</f>
        <v>0</v>
      </c>
      <c r="L226" s="883" t="str">
        <f>IF(B226="","",K226*B226)</f>
        <v/>
      </c>
      <c r="M226" s="444" t="str">
        <f t="shared" si="142"/>
        <v xml:space="preserve"> </v>
      </c>
      <c r="N226" s="444" t="str">
        <f t="shared" si="166"/>
        <v xml:space="preserve"> </v>
      </c>
      <c r="O226" s="911" t="str">
        <f t="shared" si="167"/>
        <v xml:space="preserve"> </v>
      </c>
      <c r="P226" s="912" t="str">
        <f t="shared" si="168"/>
        <v xml:space="preserve"> </v>
      </c>
      <c r="Q226" s="912" t="str">
        <f t="shared" si="169"/>
        <v xml:space="preserve"> </v>
      </c>
      <c r="R226" s="444" t="str">
        <f>IF(A226=" ","",IF(M226&lt;J226-K226,M226,J226-K226))</f>
        <v/>
      </c>
      <c r="S226" s="444" t="str">
        <f t="shared" si="170"/>
        <v/>
      </c>
      <c r="T226" s="444" t="str">
        <f>IF(A226=" "," ",R226*B226)</f>
        <v xml:space="preserve"> </v>
      </c>
      <c r="U226" s="119" t="str">
        <f t="shared" si="171"/>
        <v xml:space="preserve"> </v>
      </c>
      <c r="V226" s="444" t="str">
        <f t="shared" si="153"/>
        <v xml:space="preserve"> </v>
      </c>
      <c r="W226" s="909" t="str">
        <f t="shared" si="154"/>
        <v xml:space="preserve"> </v>
      </c>
      <c r="X226" s="924" t="str">
        <f t="shared" si="172"/>
        <v xml:space="preserve"> </v>
      </c>
      <c r="Y226" s="444" t="str">
        <f t="shared" si="155"/>
        <v xml:space="preserve"> </v>
      </c>
      <c r="Z226" s="444" t="str">
        <f t="shared" si="156"/>
        <v xml:space="preserve"> </v>
      </c>
      <c r="AA226" s="444" t="str">
        <f t="shared" si="157"/>
        <v xml:space="preserve"> </v>
      </c>
      <c r="AB226" s="912" t="str">
        <f t="shared" si="158"/>
        <v xml:space="preserve"> </v>
      </c>
      <c r="AC226" s="912" t="str">
        <f t="shared" si="173"/>
        <v xml:space="preserve"> </v>
      </c>
      <c r="AD226" s="444" t="str">
        <f t="shared" si="159"/>
        <v xml:space="preserve"> </v>
      </c>
      <c r="AE226" s="444" t="str">
        <f t="shared" si="174"/>
        <v/>
      </c>
      <c r="AF226" s="444" t="str">
        <f t="shared" si="160"/>
        <v xml:space="preserve"> </v>
      </c>
      <c r="AG226" s="119" t="str">
        <f t="shared" si="175"/>
        <v xml:space="preserve"> </v>
      </c>
      <c r="AH226" s="444" t="str">
        <f t="shared" si="161"/>
        <v xml:space="preserve"> </v>
      </c>
      <c r="AI226" s="909" t="str">
        <f t="shared" si="162"/>
        <v xml:space="preserve"> </v>
      </c>
      <c r="AJ226" s="879" t="str">
        <f t="shared" si="165"/>
        <v xml:space="preserve"> </v>
      </c>
      <c r="AK226" s="444" t="str">
        <f>IF(A226=" "," ",AJ226*D226/100)</f>
        <v xml:space="preserve"> </v>
      </c>
      <c r="AL226" s="444" t="str">
        <f>IF(A226=" "," ",AK226-AH226)</f>
        <v xml:space="preserve"> </v>
      </c>
      <c r="AM226" s="444" t="str">
        <f>IF(A226=" "," ",AL226*B226)</f>
        <v xml:space="preserve"> </v>
      </c>
      <c r="AN226" s="119" t="str">
        <f t="shared" si="148"/>
        <v xml:space="preserve"> </v>
      </c>
      <c r="AO226" s="444" t="str">
        <f>IF(A226=" "," ",AN226*AL226)</f>
        <v xml:space="preserve"> </v>
      </c>
      <c r="AP226" s="444" t="str">
        <f t="shared" si="150"/>
        <v xml:space="preserve"> </v>
      </c>
      <c r="AQ226" s="123" t="str">
        <f>IF(A226=" "," ",IF('#orgDung'!AF110=0,0,AO226/'#orgDung'!AF110))</f>
        <v xml:space="preserve"> </v>
      </c>
      <c r="AR226" s="47" t="str">
        <f>IF(A226=" "," ",IF('#orgDung'!AF110=0,0,AP226/'#orgDung'!AF110))</f>
        <v xml:space="preserve"> </v>
      </c>
      <c r="AS226" s="890">
        <f>IF(OR(B226=0,B226=""),0,MAX('Flächen u. Kulturen'!W106,AT226/B226))</f>
        <v>0</v>
      </c>
      <c r="AT226" s="875">
        <f t="shared" si="151"/>
        <v>0</v>
      </c>
      <c r="AU226" s="120"/>
    </row>
    <row r="227" spans="1:47" s="875" customFormat="1" x14ac:dyDescent="0.2">
      <c r="A227" s="42" t="str">
        <f>IF('Flächen u. Kulturen'!E107="x",IF(AND('#Kürzungen'!$F$2=2,'#BerechnungDBE'!R102=1,'Flächen u. Kulturen'!D107&lt;&gt;"",'#BerechnungDBE'!AF102=70),'Flächen u. Kulturen'!A107,IF(AND('#BerechnungDBE'!S102=1,'Flächen u. Kulturen'!D107&lt;&gt;"",'#BerechnungDBE'!AF102=70),'Flächen u. Kulturen'!A107," "))," ")</f>
        <v xml:space="preserve"> </v>
      </c>
      <c r="B227" s="505" t="str">
        <f>'Flächen u. Kulturen'!D107</f>
        <v/>
      </c>
      <c r="C227" s="42" t="str">
        <f>IF(A227=" "," ",'#BerechnungDBE'!AK102)</f>
        <v xml:space="preserve"> </v>
      </c>
      <c r="D227" s="42" t="str">
        <f>IF(A227=" "," ",'#BerechnungDBE'!CK102)</f>
        <v xml:space="preserve"> </v>
      </c>
      <c r="E227" s="42" t="str">
        <f t="shared" si="163"/>
        <v xml:space="preserve"> </v>
      </c>
      <c r="F227" s="869"/>
      <c r="G227" s="42" t="str">
        <f>IF(A227=" ","",'#BerechnungDBE'!CK102+'#BerechnungDBE'!CM102)</f>
        <v/>
      </c>
      <c r="H227" s="444" t="str">
        <f t="shared" si="152"/>
        <v/>
      </c>
      <c r="I227" s="444">
        <f>IF(A227=" ",0,'#minDung'!R108)</f>
        <v>0</v>
      </c>
      <c r="J227" s="430" t="str">
        <f t="shared" si="164"/>
        <v xml:space="preserve"> </v>
      </c>
      <c r="K227" s="444">
        <f>IF(A227=" ",0,'Flächen u. Kulturen'!W107)</f>
        <v>0</v>
      </c>
      <c r="L227" s="883" t="str">
        <f>IF(B227="","",K227*B227)</f>
        <v/>
      </c>
      <c r="M227" s="444" t="str">
        <f t="shared" si="142"/>
        <v xml:space="preserve"> </v>
      </c>
      <c r="N227" s="444" t="str">
        <f t="shared" si="166"/>
        <v xml:space="preserve"> </v>
      </c>
      <c r="O227" s="911" t="str">
        <f t="shared" si="167"/>
        <v xml:space="preserve"> </v>
      </c>
      <c r="P227" s="912" t="str">
        <f t="shared" si="168"/>
        <v xml:space="preserve"> </v>
      </c>
      <c r="Q227" s="912" t="str">
        <f t="shared" si="169"/>
        <v xml:space="preserve"> </v>
      </c>
      <c r="R227" s="444" t="str">
        <f>IF(A227=" ","",IF(M227&lt;J227-K227,M227,J227-K227))</f>
        <v/>
      </c>
      <c r="S227" s="444" t="str">
        <f t="shared" si="170"/>
        <v/>
      </c>
      <c r="T227" s="444" t="str">
        <f>IF(A227=" "," ",R227*B227)</f>
        <v xml:space="preserve"> </v>
      </c>
      <c r="U227" s="119" t="str">
        <f t="shared" si="171"/>
        <v xml:space="preserve"> </v>
      </c>
      <c r="V227" s="444" t="str">
        <f t="shared" si="153"/>
        <v xml:space="preserve"> </v>
      </c>
      <c r="W227" s="909" t="str">
        <f t="shared" si="154"/>
        <v xml:space="preserve"> </v>
      </c>
      <c r="X227" s="924" t="str">
        <f t="shared" si="172"/>
        <v xml:space="preserve"> </v>
      </c>
      <c r="Y227" s="444" t="str">
        <f t="shared" si="155"/>
        <v xml:space="preserve"> </v>
      </c>
      <c r="Z227" s="444" t="str">
        <f t="shared" si="156"/>
        <v xml:space="preserve"> </v>
      </c>
      <c r="AA227" s="444" t="str">
        <f t="shared" si="157"/>
        <v xml:space="preserve"> </v>
      </c>
      <c r="AB227" s="912" t="str">
        <f t="shared" si="158"/>
        <v xml:space="preserve"> </v>
      </c>
      <c r="AC227" s="912" t="str">
        <f t="shared" si="173"/>
        <v xml:space="preserve"> </v>
      </c>
      <c r="AD227" s="444" t="str">
        <f t="shared" si="159"/>
        <v xml:space="preserve"> </v>
      </c>
      <c r="AE227" s="444" t="str">
        <f t="shared" si="174"/>
        <v/>
      </c>
      <c r="AF227" s="444" t="str">
        <f t="shared" si="160"/>
        <v xml:space="preserve"> </v>
      </c>
      <c r="AG227" s="119" t="str">
        <f t="shared" si="175"/>
        <v xml:space="preserve"> </v>
      </c>
      <c r="AH227" s="444" t="str">
        <f t="shared" si="161"/>
        <v xml:space="preserve"> </v>
      </c>
      <c r="AI227" s="909" t="str">
        <f t="shared" si="162"/>
        <v xml:space="preserve"> </v>
      </c>
      <c r="AJ227" s="879" t="str">
        <f t="shared" si="165"/>
        <v xml:space="preserve"> </v>
      </c>
      <c r="AK227" s="444" t="str">
        <f>IF(A227=" "," ",AJ227*D227/100)</f>
        <v xml:space="preserve"> </v>
      </c>
      <c r="AL227" s="444" t="str">
        <f>IF(A227=" "," ",AK227-AH227)</f>
        <v xml:space="preserve"> </v>
      </c>
      <c r="AM227" s="444" t="str">
        <f>IF(A227=" "," ",AL227*B227)</f>
        <v xml:space="preserve"> </v>
      </c>
      <c r="AN227" s="119" t="str">
        <f t="shared" si="148"/>
        <v xml:space="preserve"> </v>
      </c>
      <c r="AO227" s="444" t="str">
        <f>IF(A227=" "," ",AN227*AL227)</f>
        <v xml:space="preserve"> </v>
      </c>
      <c r="AP227" s="444" t="str">
        <f t="shared" si="150"/>
        <v xml:space="preserve"> </v>
      </c>
      <c r="AQ227" s="123" t="str">
        <f>IF(A227=" "," ",IF('#orgDung'!AF111=0,0,AO227/'#orgDung'!AF111))</f>
        <v xml:space="preserve"> </v>
      </c>
      <c r="AR227" s="47" t="str">
        <f>IF(A227=" "," ",IF('#orgDung'!AF111=0,0,AP227/'#orgDung'!AF111))</f>
        <v xml:space="preserve"> </v>
      </c>
      <c r="AS227" s="890">
        <f>IF(OR(B227=0,B227=""),0,MAX('Flächen u. Kulturen'!W107,AT227/B227))</f>
        <v>0</v>
      </c>
      <c r="AT227" s="875">
        <f t="shared" si="151"/>
        <v>0</v>
      </c>
      <c r="AU227" s="120"/>
    </row>
    <row r="228" spans="1:47" s="875" customFormat="1" x14ac:dyDescent="0.2">
      <c r="A228" s="42" t="str">
        <f>IF('Flächen u. Kulturen'!E108="x",IF(AND('#Kürzungen'!$F$2=2,'#BerechnungDBE'!R103=1,'Flächen u. Kulturen'!D108&lt;&gt;"",'#BerechnungDBE'!AF103=70),'Flächen u. Kulturen'!A108,IF(AND('#BerechnungDBE'!S103=1,'Flächen u. Kulturen'!D108&lt;&gt;"",'#BerechnungDBE'!AF103=70),'Flächen u. Kulturen'!A108," "))," ")</f>
        <v xml:space="preserve"> </v>
      </c>
      <c r="B228" s="505" t="str">
        <f>'Flächen u. Kulturen'!D108</f>
        <v/>
      </c>
      <c r="C228" s="42" t="str">
        <f>IF(A228=" "," ",'#BerechnungDBE'!AK103)</f>
        <v xml:space="preserve"> </v>
      </c>
      <c r="D228" s="42" t="str">
        <f>IF(A228=" "," ",'#BerechnungDBE'!CK103)</f>
        <v xml:space="preserve"> </v>
      </c>
      <c r="E228" s="42" t="str">
        <f t="shared" si="163"/>
        <v xml:space="preserve"> </v>
      </c>
      <c r="F228" s="869"/>
      <c r="G228" s="42" t="str">
        <f>IF(A228=" ","",'#BerechnungDBE'!CK103+'#BerechnungDBE'!CM103)</f>
        <v/>
      </c>
      <c r="H228" s="444" t="str">
        <f t="shared" si="152"/>
        <v/>
      </c>
      <c r="I228" s="444">
        <f>IF(A228=" ",0,'#minDung'!R109)</f>
        <v>0</v>
      </c>
      <c r="J228" s="430" t="str">
        <f t="shared" si="164"/>
        <v xml:space="preserve"> </v>
      </c>
      <c r="K228" s="444">
        <f>IF(A228=" ",0,'Flächen u. Kulturen'!W108)</f>
        <v>0</v>
      </c>
      <c r="L228" s="883" t="str">
        <f>IF(B228="","",K228*B228)</f>
        <v/>
      </c>
      <c r="M228" s="444" t="str">
        <f t="shared" si="142"/>
        <v xml:space="preserve"> </v>
      </c>
      <c r="N228" s="444" t="str">
        <f t="shared" si="166"/>
        <v xml:space="preserve"> </v>
      </c>
      <c r="O228" s="911" t="str">
        <f t="shared" si="167"/>
        <v xml:space="preserve"> </v>
      </c>
      <c r="P228" s="912" t="str">
        <f t="shared" si="168"/>
        <v xml:space="preserve"> </v>
      </c>
      <c r="Q228" s="912" t="str">
        <f t="shared" si="169"/>
        <v xml:space="preserve"> </v>
      </c>
      <c r="R228" s="444" t="str">
        <f>IF(A228=" ","",IF(M228&lt;J228-K228,M228,J228-K228))</f>
        <v/>
      </c>
      <c r="S228" s="444" t="str">
        <f t="shared" si="170"/>
        <v/>
      </c>
      <c r="T228" s="444" t="str">
        <f>IF(A228=" "," ",R228*B228)</f>
        <v xml:space="preserve"> </v>
      </c>
      <c r="U228" s="119" t="str">
        <f t="shared" si="171"/>
        <v xml:space="preserve"> </v>
      </c>
      <c r="V228" s="444" t="str">
        <f t="shared" si="153"/>
        <v xml:space="preserve"> </v>
      </c>
      <c r="W228" s="909" t="str">
        <f t="shared" si="154"/>
        <v xml:space="preserve"> </v>
      </c>
      <c r="X228" s="924" t="str">
        <f t="shared" si="172"/>
        <v xml:space="preserve"> </v>
      </c>
      <c r="Y228" s="444" t="str">
        <f t="shared" si="155"/>
        <v xml:space="preserve"> </v>
      </c>
      <c r="Z228" s="444" t="str">
        <f t="shared" si="156"/>
        <v xml:space="preserve"> </v>
      </c>
      <c r="AA228" s="444" t="str">
        <f t="shared" si="157"/>
        <v xml:space="preserve"> </v>
      </c>
      <c r="AB228" s="912" t="str">
        <f t="shared" si="158"/>
        <v xml:space="preserve"> </v>
      </c>
      <c r="AC228" s="912" t="str">
        <f t="shared" si="173"/>
        <v xml:space="preserve"> </v>
      </c>
      <c r="AD228" s="444" t="str">
        <f t="shared" si="159"/>
        <v xml:space="preserve"> </v>
      </c>
      <c r="AE228" s="444" t="str">
        <f t="shared" si="174"/>
        <v/>
      </c>
      <c r="AF228" s="444" t="str">
        <f t="shared" si="160"/>
        <v xml:space="preserve"> </v>
      </c>
      <c r="AG228" s="119" t="str">
        <f t="shared" si="175"/>
        <v xml:space="preserve"> </v>
      </c>
      <c r="AH228" s="444" t="str">
        <f t="shared" si="161"/>
        <v xml:space="preserve"> </v>
      </c>
      <c r="AI228" s="909" t="str">
        <f t="shared" si="162"/>
        <v xml:space="preserve"> </v>
      </c>
      <c r="AJ228" s="879" t="str">
        <f t="shared" si="165"/>
        <v xml:space="preserve"> </v>
      </c>
      <c r="AK228" s="444" t="str">
        <f>IF(A228=" "," ",AJ228*D228/100)</f>
        <v xml:space="preserve"> </v>
      </c>
      <c r="AL228" s="444" t="str">
        <f>IF(A228=" "," ",AK228-AH228)</f>
        <v xml:space="preserve"> </v>
      </c>
      <c r="AM228" s="444" t="str">
        <f>IF(A228=" "," ",AL228*B228)</f>
        <v xml:space="preserve"> </v>
      </c>
      <c r="AN228" s="119" t="str">
        <f t="shared" si="148"/>
        <v xml:space="preserve"> </v>
      </c>
      <c r="AO228" s="444" t="str">
        <f>IF(A228=" "," ",AN228*AL228)</f>
        <v xml:space="preserve"> </v>
      </c>
      <c r="AP228" s="444" t="str">
        <f t="shared" si="150"/>
        <v xml:space="preserve"> </v>
      </c>
      <c r="AQ228" s="123" t="str">
        <f>IF(A228=" "," ",IF('#orgDung'!AF112=0,0,AO228/'#orgDung'!AF112))</f>
        <v xml:space="preserve"> </v>
      </c>
      <c r="AR228" s="47" t="str">
        <f>IF(A228=" "," ",IF('#orgDung'!AF112=0,0,AP228/'#orgDung'!AF112))</f>
        <v xml:space="preserve"> </v>
      </c>
      <c r="AS228" s="890">
        <f>IF(OR(B228=0,B228=""),0,MAX('Flächen u. Kulturen'!W108,AT228/B228))</f>
        <v>0</v>
      </c>
      <c r="AT228" s="875">
        <f t="shared" si="151"/>
        <v>0</v>
      </c>
      <c r="AU228" s="120"/>
    </row>
    <row r="229" spans="1:47" s="875" customFormat="1" x14ac:dyDescent="0.2">
      <c r="A229" s="42" t="str">
        <f>IF('Flächen u. Kulturen'!E109="x",IF(AND('#Kürzungen'!$F$2=2,'#BerechnungDBE'!R104=1,'Flächen u. Kulturen'!D109&lt;&gt;"",'#BerechnungDBE'!AF104=70),'Flächen u. Kulturen'!A109,IF(AND('#BerechnungDBE'!S104=1,'Flächen u. Kulturen'!D109&lt;&gt;"",'#BerechnungDBE'!AF104=70),'Flächen u. Kulturen'!A109," "))," ")</f>
        <v xml:space="preserve"> </v>
      </c>
      <c r="B229" s="505" t="str">
        <f>'Flächen u. Kulturen'!D109</f>
        <v/>
      </c>
      <c r="C229" s="42" t="str">
        <f>IF(A229=" "," ",'#BerechnungDBE'!AK104)</f>
        <v xml:space="preserve"> </v>
      </c>
      <c r="D229" s="42" t="str">
        <f>IF(A229=" "," ",'#BerechnungDBE'!CK104)</f>
        <v xml:space="preserve"> </v>
      </c>
      <c r="E229" s="42" t="str">
        <f t="shared" si="163"/>
        <v xml:space="preserve"> </v>
      </c>
      <c r="F229" s="869"/>
      <c r="G229" s="42" t="str">
        <f>IF(A229=" ","",'#BerechnungDBE'!CK104+'#BerechnungDBE'!CM104)</f>
        <v/>
      </c>
      <c r="H229" s="444" t="str">
        <f>IF(A229=" ","",MAX(0,G229))</f>
        <v/>
      </c>
      <c r="I229" s="444">
        <f>IF(A229=" ",0,'#minDung'!R110)</f>
        <v>0</v>
      </c>
      <c r="J229" s="430" t="str">
        <f t="shared" si="164"/>
        <v xml:space="preserve"> </v>
      </c>
      <c r="K229" s="444">
        <f>IF(A229=" ",0,'Flächen u. Kulturen'!W109)</f>
        <v>0</v>
      </c>
      <c r="L229" s="883" t="str">
        <f>IF(B229="","",K229*B229)</f>
        <v/>
      </c>
      <c r="M229" s="444" t="str">
        <f t="shared" si="142"/>
        <v xml:space="preserve"> </v>
      </c>
      <c r="N229" s="444" t="str">
        <f t="shared" si="166"/>
        <v xml:space="preserve"> </v>
      </c>
      <c r="O229" s="911" t="str">
        <f t="shared" si="167"/>
        <v xml:space="preserve"> </v>
      </c>
      <c r="P229" s="912" t="str">
        <f t="shared" si="168"/>
        <v xml:space="preserve"> </v>
      </c>
      <c r="Q229" s="912" t="str">
        <f t="shared" si="169"/>
        <v xml:space="preserve"> </v>
      </c>
      <c r="R229" s="444" t="str">
        <f>IF(A229=" ","",IF(M229&lt;J229-K229,M229,J229-K229))</f>
        <v/>
      </c>
      <c r="S229" s="444" t="str">
        <f t="shared" si="170"/>
        <v/>
      </c>
      <c r="T229" s="444" t="str">
        <f>IF(A229=" "," ",R229*B229)</f>
        <v xml:space="preserve"> </v>
      </c>
      <c r="U229" s="119" t="str">
        <f t="shared" si="171"/>
        <v xml:space="preserve"> </v>
      </c>
      <c r="V229" s="444" t="str">
        <f t="shared" si="153"/>
        <v xml:space="preserve"> </v>
      </c>
      <c r="W229" s="909" t="str">
        <f t="shared" si="154"/>
        <v xml:space="preserve"> </v>
      </c>
      <c r="X229" s="924" t="str">
        <f t="shared" si="172"/>
        <v xml:space="preserve"> </v>
      </c>
      <c r="Y229" s="444" t="str">
        <f t="shared" si="155"/>
        <v xml:space="preserve"> </v>
      </c>
      <c r="Z229" s="444" t="str">
        <f t="shared" si="156"/>
        <v xml:space="preserve"> </v>
      </c>
      <c r="AA229" s="444" t="str">
        <f t="shared" si="157"/>
        <v xml:space="preserve"> </v>
      </c>
      <c r="AB229" s="912" t="str">
        <f t="shared" si="158"/>
        <v xml:space="preserve"> </v>
      </c>
      <c r="AC229" s="912" t="str">
        <f t="shared" si="173"/>
        <v xml:space="preserve"> </v>
      </c>
      <c r="AD229" s="444" t="str">
        <f t="shared" si="159"/>
        <v xml:space="preserve"> </v>
      </c>
      <c r="AE229" s="444" t="str">
        <f t="shared" si="174"/>
        <v/>
      </c>
      <c r="AF229" s="444" t="str">
        <f t="shared" si="160"/>
        <v xml:space="preserve"> </v>
      </c>
      <c r="AG229" s="119" t="str">
        <f t="shared" si="175"/>
        <v xml:space="preserve"> </v>
      </c>
      <c r="AH229" s="444" t="str">
        <f t="shared" si="161"/>
        <v xml:space="preserve"> </v>
      </c>
      <c r="AI229" s="909" t="str">
        <f t="shared" si="162"/>
        <v xml:space="preserve"> </v>
      </c>
      <c r="AJ229" s="879" t="str">
        <f t="shared" si="165"/>
        <v xml:space="preserve"> </v>
      </c>
      <c r="AK229" s="444" t="str">
        <f>IF(A229=" "," ",AJ229*D229/100)</f>
        <v xml:space="preserve"> </v>
      </c>
      <c r="AL229" s="444" t="str">
        <f>IF(A229=" "," ",AK229-AH229)</f>
        <v xml:space="preserve"> </v>
      </c>
      <c r="AM229" s="444" t="str">
        <f>IF(A229=" "," ",AL229*B229)</f>
        <v xml:space="preserve"> </v>
      </c>
      <c r="AN229" s="119" t="str">
        <f t="shared" si="148"/>
        <v xml:space="preserve"> </v>
      </c>
      <c r="AO229" s="444" t="str">
        <f>IF(A229=" "," ",AN229*AL229)</f>
        <v xml:space="preserve"> </v>
      </c>
      <c r="AP229" s="444" t="str">
        <f t="shared" si="150"/>
        <v xml:space="preserve"> </v>
      </c>
      <c r="AQ229" s="123" t="str">
        <f>IF(A229=" "," ",IF('#orgDung'!AF113=0,0,AO229/'#orgDung'!AF113))</f>
        <v xml:space="preserve"> </v>
      </c>
      <c r="AR229" s="47" t="str">
        <f>IF(A229=" "," ",IF('#orgDung'!AF113=0,0,AP229/'#orgDung'!AF113))</f>
        <v xml:space="preserve"> </v>
      </c>
      <c r="AS229" s="890">
        <f>IF(OR(B229=0,B229=""),0,MAX('Flächen u. Kulturen'!W109,AT229/B229))</f>
        <v>0</v>
      </c>
      <c r="AT229" s="875">
        <f t="shared" si="151"/>
        <v>0</v>
      </c>
      <c r="AU229" s="120"/>
    </row>
    <row r="230" spans="1:47" s="57" customFormat="1" x14ac:dyDescent="0.2">
      <c r="A230" s="852"/>
      <c r="B230" s="507"/>
      <c r="C230" s="853"/>
      <c r="D230" s="853"/>
      <c r="E230" s="853">
        <f>SUM(E29:E229)</f>
        <v>0</v>
      </c>
      <c r="F230" s="853"/>
      <c r="G230" s="853">
        <f>COUNTIF(G29:G229,"&lt;-0,1")</f>
        <v>0</v>
      </c>
      <c r="H230" s="832"/>
      <c r="I230" s="832"/>
      <c r="J230" s="832"/>
      <c r="K230" s="832"/>
      <c r="L230" s="832"/>
      <c r="M230" s="831"/>
      <c r="N230" s="907"/>
      <c r="O230" s="911"/>
      <c r="P230" s="911"/>
      <c r="Q230" s="911"/>
      <c r="R230" s="832"/>
      <c r="S230" s="907"/>
      <c r="T230" s="832"/>
      <c r="U230" s="854"/>
      <c r="V230" s="832"/>
      <c r="W230" s="833"/>
      <c r="X230" s="831"/>
      <c r="Y230" s="832"/>
      <c r="Z230" s="444"/>
      <c r="AA230" s="907"/>
      <c r="AB230" s="907"/>
      <c r="AC230" s="907"/>
      <c r="AD230" s="832"/>
      <c r="AE230" s="907"/>
      <c r="AF230" s="832"/>
      <c r="AG230" s="854"/>
      <c r="AH230" s="832"/>
      <c r="AI230" s="833"/>
      <c r="AJ230" s="831"/>
      <c r="AK230" s="832"/>
      <c r="AL230" s="832"/>
      <c r="AM230" s="832"/>
      <c r="AN230" s="854"/>
      <c r="AO230" s="832"/>
      <c r="AP230" s="832"/>
      <c r="AQ230" s="832"/>
      <c r="AR230" s="833"/>
    </row>
    <row r="231" spans="1:47" x14ac:dyDescent="0.2">
      <c r="A231" s="447"/>
      <c r="B231" s="94"/>
      <c r="C231" s="828" t="s">
        <v>1520</v>
      </c>
      <c r="D231" s="91"/>
      <c r="E231" s="91">
        <f>IF(F2=1,E230*0.2,IF(F2=2,'Optimierung rote Flächen'!O24+'Optimierung rote Flächen'!P24,0))</f>
        <v>0</v>
      </c>
      <c r="F231" s="91"/>
      <c r="G231" s="40"/>
      <c r="H231" s="124"/>
      <c r="I231" s="374"/>
      <c r="J231" s="374"/>
      <c r="K231" s="435"/>
      <c r="L231" s="466">
        <f>SUM(L29:L229)</f>
        <v>0</v>
      </c>
      <c r="M231" s="84"/>
      <c r="N231" s="444">
        <f>SUM(N29:N229)</f>
        <v>0</v>
      </c>
      <c r="O231" s="911">
        <f>MAX(0,IF(N231&lt;=L232,1,IF(N231&lt;=0,0,L232/N231)))</f>
        <v>1</v>
      </c>
      <c r="P231" s="911"/>
      <c r="Q231" s="444"/>
      <c r="R231" s="44"/>
      <c r="S231" s="444">
        <f>COUNT(S29:S229)</f>
        <v>0</v>
      </c>
      <c r="T231" s="44">
        <f>SUM(T29:T229)</f>
        <v>0</v>
      </c>
      <c r="U231" s="119">
        <f>MAX(0,IF(T231&lt;=L232,1,IF(T231&lt;=0,0,IF(S231=0,O231,(L232-S232)/(T231-S231)))))</f>
        <v>1</v>
      </c>
      <c r="V231" s="44"/>
      <c r="W231" s="89">
        <f>SUM(W29:W229)</f>
        <v>0</v>
      </c>
      <c r="X231" s="84"/>
      <c r="Y231" s="44"/>
      <c r="Z231" s="444">
        <f>SUM(Z29:Z229)</f>
        <v>0</v>
      </c>
      <c r="AA231" s="911">
        <f>MAX(0,IF(Z231&lt;=W232,1,IF(Z231&lt;=0,0,W232/Z231)))</f>
        <v>1</v>
      </c>
      <c r="AB231" s="444"/>
      <c r="AC231" s="444"/>
      <c r="AD231" s="44"/>
      <c r="AE231" s="444">
        <f>COUNT(AE29:AE229)</f>
        <v>0</v>
      </c>
      <c r="AF231" s="44">
        <f>SUM(AF29:AF229)</f>
        <v>0</v>
      </c>
      <c r="AG231" s="119">
        <f>MAX(0,IF(AF231&lt;=W232,1,IF(AF231&lt;=0,0,IF(AE231=0,AA231,(W232-AE232)/(AF231-AE231)))))</f>
        <v>1</v>
      </c>
      <c r="AH231" s="46"/>
      <c r="AI231" s="89">
        <f>SUM(AI29:AI229)</f>
        <v>0</v>
      </c>
      <c r="AJ231" s="84"/>
      <c r="AK231" s="44"/>
      <c r="AL231" s="44"/>
      <c r="AM231" s="45">
        <f>SUM(AM29:AM128)</f>
        <v>0</v>
      </c>
      <c r="AN231" s="121">
        <f>MAX(0,IF(AM231&lt;=AI232,1,IF(AM231=0,0,AI232/AM231)))</f>
        <v>1</v>
      </c>
      <c r="AO231" s="46"/>
      <c r="AP231" s="45">
        <f>SUM(AP29:AP229)</f>
        <v>0</v>
      </c>
      <c r="AQ231" s="46"/>
      <c r="AR231" s="47"/>
      <c r="AS231"/>
      <c r="AT231"/>
      <c r="AU231" s="118"/>
    </row>
    <row r="232" spans="1:47" ht="21" x14ac:dyDescent="0.35">
      <c r="A232" s="447"/>
      <c r="B232" s="91"/>
      <c r="C232" s="91"/>
      <c r="D232" s="91"/>
      <c r="E232"/>
      <c r="F232" s="91"/>
      <c r="G232" s="40"/>
      <c r="H232" s="112"/>
      <c r="I232" s="112"/>
      <c r="J232" s="112"/>
      <c r="K232" s="112"/>
      <c r="L232" s="467">
        <f>+E231-L231</f>
        <v>0</v>
      </c>
      <c r="M232" s="84"/>
      <c r="N232" s="444"/>
      <c r="O232" s="444"/>
      <c r="P232" s="444"/>
      <c r="Q232" s="444"/>
      <c r="R232" s="44"/>
      <c r="S232" s="444">
        <f>SUM(S29:S229)</f>
        <v>0</v>
      </c>
      <c r="U232" s="44"/>
      <c r="V232" s="44"/>
      <c r="W232" s="466">
        <f>+L232-W231</f>
        <v>0</v>
      </c>
      <c r="X232" s="84"/>
      <c r="Y232" s="44"/>
      <c r="Z232" s="444"/>
      <c r="AA232" s="444"/>
      <c r="AB232" s="444"/>
      <c r="AC232" s="444"/>
      <c r="AD232" s="44"/>
      <c r="AE232" s="444">
        <f>SUM(AE29:AE229)</f>
        <v>0</v>
      </c>
      <c r="AH232" s="44"/>
      <c r="AI232" s="113">
        <f>+W232-AI231</f>
        <v>0</v>
      </c>
      <c r="AJ232" s="84"/>
      <c r="AK232" s="44"/>
      <c r="AL232" s="44"/>
      <c r="AM232" s="46"/>
      <c r="AN232" s="46"/>
      <c r="AO232" s="46"/>
      <c r="AP232" s="46"/>
      <c r="AQ232" s="46"/>
      <c r="AR232" s="47"/>
      <c r="AS232">
        <f>SUM(AS29:AS128)</f>
        <v>0</v>
      </c>
      <c r="AT232" s="98">
        <f>SUM(AT29:AT128)</f>
        <v>0</v>
      </c>
    </row>
    <row r="233" spans="1:47" ht="15" x14ac:dyDescent="0.2">
      <c r="A233" s="91"/>
      <c r="B233" s="91"/>
      <c r="C233" s="91"/>
      <c r="D233" s="91"/>
      <c r="E233" s="91"/>
      <c r="F233" s="91"/>
      <c r="G233" s="40"/>
      <c r="H233" s="91"/>
      <c r="I233" s="374"/>
      <c r="J233" s="374"/>
      <c r="K233" s="435"/>
      <c r="L233" s="435"/>
      <c r="M233" s="110"/>
      <c r="N233" s="45"/>
      <c r="O233" s="45"/>
      <c r="P233" s="45"/>
      <c r="Q233" s="45"/>
      <c r="R233" s="45"/>
      <c r="S233" s="45"/>
      <c r="T233" s="45"/>
      <c r="U233" s="45"/>
      <c r="V233" s="45"/>
      <c r="W233" s="71"/>
      <c r="X233" s="110"/>
      <c r="Y233" s="45"/>
      <c r="Z233" s="45"/>
      <c r="AA233" s="45"/>
      <c r="AB233" s="45"/>
      <c r="AC233" s="45"/>
      <c r="AD233" s="45"/>
      <c r="AE233" s="45"/>
      <c r="AF233" s="45"/>
      <c r="AG233" s="45"/>
      <c r="AH233" s="45"/>
      <c r="AJ233" s="110"/>
      <c r="AK233" s="45"/>
      <c r="AL233" s="45"/>
      <c r="AO233" s="45"/>
      <c r="AQ233" s="45"/>
      <c r="AR233" s="113">
        <f>AI232-AP231</f>
        <v>0</v>
      </c>
      <c r="AS233" s="583">
        <f>IF(AND(F2=2,AR233=0),1,0)</f>
        <v>0</v>
      </c>
      <c r="AT233" s="134" t="str">
        <f>IF(F2=3,AT238,IF(G230&gt;0,AT240,IF(AR233&lt;=0,IF(AP231&gt;0,AT241,IF(AS233=1,AT239,AT237)),AT242)))</f>
        <v>Kürzung des Düngebedarfs um 20 % (ohne Optimierung).</v>
      </c>
    </row>
    <row r="234" spans="1:47" x14ac:dyDescent="0.2">
      <c r="A234" s="115"/>
      <c r="B234" s="91"/>
      <c r="C234" s="97"/>
      <c r="D234" s="97"/>
      <c r="E234" s="91"/>
      <c r="F234" s="91"/>
      <c r="G234" s="40"/>
      <c r="H234" s="91"/>
      <c r="I234" s="374"/>
      <c r="J234" s="374"/>
      <c r="K234" s="435"/>
      <c r="L234" s="435"/>
      <c r="M234" s="91"/>
      <c r="N234" s="891"/>
      <c r="O234" s="891"/>
      <c r="P234" s="891"/>
      <c r="Q234" s="891"/>
      <c r="R234" s="91"/>
      <c r="S234" s="891"/>
      <c r="T234" s="91"/>
      <c r="U234" s="91"/>
      <c r="V234" s="91"/>
      <c r="W234" s="91"/>
      <c r="X234" s="91"/>
      <c r="Y234" s="91"/>
      <c r="Z234" s="891"/>
      <c r="AA234" s="891"/>
      <c r="AB234" s="891"/>
      <c r="AC234" s="891"/>
      <c r="AD234" s="91"/>
      <c r="AE234" s="891"/>
      <c r="AF234" s="91"/>
      <c r="AG234" s="91"/>
      <c r="AH234" s="91"/>
      <c r="AI234" s="91"/>
      <c r="AJ234" s="91"/>
      <c r="AK234" s="91"/>
      <c r="AL234" s="91"/>
      <c r="AM234" s="91"/>
      <c r="AN234" s="91"/>
      <c r="AO234" s="91"/>
      <c r="AP234" s="116"/>
      <c r="AQ234" s="116"/>
      <c r="AR234" s="114"/>
      <c r="AS234" s="126" t="s">
        <v>310</v>
      </c>
      <c r="AT234"/>
    </row>
    <row r="235" spans="1:47" x14ac:dyDescent="0.2">
      <c r="B235" s="91"/>
      <c r="C235" s="91"/>
      <c r="D235" s="91"/>
      <c r="E235" s="91"/>
      <c r="F235" s="91"/>
      <c r="G235" s="40"/>
      <c r="H235" s="91"/>
      <c r="I235" s="374"/>
      <c r="J235" s="374"/>
      <c r="K235" s="435"/>
      <c r="L235" s="435"/>
      <c r="M235" s="91"/>
      <c r="N235" s="891"/>
      <c r="O235" s="891"/>
      <c r="P235" s="891"/>
      <c r="Q235" s="891"/>
      <c r="R235" s="91"/>
      <c r="S235" s="891"/>
      <c r="T235" s="91"/>
      <c r="U235" s="91"/>
      <c r="V235" s="91"/>
      <c r="W235" s="91"/>
      <c r="X235" s="91"/>
      <c r="Y235" s="91"/>
      <c r="Z235" s="891"/>
      <c r="AA235" s="891"/>
      <c r="AB235" s="891"/>
      <c r="AC235" s="891"/>
      <c r="AD235" s="91"/>
      <c r="AE235" s="891"/>
      <c r="AF235" s="91"/>
      <c r="AG235" s="91"/>
      <c r="AH235" s="91"/>
      <c r="AI235" s="91"/>
      <c r="AJ235" s="91"/>
      <c r="AK235" s="91"/>
      <c r="AL235" s="91"/>
      <c r="AM235" s="91"/>
      <c r="AN235" s="91"/>
      <c r="AO235" s="91"/>
      <c r="AS235"/>
      <c r="AT235"/>
    </row>
    <row r="236" spans="1:47" x14ac:dyDescent="0.2">
      <c r="B236" s="97"/>
      <c r="D236" s="91"/>
      <c r="E236" s="91"/>
      <c r="F236" s="91"/>
      <c r="G236" s="40"/>
      <c r="H236" s="91"/>
      <c r="I236" s="374"/>
      <c r="J236" s="374"/>
      <c r="K236" s="435"/>
      <c r="L236" s="435"/>
      <c r="M236" s="91"/>
      <c r="N236" s="891"/>
      <c r="O236" s="891"/>
      <c r="P236" s="891"/>
      <c r="Q236" s="891"/>
      <c r="R236" s="91"/>
      <c r="S236" s="891"/>
      <c r="T236" s="91"/>
      <c r="U236" s="91"/>
      <c r="V236" s="91"/>
      <c r="W236" s="91"/>
      <c r="X236" s="91"/>
      <c r="Y236" s="91"/>
      <c r="Z236" s="891"/>
      <c r="AA236" s="891"/>
      <c r="AB236" s="891"/>
      <c r="AC236" s="891"/>
      <c r="AD236" s="91"/>
      <c r="AE236" s="891"/>
      <c r="AF236" s="91"/>
      <c r="AG236" s="91"/>
      <c r="AH236" s="91"/>
      <c r="AI236" s="91"/>
      <c r="AJ236" s="91"/>
      <c r="AK236" s="91"/>
      <c r="AL236" s="91"/>
      <c r="AM236" s="91"/>
    </row>
    <row r="237" spans="1:47" x14ac:dyDescent="0.2">
      <c r="A237" s="97"/>
      <c r="B237" s="91"/>
      <c r="C237" s="91"/>
      <c r="D237" s="96"/>
      <c r="E237" s="91"/>
      <c r="F237" s="91"/>
      <c r="G237" s="40"/>
      <c r="H237" s="91"/>
      <c r="I237" s="374"/>
      <c r="J237" s="374"/>
      <c r="K237" s="435"/>
      <c r="L237" s="435"/>
      <c r="AT237" s="376" t="s">
        <v>1245</v>
      </c>
    </row>
    <row r="238" spans="1:47" x14ac:dyDescent="0.2">
      <c r="AT238" s="376" t="s">
        <v>1244</v>
      </c>
    </row>
    <row r="239" spans="1:47" x14ac:dyDescent="0.2">
      <c r="AT239" s="376" t="s">
        <v>1243</v>
      </c>
    </row>
    <row r="240" spans="1:47" x14ac:dyDescent="0.2">
      <c r="AT240" s="492" t="s">
        <v>2434</v>
      </c>
    </row>
    <row r="241" spans="1:46" x14ac:dyDescent="0.2">
      <c r="AT241" s="492" t="s">
        <v>1241</v>
      </c>
    </row>
    <row r="242" spans="1:46" x14ac:dyDescent="0.2">
      <c r="A242" s="829"/>
      <c r="AT242" s="614" t="s">
        <v>1242</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AJ26:AK26"/>
    <mergeCell ref="AS26:AT26"/>
    <mergeCell ref="AS25:AT25"/>
    <mergeCell ref="AJ25:AR25"/>
    <mergeCell ref="AO26:AR26"/>
    <mergeCell ref="C3:D3"/>
    <mergeCell ref="C4:D4"/>
    <mergeCell ref="M25:W25"/>
    <mergeCell ref="X25:AI25"/>
    <mergeCell ref="D26:E26"/>
    <mergeCell ref="V26:W26"/>
    <mergeCell ref="AH26:AI26"/>
    <mergeCell ref="K25:L25"/>
    <mergeCell ref="M26:Q26"/>
    <mergeCell ref="X26:AC26"/>
  </mergeCells>
  <pageMargins left="0.7" right="0.7" top="0.78740157499999996" bottom="0.78740157499999996" header="0.3" footer="0.3"/>
  <pageSetup paperSize="9" orientation="portrait" horizontalDpi="300" verticalDpi="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2.75" x14ac:dyDescent="0.2"/>
  <cols>
    <col min="1" max="1" width="4" customWidth="1"/>
    <col min="2" max="2" width="12.5703125" customWidth="1"/>
    <col min="3" max="3" width="20.140625" customWidth="1"/>
    <col min="4" max="4" width="3.85546875" style="871" customWidth="1"/>
    <col min="5" max="5" width="6.42578125" customWidth="1"/>
    <col min="6" max="6" width="27.7109375" customWidth="1"/>
    <col min="7" max="7" width="6.28515625" customWidth="1"/>
    <col min="8" max="8" width="5.42578125" customWidth="1"/>
    <col min="9" max="9" width="5.85546875" customWidth="1"/>
    <col min="10" max="10" width="6" customWidth="1"/>
    <col min="11" max="11" width="7.28515625" customWidth="1"/>
    <col min="12" max="12" width="7.28515625" style="819" customWidth="1"/>
    <col min="13" max="14" width="5.85546875" customWidth="1"/>
    <col min="15" max="15" width="7.7109375" style="819" customWidth="1"/>
    <col min="16" max="16" width="7.7109375" style="938" customWidth="1"/>
    <col min="17" max="17" width="11.42578125" hidden="1" customWidth="1"/>
  </cols>
  <sheetData>
    <row r="1" spans="1:20" s="167" customFormat="1" ht="20.25" x14ac:dyDescent="0.3">
      <c r="A1" s="1041"/>
      <c r="B1" s="1041"/>
      <c r="C1" s="1041"/>
      <c r="D1" s="1041"/>
      <c r="E1" s="1041"/>
      <c r="F1" s="1243" t="s">
        <v>1618</v>
      </c>
      <c r="G1" s="1041"/>
      <c r="H1" s="1041"/>
      <c r="I1" s="1204"/>
      <c r="J1" s="1041"/>
      <c r="K1" s="1041"/>
      <c r="L1" s="1041"/>
      <c r="M1" s="1041"/>
      <c r="N1" s="1041"/>
      <c r="O1" s="1041"/>
      <c r="P1" s="1041"/>
      <c r="Q1" s="251" t="s">
        <v>352</v>
      </c>
    </row>
    <row r="2" spans="1:20" s="167" customFormat="1" ht="12" customHeight="1" x14ac:dyDescent="0.3">
      <c r="A2" s="1041"/>
      <c r="B2" s="1244"/>
      <c r="C2" s="1041"/>
      <c r="D2" s="1041"/>
      <c r="E2" s="1244"/>
      <c r="F2" s="1244"/>
      <c r="G2" s="1244"/>
      <c r="H2" s="1244"/>
      <c r="I2" s="1244"/>
      <c r="J2" s="1244"/>
      <c r="K2" s="1244"/>
      <c r="L2" s="1244"/>
      <c r="M2" s="1244"/>
      <c r="N2" s="1244"/>
      <c r="O2" s="1244"/>
      <c r="P2" s="1244"/>
      <c r="Q2" s="524"/>
      <c r="R2" s="524"/>
      <c r="S2" s="524"/>
      <c r="T2" s="524"/>
    </row>
    <row r="3" spans="1:20" s="165" customFormat="1" ht="15" customHeight="1" x14ac:dyDescent="0.3">
      <c r="A3" s="1245"/>
      <c r="B3" s="1214" t="s">
        <v>1056</v>
      </c>
      <c r="C3" s="1246" t="str">
        <f>'DBE - N'!C4</f>
        <v>Bitte in ''Betrieb'' eintragen</v>
      </c>
      <c r="D3" s="1246"/>
      <c r="E3" s="1177" t="str">
        <f>'Flächen u. Kulturen'!G5</f>
        <v>Name: Bitte in ''Betrieb'' eintragen</v>
      </c>
      <c r="F3" s="1245"/>
      <c r="G3" s="1177"/>
      <c r="H3" s="1183"/>
      <c r="I3" s="1245"/>
      <c r="J3" s="1214" t="s">
        <v>1050</v>
      </c>
      <c r="K3" s="1792">
        <f ca="1">TODAY()</f>
        <v>44551</v>
      </c>
      <c r="L3" s="1792"/>
      <c r="M3" s="1792"/>
      <c r="N3" s="1209"/>
      <c r="O3" s="1209"/>
      <c r="P3" s="1209"/>
      <c r="Q3" s="523"/>
      <c r="R3" s="523"/>
      <c r="S3" s="523"/>
      <c r="T3" s="523"/>
    </row>
    <row r="4" spans="1:20" s="165" customFormat="1" ht="15" customHeight="1" x14ac:dyDescent="0.3">
      <c r="A4" s="1212" t="str">
        <f>IF('Überblick 22'!S24=2,"Dateneingabe fehlerhaft. Düngebedarfsermittlung ungültig. Beachten Sie die Fehlermeldungen.",IF(M113&lt;0,"* Düngeverordnung nicht eingehalten! Organische Düngung überschreitet den Düngebedarf.",""))</f>
        <v/>
      </c>
      <c r="B4" s="1214"/>
      <c r="C4" s="1246"/>
      <c r="D4" s="1246"/>
      <c r="E4" s="1177"/>
      <c r="F4" s="1245"/>
      <c r="G4" s="1177"/>
      <c r="H4" s="1183"/>
      <c r="I4" s="1245"/>
      <c r="J4" s="1214"/>
      <c r="K4" s="1247"/>
      <c r="L4" s="1247"/>
      <c r="M4" s="1247"/>
      <c r="N4" s="1209"/>
      <c r="O4" s="1209"/>
      <c r="P4" s="1209"/>
      <c r="Q4" s="900"/>
      <c r="R4" s="900"/>
      <c r="S4" s="900"/>
      <c r="T4" s="900"/>
    </row>
    <row r="5" spans="1:20" s="165" customFormat="1" ht="15" customHeight="1" x14ac:dyDescent="0.3">
      <c r="A5" s="1211" t="s">
        <v>1082</v>
      </c>
      <c r="B5" s="1214"/>
      <c r="C5" s="1246"/>
      <c r="D5" s="1246"/>
      <c r="E5" s="1177"/>
      <c r="F5" s="1215">
        <f>'#BerechnungDBE'!CR105</f>
        <v>0</v>
      </c>
      <c r="G5" s="1177" t="s">
        <v>1570</v>
      </c>
      <c r="H5" s="1183"/>
      <c r="I5" s="1245"/>
      <c r="J5" s="1214"/>
      <c r="K5" s="1247"/>
      <c r="L5" s="1172">
        <f>'#BerechnungDBE'!CT105</f>
        <v>0</v>
      </c>
      <c r="M5" s="1189" t="s">
        <v>155</v>
      </c>
      <c r="N5" s="1245"/>
      <c r="O5" s="1209"/>
      <c r="P5" s="1209"/>
      <c r="Q5" s="900"/>
      <c r="R5" s="900"/>
      <c r="S5" s="900"/>
      <c r="T5" s="900"/>
    </row>
    <row r="6" spans="1:20" s="167" customFormat="1" ht="12" customHeight="1" x14ac:dyDescent="0.2">
      <c r="A6" s="1043" t="s">
        <v>1234</v>
      </c>
      <c r="B6" s="1041"/>
      <c r="C6" s="1041"/>
      <c r="D6" s="1041"/>
      <c r="E6" s="1110" t="str">
        <f>IF('#BerechnungDBE'!N115=0,"",'#Kürzungen'!AT233)</f>
        <v/>
      </c>
      <c r="F6" s="1041"/>
      <c r="G6" s="1041"/>
      <c r="H6" s="1041"/>
      <c r="I6" s="1041"/>
      <c r="J6" s="1041"/>
      <c r="K6" s="1041"/>
      <c r="L6" s="1041"/>
      <c r="M6" s="1041"/>
      <c r="N6" s="1041"/>
      <c r="O6" s="1041"/>
      <c r="P6" s="1041"/>
    </row>
    <row r="7" spans="1:20" s="167" customFormat="1" ht="21" customHeight="1" x14ac:dyDescent="0.2">
      <c r="A7" s="1796" t="s">
        <v>84</v>
      </c>
      <c r="B7" s="1248"/>
      <c r="C7" s="1796" t="s">
        <v>101</v>
      </c>
      <c r="D7" s="1802" t="s">
        <v>1555</v>
      </c>
      <c r="E7" s="1799" t="s">
        <v>1057</v>
      </c>
      <c r="F7" s="1799" t="s">
        <v>1619</v>
      </c>
      <c r="G7" s="1799" t="s">
        <v>1058</v>
      </c>
      <c r="H7" s="1793" t="s">
        <v>1158</v>
      </c>
      <c r="I7" s="1622" t="s">
        <v>1156</v>
      </c>
      <c r="J7" s="1622" t="s">
        <v>1154</v>
      </c>
      <c r="K7" s="1622" t="s">
        <v>1133</v>
      </c>
      <c r="L7" s="1622" t="s">
        <v>1803</v>
      </c>
      <c r="M7" s="1622" t="s">
        <v>1155</v>
      </c>
      <c r="N7" s="1622" t="s">
        <v>1521</v>
      </c>
      <c r="O7" s="1622" t="s">
        <v>1522</v>
      </c>
      <c r="P7" s="1789" t="s">
        <v>1063</v>
      </c>
    </row>
    <row r="8" spans="1:20" s="167" customFormat="1" x14ac:dyDescent="0.2">
      <c r="A8" s="1797"/>
      <c r="B8" s="1250"/>
      <c r="C8" s="1797"/>
      <c r="D8" s="1803"/>
      <c r="E8" s="1800"/>
      <c r="F8" s="1800"/>
      <c r="G8" s="1800"/>
      <c r="H8" s="1794"/>
      <c r="I8" s="1623"/>
      <c r="J8" s="1623"/>
      <c r="K8" s="1623"/>
      <c r="L8" s="1623"/>
      <c r="M8" s="1623"/>
      <c r="N8" s="1623"/>
      <c r="O8" s="1623"/>
      <c r="P8" s="1790"/>
    </row>
    <row r="9" spans="1:20" s="167" customFormat="1" x14ac:dyDescent="0.2">
      <c r="A9" s="1797"/>
      <c r="B9" s="1252" t="s">
        <v>100</v>
      </c>
      <c r="C9" s="1797"/>
      <c r="D9" s="1803"/>
      <c r="E9" s="1800"/>
      <c r="F9" s="1800"/>
      <c r="G9" s="1800"/>
      <c r="H9" s="1794"/>
      <c r="I9" s="1623"/>
      <c r="J9" s="1623"/>
      <c r="K9" s="1623"/>
      <c r="L9" s="1623"/>
      <c r="M9" s="1623"/>
      <c r="N9" s="1623"/>
      <c r="O9" s="1623"/>
      <c r="P9" s="1790"/>
    </row>
    <row r="10" spans="1:20" ht="45.75" customHeight="1" x14ac:dyDescent="0.2">
      <c r="A10" s="1798"/>
      <c r="B10" s="1253" t="s">
        <v>1051</v>
      </c>
      <c r="C10" s="1798"/>
      <c r="D10" s="1804"/>
      <c r="E10" s="1801"/>
      <c r="F10" s="1801"/>
      <c r="G10" s="1801"/>
      <c r="H10" s="1795"/>
      <c r="I10" s="1624"/>
      <c r="J10" s="1624"/>
      <c r="K10" s="1624"/>
      <c r="L10" s="1624"/>
      <c r="M10" s="1624"/>
      <c r="N10" s="1624"/>
      <c r="O10" s="1624"/>
      <c r="P10" s="1791"/>
      <c r="Q10" t="s">
        <v>1219</v>
      </c>
    </row>
    <row r="11" spans="1:20" ht="15" customHeight="1" x14ac:dyDescent="0.2">
      <c r="A11" s="1458" t="str">
        <f>IF(SMALL('#BerechnungDBE'!$CB$5:$CB$104,'Flächen u. Kulturen'!A10)=1000,"",SMALL('#BerechnungDBE'!$CB$5:$CB$104,'Flächen u. Kulturen'!A10))</f>
        <v/>
      </c>
      <c r="B11" s="1255" t="str">
        <f>IF($A11="","",VLOOKUP($A11,'Flächen u. Kulturen'!$A$10:$D$109,'Flächen u. Kulturen'!C$1,FALSE))</f>
        <v/>
      </c>
      <c r="C11" s="1255" t="str">
        <f>IF($A11="","",VLOOKUP($A11,'Flächen u. Kulturen'!$A$10:$Z$109,'Flächen u. Kulturen'!B$1,FALSE))</f>
        <v/>
      </c>
      <c r="D11" s="1255" t="str">
        <f>IF($A11="","",VLOOKUP($A11,'DBE - N'!$A$12:$D$111,4,FALSE))</f>
        <v/>
      </c>
      <c r="E11" s="1459" t="str">
        <f>IF($A11="","",VLOOKUP($A11,'Flächen u. Kulturen'!$A$10:$Z$109,'Flächen u. Kulturen'!D$1,FALSE))</f>
        <v/>
      </c>
      <c r="F11" s="1255" t="str">
        <f>IF($A11="","",VLOOKUP($A11,'Flächen u. Kulturen'!$A$10:$V$109,'Flächen u. Kulturen'!L$1,FALSE))</f>
        <v/>
      </c>
      <c r="G11" s="1460" t="str">
        <f>IF($A11="","",VLOOKUP($A11,'Flächen u. Kulturen'!$A$10:$V$109,'Flächen u. Kulturen'!O$1,FALSE))</f>
        <v/>
      </c>
      <c r="H11" s="1460" t="str">
        <f>IF($A11="","",VLOOKUP($A11,'#BerechnungDBE'!$CB$5:$CN$104,'#BerechnungDBE'!$CH$1,FALSE))</f>
        <v/>
      </c>
      <c r="I11" s="1460" t="str">
        <f>IF($A11="","",VLOOKUP($A11,'#BerechnungDBE'!$CB$5:$CN$104,'#BerechnungDBE'!$CJ$1,FALSE))</f>
        <v/>
      </c>
      <c r="J11" s="1460" t="str">
        <f>IF($A11="","",VLOOKUP($A11,'#BerechnungDBE'!$CB$5:$CN$104,'#BerechnungDBE'!$CK$1,FALSE))</f>
        <v/>
      </c>
      <c r="K11" s="1460" t="str">
        <f>IF($A11="","",VLOOKUP($A11,'#BerechnungDBE'!$CB$5:$CN$104,'#BerechnungDBE'!$CM$1,FALSE))</f>
        <v/>
      </c>
      <c r="L11" s="1460" t="str">
        <f>IF($A11="","",VLOOKUP($A11,'#BerechnungDBE'!$CB$5:$CS$104,'#BerechnungDBE'!$CP$1,FALSE))</f>
        <v/>
      </c>
      <c r="M11" s="1460" t="str">
        <f>IF($A11="","",VLOOKUP($A11,'#BerechnungDBE'!$CB$5:$CR$104,'#BerechnungDBE'!$CR$1,FALSE))</f>
        <v/>
      </c>
      <c r="N11" s="1495" t="str">
        <f>IF($A11="","",ROUNDDOWN(VLOOKUP($A11,'#BerechnungDBE'!$CB$5:$CT$104,'#BerechnungDBE'!$CT$1,FALSE),0))</f>
        <v/>
      </c>
      <c r="O11" s="1495" t="str">
        <f>IF(D11="","",MAX(0,ROUNDDOWN(N11-L11,0)))</f>
        <v/>
      </c>
      <c r="P11" s="1461" t="str">
        <f>IF($A11="","",VLOOKUP($A11,'#BerechnungDBE'!$CB$5:$CU$104,'#BerechnungDBE'!$CU$1,FALSE))</f>
        <v/>
      </c>
      <c r="Q11" t="str">
        <f>IF(A11="","",ROW(Q11))</f>
        <v/>
      </c>
    </row>
    <row r="12" spans="1:20" ht="15" customHeight="1" x14ac:dyDescent="0.2">
      <c r="A12" s="1458" t="str">
        <f>IF(SMALL('#BerechnungDBE'!$CB$5:$CB$104,'Flächen u. Kulturen'!A11)=1000,"",SMALL('#BerechnungDBE'!$CB$5:$CB$104,'Flächen u. Kulturen'!A11))</f>
        <v/>
      </c>
      <c r="B12" s="1255" t="str">
        <f>IF($A12="","",VLOOKUP($A12,'Flächen u. Kulturen'!$A$10:$D$109,'Flächen u. Kulturen'!C$1,FALSE))</f>
        <v/>
      </c>
      <c r="C12" s="1255" t="str">
        <f>IF($A12="","",VLOOKUP($A12,'Flächen u. Kulturen'!$A$10:$Z$109,'Flächen u. Kulturen'!B$1,FALSE))</f>
        <v/>
      </c>
      <c r="D12" s="1255" t="str">
        <f>IF($A12="","",VLOOKUP($A12,'DBE - N'!$A$12:$D$111,4,FALSE))</f>
        <v/>
      </c>
      <c r="E12" s="1459" t="str">
        <f>IF($A12="","",VLOOKUP($A12,'Flächen u. Kulturen'!$A$10:$Z$109,'Flächen u. Kulturen'!D$1,FALSE))</f>
        <v/>
      </c>
      <c r="F12" s="1255" t="str">
        <f>IF($A12="","",VLOOKUP($A12,'Flächen u. Kulturen'!$A$10:$V$109,'Flächen u. Kulturen'!L$1,FALSE))</f>
        <v/>
      </c>
      <c r="G12" s="1460" t="str">
        <f>IF($A12="","",VLOOKUP($A12,'Flächen u. Kulturen'!$A$10:$V$109,'Flächen u. Kulturen'!O$1,FALSE))</f>
        <v/>
      </c>
      <c r="H12" s="1460" t="str">
        <f>IF($A12="","",VLOOKUP($A12,'#BerechnungDBE'!$CB$5:$CN$104,'#BerechnungDBE'!$CH$1,FALSE))</f>
        <v/>
      </c>
      <c r="I12" s="1460" t="str">
        <f>IF($A12="","",VLOOKUP($A12,'#BerechnungDBE'!$CB$5:$CN$104,'#BerechnungDBE'!$CJ$1,FALSE))</f>
        <v/>
      </c>
      <c r="J12" s="1460" t="str">
        <f>IF($A12="","",VLOOKUP($A12,'#BerechnungDBE'!$CB$5:$CN$104,'#BerechnungDBE'!$CK$1,FALSE))</f>
        <v/>
      </c>
      <c r="K12" s="1460" t="str">
        <f>IF($A12="","",VLOOKUP($A12,'#BerechnungDBE'!$CB$5:$CN$104,'#BerechnungDBE'!$CM$1,FALSE))</f>
        <v/>
      </c>
      <c r="L12" s="1460" t="str">
        <f>IF($A12="","",VLOOKUP($A12,'#BerechnungDBE'!$CB$5:$CS$104,'#BerechnungDBE'!$CP$1,FALSE))</f>
        <v/>
      </c>
      <c r="M12" s="1460" t="str">
        <f>IF($A12="","",VLOOKUP($A12,'#BerechnungDBE'!$CB$5:$CR$104,'#BerechnungDBE'!$CR$1,FALSE))</f>
        <v/>
      </c>
      <c r="N12" s="1460" t="str">
        <f>IF($A12="","",ROUNDDOWN(VLOOKUP($A12,'#BerechnungDBE'!$CB$5:$CT$104,'#BerechnungDBE'!$CT$1,FALSE),0))</f>
        <v/>
      </c>
      <c r="O12" s="1460" t="str">
        <f t="shared" ref="O12:O75" si="0">IF(D12="","",MAX(0,ROUNDDOWN(N12-L12,0)))</f>
        <v/>
      </c>
      <c r="P12" s="1461" t="str">
        <f>IF($A12="","",VLOOKUP($A12,'#BerechnungDBE'!$CB$5:$CU$104,'#BerechnungDBE'!$CU$1,FALSE))</f>
        <v/>
      </c>
      <c r="Q12" s="890" t="str">
        <f t="shared" ref="Q12:Q75" si="1">IF(A12="","",ROW(Q12))</f>
        <v/>
      </c>
    </row>
    <row r="13" spans="1:20" ht="15" customHeight="1" x14ac:dyDescent="0.2">
      <c r="A13" s="1458" t="str">
        <f>IF(SMALL('#BerechnungDBE'!$CB$5:$CB$104,'Flächen u. Kulturen'!A12)=1000,"",SMALL('#BerechnungDBE'!$CB$5:$CB$104,'Flächen u. Kulturen'!A12))</f>
        <v/>
      </c>
      <c r="B13" s="1255" t="str">
        <f>IF($A13="","",VLOOKUP($A13,'Flächen u. Kulturen'!$A$10:$D$109,'Flächen u. Kulturen'!C$1,FALSE))</f>
        <v/>
      </c>
      <c r="C13" s="1255" t="str">
        <f>IF($A13="","",VLOOKUP($A13,'Flächen u. Kulturen'!$A$10:$Z$109,'Flächen u. Kulturen'!B$1,FALSE))</f>
        <v/>
      </c>
      <c r="D13" s="1255" t="str">
        <f>IF($A13="","",VLOOKUP($A13,'DBE - N'!$A$12:$D$111,4,FALSE))</f>
        <v/>
      </c>
      <c r="E13" s="1459" t="str">
        <f>IF($A13="","",VLOOKUP($A13,'Flächen u. Kulturen'!$A$10:$Z$109,'Flächen u. Kulturen'!D$1,FALSE))</f>
        <v/>
      </c>
      <c r="F13" s="1255" t="str">
        <f>IF($A13="","",VLOOKUP($A13,'Flächen u. Kulturen'!$A$10:$V$109,'Flächen u. Kulturen'!L$1,FALSE))</f>
        <v/>
      </c>
      <c r="G13" s="1460" t="str">
        <f>IF($A13="","",VLOOKUP($A13,'Flächen u. Kulturen'!$A$10:$V$109,'Flächen u. Kulturen'!O$1,FALSE))</f>
        <v/>
      </c>
      <c r="H13" s="1460" t="str">
        <f>IF($A13="","",VLOOKUP($A13,'#BerechnungDBE'!$CB$5:$CN$104,'#BerechnungDBE'!$CH$1,FALSE))</f>
        <v/>
      </c>
      <c r="I13" s="1460" t="str">
        <f>IF($A13="","",VLOOKUP($A13,'#BerechnungDBE'!$CB$5:$CN$104,'#BerechnungDBE'!$CJ$1,FALSE))</f>
        <v/>
      </c>
      <c r="J13" s="1460" t="str">
        <f>IF($A13="","",VLOOKUP($A13,'#BerechnungDBE'!$CB$5:$CN$104,'#BerechnungDBE'!$CK$1,FALSE))</f>
        <v/>
      </c>
      <c r="K13" s="1460" t="str">
        <f>IF($A13="","",VLOOKUP($A13,'#BerechnungDBE'!$CB$5:$CN$104,'#BerechnungDBE'!$CM$1,FALSE))</f>
        <v/>
      </c>
      <c r="L13" s="1460" t="str">
        <f>IF($A13="","",VLOOKUP($A13,'#BerechnungDBE'!$CB$5:$CS$104,'#BerechnungDBE'!$CP$1,FALSE))</f>
        <v/>
      </c>
      <c r="M13" s="1460" t="str">
        <f>IF($A13="","",VLOOKUP($A13,'#BerechnungDBE'!$CB$5:$CR$104,'#BerechnungDBE'!$CR$1,FALSE))</f>
        <v/>
      </c>
      <c r="N13" s="1460" t="str">
        <f>IF($A13="","",ROUNDDOWN(VLOOKUP($A13,'#BerechnungDBE'!$CB$5:$CT$104,'#BerechnungDBE'!$CT$1,FALSE),0))</f>
        <v/>
      </c>
      <c r="O13" s="1460" t="str">
        <f t="shared" si="0"/>
        <v/>
      </c>
      <c r="P13" s="1461" t="str">
        <f>IF($A13="","",VLOOKUP($A13,'#BerechnungDBE'!$CB$5:$CU$104,'#BerechnungDBE'!$CU$1,FALSE))</f>
        <v/>
      </c>
      <c r="Q13" s="890" t="str">
        <f t="shared" si="1"/>
        <v/>
      </c>
    </row>
    <row r="14" spans="1:20" ht="15" customHeight="1" x14ac:dyDescent="0.2">
      <c r="A14" s="1458" t="str">
        <f>IF(SMALL('#BerechnungDBE'!$CB$5:$CB$104,'Flächen u. Kulturen'!A13)=1000,"",SMALL('#BerechnungDBE'!$CB$5:$CB$104,'Flächen u. Kulturen'!A13))</f>
        <v/>
      </c>
      <c r="B14" s="1255" t="str">
        <f>IF($A14="","",VLOOKUP($A14,'Flächen u. Kulturen'!$A$10:$D$109,'Flächen u. Kulturen'!C$1,FALSE))</f>
        <v/>
      </c>
      <c r="C14" s="1255" t="str">
        <f>IF($A14="","",VLOOKUP($A14,'Flächen u. Kulturen'!$A$10:$Z$109,'Flächen u. Kulturen'!B$1,FALSE))</f>
        <v/>
      </c>
      <c r="D14" s="1255" t="str">
        <f>IF($A14="","",VLOOKUP($A14,'DBE - N'!$A$12:$D$111,4,FALSE))</f>
        <v/>
      </c>
      <c r="E14" s="1459" t="str">
        <f>IF($A14="","",VLOOKUP($A14,'Flächen u. Kulturen'!$A$10:$Z$109,'Flächen u. Kulturen'!D$1,FALSE))</f>
        <v/>
      </c>
      <c r="F14" s="1255" t="str">
        <f>IF($A14="","",VLOOKUP($A14,'Flächen u. Kulturen'!$A$10:$V$109,'Flächen u. Kulturen'!L$1,FALSE))</f>
        <v/>
      </c>
      <c r="G14" s="1460" t="str">
        <f>IF($A14="","",VLOOKUP($A14,'Flächen u. Kulturen'!$A$10:$V$109,'Flächen u. Kulturen'!O$1,FALSE))</f>
        <v/>
      </c>
      <c r="H14" s="1460" t="str">
        <f>IF($A14="","",VLOOKUP($A14,'#BerechnungDBE'!$CB$5:$CN$104,'#BerechnungDBE'!$CH$1,FALSE))</f>
        <v/>
      </c>
      <c r="I14" s="1460" t="str">
        <f>IF($A14="","",VLOOKUP($A14,'#BerechnungDBE'!$CB$5:$CN$104,'#BerechnungDBE'!$CJ$1,FALSE))</f>
        <v/>
      </c>
      <c r="J14" s="1460" t="str">
        <f>IF($A14="","",VLOOKUP($A14,'#BerechnungDBE'!$CB$5:$CN$104,'#BerechnungDBE'!$CK$1,FALSE))</f>
        <v/>
      </c>
      <c r="K14" s="1460" t="str">
        <f>IF($A14="","",VLOOKUP($A14,'#BerechnungDBE'!$CB$5:$CN$104,'#BerechnungDBE'!$CM$1,FALSE))</f>
        <v/>
      </c>
      <c r="L14" s="1460" t="str">
        <f>IF($A14="","",VLOOKUP($A14,'#BerechnungDBE'!$CB$5:$CS$104,'#BerechnungDBE'!$CP$1,FALSE))</f>
        <v/>
      </c>
      <c r="M14" s="1460" t="str">
        <f>IF($A14="","",VLOOKUP($A14,'#BerechnungDBE'!$CB$5:$CR$104,'#BerechnungDBE'!$CR$1,FALSE))</f>
        <v/>
      </c>
      <c r="N14" s="1460" t="str">
        <f>IF($A14="","",ROUNDDOWN(VLOOKUP($A14,'#BerechnungDBE'!$CB$5:$CT$104,'#BerechnungDBE'!$CT$1,FALSE),0))</f>
        <v/>
      </c>
      <c r="O14" s="1460" t="str">
        <f t="shared" si="0"/>
        <v/>
      </c>
      <c r="P14" s="1461" t="str">
        <f>IF($A14="","",VLOOKUP($A14,'#BerechnungDBE'!$CB$5:$CU$104,'#BerechnungDBE'!$CU$1,FALSE))</f>
        <v/>
      </c>
      <c r="Q14" s="890" t="str">
        <f t="shared" si="1"/>
        <v/>
      </c>
    </row>
    <row r="15" spans="1:20" s="294" customFormat="1" ht="15" customHeight="1" x14ac:dyDescent="0.2">
      <c r="A15" s="1458" t="str">
        <f>IF(SMALL('#BerechnungDBE'!$CB$5:$CB$104,'Flächen u. Kulturen'!A14)=1000,"",SMALL('#BerechnungDBE'!$CB$5:$CB$104,'Flächen u. Kulturen'!A14))</f>
        <v/>
      </c>
      <c r="B15" s="1255" t="str">
        <f>IF($A15="","",VLOOKUP($A15,'Flächen u. Kulturen'!$A$10:$D$109,'Flächen u. Kulturen'!C$1,FALSE))</f>
        <v/>
      </c>
      <c r="C15" s="1255" t="str">
        <f>IF($A15="","",VLOOKUP($A15,'Flächen u. Kulturen'!$A$10:$Z$109,'Flächen u. Kulturen'!B$1,FALSE))</f>
        <v/>
      </c>
      <c r="D15" s="1255" t="str">
        <f>IF($A15="","",VLOOKUP($A15,'DBE - N'!$A$12:$D$111,4,FALSE))</f>
        <v/>
      </c>
      <c r="E15" s="1459" t="str">
        <f>IF($A15="","",VLOOKUP($A15,'Flächen u. Kulturen'!$A$10:$Z$109,'Flächen u. Kulturen'!D$1,FALSE))</f>
        <v/>
      </c>
      <c r="F15" s="1255" t="str">
        <f>IF($A15="","",VLOOKUP($A15,'Flächen u. Kulturen'!$A$10:$V$109,'Flächen u. Kulturen'!L$1,FALSE))</f>
        <v/>
      </c>
      <c r="G15" s="1460" t="str">
        <f>IF($A15="","",VLOOKUP($A15,'Flächen u. Kulturen'!$A$10:$V$109,'Flächen u. Kulturen'!O$1,FALSE))</f>
        <v/>
      </c>
      <c r="H15" s="1460" t="str">
        <f>IF($A15="","",VLOOKUP($A15,'#BerechnungDBE'!$CB$5:$CN$104,'#BerechnungDBE'!$CH$1,FALSE))</f>
        <v/>
      </c>
      <c r="I15" s="1460" t="str">
        <f>IF($A15="","",VLOOKUP($A15,'#BerechnungDBE'!$CB$5:$CN$104,'#BerechnungDBE'!$CJ$1,FALSE))</f>
        <v/>
      </c>
      <c r="J15" s="1460" t="str">
        <f>IF($A15="","",VLOOKUP($A15,'#BerechnungDBE'!$CB$5:$CN$104,'#BerechnungDBE'!$CK$1,FALSE))</f>
        <v/>
      </c>
      <c r="K15" s="1460" t="str">
        <f>IF($A15="","",VLOOKUP($A15,'#BerechnungDBE'!$CB$5:$CN$104,'#BerechnungDBE'!$CM$1,FALSE))</f>
        <v/>
      </c>
      <c r="L15" s="1460" t="str">
        <f>IF($A15="","",VLOOKUP($A15,'#BerechnungDBE'!$CB$5:$CS$104,'#BerechnungDBE'!$CP$1,FALSE))</f>
        <v/>
      </c>
      <c r="M15" s="1460" t="str">
        <f>IF($A15="","",VLOOKUP($A15,'#BerechnungDBE'!$CB$5:$CR$104,'#BerechnungDBE'!$CR$1,FALSE))</f>
        <v/>
      </c>
      <c r="N15" s="1460" t="str">
        <f>IF($A15="","",ROUNDDOWN(VLOOKUP($A15,'#BerechnungDBE'!$CB$5:$CT$104,'#BerechnungDBE'!$CT$1,FALSE),0))</f>
        <v/>
      </c>
      <c r="O15" s="1460" t="str">
        <f t="shared" si="0"/>
        <v/>
      </c>
      <c r="P15" s="1461" t="str">
        <f>IF($A15="","",VLOOKUP($A15,'#BerechnungDBE'!$CB$5:$CU$104,'#BerechnungDBE'!$CU$1,FALSE))</f>
        <v/>
      </c>
      <c r="Q15" s="890" t="str">
        <f t="shared" si="1"/>
        <v/>
      </c>
    </row>
    <row r="16" spans="1:20" s="875" customFormat="1" ht="15" customHeight="1" x14ac:dyDescent="0.2">
      <c r="A16" s="1458" t="str">
        <f>IF(SMALL('#BerechnungDBE'!$CB$5:$CB$104,'Flächen u. Kulturen'!A15)=1000,"",SMALL('#BerechnungDBE'!$CB$5:$CB$104,'Flächen u. Kulturen'!A15))</f>
        <v/>
      </c>
      <c r="B16" s="1255" t="str">
        <f>IF($A16="","",VLOOKUP($A16,'Flächen u. Kulturen'!$A$10:$D$109,'Flächen u. Kulturen'!C$1,FALSE))</f>
        <v/>
      </c>
      <c r="C16" s="1255" t="str">
        <f>IF($A16="","",VLOOKUP($A16,'Flächen u. Kulturen'!$A$10:$Z$109,'Flächen u. Kulturen'!B$1,FALSE))</f>
        <v/>
      </c>
      <c r="D16" s="1255" t="str">
        <f>IF($A16="","",VLOOKUP($A16,'DBE - N'!$A$12:$D$111,4,FALSE))</f>
        <v/>
      </c>
      <c r="E16" s="1459" t="str">
        <f>IF($A16="","",VLOOKUP($A16,'Flächen u. Kulturen'!$A$10:$Z$109,'Flächen u. Kulturen'!D$1,FALSE))</f>
        <v/>
      </c>
      <c r="F16" s="1255" t="str">
        <f>IF($A16="","",VLOOKUP($A16,'Flächen u. Kulturen'!$A$10:$V$109,'Flächen u. Kulturen'!L$1,FALSE))</f>
        <v/>
      </c>
      <c r="G16" s="1460" t="str">
        <f>IF($A16="","",VLOOKUP($A16,'Flächen u. Kulturen'!$A$10:$V$109,'Flächen u. Kulturen'!O$1,FALSE))</f>
        <v/>
      </c>
      <c r="H16" s="1460" t="str">
        <f>IF($A16="","",VLOOKUP($A16,'#BerechnungDBE'!$CB$5:$CN$104,'#BerechnungDBE'!$CH$1,FALSE))</f>
        <v/>
      </c>
      <c r="I16" s="1460" t="str">
        <f>IF($A16="","",VLOOKUP($A16,'#BerechnungDBE'!$CB$5:$CN$104,'#BerechnungDBE'!$CJ$1,FALSE))</f>
        <v/>
      </c>
      <c r="J16" s="1460" t="str">
        <f>IF($A16="","",VLOOKUP($A16,'#BerechnungDBE'!$CB$5:$CN$104,'#BerechnungDBE'!$CK$1,FALSE))</f>
        <v/>
      </c>
      <c r="K16" s="1460" t="str">
        <f>IF($A16="","",VLOOKUP($A16,'#BerechnungDBE'!$CB$5:$CN$104,'#BerechnungDBE'!$CM$1,FALSE))</f>
        <v/>
      </c>
      <c r="L16" s="1460" t="str">
        <f>IF($A16="","",VLOOKUP($A16,'#BerechnungDBE'!$CB$5:$CS$104,'#BerechnungDBE'!$CP$1,FALSE))</f>
        <v/>
      </c>
      <c r="M16" s="1460" t="str">
        <f>IF($A16="","",VLOOKUP($A16,'#BerechnungDBE'!$CB$5:$CR$104,'#BerechnungDBE'!$CR$1,FALSE))</f>
        <v/>
      </c>
      <c r="N16" s="1460" t="str">
        <f>IF($A16="","",ROUNDDOWN(VLOOKUP($A16,'#BerechnungDBE'!$CB$5:$CT$104,'#BerechnungDBE'!$CT$1,FALSE),0))</f>
        <v/>
      </c>
      <c r="O16" s="1460" t="str">
        <f t="shared" si="0"/>
        <v/>
      </c>
      <c r="P16" s="1461" t="str">
        <f>IF($A16="","",VLOOKUP($A16,'#BerechnungDBE'!$CB$5:$CU$104,'#BerechnungDBE'!$CU$1,FALSE))</f>
        <v/>
      </c>
      <c r="Q16" s="890" t="str">
        <f t="shared" si="1"/>
        <v/>
      </c>
    </row>
    <row r="17" spans="1:17" s="875" customFormat="1" ht="15" customHeight="1" x14ac:dyDescent="0.2">
      <c r="A17" s="1458" t="str">
        <f>IF(SMALL('#BerechnungDBE'!$CB$5:$CB$104,'Flächen u. Kulturen'!A16)=1000,"",SMALL('#BerechnungDBE'!$CB$5:$CB$104,'Flächen u. Kulturen'!A16))</f>
        <v/>
      </c>
      <c r="B17" s="1255" t="str">
        <f>IF($A17="","",VLOOKUP($A17,'Flächen u. Kulturen'!$A$10:$D$109,'Flächen u. Kulturen'!C$1,FALSE))</f>
        <v/>
      </c>
      <c r="C17" s="1255" t="str">
        <f>IF($A17="","",VLOOKUP($A17,'Flächen u. Kulturen'!$A$10:$Z$109,'Flächen u. Kulturen'!B$1,FALSE))</f>
        <v/>
      </c>
      <c r="D17" s="1255" t="str">
        <f>IF($A17="","",VLOOKUP($A17,'DBE - N'!$A$12:$D$111,4,FALSE))</f>
        <v/>
      </c>
      <c r="E17" s="1459" t="str">
        <f>IF($A17="","",VLOOKUP($A17,'Flächen u. Kulturen'!$A$10:$Z$109,'Flächen u. Kulturen'!D$1,FALSE))</f>
        <v/>
      </c>
      <c r="F17" s="1255" t="str">
        <f>IF($A17="","",VLOOKUP($A17,'Flächen u. Kulturen'!$A$10:$V$109,'Flächen u. Kulturen'!L$1,FALSE))</f>
        <v/>
      </c>
      <c r="G17" s="1460" t="str">
        <f>IF($A17="","",VLOOKUP($A17,'Flächen u. Kulturen'!$A$10:$V$109,'Flächen u. Kulturen'!O$1,FALSE))</f>
        <v/>
      </c>
      <c r="H17" s="1460" t="str">
        <f>IF($A17="","",VLOOKUP($A17,'#BerechnungDBE'!$CB$5:$CN$104,'#BerechnungDBE'!$CH$1,FALSE))</f>
        <v/>
      </c>
      <c r="I17" s="1460" t="str">
        <f>IF($A17="","",VLOOKUP($A17,'#BerechnungDBE'!$CB$5:$CN$104,'#BerechnungDBE'!$CJ$1,FALSE))</f>
        <v/>
      </c>
      <c r="J17" s="1460" t="str">
        <f>IF($A17="","",VLOOKUP($A17,'#BerechnungDBE'!$CB$5:$CN$104,'#BerechnungDBE'!$CK$1,FALSE))</f>
        <v/>
      </c>
      <c r="K17" s="1460" t="str">
        <f>IF($A17="","",VLOOKUP($A17,'#BerechnungDBE'!$CB$5:$CN$104,'#BerechnungDBE'!$CM$1,FALSE))</f>
        <v/>
      </c>
      <c r="L17" s="1460" t="str">
        <f>IF($A17="","",VLOOKUP($A17,'#BerechnungDBE'!$CB$5:$CS$104,'#BerechnungDBE'!$CP$1,FALSE))</f>
        <v/>
      </c>
      <c r="M17" s="1460" t="str">
        <f>IF($A17="","",VLOOKUP($A17,'#BerechnungDBE'!$CB$5:$CR$104,'#BerechnungDBE'!$CR$1,FALSE))</f>
        <v/>
      </c>
      <c r="N17" s="1460" t="str">
        <f>IF($A17="","",ROUNDDOWN(VLOOKUP($A17,'#BerechnungDBE'!$CB$5:$CT$104,'#BerechnungDBE'!$CT$1,FALSE),0))</f>
        <v/>
      </c>
      <c r="O17" s="1460" t="str">
        <f t="shared" si="0"/>
        <v/>
      </c>
      <c r="P17" s="1461" t="str">
        <f>IF($A17="","",VLOOKUP($A17,'#BerechnungDBE'!$CB$5:$CU$104,'#BerechnungDBE'!$CU$1,FALSE))</f>
        <v/>
      </c>
      <c r="Q17" s="890" t="str">
        <f t="shared" si="1"/>
        <v/>
      </c>
    </row>
    <row r="18" spans="1:17" s="875" customFormat="1" ht="15" customHeight="1" x14ac:dyDescent="0.2">
      <c r="A18" s="1458" t="str">
        <f>IF(SMALL('#BerechnungDBE'!$CB$5:$CB$104,'Flächen u. Kulturen'!A17)=1000,"",SMALL('#BerechnungDBE'!$CB$5:$CB$104,'Flächen u. Kulturen'!A17))</f>
        <v/>
      </c>
      <c r="B18" s="1255" t="str">
        <f>IF($A18="","",VLOOKUP($A18,'Flächen u. Kulturen'!$A$10:$D$109,'Flächen u. Kulturen'!C$1,FALSE))</f>
        <v/>
      </c>
      <c r="C18" s="1255" t="str">
        <f>IF($A18="","",VLOOKUP($A18,'Flächen u. Kulturen'!$A$10:$Z$109,'Flächen u. Kulturen'!B$1,FALSE))</f>
        <v/>
      </c>
      <c r="D18" s="1255" t="str">
        <f>IF($A18="","",VLOOKUP($A18,'DBE - N'!$A$12:$D$111,4,FALSE))</f>
        <v/>
      </c>
      <c r="E18" s="1459" t="str">
        <f>IF($A18="","",VLOOKUP($A18,'Flächen u. Kulturen'!$A$10:$Z$109,'Flächen u. Kulturen'!D$1,FALSE))</f>
        <v/>
      </c>
      <c r="F18" s="1255" t="str">
        <f>IF($A18="","",VLOOKUP($A18,'Flächen u. Kulturen'!$A$10:$V$109,'Flächen u. Kulturen'!L$1,FALSE))</f>
        <v/>
      </c>
      <c r="G18" s="1460" t="str">
        <f>IF($A18="","",VLOOKUP($A18,'Flächen u. Kulturen'!$A$10:$V$109,'Flächen u. Kulturen'!O$1,FALSE))</f>
        <v/>
      </c>
      <c r="H18" s="1460" t="str">
        <f>IF($A18="","",VLOOKUP($A18,'#BerechnungDBE'!$CB$5:$CN$104,'#BerechnungDBE'!$CH$1,FALSE))</f>
        <v/>
      </c>
      <c r="I18" s="1460" t="str">
        <f>IF($A18="","",VLOOKUP($A18,'#BerechnungDBE'!$CB$5:$CN$104,'#BerechnungDBE'!$CJ$1,FALSE))</f>
        <v/>
      </c>
      <c r="J18" s="1460" t="str">
        <f>IF($A18="","",VLOOKUP($A18,'#BerechnungDBE'!$CB$5:$CN$104,'#BerechnungDBE'!$CK$1,FALSE))</f>
        <v/>
      </c>
      <c r="K18" s="1460" t="str">
        <f>IF($A18="","",VLOOKUP($A18,'#BerechnungDBE'!$CB$5:$CN$104,'#BerechnungDBE'!$CM$1,FALSE))</f>
        <v/>
      </c>
      <c r="L18" s="1460" t="str">
        <f>IF($A18="","",VLOOKUP($A18,'#BerechnungDBE'!$CB$5:$CS$104,'#BerechnungDBE'!$CP$1,FALSE))</f>
        <v/>
      </c>
      <c r="M18" s="1460" t="str">
        <f>IF($A18="","",VLOOKUP($A18,'#BerechnungDBE'!$CB$5:$CR$104,'#BerechnungDBE'!$CR$1,FALSE))</f>
        <v/>
      </c>
      <c r="N18" s="1460" t="str">
        <f>IF($A18="","",ROUNDDOWN(VLOOKUP($A18,'#BerechnungDBE'!$CB$5:$CT$104,'#BerechnungDBE'!$CT$1,FALSE),0))</f>
        <v/>
      </c>
      <c r="O18" s="1460" t="str">
        <f t="shared" si="0"/>
        <v/>
      </c>
      <c r="P18" s="1461" t="str">
        <f>IF($A18="","",VLOOKUP($A18,'#BerechnungDBE'!$CB$5:$CU$104,'#BerechnungDBE'!$CU$1,FALSE))</f>
        <v/>
      </c>
      <c r="Q18" s="890" t="str">
        <f t="shared" si="1"/>
        <v/>
      </c>
    </row>
    <row r="19" spans="1:17" s="875" customFormat="1" ht="15" customHeight="1" x14ac:dyDescent="0.2">
      <c r="A19" s="1458" t="str">
        <f>IF(SMALL('#BerechnungDBE'!$CB$5:$CB$104,'Flächen u. Kulturen'!A18)=1000,"",SMALL('#BerechnungDBE'!$CB$5:$CB$104,'Flächen u. Kulturen'!A18))</f>
        <v/>
      </c>
      <c r="B19" s="1255" t="str">
        <f>IF($A19="","",VLOOKUP($A19,'Flächen u. Kulturen'!$A$10:$D$109,'Flächen u. Kulturen'!C$1,FALSE))</f>
        <v/>
      </c>
      <c r="C19" s="1255" t="str">
        <f>IF($A19="","",VLOOKUP($A19,'Flächen u. Kulturen'!$A$10:$Z$109,'Flächen u. Kulturen'!B$1,FALSE))</f>
        <v/>
      </c>
      <c r="D19" s="1255" t="str">
        <f>IF($A19="","",VLOOKUP($A19,'DBE - N'!$A$12:$D$111,4,FALSE))</f>
        <v/>
      </c>
      <c r="E19" s="1459" t="str">
        <f>IF($A19="","",VLOOKUP($A19,'Flächen u. Kulturen'!$A$10:$Z$109,'Flächen u. Kulturen'!D$1,FALSE))</f>
        <v/>
      </c>
      <c r="F19" s="1255" t="str">
        <f>IF($A19="","",VLOOKUP($A19,'Flächen u. Kulturen'!$A$10:$V$109,'Flächen u. Kulturen'!L$1,FALSE))</f>
        <v/>
      </c>
      <c r="G19" s="1460" t="str">
        <f>IF($A19="","",VLOOKUP($A19,'Flächen u. Kulturen'!$A$10:$V$109,'Flächen u. Kulturen'!O$1,FALSE))</f>
        <v/>
      </c>
      <c r="H19" s="1460" t="str">
        <f>IF($A19="","",VLOOKUP($A19,'#BerechnungDBE'!$CB$5:$CN$104,'#BerechnungDBE'!$CH$1,FALSE))</f>
        <v/>
      </c>
      <c r="I19" s="1460" t="str">
        <f>IF($A19="","",VLOOKUP($A19,'#BerechnungDBE'!$CB$5:$CN$104,'#BerechnungDBE'!$CJ$1,FALSE))</f>
        <v/>
      </c>
      <c r="J19" s="1460" t="str">
        <f>IF($A19="","",VLOOKUP($A19,'#BerechnungDBE'!$CB$5:$CN$104,'#BerechnungDBE'!$CK$1,FALSE))</f>
        <v/>
      </c>
      <c r="K19" s="1460" t="str">
        <f>IF($A19="","",VLOOKUP($A19,'#BerechnungDBE'!$CB$5:$CN$104,'#BerechnungDBE'!$CM$1,FALSE))</f>
        <v/>
      </c>
      <c r="L19" s="1460" t="str">
        <f>IF($A19="","",VLOOKUP($A19,'#BerechnungDBE'!$CB$5:$CS$104,'#BerechnungDBE'!$CP$1,FALSE))</f>
        <v/>
      </c>
      <c r="M19" s="1460" t="str">
        <f>IF($A19="","",VLOOKUP($A19,'#BerechnungDBE'!$CB$5:$CR$104,'#BerechnungDBE'!$CR$1,FALSE))</f>
        <v/>
      </c>
      <c r="N19" s="1460" t="str">
        <f>IF($A19="","",ROUNDDOWN(VLOOKUP($A19,'#BerechnungDBE'!$CB$5:$CT$104,'#BerechnungDBE'!$CT$1,FALSE),0))</f>
        <v/>
      </c>
      <c r="O19" s="1460" t="str">
        <f t="shared" si="0"/>
        <v/>
      </c>
      <c r="P19" s="1461" t="str">
        <f>IF($A19="","",VLOOKUP($A19,'#BerechnungDBE'!$CB$5:$CU$104,'#BerechnungDBE'!$CU$1,FALSE))</f>
        <v/>
      </c>
      <c r="Q19" s="890" t="str">
        <f t="shared" si="1"/>
        <v/>
      </c>
    </row>
    <row r="20" spans="1:17" s="875" customFormat="1" ht="15" customHeight="1" x14ac:dyDescent="0.2">
      <c r="A20" s="1458" t="str">
        <f>IF(SMALL('#BerechnungDBE'!$CB$5:$CB$104,'Flächen u. Kulturen'!A19)=1000,"",SMALL('#BerechnungDBE'!$CB$5:$CB$104,'Flächen u. Kulturen'!A19))</f>
        <v/>
      </c>
      <c r="B20" s="1255" t="str">
        <f>IF($A20="","",VLOOKUP($A20,'Flächen u. Kulturen'!$A$10:$D$109,'Flächen u. Kulturen'!C$1,FALSE))</f>
        <v/>
      </c>
      <c r="C20" s="1255" t="str">
        <f>IF($A20="","",VLOOKUP($A20,'Flächen u. Kulturen'!$A$10:$Z$109,'Flächen u. Kulturen'!B$1,FALSE))</f>
        <v/>
      </c>
      <c r="D20" s="1255" t="str">
        <f>IF($A20="","",VLOOKUP($A20,'DBE - N'!$A$12:$D$111,4,FALSE))</f>
        <v/>
      </c>
      <c r="E20" s="1459" t="str">
        <f>IF($A20="","",VLOOKUP($A20,'Flächen u. Kulturen'!$A$10:$Z$109,'Flächen u. Kulturen'!D$1,FALSE))</f>
        <v/>
      </c>
      <c r="F20" s="1255" t="str">
        <f>IF($A20="","",VLOOKUP($A20,'Flächen u. Kulturen'!$A$10:$V$109,'Flächen u. Kulturen'!L$1,FALSE))</f>
        <v/>
      </c>
      <c r="G20" s="1460" t="str">
        <f>IF($A20="","",VLOOKUP($A20,'Flächen u. Kulturen'!$A$10:$V$109,'Flächen u. Kulturen'!O$1,FALSE))</f>
        <v/>
      </c>
      <c r="H20" s="1460" t="str">
        <f>IF($A20="","",VLOOKUP($A20,'#BerechnungDBE'!$CB$5:$CN$104,'#BerechnungDBE'!$CH$1,FALSE))</f>
        <v/>
      </c>
      <c r="I20" s="1460" t="str">
        <f>IF($A20="","",VLOOKUP($A20,'#BerechnungDBE'!$CB$5:$CN$104,'#BerechnungDBE'!$CJ$1,FALSE))</f>
        <v/>
      </c>
      <c r="J20" s="1460" t="str">
        <f>IF($A20="","",VLOOKUP($A20,'#BerechnungDBE'!$CB$5:$CN$104,'#BerechnungDBE'!$CK$1,FALSE))</f>
        <v/>
      </c>
      <c r="K20" s="1460" t="str">
        <f>IF($A20="","",VLOOKUP($A20,'#BerechnungDBE'!$CB$5:$CN$104,'#BerechnungDBE'!$CM$1,FALSE))</f>
        <v/>
      </c>
      <c r="L20" s="1460" t="str">
        <f>IF($A20="","",VLOOKUP($A20,'#BerechnungDBE'!$CB$5:$CS$104,'#BerechnungDBE'!$CP$1,FALSE))</f>
        <v/>
      </c>
      <c r="M20" s="1460" t="str">
        <f>IF($A20="","",VLOOKUP($A20,'#BerechnungDBE'!$CB$5:$CR$104,'#BerechnungDBE'!$CR$1,FALSE))</f>
        <v/>
      </c>
      <c r="N20" s="1460" t="str">
        <f>IF($A20="","",ROUNDDOWN(VLOOKUP($A20,'#BerechnungDBE'!$CB$5:$CT$104,'#BerechnungDBE'!$CT$1,FALSE),0))</f>
        <v/>
      </c>
      <c r="O20" s="1460" t="str">
        <f t="shared" si="0"/>
        <v/>
      </c>
      <c r="P20" s="1461" t="str">
        <f>IF($A20="","",VLOOKUP($A20,'#BerechnungDBE'!$CB$5:$CU$104,'#BerechnungDBE'!$CU$1,FALSE))</f>
        <v/>
      </c>
      <c r="Q20" s="890" t="str">
        <f t="shared" si="1"/>
        <v/>
      </c>
    </row>
    <row r="21" spans="1:17" s="875" customFormat="1" ht="15" customHeight="1" x14ac:dyDescent="0.2">
      <c r="A21" s="1458" t="str">
        <f>IF(SMALL('#BerechnungDBE'!$CB$5:$CB$104,'Flächen u. Kulturen'!A20)=1000,"",SMALL('#BerechnungDBE'!$CB$5:$CB$104,'Flächen u. Kulturen'!A20))</f>
        <v/>
      </c>
      <c r="B21" s="1255" t="str">
        <f>IF($A21="","",VLOOKUP($A21,'Flächen u. Kulturen'!$A$10:$D$109,'Flächen u. Kulturen'!C$1,FALSE))</f>
        <v/>
      </c>
      <c r="C21" s="1255" t="str">
        <f>IF($A21="","",VLOOKUP($A21,'Flächen u. Kulturen'!$A$10:$Z$109,'Flächen u. Kulturen'!B$1,FALSE))</f>
        <v/>
      </c>
      <c r="D21" s="1255" t="str">
        <f>IF($A21="","",VLOOKUP($A21,'DBE - N'!$A$12:$D$111,4,FALSE))</f>
        <v/>
      </c>
      <c r="E21" s="1459" t="str">
        <f>IF($A21="","",VLOOKUP($A21,'Flächen u. Kulturen'!$A$10:$Z$109,'Flächen u. Kulturen'!D$1,FALSE))</f>
        <v/>
      </c>
      <c r="F21" s="1255" t="str">
        <f>IF($A21="","",VLOOKUP($A21,'Flächen u. Kulturen'!$A$10:$V$109,'Flächen u. Kulturen'!L$1,FALSE))</f>
        <v/>
      </c>
      <c r="G21" s="1460" t="str">
        <f>IF($A21="","",VLOOKUP($A21,'Flächen u. Kulturen'!$A$10:$V$109,'Flächen u. Kulturen'!O$1,FALSE))</f>
        <v/>
      </c>
      <c r="H21" s="1460" t="str">
        <f>IF($A21="","",VLOOKUP($A21,'#BerechnungDBE'!$CB$5:$CN$104,'#BerechnungDBE'!$CH$1,FALSE))</f>
        <v/>
      </c>
      <c r="I21" s="1460" t="str">
        <f>IF($A21="","",VLOOKUP($A21,'#BerechnungDBE'!$CB$5:$CN$104,'#BerechnungDBE'!$CJ$1,FALSE))</f>
        <v/>
      </c>
      <c r="J21" s="1460" t="str">
        <f>IF($A21="","",VLOOKUP($A21,'#BerechnungDBE'!$CB$5:$CN$104,'#BerechnungDBE'!$CK$1,FALSE))</f>
        <v/>
      </c>
      <c r="K21" s="1460" t="str">
        <f>IF($A21="","",VLOOKUP($A21,'#BerechnungDBE'!$CB$5:$CN$104,'#BerechnungDBE'!$CM$1,FALSE))</f>
        <v/>
      </c>
      <c r="L21" s="1460" t="str">
        <f>IF($A21="","",VLOOKUP($A21,'#BerechnungDBE'!$CB$5:$CS$104,'#BerechnungDBE'!$CP$1,FALSE))</f>
        <v/>
      </c>
      <c r="M21" s="1460" t="str">
        <f>IF($A21="","",VLOOKUP($A21,'#BerechnungDBE'!$CB$5:$CR$104,'#BerechnungDBE'!$CR$1,FALSE))</f>
        <v/>
      </c>
      <c r="N21" s="1460" t="str">
        <f>IF($A21="","",ROUNDDOWN(VLOOKUP($A21,'#BerechnungDBE'!$CB$5:$CT$104,'#BerechnungDBE'!$CT$1,FALSE),0))</f>
        <v/>
      </c>
      <c r="O21" s="1460" t="str">
        <f t="shared" si="0"/>
        <v/>
      </c>
      <c r="P21" s="1461" t="str">
        <f>IF($A21="","",VLOOKUP($A21,'#BerechnungDBE'!$CB$5:$CU$104,'#BerechnungDBE'!$CU$1,FALSE))</f>
        <v/>
      </c>
      <c r="Q21" s="890" t="str">
        <f t="shared" si="1"/>
        <v/>
      </c>
    </row>
    <row r="22" spans="1:17" s="875" customFormat="1" ht="15" customHeight="1" x14ac:dyDescent="0.2">
      <c r="A22" s="1458" t="str">
        <f>IF(SMALL('#BerechnungDBE'!$CB$5:$CB$104,'Flächen u. Kulturen'!A21)=1000,"",SMALL('#BerechnungDBE'!$CB$5:$CB$104,'Flächen u. Kulturen'!A21))</f>
        <v/>
      </c>
      <c r="B22" s="1255" t="str">
        <f>IF($A22="","",VLOOKUP($A22,'Flächen u. Kulturen'!$A$10:$D$109,'Flächen u. Kulturen'!C$1,FALSE))</f>
        <v/>
      </c>
      <c r="C22" s="1255" t="str">
        <f>IF($A22="","",VLOOKUP($A22,'Flächen u. Kulturen'!$A$10:$Z$109,'Flächen u. Kulturen'!B$1,FALSE))</f>
        <v/>
      </c>
      <c r="D22" s="1255" t="str">
        <f>IF($A22="","",VLOOKUP($A22,'DBE - N'!$A$12:$D$111,4,FALSE))</f>
        <v/>
      </c>
      <c r="E22" s="1459" t="str">
        <f>IF($A22="","",VLOOKUP($A22,'Flächen u. Kulturen'!$A$10:$Z$109,'Flächen u. Kulturen'!D$1,FALSE))</f>
        <v/>
      </c>
      <c r="F22" s="1255" t="str">
        <f>IF($A22="","",VLOOKUP($A22,'Flächen u. Kulturen'!$A$10:$V$109,'Flächen u. Kulturen'!L$1,FALSE))</f>
        <v/>
      </c>
      <c r="G22" s="1460" t="str">
        <f>IF($A22="","",VLOOKUP($A22,'Flächen u. Kulturen'!$A$10:$V$109,'Flächen u. Kulturen'!O$1,FALSE))</f>
        <v/>
      </c>
      <c r="H22" s="1460" t="str">
        <f>IF($A22="","",VLOOKUP($A22,'#BerechnungDBE'!$CB$5:$CN$104,'#BerechnungDBE'!$CH$1,FALSE))</f>
        <v/>
      </c>
      <c r="I22" s="1460" t="str">
        <f>IF($A22="","",VLOOKUP($A22,'#BerechnungDBE'!$CB$5:$CN$104,'#BerechnungDBE'!$CJ$1,FALSE))</f>
        <v/>
      </c>
      <c r="J22" s="1460" t="str">
        <f>IF($A22="","",VLOOKUP($A22,'#BerechnungDBE'!$CB$5:$CN$104,'#BerechnungDBE'!$CK$1,FALSE))</f>
        <v/>
      </c>
      <c r="K22" s="1460" t="str">
        <f>IF($A22="","",VLOOKUP($A22,'#BerechnungDBE'!$CB$5:$CN$104,'#BerechnungDBE'!$CM$1,FALSE))</f>
        <v/>
      </c>
      <c r="L22" s="1460" t="str">
        <f>IF($A22="","",VLOOKUP($A22,'#BerechnungDBE'!$CB$5:$CS$104,'#BerechnungDBE'!$CP$1,FALSE))</f>
        <v/>
      </c>
      <c r="M22" s="1460" t="str">
        <f>IF($A22="","",VLOOKUP($A22,'#BerechnungDBE'!$CB$5:$CR$104,'#BerechnungDBE'!$CR$1,FALSE))</f>
        <v/>
      </c>
      <c r="N22" s="1460" t="str">
        <f>IF($A22="","",ROUNDDOWN(VLOOKUP($A22,'#BerechnungDBE'!$CB$5:$CT$104,'#BerechnungDBE'!$CT$1,FALSE),0))</f>
        <v/>
      </c>
      <c r="O22" s="1460" t="str">
        <f t="shared" si="0"/>
        <v/>
      </c>
      <c r="P22" s="1461" t="str">
        <f>IF($A22="","",VLOOKUP($A22,'#BerechnungDBE'!$CB$5:$CU$104,'#BerechnungDBE'!$CU$1,FALSE))</f>
        <v/>
      </c>
      <c r="Q22" s="890" t="str">
        <f t="shared" si="1"/>
        <v/>
      </c>
    </row>
    <row r="23" spans="1:17" s="875" customFormat="1" ht="15" customHeight="1" x14ac:dyDescent="0.2">
      <c r="A23" s="1458" t="str">
        <f>IF(SMALL('#BerechnungDBE'!$CB$5:$CB$104,'Flächen u. Kulturen'!A22)=1000,"",SMALL('#BerechnungDBE'!$CB$5:$CB$104,'Flächen u. Kulturen'!A22))</f>
        <v/>
      </c>
      <c r="B23" s="1255" t="str">
        <f>IF($A23="","",VLOOKUP($A23,'Flächen u. Kulturen'!$A$10:$D$109,'Flächen u. Kulturen'!C$1,FALSE))</f>
        <v/>
      </c>
      <c r="C23" s="1255" t="str">
        <f>IF($A23="","",VLOOKUP($A23,'Flächen u. Kulturen'!$A$10:$Z$109,'Flächen u. Kulturen'!B$1,FALSE))</f>
        <v/>
      </c>
      <c r="D23" s="1255" t="str">
        <f>IF($A23="","",VLOOKUP($A23,'DBE - N'!$A$12:$D$111,4,FALSE))</f>
        <v/>
      </c>
      <c r="E23" s="1459" t="str">
        <f>IF($A23="","",VLOOKUP($A23,'Flächen u. Kulturen'!$A$10:$Z$109,'Flächen u. Kulturen'!D$1,FALSE))</f>
        <v/>
      </c>
      <c r="F23" s="1255" t="str">
        <f>IF($A23="","",VLOOKUP($A23,'Flächen u. Kulturen'!$A$10:$V$109,'Flächen u. Kulturen'!L$1,FALSE))</f>
        <v/>
      </c>
      <c r="G23" s="1460" t="str">
        <f>IF($A23="","",VLOOKUP($A23,'Flächen u. Kulturen'!$A$10:$V$109,'Flächen u. Kulturen'!O$1,FALSE))</f>
        <v/>
      </c>
      <c r="H23" s="1460" t="str">
        <f>IF($A23="","",VLOOKUP($A23,'#BerechnungDBE'!$CB$5:$CN$104,'#BerechnungDBE'!$CH$1,FALSE))</f>
        <v/>
      </c>
      <c r="I23" s="1460" t="str">
        <f>IF($A23="","",VLOOKUP($A23,'#BerechnungDBE'!$CB$5:$CN$104,'#BerechnungDBE'!$CJ$1,FALSE))</f>
        <v/>
      </c>
      <c r="J23" s="1460" t="str">
        <f>IF($A23="","",VLOOKUP($A23,'#BerechnungDBE'!$CB$5:$CN$104,'#BerechnungDBE'!$CK$1,FALSE))</f>
        <v/>
      </c>
      <c r="K23" s="1460" t="str">
        <f>IF($A23="","",VLOOKUP($A23,'#BerechnungDBE'!$CB$5:$CN$104,'#BerechnungDBE'!$CM$1,FALSE))</f>
        <v/>
      </c>
      <c r="L23" s="1460" t="str">
        <f>IF($A23="","",VLOOKUP($A23,'#BerechnungDBE'!$CB$5:$CS$104,'#BerechnungDBE'!$CP$1,FALSE))</f>
        <v/>
      </c>
      <c r="M23" s="1460" t="str">
        <f>IF($A23="","",VLOOKUP($A23,'#BerechnungDBE'!$CB$5:$CR$104,'#BerechnungDBE'!$CR$1,FALSE))</f>
        <v/>
      </c>
      <c r="N23" s="1460" t="str">
        <f>IF($A23="","",ROUNDDOWN(VLOOKUP($A23,'#BerechnungDBE'!$CB$5:$CT$104,'#BerechnungDBE'!$CT$1,FALSE),0))</f>
        <v/>
      </c>
      <c r="O23" s="1460" t="str">
        <f t="shared" si="0"/>
        <v/>
      </c>
      <c r="P23" s="1461" t="str">
        <f>IF($A23="","",VLOOKUP($A23,'#BerechnungDBE'!$CB$5:$CU$104,'#BerechnungDBE'!$CU$1,FALSE))</f>
        <v/>
      </c>
      <c r="Q23" s="890" t="str">
        <f t="shared" si="1"/>
        <v/>
      </c>
    </row>
    <row r="24" spans="1:17" s="875" customFormat="1" ht="15" customHeight="1" x14ac:dyDescent="0.2">
      <c r="A24" s="1458" t="str">
        <f>IF(SMALL('#BerechnungDBE'!$CB$5:$CB$104,'Flächen u. Kulturen'!A23)=1000,"",SMALL('#BerechnungDBE'!$CB$5:$CB$104,'Flächen u. Kulturen'!A23))</f>
        <v/>
      </c>
      <c r="B24" s="1255" t="str">
        <f>IF($A24="","",VLOOKUP($A24,'Flächen u. Kulturen'!$A$10:$D$109,'Flächen u. Kulturen'!C$1,FALSE))</f>
        <v/>
      </c>
      <c r="C24" s="1255" t="str">
        <f>IF($A24="","",VLOOKUP($A24,'Flächen u. Kulturen'!$A$10:$Z$109,'Flächen u. Kulturen'!B$1,FALSE))</f>
        <v/>
      </c>
      <c r="D24" s="1255" t="str">
        <f>IF($A24="","",VLOOKUP($A24,'DBE - N'!$A$12:$D$111,4,FALSE))</f>
        <v/>
      </c>
      <c r="E24" s="1459" t="str">
        <f>IF($A24="","",VLOOKUP($A24,'Flächen u. Kulturen'!$A$10:$Z$109,'Flächen u. Kulturen'!D$1,FALSE))</f>
        <v/>
      </c>
      <c r="F24" s="1255" t="str">
        <f>IF($A24="","",VLOOKUP($A24,'Flächen u. Kulturen'!$A$10:$V$109,'Flächen u. Kulturen'!L$1,FALSE))</f>
        <v/>
      </c>
      <c r="G24" s="1460" t="str">
        <f>IF($A24="","",VLOOKUP($A24,'Flächen u. Kulturen'!$A$10:$V$109,'Flächen u. Kulturen'!O$1,FALSE))</f>
        <v/>
      </c>
      <c r="H24" s="1460" t="str">
        <f>IF($A24="","",VLOOKUP($A24,'#BerechnungDBE'!$CB$5:$CN$104,'#BerechnungDBE'!$CH$1,FALSE))</f>
        <v/>
      </c>
      <c r="I24" s="1460" t="str">
        <f>IF($A24="","",VLOOKUP($A24,'#BerechnungDBE'!$CB$5:$CN$104,'#BerechnungDBE'!$CJ$1,FALSE))</f>
        <v/>
      </c>
      <c r="J24" s="1460" t="str">
        <f>IF($A24="","",VLOOKUP($A24,'#BerechnungDBE'!$CB$5:$CN$104,'#BerechnungDBE'!$CK$1,FALSE))</f>
        <v/>
      </c>
      <c r="K24" s="1460" t="str">
        <f>IF($A24="","",VLOOKUP($A24,'#BerechnungDBE'!$CB$5:$CN$104,'#BerechnungDBE'!$CM$1,FALSE))</f>
        <v/>
      </c>
      <c r="L24" s="1460" t="str">
        <f>IF($A24="","",VLOOKUP($A24,'#BerechnungDBE'!$CB$5:$CS$104,'#BerechnungDBE'!$CP$1,FALSE))</f>
        <v/>
      </c>
      <c r="M24" s="1460" t="str">
        <f>IF($A24="","",VLOOKUP($A24,'#BerechnungDBE'!$CB$5:$CR$104,'#BerechnungDBE'!$CR$1,FALSE))</f>
        <v/>
      </c>
      <c r="N24" s="1460" t="str">
        <f>IF($A24="","",ROUNDDOWN(VLOOKUP($A24,'#BerechnungDBE'!$CB$5:$CT$104,'#BerechnungDBE'!$CT$1,FALSE),0))</f>
        <v/>
      </c>
      <c r="O24" s="1460" t="str">
        <f t="shared" si="0"/>
        <v/>
      </c>
      <c r="P24" s="1461" t="str">
        <f>IF($A24="","",VLOOKUP($A24,'#BerechnungDBE'!$CB$5:$CU$104,'#BerechnungDBE'!$CU$1,FALSE))</f>
        <v/>
      </c>
      <c r="Q24" s="890" t="str">
        <f t="shared" si="1"/>
        <v/>
      </c>
    </row>
    <row r="25" spans="1:17" s="875" customFormat="1" ht="15" customHeight="1" x14ac:dyDescent="0.2">
      <c r="A25" s="1458" t="str">
        <f>IF(SMALL('#BerechnungDBE'!$CB$5:$CB$104,'Flächen u. Kulturen'!A24)=1000,"",SMALL('#BerechnungDBE'!$CB$5:$CB$104,'Flächen u. Kulturen'!A24))</f>
        <v/>
      </c>
      <c r="B25" s="1255" t="str">
        <f>IF($A25="","",VLOOKUP($A25,'Flächen u. Kulturen'!$A$10:$D$109,'Flächen u. Kulturen'!C$1,FALSE))</f>
        <v/>
      </c>
      <c r="C25" s="1255" t="str">
        <f>IF($A25="","",VLOOKUP($A25,'Flächen u. Kulturen'!$A$10:$Z$109,'Flächen u. Kulturen'!B$1,FALSE))</f>
        <v/>
      </c>
      <c r="D25" s="1255" t="str">
        <f>IF($A25="","",VLOOKUP($A25,'DBE - N'!$A$12:$D$111,4,FALSE))</f>
        <v/>
      </c>
      <c r="E25" s="1459" t="str">
        <f>IF($A25="","",VLOOKUP($A25,'Flächen u. Kulturen'!$A$10:$Z$109,'Flächen u. Kulturen'!D$1,FALSE))</f>
        <v/>
      </c>
      <c r="F25" s="1255" t="str">
        <f>IF($A25="","",VLOOKUP($A25,'Flächen u. Kulturen'!$A$10:$V$109,'Flächen u. Kulturen'!L$1,FALSE))</f>
        <v/>
      </c>
      <c r="G25" s="1460" t="str">
        <f>IF($A25="","",VLOOKUP($A25,'Flächen u. Kulturen'!$A$10:$V$109,'Flächen u. Kulturen'!O$1,FALSE))</f>
        <v/>
      </c>
      <c r="H25" s="1460" t="str">
        <f>IF($A25="","",VLOOKUP($A25,'#BerechnungDBE'!$CB$5:$CN$104,'#BerechnungDBE'!$CH$1,FALSE))</f>
        <v/>
      </c>
      <c r="I25" s="1460" t="str">
        <f>IF($A25="","",VLOOKUP($A25,'#BerechnungDBE'!$CB$5:$CN$104,'#BerechnungDBE'!$CJ$1,FALSE))</f>
        <v/>
      </c>
      <c r="J25" s="1460" t="str">
        <f>IF($A25="","",VLOOKUP($A25,'#BerechnungDBE'!$CB$5:$CN$104,'#BerechnungDBE'!$CK$1,FALSE))</f>
        <v/>
      </c>
      <c r="K25" s="1460" t="str">
        <f>IF($A25="","",VLOOKUP($A25,'#BerechnungDBE'!$CB$5:$CN$104,'#BerechnungDBE'!$CM$1,FALSE))</f>
        <v/>
      </c>
      <c r="L25" s="1460" t="str">
        <f>IF($A25="","",VLOOKUP($A25,'#BerechnungDBE'!$CB$5:$CS$104,'#BerechnungDBE'!$CP$1,FALSE))</f>
        <v/>
      </c>
      <c r="M25" s="1460" t="str">
        <f>IF($A25="","",VLOOKUP($A25,'#BerechnungDBE'!$CB$5:$CR$104,'#BerechnungDBE'!$CR$1,FALSE))</f>
        <v/>
      </c>
      <c r="N25" s="1460" t="str">
        <f>IF($A25="","",ROUNDDOWN(VLOOKUP($A25,'#BerechnungDBE'!$CB$5:$CT$104,'#BerechnungDBE'!$CT$1,FALSE),0))</f>
        <v/>
      </c>
      <c r="O25" s="1460" t="str">
        <f t="shared" si="0"/>
        <v/>
      </c>
      <c r="P25" s="1461" t="str">
        <f>IF($A25="","",VLOOKUP($A25,'#BerechnungDBE'!$CB$5:$CU$104,'#BerechnungDBE'!$CU$1,FALSE))</f>
        <v/>
      </c>
      <c r="Q25" s="890" t="str">
        <f t="shared" si="1"/>
        <v/>
      </c>
    </row>
    <row r="26" spans="1:17" s="875" customFormat="1" ht="15" customHeight="1" x14ac:dyDescent="0.2">
      <c r="A26" s="1458" t="str">
        <f>IF(SMALL('#BerechnungDBE'!$CB$5:$CB$104,'Flächen u. Kulturen'!A25)=1000,"",SMALL('#BerechnungDBE'!$CB$5:$CB$104,'Flächen u. Kulturen'!A25))</f>
        <v/>
      </c>
      <c r="B26" s="1255" t="str">
        <f>IF($A26="","",VLOOKUP($A26,'Flächen u. Kulturen'!$A$10:$D$109,'Flächen u. Kulturen'!C$1,FALSE))</f>
        <v/>
      </c>
      <c r="C26" s="1255" t="str">
        <f>IF($A26="","",VLOOKUP($A26,'Flächen u. Kulturen'!$A$10:$Z$109,'Flächen u. Kulturen'!B$1,FALSE))</f>
        <v/>
      </c>
      <c r="D26" s="1255" t="str">
        <f>IF($A26="","",VLOOKUP($A26,'DBE - N'!$A$12:$D$111,4,FALSE))</f>
        <v/>
      </c>
      <c r="E26" s="1459" t="str">
        <f>IF($A26="","",VLOOKUP($A26,'Flächen u. Kulturen'!$A$10:$Z$109,'Flächen u. Kulturen'!D$1,FALSE))</f>
        <v/>
      </c>
      <c r="F26" s="1255" t="str">
        <f>IF($A26="","",VLOOKUP($A26,'Flächen u. Kulturen'!$A$10:$V$109,'Flächen u. Kulturen'!L$1,FALSE))</f>
        <v/>
      </c>
      <c r="G26" s="1460" t="str">
        <f>IF($A26="","",VLOOKUP($A26,'Flächen u. Kulturen'!$A$10:$V$109,'Flächen u. Kulturen'!O$1,FALSE))</f>
        <v/>
      </c>
      <c r="H26" s="1460" t="str">
        <f>IF($A26="","",VLOOKUP($A26,'#BerechnungDBE'!$CB$5:$CN$104,'#BerechnungDBE'!$CH$1,FALSE))</f>
        <v/>
      </c>
      <c r="I26" s="1460" t="str">
        <f>IF($A26="","",VLOOKUP($A26,'#BerechnungDBE'!$CB$5:$CN$104,'#BerechnungDBE'!$CJ$1,FALSE))</f>
        <v/>
      </c>
      <c r="J26" s="1460" t="str">
        <f>IF($A26="","",VLOOKUP($A26,'#BerechnungDBE'!$CB$5:$CN$104,'#BerechnungDBE'!$CK$1,FALSE))</f>
        <v/>
      </c>
      <c r="K26" s="1460" t="str">
        <f>IF($A26="","",VLOOKUP($A26,'#BerechnungDBE'!$CB$5:$CN$104,'#BerechnungDBE'!$CM$1,FALSE))</f>
        <v/>
      </c>
      <c r="L26" s="1460" t="str">
        <f>IF($A26="","",VLOOKUP($A26,'#BerechnungDBE'!$CB$5:$CS$104,'#BerechnungDBE'!$CP$1,FALSE))</f>
        <v/>
      </c>
      <c r="M26" s="1460" t="str">
        <f>IF($A26="","",VLOOKUP($A26,'#BerechnungDBE'!$CB$5:$CR$104,'#BerechnungDBE'!$CR$1,FALSE))</f>
        <v/>
      </c>
      <c r="N26" s="1460" t="str">
        <f>IF($A26="","",ROUNDDOWN(VLOOKUP($A26,'#BerechnungDBE'!$CB$5:$CT$104,'#BerechnungDBE'!$CT$1,FALSE),0))</f>
        <v/>
      </c>
      <c r="O26" s="1460" t="str">
        <f t="shared" si="0"/>
        <v/>
      </c>
      <c r="P26" s="1461" t="str">
        <f>IF($A26="","",VLOOKUP($A26,'#BerechnungDBE'!$CB$5:$CU$104,'#BerechnungDBE'!$CU$1,FALSE))</f>
        <v/>
      </c>
      <c r="Q26" s="890" t="str">
        <f t="shared" si="1"/>
        <v/>
      </c>
    </row>
    <row r="27" spans="1:17" s="875" customFormat="1" ht="15" customHeight="1" x14ac:dyDescent="0.2">
      <c r="A27" s="1458" t="str">
        <f>IF(SMALL('#BerechnungDBE'!$CB$5:$CB$104,'Flächen u. Kulturen'!A26)=1000,"",SMALL('#BerechnungDBE'!$CB$5:$CB$104,'Flächen u. Kulturen'!A26))</f>
        <v/>
      </c>
      <c r="B27" s="1255" t="str">
        <f>IF($A27="","",VLOOKUP($A27,'Flächen u. Kulturen'!$A$10:$D$109,'Flächen u. Kulturen'!C$1,FALSE))</f>
        <v/>
      </c>
      <c r="C27" s="1255" t="str">
        <f>IF($A27="","",VLOOKUP($A27,'Flächen u. Kulturen'!$A$10:$Z$109,'Flächen u. Kulturen'!B$1,FALSE))</f>
        <v/>
      </c>
      <c r="D27" s="1255" t="str">
        <f>IF($A27="","",VLOOKUP($A27,'DBE - N'!$A$12:$D$111,4,FALSE))</f>
        <v/>
      </c>
      <c r="E27" s="1459" t="str">
        <f>IF($A27="","",VLOOKUP($A27,'Flächen u. Kulturen'!$A$10:$Z$109,'Flächen u. Kulturen'!D$1,FALSE))</f>
        <v/>
      </c>
      <c r="F27" s="1255" t="str">
        <f>IF($A27="","",VLOOKUP($A27,'Flächen u. Kulturen'!$A$10:$V$109,'Flächen u. Kulturen'!L$1,FALSE))</f>
        <v/>
      </c>
      <c r="G27" s="1460" t="str">
        <f>IF($A27="","",VLOOKUP($A27,'Flächen u. Kulturen'!$A$10:$V$109,'Flächen u. Kulturen'!O$1,FALSE))</f>
        <v/>
      </c>
      <c r="H27" s="1460" t="str">
        <f>IF($A27="","",VLOOKUP($A27,'#BerechnungDBE'!$CB$5:$CN$104,'#BerechnungDBE'!$CH$1,FALSE))</f>
        <v/>
      </c>
      <c r="I27" s="1460" t="str">
        <f>IF($A27="","",VLOOKUP($A27,'#BerechnungDBE'!$CB$5:$CN$104,'#BerechnungDBE'!$CJ$1,FALSE))</f>
        <v/>
      </c>
      <c r="J27" s="1460" t="str">
        <f>IF($A27="","",VLOOKUP($A27,'#BerechnungDBE'!$CB$5:$CN$104,'#BerechnungDBE'!$CK$1,FALSE))</f>
        <v/>
      </c>
      <c r="K27" s="1460" t="str">
        <f>IF($A27="","",VLOOKUP($A27,'#BerechnungDBE'!$CB$5:$CN$104,'#BerechnungDBE'!$CM$1,FALSE))</f>
        <v/>
      </c>
      <c r="L27" s="1460" t="str">
        <f>IF($A27="","",VLOOKUP($A27,'#BerechnungDBE'!$CB$5:$CS$104,'#BerechnungDBE'!$CP$1,FALSE))</f>
        <v/>
      </c>
      <c r="M27" s="1460" t="str">
        <f>IF($A27="","",VLOOKUP($A27,'#BerechnungDBE'!$CB$5:$CR$104,'#BerechnungDBE'!$CR$1,FALSE))</f>
        <v/>
      </c>
      <c r="N27" s="1460" t="str">
        <f>IF($A27="","",ROUNDDOWN(VLOOKUP($A27,'#BerechnungDBE'!$CB$5:$CT$104,'#BerechnungDBE'!$CT$1,FALSE),0))</f>
        <v/>
      </c>
      <c r="O27" s="1460" t="str">
        <f t="shared" si="0"/>
        <v/>
      </c>
      <c r="P27" s="1461" t="str">
        <f>IF($A27="","",VLOOKUP($A27,'#BerechnungDBE'!$CB$5:$CU$104,'#BerechnungDBE'!$CU$1,FALSE))</f>
        <v/>
      </c>
      <c r="Q27" s="890" t="str">
        <f t="shared" si="1"/>
        <v/>
      </c>
    </row>
    <row r="28" spans="1:17" s="875" customFormat="1" ht="15" customHeight="1" x14ac:dyDescent="0.2">
      <c r="A28" s="1458" t="str">
        <f>IF(SMALL('#BerechnungDBE'!$CB$5:$CB$104,'Flächen u. Kulturen'!A27)=1000,"",SMALL('#BerechnungDBE'!$CB$5:$CB$104,'Flächen u. Kulturen'!A27))</f>
        <v/>
      </c>
      <c r="B28" s="1255" t="str">
        <f>IF($A28="","",VLOOKUP($A28,'Flächen u. Kulturen'!$A$10:$D$109,'Flächen u. Kulturen'!C$1,FALSE))</f>
        <v/>
      </c>
      <c r="C28" s="1255" t="str">
        <f>IF($A28="","",VLOOKUP($A28,'Flächen u. Kulturen'!$A$10:$Z$109,'Flächen u. Kulturen'!B$1,FALSE))</f>
        <v/>
      </c>
      <c r="D28" s="1255" t="str">
        <f>IF($A28="","",VLOOKUP($A28,'DBE - N'!$A$12:$D$111,4,FALSE))</f>
        <v/>
      </c>
      <c r="E28" s="1459" t="str">
        <f>IF($A28="","",VLOOKUP($A28,'Flächen u. Kulturen'!$A$10:$Z$109,'Flächen u. Kulturen'!D$1,FALSE))</f>
        <v/>
      </c>
      <c r="F28" s="1255" t="str">
        <f>IF($A28="","",VLOOKUP($A28,'Flächen u. Kulturen'!$A$10:$V$109,'Flächen u. Kulturen'!L$1,FALSE))</f>
        <v/>
      </c>
      <c r="G28" s="1460" t="str">
        <f>IF($A28="","",VLOOKUP($A28,'Flächen u. Kulturen'!$A$10:$V$109,'Flächen u. Kulturen'!O$1,FALSE))</f>
        <v/>
      </c>
      <c r="H28" s="1460" t="str">
        <f>IF($A28="","",VLOOKUP($A28,'#BerechnungDBE'!$CB$5:$CN$104,'#BerechnungDBE'!$CH$1,FALSE))</f>
        <v/>
      </c>
      <c r="I28" s="1460" t="str">
        <f>IF($A28="","",VLOOKUP($A28,'#BerechnungDBE'!$CB$5:$CN$104,'#BerechnungDBE'!$CJ$1,FALSE))</f>
        <v/>
      </c>
      <c r="J28" s="1460" t="str">
        <f>IF($A28="","",VLOOKUP($A28,'#BerechnungDBE'!$CB$5:$CN$104,'#BerechnungDBE'!$CK$1,FALSE))</f>
        <v/>
      </c>
      <c r="K28" s="1460" t="str">
        <f>IF($A28="","",VLOOKUP($A28,'#BerechnungDBE'!$CB$5:$CN$104,'#BerechnungDBE'!$CM$1,FALSE))</f>
        <v/>
      </c>
      <c r="L28" s="1460" t="str">
        <f>IF($A28="","",VLOOKUP($A28,'#BerechnungDBE'!$CB$5:$CS$104,'#BerechnungDBE'!$CP$1,FALSE))</f>
        <v/>
      </c>
      <c r="M28" s="1460" t="str">
        <f>IF($A28="","",VLOOKUP($A28,'#BerechnungDBE'!$CB$5:$CR$104,'#BerechnungDBE'!$CR$1,FALSE))</f>
        <v/>
      </c>
      <c r="N28" s="1460" t="str">
        <f>IF($A28="","",ROUNDDOWN(VLOOKUP($A28,'#BerechnungDBE'!$CB$5:$CT$104,'#BerechnungDBE'!$CT$1,FALSE),0))</f>
        <v/>
      </c>
      <c r="O28" s="1460" t="str">
        <f t="shared" si="0"/>
        <v/>
      </c>
      <c r="P28" s="1461" t="str">
        <f>IF($A28="","",VLOOKUP($A28,'#BerechnungDBE'!$CB$5:$CU$104,'#BerechnungDBE'!$CU$1,FALSE))</f>
        <v/>
      </c>
      <c r="Q28" s="890" t="str">
        <f t="shared" si="1"/>
        <v/>
      </c>
    </row>
    <row r="29" spans="1:17" s="875" customFormat="1" ht="15" customHeight="1" x14ac:dyDescent="0.2">
      <c r="A29" s="1458" t="str">
        <f>IF(SMALL('#BerechnungDBE'!$CB$5:$CB$104,'Flächen u. Kulturen'!A28)=1000,"",SMALL('#BerechnungDBE'!$CB$5:$CB$104,'Flächen u. Kulturen'!A28))</f>
        <v/>
      </c>
      <c r="B29" s="1255" t="str">
        <f>IF($A29="","",VLOOKUP($A29,'Flächen u. Kulturen'!$A$10:$D$109,'Flächen u. Kulturen'!C$1,FALSE))</f>
        <v/>
      </c>
      <c r="C29" s="1255" t="str">
        <f>IF($A29="","",VLOOKUP($A29,'Flächen u. Kulturen'!$A$10:$Z$109,'Flächen u. Kulturen'!B$1,FALSE))</f>
        <v/>
      </c>
      <c r="D29" s="1255" t="str">
        <f>IF($A29="","",VLOOKUP($A29,'DBE - N'!$A$12:$D$111,4,FALSE))</f>
        <v/>
      </c>
      <c r="E29" s="1459" t="str">
        <f>IF($A29="","",VLOOKUP($A29,'Flächen u. Kulturen'!$A$10:$Z$109,'Flächen u. Kulturen'!D$1,FALSE))</f>
        <v/>
      </c>
      <c r="F29" s="1255" t="str">
        <f>IF($A29="","",VLOOKUP($A29,'Flächen u. Kulturen'!$A$10:$V$109,'Flächen u. Kulturen'!L$1,FALSE))</f>
        <v/>
      </c>
      <c r="G29" s="1460" t="str">
        <f>IF($A29="","",VLOOKUP($A29,'Flächen u. Kulturen'!$A$10:$V$109,'Flächen u. Kulturen'!O$1,FALSE))</f>
        <v/>
      </c>
      <c r="H29" s="1460" t="str">
        <f>IF($A29="","",VLOOKUP($A29,'#BerechnungDBE'!$CB$5:$CN$104,'#BerechnungDBE'!$CH$1,FALSE))</f>
        <v/>
      </c>
      <c r="I29" s="1460" t="str">
        <f>IF($A29="","",VLOOKUP($A29,'#BerechnungDBE'!$CB$5:$CN$104,'#BerechnungDBE'!$CJ$1,FALSE))</f>
        <v/>
      </c>
      <c r="J29" s="1460" t="str">
        <f>IF($A29="","",VLOOKUP($A29,'#BerechnungDBE'!$CB$5:$CN$104,'#BerechnungDBE'!$CK$1,FALSE))</f>
        <v/>
      </c>
      <c r="K29" s="1460" t="str">
        <f>IF($A29="","",VLOOKUP($A29,'#BerechnungDBE'!$CB$5:$CN$104,'#BerechnungDBE'!$CM$1,FALSE))</f>
        <v/>
      </c>
      <c r="L29" s="1460" t="str">
        <f>IF($A29="","",VLOOKUP($A29,'#BerechnungDBE'!$CB$5:$CS$104,'#BerechnungDBE'!$CP$1,FALSE))</f>
        <v/>
      </c>
      <c r="M29" s="1460" t="str">
        <f>IF($A29="","",VLOOKUP($A29,'#BerechnungDBE'!$CB$5:$CR$104,'#BerechnungDBE'!$CR$1,FALSE))</f>
        <v/>
      </c>
      <c r="N29" s="1460" t="str">
        <f>IF($A29="","",ROUNDDOWN(VLOOKUP($A29,'#BerechnungDBE'!$CB$5:$CT$104,'#BerechnungDBE'!$CT$1,FALSE),0))</f>
        <v/>
      </c>
      <c r="O29" s="1460" t="str">
        <f t="shared" si="0"/>
        <v/>
      </c>
      <c r="P29" s="1461" t="str">
        <f>IF($A29="","",VLOOKUP($A29,'#BerechnungDBE'!$CB$5:$CU$104,'#BerechnungDBE'!$CU$1,FALSE))</f>
        <v/>
      </c>
      <c r="Q29" s="890" t="str">
        <f t="shared" si="1"/>
        <v/>
      </c>
    </row>
    <row r="30" spans="1:17" s="875" customFormat="1" ht="15" customHeight="1" x14ac:dyDescent="0.2">
      <c r="A30" s="1458" t="str">
        <f>IF(SMALL('#BerechnungDBE'!$CB$5:$CB$104,'Flächen u. Kulturen'!A29)=1000,"",SMALL('#BerechnungDBE'!$CB$5:$CB$104,'Flächen u. Kulturen'!A29))</f>
        <v/>
      </c>
      <c r="B30" s="1255" t="str">
        <f>IF($A30="","",VLOOKUP($A30,'Flächen u. Kulturen'!$A$10:$D$109,'Flächen u. Kulturen'!C$1,FALSE))</f>
        <v/>
      </c>
      <c r="C30" s="1255" t="str">
        <f>IF($A30="","",VLOOKUP($A30,'Flächen u. Kulturen'!$A$10:$Z$109,'Flächen u. Kulturen'!B$1,FALSE))</f>
        <v/>
      </c>
      <c r="D30" s="1255" t="str">
        <f>IF($A30="","",VLOOKUP($A30,'DBE - N'!$A$12:$D$111,4,FALSE))</f>
        <v/>
      </c>
      <c r="E30" s="1459" t="str">
        <f>IF($A30="","",VLOOKUP($A30,'Flächen u. Kulturen'!$A$10:$Z$109,'Flächen u. Kulturen'!D$1,FALSE))</f>
        <v/>
      </c>
      <c r="F30" s="1255" t="str">
        <f>IF($A30="","",VLOOKUP($A30,'Flächen u. Kulturen'!$A$10:$V$109,'Flächen u. Kulturen'!L$1,FALSE))</f>
        <v/>
      </c>
      <c r="G30" s="1460" t="str">
        <f>IF($A30="","",VLOOKUP($A30,'Flächen u. Kulturen'!$A$10:$V$109,'Flächen u. Kulturen'!O$1,FALSE))</f>
        <v/>
      </c>
      <c r="H30" s="1460" t="str">
        <f>IF($A30="","",VLOOKUP($A30,'#BerechnungDBE'!$CB$5:$CN$104,'#BerechnungDBE'!$CH$1,FALSE))</f>
        <v/>
      </c>
      <c r="I30" s="1460" t="str">
        <f>IF($A30="","",VLOOKUP($A30,'#BerechnungDBE'!$CB$5:$CN$104,'#BerechnungDBE'!$CJ$1,FALSE))</f>
        <v/>
      </c>
      <c r="J30" s="1460" t="str">
        <f>IF($A30="","",VLOOKUP($A30,'#BerechnungDBE'!$CB$5:$CN$104,'#BerechnungDBE'!$CK$1,FALSE))</f>
        <v/>
      </c>
      <c r="K30" s="1460" t="str">
        <f>IF($A30="","",VLOOKUP($A30,'#BerechnungDBE'!$CB$5:$CN$104,'#BerechnungDBE'!$CM$1,FALSE))</f>
        <v/>
      </c>
      <c r="L30" s="1460" t="str">
        <f>IF($A30="","",VLOOKUP($A30,'#BerechnungDBE'!$CB$5:$CS$104,'#BerechnungDBE'!$CP$1,FALSE))</f>
        <v/>
      </c>
      <c r="M30" s="1460" t="str">
        <f>IF($A30="","",VLOOKUP($A30,'#BerechnungDBE'!$CB$5:$CR$104,'#BerechnungDBE'!$CR$1,FALSE))</f>
        <v/>
      </c>
      <c r="N30" s="1460" t="str">
        <f>IF($A30="","",ROUNDDOWN(VLOOKUP($A30,'#BerechnungDBE'!$CB$5:$CT$104,'#BerechnungDBE'!$CT$1,FALSE),0))</f>
        <v/>
      </c>
      <c r="O30" s="1460" t="str">
        <f t="shared" si="0"/>
        <v/>
      </c>
      <c r="P30" s="1461" t="str">
        <f>IF($A30="","",VLOOKUP($A30,'#BerechnungDBE'!$CB$5:$CU$104,'#BerechnungDBE'!$CU$1,FALSE))</f>
        <v/>
      </c>
      <c r="Q30" s="890" t="str">
        <f t="shared" si="1"/>
        <v/>
      </c>
    </row>
    <row r="31" spans="1:17" s="875" customFormat="1" ht="15" customHeight="1" x14ac:dyDescent="0.2">
      <c r="A31" s="1458" t="str">
        <f>IF(SMALL('#BerechnungDBE'!$CB$5:$CB$104,'Flächen u. Kulturen'!A30)=1000,"",SMALL('#BerechnungDBE'!$CB$5:$CB$104,'Flächen u. Kulturen'!A30))</f>
        <v/>
      </c>
      <c r="B31" s="1255" t="str">
        <f>IF($A31="","",VLOOKUP($A31,'Flächen u. Kulturen'!$A$10:$D$109,'Flächen u. Kulturen'!C$1,FALSE))</f>
        <v/>
      </c>
      <c r="C31" s="1255" t="str">
        <f>IF($A31="","",VLOOKUP($A31,'Flächen u. Kulturen'!$A$10:$Z$109,'Flächen u. Kulturen'!B$1,FALSE))</f>
        <v/>
      </c>
      <c r="D31" s="1255" t="str">
        <f>IF($A31="","",VLOOKUP($A31,'DBE - N'!$A$12:$D$111,4,FALSE))</f>
        <v/>
      </c>
      <c r="E31" s="1459" t="str">
        <f>IF($A31="","",VLOOKUP($A31,'Flächen u. Kulturen'!$A$10:$Z$109,'Flächen u. Kulturen'!D$1,FALSE))</f>
        <v/>
      </c>
      <c r="F31" s="1255" t="str">
        <f>IF($A31="","",VLOOKUP($A31,'Flächen u. Kulturen'!$A$10:$V$109,'Flächen u. Kulturen'!L$1,FALSE))</f>
        <v/>
      </c>
      <c r="G31" s="1460" t="str">
        <f>IF($A31="","",VLOOKUP($A31,'Flächen u. Kulturen'!$A$10:$V$109,'Flächen u. Kulturen'!O$1,FALSE))</f>
        <v/>
      </c>
      <c r="H31" s="1460" t="str">
        <f>IF($A31="","",VLOOKUP($A31,'#BerechnungDBE'!$CB$5:$CN$104,'#BerechnungDBE'!$CH$1,FALSE))</f>
        <v/>
      </c>
      <c r="I31" s="1460" t="str">
        <f>IF($A31="","",VLOOKUP($A31,'#BerechnungDBE'!$CB$5:$CN$104,'#BerechnungDBE'!$CJ$1,FALSE))</f>
        <v/>
      </c>
      <c r="J31" s="1460" t="str">
        <f>IF($A31="","",VLOOKUP($A31,'#BerechnungDBE'!$CB$5:$CN$104,'#BerechnungDBE'!$CK$1,FALSE))</f>
        <v/>
      </c>
      <c r="K31" s="1460" t="str">
        <f>IF($A31="","",VLOOKUP($A31,'#BerechnungDBE'!$CB$5:$CN$104,'#BerechnungDBE'!$CM$1,FALSE))</f>
        <v/>
      </c>
      <c r="L31" s="1460" t="str">
        <f>IF($A31="","",VLOOKUP($A31,'#BerechnungDBE'!$CB$5:$CS$104,'#BerechnungDBE'!$CP$1,FALSE))</f>
        <v/>
      </c>
      <c r="M31" s="1460" t="str">
        <f>IF($A31="","",VLOOKUP($A31,'#BerechnungDBE'!$CB$5:$CR$104,'#BerechnungDBE'!$CR$1,FALSE))</f>
        <v/>
      </c>
      <c r="N31" s="1460" t="str">
        <f>IF($A31="","",ROUNDDOWN(VLOOKUP($A31,'#BerechnungDBE'!$CB$5:$CT$104,'#BerechnungDBE'!$CT$1,FALSE),0))</f>
        <v/>
      </c>
      <c r="O31" s="1460" t="str">
        <f t="shared" si="0"/>
        <v/>
      </c>
      <c r="P31" s="1461" t="str">
        <f>IF($A31="","",VLOOKUP($A31,'#BerechnungDBE'!$CB$5:$CU$104,'#BerechnungDBE'!$CU$1,FALSE))</f>
        <v/>
      </c>
      <c r="Q31" s="890" t="str">
        <f t="shared" si="1"/>
        <v/>
      </c>
    </row>
    <row r="32" spans="1:17" s="875" customFormat="1" ht="15" customHeight="1" x14ac:dyDescent="0.2">
      <c r="A32" s="1458" t="str">
        <f>IF(SMALL('#BerechnungDBE'!$CB$5:$CB$104,'Flächen u. Kulturen'!A31)=1000,"",SMALL('#BerechnungDBE'!$CB$5:$CB$104,'Flächen u. Kulturen'!A31))</f>
        <v/>
      </c>
      <c r="B32" s="1255" t="str">
        <f>IF($A32="","",VLOOKUP($A32,'Flächen u. Kulturen'!$A$10:$D$109,'Flächen u. Kulturen'!C$1,FALSE))</f>
        <v/>
      </c>
      <c r="C32" s="1255" t="str">
        <f>IF($A32="","",VLOOKUP($A32,'Flächen u. Kulturen'!$A$10:$Z$109,'Flächen u. Kulturen'!B$1,FALSE))</f>
        <v/>
      </c>
      <c r="D32" s="1255" t="str">
        <f>IF($A32="","",VLOOKUP($A32,'DBE - N'!$A$12:$D$111,4,FALSE))</f>
        <v/>
      </c>
      <c r="E32" s="1459" t="str">
        <f>IF($A32="","",VLOOKUP($A32,'Flächen u. Kulturen'!$A$10:$Z$109,'Flächen u. Kulturen'!D$1,FALSE))</f>
        <v/>
      </c>
      <c r="F32" s="1255" t="str">
        <f>IF($A32="","",VLOOKUP($A32,'Flächen u. Kulturen'!$A$10:$V$109,'Flächen u. Kulturen'!L$1,FALSE))</f>
        <v/>
      </c>
      <c r="G32" s="1460" t="str">
        <f>IF($A32="","",VLOOKUP($A32,'Flächen u. Kulturen'!$A$10:$V$109,'Flächen u. Kulturen'!O$1,FALSE))</f>
        <v/>
      </c>
      <c r="H32" s="1460" t="str">
        <f>IF($A32="","",VLOOKUP($A32,'#BerechnungDBE'!$CB$5:$CN$104,'#BerechnungDBE'!$CH$1,FALSE))</f>
        <v/>
      </c>
      <c r="I32" s="1460" t="str">
        <f>IF($A32="","",VLOOKUP($A32,'#BerechnungDBE'!$CB$5:$CN$104,'#BerechnungDBE'!$CJ$1,FALSE))</f>
        <v/>
      </c>
      <c r="J32" s="1460" t="str">
        <f>IF($A32="","",VLOOKUP($A32,'#BerechnungDBE'!$CB$5:$CN$104,'#BerechnungDBE'!$CK$1,FALSE))</f>
        <v/>
      </c>
      <c r="K32" s="1460" t="str">
        <f>IF($A32="","",VLOOKUP($A32,'#BerechnungDBE'!$CB$5:$CN$104,'#BerechnungDBE'!$CM$1,FALSE))</f>
        <v/>
      </c>
      <c r="L32" s="1460" t="str">
        <f>IF($A32="","",VLOOKUP($A32,'#BerechnungDBE'!$CB$5:$CS$104,'#BerechnungDBE'!$CP$1,FALSE))</f>
        <v/>
      </c>
      <c r="M32" s="1460" t="str">
        <f>IF($A32="","",VLOOKUP($A32,'#BerechnungDBE'!$CB$5:$CR$104,'#BerechnungDBE'!$CR$1,FALSE))</f>
        <v/>
      </c>
      <c r="N32" s="1460" t="str">
        <f>IF($A32="","",ROUNDDOWN(VLOOKUP($A32,'#BerechnungDBE'!$CB$5:$CT$104,'#BerechnungDBE'!$CT$1,FALSE),0))</f>
        <v/>
      </c>
      <c r="O32" s="1460" t="str">
        <f t="shared" si="0"/>
        <v/>
      </c>
      <c r="P32" s="1461" t="str">
        <f>IF($A32="","",VLOOKUP($A32,'#BerechnungDBE'!$CB$5:$CU$104,'#BerechnungDBE'!$CU$1,FALSE))</f>
        <v/>
      </c>
      <c r="Q32" s="890" t="str">
        <f t="shared" si="1"/>
        <v/>
      </c>
    </row>
    <row r="33" spans="1:17" s="875" customFormat="1" ht="15" customHeight="1" x14ac:dyDescent="0.2">
      <c r="A33" s="1458" t="str">
        <f>IF(SMALL('#BerechnungDBE'!$CB$5:$CB$104,'Flächen u. Kulturen'!A32)=1000,"",SMALL('#BerechnungDBE'!$CB$5:$CB$104,'Flächen u. Kulturen'!A32))</f>
        <v/>
      </c>
      <c r="B33" s="1255" t="str">
        <f>IF($A33="","",VLOOKUP($A33,'Flächen u. Kulturen'!$A$10:$D$109,'Flächen u. Kulturen'!C$1,FALSE))</f>
        <v/>
      </c>
      <c r="C33" s="1255" t="str">
        <f>IF($A33="","",VLOOKUP($A33,'Flächen u. Kulturen'!$A$10:$Z$109,'Flächen u. Kulturen'!B$1,FALSE))</f>
        <v/>
      </c>
      <c r="D33" s="1255" t="str">
        <f>IF($A33="","",VLOOKUP($A33,'DBE - N'!$A$12:$D$111,4,FALSE))</f>
        <v/>
      </c>
      <c r="E33" s="1459" t="str">
        <f>IF($A33="","",VLOOKUP($A33,'Flächen u. Kulturen'!$A$10:$Z$109,'Flächen u. Kulturen'!D$1,FALSE))</f>
        <v/>
      </c>
      <c r="F33" s="1255" t="str">
        <f>IF($A33="","",VLOOKUP($A33,'Flächen u. Kulturen'!$A$10:$V$109,'Flächen u. Kulturen'!L$1,FALSE))</f>
        <v/>
      </c>
      <c r="G33" s="1460" t="str">
        <f>IF($A33="","",VLOOKUP($A33,'Flächen u. Kulturen'!$A$10:$V$109,'Flächen u. Kulturen'!O$1,FALSE))</f>
        <v/>
      </c>
      <c r="H33" s="1460" t="str">
        <f>IF($A33="","",VLOOKUP($A33,'#BerechnungDBE'!$CB$5:$CN$104,'#BerechnungDBE'!$CH$1,FALSE))</f>
        <v/>
      </c>
      <c r="I33" s="1460" t="str">
        <f>IF($A33="","",VLOOKUP($A33,'#BerechnungDBE'!$CB$5:$CN$104,'#BerechnungDBE'!$CJ$1,FALSE))</f>
        <v/>
      </c>
      <c r="J33" s="1460" t="str">
        <f>IF($A33="","",VLOOKUP($A33,'#BerechnungDBE'!$CB$5:$CN$104,'#BerechnungDBE'!$CK$1,FALSE))</f>
        <v/>
      </c>
      <c r="K33" s="1460" t="str">
        <f>IF($A33="","",VLOOKUP($A33,'#BerechnungDBE'!$CB$5:$CN$104,'#BerechnungDBE'!$CM$1,FALSE))</f>
        <v/>
      </c>
      <c r="L33" s="1460" t="str">
        <f>IF($A33="","",VLOOKUP($A33,'#BerechnungDBE'!$CB$5:$CS$104,'#BerechnungDBE'!$CP$1,FALSE))</f>
        <v/>
      </c>
      <c r="M33" s="1460" t="str">
        <f>IF($A33="","",VLOOKUP($A33,'#BerechnungDBE'!$CB$5:$CR$104,'#BerechnungDBE'!$CR$1,FALSE))</f>
        <v/>
      </c>
      <c r="N33" s="1460" t="str">
        <f>IF($A33="","",ROUNDDOWN(VLOOKUP($A33,'#BerechnungDBE'!$CB$5:$CT$104,'#BerechnungDBE'!$CT$1,FALSE),0))</f>
        <v/>
      </c>
      <c r="O33" s="1460" t="str">
        <f t="shared" si="0"/>
        <v/>
      </c>
      <c r="P33" s="1461" t="str">
        <f>IF($A33="","",VLOOKUP($A33,'#BerechnungDBE'!$CB$5:$CU$104,'#BerechnungDBE'!$CU$1,FALSE))</f>
        <v/>
      </c>
      <c r="Q33" s="890" t="str">
        <f t="shared" si="1"/>
        <v/>
      </c>
    </row>
    <row r="34" spans="1:17" s="875" customFormat="1" ht="15" customHeight="1" x14ac:dyDescent="0.2">
      <c r="A34" s="1458" t="str">
        <f>IF(SMALL('#BerechnungDBE'!$CB$5:$CB$104,'Flächen u. Kulturen'!A33)=1000,"",SMALL('#BerechnungDBE'!$CB$5:$CB$104,'Flächen u. Kulturen'!A33))</f>
        <v/>
      </c>
      <c r="B34" s="1255" t="str">
        <f>IF($A34="","",VLOOKUP($A34,'Flächen u. Kulturen'!$A$10:$D$109,'Flächen u. Kulturen'!C$1,FALSE))</f>
        <v/>
      </c>
      <c r="C34" s="1255" t="str">
        <f>IF($A34="","",VLOOKUP($A34,'Flächen u. Kulturen'!$A$10:$Z$109,'Flächen u. Kulturen'!B$1,FALSE))</f>
        <v/>
      </c>
      <c r="D34" s="1255" t="str">
        <f>IF($A34="","",VLOOKUP($A34,'DBE - N'!$A$12:$D$111,4,FALSE))</f>
        <v/>
      </c>
      <c r="E34" s="1459" t="str">
        <f>IF($A34="","",VLOOKUP($A34,'Flächen u. Kulturen'!$A$10:$Z$109,'Flächen u. Kulturen'!D$1,FALSE))</f>
        <v/>
      </c>
      <c r="F34" s="1255" t="str">
        <f>IF($A34="","",VLOOKUP($A34,'Flächen u. Kulturen'!$A$10:$V$109,'Flächen u. Kulturen'!L$1,FALSE))</f>
        <v/>
      </c>
      <c r="G34" s="1460" t="str">
        <f>IF($A34="","",VLOOKUP($A34,'Flächen u. Kulturen'!$A$10:$V$109,'Flächen u. Kulturen'!O$1,FALSE))</f>
        <v/>
      </c>
      <c r="H34" s="1460" t="str">
        <f>IF($A34="","",VLOOKUP($A34,'#BerechnungDBE'!$CB$5:$CN$104,'#BerechnungDBE'!$CH$1,FALSE))</f>
        <v/>
      </c>
      <c r="I34" s="1460" t="str">
        <f>IF($A34="","",VLOOKUP($A34,'#BerechnungDBE'!$CB$5:$CN$104,'#BerechnungDBE'!$CJ$1,FALSE))</f>
        <v/>
      </c>
      <c r="J34" s="1460" t="str">
        <f>IF($A34="","",VLOOKUP($A34,'#BerechnungDBE'!$CB$5:$CN$104,'#BerechnungDBE'!$CK$1,FALSE))</f>
        <v/>
      </c>
      <c r="K34" s="1460" t="str">
        <f>IF($A34="","",VLOOKUP($A34,'#BerechnungDBE'!$CB$5:$CN$104,'#BerechnungDBE'!$CM$1,FALSE))</f>
        <v/>
      </c>
      <c r="L34" s="1460" t="str">
        <f>IF($A34="","",VLOOKUP($A34,'#BerechnungDBE'!$CB$5:$CS$104,'#BerechnungDBE'!$CP$1,FALSE))</f>
        <v/>
      </c>
      <c r="M34" s="1460" t="str">
        <f>IF($A34="","",VLOOKUP($A34,'#BerechnungDBE'!$CB$5:$CR$104,'#BerechnungDBE'!$CR$1,FALSE))</f>
        <v/>
      </c>
      <c r="N34" s="1460" t="str">
        <f>IF($A34="","",ROUNDDOWN(VLOOKUP($A34,'#BerechnungDBE'!$CB$5:$CT$104,'#BerechnungDBE'!$CT$1,FALSE),0))</f>
        <v/>
      </c>
      <c r="O34" s="1460" t="str">
        <f t="shared" si="0"/>
        <v/>
      </c>
      <c r="P34" s="1461" t="str">
        <f>IF($A34="","",VLOOKUP($A34,'#BerechnungDBE'!$CB$5:$CU$104,'#BerechnungDBE'!$CU$1,FALSE))</f>
        <v/>
      </c>
      <c r="Q34" s="890" t="str">
        <f t="shared" si="1"/>
        <v/>
      </c>
    </row>
    <row r="35" spans="1:17" s="875" customFormat="1" ht="15" customHeight="1" x14ac:dyDescent="0.2">
      <c r="A35" s="1458" t="str">
        <f>IF(SMALL('#BerechnungDBE'!$CB$5:$CB$104,'Flächen u. Kulturen'!A34)=1000,"",SMALL('#BerechnungDBE'!$CB$5:$CB$104,'Flächen u. Kulturen'!A34))</f>
        <v/>
      </c>
      <c r="B35" s="1255" t="str">
        <f>IF($A35="","",VLOOKUP($A35,'Flächen u. Kulturen'!$A$10:$D$109,'Flächen u. Kulturen'!C$1,FALSE))</f>
        <v/>
      </c>
      <c r="C35" s="1255" t="str">
        <f>IF($A35="","",VLOOKUP($A35,'Flächen u. Kulturen'!$A$10:$Z$109,'Flächen u. Kulturen'!B$1,FALSE))</f>
        <v/>
      </c>
      <c r="D35" s="1255" t="str">
        <f>IF($A35="","",VLOOKUP($A35,'DBE - N'!$A$12:$D$111,4,FALSE))</f>
        <v/>
      </c>
      <c r="E35" s="1459" t="str">
        <f>IF($A35="","",VLOOKUP($A35,'Flächen u. Kulturen'!$A$10:$Z$109,'Flächen u. Kulturen'!D$1,FALSE))</f>
        <v/>
      </c>
      <c r="F35" s="1255" t="str">
        <f>IF($A35="","",VLOOKUP($A35,'Flächen u. Kulturen'!$A$10:$V$109,'Flächen u. Kulturen'!L$1,FALSE))</f>
        <v/>
      </c>
      <c r="G35" s="1460" t="str">
        <f>IF($A35="","",VLOOKUP($A35,'Flächen u. Kulturen'!$A$10:$V$109,'Flächen u. Kulturen'!O$1,FALSE))</f>
        <v/>
      </c>
      <c r="H35" s="1460" t="str">
        <f>IF($A35="","",VLOOKUP($A35,'#BerechnungDBE'!$CB$5:$CN$104,'#BerechnungDBE'!$CH$1,FALSE))</f>
        <v/>
      </c>
      <c r="I35" s="1460" t="str">
        <f>IF($A35="","",VLOOKUP($A35,'#BerechnungDBE'!$CB$5:$CN$104,'#BerechnungDBE'!$CJ$1,FALSE))</f>
        <v/>
      </c>
      <c r="J35" s="1460" t="str">
        <f>IF($A35="","",VLOOKUP($A35,'#BerechnungDBE'!$CB$5:$CN$104,'#BerechnungDBE'!$CK$1,FALSE))</f>
        <v/>
      </c>
      <c r="K35" s="1460" t="str">
        <f>IF($A35="","",VLOOKUP($A35,'#BerechnungDBE'!$CB$5:$CN$104,'#BerechnungDBE'!$CM$1,FALSE))</f>
        <v/>
      </c>
      <c r="L35" s="1460" t="str">
        <f>IF($A35="","",VLOOKUP($A35,'#BerechnungDBE'!$CB$5:$CS$104,'#BerechnungDBE'!$CP$1,FALSE))</f>
        <v/>
      </c>
      <c r="M35" s="1460" t="str">
        <f>IF($A35="","",VLOOKUP($A35,'#BerechnungDBE'!$CB$5:$CR$104,'#BerechnungDBE'!$CR$1,FALSE))</f>
        <v/>
      </c>
      <c r="N35" s="1460" t="str">
        <f>IF($A35="","",ROUNDDOWN(VLOOKUP($A35,'#BerechnungDBE'!$CB$5:$CT$104,'#BerechnungDBE'!$CT$1,FALSE),0))</f>
        <v/>
      </c>
      <c r="O35" s="1460" t="str">
        <f t="shared" si="0"/>
        <v/>
      </c>
      <c r="P35" s="1461" t="str">
        <f>IF($A35="","",VLOOKUP($A35,'#BerechnungDBE'!$CB$5:$CU$104,'#BerechnungDBE'!$CU$1,FALSE))</f>
        <v/>
      </c>
      <c r="Q35" s="890" t="str">
        <f t="shared" si="1"/>
        <v/>
      </c>
    </row>
    <row r="36" spans="1:17" s="875" customFormat="1" ht="15" customHeight="1" x14ac:dyDescent="0.2">
      <c r="A36" s="1458" t="str">
        <f>IF(SMALL('#BerechnungDBE'!$CB$5:$CB$104,'Flächen u. Kulturen'!A35)=1000,"",SMALL('#BerechnungDBE'!$CB$5:$CB$104,'Flächen u. Kulturen'!A35))</f>
        <v/>
      </c>
      <c r="B36" s="1255" t="str">
        <f>IF($A36="","",VLOOKUP($A36,'Flächen u. Kulturen'!$A$10:$D$109,'Flächen u. Kulturen'!C$1,FALSE))</f>
        <v/>
      </c>
      <c r="C36" s="1255" t="str">
        <f>IF($A36="","",VLOOKUP($A36,'Flächen u. Kulturen'!$A$10:$Z$109,'Flächen u. Kulturen'!B$1,FALSE))</f>
        <v/>
      </c>
      <c r="D36" s="1255" t="str">
        <f>IF($A36="","",VLOOKUP($A36,'DBE - N'!$A$12:$D$111,4,FALSE))</f>
        <v/>
      </c>
      <c r="E36" s="1459" t="str">
        <f>IF($A36="","",VLOOKUP($A36,'Flächen u. Kulturen'!$A$10:$Z$109,'Flächen u. Kulturen'!D$1,FALSE))</f>
        <v/>
      </c>
      <c r="F36" s="1255" t="str">
        <f>IF($A36="","",VLOOKUP($A36,'Flächen u. Kulturen'!$A$10:$V$109,'Flächen u. Kulturen'!L$1,FALSE))</f>
        <v/>
      </c>
      <c r="G36" s="1460" t="str">
        <f>IF($A36="","",VLOOKUP($A36,'Flächen u. Kulturen'!$A$10:$V$109,'Flächen u. Kulturen'!O$1,FALSE))</f>
        <v/>
      </c>
      <c r="H36" s="1460" t="str">
        <f>IF($A36="","",VLOOKUP($A36,'#BerechnungDBE'!$CB$5:$CN$104,'#BerechnungDBE'!$CH$1,FALSE))</f>
        <v/>
      </c>
      <c r="I36" s="1460" t="str">
        <f>IF($A36="","",VLOOKUP($A36,'#BerechnungDBE'!$CB$5:$CN$104,'#BerechnungDBE'!$CJ$1,FALSE))</f>
        <v/>
      </c>
      <c r="J36" s="1460" t="str">
        <f>IF($A36="","",VLOOKUP($A36,'#BerechnungDBE'!$CB$5:$CN$104,'#BerechnungDBE'!$CK$1,FALSE))</f>
        <v/>
      </c>
      <c r="K36" s="1460" t="str">
        <f>IF($A36="","",VLOOKUP($A36,'#BerechnungDBE'!$CB$5:$CN$104,'#BerechnungDBE'!$CM$1,FALSE))</f>
        <v/>
      </c>
      <c r="L36" s="1460" t="str">
        <f>IF($A36="","",VLOOKUP($A36,'#BerechnungDBE'!$CB$5:$CS$104,'#BerechnungDBE'!$CP$1,FALSE))</f>
        <v/>
      </c>
      <c r="M36" s="1460" t="str">
        <f>IF($A36="","",VLOOKUP($A36,'#BerechnungDBE'!$CB$5:$CR$104,'#BerechnungDBE'!$CR$1,FALSE))</f>
        <v/>
      </c>
      <c r="N36" s="1460" t="str">
        <f>IF($A36="","",ROUNDDOWN(VLOOKUP($A36,'#BerechnungDBE'!$CB$5:$CT$104,'#BerechnungDBE'!$CT$1,FALSE),0))</f>
        <v/>
      </c>
      <c r="O36" s="1460" t="str">
        <f t="shared" si="0"/>
        <v/>
      </c>
      <c r="P36" s="1461" t="str">
        <f>IF($A36="","",VLOOKUP($A36,'#BerechnungDBE'!$CB$5:$CU$104,'#BerechnungDBE'!$CU$1,FALSE))</f>
        <v/>
      </c>
      <c r="Q36" s="890" t="str">
        <f t="shared" si="1"/>
        <v/>
      </c>
    </row>
    <row r="37" spans="1:17" s="875" customFormat="1" ht="15" customHeight="1" x14ac:dyDescent="0.2">
      <c r="A37" s="1458" t="str">
        <f>IF(SMALL('#BerechnungDBE'!$CB$5:$CB$104,'Flächen u. Kulturen'!A36)=1000,"",SMALL('#BerechnungDBE'!$CB$5:$CB$104,'Flächen u. Kulturen'!A36))</f>
        <v/>
      </c>
      <c r="B37" s="1255" t="str">
        <f>IF($A37="","",VLOOKUP($A37,'Flächen u. Kulturen'!$A$10:$D$109,'Flächen u. Kulturen'!C$1,FALSE))</f>
        <v/>
      </c>
      <c r="C37" s="1255" t="str">
        <f>IF($A37="","",VLOOKUP($A37,'Flächen u. Kulturen'!$A$10:$Z$109,'Flächen u. Kulturen'!B$1,FALSE))</f>
        <v/>
      </c>
      <c r="D37" s="1255" t="str">
        <f>IF($A37="","",VLOOKUP($A37,'DBE - N'!$A$12:$D$111,4,FALSE))</f>
        <v/>
      </c>
      <c r="E37" s="1459" t="str">
        <f>IF($A37="","",VLOOKUP($A37,'Flächen u. Kulturen'!$A$10:$Z$109,'Flächen u. Kulturen'!D$1,FALSE))</f>
        <v/>
      </c>
      <c r="F37" s="1255" t="str">
        <f>IF($A37="","",VLOOKUP($A37,'Flächen u. Kulturen'!$A$10:$V$109,'Flächen u. Kulturen'!L$1,FALSE))</f>
        <v/>
      </c>
      <c r="G37" s="1460" t="str">
        <f>IF($A37="","",VLOOKUP($A37,'Flächen u. Kulturen'!$A$10:$V$109,'Flächen u. Kulturen'!O$1,FALSE))</f>
        <v/>
      </c>
      <c r="H37" s="1460" t="str">
        <f>IF($A37="","",VLOOKUP($A37,'#BerechnungDBE'!$CB$5:$CN$104,'#BerechnungDBE'!$CH$1,FALSE))</f>
        <v/>
      </c>
      <c r="I37" s="1460" t="str">
        <f>IF($A37="","",VLOOKUP($A37,'#BerechnungDBE'!$CB$5:$CN$104,'#BerechnungDBE'!$CJ$1,FALSE))</f>
        <v/>
      </c>
      <c r="J37" s="1460" t="str">
        <f>IF($A37="","",VLOOKUP($A37,'#BerechnungDBE'!$CB$5:$CN$104,'#BerechnungDBE'!$CK$1,FALSE))</f>
        <v/>
      </c>
      <c r="K37" s="1460" t="str">
        <f>IF($A37="","",VLOOKUP($A37,'#BerechnungDBE'!$CB$5:$CN$104,'#BerechnungDBE'!$CM$1,FALSE))</f>
        <v/>
      </c>
      <c r="L37" s="1460" t="str">
        <f>IF($A37="","",VLOOKUP($A37,'#BerechnungDBE'!$CB$5:$CS$104,'#BerechnungDBE'!$CP$1,FALSE))</f>
        <v/>
      </c>
      <c r="M37" s="1460" t="str">
        <f>IF($A37="","",VLOOKUP($A37,'#BerechnungDBE'!$CB$5:$CR$104,'#BerechnungDBE'!$CR$1,FALSE))</f>
        <v/>
      </c>
      <c r="N37" s="1460" t="str">
        <f>IF($A37="","",ROUNDDOWN(VLOOKUP($A37,'#BerechnungDBE'!$CB$5:$CT$104,'#BerechnungDBE'!$CT$1,FALSE),0))</f>
        <v/>
      </c>
      <c r="O37" s="1460" t="str">
        <f t="shared" si="0"/>
        <v/>
      </c>
      <c r="P37" s="1461" t="str">
        <f>IF($A37="","",VLOOKUP($A37,'#BerechnungDBE'!$CB$5:$CU$104,'#BerechnungDBE'!$CU$1,FALSE))</f>
        <v/>
      </c>
      <c r="Q37" s="890" t="str">
        <f t="shared" si="1"/>
        <v/>
      </c>
    </row>
    <row r="38" spans="1:17" s="875" customFormat="1" ht="15" customHeight="1" x14ac:dyDescent="0.2">
      <c r="A38" s="1458" t="str">
        <f>IF(SMALL('#BerechnungDBE'!$CB$5:$CB$104,'Flächen u. Kulturen'!A37)=1000,"",SMALL('#BerechnungDBE'!$CB$5:$CB$104,'Flächen u. Kulturen'!A37))</f>
        <v/>
      </c>
      <c r="B38" s="1255" t="str">
        <f>IF($A38="","",VLOOKUP($A38,'Flächen u. Kulturen'!$A$10:$D$109,'Flächen u. Kulturen'!C$1,FALSE))</f>
        <v/>
      </c>
      <c r="C38" s="1255" t="str">
        <f>IF($A38="","",VLOOKUP($A38,'Flächen u. Kulturen'!$A$10:$Z$109,'Flächen u. Kulturen'!B$1,FALSE))</f>
        <v/>
      </c>
      <c r="D38" s="1255" t="str">
        <f>IF($A38="","",VLOOKUP($A38,'DBE - N'!$A$12:$D$111,4,FALSE))</f>
        <v/>
      </c>
      <c r="E38" s="1459" t="str">
        <f>IF($A38="","",VLOOKUP($A38,'Flächen u. Kulturen'!$A$10:$Z$109,'Flächen u. Kulturen'!D$1,FALSE))</f>
        <v/>
      </c>
      <c r="F38" s="1255" t="str">
        <f>IF($A38="","",VLOOKUP($A38,'Flächen u. Kulturen'!$A$10:$V$109,'Flächen u. Kulturen'!L$1,FALSE))</f>
        <v/>
      </c>
      <c r="G38" s="1460" t="str">
        <f>IF($A38="","",VLOOKUP($A38,'Flächen u. Kulturen'!$A$10:$V$109,'Flächen u. Kulturen'!O$1,FALSE))</f>
        <v/>
      </c>
      <c r="H38" s="1460" t="str">
        <f>IF($A38="","",VLOOKUP($A38,'#BerechnungDBE'!$CB$5:$CN$104,'#BerechnungDBE'!$CH$1,FALSE))</f>
        <v/>
      </c>
      <c r="I38" s="1460" t="str">
        <f>IF($A38="","",VLOOKUP($A38,'#BerechnungDBE'!$CB$5:$CN$104,'#BerechnungDBE'!$CJ$1,FALSE))</f>
        <v/>
      </c>
      <c r="J38" s="1460" t="str">
        <f>IF($A38="","",VLOOKUP($A38,'#BerechnungDBE'!$CB$5:$CN$104,'#BerechnungDBE'!$CK$1,FALSE))</f>
        <v/>
      </c>
      <c r="K38" s="1460" t="str">
        <f>IF($A38="","",VLOOKUP($A38,'#BerechnungDBE'!$CB$5:$CN$104,'#BerechnungDBE'!$CM$1,FALSE))</f>
        <v/>
      </c>
      <c r="L38" s="1460" t="str">
        <f>IF($A38="","",VLOOKUP($A38,'#BerechnungDBE'!$CB$5:$CS$104,'#BerechnungDBE'!$CP$1,FALSE))</f>
        <v/>
      </c>
      <c r="M38" s="1460" t="str">
        <f>IF($A38="","",VLOOKUP($A38,'#BerechnungDBE'!$CB$5:$CR$104,'#BerechnungDBE'!$CR$1,FALSE))</f>
        <v/>
      </c>
      <c r="N38" s="1460" t="str">
        <f>IF($A38="","",ROUNDDOWN(VLOOKUP($A38,'#BerechnungDBE'!$CB$5:$CT$104,'#BerechnungDBE'!$CT$1,FALSE),0))</f>
        <v/>
      </c>
      <c r="O38" s="1460" t="str">
        <f t="shared" si="0"/>
        <v/>
      </c>
      <c r="P38" s="1461" t="str">
        <f>IF($A38="","",VLOOKUP($A38,'#BerechnungDBE'!$CB$5:$CU$104,'#BerechnungDBE'!$CU$1,FALSE))</f>
        <v/>
      </c>
      <c r="Q38" s="890" t="str">
        <f t="shared" si="1"/>
        <v/>
      </c>
    </row>
    <row r="39" spans="1:17" s="875" customFormat="1" ht="15" customHeight="1" x14ac:dyDescent="0.2">
      <c r="A39" s="1458" t="str">
        <f>IF(SMALL('#BerechnungDBE'!$CB$5:$CB$104,'Flächen u. Kulturen'!A38)=1000,"",SMALL('#BerechnungDBE'!$CB$5:$CB$104,'Flächen u. Kulturen'!A38))</f>
        <v/>
      </c>
      <c r="B39" s="1255" t="str">
        <f>IF($A39="","",VLOOKUP($A39,'Flächen u. Kulturen'!$A$10:$D$109,'Flächen u. Kulturen'!C$1,FALSE))</f>
        <v/>
      </c>
      <c r="C39" s="1255" t="str">
        <f>IF($A39="","",VLOOKUP($A39,'Flächen u. Kulturen'!$A$10:$Z$109,'Flächen u. Kulturen'!B$1,FALSE))</f>
        <v/>
      </c>
      <c r="D39" s="1255" t="str">
        <f>IF($A39="","",VLOOKUP($A39,'DBE - N'!$A$12:$D$111,4,FALSE))</f>
        <v/>
      </c>
      <c r="E39" s="1459" t="str">
        <f>IF($A39="","",VLOOKUP($A39,'Flächen u. Kulturen'!$A$10:$Z$109,'Flächen u. Kulturen'!D$1,FALSE))</f>
        <v/>
      </c>
      <c r="F39" s="1255" t="str">
        <f>IF($A39="","",VLOOKUP($A39,'Flächen u. Kulturen'!$A$10:$V$109,'Flächen u. Kulturen'!L$1,FALSE))</f>
        <v/>
      </c>
      <c r="G39" s="1460" t="str">
        <f>IF($A39="","",VLOOKUP($A39,'Flächen u. Kulturen'!$A$10:$V$109,'Flächen u. Kulturen'!O$1,FALSE))</f>
        <v/>
      </c>
      <c r="H39" s="1460" t="str">
        <f>IF($A39="","",VLOOKUP($A39,'#BerechnungDBE'!$CB$5:$CN$104,'#BerechnungDBE'!$CH$1,FALSE))</f>
        <v/>
      </c>
      <c r="I39" s="1460" t="str">
        <f>IF($A39="","",VLOOKUP($A39,'#BerechnungDBE'!$CB$5:$CN$104,'#BerechnungDBE'!$CJ$1,FALSE))</f>
        <v/>
      </c>
      <c r="J39" s="1460" t="str">
        <f>IF($A39="","",VLOOKUP($A39,'#BerechnungDBE'!$CB$5:$CN$104,'#BerechnungDBE'!$CK$1,FALSE))</f>
        <v/>
      </c>
      <c r="K39" s="1460" t="str">
        <f>IF($A39="","",VLOOKUP($A39,'#BerechnungDBE'!$CB$5:$CN$104,'#BerechnungDBE'!$CM$1,FALSE))</f>
        <v/>
      </c>
      <c r="L39" s="1460" t="str">
        <f>IF($A39="","",VLOOKUP($A39,'#BerechnungDBE'!$CB$5:$CS$104,'#BerechnungDBE'!$CP$1,FALSE))</f>
        <v/>
      </c>
      <c r="M39" s="1460" t="str">
        <f>IF($A39="","",VLOOKUP($A39,'#BerechnungDBE'!$CB$5:$CR$104,'#BerechnungDBE'!$CR$1,FALSE))</f>
        <v/>
      </c>
      <c r="N39" s="1460" t="str">
        <f>IF($A39="","",ROUNDDOWN(VLOOKUP($A39,'#BerechnungDBE'!$CB$5:$CT$104,'#BerechnungDBE'!$CT$1,FALSE),0))</f>
        <v/>
      </c>
      <c r="O39" s="1460" t="str">
        <f t="shared" si="0"/>
        <v/>
      </c>
      <c r="P39" s="1461" t="str">
        <f>IF($A39="","",VLOOKUP($A39,'#BerechnungDBE'!$CB$5:$CU$104,'#BerechnungDBE'!$CU$1,FALSE))</f>
        <v/>
      </c>
      <c r="Q39" s="890" t="str">
        <f t="shared" si="1"/>
        <v/>
      </c>
    </row>
    <row r="40" spans="1:17" s="875" customFormat="1" ht="15" customHeight="1" x14ac:dyDescent="0.2">
      <c r="A40" s="1458" t="str">
        <f>IF(SMALL('#BerechnungDBE'!$CB$5:$CB$104,'Flächen u. Kulturen'!A39)=1000,"",SMALL('#BerechnungDBE'!$CB$5:$CB$104,'Flächen u. Kulturen'!A39))</f>
        <v/>
      </c>
      <c r="B40" s="1255" t="str">
        <f>IF($A40="","",VLOOKUP($A40,'Flächen u. Kulturen'!$A$10:$D$109,'Flächen u. Kulturen'!C$1,FALSE))</f>
        <v/>
      </c>
      <c r="C40" s="1255" t="str">
        <f>IF($A40="","",VLOOKUP($A40,'Flächen u. Kulturen'!$A$10:$Z$109,'Flächen u. Kulturen'!B$1,FALSE))</f>
        <v/>
      </c>
      <c r="D40" s="1255" t="str">
        <f>IF($A40="","",VLOOKUP($A40,'DBE - N'!$A$12:$D$111,4,FALSE))</f>
        <v/>
      </c>
      <c r="E40" s="1459" t="str">
        <f>IF($A40="","",VLOOKUP($A40,'Flächen u. Kulturen'!$A$10:$Z$109,'Flächen u. Kulturen'!D$1,FALSE))</f>
        <v/>
      </c>
      <c r="F40" s="1255" t="str">
        <f>IF($A40="","",VLOOKUP($A40,'Flächen u. Kulturen'!$A$10:$V$109,'Flächen u. Kulturen'!L$1,FALSE))</f>
        <v/>
      </c>
      <c r="G40" s="1460" t="str">
        <f>IF($A40="","",VLOOKUP($A40,'Flächen u. Kulturen'!$A$10:$V$109,'Flächen u. Kulturen'!O$1,FALSE))</f>
        <v/>
      </c>
      <c r="H40" s="1460" t="str">
        <f>IF($A40="","",VLOOKUP($A40,'#BerechnungDBE'!$CB$5:$CN$104,'#BerechnungDBE'!$CH$1,FALSE))</f>
        <v/>
      </c>
      <c r="I40" s="1460" t="str">
        <f>IF($A40="","",VLOOKUP($A40,'#BerechnungDBE'!$CB$5:$CN$104,'#BerechnungDBE'!$CJ$1,FALSE))</f>
        <v/>
      </c>
      <c r="J40" s="1460" t="str">
        <f>IF($A40="","",VLOOKUP($A40,'#BerechnungDBE'!$CB$5:$CN$104,'#BerechnungDBE'!$CK$1,FALSE))</f>
        <v/>
      </c>
      <c r="K40" s="1460" t="str">
        <f>IF($A40="","",VLOOKUP($A40,'#BerechnungDBE'!$CB$5:$CN$104,'#BerechnungDBE'!$CM$1,FALSE))</f>
        <v/>
      </c>
      <c r="L40" s="1460" t="str">
        <f>IF($A40="","",VLOOKUP($A40,'#BerechnungDBE'!$CB$5:$CS$104,'#BerechnungDBE'!$CP$1,FALSE))</f>
        <v/>
      </c>
      <c r="M40" s="1460" t="str">
        <f>IF($A40="","",VLOOKUP($A40,'#BerechnungDBE'!$CB$5:$CR$104,'#BerechnungDBE'!$CR$1,FALSE))</f>
        <v/>
      </c>
      <c r="N40" s="1460" t="str">
        <f>IF($A40="","",ROUNDDOWN(VLOOKUP($A40,'#BerechnungDBE'!$CB$5:$CT$104,'#BerechnungDBE'!$CT$1,FALSE),0))</f>
        <v/>
      </c>
      <c r="O40" s="1460" t="str">
        <f t="shared" si="0"/>
        <v/>
      </c>
      <c r="P40" s="1461" t="str">
        <f>IF($A40="","",VLOOKUP($A40,'#BerechnungDBE'!$CB$5:$CU$104,'#BerechnungDBE'!$CU$1,FALSE))</f>
        <v/>
      </c>
      <c r="Q40" s="890" t="str">
        <f t="shared" si="1"/>
        <v/>
      </c>
    </row>
    <row r="41" spans="1:17" s="875" customFormat="1" ht="15" customHeight="1" x14ac:dyDescent="0.2">
      <c r="A41" s="1458" t="str">
        <f>IF(SMALL('#BerechnungDBE'!$CB$5:$CB$104,'Flächen u. Kulturen'!A40)=1000,"",SMALL('#BerechnungDBE'!$CB$5:$CB$104,'Flächen u. Kulturen'!A40))</f>
        <v/>
      </c>
      <c r="B41" s="1255" t="str">
        <f>IF($A41="","",VLOOKUP($A41,'Flächen u. Kulturen'!$A$10:$D$109,'Flächen u. Kulturen'!C$1,FALSE))</f>
        <v/>
      </c>
      <c r="C41" s="1255" t="str">
        <f>IF($A41="","",VLOOKUP($A41,'Flächen u. Kulturen'!$A$10:$Z$109,'Flächen u. Kulturen'!B$1,FALSE))</f>
        <v/>
      </c>
      <c r="D41" s="1255" t="str">
        <f>IF($A41="","",VLOOKUP($A41,'DBE - N'!$A$12:$D$111,4,FALSE))</f>
        <v/>
      </c>
      <c r="E41" s="1459" t="str">
        <f>IF($A41="","",VLOOKUP($A41,'Flächen u. Kulturen'!$A$10:$Z$109,'Flächen u. Kulturen'!D$1,FALSE))</f>
        <v/>
      </c>
      <c r="F41" s="1255" t="str">
        <f>IF($A41="","",VLOOKUP($A41,'Flächen u. Kulturen'!$A$10:$V$109,'Flächen u. Kulturen'!L$1,FALSE))</f>
        <v/>
      </c>
      <c r="G41" s="1460" t="str">
        <f>IF($A41="","",VLOOKUP($A41,'Flächen u. Kulturen'!$A$10:$V$109,'Flächen u. Kulturen'!O$1,FALSE))</f>
        <v/>
      </c>
      <c r="H41" s="1460" t="str">
        <f>IF($A41="","",VLOOKUP($A41,'#BerechnungDBE'!$CB$5:$CN$104,'#BerechnungDBE'!$CH$1,FALSE))</f>
        <v/>
      </c>
      <c r="I41" s="1460" t="str">
        <f>IF($A41="","",VLOOKUP($A41,'#BerechnungDBE'!$CB$5:$CN$104,'#BerechnungDBE'!$CJ$1,FALSE))</f>
        <v/>
      </c>
      <c r="J41" s="1460" t="str">
        <f>IF($A41="","",VLOOKUP($A41,'#BerechnungDBE'!$CB$5:$CN$104,'#BerechnungDBE'!$CK$1,FALSE))</f>
        <v/>
      </c>
      <c r="K41" s="1460" t="str">
        <f>IF($A41="","",VLOOKUP($A41,'#BerechnungDBE'!$CB$5:$CN$104,'#BerechnungDBE'!$CM$1,FALSE))</f>
        <v/>
      </c>
      <c r="L41" s="1460" t="str">
        <f>IF($A41="","",VLOOKUP($A41,'#BerechnungDBE'!$CB$5:$CS$104,'#BerechnungDBE'!$CP$1,FALSE))</f>
        <v/>
      </c>
      <c r="M41" s="1460" t="str">
        <f>IF($A41="","",VLOOKUP($A41,'#BerechnungDBE'!$CB$5:$CR$104,'#BerechnungDBE'!$CR$1,FALSE))</f>
        <v/>
      </c>
      <c r="N41" s="1460" t="str">
        <f>IF($A41="","",ROUNDDOWN(VLOOKUP($A41,'#BerechnungDBE'!$CB$5:$CT$104,'#BerechnungDBE'!$CT$1,FALSE),0))</f>
        <v/>
      </c>
      <c r="O41" s="1460" t="str">
        <f t="shared" si="0"/>
        <v/>
      </c>
      <c r="P41" s="1461" t="str">
        <f>IF($A41="","",VLOOKUP($A41,'#BerechnungDBE'!$CB$5:$CU$104,'#BerechnungDBE'!$CU$1,FALSE))</f>
        <v/>
      </c>
      <c r="Q41" s="890" t="str">
        <f t="shared" si="1"/>
        <v/>
      </c>
    </row>
    <row r="42" spans="1:17" s="875" customFormat="1" ht="15" customHeight="1" x14ac:dyDescent="0.2">
      <c r="A42" s="1458" t="str">
        <f>IF(SMALL('#BerechnungDBE'!$CB$5:$CB$104,'Flächen u. Kulturen'!A41)=1000,"",SMALL('#BerechnungDBE'!$CB$5:$CB$104,'Flächen u. Kulturen'!A41))</f>
        <v/>
      </c>
      <c r="B42" s="1255" t="str">
        <f>IF($A42="","",VLOOKUP($A42,'Flächen u. Kulturen'!$A$10:$D$109,'Flächen u. Kulturen'!C$1,FALSE))</f>
        <v/>
      </c>
      <c r="C42" s="1255" t="str">
        <f>IF($A42="","",VLOOKUP($A42,'Flächen u. Kulturen'!$A$10:$Z$109,'Flächen u. Kulturen'!B$1,FALSE))</f>
        <v/>
      </c>
      <c r="D42" s="1255" t="str">
        <f>IF($A42="","",VLOOKUP($A42,'DBE - N'!$A$12:$D$111,4,FALSE))</f>
        <v/>
      </c>
      <c r="E42" s="1459" t="str">
        <f>IF($A42="","",VLOOKUP($A42,'Flächen u. Kulturen'!$A$10:$Z$109,'Flächen u. Kulturen'!D$1,FALSE))</f>
        <v/>
      </c>
      <c r="F42" s="1255" t="str">
        <f>IF($A42="","",VLOOKUP($A42,'Flächen u. Kulturen'!$A$10:$V$109,'Flächen u. Kulturen'!L$1,FALSE))</f>
        <v/>
      </c>
      <c r="G42" s="1460" t="str">
        <f>IF($A42="","",VLOOKUP($A42,'Flächen u. Kulturen'!$A$10:$V$109,'Flächen u. Kulturen'!O$1,FALSE))</f>
        <v/>
      </c>
      <c r="H42" s="1460" t="str">
        <f>IF($A42="","",VLOOKUP($A42,'#BerechnungDBE'!$CB$5:$CN$104,'#BerechnungDBE'!$CH$1,FALSE))</f>
        <v/>
      </c>
      <c r="I42" s="1460" t="str">
        <f>IF($A42="","",VLOOKUP($A42,'#BerechnungDBE'!$CB$5:$CN$104,'#BerechnungDBE'!$CJ$1,FALSE))</f>
        <v/>
      </c>
      <c r="J42" s="1460" t="str">
        <f>IF($A42="","",VLOOKUP($A42,'#BerechnungDBE'!$CB$5:$CN$104,'#BerechnungDBE'!$CK$1,FALSE))</f>
        <v/>
      </c>
      <c r="K42" s="1460" t="str">
        <f>IF($A42="","",VLOOKUP($A42,'#BerechnungDBE'!$CB$5:$CN$104,'#BerechnungDBE'!$CM$1,FALSE))</f>
        <v/>
      </c>
      <c r="L42" s="1460" t="str">
        <f>IF($A42="","",VLOOKUP($A42,'#BerechnungDBE'!$CB$5:$CS$104,'#BerechnungDBE'!$CP$1,FALSE))</f>
        <v/>
      </c>
      <c r="M42" s="1460" t="str">
        <f>IF($A42="","",VLOOKUP($A42,'#BerechnungDBE'!$CB$5:$CR$104,'#BerechnungDBE'!$CR$1,FALSE))</f>
        <v/>
      </c>
      <c r="N42" s="1460" t="str">
        <f>IF($A42="","",ROUNDDOWN(VLOOKUP($A42,'#BerechnungDBE'!$CB$5:$CT$104,'#BerechnungDBE'!$CT$1,FALSE),0))</f>
        <v/>
      </c>
      <c r="O42" s="1460" t="str">
        <f t="shared" si="0"/>
        <v/>
      </c>
      <c r="P42" s="1461" t="str">
        <f>IF($A42="","",VLOOKUP($A42,'#BerechnungDBE'!$CB$5:$CU$104,'#BerechnungDBE'!$CU$1,FALSE))</f>
        <v/>
      </c>
      <c r="Q42" s="890" t="str">
        <f t="shared" si="1"/>
        <v/>
      </c>
    </row>
    <row r="43" spans="1:17" s="875" customFormat="1" ht="15" customHeight="1" x14ac:dyDescent="0.2">
      <c r="A43" s="1458" t="str">
        <f>IF(SMALL('#BerechnungDBE'!$CB$5:$CB$104,'Flächen u. Kulturen'!A42)=1000,"",SMALL('#BerechnungDBE'!$CB$5:$CB$104,'Flächen u. Kulturen'!A42))</f>
        <v/>
      </c>
      <c r="B43" s="1255" t="str">
        <f>IF($A43="","",VLOOKUP($A43,'Flächen u. Kulturen'!$A$10:$D$109,'Flächen u. Kulturen'!C$1,FALSE))</f>
        <v/>
      </c>
      <c r="C43" s="1255" t="str">
        <f>IF($A43="","",VLOOKUP($A43,'Flächen u. Kulturen'!$A$10:$Z$109,'Flächen u. Kulturen'!B$1,FALSE))</f>
        <v/>
      </c>
      <c r="D43" s="1255" t="str">
        <f>IF($A43="","",VLOOKUP($A43,'DBE - N'!$A$12:$D$111,4,FALSE))</f>
        <v/>
      </c>
      <c r="E43" s="1459" t="str">
        <f>IF($A43="","",VLOOKUP($A43,'Flächen u. Kulturen'!$A$10:$Z$109,'Flächen u. Kulturen'!D$1,FALSE))</f>
        <v/>
      </c>
      <c r="F43" s="1255" t="str">
        <f>IF($A43="","",VLOOKUP($A43,'Flächen u. Kulturen'!$A$10:$V$109,'Flächen u. Kulturen'!L$1,FALSE))</f>
        <v/>
      </c>
      <c r="G43" s="1460" t="str">
        <f>IF($A43="","",VLOOKUP($A43,'Flächen u. Kulturen'!$A$10:$V$109,'Flächen u. Kulturen'!O$1,FALSE))</f>
        <v/>
      </c>
      <c r="H43" s="1460" t="str">
        <f>IF($A43="","",VLOOKUP($A43,'#BerechnungDBE'!$CB$5:$CN$104,'#BerechnungDBE'!$CH$1,FALSE))</f>
        <v/>
      </c>
      <c r="I43" s="1460" t="str">
        <f>IF($A43="","",VLOOKUP($A43,'#BerechnungDBE'!$CB$5:$CN$104,'#BerechnungDBE'!$CJ$1,FALSE))</f>
        <v/>
      </c>
      <c r="J43" s="1460" t="str">
        <f>IF($A43="","",VLOOKUP($A43,'#BerechnungDBE'!$CB$5:$CN$104,'#BerechnungDBE'!$CK$1,FALSE))</f>
        <v/>
      </c>
      <c r="K43" s="1460" t="str">
        <f>IF($A43="","",VLOOKUP($A43,'#BerechnungDBE'!$CB$5:$CN$104,'#BerechnungDBE'!$CM$1,FALSE))</f>
        <v/>
      </c>
      <c r="L43" s="1460" t="str">
        <f>IF($A43="","",VLOOKUP($A43,'#BerechnungDBE'!$CB$5:$CS$104,'#BerechnungDBE'!$CP$1,FALSE))</f>
        <v/>
      </c>
      <c r="M43" s="1460" t="str">
        <f>IF($A43="","",VLOOKUP($A43,'#BerechnungDBE'!$CB$5:$CR$104,'#BerechnungDBE'!$CR$1,FALSE))</f>
        <v/>
      </c>
      <c r="N43" s="1460" t="str">
        <f>IF($A43="","",ROUNDDOWN(VLOOKUP($A43,'#BerechnungDBE'!$CB$5:$CT$104,'#BerechnungDBE'!$CT$1,FALSE),0))</f>
        <v/>
      </c>
      <c r="O43" s="1460" t="str">
        <f t="shared" si="0"/>
        <v/>
      </c>
      <c r="P43" s="1461" t="str">
        <f>IF($A43="","",VLOOKUP($A43,'#BerechnungDBE'!$CB$5:$CU$104,'#BerechnungDBE'!$CU$1,FALSE))</f>
        <v/>
      </c>
      <c r="Q43" s="890" t="str">
        <f t="shared" si="1"/>
        <v/>
      </c>
    </row>
    <row r="44" spans="1:17" s="875" customFormat="1" ht="15" customHeight="1" x14ac:dyDescent="0.2">
      <c r="A44" s="1458" t="str">
        <f>IF(SMALL('#BerechnungDBE'!$CB$5:$CB$104,'Flächen u. Kulturen'!A43)=1000,"",SMALL('#BerechnungDBE'!$CB$5:$CB$104,'Flächen u. Kulturen'!A43))</f>
        <v/>
      </c>
      <c r="B44" s="1255" t="str">
        <f>IF($A44="","",VLOOKUP($A44,'Flächen u. Kulturen'!$A$10:$D$109,'Flächen u. Kulturen'!C$1,FALSE))</f>
        <v/>
      </c>
      <c r="C44" s="1255" t="str">
        <f>IF($A44="","",VLOOKUP($A44,'Flächen u. Kulturen'!$A$10:$Z$109,'Flächen u. Kulturen'!B$1,FALSE))</f>
        <v/>
      </c>
      <c r="D44" s="1255" t="str">
        <f>IF($A44="","",VLOOKUP($A44,'DBE - N'!$A$12:$D$111,4,FALSE))</f>
        <v/>
      </c>
      <c r="E44" s="1459" t="str">
        <f>IF($A44="","",VLOOKUP($A44,'Flächen u. Kulturen'!$A$10:$Z$109,'Flächen u. Kulturen'!D$1,FALSE))</f>
        <v/>
      </c>
      <c r="F44" s="1255" t="str">
        <f>IF($A44="","",VLOOKUP($A44,'Flächen u. Kulturen'!$A$10:$V$109,'Flächen u. Kulturen'!L$1,FALSE))</f>
        <v/>
      </c>
      <c r="G44" s="1460" t="str">
        <f>IF($A44="","",VLOOKUP($A44,'Flächen u. Kulturen'!$A$10:$V$109,'Flächen u. Kulturen'!O$1,FALSE))</f>
        <v/>
      </c>
      <c r="H44" s="1460" t="str">
        <f>IF($A44="","",VLOOKUP($A44,'#BerechnungDBE'!$CB$5:$CN$104,'#BerechnungDBE'!$CH$1,FALSE))</f>
        <v/>
      </c>
      <c r="I44" s="1460" t="str">
        <f>IF($A44="","",VLOOKUP($A44,'#BerechnungDBE'!$CB$5:$CN$104,'#BerechnungDBE'!$CJ$1,FALSE))</f>
        <v/>
      </c>
      <c r="J44" s="1460" t="str">
        <f>IF($A44="","",VLOOKUP($A44,'#BerechnungDBE'!$CB$5:$CN$104,'#BerechnungDBE'!$CK$1,FALSE))</f>
        <v/>
      </c>
      <c r="K44" s="1460" t="str">
        <f>IF($A44="","",VLOOKUP($A44,'#BerechnungDBE'!$CB$5:$CN$104,'#BerechnungDBE'!$CM$1,FALSE))</f>
        <v/>
      </c>
      <c r="L44" s="1460" t="str">
        <f>IF($A44="","",VLOOKUP($A44,'#BerechnungDBE'!$CB$5:$CS$104,'#BerechnungDBE'!$CP$1,FALSE))</f>
        <v/>
      </c>
      <c r="M44" s="1460" t="str">
        <f>IF($A44="","",VLOOKUP($A44,'#BerechnungDBE'!$CB$5:$CR$104,'#BerechnungDBE'!$CR$1,FALSE))</f>
        <v/>
      </c>
      <c r="N44" s="1460" t="str">
        <f>IF($A44="","",ROUNDDOWN(VLOOKUP($A44,'#BerechnungDBE'!$CB$5:$CT$104,'#BerechnungDBE'!$CT$1,FALSE),0))</f>
        <v/>
      </c>
      <c r="O44" s="1460" t="str">
        <f t="shared" si="0"/>
        <v/>
      </c>
      <c r="P44" s="1461" t="str">
        <f>IF($A44="","",VLOOKUP($A44,'#BerechnungDBE'!$CB$5:$CU$104,'#BerechnungDBE'!$CU$1,FALSE))</f>
        <v/>
      </c>
      <c r="Q44" s="890" t="str">
        <f t="shared" si="1"/>
        <v/>
      </c>
    </row>
    <row r="45" spans="1:17" s="875" customFormat="1" ht="15" customHeight="1" x14ac:dyDescent="0.2">
      <c r="A45" s="1458" t="str">
        <f>IF(SMALL('#BerechnungDBE'!$CB$5:$CB$104,'Flächen u. Kulturen'!A44)=1000,"",SMALL('#BerechnungDBE'!$CB$5:$CB$104,'Flächen u. Kulturen'!A44))</f>
        <v/>
      </c>
      <c r="B45" s="1255" t="str">
        <f>IF($A45="","",VLOOKUP($A45,'Flächen u. Kulturen'!$A$10:$D$109,'Flächen u. Kulturen'!C$1,FALSE))</f>
        <v/>
      </c>
      <c r="C45" s="1255" t="str">
        <f>IF($A45="","",VLOOKUP($A45,'Flächen u. Kulturen'!$A$10:$Z$109,'Flächen u. Kulturen'!B$1,FALSE))</f>
        <v/>
      </c>
      <c r="D45" s="1255" t="str">
        <f>IF($A45="","",VLOOKUP($A45,'DBE - N'!$A$12:$D$111,4,FALSE))</f>
        <v/>
      </c>
      <c r="E45" s="1459" t="str">
        <f>IF($A45="","",VLOOKUP($A45,'Flächen u. Kulturen'!$A$10:$Z$109,'Flächen u. Kulturen'!D$1,FALSE))</f>
        <v/>
      </c>
      <c r="F45" s="1255" t="str">
        <f>IF($A45="","",VLOOKUP($A45,'Flächen u. Kulturen'!$A$10:$V$109,'Flächen u. Kulturen'!L$1,FALSE))</f>
        <v/>
      </c>
      <c r="G45" s="1460" t="str">
        <f>IF($A45="","",VLOOKUP($A45,'Flächen u. Kulturen'!$A$10:$V$109,'Flächen u. Kulturen'!O$1,FALSE))</f>
        <v/>
      </c>
      <c r="H45" s="1460" t="str">
        <f>IF($A45="","",VLOOKUP($A45,'#BerechnungDBE'!$CB$5:$CN$104,'#BerechnungDBE'!$CH$1,FALSE))</f>
        <v/>
      </c>
      <c r="I45" s="1460" t="str">
        <f>IF($A45="","",VLOOKUP($A45,'#BerechnungDBE'!$CB$5:$CN$104,'#BerechnungDBE'!$CJ$1,FALSE))</f>
        <v/>
      </c>
      <c r="J45" s="1460" t="str">
        <f>IF($A45="","",VLOOKUP($A45,'#BerechnungDBE'!$CB$5:$CN$104,'#BerechnungDBE'!$CK$1,FALSE))</f>
        <v/>
      </c>
      <c r="K45" s="1460" t="str">
        <f>IF($A45="","",VLOOKUP($A45,'#BerechnungDBE'!$CB$5:$CN$104,'#BerechnungDBE'!$CM$1,FALSE))</f>
        <v/>
      </c>
      <c r="L45" s="1460" t="str">
        <f>IF($A45="","",VLOOKUP($A45,'#BerechnungDBE'!$CB$5:$CS$104,'#BerechnungDBE'!$CP$1,FALSE))</f>
        <v/>
      </c>
      <c r="M45" s="1460" t="str">
        <f>IF($A45="","",VLOOKUP($A45,'#BerechnungDBE'!$CB$5:$CR$104,'#BerechnungDBE'!$CR$1,FALSE))</f>
        <v/>
      </c>
      <c r="N45" s="1460" t="str">
        <f>IF($A45="","",ROUNDDOWN(VLOOKUP($A45,'#BerechnungDBE'!$CB$5:$CT$104,'#BerechnungDBE'!$CT$1,FALSE),0))</f>
        <v/>
      </c>
      <c r="O45" s="1460" t="str">
        <f t="shared" si="0"/>
        <v/>
      </c>
      <c r="P45" s="1461" t="str">
        <f>IF($A45="","",VLOOKUP($A45,'#BerechnungDBE'!$CB$5:$CU$104,'#BerechnungDBE'!$CU$1,FALSE))</f>
        <v/>
      </c>
      <c r="Q45" s="890" t="str">
        <f t="shared" si="1"/>
        <v/>
      </c>
    </row>
    <row r="46" spans="1:17" s="875" customFormat="1" ht="15" customHeight="1" x14ac:dyDescent="0.2">
      <c r="A46" s="1458" t="str">
        <f>IF(SMALL('#BerechnungDBE'!$CB$5:$CB$104,'Flächen u. Kulturen'!A45)=1000,"",SMALL('#BerechnungDBE'!$CB$5:$CB$104,'Flächen u. Kulturen'!A45))</f>
        <v/>
      </c>
      <c r="B46" s="1255" t="str">
        <f>IF($A46="","",VLOOKUP($A46,'Flächen u. Kulturen'!$A$10:$D$109,'Flächen u. Kulturen'!C$1,FALSE))</f>
        <v/>
      </c>
      <c r="C46" s="1255" t="str">
        <f>IF($A46="","",VLOOKUP($A46,'Flächen u. Kulturen'!$A$10:$Z$109,'Flächen u. Kulturen'!B$1,FALSE))</f>
        <v/>
      </c>
      <c r="D46" s="1255" t="str">
        <f>IF($A46="","",VLOOKUP($A46,'DBE - N'!$A$12:$D$111,4,FALSE))</f>
        <v/>
      </c>
      <c r="E46" s="1459" t="str">
        <f>IF($A46="","",VLOOKUP($A46,'Flächen u. Kulturen'!$A$10:$Z$109,'Flächen u. Kulturen'!D$1,FALSE))</f>
        <v/>
      </c>
      <c r="F46" s="1255" t="str">
        <f>IF($A46="","",VLOOKUP($A46,'Flächen u. Kulturen'!$A$10:$V$109,'Flächen u. Kulturen'!L$1,FALSE))</f>
        <v/>
      </c>
      <c r="G46" s="1460" t="str">
        <f>IF($A46="","",VLOOKUP($A46,'Flächen u. Kulturen'!$A$10:$V$109,'Flächen u. Kulturen'!O$1,FALSE))</f>
        <v/>
      </c>
      <c r="H46" s="1460" t="str">
        <f>IF($A46="","",VLOOKUP($A46,'#BerechnungDBE'!$CB$5:$CN$104,'#BerechnungDBE'!$CH$1,FALSE))</f>
        <v/>
      </c>
      <c r="I46" s="1460" t="str">
        <f>IF($A46="","",VLOOKUP($A46,'#BerechnungDBE'!$CB$5:$CN$104,'#BerechnungDBE'!$CJ$1,FALSE))</f>
        <v/>
      </c>
      <c r="J46" s="1460" t="str">
        <f>IF($A46="","",VLOOKUP($A46,'#BerechnungDBE'!$CB$5:$CN$104,'#BerechnungDBE'!$CK$1,FALSE))</f>
        <v/>
      </c>
      <c r="K46" s="1460" t="str">
        <f>IF($A46="","",VLOOKUP($A46,'#BerechnungDBE'!$CB$5:$CN$104,'#BerechnungDBE'!$CM$1,FALSE))</f>
        <v/>
      </c>
      <c r="L46" s="1460" t="str">
        <f>IF($A46="","",VLOOKUP($A46,'#BerechnungDBE'!$CB$5:$CS$104,'#BerechnungDBE'!$CP$1,FALSE))</f>
        <v/>
      </c>
      <c r="M46" s="1460" t="str">
        <f>IF($A46="","",VLOOKUP($A46,'#BerechnungDBE'!$CB$5:$CR$104,'#BerechnungDBE'!$CR$1,FALSE))</f>
        <v/>
      </c>
      <c r="N46" s="1460" t="str">
        <f>IF($A46="","",ROUNDDOWN(VLOOKUP($A46,'#BerechnungDBE'!$CB$5:$CT$104,'#BerechnungDBE'!$CT$1,FALSE),0))</f>
        <v/>
      </c>
      <c r="O46" s="1460" t="str">
        <f t="shared" si="0"/>
        <v/>
      </c>
      <c r="P46" s="1461" t="str">
        <f>IF($A46="","",VLOOKUP($A46,'#BerechnungDBE'!$CB$5:$CU$104,'#BerechnungDBE'!$CU$1,FALSE))</f>
        <v/>
      </c>
      <c r="Q46" s="890" t="str">
        <f t="shared" si="1"/>
        <v/>
      </c>
    </row>
    <row r="47" spans="1:17" s="875" customFormat="1" ht="15" customHeight="1" x14ac:dyDescent="0.2">
      <c r="A47" s="1458" t="str">
        <f>IF(SMALL('#BerechnungDBE'!$CB$5:$CB$104,'Flächen u. Kulturen'!A46)=1000,"",SMALL('#BerechnungDBE'!$CB$5:$CB$104,'Flächen u. Kulturen'!A46))</f>
        <v/>
      </c>
      <c r="B47" s="1255" t="str">
        <f>IF($A47="","",VLOOKUP($A47,'Flächen u. Kulturen'!$A$10:$D$109,'Flächen u. Kulturen'!C$1,FALSE))</f>
        <v/>
      </c>
      <c r="C47" s="1255" t="str">
        <f>IF($A47="","",VLOOKUP($A47,'Flächen u. Kulturen'!$A$10:$Z$109,'Flächen u. Kulturen'!B$1,FALSE))</f>
        <v/>
      </c>
      <c r="D47" s="1255" t="str">
        <f>IF($A47="","",VLOOKUP($A47,'DBE - N'!$A$12:$D$111,4,FALSE))</f>
        <v/>
      </c>
      <c r="E47" s="1459" t="str">
        <f>IF($A47="","",VLOOKUP($A47,'Flächen u. Kulturen'!$A$10:$Z$109,'Flächen u. Kulturen'!D$1,FALSE))</f>
        <v/>
      </c>
      <c r="F47" s="1255" t="str">
        <f>IF($A47="","",VLOOKUP($A47,'Flächen u. Kulturen'!$A$10:$V$109,'Flächen u. Kulturen'!L$1,FALSE))</f>
        <v/>
      </c>
      <c r="G47" s="1460" t="str">
        <f>IF($A47="","",VLOOKUP($A47,'Flächen u. Kulturen'!$A$10:$V$109,'Flächen u. Kulturen'!O$1,FALSE))</f>
        <v/>
      </c>
      <c r="H47" s="1460" t="str">
        <f>IF($A47="","",VLOOKUP($A47,'#BerechnungDBE'!$CB$5:$CN$104,'#BerechnungDBE'!$CH$1,FALSE))</f>
        <v/>
      </c>
      <c r="I47" s="1460" t="str">
        <f>IF($A47="","",VLOOKUP($A47,'#BerechnungDBE'!$CB$5:$CN$104,'#BerechnungDBE'!$CJ$1,FALSE))</f>
        <v/>
      </c>
      <c r="J47" s="1460" t="str">
        <f>IF($A47="","",VLOOKUP($A47,'#BerechnungDBE'!$CB$5:$CN$104,'#BerechnungDBE'!$CK$1,FALSE))</f>
        <v/>
      </c>
      <c r="K47" s="1460" t="str">
        <f>IF($A47="","",VLOOKUP($A47,'#BerechnungDBE'!$CB$5:$CN$104,'#BerechnungDBE'!$CM$1,FALSE))</f>
        <v/>
      </c>
      <c r="L47" s="1460" t="str">
        <f>IF($A47="","",VLOOKUP($A47,'#BerechnungDBE'!$CB$5:$CS$104,'#BerechnungDBE'!$CP$1,FALSE))</f>
        <v/>
      </c>
      <c r="M47" s="1460" t="str">
        <f>IF($A47="","",VLOOKUP($A47,'#BerechnungDBE'!$CB$5:$CR$104,'#BerechnungDBE'!$CR$1,FALSE))</f>
        <v/>
      </c>
      <c r="N47" s="1460" t="str">
        <f>IF($A47="","",ROUNDDOWN(VLOOKUP($A47,'#BerechnungDBE'!$CB$5:$CT$104,'#BerechnungDBE'!$CT$1,FALSE),0))</f>
        <v/>
      </c>
      <c r="O47" s="1460" t="str">
        <f t="shared" si="0"/>
        <v/>
      </c>
      <c r="P47" s="1461" t="str">
        <f>IF($A47="","",VLOOKUP($A47,'#BerechnungDBE'!$CB$5:$CU$104,'#BerechnungDBE'!$CU$1,FALSE))</f>
        <v/>
      </c>
      <c r="Q47" s="890" t="str">
        <f t="shared" si="1"/>
        <v/>
      </c>
    </row>
    <row r="48" spans="1:17" s="875" customFormat="1" ht="15" customHeight="1" x14ac:dyDescent="0.2">
      <c r="A48" s="1458" t="str">
        <f>IF(SMALL('#BerechnungDBE'!$CB$5:$CB$104,'Flächen u. Kulturen'!A47)=1000,"",SMALL('#BerechnungDBE'!$CB$5:$CB$104,'Flächen u. Kulturen'!A47))</f>
        <v/>
      </c>
      <c r="B48" s="1255" t="str">
        <f>IF($A48="","",VLOOKUP($A48,'Flächen u. Kulturen'!$A$10:$D$109,'Flächen u. Kulturen'!C$1,FALSE))</f>
        <v/>
      </c>
      <c r="C48" s="1255" t="str">
        <f>IF($A48="","",VLOOKUP($A48,'Flächen u. Kulturen'!$A$10:$Z$109,'Flächen u. Kulturen'!B$1,FALSE))</f>
        <v/>
      </c>
      <c r="D48" s="1255" t="str">
        <f>IF($A48="","",VLOOKUP($A48,'DBE - N'!$A$12:$D$111,4,FALSE))</f>
        <v/>
      </c>
      <c r="E48" s="1459" t="str">
        <f>IF($A48="","",VLOOKUP($A48,'Flächen u. Kulturen'!$A$10:$Z$109,'Flächen u. Kulturen'!D$1,FALSE))</f>
        <v/>
      </c>
      <c r="F48" s="1255" t="str">
        <f>IF($A48="","",VLOOKUP($A48,'Flächen u. Kulturen'!$A$10:$V$109,'Flächen u. Kulturen'!L$1,FALSE))</f>
        <v/>
      </c>
      <c r="G48" s="1460" t="str">
        <f>IF($A48="","",VLOOKUP($A48,'Flächen u. Kulturen'!$A$10:$V$109,'Flächen u. Kulturen'!O$1,FALSE))</f>
        <v/>
      </c>
      <c r="H48" s="1460" t="str">
        <f>IF($A48="","",VLOOKUP($A48,'#BerechnungDBE'!$CB$5:$CN$104,'#BerechnungDBE'!$CH$1,FALSE))</f>
        <v/>
      </c>
      <c r="I48" s="1460" t="str">
        <f>IF($A48="","",VLOOKUP($A48,'#BerechnungDBE'!$CB$5:$CN$104,'#BerechnungDBE'!$CJ$1,FALSE))</f>
        <v/>
      </c>
      <c r="J48" s="1460" t="str">
        <f>IF($A48="","",VLOOKUP($A48,'#BerechnungDBE'!$CB$5:$CN$104,'#BerechnungDBE'!$CK$1,FALSE))</f>
        <v/>
      </c>
      <c r="K48" s="1460" t="str">
        <f>IF($A48="","",VLOOKUP($A48,'#BerechnungDBE'!$CB$5:$CN$104,'#BerechnungDBE'!$CM$1,FALSE))</f>
        <v/>
      </c>
      <c r="L48" s="1460" t="str">
        <f>IF($A48="","",VLOOKUP($A48,'#BerechnungDBE'!$CB$5:$CS$104,'#BerechnungDBE'!$CP$1,FALSE))</f>
        <v/>
      </c>
      <c r="M48" s="1460" t="str">
        <f>IF($A48="","",VLOOKUP($A48,'#BerechnungDBE'!$CB$5:$CR$104,'#BerechnungDBE'!$CR$1,FALSE))</f>
        <v/>
      </c>
      <c r="N48" s="1460" t="str">
        <f>IF($A48="","",ROUNDDOWN(VLOOKUP($A48,'#BerechnungDBE'!$CB$5:$CT$104,'#BerechnungDBE'!$CT$1,FALSE),0))</f>
        <v/>
      </c>
      <c r="O48" s="1460" t="str">
        <f t="shared" si="0"/>
        <v/>
      </c>
      <c r="P48" s="1461" t="str">
        <f>IF($A48="","",VLOOKUP($A48,'#BerechnungDBE'!$CB$5:$CU$104,'#BerechnungDBE'!$CU$1,FALSE))</f>
        <v/>
      </c>
      <c r="Q48" s="890" t="str">
        <f t="shared" si="1"/>
        <v/>
      </c>
    </row>
    <row r="49" spans="1:17" s="875" customFormat="1" ht="15" customHeight="1" x14ac:dyDescent="0.2">
      <c r="A49" s="1458" t="str">
        <f>IF(SMALL('#BerechnungDBE'!$CB$5:$CB$104,'Flächen u. Kulturen'!A48)=1000,"",SMALL('#BerechnungDBE'!$CB$5:$CB$104,'Flächen u. Kulturen'!A48))</f>
        <v/>
      </c>
      <c r="B49" s="1255" t="str">
        <f>IF($A49="","",VLOOKUP($A49,'Flächen u. Kulturen'!$A$10:$D$109,'Flächen u. Kulturen'!C$1,FALSE))</f>
        <v/>
      </c>
      <c r="C49" s="1255" t="str">
        <f>IF($A49="","",VLOOKUP($A49,'Flächen u. Kulturen'!$A$10:$Z$109,'Flächen u. Kulturen'!B$1,FALSE))</f>
        <v/>
      </c>
      <c r="D49" s="1255" t="str">
        <f>IF($A49="","",VLOOKUP($A49,'DBE - N'!$A$12:$D$111,4,FALSE))</f>
        <v/>
      </c>
      <c r="E49" s="1459" t="str">
        <f>IF($A49="","",VLOOKUP($A49,'Flächen u. Kulturen'!$A$10:$Z$109,'Flächen u. Kulturen'!D$1,FALSE))</f>
        <v/>
      </c>
      <c r="F49" s="1255" t="str">
        <f>IF($A49="","",VLOOKUP($A49,'Flächen u. Kulturen'!$A$10:$V$109,'Flächen u. Kulturen'!L$1,FALSE))</f>
        <v/>
      </c>
      <c r="G49" s="1460" t="str">
        <f>IF($A49="","",VLOOKUP($A49,'Flächen u. Kulturen'!$A$10:$V$109,'Flächen u. Kulturen'!O$1,FALSE))</f>
        <v/>
      </c>
      <c r="H49" s="1460" t="str">
        <f>IF($A49="","",VLOOKUP($A49,'#BerechnungDBE'!$CB$5:$CN$104,'#BerechnungDBE'!$CH$1,FALSE))</f>
        <v/>
      </c>
      <c r="I49" s="1460" t="str">
        <f>IF($A49="","",VLOOKUP($A49,'#BerechnungDBE'!$CB$5:$CN$104,'#BerechnungDBE'!$CJ$1,FALSE))</f>
        <v/>
      </c>
      <c r="J49" s="1460" t="str">
        <f>IF($A49="","",VLOOKUP($A49,'#BerechnungDBE'!$CB$5:$CN$104,'#BerechnungDBE'!$CK$1,FALSE))</f>
        <v/>
      </c>
      <c r="K49" s="1460" t="str">
        <f>IF($A49="","",VLOOKUP($A49,'#BerechnungDBE'!$CB$5:$CN$104,'#BerechnungDBE'!$CM$1,FALSE))</f>
        <v/>
      </c>
      <c r="L49" s="1460" t="str">
        <f>IF($A49="","",VLOOKUP($A49,'#BerechnungDBE'!$CB$5:$CS$104,'#BerechnungDBE'!$CP$1,FALSE))</f>
        <v/>
      </c>
      <c r="M49" s="1460" t="str">
        <f>IF($A49="","",VLOOKUP($A49,'#BerechnungDBE'!$CB$5:$CR$104,'#BerechnungDBE'!$CR$1,FALSE))</f>
        <v/>
      </c>
      <c r="N49" s="1460" t="str">
        <f>IF($A49="","",ROUNDDOWN(VLOOKUP($A49,'#BerechnungDBE'!$CB$5:$CT$104,'#BerechnungDBE'!$CT$1,FALSE),0))</f>
        <v/>
      </c>
      <c r="O49" s="1460" t="str">
        <f t="shared" si="0"/>
        <v/>
      </c>
      <c r="P49" s="1461" t="str">
        <f>IF($A49="","",VLOOKUP($A49,'#BerechnungDBE'!$CB$5:$CU$104,'#BerechnungDBE'!$CU$1,FALSE))</f>
        <v/>
      </c>
      <c r="Q49" s="890" t="str">
        <f t="shared" si="1"/>
        <v/>
      </c>
    </row>
    <row r="50" spans="1:17" s="875" customFormat="1" ht="15" customHeight="1" x14ac:dyDescent="0.2">
      <c r="A50" s="1458" t="str">
        <f>IF(SMALL('#BerechnungDBE'!$CB$5:$CB$104,'Flächen u. Kulturen'!A49)=1000,"",SMALL('#BerechnungDBE'!$CB$5:$CB$104,'Flächen u. Kulturen'!A49))</f>
        <v/>
      </c>
      <c r="B50" s="1255" t="str">
        <f>IF($A50="","",VLOOKUP($A50,'Flächen u. Kulturen'!$A$10:$D$109,'Flächen u. Kulturen'!C$1,FALSE))</f>
        <v/>
      </c>
      <c r="C50" s="1255" t="str">
        <f>IF($A50="","",VLOOKUP($A50,'Flächen u. Kulturen'!$A$10:$Z$109,'Flächen u. Kulturen'!B$1,FALSE))</f>
        <v/>
      </c>
      <c r="D50" s="1255" t="str">
        <f>IF($A50="","",VLOOKUP($A50,'DBE - N'!$A$12:$D$111,4,FALSE))</f>
        <v/>
      </c>
      <c r="E50" s="1459" t="str">
        <f>IF($A50="","",VLOOKUP($A50,'Flächen u. Kulturen'!$A$10:$Z$109,'Flächen u. Kulturen'!D$1,FALSE))</f>
        <v/>
      </c>
      <c r="F50" s="1255" t="str">
        <f>IF($A50="","",VLOOKUP($A50,'Flächen u. Kulturen'!$A$10:$V$109,'Flächen u. Kulturen'!L$1,FALSE))</f>
        <v/>
      </c>
      <c r="G50" s="1460" t="str">
        <f>IF($A50="","",VLOOKUP($A50,'Flächen u. Kulturen'!$A$10:$V$109,'Flächen u. Kulturen'!O$1,FALSE))</f>
        <v/>
      </c>
      <c r="H50" s="1460" t="str">
        <f>IF($A50="","",VLOOKUP($A50,'#BerechnungDBE'!$CB$5:$CN$104,'#BerechnungDBE'!$CH$1,FALSE))</f>
        <v/>
      </c>
      <c r="I50" s="1460" t="str">
        <f>IF($A50="","",VLOOKUP($A50,'#BerechnungDBE'!$CB$5:$CN$104,'#BerechnungDBE'!$CJ$1,FALSE))</f>
        <v/>
      </c>
      <c r="J50" s="1460" t="str">
        <f>IF($A50="","",VLOOKUP($A50,'#BerechnungDBE'!$CB$5:$CN$104,'#BerechnungDBE'!$CK$1,FALSE))</f>
        <v/>
      </c>
      <c r="K50" s="1460" t="str">
        <f>IF($A50="","",VLOOKUP($A50,'#BerechnungDBE'!$CB$5:$CN$104,'#BerechnungDBE'!$CM$1,FALSE))</f>
        <v/>
      </c>
      <c r="L50" s="1460" t="str">
        <f>IF($A50="","",VLOOKUP($A50,'#BerechnungDBE'!$CB$5:$CS$104,'#BerechnungDBE'!$CP$1,FALSE))</f>
        <v/>
      </c>
      <c r="M50" s="1460" t="str">
        <f>IF($A50="","",VLOOKUP($A50,'#BerechnungDBE'!$CB$5:$CR$104,'#BerechnungDBE'!$CR$1,FALSE))</f>
        <v/>
      </c>
      <c r="N50" s="1460" t="str">
        <f>IF($A50="","",ROUNDDOWN(VLOOKUP($A50,'#BerechnungDBE'!$CB$5:$CT$104,'#BerechnungDBE'!$CT$1,FALSE),0))</f>
        <v/>
      </c>
      <c r="O50" s="1460" t="str">
        <f t="shared" si="0"/>
        <v/>
      </c>
      <c r="P50" s="1461" t="str">
        <f>IF($A50="","",VLOOKUP($A50,'#BerechnungDBE'!$CB$5:$CU$104,'#BerechnungDBE'!$CU$1,FALSE))</f>
        <v/>
      </c>
      <c r="Q50" s="890" t="str">
        <f t="shared" si="1"/>
        <v/>
      </c>
    </row>
    <row r="51" spans="1:17" s="875" customFormat="1" ht="15" customHeight="1" x14ac:dyDescent="0.2">
      <c r="A51" s="1458" t="str">
        <f>IF(SMALL('#BerechnungDBE'!$CB$5:$CB$104,'Flächen u. Kulturen'!A50)=1000,"",SMALL('#BerechnungDBE'!$CB$5:$CB$104,'Flächen u. Kulturen'!A50))</f>
        <v/>
      </c>
      <c r="B51" s="1255" t="str">
        <f>IF($A51="","",VLOOKUP($A51,'Flächen u. Kulturen'!$A$10:$D$109,'Flächen u. Kulturen'!C$1,FALSE))</f>
        <v/>
      </c>
      <c r="C51" s="1255" t="str">
        <f>IF($A51="","",VLOOKUP($A51,'Flächen u. Kulturen'!$A$10:$Z$109,'Flächen u. Kulturen'!B$1,FALSE))</f>
        <v/>
      </c>
      <c r="D51" s="1255" t="str">
        <f>IF($A51="","",VLOOKUP($A51,'DBE - N'!$A$12:$D$111,4,FALSE))</f>
        <v/>
      </c>
      <c r="E51" s="1459" t="str">
        <f>IF($A51="","",VLOOKUP($A51,'Flächen u. Kulturen'!$A$10:$Z$109,'Flächen u. Kulturen'!D$1,FALSE))</f>
        <v/>
      </c>
      <c r="F51" s="1255" t="str">
        <f>IF($A51="","",VLOOKUP($A51,'Flächen u. Kulturen'!$A$10:$V$109,'Flächen u. Kulturen'!L$1,FALSE))</f>
        <v/>
      </c>
      <c r="G51" s="1460" t="str">
        <f>IF($A51="","",VLOOKUP($A51,'Flächen u. Kulturen'!$A$10:$V$109,'Flächen u. Kulturen'!O$1,FALSE))</f>
        <v/>
      </c>
      <c r="H51" s="1460" t="str">
        <f>IF($A51="","",VLOOKUP($A51,'#BerechnungDBE'!$CB$5:$CN$104,'#BerechnungDBE'!$CH$1,FALSE))</f>
        <v/>
      </c>
      <c r="I51" s="1460" t="str">
        <f>IF($A51="","",VLOOKUP($A51,'#BerechnungDBE'!$CB$5:$CN$104,'#BerechnungDBE'!$CJ$1,FALSE))</f>
        <v/>
      </c>
      <c r="J51" s="1460" t="str">
        <f>IF($A51="","",VLOOKUP($A51,'#BerechnungDBE'!$CB$5:$CN$104,'#BerechnungDBE'!$CK$1,FALSE))</f>
        <v/>
      </c>
      <c r="K51" s="1460" t="str">
        <f>IF($A51="","",VLOOKUP($A51,'#BerechnungDBE'!$CB$5:$CN$104,'#BerechnungDBE'!$CM$1,FALSE))</f>
        <v/>
      </c>
      <c r="L51" s="1460" t="str">
        <f>IF($A51="","",VLOOKUP($A51,'#BerechnungDBE'!$CB$5:$CS$104,'#BerechnungDBE'!$CP$1,FALSE))</f>
        <v/>
      </c>
      <c r="M51" s="1460" t="str">
        <f>IF($A51="","",VLOOKUP($A51,'#BerechnungDBE'!$CB$5:$CR$104,'#BerechnungDBE'!$CR$1,FALSE))</f>
        <v/>
      </c>
      <c r="N51" s="1460" t="str">
        <f>IF($A51="","",ROUNDDOWN(VLOOKUP($A51,'#BerechnungDBE'!$CB$5:$CT$104,'#BerechnungDBE'!$CT$1,FALSE),0))</f>
        <v/>
      </c>
      <c r="O51" s="1460" t="str">
        <f t="shared" si="0"/>
        <v/>
      </c>
      <c r="P51" s="1461" t="str">
        <f>IF($A51="","",VLOOKUP($A51,'#BerechnungDBE'!$CB$5:$CU$104,'#BerechnungDBE'!$CU$1,FALSE))</f>
        <v/>
      </c>
      <c r="Q51" s="890" t="str">
        <f t="shared" si="1"/>
        <v/>
      </c>
    </row>
    <row r="52" spans="1:17" s="875" customFormat="1" ht="15" customHeight="1" x14ac:dyDescent="0.2">
      <c r="A52" s="1458" t="str">
        <f>IF(SMALL('#BerechnungDBE'!$CB$5:$CB$104,'Flächen u. Kulturen'!A51)=1000,"",SMALL('#BerechnungDBE'!$CB$5:$CB$104,'Flächen u. Kulturen'!A51))</f>
        <v/>
      </c>
      <c r="B52" s="1255" t="str">
        <f>IF($A52="","",VLOOKUP($A52,'Flächen u. Kulturen'!$A$10:$D$109,'Flächen u. Kulturen'!C$1,FALSE))</f>
        <v/>
      </c>
      <c r="C52" s="1255" t="str">
        <f>IF($A52="","",VLOOKUP($A52,'Flächen u. Kulturen'!$A$10:$Z$109,'Flächen u. Kulturen'!B$1,FALSE))</f>
        <v/>
      </c>
      <c r="D52" s="1255" t="str">
        <f>IF($A52="","",VLOOKUP($A52,'DBE - N'!$A$12:$D$111,4,FALSE))</f>
        <v/>
      </c>
      <c r="E52" s="1459" t="str">
        <f>IF($A52="","",VLOOKUP($A52,'Flächen u. Kulturen'!$A$10:$Z$109,'Flächen u. Kulturen'!D$1,FALSE))</f>
        <v/>
      </c>
      <c r="F52" s="1255" t="str">
        <f>IF($A52="","",VLOOKUP($A52,'Flächen u. Kulturen'!$A$10:$V$109,'Flächen u. Kulturen'!L$1,FALSE))</f>
        <v/>
      </c>
      <c r="G52" s="1460" t="str">
        <f>IF($A52="","",VLOOKUP($A52,'Flächen u. Kulturen'!$A$10:$V$109,'Flächen u. Kulturen'!O$1,FALSE))</f>
        <v/>
      </c>
      <c r="H52" s="1460" t="str">
        <f>IF($A52="","",VLOOKUP($A52,'#BerechnungDBE'!$CB$5:$CN$104,'#BerechnungDBE'!$CH$1,FALSE))</f>
        <v/>
      </c>
      <c r="I52" s="1460" t="str">
        <f>IF($A52="","",VLOOKUP($A52,'#BerechnungDBE'!$CB$5:$CN$104,'#BerechnungDBE'!$CJ$1,FALSE))</f>
        <v/>
      </c>
      <c r="J52" s="1460" t="str">
        <f>IF($A52="","",VLOOKUP($A52,'#BerechnungDBE'!$CB$5:$CN$104,'#BerechnungDBE'!$CK$1,FALSE))</f>
        <v/>
      </c>
      <c r="K52" s="1460" t="str">
        <f>IF($A52="","",VLOOKUP($A52,'#BerechnungDBE'!$CB$5:$CN$104,'#BerechnungDBE'!$CM$1,FALSE))</f>
        <v/>
      </c>
      <c r="L52" s="1460" t="str">
        <f>IF($A52="","",VLOOKUP($A52,'#BerechnungDBE'!$CB$5:$CS$104,'#BerechnungDBE'!$CP$1,FALSE))</f>
        <v/>
      </c>
      <c r="M52" s="1460" t="str">
        <f>IF($A52="","",VLOOKUP($A52,'#BerechnungDBE'!$CB$5:$CR$104,'#BerechnungDBE'!$CR$1,FALSE))</f>
        <v/>
      </c>
      <c r="N52" s="1460" t="str">
        <f>IF($A52="","",ROUNDDOWN(VLOOKUP($A52,'#BerechnungDBE'!$CB$5:$CT$104,'#BerechnungDBE'!$CT$1,FALSE),0))</f>
        <v/>
      </c>
      <c r="O52" s="1460" t="str">
        <f t="shared" si="0"/>
        <v/>
      </c>
      <c r="P52" s="1461" t="str">
        <f>IF($A52="","",VLOOKUP($A52,'#BerechnungDBE'!$CB$5:$CU$104,'#BerechnungDBE'!$CU$1,FALSE))</f>
        <v/>
      </c>
      <c r="Q52" s="890" t="str">
        <f t="shared" si="1"/>
        <v/>
      </c>
    </row>
    <row r="53" spans="1:17" s="875" customFormat="1" ht="15" customHeight="1" x14ac:dyDescent="0.2">
      <c r="A53" s="1458" t="str">
        <f>IF(SMALL('#BerechnungDBE'!$CB$5:$CB$104,'Flächen u. Kulturen'!A52)=1000,"",SMALL('#BerechnungDBE'!$CB$5:$CB$104,'Flächen u. Kulturen'!A52))</f>
        <v/>
      </c>
      <c r="B53" s="1255" t="str">
        <f>IF($A53="","",VLOOKUP($A53,'Flächen u. Kulturen'!$A$10:$D$109,'Flächen u. Kulturen'!C$1,FALSE))</f>
        <v/>
      </c>
      <c r="C53" s="1255" t="str">
        <f>IF($A53="","",VLOOKUP($A53,'Flächen u. Kulturen'!$A$10:$Z$109,'Flächen u. Kulturen'!B$1,FALSE))</f>
        <v/>
      </c>
      <c r="D53" s="1255" t="str">
        <f>IF($A53="","",VLOOKUP($A53,'DBE - N'!$A$12:$D$111,4,FALSE))</f>
        <v/>
      </c>
      <c r="E53" s="1459" t="str">
        <f>IF($A53="","",VLOOKUP($A53,'Flächen u. Kulturen'!$A$10:$Z$109,'Flächen u. Kulturen'!D$1,FALSE))</f>
        <v/>
      </c>
      <c r="F53" s="1255" t="str">
        <f>IF($A53="","",VLOOKUP($A53,'Flächen u. Kulturen'!$A$10:$V$109,'Flächen u. Kulturen'!L$1,FALSE))</f>
        <v/>
      </c>
      <c r="G53" s="1460" t="str">
        <f>IF($A53="","",VLOOKUP($A53,'Flächen u. Kulturen'!$A$10:$V$109,'Flächen u. Kulturen'!O$1,FALSE))</f>
        <v/>
      </c>
      <c r="H53" s="1460" t="str">
        <f>IF($A53="","",VLOOKUP($A53,'#BerechnungDBE'!$CB$5:$CN$104,'#BerechnungDBE'!$CH$1,FALSE))</f>
        <v/>
      </c>
      <c r="I53" s="1460" t="str">
        <f>IF($A53="","",VLOOKUP($A53,'#BerechnungDBE'!$CB$5:$CN$104,'#BerechnungDBE'!$CJ$1,FALSE))</f>
        <v/>
      </c>
      <c r="J53" s="1460" t="str">
        <f>IF($A53="","",VLOOKUP($A53,'#BerechnungDBE'!$CB$5:$CN$104,'#BerechnungDBE'!$CK$1,FALSE))</f>
        <v/>
      </c>
      <c r="K53" s="1460" t="str">
        <f>IF($A53="","",VLOOKUP($A53,'#BerechnungDBE'!$CB$5:$CN$104,'#BerechnungDBE'!$CM$1,FALSE))</f>
        <v/>
      </c>
      <c r="L53" s="1460" t="str">
        <f>IF($A53="","",VLOOKUP($A53,'#BerechnungDBE'!$CB$5:$CS$104,'#BerechnungDBE'!$CP$1,FALSE))</f>
        <v/>
      </c>
      <c r="M53" s="1460" t="str">
        <f>IF($A53="","",VLOOKUP($A53,'#BerechnungDBE'!$CB$5:$CR$104,'#BerechnungDBE'!$CR$1,FALSE))</f>
        <v/>
      </c>
      <c r="N53" s="1460" t="str">
        <f>IF($A53="","",ROUNDDOWN(VLOOKUP($A53,'#BerechnungDBE'!$CB$5:$CT$104,'#BerechnungDBE'!$CT$1,FALSE),0))</f>
        <v/>
      </c>
      <c r="O53" s="1460" t="str">
        <f t="shared" si="0"/>
        <v/>
      </c>
      <c r="P53" s="1461" t="str">
        <f>IF($A53="","",VLOOKUP($A53,'#BerechnungDBE'!$CB$5:$CU$104,'#BerechnungDBE'!$CU$1,FALSE))</f>
        <v/>
      </c>
      <c r="Q53" s="890" t="str">
        <f t="shared" si="1"/>
        <v/>
      </c>
    </row>
    <row r="54" spans="1:17" s="875" customFormat="1" ht="15" customHeight="1" x14ac:dyDescent="0.2">
      <c r="A54" s="1458" t="str">
        <f>IF(SMALL('#BerechnungDBE'!$CB$5:$CB$104,'Flächen u. Kulturen'!A53)=1000,"",SMALL('#BerechnungDBE'!$CB$5:$CB$104,'Flächen u. Kulturen'!A53))</f>
        <v/>
      </c>
      <c r="B54" s="1255" t="str">
        <f>IF($A54="","",VLOOKUP($A54,'Flächen u. Kulturen'!$A$10:$D$109,'Flächen u. Kulturen'!C$1,FALSE))</f>
        <v/>
      </c>
      <c r="C54" s="1255" t="str">
        <f>IF($A54="","",VLOOKUP($A54,'Flächen u. Kulturen'!$A$10:$Z$109,'Flächen u. Kulturen'!B$1,FALSE))</f>
        <v/>
      </c>
      <c r="D54" s="1255" t="str">
        <f>IF($A54="","",VLOOKUP($A54,'DBE - N'!$A$12:$D$111,4,FALSE))</f>
        <v/>
      </c>
      <c r="E54" s="1459" t="str">
        <f>IF($A54="","",VLOOKUP($A54,'Flächen u. Kulturen'!$A$10:$Z$109,'Flächen u. Kulturen'!D$1,FALSE))</f>
        <v/>
      </c>
      <c r="F54" s="1255" t="str">
        <f>IF($A54="","",VLOOKUP($A54,'Flächen u. Kulturen'!$A$10:$V$109,'Flächen u. Kulturen'!L$1,FALSE))</f>
        <v/>
      </c>
      <c r="G54" s="1460" t="str">
        <f>IF($A54="","",VLOOKUP($A54,'Flächen u. Kulturen'!$A$10:$V$109,'Flächen u. Kulturen'!O$1,FALSE))</f>
        <v/>
      </c>
      <c r="H54" s="1460" t="str">
        <f>IF($A54="","",VLOOKUP($A54,'#BerechnungDBE'!$CB$5:$CN$104,'#BerechnungDBE'!$CH$1,FALSE))</f>
        <v/>
      </c>
      <c r="I54" s="1460" t="str">
        <f>IF($A54="","",VLOOKUP($A54,'#BerechnungDBE'!$CB$5:$CN$104,'#BerechnungDBE'!$CJ$1,FALSE))</f>
        <v/>
      </c>
      <c r="J54" s="1460" t="str">
        <f>IF($A54="","",VLOOKUP($A54,'#BerechnungDBE'!$CB$5:$CN$104,'#BerechnungDBE'!$CK$1,FALSE))</f>
        <v/>
      </c>
      <c r="K54" s="1460" t="str">
        <f>IF($A54="","",VLOOKUP($A54,'#BerechnungDBE'!$CB$5:$CN$104,'#BerechnungDBE'!$CM$1,FALSE))</f>
        <v/>
      </c>
      <c r="L54" s="1460" t="str">
        <f>IF($A54="","",VLOOKUP($A54,'#BerechnungDBE'!$CB$5:$CS$104,'#BerechnungDBE'!$CP$1,FALSE))</f>
        <v/>
      </c>
      <c r="M54" s="1460" t="str">
        <f>IF($A54="","",VLOOKUP($A54,'#BerechnungDBE'!$CB$5:$CR$104,'#BerechnungDBE'!$CR$1,FALSE))</f>
        <v/>
      </c>
      <c r="N54" s="1460" t="str">
        <f>IF($A54="","",ROUNDDOWN(VLOOKUP($A54,'#BerechnungDBE'!$CB$5:$CT$104,'#BerechnungDBE'!$CT$1,FALSE),0))</f>
        <v/>
      </c>
      <c r="O54" s="1460" t="str">
        <f t="shared" si="0"/>
        <v/>
      </c>
      <c r="P54" s="1461" t="str">
        <f>IF($A54="","",VLOOKUP($A54,'#BerechnungDBE'!$CB$5:$CU$104,'#BerechnungDBE'!$CU$1,FALSE))</f>
        <v/>
      </c>
      <c r="Q54" s="890" t="str">
        <f t="shared" si="1"/>
        <v/>
      </c>
    </row>
    <row r="55" spans="1:17" s="875" customFormat="1" ht="15" customHeight="1" x14ac:dyDescent="0.2">
      <c r="A55" s="1458" t="str">
        <f>IF(SMALL('#BerechnungDBE'!$CB$5:$CB$104,'Flächen u. Kulturen'!A54)=1000,"",SMALL('#BerechnungDBE'!$CB$5:$CB$104,'Flächen u. Kulturen'!A54))</f>
        <v/>
      </c>
      <c r="B55" s="1255" t="str">
        <f>IF($A55="","",VLOOKUP($A55,'Flächen u. Kulturen'!$A$10:$D$109,'Flächen u. Kulturen'!C$1,FALSE))</f>
        <v/>
      </c>
      <c r="C55" s="1255" t="str">
        <f>IF($A55="","",VLOOKUP($A55,'Flächen u. Kulturen'!$A$10:$Z$109,'Flächen u. Kulturen'!B$1,FALSE))</f>
        <v/>
      </c>
      <c r="D55" s="1255" t="str">
        <f>IF($A55="","",VLOOKUP($A55,'DBE - N'!$A$12:$D$111,4,FALSE))</f>
        <v/>
      </c>
      <c r="E55" s="1459" t="str">
        <f>IF($A55="","",VLOOKUP($A55,'Flächen u. Kulturen'!$A$10:$Z$109,'Flächen u. Kulturen'!D$1,FALSE))</f>
        <v/>
      </c>
      <c r="F55" s="1255" t="str">
        <f>IF($A55="","",VLOOKUP($A55,'Flächen u. Kulturen'!$A$10:$V$109,'Flächen u. Kulturen'!L$1,FALSE))</f>
        <v/>
      </c>
      <c r="G55" s="1460" t="str">
        <f>IF($A55="","",VLOOKUP($A55,'Flächen u. Kulturen'!$A$10:$V$109,'Flächen u. Kulturen'!O$1,FALSE))</f>
        <v/>
      </c>
      <c r="H55" s="1460" t="str">
        <f>IF($A55="","",VLOOKUP($A55,'#BerechnungDBE'!$CB$5:$CN$104,'#BerechnungDBE'!$CH$1,FALSE))</f>
        <v/>
      </c>
      <c r="I55" s="1460" t="str">
        <f>IF($A55="","",VLOOKUP($A55,'#BerechnungDBE'!$CB$5:$CN$104,'#BerechnungDBE'!$CJ$1,FALSE))</f>
        <v/>
      </c>
      <c r="J55" s="1460" t="str">
        <f>IF($A55="","",VLOOKUP($A55,'#BerechnungDBE'!$CB$5:$CN$104,'#BerechnungDBE'!$CK$1,FALSE))</f>
        <v/>
      </c>
      <c r="K55" s="1460" t="str">
        <f>IF($A55="","",VLOOKUP($A55,'#BerechnungDBE'!$CB$5:$CN$104,'#BerechnungDBE'!$CM$1,FALSE))</f>
        <v/>
      </c>
      <c r="L55" s="1460" t="str">
        <f>IF($A55="","",VLOOKUP($A55,'#BerechnungDBE'!$CB$5:$CS$104,'#BerechnungDBE'!$CP$1,FALSE))</f>
        <v/>
      </c>
      <c r="M55" s="1460" t="str">
        <f>IF($A55="","",VLOOKUP($A55,'#BerechnungDBE'!$CB$5:$CR$104,'#BerechnungDBE'!$CR$1,FALSE))</f>
        <v/>
      </c>
      <c r="N55" s="1460" t="str">
        <f>IF($A55="","",ROUNDDOWN(VLOOKUP($A55,'#BerechnungDBE'!$CB$5:$CT$104,'#BerechnungDBE'!$CT$1,FALSE),0))</f>
        <v/>
      </c>
      <c r="O55" s="1460" t="str">
        <f t="shared" si="0"/>
        <v/>
      </c>
      <c r="P55" s="1461" t="str">
        <f>IF($A55="","",VLOOKUP($A55,'#BerechnungDBE'!$CB$5:$CU$104,'#BerechnungDBE'!$CU$1,FALSE))</f>
        <v/>
      </c>
      <c r="Q55" s="890" t="str">
        <f t="shared" si="1"/>
        <v/>
      </c>
    </row>
    <row r="56" spans="1:17" s="875" customFormat="1" ht="15" customHeight="1" x14ac:dyDescent="0.2">
      <c r="A56" s="1458" t="str">
        <f>IF(SMALL('#BerechnungDBE'!$CB$5:$CB$104,'Flächen u. Kulturen'!A55)=1000,"",SMALL('#BerechnungDBE'!$CB$5:$CB$104,'Flächen u. Kulturen'!A55))</f>
        <v/>
      </c>
      <c r="B56" s="1255" t="str">
        <f>IF($A56="","",VLOOKUP($A56,'Flächen u. Kulturen'!$A$10:$D$109,'Flächen u. Kulturen'!C$1,FALSE))</f>
        <v/>
      </c>
      <c r="C56" s="1255" t="str">
        <f>IF($A56="","",VLOOKUP($A56,'Flächen u. Kulturen'!$A$10:$Z$109,'Flächen u. Kulturen'!B$1,FALSE))</f>
        <v/>
      </c>
      <c r="D56" s="1255" t="str">
        <f>IF($A56="","",VLOOKUP($A56,'DBE - N'!$A$12:$D$111,4,FALSE))</f>
        <v/>
      </c>
      <c r="E56" s="1459" t="str">
        <f>IF($A56="","",VLOOKUP($A56,'Flächen u. Kulturen'!$A$10:$Z$109,'Flächen u. Kulturen'!D$1,FALSE))</f>
        <v/>
      </c>
      <c r="F56" s="1255" t="str">
        <f>IF($A56="","",VLOOKUP($A56,'Flächen u. Kulturen'!$A$10:$V$109,'Flächen u. Kulturen'!L$1,FALSE))</f>
        <v/>
      </c>
      <c r="G56" s="1460" t="str">
        <f>IF($A56="","",VLOOKUP($A56,'Flächen u. Kulturen'!$A$10:$V$109,'Flächen u. Kulturen'!O$1,FALSE))</f>
        <v/>
      </c>
      <c r="H56" s="1460" t="str">
        <f>IF($A56="","",VLOOKUP($A56,'#BerechnungDBE'!$CB$5:$CN$104,'#BerechnungDBE'!$CH$1,FALSE))</f>
        <v/>
      </c>
      <c r="I56" s="1460" t="str">
        <f>IF($A56="","",VLOOKUP($A56,'#BerechnungDBE'!$CB$5:$CN$104,'#BerechnungDBE'!$CJ$1,FALSE))</f>
        <v/>
      </c>
      <c r="J56" s="1460" t="str">
        <f>IF($A56="","",VLOOKUP($A56,'#BerechnungDBE'!$CB$5:$CN$104,'#BerechnungDBE'!$CK$1,FALSE))</f>
        <v/>
      </c>
      <c r="K56" s="1460" t="str">
        <f>IF($A56="","",VLOOKUP($A56,'#BerechnungDBE'!$CB$5:$CN$104,'#BerechnungDBE'!$CM$1,FALSE))</f>
        <v/>
      </c>
      <c r="L56" s="1460" t="str">
        <f>IF($A56="","",VLOOKUP($A56,'#BerechnungDBE'!$CB$5:$CS$104,'#BerechnungDBE'!$CP$1,FALSE))</f>
        <v/>
      </c>
      <c r="M56" s="1460" t="str">
        <f>IF($A56="","",VLOOKUP($A56,'#BerechnungDBE'!$CB$5:$CR$104,'#BerechnungDBE'!$CR$1,FALSE))</f>
        <v/>
      </c>
      <c r="N56" s="1460" t="str">
        <f>IF($A56="","",ROUNDDOWN(VLOOKUP($A56,'#BerechnungDBE'!$CB$5:$CT$104,'#BerechnungDBE'!$CT$1,FALSE),0))</f>
        <v/>
      </c>
      <c r="O56" s="1460" t="str">
        <f t="shared" si="0"/>
        <v/>
      </c>
      <c r="P56" s="1461" t="str">
        <f>IF($A56="","",VLOOKUP($A56,'#BerechnungDBE'!$CB$5:$CU$104,'#BerechnungDBE'!$CU$1,FALSE))</f>
        <v/>
      </c>
      <c r="Q56" s="890" t="str">
        <f t="shared" si="1"/>
        <v/>
      </c>
    </row>
    <row r="57" spans="1:17" s="875" customFormat="1" ht="15" customHeight="1" x14ac:dyDescent="0.2">
      <c r="A57" s="1458" t="str">
        <f>IF(SMALL('#BerechnungDBE'!$CB$5:$CB$104,'Flächen u. Kulturen'!A56)=1000,"",SMALL('#BerechnungDBE'!$CB$5:$CB$104,'Flächen u. Kulturen'!A56))</f>
        <v/>
      </c>
      <c r="B57" s="1255" t="str">
        <f>IF($A57="","",VLOOKUP($A57,'Flächen u. Kulturen'!$A$10:$D$109,'Flächen u. Kulturen'!C$1,FALSE))</f>
        <v/>
      </c>
      <c r="C57" s="1255" t="str">
        <f>IF($A57="","",VLOOKUP($A57,'Flächen u. Kulturen'!$A$10:$Z$109,'Flächen u. Kulturen'!B$1,FALSE))</f>
        <v/>
      </c>
      <c r="D57" s="1255" t="str">
        <f>IF($A57="","",VLOOKUP($A57,'DBE - N'!$A$12:$D$111,4,FALSE))</f>
        <v/>
      </c>
      <c r="E57" s="1459" t="str">
        <f>IF($A57="","",VLOOKUP($A57,'Flächen u. Kulturen'!$A$10:$Z$109,'Flächen u. Kulturen'!D$1,FALSE))</f>
        <v/>
      </c>
      <c r="F57" s="1255" t="str">
        <f>IF($A57="","",VLOOKUP($A57,'Flächen u. Kulturen'!$A$10:$V$109,'Flächen u. Kulturen'!L$1,FALSE))</f>
        <v/>
      </c>
      <c r="G57" s="1460" t="str">
        <f>IF($A57="","",VLOOKUP($A57,'Flächen u. Kulturen'!$A$10:$V$109,'Flächen u. Kulturen'!O$1,FALSE))</f>
        <v/>
      </c>
      <c r="H57" s="1460" t="str">
        <f>IF($A57="","",VLOOKUP($A57,'#BerechnungDBE'!$CB$5:$CN$104,'#BerechnungDBE'!$CH$1,FALSE))</f>
        <v/>
      </c>
      <c r="I57" s="1460" t="str">
        <f>IF($A57="","",VLOOKUP($A57,'#BerechnungDBE'!$CB$5:$CN$104,'#BerechnungDBE'!$CJ$1,FALSE))</f>
        <v/>
      </c>
      <c r="J57" s="1460" t="str">
        <f>IF($A57="","",VLOOKUP($A57,'#BerechnungDBE'!$CB$5:$CN$104,'#BerechnungDBE'!$CK$1,FALSE))</f>
        <v/>
      </c>
      <c r="K57" s="1460" t="str">
        <f>IF($A57="","",VLOOKUP($A57,'#BerechnungDBE'!$CB$5:$CN$104,'#BerechnungDBE'!$CM$1,FALSE))</f>
        <v/>
      </c>
      <c r="L57" s="1460" t="str">
        <f>IF($A57="","",VLOOKUP($A57,'#BerechnungDBE'!$CB$5:$CS$104,'#BerechnungDBE'!$CP$1,FALSE))</f>
        <v/>
      </c>
      <c r="M57" s="1460" t="str">
        <f>IF($A57="","",VLOOKUP($A57,'#BerechnungDBE'!$CB$5:$CR$104,'#BerechnungDBE'!$CR$1,FALSE))</f>
        <v/>
      </c>
      <c r="N57" s="1460" t="str">
        <f>IF($A57="","",ROUNDDOWN(VLOOKUP($A57,'#BerechnungDBE'!$CB$5:$CT$104,'#BerechnungDBE'!$CT$1,FALSE),0))</f>
        <v/>
      </c>
      <c r="O57" s="1460" t="str">
        <f t="shared" si="0"/>
        <v/>
      </c>
      <c r="P57" s="1461" t="str">
        <f>IF($A57="","",VLOOKUP($A57,'#BerechnungDBE'!$CB$5:$CU$104,'#BerechnungDBE'!$CU$1,FALSE))</f>
        <v/>
      </c>
      <c r="Q57" s="890" t="str">
        <f t="shared" si="1"/>
        <v/>
      </c>
    </row>
    <row r="58" spans="1:17" s="875" customFormat="1" ht="15" customHeight="1" x14ac:dyDescent="0.2">
      <c r="A58" s="1458" t="str">
        <f>IF(SMALL('#BerechnungDBE'!$CB$5:$CB$104,'Flächen u. Kulturen'!A57)=1000,"",SMALL('#BerechnungDBE'!$CB$5:$CB$104,'Flächen u. Kulturen'!A57))</f>
        <v/>
      </c>
      <c r="B58" s="1255" t="str">
        <f>IF($A58="","",VLOOKUP($A58,'Flächen u. Kulturen'!$A$10:$D$109,'Flächen u. Kulturen'!C$1,FALSE))</f>
        <v/>
      </c>
      <c r="C58" s="1255" t="str">
        <f>IF($A58="","",VLOOKUP($A58,'Flächen u. Kulturen'!$A$10:$Z$109,'Flächen u. Kulturen'!B$1,FALSE))</f>
        <v/>
      </c>
      <c r="D58" s="1255" t="str">
        <f>IF($A58="","",VLOOKUP($A58,'DBE - N'!$A$12:$D$111,4,FALSE))</f>
        <v/>
      </c>
      <c r="E58" s="1459" t="str">
        <f>IF($A58="","",VLOOKUP($A58,'Flächen u. Kulturen'!$A$10:$Z$109,'Flächen u. Kulturen'!D$1,FALSE))</f>
        <v/>
      </c>
      <c r="F58" s="1255" t="str">
        <f>IF($A58="","",VLOOKUP($A58,'Flächen u. Kulturen'!$A$10:$V$109,'Flächen u. Kulturen'!L$1,FALSE))</f>
        <v/>
      </c>
      <c r="G58" s="1460" t="str">
        <f>IF($A58="","",VLOOKUP($A58,'Flächen u. Kulturen'!$A$10:$V$109,'Flächen u. Kulturen'!O$1,FALSE))</f>
        <v/>
      </c>
      <c r="H58" s="1460" t="str">
        <f>IF($A58="","",VLOOKUP($A58,'#BerechnungDBE'!$CB$5:$CN$104,'#BerechnungDBE'!$CH$1,FALSE))</f>
        <v/>
      </c>
      <c r="I58" s="1460" t="str">
        <f>IF($A58="","",VLOOKUP($A58,'#BerechnungDBE'!$CB$5:$CN$104,'#BerechnungDBE'!$CJ$1,FALSE))</f>
        <v/>
      </c>
      <c r="J58" s="1460" t="str">
        <f>IF($A58="","",VLOOKUP($A58,'#BerechnungDBE'!$CB$5:$CN$104,'#BerechnungDBE'!$CK$1,FALSE))</f>
        <v/>
      </c>
      <c r="K58" s="1460" t="str">
        <f>IF($A58="","",VLOOKUP($A58,'#BerechnungDBE'!$CB$5:$CN$104,'#BerechnungDBE'!$CM$1,FALSE))</f>
        <v/>
      </c>
      <c r="L58" s="1460" t="str">
        <f>IF($A58="","",VLOOKUP($A58,'#BerechnungDBE'!$CB$5:$CS$104,'#BerechnungDBE'!$CP$1,FALSE))</f>
        <v/>
      </c>
      <c r="M58" s="1460" t="str">
        <f>IF($A58="","",VLOOKUP($A58,'#BerechnungDBE'!$CB$5:$CR$104,'#BerechnungDBE'!$CR$1,FALSE))</f>
        <v/>
      </c>
      <c r="N58" s="1460" t="str">
        <f>IF($A58="","",ROUNDDOWN(VLOOKUP($A58,'#BerechnungDBE'!$CB$5:$CT$104,'#BerechnungDBE'!$CT$1,FALSE),0))</f>
        <v/>
      </c>
      <c r="O58" s="1460" t="str">
        <f t="shared" si="0"/>
        <v/>
      </c>
      <c r="P58" s="1461" t="str">
        <f>IF($A58="","",VLOOKUP($A58,'#BerechnungDBE'!$CB$5:$CU$104,'#BerechnungDBE'!$CU$1,FALSE))</f>
        <v/>
      </c>
      <c r="Q58" s="890" t="str">
        <f t="shared" si="1"/>
        <v/>
      </c>
    </row>
    <row r="59" spans="1:17" s="875" customFormat="1" ht="15" customHeight="1" x14ac:dyDescent="0.2">
      <c r="A59" s="1458" t="str">
        <f>IF(SMALL('#BerechnungDBE'!$CB$5:$CB$104,'Flächen u. Kulturen'!A58)=1000,"",SMALL('#BerechnungDBE'!$CB$5:$CB$104,'Flächen u. Kulturen'!A58))</f>
        <v/>
      </c>
      <c r="B59" s="1255" t="str">
        <f>IF($A59="","",VLOOKUP($A59,'Flächen u. Kulturen'!$A$10:$D$109,'Flächen u. Kulturen'!C$1,FALSE))</f>
        <v/>
      </c>
      <c r="C59" s="1255" t="str">
        <f>IF($A59="","",VLOOKUP($A59,'Flächen u. Kulturen'!$A$10:$Z$109,'Flächen u. Kulturen'!B$1,FALSE))</f>
        <v/>
      </c>
      <c r="D59" s="1255" t="str">
        <f>IF($A59="","",VLOOKUP($A59,'DBE - N'!$A$12:$D$111,4,FALSE))</f>
        <v/>
      </c>
      <c r="E59" s="1459" t="str">
        <f>IF($A59="","",VLOOKUP($A59,'Flächen u. Kulturen'!$A$10:$Z$109,'Flächen u. Kulturen'!D$1,FALSE))</f>
        <v/>
      </c>
      <c r="F59" s="1255" t="str">
        <f>IF($A59="","",VLOOKUP($A59,'Flächen u. Kulturen'!$A$10:$V$109,'Flächen u. Kulturen'!L$1,FALSE))</f>
        <v/>
      </c>
      <c r="G59" s="1460" t="str">
        <f>IF($A59="","",VLOOKUP($A59,'Flächen u. Kulturen'!$A$10:$V$109,'Flächen u. Kulturen'!O$1,FALSE))</f>
        <v/>
      </c>
      <c r="H59" s="1460" t="str">
        <f>IF($A59="","",VLOOKUP($A59,'#BerechnungDBE'!$CB$5:$CN$104,'#BerechnungDBE'!$CH$1,FALSE))</f>
        <v/>
      </c>
      <c r="I59" s="1460" t="str">
        <f>IF($A59="","",VLOOKUP($A59,'#BerechnungDBE'!$CB$5:$CN$104,'#BerechnungDBE'!$CJ$1,FALSE))</f>
        <v/>
      </c>
      <c r="J59" s="1460" t="str">
        <f>IF($A59="","",VLOOKUP($A59,'#BerechnungDBE'!$CB$5:$CN$104,'#BerechnungDBE'!$CK$1,FALSE))</f>
        <v/>
      </c>
      <c r="K59" s="1460" t="str">
        <f>IF($A59="","",VLOOKUP($A59,'#BerechnungDBE'!$CB$5:$CN$104,'#BerechnungDBE'!$CM$1,FALSE))</f>
        <v/>
      </c>
      <c r="L59" s="1460" t="str">
        <f>IF($A59="","",VLOOKUP($A59,'#BerechnungDBE'!$CB$5:$CS$104,'#BerechnungDBE'!$CP$1,FALSE))</f>
        <v/>
      </c>
      <c r="M59" s="1460" t="str">
        <f>IF($A59="","",VLOOKUP($A59,'#BerechnungDBE'!$CB$5:$CR$104,'#BerechnungDBE'!$CR$1,FALSE))</f>
        <v/>
      </c>
      <c r="N59" s="1460" t="str">
        <f>IF($A59="","",ROUNDDOWN(VLOOKUP($A59,'#BerechnungDBE'!$CB$5:$CT$104,'#BerechnungDBE'!$CT$1,FALSE),0))</f>
        <v/>
      </c>
      <c r="O59" s="1460" t="str">
        <f t="shared" si="0"/>
        <v/>
      </c>
      <c r="P59" s="1461" t="str">
        <f>IF($A59="","",VLOOKUP($A59,'#BerechnungDBE'!$CB$5:$CU$104,'#BerechnungDBE'!$CU$1,FALSE))</f>
        <v/>
      </c>
      <c r="Q59" s="890" t="str">
        <f t="shared" si="1"/>
        <v/>
      </c>
    </row>
    <row r="60" spans="1:17" s="875" customFormat="1" ht="15" customHeight="1" x14ac:dyDescent="0.2">
      <c r="A60" s="1458" t="str">
        <f>IF(SMALL('#BerechnungDBE'!$CB$5:$CB$104,'Flächen u. Kulturen'!A59)=1000,"",SMALL('#BerechnungDBE'!$CB$5:$CB$104,'Flächen u. Kulturen'!A59))</f>
        <v/>
      </c>
      <c r="B60" s="1255" t="str">
        <f>IF($A60="","",VLOOKUP($A60,'Flächen u. Kulturen'!$A$10:$D$109,'Flächen u. Kulturen'!C$1,FALSE))</f>
        <v/>
      </c>
      <c r="C60" s="1255" t="str">
        <f>IF($A60="","",VLOOKUP($A60,'Flächen u. Kulturen'!$A$10:$Z$109,'Flächen u. Kulturen'!B$1,FALSE))</f>
        <v/>
      </c>
      <c r="D60" s="1255" t="str">
        <f>IF($A60="","",VLOOKUP($A60,'DBE - N'!$A$12:$D$111,4,FALSE))</f>
        <v/>
      </c>
      <c r="E60" s="1459" t="str">
        <f>IF($A60="","",VLOOKUP($A60,'Flächen u. Kulturen'!$A$10:$Z$109,'Flächen u. Kulturen'!D$1,FALSE))</f>
        <v/>
      </c>
      <c r="F60" s="1255" t="str">
        <f>IF($A60="","",VLOOKUP($A60,'Flächen u. Kulturen'!$A$10:$V$109,'Flächen u. Kulturen'!L$1,FALSE))</f>
        <v/>
      </c>
      <c r="G60" s="1460" t="str">
        <f>IF($A60="","",VLOOKUP($A60,'Flächen u. Kulturen'!$A$10:$V$109,'Flächen u. Kulturen'!O$1,FALSE))</f>
        <v/>
      </c>
      <c r="H60" s="1460" t="str">
        <f>IF($A60="","",VLOOKUP($A60,'#BerechnungDBE'!$CB$5:$CN$104,'#BerechnungDBE'!$CH$1,FALSE))</f>
        <v/>
      </c>
      <c r="I60" s="1460" t="str">
        <f>IF($A60="","",VLOOKUP($A60,'#BerechnungDBE'!$CB$5:$CN$104,'#BerechnungDBE'!$CJ$1,FALSE))</f>
        <v/>
      </c>
      <c r="J60" s="1460" t="str">
        <f>IF($A60="","",VLOOKUP($A60,'#BerechnungDBE'!$CB$5:$CN$104,'#BerechnungDBE'!$CK$1,FALSE))</f>
        <v/>
      </c>
      <c r="K60" s="1460" t="str">
        <f>IF($A60="","",VLOOKUP($A60,'#BerechnungDBE'!$CB$5:$CN$104,'#BerechnungDBE'!$CM$1,FALSE))</f>
        <v/>
      </c>
      <c r="L60" s="1460" t="str">
        <f>IF($A60="","",VLOOKUP($A60,'#BerechnungDBE'!$CB$5:$CS$104,'#BerechnungDBE'!$CP$1,FALSE))</f>
        <v/>
      </c>
      <c r="M60" s="1460" t="str">
        <f>IF($A60="","",VLOOKUP($A60,'#BerechnungDBE'!$CB$5:$CR$104,'#BerechnungDBE'!$CR$1,FALSE))</f>
        <v/>
      </c>
      <c r="N60" s="1460" t="str">
        <f>IF($A60="","",ROUNDDOWN(VLOOKUP($A60,'#BerechnungDBE'!$CB$5:$CT$104,'#BerechnungDBE'!$CT$1,FALSE),0))</f>
        <v/>
      </c>
      <c r="O60" s="1460" t="str">
        <f t="shared" si="0"/>
        <v/>
      </c>
      <c r="P60" s="1461" t="str">
        <f>IF($A60="","",VLOOKUP($A60,'#BerechnungDBE'!$CB$5:$CU$104,'#BerechnungDBE'!$CU$1,FALSE))</f>
        <v/>
      </c>
      <c r="Q60" s="890" t="str">
        <f t="shared" si="1"/>
        <v/>
      </c>
    </row>
    <row r="61" spans="1:17" s="875" customFormat="1" ht="15" customHeight="1" x14ac:dyDescent="0.2">
      <c r="A61" s="1458" t="str">
        <f>IF(SMALL('#BerechnungDBE'!$CB$5:$CB$104,'Flächen u. Kulturen'!A60)=1000,"",SMALL('#BerechnungDBE'!$CB$5:$CB$104,'Flächen u. Kulturen'!A60))</f>
        <v/>
      </c>
      <c r="B61" s="1255" t="str">
        <f>IF($A61="","",VLOOKUP($A61,'Flächen u. Kulturen'!$A$10:$D$109,'Flächen u. Kulturen'!C$1,FALSE))</f>
        <v/>
      </c>
      <c r="C61" s="1255" t="str">
        <f>IF($A61="","",VLOOKUP($A61,'Flächen u. Kulturen'!$A$10:$Z$109,'Flächen u. Kulturen'!B$1,FALSE))</f>
        <v/>
      </c>
      <c r="D61" s="1255" t="str">
        <f>IF($A61="","",VLOOKUP($A61,'DBE - N'!$A$12:$D$111,4,FALSE))</f>
        <v/>
      </c>
      <c r="E61" s="1459" t="str">
        <f>IF($A61="","",VLOOKUP($A61,'Flächen u. Kulturen'!$A$10:$Z$109,'Flächen u. Kulturen'!D$1,FALSE))</f>
        <v/>
      </c>
      <c r="F61" s="1255" t="str">
        <f>IF($A61="","",VLOOKUP($A61,'Flächen u. Kulturen'!$A$10:$V$109,'Flächen u. Kulturen'!L$1,FALSE))</f>
        <v/>
      </c>
      <c r="G61" s="1460" t="str">
        <f>IF($A61="","",VLOOKUP($A61,'Flächen u. Kulturen'!$A$10:$V$109,'Flächen u. Kulturen'!O$1,FALSE))</f>
        <v/>
      </c>
      <c r="H61" s="1460" t="str">
        <f>IF($A61="","",VLOOKUP($A61,'#BerechnungDBE'!$CB$5:$CN$104,'#BerechnungDBE'!$CH$1,FALSE))</f>
        <v/>
      </c>
      <c r="I61" s="1460" t="str">
        <f>IF($A61="","",VLOOKUP($A61,'#BerechnungDBE'!$CB$5:$CN$104,'#BerechnungDBE'!$CJ$1,FALSE))</f>
        <v/>
      </c>
      <c r="J61" s="1460" t="str">
        <f>IF($A61="","",VLOOKUP($A61,'#BerechnungDBE'!$CB$5:$CN$104,'#BerechnungDBE'!$CK$1,FALSE))</f>
        <v/>
      </c>
      <c r="K61" s="1460" t="str">
        <f>IF($A61="","",VLOOKUP($A61,'#BerechnungDBE'!$CB$5:$CN$104,'#BerechnungDBE'!$CM$1,FALSE))</f>
        <v/>
      </c>
      <c r="L61" s="1460" t="str">
        <f>IF($A61="","",VLOOKUP($A61,'#BerechnungDBE'!$CB$5:$CS$104,'#BerechnungDBE'!$CP$1,FALSE))</f>
        <v/>
      </c>
      <c r="M61" s="1460" t="str">
        <f>IF($A61="","",VLOOKUP($A61,'#BerechnungDBE'!$CB$5:$CR$104,'#BerechnungDBE'!$CR$1,FALSE))</f>
        <v/>
      </c>
      <c r="N61" s="1460" t="str">
        <f>IF($A61="","",ROUNDDOWN(VLOOKUP($A61,'#BerechnungDBE'!$CB$5:$CT$104,'#BerechnungDBE'!$CT$1,FALSE),0))</f>
        <v/>
      </c>
      <c r="O61" s="1460" t="str">
        <f t="shared" si="0"/>
        <v/>
      </c>
      <c r="P61" s="1461" t="str">
        <f>IF($A61="","",VLOOKUP($A61,'#BerechnungDBE'!$CB$5:$CU$104,'#BerechnungDBE'!$CU$1,FALSE))</f>
        <v/>
      </c>
      <c r="Q61" s="890" t="str">
        <f t="shared" si="1"/>
        <v/>
      </c>
    </row>
    <row r="62" spans="1:17" s="875" customFormat="1" ht="15" customHeight="1" x14ac:dyDescent="0.2">
      <c r="A62" s="1458" t="str">
        <f>IF(SMALL('#BerechnungDBE'!$CB$5:$CB$104,'Flächen u. Kulturen'!A61)=1000,"",SMALL('#BerechnungDBE'!$CB$5:$CB$104,'Flächen u. Kulturen'!A61))</f>
        <v/>
      </c>
      <c r="B62" s="1255" t="str">
        <f>IF($A62="","",VLOOKUP($A62,'Flächen u. Kulturen'!$A$10:$D$109,'Flächen u. Kulturen'!C$1,FALSE))</f>
        <v/>
      </c>
      <c r="C62" s="1255" t="str">
        <f>IF($A62="","",VLOOKUP($A62,'Flächen u. Kulturen'!$A$10:$Z$109,'Flächen u. Kulturen'!B$1,FALSE))</f>
        <v/>
      </c>
      <c r="D62" s="1255" t="str">
        <f>IF($A62="","",VLOOKUP($A62,'DBE - N'!$A$12:$D$111,4,FALSE))</f>
        <v/>
      </c>
      <c r="E62" s="1459" t="str">
        <f>IF($A62="","",VLOOKUP($A62,'Flächen u. Kulturen'!$A$10:$Z$109,'Flächen u. Kulturen'!D$1,FALSE))</f>
        <v/>
      </c>
      <c r="F62" s="1255" t="str">
        <f>IF($A62="","",VLOOKUP($A62,'Flächen u. Kulturen'!$A$10:$V$109,'Flächen u. Kulturen'!L$1,FALSE))</f>
        <v/>
      </c>
      <c r="G62" s="1460" t="str">
        <f>IF($A62="","",VLOOKUP($A62,'Flächen u. Kulturen'!$A$10:$V$109,'Flächen u. Kulturen'!O$1,FALSE))</f>
        <v/>
      </c>
      <c r="H62" s="1460" t="str">
        <f>IF($A62="","",VLOOKUP($A62,'#BerechnungDBE'!$CB$5:$CN$104,'#BerechnungDBE'!$CH$1,FALSE))</f>
        <v/>
      </c>
      <c r="I62" s="1460" t="str">
        <f>IF($A62="","",VLOOKUP($A62,'#BerechnungDBE'!$CB$5:$CN$104,'#BerechnungDBE'!$CJ$1,FALSE))</f>
        <v/>
      </c>
      <c r="J62" s="1460" t="str">
        <f>IF($A62="","",VLOOKUP($A62,'#BerechnungDBE'!$CB$5:$CN$104,'#BerechnungDBE'!$CK$1,FALSE))</f>
        <v/>
      </c>
      <c r="K62" s="1460" t="str">
        <f>IF($A62="","",VLOOKUP($A62,'#BerechnungDBE'!$CB$5:$CN$104,'#BerechnungDBE'!$CM$1,FALSE))</f>
        <v/>
      </c>
      <c r="L62" s="1460" t="str">
        <f>IF($A62="","",VLOOKUP($A62,'#BerechnungDBE'!$CB$5:$CS$104,'#BerechnungDBE'!$CP$1,FALSE))</f>
        <v/>
      </c>
      <c r="M62" s="1460" t="str">
        <f>IF($A62="","",VLOOKUP($A62,'#BerechnungDBE'!$CB$5:$CR$104,'#BerechnungDBE'!$CR$1,FALSE))</f>
        <v/>
      </c>
      <c r="N62" s="1460" t="str">
        <f>IF($A62="","",ROUNDDOWN(VLOOKUP($A62,'#BerechnungDBE'!$CB$5:$CT$104,'#BerechnungDBE'!$CT$1,FALSE),0))</f>
        <v/>
      </c>
      <c r="O62" s="1460" t="str">
        <f t="shared" si="0"/>
        <v/>
      </c>
      <c r="P62" s="1461" t="str">
        <f>IF($A62="","",VLOOKUP($A62,'#BerechnungDBE'!$CB$5:$CU$104,'#BerechnungDBE'!$CU$1,FALSE))</f>
        <v/>
      </c>
      <c r="Q62" s="890" t="str">
        <f t="shared" si="1"/>
        <v/>
      </c>
    </row>
    <row r="63" spans="1:17" s="875" customFormat="1" ht="15" customHeight="1" x14ac:dyDescent="0.2">
      <c r="A63" s="1458" t="str">
        <f>IF(SMALL('#BerechnungDBE'!$CB$5:$CB$104,'Flächen u. Kulturen'!A62)=1000,"",SMALL('#BerechnungDBE'!$CB$5:$CB$104,'Flächen u. Kulturen'!A62))</f>
        <v/>
      </c>
      <c r="B63" s="1255" t="str">
        <f>IF($A63="","",VLOOKUP($A63,'Flächen u. Kulturen'!$A$10:$D$109,'Flächen u. Kulturen'!C$1,FALSE))</f>
        <v/>
      </c>
      <c r="C63" s="1255" t="str">
        <f>IF($A63="","",VLOOKUP($A63,'Flächen u. Kulturen'!$A$10:$Z$109,'Flächen u. Kulturen'!B$1,FALSE))</f>
        <v/>
      </c>
      <c r="D63" s="1255" t="str">
        <f>IF($A63="","",VLOOKUP($A63,'DBE - N'!$A$12:$D$111,4,FALSE))</f>
        <v/>
      </c>
      <c r="E63" s="1459" t="str">
        <f>IF($A63="","",VLOOKUP($A63,'Flächen u. Kulturen'!$A$10:$Z$109,'Flächen u. Kulturen'!D$1,FALSE))</f>
        <v/>
      </c>
      <c r="F63" s="1255" t="str">
        <f>IF($A63="","",VLOOKUP($A63,'Flächen u. Kulturen'!$A$10:$V$109,'Flächen u. Kulturen'!L$1,FALSE))</f>
        <v/>
      </c>
      <c r="G63" s="1460" t="str">
        <f>IF($A63="","",VLOOKUP($A63,'Flächen u. Kulturen'!$A$10:$V$109,'Flächen u. Kulturen'!O$1,FALSE))</f>
        <v/>
      </c>
      <c r="H63" s="1460" t="str">
        <f>IF($A63="","",VLOOKUP($A63,'#BerechnungDBE'!$CB$5:$CN$104,'#BerechnungDBE'!$CH$1,FALSE))</f>
        <v/>
      </c>
      <c r="I63" s="1460" t="str">
        <f>IF($A63="","",VLOOKUP($A63,'#BerechnungDBE'!$CB$5:$CN$104,'#BerechnungDBE'!$CJ$1,FALSE))</f>
        <v/>
      </c>
      <c r="J63" s="1460" t="str">
        <f>IF($A63="","",VLOOKUP($A63,'#BerechnungDBE'!$CB$5:$CN$104,'#BerechnungDBE'!$CK$1,FALSE))</f>
        <v/>
      </c>
      <c r="K63" s="1460" t="str">
        <f>IF($A63="","",VLOOKUP($A63,'#BerechnungDBE'!$CB$5:$CN$104,'#BerechnungDBE'!$CM$1,FALSE))</f>
        <v/>
      </c>
      <c r="L63" s="1460" t="str">
        <f>IF($A63="","",VLOOKUP($A63,'#BerechnungDBE'!$CB$5:$CS$104,'#BerechnungDBE'!$CP$1,FALSE))</f>
        <v/>
      </c>
      <c r="M63" s="1460" t="str">
        <f>IF($A63="","",VLOOKUP($A63,'#BerechnungDBE'!$CB$5:$CR$104,'#BerechnungDBE'!$CR$1,FALSE))</f>
        <v/>
      </c>
      <c r="N63" s="1460" t="str">
        <f>IF($A63="","",ROUNDDOWN(VLOOKUP($A63,'#BerechnungDBE'!$CB$5:$CT$104,'#BerechnungDBE'!$CT$1,FALSE),0))</f>
        <v/>
      </c>
      <c r="O63" s="1460" t="str">
        <f t="shared" si="0"/>
        <v/>
      </c>
      <c r="P63" s="1461" t="str">
        <f>IF($A63="","",VLOOKUP($A63,'#BerechnungDBE'!$CB$5:$CU$104,'#BerechnungDBE'!$CU$1,FALSE))</f>
        <v/>
      </c>
      <c r="Q63" s="890" t="str">
        <f t="shared" si="1"/>
        <v/>
      </c>
    </row>
    <row r="64" spans="1:17" s="875" customFormat="1" ht="15" customHeight="1" x14ac:dyDescent="0.2">
      <c r="A64" s="1458" t="str">
        <f>IF(SMALL('#BerechnungDBE'!$CB$5:$CB$104,'Flächen u. Kulturen'!A63)=1000,"",SMALL('#BerechnungDBE'!$CB$5:$CB$104,'Flächen u. Kulturen'!A63))</f>
        <v/>
      </c>
      <c r="B64" s="1255" t="str">
        <f>IF($A64="","",VLOOKUP($A64,'Flächen u. Kulturen'!$A$10:$D$109,'Flächen u. Kulturen'!C$1,FALSE))</f>
        <v/>
      </c>
      <c r="C64" s="1255" t="str">
        <f>IF($A64="","",VLOOKUP($A64,'Flächen u. Kulturen'!$A$10:$Z$109,'Flächen u. Kulturen'!B$1,FALSE))</f>
        <v/>
      </c>
      <c r="D64" s="1255" t="str">
        <f>IF($A64="","",VLOOKUP($A64,'DBE - N'!$A$12:$D$111,4,FALSE))</f>
        <v/>
      </c>
      <c r="E64" s="1459" t="str">
        <f>IF($A64="","",VLOOKUP($A64,'Flächen u. Kulturen'!$A$10:$Z$109,'Flächen u. Kulturen'!D$1,FALSE))</f>
        <v/>
      </c>
      <c r="F64" s="1255" t="str">
        <f>IF($A64="","",VLOOKUP($A64,'Flächen u. Kulturen'!$A$10:$V$109,'Flächen u. Kulturen'!L$1,FALSE))</f>
        <v/>
      </c>
      <c r="G64" s="1460" t="str">
        <f>IF($A64="","",VLOOKUP($A64,'Flächen u. Kulturen'!$A$10:$V$109,'Flächen u. Kulturen'!O$1,FALSE))</f>
        <v/>
      </c>
      <c r="H64" s="1460" t="str">
        <f>IF($A64="","",VLOOKUP($A64,'#BerechnungDBE'!$CB$5:$CN$104,'#BerechnungDBE'!$CH$1,FALSE))</f>
        <v/>
      </c>
      <c r="I64" s="1460" t="str">
        <f>IF($A64="","",VLOOKUP($A64,'#BerechnungDBE'!$CB$5:$CN$104,'#BerechnungDBE'!$CJ$1,FALSE))</f>
        <v/>
      </c>
      <c r="J64" s="1460" t="str">
        <f>IF($A64="","",VLOOKUP($A64,'#BerechnungDBE'!$CB$5:$CN$104,'#BerechnungDBE'!$CK$1,FALSE))</f>
        <v/>
      </c>
      <c r="K64" s="1460" t="str">
        <f>IF($A64="","",VLOOKUP($A64,'#BerechnungDBE'!$CB$5:$CN$104,'#BerechnungDBE'!$CM$1,FALSE))</f>
        <v/>
      </c>
      <c r="L64" s="1460" t="str">
        <f>IF($A64="","",VLOOKUP($A64,'#BerechnungDBE'!$CB$5:$CS$104,'#BerechnungDBE'!$CP$1,FALSE))</f>
        <v/>
      </c>
      <c r="M64" s="1460" t="str">
        <f>IF($A64="","",VLOOKUP($A64,'#BerechnungDBE'!$CB$5:$CR$104,'#BerechnungDBE'!$CR$1,FALSE))</f>
        <v/>
      </c>
      <c r="N64" s="1460" t="str">
        <f>IF($A64="","",ROUNDDOWN(VLOOKUP($A64,'#BerechnungDBE'!$CB$5:$CT$104,'#BerechnungDBE'!$CT$1,FALSE),0))</f>
        <v/>
      </c>
      <c r="O64" s="1460" t="str">
        <f t="shared" si="0"/>
        <v/>
      </c>
      <c r="P64" s="1461" t="str">
        <f>IF($A64="","",VLOOKUP($A64,'#BerechnungDBE'!$CB$5:$CU$104,'#BerechnungDBE'!$CU$1,FALSE))</f>
        <v/>
      </c>
      <c r="Q64" s="890" t="str">
        <f t="shared" si="1"/>
        <v/>
      </c>
    </row>
    <row r="65" spans="1:17" s="875" customFormat="1" ht="15" customHeight="1" x14ac:dyDescent="0.2">
      <c r="A65" s="1458" t="str">
        <f>IF(SMALL('#BerechnungDBE'!$CB$5:$CB$104,'Flächen u. Kulturen'!A64)=1000,"",SMALL('#BerechnungDBE'!$CB$5:$CB$104,'Flächen u. Kulturen'!A64))</f>
        <v/>
      </c>
      <c r="B65" s="1255" t="str">
        <f>IF($A65="","",VLOOKUP($A65,'Flächen u. Kulturen'!$A$10:$D$109,'Flächen u. Kulturen'!C$1,FALSE))</f>
        <v/>
      </c>
      <c r="C65" s="1255" t="str">
        <f>IF($A65="","",VLOOKUP($A65,'Flächen u. Kulturen'!$A$10:$Z$109,'Flächen u. Kulturen'!B$1,FALSE))</f>
        <v/>
      </c>
      <c r="D65" s="1255" t="str">
        <f>IF($A65="","",VLOOKUP($A65,'DBE - N'!$A$12:$D$111,4,FALSE))</f>
        <v/>
      </c>
      <c r="E65" s="1459" t="str">
        <f>IF($A65="","",VLOOKUP($A65,'Flächen u. Kulturen'!$A$10:$Z$109,'Flächen u. Kulturen'!D$1,FALSE))</f>
        <v/>
      </c>
      <c r="F65" s="1255" t="str">
        <f>IF($A65="","",VLOOKUP($A65,'Flächen u. Kulturen'!$A$10:$V$109,'Flächen u. Kulturen'!L$1,FALSE))</f>
        <v/>
      </c>
      <c r="G65" s="1460" t="str">
        <f>IF($A65="","",VLOOKUP($A65,'Flächen u. Kulturen'!$A$10:$V$109,'Flächen u. Kulturen'!O$1,FALSE))</f>
        <v/>
      </c>
      <c r="H65" s="1460" t="str">
        <f>IF($A65="","",VLOOKUP($A65,'#BerechnungDBE'!$CB$5:$CN$104,'#BerechnungDBE'!$CH$1,FALSE))</f>
        <v/>
      </c>
      <c r="I65" s="1460" t="str">
        <f>IF($A65="","",VLOOKUP($A65,'#BerechnungDBE'!$CB$5:$CN$104,'#BerechnungDBE'!$CJ$1,FALSE))</f>
        <v/>
      </c>
      <c r="J65" s="1460" t="str">
        <f>IF($A65="","",VLOOKUP($A65,'#BerechnungDBE'!$CB$5:$CN$104,'#BerechnungDBE'!$CK$1,FALSE))</f>
        <v/>
      </c>
      <c r="K65" s="1460" t="str">
        <f>IF($A65="","",VLOOKUP($A65,'#BerechnungDBE'!$CB$5:$CN$104,'#BerechnungDBE'!$CM$1,FALSE))</f>
        <v/>
      </c>
      <c r="L65" s="1460" t="str">
        <f>IF($A65="","",VLOOKUP($A65,'#BerechnungDBE'!$CB$5:$CS$104,'#BerechnungDBE'!$CP$1,FALSE))</f>
        <v/>
      </c>
      <c r="M65" s="1460" t="str">
        <f>IF($A65="","",VLOOKUP($A65,'#BerechnungDBE'!$CB$5:$CR$104,'#BerechnungDBE'!$CR$1,FALSE))</f>
        <v/>
      </c>
      <c r="N65" s="1460" t="str">
        <f>IF($A65="","",ROUNDDOWN(VLOOKUP($A65,'#BerechnungDBE'!$CB$5:$CT$104,'#BerechnungDBE'!$CT$1,FALSE),0))</f>
        <v/>
      </c>
      <c r="O65" s="1460" t="str">
        <f t="shared" si="0"/>
        <v/>
      </c>
      <c r="P65" s="1461" t="str">
        <f>IF($A65="","",VLOOKUP($A65,'#BerechnungDBE'!$CB$5:$CU$104,'#BerechnungDBE'!$CU$1,FALSE))</f>
        <v/>
      </c>
      <c r="Q65" s="890" t="str">
        <f t="shared" si="1"/>
        <v/>
      </c>
    </row>
    <row r="66" spans="1:17" s="875" customFormat="1" ht="15" customHeight="1" x14ac:dyDescent="0.2">
      <c r="A66" s="1458" t="str">
        <f>IF(SMALL('#BerechnungDBE'!$CB$5:$CB$104,'Flächen u. Kulturen'!A65)=1000,"",SMALL('#BerechnungDBE'!$CB$5:$CB$104,'Flächen u. Kulturen'!A65))</f>
        <v/>
      </c>
      <c r="B66" s="1255" t="str">
        <f>IF($A66="","",VLOOKUP($A66,'Flächen u. Kulturen'!$A$10:$D$109,'Flächen u. Kulturen'!C$1,FALSE))</f>
        <v/>
      </c>
      <c r="C66" s="1255" t="str">
        <f>IF($A66="","",VLOOKUP($A66,'Flächen u. Kulturen'!$A$10:$Z$109,'Flächen u. Kulturen'!B$1,FALSE))</f>
        <v/>
      </c>
      <c r="D66" s="1255" t="str">
        <f>IF($A66="","",VLOOKUP($A66,'DBE - N'!$A$12:$D$111,4,FALSE))</f>
        <v/>
      </c>
      <c r="E66" s="1459" t="str">
        <f>IF($A66="","",VLOOKUP($A66,'Flächen u. Kulturen'!$A$10:$Z$109,'Flächen u. Kulturen'!D$1,FALSE))</f>
        <v/>
      </c>
      <c r="F66" s="1255" t="str">
        <f>IF($A66="","",VLOOKUP($A66,'Flächen u. Kulturen'!$A$10:$V$109,'Flächen u. Kulturen'!L$1,FALSE))</f>
        <v/>
      </c>
      <c r="G66" s="1460" t="str">
        <f>IF($A66="","",VLOOKUP($A66,'Flächen u. Kulturen'!$A$10:$V$109,'Flächen u. Kulturen'!O$1,FALSE))</f>
        <v/>
      </c>
      <c r="H66" s="1460" t="str">
        <f>IF($A66="","",VLOOKUP($A66,'#BerechnungDBE'!$CB$5:$CN$104,'#BerechnungDBE'!$CH$1,FALSE))</f>
        <v/>
      </c>
      <c r="I66" s="1460" t="str">
        <f>IF($A66="","",VLOOKUP($A66,'#BerechnungDBE'!$CB$5:$CN$104,'#BerechnungDBE'!$CJ$1,FALSE))</f>
        <v/>
      </c>
      <c r="J66" s="1460" t="str">
        <f>IF($A66="","",VLOOKUP($A66,'#BerechnungDBE'!$CB$5:$CN$104,'#BerechnungDBE'!$CK$1,FALSE))</f>
        <v/>
      </c>
      <c r="K66" s="1460" t="str">
        <f>IF($A66="","",VLOOKUP($A66,'#BerechnungDBE'!$CB$5:$CN$104,'#BerechnungDBE'!$CM$1,FALSE))</f>
        <v/>
      </c>
      <c r="L66" s="1460" t="str">
        <f>IF($A66="","",VLOOKUP($A66,'#BerechnungDBE'!$CB$5:$CS$104,'#BerechnungDBE'!$CP$1,FALSE))</f>
        <v/>
      </c>
      <c r="M66" s="1460" t="str">
        <f>IF($A66="","",VLOOKUP($A66,'#BerechnungDBE'!$CB$5:$CR$104,'#BerechnungDBE'!$CR$1,FALSE))</f>
        <v/>
      </c>
      <c r="N66" s="1460" t="str">
        <f>IF($A66="","",ROUNDDOWN(VLOOKUP($A66,'#BerechnungDBE'!$CB$5:$CT$104,'#BerechnungDBE'!$CT$1,FALSE),0))</f>
        <v/>
      </c>
      <c r="O66" s="1460" t="str">
        <f t="shared" si="0"/>
        <v/>
      </c>
      <c r="P66" s="1461" t="str">
        <f>IF($A66="","",VLOOKUP($A66,'#BerechnungDBE'!$CB$5:$CU$104,'#BerechnungDBE'!$CU$1,FALSE))</f>
        <v/>
      </c>
      <c r="Q66" s="890" t="str">
        <f t="shared" si="1"/>
        <v/>
      </c>
    </row>
    <row r="67" spans="1:17" s="875" customFormat="1" ht="15" customHeight="1" x14ac:dyDescent="0.2">
      <c r="A67" s="1458" t="str">
        <f>IF(SMALL('#BerechnungDBE'!$CB$5:$CB$104,'Flächen u. Kulturen'!A66)=1000,"",SMALL('#BerechnungDBE'!$CB$5:$CB$104,'Flächen u. Kulturen'!A66))</f>
        <v/>
      </c>
      <c r="B67" s="1255" t="str">
        <f>IF($A67="","",VLOOKUP($A67,'Flächen u. Kulturen'!$A$10:$D$109,'Flächen u. Kulturen'!C$1,FALSE))</f>
        <v/>
      </c>
      <c r="C67" s="1255" t="str">
        <f>IF($A67="","",VLOOKUP($A67,'Flächen u. Kulturen'!$A$10:$Z$109,'Flächen u. Kulturen'!B$1,FALSE))</f>
        <v/>
      </c>
      <c r="D67" s="1255" t="str">
        <f>IF($A67="","",VLOOKUP($A67,'DBE - N'!$A$12:$D$111,4,FALSE))</f>
        <v/>
      </c>
      <c r="E67" s="1459" t="str">
        <f>IF($A67="","",VLOOKUP($A67,'Flächen u. Kulturen'!$A$10:$Z$109,'Flächen u. Kulturen'!D$1,FALSE))</f>
        <v/>
      </c>
      <c r="F67" s="1255" t="str">
        <f>IF($A67="","",VLOOKUP($A67,'Flächen u. Kulturen'!$A$10:$V$109,'Flächen u. Kulturen'!L$1,FALSE))</f>
        <v/>
      </c>
      <c r="G67" s="1460" t="str">
        <f>IF($A67="","",VLOOKUP($A67,'Flächen u. Kulturen'!$A$10:$V$109,'Flächen u. Kulturen'!O$1,FALSE))</f>
        <v/>
      </c>
      <c r="H67" s="1460" t="str">
        <f>IF($A67="","",VLOOKUP($A67,'#BerechnungDBE'!$CB$5:$CN$104,'#BerechnungDBE'!$CH$1,FALSE))</f>
        <v/>
      </c>
      <c r="I67" s="1460" t="str">
        <f>IF($A67="","",VLOOKUP($A67,'#BerechnungDBE'!$CB$5:$CN$104,'#BerechnungDBE'!$CJ$1,FALSE))</f>
        <v/>
      </c>
      <c r="J67" s="1460" t="str">
        <f>IF($A67="","",VLOOKUP($A67,'#BerechnungDBE'!$CB$5:$CN$104,'#BerechnungDBE'!$CK$1,FALSE))</f>
        <v/>
      </c>
      <c r="K67" s="1460" t="str">
        <f>IF($A67="","",VLOOKUP($A67,'#BerechnungDBE'!$CB$5:$CN$104,'#BerechnungDBE'!$CM$1,FALSE))</f>
        <v/>
      </c>
      <c r="L67" s="1460" t="str">
        <f>IF($A67="","",VLOOKUP($A67,'#BerechnungDBE'!$CB$5:$CS$104,'#BerechnungDBE'!$CP$1,FALSE))</f>
        <v/>
      </c>
      <c r="M67" s="1460" t="str">
        <f>IF($A67="","",VLOOKUP($A67,'#BerechnungDBE'!$CB$5:$CR$104,'#BerechnungDBE'!$CR$1,FALSE))</f>
        <v/>
      </c>
      <c r="N67" s="1460" t="str">
        <f>IF($A67="","",ROUNDDOWN(VLOOKUP($A67,'#BerechnungDBE'!$CB$5:$CT$104,'#BerechnungDBE'!$CT$1,FALSE),0))</f>
        <v/>
      </c>
      <c r="O67" s="1460" t="str">
        <f t="shared" si="0"/>
        <v/>
      </c>
      <c r="P67" s="1461" t="str">
        <f>IF($A67="","",VLOOKUP($A67,'#BerechnungDBE'!$CB$5:$CU$104,'#BerechnungDBE'!$CU$1,FALSE))</f>
        <v/>
      </c>
      <c r="Q67" s="890" t="str">
        <f t="shared" si="1"/>
        <v/>
      </c>
    </row>
    <row r="68" spans="1:17" s="875" customFormat="1" ht="15" customHeight="1" x14ac:dyDescent="0.2">
      <c r="A68" s="1458" t="str">
        <f>IF(SMALL('#BerechnungDBE'!$CB$5:$CB$104,'Flächen u. Kulturen'!A67)=1000,"",SMALL('#BerechnungDBE'!$CB$5:$CB$104,'Flächen u. Kulturen'!A67))</f>
        <v/>
      </c>
      <c r="B68" s="1255" t="str">
        <f>IF($A68="","",VLOOKUP($A68,'Flächen u. Kulturen'!$A$10:$D$109,'Flächen u. Kulturen'!C$1,FALSE))</f>
        <v/>
      </c>
      <c r="C68" s="1255" t="str">
        <f>IF($A68="","",VLOOKUP($A68,'Flächen u. Kulturen'!$A$10:$Z$109,'Flächen u. Kulturen'!B$1,FALSE))</f>
        <v/>
      </c>
      <c r="D68" s="1255" t="str">
        <f>IF($A68="","",VLOOKUP($A68,'DBE - N'!$A$12:$D$111,4,FALSE))</f>
        <v/>
      </c>
      <c r="E68" s="1459" t="str">
        <f>IF($A68="","",VLOOKUP($A68,'Flächen u. Kulturen'!$A$10:$Z$109,'Flächen u. Kulturen'!D$1,FALSE))</f>
        <v/>
      </c>
      <c r="F68" s="1255" t="str">
        <f>IF($A68="","",VLOOKUP($A68,'Flächen u. Kulturen'!$A$10:$V$109,'Flächen u. Kulturen'!L$1,FALSE))</f>
        <v/>
      </c>
      <c r="G68" s="1460" t="str">
        <f>IF($A68="","",VLOOKUP($A68,'Flächen u. Kulturen'!$A$10:$V$109,'Flächen u. Kulturen'!O$1,FALSE))</f>
        <v/>
      </c>
      <c r="H68" s="1460" t="str">
        <f>IF($A68="","",VLOOKUP($A68,'#BerechnungDBE'!$CB$5:$CN$104,'#BerechnungDBE'!$CH$1,FALSE))</f>
        <v/>
      </c>
      <c r="I68" s="1460" t="str">
        <f>IF($A68="","",VLOOKUP($A68,'#BerechnungDBE'!$CB$5:$CN$104,'#BerechnungDBE'!$CJ$1,FALSE))</f>
        <v/>
      </c>
      <c r="J68" s="1460" t="str">
        <f>IF($A68="","",VLOOKUP($A68,'#BerechnungDBE'!$CB$5:$CN$104,'#BerechnungDBE'!$CK$1,FALSE))</f>
        <v/>
      </c>
      <c r="K68" s="1460" t="str">
        <f>IF($A68="","",VLOOKUP($A68,'#BerechnungDBE'!$CB$5:$CN$104,'#BerechnungDBE'!$CM$1,FALSE))</f>
        <v/>
      </c>
      <c r="L68" s="1460" t="str">
        <f>IF($A68="","",VLOOKUP($A68,'#BerechnungDBE'!$CB$5:$CS$104,'#BerechnungDBE'!$CP$1,FALSE))</f>
        <v/>
      </c>
      <c r="M68" s="1460" t="str">
        <f>IF($A68="","",VLOOKUP($A68,'#BerechnungDBE'!$CB$5:$CR$104,'#BerechnungDBE'!$CR$1,FALSE))</f>
        <v/>
      </c>
      <c r="N68" s="1460" t="str">
        <f>IF($A68="","",ROUNDDOWN(VLOOKUP($A68,'#BerechnungDBE'!$CB$5:$CT$104,'#BerechnungDBE'!$CT$1,FALSE),0))</f>
        <v/>
      </c>
      <c r="O68" s="1460" t="str">
        <f t="shared" si="0"/>
        <v/>
      </c>
      <c r="P68" s="1461" t="str">
        <f>IF($A68="","",VLOOKUP($A68,'#BerechnungDBE'!$CB$5:$CU$104,'#BerechnungDBE'!$CU$1,FALSE))</f>
        <v/>
      </c>
      <c r="Q68" s="890" t="str">
        <f t="shared" si="1"/>
        <v/>
      </c>
    </row>
    <row r="69" spans="1:17" s="875" customFormat="1" ht="15" customHeight="1" x14ac:dyDescent="0.2">
      <c r="A69" s="1458" t="str">
        <f>IF(SMALL('#BerechnungDBE'!$CB$5:$CB$104,'Flächen u. Kulturen'!A68)=1000,"",SMALL('#BerechnungDBE'!$CB$5:$CB$104,'Flächen u. Kulturen'!A68))</f>
        <v/>
      </c>
      <c r="B69" s="1255" t="str">
        <f>IF($A69="","",VLOOKUP($A69,'Flächen u. Kulturen'!$A$10:$D$109,'Flächen u. Kulturen'!C$1,FALSE))</f>
        <v/>
      </c>
      <c r="C69" s="1255" t="str">
        <f>IF($A69="","",VLOOKUP($A69,'Flächen u. Kulturen'!$A$10:$Z$109,'Flächen u. Kulturen'!B$1,FALSE))</f>
        <v/>
      </c>
      <c r="D69" s="1255" t="str">
        <f>IF($A69="","",VLOOKUP($A69,'DBE - N'!$A$12:$D$111,4,FALSE))</f>
        <v/>
      </c>
      <c r="E69" s="1459" t="str">
        <f>IF($A69="","",VLOOKUP($A69,'Flächen u. Kulturen'!$A$10:$Z$109,'Flächen u. Kulturen'!D$1,FALSE))</f>
        <v/>
      </c>
      <c r="F69" s="1255" t="str">
        <f>IF($A69="","",VLOOKUP($A69,'Flächen u. Kulturen'!$A$10:$V$109,'Flächen u. Kulturen'!L$1,FALSE))</f>
        <v/>
      </c>
      <c r="G69" s="1460" t="str">
        <f>IF($A69="","",VLOOKUP($A69,'Flächen u. Kulturen'!$A$10:$V$109,'Flächen u. Kulturen'!O$1,FALSE))</f>
        <v/>
      </c>
      <c r="H69" s="1460" t="str">
        <f>IF($A69="","",VLOOKUP($A69,'#BerechnungDBE'!$CB$5:$CN$104,'#BerechnungDBE'!$CH$1,FALSE))</f>
        <v/>
      </c>
      <c r="I69" s="1460" t="str">
        <f>IF($A69="","",VLOOKUP($A69,'#BerechnungDBE'!$CB$5:$CN$104,'#BerechnungDBE'!$CJ$1,FALSE))</f>
        <v/>
      </c>
      <c r="J69" s="1460" t="str">
        <f>IF($A69="","",VLOOKUP($A69,'#BerechnungDBE'!$CB$5:$CN$104,'#BerechnungDBE'!$CK$1,FALSE))</f>
        <v/>
      </c>
      <c r="K69" s="1460" t="str">
        <f>IF($A69="","",VLOOKUP($A69,'#BerechnungDBE'!$CB$5:$CN$104,'#BerechnungDBE'!$CM$1,FALSE))</f>
        <v/>
      </c>
      <c r="L69" s="1460" t="str">
        <f>IF($A69="","",VLOOKUP($A69,'#BerechnungDBE'!$CB$5:$CS$104,'#BerechnungDBE'!$CP$1,FALSE))</f>
        <v/>
      </c>
      <c r="M69" s="1460" t="str">
        <f>IF($A69="","",VLOOKUP($A69,'#BerechnungDBE'!$CB$5:$CR$104,'#BerechnungDBE'!$CR$1,FALSE))</f>
        <v/>
      </c>
      <c r="N69" s="1460" t="str">
        <f>IF($A69="","",ROUNDDOWN(VLOOKUP($A69,'#BerechnungDBE'!$CB$5:$CT$104,'#BerechnungDBE'!$CT$1,FALSE),0))</f>
        <v/>
      </c>
      <c r="O69" s="1460" t="str">
        <f t="shared" si="0"/>
        <v/>
      </c>
      <c r="P69" s="1461" t="str">
        <f>IF($A69="","",VLOOKUP($A69,'#BerechnungDBE'!$CB$5:$CU$104,'#BerechnungDBE'!$CU$1,FALSE))</f>
        <v/>
      </c>
      <c r="Q69" s="890" t="str">
        <f t="shared" si="1"/>
        <v/>
      </c>
    </row>
    <row r="70" spans="1:17" s="875" customFormat="1" ht="15" customHeight="1" x14ac:dyDescent="0.2">
      <c r="A70" s="1458" t="str">
        <f>IF(SMALL('#BerechnungDBE'!$CB$5:$CB$104,'Flächen u. Kulturen'!A69)=1000,"",SMALL('#BerechnungDBE'!$CB$5:$CB$104,'Flächen u. Kulturen'!A69))</f>
        <v/>
      </c>
      <c r="B70" s="1255" t="str">
        <f>IF($A70="","",VLOOKUP($A70,'Flächen u. Kulturen'!$A$10:$D$109,'Flächen u. Kulturen'!C$1,FALSE))</f>
        <v/>
      </c>
      <c r="C70" s="1255" t="str">
        <f>IF($A70="","",VLOOKUP($A70,'Flächen u. Kulturen'!$A$10:$Z$109,'Flächen u. Kulturen'!B$1,FALSE))</f>
        <v/>
      </c>
      <c r="D70" s="1255" t="str">
        <f>IF($A70="","",VLOOKUP($A70,'DBE - N'!$A$12:$D$111,4,FALSE))</f>
        <v/>
      </c>
      <c r="E70" s="1459" t="str">
        <f>IF($A70="","",VLOOKUP($A70,'Flächen u. Kulturen'!$A$10:$Z$109,'Flächen u. Kulturen'!D$1,FALSE))</f>
        <v/>
      </c>
      <c r="F70" s="1255" t="str">
        <f>IF($A70="","",VLOOKUP($A70,'Flächen u. Kulturen'!$A$10:$V$109,'Flächen u. Kulturen'!L$1,FALSE))</f>
        <v/>
      </c>
      <c r="G70" s="1460" t="str">
        <f>IF($A70="","",VLOOKUP($A70,'Flächen u. Kulturen'!$A$10:$V$109,'Flächen u. Kulturen'!O$1,FALSE))</f>
        <v/>
      </c>
      <c r="H70" s="1460" t="str">
        <f>IF($A70="","",VLOOKUP($A70,'#BerechnungDBE'!$CB$5:$CN$104,'#BerechnungDBE'!$CH$1,FALSE))</f>
        <v/>
      </c>
      <c r="I70" s="1460" t="str">
        <f>IF($A70="","",VLOOKUP($A70,'#BerechnungDBE'!$CB$5:$CN$104,'#BerechnungDBE'!$CJ$1,FALSE))</f>
        <v/>
      </c>
      <c r="J70" s="1460" t="str">
        <f>IF($A70="","",VLOOKUP($A70,'#BerechnungDBE'!$CB$5:$CN$104,'#BerechnungDBE'!$CK$1,FALSE))</f>
        <v/>
      </c>
      <c r="K70" s="1460" t="str">
        <f>IF($A70="","",VLOOKUP($A70,'#BerechnungDBE'!$CB$5:$CN$104,'#BerechnungDBE'!$CM$1,FALSE))</f>
        <v/>
      </c>
      <c r="L70" s="1460" t="str">
        <f>IF($A70="","",VLOOKUP($A70,'#BerechnungDBE'!$CB$5:$CS$104,'#BerechnungDBE'!$CP$1,FALSE))</f>
        <v/>
      </c>
      <c r="M70" s="1460" t="str">
        <f>IF($A70="","",VLOOKUP($A70,'#BerechnungDBE'!$CB$5:$CR$104,'#BerechnungDBE'!$CR$1,FALSE))</f>
        <v/>
      </c>
      <c r="N70" s="1460" t="str">
        <f>IF($A70="","",ROUNDDOWN(VLOOKUP($A70,'#BerechnungDBE'!$CB$5:$CT$104,'#BerechnungDBE'!$CT$1,FALSE),0))</f>
        <v/>
      </c>
      <c r="O70" s="1460" t="str">
        <f t="shared" si="0"/>
        <v/>
      </c>
      <c r="P70" s="1461" t="str">
        <f>IF($A70="","",VLOOKUP($A70,'#BerechnungDBE'!$CB$5:$CU$104,'#BerechnungDBE'!$CU$1,FALSE))</f>
        <v/>
      </c>
      <c r="Q70" s="890" t="str">
        <f t="shared" si="1"/>
        <v/>
      </c>
    </row>
    <row r="71" spans="1:17" s="875" customFormat="1" ht="15" customHeight="1" x14ac:dyDescent="0.2">
      <c r="A71" s="1458" t="str">
        <f>IF(SMALL('#BerechnungDBE'!$CB$5:$CB$104,'Flächen u. Kulturen'!A70)=1000,"",SMALL('#BerechnungDBE'!$CB$5:$CB$104,'Flächen u. Kulturen'!A70))</f>
        <v/>
      </c>
      <c r="B71" s="1255" t="str">
        <f>IF($A71="","",VLOOKUP($A71,'Flächen u. Kulturen'!$A$10:$D$109,'Flächen u. Kulturen'!C$1,FALSE))</f>
        <v/>
      </c>
      <c r="C71" s="1255" t="str">
        <f>IF($A71="","",VLOOKUP($A71,'Flächen u. Kulturen'!$A$10:$Z$109,'Flächen u. Kulturen'!B$1,FALSE))</f>
        <v/>
      </c>
      <c r="D71" s="1255" t="str">
        <f>IF($A71="","",VLOOKUP($A71,'DBE - N'!$A$12:$D$111,4,FALSE))</f>
        <v/>
      </c>
      <c r="E71" s="1459" t="str">
        <f>IF($A71="","",VLOOKUP($A71,'Flächen u. Kulturen'!$A$10:$Z$109,'Flächen u. Kulturen'!D$1,FALSE))</f>
        <v/>
      </c>
      <c r="F71" s="1255" t="str">
        <f>IF($A71="","",VLOOKUP($A71,'Flächen u. Kulturen'!$A$10:$V$109,'Flächen u. Kulturen'!L$1,FALSE))</f>
        <v/>
      </c>
      <c r="G71" s="1460" t="str">
        <f>IF($A71="","",VLOOKUP($A71,'Flächen u. Kulturen'!$A$10:$V$109,'Flächen u. Kulturen'!O$1,FALSE))</f>
        <v/>
      </c>
      <c r="H71" s="1460" t="str">
        <f>IF($A71="","",VLOOKUP($A71,'#BerechnungDBE'!$CB$5:$CN$104,'#BerechnungDBE'!$CH$1,FALSE))</f>
        <v/>
      </c>
      <c r="I71" s="1460" t="str">
        <f>IF($A71="","",VLOOKUP($A71,'#BerechnungDBE'!$CB$5:$CN$104,'#BerechnungDBE'!$CJ$1,FALSE))</f>
        <v/>
      </c>
      <c r="J71" s="1460" t="str">
        <f>IF($A71="","",VLOOKUP($A71,'#BerechnungDBE'!$CB$5:$CN$104,'#BerechnungDBE'!$CK$1,FALSE))</f>
        <v/>
      </c>
      <c r="K71" s="1460" t="str">
        <f>IF($A71="","",VLOOKUP($A71,'#BerechnungDBE'!$CB$5:$CN$104,'#BerechnungDBE'!$CM$1,FALSE))</f>
        <v/>
      </c>
      <c r="L71" s="1460" t="str">
        <f>IF($A71="","",VLOOKUP($A71,'#BerechnungDBE'!$CB$5:$CS$104,'#BerechnungDBE'!$CP$1,FALSE))</f>
        <v/>
      </c>
      <c r="M71" s="1460" t="str">
        <f>IF($A71="","",VLOOKUP($A71,'#BerechnungDBE'!$CB$5:$CR$104,'#BerechnungDBE'!$CR$1,FALSE))</f>
        <v/>
      </c>
      <c r="N71" s="1460" t="str">
        <f>IF($A71="","",ROUNDDOWN(VLOOKUP($A71,'#BerechnungDBE'!$CB$5:$CT$104,'#BerechnungDBE'!$CT$1,FALSE),0))</f>
        <v/>
      </c>
      <c r="O71" s="1460" t="str">
        <f t="shared" si="0"/>
        <v/>
      </c>
      <c r="P71" s="1461" t="str">
        <f>IF($A71="","",VLOOKUP($A71,'#BerechnungDBE'!$CB$5:$CU$104,'#BerechnungDBE'!$CU$1,FALSE))</f>
        <v/>
      </c>
      <c r="Q71" s="890" t="str">
        <f t="shared" si="1"/>
        <v/>
      </c>
    </row>
    <row r="72" spans="1:17" s="875" customFormat="1" ht="15" customHeight="1" x14ac:dyDescent="0.2">
      <c r="A72" s="1458" t="str">
        <f>IF(SMALL('#BerechnungDBE'!$CB$5:$CB$104,'Flächen u. Kulturen'!A71)=1000,"",SMALL('#BerechnungDBE'!$CB$5:$CB$104,'Flächen u. Kulturen'!A71))</f>
        <v/>
      </c>
      <c r="B72" s="1255" t="str">
        <f>IF($A72="","",VLOOKUP($A72,'Flächen u. Kulturen'!$A$10:$D$109,'Flächen u. Kulturen'!C$1,FALSE))</f>
        <v/>
      </c>
      <c r="C72" s="1255" t="str">
        <f>IF($A72="","",VLOOKUP($A72,'Flächen u. Kulturen'!$A$10:$Z$109,'Flächen u. Kulturen'!B$1,FALSE))</f>
        <v/>
      </c>
      <c r="D72" s="1255" t="str">
        <f>IF($A72="","",VLOOKUP($A72,'DBE - N'!$A$12:$D$111,4,FALSE))</f>
        <v/>
      </c>
      <c r="E72" s="1459" t="str">
        <f>IF($A72="","",VLOOKUP($A72,'Flächen u. Kulturen'!$A$10:$Z$109,'Flächen u. Kulturen'!D$1,FALSE))</f>
        <v/>
      </c>
      <c r="F72" s="1255" t="str">
        <f>IF($A72="","",VLOOKUP($A72,'Flächen u. Kulturen'!$A$10:$V$109,'Flächen u. Kulturen'!L$1,FALSE))</f>
        <v/>
      </c>
      <c r="G72" s="1460" t="str">
        <f>IF($A72="","",VLOOKUP($A72,'Flächen u. Kulturen'!$A$10:$V$109,'Flächen u. Kulturen'!O$1,FALSE))</f>
        <v/>
      </c>
      <c r="H72" s="1460" t="str">
        <f>IF($A72="","",VLOOKUP($A72,'#BerechnungDBE'!$CB$5:$CN$104,'#BerechnungDBE'!$CH$1,FALSE))</f>
        <v/>
      </c>
      <c r="I72" s="1460" t="str">
        <f>IF($A72="","",VLOOKUP($A72,'#BerechnungDBE'!$CB$5:$CN$104,'#BerechnungDBE'!$CJ$1,FALSE))</f>
        <v/>
      </c>
      <c r="J72" s="1460" t="str">
        <f>IF($A72="","",VLOOKUP($A72,'#BerechnungDBE'!$CB$5:$CN$104,'#BerechnungDBE'!$CK$1,FALSE))</f>
        <v/>
      </c>
      <c r="K72" s="1460" t="str">
        <f>IF($A72="","",VLOOKUP($A72,'#BerechnungDBE'!$CB$5:$CN$104,'#BerechnungDBE'!$CM$1,FALSE))</f>
        <v/>
      </c>
      <c r="L72" s="1460" t="str">
        <f>IF($A72="","",VLOOKUP($A72,'#BerechnungDBE'!$CB$5:$CS$104,'#BerechnungDBE'!$CP$1,FALSE))</f>
        <v/>
      </c>
      <c r="M72" s="1460" t="str">
        <f>IF($A72="","",VLOOKUP($A72,'#BerechnungDBE'!$CB$5:$CR$104,'#BerechnungDBE'!$CR$1,FALSE))</f>
        <v/>
      </c>
      <c r="N72" s="1460" t="str">
        <f>IF($A72="","",ROUNDDOWN(VLOOKUP($A72,'#BerechnungDBE'!$CB$5:$CT$104,'#BerechnungDBE'!$CT$1,FALSE),0))</f>
        <v/>
      </c>
      <c r="O72" s="1460" t="str">
        <f t="shared" si="0"/>
        <v/>
      </c>
      <c r="P72" s="1461" t="str">
        <f>IF($A72="","",VLOOKUP($A72,'#BerechnungDBE'!$CB$5:$CU$104,'#BerechnungDBE'!$CU$1,FALSE))</f>
        <v/>
      </c>
      <c r="Q72" s="890" t="str">
        <f t="shared" si="1"/>
        <v/>
      </c>
    </row>
    <row r="73" spans="1:17" s="875" customFormat="1" ht="15" customHeight="1" x14ac:dyDescent="0.2">
      <c r="A73" s="1458" t="str">
        <f>IF(SMALL('#BerechnungDBE'!$CB$5:$CB$104,'Flächen u. Kulturen'!A72)=1000,"",SMALL('#BerechnungDBE'!$CB$5:$CB$104,'Flächen u. Kulturen'!A72))</f>
        <v/>
      </c>
      <c r="B73" s="1255" t="str">
        <f>IF($A73="","",VLOOKUP($A73,'Flächen u. Kulturen'!$A$10:$D$109,'Flächen u. Kulturen'!C$1,FALSE))</f>
        <v/>
      </c>
      <c r="C73" s="1255" t="str">
        <f>IF($A73="","",VLOOKUP($A73,'Flächen u. Kulturen'!$A$10:$Z$109,'Flächen u. Kulturen'!B$1,FALSE))</f>
        <v/>
      </c>
      <c r="D73" s="1255" t="str">
        <f>IF($A73="","",VLOOKUP($A73,'DBE - N'!$A$12:$D$111,4,FALSE))</f>
        <v/>
      </c>
      <c r="E73" s="1459" t="str">
        <f>IF($A73="","",VLOOKUP($A73,'Flächen u. Kulturen'!$A$10:$Z$109,'Flächen u. Kulturen'!D$1,FALSE))</f>
        <v/>
      </c>
      <c r="F73" s="1255" t="str">
        <f>IF($A73="","",VLOOKUP($A73,'Flächen u. Kulturen'!$A$10:$V$109,'Flächen u. Kulturen'!L$1,FALSE))</f>
        <v/>
      </c>
      <c r="G73" s="1460" t="str">
        <f>IF($A73="","",VLOOKUP($A73,'Flächen u. Kulturen'!$A$10:$V$109,'Flächen u. Kulturen'!O$1,FALSE))</f>
        <v/>
      </c>
      <c r="H73" s="1460" t="str">
        <f>IF($A73="","",VLOOKUP($A73,'#BerechnungDBE'!$CB$5:$CN$104,'#BerechnungDBE'!$CH$1,FALSE))</f>
        <v/>
      </c>
      <c r="I73" s="1460" t="str">
        <f>IF($A73="","",VLOOKUP($A73,'#BerechnungDBE'!$CB$5:$CN$104,'#BerechnungDBE'!$CJ$1,FALSE))</f>
        <v/>
      </c>
      <c r="J73" s="1460" t="str">
        <f>IF($A73="","",VLOOKUP($A73,'#BerechnungDBE'!$CB$5:$CN$104,'#BerechnungDBE'!$CK$1,FALSE))</f>
        <v/>
      </c>
      <c r="K73" s="1460" t="str">
        <f>IF($A73="","",VLOOKUP($A73,'#BerechnungDBE'!$CB$5:$CN$104,'#BerechnungDBE'!$CM$1,FALSE))</f>
        <v/>
      </c>
      <c r="L73" s="1460" t="str">
        <f>IF($A73="","",VLOOKUP($A73,'#BerechnungDBE'!$CB$5:$CS$104,'#BerechnungDBE'!$CP$1,FALSE))</f>
        <v/>
      </c>
      <c r="M73" s="1460" t="str">
        <f>IF($A73="","",VLOOKUP($A73,'#BerechnungDBE'!$CB$5:$CR$104,'#BerechnungDBE'!$CR$1,FALSE))</f>
        <v/>
      </c>
      <c r="N73" s="1460" t="str">
        <f>IF($A73="","",ROUNDDOWN(VLOOKUP($A73,'#BerechnungDBE'!$CB$5:$CT$104,'#BerechnungDBE'!$CT$1,FALSE),0))</f>
        <v/>
      </c>
      <c r="O73" s="1460" t="str">
        <f t="shared" si="0"/>
        <v/>
      </c>
      <c r="P73" s="1461" t="str">
        <f>IF($A73="","",VLOOKUP($A73,'#BerechnungDBE'!$CB$5:$CU$104,'#BerechnungDBE'!$CU$1,FALSE))</f>
        <v/>
      </c>
      <c r="Q73" s="890" t="str">
        <f t="shared" si="1"/>
        <v/>
      </c>
    </row>
    <row r="74" spans="1:17" s="875" customFormat="1" ht="15" customHeight="1" x14ac:dyDescent="0.2">
      <c r="A74" s="1458" t="str">
        <f>IF(SMALL('#BerechnungDBE'!$CB$5:$CB$104,'Flächen u. Kulturen'!A73)=1000,"",SMALL('#BerechnungDBE'!$CB$5:$CB$104,'Flächen u. Kulturen'!A73))</f>
        <v/>
      </c>
      <c r="B74" s="1255" t="str">
        <f>IF($A74="","",VLOOKUP($A74,'Flächen u. Kulturen'!$A$10:$D$109,'Flächen u. Kulturen'!C$1,FALSE))</f>
        <v/>
      </c>
      <c r="C74" s="1255" t="str">
        <f>IF($A74="","",VLOOKUP($A74,'Flächen u. Kulturen'!$A$10:$Z$109,'Flächen u. Kulturen'!B$1,FALSE))</f>
        <v/>
      </c>
      <c r="D74" s="1255" t="str">
        <f>IF($A74="","",VLOOKUP($A74,'DBE - N'!$A$12:$D$111,4,FALSE))</f>
        <v/>
      </c>
      <c r="E74" s="1459" t="str">
        <f>IF($A74="","",VLOOKUP($A74,'Flächen u. Kulturen'!$A$10:$Z$109,'Flächen u. Kulturen'!D$1,FALSE))</f>
        <v/>
      </c>
      <c r="F74" s="1255" t="str">
        <f>IF($A74="","",VLOOKUP($A74,'Flächen u. Kulturen'!$A$10:$V$109,'Flächen u. Kulturen'!L$1,FALSE))</f>
        <v/>
      </c>
      <c r="G74" s="1460" t="str">
        <f>IF($A74="","",VLOOKUP($A74,'Flächen u. Kulturen'!$A$10:$V$109,'Flächen u. Kulturen'!O$1,FALSE))</f>
        <v/>
      </c>
      <c r="H74" s="1460" t="str">
        <f>IF($A74="","",VLOOKUP($A74,'#BerechnungDBE'!$CB$5:$CN$104,'#BerechnungDBE'!$CH$1,FALSE))</f>
        <v/>
      </c>
      <c r="I74" s="1460" t="str">
        <f>IF($A74="","",VLOOKUP($A74,'#BerechnungDBE'!$CB$5:$CN$104,'#BerechnungDBE'!$CJ$1,FALSE))</f>
        <v/>
      </c>
      <c r="J74" s="1460" t="str">
        <f>IF($A74="","",VLOOKUP($A74,'#BerechnungDBE'!$CB$5:$CN$104,'#BerechnungDBE'!$CK$1,FALSE))</f>
        <v/>
      </c>
      <c r="K74" s="1460" t="str">
        <f>IF($A74="","",VLOOKUP($A74,'#BerechnungDBE'!$CB$5:$CN$104,'#BerechnungDBE'!$CM$1,FALSE))</f>
        <v/>
      </c>
      <c r="L74" s="1460" t="str">
        <f>IF($A74="","",VLOOKUP($A74,'#BerechnungDBE'!$CB$5:$CS$104,'#BerechnungDBE'!$CP$1,FALSE))</f>
        <v/>
      </c>
      <c r="M74" s="1460" t="str">
        <f>IF($A74="","",VLOOKUP($A74,'#BerechnungDBE'!$CB$5:$CR$104,'#BerechnungDBE'!$CR$1,FALSE))</f>
        <v/>
      </c>
      <c r="N74" s="1460" t="str">
        <f>IF($A74="","",ROUNDDOWN(VLOOKUP($A74,'#BerechnungDBE'!$CB$5:$CT$104,'#BerechnungDBE'!$CT$1,FALSE),0))</f>
        <v/>
      </c>
      <c r="O74" s="1460" t="str">
        <f t="shared" si="0"/>
        <v/>
      </c>
      <c r="P74" s="1461" t="str">
        <f>IF($A74="","",VLOOKUP($A74,'#BerechnungDBE'!$CB$5:$CU$104,'#BerechnungDBE'!$CU$1,FALSE))</f>
        <v/>
      </c>
      <c r="Q74" s="890" t="str">
        <f t="shared" si="1"/>
        <v/>
      </c>
    </row>
    <row r="75" spans="1:17" s="875" customFormat="1" ht="15" customHeight="1" x14ac:dyDescent="0.2">
      <c r="A75" s="1458" t="str">
        <f>IF(SMALL('#BerechnungDBE'!$CB$5:$CB$104,'Flächen u. Kulturen'!A74)=1000,"",SMALL('#BerechnungDBE'!$CB$5:$CB$104,'Flächen u. Kulturen'!A74))</f>
        <v/>
      </c>
      <c r="B75" s="1255" t="str">
        <f>IF($A75="","",VLOOKUP($A75,'Flächen u. Kulturen'!$A$10:$D$109,'Flächen u. Kulturen'!C$1,FALSE))</f>
        <v/>
      </c>
      <c r="C75" s="1255" t="str">
        <f>IF($A75="","",VLOOKUP($A75,'Flächen u. Kulturen'!$A$10:$Z$109,'Flächen u. Kulturen'!B$1,FALSE))</f>
        <v/>
      </c>
      <c r="D75" s="1255" t="str">
        <f>IF($A75="","",VLOOKUP($A75,'DBE - N'!$A$12:$D$111,4,FALSE))</f>
        <v/>
      </c>
      <c r="E75" s="1459" t="str">
        <f>IF($A75="","",VLOOKUP($A75,'Flächen u. Kulturen'!$A$10:$Z$109,'Flächen u. Kulturen'!D$1,FALSE))</f>
        <v/>
      </c>
      <c r="F75" s="1255" t="str">
        <f>IF($A75="","",VLOOKUP($A75,'Flächen u. Kulturen'!$A$10:$V$109,'Flächen u. Kulturen'!L$1,FALSE))</f>
        <v/>
      </c>
      <c r="G75" s="1460" t="str">
        <f>IF($A75="","",VLOOKUP($A75,'Flächen u. Kulturen'!$A$10:$V$109,'Flächen u. Kulturen'!O$1,FALSE))</f>
        <v/>
      </c>
      <c r="H75" s="1460" t="str">
        <f>IF($A75="","",VLOOKUP($A75,'#BerechnungDBE'!$CB$5:$CN$104,'#BerechnungDBE'!$CH$1,FALSE))</f>
        <v/>
      </c>
      <c r="I75" s="1460" t="str">
        <f>IF($A75="","",VLOOKUP($A75,'#BerechnungDBE'!$CB$5:$CN$104,'#BerechnungDBE'!$CJ$1,FALSE))</f>
        <v/>
      </c>
      <c r="J75" s="1460" t="str">
        <f>IF($A75="","",VLOOKUP($A75,'#BerechnungDBE'!$CB$5:$CN$104,'#BerechnungDBE'!$CK$1,FALSE))</f>
        <v/>
      </c>
      <c r="K75" s="1460" t="str">
        <f>IF($A75="","",VLOOKUP($A75,'#BerechnungDBE'!$CB$5:$CN$104,'#BerechnungDBE'!$CM$1,FALSE))</f>
        <v/>
      </c>
      <c r="L75" s="1460" t="str">
        <f>IF($A75="","",VLOOKUP($A75,'#BerechnungDBE'!$CB$5:$CS$104,'#BerechnungDBE'!$CP$1,FALSE))</f>
        <v/>
      </c>
      <c r="M75" s="1460" t="str">
        <f>IF($A75="","",VLOOKUP($A75,'#BerechnungDBE'!$CB$5:$CR$104,'#BerechnungDBE'!$CR$1,FALSE))</f>
        <v/>
      </c>
      <c r="N75" s="1460" t="str">
        <f>IF($A75="","",ROUNDDOWN(VLOOKUP($A75,'#BerechnungDBE'!$CB$5:$CT$104,'#BerechnungDBE'!$CT$1,FALSE),0))</f>
        <v/>
      </c>
      <c r="O75" s="1460" t="str">
        <f t="shared" si="0"/>
        <v/>
      </c>
      <c r="P75" s="1461" t="str">
        <f>IF($A75="","",VLOOKUP($A75,'#BerechnungDBE'!$CB$5:$CU$104,'#BerechnungDBE'!$CU$1,FALSE))</f>
        <v/>
      </c>
      <c r="Q75" s="890" t="str">
        <f t="shared" si="1"/>
        <v/>
      </c>
    </row>
    <row r="76" spans="1:17" s="875" customFormat="1" ht="15" customHeight="1" x14ac:dyDescent="0.2">
      <c r="A76" s="1458" t="str">
        <f>IF(SMALL('#BerechnungDBE'!$CB$5:$CB$104,'Flächen u. Kulturen'!A75)=1000,"",SMALL('#BerechnungDBE'!$CB$5:$CB$104,'Flächen u. Kulturen'!A75))</f>
        <v/>
      </c>
      <c r="B76" s="1255" t="str">
        <f>IF($A76="","",VLOOKUP($A76,'Flächen u. Kulturen'!$A$10:$D$109,'Flächen u. Kulturen'!C$1,FALSE))</f>
        <v/>
      </c>
      <c r="C76" s="1255" t="str">
        <f>IF($A76="","",VLOOKUP($A76,'Flächen u. Kulturen'!$A$10:$Z$109,'Flächen u. Kulturen'!B$1,FALSE))</f>
        <v/>
      </c>
      <c r="D76" s="1255" t="str">
        <f>IF($A76="","",VLOOKUP($A76,'DBE - N'!$A$12:$D$111,4,FALSE))</f>
        <v/>
      </c>
      <c r="E76" s="1459" t="str">
        <f>IF($A76="","",VLOOKUP($A76,'Flächen u. Kulturen'!$A$10:$Z$109,'Flächen u. Kulturen'!D$1,FALSE))</f>
        <v/>
      </c>
      <c r="F76" s="1255" t="str">
        <f>IF($A76="","",VLOOKUP($A76,'Flächen u. Kulturen'!$A$10:$V$109,'Flächen u. Kulturen'!L$1,FALSE))</f>
        <v/>
      </c>
      <c r="G76" s="1460" t="str">
        <f>IF($A76="","",VLOOKUP($A76,'Flächen u. Kulturen'!$A$10:$V$109,'Flächen u. Kulturen'!O$1,FALSE))</f>
        <v/>
      </c>
      <c r="H76" s="1460" t="str">
        <f>IF($A76="","",VLOOKUP($A76,'#BerechnungDBE'!$CB$5:$CN$104,'#BerechnungDBE'!$CH$1,FALSE))</f>
        <v/>
      </c>
      <c r="I76" s="1460" t="str">
        <f>IF($A76="","",VLOOKUP($A76,'#BerechnungDBE'!$CB$5:$CN$104,'#BerechnungDBE'!$CJ$1,FALSE))</f>
        <v/>
      </c>
      <c r="J76" s="1460" t="str">
        <f>IF($A76="","",VLOOKUP($A76,'#BerechnungDBE'!$CB$5:$CN$104,'#BerechnungDBE'!$CK$1,FALSE))</f>
        <v/>
      </c>
      <c r="K76" s="1460" t="str">
        <f>IF($A76="","",VLOOKUP($A76,'#BerechnungDBE'!$CB$5:$CN$104,'#BerechnungDBE'!$CM$1,FALSE))</f>
        <v/>
      </c>
      <c r="L76" s="1460" t="str">
        <f>IF($A76="","",VLOOKUP($A76,'#BerechnungDBE'!$CB$5:$CS$104,'#BerechnungDBE'!$CP$1,FALSE))</f>
        <v/>
      </c>
      <c r="M76" s="1460" t="str">
        <f>IF($A76="","",VLOOKUP($A76,'#BerechnungDBE'!$CB$5:$CR$104,'#BerechnungDBE'!$CR$1,FALSE))</f>
        <v/>
      </c>
      <c r="N76" s="1460" t="str">
        <f>IF($A76="","",ROUNDDOWN(VLOOKUP($A76,'#BerechnungDBE'!$CB$5:$CT$104,'#BerechnungDBE'!$CT$1,FALSE),0))</f>
        <v/>
      </c>
      <c r="O76" s="1460" t="str">
        <f t="shared" ref="O76:O110" si="2">IF(D76="","",MAX(0,ROUNDDOWN(N76-L76,0)))</f>
        <v/>
      </c>
      <c r="P76" s="1461" t="str">
        <f>IF($A76="","",VLOOKUP($A76,'#BerechnungDBE'!$CB$5:$CU$104,'#BerechnungDBE'!$CU$1,FALSE))</f>
        <v/>
      </c>
      <c r="Q76" s="890" t="str">
        <f t="shared" ref="Q76:Q110" si="3">IF(A76="","",ROW(Q76))</f>
        <v/>
      </c>
    </row>
    <row r="77" spans="1:17" s="875" customFormat="1" ht="15" customHeight="1" x14ac:dyDescent="0.2">
      <c r="A77" s="1458" t="str">
        <f>IF(SMALL('#BerechnungDBE'!$CB$5:$CB$104,'Flächen u. Kulturen'!A76)=1000,"",SMALL('#BerechnungDBE'!$CB$5:$CB$104,'Flächen u. Kulturen'!A76))</f>
        <v/>
      </c>
      <c r="B77" s="1255" t="str">
        <f>IF($A77="","",VLOOKUP($A77,'Flächen u. Kulturen'!$A$10:$D$109,'Flächen u. Kulturen'!C$1,FALSE))</f>
        <v/>
      </c>
      <c r="C77" s="1255" t="str">
        <f>IF($A77="","",VLOOKUP($A77,'Flächen u. Kulturen'!$A$10:$Z$109,'Flächen u. Kulturen'!B$1,FALSE))</f>
        <v/>
      </c>
      <c r="D77" s="1255" t="str">
        <f>IF($A77="","",VLOOKUP($A77,'DBE - N'!$A$12:$D$111,4,FALSE))</f>
        <v/>
      </c>
      <c r="E77" s="1459" t="str">
        <f>IF($A77="","",VLOOKUP($A77,'Flächen u. Kulturen'!$A$10:$Z$109,'Flächen u. Kulturen'!D$1,FALSE))</f>
        <v/>
      </c>
      <c r="F77" s="1255" t="str">
        <f>IF($A77="","",VLOOKUP($A77,'Flächen u. Kulturen'!$A$10:$V$109,'Flächen u. Kulturen'!L$1,FALSE))</f>
        <v/>
      </c>
      <c r="G77" s="1460" t="str">
        <f>IF($A77="","",VLOOKUP($A77,'Flächen u. Kulturen'!$A$10:$V$109,'Flächen u. Kulturen'!O$1,FALSE))</f>
        <v/>
      </c>
      <c r="H77" s="1460" t="str">
        <f>IF($A77="","",VLOOKUP($A77,'#BerechnungDBE'!$CB$5:$CN$104,'#BerechnungDBE'!$CH$1,FALSE))</f>
        <v/>
      </c>
      <c r="I77" s="1460" t="str">
        <f>IF($A77="","",VLOOKUP($A77,'#BerechnungDBE'!$CB$5:$CN$104,'#BerechnungDBE'!$CJ$1,FALSE))</f>
        <v/>
      </c>
      <c r="J77" s="1460" t="str">
        <f>IF($A77="","",VLOOKUP($A77,'#BerechnungDBE'!$CB$5:$CN$104,'#BerechnungDBE'!$CK$1,FALSE))</f>
        <v/>
      </c>
      <c r="K77" s="1460" t="str">
        <f>IF($A77="","",VLOOKUP($A77,'#BerechnungDBE'!$CB$5:$CN$104,'#BerechnungDBE'!$CM$1,FALSE))</f>
        <v/>
      </c>
      <c r="L77" s="1460" t="str">
        <f>IF($A77="","",VLOOKUP($A77,'#BerechnungDBE'!$CB$5:$CS$104,'#BerechnungDBE'!$CP$1,FALSE))</f>
        <v/>
      </c>
      <c r="M77" s="1460" t="str">
        <f>IF($A77="","",VLOOKUP($A77,'#BerechnungDBE'!$CB$5:$CR$104,'#BerechnungDBE'!$CR$1,FALSE))</f>
        <v/>
      </c>
      <c r="N77" s="1460" t="str">
        <f>IF($A77="","",ROUNDDOWN(VLOOKUP($A77,'#BerechnungDBE'!$CB$5:$CT$104,'#BerechnungDBE'!$CT$1,FALSE),0))</f>
        <v/>
      </c>
      <c r="O77" s="1460" t="str">
        <f t="shared" si="2"/>
        <v/>
      </c>
      <c r="P77" s="1461" t="str">
        <f>IF($A77="","",VLOOKUP($A77,'#BerechnungDBE'!$CB$5:$CU$104,'#BerechnungDBE'!$CU$1,FALSE))</f>
        <v/>
      </c>
      <c r="Q77" s="890" t="str">
        <f t="shared" si="3"/>
        <v/>
      </c>
    </row>
    <row r="78" spans="1:17" s="875" customFormat="1" ht="15" customHeight="1" x14ac:dyDescent="0.2">
      <c r="A78" s="1458" t="str">
        <f>IF(SMALL('#BerechnungDBE'!$CB$5:$CB$104,'Flächen u. Kulturen'!A77)=1000,"",SMALL('#BerechnungDBE'!$CB$5:$CB$104,'Flächen u. Kulturen'!A77))</f>
        <v/>
      </c>
      <c r="B78" s="1255" t="str">
        <f>IF($A78="","",VLOOKUP($A78,'Flächen u. Kulturen'!$A$10:$D$109,'Flächen u. Kulturen'!C$1,FALSE))</f>
        <v/>
      </c>
      <c r="C78" s="1255" t="str">
        <f>IF($A78="","",VLOOKUP($A78,'Flächen u. Kulturen'!$A$10:$Z$109,'Flächen u. Kulturen'!B$1,FALSE))</f>
        <v/>
      </c>
      <c r="D78" s="1255" t="str">
        <f>IF($A78="","",VLOOKUP($A78,'DBE - N'!$A$12:$D$111,4,FALSE))</f>
        <v/>
      </c>
      <c r="E78" s="1459" t="str">
        <f>IF($A78="","",VLOOKUP($A78,'Flächen u. Kulturen'!$A$10:$Z$109,'Flächen u. Kulturen'!D$1,FALSE))</f>
        <v/>
      </c>
      <c r="F78" s="1255" t="str">
        <f>IF($A78="","",VLOOKUP($A78,'Flächen u. Kulturen'!$A$10:$V$109,'Flächen u. Kulturen'!L$1,FALSE))</f>
        <v/>
      </c>
      <c r="G78" s="1460" t="str">
        <f>IF($A78="","",VLOOKUP($A78,'Flächen u. Kulturen'!$A$10:$V$109,'Flächen u. Kulturen'!O$1,FALSE))</f>
        <v/>
      </c>
      <c r="H78" s="1460" t="str">
        <f>IF($A78="","",VLOOKUP($A78,'#BerechnungDBE'!$CB$5:$CN$104,'#BerechnungDBE'!$CH$1,FALSE))</f>
        <v/>
      </c>
      <c r="I78" s="1460" t="str">
        <f>IF($A78="","",VLOOKUP($A78,'#BerechnungDBE'!$CB$5:$CN$104,'#BerechnungDBE'!$CJ$1,FALSE))</f>
        <v/>
      </c>
      <c r="J78" s="1460" t="str">
        <f>IF($A78="","",VLOOKUP($A78,'#BerechnungDBE'!$CB$5:$CN$104,'#BerechnungDBE'!$CK$1,FALSE))</f>
        <v/>
      </c>
      <c r="K78" s="1460" t="str">
        <f>IF($A78="","",VLOOKUP($A78,'#BerechnungDBE'!$CB$5:$CN$104,'#BerechnungDBE'!$CM$1,FALSE))</f>
        <v/>
      </c>
      <c r="L78" s="1460" t="str">
        <f>IF($A78="","",VLOOKUP($A78,'#BerechnungDBE'!$CB$5:$CS$104,'#BerechnungDBE'!$CP$1,FALSE))</f>
        <v/>
      </c>
      <c r="M78" s="1460" t="str">
        <f>IF($A78="","",VLOOKUP($A78,'#BerechnungDBE'!$CB$5:$CR$104,'#BerechnungDBE'!$CR$1,FALSE))</f>
        <v/>
      </c>
      <c r="N78" s="1460" t="str">
        <f>IF($A78="","",ROUNDDOWN(VLOOKUP($A78,'#BerechnungDBE'!$CB$5:$CT$104,'#BerechnungDBE'!$CT$1,FALSE),0))</f>
        <v/>
      </c>
      <c r="O78" s="1460" t="str">
        <f t="shared" si="2"/>
        <v/>
      </c>
      <c r="P78" s="1461" t="str">
        <f>IF($A78="","",VLOOKUP($A78,'#BerechnungDBE'!$CB$5:$CU$104,'#BerechnungDBE'!$CU$1,FALSE))</f>
        <v/>
      </c>
      <c r="Q78" s="890" t="str">
        <f t="shared" si="3"/>
        <v/>
      </c>
    </row>
    <row r="79" spans="1:17" s="875" customFormat="1" ht="15" customHeight="1" x14ac:dyDescent="0.2">
      <c r="A79" s="1458" t="str">
        <f>IF(SMALL('#BerechnungDBE'!$CB$5:$CB$104,'Flächen u. Kulturen'!A78)=1000,"",SMALL('#BerechnungDBE'!$CB$5:$CB$104,'Flächen u. Kulturen'!A78))</f>
        <v/>
      </c>
      <c r="B79" s="1255" t="str">
        <f>IF($A79="","",VLOOKUP($A79,'Flächen u. Kulturen'!$A$10:$D$109,'Flächen u. Kulturen'!C$1,FALSE))</f>
        <v/>
      </c>
      <c r="C79" s="1255" t="str">
        <f>IF($A79="","",VLOOKUP($A79,'Flächen u. Kulturen'!$A$10:$Z$109,'Flächen u. Kulturen'!B$1,FALSE))</f>
        <v/>
      </c>
      <c r="D79" s="1255" t="str">
        <f>IF($A79="","",VLOOKUP($A79,'DBE - N'!$A$12:$D$111,4,FALSE))</f>
        <v/>
      </c>
      <c r="E79" s="1459" t="str">
        <f>IF($A79="","",VLOOKUP($A79,'Flächen u. Kulturen'!$A$10:$Z$109,'Flächen u. Kulturen'!D$1,FALSE))</f>
        <v/>
      </c>
      <c r="F79" s="1255" t="str">
        <f>IF($A79="","",VLOOKUP($A79,'Flächen u. Kulturen'!$A$10:$V$109,'Flächen u. Kulturen'!L$1,FALSE))</f>
        <v/>
      </c>
      <c r="G79" s="1460" t="str">
        <f>IF($A79="","",VLOOKUP($A79,'Flächen u. Kulturen'!$A$10:$V$109,'Flächen u. Kulturen'!O$1,FALSE))</f>
        <v/>
      </c>
      <c r="H79" s="1460" t="str">
        <f>IF($A79="","",VLOOKUP($A79,'#BerechnungDBE'!$CB$5:$CN$104,'#BerechnungDBE'!$CH$1,FALSE))</f>
        <v/>
      </c>
      <c r="I79" s="1460" t="str">
        <f>IF($A79="","",VLOOKUP($A79,'#BerechnungDBE'!$CB$5:$CN$104,'#BerechnungDBE'!$CJ$1,FALSE))</f>
        <v/>
      </c>
      <c r="J79" s="1460" t="str">
        <f>IF($A79="","",VLOOKUP($A79,'#BerechnungDBE'!$CB$5:$CN$104,'#BerechnungDBE'!$CK$1,FALSE))</f>
        <v/>
      </c>
      <c r="K79" s="1460" t="str">
        <f>IF($A79="","",VLOOKUP($A79,'#BerechnungDBE'!$CB$5:$CN$104,'#BerechnungDBE'!$CM$1,FALSE))</f>
        <v/>
      </c>
      <c r="L79" s="1460" t="str">
        <f>IF($A79="","",VLOOKUP($A79,'#BerechnungDBE'!$CB$5:$CS$104,'#BerechnungDBE'!$CP$1,FALSE))</f>
        <v/>
      </c>
      <c r="M79" s="1460" t="str">
        <f>IF($A79="","",VLOOKUP($A79,'#BerechnungDBE'!$CB$5:$CR$104,'#BerechnungDBE'!$CR$1,FALSE))</f>
        <v/>
      </c>
      <c r="N79" s="1460" t="str">
        <f>IF($A79="","",ROUNDDOWN(VLOOKUP($A79,'#BerechnungDBE'!$CB$5:$CT$104,'#BerechnungDBE'!$CT$1,FALSE),0))</f>
        <v/>
      </c>
      <c r="O79" s="1460" t="str">
        <f t="shared" si="2"/>
        <v/>
      </c>
      <c r="P79" s="1461" t="str">
        <f>IF($A79="","",VLOOKUP($A79,'#BerechnungDBE'!$CB$5:$CU$104,'#BerechnungDBE'!$CU$1,FALSE))</f>
        <v/>
      </c>
      <c r="Q79" s="890" t="str">
        <f t="shared" si="3"/>
        <v/>
      </c>
    </row>
    <row r="80" spans="1:17" s="875" customFormat="1" ht="15" customHeight="1" x14ac:dyDescent="0.2">
      <c r="A80" s="1458" t="str">
        <f>IF(SMALL('#BerechnungDBE'!$CB$5:$CB$104,'Flächen u. Kulturen'!A79)=1000,"",SMALL('#BerechnungDBE'!$CB$5:$CB$104,'Flächen u. Kulturen'!A79))</f>
        <v/>
      </c>
      <c r="B80" s="1255" t="str">
        <f>IF($A80="","",VLOOKUP($A80,'Flächen u. Kulturen'!$A$10:$D$109,'Flächen u. Kulturen'!C$1,FALSE))</f>
        <v/>
      </c>
      <c r="C80" s="1255" t="str">
        <f>IF($A80="","",VLOOKUP($A80,'Flächen u. Kulturen'!$A$10:$Z$109,'Flächen u. Kulturen'!B$1,FALSE))</f>
        <v/>
      </c>
      <c r="D80" s="1255" t="str">
        <f>IF($A80="","",VLOOKUP($A80,'DBE - N'!$A$12:$D$111,4,FALSE))</f>
        <v/>
      </c>
      <c r="E80" s="1459" t="str">
        <f>IF($A80="","",VLOOKUP($A80,'Flächen u. Kulturen'!$A$10:$Z$109,'Flächen u. Kulturen'!D$1,FALSE))</f>
        <v/>
      </c>
      <c r="F80" s="1255" t="str">
        <f>IF($A80="","",VLOOKUP($A80,'Flächen u. Kulturen'!$A$10:$V$109,'Flächen u. Kulturen'!L$1,FALSE))</f>
        <v/>
      </c>
      <c r="G80" s="1460" t="str">
        <f>IF($A80="","",VLOOKUP($A80,'Flächen u. Kulturen'!$A$10:$V$109,'Flächen u. Kulturen'!O$1,FALSE))</f>
        <v/>
      </c>
      <c r="H80" s="1460" t="str">
        <f>IF($A80="","",VLOOKUP($A80,'#BerechnungDBE'!$CB$5:$CN$104,'#BerechnungDBE'!$CH$1,FALSE))</f>
        <v/>
      </c>
      <c r="I80" s="1460" t="str">
        <f>IF($A80="","",VLOOKUP($A80,'#BerechnungDBE'!$CB$5:$CN$104,'#BerechnungDBE'!$CJ$1,FALSE))</f>
        <v/>
      </c>
      <c r="J80" s="1460" t="str">
        <f>IF($A80="","",VLOOKUP($A80,'#BerechnungDBE'!$CB$5:$CN$104,'#BerechnungDBE'!$CK$1,FALSE))</f>
        <v/>
      </c>
      <c r="K80" s="1460" t="str">
        <f>IF($A80="","",VLOOKUP($A80,'#BerechnungDBE'!$CB$5:$CN$104,'#BerechnungDBE'!$CM$1,FALSE))</f>
        <v/>
      </c>
      <c r="L80" s="1460" t="str">
        <f>IF($A80="","",VLOOKUP($A80,'#BerechnungDBE'!$CB$5:$CS$104,'#BerechnungDBE'!$CP$1,FALSE))</f>
        <v/>
      </c>
      <c r="M80" s="1460" t="str">
        <f>IF($A80="","",VLOOKUP($A80,'#BerechnungDBE'!$CB$5:$CR$104,'#BerechnungDBE'!$CR$1,FALSE))</f>
        <v/>
      </c>
      <c r="N80" s="1460" t="str">
        <f>IF($A80="","",ROUNDDOWN(VLOOKUP($A80,'#BerechnungDBE'!$CB$5:$CT$104,'#BerechnungDBE'!$CT$1,FALSE),0))</f>
        <v/>
      </c>
      <c r="O80" s="1460" t="str">
        <f t="shared" si="2"/>
        <v/>
      </c>
      <c r="P80" s="1461" t="str">
        <f>IF($A80="","",VLOOKUP($A80,'#BerechnungDBE'!$CB$5:$CU$104,'#BerechnungDBE'!$CU$1,FALSE))</f>
        <v/>
      </c>
      <c r="Q80" s="890" t="str">
        <f t="shared" si="3"/>
        <v/>
      </c>
    </row>
    <row r="81" spans="1:17" s="875" customFormat="1" ht="15" customHeight="1" x14ac:dyDescent="0.2">
      <c r="A81" s="1458" t="str">
        <f>IF(SMALL('#BerechnungDBE'!$CB$5:$CB$104,'Flächen u. Kulturen'!A80)=1000,"",SMALL('#BerechnungDBE'!$CB$5:$CB$104,'Flächen u. Kulturen'!A80))</f>
        <v/>
      </c>
      <c r="B81" s="1255" t="str">
        <f>IF($A81="","",VLOOKUP($A81,'Flächen u. Kulturen'!$A$10:$D$109,'Flächen u. Kulturen'!C$1,FALSE))</f>
        <v/>
      </c>
      <c r="C81" s="1255" t="str">
        <f>IF($A81="","",VLOOKUP($A81,'Flächen u. Kulturen'!$A$10:$Z$109,'Flächen u. Kulturen'!B$1,FALSE))</f>
        <v/>
      </c>
      <c r="D81" s="1255" t="str">
        <f>IF($A81="","",VLOOKUP($A81,'DBE - N'!$A$12:$D$111,4,FALSE))</f>
        <v/>
      </c>
      <c r="E81" s="1459" t="str">
        <f>IF($A81="","",VLOOKUP($A81,'Flächen u. Kulturen'!$A$10:$Z$109,'Flächen u. Kulturen'!D$1,FALSE))</f>
        <v/>
      </c>
      <c r="F81" s="1255" t="str">
        <f>IF($A81="","",VLOOKUP($A81,'Flächen u. Kulturen'!$A$10:$V$109,'Flächen u. Kulturen'!L$1,FALSE))</f>
        <v/>
      </c>
      <c r="G81" s="1460" t="str">
        <f>IF($A81="","",VLOOKUP($A81,'Flächen u. Kulturen'!$A$10:$V$109,'Flächen u. Kulturen'!O$1,FALSE))</f>
        <v/>
      </c>
      <c r="H81" s="1460" t="str">
        <f>IF($A81="","",VLOOKUP($A81,'#BerechnungDBE'!$CB$5:$CN$104,'#BerechnungDBE'!$CH$1,FALSE))</f>
        <v/>
      </c>
      <c r="I81" s="1460" t="str">
        <f>IF($A81="","",VLOOKUP($A81,'#BerechnungDBE'!$CB$5:$CN$104,'#BerechnungDBE'!$CJ$1,FALSE))</f>
        <v/>
      </c>
      <c r="J81" s="1460" t="str">
        <f>IF($A81="","",VLOOKUP($A81,'#BerechnungDBE'!$CB$5:$CN$104,'#BerechnungDBE'!$CK$1,FALSE))</f>
        <v/>
      </c>
      <c r="K81" s="1460" t="str">
        <f>IF($A81="","",VLOOKUP($A81,'#BerechnungDBE'!$CB$5:$CN$104,'#BerechnungDBE'!$CM$1,FALSE))</f>
        <v/>
      </c>
      <c r="L81" s="1460" t="str">
        <f>IF($A81="","",VLOOKUP($A81,'#BerechnungDBE'!$CB$5:$CS$104,'#BerechnungDBE'!$CP$1,FALSE))</f>
        <v/>
      </c>
      <c r="M81" s="1460" t="str">
        <f>IF($A81="","",VLOOKUP($A81,'#BerechnungDBE'!$CB$5:$CR$104,'#BerechnungDBE'!$CR$1,FALSE))</f>
        <v/>
      </c>
      <c r="N81" s="1460" t="str">
        <f>IF($A81="","",ROUNDDOWN(VLOOKUP($A81,'#BerechnungDBE'!$CB$5:$CT$104,'#BerechnungDBE'!$CT$1,FALSE),0))</f>
        <v/>
      </c>
      <c r="O81" s="1460" t="str">
        <f t="shared" si="2"/>
        <v/>
      </c>
      <c r="P81" s="1461" t="str">
        <f>IF($A81="","",VLOOKUP($A81,'#BerechnungDBE'!$CB$5:$CU$104,'#BerechnungDBE'!$CU$1,FALSE))</f>
        <v/>
      </c>
      <c r="Q81" s="890" t="str">
        <f t="shared" si="3"/>
        <v/>
      </c>
    </row>
    <row r="82" spans="1:17" s="875" customFormat="1" ht="15" customHeight="1" x14ac:dyDescent="0.2">
      <c r="A82" s="1458" t="str">
        <f>IF(SMALL('#BerechnungDBE'!$CB$5:$CB$104,'Flächen u. Kulturen'!A81)=1000,"",SMALL('#BerechnungDBE'!$CB$5:$CB$104,'Flächen u. Kulturen'!A81))</f>
        <v/>
      </c>
      <c r="B82" s="1255" t="str">
        <f>IF($A82="","",VLOOKUP($A82,'Flächen u. Kulturen'!$A$10:$D$109,'Flächen u. Kulturen'!C$1,FALSE))</f>
        <v/>
      </c>
      <c r="C82" s="1255" t="str">
        <f>IF($A82="","",VLOOKUP($A82,'Flächen u. Kulturen'!$A$10:$Z$109,'Flächen u. Kulturen'!B$1,FALSE))</f>
        <v/>
      </c>
      <c r="D82" s="1255" t="str">
        <f>IF($A82="","",VLOOKUP($A82,'DBE - N'!$A$12:$D$111,4,FALSE))</f>
        <v/>
      </c>
      <c r="E82" s="1459" t="str">
        <f>IF($A82="","",VLOOKUP($A82,'Flächen u. Kulturen'!$A$10:$Z$109,'Flächen u. Kulturen'!D$1,FALSE))</f>
        <v/>
      </c>
      <c r="F82" s="1255" t="str">
        <f>IF($A82="","",VLOOKUP($A82,'Flächen u. Kulturen'!$A$10:$V$109,'Flächen u. Kulturen'!L$1,FALSE))</f>
        <v/>
      </c>
      <c r="G82" s="1460" t="str">
        <f>IF($A82="","",VLOOKUP($A82,'Flächen u. Kulturen'!$A$10:$V$109,'Flächen u. Kulturen'!O$1,FALSE))</f>
        <v/>
      </c>
      <c r="H82" s="1460" t="str">
        <f>IF($A82="","",VLOOKUP($A82,'#BerechnungDBE'!$CB$5:$CN$104,'#BerechnungDBE'!$CH$1,FALSE))</f>
        <v/>
      </c>
      <c r="I82" s="1460" t="str">
        <f>IF($A82="","",VLOOKUP($A82,'#BerechnungDBE'!$CB$5:$CN$104,'#BerechnungDBE'!$CJ$1,FALSE))</f>
        <v/>
      </c>
      <c r="J82" s="1460" t="str">
        <f>IF($A82="","",VLOOKUP($A82,'#BerechnungDBE'!$CB$5:$CN$104,'#BerechnungDBE'!$CK$1,FALSE))</f>
        <v/>
      </c>
      <c r="K82" s="1460" t="str">
        <f>IF($A82="","",VLOOKUP($A82,'#BerechnungDBE'!$CB$5:$CN$104,'#BerechnungDBE'!$CM$1,FALSE))</f>
        <v/>
      </c>
      <c r="L82" s="1460" t="str">
        <f>IF($A82="","",VLOOKUP($A82,'#BerechnungDBE'!$CB$5:$CS$104,'#BerechnungDBE'!$CP$1,FALSE))</f>
        <v/>
      </c>
      <c r="M82" s="1460" t="str">
        <f>IF($A82="","",VLOOKUP($A82,'#BerechnungDBE'!$CB$5:$CR$104,'#BerechnungDBE'!$CR$1,FALSE))</f>
        <v/>
      </c>
      <c r="N82" s="1460" t="str">
        <f>IF($A82="","",ROUNDDOWN(VLOOKUP($A82,'#BerechnungDBE'!$CB$5:$CT$104,'#BerechnungDBE'!$CT$1,FALSE),0))</f>
        <v/>
      </c>
      <c r="O82" s="1460" t="str">
        <f t="shared" si="2"/>
        <v/>
      </c>
      <c r="P82" s="1461" t="str">
        <f>IF($A82="","",VLOOKUP($A82,'#BerechnungDBE'!$CB$5:$CU$104,'#BerechnungDBE'!$CU$1,FALSE))</f>
        <v/>
      </c>
      <c r="Q82" s="890" t="str">
        <f t="shared" si="3"/>
        <v/>
      </c>
    </row>
    <row r="83" spans="1:17" s="875" customFormat="1" ht="15" customHeight="1" x14ac:dyDescent="0.2">
      <c r="A83" s="1458" t="str">
        <f>IF(SMALL('#BerechnungDBE'!$CB$5:$CB$104,'Flächen u. Kulturen'!A82)=1000,"",SMALL('#BerechnungDBE'!$CB$5:$CB$104,'Flächen u. Kulturen'!A82))</f>
        <v/>
      </c>
      <c r="B83" s="1255" t="str">
        <f>IF($A83="","",VLOOKUP($A83,'Flächen u. Kulturen'!$A$10:$D$109,'Flächen u. Kulturen'!C$1,FALSE))</f>
        <v/>
      </c>
      <c r="C83" s="1255" t="str">
        <f>IF($A83="","",VLOOKUP($A83,'Flächen u. Kulturen'!$A$10:$Z$109,'Flächen u. Kulturen'!B$1,FALSE))</f>
        <v/>
      </c>
      <c r="D83" s="1255" t="str">
        <f>IF($A83="","",VLOOKUP($A83,'DBE - N'!$A$12:$D$111,4,FALSE))</f>
        <v/>
      </c>
      <c r="E83" s="1459" t="str">
        <f>IF($A83="","",VLOOKUP($A83,'Flächen u. Kulturen'!$A$10:$Z$109,'Flächen u. Kulturen'!D$1,FALSE))</f>
        <v/>
      </c>
      <c r="F83" s="1255" t="str">
        <f>IF($A83="","",VLOOKUP($A83,'Flächen u. Kulturen'!$A$10:$V$109,'Flächen u. Kulturen'!L$1,FALSE))</f>
        <v/>
      </c>
      <c r="G83" s="1460" t="str">
        <f>IF($A83="","",VLOOKUP($A83,'Flächen u. Kulturen'!$A$10:$V$109,'Flächen u. Kulturen'!O$1,FALSE))</f>
        <v/>
      </c>
      <c r="H83" s="1460" t="str">
        <f>IF($A83="","",VLOOKUP($A83,'#BerechnungDBE'!$CB$5:$CN$104,'#BerechnungDBE'!$CH$1,FALSE))</f>
        <v/>
      </c>
      <c r="I83" s="1460" t="str">
        <f>IF($A83="","",VLOOKUP($A83,'#BerechnungDBE'!$CB$5:$CN$104,'#BerechnungDBE'!$CJ$1,FALSE))</f>
        <v/>
      </c>
      <c r="J83" s="1460" t="str">
        <f>IF($A83="","",VLOOKUP($A83,'#BerechnungDBE'!$CB$5:$CN$104,'#BerechnungDBE'!$CK$1,FALSE))</f>
        <v/>
      </c>
      <c r="K83" s="1460" t="str">
        <f>IF($A83="","",VLOOKUP($A83,'#BerechnungDBE'!$CB$5:$CN$104,'#BerechnungDBE'!$CM$1,FALSE))</f>
        <v/>
      </c>
      <c r="L83" s="1460" t="str">
        <f>IF($A83="","",VLOOKUP($A83,'#BerechnungDBE'!$CB$5:$CS$104,'#BerechnungDBE'!$CP$1,FALSE))</f>
        <v/>
      </c>
      <c r="M83" s="1460" t="str">
        <f>IF($A83="","",VLOOKUP($A83,'#BerechnungDBE'!$CB$5:$CR$104,'#BerechnungDBE'!$CR$1,FALSE))</f>
        <v/>
      </c>
      <c r="N83" s="1460" t="str">
        <f>IF($A83="","",ROUNDDOWN(VLOOKUP($A83,'#BerechnungDBE'!$CB$5:$CT$104,'#BerechnungDBE'!$CT$1,FALSE),0))</f>
        <v/>
      </c>
      <c r="O83" s="1460" t="str">
        <f t="shared" si="2"/>
        <v/>
      </c>
      <c r="P83" s="1461" t="str">
        <f>IF($A83="","",VLOOKUP($A83,'#BerechnungDBE'!$CB$5:$CU$104,'#BerechnungDBE'!$CU$1,FALSE))</f>
        <v/>
      </c>
      <c r="Q83" s="890" t="str">
        <f t="shared" si="3"/>
        <v/>
      </c>
    </row>
    <row r="84" spans="1:17" s="875" customFormat="1" ht="15" customHeight="1" x14ac:dyDescent="0.2">
      <c r="A84" s="1458" t="str">
        <f>IF(SMALL('#BerechnungDBE'!$CB$5:$CB$104,'Flächen u. Kulturen'!A83)=1000,"",SMALL('#BerechnungDBE'!$CB$5:$CB$104,'Flächen u. Kulturen'!A83))</f>
        <v/>
      </c>
      <c r="B84" s="1255" t="str">
        <f>IF($A84="","",VLOOKUP($A84,'Flächen u. Kulturen'!$A$10:$D$109,'Flächen u. Kulturen'!C$1,FALSE))</f>
        <v/>
      </c>
      <c r="C84" s="1255" t="str">
        <f>IF($A84="","",VLOOKUP($A84,'Flächen u. Kulturen'!$A$10:$Z$109,'Flächen u. Kulturen'!B$1,FALSE))</f>
        <v/>
      </c>
      <c r="D84" s="1255" t="str">
        <f>IF($A84="","",VLOOKUP($A84,'DBE - N'!$A$12:$D$111,4,FALSE))</f>
        <v/>
      </c>
      <c r="E84" s="1459" t="str">
        <f>IF($A84="","",VLOOKUP($A84,'Flächen u. Kulturen'!$A$10:$Z$109,'Flächen u. Kulturen'!D$1,FALSE))</f>
        <v/>
      </c>
      <c r="F84" s="1255" t="str">
        <f>IF($A84="","",VLOOKUP($A84,'Flächen u. Kulturen'!$A$10:$V$109,'Flächen u. Kulturen'!L$1,FALSE))</f>
        <v/>
      </c>
      <c r="G84" s="1460" t="str">
        <f>IF($A84="","",VLOOKUP($A84,'Flächen u. Kulturen'!$A$10:$V$109,'Flächen u. Kulturen'!O$1,FALSE))</f>
        <v/>
      </c>
      <c r="H84" s="1460" t="str">
        <f>IF($A84="","",VLOOKUP($A84,'#BerechnungDBE'!$CB$5:$CN$104,'#BerechnungDBE'!$CH$1,FALSE))</f>
        <v/>
      </c>
      <c r="I84" s="1460" t="str">
        <f>IF($A84="","",VLOOKUP($A84,'#BerechnungDBE'!$CB$5:$CN$104,'#BerechnungDBE'!$CJ$1,FALSE))</f>
        <v/>
      </c>
      <c r="J84" s="1460" t="str">
        <f>IF($A84="","",VLOOKUP($A84,'#BerechnungDBE'!$CB$5:$CN$104,'#BerechnungDBE'!$CK$1,FALSE))</f>
        <v/>
      </c>
      <c r="K84" s="1460" t="str">
        <f>IF($A84="","",VLOOKUP($A84,'#BerechnungDBE'!$CB$5:$CN$104,'#BerechnungDBE'!$CM$1,FALSE))</f>
        <v/>
      </c>
      <c r="L84" s="1460" t="str">
        <f>IF($A84="","",VLOOKUP($A84,'#BerechnungDBE'!$CB$5:$CS$104,'#BerechnungDBE'!$CP$1,FALSE))</f>
        <v/>
      </c>
      <c r="M84" s="1460" t="str">
        <f>IF($A84="","",VLOOKUP($A84,'#BerechnungDBE'!$CB$5:$CR$104,'#BerechnungDBE'!$CR$1,FALSE))</f>
        <v/>
      </c>
      <c r="N84" s="1460" t="str">
        <f>IF($A84="","",ROUNDDOWN(VLOOKUP($A84,'#BerechnungDBE'!$CB$5:$CT$104,'#BerechnungDBE'!$CT$1,FALSE),0))</f>
        <v/>
      </c>
      <c r="O84" s="1460" t="str">
        <f t="shared" si="2"/>
        <v/>
      </c>
      <c r="P84" s="1461" t="str">
        <f>IF($A84="","",VLOOKUP($A84,'#BerechnungDBE'!$CB$5:$CU$104,'#BerechnungDBE'!$CU$1,FALSE))</f>
        <v/>
      </c>
      <c r="Q84" s="890" t="str">
        <f t="shared" si="3"/>
        <v/>
      </c>
    </row>
    <row r="85" spans="1:17" s="875" customFormat="1" ht="15" customHeight="1" x14ac:dyDescent="0.2">
      <c r="A85" s="1458" t="str">
        <f>IF(SMALL('#BerechnungDBE'!$CB$5:$CB$104,'Flächen u. Kulturen'!A84)=1000,"",SMALL('#BerechnungDBE'!$CB$5:$CB$104,'Flächen u. Kulturen'!A84))</f>
        <v/>
      </c>
      <c r="B85" s="1255" t="str">
        <f>IF($A85="","",VLOOKUP($A85,'Flächen u. Kulturen'!$A$10:$D$109,'Flächen u. Kulturen'!C$1,FALSE))</f>
        <v/>
      </c>
      <c r="C85" s="1255" t="str">
        <f>IF($A85="","",VLOOKUP($A85,'Flächen u. Kulturen'!$A$10:$Z$109,'Flächen u. Kulturen'!B$1,FALSE))</f>
        <v/>
      </c>
      <c r="D85" s="1255" t="str">
        <f>IF($A85="","",VLOOKUP($A85,'DBE - N'!$A$12:$D$111,4,FALSE))</f>
        <v/>
      </c>
      <c r="E85" s="1459" t="str">
        <f>IF($A85="","",VLOOKUP($A85,'Flächen u. Kulturen'!$A$10:$Z$109,'Flächen u. Kulturen'!D$1,FALSE))</f>
        <v/>
      </c>
      <c r="F85" s="1255" t="str">
        <f>IF($A85="","",VLOOKUP($A85,'Flächen u. Kulturen'!$A$10:$V$109,'Flächen u. Kulturen'!L$1,FALSE))</f>
        <v/>
      </c>
      <c r="G85" s="1460" t="str">
        <f>IF($A85="","",VLOOKUP($A85,'Flächen u. Kulturen'!$A$10:$V$109,'Flächen u. Kulturen'!O$1,FALSE))</f>
        <v/>
      </c>
      <c r="H85" s="1460" t="str">
        <f>IF($A85="","",VLOOKUP($A85,'#BerechnungDBE'!$CB$5:$CN$104,'#BerechnungDBE'!$CH$1,FALSE))</f>
        <v/>
      </c>
      <c r="I85" s="1460" t="str">
        <f>IF($A85="","",VLOOKUP($A85,'#BerechnungDBE'!$CB$5:$CN$104,'#BerechnungDBE'!$CJ$1,FALSE))</f>
        <v/>
      </c>
      <c r="J85" s="1460" t="str">
        <f>IF($A85="","",VLOOKUP($A85,'#BerechnungDBE'!$CB$5:$CN$104,'#BerechnungDBE'!$CK$1,FALSE))</f>
        <v/>
      </c>
      <c r="K85" s="1460" t="str">
        <f>IF($A85="","",VLOOKUP($A85,'#BerechnungDBE'!$CB$5:$CN$104,'#BerechnungDBE'!$CM$1,FALSE))</f>
        <v/>
      </c>
      <c r="L85" s="1460" t="str">
        <f>IF($A85="","",VLOOKUP($A85,'#BerechnungDBE'!$CB$5:$CS$104,'#BerechnungDBE'!$CP$1,FALSE))</f>
        <v/>
      </c>
      <c r="M85" s="1460" t="str">
        <f>IF($A85="","",VLOOKUP($A85,'#BerechnungDBE'!$CB$5:$CR$104,'#BerechnungDBE'!$CR$1,FALSE))</f>
        <v/>
      </c>
      <c r="N85" s="1460" t="str">
        <f>IF($A85="","",ROUNDDOWN(VLOOKUP($A85,'#BerechnungDBE'!$CB$5:$CT$104,'#BerechnungDBE'!$CT$1,FALSE),0))</f>
        <v/>
      </c>
      <c r="O85" s="1460" t="str">
        <f t="shared" si="2"/>
        <v/>
      </c>
      <c r="P85" s="1461" t="str">
        <f>IF($A85="","",VLOOKUP($A85,'#BerechnungDBE'!$CB$5:$CU$104,'#BerechnungDBE'!$CU$1,FALSE))</f>
        <v/>
      </c>
      <c r="Q85" s="890" t="str">
        <f t="shared" si="3"/>
        <v/>
      </c>
    </row>
    <row r="86" spans="1:17" s="875" customFormat="1" ht="15" customHeight="1" x14ac:dyDescent="0.2">
      <c r="A86" s="1458" t="str">
        <f>IF(SMALL('#BerechnungDBE'!$CB$5:$CB$104,'Flächen u. Kulturen'!A85)=1000,"",SMALL('#BerechnungDBE'!$CB$5:$CB$104,'Flächen u. Kulturen'!A85))</f>
        <v/>
      </c>
      <c r="B86" s="1255" t="str">
        <f>IF($A86="","",VLOOKUP($A86,'Flächen u. Kulturen'!$A$10:$D$109,'Flächen u. Kulturen'!C$1,FALSE))</f>
        <v/>
      </c>
      <c r="C86" s="1255" t="str">
        <f>IF($A86="","",VLOOKUP($A86,'Flächen u. Kulturen'!$A$10:$Z$109,'Flächen u. Kulturen'!B$1,FALSE))</f>
        <v/>
      </c>
      <c r="D86" s="1255" t="str">
        <f>IF($A86="","",VLOOKUP($A86,'DBE - N'!$A$12:$D$111,4,FALSE))</f>
        <v/>
      </c>
      <c r="E86" s="1459" t="str">
        <f>IF($A86="","",VLOOKUP($A86,'Flächen u. Kulturen'!$A$10:$Z$109,'Flächen u. Kulturen'!D$1,FALSE))</f>
        <v/>
      </c>
      <c r="F86" s="1255" t="str">
        <f>IF($A86="","",VLOOKUP($A86,'Flächen u. Kulturen'!$A$10:$V$109,'Flächen u. Kulturen'!L$1,FALSE))</f>
        <v/>
      </c>
      <c r="G86" s="1460" t="str">
        <f>IF($A86="","",VLOOKUP($A86,'Flächen u. Kulturen'!$A$10:$V$109,'Flächen u. Kulturen'!O$1,FALSE))</f>
        <v/>
      </c>
      <c r="H86" s="1460" t="str">
        <f>IF($A86="","",VLOOKUP($A86,'#BerechnungDBE'!$CB$5:$CN$104,'#BerechnungDBE'!$CH$1,FALSE))</f>
        <v/>
      </c>
      <c r="I86" s="1460" t="str">
        <f>IF($A86="","",VLOOKUP($A86,'#BerechnungDBE'!$CB$5:$CN$104,'#BerechnungDBE'!$CJ$1,FALSE))</f>
        <v/>
      </c>
      <c r="J86" s="1460" t="str">
        <f>IF($A86="","",VLOOKUP($A86,'#BerechnungDBE'!$CB$5:$CN$104,'#BerechnungDBE'!$CK$1,FALSE))</f>
        <v/>
      </c>
      <c r="K86" s="1460" t="str">
        <f>IF($A86="","",VLOOKUP($A86,'#BerechnungDBE'!$CB$5:$CN$104,'#BerechnungDBE'!$CM$1,FALSE))</f>
        <v/>
      </c>
      <c r="L86" s="1460" t="str">
        <f>IF($A86="","",VLOOKUP($A86,'#BerechnungDBE'!$CB$5:$CS$104,'#BerechnungDBE'!$CP$1,FALSE))</f>
        <v/>
      </c>
      <c r="M86" s="1460" t="str">
        <f>IF($A86="","",VLOOKUP($A86,'#BerechnungDBE'!$CB$5:$CR$104,'#BerechnungDBE'!$CR$1,FALSE))</f>
        <v/>
      </c>
      <c r="N86" s="1460" t="str">
        <f>IF($A86="","",ROUNDDOWN(VLOOKUP($A86,'#BerechnungDBE'!$CB$5:$CT$104,'#BerechnungDBE'!$CT$1,FALSE),0))</f>
        <v/>
      </c>
      <c r="O86" s="1460" t="str">
        <f t="shared" si="2"/>
        <v/>
      </c>
      <c r="P86" s="1461" t="str">
        <f>IF($A86="","",VLOOKUP($A86,'#BerechnungDBE'!$CB$5:$CU$104,'#BerechnungDBE'!$CU$1,FALSE))</f>
        <v/>
      </c>
      <c r="Q86" s="890" t="str">
        <f t="shared" si="3"/>
        <v/>
      </c>
    </row>
    <row r="87" spans="1:17" s="875" customFormat="1" ht="15" customHeight="1" x14ac:dyDescent="0.2">
      <c r="A87" s="1458" t="str">
        <f>IF(SMALL('#BerechnungDBE'!$CB$5:$CB$104,'Flächen u. Kulturen'!A86)=1000,"",SMALL('#BerechnungDBE'!$CB$5:$CB$104,'Flächen u. Kulturen'!A86))</f>
        <v/>
      </c>
      <c r="B87" s="1255" t="str">
        <f>IF($A87="","",VLOOKUP($A87,'Flächen u. Kulturen'!$A$10:$D$109,'Flächen u. Kulturen'!C$1,FALSE))</f>
        <v/>
      </c>
      <c r="C87" s="1255" t="str">
        <f>IF($A87="","",VLOOKUP($A87,'Flächen u. Kulturen'!$A$10:$Z$109,'Flächen u. Kulturen'!B$1,FALSE))</f>
        <v/>
      </c>
      <c r="D87" s="1255" t="str">
        <f>IF($A87="","",VLOOKUP($A87,'DBE - N'!$A$12:$D$111,4,FALSE))</f>
        <v/>
      </c>
      <c r="E87" s="1459" t="str">
        <f>IF($A87="","",VLOOKUP($A87,'Flächen u. Kulturen'!$A$10:$Z$109,'Flächen u. Kulturen'!D$1,FALSE))</f>
        <v/>
      </c>
      <c r="F87" s="1255" t="str">
        <f>IF($A87="","",VLOOKUP($A87,'Flächen u. Kulturen'!$A$10:$V$109,'Flächen u. Kulturen'!L$1,FALSE))</f>
        <v/>
      </c>
      <c r="G87" s="1460" t="str">
        <f>IF($A87="","",VLOOKUP($A87,'Flächen u. Kulturen'!$A$10:$V$109,'Flächen u. Kulturen'!O$1,FALSE))</f>
        <v/>
      </c>
      <c r="H87" s="1460" t="str">
        <f>IF($A87="","",VLOOKUP($A87,'#BerechnungDBE'!$CB$5:$CN$104,'#BerechnungDBE'!$CH$1,FALSE))</f>
        <v/>
      </c>
      <c r="I87" s="1460" t="str">
        <f>IF($A87="","",VLOOKUP($A87,'#BerechnungDBE'!$CB$5:$CN$104,'#BerechnungDBE'!$CJ$1,FALSE))</f>
        <v/>
      </c>
      <c r="J87" s="1460" t="str">
        <f>IF($A87="","",VLOOKUP($A87,'#BerechnungDBE'!$CB$5:$CN$104,'#BerechnungDBE'!$CK$1,FALSE))</f>
        <v/>
      </c>
      <c r="K87" s="1460" t="str">
        <f>IF($A87="","",VLOOKUP($A87,'#BerechnungDBE'!$CB$5:$CN$104,'#BerechnungDBE'!$CM$1,FALSE))</f>
        <v/>
      </c>
      <c r="L87" s="1460" t="str">
        <f>IF($A87="","",VLOOKUP($A87,'#BerechnungDBE'!$CB$5:$CS$104,'#BerechnungDBE'!$CP$1,FALSE))</f>
        <v/>
      </c>
      <c r="M87" s="1460" t="str">
        <f>IF($A87="","",VLOOKUP($A87,'#BerechnungDBE'!$CB$5:$CR$104,'#BerechnungDBE'!$CR$1,FALSE))</f>
        <v/>
      </c>
      <c r="N87" s="1460" t="str">
        <f>IF($A87="","",ROUNDDOWN(VLOOKUP($A87,'#BerechnungDBE'!$CB$5:$CT$104,'#BerechnungDBE'!$CT$1,FALSE),0))</f>
        <v/>
      </c>
      <c r="O87" s="1460" t="str">
        <f t="shared" si="2"/>
        <v/>
      </c>
      <c r="P87" s="1461" t="str">
        <f>IF($A87="","",VLOOKUP($A87,'#BerechnungDBE'!$CB$5:$CU$104,'#BerechnungDBE'!$CU$1,FALSE))</f>
        <v/>
      </c>
      <c r="Q87" s="890" t="str">
        <f t="shared" si="3"/>
        <v/>
      </c>
    </row>
    <row r="88" spans="1:17" s="875" customFormat="1" ht="15" customHeight="1" x14ac:dyDescent="0.2">
      <c r="A88" s="1458" t="str">
        <f>IF(SMALL('#BerechnungDBE'!$CB$5:$CB$104,'Flächen u. Kulturen'!A87)=1000,"",SMALL('#BerechnungDBE'!$CB$5:$CB$104,'Flächen u. Kulturen'!A87))</f>
        <v/>
      </c>
      <c r="B88" s="1255" t="str">
        <f>IF($A88="","",VLOOKUP($A88,'Flächen u. Kulturen'!$A$10:$D$109,'Flächen u. Kulturen'!C$1,FALSE))</f>
        <v/>
      </c>
      <c r="C88" s="1255" t="str">
        <f>IF($A88="","",VLOOKUP($A88,'Flächen u. Kulturen'!$A$10:$Z$109,'Flächen u. Kulturen'!B$1,FALSE))</f>
        <v/>
      </c>
      <c r="D88" s="1255" t="str">
        <f>IF($A88="","",VLOOKUP($A88,'DBE - N'!$A$12:$D$111,4,FALSE))</f>
        <v/>
      </c>
      <c r="E88" s="1459" t="str">
        <f>IF($A88="","",VLOOKUP($A88,'Flächen u. Kulturen'!$A$10:$Z$109,'Flächen u. Kulturen'!D$1,FALSE))</f>
        <v/>
      </c>
      <c r="F88" s="1255" t="str">
        <f>IF($A88="","",VLOOKUP($A88,'Flächen u. Kulturen'!$A$10:$V$109,'Flächen u. Kulturen'!L$1,FALSE))</f>
        <v/>
      </c>
      <c r="G88" s="1460" t="str">
        <f>IF($A88="","",VLOOKUP($A88,'Flächen u. Kulturen'!$A$10:$V$109,'Flächen u. Kulturen'!O$1,FALSE))</f>
        <v/>
      </c>
      <c r="H88" s="1460" t="str">
        <f>IF($A88="","",VLOOKUP($A88,'#BerechnungDBE'!$CB$5:$CN$104,'#BerechnungDBE'!$CH$1,FALSE))</f>
        <v/>
      </c>
      <c r="I88" s="1460" t="str">
        <f>IF($A88="","",VLOOKUP($A88,'#BerechnungDBE'!$CB$5:$CN$104,'#BerechnungDBE'!$CJ$1,FALSE))</f>
        <v/>
      </c>
      <c r="J88" s="1460" t="str">
        <f>IF($A88="","",VLOOKUP($A88,'#BerechnungDBE'!$CB$5:$CN$104,'#BerechnungDBE'!$CK$1,FALSE))</f>
        <v/>
      </c>
      <c r="K88" s="1460" t="str">
        <f>IF($A88="","",VLOOKUP($A88,'#BerechnungDBE'!$CB$5:$CN$104,'#BerechnungDBE'!$CM$1,FALSE))</f>
        <v/>
      </c>
      <c r="L88" s="1460" t="str">
        <f>IF($A88="","",VLOOKUP($A88,'#BerechnungDBE'!$CB$5:$CS$104,'#BerechnungDBE'!$CP$1,FALSE))</f>
        <v/>
      </c>
      <c r="M88" s="1460" t="str">
        <f>IF($A88="","",VLOOKUP($A88,'#BerechnungDBE'!$CB$5:$CR$104,'#BerechnungDBE'!$CR$1,FALSE))</f>
        <v/>
      </c>
      <c r="N88" s="1460" t="str">
        <f>IF($A88="","",ROUNDDOWN(VLOOKUP($A88,'#BerechnungDBE'!$CB$5:$CT$104,'#BerechnungDBE'!$CT$1,FALSE),0))</f>
        <v/>
      </c>
      <c r="O88" s="1460" t="str">
        <f t="shared" si="2"/>
        <v/>
      </c>
      <c r="P88" s="1461" t="str">
        <f>IF($A88="","",VLOOKUP($A88,'#BerechnungDBE'!$CB$5:$CU$104,'#BerechnungDBE'!$CU$1,FALSE))</f>
        <v/>
      </c>
      <c r="Q88" s="890" t="str">
        <f t="shared" si="3"/>
        <v/>
      </c>
    </row>
    <row r="89" spans="1:17" s="875" customFormat="1" ht="15" customHeight="1" x14ac:dyDescent="0.2">
      <c r="A89" s="1458" t="str">
        <f>IF(SMALL('#BerechnungDBE'!$CB$5:$CB$104,'Flächen u. Kulturen'!A88)=1000,"",SMALL('#BerechnungDBE'!$CB$5:$CB$104,'Flächen u. Kulturen'!A88))</f>
        <v/>
      </c>
      <c r="B89" s="1255" t="str">
        <f>IF($A89="","",VLOOKUP($A89,'Flächen u. Kulturen'!$A$10:$D$109,'Flächen u. Kulturen'!C$1,FALSE))</f>
        <v/>
      </c>
      <c r="C89" s="1255" t="str">
        <f>IF($A89="","",VLOOKUP($A89,'Flächen u. Kulturen'!$A$10:$Z$109,'Flächen u. Kulturen'!B$1,FALSE))</f>
        <v/>
      </c>
      <c r="D89" s="1255" t="str">
        <f>IF($A89="","",VLOOKUP($A89,'DBE - N'!$A$12:$D$111,4,FALSE))</f>
        <v/>
      </c>
      <c r="E89" s="1459" t="str">
        <f>IF($A89="","",VLOOKUP($A89,'Flächen u. Kulturen'!$A$10:$Z$109,'Flächen u. Kulturen'!D$1,FALSE))</f>
        <v/>
      </c>
      <c r="F89" s="1255" t="str">
        <f>IF($A89="","",VLOOKUP($A89,'Flächen u. Kulturen'!$A$10:$V$109,'Flächen u. Kulturen'!L$1,FALSE))</f>
        <v/>
      </c>
      <c r="G89" s="1460" t="str">
        <f>IF($A89="","",VLOOKUP($A89,'Flächen u. Kulturen'!$A$10:$V$109,'Flächen u. Kulturen'!O$1,FALSE))</f>
        <v/>
      </c>
      <c r="H89" s="1460" t="str">
        <f>IF($A89="","",VLOOKUP($A89,'#BerechnungDBE'!$CB$5:$CN$104,'#BerechnungDBE'!$CH$1,FALSE))</f>
        <v/>
      </c>
      <c r="I89" s="1460" t="str">
        <f>IF($A89="","",VLOOKUP($A89,'#BerechnungDBE'!$CB$5:$CN$104,'#BerechnungDBE'!$CJ$1,FALSE))</f>
        <v/>
      </c>
      <c r="J89" s="1460" t="str">
        <f>IF($A89="","",VLOOKUP($A89,'#BerechnungDBE'!$CB$5:$CN$104,'#BerechnungDBE'!$CK$1,FALSE))</f>
        <v/>
      </c>
      <c r="K89" s="1460" t="str">
        <f>IF($A89="","",VLOOKUP($A89,'#BerechnungDBE'!$CB$5:$CN$104,'#BerechnungDBE'!$CM$1,FALSE))</f>
        <v/>
      </c>
      <c r="L89" s="1460" t="str">
        <f>IF($A89="","",VLOOKUP($A89,'#BerechnungDBE'!$CB$5:$CS$104,'#BerechnungDBE'!$CP$1,FALSE))</f>
        <v/>
      </c>
      <c r="M89" s="1460" t="str">
        <f>IF($A89="","",VLOOKUP($A89,'#BerechnungDBE'!$CB$5:$CR$104,'#BerechnungDBE'!$CR$1,FALSE))</f>
        <v/>
      </c>
      <c r="N89" s="1460" t="str">
        <f>IF($A89="","",ROUNDDOWN(VLOOKUP($A89,'#BerechnungDBE'!$CB$5:$CT$104,'#BerechnungDBE'!$CT$1,FALSE),0))</f>
        <v/>
      </c>
      <c r="O89" s="1460" t="str">
        <f t="shared" si="2"/>
        <v/>
      </c>
      <c r="P89" s="1461" t="str">
        <f>IF($A89="","",VLOOKUP($A89,'#BerechnungDBE'!$CB$5:$CU$104,'#BerechnungDBE'!$CU$1,FALSE))</f>
        <v/>
      </c>
      <c r="Q89" s="890" t="str">
        <f t="shared" si="3"/>
        <v/>
      </c>
    </row>
    <row r="90" spans="1:17" s="875" customFormat="1" ht="15" customHeight="1" x14ac:dyDescent="0.2">
      <c r="A90" s="1458" t="str">
        <f>IF(SMALL('#BerechnungDBE'!$CB$5:$CB$104,'Flächen u. Kulturen'!A89)=1000,"",SMALL('#BerechnungDBE'!$CB$5:$CB$104,'Flächen u. Kulturen'!A89))</f>
        <v/>
      </c>
      <c r="B90" s="1255" t="str">
        <f>IF($A90="","",VLOOKUP($A90,'Flächen u. Kulturen'!$A$10:$D$109,'Flächen u. Kulturen'!C$1,FALSE))</f>
        <v/>
      </c>
      <c r="C90" s="1255" t="str">
        <f>IF($A90="","",VLOOKUP($A90,'Flächen u. Kulturen'!$A$10:$Z$109,'Flächen u. Kulturen'!B$1,FALSE))</f>
        <v/>
      </c>
      <c r="D90" s="1255" t="str">
        <f>IF($A90="","",VLOOKUP($A90,'DBE - N'!$A$12:$D$111,4,FALSE))</f>
        <v/>
      </c>
      <c r="E90" s="1459" t="str">
        <f>IF($A90="","",VLOOKUP($A90,'Flächen u. Kulturen'!$A$10:$Z$109,'Flächen u. Kulturen'!D$1,FALSE))</f>
        <v/>
      </c>
      <c r="F90" s="1255" t="str">
        <f>IF($A90="","",VLOOKUP($A90,'Flächen u. Kulturen'!$A$10:$V$109,'Flächen u. Kulturen'!L$1,FALSE))</f>
        <v/>
      </c>
      <c r="G90" s="1460" t="str">
        <f>IF($A90="","",VLOOKUP($A90,'Flächen u. Kulturen'!$A$10:$V$109,'Flächen u. Kulturen'!O$1,FALSE))</f>
        <v/>
      </c>
      <c r="H90" s="1460" t="str">
        <f>IF($A90="","",VLOOKUP($A90,'#BerechnungDBE'!$CB$5:$CN$104,'#BerechnungDBE'!$CH$1,FALSE))</f>
        <v/>
      </c>
      <c r="I90" s="1460" t="str">
        <f>IF($A90="","",VLOOKUP($A90,'#BerechnungDBE'!$CB$5:$CN$104,'#BerechnungDBE'!$CJ$1,FALSE))</f>
        <v/>
      </c>
      <c r="J90" s="1460" t="str">
        <f>IF($A90="","",VLOOKUP($A90,'#BerechnungDBE'!$CB$5:$CN$104,'#BerechnungDBE'!$CK$1,FALSE))</f>
        <v/>
      </c>
      <c r="K90" s="1460" t="str">
        <f>IF($A90="","",VLOOKUP($A90,'#BerechnungDBE'!$CB$5:$CN$104,'#BerechnungDBE'!$CM$1,FALSE))</f>
        <v/>
      </c>
      <c r="L90" s="1460" t="str">
        <f>IF($A90="","",VLOOKUP($A90,'#BerechnungDBE'!$CB$5:$CS$104,'#BerechnungDBE'!$CP$1,FALSE))</f>
        <v/>
      </c>
      <c r="M90" s="1460" t="str">
        <f>IF($A90="","",VLOOKUP($A90,'#BerechnungDBE'!$CB$5:$CR$104,'#BerechnungDBE'!$CR$1,FALSE))</f>
        <v/>
      </c>
      <c r="N90" s="1460" t="str">
        <f>IF($A90="","",ROUNDDOWN(VLOOKUP($A90,'#BerechnungDBE'!$CB$5:$CT$104,'#BerechnungDBE'!$CT$1,FALSE),0))</f>
        <v/>
      </c>
      <c r="O90" s="1460" t="str">
        <f t="shared" si="2"/>
        <v/>
      </c>
      <c r="P90" s="1461" t="str">
        <f>IF($A90="","",VLOOKUP($A90,'#BerechnungDBE'!$CB$5:$CU$104,'#BerechnungDBE'!$CU$1,FALSE))</f>
        <v/>
      </c>
      <c r="Q90" s="890" t="str">
        <f t="shared" si="3"/>
        <v/>
      </c>
    </row>
    <row r="91" spans="1:17" s="875" customFormat="1" ht="15" customHeight="1" x14ac:dyDescent="0.2">
      <c r="A91" s="1458" t="str">
        <f>IF(SMALL('#BerechnungDBE'!$CB$5:$CB$104,'Flächen u. Kulturen'!A90)=1000,"",SMALL('#BerechnungDBE'!$CB$5:$CB$104,'Flächen u. Kulturen'!A90))</f>
        <v/>
      </c>
      <c r="B91" s="1255" t="str">
        <f>IF($A91="","",VLOOKUP($A91,'Flächen u. Kulturen'!$A$10:$D$109,'Flächen u. Kulturen'!C$1,FALSE))</f>
        <v/>
      </c>
      <c r="C91" s="1255" t="str">
        <f>IF($A91="","",VLOOKUP($A91,'Flächen u. Kulturen'!$A$10:$Z$109,'Flächen u. Kulturen'!B$1,FALSE))</f>
        <v/>
      </c>
      <c r="D91" s="1255" t="str">
        <f>IF($A91="","",VLOOKUP($A91,'DBE - N'!$A$12:$D$111,4,FALSE))</f>
        <v/>
      </c>
      <c r="E91" s="1459" t="str">
        <f>IF($A91="","",VLOOKUP($A91,'Flächen u. Kulturen'!$A$10:$Z$109,'Flächen u. Kulturen'!D$1,FALSE))</f>
        <v/>
      </c>
      <c r="F91" s="1255" t="str">
        <f>IF($A91="","",VLOOKUP($A91,'Flächen u. Kulturen'!$A$10:$V$109,'Flächen u. Kulturen'!L$1,FALSE))</f>
        <v/>
      </c>
      <c r="G91" s="1460" t="str">
        <f>IF($A91="","",VLOOKUP($A91,'Flächen u. Kulturen'!$A$10:$V$109,'Flächen u. Kulturen'!O$1,FALSE))</f>
        <v/>
      </c>
      <c r="H91" s="1460" t="str">
        <f>IF($A91="","",VLOOKUP($A91,'#BerechnungDBE'!$CB$5:$CN$104,'#BerechnungDBE'!$CH$1,FALSE))</f>
        <v/>
      </c>
      <c r="I91" s="1460" t="str">
        <f>IF($A91="","",VLOOKUP($A91,'#BerechnungDBE'!$CB$5:$CN$104,'#BerechnungDBE'!$CJ$1,FALSE))</f>
        <v/>
      </c>
      <c r="J91" s="1460" t="str">
        <f>IF($A91="","",VLOOKUP($A91,'#BerechnungDBE'!$CB$5:$CN$104,'#BerechnungDBE'!$CK$1,FALSE))</f>
        <v/>
      </c>
      <c r="K91" s="1460" t="str">
        <f>IF($A91="","",VLOOKUP($A91,'#BerechnungDBE'!$CB$5:$CN$104,'#BerechnungDBE'!$CM$1,FALSE))</f>
        <v/>
      </c>
      <c r="L91" s="1460" t="str">
        <f>IF($A91="","",VLOOKUP($A91,'#BerechnungDBE'!$CB$5:$CS$104,'#BerechnungDBE'!$CP$1,FALSE))</f>
        <v/>
      </c>
      <c r="M91" s="1460" t="str">
        <f>IF($A91="","",VLOOKUP($A91,'#BerechnungDBE'!$CB$5:$CR$104,'#BerechnungDBE'!$CR$1,FALSE))</f>
        <v/>
      </c>
      <c r="N91" s="1460" t="str">
        <f>IF($A91="","",ROUNDDOWN(VLOOKUP($A91,'#BerechnungDBE'!$CB$5:$CT$104,'#BerechnungDBE'!$CT$1,FALSE),0))</f>
        <v/>
      </c>
      <c r="O91" s="1460" t="str">
        <f t="shared" si="2"/>
        <v/>
      </c>
      <c r="P91" s="1461" t="str">
        <f>IF($A91="","",VLOOKUP($A91,'#BerechnungDBE'!$CB$5:$CU$104,'#BerechnungDBE'!$CU$1,FALSE))</f>
        <v/>
      </c>
      <c r="Q91" s="890" t="str">
        <f t="shared" si="3"/>
        <v/>
      </c>
    </row>
    <row r="92" spans="1:17" s="875" customFormat="1" ht="15" customHeight="1" x14ac:dyDescent="0.2">
      <c r="A92" s="1458" t="str">
        <f>IF(SMALL('#BerechnungDBE'!$CB$5:$CB$104,'Flächen u. Kulturen'!A91)=1000,"",SMALL('#BerechnungDBE'!$CB$5:$CB$104,'Flächen u. Kulturen'!A91))</f>
        <v/>
      </c>
      <c r="B92" s="1255" t="str">
        <f>IF($A92="","",VLOOKUP($A92,'Flächen u. Kulturen'!$A$10:$D$109,'Flächen u. Kulturen'!C$1,FALSE))</f>
        <v/>
      </c>
      <c r="C92" s="1255" t="str">
        <f>IF($A92="","",VLOOKUP($A92,'Flächen u. Kulturen'!$A$10:$Z$109,'Flächen u. Kulturen'!B$1,FALSE))</f>
        <v/>
      </c>
      <c r="D92" s="1255" t="str">
        <f>IF($A92="","",VLOOKUP($A92,'DBE - N'!$A$12:$D$111,4,FALSE))</f>
        <v/>
      </c>
      <c r="E92" s="1459" t="str">
        <f>IF($A92="","",VLOOKUP($A92,'Flächen u. Kulturen'!$A$10:$Z$109,'Flächen u. Kulturen'!D$1,FALSE))</f>
        <v/>
      </c>
      <c r="F92" s="1255" t="str">
        <f>IF($A92="","",VLOOKUP($A92,'Flächen u. Kulturen'!$A$10:$V$109,'Flächen u. Kulturen'!L$1,FALSE))</f>
        <v/>
      </c>
      <c r="G92" s="1460" t="str">
        <f>IF($A92="","",VLOOKUP($A92,'Flächen u. Kulturen'!$A$10:$V$109,'Flächen u. Kulturen'!O$1,FALSE))</f>
        <v/>
      </c>
      <c r="H92" s="1460" t="str">
        <f>IF($A92="","",VLOOKUP($A92,'#BerechnungDBE'!$CB$5:$CN$104,'#BerechnungDBE'!$CH$1,FALSE))</f>
        <v/>
      </c>
      <c r="I92" s="1460" t="str">
        <f>IF($A92="","",VLOOKUP($A92,'#BerechnungDBE'!$CB$5:$CN$104,'#BerechnungDBE'!$CJ$1,FALSE))</f>
        <v/>
      </c>
      <c r="J92" s="1460" t="str">
        <f>IF($A92="","",VLOOKUP($A92,'#BerechnungDBE'!$CB$5:$CN$104,'#BerechnungDBE'!$CK$1,FALSE))</f>
        <v/>
      </c>
      <c r="K92" s="1460" t="str">
        <f>IF($A92="","",VLOOKUP($A92,'#BerechnungDBE'!$CB$5:$CN$104,'#BerechnungDBE'!$CM$1,FALSE))</f>
        <v/>
      </c>
      <c r="L92" s="1460" t="str">
        <f>IF($A92="","",VLOOKUP($A92,'#BerechnungDBE'!$CB$5:$CS$104,'#BerechnungDBE'!$CP$1,FALSE))</f>
        <v/>
      </c>
      <c r="M92" s="1460" t="str">
        <f>IF($A92="","",VLOOKUP($A92,'#BerechnungDBE'!$CB$5:$CR$104,'#BerechnungDBE'!$CR$1,FALSE))</f>
        <v/>
      </c>
      <c r="N92" s="1460" t="str">
        <f>IF($A92="","",ROUNDDOWN(VLOOKUP($A92,'#BerechnungDBE'!$CB$5:$CT$104,'#BerechnungDBE'!$CT$1,FALSE),0))</f>
        <v/>
      </c>
      <c r="O92" s="1460" t="str">
        <f t="shared" si="2"/>
        <v/>
      </c>
      <c r="P92" s="1461" t="str">
        <f>IF($A92="","",VLOOKUP($A92,'#BerechnungDBE'!$CB$5:$CU$104,'#BerechnungDBE'!$CU$1,FALSE))</f>
        <v/>
      </c>
      <c r="Q92" s="890" t="str">
        <f t="shared" si="3"/>
        <v/>
      </c>
    </row>
    <row r="93" spans="1:17" s="875" customFormat="1" ht="15" customHeight="1" x14ac:dyDescent="0.2">
      <c r="A93" s="1458" t="str">
        <f>IF(SMALL('#BerechnungDBE'!$CB$5:$CB$104,'Flächen u. Kulturen'!A92)=1000,"",SMALL('#BerechnungDBE'!$CB$5:$CB$104,'Flächen u. Kulturen'!A92))</f>
        <v/>
      </c>
      <c r="B93" s="1255" t="str">
        <f>IF($A93="","",VLOOKUP($A93,'Flächen u. Kulturen'!$A$10:$D$109,'Flächen u. Kulturen'!C$1,FALSE))</f>
        <v/>
      </c>
      <c r="C93" s="1255" t="str">
        <f>IF($A93="","",VLOOKUP($A93,'Flächen u. Kulturen'!$A$10:$Z$109,'Flächen u. Kulturen'!B$1,FALSE))</f>
        <v/>
      </c>
      <c r="D93" s="1255" t="str">
        <f>IF($A93="","",VLOOKUP($A93,'DBE - N'!$A$12:$D$111,4,FALSE))</f>
        <v/>
      </c>
      <c r="E93" s="1459" t="str">
        <f>IF($A93="","",VLOOKUP($A93,'Flächen u. Kulturen'!$A$10:$Z$109,'Flächen u. Kulturen'!D$1,FALSE))</f>
        <v/>
      </c>
      <c r="F93" s="1255" t="str">
        <f>IF($A93="","",VLOOKUP($A93,'Flächen u. Kulturen'!$A$10:$V$109,'Flächen u. Kulturen'!L$1,FALSE))</f>
        <v/>
      </c>
      <c r="G93" s="1460" t="str">
        <f>IF($A93="","",VLOOKUP($A93,'Flächen u. Kulturen'!$A$10:$V$109,'Flächen u. Kulturen'!O$1,FALSE))</f>
        <v/>
      </c>
      <c r="H93" s="1460" t="str">
        <f>IF($A93="","",VLOOKUP($A93,'#BerechnungDBE'!$CB$5:$CN$104,'#BerechnungDBE'!$CH$1,FALSE))</f>
        <v/>
      </c>
      <c r="I93" s="1460" t="str">
        <f>IF($A93="","",VLOOKUP($A93,'#BerechnungDBE'!$CB$5:$CN$104,'#BerechnungDBE'!$CJ$1,FALSE))</f>
        <v/>
      </c>
      <c r="J93" s="1460" t="str">
        <f>IF($A93="","",VLOOKUP($A93,'#BerechnungDBE'!$CB$5:$CN$104,'#BerechnungDBE'!$CK$1,FALSE))</f>
        <v/>
      </c>
      <c r="K93" s="1460" t="str">
        <f>IF($A93="","",VLOOKUP($A93,'#BerechnungDBE'!$CB$5:$CN$104,'#BerechnungDBE'!$CM$1,FALSE))</f>
        <v/>
      </c>
      <c r="L93" s="1460" t="str">
        <f>IF($A93="","",VLOOKUP($A93,'#BerechnungDBE'!$CB$5:$CS$104,'#BerechnungDBE'!$CP$1,FALSE))</f>
        <v/>
      </c>
      <c r="M93" s="1460" t="str">
        <f>IF($A93="","",VLOOKUP($A93,'#BerechnungDBE'!$CB$5:$CR$104,'#BerechnungDBE'!$CR$1,FALSE))</f>
        <v/>
      </c>
      <c r="N93" s="1460" t="str">
        <f>IF($A93="","",ROUNDDOWN(VLOOKUP($A93,'#BerechnungDBE'!$CB$5:$CT$104,'#BerechnungDBE'!$CT$1,FALSE),0))</f>
        <v/>
      </c>
      <c r="O93" s="1460" t="str">
        <f t="shared" si="2"/>
        <v/>
      </c>
      <c r="P93" s="1461" t="str">
        <f>IF($A93="","",VLOOKUP($A93,'#BerechnungDBE'!$CB$5:$CU$104,'#BerechnungDBE'!$CU$1,FALSE))</f>
        <v/>
      </c>
      <c r="Q93" s="890" t="str">
        <f t="shared" si="3"/>
        <v/>
      </c>
    </row>
    <row r="94" spans="1:17" s="875" customFormat="1" ht="15" customHeight="1" x14ac:dyDescent="0.2">
      <c r="A94" s="1458" t="str">
        <f>IF(SMALL('#BerechnungDBE'!$CB$5:$CB$104,'Flächen u. Kulturen'!A93)=1000,"",SMALL('#BerechnungDBE'!$CB$5:$CB$104,'Flächen u. Kulturen'!A93))</f>
        <v/>
      </c>
      <c r="B94" s="1255" t="str">
        <f>IF($A94="","",VLOOKUP($A94,'Flächen u. Kulturen'!$A$10:$D$109,'Flächen u. Kulturen'!C$1,FALSE))</f>
        <v/>
      </c>
      <c r="C94" s="1255" t="str">
        <f>IF($A94="","",VLOOKUP($A94,'Flächen u. Kulturen'!$A$10:$Z$109,'Flächen u. Kulturen'!B$1,FALSE))</f>
        <v/>
      </c>
      <c r="D94" s="1255" t="str">
        <f>IF($A94="","",VLOOKUP($A94,'DBE - N'!$A$12:$D$111,4,FALSE))</f>
        <v/>
      </c>
      <c r="E94" s="1459" t="str">
        <f>IF($A94="","",VLOOKUP($A94,'Flächen u. Kulturen'!$A$10:$Z$109,'Flächen u. Kulturen'!D$1,FALSE))</f>
        <v/>
      </c>
      <c r="F94" s="1255" t="str">
        <f>IF($A94="","",VLOOKUP($A94,'Flächen u. Kulturen'!$A$10:$V$109,'Flächen u. Kulturen'!L$1,FALSE))</f>
        <v/>
      </c>
      <c r="G94" s="1460" t="str">
        <f>IF($A94="","",VLOOKUP($A94,'Flächen u. Kulturen'!$A$10:$V$109,'Flächen u. Kulturen'!O$1,FALSE))</f>
        <v/>
      </c>
      <c r="H94" s="1460" t="str">
        <f>IF($A94="","",VLOOKUP($A94,'#BerechnungDBE'!$CB$5:$CN$104,'#BerechnungDBE'!$CH$1,FALSE))</f>
        <v/>
      </c>
      <c r="I94" s="1460" t="str">
        <f>IF($A94="","",VLOOKUP($A94,'#BerechnungDBE'!$CB$5:$CN$104,'#BerechnungDBE'!$CJ$1,FALSE))</f>
        <v/>
      </c>
      <c r="J94" s="1460" t="str">
        <f>IF($A94="","",VLOOKUP($A94,'#BerechnungDBE'!$CB$5:$CN$104,'#BerechnungDBE'!$CK$1,FALSE))</f>
        <v/>
      </c>
      <c r="K94" s="1460" t="str">
        <f>IF($A94="","",VLOOKUP($A94,'#BerechnungDBE'!$CB$5:$CN$104,'#BerechnungDBE'!$CM$1,FALSE))</f>
        <v/>
      </c>
      <c r="L94" s="1460" t="str">
        <f>IF($A94="","",VLOOKUP($A94,'#BerechnungDBE'!$CB$5:$CS$104,'#BerechnungDBE'!$CP$1,FALSE))</f>
        <v/>
      </c>
      <c r="M94" s="1460" t="str">
        <f>IF($A94="","",VLOOKUP($A94,'#BerechnungDBE'!$CB$5:$CR$104,'#BerechnungDBE'!$CR$1,FALSE))</f>
        <v/>
      </c>
      <c r="N94" s="1460" t="str">
        <f>IF($A94="","",ROUNDDOWN(VLOOKUP($A94,'#BerechnungDBE'!$CB$5:$CT$104,'#BerechnungDBE'!$CT$1,FALSE),0))</f>
        <v/>
      </c>
      <c r="O94" s="1460" t="str">
        <f t="shared" si="2"/>
        <v/>
      </c>
      <c r="P94" s="1461" t="str">
        <f>IF($A94="","",VLOOKUP($A94,'#BerechnungDBE'!$CB$5:$CU$104,'#BerechnungDBE'!$CU$1,FALSE))</f>
        <v/>
      </c>
      <c r="Q94" s="890" t="str">
        <f t="shared" si="3"/>
        <v/>
      </c>
    </row>
    <row r="95" spans="1:17" s="875" customFormat="1" ht="15" customHeight="1" x14ac:dyDescent="0.2">
      <c r="A95" s="1458" t="str">
        <f>IF(SMALL('#BerechnungDBE'!$CB$5:$CB$104,'Flächen u. Kulturen'!A94)=1000,"",SMALL('#BerechnungDBE'!$CB$5:$CB$104,'Flächen u. Kulturen'!A94))</f>
        <v/>
      </c>
      <c r="B95" s="1255" t="str">
        <f>IF($A95="","",VLOOKUP($A95,'Flächen u. Kulturen'!$A$10:$D$109,'Flächen u. Kulturen'!C$1,FALSE))</f>
        <v/>
      </c>
      <c r="C95" s="1255" t="str">
        <f>IF($A95="","",VLOOKUP($A95,'Flächen u. Kulturen'!$A$10:$Z$109,'Flächen u. Kulturen'!B$1,FALSE))</f>
        <v/>
      </c>
      <c r="D95" s="1255" t="str">
        <f>IF($A95="","",VLOOKUP($A95,'DBE - N'!$A$12:$D$111,4,FALSE))</f>
        <v/>
      </c>
      <c r="E95" s="1459" t="str">
        <f>IF($A95="","",VLOOKUP($A95,'Flächen u. Kulturen'!$A$10:$Z$109,'Flächen u. Kulturen'!D$1,FALSE))</f>
        <v/>
      </c>
      <c r="F95" s="1255" t="str">
        <f>IF($A95="","",VLOOKUP($A95,'Flächen u. Kulturen'!$A$10:$V$109,'Flächen u. Kulturen'!L$1,FALSE))</f>
        <v/>
      </c>
      <c r="G95" s="1460" t="str">
        <f>IF($A95="","",VLOOKUP($A95,'Flächen u. Kulturen'!$A$10:$V$109,'Flächen u. Kulturen'!O$1,FALSE))</f>
        <v/>
      </c>
      <c r="H95" s="1460" t="str">
        <f>IF($A95="","",VLOOKUP($A95,'#BerechnungDBE'!$CB$5:$CN$104,'#BerechnungDBE'!$CH$1,FALSE))</f>
        <v/>
      </c>
      <c r="I95" s="1460" t="str">
        <f>IF($A95="","",VLOOKUP($A95,'#BerechnungDBE'!$CB$5:$CN$104,'#BerechnungDBE'!$CJ$1,FALSE))</f>
        <v/>
      </c>
      <c r="J95" s="1460" t="str">
        <f>IF($A95="","",VLOOKUP($A95,'#BerechnungDBE'!$CB$5:$CN$104,'#BerechnungDBE'!$CK$1,FALSE))</f>
        <v/>
      </c>
      <c r="K95" s="1460" t="str">
        <f>IF($A95="","",VLOOKUP($A95,'#BerechnungDBE'!$CB$5:$CN$104,'#BerechnungDBE'!$CM$1,FALSE))</f>
        <v/>
      </c>
      <c r="L95" s="1460" t="str">
        <f>IF($A95="","",VLOOKUP($A95,'#BerechnungDBE'!$CB$5:$CS$104,'#BerechnungDBE'!$CP$1,FALSE))</f>
        <v/>
      </c>
      <c r="M95" s="1460" t="str">
        <f>IF($A95="","",VLOOKUP($A95,'#BerechnungDBE'!$CB$5:$CR$104,'#BerechnungDBE'!$CR$1,FALSE))</f>
        <v/>
      </c>
      <c r="N95" s="1460" t="str">
        <f>IF($A95="","",ROUNDDOWN(VLOOKUP($A95,'#BerechnungDBE'!$CB$5:$CT$104,'#BerechnungDBE'!$CT$1,FALSE),0))</f>
        <v/>
      </c>
      <c r="O95" s="1460" t="str">
        <f t="shared" si="2"/>
        <v/>
      </c>
      <c r="P95" s="1461" t="str">
        <f>IF($A95="","",VLOOKUP($A95,'#BerechnungDBE'!$CB$5:$CU$104,'#BerechnungDBE'!$CU$1,FALSE))</f>
        <v/>
      </c>
      <c r="Q95" s="890" t="str">
        <f t="shared" si="3"/>
        <v/>
      </c>
    </row>
    <row r="96" spans="1:17" s="875" customFormat="1" ht="15" customHeight="1" x14ac:dyDescent="0.2">
      <c r="A96" s="1458" t="str">
        <f>IF(SMALL('#BerechnungDBE'!$CB$5:$CB$104,'Flächen u. Kulturen'!A95)=1000,"",SMALL('#BerechnungDBE'!$CB$5:$CB$104,'Flächen u. Kulturen'!A95))</f>
        <v/>
      </c>
      <c r="B96" s="1255" t="str">
        <f>IF($A96="","",VLOOKUP($A96,'Flächen u. Kulturen'!$A$10:$D$109,'Flächen u. Kulturen'!C$1,FALSE))</f>
        <v/>
      </c>
      <c r="C96" s="1255" t="str">
        <f>IF($A96="","",VLOOKUP($A96,'Flächen u. Kulturen'!$A$10:$Z$109,'Flächen u. Kulturen'!B$1,FALSE))</f>
        <v/>
      </c>
      <c r="D96" s="1255" t="str">
        <f>IF($A96="","",VLOOKUP($A96,'DBE - N'!$A$12:$D$111,4,FALSE))</f>
        <v/>
      </c>
      <c r="E96" s="1459" t="str">
        <f>IF($A96="","",VLOOKUP($A96,'Flächen u. Kulturen'!$A$10:$Z$109,'Flächen u. Kulturen'!D$1,FALSE))</f>
        <v/>
      </c>
      <c r="F96" s="1255" t="str">
        <f>IF($A96="","",VLOOKUP($A96,'Flächen u. Kulturen'!$A$10:$V$109,'Flächen u. Kulturen'!L$1,FALSE))</f>
        <v/>
      </c>
      <c r="G96" s="1460" t="str">
        <f>IF($A96="","",VLOOKUP($A96,'Flächen u. Kulturen'!$A$10:$V$109,'Flächen u. Kulturen'!O$1,FALSE))</f>
        <v/>
      </c>
      <c r="H96" s="1460" t="str">
        <f>IF($A96="","",VLOOKUP($A96,'#BerechnungDBE'!$CB$5:$CN$104,'#BerechnungDBE'!$CH$1,FALSE))</f>
        <v/>
      </c>
      <c r="I96" s="1460" t="str">
        <f>IF($A96="","",VLOOKUP($A96,'#BerechnungDBE'!$CB$5:$CN$104,'#BerechnungDBE'!$CJ$1,FALSE))</f>
        <v/>
      </c>
      <c r="J96" s="1460" t="str">
        <f>IF($A96="","",VLOOKUP($A96,'#BerechnungDBE'!$CB$5:$CN$104,'#BerechnungDBE'!$CK$1,FALSE))</f>
        <v/>
      </c>
      <c r="K96" s="1460" t="str">
        <f>IF($A96="","",VLOOKUP($A96,'#BerechnungDBE'!$CB$5:$CN$104,'#BerechnungDBE'!$CM$1,FALSE))</f>
        <v/>
      </c>
      <c r="L96" s="1460" t="str">
        <f>IF($A96="","",VLOOKUP($A96,'#BerechnungDBE'!$CB$5:$CS$104,'#BerechnungDBE'!$CP$1,FALSE))</f>
        <v/>
      </c>
      <c r="M96" s="1460" t="str">
        <f>IF($A96="","",VLOOKUP($A96,'#BerechnungDBE'!$CB$5:$CR$104,'#BerechnungDBE'!$CR$1,FALSE))</f>
        <v/>
      </c>
      <c r="N96" s="1460" t="str">
        <f>IF($A96="","",ROUNDDOWN(VLOOKUP($A96,'#BerechnungDBE'!$CB$5:$CT$104,'#BerechnungDBE'!$CT$1,FALSE),0))</f>
        <v/>
      </c>
      <c r="O96" s="1460" t="str">
        <f t="shared" si="2"/>
        <v/>
      </c>
      <c r="P96" s="1461" t="str">
        <f>IF($A96="","",VLOOKUP($A96,'#BerechnungDBE'!$CB$5:$CU$104,'#BerechnungDBE'!$CU$1,FALSE))</f>
        <v/>
      </c>
      <c r="Q96" s="890" t="str">
        <f t="shared" si="3"/>
        <v/>
      </c>
    </row>
    <row r="97" spans="1:17" s="875" customFormat="1" ht="15" customHeight="1" x14ac:dyDescent="0.2">
      <c r="A97" s="1458" t="str">
        <f>IF(SMALL('#BerechnungDBE'!$CB$5:$CB$104,'Flächen u. Kulturen'!A96)=1000,"",SMALL('#BerechnungDBE'!$CB$5:$CB$104,'Flächen u. Kulturen'!A96))</f>
        <v/>
      </c>
      <c r="B97" s="1255" t="str">
        <f>IF($A97="","",VLOOKUP($A97,'Flächen u. Kulturen'!$A$10:$D$109,'Flächen u. Kulturen'!C$1,FALSE))</f>
        <v/>
      </c>
      <c r="C97" s="1255" t="str">
        <f>IF($A97="","",VLOOKUP($A97,'Flächen u. Kulturen'!$A$10:$Z$109,'Flächen u. Kulturen'!B$1,FALSE))</f>
        <v/>
      </c>
      <c r="D97" s="1255" t="str">
        <f>IF($A97="","",VLOOKUP($A97,'DBE - N'!$A$12:$D$111,4,FALSE))</f>
        <v/>
      </c>
      <c r="E97" s="1459" t="str">
        <f>IF($A97="","",VLOOKUP($A97,'Flächen u. Kulturen'!$A$10:$Z$109,'Flächen u. Kulturen'!D$1,FALSE))</f>
        <v/>
      </c>
      <c r="F97" s="1255" t="str">
        <f>IF($A97="","",VLOOKUP($A97,'Flächen u. Kulturen'!$A$10:$V$109,'Flächen u. Kulturen'!L$1,FALSE))</f>
        <v/>
      </c>
      <c r="G97" s="1460" t="str">
        <f>IF($A97="","",VLOOKUP($A97,'Flächen u. Kulturen'!$A$10:$V$109,'Flächen u. Kulturen'!O$1,FALSE))</f>
        <v/>
      </c>
      <c r="H97" s="1460" t="str">
        <f>IF($A97="","",VLOOKUP($A97,'#BerechnungDBE'!$CB$5:$CN$104,'#BerechnungDBE'!$CH$1,FALSE))</f>
        <v/>
      </c>
      <c r="I97" s="1460" t="str">
        <f>IF($A97="","",VLOOKUP($A97,'#BerechnungDBE'!$CB$5:$CN$104,'#BerechnungDBE'!$CJ$1,FALSE))</f>
        <v/>
      </c>
      <c r="J97" s="1460" t="str">
        <f>IF($A97="","",VLOOKUP($A97,'#BerechnungDBE'!$CB$5:$CN$104,'#BerechnungDBE'!$CK$1,FALSE))</f>
        <v/>
      </c>
      <c r="K97" s="1460" t="str">
        <f>IF($A97="","",VLOOKUP($A97,'#BerechnungDBE'!$CB$5:$CN$104,'#BerechnungDBE'!$CM$1,FALSE))</f>
        <v/>
      </c>
      <c r="L97" s="1460" t="str">
        <f>IF($A97="","",VLOOKUP($A97,'#BerechnungDBE'!$CB$5:$CS$104,'#BerechnungDBE'!$CP$1,FALSE))</f>
        <v/>
      </c>
      <c r="M97" s="1460" t="str">
        <f>IF($A97="","",VLOOKUP($A97,'#BerechnungDBE'!$CB$5:$CR$104,'#BerechnungDBE'!$CR$1,FALSE))</f>
        <v/>
      </c>
      <c r="N97" s="1460" t="str">
        <f>IF($A97="","",ROUNDDOWN(VLOOKUP($A97,'#BerechnungDBE'!$CB$5:$CT$104,'#BerechnungDBE'!$CT$1,FALSE),0))</f>
        <v/>
      </c>
      <c r="O97" s="1460" t="str">
        <f t="shared" si="2"/>
        <v/>
      </c>
      <c r="P97" s="1461" t="str">
        <f>IF($A97="","",VLOOKUP($A97,'#BerechnungDBE'!$CB$5:$CU$104,'#BerechnungDBE'!$CU$1,FALSE))</f>
        <v/>
      </c>
      <c r="Q97" s="890" t="str">
        <f t="shared" si="3"/>
        <v/>
      </c>
    </row>
    <row r="98" spans="1:17" s="875" customFormat="1" ht="15" customHeight="1" x14ac:dyDescent="0.2">
      <c r="A98" s="1458" t="str">
        <f>IF(SMALL('#BerechnungDBE'!$CB$5:$CB$104,'Flächen u. Kulturen'!A97)=1000,"",SMALL('#BerechnungDBE'!$CB$5:$CB$104,'Flächen u. Kulturen'!A97))</f>
        <v/>
      </c>
      <c r="B98" s="1255" t="str">
        <f>IF($A98="","",VLOOKUP($A98,'Flächen u. Kulturen'!$A$10:$D$109,'Flächen u. Kulturen'!C$1,FALSE))</f>
        <v/>
      </c>
      <c r="C98" s="1255" t="str">
        <f>IF($A98="","",VLOOKUP($A98,'Flächen u. Kulturen'!$A$10:$Z$109,'Flächen u. Kulturen'!B$1,FALSE))</f>
        <v/>
      </c>
      <c r="D98" s="1255" t="str">
        <f>IF($A98="","",VLOOKUP($A98,'DBE - N'!$A$12:$D$111,4,FALSE))</f>
        <v/>
      </c>
      <c r="E98" s="1459" t="str">
        <f>IF($A98="","",VLOOKUP($A98,'Flächen u. Kulturen'!$A$10:$Z$109,'Flächen u. Kulturen'!D$1,FALSE))</f>
        <v/>
      </c>
      <c r="F98" s="1255" t="str">
        <f>IF($A98="","",VLOOKUP($A98,'Flächen u. Kulturen'!$A$10:$V$109,'Flächen u. Kulturen'!L$1,FALSE))</f>
        <v/>
      </c>
      <c r="G98" s="1460" t="str">
        <f>IF($A98="","",VLOOKUP($A98,'Flächen u. Kulturen'!$A$10:$V$109,'Flächen u. Kulturen'!O$1,FALSE))</f>
        <v/>
      </c>
      <c r="H98" s="1460" t="str">
        <f>IF($A98="","",VLOOKUP($A98,'#BerechnungDBE'!$CB$5:$CN$104,'#BerechnungDBE'!$CH$1,FALSE))</f>
        <v/>
      </c>
      <c r="I98" s="1460" t="str">
        <f>IF($A98="","",VLOOKUP($A98,'#BerechnungDBE'!$CB$5:$CN$104,'#BerechnungDBE'!$CJ$1,FALSE))</f>
        <v/>
      </c>
      <c r="J98" s="1460" t="str">
        <f>IF($A98="","",VLOOKUP($A98,'#BerechnungDBE'!$CB$5:$CN$104,'#BerechnungDBE'!$CK$1,FALSE))</f>
        <v/>
      </c>
      <c r="K98" s="1460" t="str">
        <f>IF($A98="","",VLOOKUP($A98,'#BerechnungDBE'!$CB$5:$CN$104,'#BerechnungDBE'!$CM$1,FALSE))</f>
        <v/>
      </c>
      <c r="L98" s="1460" t="str">
        <f>IF($A98="","",VLOOKUP($A98,'#BerechnungDBE'!$CB$5:$CS$104,'#BerechnungDBE'!$CP$1,FALSE))</f>
        <v/>
      </c>
      <c r="M98" s="1460" t="str">
        <f>IF($A98="","",VLOOKUP($A98,'#BerechnungDBE'!$CB$5:$CR$104,'#BerechnungDBE'!$CR$1,FALSE))</f>
        <v/>
      </c>
      <c r="N98" s="1460" t="str">
        <f>IF($A98="","",ROUNDDOWN(VLOOKUP($A98,'#BerechnungDBE'!$CB$5:$CT$104,'#BerechnungDBE'!$CT$1,FALSE),0))</f>
        <v/>
      </c>
      <c r="O98" s="1460" t="str">
        <f t="shared" si="2"/>
        <v/>
      </c>
      <c r="P98" s="1461" t="str">
        <f>IF($A98="","",VLOOKUP($A98,'#BerechnungDBE'!$CB$5:$CU$104,'#BerechnungDBE'!$CU$1,FALSE))</f>
        <v/>
      </c>
      <c r="Q98" s="890" t="str">
        <f t="shared" si="3"/>
        <v/>
      </c>
    </row>
    <row r="99" spans="1:17" s="875" customFormat="1" ht="15" customHeight="1" x14ac:dyDescent="0.2">
      <c r="A99" s="1458" t="str">
        <f>IF(SMALL('#BerechnungDBE'!$CB$5:$CB$104,'Flächen u. Kulturen'!A98)=1000,"",SMALL('#BerechnungDBE'!$CB$5:$CB$104,'Flächen u. Kulturen'!A98))</f>
        <v/>
      </c>
      <c r="B99" s="1255" t="str">
        <f>IF($A99="","",VLOOKUP($A99,'Flächen u. Kulturen'!$A$10:$D$109,'Flächen u. Kulturen'!C$1,FALSE))</f>
        <v/>
      </c>
      <c r="C99" s="1255" t="str">
        <f>IF($A99="","",VLOOKUP($A99,'Flächen u. Kulturen'!$A$10:$Z$109,'Flächen u. Kulturen'!B$1,FALSE))</f>
        <v/>
      </c>
      <c r="D99" s="1255" t="str">
        <f>IF($A99="","",VLOOKUP($A99,'DBE - N'!$A$12:$D$111,4,FALSE))</f>
        <v/>
      </c>
      <c r="E99" s="1459" t="str">
        <f>IF($A99="","",VLOOKUP($A99,'Flächen u. Kulturen'!$A$10:$Z$109,'Flächen u. Kulturen'!D$1,FALSE))</f>
        <v/>
      </c>
      <c r="F99" s="1255" t="str">
        <f>IF($A99="","",VLOOKUP($A99,'Flächen u. Kulturen'!$A$10:$V$109,'Flächen u. Kulturen'!L$1,FALSE))</f>
        <v/>
      </c>
      <c r="G99" s="1460" t="str">
        <f>IF($A99="","",VLOOKUP($A99,'Flächen u. Kulturen'!$A$10:$V$109,'Flächen u. Kulturen'!O$1,FALSE))</f>
        <v/>
      </c>
      <c r="H99" s="1460" t="str">
        <f>IF($A99="","",VLOOKUP($A99,'#BerechnungDBE'!$CB$5:$CN$104,'#BerechnungDBE'!$CH$1,FALSE))</f>
        <v/>
      </c>
      <c r="I99" s="1460" t="str">
        <f>IF($A99="","",VLOOKUP($A99,'#BerechnungDBE'!$CB$5:$CN$104,'#BerechnungDBE'!$CJ$1,FALSE))</f>
        <v/>
      </c>
      <c r="J99" s="1460" t="str">
        <f>IF($A99="","",VLOOKUP($A99,'#BerechnungDBE'!$CB$5:$CN$104,'#BerechnungDBE'!$CK$1,FALSE))</f>
        <v/>
      </c>
      <c r="K99" s="1460" t="str">
        <f>IF($A99="","",VLOOKUP($A99,'#BerechnungDBE'!$CB$5:$CN$104,'#BerechnungDBE'!$CM$1,FALSE))</f>
        <v/>
      </c>
      <c r="L99" s="1460" t="str">
        <f>IF($A99="","",VLOOKUP($A99,'#BerechnungDBE'!$CB$5:$CS$104,'#BerechnungDBE'!$CP$1,FALSE))</f>
        <v/>
      </c>
      <c r="M99" s="1460" t="str">
        <f>IF($A99="","",VLOOKUP($A99,'#BerechnungDBE'!$CB$5:$CR$104,'#BerechnungDBE'!$CR$1,FALSE))</f>
        <v/>
      </c>
      <c r="N99" s="1460" t="str">
        <f>IF($A99="","",ROUNDDOWN(VLOOKUP($A99,'#BerechnungDBE'!$CB$5:$CT$104,'#BerechnungDBE'!$CT$1,FALSE),0))</f>
        <v/>
      </c>
      <c r="O99" s="1460" t="str">
        <f t="shared" si="2"/>
        <v/>
      </c>
      <c r="P99" s="1461" t="str">
        <f>IF($A99="","",VLOOKUP($A99,'#BerechnungDBE'!$CB$5:$CU$104,'#BerechnungDBE'!$CU$1,FALSE))</f>
        <v/>
      </c>
      <c r="Q99" s="890" t="str">
        <f t="shared" si="3"/>
        <v/>
      </c>
    </row>
    <row r="100" spans="1:17" s="875" customFormat="1" ht="15" customHeight="1" x14ac:dyDescent="0.2">
      <c r="A100" s="1458" t="str">
        <f>IF(SMALL('#BerechnungDBE'!$CB$5:$CB$104,'Flächen u. Kulturen'!A99)=1000,"",SMALL('#BerechnungDBE'!$CB$5:$CB$104,'Flächen u. Kulturen'!A99))</f>
        <v/>
      </c>
      <c r="B100" s="1255" t="str">
        <f>IF($A100="","",VLOOKUP($A100,'Flächen u. Kulturen'!$A$10:$D$109,'Flächen u. Kulturen'!C$1,FALSE))</f>
        <v/>
      </c>
      <c r="C100" s="1255" t="str">
        <f>IF($A100="","",VLOOKUP($A100,'Flächen u. Kulturen'!$A$10:$Z$109,'Flächen u. Kulturen'!B$1,FALSE))</f>
        <v/>
      </c>
      <c r="D100" s="1255" t="str">
        <f>IF($A100="","",VLOOKUP($A100,'DBE - N'!$A$12:$D$111,4,FALSE))</f>
        <v/>
      </c>
      <c r="E100" s="1459" t="str">
        <f>IF($A100="","",VLOOKUP($A100,'Flächen u. Kulturen'!$A$10:$Z$109,'Flächen u. Kulturen'!D$1,FALSE))</f>
        <v/>
      </c>
      <c r="F100" s="1255" t="str">
        <f>IF($A100="","",VLOOKUP($A100,'Flächen u. Kulturen'!$A$10:$V$109,'Flächen u. Kulturen'!L$1,FALSE))</f>
        <v/>
      </c>
      <c r="G100" s="1460" t="str">
        <f>IF($A100="","",VLOOKUP($A100,'Flächen u. Kulturen'!$A$10:$V$109,'Flächen u. Kulturen'!O$1,FALSE))</f>
        <v/>
      </c>
      <c r="H100" s="1460" t="str">
        <f>IF($A100="","",VLOOKUP($A100,'#BerechnungDBE'!$CB$5:$CN$104,'#BerechnungDBE'!$CH$1,FALSE))</f>
        <v/>
      </c>
      <c r="I100" s="1460" t="str">
        <f>IF($A100="","",VLOOKUP($A100,'#BerechnungDBE'!$CB$5:$CN$104,'#BerechnungDBE'!$CJ$1,FALSE))</f>
        <v/>
      </c>
      <c r="J100" s="1460" t="str">
        <f>IF($A100="","",VLOOKUP($A100,'#BerechnungDBE'!$CB$5:$CN$104,'#BerechnungDBE'!$CK$1,FALSE))</f>
        <v/>
      </c>
      <c r="K100" s="1460" t="str">
        <f>IF($A100="","",VLOOKUP($A100,'#BerechnungDBE'!$CB$5:$CN$104,'#BerechnungDBE'!$CM$1,FALSE))</f>
        <v/>
      </c>
      <c r="L100" s="1460" t="str">
        <f>IF($A100="","",VLOOKUP($A100,'#BerechnungDBE'!$CB$5:$CS$104,'#BerechnungDBE'!$CP$1,FALSE))</f>
        <v/>
      </c>
      <c r="M100" s="1460" t="str">
        <f>IF($A100="","",VLOOKUP($A100,'#BerechnungDBE'!$CB$5:$CR$104,'#BerechnungDBE'!$CR$1,FALSE))</f>
        <v/>
      </c>
      <c r="N100" s="1460" t="str">
        <f>IF($A100="","",ROUNDDOWN(VLOOKUP($A100,'#BerechnungDBE'!$CB$5:$CT$104,'#BerechnungDBE'!$CT$1,FALSE),0))</f>
        <v/>
      </c>
      <c r="O100" s="1460" t="str">
        <f t="shared" si="2"/>
        <v/>
      </c>
      <c r="P100" s="1461" t="str">
        <f>IF($A100="","",VLOOKUP($A100,'#BerechnungDBE'!$CB$5:$CU$104,'#BerechnungDBE'!$CU$1,FALSE))</f>
        <v/>
      </c>
      <c r="Q100" s="890" t="str">
        <f t="shared" si="3"/>
        <v/>
      </c>
    </row>
    <row r="101" spans="1:17" s="875" customFormat="1" ht="15" customHeight="1" x14ac:dyDescent="0.2">
      <c r="A101" s="1458" t="str">
        <f>IF(SMALL('#BerechnungDBE'!$CB$5:$CB$104,'Flächen u. Kulturen'!A100)=1000,"",SMALL('#BerechnungDBE'!$CB$5:$CB$104,'Flächen u. Kulturen'!A100))</f>
        <v/>
      </c>
      <c r="B101" s="1255" t="str">
        <f>IF($A101="","",VLOOKUP($A101,'Flächen u. Kulturen'!$A$10:$D$109,'Flächen u. Kulturen'!C$1,FALSE))</f>
        <v/>
      </c>
      <c r="C101" s="1255" t="str">
        <f>IF($A101="","",VLOOKUP($A101,'Flächen u. Kulturen'!$A$10:$Z$109,'Flächen u. Kulturen'!B$1,FALSE))</f>
        <v/>
      </c>
      <c r="D101" s="1255" t="str">
        <f>IF($A101="","",VLOOKUP($A101,'DBE - N'!$A$12:$D$111,4,FALSE))</f>
        <v/>
      </c>
      <c r="E101" s="1459" t="str">
        <f>IF($A101="","",VLOOKUP($A101,'Flächen u. Kulturen'!$A$10:$Z$109,'Flächen u. Kulturen'!D$1,FALSE))</f>
        <v/>
      </c>
      <c r="F101" s="1255" t="str">
        <f>IF($A101="","",VLOOKUP($A101,'Flächen u. Kulturen'!$A$10:$V$109,'Flächen u. Kulturen'!L$1,FALSE))</f>
        <v/>
      </c>
      <c r="G101" s="1460" t="str">
        <f>IF($A101="","",VLOOKUP($A101,'Flächen u. Kulturen'!$A$10:$V$109,'Flächen u. Kulturen'!O$1,FALSE))</f>
        <v/>
      </c>
      <c r="H101" s="1460" t="str">
        <f>IF($A101="","",VLOOKUP($A101,'#BerechnungDBE'!$CB$5:$CN$104,'#BerechnungDBE'!$CH$1,FALSE))</f>
        <v/>
      </c>
      <c r="I101" s="1460" t="str">
        <f>IF($A101="","",VLOOKUP($A101,'#BerechnungDBE'!$CB$5:$CN$104,'#BerechnungDBE'!$CJ$1,FALSE))</f>
        <v/>
      </c>
      <c r="J101" s="1460" t="str">
        <f>IF($A101="","",VLOOKUP($A101,'#BerechnungDBE'!$CB$5:$CN$104,'#BerechnungDBE'!$CK$1,FALSE))</f>
        <v/>
      </c>
      <c r="K101" s="1460" t="str">
        <f>IF($A101="","",VLOOKUP($A101,'#BerechnungDBE'!$CB$5:$CN$104,'#BerechnungDBE'!$CM$1,FALSE))</f>
        <v/>
      </c>
      <c r="L101" s="1460" t="str">
        <f>IF($A101="","",VLOOKUP($A101,'#BerechnungDBE'!$CB$5:$CS$104,'#BerechnungDBE'!$CP$1,FALSE))</f>
        <v/>
      </c>
      <c r="M101" s="1460" t="str">
        <f>IF($A101="","",VLOOKUP($A101,'#BerechnungDBE'!$CB$5:$CR$104,'#BerechnungDBE'!$CR$1,FALSE))</f>
        <v/>
      </c>
      <c r="N101" s="1460" t="str">
        <f>IF($A101="","",ROUNDDOWN(VLOOKUP($A101,'#BerechnungDBE'!$CB$5:$CT$104,'#BerechnungDBE'!$CT$1,FALSE),0))</f>
        <v/>
      </c>
      <c r="O101" s="1460" t="str">
        <f t="shared" si="2"/>
        <v/>
      </c>
      <c r="P101" s="1461" t="str">
        <f>IF($A101="","",VLOOKUP($A101,'#BerechnungDBE'!$CB$5:$CU$104,'#BerechnungDBE'!$CU$1,FALSE))</f>
        <v/>
      </c>
      <c r="Q101" s="890" t="str">
        <f t="shared" si="3"/>
        <v/>
      </c>
    </row>
    <row r="102" spans="1:17" s="875" customFormat="1" ht="15" customHeight="1" x14ac:dyDescent="0.2">
      <c r="A102" s="1458" t="str">
        <f>IF(SMALL('#BerechnungDBE'!$CB$5:$CB$104,'Flächen u. Kulturen'!A101)=1000,"",SMALL('#BerechnungDBE'!$CB$5:$CB$104,'Flächen u. Kulturen'!A101))</f>
        <v/>
      </c>
      <c r="B102" s="1255" t="str">
        <f>IF($A102="","",VLOOKUP($A102,'Flächen u. Kulturen'!$A$10:$D$109,'Flächen u. Kulturen'!C$1,FALSE))</f>
        <v/>
      </c>
      <c r="C102" s="1255" t="str">
        <f>IF($A102="","",VLOOKUP($A102,'Flächen u. Kulturen'!$A$10:$Z$109,'Flächen u. Kulturen'!B$1,FALSE))</f>
        <v/>
      </c>
      <c r="D102" s="1255" t="str">
        <f>IF($A102="","",VLOOKUP($A102,'DBE - N'!$A$12:$D$111,4,FALSE))</f>
        <v/>
      </c>
      <c r="E102" s="1459" t="str">
        <f>IF($A102="","",VLOOKUP($A102,'Flächen u. Kulturen'!$A$10:$Z$109,'Flächen u. Kulturen'!D$1,FALSE))</f>
        <v/>
      </c>
      <c r="F102" s="1255" t="str">
        <f>IF($A102="","",VLOOKUP($A102,'Flächen u. Kulturen'!$A$10:$V$109,'Flächen u. Kulturen'!L$1,FALSE))</f>
        <v/>
      </c>
      <c r="G102" s="1460" t="str">
        <f>IF($A102="","",VLOOKUP($A102,'Flächen u. Kulturen'!$A$10:$V$109,'Flächen u. Kulturen'!O$1,FALSE))</f>
        <v/>
      </c>
      <c r="H102" s="1460" t="str">
        <f>IF($A102="","",VLOOKUP($A102,'#BerechnungDBE'!$CB$5:$CN$104,'#BerechnungDBE'!$CH$1,FALSE))</f>
        <v/>
      </c>
      <c r="I102" s="1460" t="str">
        <f>IF($A102="","",VLOOKUP($A102,'#BerechnungDBE'!$CB$5:$CN$104,'#BerechnungDBE'!$CJ$1,FALSE))</f>
        <v/>
      </c>
      <c r="J102" s="1460" t="str">
        <f>IF($A102="","",VLOOKUP($A102,'#BerechnungDBE'!$CB$5:$CN$104,'#BerechnungDBE'!$CK$1,FALSE))</f>
        <v/>
      </c>
      <c r="K102" s="1460" t="str">
        <f>IF($A102="","",VLOOKUP($A102,'#BerechnungDBE'!$CB$5:$CN$104,'#BerechnungDBE'!$CM$1,FALSE))</f>
        <v/>
      </c>
      <c r="L102" s="1460" t="str">
        <f>IF($A102="","",VLOOKUP($A102,'#BerechnungDBE'!$CB$5:$CS$104,'#BerechnungDBE'!$CP$1,FALSE))</f>
        <v/>
      </c>
      <c r="M102" s="1460" t="str">
        <f>IF($A102="","",VLOOKUP($A102,'#BerechnungDBE'!$CB$5:$CR$104,'#BerechnungDBE'!$CR$1,FALSE))</f>
        <v/>
      </c>
      <c r="N102" s="1460" t="str">
        <f>IF($A102="","",ROUNDDOWN(VLOOKUP($A102,'#BerechnungDBE'!$CB$5:$CT$104,'#BerechnungDBE'!$CT$1,FALSE),0))</f>
        <v/>
      </c>
      <c r="O102" s="1460" t="str">
        <f t="shared" si="2"/>
        <v/>
      </c>
      <c r="P102" s="1461" t="str">
        <f>IF($A102="","",VLOOKUP($A102,'#BerechnungDBE'!$CB$5:$CU$104,'#BerechnungDBE'!$CU$1,FALSE))</f>
        <v/>
      </c>
      <c r="Q102" s="890" t="str">
        <f t="shared" si="3"/>
        <v/>
      </c>
    </row>
    <row r="103" spans="1:17" s="875" customFormat="1" ht="15" customHeight="1" x14ac:dyDescent="0.2">
      <c r="A103" s="1458" t="str">
        <f>IF(SMALL('#BerechnungDBE'!$CB$5:$CB$104,'Flächen u. Kulturen'!A102)=1000,"",SMALL('#BerechnungDBE'!$CB$5:$CB$104,'Flächen u. Kulturen'!A102))</f>
        <v/>
      </c>
      <c r="B103" s="1255" t="str">
        <f>IF($A103="","",VLOOKUP($A103,'Flächen u. Kulturen'!$A$10:$D$109,'Flächen u. Kulturen'!C$1,FALSE))</f>
        <v/>
      </c>
      <c r="C103" s="1255" t="str">
        <f>IF($A103="","",VLOOKUP($A103,'Flächen u. Kulturen'!$A$10:$Z$109,'Flächen u. Kulturen'!B$1,FALSE))</f>
        <v/>
      </c>
      <c r="D103" s="1255" t="str">
        <f>IF($A103="","",VLOOKUP($A103,'DBE - N'!$A$12:$D$111,4,FALSE))</f>
        <v/>
      </c>
      <c r="E103" s="1459" t="str">
        <f>IF($A103="","",VLOOKUP($A103,'Flächen u. Kulturen'!$A$10:$Z$109,'Flächen u. Kulturen'!D$1,FALSE))</f>
        <v/>
      </c>
      <c r="F103" s="1255" t="str">
        <f>IF($A103="","",VLOOKUP($A103,'Flächen u. Kulturen'!$A$10:$V$109,'Flächen u. Kulturen'!L$1,FALSE))</f>
        <v/>
      </c>
      <c r="G103" s="1460" t="str">
        <f>IF($A103="","",VLOOKUP($A103,'Flächen u. Kulturen'!$A$10:$V$109,'Flächen u. Kulturen'!O$1,FALSE))</f>
        <v/>
      </c>
      <c r="H103" s="1460" t="str">
        <f>IF($A103="","",VLOOKUP($A103,'#BerechnungDBE'!$CB$5:$CN$104,'#BerechnungDBE'!$CH$1,FALSE))</f>
        <v/>
      </c>
      <c r="I103" s="1460" t="str">
        <f>IF($A103="","",VLOOKUP($A103,'#BerechnungDBE'!$CB$5:$CN$104,'#BerechnungDBE'!$CJ$1,FALSE))</f>
        <v/>
      </c>
      <c r="J103" s="1460" t="str">
        <f>IF($A103="","",VLOOKUP($A103,'#BerechnungDBE'!$CB$5:$CN$104,'#BerechnungDBE'!$CK$1,FALSE))</f>
        <v/>
      </c>
      <c r="K103" s="1460" t="str">
        <f>IF($A103="","",VLOOKUP($A103,'#BerechnungDBE'!$CB$5:$CN$104,'#BerechnungDBE'!$CM$1,FALSE))</f>
        <v/>
      </c>
      <c r="L103" s="1460" t="str">
        <f>IF($A103="","",VLOOKUP($A103,'#BerechnungDBE'!$CB$5:$CS$104,'#BerechnungDBE'!$CP$1,FALSE))</f>
        <v/>
      </c>
      <c r="M103" s="1460" t="str">
        <f>IF($A103="","",VLOOKUP($A103,'#BerechnungDBE'!$CB$5:$CR$104,'#BerechnungDBE'!$CR$1,FALSE))</f>
        <v/>
      </c>
      <c r="N103" s="1460" t="str">
        <f>IF($A103="","",ROUNDDOWN(VLOOKUP($A103,'#BerechnungDBE'!$CB$5:$CT$104,'#BerechnungDBE'!$CT$1,FALSE),0))</f>
        <v/>
      </c>
      <c r="O103" s="1460" t="str">
        <f t="shared" si="2"/>
        <v/>
      </c>
      <c r="P103" s="1461" t="str">
        <f>IF($A103="","",VLOOKUP($A103,'#BerechnungDBE'!$CB$5:$CU$104,'#BerechnungDBE'!$CU$1,FALSE))</f>
        <v/>
      </c>
      <c r="Q103" s="890" t="str">
        <f t="shared" si="3"/>
        <v/>
      </c>
    </row>
    <row r="104" spans="1:17" s="875" customFormat="1" ht="15" customHeight="1" x14ac:dyDescent="0.2">
      <c r="A104" s="1458" t="str">
        <f>IF(SMALL('#BerechnungDBE'!$CB$5:$CB$104,'Flächen u. Kulturen'!A103)=1000,"",SMALL('#BerechnungDBE'!$CB$5:$CB$104,'Flächen u. Kulturen'!A103))</f>
        <v/>
      </c>
      <c r="B104" s="1255" t="str">
        <f>IF($A104="","",VLOOKUP($A104,'Flächen u. Kulturen'!$A$10:$D$109,'Flächen u. Kulturen'!C$1,FALSE))</f>
        <v/>
      </c>
      <c r="C104" s="1255" t="str">
        <f>IF($A104="","",VLOOKUP($A104,'Flächen u. Kulturen'!$A$10:$Z$109,'Flächen u. Kulturen'!B$1,FALSE))</f>
        <v/>
      </c>
      <c r="D104" s="1255" t="str">
        <f>IF($A104="","",VLOOKUP($A104,'DBE - N'!$A$12:$D$111,4,FALSE))</f>
        <v/>
      </c>
      <c r="E104" s="1459" t="str">
        <f>IF($A104="","",VLOOKUP($A104,'Flächen u. Kulturen'!$A$10:$Z$109,'Flächen u. Kulturen'!D$1,FALSE))</f>
        <v/>
      </c>
      <c r="F104" s="1255" t="str">
        <f>IF($A104="","",VLOOKUP($A104,'Flächen u. Kulturen'!$A$10:$V$109,'Flächen u. Kulturen'!L$1,FALSE))</f>
        <v/>
      </c>
      <c r="G104" s="1460" t="str">
        <f>IF($A104="","",VLOOKUP($A104,'Flächen u. Kulturen'!$A$10:$V$109,'Flächen u. Kulturen'!O$1,FALSE))</f>
        <v/>
      </c>
      <c r="H104" s="1460" t="str">
        <f>IF($A104="","",VLOOKUP($A104,'#BerechnungDBE'!$CB$5:$CN$104,'#BerechnungDBE'!$CH$1,FALSE))</f>
        <v/>
      </c>
      <c r="I104" s="1460" t="str">
        <f>IF($A104="","",VLOOKUP($A104,'#BerechnungDBE'!$CB$5:$CN$104,'#BerechnungDBE'!$CJ$1,FALSE))</f>
        <v/>
      </c>
      <c r="J104" s="1460" t="str">
        <f>IF($A104="","",VLOOKUP($A104,'#BerechnungDBE'!$CB$5:$CN$104,'#BerechnungDBE'!$CK$1,FALSE))</f>
        <v/>
      </c>
      <c r="K104" s="1460" t="str">
        <f>IF($A104="","",VLOOKUP($A104,'#BerechnungDBE'!$CB$5:$CN$104,'#BerechnungDBE'!$CM$1,FALSE))</f>
        <v/>
      </c>
      <c r="L104" s="1460" t="str">
        <f>IF($A104="","",VLOOKUP($A104,'#BerechnungDBE'!$CB$5:$CS$104,'#BerechnungDBE'!$CP$1,FALSE))</f>
        <v/>
      </c>
      <c r="M104" s="1460" t="str">
        <f>IF($A104="","",VLOOKUP($A104,'#BerechnungDBE'!$CB$5:$CR$104,'#BerechnungDBE'!$CR$1,FALSE))</f>
        <v/>
      </c>
      <c r="N104" s="1460" t="str">
        <f>IF($A104="","",ROUNDDOWN(VLOOKUP($A104,'#BerechnungDBE'!$CB$5:$CT$104,'#BerechnungDBE'!$CT$1,FALSE),0))</f>
        <v/>
      </c>
      <c r="O104" s="1460" t="str">
        <f t="shared" si="2"/>
        <v/>
      </c>
      <c r="P104" s="1461" t="str">
        <f>IF($A104="","",VLOOKUP($A104,'#BerechnungDBE'!$CB$5:$CU$104,'#BerechnungDBE'!$CU$1,FALSE))</f>
        <v/>
      </c>
      <c r="Q104" s="890" t="str">
        <f t="shared" si="3"/>
        <v/>
      </c>
    </row>
    <row r="105" spans="1:17" s="875" customFormat="1" ht="15" customHeight="1" x14ac:dyDescent="0.2">
      <c r="A105" s="1458" t="str">
        <f>IF(SMALL('#BerechnungDBE'!$CB$5:$CB$104,'Flächen u. Kulturen'!A104)=1000,"",SMALL('#BerechnungDBE'!$CB$5:$CB$104,'Flächen u. Kulturen'!A104))</f>
        <v/>
      </c>
      <c r="B105" s="1255" t="str">
        <f>IF($A105="","",VLOOKUP($A105,'Flächen u. Kulturen'!$A$10:$D$109,'Flächen u. Kulturen'!C$1,FALSE))</f>
        <v/>
      </c>
      <c r="C105" s="1255" t="str">
        <f>IF($A105="","",VLOOKUP($A105,'Flächen u. Kulturen'!$A$10:$Z$109,'Flächen u. Kulturen'!B$1,FALSE))</f>
        <v/>
      </c>
      <c r="D105" s="1255" t="str">
        <f>IF($A105="","",VLOOKUP($A105,'DBE - N'!$A$12:$D$111,4,FALSE))</f>
        <v/>
      </c>
      <c r="E105" s="1459" t="str">
        <f>IF($A105="","",VLOOKUP($A105,'Flächen u. Kulturen'!$A$10:$Z$109,'Flächen u. Kulturen'!D$1,FALSE))</f>
        <v/>
      </c>
      <c r="F105" s="1255" t="str">
        <f>IF($A105="","",VLOOKUP($A105,'Flächen u. Kulturen'!$A$10:$V$109,'Flächen u. Kulturen'!L$1,FALSE))</f>
        <v/>
      </c>
      <c r="G105" s="1460" t="str">
        <f>IF($A105="","",VLOOKUP($A105,'Flächen u. Kulturen'!$A$10:$V$109,'Flächen u. Kulturen'!O$1,FALSE))</f>
        <v/>
      </c>
      <c r="H105" s="1460" t="str">
        <f>IF($A105="","",VLOOKUP($A105,'#BerechnungDBE'!$CB$5:$CN$104,'#BerechnungDBE'!$CH$1,FALSE))</f>
        <v/>
      </c>
      <c r="I105" s="1460" t="str">
        <f>IF($A105="","",VLOOKUP($A105,'#BerechnungDBE'!$CB$5:$CN$104,'#BerechnungDBE'!$CJ$1,FALSE))</f>
        <v/>
      </c>
      <c r="J105" s="1460" t="str">
        <f>IF($A105="","",VLOOKUP($A105,'#BerechnungDBE'!$CB$5:$CN$104,'#BerechnungDBE'!$CK$1,FALSE))</f>
        <v/>
      </c>
      <c r="K105" s="1460" t="str">
        <f>IF($A105="","",VLOOKUP($A105,'#BerechnungDBE'!$CB$5:$CN$104,'#BerechnungDBE'!$CM$1,FALSE))</f>
        <v/>
      </c>
      <c r="L105" s="1460" t="str">
        <f>IF($A105="","",VLOOKUP($A105,'#BerechnungDBE'!$CB$5:$CS$104,'#BerechnungDBE'!$CP$1,FALSE))</f>
        <v/>
      </c>
      <c r="M105" s="1460" t="str">
        <f>IF($A105="","",VLOOKUP($A105,'#BerechnungDBE'!$CB$5:$CR$104,'#BerechnungDBE'!$CR$1,FALSE))</f>
        <v/>
      </c>
      <c r="N105" s="1460" t="str">
        <f>IF($A105="","",ROUNDDOWN(VLOOKUP($A105,'#BerechnungDBE'!$CB$5:$CT$104,'#BerechnungDBE'!$CT$1,FALSE),0))</f>
        <v/>
      </c>
      <c r="O105" s="1460" t="str">
        <f t="shared" si="2"/>
        <v/>
      </c>
      <c r="P105" s="1461" t="str">
        <f>IF($A105="","",VLOOKUP($A105,'#BerechnungDBE'!$CB$5:$CU$104,'#BerechnungDBE'!$CU$1,FALSE))</f>
        <v/>
      </c>
      <c r="Q105" s="890" t="str">
        <f t="shared" si="3"/>
        <v/>
      </c>
    </row>
    <row r="106" spans="1:17" s="875" customFormat="1" ht="15" customHeight="1" x14ac:dyDescent="0.2">
      <c r="A106" s="1458" t="str">
        <f>IF(SMALL('#BerechnungDBE'!$CB$5:$CB$104,'Flächen u. Kulturen'!A105)=1000,"",SMALL('#BerechnungDBE'!$CB$5:$CB$104,'Flächen u. Kulturen'!A105))</f>
        <v/>
      </c>
      <c r="B106" s="1255" t="str">
        <f>IF($A106="","",VLOOKUP($A106,'Flächen u. Kulturen'!$A$10:$D$109,'Flächen u. Kulturen'!C$1,FALSE))</f>
        <v/>
      </c>
      <c r="C106" s="1255" t="str">
        <f>IF($A106="","",VLOOKUP($A106,'Flächen u. Kulturen'!$A$10:$Z$109,'Flächen u. Kulturen'!B$1,FALSE))</f>
        <v/>
      </c>
      <c r="D106" s="1255" t="str">
        <f>IF($A106="","",VLOOKUP($A106,'DBE - N'!$A$12:$D$111,4,FALSE))</f>
        <v/>
      </c>
      <c r="E106" s="1459" t="str">
        <f>IF($A106="","",VLOOKUP($A106,'Flächen u. Kulturen'!$A$10:$Z$109,'Flächen u. Kulturen'!D$1,FALSE))</f>
        <v/>
      </c>
      <c r="F106" s="1255" t="str">
        <f>IF($A106="","",VLOOKUP($A106,'Flächen u. Kulturen'!$A$10:$V$109,'Flächen u. Kulturen'!L$1,FALSE))</f>
        <v/>
      </c>
      <c r="G106" s="1460" t="str">
        <f>IF($A106="","",VLOOKUP($A106,'Flächen u. Kulturen'!$A$10:$V$109,'Flächen u. Kulturen'!O$1,FALSE))</f>
        <v/>
      </c>
      <c r="H106" s="1460" t="str">
        <f>IF($A106="","",VLOOKUP($A106,'#BerechnungDBE'!$CB$5:$CN$104,'#BerechnungDBE'!$CH$1,FALSE))</f>
        <v/>
      </c>
      <c r="I106" s="1460" t="str">
        <f>IF($A106="","",VLOOKUP($A106,'#BerechnungDBE'!$CB$5:$CN$104,'#BerechnungDBE'!$CJ$1,FALSE))</f>
        <v/>
      </c>
      <c r="J106" s="1460" t="str">
        <f>IF($A106="","",VLOOKUP($A106,'#BerechnungDBE'!$CB$5:$CN$104,'#BerechnungDBE'!$CK$1,FALSE))</f>
        <v/>
      </c>
      <c r="K106" s="1460" t="str">
        <f>IF($A106="","",VLOOKUP($A106,'#BerechnungDBE'!$CB$5:$CN$104,'#BerechnungDBE'!$CM$1,FALSE))</f>
        <v/>
      </c>
      <c r="L106" s="1460" t="str">
        <f>IF($A106="","",VLOOKUP($A106,'#BerechnungDBE'!$CB$5:$CS$104,'#BerechnungDBE'!$CP$1,FALSE))</f>
        <v/>
      </c>
      <c r="M106" s="1460" t="str">
        <f>IF($A106="","",VLOOKUP($A106,'#BerechnungDBE'!$CB$5:$CR$104,'#BerechnungDBE'!$CR$1,FALSE))</f>
        <v/>
      </c>
      <c r="N106" s="1460" t="str">
        <f>IF($A106="","",ROUNDDOWN(VLOOKUP($A106,'#BerechnungDBE'!$CB$5:$CT$104,'#BerechnungDBE'!$CT$1,FALSE),0))</f>
        <v/>
      </c>
      <c r="O106" s="1460" t="str">
        <f t="shared" si="2"/>
        <v/>
      </c>
      <c r="P106" s="1461" t="str">
        <f>IF($A106="","",VLOOKUP($A106,'#BerechnungDBE'!$CB$5:$CU$104,'#BerechnungDBE'!$CU$1,FALSE))</f>
        <v/>
      </c>
      <c r="Q106" s="890" t="str">
        <f t="shared" si="3"/>
        <v/>
      </c>
    </row>
    <row r="107" spans="1:17" s="875" customFormat="1" ht="15" customHeight="1" x14ac:dyDescent="0.2">
      <c r="A107" s="1458" t="str">
        <f>IF(SMALL('#BerechnungDBE'!$CB$5:$CB$104,'Flächen u. Kulturen'!A106)=1000,"",SMALL('#BerechnungDBE'!$CB$5:$CB$104,'Flächen u. Kulturen'!A106))</f>
        <v/>
      </c>
      <c r="B107" s="1255" t="str">
        <f>IF($A107="","",VLOOKUP($A107,'Flächen u. Kulturen'!$A$10:$D$109,'Flächen u. Kulturen'!C$1,FALSE))</f>
        <v/>
      </c>
      <c r="C107" s="1255" t="str">
        <f>IF($A107="","",VLOOKUP($A107,'Flächen u. Kulturen'!$A$10:$Z$109,'Flächen u. Kulturen'!B$1,FALSE))</f>
        <v/>
      </c>
      <c r="D107" s="1255" t="str">
        <f>IF($A107="","",VLOOKUP($A107,'DBE - N'!$A$12:$D$111,4,FALSE))</f>
        <v/>
      </c>
      <c r="E107" s="1459" t="str">
        <f>IF($A107="","",VLOOKUP($A107,'Flächen u. Kulturen'!$A$10:$Z$109,'Flächen u. Kulturen'!D$1,FALSE))</f>
        <v/>
      </c>
      <c r="F107" s="1255" t="str">
        <f>IF($A107="","",VLOOKUP($A107,'Flächen u. Kulturen'!$A$10:$V$109,'Flächen u. Kulturen'!L$1,FALSE))</f>
        <v/>
      </c>
      <c r="G107" s="1460" t="str">
        <f>IF($A107="","",VLOOKUP($A107,'Flächen u. Kulturen'!$A$10:$V$109,'Flächen u. Kulturen'!O$1,FALSE))</f>
        <v/>
      </c>
      <c r="H107" s="1460" t="str">
        <f>IF($A107="","",VLOOKUP($A107,'#BerechnungDBE'!$CB$5:$CN$104,'#BerechnungDBE'!$CH$1,FALSE))</f>
        <v/>
      </c>
      <c r="I107" s="1460" t="str">
        <f>IF($A107="","",VLOOKUP($A107,'#BerechnungDBE'!$CB$5:$CN$104,'#BerechnungDBE'!$CJ$1,FALSE))</f>
        <v/>
      </c>
      <c r="J107" s="1460" t="str">
        <f>IF($A107="","",VLOOKUP($A107,'#BerechnungDBE'!$CB$5:$CN$104,'#BerechnungDBE'!$CK$1,FALSE))</f>
        <v/>
      </c>
      <c r="K107" s="1460" t="str">
        <f>IF($A107="","",VLOOKUP($A107,'#BerechnungDBE'!$CB$5:$CN$104,'#BerechnungDBE'!$CM$1,FALSE))</f>
        <v/>
      </c>
      <c r="L107" s="1460" t="str">
        <f>IF($A107="","",VLOOKUP($A107,'#BerechnungDBE'!$CB$5:$CS$104,'#BerechnungDBE'!$CP$1,FALSE))</f>
        <v/>
      </c>
      <c r="M107" s="1460" t="str">
        <f>IF($A107="","",VLOOKUP($A107,'#BerechnungDBE'!$CB$5:$CR$104,'#BerechnungDBE'!$CR$1,FALSE))</f>
        <v/>
      </c>
      <c r="N107" s="1460" t="str">
        <f>IF($A107="","",ROUNDDOWN(VLOOKUP($A107,'#BerechnungDBE'!$CB$5:$CT$104,'#BerechnungDBE'!$CT$1,FALSE),0))</f>
        <v/>
      </c>
      <c r="O107" s="1460" t="str">
        <f t="shared" si="2"/>
        <v/>
      </c>
      <c r="P107" s="1461" t="str">
        <f>IF($A107="","",VLOOKUP($A107,'#BerechnungDBE'!$CB$5:$CU$104,'#BerechnungDBE'!$CU$1,FALSE))</f>
        <v/>
      </c>
      <c r="Q107" s="890" t="str">
        <f t="shared" si="3"/>
        <v/>
      </c>
    </row>
    <row r="108" spans="1:17" s="875" customFormat="1" ht="15" customHeight="1" x14ac:dyDescent="0.2">
      <c r="A108" s="1458" t="str">
        <f>IF(SMALL('#BerechnungDBE'!$CB$5:$CB$104,'Flächen u. Kulturen'!A107)=1000,"",SMALL('#BerechnungDBE'!$CB$5:$CB$104,'Flächen u. Kulturen'!A107))</f>
        <v/>
      </c>
      <c r="B108" s="1255" t="str">
        <f>IF($A108="","",VLOOKUP($A108,'Flächen u. Kulturen'!$A$10:$D$109,'Flächen u. Kulturen'!C$1,FALSE))</f>
        <v/>
      </c>
      <c r="C108" s="1255" t="str">
        <f>IF($A108="","",VLOOKUP($A108,'Flächen u. Kulturen'!$A$10:$Z$109,'Flächen u. Kulturen'!B$1,FALSE))</f>
        <v/>
      </c>
      <c r="D108" s="1255" t="str">
        <f>IF($A108="","",VLOOKUP($A108,'DBE - N'!$A$12:$D$111,4,FALSE))</f>
        <v/>
      </c>
      <c r="E108" s="1459" t="str">
        <f>IF($A108="","",VLOOKUP($A108,'Flächen u. Kulturen'!$A$10:$Z$109,'Flächen u. Kulturen'!D$1,FALSE))</f>
        <v/>
      </c>
      <c r="F108" s="1255" t="str">
        <f>IF($A108="","",VLOOKUP($A108,'Flächen u. Kulturen'!$A$10:$V$109,'Flächen u. Kulturen'!L$1,FALSE))</f>
        <v/>
      </c>
      <c r="G108" s="1460" t="str">
        <f>IF($A108="","",VLOOKUP($A108,'Flächen u. Kulturen'!$A$10:$V$109,'Flächen u. Kulturen'!O$1,FALSE))</f>
        <v/>
      </c>
      <c r="H108" s="1460" t="str">
        <f>IF($A108="","",VLOOKUP($A108,'#BerechnungDBE'!$CB$5:$CN$104,'#BerechnungDBE'!$CH$1,FALSE))</f>
        <v/>
      </c>
      <c r="I108" s="1460" t="str">
        <f>IF($A108="","",VLOOKUP($A108,'#BerechnungDBE'!$CB$5:$CN$104,'#BerechnungDBE'!$CJ$1,FALSE))</f>
        <v/>
      </c>
      <c r="J108" s="1460" t="str">
        <f>IF($A108="","",VLOOKUP($A108,'#BerechnungDBE'!$CB$5:$CN$104,'#BerechnungDBE'!$CK$1,FALSE))</f>
        <v/>
      </c>
      <c r="K108" s="1460" t="str">
        <f>IF($A108="","",VLOOKUP($A108,'#BerechnungDBE'!$CB$5:$CN$104,'#BerechnungDBE'!$CM$1,FALSE))</f>
        <v/>
      </c>
      <c r="L108" s="1460" t="str">
        <f>IF($A108="","",VLOOKUP($A108,'#BerechnungDBE'!$CB$5:$CS$104,'#BerechnungDBE'!$CP$1,FALSE))</f>
        <v/>
      </c>
      <c r="M108" s="1460" t="str">
        <f>IF($A108="","",VLOOKUP($A108,'#BerechnungDBE'!$CB$5:$CR$104,'#BerechnungDBE'!$CR$1,FALSE))</f>
        <v/>
      </c>
      <c r="N108" s="1460" t="str">
        <f>IF($A108="","",ROUNDDOWN(VLOOKUP($A108,'#BerechnungDBE'!$CB$5:$CT$104,'#BerechnungDBE'!$CT$1,FALSE),0))</f>
        <v/>
      </c>
      <c r="O108" s="1460" t="str">
        <f t="shared" si="2"/>
        <v/>
      </c>
      <c r="P108" s="1461" t="str">
        <f>IF($A108="","",VLOOKUP($A108,'#BerechnungDBE'!$CB$5:$CU$104,'#BerechnungDBE'!$CU$1,FALSE))</f>
        <v/>
      </c>
      <c r="Q108" s="890" t="str">
        <f t="shared" si="3"/>
        <v/>
      </c>
    </row>
    <row r="109" spans="1:17" s="875" customFormat="1" ht="15" customHeight="1" x14ac:dyDescent="0.2">
      <c r="A109" s="1458" t="str">
        <f>IF(SMALL('#BerechnungDBE'!$CB$5:$CB$104,'Flächen u. Kulturen'!A108)=1000,"",SMALL('#BerechnungDBE'!$CB$5:$CB$104,'Flächen u. Kulturen'!A108))</f>
        <v/>
      </c>
      <c r="B109" s="1255" t="str">
        <f>IF($A109="","",VLOOKUP($A109,'Flächen u. Kulturen'!$A$10:$D$109,'Flächen u. Kulturen'!C$1,FALSE))</f>
        <v/>
      </c>
      <c r="C109" s="1255" t="str">
        <f>IF($A109="","",VLOOKUP($A109,'Flächen u. Kulturen'!$A$10:$Z$109,'Flächen u. Kulturen'!B$1,FALSE))</f>
        <v/>
      </c>
      <c r="D109" s="1255" t="str">
        <f>IF($A109="","",VLOOKUP($A109,'DBE - N'!$A$12:$D$111,4,FALSE))</f>
        <v/>
      </c>
      <c r="E109" s="1459" t="str">
        <f>IF($A109="","",VLOOKUP($A109,'Flächen u. Kulturen'!$A$10:$Z$109,'Flächen u. Kulturen'!D$1,FALSE))</f>
        <v/>
      </c>
      <c r="F109" s="1255" t="str">
        <f>IF($A109="","",VLOOKUP($A109,'Flächen u. Kulturen'!$A$10:$V$109,'Flächen u. Kulturen'!L$1,FALSE))</f>
        <v/>
      </c>
      <c r="G109" s="1460" t="str">
        <f>IF($A109="","",VLOOKUP($A109,'Flächen u. Kulturen'!$A$10:$V$109,'Flächen u. Kulturen'!O$1,FALSE))</f>
        <v/>
      </c>
      <c r="H109" s="1460" t="str">
        <f>IF($A109="","",VLOOKUP($A109,'#BerechnungDBE'!$CB$5:$CN$104,'#BerechnungDBE'!$CH$1,FALSE))</f>
        <v/>
      </c>
      <c r="I109" s="1460" t="str">
        <f>IF($A109="","",VLOOKUP($A109,'#BerechnungDBE'!$CB$5:$CN$104,'#BerechnungDBE'!$CJ$1,FALSE))</f>
        <v/>
      </c>
      <c r="J109" s="1460" t="str">
        <f>IF($A109="","",VLOOKUP($A109,'#BerechnungDBE'!$CB$5:$CN$104,'#BerechnungDBE'!$CK$1,FALSE))</f>
        <v/>
      </c>
      <c r="K109" s="1460" t="str">
        <f>IF($A109="","",VLOOKUP($A109,'#BerechnungDBE'!$CB$5:$CN$104,'#BerechnungDBE'!$CM$1,FALSE))</f>
        <v/>
      </c>
      <c r="L109" s="1460" t="str">
        <f>IF($A109="","",VLOOKUP($A109,'#BerechnungDBE'!$CB$5:$CS$104,'#BerechnungDBE'!$CP$1,FALSE))</f>
        <v/>
      </c>
      <c r="M109" s="1460" t="str">
        <f>IF($A109="","",VLOOKUP($A109,'#BerechnungDBE'!$CB$5:$CR$104,'#BerechnungDBE'!$CR$1,FALSE))</f>
        <v/>
      </c>
      <c r="N109" s="1460" t="str">
        <f>IF($A109="","",ROUNDDOWN(VLOOKUP($A109,'#BerechnungDBE'!$CB$5:$CT$104,'#BerechnungDBE'!$CT$1,FALSE),0))</f>
        <v/>
      </c>
      <c r="O109" s="1460" t="str">
        <f t="shared" si="2"/>
        <v/>
      </c>
      <c r="P109" s="1461" t="str">
        <f>IF($A109="","",VLOOKUP($A109,'#BerechnungDBE'!$CB$5:$CU$104,'#BerechnungDBE'!$CU$1,FALSE))</f>
        <v/>
      </c>
      <c r="Q109" s="890" t="str">
        <f t="shared" si="3"/>
        <v/>
      </c>
    </row>
    <row r="110" spans="1:17" s="875" customFormat="1" ht="15" customHeight="1" x14ac:dyDescent="0.2">
      <c r="A110" s="1462" t="str">
        <f>IF(SMALL('#BerechnungDBE'!$CB$5:$CB$104,'Flächen u. Kulturen'!A109)=1000,"",SMALL('#BerechnungDBE'!$CB$5:$CB$104,'Flächen u. Kulturen'!A109))</f>
        <v/>
      </c>
      <c r="B110" s="1256" t="str">
        <f>IF($A110="","",VLOOKUP($A110,'Flächen u. Kulturen'!$A$10:$D$109,'Flächen u. Kulturen'!C$1,FALSE))</f>
        <v/>
      </c>
      <c r="C110" s="1256" t="str">
        <f>IF($A110="","",VLOOKUP($A110,'Flächen u. Kulturen'!$A$10:$Z$109,'Flächen u. Kulturen'!B$1,FALSE))</f>
        <v/>
      </c>
      <c r="D110" s="1256" t="str">
        <f>IF($A110="","",VLOOKUP($A110,'DBE - N'!$A$12:$D$111,4,FALSE))</f>
        <v/>
      </c>
      <c r="E110" s="1463" t="str">
        <f>IF($A110="","",VLOOKUP($A110,'Flächen u. Kulturen'!$A$10:$Z$109,'Flächen u. Kulturen'!D$1,FALSE))</f>
        <v/>
      </c>
      <c r="F110" s="1256" t="str">
        <f>IF($A110="","",VLOOKUP($A110,'Flächen u. Kulturen'!$A$10:$V$109,'Flächen u. Kulturen'!L$1,FALSE))</f>
        <v/>
      </c>
      <c r="G110" s="1464" t="str">
        <f>IF($A110="","",VLOOKUP($A110,'Flächen u. Kulturen'!$A$10:$V$109,'Flächen u. Kulturen'!O$1,FALSE))</f>
        <v/>
      </c>
      <c r="H110" s="1464" t="str">
        <f>IF($A110="","",VLOOKUP($A110,'#BerechnungDBE'!$CB$5:$CN$104,'#BerechnungDBE'!$CH$1,FALSE))</f>
        <v/>
      </c>
      <c r="I110" s="1464" t="str">
        <f>IF($A110="","",VLOOKUP($A110,'#BerechnungDBE'!$CB$5:$CN$104,'#BerechnungDBE'!$CJ$1,FALSE))</f>
        <v/>
      </c>
      <c r="J110" s="1460" t="str">
        <f>IF($A110="","",VLOOKUP($A110,'#BerechnungDBE'!$CB$5:$CN$104,'#BerechnungDBE'!$CK$1,FALSE))</f>
        <v/>
      </c>
      <c r="K110" s="1464" t="str">
        <f>IF($A110="","",VLOOKUP($A110,'#BerechnungDBE'!$CB$5:$CN$104,'#BerechnungDBE'!$CM$1,FALSE))</f>
        <v/>
      </c>
      <c r="L110" s="1464" t="str">
        <f>IF($A110="","",VLOOKUP($A110,'#BerechnungDBE'!$CB$5:$CS$104,'#BerechnungDBE'!$CP$1,FALSE))</f>
        <v/>
      </c>
      <c r="M110" s="1464" t="str">
        <f>IF($A110="","",VLOOKUP($A110,'#BerechnungDBE'!$CB$5:$CR$104,'#BerechnungDBE'!$CR$1,FALSE))</f>
        <v/>
      </c>
      <c r="N110" s="1464" t="str">
        <f>IF($A110="","",ROUNDDOWN(VLOOKUP($A110,'#BerechnungDBE'!$CB$5:$CT$104,'#BerechnungDBE'!$CT$1,FALSE),0))</f>
        <v/>
      </c>
      <c r="O110" s="1464" t="str">
        <f t="shared" si="2"/>
        <v/>
      </c>
      <c r="P110" s="1465" t="str">
        <f>IF($A110="","",VLOOKUP($A110,'#BerechnungDBE'!$CB$5:$CU$104,'#BerechnungDBE'!$CU$1,FALSE))</f>
        <v/>
      </c>
      <c r="Q110" s="890" t="str">
        <f t="shared" si="3"/>
        <v/>
      </c>
    </row>
    <row r="111" spans="1:17" hidden="1" x14ac:dyDescent="0.2">
      <c r="A111" s="251" t="s">
        <v>351</v>
      </c>
      <c r="P111" s="551"/>
    </row>
    <row r="112" spans="1:17" hidden="1" x14ac:dyDescent="0.2">
      <c r="B112" s="560" t="s">
        <v>1216</v>
      </c>
      <c r="C112" s="560" t="s">
        <v>1217</v>
      </c>
      <c r="D112" s="872"/>
      <c r="E112" s="560" t="s">
        <v>711</v>
      </c>
      <c r="P112" s="551"/>
      <c r="Q112">
        <f>MAX(Q11:Q110)</f>
        <v>0</v>
      </c>
    </row>
    <row r="113" spans="2:16" hidden="1" x14ac:dyDescent="0.2">
      <c r="B113" s="503" t="str">
        <f>CONCATENATE("A1",":",C113,E113)</f>
        <v>A1:O33</v>
      </c>
      <c r="C113" s="560" t="s">
        <v>1240</v>
      </c>
      <c r="D113" s="872"/>
      <c r="E113">
        <f>IF(Q112=0,33,Q112)</f>
        <v>33</v>
      </c>
      <c r="M113" s="52">
        <f>MIN(M11:M110)</f>
        <v>0</v>
      </c>
      <c r="P113" s="551"/>
    </row>
    <row r="114" spans="2:16" hidden="1" x14ac:dyDescent="0.2">
      <c r="F114" s="18"/>
      <c r="G114" s="18"/>
      <c r="J114" s="18"/>
      <c r="K114" s="18"/>
      <c r="L114" s="821"/>
      <c r="M114" s="18"/>
    </row>
  </sheetData>
  <sheetProtection algorithmName="SHA-512" hashValue="JDQye2QOTW8gItZ9mt40iXMB8TpcSjRYIbWtKAzjQ2Ek6Ix5hwQoidUXE6Pw2DvYreESnrQyEMyqZ2p3I1zRUw==" saltValue="NR56YgcotVrKx/aaM4JUHA=="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A7:A10"/>
    <mergeCell ref="C7:C10"/>
    <mergeCell ref="E7:E10"/>
    <mergeCell ref="F7:F10"/>
    <mergeCell ref="G7:G10"/>
    <mergeCell ref="D7:D10"/>
    <mergeCell ref="I7:I10"/>
    <mergeCell ref="K3:M3"/>
    <mergeCell ref="L7:L10"/>
    <mergeCell ref="H7:H10"/>
    <mergeCell ref="J7:J10"/>
    <mergeCell ref="P7:P10"/>
    <mergeCell ref="O7:O10"/>
    <mergeCell ref="N7:N10"/>
    <mergeCell ref="K7:K10"/>
    <mergeCell ref="M7:M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Sr, Sp, Ka), Stand: 13.12.2021&amp;RSeite &amp;P von &amp;N; &amp;D, &amp;T</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FFF99"/>
  </sheetPr>
  <dimension ref="A2:AB112"/>
  <sheetViews>
    <sheetView workbookViewId="0">
      <selection activeCell="B7" sqref="B7"/>
    </sheetView>
  </sheetViews>
  <sheetFormatPr baseColWidth="10" defaultRowHeight="12.75" x14ac:dyDescent="0.2"/>
  <sheetData>
    <row r="2" spans="1:28" ht="92.25" customHeight="1" x14ac:dyDescent="0.2">
      <c r="A2" s="1483" t="s">
        <v>2448</v>
      </c>
    </row>
    <row r="3" spans="1:28" s="760" customFormat="1" ht="24.75" customHeight="1" x14ac:dyDescent="0.2">
      <c r="C3" s="882" t="s">
        <v>2444</v>
      </c>
    </row>
    <row r="4" spans="1:28" s="760" customFormat="1" ht="36" customHeight="1" x14ac:dyDescent="0.2">
      <c r="C4" s="882" t="s">
        <v>2443</v>
      </c>
    </row>
    <row r="5" spans="1:28" s="760" customFormat="1" x14ac:dyDescent="0.2">
      <c r="C5" s="938"/>
    </row>
    <row r="7" spans="1:28" x14ac:dyDescent="0.2">
      <c r="B7" s="1032"/>
      <c r="C7" s="1033"/>
      <c r="D7" s="1033"/>
      <c r="E7" s="1033"/>
      <c r="F7" s="1033"/>
      <c r="G7" s="1033"/>
      <c r="H7" s="1033"/>
      <c r="I7" s="1033"/>
      <c r="J7" s="1033"/>
      <c r="K7" s="1033"/>
      <c r="L7" s="1033"/>
      <c r="M7" s="1033"/>
      <c r="N7" s="1033"/>
      <c r="O7" s="1033"/>
      <c r="P7" s="1033"/>
      <c r="Q7" s="1034"/>
      <c r="R7" s="1033"/>
      <c r="S7" s="1033"/>
      <c r="T7" s="1033"/>
      <c r="U7" s="1033"/>
      <c r="V7" s="1033"/>
      <c r="W7" s="1034"/>
      <c r="X7" s="1033"/>
      <c r="Y7" s="1033"/>
      <c r="Z7" s="1033"/>
      <c r="AA7" s="1033"/>
      <c r="AB7" s="1035"/>
    </row>
    <row r="8" spans="1:28" x14ac:dyDescent="0.2">
      <c r="B8" s="1036"/>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1037"/>
    </row>
    <row r="9" spans="1:28" x14ac:dyDescent="0.2">
      <c r="B9" s="1036"/>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1037"/>
    </row>
    <row r="10" spans="1:28" x14ac:dyDescent="0.2">
      <c r="B10" s="1036"/>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1037"/>
    </row>
    <row r="11" spans="1:28" x14ac:dyDescent="0.2">
      <c r="B11" s="1036"/>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1037"/>
    </row>
    <row r="12" spans="1:28" x14ac:dyDescent="0.2">
      <c r="B12" s="1036"/>
      <c r="C12" s="477"/>
      <c r="D12" s="477"/>
      <c r="E12" s="477"/>
      <c r="F12" s="477"/>
      <c r="G12" s="477"/>
      <c r="H12" s="477"/>
      <c r="I12" s="477"/>
      <c r="J12" s="477"/>
      <c r="K12" s="477"/>
      <c r="L12" s="477"/>
      <c r="M12" s="477"/>
      <c r="N12" s="477"/>
      <c r="O12" s="477"/>
      <c r="P12" s="477"/>
      <c r="Q12" s="738"/>
      <c r="R12" s="477"/>
      <c r="S12" s="477"/>
      <c r="T12" s="477"/>
      <c r="U12" s="477"/>
      <c r="V12" s="477"/>
      <c r="W12" s="477"/>
      <c r="X12" s="477"/>
      <c r="Y12" s="477"/>
      <c r="Z12" s="477"/>
      <c r="AA12" s="477"/>
      <c r="AB12" s="1037"/>
    </row>
    <row r="13" spans="1:28" x14ac:dyDescent="0.2">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row>
    <row r="14" spans="1:28" x14ac:dyDescent="0.2">
      <c r="B14" s="474"/>
      <c r="C14" s="474"/>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row>
    <row r="15" spans="1:28" x14ac:dyDescent="0.2">
      <c r="B15" s="474"/>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row>
    <row r="16" spans="1:28" x14ac:dyDescent="0.2">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row>
    <row r="17" spans="2:28" x14ac:dyDescent="0.2">
      <c r="B17" s="474"/>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row>
    <row r="18" spans="2:28" x14ac:dyDescent="0.2">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row>
    <row r="19" spans="2:28" x14ac:dyDescent="0.2">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row>
    <row r="20" spans="2:28" x14ac:dyDescent="0.2">
      <c r="B20" s="474"/>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row>
    <row r="21" spans="2:28" x14ac:dyDescent="0.2">
      <c r="B21" s="474"/>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row>
    <row r="22" spans="2:28" x14ac:dyDescent="0.2">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row>
    <row r="23" spans="2:28" x14ac:dyDescent="0.2">
      <c r="B23" s="474"/>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row>
    <row r="24" spans="2:28" x14ac:dyDescent="0.2">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row>
    <row r="25" spans="2:28" x14ac:dyDescent="0.2">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row>
    <row r="26" spans="2:28" x14ac:dyDescent="0.2">
      <c r="B26" s="474"/>
      <c r="C26" s="474"/>
      <c r="D26" s="474"/>
      <c r="E26" s="474"/>
      <c r="F26" s="474"/>
      <c r="G26" s="474"/>
      <c r="H26" s="474"/>
      <c r="I26" s="474"/>
      <c r="J26" s="474"/>
      <c r="K26" s="474"/>
      <c r="L26" s="474"/>
      <c r="M26" s="474"/>
      <c r="N26" s="474"/>
      <c r="O26" s="474"/>
      <c r="P26" s="474"/>
      <c r="Q26" s="474"/>
      <c r="R26" s="474"/>
      <c r="S26" s="474"/>
      <c r="T26" s="474"/>
      <c r="U26" s="474"/>
      <c r="V26" s="474"/>
      <c r="W26" s="474"/>
      <c r="X26" s="474"/>
      <c r="Y26" s="474"/>
      <c r="Z26" s="474"/>
      <c r="AA26" s="474"/>
      <c r="AB26" s="474"/>
    </row>
    <row r="27" spans="2:28" x14ac:dyDescent="0.2">
      <c r="B27" s="474"/>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row>
    <row r="28" spans="2:28" x14ac:dyDescent="0.2">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row>
    <row r="29" spans="2:28" x14ac:dyDescent="0.2">
      <c r="B29" s="474"/>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row>
    <row r="30" spans="2:28" x14ac:dyDescent="0.2">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row>
    <row r="31" spans="2:28" x14ac:dyDescent="0.2">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row>
    <row r="32" spans="2:28" x14ac:dyDescent="0.2">
      <c r="B32" s="474"/>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row>
    <row r="33" spans="2:28" x14ac:dyDescent="0.2">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row>
    <row r="34" spans="2:28" x14ac:dyDescent="0.2">
      <c r="B34" s="47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row>
    <row r="35" spans="2:28" x14ac:dyDescent="0.2">
      <c r="B35" s="474"/>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c r="AB35" s="474"/>
    </row>
    <row r="36" spans="2:28" x14ac:dyDescent="0.2">
      <c r="B36" s="474"/>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row>
    <row r="37" spans="2:28" x14ac:dyDescent="0.2">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row>
    <row r="38" spans="2:28" x14ac:dyDescent="0.2">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row>
    <row r="39" spans="2:28" x14ac:dyDescent="0.2">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row>
    <row r="40" spans="2:28" x14ac:dyDescent="0.2">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row>
    <row r="41" spans="2:28" x14ac:dyDescent="0.2">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row>
    <row r="42" spans="2:28" x14ac:dyDescent="0.2">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row>
    <row r="43" spans="2:28" x14ac:dyDescent="0.2">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row>
    <row r="44" spans="2:28" x14ac:dyDescent="0.2">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row>
    <row r="45" spans="2:28" x14ac:dyDescent="0.2">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row>
    <row r="46" spans="2:28" x14ac:dyDescent="0.2">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row>
    <row r="47" spans="2:28" x14ac:dyDescent="0.2">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row>
    <row r="48" spans="2:28" x14ac:dyDescent="0.2">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row>
    <row r="49" spans="2:28" x14ac:dyDescent="0.2">
      <c r="B49" s="474"/>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row>
    <row r="50" spans="2:28" x14ac:dyDescent="0.2">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row>
    <row r="51" spans="2:28" x14ac:dyDescent="0.2">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row>
    <row r="52" spans="2:28" x14ac:dyDescent="0.2">
      <c r="B52" s="474"/>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row>
    <row r="53" spans="2:28" x14ac:dyDescent="0.2">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row>
    <row r="54" spans="2:28" x14ac:dyDescent="0.2">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row>
    <row r="55" spans="2:28" x14ac:dyDescent="0.2">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row>
    <row r="56" spans="2:28" x14ac:dyDescent="0.2">
      <c r="B56" s="474"/>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row>
    <row r="57" spans="2:28" x14ac:dyDescent="0.2">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row>
    <row r="58" spans="2:28" x14ac:dyDescent="0.2">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row>
    <row r="59" spans="2:28" x14ac:dyDescent="0.2">
      <c r="B59" s="474"/>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row>
    <row r="60" spans="2:28" x14ac:dyDescent="0.2">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row>
    <row r="61" spans="2:28" x14ac:dyDescent="0.2">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row>
    <row r="62" spans="2:28" x14ac:dyDescent="0.2">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row>
    <row r="63" spans="2:28" x14ac:dyDescent="0.2">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row>
    <row r="64" spans="2:28" x14ac:dyDescent="0.2">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row>
    <row r="65" spans="2:28" x14ac:dyDescent="0.2">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row>
    <row r="66" spans="2:28" x14ac:dyDescent="0.2">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row>
    <row r="67" spans="2:28" x14ac:dyDescent="0.2">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row>
    <row r="68" spans="2:28" x14ac:dyDescent="0.2">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row>
    <row r="69" spans="2:28" x14ac:dyDescent="0.2">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row>
    <row r="70" spans="2:28" x14ac:dyDescent="0.2">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row>
    <row r="71" spans="2:28" x14ac:dyDescent="0.2">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row>
    <row r="72" spans="2:28" x14ac:dyDescent="0.2">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row>
    <row r="73" spans="2:28" x14ac:dyDescent="0.2">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row>
    <row r="74" spans="2:28" x14ac:dyDescent="0.2">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row>
    <row r="75" spans="2:28" x14ac:dyDescent="0.2">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row>
    <row r="76" spans="2:28" x14ac:dyDescent="0.2">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row>
    <row r="77" spans="2:28" x14ac:dyDescent="0.2">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row>
    <row r="78" spans="2:28" x14ac:dyDescent="0.2">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row>
    <row r="79" spans="2:28" x14ac:dyDescent="0.2">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row>
    <row r="80" spans="2:28" x14ac:dyDescent="0.2">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row>
    <row r="81" spans="2:28" x14ac:dyDescent="0.2">
      <c r="B81" s="474"/>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row>
    <row r="82" spans="2:28" x14ac:dyDescent="0.2">
      <c r="B82" s="474"/>
      <c r="C82" s="474"/>
      <c r="D82" s="474"/>
      <c r="E82" s="474"/>
      <c r="F82" s="474"/>
      <c r="G82" s="474"/>
      <c r="H82" s="474"/>
      <c r="I82" s="474"/>
      <c r="J82" s="474"/>
      <c r="K82" s="474"/>
      <c r="L82" s="474"/>
      <c r="M82" s="474"/>
      <c r="N82" s="474"/>
      <c r="O82" s="474"/>
      <c r="P82" s="474"/>
      <c r="Q82" s="474"/>
      <c r="R82" s="474"/>
      <c r="S82" s="474"/>
      <c r="T82" s="474"/>
      <c r="U82" s="474"/>
      <c r="V82" s="474"/>
      <c r="W82" s="474"/>
      <c r="X82" s="474"/>
      <c r="Y82" s="474"/>
      <c r="Z82" s="474"/>
      <c r="AA82" s="474"/>
      <c r="AB82" s="474"/>
    </row>
    <row r="83" spans="2:28" x14ac:dyDescent="0.2">
      <c r="B83" s="474"/>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row>
    <row r="84" spans="2:28" x14ac:dyDescent="0.2">
      <c r="B84" s="474"/>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row>
    <row r="85" spans="2:28" x14ac:dyDescent="0.2">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row>
    <row r="86" spans="2:28" x14ac:dyDescent="0.2">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row>
    <row r="87" spans="2:28" x14ac:dyDescent="0.2">
      <c r="B87" s="474"/>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474"/>
      <c r="AB87" s="474"/>
    </row>
    <row r="88" spans="2:28" x14ac:dyDescent="0.2">
      <c r="B88" s="474"/>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row>
    <row r="89" spans="2:28" x14ac:dyDescent="0.2">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B89" s="474"/>
    </row>
    <row r="90" spans="2:28" x14ac:dyDescent="0.2">
      <c r="B90" s="474"/>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row>
    <row r="91" spans="2:28" x14ac:dyDescent="0.2">
      <c r="B91" s="474"/>
      <c r="C91" s="474"/>
      <c r="D91" s="474"/>
      <c r="E91" s="474"/>
      <c r="F91" s="474"/>
      <c r="G91" s="474"/>
      <c r="H91" s="474"/>
      <c r="I91" s="474"/>
      <c r="J91" s="474"/>
      <c r="K91" s="474"/>
      <c r="L91" s="474"/>
      <c r="M91" s="474"/>
      <c r="N91" s="474"/>
      <c r="O91" s="474"/>
      <c r="P91" s="474"/>
      <c r="Q91" s="474"/>
      <c r="R91" s="474"/>
      <c r="S91" s="474"/>
      <c r="T91" s="474"/>
      <c r="U91" s="474"/>
      <c r="V91" s="474"/>
      <c r="W91" s="474"/>
      <c r="X91" s="474"/>
      <c r="Y91" s="474"/>
      <c r="Z91" s="474"/>
      <c r="AA91" s="474"/>
      <c r="AB91" s="474"/>
    </row>
    <row r="92" spans="2:28" x14ac:dyDescent="0.2">
      <c r="B92" s="474"/>
      <c r="C92" s="474"/>
      <c r="D92" s="474"/>
      <c r="E92" s="474"/>
      <c r="F92" s="474"/>
      <c r="G92" s="474"/>
      <c r="H92" s="474"/>
      <c r="I92" s="474"/>
      <c r="J92" s="474"/>
      <c r="K92" s="474"/>
      <c r="L92" s="474"/>
      <c r="M92" s="474"/>
      <c r="N92" s="474"/>
      <c r="O92" s="474"/>
      <c r="P92" s="474"/>
      <c r="Q92" s="474"/>
      <c r="R92" s="474"/>
      <c r="S92" s="474"/>
      <c r="T92" s="474"/>
      <c r="U92" s="474"/>
      <c r="V92" s="474"/>
      <c r="W92" s="474"/>
      <c r="X92" s="474"/>
      <c r="Y92" s="474"/>
      <c r="Z92" s="474"/>
      <c r="AA92" s="474"/>
      <c r="AB92" s="474"/>
    </row>
    <row r="93" spans="2:28" x14ac:dyDescent="0.2">
      <c r="B93" s="474"/>
      <c r="C93" s="474"/>
      <c r="D93" s="474"/>
      <c r="E93" s="474"/>
      <c r="F93" s="474"/>
      <c r="G93" s="474"/>
      <c r="H93" s="474"/>
      <c r="I93" s="474"/>
      <c r="J93" s="474"/>
      <c r="K93" s="474"/>
      <c r="L93" s="474"/>
      <c r="M93" s="474"/>
      <c r="N93" s="474"/>
      <c r="O93" s="474"/>
      <c r="P93" s="474"/>
      <c r="Q93" s="474"/>
      <c r="R93" s="474"/>
      <c r="S93" s="474"/>
      <c r="T93" s="474"/>
      <c r="U93" s="474"/>
      <c r="V93" s="474"/>
      <c r="W93" s="474"/>
      <c r="X93" s="474"/>
      <c r="Y93" s="474"/>
      <c r="Z93" s="474"/>
      <c r="AA93" s="474"/>
      <c r="AB93" s="474"/>
    </row>
    <row r="94" spans="2:28" x14ac:dyDescent="0.2">
      <c r="B94" s="474"/>
      <c r="C94" s="474"/>
      <c r="D94" s="474"/>
      <c r="E94" s="474"/>
      <c r="F94" s="474"/>
      <c r="G94" s="474"/>
      <c r="H94" s="474"/>
      <c r="I94" s="474"/>
      <c r="J94" s="474"/>
      <c r="K94" s="474"/>
      <c r="L94" s="474"/>
      <c r="M94" s="474"/>
      <c r="N94" s="474"/>
      <c r="O94" s="474"/>
      <c r="P94" s="474"/>
      <c r="Q94" s="474"/>
      <c r="R94" s="474"/>
      <c r="S94" s="474"/>
      <c r="T94" s="474"/>
      <c r="U94" s="474"/>
      <c r="V94" s="474"/>
      <c r="W94" s="474"/>
      <c r="X94" s="474"/>
      <c r="Y94" s="474"/>
      <c r="Z94" s="474"/>
      <c r="AA94" s="474"/>
      <c r="AB94" s="474"/>
    </row>
    <row r="95" spans="2:28" x14ac:dyDescent="0.2">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row>
    <row r="96" spans="2:28" x14ac:dyDescent="0.2">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c r="AA96" s="474"/>
      <c r="AB96" s="474"/>
    </row>
    <row r="97" spans="2:28" x14ac:dyDescent="0.2">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row>
    <row r="98" spans="2:28" x14ac:dyDescent="0.2">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row>
    <row r="99" spans="2:28" x14ac:dyDescent="0.2">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row>
    <row r="100" spans="2:28" x14ac:dyDescent="0.2">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row>
    <row r="101" spans="2:28" x14ac:dyDescent="0.2">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row>
    <row r="102" spans="2:28" x14ac:dyDescent="0.2">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row>
    <row r="103" spans="2:28" x14ac:dyDescent="0.2">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row>
    <row r="104" spans="2:28" x14ac:dyDescent="0.2">
      <c r="B104" s="474"/>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row>
    <row r="105" spans="2:28" x14ac:dyDescent="0.2">
      <c r="B105" s="474"/>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row>
    <row r="106" spans="2:28" x14ac:dyDescent="0.2">
      <c r="B106" s="474"/>
      <c r="C106" s="474"/>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row>
    <row r="107" spans="2:28" x14ac:dyDescent="0.2">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row>
    <row r="108" spans="2:28" x14ac:dyDescent="0.2">
      <c r="Z108" s="938"/>
    </row>
    <row r="112" spans="2:28" x14ac:dyDescent="0.2">
      <c r="Z112" s="938"/>
    </row>
  </sheetData>
  <sheetProtection algorithmName="SHA-512" hashValue="Zzz7SWcvXmqSVTjyeJzRj9IgtgvD3AQDbzAISUOrTuII9TeVnSholfdjFoK6KUdmBsgBjOVT9VZ8yQXQYoLsfA==" saltValue="5XE2MryBXKxIQZGierJWOw=="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Y121"/>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2.75" x14ac:dyDescent="0.2"/>
  <cols>
    <col min="1" max="1" width="4" style="364" customWidth="1"/>
    <col min="2" max="2" width="12.5703125" style="364" customWidth="1"/>
    <col min="3" max="3" width="20.140625" style="364" customWidth="1"/>
    <col min="4" max="4" width="3.28515625" style="490" customWidth="1"/>
    <col min="5" max="5" width="6.42578125" style="364" customWidth="1"/>
    <col min="6" max="6" width="22.28515625" customWidth="1"/>
    <col min="7" max="7" width="5.140625" style="364" customWidth="1"/>
    <col min="8" max="8" width="4" customWidth="1"/>
    <col min="9" max="9" width="3.42578125" bestFit="1" customWidth="1"/>
    <col min="10" max="10" width="3.5703125" customWidth="1"/>
    <col min="11" max="12" width="4.28515625" bestFit="1" customWidth="1"/>
    <col min="13" max="13" width="3.28515625" style="718" bestFit="1" customWidth="1"/>
    <col min="14" max="14" width="4.28515625" bestFit="1" customWidth="1"/>
    <col min="15" max="15" width="4.42578125" customWidth="1"/>
    <col min="16" max="16" width="5" bestFit="1" customWidth="1"/>
    <col min="17" max="17" width="6" customWidth="1"/>
    <col min="18" max="18" width="5.42578125" customWidth="1"/>
    <col min="19" max="19" width="5.85546875" style="599" customWidth="1"/>
    <col min="20" max="20" width="5.85546875" customWidth="1"/>
    <col min="21" max="21" width="5.28515625" customWidth="1"/>
    <col min="22" max="22" width="4.7109375" style="819" customWidth="1"/>
    <col min="23" max="23" width="0.42578125" style="938" customWidth="1"/>
    <col min="24" max="24" width="5.85546875" hidden="1" customWidth="1"/>
    <col min="25" max="25" width="7.5703125" style="132" customWidth="1"/>
  </cols>
  <sheetData>
    <row r="1" spans="1:25" ht="20.25" x14ac:dyDescent="0.3">
      <c r="A1" s="1805" t="s">
        <v>1614</v>
      </c>
      <c r="B1" s="1805"/>
      <c r="C1" s="1805"/>
      <c r="D1" s="1805"/>
      <c r="E1" s="1805"/>
      <c r="F1" s="1805"/>
      <c r="G1" s="1805"/>
      <c r="H1" s="1805"/>
      <c r="I1" s="1805"/>
      <c r="J1" s="1805"/>
      <c r="K1" s="1805"/>
      <c r="L1" s="1805"/>
      <c r="M1" s="1805"/>
      <c r="N1" s="1805"/>
      <c r="O1" s="1805"/>
      <c r="P1" s="1805"/>
      <c r="Q1" s="1805"/>
      <c r="R1" s="1805"/>
      <c r="S1" s="1805"/>
      <c r="T1" s="1805"/>
      <c r="U1" s="1805"/>
      <c r="V1" s="1805"/>
      <c r="W1" s="1243"/>
      <c r="X1" s="1204" t="s">
        <v>351</v>
      </c>
      <c r="Y1" s="1041"/>
    </row>
    <row r="2" spans="1:25" ht="9" customHeight="1" x14ac:dyDescent="0.2">
      <c r="A2" s="1257"/>
      <c r="B2" s="1257"/>
      <c r="C2" s="1257"/>
      <c r="D2" s="1257"/>
      <c r="E2" s="1257"/>
      <c r="F2" s="1257"/>
      <c r="G2" s="1257"/>
      <c r="H2" s="1257"/>
      <c r="I2" s="1257"/>
      <c r="J2" s="1257"/>
      <c r="K2" s="1257"/>
      <c r="L2" s="1257"/>
      <c r="M2" s="1257"/>
      <c r="N2" s="1257"/>
      <c r="O2" s="1257"/>
      <c r="P2" s="1257"/>
      <c r="Q2" s="1257"/>
      <c r="R2" s="1257"/>
      <c r="S2" s="1258"/>
      <c r="T2" s="1257"/>
      <c r="U2" s="1041"/>
      <c r="V2" s="1041"/>
      <c r="W2" s="1041"/>
      <c r="X2" s="1041"/>
      <c r="Y2" s="1041"/>
    </row>
    <row r="3" spans="1:25" s="489" customFormat="1" ht="4.5" customHeight="1" x14ac:dyDescent="0.2">
      <c r="A3" s="1168"/>
      <c r="B3" s="1169"/>
      <c r="C3" s="1169"/>
      <c r="D3" s="1169"/>
      <c r="E3" s="1169"/>
      <c r="F3" s="1041"/>
      <c r="G3" s="1169"/>
      <c r="H3" s="1041"/>
      <c r="I3" s="1041"/>
      <c r="J3" s="1041"/>
      <c r="K3" s="1041"/>
      <c r="L3" s="1041"/>
      <c r="M3" s="1041"/>
      <c r="N3" s="1041"/>
      <c r="O3" s="1041"/>
      <c r="P3" s="1041"/>
      <c r="Q3" s="1041"/>
      <c r="R3" s="1041"/>
      <c r="S3" s="1259"/>
      <c r="T3" s="1259"/>
      <c r="U3" s="1041"/>
      <c r="V3" s="1041"/>
      <c r="W3" s="1041"/>
      <c r="X3" s="1041"/>
      <c r="Y3" s="1041"/>
    </row>
    <row r="4" spans="1:25" s="36" customFormat="1" ht="15" customHeight="1" x14ac:dyDescent="0.2">
      <c r="A4" s="1260"/>
      <c r="B4" s="1218" t="s">
        <v>1056</v>
      </c>
      <c r="C4" s="1178" t="str">
        <f>IF(Betrieb!C8="","Bitte in ''Betrieb'' eintragen",CONCATENATE(Betrieb!B8,Betrieb!C8))</f>
        <v>Bitte in ''Betrieb'' eintragen</v>
      </c>
      <c r="D4" s="1176"/>
      <c r="E4" s="1136" t="str">
        <f>'Flächen u. Kulturen'!G5</f>
        <v>Name: Bitte in ''Betrieb'' eintragen</v>
      </c>
      <c r="F4" s="1218"/>
      <c r="G4" s="1136"/>
      <c r="H4" s="1136"/>
      <c r="I4" s="1136"/>
      <c r="J4" s="1136"/>
      <c r="K4" s="1136"/>
      <c r="L4" s="1136"/>
      <c r="M4" s="1136"/>
      <c r="N4" s="1136"/>
      <c r="O4" s="1218" t="s">
        <v>1050</v>
      </c>
      <c r="P4" s="1625">
        <f ca="1">TODAY()</f>
        <v>44551</v>
      </c>
      <c r="Q4" s="1625"/>
      <c r="R4" s="1625"/>
      <c r="S4" s="1261"/>
      <c r="T4" s="1261"/>
      <c r="U4" s="1136"/>
      <c r="V4" s="1136"/>
      <c r="W4" s="1136"/>
      <c r="X4" s="1136"/>
      <c r="Y4" s="1136"/>
    </row>
    <row r="5" spans="1:25" s="489" customFormat="1" ht="12.75" customHeight="1" x14ac:dyDescent="0.2">
      <c r="A5" s="1262" t="str">
        <f>IF('Überblick 22'!S15=2,"Dateneingabe fehlerhaft. Düngebedarfsermittlung ungültig. Beachten Sie die Fehlermeldungen.",IF(T113&lt;0,"* Düngeverordnung nicht eingehalten! Organische Düngung überschreitet den Düngebedarf.",""))</f>
        <v/>
      </c>
      <c r="B5" s="1169"/>
      <c r="C5" s="1169"/>
      <c r="D5" s="1169"/>
      <c r="E5" s="1169"/>
      <c r="F5" s="1041"/>
      <c r="G5" s="1169"/>
      <c r="H5" s="1041"/>
      <c r="I5" s="1262"/>
      <c r="J5" s="1262"/>
      <c r="K5" s="1262"/>
      <c r="L5" s="1262"/>
      <c r="M5" s="1262"/>
      <c r="N5" s="1262"/>
      <c r="O5" s="1041"/>
      <c r="P5" s="1041"/>
      <c r="Q5" s="1262"/>
      <c r="R5" s="1262"/>
      <c r="S5" s="1259"/>
      <c r="T5" s="1259"/>
      <c r="U5" s="1041"/>
      <c r="V5" s="1041"/>
      <c r="W5" s="1041"/>
      <c r="X5" s="1041"/>
      <c r="Y5" s="1041"/>
    </row>
    <row r="6" spans="1:25" ht="14.25" customHeight="1" x14ac:dyDescent="0.2">
      <c r="A6" s="1211" t="s">
        <v>1082</v>
      </c>
      <c r="B6" s="1169"/>
      <c r="C6" s="1169"/>
      <c r="D6" s="1169"/>
      <c r="E6" s="1169"/>
      <c r="F6" s="1259">
        <f>'#BerechnungDBE'!BJ106</f>
        <v>0</v>
      </c>
      <c r="G6" s="1177" t="s">
        <v>1570</v>
      </c>
      <c r="H6" s="1263"/>
      <c r="I6" s="1263"/>
      <c r="J6" s="1263"/>
      <c r="K6" s="1263"/>
      <c r="L6" s="1263"/>
      <c r="M6" s="1806">
        <f>'#BerechnungDBE'!BL106</f>
        <v>0</v>
      </c>
      <c r="N6" s="1806"/>
      <c r="O6" s="1189" t="s">
        <v>155</v>
      </c>
      <c r="P6" s="1262"/>
      <c r="Q6" s="1262"/>
      <c r="R6" s="1262"/>
      <c r="S6" s="1041"/>
      <c r="T6" s="1041"/>
      <c r="U6" s="1041"/>
      <c r="V6" s="1041"/>
      <c r="W6" s="1041"/>
      <c r="X6" s="1041"/>
      <c r="Y6" s="1041"/>
    </row>
    <row r="7" spans="1:25" s="31" customFormat="1" ht="14.25" customHeight="1" x14ac:dyDescent="0.2">
      <c r="A7" s="1043" t="s">
        <v>1234</v>
      </c>
      <c r="B7" s="1264"/>
      <c r="C7" s="1264"/>
      <c r="D7" s="1264"/>
      <c r="E7" s="1264"/>
      <c r="F7" s="1110" t="str">
        <f>IF('#BerechnungDBE'!N115=0,"",'#Kürzungen'!AT233)</f>
        <v/>
      </c>
      <c r="G7" s="1264"/>
      <c r="H7" s="1265"/>
      <c r="I7" s="1265"/>
      <c r="J7" s="1265"/>
      <c r="K7" s="1265"/>
      <c r="L7" s="1265"/>
      <c r="M7" s="1265"/>
      <c r="N7" s="1087"/>
      <c r="O7" s="1087"/>
      <c r="P7" s="1087"/>
      <c r="Q7" s="1265"/>
      <c r="R7" s="1265"/>
      <c r="S7" s="1266"/>
      <c r="T7" s="1265"/>
      <c r="U7" s="1087"/>
      <c r="V7" s="1087"/>
      <c r="W7" s="1087"/>
      <c r="X7" s="1087"/>
      <c r="Y7" s="1266"/>
    </row>
    <row r="8" spans="1:25" s="31" customFormat="1" ht="12.75" customHeight="1" x14ac:dyDescent="0.2">
      <c r="A8" s="1796" t="s">
        <v>84</v>
      </c>
      <c r="B8" s="1248"/>
      <c r="C8" s="1796" t="s">
        <v>101</v>
      </c>
      <c r="D8" s="1622" t="s">
        <v>1134</v>
      </c>
      <c r="E8" s="1799" t="s">
        <v>1057</v>
      </c>
      <c r="F8" s="1796" t="s">
        <v>1615</v>
      </c>
      <c r="G8" s="1827" t="s">
        <v>1058</v>
      </c>
      <c r="H8" s="1830" t="s">
        <v>1158</v>
      </c>
      <c r="I8" s="1821" t="s">
        <v>1059</v>
      </c>
      <c r="J8" s="1822"/>
      <c r="K8" s="1822"/>
      <c r="L8" s="1822"/>
      <c r="M8" s="1823"/>
      <c r="N8" s="1813" t="s">
        <v>128</v>
      </c>
      <c r="O8" s="1814"/>
      <c r="P8" s="1815"/>
      <c r="Q8" s="1622" t="s">
        <v>1154</v>
      </c>
      <c r="R8" s="1622" t="s">
        <v>1519</v>
      </c>
      <c r="S8" s="1622" t="s">
        <v>1803</v>
      </c>
      <c r="T8" s="1622" t="s">
        <v>1081</v>
      </c>
      <c r="U8" s="1622" t="s">
        <v>1820</v>
      </c>
      <c r="V8" s="1807" t="s">
        <v>1568</v>
      </c>
      <c r="W8" s="1249"/>
      <c r="X8" s="1810" t="s">
        <v>1239</v>
      </c>
      <c r="Y8" s="1789" t="s">
        <v>1063</v>
      </c>
    </row>
    <row r="9" spans="1:25" s="31" customFormat="1" x14ac:dyDescent="0.2">
      <c r="A9" s="1797"/>
      <c r="B9" s="1250"/>
      <c r="C9" s="1797"/>
      <c r="D9" s="1623"/>
      <c r="E9" s="1800"/>
      <c r="F9" s="1797"/>
      <c r="G9" s="1828"/>
      <c r="H9" s="1831"/>
      <c r="I9" s="1824"/>
      <c r="J9" s="1825"/>
      <c r="K9" s="1825"/>
      <c r="L9" s="1825"/>
      <c r="M9" s="1826"/>
      <c r="N9" s="1816" t="s">
        <v>1065</v>
      </c>
      <c r="O9" s="1817"/>
      <c r="P9" s="1818"/>
      <c r="Q9" s="1623"/>
      <c r="R9" s="1623"/>
      <c r="S9" s="1623"/>
      <c r="T9" s="1623"/>
      <c r="U9" s="1623"/>
      <c r="V9" s="1808"/>
      <c r="W9" s="1251"/>
      <c r="X9" s="1811"/>
      <c r="Y9" s="1790"/>
    </row>
    <row r="10" spans="1:25" s="31" customFormat="1" ht="27" customHeight="1" x14ac:dyDescent="0.2">
      <c r="A10" s="1797"/>
      <c r="B10" s="1252" t="s">
        <v>100</v>
      </c>
      <c r="C10" s="1797"/>
      <c r="D10" s="1623"/>
      <c r="E10" s="1800"/>
      <c r="F10" s="1797"/>
      <c r="G10" s="1828"/>
      <c r="H10" s="1831"/>
      <c r="I10" s="1824"/>
      <c r="J10" s="1825"/>
      <c r="K10" s="1825"/>
      <c r="L10" s="1825"/>
      <c r="M10" s="1826"/>
      <c r="N10" s="1819" t="s">
        <v>1062</v>
      </c>
      <c r="O10" s="1820"/>
      <c r="P10" s="1267" t="s">
        <v>1064</v>
      </c>
      <c r="Q10" s="1623"/>
      <c r="R10" s="1623"/>
      <c r="S10" s="1623"/>
      <c r="T10" s="1623"/>
      <c r="U10" s="1623"/>
      <c r="V10" s="1808"/>
      <c r="W10" s="1251"/>
      <c r="X10" s="1811"/>
      <c r="Y10" s="1790"/>
    </row>
    <row r="11" spans="1:25" s="33" customFormat="1" ht="39" customHeight="1" x14ac:dyDescent="0.2">
      <c r="A11" s="1798"/>
      <c r="B11" s="1253" t="s">
        <v>1051</v>
      </c>
      <c r="C11" s="1798"/>
      <c r="D11" s="1624"/>
      <c r="E11" s="1801"/>
      <c r="F11" s="1798"/>
      <c r="G11" s="1829"/>
      <c r="H11" s="1832"/>
      <c r="I11" s="1268" t="s">
        <v>1517</v>
      </c>
      <c r="J11" s="1269" t="s">
        <v>1518</v>
      </c>
      <c r="K11" s="1269" t="s">
        <v>1060</v>
      </c>
      <c r="L11" s="1269" t="s">
        <v>1061</v>
      </c>
      <c r="M11" s="1268" t="s">
        <v>192</v>
      </c>
      <c r="N11" s="1269" t="s">
        <v>1060</v>
      </c>
      <c r="O11" s="1270" t="s">
        <v>1235</v>
      </c>
      <c r="P11" s="1271" t="s">
        <v>99</v>
      </c>
      <c r="Q11" s="1624"/>
      <c r="R11" s="1624"/>
      <c r="S11" s="1624"/>
      <c r="T11" s="1624"/>
      <c r="U11" s="1624"/>
      <c r="V11" s="1809"/>
      <c r="W11" s="1254"/>
      <c r="X11" s="1812"/>
      <c r="Y11" s="1791"/>
    </row>
    <row r="12" spans="1:25" s="366" customFormat="1" ht="15" customHeight="1" x14ac:dyDescent="0.2">
      <c r="A12" s="1466" t="str">
        <f>IF(E12="","",'Flächen u. Kulturen'!A10)</f>
        <v/>
      </c>
      <c r="B12" s="1255" t="str">
        <f>IF('Flächen u. Kulturen'!C10="","",'Flächen u. Kulturen'!C10)</f>
        <v/>
      </c>
      <c r="C12" s="1255" t="str">
        <f>IF('Flächen u. Kulturen'!B10="","",'Flächen u. Kulturen'!B10)</f>
        <v/>
      </c>
      <c r="D12" s="1452" t="str">
        <f>IF(E12="","",IF('#BerechnungDBE'!S5=1,"x",""))</f>
        <v/>
      </c>
      <c r="E12" s="1452" t="str">
        <f>IF('Flächen u. Kulturen'!D10="","",'Flächen u. Kulturen'!D10)</f>
        <v/>
      </c>
      <c r="F12" s="1255" t="str">
        <f>IF(E12="","",IF('Flächen u. Kulturen'!E10="x",'Flächen u. Kulturen'!P10,"nicht im Betrieb"))</f>
        <v/>
      </c>
      <c r="G12" s="1272" t="str">
        <f>IF(OR(E12="",'Flächen u. Kulturen'!E10&lt;&gt;"x"),"",IF('#BerechnungDBE'!N5=3,'Flächen u. Kulturen'!R10,'Flächen u. Kulturen'!Q10))</f>
        <v/>
      </c>
      <c r="H12" s="1467" t="str">
        <f>IF(G12="","",'#BerechnungDBE'!AR5)</f>
        <v/>
      </c>
      <c r="I12" s="1272" t="str">
        <f>IF(G12="","",'#BerechnungDBE'!AT5)</f>
        <v/>
      </c>
      <c r="J12" s="1272" t="str">
        <f>IF(G12="","",'#BerechnungDBE'!AU5)</f>
        <v/>
      </c>
      <c r="K12" s="1272" t="str">
        <f>IF(G12="","",'#BerechnungDBE'!AV5)</f>
        <v/>
      </c>
      <c r="L12" s="1272" t="str">
        <f>IF(G12="","",'#BerechnungDBE'!AW5)</f>
        <v/>
      </c>
      <c r="M12" s="1272" t="str">
        <f>IF(G12="","",'#BerechnungDBE'!AS5)</f>
        <v/>
      </c>
      <c r="N12" s="1272" t="str">
        <f>IF(G12="","",'#BerechnungDBE'!AX5)</f>
        <v/>
      </c>
      <c r="O12" s="1272" t="str">
        <f>IF(G12="","",'#BerechnungDBE'!AY5)</f>
        <v/>
      </c>
      <c r="P12" s="1272" t="str">
        <f>IF(G12="","",'#BerechnungDBE'!AZ5)</f>
        <v/>
      </c>
      <c r="Q12" s="1460" t="str">
        <f>IF(G12="","",IF('Flächen u. Kulturen'!X10="OK",'#BerechnungDBE'!BA5,"n.b."))</f>
        <v/>
      </c>
      <c r="R12" s="1460" t="str">
        <f>IF(G12="","",'#BerechnungDBE'!BF5)</f>
        <v/>
      </c>
      <c r="S12" s="1468" t="str">
        <f>IF(OR(G12="",AND(D12="",'#BerechnungDBE'!BH5=0)),"",IF('Flächen u. Kulturen'!X10="OK",'#BerechnungDBE'!BH5,"n.b."))</f>
        <v/>
      </c>
      <c r="T12" s="1460" t="str">
        <f>IF(G12="","",IF('Flächen u. Kulturen'!X10="OK",'#BerechnungDBE'!BJ5,"n.b."))</f>
        <v/>
      </c>
      <c r="U12" s="1460" t="str">
        <f>IF(G12="","",IF('Flächen u. Kulturen'!X10="OK",ROUNDDOWN('#BerechnungDBE'!BL5,0),"n.b."))</f>
        <v/>
      </c>
      <c r="V12" s="1456" t="str">
        <f>IF(G12="","",IF('Flächen u. Kulturen'!X10="OK",ROUNDDOWN('#BerechnungDBE'!BL5/27,1),"n.b."))</f>
        <v/>
      </c>
      <c r="W12" s="1461"/>
      <c r="X12" s="1469" t="str">
        <f>IF(E12="","",'#minDung'!P11)</f>
        <v/>
      </c>
      <c r="Y12" s="1470" t="str">
        <f>IF(G12="","",'#Kürzungen'!AQ29)</f>
        <v/>
      </c>
    </row>
    <row r="13" spans="1:25" s="366" customFormat="1" ht="15" customHeight="1" x14ac:dyDescent="0.2">
      <c r="A13" s="1471" t="str">
        <f>IF(E13="","",'Flächen u. Kulturen'!A11)</f>
        <v/>
      </c>
      <c r="B13" s="1273" t="str">
        <f>IF('Flächen u. Kulturen'!C11="","",'Flächen u. Kulturen'!C11)</f>
        <v/>
      </c>
      <c r="C13" s="1273" t="str">
        <f>IF('Flächen u. Kulturen'!B11="","",'Flächen u. Kulturen'!B11)</f>
        <v/>
      </c>
      <c r="D13" s="1452" t="str">
        <f>IF(E13="","",IF('#BerechnungDBE'!S6=1,"x",""))</f>
        <v/>
      </c>
      <c r="E13" s="1472" t="str">
        <f>IF('Flächen u. Kulturen'!D11="","",'Flächen u. Kulturen'!D11)</f>
        <v/>
      </c>
      <c r="F13" s="1255" t="str">
        <f>IF(E13="","",IF('Flächen u. Kulturen'!E11="x",'Flächen u. Kulturen'!P11,"nicht im Betrieb"))</f>
        <v/>
      </c>
      <c r="G13" s="1272" t="str">
        <f>IF(OR(E13="",'Flächen u. Kulturen'!E11&lt;&gt;"x"),"",IF('#BerechnungDBE'!N6=3,'Flächen u. Kulturen'!R11,'Flächen u. Kulturen'!Q11))</f>
        <v/>
      </c>
      <c r="H13" s="1467" t="str">
        <f>IF(G13="","",'#BerechnungDBE'!AR6)</f>
        <v/>
      </c>
      <c r="I13" s="1272" t="str">
        <f>IF(G13="","",'#BerechnungDBE'!AT6)</f>
        <v/>
      </c>
      <c r="J13" s="1272" t="str">
        <f>IF(G13="","",'#BerechnungDBE'!AU6)</f>
        <v/>
      </c>
      <c r="K13" s="1272" t="str">
        <f>IF(G13="","",'#BerechnungDBE'!AV6)</f>
        <v/>
      </c>
      <c r="L13" s="1272" t="str">
        <f>IF(G13="","",'#BerechnungDBE'!AW6)</f>
        <v/>
      </c>
      <c r="M13" s="1272" t="str">
        <f>IF(G13="","",'#BerechnungDBE'!AS6)</f>
        <v/>
      </c>
      <c r="N13" s="1272" t="str">
        <f>IF(G13="","",'#BerechnungDBE'!AX6)</f>
        <v/>
      </c>
      <c r="O13" s="1272" t="str">
        <f>IF(G13="","",'#BerechnungDBE'!AY6)</f>
        <v/>
      </c>
      <c r="P13" s="1272" t="str">
        <f>IF(G13="","",'#BerechnungDBE'!AZ6)</f>
        <v/>
      </c>
      <c r="Q13" s="1460" t="str">
        <f>IF(G13="","",IF('Flächen u. Kulturen'!X11="OK",'#BerechnungDBE'!BA6,"n.b."))</f>
        <v/>
      </c>
      <c r="R13" s="1460" t="str">
        <f>IF(G13="","",'#BerechnungDBE'!BF6)</f>
        <v/>
      </c>
      <c r="S13" s="1468" t="str">
        <f>IF(OR(G13="",AND(D13="",'#BerechnungDBE'!BH6=0)),"",IF('Flächen u. Kulturen'!X11="OK",'#BerechnungDBE'!BH6,"n.b."))</f>
        <v/>
      </c>
      <c r="T13" s="1460" t="str">
        <f>IF(G13="","",IF('Flächen u. Kulturen'!X11="OK",'#BerechnungDBE'!BJ6,"n.b."))</f>
        <v/>
      </c>
      <c r="U13" s="1460" t="str">
        <f>IF(G13="","",IF('Flächen u. Kulturen'!X11="OK",ROUNDDOWN('#BerechnungDBE'!BL6,0),"n.b."))</f>
        <v/>
      </c>
      <c r="V13" s="1456" t="str">
        <f>IF(G13="","",IF('Flächen u. Kulturen'!X11="OK",ROUNDDOWN('#BerechnungDBE'!BL6/27,1),"n.b."))</f>
        <v/>
      </c>
      <c r="W13" s="1461"/>
      <c r="X13" s="1469" t="str">
        <f>IF(E13="","",'#minDung'!P12)</f>
        <v/>
      </c>
      <c r="Y13" s="1461" t="str">
        <f>IF(G13="","",'#Kürzungen'!AQ30)</f>
        <v/>
      </c>
    </row>
    <row r="14" spans="1:25" s="366" customFormat="1" ht="15" customHeight="1" x14ac:dyDescent="0.2">
      <c r="A14" s="1471" t="str">
        <f>IF(E14="","",'Flächen u. Kulturen'!A12)</f>
        <v/>
      </c>
      <c r="B14" s="1273" t="str">
        <f>IF('Flächen u. Kulturen'!C12="","",'Flächen u. Kulturen'!C12)</f>
        <v/>
      </c>
      <c r="C14" s="1273" t="str">
        <f>IF('Flächen u. Kulturen'!B12="","",'Flächen u. Kulturen'!B12)</f>
        <v/>
      </c>
      <c r="D14" s="1452" t="str">
        <f>IF(E14="","",IF('#BerechnungDBE'!S7=1,"x",""))</f>
        <v/>
      </c>
      <c r="E14" s="1472" t="str">
        <f>IF('Flächen u. Kulturen'!D12="","",'Flächen u. Kulturen'!D12)</f>
        <v/>
      </c>
      <c r="F14" s="1255" t="str">
        <f>IF(E14="","",IF('Flächen u. Kulturen'!E12="x",'Flächen u. Kulturen'!P12,"nicht im Betrieb"))</f>
        <v/>
      </c>
      <c r="G14" s="1272" t="str">
        <f>IF(OR(E14="",'Flächen u. Kulturen'!E12&lt;&gt;"x"),"",IF('#BerechnungDBE'!N7=3,'Flächen u. Kulturen'!R12,'Flächen u. Kulturen'!Q12))</f>
        <v/>
      </c>
      <c r="H14" s="1467" t="str">
        <f>IF(G14="","",'#BerechnungDBE'!AR7)</f>
        <v/>
      </c>
      <c r="I14" s="1272" t="str">
        <f>IF(G14="","",'#BerechnungDBE'!AT7)</f>
        <v/>
      </c>
      <c r="J14" s="1272" t="str">
        <f>IF(G14="","",'#BerechnungDBE'!AU7)</f>
        <v/>
      </c>
      <c r="K14" s="1272" t="str">
        <f>IF(G14="","",'#BerechnungDBE'!AV7)</f>
        <v/>
      </c>
      <c r="L14" s="1272" t="str">
        <f>IF(G14="","",'#BerechnungDBE'!AW7)</f>
        <v/>
      </c>
      <c r="M14" s="1272" t="str">
        <f>IF(G14="","",'#BerechnungDBE'!AS7)</f>
        <v/>
      </c>
      <c r="N14" s="1272" t="str">
        <f>IF(G14="","",'#BerechnungDBE'!AX7)</f>
        <v/>
      </c>
      <c r="O14" s="1272" t="str">
        <f>IF(G14="","",'#BerechnungDBE'!AY7)</f>
        <v/>
      </c>
      <c r="P14" s="1272" t="str">
        <f>IF(G14="","",'#BerechnungDBE'!AZ7)</f>
        <v/>
      </c>
      <c r="Q14" s="1460" t="str">
        <f>IF(G14="","",IF('Flächen u. Kulturen'!X12="OK",'#BerechnungDBE'!BA7,"n.b."))</f>
        <v/>
      </c>
      <c r="R14" s="1460" t="str">
        <f>IF(G14="","",'#BerechnungDBE'!BF7)</f>
        <v/>
      </c>
      <c r="S14" s="1468" t="str">
        <f>IF(OR(G14="",AND(D14="",'#BerechnungDBE'!BH7=0)),"",IF('Flächen u. Kulturen'!X12="OK",'#BerechnungDBE'!BH7,"n.b."))</f>
        <v/>
      </c>
      <c r="T14" s="1460" t="str">
        <f>IF(G14="","",IF('Flächen u. Kulturen'!X12="OK",'#BerechnungDBE'!BJ7,"n.b."))</f>
        <v/>
      </c>
      <c r="U14" s="1460" t="str">
        <f>IF(G14="","",IF('Flächen u. Kulturen'!X12="OK",ROUNDDOWN('#BerechnungDBE'!BL7,0),"n.b."))</f>
        <v/>
      </c>
      <c r="V14" s="1456" t="str">
        <f>IF(G14="","",IF('Flächen u. Kulturen'!X12="OK",ROUNDDOWN('#BerechnungDBE'!BL7/27,1),"n.b."))</f>
        <v/>
      </c>
      <c r="W14" s="1461"/>
      <c r="X14" s="1469" t="str">
        <f>IF(E14="","",'#minDung'!P13)</f>
        <v/>
      </c>
      <c r="Y14" s="1461" t="str">
        <f>IF(G14="","",'#Kürzungen'!AQ31)</f>
        <v/>
      </c>
    </row>
    <row r="15" spans="1:25" s="366" customFormat="1" ht="15" customHeight="1" x14ac:dyDescent="0.2">
      <c r="A15" s="1471" t="str">
        <f>IF(E15="","",'Flächen u. Kulturen'!A13)</f>
        <v/>
      </c>
      <c r="B15" s="1273" t="str">
        <f>IF('Flächen u. Kulturen'!C13="","",'Flächen u. Kulturen'!C13)</f>
        <v/>
      </c>
      <c r="C15" s="1273" t="str">
        <f>IF('Flächen u. Kulturen'!B13="","",'Flächen u. Kulturen'!B13)</f>
        <v/>
      </c>
      <c r="D15" s="1452" t="str">
        <f>IF(E15="","",IF('#BerechnungDBE'!S8=1,"x",""))</f>
        <v/>
      </c>
      <c r="E15" s="1472" t="str">
        <f>IF('Flächen u. Kulturen'!D13="","",'Flächen u. Kulturen'!D13)</f>
        <v/>
      </c>
      <c r="F15" s="1255" t="str">
        <f>IF(E15="","",IF('Flächen u. Kulturen'!E13="x",'Flächen u. Kulturen'!P13,"nicht im Betrieb"))</f>
        <v/>
      </c>
      <c r="G15" s="1272" t="str">
        <f>IF(OR(E15="",'Flächen u. Kulturen'!E13&lt;&gt;"x"),"",IF('#BerechnungDBE'!N8=3,'Flächen u. Kulturen'!R13,'Flächen u. Kulturen'!Q13))</f>
        <v/>
      </c>
      <c r="H15" s="1467" t="str">
        <f>IF(G15="","",'#BerechnungDBE'!AR8)</f>
        <v/>
      </c>
      <c r="I15" s="1272" t="str">
        <f>IF(G15="","",'#BerechnungDBE'!AT8)</f>
        <v/>
      </c>
      <c r="J15" s="1272" t="str">
        <f>IF(G15="","",'#BerechnungDBE'!AU8)</f>
        <v/>
      </c>
      <c r="K15" s="1272" t="str">
        <f>IF(G15="","",'#BerechnungDBE'!AV8)</f>
        <v/>
      </c>
      <c r="L15" s="1272" t="str">
        <f>IF(G15="","",'#BerechnungDBE'!AW8)</f>
        <v/>
      </c>
      <c r="M15" s="1272" t="str">
        <f>IF(G15="","",'#BerechnungDBE'!AS8)</f>
        <v/>
      </c>
      <c r="N15" s="1272" t="str">
        <f>IF(G15="","",'#BerechnungDBE'!AX8)</f>
        <v/>
      </c>
      <c r="O15" s="1272" t="str">
        <f>IF(G15="","",'#BerechnungDBE'!AY8)</f>
        <v/>
      </c>
      <c r="P15" s="1272" t="str">
        <f>IF(G15="","",'#BerechnungDBE'!AZ8)</f>
        <v/>
      </c>
      <c r="Q15" s="1460" t="str">
        <f>IF(G15="","",IF('Flächen u. Kulturen'!X13="OK",'#BerechnungDBE'!BA8,"n.b."))</f>
        <v/>
      </c>
      <c r="R15" s="1460" t="str">
        <f>IF(G15="","",'#BerechnungDBE'!BF8)</f>
        <v/>
      </c>
      <c r="S15" s="1468" t="str">
        <f>IF(OR(G15="",AND(D15="",'#BerechnungDBE'!BH8=0)),"",IF('Flächen u. Kulturen'!X13="OK",'#BerechnungDBE'!BH8,"n.b."))</f>
        <v/>
      </c>
      <c r="T15" s="1460" t="str">
        <f>IF(G15="","",IF('Flächen u. Kulturen'!X13="OK",'#BerechnungDBE'!BJ8,"n.b."))</f>
        <v/>
      </c>
      <c r="U15" s="1460" t="str">
        <f>IF(G15="","",IF('Flächen u. Kulturen'!X13="OK",ROUNDDOWN('#BerechnungDBE'!BL8,0),"n.b."))</f>
        <v/>
      </c>
      <c r="V15" s="1456" t="str">
        <f>IF(G15="","",IF('Flächen u. Kulturen'!X13="OK",ROUNDDOWN('#BerechnungDBE'!BL8/27,1),"n.b."))</f>
        <v/>
      </c>
      <c r="W15" s="1461"/>
      <c r="X15" s="1469" t="str">
        <f>IF(E15="","",'#minDung'!P14)</f>
        <v/>
      </c>
      <c r="Y15" s="1461" t="str">
        <f>IF(G15="","",'#Kürzungen'!AQ32)</f>
        <v/>
      </c>
    </row>
    <row r="16" spans="1:25" s="366" customFormat="1" ht="15" customHeight="1" x14ac:dyDescent="0.2">
      <c r="A16" s="1471" t="str">
        <f>IF(E16="","",'Flächen u. Kulturen'!A14)</f>
        <v/>
      </c>
      <c r="B16" s="1273" t="str">
        <f>IF('Flächen u. Kulturen'!C14="","",'Flächen u. Kulturen'!C14)</f>
        <v/>
      </c>
      <c r="C16" s="1273" t="str">
        <f>IF('Flächen u. Kulturen'!B14="","",'Flächen u. Kulturen'!B14)</f>
        <v/>
      </c>
      <c r="D16" s="1452" t="str">
        <f>IF(E16="","",IF('#BerechnungDBE'!S9=1,"x",""))</f>
        <v/>
      </c>
      <c r="E16" s="1472" t="str">
        <f>IF('Flächen u. Kulturen'!D14="","",'Flächen u. Kulturen'!D14)</f>
        <v/>
      </c>
      <c r="F16" s="1255" t="str">
        <f>IF(E16="","",IF('Flächen u. Kulturen'!E14="x",'Flächen u. Kulturen'!P14,"nicht im Betrieb"))</f>
        <v/>
      </c>
      <c r="G16" s="1272" t="str">
        <f>IF(OR(E16="",'Flächen u. Kulturen'!E14&lt;&gt;"x"),"",IF('#BerechnungDBE'!N9=3,'Flächen u. Kulturen'!R14,'Flächen u. Kulturen'!Q14))</f>
        <v/>
      </c>
      <c r="H16" s="1467" t="str">
        <f>IF(G16="","",'#BerechnungDBE'!AR9)</f>
        <v/>
      </c>
      <c r="I16" s="1272" t="str">
        <f>IF(G16="","",'#BerechnungDBE'!AT9)</f>
        <v/>
      </c>
      <c r="J16" s="1272" t="str">
        <f>IF(G16="","",'#BerechnungDBE'!AU9)</f>
        <v/>
      </c>
      <c r="K16" s="1272" t="str">
        <f>IF(G16="","",'#BerechnungDBE'!AV9)</f>
        <v/>
      </c>
      <c r="L16" s="1272" t="str">
        <f>IF(G16="","",'#BerechnungDBE'!AW9)</f>
        <v/>
      </c>
      <c r="M16" s="1272" t="str">
        <f>IF(G16="","",'#BerechnungDBE'!AS9)</f>
        <v/>
      </c>
      <c r="N16" s="1272" t="str">
        <f>IF(G16="","",'#BerechnungDBE'!AX9)</f>
        <v/>
      </c>
      <c r="O16" s="1272" t="str">
        <f>IF(G16="","",'#BerechnungDBE'!AY9)</f>
        <v/>
      </c>
      <c r="P16" s="1272" t="str">
        <f>IF(G16="","",'#BerechnungDBE'!AZ9)</f>
        <v/>
      </c>
      <c r="Q16" s="1460" t="str">
        <f>IF(G16="","",IF('Flächen u. Kulturen'!X14="OK",'#BerechnungDBE'!BA9,"n.b."))</f>
        <v/>
      </c>
      <c r="R16" s="1460" t="str">
        <f>IF(G16="","",'#BerechnungDBE'!BF9)</f>
        <v/>
      </c>
      <c r="S16" s="1468" t="str">
        <f>IF(OR(G16="",AND(D16="",'#BerechnungDBE'!BH9=0)),"",IF('Flächen u. Kulturen'!X14="OK",'#BerechnungDBE'!BH9,"n.b."))</f>
        <v/>
      </c>
      <c r="T16" s="1460" t="str">
        <f>IF(G16="","",IF('Flächen u. Kulturen'!X14="OK",'#BerechnungDBE'!BJ9,"n.b."))</f>
        <v/>
      </c>
      <c r="U16" s="1460" t="str">
        <f>IF(G16="","",IF('Flächen u. Kulturen'!X14="OK",ROUNDDOWN('#BerechnungDBE'!BL9,0),"n.b."))</f>
        <v/>
      </c>
      <c r="V16" s="1456" t="str">
        <f>IF(G16="","",IF('Flächen u. Kulturen'!X14="OK",ROUNDDOWN('#BerechnungDBE'!BL9/27,1),"n.b."))</f>
        <v/>
      </c>
      <c r="W16" s="1461"/>
      <c r="X16" s="1469" t="str">
        <f>IF(E16="","",'#minDung'!P15)</f>
        <v/>
      </c>
      <c r="Y16" s="1461" t="str">
        <f>IF(G16="","",'#Kürzungen'!AQ33)</f>
        <v/>
      </c>
    </row>
    <row r="17" spans="1:25" s="880" customFormat="1" ht="15" customHeight="1" x14ac:dyDescent="0.2">
      <c r="A17" s="1471" t="str">
        <f>IF(E17="","",'Flächen u. Kulturen'!A15)</f>
        <v/>
      </c>
      <c r="B17" s="1273" t="str">
        <f>IF('Flächen u. Kulturen'!C15="","",'Flächen u. Kulturen'!C15)</f>
        <v/>
      </c>
      <c r="C17" s="1273" t="str">
        <f>IF('Flächen u. Kulturen'!B15="","",'Flächen u. Kulturen'!B15)</f>
        <v/>
      </c>
      <c r="D17" s="1452" t="str">
        <f>IF(E17="","",IF('#BerechnungDBE'!S10=1,"x",""))</f>
        <v/>
      </c>
      <c r="E17" s="1472" t="str">
        <f>IF('Flächen u. Kulturen'!D15="","",'Flächen u. Kulturen'!D15)</f>
        <v/>
      </c>
      <c r="F17" s="1255" t="str">
        <f>IF(E17="","",IF('Flächen u. Kulturen'!E15="x",'Flächen u. Kulturen'!P15,"nicht im Betrieb"))</f>
        <v/>
      </c>
      <c r="G17" s="1272" t="str">
        <f>IF(OR(E17="",'Flächen u. Kulturen'!E15&lt;&gt;"x"),"",IF('#BerechnungDBE'!N10=3,'Flächen u. Kulturen'!R15,'Flächen u. Kulturen'!Q15))</f>
        <v/>
      </c>
      <c r="H17" s="1467" t="str">
        <f>IF(G17="","",'#BerechnungDBE'!AR10)</f>
        <v/>
      </c>
      <c r="I17" s="1272" t="str">
        <f>IF(G17="","",'#BerechnungDBE'!AT10)</f>
        <v/>
      </c>
      <c r="J17" s="1272" t="str">
        <f>IF(G17="","",'#BerechnungDBE'!AU10)</f>
        <v/>
      </c>
      <c r="K17" s="1272" t="str">
        <f>IF(G17="","",'#BerechnungDBE'!AV10)</f>
        <v/>
      </c>
      <c r="L17" s="1272" t="str">
        <f>IF(G17="","",'#BerechnungDBE'!AW10)</f>
        <v/>
      </c>
      <c r="M17" s="1272" t="str">
        <f>IF(G17="","",'#BerechnungDBE'!AS10)</f>
        <v/>
      </c>
      <c r="N17" s="1272" t="str">
        <f>IF(G17="","",'#BerechnungDBE'!AX10)</f>
        <v/>
      </c>
      <c r="O17" s="1272" t="str">
        <f>IF(G17="","",'#BerechnungDBE'!AY10)</f>
        <v/>
      </c>
      <c r="P17" s="1272" t="str">
        <f>IF(G17="","",'#BerechnungDBE'!AZ10)</f>
        <v/>
      </c>
      <c r="Q17" s="1460" t="str">
        <f>IF(G17="","",IF('Flächen u. Kulturen'!X15="OK",'#BerechnungDBE'!BA10,"n.b."))</f>
        <v/>
      </c>
      <c r="R17" s="1460" t="str">
        <f>IF(G17="","",'#BerechnungDBE'!BF10)</f>
        <v/>
      </c>
      <c r="S17" s="1468" t="str">
        <f>IF(OR(G17="",AND(D17="",'#BerechnungDBE'!BH10=0)),"",IF('Flächen u. Kulturen'!X15="OK",'#BerechnungDBE'!BH10,"n.b."))</f>
        <v/>
      </c>
      <c r="T17" s="1460" t="str">
        <f>IF(G17="","",IF('Flächen u. Kulturen'!X15="OK",'#BerechnungDBE'!BJ10,"n.b."))</f>
        <v/>
      </c>
      <c r="U17" s="1460" t="str">
        <f>IF(G17="","",IF('Flächen u. Kulturen'!X15="OK",ROUNDDOWN('#BerechnungDBE'!BL10,0),"n.b."))</f>
        <v/>
      </c>
      <c r="V17" s="1456" t="str">
        <f>IF(G17="","",IF('Flächen u. Kulturen'!X15="OK",ROUNDDOWN('#BerechnungDBE'!BL10/27,1),"n.b."))</f>
        <v/>
      </c>
      <c r="W17" s="1461"/>
      <c r="X17" s="1469" t="str">
        <f>IF(E17="","",'#minDung'!P16)</f>
        <v/>
      </c>
      <c r="Y17" s="1461" t="str">
        <f>IF(G17="","",'#Kürzungen'!AQ34)</f>
        <v/>
      </c>
    </row>
    <row r="18" spans="1:25" s="880" customFormat="1" ht="15" customHeight="1" x14ac:dyDescent="0.2">
      <c r="A18" s="1471" t="str">
        <f>IF(E18="","",'Flächen u. Kulturen'!A16)</f>
        <v/>
      </c>
      <c r="B18" s="1273" t="str">
        <f>IF('Flächen u. Kulturen'!C16="","",'Flächen u. Kulturen'!C16)</f>
        <v/>
      </c>
      <c r="C18" s="1273" t="str">
        <f>IF('Flächen u. Kulturen'!B16="","",'Flächen u. Kulturen'!B16)</f>
        <v/>
      </c>
      <c r="D18" s="1452" t="str">
        <f>IF(E18="","",IF('#BerechnungDBE'!S11=1,"x",""))</f>
        <v/>
      </c>
      <c r="E18" s="1472" t="str">
        <f>IF('Flächen u. Kulturen'!D16="","",'Flächen u. Kulturen'!D16)</f>
        <v/>
      </c>
      <c r="F18" s="1255" t="str">
        <f>IF(E18="","",IF('Flächen u. Kulturen'!E16="x",'Flächen u. Kulturen'!P16,"nicht im Betrieb"))</f>
        <v/>
      </c>
      <c r="G18" s="1272" t="str">
        <f>IF(OR(E18="",'Flächen u. Kulturen'!E16&lt;&gt;"x"),"",IF('#BerechnungDBE'!N11=3,'Flächen u. Kulturen'!R16,'Flächen u. Kulturen'!Q16))</f>
        <v/>
      </c>
      <c r="H18" s="1467" t="str">
        <f>IF(G18="","",'#BerechnungDBE'!AR11)</f>
        <v/>
      </c>
      <c r="I18" s="1272" t="str">
        <f>IF(G18="","",'#BerechnungDBE'!AT11)</f>
        <v/>
      </c>
      <c r="J18" s="1272" t="str">
        <f>IF(G18="","",'#BerechnungDBE'!AU11)</f>
        <v/>
      </c>
      <c r="K18" s="1272" t="str">
        <f>IF(G18="","",'#BerechnungDBE'!AV11)</f>
        <v/>
      </c>
      <c r="L18" s="1272" t="str">
        <f>IF(G18="","",'#BerechnungDBE'!AW11)</f>
        <v/>
      </c>
      <c r="M18" s="1272" t="str">
        <f>IF(G18="","",'#BerechnungDBE'!AS11)</f>
        <v/>
      </c>
      <c r="N18" s="1272" t="str">
        <f>IF(G18="","",'#BerechnungDBE'!AX11)</f>
        <v/>
      </c>
      <c r="O18" s="1272" t="str">
        <f>IF(G18="","",'#BerechnungDBE'!AY11)</f>
        <v/>
      </c>
      <c r="P18" s="1272" t="str">
        <f>IF(G18="","",'#BerechnungDBE'!AZ11)</f>
        <v/>
      </c>
      <c r="Q18" s="1460" t="str">
        <f>IF(G18="","",IF('Flächen u. Kulturen'!X16="OK",'#BerechnungDBE'!BA11,"n.b."))</f>
        <v/>
      </c>
      <c r="R18" s="1460" t="str">
        <f>IF(G18="","",'#BerechnungDBE'!BF11)</f>
        <v/>
      </c>
      <c r="S18" s="1468" t="str">
        <f>IF(OR(G18="",AND(D18="",'#BerechnungDBE'!BH11=0)),"",IF('Flächen u. Kulturen'!X16="OK",'#BerechnungDBE'!BH11,"n.b."))</f>
        <v/>
      </c>
      <c r="T18" s="1460" t="str">
        <f>IF(G18="","",IF('Flächen u. Kulturen'!X16="OK",'#BerechnungDBE'!BJ11,"n.b."))</f>
        <v/>
      </c>
      <c r="U18" s="1460" t="str">
        <f>IF(G18="","",IF('Flächen u. Kulturen'!X16="OK",ROUNDDOWN('#BerechnungDBE'!BL11,0),"n.b."))</f>
        <v/>
      </c>
      <c r="V18" s="1456" t="str">
        <f>IF(G18="","",IF('Flächen u. Kulturen'!X16="OK",ROUNDDOWN('#BerechnungDBE'!BL11/27,1),"n.b."))</f>
        <v/>
      </c>
      <c r="W18" s="1461"/>
      <c r="X18" s="1469" t="str">
        <f>IF(E18="","",'#minDung'!P17)</f>
        <v/>
      </c>
      <c r="Y18" s="1461" t="str">
        <f>IF(G18="","",'#Kürzungen'!AQ35)</f>
        <v/>
      </c>
    </row>
    <row r="19" spans="1:25" s="880" customFormat="1" ht="15" customHeight="1" x14ac:dyDescent="0.2">
      <c r="A19" s="1471" t="str">
        <f>IF(E19="","",'Flächen u. Kulturen'!A17)</f>
        <v/>
      </c>
      <c r="B19" s="1273" t="str">
        <f>IF('Flächen u. Kulturen'!C17="","",'Flächen u. Kulturen'!C17)</f>
        <v/>
      </c>
      <c r="C19" s="1273" t="str">
        <f>IF('Flächen u. Kulturen'!B17="","",'Flächen u. Kulturen'!B17)</f>
        <v/>
      </c>
      <c r="D19" s="1452" t="str">
        <f>IF(E19="","",IF('#BerechnungDBE'!S12=1,"x",""))</f>
        <v/>
      </c>
      <c r="E19" s="1472" t="str">
        <f>IF('Flächen u. Kulturen'!D17="","",'Flächen u. Kulturen'!D17)</f>
        <v/>
      </c>
      <c r="F19" s="1255" t="str">
        <f>IF(E19="","",IF('Flächen u. Kulturen'!E17="x",'Flächen u. Kulturen'!P17,"nicht im Betrieb"))</f>
        <v/>
      </c>
      <c r="G19" s="1272" t="str">
        <f>IF(OR(E19="",'Flächen u. Kulturen'!E17&lt;&gt;"x"),"",IF('#BerechnungDBE'!N12=3,'Flächen u. Kulturen'!R17,'Flächen u. Kulturen'!Q17))</f>
        <v/>
      </c>
      <c r="H19" s="1467" t="str">
        <f>IF(G19="","",'#BerechnungDBE'!AR12)</f>
        <v/>
      </c>
      <c r="I19" s="1272" t="str">
        <f>IF(G19="","",'#BerechnungDBE'!AT12)</f>
        <v/>
      </c>
      <c r="J19" s="1272" t="str">
        <f>IF(G19="","",'#BerechnungDBE'!AU12)</f>
        <v/>
      </c>
      <c r="K19" s="1272" t="str">
        <f>IF(G19="","",'#BerechnungDBE'!AV12)</f>
        <v/>
      </c>
      <c r="L19" s="1272" t="str">
        <f>IF(G19="","",'#BerechnungDBE'!AW12)</f>
        <v/>
      </c>
      <c r="M19" s="1272" t="str">
        <f>IF(G19="","",'#BerechnungDBE'!AS12)</f>
        <v/>
      </c>
      <c r="N19" s="1272" t="str">
        <f>IF(G19="","",'#BerechnungDBE'!AX12)</f>
        <v/>
      </c>
      <c r="O19" s="1272" t="str">
        <f>IF(G19="","",'#BerechnungDBE'!AY12)</f>
        <v/>
      </c>
      <c r="P19" s="1272" t="str">
        <f>IF(G19="","",'#BerechnungDBE'!AZ12)</f>
        <v/>
      </c>
      <c r="Q19" s="1460" t="str">
        <f>IF(G19="","",IF('Flächen u. Kulturen'!X17="OK",'#BerechnungDBE'!BA12,"n.b."))</f>
        <v/>
      </c>
      <c r="R19" s="1460" t="str">
        <f>IF(G19="","",'#BerechnungDBE'!BF12)</f>
        <v/>
      </c>
      <c r="S19" s="1468" t="str">
        <f>IF(OR(G19="",AND(D19="",'#BerechnungDBE'!BH12=0)),"",IF('Flächen u. Kulturen'!X17="OK",'#BerechnungDBE'!BH12,"n.b."))</f>
        <v/>
      </c>
      <c r="T19" s="1460" t="str">
        <f>IF(G19="","",IF('Flächen u. Kulturen'!X17="OK",'#BerechnungDBE'!BJ12,"n.b."))</f>
        <v/>
      </c>
      <c r="U19" s="1460" t="str">
        <f>IF(G19="","",IF('Flächen u. Kulturen'!X17="OK",ROUNDDOWN('#BerechnungDBE'!BL12,0),"n.b."))</f>
        <v/>
      </c>
      <c r="V19" s="1456" t="str">
        <f>IF(G19="","",IF('Flächen u. Kulturen'!X17="OK",ROUNDDOWN('#BerechnungDBE'!BL12/27,1),"n.b."))</f>
        <v/>
      </c>
      <c r="W19" s="1461"/>
      <c r="X19" s="1469" t="str">
        <f>IF(E19="","",'#minDung'!P18)</f>
        <v/>
      </c>
      <c r="Y19" s="1461" t="str">
        <f>IF(G19="","",'#Kürzungen'!AQ36)</f>
        <v/>
      </c>
    </row>
    <row r="20" spans="1:25" s="880" customFormat="1" ht="15" customHeight="1" x14ac:dyDescent="0.2">
      <c r="A20" s="1471" t="str">
        <f>IF(E20="","",'Flächen u. Kulturen'!A18)</f>
        <v/>
      </c>
      <c r="B20" s="1273" t="str">
        <f>IF('Flächen u. Kulturen'!C18="","",'Flächen u. Kulturen'!C18)</f>
        <v/>
      </c>
      <c r="C20" s="1273" t="str">
        <f>IF('Flächen u. Kulturen'!B18="","",'Flächen u. Kulturen'!B18)</f>
        <v/>
      </c>
      <c r="D20" s="1452" t="str">
        <f>IF(E20="","",IF('#BerechnungDBE'!S13=1,"x",""))</f>
        <v/>
      </c>
      <c r="E20" s="1472" t="str">
        <f>IF('Flächen u. Kulturen'!D18="","",'Flächen u. Kulturen'!D18)</f>
        <v/>
      </c>
      <c r="F20" s="1255" t="str">
        <f>IF(E20="","",IF('Flächen u. Kulturen'!E18="x",'Flächen u. Kulturen'!P18,"nicht im Betrieb"))</f>
        <v/>
      </c>
      <c r="G20" s="1272" t="str">
        <f>IF(OR(E20="",'Flächen u. Kulturen'!E18&lt;&gt;"x"),"",IF('#BerechnungDBE'!N13=3,'Flächen u. Kulturen'!R18,'Flächen u. Kulturen'!Q18))</f>
        <v/>
      </c>
      <c r="H20" s="1467" t="str">
        <f>IF(G20="","",'#BerechnungDBE'!AR13)</f>
        <v/>
      </c>
      <c r="I20" s="1272" t="str">
        <f>IF(G20="","",'#BerechnungDBE'!AT13)</f>
        <v/>
      </c>
      <c r="J20" s="1272" t="str">
        <f>IF(G20="","",'#BerechnungDBE'!AU13)</f>
        <v/>
      </c>
      <c r="K20" s="1272" t="str">
        <f>IF(G20="","",'#BerechnungDBE'!AV13)</f>
        <v/>
      </c>
      <c r="L20" s="1272" t="str">
        <f>IF(G20="","",'#BerechnungDBE'!AW13)</f>
        <v/>
      </c>
      <c r="M20" s="1272" t="str">
        <f>IF(G20="","",'#BerechnungDBE'!AS13)</f>
        <v/>
      </c>
      <c r="N20" s="1272" t="str">
        <f>IF(G20="","",'#BerechnungDBE'!AX13)</f>
        <v/>
      </c>
      <c r="O20" s="1272" t="str">
        <f>IF(G20="","",'#BerechnungDBE'!AY13)</f>
        <v/>
      </c>
      <c r="P20" s="1272" t="str">
        <f>IF(G20="","",'#BerechnungDBE'!AZ13)</f>
        <v/>
      </c>
      <c r="Q20" s="1460" t="str">
        <f>IF(G20="","",IF('Flächen u. Kulturen'!X18="OK",'#BerechnungDBE'!BA13,"n.b."))</f>
        <v/>
      </c>
      <c r="R20" s="1460" t="str">
        <f>IF(G20="","",'#BerechnungDBE'!BF13)</f>
        <v/>
      </c>
      <c r="S20" s="1468" t="str">
        <f>IF(OR(G20="",AND(D20="",'#BerechnungDBE'!BH13=0)),"",IF('Flächen u. Kulturen'!X18="OK",'#BerechnungDBE'!BH13,"n.b."))</f>
        <v/>
      </c>
      <c r="T20" s="1460" t="str">
        <f>IF(G20="","",IF('Flächen u. Kulturen'!X18="OK",'#BerechnungDBE'!BJ13,"n.b."))</f>
        <v/>
      </c>
      <c r="U20" s="1460" t="str">
        <f>IF(G20="","",IF('Flächen u. Kulturen'!X18="OK",ROUNDDOWN('#BerechnungDBE'!BL13,0),"n.b."))</f>
        <v/>
      </c>
      <c r="V20" s="1456" t="str">
        <f>IF(G20="","",IF('Flächen u. Kulturen'!X18="OK",ROUNDDOWN('#BerechnungDBE'!BL13/27,1),"n.b."))</f>
        <v/>
      </c>
      <c r="W20" s="1461"/>
      <c r="X20" s="1469" t="str">
        <f>IF(E20="","",'#minDung'!P19)</f>
        <v/>
      </c>
      <c r="Y20" s="1461" t="str">
        <f>IF(G20="","",'#Kürzungen'!AQ37)</f>
        <v/>
      </c>
    </row>
    <row r="21" spans="1:25" s="880" customFormat="1" ht="15" customHeight="1" x14ac:dyDescent="0.2">
      <c r="A21" s="1471" t="str">
        <f>IF(E21="","",'Flächen u. Kulturen'!A19)</f>
        <v/>
      </c>
      <c r="B21" s="1273" t="str">
        <f>IF('Flächen u. Kulturen'!C19="","",'Flächen u. Kulturen'!C19)</f>
        <v/>
      </c>
      <c r="C21" s="1273" t="str">
        <f>IF('Flächen u. Kulturen'!B19="","",'Flächen u. Kulturen'!B19)</f>
        <v/>
      </c>
      <c r="D21" s="1452" t="str">
        <f>IF(E21="","",IF('#BerechnungDBE'!S14=1,"x",""))</f>
        <v/>
      </c>
      <c r="E21" s="1472" t="str">
        <f>IF('Flächen u. Kulturen'!D19="","",'Flächen u. Kulturen'!D19)</f>
        <v/>
      </c>
      <c r="F21" s="1255" t="str">
        <f>IF(E21="","",IF('Flächen u. Kulturen'!E19="x",'Flächen u. Kulturen'!P19,"nicht im Betrieb"))</f>
        <v/>
      </c>
      <c r="G21" s="1272" t="str">
        <f>IF(OR(E21="",'Flächen u. Kulturen'!E19&lt;&gt;"x"),"",IF('#BerechnungDBE'!N14=3,'Flächen u. Kulturen'!R19,'Flächen u. Kulturen'!Q19))</f>
        <v/>
      </c>
      <c r="H21" s="1467" t="str">
        <f>IF(G21="","",'#BerechnungDBE'!AR14)</f>
        <v/>
      </c>
      <c r="I21" s="1272" t="str">
        <f>IF(G21="","",'#BerechnungDBE'!AT14)</f>
        <v/>
      </c>
      <c r="J21" s="1272" t="str">
        <f>IF(G21="","",'#BerechnungDBE'!AU14)</f>
        <v/>
      </c>
      <c r="K21" s="1272" t="str">
        <f>IF(G21="","",'#BerechnungDBE'!AV14)</f>
        <v/>
      </c>
      <c r="L21" s="1272" t="str">
        <f>IF(G21="","",'#BerechnungDBE'!AW14)</f>
        <v/>
      </c>
      <c r="M21" s="1272" t="str">
        <f>IF(G21="","",'#BerechnungDBE'!AS14)</f>
        <v/>
      </c>
      <c r="N21" s="1272" t="str">
        <f>IF(G21="","",'#BerechnungDBE'!AX14)</f>
        <v/>
      </c>
      <c r="O21" s="1272" t="str">
        <f>IF(G21="","",'#BerechnungDBE'!AY14)</f>
        <v/>
      </c>
      <c r="P21" s="1272" t="str">
        <f>IF(G21="","",'#BerechnungDBE'!AZ14)</f>
        <v/>
      </c>
      <c r="Q21" s="1460" t="str">
        <f>IF(G21="","",IF('Flächen u. Kulturen'!X19="OK",'#BerechnungDBE'!BA14,"n.b."))</f>
        <v/>
      </c>
      <c r="R21" s="1460" t="str">
        <f>IF(G21="","",'#BerechnungDBE'!BF14)</f>
        <v/>
      </c>
      <c r="S21" s="1468" t="str">
        <f>IF(OR(G21="",AND(D21="",'#BerechnungDBE'!BH14=0)),"",IF('Flächen u. Kulturen'!X19="OK",'#BerechnungDBE'!BH14,"n.b."))</f>
        <v/>
      </c>
      <c r="T21" s="1460" t="str">
        <f>IF(G21="","",IF('Flächen u. Kulturen'!X19="OK",'#BerechnungDBE'!BJ14,"n.b."))</f>
        <v/>
      </c>
      <c r="U21" s="1460" t="str">
        <f>IF(G21="","",IF('Flächen u. Kulturen'!X19="OK",ROUNDDOWN('#BerechnungDBE'!BL14,0),"n.b."))</f>
        <v/>
      </c>
      <c r="V21" s="1456" t="str">
        <f>IF(G21="","",IF('Flächen u. Kulturen'!X19="OK",ROUNDDOWN('#BerechnungDBE'!BL14/27,1),"n.b."))</f>
        <v/>
      </c>
      <c r="W21" s="1461"/>
      <c r="X21" s="1469" t="str">
        <f>IF(E21="","",'#minDung'!P20)</f>
        <v/>
      </c>
      <c r="Y21" s="1461" t="str">
        <f>IF(G21="","",'#Kürzungen'!AQ38)</f>
        <v/>
      </c>
    </row>
    <row r="22" spans="1:25" s="880" customFormat="1" ht="15" customHeight="1" x14ac:dyDescent="0.2">
      <c r="A22" s="1471" t="str">
        <f>IF(E22="","",'Flächen u. Kulturen'!A20)</f>
        <v/>
      </c>
      <c r="B22" s="1273" t="str">
        <f>IF('Flächen u. Kulturen'!C20="","",'Flächen u. Kulturen'!C20)</f>
        <v/>
      </c>
      <c r="C22" s="1273" t="str">
        <f>IF('Flächen u. Kulturen'!B20="","",'Flächen u. Kulturen'!B20)</f>
        <v/>
      </c>
      <c r="D22" s="1452" t="str">
        <f>IF(E22="","",IF('#BerechnungDBE'!S15=1,"x",""))</f>
        <v/>
      </c>
      <c r="E22" s="1472" t="str">
        <f>IF('Flächen u. Kulturen'!D20="","",'Flächen u. Kulturen'!D20)</f>
        <v/>
      </c>
      <c r="F22" s="1255" t="str">
        <f>IF(E22="","",IF('Flächen u. Kulturen'!E20="x",'Flächen u. Kulturen'!P20,"nicht im Betrieb"))</f>
        <v/>
      </c>
      <c r="G22" s="1272" t="str">
        <f>IF(OR(E22="",'Flächen u. Kulturen'!E20&lt;&gt;"x"),"",IF('#BerechnungDBE'!N15=3,'Flächen u. Kulturen'!R20,'Flächen u. Kulturen'!Q20))</f>
        <v/>
      </c>
      <c r="H22" s="1467" t="str">
        <f>IF(G22="","",'#BerechnungDBE'!AR15)</f>
        <v/>
      </c>
      <c r="I22" s="1272" t="str">
        <f>IF(G22="","",'#BerechnungDBE'!AT15)</f>
        <v/>
      </c>
      <c r="J22" s="1272" t="str">
        <f>IF(G22="","",'#BerechnungDBE'!AU15)</f>
        <v/>
      </c>
      <c r="K22" s="1272" t="str">
        <f>IF(G22="","",'#BerechnungDBE'!AV15)</f>
        <v/>
      </c>
      <c r="L22" s="1272" t="str">
        <f>IF(G22="","",'#BerechnungDBE'!AW15)</f>
        <v/>
      </c>
      <c r="M22" s="1272" t="str">
        <f>IF(G22="","",'#BerechnungDBE'!AS15)</f>
        <v/>
      </c>
      <c r="N22" s="1272" t="str">
        <f>IF(G22="","",'#BerechnungDBE'!AX15)</f>
        <v/>
      </c>
      <c r="O22" s="1272" t="str">
        <f>IF(G22="","",'#BerechnungDBE'!AY15)</f>
        <v/>
      </c>
      <c r="P22" s="1272" t="str">
        <f>IF(G22="","",'#BerechnungDBE'!AZ15)</f>
        <v/>
      </c>
      <c r="Q22" s="1460" t="str">
        <f>IF(G22="","",IF('Flächen u. Kulturen'!X20="OK",'#BerechnungDBE'!BA15,"n.b."))</f>
        <v/>
      </c>
      <c r="R22" s="1460" t="str">
        <f>IF(G22="","",'#BerechnungDBE'!BF15)</f>
        <v/>
      </c>
      <c r="S22" s="1468" t="str">
        <f>IF(OR(G22="",AND(D22="",'#BerechnungDBE'!BH15=0)),"",IF('Flächen u. Kulturen'!X20="OK",'#BerechnungDBE'!BH15,"n.b."))</f>
        <v/>
      </c>
      <c r="T22" s="1460" t="str">
        <f>IF(G22="","",IF('Flächen u. Kulturen'!X20="OK",'#BerechnungDBE'!BJ15,"n.b."))</f>
        <v/>
      </c>
      <c r="U22" s="1460" t="str">
        <f>IF(G22="","",IF('Flächen u. Kulturen'!X20="OK",ROUNDDOWN('#BerechnungDBE'!BL15,0),"n.b."))</f>
        <v/>
      </c>
      <c r="V22" s="1456" t="str">
        <f>IF(G22="","",IF('Flächen u. Kulturen'!X20="OK",ROUNDDOWN('#BerechnungDBE'!BL15/27,1),"n.b."))</f>
        <v/>
      </c>
      <c r="W22" s="1461"/>
      <c r="X22" s="1469" t="str">
        <f>IF(E22="","",'#minDung'!P21)</f>
        <v/>
      </c>
      <c r="Y22" s="1461" t="str">
        <f>IF(G22="","",'#Kürzungen'!AQ39)</f>
        <v/>
      </c>
    </row>
    <row r="23" spans="1:25" s="880" customFormat="1" ht="15" customHeight="1" x14ac:dyDescent="0.2">
      <c r="A23" s="1471" t="str">
        <f>IF(E23="","",'Flächen u. Kulturen'!A21)</f>
        <v/>
      </c>
      <c r="B23" s="1273" t="str">
        <f>IF('Flächen u. Kulturen'!C21="","",'Flächen u. Kulturen'!C21)</f>
        <v/>
      </c>
      <c r="C23" s="1273" t="str">
        <f>IF('Flächen u. Kulturen'!B21="","",'Flächen u. Kulturen'!B21)</f>
        <v/>
      </c>
      <c r="D23" s="1452" t="str">
        <f>IF(E23="","",IF('#BerechnungDBE'!S16=1,"x",""))</f>
        <v/>
      </c>
      <c r="E23" s="1472" t="str">
        <f>IF('Flächen u. Kulturen'!D21="","",'Flächen u. Kulturen'!D21)</f>
        <v/>
      </c>
      <c r="F23" s="1255" t="str">
        <f>IF(E23="","",IF('Flächen u. Kulturen'!E21="x",'Flächen u. Kulturen'!P21,"nicht im Betrieb"))</f>
        <v/>
      </c>
      <c r="G23" s="1272" t="str">
        <f>IF(OR(E23="",'Flächen u. Kulturen'!E21&lt;&gt;"x"),"",IF('#BerechnungDBE'!N16=3,'Flächen u. Kulturen'!R21,'Flächen u. Kulturen'!Q21))</f>
        <v/>
      </c>
      <c r="H23" s="1467" t="str">
        <f>IF(G23="","",'#BerechnungDBE'!AR16)</f>
        <v/>
      </c>
      <c r="I23" s="1272" t="str">
        <f>IF(G23="","",'#BerechnungDBE'!AT16)</f>
        <v/>
      </c>
      <c r="J23" s="1272" t="str">
        <f>IF(G23="","",'#BerechnungDBE'!AU16)</f>
        <v/>
      </c>
      <c r="K23" s="1272" t="str">
        <f>IF(G23="","",'#BerechnungDBE'!AV16)</f>
        <v/>
      </c>
      <c r="L23" s="1272" t="str">
        <f>IF(G23="","",'#BerechnungDBE'!AW16)</f>
        <v/>
      </c>
      <c r="M23" s="1272" t="str">
        <f>IF(G23="","",'#BerechnungDBE'!AS16)</f>
        <v/>
      </c>
      <c r="N23" s="1272" t="str">
        <f>IF(G23="","",'#BerechnungDBE'!AX16)</f>
        <v/>
      </c>
      <c r="O23" s="1272" t="str">
        <f>IF(G23="","",'#BerechnungDBE'!AY16)</f>
        <v/>
      </c>
      <c r="P23" s="1272" t="str">
        <f>IF(G23="","",'#BerechnungDBE'!AZ16)</f>
        <v/>
      </c>
      <c r="Q23" s="1460" t="str">
        <f>IF(G23="","",IF('Flächen u. Kulturen'!X21="OK",'#BerechnungDBE'!BA16,"n.b."))</f>
        <v/>
      </c>
      <c r="R23" s="1460" t="str">
        <f>IF(G23="","",'#BerechnungDBE'!BF16)</f>
        <v/>
      </c>
      <c r="S23" s="1468" t="str">
        <f>IF(OR(G23="",AND(D23="",'#BerechnungDBE'!BH16=0)),"",IF('Flächen u. Kulturen'!X21="OK",'#BerechnungDBE'!BH16,"n.b."))</f>
        <v/>
      </c>
      <c r="T23" s="1460" t="str">
        <f>IF(G23="","",IF('Flächen u. Kulturen'!X21="OK",'#BerechnungDBE'!BJ16,"n.b."))</f>
        <v/>
      </c>
      <c r="U23" s="1460" t="str">
        <f>IF(G23="","",IF('Flächen u. Kulturen'!X21="OK",ROUNDDOWN('#BerechnungDBE'!BL16,0),"n.b."))</f>
        <v/>
      </c>
      <c r="V23" s="1456" t="str">
        <f>IF(G23="","",IF('Flächen u. Kulturen'!X21="OK",ROUNDDOWN('#BerechnungDBE'!BL16/27,1),"n.b."))</f>
        <v/>
      </c>
      <c r="W23" s="1461"/>
      <c r="X23" s="1469" t="str">
        <f>IF(E23="","",'#minDung'!P22)</f>
        <v/>
      </c>
      <c r="Y23" s="1461" t="str">
        <f>IF(G23="","",'#Kürzungen'!AQ40)</f>
        <v/>
      </c>
    </row>
    <row r="24" spans="1:25" s="880" customFormat="1" ht="15" customHeight="1" x14ac:dyDescent="0.2">
      <c r="A24" s="1471" t="str">
        <f>IF(E24="","",'Flächen u. Kulturen'!A22)</f>
        <v/>
      </c>
      <c r="B24" s="1273" t="str">
        <f>IF('Flächen u. Kulturen'!C22="","",'Flächen u. Kulturen'!C22)</f>
        <v/>
      </c>
      <c r="C24" s="1273" t="str">
        <f>IF('Flächen u. Kulturen'!B22="","",'Flächen u. Kulturen'!B22)</f>
        <v/>
      </c>
      <c r="D24" s="1452" t="str">
        <f>IF(E24="","",IF('#BerechnungDBE'!S17=1,"x",""))</f>
        <v/>
      </c>
      <c r="E24" s="1472" t="str">
        <f>IF('Flächen u. Kulturen'!D22="","",'Flächen u. Kulturen'!D22)</f>
        <v/>
      </c>
      <c r="F24" s="1255" t="str">
        <f>IF(E24="","",IF('Flächen u. Kulturen'!E22="x",'Flächen u. Kulturen'!P22,"nicht im Betrieb"))</f>
        <v/>
      </c>
      <c r="G24" s="1272" t="str">
        <f>IF(OR(E24="",'Flächen u. Kulturen'!E22&lt;&gt;"x"),"",IF('#BerechnungDBE'!N17=3,'Flächen u. Kulturen'!R22,'Flächen u. Kulturen'!Q22))</f>
        <v/>
      </c>
      <c r="H24" s="1467" t="str">
        <f>IF(G24="","",'#BerechnungDBE'!AR17)</f>
        <v/>
      </c>
      <c r="I24" s="1272" t="str">
        <f>IF(G24="","",'#BerechnungDBE'!AT17)</f>
        <v/>
      </c>
      <c r="J24" s="1272" t="str">
        <f>IF(G24="","",'#BerechnungDBE'!AU17)</f>
        <v/>
      </c>
      <c r="K24" s="1272" t="str">
        <f>IF(G24="","",'#BerechnungDBE'!AV17)</f>
        <v/>
      </c>
      <c r="L24" s="1272" t="str">
        <f>IF(G24="","",'#BerechnungDBE'!AW17)</f>
        <v/>
      </c>
      <c r="M24" s="1272" t="str">
        <f>IF(G24="","",'#BerechnungDBE'!AS17)</f>
        <v/>
      </c>
      <c r="N24" s="1272" t="str">
        <f>IF(G24="","",'#BerechnungDBE'!AX17)</f>
        <v/>
      </c>
      <c r="O24" s="1272" t="str">
        <f>IF(G24="","",'#BerechnungDBE'!AY17)</f>
        <v/>
      </c>
      <c r="P24" s="1272" t="str">
        <f>IF(G24="","",'#BerechnungDBE'!AZ17)</f>
        <v/>
      </c>
      <c r="Q24" s="1460" t="str">
        <f>IF(G24="","",IF('Flächen u. Kulturen'!X22="OK",'#BerechnungDBE'!BA17,"n.b."))</f>
        <v/>
      </c>
      <c r="R24" s="1460" t="str">
        <f>IF(G24="","",'#BerechnungDBE'!BF17)</f>
        <v/>
      </c>
      <c r="S24" s="1468" t="str">
        <f>IF(OR(G24="",AND(D24="",'#BerechnungDBE'!BH17=0)),"",IF('Flächen u. Kulturen'!X22="OK",'#BerechnungDBE'!BH17,"n.b."))</f>
        <v/>
      </c>
      <c r="T24" s="1460" t="str">
        <f>IF(G24="","",IF('Flächen u. Kulturen'!X22="OK",'#BerechnungDBE'!BJ17,"n.b."))</f>
        <v/>
      </c>
      <c r="U24" s="1460" t="str">
        <f>IF(G24="","",IF('Flächen u. Kulturen'!X22="OK",ROUNDDOWN('#BerechnungDBE'!BL17,0),"n.b."))</f>
        <v/>
      </c>
      <c r="V24" s="1456" t="str">
        <f>IF(G24="","",IF('Flächen u. Kulturen'!X22="OK",ROUNDDOWN('#BerechnungDBE'!BL17/27,1),"n.b."))</f>
        <v/>
      </c>
      <c r="W24" s="1461"/>
      <c r="X24" s="1469" t="str">
        <f>IF(E24="","",'#minDung'!P23)</f>
        <v/>
      </c>
      <c r="Y24" s="1461" t="str">
        <f>IF(G24="","",'#Kürzungen'!AQ41)</f>
        <v/>
      </c>
    </row>
    <row r="25" spans="1:25" s="880" customFormat="1" ht="15" customHeight="1" x14ac:dyDescent="0.2">
      <c r="A25" s="1471" t="str">
        <f>IF(E25="","",'Flächen u. Kulturen'!A23)</f>
        <v/>
      </c>
      <c r="B25" s="1273" t="str">
        <f>IF('Flächen u. Kulturen'!C23="","",'Flächen u. Kulturen'!C23)</f>
        <v/>
      </c>
      <c r="C25" s="1273" t="str">
        <f>IF('Flächen u. Kulturen'!B23="","",'Flächen u. Kulturen'!B23)</f>
        <v/>
      </c>
      <c r="D25" s="1452" t="str">
        <f>IF(E25="","",IF('#BerechnungDBE'!S18=1,"x",""))</f>
        <v/>
      </c>
      <c r="E25" s="1472" t="str">
        <f>IF('Flächen u. Kulturen'!D23="","",'Flächen u. Kulturen'!D23)</f>
        <v/>
      </c>
      <c r="F25" s="1255" t="str">
        <f>IF(E25="","",IF('Flächen u. Kulturen'!E23="x",'Flächen u. Kulturen'!P23,"nicht im Betrieb"))</f>
        <v/>
      </c>
      <c r="G25" s="1272" t="str">
        <f>IF(OR(E25="",'Flächen u. Kulturen'!E23&lt;&gt;"x"),"",IF('#BerechnungDBE'!N18=3,'Flächen u. Kulturen'!R23,'Flächen u. Kulturen'!Q23))</f>
        <v/>
      </c>
      <c r="H25" s="1467" t="str">
        <f>IF(G25="","",'#BerechnungDBE'!AR18)</f>
        <v/>
      </c>
      <c r="I25" s="1272" t="str">
        <f>IF(G25="","",'#BerechnungDBE'!AT18)</f>
        <v/>
      </c>
      <c r="J25" s="1272" t="str">
        <f>IF(G25="","",'#BerechnungDBE'!AU18)</f>
        <v/>
      </c>
      <c r="K25" s="1272" t="str">
        <f>IF(G25="","",'#BerechnungDBE'!AV18)</f>
        <v/>
      </c>
      <c r="L25" s="1272" t="str">
        <f>IF(G25="","",'#BerechnungDBE'!AW18)</f>
        <v/>
      </c>
      <c r="M25" s="1272" t="str">
        <f>IF(G25="","",'#BerechnungDBE'!AS18)</f>
        <v/>
      </c>
      <c r="N25" s="1272" t="str">
        <f>IF(G25="","",'#BerechnungDBE'!AX18)</f>
        <v/>
      </c>
      <c r="O25" s="1272" t="str">
        <f>IF(G25="","",'#BerechnungDBE'!AY18)</f>
        <v/>
      </c>
      <c r="P25" s="1272" t="str">
        <f>IF(G25="","",'#BerechnungDBE'!AZ18)</f>
        <v/>
      </c>
      <c r="Q25" s="1460" t="str">
        <f>IF(G25="","",IF('Flächen u. Kulturen'!X23="OK",'#BerechnungDBE'!BA18,"n.b."))</f>
        <v/>
      </c>
      <c r="R25" s="1460" t="str">
        <f>IF(G25="","",'#BerechnungDBE'!BF18)</f>
        <v/>
      </c>
      <c r="S25" s="1468" t="str">
        <f>IF(OR(G25="",AND(D25="",'#BerechnungDBE'!BH18=0)),"",IF('Flächen u. Kulturen'!X23="OK",'#BerechnungDBE'!BH18,"n.b."))</f>
        <v/>
      </c>
      <c r="T25" s="1460" t="str">
        <f>IF(G25="","",IF('Flächen u. Kulturen'!X23="OK",'#BerechnungDBE'!BJ18,"n.b."))</f>
        <v/>
      </c>
      <c r="U25" s="1460" t="str">
        <f>IF(G25="","",IF('Flächen u. Kulturen'!X23="OK",ROUNDDOWN('#BerechnungDBE'!BL18,0),"n.b."))</f>
        <v/>
      </c>
      <c r="V25" s="1456" t="str">
        <f>IF(G25="","",IF('Flächen u. Kulturen'!X23="OK",ROUNDDOWN('#BerechnungDBE'!BL18/27,1),"n.b."))</f>
        <v/>
      </c>
      <c r="W25" s="1461"/>
      <c r="X25" s="1469" t="str">
        <f>IF(E25="","",'#minDung'!P24)</f>
        <v/>
      </c>
      <c r="Y25" s="1461" t="str">
        <f>IF(G25="","",'#Kürzungen'!AQ42)</f>
        <v/>
      </c>
    </row>
    <row r="26" spans="1:25" s="880" customFormat="1" ht="15" customHeight="1" x14ac:dyDescent="0.2">
      <c r="A26" s="1471" t="str">
        <f>IF(E26="","",'Flächen u. Kulturen'!A24)</f>
        <v/>
      </c>
      <c r="B26" s="1273" t="str">
        <f>IF('Flächen u. Kulturen'!C24="","",'Flächen u. Kulturen'!C24)</f>
        <v/>
      </c>
      <c r="C26" s="1273" t="str">
        <f>IF('Flächen u. Kulturen'!B24="","",'Flächen u. Kulturen'!B24)</f>
        <v/>
      </c>
      <c r="D26" s="1452" t="str">
        <f>IF(E26="","",IF('#BerechnungDBE'!S19=1,"x",""))</f>
        <v/>
      </c>
      <c r="E26" s="1472" t="str">
        <f>IF('Flächen u. Kulturen'!D24="","",'Flächen u. Kulturen'!D24)</f>
        <v/>
      </c>
      <c r="F26" s="1255" t="str">
        <f>IF(E26="","",IF('Flächen u. Kulturen'!E24="x",'Flächen u. Kulturen'!P24,"nicht im Betrieb"))</f>
        <v/>
      </c>
      <c r="G26" s="1272" t="str">
        <f>IF(OR(E26="",'Flächen u. Kulturen'!E24&lt;&gt;"x"),"",IF('#BerechnungDBE'!N19=3,'Flächen u. Kulturen'!R24,'Flächen u. Kulturen'!Q24))</f>
        <v/>
      </c>
      <c r="H26" s="1467" t="str">
        <f>IF(G26="","",'#BerechnungDBE'!AR19)</f>
        <v/>
      </c>
      <c r="I26" s="1272" t="str">
        <f>IF(G26="","",'#BerechnungDBE'!AT19)</f>
        <v/>
      </c>
      <c r="J26" s="1272" t="str">
        <f>IF(G26="","",'#BerechnungDBE'!AU19)</f>
        <v/>
      </c>
      <c r="K26" s="1272" t="str">
        <f>IF(G26="","",'#BerechnungDBE'!AV19)</f>
        <v/>
      </c>
      <c r="L26" s="1272" t="str">
        <f>IF(G26="","",'#BerechnungDBE'!AW19)</f>
        <v/>
      </c>
      <c r="M26" s="1272" t="str">
        <f>IF(G26="","",'#BerechnungDBE'!AS19)</f>
        <v/>
      </c>
      <c r="N26" s="1272" t="str">
        <f>IF(G26="","",'#BerechnungDBE'!AX19)</f>
        <v/>
      </c>
      <c r="O26" s="1272" t="str">
        <f>IF(G26="","",'#BerechnungDBE'!AY19)</f>
        <v/>
      </c>
      <c r="P26" s="1272" t="str">
        <f>IF(G26="","",'#BerechnungDBE'!AZ19)</f>
        <v/>
      </c>
      <c r="Q26" s="1460" t="str">
        <f>IF(G26="","",IF('Flächen u. Kulturen'!X24="OK",'#BerechnungDBE'!BA19,"n.b."))</f>
        <v/>
      </c>
      <c r="R26" s="1460" t="str">
        <f>IF(G26="","",'#BerechnungDBE'!BF19)</f>
        <v/>
      </c>
      <c r="S26" s="1468" t="str">
        <f>IF(OR(G26="",AND(D26="",'#BerechnungDBE'!BH19=0)),"",IF('Flächen u. Kulturen'!X24="OK",'#BerechnungDBE'!BH19,"n.b."))</f>
        <v/>
      </c>
      <c r="T26" s="1460" t="str">
        <f>IF(G26="","",IF('Flächen u. Kulturen'!X24="OK",'#BerechnungDBE'!BJ19,"n.b."))</f>
        <v/>
      </c>
      <c r="U26" s="1460" t="str">
        <f>IF(G26="","",IF('Flächen u. Kulturen'!X24="OK",ROUNDDOWN('#BerechnungDBE'!BL19,0),"n.b."))</f>
        <v/>
      </c>
      <c r="V26" s="1456" t="str">
        <f>IF(G26="","",IF('Flächen u. Kulturen'!X24="OK",ROUNDDOWN('#BerechnungDBE'!BL19/27,1),"n.b."))</f>
        <v/>
      </c>
      <c r="W26" s="1461"/>
      <c r="X26" s="1469" t="str">
        <f>IF(E26="","",'#minDung'!P25)</f>
        <v/>
      </c>
      <c r="Y26" s="1461" t="str">
        <f>IF(G26="","",'#Kürzungen'!AQ43)</f>
        <v/>
      </c>
    </row>
    <row r="27" spans="1:25" s="880" customFormat="1" ht="15" customHeight="1" x14ac:dyDescent="0.2">
      <c r="A27" s="1471" t="str">
        <f>IF(E27="","",'Flächen u. Kulturen'!A25)</f>
        <v/>
      </c>
      <c r="B27" s="1273" t="str">
        <f>IF('Flächen u. Kulturen'!C25="","",'Flächen u. Kulturen'!C25)</f>
        <v/>
      </c>
      <c r="C27" s="1273" t="str">
        <f>IF('Flächen u. Kulturen'!B25="","",'Flächen u. Kulturen'!B25)</f>
        <v/>
      </c>
      <c r="D27" s="1452" t="str">
        <f>IF(E27="","",IF('#BerechnungDBE'!S20=1,"x",""))</f>
        <v/>
      </c>
      <c r="E27" s="1472" t="str">
        <f>IF('Flächen u. Kulturen'!D25="","",'Flächen u. Kulturen'!D25)</f>
        <v/>
      </c>
      <c r="F27" s="1255" t="str">
        <f>IF(E27="","",IF('Flächen u. Kulturen'!E25="x",'Flächen u. Kulturen'!P25,"nicht im Betrieb"))</f>
        <v/>
      </c>
      <c r="G27" s="1272" t="str">
        <f>IF(OR(E27="",'Flächen u. Kulturen'!E25&lt;&gt;"x"),"",IF('#BerechnungDBE'!N20=3,'Flächen u. Kulturen'!R25,'Flächen u. Kulturen'!Q25))</f>
        <v/>
      </c>
      <c r="H27" s="1467" t="str">
        <f>IF(G27="","",'#BerechnungDBE'!AR20)</f>
        <v/>
      </c>
      <c r="I27" s="1272" t="str">
        <f>IF(G27="","",'#BerechnungDBE'!AT20)</f>
        <v/>
      </c>
      <c r="J27" s="1272" t="str">
        <f>IF(G27="","",'#BerechnungDBE'!AU20)</f>
        <v/>
      </c>
      <c r="K27" s="1272" t="str">
        <f>IF(G27="","",'#BerechnungDBE'!AV20)</f>
        <v/>
      </c>
      <c r="L27" s="1272" t="str">
        <f>IF(G27="","",'#BerechnungDBE'!AW20)</f>
        <v/>
      </c>
      <c r="M27" s="1272" t="str">
        <f>IF(G27="","",'#BerechnungDBE'!AS20)</f>
        <v/>
      </c>
      <c r="N27" s="1272" t="str">
        <f>IF(G27="","",'#BerechnungDBE'!AX20)</f>
        <v/>
      </c>
      <c r="O27" s="1272" t="str">
        <f>IF(G27="","",'#BerechnungDBE'!AY20)</f>
        <v/>
      </c>
      <c r="P27" s="1272" t="str">
        <f>IF(G27="","",'#BerechnungDBE'!AZ20)</f>
        <v/>
      </c>
      <c r="Q27" s="1460" t="str">
        <f>IF(G27="","",IF('Flächen u. Kulturen'!X25="OK",'#BerechnungDBE'!BA20,"n.b."))</f>
        <v/>
      </c>
      <c r="R27" s="1460" t="str">
        <f>IF(G27="","",'#BerechnungDBE'!BF20)</f>
        <v/>
      </c>
      <c r="S27" s="1468" t="str">
        <f>IF(OR(G27="",AND(D27="",'#BerechnungDBE'!BH20=0)),"",IF('Flächen u. Kulturen'!X25="OK",'#BerechnungDBE'!BH20,"n.b."))</f>
        <v/>
      </c>
      <c r="T27" s="1460" t="str">
        <f>IF(G27="","",IF('Flächen u. Kulturen'!X25="OK",'#BerechnungDBE'!BJ20,"n.b."))</f>
        <v/>
      </c>
      <c r="U27" s="1460" t="str">
        <f>IF(G27="","",IF('Flächen u. Kulturen'!X25="OK",ROUNDDOWN('#BerechnungDBE'!BL20,0),"n.b."))</f>
        <v/>
      </c>
      <c r="V27" s="1456" t="str">
        <f>IF(G27="","",IF('Flächen u. Kulturen'!X25="OK",ROUNDDOWN('#BerechnungDBE'!BL20/27,1),"n.b."))</f>
        <v/>
      </c>
      <c r="W27" s="1461"/>
      <c r="X27" s="1469" t="str">
        <f>IF(E27="","",'#minDung'!P26)</f>
        <v/>
      </c>
      <c r="Y27" s="1461" t="str">
        <f>IF(G27="","",'#Kürzungen'!AQ44)</f>
        <v/>
      </c>
    </row>
    <row r="28" spans="1:25" s="880" customFormat="1" ht="15" customHeight="1" x14ac:dyDescent="0.2">
      <c r="A28" s="1471" t="str">
        <f>IF(E28="","",'Flächen u. Kulturen'!A26)</f>
        <v/>
      </c>
      <c r="B28" s="1273" t="str">
        <f>IF('Flächen u. Kulturen'!C26="","",'Flächen u. Kulturen'!C26)</f>
        <v/>
      </c>
      <c r="C28" s="1273" t="str">
        <f>IF('Flächen u. Kulturen'!B26="","",'Flächen u. Kulturen'!B26)</f>
        <v/>
      </c>
      <c r="D28" s="1452" t="str">
        <f>IF(E28="","",IF('#BerechnungDBE'!S21=1,"x",""))</f>
        <v/>
      </c>
      <c r="E28" s="1472" t="str">
        <f>IF('Flächen u. Kulturen'!D26="","",'Flächen u. Kulturen'!D26)</f>
        <v/>
      </c>
      <c r="F28" s="1255" t="str">
        <f>IF(E28="","",IF('Flächen u. Kulturen'!E26="x",'Flächen u. Kulturen'!P26,"nicht im Betrieb"))</f>
        <v/>
      </c>
      <c r="G28" s="1272" t="str">
        <f>IF(OR(E28="",'Flächen u. Kulturen'!E26&lt;&gt;"x"),"",IF('#BerechnungDBE'!N21=3,'Flächen u. Kulturen'!R26,'Flächen u. Kulturen'!Q26))</f>
        <v/>
      </c>
      <c r="H28" s="1467" t="str">
        <f>IF(G28="","",'#BerechnungDBE'!AR21)</f>
        <v/>
      </c>
      <c r="I28" s="1272" t="str">
        <f>IF(G28="","",'#BerechnungDBE'!AT21)</f>
        <v/>
      </c>
      <c r="J28" s="1272" t="str">
        <f>IF(G28="","",'#BerechnungDBE'!AU21)</f>
        <v/>
      </c>
      <c r="K28" s="1272" t="str">
        <f>IF(G28="","",'#BerechnungDBE'!AV21)</f>
        <v/>
      </c>
      <c r="L28" s="1272" t="str">
        <f>IF(G28="","",'#BerechnungDBE'!AW21)</f>
        <v/>
      </c>
      <c r="M28" s="1272" t="str">
        <f>IF(G28="","",'#BerechnungDBE'!AS21)</f>
        <v/>
      </c>
      <c r="N28" s="1272" t="str">
        <f>IF(G28="","",'#BerechnungDBE'!AX21)</f>
        <v/>
      </c>
      <c r="O28" s="1272" t="str">
        <f>IF(G28="","",'#BerechnungDBE'!AY21)</f>
        <v/>
      </c>
      <c r="P28" s="1272" t="str">
        <f>IF(G28="","",'#BerechnungDBE'!AZ21)</f>
        <v/>
      </c>
      <c r="Q28" s="1460" t="str">
        <f>IF(G28="","",IF('Flächen u. Kulturen'!X26="OK",'#BerechnungDBE'!BA21,"n.b."))</f>
        <v/>
      </c>
      <c r="R28" s="1460" t="str">
        <f>IF(G28="","",'#BerechnungDBE'!BF21)</f>
        <v/>
      </c>
      <c r="S28" s="1468" t="str">
        <f>IF(OR(G28="",AND(D28="",'#BerechnungDBE'!BH21=0)),"",IF('Flächen u. Kulturen'!X26="OK",'#BerechnungDBE'!BH21,"n.b."))</f>
        <v/>
      </c>
      <c r="T28" s="1460" t="str">
        <f>IF(G28="","",IF('Flächen u. Kulturen'!X26="OK",'#BerechnungDBE'!BJ21,"n.b."))</f>
        <v/>
      </c>
      <c r="U28" s="1460" t="str">
        <f>IF(G28="","",IF('Flächen u. Kulturen'!X26="OK",ROUNDDOWN('#BerechnungDBE'!BL21,0),"n.b."))</f>
        <v/>
      </c>
      <c r="V28" s="1456" t="str">
        <f>IF(G28="","",IF('Flächen u. Kulturen'!X26="OK",ROUNDDOWN('#BerechnungDBE'!BL21/27,1),"n.b."))</f>
        <v/>
      </c>
      <c r="W28" s="1461"/>
      <c r="X28" s="1469" t="str">
        <f>IF(E28="","",'#minDung'!P27)</f>
        <v/>
      </c>
      <c r="Y28" s="1461" t="str">
        <f>IF(G28="","",'#Kürzungen'!AQ45)</f>
        <v/>
      </c>
    </row>
    <row r="29" spans="1:25" s="880" customFormat="1" ht="15" customHeight="1" x14ac:dyDescent="0.2">
      <c r="A29" s="1471" t="str">
        <f>IF(E29="","",'Flächen u. Kulturen'!A27)</f>
        <v/>
      </c>
      <c r="B29" s="1273" t="str">
        <f>IF('Flächen u. Kulturen'!C27="","",'Flächen u. Kulturen'!C27)</f>
        <v/>
      </c>
      <c r="C29" s="1273" t="str">
        <f>IF('Flächen u. Kulturen'!B27="","",'Flächen u. Kulturen'!B27)</f>
        <v/>
      </c>
      <c r="D29" s="1452" t="str">
        <f>IF(E29="","",IF('#BerechnungDBE'!S22=1,"x",""))</f>
        <v/>
      </c>
      <c r="E29" s="1472" t="str">
        <f>IF('Flächen u. Kulturen'!D27="","",'Flächen u. Kulturen'!D27)</f>
        <v/>
      </c>
      <c r="F29" s="1255" t="str">
        <f>IF(E29="","",IF('Flächen u. Kulturen'!E27="x",'Flächen u. Kulturen'!P27,"nicht im Betrieb"))</f>
        <v/>
      </c>
      <c r="G29" s="1272" t="str">
        <f>IF(OR(E29="",'Flächen u. Kulturen'!E27&lt;&gt;"x"),"",IF('#BerechnungDBE'!N22=3,'Flächen u. Kulturen'!R27,'Flächen u. Kulturen'!Q27))</f>
        <v/>
      </c>
      <c r="H29" s="1467" t="str">
        <f>IF(G29="","",'#BerechnungDBE'!AR22)</f>
        <v/>
      </c>
      <c r="I29" s="1272" t="str">
        <f>IF(G29="","",'#BerechnungDBE'!AT22)</f>
        <v/>
      </c>
      <c r="J29" s="1272" t="str">
        <f>IF(G29="","",'#BerechnungDBE'!AU22)</f>
        <v/>
      </c>
      <c r="K29" s="1272" t="str">
        <f>IF(G29="","",'#BerechnungDBE'!AV22)</f>
        <v/>
      </c>
      <c r="L29" s="1272" t="str">
        <f>IF(G29="","",'#BerechnungDBE'!AW22)</f>
        <v/>
      </c>
      <c r="M29" s="1272" t="str">
        <f>IF(G29="","",'#BerechnungDBE'!AS22)</f>
        <v/>
      </c>
      <c r="N29" s="1272" t="str">
        <f>IF(G29="","",'#BerechnungDBE'!AX22)</f>
        <v/>
      </c>
      <c r="O29" s="1272" t="str">
        <f>IF(G29="","",'#BerechnungDBE'!AY22)</f>
        <v/>
      </c>
      <c r="P29" s="1272" t="str">
        <f>IF(G29="","",'#BerechnungDBE'!AZ22)</f>
        <v/>
      </c>
      <c r="Q29" s="1460" t="str">
        <f>IF(G29="","",IF('Flächen u. Kulturen'!X27="OK",'#BerechnungDBE'!BA22,"n.b."))</f>
        <v/>
      </c>
      <c r="R29" s="1460" t="str">
        <f>IF(G29="","",'#BerechnungDBE'!BF22)</f>
        <v/>
      </c>
      <c r="S29" s="1468" t="str">
        <f>IF(OR(G29="",AND(D29="",'#BerechnungDBE'!BH22=0)),"",IF('Flächen u. Kulturen'!X27="OK",'#BerechnungDBE'!BH22,"n.b."))</f>
        <v/>
      </c>
      <c r="T29" s="1460" t="str">
        <f>IF(G29="","",IF('Flächen u. Kulturen'!X27="OK",'#BerechnungDBE'!BJ22,"n.b."))</f>
        <v/>
      </c>
      <c r="U29" s="1460" t="str">
        <f>IF(G29="","",IF('Flächen u. Kulturen'!X27="OK",ROUNDDOWN('#BerechnungDBE'!BL22,0),"n.b."))</f>
        <v/>
      </c>
      <c r="V29" s="1456" t="str">
        <f>IF(G29="","",IF('Flächen u. Kulturen'!X27="OK",ROUNDDOWN('#BerechnungDBE'!BL22/27,1),"n.b."))</f>
        <v/>
      </c>
      <c r="W29" s="1461"/>
      <c r="X29" s="1469" t="str">
        <f>IF(E29="","",'#minDung'!P28)</f>
        <v/>
      </c>
      <c r="Y29" s="1461" t="str">
        <f>IF(G29="","",'#Kürzungen'!AQ46)</f>
        <v/>
      </c>
    </row>
    <row r="30" spans="1:25" s="880" customFormat="1" ht="15" customHeight="1" x14ac:dyDescent="0.2">
      <c r="A30" s="1471" t="str">
        <f>IF(E30="","",'Flächen u. Kulturen'!A28)</f>
        <v/>
      </c>
      <c r="B30" s="1273" t="str">
        <f>IF('Flächen u. Kulturen'!C28="","",'Flächen u. Kulturen'!C28)</f>
        <v/>
      </c>
      <c r="C30" s="1273" t="str">
        <f>IF('Flächen u. Kulturen'!B28="","",'Flächen u. Kulturen'!B28)</f>
        <v/>
      </c>
      <c r="D30" s="1452" t="str">
        <f>IF(E30="","",IF('#BerechnungDBE'!S23=1,"x",""))</f>
        <v/>
      </c>
      <c r="E30" s="1472" t="str">
        <f>IF('Flächen u. Kulturen'!D28="","",'Flächen u. Kulturen'!D28)</f>
        <v/>
      </c>
      <c r="F30" s="1255" t="str">
        <f>IF(E30="","",IF('Flächen u. Kulturen'!E28="x",'Flächen u. Kulturen'!P28,"nicht im Betrieb"))</f>
        <v/>
      </c>
      <c r="G30" s="1272" t="str">
        <f>IF(OR(E30="",'Flächen u. Kulturen'!E28&lt;&gt;"x"),"",IF('#BerechnungDBE'!N23=3,'Flächen u. Kulturen'!R28,'Flächen u. Kulturen'!Q28))</f>
        <v/>
      </c>
      <c r="H30" s="1467" t="str">
        <f>IF(G30="","",'#BerechnungDBE'!AR23)</f>
        <v/>
      </c>
      <c r="I30" s="1272" t="str">
        <f>IF(G30="","",'#BerechnungDBE'!AT23)</f>
        <v/>
      </c>
      <c r="J30" s="1272" t="str">
        <f>IF(G30="","",'#BerechnungDBE'!AU23)</f>
        <v/>
      </c>
      <c r="K30" s="1272" t="str">
        <f>IF(G30="","",'#BerechnungDBE'!AV23)</f>
        <v/>
      </c>
      <c r="L30" s="1272" t="str">
        <f>IF(G30="","",'#BerechnungDBE'!AW23)</f>
        <v/>
      </c>
      <c r="M30" s="1272" t="str">
        <f>IF(G30="","",'#BerechnungDBE'!AS23)</f>
        <v/>
      </c>
      <c r="N30" s="1272" t="str">
        <f>IF(G30="","",'#BerechnungDBE'!AX23)</f>
        <v/>
      </c>
      <c r="O30" s="1272" t="str">
        <f>IF(G30="","",'#BerechnungDBE'!AY23)</f>
        <v/>
      </c>
      <c r="P30" s="1272" t="str">
        <f>IF(G30="","",'#BerechnungDBE'!AZ23)</f>
        <v/>
      </c>
      <c r="Q30" s="1460" t="str">
        <f>IF(G30="","",IF('Flächen u. Kulturen'!X28="OK",'#BerechnungDBE'!BA23,"n.b."))</f>
        <v/>
      </c>
      <c r="R30" s="1460" t="str">
        <f>IF(G30="","",'#BerechnungDBE'!BF23)</f>
        <v/>
      </c>
      <c r="S30" s="1468" t="str">
        <f>IF(OR(G30="",AND(D30="",'#BerechnungDBE'!BH23=0)),"",IF('Flächen u. Kulturen'!X28="OK",'#BerechnungDBE'!BH23,"n.b."))</f>
        <v/>
      </c>
      <c r="T30" s="1460" t="str">
        <f>IF(G30="","",IF('Flächen u. Kulturen'!X28="OK",'#BerechnungDBE'!BJ23,"n.b."))</f>
        <v/>
      </c>
      <c r="U30" s="1460" t="str">
        <f>IF(G30="","",IF('Flächen u. Kulturen'!X28="OK",ROUNDDOWN('#BerechnungDBE'!BL23,0),"n.b."))</f>
        <v/>
      </c>
      <c r="V30" s="1456" t="str">
        <f>IF(G30="","",IF('Flächen u. Kulturen'!X28="OK",ROUNDDOWN('#BerechnungDBE'!BL23/27,1),"n.b."))</f>
        <v/>
      </c>
      <c r="W30" s="1461"/>
      <c r="X30" s="1469" t="str">
        <f>IF(E30="","",'#minDung'!P29)</f>
        <v/>
      </c>
      <c r="Y30" s="1461" t="str">
        <f>IF(G30="","",'#Kürzungen'!AQ47)</f>
        <v/>
      </c>
    </row>
    <row r="31" spans="1:25" s="880" customFormat="1" ht="15" customHeight="1" x14ac:dyDescent="0.2">
      <c r="A31" s="1471" t="str">
        <f>IF(E31="","",'Flächen u. Kulturen'!A29)</f>
        <v/>
      </c>
      <c r="B31" s="1273" t="str">
        <f>IF('Flächen u. Kulturen'!C29="","",'Flächen u. Kulturen'!C29)</f>
        <v/>
      </c>
      <c r="C31" s="1273" t="str">
        <f>IF('Flächen u. Kulturen'!B29="","",'Flächen u. Kulturen'!B29)</f>
        <v/>
      </c>
      <c r="D31" s="1452" t="str">
        <f>IF(E31="","",IF('#BerechnungDBE'!S24=1,"x",""))</f>
        <v/>
      </c>
      <c r="E31" s="1472" t="str">
        <f>IF('Flächen u. Kulturen'!D29="","",'Flächen u. Kulturen'!D29)</f>
        <v/>
      </c>
      <c r="F31" s="1255" t="str">
        <f>IF(E31="","",IF('Flächen u. Kulturen'!E29="x",'Flächen u. Kulturen'!P29,"       nicht im Betrieb"))</f>
        <v/>
      </c>
      <c r="G31" s="1272" t="str">
        <f>IF(OR(E31="",'Flächen u. Kulturen'!E29&lt;&gt;"x"),"",IF('#BerechnungDBE'!N24=3,'Flächen u. Kulturen'!R29,'Flächen u. Kulturen'!Q29))</f>
        <v/>
      </c>
      <c r="H31" s="1467" t="str">
        <f>IF(G31="","",'#BerechnungDBE'!AR24)</f>
        <v/>
      </c>
      <c r="I31" s="1272" t="str">
        <f>IF(G31="","",'#BerechnungDBE'!AT24)</f>
        <v/>
      </c>
      <c r="J31" s="1272" t="str">
        <f>IF(G31="","",'#BerechnungDBE'!AU24)</f>
        <v/>
      </c>
      <c r="K31" s="1272" t="str">
        <f>IF(G31="","",'#BerechnungDBE'!AV24)</f>
        <v/>
      </c>
      <c r="L31" s="1272" t="str">
        <f>IF(G31="","",'#BerechnungDBE'!AW24)</f>
        <v/>
      </c>
      <c r="M31" s="1272" t="str">
        <f>IF(G31="","",'#BerechnungDBE'!AS24)</f>
        <v/>
      </c>
      <c r="N31" s="1272" t="str">
        <f>IF(G31="","",'#BerechnungDBE'!AX24)</f>
        <v/>
      </c>
      <c r="O31" s="1272" t="str">
        <f>IF(G31="","",'#BerechnungDBE'!AY24)</f>
        <v/>
      </c>
      <c r="P31" s="1272" t="str">
        <f>IF(G31="","",'#BerechnungDBE'!AZ24)</f>
        <v/>
      </c>
      <c r="Q31" s="1460" t="str">
        <f>IF(G31="","",IF('Flächen u. Kulturen'!X29="OK",'#BerechnungDBE'!BA24,"n.b."))</f>
        <v/>
      </c>
      <c r="R31" s="1460" t="str">
        <f>IF(G31="","",'#BerechnungDBE'!BF24)</f>
        <v/>
      </c>
      <c r="S31" s="1468" t="str">
        <f>IF(OR(G31="",AND(D31="",'#BerechnungDBE'!BH24=0)),"",IF('Flächen u. Kulturen'!X29="OK",'#BerechnungDBE'!BH24,"n.b."))</f>
        <v/>
      </c>
      <c r="T31" s="1460" t="str">
        <f>IF(G31="","",IF('Flächen u. Kulturen'!X29="OK",'#BerechnungDBE'!BJ24,"n.b."))</f>
        <v/>
      </c>
      <c r="U31" s="1460" t="str">
        <f>IF(G31="","",IF('Flächen u. Kulturen'!X29="OK",ROUNDDOWN('#BerechnungDBE'!BL24,0),"n.b."))</f>
        <v/>
      </c>
      <c r="V31" s="1456" t="str">
        <f>IF(G31="","",IF('Flächen u. Kulturen'!X29="OK",ROUNDDOWN('#BerechnungDBE'!BL24/27,1),"n.b."))</f>
        <v/>
      </c>
      <c r="W31" s="1461"/>
      <c r="X31" s="1469" t="str">
        <f>IF(E31="","",'#minDung'!P30)</f>
        <v/>
      </c>
      <c r="Y31" s="1461" t="str">
        <f>IF(G31="","",'#Kürzungen'!AQ48)</f>
        <v/>
      </c>
    </row>
    <row r="32" spans="1:25" s="880" customFormat="1" ht="15" customHeight="1" x14ac:dyDescent="0.2">
      <c r="A32" s="1471" t="str">
        <f>IF(E32="","",'Flächen u. Kulturen'!A30)</f>
        <v/>
      </c>
      <c r="B32" s="1273" t="str">
        <f>IF('Flächen u. Kulturen'!C30="","",'Flächen u. Kulturen'!C30)</f>
        <v/>
      </c>
      <c r="C32" s="1273" t="str">
        <f>IF('Flächen u. Kulturen'!B30="","",'Flächen u. Kulturen'!B30)</f>
        <v/>
      </c>
      <c r="D32" s="1452" t="str">
        <f>IF(E32="","",IF('#BerechnungDBE'!S25=1,"x",""))</f>
        <v/>
      </c>
      <c r="E32" s="1472" t="str">
        <f>IF('Flächen u. Kulturen'!D30="","",'Flächen u. Kulturen'!D30)</f>
        <v/>
      </c>
      <c r="F32" s="1255" t="str">
        <f>IF(E32="","",IF('Flächen u. Kulturen'!E30="x",'Flächen u. Kulturen'!P30,"       nicht im Betrieb"))</f>
        <v/>
      </c>
      <c r="G32" s="1272" t="str">
        <f>IF(OR(E32="",'Flächen u. Kulturen'!E30&lt;&gt;"x"),"",IF('#BerechnungDBE'!N25=3,'Flächen u. Kulturen'!R30,'Flächen u. Kulturen'!Q30))</f>
        <v/>
      </c>
      <c r="H32" s="1467" t="str">
        <f>IF(G32="","",'#BerechnungDBE'!AR25)</f>
        <v/>
      </c>
      <c r="I32" s="1272" t="str">
        <f>IF(G32="","",'#BerechnungDBE'!AT25)</f>
        <v/>
      </c>
      <c r="J32" s="1272" t="str">
        <f>IF(G32="","",'#BerechnungDBE'!AU25)</f>
        <v/>
      </c>
      <c r="K32" s="1272" t="str">
        <f>IF(G32="","",'#BerechnungDBE'!AV25)</f>
        <v/>
      </c>
      <c r="L32" s="1272" t="str">
        <f>IF(G32="","",'#BerechnungDBE'!AW25)</f>
        <v/>
      </c>
      <c r="M32" s="1272" t="str">
        <f>IF(G32="","",'#BerechnungDBE'!AS25)</f>
        <v/>
      </c>
      <c r="N32" s="1272" t="str">
        <f>IF(G32="","",'#BerechnungDBE'!AX25)</f>
        <v/>
      </c>
      <c r="O32" s="1272" t="str">
        <f>IF(G32="","",'#BerechnungDBE'!AY25)</f>
        <v/>
      </c>
      <c r="P32" s="1272" t="str">
        <f>IF(G32="","",'#BerechnungDBE'!AZ25)</f>
        <v/>
      </c>
      <c r="Q32" s="1460" t="str">
        <f>IF(G32="","",IF('Flächen u. Kulturen'!X30="OK",'#BerechnungDBE'!BA25,"n.b."))</f>
        <v/>
      </c>
      <c r="R32" s="1460" t="str">
        <f>IF(G32="","",'#BerechnungDBE'!BF25)</f>
        <v/>
      </c>
      <c r="S32" s="1468" t="str">
        <f>IF(OR(G32="",AND(D32="",'#BerechnungDBE'!BH25=0)),"",IF('Flächen u. Kulturen'!X30="OK",'#BerechnungDBE'!BH25,"n.b."))</f>
        <v/>
      </c>
      <c r="T32" s="1460" t="str">
        <f>IF(G32="","",IF('Flächen u. Kulturen'!X30="OK",'#BerechnungDBE'!BJ25,"n.b."))</f>
        <v/>
      </c>
      <c r="U32" s="1460" t="str">
        <f>IF(G32="","",IF('Flächen u. Kulturen'!X30="OK",ROUNDDOWN('#BerechnungDBE'!BL25,0),"n.b."))</f>
        <v/>
      </c>
      <c r="V32" s="1456" t="str">
        <f>IF(G32="","",IF('Flächen u. Kulturen'!X30="OK",ROUNDDOWN('#BerechnungDBE'!BL25/27,1),"n.b."))</f>
        <v/>
      </c>
      <c r="W32" s="1461"/>
      <c r="X32" s="1469" t="str">
        <f>IF(E32="","",'#minDung'!P31)</f>
        <v/>
      </c>
      <c r="Y32" s="1461" t="str">
        <f>IF(G32="","",'#Kürzungen'!AQ49)</f>
        <v/>
      </c>
    </row>
    <row r="33" spans="1:25" s="880" customFormat="1" ht="15" customHeight="1" x14ac:dyDescent="0.2">
      <c r="A33" s="1471" t="str">
        <f>IF(E33="","",'Flächen u. Kulturen'!A31)</f>
        <v/>
      </c>
      <c r="B33" s="1273" t="str">
        <f>IF('Flächen u. Kulturen'!C31="","",'Flächen u. Kulturen'!C31)</f>
        <v/>
      </c>
      <c r="C33" s="1273" t="str">
        <f>IF('Flächen u. Kulturen'!B31="","",'Flächen u. Kulturen'!B31)</f>
        <v/>
      </c>
      <c r="D33" s="1452" t="str">
        <f>IF(E33="","",IF('#BerechnungDBE'!S26=1,"x",""))</f>
        <v/>
      </c>
      <c r="E33" s="1472" t="str">
        <f>IF('Flächen u. Kulturen'!D31="","",'Flächen u. Kulturen'!D31)</f>
        <v/>
      </c>
      <c r="F33" s="1255" t="str">
        <f>IF(E33="","",IF('Flächen u. Kulturen'!E31="x",'Flächen u. Kulturen'!P31,"       nicht im Betrieb"))</f>
        <v/>
      </c>
      <c r="G33" s="1272" t="str">
        <f>IF(OR(E33="",'Flächen u. Kulturen'!E31&lt;&gt;"x"),"",IF('#BerechnungDBE'!N26=3,'Flächen u. Kulturen'!R31,'Flächen u. Kulturen'!Q31))</f>
        <v/>
      </c>
      <c r="H33" s="1467" t="str">
        <f>IF(G33="","",'#BerechnungDBE'!AR26)</f>
        <v/>
      </c>
      <c r="I33" s="1272" t="str">
        <f>IF(G33="","",'#BerechnungDBE'!AT26)</f>
        <v/>
      </c>
      <c r="J33" s="1272" t="str">
        <f>IF(G33="","",'#BerechnungDBE'!AU26)</f>
        <v/>
      </c>
      <c r="K33" s="1272" t="str">
        <f>IF(G33="","",'#BerechnungDBE'!AV26)</f>
        <v/>
      </c>
      <c r="L33" s="1272" t="str">
        <f>IF(G33="","",'#BerechnungDBE'!AW26)</f>
        <v/>
      </c>
      <c r="M33" s="1272" t="str">
        <f>IF(G33="","",'#BerechnungDBE'!AS26)</f>
        <v/>
      </c>
      <c r="N33" s="1272" t="str">
        <f>IF(G33="","",'#BerechnungDBE'!AX26)</f>
        <v/>
      </c>
      <c r="O33" s="1272" t="str">
        <f>IF(G33="","",'#BerechnungDBE'!AY26)</f>
        <v/>
      </c>
      <c r="P33" s="1272" t="str">
        <f>IF(G33="","",'#BerechnungDBE'!AZ26)</f>
        <v/>
      </c>
      <c r="Q33" s="1460" t="str">
        <f>IF(G33="","",IF('Flächen u. Kulturen'!X31="OK",'#BerechnungDBE'!BA26,"n.b."))</f>
        <v/>
      </c>
      <c r="R33" s="1460" t="str">
        <f>IF(G33="","",'#BerechnungDBE'!BF26)</f>
        <v/>
      </c>
      <c r="S33" s="1468" t="str">
        <f>IF(OR(G33="",AND(D33="",'#BerechnungDBE'!BH26=0)),"",IF('Flächen u. Kulturen'!X31="OK",'#BerechnungDBE'!BH26,"n.b."))</f>
        <v/>
      </c>
      <c r="T33" s="1460" t="str">
        <f>IF(G33="","",IF('Flächen u. Kulturen'!X31="OK",'#BerechnungDBE'!BJ26,"n.b."))</f>
        <v/>
      </c>
      <c r="U33" s="1460" t="str">
        <f>IF(G33="","",IF('Flächen u. Kulturen'!X31="OK",ROUNDDOWN('#BerechnungDBE'!BL26,0),"n.b."))</f>
        <v/>
      </c>
      <c r="V33" s="1456" t="str">
        <f>IF(G33="","",IF('Flächen u. Kulturen'!X31="OK",ROUNDDOWN('#BerechnungDBE'!BL26/27,1),"n.b."))</f>
        <v/>
      </c>
      <c r="W33" s="1461"/>
      <c r="X33" s="1469" t="str">
        <f>IF(E33="","",'#minDung'!P32)</f>
        <v/>
      </c>
      <c r="Y33" s="1461" t="str">
        <f>IF(G33="","",'#Kürzungen'!AQ50)</f>
        <v/>
      </c>
    </row>
    <row r="34" spans="1:25" s="880" customFormat="1" ht="15" customHeight="1" x14ac:dyDescent="0.2">
      <c r="A34" s="1471" t="str">
        <f>IF(E34="","",'Flächen u. Kulturen'!A32)</f>
        <v/>
      </c>
      <c r="B34" s="1273" t="str">
        <f>IF('Flächen u. Kulturen'!C32="","",'Flächen u. Kulturen'!C32)</f>
        <v/>
      </c>
      <c r="C34" s="1273" t="str">
        <f>IF('Flächen u. Kulturen'!B32="","",'Flächen u. Kulturen'!B32)</f>
        <v/>
      </c>
      <c r="D34" s="1452" t="str">
        <f>IF(E34="","",IF('#BerechnungDBE'!S27=1,"x",""))</f>
        <v/>
      </c>
      <c r="E34" s="1472" t="str">
        <f>IF('Flächen u. Kulturen'!D32="","",'Flächen u. Kulturen'!D32)</f>
        <v/>
      </c>
      <c r="F34" s="1255" t="str">
        <f>IF(E34="","",IF('Flächen u. Kulturen'!E32="x",'Flächen u. Kulturen'!P32,"       nicht im Betrieb"))</f>
        <v/>
      </c>
      <c r="G34" s="1272" t="str">
        <f>IF(OR(E34="",'Flächen u. Kulturen'!E32&lt;&gt;"x"),"",IF('#BerechnungDBE'!N27=3,'Flächen u. Kulturen'!R32,'Flächen u. Kulturen'!Q32))</f>
        <v/>
      </c>
      <c r="H34" s="1467" t="str">
        <f>IF(G34="","",'#BerechnungDBE'!AR27)</f>
        <v/>
      </c>
      <c r="I34" s="1272" t="str">
        <f>IF(G34="","",'#BerechnungDBE'!AT27)</f>
        <v/>
      </c>
      <c r="J34" s="1272" t="str">
        <f>IF(G34="","",'#BerechnungDBE'!AU27)</f>
        <v/>
      </c>
      <c r="K34" s="1272" t="str">
        <f>IF(G34="","",'#BerechnungDBE'!AV27)</f>
        <v/>
      </c>
      <c r="L34" s="1272" t="str">
        <f>IF(G34="","",'#BerechnungDBE'!AW27)</f>
        <v/>
      </c>
      <c r="M34" s="1272" t="str">
        <f>IF(G34="","",'#BerechnungDBE'!AS27)</f>
        <v/>
      </c>
      <c r="N34" s="1272" t="str">
        <f>IF(G34="","",'#BerechnungDBE'!AX27)</f>
        <v/>
      </c>
      <c r="O34" s="1272" t="str">
        <f>IF(G34="","",'#BerechnungDBE'!AY27)</f>
        <v/>
      </c>
      <c r="P34" s="1272" t="str">
        <f>IF(G34="","",'#BerechnungDBE'!AZ27)</f>
        <v/>
      </c>
      <c r="Q34" s="1460" t="str">
        <f>IF(G34="","",IF('Flächen u. Kulturen'!X32="OK",'#BerechnungDBE'!BA27,"n.b."))</f>
        <v/>
      </c>
      <c r="R34" s="1460" t="str">
        <f>IF(G34="","",'#BerechnungDBE'!BF27)</f>
        <v/>
      </c>
      <c r="S34" s="1468" t="str">
        <f>IF(OR(G34="",AND(D34="",'#BerechnungDBE'!BH27=0)),"",IF('Flächen u. Kulturen'!X32="OK",'#BerechnungDBE'!BH27,"n.b."))</f>
        <v/>
      </c>
      <c r="T34" s="1460" t="str">
        <f>IF(G34="","",IF('Flächen u. Kulturen'!X32="OK",'#BerechnungDBE'!BJ27,"n.b."))</f>
        <v/>
      </c>
      <c r="U34" s="1460" t="str">
        <f>IF(G34="","",IF('Flächen u. Kulturen'!X32="OK",ROUNDDOWN('#BerechnungDBE'!BL27,0),"n.b."))</f>
        <v/>
      </c>
      <c r="V34" s="1456" t="str">
        <f>IF(G34="","",IF('Flächen u. Kulturen'!X32="OK",ROUNDDOWN('#BerechnungDBE'!BL27/27,1),"n.b."))</f>
        <v/>
      </c>
      <c r="W34" s="1461"/>
      <c r="X34" s="1469" t="str">
        <f>IF(E34="","",'#minDung'!P33)</f>
        <v/>
      </c>
      <c r="Y34" s="1461" t="str">
        <f>IF(G34="","",'#Kürzungen'!AQ51)</f>
        <v/>
      </c>
    </row>
    <row r="35" spans="1:25" s="880" customFormat="1" ht="15" customHeight="1" x14ac:dyDescent="0.2">
      <c r="A35" s="1471" t="str">
        <f>IF(E35="","",'Flächen u. Kulturen'!A33)</f>
        <v/>
      </c>
      <c r="B35" s="1273" t="str">
        <f>IF('Flächen u. Kulturen'!C33="","",'Flächen u. Kulturen'!C33)</f>
        <v/>
      </c>
      <c r="C35" s="1273" t="str">
        <f>IF('Flächen u. Kulturen'!B33="","",'Flächen u. Kulturen'!B33)</f>
        <v/>
      </c>
      <c r="D35" s="1452" t="str">
        <f>IF(E35="","",IF('#BerechnungDBE'!S28=1,"x",""))</f>
        <v/>
      </c>
      <c r="E35" s="1472" t="str">
        <f>IF('Flächen u. Kulturen'!D33="","",'Flächen u. Kulturen'!D33)</f>
        <v/>
      </c>
      <c r="F35" s="1255" t="str">
        <f>IF(E35="","",IF('Flächen u. Kulturen'!E33="x",'Flächen u. Kulturen'!P33,"       nicht im Betrieb"))</f>
        <v/>
      </c>
      <c r="G35" s="1272" t="str">
        <f>IF(OR(E35="",'Flächen u. Kulturen'!E33&lt;&gt;"x"),"",IF('#BerechnungDBE'!N28=3,'Flächen u. Kulturen'!R33,'Flächen u. Kulturen'!Q33))</f>
        <v/>
      </c>
      <c r="H35" s="1467" t="str">
        <f>IF(G35="","",'#BerechnungDBE'!AR28)</f>
        <v/>
      </c>
      <c r="I35" s="1272" t="str">
        <f>IF(G35="","",'#BerechnungDBE'!AT28)</f>
        <v/>
      </c>
      <c r="J35" s="1272" t="str">
        <f>IF(G35="","",'#BerechnungDBE'!AU28)</f>
        <v/>
      </c>
      <c r="K35" s="1272" t="str">
        <f>IF(G35="","",'#BerechnungDBE'!AV28)</f>
        <v/>
      </c>
      <c r="L35" s="1272" t="str">
        <f>IF(G35="","",'#BerechnungDBE'!AW28)</f>
        <v/>
      </c>
      <c r="M35" s="1272" t="str">
        <f>IF(G35="","",'#BerechnungDBE'!AS28)</f>
        <v/>
      </c>
      <c r="N35" s="1272" t="str">
        <f>IF(G35="","",'#BerechnungDBE'!AX28)</f>
        <v/>
      </c>
      <c r="O35" s="1272" t="str">
        <f>IF(G35="","",'#BerechnungDBE'!AY28)</f>
        <v/>
      </c>
      <c r="P35" s="1272" t="str">
        <f>IF(G35="","",'#BerechnungDBE'!AZ28)</f>
        <v/>
      </c>
      <c r="Q35" s="1460" t="str">
        <f>IF(G35="","",IF('Flächen u. Kulturen'!X33="OK",'#BerechnungDBE'!BA28,"n.b."))</f>
        <v/>
      </c>
      <c r="R35" s="1460" t="str">
        <f>IF(G35="","",'#BerechnungDBE'!BF28)</f>
        <v/>
      </c>
      <c r="S35" s="1468" t="str">
        <f>IF(OR(G35="",AND(D35="",'#BerechnungDBE'!BH28=0)),"",IF('Flächen u. Kulturen'!X33="OK",'#BerechnungDBE'!BH28,"n.b."))</f>
        <v/>
      </c>
      <c r="T35" s="1460" t="str">
        <f>IF(G35="","",IF('Flächen u. Kulturen'!X33="OK",'#BerechnungDBE'!BJ28,"n.b."))</f>
        <v/>
      </c>
      <c r="U35" s="1460" t="str">
        <f>IF(G35="","",IF('Flächen u. Kulturen'!X33="OK",ROUNDDOWN('#BerechnungDBE'!BL28,0),"n.b."))</f>
        <v/>
      </c>
      <c r="V35" s="1456" t="str">
        <f>IF(G35="","",IF('Flächen u. Kulturen'!X33="OK",ROUNDDOWN('#BerechnungDBE'!BL28/27,1),"n.b."))</f>
        <v/>
      </c>
      <c r="W35" s="1461"/>
      <c r="X35" s="1469" t="str">
        <f>IF(E35="","",'#minDung'!P34)</f>
        <v/>
      </c>
      <c r="Y35" s="1461" t="str">
        <f>IF(G35="","",'#Kürzungen'!AQ52)</f>
        <v/>
      </c>
    </row>
    <row r="36" spans="1:25" s="880" customFormat="1" ht="15" customHeight="1" x14ac:dyDescent="0.2">
      <c r="A36" s="1471" t="str">
        <f>IF(E36="","",'Flächen u. Kulturen'!A34)</f>
        <v/>
      </c>
      <c r="B36" s="1273" t="str">
        <f>IF('Flächen u. Kulturen'!C34="","",'Flächen u. Kulturen'!C34)</f>
        <v/>
      </c>
      <c r="C36" s="1273" t="str">
        <f>IF('Flächen u. Kulturen'!B34="","",'Flächen u. Kulturen'!B34)</f>
        <v/>
      </c>
      <c r="D36" s="1452" t="str">
        <f>IF(E36="","",IF('#BerechnungDBE'!S29=1,"x",""))</f>
        <v/>
      </c>
      <c r="E36" s="1472" t="str">
        <f>IF('Flächen u. Kulturen'!D34="","",'Flächen u. Kulturen'!D34)</f>
        <v/>
      </c>
      <c r="F36" s="1255" t="str">
        <f>IF(E36="","",IF('Flächen u. Kulturen'!E34="x",'Flächen u. Kulturen'!P34,"       nicht im Betrieb"))</f>
        <v/>
      </c>
      <c r="G36" s="1272" t="str">
        <f>IF(OR(E36="",'Flächen u. Kulturen'!E34&lt;&gt;"x"),"",IF('#BerechnungDBE'!N29=3,'Flächen u. Kulturen'!R34,'Flächen u. Kulturen'!Q34))</f>
        <v/>
      </c>
      <c r="H36" s="1467" t="str">
        <f>IF(G36="","",'#BerechnungDBE'!AR29)</f>
        <v/>
      </c>
      <c r="I36" s="1272" t="str">
        <f>IF(G36="","",'#BerechnungDBE'!AT29)</f>
        <v/>
      </c>
      <c r="J36" s="1272" t="str">
        <f>IF(G36="","",'#BerechnungDBE'!AU29)</f>
        <v/>
      </c>
      <c r="K36" s="1272" t="str">
        <f>IF(G36="","",'#BerechnungDBE'!AV29)</f>
        <v/>
      </c>
      <c r="L36" s="1272" t="str">
        <f>IF(G36="","",'#BerechnungDBE'!AW29)</f>
        <v/>
      </c>
      <c r="M36" s="1272" t="str">
        <f>IF(G36="","",'#BerechnungDBE'!AS29)</f>
        <v/>
      </c>
      <c r="N36" s="1272" t="str">
        <f>IF(G36="","",'#BerechnungDBE'!AX29)</f>
        <v/>
      </c>
      <c r="O36" s="1272" t="str">
        <f>IF(G36="","",'#BerechnungDBE'!AY29)</f>
        <v/>
      </c>
      <c r="P36" s="1272" t="str">
        <f>IF(G36="","",'#BerechnungDBE'!AZ29)</f>
        <v/>
      </c>
      <c r="Q36" s="1460" t="str">
        <f>IF(G36="","",IF('Flächen u. Kulturen'!X34="OK",'#BerechnungDBE'!BA29,"n.b."))</f>
        <v/>
      </c>
      <c r="R36" s="1460" t="str">
        <f>IF(G36="","",'#BerechnungDBE'!BF29)</f>
        <v/>
      </c>
      <c r="S36" s="1468" t="str">
        <f>IF(OR(G36="",AND(D36="",'#BerechnungDBE'!BH29=0)),"",IF('Flächen u. Kulturen'!X34="OK",'#BerechnungDBE'!BH29,"n.b."))</f>
        <v/>
      </c>
      <c r="T36" s="1460" t="str">
        <f>IF(G36="","",IF('Flächen u. Kulturen'!X34="OK",'#BerechnungDBE'!BJ29,"n.b."))</f>
        <v/>
      </c>
      <c r="U36" s="1460" t="str">
        <f>IF(G36="","",IF('Flächen u. Kulturen'!X34="OK",ROUNDDOWN('#BerechnungDBE'!BL29,0),"n.b."))</f>
        <v/>
      </c>
      <c r="V36" s="1456" t="str">
        <f>IF(G36="","",IF('Flächen u. Kulturen'!X34="OK",ROUNDDOWN('#BerechnungDBE'!BL29/27,1),"n.b."))</f>
        <v/>
      </c>
      <c r="W36" s="1461"/>
      <c r="X36" s="1469" t="str">
        <f>IF(E36="","",'#minDung'!P35)</f>
        <v/>
      </c>
      <c r="Y36" s="1461" t="str">
        <f>IF(G36="","",'#Kürzungen'!AQ53)</f>
        <v/>
      </c>
    </row>
    <row r="37" spans="1:25" s="880" customFormat="1" ht="15" customHeight="1" x14ac:dyDescent="0.2">
      <c r="A37" s="1471" t="str">
        <f>IF(E37="","",'Flächen u. Kulturen'!A35)</f>
        <v/>
      </c>
      <c r="B37" s="1273" t="str">
        <f>IF('Flächen u. Kulturen'!C35="","",'Flächen u. Kulturen'!C35)</f>
        <v/>
      </c>
      <c r="C37" s="1273" t="str">
        <f>IF('Flächen u. Kulturen'!B35="","",'Flächen u. Kulturen'!B35)</f>
        <v/>
      </c>
      <c r="D37" s="1452" t="str">
        <f>IF(E37="","",IF('#BerechnungDBE'!S30=1,"x",""))</f>
        <v/>
      </c>
      <c r="E37" s="1472" t="str">
        <f>IF('Flächen u. Kulturen'!D35="","",'Flächen u. Kulturen'!D35)</f>
        <v/>
      </c>
      <c r="F37" s="1255" t="str">
        <f>IF(E37="","",IF('Flächen u. Kulturen'!E35="x",'Flächen u. Kulturen'!P35,"       nicht im Betrieb"))</f>
        <v/>
      </c>
      <c r="G37" s="1272" t="str">
        <f>IF(OR(E37="",'Flächen u. Kulturen'!E35&lt;&gt;"x"),"",IF('#BerechnungDBE'!N30=3,'Flächen u. Kulturen'!R35,'Flächen u. Kulturen'!Q35))</f>
        <v/>
      </c>
      <c r="H37" s="1467" t="str">
        <f>IF(G37="","",'#BerechnungDBE'!AR30)</f>
        <v/>
      </c>
      <c r="I37" s="1272" t="str">
        <f>IF(G37="","",'#BerechnungDBE'!AT30)</f>
        <v/>
      </c>
      <c r="J37" s="1272" t="str">
        <f>IF(G37="","",'#BerechnungDBE'!AU30)</f>
        <v/>
      </c>
      <c r="K37" s="1272" t="str">
        <f>IF(G37="","",'#BerechnungDBE'!AV30)</f>
        <v/>
      </c>
      <c r="L37" s="1272" t="str">
        <f>IF(G37="","",'#BerechnungDBE'!AW30)</f>
        <v/>
      </c>
      <c r="M37" s="1272" t="str">
        <f>IF(G37="","",'#BerechnungDBE'!AS30)</f>
        <v/>
      </c>
      <c r="N37" s="1272" t="str">
        <f>IF(G37="","",'#BerechnungDBE'!AX30)</f>
        <v/>
      </c>
      <c r="O37" s="1272" t="str">
        <f>IF(G37="","",'#BerechnungDBE'!AY30)</f>
        <v/>
      </c>
      <c r="P37" s="1272" t="str">
        <f>IF(G37="","",'#BerechnungDBE'!AZ30)</f>
        <v/>
      </c>
      <c r="Q37" s="1460" t="str">
        <f>IF(G37="","",IF('Flächen u. Kulturen'!X35="OK",'#BerechnungDBE'!BA30,"n.b."))</f>
        <v/>
      </c>
      <c r="R37" s="1460" t="str">
        <f>IF(G37="","",'#BerechnungDBE'!BF30)</f>
        <v/>
      </c>
      <c r="S37" s="1468" t="str">
        <f>IF(OR(G37="",AND(D37="",'#BerechnungDBE'!BH30=0)),"",IF('Flächen u. Kulturen'!X35="OK",'#BerechnungDBE'!BH30,"n.b."))</f>
        <v/>
      </c>
      <c r="T37" s="1460" t="str">
        <f>IF(G37="","",IF('Flächen u. Kulturen'!X35="OK",'#BerechnungDBE'!BJ30,"n.b."))</f>
        <v/>
      </c>
      <c r="U37" s="1460" t="str">
        <f>IF(G37="","",IF('Flächen u. Kulturen'!X35="OK",ROUNDDOWN('#BerechnungDBE'!BL30,0),"n.b."))</f>
        <v/>
      </c>
      <c r="V37" s="1456" t="str">
        <f>IF(G37="","",IF('Flächen u. Kulturen'!X35="OK",ROUNDDOWN('#BerechnungDBE'!BL30/27,1),"n.b."))</f>
        <v/>
      </c>
      <c r="W37" s="1461"/>
      <c r="X37" s="1469" t="str">
        <f>IF(E37="","",'#minDung'!P36)</f>
        <v/>
      </c>
      <c r="Y37" s="1461" t="str">
        <f>IF(G37="","",'#Kürzungen'!AQ54)</f>
        <v/>
      </c>
    </row>
    <row r="38" spans="1:25" s="880" customFormat="1" ht="15" customHeight="1" x14ac:dyDescent="0.2">
      <c r="A38" s="1471" t="str">
        <f>IF(E38="","",'Flächen u. Kulturen'!A36)</f>
        <v/>
      </c>
      <c r="B38" s="1273" t="str">
        <f>IF('Flächen u. Kulturen'!C36="","",'Flächen u. Kulturen'!C36)</f>
        <v/>
      </c>
      <c r="C38" s="1273" t="str">
        <f>IF('Flächen u. Kulturen'!B36="","",'Flächen u. Kulturen'!B36)</f>
        <v/>
      </c>
      <c r="D38" s="1452" t="str">
        <f>IF(E38="","",IF('#BerechnungDBE'!S31=1,"x",""))</f>
        <v/>
      </c>
      <c r="E38" s="1472" t="str">
        <f>IF('Flächen u. Kulturen'!D36="","",'Flächen u. Kulturen'!D36)</f>
        <v/>
      </c>
      <c r="F38" s="1255" t="str">
        <f>IF(E38="","",IF('Flächen u. Kulturen'!E36="x",'Flächen u. Kulturen'!P36,"       nicht im Betrieb"))</f>
        <v/>
      </c>
      <c r="G38" s="1272" t="str">
        <f>IF(OR(E38="",'Flächen u. Kulturen'!E36&lt;&gt;"x"),"",IF('#BerechnungDBE'!N31=3,'Flächen u. Kulturen'!R36,'Flächen u. Kulturen'!Q36))</f>
        <v/>
      </c>
      <c r="H38" s="1467" t="str">
        <f>IF(G38="","",'#BerechnungDBE'!AR31)</f>
        <v/>
      </c>
      <c r="I38" s="1272" t="str">
        <f>IF(G38="","",'#BerechnungDBE'!AT31)</f>
        <v/>
      </c>
      <c r="J38" s="1272" t="str">
        <f>IF(G38="","",'#BerechnungDBE'!AU31)</f>
        <v/>
      </c>
      <c r="K38" s="1272" t="str">
        <f>IF(G38="","",'#BerechnungDBE'!AV31)</f>
        <v/>
      </c>
      <c r="L38" s="1272" t="str">
        <f>IF(G38="","",'#BerechnungDBE'!AW31)</f>
        <v/>
      </c>
      <c r="M38" s="1272" t="str">
        <f>IF(G38="","",'#BerechnungDBE'!AS31)</f>
        <v/>
      </c>
      <c r="N38" s="1272" t="str">
        <f>IF(G38="","",'#BerechnungDBE'!AX31)</f>
        <v/>
      </c>
      <c r="O38" s="1272" t="str">
        <f>IF(G38="","",'#BerechnungDBE'!AY31)</f>
        <v/>
      </c>
      <c r="P38" s="1272" t="str">
        <f>IF(G38="","",'#BerechnungDBE'!AZ31)</f>
        <v/>
      </c>
      <c r="Q38" s="1460" t="str">
        <f>IF(G38="","",IF('Flächen u. Kulturen'!X36="OK",'#BerechnungDBE'!BA31,"n.b."))</f>
        <v/>
      </c>
      <c r="R38" s="1460" t="str">
        <f>IF(G38="","",'#BerechnungDBE'!BF31)</f>
        <v/>
      </c>
      <c r="S38" s="1468" t="str">
        <f>IF(OR(G38="",AND(D38="",'#BerechnungDBE'!BH31=0)),"",IF('Flächen u. Kulturen'!X36="OK",'#BerechnungDBE'!BH31,"n.b."))</f>
        <v/>
      </c>
      <c r="T38" s="1460" t="str">
        <f>IF(G38="","",IF('Flächen u. Kulturen'!X36="OK",'#BerechnungDBE'!BJ31,"n.b."))</f>
        <v/>
      </c>
      <c r="U38" s="1460" t="str">
        <f>IF(G38="","",IF('Flächen u. Kulturen'!X36="OK",ROUNDDOWN('#BerechnungDBE'!BL31,0),"n.b."))</f>
        <v/>
      </c>
      <c r="V38" s="1456" t="str">
        <f>IF(G38="","",IF('Flächen u. Kulturen'!X36="OK",ROUNDDOWN('#BerechnungDBE'!BL31/27,1),"n.b."))</f>
        <v/>
      </c>
      <c r="W38" s="1461"/>
      <c r="X38" s="1469" t="str">
        <f>IF(E38="","",'#minDung'!P37)</f>
        <v/>
      </c>
      <c r="Y38" s="1461" t="str">
        <f>IF(G38="","",'#Kürzungen'!AQ55)</f>
        <v/>
      </c>
    </row>
    <row r="39" spans="1:25" s="880" customFormat="1" ht="15" customHeight="1" x14ac:dyDescent="0.2">
      <c r="A39" s="1471" t="str">
        <f>IF(E39="","",'Flächen u. Kulturen'!A37)</f>
        <v/>
      </c>
      <c r="B39" s="1273" t="str">
        <f>IF('Flächen u. Kulturen'!C37="","",'Flächen u. Kulturen'!C37)</f>
        <v/>
      </c>
      <c r="C39" s="1273" t="str">
        <f>IF('Flächen u. Kulturen'!B37="","",'Flächen u. Kulturen'!B37)</f>
        <v/>
      </c>
      <c r="D39" s="1452" t="str">
        <f>IF(E39="","",IF('#BerechnungDBE'!S32=1,"x",""))</f>
        <v/>
      </c>
      <c r="E39" s="1472" t="str">
        <f>IF('Flächen u. Kulturen'!D37="","",'Flächen u. Kulturen'!D37)</f>
        <v/>
      </c>
      <c r="F39" s="1255" t="str">
        <f>IF(E39="","",IF('Flächen u. Kulturen'!E37="x",'Flächen u. Kulturen'!P37,"       nicht im Betrieb"))</f>
        <v/>
      </c>
      <c r="G39" s="1272" t="str">
        <f>IF(OR(E39="",'Flächen u. Kulturen'!E37&lt;&gt;"x"),"",IF('#BerechnungDBE'!N32=3,'Flächen u. Kulturen'!R37,'Flächen u. Kulturen'!Q37))</f>
        <v/>
      </c>
      <c r="H39" s="1467" t="str">
        <f>IF(G39="","",'#BerechnungDBE'!AR32)</f>
        <v/>
      </c>
      <c r="I39" s="1272" t="str">
        <f>IF(G39="","",'#BerechnungDBE'!AT32)</f>
        <v/>
      </c>
      <c r="J39" s="1272" t="str">
        <f>IF(G39="","",'#BerechnungDBE'!AU32)</f>
        <v/>
      </c>
      <c r="K39" s="1272" t="str">
        <f>IF(G39="","",'#BerechnungDBE'!AV32)</f>
        <v/>
      </c>
      <c r="L39" s="1272" t="str">
        <f>IF(G39="","",'#BerechnungDBE'!AW32)</f>
        <v/>
      </c>
      <c r="M39" s="1272" t="str">
        <f>IF(G39="","",'#BerechnungDBE'!AS32)</f>
        <v/>
      </c>
      <c r="N39" s="1272" t="str">
        <f>IF(G39="","",'#BerechnungDBE'!AX32)</f>
        <v/>
      </c>
      <c r="O39" s="1272" t="str">
        <f>IF(G39="","",'#BerechnungDBE'!AY32)</f>
        <v/>
      </c>
      <c r="P39" s="1272" t="str">
        <f>IF(G39="","",'#BerechnungDBE'!AZ32)</f>
        <v/>
      </c>
      <c r="Q39" s="1460" t="str">
        <f>IF(G39="","",IF('Flächen u. Kulturen'!X37="OK",'#BerechnungDBE'!BA32,"n.b."))</f>
        <v/>
      </c>
      <c r="R39" s="1460" t="str">
        <f>IF(G39="","",'#BerechnungDBE'!BF32)</f>
        <v/>
      </c>
      <c r="S39" s="1468" t="str">
        <f>IF(OR(G39="",AND(D39="",'#BerechnungDBE'!BH32=0)),"",IF('Flächen u. Kulturen'!X37="OK",'#BerechnungDBE'!BH32,"n.b."))</f>
        <v/>
      </c>
      <c r="T39" s="1460" t="str">
        <f>IF(G39="","",IF('Flächen u. Kulturen'!X37="OK",'#BerechnungDBE'!BJ32,"n.b."))</f>
        <v/>
      </c>
      <c r="U39" s="1460" t="str">
        <f>IF(G39="","",IF('Flächen u. Kulturen'!X37="OK",ROUNDDOWN('#BerechnungDBE'!BL32,0),"n.b."))</f>
        <v/>
      </c>
      <c r="V39" s="1456" t="str">
        <f>IF(G39="","",IF('Flächen u. Kulturen'!X37="OK",ROUNDDOWN('#BerechnungDBE'!BL32/27,1),"n.b."))</f>
        <v/>
      </c>
      <c r="W39" s="1461"/>
      <c r="X39" s="1469" t="str">
        <f>IF(E39="","",'#minDung'!P38)</f>
        <v/>
      </c>
      <c r="Y39" s="1461" t="str">
        <f>IF(G39="","",'#Kürzungen'!AQ56)</f>
        <v/>
      </c>
    </row>
    <row r="40" spans="1:25" s="880" customFormat="1" ht="15" customHeight="1" x14ac:dyDescent="0.2">
      <c r="A40" s="1471" t="str">
        <f>IF(E40="","",'Flächen u. Kulturen'!A38)</f>
        <v/>
      </c>
      <c r="B40" s="1273" t="str">
        <f>IF('Flächen u. Kulturen'!C38="","",'Flächen u. Kulturen'!C38)</f>
        <v/>
      </c>
      <c r="C40" s="1273" t="str">
        <f>IF('Flächen u. Kulturen'!B38="","",'Flächen u. Kulturen'!B38)</f>
        <v/>
      </c>
      <c r="D40" s="1452" t="str">
        <f>IF(E40="","",IF('#BerechnungDBE'!S33=1,"x",""))</f>
        <v/>
      </c>
      <c r="E40" s="1472" t="str">
        <f>IF('Flächen u. Kulturen'!D38="","",'Flächen u. Kulturen'!D38)</f>
        <v/>
      </c>
      <c r="F40" s="1255" t="str">
        <f>IF(E40="","",IF('Flächen u. Kulturen'!E38="x",'Flächen u. Kulturen'!P38,"       nicht im Betrieb"))</f>
        <v/>
      </c>
      <c r="G40" s="1272" t="str">
        <f>IF(OR(E40="",'Flächen u. Kulturen'!E38&lt;&gt;"x"),"",IF('#BerechnungDBE'!N33=3,'Flächen u. Kulturen'!R38,'Flächen u. Kulturen'!Q38))</f>
        <v/>
      </c>
      <c r="H40" s="1467" t="str">
        <f>IF(G40="","",'#BerechnungDBE'!AR33)</f>
        <v/>
      </c>
      <c r="I40" s="1272" t="str">
        <f>IF(G40="","",'#BerechnungDBE'!AT33)</f>
        <v/>
      </c>
      <c r="J40" s="1272" t="str">
        <f>IF(G40="","",'#BerechnungDBE'!AU33)</f>
        <v/>
      </c>
      <c r="K40" s="1272" t="str">
        <f>IF(G40="","",'#BerechnungDBE'!AV33)</f>
        <v/>
      </c>
      <c r="L40" s="1272" t="str">
        <f>IF(G40="","",'#BerechnungDBE'!AW33)</f>
        <v/>
      </c>
      <c r="M40" s="1272" t="str">
        <f>IF(G40="","",'#BerechnungDBE'!AS33)</f>
        <v/>
      </c>
      <c r="N40" s="1272" t="str">
        <f>IF(G40="","",'#BerechnungDBE'!AX33)</f>
        <v/>
      </c>
      <c r="O40" s="1272" t="str">
        <f>IF(G40="","",'#BerechnungDBE'!AY33)</f>
        <v/>
      </c>
      <c r="P40" s="1272" t="str">
        <f>IF(G40="","",'#BerechnungDBE'!AZ33)</f>
        <v/>
      </c>
      <c r="Q40" s="1460" t="str">
        <f>IF(G40="","",IF('Flächen u. Kulturen'!X38="OK",'#BerechnungDBE'!BA33,"n.b."))</f>
        <v/>
      </c>
      <c r="R40" s="1460" t="str">
        <f>IF(G40="","",'#BerechnungDBE'!BF33)</f>
        <v/>
      </c>
      <c r="S40" s="1468" t="str">
        <f>IF(OR(G40="",AND(D40="",'#BerechnungDBE'!BH33=0)),"",IF('Flächen u. Kulturen'!X38="OK",'#BerechnungDBE'!BH33,"n.b."))</f>
        <v/>
      </c>
      <c r="T40" s="1460" t="str">
        <f>IF(G40="","",IF('Flächen u. Kulturen'!X38="OK",'#BerechnungDBE'!BJ33,"n.b."))</f>
        <v/>
      </c>
      <c r="U40" s="1460" t="str">
        <f>IF(G40="","",IF('Flächen u. Kulturen'!X38="OK",ROUNDDOWN('#BerechnungDBE'!BL33,0),"n.b."))</f>
        <v/>
      </c>
      <c r="V40" s="1456" t="str">
        <f>IF(G40="","",IF('Flächen u. Kulturen'!X38="OK",ROUNDDOWN('#BerechnungDBE'!BL33/27,1),"n.b."))</f>
        <v/>
      </c>
      <c r="W40" s="1461"/>
      <c r="X40" s="1469" t="str">
        <f>IF(E40="","",'#minDung'!P39)</f>
        <v/>
      </c>
      <c r="Y40" s="1461" t="str">
        <f>IF(G40="","",'#Kürzungen'!AQ57)</f>
        <v/>
      </c>
    </row>
    <row r="41" spans="1:25" s="880" customFormat="1" ht="15" customHeight="1" x14ac:dyDescent="0.2">
      <c r="A41" s="1471" t="str">
        <f>IF(E41="","",'Flächen u. Kulturen'!A39)</f>
        <v/>
      </c>
      <c r="B41" s="1273" t="str">
        <f>IF('Flächen u. Kulturen'!C39="","",'Flächen u. Kulturen'!C39)</f>
        <v/>
      </c>
      <c r="C41" s="1273" t="str">
        <f>IF('Flächen u. Kulturen'!B39="","",'Flächen u. Kulturen'!B39)</f>
        <v/>
      </c>
      <c r="D41" s="1452" t="str">
        <f>IF(E41="","",IF('#BerechnungDBE'!S34=1,"x",""))</f>
        <v/>
      </c>
      <c r="E41" s="1472" t="str">
        <f>IF('Flächen u. Kulturen'!D39="","",'Flächen u. Kulturen'!D39)</f>
        <v/>
      </c>
      <c r="F41" s="1255" t="str">
        <f>IF(E41="","",IF('Flächen u. Kulturen'!E39="x",'Flächen u. Kulturen'!P39,"       nicht im Betrieb"))</f>
        <v/>
      </c>
      <c r="G41" s="1272" t="str">
        <f>IF(OR(E41="",'Flächen u. Kulturen'!E39&lt;&gt;"x"),"",IF('#BerechnungDBE'!N34=3,'Flächen u. Kulturen'!R39,'Flächen u. Kulturen'!Q39))</f>
        <v/>
      </c>
      <c r="H41" s="1467" t="str">
        <f>IF(G41="","",'#BerechnungDBE'!AR34)</f>
        <v/>
      </c>
      <c r="I41" s="1272" t="str">
        <f>IF(G41="","",'#BerechnungDBE'!AT34)</f>
        <v/>
      </c>
      <c r="J41" s="1272" t="str">
        <f>IF(G41="","",'#BerechnungDBE'!AU34)</f>
        <v/>
      </c>
      <c r="K41" s="1272" t="str">
        <f>IF(G41="","",'#BerechnungDBE'!AV34)</f>
        <v/>
      </c>
      <c r="L41" s="1272" t="str">
        <f>IF(G41="","",'#BerechnungDBE'!AW34)</f>
        <v/>
      </c>
      <c r="M41" s="1272" t="str">
        <f>IF(G41="","",'#BerechnungDBE'!AS34)</f>
        <v/>
      </c>
      <c r="N41" s="1272" t="str">
        <f>IF(G41="","",'#BerechnungDBE'!AX34)</f>
        <v/>
      </c>
      <c r="O41" s="1272" t="str">
        <f>IF(G41="","",'#BerechnungDBE'!AY34)</f>
        <v/>
      </c>
      <c r="P41" s="1272" t="str">
        <f>IF(G41="","",'#BerechnungDBE'!AZ34)</f>
        <v/>
      </c>
      <c r="Q41" s="1460" t="str">
        <f>IF(G41="","",IF('Flächen u. Kulturen'!X39="OK",'#BerechnungDBE'!BA34,"n.b."))</f>
        <v/>
      </c>
      <c r="R41" s="1460" t="str">
        <f>IF(G41="","",'#BerechnungDBE'!BF34)</f>
        <v/>
      </c>
      <c r="S41" s="1468" t="str">
        <f>IF(OR(G41="",AND(D41="",'#BerechnungDBE'!BH34=0)),"",IF('Flächen u. Kulturen'!X39="OK",'#BerechnungDBE'!BH34,"n.b."))</f>
        <v/>
      </c>
      <c r="T41" s="1460" t="str">
        <f>IF(G41="","",IF('Flächen u. Kulturen'!X39="OK",'#BerechnungDBE'!BJ34,"n.b."))</f>
        <v/>
      </c>
      <c r="U41" s="1460" t="str">
        <f>IF(G41="","",IF('Flächen u. Kulturen'!X39="OK",ROUNDDOWN('#BerechnungDBE'!BL34,0),"n.b."))</f>
        <v/>
      </c>
      <c r="V41" s="1456" t="str">
        <f>IF(G41="","",IF('Flächen u. Kulturen'!X39="OK",ROUNDDOWN('#BerechnungDBE'!BL34/27,1),"n.b."))</f>
        <v/>
      </c>
      <c r="W41" s="1461"/>
      <c r="X41" s="1469" t="str">
        <f>IF(E41="","",'#minDung'!P40)</f>
        <v/>
      </c>
      <c r="Y41" s="1461" t="str">
        <f>IF(G41="","",'#Kürzungen'!AQ58)</f>
        <v/>
      </c>
    </row>
    <row r="42" spans="1:25" s="880" customFormat="1" ht="15" customHeight="1" x14ac:dyDescent="0.2">
      <c r="A42" s="1471" t="str">
        <f>IF(E42="","",'Flächen u. Kulturen'!A40)</f>
        <v/>
      </c>
      <c r="B42" s="1273" t="str">
        <f>IF('Flächen u. Kulturen'!C40="","",'Flächen u. Kulturen'!C40)</f>
        <v/>
      </c>
      <c r="C42" s="1273" t="str">
        <f>IF('Flächen u. Kulturen'!B40="","",'Flächen u. Kulturen'!B40)</f>
        <v/>
      </c>
      <c r="D42" s="1452" t="str">
        <f>IF(E42="","",IF('#BerechnungDBE'!S35=1,"x",""))</f>
        <v/>
      </c>
      <c r="E42" s="1472" t="str">
        <f>IF('Flächen u. Kulturen'!D40="","",'Flächen u. Kulturen'!D40)</f>
        <v/>
      </c>
      <c r="F42" s="1255" t="str">
        <f>IF(E42="","",IF('Flächen u. Kulturen'!E40="x",'Flächen u. Kulturen'!P40,"       nicht im Betrieb"))</f>
        <v/>
      </c>
      <c r="G42" s="1272" t="str">
        <f>IF(OR(E42="",'Flächen u. Kulturen'!E40&lt;&gt;"x"),"",IF('#BerechnungDBE'!N35=3,'Flächen u. Kulturen'!R40,'Flächen u. Kulturen'!Q40))</f>
        <v/>
      </c>
      <c r="H42" s="1467" t="str">
        <f>IF(G42="","",'#BerechnungDBE'!AR35)</f>
        <v/>
      </c>
      <c r="I42" s="1272" t="str">
        <f>IF(G42="","",'#BerechnungDBE'!AT35)</f>
        <v/>
      </c>
      <c r="J42" s="1272" t="str">
        <f>IF(G42="","",'#BerechnungDBE'!AU35)</f>
        <v/>
      </c>
      <c r="K42" s="1272" t="str">
        <f>IF(G42="","",'#BerechnungDBE'!AV35)</f>
        <v/>
      </c>
      <c r="L42" s="1272" t="str">
        <f>IF(G42="","",'#BerechnungDBE'!AW35)</f>
        <v/>
      </c>
      <c r="M42" s="1272" t="str">
        <f>IF(G42="","",'#BerechnungDBE'!AS35)</f>
        <v/>
      </c>
      <c r="N42" s="1272" t="str">
        <f>IF(G42="","",'#BerechnungDBE'!AX35)</f>
        <v/>
      </c>
      <c r="O42" s="1272" t="str">
        <f>IF(G42="","",'#BerechnungDBE'!AY35)</f>
        <v/>
      </c>
      <c r="P42" s="1272" t="str">
        <f>IF(G42="","",'#BerechnungDBE'!AZ35)</f>
        <v/>
      </c>
      <c r="Q42" s="1460" t="str">
        <f>IF(G42="","",IF('Flächen u. Kulturen'!X40="OK",'#BerechnungDBE'!BA35,"n.b."))</f>
        <v/>
      </c>
      <c r="R42" s="1460" t="str">
        <f>IF(G42="","",'#BerechnungDBE'!BF35)</f>
        <v/>
      </c>
      <c r="S42" s="1468" t="str">
        <f>IF(OR(G42="",AND(D42="",'#BerechnungDBE'!BH35=0)),"",IF('Flächen u. Kulturen'!X40="OK",'#BerechnungDBE'!BH35,"n.b."))</f>
        <v/>
      </c>
      <c r="T42" s="1460" t="str">
        <f>IF(G42="","",IF('Flächen u. Kulturen'!X40="OK",'#BerechnungDBE'!BJ35,"n.b."))</f>
        <v/>
      </c>
      <c r="U42" s="1460" t="str">
        <f>IF(G42="","",IF('Flächen u. Kulturen'!X40="OK",ROUNDDOWN('#BerechnungDBE'!BL35,0),"n.b."))</f>
        <v/>
      </c>
      <c r="V42" s="1456" t="str">
        <f>IF(G42="","",IF('Flächen u. Kulturen'!X40="OK",ROUNDDOWN('#BerechnungDBE'!BL35/27,1),"n.b."))</f>
        <v/>
      </c>
      <c r="W42" s="1461"/>
      <c r="X42" s="1469" t="str">
        <f>IF(E42="","",'#minDung'!P41)</f>
        <v/>
      </c>
      <c r="Y42" s="1461" t="str">
        <f>IF(G42="","",'#Kürzungen'!AQ59)</f>
        <v/>
      </c>
    </row>
    <row r="43" spans="1:25" s="880" customFormat="1" ht="15" customHeight="1" x14ac:dyDescent="0.2">
      <c r="A43" s="1471" t="str">
        <f>IF(E43="","",'Flächen u. Kulturen'!A41)</f>
        <v/>
      </c>
      <c r="B43" s="1273" t="str">
        <f>IF('Flächen u. Kulturen'!C41="","",'Flächen u. Kulturen'!C41)</f>
        <v/>
      </c>
      <c r="C43" s="1273" t="str">
        <f>IF('Flächen u. Kulturen'!B41="","",'Flächen u. Kulturen'!B41)</f>
        <v/>
      </c>
      <c r="D43" s="1452" t="str">
        <f>IF(E43="","",IF('#BerechnungDBE'!S36=1,"x",""))</f>
        <v/>
      </c>
      <c r="E43" s="1472" t="str">
        <f>IF('Flächen u. Kulturen'!D41="","",'Flächen u. Kulturen'!D41)</f>
        <v/>
      </c>
      <c r="F43" s="1255" t="str">
        <f>IF(E43="","",IF('Flächen u. Kulturen'!E41="x",'Flächen u. Kulturen'!P41,"       nicht im Betrieb"))</f>
        <v/>
      </c>
      <c r="G43" s="1272" t="str">
        <f>IF(OR(E43="",'Flächen u. Kulturen'!E41&lt;&gt;"x"),"",IF('#BerechnungDBE'!N36=3,'Flächen u. Kulturen'!R41,'Flächen u. Kulturen'!Q41))</f>
        <v/>
      </c>
      <c r="H43" s="1467" t="str">
        <f>IF(G43="","",'#BerechnungDBE'!AR36)</f>
        <v/>
      </c>
      <c r="I43" s="1272" t="str">
        <f>IF(G43="","",'#BerechnungDBE'!AT36)</f>
        <v/>
      </c>
      <c r="J43" s="1272" t="str">
        <f>IF(G43="","",'#BerechnungDBE'!AU36)</f>
        <v/>
      </c>
      <c r="K43" s="1272" t="str">
        <f>IF(G43="","",'#BerechnungDBE'!AV36)</f>
        <v/>
      </c>
      <c r="L43" s="1272" t="str">
        <f>IF(G43="","",'#BerechnungDBE'!AW36)</f>
        <v/>
      </c>
      <c r="M43" s="1272" t="str">
        <f>IF(G43="","",'#BerechnungDBE'!AS36)</f>
        <v/>
      </c>
      <c r="N43" s="1272" t="str">
        <f>IF(G43="","",'#BerechnungDBE'!AX36)</f>
        <v/>
      </c>
      <c r="O43" s="1272" t="str">
        <f>IF(G43="","",'#BerechnungDBE'!AY36)</f>
        <v/>
      </c>
      <c r="P43" s="1272" t="str">
        <f>IF(G43="","",'#BerechnungDBE'!AZ36)</f>
        <v/>
      </c>
      <c r="Q43" s="1460" t="str">
        <f>IF(G43="","",IF('Flächen u. Kulturen'!X41="OK",'#BerechnungDBE'!BA36,"n.b."))</f>
        <v/>
      </c>
      <c r="R43" s="1460" t="str">
        <f>IF(G43="","",'#BerechnungDBE'!BF36)</f>
        <v/>
      </c>
      <c r="S43" s="1468" t="str">
        <f>IF(OR(G43="",AND(D43="",'#BerechnungDBE'!BH36=0)),"",IF('Flächen u. Kulturen'!X41="OK",'#BerechnungDBE'!BH36,"n.b."))</f>
        <v/>
      </c>
      <c r="T43" s="1460" t="str">
        <f>IF(G43="","",IF('Flächen u. Kulturen'!X41="OK",'#BerechnungDBE'!BJ36,"n.b."))</f>
        <v/>
      </c>
      <c r="U43" s="1460" t="str">
        <f>IF(G43="","",IF('Flächen u. Kulturen'!X41="OK",ROUNDDOWN('#BerechnungDBE'!BL36,0),"n.b."))</f>
        <v/>
      </c>
      <c r="V43" s="1456" t="str">
        <f>IF(G43="","",IF('Flächen u. Kulturen'!X41="OK",ROUNDDOWN('#BerechnungDBE'!BL36/27,1),"n.b."))</f>
        <v/>
      </c>
      <c r="W43" s="1461"/>
      <c r="X43" s="1469" t="str">
        <f>IF(E43="","",'#minDung'!P42)</f>
        <v/>
      </c>
      <c r="Y43" s="1461" t="str">
        <f>IF(G43="","",'#Kürzungen'!AQ60)</f>
        <v/>
      </c>
    </row>
    <row r="44" spans="1:25" s="880" customFormat="1" ht="15" customHeight="1" x14ac:dyDescent="0.2">
      <c r="A44" s="1471" t="str">
        <f>IF(E44="","",'Flächen u. Kulturen'!A42)</f>
        <v/>
      </c>
      <c r="B44" s="1273" t="str">
        <f>IF('Flächen u. Kulturen'!C42="","",'Flächen u. Kulturen'!C42)</f>
        <v/>
      </c>
      <c r="C44" s="1273" t="str">
        <f>IF('Flächen u. Kulturen'!B42="","",'Flächen u. Kulturen'!B42)</f>
        <v/>
      </c>
      <c r="D44" s="1452" t="str">
        <f>IF(E44="","",IF('#BerechnungDBE'!S37=1,"x",""))</f>
        <v/>
      </c>
      <c r="E44" s="1472" t="str">
        <f>IF('Flächen u. Kulturen'!D42="","",'Flächen u. Kulturen'!D42)</f>
        <v/>
      </c>
      <c r="F44" s="1255" t="str">
        <f>IF(E44="","",IF('Flächen u. Kulturen'!E42="x",'Flächen u. Kulturen'!P42,"       nicht im Betrieb"))</f>
        <v/>
      </c>
      <c r="G44" s="1272" t="str">
        <f>IF(OR(E44="",'Flächen u. Kulturen'!E42&lt;&gt;"x"),"",IF('#BerechnungDBE'!N37=3,'Flächen u. Kulturen'!R42,'Flächen u. Kulturen'!Q42))</f>
        <v/>
      </c>
      <c r="H44" s="1467" t="str">
        <f>IF(G44="","",'#BerechnungDBE'!AR37)</f>
        <v/>
      </c>
      <c r="I44" s="1272" t="str">
        <f>IF(G44="","",'#BerechnungDBE'!AT37)</f>
        <v/>
      </c>
      <c r="J44" s="1272" t="str">
        <f>IF(G44="","",'#BerechnungDBE'!AU37)</f>
        <v/>
      </c>
      <c r="K44" s="1272" t="str">
        <f>IF(G44="","",'#BerechnungDBE'!AV37)</f>
        <v/>
      </c>
      <c r="L44" s="1272" t="str">
        <f>IF(G44="","",'#BerechnungDBE'!AW37)</f>
        <v/>
      </c>
      <c r="M44" s="1272" t="str">
        <f>IF(G44="","",'#BerechnungDBE'!AS37)</f>
        <v/>
      </c>
      <c r="N44" s="1272" t="str">
        <f>IF(G44="","",'#BerechnungDBE'!AX37)</f>
        <v/>
      </c>
      <c r="O44" s="1272" t="str">
        <f>IF(G44="","",'#BerechnungDBE'!AY37)</f>
        <v/>
      </c>
      <c r="P44" s="1272" t="str">
        <f>IF(G44="","",'#BerechnungDBE'!AZ37)</f>
        <v/>
      </c>
      <c r="Q44" s="1460" t="str">
        <f>IF(G44="","",IF('Flächen u. Kulturen'!X42="OK",'#BerechnungDBE'!BA37,"n.b."))</f>
        <v/>
      </c>
      <c r="R44" s="1460" t="str">
        <f>IF(G44="","",'#BerechnungDBE'!BF37)</f>
        <v/>
      </c>
      <c r="S44" s="1468" t="str">
        <f>IF(OR(G44="",AND(D44="",'#BerechnungDBE'!BH37=0)),"",IF('Flächen u. Kulturen'!X42="OK",'#BerechnungDBE'!BH37,"n.b."))</f>
        <v/>
      </c>
      <c r="T44" s="1460" t="str">
        <f>IF(G44="","",IF('Flächen u. Kulturen'!X42="OK",'#BerechnungDBE'!BJ37,"n.b."))</f>
        <v/>
      </c>
      <c r="U44" s="1460" t="str">
        <f>IF(G44="","",IF('Flächen u. Kulturen'!X42="OK",ROUNDDOWN('#BerechnungDBE'!BL37,0),"n.b."))</f>
        <v/>
      </c>
      <c r="V44" s="1456" t="str">
        <f>IF(G44="","",IF('Flächen u. Kulturen'!X42="OK",ROUNDDOWN('#BerechnungDBE'!BL37/27,1),"n.b."))</f>
        <v/>
      </c>
      <c r="W44" s="1461"/>
      <c r="X44" s="1469" t="str">
        <f>IF(E44="","",'#minDung'!P43)</f>
        <v/>
      </c>
      <c r="Y44" s="1461" t="str">
        <f>IF(G44="","",'#Kürzungen'!AQ61)</f>
        <v/>
      </c>
    </row>
    <row r="45" spans="1:25" s="880" customFormat="1" ht="15" customHeight="1" x14ac:dyDescent="0.2">
      <c r="A45" s="1471" t="str">
        <f>IF(E45="","",'Flächen u. Kulturen'!A43)</f>
        <v/>
      </c>
      <c r="B45" s="1273" t="str">
        <f>IF('Flächen u. Kulturen'!C43="","",'Flächen u. Kulturen'!C43)</f>
        <v/>
      </c>
      <c r="C45" s="1273" t="str">
        <f>IF('Flächen u. Kulturen'!B43="","",'Flächen u. Kulturen'!B43)</f>
        <v/>
      </c>
      <c r="D45" s="1452" t="str">
        <f>IF(E45="","",IF('#BerechnungDBE'!S38=1,"x",""))</f>
        <v/>
      </c>
      <c r="E45" s="1472" t="str">
        <f>IF('Flächen u. Kulturen'!D43="","",'Flächen u. Kulturen'!D43)</f>
        <v/>
      </c>
      <c r="F45" s="1255" t="str">
        <f>IF(E45="","",IF('Flächen u. Kulturen'!E43="x",'Flächen u. Kulturen'!P43,"       nicht im Betrieb"))</f>
        <v/>
      </c>
      <c r="G45" s="1272" t="str">
        <f>IF(OR(E45="",'Flächen u. Kulturen'!E43&lt;&gt;"x"),"",IF('#BerechnungDBE'!N38=3,'Flächen u. Kulturen'!R43,'Flächen u. Kulturen'!Q43))</f>
        <v/>
      </c>
      <c r="H45" s="1467" t="str">
        <f>IF(G45="","",'#BerechnungDBE'!AR38)</f>
        <v/>
      </c>
      <c r="I45" s="1272" t="str">
        <f>IF(G45="","",'#BerechnungDBE'!AT38)</f>
        <v/>
      </c>
      <c r="J45" s="1272" t="str">
        <f>IF(G45="","",'#BerechnungDBE'!AU38)</f>
        <v/>
      </c>
      <c r="K45" s="1272" t="str">
        <f>IF(G45="","",'#BerechnungDBE'!AV38)</f>
        <v/>
      </c>
      <c r="L45" s="1272" t="str">
        <f>IF(G45="","",'#BerechnungDBE'!AW38)</f>
        <v/>
      </c>
      <c r="M45" s="1272" t="str">
        <f>IF(G45="","",'#BerechnungDBE'!AS38)</f>
        <v/>
      </c>
      <c r="N45" s="1272" t="str">
        <f>IF(G45="","",'#BerechnungDBE'!AX38)</f>
        <v/>
      </c>
      <c r="O45" s="1272" t="str">
        <f>IF(G45="","",'#BerechnungDBE'!AY38)</f>
        <v/>
      </c>
      <c r="P45" s="1272" t="str">
        <f>IF(G45="","",'#BerechnungDBE'!AZ38)</f>
        <v/>
      </c>
      <c r="Q45" s="1460" t="str">
        <f>IF(G45="","",IF('Flächen u. Kulturen'!X43="OK",'#BerechnungDBE'!BA38,"n.b."))</f>
        <v/>
      </c>
      <c r="R45" s="1460" t="str">
        <f>IF(G45="","",'#BerechnungDBE'!BF38)</f>
        <v/>
      </c>
      <c r="S45" s="1468" t="str">
        <f>IF(OR(G45="",AND(D45="",'#BerechnungDBE'!BH38=0)),"",IF('Flächen u. Kulturen'!X43="OK",'#BerechnungDBE'!BH38,"n.b."))</f>
        <v/>
      </c>
      <c r="T45" s="1460" t="str">
        <f>IF(G45="","",IF('Flächen u. Kulturen'!X43="OK",'#BerechnungDBE'!BJ38,"n.b."))</f>
        <v/>
      </c>
      <c r="U45" s="1460" t="str">
        <f>IF(G45="","",IF('Flächen u. Kulturen'!X43="OK",ROUNDDOWN('#BerechnungDBE'!BL38,0),"n.b."))</f>
        <v/>
      </c>
      <c r="V45" s="1456" t="str">
        <f>IF(G45="","",IF('Flächen u. Kulturen'!X43="OK",ROUNDDOWN('#BerechnungDBE'!BL38/27,1),"n.b."))</f>
        <v/>
      </c>
      <c r="W45" s="1461"/>
      <c r="X45" s="1469" t="str">
        <f>IF(E45="","",'#minDung'!P44)</f>
        <v/>
      </c>
      <c r="Y45" s="1461" t="str">
        <f>IF(G45="","",'#Kürzungen'!AQ62)</f>
        <v/>
      </c>
    </row>
    <row r="46" spans="1:25" s="880" customFormat="1" ht="15" customHeight="1" x14ac:dyDescent="0.2">
      <c r="A46" s="1471" t="str">
        <f>IF(E46="","",'Flächen u. Kulturen'!A44)</f>
        <v/>
      </c>
      <c r="B46" s="1273" t="str">
        <f>IF('Flächen u. Kulturen'!C44="","",'Flächen u. Kulturen'!C44)</f>
        <v/>
      </c>
      <c r="C46" s="1273" t="str">
        <f>IF('Flächen u. Kulturen'!B44="","",'Flächen u. Kulturen'!B44)</f>
        <v/>
      </c>
      <c r="D46" s="1452" t="str">
        <f>IF(E46="","",IF('#BerechnungDBE'!S39=1,"x",""))</f>
        <v/>
      </c>
      <c r="E46" s="1472" t="str">
        <f>IF('Flächen u. Kulturen'!D44="","",'Flächen u. Kulturen'!D44)</f>
        <v/>
      </c>
      <c r="F46" s="1255" t="str">
        <f>IF(E46="","",IF('Flächen u. Kulturen'!E44="x",'Flächen u. Kulturen'!P44,"       nicht im Betrieb"))</f>
        <v/>
      </c>
      <c r="G46" s="1272" t="str">
        <f>IF(OR(E46="",'Flächen u. Kulturen'!E44&lt;&gt;"x"),"",IF('#BerechnungDBE'!N39=3,'Flächen u. Kulturen'!R44,'Flächen u. Kulturen'!Q44))</f>
        <v/>
      </c>
      <c r="H46" s="1467" t="str">
        <f>IF(G46="","",'#BerechnungDBE'!AR39)</f>
        <v/>
      </c>
      <c r="I46" s="1272" t="str">
        <f>IF(G46="","",'#BerechnungDBE'!AT39)</f>
        <v/>
      </c>
      <c r="J46" s="1272" t="str">
        <f>IF(G46="","",'#BerechnungDBE'!AU39)</f>
        <v/>
      </c>
      <c r="K46" s="1272" t="str">
        <f>IF(G46="","",'#BerechnungDBE'!AV39)</f>
        <v/>
      </c>
      <c r="L46" s="1272" t="str">
        <f>IF(G46="","",'#BerechnungDBE'!AW39)</f>
        <v/>
      </c>
      <c r="M46" s="1272" t="str">
        <f>IF(G46="","",'#BerechnungDBE'!AS39)</f>
        <v/>
      </c>
      <c r="N46" s="1272" t="str">
        <f>IF(G46="","",'#BerechnungDBE'!AX39)</f>
        <v/>
      </c>
      <c r="O46" s="1272" t="str">
        <f>IF(G46="","",'#BerechnungDBE'!AY39)</f>
        <v/>
      </c>
      <c r="P46" s="1272" t="str">
        <f>IF(G46="","",'#BerechnungDBE'!AZ39)</f>
        <v/>
      </c>
      <c r="Q46" s="1460" t="str">
        <f>IF(G46="","",IF('Flächen u. Kulturen'!X44="OK",'#BerechnungDBE'!BA39,"n.b."))</f>
        <v/>
      </c>
      <c r="R46" s="1460" t="str">
        <f>IF(G46="","",'#BerechnungDBE'!BF39)</f>
        <v/>
      </c>
      <c r="S46" s="1468" t="str">
        <f>IF(OR(G46="",AND(D46="",'#BerechnungDBE'!BH39=0)),"",IF('Flächen u. Kulturen'!X44="OK",'#BerechnungDBE'!BH39,"n.b."))</f>
        <v/>
      </c>
      <c r="T46" s="1460" t="str">
        <f>IF(G46="","",IF('Flächen u. Kulturen'!X44="OK",'#BerechnungDBE'!BJ39,"n.b."))</f>
        <v/>
      </c>
      <c r="U46" s="1460" t="str">
        <f>IF(G46="","",IF('Flächen u. Kulturen'!X44="OK",ROUNDDOWN('#BerechnungDBE'!BL39,0),"n.b."))</f>
        <v/>
      </c>
      <c r="V46" s="1456" t="str">
        <f>IF(G46="","",IF('Flächen u. Kulturen'!X44="OK",ROUNDDOWN('#BerechnungDBE'!BL39/27,1),"n.b."))</f>
        <v/>
      </c>
      <c r="W46" s="1461"/>
      <c r="X46" s="1469" t="str">
        <f>IF(E46="","",'#minDung'!P45)</f>
        <v/>
      </c>
      <c r="Y46" s="1461" t="str">
        <f>IF(G46="","",'#Kürzungen'!AQ63)</f>
        <v/>
      </c>
    </row>
    <row r="47" spans="1:25" s="880" customFormat="1" ht="15" customHeight="1" x14ac:dyDescent="0.2">
      <c r="A47" s="1471" t="str">
        <f>IF(E47="","",'Flächen u. Kulturen'!A45)</f>
        <v/>
      </c>
      <c r="B47" s="1273" t="str">
        <f>IF('Flächen u. Kulturen'!C45="","",'Flächen u. Kulturen'!C45)</f>
        <v/>
      </c>
      <c r="C47" s="1273" t="str">
        <f>IF('Flächen u. Kulturen'!B45="","",'Flächen u. Kulturen'!B45)</f>
        <v/>
      </c>
      <c r="D47" s="1452" t="str">
        <f>IF(E47="","",IF('#BerechnungDBE'!S40=1,"x",""))</f>
        <v/>
      </c>
      <c r="E47" s="1472" t="str">
        <f>IF('Flächen u. Kulturen'!D45="","",'Flächen u. Kulturen'!D45)</f>
        <v/>
      </c>
      <c r="F47" s="1255" t="str">
        <f>IF(E47="","",IF('Flächen u. Kulturen'!E45="x",'Flächen u. Kulturen'!P45,"       nicht im Betrieb"))</f>
        <v/>
      </c>
      <c r="G47" s="1272" t="str">
        <f>IF(OR(E47="",'Flächen u. Kulturen'!E45&lt;&gt;"x"),"",IF('#BerechnungDBE'!N40=3,'Flächen u. Kulturen'!R45,'Flächen u. Kulturen'!Q45))</f>
        <v/>
      </c>
      <c r="H47" s="1467" t="str">
        <f>IF(G47="","",'#BerechnungDBE'!AR40)</f>
        <v/>
      </c>
      <c r="I47" s="1272" t="str">
        <f>IF(G47="","",'#BerechnungDBE'!AT40)</f>
        <v/>
      </c>
      <c r="J47" s="1272" t="str">
        <f>IF(G47="","",'#BerechnungDBE'!AU40)</f>
        <v/>
      </c>
      <c r="K47" s="1272" t="str">
        <f>IF(G47="","",'#BerechnungDBE'!AV40)</f>
        <v/>
      </c>
      <c r="L47" s="1272" t="str">
        <f>IF(G47="","",'#BerechnungDBE'!AW40)</f>
        <v/>
      </c>
      <c r="M47" s="1272" t="str">
        <f>IF(G47="","",'#BerechnungDBE'!AS40)</f>
        <v/>
      </c>
      <c r="N47" s="1272" t="str">
        <f>IF(G47="","",'#BerechnungDBE'!AX40)</f>
        <v/>
      </c>
      <c r="O47" s="1272" t="str">
        <f>IF(G47="","",'#BerechnungDBE'!AY40)</f>
        <v/>
      </c>
      <c r="P47" s="1272" t="str">
        <f>IF(G47="","",'#BerechnungDBE'!AZ40)</f>
        <v/>
      </c>
      <c r="Q47" s="1460" t="str">
        <f>IF(G47="","",IF('Flächen u. Kulturen'!X45="OK",'#BerechnungDBE'!BA40,"n.b."))</f>
        <v/>
      </c>
      <c r="R47" s="1460" t="str">
        <f>IF(G47="","",'#BerechnungDBE'!BF40)</f>
        <v/>
      </c>
      <c r="S47" s="1468" t="str">
        <f>IF(OR(G47="",AND(D47="",'#BerechnungDBE'!BH40=0)),"",IF('Flächen u. Kulturen'!X45="OK",'#BerechnungDBE'!BH40,"n.b."))</f>
        <v/>
      </c>
      <c r="T47" s="1460" t="str">
        <f>IF(G47="","",IF('Flächen u. Kulturen'!X45="OK",'#BerechnungDBE'!BJ40,"n.b."))</f>
        <v/>
      </c>
      <c r="U47" s="1460" t="str">
        <f>IF(G47="","",IF('Flächen u. Kulturen'!X45="OK",ROUNDDOWN('#BerechnungDBE'!BL40,0),"n.b."))</f>
        <v/>
      </c>
      <c r="V47" s="1456" t="str">
        <f>IF(G47="","",IF('Flächen u. Kulturen'!X45="OK",ROUNDDOWN('#BerechnungDBE'!BL40/27,1),"n.b."))</f>
        <v/>
      </c>
      <c r="W47" s="1461"/>
      <c r="X47" s="1469" t="str">
        <f>IF(E47="","",'#minDung'!P46)</f>
        <v/>
      </c>
      <c r="Y47" s="1461" t="str">
        <f>IF(G47="","",'#Kürzungen'!AQ64)</f>
        <v/>
      </c>
    </row>
    <row r="48" spans="1:25" s="880" customFormat="1" ht="15" customHeight="1" x14ac:dyDescent="0.2">
      <c r="A48" s="1471" t="str">
        <f>IF(E48="","",'Flächen u. Kulturen'!A46)</f>
        <v/>
      </c>
      <c r="B48" s="1273" t="str">
        <f>IF('Flächen u. Kulturen'!C46="","",'Flächen u. Kulturen'!C46)</f>
        <v/>
      </c>
      <c r="C48" s="1273" t="str">
        <f>IF('Flächen u. Kulturen'!B46="","",'Flächen u. Kulturen'!B46)</f>
        <v/>
      </c>
      <c r="D48" s="1452" t="str">
        <f>IF(E48="","",IF('#BerechnungDBE'!S41=1,"x",""))</f>
        <v/>
      </c>
      <c r="E48" s="1472" t="str">
        <f>IF('Flächen u. Kulturen'!D46="","",'Flächen u. Kulturen'!D46)</f>
        <v/>
      </c>
      <c r="F48" s="1255" t="str">
        <f>IF(E48="","",IF('Flächen u. Kulturen'!E46="x",'Flächen u. Kulturen'!P46,"       nicht im Betrieb"))</f>
        <v/>
      </c>
      <c r="G48" s="1272" t="str">
        <f>IF(OR(E48="",'Flächen u. Kulturen'!E46&lt;&gt;"x"),"",IF('#BerechnungDBE'!N41=3,'Flächen u. Kulturen'!R46,'Flächen u. Kulturen'!Q46))</f>
        <v/>
      </c>
      <c r="H48" s="1467" t="str">
        <f>IF(G48="","",'#BerechnungDBE'!AR41)</f>
        <v/>
      </c>
      <c r="I48" s="1272" t="str">
        <f>IF(G48="","",'#BerechnungDBE'!AT41)</f>
        <v/>
      </c>
      <c r="J48" s="1272" t="str">
        <f>IF(G48="","",'#BerechnungDBE'!AU41)</f>
        <v/>
      </c>
      <c r="K48" s="1272" t="str">
        <f>IF(G48="","",'#BerechnungDBE'!AV41)</f>
        <v/>
      </c>
      <c r="L48" s="1272" t="str">
        <f>IF(G48="","",'#BerechnungDBE'!AW41)</f>
        <v/>
      </c>
      <c r="M48" s="1272" t="str">
        <f>IF(G48="","",'#BerechnungDBE'!AS41)</f>
        <v/>
      </c>
      <c r="N48" s="1272" t="str">
        <f>IF(G48="","",'#BerechnungDBE'!AX41)</f>
        <v/>
      </c>
      <c r="O48" s="1272" t="str">
        <f>IF(G48="","",'#BerechnungDBE'!AY41)</f>
        <v/>
      </c>
      <c r="P48" s="1272" t="str">
        <f>IF(G48="","",'#BerechnungDBE'!AZ41)</f>
        <v/>
      </c>
      <c r="Q48" s="1460" t="str">
        <f>IF(G48="","",IF('Flächen u. Kulturen'!X46="OK",'#BerechnungDBE'!BA41,"n.b."))</f>
        <v/>
      </c>
      <c r="R48" s="1460" t="str">
        <f>IF(G48="","",'#BerechnungDBE'!BF41)</f>
        <v/>
      </c>
      <c r="S48" s="1468" t="str">
        <f>IF(OR(G48="",AND(D48="",'#BerechnungDBE'!BH41=0)),"",IF('Flächen u. Kulturen'!X46="OK",'#BerechnungDBE'!BH41,"n.b."))</f>
        <v/>
      </c>
      <c r="T48" s="1460" t="str">
        <f>IF(G48="","",IF('Flächen u. Kulturen'!X46="OK",'#BerechnungDBE'!BJ41,"n.b."))</f>
        <v/>
      </c>
      <c r="U48" s="1460" t="str">
        <f>IF(G48="","",IF('Flächen u. Kulturen'!X46="OK",ROUNDDOWN('#BerechnungDBE'!BL41,0),"n.b."))</f>
        <v/>
      </c>
      <c r="V48" s="1456" t="str">
        <f>IF(G48="","",IF('Flächen u. Kulturen'!X46="OK",ROUNDDOWN('#BerechnungDBE'!BL41/27,1),"n.b."))</f>
        <v/>
      </c>
      <c r="W48" s="1461"/>
      <c r="X48" s="1469" t="str">
        <f>IF(E48="","",'#minDung'!P47)</f>
        <v/>
      </c>
      <c r="Y48" s="1461" t="str">
        <f>IF(G48="","",'#Kürzungen'!AQ65)</f>
        <v/>
      </c>
    </row>
    <row r="49" spans="1:25" s="880" customFormat="1" ht="15" customHeight="1" x14ac:dyDescent="0.2">
      <c r="A49" s="1471" t="str">
        <f>IF(E49="","",'Flächen u. Kulturen'!A47)</f>
        <v/>
      </c>
      <c r="B49" s="1273" t="str">
        <f>IF('Flächen u. Kulturen'!C47="","",'Flächen u. Kulturen'!C47)</f>
        <v/>
      </c>
      <c r="C49" s="1273" t="str">
        <f>IF('Flächen u. Kulturen'!B47="","",'Flächen u. Kulturen'!B47)</f>
        <v/>
      </c>
      <c r="D49" s="1452" t="str">
        <f>IF(E49="","",IF('#BerechnungDBE'!S42=1,"x",""))</f>
        <v/>
      </c>
      <c r="E49" s="1472" t="str">
        <f>IF('Flächen u. Kulturen'!D47="","",'Flächen u. Kulturen'!D47)</f>
        <v/>
      </c>
      <c r="F49" s="1255" t="str">
        <f>IF(E49="","",IF('Flächen u. Kulturen'!E47="x",'Flächen u. Kulturen'!P47,"       nicht im Betrieb"))</f>
        <v/>
      </c>
      <c r="G49" s="1272" t="str">
        <f>IF(OR(E49="",'Flächen u. Kulturen'!E47&lt;&gt;"x"),"",IF('#BerechnungDBE'!N42=3,'Flächen u. Kulturen'!R47,'Flächen u. Kulturen'!Q47))</f>
        <v/>
      </c>
      <c r="H49" s="1467" t="str">
        <f>IF(G49="","",'#BerechnungDBE'!AR42)</f>
        <v/>
      </c>
      <c r="I49" s="1272" t="str">
        <f>IF(G49="","",'#BerechnungDBE'!AT42)</f>
        <v/>
      </c>
      <c r="J49" s="1272" t="str">
        <f>IF(G49="","",'#BerechnungDBE'!AU42)</f>
        <v/>
      </c>
      <c r="K49" s="1272" t="str">
        <f>IF(G49="","",'#BerechnungDBE'!AV42)</f>
        <v/>
      </c>
      <c r="L49" s="1272" t="str">
        <f>IF(G49="","",'#BerechnungDBE'!AW42)</f>
        <v/>
      </c>
      <c r="M49" s="1272" t="str">
        <f>IF(G49="","",'#BerechnungDBE'!AS42)</f>
        <v/>
      </c>
      <c r="N49" s="1272" t="str">
        <f>IF(G49="","",'#BerechnungDBE'!AX42)</f>
        <v/>
      </c>
      <c r="O49" s="1272" t="str">
        <f>IF(G49="","",'#BerechnungDBE'!AY42)</f>
        <v/>
      </c>
      <c r="P49" s="1272" t="str">
        <f>IF(G49="","",'#BerechnungDBE'!AZ42)</f>
        <v/>
      </c>
      <c r="Q49" s="1460" t="str">
        <f>IF(G49="","",IF('Flächen u. Kulturen'!X47="OK",'#BerechnungDBE'!BA42,"n.b."))</f>
        <v/>
      </c>
      <c r="R49" s="1460" t="str">
        <f>IF(G49="","",'#BerechnungDBE'!BF42)</f>
        <v/>
      </c>
      <c r="S49" s="1468" t="str">
        <f>IF(OR(G49="",AND(D49="",'#BerechnungDBE'!BH42=0)),"",IF('Flächen u. Kulturen'!X47="OK",'#BerechnungDBE'!BH42,"n.b."))</f>
        <v/>
      </c>
      <c r="T49" s="1460" t="str">
        <f>IF(G49="","",IF('Flächen u. Kulturen'!X47="OK",'#BerechnungDBE'!BJ42,"n.b."))</f>
        <v/>
      </c>
      <c r="U49" s="1460" t="str">
        <f>IF(G49="","",IF('Flächen u. Kulturen'!X47="OK",ROUNDDOWN('#BerechnungDBE'!BL42,0),"n.b."))</f>
        <v/>
      </c>
      <c r="V49" s="1456" t="str">
        <f>IF(G49="","",IF('Flächen u. Kulturen'!X47="OK",ROUNDDOWN('#BerechnungDBE'!BL42/27,1),"n.b."))</f>
        <v/>
      </c>
      <c r="W49" s="1461"/>
      <c r="X49" s="1469" t="str">
        <f>IF(E49="","",'#minDung'!P48)</f>
        <v/>
      </c>
      <c r="Y49" s="1461" t="str">
        <f>IF(G49="","",'#Kürzungen'!AQ66)</f>
        <v/>
      </c>
    </row>
    <row r="50" spans="1:25" s="880" customFormat="1" ht="15" customHeight="1" x14ac:dyDescent="0.2">
      <c r="A50" s="1471" t="str">
        <f>IF(E50="","",'Flächen u. Kulturen'!A48)</f>
        <v/>
      </c>
      <c r="B50" s="1273" t="str">
        <f>IF('Flächen u. Kulturen'!C48="","",'Flächen u. Kulturen'!C48)</f>
        <v/>
      </c>
      <c r="C50" s="1273" t="str">
        <f>IF('Flächen u. Kulturen'!B48="","",'Flächen u. Kulturen'!B48)</f>
        <v/>
      </c>
      <c r="D50" s="1452" t="str">
        <f>IF(E50="","",IF('#BerechnungDBE'!S43=1,"x",""))</f>
        <v/>
      </c>
      <c r="E50" s="1472" t="str">
        <f>IF('Flächen u. Kulturen'!D48="","",'Flächen u. Kulturen'!D48)</f>
        <v/>
      </c>
      <c r="F50" s="1255" t="str">
        <f>IF(E50="","",IF('Flächen u. Kulturen'!E48="x",'Flächen u. Kulturen'!P48,"       nicht im Betrieb"))</f>
        <v/>
      </c>
      <c r="G50" s="1272" t="str">
        <f>IF(OR(E50="",'Flächen u. Kulturen'!E48&lt;&gt;"x"),"",IF('#BerechnungDBE'!N43=3,'Flächen u. Kulturen'!R48,'Flächen u. Kulturen'!Q48))</f>
        <v/>
      </c>
      <c r="H50" s="1467" t="str">
        <f>IF(G50="","",'#BerechnungDBE'!AR43)</f>
        <v/>
      </c>
      <c r="I50" s="1272" t="str">
        <f>IF(G50="","",'#BerechnungDBE'!AT43)</f>
        <v/>
      </c>
      <c r="J50" s="1272" t="str">
        <f>IF(G50="","",'#BerechnungDBE'!AU43)</f>
        <v/>
      </c>
      <c r="K50" s="1272" t="str">
        <f>IF(G50="","",'#BerechnungDBE'!AV43)</f>
        <v/>
      </c>
      <c r="L50" s="1272" t="str">
        <f>IF(G50="","",'#BerechnungDBE'!AW43)</f>
        <v/>
      </c>
      <c r="M50" s="1272" t="str">
        <f>IF(G50="","",'#BerechnungDBE'!AS43)</f>
        <v/>
      </c>
      <c r="N50" s="1272" t="str">
        <f>IF(G50="","",'#BerechnungDBE'!AX43)</f>
        <v/>
      </c>
      <c r="O50" s="1272" t="str">
        <f>IF(G50="","",'#BerechnungDBE'!AY43)</f>
        <v/>
      </c>
      <c r="P50" s="1272" t="str">
        <f>IF(G50="","",'#BerechnungDBE'!AZ43)</f>
        <v/>
      </c>
      <c r="Q50" s="1460" t="str">
        <f>IF(G50="","",IF('Flächen u. Kulturen'!X48="OK",'#BerechnungDBE'!BA43,"n.b."))</f>
        <v/>
      </c>
      <c r="R50" s="1460" t="str">
        <f>IF(G50="","",'#BerechnungDBE'!BF43)</f>
        <v/>
      </c>
      <c r="S50" s="1468" t="str">
        <f>IF(OR(G50="",AND(D50="",'#BerechnungDBE'!BH43=0)),"",IF('Flächen u. Kulturen'!X48="OK",'#BerechnungDBE'!BH43,"n.b."))</f>
        <v/>
      </c>
      <c r="T50" s="1460" t="str">
        <f>IF(G50="","",IF('Flächen u. Kulturen'!X48="OK",'#BerechnungDBE'!BJ43,"n.b."))</f>
        <v/>
      </c>
      <c r="U50" s="1460" t="str">
        <f>IF(G50="","",IF('Flächen u. Kulturen'!X48="OK",ROUNDDOWN('#BerechnungDBE'!BL43,0),"n.b."))</f>
        <v/>
      </c>
      <c r="V50" s="1456" t="str">
        <f>IF(G50="","",IF('Flächen u. Kulturen'!X48="OK",ROUNDDOWN('#BerechnungDBE'!BL43/27,1),"n.b."))</f>
        <v/>
      </c>
      <c r="W50" s="1461"/>
      <c r="X50" s="1469" t="str">
        <f>IF(E50="","",'#minDung'!P49)</f>
        <v/>
      </c>
      <c r="Y50" s="1461" t="str">
        <f>IF(G50="","",'#Kürzungen'!AQ67)</f>
        <v/>
      </c>
    </row>
    <row r="51" spans="1:25" s="880" customFormat="1" ht="15" customHeight="1" x14ac:dyDescent="0.2">
      <c r="A51" s="1471" t="str">
        <f>IF(E51="","",'Flächen u. Kulturen'!A49)</f>
        <v/>
      </c>
      <c r="B51" s="1273" t="str">
        <f>IF('Flächen u. Kulturen'!C49="","",'Flächen u. Kulturen'!C49)</f>
        <v/>
      </c>
      <c r="C51" s="1273" t="str">
        <f>IF('Flächen u. Kulturen'!B49="","",'Flächen u. Kulturen'!B49)</f>
        <v/>
      </c>
      <c r="D51" s="1452" t="str">
        <f>IF(E51="","",IF('#BerechnungDBE'!S44=1,"x",""))</f>
        <v/>
      </c>
      <c r="E51" s="1472" t="str">
        <f>IF('Flächen u. Kulturen'!D49="","",'Flächen u. Kulturen'!D49)</f>
        <v/>
      </c>
      <c r="F51" s="1255" t="str">
        <f>IF(E51="","",IF('Flächen u. Kulturen'!E49="x",'Flächen u. Kulturen'!P49,"       nicht im Betrieb"))</f>
        <v/>
      </c>
      <c r="G51" s="1272" t="str">
        <f>IF(OR(E51="",'Flächen u. Kulturen'!E49&lt;&gt;"x"),"",IF('#BerechnungDBE'!N44=3,'Flächen u. Kulturen'!R49,'Flächen u. Kulturen'!Q49))</f>
        <v/>
      </c>
      <c r="H51" s="1467" t="str">
        <f>IF(G51="","",'#BerechnungDBE'!AR44)</f>
        <v/>
      </c>
      <c r="I51" s="1272" t="str">
        <f>IF(G51="","",'#BerechnungDBE'!AT44)</f>
        <v/>
      </c>
      <c r="J51" s="1272" t="str">
        <f>IF(G51="","",'#BerechnungDBE'!AU44)</f>
        <v/>
      </c>
      <c r="K51" s="1272" t="str">
        <f>IF(G51="","",'#BerechnungDBE'!AV44)</f>
        <v/>
      </c>
      <c r="L51" s="1272" t="str">
        <f>IF(G51="","",'#BerechnungDBE'!AW44)</f>
        <v/>
      </c>
      <c r="M51" s="1272" t="str">
        <f>IF(G51="","",'#BerechnungDBE'!AS44)</f>
        <v/>
      </c>
      <c r="N51" s="1272" t="str">
        <f>IF(G51="","",'#BerechnungDBE'!AX44)</f>
        <v/>
      </c>
      <c r="O51" s="1272" t="str">
        <f>IF(G51="","",'#BerechnungDBE'!AY44)</f>
        <v/>
      </c>
      <c r="P51" s="1272" t="str">
        <f>IF(G51="","",'#BerechnungDBE'!AZ44)</f>
        <v/>
      </c>
      <c r="Q51" s="1460" t="str">
        <f>IF(G51="","",IF('Flächen u. Kulturen'!X49="OK",'#BerechnungDBE'!BA44,"n.b."))</f>
        <v/>
      </c>
      <c r="R51" s="1460" t="str">
        <f>IF(G51="","",'#BerechnungDBE'!BF44)</f>
        <v/>
      </c>
      <c r="S51" s="1468" t="str">
        <f>IF(OR(G51="",AND(D51="",'#BerechnungDBE'!BH44=0)),"",IF('Flächen u. Kulturen'!X49="OK",'#BerechnungDBE'!BH44,"n.b."))</f>
        <v/>
      </c>
      <c r="T51" s="1460" t="str">
        <f>IF(G51="","",IF('Flächen u. Kulturen'!X49="OK",'#BerechnungDBE'!BJ44,"n.b."))</f>
        <v/>
      </c>
      <c r="U51" s="1460" t="str">
        <f>IF(G51="","",IF('Flächen u. Kulturen'!X49="OK",ROUNDDOWN('#BerechnungDBE'!BL44,0),"n.b."))</f>
        <v/>
      </c>
      <c r="V51" s="1456" t="str">
        <f>IF(G51="","",IF('Flächen u. Kulturen'!X49="OK",ROUNDDOWN('#BerechnungDBE'!BL44/27,1),"n.b."))</f>
        <v/>
      </c>
      <c r="W51" s="1461"/>
      <c r="X51" s="1469" t="str">
        <f>IF(E51="","",'#minDung'!P50)</f>
        <v/>
      </c>
      <c r="Y51" s="1461" t="str">
        <f>IF(G51="","",'#Kürzungen'!AQ68)</f>
        <v/>
      </c>
    </row>
    <row r="52" spans="1:25" s="880" customFormat="1" ht="15" customHeight="1" x14ac:dyDescent="0.2">
      <c r="A52" s="1471" t="str">
        <f>IF(E52="","",'Flächen u. Kulturen'!A50)</f>
        <v/>
      </c>
      <c r="B52" s="1273" t="str">
        <f>IF('Flächen u. Kulturen'!C50="","",'Flächen u. Kulturen'!C50)</f>
        <v/>
      </c>
      <c r="C52" s="1273" t="str">
        <f>IF('Flächen u. Kulturen'!B50="","",'Flächen u. Kulturen'!B50)</f>
        <v/>
      </c>
      <c r="D52" s="1452" t="str">
        <f>IF(E52="","",IF('#BerechnungDBE'!S45=1,"x",""))</f>
        <v/>
      </c>
      <c r="E52" s="1472" t="str">
        <f>IF('Flächen u. Kulturen'!D50="","",'Flächen u. Kulturen'!D50)</f>
        <v/>
      </c>
      <c r="F52" s="1255" t="str">
        <f>IF(E52="","",IF('Flächen u. Kulturen'!E50="x",'Flächen u. Kulturen'!P50,"       nicht im Betrieb"))</f>
        <v/>
      </c>
      <c r="G52" s="1272" t="str">
        <f>IF(OR(E52="",'Flächen u. Kulturen'!E50&lt;&gt;"x"),"",IF('#BerechnungDBE'!N45=3,'Flächen u. Kulturen'!R50,'Flächen u. Kulturen'!Q50))</f>
        <v/>
      </c>
      <c r="H52" s="1467" t="str">
        <f>IF(G52="","",'#BerechnungDBE'!AR45)</f>
        <v/>
      </c>
      <c r="I52" s="1272" t="str">
        <f>IF(G52="","",'#BerechnungDBE'!AT45)</f>
        <v/>
      </c>
      <c r="J52" s="1272" t="str">
        <f>IF(G52="","",'#BerechnungDBE'!AU45)</f>
        <v/>
      </c>
      <c r="K52" s="1272" t="str">
        <f>IF(G52="","",'#BerechnungDBE'!AV45)</f>
        <v/>
      </c>
      <c r="L52" s="1272" t="str">
        <f>IF(G52="","",'#BerechnungDBE'!AW45)</f>
        <v/>
      </c>
      <c r="M52" s="1272" t="str">
        <f>IF(G52="","",'#BerechnungDBE'!AS45)</f>
        <v/>
      </c>
      <c r="N52" s="1272" t="str">
        <f>IF(G52="","",'#BerechnungDBE'!AX45)</f>
        <v/>
      </c>
      <c r="O52" s="1272" t="str">
        <f>IF(G52="","",'#BerechnungDBE'!AY45)</f>
        <v/>
      </c>
      <c r="P52" s="1272" t="str">
        <f>IF(G52="","",'#BerechnungDBE'!AZ45)</f>
        <v/>
      </c>
      <c r="Q52" s="1460" t="str">
        <f>IF(G52="","",IF('Flächen u. Kulturen'!X50="OK",'#BerechnungDBE'!BA45,"n.b."))</f>
        <v/>
      </c>
      <c r="R52" s="1460" t="str">
        <f>IF(G52="","",'#BerechnungDBE'!BF45)</f>
        <v/>
      </c>
      <c r="S52" s="1468" t="str">
        <f>IF(OR(G52="",AND(D52="",'#BerechnungDBE'!BH45=0)),"",IF('Flächen u. Kulturen'!X50="OK",'#BerechnungDBE'!BH45,"n.b."))</f>
        <v/>
      </c>
      <c r="T52" s="1460" t="str">
        <f>IF(G52="","",IF('Flächen u. Kulturen'!X50="OK",'#BerechnungDBE'!BJ45,"n.b."))</f>
        <v/>
      </c>
      <c r="U52" s="1460" t="str">
        <f>IF(G52="","",IF('Flächen u. Kulturen'!X50="OK",ROUNDDOWN('#BerechnungDBE'!BL45,0),"n.b."))</f>
        <v/>
      </c>
      <c r="V52" s="1456" t="str">
        <f>IF(G52="","",IF('Flächen u. Kulturen'!X50="OK",ROUNDDOWN('#BerechnungDBE'!BL45/27,1),"n.b."))</f>
        <v/>
      </c>
      <c r="W52" s="1461"/>
      <c r="X52" s="1469" t="str">
        <f>IF(E52="","",'#minDung'!P51)</f>
        <v/>
      </c>
      <c r="Y52" s="1461" t="str">
        <f>IF(G52="","",'#Kürzungen'!AQ69)</f>
        <v/>
      </c>
    </row>
    <row r="53" spans="1:25" s="880" customFormat="1" ht="15" customHeight="1" x14ac:dyDescent="0.2">
      <c r="A53" s="1471" t="str">
        <f>IF(E53="","",'Flächen u. Kulturen'!A51)</f>
        <v/>
      </c>
      <c r="B53" s="1273" t="str">
        <f>IF('Flächen u. Kulturen'!C51="","",'Flächen u. Kulturen'!C51)</f>
        <v/>
      </c>
      <c r="C53" s="1273" t="str">
        <f>IF('Flächen u. Kulturen'!B51="","",'Flächen u. Kulturen'!B51)</f>
        <v/>
      </c>
      <c r="D53" s="1452" t="str">
        <f>IF(E53="","",IF('#BerechnungDBE'!S46=1,"x",""))</f>
        <v/>
      </c>
      <c r="E53" s="1472" t="str">
        <f>IF('Flächen u. Kulturen'!D51="","",'Flächen u. Kulturen'!D51)</f>
        <v/>
      </c>
      <c r="F53" s="1255" t="str">
        <f>IF(E53="","",IF('Flächen u. Kulturen'!E51="x",'Flächen u. Kulturen'!P51,"       nicht im Betrieb"))</f>
        <v/>
      </c>
      <c r="G53" s="1272" t="str">
        <f>IF(OR(E53="",'Flächen u. Kulturen'!E51&lt;&gt;"x"),"",IF('#BerechnungDBE'!N46=3,'Flächen u. Kulturen'!R51,'Flächen u. Kulturen'!Q51))</f>
        <v/>
      </c>
      <c r="H53" s="1467" t="str">
        <f>IF(G53="","",'#BerechnungDBE'!AR46)</f>
        <v/>
      </c>
      <c r="I53" s="1272" t="str">
        <f>IF(G53="","",'#BerechnungDBE'!AT46)</f>
        <v/>
      </c>
      <c r="J53" s="1272" t="str">
        <f>IF(G53="","",'#BerechnungDBE'!AU46)</f>
        <v/>
      </c>
      <c r="K53" s="1272" t="str">
        <f>IF(G53="","",'#BerechnungDBE'!AV46)</f>
        <v/>
      </c>
      <c r="L53" s="1272" t="str">
        <f>IF(G53="","",'#BerechnungDBE'!AW46)</f>
        <v/>
      </c>
      <c r="M53" s="1272" t="str">
        <f>IF(G53="","",'#BerechnungDBE'!AS46)</f>
        <v/>
      </c>
      <c r="N53" s="1272" t="str">
        <f>IF(G53="","",'#BerechnungDBE'!AX46)</f>
        <v/>
      </c>
      <c r="O53" s="1272" t="str">
        <f>IF(G53="","",'#BerechnungDBE'!AY46)</f>
        <v/>
      </c>
      <c r="P53" s="1272" t="str">
        <f>IF(G53="","",'#BerechnungDBE'!AZ46)</f>
        <v/>
      </c>
      <c r="Q53" s="1460" t="str">
        <f>IF(G53="","",IF('Flächen u. Kulturen'!X51="OK",'#BerechnungDBE'!BA46,"n.b."))</f>
        <v/>
      </c>
      <c r="R53" s="1460" t="str">
        <f>IF(G53="","",'#BerechnungDBE'!BF46)</f>
        <v/>
      </c>
      <c r="S53" s="1468" t="str">
        <f>IF(OR(G53="",AND(D53="",'#BerechnungDBE'!BH46=0)),"",IF('Flächen u. Kulturen'!X51="OK",'#BerechnungDBE'!BH46,"n.b."))</f>
        <v/>
      </c>
      <c r="T53" s="1460" t="str">
        <f>IF(G53="","",IF('Flächen u. Kulturen'!X51="OK",'#BerechnungDBE'!BJ46,"n.b."))</f>
        <v/>
      </c>
      <c r="U53" s="1460" t="str">
        <f>IF(G53="","",IF('Flächen u. Kulturen'!X51="OK",ROUNDDOWN('#BerechnungDBE'!BL46,0),"n.b."))</f>
        <v/>
      </c>
      <c r="V53" s="1456" t="str">
        <f>IF(G53="","",IF('Flächen u. Kulturen'!X51="OK",ROUNDDOWN('#BerechnungDBE'!BL46/27,1),"n.b."))</f>
        <v/>
      </c>
      <c r="W53" s="1461"/>
      <c r="X53" s="1469" t="str">
        <f>IF(E53="","",'#minDung'!P52)</f>
        <v/>
      </c>
      <c r="Y53" s="1461" t="str">
        <f>IF(G53="","",'#Kürzungen'!AQ70)</f>
        <v/>
      </c>
    </row>
    <row r="54" spans="1:25" s="880" customFormat="1" ht="15" customHeight="1" x14ac:dyDescent="0.2">
      <c r="A54" s="1471" t="str">
        <f>IF(E54="","",'Flächen u. Kulturen'!A52)</f>
        <v/>
      </c>
      <c r="B54" s="1273" t="str">
        <f>IF('Flächen u. Kulturen'!C52="","",'Flächen u. Kulturen'!C52)</f>
        <v/>
      </c>
      <c r="C54" s="1273" t="str">
        <f>IF('Flächen u. Kulturen'!B52="","",'Flächen u. Kulturen'!B52)</f>
        <v/>
      </c>
      <c r="D54" s="1452" t="str">
        <f>IF(E54="","",IF('#BerechnungDBE'!S47=1,"x",""))</f>
        <v/>
      </c>
      <c r="E54" s="1472" t="str">
        <f>IF('Flächen u. Kulturen'!D52="","",'Flächen u. Kulturen'!D52)</f>
        <v/>
      </c>
      <c r="F54" s="1255" t="str">
        <f>IF(E54="","",IF('Flächen u. Kulturen'!E52="x",'Flächen u. Kulturen'!P52,"       nicht im Betrieb"))</f>
        <v/>
      </c>
      <c r="G54" s="1272" t="str">
        <f>IF(OR(E54="",'Flächen u. Kulturen'!E52&lt;&gt;"x"),"",IF('#BerechnungDBE'!N47=3,'Flächen u. Kulturen'!R52,'Flächen u. Kulturen'!Q52))</f>
        <v/>
      </c>
      <c r="H54" s="1467" t="str">
        <f>IF(G54="","",'#BerechnungDBE'!AR47)</f>
        <v/>
      </c>
      <c r="I54" s="1272" t="str">
        <f>IF(G54="","",'#BerechnungDBE'!AT47)</f>
        <v/>
      </c>
      <c r="J54" s="1272" t="str">
        <f>IF(G54="","",'#BerechnungDBE'!AU47)</f>
        <v/>
      </c>
      <c r="K54" s="1272" t="str">
        <f>IF(G54="","",'#BerechnungDBE'!AV47)</f>
        <v/>
      </c>
      <c r="L54" s="1272" t="str">
        <f>IF(G54="","",'#BerechnungDBE'!AW47)</f>
        <v/>
      </c>
      <c r="M54" s="1272" t="str">
        <f>IF(G54="","",'#BerechnungDBE'!AS47)</f>
        <v/>
      </c>
      <c r="N54" s="1272" t="str">
        <f>IF(G54="","",'#BerechnungDBE'!AX47)</f>
        <v/>
      </c>
      <c r="O54" s="1272" t="str">
        <f>IF(G54="","",'#BerechnungDBE'!AY47)</f>
        <v/>
      </c>
      <c r="P54" s="1272" t="str">
        <f>IF(G54="","",'#BerechnungDBE'!AZ47)</f>
        <v/>
      </c>
      <c r="Q54" s="1460" t="str">
        <f>IF(G54="","",IF('Flächen u. Kulturen'!X52="OK",'#BerechnungDBE'!BA47,"n.b."))</f>
        <v/>
      </c>
      <c r="R54" s="1460" t="str">
        <f>IF(G54="","",'#BerechnungDBE'!BF47)</f>
        <v/>
      </c>
      <c r="S54" s="1468" t="str">
        <f>IF(OR(G54="",AND(D54="",'#BerechnungDBE'!BH47=0)),"",IF('Flächen u. Kulturen'!X52="OK",'#BerechnungDBE'!BH47,"n.b."))</f>
        <v/>
      </c>
      <c r="T54" s="1460" t="str">
        <f>IF(G54="","",IF('Flächen u. Kulturen'!X52="OK",'#BerechnungDBE'!BJ47,"n.b."))</f>
        <v/>
      </c>
      <c r="U54" s="1460" t="str">
        <f>IF(G54="","",IF('Flächen u. Kulturen'!X52="OK",ROUNDDOWN('#BerechnungDBE'!BL47,0),"n.b."))</f>
        <v/>
      </c>
      <c r="V54" s="1456" t="str">
        <f>IF(G54="","",IF('Flächen u. Kulturen'!X52="OK",ROUNDDOWN('#BerechnungDBE'!BL47/27,1),"n.b."))</f>
        <v/>
      </c>
      <c r="W54" s="1461"/>
      <c r="X54" s="1469" t="str">
        <f>IF(E54="","",'#minDung'!P53)</f>
        <v/>
      </c>
      <c r="Y54" s="1461" t="str">
        <f>IF(G54="","",'#Kürzungen'!AQ71)</f>
        <v/>
      </c>
    </row>
    <row r="55" spans="1:25" s="880" customFormat="1" ht="15" customHeight="1" x14ac:dyDescent="0.2">
      <c r="A55" s="1471" t="str">
        <f>IF(E55="","",'Flächen u. Kulturen'!A53)</f>
        <v/>
      </c>
      <c r="B55" s="1273" t="str">
        <f>IF('Flächen u. Kulturen'!C53="","",'Flächen u. Kulturen'!C53)</f>
        <v/>
      </c>
      <c r="C55" s="1273" t="str">
        <f>IF('Flächen u. Kulturen'!B53="","",'Flächen u. Kulturen'!B53)</f>
        <v/>
      </c>
      <c r="D55" s="1452" t="str">
        <f>IF(E55="","",IF('#BerechnungDBE'!S48=1,"x",""))</f>
        <v/>
      </c>
      <c r="E55" s="1472" t="str">
        <f>IF('Flächen u. Kulturen'!D53="","",'Flächen u. Kulturen'!D53)</f>
        <v/>
      </c>
      <c r="F55" s="1255" t="str">
        <f>IF(E55="","",IF('Flächen u. Kulturen'!E53="x",'Flächen u. Kulturen'!P53,"       nicht im Betrieb"))</f>
        <v/>
      </c>
      <c r="G55" s="1272" t="str">
        <f>IF(OR(E55="",'Flächen u. Kulturen'!E53&lt;&gt;"x"),"",IF('#BerechnungDBE'!N48=3,'Flächen u. Kulturen'!R53,'Flächen u. Kulturen'!Q53))</f>
        <v/>
      </c>
      <c r="H55" s="1467" t="str">
        <f>IF(G55="","",'#BerechnungDBE'!AR48)</f>
        <v/>
      </c>
      <c r="I55" s="1272" t="str">
        <f>IF(G55="","",'#BerechnungDBE'!AT48)</f>
        <v/>
      </c>
      <c r="J55" s="1272" t="str">
        <f>IF(G55="","",'#BerechnungDBE'!AU48)</f>
        <v/>
      </c>
      <c r="K55" s="1272" t="str">
        <f>IF(G55="","",'#BerechnungDBE'!AV48)</f>
        <v/>
      </c>
      <c r="L55" s="1272" t="str">
        <f>IF(G55="","",'#BerechnungDBE'!AW48)</f>
        <v/>
      </c>
      <c r="M55" s="1272" t="str">
        <f>IF(G55="","",'#BerechnungDBE'!AS48)</f>
        <v/>
      </c>
      <c r="N55" s="1272" t="str">
        <f>IF(G55="","",'#BerechnungDBE'!AX48)</f>
        <v/>
      </c>
      <c r="O55" s="1272" t="str">
        <f>IF(G55="","",'#BerechnungDBE'!AY48)</f>
        <v/>
      </c>
      <c r="P55" s="1272" t="str">
        <f>IF(G55="","",'#BerechnungDBE'!AZ48)</f>
        <v/>
      </c>
      <c r="Q55" s="1460" t="str">
        <f>IF(G55="","",IF('Flächen u. Kulturen'!X53="OK",'#BerechnungDBE'!BA48,"n.b."))</f>
        <v/>
      </c>
      <c r="R55" s="1460" t="str">
        <f>IF(G55="","",'#BerechnungDBE'!BF48)</f>
        <v/>
      </c>
      <c r="S55" s="1468" t="str">
        <f>IF(OR(G55="",AND(D55="",'#BerechnungDBE'!BH48=0)),"",IF('Flächen u. Kulturen'!X53="OK",'#BerechnungDBE'!BH48,"n.b."))</f>
        <v/>
      </c>
      <c r="T55" s="1460" t="str">
        <f>IF(G55="","",IF('Flächen u. Kulturen'!X53="OK",'#BerechnungDBE'!BJ48,"n.b."))</f>
        <v/>
      </c>
      <c r="U55" s="1460" t="str">
        <f>IF(G55="","",IF('Flächen u. Kulturen'!X53="OK",ROUNDDOWN('#BerechnungDBE'!BL48,0),"n.b."))</f>
        <v/>
      </c>
      <c r="V55" s="1456" t="str">
        <f>IF(G55="","",IF('Flächen u. Kulturen'!X53="OK",ROUNDDOWN('#BerechnungDBE'!BL48/27,1),"n.b."))</f>
        <v/>
      </c>
      <c r="W55" s="1461"/>
      <c r="X55" s="1469" t="str">
        <f>IF(E55="","",'#minDung'!P54)</f>
        <v/>
      </c>
      <c r="Y55" s="1461" t="str">
        <f>IF(G55="","",'#Kürzungen'!AQ72)</f>
        <v/>
      </c>
    </row>
    <row r="56" spans="1:25" s="880" customFormat="1" ht="15" customHeight="1" x14ac:dyDescent="0.2">
      <c r="A56" s="1471" t="str">
        <f>IF(E56="","",'Flächen u. Kulturen'!A54)</f>
        <v/>
      </c>
      <c r="B56" s="1273" t="str">
        <f>IF('Flächen u. Kulturen'!C54="","",'Flächen u. Kulturen'!C54)</f>
        <v/>
      </c>
      <c r="C56" s="1273" t="str">
        <f>IF('Flächen u. Kulturen'!B54="","",'Flächen u. Kulturen'!B54)</f>
        <v/>
      </c>
      <c r="D56" s="1452" t="str">
        <f>IF(E56="","",IF('#BerechnungDBE'!S49=1,"x",""))</f>
        <v/>
      </c>
      <c r="E56" s="1472" t="str">
        <f>IF('Flächen u. Kulturen'!D54="","",'Flächen u. Kulturen'!D54)</f>
        <v/>
      </c>
      <c r="F56" s="1255" t="str">
        <f>IF(E56="","",IF('Flächen u. Kulturen'!E54="x",'Flächen u. Kulturen'!P54,"       nicht im Betrieb"))</f>
        <v/>
      </c>
      <c r="G56" s="1272" t="str">
        <f>IF(OR(E56="",'Flächen u. Kulturen'!E54&lt;&gt;"x"),"",IF('#BerechnungDBE'!N49=3,'Flächen u. Kulturen'!R54,'Flächen u. Kulturen'!Q54))</f>
        <v/>
      </c>
      <c r="H56" s="1467" t="str">
        <f>IF(G56="","",'#BerechnungDBE'!AR49)</f>
        <v/>
      </c>
      <c r="I56" s="1272" t="str">
        <f>IF(G56="","",'#BerechnungDBE'!AT49)</f>
        <v/>
      </c>
      <c r="J56" s="1272" t="str">
        <f>IF(G56="","",'#BerechnungDBE'!AU49)</f>
        <v/>
      </c>
      <c r="K56" s="1272" t="str">
        <f>IF(G56="","",'#BerechnungDBE'!AV49)</f>
        <v/>
      </c>
      <c r="L56" s="1272" t="str">
        <f>IF(G56="","",'#BerechnungDBE'!AW49)</f>
        <v/>
      </c>
      <c r="M56" s="1272" t="str">
        <f>IF(G56="","",'#BerechnungDBE'!AS49)</f>
        <v/>
      </c>
      <c r="N56" s="1272" t="str">
        <f>IF(G56="","",'#BerechnungDBE'!AX49)</f>
        <v/>
      </c>
      <c r="O56" s="1272" t="str">
        <f>IF(G56="","",'#BerechnungDBE'!AY49)</f>
        <v/>
      </c>
      <c r="P56" s="1272" t="str">
        <f>IF(G56="","",'#BerechnungDBE'!AZ49)</f>
        <v/>
      </c>
      <c r="Q56" s="1460" t="str">
        <f>IF(G56="","",IF('Flächen u. Kulturen'!X54="OK",'#BerechnungDBE'!BA49,"n.b."))</f>
        <v/>
      </c>
      <c r="R56" s="1460" t="str">
        <f>IF(G56="","",'#BerechnungDBE'!BF49)</f>
        <v/>
      </c>
      <c r="S56" s="1468" t="str">
        <f>IF(OR(G56="",AND(D56="",'#BerechnungDBE'!BH49=0)),"",IF('Flächen u. Kulturen'!X54="OK",'#BerechnungDBE'!BH49,"n.b."))</f>
        <v/>
      </c>
      <c r="T56" s="1460" t="str">
        <f>IF(G56="","",IF('Flächen u. Kulturen'!X54="OK",'#BerechnungDBE'!BJ49,"n.b."))</f>
        <v/>
      </c>
      <c r="U56" s="1460" t="str">
        <f>IF(G56="","",IF('Flächen u. Kulturen'!X54="OK",ROUNDDOWN('#BerechnungDBE'!BL49,0),"n.b."))</f>
        <v/>
      </c>
      <c r="V56" s="1456" t="str">
        <f>IF(G56="","",IF('Flächen u. Kulturen'!X54="OK",ROUNDDOWN('#BerechnungDBE'!BL49/27,1),"n.b."))</f>
        <v/>
      </c>
      <c r="W56" s="1461"/>
      <c r="X56" s="1469" t="str">
        <f>IF(E56="","",'#minDung'!P55)</f>
        <v/>
      </c>
      <c r="Y56" s="1461" t="str">
        <f>IF(G56="","",'#Kürzungen'!AQ73)</f>
        <v/>
      </c>
    </row>
    <row r="57" spans="1:25" s="880" customFormat="1" ht="15" customHeight="1" x14ac:dyDescent="0.2">
      <c r="A57" s="1471" t="str">
        <f>IF(E57="","",'Flächen u. Kulturen'!A55)</f>
        <v/>
      </c>
      <c r="B57" s="1273" t="str">
        <f>IF('Flächen u. Kulturen'!C55="","",'Flächen u. Kulturen'!C55)</f>
        <v/>
      </c>
      <c r="C57" s="1273" t="str">
        <f>IF('Flächen u. Kulturen'!B55="","",'Flächen u. Kulturen'!B55)</f>
        <v/>
      </c>
      <c r="D57" s="1452" t="str">
        <f>IF(E57="","",IF('#BerechnungDBE'!S50=1,"x",""))</f>
        <v/>
      </c>
      <c r="E57" s="1472" t="str">
        <f>IF('Flächen u. Kulturen'!D55="","",'Flächen u. Kulturen'!D55)</f>
        <v/>
      </c>
      <c r="F57" s="1255" t="str">
        <f>IF(E57="","",IF('Flächen u. Kulturen'!E55="x",'Flächen u. Kulturen'!P55,"       nicht im Betrieb"))</f>
        <v/>
      </c>
      <c r="G57" s="1272" t="str">
        <f>IF(OR(E57="",'Flächen u. Kulturen'!E55&lt;&gt;"x"),"",IF('#BerechnungDBE'!N50=3,'Flächen u. Kulturen'!R55,'Flächen u. Kulturen'!Q55))</f>
        <v/>
      </c>
      <c r="H57" s="1467" t="str">
        <f>IF(G57="","",'#BerechnungDBE'!AR50)</f>
        <v/>
      </c>
      <c r="I57" s="1272" t="str">
        <f>IF(G57="","",'#BerechnungDBE'!AT50)</f>
        <v/>
      </c>
      <c r="J57" s="1272" t="str">
        <f>IF(G57="","",'#BerechnungDBE'!AU50)</f>
        <v/>
      </c>
      <c r="K57" s="1272" t="str">
        <f>IF(G57="","",'#BerechnungDBE'!AV50)</f>
        <v/>
      </c>
      <c r="L57" s="1272" t="str">
        <f>IF(G57="","",'#BerechnungDBE'!AW50)</f>
        <v/>
      </c>
      <c r="M57" s="1272" t="str">
        <f>IF(G57="","",'#BerechnungDBE'!AS50)</f>
        <v/>
      </c>
      <c r="N57" s="1272" t="str">
        <f>IF(G57="","",'#BerechnungDBE'!AX50)</f>
        <v/>
      </c>
      <c r="O57" s="1272" t="str">
        <f>IF(G57="","",'#BerechnungDBE'!AY50)</f>
        <v/>
      </c>
      <c r="P57" s="1272" t="str">
        <f>IF(G57="","",'#BerechnungDBE'!AZ50)</f>
        <v/>
      </c>
      <c r="Q57" s="1460" t="str">
        <f>IF(G57="","",IF('Flächen u. Kulturen'!X55="OK",'#BerechnungDBE'!BA50,"n.b."))</f>
        <v/>
      </c>
      <c r="R57" s="1460" t="str">
        <f>IF(G57="","",'#BerechnungDBE'!BF50)</f>
        <v/>
      </c>
      <c r="S57" s="1468" t="str">
        <f>IF(OR(G57="",AND(D57="",'#BerechnungDBE'!BH50=0)),"",IF('Flächen u. Kulturen'!X55="OK",'#BerechnungDBE'!BH50,"n.b."))</f>
        <v/>
      </c>
      <c r="T57" s="1460" t="str">
        <f>IF(G57="","",IF('Flächen u. Kulturen'!X55="OK",'#BerechnungDBE'!BJ50,"n.b."))</f>
        <v/>
      </c>
      <c r="U57" s="1460" t="str">
        <f>IF(G57="","",IF('Flächen u. Kulturen'!X55="OK",ROUNDDOWN('#BerechnungDBE'!BL50,0),"n.b."))</f>
        <v/>
      </c>
      <c r="V57" s="1456" t="str">
        <f>IF(G57="","",IF('Flächen u. Kulturen'!X55="OK",ROUNDDOWN('#BerechnungDBE'!BL50/27,1),"n.b."))</f>
        <v/>
      </c>
      <c r="W57" s="1461"/>
      <c r="X57" s="1469" t="str">
        <f>IF(E57="","",'#minDung'!P56)</f>
        <v/>
      </c>
      <c r="Y57" s="1461" t="str">
        <f>IF(G57="","",'#Kürzungen'!AQ74)</f>
        <v/>
      </c>
    </row>
    <row r="58" spans="1:25" s="880" customFormat="1" ht="15" customHeight="1" x14ac:dyDescent="0.2">
      <c r="A58" s="1471" t="str">
        <f>IF(E58="","",'Flächen u. Kulturen'!A56)</f>
        <v/>
      </c>
      <c r="B58" s="1273" t="str">
        <f>IF('Flächen u. Kulturen'!C56="","",'Flächen u. Kulturen'!C56)</f>
        <v/>
      </c>
      <c r="C58" s="1273" t="str">
        <f>IF('Flächen u. Kulturen'!B56="","",'Flächen u. Kulturen'!B56)</f>
        <v/>
      </c>
      <c r="D58" s="1452" t="str">
        <f>IF(E58="","",IF('#BerechnungDBE'!S51=1,"x",""))</f>
        <v/>
      </c>
      <c r="E58" s="1472" t="str">
        <f>IF('Flächen u. Kulturen'!D56="","",'Flächen u. Kulturen'!D56)</f>
        <v/>
      </c>
      <c r="F58" s="1255" t="str">
        <f>IF(E58="","",IF('Flächen u. Kulturen'!E56="x",'Flächen u. Kulturen'!P56,"       nicht im Betrieb"))</f>
        <v/>
      </c>
      <c r="G58" s="1272" t="str">
        <f>IF(OR(E58="",'Flächen u. Kulturen'!E56&lt;&gt;"x"),"",IF('#BerechnungDBE'!N51=3,'Flächen u. Kulturen'!R56,'Flächen u. Kulturen'!Q56))</f>
        <v/>
      </c>
      <c r="H58" s="1467" t="str">
        <f>IF(G58="","",'#BerechnungDBE'!AR51)</f>
        <v/>
      </c>
      <c r="I58" s="1272" t="str">
        <f>IF(G58="","",'#BerechnungDBE'!AT51)</f>
        <v/>
      </c>
      <c r="J58" s="1272" t="str">
        <f>IF(G58="","",'#BerechnungDBE'!AU51)</f>
        <v/>
      </c>
      <c r="K58" s="1272" t="str">
        <f>IF(G58="","",'#BerechnungDBE'!AV51)</f>
        <v/>
      </c>
      <c r="L58" s="1272" t="str">
        <f>IF(G58="","",'#BerechnungDBE'!AW51)</f>
        <v/>
      </c>
      <c r="M58" s="1272" t="str">
        <f>IF(G58="","",'#BerechnungDBE'!AS51)</f>
        <v/>
      </c>
      <c r="N58" s="1272" t="str">
        <f>IF(G58="","",'#BerechnungDBE'!AX51)</f>
        <v/>
      </c>
      <c r="O58" s="1272" t="str">
        <f>IF(G58="","",'#BerechnungDBE'!AY51)</f>
        <v/>
      </c>
      <c r="P58" s="1272" t="str">
        <f>IF(G58="","",'#BerechnungDBE'!AZ51)</f>
        <v/>
      </c>
      <c r="Q58" s="1460" t="str">
        <f>IF(G58="","",IF('Flächen u. Kulturen'!X56="OK",'#BerechnungDBE'!BA51,"n.b."))</f>
        <v/>
      </c>
      <c r="R58" s="1460" t="str">
        <f>IF(G58="","",'#BerechnungDBE'!BF51)</f>
        <v/>
      </c>
      <c r="S58" s="1468" t="str">
        <f>IF(OR(G58="",AND(D58="",'#BerechnungDBE'!BH51=0)),"",IF('Flächen u. Kulturen'!X56="OK",'#BerechnungDBE'!BH51,"n.b."))</f>
        <v/>
      </c>
      <c r="T58" s="1460" t="str">
        <f>IF(G58="","",IF('Flächen u. Kulturen'!X56="OK",'#BerechnungDBE'!BJ51,"n.b."))</f>
        <v/>
      </c>
      <c r="U58" s="1460" t="str">
        <f>IF(G58="","",IF('Flächen u. Kulturen'!X56="OK",ROUNDDOWN('#BerechnungDBE'!BL51,0),"n.b."))</f>
        <v/>
      </c>
      <c r="V58" s="1456" t="str">
        <f>IF(G58="","",IF('Flächen u. Kulturen'!X56="OK",ROUNDDOWN('#BerechnungDBE'!BL51/27,1),"n.b."))</f>
        <v/>
      </c>
      <c r="W58" s="1461"/>
      <c r="X58" s="1469" t="str">
        <f>IF(E58="","",'#minDung'!P57)</f>
        <v/>
      </c>
      <c r="Y58" s="1461" t="str">
        <f>IF(G58="","",'#Kürzungen'!AQ75)</f>
        <v/>
      </c>
    </row>
    <row r="59" spans="1:25" s="880" customFormat="1" ht="15" customHeight="1" x14ac:dyDescent="0.2">
      <c r="A59" s="1471" t="str">
        <f>IF(E59="","",'Flächen u. Kulturen'!A57)</f>
        <v/>
      </c>
      <c r="B59" s="1273" t="str">
        <f>IF('Flächen u. Kulturen'!C57="","",'Flächen u. Kulturen'!C57)</f>
        <v/>
      </c>
      <c r="C59" s="1273" t="str">
        <f>IF('Flächen u. Kulturen'!B57="","",'Flächen u. Kulturen'!B57)</f>
        <v/>
      </c>
      <c r="D59" s="1452" t="str">
        <f>IF(E59="","",IF('#BerechnungDBE'!S52=1,"x",""))</f>
        <v/>
      </c>
      <c r="E59" s="1472" t="str">
        <f>IF('Flächen u. Kulturen'!D57="","",'Flächen u. Kulturen'!D57)</f>
        <v/>
      </c>
      <c r="F59" s="1255" t="str">
        <f>IF(E59="","",IF('Flächen u. Kulturen'!E57="x",'Flächen u. Kulturen'!P57,"       nicht im Betrieb"))</f>
        <v/>
      </c>
      <c r="G59" s="1272" t="str">
        <f>IF(OR(E59="",'Flächen u. Kulturen'!E57&lt;&gt;"x"),"",IF('#BerechnungDBE'!N52=3,'Flächen u. Kulturen'!R57,'Flächen u. Kulturen'!Q57))</f>
        <v/>
      </c>
      <c r="H59" s="1467" t="str">
        <f>IF(G59="","",'#BerechnungDBE'!AR52)</f>
        <v/>
      </c>
      <c r="I59" s="1272" t="str">
        <f>IF(G59="","",'#BerechnungDBE'!AT52)</f>
        <v/>
      </c>
      <c r="J59" s="1272" t="str">
        <f>IF(G59="","",'#BerechnungDBE'!AU52)</f>
        <v/>
      </c>
      <c r="K59" s="1272" t="str">
        <f>IF(G59="","",'#BerechnungDBE'!AV52)</f>
        <v/>
      </c>
      <c r="L59" s="1272" t="str">
        <f>IF(G59="","",'#BerechnungDBE'!AW52)</f>
        <v/>
      </c>
      <c r="M59" s="1272" t="str">
        <f>IF(G59="","",'#BerechnungDBE'!AS52)</f>
        <v/>
      </c>
      <c r="N59" s="1272" t="str">
        <f>IF(G59="","",'#BerechnungDBE'!AX52)</f>
        <v/>
      </c>
      <c r="O59" s="1272" t="str">
        <f>IF(G59="","",'#BerechnungDBE'!AY52)</f>
        <v/>
      </c>
      <c r="P59" s="1272" t="str">
        <f>IF(G59="","",'#BerechnungDBE'!AZ52)</f>
        <v/>
      </c>
      <c r="Q59" s="1460" t="str">
        <f>IF(G59="","",IF('Flächen u. Kulturen'!X57="OK",'#BerechnungDBE'!BA52,"n.b."))</f>
        <v/>
      </c>
      <c r="R59" s="1460" t="str">
        <f>IF(G59="","",'#BerechnungDBE'!BF52)</f>
        <v/>
      </c>
      <c r="S59" s="1468" t="str">
        <f>IF(OR(G59="",AND(D59="",'#BerechnungDBE'!BH52=0)),"",IF('Flächen u. Kulturen'!X57="OK",'#BerechnungDBE'!BH52,"n.b."))</f>
        <v/>
      </c>
      <c r="T59" s="1460" t="str">
        <f>IF(G59="","",IF('Flächen u. Kulturen'!X57="OK",'#BerechnungDBE'!BJ52,"n.b."))</f>
        <v/>
      </c>
      <c r="U59" s="1460" t="str">
        <f>IF(G59="","",IF('Flächen u. Kulturen'!X57="OK",ROUNDDOWN('#BerechnungDBE'!BL52,0),"n.b."))</f>
        <v/>
      </c>
      <c r="V59" s="1456" t="str">
        <f>IF(G59="","",IF('Flächen u. Kulturen'!X57="OK",ROUNDDOWN('#BerechnungDBE'!BL52/27,1),"n.b."))</f>
        <v/>
      </c>
      <c r="W59" s="1461"/>
      <c r="X59" s="1469" t="str">
        <f>IF(E59="","",'#minDung'!P58)</f>
        <v/>
      </c>
      <c r="Y59" s="1461" t="str">
        <f>IF(G59="","",'#Kürzungen'!AQ76)</f>
        <v/>
      </c>
    </row>
    <row r="60" spans="1:25" s="880" customFormat="1" ht="15" customHeight="1" x14ac:dyDescent="0.2">
      <c r="A60" s="1471" t="str">
        <f>IF(E60="","",'Flächen u. Kulturen'!A58)</f>
        <v/>
      </c>
      <c r="B60" s="1273" t="str">
        <f>IF('Flächen u. Kulturen'!C58="","",'Flächen u. Kulturen'!C58)</f>
        <v/>
      </c>
      <c r="C60" s="1273" t="str">
        <f>IF('Flächen u. Kulturen'!B58="","",'Flächen u. Kulturen'!B58)</f>
        <v/>
      </c>
      <c r="D60" s="1452" t="str">
        <f>IF(E60="","",IF('#BerechnungDBE'!S53=1,"x",""))</f>
        <v/>
      </c>
      <c r="E60" s="1472" t="str">
        <f>IF('Flächen u. Kulturen'!D58="","",'Flächen u. Kulturen'!D58)</f>
        <v/>
      </c>
      <c r="F60" s="1255" t="str">
        <f>IF(E60="","",IF('Flächen u. Kulturen'!E58="x",'Flächen u. Kulturen'!P58,"       nicht im Betrieb"))</f>
        <v/>
      </c>
      <c r="G60" s="1272" t="str">
        <f>IF(OR(E60="",'Flächen u. Kulturen'!E58&lt;&gt;"x"),"",IF('#BerechnungDBE'!N53=3,'Flächen u. Kulturen'!R58,'Flächen u. Kulturen'!Q58))</f>
        <v/>
      </c>
      <c r="H60" s="1467" t="str">
        <f>IF(G60="","",'#BerechnungDBE'!AR53)</f>
        <v/>
      </c>
      <c r="I60" s="1272" t="str">
        <f>IF(G60="","",'#BerechnungDBE'!AT53)</f>
        <v/>
      </c>
      <c r="J60" s="1272" t="str">
        <f>IF(G60="","",'#BerechnungDBE'!AU53)</f>
        <v/>
      </c>
      <c r="K60" s="1272" t="str">
        <f>IF(G60="","",'#BerechnungDBE'!AV53)</f>
        <v/>
      </c>
      <c r="L60" s="1272" t="str">
        <f>IF(G60="","",'#BerechnungDBE'!AW53)</f>
        <v/>
      </c>
      <c r="M60" s="1272" t="str">
        <f>IF(G60="","",'#BerechnungDBE'!AS53)</f>
        <v/>
      </c>
      <c r="N60" s="1272" t="str">
        <f>IF(G60="","",'#BerechnungDBE'!AX53)</f>
        <v/>
      </c>
      <c r="O60" s="1272" t="str">
        <f>IF(G60="","",'#BerechnungDBE'!AY53)</f>
        <v/>
      </c>
      <c r="P60" s="1272" t="str">
        <f>IF(G60="","",'#BerechnungDBE'!AZ53)</f>
        <v/>
      </c>
      <c r="Q60" s="1460" t="str">
        <f>IF(G60="","",IF('Flächen u. Kulturen'!X58="OK",'#BerechnungDBE'!BA53,"n.b."))</f>
        <v/>
      </c>
      <c r="R60" s="1460" t="str">
        <f>IF(G60="","",'#BerechnungDBE'!BF53)</f>
        <v/>
      </c>
      <c r="S60" s="1468" t="str">
        <f>IF(OR(G60="",AND(D60="",'#BerechnungDBE'!BH53=0)),"",IF('Flächen u. Kulturen'!X58="OK",'#BerechnungDBE'!BH53,"n.b."))</f>
        <v/>
      </c>
      <c r="T60" s="1460" t="str">
        <f>IF(G60="","",IF('Flächen u. Kulturen'!X58="OK",'#BerechnungDBE'!BJ53,"n.b."))</f>
        <v/>
      </c>
      <c r="U60" s="1460" t="str">
        <f>IF(G60="","",IF('Flächen u. Kulturen'!X58="OK",ROUNDDOWN('#BerechnungDBE'!BL53,0),"n.b."))</f>
        <v/>
      </c>
      <c r="V60" s="1456" t="str">
        <f>IF(G60="","",IF('Flächen u. Kulturen'!X58="OK",ROUNDDOWN('#BerechnungDBE'!BL53/27,1),"n.b."))</f>
        <v/>
      </c>
      <c r="W60" s="1461"/>
      <c r="X60" s="1469" t="str">
        <f>IF(E60="","",'#minDung'!P59)</f>
        <v/>
      </c>
      <c r="Y60" s="1461" t="str">
        <f>IF(G60="","",'#Kürzungen'!AQ77)</f>
        <v/>
      </c>
    </row>
    <row r="61" spans="1:25" s="880" customFormat="1" ht="15" customHeight="1" x14ac:dyDescent="0.2">
      <c r="A61" s="1471" t="str">
        <f>IF(E61="","",'Flächen u. Kulturen'!A59)</f>
        <v/>
      </c>
      <c r="B61" s="1273" t="str">
        <f>IF('Flächen u. Kulturen'!C59="","",'Flächen u. Kulturen'!C59)</f>
        <v/>
      </c>
      <c r="C61" s="1273" t="str">
        <f>IF('Flächen u. Kulturen'!B59="","",'Flächen u. Kulturen'!B59)</f>
        <v/>
      </c>
      <c r="D61" s="1452" t="str">
        <f>IF(E61="","",IF('#BerechnungDBE'!S54=1,"x",""))</f>
        <v/>
      </c>
      <c r="E61" s="1472" t="str">
        <f>IF('Flächen u. Kulturen'!D59="","",'Flächen u. Kulturen'!D59)</f>
        <v/>
      </c>
      <c r="F61" s="1255" t="str">
        <f>IF(E61="","",IF('Flächen u. Kulturen'!E59="x",'Flächen u. Kulturen'!P59,"       nicht im Betrieb"))</f>
        <v/>
      </c>
      <c r="G61" s="1272" t="str">
        <f>IF(OR(E61="",'Flächen u. Kulturen'!E59&lt;&gt;"x"),"",IF('#BerechnungDBE'!N54=3,'Flächen u. Kulturen'!R59,'Flächen u. Kulturen'!Q59))</f>
        <v/>
      </c>
      <c r="H61" s="1467" t="str">
        <f>IF(G61="","",'#BerechnungDBE'!AR54)</f>
        <v/>
      </c>
      <c r="I61" s="1272" t="str">
        <f>IF(G61="","",'#BerechnungDBE'!AT54)</f>
        <v/>
      </c>
      <c r="J61" s="1272" t="str">
        <f>IF(G61="","",'#BerechnungDBE'!AU54)</f>
        <v/>
      </c>
      <c r="K61" s="1272" t="str">
        <f>IF(G61="","",'#BerechnungDBE'!AV54)</f>
        <v/>
      </c>
      <c r="L61" s="1272" t="str">
        <f>IF(G61="","",'#BerechnungDBE'!AW54)</f>
        <v/>
      </c>
      <c r="M61" s="1272" t="str">
        <f>IF(G61="","",'#BerechnungDBE'!AS54)</f>
        <v/>
      </c>
      <c r="N61" s="1272" t="str">
        <f>IF(G61="","",'#BerechnungDBE'!AX54)</f>
        <v/>
      </c>
      <c r="O61" s="1272" t="str">
        <f>IF(G61="","",'#BerechnungDBE'!AY54)</f>
        <v/>
      </c>
      <c r="P61" s="1272" t="str">
        <f>IF(G61="","",'#BerechnungDBE'!AZ54)</f>
        <v/>
      </c>
      <c r="Q61" s="1460" t="str">
        <f>IF(G61="","",IF('Flächen u. Kulturen'!X59="OK",'#BerechnungDBE'!BA54,"n.b."))</f>
        <v/>
      </c>
      <c r="R61" s="1460" t="str">
        <f>IF(G61="","",'#BerechnungDBE'!BF54)</f>
        <v/>
      </c>
      <c r="S61" s="1468" t="str">
        <f>IF(OR(G61="",AND(D61="",'#BerechnungDBE'!BH54=0)),"",IF('Flächen u. Kulturen'!X59="OK",'#BerechnungDBE'!BH54,"n.b."))</f>
        <v/>
      </c>
      <c r="T61" s="1460" t="str">
        <f>IF(G61="","",IF('Flächen u. Kulturen'!X59="OK",'#BerechnungDBE'!BJ54,"n.b."))</f>
        <v/>
      </c>
      <c r="U61" s="1460" t="str">
        <f>IF(G61="","",IF('Flächen u. Kulturen'!X59="OK",ROUNDDOWN('#BerechnungDBE'!BL54,0),"n.b."))</f>
        <v/>
      </c>
      <c r="V61" s="1456" t="str">
        <f>IF(G61="","",IF('Flächen u. Kulturen'!X59="OK",ROUNDDOWN('#BerechnungDBE'!BL54/27,1),"n.b."))</f>
        <v/>
      </c>
      <c r="W61" s="1461"/>
      <c r="X61" s="1469" t="str">
        <f>IF(E61="","",'#minDung'!P60)</f>
        <v/>
      </c>
      <c r="Y61" s="1461" t="str">
        <f>IF(G61="","",'#Kürzungen'!AQ78)</f>
        <v/>
      </c>
    </row>
    <row r="62" spans="1:25" s="880" customFormat="1" ht="15" customHeight="1" x14ac:dyDescent="0.2">
      <c r="A62" s="1471" t="str">
        <f>IF(E62="","",'Flächen u. Kulturen'!A60)</f>
        <v/>
      </c>
      <c r="B62" s="1273" t="str">
        <f>IF('Flächen u. Kulturen'!C60="","",'Flächen u. Kulturen'!C60)</f>
        <v/>
      </c>
      <c r="C62" s="1273" t="str">
        <f>IF('Flächen u. Kulturen'!B60="","",'Flächen u. Kulturen'!B60)</f>
        <v/>
      </c>
      <c r="D62" s="1452" t="str">
        <f>IF(E62="","",IF('#BerechnungDBE'!S55=1,"x",""))</f>
        <v/>
      </c>
      <c r="E62" s="1472" t="str">
        <f>IF('Flächen u. Kulturen'!D60="","",'Flächen u. Kulturen'!D60)</f>
        <v/>
      </c>
      <c r="F62" s="1255" t="str">
        <f>IF(E62="","",IF('Flächen u. Kulturen'!E60="x",'Flächen u. Kulturen'!P60,"       nicht im Betrieb"))</f>
        <v/>
      </c>
      <c r="G62" s="1272" t="str">
        <f>IF(OR(E62="",'Flächen u. Kulturen'!E60&lt;&gt;"x"),"",IF('#BerechnungDBE'!N55=3,'Flächen u. Kulturen'!R60,'Flächen u. Kulturen'!Q60))</f>
        <v/>
      </c>
      <c r="H62" s="1467" t="str">
        <f>IF(G62="","",'#BerechnungDBE'!AR55)</f>
        <v/>
      </c>
      <c r="I62" s="1272" t="str">
        <f>IF(G62="","",'#BerechnungDBE'!AT55)</f>
        <v/>
      </c>
      <c r="J62" s="1272" t="str">
        <f>IF(G62="","",'#BerechnungDBE'!AU55)</f>
        <v/>
      </c>
      <c r="K62" s="1272" t="str">
        <f>IF(G62="","",'#BerechnungDBE'!AV55)</f>
        <v/>
      </c>
      <c r="L62" s="1272" t="str">
        <f>IF(G62="","",'#BerechnungDBE'!AW55)</f>
        <v/>
      </c>
      <c r="M62" s="1272" t="str">
        <f>IF(G62="","",'#BerechnungDBE'!AS55)</f>
        <v/>
      </c>
      <c r="N62" s="1272" t="str">
        <f>IF(G62="","",'#BerechnungDBE'!AX55)</f>
        <v/>
      </c>
      <c r="O62" s="1272" t="str">
        <f>IF(G62="","",'#BerechnungDBE'!AY55)</f>
        <v/>
      </c>
      <c r="P62" s="1272" t="str">
        <f>IF(G62="","",'#BerechnungDBE'!AZ55)</f>
        <v/>
      </c>
      <c r="Q62" s="1460" t="str">
        <f>IF(G62="","",IF('Flächen u. Kulturen'!X60="OK",'#BerechnungDBE'!BA55,"n.b."))</f>
        <v/>
      </c>
      <c r="R62" s="1460" t="str">
        <f>IF(G62="","",'#BerechnungDBE'!BF55)</f>
        <v/>
      </c>
      <c r="S62" s="1468" t="str">
        <f>IF(OR(G62="",AND(D62="",'#BerechnungDBE'!BH55=0)),"",IF('Flächen u. Kulturen'!X60="OK",'#BerechnungDBE'!BH55,"n.b."))</f>
        <v/>
      </c>
      <c r="T62" s="1460" t="str">
        <f>IF(G62="","",IF('Flächen u. Kulturen'!X60="OK",'#BerechnungDBE'!BJ55,"n.b."))</f>
        <v/>
      </c>
      <c r="U62" s="1460" t="str">
        <f>IF(G62="","",IF('Flächen u. Kulturen'!X60="OK",ROUNDDOWN('#BerechnungDBE'!BL55,0),"n.b."))</f>
        <v/>
      </c>
      <c r="V62" s="1456" t="str">
        <f>IF(G62="","",IF('Flächen u. Kulturen'!X60="OK",ROUNDDOWN('#BerechnungDBE'!BL55/27,1),"n.b."))</f>
        <v/>
      </c>
      <c r="W62" s="1461"/>
      <c r="X62" s="1469" t="str">
        <f>IF(E62="","",'#minDung'!P61)</f>
        <v/>
      </c>
      <c r="Y62" s="1461" t="str">
        <f>IF(G62="","",'#Kürzungen'!AQ79)</f>
        <v/>
      </c>
    </row>
    <row r="63" spans="1:25" s="880" customFormat="1" ht="15" customHeight="1" x14ac:dyDescent="0.2">
      <c r="A63" s="1471" t="str">
        <f>IF(E63="","",'Flächen u. Kulturen'!A61)</f>
        <v/>
      </c>
      <c r="B63" s="1273" t="str">
        <f>IF('Flächen u. Kulturen'!C61="","",'Flächen u. Kulturen'!C61)</f>
        <v/>
      </c>
      <c r="C63" s="1273" t="str">
        <f>IF('Flächen u. Kulturen'!B61="","",'Flächen u. Kulturen'!B61)</f>
        <v/>
      </c>
      <c r="D63" s="1452" t="str">
        <f>IF(E63="","",IF('#BerechnungDBE'!S56=1,"x",""))</f>
        <v/>
      </c>
      <c r="E63" s="1472" t="str">
        <f>IF('Flächen u. Kulturen'!D61="","",'Flächen u. Kulturen'!D61)</f>
        <v/>
      </c>
      <c r="F63" s="1255" t="str">
        <f>IF(E63="","",IF('Flächen u. Kulturen'!E61="x",'Flächen u. Kulturen'!P61,"       nicht im Betrieb"))</f>
        <v/>
      </c>
      <c r="G63" s="1272" t="str">
        <f>IF(OR(E63="",'Flächen u. Kulturen'!E61&lt;&gt;"x"),"",IF('#BerechnungDBE'!N56=3,'Flächen u. Kulturen'!R61,'Flächen u. Kulturen'!Q61))</f>
        <v/>
      </c>
      <c r="H63" s="1467" t="str">
        <f>IF(G63="","",'#BerechnungDBE'!AR56)</f>
        <v/>
      </c>
      <c r="I63" s="1272" t="str">
        <f>IF(G63="","",'#BerechnungDBE'!AT56)</f>
        <v/>
      </c>
      <c r="J63" s="1272" t="str">
        <f>IF(G63="","",'#BerechnungDBE'!AU56)</f>
        <v/>
      </c>
      <c r="K63" s="1272" t="str">
        <f>IF(G63="","",'#BerechnungDBE'!AV56)</f>
        <v/>
      </c>
      <c r="L63" s="1272" t="str">
        <f>IF(G63="","",'#BerechnungDBE'!AW56)</f>
        <v/>
      </c>
      <c r="M63" s="1272" t="str">
        <f>IF(G63="","",'#BerechnungDBE'!AS56)</f>
        <v/>
      </c>
      <c r="N63" s="1272" t="str">
        <f>IF(G63="","",'#BerechnungDBE'!AX56)</f>
        <v/>
      </c>
      <c r="O63" s="1272" t="str">
        <f>IF(G63="","",'#BerechnungDBE'!AY56)</f>
        <v/>
      </c>
      <c r="P63" s="1272" t="str">
        <f>IF(G63="","",'#BerechnungDBE'!AZ56)</f>
        <v/>
      </c>
      <c r="Q63" s="1460" t="str">
        <f>IF(G63="","",IF('Flächen u. Kulturen'!X61="OK",'#BerechnungDBE'!BA56,"n.b."))</f>
        <v/>
      </c>
      <c r="R63" s="1460" t="str">
        <f>IF(G63="","",'#BerechnungDBE'!BF56)</f>
        <v/>
      </c>
      <c r="S63" s="1468" t="str">
        <f>IF(OR(G63="",AND(D63="",'#BerechnungDBE'!BH56=0)),"",IF('Flächen u. Kulturen'!X61="OK",'#BerechnungDBE'!BH56,"n.b."))</f>
        <v/>
      </c>
      <c r="T63" s="1460" t="str">
        <f>IF(G63="","",IF('Flächen u. Kulturen'!X61="OK",'#BerechnungDBE'!BJ56,"n.b."))</f>
        <v/>
      </c>
      <c r="U63" s="1460" t="str">
        <f>IF(G63="","",IF('Flächen u. Kulturen'!X61="OK",ROUNDDOWN('#BerechnungDBE'!BL56,0),"n.b."))</f>
        <v/>
      </c>
      <c r="V63" s="1456" t="str">
        <f>IF(G63="","",IF('Flächen u. Kulturen'!X61="OK",ROUNDDOWN('#BerechnungDBE'!BL56/27,1),"n.b."))</f>
        <v/>
      </c>
      <c r="W63" s="1461"/>
      <c r="X63" s="1469" t="str">
        <f>IF(E63="","",'#minDung'!P62)</f>
        <v/>
      </c>
      <c r="Y63" s="1461" t="str">
        <f>IF(G63="","",'#Kürzungen'!AQ80)</f>
        <v/>
      </c>
    </row>
    <row r="64" spans="1:25" s="880" customFormat="1" ht="15" customHeight="1" x14ac:dyDescent="0.2">
      <c r="A64" s="1471" t="str">
        <f>IF(E64="","",'Flächen u. Kulturen'!A62)</f>
        <v/>
      </c>
      <c r="B64" s="1273" t="str">
        <f>IF('Flächen u. Kulturen'!C62="","",'Flächen u. Kulturen'!C62)</f>
        <v/>
      </c>
      <c r="C64" s="1273" t="str">
        <f>IF('Flächen u. Kulturen'!B62="","",'Flächen u. Kulturen'!B62)</f>
        <v/>
      </c>
      <c r="D64" s="1452" t="str">
        <f>IF(E64="","",IF('#BerechnungDBE'!S57=1,"x",""))</f>
        <v/>
      </c>
      <c r="E64" s="1472" t="str">
        <f>IF('Flächen u. Kulturen'!D62="","",'Flächen u. Kulturen'!D62)</f>
        <v/>
      </c>
      <c r="F64" s="1255" t="str">
        <f>IF(E64="","",IF('Flächen u. Kulturen'!E62="x",'Flächen u. Kulturen'!P62,"       nicht im Betrieb"))</f>
        <v/>
      </c>
      <c r="G64" s="1272" t="str">
        <f>IF(OR(E64="",'Flächen u. Kulturen'!E62&lt;&gt;"x"),"",IF('#BerechnungDBE'!N57=3,'Flächen u. Kulturen'!R62,'Flächen u. Kulturen'!Q62))</f>
        <v/>
      </c>
      <c r="H64" s="1467" t="str">
        <f>IF(G64="","",'#BerechnungDBE'!AR57)</f>
        <v/>
      </c>
      <c r="I64" s="1272" t="str">
        <f>IF(G64="","",'#BerechnungDBE'!AT57)</f>
        <v/>
      </c>
      <c r="J64" s="1272" t="str">
        <f>IF(G64="","",'#BerechnungDBE'!AU57)</f>
        <v/>
      </c>
      <c r="K64" s="1272" t="str">
        <f>IF(G64="","",'#BerechnungDBE'!AV57)</f>
        <v/>
      </c>
      <c r="L64" s="1272" t="str">
        <f>IF(G64="","",'#BerechnungDBE'!AW57)</f>
        <v/>
      </c>
      <c r="M64" s="1272" t="str">
        <f>IF(G64="","",'#BerechnungDBE'!AS57)</f>
        <v/>
      </c>
      <c r="N64" s="1272" t="str">
        <f>IF(G64="","",'#BerechnungDBE'!AX57)</f>
        <v/>
      </c>
      <c r="O64" s="1272" t="str">
        <f>IF(G64="","",'#BerechnungDBE'!AY57)</f>
        <v/>
      </c>
      <c r="P64" s="1272" t="str">
        <f>IF(G64="","",'#BerechnungDBE'!AZ57)</f>
        <v/>
      </c>
      <c r="Q64" s="1460" t="str">
        <f>IF(G64="","",IF('Flächen u. Kulturen'!X62="OK",'#BerechnungDBE'!BA57,"n.b."))</f>
        <v/>
      </c>
      <c r="R64" s="1460" t="str">
        <f>IF(G64="","",'#BerechnungDBE'!BF57)</f>
        <v/>
      </c>
      <c r="S64" s="1468" t="str">
        <f>IF(OR(G64="",AND(D64="",'#BerechnungDBE'!BH57=0)),"",IF('Flächen u. Kulturen'!X62="OK",'#BerechnungDBE'!BH57,"n.b."))</f>
        <v/>
      </c>
      <c r="T64" s="1460" t="str">
        <f>IF(G64="","",IF('Flächen u. Kulturen'!X62="OK",'#BerechnungDBE'!BJ57,"n.b."))</f>
        <v/>
      </c>
      <c r="U64" s="1460" t="str">
        <f>IF(G64="","",IF('Flächen u. Kulturen'!X62="OK",ROUNDDOWN('#BerechnungDBE'!BL57,0),"n.b."))</f>
        <v/>
      </c>
      <c r="V64" s="1456" t="str">
        <f>IF(G64="","",IF('Flächen u. Kulturen'!X62="OK",ROUNDDOWN('#BerechnungDBE'!BL57/27,1),"n.b."))</f>
        <v/>
      </c>
      <c r="W64" s="1461"/>
      <c r="X64" s="1469" t="str">
        <f>IF(E64="","",'#minDung'!P63)</f>
        <v/>
      </c>
      <c r="Y64" s="1461" t="str">
        <f>IF(G64="","",'#Kürzungen'!AQ81)</f>
        <v/>
      </c>
    </row>
    <row r="65" spans="1:25" s="880" customFormat="1" ht="15" customHeight="1" x14ac:dyDescent="0.2">
      <c r="A65" s="1471" t="str">
        <f>IF(E65="","",'Flächen u. Kulturen'!A63)</f>
        <v/>
      </c>
      <c r="B65" s="1273" t="str">
        <f>IF('Flächen u. Kulturen'!C63="","",'Flächen u. Kulturen'!C63)</f>
        <v/>
      </c>
      <c r="C65" s="1273" t="str">
        <f>IF('Flächen u. Kulturen'!B63="","",'Flächen u. Kulturen'!B63)</f>
        <v/>
      </c>
      <c r="D65" s="1452" t="str">
        <f>IF(E65="","",IF('#BerechnungDBE'!S58=1,"x",""))</f>
        <v/>
      </c>
      <c r="E65" s="1472" t="str">
        <f>IF('Flächen u. Kulturen'!D63="","",'Flächen u. Kulturen'!D63)</f>
        <v/>
      </c>
      <c r="F65" s="1255" t="str">
        <f>IF(E65="","",IF('Flächen u. Kulturen'!E63="x",'Flächen u. Kulturen'!P63,"       nicht im Betrieb"))</f>
        <v/>
      </c>
      <c r="G65" s="1272" t="str">
        <f>IF(OR(E65="",'Flächen u. Kulturen'!E63&lt;&gt;"x"),"",IF('#BerechnungDBE'!N58=3,'Flächen u. Kulturen'!R63,'Flächen u. Kulturen'!Q63))</f>
        <v/>
      </c>
      <c r="H65" s="1467" t="str">
        <f>IF(G65="","",'#BerechnungDBE'!AR58)</f>
        <v/>
      </c>
      <c r="I65" s="1272" t="str">
        <f>IF(G65="","",'#BerechnungDBE'!AT58)</f>
        <v/>
      </c>
      <c r="J65" s="1272" t="str">
        <f>IF(G65="","",'#BerechnungDBE'!AU58)</f>
        <v/>
      </c>
      <c r="K65" s="1272" t="str">
        <f>IF(G65="","",'#BerechnungDBE'!AV58)</f>
        <v/>
      </c>
      <c r="L65" s="1272" t="str">
        <f>IF(G65="","",'#BerechnungDBE'!AW58)</f>
        <v/>
      </c>
      <c r="M65" s="1272" t="str">
        <f>IF(G65="","",'#BerechnungDBE'!AS58)</f>
        <v/>
      </c>
      <c r="N65" s="1272" t="str">
        <f>IF(G65="","",'#BerechnungDBE'!AX58)</f>
        <v/>
      </c>
      <c r="O65" s="1272" t="str">
        <f>IF(G65="","",'#BerechnungDBE'!AY58)</f>
        <v/>
      </c>
      <c r="P65" s="1272" t="str">
        <f>IF(G65="","",'#BerechnungDBE'!AZ58)</f>
        <v/>
      </c>
      <c r="Q65" s="1460" t="str">
        <f>IF(G65="","",IF('Flächen u. Kulturen'!X63="OK",'#BerechnungDBE'!BA58,"n.b."))</f>
        <v/>
      </c>
      <c r="R65" s="1460" t="str">
        <f>IF(G65="","",'#BerechnungDBE'!BF58)</f>
        <v/>
      </c>
      <c r="S65" s="1468" t="str">
        <f>IF(OR(G65="",AND(D65="",'#BerechnungDBE'!BH58=0)),"",IF('Flächen u. Kulturen'!X63="OK",'#BerechnungDBE'!BH58,"n.b."))</f>
        <v/>
      </c>
      <c r="T65" s="1460" t="str">
        <f>IF(G65="","",IF('Flächen u. Kulturen'!X63="OK",'#BerechnungDBE'!BJ58,"n.b."))</f>
        <v/>
      </c>
      <c r="U65" s="1460" t="str">
        <f>IF(G65="","",IF('Flächen u. Kulturen'!X63="OK",ROUNDDOWN('#BerechnungDBE'!BL58,0),"n.b."))</f>
        <v/>
      </c>
      <c r="V65" s="1456" t="str">
        <f>IF(G65="","",IF('Flächen u. Kulturen'!X63="OK",ROUNDDOWN('#BerechnungDBE'!BL58/27,1),"n.b."))</f>
        <v/>
      </c>
      <c r="W65" s="1461"/>
      <c r="X65" s="1469" t="str">
        <f>IF(E65="","",'#minDung'!P64)</f>
        <v/>
      </c>
      <c r="Y65" s="1461" t="str">
        <f>IF(G65="","",'#Kürzungen'!AQ82)</f>
        <v/>
      </c>
    </row>
    <row r="66" spans="1:25" s="880" customFormat="1" ht="15" customHeight="1" x14ac:dyDescent="0.2">
      <c r="A66" s="1471" t="str">
        <f>IF(E66="","",'Flächen u. Kulturen'!A64)</f>
        <v/>
      </c>
      <c r="B66" s="1273" t="str">
        <f>IF('Flächen u. Kulturen'!C64="","",'Flächen u. Kulturen'!C64)</f>
        <v/>
      </c>
      <c r="C66" s="1273" t="str">
        <f>IF('Flächen u. Kulturen'!B64="","",'Flächen u. Kulturen'!B64)</f>
        <v/>
      </c>
      <c r="D66" s="1452" t="str">
        <f>IF(E66="","",IF('#BerechnungDBE'!S59=1,"x",""))</f>
        <v/>
      </c>
      <c r="E66" s="1472" t="str">
        <f>IF('Flächen u. Kulturen'!D64="","",'Flächen u. Kulturen'!D64)</f>
        <v/>
      </c>
      <c r="F66" s="1255" t="str">
        <f>IF(E66="","",IF('Flächen u. Kulturen'!E64="x",'Flächen u. Kulturen'!P64,"       nicht im Betrieb"))</f>
        <v/>
      </c>
      <c r="G66" s="1272" t="str">
        <f>IF(OR(E66="",'Flächen u. Kulturen'!E64&lt;&gt;"x"),"",IF('#BerechnungDBE'!N59=3,'Flächen u. Kulturen'!R64,'Flächen u. Kulturen'!Q64))</f>
        <v/>
      </c>
      <c r="H66" s="1467" t="str">
        <f>IF(G66="","",'#BerechnungDBE'!AR59)</f>
        <v/>
      </c>
      <c r="I66" s="1272" t="str">
        <f>IF(G66="","",'#BerechnungDBE'!AT59)</f>
        <v/>
      </c>
      <c r="J66" s="1272" t="str">
        <f>IF(G66="","",'#BerechnungDBE'!AU59)</f>
        <v/>
      </c>
      <c r="K66" s="1272" t="str">
        <f>IF(G66="","",'#BerechnungDBE'!AV59)</f>
        <v/>
      </c>
      <c r="L66" s="1272" t="str">
        <f>IF(G66="","",'#BerechnungDBE'!AW59)</f>
        <v/>
      </c>
      <c r="M66" s="1272" t="str">
        <f>IF(G66="","",'#BerechnungDBE'!AS59)</f>
        <v/>
      </c>
      <c r="N66" s="1272" t="str">
        <f>IF(G66="","",'#BerechnungDBE'!AX59)</f>
        <v/>
      </c>
      <c r="O66" s="1272" t="str">
        <f>IF(G66="","",'#BerechnungDBE'!AY59)</f>
        <v/>
      </c>
      <c r="P66" s="1272" t="str">
        <f>IF(G66="","",'#BerechnungDBE'!AZ59)</f>
        <v/>
      </c>
      <c r="Q66" s="1460" t="str">
        <f>IF(G66="","",IF('Flächen u. Kulturen'!X64="OK",'#BerechnungDBE'!BA59,"n.b."))</f>
        <v/>
      </c>
      <c r="R66" s="1460" t="str">
        <f>IF(G66="","",'#BerechnungDBE'!BF59)</f>
        <v/>
      </c>
      <c r="S66" s="1468" t="str">
        <f>IF(OR(G66="",AND(D66="",'#BerechnungDBE'!BH59=0)),"",IF('Flächen u. Kulturen'!X64="OK",'#BerechnungDBE'!BH59,"n.b."))</f>
        <v/>
      </c>
      <c r="T66" s="1460" t="str">
        <f>IF(G66="","",IF('Flächen u. Kulturen'!X64="OK",'#BerechnungDBE'!BJ59,"n.b."))</f>
        <v/>
      </c>
      <c r="U66" s="1460" t="str">
        <f>IF(G66="","",IF('Flächen u. Kulturen'!X64="OK",ROUNDDOWN('#BerechnungDBE'!BL59,0),"n.b."))</f>
        <v/>
      </c>
      <c r="V66" s="1456" t="str">
        <f>IF(G66="","",IF('Flächen u. Kulturen'!X64="OK",ROUNDDOWN('#BerechnungDBE'!BL59/27,1),"n.b."))</f>
        <v/>
      </c>
      <c r="W66" s="1461"/>
      <c r="X66" s="1469" t="str">
        <f>IF(E66="","",'#minDung'!P65)</f>
        <v/>
      </c>
      <c r="Y66" s="1461" t="str">
        <f>IF(G66="","",'#Kürzungen'!AQ83)</f>
        <v/>
      </c>
    </row>
    <row r="67" spans="1:25" s="880" customFormat="1" ht="15" customHeight="1" x14ac:dyDescent="0.2">
      <c r="A67" s="1471" t="str">
        <f>IF(E67="","",'Flächen u. Kulturen'!A65)</f>
        <v/>
      </c>
      <c r="B67" s="1273" t="str">
        <f>IF('Flächen u. Kulturen'!C65="","",'Flächen u. Kulturen'!C65)</f>
        <v/>
      </c>
      <c r="C67" s="1273" t="str">
        <f>IF('Flächen u. Kulturen'!B65="","",'Flächen u. Kulturen'!B65)</f>
        <v/>
      </c>
      <c r="D67" s="1452" t="str">
        <f>IF(E67="","",IF('#BerechnungDBE'!S60=1,"x",""))</f>
        <v/>
      </c>
      <c r="E67" s="1472" t="str">
        <f>IF('Flächen u. Kulturen'!D65="","",'Flächen u. Kulturen'!D65)</f>
        <v/>
      </c>
      <c r="F67" s="1255" t="str">
        <f>IF(E67="","",IF('Flächen u. Kulturen'!E65="x",'Flächen u. Kulturen'!P65,"       nicht im Betrieb"))</f>
        <v/>
      </c>
      <c r="G67" s="1272" t="str">
        <f>IF(OR(E67="",'Flächen u. Kulturen'!E65&lt;&gt;"x"),"",IF('#BerechnungDBE'!N60=3,'Flächen u. Kulturen'!R65,'Flächen u. Kulturen'!Q65))</f>
        <v/>
      </c>
      <c r="H67" s="1467" t="str">
        <f>IF(G67="","",'#BerechnungDBE'!AR60)</f>
        <v/>
      </c>
      <c r="I67" s="1272" t="str">
        <f>IF(G67="","",'#BerechnungDBE'!AT60)</f>
        <v/>
      </c>
      <c r="J67" s="1272" t="str">
        <f>IF(G67="","",'#BerechnungDBE'!AU60)</f>
        <v/>
      </c>
      <c r="K67" s="1272" t="str">
        <f>IF(G67="","",'#BerechnungDBE'!AV60)</f>
        <v/>
      </c>
      <c r="L67" s="1272" t="str">
        <f>IF(G67="","",'#BerechnungDBE'!AW60)</f>
        <v/>
      </c>
      <c r="M67" s="1272" t="str">
        <f>IF(G67="","",'#BerechnungDBE'!AS60)</f>
        <v/>
      </c>
      <c r="N67" s="1272" t="str">
        <f>IF(G67="","",'#BerechnungDBE'!AX60)</f>
        <v/>
      </c>
      <c r="O67" s="1272" t="str">
        <f>IF(G67="","",'#BerechnungDBE'!AY60)</f>
        <v/>
      </c>
      <c r="P67" s="1272" t="str">
        <f>IF(G67="","",'#BerechnungDBE'!AZ60)</f>
        <v/>
      </c>
      <c r="Q67" s="1460" t="str">
        <f>IF(G67="","",IF('Flächen u. Kulturen'!X65="OK",'#BerechnungDBE'!BA60,"n.b."))</f>
        <v/>
      </c>
      <c r="R67" s="1460" t="str">
        <f>IF(G67="","",'#BerechnungDBE'!BF60)</f>
        <v/>
      </c>
      <c r="S67" s="1468" t="str">
        <f>IF(OR(G67="",AND(D67="",'#BerechnungDBE'!BH60=0)),"",IF('Flächen u. Kulturen'!X65="OK",'#BerechnungDBE'!BH60,"n.b."))</f>
        <v/>
      </c>
      <c r="T67" s="1460" t="str">
        <f>IF(G67="","",IF('Flächen u. Kulturen'!X65="OK",'#BerechnungDBE'!BJ60,"n.b."))</f>
        <v/>
      </c>
      <c r="U67" s="1460" t="str">
        <f>IF(G67="","",IF('Flächen u. Kulturen'!X65="OK",ROUNDDOWN('#BerechnungDBE'!BL60,0),"n.b."))</f>
        <v/>
      </c>
      <c r="V67" s="1456" t="str">
        <f>IF(G67="","",IF('Flächen u. Kulturen'!X65="OK",ROUNDDOWN('#BerechnungDBE'!BL60/27,1),"n.b."))</f>
        <v/>
      </c>
      <c r="W67" s="1461"/>
      <c r="X67" s="1469" t="str">
        <f>IF(E67="","",'#minDung'!P66)</f>
        <v/>
      </c>
      <c r="Y67" s="1461" t="str">
        <f>IF(G67="","",'#Kürzungen'!AQ84)</f>
        <v/>
      </c>
    </row>
    <row r="68" spans="1:25" s="880" customFormat="1" ht="15" customHeight="1" x14ac:dyDescent="0.2">
      <c r="A68" s="1471" t="str">
        <f>IF(E68="","",'Flächen u. Kulturen'!A66)</f>
        <v/>
      </c>
      <c r="B68" s="1273" t="str">
        <f>IF('Flächen u. Kulturen'!C66="","",'Flächen u. Kulturen'!C66)</f>
        <v/>
      </c>
      <c r="C68" s="1273" t="str">
        <f>IF('Flächen u. Kulturen'!B66="","",'Flächen u. Kulturen'!B66)</f>
        <v/>
      </c>
      <c r="D68" s="1452" t="str">
        <f>IF(E68="","",IF('#BerechnungDBE'!S61=1,"x",""))</f>
        <v/>
      </c>
      <c r="E68" s="1472" t="str">
        <f>IF('Flächen u. Kulturen'!D66="","",'Flächen u. Kulturen'!D66)</f>
        <v/>
      </c>
      <c r="F68" s="1255" t="str">
        <f>IF(E68="","",IF('Flächen u. Kulturen'!E66="x",'Flächen u. Kulturen'!P66,"       nicht im Betrieb"))</f>
        <v/>
      </c>
      <c r="G68" s="1272" t="str">
        <f>IF(OR(E68="",'Flächen u. Kulturen'!E66&lt;&gt;"x"),"",IF('#BerechnungDBE'!N61=3,'Flächen u. Kulturen'!R66,'Flächen u. Kulturen'!Q66))</f>
        <v/>
      </c>
      <c r="H68" s="1467" t="str">
        <f>IF(G68="","",'#BerechnungDBE'!AR61)</f>
        <v/>
      </c>
      <c r="I68" s="1272" t="str">
        <f>IF(G68="","",'#BerechnungDBE'!AT61)</f>
        <v/>
      </c>
      <c r="J68" s="1272" t="str">
        <f>IF(G68="","",'#BerechnungDBE'!AU61)</f>
        <v/>
      </c>
      <c r="K68" s="1272" t="str">
        <f>IF(G68="","",'#BerechnungDBE'!AV61)</f>
        <v/>
      </c>
      <c r="L68" s="1272" t="str">
        <f>IF(G68="","",'#BerechnungDBE'!AW61)</f>
        <v/>
      </c>
      <c r="M68" s="1272" t="str">
        <f>IF(G68="","",'#BerechnungDBE'!AS61)</f>
        <v/>
      </c>
      <c r="N68" s="1272" t="str">
        <f>IF(G68="","",'#BerechnungDBE'!AX61)</f>
        <v/>
      </c>
      <c r="O68" s="1272" t="str">
        <f>IF(G68="","",'#BerechnungDBE'!AY61)</f>
        <v/>
      </c>
      <c r="P68" s="1272" t="str">
        <f>IF(G68="","",'#BerechnungDBE'!AZ61)</f>
        <v/>
      </c>
      <c r="Q68" s="1460" t="str">
        <f>IF(G68="","",IF('Flächen u. Kulturen'!X66="OK",'#BerechnungDBE'!BA61,"n.b."))</f>
        <v/>
      </c>
      <c r="R68" s="1460" t="str">
        <f>IF(G68="","",'#BerechnungDBE'!BF61)</f>
        <v/>
      </c>
      <c r="S68" s="1468" t="str">
        <f>IF(OR(G68="",AND(D68="",'#BerechnungDBE'!BH61=0)),"",IF('Flächen u. Kulturen'!X66="OK",'#BerechnungDBE'!BH61,"n.b."))</f>
        <v/>
      </c>
      <c r="T68" s="1460" t="str">
        <f>IF(G68="","",IF('Flächen u. Kulturen'!X66="OK",'#BerechnungDBE'!BJ61,"n.b."))</f>
        <v/>
      </c>
      <c r="U68" s="1460" t="str">
        <f>IF(G68="","",IF('Flächen u. Kulturen'!X66="OK",ROUNDDOWN('#BerechnungDBE'!BL61,0),"n.b."))</f>
        <v/>
      </c>
      <c r="V68" s="1456" t="str">
        <f>IF(G68="","",IF('Flächen u. Kulturen'!X66="OK",ROUNDDOWN('#BerechnungDBE'!BL61/27,1),"n.b."))</f>
        <v/>
      </c>
      <c r="W68" s="1461"/>
      <c r="X68" s="1469" t="str">
        <f>IF(E68="","",'#minDung'!P67)</f>
        <v/>
      </c>
      <c r="Y68" s="1461" t="str">
        <f>IF(G68="","",'#Kürzungen'!AQ85)</f>
        <v/>
      </c>
    </row>
    <row r="69" spans="1:25" s="880" customFormat="1" ht="15" customHeight="1" x14ac:dyDescent="0.2">
      <c r="A69" s="1471" t="str">
        <f>IF(E69="","",'Flächen u. Kulturen'!A67)</f>
        <v/>
      </c>
      <c r="B69" s="1273" t="str">
        <f>IF('Flächen u. Kulturen'!C67="","",'Flächen u. Kulturen'!C67)</f>
        <v/>
      </c>
      <c r="C69" s="1273" t="str">
        <f>IF('Flächen u. Kulturen'!B67="","",'Flächen u. Kulturen'!B67)</f>
        <v/>
      </c>
      <c r="D69" s="1452" t="str">
        <f>IF(E69="","",IF('#BerechnungDBE'!S62=1,"x",""))</f>
        <v/>
      </c>
      <c r="E69" s="1472" t="str">
        <f>IF('Flächen u. Kulturen'!D67="","",'Flächen u. Kulturen'!D67)</f>
        <v/>
      </c>
      <c r="F69" s="1255" t="str">
        <f>IF(E69="","",IF('Flächen u. Kulturen'!E67="x",'Flächen u. Kulturen'!P67,"       nicht im Betrieb"))</f>
        <v/>
      </c>
      <c r="G69" s="1272" t="str">
        <f>IF(OR(E69="",'Flächen u. Kulturen'!E67&lt;&gt;"x"),"",IF('#BerechnungDBE'!N62=3,'Flächen u. Kulturen'!R67,'Flächen u. Kulturen'!Q67))</f>
        <v/>
      </c>
      <c r="H69" s="1467" t="str">
        <f>IF(G69="","",'#BerechnungDBE'!AR62)</f>
        <v/>
      </c>
      <c r="I69" s="1272" t="str">
        <f>IF(G69="","",'#BerechnungDBE'!AT62)</f>
        <v/>
      </c>
      <c r="J69" s="1272" t="str">
        <f>IF(G69="","",'#BerechnungDBE'!AU62)</f>
        <v/>
      </c>
      <c r="K69" s="1272" t="str">
        <f>IF(G69="","",'#BerechnungDBE'!AV62)</f>
        <v/>
      </c>
      <c r="L69" s="1272" t="str">
        <f>IF(G69="","",'#BerechnungDBE'!AW62)</f>
        <v/>
      </c>
      <c r="M69" s="1272" t="str">
        <f>IF(G69="","",'#BerechnungDBE'!AS62)</f>
        <v/>
      </c>
      <c r="N69" s="1272" t="str">
        <f>IF(G69="","",'#BerechnungDBE'!AX62)</f>
        <v/>
      </c>
      <c r="O69" s="1272" t="str">
        <f>IF(G69="","",'#BerechnungDBE'!AY62)</f>
        <v/>
      </c>
      <c r="P69" s="1272" t="str">
        <f>IF(G69="","",'#BerechnungDBE'!AZ62)</f>
        <v/>
      </c>
      <c r="Q69" s="1460" t="str">
        <f>IF(G69="","",IF('Flächen u. Kulturen'!X67="OK",'#BerechnungDBE'!BA62,"n.b."))</f>
        <v/>
      </c>
      <c r="R69" s="1460" t="str">
        <f>IF(G69="","",'#BerechnungDBE'!BF62)</f>
        <v/>
      </c>
      <c r="S69" s="1468" t="str">
        <f>IF(OR(G69="",AND(D69="",'#BerechnungDBE'!BH62=0)),"",IF('Flächen u. Kulturen'!X67="OK",'#BerechnungDBE'!BH62,"n.b."))</f>
        <v/>
      </c>
      <c r="T69" s="1460" t="str">
        <f>IF(G69="","",IF('Flächen u. Kulturen'!X67="OK",'#BerechnungDBE'!BJ62,"n.b."))</f>
        <v/>
      </c>
      <c r="U69" s="1460" t="str">
        <f>IF(G69="","",IF('Flächen u. Kulturen'!X67="OK",ROUNDDOWN('#BerechnungDBE'!BL62,0),"n.b."))</f>
        <v/>
      </c>
      <c r="V69" s="1456" t="str">
        <f>IF(G69="","",IF('Flächen u. Kulturen'!X67="OK",ROUNDDOWN('#BerechnungDBE'!BL62/27,1),"n.b."))</f>
        <v/>
      </c>
      <c r="W69" s="1461"/>
      <c r="X69" s="1469" t="str">
        <f>IF(E69="","",'#minDung'!P68)</f>
        <v/>
      </c>
      <c r="Y69" s="1461" t="str">
        <f>IF(G69="","",'#Kürzungen'!AQ86)</f>
        <v/>
      </c>
    </row>
    <row r="70" spans="1:25" s="880" customFormat="1" ht="15" customHeight="1" x14ac:dyDescent="0.2">
      <c r="A70" s="1471" t="str">
        <f>IF(E70="","",'Flächen u. Kulturen'!A68)</f>
        <v/>
      </c>
      <c r="B70" s="1273" t="str">
        <f>IF('Flächen u. Kulturen'!C68="","",'Flächen u. Kulturen'!C68)</f>
        <v/>
      </c>
      <c r="C70" s="1273" t="str">
        <f>IF('Flächen u. Kulturen'!B68="","",'Flächen u. Kulturen'!B68)</f>
        <v/>
      </c>
      <c r="D70" s="1452" t="str">
        <f>IF(E70="","",IF('#BerechnungDBE'!S63=1,"x",""))</f>
        <v/>
      </c>
      <c r="E70" s="1472" t="str">
        <f>IF('Flächen u. Kulturen'!D68="","",'Flächen u. Kulturen'!D68)</f>
        <v/>
      </c>
      <c r="F70" s="1255" t="str">
        <f>IF(E70="","",IF('Flächen u. Kulturen'!E68="x",'Flächen u. Kulturen'!P68,"       nicht im Betrieb"))</f>
        <v/>
      </c>
      <c r="G70" s="1272" t="str">
        <f>IF(OR(E70="",'Flächen u. Kulturen'!E68&lt;&gt;"x"),"",IF('#BerechnungDBE'!N63=3,'Flächen u. Kulturen'!R68,'Flächen u. Kulturen'!Q68))</f>
        <v/>
      </c>
      <c r="H70" s="1467" t="str">
        <f>IF(G70="","",'#BerechnungDBE'!AR63)</f>
        <v/>
      </c>
      <c r="I70" s="1272" t="str">
        <f>IF(G70="","",'#BerechnungDBE'!AT63)</f>
        <v/>
      </c>
      <c r="J70" s="1272" t="str">
        <f>IF(G70="","",'#BerechnungDBE'!AU63)</f>
        <v/>
      </c>
      <c r="K70" s="1272" t="str">
        <f>IF(G70="","",'#BerechnungDBE'!AV63)</f>
        <v/>
      </c>
      <c r="L70" s="1272" t="str">
        <f>IF(G70="","",'#BerechnungDBE'!AW63)</f>
        <v/>
      </c>
      <c r="M70" s="1272" t="str">
        <f>IF(G70="","",'#BerechnungDBE'!AS63)</f>
        <v/>
      </c>
      <c r="N70" s="1272" t="str">
        <f>IF(G70="","",'#BerechnungDBE'!AX63)</f>
        <v/>
      </c>
      <c r="O70" s="1272" t="str">
        <f>IF(G70="","",'#BerechnungDBE'!AY63)</f>
        <v/>
      </c>
      <c r="P70" s="1272" t="str">
        <f>IF(G70="","",'#BerechnungDBE'!AZ63)</f>
        <v/>
      </c>
      <c r="Q70" s="1460" t="str">
        <f>IF(G70="","",IF('Flächen u. Kulturen'!X68="OK",'#BerechnungDBE'!BA63,"n.b."))</f>
        <v/>
      </c>
      <c r="R70" s="1460" t="str">
        <f>IF(G70="","",'#BerechnungDBE'!BF63)</f>
        <v/>
      </c>
      <c r="S70" s="1468" t="str">
        <f>IF(OR(G70="",AND(D70="",'#BerechnungDBE'!BH63=0)),"",IF('Flächen u. Kulturen'!X68="OK",'#BerechnungDBE'!BH63,"n.b."))</f>
        <v/>
      </c>
      <c r="T70" s="1460" t="str">
        <f>IF(G70="","",IF('Flächen u. Kulturen'!X68="OK",'#BerechnungDBE'!BJ63,"n.b."))</f>
        <v/>
      </c>
      <c r="U70" s="1460" t="str">
        <f>IF(G70="","",IF('Flächen u. Kulturen'!X68="OK",ROUNDDOWN('#BerechnungDBE'!BL63,0),"n.b."))</f>
        <v/>
      </c>
      <c r="V70" s="1456" t="str">
        <f>IF(G70="","",IF('Flächen u. Kulturen'!X68="OK",ROUNDDOWN('#BerechnungDBE'!BL63/27,1),"n.b."))</f>
        <v/>
      </c>
      <c r="W70" s="1461"/>
      <c r="X70" s="1469" t="str">
        <f>IF(E70="","",'#minDung'!P69)</f>
        <v/>
      </c>
      <c r="Y70" s="1461" t="str">
        <f>IF(G70="","",'#Kürzungen'!AQ87)</f>
        <v/>
      </c>
    </row>
    <row r="71" spans="1:25" s="880" customFormat="1" ht="15" customHeight="1" x14ac:dyDescent="0.2">
      <c r="A71" s="1471" t="str">
        <f>IF(E71="","",'Flächen u. Kulturen'!A69)</f>
        <v/>
      </c>
      <c r="B71" s="1273" t="str">
        <f>IF('Flächen u. Kulturen'!C69="","",'Flächen u. Kulturen'!C69)</f>
        <v/>
      </c>
      <c r="C71" s="1273" t="str">
        <f>IF('Flächen u. Kulturen'!B69="","",'Flächen u. Kulturen'!B69)</f>
        <v/>
      </c>
      <c r="D71" s="1452" t="str">
        <f>IF(E71="","",IF('#BerechnungDBE'!S64=1,"x",""))</f>
        <v/>
      </c>
      <c r="E71" s="1472" t="str">
        <f>IF('Flächen u. Kulturen'!D69="","",'Flächen u. Kulturen'!D69)</f>
        <v/>
      </c>
      <c r="F71" s="1255" t="str">
        <f>IF(E71="","",IF('Flächen u. Kulturen'!E69="x",'Flächen u. Kulturen'!P69,"       nicht im Betrieb"))</f>
        <v/>
      </c>
      <c r="G71" s="1272" t="str">
        <f>IF(OR(E71="",'Flächen u. Kulturen'!E69&lt;&gt;"x"),"",IF('#BerechnungDBE'!N64=3,'Flächen u. Kulturen'!R69,'Flächen u. Kulturen'!Q69))</f>
        <v/>
      </c>
      <c r="H71" s="1467" t="str">
        <f>IF(G71="","",'#BerechnungDBE'!AR64)</f>
        <v/>
      </c>
      <c r="I71" s="1272" t="str">
        <f>IF(G71="","",'#BerechnungDBE'!AT64)</f>
        <v/>
      </c>
      <c r="J71" s="1272" t="str">
        <f>IF(G71="","",'#BerechnungDBE'!AU64)</f>
        <v/>
      </c>
      <c r="K71" s="1272" t="str">
        <f>IF(G71="","",'#BerechnungDBE'!AV64)</f>
        <v/>
      </c>
      <c r="L71" s="1272" t="str">
        <f>IF(G71="","",'#BerechnungDBE'!AW64)</f>
        <v/>
      </c>
      <c r="M71" s="1272" t="str">
        <f>IF(G71="","",'#BerechnungDBE'!AS64)</f>
        <v/>
      </c>
      <c r="N71" s="1272" t="str">
        <f>IF(G71="","",'#BerechnungDBE'!AX64)</f>
        <v/>
      </c>
      <c r="O71" s="1272" t="str">
        <f>IF(G71="","",'#BerechnungDBE'!AY64)</f>
        <v/>
      </c>
      <c r="P71" s="1272" t="str">
        <f>IF(G71="","",'#BerechnungDBE'!AZ64)</f>
        <v/>
      </c>
      <c r="Q71" s="1460" t="str">
        <f>IF(G71="","",IF('Flächen u. Kulturen'!X69="OK",'#BerechnungDBE'!BA64,"n.b."))</f>
        <v/>
      </c>
      <c r="R71" s="1460" t="str">
        <f>IF(G71="","",'#BerechnungDBE'!BF64)</f>
        <v/>
      </c>
      <c r="S71" s="1468" t="str">
        <f>IF(OR(G71="",AND(D71="",'#BerechnungDBE'!BH64=0)),"",IF('Flächen u. Kulturen'!X69="OK",'#BerechnungDBE'!BH64,"n.b."))</f>
        <v/>
      </c>
      <c r="T71" s="1460" t="str">
        <f>IF(G71="","",IF('Flächen u. Kulturen'!X69="OK",'#BerechnungDBE'!BJ64,"n.b."))</f>
        <v/>
      </c>
      <c r="U71" s="1460" t="str">
        <f>IF(G71="","",IF('Flächen u. Kulturen'!X69="OK",ROUNDDOWN('#BerechnungDBE'!BL64,0),"n.b."))</f>
        <v/>
      </c>
      <c r="V71" s="1456" t="str">
        <f>IF(G71="","",IF('Flächen u. Kulturen'!X69="OK",ROUNDDOWN('#BerechnungDBE'!BL64/27,1),"n.b."))</f>
        <v/>
      </c>
      <c r="W71" s="1461"/>
      <c r="X71" s="1469" t="str">
        <f>IF(E71="","",'#minDung'!P70)</f>
        <v/>
      </c>
      <c r="Y71" s="1461" t="str">
        <f>IF(G71="","",'#Kürzungen'!AQ88)</f>
        <v/>
      </c>
    </row>
    <row r="72" spans="1:25" s="880" customFormat="1" ht="15" customHeight="1" x14ac:dyDescent="0.2">
      <c r="A72" s="1471" t="str">
        <f>IF(E72="","",'Flächen u. Kulturen'!A70)</f>
        <v/>
      </c>
      <c r="B72" s="1273" t="str">
        <f>IF('Flächen u. Kulturen'!C70="","",'Flächen u. Kulturen'!C70)</f>
        <v/>
      </c>
      <c r="C72" s="1273" t="str">
        <f>IF('Flächen u. Kulturen'!B70="","",'Flächen u. Kulturen'!B70)</f>
        <v/>
      </c>
      <c r="D72" s="1452" t="str">
        <f>IF(E72="","",IF('#BerechnungDBE'!S65=1,"x",""))</f>
        <v/>
      </c>
      <c r="E72" s="1472" t="str">
        <f>IF('Flächen u. Kulturen'!D70="","",'Flächen u. Kulturen'!D70)</f>
        <v/>
      </c>
      <c r="F72" s="1255" t="str">
        <f>IF(E72="","",IF('Flächen u. Kulturen'!E70="x",'Flächen u. Kulturen'!P70,"       nicht im Betrieb"))</f>
        <v/>
      </c>
      <c r="G72" s="1272" t="str">
        <f>IF(OR(E72="",'Flächen u. Kulturen'!E70&lt;&gt;"x"),"",IF('#BerechnungDBE'!N65=3,'Flächen u. Kulturen'!R70,'Flächen u. Kulturen'!Q70))</f>
        <v/>
      </c>
      <c r="H72" s="1467" t="str">
        <f>IF(G72="","",'#BerechnungDBE'!AR65)</f>
        <v/>
      </c>
      <c r="I72" s="1272" t="str">
        <f>IF(G72="","",'#BerechnungDBE'!AT65)</f>
        <v/>
      </c>
      <c r="J72" s="1272" t="str">
        <f>IF(G72="","",'#BerechnungDBE'!AU65)</f>
        <v/>
      </c>
      <c r="K72" s="1272" t="str">
        <f>IF(G72="","",'#BerechnungDBE'!AV65)</f>
        <v/>
      </c>
      <c r="L72" s="1272" t="str">
        <f>IF(G72="","",'#BerechnungDBE'!AW65)</f>
        <v/>
      </c>
      <c r="M72" s="1272" t="str">
        <f>IF(G72="","",'#BerechnungDBE'!AS65)</f>
        <v/>
      </c>
      <c r="N72" s="1272" t="str">
        <f>IF(G72="","",'#BerechnungDBE'!AX65)</f>
        <v/>
      </c>
      <c r="O72" s="1272" t="str">
        <f>IF(G72="","",'#BerechnungDBE'!AY65)</f>
        <v/>
      </c>
      <c r="P72" s="1272" t="str">
        <f>IF(G72="","",'#BerechnungDBE'!AZ65)</f>
        <v/>
      </c>
      <c r="Q72" s="1460" t="str">
        <f>IF(G72="","",IF('Flächen u. Kulturen'!X70="OK",'#BerechnungDBE'!BA65,"n.b."))</f>
        <v/>
      </c>
      <c r="R72" s="1460" t="str">
        <f>IF(G72="","",'#BerechnungDBE'!BF65)</f>
        <v/>
      </c>
      <c r="S72" s="1468" t="str">
        <f>IF(OR(G72="",AND(D72="",'#BerechnungDBE'!BH65=0)),"",IF('Flächen u. Kulturen'!X70="OK",'#BerechnungDBE'!BH65,"n.b."))</f>
        <v/>
      </c>
      <c r="T72" s="1460" t="str">
        <f>IF(G72="","",IF('Flächen u. Kulturen'!X70="OK",'#BerechnungDBE'!BJ65,"n.b."))</f>
        <v/>
      </c>
      <c r="U72" s="1460" t="str">
        <f>IF(G72="","",IF('Flächen u. Kulturen'!X70="OK",ROUNDDOWN('#BerechnungDBE'!BL65,0),"n.b."))</f>
        <v/>
      </c>
      <c r="V72" s="1456" t="str">
        <f>IF(G72="","",IF('Flächen u. Kulturen'!X70="OK",ROUNDDOWN('#BerechnungDBE'!BL65/27,1),"n.b."))</f>
        <v/>
      </c>
      <c r="W72" s="1461"/>
      <c r="X72" s="1469" t="str">
        <f>IF(E72="","",'#minDung'!P71)</f>
        <v/>
      </c>
      <c r="Y72" s="1461" t="str">
        <f>IF(G72="","",'#Kürzungen'!AQ89)</f>
        <v/>
      </c>
    </row>
    <row r="73" spans="1:25" s="880" customFormat="1" ht="15" customHeight="1" x14ac:dyDescent="0.2">
      <c r="A73" s="1471" t="str">
        <f>IF(E73="","",'Flächen u. Kulturen'!A71)</f>
        <v/>
      </c>
      <c r="B73" s="1273" t="str">
        <f>IF('Flächen u. Kulturen'!C71="","",'Flächen u. Kulturen'!C71)</f>
        <v/>
      </c>
      <c r="C73" s="1273" t="str">
        <f>IF('Flächen u. Kulturen'!B71="","",'Flächen u. Kulturen'!B71)</f>
        <v/>
      </c>
      <c r="D73" s="1452" t="str">
        <f>IF(E73="","",IF('#BerechnungDBE'!S66=1,"x",""))</f>
        <v/>
      </c>
      <c r="E73" s="1472" t="str">
        <f>IF('Flächen u. Kulturen'!D71="","",'Flächen u. Kulturen'!D71)</f>
        <v/>
      </c>
      <c r="F73" s="1255" t="str">
        <f>IF(E73="","",IF('Flächen u. Kulturen'!E71="x",'Flächen u. Kulturen'!P71,"       nicht im Betrieb"))</f>
        <v/>
      </c>
      <c r="G73" s="1272" t="str">
        <f>IF(OR(E73="",'Flächen u. Kulturen'!E71&lt;&gt;"x"),"",IF('#BerechnungDBE'!N66=3,'Flächen u. Kulturen'!R71,'Flächen u. Kulturen'!Q71))</f>
        <v/>
      </c>
      <c r="H73" s="1467" t="str">
        <f>IF(G73="","",'#BerechnungDBE'!AR66)</f>
        <v/>
      </c>
      <c r="I73" s="1272" t="str">
        <f>IF(G73="","",'#BerechnungDBE'!AT66)</f>
        <v/>
      </c>
      <c r="J73" s="1272" t="str">
        <f>IF(G73="","",'#BerechnungDBE'!AU66)</f>
        <v/>
      </c>
      <c r="K73" s="1272" t="str">
        <f>IF(G73="","",'#BerechnungDBE'!AV66)</f>
        <v/>
      </c>
      <c r="L73" s="1272" t="str">
        <f>IF(G73="","",'#BerechnungDBE'!AW66)</f>
        <v/>
      </c>
      <c r="M73" s="1272" t="str">
        <f>IF(G73="","",'#BerechnungDBE'!AS66)</f>
        <v/>
      </c>
      <c r="N73" s="1272" t="str">
        <f>IF(G73="","",'#BerechnungDBE'!AX66)</f>
        <v/>
      </c>
      <c r="O73" s="1272" t="str">
        <f>IF(G73="","",'#BerechnungDBE'!AY66)</f>
        <v/>
      </c>
      <c r="P73" s="1272" t="str">
        <f>IF(G73="","",'#BerechnungDBE'!AZ66)</f>
        <v/>
      </c>
      <c r="Q73" s="1460" t="str">
        <f>IF(G73="","",IF('Flächen u. Kulturen'!X71="OK",'#BerechnungDBE'!BA66,"n.b."))</f>
        <v/>
      </c>
      <c r="R73" s="1460" t="str">
        <f>IF(G73="","",'#BerechnungDBE'!BF66)</f>
        <v/>
      </c>
      <c r="S73" s="1468" t="str">
        <f>IF(OR(G73="",AND(D73="",'#BerechnungDBE'!BH66=0)),"",IF('Flächen u. Kulturen'!X71="OK",'#BerechnungDBE'!BH66,"n.b."))</f>
        <v/>
      </c>
      <c r="T73" s="1460" t="str">
        <f>IF(G73="","",IF('Flächen u. Kulturen'!X71="OK",'#BerechnungDBE'!BJ66,"n.b."))</f>
        <v/>
      </c>
      <c r="U73" s="1460" t="str">
        <f>IF(G73="","",IF('Flächen u. Kulturen'!X71="OK",ROUNDDOWN('#BerechnungDBE'!BL66,0),"n.b."))</f>
        <v/>
      </c>
      <c r="V73" s="1456" t="str">
        <f>IF(G73="","",IF('Flächen u. Kulturen'!X71="OK",ROUNDDOWN('#BerechnungDBE'!BL66/27,1),"n.b."))</f>
        <v/>
      </c>
      <c r="W73" s="1461"/>
      <c r="X73" s="1469" t="str">
        <f>IF(E73="","",'#minDung'!P72)</f>
        <v/>
      </c>
      <c r="Y73" s="1461" t="str">
        <f>IF(G73="","",'#Kürzungen'!AQ90)</f>
        <v/>
      </c>
    </row>
    <row r="74" spans="1:25" s="880" customFormat="1" ht="15" customHeight="1" x14ac:dyDescent="0.2">
      <c r="A74" s="1471" t="str">
        <f>IF(E74="","",'Flächen u. Kulturen'!A72)</f>
        <v/>
      </c>
      <c r="B74" s="1273" t="str">
        <f>IF('Flächen u. Kulturen'!C72="","",'Flächen u. Kulturen'!C72)</f>
        <v/>
      </c>
      <c r="C74" s="1273" t="str">
        <f>IF('Flächen u. Kulturen'!B72="","",'Flächen u. Kulturen'!B72)</f>
        <v/>
      </c>
      <c r="D74" s="1452" t="str">
        <f>IF(E74="","",IF('#BerechnungDBE'!S67=1,"x",""))</f>
        <v/>
      </c>
      <c r="E74" s="1472" t="str">
        <f>IF('Flächen u. Kulturen'!D72="","",'Flächen u. Kulturen'!D72)</f>
        <v/>
      </c>
      <c r="F74" s="1255" t="str">
        <f>IF(E74="","",IF('Flächen u. Kulturen'!E72="x",'Flächen u. Kulturen'!P72,"       nicht im Betrieb"))</f>
        <v/>
      </c>
      <c r="G74" s="1272" t="str">
        <f>IF(OR(E74="",'Flächen u. Kulturen'!E72&lt;&gt;"x"),"",IF('#BerechnungDBE'!N67=3,'Flächen u. Kulturen'!R72,'Flächen u. Kulturen'!Q72))</f>
        <v/>
      </c>
      <c r="H74" s="1467" t="str">
        <f>IF(G74="","",'#BerechnungDBE'!AR67)</f>
        <v/>
      </c>
      <c r="I74" s="1272" t="str">
        <f>IF(G74="","",'#BerechnungDBE'!AT67)</f>
        <v/>
      </c>
      <c r="J74" s="1272" t="str">
        <f>IF(G74="","",'#BerechnungDBE'!AU67)</f>
        <v/>
      </c>
      <c r="K74" s="1272" t="str">
        <f>IF(G74="","",'#BerechnungDBE'!AV67)</f>
        <v/>
      </c>
      <c r="L74" s="1272" t="str">
        <f>IF(G74="","",'#BerechnungDBE'!AW67)</f>
        <v/>
      </c>
      <c r="M74" s="1272" t="str">
        <f>IF(G74="","",'#BerechnungDBE'!AS67)</f>
        <v/>
      </c>
      <c r="N74" s="1272" t="str">
        <f>IF(G74="","",'#BerechnungDBE'!AX67)</f>
        <v/>
      </c>
      <c r="O74" s="1272" t="str">
        <f>IF(G74="","",'#BerechnungDBE'!AY67)</f>
        <v/>
      </c>
      <c r="P74" s="1272" t="str">
        <f>IF(G74="","",'#BerechnungDBE'!AZ67)</f>
        <v/>
      </c>
      <c r="Q74" s="1460" t="str">
        <f>IF(G74="","",IF('Flächen u. Kulturen'!X72="OK",'#BerechnungDBE'!BA67,"n.b."))</f>
        <v/>
      </c>
      <c r="R74" s="1460" t="str">
        <f>IF(G74="","",'#BerechnungDBE'!BF67)</f>
        <v/>
      </c>
      <c r="S74" s="1468" t="str">
        <f>IF(OR(G74="",AND(D74="",'#BerechnungDBE'!BH67=0)),"",IF('Flächen u. Kulturen'!X72="OK",'#BerechnungDBE'!BH67,"n.b."))</f>
        <v/>
      </c>
      <c r="T74" s="1460" t="str">
        <f>IF(G74="","",IF('Flächen u. Kulturen'!X72="OK",'#BerechnungDBE'!BJ67,"n.b."))</f>
        <v/>
      </c>
      <c r="U74" s="1460" t="str">
        <f>IF(G74="","",IF('Flächen u. Kulturen'!X72="OK",ROUNDDOWN('#BerechnungDBE'!BL67,0),"n.b."))</f>
        <v/>
      </c>
      <c r="V74" s="1456" t="str">
        <f>IF(G74="","",IF('Flächen u. Kulturen'!X72="OK",ROUNDDOWN('#BerechnungDBE'!BL67/27,1),"n.b."))</f>
        <v/>
      </c>
      <c r="W74" s="1461"/>
      <c r="X74" s="1469" t="str">
        <f>IF(E74="","",'#minDung'!P73)</f>
        <v/>
      </c>
      <c r="Y74" s="1461" t="str">
        <f>IF(G74="","",'#Kürzungen'!AQ91)</f>
        <v/>
      </c>
    </row>
    <row r="75" spans="1:25" s="880" customFormat="1" ht="15" customHeight="1" x14ac:dyDescent="0.2">
      <c r="A75" s="1471" t="str">
        <f>IF(E75="","",'Flächen u. Kulturen'!A73)</f>
        <v/>
      </c>
      <c r="B75" s="1273" t="str">
        <f>IF('Flächen u. Kulturen'!C73="","",'Flächen u. Kulturen'!C73)</f>
        <v/>
      </c>
      <c r="C75" s="1273" t="str">
        <f>IF('Flächen u. Kulturen'!B73="","",'Flächen u. Kulturen'!B73)</f>
        <v/>
      </c>
      <c r="D75" s="1452" t="str">
        <f>IF(E75="","",IF('#BerechnungDBE'!S68=1,"x",""))</f>
        <v/>
      </c>
      <c r="E75" s="1472" t="str">
        <f>IF('Flächen u. Kulturen'!D73="","",'Flächen u. Kulturen'!D73)</f>
        <v/>
      </c>
      <c r="F75" s="1255" t="str">
        <f>IF(E75="","",IF('Flächen u. Kulturen'!E73="x",'Flächen u. Kulturen'!P73,"       nicht im Betrieb"))</f>
        <v/>
      </c>
      <c r="G75" s="1272" t="str">
        <f>IF(OR(E75="",'Flächen u. Kulturen'!E73&lt;&gt;"x"),"",IF('#BerechnungDBE'!N68=3,'Flächen u. Kulturen'!R73,'Flächen u. Kulturen'!Q73))</f>
        <v/>
      </c>
      <c r="H75" s="1467" t="str">
        <f>IF(G75="","",'#BerechnungDBE'!AR68)</f>
        <v/>
      </c>
      <c r="I75" s="1272" t="str">
        <f>IF(G75="","",'#BerechnungDBE'!AT68)</f>
        <v/>
      </c>
      <c r="J75" s="1272" t="str">
        <f>IF(G75="","",'#BerechnungDBE'!AU68)</f>
        <v/>
      </c>
      <c r="K75" s="1272" t="str">
        <f>IF(G75="","",'#BerechnungDBE'!AV68)</f>
        <v/>
      </c>
      <c r="L75" s="1272" t="str">
        <f>IF(G75="","",'#BerechnungDBE'!AW68)</f>
        <v/>
      </c>
      <c r="M75" s="1272" t="str">
        <f>IF(G75="","",'#BerechnungDBE'!AS68)</f>
        <v/>
      </c>
      <c r="N75" s="1272" t="str">
        <f>IF(G75="","",'#BerechnungDBE'!AX68)</f>
        <v/>
      </c>
      <c r="O75" s="1272" t="str">
        <f>IF(G75="","",'#BerechnungDBE'!AY68)</f>
        <v/>
      </c>
      <c r="P75" s="1272" t="str">
        <f>IF(G75="","",'#BerechnungDBE'!AZ68)</f>
        <v/>
      </c>
      <c r="Q75" s="1460" t="str">
        <f>IF(G75="","",IF('Flächen u. Kulturen'!X73="OK",'#BerechnungDBE'!BA68,"n.b."))</f>
        <v/>
      </c>
      <c r="R75" s="1460" t="str">
        <f>IF(G75="","",'#BerechnungDBE'!BF68)</f>
        <v/>
      </c>
      <c r="S75" s="1468" t="str">
        <f>IF(OR(G75="",AND(D75="",'#BerechnungDBE'!BH68=0)),"",IF('Flächen u. Kulturen'!X73="OK",'#BerechnungDBE'!BH68,"n.b."))</f>
        <v/>
      </c>
      <c r="T75" s="1460" t="str">
        <f>IF(G75="","",IF('Flächen u. Kulturen'!X73="OK",'#BerechnungDBE'!BJ68,"n.b."))</f>
        <v/>
      </c>
      <c r="U75" s="1460" t="str">
        <f>IF(G75="","",IF('Flächen u. Kulturen'!X73="OK",ROUNDDOWN('#BerechnungDBE'!BL68,0),"n.b."))</f>
        <v/>
      </c>
      <c r="V75" s="1456" t="str">
        <f>IF(G75="","",IF('Flächen u. Kulturen'!X73="OK",ROUNDDOWN('#BerechnungDBE'!BL68/27,1),"n.b."))</f>
        <v/>
      </c>
      <c r="W75" s="1461"/>
      <c r="X75" s="1469" t="str">
        <f>IF(E75="","",'#minDung'!P74)</f>
        <v/>
      </c>
      <c r="Y75" s="1461" t="str">
        <f>IF(G75="","",'#Kürzungen'!AQ92)</f>
        <v/>
      </c>
    </row>
    <row r="76" spans="1:25" s="880" customFormat="1" ht="15" customHeight="1" x14ac:dyDescent="0.2">
      <c r="A76" s="1471" t="str">
        <f>IF(E76="","",'Flächen u. Kulturen'!A74)</f>
        <v/>
      </c>
      <c r="B76" s="1273" t="str">
        <f>IF('Flächen u. Kulturen'!C74="","",'Flächen u. Kulturen'!C74)</f>
        <v/>
      </c>
      <c r="C76" s="1273" t="str">
        <f>IF('Flächen u. Kulturen'!B74="","",'Flächen u. Kulturen'!B74)</f>
        <v/>
      </c>
      <c r="D76" s="1452" t="str">
        <f>IF(E76="","",IF('#BerechnungDBE'!S69=1,"x",""))</f>
        <v/>
      </c>
      <c r="E76" s="1472" t="str">
        <f>IF('Flächen u. Kulturen'!D74="","",'Flächen u. Kulturen'!D74)</f>
        <v/>
      </c>
      <c r="F76" s="1255" t="str">
        <f>IF(E76="","",IF('Flächen u. Kulturen'!E74="x",'Flächen u. Kulturen'!P74,"       nicht im Betrieb"))</f>
        <v/>
      </c>
      <c r="G76" s="1272" t="str">
        <f>IF(OR(E76="",'Flächen u. Kulturen'!E74&lt;&gt;"x"),"",IF('#BerechnungDBE'!N69=3,'Flächen u. Kulturen'!R74,'Flächen u. Kulturen'!Q74))</f>
        <v/>
      </c>
      <c r="H76" s="1467" t="str">
        <f>IF(G76="","",'#BerechnungDBE'!AR69)</f>
        <v/>
      </c>
      <c r="I76" s="1272" t="str">
        <f>IF(G76="","",'#BerechnungDBE'!AT69)</f>
        <v/>
      </c>
      <c r="J76" s="1272" t="str">
        <f>IF(G76="","",'#BerechnungDBE'!AU69)</f>
        <v/>
      </c>
      <c r="K76" s="1272" t="str">
        <f>IF(G76="","",'#BerechnungDBE'!AV69)</f>
        <v/>
      </c>
      <c r="L76" s="1272" t="str">
        <f>IF(G76="","",'#BerechnungDBE'!AW69)</f>
        <v/>
      </c>
      <c r="M76" s="1272" t="str">
        <f>IF(G76="","",'#BerechnungDBE'!AS69)</f>
        <v/>
      </c>
      <c r="N76" s="1272" t="str">
        <f>IF(G76="","",'#BerechnungDBE'!AX69)</f>
        <v/>
      </c>
      <c r="O76" s="1272" t="str">
        <f>IF(G76="","",'#BerechnungDBE'!AY69)</f>
        <v/>
      </c>
      <c r="P76" s="1272" t="str">
        <f>IF(G76="","",'#BerechnungDBE'!AZ69)</f>
        <v/>
      </c>
      <c r="Q76" s="1460" t="str">
        <f>IF(G76="","",IF('Flächen u. Kulturen'!X74="OK",'#BerechnungDBE'!BA69,"n.b."))</f>
        <v/>
      </c>
      <c r="R76" s="1460" t="str">
        <f>IF(G76="","",'#BerechnungDBE'!BF69)</f>
        <v/>
      </c>
      <c r="S76" s="1468" t="str">
        <f>IF(OR(G76="",AND(D76="",'#BerechnungDBE'!BH69=0)),"",IF('Flächen u. Kulturen'!X74="OK",'#BerechnungDBE'!BH69,"n.b."))</f>
        <v/>
      </c>
      <c r="T76" s="1460" t="str">
        <f>IF(G76="","",IF('Flächen u. Kulturen'!X74="OK",'#BerechnungDBE'!BJ69,"n.b."))</f>
        <v/>
      </c>
      <c r="U76" s="1460" t="str">
        <f>IF(G76="","",IF('Flächen u. Kulturen'!X74="OK",ROUNDDOWN('#BerechnungDBE'!BL69,0),"n.b."))</f>
        <v/>
      </c>
      <c r="V76" s="1456" t="str">
        <f>IF(G76="","",IF('Flächen u. Kulturen'!X74="OK",ROUNDDOWN('#BerechnungDBE'!BL69/27,1),"n.b."))</f>
        <v/>
      </c>
      <c r="W76" s="1461"/>
      <c r="X76" s="1469" t="str">
        <f>IF(E76="","",'#minDung'!P75)</f>
        <v/>
      </c>
      <c r="Y76" s="1461" t="str">
        <f>IF(G76="","",'#Kürzungen'!AQ93)</f>
        <v/>
      </c>
    </row>
    <row r="77" spans="1:25" s="880" customFormat="1" ht="15" customHeight="1" x14ac:dyDescent="0.2">
      <c r="A77" s="1471" t="str">
        <f>IF(E77="","",'Flächen u. Kulturen'!A75)</f>
        <v/>
      </c>
      <c r="B77" s="1273" t="str">
        <f>IF('Flächen u. Kulturen'!C75="","",'Flächen u. Kulturen'!C75)</f>
        <v/>
      </c>
      <c r="C77" s="1273" t="str">
        <f>IF('Flächen u. Kulturen'!B75="","",'Flächen u. Kulturen'!B75)</f>
        <v/>
      </c>
      <c r="D77" s="1452" t="str">
        <f>IF(E77="","",IF('#BerechnungDBE'!S70=1,"x",""))</f>
        <v/>
      </c>
      <c r="E77" s="1472" t="str">
        <f>IF('Flächen u. Kulturen'!D75="","",'Flächen u. Kulturen'!D75)</f>
        <v/>
      </c>
      <c r="F77" s="1255" t="str">
        <f>IF(E77="","",IF('Flächen u. Kulturen'!E75="x",'Flächen u. Kulturen'!P75,"       nicht im Betrieb"))</f>
        <v/>
      </c>
      <c r="G77" s="1272" t="str">
        <f>IF(OR(E77="",'Flächen u. Kulturen'!E75&lt;&gt;"x"),"",IF('#BerechnungDBE'!N70=3,'Flächen u. Kulturen'!R75,'Flächen u. Kulturen'!Q75))</f>
        <v/>
      </c>
      <c r="H77" s="1467" t="str">
        <f>IF(G77="","",'#BerechnungDBE'!AR70)</f>
        <v/>
      </c>
      <c r="I77" s="1272" t="str">
        <f>IF(G77="","",'#BerechnungDBE'!AT70)</f>
        <v/>
      </c>
      <c r="J77" s="1272" t="str">
        <f>IF(G77="","",'#BerechnungDBE'!AU70)</f>
        <v/>
      </c>
      <c r="K77" s="1272" t="str">
        <f>IF(G77="","",'#BerechnungDBE'!AV70)</f>
        <v/>
      </c>
      <c r="L77" s="1272" t="str">
        <f>IF(G77="","",'#BerechnungDBE'!AW70)</f>
        <v/>
      </c>
      <c r="M77" s="1272" t="str">
        <f>IF(G77="","",'#BerechnungDBE'!AS70)</f>
        <v/>
      </c>
      <c r="N77" s="1272" t="str">
        <f>IF(G77="","",'#BerechnungDBE'!AX70)</f>
        <v/>
      </c>
      <c r="O77" s="1272" t="str">
        <f>IF(G77="","",'#BerechnungDBE'!AY70)</f>
        <v/>
      </c>
      <c r="P77" s="1272" t="str">
        <f>IF(G77="","",'#BerechnungDBE'!AZ70)</f>
        <v/>
      </c>
      <c r="Q77" s="1460" t="str">
        <f>IF(G77="","",IF('Flächen u. Kulturen'!X75="OK",'#BerechnungDBE'!BA70,"n.b."))</f>
        <v/>
      </c>
      <c r="R77" s="1460" t="str">
        <f>IF(G77="","",'#BerechnungDBE'!BF70)</f>
        <v/>
      </c>
      <c r="S77" s="1468" t="str">
        <f>IF(OR(G77="",AND(D77="",'#BerechnungDBE'!BH70=0)),"",IF('Flächen u. Kulturen'!X75="OK",'#BerechnungDBE'!BH70,"n.b."))</f>
        <v/>
      </c>
      <c r="T77" s="1460" t="str">
        <f>IF(G77="","",IF('Flächen u. Kulturen'!X75="OK",'#BerechnungDBE'!BJ70,"n.b."))</f>
        <v/>
      </c>
      <c r="U77" s="1460" t="str">
        <f>IF(G77="","",IF('Flächen u. Kulturen'!X75="OK",ROUNDDOWN('#BerechnungDBE'!BL70,0),"n.b."))</f>
        <v/>
      </c>
      <c r="V77" s="1456" t="str">
        <f>IF(G77="","",IF('Flächen u. Kulturen'!X75="OK",ROUNDDOWN('#BerechnungDBE'!BL70/27,1),"n.b."))</f>
        <v/>
      </c>
      <c r="W77" s="1461"/>
      <c r="X77" s="1469" t="str">
        <f>IF(E77="","",'#minDung'!P76)</f>
        <v/>
      </c>
      <c r="Y77" s="1461" t="str">
        <f>IF(G77="","",'#Kürzungen'!AQ94)</f>
        <v/>
      </c>
    </row>
    <row r="78" spans="1:25" s="880" customFormat="1" ht="15" customHeight="1" x14ac:dyDescent="0.2">
      <c r="A78" s="1471" t="str">
        <f>IF(E78="","",'Flächen u. Kulturen'!A76)</f>
        <v/>
      </c>
      <c r="B78" s="1273" t="str">
        <f>IF('Flächen u. Kulturen'!C76="","",'Flächen u. Kulturen'!C76)</f>
        <v/>
      </c>
      <c r="C78" s="1273" t="str">
        <f>IF('Flächen u. Kulturen'!B76="","",'Flächen u. Kulturen'!B76)</f>
        <v/>
      </c>
      <c r="D78" s="1452" t="str">
        <f>IF(E78="","",IF('#BerechnungDBE'!S71=1,"x",""))</f>
        <v/>
      </c>
      <c r="E78" s="1472" t="str">
        <f>IF('Flächen u. Kulturen'!D76="","",'Flächen u. Kulturen'!D76)</f>
        <v/>
      </c>
      <c r="F78" s="1255" t="str">
        <f>IF(E78="","",IF('Flächen u. Kulturen'!E76="x",'Flächen u. Kulturen'!P76,"       nicht im Betrieb"))</f>
        <v/>
      </c>
      <c r="G78" s="1272" t="str">
        <f>IF(OR(E78="",'Flächen u. Kulturen'!E76&lt;&gt;"x"),"",IF('#BerechnungDBE'!N71=3,'Flächen u. Kulturen'!R76,'Flächen u. Kulturen'!Q76))</f>
        <v/>
      </c>
      <c r="H78" s="1467" t="str">
        <f>IF(G78="","",'#BerechnungDBE'!AR71)</f>
        <v/>
      </c>
      <c r="I78" s="1272" t="str">
        <f>IF(G78="","",'#BerechnungDBE'!AT71)</f>
        <v/>
      </c>
      <c r="J78" s="1272" t="str">
        <f>IF(G78="","",'#BerechnungDBE'!AU71)</f>
        <v/>
      </c>
      <c r="K78" s="1272" t="str">
        <f>IF(G78="","",'#BerechnungDBE'!AV71)</f>
        <v/>
      </c>
      <c r="L78" s="1272" t="str">
        <f>IF(G78="","",'#BerechnungDBE'!AW71)</f>
        <v/>
      </c>
      <c r="M78" s="1272" t="str">
        <f>IF(G78="","",'#BerechnungDBE'!AS71)</f>
        <v/>
      </c>
      <c r="N78" s="1272" t="str">
        <f>IF(G78="","",'#BerechnungDBE'!AX71)</f>
        <v/>
      </c>
      <c r="O78" s="1272" t="str">
        <f>IF(G78="","",'#BerechnungDBE'!AY71)</f>
        <v/>
      </c>
      <c r="P78" s="1272" t="str">
        <f>IF(G78="","",'#BerechnungDBE'!AZ71)</f>
        <v/>
      </c>
      <c r="Q78" s="1460" t="str">
        <f>IF(G78="","",IF('Flächen u. Kulturen'!X76="OK",'#BerechnungDBE'!BA71,"n.b."))</f>
        <v/>
      </c>
      <c r="R78" s="1460" t="str">
        <f>IF(G78="","",'#BerechnungDBE'!BF71)</f>
        <v/>
      </c>
      <c r="S78" s="1468" t="str">
        <f>IF(OR(G78="",AND(D78="",'#BerechnungDBE'!BH71=0)),"",IF('Flächen u. Kulturen'!X76="OK",'#BerechnungDBE'!BH71,"n.b."))</f>
        <v/>
      </c>
      <c r="T78" s="1460" t="str">
        <f>IF(G78="","",IF('Flächen u. Kulturen'!X76="OK",'#BerechnungDBE'!BJ71,"n.b."))</f>
        <v/>
      </c>
      <c r="U78" s="1460" t="str">
        <f>IF(G78="","",IF('Flächen u. Kulturen'!X76="OK",ROUNDDOWN('#BerechnungDBE'!BL71,0),"n.b."))</f>
        <v/>
      </c>
      <c r="V78" s="1456" t="str">
        <f>IF(G78="","",IF('Flächen u. Kulturen'!X76="OK",ROUNDDOWN('#BerechnungDBE'!BL71/27,1),"n.b."))</f>
        <v/>
      </c>
      <c r="W78" s="1461"/>
      <c r="X78" s="1469" t="str">
        <f>IF(E78="","",'#minDung'!P77)</f>
        <v/>
      </c>
      <c r="Y78" s="1461" t="str">
        <f>IF(G78="","",'#Kürzungen'!AQ95)</f>
        <v/>
      </c>
    </row>
    <row r="79" spans="1:25" s="880" customFormat="1" ht="15" customHeight="1" x14ac:dyDescent="0.2">
      <c r="A79" s="1471" t="str">
        <f>IF(E79="","",'Flächen u. Kulturen'!A77)</f>
        <v/>
      </c>
      <c r="B79" s="1273" t="str">
        <f>IF('Flächen u. Kulturen'!C77="","",'Flächen u. Kulturen'!C77)</f>
        <v/>
      </c>
      <c r="C79" s="1273" t="str">
        <f>IF('Flächen u. Kulturen'!B77="","",'Flächen u. Kulturen'!B77)</f>
        <v/>
      </c>
      <c r="D79" s="1452" t="str">
        <f>IF(E79="","",IF('#BerechnungDBE'!S72=1,"x",""))</f>
        <v/>
      </c>
      <c r="E79" s="1472" t="str">
        <f>IF('Flächen u. Kulturen'!D77="","",'Flächen u. Kulturen'!D77)</f>
        <v/>
      </c>
      <c r="F79" s="1255" t="str">
        <f>IF(E79="","",IF('Flächen u. Kulturen'!E77="x",'Flächen u. Kulturen'!P77,"       nicht im Betrieb"))</f>
        <v/>
      </c>
      <c r="G79" s="1272" t="str">
        <f>IF(OR(E79="",'Flächen u. Kulturen'!E77&lt;&gt;"x"),"",IF('#BerechnungDBE'!N72=3,'Flächen u. Kulturen'!R77,'Flächen u. Kulturen'!Q77))</f>
        <v/>
      </c>
      <c r="H79" s="1467" t="str">
        <f>IF(G79="","",'#BerechnungDBE'!AR72)</f>
        <v/>
      </c>
      <c r="I79" s="1272" t="str">
        <f>IF(G79="","",'#BerechnungDBE'!AT72)</f>
        <v/>
      </c>
      <c r="J79" s="1272" t="str">
        <f>IF(G79="","",'#BerechnungDBE'!AU72)</f>
        <v/>
      </c>
      <c r="K79" s="1272" t="str">
        <f>IF(G79="","",'#BerechnungDBE'!AV72)</f>
        <v/>
      </c>
      <c r="L79" s="1272" t="str">
        <f>IF(G79="","",'#BerechnungDBE'!AW72)</f>
        <v/>
      </c>
      <c r="M79" s="1272" t="str">
        <f>IF(G79="","",'#BerechnungDBE'!AS72)</f>
        <v/>
      </c>
      <c r="N79" s="1272" t="str">
        <f>IF(G79="","",'#BerechnungDBE'!AX72)</f>
        <v/>
      </c>
      <c r="O79" s="1272" t="str">
        <f>IF(G79="","",'#BerechnungDBE'!AY72)</f>
        <v/>
      </c>
      <c r="P79" s="1272" t="str">
        <f>IF(G79="","",'#BerechnungDBE'!AZ72)</f>
        <v/>
      </c>
      <c r="Q79" s="1460" t="str">
        <f>IF(G79="","",IF('Flächen u. Kulturen'!X77="OK",'#BerechnungDBE'!BA72,"n.b."))</f>
        <v/>
      </c>
      <c r="R79" s="1460" t="str">
        <f>IF(G79="","",'#BerechnungDBE'!BF72)</f>
        <v/>
      </c>
      <c r="S79" s="1468" t="str">
        <f>IF(OR(G79="",AND(D79="",'#BerechnungDBE'!BH72=0)),"",IF('Flächen u. Kulturen'!X77="OK",'#BerechnungDBE'!BH72,"n.b."))</f>
        <v/>
      </c>
      <c r="T79" s="1460" t="str">
        <f>IF(G79="","",IF('Flächen u. Kulturen'!X77="OK",'#BerechnungDBE'!BJ72,"n.b."))</f>
        <v/>
      </c>
      <c r="U79" s="1460" t="str">
        <f>IF(G79="","",IF('Flächen u. Kulturen'!X77="OK",ROUNDDOWN('#BerechnungDBE'!BL72,0),"n.b."))</f>
        <v/>
      </c>
      <c r="V79" s="1456" t="str">
        <f>IF(G79="","",IF('Flächen u. Kulturen'!X77="OK",ROUNDDOWN('#BerechnungDBE'!BL72/27,1),"n.b."))</f>
        <v/>
      </c>
      <c r="W79" s="1461"/>
      <c r="X79" s="1469" t="str">
        <f>IF(E79="","",'#minDung'!P78)</f>
        <v/>
      </c>
      <c r="Y79" s="1461" t="str">
        <f>IF(G79="","",'#Kürzungen'!AQ96)</f>
        <v/>
      </c>
    </row>
    <row r="80" spans="1:25" s="880" customFormat="1" ht="15" customHeight="1" x14ac:dyDescent="0.2">
      <c r="A80" s="1471" t="str">
        <f>IF(E80="","",'Flächen u. Kulturen'!A78)</f>
        <v/>
      </c>
      <c r="B80" s="1273" t="str">
        <f>IF('Flächen u. Kulturen'!C78="","",'Flächen u. Kulturen'!C78)</f>
        <v/>
      </c>
      <c r="C80" s="1273" t="str">
        <f>IF('Flächen u. Kulturen'!B78="","",'Flächen u. Kulturen'!B78)</f>
        <v/>
      </c>
      <c r="D80" s="1452" t="str">
        <f>IF(E80="","",IF('#BerechnungDBE'!S73=1,"x",""))</f>
        <v/>
      </c>
      <c r="E80" s="1472" t="str">
        <f>IF('Flächen u. Kulturen'!D78="","",'Flächen u. Kulturen'!D78)</f>
        <v/>
      </c>
      <c r="F80" s="1255" t="str">
        <f>IF(E80="","",IF('Flächen u. Kulturen'!E78="x",'Flächen u. Kulturen'!P78,"       nicht im Betrieb"))</f>
        <v/>
      </c>
      <c r="G80" s="1272" t="str">
        <f>IF(OR(E80="",'Flächen u. Kulturen'!E78&lt;&gt;"x"),"",IF('#BerechnungDBE'!N73=3,'Flächen u. Kulturen'!R78,'Flächen u. Kulturen'!Q78))</f>
        <v/>
      </c>
      <c r="H80" s="1467" t="str">
        <f>IF(G80="","",'#BerechnungDBE'!AR73)</f>
        <v/>
      </c>
      <c r="I80" s="1272" t="str">
        <f>IF(G80="","",'#BerechnungDBE'!AT73)</f>
        <v/>
      </c>
      <c r="J80" s="1272" t="str">
        <f>IF(G80="","",'#BerechnungDBE'!AU73)</f>
        <v/>
      </c>
      <c r="K80" s="1272" t="str">
        <f>IF(G80="","",'#BerechnungDBE'!AV73)</f>
        <v/>
      </c>
      <c r="L80" s="1272" t="str">
        <f>IF(G80="","",'#BerechnungDBE'!AW73)</f>
        <v/>
      </c>
      <c r="M80" s="1272" t="str">
        <f>IF(G80="","",'#BerechnungDBE'!AS73)</f>
        <v/>
      </c>
      <c r="N80" s="1272" t="str">
        <f>IF(G80="","",'#BerechnungDBE'!AX73)</f>
        <v/>
      </c>
      <c r="O80" s="1272" t="str">
        <f>IF(G80="","",'#BerechnungDBE'!AY73)</f>
        <v/>
      </c>
      <c r="P80" s="1272" t="str">
        <f>IF(G80="","",'#BerechnungDBE'!AZ73)</f>
        <v/>
      </c>
      <c r="Q80" s="1460" t="str">
        <f>IF(G80="","",IF('Flächen u. Kulturen'!X78="OK",'#BerechnungDBE'!BA73,"n.b."))</f>
        <v/>
      </c>
      <c r="R80" s="1460" t="str">
        <f>IF(G80="","",'#BerechnungDBE'!BF73)</f>
        <v/>
      </c>
      <c r="S80" s="1468" t="str">
        <f>IF(OR(G80="",AND(D80="",'#BerechnungDBE'!BH73=0)),"",IF('Flächen u. Kulturen'!X78="OK",'#BerechnungDBE'!BH73,"n.b."))</f>
        <v/>
      </c>
      <c r="T80" s="1460" t="str">
        <f>IF(G80="","",IF('Flächen u. Kulturen'!X78="OK",'#BerechnungDBE'!BJ73,"n.b."))</f>
        <v/>
      </c>
      <c r="U80" s="1460" t="str">
        <f>IF(G80="","",IF('Flächen u. Kulturen'!X78="OK",ROUNDDOWN('#BerechnungDBE'!BL73,0),"n.b."))</f>
        <v/>
      </c>
      <c r="V80" s="1456" t="str">
        <f>IF(G80="","",IF('Flächen u. Kulturen'!X78="OK",ROUNDDOWN('#BerechnungDBE'!BL73/27,1),"n.b."))</f>
        <v/>
      </c>
      <c r="W80" s="1461"/>
      <c r="X80" s="1469" t="str">
        <f>IF(E80="","",'#minDung'!P79)</f>
        <v/>
      </c>
      <c r="Y80" s="1461" t="str">
        <f>IF(G80="","",'#Kürzungen'!AQ97)</f>
        <v/>
      </c>
    </row>
    <row r="81" spans="1:25" s="880" customFormat="1" ht="15" customHeight="1" x14ac:dyDescent="0.2">
      <c r="A81" s="1471" t="str">
        <f>IF(E81="","",'Flächen u. Kulturen'!A79)</f>
        <v/>
      </c>
      <c r="B81" s="1273" t="str">
        <f>IF('Flächen u. Kulturen'!C79="","",'Flächen u. Kulturen'!C79)</f>
        <v/>
      </c>
      <c r="C81" s="1273" t="str">
        <f>IF('Flächen u. Kulturen'!B79="","",'Flächen u. Kulturen'!B79)</f>
        <v/>
      </c>
      <c r="D81" s="1452" t="str">
        <f>IF(E81="","",IF('#BerechnungDBE'!S74=1,"x",""))</f>
        <v/>
      </c>
      <c r="E81" s="1472" t="str">
        <f>IF('Flächen u. Kulturen'!D79="","",'Flächen u. Kulturen'!D79)</f>
        <v/>
      </c>
      <c r="F81" s="1255" t="str">
        <f>IF(E81="","",IF('Flächen u. Kulturen'!E79="x",'Flächen u. Kulturen'!P79,"       nicht im Betrieb"))</f>
        <v/>
      </c>
      <c r="G81" s="1272" t="str">
        <f>IF(OR(E81="",'Flächen u. Kulturen'!E79&lt;&gt;"x"),"",IF('#BerechnungDBE'!N74=3,'Flächen u. Kulturen'!R79,'Flächen u. Kulturen'!Q79))</f>
        <v/>
      </c>
      <c r="H81" s="1467" t="str">
        <f>IF(G81="","",'#BerechnungDBE'!AR74)</f>
        <v/>
      </c>
      <c r="I81" s="1272" t="str">
        <f>IF(G81="","",'#BerechnungDBE'!AT74)</f>
        <v/>
      </c>
      <c r="J81" s="1272" t="str">
        <f>IF(G81="","",'#BerechnungDBE'!AU74)</f>
        <v/>
      </c>
      <c r="K81" s="1272" t="str">
        <f>IF(G81="","",'#BerechnungDBE'!AV74)</f>
        <v/>
      </c>
      <c r="L81" s="1272" t="str">
        <f>IF(G81="","",'#BerechnungDBE'!AW74)</f>
        <v/>
      </c>
      <c r="M81" s="1272" t="str">
        <f>IF(G81="","",'#BerechnungDBE'!AS74)</f>
        <v/>
      </c>
      <c r="N81" s="1272" t="str">
        <f>IF(G81="","",'#BerechnungDBE'!AX74)</f>
        <v/>
      </c>
      <c r="O81" s="1272" t="str">
        <f>IF(G81="","",'#BerechnungDBE'!AY74)</f>
        <v/>
      </c>
      <c r="P81" s="1272" t="str">
        <f>IF(G81="","",'#BerechnungDBE'!AZ74)</f>
        <v/>
      </c>
      <c r="Q81" s="1460" t="str">
        <f>IF(G81="","",IF('Flächen u. Kulturen'!X79="OK",'#BerechnungDBE'!BA74,"n.b."))</f>
        <v/>
      </c>
      <c r="R81" s="1460" t="str">
        <f>IF(G81="","",'#BerechnungDBE'!BF74)</f>
        <v/>
      </c>
      <c r="S81" s="1468" t="str">
        <f>IF(OR(G81="",AND(D81="",'#BerechnungDBE'!BH74=0)),"",IF('Flächen u. Kulturen'!X79="OK",'#BerechnungDBE'!BH74,"n.b."))</f>
        <v/>
      </c>
      <c r="T81" s="1460" t="str">
        <f>IF(G81="","",IF('Flächen u. Kulturen'!X79="OK",'#BerechnungDBE'!BJ74,"n.b."))</f>
        <v/>
      </c>
      <c r="U81" s="1460" t="str">
        <f>IF(G81="","",IF('Flächen u. Kulturen'!X79="OK",ROUNDDOWN('#BerechnungDBE'!BL74,0),"n.b."))</f>
        <v/>
      </c>
      <c r="V81" s="1456" t="str">
        <f>IF(G81="","",IF('Flächen u. Kulturen'!X79="OK",ROUNDDOWN('#BerechnungDBE'!BL74/27,1),"n.b."))</f>
        <v/>
      </c>
      <c r="W81" s="1461"/>
      <c r="X81" s="1469" t="str">
        <f>IF(E81="","",'#minDung'!P80)</f>
        <v/>
      </c>
      <c r="Y81" s="1461" t="str">
        <f>IF(G81="","",'#Kürzungen'!AQ98)</f>
        <v/>
      </c>
    </row>
    <row r="82" spans="1:25" s="880" customFormat="1" ht="15" customHeight="1" x14ac:dyDescent="0.2">
      <c r="A82" s="1471" t="str">
        <f>IF(E82="","",'Flächen u. Kulturen'!A80)</f>
        <v/>
      </c>
      <c r="B82" s="1273" t="str">
        <f>IF('Flächen u. Kulturen'!C80="","",'Flächen u. Kulturen'!C80)</f>
        <v/>
      </c>
      <c r="C82" s="1273" t="str">
        <f>IF('Flächen u. Kulturen'!B80="","",'Flächen u. Kulturen'!B80)</f>
        <v/>
      </c>
      <c r="D82" s="1452" t="str">
        <f>IF(E82="","",IF('#BerechnungDBE'!S75=1,"x",""))</f>
        <v/>
      </c>
      <c r="E82" s="1472" t="str">
        <f>IF('Flächen u. Kulturen'!D80="","",'Flächen u. Kulturen'!D80)</f>
        <v/>
      </c>
      <c r="F82" s="1255" t="str">
        <f>IF(E82="","",IF('Flächen u. Kulturen'!E80="x",'Flächen u. Kulturen'!P80,"       nicht im Betrieb"))</f>
        <v/>
      </c>
      <c r="G82" s="1272" t="str">
        <f>IF(OR(E82="",'Flächen u. Kulturen'!E80&lt;&gt;"x"),"",IF('#BerechnungDBE'!N75=3,'Flächen u. Kulturen'!R80,'Flächen u. Kulturen'!Q80))</f>
        <v/>
      </c>
      <c r="H82" s="1467" t="str">
        <f>IF(G82="","",'#BerechnungDBE'!AR75)</f>
        <v/>
      </c>
      <c r="I82" s="1272" t="str">
        <f>IF(G82="","",'#BerechnungDBE'!AT75)</f>
        <v/>
      </c>
      <c r="J82" s="1272" t="str">
        <f>IF(G82="","",'#BerechnungDBE'!AU75)</f>
        <v/>
      </c>
      <c r="K82" s="1272" t="str">
        <f>IF(G82="","",'#BerechnungDBE'!AV75)</f>
        <v/>
      </c>
      <c r="L82" s="1272" t="str">
        <f>IF(G82="","",'#BerechnungDBE'!AW75)</f>
        <v/>
      </c>
      <c r="M82" s="1272" t="str">
        <f>IF(G82="","",'#BerechnungDBE'!AS75)</f>
        <v/>
      </c>
      <c r="N82" s="1272" t="str">
        <f>IF(G82="","",'#BerechnungDBE'!AX75)</f>
        <v/>
      </c>
      <c r="O82" s="1272" t="str">
        <f>IF(G82="","",'#BerechnungDBE'!AY75)</f>
        <v/>
      </c>
      <c r="P82" s="1272" t="str">
        <f>IF(G82="","",'#BerechnungDBE'!AZ75)</f>
        <v/>
      </c>
      <c r="Q82" s="1460" t="str">
        <f>IF(G82="","",IF('Flächen u. Kulturen'!X80="OK",'#BerechnungDBE'!BA75,"n.b."))</f>
        <v/>
      </c>
      <c r="R82" s="1460" t="str">
        <f>IF(G82="","",'#BerechnungDBE'!BF75)</f>
        <v/>
      </c>
      <c r="S82" s="1468" t="str">
        <f>IF(OR(G82="",AND(D82="",'#BerechnungDBE'!BH75=0)),"",IF('Flächen u. Kulturen'!X80="OK",'#BerechnungDBE'!BH75,"n.b."))</f>
        <v/>
      </c>
      <c r="T82" s="1460" t="str">
        <f>IF(G82="","",IF('Flächen u. Kulturen'!X80="OK",'#BerechnungDBE'!BJ75,"n.b."))</f>
        <v/>
      </c>
      <c r="U82" s="1460" t="str">
        <f>IF(G82="","",IF('Flächen u. Kulturen'!X80="OK",ROUNDDOWN('#BerechnungDBE'!BL75,0),"n.b."))</f>
        <v/>
      </c>
      <c r="V82" s="1456" t="str">
        <f>IF(G82="","",IF('Flächen u. Kulturen'!X80="OK",ROUNDDOWN('#BerechnungDBE'!BL75/27,1),"n.b."))</f>
        <v/>
      </c>
      <c r="W82" s="1461"/>
      <c r="X82" s="1469" t="str">
        <f>IF(E82="","",'#minDung'!P81)</f>
        <v/>
      </c>
      <c r="Y82" s="1461" t="str">
        <f>IF(G82="","",'#Kürzungen'!AQ99)</f>
        <v/>
      </c>
    </row>
    <row r="83" spans="1:25" s="880" customFormat="1" ht="15" customHeight="1" x14ac:dyDescent="0.2">
      <c r="A83" s="1471" t="str">
        <f>IF(E83="","",'Flächen u. Kulturen'!A81)</f>
        <v/>
      </c>
      <c r="B83" s="1273" t="str">
        <f>IF('Flächen u. Kulturen'!C81="","",'Flächen u. Kulturen'!C81)</f>
        <v/>
      </c>
      <c r="C83" s="1273" t="str">
        <f>IF('Flächen u. Kulturen'!B81="","",'Flächen u. Kulturen'!B81)</f>
        <v/>
      </c>
      <c r="D83" s="1452" t="str">
        <f>IF(E83="","",IF('#BerechnungDBE'!S76=1,"x",""))</f>
        <v/>
      </c>
      <c r="E83" s="1472" t="str">
        <f>IF('Flächen u. Kulturen'!D81="","",'Flächen u. Kulturen'!D81)</f>
        <v/>
      </c>
      <c r="F83" s="1255" t="str">
        <f>IF(E83="","",IF('Flächen u. Kulturen'!E81="x",'Flächen u. Kulturen'!P81,"       nicht im Betrieb"))</f>
        <v/>
      </c>
      <c r="G83" s="1272" t="str">
        <f>IF(OR(E83="",'Flächen u. Kulturen'!E81&lt;&gt;"x"),"",IF('#BerechnungDBE'!N76=3,'Flächen u. Kulturen'!R81,'Flächen u. Kulturen'!Q81))</f>
        <v/>
      </c>
      <c r="H83" s="1467" t="str">
        <f>IF(G83="","",'#BerechnungDBE'!AR76)</f>
        <v/>
      </c>
      <c r="I83" s="1272" t="str">
        <f>IF(G83="","",'#BerechnungDBE'!AT76)</f>
        <v/>
      </c>
      <c r="J83" s="1272" t="str">
        <f>IF(G83="","",'#BerechnungDBE'!AU76)</f>
        <v/>
      </c>
      <c r="K83" s="1272" t="str">
        <f>IF(G83="","",'#BerechnungDBE'!AV76)</f>
        <v/>
      </c>
      <c r="L83" s="1272" t="str">
        <f>IF(G83="","",'#BerechnungDBE'!AW76)</f>
        <v/>
      </c>
      <c r="M83" s="1272" t="str">
        <f>IF(G83="","",'#BerechnungDBE'!AS76)</f>
        <v/>
      </c>
      <c r="N83" s="1272" t="str">
        <f>IF(G83="","",'#BerechnungDBE'!AX76)</f>
        <v/>
      </c>
      <c r="O83" s="1272" t="str">
        <f>IF(G83="","",'#BerechnungDBE'!AY76)</f>
        <v/>
      </c>
      <c r="P83" s="1272" t="str">
        <f>IF(G83="","",'#BerechnungDBE'!AZ76)</f>
        <v/>
      </c>
      <c r="Q83" s="1460" t="str">
        <f>IF(G83="","",IF('Flächen u. Kulturen'!X81="OK",'#BerechnungDBE'!BA76,"n.b."))</f>
        <v/>
      </c>
      <c r="R83" s="1460" t="str">
        <f>IF(G83="","",'#BerechnungDBE'!BF76)</f>
        <v/>
      </c>
      <c r="S83" s="1468" t="str">
        <f>IF(OR(G83="",AND(D83="",'#BerechnungDBE'!BH76=0)),"",IF('Flächen u. Kulturen'!X81="OK",'#BerechnungDBE'!BH76,"n.b."))</f>
        <v/>
      </c>
      <c r="T83" s="1460" t="str">
        <f>IF(G83="","",IF('Flächen u. Kulturen'!X81="OK",'#BerechnungDBE'!BJ76,"n.b."))</f>
        <v/>
      </c>
      <c r="U83" s="1460" t="str">
        <f>IF(G83="","",IF('Flächen u. Kulturen'!X81="OK",ROUNDDOWN('#BerechnungDBE'!BL76,0),"n.b."))</f>
        <v/>
      </c>
      <c r="V83" s="1456" t="str">
        <f>IF(G83="","",IF('Flächen u. Kulturen'!X81="OK",ROUNDDOWN('#BerechnungDBE'!BL76/27,1),"n.b."))</f>
        <v/>
      </c>
      <c r="W83" s="1461"/>
      <c r="X83" s="1469" t="str">
        <f>IF(E83="","",'#minDung'!P82)</f>
        <v/>
      </c>
      <c r="Y83" s="1461" t="str">
        <f>IF(G83="","",'#Kürzungen'!AQ100)</f>
        <v/>
      </c>
    </row>
    <row r="84" spans="1:25" s="880" customFormat="1" ht="15" customHeight="1" x14ac:dyDescent="0.2">
      <c r="A84" s="1471" t="str">
        <f>IF(E84="","",'Flächen u. Kulturen'!A82)</f>
        <v/>
      </c>
      <c r="B84" s="1273" t="str">
        <f>IF('Flächen u. Kulturen'!C82="","",'Flächen u. Kulturen'!C82)</f>
        <v/>
      </c>
      <c r="C84" s="1273" t="str">
        <f>IF('Flächen u. Kulturen'!B82="","",'Flächen u. Kulturen'!B82)</f>
        <v/>
      </c>
      <c r="D84" s="1452" t="str">
        <f>IF(E84="","",IF('#BerechnungDBE'!S77=1,"x",""))</f>
        <v/>
      </c>
      <c r="E84" s="1472" t="str">
        <f>IF('Flächen u. Kulturen'!D82="","",'Flächen u. Kulturen'!D82)</f>
        <v/>
      </c>
      <c r="F84" s="1255" t="str">
        <f>IF(E84="","",IF('Flächen u. Kulturen'!E82="x",'Flächen u. Kulturen'!P82,"       nicht im Betrieb"))</f>
        <v/>
      </c>
      <c r="G84" s="1272" t="str">
        <f>IF(OR(E84="",'Flächen u. Kulturen'!E82&lt;&gt;"x"),"",IF('#BerechnungDBE'!N77=3,'Flächen u. Kulturen'!R82,'Flächen u. Kulturen'!Q82))</f>
        <v/>
      </c>
      <c r="H84" s="1467" t="str">
        <f>IF(G84="","",'#BerechnungDBE'!AR77)</f>
        <v/>
      </c>
      <c r="I84" s="1272" t="str">
        <f>IF(G84="","",'#BerechnungDBE'!AT77)</f>
        <v/>
      </c>
      <c r="J84" s="1272" t="str">
        <f>IF(G84="","",'#BerechnungDBE'!AU77)</f>
        <v/>
      </c>
      <c r="K84" s="1272" t="str">
        <f>IF(G84="","",'#BerechnungDBE'!AV77)</f>
        <v/>
      </c>
      <c r="L84" s="1272" t="str">
        <f>IF(G84="","",'#BerechnungDBE'!AW77)</f>
        <v/>
      </c>
      <c r="M84" s="1272" t="str">
        <f>IF(G84="","",'#BerechnungDBE'!AS77)</f>
        <v/>
      </c>
      <c r="N84" s="1272" t="str">
        <f>IF(G84="","",'#BerechnungDBE'!AX77)</f>
        <v/>
      </c>
      <c r="O84" s="1272" t="str">
        <f>IF(G84="","",'#BerechnungDBE'!AY77)</f>
        <v/>
      </c>
      <c r="P84" s="1272" t="str">
        <f>IF(G84="","",'#BerechnungDBE'!AZ77)</f>
        <v/>
      </c>
      <c r="Q84" s="1460" t="str">
        <f>IF(G84="","",IF('Flächen u. Kulturen'!X82="OK",'#BerechnungDBE'!BA77,"n.b."))</f>
        <v/>
      </c>
      <c r="R84" s="1460" t="str">
        <f>IF(G84="","",'#BerechnungDBE'!BF77)</f>
        <v/>
      </c>
      <c r="S84" s="1468" t="str">
        <f>IF(OR(G84="",AND(D84="",'#BerechnungDBE'!BH77=0)),"",IF('Flächen u. Kulturen'!X82="OK",'#BerechnungDBE'!BH77,"n.b."))</f>
        <v/>
      </c>
      <c r="T84" s="1460" t="str">
        <f>IF(G84="","",IF('Flächen u. Kulturen'!X82="OK",'#BerechnungDBE'!BJ77,"n.b."))</f>
        <v/>
      </c>
      <c r="U84" s="1460" t="str">
        <f>IF(G84="","",IF('Flächen u. Kulturen'!X82="OK",ROUNDDOWN('#BerechnungDBE'!BL77,0),"n.b."))</f>
        <v/>
      </c>
      <c r="V84" s="1456" t="str">
        <f>IF(G84="","",IF('Flächen u. Kulturen'!X82="OK",ROUNDDOWN('#BerechnungDBE'!BL77/27,1),"n.b."))</f>
        <v/>
      </c>
      <c r="W84" s="1461"/>
      <c r="X84" s="1469" t="str">
        <f>IF(E84="","",'#minDung'!P83)</f>
        <v/>
      </c>
      <c r="Y84" s="1461" t="str">
        <f>IF(G84="","",'#Kürzungen'!AQ101)</f>
        <v/>
      </c>
    </row>
    <row r="85" spans="1:25" s="880" customFormat="1" ht="15" customHeight="1" x14ac:dyDescent="0.2">
      <c r="A85" s="1471" t="str">
        <f>IF(E85="","",'Flächen u. Kulturen'!A83)</f>
        <v/>
      </c>
      <c r="B85" s="1273" t="str">
        <f>IF('Flächen u. Kulturen'!C83="","",'Flächen u. Kulturen'!C83)</f>
        <v/>
      </c>
      <c r="C85" s="1273" t="str">
        <f>IF('Flächen u. Kulturen'!B83="","",'Flächen u. Kulturen'!B83)</f>
        <v/>
      </c>
      <c r="D85" s="1452" t="str">
        <f>IF(E85="","",IF('#BerechnungDBE'!S78=1,"x",""))</f>
        <v/>
      </c>
      <c r="E85" s="1472" t="str">
        <f>IF('Flächen u. Kulturen'!D83="","",'Flächen u. Kulturen'!D83)</f>
        <v/>
      </c>
      <c r="F85" s="1255" t="str">
        <f>IF(E85="","",IF('Flächen u. Kulturen'!E83="x",'Flächen u. Kulturen'!P83,"       nicht im Betrieb"))</f>
        <v/>
      </c>
      <c r="G85" s="1272" t="str">
        <f>IF(OR(E85="",'Flächen u. Kulturen'!E83&lt;&gt;"x"),"",IF('#BerechnungDBE'!N78=3,'Flächen u. Kulturen'!R83,'Flächen u. Kulturen'!Q83))</f>
        <v/>
      </c>
      <c r="H85" s="1467" t="str">
        <f>IF(G85="","",'#BerechnungDBE'!AR78)</f>
        <v/>
      </c>
      <c r="I85" s="1272" t="str">
        <f>IF(G85="","",'#BerechnungDBE'!AT78)</f>
        <v/>
      </c>
      <c r="J85" s="1272" t="str">
        <f>IF(G85="","",'#BerechnungDBE'!AU78)</f>
        <v/>
      </c>
      <c r="K85" s="1272" t="str">
        <f>IF(G85="","",'#BerechnungDBE'!AV78)</f>
        <v/>
      </c>
      <c r="L85" s="1272" t="str">
        <f>IF(G85="","",'#BerechnungDBE'!AW78)</f>
        <v/>
      </c>
      <c r="M85" s="1272" t="str">
        <f>IF(G85="","",'#BerechnungDBE'!AS78)</f>
        <v/>
      </c>
      <c r="N85" s="1272" t="str">
        <f>IF(G85="","",'#BerechnungDBE'!AX78)</f>
        <v/>
      </c>
      <c r="O85" s="1272" t="str">
        <f>IF(G85="","",'#BerechnungDBE'!AY78)</f>
        <v/>
      </c>
      <c r="P85" s="1272" t="str">
        <f>IF(G85="","",'#BerechnungDBE'!AZ78)</f>
        <v/>
      </c>
      <c r="Q85" s="1460" t="str">
        <f>IF(G85="","",IF('Flächen u. Kulturen'!X83="OK",'#BerechnungDBE'!BA78,"n.b."))</f>
        <v/>
      </c>
      <c r="R85" s="1460" t="str">
        <f>IF(G85="","",'#BerechnungDBE'!BF78)</f>
        <v/>
      </c>
      <c r="S85" s="1468" t="str">
        <f>IF(OR(G85="",AND(D85="",'#BerechnungDBE'!BH78=0)),"",IF('Flächen u. Kulturen'!X83="OK",'#BerechnungDBE'!BH78,"n.b."))</f>
        <v/>
      </c>
      <c r="T85" s="1460" t="str">
        <f>IF(G85="","",IF('Flächen u. Kulturen'!X83="OK",'#BerechnungDBE'!BJ78,"n.b."))</f>
        <v/>
      </c>
      <c r="U85" s="1460" t="str">
        <f>IF(G85="","",IF('Flächen u. Kulturen'!X83="OK",ROUNDDOWN('#BerechnungDBE'!BL78,0),"n.b."))</f>
        <v/>
      </c>
      <c r="V85" s="1456" t="str">
        <f>IF(G85="","",IF('Flächen u. Kulturen'!X83="OK",ROUNDDOWN('#BerechnungDBE'!BL78/27,1),"n.b."))</f>
        <v/>
      </c>
      <c r="W85" s="1461"/>
      <c r="X85" s="1469" t="str">
        <f>IF(E85="","",'#minDung'!P84)</f>
        <v/>
      </c>
      <c r="Y85" s="1461" t="str">
        <f>IF(G85="","",'#Kürzungen'!AQ102)</f>
        <v/>
      </c>
    </row>
    <row r="86" spans="1:25" s="880" customFormat="1" ht="15" customHeight="1" x14ac:dyDescent="0.2">
      <c r="A86" s="1471" t="str">
        <f>IF(E86="","",'Flächen u. Kulturen'!A84)</f>
        <v/>
      </c>
      <c r="B86" s="1273" t="str">
        <f>IF('Flächen u. Kulturen'!C84="","",'Flächen u. Kulturen'!C84)</f>
        <v/>
      </c>
      <c r="C86" s="1273" t="str">
        <f>IF('Flächen u. Kulturen'!B84="","",'Flächen u. Kulturen'!B84)</f>
        <v/>
      </c>
      <c r="D86" s="1452" t="str">
        <f>IF(E86="","",IF('#BerechnungDBE'!S79=1,"x",""))</f>
        <v/>
      </c>
      <c r="E86" s="1472" t="str">
        <f>IF('Flächen u. Kulturen'!D84="","",'Flächen u. Kulturen'!D84)</f>
        <v/>
      </c>
      <c r="F86" s="1255" t="str">
        <f>IF(E86="","",IF('Flächen u. Kulturen'!E84="x",'Flächen u. Kulturen'!P84,"       nicht im Betrieb"))</f>
        <v/>
      </c>
      <c r="G86" s="1272" t="str">
        <f>IF(OR(E86="",'Flächen u. Kulturen'!E84&lt;&gt;"x"),"",IF('#BerechnungDBE'!N79=3,'Flächen u. Kulturen'!R84,'Flächen u. Kulturen'!Q84))</f>
        <v/>
      </c>
      <c r="H86" s="1467" t="str">
        <f>IF(G86="","",'#BerechnungDBE'!AR79)</f>
        <v/>
      </c>
      <c r="I86" s="1272" t="str">
        <f>IF(G86="","",'#BerechnungDBE'!AT79)</f>
        <v/>
      </c>
      <c r="J86" s="1272" t="str">
        <f>IF(G86="","",'#BerechnungDBE'!AU79)</f>
        <v/>
      </c>
      <c r="K86" s="1272" t="str">
        <f>IF(G86="","",'#BerechnungDBE'!AV79)</f>
        <v/>
      </c>
      <c r="L86" s="1272" t="str">
        <f>IF(G86="","",'#BerechnungDBE'!AW79)</f>
        <v/>
      </c>
      <c r="M86" s="1272" t="str">
        <f>IF(G86="","",'#BerechnungDBE'!AS79)</f>
        <v/>
      </c>
      <c r="N86" s="1272" t="str">
        <f>IF(G86="","",'#BerechnungDBE'!AX79)</f>
        <v/>
      </c>
      <c r="O86" s="1272" t="str">
        <f>IF(G86="","",'#BerechnungDBE'!AY79)</f>
        <v/>
      </c>
      <c r="P86" s="1272" t="str">
        <f>IF(G86="","",'#BerechnungDBE'!AZ79)</f>
        <v/>
      </c>
      <c r="Q86" s="1460" t="str">
        <f>IF(G86="","",IF('Flächen u. Kulturen'!X84="OK",'#BerechnungDBE'!BA79,"n.b."))</f>
        <v/>
      </c>
      <c r="R86" s="1460" t="str">
        <f>IF(G86="","",'#BerechnungDBE'!BF79)</f>
        <v/>
      </c>
      <c r="S86" s="1468" t="str">
        <f>IF(OR(G86="",AND(D86="",'#BerechnungDBE'!BH79=0)),"",IF('Flächen u. Kulturen'!X84="OK",'#BerechnungDBE'!BH79,"n.b."))</f>
        <v/>
      </c>
      <c r="T86" s="1460" t="str">
        <f>IF(G86="","",IF('Flächen u. Kulturen'!X84="OK",'#BerechnungDBE'!BJ79,"n.b."))</f>
        <v/>
      </c>
      <c r="U86" s="1460" t="str">
        <f>IF(G86="","",IF('Flächen u. Kulturen'!X84="OK",ROUNDDOWN('#BerechnungDBE'!BL79,0),"n.b."))</f>
        <v/>
      </c>
      <c r="V86" s="1456" t="str">
        <f>IF(G86="","",IF('Flächen u. Kulturen'!X84="OK",ROUNDDOWN('#BerechnungDBE'!BL79/27,1),"n.b."))</f>
        <v/>
      </c>
      <c r="W86" s="1461"/>
      <c r="X86" s="1469" t="str">
        <f>IF(E86="","",'#minDung'!P85)</f>
        <v/>
      </c>
      <c r="Y86" s="1461" t="str">
        <f>IF(G86="","",'#Kürzungen'!AQ103)</f>
        <v/>
      </c>
    </row>
    <row r="87" spans="1:25" s="880" customFormat="1" ht="15" customHeight="1" x14ac:dyDescent="0.2">
      <c r="A87" s="1471" t="str">
        <f>IF(E87="","",'Flächen u. Kulturen'!A85)</f>
        <v/>
      </c>
      <c r="B87" s="1273" t="str">
        <f>IF('Flächen u. Kulturen'!C85="","",'Flächen u. Kulturen'!C85)</f>
        <v/>
      </c>
      <c r="C87" s="1273" t="str">
        <f>IF('Flächen u. Kulturen'!B85="","",'Flächen u. Kulturen'!B85)</f>
        <v/>
      </c>
      <c r="D87" s="1452" t="str">
        <f>IF(E87="","",IF('#BerechnungDBE'!S80=1,"x",""))</f>
        <v/>
      </c>
      <c r="E87" s="1472" t="str">
        <f>IF('Flächen u. Kulturen'!D85="","",'Flächen u. Kulturen'!D85)</f>
        <v/>
      </c>
      <c r="F87" s="1255" t="str">
        <f>IF(E87="","",IF('Flächen u. Kulturen'!E85="x",'Flächen u. Kulturen'!P85,"       nicht im Betrieb"))</f>
        <v/>
      </c>
      <c r="G87" s="1272" t="str">
        <f>IF(OR(E87="",'Flächen u. Kulturen'!E85&lt;&gt;"x"),"",IF('#BerechnungDBE'!N80=3,'Flächen u. Kulturen'!R85,'Flächen u. Kulturen'!Q85))</f>
        <v/>
      </c>
      <c r="H87" s="1467" t="str">
        <f>IF(G87="","",'#BerechnungDBE'!AR80)</f>
        <v/>
      </c>
      <c r="I87" s="1272" t="str">
        <f>IF(G87="","",'#BerechnungDBE'!AT80)</f>
        <v/>
      </c>
      <c r="J87" s="1272" t="str">
        <f>IF(G87="","",'#BerechnungDBE'!AU80)</f>
        <v/>
      </c>
      <c r="K87" s="1272" t="str">
        <f>IF(G87="","",'#BerechnungDBE'!AV80)</f>
        <v/>
      </c>
      <c r="L87" s="1272" t="str">
        <f>IF(G87="","",'#BerechnungDBE'!AW80)</f>
        <v/>
      </c>
      <c r="M87" s="1272" t="str">
        <f>IF(G87="","",'#BerechnungDBE'!AS80)</f>
        <v/>
      </c>
      <c r="N87" s="1272" t="str">
        <f>IF(G87="","",'#BerechnungDBE'!AX80)</f>
        <v/>
      </c>
      <c r="O87" s="1272" t="str">
        <f>IF(G87="","",'#BerechnungDBE'!AY80)</f>
        <v/>
      </c>
      <c r="P87" s="1272" t="str">
        <f>IF(G87="","",'#BerechnungDBE'!AZ80)</f>
        <v/>
      </c>
      <c r="Q87" s="1460" t="str">
        <f>IF(G87="","",IF('Flächen u. Kulturen'!X85="OK",'#BerechnungDBE'!BA80,"n.b."))</f>
        <v/>
      </c>
      <c r="R87" s="1460" t="str">
        <f>IF(G87="","",'#BerechnungDBE'!BF80)</f>
        <v/>
      </c>
      <c r="S87" s="1468" t="str">
        <f>IF(OR(G87="",AND(D87="",'#BerechnungDBE'!BH80=0)),"",IF('Flächen u. Kulturen'!X85="OK",'#BerechnungDBE'!BH80,"n.b."))</f>
        <v/>
      </c>
      <c r="T87" s="1460" t="str">
        <f>IF(G87="","",IF('Flächen u. Kulturen'!X85="OK",'#BerechnungDBE'!BJ80,"n.b."))</f>
        <v/>
      </c>
      <c r="U87" s="1460" t="str">
        <f>IF(G87="","",IF('Flächen u. Kulturen'!X85="OK",ROUNDDOWN('#BerechnungDBE'!BL80,0),"n.b."))</f>
        <v/>
      </c>
      <c r="V87" s="1456" t="str">
        <f>IF(G87="","",IF('Flächen u. Kulturen'!X85="OK",ROUNDDOWN('#BerechnungDBE'!BL80/27,1),"n.b."))</f>
        <v/>
      </c>
      <c r="W87" s="1461"/>
      <c r="X87" s="1469" t="str">
        <f>IF(E87="","",'#minDung'!P86)</f>
        <v/>
      </c>
      <c r="Y87" s="1461" t="str">
        <f>IF(G87="","",'#Kürzungen'!AQ104)</f>
        <v/>
      </c>
    </row>
    <row r="88" spans="1:25" s="880" customFormat="1" ht="15" customHeight="1" x14ac:dyDescent="0.2">
      <c r="A88" s="1471" t="str">
        <f>IF(E88="","",'Flächen u. Kulturen'!A86)</f>
        <v/>
      </c>
      <c r="B88" s="1273" t="str">
        <f>IF('Flächen u. Kulturen'!C86="","",'Flächen u. Kulturen'!C86)</f>
        <v/>
      </c>
      <c r="C88" s="1273" t="str">
        <f>IF('Flächen u. Kulturen'!B86="","",'Flächen u. Kulturen'!B86)</f>
        <v/>
      </c>
      <c r="D88" s="1452" t="str">
        <f>IF(E88="","",IF('#BerechnungDBE'!S81=1,"x",""))</f>
        <v/>
      </c>
      <c r="E88" s="1472" t="str">
        <f>IF('Flächen u. Kulturen'!D86="","",'Flächen u. Kulturen'!D86)</f>
        <v/>
      </c>
      <c r="F88" s="1255" t="str">
        <f>IF(E88="","",IF('Flächen u. Kulturen'!E86="x",'Flächen u. Kulturen'!P86,"       nicht im Betrieb"))</f>
        <v/>
      </c>
      <c r="G88" s="1272" t="str">
        <f>IF(OR(E88="",'Flächen u. Kulturen'!E86&lt;&gt;"x"),"",IF('#BerechnungDBE'!N81=3,'Flächen u. Kulturen'!R86,'Flächen u. Kulturen'!Q86))</f>
        <v/>
      </c>
      <c r="H88" s="1467" t="str">
        <f>IF(G88="","",'#BerechnungDBE'!AR81)</f>
        <v/>
      </c>
      <c r="I88" s="1272" t="str">
        <f>IF(G88="","",'#BerechnungDBE'!AT81)</f>
        <v/>
      </c>
      <c r="J88" s="1272" t="str">
        <f>IF(G88="","",'#BerechnungDBE'!AU81)</f>
        <v/>
      </c>
      <c r="K88" s="1272" t="str">
        <f>IF(G88="","",'#BerechnungDBE'!AV81)</f>
        <v/>
      </c>
      <c r="L88" s="1272" t="str">
        <f>IF(G88="","",'#BerechnungDBE'!AW81)</f>
        <v/>
      </c>
      <c r="M88" s="1272" t="str">
        <f>IF(G88="","",'#BerechnungDBE'!AS81)</f>
        <v/>
      </c>
      <c r="N88" s="1272" t="str">
        <f>IF(G88="","",'#BerechnungDBE'!AX81)</f>
        <v/>
      </c>
      <c r="O88" s="1272" t="str">
        <f>IF(G88="","",'#BerechnungDBE'!AY81)</f>
        <v/>
      </c>
      <c r="P88" s="1272" t="str">
        <f>IF(G88="","",'#BerechnungDBE'!AZ81)</f>
        <v/>
      </c>
      <c r="Q88" s="1460" t="str">
        <f>IF(G88="","",IF('Flächen u. Kulturen'!X86="OK",'#BerechnungDBE'!BA81,"n.b."))</f>
        <v/>
      </c>
      <c r="R88" s="1460" t="str">
        <f>IF(G88="","",'#BerechnungDBE'!BF81)</f>
        <v/>
      </c>
      <c r="S88" s="1468" t="str">
        <f>IF(OR(G88="",AND(D88="",'#BerechnungDBE'!BH81=0)),"",IF('Flächen u. Kulturen'!X86="OK",'#BerechnungDBE'!BH81,"n.b."))</f>
        <v/>
      </c>
      <c r="T88" s="1460" t="str">
        <f>IF(G88="","",IF('Flächen u. Kulturen'!X86="OK",'#BerechnungDBE'!BJ81,"n.b."))</f>
        <v/>
      </c>
      <c r="U88" s="1460" t="str">
        <f>IF(G88="","",IF('Flächen u. Kulturen'!X86="OK",ROUNDDOWN('#BerechnungDBE'!BL81,0),"n.b."))</f>
        <v/>
      </c>
      <c r="V88" s="1456" t="str">
        <f>IF(G88="","",IF('Flächen u. Kulturen'!X86="OK",ROUNDDOWN('#BerechnungDBE'!BL81/27,1),"n.b."))</f>
        <v/>
      </c>
      <c r="W88" s="1461"/>
      <c r="X88" s="1469" t="str">
        <f>IF(E88="","",'#minDung'!P87)</f>
        <v/>
      </c>
      <c r="Y88" s="1461" t="str">
        <f>IF(G88="","",'#Kürzungen'!AQ105)</f>
        <v/>
      </c>
    </row>
    <row r="89" spans="1:25" s="880" customFormat="1" ht="15" customHeight="1" x14ac:dyDescent="0.2">
      <c r="A89" s="1471" t="str">
        <f>IF(E89="","",'Flächen u. Kulturen'!A87)</f>
        <v/>
      </c>
      <c r="B89" s="1273" t="str">
        <f>IF('Flächen u. Kulturen'!C87="","",'Flächen u. Kulturen'!C87)</f>
        <v/>
      </c>
      <c r="C89" s="1273" t="str">
        <f>IF('Flächen u. Kulturen'!B87="","",'Flächen u. Kulturen'!B87)</f>
        <v/>
      </c>
      <c r="D89" s="1452" t="str">
        <f>IF(E89="","",IF('#BerechnungDBE'!S82=1,"x",""))</f>
        <v/>
      </c>
      <c r="E89" s="1472" t="str">
        <f>IF('Flächen u. Kulturen'!D87="","",'Flächen u. Kulturen'!D87)</f>
        <v/>
      </c>
      <c r="F89" s="1255" t="str">
        <f>IF(E89="","",IF('Flächen u. Kulturen'!E87="x",'Flächen u. Kulturen'!P87,"       nicht im Betrieb"))</f>
        <v/>
      </c>
      <c r="G89" s="1272" t="str">
        <f>IF(OR(E89="",'Flächen u. Kulturen'!E87&lt;&gt;"x"),"",IF('#BerechnungDBE'!N82=3,'Flächen u. Kulturen'!R87,'Flächen u. Kulturen'!Q87))</f>
        <v/>
      </c>
      <c r="H89" s="1467" t="str">
        <f>IF(G89="","",'#BerechnungDBE'!AR82)</f>
        <v/>
      </c>
      <c r="I89" s="1272" t="str">
        <f>IF(G89="","",'#BerechnungDBE'!AT82)</f>
        <v/>
      </c>
      <c r="J89" s="1272" t="str">
        <f>IF(G89="","",'#BerechnungDBE'!AU82)</f>
        <v/>
      </c>
      <c r="K89" s="1272" t="str">
        <f>IF(G89="","",'#BerechnungDBE'!AV82)</f>
        <v/>
      </c>
      <c r="L89" s="1272" t="str">
        <f>IF(G89="","",'#BerechnungDBE'!AW82)</f>
        <v/>
      </c>
      <c r="M89" s="1272" t="str">
        <f>IF(G89="","",'#BerechnungDBE'!AS82)</f>
        <v/>
      </c>
      <c r="N89" s="1272" t="str">
        <f>IF(G89="","",'#BerechnungDBE'!AX82)</f>
        <v/>
      </c>
      <c r="O89" s="1272" t="str">
        <f>IF(G89="","",'#BerechnungDBE'!AY82)</f>
        <v/>
      </c>
      <c r="P89" s="1272" t="str">
        <f>IF(G89="","",'#BerechnungDBE'!AZ82)</f>
        <v/>
      </c>
      <c r="Q89" s="1460" t="str">
        <f>IF(G89="","",IF('Flächen u. Kulturen'!X87="OK",'#BerechnungDBE'!BA82,"n.b."))</f>
        <v/>
      </c>
      <c r="R89" s="1460" t="str">
        <f>IF(G89="","",'#BerechnungDBE'!BF82)</f>
        <v/>
      </c>
      <c r="S89" s="1468" t="str">
        <f>IF(OR(G89="",AND(D89="",'#BerechnungDBE'!BH82=0)),"",IF('Flächen u. Kulturen'!X87="OK",'#BerechnungDBE'!BH82,"n.b."))</f>
        <v/>
      </c>
      <c r="T89" s="1460" t="str">
        <f>IF(G89="","",IF('Flächen u. Kulturen'!X87="OK",'#BerechnungDBE'!BJ82,"n.b."))</f>
        <v/>
      </c>
      <c r="U89" s="1460" t="str">
        <f>IF(G89="","",IF('Flächen u. Kulturen'!X87="OK",ROUNDDOWN('#BerechnungDBE'!BL82,0),"n.b."))</f>
        <v/>
      </c>
      <c r="V89" s="1456" t="str">
        <f>IF(G89="","",IF('Flächen u. Kulturen'!X87="OK",ROUNDDOWN('#BerechnungDBE'!BL82/27,1),"n.b."))</f>
        <v/>
      </c>
      <c r="W89" s="1461"/>
      <c r="X89" s="1469" t="str">
        <f>IF(E89="","",'#minDung'!P88)</f>
        <v/>
      </c>
      <c r="Y89" s="1461" t="str">
        <f>IF(G89="","",'#Kürzungen'!AQ106)</f>
        <v/>
      </c>
    </row>
    <row r="90" spans="1:25" s="880" customFormat="1" ht="15" customHeight="1" x14ac:dyDescent="0.2">
      <c r="A90" s="1471" t="str">
        <f>IF(E90="","",'Flächen u. Kulturen'!A88)</f>
        <v/>
      </c>
      <c r="B90" s="1273" t="str">
        <f>IF('Flächen u. Kulturen'!C88="","",'Flächen u. Kulturen'!C88)</f>
        <v/>
      </c>
      <c r="C90" s="1273" t="str">
        <f>IF('Flächen u. Kulturen'!B88="","",'Flächen u. Kulturen'!B88)</f>
        <v/>
      </c>
      <c r="D90" s="1452" t="str">
        <f>IF(E90="","",IF('#BerechnungDBE'!S83=1,"x",""))</f>
        <v/>
      </c>
      <c r="E90" s="1472" t="str">
        <f>IF('Flächen u. Kulturen'!D88="","",'Flächen u. Kulturen'!D88)</f>
        <v/>
      </c>
      <c r="F90" s="1255" t="str">
        <f>IF(E90="","",IF('Flächen u. Kulturen'!E88="x",'Flächen u. Kulturen'!P88,"       nicht im Betrieb"))</f>
        <v/>
      </c>
      <c r="G90" s="1272" t="str">
        <f>IF(OR(E90="",'Flächen u. Kulturen'!E88&lt;&gt;"x"),"",IF('#BerechnungDBE'!N83=3,'Flächen u. Kulturen'!R88,'Flächen u. Kulturen'!Q88))</f>
        <v/>
      </c>
      <c r="H90" s="1467" t="str">
        <f>IF(G90="","",'#BerechnungDBE'!AR83)</f>
        <v/>
      </c>
      <c r="I90" s="1272" t="str">
        <f>IF(G90="","",'#BerechnungDBE'!AT83)</f>
        <v/>
      </c>
      <c r="J90" s="1272" t="str">
        <f>IF(G90="","",'#BerechnungDBE'!AU83)</f>
        <v/>
      </c>
      <c r="K90" s="1272" t="str">
        <f>IF(G90="","",'#BerechnungDBE'!AV83)</f>
        <v/>
      </c>
      <c r="L90" s="1272" t="str">
        <f>IF(G90="","",'#BerechnungDBE'!AW83)</f>
        <v/>
      </c>
      <c r="M90" s="1272" t="str">
        <f>IF(G90="","",'#BerechnungDBE'!AS83)</f>
        <v/>
      </c>
      <c r="N90" s="1272" t="str">
        <f>IF(G90="","",'#BerechnungDBE'!AX83)</f>
        <v/>
      </c>
      <c r="O90" s="1272" t="str">
        <f>IF(G90="","",'#BerechnungDBE'!AY83)</f>
        <v/>
      </c>
      <c r="P90" s="1272" t="str">
        <f>IF(G90="","",'#BerechnungDBE'!AZ83)</f>
        <v/>
      </c>
      <c r="Q90" s="1460" t="str">
        <f>IF(G90="","",IF('Flächen u. Kulturen'!X88="OK",'#BerechnungDBE'!BA83,"n.b."))</f>
        <v/>
      </c>
      <c r="R90" s="1460" t="str">
        <f>IF(G90="","",'#BerechnungDBE'!BF83)</f>
        <v/>
      </c>
      <c r="S90" s="1468" t="str">
        <f>IF(OR(G90="",AND(D90="",'#BerechnungDBE'!BH83=0)),"",IF('Flächen u. Kulturen'!X88="OK",'#BerechnungDBE'!BH83,"n.b."))</f>
        <v/>
      </c>
      <c r="T90" s="1460" t="str">
        <f>IF(G90="","",IF('Flächen u. Kulturen'!X88="OK",'#BerechnungDBE'!BJ83,"n.b."))</f>
        <v/>
      </c>
      <c r="U90" s="1460" t="str">
        <f>IF(G90="","",IF('Flächen u. Kulturen'!X88="OK",ROUNDDOWN('#BerechnungDBE'!BL83,0),"n.b."))</f>
        <v/>
      </c>
      <c r="V90" s="1456" t="str">
        <f>IF(G90="","",IF('Flächen u. Kulturen'!X88="OK",ROUNDDOWN('#BerechnungDBE'!BL83/27,1),"n.b."))</f>
        <v/>
      </c>
      <c r="W90" s="1461"/>
      <c r="X90" s="1469" t="str">
        <f>IF(E90="","",'#minDung'!P89)</f>
        <v/>
      </c>
      <c r="Y90" s="1461" t="str">
        <f>IF(G90="","",'#Kürzungen'!AQ107)</f>
        <v/>
      </c>
    </row>
    <row r="91" spans="1:25" s="880" customFormat="1" ht="15" customHeight="1" x14ac:dyDescent="0.2">
      <c r="A91" s="1471" t="str">
        <f>IF(E91="","",'Flächen u. Kulturen'!A89)</f>
        <v/>
      </c>
      <c r="B91" s="1273" t="str">
        <f>IF('Flächen u. Kulturen'!C89="","",'Flächen u. Kulturen'!C89)</f>
        <v/>
      </c>
      <c r="C91" s="1273" t="str">
        <f>IF('Flächen u. Kulturen'!B89="","",'Flächen u. Kulturen'!B89)</f>
        <v/>
      </c>
      <c r="D91" s="1452" t="str">
        <f>IF(E91="","",IF('#BerechnungDBE'!S84=1,"x",""))</f>
        <v/>
      </c>
      <c r="E91" s="1472" t="str">
        <f>IF('Flächen u. Kulturen'!D89="","",'Flächen u. Kulturen'!D89)</f>
        <v/>
      </c>
      <c r="F91" s="1255" t="str">
        <f>IF(E91="","",IF('Flächen u. Kulturen'!E89="x",'Flächen u. Kulturen'!P89,"       nicht im Betrieb"))</f>
        <v/>
      </c>
      <c r="G91" s="1272" t="str">
        <f>IF(OR(E91="",'Flächen u. Kulturen'!E89&lt;&gt;"x"),"",IF('#BerechnungDBE'!N84=3,'Flächen u. Kulturen'!R89,'Flächen u. Kulturen'!Q89))</f>
        <v/>
      </c>
      <c r="H91" s="1467" t="str">
        <f>IF(G91="","",'#BerechnungDBE'!AR84)</f>
        <v/>
      </c>
      <c r="I91" s="1272" t="str">
        <f>IF(G91="","",'#BerechnungDBE'!AT84)</f>
        <v/>
      </c>
      <c r="J91" s="1272" t="str">
        <f>IF(G91="","",'#BerechnungDBE'!AU84)</f>
        <v/>
      </c>
      <c r="K91" s="1272" t="str">
        <f>IF(G91="","",'#BerechnungDBE'!AV84)</f>
        <v/>
      </c>
      <c r="L91" s="1272" t="str">
        <f>IF(G91="","",'#BerechnungDBE'!AW84)</f>
        <v/>
      </c>
      <c r="M91" s="1272" t="str">
        <f>IF(G91="","",'#BerechnungDBE'!AS84)</f>
        <v/>
      </c>
      <c r="N91" s="1272" t="str">
        <f>IF(G91="","",'#BerechnungDBE'!AX84)</f>
        <v/>
      </c>
      <c r="O91" s="1272" t="str">
        <f>IF(G91="","",'#BerechnungDBE'!AY84)</f>
        <v/>
      </c>
      <c r="P91" s="1272" t="str">
        <f>IF(G91="","",'#BerechnungDBE'!AZ84)</f>
        <v/>
      </c>
      <c r="Q91" s="1460" t="str">
        <f>IF(G91="","",IF('Flächen u. Kulturen'!X89="OK",'#BerechnungDBE'!BA84,"n.b."))</f>
        <v/>
      </c>
      <c r="R91" s="1460" t="str">
        <f>IF(G91="","",'#BerechnungDBE'!BF84)</f>
        <v/>
      </c>
      <c r="S91" s="1468" t="str">
        <f>IF(OR(G91="",AND(D91="",'#BerechnungDBE'!BH84=0)),"",IF('Flächen u. Kulturen'!X89="OK",'#BerechnungDBE'!BH84,"n.b."))</f>
        <v/>
      </c>
      <c r="T91" s="1460" t="str">
        <f>IF(G91="","",IF('Flächen u. Kulturen'!X89="OK",'#BerechnungDBE'!BJ84,"n.b."))</f>
        <v/>
      </c>
      <c r="U91" s="1460" t="str">
        <f>IF(G91="","",IF('Flächen u. Kulturen'!X89="OK",ROUNDDOWN('#BerechnungDBE'!BL84,0),"n.b."))</f>
        <v/>
      </c>
      <c r="V91" s="1456" t="str">
        <f>IF(G91="","",IF('Flächen u. Kulturen'!X89="OK",ROUNDDOWN('#BerechnungDBE'!BL84/27,1),"n.b."))</f>
        <v/>
      </c>
      <c r="W91" s="1461"/>
      <c r="X91" s="1469" t="str">
        <f>IF(E91="","",'#minDung'!P90)</f>
        <v/>
      </c>
      <c r="Y91" s="1461" t="str">
        <f>IF(G91="","",'#Kürzungen'!AQ108)</f>
        <v/>
      </c>
    </row>
    <row r="92" spans="1:25" s="880" customFormat="1" ht="15" customHeight="1" x14ac:dyDescent="0.2">
      <c r="A92" s="1471" t="str">
        <f>IF(E92="","",'Flächen u. Kulturen'!A90)</f>
        <v/>
      </c>
      <c r="B92" s="1273" t="str">
        <f>IF('Flächen u. Kulturen'!C90="","",'Flächen u. Kulturen'!C90)</f>
        <v/>
      </c>
      <c r="C92" s="1273" t="str">
        <f>IF('Flächen u. Kulturen'!B90="","",'Flächen u. Kulturen'!B90)</f>
        <v/>
      </c>
      <c r="D92" s="1452" t="str">
        <f>IF(E92="","",IF('#BerechnungDBE'!S85=1,"x",""))</f>
        <v/>
      </c>
      <c r="E92" s="1472" t="str">
        <f>IF('Flächen u. Kulturen'!D90="","",'Flächen u. Kulturen'!D90)</f>
        <v/>
      </c>
      <c r="F92" s="1255" t="str">
        <f>IF(E92="","",IF('Flächen u. Kulturen'!E90="x",'Flächen u. Kulturen'!P90,"       nicht im Betrieb"))</f>
        <v/>
      </c>
      <c r="G92" s="1272" t="str">
        <f>IF(OR(E92="",'Flächen u. Kulturen'!E90&lt;&gt;"x"),"",IF('#BerechnungDBE'!N85=3,'Flächen u. Kulturen'!R90,'Flächen u. Kulturen'!Q90))</f>
        <v/>
      </c>
      <c r="H92" s="1467" t="str">
        <f>IF(G92="","",'#BerechnungDBE'!AR85)</f>
        <v/>
      </c>
      <c r="I92" s="1272" t="str">
        <f>IF(G92="","",'#BerechnungDBE'!AT85)</f>
        <v/>
      </c>
      <c r="J92" s="1272" t="str">
        <f>IF(G92="","",'#BerechnungDBE'!AU85)</f>
        <v/>
      </c>
      <c r="K92" s="1272" t="str">
        <f>IF(G92="","",'#BerechnungDBE'!AV85)</f>
        <v/>
      </c>
      <c r="L92" s="1272" t="str">
        <f>IF(G92="","",'#BerechnungDBE'!AW85)</f>
        <v/>
      </c>
      <c r="M92" s="1272" t="str">
        <f>IF(G92="","",'#BerechnungDBE'!AS85)</f>
        <v/>
      </c>
      <c r="N92" s="1272" t="str">
        <f>IF(G92="","",'#BerechnungDBE'!AX85)</f>
        <v/>
      </c>
      <c r="O92" s="1272" t="str">
        <f>IF(G92="","",'#BerechnungDBE'!AY85)</f>
        <v/>
      </c>
      <c r="P92" s="1272" t="str">
        <f>IF(G92="","",'#BerechnungDBE'!AZ85)</f>
        <v/>
      </c>
      <c r="Q92" s="1460" t="str">
        <f>IF(G92="","",IF('Flächen u. Kulturen'!X90="OK",'#BerechnungDBE'!BA85,"n.b."))</f>
        <v/>
      </c>
      <c r="R92" s="1460" t="str">
        <f>IF(G92="","",'#BerechnungDBE'!BF85)</f>
        <v/>
      </c>
      <c r="S92" s="1468" t="str">
        <f>IF(OR(G92="",AND(D92="",'#BerechnungDBE'!BH85=0)),"",IF('Flächen u. Kulturen'!X90="OK",'#BerechnungDBE'!BH85,"n.b."))</f>
        <v/>
      </c>
      <c r="T92" s="1460" t="str">
        <f>IF(G92="","",IF('Flächen u. Kulturen'!X90="OK",'#BerechnungDBE'!BJ85,"n.b."))</f>
        <v/>
      </c>
      <c r="U92" s="1460" t="str">
        <f>IF(G92="","",IF('Flächen u. Kulturen'!X90="OK",ROUNDDOWN('#BerechnungDBE'!BL85,0),"n.b."))</f>
        <v/>
      </c>
      <c r="V92" s="1456" t="str">
        <f>IF(G92="","",IF('Flächen u. Kulturen'!X90="OK",ROUNDDOWN('#BerechnungDBE'!BL85/27,1),"n.b."))</f>
        <v/>
      </c>
      <c r="W92" s="1461"/>
      <c r="X92" s="1469" t="str">
        <f>IF(E92="","",'#minDung'!P91)</f>
        <v/>
      </c>
      <c r="Y92" s="1461" t="str">
        <f>IF(G92="","",'#Kürzungen'!AQ109)</f>
        <v/>
      </c>
    </row>
    <row r="93" spans="1:25" s="880" customFormat="1" ht="15" customHeight="1" x14ac:dyDescent="0.2">
      <c r="A93" s="1471" t="str">
        <f>IF(E93="","",'Flächen u. Kulturen'!A91)</f>
        <v/>
      </c>
      <c r="B93" s="1273" t="str">
        <f>IF('Flächen u. Kulturen'!C91="","",'Flächen u. Kulturen'!C91)</f>
        <v/>
      </c>
      <c r="C93" s="1273" t="str">
        <f>IF('Flächen u. Kulturen'!B91="","",'Flächen u. Kulturen'!B91)</f>
        <v/>
      </c>
      <c r="D93" s="1452" t="str">
        <f>IF(E93="","",IF('#BerechnungDBE'!S86=1,"x",""))</f>
        <v/>
      </c>
      <c r="E93" s="1472" t="str">
        <f>IF('Flächen u. Kulturen'!D91="","",'Flächen u. Kulturen'!D91)</f>
        <v/>
      </c>
      <c r="F93" s="1255" t="str">
        <f>IF(E93="","",IF('Flächen u. Kulturen'!E91="x",'Flächen u. Kulturen'!P91,"       nicht im Betrieb"))</f>
        <v/>
      </c>
      <c r="G93" s="1272" t="str">
        <f>IF(OR(E93="",'Flächen u. Kulturen'!E91&lt;&gt;"x"),"",IF('#BerechnungDBE'!N86=3,'Flächen u. Kulturen'!R91,'Flächen u. Kulturen'!Q91))</f>
        <v/>
      </c>
      <c r="H93" s="1467" t="str">
        <f>IF(G93="","",'#BerechnungDBE'!AR86)</f>
        <v/>
      </c>
      <c r="I93" s="1272" t="str">
        <f>IF(G93="","",'#BerechnungDBE'!AT86)</f>
        <v/>
      </c>
      <c r="J93" s="1272" t="str">
        <f>IF(G93="","",'#BerechnungDBE'!AU86)</f>
        <v/>
      </c>
      <c r="K93" s="1272" t="str">
        <f>IF(G93="","",'#BerechnungDBE'!AV86)</f>
        <v/>
      </c>
      <c r="L93" s="1272" t="str">
        <f>IF(G93="","",'#BerechnungDBE'!AW86)</f>
        <v/>
      </c>
      <c r="M93" s="1272" t="str">
        <f>IF(G93="","",'#BerechnungDBE'!AS86)</f>
        <v/>
      </c>
      <c r="N93" s="1272" t="str">
        <f>IF(G93="","",'#BerechnungDBE'!AX86)</f>
        <v/>
      </c>
      <c r="O93" s="1272" t="str">
        <f>IF(G93="","",'#BerechnungDBE'!AY86)</f>
        <v/>
      </c>
      <c r="P93" s="1272" t="str">
        <f>IF(G93="","",'#BerechnungDBE'!AZ86)</f>
        <v/>
      </c>
      <c r="Q93" s="1460" t="str">
        <f>IF(G93="","",IF('Flächen u. Kulturen'!X91="OK",'#BerechnungDBE'!BA86,"n.b."))</f>
        <v/>
      </c>
      <c r="R93" s="1460" t="str">
        <f>IF(G93="","",'#BerechnungDBE'!BF86)</f>
        <v/>
      </c>
      <c r="S93" s="1468" t="str">
        <f>IF(OR(G93="",AND(D93="",'#BerechnungDBE'!BH86=0)),"",IF('Flächen u. Kulturen'!X91="OK",'#BerechnungDBE'!BH86,"n.b."))</f>
        <v/>
      </c>
      <c r="T93" s="1460" t="str">
        <f>IF(G93="","",IF('Flächen u. Kulturen'!X91="OK",'#BerechnungDBE'!BJ86,"n.b."))</f>
        <v/>
      </c>
      <c r="U93" s="1460" t="str">
        <f>IF(G93="","",IF('Flächen u. Kulturen'!X91="OK",ROUNDDOWN('#BerechnungDBE'!BL86,0),"n.b."))</f>
        <v/>
      </c>
      <c r="V93" s="1456" t="str">
        <f>IF(G93="","",IF('Flächen u. Kulturen'!X91="OK",ROUNDDOWN('#BerechnungDBE'!BL86/27,1),"n.b."))</f>
        <v/>
      </c>
      <c r="W93" s="1461"/>
      <c r="X93" s="1469" t="str">
        <f>IF(E93="","",'#minDung'!P92)</f>
        <v/>
      </c>
      <c r="Y93" s="1461" t="str">
        <f>IF(G93="","",'#Kürzungen'!AQ110)</f>
        <v/>
      </c>
    </row>
    <row r="94" spans="1:25" s="880" customFormat="1" ht="15" customHeight="1" x14ac:dyDescent="0.2">
      <c r="A94" s="1471" t="str">
        <f>IF(E94="","",'Flächen u. Kulturen'!A92)</f>
        <v/>
      </c>
      <c r="B94" s="1273" t="str">
        <f>IF('Flächen u. Kulturen'!C92="","",'Flächen u. Kulturen'!C92)</f>
        <v/>
      </c>
      <c r="C94" s="1273" t="str">
        <f>IF('Flächen u. Kulturen'!B92="","",'Flächen u. Kulturen'!B92)</f>
        <v/>
      </c>
      <c r="D94" s="1452" t="str">
        <f>IF(E94="","",IF('#BerechnungDBE'!S87=1,"x",""))</f>
        <v/>
      </c>
      <c r="E94" s="1472" t="str">
        <f>IF('Flächen u. Kulturen'!D92="","",'Flächen u. Kulturen'!D92)</f>
        <v/>
      </c>
      <c r="F94" s="1255" t="str">
        <f>IF(E94="","",IF('Flächen u. Kulturen'!E92="x",'Flächen u. Kulturen'!P92,"       nicht im Betrieb"))</f>
        <v/>
      </c>
      <c r="G94" s="1272" t="str">
        <f>IF(OR(E94="",'Flächen u. Kulturen'!E92&lt;&gt;"x"),"",IF('#BerechnungDBE'!N87=3,'Flächen u. Kulturen'!R92,'Flächen u. Kulturen'!Q92))</f>
        <v/>
      </c>
      <c r="H94" s="1467" t="str">
        <f>IF(G94="","",'#BerechnungDBE'!AR87)</f>
        <v/>
      </c>
      <c r="I94" s="1272" t="str">
        <f>IF(G94="","",'#BerechnungDBE'!AT87)</f>
        <v/>
      </c>
      <c r="J94" s="1272" t="str">
        <f>IF(G94="","",'#BerechnungDBE'!AU87)</f>
        <v/>
      </c>
      <c r="K94" s="1272" t="str">
        <f>IF(G94="","",'#BerechnungDBE'!AV87)</f>
        <v/>
      </c>
      <c r="L94" s="1272" t="str">
        <f>IF(G94="","",'#BerechnungDBE'!AW87)</f>
        <v/>
      </c>
      <c r="M94" s="1272" t="str">
        <f>IF(G94="","",'#BerechnungDBE'!AS87)</f>
        <v/>
      </c>
      <c r="N94" s="1272" t="str">
        <f>IF(G94="","",'#BerechnungDBE'!AX87)</f>
        <v/>
      </c>
      <c r="O94" s="1272" t="str">
        <f>IF(G94="","",'#BerechnungDBE'!AY87)</f>
        <v/>
      </c>
      <c r="P94" s="1272" t="str">
        <f>IF(G94="","",'#BerechnungDBE'!AZ87)</f>
        <v/>
      </c>
      <c r="Q94" s="1460" t="str">
        <f>IF(G94="","",IF('Flächen u. Kulturen'!X92="OK",'#BerechnungDBE'!BA87,"n.b."))</f>
        <v/>
      </c>
      <c r="R94" s="1460" t="str">
        <f>IF(G94="","",'#BerechnungDBE'!BF87)</f>
        <v/>
      </c>
      <c r="S94" s="1468" t="str">
        <f>IF(OR(G94="",AND(D94="",'#BerechnungDBE'!BH87=0)),"",IF('Flächen u. Kulturen'!X92="OK",'#BerechnungDBE'!BH87,"n.b."))</f>
        <v/>
      </c>
      <c r="T94" s="1460" t="str">
        <f>IF(G94="","",IF('Flächen u. Kulturen'!X92="OK",'#BerechnungDBE'!BJ87,"n.b."))</f>
        <v/>
      </c>
      <c r="U94" s="1460" t="str">
        <f>IF(G94="","",IF('Flächen u. Kulturen'!X92="OK",ROUNDDOWN('#BerechnungDBE'!BL87,0),"n.b."))</f>
        <v/>
      </c>
      <c r="V94" s="1456" t="str">
        <f>IF(G94="","",IF('Flächen u. Kulturen'!X92="OK",ROUNDDOWN('#BerechnungDBE'!BL87/27,1),"n.b."))</f>
        <v/>
      </c>
      <c r="W94" s="1461"/>
      <c r="X94" s="1469" t="str">
        <f>IF(E94="","",'#minDung'!P93)</f>
        <v/>
      </c>
      <c r="Y94" s="1461" t="str">
        <f>IF(G94="","",'#Kürzungen'!AQ111)</f>
        <v/>
      </c>
    </row>
    <row r="95" spans="1:25" s="880" customFormat="1" ht="15" customHeight="1" x14ac:dyDescent="0.2">
      <c r="A95" s="1471" t="str">
        <f>IF(E95="","",'Flächen u. Kulturen'!A93)</f>
        <v/>
      </c>
      <c r="B95" s="1273" t="str">
        <f>IF('Flächen u. Kulturen'!C93="","",'Flächen u. Kulturen'!C93)</f>
        <v/>
      </c>
      <c r="C95" s="1273" t="str">
        <f>IF('Flächen u. Kulturen'!B93="","",'Flächen u. Kulturen'!B93)</f>
        <v/>
      </c>
      <c r="D95" s="1452" t="str">
        <f>IF(E95="","",IF('#BerechnungDBE'!S88=1,"x",""))</f>
        <v/>
      </c>
      <c r="E95" s="1472" t="str">
        <f>IF('Flächen u. Kulturen'!D93="","",'Flächen u. Kulturen'!D93)</f>
        <v/>
      </c>
      <c r="F95" s="1255" t="str">
        <f>IF(E95="","",IF('Flächen u. Kulturen'!E93="x",'Flächen u. Kulturen'!P93,"       nicht im Betrieb"))</f>
        <v/>
      </c>
      <c r="G95" s="1272" t="str">
        <f>IF(OR(E95="",'Flächen u. Kulturen'!E93&lt;&gt;"x"),"",IF('#BerechnungDBE'!N88=3,'Flächen u. Kulturen'!R93,'Flächen u. Kulturen'!Q93))</f>
        <v/>
      </c>
      <c r="H95" s="1467" t="str">
        <f>IF(G95="","",'#BerechnungDBE'!AR88)</f>
        <v/>
      </c>
      <c r="I95" s="1272" t="str">
        <f>IF(G95="","",'#BerechnungDBE'!AT88)</f>
        <v/>
      </c>
      <c r="J95" s="1272" t="str">
        <f>IF(G95="","",'#BerechnungDBE'!AU88)</f>
        <v/>
      </c>
      <c r="K95" s="1272" t="str">
        <f>IF(G95="","",'#BerechnungDBE'!AV88)</f>
        <v/>
      </c>
      <c r="L95" s="1272" t="str">
        <f>IF(G95="","",'#BerechnungDBE'!AW88)</f>
        <v/>
      </c>
      <c r="M95" s="1272" t="str">
        <f>IF(G95="","",'#BerechnungDBE'!AS88)</f>
        <v/>
      </c>
      <c r="N95" s="1272" t="str">
        <f>IF(G95="","",'#BerechnungDBE'!AX88)</f>
        <v/>
      </c>
      <c r="O95" s="1272" t="str">
        <f>IF(G95="","",'#BerechnungDBE'!AY88)</f>
        <v/>
      </c>
      <c r="P95" s="1272" t="str">
        <f>IF(G95="","",'#BerechnungDBE'!AZ88)</f>
        <v/>
      </c>
      <c r="Q95" s="1460" t="str">
        <f>IF(G95="","",IF('Flächen u. Kulturen'!X93="OK",'#BerechnungDBE'!BA88,"n.b."))</f>
        <v/>
      </c>
      <c r="R95" s="1460" t="str">
        <f>IF(G95="","",'#BerechnungDBE'!BF88)</f>
        <v/>
      </c>
      <c r="S95" s="1468" t="str">
        <f>IF(OR(G95="",AND(D95="",'#BerechnungDBE'!BH88=0)),"",IF('Flächen u. Kulturen'!X93="OK",'#BerechnungDBE'!BH88,"n.b."))</f>
        <v/>
      </c>
      <c r="T95" s="1460" t="str">
        <f>IF(G95="","",IF('Flächen u. Kulturen'!X93="OK",'#BerechnungDBE'!BJ88,"n.b."))</f>
        <v/>
      </c>
      <c r="U95" s="1460" t="str">
        <f>IF(G95="","",IF('Flächen u. Kulturen'!X93="OK",ROUNDDOWN('#BerechnungDBE'!BL88,0),"n.b."))</f>
        <v/>
      </c>
      <c r="V95" s="1456" t="str">
        <f>IF(G95="","",IF('Flächen u. Kulturen'!X93="OK",ROUNDDOWN('#BerechnungDBE'!BL88/27,1),"n.b."))</f>
        <v/>
      </c>
      <c r="W95" s="1461"/>
      <c r="X95" s="1469" t="str">
        <f>IF(E95="","",'#minDung'!P94)</f>
        <v/>
      </c>
      <c r="Y95" s="1461" t="str">
        <f>IF(G95="","",'#Kürzungen'!AQ112)</f>
        <v/>
      </c>
    </row>
    <row r="96" spans="1:25" s="880" customFormat="1" ht="15" customHeight="1" x14ac:dyDescent="0.2">
      <c r="A96" s="1471" t="str">
        <f>IF(E96="","",'Flächen u. Kulturen'!A94)</f>
        <v/>
      </c>
      <c r="B96" s="1273" t="str">
        <f>IF('Flächen u. Kulturen'!C94="","",'Flächen u. Kulturen'!C94)</f>
        <v/>
      </c>
      <c r="C96" s="1273" t="str">
        <f>IF('Flächen u. Kulturen'!B94="","",'Flächen u. Kulturen'!B94)</f>
        <v/>
      </c>
      <c r="D96" s="1452" t="str">
        <f>IF(E96="","",IF('#BerechnungDBE'!S89=1,"x",""))</f>
        <v/>
      </c>
      <c r="E96" s="1472" t="str">
        <f>IF('Flächen u. Kulturen'!D94="","",'Flächen u. Kulturen'!D94)</f>
        <v/>
      </c>
      <c r="F96" s="1255" t="str">
        <f>IF(E96="","",IF('Flächen u. Kulturen'!E94="x",'Flächen u. Kulturen'!P94,"       nicht im Betrieb"))</f>
        <v/>
      </c>
      <c r="G96" s="1272" t="str">
        <f>IF(OR(E96="",'Flächen u. Kulturen'!E94&lt;&gt;"x"),"",IF('#BerechnungDBE'!N89=3,'Flächen u. Kulturen'!R94,'Flächen u. Kulturen'!Q94))</f>
        <v/>
      </c>
      <c r="H96" s="1467" t="str">
        <f>IF(G96="","",'#BerechnungDBE'!AR89)</f>
        <v/>
      </c>
      <c r="I96" s="1272" t="str">
        <f>IF(G96="","",'#BerechnungDBE'!AT89)</f>
        <v/>
      </c>
      <c r="J96" s="1272" t="str">
        <f>IF(G96="","",'#BerechnungDBE'!AU89)</f>
        <v/>
      </c>
      <c r="K96" s="1272" t="str">
        <f>IF(G96="","",'#BerechnungDBE'!AV89)</f>
        <v/>
      </c>
      <c r="L96" s="1272" t="str">
        <f>IF(G96="","",'#BerechnungDBE'!AW89)</f>
        <v/>
      </c>
      <c r="M96" s="1272" t="str">
        <f>IF(G96="","",'#BerechnungDBE'!AS89)</f>
        <v/>
      </c>
      <c r="N96" s="1272" t="str">
        <f>IF(G96="","",'#BerechnungDBE'!AX89)</f>
        <v/>
      </c>
      <c r="O96" s="1272" t="str">
        <f>IF(G96="","",'#BerechnungDBE'!AY89)</f>
        <v/>
      </c>
      <c r="P96" s="1272" t="str">
        <f>IF(G96="","",'#BerechnungDBE'!AZ89)</f>
        <v/>
      </c>
      <c r="Q96" s="1460" t="str">
        <f>IF(G96="","",IF('Flächen u. Kulturen'!X94="OK",'#BerechnungDBE'!BA89,"n.b."))</f>
        <v/>
      </c>
      <c r="R96" s="1460" t="str">
        <f>IF(G96="","",'#BerechnungDBE'!BF89)</f>
        <v/>
      </c>
      <c r="S96" s="1468" t="str">
        <f>IF(OR(G96="",AND(D96="",'#BerechnungDBE'!BH89=0)),"",IF('Flächen u. Kulturen'!X94="OK",'#BerechnungDBE'!BH89,"n.b."))</f>
        <v/>
      </c>
      <c r="T96" s="1460" t="str">
        <f>IF(G96="","",IF('Flächen u. Kulturen'!X94="OK",'#BerechnungDBE'!BJ89,"n.b."))</f>
        <v/>
      </c>
      <c r="U96" s="1460" t="str">
        <f>IF(G96="","",IF('Flächen u. Kulturen'!X94="OK",ROUNDDOWN('#BerechnungDBE'!BL89,0),"n.b."))</f>
        <v/>
      </c>
      <c r="V96" s="1456" t="str">
        <f>IF(G96="","",IF('Flächen u. Kulturen'!X94="OK",ROUNDDOWN('#BerechnungDBE'!BL89/27,1),"n.b."))</f>
        <v/>
      </c>
      <c r="W96" s="1461"/>
      <c r="X96" s="1469" t="str">
        <f>IF(E96="","",'#minDung'!P95)</f>
        <v/>
      </c>
      <c r="Y96" s="1461" t="str">
        <f>IF(G96="","",'#Kürzungen'!AQ113)</f>
        <v/>
      </c>
    </row>
    <row r="97" spans="1:25" s="880" customFormat="1" ht="15" customHeight="1" x14ac:dyDescent="0.2">
      <c r="A97" s="1471" t="str">
        <f>IF(E97="","",'Flächen u. Kulturen'!A95)</f>
        <v/>
      </c>
      <c r="B97" s="1273" t="str">
        <f>IF('Flächen u. Kulturen'!C95="","",'Flächen u. Kulturen'!C95)</f>
        <v/>
      </c>
      <c r="C97" s="1273" t="str">
        <f>IF('Flächen u. Kulturen'!B95="","",'Flächen u. Kulturen'!B95)</f>
        <v/>
      </c>
      <c r="D97" s="1452" t="str">
        <f>IF(E97="","",IF('#BerechnungDBE'!S90=1,"x",""))</f>
        <v/>
      </c>
      <c r="E97" s="1472" t="str">
        <f>IF('Flächen u. Kulturen'!D95="","",'Flächen u. Kulturen'!D95)</f>
        <v/>
      </c>
      <c r="F97" s="1255" t="str">
        <f>IF(E97="","",IF('Flächen u. Kulturen'!E95="x",'Flächen u. Kulturen'!P95,"       nicht im Betrieb"))</f>
        <v/>
      </c>
      <c r="G97" s="1272" t="str">
        <f>IF(OR(E97="",'Flächen u. Kulturen'!E95&lt;&gt;"x"),"",IF('#BerechnungDBE'!N90=3,'Flächen u. Kulturen'!R95,'Flächen u. Kulturen'!Q95))</f>
        <v/>
      </c>
      <c r="H97" s="1467" t="str">
        <f>IF(G97="","",'#BerechnungDBE'!AR90)</f>
        <v/>
      </c>
      <c r="I97" s="1272" t="str">
        <f>IF(G97="","",'#BerechnungDBE'!AT90)</f>
        <v/>
      </c>
      <c r="J97" s="1272" t="str">
        <f>IF(G97="","",'#BerechnungDBE'!AU90)</f>
        <v/>
      </c>
      <c r="K97" s="1272" t="str">
        <f>IF(G97="","",'#BerechnungDBE'!AV90)</f>
        <v/>
      </c>
      <c r="L97" s="1272" t="str">
        <f>IF(G97="","",'#BerechnungDBE'!AW90)</f>
        <v/>
      </c>
      <c r="M97" s="1272" t="str">
        <f>IF(G97="","",'#BerechnungDBE'!AS90)</f>
        <v/>
      </c>
      <c r="N97" s="1272" t="str">
        <f>IF(G97="","",'#BerechnungDBE'!AX90)</f>
        <v/>
      </c>
      <c r="O97" s="1272" t="str">
        <f>IF(G97="","",'#BerechnungDBE'!AY90)</f>
        <v/>
      </c>
      <c r="P97" s="1272" t="str">
        <f>IF(G97="","",'#BerechnungDBE'!AZ90)</f>
        <v/>
      </c>
      <c r="Q97" s="1460" t="str">
        <f>IF(G97="","",IF('Flächen u. Kulturen'!X95="OK",'#BerechnungDBE'!BA90,"n.b."))</f>
        <v/>
      </c>
      <c r="R97" s="1460" t="str">
        <f>IF(G97="","",'#BerechnungDBE'!BF90)</f>
        <v/>
      </c>
      <c r="S97" s="1468" t="str">
        <f>IF(OR(G97="",AND(D97="",'#BerechnungDBE'!BH90=0)),"",IF('Flächen u. Kulturen'!X95="OK",'#BerechnungDBE'!BH90,"n.b."))</f>
        <v/>
      </c>
      <c r="T97" s="1460" t="str">
        <f>IF(G97="","",IF('Flächen u. Kulturen'!X95="OK",'#BerechnungDBE'!BJ90,"n.b."))</f>
        <v/>
      </c>
      <c r="U97" s="1460" t="str">
        <f>IF(G97="","",IF('Flächen u. Kulturen'!X95="OK",ROUNDDOWN('#BerechnungDBE'!BL90,0),"n.b."))</f>
        <v/>
      </c>
      <c r="V97" s="1456" t="str">
        <f>IF(G97="","",IF('Flächen u. Kulturen'!X95="OK",ROUNDDOWN('#BerechnungDBE'!BL90/27,1),"n.b."))</f>
        <v/>
      </c>
      <c r="W97" s="1461"/>
      <c r="X97" s="1469" t="str">
        <f>IF(E97="","",'#minDung'!P96)</f>
        <v/>
      </c>
      <c r="Y97" s="1461" t="str">
        <f>IF(G97="","",'#Kürzungen'!AQ114)</f>
        <v/>
      </c>
    </row>
    <row r="98" spans="1:25" s="880" customFormat="1" ht="15" customHeight="1" x14ac:dyDescent="0.2">
      <c r="A98" s="1471" t="str">
        <f>IF(E98="","",'Flächen u. Kulturen'!A96)</f>
        <v/>
      </c>
      <c r="B98" s="1273" t="str">
        <f>IF('Flächen u. Kulturen'!C96="","",'Flächen u. Kulturen'!C96)</f>
        <v/>
      </c>
      <c r="C98" s="1273" t="str">
        <f>IF('Flächen u. Kulturen'!B96="","",'Flächen u. Kulturen'!B96)</f>
        <v/>
      </c>
      <c r="D98" s="1452" t="str">
        <f>IF(E98="","",IF('#BerechnungDBE'!S91=1,"x",""))</f>
        <v/>
      </c>
      <c r="E98" s="1472" t="str">
        <f>IF('Flächen u. Kulturen'!D96="","",'Flächen u. Kulturen'!D96)</f>
        <v/>
      </c>
      <c r="F98" s="1255" t="str">
        <f>IF(E98="","",IF('Flächen u. Kulturen'!E96="x",'Flächen u. Kulturen'!P96,"       nicht im Betrieb"))</f>
        <v/>
      </c>
      <c r="G98" s="1272" t="str">
        <f>IF(OR(E98="",'Flächen u. Kulturen'!E96&lt;&gt;"x"),"",IF('#BerechnungDBE'!N91=3,'Flächen u. Kulturen'!R96,'Flächen u. Kulturen'!Q96))</f>
        <v/>
      </c>
      <c r="H98" s="1467" t="str">
        <f>IF(G98="","",'#BerechnungDBE'!AR91)</f>
        <v/>
      </c>
      <c r="I98" s="1272" t="str">
        <f>IF(G98="","",'#BerechnungDBE'!AT91)</f>
        <v/>
      </c>
      <c r="J98" s="1272" t="str">
        <f>IF(G98="","",'#BerechnungDBE'!AU91)</f>
        <v/>
      </c>
      <c r="K98" s="1272" t="str">
        <f>IF(G98="","",'#BerechnungDBE'!AV91)</f>
        <v/>
      </c>
      <c r="L98" s="1272" t="str">
        <f>IF(G98="","",'#BerechnungDBE'!AW91)</f>
        <v/>
      </c>
      <c r="M98" s="1272" t="str">
        <f>IF(G98="","",'#BerechnungDBE'!AS91)</f>
        <v/>
      </c>
      <c r="N98" s="1272" t="str">
        <f>IF(G98="","",'#BerechnungDBE'!AX91)</f>
        <v/>
      </c>
      <c r="O98" s="1272" t="str">
        <f>IF(G98="","",'#BerechnungDBE'!AY91)</f>
        <v/>
      </c>
      <c r="P98" s="1272" t="str">
        <f>IF(G98="","",'#BerechnungDBE'!AZ91)</f>
        <v/>
      </c>
      <c r="Q98" s="1460" t="str">
        <f>IF(G98="","",IF('Flächen u. Kulturen'!X96="OK",'#BerechnungDBE'!BA91,"n.b."))</f>
        <v/>
      </c>
      <c r="R98" s="1460" t="str">
        <f>IF(G98="","",'#BerechnungDBE'!BF91)</f>
        <v/>
      </c>
      <c r="S98" s="1468" t="str">
        <f>IF(OR(G98="",AND(D98="",'#BerechnungDBE'!BH91=0)),"",IF('Flächen u. Kulturen'!X96="OK",'#BerechnungDBE'!BH91,"n.b."))</f>
        <v/>
      </c>
      <c r="T98" s="1460" t="str">
        <f>IF(G98="","",IF('Flächen u. Kulturen'!X96="OK",'#BerechnungDBE'!BJ91,"n.b."))</f>
        <v/>
      </c>
      <c r="U98" s="1460" t="str">
        <f>IF(G98="","",IF('Flächen u. Kulturen'!X96="OK",ROUNDDOWN('#BerechnungDBE'!BL91,0),"n.b."))</f>
        <v/>
      </c>
      <c r="V98" s="1456" t="str">
        <f>IF(G98="","",IF('Flächen u. Kulturen'!X96="OK",ROUNDDOWN('#BerechnungDBE'!BL91/27,1),"n.b."))</f>
        <v/>
      </c>
      <c r="W98" s="1461"/>
      <c r="X98" s="1469" t="str">
        <f>IF(E98="","",'#minDung'!P97)</f>
        <v/>
      </c>
      <c r="Y98" s="1461" t="str">
        <f>IF(G98="","",'#Kürzungen'!AQ115)</f>
        <v/>
      </c>
    </row>
    <row r="99" spans="1:25" s="880" customFormat="1" ht="15" customHeight="1" x14ac:dyDescent="0.2">
      <c r="A99" s="1471" t="str">
        <f>IF(E99="","",'Flächen u. Kulturen'!A97)</f>
        <v/>
      </c>
      <c r="B99" s="1273" t="str">
        <f>IF('Flächen u. Kulturen'!C97="","",'Flächen u. Kulturen'!C97)</f>
        <v/>
      </c>
      <c r="C99" s="1273" t="str">
        <f>IF('Flächen u. Kulturen'!B97="","",'Flächen u. Kulturen'!B97)</f>
        <v/>
      </c>
      <c r="D99" s="1452" t="str">
        <f>IF(E99="","",IF('#BerechnungDBE'!S92=1,"x",""))</f>
        <v/>
      </c>
      <c r="E99" s="1472" t="str">
        <f>IF('Flächen u. Kulturen'!D97="","",'Flächen u. Kulturen'!D97)</f>
        <v/>
      </c>
      <c r="F99" s="1255" t="str">
        <f>IF(E99="","",IF('Flächen u. Kulturen'!E97="x",'Flächen u. Kulturen'!P97,"       nicht im Betrieb"))</f>
        <v/>
      </c>
      <c r="G99" s="1272" t="str">
        <f>IF(OR(E99="",'Flächen u. Kulturen'!E97&lt;&gt;"x"),"",IF('#BerechnungDBE'!N92=3,'Flächen u. Kulturen'!R97,'Flächen u. Kulturen'!Q97))</f>
        <v/>
      </c>
      <c r="H99" s="1467" t="str">
        <f>IF(G99="","",'#BerechnungDBE'!AR92)</f>
        <v/>
      </c>
      <c r="I99" s="1272" t="str">
        <f>IF(G99="","",'#BerechnungDBE'!AT92)</f>
        <v/>
      </c>
      <c r="J99" s="1272" t="str">
        <f>IF(G99="","",'#BerechnungDBE'!AU92)</f>
        <v/>
      </c>
      <c r="K99" s="1272" t="str">
        <f>IF(G99="","",'#BerechnungDBE'!AV92)</f>
        <v/>
      </c>
      <c r="L99" s="1272" t="str">
        <f>IF(G99="","",'#BerechnungDBE'!AW92)</f>
        <v/>
      </c>
      <c r="M99" s="1272" t="str">
        <f>IF(G99="","",'#BerechnungDBE'!AS92)</f>
        <v/>
      </c>
      <c r="N99" s="1272" t="str">
        <f>IF(G99="","",'#BerechnungDBE'!AX92)</f>
        <v/>
      </c>
      <c r="O99" s="1272" t="str">
        <f>IF(G99="","",'#BerechnungDBE'!AY92)</f>
        <v/>
      </c>
      <c r="P99" s="1272" t="str">
        <f>IF(G99="","",'#BerechnungDBE'!AZ92)</f>
        <v/>
      </c>
      <c r="Q99" s="1460" t="str">
        <f>IF(G99="","",IF('Flächen u. Kulturen'!X97="OK",'#BerechnungDBE'!BA92,"n.b."))</f>
        <v/>
      </c>
      <c r="R99" s="1460" t="str">
        <f>IF(G99="","",'#BerechnungDBE'!BF92)</f>
        <v/>
      </c>
      <c r="S99" s="1468" t="str">
        <f>IF(OR(G99="",AND(D99="",'#BerechnungDBE'!BH92=0)),"",IF('Flächen u. Kulturen'!X97="OK",'#BerechnungDBE'!BH92,"n.b."))</f>
        <v/>
      </c>
      <c r="T99" s="1460" t="str">
        <f>IF(G99="","",IF('Flächen u. Kulturen'!X97="OK",'#BerechnungDBE'!BJ92,"n.b."))</f>
        <v/>
      </c>
      <c r="U99" s="1460" t="str">
        <f>IF(G99="","",IF('Flächen u. Kulturen'!X97="OK",ROUNDDOWN('#BerechnungDBE'!BL92,0),"n.b."))</f>
        <v/>
      </c>
      <c r="V99" s="1456" t="str">
        <f>IF(G99="","",IF('Flächen u. Kulturen'!X97="OK",ROUNDDOWN('#BerechnungDBE'!BL92/27,1),"n.b."))</f>
        <v/>
      </c>
      <c r="W99" s="1461"/>
      <c r="X99" s="1469" t="str">
        <f>IF(E99="","",'#minDung'!P98)</f>
        <v/>
      </c>
      <c r="Y99" s="1461" t="str">
        <f>IF(G99="","",'#Kürzungen'!AQ116)</f>
        <v/>
      </c>
    </row>
    <row r="100" spans="1:25" s="880" customFormat="1" ht="15" customHeight="1" x14ac:dyDescent="0.2">
      <c r="A100" s="1471" t="str">
        <f>IF(E100="","",'Flächen u. Kulturen'!A98)</f>
        <v/>
      </c>
      <c r="B100" s="1273" t="str">
        <f>IF('Flächen u. Kulturen'!C98="","",'Flächen u. Kulturen'!C98)</f>
        <v/>
      </c>
      <c r="C100" s="1273" t="str">
        <f>IF('Flächen u. Kulturen'!B98="","",'Flächen u. Kulturen'!B98)</f>
        <v/>
      </c>
      <c r="D100" s="1452" t="str">
        <f>IF(E100="","",IF('#BerechnungDBE'!S93=1,"x",""))</f>
        <v/>
      </c>
      <c r="E100" s="1472" t="str">
        <f>IF('Flächen u. Kulturen'!D98="","",'Flächen u. Kulturen'!D98)</f>
        <v/>
      </c>
      <c r="F100" s="1255" t="str">
        <f>IF(E100="","",IF('Flächen u. Kulturen'!E98="x",'Flächen u. Kulturen'!P98,"       nicht im Betrieb"))</f>
        <v/>
      </c>
      <c r="G100" s="1272" t="str">
        <f>IF(OR(E100="",'Flächen u. Kulturen'!E98&lt;&gt;"x"),"",IF('#BerechnungDBE'!N93=3,'Flächen u. Kulturen'!R98,'Flächen u. Kulturen'!Q98))</f>
        <v/>
      </c>
      <c r="H100" s="1467" t="str">
        <f>IF(G100="","",'#BerechnungDBE'!AR93)</f>
        <v/>
      </c>
      <c r="I100" s="1272" t="str">
        <f>IF(G100="","",'#BerechnungDBE'!AT93)</f>
        <v/>
      </c>
      <c r="J100" s="1272" t="str">
        <f>IF(G100="","",'#BerechnungDBE'!AU93)</f>
        <v/>
      </c>
      <c r="K100" s="1272" t="str">
        <f>IF(G100="","",'#BerechnungDBE'!AV93)</f>
        <v/>
      </c>
      <c r="L100" s="1272" t="str">
        <f>IF(G100="","",'#BerechnungDBE'!AW93)</f>
        <v/>
      </c>
      <c r="M100" s="1272" t="str">
        <f>IF(G100="","",'#BerechnungDBE'!AS93)</f>
        <v/>
      </c>
      <c r="N100" s="1272" t="str">
        <f>IF(G100="","",'#BerechnungDBE'!AX93)</f>
        <v/>
      </c>
      <c r="O100" s="1272" t="str">
        <f>IF(G100="","",'#BerechnungDBE'!AY93)</f>
        <v/>
      </c>
      <c r="P100" s="1272" t="str">
        <f>IF(G100="","",'#BerechnungDBE'!AZ93)</f>
        <v/>
      </c>
      <c r="Q100" s="1460" t="str">
        <f>IF(G100="","",IF('Flächen u. Kulturen'!X98="OK",'#BerechnungDBE'!BA93,"n.b."))</f>
        <v/>
      </c>
      <c r="R100" s="1460" t="str">
        <f>IF(G100="","",'#BerechnungDBE'!BF93)</f>
        <v/>
      </c>
      <c r="S100" s="1468" t="str">
        <f>IF(OR(G100="",AND(D100="",'#BerechnungDBE'!BH93=0)),"",IF('Flächen u. Kulturen'!X98="OK",'#BerechnungDBE'!BH93,"n.b."))</f>
        <v/>
      </c>
      <c r="T100" s="1460" t="str">
        <f>IF(G100="","",IF('Flächen u. Kulturen'!X98="OK",'#BerechnungDBE'!BJ93,"n.b."))</f>
        <v/>
      </c>
      <c r="U100" s="1460" t="str">
        <f>IF(G100="","",IF('Flächen u. Kulturen'!X98="OK",ROUNDDOWN('#BerechnungDBE'!BL93,0),"n.b."))</f>
        <v/>
      </c>
      <c r="V100" s="1456" t="str">
        <f>IF(G100="","",IF('Flächen u. Kulturen'!X98="OK",ROUNDDOWN('#BerechnungDBE'!BL93/27,1),"n.b."))</f>
        <v/>
      </c>
      <c r="W100" s="1461"/>
      <c r="X100" s="1469" t="str">
        <f>IF(E100="","",'#minDung'!P99)</f>
        <v/>
      </c>
      <c r="Y100" s="1461" t="str">
        <f>IF(G100="","",'#Kürzungen'!AQ117)</f>
        <v/>
      </c>
    </row>
    <row r="101" spans="1:25" s="880" customFormat="1" ht="15" customHeight="1" x14ac:dyDescent="0.2">
      <c r="A101" s="1471" t="str">
        <f>IF(E101="","",'Flächen u. Kulturen'!A99)</f>
        <v/>
      </c>
      <c r="B101" s="1273" t="str">
        <f>IF('Flächen u. Kulturen'!C99="","",'Flächen u. Kulturen'!C99)</f>
        <v/>
      </c>
      <c r="C101" s="1273" t="str">
        <f>IF('Flächen u. Kulturen'!B99="","",'Flächen u. Kulturen'!B99)</f>
        <v/>
      </c>
      <c r="D101" s="1452" t="str">
        <f>IF(E101="","",IF('#BerechnungDBE'!S94=1,"x",""))</f>
        <v/>
      </c>
      <c r="E101" s="1472" t="str">
        <f>IF('Flächen u. Kulturen'!D99="","",'Flächen u. Kulturen'!D99)</f>
        <v/>
      </c>
      <c r="F101" s="1255" t="str">
        <f>IF(E101="","",IF('Flächen u. Kulturen'!E99="x",'Flächen u. Kulturen'!P99,"       nicht im Betrieb"))</f>
        <v/>
      </c>
      <c r="G101" s="1272" t="str">
        <f>IF(OR(E101="",'Flächen u. Kulturen'!E99&lt;&gt;"x"),"",IF('#BerechnungDBE'!N94=3,'Flächen u. Kulturen'!R99,'Flächen u. Kulturen'!Q99))</f>
        <v/>
      </c>
      <c r="H101" s="1467" t="str">
        <f>IF(G101="","",'#BerechnungDBE'!AR94)</f>
        <v/>
      </c>
      <c r="I101" s="1272" t="str">
        <f>IF(G101="","",'#BerechnungDBE'!AT94)</f>
        <v/>
      </c>
      <c r="J101" s="1272" t="str">
        <f>IF(G101="","",'#BerechnungDBE'!AU94)</f>
        <v/>
      </c>
      <c r="K101" s="1272" t="str">
        <f>IF(G101="","",'#BerechnungDBE'!AV94)</f>
        <v/>
      </c>
      <c r="L101" s="1272" t="str">
        <f>IF(G101="","",'#BerechnungDBE'!AW94)</f>
        <v/>
      </c>
      <c r="M101" s="1272" t="str">
        <f>IF(G101="","",'#BerechnungDBE'!AS94)</f>
        <v/>
      </c>
      <c r="N101" s="1272" t="str">
        <f>IF(G101="","",'#BerechnungDBE'!AX94)</f>
        <v/>
      </c>
      <c r="O101" s="1272" t="str">
        <f>IF(G101="","",'#BerechnungDBE'!AY94)</f>
        <v/>
      </c>
      <c r="P101" s="1272" t="str">
        <f>IF(G101="","",'#BerechnungDBE'!AZ94)</f>
        <v/>
      </c>
      <c r="Q101" s="1460" t="str">
        <f>IF(G101="","",IF('Flächen u. Kulturen'!X99="OK",'#BerechnungDBE'!BA94,"n.b."))</f>
        <v/>
      </c>
      <c r="R101" s="1460" t="str">
        <f>IF(G101="","",'#BerechnungDBE'!BF94)</f>
        <v/>
      </c>
      <c r="S101" s="1468" t="str">
        <f>IF(OR(G101="",AND(D101="",'#BerechnungDBE'!BH94=0)),"",IF('Flächen u. Kulturen'!X99="OK",'#BerechnungDBE'!BH94,"n.b."))</f>
        <v/>
      </c>
      <c r="T101" s="1460" t="str">
        <f>IF(G101="","",IF('Flächen u. Kulturen'!X99="OK",'#BerechnungDBE'!BJ94,"n.b."))</f>
        <v/>
      </c>
      <c r="U101" s="1460" t="str">
        <f>IF(G101="","",IF('Flächen u. Kulturen'!X99="OK",ROUNDDOWN('#BerechnungDBE'!BL94,0),"n.b."))</f>
        <v/>
      </c>
      <c r="V101" s="1456" t="str">
        <f>IF(G101="","",IF('Flächen u. Kulturen'!X99="OK",ROUNDDOWN('#BerechnungDBE'!BL94/27,1),"n.b."))</f>
        <v/>
      </c>
      <c r="W101" s="1461"/>
      <c r="X101" s="1469" t="str">
        <f>IF(E101="","",'#minDung'!P100)</f>
        <v/>
      </c>
      <c r="Y101" s="1461" t="str">
        <f>IF(G101="","",'#Kürzungen'!AQ118)</f>
        <v/>
      </c>
    </row>
    <row r="102" spans="1:25" s="880" customFormat="1" ht="15" customHeight="1" x14ac:dyDescent="0.2">
      <c r="A102" s="1471" t="str">
        <f>IF(E102="","",'Flächen u. Kulturen'!A100)</f>
        <v/>
      </c>
      <c r="B102" s="1273" t="str">
        <f>IF('Flächen u. Kulturen'!C100="","",'Flächen u. Kulturen'!C100)</f>
        <v/>
      </c>
      <c r="C102" s="1273" t="str">
        <f>IF('Flächen u. Kulturen'!B100="","",'Flächen u. Kulturen'!B100)</f>
        <v/>
      </c>
      <c r="D102" s="1452" t="str">
        <f>IF(E102="","",IF('#BerechnungDBE'!S95=1,"x",""))</f>
        <v/>
      </c>
      <c r="E102" s="1472" t="str">
        <f>IF('Flächen u. Kulturen'!D100="","",'Flächen u. Kulturen'!D100)</f>
        <v/>
      </c>
      <c r="F102" s="1255" t="str">
        <f>IF(E102="","",IF('Flächen u. Kulturen'!E100="x",'Flächen u. Kulturen'!P100,"       nicht im Betrieb"))</f>
        <v/>
      </c>
      <c r="G102" s="1272" t="str">
        <f>IF(OR(E102="",'Flächen u. Kulturen'!E100&lt;&gt;"x"),"",IF('#BerechnungDBE'!N95=3,'Flächen u. Kulturen'!R100,'Flächen u. Kulturen'!Q100))</f>
        <v/>
      </c>
      <c r="H102" s="1467" t="str">
        <f>IF(G102="","",'#BerechnungDBE'!AR95)</f>
        <v/>
      </c>
      <c r="I102" s="1272" t="str">
        <f>IF(G102="","",'#BerechnungDBE'!AT95)</f>
        <v/>
      </c>
      <c r="J102" s="1272" t="str">
        <f>IF(G102="","",'#BerechnungDBE'!AU95)</f>
        <v/>
      </c>
      <c r="K102" s="1272" t="str">
        <f>IF(G102="","",'#BerechnungDBE'!AV95)</f>
        <v/>
      </c>
      <c r="L102" s="1272" t="str">
        <f>IF(G102="","",'#BerechnungDBE'!AW95)</f>
        <v/>
      </c>
      <c r="M102" s="1272" t="str">
        <f>IF(G102="","",'#BerechnungDBE'!AS95)</f>
        <v/>
      </c>
      <c r="N102" s="1272" t="str">
        <f>IF(G102="","",'#BerechnungDBE'!AX95)</f>
        <v/>
      </c>
      <c r="O102" s="1272" t="str">
        <f>IF(G102="","",'#BerechnungDBE'!AY95)</f>
        <v/>
      </c>
      <c r="P102" s="1272" t="str">
        <f>IF(G102="","",'#BerechnungDBE'!AZ95)</f>
        <v/>
      </c>
      <c r="Q102" s="1460" t="str">
        <f>IF(G102="","",IF('Flächen u. Kulturen'!X100="OK",'#BerechnungDBE'!BA95,"n.b."))</f>
        <v/>
      </c>
      <c r="R102" s="1460" t="str">
        <f>IF(G102="","",'#BerechnungDBE'!BF95)</f>
        <v/>
      </c>
      <c r="S102" s="1468" t="str">
        <f>IF(OR(G102="",AND(D102="",'#BerechnungDBE'!BH95=0)),"",IF('Flächen u. Kulturen'!X100="OK",'#BerechnungDBE'!BH95,"n.b."))</f>
        <v/>
      </c>
      <c r="T102" s="1460" t="str">
        <f>IF(G102="","",IF('Flächen u. Kulturen'!X100="OK",'#BerechnungDBE'!BJ95,"n.b."))</f>
        <v/>
      </c>
      <c r="U102" s="1460" t="str">
        <f>IF(G102="","",IF('Flächen u. Kulturen'!X100="OK",ROUNDDOWN('#BerechnungDBE'!BL95,0),"n.b."))</f>
        <v/>
      </c>
      <c r="V102" s="1456" t="str">
        <f>IF(G102="","",IF('Flächen u. Kulturen'!X100="OK",ROUNDDOWN('#BerechnungDBE'!BL95/27,1),"n.b."))</f>
        <v/>
      </c>
      <c r="W102" s="1461"/>
      <c r="X102" s="1469" t="str">
        <f>IF(E102="","",'#minDung'!P101)</f>
        <v/>
      </c>
      <c r="Y102" s="1461" t="str">
        <f>IF(G102="","",'#Kürzungen'!AQ119)</f>
        <v/>
      </c>
    </row>
    <row r="103" spans="1:25" s="880" customFormat="1" ht="15" customHeight="1" x14ac:dyDescent="0.2">
      <c r="A103" s="1471" t="str">
        <f>IF(E103="","",'Flächen u. Kulturen'!A101)</f>
        <v/>
      </c>
      <c r="B103" s="1273" t="str">
        <f>IF('Flächen u. Kulturen'!C101="","",'Flächen u. Kulturen'!C101)</f>
        <v/>
      </c>
      <c r="C103" s="1273" t="str">
        <f>IF('Flächen u. Kulturen'!B101="","",'Flächen u. Kulturen'!B101)</f>
        <v/>
      </c>
      <c r="D103" s="1452" t="str">
        <f>IF(E103="","",IF('#BerechnungDBE'!S96=1,"x",""))</f>
        <v/>
      </c>
      <c r="E103" s="1472" t="str">
        <f>IF('Flächen u. Kulturen'!D101="","",'Flächen u. Kulturen'!D101)</f>
        <v/>
      </c>
      <c r="F103" s="1255" t="str">
        <f>IF(E103="","",IF('Flächen u. Kulturen'!E101="x",'Flächen u. Kulturen'!P101,"       nicht im Betrieb"))</f>
        <v/>
      </c>
      <c r="G103" s="1272" t="str">
        <f>IF(OR(E103="",'Flächen u. Kulturen'!E101&lt;&gt;"x"),"",IF('#BerechnungDBE'!N96=3,'Flächen u. Kulturen'!R101,'Flächen u. Kulturen'!Q101))</f>
        <v/>
      </c>
      <c r="H103" s="1467" t="str">
        <f>IF(G103="","",'#BerechnungDBE'!AR96)</f>
        <v/>
      </c>
      <c r="I103" s="1272" t="str">
        <f>IF(G103="","",'#BerechnungDBE'!AT96)</f>
        <v/>
      </c>
      <c r="J103" s="1272" t="str">
        <f>IF(G103="","",'#BerechnungDBE'!AU96)</f>
        <v/>
      </c>
      <c r="K103" s="1272" t="str">
        <f>IF(G103="","",'#BerechnungDBE'!AV96)</f>
        <v/>
      </c>
      <c r="L103" s="1272" t="str">
        <f>IF(G103="","",'#BerechnungDBE'!AW96)</f>
        <v/>
      </c>
      <c r="M103" s="1272" t="str">
        <f>IF(G103="","",'#BerechnungDBE'!AS96)</f>
        <v/>
      </c>
      <c r="N103" s="1272" t="str">
        <f>IF(G103="","",'#BerechnungDBE'!AX96)</f>
        <v/>
      </c>
      <c r="O103" s="1272" t="str">
        <f>IF(G103="","",'#BerechnungDBE'!AY96)</f>
        <v/>
      </c>
      <c r="P103" s="1272" t="str">
        <f>IF(G103="","",'#BerechnungDBE'!AZ96)</f>
        <v/>
      </c>
      <c r="Q103" s="1460" t="str">
        <f>IF(G103="","",IF('Flächen u. Kulturen'!X101="OK",'#BerechnungDBE'!BA96,"n.b."))</f>
        <v/>
      </c>
      <c r="R103" s="1460" t="str">
        <f>IF(G103="","",'#BerechnungDBE'!BF96)</f>
        <v/>
      </c>
      <c r="S103" s="1468" t="str">
        <f>IF(OR(G103="",AND(D103="",'#BerechnungDBE'!BH96=0)),"",IF('Flächen u. Kulturen'!X101="OK",'#BerechnungDBE'!BH96,"n.b."))</f>
        <v/>
      </c>
      <c r="T103" s="1460" t="str">
        <f>IF(G103="","",IF('Flächen u. Kulturen'!X101="OK",'#BerechnungDBE'!BJ96,"n.b."))</f>
        <v/>
      </c>
      <c r="U103" s="1460" t="str">
        <f>IF(G103="","",IF('Flächen u. Kulturen'!X101="OK",ROUNDDOWN('#BerechnungDBE'!BL96,0),"n.b."))</f>
        <v/>
      </c>
      <c r="V103" s="1456" t="str">
        <f>IF(G103="","",IF('Flächen u. Kulturen'!X101="OK",ROUNDDOWN('#BerechnungDBE'!BL96/27,1),"n.b."))</f>
        <v/>
      </c>
      <c r="W103" s="1461"/>
      <c r="X103" s="1469" t="str">
        <f>IF(E103="","",'#minDung'!P102)</f>
        <v/>
      </c>
      <c r="Y103" s="1461" t="str">
        <f>IF(G103="","",'#Kürzungen'!AQ120)</f>
        <v/>
      </c>
    </row>
    <row r="104" spans="1:25" s="880" customFormat="1" ht="15" customHeight="1" x14ac:dyDescent="0.2">
      <c r="A104" s="1471" t="str">
        <f>IF(E104="","",'Flächen u. Kulturen'!A102)</f>
        <v/>
      </c>
      <c r="B104" s="1273" t="str">
        <f>IF('Flächen u. Kulturen'!C102="","",'Flächen u. Kulturen'!C102)</f>
        <v/>
      </c>
      <c r="C104" s="1273" t="str">
        <f>IF('Flächen u. Kulturen'!B102="","",'Flächen u. Kulturen'!B102)</f>
        <v/>
      </c>
      <c r="D104" s="1452" t="str">
        <f>IF(E104="","",IF('#BerechnungDBE'!S97=1,"x",""))</f>
        <v/>
      </c>
      <c r="E104" s="1472" t="str">
        <f>IF('Flächen u. Kulturen'!D102="","",'Flächen u. Kulturen'!D102)</f>
        <v/>
      </c>
      <c r="F104" s="1255" t="str">
        <f>IF(E104="","",IF('Flächen u. Kulturen'!E102="x",'Flächen u. Kulturen'!P102,"       nicht im Betrieb"))</f>
        <v/>
      </c>
      <c r="G104" s="1272" t="str">
        <f>IF(OR(E104="",'Flächen u. Kulturen'!E102&lt;&gt;"x"),"",IF('#BerechnungDBE'!N97=3,'Flächen u. Kulturen'!R102,'Flächen u. Kulturen'!Q102))</f>
        <v/>
      </c>
      <c r="H104" s="1467" t="str">
        <f>IF(G104="","",'#BerechnungDBE'!AR97)</f>
        <v/>
      </c>
      <c r="I104" s="1272" t="str">
        <f>IF(G104="","",'#BerechnungDBE'!AT97)</f>
        <v/>
      </c>
      <c r="J104" s="1272" t="str">
        <f>IF(G104="","",'#BerechnungDBE'!AU97)</f>
        <v/>
      </c>
      <c r="K104" s="1272" t="str">
        <f>IF(G104="","",'#BerechnungDBE'!AV97)</f>
        <v/>
      </c>
      <c r="L104" s="1272" t="str">
        <f>IF(G104="","",'#BerechnungDBE'!AW97)</f>
        <v/>
      </c>
      <c r="M104" s="1272" t="str">
        <f>IF(G104="","",'#BerechnungDBE'!AS97)</f>
        <v/>
      </c>
      <c r="N104" s="1272" t="str">
        <f>IF(G104="","",'#BerechnungDBE'!AX97)</f>
        <v/>
      </c>
      <c r="O104" s="1272" t="str">
        <f>IF(G104="","",'#BerechnungDBE'!AY97)</f>
        <v/>
      </c>
      <c r="P104" s="1272" t="str">
        <f>IF(G104="","",'#BerechnungDBE'!AZ97)</f>
        <v/>
      </c>
      <c r="Q104" s="1460" t="str">
        <f>IF(G104="","",IF('Flächen u. Kulturen'!X102="OK",'#BerechnungDBE'!BA97,"n.b."))</f>
        <v/>
      </c>
      <c r="R104" s="1460" t="str">
        <f>IF(G104="","",'#BerechnungDBE'!BF97)</f>
        <v/>
      </c>
      <c r="S104" s="1468" t="str">
        <f>IF(OR(G104="",AND(D104="",'#BerechnungDBE'!BH97=0)),"",IF('Flächen u. Kulturen'!X102="OK",'#BerechnungDBE'!BH97,"n.b."))</f>
        <v/>
      </c>
      <c r="T104" s="1460" t="str">
        <f>IF(G104="","",IF('Flächen u. Kulturen'!X102="OK",'#BerechnungDBE'!BJ97,"n.b."))</f>
        <v/>
      </c>
      <c r="U104" s="1460" t="str">
        <f>IF(G104="","",IF('Flächen u. Kulturen'!X102="OK",ROUNDDOWN('#BerechnungDBE'!BL97,0),"n.b."))</f>
        <v/>
      </c>
      <c r="V104" s="1456" t="str">
        <f>IF(G104="","",IF('Flächen u. Kulturen'!X102="OK",ROUNDDOWN('#BerechnungDBE'!BL97/27,1),"n.b."))</f>
        <v/>
      </c>
      <c r="W104" s="1461"/>
      <c r="X104" s="1469" t="str">
        <f>IF(E104="","",'#minDung'!P103)</f>
        <v/>
      </c>
      <c r="Y104" s="1461" t="str">
        <f>IF(G104="","",'#Kürzungen'!AQ121)</f>
        <v/>
      </c>
    </row>
    <row r="105" spans="1:25" s="880" customFormat="1" ht="15" customHeight="1" x14ac:dyDescent="0.2">
      <c r="A105" s="1471" t="str">
        <f>IF(E105="","",'Flächen u. Kulturen'!A103)</f>
        <v/>
      </c>
      <c r="B105" s="1273" t="str">
        <f>IF('Flächen u. Kulturen'!C103="","",'Flächen u. Kulturen'!C103)</f>
        <v/>
      </c>
      <c r="C105" s="1273" t="str">
        <f>IF('Flächen u. Kulturen'!B103="","",'Flächen u. Kulturen'!B103)</f>
        <v/>
      </c>
      <c r="D105" s="1452" t="str">
        <f>IF(E105="","",IF('#BerechnungDBE'!S98=1,"x",""))</f>
        <v/>
      </c>
      <c r="E105" s="1472" t="str">
        <f>IF('Flächen u. Kulturen'!D103="","",'Flächen u. Kulturen'!D103)</f>
        <v/>
      </c>
      <c r="F105" s="1255" t="str">
        <f>IF(E105="","",IF('Flächen u. Kulturen'!E103="x",'Flächen u. Kulturen'!P103,"       nicht im Betrieb"))</f>
        <v/>
      </c>
      <c r="G105" s="1272" t="str">
        <f>IF(OR(E105="",'Flächen u. Kulturen'!E103&lt;&gt;"x"),"",IF('#BerechnungDBE'!N98=3,'Flächen u. Kulturen'!R103,'Flächen u. Kulturen'!Q103))</f>
        <v/>
      </c>
      <c r="H105" s="1467" t="str">
        <f>IF(G105="","",'#BerechnungDBE'!AR98)</f>
        <v/>
      </c>
      <c r="I105" s="1272" t="str">
        <f>IF(G105="","",'#BerechnungDBE'!AT98)</f>
        <v/>
      </c>
      <c r="J105" s="1272" t="str">
        <f>IF(G105="","",'#BerechnungDBE'!AU98)</f>
        <v/>
      </c>
      <c r="K105" s="1272" t="str">
        <f>IF(G105="","",'#BerechnungDBE'!AV98)</f>
        <v/>
      </c>
      <c r="L105" s="1272" t="str">
        <f>IF(G105="","",'#BerechnungDBE'!AW98)</f>
        <v/>
      </c>
      <c r="M105" s="1272" t="str">
        <f>IF(G105="","",'#BerechnungDBE'!AS98)</f>
        <v/>
      </c>
      <c r="N105" s="1272" t="str">
        <f>IF(G105="","",'#BerechnungDBE'!AX98)</f>
        <v/>
      </c>
      <c r="O105" s="1272" t="str">
        <f>IF(G105="","",'#BerechnungDBE'!AY98)</f>
        <v/>
      </c>
      <c r="P105" s="1272" t="str">
        <f>IF(G105="","",'#BerechnungDBE'!AZ98)</f>
        <v/>
      </c>
      <c r="Q105" s="1460" t="str">
        <f>IF(G105="","",IF('Flächen u. Kulturen'!X103="OK",'#BerechnungDBE'!BA98,"n.b."))</f>
        <v/>
      </c>
      <c r="R105" s="1460" t="str">
        <f>IF(G105="","",'#BerechnungDBE'!BF98)</f>
        <v/>
      </c>
      <c r="S105" s="1468" t="str">
        <f>IF(OR(G105="",AND(D105="",'#BerechnungDBE'!BH98=0)),"",IF('Flächen u. Kulturen'!X103="OK",'#BerechnungDBE'!BH98,"n.b."))</f>
        <v/>
      </c>
      <c r="T105" s="1460" t="str">
        <f>IF(G105="","",IF('Flächen u. Kulturen'!X103="OK",'#BerechnungDBE'!BJ98,"n.b."))</f>
        <v/>
      </c>
      <c r="U105" s="1460" t="str">
        <f>IF(G105="","",IF('Flächen u. Kulturen'!X103="OK",ROUNDDOWN('#BerechnungDBE'!BL98,0),"n.b."))</f>
        <v/>
      </c>
      <c r="V105" s="1456" t="str">
        <f>IF(G105="","",IF('Flächen u. Kulturen'!X103="OK",ROUNDDOWN('#BerechnungDBE'!BL98/27,1),"n.b."))</f>
        <v/>
      </c>
      <c r="W105" s="1461"/>
      <c r="X105" s="1469" t="str">
        <f>IF(E105="","",'#minDung'!P104)</f>
        <v/>
      </c>
      <c r="Y105" s="1461" t="str">
        <f>IF(G105="","",'#Kürzungen'!AQ122)</f>
        <v/>
      </c>
    </row>
    <row r="106" spans="1:25" s="880" customFormat="1" ht="15" customHeight="1" x14ac:dyDescent="0.2">
      <c r="A106" s="1471" t="str">
        <f>IF(E106="","",'Flächen u. Kulturen'!A104)</f>
        <v/>
      </c>
      <c r="B106" s="1273" t="str">
        <f>IF('Flächen u. Kulturen'!C104="","",'Flächen u. Kulturen'!C104)</f>
        <v/>
      </c>
      <c r="C106" s="1273" t="str">
        <f>IF('Flächen u. Kulturen'!B104="","",'Flächen u. Kulturen'!B104)</f>
        <v/>
      </c>
      <c r="D106" s="1452" t="str">
        <f>IF(E106="","",IF('#BerechnungDBE'!S99=1,"x",""))</f>
        <v/>
      </c>
      <c r="E106" s="1472" t="str">
        <f>IF('Flächen u. Kulturen'!D104="","",'Flächen u. Kulturen'!D104)</f>
        <v/>
      </c>
      <c r="F106" s="1255" t="str">
        <f>IF(E106="","",IF('Flächen u. Kulturen'!E104="x",'Flächen u. Kulturen'!P104,"       nicht im Betrieb"))</f>
        <v/>
      </c>
      <c r="G106" s="1272" t="str">
        <f>IF(OR(E106="",'Flächen u. Kulturen'!E104&lt;&gt;"x"),"",IF('#BerechnungDBE'!N99=3,'Flächen u. Kulturen'!R104,'Flächen u. Kulturen'!Q104))</f>
        <v/>
      </c>
      <c r="H106" s="1467" t="str">
        <f>IF(G106="","",'#BerechnungDBE'!AR99)</f>
        <v/>
      </c>
      <c r="I106" s="1272" t="str">
        <f>IF(G106="","",'#BerechnungDBE'!AT99)</f>
        <v/>
      </c>
      <c r="J106" s="1272" t="str">
        <f>IF(G106="","",'#BerechnungDBE'!AU99)</f>
        <v/>
      </c>
      <c r="K106" s="1272" t="str">
        <f>IF(G106="","",'#BerechnungDBE'!AV99)</f>
        <v/>
      </c>
      <c r="L106" s="1272" t="str">
        <f>IF(G106="","",'#BerechnungDBE'!AW99)</f>
        <v/>
      </c>
      <c r="M106" s="1272" t="str">
        <f>IF(G106="","",'#BerechnungDBE'!AS99)</f>
        <v/>
      </c>
      <c r="N106" s="1272" t="str">
        <f>IF(G106="","",'#BerechnungDBE'!AX99)</f>
        <v/>
      </c>
      <c r="O106" s="1272" t="str">
        <f>IF(G106="","",'#BerechnungDBE'!AY99)</f>
        <v/>
      </c>
      <c r="P106" s="1272" t="str">
        <f>IF(G106="","",'#BerechnungDBE'!AZ99)</f>
        <v/>
      </c>
      <c r="Q106" s="1460" t="str">
        <f>IF(G106="","",IF('Flächen u. Kulturen'!X104="OK",'#BerechnungDBE'!BA99,"n.b."))</f>
        <v/>
      </c>
      <c r="R106" s="1460" t="str">
        <f>IF(G106="","",'#BerechnungDBE'!BF99)</f>
        <v/>
      </c>
      <c r="S106" s="1468" t="str">
        <f>IF(OR(G106="",AND(D106="",'#BerechnungDBE'!BH99=0)),"",IF('Flächen u. Kulturen'!X104="OK",'#BerechnungDBE'!BH99,"n.b."))</f>
        <v/>
      </c>
      <c r="T106" s="1460" t="str">
        <f>IF(G106="","",IF('Flächen u. Kulturen'!X104="OK",'#BerechnungDBE'!BJ99,"n.b."))</f>
        <v/>
      </c>
      <c r="U106" s="1460" t="str">
        <f>IF(G106="","",IF('Flächen u. Kulturen'!X104="OK",ROUNDDOWN('#BerechnungDBE'!BL99,0),"n.b."))</f>
        <v/>
      </c>
      <c r="V106" s="1456" t="str">
        <f>IF(G106="","",IF('Flächen u. Kulturen'!X104="OK",ROUNDDOWN('#BerechnungDBE'!BL99/27,1),"n.b."))</f>
        <v/>
      </c>
      <c r="W106" s="1461"/>
      <c r="X106" s="1469" t="str">
        <f>IF(E106="","",'#minDung'!P105)</f>
        <v/>
      </c>
      <c r="Y106" s="1461" t="str">
        <f>IF(G106="","",'#Kürzungen'!AQ123)</f>
        <v/>
      </c>
    </row>
    <row r="107" spans="1:25" s="880" customFormat="1" ht="15" customHeight="1" x14ac:dyDescent="0.2">
      <c r="A107" s="1471" t="str">
        <f>IF(E107="","",'Flächen u. Kulturen'!A105)</f>
        <v/>
      </c>
      <c r="B107" s="1273" t="str">
        <f>IF('Flächen u. Kulturen'!C105="","",'Flächen u. Kulturen'!C105)</f>
        <v/>
      </c>
      <c r="C107" s="1273" t="str">
        <f>IF('Flächen u. Kulturen'!B105="","",'Flächen u. Kulturen'!B105)</f>
        <v/>
      </c>
      <c r="D107" s="1452" t="str">
        <f>IF(E107="","",IF('#BerechnungDBE'!S100=1,"x",""))</f>
        <v/>
      </c>
      <c r="E107" s="1472" t="str">
        <f>IF('Flächen u. Kulturen'!D105="","",'Flächen u. Kulturen'!D105)</f>
        <v/>
      </c>
      <c r="F107" s="1255" t="str">
        <f>IF(E107="","",IF('Flächen u. Kulturen'!E105="x",'Flächen u. Kulturen'!P105,"       nicht im Betrieb"))</f>
        <v/>
      </c>
      <c r="G107" s="1272" t="str">
        <f>IF(OR(E107="",'Flächen u. Kulturen'!E105&lt;&gt;"x"),"",IF('#BerechnungDBE'!N100=3,'Flächen u. Kulturen'!R105,'Flächen u. Kulturen'!Q105))</f>
        <v/>
      </c>
      <c r="H107" s="1467" t="str">
        <f>IF(G107="","",'#BerechnungDBE'!AR100)</f>
        <v/>
      </c>
      <c r="I107" s="1272" t="str">
        <f>IF(G107="","",'#BerechnungDBE'!AT100)</f>
        <v/>
      </c>
      <c r="J107" s="1272" t="str">
        <f>IF(G107="","",'#BerechnungDBE'!AU100)</f>
        <v/>
      </c>
      <c r="K107" s="1272" t="str">
        <f>IF(G107="","",'#BerechnungDBE'!AV100)</f>
        <v/>
      </c>
      <c r="L107" s="1272" t="str">
        <f>IF(G107="","",'#BerechnungDBE'!AW100)</f>
        <v/>
      </c>
      <c r="M107" s="1272" t="str">
        <f>IF(G107="","",'#BerechnungDBE'!AS100)</f>
        <v/>
      </c>
      <c r="N107" s="1272" t="str">
        <f>IF(G107="","",'#BerechnungDBE'!AX100)</f>
        <v/>
      </c>
      <c r="O107" s="1272" t="str">
        <f>IF(G107="","",'#BerechnungDBE'!AY100)</f>
        <v/>
      </c>
      <c r="P107" s="1272" t="str">
        <f>IF(G107="","",'#BerechnungDBE'!AZ100)</f>
        <v/>
      </c>
      <c r="Q107" s="1460" t="str">
        <f>IF(G107="","",IF('Flächen u. Kulturen'!X105="OK",'#BerechnungDBE'!BA100,"n.b."))</f>
        <v/>
      </c>
      <c r="R107" s="1460" t="str">
        <f>IF(G107="","",'#BerechnungDBE'!BF100)</f>
        <v/>
      </c>
      <c r="S107" s="1468" t="str">
        <f>IF(OR(G107="",AND(D107="",'#BerechnungDBE'!BH100=0)),"",IF('Flächen u. Kulturen'!X105="OK",'#BerechnungDBE'!BH100,"n.b."))</f>
        <v/>
      </c>
      <c r="T107" s="1460" t="str">
        <f>IF(G107="","",IF('Flächen u. Kulturen'!X105="OK",'#BerechnungDBE'!BJ100,"n.b."))</f>
        <v/>
      </c>
      <c r="U107" s="1460" t="str">
        <f>IF(G107="","",IF('Flächen u. Kulturen'!X105="OK",ROUNDDOWN('#BerechnungDBE'!BL100,0),"n.b."))</f>
        <v/>
      </c>
      <c r="V107" s="1456" t="str">
        <f>IF(G107="","",IF('Flächen u. Kulturen'!X105="OK",ROUNDDOWN('#BerechnungDBE'!BL100/27,1),"n.b."))</f>
        <v/>
      </c>
      <c r="W107" s="1461"/>
      <c r="X107" s="1469" t="str">
        <f>IF(E107="","",'#minDung'!P106)</f>
        <v/>
      </c>
      <c r="Y107" s="1461" t="str">
        <f>IF(G107="","",'#Kürzungen'!AQ124)</f>
        <v/>
      </c>
    </row>
    <row r="108" spans="1:25" s="880" customFormat="1" ht="15" customHeight="1" x14ac:dyDescent="0.2">
      <c r="A108" s="1471" t="str">
        <f>IF(E108="","",'Flächen u. Kulturen'!A106)</f>
        <v/>
      </c>
      <c r="B108" s="1273" t="str">
        <f>IF('Flächen u. Kulturen'!C106="","",'Flächen u. Kulturen'!C106)</f>
        <v/>
      </c>
      <c r="C108" s="1273" t="str">
        <f>IF('Flächen u. Kulturen'!B106="","",'Flächen u. Kulturen'!B106)</f>
        <v/>
      </c>
      <c r="D108" s="1452" t="str">
        <f>IF(E108="","",IF('#BerechnungDBE'!S101=1,"x",""))</f>
        <v/>
      </c>
      <c r="E108" s="1472" t="str">
        <f>IF('Flächen u. Kulturen'!D106="","",'Flächen u. Kulturen'!D106)</f>
        <v/>
      </c>
      <c r="F108" s="1255" t="str">
        <f>IF(E108="","",IF('Flächen u. Kulturen'!E106="x",'Flächen u. Kulturen'!P106,"       nicht im Betrieb"))</f>
        <v/>
      </c>
      <c r="G108" s="1272" t="str">
        <f>IF(OR(E108="",'Flächen u. Kulturen'!E106&lt;&gt;"x"),"",IF('#BerechnungDBE'!N101=3,'Flächen u. Kulturen'!R106,'Flächen u. Kulturen'!Q106))</f>
        <v/>
      </c>
      <c r="H108" s="1467" t="str">
        <f>IF(G108="","",'#BerechnungDBE'!AR101)</f>
        <v/>
      </c>
      <c r="I108" s="1272" t="str">
        <f>IF(G108="","",'#BerechnungDBE'!AT101)</f>
        <v/>
      </c>
      <c r="J108" s="1272" t="str">
        <f>IF(G108="","",'#BerechnungDBE'!AU101)</f>
        <v/>
      </c>
      <c r="K108" s="1272" t="str">
        <f>IF(G108="","",'#BerechnungDBE'!AV101)</f>
        <v/>
      </c>
      <c r="L108" s="1272" t="str">
        <f>IF(G108="","",'#BerechnungDBE'!AW101)</f>
        <v/>
      </c>
      <c r="M108" s="1272" t="str">
        <f>IF(G108="","",'#BerechnungDBE'!AS101)</f>
        <v/>
      </c>
      <c r="N108" s="1272" t="str">
        <f>IF(G108="","",'#BerechnungDBE'!AX101)</f>
        <v/>
      </c>
      <c r="O108" s="1272" t="str">
        <f>IF(G108="","",'#BerechnungDBE'!AY101)</f>
        <v/>
      </c>
      <c r="P108" s="1272" t="str">
        <f>IF(G108="","",'#BerechnungDBE'!AZ101)</f>
        <v/>
      </c>
      <c r="Q108" s="1460" t="str">
        <f>IF(G108="","",IF('Flächen u. Kulturen'!X106="OK",'#BerechnungDBE'!BA101,"n.b."))</f>
        <v/>
      </c>
      <c r="R108" s="1460" t="str">
        <f>IF(G108="","",'#BerechnungDBE'!BF101)</f>
        <v/>
      </c>
      <c r="S108" s="1468" t="str">
        <f>IF(OR(G108="",AND(D108="",'#BerechnungDBE'!BH101=0)),"",IF('Flächen u. Kulturen'!X106="OK",'#BerechnungDBE'!BH101,"n.b."))</f>
        <v/>
      </c>
      <c r="T108" s="1460" t="str">
        <f>IF(G108="","",IF('Flächen u. Kulturen'!X106="OK",'#BerechnungDBE'!BJ101,"n.b."))</f>
        <v/>
      </c>
      <c r="U108" s="1460" t="str">
        <f>IF(G108="","",IF('Flächen u. Kulturen'!X106="OK",ROUNDDOWN('#BerechnungDBE'!BL101,0),"n.b."))</f>
        <v/>
      </c>
      <c r="V108" s="1456" t="str">
        <f>IF(G108="","",IF('Flächen u. Kulturen'!X106="OK",ROUNDDOWN('#BerechnungDBE'!BL101/27,1),"n.b."))</f>
        <v/>
      </c>
      <c r="W108" s="1461"/>
      <c r="X108" s="1469" t="str">
        <f>IF(E108="","",'#minDung'!P107)</f>
        <v/>
      </c>
      <c r="Y108" s="1461" t="str">
        <f>IF(G108="","",'#Kürzungen'!AQ125)</f>
        <v/>
      </c>
    </row>
    <row r="109" spans="1:25" s="880" customFormat="1" ht="15" customHeight="1" x14ac:dyDescent="0.2">
      <c r="A109" s="1471" t="str">
        <f>IF(E109="","",'Flächen u. Kulturen'!A107)</f>
        <v/>
      </c>
      <c r="B109" s="1273" t="str">
        <f>IF('Flächen u. Kulturen'!C107="","",'Flächen u. Kulturen'!C107)</f>
        <v/>
      </c>
      <c r="C109" s="1273" t="str">
        <f>IF('Flächen u. Kulturen'!B107="","",'Flächen u. Kulturen'!B107)</f>
        <v/>
      </c>
      <c r="D109" s="1452" t="str">
        <f>IF(E109="","",IF('#BerechnungDBE'!S102=1,"x",""))</f>
        <v/>
      </c>
      <c r="E109" s="1472" t="str">
        <f>IF('Flächen u. Kulturen'!D107="","",'Flächen u. Kulturen'!D107)</f>
        <v/>
      </c>
      <c r="F109" s="1255" t="str">
        <f>IF(E109="","",IF('Flächen u. Kulturen'!E107="x",'Flächen u. Kulturen'!P107,"       nicht im Betrieb"))</f>
        <v/>
      </c>
      <c r="G109" s="1272" t="str">
        <f>IF(OR(E109="",'Flächen u. Kulturen'!E107&lt;&gt;"x"),"",IF('#BerechnungDBE'!N102=3,'Flächen u. Kulturen'!R107,'Flächen u. Kulturen'!Q107))</f>
        <v/>
      </c>
      <c r="H109" s="1467" t="str">
        <f>IF(G109="","",'#BerechnungDBE'!AR102)</f>
        <v/>
      </c>
      <c r="I109" s="1272" t="str">
        <f>IF(G109="","",'#BerechnungDBE'!AT102)</f>
        <v/>
      </c>
      <c r="J109" s="1272" t="str">
        <f>IF(G109="","",'#BerechnungDBE'!AU102)</f>
        <v/>
      </c>
      <c r="K109" s="1272" t="str">
        <f>IF(G109="","",'#BerechnungDBE'!AV102)</f>
        <v/>
      </c>
      <c r="L109" s="1272" t="str">
        <f>IF(G109="","",'#BerechnungDBE'!AW102)</f>
        <v/>
      </c>
      <c r="M109" s="1272" t="str">
        <f>IF(G109="","",'#BerechnungDBE'!AS102)</f>
        <v/>
      </c>
      <c r="N109" s="1272" t="str">
        <f>IF(G109="","",'#BerechnungDBE'!AX102)</f>
        <v/>
      </c>
      <c r="O109" s="1272" t="str">
        <f>IF(G109="","",'#BerechnungDBE'!AY102)</f>
        <v/>
      </c>
      <c r="P109" s="1272" t="str">
        <f>IF(G109="","",'#BerechnungDBE'!AZ102)</f>
        <v/>
      </c>
      <c r="Q109" s="1460" t="str">
        <f>IF(G109="","",IF('Flächen u. Kulturen'!X107="OK",'#BerechnungDBE'!BA102,"n.b."))</f>
        <v/>
      </c>
      <c r="R109" s="1460" t="str">
        <f>IF(G109="","",'#BerechnungDBE'!BF102)</f>
        <v/>
      </c>
      <c r="S109" s="1468" t="str">
        <f>IF(OR(G109="",AND(D109="",'#BerechnungDBE'!BH102=0)),"",IF('Flächen u. Kulturen'!X107="OK",'#BerechnungDBE'!BH102,"n.b."))</f>
        <v/>
      </c>
      <c r="T109" s="1460" t="str">
        <f>IF(G109="","",IF('Flächen u. Kulturen'!X107="OK",'#BerechnungDBE'!BJ102,"n.b."))</f>
        <v/>
      </c>
      <c r="U109" s="1460" t="str">
        <f>IF(G109="","",IF('Flächen u. Kulturen'!X107="OK",ROUNDDOWN('#BerechnungDBE'!BL102,0),"n.b."))</f>
        <v/>
      </c>
      <c r="V109" s="1456" t="str">
        <f>IF(G109="","",IF('Flächen u. Kulturen'!X107="OK",ROUNDDOWN('#BerechnungDBE'!BL102/27,1),"n.b."))</f>
        <v/>
      </c>
      <c r="W109" s="1461"/>
      <c r="X109" s="1469" t="str">
        <f>IF(E109="","",'#minDung'!P108)</f>
        <v/>
      </c>
      <c r="Y109" s="1461" t="str">
        <f>IF(G109="","",'#Kürzungen'!AQ126)</f>
        <v/>
      </c>
    </row>
    <row r="110" spans="1:25" s="880" customFormat="1" ht="15" customHeight="1" x14ac:dyDescent="0.2">
      <c r="A110" s="1471" t="str">
        <f>IF(E110="","",'Flächen u. Kulturen'!A108)</f>
        <v/>
      </c>
      <c r="B110" s="1273" t="str">
        <f>IF('Flächen u. Kulturen'!C108="","",'Flächen u. Kulturen'!C108)</f>
        <v/>
      </c>
      <c r="C110" s="1273" t="str">
        <f>IF('Flächen u. Kulturen'!B108="","",'Flächen u. Kulturen'!B108)</f>
        <v/>
      </c>
      <c r="D110" s="1452" t="str">
        <f>IF(E110="","",IF('#BerechnungDBE'!S103=1,"x",""))</f>
        <v/>
      </c>
      <c r="E110" s="1472" t="str">
        <f>IF('Flächen u. Kulturen'!D108="","",'Flächen u. Kulturen'!D108)</f>
        <v/>
      </c>
      <c r="F110" s="1255" t="str">
        <f>IF(E110="","",IF('Flächen u. Kulturen'!E108="x",'Flächen u. Kulturen'!P108,"       nicht im Betrieb"))</f>
        <v/>
      </c>
      <c r="G110" s="1272" t="str">
        <f>IF(OR(E110="",'Flächen u. Kulturen'!E108&lt;&gt;"x"),"",IF('#BerechnungDBE'!N103=3,'Flächen u. Kulturen'!R108,'Flächen u. Kulturen'!Q108))</f>
        <v/>
      </c>
      <c r="H110" s="1467" t="str">
        <f>IF(G110="","",'#BerechnungDBE'!AR103)</f>
        <v/>
      </c>
      <c r="I110" s="1272" t="str">
        <f>IF(G110="","",'#BerechnungDBE'!AT103)</f>
        <v/>
      </c>
      <c r="J110" s="1272" t="str">
        <f>IF(G110="","",'#BerechnungDBE'!AU103)</f>
        <v/>
      </c>
      <c r="K110" s="1272" t="str">
        <f>IF(G110="","",'#BerechnungDBE'!AV103)</f>
        <v/>
      </c>
      <c r="L110" s="1272" t="str">
        <f>IF(G110="","",'#BerechnungDBE'!AW103)</f>
        <v/>
      </c>
      <c r="M110" s="1272" t="str">
        <f>IF(G110="","",'#BerechnungDBE'!AS103)</f>
        <v/>
      </c>
      <c r="N110" s="1272" t="str">
        <f>IF(G110="","",'#BerechnungDBE'!AX103)</f>
        <v/>
      </c>
      <c r="O110" s="1272" t="str">
        <f>IF(G110="","",'#BerechnungDBE'!AY103)</f>
        <v/>
      </c>
      <c r="P110" s="1272" t="str">
        <f>IF(G110="","",'#BerechnungDBE'!AZ103)</f>
        <v/>
      </c>
      <c r="Q110" s="1460" t="str">
        <f>IF(G110="","",IF('Flächen u. Kulturen'!X108="OK",'#BerechnungDBE'!BA103,"n.b."))</f>
        <v/>
      </c>
      <c r="R110" s="1460" t="str">
        <f>IF(G110="","",'#BerechnungDBE'!BF103)</f>
        <v/>
      </c>
      <c r="S110" s="1468" t="str">
        <f>IF(OR(G110="",AND(D110="",'#BerechnungDBE'!BH103=0)),"",IF('Flächen u. Kulturen'!X108="OK",'#BerechnungDBE'!BH103,"n.b."))</f>
        <v/>
      </c>
      <c r="T110" s="1460" t="str">
        <f>IF(G110="","",IF('Flächen u. Kulturen'!X108="OK",'#BerechnungDBE'!BJ103,"n.b."))</f>
        <v/>
      </c>
      <c r="U110" s="1460" t="str">
        <f>IF(G110="","",IF('Flächen u. Kulturen'!X108="OK",ROUNDDOWN('#BerechnungDBE'!BL103,0),"n.b."))</f>
        <v/>
      </c>
      <c r="V110" s="1456" t="str">
        <f>IF(G110="","",IF('Flächen u. Kulturen'!X108="OK",ROUNDDOWN('#BerechnungDBE'!BL103/27,1),"n.b."))</f>
        <v/>
      </c>
      <c r="W110" s="1461"/>
      <c r="X110" s="1469" t="str">
        <f>IF(E110="","",'#minDung'!P109)</f>
        <v/>
      </c>
      <c r="Y110" s="1461" t="str">
        <f>IF(G110="","",'#Kürzungen'!AQ127)</f>
        <v/>
      </c>
    </row>
    <row r="111" spans="1:25" s="880" customFormat="1" ht="15" customHeight="1" x14ac:dyDescent="0.2">
      <c r="A111" s="1462" t="str">
        <f>IF(E111="","",'Flächen u. Kulturen'!A109)</f>
        <v/>
      </c>
      <c r="B111" s="1256" t="str">
        <f>IF('Flächen u. Kulturen'!C109="","",'Flächen u. Kulturen'!C109)</f>
        <v/>
      </c>
      <c r="C111" s="1256" t="str">
        <f>IF('Flächen u. Kulturen'!B109="","",'Flächen u. Kulturen'!B109)</f>
        <v/>
      </c>
      <c r="D111" s="1453" t="str">
        <f>IF(E111="","",IF('#BerechnungDBE'!S104=1,"x",""))</f>
        <v/>
      </c>
      <c r="E111" s="1453" t="str">
        <f>IF('Flächen u. Kulturen'!D109="","",'Flächen u. Kulturen'!D109)</f>
        <v/>
      </c>
      <c r="F111" s="1256" t="str">
        <f>IF(E111="","",IF('Flächen u. Kulturen'!E109="x",'Flächen u. Kulturen'!P109,"       nicht im Betrieb"))</f>
        <v/>
      </c>
      <c r="G111" s="1274" t="str">
        <f>IF(OR(E111="",'Flächen u. Kulturen'!E109&lt;&gt;"x"),"",IF('#BerechnungDBE'!N104=3,'Flächen u. Kulturen'!R109,'Flächen u. Kulturen'!Q109))</f>
        <v/>
      </c>
      <c r="H111" s="1274" t="str">
        <f>IF(G111="","",'#BerechnungDBE'!AR104)</f>
        <v/>
      </c>
      <c r="I111" s="1274" t="str">
        <f>IF(G111="","",'#BerechnungDBE'!AT104)</f>
        <v/>
      </c>
      <c r="J111" s="1274" t="str">
        <f>IF(G111="","",'#BerechnungDBE'!AU104)</f>
        <v/>
      </c>
      <c r="K111" s="1274" t="str">
        <f>IF(G111="","",'#BerechnungDBE'!AV104)</f>
        <v/>
      </c>
      <c r="L111" s="1274" t="str">
        <f>IF(G111="","",'#BerechnungDBE'!AW104)</f>
        <v/>
      </c>
      <c r="M111" s="1274" t="str">
        <f>IF(G111="","",'#BerechnungDBE'!AS104)</f>
        <v/>
      </c>
      <c r="N111" s="1274" t="str">
        <f>IF(G111="","",'#BerechnungDBE'!AX104)</f>
        <v/>
      </c>
      <c r="O111" s="1274" t="str">
        <f>IF(G111="","",'#BerechnungDBE'!AY104)</f>
        <v/>
      </c>
      <c r="P111" s="1274" t="str">
        <f>IF(G111="","",'#BerechnungDBE'!AZ104)</f>
        <v/>
      </c>
      <c r="Q111" s="1464" t="str">
        <f>IF(G111="","",IF('Flächen u. Kulturen'!X109="OK",'#BerechnungDBE'!BA104,"n.b."))</f>
        <v/>
      </c>
      <c r="R111" s="1464" t="str">
        <f>IF(G111="","",'#BerechnungDBE'!BF104)</f>
        <v/>
      </c>
      <c r="S111" s="1473" t="str">
        <f>IF(OR(G111="",AND(D111="",'#BerechnungDBE'!BH104=0)),"",IF('Flächen u. Kulturen'!X109="OK",'#BerechnungDBE'!BH104,"n.b."))</f>
        <v/>
      </c>
      <c r="T111" s="1464" t="str">
        <f>IF(G111="","",IF('Flächen u. Kulturen'!X109="OK",'#BerechnungDBE'!BJ104,"n.b."))</f>
        <v/>
      </c>
      <c r="U111" s="1464" t="str">
        <f>IF(G111="","",IF('Flächen u. Kulturen'!X109="OK",ROUNDDOWN('#BerechnungDBE'!BL104,0),"n.b."))</f>
        <v/>
      </c>
      <c r="V111" s="1457" t="str">
        <f>IF(G111="","",IF('Flächen u. Kulturen'!X109="OK",ROUNDDOWN('#BerechnungDBE'!BL104/27,1),"n.b."))</f>
        <v/>
      </c>
      <c r="W111" s="1465"/>
      <c r="X111" s="1474" t="str">
        <f>IF(E111="","",'#minDung'!P110)</f>
        <v/>
      </c>
      <c r="Y111" s="1465" t="str">
        <f>IF(G111="","",'#Kürzungen'!AQ128)</f>
        <v/>
      </c>
    </row>
    <row r="112" spans="1:25" s="938" customFormat="1" hidden="1" x14ac:dyDescent="0.2">
      <c r="A112" s="1451"/>
      <c r="B112" s="1451"/>
      <c r="C112" s="1451"/>
      <c r="D112" s="1451"/>
      <c r="E112" s="1451"/>
      <c r="G112" s="1451"/>
    </row>
    <row r="113" spans="1:23" s="592" customFormat="1" hidden="1" x14ac:dyDescent="0.2">
      <c r="A113" s="593"/>
      <c r="B113" s="593"/>
      <c r="C113" s="593"/>
      <c r="D113" s="593"/>
      <c r="E113" s="593"/>
      <c r="G113" s="593"/>
      <c r="M113" s="718"/>
      <c r="S113" s="599"/>
      <c r="T113" s="1259">
        <f>MIN(T12:T111)</f>
        <v>0</v>
      </c>
      <c r="V113" s="819"/>
      <c r="W113" s="938"/>
    </row>
    <row r="114" spans="1:23" hidden="1" x14ac:dyDescent="0.2">
      <c r="A114" s="431" t="s">
        <v>352</v>
      </c>
      <c r="B114" s="404" t="s">
        <v>1216</v>
      </c>
      <c r="C114" s="404" t="s">
        <v>1217</v>
      </c>
      <c r="D114" s="256" t="s">
        <v>711</v>
      </c>
    </row>
    <row r="115" spans="1:23" hidden="1" x14ac:dyDescent="0.2">
      <c r="B115" s="503" t="str">
        <f>CONCATENATE("A1",":",C115,D115)</f>
        <v>A1:W36</v>
      </c>
      <c r="C115" s="503" t="s">
        <v>1693</v>
      </c>
      <c r="D115" s="474">
        <f>'#BerechnungDBE'!DS106+2</f>
        <v>36</v>
      </c>
    </row>
    <row r="116" spans="1:23" hidden="1" x14ac:dyDescent="0.2"/>
    <row r="121" spans="1:23" x14ac:dyDescent="0.2">
      <c r="N121" s="604"/>
    </row>
  </sheetData>
  <sheetProtection algorithmName="SHA-512" hashValue="Zsq/5lyfB8EnxPy53A1L9RqHXDBF1VqP9MAIXFfgbBJ4Vn5+scpmqbvtOSDw7VYzbFa3mYDnIiyyjM8zRJLsXQ==" saltValue="HW6yMfhIJoAeEiIGVMZsEQ=="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I8:M10"/>
    <mergeCell ref="C8:C11"/>
    <mergeCell ref="E8:E11"/>
    <mergeCell ref="F8:F11"/>
    <mergeCell ref="G8:G11"/>
    <mergeCell ref="H8:H11"/>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s>
  <conditionalFormatting sqref="Y12:Y111">
    <cfRule type="cellIs" dxfId="0" priority="1" operator="greaterThan">
      <formula>0</formula>
    </cfRule>
  </conditionalFormatting>
  <printOptions horizontalCentered="1"/>
  <pageMargins left="0.31496062992125984" right="0.31496062992125984" top="0.39370078740157483" bottom="0.31496062992125984" header="0.31496062992125984" footer="0.11811023622047245"/>
  <pageSetup paperSize="9" orientation="landscape" horizontalDpi="300" r:id="rId2"/>
  <headerFooter>
    <oddFooter>&amp;L&amp;9© Bayerische Landesanstalt für Landwirtschaft, Institut für Agrarökologie - Düngung (Of, Sr, Sp, Ka), Stand: 13.12.2021&amp;RSeite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R113"/>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2.75" x14ac:dyDescent="0.2"/>
  <cols>
    <col min="1" max="1" width="4" customWidth="1"/>
    <col min="2" max="2" width="12.5703125" customWidth="1"/>
    <col min="3" max="3" width="20.140625" customWidth="1"/>
    <col min="4" max="4" width="6.42578125" customWidth="1"/>
    <col min="5" max="5" width="6" customWidth="1"/>
    <col min="6" max="6" width="26.85546875" customWidth="1"/>
    <col min="7" max="7" width="5.28515625" customWidth="1"/>
    <col min="8" max="8" width="6" customWidth="1"/>
    <col min="9" max="10" width="5.42578125" customWidth="1"/>
    <col min="11" max="11" width="4.42578125" customWidth="1"/>
    <col min="12" max="13" width="5.42578125" customWidth="1"/>
    <col min="14" max="14" width="5.42578125" style="489" customWidth="1"/>
    <col min="15" max="15" width="5.42578125" customWidth="1"/>
    <col min="16" max="16" width="6.7109375" customWidth="1"/>
    <col min="17" max="17" width="2.140625" customWidth="1"/>
  </cols>
  <sheetData>
    <row r="1" spans="1:18" ht="20.25" x14ac:dyDescent="0.3">
      <c r="A1" s="1805" t="s">
        <v>1617</v>
      </c>
      <c r="B1" s="1805"/>
      <c r="C1" s="1805"/>
      <c r="D1" s="1805"/>
      <c r="E1" s="1805"/>
      <c r="F1" s="1805"/>
      <c r="G1" s="1805"/>
      <c r="H1" s="1805"/>
      <c r="I1" s="1805"/>
      <c r="J1" s="1805"/>
      <c r="K1" s="1805"/>
      <c r="L1" s="1805"/>
      <c r="M1" s="1805"/>
      <c r="N1" s="1805"/>
      <c r="O1" s="1805"/>
      <c r="P1" s="1805"/>
      <c r="Q1" s="1244"/>
      <c r="R1" s="524"/>
    </row>
    <row r="2" spans="1:18" ht="14.25" customHeight="1" x14ac:dyDescent="0.2">
      <c r="A2" s="1041"/>
      <c r="B2" s="1041"/>
      <c r="C2" s="1212" t="str">
        <f>IF('Überblick 22'!S15=2,"Dateneingabe fehlerhaft. Düngebedarfsermittlung ungültig. Beachten Sie die Fehlermeldungen.","")</f>
        <v/>
      </c>
      <c r="D2" s="1041"/>
      <c r="E2" s="1041"/>
      <c r="F2" s="1041"/>
      <c r="G2" s="1041"/>
      <c r="H2" s="1041"/>
      <c r="I2" s="1041"/>
      <c r="J2" s="1041"/>
      <c r="K2" s="1041"/>
      <c r="L2" s="1041"/>
      <c r="M2" s="1041"/>
      <c r="N2" s="1041"/>
      <c r="O2" s="1041"/>
      <c r="P2" s="1041"/>
      <c r="Q2" s="1041"/>
    </row>
    <row r="3" spans="1:18" x14ac:dyDescent="0.2">
      <c r="A3" s="1041"/>
      <c r="B3" s="1218" t="s">
        <v>1056</v>
      </c>
      <c r="C3" s="1275" t="str">
        <f>'DBE - N'!C4</f>
        <v>Bitte in ''Betrieb'' eintragen</v>
      </c>
      <c r="D3" s="1136" t="str">
        <f>'Flächen u. Kulturen'!G5</f>
        <v>Name: Bitte in ''Betrieb'' eintragen</v>
      </c>
      <c r="E3" s="1218"/>
      <c r="F3" s="1136"/>
      <c r="G3" s="1136"/>
      <c r="H3" s="1136"/>
      <c r="I3" s="1041"/>
      <c r="J3" s="1218" t="s">
        <v>1050</v>
      </c>
      <c r="K3" s="1581">
        <f ca="1">TODAY()</f>
        <v>44551</v>
      </c>
      <c r="L3" s="1581"/>
      <c r="M3" s="1581"/>
      <c r="P3" s="1041"/>
      <c r="Q3" s="1041"/>
    </row>
    <row r="4" spans="1:18" ht="17.25" customHeight="1" x14ac:dyDescent="0.2">
      <c r="A4" s="1178" t="str">
        <f>IF(P10=" --","Die Bildung des Phosphat Saldos ist nicht möglich, solange noch organische Düngergaben als geplant gelten.","")</f>
        <v/>
      </c>
      <c r="B4" s="1041"/>
      <c r="C4" s="1041"/>
      <c r="D4" s="1041"/>
      <c r="E4" s="1041"/>
      <c r="F4" s="1041"/>
      <c r="G4" s="1041"/>
      <c r="H4" s="1041"/>
      <c r="I4" s="1041"/>
      <c r="J4" s="1041"/>
      <c r="K4" s="1041"/>
      <c r="L4" s="1041"/>
      <c r="M4" s="1041"/>
      <c r="N4" s="1041"/>
      <c r="O4" s="1041"/>
      <c r="P4" s="1218"/>
      <c r="Q4" s="1041"/>
    </row>
    <row r="5" spans="1:18" s="938" customFormat="1" ht="17.25" customHeight="1" x14ac:dyDescent="0.3">
      <c r="A5" s="1178" t="s">
        <v>2439</v>
      </c>
      <c r="B5" s="1041"/>
      <c r="C5" s="1041"/>
      <c r="D5" s="1041"/>
      <c r="E5" s="1041"/>
      <c r="F5" s="1041"/>
      <c r="G5" s="1841">
        <f>'#BerechnungDBE'!BY106</f>
        <v>0</v>
      </c>
      <c r="H5" s="1841"/>
      <c r="I5" s="1043" t="s">
        <v>2440</v>
      </c>
      <c r="J5" s="1041"/>
      <c r="K5" s="1041"/>
      <c r="L5" s="1041"/>
      <c r="M5" s="1041"/>
      <c r="N5" s="1041"/>
      <c r="O5" s="1041"/>
      <c r="P5" s="1218"/>
      <c r="Q5" s="1041"/>
    </row>
    <row r="6" spans="1:18" ht="16.5" customHeight="1" x14ac:dyDescent="0.2">
      <c r="A6" s="1796" t="s">
        <v>84</v>
      </c>
      <c r="B6" s="1248"/>
      <c r="C6" s="1796" t="s">
        <v>101</v>
      </c>
      <c r="D6" s="1799" t="s">
        <v>1057</v>
      </c>
      <c r="E6" s="1622" t="s">
        <v>1111</v>
      </c>
      <c r="F6" s="1796" t="s">
        <v>1615</v>
      </c>
      <c r="G6" s="1622" t="s">
        <v>1214</v>
      </c>
      <c r="H6" s="1833" t="s">
        <v>1176</v>
      </c>
      <c r="I6" s="1834"/>
      <c r="J6" s="1835"/>
      <c r="K6" s="1622" t="s">
        <v>1152</v>
      </c>
      <c r="L6" s="1622" t="s">
        <v>1213</v>
      </c>
      <c r="M6" s="1842" t="s">
        <v>1215</v>
      </c>
      <c r="N6" s="1622" t="s">
        <v>1212</v>
      </c>
      <c r="O6" s="1622" t="s">
        <v>2438</v>
      </c>
      <c r="P6" s="1836" t="s">
        <v>2435</v>
      </c>
      <c r="Q6" s="1041"/>
    </row>
    <row r="7" spans="1:18" x14ac:dyDescent="0.2">
      <c r="A7" s="1797"/>
      <c r="B7" s="1250"/>
      <c r="C7" s="1797"/>
      <c r="D7" s="1800"/>
      <c r="E7" s="1623"/>
      <c r="F7" s="1797"/>
      <c r="G7" s="1623"/>
      <c r="H7" s="1276"/>
      <c r="I7" s="1808" t="s">
        <v>1153</v>
      </c>
      <c r="J7" s="1277"/>
      <c r="K7" s="1623"/>
      <c r="L7" s="1623"/>
      <c r="M7" s="1623"/>
      <c r="N7" s="1623"/>
      <c r="O7" s="1623"/>
      <c r="P7" s="1837"/>
      <c r="Q7" s="1041"/>
    </row>
    <row r="8" spans="1:18" ht="15.75" customHeight="1" x14ac:dyDescent="0.2">
      <c r="A8" s="1797"/>
      <c r="B8" s="1252" t="s">
        <v>100</v>
      </c>
      <c r="C8" s="1797"/>
      <c r="D8" s="1800"/>
      <c r="E8" s="1623"/>
      <c r="F8" s="1797"/>
      <c r="G8" s="1623"/>
      <c r="H8" s="1839" t="s">
        <v>175</v>
      </c>
      <c r="I8" s="1808"/>
      <c r="J8" s="1808" t="s">
        <v>1151</v>
      </c>
      <c r="K8" s="1623"/>
      <c r="L8" s="1623"/>
      <c r="M8" s="1623"/>
      <c r="N8" s="1623"/>
      <c r="O8" s="1623"/>
      <c r="P8" s="1837"/>
      <c r="Q8" s="1041"/>
    </row>
    <row r="9" spans="1:18" ht="61.5" customHeight="1" x14ac:dyDescent="0.2">
      <c r="A9" s="1798"/>
      <c r="B9" s="1253" t="s">
        <v>1051</v>
      </c>
      <c r="C9" s="1798"/>
      <c r="D9" s="1801"/>
      <c r="E9" s="1624"/>
      <c r="F9" s="1798"/>
      <c r="G9" s="1624"/>
      <c r="H9" s="1840"/>
      <c r="I9" s="1809"/>
      <c r="J9" s="1809"/>
      <c r="K9" s="1624"/>
      <c r="L9" s="1624"/>
      <c r="M9" s="1624"/>
      <c r="N9" s="1624"/>
      <c r="O9" s="1624"/>
      <c r="P9" s="1838"/>
      <c r="Q9" s="1041"/>
    </row>
    <row r="10" spans="1:18" ht="15" customHeight="1" x14ac:dyDescent="0.2">
      <c r="A10" s="1458" t="str">
        <f>'DBE - N'!A12</f>
        <v/>
      </c>
      <c r="B10" s="1255" t="str">
        <f>'DBE - N'!B12</f>
        <v/>
      </c>
      <c r="C10" s="1255" t="str">
        <f>'DBE - N'!C12</f>
        <v/>
      </c>
      <c r="D10" s="1459" t="str">
        <f>'DBE - N'!E12</f>
        <v/>
      </c>
      <c r="E10" s="1255" t="str">
        <f>'org. Düngung 22'!E13</f>
        <v/>
      </c>
      <c r="F10" s="1255" t="str">
        <f>'DBE - N'!F12</f>
        <v/>
      </c>
      <c r="G10" s="1273" t="str">
        <f>IF(D10="","",IF('Flächen u. Kulturen'!E10="x",'Flächen u. Kulturen'!F10,""))</f>
        <v/>
      </c>
      <c r="H10" s="1460" t="str">
        <f>IF(G10="","",'#BerechnungDBE'!BS5)</f>
        <v/>
      </c>
      <c r="I10" s="1460" t="str">
        <f>IF(G10="","",'#BerechnungDBE'!BR5)</f>
        <v/>
      </c>
      <c r="J10" s="1460" t="str">
        <f>IF(G10="","",'#BerechnungDBE'!BQ5)</f>
        <v/>
      </c>
      <c r="K10" s="1460" t="str">
        <f>IF(G10="","",'#BerechnungDBE'!BU5)</f>
        <v/>
      </c>
      <c r="L10" s="1460" t="str">
        <f>IF(G10="","",'#BerechnungDBE'!BV5)</f>
        <v/>
      </c>
      <c r="M10" s="1460" t="str">
        <f>IF(G10="","",IF('#BerechnungDBE'!P5&lt;4,"",'#BerechnungDBE'!BW5))</f>
        <v/>
      </c>
      <c r="N10" s="1460" t="str">
        <f>IF(G10="","",'#BerechnungDBE'!BX5)</f>
        <v/>
      </c>
      <c r="O10" s="1460" t="str">
        <f>IF(G10="","",'#BerechnungDBE'!BY5)</f>
        <v/>
      </c>
      <c r="P10" s="1475" t="str">
        <f>IF(G10="","",'#BerechnungDBE'!BZ5)</f>
        <v/>
      </c>
      <c r="Q10" s="1041"/>
    </row>
    <row r="11" spans="1:18" ht="15" customHeight="1" x14ac:dyDescent="0.2">
      <c r="A11" s="1458" t="str">
        <f>'DBE - N'!A13</f>
        <v/>
      </c>
      <c r="B11" s="1255" t="str">
        <f>'DBE - N'!B13</f>
        <v/>
      </c>
      <c r="C11" s="1255" t="str">
        <f>'DBE - N'!C13</f>
        <v/>
      </c>
      <c r="D11" s="1459" t="str">
        <f>'DBE - N'!E13</f>
        <v/>
      </c>
      <c r="E11" s="1273" t="str">
        <f>'org. Düngung 22'!E14</f>
        <v/>
      </c>
      <c r="F11" s="1255" t="str">
        <f>'DBE - N'!F13</f>
        <v/>
      </c>
      <c r="G11" s="1273" t="str">
        <f>IF(D11="","",IF('Flächen u. Kulturen'!E11="x",'Flächen u. Kulturen'!F11,""))</f>
        <v/>
      </c>
      <c r="H11" s="1460" t="str">
        <f>IF(G11="","",'#BerechnungDBE'!BS6)</f>
        <v/>
      </c>
      <c r="I11" s="1460" t="str">
        <f>IF(G11="","",'#BerechnungDBE'!BR6)</f>
        <v/>
      </c>
      <c r="J11" s="1460" t="str">
        <f>IF(G11="","",'#BerechnungDBE'!BQ6)</f>
        <v/>
      </c>
      <c r="K11" s="1460" t="str">
        <f>IF(G11="","",'#BerechnungDBE'!BU6)</f>
        <v/>
      </c>
      <c r="L11" s="1460" t="str">
        <f>IF(G11="","",'#BerechnungDBE'!BV6)</f>
        <v/>
      </c>
      <c r="M11" s="1460" t="str">
        <f>IF(G11="","",IF('#BerechnungDBE'!P6&lt;4,"",'#BerechnungDBE'!BW6))</f>
        <v/>
      </c>
      <c r="N11" s="1460" t="str">
        <f>IF(G11="","",'#BerechnungDBE'!BX6)</f>
        <v/>
      </c>
      <c r="O11" s="1460" t="str">
        <f>IF(G11="","",'#BerechnungDBE'!BY6)</f>
        <v/>
      </c>
      <c r="P11" s="1475" t="str">
        <f>IF(G11="","",'#BerechnungDBE'!BZ6)</f>
        <v/>
      </c>
      <c r="Q11" s="1041"/>
      <c r="R11" s="554"/>
    </row>
    <row r="12" spans="1:18" ht="15" customHeight="1" x14ac:dyDescent="0.2">
      <c r="A12" s="1458" t="str">
        <f>'DBE - N'!A14</f>
        <v/>
      </c>
      <c r="B12" s="1255" t="str">
        <f>'DBE - N'!B14</f>
        <v/>
      </c>
      <c r="C12" s="1255" t="str">
        <f>'DBE - N'!C14</f>
        <v/>
      </c>
      <c r="D12" s="1459" t="str">
        <f>'DBE - N'!E14</f>
        <v/>
      </c>
      <c r="E12" s="1273" t="str">
        <f>'org. Düngung 22'!E15</f>
        <v/>
      </c>
      <c r="F12" s="1255" t="str">
        <f>'DBE - N'!F14</f>
        <v/>
      </c>
      <c r="G12" s="1273" t="str">
        <f>IF(D12="","",IF('Flächen u. Kulturen'!E12="x",'Flächen u. Kulturen'!F12,""))</f>
        <v/>
      </c>
      <c r="H12" s="1460" t="str">
        <f>IF(G12="","",'#BerechnungDBE'!BS7)</f>
        <v/>
      </c>
      <c r="I12" s="1460" t="str">
        <f>IF(G12="","",'#BerechnungDBE'!BR7)</f>
        <v/>
      </c>
      <c r="J12" s="1460" t="str">
        <f>IF(G12="","",'#BerechnungDBE'!BQ7)</f>
        <v/>
      </c>
      <c r="K12" s="1460" t="str">
        <f>IF(G12="","",'#BerechnungDBE'!BU7)</f>
        <v/>
      </c>
      <c r="L12" s="1460" t="str">
        <f>IF(G12="","",'#BerechnungDBE'!BV7)</f>
        <v/>
      </c>
      <c r="M12" s="1460" t="str">
        <f>IF(G12="","",IF('#BerechnungDBE'!P7&lt;4,"",'#BerechnungDBE'!BW7))</f>
        <v/>
      </c>
      <c r="N12" s="1460" t="str">
        <f>IF(G12="","",'#BerechnungDBE'!BX7)</f>
        <v/>
      </c>
      <c r="O12" s="1460" t="str">
        <f>IF(G12="","",'#BerechnungDBE'!BY7)</f>
        <v/>
      </c>
      <c r="P12" s="1475" t="str">
        <f>IF(G12="","",'#BerechnungDBE'!BZ7)</f>
        <v/>
      </c>
      <c r="Q12" s="1041"/>
      <c r="R12" s="554"/>
    </row>
    <row r="13" spans="1:18" ht="15" customHeight="1" x14ac:dyDescent="0.2">
      <c r="A13" s="1458" t="str">
        <f>'DBE - N'!A15</f>
        <v/>
      </c>
      <c r="B13" s="1255" t="str">
        <f>'DBE - N'!B15</f>
        <v/>
      </c>
      <c r="C13" s="1255" t="str">
        <f>'DBE - N'!C15</f>
        <v/>
      </c>
      <c r="D13" s="1459" t="str">
        <f>'DBE - N'!E15</f>
        <v/>
      </c>
      <c r="E13" s="1273" t="str">
        <f>'org. Düngung 22'!E16</f>
        <v/>
      </c>
      <c r="F13" s="1255" t="str">
        <f>'DBE - N'!F15</f>
        <v/>
      </c>
      <c r="G13" s="1273" t="str">
        <f>IF(D13="","",IF('Flächen u. Kulturen'!E13="x",'Flächen u. Kulturen'!F13,""))</f>
        <v/>
      </c>
      <c r="H13" s="1460" t="str">
        <f>IF(G13="","",'#BerechnungDBE'!BS8)</f>
        <v/>
      </c>
      <c r="I13" s="1460" t="str">
        <f>IF(G13="","",'#BerechnungDBE'!BR8)</f>
        <v/>
      </c>
      <c r="J13" s="1460" t="str">
        <f>IF(G13="","",'#BerechnungDBE'!BQ8)</f>
        <v/>
      </c>
      <c r="K13" s="1460" t="str">
        <f>IF(G13="","",'#BerechnungDBE'!BU8)</f>
        <v/>
      </c>
      <c r="L13" s="1460" t="str">
        <f>IF(G13="","",'#BerechnungDBE'!BV8)</f>
        <v/>
      </c>
      <c r="M13" s="1460" t="str">
        <f>IF(G13="","",IF('#BerechnungDBE'!P8&lt;4,"",'#BerechnungDBE'!BW8))</f>
        <v/>
      </c>
      <c r="N13" s="1460" t="str">
        <f>IF(G13="","",'#BerechnungDBE'!BX8)</f>
        <v/>
      </c>
      <c r="O13" s="1460" t="str">
        <f>IF(G13="","",'#BerechnungDBE'!BY8)</f>
        <v/>
      </c>
      <c r="P13" s="1475" t="str">
        <f>IF(G13="","",'#BerechnungDBE'!BZ8)</f>
        <v/>
      </c>
      <c r="Q13" s="1041"/>
      <c r="R13" s="554"/>
    </row>
    <row r="14" spans="1:18" s="294" customFormat="1" ht="15" customHeight="1" x14ac:dyDescent="0.2">
      <c r="A14" s="1458" t="str">
        <f>'DBE - N'!A16</f>
        <v/>
      </c>
      <c r="B14" s="1255" t="str">
        <f>'DBE - N'!B16</f>
        <v/>
      </c>
      <c r="C14" s="1255" t="str">
        <f>'DBE - N'!C16</f>
        <v/>
      </c>
      <c r="D14" s="1459" t="str">
        <f>'DBE - N'!E16</f>
        <v/>
      </c>
      <c r="E14" s="1273" t="str">
        <f>'org. Düngung 22'!E17</f>
        <v/>
      </c>
      <c r="F14" s="1255" t="str">
        <f>'DBE - N'!F16</f>
        <v/>
      </c>
      <c r="G14" s="1273" t="str">
        <f>IF(D14="","",IF('Flächen u. Kulturen'!E14="x",'Flächen u. Kulturen'!F14,""))</f>
        <v/>
      </c>
      <c r="H14" s="1460" t="str">
        <f>IF(G14="","",'#BerechnungDBE'!BS9)</f>
        <v/>
      </c>
      <c r="I14" s="1460" t="str">
        <f>IF(G14="","",'#BerechnungDBE'!BR9)</f>
        <v/>
      </c>
      <c r="J14" s="1460" t="str">
        <f>IF(G14="","",'#BerechnungDBE'!BQ9)</f>
        <v/>
      </c>
      <c r="K14" s="1460" t="str">
        <f>IF(G14="","",'#BerechnungDBE'!BU9)</f>
        <v/>
      </c>
      <c r="L14" s="1460" t="str">
        <f>IF(G14="","",'#BerechnungDBE'!BV9)</f>
        <v/>
      </c>
      <c r="M14" s="1460" t="str">
        <f>IF(G14="","",IF('#BerechnungDBE'!P9&lt;4,"",'#BerechnungDBE'!BW9))</f>
        <v/>
      </c>
      <c r="N14" s="1460" t="str">
        <f>IF(G14="","",'#BerechnungDBE'!BX9)</f>
        <v/>
      </c>
      <c r="O14" s="1460" t="str">
        <f>IF(G14="","",'#BerechnungDBE'!BY9)</f>
        <v/>
      </c>
      <c r="P14" s="1475" t="str">
        <f>IF(G14="","",'#BerechnungDBE'!BZ9)</f>
        <v/>
      </c>
      <c r="Q14" s="1041"/>
      <c r="R14" s="554"/>
    </row>
    <row r="15" spans="1:18" s="875" customFormat="1" ht="15" customHeight="1" x14ac:dyDescent="0.2">
      <c r="A15" s="1458" t="str">
        <f>'DBE - N'!A17</f>
        <v/>
      </c>
      <c r="B15" s="1255" t="str">
        <f>'DBE - N'!B17</f>
        <v/>
      </c>
      <c r="C15" s="1255" t="str">
        <f>'DBE - N'!C17</f>
        <v/>
      </c>
      <c r="D15" s="1459" t="str">
        <f>'DBE - N'!E17</f>
        <v/>
      </c>
      <c r="E15" s="1273" t="str">
        <f>'org. Düngung 22'!E18</f>
        <v/>
      </c>
      <c r="F15" s="1255" t="str">
        <f>'DBE - N'!F17</f>
        <v/>
      </c>
      <c r="G15" s="1273" t="str">
        <f>IF(D15="","",IF('Flächen u. Kulturen'!E15="x",'Flächen u. Kulturen'!F15,""))</f>
        <v/>
      </c>
      <c r="H15" s="1460" t="str">
        <f>IF(G15="","",'#BerechnungDBE'!BS10)</f>
        <v/>
      </c>
      <c r="I15" s="1460" t="str">
        <f>IF(G15="","",'#BerechnungDBE'!BR10)</f>
        <v/>
      </c>
      <c r="J15" s="1460" t="str">
        <f>IF(G15="","",'#BerechnungDBE'!BQ10)</f>
        <v/>
      </c>
      <c r="K15" s="1460" t="str">
        <f>IF(G15="","",'#BerechnungDBE'!BU10)</f>
        <v/>
      </c>
      <c r="L15" s="1460" t="str">
        <f>IF(G15="","",'#BerechnungDBE'!BV10)</f>
        <v/>
      </c>
      <c r="M15" s="1460" t="str">
        <f>IF(G15="","",IF('#BerechnungDBE'!P10&lt;4,"",'#BerechnungDBE'!BW10))</f>
        <v/>
      </c>
      <c r="N15" s="1460" t="str">
        <f>IF(G15="","",'#BerechnungDBE'!BX10)</f>
        <v/>
      </c>
      <c r="O15" s="1460" t="str">
        <f>IF(G15="","",'#BerechnungDBE'!BY10)</f>
        <v/>
      </c>
      <c r="P15" s="1475" t="str">
        <f>IF(G15="","",'#BerechnungDBE'!BZ10)</f>
        <v/>
      </c>
      <c r="Q15" s="1041"/>
    </row>
    <row r="16" spans="1:18" s="875" customFormat="1" ht="15" customHeight="1" x14ac:dyDescent="0.2">
      <c r="A16" s="1458" t="str">
        <f>'DBE - N'!A18</f>
        <v/>
      </c>
      <c r="B16" s="1255" t="str">
        <f>'DBE - N'!B18</f>
        <v/>
      </c>
      <c r="C16" s="1255" t="str">
        <f>'DBE - N'!C18</f>
        <v/>
      </c>
      <c r="D16" s="1459" t="str">
        <f>'DBE - N'!E18</f>
        <v/>
      </c>
      <c r="E16" s="1273" t="str">
        <f>'org. Düngung 22'!E19</f>
        <v/>
      </c>
      <c r="F16" s="1255" t="str">
        <f>'DBE - N'!F18</f>
        <v/>
      </c>
      <c r="G16" s="1273" t="str">
        <f>IF(D16="","",IF('Flächen u. Kulturen'!E16="x",'Flächen u. Kulturen'!F16,""))</f>
        <v/>
      </c>
      <c r="H16" s="1460" t="str">
        <f>IF(G16="","",'#BerechnungDBE'!BS11)</f>
        <v/>
      </c>
      <c r="I16" s="1460" t="str">
        <f>IF(G16="","",'#BerechnungDBE'!BR11)</f>
        <v/>
      </c>
      <c r="J16" s="1460" t="str">
        <f>IF(G16="","",'#BerechnungDBE'!BQ11)</f>
        <v/>
      </c>
      <c r="K16" s="1460" t="str">
        <f>IF(G16="","",'#BerechnungDBE'!BU11)</f>
        <v/>
      </c>
      <c r="L16" s="1460" t="str">
        <f>IF(G16="","",'#BerechnungDBE'!BV11)</f>
        <v/>
      </c>
      <c r="M16" s="1460" t="str">
        <f>IF(G16="","",IF('#BerechnungDBE'!P11&lt;4,"",'#BerechnungDBE'!BW11))</f>
        <v/>
      </c>
      <c r="N16" s="1460" t="str">
        <f>IF(G16="","",'#BerechnungDBE'!BX11)</f>
        <v/>
      </c>
      <c r="O16" s="1460" t="str">
        <f>IF(G16="","",'#BerechnungDBE'!BY11)</f>
        <v/>
      </c>
      <c r="P16" s="1475" t="str">
        <f>IF(G16="","",'#BerechnungDBE'!BZ11)</f>
        <v/>
      </c>
      <c r="Q16" s="1041"/>
    </row>
    <row r="17" spans="1:17" s="875" customFormat="1" ht="15" customHeight="1" x14ac:dyDescent="0.2">
      <c r="A17" s="1458" t="str">
        <f>'DBE - N'!A19</f>
        <v/>
      </c>
      <c r="B17" s="1255" t="str">
        <f>'DBE - N'!B19</f>
        <v/>
      </c>
      <c r="C17" s="1255" t="str">
        <f>'DBE - N'!C19</f>
        <v/>
      </c>
      <c r="D17" s="1459" t="str">
        <f>'DBE - N'!E19</f>
        <v/>
      </c>
      <c r="E17" s="1273" t="str">
        <f>'org. Düngung 22'!E20</f>
        <v/>
      </c>
      <c r="F17" s="1255" t="str">
        <f>'DBE - N'!F19</f>
        <v/>
      </c>
      <c r="G17" s="1273" t="str">
        <f>IF(D17="","",IF('Flächen u. Kulturen'!E17="x",'Flächen u. Kulturen'!F17,""))</f>
        <v/>
      </c>
      <c r="H17" s="1460" t="str">
        <f>IF(G17="","",'#BerechnungDBE'!BS12)</f>
        <v/>
      </c>
      <c r="I17" s="1460" t="str">
        <f>IF(G17="","",'#BerechnungDBE'!BR12)</f>
        <v/>
      </c>
      <c r="J17" s="1460" t="str">
        <f>IF(G17="","",'#BerechnungDBE'!BQ12)</f>
        <v/>
      </c>
      <c r="K17" s="1460" t="str">
        <f>IF(G17="","",'#BerechnungDBE'!BU12)</f>
        <v/>
      </c>
      <c r="L17" s="1460" t="str">
        <f>IF(G17="","",'#BerechnungDBE'!BV12)</f>
        <v/>
      </c>
      <c r="M17" s="1460" t="str">
        <f>IF(G17="","",IF('#BerechnungDBE'!P12&lt;4,"",'#BerechnungDBE'!BW12))</f>
        <v/>
      </c>
      <c r="N17" s="1460" t="str">
        <f>IF(G17="","",'#BerechnungDBE'!BX12)</f>
        <v/>
      </c>
      <c r="O17" s="1460" t="str">
        <f>IF(G17="","",'#BerechnungDBE'!BY12)</f>
        <v/>
      </c>
      <c r="P17" s="1475" t="str">
        <f>IF(G17="","",'#BerechnungDBE'!BZ12)</f>
        <v/>
      </c>
      <c r="Q17" s="1041"/>
    </row>
    <row r="18" spans="1:17" s="875" customFormat="1" ht="15" customHeight="1" x14ac:dyDescent="0.2">
      <c r="A18" s="1458" t="str">
        <f>'DBE - N'!A20</f>
        <v/>
      </c>
      <c r="B18" s="1255" t="str">
        <f>'DBE - N'!B20</f>
        <v/>
      </c>
      <c r="C18" s="1255" t="str">
        <f>'DBE - N'!C20</f>
        <v/>
      </c>
      <c r="D18" s="1459" t="str">
        <f>'DBE - N'!E20</f>
        <v/>
      </c>
      <c r="E18" s="1273" t="str">
        <f>'org. Düngung 22'!E21</f>
        <v/>
      </c>
      <c r="F18" s="1255" t="str">
        <f>'DBE - N'!F20</f>
        <v/>
      </c>
      <c r="G18" s="1273" t="str">
        <f>IF(D18="","",IF('Flächen u. Kulturen'!E18="x",'Flächen u. Kulturen'!F18,""))</f>
        <v/>
      </c>
      <c r="H18" s="1460" t="str">
        <f>IF(G18="","",'#BerechnungDBE'!BS13)</f>
        <v/>
      </c>
      <c r="I18" s="1460" t="str">
        <f>IF(G18="","",'#BerechnungDBE'!BR13)</f>
        <v/>
      </c>
      <c r="J18" s="1460" t="str">
        <f>IF(G18="","",'#BerechnungDBE'!BQ13)</f>
        <v/>
      </c>
      <c r="K18" s="1460" t="str">
        <f>IF(G18="","",'#BerechnungDBE'!BU13)</f>
        <v/>
      </c>
      <c r="L18" s="1460" t="str">
        <f>IF(G18="","",'#BerechnungDBE'!BV13)</f>
        <v/>
      </c>
      <c r="M18" s="1460" t="str">
        <f>IF(G18="","",IF('#BerechnungDBE'!P13&lt;4,"",'#BerechnungDBE'!BW13))</f>
        <v/>
      </c>
      <c r="N18" s="1460" t="str">
        <f>IF(G18="","",'#BerechnungDBE'!BX13)</f>
        <v/>
      </c>
      <c r="O18" s="1460" t="str">
        <f>IF(G18="","",'#BerechnungDBE'!BY13)</f>
        <v/>
      </c>
      <c r="P18" s="1475" t="str">
        <f>IF(G18="","",'#BerechnungDBE'!BZ13)</f>
        <v/>
      </c>
      <c r="Q18" s="1041"/>
    </row>
    <row r="19" spans="1:17" s="875" customFormat="1" ht="15" customHeight="1" x14ac:dyDescent="0.2">
      <c r="A19" s="1458" t="str">
        <f>'DBE - N'!A21</f>
        <v/>
      </c>
      <c r="B19" s="1255" t="str">
        <f>'DBE - N'!B21</f>
        <v/>
      </c>
      <c r="C19" s="1255" t="str">
        <f>'DBE - N'!C21</f>
        <v/>
      </c>
      <c r="D19" s="1459" t="str">
        <f>'DBE - N'!E21</f>
        <v/>
      </c>
      <c r="E19" s="1273" t="str">
        <f>'org. Düngung 22'!E22</f>
        <v/>
      </c>
      <c r="F19" s="1255" t="str">
        <f>'DBE - N'!F21</f>
        <v/>
      </c>
      <c r="G19" s="1273" t="str">
        <f>IF(D19="","",IF('Flächen u. Kulturen'!E19="x",'Flächen u. Kulturen'!F19,""))</f>
        <v/>
      </c>
      <c r="H19" s="1460" t="str">
        <f>IF(G19="","",'#BerechnungDBE'!BS14)</f>
        <v/>
      </c>
      <c r="I19" s="1460" t="str">
        <f>IF(G19="","",'#BerechnungDBE'!BR14)</f>
        <v/>
      </c>
      <c r="J19" s="1460" t="str">
        <f>IF(G19="","",'#BerechnungDBE'!BQ14)</f>
        <v/>
      </c>
      <c r="K19" s="1460" t="str">
        <f>IF(G19="","",'#BerechnungDBE'!BU14)</f>
        <v/>
      </c>
      <c r="L19" s="1460" t="str">
        <f>IF(G19="","",'#BerechnungDBE'!BV14)</f>
        <v/>
      </c>
      <c r="M19" s="1460" t="str">
        <f>IF(G19="","",IF('#BerechnungDBE'!P14&lt;4,"",'#BerechnungDBE'!BW14))</f>
        <v/>
      </c>
      <c r="N19" s="1460" t="str">
        <f>IF(G19="","",'#BerechnungDBE'!BX14)</f>
        <v/>
      </c>
      <c r="O19" s="1460" t="str">
        <f>IF(G19="","",'#BerechnungDBE'!BY14)</f>
        <v/>
      </c>
      <c r="P19" s="1475" t="str">
        <f>IF(G19="","",'#BerechnungDBE'!BZ14)</f>
        <v/>
      </c>
      <c r="Q19" s="1041"/>
    </row>
    <row r="20" spans="1:17" s="875" customFormat="1" ht="15" customHeight="1" x14ac:dyDescent="0.2">
      <c r="A20" s="1458" t="str">
        <f>'DBE - N'!A22</f>
        <v/>
      </c>
      <c r="B20" s="1255" t="str">
        <f>'DBE - N'!B22</f>
        <v/>
      </c>
      <c r="C20" s="1255" t="str">
        <f>'DBE - N'!C22</f>
        <v/>
      </c>
      <c r="D20" s="1459" t="str">
        <f>'DBE - N'!E22</f>
        <v/>
      </c>
      <c r="E20" s="1273" t="str">
        <f>'org. Düngung 22'!E23</f>
        <v/>
      </c>
      <c r="F20" s="1255" t="str">
        <f>'DBE - N'!F22</f>
        <v/>
      </c>
      <c r="G20" s="1273" t="str">
        <f>IF(D20="","",IF('Flächen u. Kulturen'!E20="x",'Flächen u. Kulturen'!F20,""))</f>
        <v/>
      </c>
      <c r="H20" s="1460" t="str">
        <f>IF(G20="","",'#BerechnungDBE'!BS15)</f>
        <v/>
      </c>
      <c r="I20" s="1460" t="str">
        <f>IF(G20="","",'#BerechnungDBE'!BR15)</f>
        <v/>
      </c>
      <c r="J20" s="1460" t="str">
        <f>IF(G20="","",'#BerechnungDBE'!BQ15)</f>
        <v/>
      </c>
      <c r="K20" s="1460" t="str">
        <f>IF(G20="","",'#BerechnungDBE'!BU15)</f>
        <v/>
      </c>
      <c r="L20" s="1460" t="str">
        <f>IF(G20="","",'#BerechnungDBE'!BV15)</f>
        <v/>
      </c>
      <c r="M20" s="1460" t="str">
        <f>IF(G20="","",IF('#BerechnungDBE'!P15&lt;4,"",'#BerechnungDBE'!BW15))</f>
        <v/>
      </c>
      <c r="N20" s="1460" t="str">
        <f>IF(G20="","",'#BerechnungDBE'!BX15)</f>
        <v/>
      </c>
      <c r="O20" s="1460" t="str">
        <f>IF(G20="","",'#BerechnungDBE'!BY15)</f>
        <v/>
      </c>
      <c r="P20" s="1475" t="str">
        <f>IF(G20="","",'#BerechnungDBE'!BZ15)</f>
        <v/>
      </c>
      <c r="Q20" s="1041"/>
    </row>
    <row r="21" spans="1:17" s="875" customFormat="1" ht="15" customHeight="1" x14ac:dyDescent="0.2">
      <c r="A21" s="1458" t="str">
        <f>'DBE - N'!A23</f>
        <v/>
      </c>
      <c r="B21" s="1255" t="str">
        <f>'DBE - N'!B23</f>
        <v/>
      </c>
      <c r="C21" s="1255" t="str">
        <f>'DBE - N'!C23</f>
        <v/>
      </c>
      <c r="D21" s="1459" t="str">
        <f>'DBE - N'!E23</f>
        <v/>
      </c>
      <c r="E21" s="1273" t="str">
        <f>'org. Düngung 22'!E24</f>
        <v/>
      </c>
      <c r="F21" s="1255" t="str">
        <f>'DBE - N'!F23</f>
        <v/>
      </c>
      <c r="G21" s="1273" t="str">
        <f>IF(D21="","",IF('Flächen u. Kulturen'!E21="x",'Flächen u. Kulturen'!F21,""))</f>
        <v/>
      </c>
      <c r="H21" s="1460" t="str">
        <f>IF(G21="","",'#BerechnungDBE'!BS16)</f>
        <v/>
      </c>
      <c r="I21" s="1460" t="str">
        <f>IF(G21="","",'#BerechnungDBE'!BR16)</f>
        <v/>
      </c>
      <c r="J21" s="1460" t="str">
        <f>IF(G21="","",'#BerechnungDBE'!BQ16)</f>
        <v/>
      </c>
      <c r="K21" s="1460" t="str">
        <f>IF(G21="","",'#BerechnungDBE'!BU16)</f>
        <v/>
      </c>
      <c r="L21" s="1460" t="str">
        <f>IF(G21="","",'#BerechnungDBE'!BV16)</f>
        <v/>
      </c>
      <c r="M21" s="1460" t="str">
        <f>IF(G21="","",IF('#BerechnungDBE'!P16&lt;4,"",'#BerechnungDBE'!BW16))</f>
        <v/>
      </c>
      <c r="N21" s="1460" t="str">
        <f>IF(G21="","",'#BerechnungDBE'!BX16)</f>
        <v/>
      </c>
      <c r="O21" s="1460" t="str">
        <f>IF(G21="","",'#BerechnungDBE'!BY16)</f>
        <v/>
      </c>
      <c r="P21" s="1475" t="str">
        <f>IF(G21="","",'#BerechnungDBE'!BZ16)</f>
        <v/>
      </c>
      <c r="Q21" s="1041"/>
    </row>
    <row r="22" spans="1:17" s="875" customFormat="1" ht="15" customHeight="1" x14ac:dyDescent="0.2">
      <c r="A22" s="1458" t="str">
        <f>'DBE - N'!A24</f>
        <v/>
      </c>
      <c r="B22" s="1255" t="str">
        <f>'DBE - N'!B24</f>
        <v/>
      </c>
      <c r="C22" s="1255" t="str">
        <f>'DBE - N'!C24</f>
        <v/>
      </c>
      <c r="D22" s="1459" t="str">
        <f>'DBE - N'!E24</f>
        <v/>
      </c>
      <c r="E22" s="1273" t="str">
        <f>'org. Düngung 22'!E25</f>
        <v/>
      </c>
      <c r="F22" s="1255" t="str">
        <f>'DBE - N'!F24</f>
        <v/>
      </c>
      <c r="G22" s="1273" t="str">
        <f>IF(D22="","",IF('Flächen u. Kulturen'!E22="x",'Flächen u. Kulturen'!F22,""))</f>
        <v/>
      </c>
      <c r="H22" s="1460" t="str">
        <f>IF(G22="","",'#BerechnungDBE'!BS17)</f>
        <v/>
      </c>
      <c r="I22" s="1460" t="str">
        <f>IF(G22="","",'#BerechnungDBE'!BR17)</f>
        <v/>
      </c>
      <c r="J22" s="1460" t="str">
        <f>IF(G22="","",'#BerechnungDBE'!BQ17)</f>
        <v/>
      </c>
      <c r="K22" s="1460" t="str">
        <f>IF(G22="","",'#BerechnungDBE'!BU17)</f>
        <v/>
      </c>
      <c r="L22" s="1460" t="str">
        <f>IF(G22="","",'#BerechnungDBE'!BV17)</f>
        <v/>
      </c>
      <c r="M22" s="1460" t="str">
        <f>IF(G22="","",IF('#BerechnungDBE'!P17&lt;4,"",'#BerechnungDBE'!BW17))</f>
        <v/>
      </c>
      <c r="N22" s="1460" t="str">
        <f>IF(G22="","",'#BerechnungDBE'!BX17)</f>
        <v/>
      </c>
      <c r="O22" s="1460" t="str">
        <f>IF(G22="","",'#BerechnungDBE'!BY17)</f>
        <v/>
      </c>
      <c r="P22" s="1475" t="str">
        <f>IF(G22="","",'#BerechnungDBE'!BZ17)</f>
        <v/>
      </c>
      <c r="Q22" s="1041"/>
    </row>
    <row r="23" spans="1:17" s="875" customFormat="1" ht="15" customHeight="1" x14ac:dyDescent="0.2">
      <c r="A23" s="1458" t="str">
        <f>'DBE - N'!A25</f>
        <v/>
      </c>
      <c r="B23" s="1255" t="str">
        <f>'DBE - N'!B25</f>
        <v/>
      </c>
      <c r="C23" s="1255" t="str">
        <f>'DBE - N'!C25</f>
        <v/>
      </c>
      <c r="D23" s="1459" t="str">
        <f>'DBE - N'!E25</f>
        <v/>
      </c>
      <c r="E23" s="1273" t="str">
        <f>'org. Düngung 22'!E26</f>
        <v/>
      </c>
      <c r="F23" s="1255" t="str">
        <f>'DBE - N'!F25</f>
        <v/>
      </c>
      <c r="G23" s="1273" t="str">
        <f>IF(D23="","",IF('Flächen u. Kulturen'!E23="x",'Flächen u. Kulturen'!F23,""))</f>
        <v/>
      </c>
      <c r="H23" s="1460" t="str">
        <f>IF(G23="","",'#BerechnungDBE'!BS18)</f>
        <v/>
      </c>
      <c r="I23" s="1460" t="str">
        <f>IF(G23="","",'#BerechnungDBE'!BR18)</f>
        <v/>
      </c>
      <c r="J23" s="1460" t="str">
        <f>IF(G23="","",'#BerechnungDBE'!BQ18)</f>
        <v/>
      </c>
      <c r="K23" s="1460" t="str">
        <f>IF(G23="","",'#BerechnungDBE'!BU18)</f>
        <v/>
      </c>
      <c r="L23" s="1460" t="str">
        <f>IF(G23="","",'#BerechnungDBE'!BV18)</f>
        <v/>
      </c>
      <c r="M23" s="1460" t="str">
        <f>IF(G23="","",IF('#BerechnungDBE'!P18&lt;4,"",'#BerechnungDBE'!BW18))</f>
        <v/>
      </c>
      <c r="N23" s="1460" t="str">
        <f>IF(G23="","",'#BerechnungDBE'!BX18)</f>
        <v/>
      </c>
      <c r="O23" s="1460" t="str">
        <f>IF(G23="","",'#BerechnungDBE'!BY18)</f>
        <v/>
      </c>
      <c r="P23" s="1475" t="str">
        <f>IF(G23="","",'#BerechnungDBE'!BZ18)</f>
        <v/>
      </c>
      <c r="Q23" s="1041"/>
    </row>
    <row r="24" spans="1:17" s="875" customFormat="1" ht="15" customHeight="1" x14ac:dyDescent="0.2">
      <c r="A24" s="1458" t="str">
        <f>'DBE - N'!A26</f>
        <v/>
      </c>
      <c r="B24" s="1255" t="str">
        <f>'DBE - N'!B26</f>
        <v/>
      </c>
      <c r="C24" s="1255" t="str">
        <f>'DBE - N'!C26</f>
        <v/>
      </c>
      <c r="D24" s="1459" t="str">
        <f>'DBE - N'!E26</f>
        <v/>
      </c>
      <c r="E24" s="1273" t="str">
        <f>'org. Düngung 22'!E27</f>
        <v/>
      </c>
      <c r="F24" s="1255" t="str">
        <f>'DBE - N'!F26</f>
        <v/>
      </c>
      <c r="G24" s="1273" t="str">
        <f>IF(D24="","",IF('Flächen u. Kulturen'!E24="x",'Flächen u. Kulturen'!F24,""))</f>
        <v/>
      </c>
      <c r="H24" s="1460" t="str">
        <f>IF(G24="","",'#BerechnungDBE'!BS19)</f>
        <v/>
      </c>
      <c r="I24" s="1460" t="str">
        <f>IF(G24="","",'#BerechnungDBE'!BR19)</f>
        <v/>
      </c>
      <c r="J24" s="1460" t="str">
        <f>IF(G24="","",'#BerechnungDBE'!BQ19)</f>
        <v/>
      </c>
      <c r="K24" s="1460" t="str">
        <f>IF(G24="","",'#BerechnungDBE'!BU19)</f>
        <v/>
      </c>
      <c r="L24" s="1460" t="str">
        <f>IF(G24="","",'#BerechnungDBE'!BV19)</f>
        <v/>
      </c>
      <c r="M24" s="1460" t="str">
        <f>IF(G24="","",IF('#BerechnungDBE'!P19&lt;4,"",'#BerechnungDBE'!BW19))</f>
        <v/>
      </c>
      <c r="N24" s="1460" t="str">
        <f>IF(G24="","",'#BerechnungDBE'!BX19)</f>
        <v/>
      </c>
      <c r="O24" s="1460" t="str">
        <f>IF(G24="","",'#BerechnungDBE'!BY19)</f>
        <v/>
      </c>
      <c r="P24" s="1475" t="str">
        <f>IF(G24="","",'#BerechnungDBE'!BZ19)</f>
        <v/>
      </c>
      <c r="Q24" s="1041"/>
    </row>
    <row r="25" spans="1:17" s="875" customFormat="1" ht="15" customHeight="1" x14ac:dyDescent="0.2">
      <c r="A25" s="1458" t="str">
        <f>'DBE - N'!A27</f>
        <v/>
      </c>
      <c r="B25" s="1255" t="str">
        <f>'DBE - N'!B27</f>
        <v/>
      </c>
      <c r="C25" s="1255" t="str">
        <f>'DBE - N'!C27</f>
        <v/>
      </c>
      <c r="D25" s="1459" t="str">
        <f>'DBE - N'!E27</f>
        <v/>
      </c>
      <c r="E25" s="1273" t="str">
        <f>'org. Düngung 22'!E28</f>
        <v/>
      </c>
      <c r="F25" s="1255" t="str">
        <f>'DBE - N'!F27</f>
        <v/>
      </c>
      <c r="G25" s="1273" t="str">
        <f>IF(D25="","",IF('Flächen u. Kulturen'!E25="x",'Flächen u. Kulturen'!F25,""))</f>
        <v/>
      </c>
      <c r="H25" s="1460" t="str">
        <f>IF(G25="","",'#BerechnungDBE'!BS20)</f>
        <v/>
      </c>
      <c r="I25" s="1460" t="str">
        <f>IF(G25="","",'#BerechnungDBE'!BR20)</f>
        <v/>
      </c>
      <c r="J25" s="1460" t="str">
        <f>IF(G25="","",'#BerechnungDBE'!BQ20)</f>
        <v/>
      </c>
      <c r="K25" s="1460" t="str">
        <f>IF(G25="","",'#BerechnungDBE'!BU20)</f>
        <v/>
      </c>
      <c r="L25" s="1460" t="str">
        <f>IF(G25="","",'#BerechnungDBE'!BV20)</f>
        <v/>
      </c>
      <c r="M25" s="1460" t="str">
        <f>IF(G25="","",IF('#BerechnungDBE'!P20&lt;4,"",'#BerechnungDBE'!BW20))</f>
        <v/>
      </c>
      <c r="N25" s="1460" t="str">
        <f>IF(G25="","",'#BerechnungDBE'!BX20)</f>
        <v/>
      </c>
      <c r="O25" s="1460" t="str">
        <f>IF(G25="","",'#BerechnungDBE'!BY20)</f>
        <v/>
      </c>
      <c r="P25" s="1475" t="str">
        <f>IF(G25="","",'#BerechnungDBE'!BZ20)</f>
        <v/>
      </c>
      <c r="Q25" s="1041"/>
    </row>
    <row r="26" spans="1:17" s="875" customFormat="1" ht="15" customHeight="1" x14ac:dyDescent="0.2">
      <c r="A26" s="1458" t="str">
        <f>'DBE - N'!A28</f>
        <v/>
      </c>
      <c r="B26" s="1255" t="str">
        <f>'DBE - N'!B28</f>
        <v/>
      </c>
      <c r="C26" s="1255" t="str">
        <f>'DBE - N'!C28</f>
        <v/>
      </c>
      <c r="D26" s="1459" t="str">
        <f>'DBE - N'!E28</f>
        <v/>
      </c>
      <c r="E26" s="1273" t="str">
        <f>'org. Düngung 22'!E29</f>
        <v/>
      </c>
      <c r="F26" s="1255" t="str">
        <f>'DBE - N'!F28</f>
        <v/>
      </c>
      <c r="G26" s="1273" t="str">
        <f>IF(D26="","",IF('Flächen u. Kulturen'!E26="x",'Flächen u. Kulturen'!F26,""))</f>
        <v/>
      </c>
      <c r="H26" s="1460" t="str">
        <f>IF(G26="","",'#BerechnungDBE'!BS21)</f>
        <v/>
      </c>
      <c r="I26" s="1460" t="str">
        <f>IF(G26="","",'#BerechnungDBE'!BR21)</f>
        <v/>
      </c>
      <c r="J26" s="1460" t="str">
        <f>IF(G26="","",'#BerechnungDBE'!BQ21)</f>
        <v/>
      </c>
      <c r="K26" s="1460" t="str">
        <f>IF(G26="","",'#BerechnungDBE'!BU21)</f>
        <v/>
      </c>
      <c r="L26" s="1460" t="str">
        <f>IF(G26="","",'#BerechnungDBE'!BV21)</f>
        <v/>
      </c>
      <c r="M26" s="1460" t="str">
        <f>IF(G26="","",IF('#BerechnungDBE'!P21&lt;4,"",'#BerechnungDBE'!BW21))</f>
        <v/>
      </c>
      <c r="N26" s="1460" t="str">
        <f>IF(G26="","",'#BerechnungDBE'!BX21)</f>
        <v/>
      </c>
      <c r="O26" s="1460" t="str">
        <f>IF(G26="","",'#BerechnungDBE'!BY21)</f>
        <v/>
      </c>
      <c r="P26" s="1475" t="str">
        <f>IF(G26="","",'#BerechnungDBE'!BZ21)</f>
        <v/>
      </c>
      <c r="Q26" s="1041"/>
    </row>
    <row r="27" spans="1:17" s="875" customFormat="1" ht="15" customHeight="1" x14ac:dyDescent="0.2">
      <c r="A27" s="1458" t="str">
        <f>'DBE - N'!A29</f>
        <v/>
      </c>
      <c r="B27" s="1255" t="str">
        <f>'DBE - N'!B29</f>
        <v/>
      </c>
      <c r="C27" s="1255" t="str">
        <f>'DBE - N'!C29</f>
        <v/>
      </c>
      <c r="D27" s="1459" t="str">
        <f>'DBE - N'!E29</f>
        <v/>
      </c>
      <c r="E27" s="1273" t="str">
        <f>'org. Düngung 22'!E30</f>
        <v/>
      </c>
      <c r="F27" s="1255" t="str">
        <f>'DBE - N'!F29</f>
        <v/>
      </c>
      <c r="G27" s="1273" t="str">
        <f>IF(D27="","",IF('Flächen u. Kulturen'!E27="x",'Flächen u. Kulturen'!F27,""))</f>
        <v/>
      </c>
      <c r="H27" s="1460" t="str">
        <f>IF(G27="","",'#BerechnungDBE'!BS22)</f>
        <v/>
      </c>
      <c r="I27" s="1460" t="str">
        <f>IF(G27="","",'#BerechnungDBE'!BR22)</f>
        <v/>
      </c>
      <c r="J27" s="1460" t="str">
        <f>IF(G27="","",'#BerechnungDBE'!BQ22)</f>
        <v/>
      </c>
      <c r="K27" s="1460" t="str">
        <f>IF(G27="","",'#BerechnungDBE'!BU22)</f>
        <v/>
      </c>
      <c r="L27" s="1460" t="str">
        <f>IF(G27="","",'#BerechnungDBE'!BV22)</f>
        <v/>
      </c>
      <c r="M27" s="1460" t="str">
        <f>IF(G27="","",IF('#BerechnungDBE'!P22&lt;4,"",'#BerechnungDBE'!BW22))</f>
        <v/>
      </c>
      <c r="N27" s="1460" t="str">
        <f>IF(G27="","",'#BerechnungDBE'!BX22)</f>
        <v/>
      </c>
      <c r="O27" s="1460" t="str">
        <f>IF(G27="","",'#BerechnungDBE'!BY22)</f>
        <v/>
      </c>
      <c r="P27" s="1475" t="str">
        <f>IF(G27="","",'#BerechnungDBE'!BZ22)</f>
        <v/>
      </c>
      <c r="Q27" s="1041"/>
    </row>
    <row r="28" spans="1:17" s="875" customFormat="1" ht="15" customHeight="1" x14ac:dyDescent="0.2">
      <c r="A28" s="1458" t="str">
        <f>'DBE - N'!A30</f>
        <v/>
      </c>
      <c r="B28" s="1255" t="str">
        <f>'DBE - N'!B30</f>
        <v/>
      </c>
      <c r="C28" s="1255" t="str">
        <f>'DBE - N'!C30</f>
        <v/>
      </c>
      <c r="D28" s="1459" t="str">
        <f>'DBE - N'!E30</f>
        <v/>
      </c>
      <c r="E28" s="1273" t="str">
        <f>'org. Düngung 22'!E31</f>
        <v/>
      </c>
      <c r="F28" s="1255" t="str">
        <f>'DBE - N'!F30</f>
        <v/>
      </c>
      <c r="G28" s="1273" t="str">
        <f>IF(D28="","",IF('Flächen u. Kulturen'!E28="x",'Flächen u. Kulturen'!F28,""))</f>
        <v/>
      </c>
      <c r="H28" s="1460" t="str">
        <f>IF(G28="","",'#BerechnungDBE'!BS23)</f>
        <v/>
      </c>
      <c r="I28" s="1460" t="str">
        <f>IF(G28="","",'#BerechnungDBE'!BR23)</f>
        <v/>
      </c>
      <c r="J28" s="1460" t="str">
        <f>IF(G28="","",'#BerechnungDBE'!BQ23)</f>
        <v/>
      </c>
      <c r="K28" s="1460" t="str">
        <f>IF(G28="","",'#BerechnungDBE'!BU23)</f>
        <v/>
      </c>
      <c r="L28" s="1460" t="str">
        <f>IF(G28="","",'#BerechnungDBE'!BV23)</f>
        <v/>
      </c>
      <c r="M28" s="1460" t="str">
        <f>IF(G28="","",IF('#BerechnungDBE'!P23&lt;4,"",'#BerechnungDBE'!BW23))</f>
        <v/>
      </c>
      <c r="N28" s="1460" t="str">
        <f>IF(G28="","",'#BerechnungDBE'!BX23)</f>
        <v/>
      </c>
      <c r="O28" s="1460" t="str">
        <f>IF(G28="","",'#BerechnungDBE'!BY23)</f>
        <v/>
      </c>
      <c r="P28" s="1475" t="str">
        <f>IF(G28="","",'#BerechnungDBE'!BZ23)</f>
        <v/>
      </c>
      <c r="Q28" s="1041"/>
    </row>
    <row r="29" spans="1:17" s="875" customFormat="1" ht="15" customHeight="1" x14ac:dyDescent="0.2">
      <c r="A29" s="1458" t="str">
        <f>'DBE - N'!A31</f>
        <v/>
      </c>
      <c r="B29" s="1255" t="str">
        <f>'DBE - N'!B31</f>
        <v/>
      </c>
      <c r="C29" s="1255" t="str">
        <f>'DBE - N'!C31</f>
        <v/>
      </c>
      <c r="D29" s="1459" t="str">
        <f>'DBE - N'!E31</f>
        <v/>
      </c>
      <c r="E29" s="1273" t="str">
        <f>'org. Düngung 22'!E32</f>
        <v/>
      </c>
      <c r="F29" s="1255" t="str">
        <f>'DBE - N'!F31</f>
        <v/>
      </c>
      <c r="G29" s="1273" t="str">
        <f>IF(D29="","",IF('Flächen u. Kulturen'!E29="x",'Flächen u. Kulturen'!F29,""))</f>
        <v/>
      </c>
      <c r="H29" s="1460" t="str">
        <f>IF(G29="","",'#BerechnungDBE'!BS24)</f>
        <v/>
      </c>
      <c r="I29" s="1460" t="str">
        <f>IF(G29="","",'#BerechnungDBE'!BR24)</f>
        <v/>
      </c>
      <c r="J29" s="1460" t="str">
        <f>IF(G29="","",'#BerechnungDBE'!BQ24)</f>
        <v/>
      </c>
      <c r="K29" s="1460" t="str">
        <f>IF(G29="","",'#BerechnungDBE'!BU24)</f>
        <v/>
      </c>
      <c r="L29" s="1460" t="str">
        <f>IF(G29="","",'#BerechnungDBE'!BV24)</f>
        <v/>
      </c>
      <c r="M29" s="1460" t="str">
        <f>IF(G29="","",IF('#BerechnungDBE'!P24&lt;4,"",'#BerechnungDBE'!BW24))</f>
        <v/>
      </c>
      <c r="N29" s="1460" t="str">
        <f>IF(G29="","",'#BerechnungDBE'!BX24)</f>
        <v/>
      </c>
      <c r="O29" s="1460" t="str">
        <f>IF(G29="","",'#BerechnungDBE'!BY24)</f>
        <v/>
      </c>
      <c r="P29" s="1475" t="str">
        <f>IF(G29="","",'#BerechnungDBE'!BZ24)</f>
        <v/>
      </c>
      <c r="Q29" s="1041"/>
    </row>
    <row r="30" spans="1:17" s="875" customFormat="1" ht="15" customHeight="1" x14ac:dyDescent="0.2">
      <c r="A30" s="1458" t="str">
        <f>'DBE - N'!A32</f>
        <v/>
      </c>
      <c r="B30" s="1255" t="str">
        <f>'DBE - N'!B32</f>
        <v/>
      </c>
      <c r="C30" s="1255" t="str">
        <f>'DBE - N'!C32</f>
        <v/>
      </c>
      <c r="D30" s="1459" t="str">
        <f>'DBE - N'!E32</f>
        <v/>
      </c>
      <c r="E30" s="1273" t="str">
        <f>'org. Düngung 22'!E33</f>
        <v/>
      </c>
      <c r="F30" s="1255" t="str">
        <f>'DBE - N'!F32</f>
        <v/>
      </c>
      <c r="G30" s="1273" t="str">
        <f>IF(D30="","",IF('Flächen u. Kulturen'!E30="x",'Flächen u. Kulturen'!F30,""))</f>
        <v/>
      </c>
      <c r="H30" s="1460" t="str">
        <f>IF(G30="","",'#BerechnungDBE'!BS25)</f>
        <v/>
      </c>
      <c r="I30" s="1460" t="str">
        <f>IF(G30="","",'#BerechnungDBE'!BR25)</f>
        <v/>
      </c>
      <c r="J30" s="1460" t="str">
        <f>IF(G30="","",'#BerechnungDBE'!BQ25)</f>
        <v/>
      </c>
      <c r="K30" s="1460" t="str">
        <f>IF(G30="","",'#BerechnungDBE'!BU25)</f>
        <v/>
      </c>
      <c r="L30" s="1460" t="str">
        <f>IF(G30="","",'#BerechnungDBE'!BV25)</f>
        <v/>
      </c>
      <c r="M30" s="1460" t="str">
        <f>IF(G30="","",IF('#BerechnungDBE'!P25&lt;4,"",'#BerechnungDBE'!BW25))</f>
        <v/>
      </c>
      <c r="N30" s="1460" t="str">
        <f>IF(G30="","",'#BerechnungDBE'!BX25)</f>
        <v/>
      </c>
      <c r="O30" s="1460" t="str">
        <f>IF(G30="","",'#BerechnungDBE'!BY25)</f>
        <v/>
      </c>
      <c r="P30" s="1475" t="str">
        <f>IF(G30="","",'#BerechnungDBE'!BZ25)</f>
        <v/>
      </c>
      <c r="Q30" s="1041"/>
    </row>
    <row r="31" spans="1:17" s="875" customFormat="1" ht="15" customHeight="1" x14ac:dyDescent="0.2">
      <c r="A31" s="1458" t="str">
        <f>'DBE - N'!A33</f>
        <v/>
      </c>
      <c r="B31" s="1255" t="str">
        <f>'DBE - N'!B33</f>
        <v/>
      </c>
      <c r="C31" s="1255" t="str">
        <f>'DBE - N'!C33</f>
        <v/>
      </c>
      <c r="D31" s="1459" t="str">
        <f>'DBE - N'!E33</f>
        <v/>
      </c>
      <c r="E31" s="1273" t="str">
        <f>'org. Düngung 22'!E34</f>
        <v/>
      </c>
      <c r="F31" s="1255" t="str">
        <f>'DBE - N'!F33</f>
        <v/>
      </c>
      <c r="G31" s="1273" t="str">
        <f>IF(D31="","",IF('Flächen u. Kulturen'!E31="x",'Flächen u. Kulturen'!F31,""))</f>
        <v/>
      </c>
      <c r="H31" s="1460" t="str">
        <f>IF(G31="","",'#BerechnungDBE'!BS26)</f>
        <v/>
      </c>
      <c r="I31" s="1460" t="str">
        <f>IF(G31="","",'#BerechnungDBE'!BR26)</f>
        <v/>
      </c>
      <c r="J31" s="1460" t="str">
        <f>IF(G31="","",'#BerechnungDBE'!BQ26)</f>
        <v/>
      </c>
      <c r="K31" s="1460" t="str">
        <f>IF(G31="","",'#BerechnungDBE'!BU26)</f>
        <v/>
      </c>
      <c r="L31" s="1460" t="str">
        <f>IF(G31="","",'#BerechnungDBE'!BV26)</f>
        <v/>
      </c>
      <c r="M31" s="1460" t="str">
        <f>IF(G31="","",IF('#BerechnungDBE'!P26&lt;4,"",'#BerechnungDBE'!BW26))</f>
        <v/>
      </c>
      <c r="N31" s="1460" t="str">
        <f>IF(G31="","",'#BerechnungDBE'!BX26)</f>
        <v/>
      </c>
      <c r="O31" s="1460" t="str">
        <f>IF(G31="","",'#BerechnungDBE'!BY26)</f>
        <v/>
      </c>
      <c r="P31" s="1475" t="str">
        <f>IF(G31="","",'#BerechnungDBE'!BZ26)</f>
        <v/>
      </c>
      <c r="Q31" s="1041"/>
    </row>
    <row r="32" spans="1:17" s="875" customFormat="1" ht="15" customHeight="1" x14ac:dyDescent="0.2">
      <c r="A32" s="1458" t="str">
        <f>'DBE - N'!A34</f>
        <v/>
      </c>
      <c r="B32" s="1255" t="str">
        <f>'DBE - N'!B34</f>
        <v/>
      </c>
      <c r="C32" s="1255" t="str">
        <f>'DBE - N'!C34</f>
        <v/>
      </c>
      <c r="D32" s="1459" t="str">
        <f>'DBE - N'!E34</f>
        <v/>
      </c>
      <c r="E32" s="1273" t="str">
        <f>'org. Düngung 22'!E35</f>
        <v/>
      </c>
      <c r="F32" s="1255" t="str">
        <f>'DBE - N'!F34</f>
        <v/>
      </c>
      <c r="G32" s="1273" t="str">
        <f>IF(D32="","",IF('Flächen u. Kulturen'!E32="x",'Flächen u. Kulturen'!F32,""))</f>
        <v/>
      </c>
      <c r="H32" s="1460" t="str">
        <f>IF(G32="","",'#BerechnungDBE'!BS27)</f>
        <v/>
      </c>
      <c r="I32" s="1460" t="str">
        <f>IF(G32="","",'#BerechnungDBE'!BR27)</f>
        <v/>
      </c>
      <c r="J32" s="1460" t="str">
        <f>IF(G32="","",'#BerechnungDBE'!BQ27)</f>
        <v/>
      </c>
      <c r="K32" s="1460" t="str">
        <f>IF(G32="","",'#BerechnungDBE'!BU27)</f>
        <v/>
      </c>
      <c r="L32" s="1460" t="str">
        <f>IF(G32="","",'#BerechnungDBE'!BV27)</f>
        <v/>
      </c>
      <c r="M32" s="1460" t="str">
        <f>IF(G32="","",IF('#BerechnungDBE'!P27&lt;4,"",'#BerechnungDBE'!BW27))</f>
        <v/>
      </c>
      <c r="N32" s="1460" t="str">
        <f>IF(G32="","",'#BerechnungDBE'!BX27)</f>
        <v/>
      </c>
      <c r="O32" s="1460" t="str">
        <f>IF(G32="","",'#BerechnungDBE'!BY27)</f>
        <v/>
      </c>
      <c r="P32" s="1475" t="str">
        <f>IF(G32="","",'#BerechnungDBE'!BZ27)</f>
        <v/>
      </c>
      <c r="Q32" s="1041"/>
    </row>
    <row r="33" spans="1:17" s="875" customFormat="1" ht="15" customHeight="1" x14ac:dyDescent="0.2">
      <c r="A33" s="1458" t="str">
        <f>'DBE - N'!A35</f>
        <v/>
      </c>
      <c r="B33" s="1255" t="str">
        <f>'DBE - N'!B35</f>
        <v/>
      </c>
      <c r="C33" s="1255" t="str">
        <f>'DBE - N'!C35</f>
        <v/>
      </c>
      <c r="D33" s="1459" t="str">
        <f>'DBE - N'!E35</f>
        <v/>
      </c>
      <c r="E33" s="1273" t="str">
        <f>'org. Düngung 22'!E36</f>
        <v/>
      </c>
      <c r="F33" s="1255" t="str">
        <f>'DBE - N'!F35</f>
        <v/>
      </c>
      <c r="G33" s="1273" t="str">
        <f>IF(D33="","",IF('Flächen u. Kulturen'!E33="x",'Flächen u. Kulturen'!F33,""))</f>
        <v/>
      </c>
      <c r="H33" s="1460" t="str">
        <f>IF(G33="","",'#BerechnungDBE'!BS28)</f>
        <v/>
      </c>
      <c r="I33" s="1460" t="str">
        <f>IF(G33="","",'#BerechnungDBE'!BR28)</f>
        <v/>
      </c>
      <c r="J33" s="1460" t="str">
        <f>IF(G33="","",'#BerechnungDBE'!BQ28)</f>
        <v/>
      </c>
      <c r="K33" s="1460" t="str">
        <f>IF(G33="","",'#BerechnungDBE'!BU28)</f>
        <v/>
      </c>
      <c r="L33" s="1460" t="str">
        <f>IF(G33="","",'#BerechnungDBE'!BV28)</f>
        <v/>
      </c>
      <c r="M33" s="1460" t="str">
        <f>IF(G33="","",IF('#BerechnungDBE'!P28&lt;4,"",'#BerechnungDBE'!BW28))</f>
        <v/>
      </c>
      <c r="N33" s="1460" t="str">
        <f>IF(G33="","",'#BerechnungDBE'!BX28)</f>
        <v/>
      </c>
      <c r="O33" s="1460" t="str">
        <f>IF(G33="","",'#BerechnungDBE'!BY28)</f>
        <v/>
      </c>
      <c r="P33" s="1475" t="str">
        <f>IF(G33="","",'#BerechnungDBE'!BZ28)</f>
        <v/>
      </c>
      <c r="Q33" s="1041"/>
    </row>
    <row r="34" spans="1:17" s="875" customFormat="1" ht="15" customHeight="1" x14ac:dyDescent="0.2">
      <c r="A34" s="1458" t="str">
        <f>'DBE - N'!A36</f>
        <v/>
      </c>
      <c r="B34" s="1255" t="str">
        <f>'DBE - N'!B36</f>
        <v/>
      </c>
      <c r="C34" s="1255" t="str">
        <f>'DBE - N'!C36</f>
        <v/>
      </c>
      <c r="D34" s="1459" t="str">
        <f>'DBE - N'!E36</f>
        <v/>
      </c>
      <c r="E34" s="1273" t="str">
        <f>'org. Düngung 22'!E37</f>
        <v/>
      </c>
      <c r="F34" s="1255" t="str">
        <f>'DBE - N'!F36</f>
        <v/>
      </c>
      <c r="G34" s="1273" t="str">
        <f>IF(D34="","",IF('Flächen u. Kulturen'!E34="x",'Flächen u. Kulturen'!F34,""))</f>
        <v/>
      </c>
      <c r="H34" s="1460" t="str">
        <f>IF(G34="","",'#BerechnungDBE'!BS29)</f>
        <v/>
      </c>
      <c r="I34" s="1460" t="str">
        <f>IF(G34="","",'#BerechnungDBE'!BR29)</f>
        <v/>
      </c>
      <c r="J34" s="1460" t="str">
        <f>IF(G34="","",'#BerechnungDBE'!BQ29)</f>
        <v/>
      </c>
      <c r="K34" s="1460" t="str">
        <f>IF(G34="","",'#BerechnungDBE'!BU29)</f>
        <v/>
      </c>
      <c r="L34" s="1460" t="str">
        <f>IF(G34="","",'#BerechnungDBE'!BV29)</f>
        <v/>
      </c>
      <c r="M34" s="1460" t="str">
        <f>IF(G34="","",IF('#BerechnungDBE'!P29&lt;4,"",'#BerechnungDBE'!BW29))</f>
        <v/>
      </c>
      <c r="N34" s="1460" t="str">
        <f>IF(G34="","",'#BerechnungDBE'!BX29)</f>
        <v/>
      </c>
      <c r="O34" s="1460" t="str">
        <f>IF(G34="","",'#BerechnungDBE'!BY29)</f>
        <v/>
      </c>
      <c r="P34" s="1475" t="str">
        <f>IF(G34="","",'#BerechnungDBE'!BZ29)</f>
        <v/>
      </c>
      <c r="Q34" s="1041"/>
    </row>
    <row r="35" spans="1:17" s="875" customFormat="1" ht="15" customHeight="1" x14ac:dyDescent="0.2">
      <c r="A35" s="1458" t="str">
        <f>'DBE - N'!A37</f>
        <v/>
      </c>
      <c r="B35" s="1255" t="str">
        <f>'DBE - N'!B37</f>
        <v/>
      </c>
      <c r="C35" s="1255" t="str">
        <f>'DBE - N'!C37</f>
        <v/>
      </c>
      <c r="D35" s="1459" t="str">
        <f>'DBE - N'!E37</f>
        <v/>
      </c>
      <c r="E35" s="1273" t="str">
        <f>'org. Düngung 22'!E38</f>
        <v/>
      </c>
      <c r="F35" s="1255" t="str">
        <f>'DBE - N'!F37</f>
        <v/>
      </c>
      <c r="G35" s="1273" t="str">
        <f>IF(D35="","",IF('Flächen u. Kulturen'!E35="x",'Flächen u. Kulturen'!F35,""))</f>
        <v/>
      </c>
      <c r="H35" s="1460" t="str">
        <f>IF(G35="","",'#BerechnungDBE'!BS30)</f>
        <v/>
      </c>
      <c r="I35" s="1460" t="str">
        <f>IF(G35="","",'#BerechnungDBE'!BR30)</f>
        <v/>
      </c>
      <c r="J35" s="1460" t="str">
        <f>IF(G35="","",'#BerechnungDBE'!BQ30)</f>
        <v/>
      </c>
      <c r="K35" s="1460" t="str">
        <f>IF(G35="","",'#BerechnungDBE'!BU30)</f>
        <v/>
      </c>
      <c r="L35" s="1460" t="str">
        <f>IF(G35="","",'#BerechnungDBE'!BV30)</f>
        <v/>
      </c>
      <c r="M35" s="1460" t="str">
        <f>IF(G35="","",IF('#BerechnungDBE'!P30&lt;4,"",'#BerechnungDBE'!BW30))</f>
        <v/>
      </c>
      <c r="N35" s="1460" t="str">
        <f>IF(G35="","",'#BerechnungDBE'!BX30)</f>
        <v/>
      </c>
      <c r="O35" s="1460" t="str">
        <f>IF(G35="","",'#BerechnungDBE'!BY30)</f>
        <v/>
      </c>
      <c r="P35" s="1475" t="str">
        <f>IF(G35="","",'#BerechnungDBE'!BZ30)</f>
        <v/>
      </c>
      <c r="Q35" s="1041"/>
    </row>
    <row r="36" spans="1:17" s="875" customFormat="1" ht="15" customHeight="1" x14ac:dyDescent="0.2">
      <c r="A36" s="1458" t="str">
        <f>'DBE - N'!A38</f>
        <v/>
      </c>
      <c r="B36" s="1255" t="str">
        <f>'DBE - N'!B38</f>
        <v/>
      </c>
      <c r="C36" s="1255" t="str">
        <f>'DBE - N'!C38</f>
        <v/>
      </c>
      <c r="D36" s="1459" t="str">
        <f>'DBE - N'!E38</f>
        <v/>
      </c>
      <c r="E36" s="1273" t="str">
        <f>'org. Düngung 22'!E39</f>
        <v/>
      </c>
      <c r="F36" s="1255" t="str">
        <f>'DBE - N'!F38</f>
        <v/>
      </c>
      <c r="G36" s="1273" t="str">
        <f>IF(D36="","",IF('Flächen u. Kulturen'!E36="x",'Flächen u. Kulturen'!F36,""))</f>
        <v/>
      </c>
      <c r="H36" s="1460" t="str">
        <f>IF(G36="","",'#BerechnungDBE'!BS31)</f>
        <v/>
      </c>
      <c r="I36" s="1460" t="str">
        <f>IF(G36="","",'#BerechnungDBE'!BR31)</f>
        <v/>
      </c>
      <c r="J36" s="1460" t="str">
        <f>IF(G36="","",'#BerechnungDBE'!BQ31)</f>
        <v/>
      </c>
      <c r="K36" s="1460" t="str">
        <f>IF(G36="","",'#BerechnungDBE'!BU31)</f>
        <v/>
      </c>
      <c r="L36" s="1460" t="str">
        <f>IF(G36="","",'#BerechnungDBE'!BV31)</f>
        <v/>
      </c>
      <c r="M36" s="1460" t="str">
        <f>IF(G36="","",IF('#BerechnungDBE'!P31&lt;4,"",'#BerechnungDBE'!BW31))</f>
        <v/>
      </c>
      <c r="N36" s="1460" t="str">
        <f>IF(G36="","",'#BerechnungDBE'!BX31)</f>
        <v/>
      </c>
      <c r="O36" s="1460" t="str">
        <f>IF(G36="","",'#BerechnungDBE'!BY31)</f>
        <v/>
      </c>
      <c r="P36" s="1475" t="str">
        <f>IF(G36="","",'#BerechnungDBE'!BZ31)</f>
        <v/>
      </c>
      <c r="Q36" s="1041"/>
    </row>
    <row r="37" spans="1:17" s="875" customFormat="1" ht="15" customHeight="1" x14ac:dyDescent="0.2">
      <c r="A37" s="1458" t="str">
        <f>'DBE - N'!A39</f>
        <v/>
      </c>
      <c r="B37" s="1255" t="str">
        <f>'DBE - N'!B39</f>
        <v/>
      </c>
      <c r="C37" s="1255" t="str">
        <f>'DBE - N'!C39</f>
        <v/>
      </c>
      <c r="D37" s="1459" t="str">
        <f>'DBE - N'!E39</f>
        <v/>
      </c>
      <c r="E37" s="1273" t="str">
        <f>'org. Düngung 22'!E40</f>
        <v/>
      </c>
      <c r="F37" s="1255" t="str">
        <f>'DBE - N'!F39</f>
        <v/>
      </c>
      <c r="G37" s="1273" t="str">
        <f>IF(D37="","",IF('Flächen u. Kulturen'!E37="x",'Flächen u. Kulturen'!F37,""))</f>
        <v/>
      </c>
      <c r="H37" s="1460" t="str">
        <f>IF(G37="","",'#BerechnungDBE'!BS32)</f>
        <v/>
      </c>
      <c r="I37" s="1460" t="str">
        <f>IF(G37="","",'#BerechnungDBE'!BR32)</f>
        <v/>
      </c>
      <c r="J37" s="1460" t="str">
        <f>IF(G37="","",'#BerechnungDBE'!BQ32)</f>
        <v/>
      </c>
      <c r="K37" s="1460" t="str">
        <f>IF(G37="","",'#BerechnungDBE'!BU32)</f>
        <v/>
      </c>
      <c r="L37" s="1460" t="str">
        <f>IF(G37="","",'#BerechnungDBE'!BV32)</f>
        <v/>
      </c>
      <c r="M37" s="1460" t="str">
        <f>IF(G37="","",IF('#BerechnungDBE'!P32&lt;4,"",'#BerechnungDBE'!BW32))</f>
        <v/>
      </c>
      <c r="N37" s="1460" t="str">
        <f>IF(G37="","",'#BerechnungDBE'!BX32)</f>
        <v/>
      </c>
      <c r="O37" s="1460" t="str">
        <f>IF(G37="","",'#BerechnungDBE'!BY32)</f>
        <v/>
      </c>
      <c r="P37" s="1475" t="str">
        <f>IF(G37="","",'#BerechnungDBE'!BZ32)</f>
        <v/>
      </c>
      <c r="Q37" s="1041"/>
    </row>
    <row r="38" spans="1:17" s="875" customFormat="1" ht="15" customHeight="1" x14ac:dyDescent="0.2">
      <c r="A38" s="1458" t="str">
        <f>'DBE - N'!A40</f>
        <v/>
      </c>
      <c r="B38" s="1255" t="str">
        <f>'DBE - N'!B40</f>
        <v/>
      </c>
      <c r="C38" s="1255" t="str">
        <f>'DBE - N'!C40</f>
        <v/>
      </c>
      <c r="D38" s="1459" t="str">
        <f>'DBE - N'!E40</f>
        <v/>
      </c>
      <c r="E38" s="1273" t="str">
        <f>'org. Düngung 22'!E41</f>
        <v/>
      </c>
      <c r="F38" s="1255" t="str">
        <f>'DBE - N'!F40</f>
        <v/>
      </c>
      <c r="G38" s="1273" t="str">
        <f>IF(D38="","",IF('Flächen u. Kulturen'!E38="x",'Flächen u. Kulturen'!F38,""))</f>
        <v/>
      </c>
      <c r="H38" s="1460" t="str">
        <f>IF(G38="","",'#BerechnungDBE'!BS33)</f>
        <v/>
      </c>
      <c r="I38" s="1460" t="str">
        <f>IF(G38="","",'#BerechnungDBE'!BR33)</f>
        <v/>
      </c>
      <c r="J38" s="1460" t="str">
        <f>IF(G38="","",'#BerechnungDBE'!BQ33)</f>
        <v/>
      </c>
      <c r="K38" s="1460" t="str">
        <f>IF(G38="","",'#BerechnungDBE'!BU33)</f>
        <v/>
      </c>
      <c r="L38" s="1460" t="str">
        <f>IF(G38="","",'#BerechnungDBE'!BV33)</f>
        <v/>
      </c>
      <c r="M38" s="1460" t="str">
        <f>IF(G38="","",IF('#BerechnungDBE'!P33&lt;4,"",'#BerechnungDBE'!BW33))</f>
        <v/>
      </c>
      <c r="N38" s="1460" t="str">
        <f>IF(G38="","",'#BerechnungDBE'!BX33)</f>
        <v/>
      </c>
      <c r="O38" s="1460" t="str">
        <f>IF(G38="","",'#BerechnungDBE'!BY33)</f>
        <v/>
      </c>
      <c r="P38" s="1475" t="str">
        <f>IF(G38="","",'#BerechnungDBE'!BZ33)</f>
        <v/>
      </c>
      <c r="Q38" s="1041"/>
    </row>
    <row r="39" spans="1:17" s="875" customFormat="1" ht="15" customHeight="1" x14ac:dyDescent="0.2">
      <c r="A39" s="1458" t="str">
        <f>'DBE - N'!A41</f>
        <v/>
      </c>
      <c r="B39" s="1255" t="str">
        <f>'DBE - N'!B41</f>
        <v/>
      </c>
      <c r="C39" s="1255" t="str">
        <f>'DBE - N'!C41</f>
        <v/>
      </c>
      <c r="D39" s="1459" t="str">
        <f>'DBE - N'!E41</f>
        <v/>
      </c>
      <c r="E39" s="1273" t="str">
        <f>'org. Düngung 22'!E42</f>
        <v/>
      </c>
      <c r="F39" s="1255" t="str">
        <f>'DBE - N'!F41</f>
        <v/>
      </c>
      <c r="G39" s="1273" t="str">
        <f>IF(D39="","",IF('Flächen u. Kulturen'!E39="x",'Flächen u. Kulturen'!F39,""))</f>
        <v/>
      </c>
      <c r="H39" s="1460" t="str">
        <f>IF(G39="","",'#BerechnungDBE'!BS34)</f>
        <v/>
      </c>
      <c r="I39" s="1460" t="str">
        <f>IF(G39="","",'#BerechnungDBE'!BR34)</f>
        <v/>
      </c>
      <c r="J39" s="1460" t="str">
        <f>IF(G39="","",'#BerechnungDBE'!BQ34)</f>
        <v/>
      </c>
      <c r="K39" s="1460" t="str">
        <f>IF(G39="","",'#BerechnungDBE'!BU34)</f>
        <v/>
      </c>
      <c r="L39" s="1460" t="str">
        <f>IF(G39="","",'#BerechnungDBE'!BV34)</f>
        <v/>
      </c>
      <c r="M39" s="1460" t="str">
        <f>IF(G39="","",IF('#BerechnungDBE'!P34&lt;4,"",'#BerechnungDBE'!BW34))</f>
        <v/>
      </c>
      <c r="N39" s="1460" t="str">
        <f>IF(G39="","",'#BerechnungDBE'!BX34)</f>
        <v/>
      </c>
      <c r="O39" s="1460" t="str">
        <f>IF(G39="","",'#BerechnungDBE'!BY34)</f>
        <v/>
      </c>
      <c r="P39" s="1475" t="str">
        <f>IF(G39="","",'#BerechnungDBE'!BZ34)</f>
        <v/>
      </c>
      <c r="Q39" s="1041"/>
    </row>
    <row r="40" spans="1:17" s="875" customFormat="1" ht="15" customHeight="1" x14ac:dyDescent="0.2">
      <c r="A40" s="1458" t="str">
        <f>'DBE - N'!A42</f>
        <v/>
      </c>
      <c r="B40" s="1255" t="str">
        <f>'DBE - N'!B42</f>
        <v/>
      </c>
      <c r="C40" s="1255" t="str">
        <f>'DBE - N'!C42</f>
        <v/>
      </c>
      <c r="D40" s="1459" t="str">
        <f>'DBE - N'!E42</f>
        <v/>
      </c>
      <c r="E40" s="1273" t="str">
        <f>'org. Düngung 22'!E43</f>
        <v/>
      </c>
      <c r="F40" s="1255" t="str">
        <f>'DBE - N'!F42</f>
        <v/>
      </c>
      <c r="G40" s="1273" t="str">
        <f>IF(D40="","",IF('Flächen u. Kulturen'!E40="x",'Flächen u. Kulturen'!F40,""))</f>
        <v/>
      </c>
      <c r="H40" s="1460" t="str">
        <f>IF(G40="","",'#BerechnungDBE'!BS35)</f>
        <v/>
      </c>
      <c r="I40" s="1460" t="str">
        <f>IF(G40="","",'#BerechnungDBE'!BR35)</f>
        <v/>
      </c>
      <c r="J40" s="1460" t="str">
        <f>IF(G40="","",'#BerechnungDBE'!BQ35)</f>
        <v/>
      </c>
      <c r="K40" s="1460" t="str">
        <f>IF(G40="","",'#BerechnungDBE'!BU35)</f>
        <v/>
      </c>
      <c r="L40" s="1460" t="str">
        <f>IF(G40="","",'#BerechnungDBE'!BV35)</f>
        <v/>
      </c>
      <c r="M40" s="1460" t="str">
        <f>IF(G40="","",IF('#BerechnungDBE'!P35&lt;4,"",'#BerechnungDBE'!BW35))</f>
        <v/>
      </c>
      <c r="N40" s="1460" t="str">
        <f>IF(G40="","",'#BerechnungDBE'!BX35)</f>
        <v/>
      </c>
      <c r="O40" s="1460" t="str">
        <f>IF(G40="","",'#BerechnungDBE'!BY35)</f>
        <v/>
      </c>
      <c r="P40" s="1475" t="str">
        <f>IF(G40="","",'#BerechnungDBE'!BZ35)</f>
        <v/>
      </c>
      <c r="Q40" s="1041"/>
    </row>
    <row r="41" spans="1:17" s="875" customFormat="1" ht="15" customHeight="1" x14ac:dyDescent="0.2">
      <c r="A41" s="1458" t="str">
        <f>'DBE - N'!A43</f>
        <v/>
      </c>
      <c r="B41" s="1255" t="str">
        <f>'DBE - N'!B43</f>
        <v/>
      </c>
      <c r="C41" s="1255" t="str">
        <f>'DBE - N'!C43</f>
        <v/>
      </c>
      <c r="D41" s="1459" t="str">
        <f>'DBE - N'!E43</f>
        <v/>
      </c>
      <c r="E41" s="1273" t="str">
        <f>'org. Düngung 22'!E44</f>
        <v/>
      </c>
      <c r="F41" s="1255" t="str">
        <f>'DBE - N'!F43</f>
        <v/>
      </c>
      <c r="G41" s="1273" t="str">
        <f>IF(D41="","",IF('Flächen u. Kulturen'!E41="x",'Flächen u. Kulturen'!F41,""))</f>
        <v/>
      </c>
      <c r="H41" s="1460" t="str">
        <f>IF(G41="","",'#BerechnungDBE'!BS36)</f>
        <v/>
      </c>
      <c r="I41" s="1460" t="str">
        <f>IF(G41="","",'#BerechnungDBE'!BR36)</f>
        <v/>
      </c>
      <c r="J41" s="1460" t="str">
        <f>IF(G41="","",'#BerechnungDBE'!BQ36)</f>
        <v/>
      </c>
      <c r="K41" s="1460" t="str">
        <f>IF(G41="","",'#BerechnungDBE'!BU36)</f>
        <v/>
      </c>
      <c r="L41" s="1460" t="str">
        <f>IF(G41="","",'#BerechnungDBE'!BV36)</f>
        <v/>
      </c>
      <c r="M41" s="1460" t="str">
        <f>IF(G41="","",IF('#BerechnungDBE'!P36&lt;4,"",'#BerechnungDBE'!BW36))</f>
        <v/>
      </c>
      <c r="N41" s="1460" t="str">
        <f>IF(G41="","",'#BerechnungDBE'!BX36)</f>
        <v/>
      </c>
      <c r="O41" s="1460" t="str">
        <f>IF(G41="","",'#BerechnungDBE'!BY36)</f>
        <v/>
      </c>
      <c r="P41" s="1475" t="str">
        <f>IF(G41="","",'#BerechnungDBE'!BZ36)</f>
        <v/>
      </c>
      <c r="Q41" s="1041"/>
    </row>
    <row r="42" spans="1:17" s="875" customFormat="1" ht="15" customHeight="1" x14ac:dyDescent="0.2">
      <c r="A42" s="1458" t="str">
        <f>'DBE - N'!A44</f>
        <v/>
      </c>
      <c r="B42" s="1255" t="str">
        <f>'DBE - N'!B44</f>
        <v/>
      </c>
      <c r="C42" s="1255" t="str">
        <f>'DBE - N'!C44</f>
        <v/>
      </c>
      <c r="D42" s="1459" t="str">
        <f>'DBE - N'!E44</f>
        <v/>
      </c>
      <c r="E42" s="1273" t="str">
        <f>'org. Düngung 22'!E45</f>
        <v/>
      </c>
      <c r="F42" s="1255" t="str">
        <f>'DBE - N'!F44</f>
        <v/>
      </c>
      <c r="G42" s="1273" t="str">
        <f>IF(D42="","",IF('Flächen u. Kulturen'!E42="x",'Flächen u. Kulturen'!F42,""))</f>
        <v/>
      </c>
      <c r="H42" s="1460" t="str">
        <f>IF(G42="","",'#BerechnungDBE'!BS37)</f>
        <v/>
      </c>
      <c r="I42" s="1460" t="str">
        <f>IF(G42="","",'#BerechnungDBE'!BR37)</f>
        <v/>
      </c>
      <c r="J42" s="1460" t="str">
        <f>IF(G42="","",'#BerechnungDBE'!BQ37)</f>
        <v/>
      </c>
      <c r="K42" s="1460" t="str">
        <f>IF(G42="","",'#BerechnungDBE'!BU37)</f>
        <v/>
      </c>
      <c r="L42" s="1460" t="str">
        <f>IF(G42="","",'#BerechnungDBE'!BV37)</f>
        <v/>
      </c>
      <c r="M42" s="1460" t="str">
        <f>IF(G42="","",IF('#BerechnungDBE'!P37&lt;4,"",'#BerechnungDBE'!BW37))</f>
        <v/>
      </c>
      <c r="N42" s="1460" t="str">
        <f>IF(G42="","",'#BerechnungDBE'!BX37)</f>
        <v/>
      </c>
      <c r="O42" s="1460" t="str">
        <f>IF(G42="","",'#BerechnungDBE'!BY37)</f>
        <v/>
      </c>
      <c r="P42" s="1475" t="str">
        <f>IF(G42="","",'#BerechnungDBE'!BZ37)</f>
        <v/>
      </c>
      <c r="Q42" s="1041"/>
    </row>
    <row r="43" spans="1:17" s="875" customFormat="1" ht="15" customHeight="1" x14ac:dyDescent="0.2">
      <c r="A43" s="1458" t="str">
        <f>'DBE - N'!A45</f>
        <v/>
      </c>
      <c r="B43" s="1255" t="str">
        <f>'DBE - N'!B45</f>
        <v/>
      </c>
      <c r="C43" s="1255" t="str">
        <f>'DBE - N'!C45</f>
        <v/>
      </c>
      <c r="D43" s="1459" t="str">
        <f>'DBE - N'!E45</f>
        <v/>
      </c>
      <c r="E43" s="1273" t="str">
        <f>'org. Düngung 22'!E46</f>
        <v/>
      </c>
      <c r="F43" s="1255" t="str">
        <f>'DBE - N'!F45</f>
        <v/>
      </c>
      <c r="G43" s="1273" t="str">
        <f>IF(D43="","",IF('Flächen u. Kulturen'!E43="x",'Flächen u. Kulturen'!F43,""))</f>
        <v/>
      </c>
      <c r="H43" s="1460" t="str">
        <f>IF(G43="","",'#BerechnungDBE'!BS38)</f>
        <v/>
      </c>
      <c r="I43" s="1460" t="str">
        <f>IF(G43="","",'#BerechnungDBE'!BR38)</f>
        <v/>
      </c>
      <c r="J43" s="1460" t="str">
        <f>IF(G43="","",'#BerechnungDBE'!BQ38)</f>
        <v/>
      </c>
      <c r="K43" s="1460" t="str">
        <f>IF(G43="","",'#BerechnungDBE'!BU38)</f>
        <v/>
      </c>
      <c r="L43" s="1460" t="str">
        <f>IF(G43="","",'#BerechnungDBE'!BV38)</f>
        <v/>
      </c>
      <c r="M43" s="1460" t="str">
        <f>IF(G43="","",IF('#BerechnungDBE'!P38&lt;4,"",'#BerechnungDBE'!BW38))</f>
        <v/>
      </c>
      <c r="N43" s="1460" t="str">
        <f>IF(G43="","",'#BerechnungDBE'!BX38)</f>
        <v/>
      </c>
      <c r="O43" s="1460" t="str">
        <f>IF(G43="","",'#BerechnungDBE'!BY38)</f>
        <v/>
      </c>
      <c r="P43" s="1475" t="str">
        <f>IF(G43="","",'#BerechnungDBE'!BZ38)</f>
        <v/>
      </c>
      <c r="Q43" s="1041"/>
    </row>
    <row r="44" spans="1:17" s="875" customFormat="1" ht="15" customHeight="1" x14ac:dyDescent="0.2">
      <c r="A44" s="1458" t="str">
        <f>'DBE - N'!A46</f>
        <v/>
      </c>
      <c r="B44" s="1255" t="str">
        <f>'DBE - N'!B46</f>
        <v/>
      </c>
      <c r="C44" s="1255" t="str">
        <f>'DBE - N'!C46</f>
        <v/>
      </c>
      <c r="D44" s="1459" t="str">
        <f>'DBE - N'!E46</f>
        <v/>
      </c>
      <c r="E44" s="1273" t="str">
        <f>'org. Düngung 22'!E47</f>
        <v/>
      </c>
      <c r="F44" s="1255" t="str">
        <f>'DBE - N'!F46</f>
        <v/>
      </c>
      <c r="G44" s="1273" t="str">
        <f>IF(D44="","",IF('Flächen u. Kulturen'!E44="x",'Flächen u. Kulturen'!F44,""))</f>
        <v/>
      </c>
      <c r="H44" s="1460" t="str">
        <f>IF(G44="","",'#BerechnungDBE'!BS39)</f>
        <v/>
      </c>
      <c r="I44" s="1460" t="str">
        <f>IF(G44="","",'#BerechnungDBE'!BR39)</f>
        <v/>
      </c>
      <c r="J44" s="1460" t="str">
        <f>IF(G44="","",'#BerechnungDBE'!BQ39)</f>
        <v/>
      </c>
      <c r="K44" s="1460" t="str">
        <f>IF(G44="","",'#BerechnungDBE'!BU39)</f>
        <v/>
      </c>
      <c r="L44" s="1460" t="str">
        <f>IF(G44="","",'#BerechnungDBE'!BV39)</f>
        <v/>
      </c>
      <c r="M44" s="1460" t="str">
        <f>IF(G44="","",IF('#BerechnungDBE'!P39&lt;4,"",'#BerechnungDBE'!BW39))</f>
        <v/>
      </c>
      <c r="N44" s="1460" t="str">
        <f>IF(G44="","",'#BerechnungDBE'!BX39)</f>
        <v/>
      </c>
      <c r="O44" s="1460" t="str">
        <f>IF(G44="","",'#BerechnungDBE'!BY39)</f>
        <v/>
      </c>
      <c r="P44" s="1475" t="str">
        <f>IF(G44="","",'#BerechnungDBE'!BZ39)</f>
        <v/>
      </c>
      <c r="Q44" s="1041"/>
    </row>
    <row r="45" spans="1:17" s="875" customFormat="1" ht="15" customHeight="1" x14ac:dyDescent="0.2">
      <c r="A45" s="1458" t="str">
        <f>'DBE - N'!A47</f>
        <v/>
      </c>
      <c r="B45" s="1255" t="str">
        <f>'DBE - N'!B47</f>
        <v/>
      </c>
      <c r="C45" s="1255" t="str">
        <f>'DBE - N'!C47</f>
        <v/>
      </c>
      <c r="D45" s="1459" t="str">
        <f>'DBE - N'!E47</f>
        <v/>
      </c>
      <c r="E45" s="1273" t="str">
        <f>'org. Düngung 22'!E48</f>
        <v/>
      </c>
      <c r="F45" s="1255" t="str">
        <f>'DBE - N'!F47</f>
        <v/>
      </c>
      <c r="G45" s="1273" t="str">
        <f>IF(D45="","",IF('Flächen u. Kulturen'!E45="x",'Flächen u. Kulturen'!F45,""))</f>
        <v/>
      </c>
      <c r="H45" s="1460" t="str">
        <f>IF(G45="","",'#BerechnungDBE'!BS40)</f>
        <v/>
      </c>
      <c r="I45" s="1460" t="str">
        <f>IF(G45="","",'#BerechnungDBE'!BR40)</f>
        <v/>
      </c>
      <c r="J45" s="1460" t="str">
        <f>IF(G45="","",'#BerechnungDBE'!BQ40)</f>
        <v/>
      </c>
      <c r="K45" s="1460" t="str">
        <f>IF(G45="","",'#BerechnungDBE'!BU40)</f>
        <v/>
      </c>
      <c r="L45" s="1460" t="str">
        <f>IF(G45="","",'#BerechnungDBE'!BV40)</f>
        <v/>
      </c>
      <c r="M45" s="1460" t="str">
        <f>IF(G45="","",IF('#BerechnungDBE'!P40&lt;4,"",'#BerechnungDBE'!BW40))</f>
        <v/>
      </c>
      <c r="N45" s="1460" t="str">
        <f>IF(G45="","",'#BerechnungDBE'!BX40)</f>
        <v/>
      </c>
      <c r="O45" s="1460" t="str">
        <f>IF(G45="","",'#BerechnungDBE'!BY40)</f>
        <v/>
      </c>
      <c r="P45" s="1475" t="str">
        <f>IF(G45="","",'#BerechnungDBE'!BZ40)</f>
        <v/>
      </c>
      <c r="Q45" s="1041"/>
    </row>
    <row r="46" spans="1:17" s="875" customFormat="1" ht="15" customHeight="1" x14ac:dyDescent="0.2">
      <c r="A46" s="1458" t="str">
        <f>'DBE - N'!A48</f>
        <v/>
      </c>
      <c r="B46" s="1255" t="str">
        <f>'DBE - N'!B48</f>
        <v/>
      </c>
      <c r="C46" s="1255" t="str">
        <f>'DBE - N'!C48</f>
        <v/>
      </c>
      <c r="D46" s="1459" t="str">
        <f>'DBE - N'!E48</f>
        <v/>
      </c>
      <c r="E46" s="1273" t="str">
        <f>'org. Düngung 22'!E49</f>
        <v/>
      </c>
      <c r="F46" s="1255" t="str">
        <f>'DBE - N'!F48</f>
        <v/>
      </c>
      <c r="G46" s="1273" t="str">
        <f>IF(D46="","",IF('Flächen u. Kulturen'!E46="x",'Flächen u. Kulturen'!F46,""))</f>
        <v/>
      </c>
      <c r="H46" s="1460" t="str">
        <f>IF(G46="","",'#BerechnungDBE'!BS41)</f>
        <v/>
      </c>
      <c r="I46" s="1460" t="str">
        <f>IF(G46="","",'#BerechnungDBE'!BR41)</f>
        <v/>
      </c>
      <c r="J46" s="1460" t="str">
        <f>IF(G46="","",'#BerechnungDBE'!BQ41)</f>
        <v/>
      </c>
      <c r="K46" s="1460" t="str">
        <f>IF(G46="","",'#BerechnungDBE'!BU41)</f>
        <v/>
      </c>
      <c r="L46" s="1460" t="str">
        <f>IF(G46="","",'#BerechnungDBE'!BV41)</f>
        <v/>
      </c>
      <c r="M46" s="1460" t="str">
        <f>IF(G46="","",IF('#BerechnungDBE'!P41&lt;4,"",'#BerechnungDBE'!BW41))</f>
        <v/>
      </c>
      <c r="N46" s="1460" t="str">
        <f>IF(G46="","",'#BerechnungDBE'!BX41)</f>
        <v/>
      </c>
      <c r="O46" s="1460" t="str">
        <f>IF(G46="","",'#BerechnungDBE'!BY41)</f>
        <v/>
      </c>
      <c r="P46" s="1475" t="str">
        <f>IF(G46="","",'#BerechnungDBE'!BZ41)</f>
        <v/>
      </c>
      <c r="Q46" s="1041"/>
    </row>
    <row r="47" spans="1:17" s="875" customFormat="1" ht="15" customHeight="1" x14ac:dyDescent="0.2">
      <c r="A47" s="1458" t="str">
        <f>'DBE - N'!A49</f>
        <v/>
      </c>
      <c r="B47" s="1255" t="str">
        <f>'DBE - N'!B49</f>
        <v/>
      </c>
      <c r="C47" s="1255" t="str">
        <f>'DBE - N'!C49</f>
        <v/>
      </c>
      <c r="D47" s="1459" t="str">
        <f>'DBE - N'!E49</f>
        <v/>
      </c>
      <c r="E47" s="1273" t="str">
        <f>'org. Düngung 22'!E50</f>
        <v/>
      </c>
      <c r="F47" s="1255" t="str">
        <f>'DBE - N'!F49</f>
        <v/>
      </c>
      <c r="G47" s="1273" t="str">
        <f>IF(D47="","",IF('Flächen u. Kulturen'!E47="x",'Flächen u. Kulturen'!F47,""))</f>
        <v/>
      </c>
      <c r="H47" s="1460" t="str">
        <f>IF(G47="","",'#BerechnungDBE'!BS42)</f>
        <v/>
      </c>
      <c r="I47" s="1460" t="str">
        <f>IF(G47="","",'#BerechnungDBE'!BR42)</f>
        <v/>
      </c>
      <c r="J47" s="1460" t="str">
        <f>IF(G47="","",'#BerechnungDBE'!BQ42)</f>
        <v/>
      </c>
      <c r="K47" s="1460" t="str">
        <f>IF(G47="","",'#BerechnungDBE'!BU42)</f>
        <v/>
      </c>
      <c r="L47" s="1460" t="str">
        <f>IF(G47="","",'#BerechnungDBE'!BV42)</f>
        <v/>
      </c>
      <c r="M47" s="1460" t="str">
        <f>IF(G47="","",IF('#BerechnungDBE'!P42&lt;4,"",'#BerechnungDBE'!BW42))</f>
        <v/>
      </c>
      <c r="N47" s="1460" t="str">
        <f>IF(G47="","",'#BerechnungDBE'!BX42)</f>
        <v/>
      </c>
      <c r="O47" s="1460" t="str">
        <f>IF(G47="","",'#BerechnungDBE'!BY42)</f>
        <v/>
      </c>
      <c r="P47" s="1475" t="str">
        <f>IF(G47="","",'#BerechnungDBE'!BZ42)</f>
        <v/>
      </c>
      <c r="Q47" s="1041"/>
    </row>
    <row r="48" spans="1:17" s="875" customFormat="1" ht="15" customHeight="1" x14ac:dyDescent="0.2">
      <c r="A48" s="1458" t="str">
        <f>'DBE - N'!A50</f>
        <v/>
      </c>
      <c r="B48" s="1255" t="str">
        <f>'DBE - N'!B50</f>
        <v/>
      </c>
      <c r="C48" s="1255" t="str">
        <f>'DBE - N'!C50</f>
        <v/>
      </c>
      <c r="D48" s="1459" t="str">
        <f>'DBE - N'!E50</f>
        <v/>
      </c>
      <c r="E48" s="1273" t="str">
        <f>'org. Düngung 22'!E51</f>
        <v/>
      </c>
      <c r="F48" s="1255" t="str">
        <f>'DBE - N'!F50</f>
        <v/>
      </c>
      <c r="G48" s="1273" t="str">
        <f>IF(D48="","",IF('Flächen u. Kulturen'!E48="x",'Flächen u. Kulturen'!F48,""))</f>
        <v/>
      </c>
      <c r="H48" s="1460" t="str">
        <f>IF(G48="","",'#BerechnungDBE'!BS43)</f>
        <v/>
      </c>
      <c r="I48" s="1460" t="str">
        <f>IF(G48="","",'#BerechnungDBE'!BR43)</f>
        <v/>
      </c>
      <c r="J48" s="1460" t="str">
        <f>IF(G48="","",'#BerechnungDBE'!BQ43)</f>
        <v/>
      </c>
      <c r="K48" s="1460" t="str">
        <f>IF(G48="","",'#BerechnungDBE'!BU43)</f>
        <v/>
      </c>
      <c r="L48" s="1460" t="str">
        <f>IF(G48="","",'#BerechnungDBE'!BV43)</f>
        <v/>
      </c>
      <c r="M48" s="1460" t="str">
        <f>IF(G48="","",IF('#BerechnungDBE'!P43&lt;4,"",'#BerechnungDBE'!BW43))</f>
        <v/>
      </c>
      <c r="N48" s="1460" t="str">
        <f>IF(G48="","",'#BerechnungDBE'!BX43)</f>
        <v/>
      </c>
      <c r="O48" s="1460" t="str">
        <f>IF(G48="","",'#BerechnungDBE'!BY43)</f>
        <v/>
      </c>
      <c r="P48" s="1475" t="str">
        <f>IF(G48="","",'#BerechnungDBE'!BZ43)</f>
        <v/>
      </c>
      <c r="Q48" s="1041"/>
    </row>
    <row r="49" spans="1:17" s="875" customFormat="1" ht="15" customHeight="1" x14ac:dyDescent="0.2">
      <c r="A49" s="1458" t="str">
        <f>'DBE - N'!A51</f>
        <v/>
      </c>
      <c r="B49" s="1255" t="str">
        <f>'DBE - N'!B51</f>
        <v/>
      </c>
      <c r="C49" s="1255" t="str">
        <f>'DBE - N'!C51</f>
        <v/>
      </c>
      <c r="D49" s="1459" t="str">
        <f>'DBE - N'!E51</f>
        <v/>
      </c>
      <c r="E49" s="1273" t="str">
        <f>'org. Düngung 22'!E52</f>
        <v/>
      </c>
      <c r="F49" s="1255" t="str">
        <f>'DBE - N'!F51</f>
        <v/>
      </c>
      <c r="G49" s="1273" t="str">
        <f>IF(D49="","",IF('Flächen u. Kulturen'!E49="x",'Flächen u. Kulturen'!F49,""))</f>
        <v/>
      </c>
      <c r="H49" s="1460" t="str">
        <f>IF(G49="","",'#BerechnungDBE'!BS44)</f>
        <v/>
      </c>
      <c r="I49" s="1460" t="str">
        <f>IF(G49="","",'#BerechnungDBE'!BR44)</f>
        <v/>
      </c>
      <c r="J49" s="1460" t="str">
        <f>IF(G49="","",'#BerechnungDBE'!BQ44)</f>
        <v/>
      </c>
      <c r="K49" s="1460" t="str">
        <f>IF(G49="","",'#BerechnungDBE'!BU44)</f>
        <v/>
      </c>
      <c r="L49" s="1460" t="str">
        <f>IF(G49="","",'#BerechnungDBE'!BV44)</f>
        <v/>
      </c>
      <c r="M49" s="1460" t="str">
        <f>IF(G49="","",IF('#BerechnungDBE'!P44&lt;4,"",'#BerechnungDBE'!BW44))</f>
        <v/>
      </c>
      <c r="N49" s="1460" t="str">
        <f>IF(G49="","",'#BerechnungDBE'!BX44)</f>
        <v/>
      </c>
      <c r="O49" s="1460" t="str">
        <f>IF(G49="","",'#BerechnungDBE'!BY44)</f>
        <v/>
      </c>
      <c r="P49" s="1475" t="str">
        <f>IF(G49="","",'#BerechnungDBE'!BZ44)</f>
        <v/>
      </c>
      <c r="Q49" s="1041"/>
    </row>
    <row r="50" spans="1:17" s="875" customFormat="1" ht="15" customHeight="1" x14ac:dyDescent="0.2">
      <c r="A50" s="1458" t="str">
        <f>'DBE - N'!A52</f>
        <v/>
      </c>
      <c r="B50" s="1255" t="str">
        <f>'DBE - N'!B52</f>
        <v/>
      </c>
      <c r="C50" s="1255" t="str">
        <f>'DBE - N'!C52</f>
        <v/>
      </c>
      <c r="D50" s="1459" t="str">
        <f>'DBE - N'!E52</f>
        <v/>
      </c>
      <c r="E50" s="1273" t="str">
        <f>'org. Düngung 22'!E53</f>
        <v/>
      </c>
      <c r="F50" s="1255" t="str">
        <f>'DBE - N'!F52</f>
        <v/>
      </c>
      <c r="G50" s="1273" t="str">
        <f>IF(D50="","",IF('Flächen u. Kulturen'!E50="x",'Flächen u. Kulturen'!F50,""))</f>
        <v/>
      </c>
      <c r="H50" s="1460" t="str">
        <f>IF(G50="","",'#BerechnungDBE'!BS45)</f>
        <v/>
      </c>
      <c r="I50" s="1460" t="str">
        <f>IF(G50="","",'#BerechnungDBE'!BR45)</f>
        <v/>
      </c>
      <c r="J50" s="1460" t="str">
        <f>IF(G50="","",'#BerechnungDBE'!BQ45)</f>
        <v/>
      </c>
      <c r="K50" s="1460" t="str">
        <f>IF(G50="","",'#BerechnungDBE'!BU45)</f>
        <v/>
      </c>
      <c r="L50" s="1460" t="str">
        <f>IF(G50="","",'#BerechnungDBE'!BV45)</f>
        <v/>
      </c>
      <c r="M50" s="1460" t="str">
        <f>IF(G50="","",IF('#BerechnungDBE'!P45&lt;4,"",'#BerechnungDBE'!BW45))</f>
        <v/>
      </c>
      <c r="N50" s="1460" t="str">
        <f>IF(G50="","",'#BerechnungDBE'!BX45)</f>
        <v/>
      </c>
      <c r="O50" s="1460" t="str">
        <f>IF(G50="","",'#BerechnungDBE'!BY45)</f>
        <v/>
      </c>
      <c r="P50" s="1475" t="str">
        <f>IF(G50="","",'#BerechnungDBE'!BZ45)</f>
        <v/>
      </c>
      <c r="Q50" s="1041"/>
    </row>
    <row r="51" spans="1:17" s="875" customFormat="1" ht="15" customHeight="1" x14ac:dyDescent="0.2">
      <c r="A51" s="1458" t="str">
        <f>'DBE - N'!A53</f>
        <v/>
      </c>
      <c r="B51" s="1255" t="str">
        <f>'DBE - N'!B53</f>
        <v/>
      </c>
      <c r="C51" s="1255" t="str">
        <f>'DBE - N'!C53</f>
        <v/>
      </c>
      <c r="D51" s="1459" t="str">
        <f>'DBE - N'!E53</f>
        <v/>
      </c>
      <c r="E51" s="1273" t="str">
        <f>'org. Düngung 22'!E54</f>
        <v/>
      </c>
      <c r="F51" s="1255" t="str">
        <f>'DBE - N'!F53</f>
        <v/>
      </c>
      <c r="G51" s="1273" t="str">
        <f>IF(D51="","",IF('Flächen u. Kulturen'!E51="x",'Flächen u. Kulturen'!F51,""))</f>
        <v/>
      </c>
      <c r="H51" s="1460" t="str">
        <f>IF(G51="","",'#BerechnungDBE'!BS46)</f>
        <v/>
      </c>
      <c r="I51" s="1460" t="str">
        <f>IF(G51="","",'#BerechnungDBE'!BR46)</f>
        <v/>
      </c>
      <c r="J51" s="1460" t="str">
        <f>IF(G51="","",'#BerechnungDBE'!BQ46)</f>
        <v/>
      </c>
      <c r="K51" s="1460" t="str">
        <f>IF(G51="","",'#BerechnungDBE'!BU46)</f>
        <v/>
      </c>
      <c r="L51" s="1460" t="str">
        <f>IF(G51="","",'#BerechnungDBE'!BV46)</f>
        <v/>
      </c>
      <c r="M51" s="1460" t="str">
        <f>IF(G51="","",IF('#BerechnungDBE'!P46&lt;4,"",'#BerechnungDBE'!BW46))</f>
        <v/>
      </c>
      <c r="N51" s="1460" t="str">
        <f>IF(G51="","",'#BerechnungDBE'!BX46)</f>
        <v/>
      </c>
      <c r="O51" s="1460" t="str">
        <f>IF(G51="","",'#BerechnungDBE'!BY46)</f>
        <v/>
      </c>
      <c r="P51" s="1475" t="str">
        <f>IF(G51="","",'#BerechnungDBE'!BZ46)</f>
        <v/>
      </c>
      <c r="Q51" s="1041"/>
    </row>
    <row r="52" spans="1:17" s="875" customFormat="1" ht="15" customHeight="1" x14ac:dyDescent="0.2">
      <c r="A52" s="1458" t="str">
        <f>'DBE - N'!A54</f>
        <v/>
      </c>
      <c r="B52" s="1255" t="str">
        <f>'DBE - N'!B54</f>
        <v/>
      </c>
      <c r="C52" s="1255" t="str">
        <f>'DBE - N'!C54</f>
        <v/>
      </c>
      <c r="D52" s="1459" t="str">
        <f>'DBE - N'!E54</f>
        <v/>
      </c>
      <c r="E52" s="1273" t="str">
        <f>'org. Düngung 22'!E55</f>
        <v/>
      </c>
      <c r="F52" s="1255" t="str">
        <f>'DBE - N'!F54</f>
        <v/>
      </c>
      <c r="G52" s="1273" t="str">
        <f>IF(D52="","",IF('Flächen u. Kulturen'!E52="x",'Flächen u. Kulturen'!F52,""))</f>
        <v/>
      </c>
      <c r="H52" s="1460" t="str">
        <f>IF(G52="","",'#BerechnungDBE'!BS47)</f>
        <v/>
      </c>
      <c r="I52" s="1460" t="str">
        <f>IF(G52="","",'#BerechnungDBE'!BR47)</f>
        <v/>
      </c>
      <c r="J52" s="1460" t="str">
        <f>IF(G52="","",'#BerechnungDBE'!BQ47)</f>
        <v/>
      </c>
      <c r="K52" s="1460" t="str">
        <f>IF(G52="","",'#BerechnungDBE'!BU47)</f>
        <v/>
      </c>
      <c r="L52" s="1460" t="str">
        <f>IF(G52="","",'#BerechnungDBE'!BV47)</f>
        <v/>
      </c>
      <c r="M52" s="1460" t="str">
        <f>IF(G52="","",IF('#BerechnungDBE'!P47&lt;4,"",'#BerechnungDBE'!BW47))</f>
        <v/>
      </c>
      <c r="N52" s="1460" t="str">
        <f>IF(G52="","",'#BerechnungDBE'!BX47)</f>
        <v/>
      </c>
      <c r="O52" s="1460" t="str">
        <f>IF(G52="","",'#BerechnungDBE'!BY47)</f>
        <v/>
      </c>
      <c r="P52" s="1475" t="str">
        <f>IF(G52="","",'#BerechnungDBE'!BZ47)</f>
        <v/>
      </c>
      <c r="Q52" s="1041"/>
    </row>
    <row r="53" spans="1:17" s="875" customFormat="1" ht="15" customHeight="1" x14ac:dyDescent="0.2">
      <c r="A53" s="1458" t="str">
        <f>'DBE - N'!A55</f>
        <v/>
      </c>
      <c r="B53" s="1255" t="str">
        <f>'DBE - N'!B55</f>
        <v/>
      </c>
      <c r="C53" s="1255" t="str">
        <f>'DBE - N'!C55</f>
        <v/>
      </c>
      <c r="D53" s="1459" t="str">
        <f>'DBE - N'!E55</f>
        <v/>
      </c>
      <c r="E53" s="1273" t="str">
        <f>'org. Düngung 22'!E56</f>
        <v/>
      </c>
      <c r="F53" s="1255" t="str">
        <f>'DBE - N'!F55</f>
        <v/>
      </c>
      <c r="G53" s="1273" t="str">
        <f>IF(D53="","",IF('Flächen u. Kulturen'!E53="x",'Flächen u. Kulturen'!F53,""))</f>
        <v/>
      </c>
      <c r="H53" s="1460" t="str">
        <f>IF(G53="","",'#BerechnungDBE'!BS48)</f>
        <v/>
      </c>
      <c r="I53" s="1460" t="str">
        <f>IF(G53="","",'#BerechnungDBE'!BR48)</f>
        <v/>
      </c>
      <c r="J53" s="1460" t="str">
        <f>IF(G53="","",'#BerechnungDBE'!BQ48)</f>
        <v/>
      </c>
      <c r="K53" s="1460" t="str">
        <f>IF(G53="","",'#BerechnungDBE'!BU48)</f>
        <v/>
      </c>
      <c r="L53" s="1460" t="str">
        <f>IF(G53="","",'#BerechnungDBE'!BV48)</f>
        <v/>
      </c>
      <c r="M53" s="1460" t="str">
        <f>IF(G53="","",IF('#BerechnungDBE'!P48&lt;4,"",'#BerechnungDBE'!BW48))</f>
        <v/>
      </c>
      <c r="N53" s="1460" t="str">
        <f>IF(G53="","",'#BerechnungDBE'!BX48)</f>
        <v/>
      </c>
      <c r="O53" s="1460" t="str">
        <f>IF(G53="","",'#BerechnungDBE'!BY48)</f>
        <v/>
      </c>
      <c r="P53" s="1475" t="str">
        <f>IF(G53="","",'#BerechnungDBE'!BZ48)</f>
        <v/>
      </c>
      <c r="Q53" s="1041"/>
    </row>
    <row r="54" spans="1:17" s="875" customFormat="1" ht="15" customHeight="1" x14ac:dyDescent="0.2">
      <c r="A54" s="1458" t="str">
        <f>'DBE - N'!A56</f>
        <v/>
      </c>
      <c r="B54" s="1255" t="str">
        <f>'DBE - N'!B56</f>
        <v/>
      </c>
      <c r="C54" s="1255" t="str">
        <f>'DBE - N'!C56</f>
        <v/>
      </c>
      <c r="D54" s="1459" t="str">
        <f>'DBE - N'!E56</f>
        <v/>
      </c>
      <c r="E54" s="1273" t="str">
        <f>'org. Düngung 22'!E57</f>
        <v/>
      </c>
      <c r="F54" s="1255" t="str">
        <f>'DBE - N'!F56</f>
        <v/>
      </c>
      <c r="G54" s="1273" t="str">
        <f>IF(D54="","",IF('Flächen u. Kulturen'!E54="x",'Flächen u. Kulturen'!F54,""))</f>
        <v/>
      </c>
      <c r="H54" s="1460" t="str">
        <f>IF(G54="","",'#BerechnungDBE'!BS49)</f>
        <v/>
      </c>
      <c r="I54" s="1460" t="str">
        <f>IF(G54="","",'#BerechnungDBE'!BR49)</f>
        <v/>
      </c>
      <c r="J54" s="1460" t="str">
        <f>IF(G54="","",'#BerechnungDBE'!BQ49)</f>
        <v/>
      </c>
      <c r="K54" s="1460" t="str">
        <f>IF(G54="","",'#BerechnungDBE'!BU49)</f>
        <v/>
      </c>
      <c r="L54" s="1460" t="str">
        <f>IF(G54="","",'#BerechnungDBE'!BV49)</f>
        <v/>
      </c>
      <c r="M54" s="1460" t="str">
        <f>IF(G54="","",IF('#BerechnungDBE'!P49&lt;4,"",'#BerechnungDBE'!BW49))</f>
        <v/>
      </c>
      <c r="N54" s="1460" t="str">
        <f>IF(G54="","",'#BerechnungDBE'!BX49)</f>
        <v/>
      </c>
      <c r="O54" s="1460" t="str">
        <f>IF(G54="","",'#BerechnungDBE'!BY49)</f>
        <v/>
      </c>
      <c r="P54" s="1475" t="str">
        <f>IF(G54="","",'#BerechnungDBE'!BZ49)</f>
        <v/>
      </c>
      <c r="Q54" s="1041"/>
    </row>
    <row r="55" spans="1:17" s="875" customFormat="1" ht="15" customHeight="1" x14ac:dyDescent="0.2">
      <c r="A55" s="1458" t="str">
        <f>'DBE - N'!A57</f>
        <v/>
      </c>
      <c r="B55" s="1255" t="str">
        <f>'DBE - N'!B57</f>
        <v/>
      </c>
      <c r="C55" s="1255" t="str">
        <f>'DBE - N'!C57</f>
        <v/>
      </c>
      <c r="D55" s="1459" t="str">
        <f>'DBE - N'!E57</f>
        <v/>
      </c>
      <c r="E55" s="1273" t="str">
        <f>'org. Düngung 22'!E58</f>
        <v/>
      </c>
      <c r="F55" s="1255" t="str">
        <f>'DBE - N'!F57</f>
        <v/>
      </c>
      <c r="G55" s="1273" t="str">
        <f>IF(D55="","",IF('Flächen u. Kulturen'!E55="x",'Flächen u. Kulturen'!F55,""))</f>
        <v/>
      </c>
      <c r="H55" s="1460" t="str">
        <f>IF(G55="","",'#BerechnungDBE'!BS50)</f>
        <v/>
      </c>
      <c r="I55" s="1460" t="str">
        <f>IF(G55="","",'#BerechnungDBE'!BR50)</f>
        <v/>
      </c>
      <c r="J55" s="1460" t="str">
        <f>IF(G55="","",'#BerechnungDBE'!BQ50)</f>
        <v/>
      </c>
      <c r="K55" s="1460" t="str">
        <f>IF(G55="","",'#BerechnungDBE'!BU50)</f>
        <v/>
      </c>
      <c r="L55" s="1460" t="str">
        <f>IF(G55="","",'#BerechnungDBE'!BV50)</f>
        <v/>
      </c>
      <c r="M55" s="1460" t="str">
        <f>IF(G55="","",IF('#BerechnungDBE'!P50&lt;4,"",'#BerechnungDBE'!BW50))</f>
        <v/>
      </c>
      <c r="N55" s="1460" t="str">
        <f>IF(G55="","",'#BerechnungDBE'!BX50)</f>
        <v/>
      </c>
      <c r="O55" s="1460" t="str">
        <f>IF(G55="","",'#BerechnungDBE'!BY50)</f>
        <v/>
      </c>
      <c r="P55" s="1475" t="str">
        <f>IF(G55="","",'#BerechnungDBE'!BZ50)</f>
        <v/>
      </c>
      <c r="Q55" s="1041"/>
    </row>
    <row r="56" spans="1:17" s="875" customFormat="1" ht="15" customHeight="1" x14ac:dyDescent="0.2">
      <c r="A56" s="1458" t="str">
        <f>'DBE - N'!A58</f>
        <v/>
      </c>
      <c r="B56" s="1255" t="str">
        <f>'DBE - N'!B58</f>
        <v/>
      </c>
      <c r="C56" s="1255" t="str">
        <f>'DBE - N'!C58</f>
        <v/>
      </c>
      <c r="D56" s="1459" t="str">
        <f>'DBE - N'!E58</f>
        <v/>
      </c>
      <c r="E56" s="1273" t="str">
        <f>'org. Düngung 22'!E59</f>
        <v/>
      </c>
      <c r="F56" s="1255" t="str">
        <f>'DBE - N'!F58</f>
        <v/>
      </c>
      <c r="G56" s="1273" t="str">
        <f>IF(D56="","",IF('Flächen u. Kulturen'!E56="x",'Flächen u. Kulturen'!F56,""))</f>
        <v/>
      </c>
      <c r="H56" s="1460" t="str">
        <f>IF(G56="","",'#BerechnungDBE'!BS51)</f>
        <v/>
      </c>
      <c r="I56" s="1460" t="str">
        <f>IF(G56="","",'#BerechnungDBE'!BR51)</f>
        <v/>
      </c>
      <c r="J56" s="1460" t="str">
        <f>IF(G56="","",'#BerechnungDBE'!BQ51)</f>
        <v/>
      </c>
      <c r="K56" s="1460" t="str">
        <f>IF(G56="","",'#BerechnungDBE'!BU51)</f>
        <v/>
      </c>
      <c r="L56" s="1460" t="str">
        <f>IF(G56="","",'#BerechnungDBE'!BV51)</f>
        <v/>
      </c>
      <c r="M56" s="1460" t="str">
        <f>IF(G56="","",IF('#BerechnungDBE'!P51&lt;4,"",'#BerechnungDBE'!BW51))</f>
        <v/>
      </c>
      <c r="N56" s="1460" t="str">
        <f>IF(G56="","",'#BerechnungDBE'!BX51)</f>
        <v/>
      </c>
      <c r="O56" s="1460" t="str">
        <f>IF(G56="","",'#BerechnungDBE'!BY51)</f>
        <v/>
      </c>
      <c r="P56" s="1475" t="str">
        <f>IF(G56="","",'#BerechnungDBE'!BZ51)</f>
        <v/>
      </c>
      <c r="Q56" s="1041"/>
    </row>
    <row r="57" spans="1:17" s="875" customFormat="1" ht="15" customHeight="1" x14ac:dyDescent="0.2">
      <c r="A57" s="1458" t="str">
        <f>'DBE - N'!A59</f>
        <v/>
      </c>
      <c r="B57" s="1255" t="str">
        <f>'DBE - N'!B59</f>
        <v/>
      </c>
      <c r="C57" s="1255" t="str">
        <f>'DBE - N'!C59</f>
        <v/>
      </c>
      <c r="D57" s="1459" t="str">
        <f>'DBE - N'!E59</f>
        <v/>
      </c>
      <c r="E57" s="1273" t="str">
        <f>'org. Düngung 22'!E60</f>
        <v/>
      </c>
      <c r="F57" s="1255" t="str">
        <f>'DBE - N'!F59</f>
        <v/>
      </c>
      <c r="G57" s="1273" t="str">
        <f>IF(D57="","",IF('Flächen u. Kulturen'!E57="x",'Flächen u. Kulturen'!F57,""))</f>
        <v/>
      </c>
      <c r="H57" s="1460" t="str">
        <f>IF(G57="","",'#BerechnungDBE'!BS52)</f>
        <v/>
      </c>
      <c r="I57" s="1460" t="str">
        <f>IF(G57="","",'#BerechnungDBE'!BR52)</f>
        <v/>
      </c>
      <c r="J57" s="1460" t="str">
        <f>IF(G57="","",'#BerechnungDBE'!BQ52)</f>
        <v/>
      </c>
      <c r="K57" s="1460" t="str">
        <f>IF(G57="","",'#BerechnungDBE'!BU52)</f>
        <v/>
      </c>
      <c r="L57" s="1460" t="str">
        <f>IF(G57="","",'#BerechnungDBE'!BV52)</f>
        <v/>
      </c>
      <c r="M57" s="1460" t="str">
        <f>IF(G57="","",IF('#BerechnungDBE'!P52&lt;4,"",'#BerechnungDBE'!BW52))</f>
        <v/>
      </c>
      <c r="N57" s="1460" t="str">
        <f>IF(G57="","",'#BerechnungDBE'!BX52)</f>
        <v/>
      </c>
      <c r="O57" s="1460" t="str">
        <f>IF(G57="","",'#BerechnungDBE'!BY52)</f>
        <v/>
      </c>
      <c r="P57" s="1475" t="str">
        <f>IF(G57="","",'#BerechnungDBE'!BZ52)</f>
        <v/>
      </c>
      <c r="Q57" s="1041"/>
    </row>
    <row r="58" spans="1:17" s="875" customFormat="1" ht="15" customHeight="1" x14ac:dyDescent="0.2">
      <c r="A58" s="1458" t="str">
        <f>'DBE - N'!A60</f>
        <v/>
      </c>
      <c r="B58" s="1255" t="str">
        <f>'DBE - N'!B60</f>
        <v/>
      </c>
      <c r="C58" s="1255" t="str">
        <f>'DBE - N'!C60</f>
        <v/>
      </c>
      <c r="D58" s="1459" t="str">
        <f>'DBE - N'!E60</f>
        <v/>
      </c>
      <c r="E58" s="1273" t="str">
        <f>'org. Düngung 22'!E61</f>
        <v/>
      </c>
      <c r="F58" s="1255" t="str">
        <f>'DBE - N'!F60</f>
        <v/>
      </c>
      <c r="G58" s="1273" t="str">
        <f>IF(D58="","",IF('Flächen u. Kulturen'!E58="x",'Flächen u. Kulturen'!F58,""))</f>
        <v/>
      </c>
      <c r="H58" s="1460" t="str">
        <f>IF(G58="","",'#BerechnungDBE'!BS53)</f>
        <v/>
      </c>
      <c r="I58" s="1460" t="str">
        <f>IF(G58="","",'#BerechnungDBE'!BR53)</f>
        <v/>
      </c>
      <c r="J58" s="1460" t="str">
        <f>IF(G58="","",'#BerechnungDBE'!BQ53)</f>
        <v/>
      </c>
      <c r="K58" s="1460" t="str">
        <f>IF(G58="","",'#BerechnungDBE'!BU53)</f>
        <v/>
      </c>
      <c r="L58" s="1460" t="str">
        <f>IF(G58="","",'#BerechnungDBE'!BV53)</f>
        <v/>
      </c>
      <c r="M58" s="1460" t="str">
        <f>IF(G58="","",IF('#BerechnungDBE'!P53&lt;4,"",'#BerechnungDBE'!BW53))</f>
        <v/>
      </c>
      <c r="N58" s="1460" t="str">
        <f>IF(G58="","",'#BerechnungDBE'!BX53)</f>
        <v/>
      </c>
      <c r="O58" s="1460" t="str">
        <f>IF(G58="","",'#BerechnungDBE'!BY53)</f>
        <v/>
      </c>
      <c r="P58" s="1475" t="str">
        <f>IF(G58="","",'#BerechnungDBE'!BZ53)</f>
        <v/>
      </c>
      <c r="Q58" s="1041"/>
    </row>
    <row r="59" spans="1:17" s="875" customFormat="1" ht="15" customHeight="1" x14ac:dyDescent="0.2">
      <c r="A59" s="1458" t="str">
        <f>'DBE - N'!A61</f>
        <v/>
      </c>
      <c r="B59" s="1255" t="str">
        <f>'DBE - N'!B61</f>
        <v/>
      </c>
      <c r="C59" s="1255" t="str">
        <f>'DBE - N'!C61</f>
        <v/>
      </c>
      <c r="D59" s="1459" t="str">
        <f>'DBE - N'!E61</f>
        <v/>
      </c>
      <c r="E59" s="1273" t="str">
        <f>'org. Düngung 22'!E62</f>
        <v/>
      </c>
      <c r="F59" s="1255" t="str">
        <f>'DBE - N'!F61</f>
        <v/>
      </c>
      <c r="G59" s="1273" t="str">
        <f>IF(D59="","",IF('Flächen u. Kulturen'!E59="x",'Flächen u. Kulturen'!F59,""))</f>
        <v/>
      </c>
      <c r="H59" s="1460" t="str">
        <f>IF(G59="","",'#BerechnungDBE'!BS54)</f>
        <v/>
      </c>
      <c r="I59" s="1460" t="str">
        <f>IF(G59="","",'#BerechnungDBE'!BR54)</f>
        <v/>
      </c>
      <c r="J59" s="1460" t="str">
        <f>IF(G59="","",'#BerechnungDBE'!BQ54)</f>
        <v/>
      </c>
      <c r="K59" s="1460" t="str">
        <f>IF(G59="","",'#BerechnungDBE'!BU54)</f>
        <v/>
      </c>
      <c r="L59" s="1460" t="str">
        <f>IF(G59="","",'#BerechnungDBE'!BV54)</f>
        <v/>
      </c>
      <c r="M59" s="1460" t="str">
        <f>IF(G59="","",IF('#BerechnungDBE'!P54&lt;4,"",'#BerechnungDBE'!BW54))</f>
        <v/>
      </c>
      <c r="N59" s="1460" t="str">
        <f>IF(G59="","",'#BerechnungDBE'!BX54)</f>
        <v/>
      </c>
      <c r="O59" s="1460" t="str">
        <f>IF(G59="","",'#BerechnungDBE'!BY54)</f>
        <v/>
      </c>
      <c r="P59" s="1475" t="str">
        <f>IF(G59="","",'#BerechnungDBE'!BZ54)</f>
        <v/>
      </c>
      <c r="Q59" s="1041"/>
    </row>
    <row r="60" spans="1:17" s="875" customFormat="1" ht="15" customHeight="1" x14ac:dyDescent="0.2">
      <c r="A60" s="1458" t="str">
        <f>'DBE - N'!A62</f>
        <v/>
      </c>
      <c r="B60" s="1255" t="str">
        <f>'DBE - N'!B62</f>
        <v/>
      </c>
      <c r="C60" s="1255" t="str">
        <f>'DBE - N'!C62</f>
        <v/>
      </c>
      <c r="D60" s="1459" t="str">
        <f>'DBE - N'!E62</f>
        <v/>
      </c>
      <c r="E60" s="1273" t="str">
        <f>'org. Düngung 22'!E63</f>
        <v/>
      </c>
      <c r="F60" s="1255" t="str">
        <f>'DBE - N'!F62</f>
        <v/>
      </c>
      <c r="G60" s="1273" t="str">
        <f>IF(D60="","",IF('Flächen u. Kulturen'!E60="x",'Flächen u. Kulturen'!F60,""))</f>
        <v/>
      </c>
      <c r="H60" s="1460" t="str">
        <f>IF(G60="","",'#BerechnungDBE'!BS55)</f>
        <v/>
      </c>
      <c r="I60" s="1460" t="str">
        <f>IF(G60="","",'#BerechnungDBE'!BR55)</f>
        <v/>
      </c>
      <c r="J60" s="1460" t="str">
        <f>IF(G60="","",'#BerechnungDBE'!BQ55)</f>
        <v/>
      </c>
      <c r="K60" s="1460" t="str">
        <f>IF(G60="","",'#BerechnungDBE'!BU55)</f>
        <v/>
      </c>
      <c r="L60" s="1460" t="str">
        <f>IF(G60="","",'#BerechnungDBE'!BV55)</f>
        <v/>
      </c>
      <c r="M60" s="1460" t="str">
        <f>IF(G60="","",IF('#BerechnungDBE'!P55&lt;4,"",'#BerechnungDBE'!BW55))</f>
        <v/>
      </c>
      <c r="N60" s="1460" t="str">
        <f>IF(G60="","",'#BerechnungDBE'!BX55)</f>
        <v/>
      </c>
      <c r="O60" s="1460" t="str">
        <f>IF(G60="","",'#BerechnungDBE'!BY55)</f>
        <v/>
      </c>
      <c r="P60" s="1475" t="str">
        <f>IF(G60="","",'#BerechnungDBE'!BZ55)</f>
        <v/>
      </c>
      <c r="Q60" s="1041"/>
    </row>
    <row r="61" spans="1:17" s="875" customFormat="1" ht="15" customHeight="1" x14ac:dyDescent="0.2">
      <c r="A61" s="1458" t="str">
        <f>'DBE - N'!A63</f>
        <v/>
      </c>
      <c r="B61" s="1255" t="str">
        <f>'DBE - N'!B63</f>
        <v/>
      </c>
      <c r="C61" s="1255" t="str">
        <f>'DBE - N'!C63</f>
        <v/>
      </c>
      <c r="D61" s="1459" t="str">
        <f>'DBE - N'!E63</f>
        <v/>
      </c>
      <c r="E61" s="1273" t="str">
        <f>'org. Düngung 22'!E64</f>
        <v/>
      </c>
      <c r="F61" s="1255" t="str">
        <f>'DBE - N'!F63</f>
        <v/>
      </c>
      <c r="G61" s="1273" t="str">
        <f>IF(D61="","",IF('Flächen u. Kulturen'!E61="x",'Flächen u. Kulturen'!F61,""))</f>
        <v/>
      </c>
      <c r="H61" s="1460" t="str">
        <f>IF(G61="","",'#BerechnungDBE'!BS56)</f>
        <v/>
      </c>
      <c r="I61" s="1460" t="str">
        <f>IF(G61="","",'#BerechnungDBE'!BR56)</f>
        <v/>
      </c>
      <c r="J61" s="1460" t="str">
        <f>IF(G61="","",'#BerechnungDBE'!BQ56)</f>
        <v/>
      </c>
      <c r="K61" s="1460" t="str">
        <f>IF(G61="","",'#BerechnungDBE'!BU56)</f>
        <v/>
      </c>
      <c r="L61" s="1460" t="str">
        <f>IF(G61="","",'#BerechnungDBE'!BV56)</f>
        <v/>
      </c>
      <c r="M61" s="1460" t="str">
        <f>IF(G61="","",IF('#BerechnungDBE'!P56&lt;4,"",'#BerechnungDBE'!BW56))</f>
        <v/>
      </c>
      <c r="N61" s="1460" t="str">
        <f>IF(G61="","",'#BerechnungDBE'!BX56)</f>
        <v/>
      </c>
      <c r="O61" s="1460" t="str">
        <f>IF(G61="","",'#BerechnungDBE'!BY56)</f>
        <v/>
      </c>
      <c r="P61" s="1475" t="str">
        <f>IF(G61="","",'#BerechnungDBE'!BZ56)</f>
        <v/>
      </c>
      <c r="Q61" s="1041"/>
    </row>
    <row r="62" spans="1:17" s="875" customFormat="1" ht="15" customHeight="1" x14ac:dyDescent="0.2">
      <c r="A62" s="1458" t="str">
        <f>'DBE - N'!A64</f>
        <v/>
      </c>
      <c r="B62" s="1255" t="str">
        <f>'DBE - N'!B64</f>
        <v/>
      </c>
      <c r="C62" s="1255" t="str">
        <f>'DBE - N'!C64</f>
        <v/>
      </c>
      <c r="D62" s="1459" t="str">
        <f>'DBE - N'!E64</f>
        <v/>
      </c>
      <c r="E62" s="1273" t="str">
        <f>'org. Düngung 22'!E65</f>
        <v/>
      </c>
      <c r="F62" s="1255" t="str">
        <f>'DBE - N'!F64</f>
        <v/>
      </c>
      <c r="G62" s="1273" t="str">
        <f>IF(D62="","",IF('Flächen u. Kulturen'!E62="x",'Flächen u. Kulturen'!F62,""))</f>
        <v/>
      </c>
      <c r="H62" s="1460" t="str">
        <f>IF(G62="","",'#BerechnungDBE'!BS57)</f>
        <v/>
      </c>
      <c r="I62" s="1460" t="str">
        <f>IF(G62="","",'#BerechnungDBE'!BR57)</f>
        <v/>
      </c>
      <c r="J62" s="1460" t="str">
        <f>IF(G62="","",'#BerechnungDBE'!BQ57)</f>
        <v/>
      </c>
      <c r="K62" s="1460" t="str">
        <f>IF(G62="","",'#BerechnungDBE'!BU57)</f>
        <v/>
      </c>
      <c r="L62" s="1460" t="str">
        <f>IF(G62="","",'#BerechnungDBE'!BV57)</f>
        <v/>
      </c>
      <c r="M62" s="1460" t="str">
        <f>IF(G62="","",IF('#BerechnungDBE'!P57&lt;4,"",'#BerechnungDBE'!BW57))</f>
        <v/>
      </c>
      <c r="N62" s="1460" t="str">
        <f>IF(G62="","",'#BerechnungDBE'!BX57)</f>
        <v/>
      </c>
      <c r="O62" s="1460" t="str">
        <f>IF(G62="","",'#BerechnungDBE'!BY57)</f>
        <v/>
      </c>
      <c r="P62" s="1475" t="str">
        <f>IF(G62="","",'#BerechnungDBE'!BZ57)</f>
        <v/>
      </c>
      <c r="Q62" s="1041"/>
    </row>
    <row r="63" spans="1:17" s="875" customFormat="1" ht="15" customHeight="1" x14ac:dyDescent="0.2">
      <c r="A63" s="1458" t="str">
        <f>'DBE - N'!A65</f>
        <v/>
      </c>
      <c r="B63" s="1255" t="str">
        <f>'DBE - N'!B65</f>
        <v/>
      </c>
      <c r="C63" s="1255" t="str">
        <f>'DBE - N'!C65</f>
        <v/>
      </c>
      <c r="D63" s="1459" t="str">
        <f>'DBE - N'!E65</f>
        <v/>
      </c>
      <c r="E63" s="1273" t="str">
        <f>'org. Düngung 22'!E66</f>
        <v/>
      </c>
      <c r="F63" s="1255" t="str">
        <f>'DBE - N'!F65</f>
        <v/>
      </c>
      <c r="G63" s="1273" t="str">
        <f>IF(D63="","",IF('Flächen u. Kulturen'!E63="x",'Flächen u. Kulturen'!F63,""))</f>
        <v/>
      </c>
      <c r="H63" s="1460" t="str">
        <f>IF(G63="","",'#BerechnungDBE'!BS58)</f>
        <v/>
      </c>
      <c r="I63" s="1460" t="str">
        <f>IF(G63="","",'#BerechnungDBE'!BR58)</f>
        <v/>
      </c>
      <c r="J63" s="1460" t="str">
        <f>IF(G63="","",'#BerechnungDBE'!BQ58)</f>
        <v/>
      </c>
      <c r="K63" s="1460" t="str">
        <f>IF(G63="","",'#BerechnungDBE'!BU58)</f>
        <v/>
      </c>
      <c r="L63" s="1460" t="str">
        <f>IF(G63="","",'#BerechnungDBE'!BV58)</f>
        <v/>
      </c>
      <c r="M63" s="1460" t="str">
        <f>IF(G63="","",IF('#BerechnungDBE'!P58&lt;4,"",'#BerechnungDBE'!BW58))</f>
        <v/>
      </c>
      <c r="N63" s="1460" t="str">
        <f>IF(G63="","",'#BerechnungDBE'!BX58)</f>
        <v/>
      </c>
      <c r="O63" s="1460" t="str">
        <f>IF(G63="","",'#BerechnungDBE'!BY58)</f>
        <v/>
      </c>
      <c r="P63" s="1475" t="str">
        <f>IF(G63="","",'#BerechnungDBE'!BZ58)</f>
        <v/>
      </c>
      <c r="Q63" s="1041"/>
    </row>
    <row r="64" spans="1:17" s="875" customFormat="1" ht="15" customHeight="1" x14ac:dyDescent="0.2">
      <c r="A64" s="1458" t="str">
        <f>'DBE - N'!A66</f>
        <v/>
      </c>
      <c r="B64" s="1255" t="str">
        <f>'DBE - N'!B66</f>
        <v/>
      </c>
      <c r="C64" s="1255" t="str">
        <f>'DBE - N'!C66</f>
        <v/>
      </c>
      <c r="D64" s="1459" t="str">
        <f>'DBE - N'!E66</f>
        <v/>
      </c>
      <c r="E64" s="1273" t="str">
        <f>'org. Düngung 22'!E67</f>
        <v/>
      </c>
      <c r="F64" s="1255" t="str">
        <f>'DBE - N'!F66</f>
        <v/>
      </c>
      <c r="G64" s="1273" t="str">
        <f>IF(D64="","",IF('Flächen u. Kulturen'!E64="x",'Flächen u. Kulturen'!F64,""))</f>
        <v/>
      </c>
      <c r="H64" s="1460" t="str">
        <f>IF(G64="","",'#BerechnungDBE'!BS59)</f>
        <v/>
      </c>
      <c r="I64" s="1460" t="str">
        <f>IF(G64="","",'#BerechnungDBE'!BR59)</f>
        <v/>
      </c>
      <c r="J64" s="1460" t="str">
        <f>IF(G64="","",'#BerechnungDBE'!BQ59)</f>
        <v/>
      </c>
      <c r="K64" s="1460" t="str">
        <f>IF(G64="","",'#BerechnungDBE'!BU59)</f>
        <v/>
      </c>
      <c r="L64" s="1460" t="str">
        <f>IF(G64="","",'#BerechnungDBE'!BV59)</f>
        <v/>
      </c>
      <c r="M64" s="1460" t="str">
        <f>IF(G64="","",IF('#BerechnungDBE'!P59&lt;4,"",'#BerechnungDBE'!BW59))</f>
        <v/>
      </c>
      <c r="N64" s="1460" t="str">
        <f>IF(G64="","",'#BerechnungDBE'!BX59)</f>
        <v/>
      </c>
      <c r="O64" s="1460" t="str">
        <f>IF(G64="","",'#BerechnungDBE'!BY59)</f>
        <v/>
      </c>
      <c r="P64" s="1475" t="str">
        <f>IF(G64="","",'#BerechnungDBE'!BZ59)</f>
        <v/>
      </c>
      <c r="Q64" s="1041"/>
    </row>
    <row r="65" spans="1:17" s="875" customFormat="1" ht="15" customHeight="1" x14ac:dyDescent="0.2">
      <c r="A65" s="1458" t="str">
        <f>'DBE - N'!A67</f>
        <v/>
      </c>
      <c r="B65" s="1255" t="str">
        <f>'DBE - N'!B67</f>
        <v/>
      </c>
      <c r="C65" s="1255" t="str">
        <f>'DBE - N'!C67</f>
        <v/>
      </c>
      <c r="D65" s="1459" t="str">
        <f>'DBE - N'!E67</f>
        <v/>
      </c>
      <c r="E65" s="1273" t="str">
        <f>'org. Düngung 22'!E68</f>
        <v/>
      </c>
      <c r="F65" s="1255" t="str">
        <f>'DBE - N'!F67</f>
        <v/>
      </c>
      <c r="G65" s="1273" t="str">
        <f>IF(D65="","",IF('Flächen u. Kulturen'!E65="x",'Flächen u. Kulturen'!F65,""))</f>
        <v/>
      </c>
      <c r="H65" s="1460" t="str">
        <f>IF(G65="","",'#BerechnungDBE'!BS60)</f>
        <v/>
      </c>
      <c r="I65" s="1460" t="str">
        <f>IF(G65="","",'#BerechnungDBE'!BR60)</f>
        <v/>
      </c>
      <c r="J65" s="1460" t="str">
        <f>IF(G65="","",'#BerechnungDBE'!BQ60)</f>
        <v/>
      </c>
      <c r="K65" s="1460" t="str">
        <f>IF(G65="","",'#BerechnungDBE'!BU60)</f>
        <v/>
      </c>
      <c r="L65" s="1460" t="str">
        <f>IF(G65="","",'#BerechnungDBE'!BV60)</f>
        <v/>
      </c>
      <c r="M65" s="1460" t="str">
        <f>IF(G65="","",IF('#BerechnungDBE'!P60&lt;4,"",'#BerechnungDBE'!BW60))</f>
        <v/>
      </c>
      <c r="N65" s="1460" t="str">
        <f>IF(G65="","",'#BerechnungDBE'!BX60)</f>
        <v/>
      </c>
      <c r="O65" s="1460" t="str">
        <f>IF(G65="","",'#BerechnungDBE'!BY60)</f>
        <v/>
      </c>
      <c r="P65" s="1475" t="str">
        <f>IF(G65="","",'#BerechnungDBE'!BZ60)</f>
        <v/>
      </c>
      <c r="Q65" s="1041"/>
    </row>
    <row r="66" spans="1:17" s="875" customFormat="1" ht="15" customHeight="1" x14ac:dyDescent="0.2">
      <c r="A66" s="1458" t="str">
        <f>'DBE - N'!A68</f>
        <v/>
      </c>
      <c r="B66" s="1255" t="str">
        <f>'DBE - N'!B68</f>
        <v/>
      </c>
      <c r="C66" s="1255" t="str">
        <f>'DBE - N'!C68</f>
        <v/>
      </c>
      <c r="D66" s="1459" t="str">
        <f>'DBE - N'!E68</f>
        <v/>
      </c>
      <c r="E66" s="1273" t="str">
        <f>'org. Düngung 22'!E69</f>
        <v/>
      </c>
      <c r="F66" s="1255" t="str">
        <f>'DBE - N'!F68</f>
        <v/>
      </c>
      <c r="G66" s="1273" t="str">
        <f>IF(D66="","",IF('Flächen u. Kulturen'!E66="x",'Flächen u. Kulturen'!F66,""))</f>
        <v/>
      </c>
      <c r="H66" s="1460" t="str">
        <f>IF(G66="","",'#BerechnungDBE'!BS61)</f>
        <v/>
      </c>
      <c r="I66" s="1460" t="str">
        <f>IF(G66="","",'#BerechnungDBE'!BR61)</f>
        <v/>
      </c>
      <c r="J66" s="1460" t="str">
        <f>IF(G66="","",'#BerechnungDBE'!BQ61)</f>
        <v/>
      </c>
      <c r="K66" s="1460" t="str">
        <f>IF(G66="","",'#BerechnungDBE'!BU61)</f>
        <v/>
      </c>
      <c r="L66" s="1460" t="str">
        <f>IF(G66="","",'#BerechnungDBE'!BV61)</f>
        <v/>
      </c>
      <c r="M66" s="1460" t="str">
        <f>IF(G66="","",IF('#BerechnungDBE'!P61&lt;4,"",'#BerechnungDBE'!BW61))</f>
        <v/>
      </c>
      <c r="N66" s="1460" t="str">
        <f>IF(G66="","",'#BerechnungDBE'!BX61)</f>
        <v/>
      </c>
      <c r="O66" s="1460" t="str">
        <f>IF(G66="","",'#BerechnungDBE'!BY61)</f>
        <v/>
      </c>
      <c r="P66" s="1475" t="str">
        <f>IF(G66="","",'#BerechnungDBE'!BZ61)</f>
        <v/>
      </c>
      <c r="Q66" s="1041"/>
    </row>
    <row r="67" spans="1:17" s="875" customFormat="1" ht="15" customHeight="1" x14ac:dyDescent="0.2">
      <c r="A67" s="1458" t="str">
        <f>'DBE - N'!A69</f>
        <v/>
      </c>
      <c r="B67" s="1255" t="str">
        <f>'DBE - N'!B69</f>
        <v/>
      </c>
      <c r="C67" s="1255" t="str">
        <f>'DBE - N'!C69</f>
        <v/>
      </c>
      <c r="D67" s="1459" t="str">
        <f>'DBE - N'!E69</f>
        <v/>
      </c>
      <c r="E67" s="1273" t="str">
        <f>'org. Düngung 22'!E70</f>
        <v/>
      </c>
      <c r="F67" s="1255" t="str">
        <f>'DBE - N'!F69</f>
        <v/>
      </c>
      <c r="G67" s="1273" t="str">
        <f>IF(D67="","",IF('Flächen u. Kulturen'!E67="x",'Flächen u. Kulturen'!F67,""))</f>
        <v/>
      </c>
      <c r="H67" s="1460" t="str">
        <f>IF(G67="","",'#BerechnungDBE'!BS62)</f>
        <v/>
      </c>
      <c r="I67" s="1460" t="str">
        <f>IF(G67="","",'#BerechnungDBE'!BR62)</f>
        <v/>
      </c>
      <c r="J67" s="1460" t="str">
        <f>IF(G67="","",'#BerechnungDBE'!BQ62)</f>
        <v/>
      </c>
      <c r="K67" s="1460" t="str">
        <f>IF(G67="","",'#BerechnungDBE'!BU62)</f>
        <v/>
      </c>
      <c r="L67" s="1460" t="str">
        <f>IF(G67="","",'#BerechnungDBE'!BV62)</f>
        <v/>
      </c>
      <c r="M67" s="1460" t="str">
        <f>IF(G67="","",IF('#BerechnungDBE'!P62&lt;4,"",'#BerechnungDBE'!BW62))</f>
        <v/>
      </c>
      <c r="N67" s="1460" t="str">
        <f>IF(G67="","",'#BerechnungDBE'!BX62)</f>
        <v/>
      </c>
      <c r="O67" s="1460" t="str">
        <f>IF(G67="","",'#BerechnungDBE'!BY62)</f>
        <v/>
      </c>
      <c r="P67" s="1475" t="str">
        <f>IF(G67="","",'#BerechnungDBE'!BZ62)</f>
        <v/>
      </c>
      <c r="Q67" s="1041"/>
    </row>
    <row r="68" spans="1:17" s="875" customFormat="1" ht="15" customHeight="1" x14ac:dyDescent="0.2">
      <c r="A68" s="1458" t="str">
        <f>'DBE - N'!A70</f>
        <v/>
      </c>
      <c r="B68" s="1255" t="str">
        <f>'DBE - N'!B70</f>
        <v/>
      </c>
      <c r="C68" s="1255" t="str">
        <f>'DBE - N'!C70</f>
        <v/>
      </c>
      <c r="D68" s="1459" t="str">
        <f>'DBE - N'!E70</f>
        <v/>
      </c>
      <c r="E68" s="1273" t="str">
        <f>'org. Düngung 22'!E71</f>
        <v/>
      </c>
      <c r="F68" s="1255" t="str">
        <f>'DBE - N'!F70</f>
        <v/>
      </c>
      <c r="G68" s="1273" t="str">
        <f>IF(D68="","",IF('Flächen u. Kulturen'!E68="x",'Flächen u. Kulturen'!F68,""))</f>
        <v/>
      </c>
      <c r="H68" s="1460" t="str">
        <f>IF(G68="","",'#BerechnungDBE'!BS63)</f>
        <v/>
      </c>
      <c r="I68" s="1460" t="str">
        <f>IF(G68="","",'#BerechnungDBE'!BR63)</f>
        <v/>
      </c>
      <c r="J68" s="1460" t="str">
        <f>IF(G68="","",'#BerechnungDBE'!BQ63)</f>
        <v/>
      </c>
      <c r="K68" s="1460" t="str">
        <f>IF(G68="","",'#BerechnungDBE'!BU63)</f>
        <v/>
      </c>
      <c r="L68" s="1460" t="str">
        <f>IF(G68="","",'#BerechnungDBE'!BV63)</f>
        <v/>
      </c>
      <c r="M68" s="1460" t="str">
        <f>IF(G68="","",IF('#BerechnungDBE'!P63&lt;4,"",'#BerechnungDBE'!BW63))</f>
        <v/>
      </c>
      <c r="N68" s="1460" t="str">
        <f>IF(G68="","",'#BerechnungDBE'!BX63)</f>
        <v/>
      </c>
      <c r="O68" s="1460" t="str">
        <f>IF(G68="","",'#BerechnungDBE'!BY63)</f>
        <v/>
      </c>
      <c r="P68" s="1475" t="str">
        <f>IF(G68="","",'#BerechnungDBE'!BZ63)</f>
        <v/>
      </c>
      <c r="Q68" s="1041"/>
    </row>
    <row r="69" spans="1:17" s="875" customFormat="1" ht="15" customHeight="1" x14ac:dyDescent="0.2">
      <c r="A69" s="1458" t="str">
        <f>'DBE - N'!A71</f>
        <v/>
      </c>
      <c r="B69" s="1255" t="str">
        <f>'DBE - N'!B71</f>
        <v/>
      </c>
      <c r="C69" s="1255" t="str">
        <f>'DBE - N'!C71</f>
        <v/>
      </c>
      <c r="D69" s="1459" t="str">
        <f>'DBE - N'!E71</f>
        <v/>
      </c>
      <c r="E69" s="1273" t="str">
        <f>'org. Düngung 22'!E72</f>
        <v/>
      </c>
      <c r="F69" s="1255" t="str">
        <f>'DBE - N'!F71</f>
        <v/>
      </c>
      <c r="G69" s="1273" t="str">
        <f>IF(D69="","",IF('Flächen u. Kulturen'!E69="x",'Flächen u. Kulturen'!F69,""))</f>
        <v/>
      </c>
      <c r="H69" s="1460" t="str">
        <f>IF(G69="","",'#BerechnungDBE'!BS64)</f>
        <v/>
      </c>
      <c r="I69" s="1460" t="str">
        <f>IF(G69="","",'#BerechnungDBE'!BR64)</f>
        <v/>
      </c>
      <c r="J69" s="1460" t="str">
        <f>IF(G69="","",'#BerechnungDBE'!BQ64)</f>
        <v/>
      </c>
      <c r="K69" s="1460" t="str">
        <f>IF(G69="","",'#BerechnungDBE'!BU64)</f>
        <v/>
      </c>
      <c r="L69" s="1460" t="str">
        <f>IF(G69="","",'#BerechnungDBE'!BV64)</f>
        <v/>
      </c>
      <c r="M69" s="1460" t="str">
        <f>IF(G69="","",IF('#BerechnungDBE'!P64&lt;4,"",'#BerechnungDBE'!BW64))</f>
        <v/>
      </c>
      <c r="N69" s="1460" t="str">
        <f>IF(G69="","",'#BerechnungDBE'!BX64)</f>
        <v/>
      </c>
      <c r="O69" s="1460" t="str">
        <f>IF(G69="","",'#BerechnungDBE'!BY64)</f>
        <v/>
      </c>
      <c r="P69" s="1475" t="str">
        <f>IF(G69="","",'#BerechnungDBE'!BZ64)</f>
        <v/>
      </c>
      <c r="Q69" s="1041"/>
    </row>
    <row r="70" spans="1:17" s="875" customFormat="1" ht="15" customHeight="1" x14ac:dyDescent="0.2">
      <c r="A70" s="1458" t="str">
        <f>'DBE - N'!A72</f>
        <v/>
      </c>
      <c r="B70" s="1255" t="str">
        <f>'DBE - N'!B72</f>
        <v/>
      </c>
      <c r="C70" s="1255" t="str">
        <f>'DBE - N'!C72</f>
        <v/>
      </c>
      <c r="D70" s="1459" t="str">
        <f>'DBE - N'!E72</f>
        <v/>
      </c>
      <c r="E70" s="1273" t="str">
        <f>'org. Düngung 22'!E73</f>
        <v/>
      </c>
      <c r="F70" s="1255" t="str">
        <f>'DBE - N'!F72</f>
        <v/>
      </c>
      <c r="G70" s="1273" t="str">
        <f>IF(D70="","",IF('Flächen u. Kulturen'!E70="x",'Flächen u. Kulturen'!F70,""))</f>
        <v/>
      </c>
      <c r="H70" s="1460" t="str">
        <f>IF(G70="","",'#BerechnungDBE'!BS65)</f>
        <v/>
      </c>
      <c r="I70" s="1460" t="str">
        <f>IF(G70="","",'#BerechnungDBE'!BR65)</f>
        <v/>
      </c>
      <c r="J70" s="1460" t="str">
        <f>IF(G70="","",'#BerechnungDBE'!BQ65)</f>
        <v/>
      </c>
      <c r="K70" s="1460" t="str">
        <f>IF(G70="","",'#BerechnungDBE'!BU65)</f>
        <v/>
      </c>
      <c r="L70" s="1460" t="str">
        <f>IF(G70="","",'#BerechnungDBE'!BV65)</f>
        <v/>
      </c>
      <c r="M70" s="1460" t="str">
        <f>IF(G70="","",IF('#BerechnungDBE'!P65&lt;4,"",'#BerechnungDBE'!BW65))</f>
        <v/>
      </c>
      <c r="N70" s="1460" t="str">
        <f>IF(G70="","",'#BerechnungDBE'!BX65)</f>
        <v/>
      </c>
      <c r="O70" s="1460" t="str">
        <f>IF(G70="","",'#BerechnungDBE'!BY65)</f>
        <v/>
      </c>
      <c r="P70" s="1475" t="str">
        <f>IF(G70="","",'#BerechnungDBE'!BZ65)</f>
        <v/>
      </c>
      <c r="Q70" s="1041"/>
    </row>
    <row r="71" spans="1:17" s="875" customFormat="1" ht="15" customHeight="1" x14ac:dyDescent="0.2">
      <c r="A71" s="1458" t="str">
        <f>'DBE - N'!A73</f>
        <v/>
      </c>
      <c r="B71" s="1255" t="str">
        <f>'DBE - N'!B73</f>
        <v/>
      </c>
      <c r="C71" s="1255" t="str">
        <f>'DBE - N'!C73</f>
        <v/>
      </c>
      <c r="D71" s="1459" t="str">
        <f>'DBE - N'!E73</f>
        <v/>
      </c>
      <c r="E71" s="1273" t="str">
        <f>'org. Düngung 22'!E74</f>
        <v/>
      </c>
      <c r="F71" s="1255" t="str">
        <f>'DBE - N'!F73</f>
        <v/>
      </c>
      <c r="G71" s="1273" t="str">
        <f>IF(D71="","",IF('Flächen u. Kulturen'!E71="x",'Flächen u. Kulturen'!F71,""))</f>
        <v/>
      </c>
      <c r="H71" s="1460" t="str">
        <f>IF(G71="","",'#BerechnungDBE'!BS66)</f>
        <v/>
      </c>
      <c r="I71" s="1460" t="str">
        <f>IF(G71="","",'#BerechnungDBE'!BR66)</f>
        <v/>
      </c>
      <c r="J71" s="1460" t="str">
        <f>IF(G71="","",'#BerechnungDBE'!BQ66)</f>
        <v/>
      </c>
      <c r="K71" s="1460" t="str">
        <f>IF(G71="","",'#BerechnungDBE'!BU66)</f>
        <v/>
      </c>
      <c r="L71" s="1460" t="str">
        <f>IF(G71="","",'#BerechnungDBE'!BV66)</f>
        <v/>
      </c>
      <c r="M71" s="1460" t="str">
        <f>IF(G71="","",IF('#BerechnungDBE'!P66&lt;4,"",'#BerechnungDBE'!BW66))</f>
        <v/>
      </c>
      <c r="N71" s="1460" t="str">
        <f>IF(G71="","",'#BerechnungDBE'!BX66)</f>
        <v/>
      </c>
      <c r="O71" s="1460" t="str">
        <f>IF(G71="","",'#BerechnungDBE'!BY66)</f>
        <v/>
      </c>
      <c r="P71" s="1475" t="str">
        <f>IF(G71="","",'#BerechnungDBE'!BZ66)</f>
        <v/>
      </c>
      <c r="Q71" s="1041"/>
    </row>
    <row r="72" spans="1:17" s="875" customFormat="1" ht="15" customHeight="1" x14ac:dyDescent="0.2">
      <c r="A72" s="1458" t="str">
        <f>'DBE - N'!A74</f>
        <v/>
      </c>
      <c r="B72" s="1255" t="str">
        <f>'DBE - N'!B74</f>
        <v/>
      </c>
      <c r="C72" s="1255" t="str">
        <f>'DBE - N'!C74</f>
        <v/>
      </c>
      <c r="D72" s="1459" t="str">
        <f>'DBE - N'!E74</f>
        <v/>
      </c>
      <c r="E72" s="1273" t="str">
        <f>'org. Düngung 22'!E75</f>
        <v/>
      </c>
      <c r="F72" s="1255" t="str">
        <f>'DBE - N'!F74</f>
        <v/>
      </c>
      <c r="G72" s="1273" t="str">
        <f>IF(D72="","",IF('Flächen u. Kulturen'!E72="x",'Flächen u. Kulturen'!F72,""))</f>
        <v/>
      </c>
      <c r="H72" s="1460" t="str">
        <f>IF(G72="","",'#BerechnungDBE'!BS67)</f>
        <v/>
      </c>
      <c r="I72" s="1460" t="str">
        <f>IF(G72="","",'#BerechnungDBE'!BR67)</f>
        <v/>
      </c>
      <c r="J72" s="1460" t="str">
        <f>IF(G72="","",'#BerechnungDBE'!BQ67)</f>
        <v/>
      </c>
      <c r="K72" s="1460" t="str">
        <f>IF(G72="","",'#BerechnungDBE'!BU67)</f>
        <v/>
      </c>
      <c r="L72" s="1460" t="str">
        <f>IF(G72="","",'#BerechnungDBE'!BV67)</f>
        <v/>
      </c>
      <c r="M72" s="1460" t="str">
        <f>IF(G72="","",IF('#BerechnungDBE'!P67&lt;4,"",'#BerechnungDBE'!BW67))</f>
        <v/>
      </c>
      <c r="N72" s="1460" t="str">
        <f>IF(G72="","",'#BerechnungDBE'!BX67)</f>
        <v/>
      </c>
      <c r="O72" s="1460" t="str">
        <f>IF(G72="","",'#BerechnungDBE'!BY67)</f>
        <v/>
      </c>
      <c r="P72" s="1475" t="str">
        <f>IF(G72="","",'#BerechnungDBE'!BZ67)</f>
        <v/>
      </c>
      <c r="Q72" s="1041"/>
    </row>
    <row r="73" spans="1:17" s="875" customFormat="1" ht="15" customHeight="1" x14ac:dyDescent="0.2">
      <c r="A73" s="1458" t="str">
        <f>'DBE - N'!A75</f>
        <v/>
      </c>
      <c r="B73" s="1255" t="str">
        <f>'DBE - N'!B75</f>
        <v/>
      </c>
      <c r="C73" s="1255" t="str">
        <f>'DBE - N'!C75</f>
        <v/>
      </c>
      <c r="D73" s="1459" t="str">
        <f>'DBE - N'!E75</f>
        <v/>
      </c>
      <c r="E73" s="1273" t="str">
        <f>'org. Düngung 22'!E76</f>
        <v/>
      </c>
      <c r="F73" s="1255" t="str">
        <f>'DBE - N'!F75</f>
        <v/>
      </c>
      <c r="G73" s="1273" t="str">
        <f>IF(D73="","",IF('Flächen u. Kulturen'!E73="x",'Flächen u. Kulturen'!F73,""))</f>
        <v/>
      </c>
      <c r="H73" s="1460" t="str">
        <f>IF(G73="","",'#BerechnungDBE'!BS68)</f>
        <v/>
      </c>
      <c r="I73" s="1460" t="str">
        <f>IF(G73="","",'#BerechnungDBE'!BR68)</f>
        <v/>
      </c>
      <c r="J73" s="1460" t="str">
        <f>IF(G73="","",'#BerechnungDBE'!BQ68)</f>
        <v/>
      </c>
      <c r="K73" s="1460" t="str">
        <f>IF(G73="","",'#BerechnungDBE'!BU68)</f>
        <v/>
      </c>
      <c r="L73" s="1460" t="str">
        <f>IF(G73="","",'#BerechnungDBE'!BV68)</f>
        <v/>
      </c>
      <c r="M73" s="1460" t="str">
        <f>IF(G73="","",IF('#BerechnungDBE'!P68&lt;4,"",'#BerechnungDBE'!BW68))</f>
        <v/>
      </c>
      <c r="N73" s="1460" t="str">
        <f>IF(G73="","",'#BerechnungDBE'!BX68)</f>
        <v/>
      </c>
      <c r="O73" s="1460" t="str">
        <f>IF(G73="","",'#BerechnungDBE'!BY68)</f>
        <v/>
      </c>
      <c r="P73" s="1475" t="str">
        <f>IF(G73="","",'#BerechnungDBE'!BZ68)</f>
        <v/>
      </c>
      <c r="Q73" s="1041"/>
    </row>
    <row r="74" spans="1:17" s="875" customFormat="1" ht="15" customHeight="1" x14ac:dyDescent="0.2">
      <c r="A74" s="1458" t="str">
        <f>'DBE - N'!A76</f>
        <v/>
      </c>
      <c r="B74" s="1255" t="str">
        <f>'DBE - N'!B76</f>
        <v/>
      </c>
      <c r="C74" s="1255" t="str">
        <f>'DBE - N'!C76</f>
        <v/>
      </c>
      <c r="D74" s="1459" t="str">
        <f>'DBE - N'!E76</f>
        <v/>
      </c>
      <c r="E74" s="1273" t="str">
        <f>'org. Düngung 22'!E77</f>
        <v/>
      </c>
      <c r="F74" s="1255" t="str">
        <f>'DBE - N'!F76</f>
        <v/>
      </c>
      <c r="G74" s="1273" t="str">
        <f>IF(D74="","",IF('Flächen u. Kulturen'!E74="x",'Flächen u. Kulturen'!F74,""))</f>
        <v/>
      </c>
      <c r="H74" s="1460" t="str">
        <f>IF(G74="","",'#BerechnungDBE'!BS69)</f>
        <v/>
      </c>
      <c r="I74" s="1460" t="str">
        <f>IF(G74="","",'#BerechnungDBE'!BR69)</f>
        <v/>
      </c>
      <c r="J74" s="1460" t="str">
        <f>IF(G74="","",'#BerechnungDBE'!BQ69)</f>
        <v/>
      </c>
      <c r="K74" s="1460" t="str">
        <f>IF(G74="","",'#BerechnungDBE'!BU69)</f>
        <v/>
      </c>
      <c r="L74" s="1460" t="str">
        <f>IF(G74="","",'#BerechnungDBE'!BV69)</f>
        <v/>
      </c>
      <c r="M74" s="1460" t="str">
        <f>IF(G74="","",IF('#BerechnungDBE'!P69&lt;4,"",'#BerechnungDBE'!BW69))</f>
        <v/>
      </c>
      <c r="N74" s="1460" t="str">
        <f>IF(G74="","",'#BerechnungDBE'!BX69)</f>
        <v/>
      </c>
      <c r="O74" s="1460" t="str">
        <f>IF(G74="","",'#BerechnungDBE'!BY69)</f>
        <v/>
      </c>
      <c r="P74" s="1475" t="str">
        <f>IF(G74="","",'#BerechnungDBE'!BZ69)</f>
        <v/>
      </c>
      <c r="Q74" s="1041"/>
    </row>
    <row r="75" spans="1:17" s="875" customFormat="1" ht="15" customHeight="1" x14ac:dyDescent="0.2">
      <c r="A75" s="1458" t="str">
        <f>'DBE - N'!A77</f>
        <v/>
      </c>
      <c r="B75" s="1255" t="str">
        <f>'DBE - N'!B77</f>
        <v/>
      </c>
      <c r="C75" s="1255" t="str">
        <f>'DBE - N'!C77</f>
        <v/>
      </c>
      <c r="D75" s="1459" t="str">
        <f>'DBE - N'!E77</f>
        <v/>
      </c>
      <c r="E75" s="1273" t="str">
        <f>'org. Düngung 22'!E78</f>
        <v/>
      </c>
      <c r="F75" s="1255" t="str">
        <f>'DBE - N'!F77</f>
        <v/>
      </c>
      <c r="G75" s="1273" t="str">
        <f>IF(D75="","",IF('Flächen u. Kulturen'!E75="x",'Flächen u. Kulturen'!F75,""))</f>
        <v/>
      </c>
      <c r="H75" s="1460" t="str">
        <f>IF(G75="","",'#BerechnungDBE'!BS70)</f>
        <v/>
      </c>
      <c r="I75" s="1460" t="str">
        <f>IF(G75="","",'#BerechnungDBE'!BR70)</f>
        <v/>
      </c>
      <c r="J75" s="1460" t="str">
        <f>IF(G75="","",'#BerechnungDBE'!BQ70)</f>
        <v/>
      </c>
      <c r="K75" s="1460" t="str">
        <f>IF(G75="","",'#BerechnungDBE'!BU70)</f>
        <v/>
      </c>
      <c r="L75" s="1460" t="str">
        <f>IF(G75="","",'#BerechnungDBE'!BV70)</f>
        <v/>
      </c>
      <c r="M75" s="1460" t="str">
        <f>IF(G75="","",IF('#BerechnungDBE'!P70&lt;4,"",'#BerechnungDBE'!BW70))</f>
        <v/>
      </c>
      <c r="N75" s="1460" t="str">
        <f>IF(G75="","",'#BerechnungDBE'!BX70)</f>
        <v/>
      </c>
      <c r="O75" s="1460" t="str">
        <f>IF(G75="","",'#BerechnungDBE'!BY70)</f>
        <v/>
      </c>
      <c r="P75" s="1475" t="str">
        <f>IF(G75="","",'#BerechnungDBE'!BZ70)</f>
        <v/>
      </c>
      <c r="Q75" s="1041"/>
    </row>
    <row r="76" spans="1:17" s="875" customFormat="1" ht="15" customHeight="1" x14ac:dyDescent="0.2">
      <c r="A76" s="1458" t="str">
        <f>'DBE - N'!A78</f>
        <v/>
      </c>
      <c r="B76" s="1255" t="str">
        <f>'DBE - N'!B78</f>
        <v/>
      </c>
      <c r="C76" s="1255" t="str">
        <f>'DBE - N'!C78</f>
        <v/>
      </c>
      <c r="D76" s="1459" t="str">
        <f>'DBE - N'!E78</f>
        <v/>
      </c>
      <c r="E76" s="1273" t="str">
        <f>'org. Düngung 22'!E79</f>
        <v/>
      </c>
      <c r="F76" s="1255" t="str">
        <f>'DBE - N'!F78</f>
        <v/>
      </c>
      <c r="G76" s="1273" t="str">
        <f>IF(D76="","",IF('Flächen u. Kulturen'!E76="x",'Flächen u. Kulturen'!F76,""))</f>
        <v/>
      </c>
      <c r="H76" s="1460" t="str">
        <f>IF(G76="","",'#BerechnungDBE'!BS71)</f>
        <v/>
      </c>
      <c r="I76" s="1460" t="str">
        <f>IF(G76="","",'#BerechnungDBE'!BR71)</f>
        <v/>
      </c>
      <c r="J76" s="1460" t="str">
        <f>IF(G76="","",'#BerechnungDBE'!BQ71)</f>
        <v/>
      </c>
      <c r="K76" s="1460" t="str">
        <f>IF(G76="","",'#BerechnungDBE'!BU71)</f>
        <v/>
      </c>
      <c r="L76" s="1460" t="str">
        <f>IF(G76="","",'#BerechnungDBE'!BV71)</f>
        <v/>
      </c>
      <c r="M76" s="1460" t="str">
        <f>IF(G76="","",IF('#BerechnungDBE'!P71&lt;4,"",'#BerechnungDBE'!BW71))</f>
        <v/>
      </c>
      <c r="N76" s="1460" t="str">
        <f>IF(G76="","",'#BerechnungDBE'!BX71)</f>
        <v/>
      </c>
      <c r="O76" s="1460" t="str">
        <f>IF(G76="","",'#BerechnungDBE'!BY71)</f>
        <v/>
      </c>
      <c r="P76" s="1475" t="str">
        <f>IF(G76="","",'#BerechnungDBE'!BZ71)</f>
        <v/>
      </c>
      <c r="Q76" s="1041"/>
    </row>
    <row r="77" spans="1:17" s="875" customFormat="1" ht="15" customHeight="1" x14ac:dyDescent="0.2">
      <c r="A77" s="1458" t="str">
        <f>'DBE - N'!A79</f>
        <v/>
      </c>
      <c r="B77" s="1255" t="str">
        <f>'DBE - N'!B79</f>
        <v/>
      </c>
      <c r="C77" s="1255" t="str">
        <f>'DBE - N'!C79</f>
        <v/>
      </c>
      <c r="D77" s="1459" t="str">
        <f>'DBE - N'!E79</f>
        <v/>
      </c>
      <c r="E77" s="1273" t="str">
        <f>'org. Düngung 22'!E80</f>
        <v/>
      </c>
      <c r="F77" s="1255" t="str">
        <f>'DBE - N'!F79</f>
        <v/>
      </c>
      <c r="G77" s="1273" t="str">
        <f>IF(D77="","",IF('Flächen u. Kulturen'!E77="x",'Flächen u. Kulturen'!F77,""))</f>
        <v/>
      </c>
      <c r="H77" s="1460" t="str">
        <f>IF(G77="","",'#BerechnungDBE'!BS72)</f>
        <v/>
      </c>
      <c r="I77" s="1460" t="str">
        <f>IF(G77="","",'#BerechnungDBE'!BR72)</f>
        <v/>
      </c>
      <c r="J77" s="1460" t="str">
        <f>IF(G77="","",'#BerechnungDBE'!BQ72)</f>
        <v/>
      </c>
      <c r="K77" s="1460" t="str">
        <f>IF(G77="","",'#BerechnungDBE'!BU72)</f>
        <v/>
      </c>
      <c r="L77" s="1460" t="str">
        <f>IF(G77="","",'#BerechnungDBE'!BV72)</f>
        <v/>
      </c>
      <c r="M77" s="1460" t="str">
        <f>IF(G77="","",IF('#BerechnungDBE'!P72&lt;4,"",'#BerechnungDBE'!BW72))</f>
        <v/>
      </c>
      <c r="N77" s="1460" t="str">
        <f>IF(G77="","",'#BerechnungDBE'!BX72)</f>
        <v/>
      </c>
      <c r="O77" s="1460" t="str">
        <f>IF(G77="","",'#BerechnungDBE'!BY72)</f>
        <v/>
      </c>
      <c r="P77" s="1475" t="str">
        <f>IF(G77="","",'#BerechnungDBE'!BZ72)</f>
        <v/>
      </c>
      <c r="Q77" s="1041"/>
    </row>
    <row r="78" spans="1:17" s="875" customFormat="1" ht="15" customHeight="1" x14ac:dyDescent="0.2">
      <c r="A78" s="1458" t="str">
        <f>'DBE - N'!A80</f>
        <v/>
      </c>
      <c r="B78" s="1255" t="str">
        <f>'DBE - N'!B80</f>
        <v/>
      </c>
      <c r="C78" s="1255" t="str">
        <f>'DBE - N'!C80</f>
        <v/>
      </c>
      <c r="D78" s="1459" t="str">
        <f>'DBE - N'!E80</f>
        <v/>
      </c>
      <c r="E78" s="1273" t="str">
        <f>'org. Düngung 22'!E81</f>
        <v/>
      </c>
      <c r="F78" s="1255" t="str">
        <f>'DBE - N'!F80</f>
        <v/>
      </c>
      <c r="G78" s="1273" t="str">
        <f>IF(D78="","",IF('Flächen u. Kulturen'!E78="x",'Flächen u. Kulturen'!F78,""))</f>
        <v/>
      </c>
      <c r="H78" s="1460" t="str">
        <f>IF(G78="","",'#BerechnungDBE'!BS73)</f>
        <v/>
      </c>
      <c r="I78" s="1460" t="str">
        <f>IF(G78="","",'#BerechnungDBE'!BR73)</f>
        <v/>
      </c>
      <c r="J78" s="1460" t="str">
        <f>IF(G78="","",'#BerechnungDBE'!BQ73)</f>
        <v/>
      </c>
      <c r="K78" s="1460" t="str">
        <f>IF(G78="","",'#BerechnungDBE'!BU73)</f>
        <v/>
      </c>
      <c r="L78" s="1460" t="str">
        <f>IF(G78="","",'#BerechnungDBE'!BV73)</f>
        <v/>
      </c>
      <c r="M78" s="1460" t="str">
        <f>IF(G78="","",IF('#BerechnungDBE'!P73&lt;4,"",'#BerechnungDBE'!BW73))</f>
        <v/>
      </c>
      <c r="N78" s="1460" t="str">
        <f>IF(G78="","",'#BerechnungDBE'!BX73)</f>
        <v/>
      </c>
      <c r="O78" s="1460" t="str">
        <f>IF(G78="","",'#BerechnungDBE'!BY73)</f>
        <v/>
      </c>
      <c r="P78" s="1475" t="str">
        <f>IF(G78="","",'#BerechnungDBE'!BZ73)</f>
        <v/>
      </c>
      <c r="Q78" s="1041"/>
    </row>
    <row r="79" spans="1:17" s="875" customFormat="1" ht="15" customHeight="1" x14ac:dyDescent="0.2">
      <c r="A79" s="1458" t="str">
        <f>'DBE - N'!A81</f>
        <v/>
      </c>
      <c r="B79" s="1255" t="str">
        <f>'DBE - N'!B81</f>
        <v/>
      </c>
      <c r="C79" s="1255" t="str">
        <f>'DBE - N'!C81</f>
        <v/>
      </c>
      <c r="D79" s="1459" t="str">
        <f>'DBE - N'!E81</f>
        <v/>
      </c>
      <c r="E79" s="1273" t="str">
        <f>'org. Düngung 22'!E82</f>
        <v/>
      </c>
      <c r="F79" s="1255" t="str">
        <f>'DBE - N'!F81</f>
        <v/>
      </c>
      <c r="G79" s="1273" t="str">
        <f>IF(D79="","",IF('Flächen u. Kulturen'!E79="x",'Flächen u. Kulturen'!F79,""))</f>
        <v/>
      </c>
      <c r="H79" s="1460" t="str">
        <f>IF(G79="","",'#BerechnungDBE'!BS74)</f>
        <v/>
      </c>
      <c r="I79" s="1460" t="str">
        <f>IF(G79="","",'#BerechnungDBE'!BR74)</f>
        <v/>
      </c>
      <c r="J79" s="1460" t="str">
        <f>IF(G79="","",'#BerechnungDBE'!BQ74)</f>
        <v/>
      </c>
      <c r="K79" s="1460" t="str">
        <f>IF(G79="","",'#BerechnungDBE'!BU74)</f>
        <v/>
      </c>
      <c r="L79" s="1460" t="str">
        <f>IF(G79="","",'#BerechnungDBE'!BV74)</f>
        <v/>
      </c>
      <c r="M79" s="1460" t="str">
        <f>IF(G79="","",IF('#BerechnungDBE'!P74&lt;4,"",'#BerechnungDBE'!BW74))</f>
        <v/>
      </c>
      <c r="N79" s="1460" t="str">
        <f>IF(G79="","",'#BerechnungDBE'!BX74)</f>
        <v/>
      </c>
      <c r="O79" s="1460" t="str">
        <f>IF(G79="","",'#BerechnungDBE'!BY74)</f>
        <v/>
      </c>
      <c r="P79" s="1475" t="str">
        <f>IF(G79="","",'#BerechnungDBE'!BZ74)</f>
        <v/>
      </c>
      <c r="Q79" s="1041"/>
    </row>
    <row r="80" spans="1:17" s="875" customFormat="1" ht="15" customHeight="1" x14ac:dyDescent="0.2">
      <c r="A80" s="1458" t="str">
        <f>'DBE - N'!A82</f>
        <v/>
      </c>
      <c r="B80" s="1255" t="str">
        <f>'DBE - N'!B82</f>
        <v/>
      </c>
      <c r="C80" s="1255" t="str">
        <f>'DBE - N'!C82</f>
        <v/>
      </c>
      <c r="D80" s="1459" t="str">
        <f>'DBE - N'!E82</f>
        <v/>
      </c>
      <c r="E80" s="1273" t="str">
        <f>'org. Düngung 22'!E83</f>
        <v/>
      </c>
      <c r="F80" s="1255" t="str">
        <f>'DBE - N'!F82</f>
        <v/>
      </c>
      <c r="G80" s="1273" t="str">
        <f>IF(D80="","",IF('Flächen u. Kulturen'!E80="x",'Flächen u. Kulturen'!F80,""))</f>
        <v/>
      </c>
      <c r="H80" s="1460" t="str">
        <f>IF(G80="","",'#BerechnungDBE'!BS75)</f>
        <v/>
      </c>
      <c r="I80" s="1460" t="str">
        <f>IF(G80="","",'#BerechnungDBE'!BR75)</f>
        <v/>
      </c>
      <c r="J80" s="1460" t="str">
        <f>IF(G80="","",'#BerechnungDBE'!BQ75)</f>
        <v/>
      </c>
      <c r="K80" s="1460" t="str">
        <f>IF(G80="","",'#BerechnungDBE'!BU75)</f>
        <v/>
      </c>
      <c r="L80" s="1460" t="str">
        <f>IF(G80="","",'#BerechnungDBE'!BV75)</f>
        <v/>
      </c>
      <c r="M80" s="1460" t="str">
        <f>IF(G80="","",IF('#BerechnungDBE'!P75&lt;4,"",'#BerechnungDBE'!BW75))</f>
        <v/>
      </c>
      <c r="N80" s="1460" t="str">
        <f>IF(G80="","",'#BerechnungDBE'!BX75)</f>
        <v/>
      </c>
      <c r="O80" s="1460" t="str">
        <f>IF(G80="","",'#BerechnungDBE'!BY75)</f>
        <v/>
      </c>
      <c r="P80" s="1475" t="str">
        <f>IF(G80="","",'#BerechnungDBE'!BZ75)</f>
        <v/>
      </c>
      <c r="Q80" s="1041"/>
    </row>
    <row r="81" spans="1:17" s="875" customFormat="1" ht="15" customHeight="1" x14ac:dyDescent="0.2">
      <c r="A81" s="1458" t="str">
        <f>'DBE - N'!A83</f>
        <v/>
      </c>
      <c r="B81" s="1255" t="str">
        <f>'DBE - N'!B83</f>
        <v/>
      </c>
      <c r="C81" s="1255" t="str">
        <f>'DBE - N'!C83</f>
        <v/>
      </c>
      <c r="D81" s="1459" t="str">
        <f>'DBE - N'!E83</f>
        <v/>
      </c>
      <c r="E81" s="1273" t="str">
        <f>'org. Düngung 22'!E84</f>
        <v/>
      </c>
      <c r="F81" s="1255" t="str">
        <f>'DBE - N'!F83</f>
        <v/>
      </c>
      <c r="G81" s="1273" t="str">
        <f>IF(D81="","",IF('Flächen u. Kulturen'!E81="x",'Flächen u. Kulturen'!F81,""))</f>
        <v/>
      </c>
      <c r="H81" s="1460" t="str">
        <f>IF(G81="","",'#BerechnungDBE'!BS76)</f>
        <v/>
      </c>
      <c r="I81" s="1460" t="str">
        <f>IF(G81="","",'#BerechnungDBE'!BR76)</f>
        <v/>
      </c>
      <c r="J81" s="1460" t="str">
        <f>IF(G81="","",'#BerechnungDBE'!BQ76)</f>
        <v/>
      </c>
      <c r="K81" s="1460" t="str">
        <f>IF(G81="","",'#BerechnungDBE'!BU76)</f>
        <v/>
      </c>
      <c r="L81" s="1460" t="str">
        <f>IF(G81="","",'#BerechnungDBE'!BV76)</f>
        <v/>
      </c>
      <c r="M81" s="1460" t="str">
        <f>IF(G81="","",IF('#BerechnungDBE'!P76&lt;4,"",'#BerechnungDBE'!BW76))</f>
        <v/>
      </c>
      <c r="N81" s="1460" t="str">
        <f>IF(G81="","",'#BerechnungDBE'!BX76)</f>
        <v/>
      </c>
      <c r="O81" s="1460" t="str">
        <f>IF(G81="","",'#BerechnungDBE'!BY76)</f>
        <v/>
      </c>
      <c r="P81" s="1475" t="str">
        <f>IF(G81="","",'#BerechnungDBE'!BZ76)</f>
        <v/>
      </c>
      <c r="Q81" s="1041"/>
    </row>
    <row r="82" spans="1:17" s="875" customFormat="1" ht="15" customHeight="1" x14ac:dyDescent="0.2">
      <c r="A82" s="1458" t="str">
        <f>'DBE - N'!A84</f>
        <v/>
      </c>
      <c r="B82" s="1255" t="str">
        <f>'DBE - N'!B84</f>
        <v/>
      </c>
      <c r="C82" s="1255" t="str">
        <f>'DBE - N'!C84</f>
        <v/>
      </c>
      <c r="D82" s="1459" t="str">
        <f>'DBE - N'!E84</f>
        <v/>
      </c>
      <c r="E82" s="1273" t="str">
        <f>'org. Düngung 22'!E85</f>
        <v/>
      </c>
      <c r="F82" s="1255" t="str">
        <f>'DBE - N'!F84</f>
        <v/>
      </c>
      <c r="G82" s="1273" t="str">
        <f>IF(D82="","",IF('Flächen u. Kulturen'!E82="x",'Flächen u. Kulturen'!F82,""))</f>
        <v/>
      </c>
      <c r="H82" s="1460" t="str">
        <f>IF(G82="","",'#BerechnungDBE'!BS77)</f>
        <v/>
      </c>
      <c r="I82" s="1460" t="str">
        <f>IF(G82="","",'#BerechnungDBE'!BR77)</f>
        <v/>
      </c>
      <c r="J82" s="1460" t="str">
        <f>IF(G82="","",'#BerechnungDBE'!BQ77)</f>
        <v/>
      </c>
      <c r="K82" s="1460" t="str">
        <f>IF(G82="","",'#BerechnungDBE'!BU77)</f>
        <v/>
      </c>
      <c r="L82" s="1460" t="str">
        <f>IF(G82="","",'#BerechnungDBE'!BV77)</f>
        <v/>
      </c>
      <c r="M82" s="1460" t="str">
        <f>IF(G82="","",IF('#BerechnungDBE'!P77&lt;4,"",'#BerechnungDBE'!BW77))</f>
        <v/>
      </c>
      <c r="N82" s="1460" t="str">
        <f>IF(G82="","",'#BerechnungDBE'!BX77)</f>
        <v/>
      </c>
      <c r="O82" s="1460" t="str">
        <f>IF(G82="","",'#BerechnungDBE'!BY77)</f>
        <v/>
      </c>
      <c r="P82" s="1475" t="str">
        <f>IF(G82="","",'#BerechnungDBE'!BZ77)</f>
        <v/>
      </c>
      <c r="Q82" s="1041"/>
    </row>
    <row r="83" spans="1:17" s="875" customFormat="1" ht="15" customHeight="1" x14ac:dyDescent="0.2">
      <c r="A83" s="1458" t="str">
        <f>'DBE - N'!A85</f>
        <v/>
      </c>
      <c r="B83" s="1255" t="str">
        <f>'DBE - N'!B85</f>
        <v/>
      </c>
      <c r="C83" s="1255" t="str">
        <f>'DBE - N'!C85</f>
        <v/>
      </c>
      <c r="D83" s="1459" t="str">
        <f>'DBE - N'!E85</f>
        <v/>
      </c>
      <c r="E83" s="1273" t="str">
        <f>'org. Düngung 22'!E86</f>
        <v/>
      </c>
      <c r="F83" s="1255" t="str">
        <f>'DBE - N'!F85</f>
        <v/>
      </c>
      <c r="G83" s="1273" t="str">
        <f>IF(D83="","",IF('Flächen u. Kulturen'!E83="x",'Flächen u. Kulturen'!F83,""))</f>
        <v/>
      </c>
      <c r="H83" s="1460" t="str">
        <f>IF(G83="","",'#BerechnungDBE'!BS78)</f>
        <v/>
      </c>
      <c r="I83" s="1460" t="str">
        <f>IF(G83="","",'#BerechnungDBE'!BR78)</f>
        <v/>
      </c>
      <c r="J83" s="1460" t="str">
        <f>IF(G83="","",'#BerechnungDBE'!BQ78)</f>
        <v/>
      </c>
      <c r="K83" s="1460" t="str">
        <f>IF(G83="","",'#BerechnungDBE'!BU78)</f>
        <v/>
      </c>
      <c r="L83" s="1460" t="str">
        <f>IF(G83="","",'#BerechnungDBE'!BV78)</f>
        <v/>
      </c>
      <c r="M83" s="1460" t="str">
        <f>IF(G83="","",IF('#BerechnungDBE'!P78&lt;4,"",'#BerechnungDBE'!BW78))</f>
        <v/>
      </c>
      <c r="N83" s="1460" t="str">
        <f>IF(G83="","",'#BerechnungDBE'!BX78)</f>
        <v/>
      </c>
      <c r="O83" s="1460" t="str">
        <f>IF(G83="","",'#BerechnungDBE'!BY78)</f>
        <v/>
      </c>
      <c r="P83" s="1475" t="str">
        <f>IF(G83="","",'#BerechnungDBE'!BZ78)</f>
        <v/>
      </c>
      <c r="Q83" s="1041"/>
    </row>
    <row r="84" spans="1:17" s="875" customFormat="1" ht="15" customHeight="1" x14ac:dyDescent="0.2">
      <c r="A84" s="1458" t="str">
        <f>'DBE - N'!A86</f>
        <v/>
      </c>
      <c r="B84" s="1255" t="str">
        <f>'DBE - N'!B86</f>
        <v/>
      </c>
      <c r="C84" s="1255" t="str">
        <f>'DBE - N'!C86</f>
        <v/>
      </c>
      <c r="D84" s="1459" t="str">
        <f>'DBE - N'!E86</f>
        <v/>
      </c>
      <c r="E84" s="1273" t="str">
        <f>'org. Düngung 22'!E87</f>
        <v/>
      </c>
      <c r="F84" s="1255" t="str">
        <f>'DBE - N'!F86</f>
        <v/>
      </c>
      <c r="G84" s="1273" t="str">
        <f>IF(D84="","",IF('Flächen u. Kulturen'!E84="x",'Flächen u. Kulturen'!F84,""))</f>
        <v/>
      </c>
      <c r="H84" s="1460" t="str">
        <f>IF(G84="","",'#BerechnungDBE'!BS79)</f>
        <v/>
      </c>
      <c r="I84" s="1460" t="str">
        <f>IF(G84="","",'#BerechnungDBE'!BR79)</f>
        <v/>
      </c>
      <c r="J84" s="1460" t="str">
        <f>IF(G84="","",'#BerechnungDBE'!BQ79)</f>
        <v/>
      </c>
      <c r="K84" s="1460" t="str">
        <f>IF(G84="","",'#BerechnungDBE'!BU79)</f>
        <v/>
      </c>
      <c r="L84" s="1460" t="str">
        <f>IF(G84="","",'#BerechnungDBE'!BV79)</f>
        <v/>
      </c>
      <c r="M84" s="1460" t="str">
        <f>IF(G84="","",IF('#BerechnungDBE'!P79&lt;4,"",'#BerechnungDBE'!BW79))</f>
        <v/>
      </c>
      <c r="N84" s="1460" t="str">
        <f>IF(G84="","",'#BerechnungDBE'!BX79)</f>
        <v/>
      </c>
      <c r="O84" s="1460" t="str">
        <f>IF(G84="","",'#BerechnungDBE'!BY79)</f>
        <v/>
      </c>
      <c r="P84" s="1475" t="str">
        <f>IF(G84="","",'#BerechnungDBE'!BZ79)</f>
        <v/>
      </c>
      <c r="Q84" s="1041"/>
    </row>
    <row r="85" spans="1:17" s="875" customFormat="1" ht="15" customHeight="1" x14ac:dyDescent="0.2">
      <c r="A85" s="1458" t="str">
        <f>'DBE - N'!A87</f>
        <v/>
      </c>
      <c r="B85" s="1255" t="str">
        <f>'DBE - N'!B87</f>
        <v/>
      </c>
      <c r="C85" s="1255" t="str">
        <f>'DBE - N'!C87</f>
        <v/>
      </c>
      <c r="D85" s="1459" t="str">
        <f>'DBE - N'!E87</f>
        <v/>
      </c>
      <c r="E85" s="1273" t="str">
        <f>'org. Düngung 22'!E88</f>
        <v/>
      </c>
      <c r="F85" s="1255" t="str">
        <f>'DBE - N'!F87</f>
        <v/>
      </c>
      <c r="G85" s="1273" t="str">
        <f>IF(D85="","",IF('Flächen u. Kulturen'!E85="x",'Flächen u. Kulturen'!F85,""))</f>
        <v/>
      </c>
      <c r="H85" s="1460" t="str">
        <f>IF(G85="","",'#BerechnungDBE'!BS80)</f>
        <v/>
      </c>
      <c r="I85" s="1460" t="str">
        <f>IF(G85="","",'#BerechnungDBE'!BR80)</f>
        <v/>
      </c>
      <c r="J85" s="1460" t="str">
        <f>IF(G85="","",'#BerechnungDBE'!BQ80)</f>
        <v/>
      </c>
      <c r="K85" s="1460" t="str">
        <f>IF(G85="","",'#BerechnungDBE'!BU80)</f>
        <v/>
      </c>
      <c r="L85" s="1460" t="str">
        <f>IF(G85="","",'#BerechnungDBE'!BV80)</f>
        <v/>
      </c>
      <c r="M85" s="1460" t="str">
        <f>IF(G85="","",IF('#BerechnungDBE'!P80&lt;4,"",'#BerechnungDBE'!BW80))</f>
        <v/>
      </c>
      <c r="N85" s="1460" t="str">
        <f>IF(G85="","",'#BerechnungDBE'!BX80)</f>
        <v/>
      </c>
      <c r="O85" s="1460" t="str">
        <f>IF(G85="","",'#BerechnungDBE'!BY80)</f>
        <v/>
      </c>
      <c r="P85" s="1475" t="str">
        <f>IF(G85="","",'#BerechnungDBE'!BZ80)</f>
        <v/>
      </c>
      <c r="Q85" s="1041"/>
    </row>
    <row r="86" spans="1:17" s="875" customFormat="1" ht="15" customHeight="1" x14ac:dyDescent="0.2">
      <c r="A86" s="1458" t="str">
        <f>'DBE - N'!A88</f>
        <v/>
      </c>
      <c r="B86" s="1255" t="str">
        <f>'DBE - N'!B88</f>
        <v/>
      </c>
      <c r="C86" s="1255" t="str">
        <f>'DBE - N'!C88</f>
        <v/>
      </c>
      <c r="D86" s="1459" t="str">
        <f>'DBE - N'!E88</f>
        <v/>
      </c>
      <c r="E86" s="1273" t="str">
        <f>'org. Düngung 22'!E89</f>
        <v/>
      </c>
      <c r="F86" s="1255" t="str">
        <f>'DBE - N'!F88</f>
        <v/>
      </c>
      <c r="G86" s="1273" t="str">
        <f>IF(D86="","",IF('Flächen u. Kulturen'!E86="x",'Flächen u. Kulturen'!F86,""))</f>
        <v/>
      </c>
      <c r="H86" s="1460" t="str">
        <f>IF(G86="","",'#BerechnungDBE'!BS81)</f>
        <v/>
      </c>
      <c r="I86" s="1460" t="str">
        <f>IF(G86="","",'#BerechnungDBE'!BR81)</f>
        <v/>
      </c>
      <c r="J86" s="1460" t="str">
        <f>IF(G86="","",'#BerechnungDBE'!BQ81)</f>
        <v/>
      </c>
      <c r="K86" s="1460" t="str">
        <f>IF(G86="","",'#BerechnungDBE'!BU81)</f>
        <v/>
      </c>
      <c r="L86" s="1460" t="str">
        <f>IF(G86="","",'#BerechnungDBE'!BV81)</f>
        <v/>
      </c>
      <c r="M86" s="1460" t="str">
        <f>IF(G86="","",IF('#BerechnungDBE'!P81&lt;4,"",'#BerechnungDBE'!BW81))</f>
        <v/>
      </c>
      <c r="N86" s="1460" t="str">
        <f>IF(G86="","",'#BerechnungDBE'!BX81)</f>
        <v/>
      </c>
      <c r="O86" s="1460" t="str">
        <f>IF(G86="","",'#BerechnungDBE'!BY81)</f>
        <v/>
      </c>
      <c r="P86" s="1475" t="str">
        <f>IF(G86="","",'#BerechnungDBE'!BZ81)</f>
        <v/>
      </c>
      <c r="Q86" s="1041"/>
    </row>
    <row r="87" spans="1:17" s="875" customFormat="1" ht="15" customHeight="1" x14ac:dyDescent="0.2">
      <c r="A87" s="1458" t="str">
        <f>'DBE - N'!A89</f>
        <v/>
      </c>
      <c r="B87" s="1255" t="str">
        <f>'DBE - N'!B89</f>
        <v/>
      </c>
      <c r="C87" s="1255" t="str">
        <f>'DBE - N'!C89</f>
        <v/>
      </c>
      <c r="D87" s="1459" t="str">
        <f>'DBE - N'!E89</f>
        <v/>
      </c>
      <c r="E87" s="1273" t="str">
        <f>'org. Düngung 22'!E90</f>
        <v/>
      </c>
      <c r="F87" s="1255" t="str">
        <f>'DBE - N'!F89</f>
        <v/>
      </c>
      <c r="G87" s="1273" t="str">
        <f>IF(D87="","",IF('Flächen u. Kulturen'!E87="x",'Flächen u. Kulturen'!F87,""))</f>
        <v/>
      </c>
      <c r="H87" s="1460" t="str">
        <f>IF(G87="","",'#BerechnungDBE'!BS82)</f>
        <v/>
      </c>
      <c r="I87" s="1460" t="str">
        <f>IF(G87="","",'#BerechnungDBE'!BR82)</f>
        <v/>
      </c>
      <c r="J87" s="1460" t="str">
        <f>IF(G87="","",'#BerechnungDBE'!BQ82)</f>
        <v/>
      </c>
      <c r="K87" s="1460" t="str">
        <f>IF(G87="","",'#BerechnungDBE'!BU82)</f>
        <v/>
      </c>
      <c r="L87" s="1460" t="str">
        <f>IF(G87="","",'#BerechnungDBE'!BV82)</f>
        <v/>
      </c>
      <c r="M87" s="1460" t="str">
        <f>IF(G87="","",IF('#BerechnungDBE'!P82&lt;4,"",'#BerechnungDBE'!BW82))</f>
        <v/>
      </c>
      <c r="N87" s="1460" t="str">
        <f>IF(G87="","",'#BerechnungDBE'!BX82)</f>
        <v/>
      </c>
      <c r="O87" s="1460" t="str">
        <f>IF(G87="","",'#BerechnungDBE'!BY82)</f>
        <v/>
      </c>
      <c r="P87" s="1475" t="str">
        <f>IF(G87="","",'#BerechnungDBE'!BZ82)</f>
        <v/>
      </c>
      <c r="Q87" s="1041"/>
    </row>
    <row r="88" spans="1:17" s="875" customFormat="1" ht="15" customHeight="1" x14ac:dyDescent="0.2">
      <c r="A88" s="1458" t="str">
        <f>'DBE - N'!A90</f>
        <v/>
      </c>
      <c r="B88" s="1255" t="str">
        <f>'DBE - N'!B90</f>
        <v/>
      </c>
      <c r="C88" s="1255" t="str">
        <f>'DBE - N'!C90</f>
        <v/>
      </c>
      <c r="D88" s="1459" t="str">
        <f>'DBE - N'!E90</f>
        <v/>
      </c>
      <c r="E88" s="1273" t="str">
        <f>'org. Düngung 22'!E91</f>
        <v/>
      </c>
      <c r="F88" s="1255" t="str">
        <f>'DBE - N'!F90</f>
        <v/>
      </c>
      <c r="G88" s="1273" t="str">
        <f>IF(D88="","",IF('Flächen u. Kulturen'!E88="x",'Flächen u. Kulturen'!F88,""))</f>
        <v/>
      </c>
      <c r="H88" s="1460" t="str">
        <f>IF(G88="","",'#BerechnungDBE'!BS83)</f>
        <v/>
      </c>
      <c r="I88" s="1460" t="str">
        <f>IF(G88="","",'#BerechnungDBE'!BR83)</f>
        <v/>
      </c>
      <c r="J88" s="1460" t="str">
        <f>IF(G88="","",'#BerechnungDBE'!BQ83)</f>
        <v/>
      </c>
      <c r="K88" s="1460" t="str">
        <f>IF(G88="","",'#BerechnungDBE'!BU83)</f>
        <v/>
      </c>
      <c r="L88" s="1460" t="str">
        <f>IF(G88="","",'#BerechnungDBE'!BV83)</f>
        <v/>
      </c>
      <c r="M88" s="1460" t="str">
        <f>IF(G88="","",IF('#BerechnungDBE'!P83&lt;4,"",'#BerechnungDBE'!BW83))</f>
        <v/>
      </c>
      <c r="N88" s="1460" t="str">
        <f>IF(G88="","",'#BerechnungDBE'!BX83)</f>
        <v/>
      </c>
      <c r="O88" s="1460" t="str">
        <f>IF(G88="","",'#BerechnungDBE'!BY83)</f>
        <v/>
      </c>
      <c r="P88" s="1475" t="str">
        <f>IF(G88="","",'#BerechnungDBE'!BZ83)</f>
        <v/>
      </c>
      <c r="Q88" s="1041"/>
    </row>
    <row r="89" spans="1:17" s="875" customFormat="1" ht="15" customHeight="1" x14ac:dyDescent="0.2">
      <c r="A89" s="1458" t="str">
        <f>'DBE - N'!A91</f>
        <v/>
      </c>
      <c r="B89" s="1255" t="str">
        <f>'DBE - N'!B91</f>
        <v/>
      </c>
      <c r="C89" s="1255" t="str">
        <f>'DBE - N'!C91</f>
        <v/>
      </c>
      <c r="D89" s="1459" t="str">
        <f>'DBE - N'!E91</f>
        <v/>
      </c>
      <c r="E89" s="1273" t="str">
        <f>'org. Düngung 22'!E92</f>
        <v/>
      </c>
      <c r="F89" s="1255" t="str">
        <f>'DBE - N'!F91</f>
        <v/>
      </c>
      <c r="G89" s="1273" t="str">
        <f>IF(D89="","",IF('Flächen u. Kulturen'!E89="x",'Flächen u. Kulturen'!F89,""))</f>
        <v/>
      </c>
      <c r="H89" s="1460" t="str">
        <f>IF(G89="","",'#BerechnungDBE'!BS84)</f>
        <v/>
      </c>
      <c r="I89" s="1460" t="str">
        <f>IF(G89="","",'#BerechnungDBE'!BR84)</f>
        <v/>
      </c>
      <c r="J89" s="1460" t="str">
        <f>IF(G89="","",'#BerechnungDBE'!BQ84)</f>
        <v/>
      </c>
      <c r="K89" s="1460" t="str">
        <f>IF(G89="","",'#BerechnungDBE'!BU84)</f>
        <v/>
      </c>
      <c r="L89" s="1460" t="str">
        <f>IF(G89="","",'#BerechnungDBE'!BV84)</f>
        <v/>
      </c>
      <c r="M89" s="1460" t="str">
        <f>IF(G89="","",IF('#BerechnungDBE'!P84&lt;4,"",'#BerechnungDBE'!BW84))</f>
        <v/>
      </c>
      <c r="N89" s="1460" t="str">
        <f>IF(G89="","",'#BerechnungDBE'!BX84)</f>
        <v/>
      </c>
      <c r="O89" s="1460" t="str">
        <f>IF(G89="","",'#BerechnungDBE'!BY84)</f>
        <v/>
      </c>
      <c r="P89" s="1475" t="str">
        <f>IF(G89="","",'#BerechnungDBE'!BZ84)</f>
        <v/>
      </c>
      <c r="Q89" s="1041"/>
    </row>
    <row r="90" spans="1:17" s="875" customFormat="1" ht="15" customHeight="1" x14ac:dyDescent="0.2">
      <c r="A90" s="1458" t="str">
        <f>'DBE - N'!A92</f>
        <v/>
      </c>
      <c r="B90" s="1255" t="str">
        <f>'DBE - N'!B92</f>
        <v/>
      </c>
      <c r="C90" s="1255" t="str">
        <f>'DBE - N'!C92</f>
        <v/>
      </c>
      <c r="D90" s="1459" t="str">
        <f>'DBE - N'!E92</f>
        <v/>
      </c>
      <c r="E90" s="1273" t="str">
        <f>'org. Düngung 22'!E93</f>
        <v/>
      </c>
      <c r="F90" s="1255" t="str">
        <f>'DBE - N'!F92</f>
        <v/>
      </c>
      <c r="G90" s="1273" t="str">
        <f>IF(D90="","",IF('Flächen u. Kulturen'!E90="x",'Flächen u. Kulturen'!F90,""))</f>
        <v/>
      </c>
      <c r="H90" s="1460" t="str">
        <f>IF(G90="","",'#BerechnungDBE'!BS85)</f>
        <v/>
      </c>
      <c r="I90" s="1460" t="str">
        <f>IF(G90="","",'#BerechnungDBE'!BR85)</f>
        <v/>
      </c>
      <c r="J90" s="1460" t="str">
        <f>IF(G90="","",'#BerechnungDBE'!BQ85)</f>
        <v/>
      </c>
      <c r="K90" s="1460" t="str">
        <f>IF(G90="","",'#BerechnungDBE'!BU85)</f>
        <v/>
      </c>
      <c r="L90" s="1460" t="str">
        <f>IF(G90="","",'#BerechnungDBE'!BV85)</f>
        <v/>
      </c>
      <c r="M90" s="1460" t="str">
        <f>IF(G90="","",IF('#BerechnungDBE'!P85&lt;4,"",'#BerechnungDBE'!BW85))</f>
        <v/>
      </c>
      <c r="N90" s="1460" t="str">
        <f>IF(G90="","",'#BerechnungDBE'!BX85)</f>
        <v/>
      </c>
      <c r="O90" s="1460" t="str">
        <f>IF(G90="","",'#BerechnungDBE'!BY85)</f>
        <v/>
      </c>
      <c r="P90" s="1475" t="str">
        <f>IF(G90="","",'#BerechnungDBE'!BZ85)</f>
        <v/>
      </c>
      <c r="Q90" s="1041"/>
    </row>
    <row r="91" spans="1:17" s="875" customFormat="1" ht="15" customHeight="1" x14ac:dyDescent="0.2">
      <c r="A91" s="1458" t="str">
        <f>'DBE - N'!A93</f>
        <v/>
      </c>
      <c r="B91" s="1255" t="str">
        <f>'DBE - N'!B93</f>
        <v/>
      </c>
      <c r="C91" s="1255" t="str">
        <f>'DBE - N'!C93</f>
        <v/>
      </c>
      <c r="D91" s="1459" t="str">
        <f>'DBE - N'!E93</f>
        <v/>
      </c>
      <c r="E91" s="1273" t="str">
        <f>'org. Düngung 22'!E94</f>
        <v/>
      </c>
      <c r="F91" s="1255" t="str">
        <f>'DBE - N'!F93</f>
        <v/>
      </c>
      <c r="G91" s="1273" t="str">
        <f>IF(D91="","",IF('Flächen u. Kulturen'!E91="x",'Flächen u. Kulturen'!F91,""))</f>
        <v/>
      </c>
      <c r="H91" s="1460" t="str">
        <f>IF(G91="","",'#BerechnungDBE'!BS86)</f>
        <v/>
      </c>
      <c r="I91" s="1460" t="str">
        <f>IF(G91="","",'#BerechnungDBE'!BR86)</f>
        <v/>
      </c>
      <c r="J91" s="1460" t="str">
        <f>IF(G91="","",'#BerechnungDBE'!BQ86)</f>
        <v/>
      </c>
      <c r="K91" s="1460" t="str">
        <f>IF(G91="","",'#BerechnungDBE'!BU86)</f>
        <v/>
      </c>
      <c r="L91" s="1460" t="str">
        <f>IF(G91="","",'#BerechnungDBE'!BV86)</f>
        <v/>
      </c>
      <c r="M91" s="1460" t="str">
        <f>IF(G91="","",IF('#BerechnungDBE'!P86&lt;4,"",'#BerechnungDBE'!BW86))</f>
        <v/>
      </c>
      <c r="N91" s="1460" t="str">
        <f>IF(G91="","",'#BerechnungDBE'!BX86)</f>
        <v/>
      </c>
      <c r="O91" s="1460" t="str">
        <f>IF(G91="","",'#BerechnungDBE'!BY86)</f>
        <v/>
      </c>
      <c r="P91" s="1475" t="str">
        <f>IF(G91="","",'#BerechnungDBE'!BZ86)</f>
        <v/>
      </c>
      <c r="Q91" s="1041"/>
    </row>
    <row r="92" spans="1:17" s="875" customFormat="1" ht="15" customHeight="1" x14ac:dyDescent="0.2">
      <c r="A92" s="1458" t="str">
        <f>'DBE - N'!A94</f>
        <v/>
      </c>
      <c r="B92" s="1255" t="str">
        <f>'DBE - N'!B94</f>
        <v/>
      </c>
      <c r="C92" s="1255" t="str">
        <f>'DBE - N'!C94</f>
        <v/>
      </c>
      <c r="D92" s="1459" t="str">
        <f>'DBE - N'!E94</f>
        <v/>
      </c>
      <c r="E92" s="1273" t="str">
        <f>'org. Düngung 22'!E95</f>
        <v/>
      </c>
      <c r="F92" s="1255" t="str">
        <f>'DBE - N'!F94</f>
        <v/>
      </c>
      <c r="G92" s="1273" t="str">
        <f>IF(D92="","",IF('Flächen u. Kulturen'!E92="x",'Flächen u. Kulturen'!F92,""))</f>
        <v/>
      </c>
      <c r="H92" s="1460" t="str">
        <f>IF(G92="","",'#BerechnungDBE'!BS87)</f>
        <v/>
      </c>
      <c r="I92" s="1460" t="str">
        <f>IF(G92="","",'#BerechnungDBE'!BR87)</f>
        <v/>
      </c>
      <c r="J92" s="1460" t="str">
        <f>IF(G92="","",'#BerechnungDBE'!BQ87)</f>
        <v/>
      </c>
      <c r="K92" s="1460" t="str">
        <f>IF(G92="","",'#BerechnungDBE'!BU87)</f>
        <v/>
      </c>
      <c r="L92" s="1460" t="str">
        <f>IF(G92="","",'#BerechnungDBE'!BV87)</f>
        <v/>
      </c>
      <c r="M92" s="1460" t="str">
        <f>IF(G92="","",IF('#BerechnungDBE'!P87&lt;4,"",'#BerechnungDBE'!BW87))</f>
        <v/>
      </c>
      <c r="N92" s="1460" t="str">
        <f>IF(G92="","",'#BerechnungDBE'!BX87)</f>
        <v/>
      </c>
      <c r="O92" s="1460" t="str">
        <f>IF(G92="","",'#BerechnungDBE'!BY87)</f>
        <v/>
      </c>
      <c r="P92" s="1475" t="str">
        <f>IF(G92="","",'#BerechnungDBE'!BZ87)</f>
        <v/>
      </c>
      <c r="Q92" s="1041"/>
    </row>
    <row r="93" spans="1:17" s="875" customFormat="1" ht="15" customHeight="1" x14ac:dyDescent="0.2">
      <c r="A93" s="1458" t="str">
        <f>'DBE - N'!A95</f>
        <v/>
      </c>
      <c r="B93" s="1255" t="str">
        <f>'DBE - N'!B95</f>
        <v/>
      </c>
      <c r="C93" s="1255" t="str">
        <f>'DBE - N'!C95</f>
        <v/>
      </c>
      <c r="D93" s="1459" t="str">
        <f>'DBE - N'!E95</f>
        <v/>
      </c>
      <c r="E93" s="1273" t="str">
        <f>'org. Düngung 22'!E96</f>
        <v/>
      </c>
      <c r="F93" s="1255" t="str">
        <f>'DBE - N'!F95</f>
        <v/>
      </c>
      <c r="G93" s="1273" t="str">
        <f>IF(D93="","",IF('Flächen u. Kulturen'!E93="x",'Flächen u. Kulturen'!F93,""))</f>
        <v/>
      </c>
      <c r="H93" s="1460" t="str">
        <f>IF(G93="","",'#BerechnungDBE'!BS88)</f>
        <v/>
      </c>
      <c r="I93" s="1460" t="str">
        <f>IF(G93="","",'#BerechnungDBE'!BR88)</f>
        <v/>
      </c>
      <c r="J93" s="1460" t="str">
        <f>IF(G93="","",'#BerechnungDBE'!BQ88)</f>
        <v/>
      </c>
      <c r="K93" s="1460" t="str">
        <f>IF(G93="","",'#BerechnungDBE'!BU88)</f>
        <v/>
      </c>
      <c r="L93" s="1460" t="str">
        <f>IF(G93="","",'#BerechnungDBE'!BV88)</f>
        <v/>
      </c>
      <c r="M93" s="1460" t="str">
        <f>IF(G93="","",IF('#BerechnungDBE'!P88&lt;4,"",'#BerechnungDBE'!BW88))</f>
        <v/>
      </c>
      <c r="N93" s="1460" t="str">
        <f>IF(G93="","",'#BerechnungDBE'!BX88)</f>
        <v/>
      </c>
      <c r="O93" s="1460" t="str">
        <f>IF(G93="","",'#BerechnungDBE'!BY88)</f>
        <v/>
      </c>
      <c r="P93" s="1475" t="str">
        <f>IF(G93="","",'#BerechnungDBE'!BZ88)</f>
        <v/>
      </c>
      <c r="Q93" s="1041"/>
    </row>
    <row r="94" spans="1:17" s="875" customFormat="1" ht="15" customHeight="1" x14ac:dyDescent="0.2">
      <c r="A94" s="1458" t="str">
        <f>'DBE - N'!A96</f>
        <v/>
      </c>
      <c r="B94" s="1255" t="str">
        <f>'DBE - N'!B96</f>
        <v/>
      </c>
      <c r="C94" s="1255" t="str">
        <f>'DBE - N'!C96</f>
        <v/>
      </c>
      <c r="D94" s="1459" t="str">
        <f>'DBE - N'!E96</f>
        <v/>
      </c>
      <c r="E94" s="1273" t="str">
        <f>'org. Düngung 22'!E97</f>
        <v/>
      </c>
      <c r="F94" s="1255" t="str">
        <f>'DBE - N'!F96</f>
        <v/>
      </c>
      <c r="G94" s="1273" t="str">
        <f>IF(D94="","",IF('Flächen u. Kulturen'!E94="x",'Flächen u. Kulturen'!F94,""))</f>
        <v/>
      </c>
      <c r="H94" s="1460" t="str">
        <f>IF(G94="","",'#BerechnungDBE'!BS89)</f>
        <v/>
      </c>
      <c r="I94" s="1460" t="str">
        <f>IF(G94="","",'#BerechnungDBE'!BR89)</f>
        <v/>
      </c>
      <c r="J94" s="1460" t="str">
        <f>IF(G94="","",'#BerechnungDBE'!BQ89)</f>
        <v/>
      </c>
      <c r="K94" s="1460" t="str">
        <f>IF(G94="","",'#BerechnungDBE'!BU89)</f>
        <v/>
      </c>
      <c r="L94" s="1460" t="str">
        <f>IF(G94="","",'#BerechnungDBE'!BV89)</f>
        <v/>
      </c>
      <c r="M94" s="1460" t="str">
        <f>IF(G94="","",IF('#BerechnungDBE'!P89&lt;4,"",'#BerechnungDBE'!BW89))</f>
        <v/>
      </c>
      <c r="N94" s="1460" t="str">
        <f>IF(G94="","",'#BerechnungDBE'!BX89)</f>
        <v/>
      </c>
      <c r="O94" s="1460" t="str">
        <f>IF(G94="","",'#BerechnungDBE'!BY89)</f>
        <v/>
      </c>
      <c r="P94" s="1475" t="str">
        <f>IF(G94="","",'#BerechnungDBE'!BZ89)</f>
        <v/>
      </c>
      <c r="Q94" s="1041"/>
    </row>
    <row r="95" spans="1:17" s="875" customFormat="1" ht="15" customHeight="1" x14ac:dyDescent="0.2">
      <c r="A95" s="1458" t="str">
        <f>'DBE - N'!A97</f>
        <v/>
      </c>
      <c r="B95" s="1255" t="str">
        <f>'DBE - N'!B97</f>
        <v/>
      </c>
      <c r="C95" s="1255" t="str">
        <f>'DBE - N'!C97</f>
        <v/>
      </c>
      <c r="D95" s="1459" t="str">
        <f>'DBE - N'!E97</f>
        <v/>
      </c>
      <c r="E95" s="1273" t="str">
        <f>'org. Düngung 22'!E98</f>
        <v/>
      </c>
      <c r="F95" s="1255" t="str">
        <f>'DBE - N'!F97</f>
        <v/>
      </c>
      <c r="G95" s="1273" t="str">
        <f>IF(D95="","",IF('Flächen u. Kulturen'!E95="x",'Flächen u. Kulturen'!F95,""))</f>
        <v/>
      </c>
      <c r="H95" s="1460" t="str">
        <f>IF(G95="","",'#BerechnungDBE'!BS90)</f>
        <v/>
      </c>
      <c r="I95" s="1460" t="str">
        <f>IF(G95="","",'#BerechnungDBE'!BR90)</f>
        <v/>
      </c>
      <c r="J95" s="1460" t="str">
        <f>IF(G95="","",'#BerechnungDBE'!BQ90)</f>
        <v/>
      </c>
      <c r="K95" s="1460" t="str">
        <f>IF(G95="","",'#BerechnungDBE'!BU90)</f>
        <v/>
      </c>
      <c r="L95" s="1460" t="str">
        <f>IF(G95="","",'#BerechnungDBE'!BV90)</f>
        <v/>
      </c>
      <c r="M95" s="1460" t="str">
        <f>IF(G95="","",IF('#BerechnungDBE'!P90&lt;4,"",'#BerechnungDBE'!BW90))</f>
        <v/>
      </c>
      <c r="N95" s="1460" t="str">
        <f>IF(G95="","",'#BerechnungDBE'!BX90)</f>
        <v/>
      </c>
      <c r="O95" s="1460" t="str">
        <f>IF(G95="","",'#BerechnungDBE'!BY90)</f>
        <v/>
      </c>
      <c r="P95" s="1475" t="str">
        <f>IF(G95="","",'#BerechnungDBE'!BZ90)</f>
        <v/>
      </c>
      <c r="Q95" s="1041"/>
    </row>
    <row r="96" spans="1:17" s="875" customFormat="1" ht="15" customHeight="1" x14ac:dyDescent="0.2">
      <c r="A96" s="1458" t="str">
        <f>'DBE - N'!A98</f>
        <v/>
      </c>
      <c r="B96" s="1255" t="str">
        <f>'DBE - N'!B98</f>
        <v/>
      </c>
      <c r="C96" s="1255" t="str">
        <f>'DBE - N'!C98</f>
        <v/>
      </c>
      <c r="D96" s="1459" t="str">
        <f>'DBE - N'!E98</f>
        <v/>
      </c>
      <c r="E96" s="1273" t="str">
        <f>'org. Düngung 22'!E99</f>
        <v/>
      </c>
      <c r="F96" s="1255" t="str">
        <f>'DBE - N'!F98</f>
        <v/>
      </c>
      <c r="G96" s="1273" t="str">
        <f>IF(D96="","",IF('Flächen u. Kulturen'!E96="x",'Flächen u. Kulturen'!F96,""))</f>
        <v/>
      </c>
      <c r="H96" s="1460" t="str">
        <f>IF(G96="","",'#BerechnungDBE'!BS91)</f>
        <v/>
      </c>
      <c r="I96" s="1460" t="str">
        <f>IF(G96="","",'#BerechnungDBE'!BR91)</f>
        <v/>
      </c>
      <c r="J96" s="1460" t="str">
        <f>IF(G96="","",'#BerechnungDBE'!BQ91)</f>
        <v/>
      </c>
      <c r="K96" s="1460" t="str">
        <f>IF(G96="","",'#BerechnungDBE'!BU91)</f>
        <v/>
      </c>
      <c r="L96" s="1460" t="str">
        <f>IF(G96="","",'#BerechnungDBE'!BV91)</f>
        <v/>
      </c>
      <c r="M96" s="1460" t="str">
        <f>IF(G96="","",IF('#BerechnungDBE'!P91&lt;4,"",'#BerechnungDBE'!BW91))</f>
        <v/>
      </c>
      <c r="N96" s="1460" t="str">
        <f>IF(G96="","",'#BerechnungDBE'!BX91)</f>
        <v/>
      </c>
      <c r="O96" s="1460" t="str">
        <f>IF(G96="","",'#BerechnungDBE'!BY91)</f>
        <v/>
      </c>
      <c r="P96" s="1475" t="str">
        <f>IF(G96="","",'#BerechnungDBE'!BZ91)</f>
        <v/>
      </c>
      <c r="Q96" s="1041"/>
    </row>
    <row r="97" spans="1:17" s="875" customFormat="1" ht="15" customHeight="1" x14ac:dyDescent="0.2">
      <c r="A97" s="1458" t="str">
        <f>'DBE - N'!A99</f>
        <v/>
      </c>
      <c r="B97" s="1255" t="str">
        <f>'DBE - N'!B99</f>
        <v/>
      </c>
      <c r="C97" s="1255" t="str">
        <f>'DBE - N'!C99</f>
        <v/>
      </c>
      <c r="D97" s="1459" t="str">
        <f>'DBE - N'!E99</f>
        <v/>
      </c>
      <c r="E97" s="1273" t="str">
        <f>'org. Düngung 22'!E100</f>
        <v/>
      </c>
      <c r="F97" s="1255" t="str">
        <f>'DBE - N'!F99</f>
        <v/>
      </c>
      <c r="G97" s="1273" t="str">
        <f>IF(D97="","",IF('Flächen u. Kulturen'!E97="x",'Flächen u. Kulturen'!F97,""))</f>
        <v/>
      </c>
      <c r="H97" s="1460" t="str">
        <f>IF(G97="","",'#BerechnungDBE'!BS92)</f>
        <v/>
      </c>
      <c r="I97" s="1460" t="str">
        <f>IF(G97="","",'#BerechnungDBE'!BR92)</f>
        <v/>
      </c>
      <c r="J97" s="1460" t="str">
        <f>IF(G97="","",'#BerechnungDBE'!BQ92)</f>
        <v/>
      </c>
      <c r="K97" s="1460" t="str">
        <f>IF(G97="","",'#BerechnungDBE'!BU92)</f>
        <v/>
      </c>
      <c r="L97" s="1460" t="str">
        <f>IF(G97="","",'#BerechnungDBE'!BV92)</f>
        <v/>
      </c>
      <c r="M97" s="1460" t="str">
        <f>IF(G97="","",IF('#BerechnungDBE'!P92&lt;4,"",'#BerechnungDBE'!BW92))</f>
        <v/>
      </c>
      <c r="N97" s="1460" t="str">
        <f>IF(G97="","",'#BerechnungDBE'!BX92)</f>
        <v/>
      </c>
      <c r="O97" s="1460" t="str">
        <f>IF(G97="","",'#BerechnungDBE'!BY92)</f>
        <v/>
      </c>
      <c r="P97" s="1475" t="str">
        <f>IF(G97="","",'#BerechnungDBE'!BZ92)</f>
        <v/>
      </c>
      <c r="Q97" s="1041"/>
    </row>
    <row r="98" spans="1:17" s="875" customFormat="1" ht="15" customHeight="1" x14ac:dyDescent="0.2">
      <c r="A98" s="1458" t="str">
        <f>'DBE - N'!A100</f>
        <v/>
      </c>
      <c r="B98" s="1255" t="str">
        <f>'DBE - N'!B100</f>
        <v/>
      </c>
      <c r="C98" s="1255" t="str">
        <f>'DBE - N'!C100</f>
        <v/>
      </c>
      <c r="D98" s="1459" t="str">
        <f>'DBE - N'!E100</f>
        <v/>
      </c>
      <c r="E98" s="1273" t="str">
        <f>'org. Düngung 22'!E101</f>
        <v/>
      </c>
      <c r="F98" s="1255" t="str">
        <f>'DBE - N'!F100</f>
        <v/>
      </c>
      <c r="G98" s="1273" t="str">
        <f>IF(D98="","",IF('Flächen u. Kulturen'!E98="x",'Flächen u. Kulturen'!F98,""))</f>
        <v/>
      </c>
      <c r="H98" s="1460" t="str">
        <f>IF(G98="","",'#BerechnungDBE'!BS93)</f>
        <v/>
      </c>
      <c r="I98" s="1460" t="str">
        <f>IF(G98="","",'#BerechnungDBE'!BR93)</f>
        <v/>
      </c>
      <c r="J98" s="1460" t="str">
        <f>IF(G98="","",'#BerechnungDBE'!BQ93)</f>
        <v/>
      </c>
      <c r="K98" s="1460" t="str">
        <f>IF(G98="","",'#BerechnungDBE'!BU93)</f>
        <v/>
      </c>
      <c r="L98" s="1460" t="str">
        <f>IF(G98="","",'#BerechnungDBE'!BV93)</f>
        <v/>
      </c>
      <c r="M98" s="1460" t="str">
        <f>IF(G98="","",IF('#BerechnungDBE'!P93&lt;4,"",'#BerechnungDBE'!BW93))</f>
        <v/>
      </c>
      <c r="N98" s="1460" t="str">
        <f>IF(G98="","",'#BerechnungDBE'!BX93)</f>
        <v/>
      </c>
      <c r="O98" s="1460" t="str">
        <f>IF(G98="","",'#BerechnungDBE'!BY93)</f>
        <v/>
      </c>
      <c r="P98" s="1475" t="str">
        <f>IF(G98="","",'#BerechnungDBE'!BZ93)</f>
        <v/>
      </c>
      <c r="Q98" s="1041"/>
    </row>
    <row r="99" spans="1:17" s="875" customFormat="1" ht="15" customHeight="1" x14ac:dyDescent="0.2">
      <c r="A99" s="1458" t="str">
        <f>'DBE - N'!A101</f>
        <v/>
      </c>
      <c r="B99" s="1255" t="str">
        <f>'DBE - N'!B101</f>
        <v/>
      </c>
      <c r="C99" s="1255" t="str">
        <f>'DBE - N'!C101</f>
        <v/>
      </c>
      <c r="D99" s="1459" t="str">
        <f>'DBE - N'!E101</f>
        <v/>
      </c>
      <c r="E99" s="1273" t="str">
        <f>'org. Düngung 22'!E102</f>
        <v/>
      </c>
      <c r="F99" s="1255" t="str">
        <f>'DBE - N'!F101</f>
        <v/>
      </c>
      <c r="G99" s="1273" t="str">
        <f>IF(D99="","",IF('Flächen u. Kulturen'!E99="x",'Flächen u. Kulturen'!F99,""))</f>
        <v/>
      </c>
      <c r="H99" s="1460" t="str">
        <f>IF(G99="","",'#BerechnungDBE'!BS94)</f>
        <v/>
      </c>
      <c r="I99" s="1460" t="str">
        <f>IF(G99="","",'#BerechnungDBE'!BR94)</f>
        <v/>
      </c>
      <c r="J99" s="1460" t="str">
        <f>IF(G99="","",'#BerechnungDBE'!BQ94)</f>
        <v/>
      </c>
      <c r="K99" s="1460" t="str">
        <f>IF(G99="","",'#BerechnungDBE'!BU94)</f>
        <v/>
      </c>
      <c r="L99" s="1460" t="str">
        <f>IF(G99="","",'#BerechnungDBE'!BV94)</f>
        <v/>
      </c>
      <c r="M99" s="1460" t="str">
        <f>IF(G99="","",IF('#BerechnungDBE'!P94&lt;4,"",'#BerechnungDBE'!BW94))</f>
        <v/>
      </c>
      <c r="N99" s="1460" t="str">
        <f>IF(G99="","",'#BerechnungDBE'!BX94)</f>
        <v/>
      </c>
      <c r="O99" s="1460" t="str">
        <f>IF(G99="","",'#BerechnungDBE'!BY94)</f>
        <v/>
      </c>
      <c r="P99" s="1475" t="str">
        <f>IF(G99="","",'#BerechnungDBE'!BZ94)</f>
        <v/>
      </c>
      <c r="Q99" s="1041"/>
    </row>
    <row r="100" spans="1:17" s="875" customFormat="1" ht="15" customHeight="1" x14ac:dyDescent="0.2">
      <c r="A100" s="1458" t="str">
        <f>'DBE - N'!A102</f>
        <v/>
      </c>
      <c r="B100" s="1255" t="str">
        <f>'DBE - N'!B102</f>
        <v/>
      </c>
      <c r="C100" s="1255" t="str">
        <f>'DBE - N'!C102</f>
        <v/>
      </c>
      <c r="D100" s="1459" t="str">
        <f>'DBE - N'!E102</f>
        <v/>
      </c>
      <c r="E100" s="1273" t="str">
        <f>'org. Düngung 22'!E103</f>
        <v/>
      </c>
      <c r="F100" s="1255" t="str">
        <f>'DBE - N'!F102</f>
        <v/>
      </c>
      <c r="G100" s="1273" t="str">
        <f>IF(D100="","",IF('Flächen u. Kulturen'!E100="x",'Flächen u. Kulturen'!F100,""))</f>
        <v/>
      </c>
      <c r="H100" s="1460" t="str">
        <f>IF(G100="","",'#BerechnungDBE'!BS95)</f>
        <v/>
      </c>
      <c r="I100" s="1460" t="str">
        <f>IF(G100="","",'#BerechnungDBE'!BR95)</f>
        <v/>
      </c>
      <c r="J100" s="1460" t="str">
        <f>IF(G100="","",'#BerechnungDBE'!BQ95)</f>
        <v/>
      </c>
      <c r="K100" s="1460" t="str">
        <f>IF(G100="","",'#BerechnungDBE'!BU95)</f>
        <v/>
      </c>
      <c r="L100" s="1460" t="str">
        <f>IF(G100="","",'#BerechnungDBE'!BV95)</f>
        <v/>
      </c>
      <c r="M100" s="1460" t="str">
        <f>IF(G100="","",IF('#BerechnungDBE'!P95&lt;4,"",'#BerechnungDBE'!BW95))</f>
        <v/>
      </c>
      <c r="N100" s="1460" t="str">
        <f>IF(G100="","",'#BerechnungDBE'!BX95)</f>
        <v/>
      </c>
      <c r="O100" s="1460" t="str">
        <f>IF(G100="","",'#BerechnungDBE'!BY95)</f>
        <v/>
      </c>
      <c r="P100" s="1475" t="str">
        <f>IF(G100="","",'#BerechnungDBE'!BZ95)</f>
        <v/>
      </c>
      <c r="Q100" s="1041"/>
    </row>
    <row r="101" spans="1:17" s="875" customFormat="1" ht="15" customHeight="1" x14ac:dyDescent="0.2">
      <c r="A101" s="1458" t="str">
        <f>'DBE - N'!A103</f>
        <v/>
      </c>
      <c r="B101" s="1255" t="str">
        <f>'DBE - N'!B103</f>
        <v/>
      </c>
      <c r="C101" s="1255" t="str">
        <f>'DBE - N'!C103</f>
        <v/>
      </c>
      <c r="D101" s="1459" t="str">
        <f>'DBE - N'!E103</f>
        <v/>
      </c>
      <c r="E101" s="1273" t="str">
        <f>'org. Düngung 22'!E104</f>
        <v/>
      </c>
      <c r="F101" s="1255" t="str">
        <f>'DBE - N'!F103</f>
        <v/>
      </c>
      <c r="G101" s="1273" t="str">
        <f>IF(D101="","",IF('Flächen u. Kulturen'!E101="x",'Flächen u. Kulturen'!F101,""))</f>
        <v/>
      </c>
      <c r="H101" s="1460" t="str">
        <f>IF(G101="","",'#BerechnungDBE'!BS96)</f>
        <v/>
      </c>
      <c r="I101" s="1460" t="str">
        <f>IF(G101="","",'#BerechnungDBE'!BR96)</f>
        <v/>
      </c>
      <c r="J101" s="1460" t="str">
        <f>IF(G101="","",'#BerechnungDBE'!BQ96)</f>
        <v/>
      </c>
      <c r="K101" s="1460" t="str">
        <f>IF(G101="","",'#BerechnungDBE'!BU96)</f>
        <v/>
      </c>
      <c r="L101" s="1460" t="str">
        <f>IF(G101="","",'#BerechnungDBE'!BV96)</f>
        <v/>
      </c>
      <c r="M101" s="1460" t="str">
        <f>IF(G101="","",IF('#BerechnungDBE'!P96&lt;4,"",'#BerechnungDBE'!BW96))</f>
        <v/>
      </c>
      <c r="N101" s="1460" t="str">
        <f>IF(G101="","",'#BerechnungDBE'!BX96)</f>
        <v/>
      </c>
      <c r="O101" s="1460" t="str">
        <f>IF(G101="","",'#BerechnungDBE'!BY96)</f>
        <v/>
      </c>
      <c r="P101" s="1475" t="str">
        <f>IF(G101="","",'#BerechnungDBE'!BZ96)</f>
        <v/>
      </c>
      <c r="Q101" s="1041"/>
    </row>
    <row r="102" spans="1:17" s="875" customFormat="1" ht="15" customHeight="1" x14ac:dyDescent="0.2">
      <c r="A102" s="1458" t="str">
        <f>'DBE - N'!A104</f>
        <v/>
      </c>
      <c r="B102" s="1255" t="str">
        <f>'DBE - N'!B104</f>
        <v/>
      </c>
      <c r="C102" s="1255" t="str">
        <f>'DBE - N'!C104</f>
        <v/>
      </c>
      <c r="D102" s="1459" t="str">
        <f>'DBE - N'!E104</f>
        <v/>
      </c>
      <c r="E102" s="1273" t="str">
        <f>'org. Düngung 22'!E105</f>
        <v/>
      </c>
      <c r="F102" s="1255" t="str">
        <f>'DBE - N'!F104</f>
        <v/>
      </c>
      <c r="G102" s="1273" t="str">
        <f>IF(D102="","",IF('Flächen u. Kulturen'!E102="x",'Flächen u. Kulturen'!F102,""))</f>
        <v/>
      </c>
      <c r="H102" s="1460" t="str">
        <f>IF(G102="","",'#BerechnungDBE'!BS97)</f>
        <v/>
      </c>
      <c r="I102" s="1460" t="str">
        <f>IF(G102="","",'#BerechnungDBE'!BR97)</f>
        <v/>
      </c>
      <c r="J102" s="1460" t="str">
        <f>IF(G102="","",'#BerechnungDBE'!BQ97)</f>
        <v/>
      </c>
      <c r="K102" s="1460" t="str">
        <f>IF(G102="","",'#BerechnungDBE'!BU97)</f>
        <v/>
      </c>
      <c r="L102" s="1460" t="str">
        <f>IF(G102="","",'#BerechnungDBE'!BV97)</f>
        <v/>
      </c>
      <c r="M102" s="1460" t="str">
        <f>IF(G102="","",IF('#BerechnungDBE'!P97&lt;4,"",'#BerechnungDBE'!BW97))</f>
        <v/>
      </c>
      <c r="N102" s="1460" t="str">
        <f>IF(G102="","",'#BerechnungDBE'!BX97)</f>
        <v/>
      </c>
      <c r="O102" s="1460" t="str">
        <f>IF(G102="","",'#BerechnungDBE'!BY97)</f>
        <v/>
      </c>
      <c r="P102" s="1475" t="str">
        <f>IF(G102="","",'#BerechnungDBE'!BZ97)</f>
        <v/>
      </c>
      <c r="Q102" s="1041"/>
    </row>
    <row r="103" spans="1:17" s="875" customFormat="1" ht="15" customHeight="1" x14ac:dyDescent="0.2">
      <c r="A103" s="1458" t="str">
        <f>'DBE - N'!A105</f>
        <v/>
      </c>
      <c r="B103" s="1255" t="str">
        <f>'DBE - N'!B105</f>
        <v/>
      </c>
      <c r="C103" s="1255" t="str">
        <f>'DBE - N'!C105</f>
        <v/>
      </c>
      <c r="D103" s="1459" t="str">
        <f>'DBE - N'!E105</f>
        <v/>
      </c>
      <c r="E103" s="1273" t="str">
        <f>'org. Düngung 22'!E106</f>
        <v/>
      </c>
      <c r="F103" s="1255" t="str">
        <f>'DBE - N'!F105</f>
        <v/>
      </c>
      <c r="G103" s="1273" t="str">
        <f>IF(D103="","",IF('Flächen u. Kulturen'!E103="x",'Flächen u. Kulturen'!F103,""))</f>
        <v/>
      </c>
      <c r="H103" s="1460" t="str">
        <f>IF(G103="","",'#BerechnungDBE'!BS98)</f>
        <v/>
      </c>
      <c r="I103" s="1460" t="str">
        <f>IF(G103="","",'#BerechnungDBE'!BR98)</f>
        <v/>
      </c>
      <c r="J103" s="1460" t="str">
        <f>IF(G103="","",'#BerechnungDBE'!BQ98)</f>
        <v/>
      </c>
      <c r="K103" s="1460" t="str">
        <f>IF(G103="","",'#BerechnungDBE'!BU98)</f>
        <v/>
      </c>
      <c r="L103" s="1460" t="str">
        <f>IF(G103="","",'#BerechnungDBE'!BV98)</f>
        <v/>
      </c>
      <c r="M103" s="1460" t="str">
        <f>IF(G103="","",IF('#BerechnungDBE'!P98&lt;4,"",'#BerechnungDBE'!BW98))</f>
        <v/>
      </c>
      <c r="N103" s="1460" t="str">
        <f>IF(G103="","",'#BerechnungDBE'!BX98)</f>
        <v/>
      </c>
      <c r="O103" s="1460" t="str">
        <f>IF(G103="","",'#BerechnungDBE'!BY98)</f>
        <v/>
      </c>
      <c r="P103" s="1475" t="str">
        <f>IF(G103="","",'#BerechnungDBE'!BZ98)</f>
        <v/>
      </c>
      <c r="Q103" s="1041"/>
    </row>
    <row r="104" spans="1:17" s="875" customFormat="1" ht="15" customHeight="1" x14ac:dyDescent="0.2">
      <c r="A104" s="1458" t="str">
        <f>'DBE - N'!A106</f>
        <v/>
      </c>
      <c r="B104" s="1255" t="str">
        <f>'DBE - N'!B106</f>
        <v/>
      </c>
      <c r="C104" s="1255" t="str">
        <f>'DBE - N'!C106</f>
        <v/>
      </c>
      <c r="D104" s="1459" t="str">
        <f>'DBE - N'!E106</f>
        <v/>
      </c>
      <c r="E104" s="1273" t="str">
        <f>'org. Düngung 22'!E107</f>
        <v/>
      </c>
      <c r="F104" s="1255" t="str">
        <f>'DBE - N'!F106</f>
        <v/>
      </c>
      <c r="G104" s="1273" t="str">
        <f>IF(D104="","",IF('Flächen u. Kulturen'!E104="x",'Flächen u. Kulturen'!F104,""))</f>
        <v/>
      </c>
      <c r="H104" s="1460" t="str">
        <f>IF(G104="","",'#BerechnungDBE'!BS99)</f>
        <v/>
      </c>
      <c r="I104" s="1460" t="str">
        <f>IF(G104="","",'#BerechnungDBE'!BR99)</f>
        <v/>
      </c>
      <c r="J104" s="1460" t="str">
        <f>IF(G104="","",'#BerechnungDBE'!BQ99)</f>
        <v/>
      </c>
      <c r="K104" s="1460" t="str">
        <f>IF(G104="","",'#BerechnungDBE'!BU99)</f>
        <v/>
      </c>
      <c r="L104" s="1460" t="str">
        <f>IF(G104="","",'#BerechnungDBE'!BV99)</f>
        <v/>
      </c>
      <c r="M104" s="1460" t="str">
        <f>IF(G104="","",IF('#BerechnungDBE'!P99&lt;4,"",'#BerechnungDBE'!BW99))</f>
        <v/>
      </c>
      <c r="N104" s="1460" t="str">
        <f>IF(G104="","",'#BerechnungDBE'!BX99)</f>
        <v/>
      </c>
      <c r="O104" s="1460" t="str">
        <f>IF(G104="","",'#BerechnungDBE'!BY99)</f>
        <v/>
      </c>
      <c r="P104" s="1475" t="str">
        <f>IF(G104="","",'#BerechnungDBE'!BZ99)</f>
        <v/>
      </c>
      <c r="Q104" s="1041"/>
    </row>
    <row r="105" spans="1:17" s="875" customFormat="1" ht="15" customHeight="1" x14ac:dyDescent="0.2">
      <c r="A105" s="1458" t="str">
        <f>'DBE - N'!A107</f>
        <v/>
      </c>
      <c r="B105" s="1255" t="str">
        <f>'DBE - N'!B107</f>
        <v/>
      </c>
      <c r="C105" s="1255" t="str">
        <f>'DBE - N'!C107</f>
        <v/>
      </c>
      <c r="D105" s="1459" t="str">
        <f>'DBE - N'!E107</f>
        <v/>
      </c>
      <c r="E105" s="1273" t="str">
        <f>'org. Düngung 22'!E108</f>
        <v/>
      </c>
      <c r="F105" s="1255" t="str">
        <f>'DBE - N'!F107</f>
        <v/>
      </c>
      <c r="G105" s="1273" t="str">
        <f>IF(D105="","",IF('Flächen u. Kulturen'!E105="x",'Flächen u. Kulturen'!F105,""))</f>
        <v/>
      </c>
      <c r="H105" s="1460" t="str">
        <f>IF(G105="","",'#BerechnungDBE'!BS100)</f>
        <v/>
      </c>
      <c r="I105" s="1460" t="str">
        <f>IF(G105="","",'#BerechnungDBE'!BR100)</f>
        <v/>
      </c>
      <c r="J105" s="1460" t="str">
        <f>IF(G105="","",'#BerechnungDBE'!BQ100)</f>
        <v/>
      </c>
      <c r="K105" s="1460" t="str">
        <f>IF(G105="","",'#BerechnungDBE'!BU100)</f>
        <v/>
      </c>
      <c r="L105" s="1460" t="str">
        <f>IF(G105="","",'#BerechnungDBE'!BV100)</f>
        <v/>
      </c>
      <c r="M105" s="1460" t="str">
        <f>IF(G105="","",IF('#BerechnungDBE'!P100&lt;4,"",'#BerechnungDBE'!BW100))</f>
        <v/>
      </c>
      <c r="N105" s="1460" t="str">
        <f>IF(G105="","",'#BerechnungDBE'!BX100)</f>
        <v/>
      </c>
      <c r="O105" s="1460" t="str">
        <f>IF(G105="","",'#BerechnungDBE'!BY100)</f>
        <v/>
      </c>
      <c r="P105" s="1475" t="str">
        <f>IF(G105="","",'#BerechnungDBE'!BZ100)</f>
        <v/>
      </c>
      <c r="Q105" s="1041"/>
    </row>
    <row r="106" spans="1:17" s="875" customFormat="1" ht="15" customHeight="1" x14ac:dyDescent="0.2">
      <c r="A106" s="1458" t="str">
        <f>'DBE - N'!A108</f>
        <v/>
      </c>
      <c r="B106" s="1255" t="str">
        <f>'DBE - N'!B108</f>
        <v/>
      </c>
      <c r="C106" s="1255" t="str">
        <f>'DBE - N'!C108</f>
        <v/>
      </c>
      <c r="D106" s="1459" t="str">
        <f>'DBE - N'!E108</f>
        <v/>
      </c>
      <c r="E106" s="1273" t="str">
        <f>'org. Düngung 22'!E109</f>
        <v/>
      </c>
      <c r="F106" s="1255" t="str">
        <f>'DBE - N'!F108</f>
        <v/>
      </c>
      <c r="G106" s="1273" t="str">
        <f>IF(D106="","",IF('Flächen u. Kulturen'!E106="x",'Flächen u. Kulturen'!F106,""))</f>
        <v/>
      </c>
      <c r="H106" s="1460" t="str">
        <f>IF(G106="","",'#BerechnungDBE'!BS101)</f>
        <v/>
      </c>
      <c r="I106" s="1460" t="str">
        <f>IF(G106="","",'#BerechnungDBE'!BR101)</f>
        <v/>
      </c>
      <c r="J106" s="1460" t="str">
        <f>IF(G106="","",'#BerechnungDBE'!BQ101)</f>
        <v/>
      </c>
      <c r="K106" s="1460" t="str">
        <f>IF(G106="","",'#BerechnungDBE'!BU101)</f>
        <v/>
      </c>
      <c r="L106" s="1460" t="str">
        <f>IF(G106="","",'#BerechnungDBE'!BV101)</f>
        <v/>
      </c>
      <c r="M106" s="1460" t="str">
        <f>IF(G106="","",IF('#BerechnungDBE'!P101&lt;4,"",'#BerechnungDBE'!BW101))</f>
        <v/>
      </c>
      <c r="N106" s="1460" t="str">
        <f>IF(G106="","",'#BerechnungDBE'!BX101)</f>
        <v/>
      </c>
      <c r="O106" s="1460" t="str">
        <f>IF(G106="","",'#BerechnungDBE'!BY101)</f>
        <v/>
      </c>
      <c r="P106" s="1475" t="str">
        <f>IF(G106="","",'#BerechnungDBE'!BZ101)</f>
        <v/>
      </c>
      <c r="Q106" s="1041"/>
    </row>
    <row r="107" spans="1:17" s="875" customFormat="1" ht="15" customHeight="1" x14ac:dyDescent="0.2">
      <c r="A107" s="1458" t="str">
        <f>'DBE - N'!A109</f>
        <v/>
      </c>
      <c r="B107" s="1255" t="str">
        <f>'DBE - N'!B109</f>
        <v/>
      </c>
      <c r="C107" s="1255" t="str">
        <f>'DBE - N'!C109</f>
        <v/>
      </c>
      <c r="D107" s="1459" t="str">
        <f>'DBE - N'!E109</f>
        <v/>
      </c>
      <c r="E107" s="1273" t="str">
        <f>'org. Düngung 22'!E110</f>
        <v/>
      </c>
      <c r="F107" s="1255" t="str">
        <f>'DBE - N'!F109</f>
        <v/>
      </c>
      <c r="G107" s="1273" t="str">
        <f>IF(D107="","",IF('Flächen u. Kulturen'!E107="x",'Flächen u. Kulturen'!F107,""))</f>
        <v/>
      </c>
      <c r="H107" s="1460" t="str">
        <f>IF(G107="","",'#BerechnungDBE'!BS102)</f>
        <v/>
      </c>
      <c r="I107" s="1460" t="str">
        <f>IF(G107="","",'#BerechnungDBE'!BR102)</f>
        <v/>
      </c>
      <c r="J107" s="1460" t="str">
        <f>IF(G107="","",'#BerechnungDBE'!BQ102)</f>
        <v/>
      </c>
      <c r="K107" s="1460" t="str">
        <f>IF(G107="","",'#BerechnungDBE'!BU102)</f>
        <v/>
      </c>
      <c r="L107" s="1460" t="str">
        <f>IF(G107="","",'#BerechnungDBE'!BV102)</f>
        <v/>
      </c>
      <c r="M107" s="1460" t="str">
        <f>IF(G107="","",IF('#BerechnungDBE'!P102&lt;4,"",'#BerechnungDBE'!BW102))</f>
        <v/>
      </c>
      <c r="N107" s="1460" t="str">
        <f>IF(G107="","",'#BerechnungDBE'!BX102)</f>
        <v/>
      </c>
      <c r="O107" s="1460" t="str">
        <f>IF(G107="","",'#BerechnungDBE'!BY102)</f>
        <v/>
      </c>
      <c r="P107" s="1475" t="str">
        <f>IF(G107="","",'#BerechnungDBE'!BZ102)</f>
        <v/>
      </c>
      <c r="Q107" s="1041"/>
    </row>
    <row r="108" spans="1:17" s="875" customFormat="1" ht="15" customHeight="1" x14ac:dyDescent="0.2">
      <c r="A108" s="1458" t="str">
        <f>'DBE - N'!A110</f>
        <v/>
      </c>
      <c r="B108" s="1255" t="str">
        <f>'DBE - N'!B110</f>
        <v/>
      </c>
      <c r="C108" s="1255" t="str">
        <f>'DBE - N'!C110</f>
        <v/>
      </c>
      <c r="D108" s="1459" t="str">
        <f>'DBE - N'!E110</f>
        <v/>
      </c>
      <c r="E108" s="1273" t="str">
        <f>'org. Düngung 22'!E111</f>
        <v/>
      </c>
      <c r="F108" s="1255" t="str">
        <f>'DBE - N'!F110</f>
        <v/>
      </c>
      <c r="G108" s="1273" t="str">
        <f>IF(D108="","",IF('Flächen u. Kulturen'!E108="x",'Flächen u. Kulturen'!F108,""))</f>
        <v/>
      </c>
      <c r="H108" s="1460" t="str">
        <f>IF(G108="","",'#BerechnungDBE'!BS103)</f>
        <v/>
      </c>
      <c r="I108" s="1460" t="str">
        <f>IF(G108="","",'#BerechnungDBE'!BR103)</f>
        <v/>
      </c>
      <c r="J108" s="1460" t="str">
        <f>IF(G108="","",'#BerechnungDBE'!BQ103)</f>
        <v/>
      </c>
      <c r="K108" s="1460" t="str">
        <f>IF(G108="","",'#BerechnungDBE'!BU103)</f>
        <v/>
      </c>
      <c r="L108" s="1460" t="str">
        <f>IF(G108="","",'#BerechnungDBE'!BV103)</f>
        <v/>
      </c>
      <c r="M108" s="1460" t="str">
        <f>IF(G108="","",IF('#BerechnungDBE'!P103&lt;4,"",'#BerechnungDBE'!BW103))</f>
        <v/>
      </c>
      <c r="N108" s="1460" t="str">
        <f>IF(G108="","",'#BerechnungDBE'!BX103)</f>
        <v/>
      </c>
      <c r="O108" s="1460" t="str">
        <f>IF(G108="","",'#BerechnungDBE'!BY103)</f>
        <v/>
      </c>
      <c r="P108" s="1475" t="str">
        <f>IF(G108="","",'#BerechnungDBE'!BZ103)</f>
        <v/>
      </c>
      <c r="Q108" s="1041"/>
    </row>
    <row r="109" spans="1:17" s="875" customFormat="1" ht="15" customHeight="1" x14ac:dyDescent="0.2">
      <c r="A109" s="1458" t="str">
        <f>'DBE - N'!A111</f>
        <v/>
      </c>
      <c r="B109" s="1255" t="str">
        <f>'DBE - N'!B111</f>
        <v/>
      </c>
      <c r="C109" s="1255" t="str">
        <f>'DBE - N'!C111</f>
        <v/>
      </c>
      <c r="D109" s="1459" t="str">
        <f>'DBE - N'!E111</f>
        <v/>
      </c>
      <c r="E109" s="1273" t="str">
        <f>'org. Düngung 22'!E112</f>
        <v/>
      </c>
      <c r="F109" s="1255" t="str">
        <f>'DBE - N'!F111</f>
        <v/>
      </c>
      <c r="G109" s="1273" t="str">
        <f>IF(D109="","",IF('Flächen u. Kulturen'!E109="x",'Flächen u. Kulturen'!F109,""))</f>
        <v/>
      </c>
      <c r="H109" s="1460" t="str">
        <f>IF(G109="","",'#BerechnungDBE'!BS104)</f>
        <v/>
      </c>
      <c r="I109" s="1460" t="str">
        <f>IF(G109="","",'#BerechnungDBE'!BR104)</f>
        <v/>
      </c>
      <c r="J109" s="1460" t="str">
        <f>IF(G109="","",'#BerechnungDBE'!BQ104)</f>
        <v/>
      </c>
      <c r="K109" s="1460" t="str">
        <f>IF(G109="","",'#BerechnungDBE'!BU104)</f>
        <v/>
      </c>
      <c r="L109" s="1460" t="str">
        <f>IF(G109="","",'#BerechnungDBE'!BV104)</f>
        <v/>
      </c>
      <c r="M109" s="1460" t="str">
        <f>IF(G109="","",IF('#BerechnungDBE'!P104&lt;4,"",'#BerechnungDBE'!BW104))</f>
        <v/>
      </c>
      <c r="N109" s="1460" t="str">
        <f>IF(G109="","",'#BerechnungDBE'!BX104)</f>
        <v/>
      </c>
      <c r="O109" s="1460" t="str">
        <f>IF(G109="","",'#BerechnungDBE'!BY104)</f>
        <v/>
      </c>
      <c r="P109" s="1475" t="str">
        <f>IF(G109="","",'#BerechnungDBE'!BZ104)</f>
        <v/>
      </c>
      <c r="Q109" s="1041"/>
    </row>
    <row r="110" spans="1:17" s="938" customFormat="1" hidden="1" x14ac:dyDescent="0.2"/>
    <row r="111" spans="1:17" hidden="1" x14ac:dyDescent="0.2">
      <c r="B111" s="404" t="s">
        <v>1216</v>
      </c>
      <c r="C111" s="404" t="s">
        <v>1217</v>
      </c>
      <c r="D111" s="256" t="s">
        <v>711</v>
      </c>
    </row>
    <row r="112" spans="1:17" hidden="1" x14ac:dyDescent="0.2">
      <c r="B112" s="503" t="str">
        <f>CONCATENATE("A1",":",C112,D112)</f>
        <v>A1:Q34</v>
      </c>
      <c r="C112" s="503" t="s">
        <v>1692</v>
      </c>
      <c r="D112" s="474">
        <f>'#BerechnungDBE'!DS106</f>
        <v>34</v>
      </c>
    </row>
    <row r="113" spans="4:4" hidden="1" x14ac:dyDescent="0.2">
      <c r="D113" s="474"/>
    </row>
  </sheetData>
  <sheetProtection algorithmName="SHA-512" hashValue="ho3ojznVuFWpAMWvYjYF/5Ilm356/Lgvf2Ha+7wah4u8l9W5Y2QY5a89OJXRzUELw5Tp4aYSrNv6r/zNwg654A==" saltValue="PmTgIPI9pEd8CHV0GQOMQg==" spinCount="100000" sheet="1" objects="1" scenarios="1"/>
  <customSheetViews>
    <customSheetView guid="{465483EC-2E3A-4F9E-B378-C4750D61668A}">
      <pageMargins left="0.7" right="0.7" top="0.78740157499999996" bottom="0.78740157499999996" header="0.3" footer="0.3"/>
    </customSheetView>
  </customSheetViews>
  <mergeCells count="19">
    <mergeCell ref="L6:L9"/>
    <mergeCell ref="M6:M9"/>
    <mergeCell ref="N6:N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Sr, Sp, Ka), Stand: 13.12.2021&amp;RSeite &amp;P von &amp;N; &amp;D, &amp;T</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I38"/>
  <sheetViews>
    <sheetView showGridLines="0" zoomScaleNormal="100" workbookViewId="0"/>
  </sheetViews>
  <sheetFormatPr baseColWidth="10" defaultRowHeight="12.75" x14ac:dyDescent="0.2"/>
  <cols>
    <col min="1" max="1" width="9" customWidth="1"/>
    <col min="2" max="2" width="28.140625" bestFit="1" customWidth="1"/>
    <col min="3" max="3" width="10.140625" customWidth="1"/>
    <col min="4" max="4" width="10.140625" style="433" hidden="1" customWidth="1"/>
    <col min="5" max="5" width="27.5703125" bestFit="1" customWidth="1"/>
    <col min="7" max="7" width="11.42578125" hidden="1" customWidth="1"/>
  </cols>
  <sheetData>
    <row r="1" spans="1:9" ht="20.25" x14ac:dyDescent="0.3">
      <c r="A1" s="1278" t="s">
        <v>2427</v>
      </c>
      <c r="B1" s="1041"/>
      <c r="C1" s="1041"/>
      <c r="D1" s="1041"/>
      <c r="E1" s="1041"/>
      <c r="F1" s="1041"/>
      <c r="G1" s="1041"/>
      <c r="H1" s="1041"/>
      <c r="I1" s="1041"/>
    </row>
    <row r="2" spans="1:9" ht="15.75" x14ac:dyDescent="0.3">
      <c r="A2" s="1043" t="s">
        <v>1677</v>
      </c>
      <c r="B2" s="1041"/>
      <c r="C2" s="1041"/>
      <c r="D2" s="1041"/>
      <c r="E2" s="1279" t="s">
        <v>1616</v>
      </c>
      <c r="F2" s="1041"/>
      <c r="G2" s="1041"/>
      <c r="H2" s="1041"/>
      <c r="I2" s="1041"/>
    </row>
    <row r="3" spans="1:9" ht="6.75" customHeight="1" x14ac:dyDescent="0.2">
      <c r="A3" s="1041"/>
      <c r="B3" s="1041"/>
      <c r="C3" s="1041"/>
      <c r="D3" s="1041"/>
      <c r="E3" s="1041"/>
      <c r="F3" s="1041"/>
      <c r="G3" s="1041"/>
      <c r="H3" s="1041"/>
      <c r="I3" s="1041"/>
    </row>
    <row r="4" spans="1:9" x14ac:dyDescent="0.2">
      <c r="A4" s="1043" t="s">
        <v>149</v>
      </c>
      <c r="B4" s="1041"/>
      <c r="C4" s="1041" t="str">
        <f ca="1">TEXT(NOW(),"TT.MM.JJJJ")</f>
        <v>21.12.2021</v>
      </c>
      <c r="D4" s="1041"/>
      <c r="E4" s="1041"/>
      <c r="F4" s="1043"/>
      <c r="G4" s="1041"/>
      <c r="H4" s="1041"/>
      <c r="I4" s="1041"/>
    </row>
    <row r="5" spans="1:9" ht="18" customHeight="1" x14ac:dyDescent="0.2">
      <c r="A5" s="1263" t="str">
        <f>IF('Überblick 22'!S15=2,"Dateneingabe fehlerhaft. Weitere Informationen siehe ''Überblick 22''.",IF('#orgDung'!Q114=0,"","Im Betrieb stehen noch geplante organische Düngergaben aus. Dokumentation ist nicht abgeschlossen."))</f>
        <v/>
      </c>
      <c r="B5" s="1041"/>
      <c r="C5" s="1041"/>
      <c r="D5" s="1041"/>
      <c r="E5" s="1041"/>
      <c r="F5" s="1041"/>
      <c r="G5" s="1041"/>
      <c r="H5" s="1041"/>
      <c r="I5" s="1041"/>
    </row>
    <row r="6" spans="1:9" x14ac:dyDescent="0.2">
      <c r="A6" s="1043" t="s">
        <v>150</v>
      </c>
      <c r="B6" s="1041"/>
      <c r="C6" s="1087" t="str">
        <f>IF(Betrieb!C8="","Bitte in ''Betrieb'' eintragen",CONCATENATE(Betrieb!B8,Betrieb!C8))</f>
        <v>Bitte in ''Betrieb'' eintragen</v>
      </c>
      <c r="D6" s="1087"/>
      <c r="E6" s="1041"/>
      <c r="F6" s="1041"/>
      <c r="G6" s="1041"/>
      <c r="H6" s="1041"/>
      <c r="I6" s="1041"/>
    </row>
    <row r="7" spans="1:9" x14ac:dyDescent="0.2">
      <c r="A7" s="1043" t="s">
        <v>1087</v>
      </c>
      <c r="B7" s="1041"/>
      <c r="C7" s="1041">
        <f>Betrieb!B9</f>
        <v>0</v>
      </c>
      <c r="D7" s="1041"/>
      <c r="E7" s="1041"/>
      <c r="F7" s="1041"/>
      <c r="G7" s="1041"/>
      <c r="H7" s="1041"/>
      <c r="I7" s="1041"/>
    </row>
    <row r="8" spans="1:9" x14ac:dyDescent="0.2">
      <c r="A8" s="1043" t="s">
        <v>706</v>
      </c>
      <c r="B8" s="1041"/>
      <c r="C8" s="1041">
        <f>Betrieb!B10</f>
        <v>0</v>
      </c>
      <c r="D8" s="1041"/>
      <c r="E8" s="1041"/>
      <c r="F8" s="1041"/>
      <c r="G8" s="1041"/>
      <c r="H8" s="1041"/>
      <c r="I8" s="1041"/>
    </row>
    <row r="9" spans="1:9" x14ac:dyDescent="0.2">
      <c r="A9" s="1043" t="s">
        <v>151</v>
      </c>
      <c r="B9" s="1041"/>
      <c r="C9" s="1041">
        <f>Betrieb!B11</f>
        <v>0</v>
      </c>
      <c r="D9" s="1041"/>
      <c r="E9" s="1041"/>
      <c r="F9" s="1041"/>
      <c r="G9" s="1041"/>
      <c r="H9" s="1041"/>
      <c r="I9" s="1041"/>
    </row>
    <row r="10" spans="1:9" x14ac:dyDescent="0.2">
      <c r="A10" s="1043" t="s">
        <v>1561</v>
      </c>
      <c r="B10" s="1041"/>
      <c r="C10" s="1280">
        <f>'#BerechnungDBE'!M115</f>
        <v>0</v>
      </c>
      <c r="D10" s="1041"/>
      <c r="E10" s="1041"/>
      <c r="F10" s="1041"/>
      <c r="G10" s="1041"/>
      <c r="H10" s="1041"/>
      <c r="I10" s="1041"/>
    </row>
    <row r="11" spans="1:9" s="478" customFormat="1" x14ac:dyDescent="0.2">
      <c r="A11" s="1041"/>
      <c r="B11" s="1041"/>
      <c r="C11" s="1041"/>
      <c r="D11" s="1041"/>
      <c r="E11" s="1041"/>
      <c r="F11" s="1041"/>
      <c r="G11" s="1041"/>
      <c r="H11" s="1041"/>
      <c r="I11" s="1041"/>
    </row>
    <row r="12" spans="1:9" ht="13.5" thickBot="1" x14ac:dyDescent="0.25">
      <c r="A12" s="1043" t="s">
        <v>152</v>
      </c>
      <c r="B12" s="1041"/>
      <c r="C12" s="1041"/>
      <c r="D12" s="1041"/>
      <c r="E12" s="1041"/>
      <c r="F12" s="1041"/>
      <c r="G12" s="1041"/>
      <c r="H12" s="1041"/>
      <c r="I12" s="1041"/>
    </row>
    <row r="13" spans="1:9" s="541" customFormat="1" x14ac:dyDescent="0.2">
      <c r="A13" s="1281"/>
      <c r="B13" s="1282"/>
      <c r="C13" s="1292" t="s">
        <v>153</v>
      </c>
      <c r="D13" s="1283"/>
      <c r="E13" s="1041"/>
      <c r="F13" s="1041"/>
      <c r="G13" s="1041"/>
      <c r="H13" s="1041"/>
      <c r="I13" s="1041"/>
    </row>
    <row r="14" spans="1:9" x14ac:dyDescent="0.2">
      <c r="A14" s="1284"/>
      <c r="B14" s="1063"/>
      <c r="C14" s="1285" t="s">
        <v>83</v>
      </c>
      <c r="D14" s="1286" t="s">
        <v>1114</v>
      </c>
      <c r="E14" s="1041"/>
      <c r="F14" s="1041"/>
      <c r="G14" s="1041"/>
      <c r="H14" s="1041"/>
      <c r="I14" s="1041"/>
    </row>
    <row r="15" spans="1:9" x14ac:dyDescent="0.2">
      <c r="A15" s="1284"/>
      <c r="B15" s="1095"/>
      <c r="C15" s="1285" t="s">
        <v>144</v>
      </c>
      <c r="D15" s="1286" t="s">
        <v>1</v>
      </c>
      <c r="E15" s="1041"/>
      <c r="F15" s="1041"/>
      <c r="G15" s="1041"/>
      <c r="H15" s="1041"/>
      <c r="I15" s="1041"/>
    </row>
    <row r="16" spans="1:9" ht="15" customHeight="1" x14ac:dyDescent="0.2">
      <c r="A16" s="1850" t="s">
        <v>1210</v>
      </c>
      <c r="B16" s="1851"/>
      <c r="C16" s="1287">
        <f>IF('Überblick 22'!S15=2,"n.b.",'#BerechnungDBE'!BA115)</f>
        <v>0</v>
      </c>
      <c r="D16" s="1288">
        <f>IF(C10=0,0,C16/C10)</f>
        <v>0</v>
      </c>
      <c r="E16" s="1041"/>
      <c r="F16" s="1041"/>
      <c r="G16" s="1041"/>
      <c r="H16" s="1041"/>
      <c r="I16" s="1041"/>
    </row>
    <row r="17" spans="1:9" ht="15" customHeight="1" thickBot="1" x14ac:dyDescent="0.35">
      <c r="A17" s="1848" t="s">
        <v>1211</v>
      </c>
      <c r="B17" s="1849"/>
      <c r="C17" s="1289">
        <f>IF('Überblick 22'!S15=2,"n.b.",'#BerechnungDBE'!AZ118)</f>
        <v>0</v>
      </c>
      <c r="D17" s="1290">
        <f>IF(C10=0,0,C17/C10)</f>
        <v>0</v>
      </c>
      <c r="E17" s="1041"/>
      <c r="F17" s="1041"/>
      <c r="G17" s="1041"/>
      <c r="H17" s="1041"/>
      <c r="I17" s="1041"/>
    </row>
    <row r="18" spans="1:9" x14ac:dyDescent="0.2">
      <c r="A18" s="1041"/>
      <c r="B18" s="1041"/>
      <c r="C18" s="1041"/>
      <c r="D18" s="1041"/>
      <c r="E18" s="1041"/>
      <c r="F18" s="1041"/>
      <c r="G18" s="1041"/>
      <c r="H18" s="1041"/>
      <c r="I18" s="1041"/>
    </row>
    <row r="19" spans="1:9" ht="13.5" thickBot="1" x14ac:dyDescent="0.25">
      <c r="A19" s="1043" t="s">
        <v>157</v>
      </c>
      <c r="B19" s="1041"/>
      <c r="C19" s="1041"/>
      <c r="D19" s="1041"/>
      <c r="E19" s="1041"/>
      <c r="F19" s="1041"/>
      <c r="G19" s="1041"/>
      <c r="H19" s="1041"/>
      <c r="I19" s="1041"/>
    </row>
    <row r="20" spans="1:9" x14ac:dyDescent="0.2">
      <c r="A20" s="1291"/>
      <c r="B20" s="1845" t="s">
        <v>154</v>
      </c>
      <c r="C20" s="1843" t="s">
        <v>153</v>
      </c>
      <c r="D20" s="1844"/>
      <c r="E20" s="1845" t="s">
        <v>105</v>
      </c>
      <c r="F20" s="1292" t="s">
        <v>153</v>
      </c>
      <c r="G20" s="1283"/>
      <c r="H20" s="1041"/>
      <c r="I20" s="1041"/>
    </row>
    <row r="21" spans="1:9" s="433" customFormat="1" x14ac:dyDescent="0.2">
      <c r="A21" s="1293"/>
      <c r="B21" s="1846"/>
      <c r="C21" s="1294" t="s">
        <v>83</v>
      </c>
      <c r="D21" s="1285" t="s">
        <v>1114</v>
      </c>
      <c r="E21" s="1846"/>
      <c r="F21" s="1285" t="s">
        <v>83</v>
      </c>
      <c r="G21" s="1286" t="s">
        <v>1114</v>
      </c>
      <c r="H21" s="1041"/>
      <c r="I21" s="1041"/>
    </row>
    <row r="22" spans="1:9" ht="15.75" x14ac:dyDescent="0.2">
      <c r="A22" s="1295"/>
      <c r="B22" s="1847"/>
      <c r="C22" s="1296" t="s">
        <v>155</v>
      </c>
      <c r="D22" s="1297" t="s">
        <v>78</v>
      </c>
      <c r="E22" s="1847"/>
      <c r="F22" s="1297" t="s">
        <v>156</v>
      </c>
      <c r="G22" s="1298" t="s">
        <v>1115</v>
      </c>
      <c r="H22" s="1041"/>
      <c r="I22" s="1041"/>
    </row>
    <row r="23" spans="1:9" x14ac:dyDescent="0.2">
      <c r="A23" s="1299">
        <v>1</v>
      </c>
      <c r="B23" s="1300" t="s">
        <v>158</v>
      </c>
      <c r="C23" s="1301">
        <f>'Überblick 22'!BV10</f>
        <v>0</v>
      </c>
      <c r="D23" s="1287">
        <f>IF(C10=0,0,C23/C10)</f>
        <v>0</v>
      </c>
      <c r="E23" s="1300" t="s">
        <v>158</v>
      </c>
      <c r="F23" s="1287">
        <f>'Überblick 22'!CA10</f>
        <v>0</v>
      </c>
      <c r="G23" s="1288">
        <f>IF(C10=0,0,F23/C10)</f>
        <v>0</v>
      </c>
      <c r="H23" s="1041"/>
      <c r="I23" s="1041"/>
    </row>
    <row r="24" spans="1:9" x14ac:dyDescent="0.2">
      <c r="A24" s="1299">
        <v>2</v>
      </c>
      <c r="B24" s="1300" t="s">
        <v>159</v>
      </c>
      <c r="C24" s="1301">
        <f>'Überblick 22'!AI10</f>
        <v>0</v>
      </c>
      <c r="D24" s="1287">
        <f>IF(C10=0,0,C24/C10)</f>
        <v>0</v>
      </c>
      <c r="E24" s="1300" t="s">
        <v>159</v>
      </c>
      <c r="F24" s="1287">
        <f>'Überblick 22'!AQ10</f>
        <v>0</v>
      </c>
      <c r="G24" s="1288">
        <f>IF(C10=0,0,F24/C10)</f>
        <v>0</v>
      </c>
      <c r="H24" s="1041"/>
      <c r="I24" s="1041"/>
    </row>
    <row r="25" spans="1:9" x14ac:dyDescent="0.2">
      <c r="A25" s="1299">
        <v>3</v>
      </c>
      <c r="B25" s="1300" t="s">
        <v>160</v>
      </c>
      <c r="C25" s="1301">
        <f>'Überblick 22'!AJ10</f>
        <v>0</v>
      </c>
      <c r="D25" s="1287">
        <f>IF(C10=0,0,C25/C10)</f>
        <v>0</v>
      </c>
      <c r="E25" s="1302"/>
      <c r="F25" s="1287"/>
      <c r="G25" s="1288"/>
      <c r="H25" s="1041"/>
      <c r="I25" s="1041"/>
    </row>
    <row r="26" spans="1:9" x14ac:dyDescent="0.2">
      <c r="A26" s="1299">
        <v>4</v>
      </c>
      <c r="B26" s="1300" t="s">
        <v>161</v>
      </c>
      <c r="C26" s="1221">
        <f>'#orgDung'!AG9+'#orgDung'!AG10</f>
        <v>0</v>
      </c>
      <c r="D26" s="1287">
        <f>IF(C10=0,0,C26/C10)</f>
        <v>0</v>
      </c>
      <c r="E26" s="1300" t="s">
        <v>161</v>
      </c>
      <c r="F26" s="1303">
        <f>'#orgDung'!AH9+'#orgDung'!AH10</f>
        <v>0</v>
      </c>
      <c r="G26" s="1288">
        <f>IF(C10=0,0,F26/C10)</f>
        <v>0</v>
      </c>
      <c r="H26" s="1041"/>
      <c r="I26" s="1041"/>
    </row>
    <row r="27" spans="1:9" x14ac:dyDescent="0.2">
      <c r="A27" s="1299">
        <v>5</v>
      </c>
      <c r="B27" s="1300" t="s">
        <v>162</v>
      </c>
      <c r="C27" s="1301">
        <f>'Überblick 22'!AK10</f>
        <v>0</v>
      </c>
      <c r="D27" s="1287">
        <f>IF(C10=0,0,C27/C10)</f>
        <v>0</v>
      </c>
      <c r="E27" s="1300" t="s">
        <v>162</v>
      </c>
      <c r="F27" s="1287">
        <f>'Überblick 22'!AR10</f>
        <v>0</v>
      </c>
      <c r="G27" s="1288">
        <f>IF(C10=0,0,F27/C10)</f>
        <v>0</v>
      </c>
      <c r="H27" s="1041"/>
      <c r="I27" s="1041"/>
    </row>
    <row r="28" spans="1:9" x14ac:dyDescent="0.2">
      <c r="A28" s="1299">
        <v>6</v>
      </c>
      <c r="B28" s="1300" t="s">
        <v>160</v>
      </c>
      <c r="C28" s="1301">
        <f>'Überblick 22'!AL10</f>
        <v>0</v>
      </c>
      <c r="D28" s="1287">
        <f>IF(C10=0,0,C28/C10)</f>
        <v>0</v>
      </c>
      <c r="E28" s="1302"/>
      <c r="F28" s="1287"/>
      <c r="G28" s="1288"/>
      <c r="H28" s="1041"/>
      <c r="I28" s="1041"/>
    </row>
    <row r="29" spans="1:9" x14ac:dyDescent="0.2">
      <c r="A29" s="1299">
        <v>7</v>
      </c>
      <c r="B29" s="1300" t="s">
        <v>130</v>
      </c>
      <c r="C29" s="1301">
        <f>'Überblick 22'!AM10+'Überblick 22'!BW10</f>
        <v>0</v>
      </c>
      <c r="D29" s="1287">
        <f>IF(C10=0,0,C29/C10)</f>
        <v>0</v>
      </c>
      <c r="E29" s="1300" t="s">
        <v>130</v>
      </c>
      <c r="F29" s="1287">
        <f>'Überblick 22'!AS10+'Überblick 22'!CB10</f>
        <v>0</v>
      </c>
      <c r="G29" s="1288">
        <f>IF(C10=0,0,F29/C10)</f>
        <v>0</v>
      </c>
      <c r="H29" s="1041"/>
      <c r="I29" s="1041"/>
    </row>
    <row r="30" spans="1:9" x14ac:dyDescent="0.2">
      <c r="A30" s="1299">
        <v>8</v>
      </c>
      <c r="B30" s="1300" t="s">
        <v>163</v>
      </c>
      <c r="C30" s="1301">
        <f>'Überblick 22'!AN10+'Überblick 22'!BX10</f>
        <v>0</v>
      </c>
      <c r="D30" s="1287">
        <f>IF(C10=0,0,C30/C10)</f>
        <v>0</v>
      </c>
      <c r="E30" s="1300" t="s">
        <v>163</v>
      </c>
      <c r="F30" s="1287">
        <f>'Überblick 22'!AT10+'Überblick 22'!CC10</f>
        <v>0</v>
      </c>
      <c r="G30" s="1288">
        <f>IF(C10=0,0,F30/C10)</f>
        <v>0</v>
      </c>
      <c r="H30" s="1041"/>
      <c r="I30" s="1041"/>
    </row>
    <row r="31" spans="1:9" x14ac:dyDescent="0.2">
      <c r="A31" s="1299">
        <v>9</v>
      </c>
      <c r="B31" s="1300" t="s">
        <v>164</v>
      </c>
      <c r="C31" s="1301">
        <f>'Überblick 22'!AO10+'Überblick 22'!BY10</f>
        <v>0</v>
      </c>
      <c r="D31" s="1287">
        <f>IF(C10=0,0,C31/C10)</f>
        <v>0</v>
      </c>
      <c r="E31" s="1300" t="s">
        <v>164</v>
      </c>
      <c r="F31" s="1287">
        <f>'Überblick 22'!AU10+'Überblick 22'!CD10</f>
        <v>0</v>
      </c>
      <c r="G31" s="1288">
        <f>IF(C10=0,0,F31/C10)</f>
        <v>0</v>
      </c>
      <c r="H31" s="1041"/>
      <c r="I31" s="1041"/>
    </row>
    <row r="32" spans="1:9" x14ac:dyDescent="0.2">
      <c r="A32" s="1299">
        <v>10</v>
      </c>
      <c r="B32" s="1300" t="s">
        <v>165</v>
      </c>
      <c r="C32" s="1301">
        <f>'Überblick 22'!AP10+'Überblick 22'!BZ10</f>
        <v>0</v>
      </c>
      <c r="D32" s="1287">
        <f>IF(C10=0,0,C32/C10)</f>
        <v>0</v>
      </c>
      <c r="E32" s="1300" t="s">
        <v>165</v>
      </c>
      <c r="F32" s="1287">
        <f>'Überblick 22'!AV10+'Überblick 22'!CE10</f>
        <v>0</v>
      </c>
      <c r="G32" s="1288">
        <f>IF(C10=0,0,F32/C10)</f>
        <v>0</v>
      </c>
      <c r="H32" s="1041"/>
      <c r="I32" s="1041"/>
    </row>
    <row r="33" spans="1:9" x14ac:dyDescent="0.2">
      <c r="A33" s="1299">
        <v>11</v>
      </c>
      <c r="B33" s="1300" t="s">
        <v>166</v>
      </c>
      <c r="C33" s="1301">
        <f>'#BerechnungDBE'!BA123</f>
        <v>0</v>
      </c>
      <c r="D33" s="1287">
        <f>IF(C10=0,0,C33/C10)</f>
        <v>0</v>
      </c>
      <c r="E33" s="1302"/>
      <c r="F33" s="1287"/>
      <c r="G33" s="1288"/>
      <c r="H33" s="1041"/>
      <c r="I33" s="1041"/>
    </row>
    <row r="34" spans="1:9" x14ac:dyDescent="0.2">
      <c r="A34" s="1299">
        <v>12</v>
      </c>
      <c r="B34" s="1300" t="s">
        <v>167</v>
      </c>
      <c r="C34" s="1221">
        <v>0</v>
      </c>
      <c r="D34" s="1287">
        <v>0</v>
      </c>
      <c r="E34" s="1300" t="s">
        <v>167</v>
      </c>
      <c r="F34" s="1303">
        <v>0</v>
      </c>
      <c r="G34" s="1288">
        <v>0</v>
      </c>
      <c r="H34" s="1041"/>
      <c r="I34" s="1041"/>
    </row>
    <row r="35" spans="1:9" x14ac:dyDescent="0.2">
      <c r="A35" s="1299">
        <v>13</v>
      </c>
      <c r="B35" s="1300" t="s">
        <v>168</v>
      </c>
      <c r="C35" s="1301">
        <f>C23+C24+C26+C27+C29+C30+C31+C32+C33</f>
        <v>0</v>
      </c>
      <c r="D35" s="1287">
        <f>IF(C10=0,0,C35/C10)</f>
        <v>0</v>
      </c>
      <c r="E35" s="1300" t="s">
        <v>169</v>
      </c>
      <c r="F35" s="1287">
        <f>SUM(F23:F24,F26:F27,F29:F32,F34)</f>
        <v>0</v>
      </c>
      <c r="G35" s="1288">
        <f>IF(C10=0,0,F35/C10)</f>
        <v>0</v>
      </c>
      <c r="H35" s="1041"/>
      <c r="I35" s="1041"/>
    </row>
    <row r="36" spans="1:9" s="825" customFormat="1" x14ac:dyDescent="0.2">
      <c r="A36" s="1304">
        <v>14</v>
      </c>
      <c r="B36" s="1305" t="s">
        <v>1529</v>
      </c>
      <c r="C36" s="1306"/>
      <c r="D36" s="1307"/>
      <c r="E36" s="1308"/>
      <c r="F36" s="1309"/>
      <c r="G36" s="1310"/>
      <c r="H36" s="1041"/>
      <c r="I36" s="1041"/>
    </row>
    <row r="37" spans="1:9" ht="13.5" thickBot="1" x14ac:dyDescent="0.25">
      <c r="A37" s="1311">
        <v>15</v>
      </c>
      <c r="B37" s="1312" t="s">
        <v>170</v>
      </c>
      <c r="C37" s="1313">
        <f>C23+C25+C28</f>
        <v>0</v>
      </c>
      <c r="D37" s="1289">
        <f>IF(C10=0,0,C37/C10)</f>
        <v>0</v>
      </c>
      <c r="E37" s="1314"/>
      <c r="F37" s="1315"/>
      <c r="G37" s="1316"/>
      <c r="H37" s="1041"/>
      <c r="I37" s="1041"/>
    </row>
    <row r="38" spans="1:9" x14ac:dyDescent="0.2">
      <c r="A38" s="1041"/>
      <c r="B38" s="1041"/>
      <c r="C38" s="1041"/>
      <c r="D38" s="1041"/>
      <c r="E38" s="1041"/>
      <c r="F38" s="1041"/>
      <c r="G38" s="1041"/>
      <c r="H38" s="1041"/>
      <c r="I38" s="1041"/>
    </row>
  </sheetData>
  <sheetProtection algorithmName="SHA-512" hashValue="/eR2VILATY/kq0MMXJExIV4f1RJ5K9d4lh7oGDi70sXGXitZoUKAcuD+p+4YGtu/31rkVaxsdr129aWmHHZGJQ==" saltValue="I/LaVpI0ozKjs1uddEylAg=="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0:D20"/>
    <mergeCell ref="E20:E22"/>
    <mergeCell ref="B20:B22"/>
    <mergeCell ref="A17:B17"/>
    <mergeCell ref="A16:B1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13.12.2021&amp;RSeite &amp;P; &amp;D, &amp;T</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G27"/>
  <sheetViews>
    <sheetView showGridLines="0" topLeftCell="A2" workbookViewId="0">
      <selection activeCell="A2" sqref="A2"/>
    </sheetView>
  </sheetViews>
  <sheetFormatPr baseColWidth="10" defaultColWidth="11.42578125" defaultRowHeight="12.75" x14ac:dyDescent="0.2"/>
  <cols>
    <col min="1" max="1" width="6.140625" style="533" customWidth="1"/>
    <col min="2" max="3" width="3.7109375" style="533" customWidth="1"/>
    <col min="4" max="4" width="11.5703125" style="533" customWidth="1"/>
    <col min="5" max="5" width="39.28515625" style="533" customWidth="1"/>
    <col min="6" max="6" width="8.7109375" style="533" customWidth="1"/>
    <col min="7" max="7" width="24.28515625" style="533" customWidth="1"/>
    <col min="8" max="16384" width="11.42578125" style="533"/>
  </cols>
  <sheetData>
    <row r="1" spans="1:7" hidden="1" x14ac:dyDescent="0.2"/>
    <row r="2" spans="1:7" ht="59.25" customHeight="1" x14ac:dyDescent="0.2">
      <c r="A2" s="1039" t="s">
        <v>84</v>
      </c>
      <c r="B2" s="1040" t="s">
        <v>344</v>
      </c>
      <c r="C2" s="1040" t="s">
        <v>1041</v>
      </c>
      <c r="D2" s="1856" t="s">
        <v>1818</v>
      </c>
      <c r="E2" s="1857"/>
      <c r="F2" s="1857"/>
      <c r="G2" s="1858"/>
    </row>
    <row r="3" spans="1:7" ht="117.75" customHeight="1" x14ac:dyDescent="0.2">
      <c r="A3" s="964" t="s">
        <v>1083</v>
      </c>
      <c r="B3" s="964" t="s">
        <v>315</v>
      </c>
      <c r="C3" s="964"/>
      <c r="D3" s="1855" t="s">
        <v>1230</v>
      </c>
      <c r="E3" s="1516"/>
      <c r="F3" s="1516"/>
      <c r="G3" s="1517"/>
    </row>
    <row r="4" spans="1:7" s="601" customFormat="1" ht="15" customHeight="1" x14ac:dyDescent="0.2">
      <c r="A4" s="562" t="s">
        <v>1232</v>
      </c>
      <c r="B4" s="562" t="s">
        <v>315</v>
      </c>
      <c r="C4" s="965"/>
      <c r="D4" s="1855" t="s">
        <v>1799</v>
      </c>
      <c r="E4" s="1516"/>
      <c r="F4" s="1516"/>
      <c r="G4" s="1517"/>
    </row>
    <row r="5" spans="1:7" ht="15" customHeight="1" x14ac:dyDescent="0.2">
      <c r="A5" s="965">
        <v>1</v>
      </c>
      <c r="B5" s="562" t="s">
        <v>315</v>
      </c>
      <c r="C5" s="965"/>
      <c r="D5" s="1852" t="s">
        <v>1611</v>
      </c>
      <c r="E5" s="1853"/>
      <c r="F5" s="1853"/>
      <c r="G5" s="1854"/>
    </row>
    <row r="6" spans="1:7" s="601" customFormat="1" ht="15" customHeight="1" x14ac:dyDescent="0.2">
      <c r="A6" s="965">
        <v>2</v>
      </c>
      <c r="B6" s="562" t="s">
        <v>315</v>
      </c>
      <c r="C6" s="965"/>
      <c r="D6" s="1852" t="s">
        <v>1612</v>
      </c>
      <c r="E6" s="1853"/>
      <c r="F6" s="1853"/>
      <c r="G6" s="1854"/>
    </row>
    <row r="7" spans="1:7" s="601" customFormat="1" ht="15" customHeight="1" x14ac:dyDescent="0.2">
      <c r="A7" s="965">
        <v>3</v>
      </c>
      <c r="B7" s="562" t="s">
        <v>315</v>
      </c>
      <c r="C7" s="965"/>
      <c r="D7" s="1852" t="s">
        <v>1613</v>
      </c>
      <c r="E7" s="1853"/>
      <c r="F7" s="1853"/>
      <c r="G7" s="1854"/>
    </row>
    <row r="8" spans="1:7" s="601" customFormat="1" ht="15" customHeight="1" x14ac:dyDescent="0.2">
      <c r="A8" s="965">
        <v>4</v>
      </c>
      <c r="B8" s="562"/>
      <c r="C8" s="965" t="s">
        <v>315</v>
      </c>
      <c r="D8" s="1852" t="s">
        <v>1640</v>
      </c>
      <c r="E8" s="1853"/>
      <c r="F8" s="1853"/>
      <c r="G8" s="1854"/>
    </row>
    <row r="9" spans="1:7" s="601" customFormat="1" ht="15" customHeight="1" x14ac:dyDescent="0.2">
      <c r="A9" s="965">
        <v>5</v>
      </c>
      <c r="B9" s="562"/>
      <c r="C9" s="562" t="s">
        <v>315</v>
      </c>
      <c r="D9" s="1852" t="s">
        <v>1681</v>
      </c>
      <c r="E9" s="1853"/>
      <c r="F9" s="1853"/>
      <c r="G9" s="1854"/>
    </row>
    <row r="10" spans="1:7" s="601" customFormat="1" ht="15" customHeight="1" x14ac:dyDescent="0.2">
      <c r="A10" s="965">
        <v>6</v>
      </c>
      <c r="B10" s="562"/>
      <c r="C10" s="562" t="s">
        <v>315</v>
      </c>
      <c r="D10" s="1852" t="s">
        <v>1657</v>
      </c>
      <c r="E10" s="1853"/>
      <c r="F10" s="1853"/>
      <c r="G10" s="1854"/>
    </row>
    <row r="11" spans="1:7" s="601" customFormat="1" ht="15" customHeight="1" x14ac:dyDescent="0.2">
      <c r="A11" s="965">
        <v>7</v>
      </c>
      <c r="B11" s="562"/>
      <c r="C11" s="562" t="s">
        <v>315</v>
      </c>
      <c r="D11" s="1852" t="s">
        <v>1658</v>
      </c>
      <c r="E11" s="1853"/>
      <c r="F11" s="1853"/>
      <c r="G11" s="1854"/>
    </row>
    <row r="12" spans="1:7" s="601" customFormat="1" ht="15" customHeight="1" x14ac:dyDescent="0.2">
      <c r="A12" s="965">
        <v>8</v>
      </c>
      <c r="B12" s="562"/>
      <c r="C12" s="562" t="s">
        <v>315</v>
      </c>
      <c r="D12" s="1852" t="s">
        <v>1659</v>
      </c>
      <c r="E12" s="1853"/>
      <c r="F12" s="1853"/>
      <c r="G12" s="1854"/>
    </row>
    <row r="13" spans="1:7" s="601" customFormat="1" ht="15" customHeight="1" x14ac:dyDescent="0.2">
      <c r="A13" s="965">
        <v>9</v>
      </c>
      <c r="B13" s="562"/>
      <c r="C13" s="562" t="s">
        <v>315</v>
      </c>
      <c r="D13" s="1852" t="s">
        <v>1660</v>
      </c>
      <c r="E13" s="1853"/>
      <c r="F13" s="1853"/>
      <c r="G13" s="1854"/>
    </row>
    <row r="14" spans="1:7" s="601" customFormat="1" ht="15" customHeight="1" x14ac:dyDescent="0.2">
      <c r="A14" s="965">
        <v>10</v>
      </c>
      <c r="B14" s="562"/>
      <c r="C14" s="562" t="s">
        <v>315</v>
      </c>
      <c r="D14" s="1852" t="s">
        <v>1661</v>
      </c>
      <c r="E14" s="1853"/>
      <c r="F14" s="1853"/>
      <c r="G14" s="1854"/>
    </row>
    <row r="15" spans="1:7" s="601" customFormat="1" ht="15" customHeight="1" x14ac:dyDescent="0.2">
      <c r="A15" s="965">
        <v>11</v>
      </c>
      <c r="B15" s="562"/>
      <c r="C15" s="562" t="s">
        <v>315</v>
      </c>
      <c r="D15" s="1852" t="s">
        <v>1662</v>
      </c>
      <c r="E15" s="1853"/>
      <c r="F15" s="1853"/>
      <c r="G15" s="1854"/>
    </row>
    <row r="16" spans="1:7" s="601" customFormat="1" ht="15" customHeight="1" x14ac:dyDescent="0.2">
      <c r="A16" s="965">
        <v>12</v>
      </c>
      <c r="B16" s="562"/>
      <c r="C16" s="562" t="s">
        <v>315</v>
      </c>
      <c r="D16" s="1852" t="s">
        <v>1663</v>
      </c>
      <c r="E16" s="1853"/>
      <c r="F16" s="1853"/>
      <c r="G16" s="1854"/>
    </row>
    <row r="17" spans="1:7" s="601" customFormat="1" ht="15" customHeight="1" x14ac:dyDescent="0.2">
      <c r="A17" s="965">
        <v>13</v>
      </c>
      <c r="B17" s="562"/>
      <c r="C17" s="562" t="s">
        <v>315</v>
      </c>
      <c r="D17" s="1852" t="s">
        <v>1223</v>
      </c>
      <c r="E17" s="1853"/>
      <c r="F17" s="1853"/>
      <c r="G17" s="1854"/>
    </row>
    <row r="18" spans="1:7" s="601" customFormat="1" ht="26.25" customHeight="1" x14ac:dyDescent="0.2">
      <c r="A18" s="965">
        <v>14</v>
      </c>
      <c r="B18" s="562" t="s">
        <v>315</v>
      </c>
      <c r="C18" s="965"/>
      <c r="D18" s="1855" t="s">
        <v>1827</v>
      </c>
      <c r="E18" s="1516"/>
      <c r="F18" s="1516"/>
      <c r="G18" s="1517"/>
    </row>
    <row r="19" spans="1:7" s="601" customFormat="1" ht="15" customHeight="1" x14ac:dyDescent="0.2">
      <c r="A19" s="965">
        <v>15</v>
      </c>
      <c r="B19" s="562"/>
      <c r="C19" s="562" t="s">
        <v>315</v>
      </c>
      <c r="D19" s="1852" t="s">
        <v>1664</v>
      </c>
      <c r="E19" s="1853"/>
      <c r="F19" s="1853"/>
      <c r="G19" s="1854"/>
    </row>
    <row r="20" spans="1:7" s="601" customFormat="1" ht="15" customHeight="1" x14ac:dyDescent="0.2">
      <c r="A20" s="965">
        <v>16</v>
      </c>
      <c r="B20" s="562"/>
      <c r="C20" s="562" t="s">
        <v>315</v>
      </c>
      <c r="D20" s="1852" t="s">
        <v>1665</v>
      </c>
      <c r="E20" s="1853"/>
      <c r="F20" s="1853"/>
      <c r="G20" s="1854"/>
    </row>
    <row r="21" spans="1:7" s="601" customFormat="1" ht="15" customHeight="1" x14ac:dyDescent="0.2">
      <c r="A21" s="965">
        <v>17</v>
      </c>
      <c r="B21" s="562"/>
      <c r="C21" s="562" t="s">
        <v>315</v>
      </c>
      <c r="D21" s="1852" t="s">
        <v>1666</v>
      </c>
      <c r="E21" s="1853"/>
      <c r="F21" s="1853"/>
      <c r="G21" s="1854"/>
    </row>
    <row r="22" spans="1:7" s="601" customFormat="1" ht="15" customHeight="1" x14ac:dyDescent="0.2">
      <c r="A22" s="449">
        <v>18</v>
      </c>
      <c r="B22" s="1351"/>
      <c r="C22" s="1352" t="s">
        <v>315</v>
      </c>
      <c r="D22" s="1852" t="s">
        <v>1817</v>
      </c>
      <c r="E22" s="1853"/>
      <c r="F22" s="1853"/>
      <c r="G22" s="1854"/>
    </row>
    <row r="23" spans="1:7" s="601" customFormat="1" ht="15" customHeight="1" x14ac:dyDescent="0.2">
      <c r="A23" s="449">
        <v>19</v>
      </c>
      <c r="B23" s="1351"/>
      <c r="C23" s="1352" t="s">
        <v>315</v>
      </c>
      <c r="D23" s="1853" t="s">
        <v>1824</v>
      </c>
      <c r="E23" s="1853"/>
      <c r="F23" s="1853"/>
      <c r="G23" s="1854"/>
    </row>
    <row r="24" spans="1:7" s="601" customFormat="1" ht="22.5" customHeight="1" x14ac:dyDescent="0.2">
      <c r="A24" s="1038">
        <v>20</v>
      </c>
      <c r="B24" s="1210" t="s">
        <v>315</v>
      </c>
      <c r="C24" s="1210"/>
      <c r="D24" s="1519" t="s">
        <v>2125</v>
      </c>
      <c r="E24" s="1519"/>
      <c r="F24" s="1519"/>
      <c r="G24" s="1520"/>
    </row>
    <row r="25" spans="1:7" s="601" customFormat="1" x14ac:dyDescent="0.2">
      <c r="A25" s="923"/>
      <c r="B25" s="540"/>
      <c r="C25" s="923"/>
      <c r="D25" s="925"/>
      <c r="E25" s="925"/>
      <c r="F25" s="540"/>
      <c r="G25" s="540"/>
    </row>
    <row r="26" spans="1:7" s="601" customFormat="1" x14ac:dyDescent="0.2">
      <c r="A26" s="923"/>
      <c r="B26" s="540"/>
      <c r="C26" s="923"/>
      <c r="D26" s="925"/>
      <c r="E26" s="925"/>
      <c r="F26" s="540"/>
      <c r="G26" s="540"/>
    </row>
    <row r="27" spans="1:7" s="601" customFormat="1" x14ac:dyDescent="0.2">
      <c r="A27" s="923"/>
      <c r="B27" s="540"/>
      <c r="C27" s="923"/>
      <c r="D27" s="925"/>
      <c r="E27" s="925"/>
      <c r="F27" s="540"/>
      <c r="G27" s="540"/>
    </row>
  </sheetData>
  <sheetProtection algorithmName="SHA-512" hashValue="L1RoDO1+ytASSwS/Yqu/ALPCd6mYbBzayJtkVhNm/8O0JphAEiMM6b3oYp+G+t3CZ1XoqE66PIe8dDk0Yqpdsw==" saltValue="3JqRQ1F4EOTmOsr1/Q0bAw==" spinCount="100000" sheet="1" objects="1" scenarios="1"/>
  <customSheetViews>
    <customSheetView guid="{465483EC-2E3A-4F9E-B378-C4750D61668A}">
      <pageMargins left="0.7" right="0.7" top="0.78740157499999996" bottom="0.78740157499999996" header="0.3" footer="0.3"/>
    </customSheetView>
  </customSheetViews>
  <mergeCells count="23">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 ref="D22:G22"/>
    <mergeCell ref="D21:G21"/>
    <mergeCell ref="D15:G15"/>
    <mergeCell ref="D16:G16"/>
    <mergeCell ref="D17:G17"/>
    <mergeCell ref="D18:G18"/>
    <mergeCell ref="D19:G19"/>
  </mergeCells>
  <phoneticPr fontId="51"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Sr, Sp, Ka), Stand: 13.12.2021&amp;RSeite &amp;P</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4:W395"/>
  <sheetViews>
    <sheetView workbookViewId="0">
      <selection activeCell="B25" sqref="B25"/>
    </sheetView>
  </sheetViews>
  <sheetFormatPr baseColWidth="10" defaultRowHeight="12.75" x14ac:dyDescent="0.2"/>
  <cols>
    <col min="2" max="2" width="16.140625" customWidth="1"/>
    <col min="3" max="3" width="16" customWidth="1"/>
    <col min="4" max="4" width="14.7109375" customWidth="1"/>
    <col min="5" max="5" width="14.7109375" style="938" customWidth="1"/>
    <col min="11" max="11" width="11.42578125" customWidth="1"/>
    <col min="12" max="12" width="11.42578125" style="938" customWidth="1"/>
    <col min="13" max="17" width="11.42578125" customWidth="1"/>
    <col min="18" max="18" width="11.5703125" style="31"/>
    <col min="19" max="20" width="11.42578125" style="31"/>
    <col min="21" max="21" width="11.42578125" style="31" customWidth="1"/>
  </cols>
  <sheetData>
    <row r="4" spans="2:21" ht="12.75" customHeight="1" x14ac:dyDescent="0.2">
      <c r="B4" s="1603" t="s">
        <v>1667</v>
      </c>
      <c r="C4" s="1603"/>
      <c r="D4" s="1603"/>
      <c r="E4" s="1603"/>
      <c r="F4" s="1603"/>
      <c r="G4" s="1603"/>
      <c r="H4" s="49"/>
      <c r="I4" s="49"/>
      <c r="J4" s="49"/>
      <c r="K4" s="49"/>
      <c r="L4" s="49"/>
    </row>
    <row r="5" spans="2:21" x14ac:dyDescent="0.2">
      <c r="B5" s="1603"/>
      <c r="C5" s="1603"/>
      <c r="D5" s="1603"/>
      <c r="E5" s="1603"/>
      <c r="F5" s="1603"/>
      <c r="G5" s="1603"/>
      <c r="H5" s="49"/>
      <c r="I5" s="49"/>
      <c r="J5" s="49"/>
      <c r="K5" s="49"/>
      <c r="L5" s="49"/>
    </row>
    <row r="6" spans="2:21" x14ac:dyDescent="0.2">
      <c r="B6" s="1603"/>
      <c r="C6" s="1603"/>
      <c r="D6" s="1603"/>
      <c r="E6" s="1603"/>
      <c r="F6" s="1603"/>
      <c r="G6" s="1603"/>
      <c r="H6" s="49"/>
      <c r="I6" s="49"/>
      <c r="J6" s="49"/>
      <c r="K6" s="49"/>
      <c r="L6" s="49"/>
    </row>
    <row r="7" spans="2:21" x14ac:dyDescent="0.2">
      <c r="B7" s="1603"/>
      <c r="C7" s="1603"/>
      <c r="D7" s="1603"/>
      <c r="E7" s="1603"/>
      <c r="F7" s="1603"/>
      <c r="G7" s="1603"/>
    </row>
    <row r="9" spans="2:21" s="525" customFormat="1" x14ac:dyDescent="0.2">
      <c r="E9" s="938"/>
      <c r="L9" s="938"/>
      <c r="R9" s="31"/>
      <c r="S9" s="31"/>
      <c r="T9" s="31"/>
      <c r="U9" s="31"/>
    </row>
    <row r="10" spans="2:21" s="525" customFormat="1" x14ac:dyDescent="0.2">
      <c r="B10" s="526" t="s">
        <v>1161</v>
      </c>
      <c r="E10" s="938"/>
      <c r="L10" s="938"/>
      <c r="R10" s="31"/>
      <c r="S10" s="31"/>
      <c r="T10" s="31"/>
      <c r="U10" s="31"/>
    </row>
    <row r="11" spans="2:21" s="525" customFormat="1" x14ac:dyDescent="0.2">
      <c r="E11" s="938"/>
      <c r="L11" s="938"/>
      <c r="R11" s="31"/>
      <c r="S11" s="31"/>
      <c r="T11" s="31"/>
      <c r="U11" s="31"/>
    </row>
    <row r="12" spans="2:21" s="525" customFormat="1" x14ac:dyDescent="0.2">
      <c r="E12" s="938"/>
      <c r="L12" s="938"/>
      <c r="R12" s="31"/>
      <c r="S12" s="31"/>
      <c r="T12" s="31"/>
      <c r="U12" s="31"/>
    </row>
    <row r="13" spans="2:21" s="525" customFormat="1" x14ac:dyDescent="0.2">
      <c r="E13" s="938"/>
      <c r="L13" s="938"/>
      <c r="R13" s="31"/>
      <c r="S13" s="31"/>
      <c r="T13" s="31"/>
      <c r="U13" s="31"/>
    </row>
    <row r="14" spans="2:21" s="525" customFormat="1" x14ac:dyDescent="0.2">
      <c r="E14" s="938"/>
      <c r="L14" s="938"/>
      <c r="R14" s="31"/>
      <c r="S14" s="31"/>
      <c r="T14" s="31"/>
      <c r="U14" s="31"/>
    </row>
    <row r="15" spans="2:21" s="525" customFormat="1" x14ac:dyDescent="0.2">
      <c r="E15" s="938"/>
      <c r="L15" s="938"/>
      <c r="R15" s="31"/>
      <c r="S15" s="31"/>
      <c r="T15" s="31"/>
      <c r="U15" s="31"/>
    </row>
    <row r="16" spans="2:21" s="525" customFormat="1" x14ac:dyDescent="0.2">
      <c r="E16" s="938"/>
      <c r="L16" s="938"/>
      <c r="R16" s="31"/>
      <c r="S16" s="31"/>
      <c r="T16" s="31"/>
      <c r="U16" s="31"/>
    </row>
    <row r="17" spans="1:21" s="525" customFormat="1" x14ac:dyDescent="0.2">
      <c r="E17" s="938"/>
      <c r="L17" s="938"/>
      <c r="R17" s="31"/>
      <c r="S17" s="31"/>
      <c r="T17" s="31"/>
      <c r="U17" s="31"/>
    </row>
    <row r="18" spans="1:21" s="525" customFormat="1" x14ac:dyDescent="0.2">
      <c r="E18" s="938"/>
      <c r="L18" s="938"/>
      <c r="R18" s="31"/>
      <c r="S18" s="31"/>
      <c r="T18" s="31"/>
      <c r="U18" s="31"/>
    </row>
    <row r="19" spans="1:21" s="525" customFormat="1" x14ac:dyDescent="0.2">
      <c r="E19" s="938"/>
      <c r="L19" s="938"/>
      <c r="R19" s="31"/>
      <c r="S19" s="31"/>
      <c r="T19" s="31"/>
      <c r="U19" s="31"/>
    </row>
    <row r="20" spans="1:21" s="525" customFormat="1" ht="12.75" customHeight="1" x14ac:dyDescent="0.2">
      <c r="B20" s="49"/>
      <c r="C20" s="49"/>
      <c r="D20" s="49"/>
      <c r="E20" s="49"/>
      <c r="F20" s="49"/>
      <c r="G20" s="49"/>
      <c r="L20" s="938"/>
      <c r="R20" s="31"/>
      <c r="S20" s="31"/>
      <c r="T20" s="31"/>
      <c r="U20" s="31"/>
    </row>
    <row r="21" spans="1:21" s="525" customFormat="1" x14ac:dyDescent="0.2">
      <c r="E21" s="938"/>
      <c r="L21" s="938"/>
      <c r="R21" s="31"/>
      <c r="S21" s="31"/>
      <c r="T21" s="31"/>
      <c r="U21" s="31"/>
    </row>
    <row r="22" spans="1:21" s="525" customFormat="1" x14ac:dyDescent="0.2">
      <c r="E22" s="938"/>
      <c r="L22" s="938"/>
      <c r="R22" s="31"/>
      <c r="S22" s="31"/>
      <c r="T22" s="31"/>
      <c r="U22" s="31"/>
    </row>
    <row r="23" spans="1:21" s="531" customFormat="1" ht="19.5" customHeight="1" x14ac:dyDescent="0.25">
      <c r="B23" s="535" t="str">
        <f>IF('#orgDung'!Q114=0,"","Dokumentation nicht abgeschlossen, Datentransfer unvollständig!")</f>
        <v/>
      </c>
      <c r="E23" s="938"/>
      <c r="L23" s="938"/>
      <c r="O23" s="31"/>
      <c r="R23" s="31"/>
      <c r="S23" s="31"/>
      <c r="T23" s="31"/>
      <c r="U23" s="31"/>
    </row>
    <row r="24" spans="1:21" ht="13.5" thickBot="1" x14ac:dyDescent="0.25"/>
    <row r="25" spans="1:21" x14ac:dyDescent="0.2">
      <c r="B25" s="1477" t="str">
        <f>IF(D25="","",'Flächen u. Kulturen'!B10)</f>
        <v/>
      </c>
      <c r="C25" s="1478" t="str">
        <f>IF(D25="","",'Flächen u. Kulturen'!C10)</f>
        <v/>
      </c>
      <c r="D25" s="1478" t="str">
        <f>IF(AND('Flächen u. Kulturen'!D10="",'Flächen u. Kulturen'!D10=0),"",'Flächen u. Kulturen'!D10)</f>
        <v/>
      </c>
      <c r="E25" s="1478" t="str">
        <f>IF('Flächen u. Kulturen'!E10="","",'Flächen u. Kulturen'!E10)</f>
        <v>x</v>
      </c>
      <c r="F25" s="1478" t="str">
        <f>IF('Flächen u. Kulturen'!F10="",'#Boden'!$G$4,'Flächen u. Kulturen'!F10)</f>
        <v xml:space="preserve"> --</v>
      </c>
      <c r="G25" s="1478" t="str">
        <f>IF('Flächen u. Kulturen'!G10="",'#Boden'!$B$26,'Flächen u. Kulturen'!G10)</f>
        <v xml:space="preserve"> --</v>
      </c>
      <c r="H25" s="1478" t="str">
        <f>IF('Flächen u. Kulturen'!H10="",'#Boden'!$B$23,'Flächen u. Kulturen'!H10)</f>
        <v>ja</v>
      </c>
      <c r="I25" s="1478" t="str">
        <f>IF('Flächen u. Kulturen'!I10="",'#Boden'!$B$9,'Flächen u. Kulturen'!I10)</f>
        <v xml:space="preserve"> --         </v>
      </c>
      <c r="J25" s="1478" t="str">
        <f>IF('Flächen u. Kulturen'!P10="",'#Frucht'!$D$8,'Flächen u. Kulturen'!P10)</f>
        <v xml:space="preserve"> --  </v>
      </c>
      <c r="K25" s="1478">
        <f>'#orgDung'!U14</f>
        <v>0</v>
      </c>
      <c r="L25" s="1478" t="str">
        <f>'#orgDung'!S14</f>
        <v/>
      </c>
      <c r="M25" s="1478" t="str">
        <f>'#Zweitfr'!$D$8</f>
        <v xml:space="preserve"> --    </v>
      </c>
      <c r="N25" s="1478" t="str">
        <f>'#Boden'!$G$17</f>
        <v xml:space="preserve"> --     </v>
      </c>
      <c r="O25" s="1478" t="str">
        <f>'#Boden'!$G$22</f>
        <v xml:space="preserve"> --      </v>
      </c>
      <c r="P25" s="1478"/>
      <c r="Q25" s="1478" t="str">
        <f>IF('#BerechnungDBE'!N5=3,J25,'#Frucht'!$D$8)</f>
        <v xml:space="preserve"> --  </v>
      </c>
      <c r="R25" s="527"/>
      <c r="S25"/>
      <c r="T25"/>
      <c r="U25"/>
    </row>
    <row r="26" spans="1:21" x14ac:dyDescent="0.2">
      <c r="A26" s="525"/>
      <c r="B26" s="1479" t="str">
        <f>IF(D26="","",'Flächen u. Kulturen'!B11)</f>
        <v/>
      </c>
      <c r="C26" s="1176" t="str">
        <f>IF(D26="","",'Flächen u. Kulturen'!C11)</f>
        <v/>
      </c>
      <c r="D26" s="1176" t="str">
        <f>IF(AND('Flächen u. Kulturen'!D11="",'Flächen u. Kulturen'!D11=0),"",'Flächen u. Kulturen'!D11)</f>
        <v/>
      </c>
      <c r="E26" s="1176" t="str">
        <f>IF('Flächen u. Kulturen'!E11="","",'Flächen u. Kulturen'!E11)</f>
        <v>x</v>
      </c>
      <c r="F26" s="1176" t="str">
        <f>IF('Flächen u. Kulturen'!F11="",'#Boden'!$G$4,'Flächen u. Kulturen'!F11)</f>
        <v xml:space="preserve"> --</v>
      </c>
      <c r="G26" s="1176" t="str">
        <f>IF('Flächen u. Kulturen'!G11="",'#Boden'!$B$26,'Flächen u. Kulturen'!G11)</f>
        <v xml:space="preserve"> --</v>
      </c>
      <c r="H26" s="1176" t="str">
        <f>IF('Flächen u. Kulturen'!H11="",'#Boden'!$B$23,'Flächen u. Kulturen'!H11)</f>
        <v>ja</v>
      </c>
      <c r="I26" s="1176" t="str">
        <f>IF('Flächen u. Kulturen'!I11="",'#Boden'!$B$9,'Flächen u. Kulturen'!I11)</f>
        <v xml:space="preserve"> --         </v>
      </c>
      <c r="J26" s="1176" t="str">
        <f>IF('Flächen u. Kulturen'!P11="",'#Frucht'!$D$8,'Flächen u. Kulturen'!P11)</f>
        <v xml:space="preserve"> --  </v>
      </c>
      <c r="K26" s="1480">
        <f>'#orgDung'!U15</f>
        <v>0</v>
      </c>
      <c r="L26" s="1176" t="str">
        <f>'#orgDung'!S15</f>
        <v/>
      </c>
      <c r="M26" s="1176" t="str">
        <f>'#Zweitfr'!$D$8</f>
        <v xml:space="preserve"> --    </v>
      </c>
      <c r="N26" s="1176" t="str">
        <f>'#Boden'!$G$17</f>
        <v xml:space="preserve"> --     </v>
      </c>
      <c r="O26" s="1176" t="str">
        <f>'#Boden'!$G$22</f>
        <v xml:space="preserve"> --      </v>
      </c>
      <c r="P26" s="1176"/>
      <c r="Q26" s="1176" t="str">
        <f>IF('#BerechnungDBE'!N6=3,J26,'#Frucht'!$D$8)</f>
        <v xml:space="preserve"> --  </v>
      </c>
      <c r="R26" s="527"/>
      <c r="S26"/>
      <c r="T26"/>
      <c r="U26"/>
    </row>
    <row r="27" spans="1:21" x14ac:dyDescent="0.2">
      <c r="A27" s="525"/>
      <c r="B27" s="1479" t="str">
        <f>IF(D27="","",'Flächen u. Kulturen'!B12)</f>
        <v/>
      </c>
      <c r="C27" s="1176" t="str">
        <f>IF(D27="","",'Flächen u. Kulturen'!C12)</f>
        <v/>
      </c>
      <c r="D27" s="1176" t="str">
        <f>IF(AND('Flächen u. Kulturen'!D12="",'Flächen u. Kulturen'!D12=0),"",'Flächen u. Kulturen'!D12)</f>
        <v/>
      </c>
      <c r="E27" s="1176" t="str">
        <f>IF('Flächen u. Kulturen'!E12="","",'Flächen u. Kulturen'!E12)</f>
        <v>x</v>
      </c>
      <c r="F27" s="1176" t="str">
        <f>IF('Flächen u. Kulturen'!F12="",'#Boden'!$G$4,'Flächen u. Kulturen'!F12)</f>
        <v xml:space="preserve"> --</v>
      </c>
      <c r="G27" s="1176" t="str">
        <f>IF('Flächen u. Kulturen'!G12="",'#Boden'!$B$26,'Flächen u. Kulturen'!G12)</f>
        <v xml:space="preserve"> --</v>
      </c>
      <c r="H27" s="1176" t="str">
        <f>IF('Flächen u. Kulturen'!H12="",'#Boden'!$B$23,'Flächen u. Kulturen'!H12)</f>
        <v>ja</v>
      </c>
      <c r="I27" s="1176" t="str">
        <f>IF('Flächen u. Kulturen'!I12="",'#Boden'!$B$9,'Flächen u. Kulturen'!I12)</f>
        <v xml:space="preserve"> --         </v>
      </c>
      <c r="J27" s="1176" t="str">
        <f>IF('Flächen u. Kulturen'!P12="",'#Frucht'!$D$8,'Flächen u. Kulturen'!P12)</f>
        <v xml:space="preserve"> --  </v>
      </c>
      <c r="K27" s="1176">
        <f>'#orgDung'!U16</f>
        <v>0</v>
      </c>
      <c r="L27" s="1176" t="str">
        <f>'#orgDung'!S16</f>
        <v/>
      </c>
      <c r="M27" s="1176" t="str">
        <f>'#Zweitfr'!$D$8</f>
        <v xml:space="preserve"> --    </v>
      </c>
      <c r="N27" s="1176" t="str">
        <f>'#Boden'!$G$17</f>
        <v xml:space="preserve"> --     </v>
      </c>
      <c r="O27" s="1176" t="str">
        <f>'#Boden'!$G$22</f>
        <v xml:space="preserve"> --      </v>
      </c>
      <c r="P27" s="1176"/>
      <c r="Q27" s="1176" t="str">
        <f>IF('#BerechnungDBE'!N7=3,J27,'#Frucht'!$D$8)</f>
        <v xml:space="preserve"> --  </v>
      </c>
      <c r="R27" s="527"/>
      <c r="S27"/>
      <c r="T27"/>
      <c r="U27"/>
    </row>
    <row r="28" spans="1:21" ht="27" customHeight="1" x14ac:dyDescent="0.2">
      <c r="A28" s="525"/>
      <c r="B28" s="1479" t="str">
        <f>IF(D28="","",'Flächen u. Kulturen'!B13)</f>
        <v/>
      </c>
      <c r="C28" s="1176" t="str">
        <f>IF(D28="","",'Flächen u. Kulturen'!C13)</f>
        <v/>
      </c>
      <c r="D28" s="1176" t="str">
        <f>IF(AND('Flächen u. Kulturen'!D13="",'Flächen u. Kulturen'!D13=0),"",'Flächen u. Kulturen'!D13)</f>
        <v/>
      </c>
      <c r="E28" s="1176" t="str">
        <f>IF('Flächen u. Kulturen'!E13="","",'Flächen u. Kulturen'!E13)</f>
        <v>x</v>
      </c>
      <c r="F28" s="1176" t="str">
        <f>IF('Flächen u. Kulturen'!F13="",'#Boden'!$G$4,'Flächen u. Kulturen'!F13)</f>
        <v xml:space="preserve"> --</v>
      </c>
      <c r="G28" s="1176" t="str">
        <f>IF('Flächen u. Kulturen'!G13="",'#Boden'!$B$26,'Flächen u. Kulturen'!G13)</f>
        <v xml:space="preserve"> --</v>
      </c>
      <c r="H28" s="1176" t="str">
        <f>IF('Flächen u. Kulturen'!H13="",'#Boden'!$B$23,'Flächen u. Kulturen'!H13)</f>
        <v>ja</v>
      </c>
      <c r="I28" s="1176" t="str">
        <f>IF('Flächen u. Kulturen'!I13="",'#Boden'!$B$9,'Flächen u. Kulturen'!I13)</f>
        <v xml:space="preserve"> --         </v>
      </c>
      <c r="J28" s="1176" t="str">
        <f>IF('Flächen u. Kulturen'!P13="",'#Frucht'!$D$8,'Flächen u. Kulturen'!P13)</f>
        <v xml:space="preserve"> --  </v>
      </c>
      <c r="K28" s="1176">
        <f>'#orgDung'!U17</f>
        <v>0</v>
      </c>
      <c r="L28" s="1176" t="str">
        <f>'#orgDung'!S17</f>
        <v/>
      </c>
      <c r="M28" s="1176" t="str">
        <f>'#Zweitfr'!$D$8</f>
        <v xml:space="preserve"> --    </v>
      </c>
      <c r="N28" s="1176" t="str">
        <f>'#Boden'!$G$17</f>
        <v xml:space="preserve"> --     </v>
      </c>
      <c r="O28" s="1176" t="str">
        <f>'#Boden'!$G$22</f>
        <v xml:space="preserve"> --      </v>
      </c>
      <c r="P28" s="1176"/>
      <c r="Q28" s="1176" t="str">
        <f>IF('#BerechnungDBE'!N8=3,J28,'#Frucht'!$D$8)</f>
        <v xml:space="preserve"> --  </v>
      </c>
      <c r="R28" s="527"/>
      <c r="S28"/>
      <c r="T28"/>
      <c r="U28"/>
    </row>
    <row r="29" spans="1:21" ht="27" customHeight="1" x14ac:dyDescent="0.2">
      <c r="A29" s="525"/>
      <c r="B29" s="1479" t="str">
        <f>IF(D29="","",'Flächen u. Kulturen'!B14)</f>
        <v/>
      </c>
      <c r="C29" s="1176" t="str">
        <f>IF(D29="","",'Flächen u. Kulturen'!C14)</f>
        <v/>
      </c>
      <c r="D29" s="1176" t="str">
        <f>IF(AND('Flächen u. Kulturen'!D14="",'Flächen u. Kulturen'!D14=0),"",'Flächen u. Kulturen'!D14)</f>
        <v/>
      </c>
      <c r="E29" s="1176" t="str">
        <f>IF('Flächen u. Kulturen'!E14="","",'Flächen u. Kulturen'!E14)</f>
        <v>x</v>
      </c>
      <c r="F29" s="1176" t="str">
        <f>IF('Flächen u. Kulturen'!F14="",'#Boden'!$G$4,'Flächen u. Kulturen'!F14)</f>
        <v xml:space="preserve"> --</v>
      </c>
      <c r="G29" s="1176" t="str">
        <f>IF('Flächen u. Kulturen'!G14="",'#Boden'!$B$26,'Flächen u. Kulturen'!G14)</f>
        <v xml:space="preserve"> --</v>
      </c>
      <c r="H29" s="1176" t="str">
        <f>IF('Flächen u. Kulturen'!H14="",'#Boden'!$B$23,'Flächen u. Kulturen'!H14)</f>
        <v>ja</v>
      </c>
      <c r="I29" s="1176" t="str">
        <f>IF('Flächen u. Kulturen'!I14="",'#Boden'!$B$9,'Flächen u. Kulturen'!I14)</f>
        <v xml:space="preserve"> --         </v>
      </c>
      <c r="J29" s="1176" t="str">
        <f>IF('Flächen u. Kulturen'!P14="",'#Frucht'!$D$8,'Flächen u. Kulturen'!P14)</f>
        <v xml:space="preserve"> --  </v>
      </c>
      <c r="K29" s="1176">
        <f>'#orgDung'!U18</f>
        <v>0</v>
      </c>
      <c r="L29" s="1176" t="str">
        <f>'#orgDung'!S18</f>
        <v/>
      </c>
      <c r="M29" s="1176" t="str">
        <f>'#Zweitfr'!$D$8</f>
        <v xml:space="preserve"> --    </v>
      </c>
      <c r="N29" s="1176" t="str">
        <f>'#Boden'!$G$17</f>
        <v xml:space="preserve"> --     </v>
      </c>
      <c r="O29" s="1176" t="str">
        <f>'#Boden'!$G$22</f>
        <v xml:space="preserve"> --      </v>
      </c>
      <c r="P29" s="1176"/>
      <c r="Q29" s="1176" t="str">
        <f>IF('#BerechnungDBE'!N9=3,J29,'#Frucht'!$D$8)</f>
        <v xml:space="preserve"> --  </v>
      </c>
      <c r="R29" s="527"/>
      <c r="S29"/>
      <c r="T29"/>
      <c r="U29"/>
    </row>
    <row r="30" spans="1:21" s="875" customFormat="1" ht="27" customHeight="1" x14ac:dyDescent="0.2">
      <c r="B30" s="1479" t="str">
        <f>IF(D30="","",'Flächen u. Kulturen'!B15)</f>
        <v/>
      </c>
      <c r="C30" s="1176" t="str">
        <f>IF(D30="","",'Flächen u. Kulturen'!C15)</f>
        <v/>
      </c>
      <c r="D30" s="1176" t="str">
        <f>IF(AND('Flächen u. Kulturen'!D15="",'Flächen u. Kulturen'!D15=0),"",'Flächen u. Kulturen'!D15)</f>
        <v/>
      </c>
      <c r="E30" s="1176" t="str">
        <f>IF('Flächen u. Kulturen'!E15="","",'Flächen u. Kulturen'!E15)</f>
        <v>x</v>
      </c>
      <c r="F30" s="1176" t="str">
        <f>IF('Flächen u. Kulturen'!F15="",'#Boden'!$G$4,'Flächen u. Kulturen'!F15)</f>
        <v xml:space="preserve"> --</v>
      </c>
      <c r="G30" s="1176" t="str">
        <f>IF('Flächen u. Kulturen'!G15="",'#Boden'!$B$26,'Flächen u. Kulturen'!G15)</f>
        <v xml:space="preserve"> --</v>
      </c>
      <c r="H30" s="1176" t="str">
        <f>IF('Flächen u. Kulturen'!H15="",'#Boden'!$B$23,'Flächen u. Kulturen'!H15)</f>
        <v>ja</v>
      </c>
      <c r="I30" s="1176" t="str">
        <f>IF('Flächen u. Kulturen'!I15="",'#Boden'!$B$9,'Flächen u. Kulturen'!I15)</f>
        <v xml:space="preserve"> --         </v>
      </c>
      <c r="J30" s="1176" t="str">
        <f>IF('Flächen u. Kulturen'!P15="",'#Frucht'!$D$8,'Flächen u. Kulturen'!P15)</f>
        <v xml:space="preserve"> --  </v>
      </c>
      <c r="K30" s="1176">
        <f>'#orgDung'!U19</f>
        <v>0</v>
      </c>
      <c r="L30" s="1176" t="str">
        <f>'#orgDung'!S19</f>
        <v/>
      </c>
      <c r="M30" s="1176" t="str">
        <f>'#Zweitfr'!$D$8</f>
        <v xml:space="preserve"> --    </v>
      </c>
      <c r="N30" s="1176" t="str">
        <f>'#Boden'!$G$17</f>
        <v xml:space="preserve"> --     </v>
      </c>
      <c r="O30" s="1176" t="str">
        <f>'#Boden'!$G$22</f>
        <v xml:space="preserve"> --      </v>
      </c>
      <c r="P30" s="1176"/>
      <c r="Q30" s="1176" t="str">
        <f>IF('#BerechnungDBE'!N10=3,J30,'#Frucht'!$D$8)</f>
        <v xml:space="preserve"> --  </v>
      </c>
      <c r="R30" s="527"/>
    </row>
    <row r="31" spans="1:21" s="875" customFormat="1" ht="27" customHeight="1" x14ac:dyDescent="0.2">
      <c r="B31" s="1479" t="str">
        <f>IF(D31="","",'Flächen u. Kulturen'!B16)</f>
        <v/>
      </c>
      <c r="C31" s="1176" t="str">
        <f>IF(D31="","",'Flächen u. Kulturen'!C16)</f>
        <v/>
      </c>
      <c r="D31" s="1176" t="str">
        <f>IF(AND('Flächen u. Kulturen'!D16="",'Flächen u. Kulturen'!D16=0),"",'Flächen u. Kulturen'!D16)</f>
        <v/>
      </c>
      <c r="E31" s="1176" t="str">
        <f>IF('Flächen u. Kulturen'!E16="","",'Flächen u. Kulturen'!E16)</f>
        <v>x</v>
      </c>
      <c r="F31" s="1176" t="str">
        <f>IF('Flächen u. Kulturen'!F16="",'#Boden'!$G$4,'Flächen u. Kulturen'!F16)</f>
        <v xml:space="preserve"> --</v>
      </c>
      <c r="G31" s="1176" t="str">
        <f>IF('Flächen u. Kulturen'!G16="",'#Boden'!$B$26,'Flächen u. Kulturen'!G16)</f>
        <v xml:space="preserve"> --</v>
      </c>
      <c r="H31" s="1176" t="str">
        <f>IF('Flächen u. Kulturen'!H16="",'#Boden'!$B$23,'Flächen u. Kulturen'!H16)</f>
        <v>ja</v>
      </c>
      <c r="I31" s="1176" t="str">
        <f>IF('Flächen u. Kulturen'!I16="",'#Boden'!$B$9,'Flächen u. Kulturen'!I16)</f>
        <v xml:space="preserve"> --         </v>
      </c>
      <c r="J31" s="1176" t="str">
        <f>IF('Flächen u. Kulturen'!P16="",'#Frucht'!$D$8,'Flächen u. Kulturen'!P16)</f>
        <v xml:space="preserve"> --  </v>
      </c>
      <c r="K31" s="1176">
        <f>'#orgDung'!U20</f>
        <v>0</v>
      </c>
      <c r="L31" s="1176" t="str">
        <f>'#orgDung'!S20</f>
        <v/>
      </c>
      <c r="M31" s="1176" t="str">
        <f>'#Zweitfr'!$D$8</f>
        <v xml:space="preserve"> --    </v>
      </c>
      <c r="N31" s="1176" t="str">
        <f>'#Boden'!$G$17</f>
        <v xml:space="preserve"> --     </v>
      </c>
      <c r="O31" s="1176" t="str">
        <f>'#Boden'!$G$22</f>
        <v xml:space="preserve"> --      </v>
      </c>
      <c r="P31" s="1176"/>
      <c r="Q31" s="1176" t="str">
        <f>IF('#BerechnungDBE'!N11=3,J31,'#Frucht'!$D$8)</f>
        <v xml:space="preserve"> --  </v>
      </c>
      <c r="R31" s="527"/>
    </row>
    <row r="32" spans="1:21" s="875" customFormat="1" ht="27" customHeight="1" x14ac:dyDescent="0.2">
      <c r="B32" s="1479" t="str">
        <f>IF(D32="","",'Flächen u. Kulturen'!B17)</f>
        <v/>
      </c>
      <c r="C32" s="1176" t="str">
        <f>IF(D32="","",'Flächen u. Kulturen'!C17)</f>
        <v/>
      </c>
      <c r="D32" s="1176" t="str">
        <f>IF(AND('Flächen u. Kulturen'!D17="",'Flächen u. Kulturen'!D17=0),"",'Flächen u. Kulturen'!D17)</f>
        <v/>
      </c>
      <c r="E32" s="1176" t="str">
        <f>IF('Flächen u. Kulturen'!E17="","",'Flächen u. Kulturen'!E17)</f>
        <v>x</v>
      </c>
      <c r="F32" s="1176" t="str">
        <f>IF('Flächen u. Kulturen'!F17="",'#Boden'!$G$4,'Flächen u. Kulturen'!F17)</f>
        <v xml:space="preserve"> --</v>
      </c>
      <c r="G32" s="1176" t="str">
        <f>IF('Flächen u. Kulturen'!G17="",'#Boden'!$B$26,'Flächen u. Kulturen'!G17)</f>
        <v xml:space="preserve"> --</v>
      </c>
      <c r="H32" s="1176" t="str">
        <f>IF('Flächen u. Kulturen'!H17="",'#Boden'!$B$23,'Flächen u. Kulturen'!H17)</f>
        <v>ja</v>
      </c>
      <c r="I32" s="1176" t="str">
        <f>IF('Flächen u. Kulturen'!I17="",'#Boden'!$B$9,'Flächen u. Kulturen'!I17)</f>
        <v xml:space="preserve"> --         </v>
      </c>
      <c r="J32" s="1176" t="str">
        <f>IF('Flächen u. Kulturen'!P17="",'#Frucht'!$D$8,'Flächen u. Kulturen'!P17)</f>
        <v xml:space="preserve"> --  </v>
      </c>
      <c r="K32" s="1176">
        <f>'#orgDung'!U21</f>
        <v>0</v>
      </c>
      <c r="L32" s="1176" t="str">
        <f>'#orgDung'!S21</f>
        <v/>
      </c>
      <c r="M32" s="1176" t="str">
        <f>'#Zweitfr'!$D$8</f>
        <v xml:space="preserve"> --    </v>
      </c>
      <c r="N32" s="1176" t="str">
        <f>'#Boden'!$G$17</f>
        <v xml:space="preserve"> --     </v>
      </c>
      <c r="O32" s="1176" t="str">
        <f>'#Boden'!$G$22</f>
        <v xml:space="preserve"> --      </v>
      </c>
      <c r="P32" s="1176"/>
      <c r="Q32" s="1176" t="str">
        <f>IF('#BerechnungDBE'!N12=3,J32,'#Frucht'!$D$8)</f>
        <v xml:space="preserve"> --  </v>
      </c>
      <c r="R32" s="527"/>
    </row>
    <row r="33" spans="2:18" s="875" customFormat="1" ht="27" customHeight="1" x14ac:dyDescent="0.2">
      <c r="B33" s="1479" t="str">
        <f>IF(D33="","",'Flächen u. Kulturen'!B18)</f>
        <v/>
      </c>
      <c r="C33" s="1176" t="str">
        <f>IF(D33="","",'Flächen u. Kulturen'!C18)</f>
        <v/>
      </c>
      <c r="D33" s="1176" t="str">
        <f>IF(AND('Flächen u. Kulturen'!D18="",'Flächen u. Kulturen'!D18=0),"",'Flächen u. Kulturen'!D18)</f>
        <v/>
      </c>
      <c r="E33" s="1176" t="str">
        <f>IF('Flächen u. Kulturen'!E18="","",'Flächen u. Kulturen'!E18)</f>
        <v>x</v>
      </c>
      <c r="F33" s="1176" t="str">
        <f>IF('Flächen u. Kulturen'!F18="",'#Boden'!$G$4,'Flächen u. Kulturen'!F18)</f>
        <v xml:space="preserve"> --</v>
      </c>
      <c r="G33" s="1176" t="str">
        <f>IF('Flächen u. Kulturen'!G18="",'#Boden'!$B$26,'Flächen u. Kulturen'!G18)</f>
        <v xml:space="preserve"> --</v>
      </c>
      <c r="H33" s="1176" t="str">
        <f>IF('Flächen u. Kulturen'!H18="",'#Boden'!$B$23,'Flächen u. Kulturen'!H18)</f>
        <v>ja</v>
      </c>
      <c r="I33" s="1176" t="str">
        <f>IF('Flächen u. Kulturen'!I18="",'#Boden'!$B$9,'Flächen u. Kulturen'!I18)</f>
        <v xml:space="preserve"> --         </v>
      </c>
      <c r="J33" s="1176" t="str">
        <f>IF('Flächen u. Kulturen'!P18="",'#Frucht'!$D$8,'Flächen u. Kulturen'!P18)</f>
        <v xml:space="preserve"> --  </v>
      </c>
      <c r="K33" s="1176">
        <f>'#orgDung'!U22</f>
        <v>0</v>
      </c>
      <c r="L33" s="1176" t="str">
        <f>'#orgDung'!S22</f>
        <v/>
      </c>
      <c r="M33" s="1176" t="str">
        <f>'#Zweitfr'!$D$8</f>
        <v xml:space="preserve"> --    </v>
      </c>
      <c r="N33" s="1176" t="str">
        <f>'#Boden'!$G$17</f>
        <v xml:space="preserve"> --     </v>
      </c>
      <c r="O33" s="1176" t="str">
        <f>'#Boden'!$G$22</f>
        <v xml:space="preserve"> --      </v>
      </c>
      <c r="P33" s="1176"/>
      <c r="Q33" s="1176" t="str">
        <f>IF('#BerechnungDBE'!N13=3,J33,'#Frucht'!$D$8)</f>
        <v xml:space="preserve"> --  </v>
      </c>
      <c r="R33" s="527"/>
    </row>
    <row r="34" spans="2:18" s="875" customFormat="1" ht="27" customHeight="1" x14ac:dyDescent="0.2">
      <c r="B34" s="1479" t="str">
        <f>IF(D34="","",'Flächen u. Kulturen'!B19)</f>
        <v/>
      </c>
      <c r="C34" s="1176" t="str">
        <f>IF(D34="","",'Flächen u. Kulturen'!C19)</f>
        <v/>
      </c>
      <c r="D34" s="1176" t="str">
        <f>IF(AND('Flächen u. Kulturen'!D19="",'Flächen u. Kulturen'!D19=0),"",'Flächen u. Kulturen'!D19)</f>
        <v/>
      </c>
      <c r="E34" s="1176" t="str">
        <f>IF('Flächen u. Kulturen'!E19="","",'Flächen u. Kulturen'!E19)</f>
        <v>x</v>
      </c>
      <c r="F34" s="1176" t="str">
        <f>IF('Flächen u. Kulturen'!F19="",'#Boden'!$G$4,'Flächen u. Kulturen'!F19)</f>
        <v xml:space="preserve"> --</v>
      </c>
      <c r="G34" s="1176" t="str">
        <f>IF('Flächen u. Kulturen'!G19="",'#Boden'!$B$26,'Flächen u. Kulturen'!G19)</f>
        <v xml:space="preserve"> --</v>
      </c>
      <c r="H34" s="1176" t="str">
        <f>IF('Flächen u. Kulturen'!H19="",'#Boden'!$B$23,'Flächen u. Kulturen'!H19)</f>
        <v>ja</v>
      </c>
      <c r="I34" s="1176" t="str">
        <f>IF('Flächen u. Kulturen'!I19="",'#Boden'!$B$9,'Flächen u. Kulturen'!I19)</f>
        <v xml:space="preserve"> --         </v>
      </c>
      <c r="J34" s="1176" t="str">
        <f>IF('Flächen u. Kulturen'!P19="",'#Frucht'!$D$8,'Flächen u. Kulturen'!P19)</f>
        <v xml:space="preserve"> --  </v>
      </c>
      <c r="K34" s="1176">
        <f>'#orgDung'!U23</f>
        <v>0</v>
      </c>
      <c r="L34" s="1176" t="str">
        <f>'#orgDung'!S23</f>
        <v/>
      </c>
      <c r="M34" s="1176" t="str">
        <f>'#Zweitfr'!$D$8</f>
        <v xml:space="preserve"> --    </v>
      </c>
      <c r="N34" s="1176" t="str">
        <f>'#Boden'!$G$17</f>
        <v xml:space="preserve"> --     </v>
      </c>
      <c r="O34" s="1176" t="str">
        <f>'#Boden'!$G$22</f>
        <v xml:space="preserve"> --      </v>
      </c>
      <c r="P34" s="1176"/>
      <c r="Q34" s="1176" t="str">
        <f>IF('#BerechnungDBE'!N14=3,J34,'#Frucht'!$D$8)</f>
        <v xml:space="preserve"> --  </v>
      </c>
      <c r="R34" s="527"/>
    </row>
    <row r="35" spans="2:18" s="875" customFormat="1" ht="27" customHeight="1" x14ac:dyDescent="0.2">
      <c r="B35" s="1479" t="str">
        <f>IF(D35="","",'Flächen u. Kulturen'!B20)</f>
        <v/>
      </c>
      <c r="C35" s="1176" t="str">
        <f>IF(D35="","",'Flächen u. Kulturen'!C20)</f>
        <v/>
      </c>
      <c r="D35" s="1176" t="str">
        <f>IF(AND('Flächen u. Kulturen'!D20="",'Flächen u. Kulturen'!D20=0),"",'Flächen u. Kulturen'!D20)</f>
        <v/>
      </c>
      <c r="E35" s="1176" t="str">
        <f>IF('Flächen u. Kulturen'!E20="","",'Flächen u. Kulturen'!E20)</f>
        <v>x</v>
      </c>
      <c r="F35" s="1176" t="str">
        <f>IF('Flächen u. Kulturen'!F20="",'#Boden'!$G$4,'Flächen u. Kulturen'!F20)</f>
        <v xml:space="preserve"> --</v>
      </c>
      <c r="G35" s="1176" t="str">
        <f>IF('Flächen u. Kulturen'!G20="",'#Boden'!$B$26,'Flächen u. Kulturen'!G20)</f>
        <v xml:space="preserve"> --</v>
      </c>
      <c r="H35" s="1176" t="str">
        <f>IF('Flächen u. Kulturen'!H20="",'#Boden'!$B$23,'Flächen u. Kulturen'!H20)</f>
        <v>ja</v>
      </c>
      <c r="I35" s="1176" t="str">
        <f>IF('Flächen u. Kulturen'!I20="",'#Boden'!$B$9,'Flächen u. Kulturen'!I20)</f>
        <v xml:space="preserve"> --         </v>
      </c>
      <c r="J35" s="1176" t="str">
        <f>IF('Flächen u. Kulturen'!P20="",'#Frucht'!$D$8,'Flächen u. Kulturen'!P20)</f>
        <v xml:space="preserve"> --  </v>
      </c>
      <c r="K35" s="1176">
        <f>'#orgDung'!U24</f>
        <v>0</v>
      </c>
      <c r="L35" s="1176" t="str">
        <f>'#orgDung'!S24</f>
        <v/>
      </c>
      <c r="M35" s="1176" t="str">
        <f>'#Zweitfr'!$D$8</f>
        <v xml:space="preserve"> --    </v>
      </c>
      <c r="N35" s="1176" t="str">
        <f>'#Boden'!$G$17</f>
        <v xml:space="preserve"> --     </v>
      </c>
      <c r="O35" s="1176" t="str">
        <f>'#Boden'!$G$22</f>
        <v xml:space="preserve"> --      </v>
      </c>
      <c r="P35" s="1176"/>
      <c r="Q35" s="1176" t="str">
        <f>IF('#BerechnungDBE'!N15=3,J35,'#Frucht'!$D$8)</f>
        <v xml:space="preserve"> --  </v>
      </c>
      <c r="R35" s="527"/>
    </row>
    <row r="36" spans="2:18" s="875" customFormat="1" ht="27" customHeight="1" x14ac:dyDescent="0.2">
      <c r="B36" s="1479" t="str">
        <f>IF(D36="","",'Flächen u. Kulturen'!B21)</f>
        <v/>
      </c>
      <c r="C36" s="1176" t="str">
        <f>IF(D36="","",'Flächen u. Kulturen'!C21)</f>
        <v/>
      </c>
      <c r="D36" s="1176" t="str">
        <f>IF(AND('Flächen u. Kulturen'!D21="",'Flächen u. Kulturen'!D21=0),"",'Flächen u. Kulturen'!D21)</f>
        <v/>
      </c>
      <c r="E36" s="1176" t="str">
        <f>IF('Flächen u. Kulturen'!E21="","",'Flächen u. Kulturen'!E21)</f>
        <v>x</v>
      </c>
      <c r="F36" s="1176" t="str">
        <f>IF('Flächen u. Kulturen'!F21="",'#Boden'!$G$4,'Flächen u. Kulturen'!F21)</f>
        <v xml:space="preserve"> --</v>
      </c>
      <c r="G36" s="1176" t="str">
        <f>IF('Flächen u. Kulturen'!G21="",'#Boden'!$B$26,'Flächen u. Kulturen'!G21)</f>
        <v xml:space="preserve"> --</v>
      </c>
      <c r="H36" s="1176" t="str">
        <f>IF('Flächen u. Kulturen'!H21="",'#Boden'!$B$23,'Flächen u. Kulturen'!H21)</f>
        <v>ja</v>
      </c>
      <c r="I36" s="1176" t="str">
        <f>IF('Flächen u. Kulturen'!I21="",'#Boden'!$B$9,'Flächen u. Kulturen'!I21)</f>
        <v xml:space="preserve"> --         </v>
      </c>
      <c r="J36" s="1176" t="str">
        <f>IF('Flächen u. Kulturen'!P21="",'#Frucht'!$D$8,'Flächen u. Kulturen'!P21)</f>
        <v xml:space="preserve"> --  </v>
      </c>
      <c r="K36" s="1176">
        <f>'#orgDung'!U25</f>
        <v>0</v>
      </c>
      <c r="L36" s="1176" t="str">
        <f>'#orgDung'!S25</f>
        <v/>
      </c>
      <c r="M36" s="1176" t="str">
        <f>'#Zweitfr'!$D$8</f>
        <v xml:space="preserve"> --    </v>
      </c>
      <c r="N36" s="1176" t="str">
        <f>'#Boden'!$G$17</f>
        <v xml:space="preserve"> --     </v>
      </c>
      <c r="O36" s="1176" t="str">
        <f>'#Boden'!$G$22</f>
        <v xml:space="preserve"> --      </v>
      </c>
      <c r="P36" s="1176"/>
      <c r="Q36" s="1176" t="str">
        <f>IF('#BerechnungDBE'!N16=3,J36,'#Frucht'!$D$8)</f>
        <v xml:space="preserve"> --  </v>
      </c>
      <c r="R36" s="527"/>
    </row>
    <row r="37" spans="2:18" s="875" customFormat="1" ht="27" customHeight="1" x14ac:dyDescent="0.2">
      <c r="B37" s="1479" t="str">
        <f>IF(D37="","",'Flächen u. Kulturen'!B22)</f>
        <v/>
      </c>
      <c r="C37" s="1176" t="str">
        <f>IF(D37="","",'Flächen u. Kulturen'!C22)</f>
        <v/>
      </c>
      <c r="D37" s="1176" t="str">
        <f>IF(AND('Flächen u. Kulturen'!D22="",'Flächen u. Kulturen'!D22=0),"",'Flächen u. Kulturen'!D22)</f>
        <v/>
      </c>
      <c r="E37" s="1176" t="str">
        <f>IF('Flächen u. Kulturen'!E22="","",'Flächen u. Kulturen'!E22)</f>
        <v>x</v>
      </c>
      <c r="F37" s="1176" t="str">
        <f>IF('Flächen u. Kulturen'!F22="",'#Boden'!$G$4,'Flächen u. Kulturen'!F22)</f>
        <v xml:space="preserve"> --</v>
      </c>
      <c r="G37" s="1176" t="str">
        <f>IF('Flächen u. Kulturen'!G22="",'#Boden'!$B$26,'Flächen u. Kulturen'!G22)</f>
        <v xml:space="preserve"> --</v>
      </c>
      <c r="H37" s="1176" t="str">
        <f>IF('Flächen u. Kulturen'!H22="",'#Boden'!$B$23,'Flächen u. Kulturen'!H22)</f>
        <v>ja</v>
      </c>
      <c r="I37" s="1176" t="str">
        <f>IF('Flächen u. Kulturen'!I22="",'#Boden'!$B$9,'Flächen u. Kulturen'!I22)</f>
        <v xml:space="preserve"> --         </v>
      </c>
      <c r="J37" s="1176" t="str">
        <f>IF('Flächen u. Kulturen'!P22="",'#Frucht'!$D$8,'Flächen u. Kulturen'!P22)</f>
        <v xml:space="preserve"> --  </v>
      </c>
      <c r="K37" s="1176">
        <f>'#orgDung'!U26</f>
        <v>0</v>
      </c>
      <c r="L37" s="1176" t="str">
        <f>'#orgDung'!S26</f>
        <v/>
      </c>
      <c r="M37" s="1176" t="str">
        <f>'#Zweitfr'!$D$8</f>
        <v xml:space="preserve"> --    </v>
      </c>
      <c r="N37" s="1176" t="str">
        <f>'#Boden'!$G$17</f>
        <v xml:space="preserve"> --     </v>
      </c>
      <c r="O37" s="1176" t="str">
        <f>'#Boden'!$G$22</f>
        <v xml:space="preserve"> --      </v>
      </c>
      <c r="P37" s="1176"/>
      <c r="Q37" s="1176" t="str">
        <f>IF('#BerechnungDBE'!N17=3,J37,'#Frucht'!$D$8)</f>
        <v xml:space="preserve"> --  </v>
      </c>
      <c r="R37" s="527"/>
    </row>
    <row r="38" spans="2:18" s="875" customFormat="1" ht="27" customHeight="1" x14ac:dyDescent="0.2">
      <c r="B38" s="1479" t="str">
        <f>IF(D38="","",'Flächen u. Kulturen'!B23)</f>
        <v/>
      </c>
      <c r="C38" s="1176" t="str">
        <f>IF(D38="","",'Flächen u. Kulturen'!C23)</f>
        <v/>
      </c>
      <c r="D38" s="1176" t="str">
        <f>IF(AND('Flächen u. Kulturen'!D23="",'Flächen u. Kulturen'!D23=0),"",'Flächen u. Kulturen'!D23)</f>
        <v/>
      </c>
      <c r="E38" s="1176" t="str">
        <f>IF('Flächen u. Kulturen'!E23="","",'Flächen u. Kulturen'!E23)</f>
        <v>x</v>
      </c>
      <c r="F38" s="1176" t="str">
        <f>IF('Flächen u. Kulturen'!F23="",'#Boden'!$G$4,'Flächen u. Kulturen'!F23)</f>
        <v xml:space="preserve"> --</v>
      </c>
      <c r="G38" s="1176" t="str">
        <f>IF('Flächen u. Kulturen'!G23="",'#Boden'!$B$26,'Flächen u. Kulturen'!G23)</f>
        <v xml:space="preserve"> --</v>
      </c>
      <c r="H38" s="1176" t="str">
        <f>IF('Flächen u. Kulturen'!H23="",'#Boden'!$B$23,'Flächen u. Kulturen'!H23)</f>
        <v>ja</v>
      </c>
      <c r="I38" s="1176" t="str">
        <f>IF('Flächen u. Kulturen'!I23="",'#Boden'!$B$9,'Flächen u. Kulturen'!I23)</f>
        <v xml:space="preserve"> --         </v>
      </c>
      <c r="J38" s="1176" t="str">
        <f>IF('Flächen u. Kulturen'!P23="",'#Frucht'!$D$8,'Flächen u. Kulturen'!P23)</f>
        <v xml:space="preserve"> --  </v>
      </c>
      <c r="K38" s="1176">
        <f>'#orgDung'!U27</f>
        <v>0</v>
      </c>
      <c r="L38" s="1176" t="str">
        <f>'#orgDung'!S27</f>
        <v/>
      </c>
      <c r="M38" s="1176" t="str">
        <f>'#Zweitfr'!$D$8</f>
        <v xml:space="preserve"> --    </v>
      </c>
      <c r="N38" s="1176" t="str">
        <f>'#Boden'!$G$17</f>
        <v xml:space="preserve"> --     </v>
      </c>
      <c r="O38" s="1176" t="str">
        <f>'#Boden'!$G$22</f>
        <v xml:space="preserve"> --      </v>
      </c>
      <c r="P38" s="1176"/>
      <c r="Q38" s="1176" t="str">
        <f>IF('#BerechnungDBE'!N18=3,J38,'#Frucht'!$D$8)</f>
        <v xml:space="preserve"> --  </v>
      </c>
      <c r="R38" s="527"/>
    </row>
    <row r="39" spans="2:18" s="875" customFormat="1" ht="27" customHeight="1" x14ac:dyDescent="0.2">
      <c r="B39" s="1479" t="str">
        <f>IF(D39="","",'Flächen u. Kulturen'!B24)</f>
        <v/>
      </c>
      <c r="C39" s="1176" t="str">
        <f>IF(D39="","",'Flächen u. Kulturen'!C24)</f>
        <v/>
      </c>
      <c r="D39" s="1176" t="str">
        <f>IF(AND('Flächen u. Kulturen'!D24="",'Flächen u. Kulturen'!D24=0),"",'Flächen u. Kulturen'!D24)</f>
        <v/>
      </c>
      <c r="E39" s="1176" t="str">
        <f>IF('Flächen u. Kulturen'!E24="","",'Flächen u. Kulturen'!E24)</f>
        <v>x</v>
      </c>
      <c r="F39" s="1176" t="str">
        <f>IF('Flächen u. Kulturen'!F24="",'#Boden'!$G$4,'Flächen u. Kulturen'!F24)</f>
        <v xml:space="preserve"> --</v>
      </c>
      <c r="G39" s="1176" t="str">
        <f>IF('Flächen u. Kulturen'!G24="",'#Boden'!$B$26,'Flächen u. Kulturen'!G24)</f>
        <v xml:space="preserve"> --</v>
      </c>
      <c r="H39" s="1176" t="str">
        <f>IF('Flächen u. Kulturen'!H24="",'#Boden'!$B$23,'Flächen u. Kulturen'!H24)</f>
        <v>ja</v>
      </c>
      <c r="I39" s="1176" t="str">
        <f>IF('Flächen u. Kulturen'!I24="",'#Boden'!$B$9,'Flächen u. Kulturen'!I24)</f>
        <v xml:space="preserve"> --         </v>
      </c>
      <c r="J39" s="1176" t="str">
        <f>IF('Flächen u. Kulturen'!P24="",'#Frucht'!$D$8,'Flächen u. Kulturen'!P24)</f>
        <v xml:space="preserve"> --  </v>
      </c>
      <c r="K39" s="1176">
        <f>'#orgDung'!U28</f>
        <v>0</v>
      </c>
      <c r="L39" s="1176" t="str">
        <f>'#orgDung'!S28</f>
        <v/>
      </c>
      <c r="M39" s="1176" t="str">
        <f>'#Zweitfr'!$D$8</f>
        <v xml:space="preserve"> --    </v>
      </c>
      <c r="N39" s="1176" t="str">
        <f>'#Boden'!$G$17</f>
        <v xml:space="preserve"> --     </v>
      </c>
      <c r="O39" s="1176" t="str">
        <f>'#Boden'!$G$22</f>
        <v xml:space="preserve"> --      </v>
      </c>
      <c r="P39" s="1176"/>
      <c r="Q39" s="1176" t="str">
        <f>IF('#BerechnungDBE'!N19=3,J39,'#Frucht'!$D$8)</f>
        <v xml:space="preserve"> --  </v>
      </c>
      <c r="R39" s="527"/>
    </row>
    <row r="40" spans="2:18" s="875" customFormat="1" ht="27" customHeight="1" x14ac:dyDescent="0.2">
      <c r="B40" s="1479" t="str">
        <f>IF(D40="","",'Flächen u. Kulturen'!B25)</f>
        <v/>
      </c>
      <c r="C40" s="1176" t="str">
        <f>IF(D40="","",'Flächen u. Kulturen'!C25)</f>
        <v/>
      </c>
      <c r="D40" s="1176" t="str">
        <f>IF(AND('Flächen u. Kulturen'!D25="",'Flächen u. Kulturen'!D25=0),"",'Flächen u. Kulturen'!D25)</f>
        <v/>
      </c>
      <c r="E40" s="1176" t="str">
        <f>IF('Flächen u. Kulturen'!E25="","",'Flächen u. Kulturen'!E25)</f>
        <v>x</v>
      </c>
      <c r="F40" s="1176" t="str">
        <f>IF('Flächen u. Kulturen'!F25="",'#Boden'!$G$4,'Flächen u. Kulturen'!F25)</f>
        <v xml:space="preserve"> --</v>
      </c>
      <c r="G40" s="1176" t="str">
        <f>IF('Flächen u. Kulturen'!G25="",'#Boden'!$B$26,'Flächen u. Kulturen'!G25)</f>
        <v xml:space="preserve"> --</v>
      </c>
      <c r="H40" s="1176" t="str">
        <f>IF('Flächen u. Kulturen'!H25="",'#Boden'!$B$23,'Flächen u. Kulturen'!H25)</f>
        <v>ja</v>
      </c>
      <c r="I40" s="1176" t="str">
        <f>IF('Flächen u. Kulturen'!I25="",'#Boden'!$B$9,'Flächen u. Kulturen'!I25)</f>
        <v xml:space="preserve"> --         </v>
      </c>
      <c r="J40" s="1176" t="str">
        <f>IF('Flächen u. Kulturen'!P25="",'#Frucht'!$D$8,'Flächen u. Kulturen'!P25)</f>
        <v xml:space="preserve"> --  </v>
      </c>
      <c r="K40" s="1176">
        <f>'#orgDung'!U29</f>
        <v>0</v>
      </c>
      <c r="L40" s="1176" t="str">
        <f>'#orgDung'!S29</f>
        <v/>
      </c>
      <c r="M40" s="1176" t="str">
        <f>'#Zweitfr'!$D$8</f>
        <v xml:space="preserve"> --    </v>
      </c>
      <c r="N40" s="1176" t="str">
        <f>'#Boden'!$G$17</f>
        <v xml:space="preserve"> --     </v>
      </c>
      <c r="O40" s="1176" t="str">
        <f>'#Boden'!$G$22</f>
        <v xml:space="preserve"> --      </v>
      </c>
      <c r="P40" s="1176"/>
      <c r="Q40" s="1176" t="str">
        <f>IF('#BerechnungDBE'!N20=3,J40,'#Frucht'!$D$8)</f>
        <v xml:space="preserve"> --  </v>
      </c>
      <c r="R40" s="527"/>
    </row>
    <row r="41" spans="2:18" s="875" customFormat="1" ht="27" customHeight="1" x14ac:dyDescent="0.2">
      <c r="B41" s="1479" t="str">
        <f>IF(D41="","",'Flächen u. Kulturen'!B26)</f>
        <v/>
      </c>
      <c r="C41" s="1176" t="str">
        <f>IF(D41="","",'Flächen u. Kulturen'!C26)</f>
        <v/>
      </c>
      <c r="D41" s="1176" t="str">
        <f>IF(AND('Flächen u. Kulturen'!D26="",'Flächen u. Kulturen'!D26=0),"",'Flächen u. Kulturen'!D26)</f>
        <v/>
      </c>
      <c r="E41" s="1176" t="str">
        <f>IF('Flächen u. Kulturen'!E26="","",'Flächen u. Kulturen'!E26)</f>
        <v>x</v>
      </c>
      <c r="F41" s="1176" t="str">
        <f>IF('Flächen u. Kulturen'!F26="",'#Boden'!$G$4,'Flächen u. Kulturen'!F26)</f>
        <v xml:space="preserve"> --</v>
      </c>
      <c r="G41" s="1176" t="str">
        <f>IF('Flächen u. Kulturen'!G26="",'#Boden'!$B$26,'Flächen u. Kulturen'!G26)</f>
        <v xml:space="preserve"> --</v>
      </c>
      <c r="H41" s="1176" t="str">
        <f>IF('Flächen u. Kulturen'!H26="",'#Boden'!$B$23,'Flächen u. Kulturen'!H26)</f>
        <v>ja</v>
      </c>
      <c r="I41" s="1176" t="str">
        <f>IF('Flächen u. Kulturen'!I26="",'#Boden'!$B$9,'Flächen u. Kulturen'!I26)</f>
        <v xml:space="preserve"> --         </v>
      </c>
      <c r="J41" s="1176" t="str">
        <f>IF('Flächen u. Kulturen'!P26="",'#Frucht'!$D$8,'Flächen u. Kulturen'!P26)</f>
        <v xml:space="preserve"> --  </v>
      </c>
      <c r="K41" s="1176">
        <f>'#orgDung'!U30</f>
        <v>0</v>
      </c>
      <c r="L41" s="1176" t="str">
        <f>'#orgDung'!S30</f>
        <v/>
      </c>
      <c r="M41" s="1176" t="str">
        <f>'#Zweitfr'!$D$8</f>
        <v xml:space="preserve"> --    </v>
      </c>
      <c r="N41" s="1176" t="str">
        <f>'#Boden'!$G$17</f>
        <v xml:space="preserve"> --     </v>
      </c>
      <c r="O41" s="1176" t="str">
        <f>'#Boden'!$G$22</f>
        <v xml:space="preserve"> --      </v>
      </c>
      <c r="P41" s="1176"/>
      <c r="Q41" s="1176" t="str">
        <f>IF('#BerechnungDBE'!N21=3,J41,'#Frucht'!$D$8)</f>
        <v xml:space="preserve"> --  </v>
      </c>
      <c r="R41" s="527"/>
    </row>
    <row r="42" spans="2:18" s="875" customFormat="1" ht="27" customHeight="1" x14ac:dyDescent="0.2">
      <c r="B42" s="1479" t="str">
        <f>IF(D42="","",'Flächen u. Kulturen'!B27)</f>
        <v/>
      </c>
      <c r="C42" s="1176" t="str">
        <f>IF(D42="","",'Flächen u. Kulturen'!C27)</f>
        <v/>
      </c>
      <c r="D42" s="1176" t="str">
        <f>IF(AND('Flächen u. Kulturen'!D27="",'Flächen u. Kulturen'!D27=0),"",'Flächen u. Kulturen'!D27)</f>
        <v/>
      </c>
      <c r="E42" s="1176" t="str">
        <f>IF('Flächen u. Kulturen'!E27="","",'Flächen u. Kulturen'!E27)</f>
        <v>x</v>
      </c>
      <c r="F42" s="1176" t="str">
        <f>IF('Flächen u. Kulturen'!F27="",'#Boden'!$G$4,'Flächen u. Kulturen'!F27)</f>
        <v xml:space="preserve"> --</v>
      </c>
      <c r="G42" s="1176" t="str">
        <f>IF('Flächen u. Kulturen'!G27="",'#Boden'!$B$26,'Flächen u. Kulturen'!G27)</f>
        <v xml:space="preserve"> --</v>
      </c>
      <c r="H42" s="1176" t="str">
        <f>IF('Flächen u. Kulturen'!H27="",'#Boden'!$B$23,'Flächen u. Kulturen'!H27)</f>
        <v>ja</v>
      </c>
      <c r="I42" s="1176" t="str">
        <f>IF('Flächen u. Kulturen'!I27="",'#Boden'!$B$9,'Flächen u. Kulturen'!I27)</f>
        <v xml:space="preserve"> --         </v>
      </c>
      <c r="J42" s="1176" t="str">
        <f>IF('Flächen u. Kulturen'!P27="",'#Frucht'!$D$8,'Flächen u. Kulturen'!P27)</f>
        <v xml:space="preserve"> --  </v>
      </c>
      <c r="K42" s="1176">
        <f>'#orgDung'!U31</f>
        <v>0</v>
      </c>
      <c r="L42" s="1176" t="str">
        <f>'#orgDung'!S31</f>
        <v/>
      </c>
      <c r="M42" s="1176" t="str">
        <f>'#Zweitfr'!$D$8</f>
        <v xml:space="preserve"> --    </v>
      </c>
      <c r="N42" s="1176" t="str">
        <f>'#Boden'!$G$17</f>
        <v xml:space="preserve"> --     </v>
      </c>
      <c r="O42" s="1176" t="str">
        <f>'#Boden'!$G$22</f>
        <v xml:space="preserve"> --      </v>
      </c>
      <c r="P42" s="1176"/>
      <c r="Q42" s="1176" t="str">
        <f>IF('#BerechnungDBE'!N22=3,J42,'#Frucht'!$D$8)</f>
        <v xml:space="preserve"> --  </v>
      </c>
      <c r="R42" s="527"/>
    </row>
    <row r="43" spans="2:18" s="875" customFormat="1" ht="27" customHeight="1" x14ac:dyDescent="0.2">
      <c r="B43" s="1479" t="str">
        <f>IF(D43="","",'Flächen u. Kulturen'!B28)</f>
        <v/>
      </c>
      <c r="C43" s="1176" t="str">
        <f>IF(D43="","",'Flächen u. Kulturen'!C28)</f>
        <v/>
      </c>
      <c r="D43" s="1176" t="str">
        <f>IF(AND('Flächen u. Kulturen'!D28="",'Flächen u. Kulturen'!D28=0),"",'Flächen u. Kulturen'!D28)</f>
        <v/>
      </c>
      <c r="E43" s="1176" t="str">
        <f>IF('Flächen u. Kulturen'!E28="","",'Flächen u. Kulturen'!E28)</f>
        <v>x</v>
      </c>
      <c r="F43" s="1176" t="str">
        <f>IF('Flächen u. Kulturen'!F28="",'#Boden'!$G$4,'Flächen u. Kulturen'!F28)</f>
        <v xml:space="preserve"> --</v>
      </c>
      <c r="G43" s="1176" t="str">
        <f>IF('Flächen u. Kulturen'!G28="",'#Boden'!$B$26,'Flächen u. Kulturen'!G28)</f>
        <v xml:space="preserve"> --</v>
      </c>
      <c r="H43" s="1176" t="str">
        <f>IF('Flächen u. Kulturen'!H28="",'#Boden'!$B$23,'Flächen u. Kulturen'!H28)</f>
        <v>ja</v>
      </c>
      <c r="I43" s="1176" t="str">
        <f>IF('Flächen u. Kulturen'!I28="",'#Boden'!$B$9,'Flächen u. Kulturen'!I28)</f>
        <v xml:space="preserve"> --         </v>
      </c>
      <c r="J43" s="1176" t="str">
        <f>IF('Flächen u. Kulturen'!P28="",'#Frucht'!$D$8,'Flächen u. Kulturen'!P28)</f>
        <v xml:space="preserve"> --  </v>
      </c>
      <c r="K43" s="1176">
        <f>'#orgDung'!U32</f>
        <v>0</v>
      </c>
      <c r="L43" s="1176" t="str">
        <f>'#orgDung'!S32</f>
        <v/>
      </c>
      <c r="M43" s="1176" t="str">
        <f>'#Zweitfr'!$D$8</f>
        <v xml:space="preserve"> --    </v>
      </c>
      <c r="N43" s="1176" t="str">
        <f>'#Boden'!$G$17</f>
        <v xml:space="preserve"> --     </v>
      </c>
      <c r="O43" s="1176" t="str">
        <f>'#Boden'!$G$22</f>
        <v xml:space="preserve"> --      </v>
      </c>
      <c r="P43" s="1176"/>
      <c r="Q43" s="1176" t="str">
        <f>IF('#BerechnungDBE'!N23=3,J43,'#Frucht'!$D$8)</f>
        <v xml:space="preserve"> --  </v>
      </c>
      <c r="R43" s="527"/>
    </row>
    <row r="44" spans="2:18" s="875" customFormat="1" ht="27" customHeight="1" x14ac:dyDescent="0.2">
      <c r="B44" s="1479" t="str">
        <f>IF(D44="","",'Flächen u. Kulturen'!B29)</f>
        <v/>
      </c>
      <c r="C44" s="1176" t="str">
        <f>IF(D44="","",'Flächen u. Kulturen'!C29)</f>
        <v/>
      </c>
      <c r="D44" s="1176" t="str">
        <f>IF(AND('Flächen u. Kulturen'!D29="",'Flächen u. Kulturen'!D29=0),"",'Flächen u. Kulturen'!D29)</f>
        <v/>
      </c>
      <c r="E44" s="1176" t="str">
        <f>IF('Flächen u. Kulturen'!E29="","",'Flächen u. Kulturen'!E29)</f>
        <v>x</v>
      </c>
      <c r="F44" s="1176" t="str">
        <f>IF('Flächen u. Kulturen'!F29="",'#Boden'!$G$4,'Flächen u. Kulturen'!F29)</f>
        <v xml:space="preserve"> --</v>
      </c>
      <c r="G44" s="1176" t="str">
        <f>IF('Flächen u. Kulturen'!G29="",'#Boden'!$B$26,'Flächen u. Kulturen'!G29)</f>
        <v xml:space="preserve"> --</v>
      </c>
      <c r="H44" s="1176" t="str">
        <f>IF('Flächen u. Kulturen'!H29="",'#Boden'!$B$23,'Flächen u. Kulturen'!H29)</f>
        <v>ja</v>
      </c>
      <c r="I44" s="1176" t="str">
        <f>IF('Flächen u. Kulturen'!I29="",'#Boden'!$B$9,'Flächen u. Kulturen'!I29)</f>
        <v xml:space="preserve"> --         </v>
      </c>
      <c r="J44" s="1176" t="str">
        <f>IF('Flächen u. Kulturen'!P29="",'#Frucht'!$D$8,'Flächen u. Kulturen'!P29)</f>
        <v xml:space="preserve"> --  </v>
      </c>
      <c r="K44" s="1176">
        <f>'#orgDung'!U33</f>
        <v>0</v>
      </c>
      <c r="L44" s="1176" t="str">
        <f>'#orgDung'!S33</f>
        <v/>
      </c>
      <c r="M44" s="1176" t="str">
        <f>'#Zweitfr'!$D$8</f>
        <v xml:space="preserve"> --    </v>
      </c>
      <c r="N44" s="1176" t="str">
        <f>'#Boden'!$G$17</f>
        <v xml:space="preserve"> --     </v>
      </c>
      <c r="O44" s="1176" t="str">
        <f>'#Boden'!$G$22</f>
        <v xml:space="preserve"> --      </v>
      </c>
      <c r="P44" s="1176"/>
      <c r="Q44" s="1176" t="str">
        <f>IF('#BerechnungDBE'!N24=3,J44,'#Frucht'!$D$8)</f>
        <v xml:space="preserve"> --  </v>
      </c>
      <c r="R44" s="527"/>
    </row>
    <row r="45" spans="2:18" s="875" customFormat="1" ht="27" customHeight="1" x14ac:dyDescent="0.2">
      <c r="B45" s="1479" t="str">
        <f>IF(D45="","",'Flächen u. Kulturen'!B30)</f>
        <v/>
      </c>
      <c r="C45" s="1176" t="str">
        <f>IF(D45="","",'Flächen u. Kulturen'!C30)</f>
        <v/>
      </c>
      <c r="D45" s="1176" t="str">
        <f>IF(AND('Flächen u. Kulturen'!D30="",'Flächen u. Kulturen'!D30=0),"",'Flächen u. Kulturen'!D30)</f>
        <v/>
      </c>
      <c r="E45" s="1176" t="str">
        <f>IF('Flächen u. Kulturen'!E30="","",'Flächen u. Kulturen'!E30)</f>
        <v>x</v>
      </c>
      <c r="F45" s="1176" t="str">
        <f>IF('Flächen u. Kulturen'!F30="",'#Boden'!$G$4,'Flächen u. Kulturen'!F30)</f>
        <v xml:space="preserve"> --</v>
      </c>
      <c r="G45" s="1176" t="str">
        <f>IF('Flächen u. Kulturen'!G30="",'#Boden'!$B$26,'Flächen u. Kulturen'!G30)</f>
        <v xml:space="preserve"> --</v>
      </c>
      <c r="H45" s="1176" t="str">
        <f>IF('Flächen u. Kulturen'!H30="",'#Boden'!$B$23,'Flächen u. Kulturen'!H30)</f>
        <v>ja</v>
      </c>
      <c r="I45" s="1176" t="str">
        <f>IF('Flächen u. Kulturen'!I30="",'#Boden'!$B$9,'Flächen u. Kulturen'!I30)</f>
        <v xml:space="preserve"> --         </v>
      </c>
      <c r="J45" s="1176" t="str">
        <f>IF('Flächen u. Kulturen'!P30="",'#Frucht'!$D$8,'Flächen u. Kulturen'!P30)</f>
        <v xml:space="preserve"> --  </v>
      </c>
      <c r="K45" s="1176">
        <f>'#orgDung'!U34</f>
        <v>0</v>
      </c>
      <c r="L45" s="1176" t="str">
        <f>'#orgDung'!S34</f>
        <v/>
      </c>
      <c r="M45" s="1176" t="str">
        <f>'#Zweitfr'!$D$8</f>
        <v xml:space="preserve"> --    </v>
      </c>
      <c r="N45" s="1176" t="str">
        <f>'#Boden'!$G$17</f>
        <v xml:space="preserve"> --     </v>
      </c>
      <c r="O45" s="1176" t="str">
        <f>'#Boden'!$G$22</f>
        <v xml:space="preserve"> --      </v>
      </c>
      <c r="P45" s="1176"/>
      <c r="Q45" s="1176" t="str">
        <f>IF('#BerechnungDBE'!N25=3,J45,'#Frucht'!$D$8)</f>
        <v xml:space="preserve"> --  </v>
      </c>
      <c r="R45" s="527"/>
    </row>
    <row r="46" spans="2:18" s="875" customFormat="1" ht="27" customHeight="1" x14ac:dyDescent="0.2">
      <c r="B46" s="1479" t="str">
        <f>IF(D46="","",'Flächen u. Kulturen'!B31)</f>
        <v/>
      </c>
      <c r="C46" s="1176" t="str">
        <f>IF(D46="","",'Flächen u. Kulturen'!C31)</f>
        <v/>
      </c>
      <c r="D46" s="1176" t="str">
        <f>IF(AND('Flächen u. Kulturen'!D31="",'Flächen u. Kulturen'!D31=0),"",'Flächen u. Kulturen'!D31)</f>
        <v/>
      </c>
      <c r="E46" s="1176" t="str">
        <f>IF('Flächen u. Kulturen'!E31="","",'Flächen u. Kulturen'!E31)</f>
        <v>x</v>
      </c>
      <c r="F46" s="1176" t="str">
        <f>IF('Flächen u. Kulturen'!F31="",'#Boden'!$G$4,'Flächen u. Kulturen'!F31)</f>
        <v xml:space="preserve"> --</v>
      </c>
      <c r="G46" s="1176" t="str">
        <f>IF('Flächen u. Kulturen'!G31="",'#Boden'!$B$26,'Flächen u. Kulturen'!G31)</f>
        <v xml:space="preserve"> --</v>
      </c>
      <c r="H46" s="1176" t="str">
        <f>IF('Flächen u. Kulturen'!H31="",'#Boden'!$B$23,'Flächen u. Kulturen'!H31)</f>
        <v>ja</v>
      </c>
      <c r="I46" s="1176" t="str">
        <f>IF('Flächen u. Kulturen'!I31="",'#Boden'!$B$9,'Flächen u. Kulturen'!I31)</f>
        <v xml:space="preserve"> --         </v>
      </c>
      <c r="J46" s="1176" t="str">
        <f>IF('Flächen u. Kulturen'!P31="",'#Frucht'!$D$8,'Flächen u. Kulturen'!P31)</f>
        <v xml:space="preserve"> --  </v>
      </c>
      <c r="K46" s="1176">
        <f>'#orgDung'!U35</f>
        <v>0</v>
      </c>
      <c r="L46" s="1176" t="str">
        <f>'#orgDung'!S35</f>
        <v/>
      </c>
      <c r="M46" s="1176" t="str">
        <f>'#Zweitfr'!$D$8</f>
        <v xml:space="preserve"> --    </v>
      </c>
      <c r="N46" s="1176" t="str">
        <f>'#Boden'!$G$17</f>
        <v xml:space="preserve"> --     </v>
      </c>
      <c r="O46" s="1176" t="str">
        <f>'#Boden'!$G$22</f>
        <v xml:space="preserve"> --      </v>
      </c>
      <c r="P46" s="1176"/>
      <c r="Q46" s="1176" t="str">
        <f>IF('#BerechnungDBE'!N26=3,J46,'#Frucht'!$D$8)</f>
        <v xml:space="preserve"> --  </v>
      </c>
      <c r="R46" s="527"/>
    </row>
    <row r="47" spans="2:18" s="875" customFormat="1" ht="27" customHeight="1" x14ac:dyDescent="0.2">
      <c r="B47" s="1479" t="str">
        <f>IF(D47="","",'Flächen u. Kulturen'!B32)</f>
        <v/>
      </c>
      <c r="C47" s="1176" t="str">
        <f>IF(D47="","",'Flächen u. Kulturen'!C32)</f>
        <v/>
      </c>
      <c r="D47" s="1176" t="str">
        <f>IF(AND('Flächen u. Kulturen'!D32="",'Flächen u. Kulturen'!D32=0),"",'Flächen u. Kulturen'!D32)</f>
        <v/>
      </c>
      <c r="E47" s="1176" t="str">
        <f>IF('Flächen u. Kulturen'!E32="","",'Flächen u. Kulturen'!E32)</f>
        <v>x</v>
      </c>
      <c r="F47" s="1176" t="str">
        <f>IF('Flächen u. Kulturen'!F32="",'#Boden'!$G$4,'Flächen u. Kulturen'!F32)</f>
        <v xml:space="preserve"> --</v>
      </c>
      <c r="G47" s="1176" t="str">
        <f>IF('Flächen u. Kulturen'!G32="",'#Boden'!$B$26,'Flächen u. Kulturen'!G32)</f>
        <v xml:space="preserve"> --</v>
      </c>
      <c r="H47" s="1176" t="str">
        <f>IF('Flächen u. Kulturen'!H32="",'#Boden'!$B$23,'Flächen u. Kulturen'!H32)</f>
        <v>ja</v>
      </c>
      <c r="I47" s="1176" t="str">
        <f>IF('Flächen u. Kulturen'!I32="",'#Boden'!$B$9,'Flächen u. Kulturen'!I32)</f>
        <v xml:space="preserve"> --         </v>
      </c>
      <c r="J47" s="1176" t="str">
        <f>IF('Flächen u. Kulturen'!P32="",'#Frucht'!$D$8,'Flächen u. Kulturen'!P32)</f>
        <v xml:space="preserve"> --  </v>
      </c>
      <c r="K47" s="1176">
        <f>'#orgDung'!U36</f>
        <v>0</v>
      </c>
      <c r="L47" s="1176" t="str">
        <f>'#orgDung'!S36</f>
        <v/>
      </c>
      <c r="M47" s="1176" t="str">
        <f>'#Zweitfr'!$D$8</f>
        <v xml:space="preserve"> --    </v>
      </c>
      <c r="N47" s="1176" t="str">
        <f>'#Boden'!$G$17</f>
        <v xml:space="preserve"> --     </v>
      </c>
      <c r="O47" s="1176" t="str">
        <f>'#Boden'!$G$22</f>
        <v xml:space="preserve"> --      </v>
      </c>
      <c r="P47" s="1176"/>
      <c r="Q47" s="1176" t="str">
        <f>IF('#BerechnungDBE'!N27=3,J47,'#Frucht'!$D$8)</f>
        <v xml:space="preserve"> --  </v>
      </c>
      <c r="R47" s="527"/>
    </row>
    <row r="48" spans="2:18" s="875" customFormat="1" ht="27" customHeight="1" x14ac:dyDescent="0.2">
      <c r="B48" s="1479" t="str">
        <f>IF(D48="","",'Flächen u. Kulturen'!B33)</f>
        <v/>
      </c>
      <c r="C48" s="1176" t="str">
        <f>IF(D48="","",'Flächen u. Kulturen'!C33)</f>
        <v/>
      </c>
      <c r="D48" s="1176" t="str">
        <f>IF(AND('Flächen u. Kulturen'!D33="",'Flächen u. Kulturen'!D33=0),"",'Flächen u. Kulturen'!D33)</f>
        <v/>
      </c>
      <c r="E48" s="1176" t="str">
        <f>IF('Flächen u. Kulturen'!E33="","",'Flächen u. Kulturen'!E33)</f>
        <v>x</v>
      </c>
      <c r="F48" s="1176" t="str">
        <f>IF('Flächen u. Kulturen'!F33="",'#Boden'!$G$4,'Flächen u. Kulturen'!F33)</f>
        <v xml:space="preserve"> --</v>
      </c>
      <c r="G48" s="1176" t="str">
        <f>IF('Flächen u. Kulturen'!G33="",'#Boden'!$B$26,'Flächen u. Kulturen'!G33)</f>
        <v xml:space="preserve"> --</v>
      </c>
      <c r="H48" s="1176" t="str">
        <f>IF('Flächen u. Kulturen'!H33="",'#Boden'!$B$23,'Flächen u. Kulturen'!H33)</f>
        <v>ja</v>
      </c>
      <c r="I48" s="1176" t="str">
        <f>IF('Flächen u. Kulturen'!I33="",'#Boden'!$B$9,'Flächen u. Kulturen'!I33)</f>
        <v xml:space="preserve"> --         </v>
      </c>
      <c r="J48" s="1176" t="str">
        <f>IF('Flächen u. Kulturen'!P33="",'#Frucht'!$D$8,'Flächen u. Kulturen'!P33)</f>
        <v xml:space="preserve"> --  </v>
      </c>
      <c r="K48" s="1176">
        <f>'#orgDung'!U37</f>
        <v>0</v>
      </c>
      <c r="L48" s="1176" t="str">
        <f>'#orgDung'!S37</f>
        <v/>
      </c>
      <c r="M48" s="1176" t="str">
        <f>'#Zweitfr'!$D$8</f>
        <v xml:space="preserve"> --    </v>
      </c>
      <c r="N48" s="1176" t="str">
        <f>'#Boden'!$G$17</f>
        <v xml:space="preserve"> --     </v>
      </c>
      <c r="O48" s="1176" t="str">
        <f>'#Boden'!$G$22</f>
        <v xml:space="preserve"> --      </v>
      </c>
      <c r="P48" s="1176"/>
      <c r="Q48" s="1176" t="str">
        <f>IF('#BerechnungDBE'!N28=3,J48,'#Frucht'!$D$8)</f>
        <v xml:space="preserve"> --  </v>
      </c>
      <c r="R48" s="527"/>
    </row>
    <row r="49" spans="2:18" s="875" customFormat="1" ht="27" customHeight="1" x14ac:dyDescent="0.2">
      <c r="B49" s="1479" t="str">
        <f>IF(D49="","",'Flächen u. Kulturen'!B34)</f>
        <v/>
      </c>
      <c r="C49" s="1176" t="str">
        <f>IF(D49="","",'Flächen u. Kulturen'!C34)</f>
        <v/>
      </c>
      <c r="D49" s="1176" t="str">
        <f>IF(AND('Flächen u. Kulturen'!D34="",'Flächen u. Kulturen'!D34=0),"",'Flächen u. Kulturen'!D34)</f>
        <v/>
      </c>
      <c r="E49" s="1176" t="str">
        <f>IF('Flächen u. Kulturen'!E34="","",'Flächen u. Kulturen'!E34)</f>
        <v>x</v>
      </c>
      <c r="F49" s="1176" t="str">
        <f>IF('Flächen u. Kulturen'!F34="",'#Boden'!$G$4,'Flächen u. Kulturen'!F34)</f>
        <v xml:space="preserve"> --</v>
      </c>
      <c r="G49" s="1176" t="str">
        <f>IF('Flächen u. Kulturen'!G34="",'#Boden'!$B$26,'Flächen u. Kulturen'!G34)</f>
        <v xml:space="preserve"> --</v>
      </c>
      <c r="H49" s="1176" t="str">
        <f>IF('Flächen u. Kulturen'!H34="",'#Boden'!$B$23,'Flächen u. Kulturen'!H34)</f>
        <v>ja</v>
      </c>
      <c r="I49" s="1176" t="str">
        <f>IF('Flächen u. Kulturen'!I34="",'#Boden'!$B$9,'Flächen u. Kulturen'!I34)</f>
        <v xml:space="preserve"> --         </v>
      </c>
      <c r="J49" s="1176" t="str">
        <f>IF('Flächen u. Kulturen'!P34="",'#Frucht'!$D$8,'Flächen u. Kulturen'!P34)</f>
        <v xml:space="preserve"> --  </v>
      </c>
      <c r="K49" s="1176">
        <f>'#orgDung'!U38</f>
        <v>0</v>
      </c>
      <c r="L49" s="1176" t="str">
        <f>'#orgDung'!S38</f>
        <v/>
      </c>
      <c r="M49" s="1176" t="str">
        <f>'#Zweitfr'!$D$8</f>
        <v xml:space="preserve"> --    </v>
      </c>
      <c r="N49" s="1176" t="str">
        <f>'#Boden'!$G$17</f>
        <v xml:space="preserve"> --     </v>
      </c>
      <c r="O49" s="1176" t="str">
        <f>'#Boden'!$G$22</f>
        <v xml:space="preserve"> --      </v>
      </c>
      <c r="P49" s="1176"/>
      <c r="Q49" s="1176" t="str">
        <f>IF('#BerechnungDBE'!N29=3,J49,'#Frucht'!$D$8)</f>
        <v xml:space="preserve"> --  </v>
      </c>
      <c r="R49" s="527"/>
    </row>
    <row r="50" spans="2:18" s="875" customFormat="1" ht="27" customHeight="1" x14ac:dyDescent="0.2">
      <c r="B50" s="1479" t="str">
        <f>IF(D50="","",'Flächen u. Kulturen'!B35)</f>
        <v/>
      </c>
      <c r="C50" s="1176" t="str">
        <f>IF(D50="","",'Flächen u. Kulturen'!C35)</f>
        <v/>
      </c>
      <c r="D50" s="1176" t="str">
        <f>IF(AND('Flächen u. Kulturen'!D35="",'Flächen u. Kulturen'!D35=0),"",'Flächen u. Kulturen'!D35)</f>
        <v/>
      </c>
      <c r="E50" s="1176" t="str">
        <f>IF('Flächen u. Kulturen'!E35="","",'Flächen u. Kulturen'!E35)</f>
        <v>x</v>
      </c>
      <c r="F50" s="1176" t="str">
        <f>IF('Flächen u. Kulturen'!F35="",'#Boden'!$G$4,'Flächen u. Kulturen'!F35)</f>
        <v xml:space="preserve"> --</v>
      </c>
      <c r="G50" s="1176" t="str">
        <f>IF('Flächen u. Kulturen'!G35="",'#Boden'!$B$26,'Flächen u. Kulturen'!G35)</f>
        <v xml:space="preserve"> --</v>
      </c>
      <c r="H50" s="1176" t="str">
        <f>IF('Flächen u. Kulturen'!H35="",'#Boden'!$B$23,'Flächen u. Kulturen'!H35)</f>
        <v>ja</v>
      </c>
      <c r="I50" s="1176" t="str">
        <f>IF('Flächen u. Kulturen'!I35="",'#Boden'!$B$9,'Flächen u. Kulturen'!I35)</f>
        <v xml:space="preserve"> --         </v>
      </c>
      <c r="J50" s="1176" t="str">
        <f>IF('Flächen u. Kulturen'!P35="",'#Frucht'!$D$8,'Flächen u. Kulturen'!P35)</f>
        <v xml:space="preserve"> --  </v>
      </c>
      <c r="K50" s="1176">
        <f>'#orgDung'!U39</f>
        <v>0</v>
      </c>
      <c r="L50" s="1176" t="str">
        <f>'#orgDung'!S39</f>
        <v/>
      </c>
      <c r="M50" s="1176" t="str">
        <f>'#Zweitfr'!$D$8</f>
        <v xml:space="preserve"> --    </v>
      </c>
      <c r="N50" s="1176" t="str">
        <f>'#Boden'!$G$17</f>
        <v xml:space="preserve"> --     </v>
      </c>
      <c r="O50" s="1176" t="str">
        <f>'#Boden'!$G$22</f>
        <v xml:space="preserve"> --      </v>
      </c>
      <c r="P50" s="1176"/>
      <c r="Q50" s="1176" t="str">
        <f>IF('#BerechnungDBE'!N30=3,J50,'#Frucht'!$D$8)</f>
        <v xml:space="preserve"> --  </v>
      </c>
      <c r="R50" s="527"/>
    </row>
    <row r="51" spans="2:18" s="875" customFormat="1" ht="27" customHeight="1" x14ac:dyDescent="0.2">
      <c r="B51" s="1479" t="str">
        <f>IF(D51="","",'Flächen u. Kulturen'!B36)</f>
        <v/>
      </c>
      <c r="C51" s="1176" t="str">
        <f>IF(D51="","",'Flächen u. Kulturen'!C36)</f>
        <v/>
      </c>
      <c r="D51" s="1176" t="str">
        <f>IF(AND('Flächen u. Kulturen'!D36="",'Flächen u. Kulturen'!D36=0),"",'Flächen u. Kulturen'!D36)</f>
        <v/>
      </c>
      <c r="E51" s="1176" t="str">
        <f>IF('Flächen u. Kulturen'!E36="","",'Flächen u. Kulturen'!E36)</f>
        <v>x</v>
      </c>
      <c r="F51" s="1176" t="str">
        <f>IF('Flächen u. Kulturen'!F36="",'#Boden'!$G$4,'Flächen u. Kulturen'!F36)</f>
        <v xml:space="preserve"> --</v>
      </c>
      <c r="G51" s="1176" t="str">
        <f>IF('Flächen u. Kulturen'!G36="",'#Boden'!$B$26,'Flächen u. Kulturen'!G36)</f>
        <v xml:space="preserve"> --</v>
      </c>
      <c r="H51" s="1176" t="str">
        <f>IF('Flächen u. Kulturen'!H36="",'#Boden'!$B$23,'Flächen u. Kulturen'!H36)</f>
        <v>ja</v>
      </c>
      <c r="I51" s="1176" t="str">
        <f>IF('Flächen u. Kulturen'!I36="",'#Boden'!$B$9,'Flächen u. Kulturen'!I36)</f>
        <v xml:space="preserve"> --         </v>
      </c>
      <c r="J51" s="1176" t="str">
        <f>IF('Flächen u. Kulturen'!P36="",'#Frucht'!$D$8,'Flächen u. Kulturen'!P36)</f>
        <v xml:space="preserve"> --  </v>
      </c>
      <c r="K51" s="1176">
        <f>'#orgDung'!U40</f>
        <v>0</v>
      </c>
      <c r="L51" s="1176" t="str">
        <f>'#orgDung'!S40</f>
        <v/>
      </c>
      <c r="M51" s="1176" t="str">
        <f>'#Zweitfr'!$D$8</f>
        <v xml:space="preserve"> --    </v>
      </c>
      <c r="N51" s="1176" t="str">
        <f>'#Boden'!$G$17</f>
        <v xml:space="preserve"> --     </v>
      </c>
      <c r="O51" s="1176" t="str">
        <f>'#Boden'!$G$22</f>
        <v xml:space="preserve"> --      </v>
      </c>
      <c r="P51" s="1176"/>
      <c r="Q51" s="1176" t="str">
        <f>IF('#BerechnungDBE'!N31=3,J51,'#Frucht'!$D$8)</f>
        <v xml:space="preserve"> --  </v>
      </c>
      <c r="R51" s="527"/>
    </row>
    <row r="52" spans="2:18" s="875" customFormat="1" ht="27" customHeight="1" x14ac:dyDescent="0.2">
      <c r="B52" s="1479" t="str">
        <f>IF(D52="","",'Flächen u. Kulturen'!B37)</f>
        <v/>
      </c>
      <c r="C52" s="1176" t="str">
        <f>IF(D52="","",'Flächen u. Kulturen'!C37)</f>
        <v/>
      </c>
      <c r="D52" s="1176" t="str">
        <f>IF(AND('Flächen u. Kulturen'!D37="",'Flächen u. Kulturen'!D37=0),"",'Flächen u. Kulturen'!D37)</f>
        <v/>
      </c>
      <c r="E52" s="1176" t="str">
        <f>IF('Flächen u. Kulturen'!E37="","",'Flächen u. Kulturen'!E37)</f>
        <v>x</v>
      </c>
      <c r="F52" s="1176" t="str">
        <f>IF('Flächen u. Kulturen'!F37="",'#Boden'!$G$4,'Flächen u. Kulturen'!F37)</f>
        <v xml:space="preserve"> --</v>
      </c>
      <c r="G52" s="1176" t="str">
        <f>IF('Flächen u. Kulturen'!G37="",'#Boden'!$B$26,'Flächen u. Kulturen'!G37)</f>
        <v xml:space="preserve"> --</v>
      </c>
      <c r="H52" s="1176" t="str">
        <f>IF('Flächen u. Kulturen'!H37="",'#Boden'!$B$23,'Flächen u. Kulturen'!H37)</f>
        <v>ja</v>
      </c>
      <c r="I52" s="1176" t="str">
        <f>IF('Flächen u. Kulturen'!I37="",'#Boden'!$B$9,'Flächen u. Kulturen'!I37)</f>
        <v xml:space="preserve"> --         </v>
      </c>
      <c r="J52" s="1176" t="str">
        <f>IF('Flächen u. Kulturen'!P37="",'#Frucht'!$D$8,'Flächen u. Kulturen'!P37)</f>
        <v xml:space="preserve"> --  </v>
      </c>
      <c r="K52" s="1176">
        <f>'#orgDung'!U41</f>
        <v>0</v>
      </c>
      <c r="L52" s="1176" t="str">
        <f>'#orgDung'!S41</f>
        <v/>
      </c>
      <c r="M52" s="1176" t="str">
        <f>'#Zweitfr'!$D$8</f>
        <v xml:space="preserve"> --    </v>
      </c>
      <c r="N52" s="1176" t="str">
        <f>'#Boden'!$G$17</f>
        <v xml:space="preserve"> --     </v>
      </c>
      <c r="O52" s="1176" t="str">
        <f>'#Boden'!$G$22</f>
        <v xml:space="preserve"> --      </v>
      </c>
      <c r="P52" s="1176"/>
      <c r="Q52" s="1176" t="str">
        <f>IF('#BerechnungDBE'!N32=3,J52,'#Frucht'!$D$8)</f>
        <v xml:space="preserve"> --  </v>
      </c>
      <c r="R52" s="527"/>
    </row>
    <row r="53" spans="2:18" s="875" customFormat="1" ht="27" customHeight="1" x14ac:dyDescent="0.2">
      <c r="B53" s="1479" t="str">
        <f>IF(D53="","",'Flächen u. Kulturen'!B38)</f>
        <v/>
      </c>
      <c r="C53" s="1176" t="str">
        <f>IF(D53="","",'Flächen u. Kulturen'!C38)</f>
        <v/>
      </c>
      <c r="D53" s="1176" t="str">
        <f>IF(AND('Flächen u. Kulturen'!D38="",'Flächen u. Kulturen'!D38=0),"",'Flächen u. Kulturen'!D38)</f>
        <v/>
      </c>
      <c r="E53" s="1176" t="str">
        <f>IF('Flächen u. Kulturen'!E38="","",'Flächen u. Kulturen'!E38)</f>
        <v>x</v>
      </c>
      <c r="F53" s="1176" t="str">
        <f>IF('Flächen u. Kulturen'!F38="",'#Boden'!$G$4,'Flächen u. Kulturen'!F38)</f>
        <v xml:space="preserve"> --</v>
      </c>
      <c r="G53" s="1176" t="str">
        <f>IF('Flächen u. Kulturen'!G38="",'#Boden'!$B$26,'Flächen u. Kulturen'!G38)</f>
        <v xml:space="preserve"> --</v>
      </c>
      <c r="H53" s="1176" t="str">
        <f>IF('Flächen u. Kulturen'!H38="",'#Boden'!$B$23,'Flächen u. Kulturen'!H38)</f>
        <v>ja</v>
      </c>
      <c r="I53" s="1176" t="str">
        <f>IF('Flächen u. Kulturen'!I38="",'#Boden'!$B$9,'Flächen u. Kulturen'!I38)</f>
        <v xml:space="preserve"> --         </v>
      </c>
      <c r="J53" s="1176" t="str">
        <f>IF('Flächen u. Kulturen'!P38="",'#Frucht'!$D$8,'Flächen u. Kulturen'!P38)</f>
        <v xml:space="preserve"> --  </v>
      </c>
      <c r="K53" s="1176">
        <f>'#orgDung'!U42</f>
        <v>0</v>
      </c>
      <c r="L53" s="1176" t="str">
        <f>'#orgDung'!S42</f>
        <v/>
      </c>
      <c r="M53" s="1176" t="str">
        <f>'#Zweitfr'!$D$8</f>
        <v xml:space="preserve"> --    </v>
      </c>
      <c r="N53" s="1176" t="str">
        <f>'#Boden'!$G$17</f>
        <v xml:space="preserve"> --     </v>
      </c>
      <c r="O53" s="1176" t="str">
        <f>'#Boden'!$G$22</f>
        <v xml:space="preserve"> --      </v>
      </c>
      <c r="P53" s="1176"/>
      <c r="Q53" s="1176" t="str">
        <f>IF('#BerechnungDBE'!N33=3,J53,'#Frucht'!$D$8)</f>
        <v xml:space="preserve"> --  </v>
      </c>
      <c r="R53" s="527"/>
    </row>
    <row r="54" spans="2:18" s="875" customFormat="1" ht="27" customHeight="1" x14ac:dyDescent="0.2">
      <c r="B54" s="1479" t="str">
        <f>IF(D54="","",'Flächen u. Kulturen'!B39)</f>
        <v/>
      </c>
      <c r="C54" s="1176" t="str">
        <f>IF(D54="","",'Flächen u. Kulturen'!C39)</f>
        <v/>
      </c>
      <c r="D54" s="1176" t="str">
        <f>IF(AND('Flächen u. Kulturen'!D39="",'Flächen u. Kulturen'!D39=0),"",'Flächen u. Kulturen'!D39)</f>
        <v/>
      </c>
      <c r="E54" s="1176" t="str">
        <f>IF('Flächen u. Kulturen'!E39="","",'Flächen u. Kulturen'!E39)</f>
        <v>x</v>
      </c>
      <c r="F54" s="1176" t="str">
        <f>IF('Flächen u. Kulturen'!F39="",'#Boden'!$G$4,'Flächen u. Kulturen'!F39)</f>
        <v xml:space="preserve"> --</v>
      </c>
      <c r="G54" s="1176" t="str">
        <f>IF('Flächen u. Kulturen'!G39="",'#Boden'!$B$26,'Flächen u. Kulturen'!G39)</f>
        <v xml:space="preserve"> --</v>
      </c>
      <c r="H54" s="1176" t="str">
        <f>IF('Flächen u. Kulturen'!H39="",'#Boden'!$B$23,'Flächen u. Kulturen'!H39)</f>
        <v>ja</v>
      </c>
      <c r="I54" s="1176" t="str">
        <f>IF('Flächen u. Kulturen'!I39="",'#Boden'!$B$9,'Flächen u. Kulturen'!I39)</f>
        <v xml:space="preserve"> --         </v>
      </c>
      <c r="J54" s="1176" t="str">
        <f>IF('Flächen u. Kulturen'!P39="",'#Frucht'!$D$8,'Flächen u. Kulturen'!P39)</f>
        <v xml:space="preserve"> --  </v>
      </c>
      <c r="K54" s="1176">
        <f>'#orgDung'!U43</f>
        <v>0</v>
      </c>
      <c r="L54" s="1176" t="str">
        <f>'#orgDung'!S43</f>
        <v/>
      </c>
      <c r="M54" s="1176" t="str">
        <f>'#Zweitfr'!$D$8</f>
        <v xml:space="preserve"> --    </v>
      </c>
      <c r="N54" s="1176" t="str">
        <f>'#Boden'!$G$17</f>
        <v xml:space="preserve"> --     </v>
      </c>
      <c r="O54" s="1176" t="str">
        <f>'#Boden'!$G$22</f>
        <v xml:space="preserve"> --      </v>
      </c>
      <c r="P54" s="1176"/>
      <c r="Q54" s="1176" t="str">
        <f>IF('#BerechnungDBE'!N34=3,J54,'#Frucht'!$D$8)</f>
        <v xml:space="preserve"> --  </v>
      </c>
      <c r="R54" s="527"/>
    </row>
    <row r="55" spans="2:18" s="875" customFormat="1" ht="27" customHeight="1" x14ac:dyDescent="0.2">
      <c r="B55" s="1479" t="str">
        <f>IF(D55="","",'Flächen u. Kulturen'!B40)</f>
        <v/>
      </c>
      <c r="C55" s="1176" t="str">
        <f>IF(D55="","",'Flächen u. Kulturen'!C40)</f>
        <v/>
      </c>
      <c r="D55" s="1176" t="str">
        <f>IF(AND('Flächen u. Kulturen'!D40="",'Flächen u. Kulturen'!D40=0),"",'Flächen u. Kulturen'!D40)</f>
        <v/>
      </c>
      <c r="E55" s="1176" t="str">
        <f>IF('Flächen u. Kulturen'!E40="","",'Flächen u. Kulturen'!E40)</f>
        <v>x</v>
      </c>
      <c r="F55" s="1176" t="str">
        <f>IF('Flächen u. Kulturen'!F40="",'#Boden'!$G$4,'Flächen u. Kulturen'!F40)</f>
        <v xml:space="preserve"> --</v>
      </c>
      <c r="G55" s="1176" t="str">
        <f>IF('Flächen u. Kulturen'!G40="",'#Boden'!$B$26,'Flächen u. Kulturen'!G40)</f>
        <v xml:space="preserve"> --</v>
      </c>
      <c r="H55" s="1176" t="str">
        <f>IF('Flächen u. Kulturen'!H40="",'#Boden'!$B$23,'Flächen u. Kulturen'!H40)</f>
        <v>ja</v>
      </c>
      <c r="I55" s="1176" t="str">
        <f>IF('Flächen u. Kulturen'!I40="",'#Boden'!$B$9,'Flächen u. Kulturen'!I40)</f>
        <v xml:space="preserve"> --         </v>
      </c>
      <c r="J55" s="1176" t="str">
        <f>IF('Flächen u. Kulturen'!P40="",'#Frucht'!$D$8,'Flächen u. Kulturen'!P40)</f>
        <v xml:space="preserve"> --  </v>
      </c>
      <c r="K55" s="1176">
        <f>'#orgDung'!U44</f>
        <v>0</v>
      </c>
      <c r="L55" s="1176" t="str">
        <f>'#orgDung'!S44</f>
        <v/>
      </c>
      <c r="M55" s="1176" t="str">
        <f>'#Zweitfr'!$D$8</f>
        <v xml:space="preserve"> --    </v>
      </c>
      <c r="N55" s="1176" t="str">
        <f>'#Boden'!$G$17</f>
        <v xml:space="preserve"> --     </v>
      </c>
      <c r="O55" s="1176" t="str">
        <f>'#Boden'!$G$22</f>
        <v xml:space="preserve"> --      </v>
      </c>
      <c r="P55" s="1176"/>
      <c r="Q55" s="1176" t="str">
        <f>IF('#BerechnungDBE'!N35=3,J55,'#Frucht'!$D$8)</f>
        <v xml:space="preserve"> --  </v>
      </c>
      <c r="R55" s="527"/>
    </row>
    <row r="56" spans="2:18" s="875" customFormat="1" ht="27" customHeight="1" x14ac:dyDescent="0.2">
      <c r="B56" s="1479" t="str">
        <f>IF(D56="","",'Flächen u. Kulturen'!B41)</f>
        <v/>
      </c>
      <c r="C56" s="1176" t="str">
        <f>IF(D56="","",'Flächen u. Kulturen'!C41)</f>
        <v/>
      </c>
      <c r="D56" s="1176" t="str">
        <f>IF(AND('Flächen u. Kulturen'!D41="",'Flächen u. Kulturen'!D41=0),"",'Flächen u. Kulturen'!D41)</f>
        <v/>
      </c>
      <c r="E56" s="1176" t="str">
        <f>IF('Flächen u. Kulturen'!E41="","",'Flächen u. Kulturen'!E41)</f>
        <v>x</v>
      </c>
      <c r="F56" s="1176" t="str">
        <f>IF('Flächen u. Kulturen'!F41="",'#Boden'!$G$4,'Flächen u. Kulturen'!F41)</f>
        <v xml:space="preserve"> --</v>
      </c>
      <c r="G56" s="1176" t="str">
        <f>IF('Flächen u. Kulturen'!G41="",'#Boden'!$B$26,'Flächen u. Kulturen'!G41)</f>
        <v xml:space="preserve"> --</v>
      </c>
      <c r="H56" s="1176" t="str">
        <f>IF('Flächen u. Kulturen'!H41="",'#Boden'!$B$23,'Flächen u. Kulturen'!H41)</f>
        <v>ja</v>
      </c>
      <c r="I56" s="1176" t="str">
        <f>IF('Flächen u. Kulturen'!I41="",'#Boden'!$B$9,'Flächen u. Kulturen'!I41)</f>
        <v xml:space="preserve"> --         </v>
      </c>
      <c r="J56" s="1176" t="str">
        <f>IF('Flächen u. Kulturen'!P41="",'#Frucht'!$D$8,'Flächen u. Kulturen'!P41)</f>
        <v xml:space="preserve"> --  </v>
      </c>
      <c r="K56" s="1176">
        <f>'#orgDung'!U45</f>
        <v>0</v>
      </c>
      <c r="L56" s="1176" t="str">
        <f>'#orgDung'!S45</f>
        <v/>
      </c>
      <c r="M56" s="1176" t="str">
        <f>'#Zweitfr'!$D$8</f>
        <v xml:space="preserve"> --    </v>
      </c>
      <c r="N56" s="1176" t="str">
        <f>'#Boden'!$G$17</f>
        <v xml:space="preserve"> --     </v>
      </c>
      <c r="O56" s="1176" t="str">
        <f>'#Boden'!$G$22</f>
        <v xml:space="preserve"> --      </v>
      </c>
      <c r="P56" s="1176"/>
      <c r="Q56" s="1176" t="str">
        <f>IF('#BerechnungDBE'!N36=3,J56,'#Frucht'!$D$8)</f>
        <v xml:space="preserve"> --  </v>
      </c>
      <c r="R56" s="527"/>
    </row>
    <row r="57" spans="2:18" s="875" customFormat="1" ht="27" customHeight="1" x14ac:dyDescent="0.2">
      <c r="B57" s="1479" t="str">
        <f>IF(D57="","",'Flächen u. Kulturen'!B42)</f>
        <v/>
      </c>
      <c r="C57" s="1176" t="str">
        <f>IF(D57="","",'Flächen u. Kulturen'!C42)</f>
        <v/>
      </c>
      <c r="D57" s="1176" t="str">
        <f>IF(AND('Flächen u. Kulturen'!D42="",'Flächen u. Kulturen'!D42=0),"",'Flächen u. Kulturen'!D42)</f>
        <v/>
      </c>
      <c r="E57" s="1176" t="str">
        <f>IF('Flächen u. Kulturen'!E42="","",'Flächen u. Kulturen'!E42)</f>
        <v>x</v>
      </c>
      <c r="F57" s="1176" t="str">
        <f>IF('Flächen u. Kulturen'!F42="",'#Boden'!$G$4,'Flächen u. Kulturen'!F42)</f>
        <v xml:space="preserve"> --</v>
      </c>
      <c r="G57" s="1176" t="str">
        <f>IF('Flächen u. Kulturen'!G42="",'#Boden'!$B$26,'Flächen u. Kulturen'!G42)</f>
        <v xml:space="preserve"> --</v>
      </c>
      <c r="H57" s="1176" t="str">
        <f>IF('Flächen u. Kulturen'!H42="",'#Boden'!$B$23,'Flächen u. Kulturen'!H42)</f>
        <v>ja</v>
      </c>
      <c r="I57" s="1176" t="str">
        <f>IF('Flächen u. Kulturen'!I42="",'#Boden'!$B$9,'Flächen u. Kulturen'!I42)</f>
        <v xml:space="preserve"> --         </v>
      </c>
      <c r="J57" s="1176" t="str">
        <f>IF('Flächen u. Kulturen'!P42="",'#Frucht'!$D$8,'Flächen u. Kulturen'!P42)</f>
        <v xml:space="preserve"> --  </v>
      </c>
      <c r="K57" s="1176">
        <f>'#orgDung'!U46</f>
        <v>0</v>
      </c>
      <c r="L57" s="1176" t="str">
        <f>'#orgDung'!S46</f>
        <v/>
      </c>
      <c r="M57" s="1176" t="str">
        <f>'#Zweitfr'!$D$8</f>
        <v xml:space="preserve"> --    </v>
      </c>
      <c r="N57" s="1176" t="str">
        <f>'#Boden'!$G$17</f>
        <v xml:space="preserve"> --     </v>
      </c>
      <c r="O57" s="1176" t="str">
        <f>'#Boden'!$G$22</f>
        <v xml:space="preserve"> --      </v>
      </c>
      <c r="P57" s="1176"/>
      <c r="Q57" s="1176" t="str">
        <f>IF('#BerechnungDBE'!N37=3,J57,'#Frucht'!$D$8)</f>
        <v xml:space="preserve"> --  </v>
      </c>
      <c r="R57" s="527"/>
    </row>
    <row r="58" spans="2:18" s="875" customFormat="1" ht="27" customHeight="1" x14ac:dyDescent="0.2">
      <c r="B58" s="1479" t="str">
        <f>IF(D58="","",'Flächen u. Kulturen'!B43)</f>
        <v/>
      </c>
      <c r="C58" s="1176" t="str">
        <f>IF(D58="","",'Flächen u. Kulturen'!C43)</f>
        <v/>
      </c>
      <c r="D58" s="1176" t="str">
        <f>IF(AND('Flächen u. Kulturen'!D43="",'Flächen u. Kulturen'!D43=0),"",'Flächen u. Kulturen'!D43)</f>
        <v/>
      </c>
      <c r="E58" s="1176" t="str">
        <f>IF('Flächen u. Kulturen'!E43="","",'Flächen u. Kulturen'!E43)</f>
        <v>x</v>
      </c>
      <c r="F58" s="1176" t="str">
        <f>IF('Flächen u. Kulturen'!F43="",'#Boden'!$G$4,'Flächen u. Kulturen'!F43)</f>
        <v xml:space="preserve"> --</v>
      </c>
      <c r="G58" s="1176" t="str">
        <f>IF('Flächen u. Kulturen'!G43="",'#Boden'!$B$26,'Flächen u. Kulturen'!G43)</f>
        <v xml:space="preserve"> --</v>
      </c>
      <c r="H58" s="1176" t="str">
        <f>IF('Flächen u. Kulturen'!H43="",'#Boden'!$B$23,'Flächen u. Kulturen'!H43)</f>
        <v>ja</v>
      </c>
      <c r="I58" s="1176" t="str">
        <f>IF('Flächen u. Kulturen'!I43="",'#Boden'!$B$9,'Flächen u. Kulturen'!I43)</f>
        <v xml:space="preserve"> --         </v>
      </c>
      <c r="J58" s="1176" t="str">
        <f>IF('Flächen u. Kulturen'!P43="",'#Frucht'!$D$8,'Flächen u. Kulturen'!P43)</f>
        <v xml:space="preserve"> --  </v>
      </c>
      <c r="K58" s="1176">
        <f>'#orgDung'!U47</f>
        <v>0</v>
      </c>
      <c r="L58" s="1176" t="str">
        <f>'#orgDung'!S47</f>
        <v/>
      </c>
      <c r="M58" s="1176" t="str">
        <f>'#Zweitfr'!$D$8</f>
        <v xml:space="preserve"> --    </v>
      </c>
      <c r="N58" s="1176" t="str">
        <f>'#Boden'!$G$17</f>
        <v xml:space="preserve"> --     </v>
      </c>
      <c r="O58" s="1176" t="str">
        <f>'#Boden'!$G$22</f>
        <v xml:space="preserve"> --      </v>
      </c>
      <c r="P58" s="1176"/>
      <c r="Q58" s="1176" t="str">
        <f>IF('#BerechnungDBE'!N38=3,J58,'#Frucht'!$D$8)</f>
        <v xml:space="preserve"> --  </v>
      </c>
      <c r="R58" s="527"/>
    </row>
    <row r="59" spans="2:18" s="875" customFormat="1" ht="27" customHeight="1" x14ac:dyDescent="0.2">
      <c r="B59" s="1479" t="str">
        <f>IF(D59="","",'Flächen u. Kulturen'!B44)</f>
        <v/>
      </c>
      <c r="C59" s="1176" t="str">
        <f>IF(D59="","",'Flächen u. Kulturen'!C44)</f>
        <v/>
      </c>
      <c r="D59" s="1176" t="str">
        <f>IF(AND('Flächen u. Kulturen'!D44="",'Flächen u. Kulturen'!D44=0),"",'Flächen u. Kulturen'!D44)</f>
        <v/>
      </c>
      <c r="E59" s="1176" t="str">
        <f>IF('Flächen u. Kulturen'!E44="","",'Flächen u. Kulturen'!E44)</f>
        <v>x</v>
      </c>
      <c r="F59" s="1176" t="str">
        <f>IF('Flächen u. Kulturen'!F44="",'#Boden'!$G$4,'Flächen u. Kulturen'!F44)</f>
        <v xml:space="preserve"> --</v>
      </c>
      <c r="G59" s="1176" t="str">
        <f>IF('Flächen u. Kulturen'!G44="",'#Boden'!$B$26,'Flächen u. Kulturen'!G44)</f>
        <v xml:space="preserve"> --</v>
      </c>
      <c r="H59" s="1176" t="str">
        <f>IF('Flächen u. Kulturen'!H44="",'#Boden'!$B$23,'Flächen u. Kulturen'!H44)</f>
        <v>ja</v>
      </c>
      <c r="I59" s="1176" t="str">
        <f>IF('Flächen u. Kulturen'!I44="",'#Boden'!$B$9,'Flächen u. Kulturen'!I44)</f>
        <v xml:space="preserve"> --         </v>
      </c>
      <c r="J59" s="1176" t="str">
        <f>IF('Flächen u. Kulturen'!P44="",'#Frucht'!$D$8,'Flächen u. Kulturen'!P44)</f>
        <v xml:space="preserve"> --  </v>
      </c>
      <c r="K59" s="1176">
        <f>'#orgDung'!U48</f>
        <v>0</v>
      </c>
      <c r="L59" s="1176" t="str">
        <f>'#orgDung'!S48</f>
        <v/>
      </c>
      <c r="M59" s="1176" t="str">
        <f>'#Zweitfr'!$D$8</f>
        <v xml:space="preserve"> --    </v>
      </c>
      <c r="N59" s="1176" t="str">
        <f>'#Boden'!$G$17</f>
        <v xml:space="preserve"> --     </v>
      </c>
      <c r="O59" s="1176" t="str">
        <f>'#Boden'!$G$22</f>
        <v xml:space="preserve"> --      </v>
      </c>
      <c r="P59" s="1176"/>
      <c r="Q59" s="1176" t="str">
        <f>IF('#BerechnungDBE'!N39=3,J59,'#Frucht'!$D$8)</f>
        <v xml:space="preserve"> --  </v>
      </c>
      <c r="R59" s="527"/>
    </row>
    <row r="60" spans="2:18" s="875" customFormat="1" ht="27" customHeight="1" x14ac:dyDescent="0.2">
      <c r="B60" s="1479" t="str">
        <f>IF(D60="","",'Flächen u. Kulturen'!B45)</f>
        <v/>
      </c>
      <c r="C60" s="1176" t="str">
        <f>IF(D60="","",'Flächen u. Kulturen'!C45)</f>
        <v/>
      </c>
      <c r="D60" s="1176" t="str">
        <f>IF(AND('Flächen u. Kulturen'!D45="",'Flächen u. Kulturen'!D45=0),"",'Flächen u. Kulturen'!D45)</f>
        <v/>
      </c>
      <c r="E60" s="1176" t="str">
        <f>IF('Flächen u. Kulturen'!E45="","",'Flächen u. Kulturen'!E45)</f>
        <v>x</v>
      </c>
      <c r="F60" s="1176" t="str">
        <f>IF('Flächen u. Kulturen'!F45="",'#Boden'!$G$4,'Flächen u. Kulturen'!F45)</f>
        <v xml:space="preserve"> --</v>
      </c>
      <c r="G60" s="1176" t="str">
        <f>IF('Flächen u. Kulturen'!G45="",'#Boden'!$B$26,'Flächen u. Kulturen'!G45)</f>
        <v xml:space="preserve"> --</v>
      </c>
      <c r="H60" s="1176" t="str">
        <f>IF('Flächen u. Kulturen'!H45="",'#Boden'!$B$23,'Flächen u. Kulturen'!H45)</f>
        <v>ja</v>
      </c>
      <c r="I60" s="1176" t="str">
        <f>IF('Flächen u. Kulturen'!I45="",'#Boden'!$B$9,'Flächen u. Kulturen'!I45)</f>
        <v xml:space="preserve"> --         </v>
      </c>
      <c r="J60" s="1176" t="str">
        <f>IF('Flächen u. Kulturen'!P45="",'#Frucht'!$D$8,'Flächen u. Kulturen'!P45)</f>
        <v xml:space="preserve"> --  </v>
      </c>
      <c r="K60" s="1176">
        <f>'#orgDung'!U49</f>
        <v>0</v>
      </c>
      <c r="L60" s="1176" t="str">
        <f>'#orgDung'!S49</f>
        <v/>
      </c>
      <c r="M60" s="1176" t="str">
        <f>'#Zweitfr'!$D$8</f>
        <v xml:space="preserve"> --    </v>
      </c>
      <c r="N60" s="1176" t="str">
        <f>'#Boden'!$G$17</f>
        <v xml:space="preserve"> --     </v>
      </c>
      <c r="O60" s="1176" t="str">
        <f>'#Boden'!$G$22</f>
        <v xml:space="preserve"> --      </v>
      </c>
      <c r="P60" s="1176"/>
      <c r="Q60" s="1176" t="str">
        <f>IF('#BerechnungDBE'!N40=3,J60,'#Frucht'!$D$8)</f>
        <v xml:space="preserve"> --  </v>
      </c>
      <c r="R60" s="527"/>
    </row>
    <row r="61" spans="2:18" s="875" customFormat="1" ht="27" customHeight="1" x14ac:dyDescent="0.2">
      <c r="B61" s="1479" t="str">
        <f>IF(D61="","",'Flächen u. Kulturen'!B46)</f>
        <v/>
      </c>
      <c r="C61" s="1176" t="str">
        <f>IF(D61="","",'Flächen u. Kulturen'!C46)</f>
        <v/>
      </c>
      <c r="D61" s="1176" t="str">
        <f>IF(AND('Flächen u. Kulturen'!D46="",'Flächen u. Kulturen'!D46=0),"",'Flächen u. Kulturen'!D46)</f>
        <v/>
      </c>
      <c r="E61" s="1176" t="str">
        <f>IF('Flächen u. Kulturen'!E46="","",'Flächen u. Kulturen'!E46)</f>
        <v>x</v>
      </c>
      <c r="F61" s="1176" t="str">
        <f>IF('Flächen u. Kulturen'!F46="",'#Boden'!$G$4,'Flächen u. Kulturen'!F46)</f>
        <v xml:space="preserve"> --</v>
      </c>
      <c r="G61" s="1176" t="str">
        <f>IF('Flächen u. Kulturen'!G46="",'#Boden'!$B$26,'Flächen u. Kulturen'!G46)</f>
        <v xml:space="preserve"> --</v>
      </c>
      <c r="H61" s="1176" t="str">
        <f>IF('Flächen u. Kulturen'!H46="",'#Boden'!$B$23,'Flächen u. Kulturen'!H46)</f>
        <v>ja</v>
      </c>
      <c r="I61" s="1176" t="str">
        <f>IF('Flächen u. Kulturen'!I46="",'#Boden'!$B$9,'Flächen u. Kulturen'!I46)</f>
        <v xml:space="preserve"> --         </v>
      </c>
      <c r="J61" s="1176" t="str">
        <f>IF('Flächen u. Kulturen'!P46="",'#Frucht'!$D$8,'Flächen u. Kulturen'!P46)</f>
        <v xml:space="preserve"> --  </v>
      </c>
      <c r="K61" s="1176">
        <f>'#orgDung'!U50</f>
        <v>0</v>
      </c>
      <c r="L61" s="1176" t="str">
        <f>'#orgDung'!S50</f>
        <v/>
      </c>
      <c r="M61" s="1176" t="str">
        <f>'#Zweitfr'!$D$8</f>
        <v xml:space="preserve"> --    </v>
      </c>
      <c r="N61" s="1176" t="str">
        <f>'#Boden'!$G$17</f>
        <v xml:space="preserve"> --     </v>
      </c>
      <c r="O61" s="1176" t="str">
        <f>'#Boden'!$G$22</f>
        <v xml:space="preserve"> --      </v>
      </c>
      <c r="P61" s="1176"/>
      <c r="Q61" s="1176" t="str">
        <f>IF('#BerechnungDBE'!N41=3,J61,'#Frucht'!$D$8)</f>
        <v xml:space="preserve"> --  </v>
      </c>
      <c r="R61" s="527"/>
    </row>
    <row r="62" spans="2:18" s="875" customFormat="1" ht="27" customHeight="1" x14ac:dyDescent="0.2">
      <c r="B62" s="1479" t="str">
        <f>IF(D62="","",'Flächen u. Kulturen'!B47)</f>
        <v/>
      </c>
      <c r="C62" s="1176" t="str">
        <f>IF(D62="","",'Flächen u. Kulturen'!C47)</f>
        <v/>
      </c>
      <c r="D62" s="1176" t="str">
        <f>IF(AND('Flächen u. Kulturen'!D47="",'Flächen u. Kulturen'!D47=0),"",'Flächen u. Kulturen'!D47)</f>
        <v/>
      </c>
      <c r="E62" s="1176" t="str">
        <f>IF('Flächen u. Kulturen'!E47="","",'Flächen u. Kulturen'!E47)</f>
        <v>x</v>
      </c>
      <c r="F62" s="1176" t="str">
        <f>IF('Flächen u. Kulturen'!F47="",'#Boden'!$G$4,'Flächen u. Kulturen'!F47)</f>
        <v xml:space="preserve"> --</v>
      </c>
      <c r="G62" s="1176" t="str">
        <f>IF('Flächen u. Kulturen'!G47="",'#Boden'!$B$26,'Flächen u. Kulturen'!G47)</f>
        <v xml:space="preserve"> --</v>
      </c>
      <c r="H62" s="1176" t="str">
        <f>IF('Flächen u. Kulturen'!H47="",'#Boden'!$B$23,'Flächen u. Kulturen'!H47)</f>
        <v>ja</v>
      </c>
      <c r="I62" s="1176" t="str">
        <f>IF('Flächen u. Kulturen'!I47="",'#Boden'!$B$9,'Flächen u. Kulturen'!I47)</f>
        <v xml:space="preserve"> --         </v>
      </c>
      <c r="J62" s="1176" t="str">
        <f>IF('Flächen u. Kulturen'!P47="",'#Frucht'!$D$8,'Flächen u. Kulturen'!P47)</f>
        <v xml:space="preserve"> --  </v>
      </c>
      <c r="K62" s="1176">
        <f>'#orgDung'!U51</f>
        <v>0</v>
      </c>
      <c r="L62" s="1176" t="str">
        <f>'#orgDung'!S51</f>
        <v/>
      </c>
      <c r="M62" s="1176" t="str">
        <f>'#Zweitfr'!$D$8</f>
        <v xml:space="preserve"> --    </v>
      </c>
      <c r="N62" s="1176" t="str">
        <f>'#Boden'!$G$17</f>
        <v xml:space="preserve"> --     </v>
      </c>
      <c r="O62" s="1176" t="str">
        <f>'#Boden'!$G$22</f>
        <v xml:space="preserve"> --      </v>
      </c>
      <c r="P62" s="1176"/>
      <c r="Q62" s="1176" t="str">
        <f>IF('#BerechnungDBE'!N42=3,J62,'#Frucht'!$D$8)</f>
        <v xml:space="preserve"> --  </v>
      </c>
      <c r="R62" s="527"/>
    </row>
    <row r="63" spans="2:18" s="875" customFormat="1" ht="27" customHeight="1" x14ac:dyDescent="0.2">
      <c r="B63" s="1479" t="str">
        <f>IF(D63="","",'Flächen u. Kulturen'!B48)</f>
        <v/>
      </c>
      <c r="C63" s="1176" t="str">
        <f>IF(D63="","",'Flächen u. Kulturen'!C48)</f>
        <v/>
      </c>
      <c r="D63" s="1176" t="str">
        <f>IF(AND('Flächen u. Kulturen'!D48="",'Flächen u. Kulturen'!D48=0),"",'Flächen u. Kulturen'!D48)</f>
        <v/>
      </c>
      <c r="E63" s="1176" t="str">
        <f>IF('Flächen u. Kulturen'!E48="","",'Flächen u. Kulturen'!E48)</f>
        <v>x</v>
      </c>
      <c r="F63" s="1176" t="str">
        <f>IF('Flächen u. Kulturen'!F48="",'#Boden'!$G$4,'Flächen u. Kulturen'!F48)</f>
        <v xml:space="preserve"> --</v>
      </c>
      <c r="G63" s="1176" t="str">
        <f>IF('Flächen u. Kulturen'!G48="",'#Boden'!$B$26,'Flächen u. Kulturen'!G48)</f>
        <v xml:space="preserve"> --</v>
      </c>
      <c r="H63" s="1176" t="str">
        <f>IF('Flächen u. Kulturen'!H48="",'#Boden'!$B$23,'Flächen u. Kulturen'!H48)</f>
        <v>ja</v>
      </c>
      <c r="I63" s="1176" t="str">
        <f>IF('Flächen u. Kulturen'!I48="",'#Boden'!$B$9,'Flächen u. Kulturen'!I48)</f>
        <v xml:space="preserve"> --         </v>
      </c>
      <c r="J63" s="1176" t="str">
        <f>IF('Flächen u. Kulturen'!P48="",'#Frucht'!$D$8,'Flächen u. Kulturen'!P48)</f>
        <v xml:space="preserve"> --  </v>
      </c>
      <c r="K63" s="1176">
        <f>'#orgDung'!U52</f>
        <v>0</v>
      </c>
      <c r="L63" s="1176" t="str">
        <f>'#orgDung'!S52</f>
        <v/>
      </c>
      <c r="M63" s="1176" t="str">
        <f>'#Zweitfr'!$D$8</f>
        <v xml:space="preserve"> --    </v>
      </c>
      <c r="N63" s="1176" t="str">
        <f>'#Boden'!$G$17</f>
        <v xml:space="preserve"> --     </v>
      </c>
      <c r="O63" s="1176" t="str">
        <f>'#Boden'!$G$22</f>
        <v xml:space="preserve"> --      </v>
      </c>
      <c r="P63" s="1176"/>
      <c r="Q63" s="1176" t="str">
        <f>IF('#BerechnungDBE'!N43=3,J63,'#Frucht'!$D$8)</f>
        <v xml:space="preserve"> --  </v>
      </c>
      <c r="R63" s="527"/>
    </row>
    <row r="64" spans="2:18" s="875" customFormat="1" ht="27" customHeight="1" x14ac:dyDescent="0.2">
      <c r="B64" s="1479" t="str">
        <f>IF(D64="","",'Flächen u. Kulturen'!B49)</f>
        <v/>
      </c>
      <c r="C64" s="1176" t="str">
        <f>IF(D64="","",'Flächen u. Kulturen'!C49)</f>
        <v/>
      </c>
      <c r="D64" s="1176" t="str">
        <f>IF(AND('Flächen u. Kulturen'!D49="",'Flächen u. Kulturen'!D49=0),"",'Flächen u. Kulturen'!D49)</f>
        <v/>
      </c>
      <c r="E64" s="1176" t="str">
        <f>IF('Flächen u. Kulturen'!E49="","",'Flächen u. Kulturen'!E49)</f>
        <v>x</v>
      </c>
      <c r="F64" s="1176" t="str">
        <f>IF('Flächen u. Kulturen'!F49="",'#Boden'!$G$4,'Flächen u. Kulturen'!F49)</f>
        <v xml:space="preserve"> --</v>
      </c>
      <c r="G64" s="1176" t="str">
        <f>IF('Flächen u. Kulturen'!G49="",'#Boden'!$B$26,'Flächen u. Kulturen'!G49)</f>
        <v xml:space="preserve"> --</v>
      </c>
      <c r="H64" s="1176" t="str">
        <f>IF('Flächen u. Kulturen'!H49="",'#Boden'!$B$23,'Flächen u. Kulturen'!H49)</f>
        <v>ja</v>
      </c>
      <c r="I64" s="1176" t="str">
        <f>IF('Flächen u. Kulturen'!I49="",'#Boden'!$B$9,'Flächen u. Kulturen'!I49)</f>
        <v xml:space="preserve"> --         </v>
      </c>
      <c r="J64" s="1176" t="str">
        <f>IF('Flächen u. Kulturen'!P49="",'#Frucht'!$D$8,'Flächen u. Kulturen'!P49)</f>
        <v xml:space="preserve"> --  </v>
      </c>
      <c r="K64" s="1176">
        <f>'#orgDung'!U53</f>
        <v>0</v>
      </c>
      <c r="L64" s="1176" t="str">
        <f>'#orgDung'!S53</f>
        <v/>
      </c>
      <c r="M64" s="1176" t="str">
        <f>'#Zweitfr'!$D$8</f>
        <v xml:space="preserve"> --    </v>
      </c>
      <c r="N64" s="1176" t="str">
        <f>'#Boden'!$G$17</f>
        <v xml:space="preserve"> --     </v>
      </c>
      <c r="O64" s="1176" t="str">
        <f>'#Boden'!$G$22</f>
        <v xml:space="preserve"> --      </v>
      </c>
      <c r="P64" s="1176"/>
      <c r="Q64" s="1176" t="str">
        <f>IF('#BerechnungDBE'!N44=3,J64,'#Frucht'!$D$8)</f>
        <v xml:space="preserve"> --  </v>
      </c>
      <c r="R64" s="527"/>
    </row>
    <row r="65" spans="2:18" s="875" customFormat="1" ht="27" customHeight="1" x14ac:dyDescent="0.2">
      <c r="B65" s="1479" t="str">
        <f>IF(D65="","",'Flächen u. Kulturen'!B50)</f>
        <v/>
      </c>
      <c r="C65" s="1176" t="str">
        <f>IF(D65="","",'Flächen u. Kulturen'!C50)</f>
        <v/>
      </c>
      <c r="D65" s="1176" t="str">
        <f>IF(AND('Flächen u. Kulturen'!D50="",'Flächen u. Kulturen'!D50=0),"",'Flächen u. Kulturen'!D50)</f>
        <v/>
      </c>
      <c r="E65" s="1176" t="str">
        <f>IF('Flächen u. Kulturen'!E50="","",'Flächen u. Kulturen'!E50)</f>
        <v>x</v>
      </c>
      <c r="F65" s="1176" t="str">
        <f>IF('Flächen u. Kulturen'!F50="",'#Boden'!$G$4,'Flächen u. Kulturen'!F50)</f>
        <v xml:space="preserve"> --</v>
      </c>
      <c r="G65" s="1176" t="str">
        <f>IF('Flächen u. Kulturen'!G50="",'#Boden'!$B$26,'Flächen u. Kulturen'!G50)</f>
        <v xml:space="preserve"> --</v>
      </c>
      <c r="H65" s="1176" t="str">
        <f>IF('Flächen u. Kulturen'!H50="",'#Boden'!$B$23,'Flächen u. Kulturen'!H50)</f>
        <v>ja</v>
      </c>
      <c r="I65" s="1176" t="str">
        <f>IF('Flächen u. Kulturen'!I50="",'#Boden'!$B$9,'Flächen u. Kulturen'!I50)</f>
        <v xml:space="preserve"> --         </v>
      </c>
      <c r="J65" s="1176" t="str">
        <f>IF('Flächen u. Kulturen'!P50="",'#Frucht'!$D$8,'Flächen u. Kulturen'!P50)</f>
        <v xml:space="preserve"> --  </v>
      </c>
      <c r="K65" s="1176">
        <f>'#orgDung'!U54</f>
        <v>0</v>
      </c>
      <c r="L65" s="1176" t="str">
        <f>'#orgDung'!S54</f>
        <v/>
      </c>
      <c r="M65" s="1176" t="str">
        <f>'#Zweitfr'!$D$8</f>
        <v xml:space="preserve"> --    </v>
      </c>
      <c r="N65" s="1176" t="str">
        <f>'#Boden'!$G$17</f>
        <v xml:space="preserve"> --     </v>
      </c>
      <c r="O65" s="1176" t="str">
        <f>'#Boden'!$G$22</f>
        <v xml:space="preserve"> --      </v>
      </c>
      <c r="P65" s="1176"/>
      <c r="Q65" s="1176" t="str">
        <f>IF('#BerechnungDBE'!N45=3,J65,'#Frucht'!$D$8)</f>
        <v xml:space="preserve"> --  </v>
      </c>
      <c r="R65" s="527"/>
    </row>
    <row r="66" spans="2:18" s="875" customFormat="1" ht="27" customHeight="1" x14ac:dyDescent="0.2">
      <c r="B66" s="1479" t="str">
        <f>IF(D66="","",'Flächen u. Kulturen'!B51)</f>
        <v/>
      </c>
      <c r="C66" s="1176" t="str">
        <f>IF(D66="","",'Flächen u. Kulturen'!C51)</f>
        <v/>
      </c>
      <c r="D66" s="1176" t="str">
        <f>IF(AND('Flächen u. Kulturen'!D51="",'Flächen u. Kulturen'!D51=0),"",'Flächen u. Kulturen'!D51)</f>
        <v/>
      </c>
      <c r="E66" s="1176" t="str">
        <f>IF('Flächen u. Kulturen'!E51="","",'Flächen u. Kulturen'!E51)</f>
        <v>x</v>
      </c>
      <c r="F66" s="1176" t="str">
        <f>IF('Flächen u. Kulturen'!F51="",'#Boden'!$G$4,'Flächen u. Kulturen'!F51)</f>
        <v xml:space="preserve"> --</v>
      </c>
      <c r="G66" s="1176" t="str">
        <f>IF('Flächen u. Kulturen'!G51="",'#Boden'!$B$26,'Flächen u. Kulturen'!G51)</f>
        <v xml:space="preserve"> --</v>
      </c>
      <c r="H66" s="1176" t="str">
        <f>IF('Flächen u. Kulturen'!H51="",'#Boden'!$B$23,'Flächen u. Kulturen'!H51)</f>
        <v>ja</v>
      </c>
      <c r="I66" s="1176" t="str">
        <f>IF('Flächen u. Kulturen'!I51="",'#Boden'!$B$9,'Flächen u. Kulturen'!I51)</f>
        <v xml:space="preserve"> --         </v>
      </c>
      <c r="J66" s="1176" t="str">
        <f>IF('Flächen u. Kulturen'!P51="",'#Frucht'!$D$8,'Flächen u. Kulturen'!P51)</f>
        <v xml:space="preserve"> --  </v>
      </c>
      <c r="K66" s="1176">
        <f>'#orgDung'!U55</f>
        <v>0</v>
      </c>
      <c r="L66" s="1176" t="str">
        <f>'#orgDung'!S55</f>
        <v/>
      </c>
      <c r="M66" s="1176" t="str">
        <f>'#Zweitfr'!$D$8</f>
        <v xml:space="preserve"> --    </v>
      </c>
      <c r="N66" s="1176" t="str">
        <f>'#Boden'!$G$17</f>
        <v xml:space="preserve"> --     </v>
      </c>
      <c r="O66" s="1176" t="str">
        <f>'#Boden'!$G$22</f>
        <v xml:space="preserve"> --      </v>
      </c>
      <c r="P66" s="1176"/>
      <c r="Q66" s="1176" t="str">
        <f>IF('#BerechnungDBE'!N46=3,J66,'#Frucht'!$D$8)</f>
        <v xml:space="preserve"> --  </v>
      </c>
      <c r="R66" s="527"/>
    </row>
    <row r="67" spans="2:18" s="875" customFormat="1" ht="27" customHeight="1" x14ac:dyDescent="0.2">
      <c r="B67" s="1479" t="str">
        <f>IF(D67="","",'Flächen u. Kulturen'!B52)</f>
        <v/>
      </c>
      <c r="C67" s="1176" t="str">
        <f>IF(D67="","",'Flächen u. Kulturen'!C52)</f>
        <v/>
      </c>
      <c r="D67" s="1176" t="str">
        <f>IF(AND('Flächen u. Kulturen'!D52="",'Flächen u. Kulturen'!D52=0),"",'Flächen u. Kulturen'!D52)</f>
        <v/>
      </c>
      <c r="E67" s="1176" t="str">
        <f>IF('Flächen u. Kulturen'!E52="","",'Flächen u. Kulturen'!E52)</f>
        <v>x</v>
      </c>
      <c r="F67" s="1176" t="str">
        <f>IF('Flächen u. Kulturen'!F52="",'#Boden'!$G$4,'Flächen u. Kulturen'!F52)</f>
        <v xml:space="preserve"> --</v>
      </c>
      <c r="G67" s="1176" t="str">
        <f>IF('Flächen u. Kulturen'!G52="",'#Boden'!$B$26,'Flächen u. Kulturen'!G52)</f>
        <v xml:space="preserve"> --</v>
      </c>
      <c r="H67" s="1176" t="str">
        <f>IF('Flächen u. Kulturen'!H52="",'#Boden'!$B$23,'Flächen u. Kulturen'!H52)</f>
        <v>ja</v>
      </c>
      <c r="I67" s="1176" t="str">
        <f>IF('Flächen u. Kulturen'!I52="",'#Boden'!$B$9,'Flächen u. Kulturen'!I52)</f>
        <v xml:space="preserve"> --         </v>
      </c>
      <c r="J67" s="1176" t="str">
        <f>IF('Flächen u. Kulturen'!P52="",'#Frucht'!$D$8,'Flächen u. Kulturen'!P52)</f>
        <v xml:space="preserve"> --  </v>
      </c>
      <c r="K67" s="1176">
        <f>'#orgDung'!U56</f>
        <v>0</v>
      </c>
      <c r="L67" s="1176" t="str">
        <f>'#orgDung'!S56</f>
        <v/>
      </c>
      <c r="M67" s="1176" t="str">
        <f>'#Zweitfr'!$D$8</f>
        <v xml:space="preserve"> --    </v>
      </c>
      <c r="N67" s="1176" t="str">
        <f>'#Boden'!$G$17</f>
        <v xml:space="preserve"> --     </v>
      </c>
      <c r="O67" s="1176" t="str">
        <f>'#Boden'!$G$22</f>
        <v xml:space="preserve"> --      </v>
      </c>
      <c r="P67" s="1176"/>
      <c r="Q67" s="1176" t="str">
        <f>IF('#BerechnungDBE'!N47=3,J67,'#Frucht'!$D$8)</f>
        <v xml:space="preserve"> --  </v>
      </c>
      <c r="R67" s="527"/>
    </row>
    <row r="68" spans="2:18" s="875" customFormat="1" ht="27" customHeight="1" x14ac:dyDescent="0.2">
      <c r="B68" s="1479" t="str">
        <f>IF(D68="","",'Flächen u. Kulturen'!B53)</f>
        <v/>
      </c>
      <c r="C68" s="1176" t="str">
        <f>IF(D68="","",'Flächen u. Kulturen'!C53)</f>
        <v/>
      </c>
      <c r="D68" s="1176" t="str">
        <f>IF(AND('Flächen u. Kulturen'!D53="",'Flächen u. Kulturen'!D53=0),"",'Flächen u. Kulturen'!D53)</f>
        <v/>
      </c>
      <c r="E68" s="1176" t="str">
        <f>IF('Flächen u. Kulturen'!E53="","",'Flächen u. Kulturen'!E53)</f>
        <v>x</v>
      </c>
      <c r="F68" s="1176" t="str">
        <f>IF('Flächen u. Kulturen'!F53="",'#Boden'!$G$4,'Flächen u. Kulturen'!F53)</f>
        <v xml:space="preserve"> --</v>
      </c>
      <c r="G68" s="1176" t="str">
        <f>IF('Flächen u. Kulturen'!G53="",'#Boden'!$B$26,'Flächen u. Kulturen'!G53)</f>
        <v xml:space="preserve"> --</v>
      </c>
      <c r="H68" s="1176" t="str">
        <f>IF('Flächen u. Kulturen'!H53="",'#Boden'!$B$23,'Flächen u. Kulturen'!H53)</f>
        <v>ja</v>
      </c>
      <c r="I68" s="1176" t="str">
        <f>IF('Flächen u. Kulturen'!I53="",'#Boden'!$B$9,'Flächen u. Kulturen'!I53)</f>
        <v xml:space="preserve"> --         </v>
      </c>
      <c r="J68" s="1176" t="str">
        <f>IF('Flächen u. Kulturen'!P53="",'#Frucht'!$D$8,'Flächen u. Kulturen'!P53)</f>
        <v xml:space="preserve"> --  </v>
      </c>
      <c r="K68" s="1176">
        <f>'#orgDung'!U57</f>
        <v>0</v>
      </c>
      <c r="L68" s="1176" t="str">
        <f>'#orgDung'!S57</f>
        <v/>
      </c>
      <c r="M68" s="1176" t="str">
        <f>'#Zweitfr'!$D$8</f>
        <v xml:space="preserve"> --    </v>
      </c>
      <c r="N68" s="1176" t="str">
        <f>'#Boden'!$G$17</f>
        <v xml:space="preserve"> --     </v>
      </c>
      <c r="O68" s="1176" t="str">
        <f>'#Boden'!$G$22</f>
        <v xml:space="preserve"> --      </v>
      </c>
      <c r="P68" s="1176"/>
      <c r="Q68" s="1176" t="str">
        <f>IF('#BerechnungDBE'!N48=3,J68,'#Frucht'!$D$8)</f>
        <v xml:space="preserve"> --  </v>
      </c>
      <c r="R68" s="527"/>
    </row>
    <row r="69" spans="2:18" s="875" customFormat="1" ht="27" customHeight="1" x14ac:dyDescent="0.2">
      <c r="B69" s="1479" t="str">
        <f>IF(D69="","",'Flächen u. Kulturen'!B54)</f>
        <v/>
      </c>
      <c r="C69" s="1176" t="str">
        <f>IF(D69="","",'Flächen u. Kulturen'!C54)</f>
        <v/>
      </c>
      <c r="D69" s="1176" t="str">
        <f>IF(AND('Flächen u. Kulturen'!D54="",'Flächen u. Kulturen'!D54=0),"",'Flächen u. Kulturen'!D54)</f>
        <v/>
      </c>
      <c r="E69" s="1176" t="str">
        <f>IF('Flächen u. Kulturen'!E54="","",'Flächen u. Kulturen'!E54)</f>
        <v>x</v>
      </c>
      <c r="F69" s="1176" t="str">
        <f>IF('Flächen u. Kulturen'!F54="",'#Boden'!$G$4,'Flächen u. Kulturen'!F54)</f>
        <v xml:space="preserve"> --</v>
      </c>
      <c r="G69" s="1176" t="str">
        <f>IF('Flächen u. Kulturen'!G54="",'#Boden'!$B$26,'Flächen u. Kulturen'!G54)</f>
        <v xml:space="preserve"> --</v>
      </c>
      <c r="H69" s="1176" t="str">
        <f>IF('Flächen u. Kulturen'!H54="",'#Boden'!$B$23,'Flächen u. Kulturen'!H54)</f>
        <v>ja</v>
      </c>
      <c r="I69" s="1176" t="str">
        <f>IF('Flächen u. Kulturen'!I54="",'#Boden'!$B$9,'Flächen u. Kulturen'!I54)</f>
        <v xml:space="preserve"> --         </v>
      </c>
      <c r="J69" s="1176" t="str">
        <f>IF('Flächen u. Kulturen'!P54="",'#Frucht'!$D$8,'Flächen u. Kulturen'!P54)</f>
        <v xml:space="preserve"> --  </v>
      </c>
      <c r="K69" s="1176">
        <f>'#orgDung'!U58</f>
        <v>0</v>
      </c>
      <c r="L69" s="1176" t="str">
        <f>'#orgDung'!S58</f>
        <v/>
      </c>
      <c r="M69" s="1176" t="str">
        <f>'#Zweitfr'!$D$8</f>
        <v xml:space="preserve"> --    </v>
      </c>
      <c r="N69" s="1176" t="str">
        <f>'#Boden'!$G$17</f>
        <v xml:space="preserve"> --     </v>
      </c>
      <c r="O69" s="1176" t="str">
        <f>'#Boden'!$G$22</f>
        <v xml:space="preserve"> --      </v>
      </c>
      <c r="P69" s="1176"/>
      <c r="Q69" s="1176" t="str">
        <f>IF('#BerechnungDBE'!N49=3,J69,'#Frucht'!$D$8)</f>
        <v xml:space="preserve"> --  </v>
      </c>
      <c r="R69" s="527"/>
    </row>
    <row r="70" spans="2:18" s="875" customFormat="1" ht="27" customHeight="1" x14ac:dyDescent="0.2">
      <c r="B70" s="1479" t="str">
        <f>IF(D70="","",'Flächen u. Kulturen'!B55)</f>
        <v/>
      </c>
      <c r="C70" s="1176" t="str">
        <f>IF(D70="","",'Flächen u. Kulturen'!C55)</f>
        <v/>
      </c>
      <c r="D70" s="1176" t="str">
        <f>IF(AND('Flächen u. Kulturen'!D55="",'Flächen u. Kulturen'!D55=0),"",'Flächen u. Kulturen'!D55)</f>
        <v/>
      </c>
      <c r="E70" s="1176" t="str">
        <f>IF('Flächen u. Kulturen'!E55="","",'Flächen u. Kulturen'!E55)</f>
        <v>x</v>
      </c>
      <c r="F70" s="1176" t="str">
        <f>IF('Flächen u. Kulturen'!F55="",'#Boden'!$G$4,'Flächen u. Kulturen'!F55)</f>
        <v xml:space="preserve"> --</v>
      </c>
      <c r="G70" s="1176" t="str">
        <f>IF('Flächen u. Kulturen'!G55="",'#Boden'!$B$26,'Flächen u. Kulturen'!G55)</f>
        <v xml:space="preserve"> --</v>
      </c>
      <c r="H70" s="1176" t="str">
        <f>IF('Flächen u. Kulturen'!H55="",'#Boden'!$B$23,'Flächen u. Kulturen'!H55)</f>
        <v>ja</v>
      </c>
      <c r="I70" s="1176" t="str">
        <f>IF('Flächen u. Kulturen'!I55="",'#Boden'!$B$9,'Flächen u. Kulturen'!I55)</f>
        <v xml:space="preserve"> --         </v>
      </c>
      <c r="J70" s="1176" t="str">
        <f>IF('Flächen u. Kulturen'!P55="",'#Frucht'!$D$8,'Flächen u. Kulturen'!P55)</f>
        <v xml:space="preserve"> --  </v>
      </c>
      <c r="K70" s="1176">
        <f>'#orgDung'!U59</f>
        <v>0</v>
      </c>
      <c r="L70" s="1176" t="str">
        <f>'#orgDung'!S59</f>
        <v/>
      </c>
      <c r="M70" s="1176" t="str">
        <f>'#Zweitfr'!$D$8</f>
        <v xml:space="preserve"> --    </v>
      </c>
      <c r="N70" s="1176" t="str">
        <f>'#Boden'!$G$17</f>
        <v xml:space="preserve"> --     </v>
      </c>
      <c r="O70" s="1176" t="str">
        <f>'#Boden'!$G$22</f>
        <v xml:space="preserve"> --      </v>
      </c>
      <c r="P70" s="1176"/>
      <c r="Q70" s="1176" t="str">
        <f>IF('#BerechnungDBE'!N50=3,J70,'#Frucht'!$D$8)</f>
        <v xml:space="preserve"> --  </v>
      </c>
      <c r="R70" s="527"/>
    </row>
    <row r="71" spans="2:18" s="875" customFormat="1" ht="27" customHeight="1" x14ac:dyDescent="0.2">
      <c r="B71" s="1479" t="str">
        <f>IF(D71="","",'Flächen u. Kulturen'!B56)</f>
        <v/>
      </c>
      <c r="C71" s="1176" t="str">
        <f>IF(D71="","",'Flächen u. Kulturen'!C56)</f>
        <v/>
      </c>
      <c r="D71" s="1176" t="str">
        <f>IF(AND('Flächen u. Kulturen'!D56="",'Flächen u. Kulturen'!D56=0),"",'Flächen u. Kulturen'!D56)</f>
        <v/>
      </c>
      <c r="E71" s="1176" t="str">
        <f>IF('Flächen u. Kulturen'!E56="","",'Flächen u. Kulturen'!E56)</f>
        <v>x</v>
      </c>
      <c r="F71" s="1176" t="str">
        <f>IF('Flächen u. Kulturen'!F56="",'#Boden'!$G$4,'Flächen u. Kulturen'!F56)</f>
        <v xml:space="preserve"> --</v>
      </c>
      <c r="G71" s="1176" t="str">
        <f>IF('Flächen u. Kulturen'!G56="",'#Boden'!$B$26,'Flächen u. Kulturen'!G56)</f>
        <v xml:space="preserve"> --</v>
      </c>
      <c r="H71" s="1176" t="str">
        <f>IF('Flächen u. Kulturen'!H56="",'#Boden'!$B$23,'Flächen u. Kulturen'!H56)</f>
        <v>ja</v>
      </c>
      <c r="I71" s="1176" t="str">
        <f>IF('Flächen u. Kulturen'!I56="",'#Boden'!$B$9,'Flächen u. Kulturen'!I56)</f>
        <v xml:space="preserve"> --         </v>
      </c>
      <c r="J71" s="1176" t="str">
        <f>IF('Flächen u. Kulturen'!P56="",'#Frucht'!$D$8,'Flächen u. Kulturen'!P56)</f>
        <v xml:space="preserve"> --  </v>
      </c>
      <c r="K71" s="1176">
        <f>'#orgDung'!U60</f>
        <v>0</v>
      </c>
      <c r="L71" s="1176" t="str">
        <f>'#orgDung'!S60</f>
        <v/>
      </c>
      <c r="M71" s="1176" t="str">
        <f>'#Zweitfr'!$D$8</f>
        <v xml:space="preserve"> --    </v>
      </c>
      <c r="N71" s="1176" t="str">
        <f>'#Boden'!$G$17</f>
        <v xml:space="preserve"> --     </v>
      </c>
      <c r="O71" s="1176" t="str">
        <f>'#Boden'!$G$22</f>
        <v xml:space="preserve"> --      </v>
      </c>
      <c r="P71" s="1176"/>
      <c r="Q71" s="1176" t="str">
        <f>IF('#BerechnungDBE'!N51=3,J71,'#Frucht'!$D$8)</f>
        <v xml:space="preserve"> --  </v>
      </c>
      <c r="R71" s="527"/>
    </row>
    <row r="72" spans="2:18" s="875" customFormat="1" ht="27" customHeight="1" x14ac:dyDescent="0.2">
      <c r="B72" s="1479" t="str">
        <f>IF(D72="","",'Flächen u. Kulturen'!B57)</f>
        <v/>
      </c>
      <c r="C72" s="1176" t="str">
        <f>IF(D72="","",'Flächen u. Kulturen'!C57)</f>
        <v/>
      </c>
      <c r="D72" s="1176" t="str">
        <f>IF(AND('Flächen u. Kulturen'!D57="",'Flächen u. Kulturen'!D57=0),"",'Flächen u. Kulturen'!D57)</f>
        <v/>
      </c>
      <c r="E72" s="1176" t="str">
        <f>IF('Flächen u. Kulturen'!E57="","",'Flächen u. Kulturen'!E57)</f>
        <v>x</v>
      </c>
      <c r="F72" s="1176" t="str">
        <f>IF('Flächen u. Kulturen'!F57="",'#Boden'!$G$4,'Flächen u. Kulturen'!F57)</f>
        <v xml:space="preserve"> --</v>
      </c>
      <c r="G72" s="1176" t="str">
        <f>IF('Flächen u. Kulturen'!G57="",'#Boden'!$B$26,'Flächen u. Kulturen'!G57)</f>
        <v xml:space="preserve"> --</v>
      </c>
      <c r="H72" s="1176" t="str">
        <f>IF('Flächen u. Kulturen'!H57="",'#Boden'!$B$23,'Flächen u. Kulturen'!H57)</f>
        <v>ja</v>
      </c>
      <c r="I72" s="1176" t="str">
        <f>IF('Flächen u. Kulturen'!I57="",'#Boden'!$B$9,'Flächen u. Kulturen'!I57)</f>
        <v xml:space="preserve"> --         </v>
      </c>
      <c r="J72" s="1176" t="str">
        <f>IF('Flächen u. Kulturen'!P57="",'#Frucht'!$D$8,'Flächen u. Kulturen'!P57)</f>
        <v xml:space="preserve"> --  </v>
      </c>
      <c r="K72" s="1176">
        <f>'#orgDung'!U61</f>
        <v>0</v>
      </c>
      <c r="L72" s="1176" t="str">
        <f>'#orgDung'!S61</f>
        <v/>
      </c>
      <c r="M72" s="1176" t="str">
        <f>'#Zweitfr'!$D$8</f>
        <v xml:space="preserve"> --    </v>
      </c>
      <c r="N72" s="1176" t="str">
        <f>'#Boden'!$G$17</f>
        <v xml:space="preserve"> --     </v>
      </c>
      <c r="O72" s="1176" t="str">
        <f>'#Boden'!$G$22</f>
        <v xml:space="preserve"> --      </v>
      </c>
      <c r="P72" s="1176"/>
      <c r="Q72" s="1176" t="str">
        <f>IF('#BerechnungDBE'!N52=3,J72,'#Frucht'!$D$8)</f>
        <v xml:space="preserve"> --  </v>
      </c>
      <c r="R72" s="527"/>
    </row>
    <row r="73" spans="2:18" s="875" customFormat="1" ht="27" customHeight="1" x14ac:dyDescent="0.2">
      <c r="B73" s="1479" t="str">
        <f>IF(D73="","",'Flächen u. Kulturen'!B58)</f>
        <v/>
      </c>
      <c r="C73" s="1176" t="str">
        <f>IF(D73="","",'Flächen u. Kulturen'!C58)</f>
        <v/>
      </c>
      <c r="D73" s="1176" t="str">
        <f>IF(AND('Flächen u. Kulturen'!D58="",'Flächen u. Kulturen'!D58=0),"",'Flächen u. Kulturen'!D58)</f>
        <v/>
      </c>
      <c r="E73" s="1176" t="str">
        <f>IF('Flächen u. Kulturen'!E58="","",'Flächen u. Kulturen'!E58)</f>
        <v>x</v>
      </c>
      <c r="F73" s="1176" t="str">
        <f>IF('Flächen u. Kulturen'!F58="",'#Boden'!$G$4,'Flächen u. Kulturen'!F58)</f>
        <v xml:space="preserve"> --</v>
      </c>
      <c r="G73" s="1176" t="str">
        <f>IF('Flächen u. Kulturen'!G58="",'#Boden'!$B$26,'Flächen u. Kulturen'!G58)</f>
        <v xml:space="preserve"> --</v>
      </c>
      <c r="H73" s="1176" t="str">
        <f>IF('Flächen u. Kulturen'!H58="",'#Boden'!$B$23,'Flächen u. Kulturen'!H58)</f>
        <v>ja</v>
      </c>
      <c r="I73" s="1176" t="str">
        <f>IF('Flächen u. Kulturen'!I58="",'#Boden'!$B$9,'Flächen u. Kulturen'!I58)</f>
        <v xml:space="preserve"> --         </v>
      </c>
      <c r="J73" s="1176" t="str">
        <f>IF('Flächen u. Kulturen'!P58="",'#Frucht'!$D$8,'Flächen u. Kulturen'!P58)</f>
        <v xml:space="preserve"> --  </v>
      </c>
      <c r="K73" s="1176">
        <f>'#orgDung'!U62</f>
        <v>0</v>
      </c>
      <c r="L73" s="1176" t="str">
        <f>'#orgDung'!S62</f>
        <v/>
      </c>
      <c r="M73" s="1176" t="str">
        <f>'#Zweitfr'!$D$8</f>
        <v xml:space="preserve"> --    </v>
      </c>
      <c r="N73" s="1176" t="str">
        <f>'#Boden'!$G$17</f>
        <v xml:space="preserve"> --     </v>
      </c>
      <c r="O73" s="1176" t="str">
        <f>'#Boden'!$G$22</f>
        <v xml:space="preserve"> --      </v>
      </c>
      <c r="P73" s="1176"/>
      <c r="Q73" s="1176" t="str">
        <f>IF('#BerechnungDBE'!N53=3,J73,'#Frucht'!$D$8)</f>
        <v xml:space="preserve"> --  </v>
      </c>
      <c r="R73" s="527"/>
    </row>
    <row r="74" spans="2:18" s="875" customFormat="1" ht="27" customHeight="1" x14ac:dyDescent="0.2">
      <c r="B74" s="1479" t="str">
        <f>IF(D74="","",'Flächen u. Kulturen'!B59)</f>
        <v/>
      </c>
      <c r="C74" s="1176" t="str">
        <f>IF(D74="","",'Flächen u. Kulturen'!C59)</f>
        <v/>
      </c>
      <c r="D74" s="1176" t="str">
        <f>IF(AND('Flächen u. Kulturen'!D59="",'Flächen u. Kulturen'!D59=0),"",'Flächen u. Kulturen'!D59)</f>
        <v/>
      </c>
      <c r="E74" s="1176" t="str">
        <f>IF('Flächen u. Kulturen'!E59="","",'Flächen u. Kulturen'!E59)</f>
        <v>x</v>
      </c>
      <c r="F74" s="1176" t="str">
        <f>IF('Flächen u. Kulturen'!F59="",'#Boden'!$G$4,'Flächen u. Kulturen'!F59)</f>
        <v xml:space="preserve"> --</v>
      </c>
      <c r="G74" s="1176" t="str">
        <f>IF('Flächen u. Kulturen'!G59="",'#Boden'!$B$26,'Flächen u. Kulturen'!G59)</f>
        <v xml:space="preserve"> --</v>
      </c>
      <c r="H74" s="1176" t="str">
        <f>IF('Flächen u. Kulturen'!H59="",'#Boden'!$B$23,'Flächen u. Kulturen'!H59)</f>
        <v>ja</v>
      </c>
      <c r="I74" s="1176" t="str">
        <f>IF('Flächen u. Kulturen'!I59="",'#Boden'!$B$9,'Flächen u. Kulturen'!I59)</f>
        <v xml:space="preserve"> --         </v>
      </c>
      <c r="J74" s="1176" t="str">
        <f>IF('Flächen u. Kulturen'!P59="",'#Frucht'!$D$8,'Flächen u. Kulturen'!P59)</f>
        <v xml:space="preserve"> --  </v>
      </c>
      <c r="K74" s="1176">
        <f>'#orgDung'!U63</f>
        <v>0</v>
      </c>
      <c r="L74" s="1176" t="str">
        <f>'#orgDung'!S63</f>
        <v/>
      </c>
      <c r="M74" s="1176" t="str">
        <f>'#Zweitfr'!$D$8</f>
        <v xml:space="preserve"> --    </v>
      </c>
      <c r="N74" s="1176" t="str">
        <f>'#Boden'!$G$17</f>
        <v xml:space="preserve"> --     </v>
      </c>
      <c r="O74" s="1176" t="str">
        <f>'#Boden'!$G$22</f>
        <v xml:space="preserve"> --      </v>
      </c>
      <c r="P74" s="1176"/>
      <c r="Q74" s="1176" t="str">
        <f>IF('#BerechnungDBE'!N54=3,J74,'#Frucht'!$D$8)</f>
        <v xml:space="preserve"> --  </v>
      </c>
      <c r="R74" s="527"/>
    </row>
    <row r="75" spans="2:18" s="875" customFormat="1" ht="27" customHeight="1" x14ac:dyDescent="0.2">
      <c r="B75" s="1479" t="str">
        <f>IF(D75="","",'Flächen u. Kulturen'!B60)</f>
        <v/>
      </c>
      <c r="C75" s="1176" t="str">
        <f>IF(D75="","",'Flächen u. Kulturen'!C60)</f>
        <v/>
      </c>
      <c r="D75" s="1176" t="str">
        <f>IF(AND('Flächen u. Kulturen'!D60="",'Flächen u. Kulturen'!D60=0),"",'Flächen u. Kulturen'!D60)</f>
        <v/>
      </c>
      <c r="E75" s="1176" t="str">
        <f>IF('Flächen u. Kulturen'!E60="","",'Flächen u. Kulturen'!E60)</f>
        <v>x</v>
      </c>
      <c r="F75" s="1176" t="str">
        <f>IF('Flächen u. Kulturen'!F60="",'#Boden'!$G$4,'Flächen u. Kulturen'!F60)</f>
        <v xml:space="preserve"> --</v>
      </c>
      <c r="G75" s="1176" t="str">
        <f>IF('Flächen u. Kulturen'!G60="",'#Boden'!$B$26,'Flächen u. Kulturen'!G60)</f>
        <v xml:space="preserve"> --</v>
      </c>
      <c r="H75" s="1176" t="str">
        <f>IF('Flächen u. Kulturen'!H60="",'#Boden'!$B$23,'Flächen u. Kulturen'!H60)</f>
        <v>ja</v>
      </c>
      <c r="I75" s="1176" t="str">
        <f>IF('Flächen u. Kulturen'!I60="",'#Boden'!$B$9,'Flächen u. Kulturen'!I60)</f>
        <v xml:space="preserve"> --         </v>
      </c>
      <c r="J75" s="1176" t="str">
        <f>IF('Flächen u. Kulturen'!P60="",'#Frucht'!$D$8,'Flächen u. Kulturen'!P60)</f>
        <v xml:space="preserve"> --  </v>
      </c>
      <c r="K75" s="1176">
        <f>'#orgDung'!U64</f>
        <v>0</v>
      </c>
      <c r="L75" s="1176" t="str">
        <f>'#orgDung'!S64</f>
        <v/>
      </c>
      <c r="M75" s="1176" t="str">
        <f>'#Zweitfr'!$D$8</f>
        <v xml:space="preserve"> --    </v>
      </c>
      <c r="N75" s="1176" t="str">
        <f>'#Boden'!$G$17</f>
        <v xml:space="preserve"> --     </v>
      </c>
      <c r="O75" s="1176" t="str">
        <f>'#Boden'!$G$22</f>
        <v xml:space="preserve"> --      </v>
      </c>
      <c r="P75" s="1176"/>
      <c r="Q75" s="1176" t="str">
        <f>IF('#BerechnungDBE'!N55=3,J75,'#Frucht'!$D$8)</f>
        <v xml:space="preserve"> --  </v>
      </c>
      <c r="R75" s="527"/>
    </row>
    <row r="76" spans="2:18" s="875" customFormat="1" ht="27" customHeight="1" x14ac:dyDescent="0.2">
      <c r="B76" s="1479" t="str">
        <f>IF(D76="","",'Flächen u. Kulturen'!B61)</f>
        <v/>
      </c>
      <c r="C76" s="1176" t="str">
        <f>IF(D76="","",'Flächen u. Kulturen'!C61)</f>
        <v/>
      </c>
      <c r="D76" s="1176" t="str">
        <f>IF(AND('Flächen u. Kulturen'!D61="",'Flächen u. Kulturen'!D61=0),"",'Flächen u. Kulturen'!D61)</f>
        <v/>
      </c>
      <c r="E76" s="1176" t="str">
        <f>IF('Flächen u. Kulturen'!E61="","",'Flächen u. Kulturen'!E61)</f>
        <v>x</v>
      </c>
      <c r="F76" s="1176" t="str">
        <f>IF('Flächen u. Kulturen'!F61="",'#Boden'!$G$4,'Flächen u. Kulturen'!F61)</f>
        <v xml:space="preserve"> --</v>
      </c>
      <c r="G76" s="1176" t="str">
        <f>IF('Flächen u. Kulturen'!G61="",'#Boden'!$B$26,'Flächen u. Kulturen'!G61)</f>
        <v xml:space="preserve"> --</v>
      </c>
      <c r="H76" s="1176" t="str">
        <f>IF('Flächen u. Kulturen'!H61="",'#Boden'!$B$23,'Flächen u. Kulturen'!H61)</f>
        <v>ja</v>
      </c>
      <c r="I76" s="1176" t="str">
        <f>IF('Flächen u. Kulturen'!I61="",'#Boden'!$B$9,'Flächen u. Kulturen'!I61)</f>
        <v xml:space="preserve"> --         </v>
      </c>
      <c r="J76" s="1176" t="str">
        <f>IF('Flächen u. Kulturen'!P61="",'#Frucht'!$D$8,'Flächen u. Kulturen'!P61)</f>
        <v xml:space="preserve"> --  </v>
      </c>
      <c r="K76" s="1176">
        <f>'#orgDung'!U65</f>
        <v>0</v>
      </c>
      <c r="L76" s="1176" t="str">
        <f>'#orgDung'!S65</f>
        <v/>
      </c>
      <c r="M76" s="1176" t="str">
        <f>'#Zweitfr'!$D$8</f>
        <v xml:space="preserve"> --    </v>
      </c>
      <c r="N76" s="1176" t="str">
        <f>'#Boden'!$G$17</f>
        <v xml:space="preserve"> --     </v>
      </c>
      <c r="O76" s="1176" t="str">
        <f>'#Boden'!$G$22</f>
        <v xml:space="preserve"> --      </v>
      </c>
      <c r="P76" s="1176"/>
      <c r="Q76" s="1176" t="str">
        <f>IF('#BerechnungDBE'!N56=3,J76,'#Frucht'!$D$8)</f>
        <v xml:space="preserve"> --  </v>
      </c>
      <c r="R76" s="527"/>
    </row>
    <row r="77" spans="2:18" s="875" customFormat="1" ht="27" customHeight="1" x14ac:dyDescent="0.2">
      <c r="B77" s="1479" t="str">
        <f>IF(D77="","",'Flächen u. Kulturen'!B62)</f>
        <v/>
      </c>
      <c r="C77" s="1176" t="str">
        <f>IF(D77="","",'Flächen u. Kulturen'!C62)</f>
        <v/>
      </c>
      <c r="D77" s="1176" t="str">
        <f>IF(AND('Flächen u. Kulturen'!D62="",'Flächen u. Kulturen'!D62=0),"",'Flächen u. Kulturen'!D62)</f>
        <v/>
      </c>
      <c r="E77" s="1176" t="str">
        <f>IF('Flächen u. Kulturen'!E62="","",'Flächen u. Kulturen'!E62)</f>
        <v>x</v>
      </c>
      <c r="F77" s="1176" t="str">
        <f>IF('Flächen u. Kulturen'!F62="",'#Boden'!$G$4,'Flächen u. Kulturen'!F62)</f>
        <v xml:space="preserve"> --</v>
      </c>
      <c r="G77" s="1176" t="str">
        <f>IF('Flächen u. Kulturen'!G62="",'#Boden'!$B$26,'Flächen u. Kulturen'!G62)</f>
        <v xml:space="preserve"> --</v>
      </c>
      <c r="H77" s="1176" t="str">
        <f>IF('Flächen u. Kulturen'!H62="",'#Boden'!$B$23,'Flächen u. Kulturen'!H62)</f>
        <v>ja</v>
      </c>
      <c r="I77" s="1176" t="str">
        <f>IF('Flächen u. Kulturen'!I62="",'#Boden'!$B$9,'Flächen u. Kulturen'!I62)</f>
        <v xml:space="preserve"> --         </v>
      </c>
      <c r="J77" s="1176" t="str">
        <f>IF('Flächen u. Kulturen'!P62="",'#Frucht'!$D$8,'Flächen u. Kulturen'!P62)</f>
        <v xml:space="preserve"> --  </v>
      </c>
      <c r="K77" s="1176">
        <f>'#orgDung'!U66</f>
        <v>0</v>
      </c>
      <c r="L77" s="1176" t="str">
        <f>'#orgDung'!S66</f>
        <v/>
      </c>
      <c r="M77" s="1176" t="str">
        <f>'#Zweitfr'!$D$8</f>
        <v xml:space="preserve"> --    </v>
      </c>
      <c r="N77" s="1176" t="str">
        <f>'#Boden'!$G$17</f>
        <v xml:space="preserve"> --     </v>
      </c>
      <c r="O77" s="1176" t="str">
        <f>'#Boden'!$G$22</f>
        <v xml:space="preserve"> --      </v>
      </c>
      <c r="P77" s="1176"/>
      <c r="Q77" s="1176" t="str">
        <f>IF('#BerechnungDBE'!N57=3,J77,'#Frucht'!$D$8)</f>
        <v xml:space="preserve"> --  </v>
      </c>
      <c r="R77" s="527"/>
    </row>
    <row r="78" spans="2:18" s="875" customFormat="1" ht="27" customHeight="1" x14ac:dyDescent="0.2">
      <c r="B78" s="1479" t="str">
        <f>IF(D78="","",'Flächen u. Kulturen'!B63)</f>
        <v/>
      </c>
      <c r="C78" s="1176" t="str">
        <f>IF(D78="","",'Flächen u. Kulturen'!C63)</f>
        <v/>
      </c>
      <c r="D78" s="1176" t="str">
        <f>IF(AND('Flächen u. Kulturen'!D63="",'Flächen u. Kulturen'!D63=0),"",'Flächen u. Kulturen'!D63)</f>
        <v/>
      </c>
      <c r="E78" s="1176" t="str">
        <f>IF('Flächen u. Kulturen'!E63="","",'Flächen u. Kulturen'!E63)</f>
        <v>x</v>
      </c>
      <c r="F78" s="1176" t="str">
        <f>IF('Flächen u. Kulturen'!F63="",'#Boden'!$G$4,'Flächen u. Kulturen'!F63)</f>
        <v xml:space="preserve"> --</v>
      </c>
      <c r="G78" s="1176" t="str">
        <f>IF('Flächen u. Kulturen'!G63="",'#Boden'!$B$26,'Flächen u. Kulturen'!G63)</f>
        <v xml:space="preserve"> --</v>
      </c>
      <c r="H78" s="1176" t="str">
        <f>IF('Flächen u. Kulturen'!H63="",'#Boden'!$B$23,'Flächen u. Kulturen'!H63)</f>
        <v>ja</v>
      </c>
      <c r="I78" s="1176" t="str">
        <f>IF('Flächen u. Kulturen'!I63="",'#Boden'!$B$9,'Flächen u. Kulturen'!I63)</f>
        <v xml:space="preserve"> --         </v>
      </c>
      <c r="J78" s="1176" t="str">
        <f>IF('Flächen u. Kulturen'!P63="",'#Frucht'!$D$8,'Flächen u. Kulturen'!P63)</f>
        <v xml:space="preserve"> --  </v>
      </c>
      <c r="K78" s="1176">
        <f>'#orgDung'!U67</f>
        <v>0</v>
      </c>
      <c r="L78" s="1176" t="str">
        <f>'#orgDung'!S67</f>
        <v/>
      </c>
      <c r="M78" s="1176" t="str">
        <f>'#Zweitfr'!$D$8</f>
        <v xml:space="preserve"> --    </v>
      </c>
      <c r="N78" s="1176" t="str">
        <f>'#Boden'!$G$17</f>
        <v xml:space="preserve"> --     </v>
      </c>
      <c r="O78" s="1176" t="str">
        <f>'#Boden'!$G$22</f>
        <v xml:space="preserve"> --      </v>
      </c>
      <c r="P78" s="1176"/>
      <c r="Q78" s="1176" t="str">
        <f>IF('#BerechnungDBE'!N58=3,J78,'#Frucht'!$D$8)</f>
        <v xml:space="preserve"> --  </v>
      </c>
      <c r="R78" s="527"/>
    </row>
    <row r="79" spans="2:18" s="875" customFormat="1" ht="27" customHeight="1" x14ac:dyDescent="0.2">
      <c r="B79" s="1479" t="str">
        <f>IF(D79="","",'Flächen u. Kulturen'!B64)</f>
        <v/>
      </c>
      <c r="C79" s="1176" t="str">
        <f>IF(D79="","",'Flächen u. Kulturen'!C64)</f>
        <v/>
      </c>
      <c r="D79" s="1176" t="str">
        <f>IF(AND('Flächen u. Kulturen'!D64="",'Flächen u. Kulturen'!D64=0),"",'Flächen u. Kulturen'!D64)</f>
        <v/>
      </c>
      <c r="E79" s="1176" t="str">
        <f>IF('Flächen u. Kulturen'!E64="","",'Flächen u. Kulturen'!E64)</f>
        <v>x</v>
      </c>
      <c r="F79" s="1176" t="str">
        <f>IF('Flächen u. Kulturen'!F64="",'#Boden'!$G$4,'Flächen u. Kulturen'!F64)</f>
        <v xml:space="preserve"> --</v>
      </c>
      <c r="G79" s="1176" t="str">
        <f>IF('Flächen u. Kulturen'!G64="",'#Boden'!$B$26,'Flächen u. Kulturen'!G64)</f>
        <v xml:space="preserve"> --</v>
      </c>
      <c r="H79" s="1176" t="str">
        <f>IF('Flächen u. Kulturen'!H64="",'#Boden'!$B$23,'Flächen u. Kulturen'!H64)</f>
        <v>ja</v>
      </c>
      <c r="I79" s="1176" t="str">
        <f>IF('Flächen u. Kulturen'!I64="",'#Boden'!$B$9,'Flächen u. Kulturen'!I64)</f>
        <v xml:space="preserve"> --         </v>
      </c>
      <c r="J79" s="1176" t="str">
        <f>IF('Flächen u. Kulturen'!P64="",'#Frucht'!$D$8,'Flächen u. Kulturen'!P64)</f>
        <v xml:space="preserve"> --  </v>
      </c>
      <c r="K79" s="1176">
        <f>'#orgDung'!U68</f>
        <v>0</v>
      </c>
      <c r="L79" s="1176" t="str">
        <f>'#orgDung'!S68</f>
        <v/>
      </c>
      <c r="M79" s="1176" t="str">
        <f>'#Zweitfr'!$D$8</f>
        <v xml:space="preserve"> --    </v>
      </c>
      <c r="N79" s="1176" t="str">
        <f>'#Boden'!$G$17</f>
        <v xml:space="preserve"> --     </v>
      </c>
      <c r="O79" s="1176" t="str">
        <f>'#Boden'!$G$22</f>
        <v xml:space="preserve"> --      </v>
      </c>
      <c r="P79" s="1176"/>
      <c r="Q79" s="1176" t="str">
        <f>IF('#BerechnungDBE'!N59=3,J79,'#Frucht'!$D$8)</f>
        <v xml:space="preserve"> --  </v>
      </c>
      <c r="R79" s="527"/>
    </row>
    <row r="80" spans="2:18" s="875" customFormat="1" ht="27" customHeight="1" x14ac:dyDescent="0.2">
      <c r="B80" s="1479" t="str">
        <f>IF(D80="","",'Flächen u. Kulturen'!B65)</f>
        <v/>
      </c>
      <c r="C80" s="1176" t="str">
        <f>IF(D80="","",'Flächen u. Kulturen'!C65)</f>
        <v/>
      </c>
      <c r="D80" s="1176" t="str">
        <f>IF(AND('Flächen u. Kulturen'!D65="",'Flächen u. Kulturen'!D65=0),"",'Flächen u. Kulturen'!D65)</f>
        <v/>
      </c>
      <c r="E80" s="1176" t="str">
        <f>IF('Flächen u. Kulturen'!E65="","",'Flächen u. Kulturen'!E65)</f>
        <v>x</v>
      </c>
      <c r="F80" s="1176" t="str">
        <f>IF('Flächen u. Kulturen'!F65="",'#Boden'!$G$4,'Flächen u. Kulturen'!F65)</f>
        <v xml:space="preserve"> --</v>
      </c>
      <c r="G80" s="1176" t="str">
        <f>IF('Flächen u. Kulturen'!G65="",'#Boden'!$B$26,'Flächen u. Kulturen'!G65)</f>
        <v xml:space="preserve"> --</v>
      </c>
      <c r="H80" s="1176" t="str">
        <f>IF('Flächen u. Kulturen'!H65="",'#Boden'!$B$23,'Flächen u. Kulturen'!H65)</f>
        <v>ja</v>
      </c>
      <c r="I80" s="1176" t="str">
        <f>IF('Flächen u. Kulturen'!I65="",'#Boden'!$B$9,'Flächen u. Kulturen'!I65)</f>
        <v xml:space="preserve"> --         </v>
      </c>
      <c r="J80" s="1176" t="str">
        <f>IF('Flächen u. Kulturen'!P65="",'#Frucht'!$D$8,'Flächen u. Kulturen'!P65)</f>
        <v xml:space="preserve"> --  </v>
      </c>
      <c r="K80" s="1176">
        <f>'#orgDung'!U69</f>
        <v>0</v>
      </c>
      <c r="L80" s="1176" t="str">
        <f>'#orgDung'!S69</f>
        <v/>
      </c>
      <c r="M80" s="1176" t="str">
        <f>'#Zweitfr'!$D$8</f>
        <v xml:space="preserve"> --    </v>
      </c>
      <c r="N80" s="1176" t="str">
        <f>'#Boden'!$G$17</f>
        <v xml:space="preserve"> --     </v>
      </c>
      <c r="O80" s="1176" t="str">
        <f>'#Boden'!$G$22</f>
        <v xml:space="preserve"> --      </v>
      </c>
      <c r="P80" s="1176"/>
      <c r="Q80" s="1176" t="str">
        <f>IF('#BerechnungDBE'!N60=3,J80,'#Frucht'!$D$8)</f>
        <v xml:space="preserve"> --  </v>
      </c>
      <c r="R80" s="527"/>
    </row>
    <row r="81" spans="2:18" s="875" customFormat="1" ht="27" customHeight="1" x14ac:dyDescent="0.2">
      <c r="B81" s="1479" t="str">
        <f>IF(D81="","",'Flächen u. Kulturen'!B66)</f>
        <v/>
      </c>
      <c r="C81" s="1176" t="str">
        <f>IF(D81="","",'Flächen u. Kulturen'!C66)</f>
        <v/>
      </c>
      <c r="D81" s="1176" t="str">
        <f>IF(AND('Flächen u. Kulturen'!D66="",'Flächen u. Kulturen'!D66=0),"",'Flächen u. Kulturen'!D66)</f>
        <v/>
      </c>
      <c r="E81" s="1176" t="str">
        <f>IF('Flächen u. Kulturen'!E66="","",'Flächen u. Kulturen'!E66)</f>
        <v>x</v>
      </c>
      <c r="F81" s="1176" t="str">
        <f>IF('Flächen u. Kulturen'!F66="",'#Boden'!$G$4,'Flächen u. Kulturen'!F66)</f>
        <v xml:space="preserve"> --</v>
      </c>
      <c r="G81" s="1176" t="str">
        <f>IF('Flächen u. Kulturen'!G66="",'#Boden'!$B$26,'Flächen u. Kulturen'!G66)</f>
        <v xml:space="preserve"> --</v>
      </c>
      <c r="H81" s="1176" t="str">
        <f>IF('Flächen u. Kulturen'!H66="",'#Boden'!$B$23,'Flächen u. Kulturen'!H66)</f>
        <v>ja</v>
      </c>
      <c r="I81" s="1176" t="str">
        <f>IF('Flächen u. Kulturen'!I66="",'#Boden'!$B$9,'Flächen u. Kulturen'!I66)</f>
        <v xml:space="preserve"> --         </v>
      </c>
      <c r="J81" s="1176" t="str">
        <f>IF('Flächen u. Kulturen'!P66="",'#Frucht'!$D$8,'Flächen u. Kulturen'!P66)</f>
        <v xml:space="preserve"> --  </v>
      </c>
      <c r="K81" s="1176">
        <f>'#orgDung'!U70</f>
        <v>0</v>
      </c>
      <c r="L81" s="1176" t="str">
        <f>'#orgDung'!S70</f>
        <v/>
      </c>
      <c r="M81" s="1176" t="str">
        <f>'#Zweitfr'!$D$8</f>
        <v xml:space="preserve"> --    </v>
      </c>
      <c r="N81" s="1176" t="str">
        <f>'#Boden'!$G$17</f>
        <v xml:space="preserve"> --     </v>
      </c>
      <c r="O81" s="1176" t="str">
        <f>'#Boden'!$G$22</f>
        <v xml:space="preserve"> --      </v>
      </c>
      <c r="P81" s="1176"/>
      <c r="Q81" s="1176" t="str">
        <f>IF('#BerechnungDBE'!N61=3,J81,'#Frucht'!$D$8)</f>
        <v xml:space="preserve"> --  </v>
      </c>
      <c r="R81" s="527"/>
    </row>
    <row r="82" spans="2:18" s="875" customFormat="1" ht="27" customHeight="1" x14ac:dyDescent="0.2">
      <c r="B82" s="1479" t="str">
        <f>IF(D82="","",'Flächen u. Kulturen'!B67)</f>
        <v/>
      </c>
      <c r="C82" s="1176" t="str">
        <f>IF(D82="","",'Flächen u. Kulturen'!C67)</f>
        <v/>
      </c>
      <c r="D82" s="1176" t="str">
        <f>IF(AND('Flächen u. Kulturen'!D67="",'Flächen u. Kulturen'!D67=0),"",'Flächen u. Kulturen'!D67)</f>
        <v/>
      </c>
      <c r="E82" s="1176" t="str">
        <f>IF('Flächen u. Kulturen'!E67="","",'Flächen u. Kulturen'!E67)</f>
        <v>x</v>
      </c>
      <c r="F82" s="1176" t="str">
        <f>IF('Flächen u. Kulturen'!F67="",'#Boden'!$G$4,'Flächen u. Kulturen'!F67)</f>
        <v xml:space="preserve"> --</v>
      </c>
      <c r="G82" s="1176" t="str">
        <f>IF('Flächen u. Kulturen'!G67="",'#Boden'!$B$26,'Flächen u. Kulturen'!G67)</f>
        <v xml:space="preserve"> --</v>
      </c>
      <c r="H82" s="1176" t="str">
        <f>IF('Flächen u. Kulturen'!H67="",'#Boden'!$B$23,'Flächen u. Kulturen'!H67)</f>
        <v>ja</v>
      </c>
      <c r="I82" s="1176" t="str">
        <f>IF('Flächen u. Kulturen'!I67="",'#Boden'!$B$9,'Flächen u. Kulturen'!I67)</f>
        <v xml:space="preserve"> --         </v>
      </c>
      <c r="J82" s="1176" t="str">
        <f>IF('Flächen u. Kulturen'!P67="",'#Frucht'!$D$8,'Flächen u. Kulturen'!P67)</f>
        <v xml:space="preserve"> --  </v>
      </c>
      <c r="K82" s="1176">
        <f>'#orgDung'!U71</f>
        <v>0</v>
      </c>
      <c r="L82" s="1176" t="str">
        <f>'#orgDung'!S71</f>
        <v/>
      </c>
      <c r="M82" s="1176" t="str">
        <f>'#Zweitfr'!$D$8</f>
        <v xml:space="preserve"> --    </v>
      </c>
      <c r="N82" s="1176" t="str">
        <f>'#Boden'!$G$17</f>
        <v xml:space="preserve"> --     </v>
      </c>
      <c r="O82" s="1176" t="str">
        <f>'#Boden'!$G$22</f>
        <v xml:space="preserve"> --      </v>
      </c>
      <c r="P82" s="1176"/>
      <c r="Q82" s="1176" t="str">
        <f>IF('#BerechnungDBE'!N62=3,J82,'#Frucht'!$D$8)</f>
        <v xml:space="preserve"> --  </v>
      </c>
      <c r="R82" s="527"/>
    </row>
    <row r="83" spans="2:18" s="875" customFormat="1" ht="27" customHeight="1" x14ac:dyDescent="0.2">
      <c r="B83" s="1479" t="str">
        <f>IF(D83="","",'Flächen u. Kulturen'!B68)</f>
        <v/>
      </c>
      <c r="C83" s="1176" t="str">
        <f>IF(D83="","",'Flächen u. Kulturen'!C68)</f>
        <v/>
      </c>
      <c r="D83" s="1176" t="str">
        <f>IF(AND('Flächen u. Kulturen'!D68="",'Flächen u. Kulturen'!D68=0),"",'Flächen u. Kulturen'!D68)</f>
        <v/>
      </c>
      <c r="E83" s="1176" t="str">
        <f>IF('Flächen u. Kulturen'!E68="","",'Flächen u. Kulturen'!E68)</f>
        <v>x</v>
      </c>
      <c r="F83" s="1176" t="str">
        <f>IF('Flächen u. Kulturen'!F68="",'#Boden'!$G$4,'Flächen u. Kulturen'!F68)</f>
        <v xml:space="preserve"> --</v>
      </c>
      <c r="G83" s="1176" t="str">
        <f>IF('Flächen u. Kulturen'!G68="",'#Boden'!$B$26,'Flächen u. Kulturen'!G68)</f>
        <v xml:space="preserve"> --</v>
      </c>
      <c r="H83" s="1176" t="str">
        <f>IF('Flächen u. Kulturen'!H68="",'#Boden'!$B$23,'Flächen u. Kulturen'!H68)</f>
        <v>ja</v>
      </c>
      <c r="I83" s="1176" t="str">
        <f>IF('Flächen u. Kulturen'!I68="",'#Boden'!$B$9,'Flächen u. Kulturen'!I68)</f>
        <v xml:space="preserve"> --         </v>
      </c>
      <c r="J83" s="1176" t="str">
        <f>IF('Flächen u. Kulturen'!P68="",'#Frucht'!$D$8,'Flächen u. Kulturen'!P68)</f>
        <v xml:space="preserve"> --  </v>
      </c>
      <c r="K83" s="1176">
        <f>'#orgDung'!U72</f>
        <v>0</v>
      </c>
      <c r="L83" s="1176" t="str">
        <f>'#orgDung'!S72</f>
        <v/>
      </c>
      <c r="M83" s="1176" t="str">
        <f>'#Zweitfr'!$D$8</f>
        <v xml:space="preserve"> --    </v>
      </c>
      <c r="N83" s="1176" t="str">
        <f>'#Boden'!$G$17</f>
        <v xml:space="preserve"> --     </v>
      </c>
      <c r="O83" s="1176" t="str">
        <f>'#Boden'!$G$22</f>
        <v xml:space="preserve"> --      </v>
      </c>
      <c r="P83" s="1176"/>
      <c r="Q83" s="1176" t="str">
        <f>IF('#BerechnungDBE'!N63=3,J83,'#Frucht'!$D$8)</f>
        <v xml:space="preserve"> --  </v>
      </c>
      <c r="R83" s="527"/>
    </row>
    <row r="84" spans="2:18" s="875" customFormat="1" ht="27" customHeight="1" x14ac:dyDescent="0.2">
      <c r="B84" s="1479" t="str">
        <f>IF(D84="","",'Flächen u. Kulturen'!B69)</f>
        <v/>
      </c>
      <c r="C84" s="1176" t="str">
        <f>IF(D84="","",'Flächen u. Kulturen'!C69)</f>
        <v/>
      </c>
      <c r="D84" s="1176" t="str">
        <f>IF(AND('Flächen u. Kulturen'!D69="",'Flächen u. Kulturen'!D69=0),"",'Flächen u. Kulturen'!D69)</f>
        <v/>
      </c>
      <c r="E84" s="1176" t="str">
        <f>IF('Flächen u. Kulturen'!E69="","",'Flächen u. Kulturen'!E69)</f>
        <v>x</v>
      </c>
      <c r="F84" s="1176" t="str">
        <f>IF('Flächen u. Kulturen'!F69="",'#Boden'!$G$4,'Flächen u. Kulturen'!F69)</f>
        <v xml:space="preserve"> --</v>
      </c>
      <c r="G84" s="1176" t="str">
        <f>IF('Flächen u. Kulturen'!G69="",'#Boden'!$B$26,'Flächen u. Kulturen'!G69)</f>
        <v xml:space="preserve"> --</v>
      </c>
      <c r="H84" s="1176" t="str">
        <f>IF('Flächen u. Kulturen'!H69="",'#Boden'!$B$23,'Flächen u. Kulturen'!H69)</f>
        <v>ja</v>
      </c>
      <c r="I84" s="1176" t="str">
        <f>IF('Flächen u. Kulturen'!I69="",'#Boden'!$B$9,'Flächen u. Kulturen'!I69)</f>
        <v xml:space="preserve"> --         </v>
      </c>
      <c r="J84" s="1176" t="str">
        <f>IF('Flächen u. Kulturen'!P69="",'#Frucht'!$D$8,'Flächen u. Kulturen'!P69)</f>
        <v xml:space="preserve"> --  </v>
      </c>
      <c r="K84" s="1176">
        <f>'#orgDung'!U73</f>
        <v>0</v>
      </c>
      <c r="L84" s="1176" t="str">
        <f>'#orgDung'!S73</f>
        <v/>
      </c>
      <c r="M84" s="1176" t="str">
        <f>'#Zweitfr'!$D$8</f>
        <v xml:space="preserve"> --    </v>
      </c>
      <c r="N84" s="1176" t="str">
        <f>'#Boden'!$G$17</f>
        <v xml:space="preserve"> --     </v>
      </c>
      <c r="O84" s="1176" t="str">
        <f>'#Boden'!$G$22</f>
        <v xml:space="preserve"> --      </v>
      </c>
      <c r="P84" s="1176"/>
      <c r="Q84" s="1176" t="str">
        <f>IF('#BerechnungDBE'!N64=3,J84,'#Frucht'!$D$8)</f>
        <v xml:space="preserve"> --  </v>
      </c>
      <c r="R84" s="527"/>
    </row>
    <row r="85" spans="2:18" s="875" customFormat="1" ht="27" customHeight="1" x14ac:dyDescent="0.2">
      <c r="B85" s="1479" t="str">
        <f>IF(D85="","",'Flächen u. Kulturen'!B70)</f>
        <v/>
      </c>
      <c r="C85" s="1176" t="str">
        <f>IF(D85="","",'Flächen u. Kulturen'!C70)</f>
        <v/>
      </c>
      <c r="D85" s="1176" t="str">
        <f>IF(AND('Flächen u. Kulturen'!D70="",'Flächen u. Kulturen'!D70=0),"",'Flächen u. Kulturen'!D70)</f>
        <v/>
      </c>
      <c r="E85" s="1176" t="str">
        <f>IF('Flächen u. Kulturen'!E70="","",'Flächen u. Kulturen'!E70)</f>
        <v>x</v>
      </c>
      <c r="F85" s="1176" t="str">
        <f>IF('Flächen u. Kulturen'!F70="",'#Boden'!$G$4,'Flächen u. Kulturen'!F70)</f>
        <v xml:space="preserve"> --</v>
      </c>
      <c r="G85" s="1176" t="str">
        <f>IF('Flächen u. Kulturen'!G70="",'#Boden'!$B$26,'Flächen u. Kulturen'!G70)</f>
        <v xml:space="preserve"> --</v>
      </c>
      <c r="H85" s="1176" t="str">
        <f>IF('Flächen u. Kulturen'!H70="",'#Boden'!$B$23,'Flächen u. Kulturen'!H70)</f>
        <v>ja</v>
      </c>
      <c r="I85" s="1176" t="str">
        <f>IF('Flächen u. Kulturen'!I70="",'#Boden'!$B$9,'Flächen u. Kulturen'!I70)</f>
        <v xml:space="preserve"> --         </v>
      </c>
      <c r="J85" s="1176" t="str">
        <f>IF('Flächen u. Kulturen'!P70="",'#Frucht'!$D$8,'Flächen u. Kulturen'!P70)</f>
        <v xml:space="preserve"> --  </v>
      </c>
      <c r="K85" s="1176">
        <f>'#orgDung'!U74</f>
        <v>0</v>
      </c>
      <c r="L85" s="1176" t="str">
        <f>'#orgDung'!S74</f>
        <v/>
      </c>
      <c r="M85" s="1176" t="str">
        <f>'#Zweitfr'!$D$8</f>
        <v xml:space="preserve"> --    </v>
      </c>
      <c r="N85" s="1176" t="str">
        <f>'#Boden'!$G$17</f>
        <v xml:space="preserve"> --     </v>
      </c>
      <c r="O85" s="1176" t="str">
        <f>'#Boden'!$G$22</f>
        <v xml:space="preserve"> --      </v>
      </c>
      <c r="P85" s="1176"/>
      <c r="Q85" s="1176" t="str">
        <f>IF('#BerechnungDBE'!N65=3,J85,'#Frucht'!$D$8)</f>
        <v xml:space="preserve"> --  </v>
      </c>
      <c r="R85" s="527"/>
    </row>
    <row r="86" spans="2:18" s="875" customFormat="1" ht="27" customHeight="1" x14ac:dyDescent="0.2">
      <c r="B86" s="1479" t="str">
        <f>IF(D86="","",'Flächen u. Kulturen'!B71)</f>
        <v/>
      </c>
      <c r="C86" s="1176" t="str">
        <f>IF(D86="","",'Flächen u. Kulturen'!C71)</f>
        <v/>
      </c>
      <c r="D86" s="1176" t="str">
        <f>IF(AND('Flächen u. Kulturen'!D71="",'Flächen u. Kulturen'!D71=0),"",'Flächen u. Kulturen'!D71)</f>
        <v/>
      </c>
      <c r="E86" s="1176" t="str">
        <f>IF('Flächen u. Kulturen'!E71="","",'Flächen u. Kulturen'!E71)</f>
        <v>x</v>
      </c>
      <c r="F86" s="1176" t="str">
        <f>IF('Flächen u. Kulturen'!F71="",'#Boden'!$G$4,'Flächen u. Kulturen'!F71)</f>
        <v xml:space="preserve"> --</v>
      </c>
      <c r="G86" s="1176" t="str">
        <f>IF('Flächen u. Kulturen'!G71="",'#Boden'!$B$26,'Flächen u. Kulturen'!G71)</f>
        <v xml:space="preserve"> --</v>
      </c>
      <c r="H86" s="1176" t="str">
        <f>IF('Flächen u. Kulturen'!H71="",'#Boden'!$B$23,'Flächen u. Kulturen'!H71)</f>
        <v>ja</v>
      </c>
      <c r="I86" s="1176" t="str">
        <f>IF('Flächen u. Kulturen'!I71="",'#Boden'!$B$9,'Flächen u. Kulturen'!I71)</f>
        <v xml:space="preserve"> --         </v>
      </c>
      <c r="J86" s="1176" t="str">
        <f>IF('Flächen u. Kulturen'!P71="",'#Frucht'!$D$8,'Flächen u. Kulturen'!P71)</f>
        <v xml:space="preserve"> --  </v>
      </c>
      <c r="K86" s="1176">
        <f>'#orgDung'!U75</f>
        <v>0</v>
      </c>
      <c r="L86" s="1176" t="str">
        <f>'#orgDung'!S75</f>
        <v/>
      </c>
      <c r="M86" s="1176" t="str">
        <f>'#Zweitfr'!$D$8</f>
        <v xml:space="preserve"> --    </v>
      </c>
      <c r="N86" s="1176" t="str">
        <f>'#Boden'!$G$17</f>
        <v xml:space="preserve"> --     </v>
      </c>
      <c r="O86" s="1176" t="str">
        <f>'#Boden'!$G$22</f>
        <v xml:space="preserve"> --      </v>
      </c>
      <c r="P86" s="1176"/>
      <c r="Q86" s="1176" t="str">
        <f>IF('#BerechnungDBE'!N66=3,J86,'#Frucht'!$D$8)</f>
        <v xml:space="preserve"> --  </v>
      </c>
      <c r="R86" s="527"/>
    </row>
    <row r="87" spans="2:18" s="875" customFormat="1" ht="27" customHeight="1" x14ac:dyDescent="0.2">
      <c r="B87" s="1479" t="str">
        <f>IF(D87="","",'Flächen u. Kulturen'!B72)</f>
        <v/>
      </c>
      <c r="C87" s="1176" t="str">
        <f>IF(D87="","",'Flächen u. Kulturen'!C72)</f>
        <v/>
      </c>
      <c r="D87" s="1176" t="str">
        <f>IF(AND('Flächen u. Kulturen'!D72="",'Flächen u. Kulturen'!D72=0),"",'Flächen u. Kulturen'!D72)</f>
        <v/>
      </c>
      <c r="E87" s="1176" t="str">
        <f>IF('Flächen u. Kulturen'!E72="","",'Flächen u. Kulturen'!E72)</f>
        <v>x</v>
      </c>
      <c r="F87" s="1176" t="str">
        <f>IF('Flächen u. Kulturen'!F72="",'#Boden'!$G$4,'Flächen u. Kulturen'!F72)</f>
        <v xml:space="preserve"> --</v>
      </c>
      <c r="G87" s="1176" t="str">
        <f>IF('Flächen u. Kulturen'!G72="",'#Boden'!$B$26,'Flächen u. Kulturen'!G72)</f>
        <v xml:space="preserve"> --</v>
      </c>
      <c r="H87" s="1176" t="str">
        <f>IF('Flächen u. Kulturen'!H72="",'#Boden'!$B$23,'Flächen u. Kulturen'!H72)</f>
        <v>ja</v>
      </c>
      <c r="I87" s="1176" t="str">
        <f>IF('Flächen u. Kulturen'!I72="",'#Boden'!$B$9,'Flächen u. Kulturen'!I72)</f>
        <v xml:space="preserve"> --         </v>
      </c>
      <c r="J87" s="1176" t="str">
        <f>IF('Flächen u. Kulturen'!P72="",'#Frucht'!$D$8,'Flächen u. Kulturen'!P72)</f>
        <v xml:space="preserve"> --  </v>
      </c>
      <c r="K87" s="1176">
        <f>'#orgDung'!U76</f>
        <v>0</v>
      </c>
      <c r="L87" s="1176" t="str">
        <f>'#orgDung'!S76</f>
        <v/>
      </c>
      <c r="M87" s="1176" t="str">
        <f>'#Zweitfr'!$D$8</f>
        <v xml:space="preserve"> --    </v>
      </c>
      <c r="N87" s="1176" t="str">
        <f>'#Boden'!$G$17</f>
        <v xml:space="preserve"> --     </v>
      </c>
      <c r="O87" s="1176" t="str">
        <f>'#Boden'!$G$22</f>
        <v xml:space="preserve"> --      </v>
      </c>
      <c r="P87" s="1176"/>
      <c r="Q87" s="1176" t="str">
        <f>IF('#BerechnungDBE'!N67=3,J87,'#Frucht'!$D$8)</f>
        <v xml:space="preserve"> --  </v>
      </c>
      <c r="R87" s="527"/>
    </row>
    <row r="88" spans="2:18" s="875" customFormat="1" ht="27" customHeight="1" x14ac:dyDescent="0.2">
      <c r="B88" s="1479" t="str">
        <f>IF(D88="","",'Flächen u. Kulturen'!B73)</f>
        <v/>
      </c>
      <c r="C88" s="1176" t="str">
        <f>IF(D88="","",'Flächen u. Kulturen'!C73)</f>
        <v/>
      </c>
      <c r="D88" s="1176" t="str">
        <f>IF(AND('Flächen u. Kulturen'!D73="",'Flächen u. Kulturen'!D73=0),"",'Flächen u. Kulturen'!D73)</f>
        <v/>
      </c>
      <c r="E88" s="1176" t="str">
        <f>IF('Flächen u. Kulturen'!E73="","",'Flächen u. Kulturen'!E73)</f>
        <v>x</v>
      </c>
      <c r="F88" s="1176" t="str">
        <f>IF('Flächen u. Kulturen'!F73="",'#Boden'!$G$4,'Flächen u. Kulturen'!F73)</f>
        <v xml:space="preserve"> --</v>
      </c>
      <c r="G88" s="1176" t="str">
        <f>IF('Flächen u. Kulturen'!G73="",'#Boden'!$B$26,'Flächen u. Kulturen'!G73)</f>
        <v xml:space="preserve"> --</v>
      </c>
      <c r="H88" s="1176" t="str">
        <f>IF('Flächen u. Kulturen'!H73="",'#Boden'!$B$23,'Flächen u. Kulturen'!H73)</f>
        <v>ja</v>
      </c>
      <c r="I88" s="1176" t="str">
        <f>IF('Flächen u. Kulturen'!I73="",'#Boden'!$B$9,'Flächen u. Kulturen'!I73)</f>
        <v xml:space="preserve"> --         </v>
      </c>
      <c r="J88" s="1176" t="str">
        <f>IF('Flächen u. Kulturen'!P73="",'#Frucht'!$D$8,'Flächen u. Kulturen'!P73)</f>
        <v xml:space="preserve"> --  </v>
      </c>
      <c r="K88" s="1176">
        <f>'#orgDung'!U77</f>
        <v>0</v>
      </c>
      <c r="L88" s="1176" t="str">
        <f>'#orgDung'!S77</f>
        <v/>
      </c>
      <c r="M88" s="1176" t="str">
        <f>'#Zweitfr'!$D$8</f>
        <v xml:space="preserve"> --    </v>
      </c>
      <c r="N88" s="1176" t="str">
        <f>'#Boden'!$G$17</f>
        <v xml:space="preserve"> --     </v>
      </c>
      <c r="O88" s="1176" t="str">
        <f>'#Boden'!$G$22</f>
        <v xml:space="preserve"> --      </v>
      </c>
      <c r="P88" s="1176"/>
      <c r="Q88" s="1176" t="str">
        <f>IF('#BerechnungDBE'!N68=3,J88,'#Frucht'!$D$8)</f>
        <v xml:space="preserve"> --  </v>
      </c>
      <c r="R88" s="527"/>
    </row>
    <row r="89" spans="2:18" s="875" customFormat="1" ht="27" customHeight="1" x14ac:dyDescent="0.2">
      <c r="B89" s="1479" t="str">
        <f>IF(D89="","",'Flächen u. Kulturen'!B74)</f>
        <v/>
      </c>
      <c r="C89" s="1176" t="str">
        <f>IF(D89="","",'Flächen u. Kulturen'!C74)</f>
        <v/>
      </c>
      <c r="D89" s="1176" t="str">
        <f>IF(AND('Flächen u. Kulturen'!D74="",'Flächen u. Kulturen'!D74=0),"",'Flächen u. Kulturen'!D74)</f>
        <v/>
      </c>
      <c r="E89" s="1176" t="str">
        <f>IF('Flächen u. Kulturen'!E74="","",'Flächen u. Kulturen'!E74)</f>
        <v>x</v>
      </c>
      <c r="F89" s="1176" t="str">
        <f>IF('Flächen u. Kulturen'!F74="",'#Boden'!$G$4,'Flächen u. Kulturen'!F74)</f>
        <v xml:space="preserve"> --</v>
      </c>
      <c r="G89" s="1176" t="str">
        <f>IF('Flächen u. Kulturen'!G74="",'#Boden'!$B$26,'Flächen u. Kulturen'!G74)</f>
        <v xml:space="preserve"> --</v>
      </c>
      <c r="H89" s="1176" t="str">
        <f>IF('Flächen u. Kulturen'!H74="",'#Boden'!$B$23,'Flächen u. Kulturen'!H74)</f>
        <v>ja</v>
      </c>
      <c r="I89" s="1176" t="str">
        <f>IF('Flächen u. Kulturen'!I74="",'#Boden'!$B$9,'Flächen u. Kulturen'!I74)</f>
        <v xml:space="preserve"> --         </v>
      </c>
      <c r="J89" s="1176" t="str">
        <f>IF('Flächen u. Kulturen'!P74="",'#Frucht'!$D$8,'Flächen u. Kulturen'!P74)</f>
        <v xml:space="preserve"> --  </v>
      </c>
      <c r="K89" s="1176">
        <f>'#orgDung'!U78</f>
        <v>0</v>
      </c>
      <c r="L89" s="1176" t="str">
        <f>'#orgDung'!S78</f>
        <v/>
      </c>
      <c r="M89" s="1176" t="str">
        <f>'#Zweitfr'!$D$8</f>
        <v xml:space="preserve"> --    </v>
      </c>
      <c r="N89" s="1176" t="str">
        <f>'#Boden'!$G$17</f>
        <v xml:space="preserve"> --     </v>
      </c>
      <c r="O89" s="1176" t="str">
        <f>'#Boden'!$G$22</f>
        <v xml:space="preserve"> --      </v>
      </c>
      <c r="P89" s="1176"/>
      <c r="Q89" s="1176" t="str">
        <f>IF('#BerechnungDBE'!N69=3,J89,'#Frucht'!$D$8)</f>
        <v xml:space="preserve"> --  </v>
      </c>
      <c r="R89" s="527"/>
    </row>
    <row r="90" spans="2:18" s="875" customFormat="1" ht="27" customHeight="1" x14ac:dyDescent="0.2">
      <c r="B90" s="1479" t="str">
        <f>IF(D90="","",'Flächen u. Kulturen'!B75)</f>
        <v/>
      </c>
      <c r="C90" s="1176" t="str">
        <f>IF(D90="","",'Flächen u. Kulturen'!C75)</f>
        <v/>
      </c>
      <c r="D90" s="1176" t="str">
        <f>IF(AND('Flächen u. Kulturen'!D75="",'Flächen u. Kulturen'!D75=0),"",'Flächen u. Kulturen'!D75)</f>
        <v/>
      </c>
      <c r="E90" s="1176" t="str">
        <f>IF('Flächen u. Kulturen'!E75="","",'Flächen u. Kulturen'!E75)</f>
        <v>x</v>
      </c>
      <c r="F90" s="1176" t="str">
        <f>IF('Flächen u. Kulturen'!F75="",'#Boden'!$G$4,'Flächen u. Kulturen'!F75)</f>
        <v xml:space="preserve"> --</v>
      </c>
      <c r="G90" s="1176" t="str">
        <f>IF('Flächen u. Kulturen'!G75="",'#Boden'!$B$26,'Flächen u. Kulturen'!G75)</f>
        <v xml:space="preserve"> --</v>
      </c>
      <c r="H90" s="1176" t="str">
        <f>IF('Flächen u. Kulturen'!H75="",'#Boden'!$B$23,'Flächen u. Kulturen'!H75)</f>
        <v>ja</v>
      </c>
      <c r="I90" s="1176" t="str">
        <f>IF('Flächen u. Kulturen'!I75="",'#Boden'!$B$9,'Flächen u. Kulturen'!I75)</f>
        <v xml:space="preserve"> --         </v>
      </c>
      <c r="J90" s="1176" t="str">
        <f>IF('Flächen u. Kulturen'!P75="",'#Frucht'!$D$8,'Flächen u. Kulturen'!P75)</f>
        <v xml:space="preserve"> --  </v>
      </c>
      <c r="K90" s="1176">
        <f>'#orgDung'!U79</f>
        <v>0</v>
      </c>
      <c r="L90" s="1176" t="str">
        <f>'#orgDung'!S79</f>
        <v/>
      </c>
      <c r="M90" s="1176" t="str">
        <f>'#Zweitfr'!$D$8</f>
        <v xml:space="preserve"> --    </v>
      </c>
      <c r="N90" s="1176" t="str">
        <f>'#Boden'!$G$17</f>
        <v xml:space="preserve"> --     </v>
      </c>
      <c r="O90" s="1176" t="str">
        <f>'#Boden'!$G$22</f>
        <v xml:space="preserve"> --      </v>
      </c>
      <c r="P90" s="1176"/>
      <c r="Q90" s="1176" t="str">
        <f>IF('#BerechnungDBE'!N70=3,J90,'#Frucht'!$D$8)</f>
        <v xml:space="preserve"> --  </v>
      </c>
      <c r="R90" s="527"/>
    </row>
    <row r="91" spans="2:18" s="875" customFormat="1" ht="27" customHeight="1" x14ac:dyDescent="0.2">
      <c r="B91" s="1479" t="str">
        <f>IF(D91="","",'Flächen u. Kulturen'!B76)</f>
        <v/>
      </c>
      <c r="C91" s="1176" t="str">
        <f>IF(D91="","",'Flächen u. Kulturen'!C76)</f>
        <v/>
      </c>
      <c r="D91" s="1176" t="str">
        <f>IF(AND('Flächen u. Kulturen'!D76="",'Flächen u. Kulturen'!D76=0),"",'Flächen u. Kulturen'!D76)</f>
        <v/>
      </c>
      <c r="E91" s="1176" t="str">
        <f>IF('Flächen u. Kulturen'!E76="","",'Flächen u. Kulturen'!E76)</f>
        <v>x</v>
      </c>
      <c r="F91" s="1176" t="str">
        <f>IF('Flächen u. Kulturen'!F76="",'#Boden'!$G$4,'Flächen u. Kulturen'!F76)</f>
        <v xml:space="preserve"> --</v>
      </c>
      <c r="G91" s="1176" t="str">
        <f>IF('Flächen u. Kulturen'!G76="",'#Boden'!$B$26,'Flächen u. Kulturen'!G76)</f>
        <v xml:space="preserve"> --</v>
      </c>
      <c r="H91" s="1176" t="str">
        <f>IF('Flächen u. Kulturen'!H76="",'#Boden'!$B$23,'Flächen u. Kulturen'!H76)</f>
        <v>ja</v>
      </c>
      <c r="I91" s="1176" t="str">
        <f>IF('Flächen u. Kulturen'!I76="",'#Boden'!$B$9,'Flächen u. Kulturen'!I76)</f>
        <v xml:space="preserve"> --         </v>
      </c>
      <c r="J91" s="1176" t="str">
        <f>IF('Flächen u. Kulturen'!P76="",'#Frucht'!$D$8,'Flächen u. Kulturen'!P76)</f>
        <v xml:space="preserve"> --  </v>
      </c>
      <c r="K91" s="1176">
        <f>'#orgDung'!U80</f>
        <v>0</v>
      </c>
      <c r="L91" s="1176" t="str">
        <f>'#orgDung'!S80</f>
        <v/>
      </c>
      <c r="M91" s="1176" t="str">
        <f>'#Zweitfr'!$D$8</f>
        <v xml:space="preserve"> --    </v>
      </c>
      <c r="N91" s="1176" t="str">
        <f>'#Boden'!$G$17</f>
        <v xml:space="preserve"> --     </v>
      </c>
      <c r="O91" s="1176" t="str">
        <f>'#Boden'!$G$22</f>
        <v xml:space="preserve"> --      </v>
      </c>
      <c r="P91" s="1176"/>
      <c r="Q91" s="1176" t="str">
        <f>IF('#BerechnungDBE'!N71=3,J91,'#Frucht'!$D$8)</f>
        <v xml:space="preserve"> --  </v>
      </c>
      <c r="R91" s="527"/>
    </row>
    <row r="92" spans="2:18" s="875" customFormat="1" ht="27" customHeight="1" x14ac:dyDescent="0.2">
      <c r="B92" s="1479" t="str">
        <f>IF(D92="","",'Flächen u. Kulturen'!B77)</f>
        <v/>
      </c>
      <c r="C92" s="1176" t="str">
        <f>IF(D92="","",'Flächen u. Kulturen'!C77)</f>
        <v/>
      </c>
      <c r="D92" s="1176" t="str">
        <f>IF(AND('Flächen u. Kulturen'!D77="",'Flächen u. Kulturen'!D77=0),"",'Flächen u. Kulturen'!D77)</f>
        <v/>
      </c>
      <c r="E92" s="1176" t="str">
        <f>IF('Flächen u. Kulturen'!E77="","",'Flächen u. Kulturen'!E77)</f>
        <v>x</v>
      </c>
      <c r="F92" s="1176" t="str">
        <f>IF('Flächen u. Kulturen'!F77="",'#Boden'!$G$4,'Flächen u. Kulturen'!F77)</f>
        <v xml:space="preserve"> --</v>
      </c>
      <c r="G92" s="1176" t="str">
        <f>IF('Flächen u. Kulturen'!G77="",'#Boden'!$B$26,'Flächen u. Kulturen'!G77)</f>
        <v xml:space="preserve"> --</v>
      </c>
      <c r="H92" s="1176" t="str">
        <f>IF('Flächen u. Kulturen'!H77="",'#Boden'!$B$23,'Flächen u. Kulturen'!H77)</f>
        <v>ja</v>
      </c>
      <c r="I92" s="1176" t="str">
        <f>IF('Flächen u. Kulturen'!I77="",'#Boden'!$B$9,'Flächen u. Kulturen'!I77)</f>
        <v xml:space="preserve"> --         </v>
      </c>
      <c r="J92" s="1176" t="str">
        <f>IF('Flächen u. Kulturen'!P77="",'#Frucht'!$D$8,'Flächen u. Kulturen'!P77)</f>
        <v xml:space="preserve"> --  </v>
      </c>
      <c r="K92" s="1176">
        <f>'#orgDung'!U81</f>
        <v>0</v>
      </c>
      <c r="L92" s="1176" t="str">
        <f>'#orgDung'!S81</f>
        <v/>
      </c>
      <c r="M92" s="1176" t="str">
        <f>'#Zweitfr'!$D$8</f>
        <v xml:space="preserve"> --    </v>
      </c>
      <c r="N92" s="1176" t="str">
        <f>'#Boden'!$G$17</f>
        <v xml:space="preserve"> --     </v>
      </c>
      <c r="O92" s="1176" t="str">
        <f>'#Boden'!$G$22</f>
        <v xml:space="preserve"> --      </v>
      </c>
      <c r="P92" s="1176"/>
      <c r="Q92" s="1176" t="str">
        <f>IF('#BerechnungDBE'!N72=3,J92,'#Frucht'!$D$8)</f>
        <v xml:space="preserve"> --  </v>
      </c>
      <c r="R92" s="527"/>
    </row>
    <row r="93" spans="2:18" s="875" customFormat="1" ht="27" customHeight="1" x14ac:dyDescent="0.2">
      <c r="B93" s="1479" t="str">
        <f>IF(D93="","",'Flächen u. Kulturen'!B78)</f>
        <v/>
      </c>
      <c r="C93" s="1176" t="str">
        <f>IF(D93="","",'Flächen u. Kulturen'!C78)</f>
        <v/>
      </c>
      <c r="D93" s="1176" t="str">
        <f>IF(AND('Flächen u. Kulturen'!D78="",'Flächen u. Kulturen'!D78=0),"",'Flächen u. Kulturen'!D78)</f>
        <v/>
      </c>
      <c r="E93" s="1176" t="str">
        <f>IF('Flächen u. Kulturen'!E78="","",'Flächen u. Kulturen'!E78)</f>
        <v>x</v>
      </c>
      <c r="F93" s="1176" t="str">
        <f>IF('Flächen u. Kulturen'!F78="",'#Boden'!$G$4,'Flächen u. Kulturen'!F78)</f>
        <v xml:space="preserve"> --</v>
      </c>
      <c r="G93" s="1176" t="str">
        <f>IF('Flächen u. Kulturen'!G78="",'#Boden'!$B$26,'Flächen u. Kulturen'!G78)</f>
        <v xml:space="preserve"> --</v>
      </c>
      <c r="H93" s="1176" t="str">
        <f>IF('Flächen u. Kulturen'!H78="",'#Boden'!$B$23,'Flächen u. Kulturen'!H78)</f>
        <v>ja</v>
      </c>
      <c r="I93" s="1176" t="str">
        <f>IF('Flächen u. Kulturen'!I78="",'#Boden'!$B$9,'Flächen u. Kulturen'!I78)</f>
        <v xml:space="preserve"> --         </v>
      </c>
      <c r="J93" s="1176" t="str">
        <f>IF('Flächen u. Kulturen'!P78="",'#Frucht'!$D$8,'Flächen u. Kulturen'!P78)</f>
        <v xml:space="preserve"> --  </v>
      </c>
      <c r="K93" s="1176">
        <f>'#orgDung'!U82</f>
        <v>0</v>
      </c>
      <c r="L93" s="1176" t="str">
        <f>'#orgDung'!S82</f>
        <v/>
      </c>
      <c r="M93" s="1176" t="str">
        <f>'#Zweitfr'!$D$8</f>
        <v xml:space="preserve"> --    </v>
      </c>
      <c r="N93" s="1176" t="str">
        <f>'#Boden'!$G$17</f>
        <v xml:space="preserve"> --     </v>
      </c>
      <c r="O93" s="1176" t="str">
        <f>'#Boden'!$G$22</f>
        <v xml:space="preserve"> --      </v>
      </c>
      <c r="P93" s="1176"/>
      <c r="Q93" s="1176" t="str">
        <f>IF('#BerechnungDBE'!N73=3,J93,'#Frucht'!$D$8)</f>
        <v xml:space="preserve"> --  </v>
      </c>
      <c r="R93" s="527"/>
    </row>
    <row r="94" spans="2:18" s="875" customFormat="1" ht="27" customHeight="1" x14ac:dyDescent="0.2">
      <c r="B94" s="1479" t="str">
        <f>IF(D94="","",'Flächen u. Kulturen'!B79)</f>
        <v/>
      </c>
      <c r="C94" s="1176" t="str">
        <f>IF(D94="","",'Flächen u. Kulturen'!C79)</f>
        <v/>
      </c>
      <c r="D94" s="1176" t="str">
        <f>IF(AND('Flächen u. Kulturen'!D79="",'Flächen u. Kulturen'!D79=0),"",'Flächen u. Kulturen'!D79)</f>
        <v/>
      </c>
      <c r="E94" s="1176" t="str">
        <f>IF('Flächen u. Kulturen'!E79="","",'Flächen u. Kulturen'!E79)</f>
        <v>x</v>
      </c>
      <c r="F94" s="1176" t="str">
        <f>IF('Flächen u. Kulturen'!F79="",'#Boden'!$G$4,'Flächen u. Kulturen'!F79)</f>
        <v xml:space="preserve"> --</v>
      </c>
      <c r="G94" s="1176" t="str">
        <f>IF('Flächen u. Kulturen'!G79="",'#Boden'!$B$26,'Flächen u. Kulturen'!G79)</f>
        <v xml:space="preserve"> --</v>
      </c>
      <c r="H94" s="1176" t="str">
        <f>IF('Flächen u. Kulturen'!H79="",'#Boden'!$B$23,'Flächen u. Kulturen'!H79)</f>
        <v>ja</v>
      </c>
      <c r="I94" s="1176" t="str">
        <f>IF('Flächen u. Kulturen'!I79="",'#Boden'!$B$9,'Flächen u. Kulturen'!I79)</f>
        <v xml:space="preserve"> --         </v>
      </c>
      <c r="J94" s="1176" t="str">
        <f>IF('Flächen u. Kulturen'!P79="",'#Frucht'!$D$8,'Flächen u. Kulturen'!P79)</f>
        <v xml:space="preserve"> --  </v>
      </c>
      <c r="K94" s="1176">
        <f>'#orgDung'!U83</f>
        <v>0</v>
      </c>
      <c r="L94" s="1176" t="str">
        <f>'#orgDung'!S83</f>
        <v/>
      </c>
      <c r="M94" s="1176" t="str">
        <f>'#Zweitfr'!$D$8</f>
        <v xml:space="preserve"> --    </v>
      </c>
      <c r="N94" s="1176" t="str">
        <f>'#Boden'!$G$17</f>
        <v xml:space="preserve"> --     </v>
      </c>
      <c r="O94" s="1176" t="str">
        <f>'#Boden'!$G$22</f>
        <v xml:space="preserve"> --      </v>
      </c>
      <c r="P94" s="1176"/>
      <c r="Q94" s="1176" t="str">
        <f>IF('#BerechnungDBE'!N74=3,J94,'#Frucht'!$D$8)</f>
        <v xml:space="preserve"> --  </v>
      </c>
      <c r="R94" s="527"/>
    </row>
    <row r="95" spans="2:18" s="875" customFormat="1" ht="27" customHeight="1" x14ac:dyDescent="0.2">
      <c r="B95" s="1479" t="str">
        <f>IF(D95="","",'Flächen u. Kulturen'!B80)</f>
        <v/>
      </c>
      <c r="C95" s="1176" t="str">
        <f>IF(D95="","",'Flächen u. Kulturen'!C80)</f>
        <v/>
      </c>
      <c r="D95" s="1176" t="str">
        <f>IF(AND('Flächen u. Kulturen'!D80="",'Flächen u. Kulturen'!D80=0),"",'Flächen u. Kulturen'!D80)</f>
        <v/>
      </c>
      <c r="E95" s="1176" t="str">
        <f>IF('Flächen u. Kulturen'!E80="","",'Flächen u. Kulturen'!E80)</f>
        <v>x</v>
      </c>
      <c r="F95" s="1176" t="str">
        <f>IF('Flächen u. Kulturen'!F80="",'#Boden'!$G$4,'Flächen u. Kulturen'!F80)</f>
        <v xml:space="preserve"> --</v>
      </c>
      <c r="G95" s="1176" t="str">
        <f>IF('Flächen u. Kulturen'!G80="",'#Boden'!$B$26,'Flächen u. Kulturen'!G80)</f>
        <v xml:space="preserve"> --</v>
      </c>
      <c r="H95" s="1176" t="str">
        <f>IF('Flächen u. Kulturen'!H80="",'#Boden'!$B$23,'Flächen u. Kulturen'!H80)</f>
        <v>ja</v>
      </c>
      <c r="I95" s="1176" t="str">
        <f>IF('Flächen u. Kulturen'!I80="",'#Boden'!$B$9,'Flächen u. Kulturen'!I80)</f>
        <v xml:space="preserve"> --         </v>
      </c>
      <c r="J95" s="1176" t="str">
        <f>IF('Flächen u. Kulturen'!P80="",'#Frucht'!$D$8,'Flächen u. Kulturen'!P80)</f>
        <v xml:space="preserve"> --  </v>
      </c>
      <c r="K95" s="1176">
        <f>'#orgDung'!U84</f>
        <v>0</v>
      </c>
      <c r="L95" s="1176" t="str">
        <f>'#orgDung'!S84</f>
        <v/>
      </c>
      <c r="M95" s="1176" t="str">
        <f>'#Zweitfr'!$D$8</f>
        <v xml:space="preserve"> --    </v>
      </c>
      <c r="N95" s="1176" t="str">
        <f>'#Boden'!$G$17</f>
        <v xml:space="preserve"> --     </v>
      </c>
      <c r="O95" s="1176" t="str">
        <f>'#Boden'!$G$22</f>
        <v xml:space="preserve"> --      </v>
      </c>
      <c r="P95" s="1176"/>
      <c r="Q95" s="1176" t="str">
        <f>IF('#BerechnungDBE'!N75=3,J95,'#Frucht'!$D$8)</f>
        <v xml:space="preserve"> --  </v>
      </c>
      <c r="R95" s="527"/>
    </row>
    <row r="96" spans="2:18" s="875" customFormat="1" ht="27" customHeight="1" x14ac:dyDescent="0.2">
      <c r="B96" s="1479" t="str">
        <f>IF(D96="","",'Flächen u. Kulturen'!B81)</f>
        <v/>
      </c>
      <c r="C96" s="1176" t="str">
        <f>IF(D96="","",'Flächen u. Kulturen'!C81)</f>
        <v/>
      </c>
      <c r="D96" s="1176" t="str">
        <f>IF(AND('Flächen u. Kulturen'!D81="",'Flächen u. Kulturen'!D81=0),"",'Flächen u. Kulturen'!D81)</f>
        <v/>
      </c>
      <c r="E96" s="1176" t="str">
        <f>IF('Flächen u. Kulturen'!E81="","",'Flächen u. Kulturen'!E81)</f>
        <v>x</v>
      </c>
      <c r="F96" s="1176" t="str">
        <f>IF('Flächen u. Kulturen'!F81="",'#Boden'!$G$4,'Flächen u. Kulturen'!F81)</f>
        <v xml:space="preserve"> --</v>
      </c>
      <c r="G96" s="1176" t="str">
        <f>IF('Flächen u. Kulturen'!G81="",'#Boden'!$B$26,'Flächen u. Kulturen'!G81)</f>
        <v xml:space="preserve"> --</v>
      </c>
      <c r="H96" s="1176" t="str">
        <f>IF('Flächen u. Kulturen'!H81="",'#Boden'!$B$23,'Flächen u. Kulturen'!H81)</f>
        <v>ja</v>
      </c>
      <c r="I96" s="1176" t="str">
        <f>IF('Flächen u. Kulturen'!I81="",'#Boden'!$B$9,'Flächen u. Kulturen'!I81)</f>
        <v xml:space="preserve"> --         </v>
      </c>
      <c r="J96" s="1176" t="str">
        <f>IF('Flächen u. Kulturen'!P81="",'#Frucht'!$D$8,'Flächen u. Kulturen'!P81)</f>
        <v xml:space="preserve"> --  </v>
      </c>
      <c r="K96" s="1176">
        <f>'#orgDung'!U85</f>
        <v>0</v>
      </c>
      <c r="L96" s="1176" t="str">
        <f>'#orgDung'!S85</f>
        <v/>
      </c>
      <c r="M96" s="1176" t="str">
        <f>'#Zweitfr'!$D$8</f>
        <v xml:space="preserve"> --    </v>
      </c>
      <c r="N96" s="1176" t="str">
        <f>'#Boden'!$G$17</f>
        <v xml:space="preserve"> --     </v>
      </c>
      <c r="O96" s="1176" t="str">
        <f>'#Boden'!$G$22</f>
        <v xml:space="preserve"> --      </v>
      </c>
      <c r="P96" s="1176"/>
      <c r="Q96" s="1176" t="str">
        <f>IF('#BerechnungDBE'!N76=3,J96,'#Frucht'!$D$8)</f>
        <v xml:space="preserve"> --  </v>
      </c>
      <c r="R96" s="527"/>
    </row>
    <row r="97" spans="2:18" s="875" customFormat="1" ht="27" customHeight="1" x14ac:dyDescent="0.2">
      <c r="B97" s="1479" t="str">
        <f>IF(D97="","",'Flächen u. Kulturen'!B82)</f>
        <v/>
      </c>
      <c r="C97" s="1176" t="str">
        <f>IF(D97="","",'Flächen u. Kulturen'!C82)</f>
        <v/>
      </c>
      <c r="D97" s="1176" t="str">
        <f>IF(AND('Flächen u. Kulturen'!D82="",'Flächen u. Kulturen'!D82=0),"",'Flächen u. Kulturen'!D82)</f>
        <v/>
      </c>
      <c r="E97" s="1176" t="str">
        <f>IF('Flächen u. Kulturen'!E82="","",'Flächen u. Kulturen'!E82)</f>
        <v>x</v>
      </c>
      <c r="F97" s="1176" t="str">
        <f>IF('Flächen u. Kulturen'!F82="",'#Boden'!$G$4,'Flächen u. Kulturen'!F82)</f>
        <v xml:space="preserve"> --</v>
      </c>
      <c r="G97" s="1176" t="str">
        <f>IF('Flächen u. Kulturen'!G82="",'#Boden'!$B$26,'Flächen u. Kulturen'!G82)</f>
        <v xml:space="preserve"> --</v>
      </c>
      <c r="H97" s="1176" t="str">
        <f>IF('Flächen u. Kulturen'!H82="",'#Boden'!$B$23,'Flächen u. Kulturen'!H82)</f>
        <v>ja</v>
      </c>
      <c r="I97" s="1176" t="str">
        <f>IF('Flächen u. Kulturen'!I82="",'#Boden'!$B$9,'Flächen u. Kulturen'!I82)</f>
        <v xml:space="preserve"> --         </v>
      </c>
      <c r="J97" s="1176" t="str">
        <f>IF('Flächen u. Kulturen'!P82="",'#Frucht'!$D$8,'Flächen u. Kulturen'!P82)</f>
        <v xml:space="preserve"> --  </v>
      </c>
      <c r="K97" s="1176">
        <f>'#orgDung'!U86</f>
        <v>0</v>
      </c>
      <c r="L97" s="1176" t="str">
        <f>'#orgDung'!S86</f>
        <v/>
      </c>
      <c r="M97" s="1176" t="str">
        <f>'#Zweitfr'!$D$8</f>
        <v xml:space="preserve"> --    </v>
      </c>
      <c r="N97" s="1176" t="str">
        <f>'#Boden'!$G$17</f>
        <v xml:space="preserve"> --     </v>
      </c>
      <c r="O97" s="1176" t="str">
        <f>'#Boden'!$G$22</f>
        <v xml:space="preserve"> --      </v>
      </c>
      <c r="P97" s="1176"/>
      <c r="Q97" s="1176" t="str">
        <f>IF('#BerechnungDBE'!N77=3,J97,'#Frucht'!$D$8)</f>
        <v xml:space="preserve"> --  </v>
      </c>
      <c r="R97" s="527"/>
    </row>
    <row r="98" spans="2:18" s="875" customFormat="1" ht="27" customHeight="1" x14ac:dyDescent="0.2">
      <c r="B98" s="1479" t="str">
        <f>IF(D98="","",'Flächen u. Kulturen'!B83)</f>
        <v/>
      </c>
      <c r="C98" s="1176" t="str">
        <f>IF(D98="","",'Flächen u. Kulturen'!C83)</f>
        <v/>
      </c>
      <c r="D98" s="1176" t="str">
        <f>IF(AND('Flächen u. Kulturen'!D83="",'Flächen u. Kulturen'!D83=0),"",'Flächen u. Kulturen'!D83)</f>
        <v/>
      </c>
      <c r="E98" s="1176" t="str">
        <f>IF('Flächen u. Kulturen'!E83="","",'Flächen u. Kulturen'!E83)</f>
        <v>x</v>
      </c>
      <c r="F98" s="1176" t="str">
        <f>IF('Flächen u. Kulturen'!F83="",'#Boden'!$G$4,'Flächen u. Kulturen'!F83)</f>
        <v xml:space="preserve"> --</v>
      </c>
      <c r="G98" s="1176" t="str">
        <f>IF('Flächen u. Kulturen'!G83="",'#Boden'!$B$26,'Flächen u. Kulturen'!G83)</f>
        <v xml:space="preserve"> --</v>
      </c>
      <c r="H98" s="1176" t="str">
        <f>IF('Flächen u. Kulturen'!H83="",'#Boden'!$B$23,'Flächen u. Kulturen'!H83)</f>
        <v>ja</v>
      </c>
      <c r="I98" s="1176" t="str">
        <f>IF('Flächen u. Kulturen'!I83="",'#Boden'!$B$9,'Flächen u. Kulturen'!I83)</f>
        <v xml:space="preserve"> --         </v>
      </c>
      <c r="J98" s="1176" t="str">
        <f>IF('Flächen u. Kulturen'!P83="",'#Frucht'!$D$8,'Flächen u. Kulturen'!P83)</f>
        <v xml:space="preserve"> --  </v>
      </c>
      <c r="K98" s="1176">
        <f>'#orgDung'!U87</f>
        <v>0</v>
      </c>
      <c r="L98" s="1176" t="str">
        <f>'#orgDung'!S87</f>
        <v/>
      </c>
      <c r="M98" s="1176" t="str">
        <f>'#Zweitfr'!$D$8</f>
        <v xml:space="preserve"> --    </v>
      </c>
      <c r="N98" s="1176" t="str">
        <f>'#Boden'!$G$17</f>
        <v xml:space="preserve"> --     </v>
      </c>
      <c r="O98" s="1176" t="str">
        <f>'#Boden'!$G$22</f>
        <v xml:space="preserve"> --      </v>
      </c>
      <c r="P98" s="1176"/>
      <c r="Q98" s="1176" t="str">
        <f>IF('#BerechnungDBE'!N78=3,J98,'#Frucht'!$D$8)</f>
        <v xml:space="preserve"> --  </v>
      </c>
      <c r="R98" s="527"/>
    </row>
    <row r="99" spans="2:18" s="875" customFormat="1" ht="27" customHeight="1" x14ac:dyDescent="0.2">
      <c r="B99" s="1479" t="str">
        <f>IF(D99="","",'Flächen u. Kulturen'!B84)</f>
        <v/>
      </c>
      <c r="C99" s="1176" t="str">
        <f>IF(D99="","",'Flächen u. Kulturen'!C84)</f>
        <v/>
      </c>
      <c r="D99" s="1176" t="str">
        <f>IF(AND('Flächen u. Kulturen'!D84="",'Flächen u. Kulturen'!D84=0),"",'Flächen u. Kulturen'!D84)</f>
        <v/>
      </c>
      <c r="E99" s="1176" t="str">
        <f>IF('Flächen u. Kulturen'!E84="","",'Flächen u. Kulturen'!E84)</f>
        <v>x</v>
      </c>
      <c r="F99" s="1176" t="str">
        <f>IF('Flächen u. Kulturen'!F84="",'#Boden'!$G$4,'Flächen u. Kulturen'!F84)</f>
        <v xml:space="preserve"> --</v>
      </c>
      <c r="G99" s="1176" t="str">
        <f>IF('Flächen u. Kulturen'!G84="",'#Boden'!$B$26,'Flächen u. Kulturen'!G84)</f>
        <v xml:space="preserve"> --</v>
      </c>
      <c r="H99" s="1176" t="str">
        <f>IF('Flächen u. Kulturen'!H84="",'#Boden'!$B$23,'Flächen u. Kulturen'!H84)</f>
        <v>ja</v>
      </c>
      <c r="I99" s="1176" t="str">
        <f>IF('Flächen u. Kulturen'!I84="",'#Boden'!$B$9,'Flächen u. Kulturen'!I84)</f>
        <v xml:space="preserve"> --         </v>
      </c>
      <c r="J99" s="1176" t="str">
        <f>IF('Flächen u. Kulturen'!P84="",'#Frucht'!$D$8,'Flächen u. Kulturen'!P84)</f>
        <v xml:space="preserve"> --  </v>
      </c>
      <c r="K99" s="1176">
        <f>'#orgDung'!U88</f>
        <v>0</v>
      </c>
      <c r="L99" s="1176" t="str">
        <f>'#orgDung'!S88</f>
        <v/>
      </c>
      <c r="M99" s="1176" t="str">
        <f>'#Zweitfr'!$D$8</f>
        <v xml:space="preserve"> --    </v>
      </c>
      <c r="N99" s="1176" t="str">
        <f>'#Boden'!$G$17</f>
        <v xml:space="preserve"> --     </v>
      </c>
      <c r="O99" s="1176" t="str">
        <f>'#Boden'!$G$22</f>
        <v xml:space="preserve"> --      </v>
      </c>
      <c r="P99" s="1176"/>
      <c r="Q99" s="1176" t="str">
        <f>IF('#BerechnungDBE'!N79=3,J99,'#Frucht'!$D$8)</f>
        <v xml:space="preserve"> --  </v>
      </c>
      <c r="R99" s="527"/>
    </row>
    <row r="100" spans="2:18" s="875" customFormat="1" ht="27" customHeight="1" x14ac:dyDescent="0.2">
      <c r="B100" s="1479" t="str">
        <f>IF(D100="","",'Flächen u. Kulturen'!B85)</f>
        <v/>
      </c>
      <c r="C100" s="1176" t="str">
        <f>IF(D100="","",'Flächen u. Kulturen'!C85)</f>
        <v/>
      </c>
      <c r="D100" s="1176" t="str">
        <f>IF(AND('Flächen u. Kulturen'!D85="",'Flächen u. Kulturen'!D85=0),"",'Flächen u. Kulturen'!D85)</f>
        <v/>
      </c>
      <c r="E100" s="1176" t="str">
        <f>IF('Flächen u. Kulturen'!E85="","",'Flächen u. Kulturen'!E85)</f>
        <v>x</v>
      </c>
      <c r="F100" s="1176" t="str">
        <f>IF('Flächen u. Kulturen'!F85="",'#Boden'!$G$4,'Flächen u. Kulturen'!F85)</f>
        <v xml:space="preserve"> --</v>
      </c>
      <c r="G100" s="1176" t="str">
        <f>IF('Flächen u. Kulturen'!G85="",'#Boden'!$B$26,'Flächen u. Kulturen'!G85)</f>
        <v xml:space="preserve"> --</v>
      </c>
      <c r="H100" s="1176" t="str">
        <f>IF('Flächen u. Kulturen'!H85="",'#Boden'!$B$23,'Flächen u. Kulturen'!H85)</f>
        <v>ja</v>
      </c>
      <c r="I100" s="1176" t="str">
        <f>IF('Flächen u. Kulturen'!I85="",'#Boden'!$B$9,'Flächen u. Kulturen'!I85)</f>
        <v xml:space="preserve"> --         </v>
      </c>
      <c r="J100" s="1176" t="str">
        <f>IF('Flächen u. Kulturen'!P85="",'#Frucht'!$D$8,'Flächen u. Kulturen'!P85)</f>
        <v xml:space="preserve"> --  </v>
      </c>
      <c r="K100" s="1176">
        <f>'#orgDung'!U89</f>
        <v>0</v>
      </c>
      <c r="L100" s="1176" t="str">
        <f>'#orgDung'!S89</f>
        <v/>
      </c>
      <c r="M100" s="1176" t="str">
        <f>'#Zweitfr'!$D$8</f>
        <v xml:space="preserve"> --    </v>
      </c>
      <c r="N100" s="1176" t="str">
        <f>'#Boden'!$G$17</f>
        <v xml:space="preserve"> --     </v>
      </c>
      <c r="O100" s="1176" t="str">
        <f>'#Boden'!$G$22</f>
        <v xml:space="preserve"> --      </v>
      </c>
      <c r="P100" s="1176"/>
      <c r="Q100" s="1176" t="str">
        <f>IF('#BerechnungDBE'!N80=3,J100,'#Frucht'!$D$8)</f>
        <v xml:space="preserve"> --  </v>
      </c>
      <c r="R100" s="527"/>
    </row>
    <row r="101" spans="2:18" s="875" customFormat="1" ht="27" customHeight="1" x14ac:dyDescent="0.2">
      <c r="B101" s="1479" t="str">
        <f>IF(D101="","",'Flächen u. Kulturen'!B86)</f>
        <v/>
      </c>
      <c r="C101" s="1176" t="str">
        <f>IF(D101="","",'Flächen u. Kulturen'!C86)</f>
        <v/>
      </c>
      <c r="D101" s="1176" t="str">
        <f>IF(AND('Flächen u. Kulturen'!D86="",'Flächen u. Kulturen'!D86=0),"",'Flächen u. Kulturen'!D86)</f>
        <v/>
      </c>
      <c r="E101" s="1176" t="str">
        <f>IF('Flächen u. Kulturen'!E86="","",'Flächen u. Kulturen'!E86)</f>
        <v>x</v>
      </c>
      <c r="F101" s="1176" t="str">
        <f>IF('Flächen u. Kulturen'!F86="",'#Boden'!$G$4,'Flächen u. Kulturen'!F86)</f>
        <v xml:space="preserve"> --</v>
      </c>
      <c r="G101" s="1176" t="str">
        <f>IF('Flächen u. Kulturen'!G86="",'#Boden'!$B$26,'Flächen u. Kulturen'!G86)</f>
        <v xml:space="preserve"> --</v>
      </c>
      <c r="H101" s="1176" t="str">
        <f>IF('Flächen u. Kulturen'!H86="",'#Boden'!$B$23,'Flächen u. Kulturen'!H86)</f>
        <v>ja</v>
      </c>
      <c r="I101" s="1176" t="str">
        <f>IF('Flächen u. Kulturen'!I86="",'#Boden'!$B$9,'Flächen u. Kulturen'!I86)</f>
        <v xml:space="preserve"> --         </v>
      </c>
      <c r="J101" s="1176" t="str">
        <f>IF('Flächen u. Kulturen'!P86="",'#Frucht'!$D$8,'Flächen u. Kulturen'!P86)</f>
        <v xml:space="preserve"> --  </v>
      </c>
      <c r="K101" s="1176">
        <f>'#orgDung'!U90</f>
        <v>0</v>
      </c>
      <c r="L101" s="1176" t="str">
        <f>'#orgDung'!S90</f>
        <v/>
      </c>
      <c r="M101" s="1176" t="str">
        <f>'#Zweitfr'!$D$8</f>
        <v xml:space="preserve"> --    </v>
      </c>
      <c r="N101" s="1176" t="str">
        <f>'#Boden'!$G$17</f>
        <v xml:space="preserve"> --     </v>
      </c>
      <c r="O101" s="1176" t="str">
        <f>'#Boden'!$G$22</f>
        <v xml:space="preserve"> --      </v>
      </c>
      <c r="P101" s="1176"/>
      <c r="Q101" s="1176" t="str">
        <f>IF('#BerechnungDBE'!N81=3,J101,'#Frucht'!$D$8)</f>
        <v xml:space="preserve"> --  </v>
      </c>
      <c r="R101" s="527"/>
    </row>
    <row r="102" spans="2:18" s="875" customFormat="1" ht="27" customHeight="1" x14ac:dyDescent="0.2">
      <c r="B102" s="1479" t="str">
        <f>IF(D102="","",'Flächen u. Kulturen'!B87)</f>
        <v/>
      </c>
      <c r="C102" s="1176" t="str">
        <f>IF(D102="","",'Flächen u. Kulturen'!C87)</f>
        <v/>
      </c>
      <c r="D102" s="1176" t="str">
        <f>IF(AND('Flächen u. Kulturen'!D87="",'Flächen u. Kulturen'!D87=0),"",'Flächen u. Kulturen'!D87)</f>
        <v/>
      </c>
      <c r="E102" s="1176" t="str">
        <f>IF('Flächen u. Kulturen'!E87="","",'Flächen u. Kulturen'!E87)</f>
        <v>x</v>
      </c>
      <c r="F102" s="1176" t="str">
        <f>IF('Flächen u. Kulturen'!F87="",'#Boden'!$G$4,'Flächen u. Kulturen'!F87)</f>
        <v xml:space="preserve"> --</v>
      </c>
      <c r="G102" s="1176" t="str">
        <f>IF('Flächen u. Kulturen'!G87="",'#Boden'!$B$26,'Flächen u. Kulturen'!G87)</f>
        <v xml:space="preserve"> --</v>
      </c>
      <c r="H102" s="1176" t="str">
        <f>IF('Flächen u. Kulturen'!H87="",'#Boden'!$B$23,'Flächen u. Kulturen'!H87)</f>
        <v>ja</v>
      </c>
      <c r="I102" s="1176" t="str">
        <f>IF('Flächen u. Kulturen'!I87="",'#Boden'!$B$9,'Flächen u. Kulturen'!I87)</f>
        <v xml:space="preserve"> --         </v>
      </c>
      <c r="J102" s="1176" t="str">
        <f>IF('Flächen u. Kulturen'!P87="",'#Frucht'!$D$8,'Flächen u. Kulturen'!P87)</f>
        <v xml:space="preserve"> --  </v>
      </c>
      <c r="K102" s="1176">
        <f>'#orgDung'!U91</f>
        <v>0</v>
      </c>
      <c r="L102" s="1176" t="str">
        <f>'#orgDung'!S91</f>
        <v/>
      </c>
      <c r="M102" s="1176" t="str">
        <f>'#Zweitfr'!$D$8</f>
        <v xml:space="preserve"> --    </v>
      </c>
      <c r="N102" s="1176" t="str">
        <f>'#Boden'!$G$17</f>
        <v xml:space="preserve"> --     </v>
      </c>
      <c r="O102" s="1176" t="str">
        <f>'#Boden'!$G$22</f>
        <v xml:space="preserve"> --      </v>
      </c>
      <c r="P102" s="1176"/>
      <c r="Q102" s="1176" t="str">
        <f>IF('#BerechnungDBE'!N82=3,J102,'#Frucht'!$D$8)</f>
        <v xml:space="preserve"> --  </v>
      </c>
      <c r="R102" s="527"/>
    </row>
    <row r="103" spans="2:18" s="875" customFormat="1" ht="27" customHeight="1" x14ac:dyDescent="0.2">
      <c r="B103" s="1479" t="str">
        <f>IF(D103="","",'Flächen u. Kulturen'!B88)</f>
        <v/>
      </c>
      <c r="C103" s="1176" t="str">
        <f>IF(D103="","",'Flächen u. Kulturen'!C88)</f>
        <v/>
      </c>
      <c r="D103" s="1176" t="str">
        <f>IF(AND('Flächen u. Kulturen'!D88="",'Flächen u. Kulturen'!D88=0),"",'Flächen u. Kulturen'!D88)</f>
        <v/>
      </c>
      <c r="E103" s="1176" t="str">
        <f>IF('Flächen u. Kulturen'!E88="","",'Flächen u. Kulturen'!E88)</f>
        <v>x</v>
      </c>
      <c r="F103" s="1176" t="str">
        <f>IF('Flächen u. Kulturen'!F88="",'#Boden'!$G$4,'Flächen u. Kulturen'!F88)</f>
        <v xml:space="preserve"> --</v>
      </c>
      <c r="G103" s="1176" t="str">
        <f>IF('Flächen u. Kulturen'!G88="",'#Boden'!$B$26,'Flächen u. Kulturen'!G88)</f>
        <v xml:space="preserve"> --</v>
      </c>
      <c r="H103" s="1176" t="str">
        <f>IF('Flächen u. Kulturen'!H88="",'#Boden'!$B$23,'Flächen u. Kulturen'!H88)</f>
        <v>ja</v>
      </c>
      <c r="I103" s="1176" t="str">
        <f>IF('Flächen u. Kulturen'!I88="",'#Boden'!$B$9,'Flächen u. Kulturen'!I88)</f>
        <v xml:space="preserve"> --         </v>
      </c>
      <c r="J103" s="1176" t="str">
        <f>IF('Flächen u. Kulturen'!P88="",'#Frucht'!$D$8,'Flächen u. Kulturen'!P88)</f>
        <v xml:space="preserve"> --  </v>
      </c>
      <c r="K103" s="1176">
        <f>'#orgDung'!U92</f>
        <v>0</v>
      </c>
      <c r="L103" s="1176" t="str">
        <f>'#orgDung'!S92</f>
        <v/>
      </c>
      <c r="M103" s="1176" t="str">
        <f>'#Zweitfr'!$D$8</f>
        <v xml:space="preserve"> --    </v>
      </c>
      <c r="N103" s="1176" t="str">
        <f>'#Boden'!$G$17</f>
        <v xml:space="preserve"> --     </v>
      </c>
      <c r="O103" s="1176" t="str">
        <f>'#Boden'!$G$22</f>
        <v xml:space="preserve"> --      </v>
      </c>
      <c r="P103" s="1176"/>
      <c r="Q103" s="1176" t="str">
        <f>IF('#BerechnungDBE'!N83=3,J103,'#Frucht'!$D$8)</f>
        <v xml:space="preserve"> --  </v>
      </c>
      <c r="R103" s="527"/>
    </row>
    <row r="104" spans="2:18" s="875" customFormat="1" ht="27" customHeight="1" x14ac:dyDescent="0.2">
      <c r="B104" s="1479" t="str">
        <f>IF(D104="","",'Flächen u. Kulturen'!B89)</f>
        <v/>
      </c>
      <c r="C104" s="1176" t="str">
        <f>IF(D104="","",'Flächen u. Kulturen'!C89)</f>
        <v/>
      </c>
      <c r="D104" s="1176" t="str">
        <f>IF(AND('Flächen u. Kulturen'!D89="",'Flächen u. Kulturen'!D89=0),"",'Flächen u. Kulturen'!D89)</f>
        <v/>
      </c>
      <c r="E104" s="1176" t="str">
        <f>IF('Flächen u. Kulturen'!E89="","",'Flächen u. Kulturen'!E89)</f>
        <v>x</v>
      </c>
      <c r="F104" s="1176" t="str">
        <f>IF('Flächen u. Kulturen'!F89="",'#Boden'!$G$4,'Flächen u. Kulturen'!F89)</f>
        <v xml:space="preserve"> --</v>
      </c>
      <c r="G104" s="1176" t="str">
        <f>IF('Flächen u. Kulturen'!G89="",'#Boden'!$B$26,'Flächen u. Kulturen'!G89)</f>
        <v xml:space="preserve"> --</v>
      </c>
      <c r="H104" s="1176" t="str">
        <f>IF('Flächen u. Kulturen'!H89="",'#Boden'!$B$23,'Flächen u. Kulturen'!H89)</f>
        <v>ja</v>
      </c>
      <c r="I104" s="1176" t="str">
        <f>IF('Flächen u. Kulturen'!I89="",'#Boden'!$B$9,'Flächen u. Kulturen'!I89)</f>
        <v xml:space="preserve"> --         </v>
      </c>
      <c r="J104" s="1176" t="str">
        <f>IF('Flächen u. Kulturen'!P89="",'#Frucht'!$D$8,'Flächen u. Kulturen'!P89)</f>
        <v xml:space="preserve"> --  </v>
      </c>
      <c r="K104" s="1176">
        <f>'#orgDung'!U93</f>
        <v>0</v>
      </c>
      <c r="L104" s="1176" t="str">
        <f>'#orgDung'!S93</f>
        <v/>
      </c>
      <c r="M104" s="1176" t="str">
        <f>'#Zweitfr'!$D$8</f>
        <v xml:space="preserve"> --    </v>
      </c>
      <c r="N104" s="1176" t="str">
        <f>'#Boden'!$G$17</f>
        <v xml:space="preserve"> --     </v>
      </c>
      <c r="O104" s="1176" t="str">
        <f>'#Boden'!$G$22</f>
        <v xml:space="preserve"> --      </v>
      </c>
      <c r="P104" s="1176"/>
      <c r="Q104" s="1176" t="str">
        <f>IF('#BerechnungDBE'!N84=3,J104,'#Frucht'!$D$8)</f>
        <v xml:space="preserve"> --  </v>
      </c>
      <c r="R104" s="527"/>
    </row>
    <row r="105" spans="2:18" s="875" customFormat="1" ht="27" customHeight="1" x14ac:dyDescent="0.2">
      <c r="B105" s="1479" t="str">
        <f>IF(D105="","",'Flächen u. Kulturen'!B90)</f>
        <v/>
      </c>
      <c r="C105" s="1176" t="str">
        <f>IF(D105="","",'Flächen u. Kulturen'!C90)</f>
        <v/>
      </c>
      <c r="D105" s="1176" t="str">
        <f>IF(AND('Flächen u. Kulturen'!D90="",'Flächen u. Kulturen'!D90=0),"",'Flächen u. Kulturen'!D90)</f>
        <v/>
      </c>
      <c r="E105" s="1176" t="str">
        <f>IF('Flächen u. Kulturen'!E90="","",'Flächen u. Kulturen'!E90)</f>
        <v>x</v>
      </c>
      <c r="F105" s="1176" t="str">
        <f>IF('Flächen u. Kulturen'!F90="",'#Boden'!$G$4,'Flächen u. Kulturen'!F90)</f>
        <v xml:space="preserve"> --</v>
      </c>
      <c r="G105" s="1176" t="str">
        <f>IF('Flächen u. Kulturen'!G90="",'#Boden'!$B$26,'Flächen u. Kulturen'!G90)</f>
        <v xml:space="preserve"> --</v>
      </c>
      <c r="H105" s="1176" t="str">
        <f>IF('Flächen u. Kulturen'!H90="",'#Boden'!$B$23,'Flächen u. Kulturen'!H90)</f>
        <v>ja</v>
      </c>
      <c r="I105" s="1176" t="str">
        <f>IF('Flächen u. Kulturen'!I90="",'#Boden'!$B$9,'Flächen u. Kulturen'!I90)</f>
        <v xml:space="preserve"> --         </v>
      </c>
      <c r="J105" s="1176" t="str">
        <f>IF('Flächen u. Kulturen'!P90="",'#Frucht'!$D$8,'Flächen u. Kulturen'!P90)</f>
        <v xml:space="preserve"> --  </v>
      </c>
      <c r="K105" s="1176">
        <f>'#orgDung'!U94</f>
        <v>0</v>
      </c>
      <c r="L105" s="1176" t="str">
        <f>'#orgDung'!S94</f>
        <v/>
      </c>
      <c r="M105" s="1176" t="str">
        <f>'#Zweitfr'!$D$8</f>
        <v xml:space="preserve"> --    </v>
      </c>
      <c r="N105" s="1176" t="str">
        <f>'#Boden'!$G$17</f>
        <v xml:space="preserve"> --     </v>
      </c>
      <c r="O105" s="1176" t="str">
        <f>'#Boden'!$G$22</f>
        <v xml:space="preserve"> --      </v>
      </c>
      <c r="P105" s="1176"/>
      <c r="Q105" s="1176" t="str">
        <f>IF('#BerechnungDBE'!N85=3,J105,'#Frucht'!$D$8)</f>
        <v xml:space="preserve"> --  </v>
      </c>
      <c r="R105" s="527"/>
    </row>
    <row r="106" spans="2:18" s="875" customFormat="1" ht="27" customHeight="1" x14ac:dyDescent="0.2">
      <c r="B106" s="1479" t="str">
        <f>IF(D106="","",'Flächen u. Kulturen'!B91)</f>
        <v/>
      </c>
      <c r="C106" s="1176" t="str">
        <f>IF(D106="","",'Flächen u. Kulturen'!C91)</f>
        <v/>
      </c>
      <c r="D106" s="1176" t="str">
        <f>IF(AND('Flächen u. Kulturen'!D91="",'Flächen u. Kulturen'!D91=0),"",'Flächen u. Kulturen'!D91)</f>
        <v/>
      </c>
      <c r="E106" s="1176" t="str">
        <f>IF('Flächen u. Kulturen'!E91="","",'Flächen u. Kulturen'!E91)</f>
        <v>x</v>
      </c>
      <c r="F106" s="1176" t="str">
        <f>IF('Flächen u. Kulturen'!F91="",'#Boden'!$G$4,'Flächen u. Kulturen'!F91)</f>
        <v xml:space="preserve"> --</v>
      </c>
      <c r="G106" s="1176" t="str">
        <f>IF('Flächen u. Kulturen'!G91="",'#Boden'!$B$26,'Flächen u. Kulturen'!G91)</f>
        <v xml:space="preserve"> --</v>
      </c>
      <c r="H106" s="1176" t="str">
        <f>IF('Flächen u. Kulturen'!H91="",'#Boden'!$B$23,'Flächen u. Kulturen'!H91)</f>
        <v>ja</v>
      </c>
      <c r="I106" s="1176" t="str">
        <f>IF('Flächen u. Kulturen'!I91="",'#Boden'!$B$9,'Flächen u. Kulturen'!I91)</f>
        <v xml:space="preserve"> --         </v>
      </c>
      <c r="J106" s="1176" t="str">
        <f>IF('Flächen u. Kulturen'!P91="",'#Frucht'!$D$8,'Flächen u. Kulturen'!P91)</f>
        <v xml:space="preserve"> --  </v>
      </c>
      <c r="K106" s="1176">
        <f>'#orgDung'!U95</f>
        <v>0</v>
      </c>
      <c r="L106" s="1176" t="str">
        <f>'#orgDung'!S95</f>
        <v/>
      </c>
      <c r="M106" s="1176" t="str">
        <f>'#Zweitfr'!$D$8</f>
        <v xml:space="preserve"> --    </v>
      </c>
      <c r="N106" s="1176" t="str">
        <f>'#Boden'!$G$17</f>
        <v xml:space="preserve"> --     </v>
      </c>
      <c r="O106" s="1176" t="str">
        <f>'#Boden'!$G$22</f>
        <v xml:space="preserve"> --      </v>
      </c>
      <c r="P106" s="1176"/>
      <c r="Q106" s="1176" t="str">
        <f>IF('#BerechnungDBE'!N86=3,J106,'#Frucht'!$D$8)</f>
        <v xml:space="preserve"> --  </v>
      </c>
      <c r="R106" s="527"/>
    </row>
    <row r="107" spans="2:18" s="875" customFormat="1" ht="27" customHeight="1" x14ac:dyDescent="0.2">
      <c r="B107" s="1479" t="str">
        <f>IF(D107="","",'Flächen u. Kulturen'!B92)</f>
        <v/>
      </c>
      <c r="C107" s="1176" t="str">
        <f>IF(D107="","",'Flächen u. Kulturen'!C92)</f>
        <v/>
      </c>
      <c r="D107" s="1176" t="str">
        <f>IF(AND('Flächen u. Kulturen'!D92="",'Flächen u. Kulturen'!D92=0),"",'Flächen u. Kulturen'!D92)</f>
        <v/>
      </c>
      <c r="E107" s="1176" t="str">
        <f>IF('Flächen u. Kulturen'!E92="","",'Flächen u. Kulturen'!E92)</f>
        <v>x</v>
      </c>
      <c r="F107" s="1176" t="str">
        <f>IF('Flächen u. Kulturen'!F92="",'#Boden'!$G$4,'Flächen u. Kulturen'!F92)</f>
        <v xml:space="preserve"> --</v>
      </c>
      <c r="G107" s="1176" t="str">
        <f>IF('Flächen u. Kulturen'!G92="",'#Boden'!$B$26,'Flächen u. Kulturen'!G92)</f>
        <v xml:space="preserve"> --</v>
      </c>
      <c r="H107" s="1176" t="str">
        <f>IF('Flächen u. Kulturen'!H92="",'#Boden'!$B$23,'Flächen u. Kulturen'!H92)</f>
        <v>ja</v>
      </c>
      <c r="I107" s="1176" t="str">
        <f>IF('Flächen u. Kulturen'!I92="",'#Boden'!$B$9,'Flächen u. Kulturen'!I92)</f>
        <v xml:space="preserve"> --         </v>
      </c>
      <c r="J107" s="1176" t="str">
        <f>IF('Flächen u. Kulturen'!P92="",'#Frucht'!$D$8,'Flächen u. Kulturen'!P92)</f>
        <v xml:space="preserve"> --  </v>
      </c>
      <c r="K107" s="1176">
        <f>'#orgDung'!U96</f>
        <v>0</v>
      </c>
      <c r="L107" s="1176" t="str">
        <f>'#orgDung'!S96</f>
        <v/>
      </c>
      <c r="M107" s="1176" t="str">
        <f>'#Zweitfr'!$D$8</f>
        <v xml:space="preserve"> --    </v>
      </c>
      <c r="N107" s="1176" t="str">
        <f>'#Boden'!$G$17</f>
        <v xml:space="preserve"> --     </v>
      </c>
      <c r="O107" s="1176" t="str">
        <f>'#Boden'!$G$22</f>
        <v xml:space="preserve"> --      </v>
      </c>
      <c r="P107" s="1176"/>
      <c r="Q107" s="1176" t="str">
        <f>IF('#BerechnungDBE'!N87=3,J107,'#Frucht'!$D$8)</f>
        <v xml:space="preserve"> --  </v>
      </c>
      <c r="R107" s="527"/>
    </row>
    <row r="108" spans="2:18" s="875" customFormat="1" ht="27" customHeight="1" x14ac:dyDescent="0.2">
      <c r="B108" s="1479" t="str">
        <f>IF(D108="","",'Flächen u. Kulturen'!B93)</f>
        <v/>
      </c>
      <c r="C108" s="1176" t="str">
        <f>IF(D108="","",'Flächen u. Kulturen'!C93)</f>
        <v/>
      </c>
      <c r="D108" s="1176" t="str">
        <f>IF(AND('Flächen u. Kulturen'!D93="",'Flächen u. Kulturen'!D93=0),"",'Flächen u. Kulturen'!D93)</f>
        <v/>
      </c>
      <c r="E108" s="1176" t="str">
        <f>IF('Flächen u. Kulturen'!E93="","",'Flächen u. Kulturen'!E93)</f>
        <v>x</v>
      </c>
      <c r="F108" s="1176" t="str">
        <f>IF('Flächen u. Kulturen'!F93="",'#Boden'!$G$4,'Flächen u. Kulturen'!F93)</f>
        <v xml:space="preserve"> --</v>
      </c>
      <c r="G108" s="1176" t="str">
        <f>IF('Flächen u. Kulturen'!G93="",'#Boden'!$B$26,'Flächen u. Kulturen'!G93)</f>
        <v xml:space="preserve"> --</v>
      </c>
      <c r="H108" s="1176" t="str">
        <f>IF('Flächen u. Kulturen'!H93="",'#Boden'!$B$23,'Flächen u. Kulturen'!H93)</f>
        <v>ja</v>
      </c>
      <c r="I108" s="1176" t="str">
        <f>IF('Flächen u. Kulturen'!I93="",'#Boden'!$B$9,'Flächen u. Kulturen'!I93)</f>
        <v xml:space="preserve"> --         </v>
      </c>
      <c r="J108" s="1176" t="str">
        <f>IF('Flächen u. Kulturen'!P93="",'#Frucht'!$D$8,'Flächen u. Kulturen'!P93)</f>
        <v xml:space="preserve"> --  </v>
      </c>
      <c r="K108" s="1176">
        <f>'#orgDung'!U97</f>
        <v>0</v>
      </c>
      <c r="L108" s="1176" t="str">
        <f>'#orgDung'!S97</f>
        <v/>
      </c>
      <c r="M108" s="1176" t="str">
        <f>'#Zweitfr'!$D$8</f>
        <v xml:space="preserve"> --    </v>
      </c>
      <c r="N108" s="1176" t="str">
        <f>'#Boden'!$G$17</f>
        <v xml:space="preserve"> --     </v>
      </c>
      <c r="O108" s="1176" t="str">
        <f>'#Boden'!$G$22</f>
        <v xml:space="preserve"> --      </v>
      </c>
      <c r="P108" s="1176"/>
      <c r="Q108" s="1176" t="str">
        <f>IF('#BerechnungDBE'!N88=3,J108,'#Frucht'!$D$8)</f>
        <v xml:space="preserve"> --  </v>
      </c>
      <c r="R108" s="527"/>
    </row>
    <row r="109" spans="2:18" s="875" customFormat="1" ht="27" customHeight="1" x14ac:dyDescent="0.2">
      <c r="B109" s="1479" t="str">
        <f>IF(D109="","",'Flächen u. Kulturen'!B94)</f>
        <v/>
      </c>
      <c r="C109" s="1176" t="str">
        <f>IF(D109="","",'Flächen u. Kulturen'!C94)</f>
        <v/>
      </c>
      <c r="D109" s="1176" t="str">
        <f>IF(AND('Flächen u. Kulturen'!D94="",'Flächen u. Kulturen'!D94=0),"",'Flächen u. Kulturen'!D94)</f>
        <v/>
      </c>
      <c r="E109" s="1176" t="str">
        <f>IF('Flächen u. Kulturen'!E94="","",'Flächen u. Kulturen'!E94)</f>
        <v>x</v>
      </c>
      <c r="F109" s="1176" t="str">
        <f>IF('Flächen u. Kulturen'!F94="",'#Boden'!$G$4,'Flächen u. Kulturen'!F94)</f>
        <v xml:space="preserve"> --</v>
      </c>
      <c r="G109" s="1176" t="str">
        <f>IF('Flächen u. Kulturen'!G94="",'#Boden'!$B$26,'Flächen u. Kulturen'!G94)</f>
        <v xml:space="preserve"> --</v>
      </c>
      <c r="H109" s="1176" t="str">
        <f>IF('Flächen u. Kulturen'!H94="",'#Boden'!$B$23,'Flächen u. Kulturen'!H94)</f>
        <v>ja</v>
      </c>
      <c r="I109" s="1176" t="str">
        <f>IF('Flächen u. Kulturen'!I94="",'#Boden'!$B$9,'Flächen u. Kulturen'!I94)</f>
        <v xml:space="preserve"> --         </v>
      </c>
      <c r="J109" s="1176" t="str">
        <f>IF('Flächen u. Kulturen'!P94="",'#Frucht'!$D$8,'Flächen u. Kulturen'!P94)</f>
        <v xml:space="preserve"> --  </v>
      </c>
      <c r="K109" s="1176">
        <f>'#orgDung'!U98</f>
        <v>0</v>
      </c>
      <c r="L109" s="1176" t="str">
        <f>'#orgDung'!S98</f>
        <v/>
      </c>
      <c r="M109" s="1176" t="str">
        <f>'#Zweitfr'!$D$8</f>
        <v xml:space="preserve"> --    </v>
      </c>
      <c r="N109" s="1176" t="str">
        <f>'#Boden'!$G$17</f>
        <v xml:space="preserve"> --     </v>
      </c>
      <c r="O109" s="1176" t="str">
        <f>'#Boden'!$G$22</f>
        <v xml:space="preserve"> --      </v>
      </c>
      <c r="P109" s="1176"/>
      <c r="Q109" s="1176" t="str">
        <f>IF('#BerechnungDBE'!N89=3,J109,'#Frucht'!$D$8)</f>
        <v xml:space="preserve"> --  </v>
      </c>
      <c r="R109" s="527"/>
    </row>
    <row r="110" spans="2:18" s="875" customFormat="1" ht="27" customHeight="1" x14ac:dyDescent="0.2">
      <c r="B110" s="1479" t="str">
        <f>IF(D110="","",'Flächen u. Kulturen'!B95)</f>
        <v/>
      </c>
      <c r="C110" s="1176" t="str">
        <f>IF(D110="","",'Flächen u. Kulturen'!C95)</f>
        <v/>
      </c>
      <c r="D110" s="1176" t="str">
        <f>IF(AND('Flächen u. Kulturen'!D95="",'Flächen u. Kulturen'!D95=0),"",'Flächen u. Kulturen'!D95)</f>
        <v/>
      </c>
      <c r="E110" s="1176" t="str">
        <f>IF('Flächen u. Kulturen'!E95="","",'Flächen u. Kulturen'!E95)</f>
        <v>x</v>
      </c>
      <c r="F110" s="1176" t="str">
        <f>IF('Flächen u. Kulturen'!F95="",'#Boden'!$G$4,'Flächen u. Kulturen'!F95)</f>
        <v xml:space="preserve"> --</v>
      </c>
      <c r="G110" s="1176" t="str">
        <f>IF('Flächen u. Kulturen'!G95="",'#Boden'!$B$26,'Flächen u. Kulturen'!G95)</f>
        <v xml:space="preserve"> --</v>
      </c>
      <c r="H110" s="1176" t="str">
        <f>IF('Flächen u. Kulturen'!H95="",'#Boden'!$B$23,'Flächen u. Kulturen'!H95)</f>
        <v>ja</v>
      </c>
      <c r="I110" s="1176" t="str">
        <f>IF('Flächen u. Kulturen'!I95="",'#Boden'!$B$9,'Flächen u. Kulturen'!I95)</f>
        <v xml:space="preserve"> --         </v>
      </c>
      <c r="J110" s="1176" t="str">
        <f>IF('Flächen u. Kulturen'!P95="",'#Frucht'!$D$8,'Flächen u. Kulturen'!P95)</f>
        <v xml:space="preserve"> --  </v>
      </c>
      <c r="K110" s="1176">
        <f>'#orgDung'!U99</f>
        <v>0</v>
      </c>
      <c r="L110" s="1176" t="str">
        <f>'#orgDung'!S99</f>
        <v/>
      </c>
      <c r="M110" s="1176" t="str">
        <f>'#Zweitfr'!$D$8</f>
        <v xml:space="preserve"> --    </v>
      </c>
      <c r="N110" s="1176" t="str">
        <f>'#Boden'!$G$17</f>
        <v xml:space="preserve"> --     </v>
      </c>
      <c r="O110" s="1176" t="str">
        <f>'#Boden'!$G$22</f>
        <v xml:space="preserve"> --      </v>
      </c>
      <c r="P110" s="1176"/>
      <c r="Q110" s="1176" t="str">
        <f>IF('#BerechnungDBE'!N90=3,J110,'#Frucht'!$D$8)</f>
        <v xml:space="preserve"> --  </v>
      </c>
      <c r="R110" s="527"/>
    </row>
    <row r="111" spans="2:18" s="875" customFormat="1" ht="27" customHeight="1" x14ac:dyDescent="0.2">
      <c r="B111" s="1479" t="str">
        <f>IF(D111="","",'Flächen u. Kulturen'!B96)</f>
        <v/>
      </c>
      <c r="C111" s="1176" t="str">
        <f>IF(D111="","",'Flächen u. Kulturen'!C96)</f>
        <v/>
      </c>
      <c r="D111" s="1176" t="str">
        <f>IF(AND('Flächen u. Kulturen'!D96="",'Flächen u. Kulturen'!D96=0),"",'Flächen u. Kulturen'!D96)</f>
        <v/>
      </c>
      <c r="E111" s="1176" t="str">
        <f>IF('Flächen u. Kulturen'!E96="","",'Flächen u. Kulturen'!E96)</f>
        <v>x</v>
      </c>
      <c r="F111" s="1176" t="str">
        <f>IF('Flächen u. Kulturen'!F96="",'#Boden'!$G$4,'Flächen u. Kulturen'!F96)</f>
        <v xml:space="preserve"> --</v>
      </c>
      <c r="G111" s="1176" t="str">
        <f>IF('Flächen u. Kulturen'!G96="",'#Boden'!$B$26,'Flächen u. Kulturen'!G96)</f>
        <v xml:space="preserve"> --</v>
      </c>
      <c r="H111" s="1176" t="str">
        <f>IF('Flächen u. Kulturen'!H96="",'#Boden'!$B$23,'Flächen u. Kulturen'!H96)</f>
        <v>ja</v>
      </c>
      <c r="I111" s="1176" t="str">
        <f>IF('Flächen u. Kulturen'!I96="",'#Boden'!$B$9,'Flächen u. Kulturen'!I96)</f>
        <v xml:space="preserve"> --         </v>
      </c>
      <c r="J111" s="1176" t="str">
        <f>IF('Flächen u. Kulturen'!P96="",'#Frucht'!$D$8,'Flächen u. Kulturen'!P96)</f>
        <v xml:space="preserve"> --  </v>
      </c>
      <c r="K111" s="1176">
        <f>'#orgDung'!U100</f>
        <v>0</v>
      </c>
      <c r="L111" s="1176" t="str">
        <f>'#orgDung'!S100</f>
        <v/>
      </c>
      <c r="M111" s="1176" t="str">
        <f>'#Zweitfr'!$D$8</f>
        <v xml:space="preserve"> --    </v>
      </c>
      <c r="N111" s="1176" t="str">
        <f>'#Boden'!$G$17</f>
        <v xml:space="preserve"> --     </v>
      </c>
      <c r="O111" s="1176" t="str">
        <f>'#Boden'!$G$22</f>
        <v xml:space="preserve"> --      </v>
      </c>
      <c r="P111" s="1176"/>
      <c r="Q111" s="1176" t="str">
        <f>IF('#BerechnungDBE'!N91=3,J111,'#Frucht'!$D$8)</f>
        <v xml:space="preserve"> --  </v>
      </c>
      <c r="R111" s="527"/>
    </row>
    <row r="112" spans="2:18" s="875" customFormat="1" ht="27" customHeight="1" x14ac:dyDescent="0.2">
      <c r="B112" s="1479" t="str">
        <f>IF(D112="","",'Flächen u. Kulturen'!B97)</f>
        <v/>
      </c>
      <c r="C112" s="1176" t="str">
        <f>IF(D112="","",'Flächen u. Kulturen'!C97)</f>
        <v/>
      </c>
      <c r="D112" s="1176" t="str">
        <f>IF(AND('Flächen u. Kulturen'!D97="",'Flächen u. Kulturen'!D97=0),"",'Flächen u. Kulturen'!D97)</f>
        <v/>
      </c>
      <c r="E112" s="1176" t="str">
        <f>IF('Flächen u. Kulturen'!E97="","",'Flächen u. Kulturen'!E97)</f>
        <v>x</v>
      </c>
      <c r="F112" s="1176" t="str">
        <f>IF('Flächen u. Kulturen'!F97="",'#Boden'!$G$4,'Flächen u. Kulturen'!F97)</f>
        <v xml:space="preserve"> --</v>
      </c>
      <c r="G112" s="1176" t="str">
        <f>IF('Flächen u. Kulturen'!G97="",'#Boden'!$B$26,'Flächen u. Kulturen'!G97)</f>
        <v xml:space="preserve"> --</v>
      </c>
      <c r="H112" s="1176" t="str">
        <f>IF('Flächen u. Kulturen'!H97="",'#Boden'!$B$23,'Flächen u. Kulturen'!H97)</f>
        <v>ja</v>
      </c>
      <c r="I112" s="1176" t="str">
        <f>IF('Flächen u. Kulturen'!I97="",'#Boden'!$B$9,'Flächen u. Kulturen'!I97)</f>
        <v xml:space="preserve"> --         </v>
      </c>
      <c r="J112" s="1176" t="str">
        <f>IF('Flächen u. Kulturen'!P97="",'#Frucht'!$D$8,'Flächen u. Kulturen'!P97)</f>
        <v xml:space="preserve"> --  </v>
      </c>
      <c r="K112" s="1176">
        <f>'#orgDung'!U101</f>
        <v>0</v>
      </c>
      <c r="L112" s="1176" t="str">
        <f>'#orgDung'!S101</f>
        <v/>
      </c>
      <c r="M112" s="1176" t="str">
        <f>'#Zweitfr'!$D$8</f>
        <v xml:space="preserve"> --    </v>
      </c>
      <c r="N112" s="1176" t="str">
        <f>'#Boden'!$G$17</f>
        <v xml:space="preserve"> --     </v>
      </c>
      <c r="O112" s="1176" t="str">
        <f>'#Boden'!$G$22</f>
        <v xml:space="preserve"> --      </v>
      </c>
      <c r="P112" s="1176"/>
      <c r="Q112" s="1176" t="str">
        <f>IF('#BerechnungDBE'!N92=3,J112,'#Frucht'!$D$8)</f>
        <v xml:space="preserve"> --  </v>
      </c>
      <c r="R112" s="527"/>
    </row>
    <row r="113" spans="1:23" s="875" customFormat="1" ht="27" customHeight="1" x14ac:dyDescent="0.2">
      <c r="B113" s="1479" t="str">
        <f>IF(D113="","",'Flächen u. Kulturen'!B98)</f>
        <v/>
      </c>
      <c r="C113" s="1176" t="str">
        <f>IF(D113="","",'Flächen u. Kulturen'!C98)</f>
        <v/>
      </c>
      <c r="D113" s="1176" t="str">
        <f>IF(AND('Flächen u. Kulturen'!D98="",'Flächen u. Kulturen'!D98=0),"",'Flächen u. Kulturen'!D98)</f>
        <v/>
      </c>
      <c r="E113" s="1176" t="str">
        <f>IF('Flächen u. Kulturen'!E98="","",'Flächen u. Kulturen'!E98)</f>
        <v>x</v>
      </c>
      <c r="F113" s="1176" t="str">
        <f>IF('Flächen u. Kulturen'!F98="",'#Boden'!$G$4,'Flächen u. Kulturen'!F98)</f>
        <v xml:space="preserve"> --</v>
      </c>
      <c r="G113" s="1176" t="str">
        <f>IF('Flächen u. Kulturen'!G98="",'#Boden'!$B$26,'Flächen u. Kulturen'!G98)</f>
        <v xml:space="preserve"> --</v>
      </c>
      <c r="H113" s="1176" t="str">
        <f>IF('Flächen u. Kulturen'!H98="",'#Boden'!$B$23,'Flächen u. Kulturen'!H98)</f>
        <v>ja</v>
      </c>
      <c r="I113" s="1176" t="str">
        <f>IF('Flächen u. Kulturen'!I98="",'#Boden'!$B$9,'Flächen u. Kulturen'!I98)</f>
        <v xml:space="preserve"> --         </v>
      </c>
      <c r="J113" s="1176" t="str">
        <f>IF('Flächen u. Kulturen'!P98="",'#Frucht'!$D$8,'Flächen u. Kulturen'!P98)</f>
        <v xml:space="preserve"> --  </v>
      </c>
      <c r="K113" s="1176">
        <f>'#orgDung'!U102</f>
        <v>0</v>
      </c>
      <c r="L113" s="1176" t="str">
        <f>'#orgDung'!S102</f>
        <v/>
      </c>
      <c r="M113" s="1176" t="str">
        <f>'#Zweitfr'!$D$8</f>
        <v xml:space="preserve"> --    </v>
      </c>
      <c r="N113" s="1176" t="str">
        <f>'#Boden'!$G$17</f>
        <v xml:space="preserve"> --     </v>
      </c>
      <c r="O113" s="1176" t="str">
        <f>'#Boden'!$G$22</f>
        <v xml:space="preserve"> --      </v>
      </c>
      <c r="P113" s="1176"/>
      <c r="Q113" s="1176" t="str">
        <f>IF('#BerechnungDBE'!N93=3,J113,'#Frucht'!$D$8)</f>
        <v xml:space="preserve"> --  </v>
      </c>
      <c r="R113" s="527"/>
    </row>
    <row r="114" spans="1:23" s="875" customFormat="1" ht="27" customHeight="1" x14ac:dyDescent="0.2">
      <c r="B114" s="1479" t="str">
        <f>IF(D114="","",'Flächen u. Kulturen'!B99)</f>
        <v/>
      </c>
      <c r="C114" s="1176" t="str">
        <f>IF(D114="","",'Flächen u. Kulturen'!C99)</f>
        <v/>
      </c>
      <c r="D114" s="1176" t="str">
        <f>IF(AND('Flächen u. Kulturen'!D99="",'Flächen u. Kulturen'!D99=0),"",'Flächen u. Kulturen'!D99)</f>
        <v/>
      </c>
      <c r="E114" s="1176" t="str">
        <f>IF('Flächen u. Kulturen'!E99="","",'Flächen u. Kulturen'!E99)</f>
        <v>x</v>
      </c>
      <c r="F114" s="1176" t="str">
        <f>IF('Flächen u. Kulturen'!F99="",'#Boden'!$G$4,'Flächen u. Kulturen'!F99)</f>
        <v xml:space="preserve"> --</v>
      </c>
      <c r="G114" s="1176" t="str">
        <f>IF('Flächen u. Kulturen'!G99="",'#Boden'!$B$26,'Flächen u. Kulturen'!G99)</f>
        <v xml:space="preserve"> --</v>
      </c>
      <c r="H114" s="1176" t="str">
        <f>IF('Flächen u. Kulturen'!H99="",'#Boden'!$B$23,'Flächen u. Kulturen'!H99)</f>
        <v>ja</v>
      </c>
      <c r="I114" s="1176" t="str">
        <f>IF('Flächen u. Kulturen'!I99="",'#Boden'!$B$9,'Flächen u. Kulturen'!I99)</f>
        <v xml:space="preserve"> --         </v>
      </c>
      <c r="J114" s="1176" t="str">
        <f>IF('Flächen u. Kulturen'!P99="",'#Frucht'!$D$8,'Flächen u. Kulturen'!P99)</f>
        <v xml:space="preserve"> --  </v>
      </c>
      <c r="K114" s="1176">
        <f>'#orgDung'!U103</f>
        <v>0</v>
      </c>
      <c r="L114" s="1176" t="str">
        <f>'#orgDung'!S103</f>
        <v/>
      </c>
      <c r="M114" s="1176" t="str">
        <f>'#Zweitfr'!$D$8</f>
        <v xml:space="preserve"> --    </v>
      </c>
      <c r="N114" s="1176" t="str">
        <f>'#Boden'!$G$17</f>
        <v xml:space="preserve"> --     </v>
      </c>
      <c r="O114" s="1176" t="str">
        <f>'#Boden'!$G$22</f>
        <v xml:space="preserve"> --      </v>
      </c>
      <c r="P114" s="1176"/>
      <c r="Q114" s="1176" t="str">
        <f>IF('#BerechnungDBE'!N94=3,J114,'#Frucht'!$D$8)</f>
        <v xml:space="preserve"> --  </v>
      </c>
      <c r="R114" s="527"/>
    </row>
    <row r="115" spans="1:23" s="875" customFormat="1" ht="27" customHeight="1" x14ac:dyDescent="0.2">
      <c r="B115" s="1479" t="str">
        <f>IF(D115="","",'Flächen u. Kulturen'!B100)</f>
        <v/>
      </c>
      <c r="C115" s="1176" t="str">
        <f>IF(D115="","",'Flächen u. Kulturen'!C100)</f>
        <v/>
      </c>
      <c r="D115" s="1176" t="str">
        <f>IF(AND('Flächen u. Kulturen'!D100="",'Flächen u. Kulturen'!D100=0),"",'Flächen u. Kulturen'!D100)</f>
        <v/>
      </c>
      <c r="E115" s="1176" t="str">
        <f>IF('Flächen u. Kulturen'!E100="","",'Flächen u. Kulturen'!E100)</f>
        <v>x</v>
      </c>
      <c r="F115" s="1176" t="str">
        <f>IF('Flächen u. Kulturen'!F100="",'#Boden'!$G$4,'Flächen u. Kulturen'!F100)</f>
        <v xml:space="preserve"> --</v>
      </c>
      <c r="G115" s="1176" t="str">
        <f>IF('Flächen u. Kulturen'!G100="",'#Boden'!$B$26,'Flächen u. Kulturen'!G100)</f>
        <v xml:space="preserve"> --</v>
      </c>
      <c r="H115" s="1176" t="str">
        <f>IF('Flächen u. Kulturen'!H100="",'#Boden'!$B$23,'Flächen u. Kulturen'!H100)</f>
        <v>ja</v>
      </c>
      <c r="I115" s="1176" t="str">
        <f>IF('Flächen u. Kulturen'!I100="",'#Boden'!$B$9,'Flächen u. Kulturen'!I100)</f>
        <v xml:space="preserve"> --         </v>
      </c>
      <c r="J115" s="1176" t="str">
        <f>IF('Flächen u. Kulturen'!P100="",'#Frucht'!$D$8,'Flächen u. Kulturen'!P100)</f>
        <v xml:space="preserve"> --  </v>
      </c>
      <c r="K115" s="1176">
        <f>'#orgDung'!U104</f>
        <v>0</v>
      </c>
      <c r="L115" s="1176" t="str">
        <f>'#orgDung'!S104</f>
        <v/>
      </c>
      <c r="M115" s="1176" t="str">
        <f>'#Zweitfr'!$D$8</f>
        <v xml:space="preserve"> --    </v>
      </c>
      <c r="N115" s="1176" t="str">
        <f>'#Boden'!$G$17</f>
        <v xml:space="preserve"> --     </v>
      </c>
      <c r="O115" s="1176" t="str">
        <f>'#Boden'!$G$22</f>
        <v xml:space="preserve"> --      </v>
      </c>
      <c r="P115" s="1176"/>
      <c r="Q115" s="1176" t="str">
        <f>IF('#BerechnungDBE'!N95=3,J115,'#Frucht'!$D$8)</f>
        <v xml:space="preserve"> --  </v>
      </c>
      <c r="R115" s="527"/>
    </row>
    <row r="116" spans="1:23" s="875" customFormat="1" ht="27" customHeight="1" x14ac:dyDescent="0.2">
      <c r="B116" s="1479" t="str">
        <f>IF(D116="","",'Flächen u. Kulturen'!B101)</f>
        <v/>
      </c>
      <c r="C116" s="1176" t="str">
        <f>IF(D116="","",'Flächen u. Kulturen'!C101)</f>
        <v/>
      </c>
      <c r="D116" s="1176" t="str">
        <f>IF(AND('Flächen u. Kulturen'!D101="",'Flächen u. Kulturen'!D101=0),"",'Flächen u. Kulturen'!D101)</f>
        <v/>
      </c>
      <c r="E116" s="1176" t="str">
        <f>IF('Flächen u. Kulturen'!E101="","",'Flächen u. Kulturen'!E101)</f>
        <v>x</v>
      </c>
      <c r="F116" s="1176" t="str">
        <f>IF('Flächen u. Kulturen'!F101="",'#Boden'!$G$4,'Flächen u. Kulturen'!F101)</f>
        <v xml:space="preserve"> --</v>
      </c>
      <c r="G116" s="1176" t="str">
        <f>IF('Flächen u. Kulturen'!G101="",'#Boden'!$B$26,'Flächen u. Kulturen'!G101)</f>
        <v xml:space="preserve"> --</v>
      </c>
      <c r="H116" s="1176" t="str">
        <f>IF('Flächen u. Kulturen'!H101="",'#Boden'!$B$23,'Flächen u. Kulturen'!H101)</f>
        <v>ja</v>
      </c>
      <c r="I116" s="1176" t="str">
        <f>IF('Flächen u. Kulturen'!I101="",'#Boden'!$B$9,'Flächen u. Kulturen'!I101)</f>
        <v xml:space="preserve"> --         </v>
      </c>
      <c r="J116" s="1176" t="str">
        <f>IF('Flächen u. Kulturen'!P101="",'#Frucht'!$D$8,'Flächen u. Kulturen'!P101)</f>
        <v xml:space="preserve"> --  </v>
      </c>
      <c r="K116" s="1176">
        <f>'#orgDung'!U105</f>
        <v>0</v>
      </c>
      <c r="L116" s="1176" t="str">
        <f>'#orgDung'!S105</f>
        <v/>
      </c>
      <c r="M116" s="1176" t="str">
        <f>'#Zweitfr'!$D$8</f>
        <v xml:space="preserve"> --    </v>
      </c>
      <c r="N116" s="1176" t="str">
        <f>'#Boden'!$G$17</f>
        <v xml:space="preserve"> --     </v>
      </c>
      <c r="O116" s="1176" t="str">
        <f>'#Boden'!$G$22</f>
        <v xml:space="preserve"> --      </v>
      </c>
      <c r="P116" s="1176"/>
      <c r="Q116" s="1176" t="str">
        <f>IF('#BerechnungDBE'!N96=3,J116,'#Frucht'!$D$8)</f>
        <v xml:space="preserve"> --  </v>
      </c>
      <c r="R116" s="527"/>
    </row>
    <row r="117" spans="1:23" s="875" customFormat="1" ht="27" customHeight="1" x14ac:dyDescent="0.2">
      <c r="B117" s="1479" t="str">
        <f>IF(D117="","",'Flächen u. Kulturen'!B102)</f>
        <v/>
      </c>
      <c r="C117" s="1176" t="str">
        <f>IF(D117="","",'Flächen u. Kulturen'!C102)</f>
        <v/>
      </c>
      <c r="D117" s="1176" t="str">
        <f>IF(AND('Flächen u. Kulturen'!D102="",'Flächen u. Kulturen'!D102=0),"",'Flächen u. Kulturen'!D102)</f>
        <v/>
      </c>
      <c r="E117" s="1176" t="str">
        <f>IF('Flächen u. Kulturen'!E102="","",'Flächen u. Kulturen'!E102)</f>
        <v>x</v>
      </c>
      <c r="F117" s="1176" t="str">
        <f>IF('Flächen u. Kulturen'!F102="",'#Boden'!$G$4,'Flächen u. Kulturen'!F102)</f>
        <v xml:space="preserve"> --</v>
      </c>
      <c r="G117" s="1176" t="str">
        <f>IF('Flächen u. Kulturen'!G102="",'#Boden'!$B$26,'Flächen u. Kulturen'!G102)</f>
        <v xml:space="preserve"> --</v>
      </c>
      <c r="H117" s="1176" t="str">
        <f>IF('Flächen u. Kulturen'!H102="",'#Boden'!$B$23,'Flächen u. Kulturen'!H102)</f>
        <v>ja</v>
      </c>
      <c r="I117" s="1176" t="str">
        <f>IF('Flächen u. Kulturen'!I102="",'#Boden'!$B$9,'Flächen u. Kulturen'!I102)</f>
        <v xml:space="preserve"> --         </v>
      </c>
      <c r="J117" s="1176" t="str">
        <f>IF('Flächen u. Kulturen'!P102="",'#Frucht'!$D$8,'Flächen u. Kulturen'!P102)</f>
        <v xml:space="preserve"> --  </v>
      </c>
      <c r="K117" s="1176">
        <f>'#orgDung'!U106</f>
        <v>0</v>
      </c>
      <c r="L117" s="1176" t="str">
        <f>'#orgDung'!S106</f>
        <v/>
      </c>
      <c r="M117" s="1176" t="str">
        <f>'#Zweitfr'!$D$8</f>
        <v xml:space="preserve"> --    </v>
      </c>
      <c r="N117" s="1176" t="str">
        <f>'#Boden'!$G$17</f>
        <v xml:space="preserve"> --     </v>
      </c>
      <c r="O117" s="1176" t="str">
        <f>'#Boden'!$G$22</f>
        <v xml:space="preserve"> --      </v>
      </c>
      <c r="P117" s="1176"/>
      <c r="Q117" s="1176" t="str">
        <f>IF('#BerechnungDBE'!N97=3,J117,'#Frucht'!$D$8)</f>
        <v xml:space="preserve"> --  </v>
      </c>
      <c r="R117" s="527"/>
    </row>
    <row r="118" spans="1:23" s="875" customFormat="1" ht="27" customHeight="1" x14ac:dyDescent="0.2">
      <c r="B118" s="1479" t="str">
        <f>IF(D118="","",'Flächen u. Kulturen'!B103)</f>
        <v/>
      </c>
      <c r="C118" s="1176" t="str">
        <f>IF(D118="","",'Flächen u. Kulturen'!C103)</f>
        <v/>
      </c>
      <c r="D118" s="1176" t="str">
        <f>IF(AND('Flächen u. Kulturen'!D103="",'Flächen u. Kulturen'!D103=0),"",'Flächen u. Kulturen'!D103)</f>
        <v/>
      </c>
      <c r="E118" s="1176" t="str">
        <f>IF('Flächen u. Kulturen'!E103="","",'Flächen u. Kulturen'!E103)</f>
        <v>x</v>
      </c>
      <c r="F118" s="1176" t="str">
        <f>IF('Flächen u. Kulturen'!F103="",'#Boden'!$G$4,'Flächen u. Kulturen'!F103)</f>
        <v xml:space="preserve"> --</v>
      </c>
      <c r="G118" s="1176" t="str">
        <f>IF('Flächen u. Kulturen'!G103="",'#Boden'!$B$26,'Flächen u. Kulturen'!G103)</f>
        <v xml:space="preserve"> --</v>
      </c>
      <c r="H118" s="1176" t="str">
        <f>IF('Flächen u. Kulturen'!H103="",'#Boden'!$B$23,'Flächen u. Kulturen'!H103)</f>
        <v>ja</v>
      </c>
      <c r="I118" s="1176" t="str">
        <f>IF('Flächen u. Kulturen'!I103="",'#Boden'!$B$9,'Flächen u. Kulturen'!I103)</f>
        <v xml:space="preserve"> --         </v>
      </c>
      <c r="J118" s="1176" t="str">
        <f>IF('Flächen u. Kulturen'!P103="",'#Frucht'!$D$8,'Flächen u. Kulturen'!P103)</f>
        <v xml:space="preserve"> --  </v>
      </c>
      <c r="K118" s="1176">
        <f>'#orgDung'!U107</f>
        <v>0</v>
      </c>
      <c r="L118" s="1176" t="str">
        <f>'#orgDung'!S107</f>
        <v/>
      </c>
      <c r="M118" s="1176" t="str">
        <f>'#Zweitfr'!$D$8</f>
        <v xml:space="preserve"> --    </v>
      </c>
      <c r="N118" s="1176" t="str">
        <f>'#Boden'!$G$17</f>
        <v xml:space="preserve"> --     </v>
      </c>
      <c r="O118" s="1176" t="str">
        <f>'#Boden'!$G$22</f>
        <v xml:space="preserve"> --      </v>
      </c>
      <c r="P118" s="1176"/>
      <c r="Q118" s="1176" t="str">
        <f>IF('#BerechnungDBE'!N98=3,J118,'#Frucht'!$D$8)</f>
        <v xml:space="preserve"> --  </v>
      </c>
      <c r="R118" s="527"/>
    </row>
    <row r="119" spans="1:23" s="875" customFormat="1" ht="27" customHeight="1" x14ac:dyDescent="0.2">
      <c r="B119" s="1479" t="str">
        <f>IF(D119="","",'Flächen u. Kulturen'!B104)</f>
        <v/>
      </c>
      <c r="C119" s="1176" t="str">
        <f>IF(D119="","",'Flächen u. Kulturen'!C104)</f>
        <v/>
      </c>
      <c r="D119" s="1176" t="str">
        <f>IF(AND('Flächen u. Kulturen'!D104="",'Flächen u. Kulturen'!D104=0),"",'Flächen u. Kulturen'!D104)</f>
        <v/>
      </c>
      <c r="E119" s="1176" t="str">
        <f>IF('Flächen u. Kulturen'!E104="","",'Flächen u. Kulturen'!E104)</f>
        <v>x</v>
      </c>
      <c r="F119" s="1176" t="str">
        <f>IF('Flächen u. Kulturen'!F104="",'#Boden'!$G$4,'Flächen u. Kulturen'!F104)</f>
        <v xml:space="preserve"> --</v>
      </c>
      <c r="G119" s="1176" t="str">
        <f>IF('Flächen u. Kulturen'!G104="",'#Boden'!$B$26,'Flächen u. Kulturen'!G104)</f>
        <v xml:space="preserve"> --</v>
      </c>
      <c r="H119" s="1176" t="str">
        <f>IF('Flächen u. Kulturen'!H104="",'#Boden'!$B$23,'Flächen u. Kulturen'!H104)</f>
        <v>ja</v>
      </c>
      <c r="I119" s="1176" t="str">
        <f>IF('Flächen u. Kulturen'!I104="",'#Boden'!$B$9,'Flächen u. Kulturen'!I104)</f>
        <v xml:space="preserve"> --         </v>
      </c>
      <c r="J119" s="1176" t="str">
        <f>IF('Flächen u. Kulturen'!P104="",'#Frucht'!$D$8,'Flächen u. Kulturen'!P104)</f>
        <v xml:space="preserve"> --  </v>
      </c>
      <c r="K119" s="1176">
        <f>'#orgDung'!U108</f>
        <v>0</v>
      </c>
      <c r="L119" s="1176" t="str">
        <f>'#orgDung'!S108</f>
        <v/>
      </c>
      <c r="M119" s="1176" t="str">
        <f>'#Zweitfr'!$D$8</f>
        <v xml:space="preserve"> --    </v>
      </c>
      <c r="N119" s="1176" t="str">
        <f>'#Boden'!$G$17</f>
        <v xml:space="preserve"> --     </v>
      </c>
      <c r="O119" s="1176" t="str">
        <f>'#Boden'!$G$22</f>
        <v xml:space="preserve"> --      </v>
      </c>
      <c r="P119" s="1176"/>
      <c r="Q119" s="1176" t="str">
        <f>IF('#BerechnungDBE'!N99=3,J119,'#Frucht'!$D$8)</f>
        <v xml:space="preserve"> --  </v>
      </c>
      <c r="R119" s="527"/>
    </row>
    <row r="120" spans="1:23" s="875" customFormat="1" ht="27" customHeight="1" x14ac:dyDescent="0.2">
      <c r="B120" s="1479" t="str">
        <f>IF(D120="","",'Flächen u. Kulturen'!B105)</f>
        <v/>
      </c>
      <c r="C120" s="1176" t="str">
        <f>IF(D120="","",'Flächen u. Kulturen'!C105)</f>
        <v/>
      </c>
      <c r="D120" s="1176" t="str">
        <f>IF(AND('Flächen u. Kulturen'!D105="",'Flächen u. Kulturen'!D105=0),"",'Flächen u. Kulturen'!D105)</f>
        <v/>
      </c>
      <c r="E120" s="1176" t="str">
        <f>IF('Flächen u. Kulturen'!E105="","",'Flächen u. Kulturen'!E105)</f>
        <v>x</v>
      </c>
      <c r="F120" s="1176" t="str">
        <f>IF('Flächen u. Kulturen'!F105="",'#Boden'!$G$4,'Flächen u. Kulturen'!F105)</f>
        <v xml:space="preserve"> --</v>
      </c>
      <c r="G120" s="1176" t="str">
        <f>IF('Flächen u. Kulturen'!G105="",'#Boden'!$B$26,'Flächen u. Kulturen'!G105)</f>
        <v xml:space="preserve"> --</v>
      </c>
      <c r="H120" s="1176" t="str">
        <f>IF('Flächen u. Kulturen'!H105="",'#Boden'!$B$23,'Flächen u. Kulturen'!H105)</f>
        <v>ja</v>
      </c>
      <c r="I120" s="1176" t="str">
        <f>IF('Flächen u. Kulturen'!I105="",'#Boden'!$B$9,'Flächen u. Kulturen'!I105)</f>
        <v xml:space="preserve"> --         </v>
      </c>
      <c r="J120" s="1176" t="str">
        <f>IF('Flächen u. Kulturen'!P105="",'#Frucht'!$D$8,'Flächen u. Kulturen'!P105)</f>
        <v xml:space="preserve"> --  </v>
      </c>
      <c r="K120" s="1176">
        <f>'#orgDung'!U109</f>
        <v>0</v>
      </c>
      <c r="L120" s="1176" t="str">
        <f>'#orgDung'!S109</f>
        <v/>
      </c>
      <c r="M120" s="1176" t="str">
        <f>'#Zweitfr'!$D$8</f>
        <v xml:space="preserve"> --    </v>
      </c>
      <c r="N120" s="1176" t="str">
        <f>'#Boden'!$G$17</f>
        <v xml:space="preserve"> --     </v>
      </c>
      <c r="O120" s="1176" t="str">
        <f>'#Boden'!$G$22</f>
        <v xml:space="preserve"> --      </v>
      </c>
      <c r="P120" s="1176"/>
      <c r="Q120" s="1176" t="str">
        <f>IF('#BerechnungDBE'!N100=3,J120,'#Frucht'!$D$8)</f>
        <v xml:space="preserve"> --  </v>
      </c>
      <c r="R120" s="527"/>
    </row>
    <row r="121" spans="1:23" s="875" customFormat="1" ht="27" customHeight="1" x14ac:dyDescent="0.2">
      <c r="B121" s="1479" t="str">
        <f>IF(D121="","",'Flächen u. Kulturen'!B106)</f>
        <v/>
      </c>
      <c r="C121" s="1176" t="str">
        <f>IF(D121="","",'Flächen u. Kulturen'!C106)</f>
        <v/>
      </c>
      <c r="D121" s="1176" t="str">
        <f>IF(AND('Flächen u. Kulturen'!D106="",'Flächen u. Kulturen'!D106=0),"",'Flächen u. Kulturen'!D106)</f>
        <v/>
      </c>
      <c r="E121" s="1176" t="str">
        <f>IF('Flächen u. Kulturen'!E106="","",'Flächen u. Kulturen'!E106)</f>
        <v>x</v>
      </c>
      <c r="F121" s="1176" t="str">
        <f>IF('Flächen u. Kulturen'!F106="",'#Boden'!$G$4,'Flächen u. Kulturen'!F106)</f>
        <v xml:space="preserve"> --</v>
      </c>
      <c r="G121" s="1176" t="str">
        <f>IF('Flächen u. Kulturen'!G106="",'#Boden'!$B$26,'Flächen u. Kulturen'!G106)</f>
        <v xml:space="preserve"> --</v>
      </c>
      <c r="H121" s="1176" t="str">
        <f>IF('Flächen u. Kulturen'!H106="",'#Boden'!$B$23,'Flächen u. Kulturen'!H106)</f>
        <v>ja</v>
      </c>
      <c r="I121" s="1176" t="str">
        <f>IF('Flächen u. Kulturen'!I106="",'#Boden'!$B$9,'Flächen u. Kulturen'!I106)</f>
        <v xml:space="preserve"> --         </v>
      </c>
      <c r="J121" s="1176" t="str">
        <f>IF('Flächen u. Kulturen'!P106="",'#Frucht'!$D$8,'Flächen u. Kulturen'!P106)</f>
        <v xml:space="preserve"> --  </v>
      </c>
      <c r="K121" s="1176">
        <f>'#orgDung'!U110</f>
        <v>0</v>
      </c>
      <c r="L121" s="1176" t="str">
        <f>'#orgDung'!S110</f>
        <v/>
      </c>
      <c r="M121" s="1176" t="str">
        <f>'#Zweitfr'!$D$8</f>
        <v xml:space="preserve"> --    </v>
      </c>
      <c r="N121" s="1176" t="str">
        <f>'#Boden'!$G$17</f>
        <v xml:space="preserve"> --     </v>
      </c>
      <c r="O121" s="1176" t="str">
        <f>'#Boden'!$G$22</f>
        <v xml:space="preserve"> --      </v>
      </c>
      <c r="P121" s="1176"/>
      <c r="Q121" s="1176" t="str">
        <f>IF('#BerechnungDBE'!N101=3,J121,'#Frucht'!$D$8)</f>
        <v xml:space="preserve"> --  </v>
      </c>
      <c r="R121" s="527"/>
    </row>
    <row r="122" spans="1:23" s="875" customFormat="1" ht="27" customHeight="1" x14ac:dyDescent="0.2">
      <c r="B122" s="1479" t="str">
        <f>IF(D122="","",'Flächen u. Kulturen'!B107)</f>
        <v/>
      </c>
      <c r="C122" s="1176" t="str">
        <f>IF(D122="","",'Flächen u. Kulturen'!C107)</f>
        <v/>
      </c>
      <c r="D122" s="1176" t="str">
        <f>IF(AND('Flächen u. Kulturen'!D107="",'Flächen u. Kulturen'!D107=0),"",'Flächen u. Kulturen'!D107)</f>
        <v/>
      </c>
      <c r="E122" s="1176" t="str">
        <f>IF('Flächen u. Kulturen'!E107="","",'Flächen u. Kulturen'!E107)</f>
        <v>x</v>
      </c>
      <c r="F122" s="1176" t="str">
        <f>IF('Flächen u. Kulturen'!F107="",'#Boden'!$G$4,'Flächen u. Kulturen'!F107)</f>
        <v xml:space="preserve"> --</v>
      </c>
      <c r="G122" s="1176" t="str">
        <f>IF('Flächen u. Kulturen'!G107="",'#Boden'!$B$26,'Flächen u. Kulturen'!G107)</f>
        <v xml:space="preserve"> --</v>
      </c>
      <c r="H122" s="1176" t="str">
        <f>IF('Flächen u. Kulturen'!H107="",'#Boden'!$B$23,'Flächen u. Kulturen'!H107)</f>
        <v>ja</v>
      </c>
      <c r="I122" s="1176" t="str">
        <f>IF('Flächen u. Kulturen'!I107="",'#Boden'!$B$9,'Flächen u. Kulturen'!I107)</f>
        <v xml:space="preserve"> --         </v>
      </c>
      <c r="J122" s="1176" t="str">
        <f>IF('Flächen u. Kulturen'!P107="",'#Frucht'!$D$8,'Flächen u. Kulturen'!P107)</f>
        <v xml:space="preserve"> --  </v>
      </c>
      <c r="K122" s="1176">
        <f>'#orgDung'!U111</f>
        <v>0</v>
      </c>
      <c r="L122" s="1176" t="str">
        <f>'#orgDung'!S111</f>
        <v/>
      </c>
      <c r="M122" s="1176" t="str">
        <f>'#Zweitfr'!$D$8</f>
        <v xml:space="preserve"> --    </v>
      </c>
      <c r="N122" s="1176" t="str">
        <f>'#Boden'!$G$17</f>
        <v xml:space="preserve"> --     </v>
      </c>
      <c r="O122" s="1176" t="str">
        <f>'#Boden'!$G$22</f>
        <v xml:space="preserve"> --      </v>
      </c>
      <c r="P122" s="1176"/>
      <c r="Q122" s="1176" t="str">
        <f>IF('#BerechnungDBE'!N102=3,J122,'#Frucht'!$D$8)</f>
        <v xml:space="preserve"> --  </v>
      </c>
      <c r="R122" s="527"/>
    </row>
    <row r="123" spans="1:23" s="875" customFormat="1" ht="27" customHeight="1" x14ac:dyDescent="0.2">
      <c r="B123" s="1479" t="str">
        <f>IF(D123="","",'Flächen u. Kulturen'!B108)</f>
        <v/>
      </c>
      <c r="C123" s="1176" t="str">
        <f>IF(D123="","",'Flächen u. Kulturen'!C108)</f>
        <v/>
      </c>
      <c r="D123" s="1176" t="str">
        <f>IF(AND('Flächen u. Kulturen'!D108="",'Flächen u. Kulturen'!D108=0),"",'Flächen u. Kulturen'!D108)</f>
        <v/>
      </c>
      <c r="E123" s="1176" t="str">
        <f>IF('Flächen u. Kulturen'!E108="","",'Flächen u. Kulturen'!E108)</f>
        <v>x</v>
      </c>
      <c r="F123" s="1176" t="str">
        <f>IF('Flächen u. Kulturen'!F108="",'#Boden'!$G$4,'Flächen u. Kulturen'!F108)</f>
        <v xml:space="preserve"> --</v>
      </c>
      <c r="G123" s="1176" t="str">
        <f>IF('Flächen u. Kulturen'!G108="",'#Boden'!$B$26,'Flächen u. Kulturen'!G108)</f>
        <v xml:space="preserve"> --</v>
      </c>
      <c r="H123" s="1176" t="str">
        <f>IF('Flächen u. Kulturen'!H108="",'#Boden'!$B$23,'Flächen u. Kulturen'!H108)</f>
        <v>ja</v>
      </c>
      <c r="I123" s="1176" t="str">
        <f>IF('Flächen u. Kulturen'!I108="",'#Boden'!$B$9,'Flächen u. Kulturen'!I108)</f>
        <v xml:space="preserve"> --         </v>
      </c>
      <c r="J123" s="1176" t="str">
        <f>IF('Flächen u. Kulturen'!P108="",'#Frucht'!$D$8,'Flächen u. Kulturen'!P108)</f>
        <v xml:space="preserve"> --  </v>
      </c>
      <c r="K123" s="1176">
        <f>'#orgDung'!U112</f>
        <v>0</v>
      </c>
      <c r="L123" s="1176" t="str">
        <f>'#orgDung'!S112</f>
        <v/>
      </c>
      <c r="M123" s="1176" t="str">
        <f>'#Zweitfr'!$D$8</f>
        <v xml:space="preserve"> --    </v>
      </c>
      <c r="N123" s="1176" t="str">
        <f>'#Boden'!$G$17</f>
        <v xml:space="preserve"> --     </v>
      </c>
      <c r="O123" s="1176" t="str">
        <f>'#Boden'!$G$22</f>
        <v xml:space="preserve"> --      </v>
      </c>
      <c r="P123" s="1176"/>
      <c r="Q123" s="1176" t="str">
        <f>IF('#BerechnungDBE'!N103=3,J123,'#Frucht'!$D$8)</f>
        <v xml:space="preserve"> --  </v>
      </c>
      <c r="R123" s="527"/>
    </row>
    <row r="124" spans="1:23" s="875" customFormat="1" ht="27" customHeight="1" x14ac:dyDescent="0.2">
      <c r="B124" s="1479" t="str">
        <f>IF(D124="","",'Flächen u. Kulturen'!B109)</f>
        <v/>
      </c>
      <c r="C124" s="1176" t="str">
        <f>IF(D124="","",'Flächen u. Kulturen'!C109)</f>
        <v/>
      </c>
      <c r="D124" s="1176" t="str">
        <f>IF(AND('Flächen u. Kulturen'!D109="",'Flächen u. Kulturen'!D109=0),"",'Flächen u. Kulturen'!D109)</f>
        <v/>
      </c>
      <c r="E124" s="1176" t="str">
        <f>IF('Flächen u. Kulturen'!E109="","",'Flächen u. Kulturen'!E109)</f>
        <v>x</v>
      </c>
      <c r="F124" s="1176" t="str">
        <f>IF('Flächen u. Kulturen'!F109="",'#Boden'!$G$4,'Flächen u. Kulturen'!F109)</f>
        <v xml:space="preserve"> --</v>
      </c>
      <c r="G124" s="1176" t="str">
        <f>IF('Flächen u. Kulturen'!G109="",'#Boden'!$B$26,'Flächen u. Kulturen'!G109)</f>
        <v xml:space="preserve"> --</v>
      </c>
      <c r="H124" s="1176" t="str">
        <f>IF('Flächen u. Kulturen'!H109="",'#Boden'!$B$23,'Flächen u. Kulturen'!H109)</f>
        <v>ja</v>
      </c>
      <c r="I124" s="1176" t="str">
        <f>IF('Flächen u. Kulturen'!I109="",'#Boden'!$B$9,'Flächen u. Kulturen'!I109)</f>
        <v xml:space="preserve"> --         </v>
      </c>
      <c r="J124" s="1176" t="str">
        <f>IF('Flächen u. Kulturen'!P109="",'#Frucht'!$D$8,'Flächen u. Kulturen'!P109)</f>
        <v xml:space="preserve"> --  </v>
      </c>
      <c r="K124" s="1176">
        <f>'#orgDung'!U113</f>
        <v>0</v>
      </c>
      <c r="L124" s="1176" t="str">
        <f>'#orgDung'!S113</f>
        <v/>
      </c>
      <c r="M124" s="1176" t="str">
        <f>'#Zweitfr'!$D$8</f>
        <v xml:space="preserve"> --    </v>
      </c>
      <c r="N124" s="1176" t="str">
        <f>'#Boden'!$G$17</f>
        <v xml:space="preserve"> --     </v>
      </c>
      <c r="O124" s="1176" t="str">
        <f>'#Boden'!$G$22</f>
        <v xml:space="preserve"> --      </v>
      </c>
      <c r="P124" s="1176"/>
      <c r="Q124" s="1176" t="str">
        <f>IF('#BerechnungDBE'!N104=3,J124,'#Frucht'!$D$8)</f>
        <v xml:space="preserve"> --  </v>
      </c>
      <c r="R124" s="527"/>
    </row>
    <row r="125" spans="1:23" x14ac:dyDescent="0.2">
      <c r="A125" s="525"/>
      <c r="B125" s="556"/>
      <c r="C125" s="556"/>
      <c r="D125" s="556"/>
      <c r="E125" s="601"/>
      <c r="F125" s="556"/>
      <c r="G125" s="556"/>
      <c r="H125" s="556"/>
      <c r="I125" s="556"/>
      <c r="J125" s="556"/>
      <c r="K125" s="556"/>
      <c r="L125" s="601"/>
      <c r="M125" s="556"/>
      <c r="N125" s="556"/>
      <c r="O125" s="556"/>
      <c r="P125" s="556"/>
      <c r="Q125" s="556"/>
      <c r="R125" s="504"/>
      <c r="S125" s="504"/>
      <c r="T125" s="504"/>
      <c r="U125" s="504"/>
      <c r="V125" s="556"/>
      <c r="W125" s="556"/>
    </row>
    <row r="126" spans="1:23" x14ac:dyDescent="0.2">
      <c r="A126" s="525"/>
      <c r="B126" s="525"/>
      <c r="C126" s="525"/>
      <c r="D126" s="525"/>
      <c r="F126" s="525"/>
      <c r="G126" s="525"/>
      <c r="H126" s="525"/>
      <c r="I126" s="525"/>
      <c r="J126" s="525"/>
      <c r="K126" s="525"/>
      <c r="M126" s="525"/>
      <c r="N126" s="525"/>
      <c r="O126" s="525"/>
      <c r="P126" s="525"/>
      <c r="Q126" s="525"/>
      <c r="V126" s="525"/>
    </row>
    <row r="127" spans="1:23" x14ac:dyDescent="0.2">
      <c r="A127" s="137"/>
      <c r="B127" s="137"/>
      <c r="C127" s="137"/>
      <c r="D127" s="137"/>
      <c r="F127" s="137"/>
      <c r="G127" s="137"/>
      <c r="H127" s="137"/>
      <c r="I127" s="137"/>
      <c r="J127" s="137"/>
      <c r="V127" s="137"/>
    </row>
    <row r="128" spans="1:23" x14ac:dyDescent="0.2">
      <c r="A128" s="137"/>
      <c r="B128" s="137"/>
      <c r="C128" s="137"/>
      <c r="D128" s="137"/>
      <c r="F128" s="137"/>
      <c r="G128" s="137"/>
      <c r="H128" s="137"/>
      <c r="I128" s="137"/>
      <c r="J128" s="137"/>
      <c r="V128" s="137"/>
    </row>
    <row r="129" spans="1:22" x14ac:dyDescent="0.2">
      <c r="A129" s="137"/>
      <c r="B129" s="137"/>
      <c r="C129" s="137"/>
      <c r="D129" s="137"/>
      <c r="F129" s="137"/>
      <c r="G129" s="137"/>
      <c r="H129" s="137"/>
      <c r="I129" s="137"/>
      <c r="J129" s="137"/>
      <c r="V129" s="137"/>
    </row>
    <row r="130" spans="1:22" x14ac:dyDescent="0.2">
      <c r="A130" s="137"/>
      <c r="B130" s="137"/>
      <c r="C130" s="137"/>
      <c r="D130" s="137"/>
      <c r="F130" s="137"/>
      <c r="G130" s="137"/>
      <c r="H130" s="137"/>
      <c r="I130" s="137"/>
      <c r="J130" s="137"/>
      <c r="V130" s="137"/>
    </row>
    <row r="131" spans="1:22" x14ac:dyDescent="0.2">
      <c r="A131" s="137"/>
      <c r="B131" s="137"/>
      <c r="C131" s="137"/>
      <c r="D131" s="137"/>
      <c r="F131" s="137"/>
      <c r="G131" s="137"/>
      <c r="H131" s="137"/>
      <c r="I131" s="137"/>
      <c r="J131" s="137"/>
      <c r="V131" s="137"/>
    </row>
    <row r="132" spans="1:22" x14ac:dyDescent="0.2">
      <c r="A132" s="137"/>
      <c r="B132" s="137"/>
      <c r="C132" s="137"/>
      <c r="D132" s="137"/>
      <c r="F132" s="137"/>
      <c r="G132" s="137"/>
      <c r="H132" s="137"/>
      <c r="I132" s="137"/>
      <c r="J132" s="137"/>
      <c r="V132" s="137"/>
    </row>
    <row r="133" spans="1:22" x14ac:dyDescent="0.2">
      <c r="A133" s="137"/>
      <c r="B133" s="137"/>
      <c r="C133" s="137"/>
      <c r="D133" s="137"/>
      <c r="F133" s="137"/>
      <c r="G133" s="137"/>
      <c r="H133" s="137"/>
      <c r="I133" s="137"/>
      <c r="J133" s="137"/>
      <c r="V133" s="137"/>
    </row>
    <row r="134" spans="1:22" x14ac:dyDescent="0.2">
      <c r="A134" s="137"/>
      <c r="B134" s="137"/>
      <c r="C134" s="137"/>
      <c r="D134" s="137"/>
      <c r="F134" s="137"/>
      <c r="G134" s="137"/>
      <c r="H134" s="137"/>
      <c r="I134" s="137"/>
      <c r="J134" s="137"/>
      <c r="V134" s="137"/>
    </row>
    <row r="135" spans="1:22" x14ac:dyDescent="0.2">
      <c r="A135" s="137"/>
      <c r="B135" s="137"/>
      <c r="C135" s="137"/>
      <c r="D135" s="137"/>
      <c r="F135" s="137"/>
      <c r="G135" s="137"/>
      <c r="H135" s="137"/>
      <c r="I135" s="137"/>
      <c r="J135" s="137"/>
      <c r="V135" s="137"/>
    </row>
    <row r="136" spans="1:22" x14ac:dyDescent="0.2">
      <c r="A136" s="137"/>
      <c r="B136" s="137"/>
      <c r="C136" s="137"/>
      <c r="D136" s="137"/>
      <c r="F136" s="137"/>
      <c r="G136" s="137"/>
      <c r="H136" s="137"/>
      <c r="I136" s="137"/>
      <c r="J136" s="137"/>
      <c r="V136" s="137"/>
    </row>
    <row r="137" spans="1:22" x14ac:dyDescent="0.2">
      <c r="A137" s="137"/>
      <c r="B137" s="137"/>
      <c r="C137" s="137"/>
      <c r="D137" s="137"/>
      <c r="F137" s="137"/>
      <c r="G137" s="137"/>
      <c r="H137" s="137"/>
      <c r="I137" s="137"/>
      <c r="J137" s="137"/>
      <c r="V137" s="137"/>
    </row>
    <row r="138" spans="1:22" x14ac:dyDescent="0.2">
      <c r="A138" s="137"/>
      <c r="B138" s="137"/>
      <c r="C138" s="137"/>
      <c r="D138" s="137"/>
      <c r="F138" s="137"/>
      <c r="G138" s="137"/>
      <c r="H138" s="137"/>
      <c r="I138" s="137"/>
      <c r="J138" s="137"/>
      <c r="V138" s="137"/>
    </row>
    <row r="139" spans="1:22" x14ac:dyDescent="0.2">
      <c r="A139" s="137"/>
      <c r="B139" s="137"/>
      <c r="C139" s="137"/>
      <c r="D139" s="137"/>
      <c r="F139" s="137"/>
      <c r="G139" s="137"/>
      <c r="H139" s="137"/>
      <c r="I139" s="137"/>
      <c r="J139" s="137"/>
      <c r="V139" s="137"/>
    </row>
    <row r="140" spans="1:22" x14ac:dyDescent="0.2">
      <c r="A140" s="137"/>
      <c r="B140" s="137"/>
      <c r="C140" s="137"/>
      <c r="D140" s="137"/>
      <c r="F140" s="137"/>
      <c r="G140" s="137"/>
      <c r="H140" s="137"/>
      <c r="I140" s="137"/>
      <c r="J140" s="137"/>
      <c r="V140" s="137"/>
    </row>
    <row r="141" spans="1:22" x14ac:dyDescent="0.2">
      <c r="A141" s="137"/>
      <c r="B141" s="137"/>
      <c r="C141" s="137"/>
      <c r="D141" s="137"/>
      <c r="F141" s="137"/>
      <c r="G141" s="137"/>
      <c r="H141" s="137"/>
      <c r="I141" s="137"/>
      <c r="J141" s="137"/>
      <c r="V141" s="137"/>
    </row>
    <row r="142" spans="1:22" x14ac:dyDescent="0.2">
      <c r="A142" s="137"/>
      <c r="B142" s="137"/>
      <c r="C142" s="137"/>
      <c r="D142" s="137"/>
      <c r="F142" s="137"/>
      <c r="G142" s="137"/>
      <c r="H142" s="137"/>
      <c r="I142" s="137"/>
      <c r="J142" s="137"/>
      <c r="V142" s="137"/>
    </row>
    <row r="143" spans="1:22" x14ac:dyDescent="0.2">
      <c r="A143" s="137"/>
      <c r="B143" s="137"/>
      <c r="C143" s="137"/>
      <c r="D143" s="137"/>
      <c r="F143" s="137"/>
      <c r="G143" s="137"/>
      <c r="H143" s="137"/>
      <c r="I143" s="137"/>
      <c r="J143" s="137"/>
      <c r="V143" s="137"/>
    </row>
    <row r="144" spans="1:22" x14ac:dyDescent="0.2">
      <c r="A144" s="137"/>
      <c r="B144" s="137"/>
      <c r="C144" s="137"/>
      <c r="D144" s="137"/>
      <c r="F144" s="137"/>
      <c r="G144" s="137"/>
      <c r="H144" s="137"/>
      <c r="I144" s="137"/>
      <c r="J144" s="137"/>
      <c r="V144" s="137"/>
    </row>
    <row r="145" spans="1:22" x14ac:dyDescent="0.2">
      <c r="A145" s="137"/>
      <c r="B145" s="137"/>
      <c r="C145" s="137"/>
      <c r="D145" s="137"/>
      <c r="F145" s="137"/>
      <c r="G145" s="137"/>
      <c r="H145" s="137"/>
      <c r="I145" s="137"/>
      <c r="J145" s="137"/>
      <c r="V145" s="137"/>
    </row>
    <row r="146" spans="1:22" x14ac:dyDescent="0.2">
      <c r="A146" s="137"/>
      <c r="B146" s="137"/>
      <c r="C146" s="137"/>
      <c r="D146" s="137"/>
      <c r="F146" s="137"/>
      <c r="G146" s="137"/>
      <c r="H146" s="137"/>
      <c r="I146" s="137"/>
      <c r="J146" s="137"/>
      <c r="V146" s="137"/>
    </row>
    <row r="147" spans="1:22" x14ac:dyDescent="0.2">
      <c r="A147" s="137"/>
      <c r="B147" s="137"/>
      <c r="C147" s="137"/>
      <c r="D147" s="137"/>
      <c r="F147" s="137"/>
      <c r="G147" s="137"/>
      <c r="H147" s="137"/>
      <c r="I147" s="137"/>
      <c r="J147" s="137"/>
      <c r="V147" s="137"/>
    </row>
    <row r="148" spans="1:22" x14ac:dyDescent="0.2">
      <c r="A148" s="137"/>
      <c r="B148" s="137"/>
      <c r="C148" s="137"/>
      <c r="D148" s="137"/>
      <c r="F148" s="137"/>
      <c r="G148" s="137"/>
      <c r="H148" s="137"/>
      <c r="I148" s="137"/>
      <c r="J148" s="137"/>
      <c r="V148" s="137"/>
    </row>
    <row r="149" spans="1:22" x14ac:dyDescent="0.2">
      <c r="A149" s="137"/>
      <c r="B149" s="137"/>
      <c r="C149" s="137"/>
      <c r="D149" s="137"/>
      <c r="F149" s="137"/>
      <c r="G149" s="137"/>
      <c r="H149" s="137"/>
      <c r="I149" s="137"/>
      <c r="J149" s="137"/>
      <c r="V149" s="137"/>
    </row>
    <row r="150" spans="1:22" x14ac:dyDescent="0.2">
      <c r="A150" s="137"/>
      <c r="B150" s="137"/>
      <c r="C150" s="137"/>
      <c r="D150" s="137"/>
      <c r="F150" s="137"/>
      <c r="G150" s="137"/>
      <c r="H150" s="137"/>
      <c r="I150" s="137"/>
      <c r="J150" s="137"/>
      <c r="V150" s="137"/>
    </row>
    <row r="151" spans="1:22" x14ac:dyDescent="0.2">
      <c r="A151" s="137"/>
      <c r="B151" s="137"/>
      <c r="C151" s="137"/>
      <c r="D151" s="137"/>
      <c r="F151" s="137"/>
      <c r="G151" s="137"/>
      <c r="H151" s="137"/>
      <c r="I151" s="137"/>
      <c r="J151" s="137"/>
      <c r="V151" s="137"/>
    </row>
    <row r="152" spans="1:22" x14ac:dyDescent="0.2">
      <c r="A152" s="137"/>
      <c r="B152" s="137"/>
      <c r="C152" s="137"/>
      <c r="D152" s="137"/>
      <c r="F152" s="137"/>
      <c r="G152" s="137"/>
      <c r="H152" s="137"/>
      <c r="I152" s="137"/>
      <c r="J152" s="137"/>
      <c r="V152" s="137"/>
    </row>
    <row r="153" spans="1:22" x14ac:dyDescent="0.2">
      <c r="A153" s="137"/>
      <c r="B153" s="137"/>
      <c r="C153" s="137"/>
      <c r="D153" s="137"/>
      <c r="F153" s="137"/>
      <c r="G153" s="137"/>
      <c r="H153" s="137"/>
      <c r="I153" s="137"/>
      <c r="J153" s="137"/>
      <c r="V153" s="137"/>
    </row>
    <row r="154" spans="1:22" x14ac:dyDescent="0.2">
      <c r="A154" s="137"/>
      <c r="B154" s="137"/>
      <c r="C154" s="137"/>
      <c r="D154" s="137"/>
      <c r="F154" s="137"/>
      <c r="G154" s="137"/>
      <c r="H154" s="137"/>
      <c r="I154" s="137"/>
      <c r="J154" s="137"/>
      <c r="V154" s="137"/>
    </row>
    <row r="155" spans="1:22" x14ac:dyDescent="0.2">
      <c r="A155" s="137"/>
      <c r="B155" s="137"/>
      <c r="C155" s="137"/>
      <c r="D155" s="137"/>
      <c r="F155" s="137"/>
      <c r="G155" s="137"/>
      <c r="H155" s="137"/>
      <c r="I155" s="137"/>
      <c r="J155" s="137"/>
      <c r="V155" s="137"/>
    </row>
    <row r="156" spans="1:22" x14ac:dyDescent="0.2">
      <c r="A156" s="137"/>
      <c r="B156" s="137"/>
      <c r="C156" s="137"/>
      <c r="D156" s="137"/>
      <c r="F156" s="137"/>
      <c r="G156" s="137"/>
      <c r="H156" s="137"/>
      <c r="I156" s="137"/>
      <c r="J156" s="137"/>
      <c r="V156" s="137"/>
    </row>
    <row r="157" spans="1:22" x14ac:dyDescent="0.2">
      <c r="A157" s="137"/>
      <c r="B157" s="137"/>
      <c r="C157" s="137"/>
      <c r="D157" s="137"/>
      <c r="F157" s="137"/>
      <c r="G157" s="137"/>
      <c r="H157" s="137"/>
      <c r="I157" s="137"/>
      <c r="J157" s="137"/>
      <c r="V157" s="137"/>
    </row>
    <row r="158" spans="1:22" x14ac:dyDescent="0.2">
      <c r="A158" s="137"/>
      <c r="B158" s="137"/>
      <c r="C158" s="137"/>
      <c r="D158" s="137"/>
      <c r="F158" s="137"/>
      <c r="G158" s="137"/>
      <c r="H158" s="137"/>
      <c r="I158" s="137"/>
      <c r="J158" s="137"/>
      <c r="V158" s="137"/>
    </row>
    <row r="159" spans="1:22" x14ac:dyDescent="0.2">
      <c r="A159" s="137"/>
      <c r="B159" s="137"/>
      <c r="C159" s="137"/>
      <c r="D159" s="137"/>
      <c r="F159" s="137"/>
      <c r="G159" s="137"/>
      <c r="H159" s="137"/>
      <c r="I159" s="137"/>
      <c r="J159" s="137"/>
      <c r="V159" s="137"/>
    </row>
    <row r="160" spans="1:22" x14ac:dyDescent="0.2">
      <c r="A160" s="137"/>
      <c r="B160" s="137"/>
      <c r="C160" s="137"/>
      <c r="D160" s="137"/>
      <c r="F160" s="137"/>
      <c r="G160" s="137"/>
      <c r="H160" s="137"/>
      <c r="I160" s="137"/>
      <c r="J160" s="137"/>
      <c r="V160" s="137"/>
    </row>
    <row r="161" spans="1:22" x14ac:dyDescent="0.2">
      <c r="A161" s="137"/>
      <c r="B161" s="137"/>
      <c r="C161" s="137"/>
      <c r="D161" s="137"/>
      <c r="F161" s="137"/>
      <c r="G161" s="137"/>
      <c r="H161" s="137"/>
      <c r="I161" s="137"/>
      <c r="J161" s="137"/>
      <c r="V161" s="137"/>
    </row>
    <row r="162" spans="1:22" x14ac:dyDescent="0.2">
      <c r="A162" s="137"/>
      <c r="B162" s="137"/>
      <c r="C162" s="137"/>
      <c r="D162" s="137"/>
      <c r="F162" s="137"/>
      <c r="G162" s="137"/>
      <c r="H162" s="137"/>
      <c r="I162" s="137"/>
      <c r="J162" s="137"/>
      <c r="V162" s="137"/>
    </row>
    <row r="163" spans="1:22" x14ac:dyDescent="0.2">
      <c r="A163" s="137"/>
      <c r="B163" s="137"/>
      <c r="C163" s="137"/>
      <c r="D163" s="137"/>
      <c r="F163" s="137"/>
      <c r="G163" s="137"/>
      <c r="H163" s="137"/>
      <c r="I163" s="137"/>
      <c r="J163" s="137"/>
      <c r="V163" s="137"/>
    </row>
    <row r="164" spans="1:22" x14ac:dyDescent="0.2">
      <c r="A164" s="137"/>
      <c r="B164" s="137"/>
      <c r="C164" s="137"/>
      <c r="D164" s="137"/>
      <c r="F164" s="137"/>
      <c r="G164" s="137"/>
      <c r="H164" s="137"/>
      <c r="I164" s="137"/>
      <c r="J164" s="137"/>
      <c r="V164" s="137"/>
    </row>
    <row r="165" spans="1:22" x14ac:dyDescent="0.2">
      <c r="A165" s="137"/>
      <c r="B165" s="137"/>
      <c r="C165" s="137"/>
      <c r="D165" s="137"/>
      <c r="F165" s="137"/>
      <c r="G165" s="137"/>
      <c r="H165" s="137"/>
      <c r="I165" s="137"/>
      <c r="J165" s="137"/>
      <c r="V165" s="137"/>
    </row>
    <row r="166" spans="1:22" x14ac:dyDescent="0.2">
      <c r="A166" s="137"/>
      <c r="B166" s="137"/>
      <c r="C166" s="137"/>
      <c r="D166" s="137"/>
      <c r="F166" s="137"/>
      <c r="G166" s="137"/>
      <c r="H166" s="137"/>
      <c r="I166" s="137"/>
      <c r="J166" s="137"/>
      <c r="V166" s="137"/>
    </row>
    <row r="167" spans="1:22" x14ac:dyDescent="0.2">
      <c r="A167" s="137"/>
      <c r="B167" s="137"/>
      <c r="C167" s="137"/>
      <c r="D167" s="137"/>
      <c r="F167" s="137"/>
      <c r="G167" s="137"/>
      <c r="H167" s="137"/>
      <c r="I167" s="137"/>
      <c r="J167" s="137"/>
      <c r="V167" s="137"/>
    </row>
    <row r="168" spans="1:22" x14ac:dyDescent="0.2">
      <c r="A168" s="137"/>
      <c r="B168" s="137"/>
      <c r="C168" s="137"/>
      <c r="D168" s="137"/>
      <c r="F168" s="137"/>
      <c r="G168" s="137"/>
      <c r="H168" s="137"/>
      <c r="I168" s="137"/>
      <c r="J168" s="137"/>
      <c r="V168" s="137"/>
    </row>
    <row r="169" spans="1:22" x14ac:dyDescent="0.2">
      <c r="A169" s="137"/>
      <c r="B169" s="137"/>
      <c r="C169" s="137"/>
      <c r="D169" s="137"/>
      <c r="F169" s="137"/>
      <c r="G169" s="137"/>
      <c r="H169" s="137"/>
      <c r="I169" s="137"/>
      <c r="J169" s="137"/>
      <c r="V169" s="137"/>
    </row>
    <row r="170" spans="1:22" x14ac:dyDescent="0.2">
      <c r="A170" s="137"/>
      <c r="B170" s="137"/>
      <c r="C170" s="137"/>
      <c r="D170" s="137"/>
      <c r="F170" s="137"/>
      <c r="G170" s="137"/>
      <c r="H170" s="137"/>
      <c r="I170" s="137"/>
      <c r="J170" s="137"/>
      <c r="V170" s="137"/>
    </row>
    <row r="171" spans="1:22" x14ac:dyDescent="0.2">
      <c r="A171" s="137"/>
      <c r="B171" s="137"/>
      <c r="C171" s="137"/>
      <c r="D171" s="137"/>
      <c r="F171" s="137"/>
      <c r="G171" s="137"/>
      <c r="H171" s="137"/>
      <c r="I171" s="137"/>
      <c r="J171" s="137"/>
      <c r="V171" s="137"/>
    </row>
    <row r="172" spans="1:22" x14ac:dyDescent="0.2">
      <c r="A172" s="137"/>
      <c r="B172" s="137"/>
      <c r="C172" s="137"/>
      <c r="D172" s="137"/>
      <c r="F172" s="137"/>
      <c r="G172" s="137"/>
      <c r="H172" s="137"/>
      <c r="I172" s="137"/>
      <c r="J172" s="137"/>
      <c r="V172" s="137"/>
    </row>
    <row r="173" spans="1:22" x14ac:dyDescent="0.2">
      <c r="A173" s="137"/>
      <c r="B173" s="137"/>
      <c r="C173" s="137"/>
      <c r="D173" s="137"/>
      <c r="F173" s="137"/>
      <c r="G173" s="137"/>
      <c r="H173" s="137"/>
      <c r="I173" s="137"/>
      <c r="J173" s="137"/>
      <c r="V173" s="137"/>
    </row>
    <row r="174" spans="1:22" x14ac:dyDescent="0.2">
      <c r="A174" s="137"/>
      <c r="B174" s="137"/>
      <c r="C174" s="137"/>
      <c r="D174" s="137"/>
      <c r="F174" s="137"/>
      <c r="G174" s="137"/>
      <c r="H174" s="137"/>
      <c r="I174" s="137"/>
      <c r="J174" s="137"/>
      <c r="V174" s="137"/>
    </row>
    <row r="175" spans="1:22" x14ac:dyDescent="0.2">
      <c r="A175" s="137"/>
      <c r="B175" s="137"/>
      <c r="C175" s="137"/>
      <c r="D175" s="137"/>
      <c r="F175" s="137"/>
      <c r="G175" s="137"/>
      <c r="H175" s="137"/>
      <c r="I175" s="137"/>
      <c r="J175" s="137"/>
      <c r="V175" s="137"/>
    </row>
    <row r="176" spans="1:22" x14ac:dyDescent="0.2">
      <c r="A176" s="137"/>
      <c r="B176" s="137"/>
      <c r="C176" s="137"/>
      <c r="D176" s="137"/>
      <c r="F176" s="137"/>
      <c r="G176" s="137"/>
      <c r="H176" s="137"/>
      <c r="I176" s="137"/>
      <c r="J176" s="137"/>
      <c r="V176" s="137"/>
    </row>
    <row r="177" spans="1:22" x14ac:dyDescent="0.2">
      <c r="A177" s="137"/>
      <c r="B177" s="137"/>
      <c r="C177" s="137"/>
      <c r="D177" s="137"/>
      <c r="F177" s="137"/>
      <c r="G177" s="137"/>
      <c r="H177" s="137"/>
      <c r="I177" s="137"/>
      <c r="J177" s="137"/>
      <c r="V177" s="137"/>
    </row>
    <row r="178" spans="1:22" x14ac:dyDescent="0.2">
      <c r="A178" s="137"/>
      <c r="B178" s="137"/>
      <c r="C178" s="137"/>
      <c r="D178" s="137"/>
      <c r="F178" s="137"/>
      <c r="G178" s="137"/>
      <c r="H178" s="137"/>
      <c r="I178" s="137"/>
      <c r="J178" s="137"/>
      <c r="V178" s="137"/>
    </row>
    <row r="179" spans="1:22" x14ac:dyDescent="0.2">
      <c r="A179" s="137"/>
      <c r="B179" s="137"/>
      <c r="C179" s="137"/>
      <c r="D179" s="137"/>
      <c r="F179" s="137"/>
      <c r="G179" s="137"/>
      <c r="H179" s="137"/>
      <c r="I179" s="137"/>
      <c r="J179" s="137"/>
      <c r="V179" s="137"/>
    </row>
    <row r="180" spans="1:22" x14ac:dyDescent="0.2">
      <c r="A180" s="137"/>
      <c r="B180" s="137"/>
      <c r="C180" s="137"/>
      <c r="D180" s="137"/>
      <c r="F180" s="137"/>
      <c r="G180" s="137"/>
      <c r="H180" s="137"/>
      <c r="I180" s="137"/>
      <c r="J180" s="137"/>
      <c r="V180" s="137"/>
    </row>
    <row r="181" spans="1:22" x14ac:dyDescent="0.2">
      <c r="A181" s="137"/>
      <c r="B181" s="137"/>
      <c r="C181" s="137"/>
      <c r="D181" s="137"/>
      <c r="F181" s="137"/>
      <c r="G181" s="137"/>
      <c r="H181" s="137"/>
      <c r="I181" s="137"/>
      <c r="J181" s="137"/>
      <c r="V181" s="137"/>
    </row>
    <row r="182" spans="1:22" x14ac:dyDescent="0.2">
      <c r="A182" s="137"/>
      <c r="B182" s="137"/>
      <c r="C182" s="137"/>
      <c r="D182" s="137"/>
      <c r="F182" s="137"/>
      <c r="G182" s="137"/>
      <c r="H182" s="137"/>
      <c r="I182" s="137"/>
      <c r="J182" s="137"/>
      <c r="V182" s="137"/>
    </row>
    <row r="183" spans="1:22" x14ac:dyDescent="0.2">
      <c r="A183" s="137"/>
      <c r="B183" s="137"/>
      <c r="C183" s="137"/>
      <c r="D183" s="137"/>
      <c r="F183" s="137"/>
      <c r="G183" s="137"/>
      <c r="H183" s="137"/>
      <c r="I183" s="137"/>
      <c r="J183" s="137"/>
      <c r="V183" s="137"/>
    </row>
    <row r="184" spans="1:22" x14ac:dyDescent="0.2">
      <c r="A184" s="137"/>
      <c r="B184" s="137"/>
      <c r="C184" s="137"/>
      <c r="D184" s="137"/>
      <c r="F184" s="137"/>
      <c r="G184" s="137"/>
      <c r="H184" s="137"/>
      <c r="I184" s="137"/>
      <c r="J184" s="137"/>
      <c r="V184" s="137"/>
    </row>
    <row r="185" spans="1:22" x14ac:dyDescent="0.2">
      <c r="A185" s="137"/>
      <c r="B185" s="137"/>
      <c r="C185" s="137"/>
      <c r="D185" s="137"/>
      <c r="F185" s="137"/>
      <c r="G185" s="137"/>
      <c r="H185" s="137"/>
      <c r="I185" s="137"/>
      <c r="J185" s="137"/>
      <c r="V185" s="137"/>
    </row>
    <row r="186" spans="1:22" x14ac:dyDescent="0.2">
      <c r="A186" s="137"/>
      <c r="B186" s="137"/>
      <c r="C186" s="137"/>
      <c r="D186" s="137"/>
      <c r="F186" s="137"/>
      <c r="G186" s="137"/>
      <c r="H186" s="137"/>
      <c r="I186" s="137"/>
      <c r="J186" s="137"/>
      <c r="V186" s="137"/>
    </row>
    <row r="187" spans="1:22" x14ac:dyDescent="0.2">
      <c r="A187" s="137"/>
      <c r="B187" s="137"/>
      <c r="C187" s="137"/>
      <c r="D187" s="137"/>
      <c r="F187" s="137"/>
      <c r="G187" s="137"/>
      <c r="H187" s="137"/>
      <c r="I187" s="137"/>
      <c r="J187" s="137"/>
      <c r="V187" s="137"/>
    </row>
    <row r="188" spans="1:22" x14ac:dyDescent="0.2">
      <c r="A188" s="137"/>
      <c r="B188" s="137"/>
      <c r="C188" s="137"/>
      <c r="D188" s="137"/>
      <c r="F188" s="137"/>
      <c r="G188" s="137"/>
      <c r="H188" s="137"/>
      <c r="I188" s="137"/>
      <c r="J188" s="137"/>
      <c r="V188" s="137"/>
    </row>
    <row r="189" spans="1:22" x14ac:dyDescent="0.2">
      <c r="A189" s="137"/>
      <c r="B189" s="137"/>
      <c r="C189" s="137"/>
      <c r="D189" s="137"/>
      <c r="F189" s="137"/>
      <c r="G189" s="137"/>
      <c r="H189" s="137"/>
      <c r="I189" s="137"/>
      <c r="J189" s="137"/>
      <c r="V189" s="137"/>
    </row>
    <row r="190" spans="1:22" x14ac:dyDescent="0.2">
      <c r="A190" s="137"/>
      <c r="B190" s="137"/>
      <c r="C190" s="137"/>
      <c r="D190" s="137"/>
      <c r="F190" s="137"/>
      <c r="G190" s="137"/>
      <c r="H190" s="137"/>
      <c r="I190" s="137"/>
      <c r="J190" s="137"/>
      <c r="V190" s="137"/>
    </row>
    <row r="191" spans="1:22" x14ac:dyDescent="0.2">
      <c r="A191" s="137"/>
      <c r="B191" s="137"/>
      <c r="C191" s="137"/>
      <c r="D191" s="137"/>
      <c r="F191" s="137"/>
      <c r="G191" s="137"/>
      <c r="H191" s="137"/>
      <c r="I191" s="137"/>
      <c r="J191" s="137"/>
      <c r="V191" s="137"/>
    </row>
    <row r="192" spans="1:22" x14ac:dyDescent="0.2">
      <c r="A192" s="137"/>
      <c r="B192" s="137"/>
      <c r="C192" s="137"/>
      <c r="D192" s="137"/>
      <c r="F192" s="137"/>
      <c r="G192" s="137"/>
      <c r="H192" s="137"/>
      <c r="I192" s="137"/>
      <c r="J192" s="137"/>
      <c r="V192" s="137"/>
    </row>
    <row r="193" spans="1:22" x14ac:dyDescent="0.2">
      <c r="A193" s="137"/>
      <c r="B193" s="137"/>
      <c r="C193" s="137"/>
      <c r="D193" s="137"/>
      <c r="F193" s="137"/>
      <c r="G193" s="137"/>
      <c r="H193" s="137"/>
      <c r="I193" s="137"/>
      <c r="J193" s="137"/>
      <c r="V193" s="137"/>
    </row>
    <row r="194" spans="1:22" x14ac:dyDescent="0.2">
      <c r="A194" s="137"/>
      <c r="B194" s="137"/>
      <c r="C194" s="137"/>
      <c r="D194" s="137"/>
      <c r="F194" s="137"/>
      <c r="G194" s="137"/>
      <c r="H194" s="137"/>
      <c r="I194" s="137"/>
      <c r="J194" s="137"/>
      <c r="V194" s="137"/>
    </row>
    <row r="195" spans="1:22" x14ac:dyDescent="0.2">
      <c r="A195" s="137"/>
      <c r="B195" s="137"/>
      <c r="C195" s="137"/>
      <c r="D195" s="137"/>
      <c r="F195" s="137"/>
      <c r="G195" s="137"/>
      <c r="H195" s="137"/>
      <c r="I195" s="137"/>
      <c r="J195" s="137"/>
      <c r="V195" s="137"/>
    </row>
    <row r="196" spans="1:22" x14ac:dyDescent="0.2">
      <c r="A196" s="137"/>
      <c r="B196" s="137"/>
      <c r="C196" s="137"/>
      <c r="D196" s="137"/>
      <c r="F196" s="137"/>
      <c r="G196" s="137"/>
      <c r="H196" s="137"/>
      <c r="I196" s="137"/>
      <c r="J196" s="137"/>
      <c r="V196" s="137"/>
    </row>
    <row r="197" spans="1:22" x14ac:dyDescent="0.2">
      <c r="A197" s="137"/>
      <c r="B197" s="137"/>
      <c r="C197" s="137"/>
      <c r="D197" s="137"/>
      <c r="F197" s="137"/>
      <c r="G197" s="137"/>
      <c r="H197" s="137"/>
      <c r="I197" s="137"/>
      <c r="J197" s="137"/>
      <c r="V197" s="137"/>
    </row>
    <row r="198" spans="1:22" x14ac:dyDescent="0.2">
      <c r="A198" s="137"/>
      <c r="B198" s="137"/>
      <c r="C198" s="137"/>
      <c r="D198" s="137"/>
      <c r="F198" s="137"/>
      <c r="G198" s="137"/>
      <c r="H198" s="137"/>
      <c r="I198" s="137"/>
      <c r="J198" s="137"/>
      <c r="V198" s="137"/>
    </row>
    <row r="199" spans="1:22" x14ac:dyDescent="0.2">
      <c r="A199" s="137"/>
      <c r="B199" s="137"/>
      <c r="C199" s="137"/>
      <c r="D199" s="137"/>
      <c r="F199" s="137"/>
      <c r="G199" s="137"/>
      <c r="H199" s="137"/>
      <c r="I199" s="137"/>
      <c r="J199" s="137"/>
      <c r="V199" s="137"/>
    </row>
    <row r="200" spans="1:22" x14ac:dyDescent="0.2">
      <c r="A200" s="137"/>
      <c r="B200" s="137"/>
      <c r="C200" s="137"/>
      <c r="D200" s="137"/>
      <c r="F200" s="137"/>
      <c r="G200" s="137"/>
      <c r="H200" s="137"/>
      <c r="I200" s="137"/>
      <c r="J200" s="137"/>
      <c r="V200" s="137"/>
    </row>
    <row r="201" spans="1:22" x14ac:dyDescent="0.2">
      <c r="A201" s="137"/>
      <c r="B201" s="137"/>
      <c r="C201" s="137"/>
      <c r="D201" s="137"/>
      <c r="F201" s="137"/>
      <c r="G201" s="137"/>
      <c r="H201" s="137"/>
      <c r="I201" s="137"/>
      <c r="J201" s="137"/>
      <c r="V201" s="137"/>
    </row>
    <row r="202" spans="1:22" x14ac:dyDescent="0.2">
      <c r="A202" s="137"/>
      <c r="B202" s="137"/>
      <c r="C202" s="137"/>
      <c r="D202" s="137"/>
      <c r="F202" s="137"/>
      <c r="G202" s="137"/>
      <c r="H202" s="137"/>
      <c r="I202" s="137"/>
      <c r="J202" s="137"/>
      <c r="V202" s="137"/>
    </row>
    <row r="203" spans="1:22" x14ac:dyDescent="0.2">
      <c r="A203" s="137"/>
      <c r="B203" s="137"/>
      <c r="C203" s="137"/>
      <c r="D203" s="137"/>
      <c r="F203" s="137"/>
      <c r="G203" s="137"/>
      <c r="H203" s="137"/>
      <c r="I203" s="137"/>
      <c r="J203" s="137"/>
      <c r="V203" s="137"/>
    </row>
    <row r="204" spans="1:22" x14ac:dyDescent="0.2">
      <c r="A204" s="137"/>
      <c r="B204" s="137"/>
      <c r="C204" s="137"/>
      <c r="D204" s="137"/>
      <c r="F204" s="137"/>
      <c r="G204" s="137"/>
      <c r="H204" s="137"/>
      <c r="I204" s="137"/>
      <c r="J204" s="137"/>
      <c r="V204" s="137"/>
    </row>
    <row r="205" spans="1:22" x14ac:dyDescent="0.2">
      <c r="A205" s="137"/>
      <c r="B205" s="137"/>
      <c r="C205" s="137"/>
      <c r="D205" s="137"/>
      <c r="F205" s="137"/>
      <c r="G205" s="137"/>
      <c r="H205" s="137"/>
      <c r="I205" s="137"/>
      <c r="J205" s="137"/>
      <c r="V205" s="137"/>
    </row>
    <row r="206" spans="1:22" x14ac:dyDescent="0.2">
      <c r="A206" s="137"/>
      <c r="B206" s="137"/>
      <c r="C206" s="137"/>
      <c r="D206" s="137"/>
      <c r="F206" s="137"/>
      <c r="G206" s="137"/>
      <c r="H206" s="137"/>
      <c r="I206" s="137"/>
      <c r="J206" s="137"/>
      <c r="V206" s="137"/>
    </row>
    <row r="207" spans="1:22" x14ac:dyDescent="0.2">
      <c r="A207" s="137"/>
      <c r="B207" s="137"/>
      <c r="C207" s="137"/>
      <c r="D207" s="137"/>
      <c r="F207" s="137"/>
      <c r="G207" s="137"/>
      <c r="H207" s="137"/>
      <c r="I207" s="137"/>
      <c r="J207" s="137"/>
      <c r="V207" s="137"/>
    </row>
    <row r="208" spans="1:22" x14ac:dyDescent="0.2">
      <c r="A208" s="137"/>
      <c r="B208" s="137"/>
      <c r="C208" s="137"/>
      <c r="D208" s="137"/>
      <c r="F208" s="137"/>
      <c r="G208" s="137"/>
      <c r="H208" s="137"/>
      <c r="I208" s="137"/>
      <c r="J208" s="137"/>
      <c r="V208" s="137"/>
    </row>
    <row r="209" spans="1:22" x14ac:dyDescent="0.2">
      <c r="A209" s="137"/>
      <c r="B209" s="137"/>
      <c r="C209" s="137"/>
      <c r="D209" s="137"/>
      <c r="F209" s="137"/>
      <c r="G209" s="137"/>
      <c r="H209" s="137"/>
      <c r="I209" s="137"/>
      <c r="J209" s="137"/>
      <c r="V209" s="137"/>
    </row>
    <row r="210" spans="1:22" x14ac:dyDescent="0.2">
      <c r="A210" s="137"/>
      <c r="B210" s="137"/>
      <c r="C210" s="137"/>
      <c r="D210" s="137"/>
      <c r="F210" s="137"/>
      <c r="G210" s="137"/>
      <c r="H210" s="137"/>
      <c r="I210" s="137"/>
      <c r="J210" s="137"/>
      <c r="V210" s="137"/>
    </row>
    <row r="211" spans="1:22" x14ac:dyDescent="0.2">
      <c r="A211" s="137"/>
      <c r="B211" s="137"/>
      <c r="C211" s="137"/>
      <c r="D211" s="137"/>
      <c r="F211" s="137"/>
      <c r="G211" s="137"/>
      <c r="H211" s="137"/>
      <c r="I211" s="137"/>
      <c r="J211" s="137"/>
      <c r="V211" s="137"/>
    </row>
    <row r="212" spans="1:22" x14ac:dyDescent="0.2">
      <c r="A212" s="137"/>
      <c r="B212" s="137"/>
      <c r="C212" s="137"/>
      <c r="D212" s="137"/>
      <c r="F212" s="137"/>
      <c r="G212" s="137"/>
      <c r="H212" s="137"/>
      <c r="I212" s="137"/>
      <c r="J212" s="137"/>
      <c r="V212" s="137"/>
    </row>
    <row r="213" spans="1:22" x14ac:dyDescent="0.2">
      <c r="A213" s="137"/>
      <c r="B213" s="137"/>
      <c r="C213" s="137"/>
      <c r="D213" s="137"/>
      <c r="F213" s="137"/>
      <c r="G213" s="137"/>
      <c r="H213" s="137"/>
      <c r="I213" s="137"/>
      <c r="J213" s="137"/>
      <c r="V213" s="137"/>
    </row>
    <row r="214" spans="1:22" x14ac:dyDescent="0.2">
      <c r="A214" s="137"/>
      <c r="B214" s="137"/>
      <c r="C214" s="137"/>
      <c r="D214" s="137"/>
      <c r="F214" s="137"/>
      <c r="G214" s="137"/>
      <c r="H214" s="137"/>
      <c r="I214" s="137"/>
      <c r="J214" s="137"/>
      <c r="V214" s="137"/>
    </row>
    <row r="215" spans="1:22" x14ac:dyDescent="0.2">
      <c r="A215" s="137"/>
      <c r="B215" s="137"/>
      <c r="C215" s="137"/>
      <c r="D215" s="137"/>
      <c r="F215" s="137"/>
      <c r="G215" s="137"/>
      <c r="H215" s="137"/>
      <c r="I215" s="137"/>
      <c r="J215" s="137"/>
      <c r="V215" s="137"/>
    </row>
    <row r="216" spans="1:22" x14ac:dyDescent="0.2">
      <c r="A216" s="137"/>
      <c r="B216" s="137"/>
      <c r="C216" s="137"/>
      <c r="D216" s="137"/>
      <c r="F216" s="137"/>
      <c r="G216" s="137"/>
      <c r="H216" s="137"/>
      <c r="I216" s="137"/>
      <c r="J216" s="137"/>
      <c r="V216" s="137"/>
    </row>
    <row r="217" spans="1:22" x14ac:dyDescent="0.2">
      <c r="A217" s="137"/>
      <c r="B217" s="137"/>
      <c r="C217" s="137"/>
      <c r="D217" s="137"/>
      <c r="F217" s="137"/>
      <c r="G217" s="137"/>
      <c r="H217" s="137"/>
      <c r="I217" s="137"/>
      <c r="J217" s="137"/>
      <c r="V217" s="137"/>
    </row>
    <row r="218" spans="1:22" x14ac:dyDescent="0.2">
      <c r="A218" s="137"/>
      <c r="B218" s="137"/>
      <c r="C218" s="137"/>
      <c r="D218" s="137"/>
      <c r="F218" s="137"/>
      <c r="G218" s="137"/>
      <c r="H218" s="137"/>
      <c r="I218" s="137"/>
      <c r="J218" s="137"/>
      <c r="V218" s="137"/>
    </row>
    <row r="219" spans="1:22" x14ac:dyDescent="0.2">
      <c r="A219" s="137"/>
      <c r="B219" s="137"/>
      <c r="C219" s="137"/>
      <c r="D219" s="137"/>
      <c r="F219" s="137"/>
      <c r="G219" s="137"/>
      <c r="H219" s="137"/>
      <c r="I219" s="137"/>
      <c r="J219" s="137"/>
      <c r="V219" s="137"/>
    </row>
    <row r="220" spans="1:22" x14ac:dyDescent="0.2">
      <c r="A220" s="137"/>
      <c r="B220" s="137"/>
      <c r="C220" s="137"/>
      <c r="D220" s="137"/>
      <c r="F220" s="137"/>
      <c r="G220" s="137"/>
      <c r="H220" s="137"/>
      <c r="I220" s="137"/>
      <c r="J220" s="137"/>
      <c r="V220" s="137"/>
    </row>
    <row r="221" spans="1:22" x14ac:dyDescent="0.2">
      <c r="A221" s="137"/>
      <c r="B221" s="137"/>
      <c r="C221" s="137"/>
      <c r="D221" s="137"/>
      <c r="F221" s="137"/>
      <c r="G221" s="137"/>
      <c r="H221" s="137"/>
      <c r="I221" s="137"/>
      <c r="J221" s="137"/>
      <c r="V221" s="137"/>
    </row>
    <row r="222" spans="1:22" x14ac:dyDescent="0.2">
      <c r="A222" s="137"/>
      <c r="B222" s="137"/>
      <c r="C222" s="137"/>
      <c r="D222" s="137"/>
      <c r="F222" s="137"/>
      <c r="G222" s="137"/>
      <c r="H222" s="137"/>
      <c r="I222" s="137"/>
      <c r="J222" s="137"/>
      <c r="V222" s="137"/>
    </row>
    <row r="223" spans="1:22" x14ac:dyDescent="0.2">
      <c r="A223" s="137"/>
      <c r="B223" s="137"/>
      <c r="C223" s="137"/>
      <c r="D223" s="137"/>
      <c r="F223" s="137"/>
      <c r="G223" s="137"/>
      <c r="H223" s="137"/>
      <c r="I223" s="137"/>
      <c r="J223" s="137"/>
      <c r="V223" s="137"/>
    </row>
    <row r="224" spans="1:22" x14ac:dyDescent="0.2">
      <c r="A224" s="137"/>
      <c r="B224" s="137"/>
      <c r="C224" s="137"/>
      <c r="D224" s="137"/>
      <c r="F224" s="137"/>
      <c r="G224" s="137"/>
      <c r="H224" s="137"/>
      <c r="I224" s="137"/>
      <c r="J224" s="137"/>
      <c r="V224" s="137"/>
    </row>
    <row r="225" spans="1:22" x14ac:dyDescent="0.2">
      <c r="A225" s="137"/>
      <c r="B225" s="137"/>
      <c r="C225" s="137"/>
      <c r="D225" s="137"/>
      <c r="F225" s="137"/>
      <c r="G225" s="137"/>
      <c r="H225" s="137"/>
      <c r="I225" s="137"/>
      <c r="J225" s="137"/>
      <c r="V225" s="137"/>
    </row>
    <row r="226" spans="1:22" x14ac:dyDescent="0.2">
      <c r="A226" s="137"/>
      <c r="B226" s="137"/>
      <c r="C226" s="137"/>
      <c r="D226" s="137"/>
      <c r="F226" s="137"/>
      <c r="G226" s="137"/>
      <c r="H226" s="137"/>
      <c r="I226" s="137"/>
      <c r="J226" s="137"/>
      <c r="V226" s="137"/>
    </row>
    <row r="227" spans="1:22" x14ac:dyDescent="0.2">
      <c r="A227" s="137"/>
      <c r="B227" s="137"/>
      <c r="C227" s="137"/>
      <c r="D227" s="137"/>
      <c r="F227" s="137"/>
      <c r="G227" s="137"/>
      <c r="H227" s="137"/>
      <c r="I227" s="137"/>
      <c r="J227" s="137"/>
      <c r="V227" s="137"/>
    </row>
    <row r="228" spans="1:22" x14ac:dyDescent="0.2">
      <c r="A228" s="137"/>
      <c r="B228" s="137"/>
      <c r="C228" s="137"/>
      <c r="D228" s="137"/>
      <c r="F228" s="137"/>
      <c r="G228" s="137"/>
      <c r="H228" s="137"/>
      <c r="I228" s="137"/>
      <c r="J228" s="137"/>
      <c r="V228" s="137"/>
    </row>
    <row r="229" spans="1:22" x14ac:dyDescent="0.2">
      <c r="A229" s="137"/>
      <c r="B229" s="137"/>
      <c r="C229" s="137"/>
      <c r="D229" s="137"/>
      <c r="F229" s="137"/>
      <c r="G229" s="137"/>
      <c r="H229" s="137"/>
      <c r="I229" s="137"/>
      <c r="J229" s="137"/>
      <c r="V229" s="137"/>
    </row>
    <row r="230" spans="1:22" x14ac:dyDescent="0.2">
      <c r="A230" s="137"/>
      <c r="B230" s="137"/>
      <c r="C230" s="137"/>
      <c r="D230" s="137"/>
      <c r="F230" s="137"/>
      <c r="G230" s="137"/>
      <c r="H230" s="137"/>
      <c r="I230" s="137"/>
      <c r="J230" s="137"/>
      <c r="V230" s="137"/>
    </row>
    <row r="231" spans="1:22" x14ac:dyDescent="0.2">
      <c r="A231" s="137"/>
      <c r="B231" s="137"/>
      <c r="C231" s="137"/>
      <c r="D231" s="137"/>
      <c r="F231" s="137"/>
      <c r="G231" s="137"/>
      <c r="H231" s="137"/>
      <c r="I231" s="137"/>
      <c r="J231" s="137"/>
      <c r="V231" s="137"/>
    </row>
    <row r="232" spans="1:22" x14ac:dyDescent="0.2">
      <c r="A232" s="137"/>
      <c r="B232" s="137"/>
      <c r="C232" s="137"/>
      <c r="D232" s="137"/>
      <c r="F232" s="137"/>
      <c r="G232" s="137"/>
      <c r="H232" s="137"/>
      <c r="I232" s="137"/>
      <c r="J232" s="137"/>
      <c r="V232" s="137"/>
    </row>
    <row r="233" spans="1:22" x14ac:dyDescent="0.2">
      <c r="A233" s="137"/>
      <c r="B233" s="137"/>
      <c r="C233" s="137"/>
      <c r="D233" s="137"/>
      <c r="F233" s="137"/>
      <c r="G233" s="137"/>
      <c r="H233" s="137"/>
      <c r="I233" s="137"/>
      <c r="J233" s="137"/>
      <c r="V233" s="137"/>
    </row>
    <row r="234" spans="1:22" x14ac:dyDescent="0.2">
      <c r="A234" s="137"/>
      <c r="B234" s="137"/>
      <c r="C234" s="137"/>
      <c r="D234" s="137"/>
      <c r="F234" s="137"/>
      <c r="G234" s="137"/>
      <c r="H234" s="137"/>
      <c r="I234" s="137"/>
      <c r="J234" s="137"/>
      <c r="V234" s="137"/>
    </row>
    <row r="235" spans="1:22" x14ac:dyDescent="0.2">
      <c r="A235" s="137"/>
      <c r="B235" s="137"/>
      <c r="C235" s="137"/>
      <c r="D235" s="137"/>
      <c r="F235" s="137"/>
      <c r="G235" s="137"/>
      <c r="H235" s="137"/>
      <c r="I235" s="137"/>
      <c r="J235" s="137"/>
      <c r="V235" s="137"/>
    </row>
    <row r="236" spans="1:22" x14ac:dyDescent="0.2">
      <c r="A236" s="137"/>
      <c r="B236" s="137"/>
      <c r="C236" s="137"/>
      <c r="D236" s="137"/>
      <c r="F236" s="137"/>
      <c r="G236" s="137"/>
      <c r="H236" s="137"/>
      <c r="I236" s="137"/>
      <c r="J236" s="137"/>
      <c r="V236" s="137"/>
    </row>
    <row r="237" spans="1:22" x14ac:dyDescent="0.2">
      <c r="A237" s="137"/>
      <c r="B237" s="137"/>
      <c r="C237" s="137"/>
      <c r="D237" s="137"/>
      <c r="F237" s="137"/>
      <c r="G237" s="137"/>
      <c r="H237" s="137"/>
      <c r="I237" s="137"/>
      <c r="J237" s="137"/>
      <c r="V237" s="137"/>
    </row>
    <row r="238" spans="1:22" x14ac:dyDescent="0.2">
      <c r="A238" s="137"/>
      <c r="B238" s="137"/>
      <c r="C238" s="137"/>
      <c r="D238" s="137"/>
      <c r="F238" s="137"/>
      <c r="G238" s="137"/>
      <c r="H238" s="137"/>
      <c r="I238" s="137"/>
      <c r="J238" s="137"/>
      <c r="V238" s="137"/>
    </row>
    <row r="239" spans="1:22" x14ac:dyDescent="0.2">
      <c r="A239" s="137"/>
      <c r="B239" s="137"/>
      <c r="C239" s="137"/>
      <c r="D239" s="137"/>
      <c r="F239" s="137"/>
      <c r="G239" s="137"/>
      <c r="H239" s="137"/>
      <c r="I239" s="137"/>
      <c r="J239" s="137"/>
      <c r="V239" s="137"/>
    </row>
    <row r="240" spans="1:22" x14ac:dyDescent="0.2">
      <c r="A240" s="137"/>
      <c r="B240" s="137"/>
      <c r="C240" s="137"/>
      <c r="D240" s="137"/>
      <c r="F240" s="137"/>
      <c r="G240" s="137"/>
      <c r="H240" s="137"/>
      <c r="I240" s="137"/>
      <c r="J240" s="137"/>
      <c r="V240" s="137"/>
    </row>
    <row r="241" spans="1:22" x14ac:dyDescent="0.2">
      <c r="A241" s="137"/>
      <c r="B241" s="137"/>
      <c r="C241" s="137"/>
      <c r="D241" s="137"/>
      <c r="F241" s="137"/>
      <c r="G241" s="137"/>
      <c r="H241" s="137"/>
      <c r="I241" s="137"/>
      <c r="J241" s="137"/>
      <c r="V241" s="137"/>
    </row>
    <row r="242" spans="1:22" x14ac:dyDescent="0.2">
      <c r="A242" s="137"/>
      <c r="B242" s="137"/>
      <c r="C242" s="137"/>
      <c r="D242" s="137"/>
      <c r="F242" s="137"/>
      <c r="G242" s="137"/>
      <c r="H242" s="137"/>
      <c r="I242" s="137"/>
      <c r="J242" s="137"/>
      <c r="V242" s="137"/>
    </row>
    <row r="243" spans="1:22" x14ac:dyDescent="0.2">
      <c r="A243" s="137"/>
      <c r="B243" s="137"/>
      <c r="C243" s="137"/>
      <c r="D243" s="137"/>
      <c r="F243" s="137"/>
      <c r="G243" s="137"/>
      <c r="H243" s="137"/>
      <c r="I243" s="137"/>
      <c r="J243" s="137"/>
      <c r="V243" s="137"/>
    </row>
    <row r="244" spans="1:22" x14ac:dyDescent="0.2">
      <c r="A244" s="137"/>
      <c r="B244" s="137"/>
      <c r="C244" s="137"/>
      <c r="D244" s="137"/>
      <c r="F244" s="137"/>
      <c r="G244" s="137"/>
      <c r="H244" s="137"/>
      <c r="I244" s="137"/>
      <c r="J244" s="137"/>
      <c r="V244" s="137"/>
    </row>
    <row r="245" spans="1:22" x14ac:dyDescent="0.2">
      <c r="A245" s="137"/>
      <c r="B245" s="137"/>
      <c r="C245" s="137"/>
      <c r="D245" s="137"/>
      <c r="F245" s="137"/>
      <c r="G245" s="137"/>
      <c r="H245" s="137"/>
      <c r="I245" s="137"/>
      <c r="J245" s="137"/>
      <c r="V245" s="137"/>
    </row>
    <row r="246" spans="1:22" x14ac:dyDescent="0.2">
      <c r="A246" s="137"/>
      <c r="B246" s="137"/>
      <c r="C246" s="137"/>
      <c r="D246" s="137"/>
      <c r="F246" s="137"/>
      <c r="G246" s="137"/>
      <c r="H246" s="137"/>
      <c r="I246" s="137"/>
      <c r="J246" s="137"/>
      <c r="V246" s="137"/>
    </row>
    <row r="247" spans="1:22" x14ac:dyDescent="0.2">
      <c r="A247" s="137"/>
      <c r="B247" s="137"/>
      <c r="C247" s="137"/>
      <c r="D247" s="137"/>
      <c r="F247" s="137"/>
      <c r="G247" s="137"/>
      <c r="H247" s="137"/>
      <c r="I247" s="137"/>
      <c r="J247" s="137"/>
      <c r="V247" s="137"/>
    </row>
    <row r="248" spans="1:22" x14ac:dyDescent="0.2">
      <c r="A248" s="137"/>
      <c r="B248" s="137"/>
      <c r="C248" s="137"/>
      <c r="D248" s="137"/>
      <c r="F248" s="137"/>
      <c r="G248" s="137"/>
      <c r="H248" s="137"/>
      <c r="I248" s="137"/>
      <c r="J248" s="137"/>
      <c r="V248" s="137"/>
    </row>
    <row r="249" spans="1:22" x14ac:dyDescent="0.2">
      <c r="A249" s="137"/>
      <c r="B249" s="137"/>
      <c r="C249" s="137"/>
      <c r="D249" s="137"/>
      <c r="F249" s="137"/>
      <c r="G249" s="137"/>
      <c r="H249" s="137"/>
      <c r="I249" s="137"/>
      <c r="J249" s="137"/>
      <c r="V249" s="137"/>
    </row>
    <row r="250" spans="1:22" x14ac:dyDescent="0.2">
      <c r="A250" s="137"/>
      <c r="B250" s="137"/>
      <c r="C250" s="137"/>
      <c r="D250" s="137"/>
      <c r="F250" s="137"/>
      <c r="G250" s="137"/>
      <c r="H250" s="137"/>
      <c r="I250" s="137"/>
      <c r="J250" s="137"/>
      <c r="V250" s="137"/>
    </row>
    <row r="251" spans="1:22" x14ac:dyDescent="0.2">
      <c r="A251" s="137"/>
      <c r="B251" s="137"/>
      <c r="C251" s="137"/>
      <c r="D251" s="137"/>
      <c r="F251" s="137"/>
      <c r="G251" s="137"/>
      <c r="H251" s="137"/>
      <c r="I251" s="137"/>
      <c r="J251" s="137"/>
      <c r="V251" s="137"/>
    </row>
    <row r="252" spans="1:22" x14ac:dyDescent="0.2">
      <c r="A252" s="137"/>
      <c r="B252" s="137"/>
      <c r="C252" s="137"/>
      <c r="D252" s="137"/>
      <c r="F252" s="137"/>
      <c r="G252" s="137"/>
      <c r="H252" s="137"/>
      <c r="I252" s="137"/>
      <c r="J252" s="137"/>
      <c r="V252" s="137"/>
    </row>
    <row r="253" spans="1:22" x14ac:dyDescent="0.2">
      <c r="A253" s="137"/>
      <c r="B253" s="137"/>
      <c r="C253" s="137"/>
      <c r="D253" s="137"/>
      <c r="F253" s="137"/>
      <c r="G253" s="137"/>
      <c r="H253" s="137"/>
      <c r="I253" s="137"/>
      <c r="J253" s="137"/>
      <c r="V253" s="137"/>
    </row>
    <row r="254" spans="1:22" x14ac:dyDescent="0.2">
      <c r="A254" s="137"/>
      <c r="B254" s="137"/>
      <c r="C254" s="137"/>
      <c r="D254" s="137"/>
      <c r="F254" s="137"/>
      <c r="G254" s="137"/>
      <c r="H254" s="137"/>
      <c r="I254" s="137"/>
      <c r="J254" s="137"/>
      <c r="V254" s="137"/>
    </row>
    <row r="255" spans="1:22" x14ac:dyDescent="0.2">
      <c r="A255" s="137"/>
      <c r="B255" s="137"/>
      <c r="C255" s="137"/>
      <c r="D255" s="137"/>
      <c r="F255" s="137"/>
      <c r="G255" s="137"/>
      <c r="H255" s="137"/>
      <c r="I255" s="137"/>
      <c r="J255" s="137"/>
      <c r="V255" s="137"/>
    </row>
    <row r="256" spans="1:22" x14ac:dyDescent="0.2">
      <c r="A256" s="137"/>
      <c r="B256" s="137"/>
      <c r="C256" s="137"/>
      <c r="D256" s="137"/>
      <c r="F256" s="137"/>
      <c r="G256" s="137"/>
      <c r="H256" s="137"/>
      <c r="I256" s="137"/>
      <c r="J256" s="137"/>
      <c r="V256" s="137"/>
    </row>
    <row r="257" spans="1:22" x14ac:dyDescent="0.2">
      <c r="A257" s="137"/>
      <c r="B257" s="137"/>
      <c r="C257" s="137"/>
      <c r="D257" s="137"/>
      <c r="F257" s="137"/>
      <c r="G257" s="137"/>
      <c r="H257" s="137"/>
      <c r="I257" s="137"/>
      <c r="J257" s="137"/>
      <c r="V257" s="137"/>
    </row>
    <row r="258" spans="1:22" x14ac:dyDescent="0.2">
      <c r="A258" s="137"/>
      <c r="B258" s="137"/>
      <c r="C258" s="137"/>
      <c r="D258" s="137"/>
      <c r="F258" s="137"/>
      <c r="G258" s="137"/>
      <c r="H258" s="137"/>
      <c r="I258" s="137"/>
      <c r="J258" s="137"/>
      <c r="V258" s="137"/>
    </row>
    <row r="259" spans="1:22" x14ac:dyDescent="0.2">
      <c r="A259" s="137"/>
      <c r="B259" s="137"/>
      <c r="C259" s="137"/>
      <c r="D259" s="137"/>
      <c r="F259" s="137"/>
      <c r="G259" s="137"/>
      <c r="H259" s="137"/>
      <c r="I259" s="137"/>
      <c r="J259" s="137"/>
      <c r="V259" s="137"/>
    </row>
    <row r="260" spans="1:22" x14ac:dyDescent="0.2">
      <c r="A260" s="137"/>
      <c r="B260" s="137"/>
      <c r="C260" s="137"/>
      <c r="D260" s="137"/>
      <c r="F260" s="137"/>
      <c r="G260" s="137"/>
      <c r="H260" s="137"/>
      <c r="I260" s="137"/>
      <c r="J260" s="137"/>
      <c r="V260" s="137"/>
    </row>
    <row r="261" spans="1:22" x14ac:dyDescent="0.2">
      <c r="A261" s="137"/>
      <c r="B261" s="137"/>
      <c r="C261" s="137"/>
      <c r="D261" s="137"/>
      <c r="F261" s="137"/>
      <c r="G261" s="137"/>
      <c r="H261" s="137"/>
      <c r="I261" s="137"/>
      <c r="J261" s="137"/>
      <c r="V261" s="137"/>
    </row>
    <row r="262" spans="1:22" x14ac:dyDescent="0.2">
      <c r="A262" s="137"/>
      <c r="B262" s="137"/>
      <c r="C262" s="137"/>
      <c r="D262" s="137"/>
      <c r="F262" s="137"/>
      <c r="G262" s="137"/>
      <c r="H262" s="137"/>
      <c r="I262" s="137"/>
      <c r="J262" s="137"/>
      <c r="V262" s="137"/>
    </row>
    <row r="263" spans="1:22" x14ac:dyDescent="0.2">
      <c r="A263" s="137"/>
      <c r="B263" s="137"/>
      <c r="C263" s="137"/>
      <c r="D263" s="137"/>
      <c r="F263" s="137"/>
      <c r="G263" s="137"/>
      <c r="H263" s="137"/>
      <c r="I263" s="137"/>
      <c r="J263" s="137"/>
      <c r="V263" s="137"/>
    </row>
    <row r="264" spans="1:22" x14ac:dyDescent="0.2">
      <c r="A264" s="137"/>
      <c r="B264" s="137"/>
      <c r="C264" s="137"/>
      <c r="D264" s="137"/>
      <c r="F264" s="137"/>
      <c r="G264" s="137"/>
      <c r="H264" s="137"/>
      <c r="I264" s="137"/>
      <c r="J264" s="137"/>
      <c r="V264" s="137"/>
    </row>
    <row r="265" spans="1:22" x14ac:dyDescent="0.2">
      <c r="A265" s="137"/>
      <c r="B265" s="137"/>
      <c r="C265" s="137"/>
      <c r="D265" s="137"/>
      <c r="F265" s="137"/>
      <c r="G265" s="137"/>
      <c r="H265" s="137"/>
      <c r="I265" s="137"/>
      <c r="J265" s="137"/>
      <c r="V265" s="137"/>
    </row>
    <row r="266" spans="1:22" x14ac:dyDescent="0.2">
      <c r="A266" s="137"/>
      <c r="B266" s="137"/>
      <c r="C266" s="137"/>
      <c r="D266" s="137"/>
      <c r="F266" s="137"/>
      <c r="G266" s="137"/>
      <c r="H266" s="137"/>
      <c r="I266" s="137"/>
      <c r="J266" s="137"/>
      <c r="V266" s="137"/>
    </row>
    <row r="267" spans="1:22" x14ac:dyDescent="0.2">
      <c r="A267" s="137"/>
      <c r="B267" s="137"/>
      <c r="C267" s="137"/>
      <c r="D267" s="137"/>
      <c r="F267" s="137"/>
      <c r="G267" s="137"/>
      <c r="H267" s="137"/>
      <c r="I267" s="137"/>
      <c r="J267" s="137"/>
      <c r="V267" s="137"/>
    </row>
    <row r="268" spans="1:22" x14ac:dyDescent="0.2">
      <c r="A268" s="137"/>
      <c r="B268" s="137"/>
      <c r="C268" s="137"/>
      <c r="D268" s="137"/>
      <c r="F268" s="137"/>
      <c r="G268" s="137"/>
      <c r="H268" s="137"/>
      <c r="I268" s="137"/>
      <c r="J268" s="137"/>
      <c r="V268" s="137"/>
    </row>
    <row r="269" spans="1:22" x14ac:dyDescent="0.2">
      <c r="A269" s="137"/>
      <c r="B269" s="137"/>
      <c r="C269" s="137"/>
      <c r="D269" s="137"/>
      <c r="F269" s="137"/>
      <c r="G269" s="137"/>
      <c r="H269" s="137"/>
      <c r="I269" s="137"/>
      <c r="J269" s="137"/>
      <c r="V269" s="137"/>
    </row>
    <row r="270" spans="1:22" x14ac:dyDescent="0.2">
      <c r="A270" s="137"/>
      <c r="B270" s="137"/>
      <c r="C270" s="137"/>
      <c r="D270" s="137"/>
      <c r="F270" s="137"/>
      <c r="G270" s="137"/>
      <c r="H270" s="137"/>
      <c r="I270" s="137"/>
      <c r="J270" s="137"/>
      <c r="V270" s="137"/>
    </row>
    <row r="271" spans="1:22" x14ac:dyDescent="0.2">
      <c r="A271" s="137"/>
      <c r="B271" s="137"/>
      <c r="C271" s="137"/>
      <c r="D271" s="137"/>
      <c r="F271" s="137"/>
      <c r="G271" s="137"/>
      <c r="H271" s="137"/>
      <c r="I271" s="137"/>
      <c r="J271" s="137"/>
      <c r="V271" s="137"/>
    </row>
    <row r="272" spans="1:22" x14ac:dyDescent="0.2">
      <c r="A272" s="137"/>
      <c r="B272" s="137"/>
      <c r="C272" s="137"/>
      <c r="D272" s="137"/>
      <c r="F272" s="137"/>
      <c r="G272" s="137"/>
      <c r="H272" s="137"/>
      <c r="I272" s="137"/>
      <c r="J272" s="137"/>
      <c r="V272" s="137"/>
    </row>
    <row r="273" spans="1:22" x14ac:dyDescent="0.2">
      <c r="A273" s="137"/>
      <c r="B273" s="137"/>
      <c r="C273" s="137"/>
      <c r="D273" s="137"/>
      <c r="F273" s="137"/>
      <c r="G273" s="137"/>
      <c r="H273" s="137"/>
      <c r="I273" s="137"/>
      <c r="J273" s="137"/>
      <c r="V273" s="137"/>
    </row>
    <row r="274" spans="1:22" x14ac:dyDescent="0.2">
      <c r="A274" s="137"/>
      <c r="B274" s="137"/>
      <c r="C274" s="137"/>
      <c r="D274" s="137"/>
      <c r="F274" s="137"/>
      <c r="G274" s="137"/>
      <c r="H274" s="137"/>
      <c r="I274" s="137"/>
      <c r="J274" s="137"/>
      <c r="V274" s="137"/>
    </row>
    <row r="275" spans="1:22" x14ac:dyDescent="0.2">
      <c r="A275" s="137"/>
      <c r="B275" s="137"/>
      <c r="C275" s="137"/>
      <c r="D275" s="137"/>
      <c r="F275" s="137"/>
      <c r="G275" s="137"/>
      <c r="H275" s="137"/>
      <c r="I275" s="137"/>
      <c r="J275" s="137"/>
      <c r="V275" s="137"/>
    </row>
    <row r="276" spans="1:22" x14ac:dyDescent="0.2">
      <c r="A276" s="137"/>
      <c r="B276" s="137"/>
      <c r="C276" s="137"/>
      <c r="D276" s="137"/>
      <c r="F276" s="137"/>
      <c r="G276" s="137"/>
      <c r="H276" s="137"/>
      <c r="I276" s="137"/>
      <c r="J276" s="137"/>
      <c r="V276" s="137"/>
    </row>
    <row r="277" spans="1:22" x14ac:dyDescent="0.2">
      <c r="A277" s="137"/>
      <c r="B277" s="137"/>
      <c r="C277" s="137"/>
      <c r="D277" s="137"/>
      <c r="F277" s="137"/>
      <c r="G277" s="137"/>
      <c r="H277" s="137"/>
      <c r="I277" s="137"/>
      <c r="J277" s="137"/>
      <c r="V277" s="137"/>
    </row>
    <row r="278" spans="1:22" x14ac:dyDescent="0.2">
      <c r="A278" s="137"/>
      <c r="B278" s="137"/>
      <c r="C278" s="137"/>
      <c r="D278" s="137"/>
      <c r="F278" s="137"/>
      <c r="G278" s="137"/>
      <c r="H278" s="137"/>
      <c r="I278" s="137"/>
      <c r="J278" s="137"/>
      <c r="V278" s="137"/>
    </row>
    <row r="279" spans="1:22" x14ac:dyDescent="0.2">
      <c r="A279" s="137"/>
      <c r="B279" s="137"/>
      <c r="C279" s="137"/>
      <c r="D279" s="137"/>
      <c r="F279" s="137"/>
      <c r="G279" s="137"/>
      <c r="H279" s="137"/>
      <c r="I279" s="137"/>
      <c r="J279" s="137"/>
      <c r="V279" s="137"/>
    </row>
    <row r="280" spans="1:22" x14ac:dyDescent="0.2">
      <c r="A280" s="137"/>
      <c r="B280" s="137"/>
      <c r="C280" s="137"/>
      <c r="D280" s="137"/>
      <c r="F280" s="137"/>
      <c r="G280" s="137"/>
      <c r="H280" s="137"/>
      <c r="I280" s="137"/>
      <c r="J280" s="137"/>
      <c r="V280" s="137"/>
    </row>
    <row r="281" spans="1:22" x14ac:dyDescent="0.2">
      <c r="A281" s="137"/>
      <c r="B281" s="137"/>
      <c r="C281" s="137"/>
      <c r="D281" s="137"/>
      <c r="F281" s="137"/>
      <c r="G281" s="137"/>
      <c r="H281" s="137"/>
      <c r="I281" s="137"/>
      <c r="J281" s="137"/>
      <c r="V281" s="137"/>
    </row>
    <row r="282" spans="1:22" x14ac:dyDescent="0.2">
      <c r="A282" s="137"/>
      <c r="B282" s="137"/>
      <c r="C282" s="137"/>
      <c r="D282" s="137"/>
      <c r="F282" s="137"/>
      <c r="G282" s="137"/>
      <c r="H282" s="137"/>
      <c r="I282" s="137"/>
      <c r="J282" s="137"/>
      <c r="V282" s="137"/>
    </row>
    <row r="283" spans="1:22" x14ac:dyDescent="0.2">
      <c r="A283" s="137"/>
      <c r="B283" s="137"/>
      <c r="C283" s="137"/>
      <c r="D283" s="137"/>
      <c r="F283" s="137"/>
      <c r="G283" s="137"/>
      <c r="H283" s="137"/>
      <c r="I283" s="137"/>
      <c r="J283" s="137"/>
      <c r="V283" s="137"/>
    </row>
    <row r="284" spans="1:22" x14ac:dyDescent="0.2">
      <c r="A284" s="137"/>
      <c r="B284" s="137"/>
      <c r="C284" s="137"/>
      <c r="D284" s="137"/>
      <c r="F284" s="137"/>
      <c r="G284" s="137"/>
      <c r="H284" s="137"/>
      <c r="I284" s="137"/>
      <c r="J284" s="137"/>
      <c r="V284" s="137"/>
    </row>
    <row r="285" spans="1:22" x14ac:dyDescent="0.2">
      <c r="A285" s="137"/>
      <c r="B285" s="137"/>
      <c r="C285" s="137"/>
      <c r="D285" s="137"/>
      <c r="F285" s="137"/>
      <c r="G285" s="137"/>
      <c r="H285" s="137"/>
      <c r="I285" s="137"/>
      <c r="J285" s="137"/>
      <c r="V285" s="137"/>
    </row>
    <row r="286" spans="1:22" x14ac:dyDescent="0.2">
      <c r="A286" s="137"/>
      <c r="B286" s="137"/>
      <c r="C286" s="137"/>
      <c r="D286" s="137"/>
      <c r="F286" s="137"/>
      <c r="G286" s="137"/>
      <c r="H286" s="137"/>
      <c r="I286" s="137"/>
      <c r="J286" s="137"/>
      <c r="V286" s="137"/>
    </row>
    <row r="287" spans="1:22" x14ac:dyDescent="0.2">
      <c r="A287" s="137"/>
      <c r="B287" s="137"/>
      <c r="C287" s="137"/>
      <c r="D287" s="137"/>
      <c r="F287" s="137"/>
      <c r="G287" s="137"/>
      <c r="H287" s="137"/>
      <c r="I287" s="137"/>
      <c r="J287" s="137"/>
      <c r="V287" s="137"/>
    </row>
    <row r="288" spans="1:22" x14ac:dyDescent="0.2">
      <c r="A288" s="137"/>
      <c r="B288" s="137"/>
      <c r="C288" s="137"/>
      <c r="D288" s="137"/>
      <c r="F288" s="137"/>
      <c r="G288" s="137"/>
      <c r="H288" s="137"/>
      <c r="I288" s="137"/>
      <c r="J288" s="137"/>
      <c r="V288" s="137"/>
    </row>
    <row r="289" spans="1:22" x14ac:dyDescent="0.2">
      <c r="A289" s="137"/>
      <c r="B289" s="137"/>
      <c r="C289" s="137"/>
      <c r="D289" s="137"/>
      <c r="F289" s="137"/>
      <c r="G289" s="137"/>
      <c r="H289" s="137"/>
      <c r="I289" s="137"/>
      <c r="J289" s="137"/>
      <c r="V289" s="137"/>
    </row>
    <row r="290" spans="1:22" x14ac:dyDescent="0.2">
      <c r="A290" s="137"/>
      <c r="B290" s="137"/>
      <c r="C290" s="137"/>
      <c r="D290" s="137"/>
      <c r="F290" s="137"/>
      <c r="G290" s="137"/>
      <c r="H290" s="137"/>
      <c r="I290" s="137"/>
      <c r="J290" s="137"/>
      <c r="V290" s="137"/>
    </row>
    <row r="291" spans="1:22" x14ac:dyDescent="0.2">
      <c r="A291" s="137"/>
      <c r="B291" s="137"/>
      <c r="C291" s="137"/>
      <c r="D291" s="137"/>
      <c r="F291" s="137"/>
      <c r="G291" s="137"/>
      <c r="H291" s="137"/>
      <c r="I291" s="137"/>
      <c r="J291" s="137"/>
      <c r="V291" s="137"/>
    </row>
    <row r="292" spans="1:22" x14ac:dyDescent="0.2">
      <c r="A292" s="137"/>
      <c r="B292" s="137"/>
      <c r="C292" s="137"/>
      <c r="D292" s="137"/>
      <c r="F292" s="137"/>
      <c r="G292" s="137"/>
      <c r="H292" s="137"/>
      <c r="I292" s="137"/>
      <c r="J292" s="137"/>
      <c r="V292" s="137"/>
    </row>
    <row r="293" spans="1:22" x14ac:dyDescent="0.2">
      <c r="A293" s="137"/>
      <c r="B293" s="137"/>
      <c r="C293" s="137"/>
      <c r="D293" s="137"/>
      <c r="F293" s="137"/>
      <c r="G293" s="137"/>
      <c r="H293" s="137"/>
      <c r="I293" s="137"/>
      <c r="J293" s="137"/>
      <c r="V293" s="137"/>
    </row>
    <row r="294" spans="1:22" x14ac:dyDescent="0.2">
      <c r="A294" s="137"/>
      <c r="B294" s="137"/>
      <c r="C294" s="137"/>
      <c r="D294" s="137"/>
      <c r="F294" s="137"/>
      <c r="G294" s="137"/>
      <c r="H294" s="137"/>
      <c r="I294" s="137"/>
      <c r="J294" s="137"/>
      <c r="V294" s="137"/>
    </row>
    <row r="295" spans="1:22" x14ac:dyDescent="0.2">
      <c r="A295" s="137"/>
      <c r="B295" s="137"/>
      <c r="C295" s="137"/>
      <c r="D295" s="137"/>
      <c r="F295" s="137"/>
      <c r="G295" s="137"/>
      <c r="H295" s="137"/>
      <c r="I295" s="137"/>
      <c r="J295" s="137"/>
      <c r="V295" s="137"/>
    </row>
    <row r="296" spans="1:22" x14ac:dyDescent="0.2">
      <c r="A296" s="137"/>
      <c r="B296" s="137"/>
      <c r="C296" s="137"/>
      <c r="D296" s="137"/>
      <c r="F296" s="137"/>
      <c r="G296" s="137"/>
      <c r="H296" s="137"/>
      <c r="I296" s="137"/>
      <c r="J296" s="137"/>
      <c r="V296" s="137"/>
    </row>
    <row r="297" spans="1:22" x14ac:dyDescent="0.2">
      <c r="A297" s="137"/>
      <c r="B297" s="137"/>
      <c r="C297" s="137"/>
      <c r="D297" s="137"/>
      <c r="F297" s="137"/>
      <c r="G297" s="137"/>
      <c r="H297" s="137"/>
      <c r="I297" s="137"/>
      <c r="J297" s="137"/>
      <c r="V297" s="137"/>
    </row>
    <row r="298" spans="1:22" x14ac:dyDescent="0.2">
      <c r="A298" s="137"/>
      <c r="B298" s="137"/>
      <c r="C298" s="137"/>
      <c r="D298" s="137"/>
      <c r="F298" s="137"/>
      <c r="G298" s="137"/>
      <c r="H298" s="137"/>
      <c r="I298" s="137"/>
      <c r="J298" s="137"/>
      <c r="V298" s="137"/>
    </row>
    <row r="299" spans="1:22" x14ac:dyDescent="0.2">
      <c r="A299" s="137"/>
      <c r="B299" s="137"/>
      <c r="C299" s="137"/>
      <c r="D299" s="137"/>
      <c r="F299" s="137"/>
      <c r="G299" s="137"/>
      <c r="H299" s="137"/>
      <c r="I299" s="137"/>
      <c r="J299" s="137"/>
      <c r="V299" s="137"/>
    </row>
    <row r="300" spans="1:22" x14ac:dyDescent="0.2">
      <c r="A300" s="137"/>
      <c r="B300" s="137"/>
      <c r="C300" s="137"/>
      <c r="D300" s="137"/>
      <c r="F300" s="137"/>
      <c r="G300" s="137"/>
      <c r="H300" s="137"/>
      <c r="I300" s="137"/>
      <c r="J300" s="137"/>
      <c r="V300" s="137"/>
    </row>
    <row r="301" spans="1:22" x14ac:dyDescent="0.2">
      <c r="A301" s="137"/>
      <c r="B301" s="137"/>
      <c r="C301" s="137"/>
      <c r="D301" s="137"/>
      <c r="F301" s="137"/>
      <c r="G301" s="137"/>
      <c r="H301" s="137"/>
      <c r="I301" s="137"/>
      <c r="J301" s="137"/>
      <c r="V301" s="137"/>
    </row>
    <row r="302" spans="1:22" x14ac:dyDescent="0.2">
      <c r="A302" s="137"/>
      <c r="B302" s="137"/>
      <c r="C302" s="137"/>
      <c r="D302" s="137"/>
      <c r="F302" s="137"/>
      <c r="G302" s="137"/>
      <c r="H302" s="137"/>
      <c r="I302" s="137"/>
      <c r="J302" s="137"/>
      <c r="V302" s="137"/>
    </row>
    <row r="303" spans="1:22" x14ac:dyDescent="0.2">
      <c r="A303" s="137"/>
      <c r="B303" s="137"/>
      <c r="C303" s="137"/>
      <c r="D303" s="137"/>
      <c r="F303" s="137"/>
      <c r="G303" s="137"/>
      <c r="H303" s="137"/>
      <c r="I303" s="137"/>
      <c r="J303" s="137"/>
      <c r="V303" s="137"/>
    </row>
    <row r="304" spans="1:22" x14ac:dyDescent="0.2">
      <c r="A304" s="137"/>
      <c r="B304" s="137"/>
      <c r="C304" s="137"/>
      <c r="D304" s="137"/>
      <c r="F304" s="137"/>
      <c r="G304" s="137"/>
      <c r="H304" s="137"/>
      <c r="I304" s="137"/>
      <c r="J304" s="137"/>
      <c r="V304" s="137"/>
    </row>
    <row r="305" spans="1:22" x14ac:dyDescent="0.2">
      <c r="A305" s="137"/>
      <c r="B305" s="137"/>
      <c r="C305" s="137"/>
      <c r="D305" s="137"/>
      <c r="F305" s="137"/>
      <c r="G305" s="137"/>
      <c r="H305" s="137"/>
      <c r="I305" s="137"/>
      <c r="J305" s="137"/>
      <c r="V305" s="137"/>
    </row>
    <row r="306" spans="1:22" x14ac:dyDescent="0.2">
      <c r="A306" s="137"/>
      <c r="B306" s="137"/>
      <c r="C306" s="137"/>
      <c r="D306" s="137"/>
      <c r="F306" s="137"/>
      <c r="G306" s="137"/>
      <c r="H306" s="137"/>
      <c r="I306" s="137"/>
      <c r="J306" s="137"/>
      <c r="V306" s="137"/>
    </row>
    <row r="307" spans="1:22" x14ac:dyDescent="0.2">
      <c r="A307" s="137"/>
      <c r="B307" s="137"/>
      <c r="C307" s="137"/>
      <c r="D307" s="137"/>
      <c r="F307" s="137"/>
      <c r="G307" s="137"/>
      <c r="H307" s="137"/>
      <c r="I307" s="137"/>
      <c r="J307" s="137"/>
      <c r="V307" s="137"/>
    </row>
    <row r="308" spans="1:22" x14ac:dyDescent="0.2">
      <c r="A308" s="137"/>
      <c r="B308" s="137"/>
      <c r="C308" s="137"/>
      <c r="D308" s="137"/>
      <c r="F308" s="137"/>
      <c r="G308" s="137"/>
      <c r="H308" s="137"/>
      <c r="I308" s="137"/>
      <c r="J308" s="137"/>
      <c r="V308" s="137"/>
    </row>
    <row r="309" spans="1:22" x14ac:dyDescent="0.2">
      <c r="A309" s="137"/>
      <c r="B309" s="137"/>
      <c r="C309" s="137"/>
      <c r="D309" s="137"/>
      <c r="F309" s="137"/>
      <c r="G309" s="137"/>
      <c r="H309" s="137"/>
      <c r="I309" s="137"/>
      <c r="J309" s="137"/>
      <c r="V309" s="137"/>
    </row>
    <row r="310" spans="1:22" x14ac:dyDescent="0.2">
      <c r="A310" s="137"/>
      <c r="B310" s="137"/>
      <c r="C310" s="137"/>
      <c r="D310" s="137"/>
      <c r="F310" s="137"/>
      <c r="G310" s="137"/>
      <c r="H310" s="137"/>
      <c r="I310" s="137"/>
      <c r="J310" s="137"/>
      <c r="V310" s="137"/>
    </row>
    <row r="311" spans="1:22" x14ac:dyDescent="0.2">
      <c r="A311" s="137"/>
      <c r="B311" s="137"/>
      <c r="C311" s="137"/>
      <c r="D311" s="137"/>
      <c r="F311" s="137"/>
      <c r="G311" s="137"/>
      <c r="H311" s="137"/>
      <c r="I311" s="137"/>
      <c r="J311" s="137"/>
      <c r="V311" s="137"/>
    </row>
    <row r="312" spans="1:22" x14ac:dyDescent="0.2">
      <c r="A312" s="137"/>
      <c r="B312" s="137"/>
      <c r="C312" s="137"/>
      <c r="D312" s="137"/>
      <c r="F312" s="137"/>
      <c r="G312" s="137"/>
      <c r="H312" s="137"/>
      <c r="I312" s="137"/>
      <c r="J312" s="137"/>
      <c r="V312" s="137"/>
    </row>
    <row r="313" spans="1:22" x14ac:dyDescent="0.2">
      <c r="A313" s="137"/>
      <c r="B313" s="137"/>
      <c r="C313" s="137"/>
      <c r="D313" s="137"/>
      <c r="F313" s="137"/>
      <c r="G313" s="137"/>
      <c r="H313" s="137"/>
      <c r="I313" s="137"/>
      <c r="J313" s="137"/>
      <c r="V313" s="137"/>
    </row>
    <row r="314" spans="1:22" x14ac:dyDescent="0.2">
      <c r="A314" s="137"/>
      <c r="B314" s="137"/>
      <c r="C314" s="137"/>
      <c r="D314" s="137"/>
      <c r="F314" s="137"/>
      <c r="G314" s="137"/>
      <c r="H314" s="137"/>
      <c r="I314" s="137"/>
      <c r="J314" s="137"/>
      <c r="V314" s="137"/>
    </row>
    <row r="315" spans="1:22" x14ac:dyDescent="0.2">
      <c r="A315" s="137"/>
      <c r="B315" s="137"/>
      <c r="C315" s="137"/>
      <c r="D315" s="137"/>
      <c r="F315" s="137"/>
      <c r="G315" s="137"/>
      <c r="H315" s="137"/>
      <c r="I315" s="137"/>
      <c r="J315" s="137"/>
      <c r="V315" s="137"/>
    </row>
    <row r="316" spans="1:22" x14ac:dyDescent="0.2">
      <c r="A316" s="137"/>
      <c r="B316" s="137"/>
      <c r="C316" s="137"/>
      <c r="D316" s="137"/>
      <c r="F316" s="137"/>
      <c r="G316" s="137"/>
      <c r="H316" s="137"/>
      <c r="I316" s="137"/>
      <c r="J316" s="137"/>
      <c r="V316" s="137"/>
    </row>
    <row r="317" spans="1:22" x14ac:dyDescent="0.2">
      <c r="A317" s="137"/>
      <c r="B317" s="137"/>
      <c r="C317" s="137"/>
      <c r="D317" s="137"/>
      <c r="F317" s="137"/>
      <c r="G317" s="137"/>
      <c r="H317" s="137"/>
      <c r="I317" s="137"/>
      <c r="J317" s="137"/>
      <c r="V317" s="137"/>
    </row>
    <row r="318" spans="1:22" x14ac:dyDescent="0.2">
      <c r="A318" s="137"/>
      <c r="B318" s="137"/>
      <c r="C318" s="137"/>
      <c r="D318" s="137"/>
      <c r="F318" s="137"/>
      <c r="G318" s="137"/>
      <c r="H318" s="137"/>
      <c r="I318" s="137"/>
      <c r="J318" s="137"/>
      <c r="V318" s="137"/>
    </row>
    <row r="319" spans="1:22" x14ac:dyDescent="0.2">
      <c r="A319" s="137"/>
      <c r="B319" s="137"/>
      <c r="C319" s="137"/>
      <c r="D319" s="137"/>
      <c r="F319" s="137"/>
      <c r="G319" s="137"/>
      <c r="H319" s="137"/>
      <c r="I319" s="137"/>
      <c r="J319" s="137"/>
      <c r="V319" s="137"/>
    </row>
    <row r="320" spans="1:22" x14ac:dyDescent="0.2">
      <c r="A320" s="137"/>
      <c r="B320" s="137"/>
      <c r="C320" s="137"/>
      <c r="D320" s="137"/>
      <c r="F320" s="137"/>
      <c r="G320" s="137"/>
      <c r="H320" s="137"/>
      <c r="I320" s="137"/>
      <c r="J320" s="137"/>
      <c r="V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sheetData>
  <sheetProtection algorithmName="SHA-512" hashValue="Fu30FORjhyV+bgw2Q7rvxQTFDUsZ2G8v2LF7EbrPFShPztQIxwFil7FvOpNzzqYKuWPS7oku0hkwxFn/eRVDog==" saltValue="aNXYRvQlt1mmuv9xbdLaFg=="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row r="1" spans="1:1" ht="22.5" customHeight="1" x14ac:dyDescent="0.25">
      <c r="A1" s="1481" t="s">
        <v>2445</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N57"/>
  <sheetViews>
    <sheetView topLeftCell="A19" workbookViewId="0">
      <selection activeCell="A58" sqref="A58"/>
    </sheetView>
  </sheetViews>
  <sheetFormatPr baseColWidth="10" defaultRowHeight="12.75" x14ac:dyDescent="0.2"/>
  <cols>
    <col min="8" max="11" width="11.42578125" style="627"/>
  </cols>
  <sheetData>
    <row r="1" spans="1:14" x14ac:dyDescent="0.2">
      <c r="B1" s="18"/>
    </row>
    <row r="2" spans="1:14" x14ac:dyDescent="0.2">
      <c r="B2" s="18"/>
      <c r="M2" s="407"/>
      <c r="N2" s="407"/>
    </row>
    <row r="3" spans="1:14" x14ac:dyDescent="0.2">
      <c r="A3" s="350"/>
      <c r="B3" s="350"/>
    </row>
    <row r="4" spans="1:14" x14ac:dyDescent="0.2">
      <c r="A4" s="629"/>
      <c r="B4" s="353"/>
    </row>
    <row r="5" spans="1:14" x14ac:dyDescent="0.2">
      <c r="A5" s="685"/>
      <c r="B5" s="353"/>
    </row>
    <row r="6" spans="1:14" x14ac:dyDescent="0.2">
      <c r="A6" s="685"/>
      <c r="B6" s="353"/>
    </row>
    <row r="7" spans="1:14" x14ac:dyDescent="0.2">
      <c r="A7" s="722"/>
      <c r="B7" s="376"/>
    </row>
    <row r="8" spans="1:14" x14ac:dyDescent="0.2">
      <c r="A8" s="716"/>
      <c r="B8" s="407"/>
    </row>
    <row r="9" spans="1:14" x14ac:dyDescent="0.2">
      <c r="A9" s="716"/>
    </row>
    <row r="10" spans="1:14" x14ac:dyDescent="0.2">
      <c r="A10" s="750"/>
      <c r="B10" s="526"/>
    </row>
    <row r="11" spans="1:14" x14ac:dyDescent="0.2">
      <c r="A11" s="759"/>
      <c r="B11" s="526"/>
    </row>
    <row r="12" spans="1:14" x14ac:dyDescent="0.2">
      <c r="A12" s="557"/>
      <c r="B12" s="557"/>
    </row>
    <row r="13" spans="1:14" x14ac:dyDescent="0.2">
      <c r="A13" s="720"/>
    </row>
    <row r="14" spans="1:14" x14ac:dyDescent="0.2">
      <c r="B14" s="720"/>
    </row>
    <row r="15" spans="1:14" x14ac:dyDescent="0.2">
      <c r="A15" s="616"/>
      <c r="B15" s="720"/>
    </row>
    <row r="16" spans="1:14" x14ac:dyDescent="0.2">
      <c r="A16" s="616"/>
    </row>
    <row r="17" spans="1:1" x14ac:dyDescent="0.2">
      <c r="A17" s="616"/>
    </row>
    <row r="19" spans="1:1" x14ac:dyDescent="0.2">
      <c r="A19" t="s">
        <v>1496</v>
      </c>
    </row>
    <row r="28" spans="1:1" x14ac:dyDescent="0.2">
      <c r="A28" t="s">
        <v>1439</v>
      </c>
    </row>
    <row r="31" spans="1:1" x14ac:dyDescent="0.2">
      <c r="A31" s="18"/>
    </row>
    <row r="32" spans="1:1" x14ac:dyDescent="0.2">
      <c r="A32" t="s">
        <v>1218</v>
      </c>
    </row>
    <row r="33" spans="1:1" x14ac:dyDescent="0.2">
      <c r="A33" s="685"/>
    </row>
    <row r="36" spans="1:1" x14ac:dyDescent="0.2">
      <c r="A36" t="s">
        <v>1422</v>
      </c>
    </row>
    <row r="38" spans="1:1" x14ac:dyDescent="0.2">
      <c r="A38" t="s">
        <v>1499</v>
      </c>
    </row>
    <row r="42" spans="1:1" x14ac:dyDescent="0.2">
      <c r="A42" s="882" t="s">
        <v>1585</v>
      </c>
    </row>
    <row r="43" spans="1:1" x14ac:dyDescent="0.2">
      <c r="A43" s="882" t="s">
        <v>1586</v>
      </c>
    </row>
    <row r="46" spans="1:1" x14ac:dyDescent="0.2">
      <c r="A46" t="s">
        <v>1847</v>
      </c>
    </row>
    <row r="47" spans="1:1" x14ac:dyDescent="0.2">
      <c r="A47" t="s">
        <v>1861</v>
      </c>
    </row>
    <row r="48" spans="1:1" x14ac:dyDescent="0.2">
      <c r="A48" t="s">
        <v>1862</v>
      </c>
    </row>
    <row r="49" spans="1:1" x14ac:dyDescent="0.2">
      <c r="A49" t="s">
        <v>1881</v>
      </c>
    </row>
    <row r="50" spans="1:1" x14ac:dyDescent="0.2">
      <c r="A50" t="s">
        <v>1882</v>
      </c>
    </row>
    <row r="51" spans="1:1" x14ac:dyDescent="0.2">
      <c r="A51" s="882" t="s">
        <v>1885</v>
      </c>
    </row>
    <row r="52" spans="1:1" x14ac:dyDescent="0.2">
      <c r="A52" s="882" t="s">
        <v>2381</v>
      </c>
    </row>
    <row r="53" spans="1:1" x14ac:dyDescent="0.2">
      <c r="A53" s="882" t="s">
        <v>2128</v>
      </c>
    </row>
    <row r="54" spans="1:1" s="938" customFormat="1" x14ac:dyDescent="0.2">
      <c r="A54" s="882" t="s">
        <v>2431</v>
      </c>
    </row>
    <row r="55" spans="1:1" x14ac:dyDescent="0.2">
      <c r="A55" s="882" t="s">
        <v>2129</v>
      </c>
    </row>
    <row r="56" spans="1:1" x14ac:dyDescent="0.2">
      <c r="A56" s="882" t="s">
        <v>2455</v>
      </c>
    </row>
    <row r="57" spans="1:1" x14ac:dyDescent="0.2">
      <c r="A57" s="882" t="s">
        <v>2456</v>
      </c>
    </row>
  </sheetData>
  <customSheetViews>
    <customSheetView guid="{465483EC-2E3A-4F9E-B378-C4750D61668A}" state="hidden">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P89"/>
  <sheetViews>
    <sheetView topLeftCell="A37" workbookViewId="0">
      <selection activeCell="H42" sqref="H42"/>
    </sheetView>
  </sheetViews>
  <sheetFormatPr baseColWidth="10" defaultRowHeight="12.75" x14ac:dyDescent="0.2"/>
  <cols>
    <col min="1" max="1" width="11.42578125" style="135"/>
    <col min="2" max="2" width="25.5703125" customWidth="1"/>
    <col min="3" max="3" width="25.5703125" style="135" customWidth="1"/>
    <col min="6" max="6" width="11.42578125" style="135"/>
    <col min="8" max="8" width="11.42578125" style="135"/>
    <col min="10" max="10" width="11.5703125" style="137"/>
    <col min="16" max="16" width="2.5703125" customWidth="1"/>
    <col min="17" max="17" width="6.140625" customWidth="1"/>
    <col min="18" max="18" width="6" customWidth="1"/>
  </cols>
  <sheetData>
    <row r="1" spans="1:16" x14ac:dyDescent="0.2">
      <c r="B1">
        <v>1</v>
      </c>
      <c r="C1" s="135">
        <v>2</v>
      </c>
      <c r="D1">
        <v>3</v>
      </c>
      <c r="E1">
        <v>4</v>
      </c>
      <c r="G1">
        <v>1</v>
      </c>
      <c r="H1" s="137">
        <v>2</v>
      </c>
      <c r="I1">
        <v>3</v>
      </c>
      <c r="J1">
        <v>4</v>
      </c>
    </row>
    <row r="2" spans="1:16" x14ac:dyDescent="0.2">
      <c r="A2" s="136"/>
      <c r="C2" s="136"/>
      <c r="G2" s="629" t="s">
        <v>1269</v>
      </c>
      <c r="H2" s="136"/>
      <c r="I2" s="1534" t="s">
        <v>1276</v>
      </c>
      <c r="J2" s="1534"/>
    </row>
    <row r="3" spans="1:16" x14ac:dyDescent="0.2">
      <c r="I3" s="747" t="s">
        <v>92</v>
      </c>
      <c r="J3" s="747" t="s">
        <v>111</v>
      </c>
    </row>
    <row r="4" spans="1:16" x14ac:dyDescent="0.2">
      <c r="G4" s="246" t="s">
        <v>60</v>
      </c>
      <c r="H4" s="135">
        <v>1</v>
      </c>
      <c r="I4" s="629">
        <v>0</v>
      </c>
      <c r="J4" s="629">
        <v>0</v>
      </c>
    </row>
    <row r="5" spans="1:16" x14ac:dyDescent="0.2">
      <c r="G5" s="18" t="s">
        <v>106</v>
      </c>
      <c r="H5" s="135">
        <v>2</v>
      </c>
      <c r="I5">
        <v>60</v>
      </c>
      <c r="J5" s="627">
        <v>30</v>
      </c>
    </row>
    <row r="6" spans="1:16" x14ac:dyDescent="0.2">
      <c r="B6" s="1"/>
      <c r="C6" s="1"/>
      <c r="G6" s="18" t="s">
        <v>107</v>
      </c>
      <c r="H6" s="137">
        <v>3</v>
      </c>
      <c r="I6">
        <v>0</v>
      </c>
      <c r="J6" s="627">
        <v>0</v>
      </c>
    </row>
    <row r="7" spans="1:16" x14ac:dyDescent="0.2">
      <c r="B7" s="1"/>
      <c r="C7" s="1"/>
      <c r="G7" s="18" t="s">
        <v>108</v>
      </c>
      <c r="H7" s="137">
        <v>4</v>
      </c>
      <c r="I7">
        <v>-0.5</v>
      </c>
      <c r="J7" s="627">
        <v>-0.5</v>
      </c>
      <c r="O7" s="625"/>
      <c r="P7" s="625"/>
    </row>
    <row r="8" spans="1:16" x14ac:dyDescent="0.2">
      <c r="D8" s="621" t="s">
        <v>1247</v>
      </c>
      <c r="E8" s="621" t="s">
        <v>1248</v>
      </c>
      <c r="G8" s="18" t="s">
        <v>109</v>
      </c>
      <c r="H8" s="137">
        <v>5</v>
      </c>
      <c r="I8">
        <v>-1</v>
      </c>
      <c r="J8" s="627">
        <v>-1</v>
      </c>
      <c r="M8" s="624"/>
      <c r="N8" s="624"/>
      <c r="O8" s="625"/>
      <c r="P8" s="625"/>
    </row>
    <row r="9" spans="1:16" x14ac:dyDescent="0.2">
      <c r="B9" s="246" t="s">
        <v>702</v>
      </c>
      <c r="C9" s="25">
        <v>1</v>
      </c>
      <c r="D9">
        <v>0</v>
      </c>
      <c r="E9">
        <v>0</v>
      </c>
      <c r="G9" s="246"/>
      <c r="J9"/>
      <c r="M9" s="72"/>
      <c r="N9" s="72"/>
      <c r="O9" s="40"/>
      <c r="P9" s="40"/>
    </row>
    <row r="10" spans="1:16" x14ac:dyDescent="0.2">
      <c r="B10" s="244" t="s">
        <v>1250</v>
      </c>
      <c r="C10" s="140">
        <v>2</v>
      </c>
      <c r="D10">
        <v>-10</v>
      </c>
      <c r="E10">
        <v>0</v>
      </c>
      <c r="G10" s="138"/>
      <c r="J10"/>
      <c r="M10" s="72"/>
      <c r="N10" s="72"/>
      <c r="O10" s="40"/>
      <c r="P10" s="40"/>
    </row>
    <row r="11" spans="1:16" x14ac:dyDescent="0.2">
      <c r="A11" s="619"/>
      <c r="B11" s="244" t="s">
        <v>1249</v>
      </c>
      <c r="C11" s="244"/>
      <c r="D11" s="619">
        <v>-10</v>
      </c>
      <c r="E11" s="619">
        <v>-20</v>
      </c>
      <c r="F11" s="619"/>
      <c r="G11" s="138"/>
      <c r="H11" s="137"/>
      <c r="J11"/>
      <c r="M11" s="72"/>
      <c r="N11" s="72"/>
      <c r="O11" s="40"/>
      <c r="P11" s="40"/>
    </row>
    <row r="12" spans="1:16" x14ac:dyDescent="0.2">
      <c r="B12" s="308" t="s">
        <v>747</v>
      </c>
      <c r="C12" s="136">
        <v>3</v>
      </c>
      <c r="D12">
        <v>-30</v>
      </c>
      <c r="E12" s="619">
        <v>-20</v>
      </c>
      <c r="G12" s="138"/>
      <c r="H12" s="137"/>
      <c r="J12"/>
      <c r="M12" s="72"/>
      <c r="N12" s="624"/>
      <c r="O12" s="40"/>
      <c r="P12" s="40"/>
    </row>
    <row r="13" spans="1:16" x14ac:dyDescent="0.2">
      <c r="B13" s="308" t="s">
        <v>748</v>
      </c>
      <c r="C13" s="25">
        <v>4</v>
      </c>
      <c r="D13">
        <v>-50</v>
      </c>
      <c r="E13" s="619">
        <v>-20</v>
      </c>
      <c r="G13" s="138"/>
      <c r="H13" s="137"/>
      <c r="J13"/>
      <c r="M13" s="72"/>
      <c r="N13" s="72"/>
      <c r="O13" s="40"/>
      <c r="P13" s="40"/>
    </row>
    <row r="14" spans="1:16" x14ac:dyDescent="0.2">
      <c r="B14" s="18" t="s">
        <v>749</v>
      </c>
      <c r="C14" s="140">
        <v>5</v>
      </c>
      <c r="D14">
        <v>-50</v>
      </c>
      <c r="E14" s="619">
        <v>-20</v>
      </c>
      <c r="H14" s="137"/>
      <c r="J14"/>
      <c r="M14" s="72"/>
      <c r="N14" s="72"/>
      <c r="O14" s="40"/>
      <c r="P14" s="40"/>
    </row>
    <row r="15" spans="1:16" x14ac:dyDescent="0.2">
      <c r="B15" s="18" t="s">
        <v>750</v>
      </c>
      <c r="C15" s="136">
        <v>6</v>
      </c>
      <c r="D15">
        <v>-80</v>
      </c>
      <c r="E15" s="619">
        <v>-20</v>
      </c>
      <c r="H15" s="137"/>
      <c r="J15"/>
    </row>
    <row r="17" spans="1:8" x14ac:dyDescent="0.2">
      <c r="B17" s="246" t="s">
        <v>703</v>
      </c>
      <c r="C17" s="25">
        <v>1</v>
      </c>
      <c r="G17" s="26" t="s">
        <v>700</v>
      </c>
      <c r="H17" s="135">
        <v>1</v>
      </c>
    </row>
    <row r="18" spans="1:8" x14ac:dyDescent="0.2">
      <c r="B18" s="308" t="s">
        <v>751</v>
      </c>
      <c r="C18" s="140">
        <v>2</v>
      </c>
      <c r="D18">
        <v>-10</v>
      </c>
      <c r="G18" s="248" t="s">
        <v>1095</v>
      </c>
      <c r="H18" s="135">
        <v>2</v>
      </c>
    </row>
    <row r="19" spans="1:8" x14ac:dyDescent="0.2">
      <c r="B19" s="308" t="s">
        <v>752</v>
      </c>
      <c r="C19" s="136">
        <v>3</v>
      </c>
      <c r="D19">
        <v>-20</v>
      </c>
      <c r="G19" s="48" t="s">
        <v>1096</v>
      </c>
      <c r="H19" s="135">
        <v>3</v>
      </c>
    </row>
    <row r="20" spans="1:8" x14ac:dyDescent="0.2">
      <c r="B20" s="334" t="s">
        <v>753</v>
      </c>
      <c r="C20" s="25">
        <v>4</v>
      </c>
      <c r="D20">
        <v>-40</v>
      </c>
      <c r="G20" s="248" t="s">
        <v>1301</v>
      </c>
      <c r="H20" s="135">
        <v>4</v>
      </c>
    </row>
    <row r="21" spans="1:8" x14ac:dyDescent="0.2">
      <c r="B21" s="308" t="s">
        <v>754</v>
      </c>
      <c r="C21" s="140">
        <v>5</v>
      </c>
      <c r="D21">
        <v>-60</v>
      </c>
      <c r="G21" s="248" t="s">
        <v>1302</v>
      </c>
      <c r="H21" s="135">
        <v>5</v>
      </c>
    </row>
    <row r="22" spans="1:8" x14ac:dyDescent="0.2">
      <c r="G22" s="248" t="s">
        <v>701</v>
      </c>
      <c r="H22" s="135">
        <v>1</v>
      </c>
    </row>
    <row r="23" spans="1:8" x14ac:dyDescent="0.2">
      <c r="A23" s="619"/>
      <c r="B23" s="246" t="s">
        <v>60</v>
      </c>
      <c r="C23" s="619">
        <v>1</v>
      </c>
      <c r="D23" s="619" t="s">
        <v>1251</v>
      </c>
      <c r="E23" s="619"/>
      <c r="F23" s="619"/>
      <c r="G23" s="23" t="s">
        <v>99</v>
      </c>
      <c r="H23" s="135">
        <v>2</v>
      </c>
    </row>
    <row r="24" spans="1:8" x14ac:dyDescent="0.2">
      <c r="A24" s="619"/>
      <c r="B24" s="621" t="s">
        <v>103</v>
      </c>
      <c r="C24" s="619">
        <v>2</v>
      </c>
      <c r="D24" s="619"/>
      <c r="E24" s="619"/>
      <c r="F24" s="619"/>
      <c r="G24" s="23" t="s">
        <v>69</v>
      </c>
      <c r="H24" s="135">
        <v>3</v>
      </c>
    </row>
    <row r="25" spans="1:8" s="619" customFormat="1" x14ac:dyDescent="0.2">
      <c r="A25" s="135"/>
      <c r="B25" s="621" t="s">
        <v>80</v>
      </c>
      <c r="C25" s="135">
        <v>3</v>
      </c>
      <c r="D25"/>
      <c r="E25"/>
      <c r="F25" s="135"/>
      <c r="G25" s="245"/>
    </row>
    <row r="26" spans="1:8" x14ac:dyDescent="0.2">
      <c r="B26" s="246" t="s">
        <v>60</v>
      </c>
      <c r="C26" s="25">
        <v>1</v>
      </c>
      <c r="D26" s="621" t="s">
        <v>120</v>
      </c>
      <c r="G26" s="23"/>
    </row>
    <row r="27" spans="1:8" s="242" customFormat="1" x14ac:dyDescent="0.2">
      <c r="A27" s="135"/>
      <c r="B27" s="18" t="s">
        <v>103</v>
      </c>
      <c r="C27" s="140">
        <v>2</v>
      </c>
      <c r="D27"/>
      <c r="E27"/>
      <c r="F27" s="135"/>
      <c r="G27" s="23" t="s">
        <v>265</v>
      </c>
    </row>
    <row r="28" spans="1:8" s="242" customFormat="1" x14ac:dyDescent="0.2">
      <c r="A28" s="619"/>
      <c r="B28" s="246" t="s">
        <v>1287</v>
      </c>
      <c r="C28" s="244">
        <v>3</v>
      </c>
      <c r="D28" s="619"/>
      <c r="E28" s="619"/>
      <c r="F28" s="619"/>
      <c r="G28" s="23" t="s">
        <v>266</v>
      </c>
    </row>
    <row r="29" spans="1:8" s="242" customFormat="1" x14ac:dyDescent="0.2">
      <c r="A29" s="135"/>
      <c r="B29" s="18" t="s">
        <v>80</v>
      </c>
      <c r="C29" s="136">
        <v>4</v>
      </c>
      <c r="D29"/>
      <c r="E29"/>
      <c r="F29" s="135"/>
    </row>
    <row r="30" spans="1:8" s="242" customFormat="1" x14ac:dyDescent="0.2">
      <c r="B30" s="246" t="s">
        <v>1093</v>
      </c>
      <c r="C30" s="246">
        <v>1</v>
      </c>
      <c r="D30" s="242" t="s">
        <v>492</v>
      </c>
    </row>
    <row r="31" spans="1:8" s="242" customFormat="1" x14ac:dyDescent="0.2">
      <c r="B31" s="246" t="s">
        <v>103</v>
      </c>
      <c r="C31" s="244">
        <v>2</v>
      </c>
      <c r="G31" s="26" t="s">
        <v>136</v>
      </c>
    </row>
    <row r="32" spans="1:8" s="242" customFormat="1" x14ac:dyDescent="0.2">
      <c r="B32" s="246" t="s">
        <v>80</v>
      </c>
      <c r="C32" s="243">
        <v>3</v>
      </c>
      <c r="G32" s="26" t="s">
        <v>137</v>
      </c>
    </row>
    <row r="33" spans="1:8" x14ac:dyDescent="0.2">
      <c r="A33" s="242"/>
      <c r="B33" s="243" t="s">
        <v>1091</v>
      </c>
      <c r="C33" s="246">
        <v>1</v>
      </c>
      <c r="D33" s="242" t="s">
        <v>493</v>
      </c>
      <c r="E33" s="242"/>
      <c r="F33" s="242"/>
      <c r="G33" s="19"/>
    </row>
    <row r="34" spans="1:8" x14ac:dyDescent="0.2">
      <c r="A34" s="242"/>
      <c r="B34" s="243" t="s">
        <v>1088</v>
      </c>
      <c r="C34" s="244">
        <v>2</v>
      </c>
      <c r="D34" s="242"/>
      <c r="E34" s="242"/>
      <c r="F34" s="242"/>
      <c r="G34" s="26" t="s">
        <v>9</v>
      </c>
    </row>
    <row r="35" spans="1:8" x14ac:dyDescent="0.2">
      <c r="A35" s="242"/>
      <c r="B35" s="243" t="s">
        <v>1089</v>
      </c>
      <c r="C35" s="243">
        <v>3</v>
      </c>
      <c r="D35" s="242"/>
      <c r="E35" s="242"/>
      <c r="F35" s="242"/>
      <c r="G35" s="26" t="s">
        <v>8</v>
      </c>
    </row>
    <row r="36" spans="1:8" x14ac:dyDescent="0.2">
      <c r="B36" s="246" t="s">
        <v>1090</v>
      </c>
      <c r="C36" s="25"/>
      <c r="G36" s="19"/>
    </row>
    <row r="37" spans="1:8" x14ac:dyDescent="0.2">
      <c r="B37" s="18" t="s">
        <v>92</v>
      </c>
      <c r="C37" s="140">
        <v>1</v>
      </c>
      <c r="G37" s="26"/>
      <c r="H37" s="135" t="s">
        <v>295</v>
      </c>
    </row>
    <row r="38" spans="1:8" x14ac:dyDescent="0.2">
      <c r="B38" s="49" t="s">
        <v>314</v>
      </c>
      <c r="C38" s="136">
        <v>2</v>
      </c>
      <c r="G38" s="26" t="s">
        <v>1016</v>
      </c>
      <c r="H38" s="135">
        <v>12</v>
      </c>
    </row>
    <row r="39" spans="1:8" x14ac:dyDescent="0.2">
      <c r="B39" s="18" t="s">
        <v>15</v>
      </c>
      <c r="C39" s="25">
        <v>3</v>
      </c>
      <c r="G39" s="26" t="s">
        <v>1800</v>
      </c>
      <c r="H39" s="135">
        <v>1</v>
      </c>
    </row>
    <row r="40" spans="1:8" x14ac:dyDescent="0.2">
      <c r="C40" s="140"/>
      <c r="G40" s="26" t="s">
        <v>1271</v>
      </c>
      <c r="H40" s="135">
        <v>6</v>
      </c>
    </row>
    <row r="41" spans="1:8" x14ac:dyDescent="0.2">
      <c r="B41" s="18" t="s">
        <v>834</v>
      </c>
      <c r="C41" s="136">
        <v>1</v>
      </c>
      <c r="G41" s="26" t="s">
        <v>1270</v>
      </c>
      <c r="H41" s="135">
        <v>5</v>
      </c>
    </row>
    <row r="42" spans="1:8" x14ac:dyDescent="0.2">
      <c r="B42" s="18" t="s">
        <v>704</v>
      </c>
      <c r="C42" s="136">
        <v>2</v>
      </c>
    </row>
    <row r="43" spans="1:8" x14ac:dyDescent="0.2">
      <c r="B43" s="18" t="s">
        <v>705</v>
      </c>
      <c r="C43" s="136">
        <v>3</v>
      </c>
    </row>
    <row r="44" spans="1:8" x14ac:dyDescent="0.2">
      <c r="H44" s="806" t="s">
        <v>1507</v>
      </c>
    </row>
    <row r="45" spans="1:8" x14ac:dyDescent="0.2">
      <c r="B45" s="18"/>
      <c r="C45" s="141">
        <v>1</v>
      </c>
      <c r="G45" s="826" t="s">
        <v>1508</v>
      </c>
    </row>
    <row r="46" spans="1:8" x14ac:dyDescent="0.2">
      <c r="B46" s="18"/>
      <c r="C46" s="136"/>
      <c r="G46" s="826" t="s">
        <v>1629</v>
      </c>
    </row>
    <row r="47" spans="1:8" x14ac:dyDescent="0.2">
      <c r="B47" s="138" t="s">
        <v>315</v>
      </c>
      <c r="G47" s="806" t="s">
        <v>1509</v>
      </c>
    </row>
    <row r="49" spans="1:8" x14ac:dyDescent="0.2">
      <c r="B49" s="138" t="s">
        <v>265</v>
      </c>
    </row>
    <row r="50" spans="1:8" x14ac:dyDescent="0.2">
      <c r="B50" s="138" t="s">
        <v>266</v>
      </c>
      <c r="G50" s="882" t="s">
        <v>1498</v>
      </c>
      <c r="H50" s="825"/>
    </row>
    <row r="51" spans="1:8" x14ac:dyDescent="0.2">
      <c r="B51" s="164"/>
      <c r="C51" s="163" t="s">
        <v>349</v>
      </c>
    </row>
    <row r="52" spans="1:8" x14ac:dyDescent="0.2">
      <c r="B52" s="164" t="s">
        <v>80</v>
      </c>
      <c r="C52" s="34">
        <v>44137</v>
      </c>
      <c r="D52" s="166">
        <v>44227</v>
      </c>
    </row>
    <row r="53" spans="1:8" x14ac:dyDescent="0.2">
      <c r="B53" t="s">
        <v>347</v>
      </c>
      <c r="C53" s="34">
        <v>44150</v>
      </c>
      <c r="D53" s="34">
        <v>44241</v>
      </c>
    </row>
    <row r="54" spans="1:8" x14ac:dyDescent="0.2">
      <c r="B54" t="s">
        <v>348</v>
      </c>
      <c r="C54" s="34">
        <v>44164</v>
      </c>
      <c r="D54" s="34">
        <v>44255</v>
      </c>
    </row>
    <row r="56" spans="1:8" x14ac:dyDescent="0.2">
      <c r="A56" s="759" t="s">
        <v>1453</v>
      </c>
      <c r="B56" s="305" t="s">
        <v>495</v>
      </c>
      <c r="C56" s="25">
        <v>1</v>
      </c>
    </row>
    <row r="57" spans="1:8" x14ac:dyDescent="0.2">
      <c r="B57" s="306" t="s">
        <v>746</v>
      </c>
      <c r="C57" s="139">
        <v>2</v>
      </c>
      <c r="D57">
        <v>0</v>
      </c>
    </row>
    <row r="58" spans="1:8" x14ac:dyDescent="0.2">
      <c r="B58" s="305" t="s">
        <v>1097</v>
      </c>
      <c r="C58" s="136">
        <v>3</v>
      </c>
      <c r="D58">
        <v>-20</v>
      </c>
    </row>
    <row r="60" spans="1:8" x14ac:dyDescent="0.2">
      <c r="B60" s="246" t="s">
        <v>702</v>
      </c>
    </row>
    <row r="61" spans="1:8" x14ac:dyDescent="0.2">
      <c r="B61" s="244" t="s">
        <v>1450</v>
      </c>
    </row>
    <row r="62" spans="1:8" x14ac:dyDescent="0.2">
      <c r="B62" s="759" t="s">
        <v>747</v>
      </c>
    </row>
    <row r="63" spans="1:8" x14ac:dyDescent="0.2">
      <c r="B63" s="759" t="s">
        <v>748</v>
      </c>
    </row>
    <row r="64" spans="1:8" x14ac:dyDescent="0.2">
      <c r="B64" s="759" t="s">
        <v>749</v>
      </c>
    </row>
    <row r="65" spans="1:7" x14ac:dyDescent="0.2">
      <c r="B65" s="759" t="s">
        <v>750</v>
      </c>
    </row>
    <row r="66" spans="1:7" x14ac:dyDescent="0.2">
      <c r="D66" t="s">
        <v>188</v>
      </c>
    </row>
    <row r="67" spans="1:7" x14ac:dyDescent="0.2">
      <c r="A67" s="135" t="s">
        <v>1456</v>
      </c>
      <c r="B67" t="s">
        <v>1477</v>
      </c>
      <c r="C67" s="135" t="s">
        <v>1476</v>
      </c>
      <c r="D67" t="s">
        <v>1477</v>
      </c>
      <c r="E67" t="s">
        <v>1478</v>
      </c>
      <c r="G67" s="1381"/>
    </row>
    <row r="68" spans="1:7" x14ac:dyDescent="0.2">
      <c r="B68" s="770" t="s">
        <v>1452</v>
      </c>
      <c r="C68" s="771" t="s">
        <v>496</v>
      </c>
      <c r="G68" s="1381"/>
    </row>
    <row r="69" spans="1:7" x14ac:dyDescent="0.2">
      <c r="B69" s="762" t="s">
        <v>1457</v>
      </c>
      <c r="C69" s="758" t="s">
        <v>1256</v>
      </c>
      <c r="D69" s="246" t="s">
        <v>703</v>
      </c>
      <c r="G69" s="1381"/>
    </row>
    <row r="70" spans="1:7" x14ac:dyDescent="0.2">
      <c r="B70" s="1399" t="s">
        <v>632</v>
      </c>
      <c r="C70" s="1381" t="s">
        <v>632</v>
      </c>
      <c r="D70" s="759" t="s">
        <v>751</v>
      </c>
      <c r="E70" s="758" t="s">
        <v>1483</v>
      </c>
      <c r="G70" s="1381"/>
    </row>
    <row r="71" spans="1:7" x14ac:dyDescent="0.2">
      <c r="B71" s="764" t="s">
        <v>1458</v>
      </c>
      <c r="C71" s="758" t="s">
        <v>1479</v>
      </c>
      <c r="D71" s="759" t="s">
        <v>752</v>
      </c>
      <c r="E71" s="758" t="s">
        <v>1486</v>
      </c>
      <c r="G71" s="1381"/>
    </row>
    <row r="72" spans="1:7" x14ac:dyDescent="0.2">
      <c r="B72" s="764" t="s">
        <v>1459</v>
      </c>
      <c r="C72" s="758" t="s">
        <v>1479</v>
      </c>
      <c r="D72" s="334" t="s">
        <v>753</v>
      </c>
      <c r="E72" s="758" t="s">
        <v>1487</v>
      </c>
      <c r="G72" s="1381"/>
    </row>
    <row r="73" spans="1:7" x14ac:dyDescent="0.2">
      <c r="B73" s="764" t="s">
        <v>1460</v>
      </c>
      <c r="C73" s="758" t="s">
        <v>15</v>
      </c>
      <c r="D73" s="759" t="s">
        <v>754</v>
      </c>
      <c r="E73" s="758" t="s">
        <v>1488</v>
      </c>
      <c r="G73" s="1381"/>
    </row>
    <row r="74" spans="1:7" x14ac:dyDescent="0.2">
      <c r="B74" s="764" t="s">
        <v>1451</v>
      </c>
      <c r="C74" s="758" t="s">
        <v>15</v>
      </c>
      <c r="G74" s="1381"/>
    </row>
    <row r="75" spans="1:7" x14ac:dyDescent="0.2">
      <c r="B75" s="764" t="s">
        <v>1461</v>
      </c>
      <c r="C75" s="758" t="s">
        <v>15</v>
      </c>
      <c r="G75" s="1381"/>
    </row>
    <row r="76" spans="1:7" ht="13.5" thickBot="1" x14ac:dyDescent="0.25">
      <c r="B76" s="764" t="s">
        <v>1462</v>
      </c>
      <c r="C76" s="758" t="s">
        <v>15</v>
      </c>
      <c r="G76" s="245"/>
    </row>
    <row r="77" spans="1:7" x14ac:dyDescent="0.2">
      <c r="B77" s="765" t="s">
        <v>1463</v>
      </c>
      <c r="C77" s="758" t="s">
        <v>1256</v>
      </c>
    </row>
    <row r="78" spans="1:7" x14ac:dyDescent="0.2">
      <c r="B78" s="763" t="s">
        <v>1464</v>
      </c>
      <c r="C78" s="758" t="s">
        <v>1479</v>
      </c>
    </row>
    <row r="79" spans="1:7" x14ac:dyDescent="0.2">
      <c r="B79" s="764" t="s">
        <v>1465</v>
      </c>
      <c r="C79" s="758" t="s">
        <v>15</v>
      </c>
    </row>
    <row r="80" spans="1:7" x14ac:dyDescent="0.2">
      <c r="B80" s="766" t="s">
        <v>1466</v>
      </c>
      <c r="C80" s="758" t="s">
        <v>15</v>
      </c>
    </row>
    <row r="81" spans="2:3" x14ac:dyDescent="0.2">
      <c r="B81" s="764" t="s">
        <v>1467</v>
      </c>
      <c r="C81" s="758" t="s">
        <v>1479</v>
      </c>
    </row>
    <row r="82" spans="2:3" x14ac:dyDescent="0.2">
      <c r="B82" s="764" t="s">
        <v>1468</v>
      </c>
      <c r="C82" s="758" t="s">
        <v>15</v>
      </c>
    </row>
    <row r="83" spans="2:3" ht="13.5" thickBot="1" x14ac:dyDescent="0.25">
      <c r="B83" s="764" t="s">
        <v>1469</v>
      </c>
      <c r="C83" s="758" t="s">
        <v>15</v>
      </c>
    </row>
    <row r="84" spans="2:3" x14ac:dyDescent="0.2">
      <c r="B84" s="765" t="s">
        <v>1470</v>
      </c>
      <c r="C84" s="758" t="s">
        <v>1256</v>
      </c>
    </row>
    <row r="85" spans="2:3" x14ac:dyDescent="0.2">
      <c r="B85" s="763" t="s">
        <v>1471</v>
      </c>
      <c r="C85" s="758" t="s">
        <v>1479</v>
      </c>
    </row>
    <row r="86" spans="2:3" x14ac:dyDescent="0.2">
      <c r="B86" s="764" t="s">
        <v>1472</v>
      </c>
      <c r="C86" s="758" t="s">
        <v>15</v>
      </c>
    </row>
    <row r="87" spans="2:3" x14ac:dyDescent="0.2">
      <c r="B87" s="767" t="s">
        <v>1473</v>
      </c>
      <c r="C87" s="758" t="s">
        <v>15</v>
      </c>
    </row>
    <row r="88" spans="2:3" x14ac:dyDescent="0.2">
      <c r="B88" s="768" t="s">
        <v>1474</v>
      </c>
      <c r="C88" s="758" t="s">
        <v>1479</v>
      </c>
    </row>
    <row r="89" spans="2:3" ht="13.5" thickBot="1" x14ac:dyDescent="0.25">
      <c r="B89" s="769" t="s">
        <v>1475</v>
      </c>
      <c r="C89" s="758" t="s">
        <v>1475</v>
      </c>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DS380"/>
  <sheetViews>
    <sheetView topLeftCell="A94" workbookViewId="0">
      <selection activeCell="I134" sqref="I134"/>
    </sheetView>
  </sheetViews>
  <sheetFormatPr baseColWidth="10" defaultColWidth="11.42578125" defaultRowHeight="12.75" x14ac:dyDescent="0.2"/>
  <cols>
    <col min="1" max="2" width="23.28515625" style="631" customWidth="1"/>
    <col min="3" max="3" width="10.85546875" style="631" customWidth="1"/>
    <col min="4" max="5" width="25.28515625" style="631" customWidth="1"/>
    <col min="6" max="6" width="25.7109375" style="631" customWidth="1"/>
    <col min="7" max="7" width="17.42578125" style="631" customWidth="1"/>
    <col min="8" max="9" width="22.5703125" style="631" customWidth="1"/>
    <col min="10" max="10" width="11.42578125" style="631" customWidth="1"/>
    <col min="11" max="11" width="11.42578125" style="669" customWidth="1"/>
    <col min="12" max="12" width="12.7109375" style="669" customWidth="1"/>
    <col min="13" max="14" width="11.42578125" style="631" customWidth="1"/>
    <col min="15" max="15" width="22.28515625" style="631" customWidth="1"/>
    <col min="16" max="16" width="11.42578125" style="631" customWidth="1"/>
    <col min="17" max="17" width="15.85546875" style="631" customWidth="1"/>
    <col min="18" max="18" width="14.85546875" style="669" customWidth="1"/>
    <col min="19" max="19" width="12.28515625" style="669" customWidth="1"/>
    <col min="20" max="20" width="12.5703125" style="669" customWidth="1"/>
    <col min="21" max="21" width="18.7109375" style="631" customWidth="1"/>
    <col min="22" max="22" width="19" style="631" customWidth="1"/>
    <col min="23" max="23" width="11.42578125" customWidth="1"/>
    <col min="24" max="24" width="11.42578125" style="938" customWidth="1"/>
    <col min="25" max="120" width="11.42578125" style="631" customWidth="1"/>
    <col min="121" max="16384" width="11.42578125" style="631"/>
  </cols>
  <sheetData>
    <row r="1" spans="1:120" ht="18.75" customHeight="1" x14ac:dyDescent="0.2">
      <c r="D1" s="631">
        <v>1</v>
      </c>
      <c r="E1" s="631">
        <f>COLUMN(E1)-COLUMN($D$1)+1</f>
        <v>2</v>
      </c>
      <c r="F1" s="631">
        <f>COLUMN(F1)-COLUMN($D$1)+1</f>
        <v>3</v>
      </c>
      <c r="G1" s="631">
        <f t="shared" ref="G1:BP1" si="0">COLUMN(G1)-COLUMN($D$1)+1</f>
        <v>4</v>
      </c>
      <c r="H1" s="631">
        <f t="shared" si="0"/>
        <v>5</v>
      </c>
      <c r="I1" s="631">
        <f t="shared" si="0"/>
        <v>6</v>
      </c>
      <c r="J1" s="631">
        <f t="shared" si="0"/>
        <v>7</v>
      </c>
      <c r="K1" s="631">
        <f t="shared" si="0"/>
        <v>8</v>
      </c>
      <c r="L1" s="631">
        <f t="shared" si="0"/>
        <v>9</v>
      </c>
      <c r="M1" s="631">
        <f t="shared" si="0"/>
        <v>10</v>
      </c>
      <c r="N1" s="631">
        <f>COLUMN(N1)-COLUMN($D$1)+1</f>
        <v>11</v>
      </c>
      <c r="O1" s="631">
        <f>COLUMN(O1)-COLUMN($D$1)+1</f>
        <v>12</v>
      </c>
      <c r="P1" s="631">
        <f t="shared" si="0"/>
        <v>13</v>
      </c>
      <c r="Q1" s="631">
        <f t="shared" si="0"/>
        <v>14</v>
      </c>
      <c r="R1" s="631">
        <f t="shared" si="0"/>
        <v>15</v>
      </c>
      <c r="S1" s="631">
        <f t="shared" si="0"/>
        <v>16</v>
      </c>
      <c r="T1" s="631">
        <f t="shared" si="0"/>
        <v>17</v>
      </c>
      <c r="U1" s="631">
        <f t="shared" si="0"/>
        <v>18</v>
      </c>
      <c r="V1" s="631">
        <f t="shared" si="0"/>
        <v>19</v>
      </c>
      <c r="W1" s="631">
        <f t="shared" si="0"/>
        <v>20</v>
      </c>
      <c r="X1" s="631">
        <f t="shared" si="0"/>
        <v>21</v>
      </c>
      <c r="Y1" s="631">
        <f t="shared" si="0"/>
        <v>22</v>
      </c>
      <c r="Z1" s="631">
        <f t="shared" si="0"/>
        <v>23</v>
      </c>
      <c r="AA1" s="631">
        <f t="shared" si="0"/>
        <v>24</v>
      </c>
      <c r="AB1" s="631">
        <f t="shared" si="0"/>
        <v>25</v>
      </c>
      <c r="AC1" s="631">
        <f t="shared" si="0"/>
        <v>26</v>
      </c>
      <c r="AD1" s="631">
        <f t="shared" si="0"/>
        <v>27</v>
      </c>
      <c r="AE1" s="631">
        <f t="shared" si="0"/>
        <v>28</v>
      </c>
      <c r="AF1" s="631">
        <f t="shared" si="0"/>
        <v>29</v>
      </c>
      <c r="AG1" s="631">
        <f t="shared" si="0"/>
        <v>30</v>
      </c>
      <c r="AH1" s="631">
        <f t="shared" si="0"/>
        <v>31</v>
      </c>
      <c r="AI1" s="631">
        <f t="shared" si="0"/>
        <v>32</v>
      </c>
      <c r="AJ1" s="631">
        <f t="shared" si="0"/>
        <v>33</v>
      </c>
      <c r="AK1" s="631">
        <f t="shared" si="0"/>
        <v>34</v>
      </c>
      <c r="AL1" s="631">
        <f t="shared" si="0"/>
        <v>35</v>
      </c>
      <c r="AM1" s="631">
        <f t="shared" si="0"/>
        <v>36</v>
      </c>
      <c r="AN1" s="631">
        <f t="shared" si="0"/>
        <v>37</v>
      </c>
      <c r="AO1" s="631">
        <f t="shared" si="0"/>
        <v>38</v>
      </c>
      <c r="AP1" s="631">
        <f t="shared" si="0"/>
        <v>39</v>
      </c>
      <c r="AQ1" s="631">
        <f t="shared" si="0"/>
        <v>40</v>
      </c>
      <c r="AR1" s="631">
        <f t="shared" si="0"/>
        <v>41</v>
      </c>
      <c r="AS1" s="631">
        <f t="shared" si="0"/>
        <v>42</v>
      </c>
      <c r="AT1" s="631">
        <f t="shared" si="0"/>
        <v>43</v>
      </c>
      <c r="AU1" s="631">
        <f t="shared" si="0"/>
        <v>44</v>
      </c>
      <c r="AV1" s="631">
        <f t="shared" si="0"/>
        <v>45</v>
      </c>
      <c r="AW1" s="631">
        <f t="shared" si="0"/>
        <v>46</v>
      </c>
      <c r="AX1" s="631">
        <f t="shared" si="0"/>
        <v>47</v>
      </c>
      <c r="AY1" s="631">
        <f t="shared" si="0"/>
        <v>48</v>
      </c>
      <c r="AZ1" s="631">
        <f t="shared" si="0"/>
        <v>49</v>
      </c>
      <c r="BA1" s="631">
        <f t="shared" si="0"/>
        <v>50</v>
      </c>
      <c r="BB1" s="631">
        <f t="shared" si="0"/>
        <v>51</v>
      </c>
      <c r="BC1" s="631">
        <f t="shared" si="0"/>
        <v>52</v>
      </c>
      <c r="BD1" s="631">
        <f t="shared" si="0"/>
        <v>53</v>
      </c>
      <c r="BE1" s="631">
        <f t="shared" si="0"/>
        <v>54</v>
      </c>
      <c r="BF1" s="631">
        <f t="shared" si="0"/>
        <v>55</v>
      </c>
      <c r="BG1" s="631">
        <f t="shared" si="0"/>
        <v>56</v>
      </c>
      <c r="BH1" s="631">
        <f t="shared" si="0"/>
        <v>57</v>
      </c>
      <c r="BI1" s="631">
        <f t="shared" si="0"/>
        <v>58</v>
      </c>
      <c r="BJ1" s="631">
        <f t="shared" si="0"/>
        <v>59</v>
      </c>
      <c r="BK1" s="631">
        <f t="shared" si="0"/>
        <v>60</v>
      </c>
      <c r="BL1" s="631">
        <f t="shared" si="0"/>
        <v>61</v>
      </c>
      <c r="BM1" s="631">
        <f t="shared" si="0"/>
        <v>62</v>
      </c>
      <c r="BN1" s="631">
        <f t="shared" si="0"/>
        <v>63</v>
      </c>
      <c r="BO1" s="631">
        <f t="shared" si="0"/>
        <v>64</v>
      </c>
      <c r="BP1" s="631">
        <f t="shared" si="0"/>
        <v>65</v>
      </c>
      <c r="BQ1" s="631">
        <f t="shared" ref="BQ1:DP1" si="1">COLUMN(BQ1)-COLUMN($D$1)+1</f>
        <v>66</v>
      </c>
      <c r="BR1" s="631">
        <f t="shared" si="1"/>
        <v>67</v>
      </c>
      <c r="BS1" s="631">
        <f t="shared" si="1"/>
        <v>68</v>
      </c>
      <c r="BT1" s="631">
        <f t="shared" si="1"/>
        <v>69</v>
      </c>
      <c r="BU1" s="631">
        <f t="shared" si="1"/>
        <v>70</v>
      </c>
      <c r="BV1" s="631">
        <f t="shared" si="1"/>
        <v>71</v>
      </c>
      <c r="BW1" s="631">
        <f t="shared" si="1"/>
        <v>72</v>
      </c>
      <c r="BX1" s="631">
        <f t="shared" si="1"/>
        <v>73</v>
      </c>
      <c r="BY1" s="631">
        <f t="shared" si="1"/>
        <v>74</v>
      </c>
      <c r="BZ1" s="631">
        <f t="shared" si="1"/>
        <v>75</v>
      </c>
      <c r="CA1" s="631">
        <f t="shared" si="1"/>
        <v>76</v>
      </c>
      <c r="CB1" s="631">
        <f t="shared" si="1"/>
        <v>77</v>
      </c>
      <c r="CC1" s="631">
        <f t="shared" si="1"/>
        <v>78</v>
      </c>
      <c r="CD1" s="631">
        <f t="shared" si="1"/>
        <v>79</v>
      </c>
      <c r="CE1" s="631">
        <f t="shared" si="1"/>
        <v>80</v>
      </c>
      <c r="CF1" s="631">
        <f t="shared" si="1"/>
        <v>81</v>
      </c>
      <c r="CG1" s="631">
        <f t="shared" si="1"/>
        <v>82</v>
      </c>
      <c r="CH1" s="631">
        <f t="shared" si="1"/>
        <v>83</v>
      </c>
      <c r="CI1" s="631">
        <f t="shared" si="1"/>
        <v>84</v>
      </c>
      <c r="CJ1" s="631">
        <f t="shared" si="1"/>
        <v>85</v>
      </c>
      <c r="CK1" s="631">
        <f t="shared" si="1"/>
        <v>86</v>
      </c>
      <c r="CL1" s="631">
        <f t="shared" si="1"/>
        <v>87</v>
      </c>
      <c r="CM1" s="631">
        <f t="shared" si="1"/>
        <v>88</v>
      </c>
      <c r="CN1" s="631">
        <f t="shared" si="1"/>
        <v>89</v>
      </c>
      <c r="CO1" s="631">
        <f t="shared" si="1"/>
        <v>90</v>
      </c>
      <c r="CP1" s="631">
        <f t="shared" si="1"/>
        <v>91</v>
      </c>
      <c r="CQ1" s="631">
        <f t="shared" si="1"/>
        <v>92</v>
      </c>
      <c r="CR1" s="631">
        <f t="shared" si="1"/>
        <v>93</v>
      </c>
      <c r="CS1" s="631">
        <f t="shared" si="1"/>
        <v>94</v>
      </c>
      <c r="CT1" s="631">
        <f t="shared" si="1"/>
        <v>95</v>
      </c>
      <c r="CU1" s="631">
        <f t="shared" si="1"/>
        <v>96</v>
      </c>
      <c r="CV1" s="631">
        <f t="shared" si="1"/>
        <v>97</v>
      </c>
      <c r="CW1" s="631">
        <f t="shared" si="1"/>
        <v>98</v>
      </c>
      <c r="CX1" s="631">
        <f t="shared" si="1"/>
        <v>99</v>
      </c>
      <c r="CY1" s="631">
        <f t="shared" si="1"/>
        <v>100</v>
      </c>
      <c r="CZ1" s="631">
        <f t="shared" si="1"/>
        <v>101</v>
      </c>
      <c r="DA1" s="631">
        <f t="shared" si="1"/>
        <v>102</v>
      </c>
      <c r="DB1" s="631">
        <f t="shared" si="1"/>
        <v>103</v>
      </c>
      <c r="DC1" s="631">
        <f t="shared" si="1"/>
        <v>104</v>
      </c>
      <c r="DD1" s="631">
        <f t="shared" si="1"/>
        <v>105</v>
      </c>
      <c r="DE1" s="631">
        <f t="shared" si="1"/>
        <v>106</v>
      </c>
      <c r="DF1" s="631">
        <f t="shared" si="1"/>
        <v>107</v>
      </c>
      <c r="DG1" s="631">
        <f t="shared" si="1"/>
        <v>108</v>
      </c>
      <c r="DH1" s="631">
        <f t="shared" si="1"/>
        <v>109</v>
      </c>
      <c r="DI1" s="631">
        <f t="shared" si="1"/>
        <v>110</v>
      </c>
      <c r="DJ1" s="631">
        <f t="shared" si="1"/>
        <v>111</v>
      </c>
      <c r="DK1" s="631">
        <f t="shared" si="1"/>
        <v>112</v>
      </c>
      <c r="DL1" s="631">
        <f t="shared" si="1"/>
        <v>113</v>
      </c>
      <c r="DM1" s="631">
        <f t="shared" si="1"/>
        <v>114</v>
      </c>
      <c r="DN1" s="631">
        <f t="shared" si="1"/>
        <v>115</v>
      </c>
      <c r="DO1" s="631">
        <f t="shared" si="1"/>
        <v>116</v>
      </c>
      <c r="DP1" s="631">
        <f t="shared" si="1"/>
        <v>117</v>
      </c>
    </row>
    <row r="2" spans="1:120" s="144" customFormat="1" x14ac:dyDescent="0.2">
      <c r="I2" s="358"/>
      <c r="P2" s="358"/>
      <c r="R2" s="1446" t="str">
        <f>IF(COUNTIF(Kulturen[Ertragsstufen],0),"Daten überprüfen, 0 enthalten","")</f>
        <v/>
      </c>
    </row>
    <row r="3" spans="1:120" ht="13.5" thickBot="1" x14ac:dyDescent="0.25">
      <c r="D3" s="1358" t="s">
        <v>506</v>
      </c>
      <c r="E3" s="938" t="s">
        <v>2376</v>
      </c>
      <c r="F3" s="632" t="s">
        <v>371</v>
      </c>
      <c r="G3" s="632" t="s">
        <v>520</v>
      </c>
      <c r="H3" s="633" t="s">
        <v>522</v>
      </c>
      <c r="I3" s="938" t="s">
        <v>2425</v>
      </c>
      <c r="J3" s="636" t="s">
        <v>508</v>
      </c>
      <c r="K3" s="632" t="s">
        <v>525</v>
      </c>
      <c r="L3" s="632" t="s">
        <v>526</v>
      </c>
      <c r="M3" s="632" t="s">
        <v>510</v>
      </c>
      <c r="N3" s="632" t="s">
        <v>509</v>
      </c>
      <c r="O3" s="633" t="s">
        <v>507</v>
      </c>
      <c r="P3" s="255" t="s">
        <v>1579</v>
      </c>
      <c r="Q3" s="632" t="s">
        <v>512</v>
      </c>
      <c r="R3" s="632" t="s">
        <v>1022</v>
      </c>
      <c r="S3" s="632" t="s">
        <v>514</v>
      </c>
      <c r="T3" s="632" t="s">
        <v>515</v>
      </c>
      <c r="U3" s="634" t="s">
        <v>527</v>
      </c>
      <c r="V3" s="635" t="s">
        <v>530</v>
      </c>
    </row>
    <row r="4" spans="1:120" ht="26.25" customHeight="1" x14ac:dyDescent="0.25">
      <c r="A4" s="637"/>
      <c r="B4" s="637"/>
      <c r="C4" s="1537" t="s">
        <v>1266</v>
      </c>
      <c r="D4" s="687"/>
      <c r="E4" s="687"/>
      <c r="F4" s="686"/>
      <c r="G4" s="638" t="s">
        <v>521</v>
      </c>
      <c r="H4" s="640" t="s">
        <v>523</v>
      </c>
      <c r="I4" s="892" t="s">
        <v>1562</v>
      </c>
      <c r="J4" s="648" t="s">
        <v>138</v>
      </c>
      <c r="K4" s="642" t="s">
        <v>71</v>
      </c>
      <c r="L4" s="642" t="s">
        <v>71</v>
      </c>
      <c r="M4" s="643" t="s">
        <v>511</v>
      </c>
      <c r="N4" s="641" t="s">
        <v>126</v>
      </c>
      <c r="O4" s="639" t="s">
        <v>504</v>
      </c>
      <c r="P4" s="918" t="s">
        <v>1577</v>
      </c>
      <c r="Q4" s="644" t="s">
        <v>394</v>
      </c>
      <c r="R4" s="645" t="s">
        <v>52</v>
      </c>
      <c r="S4" s="1535" t="s">
        <v>53</v>
      </c>
      <c r="T4" s="1536"/>
      <c r="U4" s="646" t="s">
        <v>528</v>
      </c>
      <c r="V4" s="647" t="s">
        <v>51</v>
      </c>
      <c r="W4" s="1538" t="s">
        <v>1272</v>
      </c>
      <c r="X4" s="1448" t="s">
        <v>2414</v>
      </c>
      <c r="Y4" s="661" t="s">
        <v>1792</v>
      </c>
    </row>
    <row r="5" spans="1:120" ht="38.25" x14ac:dyDescent="0.2">
      <c r="A5" s="757"/>
      <c r="B5" s="673" t="s">
        <v>1260</v>
      </c>
      <c r="C5" s="1537"/>
      <c r="D5" s="649"/>
      <c r="E5" s="649"/>
      <c r="F5" s="649"/>
      <c r="G5" s="638" t="s">
        <v>300</v>
      </c>
      <c r="H5" s="650" t="s">
        <v>524</v>
      </c>
      <c r="I5" s="650"/>
      <c r="J5" s="648" t="s">
        <v>341</v>
      </c>
      <c r="K5" s="652" t="s">
        <v>72</v>
      </c>
      <c r="L5" s="652" t="s">
        <v>81</v>
      </c>
      <c r="M5" s="653" t="s">
        <v>13</v>
      </c>
      <c r="N5" s="651" t="s">
        <v>66</v>
      </c>
      <c r="O5" s="638"/>
      <c r="P5" s="919" t="s">
        <v>1578</v>
      </c>
      <c r="Q5" s="654" t="s">
        <v>516</v>
      </c>
      <c r="R5" s="655" t="s">
        <v>55</v>
      </c>
      <c r="S5" s="656" t="s">
        <v>56</v>
      </c>
      <c r="T5" s="657" t="s">
        <v>57</v>
      </c>
      <c r="U5" s="658" t="s">
        <v>529</v>
      </c>
      <c r="V5" s="659" t="s">
        <v>531</v>
      </c>
      <c r="W5" s="1538"/>
      <c r="X5" s="1448"/>
    </row>
    <row r="6" spans="1:120" ht="13.5" thickBot="1" x14ac:dyDescent="0.25">
      <c r="A6" s="637"/>
      <c r="B6" s="637"/>
      <c r="C6" s="637">
        <f>COUNTIF(Tabelle3[Auswahl],"x")</f>
        <v>0</v>
      </c>
      <c r="D6" s="660"/>
      <c r="E6" s="660"/>
      <c r="F6" s="660"/>
      <c r="H6" s="661"/>
      <c r="I6" s="661"/>
      <c r="K6" s="663" t="s">
        <v>73</v>
      </c>
      <c r="L6" s="663" t="s">
        <v>73</v>
      </c>
      <c r="M6" s="664" t="s">
        <v>77</v>
      </c>
      <c r="N6" s="662" t="s">
        <v>125</v>
      </c>
      <c r="P6" s="920" t="s">
        <v>93</v>
      </c>
      <c r="Q6" s="665" t="s">
        <v>59</v>
      </c>
      <c r="R6" s="666" t="s">
        <v>58</v>
      </c>
      <c r="S6" s="666" t="s">
        <v>59</v>
      </c>
      <c r="T6" s="667" t="s">
        <v>59</v>
      </c>
      <c r="U6" s="663" t="s">
        <v>59</v>
      </c>
      <c r="V6" s="668"/>
      <c r="W6" s="1538"/>
      <c r="X6" s="1448"/>
    </row>
    <row r="7" spans="1:120" x14ac:dyDescent="0.2">
      <c r="A7" s="674" t="s">
        <v>1491</v>
      </c>
      <c r="B7" s="674" t="s">
        <v>1264</v>
      </c>
      <c r="C7" s="674" t="s">
        <v>1261</v>
      </c>
      <c r="D7" s="674" t="s">
        <v>67</v>
      </c>
      <c r="E7" s="674" t="s">
        <v>2421</v>
      </c>
      <c r="F7" s="674" t="s">
        <v>2420</v>
      </c>
      <c r="G7" s="675" t="s">
        <v>520</v>
      </c>
      <c r="H7" s="675" t="s">
        <v>2419</v>
      </c>
      <c r="I7" s="675" t="s">
        <v>1562</v>
      </c>
      <c r="J7" s="630" t="s">
        <v>1265</v>
      </c>
      <c r="K7" s="677" t="s">
        <v>2418</v>
      </c>
      <c r="L7" s="676" t="s">
        <v>2417</v>
      </c>
      <c r="M7" s="678" t="s">
        <v>13</v>
      </c>
      <c r="N7" s="676" t="s">
        <v>192</v>
      </c>
      <c r="O7" s="675" t="s">
        <v>2416</v>
      </c>
      <c r="P7" s="678" t="s">
        <v>1580</v>
      </c>
      <c r="Q7" s="682" t="s">
        <v>2415</v>
      </c>
      <c r="R7" s="679" t="s">
        <v>1262</v>
      </c>
      <c r="S7" s="680" t="s">
        <v>56</v>
      </c>
      <c r="T7" s="681" t="s">
        <v>57</v>
      </c>
      <c r="U7" s="676" t="s">
        <v>1180</v>
      </c>
      <c r="V7" s="682" t="s">
        <v>2422</v>
      </c>
      <c r="W7" s="688" t="s">
        <v>1299</v>
      </c>
      <c r="X7" s="688" t="s">
        <v>2423</v>
      </c>
      <c r="Y7" s="688" t="s">
        <v>1696</v>
      </c>
      <c r="Z7" s="688" t="s">
        <v>1697</v>
      </c>
      <c r="AA7" s="688" t="s">
        <v>1698</v>
      </c>
      <c r="AB7" s="688" t="s">
        <v>1699</v>
      </c>
      <c r="AC7" s="688" t="s">
        <v>1700</v>
      </c>
      <c r="AD7" s="688" t="s">
        <v>1701</v>
      </c>
      <c r="AE7" s="688" t="s">
        <v>1702</v>
      </c>
      <c r="AF7" s="688" t="s">
        <v>1703</v>
      </c>
      <c r="AG7" s="688" t="s">
        <v>1704</v>
      </c>
      <c r="AH7" s="688" t="s">
        <v>1705</v>
      </c>
      <c r="AI7" s="688" t="s">
        <v>1706</v>
      </c>
      <c r="AJ7" s="688" t="s">
        <v>1707</v>
      </c>
      <c r="AK7" s="688" t="s">
        <v>1708</v>
      </c>
      <c r="AL7" s="688" t="s">
        <v>1709</v>
      </c>
      <c r="AM7" s="688" t="s">
        <v>1710</v>
      </c>
      <c r="AN7" s="688" t="s">
        <v>1711</v>
      </c>
      <c r="AO7" s="688" t="s">
        <v>1712</v>
      </c>
      <c r="AP7" s="688" t="s">
        <v>1713</v>
      </c>
      <c r="AQ7" s="688" t="s">
        <v>1714</v>
      </c>
      <c r="AR7" s="688" t="s">
        <v>1715</v>
      </c>
      <c r="AS7" s="688" t="s">
        <v>1716</v>
      </c>
      <c r="AT7" s="688" t="s">
        <v>1717</v>
      </c>
      <c r="AU7" s="688" t="s">
        <v>1718</v>
      </c>
      <c r="AV7" s="688" t="s">
        <v>1719</v>
      </c>
      <c r="AW7" s="688" t="s">
        <v>1720</v>
      </c>
      <c r="AX7" s="688" t="s">
        <v>1721</v>
      </c>
      <c r="AY7" s="688" t="s">
        <v>1722</v>
      </c>
      <c r="AZ7" s="688" t="s">
        <v>1723</v>
      </c>
      <c r="BA7" s="688" t="s">
        <v>1724</v>
      </c>
      <c r="BB7" s="688" t="s">
        <v>1725</v>
      </c>
      <c r="BC7" s="688" t="s">
        <v>1726</v>
      </c>
      <c r="BD7" s="688" t="s">
        <v>1727</v>
      </c>
      <c r="BE7" s="688" t="s">
        <v>1728</v>
      </c>
      <c r="BF7" s="688" t="s">
        <v>1729</v>
      </c>
      <c r="BG7" s="688" t="s">
        <v>1730</v>
      </c>
      <c r="BH7" s="688" t="s">
        <v>1731</v>
      </c>
      <c r="BI7" s="688" t="s">
        <v>1732</v>
      </c>
      <c r="BJ7" s="688" t="s">
        <v>1733</v>
      </c>
      <c r="BK7" s="688" t="s">
        <v>1734</v>
      </c>
      <c r="BL7" s="688" t="s">
        <v>1735</v>
      </c>
      <c r="BM7" s="688" t="s">
        <v>1736</v>
      </c>
      <c r="BN7" s="688" t="s">
        <v>1737</v>
      </c>
      <c r="BO7" s="688" t="s">
        <v>1738</v>
      </c>
      <c r="BP7" s="688" t="s">
        <v>1739</v>
      </c>
      <c r="BQ7" s="688" t="s">
        <v>1740</v>
      </c>
      <c r="BR7" s="688" t="s">
        <v>1741</v>
      </c>
      <c r="BS7" s="688" t="s">
        <v>1742</v>
      </c>
      <c r="BT7" s="688" t="s">
        <v>1743</v>
      </c>
      <c r="BU7" s="688" t="s">
        <v>1744</v>
      </c>
      <c r="BV7" s="688" t="s">
        <v>1745</v>
      </c>
      <c r="BW7" s="688" t="s">
        <v>1746</v>
      </c>
      <c r="BX7" s="688" t="s">
        <v>1747</v>
      </c>
      <c r="BY7" s="688" t="s">
        <v>1748</v>
      </c>
      <c r="BZ7" s="688" t="s">
        <v>1749</v>
      </c>
      <c r="CA7" s="688" t="s">
        <v>1750</v>
      </c>
      <c r="CB7" s="688" t="s">
        <v>1751</v>
      </c>
      <c r="CC7" s="688" t="s">
        <v>1752</v>
      </c>
      <c r="CD7" s="688" t="s">
        <v>1753</v>
      </c>
      <c r="CE7" s="688" t="s">
        <v>1754</v>
      </c>
      <c r="CF7" s="688" t="s">
        <v>1755</v>
      </c>
      <c r="CG7" s="688" t="s">
        <v>1756</v>
      </c>
      <c r="CH7" s="688" t="s">
        <v>1757</v>
      </c>
      <c r="CI7" s="688" t="s">
        <v>1758</v>
      </c>
      <c r="CJ7" s="688" t="s">
        <v>1759</v>
      </c>
      <c r="CK7" s="688" t="s">
        <v>1760</v>
      </c>
      <c r="CL7" s="688" t="s">
        <v>1761</v>
      </c>
      <c r="CM7" s="688" t="s">
        <v>1762</v>
      </c>
      <c r="CN7" s="688" t="s">
        <v>1763</v>
      </c>
      <c r="CO7" s="688" t="s">
        <v>1764</v>
      </c>
      <c r="CP7" s="688" t="s">
        <v>1765</v>
      </c>
      <c r="CQ7" s="688" t="s">
        <v>1766</v>
      </c>
      <c r="CR7" s="688" t="s">
        <v>1767</v>
      </c>
      <c r="CS7" s="688" t="s">
        <v>1768</v>
      </c>
      <c r="CT7" s="688" t="s">
        <v>1769</v>
      </c>
      <c r="CU7" s="688" t="s">
        <v>1770</v>
      </c>
      <c r="CV7" s="688" t="s">
        <v>1771</v>
      </c>
      <c r="CW7" s="688" t="s">
        <v>1772</v>
      </c>
      <c r="CX7" s="688" t="s">
        <v>1773</v>
      </c>
      <c r="CY7" s="688" t="s">
        <v>1774</v>
      </c>
      <c r="CZ7" s="688" t="s">
        <v>1775</v>
      </c>
      <c r="DA7" s="688" t="s">
        <v>1776</v>
      </c>
      <c r="DB7" s="688" t="s">
        <v>1777</v>
      </c>
      <c r="DC7" s="688" t="s">
        <v>1778</v>
      </c>
      <c r="DD7" s="688" t="s">
        <v>1779</v>
      </c>
      <c r="DE7" s="688" t="s">
        <v>1780</v>
      </c>
      <c r="DF7" s="688" t="s">
        <v>1781</v>
      </c>
      <c r="DG7" s="688" t="s">
        <v>1782</v>
      </c>
      <c r="DH7" s="688" t="s">
        <v>1783</v>
      </c>
      <c r="DI7" s="688" t="s">
        <v>1784</v>
      </c>
      <c r="DJ7" s="688" t="s">
        <v>1785</v>
      </c>
      <c r="DK7" s="688" t="s">
        <v>1786</v>
      </c>
      <c r="DL7" s="688" t="s">
        <v>1787</v>
      </c>
      <c r="DM7" s="688" t="s">
        <v>1788</v>
      </c>
      <c r="DN7" s="688" t="s">
        <v>1789</v>
      </c>
      <c r="DO7" s="688" t="s">
        <v>1790</v>
      </c>
      <c r="DP7" s="688" t="s">
        <v>1791</v>
      </c>
    </row>
    <row r="8" spans="1:120" x14ac:dyDescent="0.2">
      <c r="A8" s="637" t="str">
        <f>CONCATENATE(" ",Kulturen[[#This Row],[HF]])</f>
        <v xml:space="preserve">  --  </v>
      </c>
      <c r="B8" s="772" t="s">
        <v>496</v>
      </c>
      <c r="C8" s="772" t="s">
        <v>315</v>
      </c>
      <c r="D8" s="772" t="s">
        <v>496</v>
      </c>
      <c r="E8" s="772"/>
      <c r="F8" s="772" t="s">
        <v>91</v>
      </c>
      <c r="G8" s="1401">
        <v>90</v>
      </c>
      <c r="H8" s="776">
        <v>0</v>
      </c>
      <c r="I8" s="776">
        <v>4</v>
      </c>
      <c r="J8" s="776">
        <v>1</v>
      </c>
      <c r="K8" s="917">
        <v>0</v>
      </c>
      <c r="L8" s="776">
        <v>0</v>
      </c>
      <c r="M8" s="917">
        <v>0</v>
      </c>
      <c r="N8" s="776">
        <v>0</v>
      </c>
      <c r="O8" s="776">
        <v>0</v>
      </c>
      <c r="P8" s="917">
        <v>0</v>
      </c>
      <c r="Q8" s="917">
        <v>0</v>
      </c>
      <c r="R8" s="1406">
        <v>10</v>
      </c>
      <c r="S8" s="1406">
        <v>0</v>
      </c>
      <c r="T8" s="1406">
        <v>0</v>
      </c>
      <c r="U8" s="776">
        <v>0</v>
      </c>
      <c r="V8" s="776">
        <v>0</v>
      </c>
      <c r="W8" s="776">
        <f>IF(Kulturen[[#This Row],[Berechnungsschema]]=13,3,IF(Kulturen[[#This Row],[Berechnungsschema]]=6,2,1))</f>
        <v>1</v>
      </c>
      <c r="X8" s="776">
        <f>IF(Kulturen[[#This Row],[fruchtartengruppe]]=13,Kulturen[[#This Row],[NBedarfswert]],MAX(0,Kulturen[[#This Row],[NBedarfswert]]-Kulturen[[#This Row],[Ertrag]]*Kulturen[[#This Row],[Nfix]]))</f>
        <v>0</v>
      </c>
      <c r="Y8" s="776" t="s">
        <v>2127</v>
      </c>
      <c r="Z8" s="776" t="s">
        <v>2127</v>
      </c>
      <c r="AA8" s="776" t="s">
        <v>2127</v>
      </c>
      <c r="AB8" s="776" t="s">
        <v>2127</v>
      </c>
      <c r="AC8" s="776" t="s">
        <v>2127</v>
      </c>
      <c r="AD8" s="776" t="s">
        <v>2127</v>
      </c>
      <c r="AE8" s="776" t="s">
        <v>2127</v>
      </c>
      <c r="AF8" s="776" t="s">
        <v>2127</v>
      </c>
      <c r="AG8" s="776" t="s">
        <v>2127</v>
      </c>
      <c r="AH8" s="776" t="s">
        <v>2127</v>
      </c>
      <c r="AI8" s="776" t="s">
        <v>2127</v>
      </c>
      <c r="AJ8" s="776" t="s">
        <v>2127</v>
      </c>
      <c r="AK8" s="776" t="s">
        <v>2127</v>
      </c>
      <c r="AL8" s="776" t="s">
        <v>2127</v>
      </c>
      <c r="AM8" s="776" t="s">
        <v>2127</v>
      </c>
      <c r="AN8" s="776" t="s">
        <v>2127</v>
      </c>
      <c r="AO8" s="776" t="s">
        <v>2127</v>
      </c>
      <c r="AP8" s="776" t="s">
        <v>2127</v>
      </c>
      <c r="AQ8" s="776" t="s">
        <v>2127</v>
      </c>
      <c r="AR8" s="776" t="s">
        <v>2127</v>
      </c>
      <c r="AS8" s="776" t="s">
        <v>2127</v>
      </c>
      <c r="AT8" s="776" t="s">
        <v>2127</v>
      </c>
      <c r="AU8" s="776" t="s">
        <v>2127</v>
      </c>
      <c r="AV8" s="776" t="s">
        <v>2127</v>
      </c>
      <c r="AW8" s="776" t="s">
        <v>2127</v>
      </c>
      <c r="AX8" s="776" t="s">
        <v>2127</v>
      </c>
      <c r="AY8" s="776" t="s">
        <v>2127</v>
      </c>
      <c r="AZ8" s="776" t="s">
        <v>2127</v>
      </c>
      <c r="BA8" s="776" t="s">
        <v>2127</v>
      </c>
      <c r="BB8" s="776" t="s">
        <v>2127</v>
      </c>
      <c r="BC8" s="776" t="s">
        <v>2127</v>
      </c>
      <c r="BD8" s="776" t="s">
        <v>2127</v>
      </c>
      <c r="BE8" s="776" t="s">
        <v>2127</v>
      </c>
      <c r="BF8" s="776" t="s">
        <v>2127</v>
      </c>
      <c r="BG8" s="776" t="s">
        <v>2127</v>
      </c>
      <c r="BH8" s="776" t="s">
        <v>2127</v>
      </c>
      <c r="BI8" s="776" t="s">
        <v>2127</v>
      </c>
      <c r="BJ8" s="776" t="s">
        <v>2127</v>
      </c>
      <c r="BK8" s="776" t="s">
        <v>2127</v>
      </c>
      <c r="BL8" s="776" t="s">
        <v>2127</v>
      </c>
      <c r="BM8" s="776" t="s">
        <v>2127</v>
      </c>
      <c r="BN8" s="776" t="s">
        <v>2127</v>
      </c>
      <c r="BO8" s="776" t="s">
        <v>2127</v>
      </c>
      <c r="BP8" s="776" t="s">
        <v>2127</v>
      </c>
      <c r="BQ8" s="776" t="s">
        <v>2127</v>
      </c>
      <c r="BR8" s="776" t="s">
        <v>2127</v>
      </c>
      <c r="BS8" s="776" t="s">
        <v>2127</v>
      </c>
      <c r="BT8" s="776" t="s">
        <v>2127</v>
      </c>
      <c r="BU8" s="776" t="s">
        <v>2127</v>
      </c>
      <c r="BV8" s="776" t="s">
        <v>2127</v>
      </c>
      <c r="BW8" s="776" t="s">
        <v>2127</v>
      </c>
      <c r="BX8" s="776" t="s">
        <v>2127</v>
      </c>
      <c r="BY8" s="776" t="s">
        <v>2127</v>
      </c>
      <c r="BZ8" s="776" t="s">
        <v>2127</v>
      </c>
      <c r="CA8" s="776" t="s">
        <v>2127</v>
      </c>
      <c r="CB8" s="776" t="s">
        <v>2127</v>
      </c>
      <c r="CC8" s="776" t="s">
        <v>2127</v>
      </c>
      <c r="CD8" s="776" t="s">
        <v>2127</v>
      </c>
      <c r="CE8" s="776" t="s">
        <v>2127</v>
      </c>
      <c r="CF8" s="776" t="s">
        <v>2127</v>
      </c>
      <c r="CG8" s="776" t="s">
        <v>2127</v>
      </c>
      <c r="CH8" s="776" t="s">
        <v>2127</v>
      </c>
      <c r="CI8" s="776" t="s">
        <v>2127</v>
      </c>
      <c r="CJ8" s="776" t="s">
        <v>2127</v>
      </c>
      <c r="CK8" s="776" t="s">
        <v>2127</v>
      </c>
      <c r="CL8" s="776" t="s">
        <v>2127</v>
      </c>
      <c r="CM8" s="776" t="s">
        <v>2127</v>
      </c>
      <c r="CN8" s="776" t="s">
        <v>2127</v>
      </c>
      <c r="CO8" s="776" t="s">
        <v>2127</v>
      </c>
      <c r="CP8" s="776" t="s">
        <v>2127</v>
      </c>
      <c r="CQ8" s="776" t="s">
        <v>2127</v>
      </c>
      <c r="CR8" s="776" t="s">
        <v>2127</v>
      </c>
      <c r="CS8" s="776" t="s">
        <v>2127</v>
      </c>
      <c r="CT8" s="776" t="s">
        <v>2127</v>
      </c>
      <c r="CU8" s="776" t="s">
        <v>2127</v>
      </c>
      <c r="CV8" s="776" t="s">
        <v>2127</v>
      </c>
      <c r="CW8" s="776" t="s">
        <v>2127</v>
      </c>
      <c r="CX8" s="776" t="s">
        <v>2127</v>
      </c>
      <c r="CY8" s="776" t="s">
        <v>2127</v>
      </c>
      <c r="CZ8" s="776" t="s">
        <v>2127</v>
      </c>
      <c r="DA8" s="776" t="s">
        <v>2127</v>
      </c>
      <c r="DB8" s="776" t="s">
        <v>2127</v>
      </c>
      <c r="DC8" s="776" t="s">
        <v>2127</v>
      </c>
      <c r="DD8" s="776" t="s">
        <v>2127</v>
      </c>
      <c r="DE8" s="776" t="s">
        <v>2127</v>
      </c>
      <c r="DF8" s="776" t="s">
        <v>2127</v>
      </c>
      <c r="DG8" s="776" t="s">
        <v>2127</v>
      </c>
      <c r="DH8" s="776" t="s">
        <v>2127</v>
      </c>
      <c r="DI8" s="776" t="s">
        <v>2127</v>
      </c>
      <c r="DJ8" s="776" t="s">
        <v>2127</v>
      </c>
      <c r="DK8" s="776" t="s">
        <v>2127</v>
      </c>
      <c r="DL8" s="776" t="s">
        <v>2127</v>
      </c>
      <c r="DM8" s="776" t="s">
        <v>2127</v>
      </c>
      <c r="DN8" s="776" t="s">
        <v>2127</v>
      </c>
      <c r="DO8" s="776" t="s">
        <v>2127</v>
      </c>
      <c r="DP8" s="776" t="s">
        <v>2127</v>
      </c>
    </row>
    <row r="9" spans="1:120" x14ac:dyDescent="0.2">
      <c r="A9" s="637" t="str">
        <f>CONCATENATE(" ",Kulturen[[#This Row],[HF]])</f>
        <v xml:space="preserve"> #</v>
      </c>
      <c r="B9" s="772" t="str" cm="1">
        <f t="array" ref="B9">IFERROR(INDEX(Kulturen[HF],_xlfn.AGGREGATE(15,6,(ROW(Kulturen[Auswahl])-7)/(--(SEARCH("x",Kulturen[Auswahl])&gt;0)),ROW()-7),1),"")</f>
        <v xml:space="preserve"> ++ nach Vorlage ++</v>
      </c>
      <c r="C9" s="772" t="str">
        <f>Vorauswahl!C378</f>
        <v/>
      </c>
      <c r="D9" s="772" t="str">
        <f>IF(F9="#","#",CONCATENATE("*",Vorauswahl!B378," ",F9))</f>
        <v>#</v>
      </c>
      <c r="E9" s="772"/>
      <c r="F9" s="359" t="str">
        <f>IF(Vorauswahl!N378="OK",Vorauswahl!D378,"#")</f>
        <v>#</v>
      </c>
      <c r="G9" s="1401">
        <f>IF(Vorauswahl!M378="",11,VLOOKUP(Vorauswahl!M378,'#Boden'!$G$38:$H$41,2,FALSE))</f>
        <v>11</v>
      </c>
      <c r="H9" s="1401">
        <v>7</v>
      </c>
      <c r="I9" s="1401">
        <v>1</v>
      </c>
      <c r="J9" s="412">
        <f>IF(OR(Kulturen[[#This Row],[fruchtartengruppe]]=6,Kulturen[[#This Row],[fruchtartengruppe]]=12),Kulturen[[#This Row],[fruchtartengruppe]],90)</f>
        <v>90</v>
      </c>
      <c r="K9" s="1414">
        <f>Vorauswahl!J378</f>
        <v>0</v>
      </c>
      <c r="L9" s="1414">
        <f>K9</f>
        <v>0</v>
      </c>
      <c r="M9" s="773">
        <f>Vorauswahl!E378</f>
        <v>0</v>
      </c>
      <c r="N9" s="1401">
        <f>Vorauswahl!L378</f>
        <v>0</v>
      </c>
      <c r="O9" s="1401">
        <v>0</v>
      </c>
      <c r="P9" s="773">
        <v>0</v>
      </c>
      <c r="Q9" s="773">
        <f>Vorauswahl!F378</f>
        <v>0</v>
      </c>
      <c r="R9" s="773">
        <f>IF(Vorauswahl!G378="",10,Vorauswahl!G378)</f>
        <v>10</v>
      </c>
      <c r="S9" s="773">
        <f>Vorauswahl!H378</f>
        <v>0</v>
      </c>
      <c r="T9" s="773">
        <f>Vorauswahl!I378</f>
        <v>0</v>
      </c>
      <c r="U9" s="773">
        <f>Vorauswahl!K378</f>
        <v>0</v>
      </c>
      <c r="V9" s="773">
        <v>3</v>
      </c>
      <c r="W9" s="776">
        <f>IF(Kulturen[[#This Row],[Berechnungsschema]]=13,3,IF(Kulturen[[#This Row],[Berechnungsschema]]=6,2,1))</f>
        <v>1</v>
      </c>
      <c r="X9" s="776">
        <f>IF(Kulturen[[#This Row],[fruchtartengruppe]]=13,Kulturen[[#This Row],[NBedarfswert]],MAX(0,Kulturen[[#This Row],[NBedarfswert]]-Kulturen[[#This Row],[Ertrag]]*Kulturen[[#This Row],[Nfix]]))</f>
        <v>0</v>
      </c>
      <c r="Y9" s="776" t="s">
        <v>2127</v>
      </c>
      <c r="Z9" s="776" t="s">
        <v>2127</v>
      </c>
      <c r="AA9" s="776" t="s">
        <v>2127</v>
      </c>
      <c r="AB9" s="776" t="s">
        <v>2127</v>
      </c>
      <c r="AC9" s="776" t="s">
        <v>2127</v>
      </c>
      <c r="AD9" s="776" t="s">
        <v>2127</v>
      </c>
      <c r="AE9" s="776" t="s">
        <v>2127</v>
      </c>
      <c r="AF9" s="776" t="s">
        <v>2127</v>
      </c>
      <c r="AG9" s="776" t="s">
        <v>2127</v>
      </c>
      <c r="AH9" s="776" t="s">
        <v>2127</v>
      </c>
      <c r="AI9" s="776" t="s">
        <v>2127</v>
      </c>
      <c r="AJ9" s="776" t="s">
        <v>2127</v>
      </c>
      <c r="AK9" s="776" t="s">
        <v>2127</v>
      </c>
      <c r="AL9" s="776" t="s">
        <v>2127</v>
      </c>
      <c r="AM9" s="776" t="s">
        <v>2127</v>
      </c>
      <c r="AN9" s="776" t="s">
        <v>2127</v>
      </c>
      <c r="AO9" s="776" t="s">
        <v>2127</v>
      </c>
      <c r="AP9" s="776" t="s">
        <v>2127</v>
      </c>
      <c r="AQ9" s="776" t="s">
        <v>2127</v>
      </c>
      <c r="AR9" s="776" t="s">
        <v>2127</v>
      </c>
      <c r="AS9" s="776" t="s">
        <v>2127</v>
      </c>
      <c r="AT9" s="776" t="s">
        <v>2127</v>
      </c>
      <c r="AU9" s="776" t="s">
        <v>2127</v>
      </c>
      <c r="AV9" s="776" t="s">
        <v>2127</v>
      </c>
      <c r="AW9" s="776" t="s">
        <v>2127</v>
      </c>
      <c r="AX9" s="776" t="s">
        <v>2127</v>
      </c>
      <c r="AY9" s="776" t="s">
        <v>2127</v>
      </c>
      <c r="AZ9" s="776" t="s">
        <v>2127</v>
      </c>
      <c r="BA9" s="776" t="s">
        <v>2127</v>
      </c>
      <c r="BB9" s="776" t="s">
        <v>2127</v>
      </c>
      <c r="BC9" s="776" t="s">
        <v>2127</v>
      </c>
      <c r="BD9" s="776" t="s">
        <v>2127</v>
      </c>
      <c r="BE9" s="776" t="s">
        <v>2127</v>
      </c>
      <c r="BF9" s="776" t="s">
        <v>2127</v>
      </c>
      <c r="BG9" s="776" t="s">
        <v>2127</v>
      </c>
      <c r="BH9" s="776" t="s">
        <v>2127</v>
      </c>
      <c r="BI9" s="776" t="s">
        <v>2127</v>
      </c>
      <c r="BJ9" s="776" t="s">
        <v>2127</v>
      </c>
      <c r="BK9" s="776" t="s">
        <v>2127</v>
      </c>
      <c r="BL9" s="776" t="s">
        <v>2127</v>
      </c>
      <c r="BM9" s="776" t="s">
        <v>2127</v>
      </c>
      <c r="BN9" s="776" t="s">
        <v>2127</v>
      </c>
      <c r="BO9" s="776" t="s">
        <v>2127</v>
      </c>
      <c r="BP9" s="776" t="s">
        <v>2127</v>
      </c>
      <c r="BQ9" s="776" t="s">
        <v>2127</v>
      </c>
      <c r="BR9" s="776" t="s">
        <v>2127</v>
      </c>
      <c r="BS9" s="776" t="s">
        <v>2127</v>
      </c>
      <c r="BT9" s="776" t="s">
        <v>2127</v>
      </c>
      <c r="BU9" s="776" t="s">
        <v>2127</v>
      </c>
      <c r="BV9" s="776" t="s">
        <v>2127</v>
      </c>
      <c r="BW9" s="776" t="s">
        <v>2127</v>
      </c>
      <c r="BX9" s="776" t="s">
        <v>2127</v>
      </c>
      <c r="BY9" s="776" t="s">
        <v>2127</v>
      </c>
      <c r="BZ9" s="776" t="s">
        <v>2127</v>
      </c>
      <c r="CA9" s="776" t="s">
        <v>2127</v>
      </c>
      <c r="CB9" s="776" t="s">
        <v>2127</v>
      </c>
      <c r="CC9" s="776" t="s">
        <v>2127</v>
      </c>
      <c r="CD9" s="776" t="s">
        <v>2127</v>
      </c>
      <c r="CE9" s="776" t="s">
        <v>2127</v>
      </c>
      <c r="CF9" s="776" t="s">
        <v>2127</v>
      </c>
      <c r="CG9" s="776" t="s">
        <v>2127</v>
      </c>
      <c r="CH9" s="776" t="s">
        <v>2127</v>
      </c>
      <c r="CI9" s="776" t="s">
        <v>2127</v>
      </c>
      <c r="CJ9" s="776" t="s">
        <v>2127</v>
      </c>
      <c r="CK9" s="776" t="s">
        <v>2127</v>
      </c>
      <c r="CL9" s="776" t="s">
        <v>2127</v>
      </c>
      <c r="CM9" s="776" t="s">
        <v>2127</v>
      </c>
      <c r="CN9" s="776" t="s">
        <v>2127</v>
      </c>
      <c r="CO9" s="776" t="s">
        <v>2127</v>
      </c>
      <c r="CP9" s="776" t="s">
        <v>2127</v>
      </c>
      <c r="CQ9" s="776" t="s">
        <v>2127</v>
      </c>
      <c r="CR9" s="776" t="s">
        <v>2127</v>
      </c>
      <c r="CS9" s="776" t="s">
        <v>2127</v>
      </c>
      <c r="CT9" s="776" t="s">
        <v>2127</v>
      </c>
      <c r="CU9" s="776" t="s">
        <v>2127</v>
      </c>
      <c r="CV9" s="776" t="s">
        <v>2127</v>
      </c>
      <c r="CW9" s="776" t="s">
        <v>2127</v>
      </c>
      <c r="CX9" s="776" t="s">
        <v>2127</v>
      </c>
      <c r="CY9" s="776" t="s">
        <v>2127</v>
      </c>
      <c r="CZ9" s="776" t="s">
        <v>2127</v>
      </c>
      <c r="DA9" s="776" t="s">
        <v>2127</v>
      </c>
      <c r="DB9" s="776" t="s">
        <v>2127</v>
      </c>
      <c r="DC9" s="776" t="s">
        <v>2127</v>
      </c>
      <c r="DD9" s="776" t="s">
        <v>2127</v>
      </c>
      <c r="DE9" s="776" t="s">
        <v>2127</v>
      </c>
      <c r="DF9" s="776" t="s">
        <v>2127</v>
      </c>
      <c r="DG9" s="776" t="s">
        <v>2127</v>
      </c>
      <c r="DH9" s="776" t="s">
        <v>2127</v>
      </c>
      <c r="DI9" s="776" t="s">
        <v>2127</v>
      </c>
      <c r="DJ9" s="776" t="s">
        <v>2127</v>
      </c>
      <c r="DK9" s="776" t="s">
        <v>2127</v>
      </c>
      <c r="DL9" s="776" t="s">
        <v>2127</v>
      </c>
      <c r="DM9" s="776" t="s">
        <v>2127</v>
      </c>
      <c r="DN9" s="776" t="s">
        <v>2127</v>
      </c>
      <c r="DO9" s="776" t="s">
        <v>2127</v>
      </c>
      <c r="DP9" s="776" t="s">
        <v>2127</v>
      </c>
    </row>
    <row r="10" spans="1:120" x14ac:dyDescent="0.2">
      <c r="A10" s="637" t="str">
        <f>CONCATENATE(" ",Kulturen[[#This Row],[HF]])</f>
        <v xml:space="preserve"> #</v>
      </c>
      <c r="B10" s="772" t="str" cm="1">
        <f t="array" ref="B10">IFERROR(INDEX(Kulturen[HF],_xlfn.AGGREGATE(15,6,(ROW(Kulturen[Auswahl])-7)/(--(SEARCH("x",Kulturen[Auswahl])&gt;0)),ROW()-7),1),"")</f>
        <v xml:space="preserve"> +++ Grünland +++</v>
      </c>
      <c r="C10" s="772" t="str">
        <f>Vorauswahl!C379</f>
        <v/>
      </c>
      <c r="D10" s="772" t="str">
        <f>IF(F10="#","#",CONCATENATE("*",Vorauswahl!B379," ",F10))</f>
        <v>#</v>
      </c>
      <c r="E10" s="772"/>
      <c r="F10" s="359" t="str">
        <f>IF(Vorauswahl!N379="OK",Vorauswahl!D379,"#")</f>
        <v>#</v>
      </c>
      <c r="G10" s="1401">
        <f>IF(Vorauswahl!M379="",11,VLOOKUP(Vorauswahl!M379,'#Boden'!$G$38:$H$41,2,FALSE))</f>
        <v>11</v>
      </c>
      <c r="H10" s="1401">
        <v>7</v>
      </c>
      <c r="I10" s="1401">
        <v>1</v>
      </c>
      <c r="J10" s="412">
        <f>IF(OR(Kulturen[[#This Row],[fruchtartengruppe]]=6,Kulturen[[#This Row],[fruchtartengruppe]]=12),Kulturen[[#This Row],[fruchtartengruppe]],90)</f>
        <v>90</v>
      </c>
      <c r="K10" s="1414">
        <f>Vorauswahl!J379</f>
        <v>0</v>
      </c>
      <c r="L10" s="1414">
        <f t="shared" ref="L10:L18" si="2">K10</f>
        <v>0</v>
      </c>
      <c r="M10" s="773">
        <f>Vorauswahl!E379</f>
        <v>0</v>
      </c>
      <c r="N10" s="1401">
        <f>Vorauswahl!L379</f>
        <v>0</v>
      </c>
      <c r="O10" s="1401">
        <v>0</v>
      </c>
      <c r="P10" s="773">
        <v>0</v>
      </c>
      <c r="Q10" s="773">
        <f>Vorauswahl!F379</f>
        <v>0</v>
      </c>
      <c r="R10" s="773">
        <f>IF(Vorauswahl!G379="",10,Vorauswahl!G379)</f>
        <v>10</v>
      </c>
      <c r="S10" s="773">
        <f>Vorauswahl!H379</f>
        <v>0</v>
      </c>
      <c r="T10" s="773">
        <f>Vorauswahl!I379</f>
        <v>0</v>
      </c>
      <c r="U10" s="773">
        <f>Vorauswahl!K379</f>
        <v>0</v>
      </c>
      <c r="V10" s="773">
        <v>3</v>
      </c>
      <c r="W10" s="776">
        <f>IF(Kulturen[[#This Row],[Berechnungsschema]]=13,3,IF(Kulturen[[#This Row],[Berechnungsschema]]=6,2,1))</f>
        <v>1</v>
      </c>
      <c r="X10" s="776">
        <f>IF(Kulturen[[#This Row],[fruchtartengruppe]]=13,Kulturen[[#This Row],[NBedarfswert]],MAX(0,Kulturen[[#This Row],[NBedarfswert]]-Kulturen[[#This Row],[Ertrag]]*Kulturen[[#This Row],[Nfix]]))</f>
        <v>0</v>
      </c>
      <c r="Y10" s="776" t="s">
        <v>2127</v>
      </c>
      <c r="Z10" s="776" t="s">
        <v>2127</v>
      </c>
      <c r="AA10" s="776" t="s">
        <v>2127</v>
      </c>
      <c r="AB10" s="776" t="s">
        <v>2127</v>
      </c>
      <c r="AC10" s="776" t="s">
        <v>2127</v>
      </c>
      <c r="AD10" s="776" t="s">
        <v>2127</v>
      </c>
      <c r="AE10" s="776" t="s">
        <v>2127</v>
      </c>
      <c r="AF10" s="776" t="s">
        <v>2127</v>
      </c>
      <c r="AG10" s="776" t="s">
        <v>2127</v>
      </c>
      <c r="AH10" s="776" t="s">
        <v>2127</v>
      </c>
      <c r="AI10" s="776" t="s">
        <v>2127</v>
      </c>
      <c r="AJ10" s="776" t="s">
        <v>2127</v>
      </c>
      <c r="AK10" s="776" t="s">
        <v>2127</v>
      </c>
      <c r="AL10" s="776" t="s">
        <v>2127</v>
      </c>
      <c r="AM10" s="776" t="s">
        <v>2127</v>
      </c>
      <c r="AN10" s="776" t="s">
        <v>2127</v>
      </c>
      <c r="AO10" s="776" t="s">
        <v>2127</v>
      </c>
      <c r="AP10" s="776" t="s">
        <v>2127</v>
      </c>
      <c r="AQ10" s="776" t="s">
        <v>2127</v>
      </c>
      <c r="AR10" s="776" t="s">
        <v>2127</v>
      </c>
      <c r="AS10" s="776" t="s">
        <v>2127</v>
      </c>
      <c r="AT10" s="776" t="s">
        <v>2127</v>
      </c>
      <c r="AU10" s="776" t="s">
        <v>2127</v>
      </c>
      <c r="AV10" s="776" t="s">
        <v>2127</v>
      </c>
      <c r="AW10" s="776" t="s">
        <v>2127</v>
      </c>
      <c r="AX10" s="776" t="s">
        <v>2127</v>
      </c>
      <c r="AY10" s="776" t="s">
        <v>2127</v>
      </c>
      <c r="AZ10" s="776" t="s">
        <v>2127</v>
      </c>
      <c r="BA10" s="776" t="s">
        <v>2127</v>
      </c>
      <c r="BB10" s="776" t="s">
        <v>2127</v>
      </c>
      <c r="BC10" s="776" t="s">
        <v>2127</v>
      </c>
      <c r="BD10" s="776" t="s">
        <v>2127</v>
      </c>
      <c r="BE10" s="776" t="s">
        <v>2127</v>
      </c>
      <c r="BF10" s="776" t="s">
        <v>2127</v>
      </c>
      <c r="BG10" s="776" t="s">
        <v>2127</v>
      </c>
      <c r="BH10" s="776" t="s">
        <v>2127</v>
      </c>
      <c r="BI10" s="776" t="s">
        <v>2127</v>
      </c>
      <c r="BJ10" s="776" t="s">
        <v>2127</v>
      </c>
      <c r="BK10" s="776" t="s">
        <v>2127</v>
      </c>
      <c r="BL10" s="776" t="s">
        <v>2127</v>
      </c>
      <c r="BM10" s="776" t="s">
        <v>2127</v>
      </c>
      <c r="BN10" s="776" t="s">
        <v>2127</v>
      </c>
      <c r="BO10" s="776" t="s">
        <v>2127</v>
      </c>
      <c r="BP10" s="776" t="s">
        <v>2127</v>
      </c>
      <c r="BQ10" s="776" t="s">
        <v>2127</v>
      </c>
      <c r="BR10" s="776" t="s">
        <v>2127</v>
      </c>
      <c r="BS10" s="776" t="s">
        <v>2127</v>
      </c>
      <c r="BT10" s="776" t="s">
        <v>2127</v>
      </c>
      <c r="BU10" s="776" t="s">
        <v>2127</v>
      </c>
      <c r="BV10" s="776" t="s">
        <v>2127</v>
      </c>
      <c r="BW10" s="776" t="s">
        <v>2127</v>
      </c>
      <c r="BX10" s="776" t="s">
        <v>2127</v>
      </c>
      <c r="BY10" s="776" t="s">
        <v>2127</v>
      </c>
      <c r="BZ10" s="776" t="s">
        <v>2127</v>
      </c>
      <c r="CA10" s="776" t="s">
        <v>2127</v>
      </c>
      <c r="CB10" s="776" t="s">
        <v>2127</v>
      </c>
      <c r="CC10" s="776" t="s">
        <v>2127</v>
      </c>
      <c r="CD10" s="776" t="s">
        <v>2127</v>
      </c>
      <c r="CE10" s="776" t="s">
        <v>2127</v>
      </c>
      <c r="CF10" s="776" t="s">
        <v>2127</v>
      </c>
      <c r="CG10" s="776" t="s">
        <v>2127</v>
      </c>
      <c r="CH10" s="776" t="s">
        <v>2127</v>
      </c>
      <c r="CI10" s="776" t="s">
        <v>2127</v>
      </c>
      <c r="CJ10" s="776" t="s">
        <v>2127</v>
      </c>
      <c r="CK10" s="776" t="s">
        <v>2127</v>
      </c>
      <c r="CL10" s="776" t="s">
        <v>2127</v>
      </c>
      <c r="CM10" s="776" t="s">
        <v>2127</v>
      </c>
      <c r="CN10" s="776" t="s">
        <v>2127</v>
      </c>
      <c r="CO10" s="776" t="s">
        <v>2127</v>
      </c>
      <c r="CP10" s="776" t="s">
        <v>2127</v>
      </c>
      <c r="CQ10" s="776" t="s">
        <v>2127</v>
      </c>
      <c r="CR10" s="776" t="s">
        <v>2127</v>
      </c>
      <c r="CS10" s="776" t="s">
        <v>2127</v>
      </c>
      <c r="CT10" s="776" t="s">
        <v>2127</v>
      </c>
      <c r="CU10" s="776" t="s">
        <v>2127</v>
      </c>
      <c r="CV10" s="776" t="s">
        <v>2127</v>
      </c>
      <c r="CW10" s="776" t="s">
        <v>2127</v>
      </c>
      <c r="CX10" s="776" t="s">
        <v>2127</v>
      </c>
      <c r="CY10" s="776" t="s">
        <v>2127</v>
      </c>
      <c r="CZ10" s="776" t="s">
        <v>2127</v>
      </c>
      <c r="DA10" s="776" t="s">
        <v>2127</v>
      </c>
      <c r="DB10" s="776" t="s">
        <v>2127</v>
      </c>
      <c r="DC10" s="776" t="s">
        <v>2127</v>
      </c>
      <c r="DD10" s="776" t="s">
        <v>2127</v>
      </c>
      <c r="DE10" s="776" t="s">
        <v>2127</v>
      </c>
      <c r="DF10" s="776" t="s">
        <v>2127</v>
      </c>
      <c r="DG10" s="776" t="s">
        <v>2127</v>
      </c>
      <c r="DH10" s="776" t="s">
        <v>2127</v>
      </c>
      <c r="DI10" s="776" t="s">
        <v>2127</v>
      </c>
      <c r="DJ10" s="776" t="s">
        <v>2127</v>
      </c>
      <c r="DK10" s="776" t="s">
        <v>2127</v>
      </c>
      <c r="DL10" s="776" t="s">
        <v>2127</v>
      </c>
      <c r="DM10" s="776" t="s">
        <v>2127</v>
      </c>
      <c r="DN10" s="776" t="s">
        <v>2127</v>
      </c>
      <c r="DO10" s="776" t="s">
        <v>2127</v>
      </c>
      <c r="DP10" s="776" t="s">
        <v>2127</v>
      </c>
    </row>
    <row r="11" spans="1:120" x14ac:dyDescent="0.2">
      <c r="A11" s="637" t="str">
        <f>CONCATENATE(" ",Kulturen[[#This Row],[HF]])</f>
        <v xml:space="preserve"> #</v>
      </c>
      <c r="B11" s="772" t="str" cm="1">
        <f t="array" ref="B11">IFERROR(INDEX(Kulturen[HF],_xlfn.AGGREGATE(15,6,(ROW(Kulturen[Auswahl])-7)/(--(SEARCH("x",Kulturen[Auswahl])&gt;0)),ROW()-7),1),"")</f>
        <v>Streuwiese</v>
      </c>
      <c r="C11" s="772" t="str">
        <f>Vorauswahl!C380</f>
        <v/>
      </c>
      <c r="D11" s="772" t="str">
        <f>IF(F11="#","#",CONCATENATE("*",Vorauswahl!B380," ",F11))</f>
        <v>#</v>
      </c>
      <c r="E11" s="772"/>
      <c r="F11" s="359" t="str">
        <f>IF(Vorauswahl!N380="OK",Vorauswahl!D380,"#")</f>
        <v>#</v>
      </c>
      <c r="G11" s="1401">
        <f>IF(Vorauswahl!M380="",11,VLOOKUP(Vorauswahl!M380,'#Boden'!$G$38:$H$41,2,FALSE))</f>
        <v>11</v>
      </c>
      <c r="H11" s="1401">
        <v>7</v>
      </c>
      <c r="I11" s="1401">
        <v>1</v>
      </c>
      <c r="J11" s="412">
        <f>IF(OR(Kulturen[[#This Row],[fruchtartengruppe]]=6,Kulturen[[#This Row],[fruchtartengruppe]]=12),Kulturen[[#This Row],[fruchtartengruppe]],90)</f>
        <v>90</v>
      </c>
      <c r="K11" s="1414">
        <f>Vorauswahl!J380</f>
        <v>0</v>
      </c>
      <c r="L11" s="1414">
        <f t="shared" si="2"/>
        <v>0</v>
      </c>
      <c r="M11" s="773">
        <f>Vorauswahl!E380</f>
        <v>0</v>
      </c>
      <c r="N11" s="1401">
        <f>Vorauswahl!L380</f>
        <v>0</v>
      </c>
      <c r="O11" s="1401">
        <v>0</v>
      </c>
      <c r="P11" s="773">
        <v>0</v>
      </c>
      <c r="Q11" s="773">
        <f>Vorauswahl!F380</f>
        <v>0</v>
      </c>
      <c r="R11" s="773">
        <f>IF(Vorauswahl!G380="",10,Vorauswahl!G380)</f>
        <v>10</v>
      </c>
      <c r="S11" s="773">
        <f>Vorauswahl!H380</f>
        <v>0</v>
      </c>
      <c r="T11" s="773">
        <f>Vorauswahl!I380</f>
        <v>0</v>
      </c>
      <c r="U11" s="773">
        <f>Vorauswahl!K380</f>
        <v>0</v>
      </c>
      <c r="V11" s="773">
        <v>3</v>
      </c>
      <c r="W11" s="776">
        <f>IF(Kulturen[[#This Row],[Berechnungsschema]]=13,3,IF(Kulturen[[#This Row],[Berechnungsschema]]=6,2,1))</f>
        <v>1</v>
      </c>
      <c r="X11" s="776">
        <f>IF(Kulturen[[#This Row],[fruchtartengruppe]]=13,Kulturen[[#This Row],[NBedarfswert]],MAX(0,Kulturen[[#This Row],[NBedarfswert]]-Kulturen[[#This Row],[Ertrag]]*Kulturen[[#This Row],[Nfix]]))</f>
        <v>0</v>
      </c>
      <c r="Y11" s="776" t="s">
        <v>2127</v>
      </c>
      <c r="Z11" s="776" t="s">
        <v>2127</v>
      </c>
      <c r="AA11" s="776" t="s">
        <v>2127</v>
      </c>
      <c r="AB11" s="776" t="s">
        <v>2127</v>
      </c>
      <c r="AC11" s="776" t="s">
        <v>2127</v>
      </c>
      <c r="AD11" s="776" t="s">
        <v>2127</v>
      </c>
      <c r="AE11" s="776" t="s">
        <v>2127</v>
      </c>
      <c r="AF11" s="776" t="s">
        <v>2127</v>
      </c>
      <c r="AG11" s="776" t="s">
        <v>2127</v>
      </c>
      <c r="AH11" s="776" t="s">
        <v>2127</v>
      </c>
      <c r="AI11" s="776" t="s">
        <v>2127</v>
      </c>
      <c r="AJ11" s="776" t="s">
        <v>2127</v>
      </c>
      <c r="AK11" s="776" t="s">
        <v>2127</v>
      </c>
      <c r="AL11" s="776" t="s">
        <v>2127</v>
      </c>
      <c r="AM11" s="776" t="s">
        <v>2127</v>
      </c>
      <c r="AN11" s="776" t="s">
        <v>2127</v>
      </c>
      <c r="AO11" s="776" t="s">
        <v>2127</v>
      </c>
      <c r="AP11" s="776" t="s">
        <v>2127</v>
      </c>
      <c r="AQ11" s="776" t="s">
        <v>2127</v>
      </c>
      <c r="AR11" s="776" t="s">
        <v>2127</v>
      </c>
      <c r="AS11" s="776" t="s">
        <v>2127</v>
      </c>
      <c r="AT11" s="776" t="s">
        <v>2127</v>
      </c>
      <c r="AU11" s="776" t="s">
        <v>2127</v>
      </c>
      <c r="AV11" s="776" t="s">
        <v>2127</v>
      </c>
      <c r="AW11" s="776" t="s">
        <v>2127</v>
      </c>
      <c r="AX11" s="776" t="s">
        <v>2127</v>
      </c>
      <c r="AY11" s="776" t="s">
        <v>2127</v>
      </c>
      <c r="AZ11" s="776" t="s">
        <v>2127</v>
      </c>
      <c r="BA11" s="776" t="s">
        <v>2127</v>
      </c>
      <c r="BB11" s="776" t="s">
        <v>2127</v>
      </c>
      <c r="BC11" s="776" t="s">
        <v>2127</v>
      </c>
      <c r="BD11" s="776" t="s">
        <v>2127</v>
      </c>
      <c r="BE11" s="776" t="s">
        <v>2127</v>
      </c>
      <c r="BF11" s="776" t="s">
        <v>2127</v>
      </c>
      <c r="BG11" s="776" t="s">
        <v>2127</v>
      </c>
      <c r="BH11" s="776" t="s">
        <v>2127</v>
      </c>
      <c r="BI11" s="776" t="s">
        <v>2127</v>
      </c>
      <c r="BJ11" s="776" t="s">
        <v>2127</v>
      </c>
      <c r="BK11" s="776" t="s">
        <v>2127</v>
      </c>
      <c r="BL11" s="776" t="s">
        <v>2127</v>
      </c>
      <c r="BM11" s="776" t="s">
        <v>2127</v>
      </c>
      <c r="BN11" s="776" t="s">
        <v>2127</v>
      </c>
      <c r="BO11" s="776" t="s">
        <v>2127</v>
      </c>
      <c r="BP11" s="776" t="s">
        <v>2127</v>
      </c>
      <c r="BQ11" s="776" t="s">
        <v>2127</v>
      </c>
      <c r="BR11" s="776" t="s">
        <v>2127</v>
      </c>
      <c r="BS11" s="776" t="s">
        <v>2127</v>
      </c>
      <c r="BT11" s="776" t="s">
        <v>2127</v>
      </c>
      <c r="BU11" s="776" t="s">
        <v>2127</v>
      </c>
      <c r="BV11" s="776" t="s">
        <v>2127</v>
      </c>
      <c r="BW11" s="776" t="s">
        <v>2127</v>
      </c>
      <c r="BX11" s="776" t="s">
        <v>2127</v>
      </c>
      <c r="BY11" s="776" t="s">
        <v>2127</v>
      </c>
      <c r="BZ11" s="776" t="s">
        <v>2127</v>
      </c>
      <c r="CA11" s="776" t="s">
        <v>2127</v>
      </c>
      <c r="CB11" s="776" t="s">
        <v>2127</v>
      </c>
      <c r="CC11" s="776" t="s">
        <v>2127</v>
      </c>
      <c r="CD11" s="776" t="s">
        <v>2127</v>
      </c>
      <c r="CE11" s="776" t="s">
        <v>2127</v>
      </c>
      <c r="CF11" s="776" t="s">
        <v>2127</v>
      </c>
      <c r="CG11" s="776" t="s">
        <v>2127</v>
      </c>
      <c r="CH11" s="776" t="s">
        <v>2127</v>
      </c>
      <c r="CI11" s="776" t="s">
        <v>2127</v>
      </c>
      <c r="CJ11" s="776" t="s">
        <v>2127</v>
      </c>
      <c r="CK11" s="776" t="s">
        <v>2127</v>
      </c>
      <c r="CL11" s="776" t="s">
        <v>2127</v>
      </c>
      <c r="CM11" s="776" t="s">
        <v>2127</v>
      </c>
      <c r="CN11" s="776" t="s">
        <v>2127</v>
      </c>
      <c r="CO11" s="776" t="s">
        <v>2127</v>
      </c>
      <c r="CP11" s="776" t="s">
        <v>2127</v>
      </c>
      <c r="CQ11" s="776" t="s">
        <v>2127</v>
      </c>
      <c r="CR11" s="776" t="s">
        <v>2127</v>
      </c>
      <c r="CS11" s="776" t="s">
        <v>2127</v>
      </c>
      <c r="CT11" s="776" t="s">
        <v>2127</v>
      </c>
      <c r="CU11" s="776" t="s">
        <v>2127</v>
      </c>
      <c r="CV11" s="776" t="s">
        <v>2127</v>
      </c>
      <c r="CW11" s="776" t="s">
        <v>2127</v>
      </c>
      <c r="CX11" s="776" t="s">
        <v>2127</v>
      </c>
      <c r="CY11" s="776" t="s">
        <v>2127</v>
      </c>
      <c r="CZ11" s="776" t="s">
        <v>2127</v>
      </c>
      <c r="DA11" s="776" t="s">
        <v>2127</v>
      </c>
      <c r="DB11" s="776" t="s">
        <v>2127</v>
      </c>
      <c r="DC11" s="776" t="s">
        <v>2127</v>
      </c>
      <c r="DD11" s="776" t="s">
        <v>2127</v>
      </c>
      <c r="DE11" s="776" t="s">
        <v>2127</v>
      </c>
      <c r="DF11" s="776" t="s">
        <v>2127</v>
      </c>
      <c r="DG11" s="776" t="s">
        <v>2127</v>
      </c>
      <c r="DH11" s="776" t="s">
        <v>2127</v>
      </c>
      <c r="DI11" s="776" t="s">
        <v>2127</v>
      </c>
      <c r="DJ11" s="776" t="s">
        <v>2127</v>
      </c>
      <c r="DK11" s="776" t="s">
        <v>2127</v>
      </c>
      <c r="DL11" s="776" t="s">
        <v>2127</v>
      </c>
      <c r="DM11" s="776" t="s">
        <v>2127</v>
      </c>
      <c r="DN11" s="776" t="s">
        <v>2127</v>
      </c>
      <c r="DO11" s="776" t="s">
        <v>2127</v>
      </c>
      <c r="DP11" s="776" t="s">
        <v>2127</v>
      </c>
    </row>
    <row r="12" spans="1:120" x14ac:dyDescent="0.2">
      <c r="A12" s="637" t="str">
        <f>CONCATENATE(" ",Kulturen[[#This Row],[HF]])</f>
        <v xml:space="preserve"> #</v>
      </c>
      <c r="B12" s="772" t="str" cm="1">
        <f t="array" ref="B12">IFERROR(INDEX(Kulturen[HF],_xlfn.AGGREGATE(15,6,(ROW(Kulturen[Auswahl])-7)/(--(SEARCH("x",Kulturen[Auswahl])&gt;0)),ROW()-7),1),"")</f>
        <v>ext. Grünland &lt; 5 % Legum.</v>
      </c>
      <c r="C12" s="772" t="str">
        <f>Vorauswahl!C381</f>
        <v/>
      </c>
      <c r="D12" s="772" t="str">
        <f>IF(F12="#","#",CONCATENATE("*",Vorauswahl!B381," ",F12))</f>
        <v>#</v>
      </c>
      <c r="E12" s="772"/>
      <c r="F12" s="359" t="str">
        <f>IF(Vorauswahl!N381="OK",Vorauswahl!D381,"#")</f>
        <v>#</v>
      </c>
      <c r="G12" s="1401">
        <f>IF(Vorauswahl!M381="",11,VLOOKUP(Vorauswahl!M381,'#Boden'!$G$38:$H$41,2,FALSE))</f>
        <v>11</v>
      </c>
      <c r="H12" s="1401">
        <v>7</v>
      </c>
      <c r="I12" s="1401">
        <v>1</v>
      </c>
      <c r="J12" s="412">
        <f>IF(OR(Kulturen[[#This Row],[fruchtartengruppe]]=6,Kulturen[[#This Row],[fruchtartengruppe]]=12),Kulturen[[#This Row],[fruchtartengruppe]],90)</f>
        <v>90</v>
      </c>
      <c r="K12" s="1414">
        <f>Vorauswahl!J381</f>
        <v>0</v>
      </c>
      <c r="L12" s="1414">
        <f t="shared" si="2"/>
        <v>0</v>
      </c>
      <c r="M12" s="773">
        <f>Vorauswahl!E381</f>
        <v>0</v>
      </c>
      <c r="N12" s="1401">
        <f>Vorauswahl!L381</f>
        <v>0</v>
      </c>
      <c r="O12" s="1401">
        <v>0</v>
      </c>
      <c r="P12" s="773">
        <v>0</v>
      </c>
      <c r="Q12" s="773">
        <f>Vorauswahl!F381</f>
        <v>0</v>
      </c>
      <c r="R12" s="773">
        <f>IF(Vorauswahl!G381="",10,Vorauswahl!G381)</f>
        <v>10</v>
      </c>
      <c r="S12" s="773">
        <f>Vorauswahl!H381</f>
        <v>0</v>
      </c>
      <c r="T12" s="773">
        <f>Vorauswahl!I381</f>
        <v>0</v>
      </c>
      <c r="U12" s="773">
        <f>Vorauswahl!K381</f>
        <v>0</v>
      </c>
      <c r="V12" s="773">
        <v>3</v>
      </c>
      <c r="W12" s="776">
        <f>IF(Kulturen[[#This Row],[Berechnungsschema]]=13,3,IF(Kulturen[[#This Row],[Berechnungsschema]]=6,2,1))</f>
        <v>1</v>
      </c>
      <c r="X12" s="776">
        <f>IF(Kulturen[[#This Row],[fruchtartengruppe]]=13,Kulturen[[#This Row],[NBedarfswert]],MAX(0,Kulturen[[#This Row],[NBedarfswert]]-Kulturen[[#This Row],[Ertrag]]*Kulturen[[#This Row],[Nfix]]))</f>
        <v>0</v>
      </c>
      <c r="Y12" s="776" t="s">
        <v>2127</v>
      </c>
      <c r="Z12" s="776" t="s">
        <v>2127</v>
      </c>
      <c r="AA12" s="776" t="s">
        <v>2127</v>
      </c>
      <c r="AB12" s="776" t="s">
        <v>2127</v>
      </c>
      <c r="AC12" s="776" t="s">
        <v>2127</v>
      </c>
      <c r="AD12" s="776" t="s">
        <v>2127</v>
      </c>
      <c r="AE12" s="776" t="s">
        <v>2127</v>
      </c>
      <c r="AF12" s="776" t="s">
        <v>2127</v>
      </c>
      <c r="AG12" s="776" t="s">
        <v>2127</v>
      </c>
      <c r="AH12" s="776" t="s">
        <v>2127</v>
      </c>
      <c r="AI12" s="776" t="s">
        <v>2127</v>
      </c>
      <c r="AJ12" s="776" t="s">
        <v>2127</v>
      </c>
      <c r="AK12" s="776" t="s">
        <v>2127</v>
      </c>
      <c r="AL12" s="776" t="s">
        <v>2127</v>
      </c>
      <c r="AM12" s="776" t="s">
        <v>2127</v>
      </c>
      <c r="AN12" s="776" t="s">
        <v>2127</v>
      </c>
      <c r="AO12" s="776" t="s">
        <v>2127</v>
      </c>
      <c r="AP12" s="776" t="s">
        <v>2127</v>
      </c>
      <c r="AQ12" s="776" t="s">
        <v>2127</v>
      </c>
      <c r="AR12" s="776" t="s">
        <v>2127</v>
      </c>
      <c r="AS12" s="776" t="s">
        <v>2127</v>
      </c>
      <c r="AT12" s="776" t="s">
        <v>2127</v>
      </c>
      <c r="AU12" s="776" t="s">
        <v>2127</v>
      </c>
      <c r="AV12" s="776" t="s">
        <v>2127</v>
      </c>
      <c r="AW12" s="776" t="s">
        <v>2127</v>
      </c>
      <c r="AX12" s="776" t="s">
        <v>2127</v>
      </c>
      <c r="AY12" s="776" t="s">
        <v>2127</v>
      </c>
      <c r="AZ12" s="776" t="s">
        <v>2127</v>
      </c>
      <c r="BA12" s="776" t="s">
        <v>2127</v>
      </c>
      <c r="BB12" s="776" t="s">
        <v>2127</v>
      </c>
      <c r="BC12" s="776" t="s">
        <v>2127</v>
      </c>
      <c r="BD12" s="776" t="s">
        <v>2127</v>
      </c>
      <c r="BE12" s="776" t="s">
        <v>2127</v>
      </c>
      <c r="BF12" s="776" t="s">
        <v>2127</v>
      </c>
      <c r="BG12" s="776" t="s">
        <v>2127</v>
      </c>
      <c r="BH12" s="776" t="s">
        <v>2127</v>
      </c>
      <c r="BI12" s="776" t="s">
        <v>2127</v>
      </c>
      <c r="BJ12" s="776" t="s">
        <v>2127</v>
      </c>
      <c r="BK12" s="776" t="s">
        <v>2127</v>
      </c>
      <c r="BL12" s="776" t="s">
        <v>2127</v>
      </c>
      <c r="BM12" s="776" t="s">
        <v>2127</v>
      </c>
      <c r="BN12" s="776" t="s">
        <v>2127</v>
      </c>
      <c r="BO12" s="776" t="s">
        <v>2127</v>
      </c>
      <c r="BP12" s="776" t="s">
        <v>2127</v>
      </c>
      <c r="BQ12" s="776" t="s">
        <v>2127</v>
      </c>
      <c r="BR12" s="776" t="s">
        <v>2127</v>
      </c>
      <c r="BS12" s="776" t="s">
        <v>2127</v>
      </c>
      <c r="BT12" s="776" t="s">
        <v>2127</v>
      </c>
      <c r="BU12" s="776" t="s">
        <v>2127</v>
      </c>
      <c r="BV12" s="776" t="s">
        <v>2127</v>
      </c>
      <c r="BW12" s="776" t="s">
        <v>2127</v>
      </c>
      <c r="BX12" s="776" t="s">
        <v>2127</v>
      </c>
      <c r="BY12" s="776" t="s">
        <v>2127</v>
      </c>
      <c r="BZ12" s="776" t="s">
        <v>2127</v>
      </c>
      <c r="CA12" s="776" t="s">
        <v>2127</v>
      </c>
      <c r="CB12" s="776" t="s">
        <v>2127</v>
      </c>
      <c r="CC12" s="776" t="s">
        <v>2127</v>
      </c>
      <c r="CD12" s="776" t="s">
        <v>2127</v>
      </c>
      <c r="CE12" s="776" t="s">
        <v>2127</v>
      </c>
      <c r="CF12" s="776" t="s">
        <v>2127</v>
      </c>
      <c r="CG12" s="776" t="s">
        <v>2127</v>
      </c>
      <c r="CH12" s="776" t="s">
        <v>2127</v>
      </c>
      <c r="CI12" s="776" t="s">
        <v>2127</v>
      </c>
      <c r="CJ12" s="776" t="s">
        <v>2127</v>
      </c>
      <c r="CK12" s="776" t="s">
        <v>2127</v>
      </c>
      <c r="CL12" s="776" t="s">
        <v>2127</v>
      </c>
      <c r="CM12" s="776" t="s">
        <v>2127</v>
      </c>
      <c r="CN12" s="776" t="s">
        <v>2127</v>
      </c>
      <c r="CO12" s="776" t="s">
        <v>2127</v>
      </c>
      <c r="CP12" s="776" t="s">
        <v>2127</v>
      </c>
      <c r="CQ12" s="776" t="s">
        <v>2127</v>
      </c>
      <c r="CR12" s="776" t="s">
        <v>2127</v>
      </c>
      <c r="CS12" s="776" t="s">
        <v>2127</v>
      </c>
      <c r="CT12" s="776" t="s">
        <v>2127</v>
      </c>
      <c r="CU12" s="776" t="s">
        <v>2127</v>
      </c>
      <c r="CV12" s="776" t="s">
        <v>2127</v>
      </c>
      <c r="CW12" s="776" t="s">
        <v>2127</v>
      </c>
      <c r="CX12" s="776" t="s">
        <v>2127</v>
      </c>
      <c r="CY12" s="776" t="s">
        <v>2127</v>
      </c>
      <c r="CZ12" s="776" t="s">
        <v>2127</v>
      </c>
      <c r="DA12" s="776" t="s">
        <v>2127</v>
      </c>
      <c r="DB12" s="776" t="s">
        <v>2127</v>
      </c>
      <c r="DC12" s="776" t="s">
        <v>2127</v>
      </c>
      <c r="DD12" s="776" t="s">
        <v>2127</v>
      </c>
      <c r="DE12" s="776" t="s">
        <v>2127</v>
      </c>
      <c r="DF12" s="776" t="s">
        <v>2127</v>
      </c>
      <c r="DG12" s="776" t="s">
        <v>2127</v>
      </c>
      <c r="DH12" s="776" t="s">
        <v>2127</v>
      </c>
      <c r="DI12" s="776" t="s">
        <v>2127</v>
      </c>
      <c r="DJ12" s="776" t="s">
        <v>2127</v>
      </c>
      <c r="DK12" s="776" t="s">
        <v>2127</v>
      </c>
      <c r="DL12" s="776" t="s">
        <v>2127</v>
      </c>
      <c r="DM12" s="776" t="s">
        <v>2127</v>
      </c>
      <c r="DN12" s="776" t="s">
        <v>2127</v>
      </c>
      <c r="DO12" s="776" t="s">
        <v>2127</v>
      </c>
      <c r="DP12" s="776" t="s">
        <v>2127</v>
      </c>
    </row>
    <row r="13" spans="1:120" x14ac:dyDescent="0.2">
      <c r="A13" s="637" t="str">
        <f>CONCATENATE(" ",Kulturen[[#This Row],[HF]])</f>
        <v xml:space="preserve"> #</v>
      </c>
      <c r="B13" s="772" t="str" cm="1">
        <f t="array" ref="B13">IFERROR(INDEX(Kulturen[HF],_xlfn.AGGREGATE(15,6,(ROW(Kulturen[Auswahl])-7)/(--(SEARCH("x",Kulturen[Auswahl])&gt;0)),ROW()-7),1),"")</f>
        <v>ext. Grünland 5-10 % Legum.</v>
      </c>
      <c r="C13" s="772" t="str">
        <f>Vorauswahl!C382</f>
        <v/>
      </c>
      <c r="D13" s="772" t="str">
        <f>IF(F13="#","#",CONCATENATE("*",Vorauswahl!B382," ",F13))</f>
        <v>#</v>
      </c>
      <c r="E13" s="772"/>
      <c r="F13" s="359" t="str">
        <f>IF(Vorauswahl!N382="OK",Vorauswahl!D382,"#")</f>
        <v>#</v>
      </c>
      <c r="G13" s="1401">
        <f>IF(Vorauswahl!M382="",11,VLOOKUP(Vorauswahl!M382,'#Boden'!$G$38:$H$41,2,FALSE))</f>
        <v>11</v>
      </c>
      <c r="H13" s="1401">
        <v>7</v>
      </c>
      <c r="I13" s="1401">
        <v>1</v>
      </c>
      <c r="J13" s="412">
        <f>IF(OR(Kulturen[[#This Row],[fruchtartengruppe]]=6,Kulturen[[#This Row],[fruchtartengruppe]]=12),Kulturen[[#This Row],[fruchtartengruppe]],90)</f>
        <v>90</v>
      </c>
      <c r="K13" s="1414">
        <f>Vorauswahl!J382</f>
        <v>0</v>
      </c>
      <c r="L13" s="1414">
        <f t="shared" si="2"/>
        <v>0</v>
      </c>
      <c r="M13" s="773">
        <f>Vorauswahl!E382</f>
        <v>0</v>
      </c>
      <c r="N13" s="1401">
        <f>Vorauswahl!L382</f>
        <v>0</v>
      </c>
      <c r="O13" s="1401">
        <v>0</v>
      </c>
      <c r="P13" s="773">
        <v>0</v>
      </c>
      <c r="Q13" s="773">
        <f>Vorauswahl!F382</f>
        <v>0</v>
      </c>
      <c r="R13" s="773">
        <f>IF(Vorauswahl!G382="",10,Vorauswahl!G382)</f>
        <v>10</v>
      </c>
      <c r="S13" s="773">
        <f>Vorauswahl!H382</f>
        <v>0</v>
      </c>
      <c r="T13" s="773">
        <f>Vorauswahl!I382</f>
        <v>0</v>
      </c>
      <c r="U13" s="773">
        <f>Vorauswahl!K382</f>
        <v>0</v>
      </c>
      <c r="V13" s="773">
        <v>3</v>
      </c>
      <c r="W13" s="776">
        <f>IF(Kulturen[[#This Row],[Berechnungsschema]]=13,3,IF(Kulturen[[#This Row],[Berechnungsschema]]=6,2,1))</f>
        <v>1</v>
      </c>
      <c r="X13" s="776">
        <f>IF(Kulturen[[#This Row],[fruchtartengruppe]]=13,Kulturen[[#This Row],[NBedarfswert]],MAX(0,Kulturen[[#This Row],[NBedarfswert]]-Kulturen[[#This Row],[Ertrag]]*Kulturen[[#This Row],[Nfix]]))</f>
        <v>0</v>
      </c>
      <c r="Y13" s="776" t="s">
        <v>2127</v>
      </c>
      <c r="Z13" s="776" t="s">
        <v>2127</v>
      </c>
      <c r="AA13" s="776" t="s">
        <v>2127</v>
      </c>
      <c r="AB13" s="776" t="s">
        <v>2127</v>
      </c>
      <c r="AC13" s="776" t="s">
        <v>2127</v>
      </c>
      <c r="AD13" s="776" t="s">
        <v>2127</v>
      </c>
      <c r="AE13" s="776" t="s">
        <v>2127</v>
      </c>
      <c r="AF13" s="776" t="s">
        <v>2127</v>
      </c>
      <c r="AG13" s="776" t="s">
        <v>2127</v>
      </c>
      <c r="AH13" s="776" t="s">
        <v>2127</v>
      </c>
      <c r="AI13" s="776" t="s">
        <v>2127</v>
      </c>
      <c r="AJ13" s="776" t="s">
        <v>2127</v>
      </c>
      <c r="AK13" s="776" t="s">
        <v>2127</v>
      </c>
      <c r="AL13" s="776" t="s">
        <v>2127</v>
      </c>
      <c r="AM13" s="776" t="s">
        <v>2127</v>
      </c>
      <c r="AN13" s="776" t="s">
        <v>2127</v>
      </c>
      <c r="AO13" s="776" t="s">
        <v>2127</v>
      </c>
      <c r="AP13" s="776" t="s">
        <v>2127</v>
      </c>
      <c r="AQ13" s="776" t="s">
        <v>2127</v>
      </c>
      <c r="AR13" s="776" t="s">
        <v>2127</v>
      </c>
      <c r="AS13" s="776" t="s">
        <v>2127</v>
      </c>
      <c r="AT13" s="776" t="s">
        <v>2127</v>
      </c>
      <c r="AU13" s="776" t="s">
        <v>2127</v>
      </c>
      <c r="AV13" s="776" t="s">
        <v>2127</v>
      </c>
      <c r="AW13" s="776" t="s">
        <v>2127</v>
      </c>
      <c r="AX13" s="776" t="s">
        <v>2127</v>
      </c>
      <c r="AY13" s="776" t="s">
        <v>2127</v>
      </c>
      <c r="AZ13" s="776" t="s">
        <v>2127</v>
      </c>
      <c r="BA13" s="776" t="s">
        <v>2127</v>
      </c>
      <c r="BB13" s="776" t="s">
        <v>2127</v>
      </c>
      <c r="BC13" s="776" t="s">
        <v>2127</v>
      </c>
      <c r="BD13" s="776" t="s">
        <v>2127</v>
      </c>
      <c r="BE13" s="776" t="s">
        <v>2127</v>
      </c>
      <c r="BF13" s="776" t="s">
        <v>2127</v>
      </c>
      <c r="BG13" s="776" t="s">
        <v>2127</v>
      </c>
      <c r="BH13" s="776" t="s">
        <v>2127</v>
      </c>
      <c r="BI13" s="776" t="s">
        <v>2127</v>
      </c>
      <c r="BJ13" s="776" t="s">
        <v>2127</v>
      </c>
      <c r="BK13" s="776" t="s">
        <v>2127</v>
      </c>
      <c r="BL13" s="776" t="s">
        <v>2127</v>
      </c>
      <c r="BM13" s="776" t="s">
        <v>2127</v>
      </c>
      <c r="BN13" s="776" t="s">
        <v>2127</v>
      </c>
      <c r="BO13" s="776" t="s">
        <v>2127</v>
      </c>
      <c r="BP13" s="776" t="s">
        <v>2127</v>
      </c>
      <c r="BQ13" s="776" t="s">
        <v>2127</v>
      </c>
      <c r="BR13" s="776" t="s">
        <v>2127</v>
      </c>
      <c r="BS13" s="776" t="s">
        <v>2127</v>
      </c>
      <c r="BT13" s="776" t="s">
        <v>2127</v>
      </c>
      <c r="BU13" s="776" t="s">
        <v>2127</v>
      </c>
      <c r="BV13" s="776" t="s">
        <v>2127</v>
      </c>
      <c r="BW13" s="776" t="s">
        <v>2127</v>
      </c>
      <c r="BX13" s="776" t="s">
        <v>2127</v>
      </c>
      <c r="BY13" s="776" t="s">
        <v>2127</v>
      </c>
      <c r="BZ13" s="776" t="s">
        <v>2127</v>
      </c>
      <c r="CA13" s="776" t="s">
        <v>2127</v>
      </c>
      <c r="CB13" s="776" t="s">
        <v>2127</v>
      </c>
      <c r="CC13" s="776" t="s">
        <v>2127</v>
      </c>
      <c r="CD13" s="776" t="s">
        <v>2127</v>
      </c>
      <c r="CE13" s="776" t="s">
        <v>2127</v>
      </c>
      <c r="CF13" s="776" t="s">
        <v>2127</v>
      </c>
      <c r="CG13" s="776" t="s">
        <v>2127</v>
      </c>
      <c r="CH13" s="776" t="s">
        <v>2127</v>
      </c>
      <c r="CI13" s="776" t="s">
        <v>2127</v>
      </c>
      <c r="CJ13" s="776" t="s">
        <v>2127</v>
      </c>
      <c r="CK13" s="776" t="s">
        <v>2127</v>
      </c>
      <c r="CL13" s="776" t="s">
        <v>2127</v>
      </c>
      <c r="CM13" s="776" t="s">
        <v>2127</v>
      </c>
      <c r="CN13" s="776" t="s">
        <v>2127</v>
      </c>
      <c r="CO13" s="776" t="s">
        <v>2127</v>
      </c>
      <c r="CP13" s="776" t="s">
        <v>2127</v>
      </c>
      <c r="CQ13" s="776" t="s">
        <v>2127</v>
      </c>
      <c r="CR13" s="776" t="s">
        <v>2127</v>
      </c>
      <c r="CS13" s="776" t="s">
        <v>2127</v>
      </c>
      <c r="CT13" s="776" t="s">
        <v>2127</v>
      </c>
      <c r="CU13" s="776" t="s">
        <v>2127</v>
      </c>
      <c r="CV13" s="776" t="s">
        <v>2127</v>
      </c>
      <c r="CW13" s="776" t="s">
        <v>2127</v>
      </c>
      <c r="CX13" s="776" t="s">
        <v>2127</v>
      </c>
      <c r="CY13" s="776" t="s">
        <v>2127</v>
      </c>
      <c r="CZ13" s="776" t="s">
        <v>2127</v>
      </c>
      <c r="DA13" s="776" t="s">
        <v>2127</v>
      </c>
      <c r="DB13" s="776" t="s">
        <v>2127</v>
      </c>
      <c r="DC13" s="776" t="s">
        <v>2127</v>
      </c>
      <c r="DD13" s="776" t="s">
        <v>2127</v>
      </c>
      <c r="DE13" s="776" t="s">
        <v>2127</v>
      </c>
      <c r="DF13" s="776" t="s">
        <v>2127</v>
      </c>
      <c r="DG13" s="776" t="s">
        <v>2127</v>
      </c>
      <c r="DH13" s="776" t="s">
        <v>2127</v>
      </c>
      <c r="DI13" s="776" t="s">
        <v>2127</v>
      </c>
      <c r="DJ13" s="776" t="s">
        <v>2127</v>
      </c>
      <c r="DK13" s="776" t="s">
        <v>2127</v>
      </c>
      <c r="DL13" s="776" t="s">
        <v>2127</v>
      </c>
      <c r="DM13" s="776" t="s">
        <v>2127</v>
      </c>
      <c r="DN13" s="776" t="s">
        <v>2127</v>
      </c>
      <c r="DO13" s="776" t="s">
        <v>2127</v>
      </c>
      <c r="DP13" s="776" t="s">
        <v>2127</v>
      </c>
    </row>
    <row r="14" spans="1:120" x14ac:dyDescent="0.2">
      <c r="A14" s="637" t="str">
        <f>CONCATENATE(" ",Kulturen[[#This Row],[HF]])</f>
        <v xml:space="preserve"> #</v>
      </c>
      <c r="B14" s="772" t="str" cm="1">
        <f t="array" ref="B14">IFERROR(INDEX(Kulturen[HF],_xlfn.AGGREGATE(15,6,(ROW(Kulturen[Auswahl])-7)/(--(SEARCH("x",Kulturen[Auswahl])&gt;0)),ROW()-7),1),"")</f>
        <v>ext. Grünland 10,1 -20 % Leg.</v>
      </c>
      <c r="C14" s="772" t="str">
        <f>Vorauswahl!C383</f>
        <v/>
      </c>
      <c r="D14" s="772" t="str">
        <f>IF(F14="#","#",CONCATENATE("*",Vorauswahl!B383," ",F14))</f>
        <v>#</v>
      </c>
      <c r="E14" s="772"/>
      <c r="F14" s="359" t="str">
        <f>IF(Vorauswahl!N383="OK",Vorauswahl!D383,"#")</f>
        <v>#</v>
      </c>
      <c r="G14" s="1401">
        <f>IF(Vorauswahl!M383="",11,VLOOKUP(Vorauswahl!M383,'#Boden'!$G$38:$H$41,2,FALSE))</f>
        <v>11</v>
      </c>
      <c r="H14" s="1401">
        <v>7</v>
      </c>
      <c r="I14" s="1401">
        <v>1</v>
      </c>
      <c r="J14" s="412">
        <f>IF(OR(Kulturen[[#This Row],[fruchtartengruppe]]=6,Kulturen[[#This Row],[fruchtartengruppe]]=12),Kulturen[[#This Row],[fruchtartengruppe]],90)</f>
        <v>90</v>
      </c>
      <c r="K14" s="1414">
        <f>Vorauswahl!J383</f>
        <v>0</v>
      </c>
      <c r="L14" s="1414">
        <f t="shared" si="2"/>
        <v>0</v>
      </c>
      <c r="M14" s="773">
        <f>Vorauswahl!E383</f>
        <v>0</v>
      </c>
      <c r="N14" s="1401">
        <f>Vorauswahl!L383</f>
        <v>0</v>
      </c>
      <c r="O14" s="1401">
        <v>0</v>
      </c>
      <c r="P14" s="773">
        <v>0</v>
      </c>
      <c r="Q14" s="773">
        <f>Vorauswahl!F383</f>
        <v>0</v>
      </c>
      <c r="R14" s="773">
        <f>IF(Vorauswahl!G383="",10,Vorauswahl!G383)</f>
        <v>10</v>
      </c>
      <c r="S14" s="773">
        <f>Vorauswahl!H383</f>
        <v>0</v>
      </c>
      <c r="T14" s="773">
        <f>Vorauswahl!I383</f>
        <v>0</v>
      </c>
      <c r="U14" s="773">
        <f>Vorauswahl!K383</f>
        <v>0</v>
      </c>
      <c r="V14" s="773">
        <v>3</v>
      </c>
      <c r="W14" s="776">
        <f>IF(Kulturen[[#This Row],[Berechnungsschema]]=13,3,IF(Kulturen[[#This Row],[Berechnungsschema]]=6,2,1))</f>
        <v>1</v>
      </c>
      <c r="X14" s="776">
        <f>IF(Kulturen[[#This Row],[fruchtartengruppe]]=13,Kulturen[[#This Row],[NBedarfswert]],MAX(0,Kulturen[[#This Row],[NBedarfswert]]-Kulturen[[#This Row],[Ertrag]]*Kulturen[[#This Row],[Nfix]]))</f>
        <v>0</v>
      </c>
      <c r="Y14" s="776" t="s">
        <v>2127</v>
      </c>
      <c r="Z14" s="776" t="s">
        <v>2127</v>
      </c>
      <c r="AA14" s="776" t="s">
        <v>2127</v>
      </c>
      <c r="AB14" s="776" t="s">
        <v>2127</v>
      </c>
      <c r="AC14" s="776" t="s">
        <v>2127</v>
      </c>
      <c r="AD14" s="776" t="s">
        <v>2127</v>
      </c>
      <c r="AE14" s="776" t="s">
        <v>2127</v>
      </c>
      <c r="AF14" s="776" t="s">
        <v>2127</v>
      </c>
      <c r="AG14" s="776" t="s">
        <v>2127</v>
      </c>
      <c r="AH14" s="776" t="s">
        <v>2127</v>
      </c>
      <c r="AI14" s="776" t="s">
        <v>2127</v>
      </c>
      <c r="AJ14" s="776" t="s">
        <v>2127</v>
      </c>
      <c r="AK14" s="776" t="s">
        <v>2127</v>
      </c>
      <c r="AL14" s="776" t="s">
        <v>2127</v>
      </c>
      <c r="AM14" s="776" t="s">
        <v>2127</v>
      </c>
      <c r="AN14" s="776" t="s">
        <v>2127</v>
      </c>
      <c r="AO14" s="776" t="s">
        <v>2127</v>
      </c>
      <c r="AP14" s="776" t="s">
        <v>2127</v>
      </c>
      <c r="AQ14" s="776" t="s">
        <v>2127</v>
      </c>
      <c r="AR14" s="776" t="s">
        <v>2127</v>
      </c>
      <c r="AS14" s="776" t="s">
        <v>2127</v>
      </c>
      <c r="AT14" s="776" t="s">
        <v>2127</v>
      </c>
      <c r="AU14" s="776" t="s">
        <v>2127</v>
      </c>
      <c r="AV14" s="776" t="s">
        <v>2127</v>
      </c>
      <c r="AW14" s="776" t="s">
        <v>2127</v>
      </c>
      <c r="AX14" s="776" t="s">
        <v>2127</v>
      </c>
      <c r="AY14" s="776" t="s">
        <v>2127</v>
      </c>
      <c r="AZ14" s="776" t="s">
        <v>2127</v>
      </c>
      <c r="BA14" s="776" t="s">
        <v>2127</v>
      </c>
      <c r="BB14" s="776" t="s">
        <v>2127</v>
      </c>
      <c r="BC14" s="776" t="s">
        <v>2127</v>
      </c>
      <c r="BD14" s="776" t="s">
        <v>2127</v>
      </c>
      <c r="BE14" s="776" t="s">
        <v>2127</v>
      </c>
      <c r="BF14" s="776" t="s">
        <v>2127</v>
      </c>
      <c r="BG14" s="776" t="s">
        <v>2127</v>
      </c>
      <c r="BH14" s="776" t="s">
        <v>2127</v>
      </c>
      <c r="BI14" s="776" t="s">
        <v>2127</v>
      </c>
      <c r="BJ14" s="776" t="s">
        <v>2127</v>
      </c>
      <c r="BK14" s="776" t="s">
        <v>2127</v>
      </c>
      <c r="BL14" s="776" t="s">
        <v>2127</v>
      </c>
      <c r="BM14" s="776" t="s">
        <v>2127</v>
      </c>
      <c r="BN14" s="776" t="s">
        <v>2127</v>
      </c>
      <c r="BO14" s="776" t="s">
        <v>2127</v>
      </c>
      <c r="BP14" s="776" t="s">
        <v>2127</v>
      </c>
      <c r="BQ14" s="776" t="s">
        <v>2127</v>
      </c>
      <c r="BR14" s="776" t="s">
        <v>2127</v>
      </c>
      <c r="BS14" s="776" t="s">
        <v>2127</v>
      </c>
      <c r="BT14" s="776" t="s">
        <v>2127</v>
      </c>
      <c r="BU14" s="776" t="s">
        <v>2127</v>
      </c>
      <c r="BV14" s="776" t="s">
        <v>2127</v>
      </c>
      <c r="BW14" s="776" t="s">
        <v>2127</v>
      </c>
      <c r="BX14" s="776" t="s">
        <v>2127</v>
      </c>
      <c r="BY14" s="776" t="s">
        <v>2127</v>
      </c>
      <c r="BZ14" s="776" t="s">
        <v>2127</v>
      </c>
      <c r="CA14" s="776" t="s">
        <v>2127</v>
      </c>
      <c r="CB14" s="776" t="s">
        <v>2127</v>
      </c>
      <c r="CC14" s="776" t="s">
        <v>2127</v>
      </c>
      <c r="CD14" s="776" t="s">
        <v>2127</v>
      </c>
      <c r="CE14" s="776" t="s">
        <v>2127</v>
      </c>
      <c r="CF14" s="776" t="s">
        <v>2127</v>
      </c>
      <c r="CG14" s="776" t="s">
        <v>2127</v>
      </c>
      <c r="CH14" s="776" t="s">
        <v>2127</v>
      </c>
      <c r="CI14" s="776" t="s">
        <v>2127</v>
      </c>
      <c r="CJ14" s="776" t="s">
        <v>2127</v>
      </c>
      <c r="CK14" s="776" t="s">
        <v>2127</v>
      </c>
      <c r="CL14" s="776" t="s">
        <v>2127</v>
      </c>
      <c r="CM14" s="776" t="s">
        <v>2127</v>
      </c>
      <c r="CN14" s="776" t="s">
        <v>2127</v>
      </c>
      <c r="CO14" s="776" t="s">
        <v>2127</v>
      </c>
      <c r="CP14" s="776" t="s">
        <v>2127</v>
      </c>
      <c r="CQ14" s="776" t="s">
        <v>2127</v>
      </c>
      <c r="CR14" s="776" t="s">
        <v>2127</v>
      </c>
      <c r="CS14" s="776" t="s">
        <v>2127</v>
      </c>
      <c r="CT14" s="776" t="s">
        <v>2127</v>
      </c>
      <c r="CU14" s="776" t="s">
        <v>2127</v>
      </c>
      <c r="CV14" s="776" t="s">
        <v>2127</v>
      </c>
      <c r="CW14" s="776" t="s">
        <v>2127</v>
      </c>
      <c r="CX14" s="776" t="s">
        <v>2127</v>
      </c>
      <c r="CY14" s="776" t="s">
        <v>2127</v>
      </c>
      <c r="CZ14" s="776" t="s">
        <v>2127</v>
      </c>
      <c r="DA14" s="776" t="s">
        <v>2127</v>
      </c>
      <c r="DB14" s="776" t="s">
        <v>2127</v>
      </c>
      <c r="DC14" s="776" t="s">
        <v>2127</v>
      </c>
      <c r="DD14" s="776" t="s">
        <v>2127</v>
      </c>
      <c r="DE14" s="776" t="s">
        <v>2127</v>
      </c>
      <c r="DF14" s="776" t="s">
        <v>2127</v>
      </c>
      <c r="DG14" s="776" t="s">
        <v>2127</v>
      </c>
      <c r="DH14" s="776" t="s">
        <v>2127</v>
      </c>
      <c r="DI14" s="776" t="s">
        <v>2127</v>
      </c>
      <c r="DJ14" s="776" t="s">
        <v>2127</v>
      </c>
      <c r="DK14" s="776" t="s">
        <v>2127</v>
      </c>
      <c r="DL14" s="776" t="s">
        <v>2127</v>
      </c>
      <c r="DM14" s="776" t="s">
        <v>2127</v>
      </c>
      <c r="DN14" s="776" t="s">
        <v>2127</v>
      </c>
      <c r="DO14" s="776" t="s">
        <v>2127</v>
      </c>
      <c r="DP14" s="776" t="s">
        <v>2127</v>
      </c>
    </row>
    <row r="15" spans="1:120" x14ac:dyDescent="0.2">
      <c r="A15" s="637" t="str">
        <f>CONCATENATE(" ",Kulturen[[#This Row],[HF]])</f>
        <v xml:space="preserve"> #</v>
      </c>
      <c r="B15" s="772" t="str" cm="1">
        <f t="array" ref="B15">IFERROR(INDEX(Kulturen[HF],_xlfn.AGGREGATE(15,6,(ROW(Kulturen[Auswahl])-7)/(--(SEARCH("x",Kulturen[Auswahl])&gt;0)),ROW()-7),1),"")</f>
        <v>ext. Grünland &gt; 20 % Legum.</v>
      </c>
      <c r="C15" s="772" t="str">
        <f>Vorauswahl!C384</f>
        <v/>
      </c>
      <c r="D15" s="772" t="str">
        <f>IF(F15="#","#",CONCATENATE("*",Vorauswahl!B384," ",F15))</f>
        <v>#</v>
      </c>
      <c r="E15" s="772"/>
      <c r="F15" s="359" t="str">
        <f>IF(Vorauswahl!N384="OK",Vorauswahl!D384,"#")</f>
        <v>#</v>
      </c>
      <c r="G15" s="1401">
        <f>IF(Vorauswahl!M384="",11,VLOOKUP(Vorauswahl!M384,'#Boden'!$G$38:$H$41,2,FALSE))</f>
        <v>11</v>
      </c>
      <c r="H15" s="1401">
        <v>7</v>
      </c>
      <c r="I15" s="1401">
        <v>1</v>
      </c>
      <c r="J15" s="412">
        <f>IF(OR(Kulturen[[#This Row],[fruchtartengruppe]]=6,Kulturen[[#This Row],[fruchtartengruppe]]=12),Kulturen[[#This Row],[fruchtartengruppe]],90)</f>
        <v>90</v>
      </c>
      <c r="K15" s="1414">
        <f>Vorauswahl!J384</f>
        <v>0</v>
      </c>
      <c r="L15" s="1414">
        <f t="shared" si="2"/>
        <v>0</v>
      </c>
      <c r="M15" s="773">
        <f>Vorauswahl!E384</f>
        <v>0</v>
      </c>
      <c r="N15" s="1401">
        <f>Vorauswahl!L384</f>
        <v>0</v>
      </c>
      <c r="O15" s="1401">
        <v>0</v>
      </c>
      <c r="P15" s="773">
        <v>0</v>
      </c>
      <c r="Q15" s="773">
        <f>Vorauswahl!F384</f>
        <v>0</v>
      </c>
      <c r="R15" s="773">
        <f>IF(Vorauswahl!G384="",10,Vorauswahl!G384)</f>
        <v>10</v>
      </c>
      <c r="S15" s="773">
        <f>Vorauswahl!H384</f>
        <v>0</v>
      </c>
      <c r="T15" s="773">
        <f>Vorauswahl!I384</f>
        <v>0</v>
      </c>
      <c r="U15" s="773">
        <f>Vorauswahl!K384</f>
        <v>0</v>
      </c>
      <c r="V15" s="773">
        <v>3</v>
      </c>
      <c r="W15" s="776">
        <f>IF(Kulturen[[#This Row],[Berechnungsschema]]=13,3,IF(Kulturen[[#This Row],[Berechnungsschema]]=6,2,1))</f>
        <v>1</v>
      </c>
      <c r="X15" s="776">
        <f>IF(Kulturen[[#This Row],[fruchtartengruppe]]=13,Kulturen[[#This Row],[NBedarfswert]],MAX(0,Kulturen[[#This Row],[NBedarfswert]]-Kulturen[[#This Row],[Ertrag]]*Kulturen[[#This Row],[Nfix]]))</f>
        <v>0</v>
      </c>
      <c r="Y15" s="776" t="s">
        <v>2127</v>
      </c>
      <c r="Z15" s="776" t="s">
        <v>2127</v>
      </c>
      <c r="AA15" s="776" t="s">
        <v>2127</v>
      </c>
      <c r="AB15" s="776" t="s">
        <v>2127</v>
      </c>
      <c r="AC15" s="776" t="s">
        <v>2127</v>
      </c>
      <c r="AD15" s="776" t="s">
        <v>2127</v>
      </c>
      <c r="AE15" s="776" t="s">
        <v>2127</v>
      </c>
      <c r="AF15" s="776" t="s">
        <v>2127</v>
      </c>
      <c r="AG15" s="776" t="s">
        <v>2127</v>
      </c>
      <c r="AH15" s="776" t="s">
        <v>2127</v>
      </c>
      <c r="AI15" s="776" t="s">
        <v>2127</v>
      </c>
      <c r="AJ15" s="776" t="s">
        <v>2127</v>
      </c>
      <c r="AK15" s="776" t="s">
        <v>2127</v>
      </c>
      <c r="AL15" s="776" t="s">
        <v>2127</v>
      </c>
      <c r="AM15" s="776" t="s">
        <v>2127</v>
      </c>
      <c r="AN15" s="776" t="s">
        <v>2127</v>
      </c>
      <c r="AO15" s="776" t="s">
        <v>2127</v>
      </c>
      <c r="AP15" s="776" t="s">
        <v>2127</v>
      </c>
      <c r="AQ15" s="776" t="s">
        <v>2127</v>
      </c>
      <c r="AR15" s="776" t="s">
        <v>2127</v>
      </c>
      <c r="AS15" s="776" t="s">
        <v>2127</v>
      </c>
      <c r="AT15" s="776" t="s">
        <v>2127</v>
      </c>
      <c r="AU15" s="776" t="s">
        <v>2127</v>
      </c>
      <c r="AV15" s="776" t="s">
        <v>2127</v>
      </c>
      <c r="AW15" s="776" t="s">
        <v>2127</v>
      </c>
      <c r="AX15" s="776" t="s">
        <v>2127</v>
      </c>
      <c r="AY15" s="776" t="s">
        <v>2127</v>
      </c>
      <c r="AZ15" s="776" t="s">
        <v>2127</v>
      </c>
      <c r="BA15" s="776" t="s">
        <v>2127</v>
      </c>
      <c r="BB15" s="776" t="s">
        <v>2127</v>
      </c>
      <c r="BC15" s="776" t="s">
        <v>2127</v>
      </c>
      <c r="BD15" s="776" t="s">
        <v>2127</v>
      </c>
      <c r="BE15" s="776" t="s">
        <v>2127</v>
      </c>
      <c r="BF15" s="776" t="s">
        <v>2127</v>
      </c>
      <c r="BG15" s="776" t="s">
        <v>2127</v>
      </c>
      <c r="BH15" s="776" t="s">
        <v>2127</v>
      </c>
      <c r="BI15" s="776" t="s">
        <v>2127</v>
      </c>
      <c r="BJ15" s="776" t="s">
        <v>2127</v>
      </c>
      <c r="BK15" s="776" t="s">
        <v>2127</v>
      </c>
      <c r="BL15" s="776" t="s">
        <v>2127</v>
      </c>
      <c r="BM15" s="776" t="s">
        <v>2127</v>
      </c>
      <c r="BN15" s="776" t="s">
        <v>2127</v>
      </c>
      <c r="BO15" s="776" t="s">
        <v>2127</v>
      </c>
      <c r="BP15" s="776" t="s">
        <v>2127</v>
      </c>
      <c r="BQ15" s="776" t="s">
        <v>2127</v>
      </c>
      <c r="BR15" s="776" t="s">
        <v>2127</v>
      </c>
      <c r="BS15" s="776" t="s">
        <v>2127</v>
      </c>
      <c r="BT15" s="776" t="s">
        <v>2127</v>
      </c>
      <c r="BU15" s="776" t="s">
        <v>2127</v>
      </c>
      <c r="BV15" s="776" t="s">
        <v>2127</v>
      </c>
      <c r="BW15" s="776" t="s">
        <v>2127</v>
      </c>
      <c r="BX15" s="776" t="s">
        <v>2127</v>
      </c>
      <c r="BY15" s="776" t="s">
        <v>2127</v>
      </c>
      <c r="BZ15" s="776" t="s">
        <v>2127</v>
      </c>
      <c r="CA15" s="776" t="s">
        <v>2127</v>
      </c>
      <c r="CB15" s="776" t="s">
        <v>2127</v>
      </c>
      <c r="CC15" s="776" t="s">
        <v>2127</v>
      </c>
      <c r="CD15" s="776" t="s">
        <v>2127</v>
      </c>
      <c r="CE15" s="776" t="s">
        <v>2127</v>
      </c>
      <c r="CF15" s="776" t="s">
        <v>2127</v>
      </c>
      <c r="CG15" s="776" t="s">
        <v>2127</v>
      </c>
      <c r="CH15" s="776" t="s">
        <v>2127</v>
      </c>
      <c r="CI15" s="776" t="s">
        <v>2127</v>
      </c>
      <c r="CJ15" s="776" t="s">
        <v>2127</v>
      </c>
      <c r="CK15" s="776" t="s">
        <v>2127</v>
      </c>
      <c r="CL15" s="776" t="s">
        <v>2127</v>
      </c>
      <c r="CM15" s="776" t="s">
        <v>2127</v>
      </c>
      <c r="CN15" s="776" t="s">
        <v>2127</v>
      </c>
      <c r="CO15" s="776" t="s">
        <v>2127</v>
      </c>
      <c r="CP15" s="776" t="s">
        <v>2127</v>
      </c>
      <c r="CQ15" s="776" t="s">
        <v>2127</v>
      </c>
      <c r="CR15" s="776" t="s">
        <v>2127</v>
      </c>
      <c r="CS15" s="776" t="s">
        <v>2127</v>
      </c>
      <c r="CT15" s="776" t="s">
        <v>2127</v>
      </c>
      <c r="CU15" s="776" t="s">
        <v>2127</v>
      </c>
      <c r="CV15" s="776" t="s">
        <v>2127</v>
      </c>
      <c r="CW15" s="776" t="s">
        <v>2127</v>
      </c>
      <c r="CX15" s="776" t="s">
        <v>2127</v>
      </c>
      <c r="CY15" s="776" t="s">
        <v>2127</v>
      </c>
      <c r="CZ15" s="776" t="s">
        <v>2127</v>
      </c>
      <c r="DA15" s="776" t="s">
        <v>2127</v>
      </c>
      <c r="DB15" s="776" t="s">
        <v>2127</v>
      </c>
      <c r="DC15" s="776" t="s">
        <v>2127</v>
      </c>
      <c r="DD15" s="776" t="s">
        <v>2127</v>
      </c>
      <c r="DE15" s="776" t="s">
        <v>2127</v>
      </c>
      <c r="DF15" s="776" t="s">
        <v>2127</v>
      </c>
      <c r="DG15" s="776" t="s">
        <v>2127</v>
      </c>
      <c r="DH15" s="776" t="s">
        <v>2127</v>
      </c>
      <c r="DI15" s="776" t="s">
        <v>2127</v>
      </c>
      <c r="DJ15" s="776" t="s">
        <v>2127</v>
      </c>
      <c r="DK15" s="776" t="s">
        <v>2127</v>
      </c>
      <c r="DL15" s="776" t="s">
        <v>2127</v>
      </c>
      <c r="DM15" s="776" t="s">
        <v>2127</v>
      </c>
      <c r="DN15" s="776" t="s">
        <v>2127</v>
      </c>
      <c r="DO15" s="776" t="s">
        <v>2127</v>
      </c>
      <c r="DP15" s="776" t="s">
        <v>2127</v>
      </c>
    </row>
    <row r="16" spans="1:120" x14ac:dyDescent="0.2">
      <c r="A16" s="637" t="str">
        <f>CONCATENATE(" ",Kulturen[[#This Row],[HF]])</f>
        <v xml:space="preserve"> #</v>
      </c>
      <c r="B16" s="772" t="str" cm="1">
        <f t="array" ref="B16">IFERROR(INDEX(Kulturen[HF],_xlfn.AGGREGATE(15,6,(ROW(Kulturen[Auswahl])-7)/(--(SEARCH("x",Kulturen[Auswahl])&gt;0)),ROW()-7),1),"")</f>
        <v>Almen &lt; 5 % Legum.</v>
      </c>
      <c r="C16" s="772" t="str">
        <f>Vorauswahl!C385</f>
        <v/>
      </c>
      <c r="D16" s="772" t="str">
        <f>IF(F16="#","#",CONCATENATE("*",Vorauswahl!B385," ",F16))</f>
        <v>#</v>
      </c>
      <c r="E16" s="772"/>
      <c r="F16" s="359" t="str">
        <f>IF(Vorauswahl!N385="OK",Vorauswahl!D385,"#")</f>
        <v>#</v>
      </c>
      <c r="G16" s="1401">
        <f>IF(Vorauswahl!M385="",11,VLOOKUP(Vorauswahl!M385,'#Boden'!$G$38:$H$41,2,FALSE))</f>
        <v>11</v>
      </c>
      <c r="H16" s="1401">
        <v>7</v>
      </c>
      <c r="I16" s="1401">
        <v>1</v>
      </c>
      <c r="J16" s="412">
        <f>IF(OR(Kulturen[[#This Row],[fruchtartengruppe]]=6,Kulturen[[#This Row],[fruchtartengruppe]]=12),Kulturen[[#This Row],[fruchtartengruppe]],90)</f>
        <v>90</v>
      </c>
      <c r="K16" s="1414">
        <f>Vorauswahl!J385</f>
        <v>0</v>
      </c>
      <c r="L16" s="1414">
        <f t="shared" si="2"/>
        <v>0</v>
      </c>
      <c r="M16" s="773">
        <f>Vorauswahl!E385</f>
        <v>0</v>
      </c>
      <c r="N16" s="1401">
        <f>Vorauswahl!L385</f>
        <v>0</v>
      </c>
      <c r="O16" s="1401">
        <v>0</v>
      </c>
      <c r="P16" s="773">
        <v>0</v>
      </c>
      <c r="Q16" s="773">
        <f>Vorauswahl!F385</f>
        <v>0</v>
      </c>
      <c r="R16" s="773">
        <f>IF(Vorauswahl!G385="",10,Vorauswahl!G385)</f>
        <v>10</v>
      </c>
      <c r="S16" s="773">
        <f>Vorauswahl!H385</f>
        <v>0</v>
      </c>
      <c r="T16" s="773">
        <f>Vorauswahl!I385</f>
        <v>0</v>
      </c>
      <c r="U16" s="773">
        <f>Vorauswahl!K385</f>
        <v>0</v>
      </c>
      <c r="V16" s="773">
        <v>3</v>
      </c>
      <c r="W16" s="776">
        <f>IF(Kulturen[[#This Row],[Berechnungsschema]]=13,3,IF(Kulturen[[#This Row],[Berechnungsschema]]=6,2,1))</f>
        <v>1</v>
      </c>
      <c r="X16" s="776">
        <f>IF(Kulturen[[#This Row],[fruchtartengruppe]]=13,Kulturen[[#This Row],[NBedarfswert]],MAX(0,Kulturen[[#This Row],[NBedarfswert]]-Kulturen[[#This Row],[Ertrag]]*Kulturen[[#This Row],[Nfix]]))</f>
        <v>0</v>
      </c>
      <c r="Y16" s="776" t="s">
        <v>2127</v>
      </c>
      <c r="Z16" s="776" t="s">
        <v>2127</v>
      </c>
      <c r="AA16" s="776" t="s">
        <v>2127</v>
      </c>
      <c r="AB16" s="776" t="s">
        <v>2127</v>
      </c>
      <c r="AC16" s="776" t="s">
        <v>2127</v>
      </c>
      <c r="AD16" s="776" t="s">
        <v>2127</v>
      </c>
      <c r="AE16" s="776" t="s">
        <v>2127</v>
      </c>
      <c r="AF16" s="776" t="s">
        <v>2127</v>
      </c>
      <c r="AG16" s="776" t="s">
        <v>2127</v>
      </c>
      <c r="AH16" s="776" t="s">
        <v>2127</v>
      </c>
      <c r="AI16" s="776" t="s">
        <v>2127</v>
      </c>
      <c r="AJ16" s="776" t="s">
        <v>2127</v>
      </c>
      <c r="AK16" s="776" t="s">
        <v>2127</v>
      </c>
      <c r="AL16" s="776" t="s">
        <v>2127</v>
      </c>
      <c r="AM16" s="776" t="s">
        <v>2127</v>
      </c>
      <c r="AN16" s="776" t="s">
        <v>2127</v>
      </c>
      <c r="AO16" s="776" t="s">
        <v>2127</v>
      </c>
      <c r="AP16" s="776" t="s">
        <v>2127</v>
      </c>
      <c r="AQ16" s="776" t="s">
        <v>2127</v>
      </c>
      <c r="AR16" s="776" t="s">
        <v>2127</v>
      </c>
      <c r="AS16" s="776" t="s">
        <v>2127</v>
      </c>
      <c r="AT16" s="776" t="s">
        <v>2127</v>
      </c>
      <c r="AU16" s="776" t="s">
        <v>2127</v>
      </c>
      <c r="AV16" s="776" t="s">
        <v>2127</v>
      </c>
      <c r="AW16" s="776" t="s">
        <v>2127</v>
      </c>
      <c r="AX16" s="776" t="s">
        <v>2127</v>
      </c>
      <c r="AY16" s="776" t="s">
        <v>2127</v>
      </c>
      <c r="AZ16" s="776" t="s">
        <v>2127</v>
      </c>
      <c r="BA16" s="776" t="s">
        <v>2127</v>
      </c>
      <c r="BB16" s="776" t="s">
        <v>2127</v>
      </c>
      <c r="BC16" s="776" t="s">
        <v>2127</v>
      </c>
      <c r="BD16" s="776" t="s">
        <v>2127</v>
      </c>
      <c r="BE16" s="776" t="s">
        <v>2127</v>
      </c>
      <c r="BF16" s="776" t="s">
        <v>2127</v>
      </c>
      <c r="BG16" s="776" t="s">
        <v>2127</v>
      </c>
      <c r="BH16" s="776" t="s">
        <v>2127</v>
      </c>
      <c r="BI16" s="776" t="s">
        <v>2127</v>
      </c>
      <c r="BJ16" s="776" t="s">
        <v>2127</v>
      </c>
      <c r="BK16" s="776" t="s">
        <v>2127</v>
      </c>
      <c r="BL16" s="776" t="s">
        <v>2127</v>
      </c>
      <c r="BM16" s="776" t="s">
        <v>2127</v>
      </c>
      <c r="BN16" s="776" t="s">
        <v>2127</v>
      </c>
      <c r="BO16" s="776" t="s">
        <v>2127</v>
      </c>
      <c r="BP16" s="776" t="s">
        <v>2127</v>
      </c>
      <c r="BQ16" s="776" t="s">
        <v>2127</v>
      </c>
      <c r="BR16" s="776" t="s">
        <v>2127</v>
      </c>
      <c r="BS16" s="776" t="s">
        <v>2127</v>
      </c>
      <c r="BT16" s="776" t="s">
        <v>2127</v>
      </c>
      <c r="BU16" s="776" t="s">
        <v>2127</v>
      </c>
      <c r="BV16" s="776" t="s">
        <v>2127</v>
      </c>
      <c r="BW16" s="776" t="s">
        <v>2127</v>
      </c>
      <c r="BX16" s="776" t="s">
        <v>2127</v>
      </c>
      <c r="BY16" s="776" t="s">
        <v>2127</v>
      </c>
      <c r="BZ16" s="776" t="s">
        <v>2127</v>
      </c>
      <c r="CA16" s="776" t="s">
        <v>2127</v>
      </c>
      <c r="CB16" s="776" t="s">
        <v>2127</v>
      </c>
      <c r="CC16" s="776" t="s">
        <v>2127</v>
      </c>
      <c r="CD16" s="776" t="s">
        <v>2127</v>
      </c>
      <c r="CE16" s="776" t="s">
        <v>2127</v>
      </c>
      <c r="CF16" s="776" t="s">
        <v>2127</v>
      </c>
      <c r="CG16" s="776" t="s">
        <v>2127</v>
      </c>
      <c r="CH16" s="776" t="s">
        <v>2127</v>
      </c>
      <c r="CI16" s="776" t="s">
        <v>2127</v>
      </c>
      <c r="CJ16" s="776" t="s">
        <v>2127</v>
      </c>
      <c r="CK16" s="776" t="s">
        <v>2127</v>
      </c>
      <c r="CL16" s="776" t="s">
        <v>2127</v>
      </c>
      <c r="CM16" s="776" t="s">
        <v>2127</v>
      </c>
      <c r="CN16" s="776" t="s">
        <v>2127</v>
      </c>
      <c r="CO16" s="776" t="s">
        <v>2127</v>
      </c>
      <c r="CP16" s="776" t="s">
        <v>2127</v>
      </c>
      <c r="CQ16" s="776" t="s">
        <v>2127</v>
      </c>
      <c r="CR16" s="776" t="s">
        <v>2127</v>
      </c>
      <c r="CS16" s="776" t="s">
        <v>2127</v>
      </c>
      <c r="CT16" s="776" t="s">
        <v>2127</v>
      </c>
      <c r="CU16" s="776" t="s">
        <v>2127</v>
      </c>
      <c r="CV16" s="776" t="s">
        <v>2127</v>
      </c>
      <c r="CW16" s="776" t="s">
        <v>2127</v>
      </c>
      <c r="CX16" s="776" t="s">
        <v>2127</v>
      </c>
      <c r="CY16" s="776" t="s">
        <v>2127</v>
      </c>
      <c r="CZ16" s="776" t="s">
        <v>2127</v>
      </c>
      <c r="DA16" s="776" t="s">
        <v>2127</v>
      </c>
      <c r="DB16" s="776" t="s">
        <v>2127</v>
      </c>
      <c r="DC16" s="776" t="s">
        <v>2127</v>
      </c>
      <c r="DD16" s="776" t="s">
        <v>2127</v>
      </c>
      <c r="DE16" s="776" t="s">
        <v>2127</v>
      </c>
      <c r="DF16" s="776" t="s">
        <v>2127</v>
      </c>
      <c r="DG16" s="776" t="s">
        <v>2127</v>
      </c>
      <c r="DH16" s="776" t="s">
        <v>2127</v>
      </c>
      <c r="DI16" s="776" t="s">
        <v>2127</v>
      </c>
      <c r="DJ16" s="776" t="s">
        <v>2127</v>
      </c>
      <c r="DK16" s="776" t="s">
        <v>2127</v>
      </c>
      <c r="DL16" s="776" t="s">
        <v>2127</v>
      </c>
      <c r="DM16" s="776" t="s">
        <v>2127</v>
      </c>
      <c r="DN16" s="776" t="s">
        <v>2127</v>
      </c>
      <c r="DO16" s="776" t="s">
        <v>2127</v>
      </c>
      <c r="DP16" s="776" t="s">
        <v>2127</v>
      </c>
    </row>
    <row r="17" spans="1:120" x14ac:dyDescent="0.2">
      <c r="A17" s="637" t="str">
        <f>CONCATENATE(" ",Kulturen[[#This Row],[HF]])</f>
        <v xml:space="preserve"> #</v>
      </c>
      <c r="B17" s="772" t="str" cm="1">
        <f t="array" ref="B17">IFERROR(INDEX(Kulturen[HF],_xlfn.AGGREGATE(15,6,(ROW(Kulturen[Auswahl])-7)/(--(SEARCH("x",Kulturen[Auswahl])&gt;0)),ROW()-7),1),"")</f>
        <v>Almen 5-10 % Legum.</v>
      </c>
      <c r="C17" s="772" t="str">
        <f>Vorauswahl!C386</f>
        <v/>
      </c>
      <c r="D17" s="772" t="str">
        <f>IF(F17="#","#",CONCATENATE("*",Vorauswahl!B386," ",F17))</f>
        <v>#</v>
      </c>
      <c r="E17" s="772"/>
      <c r="F17" s="359" t="str">
        <f>IF(Vorauswahl!N386="OK",Vorauswahl!D386,"#")</f>
        <v>#</v>
      </c>
      <c r="G17" s="1401">
        <f>IF(Vorauswahl!M386="",11,VLOOKUP(Vorauswahl!M386,'#Boden'!$G$38:$H$41,2,FALSE))</f>
        <v>11</v>
      </c>
      <c r="H17" s="1401">
        <v>7</v>
      </c>
      <c r="I17" s="1401">
        <v>1</v>
      </c>
      <c r="J17" s="412">
        <f>IF(OR(Kulturen[[#This Row],[fruchtartengruppe]]=6,Kulturen[[#This Row],[fruchtartengruppe]]=12),Kulturen[[#This Row],[fruchtartengruppe]],90)</f>
        <v>90</v>
      </c>
      <c r="K17" s="1414">
        <f>Vorauswahl!J386</f>
        <v>0</v>
      </c>
      <c r="L17" s="1414">
        <f t="shared" si="2"/>
        <v>0</v>
      </c>
      <c r="M17" s="773">
        <f>Vorauswahl!E386</f>
        <v>0</v>
      </c>
      <c r="N17" s="1401">
        <f>Vorauswahl!L386</f>
        <v>0</v>
      </c>
      <c r="O17" s="1401">
        <v>0</v>
      </c>
      <c r="P17" s="773">
        <v>0</v>
      </c>
      <c r="Q17" s="773">
        <f>Vorauswahl!F386</f>
        <v>0</v>
      </c>
      <c r="R17" s="773">
        <f>IF(Vorauswahl!G386="",10,Vorauswahl!G386)</f>
        <v>10</v>
      </c>
      <c r="S17" s="773">
        <f>Vorauswahl!H386</f>
        <v>0</v>
      </c>
      <c r="T17" s="773">
        <f>Vorauswahl!I386</f>
        <v>0</v>
      </c>
      <c r="U17" s="773">
        <f>Vorauswahl!K386</f>
        <v>0</v>
      </c>
      <c r="V17" s="773">
        <v>3</v>
      </c>
      <c r="W17" s="776">
        <f>IF(Kulturen[[#This Row],[Berechnungsschema]]=13,3,IF(Kulturen[[#This Row],[Berechnungsschema]]=6,2,1))</f>
        <v>1</v>
      </c>
      <c r="X17" s="776">
        <f>IF(Kulturen[[#This Row],[fruchtartengruppe]]=13,Kulturen[[#This Row],[NBedarfswert]],MAX(0,Kulturen[[#This Row],[NBedarfswert]]-Kulturen[[#This Row],[Ertrag]]*Kulturen[[#This Row],[Nfix]]))</f>
        <v>0</v>
      </c>
      <c r="Y17" s="776" t="s">
        <v>2127</v>
      </c>
      <c r="Z17" s="776" t="s">
        <v>2127</v>
      </c>
      <c r="AA17" s="776" t="s">
        <v>2127</v>
      </c>
      <c r="AB17" s="776" t="s">
        <v>2127</v>
      </c>
      <c r="AC17" s="776" t="s">
        <v>2127</v>
      </c>
      <c r="AD17" s="776" t="s">
        <v>2127</v>
      </c>
      <c r="AE17" s="776" t="s">
        <v>2127</v>
      </c>
      <c r="AF17" s="776" t="s">
        <v>2127</v>
      </c>
      <c r="AG17" s="776" t="s">
        <v>2127</v>
      </c>
      <c r="AH17" s="776" t="s">
        <v>2127</v>
      </c>
      <c r="AI17" s="776" t="s">
        <v>2127</v>
      </c>
      <c r="AJ17" s="776" t="s">
        <v>2127</v>
      </c>
      <c r="AK17" s="776" t="s">
        <v>2127</v>
      </c>
      <c r="AL17" s="776" t="s">
        <v>2127</v>
      </c>
      <c r="AM17" s="776" t="s">
        <v>2127</v>
      </c>
      <c r="AN17" s="776" t="s">
        <v>2127</v>
      </c>
      <c r="AO17" s="776" t="s">
        <v>2127</v>
      </c>
      <c r="AP17" s="776" t="s">
        <v>2127</v>
      </c>
      <c r="AQ17" s="776" t="s">
        <v>2127</v>
      </c>
      <c r="AR17" s="776" t="s">
        <v>2127</v>
      </c>
      <c r="AS17" s="776" t="s">
        <v>2127</v>
      </c>
      <c r="AT17" s="776" t="s">
        <v>2127</v>
      </c>
      <c r="AU17" s="776" t="s">
        <v>2127</v>
      </c>
      <c r="AV17" s="776" t="s">
        <v>2127</v>
      </c>
      <c r="AW17" s="776" t="s">
        <v>2127</v>
      </c>
      <c r="AX17" s="776" t="s">
        <v>2127</v>
      </c>
      <c r="AY17" s="776" t="s">
        <v>2127</v>
      </c>
      <c r="AZ17" s="776" t="s">
        <v>2127</v>
      </c>
      <c r="BA17" s="776" t="s">
        <v>2127</v>
      </c>
      <c r="BB17" s="776" t="s">
        <v>2127</v>
      </c>
      <c r="BC17" s="776" t="s">
        <v>2127</v>
      </c>
      <c r="BD17" s="776" t="s">
        <v>2127</v>
      </c>
      <c r="BE17" s="776" t="s">
        <v>2127</v>
      </c>
      <c r="BF17" s="776" t="s">
        <v>2127</v>
      </c>
      <c r="BG17" s="776" t="s">
        <v>2127</v>
      </c>
      <c r="BH17" s="776" t="s">
        <v>2127</v>
      </c>
      <c r="BI17" s="776" t="s">
        <v>2127</v>
      </c>
      <c r="BJ17" s="776" t="s">
        <v>2127</v>
      </c>
      <c r="BK17" s="776" t="s">
        <v>2127</v>
      </c>
      <c r="BL17" s="776" t="s">
        <v>2127</v>
      </c>
      <c r="BM17" s="776" t="s">
        <v>2127</v>
      </c>
      <c r="BN17" s="776" t="s">
        <v>2127</v>
      </c>
      <c r="BO17" s="776" t="s">
        <v>2127</v>
      </c>
      <c r="BP17" s="776" t="s">
        <v>2127</v>
      </c>
      <c r="BQ17" s="776" t="s">
        <v>2127</v>
      </c>
      <c r="BR17" s="776" t="s">
        <v>2127</v>
      </c>
      <c r="BS17" s="776" t="s">
        <v>2127</v>
      </c>
      <c r="BT17" s="776" t="s">
        <v>2127</v>
      </c>
      <c r="BU17" s="776" t="s">
        <v>2127</v>
      </c>
      <c r="BV17" s="776" t="s">
        <v>2127</v>
      </c>
      <c r="BW17" s="776" t="s">
        <v>2127</v>
      </c>
      <c r="BX17" s="776" t="s">
        <v>2127</v>
      </c>
      <c r="BY17" s="776" t="s">
        <v>2127</v>
      </c>
      <c r="BZ17" s="776" t="s">
        <v>2127</v>
      </c>
      <c r="CA17" s="776" t="s">
        <v>2127</v>
      </c>
      <c r="CB17" s="776" t="s">
        <v>2127</v>
      </c>
      <c r="CC17" s="776" t="s">
        <v>2127</v>
      </c>
      <c r="CD17" s="776" t="s">
        <v>2127</v>
      </c>
      <c r="CE17" s="776" t="s">
        <v>2127</v>
      </c>
      <c r="CF17" s="776" t="s">
        <v>2127</v>
      </c>
      <c r="CG17" s="776" t="s">
        <v>2127</v>
      </c>
      <c r="CH17" s="776" t="s">
        <v>2127</v>
      </c>
      <c r="CI17" s="776" t="s">
        <v>2127</v>
      </c>
      <c r="CJ17" s="776" t="s">
        <v>2127</v>
      </c>
      <c r="CK17" s="776" t="s">
        <v>2127</v>
      </c>
      <c r="CL17" s="776" t="s">
        <v>2127</v>
      </c>
      <c r="CM17" s="776" t="s">
        <v>2127</v>
      </c>
      <c r="CN17" s="776" t="s">
        <v>2127</v>
      </c>
      <c r="CO17" s="776" t="s">
        <v>2127</v>
      </c>
      <c r="CP17" s="776" t="s">
        <v>2127</v>
      </c>
      <c r="CQ17" s="776" t="s">
        <v>2127</v>
      </c>
      <c r="CR17" s="776" t="s">
        <v>2127</v>
      </c>
      <c r="CS17" s="776" t="s">
        <v>2127</v>
      </c>
      <c r="CT17" s="776" t="s">
        <v>2127</v>
      </c>
      <c r="CU17" s="776" t="s">
        <v>2127</v>
      </c>
      <c r="CV17" s="776" t="s">
        <v>2127</v>
      </c>
      <c r="CW17" s="776" t="s">
        <v>2127</v>
      </c>
      <c r="CX17" s="776" t="s">
        <v>2127</v>
      </c>
      <c r="CY17" s="776" t="s">
        <v>2127</v>
      </c>
      <c r="CZ17" s="776" t="s">
        <v>2127</v>
      </c>
      <c r="DA17" s="776" t="s">
        <v>2127</v>
      </c>
      <c r="DB17" s="776" t="s">
        <v>2127</v>
      </c>
      <c r="DC17" s="776" t="s">
        <v>2127</v>
      </c>
      <c r="DD17" s="776" t="s">
        <v>2127</v>
      </c>
      <c r="DE17" s="776" t="s">
        <v>2127</v>
      </c>
      <c r="DF17" s="776" t="s">
        <v>2127</v>
      </c>
      <c r="DG17" s="776" t="s">
        <v>2127</v>
      </c>
      <c r="DH17" s="776" t="s">
        <v>2127</v>
      </c>
      <c r="DI17" s="776" t="s">
        <v>2127</v>
      </c>
      <c r="DJ17" s="776" t="s">
        <v>2127</v>
      </c>
      <c r="DK17" s="776" t="s">
        <v>2127</v>
      </c>
      <c r="DL17" s="776" t="s">
        <v>2127</v>
      </c>
      <c r="DM17" s="776" t="s">
        <v>2127</v>
      </c>
      <c r="DN17" s="776" t="s">
        <v>2127</v>
      </c>
      <c r="DO17" s="776" t="s">
        <v>2127</v>
      </c>
      <c r="DP17" s="776" t="s">
        <v>2127</v>
      </c>
    </row>
    <row r="18" spans="1:120" x14ac:dyDescent="0.2">
      <c r="A18" s="637" t="str">
        <f>CONCATENATE(" ",Kulturen[[#This Row],[HF]])</f>
        <v xml:space="preserve"> #</v>
      </c>
      <c r="B18" s="772" t="str" cm="1">
        <f t="array" ref="B18">IFERROR(INDEX(Kulturen[HF],_xlfn.AGGREGATE(15,6,(ROW(Kulturen[Auswahl])-7)/(--(SEARCH("x",Kulturen[Auswahl])&gt;0)),ROW()-7),1),"")</f>
        <v>Almen 10,1 -20 % Leg.</v>
      </c>
      <c r="C18" s="772" t="str">
        <f>Vorauswahl!C387</f>
        <v/>
      </c>
      <c r="D18" s="772" t="str">
        <f>IF(F18="#","#",CONCATENATE("*",Vorauswahl!B387," ",F18))</f>
        <v>#</v>
      </c>
      <c r="E18" s="772"/>
      <c r="F18" s="359" t="str">
        <f>IF(Vorauswahl!N387="OK",Vorauswahl!D387,"#")</f>
        <v>#</v>
      </c>
      <c r="G18" s="1401">
        <f>IF(Vorauswahl!M387="",11,VLOOKUP(Vorauswahl!M387,'#Boden'!$G$38:$H$41,2,FALSE))</f>
        <v>11</v>
      </c>
      <c r="H18" s="1401">
        <v>7</v>
      </c>
      <c r="I18" s="1401">
        <v>1</v>
      </c>
      <c r="J18" s="412">
        <f>IF(OR(Kulturen[[#This Row],[fruchtartengruppe]]=6,Kulturen[[#This Row],[fruchtartengruppe]]=12),Kulturen[[#This Row],[fruchtartengruppe]],90)</f>
        <v>90</v>
      </c>
      <c r="K18" s="1414">
        <f>Vorauswahl!J387</f>
        <v>0</v>
      </c>
      <c r="L18" s="1414">
        <f t="shared" si="2"/>
        <v>0</v>
      </c>
      <c r="M18" s="773">
        <f>Vorauswahl!E387</f>
        <v>0</v>
      </c>
      <c r="N18" s="1401">
        <f>Vorauswahl!L387</f>
        <v>0</v>
      </c>
      <c r="O18" s="1401">
        <v>0</v>
      </c>
      <c r="P18" s="773">
        <v>0</v>
      </c>
      <c r="Q18" s="773">
        <f>Vorauswahl!F387</f>
        <v>0</v>
      </c>
      <c r="R18" s="773">
        <f>IF(Vorauswahl!G387="",10,Vorauswahl!G387)</f>
        <v>10</v>
      </c>
      <c r="S18" s="773">
        <f>Vorauswahl!H387</f>
        <v>0</v>
      </c>
      <c r="T18" s="773">
        <f>Vorauswahl!I387</f>
        <v>0</v>
      </c>
      <c r="U18" s="773">
        <f>Vorauswahl!K387</f>
        <v>0</v>
      </c>
      <c r="V18" s="773">
        <v>3</v>
      </c>
      <c r="W18" s="776">
        <f>IF(Kulturen[[#This Row],[Berechnungsschema]]=13,3,IF(Kulturen[[#This Row],[Berechnungsschema]]=6,2,1))</f>
        <v>1</v>
      </c>
      <c r="X18" s="776">
        <f>IF(Kulturen[[#This Row],[fruchtartengruppe]]=13,Kulturen[[#This Row],[NBedarfswert]],MAX(0,Kulturen[[#This Row],[NBedarfswert]]-Kulturen[[#This Row],[Ertrag]]*Kulturen[[#This Row],[Nfix]]))</f>
        <v>0</v>
      </c>
      <c r="Y18" s="776" t="s">
        <v>2127</v>
      </c>
      <c r="Z18" s="776" t="s">
        <v>2127</v>
      </c>
      <c r="AA18" s="776" t="s">
        <v>2127</v>
      </c>
      <c r="AB18" s="776" t="s">
        <v>2127</v>
      </c>
      <c r="AC18" s="776" t="s">
        <v>2127</v>
      </c>
      <c r="AD18" s="776" t="s">
        <v>2127</v>
      </c>
      <c r="AE18" s="776" t="s">
        <v>2127</v>
      </c>
      <c r="AF18" s="776" t="s">
        <v>2127</v>
      </c>
      <c r="AG18" s="776" t="s">
        <v>2127</v>
      </c>
      <c r="AH18" s="776" t="s">
        <v>2127</v>
      </c>
      <c r="AI18" s="776" t="s">
        <v>2127</v>
      </c>
      <c r="AJ18" s="776" t="s">
        <v>2127</v>
      </c>
      <c r="AK18" s="776" t="s">
        <v>2127</v>
      </c>
      <c r="AL18" s="776" t="s">
        <v>2127</v>
      </c>
      <c r="AM18" s="776" t="s">
        <v>2127</v>
      </c>
      <c r="AN18" s="776" t="s">
        <v>2127</v>
      </c>
      <c r="AO18" s="776" t="s">
        <v>2127</v>
      </c>
      <c r="AP18" s="776" t="s">
        <v>2127</v>
      </c>
      <c r="AQ18" s="776" t="s">
        <v>2127</v>
      </c>
      <c r="AR18" s="776" t="s">
        <v>2127</v>
      </c>
      <c r="AS18" s="776" t="s">
        <v>2127</v>
      </c>
      <c r="AT18" s="776" t="s">
        <v>2127</v>
      </c>
      <c r="AU18" s="776" t="s">
        <v>2127</v>
      </c>
      <c r="AV18" s="776" t="s">
        <v>2127</v>
      </c>
      <c r="AW18" s="776" t="s">
        <v>2127</v>
      </c>
      <c r="AX18" s="776" t="s">
        <v>2127</v>
      </c>
      <c r="AY18" s="776" t="s">
        <v>2127</v>
      </c>
      <c r="AZ18" s="776" t="s">
        <v>2127</v>
      </c>
      <c r="BA18" s="776" t="s">
        <v>2127</v>
      </c>
      <c r="BB18" s="776" t="s">
        <v>2127</v>
      </c>
      <c r="BC18" s="776" t="s">
        <v>2127</v>
      </c>
      <c r="BD18" s="776" t="s">
        <v>2127</v>
      </c>
      <c r="BE18" s="776" t="s">
        <v>2127</v>
      </c>
      <c r="BF18" s="776" t="s">
        <v>2127</v>
      </c>
      <c r="BG18" s="776" t="s">
        <v>2127</v>
      </c>
      <c r="BH18" s="776" t="s">
        <v>2127</v>
      </c>
      <c r="BI18" s="776" t="s">
        <v>2127</v>
      </c>
      <c r="BJ18" s="776" t="s">
        <v>2127</v>
      </c>
      <c r="BK18" s="776" t="s">
        <v>2127</v>
      </c>
      <c r="BL18" s="776" t="s">
        <v>2127</v>
      </c>
      <c r="BM18" s="776" t="s">
        <v>2127</v>
      </c>
      <c r="BN18" s="776" t="s">
        <v>2127</v>
      </c>
      <c r="BO18" s="776" t="s">
        <v>2127</v>
      </c>
      <c r="BP18" s="776" t="s">
        <v>2127</v>
      </c>
      <c r="BQ18" s="776" t="s">
        <v>2127</v>
      </c>
      <c r="BR18" s="776" t="s">
        <v>2127</v>
      </c>
      <c r="BS18" s="776" t="s">
        <v>2127</v>
      </c>
      <c r="BT18" s="776" t="s">
        <v>2127</v>
      </c>
      <c r="BU18" s="776" t="s">
        <v>2127</v>
      </c>
      <c r="BV18" s="776" t="s">
        <v>2127</v>
      </c>
      <c r="BW18" s="776" t="s">
        <v>2127</v>
      </c>
      <c r="BX18" s="776" t="s">
        <v>2127</v>
      </c>
      <c r="BY18" s="776" t="s">
        <v>2127</v>
      </c>
      <c r="BZ18" s="776" t="s">
        <v>2127</v>
      </c>
      <c r="CA18" s="776" t="s">
        <v>2127</v>
      </c>
      <c r="CB18" s="776" t="s">
        <v>2127</v>
      </c>
      <c r="CC18" s="776" t="s">
        <v>2127</v>
      </c>
      <c r="CD18" s="776" t="s">
        <v>2127</v>
      </c>
      <c r="CE18" s="776" t="s">
        <v>2127</v>
      </c>
      <c r="CF18" s="776" t="s">
        <v>2127</v>
      </c>
      <c r="CG18" s="776" t="s">
        <v>2127</v>
      </c>
      <c r="CH18" s="776" t="s">
        <v>2127</v>
      </c>
      <c r="CI18" s="776" t="s">
        <v>2127</v>
      </c>
      <c r="CJ18" s="776" t="s">
        <v>2127</v>
      </c>
      <c r="CK18" s="776" t="s">
        <v>2127</v>
      </c>
      <c r="CL18" s="776" t="s">
        <v>2127</v>
      </c>
      <c r="CM18" s="776" t="s">
        <v>2127</v>
      </c>
      <c r="CN18" s="776" t="s">
        <v>2127</v>
      </c>
      <c r="CO18" s="776" t="s">
        <v>2127</v>
      </c>
      <c r="CP18" s="776" t="s">
        <v>2127</v>
      </c>
      <c r="CQ18" s="776" t="s">
        <v>2127</v>
      </c>
      <c r="CR18" s="776" t="s">
        <v>2127</v>
      </c>
      <c r="CS18" s="776" t="s">
        <v>2127</v>
      </c>
      <c r="CT18" s="776" t="s">
        <v>2127</v>
      </c>
      <c r="CU18" s="776" t="s">
        <v>2127</v>
      </c>
      <c r="CV18" s="776" t="s">
        <v>2127</v>
      </c>
      <c r="CW18" s="776" t="s">
        <v>2127</v>
      </c>
      <c r="CX18" s="776" t="s">
        <v>2127</v>
      </c>
      <c r="CY18" s="776" t="s">
        <v>2127</v>
      </c>
      <c r="CZ18" s="776" t="s">
        <v>2127</v>
      </c>
      <c r="DA18" s="776" t="s">
        <v>2127</v>
      </c>
      <c r="DB18" s="776" t="s">
        <v>2127</v>
      </c>
      <c r="DC18" s="776" t="s">
        <v>2127</v>
      </c>
      <c r="DD18" s="776" t="s">
        <v>2127</v>
      </c>
      <c r="DE18" s="776" t="s">
        <v>2127</v>
      </c>
      <c r="DF18" s="776" t="s">
        <v>2127</v>
      </c>
      <c r="DG18" s="776" t="s">
        <v>2127</v>
      </c>
      <c r="DH18" s="776" t="s">
        <v>2127</v>
      </c>
      <c r="DI18" s="776" t="s">
        <v>2127</v>
      </c>
      <c r="DJ18" s="776" t="s">
        <v>2127</v>
      </c>
      <c r="DK18" s="776" t="s">
        <v>2127</v>
      </c>
      <c r="DL18" s="776" t="s">
        <v>2127</v>
      </c>
      <c r="DM18" s="776" t="s">
        <v>2127</v>
      </c>
      <c r="DN18" s="776" t="s">
        <v>2127</v>
      </c>
      <c r="DO18" s="776" t="s">
        <v>2127</v>
      </c>
      <c r="DP18" s="776" t="s">
        <v>2127</v>
      </c>
    </row>
    <row r="19" spans="1:120" x14ac:dyDescent="0.2">
      <c r="A19" s="637" t="str">
        <f>CONCATENATE(" ",Kulturen[[#This Row],[HF]])</f>
        <v xml:space="preserve">  ++ nach Vorlage ++</v>
      </c>
      <c r="B19" s="772" t="str" cm="1">
        <f t="array" ref="B19">IFERROR(INDEX(Kulturen[HF],_xlfn.AGGREGATE(15,6,(ROW(Kulturen[Auswahl])-7)/(--(SEARCH("x",Kulturen[Auswahl])&gt;0)),ROW()-7),1),"")</f>
        <v>Almen &gt; 20 % Legum.</v>
      </c>
      <c r="C19" s="772" t="str">
        <f>IF($C$6=0,"x",Vorauswahl!C18)</f>
        <v>x</v>
      </c>
      <c r="D19" s="772" t="s">
        <v>1267</v>
      </c>
      <c r="E19" s="772"/>
      <c r="F19" s="359"/>
      <c r="G19" s="1401">
        <f>IF(OR(Kulturen[[#This Row],[Berechnungsschema]]=90,Kulturen[[#This Row],[Berechnungsschema]]=1),11,Kulturen[[#This Row],[Berechnungsschema]])</f>
        <v>11</v>
      </c>
      <c r="H19" s="1401">
        <v>7</v>
      </c>
      <c r="I19" s="1401">
        <v>1</v>
      </c>
      <c r="J19" s="412">
        <v>1</v>
      </c>
      <c r="K19" s="1414">
        <v>0</v>
      </c>
      <c r="L19" s="1414">
        <v>0</v>
      </c>
      <c r="M19" s="773">
        <v>0</v>
      </c>
      <c r="N19" s="1401">
        <v>0</v>
      </c>
      <c r="O19" s="1401">
        <v>1</v>
      </c>
      <c r="P19" s="773">
        <v>0</v>
      </c>
      <c r="Q19" s="773">
        <v>0</v>
      </c>
      <c r="R19" s="773">
        <v>1</v>
      </c>
      <c r="S19" s="773">
        <v>0</v>
      </c>
      <c r="T19" s="773">
        <v>0</v>
      </c>
      <c r="U19" s="773">
        <v>0</v>
      </c>
      <c r="V19" s="773">
        <v>0</v>
      </c>
      <c r="W19" s="776">
        <f>IF(Kulturen[[#This Row],[Berechnungsschema]]=13,3,IF(Kulturen[[#This Row],[Berechnungsschema]]=6,2,1))</f>
        <v>1</v>
      </c>
      <c r="X19" s="776">
        <f>IF(Kulturen[[#This Row],[fruchtartengruppe]]=13,Kulturen[[#This Row],[NBedarfswert]],MAX(0,Kulturen[[#This Row],[NBedarfswert]]-Kulturen[[#This Row],[Ertrag]]*Kulturen[[#This Row],[Nfix]]))</f>
        <v>0</v>
      </c>
      <c r="Y19" s="776" t="s">
        <v>2127</v>
      </c>
      <c r="Z19" s="776" t="s">
        <v>2127</v>
      </c>
      <c r="AA19" s="776" t="s">
        <v>2127</v>
      </c>
      <c r="AB19" s="776" t="s">
        <v>2127</v>
      </c>
      <c r="AC19" s="776" t="s">
        <v>2127</v>
      </c>
      <c r="AD19" s="776" t="s">
        <v>2127</v>
      </c>
      <c r="AE19" s="776" t="s">
        <v>2127</v>
      </c>
      <c r="AF19" s="776" t="s">
        <v>2127</v>
      </c>
      <c r="AG19" s="776" t="s">
        <v>2127</v>
      </c>
      <c r="AH19" s="776" t="s">
        <v>2127</v>
      </c>
      <c r="AI19" s="776" t="s">
        <v>2127</v>
      </c>
      <c r="AJ19" s="776" t="s">
        <v>2127</v>
      </c>
      <c r="AK19" s="776" t="s">
        <v>2127</v>
      </c>
      <c r="AL19" s="776" t="s">
        <v>2127</v>
      </c>
      <c r="AM19" s="776" t="s">
        <v>2127</v>
      </c>
      <c r="AN19" s="776" t="s">
        <v>2127</v>
      </c>
      <c r="AO19" s="776" t="s">
        <v>2127</v>
      </c>
      <c r="AP19" s="776" t="s">
        <v>2127</v>
      </c>
      <c r="AQ19" s="776" t="s">
        <v>2127</v>
      </c>
      <c r="AR19" s="776" t="s">
        <v>2127</v>
      </c>
      <c r="AS19" s="776" t="s">
        <v>2127</v>
      </c>
      <c r="AT19" s="776" t="s">
        <v>2127</v>
      </c>
      <c r="AU19" s="776" t="s">
        <v>2127</v>
      </c>
      <c r="AV19" s="776" t="s">
        <v>2127</v>
      </c>
      <c r="AW19" s="776" t="s">
        <v>2127</v>
      </c>
      <c r="AX19" s="776" t="s">
        <v>2127</v>
      </c>
      <c r="AY19" s="776" t="s">
        <v>2127</v>
      </c>
      <c r="AZ19" s="776" t="s">
        <v>2127</v>
      </c>
      <c r="BA19" s="776" t="s">
        <v>2127</v>
      </c>
      <c r="BB19" s="776" t="s">
        <v>2127</v>
      </c>
      <c r="BC19" s="776" t="s">
        <v>2127</v>
      </c>
      <c r="BD19" s="776" t="s">
        <v>2127</v>
      </c>
      <c r="BE19" s="776" t="s">
        <v>2127</v>
      </c>
      <c r="BF19" s="776" t="s">
        <v>2127</v>
      </c>
      <c r="BG19" s="776" t="s">
        <v>2127</v>
      </c>
      <c r="BH19" s="776" t="s">
        <v>2127</v>
      </c>
      <c r="BI19" s="776" t="s">
        <v>2127</v>
      </c>
      <c r="BJ19" s="776" t="s">
        <v>2127</v>
      </c>
      <c r="BK19" s="776" t="s">
        <v>2127</v>
      </c>
      <c r="BL19" s="776" t="s">
        <v>2127</v>
      </c>
      <c r="BM19" s="776" t="s">
        <v>2127</v>
      </c>
      <c r="BN19" s="776" t="s">
        <v>2127</v>
      </c>
      <c r="BO19" s="776" t="s">
        <v>2127</v>
      </c>
      <c r="BP19" s="776" t="s">
        <v>2127</v>
      </c>
      <c r="BQ19" s="776" t="s">
        <v>2127</v>
      </c>
      <c r="BR19" s="776" t="s">
        <v>2127</v>
      </c>
      <c r="BS19" s="776" t="s">
        <v>2127</v>
      </c>
      <c r="BT19" s="776" t="s">
        <v>2127</v>
      </c>
      <c r="BU19" s="776" t="s">
        <v>2127</v>
      </c>
      <c r="BV19" s="776" t="s">
        <v>2127</v>
      </c>
      <c r="BW19" s="776" t="s">
        <v>2127</v>
      </c>
      <c r="BX19" s="776" t="s">
        <v>2127</v>
      </c>
      <c r="BY19" s="776" t="s">
        <v>2127</v>
      </c>
      <c r="BZ19" s="776" t="s">
        <v>2127</v>
      </c>
      <c r="CA19" s="776" t="s">
        <v>2127</v>
      </c>
      <c r="CB19" s="776" t="s">
        <v>2127</v>
      </c>
      <c r="CC19" s="776" t="s">
        <v>2127</v>
      </c>
      <c r="CD19" s="776" t="s">
        <v>2127</v>
      </c>
      <c r="CE19" s="776" t="s">
        <v>2127</v>
      </c>
      <c r="CF19" s="776" t="s">
        <v>2127</v>
      </c>
      <c r="CG19" s="776" t="s">
        <v>2127</v>
      </c>
      <c r="CH19" s="776" t="s">
        <v>2127</v>
      </c>
      <c r="CI19" s="776" t="s">
        <v>2127</v>
      </c>
      <c r="CJ19" s="776" t="s">
        <v>2127</v>
      </c>
      <c r="CK19" s="776" t="s">
        <v>2127</v>
      </c>
      <c r="CL19" s="776" t="s">
        <v>2127</v>
      </c>
      <c r="CM19" s="776" t="s">
        <v>2127</v>
      </c>
      <c r="CN19" s="776" t="s">
        <v>2127</v>
      </c>
      <c r="CO19" s="776" t="s">
        <v>2127</v>
      </c>
      <c r="CP19" s="776" t="s">
        <v>2127</v>
      </c>
      <c r="CQ19" s="776" t="s">
        <v>2127</v>
      </c>
      <c r="CR19" s="776" t="s">
        <v>2127</v>
      </c>
      <c r="CS19" s="776" t="s">
        <v>2127</v>
      </c>
      <c r="CT19" s="776" t="s">
        <v>2127</v>
      </c>
      <c r="CU19" s="776" t="s">
        <v>2127</v>
      </c>
      <c r="CV19" s="776" t="s">
        <v>2127</v>
      </c>
      <c r="CW19" s="776" t="s">
        <v>2127</v>
      </c>
      <c r="CX19" s="776" t="s">
        <v>2127</v>
      </c>
      <c r="CY19" s="776" t="s">
        <v>2127</v>
      </c>
      <c r="CZ19" s="776" t="s">
        <v>2127</v>
      </c>
      <c r="DA19" s="776" t="s">
        <v>2127</v>
      </c>
      <c r="DB19" s="776" t="s">
        <v>2127</v>
      </c>
      <c r="DC19" s="776" t="s">
        <v>2127</v>
      </c>
      <c r="DD19" s="776" t="s">
        <v>2127</v>
      </c>
      <c r="DE19" s="776" t="s">
        <v>2127</v>
      </c>
      <c r="DF19" s="776" t="s">
        <v>2127</v>
      </c>
      <c r="DG19" s="776" t="s">
        <v>2127</v>
      </c>
      <c r="DH19" s="776" t="s">
        <v>2127</v>
      </c>
      <c r="DI19" s="776" t="s">
        <v>2127</v>
      </c>
      <c r="DJ19" s="776" t="s">
        <v>2127</v>
      </c>
      <c r="DK19" s="776" t="s">
        <v>2127</v>
      </c>
      <c r="DL19" s="776" t="s">
        <v>2127</v>
      </c>
      <c r="DM19" s="776" t="s">
        <v>2127</v>
      </c>
      <c r="DN19" s="776" t="s">
        <v>2127</v>
      </c>
      <c r="DO19" s="776" t="s">
        <v>2127</v>
      </c>
      <c r="DP19" s="776" t="s">
        <v>2127</v>
      </c>
    </row>
    <row r="20" spans="1:120" x14ac:dyDescent="0.2">
      <c r="A20" s="637" t="str">
        <f>CONCATENATE(" ",Kulturen[[#This Row],[HF]])</f>
        <v xml:space="preserve">  +++ Grünland +++</v>
      </c>
      <c r="B20" s="772" t="str" cm="1">
        <f t="array" ref="B20">IFERROR(INDEX(Kulturen[HF],_xlfn.AGGREGATE(15,6,(ROW(Kulturen[Auswahl])-7)/(--(SEARCH("x",Kulturen[Auswahl])&gt;0)),ROW()-7),1),"")</f>
        <v>Grünland &lt; 5 % Legum.</v>
      </c>
      <c r="C20" s="772" t="str">
        <f>IF(Kulturen[[#This Row],[HF]]=$D$373,IF($C$6=0,0,"x"),IF($C$6=0,"x",Vorauswahl!C19))</f>
        <v>x</v>
      </c>
      <c r="D20" s="772" t="s">
        <v>1256</v>
      </c>
      <c r="E20" s="772"/>
      <c r="F20" s="1420"/>
      <c r="G20" s="1407">
        <v>0</v>
      </c>
      <c r="H20" s="1407">
        <v>0</v>
      </c>
      <c r="I20" s="1407">
        <v>0</v>
      </c>
      <c r="J20" s="1407">
        <v>0</v>
      </c>
      <c r="K20" s="1415">
        <v>0</v>
      </c>
      <c r="L20" s="1415">
        <v>0</v>
      </c>
      <c r="M20" s="1407">
        <v>0</v>
      </c>
      <c r="N20" s="1407">
        <v>0</v>
      </c>
      <c r="O20" s="1407">
        <v>0</v>
      </c>
      <c r="P20" s="1407">
        <v>0</v>
      </c>
      <c r="Q20" s="1407">
        <v>0</v>
      </c>
      <c r="R20" s="1416">
        <v>1</v>
      </c>
      <c r="S20" s="1416">
        <v>0</v>
      </c>
      <c r="T20" s="1416">
        <v>0</v>
      </c>
      <c r="U20" s="1416">
        <v>0</v>
      </c>
      <c r="V20" s="1416">
        <v>0</v>
      </c>
      <c r="W20" s="776">
        <f>IF(Kulturen[[#This Row],[Berechnungsschema]]=13,3,IF(Kulturen[[#This Row],[Berechnungsschema]]=6,2,1))</f>
        <v>1</v>
      </c>
      <c r="X20" s="776">
        <f>IF(Kulturen[[#This Row],[fruchtartengruppe]]=13,Kulturen[[#This Row],[NBedarfswert]],MAX(0,Kulturen[[#This Row],[NBedarfswert]]-Kulturen[[#This Row],[Ertrag]]*Kulturen[[#This Row],[Nfix]]))</f>
        <v>0</v>
      </c>
      <c r="Y20" s="776" t="s">
        <v>2127</v>
      </c>
      <c r="Z20" s="776" t="s">
        <v>2127</v>
      </c>
      <c r="AA20" s="776" t="s">
        <v>2127</v>
      </c>
      <c r="AB20" s="776" t="s">
        <v>2127</v>
      </c>
      <c r="AC20" s="776" t="s">
        <v>2127</v>
      </c>
      <c r="AD20" s="776" t="s">
        <v>2127</v>
      </c>
      <c r="AE20" s="776" t="s">
        <v>2127</v>
      </c>
      <c r="AF20" s="776" t="s">
        <v>2127</v>
      </c>
      <c r="AG20" s="776" t="s">
        <v>2127</v>
      </c>
      <c r="AH20" s="776" t="s">
        <v>2127</v>
      </c>
      <c r="AI20" s="776" t="s">
        <v>2127</v>
      </c>
      <c r="AJ20" s="776" t="s">
        <v>2127</v>
      </c>
      <c r="AK20" s="776" t="s">
        <v>2127</v>
      </c>
      <c r="AL20" s="776" t="s">
        <v>2127</v>
      </c>
      <c r="AM20" s="776" t="s">
        <v>2127</v>
      </c>
      <c r="AN20" s="776" t="s">
        <v>2127</v>
      </c>
      <c r="AO20" s="776" t="s">
        <v>2127</v>
      </c>
      <c r="AP20" s="776" t="s">
        <v>2127</v>
      </c>
      <c r="AQ20" s="776" t="s">
        <v>2127</v>
      </c>
      <c r="AR20" s="776" t="s">
        <v>2127</v>
      </c>
      <c r="AS20" s="776" t="s">
        <v>2127</v>
      </c>
      <c r="AT20" s="776" t="s">
        <v>2127</v>
      </c>
      <c r="AU20" s="776" t="s">
        <v>2127</v>
      </c>
      <c r="AV20" s="776" t="s">
        <v>2127</v>
      </c>
      <c r="AW20" s="776" t="s">
        <v>2127</v>
      </c>
      <c r="AX20" s="776" t="s">
        <v>2127</v>
      </c>
      <c r="AY20" s="776" t="s">
        <v>2127</v>
      </c>
      <c r="AZ20" s="776" t="s">
        <v>2127</v>
      </c>
      <c r="BA20" s="776" t="s">
        <v>2127</v>
      </c>
      <c r="BB20" s="776" t="s">
        <v>2127</v>
      </c>
      <c r="BC20" s="776" t="s">
        <v>2127</v>
      </c>
      <c r="BD20" s="776" t="s">
        <v>2127</v>
      </c>
      <c r="BE20" s="776" t="s">
        <v>2127</v>
      </c>
      <c r="BF20" s="776" t="s">
        <v>2127</v>
      </c>
      <c r="BG20" s="776" t="s">
        <v>2127</v>
      </c>
      <c r="BH20" s="776" t="s">
        <v>2127</v>
      </c>
      <c r="BI20" s="776" t="s">
        <v>2127</v>
      </c>
      <c r="BJ20" s="776" t="s">
        <v>2127</v>
      </c>
      <c r="BK20" s="776" t="s">
        <v>2127</v>
      </c>
      <c r="BL20" s="776" t="s">
        <v>2127</v>
      </c>
      <c r="BM20" s="776" t="s">
        <v>2127</v>
      </c>
      <c r="BN20" s="776" t="s">
        <v>2127</v>
      </c>
      <c r="BO20" s="776" t="s">
        <v>2127</v>
      </c>
      <c r="BP20" s="776" t="s">
        <v>2127</v>
      </c>
      <c r="BQ20" s="776" t="s">
        <v>2127</v>
      </c>
      <c r="BR20" s="776" t="s">
        <v>2127</v>
      </c>
      <c r="BS20" s="776" t="s">
        <v>2127</v>
      </c>
      <c r="BT20" s="776" t="s">
        <v>2127</v>
      </c>
      <c r="BU20" s="776" t="s">
        <v>2127</v>
      </c>
      <c r="BV20" s="776" t="s">
        <v>2127</v>
      </c>
      <c r="BW20" s="776" t="s">
        <v>2127</v>
      </c>
      <c r="BX20" s="776" t="s">
        <v>2127</v>
      </c>
      <c r="BY20" s="776" t="s">
        <v>2127</v>
      </c>
      <c r="BZ20" s="776" t="s">
        <v>2127</v>
      </c>
      <c r="CA20" s="776" t="s">
        <v>2127</v>
      </c>
      <c r="CB20" s="776" t="s">
        <v>2127</v>
      </c>
      <c r="CC20" s="776" t="s">
        <v>2127</v>
      </c>
      <c r="CD20" s="776" t="s">
        <v>2127</v>
      </c>
      <c r="CE20" s="776" t="s">
        <v>2127</v>
      </c>
      <c r="CF20" s="776" t="s">
        <v>2127</v>
      </c>
      <c r="CG20" s="776" t="s">
        <v>2127</v>
      </c>
      <c r="CH20" s="776" t="s">
        <v>2127</v>
      </c>
      <c r="CI20" s="776" t="s">
        <v>2127</v>
      </c>
      <c r="CJ20" s="776" t="s">
        <v>2127</v>
      </c>
      <c r="CK20" s="776" t="s">
        <v>2127</v>
      </c>
      <c r="CL20" s="776" t="s">
        <v>2127</v>
      </c>
      <c r="CM20" s="776" t="s">
        <v>2127</v>
      </c>
      <c r="CN20" s="776" t="s">
        <v>2127</v>
      </c>
      <c r="CO20" s="776" t="s">
        <v>2127</v>
      </c>
      <c r="CP20" s="776" t="s">
        <v>2127</v>
      </c>
      <c r="CQ20" s="776" t="s">
        <v>2127</v>
      </c>
      <c r="CR20" s="776" t="s">
        <v>2127</v>
      </c>
      <c r="CS20" s="776" t="s">
        <v>2127</v>
      </c>
      <c r="CT20" s="776" t="s">
        <v>2127</v>
      </c>
      <c r="CU20" s="776" t="s">
        <v>2127</v>
      </c>
      <c r="CV20" s="776" t="s">
        <v>2127</v>
      </c>
      <c r="CW20" s="776" t="s">
        <v>2127</v>
      </c>
      <c r="CX20" s="776" t="s">
        <v>2127</v>
      </c>
      <c r="CY20" s="776" t="s">
        <v>2127</v>
      </c>
      <c r="CZ20" s="776" t="s">
        <v>2127</v>
      </c>
      <c r="DA20" s="776" t="s">
        <v>2127</v>
      </c>
      <c r="DB20" s="776" t="s">
        <v>2127</v>
      </c>
      <c r="DC20" s="776" t="s">
        <v>2127</v>
      </c>
      <c r="DD20" s="776" t="s">
        <v>2127</v>
      </c>
      <c r="DE20" s="776" t="s">
        <v>2127</v>
      </c>
      <c r="DF20" s="776" t="s">
        <v>2127</v>
      </c>
      <c r="DG20" s="776" t="s">
        <v>2127</v>
      </c>
      <c r="DH20" s="776" t="s">
        <v>2127</v>
      </c>
      <c r="DI20" s="776" t="s">
        <v>2127</v>
      </c>
      <c r="DJ20" s="776" t="s">
        <v>2127</v>
      </c>
      <c r="DK20" s="776" t="s">
        <v>2127</v>
      </c>
      <c r="DL20" s="776" t="s">
        <v>2127</v>
      </c>
      <c r="DM20" s="776" t="s">
        <v>2127</v>
      </c>
      <c r="DN20" s="776" t="s">
        <v>2127</v>
      </c>
      <c r="DO20" s="776" t="s">
        <v>2127</v>
      </c>
      <c r="DP20" s="776" t="s">
        <v>2127</v>
      </c>
    </row>
    <row r="21" spans="1:120" x14ac:dyDescent="0.2">
      <c r="A21" s="637" t="str">
        <f>CONCATENATE(" ",Kulturen[[#This Row],[HF]])</f>
        <v xml:space="preserve"> Streuwiese</v>
      </c>
      <c r="B21" s="772" t="str" cm="1">
        <f t="array" ref="B21">IFERROR(INDEX(Kulturen[HF],_xlfn.AGGREGATE(15,6,(ROW(Kulturen[Auswahl])-7)/(--(SEARCH("x",Kulturen[Auswahl])&gt;0)),ROW()-7),1),"")</f>
        <v>Grünland 5-10 % Legum.</v>
      </c>
      <c r="C21" s="772" t="str">
        <f>IF(Kulturen[[#This Row],[HF]]=$D$373,IF($C$6=0,0,"x"),IF($C$6=0,"x",Vorauswahl!C20))</f>
        <v>x</v>
      </c>
      <c r="D21" s="1400" t="s">
        <v>632</v>
      </c>
      <c r="E21" s="1400"/>
      <c r="F21" s="359" t="s">
        <v>633</v>
      </c>
      <c r="G21" s="1401">
        <v>13</v>
      </c>
      <c r="H21" s="776">
        <v>4</v>
      </c>
      <c r="I21" s="776">
        <v>3</v>
      </c>
      <c r="J21" s="1407">
        <v>13</v>
      </c>
      <c r="K21" s="1408">
        <v>0.46</v>
      </c>
      <c r="L21" s="1408">
        <v>0.46</v>
      </c>
      <c r="M21" s="1401">
        <v>35</v>
      </c>
      <c r="N21" s="442">
        <v>0</v>
      </c>
      <c r="O21" s="1401">
        <v>2</v>
      </c>
      <c r="P21" s="1401">
        <v>0</v>
      </c>
      <c r="Q21" s="1409">
        <v>45</v>
      </c>
      <c r="R21" s="776">
        <v>1</v>
      </c>
      <c r="S21" s="1408">
        <v>1.28</v>
      </c>
      <c r="T21" s="1408">
        <v>1.28</v>
      </c>
      <c r="U21" s="773">
        <v>20</v>
      </c>
      <c r="V21" s="773">
        <v>5</v>
      </c>
      <c r="W21" s="776">
        <f>IF(Kulturen[[#This Row],[Berechnungsschema]]=13,3,IF(Kulturen[[#This Row],[Berechnungsschema]]=6,2,1))</f>
        <v>3</v>
      </c>
      <c r="X21" s="776">
        <f>IF(Kulturen[[#This Row],[fruchtartengruppe]]=13,Kulturen[[#This Row],[NBedarfswert]],MAX(0,Kulturen[[#This Row],[NBedarfswert]]-Kulturen[[#This Row],[Ertrag]]*Kulturen[[#This Row],[Nfix]]))</f>
        <v>45</v>
      </c>
      <c r="Y21" s="1410">
        <v>35</v>
      </c>
      <c r="Z21" s="1410">
        <v>35</v>
      </c>
      <c r="AA21" s="1410">
        <v>35</v>
      </c>
      <c r="AB21" s="1410">
        <v>35</v>
      </c>
      <c r="AC21" s="1410">
        <v>35</v>
      </c>
      <c r="AD21" s="1410">
        <v>35</v>
      </c>
      <c r="AE21" s="1410">
        <v>35</v>
      </c>
      <c r="AF21" s="1410">
        <v>35</v>
      </c>
      <c r="AG21" s="1410">
        <v>35</v>
      </c>
      <c r="AH21" s="1410">
        <v>35</v>
      </c>
      <c r="AI21" s="1410">
        <v>35</v>
      </c>
      <c r="AJ21" s="1410">
        <v>35</v>
      </c>
      <c r="AK21" s="1410">
        <v>35</v>
      </c>
      <c r="AL21" s="1410">
        <v>35</v>
      </c>
      <c r="AM21" s="1410">
        <v>35</v>
      </c>
      <c r="AN21" s="1410">
        <v>35</v>
      </c>
      <c r="AO21" s="1410">
        <v>35</v>
      </c>
      <c r="AP21" s="1410">
        <v>35</v>
      </c>
      <c r="AQ21" s="1410">
        <v>35</v>
      </c>
      <c r="AR21" s="1410">
        <v>35</v>
      </c>
      <c r="AS21" s="1410">
        <v>35</v>
      </c>
      <c r="AT21" s="1410">
        <v>35</v>
      </c>
      <c r="AU21" s="1410">
        <v>35</v>
      </c>
      <c r="AV21" s="1410">
        <v>35</v>
      </c>
      <c r="AW21" s="1410">
        <v>35</v>
      </c>
      <c r="AX21" s="1410">
        <v>35</v>
      </c>
      <c r="AY21" s="1410">
        <v>35</v>
      </c>
      <c r="AZ21" s="1410">
        <v>35</v>
      </c>
      <c r="BA21" s="1410">
        <v>35</v>
      </c>
      <c r="BB21" s="1410">
        <v>35</v>
      </c>
      <c r="BC21" s="1410">
        <v>35</v>
      </c>
      <c r="BD21" s="1410">
        <v>35</v>
      </c>
      <c r="BE21" s="1410">
        <v>35</v>
      </c>
      <c r="BF21" s="1410">
        <v>35</v>
      </c>
      <c r="BG21" s="1410">
        <v>35</v>
      </c>
      <c r="BH21" s="1410">
        <v>35</v>
      </c>
      <c r="BI21" s="1410">
        <v>35</v>
      </c>
      <c r="BJ21" s="1410">
        <v>35</v>
      </c>
      <c r="BK21" s="1410">
        <v>35</v>
      </c>
      <c r="BL21" s="1410">
        <v>35</v>
      </c>
      <c r="BM21" s="1410">
        <v>35</v>
      </c>
      <c r="BN21" s="1410">
        <v>35</v>
      </c>
      <c r="BO21" s="1410">
        <v>35</v>
      </c>
      <c r="BP21" s="1410">
        <v>35</v>
      </c>
      <c r="BQ21" s="1410">
        <v>35</v>
      </c>
      <c r="BR21" s="1410">
        <v>35</v>
      </c>
      <c r="BS21" s="1410">
        <v>35</v>
      </c>
      <c r="BT21" s="1410">
        <v>35</v>
      </c>
      <c r="BU21" s="1410">
        <v>35</v>
      </c>
      <c r="BV21" s="1410">
        <v>35</v>
      </c>
      <c r="BW21" s="1410">
        <v>35</v>
      </c>
      <c r="BX21" s="1410">
        <v>35</v>
      </c>
      <c r="BY21" s="1410">
        <v>35</v>
      </c>
      <c r="BZ21" s="1410">
        <v>35</v>
      </c>
      <c r="CA21" s="1410">
        <v>35</v>
      </c>
      <c r="CB21" s="1410">
        <v>35</v>
      </c>
      <c r="CC21" s="1410">
        <v>35</v>
      </c>
      <c r="CD21" s="1410">
        <v>35</v>
      </c>
      <c r="CE21" s="1410">
        <v>35</v>
      </c>
      <c r="CF21" s="1410">
        <v>35</v>
      </c>
      <c r="CG21" s="1410">
        <v>35</v>
      </c>
      <c r="CH21" s="1410">
        <v>35</v>
      </c>
      <c r="CI21" s="1410">
        <v>35</v>
      </c>
      <c r="CJ21" s="1410">
        <v>35</v>
      </c>
      <c r="CK21" s="1410">
        <v>35</v>
      </c>
      <c r="CL21" s="1410">
        <v>35</v>
      </c>
      <c r="CM21" s="1410">
        <v>35</v>
      </c>
      <c r="CN21" s="1410">
        <v>35</v>
      </c>
      <c r="CO21" s="1410">
        <v>35</v>
      </c>
      <c r="CP21" s="1410">
        <v>35</v>
      </c>
      <c r="CQ21" s="1410">
        <v>35</v>
      </c>
      <c r="CR21" s="1410">
        <v>35</v>
      </c>
      <c r="CS21" s="1410">
        <v>35</v>
      </c>
      <c r="CT21" s="1410">
        <v>35</v>
      </c>
      <c r="CU21" s="1410">
        <v>35</v>
      </c>
      <c r="CV21" s="1410">
        <v>35</v>
      </c>
      <c r="CW21" s="1410">
        <v>35</v>
      </c>
      <c r="CX21" s="1410">
        <v>35</v>
      </c>
      <c r="CY21" s="1410">
        <v>35</v>
      </c>
      <c r="CZ21" s="1410">
        <v>35</v>
      </c>
      <c r="DA21" s="1410">
        <v>35</v>
      </c>
      <c r="DB21" s="1410">
        <v>35</v>
      </c>
      <c r="DC21" s="1410">
        <v>35</v>
      </c>
      <c r="DD21" s="1410">
        <v>35</v>
      </c>
      <c r="DE21" s="1410">
        <v>35</v>
      </c>
      <c r="DF21" s="1410">
        <v>35</v>
      </c>
      <c r="DG21" s="1410">
        <v>35</v>
      </c>
      <c r="DH21" s="1410">
        <v>35</v>
      </c>
      <c r="DI21" s="1410">
        <v>35</v>
      </c>
      <c r="DJ21" s="1410">
        <v>35</v>
      </c>
      <c r="DK21" s="1410">
        <v>35</v>
      </c>
      <c r="DL21" s="1410">
        <v>35</v>
      </c>
      <c r="DM21" s="1410">
        <v>35</v>
      </c>
      <c r="DN21" s="1410">
        <v>35</v>
      </c>
      <c r="DO21" s="1410">
        <v>35</v>
      </c>
      <c r="DP21" s="1410">
        <v>35</v>
      </c>
    </row>
    <row r="22" spans="1:120" x14ac:dyDescent="0.2">
      <c r="A22" s="637" t="str">
        <f>CONCATENATE(" ",Kulturen[[#This Row],[HF]])</f>
        <v xml:space="preserve"> ext. Grünland &lt; 5 % Legum.</v>
      </c>
      <c r="B22" s="772" t="str" cm="1">
        <f t="array" ref="B22">IFERROR(INDEX(Kulturen[HF],_xlfn.AGGREGATE(15,6,(ROW(Kulturen[Auswahl])-7)/(--(SEARCH("x",Kulturen[Auswahl])&gt;0)),ROW()-7),1),"")</f>
        <v>Grünland 10,1 -20 % Leg.</v>
      </c>
      <c r="C22" s="772" t="str">
        <f>IF(Kulturen[[#This Row],[HF]]=$D$373,IF($C$6=0,0,"x"),IF($C$6=0,"x",Vorauswahl!C21))</f>
        <v>x</v>
      </c>
      <c r="D22" s="1400" t="s">
        <v>1257</v>
      </c>
      <c r="E22" s="1400"/>
      <c r="F22" s="359" t="s">
        <v>1886</v>
      </c>
      <c r="G22" s="1401">
        <v>13</v>
      </c>
      <c r="H22" s="776">
        <v>4</v>
      </c>
      <c r="I22" s="776">
        <v>3</v>
      </c>
      <c r="J22" s="1407">
        <v>13</v>
      </c>
      <c r="K22" s="1404">
        <v>0.65</v>
      </c>
      <c r="L22" s="1404">
        <v>0.65</v>
      </c>
      <c r="M22" s="1403">
        <v>40</v>
      </c>
      <c r="N22" s="442">
        <v>-10</v>
      </c>
      <c r="O22" s="1401">
        <v>2</v>
      </c>
      <c r="P22" s="773">
        <v>0</v>
      </c>
      <c r="Q22" s="1409">
        <v>73</v>
      </c>
      <c r="R22" s="776">
        <v>1</v>
      </c>
      <c r="S22" s="1408">
        <v>1.82</v>
      </c>
      <c r="T22" s="1408">
        <v>1.82</v>
      </c>
      <c r="U22" s="773">
        <v>20</v>
      </c>
      <c r="V22" s="773">
        <v>5</v>
      </c>
      <c r="W22" s="776">
        <f>IF(Kulturen[[#This Row],[Berechnungsschema]]=13,3,IF(Kulturen[[#This Row],[Berechnungsschema]]=6,2,1))</f>
        <v>3</v>
      </c>
      <c r="X22" s="776">
        <f>IF(Kulturen[[#This Row],[fruchtartengruppe]]=13,Kulturen[[#This Row],[NBedarfswert]],MAX(0,Kulturen[[#This Row],[NBedarfswert]]-Kulturen[[#This Row],[Ertrag]]*Kulturen[[#This Row],[Nfix]]))</f>
        <v>73</v>
      </c>
      <c r="Y22" s="938">
        <v>40</v>
      </c>
      <c r="Z22" s="938">
        <v>40</v>
      </c>
      <c r="AA22" s="938">
        <v>40</v>
      </c>
      <c r="AB22" s="938">
        <v>40</v>
      </c>
      <c r="AC22" s="938">
        <v>40</v>
      </c>
      <c r="AD22" s="938">
        <v>40</v>
      </c>
      <c r="AE22" s="938">
        <v>40</v>
      </c>
      <c r="AF22" s="938">
        <v>40</v>
      </c>
      <c r="AG22" s="938">
        <v>40</v>
      </c>
      <c r="AH22" s="938">
        <v>40</v>
      </c>
      <c r="AI22" s="938">
        <v>40</v>
      </c>
      <c r="AJ22" s="938">
        <v>40</v>
      </c>
      <c r="AK22" s="938">
        <v>40</v>
      </c>
      <c r="AL22" s="938">
        <v>40</v>
      </c>
      <c r="AM22" s="938">
        <v>40</v>
      </c>
      <c r="AN22" s="938">
        <v>40</v>
      </c>
      <c r="AO22" s="938">
        <v>40</v>
      </c>
      <c r="AP22" s="938">
        <v>40</v>
      </c>
      <c r="AQ22" s="938">
        <v>40</v>
      </c>
      <c r="AR22" s="938">
        <v>40</v>
      </c>
      <c r="AS22" s="938">
        <v>40</v>
      </c>
      <c r="AT22" s="938">
        <v>40</v>
      </c>
      <c r="AU22" s="938">
        <v>40</v>
      </c>
      <c r="AV22" s="938">
        <v>40</v>
      </c>
      <c r="AW22" s="938">
        <v>40</v>
      </c>
      <c r="AX22" s="938">
        <v>40</v>
      </c>
      <c r="AY22" s="938">
        <v>40</v>
      </c>
      <c r="AZ22" s="938">
        <v>40</v>
      </c>
      <c r="BA22" s="938">
        <v>40</v>
      </c>
      <c r="BB22" s="938">
        <v>40</v>
      </c>
      <c r="BC22" s="938">
        <v>40</v>
      </c>
      <c r="BD22" s="938">
        <v>40</v>
      </c>
      <c r="BE22" s="938">
        <v>40</v>
      </c>
      <c r="BF22" s="938">
        <v>40</v>
      </c>
      <c r="BG22" s="938">
        <v>40</v>
      </c>
      <c r="BH22" s="938">
        <v>40</v>
      </c>
      <c r="BI22" s="938">
        <v>40</v>
      </c>
      <c r="BJ22" s="938">
        <v>40</v>
      </c>
      <c r="BK22" s="938">
        <v>40</v>
      </c>
      <c r="BL22" s="938">
        <v>40</v>
      </c>
      <c r="BM22" s="938">
        <v>40</v>
      </c>
      <c r="BN22" s="938">
        <v>40</v>
      </c>
      <c r="BO22" s="938">
        <v>40</v>
      </c>
      <c r="BP22" s="938">
        <v>40</v>
      </c>
      <c r="BQ22" s="938">
        <v>40</v>
      </c>
      <c r="BR22" s="938">
        <v>40</v>
      </c>
      <c r="BS22" s="938">
        <v>40</v>
      </c>
      <c r="BT22" s="938">
        <v>40</v>
      </c>
      <c r="BU22" s="938">
        <v>40</v>
      </c>
      <c r="BV22" s="938">
        <v>40</v>
      </c>
      <c r="BW22" s="938">
        <v>40</v>
      </c>
      <c r="BX22" s="938">
        <v>40</v>
      </c>
      <c r="BY22" s="938">
        <v>40</v>
      </c>
      <c r="BZ22" s="938">
        <v>40</v>
      </c>
      <c r="CA22" s="938">
        <v>40</v>
      </c>
      <c r="CB22" s="938">
        <v>40</v>
      </c>
      <c r="CC22" s="938">
        <v>40</v>
      </c>
      <c r="CD22" s="938">
        <v>40</v>
      </c>
      <c r="CE22" s="938">
        <v>40</v>
      </c>
      <c r="CF22" s="938">
        <v>40</v>
      </c>
      <c r="CG22" s="938">
        <v>40</v>
      </c>
      <c r="CH22" s="938">
        <v>40</v>
      </c>
      <c r="CI22" s="938">
        <v>40</v>
      </c>
      <c r="CJ22" s="938">
        <v>40</v>
      </c>
      <c r="CK22" s="938">
        <v>40</v>
      </c>
      <c r="CL22" s="938">
        <v>40</v>
      </c>
      <c r="CM22" s="938">
        <v>40</v>
      </c>
      <c r="CN22" s="938">
        <v>40</v>
      </c>
      <c r="CO22" s="938">
        <v>40</v>
      </c>
      <c r="CP22" s="938">
        <v>40</v>
      </c>
      <c r="CQ22" s="938">
        <v>40</v>
      </c>
      <c r="CR22" s="938">
        <v>40</v>
      </c>
      <c r="CS22" s="938">
        <v>40</v>
      </c>
      <c r="CT22" s="938">
        <v>40</v>
      </c>
      <c r="CU22" s="938">
        <v>40</v>
      </c>
      <c r="CV22" s="938">
        <v>40</v>
      </c>
      <c r="CW22" s="938">
        <v>40</v>
      </c>
      <c r="CX22" s="938">
        <v>40</v>
      </c>
      <c r="CY22" s="938">
        <v>40</v>
      </c>
      <c r="CZ22" s="938">
        <v>40</v>
      </c>
      <c r="DA22" s="938">
        <v>40</v>
      </c>
      <c r="DB22" s="938">
        <v>40</v>
      </c>
      <c r="DC22" s="938">
        <v>40</v>
      </c>
      <c r="DD22" s="938">
        <v>40</v>
      </c>
      <c r="DE22" s="938">
        <v>40</v>
      </c>
      <c r="DF22" s="938">
        <v>40</v>
      </c>
      <c r="DG22" s="938">
        <v>40</v>
      </c>
      <c r="DH22" s="938">
        <v>40</v>
      </c>
      <c r="DI22" s="938">
        <v>40</v>
      </c>
      <c r="DJ22" s="938">
        <v>40</v>
      </c>
      <c r="DK22" s="938">
        <v>40</v>
      </c>
      <c r="DL22" s="938">
        <v>40</v>
      </c>
      <c r="DM22" s="938">
        <v>40</v>
      </c>
      <c r="DN22" s="938">
        <v>40</v>
      </c>
      <c r="DO22" s="938">
        <v>40</v>
      </c>
      <c r="DP22" s="938">
        <v>40</v>
      </c>
    </row>
    <row r="23" spans="1:120" x14ac:dyDescent="0.2">
      <c r="A23" s="637" t="str">
        <f>CONCATENATE(" ",Kulturen[[#This Row],[HF]])</f>
        <v xml:space="preserve"> ext. Grünland 5-10 % Legum.</v>
      </c>
      <c r="B23" s="772" t="str" cm="1">
        <f t="array" ref="B23">IFERROR(INDEX(Kulturen[HF],_xlfn.AGGREGATE(15,6,(ROW(Kulturen[Auswahl])-7)/(--(SEARCH("x",Kulturen[Auswahl])&gt;0)),ROW()-7),1),"")</f>
        <v>Grünland &gt; 20 % Legum.</v>
      </c>
      <c r="C23" s="772" t="str">
        <f>IF(Kulturen[[#This Row],[HF]]=$D$373,IF($C$6=0,0,"x"),IF($C$6=0,"x",Vorauswahl!C22))</f>
        <v>x</v>
      </c>
      <c r="D23" s="1400" t="s">
        <v>1484</v>
      </c>
      <c r="E23" s="1400"/>
      <c r="F23" s="358" t="s">
        <v>1886</v>
      </c>
      <c r="G23" s="1401">
        <v>13</v>
      </c>
      <c r="H23" s="776">
        <v>4</v>
      </c>
      <c r="I23" s="776">
        <v>3</v>
      </c>
      <c r="J23" s="1407">
        <v>13</v>
      </c>
      <c r="K23" s="1404">
        <v>0.65</v>
      </c>
      <c r="L23" s="1404">
        <v>0.65</v>
      </c>
      <c r="M23" s="1403">
        <v>40</v>
      </c>
      <c r="N23" s="442">
        <v>-20</v>
      </c>
      <c r="O23" s="1401">
        <v>2</v>
      </c>
      <c r="P23" s="773">
        <v>0</v>
      </c>
      <c r="Q23" s="1409">
        <v>73</v>
      </c>
      <c r="R23" s="776">
        <v>1</v>
      </c>
      <c r="S23" s="1408">
        <v>1.82</v>
      </c>
      <c r="T23" s="1408">
        <v>1.82</v>
      </c>
      <c r="U23" s="773">
        <v>20</v>
      </c>
      <c r="V23" s="773">
        <v>5</v>
      </c>
      <c r="W23" s="776">
        <f>IF(Kulturen[[#This Row],[Berechnungsschema]]=13,3,IF(Kulturen[[#This Row],[Berechnungsschema]]=6,2,1))</f>
        <v>3</v>
      </c>
      <c r="X23" s="776">
        <f>IF(Kulturen[[#This Row],[fruchtartengruppe]]=13,Kulturen[[#This Row],[NBedarfswert]],MAX(0,Kulturen[[#This Row],[NBedarfswert]]-Kulturen[[#This Row],[Ertrag]]*Kulturen[[#This Row],[Nfix]]))</f>
        <v>73</v>
      </c>
      <c r="Y23" s="938">
        <v>40</v>
      </c>
      <c r="Z23" s="938">
        <v>40</v>
      </c>
      <c r="AA23" s="938">
        <v>40</v>
      </c>
      <c r="AB23" s="938">
        <v>40</v>
      </c>
      <c r="AC23" s="938">
        <v>40</v>
      </c>
      <c r="AD23" s="938">
        <v>40</v>
      </c>
      <c r="AE23" s="938">
        <v>40</v>
      </c>
      <c r="AF23" s="938">
        <v>40</v>
      </c>
      <c r="AG23" s="938">
        <v>40</v>
      </c>
      <c r="AH23" s="938">
        <v>40</v>
      </c>
      <c r="AI23" s="938">
        <v>40</v>
      </c>
      <c r="AJ23" s="938">
        <v>40</v>
      </c>
      <c r="AK23" s="938">
        <v>40</v>
      </c>
      <c r="AL23" s="938">
        <v>40</v>
      </c>
      <c r="AM23" s="938">
        <v>40</v>
      </c>
      <c r="AN23" s="938">
        <v>40</v>
      </c>
      <c r="AO23" s="938">
        <v>40</v>
      </c>
      <c r="AP23" s="938">
        <v>40</v>
      </c>
      <c r="AQ23" s="938">
        <v>40</v>
      </c>
      <c r="AR23" s="938">
        <v>40</v>
      </c>
      <c r="AS23" s="938">
        <v>40</v>
      </c>
      <c r="AT23" s="938">
        <v>40</v>
      </c>
      <c r="AU23" s="938">
        <v>40</v>
      </c>
      <c r="AV23" s="938">
        <v>40</v>
      </c>
      <c r="AW23" s="938">
        <v>40</v>
      </c>
      <c r="AX23" s="938">
        <v>40</v>
      </c>
      <c r="AY23" s="938">
        <v>40</v>
      </c>
      <c r="AZ23" s="938">
        <v>40</v>
      </c>
      <c r="BA23" s="938">
        <v>40</v>
      </c>
      <c r="BB23" s="938">
        <v>40</v>
      </c>
      <c r="BC23" s="938">
        <v>40</v>
      </c>
      <c r="BD23" s="938">
        <v>40</v>
      </c>
      <c r="BE23" s="938">
        <v>40</v>
      </c>
      <c r="BF23" s="938">
        <v>40</v>
      </c>
      <c r="BG23" s="938">
        <v>40</v>
      </c>
      <c r="BH23" s="938">
        <v>40</v>
      </c>
      <c r="BI23" s="938">
        <v>40</v>
      </c>
      <c r="BJ23" s="938">
        <v>40</v>
      </c>
      <c r="BK23" s="938">
        <v>40</v>
      </c>
      <c r="BL23" s="938">
        <v>40</v>
      </c>
      <c r="BM23" s="938">
        <v>40</v>
      </c>
      <c r="BN23" s="938">
        <v>40</v>
      </c>
      <c r="BO23" s="938">
        <v>40</v>
      </c>
      <c r="BP23" s="938">
        <v>40</v>
      </c>
      <c r="BQ23" s="938">
        <v>40</v>
      </c>
      <c r="BR23" s="938">
        <v>40</v>
      </c>
      <c r="BS23" s="938">
        <v>40</v>
      </c>
      <c r="BT23" s="938">
        <v>40</v>
      </c>
      <c r="BU23" s="938">
        <v>40</v>
      </c>
      <c r="BV23" s="938">
        <v>40</v>
      </c>
      <c r="BW23" s="938">
        <v>40</v>
      </c>
      <c r="BX23" s="938">
        <v>40</v>
      </c>
      <c r="BY23" s="938">
        <v>40</v>
      </c>
      <c r="BZ23" s="938">
        <v>40</v>
      </c>
      <c r="CA23" s="938">
        <v>40</v>
      </c>
      <c r="CB23" s="938">
        <v>40</v>
      </c>
      <c r="CC23" s="938">
        <v>40</v>
      </c>
      <c r="CD23" s="938">
        <v>40</v>
      </c>
      <c r="CE23" s="938">
        <v>40</v>
      </c>
      <c r="CF23" s="938">
        <v>40</v>
      </c>
      <c r="CG23" s="938">
        <v>40</v>
      </c>
      <c r="CH23" s="938">
        <v>40</v>
      </c>
      <c r="CI23" s="938">
        <v>40</v>
      </c>
      <c r="CJ23" s="938">
        <v>40</v>
      </c>
      <c r="CK23" s="938">
        <v>40</v>
      </c>
      <c r="CL23" s="938">
        <v>40</v>
      </c>
      <c r="CM23" s="938">
        <v>40</v>
      </c>
      <c r="CN23" s="938">
        <v>40</v>
      </c>
      <c r="CO23" s="938">
        <v>40</v>
      </c>
      <c r="CP23" s="938">
        <v>40</v>
      </c>
      <c r="CQ23" s="938">
        <v>40</v>
      </c>
      <c r="CR23" s="938">
        <v>40</v>
      </c>
      <c r="CS23" s="938">
        <v>40</v>
      </c>
      <c r="CT23" s="938">
        <v>40</v>
      </c>
      <c r="CU23" s="938">
        <v>40</v>
      </c>
      <c r="CV23" s="938">
        <v>40</v>
      </c>
      <c r="CW23" s="938">
        <v>40</v>
      </c>
      <c r="CX23" s="938">
        <v>40</v>
      </c>
      <c r="CY23" s="938">
        <v>40</v>
      </c>
      <c r="CZ23" s="938">
        <v>40</v>
      </c>
      <c r="DA23" s="938">
        <v>40</v>
      </c>
      <c r="DB23" s="938">
        <v>40</v>
      </c>
      <c r="DC23" s="938">
        <v>40</v>
      </c>
      <c r="DD23" s="938">
        <v>40</v>
      </c>
      <c r="DE23" s="938">
        <v>40</v>
      </c>
      <c r="DF23" s="938">
        <v>40</v>
      </c>
      <c r="DG23" s="938">
        <v>40</v>
      </c>
      <c r="DH23" s="938">
        <v>40</v>
      </c>
      <c r="DI23" s="938">
        <v>40</v>
      </c>
      <c r="DJ23" s="938">
        <v>40</v>
      </c>
      <c r="DK23" s="938">
        <v>40</v>
      </c>
      <c r="DL23" s="938">
        <v>40</v>
      </c>
      <c r="DM23" s="938">
        <v>40</v>
      </c>
      <c r="DN23" s="938">
        <v>40</v>
      </c>
      <c r="DO23" s="938">
        <v>40</v>
      </c>
      <c r="DP23" s="938">
        <v>40</v>
      </c>
    </row>
    <row r="24" spans="1:120" x14ac:dyDescent="0.2">
      <c r="A24" s="637" t="str">
        <f>CONCATENATE(" ",Kulturen[[#This Row],[HF]])</f>
        <v xml:space="preserve"> ext. Grünland 10,1 -20 % Leg.</v>
      </c>
      <c r="B24" s="772" t="str" cm="1">
        <f t="array" ref="B24">IFERROR(INDEX(Kulturen[HF],_xlfn.AGGREGATE(15,6,(ROW(Kulturen[Auswahl])-7)/(--(SEARCH("x",Kulturen[Auswahl])&gt;0)),ROW()-7),1),"")</f>
        <v>Stilllegung Grünland</v>
      </c>
      <c r="C24" s="772" t="str">
        <f>IF(Kulturen[[#This Row],[HF]]=$D$373,IF($C$6=0,0,"x"),IF($C$6=0,"x",Vorauswahl!C23))</f>
        <v>x</v>
      </c>
      <c r="D24" s="1400" t="s">
        <v>1258</v>
      </c>
      <c r="E24" s="1400"/>
      <c r="F24" s="358" t="s">
        <v>1886</v>
      </c>
      <c r="G24" s="1401">
        <v>13</v>
      </c>
      <c r="H24" s="776">
        <v>4</v>
      </c>
      <c r="I24" s="776">
        <v>3</v>
      </c>
      <c r="J24" s="1407">
        <v>13</v>
      </c>
      <c r="K24" s="1404">
        <v>0.65</v>
      </c>
      <c r="L24" s="1404">
        <v>0.65</v>
      </c>
      <c r="M24" s="1403">
        <v>40</v>
      </c>
      <c r="N24" s="442">
        <v>-40</v>
      </c>
      <c r="O24" s="1401">
        <v>2</v>
      </c>
      <c r="P24" s="773">
        <v>0</v>
      </c>
      <c r="Q24" s="1409">
        <v>73</v>
      </c>
      <c r="R24" s="776">
        <v>1</v>
      </c>
      <c r="S24" s="1408">
        <v>1.82</v>
      </c>
      <c r="T24" s="1408">
        <v>1.82</v>
      </c>
      <c r="U24" s="773">
        <v>20</v>
      </c>
      <c r="V24" s="773">
        <v>5</v>
      </c>
      <c r="W24" s="776">
        <f>IF(Kulturen[[#This Row],[Berechnungsschema]]=13,3,IF(Kulturen[[#This Row],[Berechnungsschema]]=6,2,1))</f>
        <v>3</v>
      </c>
      <c r="X24" s="776">
        <f>IF(Kulturen[[#This Row],[fruchtartengruppe]]=13,Kulturen[[#This Row],[NBedarfswert]],MAX(0,Kulturen[[#This Row],[NBedarfswert]]-Kulturen[[#This Row],[Ertrag]]*Kulturen[[#This Row],[Nfix]]))</f>
        <v>73</v>
      </c>
      <c r="Y24" s="938">
        <v>40</v>
      </c>
      <c r="Z24" s="938">
        <v>40</v>
      </c>
      <c r="AA24" s="938">
        <v>40</v>
      </c>
      <c r="AB24" s="938">
        <v>40</v>
      </c>
      <c r="AC24" s="938">
        <v>40</v>
      </c>
      <c r="AD24" s="938">
        <v>40</v>
      </c>
      <c r="AE24" s="938">
        <v>40</v>
      </c>
      <c r="AF24" s="938">
        <v>40</v>
      </c>
      <c r="AG24" s="938">
        <v>40</v>
      </c>
      <c r="AH24" s="938">
        <v>40</v>
      </c>
      <c r="AI24" s="938">
        <v>40</v>
      </c>
      <c r="AJ24" s="938">
        <v>40</v>
      </c>
      <c r="AK24" s="938">
        <v>40</v>
      </c>
      <c r="AL24" s="938">
        <v>40</v>
      </c>
      <c r="AM24" s="938">
        <v>40</v>
      </c>
      <c r="AN24" s="938">
        <v>40</v>
      </c>
      <c r="AO24" s="938">
        <v>40</v>
      </c>
      <c r="AP24" s="938">
        <v>40</v>
      </c>
      <c r="AQ24" s="938">
        <v>40</v>
      </c>
      <c r="AR24" s="938">
        <v>40</v>
      </c>
      <c r="AS24" s="938">
        <v>40</v>
      </c>
      <c r="AT24" s="938">
        <v>40</v>
      </c>
      <c r="AU24" s="938">
        <v>40</v>
      </c>
      <c r="AV24" s="938">
        <v>40</v>
      </c>
      <c r="AW24" s="938">
        <v>40</v>
      </c>
      <c r="AX24" s="938">
        <v>40</v>
      </c>
      <c r="AY24" s="938">
        <v>40</v>
      </c>
      <c r="AZ24" s="938">
        <v>40</v>
      </c>
      <c r="BA24" s="938">
        <v>40</v>
      </c>
      <c r="BB24" s="938">
        <v>40</v>
      </c>
      <c r="BC24" s="938">
        <v>40</v>
      </c>
      <c r="BD24" s="938">
        <v>40</v>
      </c>
      <c r="BE24" s="938">
        <v>40</v>
      </c>
      <c r="BF24" s="938">
        <v>40</v>
      </c>
      <c r="BG24" s="938">
        <v>40</v>
      </c>
      <c r="BH24" s="938">
        <v>40</v>
      </c>
      <c r="BI24" s="938">
        <v>40</v>
      </c>
      <c r="BJ24" s="938">
        <v>40</v>
      </c>
      <c r="BK24" s="938">
        <v>40</v>
      </c>
      <c r="BL24" s="938">
        <v>40</v>
      </c>
      <c r="BM24" s="938">
        <v>40</v>
      </c>
      <c r="BN24" s="938">
        <v>40</v>
      </c>
      <c r="BO24" s="938">
        <v>40</v>
      </c>
      <c r="BP24" s="938">
        <v>40</v>
      </c>
      <c r="BQ24" s="938">
        <v>40</v>
      </c>
      <c r="BR24" s="938">
        <v>40</v>
      </c>
      <c r="BS24" s="938">
        <v>40</v>
      </c>
      <c r="BT24" s="938">
        <v>40</v>
      </c>
      <c r="BU24" s="938">
        <v>40</v>
      </c>
      <c r="BV24" s="938">
        <v>40</v>
      </c>
      <c r="BW24" s="938">
        <v>40</v>
      </c>
      <c r="BX24" s="938">
        <v>40</v>
      </c>
      <c r="BY24" s="938">
        <v>40</v>
      </c>
      <c r="BZ24" s="938">
        <v>40</v>
      </c>
      <c r="CA24" s="938">
        <v>40</v>
      </c>
      <c r="CB24" s="938">
        <v>40</v>
      </c>
      <c r="CC24" s="938">
        <v>40</v>
      </c>
      <c r="CD24" s="938">
        <v>40</v>
      </c>
      <c r="CE24" s="938">
        <v>40</v>
      </c>
      <c r="CF24" s="938">
        <v>40</v>
      </c>
      <c r="CG24" s="938">
        <v>40</v>
      </c>
      <c r="CH24" s="938">
        <v>40</v>
      </c>
      <c r="CI24" s="938">
        <v>40</v>
      </c>
      <c r="CJ24" s="938">
        <v>40</v>
      </c>
      <c r="CK24" s="938">
        <v>40</v>
      </c>
      <c r="CL24" s="938">
        <v>40</v>
      </c>
      <c r="CM24" s="938">
        <v>40</v>
      </c>
      <c r="CN24" s="938">
        <v>40</v>
      </c>
      <c r="CO24" s="938">
        <v>40</v>
      </c>
      <c r="CP24" s="938">
        <v>40</v>
      </c>
      <c r="CQ24" s="938">
        <v>40</v>
      </c>
      <c r="CR24" s="938">
        <v>40</v>
      </c>
      <c r="CS24" s="938">
        <v>40</v>
      </c>
      <c r="CT24" s="938">
        <v>40</v>
      </c>
      <c r="CU24" s="938">
        <v>40</v>
      </c>
      <c r="CV24" s="938">
        <v>40</v>
      </c>
      <c r="CW24" s="938">
        <v>40</v>
      </c>
      <c r="CX24" s="938">
        <v>40</v>
      </c>
      <c r="CY24" s="938">
        <v>40</v>
      </c>
      <c r="CZ24" s="938">
        <v>40</v>
      </c>
      <c r="DA24" s="938">
        <v>40</v>
      </c>
      <c r="DB24" s="938">
        <v>40</v>
      </c>
      <c r="DC24" s="938">
        <v>40</v>
      </c>
      <c r="DD24" s="938">
        <v>40</v>
      </c>
      <c r="DE24" s="938">
        <v>40</v>
      </c>
      <c r="DF24" s="938">
        <v>40</v>
      </c>
      <c r="DG24" s="938">
        <v>40</v>
      </c>
      <c r="DH24" s="938">
        <v>40</v>
      </c>
      <c r="DI24" s="938">
        <v>40</v>
      </c>
      <c r="DJ24" s="938">
        <v>40</v>
      </c>
      <c r="DK24" s="938">
        <v>40</v>
      </c>
      <c r="DL24" s="938">
        <v>40</v>
      </c>
      <c r="DM24" s="938">
        <v>40</v>
      </c>
      <c r="DN24" s="938">
        <v>40</v>
      </c>
      <c r="DO24" s="938">
        <v>40</v>
      </c>
      <c r="DP24" s="938">
        <v>40</v>
      </c>
    </row>
    <row r="25" spans="1:120" x14ac:dyDescent="0.2">
      <c r="A25" s="637" t="str">
        <f>CONCATENATE(" ",Kulturen[[#This Row],[HF]])</f>
        <v xml:space="preserve"> ext. Grünland &gt; 20 % Legum.</v>
      </c>
      <c r="B25" s="772" t="str" cm="1">
        <f t="array" ref="B25">IFERROR(INDEX(Kulturen[HF],_xlfn.AGGREGATE(15,6,(ROW(Kulturen[Auswahl])-7)/(--(SEARCH("x",Kulturen[Auswahl])&gt;0)),ROW()-7),1),"")</f>
        <v>+++Getreide+++</v>
      </c>
      <c r="C25" s="772" t="str">
        <f>IF(Kulturen[[#This Row],[HF]]=$D$373,IF($C$6=0,0,"x"),IF($C$6=0,"x",Vorauswahl!C24))</f>
        <v>x</v>
      </c>
      <c r="D25" s="1400" t="s">
        <v>1481</v>
      </c>
      <c r="E25" s="1400"/>
      <c r="F25" s="358" t="s">
        <v>1886</v>
      </c>
      <c r="G25" s="1401">
        <v>13</v>
      </c>
      <c r="H25" s="776">
        <v>4</v>
      </c>
      <c r="I25" s="776">
        <v>3</v>
      </c>
      <c r="J25" s="1407">
        <v>13</v>
      </c>
      <c r="K25" s="1404">
        <v>0.65</v>
      </c>
      <c r="L25" s="1404">
        <v>0.65</v>
      </c>
      <c r="M25" s="1403">
        <v>40</v>
      </c>
      <c r="N25" s="442">
        <v>-60</v>
      </c>
      <c r="O25" s="1401">
        <v>2</v>
      </c>
      <c r="P25" s="773">
        <v>0</v>
      </c>
      <c r="Q25" s="1409">
        <v>73</v>
      </c>
      <c r="R25" s="776">
        <v>1</v>
      </c>
      <c r="S25" s="1408">
        <v>1.82</v>
      </c>
      <c r="T25" s="1408">
        <v>1.82</v>
      </c>
      <c r="U25" s="773">
        <v>20</v>
      </c>
      <c r="V25" s="773">
        <v>5</v>
      </c>
      <c r="W25" s="776">
        <f>IF(Kulturen[[#This Row],[Berechnungsschema]]=13,3,IF(Kulturen[[#This Row],[Berechnungsschema]]=6,2,1))</f>
        <v>3</v>
      </c>
      <c r="X25" s="776">
        <f>IF(Kulturen[[#This Row],[fruchtartengruppe]]=13,Kulturen[[#This Row],[NBedarfswert]],MAX(0,Kulturen[[#This Row],[NBedarfswert]]-Kulturen[[#This Row],[Ertrag]]*Kulturen[[#This Row],[Nfix]]))</f>
        <v>73</v>
      </c>
      <c r="Y25" s="938">
        <v>40</v>
      </c>
      <c r="Z25" s="938">
        <v>40</v>
      </c>
      <c r="AA25" s="938">
        <v>40</v>
      </c>
      <c r="AB25" s="938">
        <v>40</v>
      </c>
      <c r="AC25" s="938">
        <v>40</v>
      </c>
      <c r="AD25" s="938">
        <v>40</v>
      </c>
      <c r="AE25" s="938">
        <v>40</v>
      </c>
      <c r="AF25" s="938">
        <v>40</v>
      </c>
      <c r="AG25" s="938">
        <v>40</v>
      </c>
      <c r="AH25" s="938">
        <v>40</v>
      </c>
      <c r="AI25" s="938">
        <v>40</v>
      </c>
      <c r="AJ25" s="938">
        <v>40</v>
      </c>
      <c r="AK25" s="938">
        <v>40</v>
      </c>
      <c r="AL25" s="938">
        <v>40</v>
      </c>
      <c r="AM25" s="938">
        <v>40</v>
      </c>
      <c r="AN25" s="938">
        <v>40</v>
      </c>
      <c r="AO25" s="938">
        <v>40</v>
      </c>
      <c r="AP25" s="938">
        <v>40</v>
      </c>
      <c r="AQ25" s="938">
        <v>40</v>
      </c>
      <c r="AR25" s="938">
        <v>40</v>
      </c>
      <c r="AS25" s="938">
        <v>40</v>
      </c>
      <c r="AT25" s="938">
        <v>40</v>
      </c>
      <c r="AU25" s="938">
        <v>40</v>
      </c>
      <c r="AV25" s="938">
        <v>40</v>
      </c>
      <c r="AW25" s="938">
        <v>40</v>
      </c>
      <c r="AX25" s="938">
        <v>40</v>
      </c>
      <c r="AY25" s="938">
        <v>40</v>
      </c>
      <c r="AZ25" s="938">
        <v>40</v>
      </c>
      <c r="BA25" s="938">
        <v>40</v>
      </c>
      <c r="BB25" s="938">
        <v>40</v>
      </c>
      <c r="BC25" s="938">
        <v>40</v>
      </c>
      <c r="BD25" s="938">
        <v>40</v>
      </c>
      <c r="BE25" s="938">
        <v>40</v>
      </c>
      <c r="BF25" s="938">
        <v>40</v>
      </c>
      <c r="BG25" s="938">
        <v>40</v>
      </c>
      <c r="BH25" s="938">
        <v>40</v>
      </c>
      <c r="BI25" s="938">
        <v>40</v>
      </c>
      <c r="BJ25" s="938">
        <v>40</v>
      </c>
      <c r="BK25" s="938">
        <v>40</v>
      </c>
      <c r="BL25" s="938">
        <v>40</v>
      </c>
      <c r="BM25" s="938">
        <v>40</v>
      </c>
      <c r="BN25" s="938">
        <v>40</v>
      </c>
      <c r="BO25" s="938">
        <v>40</v>
      </c>
      <c r="BP25" s="938">
        <v>40</v>
      </c>
      <c r="BQ25" s="938">
        <v>40</v>
      </c>
      <c r="BR25" s="938">
        <v>40</v>
      </c>
      <c r="BS25" s="938">
        <v>40</v>
      </c>
      <c r="BT25" s="938">
        <v>40</v>
      </c>
      <c r="BU25" s="938">
        <v>40</v>
      </c>
      <c r="BV25" s="938">
        <v>40</v>
      </c>
      <c r="BW25" s="938">
        <v>40</v>
      </c>
      <c r="BX25" s="938">
        <v>40</v>
      </c>
      <c r="BY25" s="938">
        <v>40</v>
      </c>
      <c r="BZ25" s="938">
        <v>40</v>
      </c>
      <c r="CA25" s="938">
        <v>40</v>
      </c>
      <c r="CB25" s="938">
        <v>40</v>
      </c>
      <c r="CC25" s="938">
        <v>40</v>
      </c>
      <c r="CD25" s="938">
        <v>40</v>
      </c>
      <c r="CE25" s="938">
        <v>40</v>
      </c>
      <c r="CF25" s="938">
        <v>40</v>
      </c>
      <c r="CG25" s="938">
        <v>40</v>
      </c>
      <c r="CH25" s="938">
        <v>40</v>
      </c>
      <c r="CI25" s="938">
        <v>40</v>
      </c>
      <c r="CJ25" s="938">
        <v>40</v>
      </c>
      <c r="CK25" s="938">
        <v>40</v>
      </c>
      <c r="CL25" s="938">
        <v>40</v>
      </c>
      <c r="CM25" s="938">
        <v>40</v>
      </c>
      <c r="CN25" s="938">
        <v>40</v>
      </c>
      <c r="CO25" s="938">
        <v>40</v>
      </c>
      <c r="CP25" s="938">
        <v>40</v>
      </c>
      <c r="CQ25" s="938">
        <v>40</v>
      </c>
      <c r="CR25" s="938">
        <v>40</v>
      </c>
      <c r="CS25" s="938">
        <v>40</v>
      </c>
      <c r="CT25" s="938">
        <v>40</v>
      </c>
      <c r="CU25" s="938">
        <v>40</v>
      </c>
      <c r="CV25" s="938">
        <v>40</v>
      </c>
      <c r="CW25" s="938">
        <v>40</v>
      </c>
      <c r="CX25" s="938">
        <v>40</v>
      </c>
      <c r="CY25" s="938">
        <v>40</v>
      </c>
      <c r="CZ25" s="938">
        <v>40</v>
      </c>
      <c r="DA25" s="938">
        <v>40</v>
      </c>
      <c r="DB25" s="938">
        <v>40</v>
      </c>
      <c r="DC25" s="938">
        <v>40</v>
      </c>
      <c r="DD25" s="938">
        <v>40</v>
      </c>
      <c r="DE25" s="938">
        <v>40</v>
      </c>
      <c r="DF25" s="938">
        <v>40</v>
      </c>
      <c r="DG25" s="938">
        <v>40</v>
      </c>
      <c r="DH25" s="938">
        <v>40</v>
      </c>
      <c r="DI25" s="938">
        <v>40</v>
      </c>
      <c r="DJ25" s="938">
        <v>40</v>
      </c>
      <c r="DK25" s="938">
        <v>40</v>
      </c>
      <c r="DL25" s="938">
        <v>40</v>
      </c>
      <c r="DM25" s="938">
        <v>40</v>
      </c>
      <c r="DN25" s="938">
        <v>40</v>
      </c>
      <c r="DO25" s="938">
        <v>40</v>
      </c>
      <c r="DP25" s="938">
        <v>40</v>
      </c>
    </row>
    <row r="26" spans="1:120" s="1398" customFormat="1" x14ac:dyDescent="0.2">
      <c r="A26" s="637" t="str">
        <f>CONCATENATE(" ",Kulturen[[#This Row],[HF]])</f>
        <v xml:space="preserve"> Almen &lt; 5 % Legum.</v>
      </c>
      <c r="B26" s="772" t="str" cm="1">
        <f t="array" ref="B26">IFERROR(INDEX(Kulturen[HF],_xlfn.AGGREGATE(15,6,(ROW(Kulturen[Auswahl])-7)/(--(SEARCH("x",Kulturen[Auswahl])&gt;0)),ROW()-7),1),"")</f>
        <v>Winterweizen C-Sorte</v>
      </c>
      <c r="C26" s="772" t="str">
        <f>IF(Kulturen[[#This Row],[HF]]=$D$373,IF($C$6=0,0,"x"),IF($C$6=0,"x",Vorauswahl!C25))</f>
        <v>x</v>
      </c>
      <c r="D26" s="1402" t="s">
        <v>2375</v>
      </c>
      <c r="E26" s="1402"/>
      <c r="F26" s="1396" t="s">
        <v>2377</v>
      </c>
      <c r="G26" s="1411">
        <v>13</v>
      </c>
      <c r="H26" s="1412">
        <v>4</v>
      </c>
      <c r="I26" s="1411">
        <v>3</v>
      </c>
      <c r="J26" s="1411">
        <v>13</v>
      </c>
      <c r="K26" s="1411">
        <v>0.73</v>
      </c>
      <c r="L26" s="1411">
        <v>0.73</v>
      </c>
      <c r="M26" s="1411">
        <v>40</v>
      </c>
      <c r="N26" s="442">
        <v>-10</v>
      </c>
      <c r="O26" s="1411">
        <v>2</v>
      </c>
      <c r="P26" s="773">
        <v>0</v>
      </c>
      <c r="Q26" s="540">
        <v>90</v>
      </c>
      <c r="R26" s="540">
        <v>1</v>
      </c>
      <c r="S26" s="540">
        <v>2.2400000000000002</v>
      </c>
      <c r="T26" s="540">
        <v>2.2400000000000002</v>
      </c>
      <c r="U26" s="1411">
        <v>20</v>
      </c>
      <c r="V26" s="1411">
        <v>5</v>
      </c>
      <c r="W26" s="412">
        <f>IF(Kulturen[[#This Row],[Berechnungsschema]]=13,3,IF(Kulturen[[#This Row],[Berechnungsschema]]=6,2,1))</f>
        <v>3</v>
      </c>
      <c r="X26" s="412">
        <f>IF(Kulturen[[#This Row],[fruchtartengruppe]]=13,Kulturen[[#This Row],[NBedarfswert]],MAX(0,Kulturen[[#This Row],[NBedarfswert]]-Kulturen[[#This Row],[Ertrag]]*Kulturen[[#This Row],[Nfix]]))</f>
        <v>90</v>
      </c>
      <c r="Y26" s="938">
        <v>40</v>
      </c>
      <c r="Z26" s="938">
        <v>40</v>
      </c>
      <c r="AA26" s="938">
        <v>40</v>
      </c>
      <c r="AB26" s="938">
        <v>40</v>
      </c>
      <c r="AC26" s="938">
        <v>40</v>
      </c>
      <c r="AD26" s="938">
        <v>40</v>
      </c>
      <c r="AE26" s="938">
        <v>40</v>
      </c>
      <c r="AF26" s="938">
        <v>40</v>
      </c>
      <c r="AG26" s="938">
        <v>40</v>
      </c>
      <c r="AH26" s="938">
        <v>40</v>
      </c>
      <c r="AI26" s="938">
        <v>40</v>
      </c>
      <c r="AJ26" s="938">
        <v>40</v>
      </c>
      <c r="AK26" s="938">
        <v>40</v>
      </c>
      <c r="AL26" s="938">
        <v>40</v>
      </c>
      <c r="AM26" s="938">
        <v>40</v>
      </c>
      <c r="AN26" s="938">
        <v>40</v>
      </c>
      <c r="AO26" s="938">
        <v>40</v>
      </c>
      <c r="AP26" s="938">
        <v>40</v>
      </c>
      <c r="AQ26" s="938">
        <v>40</v>
      </c>
      <c r="AR26" s="938">
        <v>40</v>
      </c>
      <c r="AS26" s="938">
        <v>40</v>
      </c>
      <c r="AT26" s="938">
        <v>40</v>
      </c>
      <c r="AU26" s="938">
        <v>40</v>
      </c>
      <c r="AV26" s="938">
        <v>40</v>
      </c>
      <c r="AW26" s="938">
        <v>40</v>
      </c>
      <c r="AX26" s="938">
        <v>40</v>
      </c>
      <c r="AY26" s="938">
        <v>40</v>
      </c>
      <c r="AZ26" s="938">
        <v>40</v>
      </c>
      <c r="BA26" s="938">
        <v>40</v>
      </c>
      <c r="BB26" s="938">
        <v>40</v>
      </c>
      <c r="BC26" s="938">
        <v>40</v>
      </c>
      <c r="BD26" s="938">
        <v>40</v>
      </c>
      <c r="BE26" s="938">
        <v>40</v>
      </c>
      <c r="BF26" s="938">
        <v>40</v>
      </c>
      <c r="BG26" s="938">
        <v>40</v>
      </c>
      <c r="BH26" s="938">
        <v>40</v>
      </c>
      <c r="BI26" s="938">
        <v>40</v>
      </c>
      <c r="BJ26" s="938">
        <v>40</v>
      </c>
      <c r="BK26" s="938">
        <v>40</v>
      </c>
      <c r="BL26" s="938">
        <v>40</v>
      </c>
      <c r="BM26" s="938">
        <v>40</v>
      </c>
      <c r="BN26" s="938">
        <v>40</v>
      </c>
      <c r="BO26" s="938">
        <v>40</v>
      </c>
      <c r="BP26" s="938">
        <v>40</v>
      </c>
      <c r="BQ26" s="938">
        <v>40</v>
      </c>
      <c r="BR26" s="938">
        <v>40</v>
      </c>
      <c r="BS26" s="938">
        <v>40</v>
      </c>
      <c r="BT26" s="938">
        <v>40</v>
      </c>
      <c r="BU26" s="938">
        <v>40</v>
      </c>
      <c r="BV26" s="938">
        <v>40</v>
      </c>
      <c r="BW26" s="938">
        <v>40</v>
      </c>
      <c r="BX26" s="938">
        <v>40</v>
      </c>
      <c r="BY26" s="938">
        <v>40</v>
      </c>
      <c r="BZ26" s="938">
        <v>40</v>
      </c>
      <c r="CA26" s="938">
        <v>40</v>
      </c>
      <c r="CB26" s="938">
        <v>40</v>
      </c>
      <c r="CC26" s="938">
        <v>40</v>
      </c>
      <c r="CD26" s="938">
        <v>40</v>
      </c>
      <c r="CE26" s="938">
        <v>40</v>
      </c>
      <c r="CF26" s="938">
        <v>40</v>
      </c>
      <c r="CG26" s="938">
        <v>40</v>
      </c>
      <c r="CH26" s="938">
        <v>40</v>
      </c>
      <c r="CI26" s="938">
        <v>40</v>
      </c>
      <c r="CJ26" s="938">
        <v>40</v>
      </c>
      <c r="CK26" s="938">
        <v>40</v>
      </c>
      <c r="CL26" s="938">
        <v>40</v>
      </c>
      <c r="CM26" s="938">
        <v>40</v>
      </c>
      <c r="CN26" s="938">
        <v>40</v>
      </c>
      <c r="CO26" s="938">
        <v>40</v>
      </c>
      <c r="CP26" s="938">
        <v>40</v>
      </c>
      <c r="CQ26" s="938">
        <v>40</v>
      </c>
      <c r="CR26" s="938">
        <v>40</v>
      </c>
      <c r="CS26" s="938">
        <v>40</v>
      </c>
      <c r="CT26" s="938">
        <v>40</v>
      </c>
      <c r="CU26" s="938">
        <v>40</v>
      </c>
      <c r="CV26" s="938">
        <v>40</v>
      </c>
      <c r="CW26" s="938">
        <v>40</v>
      </c>
      <c r="CX26" s="938">
        <v>40</v>
      </c>
      <c r="CY26" s="938">
        <v>40</v>
      </c>
      <c r="CZ26" s="938">
        <v>40</v>
      </c>
      <c r="DA26" s="938">
        <v>40</v>
      </c>
      <c r="DB26" s="938">
        <v>40</v>
      </c>
      <c r="DC26" s="938">
        <v>40</v>
      </c>
      <c r="DD26" s="938">
        <v>40</v>
      </c>
      <c r="DE26" s="938">
        <v>40</v>
      </c>
      <c r="DF26" s="938">
        <v>40</v>
      </c>
      <c r="DG26" s="938">
        <v>40</v>
      </c>
      <c r="DH26" s="938">
        <v>40</v>
      </c>
      <c r="DI26" s="938">
        <v>40</v>
      </c>
      <c r="DJ26" s="938">
        <v>40</v>
      </c>
      <c r="DK26" s="938">
        <v>40</v>
      </c>
      <c r="DL26" s="938">
        <v>40</v>
      </c>
      <c r="DM26" s="938">
        <v>40</v>
      </c>
      <c r="DN26" s="938">
        <v>40</v>
      </c>
      <c r="DO26" s="938">
        <v>40</v>
      </c>
      <c r="DP26" s="938">
        <v>40</v>
      </c>
    </row>
    <row r="27" spans="1:120" s="1398" customFormat="1" x14ac:dyDescent="0.2">
      <c r="A27" s="637" t="str">
        <f>CONCATENATE(" ",Kulturen[[#This Row],[HF]])</f>
        <v xml:space="preserve"> Almen 5-10 % Legum.</v>
      </c>
      <c r="B27" s="772" t="str" cm="1">
        <f t="array" ref="B27">IFERROR(INDEX(Kulturen[HF],_xlfn.AGGREGATE(15,6,(ROW(Kulturen[Auswahl])-7)/(--(SEARCH("x",Kulturen[Auswahl])&gt;0)),ROW()-7),1),"")</f>
        <v>Winterweizen A/B-Sorte</v>
      </c>
      <c r="C27" s="772" t="str">
        <f>IF(Kulturen[[#This Row],[HF]]=$D$373,IF($C$6=0,0,"x"),IF($C$6=0,"x",Vorauswahl!C26))</f>
        <v>x</v>
      </c>
      <c r="D27" s="1402" t="s">
        <v>2378</v>
      </c>
      <c r="E27" s="1402"/>
      <c r="F27" s="1396" t="s">
        <v>2377</v>
      </c>
      <c r="G27" s="1411">
        <v>13</v>
      </c>
      <c r="H27" s="1412">
        <v>4</v>
      </c>
      <c r="I27" s="1411">
        <v>3</v>
      </c>
      <c r="J27" s="1411">
        <v>13</v>
      </c>
      <c r="K27" s="1411">
        <v>0.73</v>
      </c>
      <c r="L27" s="1411">
        <v>0.73</v>
      </c>
      <c r="M27" s="1411">
        <v>40</v>
      </c>
      <c r="N27" s="442">
        <v>-20</v>
      </c>
      <c r="O27" s="1411">
        <v>2</v>
      </c>
      <c r="P27" s="773">
        <v>0</v>
      </c>
      <c r="Q27" s="540">
        <v>90</v>
      </c>
      <c r="R27" s="540">
        <v>1</v>
      </c>
      <c r="S27" s="540">
        <v>2.2400000000000002</v>
      </c>
      <c r="T27" s="540">
        <v>2.2400000000000002</v>
      </c>
      <c r="U27" s="1411">
        <v>20</v>
      </c>
      <c r="V27" s="1411">
        <v>5</v>
      </c>
      <c r="W27" s="412">
        <f>IF(Kulturen[[#This Row],[Berechnungsschema]]=13,3,IF(Kulturen[[#This Row],[Berechnungsschema]]=6,2,1))</f>
        <v>3</v>
      </c>
      <c r="X27" s="412">
        <f>IF(Kulturen[[#This Row],[fruchtartengruppe]]=13,Kulturen[[#This Row],[NBedarfswert]],MAX(0,Kulturen[[#This Row],[NBedarfswert]]-Kulturen[[#This Row],[Ertrag]]*Kulturen[[#This Row],[Nfix]]))</f>
        <v>90</v>
      </c>
      <c r="Y27" s="938">
        <v>40</v>
      </c>
      <c r="Z27" s="938">
        <v>40</v>
      </c>
      <c r="AA27" s="938">
        <v>40</v>
      </c>
      <c r="AB27" s="938">
        <v>40</v>
      </c>
      <c r="AC27" s="938">
        <v>40</v>
      </c>
      <c r="AD27" s="938">
        <v>40</v>
      </c>
      <c r="AE27" s="938">
        <v>40</v>
      </c>
      <c r="AF27" s="938">
        <v>40</v>
      </c>
      <c r="AG27" s="938">
        <v>40</v>
      </c>
      <c r="AH27" s="938">
        <v>40</v>
      </c>
      <c r="AI27" s="938">
        <v>40</v>
      </c>
      <c r="AJ27" s="938">
        <v>40</v>
      </c>
      <c r="AK27" s="938">
        <v>40</v>
      </c>
      <c r="AL27" s="938">
        <v>40</v>
      </c>
      <c r="AM27" s="938">
        <v>40</v>
      </c>
      <c r="AN27" s="938">
        <v>40</v>
      </c>
      <c r="AO27" s="938">
        <v>40</v>
      </c>
      <c r="AP27" s="938">
        <v>40</v>
      </c>
      <c r="AQ27" s="938">
        <v>40</v>
      </c>
      <c r="AR27" s="938">
        <v>40</v>
      </c>
      <c r="AS27" s="938">
        <v>40</v>
      </c>
      <c r="AT27" s="938">
        <v>40</v>
      </c>
      <c r="AU27" s="938">
        <v>40</v>
      </c>
      <c r="AV27" s="938">
        <v>40</v>
      </c>
      <c r="AW27" s="938">
        <v>40</v>
      </c>
      <c r="AX27" s="938">
        <v>40</v>
      </c>
      <c r="AY27" s="938">
        <v>40</v>
      </c>
      <c r="AZ27" s="938">
        <v>40</v>
      </c>
      <c r="BA27" s="938">
        <v>40</v>
      </c>
      <c r="BB27" s="938">
        <v>40</v>
      </c>
      <c r="BC27" s="938">
        <v>40</v>
      </c>
      <c r="BD27" s="938">
        <v>40</v>
      </c>
      <c r="BE27" s="938">
        <v>40</v>
      </c>
      <c r="BF27" s="938">
        <v>40</v>
      </c>
      <c r="BG27" s="938">
        <v>40</v>
      </c>
      <c r="BH27" s="938">
        <v>40</v>
      </c>
      <c r="BI27" s="938">
        <v>40</v>
      </c>
      <c r="BJ27" s="938">
        <v>40</v>
      </c>
      <c r="BK27" s="938">
        <v>40</v>
      </c>
      <c r="BL27" s="938">
        <v>40</v>
      </c>
      <c r="BM27" s="938">
        <v>40</v>
      </c>
      <c r="BN27" s="938">
        <v>40</v>
      </c>
      <c r="BO27" s="938">
        <v>40</v>
      </c>
      <c r="BP27" s="938">
        <v>40</v>
      </c>
      <c r="BQ27" s="938">
        <v>40</v>
      </c>
      <c r="BR27" s="938">
        <v>40</v>
      </c>
      <c r="BS27" s="938">
        <v>40</v>
      </c>
      <c r="BT27" s="938">
        <v>40</v>
      </c>
      <c r="BU27" s="938">
        <v>40</v>
      </c>
      <c r="BV27" s="938">
        <v>40</v>
      </c>
      <c r="BW27" s="938">
        <v>40</v>
      </c>
      <c r="BX27" s="938">
        <v>40</v>
      </c>
      <c r="BY27" s="938">
        <v>40</v>
      </c>
      <c r="BZ27" s="938">
        <v>40</v>
      </c>
      <c r="CA27" s="938">
        <v>40</v>
      </c>
      <c r="CB27" s="938">
        <v>40</v>
      </c>
      <c r="CC27" s="938">
        <v>40</v>
      </c>
      <c r="CD27" s="938">
        <v>40</v>
      </c>
      <c r="CE27" s="938">
        <v>40</v>
      </c>
      <c r="CF27" s="938">
        <v>40</v>
      </c>
      <c r="CG27" s="938">
        <v>40</v>
      </c>
      <c r="CH27" s="938">
        <v>40</v>
      </c>
      <c r="CI27" s="938">
        <v>40</v>
      </c>
      <c r="CJ27" s="938">
        <v>40</v>
      </c>
      <c r="CK27" s="938">
        <v>40</v>
      </c>
      <c r="CL27" s="938">
        <v>40</v>
      </c>
      <c r="CM27" s="938">
        <v>40</v>
      </c>
      <c r="CN27" s="938">
        <v>40</v>
      </c>
      <c r="CO27" s="938">
        <v>40</v>
      </c>
      <c r="CP27" s="938">
        <v>40</v>
      </c>
      <c r="CQ27" s="938">
        <v>40</v>
      </c>
      <c r="CR27" s="938">
        <v>40</v>
      </c>
      <c r="CS27" s="938">
        <v>40</v>
      </c>
      <c r="CT27" s="938">
        <v>40</v>
      </c>
      <c r="CU27" s="938">
        <v>40</v>
      </c>
      <c r="CV27" s="938">
        <v>40</v>
      </c>
      <c r="CW27" s="938">
        <v>40</v>
      </c>
      <c r="CX27" s="938">
        <v>40</v>
      </c>
      <c r="CY27" s="938">
        <v>40</v>
      </c>
      <c r="CZ27" s="938">
        <v>40</v>
      </c>
      <c r="DA27" s="938">
        <v>40</v>
      </c>
      <c r="DB27" s="938">
        <v>40</v>
      </c>
      <c r="DC27" s="938">
        <v>40</v>
      </c>
      <c r="DD27" s="938">
        <v>40</v>
      </c>
      <c r="DE27" s="938">
        <v>40</v>
      </c>
      <c r="DF27" s="938">
        <v>40</v>
      </c>
      <c r="DG27" s="938">
        <v>40</v>
      </c>
      <c r="DH27" s="938">
        <v>40</v>
      </c>
      <c r="DI27" s="938">
        <v>40</v>
      </c>
      <c r="DJ27" s="938">
        <v>40</v>
      </c>
      <c r="DK27" s="938">
        <v>40</v>
      </c>
      <c r="DL27" s="938">
        <v>40</v>
      </c>
      <c r="DM27" s="938">
        <v>40</v>
      </c>
      <c r="DN27" s="938">
        <v>40</v>
      </c>
      <c r="DO27" s="938">
        <v>40</v>
      </c>
      <c r="DP27" s="938">
        <v>40</v>
      </c>
    </row>
    <row r="28" spans="1:120" s="1398" customFormat="1" x14ac:dyDescent="0.2">
      <c r="A28" s="637" t="str">
        <f>CONCATENATE(" ",Kulturen[[#This Row],[HF]])</f>
        <v xml:space="preserve"> Almen 10,1 -20 % Leg.</v>
      </c>
      <c r="B28" s="772" t="str" cm="1">
        <f t="array" ref="B28">IFERROR(INDEX(Kulturen[HF],_xlfn.AGGREGATE(15,6,(ROW(Kulturen[Auswahl])-7)/(--(SEARCH("x",Kulturen[Auswahl])&gt;0)),ROW()-7),1),"")</f>
        <v>Winterweizen E-Sorte</v>
      </c>
      <c r="C28" s="772" t="str">
        <f>IF(Kulturen[[#This Row],[HF]]=$D$373,IF($C$6=0,0,"x"),IF($C$6=0,"x",Vorauswahl!C27))</f>
        <v>x</v>
      </c>
      <c r="D28" s="1402" t="s">
        <v>2379</v>
      </c>
      <c r="E28" s="1402"/>
      <c r="F28" s="1396" t="s">
        <v>2377</v>
      </c>
      <c r="G28" s="1411">
        <v>13</v>
      </c>
      <c r="H28" s="1412">
        <v>4</v>
      </c>
      <c r="I28" s="1411">
        <v>3</v>
      </c>
      <c r="J28" s="1411">
        <v>13</v>
      </c>
      <c r="K28" s="1411">
        <v>0.73</v>
      </c>
      <c r="L28" s="1411">
        <v>0.73</v>
      </c>
      <c r="M28" s="1411">
        <v>40</v>
      </c>
      <c r="N28" s="442">
        <v>-40</v>
      </c>
      <c r="O28" s="1411">
        <v>2</v>
      </c>
      <c r="P28" s="773">
        <v>0</v>
      </c>
      <c r="Q28" s="540">
        <v>90</v>
      </c>
      <c r="R28" s="540">
        <v>1</v>
      </c>
      <c r="S28" s="540">
        <v>2.2400000000000002</v>
      </c>
      <c r="T28" s="540">
        <v>2.2400000000000002</v>
      </c>
      <c r="U28" s="1411">
        <v>20</v>
      </c>
      <c r="V28" s="1411">
        <v>5</v>
      </c>
      <c r="W28" s="412">
        <f>IF(Kulturen[[#This Row],[Berechnungsschema]]=13,3,IF(Kulturen[[#This Row],[Berechnungsschema]]=6,2,1))</f>
        <v>3</v>
      </c>
      <c r="X28" s="412">
        <f>IF(Kulturen[[#This Row],[fruchtartengruppe]]=13,Kulturen[[#This Row],[NBedarfswert]],MAX(0,Kulturen[[#This Row],[NBedarfswert]]-Kulturen[[#This Row],[Ertrag]]*Kulturen[[#This Row],[Nfix]]))</f>
        <v>90</v>
      </c>
      <c r="Y28" s="938">
        <v>40</v>
      </c>
      <c r="Z28" s="938">
        <v>40</v>
      </c>
      <c r="AA28" s="938">
        <v>40</v>
      </c>
      <c r="AB28" s="938">
        <v>40</v>
      </c>
      <c r="AC28" s="938">
        <v>40</v>
      </c>
      <c r="AD28" s="938">
        <v>40</v>
      </c>
      <c r="AE28" s="938">
        <v>40</v>
      </c>
      <c r="AF28" s="938">
        <v>40</v>
      </c>
      <c r="AG28" s="938">
        <v>40</v>
      </c>
      <c r="AH28" s="938">
        <v>40</v>
      </c>
      <c r="AI28" s="938">
        <v>40</v>
      </c>
      <c r="AJ28" s="938">
        <v>40</v>
      </c>
      <c r="AK28" s="938">
        <v>40</v>
      </c>
      <c r="AL28" s="938">
        <v>40</v>
      </c>
      <c r="AM28" s="938">
        <v>40</v>
      </c>
      <c r="AN28" s="938">
        <v>40</v>
      </c>
      <c r="AO28" s="938">
        <v>40</v>
      </c>
      <c r="AP28" s="938">
        <v>40</v>
      </c>
      <c r="AQ28" s="938">
        <v>40</v>
      </c>
      <c r="AR28" s="938">
        <v>40</v>
      </c>
      <c r="AS28" s="938">
        <v>40</v>
      </c>
      <c r="AT28" s="938">
        <v>40</v>
      </c>
      <c r="AU28" s="938">
        <v>40</v>
      </c>
      <c r="AV28" s="938">
        <v>40</v>
      </c>
      <c r="AW28" s="938">
        <v>40</v>
      </c>
      <c r="AX28" s="938">
        <v>40</v>
      </c>
      <c r="AY28" s="938">
        <v>40</v>
      </c>
      <c r="AZ28" s="938">
        <v>40</v>
      </c>
      <c r="BA28" s="938">
        <v>40</v>
      </c>
      <c r="BB28" s="938">
        <v>40</v>
      </c>
      <c r="BC28" s="938">
        <v>40</v>
      </c>
      <c r="BD28" s="938">
        <v>40</v>
      </c>
      <c r="BE28" s="938">
        <v>40</v>
      </c>
      <c r="BF28" s="938">
        <v>40</v>
      </c>
      <c r="BG28" s="938">
        <v>40</v>
      </c>
      <c r="BH28" s="938">
        <v>40</v>
      </c>
      <c r="BI28" s="938">
        <v>40</v>
      </c>
      <c r="BJ28" s="938">
        <v>40</v>
      </c>
      <c r="BK28" s="938">
        <v>40</v>
      </c>
      <c r="BL28" s="938">
        <v>40</v>
      </c>
      <c r="BM28" s="938">
        <v>40</v>
      </c>
      <c r="BN28" s="938">
        <v>40</v>
      </c>
      <c r="BO28" s="938">
        <v>40</v>
      </c>
      <c r="BP28" s="938">
        <v>40</v>
      </c>
      <c r="BQ28" s="938">
        <v>40</v>
      </c>
      <c r="BR28" s="938">
        <v>40</v>
      </c>
      <c r="BS28" s="938">
        <v>40</v>
      </c>
      <c r="BT28" s="938">
        <v>40</v>
      </c>
      <c r="BU28" s="938">
        <v>40</v>
      </c>
      <c r="BV28" s="938">
        <v>40</v>
      </c>
      <c r="BW28" s="938">
        <v>40</v>
      </c>
      <c r="BX28" s="938">
        <v>40</v>
      </c>
      <c r="BY28" s="938">
        <v>40</v>
      </c>
      <c r="BZ28" s="938">
        <v>40</v>
      </c>
      <c r="CA28" s="938">
        <v>40</v>
      </c>
      <c r="CB28" s="938">
        <v>40</v>
      </c>
      <c r="CC28" s="938">
        <v>40</v>
      </c>
      <c r="CD28" s="938">
        <v>40</v>
      </c>
      <c r="CE28" s="938">
        <v>40</v>
      </c>
      <c r="CF28" s="938">
        <v>40</v>
      </c>
      <c r="CG28" s="938">
        <v>40</v>
      </c>
      <c r="CH28" s="938">
        <v>40</v>
      </c>
      <c r="CI28" s="938">
        <v>40</v>
      </c>
      <c r="CJ28" s="938">
        <v>40</v>
      </c>
      <c r="CK28" s="938">
        <v>40</v>
      </c>
      <c r="CL28" s="938">
        <v>40</v>
      </c>
      <c r="CM28" s="938">
        <v>40</v>
      </c>
      <c r="CN28" s="938">
        <v>40</v>
      </c>
      <c r="CO28" s="938">
        <v>40</v>
      </c>
      <c r="CP28" s="938">
        <v>40</v>
      </c>
      <c r="CQ28" s="938">
        <v>40</v>
      </c>
      <c r="CR28" s="938">
        <v>40</v>
      </c>
      <c r="CS28" s="938">
        <v>40</v>
      </c>
      <c r="CT28" s="938">
        <v>40</v>
      </c>
      <c r="CU28" s="938">
        <v>40</v>
      </c>
      <c r="CV28" s="938">
        <v>40</v>
      </c>
      <c r="CW28" s="938">
        <v>40</v>
      </c>
      <c r="CX28" s="938">
        <v>40</v>
      </c>
      <c r="CY28" s="938">
        <v>40</v>
      </c>
      <c r="CZ28" s="938">
        <v>40</v>
      </c>
      <c r="DA28" s="938">
        <v>40</v>
      </c>
      <c r="DB28" s="938">
        <v>40</v>
      </c>
      <c r="DC28" s="938">
        <v>40</v>
      </c>
      <c r="DD28" s="938">
        <v>40</v>
      </c>
      <c r="DE28" s="938">
        <v>40</v>
      </c>
      <c r="DF28" s="938">
        <v>40</v>
      </c>
      <c r="DG28" s="938">
        <v>40</v>
      </c>
      <c r="DH28" s="938">
        <v>40</v>
      </c>
      <c r="DI28" s="938">
        <v>40</v>
      </c>
      <c r="DJ28" s="938">
        <v>40</v>
      </c>
      <c r="DK28" s="938">
        <v>40</v>
      </c>
      <c r="DL28" s="938">
        <v>40</v>
      </c>
      <c r="DM28" s="938">
        <v>40</v>
      </c>
      <c r="DN28" s="938">
        <v>40</v>
      </c>
      <c r="DO28" s="938">
        <v>40</v>
      </c>
      <c r="DP28" s="938">
        <v>40</v>
      </c>
    </row>
    <row r="29" spans="1:120" s="1398" customFormat="1" x14ac:dyDescent="0.2">
      <c r="A29" s="637" t="str">
        <f>CONCATENATE(" ",Kulturen[[#This Row],[HF]])</f>
        <v xml:space="preserve"> Almen &gt; 20 % Legum.</v>
      </c>
      <c r="B29" s="772" t="str" cm="1">
        <f t="array" ref="B29">IFERROR(INDEX(Kulturen[HF],_xlfn.AGGREGATE(15,6,(ROW(Kulturen[Auswahl])-7)/(--(SEARCH("x",Kulturen[Auswahl])&gt;0)),ROW()-7),1),"")</f>
        <v>Winterbrauweizen</v>
      </c>
      <c r="C29" s="772" t="str">
        <f>IF(Kulturen[[#This Row],[HF]]=$D$373,IF($C$6=0,0,"x"),IF($C$6=0,"x",Vorauswahl!C28))</f>
        <v>x</v>
      </c>
      <c r="D29" s="1402" t="s">
        <v>2380</v>
      </c>
      <c r="E29" s="1402"/>
      <c r="F29" s="1396" t="s">
        <v>2377</v>
      </c>
      <c r="G29" s="1411">
        <v>13</v>
      </c>
      <c r="H29" s="1412">
        <v>4</v>
      </c>
      <c r="I29" s="1411">
        <v>3</v>
      </c>
      <c r="J29" s="1411">
        <v>13</v>
      </c>
      <c r="K29" s="1411">
        <v>0.73</v>
      </c>
      <c r="L29" s="1411">
        <v>0.73</v>
      </c>
      <c r="M29" s="1411">
        <v>40</v>
      </c>
      <c r="N29" s="442">
        <v>-60</v>
      </c>
      <c r="O29" s="1411">
        <v>2</v>
      </c>
      <c r="P29" s="773">
        <v>0</v>
      </c>
      <c r="Q29" s="540">
        <v>90</v>
      </c>
      <c r="R29" s="540">
        <v>1</v>
      </c>
      <c r="S29" s="540">
        <v>2.2400000000000002</v>
      </c>
      <c r="T29" s="540">
        <v>2.2400000000000002</v>
      </c>
      <c r="U29" s="1411">
        <v>20</v>
      </c>
      <c r="V29" s="1411">
        <v>5</v>
      </c>
      <c r="W29" s="412">
        <f>IF(Kulturen[[#This Row],[Berechnungsschema]]=13,3,IF(Kulturen[[#This Row],[Berechnungsschema]]=6,2,1))</f>
        <v>3</v>
      </c>
      <c r="X29" s="412">
        <f>IF(Kulturen[[#This Row],[fruchtartengruppe]]=13,Kulturen[[#This Row],[NBedarfswert]],MAX(0,Kulturen[[#This Row],[NBedarfswert]]-Kulturen[[#This Row],[Ertrag]]*Kulturen[[#This Row],[Nfix]]))</f>
        <v>90</v>
      </c>
      <c r="Y29" s="938">
        <v>40</v>
      </c>
      <c r="Z29" s="938">
        <v>40</v>
      </c>
      <c r="AA29" s="938">
        <v>40</v>
      </c>
      <c r="AB29" s="938">
        <v>40</v>
      </c>
      <c r="AC29" s="938">
        <v>40</v>
      </c>
      <c r="AD29" s="938">
        <v>40</v>
      </c>
      <c r="AE29" s="938">
        <v>40</v>
      </c>
      <c r="AF29" s="938">
        <v>40</v>
      </c>
      <c r="AG29" s="938">
        <v>40</v>
      </c>
      <c r="AH29" s="938">
        <v>40</v>
      </c>
      <c r="AI29" s="938">
        <v>40</v>
      </c>
      <c r="AJ29" s="938">
        <v>40</v>
      </c>
      <c r="AK29" s="938">
        <v>40</v>
      </c>
      <c r="AL29" s="938">
        <v>40</v>
      </c>
      <c r="AM29" s="938">
        <v>40</v>
      </c>
      <c r="AN29" s="938">
        <v>40</v>
      </c>
      <c r="AO29" s="938">
        <v>40</v>
      </c>
      <c r="AP29" s="938">
        <v>40</v>
      </c>
      <c r="AQ29" s="938">
        <v>40</v>
      </c>
      <c r="AR29" s="938">
        <v>40</v>
      </c>
      <c r="AS29" s="938">
        <v>40</v>
      </c>
      <c r="AT29" s="938">
        <v>40</v>
      </c>
      <c r="AU29" s="938">
        <v>40</v>
      </c>
      <c r="AV29" s="938">
        <v>40</v>
      </c>
      <c r="AW29" s="938">
        <v>40</v>
      </c>
      <c r="AX29" s="938">
        <v>40</v>
      </c>
      <c r="AY29" s="938">
        <v>40</v>
      </c>
      <c r="AZ29" s="938">
        <v>40</v>
      </c>
      <c r="BA29" s="938">
        <v>40</v>
      </c>
      <c r="BB29" s="938">
        <v>40</v>
      </c>
      <c r="BC29" s="938">
        <v>40</v>
      </c>
      <c r="BD29" s="938">
        <v>40</v>
      </c>
      <c r="BE29" s="938">
        <v>40</v>
      </c>
      <c r="BF29" s="938">
        <v>40</v>
      </c>
      <c r="BG29" s="938">
        <v>40</v>
      </c>
      <c r="BH29" s="938">
        <v>40</v>
      </c>
      <c r="BI29" s="938">
        <v>40</v>
      </c>
      <c r="BJ29" s="938">
        <v>40</v>
      </c>
      <c r="BK29" s="938">
        <v>40</v>
      </c>
      <c r="BL29" s="938">
        <v>40</v>
      </c>
      <c r="BM29" s="938">
        <v>40</v>
      </c>
      <c r="BN29" s="938">
        <v>40</v>
      </c>
      <c r="BO29" s="938">
        <v>40</v>
      </c>
      <c r="BP29" s="938">
        <v>40</v>
      </c>
      <c r="BQ29" s="938">
        <v>40</v>
      </c>
      <c r="BR29" s="938">
        <v>40</v>
      </c>
      <c r="BS29" s="938">
        <v>40</v>
      </c>
      <c r="BT29" s="938">
        <v>40</v>
      </c>
      <c r="BU29" s="938">
        <v>40</v>
      </c>
      <c r="BV29" s="938">
        <v>40</v>
      </c>
      <c r="BW29" s="938">
        <v>40</v>
      </c>
      <c r="BX29" s="938">
        <v>40</v>
      </c>
      <c r="BY29" s="938">
        <v>40</v>
      </c>
      <c r="BZ29" s="938">
        <v>40</v>
      </c>
      <c r="CA29" s="938">
        <v>40</v>
      </c>
      <c r="CB29" s="938">
        <v>40</v>
      </c>
      <c r="CC29" s="938">
        <v>40</v>
      </c>
      <c r="CD29" s="938">
        <v>40</v>
      </c>
      <c r="CE29" s="938">
        <v>40</v>
      </c>
      <c r="CF29" s="938">
        <v>40</v>
      </c>
      <c r="CG29" s="938">
        <v>40</v>
      </c>
      <c r="CH29" s="938">
        <v>40</v>
      </c>
      <c r="CI29" s="938">
        <v>40</v>
      </c>
      <c r="CJ29" s="938">
        <v>40</v>
      </c>
      <c r="CK29" s="938">
        <v>40</v>
      </c>
      <c r="CL29" s="938">
        <v>40</v>
      </c>
      <c r="CM29" s="938">
        <v>40</v>
      </c>
      <c r="CN29" s="938">
        <v>40</v>
      </c>
      <c r="CO29" s="938">
        <v>40</v>
      </c>
      <c r="CP29" s="938">
        <v>40</v>
      </c>
      <c r="CQ29" s="938">
        <v>40</v>
      </c>
      <c r="CR29" s="938">
        <v>40</v>
      </c>
      <c r="CS29" s="938">
        <v>40</v>
      </c>
      <c r="CT29" s="938">
        <v>40</v>
      </c>
      <c r="CU29" s="938">
        <v>40</v>
      </c>
      <c r="CV29" s="938">
        <v>40</v>
      </c>
      <c r="CW29" s="938">
        <v>40</v>
      </c>
      <c r="CX29" s="938">
        <v>40</v>
      </c>
      <c r="CY29" s="938">
        <v>40</v>
      </c>
      <c r="CZ29" s="938">
        <v>40</v>
      </c>
      <c r="DA29" s="938">
        <v>40</v>
      </c>
      <c r="DB29" s="938">
        <v>40</v>
      </c>
      <c r="DC29" s="938">
        <v>40</v>
      </c>
      <c r="DD29" s="938">
        <v>40</v>
      </c>
      <c r="DE29" s="938">
        <v>40</v>
      </c>
      <c r="DF29" s="938">
        <v>40</v>
      </c>
      <c r="DG29" s="938">
        <v>40</v>
      </c>
      <c r="DH29" s="938">
        <v>40</v>
      </c>
      <c r="DI29" s="938">
        <v>40</v>
      </c>
      <c r="DJ29" s="938">
        <v>40</v>
      </c>
      <c r="DK29" s="938">
        <v>40</v>
      </c>
      <c r="DL29" s="938">
        <v>40</v>
      </c>
      <c r="DM29" s="938">
        <v>40</v>
      </c>
      <c r="DN29" s="938">
        <v>40</v>
      </c>
      <c r="DO29" s="938">
        <v>40</v>
      </c>
      <c r="DP29" s="938">
        <v>40</v>
      </c>
    </row>
    <row r="30" spans="1:120" x14ac:dyDescent="0.2">
      <c r="A30" s="637" t="str">
        <f>CONCATENATE(" ",Kulturen[[#This Row],[HF]])</f>
        <v xml:space="preserve"> Grünland &lt; 5 % Legum.</v>
      </c>
      <c r="B30" s="772" t="str" cm="1">
        <f t="array" ref="B30">IFERROR(INDEX(Kulturen[HF],_xlfn.AGGREGATE(15,6,(ROW(Kulturen[Auswahl])-7)/(--(SEARCH("x",Kulturen[Auswahl])&gt;0)),ROW()-7),1),"")</f>
        <v>Sommerweizen</v>
      </c>
      <c r="C30" s="772" t="str">
        <f>IF(Kulturen[[#This Row],[HF]]=$D$373,IF($C$6=0,0,"x"),IF($C$6=0,"x",Vorauswahl!C29))</f>
        <v>x</v>
      </c>
      <c r="D30" s="1400" t="s">
        <v>1259</v>
      </c>
      <c r="E30" s="1400"/>
      <c r="F30" s="358" t="s">
        <v>1887</v>
      </c>
      <c r="G30" s="1401">
        <v>13</v>
      </c>
      <c r="H30" s="776">
        <v>4</v>
      </c>
      <c r="I30" s="776">
        <v>3</v>
      </c>
      <c r="J30" s="1407">
        <v>13</v>
      </c>
      <c r="K30" s="1404">
        <v>0.81</v>
      </c>
      <c r="L30" s="1404">
        <v>0.81</v>
      </c>
      <c r="M30" s="1403">
        <v>80</v>
      </c>
      <c r="N30" s="442">
        <v>-10</v>
      </c>
      <c r="O30" s="1401">
        <v>2</v>
      </c>
      <c r="P30" s="773">
        <v>0</v>
      </c>
      <c r="Q30" s="1409">
        <v>205</v>
      </c>
      <c r="R30" s="776">
        <v>1</v>
      </c>
      <c r="S30" s="1404">
        <v>2.56</v>
      </c>
      <c r="T30" s="1404">
        <v>2.56</v>
      </c>
      <c r="U30" s="773">
        <v>20</v>
      </c>
      <c r="V30" s="773">
        <v>5</v>
      </c>
      <c r="W30" s="776">
        <f>IF(Kulturen[[#This Row],[Berechnungsschema]]=13,3,IF(Kulturen[[#This Row],[Berechnungsschema]]=6,2,1))</f>
        <v>3</v>
      </c>
      <c r="X30" s="776">
        <f>IF(Kulturen[[#This Row],[fruchtartengruppe]]=13,Kulturen[[#This Row],[NBedarfswert]],MAX(0,Kulturen[[#This Row],[NBedarfswert]]-Kulturen[[#This Row],[Ertrag]]*Kulturen[[#This Row],[Nfix]]))</f>
        <v>205</v>
      </c>
      <c r="Y30" s="1410">
        <v>64</v>
      </c>
      <c r="Z30" s="1410">
        <v>82</v>
      </c>
      <c r="AA30" s="1410">
        <v>93</v>
      </c>
      <c r="AB30" s="1410">
        <v>83</v>
      </c>
      <c r="AC30" s="1410">
        <v>97</v>
      </c>
      <c r="AD30" s="1410">
        <v>98</v>
      </c>
      <c r="AE30" s="1410">
        <v>78</v>
      </c>
      <c r="AF30" s="1410">
        <v>87</v>
      </c>
      <c r="AG30" s="1410">
        <v>70</v>
      </c>
      <c r="AH30" s="1410">
        <v>83</v>
      </c>
      <c r="AI30" s="1410">
        <v>77</v>
      </c>
      <c r="AJ30" s="1410">
        <v>81</v>
      </c>
      <c r="AK30" s="1410">
        <v>93</v>
      </c>
      <c r="AL30" s="1410">
        <v>88</v>
      </c>
      <c r="AM30" s="1410">
        <v>98</v>
      </c>
      <c r="AN30" s="1410">
        <v>84</v>
      </c>
      <c r="AO30" s="1410">
        <v>92</v>
      </c>
      <c r="AP30" s="1410">
        <v>68</v>
      </c>
      <c r="AQ30" s="1410">
        <v>75</v>
      </c>
      <c r="AR30" s="1410">
        <v>91</v>
      </c>
      <c r="AS30" s="1410">
        <v>88</v>
      </c>
      <c r="AT30" s="1410">
        <v>97</v>
      </c>
      <c r="AU30" s="1410">
        <v>92</v>
      </c>
      <c r="AV30" s="1410">
        <v>73</v>
      </c>
      <c r="AW30" s="1410">
        <v>80</v>
      </c>
      <c r="AX30" s="1410">
        <v>70</v>
      </c>
      <c r="AY30" s="1410">
        <v>84</v>
      </c>
      <c r="AZ30" s="1410">
        <v>80</v>
      </c>
      <c r="BA30" s="1410">
        <v>71</v>
      </c>
      <c r="BB30" s="1410">
        <v>78</v>
      </c>
      <c r="BC30" s="1410">
        <v>82</v>
      </c>
      <c r="BD30" s="1410">
        <v>83</v>
      </c>
      <c r="BE30" s="1410">
        <v>79</v>
      </c>
      <c r="BF30" s="1410">
        <v>78</v>
      </c>
      <c r="BG30" s="1410">
        <v>74</v>
      </c>
      <c r="BH30" s="1410">
        <v>64</v>
      </c>
      <c r="BI30" s="1410">
        <v>64</v>
      </c>
      <c r="BJ30" s="1410">
        <v>63</v>
      </c>
      <c r="BK30" s="1410">
        <v>69</v>
      </c>
      <c r="BL30" s="1410">
        <v>71</v>
      </c>
      <c r="BM30" s="1410">
        <v>71</v>
      </c>
      <c r="BN30" s="1410">
        <v>64</v>
      </c>
      <c r="BO30" s="1410">
        <v>68</v>
      </c>
      <c r="BP30" s="1410">
        <v>64</v>
      </c>
      <c r="BQ30" s="1410">
        <v>65</v>
      </c>
      <c r="BR30" s="1410">
        <v>65</v>
      </c>
      <c r="BS30" s="1410">
        <v>67</v>
      </c>
      <c r="BT30" s="1410">
        <v>72</v>
      </c>
      <c r="BU30" s="1410">
        <v>62</v>
      </c>
      <c r="BV30" s="1410">
        <v>69</v>
      </c>
      <c r="BW30" s="1410">
        <v>72</v>
      </c>
      <c r="BX30" s="1410">
        <v>69</v>
      </c>
      <c r="BY30" s="1410">
        <v>77</v>
      </c>
      <c r="BZ30" s="1410">
        <v>68</v>
      </c>
      <c r="CA30" s="1410">
        <v>72</v>
      </c>
      <c r="CB30" s="1410">
        <v>71</v>
      </c>
      <c r="CC30" s="1410">
        <v>68</v>
      </c>
      <c r="CD30" s="1410">
        <v>64</v>
      </c>
      <c r="CE30" s="1410">
        <v>64</v>
      </c>
      <c r="CF30" s="1410">
        <v>67</v>
      </c>
      <c r="CG30" s="1410">
        <v>68</v>
      </c>
      <c r="CH30" s="1410">
        <v>64</v>
      </c>
      <c r="CI30" s="1410">
        <v>67</v>
      </c>
      <c r="CJ30" s="1410">
        <v>64</v>
      </c>
      <c r="CK30" s="1410">
        <v>64</v>
      </c>
      <c r="CL30" s="1410">
        <v>63</v>
      </c>
      <c r="CM30" s="1410">
        <v>77</v>
      </c>
      <c r="CN30" s="1410">
        <v>64</v>
      </c>
      <c r="CO30" s="1410">
        <v>65</v>
      </c>
      <c r="CP30" s="1410">
        <v>67</v>
      </c>
      <c r="CQ30" s="1410">
        <v>71</v>
      </c>
      <c r="CR30" s="1410">
        <v>60</v>
      </c>
      <c r="CS30" s="1410">
        <v>60</v>
      </c>
      <c r="CT30" s="1410">
        <v>75</v>
      </c>
      <c r="CU30" s="1410">
        <v>69</v>
      </c>
      <c r="CV30" s="1410">
        <v>68</v>
      </c>
      <c r="CW30" s="1410">
        <v>65</v>
      </c>
      <c r="CX30" s="1410">
        <v>61</v>
      </c>
      <c r="CY30" s="1410">
        <v>73</v>
      </c>
      <c r="CZ30" s="1410">
        <v>70</v>
      </c>
      <c r="DA30" s="1410">
        <v>62</v>
      </c>
      <c r="DB30" s="1410">
        <v>67</v>
      </c>
      <c r="DC30" s="1410">
        <v>80</v>
      </c>
      <c r="DD30" s="1410">
        <v>95</v>
      </c>
      <c r="DE30" s="1410">
        <v>100</v>
      </c>
      <c r="DF30" s="1410">
        <v>92</v>
      </c>
      <c r="DG30" s="1410">
        <v>77</v>
      </c>
      <c r="DH30" s="1410">
        <v>80</v>
      </c>
      <c r="DI30" s="1410">
        <v>71</v>
      </c>
      <c r="DJ30" s="1410">
        <v>78</v>
      </c>
      <c r="DK30" s="1410">
        <v>79</v>
      </c>
      <c r="DL30" s="1410">
        <v>104</v>
      </c>
      <c r="DM30" s="1410">
        <v>94</v>
      </c>
      <c r="DN30" s="1410">
        <v>89</v>
      </c>
      <c r="DO30" s="1410">
        <v>70</v>
      </c>
      <c r="DP30" s="1410">
        <v>94</v>
      </c>
    </row>
    <row r="31" spans="1:120" x14ac:dyDescent="0.2">
      <c r="A31" s="637" t="str">
        <f>CONCATENATE(" ",Kulturen[[#This Row],[HF]])</f>
        <v xml:space="preserve"> Grünland 5-10 % Legum.</v>
      </c>
      <c r="B31" s="772" t="str" cm="1">
        <f t="array" ref="B31">IFERROR(INDEX(Kulturen[HF],_xlfn.AGGREGATE(15,6,(ROW(Kulturen[Auswahl])-7)/(--(SEARCH("x",Kulturen[Auswahl])&gt;0)),ROW()-7),1),"")</f>
        <v>Wintergerste mehrzeilig</v>
      </c>
      <c r="C31" s="772" t="str">
        <f>IF(Kulturen[[#This Row],[HF]]=$D$373,IF($C$6=0,0,"x"),IF($C$6=0,"x",Vorauswahl!C30))</f>
        <v>x</v>
      </c>
      <c r="D31" s="1400" t="s">
        <v>1485</v>
      </c>
      <c r="E31" s="1400"/>
      <c r="F31" s="358" t="s">
        <v>1887</v>
      </c>
      <c r="G31" s="1401">
        <v>13</v>
      </c>
      <c r="H31" s="776">
        <v>4</v>
      </c>
      <c r="I31" s="776">
        <v>3</v>
      </c>
      <c r="J31" s="1407">
        <v>13</v>
      </c>
      <c r="K31" s="1404">
        <v>0.81</v>
      </c>
      <c r="L31" s="1404">
        <v>0.81</v>
      </c>
      <c r="M31" s="1403">
        <v>80</v>
      </c>
      <c r="N31" s="442">
        <v>-20</v>
      </c>
      <c r="O31" s="1401">
        <v>2</v>
      </c>
      <c r="P31" s="773">
        <v>0</v>
      </c>
      <c r="Q31" s="1409">
        <v>205</v>
      </c>
      <c r="R31" s="776">
        <v>1</v>
      </c>
      <c r="S31" s="1404">
        <v>2.56</v>
      </c>
      <c r="T31" s="1404">
        <v>2.56</v>
      </c>
      <c r="U31" s="773">
        <v>20</v>
      </c>
      <c r="V31" s="773">
        <v>5</v>
      </c>
      <c r="W31" s="776">
        <f>IF(Kulturen[[#This Row],[Berechnungsschema]]=13,3,IF(Kulturen[[#This Row],[Berechnungsschema]]=6,2,1))</f>
        <v>3</v>
      </c>
      <c r="X31" s="776">
        <f>IF(Kulturen[[#This Row],[fruchtartengruppe]]=13,Kulturen[[#This Row],[NBedarfswert]],MAX(0,Kulturen[[#This Row],[NBedarfswert]]-Kulturen[[#This Row],[Ertrag]]*Kulturen[[#This Row],[Nfix]]))</f>
        <v>205</v>
      </c>
      <c r="Y31" s="1410">
        <v>64</v>
      </c>
      <c r="Z31" s="1410">
        <v>82</v>
      </c>
      <c r="AA31" s="1410">
        <v>93</v>
      </c>
      <c r="AB31" s="1410">
        <v>83</v>
      </c>
      <c r="AC31" s="1410">
        <v>97</v>
      </c>
      <c r="AD31" s="1410">
        <v>98</v>
      </c>
      <c r="AE31" s="1410">
        <v>78</v>
      </c>
      <c r="AF31" s="1410">
        <v>87</v>
      </c>
      <c r="AG31" s="1410">
        <v>70</v>
      </c>
      <c r="AH31" s="1410">
        <v>83</v>
      </c>
      <c r="AI31" s="1410">
        <v>77</v>
      </c>
      <c r="AJ31" s="1410">
        <v>81</v>
      </c>
      <c r="AK31" s="1410">
        <v>93</v>
      </c>
      <c r="AL31" s="1410">
        <v>88</v>
      </c>
      <c r="AM31" s="1410">
        <v>98</v>
      </c>
      <c r="AN31" s="1410">
        <v>84</v>
      </c>
      <c r="AO31" s="1410">
        <v>92</v>
      </c>
      <c r="AP31" s="1410">
        <v>68</v>
      </c>
      <c r="AQ31" s="1410">
        <v>75</v>
      </c>
      <c r="AR31" s="1410">
        <v>91</v>
      </c>
      <c r="AS31" s="1410">
        <v>88</v>
      </c>
      <c r="AT31" s="1410">
        <v>97</v>
      </c>
      <c r="AU31" s="1410">
        <v>92</v>
      </c>
      <c r="AV31" s="1410">
        <v>73</v>
      </c>
      <c r="AW31" s="1410">
        <v>80</v>
      </c>
      <c r="AX31" s="1410">
        <v>70</v>
      </c>
      <c r="AY31" s="1410">
        <v>84</v>
      </c>
      <c r="AZ31" s="1410">
        <v>80</v>
      </c>
      <c r="BA31" s="1410">
        <v>71</v>
      </c>
      <c r="BB31" s="1410">
        <v>78</v>
      </c>
      <c r="BC31" s="1410">
        <v>82</v>
      </c>
      <c r="BD31" s="1410">
        <v>83</v>
      </c>
      <c r="BE31" s="1410">
        <v>79</v>
      </c>
      <c r="BF31" s="1410">
        <v>78</v>
      </c>
      <c r="BG31" s="1410">
        <v>74</v>
      </c>
      <c r="BH31" s="1410">
        <v>64</v>
      </c>
      <c r="BI31" s="1410">
        <v>64</v>
      </c>
      <c r="BJ31" s="1410">
        <v>63</v>
      </c>
      <c r="BK31" s="1410">
        <v>69</v>
      </c>
      <c r="BL31" s="1410">
        <v>71</v>
      </c>
      <c r="BM31" s="1410">
        <v>71</v>
      </c>
      <c r="BN31" s="1410">
        <v>64</v>
      </c>
      <c r="BO31" s="1410">
        <v>68</v>
      </c>
      <c r="BP31" s="1410">
        <v>64</v>
      </c>
      <c r="BQ31" s="1410">
        <v>65</v>
      </c>
      <c r="BR31" s="1410">
        <v>65</v>
      </c>
      <c r="BS31" s="1410">
        <v>67</v>
      </c>
      <c r="BT31" s="1410">
        <v>72</v>
      </c>
      <c r="BU31" s="1410">
        <v>62</v>
      </c>
      <c r="BV31" s="1410">
        <v>69</v>
      </c>
      <c r="BW31" s="1410">
        <v>72</v>
      </c>
      <c r="BX31" s="1410">
        <v>69</v>
      </c>
      <c r="BY31" s="1410">
        <v>77</v>
      </c>
      <c r="BZ31" s="1410">
        <v>68</v>
      </c>
      <c r="CA31" s="1410">
        <v>72</v>
      </c>
      <c r="CB31" s="1410">
        <v>71</v>
      </c>
      <c r="CC31" s="1410">
        <v>68</v>
      </c>
      <c r="CD31" s="1410">
        <v>64</v>
      </c>
      <c r="CE31" s="1410">
        <v>64</v>
      </c>
      <c r="CF31" s="1410">
        <v>67</v>
      </c>
      <c r="CG31" s="1410">
        <v>68</v>
      </c>
      <c r="CH31" s="1410">
        <v>64</v>
      </c>
      <c r="CI31" s="1410">
        <v>67</v>
      </c>
      <c r="CJ31" s="1410">
        <v>64</v>
      </c>
      <c r="CK31" s="1410">
        <v>64</v>
      </c>
      <c r="CL31" s="1410">
        <v>63</v>
      </c>
      <c r="CM31" s="1410">
        <v>77</v>
      </c>
      <c r="CN31" s="1410">
        <v>64</v>
      </c>
      <c r="CO31" s="1410">
        <v>65</v>
      </c>
      <c r="CP31" s="1410">
        <v>67</v>
      </c>
      <c r="CQ31" s="1410">
        <v>71</v>
      </c>
      <c r="CR31" s="1410">
        <v>60</v>
      </c>
      <c r="CS31" s="1410">
        <v>60</v>
      </c>
      <c r="CT31" s="1410">
        <v>75</v>
      </c>
      <c r="CU31" s="1410">
        <v>69</v>
      </c>
      <c r="CV31" s="1410">
        <v>68</v>
      </c>
      <c r="CW31" s="1410">
        <v>65</v>
      </c>
      <c r="CX31" s="1410">
        <v>61</v>
      </c>
      <c r="CY31" s="1410">
        <v>73</v>
      </c>
      <c r="CZ31" s="1410">
        <v>70</v>
      </c>
      <c r="DA31" s="1410">
        <v>62</v>
      </c>
      <c r="DB31" s="1410">
        <v>67</v>
      </c>
      <c r="DC31" s="1410">
        <v>80</v>
      </c>
      <c r="DD31" s="1410">
        <v>95</v>
      </c>
      <c r="DE31" s="1410">
        <v>100</v>
      </c>
      <c r="DF31" s="1410">
        <v>92</v>
      </c>
      <c r="DG31" s="1410">
        <v>77</v>
      </c>
      <c r="DH31" s="1410">
        <v>80</v>
      </c>
      <c r="DI31" s="1410">
        <v>71</v>
      </c>
      <c r="DJ31" s="1410">
        <v>78</v>
      </c>
      <c r="DK31" s="1410">
        <v>79</v>
      </c>
      <c r="DL31" s="1410">
        <v>104</v>
      </c>
      <c r="DM31" s="1410">
        <v>94</v>
      </c>
      <c r="DN31" s="1410">
        <v>89</v>
      </c>
      <c r="DO31" s="1410">
        <v>70</v>
      </c>
      <c r="DP31" s="1410">
        <v>94</v>
      </c>
    </row>
    <row r="32" spans="1:120" x14ac:dyDescent="0.2">
      <c r="A32" s="637" t="str">
        <f>CONCATENATE(" ",Kulturen[[#This Row],[HF]])</f>
        <v xml:space="preserve"> Grünland 10,1 -20 % Leg.</v>
      </c>
      <c r="B32" s="772" t="str" cm="1">
        <f t="array" ref="B32">IFERROR(INDEX(Kulturen[HF],_xlfn.AGGREGATE(15,6,(ROW(Kulturen[Auswahl])-7)/(--(SEARCH("x",Kulturen[Auswahl])&gt;0)),ROW()-7),1),"")</f>
        <v>Wintergerste zweizeilig</v>
      </c>
      <c r="C32" s="772" t="str">
        <f>IF(Kulturen[[#This Row],[HF]]=$D$373,IF($C$6=0,0,"x"),IF($C$6=0,"x",Vorauswahl!C31))</f>
        <v>x</v>
      </c>
      <c r="D32" s="1400" t="s">
        <v>1480</v>
      </c>
      <c r="E32" s="1400"/>
      <c r="F32" s="358" t="s">
        <v>1887</v>
      </c>
      <c r="G32" s="1401">
        <v>13</v>
      </c>
      <c r="H32" s="776">
        <v>4</v>
      </c>
      <c r="I32" s="776">
        <v>3</v>
      </c>
      <c r="J32" s="1407">
        <v>13</v>
      </c>
      <c r="K32" s="1404">
        <v>0.81</v>
      </c>
      <c r="L32" s="1404">
        <v>0.81</v>
      </c>
      <c r="M32" s="1403">
        <v>80</v>
      </c>
      <c r="N32" s="442">
        <v>-40</v>
      </c>
      <c r="O32" s="1401">
        <v>2</v>
      </c>
      <c r="P32" s="773">
        <v>0</v>
      </c>
      <c r="Q32" s="1409">
        <v>205</v>
      </c>
      <c r="R32" s="776">
        <v>1</v>
      </c>
      <c r="S32" s="1404">
        <v>2.56</v>
      </c>
      <c r="T32" s="1404">
        <v>2.56</v>
      </c>
      <c r="U32" s="773">
        <v>20</v>
      </c>
      <c r="V32" s="773">
        <v>5</v>
      </c>
      <c r="W32" s="776">
        <f>IF(Kulturen[[#This Row],[Berechnungsschema]]=13,3,IF(Kulturen[[#This Row],[Berechnungsschema]]=6,2,1))</f>
        <v>3</v>
      </c>
      <c r="X32" s="776">
        <f>IF(Kulturen[[#This Row],[fruchtartengruppe]]=13,Kulturen[[#This Row],[NBedarfswert]],MAX(0,Kulturen[[#This Row],[NBedarfswert]]-Kulturen[[#This Row],[Ertrag]]*Kulturen[[#This Row],[Nfix]]))</f>
        <v>205</v>
      </c>
      <c r="Y32" s="1410">
        <v>64</v>
      </c>
      <c r="Z32" s="1410">
        <v>82</v>
      </c>
      <c r="AA32" s="1410">
        <v>93</v>
      </c>
      <c r="AB32" s="1410">
        <v>83</v>
      </c>
      <c r="AC32" s="1410">
        <v>97</v>
      </c>
      <c r="AD32" s="1410">
        <v>98</v>
      </c>
      <c r="AE32" s="1410">
        <v>78</v>
      </c>
      <c r="AF32" s="1410">
        <v>87</v>
      </c>
      <c r="AG32" s="1410">
        <v>70</v>
      </c>
      <c r="AH32" s="1410">
        <v>83</v>
      </c>
      <c r="AI32" s="1410">
        <v>77</v>
      </c>
      <c r="AJ32" s="1410">
        <v>81</v>
      </c>
      <c r="AK32" s="1410">
        <v>93</v>
      </c>
      <c r="AL32" s="1410">
        <v>88</v>
      </c>
      <c r="AM32" s="1410">
        <v>98</v>
      </c>
      <c r="AN32" s="1410">
        <v>84</v>
      </c>
      <c r="AO32" s="1410">
        <v>92</v>
      </c>
      <c r="AP32" s="1410">
        <v>68</v>
      </c>
      <c r="AQ32" s="1410">
        <v>75</v>
      </c>
      <c r="AR32" s="1410">
        <v>91</v>
      </c>
      <c r="AS32" s="1410">
        <v>88</v>
      </c>
      <c r="AT32" s="1410">
        <v>97</v>
      </c>
      <c r="AU32" s="1410">
        <v>92</v>
      </c>
      <c r="AV32" s="1410">
        <v>73</v>
      </c>
      <c r="AW32" s="1410">
        <v>80</v>
      </c>
      <c r="AX32" s="1410">
        <v>70</v>
      </c>
      <c r="AY32" s="1410">
        <v>84</v>
      </c>
      <c r="AZ32" s="1410">
        <v>80</v>
      </c>
      <c r="BA32" s="1410">
        <v>71</v>
      </c>
      <c r="BB32" s="1410">
        <v>78</v>
      </c>
      <c r="BC32" s="1410">
        <v>82</v>
      </c>
      <c r="BD32" s="1410">
        <v>83</v>
      </c>
      <c r="BE32" s="1410">
        <v>79</v>
      </c>
      <c r="BF32" s="1410">
        <v>78</v>
      </c>
      <c r="BG32" s="1410">
        <v>74</v>
      </c>
      <c r="BH32" s="1410">
        <v>64</v>
      </c>
      <c r="BI32" s="1410">
        <v>64</v>
      </c>
      <c r="BJ32" s="1410">
        <v>63</v>
      </c>
      <c r="BK32" s="1410">
        <v>69</v>
      </c>
      <c r="BL32" s="1410">
        <v>71</v>
      </c>
      <c r="BM32" s="1410">
        <v>71</v>
      </c>
      <c r="BN32" s="1410">
        <v>64</v>
      </c>
      <c r="BO32" s="1410">
        <v>68</v>
      </c>
      <c r="BP32" s="1410">
        <v>64</v>
      </c>
      <c r="BQ32" s="1410">
        <v>65</v>
      </c>
      <c r="BR32" s="1410">
        <v>65</v>
      </c>
      <c r="BS32" s="1410">
        <v>67</v>
      </c>
      <c r="BT32" s="1410">
        <v>72</v>
      </c>
      <c r="BU32" s="1410">
        <v>62</v>
      </c>
      <c r="BV32" s="1410">
        <v>69</v>
      </c>
      <c r="BW32" s="1410">
        <v>72</v>
      </c>
      <c r="BX32" s="1410">
        <v>69</v>
      </c>
      <c r="BY32" s="1410">
        <v>77</v>
      </c>
      <c r="BZ32" s="1410">
        <v>68</v>
      </c>
      <c r="CA32" s="1410">
        <v>72</v>
      </c>
      <c r="CB32" s="1410">
        <v>71</v>
      </c>
      <c r="CC32" s="1410">
        <v>68</v>
      </c>
      <c r="CD32" s="1410">
        <v>64</v>
      </c>
      <c r="CE32" s="1410">
        <v>64</v>
      </c>
      <c r="CF32" s="1410">
        <v>67</v>
      </c>
      <c r="CG32" s="1410">
        <v>68</v>
      </c>
      <c r="CH32" s="1410">
        <v>64</v>
      </c>
      <c r="CI32" s="1410">
        <v>67</v>
      </c>
      <c r="CJ32" s="1410">
        <v>64</v>
      </c>
      <c r="CK32" s="1410">
        <v>64</v>
      </c>
      <c r="CL32" s="1410">
        <v>63</v>
      </c>
      <c r="CM32" s="1410">
        <v>77</v>
      </c>
      <c r="CN32" s="1410">
        <v>64</v>
      </c>
      <c r="CO32" s="1410">
        <v>65</v>
      </c>
      <c r="CP32" s="1410">
        <v>67</v>
      </c>
      <c r="CQ32" s="1410">
        <v>71</v>
      </c>
      <c r="CR32" s="1410">
        <v>60</v>
      </c>
      <c r="CS32" s="1410">
        <v>60</v>
      </c>
      <c r="CT32" s="1410">
        <v>75</v>
      </c>
      <c r="CU32" s="1410">
        <v>69</v>
      </c>
      <c r="CV32" s="1410">
        <v>68</v>
      </c>
      <c r="CW32" s="1410">
        <v>65</v>
      </c>
      <c r="CX32" s="1410">
        <v>61</v>
      </c>
      <c r="CY32" s="1410">
        <v>73</v>
      </c>
      <c r="CZ32" s="1410">
        <v>70</v>
      </c>
      <c r="DA32" s="1410">
        <v>62</v>
      </c>
      <c r="DB32" s="1410">
        <v>67</v>
      </c>
      <c r="DC32" s="1410">
        <v>80</v>
      </c>
      <c r="DD32" s="1410">
        <v>95</v>
      </c>
      <c r="DE32" s="1410">
        <v>100</v>
      </c>
      <c r="DF32" s="1410">
        <v>92</v>
      </c>
      <c r="DG32" s="1410">
        <v>77</v>
      </c>
      <c r="DH32" s="1410">
        <v>80</v>
      </c>
      <c r="DI32" s="1410">
        <v>71</v>
      </c>
      <c r="DJ32" s="1410">
        <v>78</v>
      </c>
      <c r="DK32" s="1410">
        <v>79</v>
      </c>
      <c r="DL32" s="1410">
        <v>104</v>
      </c>
      <c r="DM32" s="1410">
        <v>94</v>
      </c>
      <c r="DN32" s="1410">
        <v>89</v>
      </c>
      <c r="DO32" s="1410">
        <v>70</v>
      </c>
      <c r="DP32" s="1410">
        <v>94</v>
      </c>
    </row>
    <row r="33" spans="1:120" x14ac:dyDescent="0.2">
      <c r="A33" s="637" t="str">
        <f>CONCATENATE(" ",Kulturen[[#This Row],[HF]])</f>
        <v xml:space="preserve"> Grünland &gt; 20 % Legum.</v>
      </c>
      <c r="B33" s="772" t="str" cm="1">
        <f t="array" ref="B33">IFERROR(INDEX(Kulturen[HF],_xlfn.AGGREGATE(15,6,(ROW(Kulturen[Auswahl])-7)/(--(SEARCH("x",Kulturen[Auswahl])&gt;0)),ROW()-7),1),"")</f>
        <v>Winterbraugerste</v>
      </c>
      <c r="C33" s="772" t="str">
        <f>IF(Kulturen[[#This Row],[HF]]=$D$373,IF($C$6=0,0,"x"),IF($C$6=0,"x",Vorauswahl!C32))</f>
        <v>x</v>
      </c>
      <c r="D33" s="1400" t="s">
        <v>1482</v>
      </c>
      <c r="E33" s="1400"/>
      <c r="F33" s="358" t="s">
        <v>1887</v>
      </c>
      <c r="G33" s="1401">
        <v>13</v>
      </c>
      <c r="H33" s="776">
        <v>4</v>
      </c>
      <c r="I33" s="776">
        <v>3</v>
      </c>
      <c r="J33" s="1407">
        <v>13</v>
      </c>
      <c r="K33" s="1404">
        <v>0.81</v>
      </c>
      <c r="L33" s="1404">
        <v>0.81</v>
      </c>
      <c r="M33" s="1403">
        <v>80</v>
      </c>
      <c r="N33" s="442">
        <v>-60</v>
      </c>
      <c r="O33" s="1401">
        <v>2</v>
      </c>
      <c r="P33" s="773">
        <v>0</v>
      </c>
      <c r="Q33" s="1409">
        <v>205</v>
      </c>
      <c r="R33" s="776">
        <v>1</v>
      </c>
      <c r="S33" s="1404">
        <v>2.56</v>
      </c>
      <c r="T33" s="1404">
        <v>2.56</v>
      </c>
      <c r="U33" s="773">
        <v>20</v>
      </c>
      <c r="V33" s="773">
        <v>5</v>
      </c>
      <c r="W33" s="776">
        <f>IF(Kulturen[[#This Row],[Berechnungsschema]]=13,3,IF(Kulturen[[#This Row],[Berechnungsschema]]=6,2,1))</f>
        <v>3</v>
      </c>
      <c r="X33" s="776">
        <f>IF(Kulturen[[#This Row],[fruchtartengruppe]]=13,Kulturen[[#This Row],[NBedarfswert]],MAX(0,Kulturen[[#This Row],[NBedarfswert]]-Kulturen[[#This Row],[Ertrag]]*Kulturen[[#This Row],[Nfix]]))</f>
        <v>205</v>
      </c>
      <c r="Y33" s="1410">
        <v>64</v>
      </c>
      <c r="Z33" s="1410">
        <v>82</v>
      </c>
      <c r="AA33" s="1410">
        <v>93</v>
      </c>
      <c r="AB33" s="1410">
        <v>83</v>
      </c>
      <c r="AC33" s="1410">
        <v>97</v>
      </c>
      <c r="AD33" s="1410">
        <v>98</v>
      </c>
      <c r="AE33" s="1410">
        <v>78</v>
      </c>
      <c r="AF33" s="1410">
        <v>87</v>
      </c>
      <c r="AG33" s="1410">
        <v>70</v>
      </c>
      <c r="AH33" s="1410">
        <v>83</v>
      </c>
      <c r="AI33" s="1410">
        <v>77</v>
      </c>
      <c r="AJ33" s="1410">
        <v>81</v>
      </c>
      <c r="AK33" s="1410">
        <v>93</v>
      </c>
      <c r="AL33" s="1410">
        <v>88</v>
      </c>
      <c r="AM33" s="1410">
        <v>98</v>
      </c>
      <c r="AN33" s="1410">
        <v>84</v>
      </c>
      <c r="AO33" s="1410">
        <v>92</v>
      </c>
      <c r="AP33" s="1410">
        <v>68</v>
      </c>
      <c r="AQ33" s="1410">
        <v>75</v>
      </c>
      <c r="AR33" s="1410">
        <v>91</v>
      </c>
      <c r="AS33" s="1410">
        <v>88</v>
      </c>
      <c r="AT33" s="1410">
        <v>97</v>
      </c>
      <c r="AU33" s="1410">
        <v>92</v>
      </c>
      <c r="AV33" s="1410">
        <v>73</v>
      </c>
      <c r="AW33" s="1410">
        <v>80</v>
      </c>
      <c r="AX33" s="1410">
        <v>70</v>
      </c>
      <c r="AY33" s="1410">
        <v>84</v>
      </c>
      <c r="AZ33" s="1410">
        <v>80</v>
      </c>
      <c r="BA33" s="1410">
        <v>71</v>
      </c>
      <c r="BB33" s="1410">
        <v>78</v>
      </c>
      <c r="BC33" s="1410">
        <v>82</v>
      </c>
      <c r="BD33" s="1410">
        <v>83</v>
      </c>
      <c r="BE33" s="1410">
        <v>79</v>
      </c>
      <c r="BF33" s="1410">
        <v>78</v>
      </c>
      <c r="BG33" s="1410">
        <v>74</v>
      </c>
      <c r="BH33" s="1410">
        <v>64</v>
      </c>
      <c r="BI33" s="1410">
        <v>64</v>
      </c>
      <c r="BJ33" s="1410">
        <v>63</v>
      </c>
      <c r="BK33" s="1410">
        <v>69</v>
      </c>
      <c r="BL33" s="1410">
        <v>71</v>
      </c>
      <c r="BM33" s="1410">
        <v>71</v>
      </c>
      <c r="BN33" s="1410">
        <v>64</v>
      </c>
      <c r="BO33" s="1410">
        <v>68</v>
      </c>
      <c r="BP33" s="1410">
        <v>64</v>
      </c>
      <c r="BQ33" s="1410">
        <v>65</v>
      </c>
      <c r="BR33" s="1410">
        <v>65</v>
      </c>
      <c r="BS33" s="1410">
        <v>67</v>
      </c>
      <c r="BT33" s="1410">
        <v>72</v>
      </c>
      <c r="BU33" s="1410">
        <v>62</v>
      </c>
      <c r="BV33" s="1410">
        <v>69</v>
      </c>
      <c r="BW33" s="1410">
        <v>72</v>
      </c>
      <c r="BX33" s="1410">
        <v>69</v>
      </c>
      <c r="BY33" s="1410">
        <v>77</v>
      </c>
      <c r="BZ33" s="1410">
        <v>68</v>
      </c>
      <c r="CA33" s="1410">
        <v>72</v>
      </c>
      <c r="CB33" s="1410">
        <v>71</v>
      </c>
      <c r="CC33" s="1410">
        <v>68</v>
      </c>
      <c r="CD33" s="1410">
        <v>64</v>
      </c>
      <c r="CE33" s="1410">
        <v>64</v>
      </c>
      <c r="CF33" s="1410">
        <v>67</v>
      </c>
      <c r="CG33" s="1410">
        <v>68</v>
      </c>
      <c r="CH33" s="1410">
        <v>64</v>
      </c>
      <c r="CI33" s="1410">
        <v>67</v>
      </c>
      <c r="CJ33" s="1410">
        <v>64</v>
      </c>
      <c r="CK33" s="1410">
        <v>64</v>
      </c>
      <c r="CL33" s="1410">
        <v>63</v>
      </c>
      <c r="CM33" s="1410">
        <v>77</v>
      </c>
      <c r="CN33" s="1410">
        <v>64</v>
      </c>
      <c r="CO33" s="1410">
        <v>65</v>
      </c>
      <c r="CP33" s="1410">
        <v>67</v>
      </c>
      <c r="CQ33" s="1410">
        <v>71</v>
      </c>
      <c r="CR33" s="1410">
        <v>60</v>
      </c>
      <c r="CS33" s="1410">
        <v>60</v>
      </c>
      <c r="CT33" s="1410">
        <v>75</v>
      </c>
      <c r="CU33" s="1410">
        <v>69</v>
      </c>
      <c r="CV33" s="1410">
        <v>68</v>
      </c>
      <c r="CW33" s="1410">
        <v>65</v>
      </c>
      <c r="CX33" s="1410">
        <v>61</v>
      </c>
      <c r="CY33" s="1410">
        <v>73</v>
      </c>
      <c r="CZ33" s="1410">
        <v>70</v>
      </c>
      <c r="DA33" s="1410">
        <v>62</v>
      </c>
      <c r="DB33" s="1410">
        <v>67</v>
      </c>
      <c r="DC33" s="1410">
        <v>80</v>
      </c>
      <c r="DD33" s="1410">
        <v>95</v>
      </c>
      <c r="DE33" s="1410">
        <v>100</v>
      </c>
      <c r="DF33" s="1410">
        <v>92</v>
      </c>
      <c r="DG33" s="1410">
        <v>77</v>
      </c>
      <c r="DH33" s="1410">
        <v>80</v>
      </c>
      <c r="DI33" s="1410">
        <v>71</v>
      </c>
      <c r="DJ33" s="1410">
        <v>78</v>
      </c>
      <c r="DK33" s="1410">
        <v>79</v>
      </c>
      <c r="DL33" s="1410">
        <v>104</v>
      </c>
      <c r="DM33" s="1410">
        <v>94</v>
      </c>
      <c r="DN33" s="1410">
        <v>89</v>
      </c>
      <c r="DO33" s="1410">
        <v>70</v>
      </c>
      <c r="DP33" s="1410">
        <v>94</v>
      </c>
    </row>
    <row r="34" spans="1:120" x14ac:dyDescent="0.2">
      <c r="A34" s="637" t="str">
        <f>CONCATENATE(" ",Kulturen[[#This Row],[HF]])</f>
        <v xml:space="preserve"> Stilllegung Grünland</v>
      </c>
      <c r="B34" s="772" t="str" cm="1">
        <f t="array" ref="B34">IFERROR(INDEX(Kulturen[HF],_xlfn.AGGREGATE(15,6,(ROW(Kulturen[Auswahl])-7)/(--(SEARCH("x",Kulturen[Auswahl])&gt;0)),ROW()-7),1),"")</f>
        <v>Sommerfuttergerste</v>
      </c>
      <c r="C34" s="772" t="str">
        <f>IF(Kulturen[[#This Row],[HF]]=$D$373,IF($C$6=0,0,"x"),IF($C$6=0,"x",Vorauswahl!C33))</f>
        <v>x</v>
      </c>
      <c r="D34" s="1400" t="s">
        <v>1888</v>
      </c>
      <c r="E34" s="1400" t="s">
        <v>1888</v>
      </c>
      <c r="F34" s="358" t="s">
        <v>1889</v>
      </c>
      <c r="G34" s="1401">
        <v>11</v>
      </c>
      <c r="H34" s="776">
        <v>7</v>
      </c>
      <c r="I34" s="776">
        <v>3</v>
      </c>
      <c r="J34" s="1407">
        <v>11</v>
      </c>
      <c r="K34" s="1404">
        <v>0</v>
      </c>
      <c r="L34" s="1404">
        <v>0</v>
      </c>
      <c r="M34" s="1403">
        <v>0</v>
      </c>
      <c r="N34" s="442">
        <v>0</v>
      </c>
      <c r="O34" s="1401">
        <v>2</v>
      </c>
      <c r="P34" s="773">
        <v>0</v>
      </c>
      <c r="Q34" s="1409">
        <v>0</v>
      </c>
      <c r="R34" s="776">
        <v>1</v>
      </c>
      <c r="S34" s="1404">
        <v>0</v>
      </c>
      <c r="T34" s="1404">
        <v>0</v>
      </c>
      <c r="U34" s="773">
        <v>20</v>
      </c>
      <c r="V34" s="773">
        <v>5</v>
      </c>
      <c r="W34" s="776">
        <f>IF(Kulturen[[#This Row],[Berechnungsschema]]=13,3,IF(Kulturen[[#This Row],[Berechnungsschema]]=6,2,1))</f>
        <v>1</v>
      </c>
      <c r="X34" s="776">
        <f>IF(Kulturen[[#This Row],[fruchtartengruppe]]=13,Kulturen[[#This Row],[NBedarfswert]],MAX(0,Kulturen[[#This Row],[NBedarfswert]]-Kulturen[[#This Row],[Ertrag]]*Kulturen[[#This Row],[Nfix]]))</f>
        <v>0</v>
      </c>
      <c r="Y34" s="1410">
        <v>0</v>
      </c>
      <c r="Z34" s="1410">
        <v>0</v>
      </c>
      <c r="AA34" s="1410">
        <v>0</v>
      </c>
      <c r="AB34" s="1410">
        <v>0</v>
      </c>
      <c r="AC34" s="1410">
        <v>0</v>
      </c>
      <c r="AD34" s="1410">
        <v>0</v>
      </c>
      <c r="AE34" s="1410">
        <v>0</v>
      </c>
      <c r="AF34" s="1410">
        <v>0</v>
      </c>
      <c r="AG34" s="1410">
        <v>0</v>
      </c>
      <c r="AH34" s="1410">
        <v>0</v>
      </c>
      <c r="AI34" s="1410">
        <v>0</v>
      </c>
      <c r="AJ34" s="1410">
        <v>0</v>
      </c>
      <c r="AK34" s="1410">
        <v>0</v>
      </c>
      <c r="AL34" s="1410">
        <v>0</v>
      </c>
      <c r="AM34" s="1410">
        <v>0</v>
      </c>
      <c r="AN34" s="1410">
        <v>0</v>
      </c>
      <c r="AO34" s="1410">
        <v>0</v>
      </c>
      <c r="AP34" s="1410">
        <v>0</v>
      </c>
      <c r="AQ34" s="1410">
        <v>0</v>
      </c>
      <c r="AR34" s="1410">
        <v>0</v>
      </c>
      <c r="AS34" s="1410">
        <v>0</v>
      </c>
      <c r="AT34" s="1410">
        <v>0</v>
      </c>
      <c r="AU34" s="1410">
        <v>0</v>
      </c>
      <c r="AV34" s="1410">
        <v>0</v>
      </c>
      <c r="AW34" s="1410">
        <v>0</v>
      </c>
      <c r="AX34" s="1410">
        <v>0</v>
      </c>
      <c r="AY34" s="1410">
        <v>0</v>
      </c>
      <c r="AZ34" s="1410">
        <v>0</v>
      </c>
      <c r="BA34" s="1410">
        <v>0</v>
      </c>
      <c r="BB34" s="1410">
        <v>0</v>
      </c>
      <c r="BC34" s="1410">
        <v>0</v>
      </c>
      <c r="BD34" s="1410">
        <v>0</v>
      </c>
      <c r="BE34" s="1410">
        <v>0</v>
      </c>
      <c r="BF34" s="1410">
        <v>0</v>
      </c>
      <c r="BG34" s="1410">
        <v>0</v>
      </c>
      <c r="BH34" s="1410">
        <v>0</v>
      </c>
      <c r="BI34" s="1410">
        <v>0</v>
      </c>
      <c r="BJ34" s="1410">
        <v>0</v>
      </c>
      <c r="BK34" s="1410">
        <v>0</v>
      </c>
      <c r="BL34" s="1410">
        <v>0</v>
      </c>
      <c r="BM34" s="1410">
        <v>0</v>
      </c>
      <c r="BN34" s="1410">
        <v>0</v>
      </c>
      <c r="BO34" s="1410">
        <v>0</v>
      </c>
      <c r="BP34" s="1410">
        <v>0</v>
      </c>
      <c r="BQ34" s="1410">
        <v>0</v>
      </c>
      <c r="BR34" s="1410">
        <v>0</v>
      </c>
      <c r="BS34" s="1410">
        <v>0</v>
      </c>
      <c r="BT34" s="1410">
        <v>0</v>
      </c>
      <c r="BU34" s="1410">
        <v>0</v>
      </c>
      <c r="BV34" s="1410">
        <v>0</v>
      </c>
      <c r="BW34" s="1410">
        <v>0</v>
      </c>
      <c r="BX34" s="1410">
        <v>0</v>
      </c>
      <c r="BY34" s="1410">
        <v>0</v>
      </c>
      <c r="BZ34" s="1410">
        <v>0</v>
      </c>
      <c r="CA34" s="1410">
        <v>0</v>
      </c>
      <c r="CB34" s="1410">
        <v>0</v>
      </c>
      <c r="CC34" s="1410">
        <v>0</v>
      </c>
      <c r="CD34" s="1410">
        <v>0</v>
      </c>
      <c r="CE34" s="1410">
        <v>0</v>
      </c>
      <c r="CF34" s="1410">
        <v>0</v>
      </c>
      <c r="CG34" s="1410">
        <v>0</v>
      </c>
      <c r="CH34" s="1410">
        <v>0</v>
      </c>
      <c r="CI34" s="1410">
        <v>0</v>
      </c>
      <c r="CJ34" s="1410">
        <v>0</v>
      </c>
      <c r="CK34" s="1410">
        <v>0</v>
      </c>
      <c r="CL34" s="1410">
        <v>0</v>
      </c>
      <c r="CM34" s="1410">
        <v>0</v>
      </c>
      <c r="CN34" s="1410">
        <v>0</v>
      </c>
      <c r="CO34" s="1410">
        <v>0</v>
      </c>
      <c r="CP34" s="1410">
        <v>0</v>
      </c>
      <c r="CQ34" s="1410">
        <v>0</v>
      </c>
      <c r="CR34" s="1410">
        <v>0</v>
      </c>
      <c r="CS34" s="1410">
        <v>0</v>
      </c>
      <c r="CT34" s="1410">
        <v>0</v>
      </c>
      <c r="CU34" s="1410">
        <v>0</v>
      </c>
      <c r="CV34" s="1410">
        <v>0</v>
      </c>
      <c r="CW34" s="1410">
        <v>0</v>
      </c>
      <c r="CX34" s="1410">
        <v>0</v>
      </c>
      <c r="CY34" s="1410">
        <v>0</v>
      </c>
      <c r="CZ34" s="1410">
        <v>0</v>
      </c>
      <c r="DA34" s="1410">
        <v>0</v>
      </c>
      <c r="DB34" s="1410">
        <v>0</v>
      </c>
      <c r="DC34" s="1410">
        <v>0</v>
      </c>
      <c r="DD34" s="1410">
        <v>0</v>
      </c>
      <c r="DE34" s="1410">
        <v>0</v>
      </c>
      <c r="DF34" s="1410">
        <v>0</v>
      </c>
      <c r="DG34" s="1410">
        <v>0</v>
      </c>
      <c r="DH34" s="1410">
        <v>0</v>
      </c>
      <c r="DI34" s="1410">
        <v>0</v>
      </c>
      <c r="DJ34" s="1410">
        <v>0</v>
      </c>
      <c r="DK34" s="1410">
        <v>0</v>
      </c>
      <c r="DL34" s="1410">
        <v>0</v>
      </c>
      <c r="DM34" s="1410">
        <v>0</v>
      </c>
      <c r="DN34" s="1410">
        <v>0</v>
      </c>
      <c r="DO34" s="1410">
        <v>0</v>
      </c>
      <c r="DP34" s="1410">
        <v>0</v>
      </c>
    </row>
    <row r="35" spans="1:120" x14ac:dyDescent="0.2">
      <c r="A35" s="637" t="str">
        <f>CONCATENATE(" ",Kulturen[[#This Row],[HF]])</f>
        <v xml:space="preserve"> +++Getreide+++</v>
      </c>
      <c r="B35" s="772" t="str" cm="1">
        <f t="array" ref="B35">IFERROR(INDEX(Kulturen[HF],_xlfn.AGGREGATE(15,6,(ROW(Kulturen[Auswahl])-7)/(--(SEARCH("x",Kulturen[Auswahl])&gt;0)),ROW()-7),1),"")</f>
        <v>Sommerbraugerste</v>
      </c>
      <c r="C35" s="772" t="str">
        <f>IF(Kulturen[[#This Row],[HF]]=$D$373,IF($C$6=0,0,"x"),IF($C$6=0,"x",Vorauswahl!C34))</f>
        <v>x</v>
      </c>
      <c r="D35" s="77" t="s">
        <v>1890</v>
      </c>
      <c r="E35" s="77" t="s">
        <v>1890</v>
      </c>
      <c r="F35" s="540"/>
      <c r="G35" s="540">
        <v>1</v>
      </c>
      <c r="H35" s="540">
        <v>0</v>
      </c>
      <c r="I35" s="540">
        <v>0</v>
      </c>
      <c r="J35" s="540">
        <v>90</v>
      </c>
      <c r="K35" s="540">
        <v>0</v>
      </c>
      <c r="L35" s="540">
        <v>0</v>
      </c>
      <c r="M35" s="540">
        <v>0</v>
      </c>
      <c r="N35" s="540">
        <v>0</v>
      </c>
      <c r="O35" s="540">
        <v>1</v>
      </c>
      <c r="P35" s="540">
        <v>0</v>
      </c>
      <c r="Q35" s="540">
        <v>0</v>
      </c>
      <c r="R35" s="540">
        <v>1</v>
      </c>
      <c r="S35" s="540">
        <v>0</v>
      </c>
      <c r="T35" s="540">
        <v>0</v>
      </c>
      <c r="U35" s="540">
        <v>0</v>
      </c>
      <c r="V35" s="540">
        <v>0</v>
      </c>
      <c r="W35" s="776">
        <f>IF(Kulturen[[#This Row],[Berechnungsschema]]=13,3,IF(Kulturen[[#This Row],[Berechnungsschema]]=6,2,1))</f>
        <v>1</v>
      </c>
      <c r="X35" s="776">
        <f>IF(Kulturen[[#This Row],[fruchtartengruppe]]=13,Kulturen[[#This Row],[NBedarfswert]],MAX(0,Kulturen[[#This Row],[NBedarfswert]]-Kulturen[[#This Row],[Ertrag]]*Kulturen[[#This Row],[Nfix]]))</f>
        <v>0</v>
      </c>
      <c r="Y35" s="776" t="s">
        <v>2127</v>
      </c>
      <c r="Z35" s="776" t="s">
        <v>2127</v>
      </c>
      <c r="AA35" s="776" t="s">
        <v>2127</v>
      </c>
      <c r="AB35" s="776" t="s">
        <v>2127</v>
      </c>
      <c r="AC35" s="776" t="s">
        <v>2127</v>
      </c>
      <c r="AD35" s="776" t="s">
        <v>2127</v>
      </c>
      <c r="AE35" s="776" t="s">
        <v>2127</v>
      </c>
      <c r="AF35" s="776" t="s">
        <v>2127</v>
      </c>
      <c r="AG35" s="776" t="s">
        <v>2127</v>
      </c>
      <c r="AH35" s="776" t="s">
        <v>2127</v>
      </c>
      <c r="AI35" s="776" t="s">
        <v>2127</v>
      </c>
      <c r="AJ35" s="776" t="s">
        <v>2127</v>
      </c>
      <c r="AK35" s="776" t="s">
        <v>2127</v>
      </c>
      <c r="AL35" s="776" t="s">
        <v>2127</v>
      </c>
      <c r="AM35" s="776" t="s">
        <v>2127</v>
      </c>
      <c r="AN35" s="776" t="s">
        <v>2127</v>
      </c>
      <c r="AO35" s="776" t="s">
        <v>2127</v>
      </c>
      <c r="AP35" s="776" t="s">
        <v>2127</v>
      </c>
      <c r="AQ35" s="776" t="s">
        <v>2127</v>
      </c>
      <c r="AR35" s="776" t="s">
        <v>2127</v>
      </c>
      <c r="AS35" s="776" t="s">
        <v>2127</v>
      </c>
      <c r="AT35" s="776" t="s">
        <v>2127</v>
      </c>
      <c r="AU35" s="776" t="s">
        <v>2127</v>
      </c>
      <c r="AV35" s="776" t="s">
        <v>2127</v>
      </c>
      <c r="AW35" s="776" t="s">
        <v>2127</v>
      </c>
      <c r="AX35" s="776" t="s">
        <v>2127</v>
      </c>
      <c r="AY35" s="776" t="s">
        <v>2127</v>
      </c>
      <c r="AZ35" s="776" t="s">
        <v>2127</v>
      </c>
      <c r="BA35" s="776" t="s">
        <v>2127</v>
      </c>
      <c r="BB35" s="776" t="s">
        <v>2127</v>
      </c>
      <c r="BC35" s="776" t="s">
        <v>2127</v>
      </c>
      <c r="BD35" s="776" t="s">
        <v>2127</v>
      </c>
      <c r="BE35" s="776" t="s">
        <v>2127</v>
      </c>
      <c r="BF35" s="776" t="s">
        <v>2127</v>
      </c>
      <c r="BG35" s="776" t="s">
        <v>2127</v>
      </c>
      <c r="BH35" s="776" t="s">
        <v>2127</v>
      </c>
      <c r="BI35" s="776" t="s">
        <v>2127</v>
      </c>
      <c r="BJ35" s="776" t="s">
        <v>2127</v>
      </c>
      <c r="BK35" s="776" t="s">
        <v>2127</v>
      </c>
      <c r="BL35" s="776" t="s">
        <v>2127</v>
      </c>
      <c r="BM35" s="776" t="s">
        <v>2127</v>
      </c>
      <c r="BN35" s="776" t="s">
        <v>2127</v>
      </c>
      <c r="BO35" s="776" t="s">
        <v>2127</v>
      </c>
      <c r="BP35" s="776" t="s">
        <v>2127</v>
      </c>
      <c r="BQ35" s="776" t="s">
        <v>2127</v>
      </c>
      <c r="BR35" s="776" t="s">
        <v>2127</v>
      </c>
      <c r="BS35" s="776" t="s">
        <v>2127</v>
      </c>
      <c r="BT35" s="776" t="s">
        <v>2127</v>
      </c>
      <c r="BU35" s="776" t="s">
        <v>2127</v>
      </c>
      <c r="BV35" s="776" t="s">
        <v>2127</v>
      </c>
      <c r="BW35" s="776" t="s">
        <v>2127</v>
      </c>
      <c r="BX35" s="776" t="s">
        <v>2127</v>
      </c>
      <c r="BY35" s="776" t="s">
        <v>2127</v>
      </c>
      <c r="BZ35" s="776" t="s">
        <v>2127</v>
      </c>
      <c r="CA35" s="776" t="s">
        <v>2127</v>
      </c>
      <c r="CB35" s="776" t="s">
        <v>2127</v>
      </c>
      <c r="CC35" s="776" t="s">
        <v>2127</v>
      </c>
      <c r="CD35" s="776" t="s">
        <v>2127</v>
      </c>
      <c r="CE35" s="776" t="s">
        <v>2127</v>
      </c>
      <c r="CF35" s="776" t="s">
        <v>2127</v>
      </c>
      <c r="CG35" s="776" t="s">
        <v>2127</v>
      </c>
      <c r="CH35" s="776" t="s">
        <v>2127</v>
      </c>
      <c r="CI35" s="776" t="s">
        <v>2127</v>
      </c>
      <c r="CJ35" s="776" t="s">
        <v>2127</v>
      </c>
      <c r="CK35" s="776" t="s">
        <v>2127</v>
      </c>
      <c r="CL35" s="776" t="s">
        <v>2127</v>
      </c>
      <c r="CM35" s="776" t="s">
        <v>2127</v>
      </c>
      <c r="CN35" s="776" t="s">
        <v>2127</v>
      </c>
      <c r="CO35" s="776" t="s">
        <v>2127</v>
      </c>
      <c r="CP35" s="776" t="s">
        <v>2127</v>
      </c>
      <c r="CQ35" s="776" t="s">
        <v>2127</v>
      </c>
      <c r="CR35" s="776" t="s">
        <v>2127</v>
      </c>
      <c r="CS35" s="776" t="s">
        <v>2127</v>
      </c>
      <c r="CT35" s="776" t="s">
        <v>2127</v>
      </c>
      <c r="CU35" s="776" t="s">
        <v>2127</v>
      </c>
      <c r="CV35" s="776" t="s">
        <v>2127</v>
      </c>
      <c r="CW35" s="776" t="s">
        <v>2127</v>
      </c>
      <c r="CX35" s="776" t="s">
        <v>2127</v>
      </c>
      <c r="CY35" s="776" t="s">
        <v>2127</v>
      </c>
      <c r="CZ35" s="776" t="s">
        <v>2127</v>
      </c>
      <c r="DA35" s="776" t="s">
        <v>2127</v>
      </c>
      <c r="DB35" s="776" t="s">
        <v>2127</v>
      </c>
      <c r="DC35" s="776" t="s">
        <v>2127</v>
      </c>
      <c r="DD35" s="776" t="s">
        <v>2127</v>
      </c>
      <c r="DE35" s="776" t="s">
        <v>2127</v>
      </c>
      <c r="DF35" s="776" t="s">
        <v>2127</v>
      </c>
      <c r="DG35" s="776" t="s">
        <v>2127</v>
      </c>
      <c r="DH35" s="776" t="s">
        <v>2127</v>
      </c>
      <c r="DI35" s="776" t="s">
        <v>2127</v>
      </c>
      <c r="DJ35" s="776" t="s">
        <v>2127</v>
      </c>
      <c r="DK35" s="776" t="s">
        <v>2127</v>
      </c>
      <c r="DL35" s="776" t="s">
        <v>2127</v>
      </c>
      <c r="DM35" s="776" t="s">
        <v>2127</v>
      </c>
      <c r="DN35" s="776" t="s">
        <v>2127</v>
      </c>
      <c r="DO35" s="776" t="s">
        <v>2127</v>
      </c>
      <c r="DP35" s="776" t="s">
        <v>2127</v>
      </c>
    </row>
    <row r="36" spans="1:120" x14ac:dyDescent="0.2">
      <c r="A36" s="637" t="str">
        <f>CONCATENATE(" ",Kulturen[[#This Row],[HF]])</f>
        <v xml:space="preserve"> Winterweizen C-Sorte</v>
      </c>
      <c r="B36" s="772" t="str" cm="1">
        <f t="array" ref="B36">IFERROR(INDEX(Kulturen[HF],_xlfn.AGGREGATE(15,6,(ROW(Kulturen[Auswahl])-7)/(--(SEARCH("x",Kulturen[Auswahl])&gt;0)),ROW()-7),1),"")</f>
        <v>Winterroggen</v>
      </c>
      <c r="C36" s="772" t="str">
        <f>IF(Kulturen[[#This Row],[HF]]=$D$373,IF($C$6=0,0,"x"),IF($C$6=0,"x",Vorauswahl!C35))</f>
        <v>x</v>
      </c>
      <c r="D36" s="77" t="s">
        <v>88</v>
      </c>
      <c r="E36" s="77" t="s">
        <v>2382</v>
      </c>
      <c r="F36" s="540" t="s">
        <v>113</v>
      </c>
      <c r="G36" s="540">
        <v>1</v>
      </c>
      <c r="H36" s="540">
        <v>8</v>
      </c>
      <c r="I36" s="540">
        <v>1</v>
      </c>
      <c r="J36" s="540">
        <v>90</v>
      </c>
      <c r="K36" s="540">
        <v>0.8</v>
      </c>
      <c r="L36" s="540">
        <v>1.04</v>
      </c>
      <c r="M36" s="540">
        <v>80</v>
      </c>
      <c r="N36" s="540">
        <v>0</v>
      </c>
      <c r="O36" s="540">
        <v>1</v>
      </c>
      <c r="P36" s="540" t="s">
        <v>1581</v>
      </c>
      <c r="Q36" s="540">
        <v>210</v>
      </c>
      <c r="R36" s="540">
        <v>10</v>
      </c>
      <c r="S36" s="540">
        <v>10</v>
      </c>
      <c r="T36" s="540">
        <v>15</v>
      </c>
      <c r="U36" s="540">
        <v>0</v>
      </c>
      <c r="V36" s="540">
        <v>3</v>
      </c>
      <c r="W36" s="776">
        <f>IF(Kulturen[[#This Row],[Berechnungsschema]]=13,3,IF(Kulturen[[#This Row],[Berechnungsschema]]=6,2,1))</f>
        <v>1</v>
      </c>
      <c r="X36" s="776">
        <f>IF(Kulturen[[#This Row],[fruchtartengruppe]]=13,Kulturen[[#This Row],[NBedarfswert]],MAX(0,Kulturen[[#This Row],[NBedarfswert]]-Kulturen[[#This Row],[Ertrag]]*Kulturen[[#This Row],[Nfix]]))</f>
        <v>210</v>
      </c>
      <c r="Y36" s="1417">
        <v>78</v>
      </c>
      <c r="Z36" s="1417">
        <v>76</v>
      </c>
      <c r="AA36" s="1417">
        <v>78</v>
      </c>
      <c r="AB36" s="1417">
        <v>78</v>
      </c>
      <c r="AC36" s="1417">
        <v>75</v>
      </c>
      <c r="AD36" s="1417">
        <v>72</v>
      </c>
      <c r="AE36" s="1417">
        <v>86</v>
      </c>
      <c r="AF36" s="1417">
        <v>85</v>
      </c>
      <c r="AG36" s="1417">
        <v>80</v>
      </c>
      <c r="AH36" s="1417">
        <v>85</v>
      </c>
      <c r="AI36" s="1417">
        <v>79</v>
      </c>
      <c r="AJ36" s="1417">
        <v>88</v>
      </c>
      <c r="AK36" s="1417">
        <v>76</v>
      </c>
      <c r="AL36" s="1417">
        <v>87</v>
      </c>
      <c r="AM36" s="1417">
        <v>79</v>
      </c>
      <c r="AN36" s="1417">
        <v>81</v>
      </c>
      <c r="AO36" s="1417">
        <v>68</v>
      </c>
      <c r="AP36" s="1417">
        <v>83</v>
      </c>
      <c r="AQ36" s="1417">
        <v>75</v>
      </c>
      <c r="AR36" s="1417">
        <v>63</v>
      </c>
      <c r="AS36" s="1417">
        <v>75</v>
      </c>
      <c r="AT36" s="1417">
        <v>81</v>
      </c>
      <c r="AU36" s="1417">
        <v>70</v>
      </c>
      <c r="AV36" s="1417">
        <v>78</v>
      </c>
      <c r="AW36" s="1417">
        <v>77</v>
      </c>
      <c r="AX36" s="1417">
        <v>77</v>
      </c>
      <c r="AY36" s="1417">
        <v>86</v>
      </c>
      <c r="AZ36" s="1417">
        <v>67</v>
      </c>
      <c r="BA36" s="1417">
        <v>83</v>
      </c>
      <c r="BB36" s="1417">
        <v>82</v>
      </c>
      <c r="BC36" s="1417">
        <v>82</v>
      </c>
      <c r="BD36" s="1417">
        <v>74</v>
      </c>
      <c r="BE36" s="1417">
        <v>78</v>
      </c>
      <c r="BF36" s="1417">
        <v>86</v>
      </c>
      <c r="BG36" s="1417">
        <v>84</v>
      </c>
      <c r="BH36" s="1417">
        <v>76</v>
      </c>
      <c r="BI36" s="1417">
        <v>81</v>
      </c>
      <c r="BJ36" s="1417">
        <v>76</v>
      </c>
      <c r="BK36" s="1417">
        <v>73</v>
      </c>
      <c r="BL36" s="1417">
        <v>72</v>
      </c>
      <c r="BM36" s="1417">
        <v>76</v>
      </c>
      <c r="BN36" s="1417">
        <v>74</v>
      </c>
      <c r="BO36" s="1417">
        <v>82</v>
      </c>
      <c r="BP36" s="1417">
        <v>74</v>
      </c>
      <c r="BQ36" s="1417">
        <v>79</v>
      </c>
      <c r="BR36" s="1417">
        <v>75</v>
      </c>
      <c r="BS36" s="1417">
        <v>77</v>
      </c>
      <c r="BT36" s="1417">
        <v>76</v>
      </c>
      <c r="BU36" s="1417">
        <v>76</v>
      </c>
      <c r="BV36" s="1417">
        <v>64</v>
      </c>
      <c r="BW36" s="1417">
        <v>70</v>
      </c>
      <c r="BX36" s="1417">
        <v>72</v>
      </c>
      <c r="BY36" s="1417">
        <v>71</v>
      </c>
      <c r="BZ36" s="1417">
        <v>63</v>
      </c>
      <c r="CA36" s="1417">
        <v>63</v>
      </c>
      <c r="CB36" s="1417">
        <v>67</v>
      </c>
      <c r="CC36" s="1417">
        <v>67</v>
      </c>
      <c r="CD36" s="1417">
        <v>71</v>
      </c>
      <c r="CE36" s="1417">
        <v>76</v>
      </c>
      <c r="CF36" s="1417">
        <v>73</v>
      </c>
      <c r="CG36" s="1417">
        <v>72</v>
      </c>
      <c r="CH36" s="1417">
        <v>76</v>
      </c>
      <c r="CI36" s="1417">
        <v>76</v>
      </c>
      <c r="CJ36" s="1417">
        <v>72</v>
      </c>
      <c r="CK36" s="1417">
        <v>68</v>
      </c>
      <c r="CL36" s="1417">
        <v>69</v>
      </c>
      <c r="CM36" s="1417">
        <v>60</v>
      </c>
      <c r="CN36" s="1417">
        <v>73</v>
      </c>
      <c r="CO36" s="1417">
        <v>65</v>
      </c>
      <c r="CP36" s="1417">
        <v>78</v>
      </c>
      <c r="CQ36" s="1417">
        <v>76</v>
      </c>
      <c r="CR36" s="1417">
        <v>76</v>
      </c>
      <c r="CS36" s="1417">
        <v>79</v>
      </c>
      <c r="CT36" s="1417">
        <v>71</v>
      </c>
      <c r="CU36" s="1417">
        <v>66</v>
      </c>
      <c r="CV36" s="1417">
        <v>69</v>
      </c>
      <c r="CW36" s="1417">
        <v>64</v>
      </c>
      <c r="CX36" s="1417">
        <v>71</v>
      </c>
      <c r="CY36" s="1417">
        <v>87</v>
      </c>
      <c r="CZ36" s="1417">
        <v>71</v>
      </c>
      <c r="DA36" s="1417">
        <v>70</v>
      </c>
      <c r="DB36" s="1417">
        <v>77</v>
      </c>
      <c r="DC36" s="1417">
        <v>80</v>
      </c>
      <c r="DD36" s="1417">
        <v>77</v>
      </c>
      <c r="DE36" s="1417">
        <v>76</v>
      </c>
      <c r="DF36" s="1417">
        <v>80</v>
      </c>
      <c r="DG36" s="1417">
        <v>88</v>
      </c>
      <c r="DH36" s="1417">
        <v>83</v>
      </c>
      <c r="DI36" s="1417">
        <v>85</v>
      </c>
      <c r="DJ36" s="1417">
        <v>85</v>
      </c>
      <c r="DK36" s="1417">
        <v>83</v>
      </c>
      <c r="DL36" s="1417">
        <v>79</v>
      </c>
      <c r="DM36" s="1417">
        <v>92</v>
      </c>
      <c r="DN36" s="1417">
        <v>92</v>
      </c>
      <c r="DO36" s="1417">
        <v>84</v>
      </c>
      <c r="DP36" s="1417">
        <v>77</v>
      </c>
    </row>
    <row r="37" spans="1:120" x14ac:dyDescent="0.2">
      <c r="A37" s="637" t="str">
        <f>CONCATENATE(" ",Kulturen[[#This Row],[HF]])</f>
        <v xml:space="preserve"> Winterweizen A/B-Sorte</v>
      </c>
      <c r="B37" s="772" t="str" cm="1">
        <f t="array" ref="B37">IFERROR(INDEX(Kulturen[HF],_xlfn.AGGREGATE(15,6,(ROW(Kulturen[Auswahl])-7)/(--(SEARCH("x",Kulturen[Auswahl])&gt;0)),ROW()-7),1),"")</f>
        <v>Sommerroggen</v>
      </c>
      <c r="C37" s="772" t="str">
        <f>IF(Kulturen[[#This Row],[HF]]=$D$373,IF($C$6=0,0,"x"),IF($C$6=0,"x",Vorauswahl!C36))</f>
        <v>x</v>
      </c>
      <c r="D37" s="77" t="s">
        <v>89</v>
      </c>
      <c r="E37" s="77" t="s">
        <v>2383</v>
      </c>
      <c r="F37" s="540" t="s">
        <v>110</v>
      </c>
      <c r="G37" s="540">
        <v>1</v>
      </c>
      <c r="H37" s="540">
        <v>8</v>
      </c>
      <c r="I37" s="540">
        <v>1</v>
      </c>
      <c r="J37" s="540">
        <v>90</v>
      </c>
      <c r="K37" s="540">
        <v>0.8</v>
      </c>
      <c r="L37" s="540">
        <v>1.04</v>
      </c>
      <c r="M37" s="540">
        <v>80</v>
      </c>
      <c r="N37" s="540">
        <v>0</v>
      </c>
      <c r="O37" s="540">
        <v>1</v>
      </c>
      <c r="P37" s="540" t="s">
        <v>1581</v>
      </c>
      <c r="Q37" s="540">
        <v>230</v>
      </c>
      <c r="R37" s="540">
        <v>10</v>
      </c>
      <c r="S37" s="540">
        <v>10</v>
      </c>
      <c r="T37" s="540">
        <v>15</v>
      </c>
      <c r="U37" s="540">
        <v>0</v>
      </c>
      <c r="V37" s="540">
        <v>3</v>
      </c>
      <c r="W37" s="776">
        <f>IF(Kulturen[[#This Row],[Berechnungsschema]]=13,3,IF(Kulturen[[#This Row],[Berechnungsschema]]=6,2,1))</f>
        <v>1</v>
      </c>
      <c r="X37" s="776">
        <f>IF(Kulturen[[#This Row],[fruchtartengruppe]]=13,Kulturen[[#This Row],[NBedarfswert]],MAX(0,Kulturen[[#This Row],[NBedarfswert]]-Kulturen[[#This Row],[Ertrag]]*Kulturen[[#This Row],[Nfix]]))</f>
        <v>230</v>
      </c>
      <c r="Y37" s="1417">
        <v>78</v>
      </c>
      <c r="Z37" s="1417">
        <v>76</v>
      </c>
      <c r="AA37" s="1417">
        <v>78</v>
      </c>
      <c r="AB37" s="1417">
        <v>78</v>
      </c>
      <c r="AC37" s="1417">
        <v>75</v>
      </c>
      <c r="AD37" s="1417">
        <v>72</v>
      </c>
      <c r="AE37" s="1417">
        <v>86</v>
      </c>
      <c r="AF37" s="1417">
        <v>85</v>
      </c>
      <c r="AG37" s="1417">
        <v>80</v>
      </c>
      <c r="AH37" s="1417">
        <v>85</v>
      </c>
      <c r="AI37" s="1417">
        <v>79</v>
      </c>
      <c r="AJ37" s="1417">
        <v>88</v>
      </c>
      <c r="AK37" s="1417">
        <v>76</v>
      </c>
      <c r="AL37" s="1417">
        <v>87</v>
      </c>
      <c r="AM37" s="1417">
        <v>79</v>
      </c>
      <c r="AN37" s="1417">
        <v>81</v>
      </c>
      <c r="AO37" s="1417">
        <v>68</v>
      </c>
      <c r="AP37" s="1417">
        <v>83</v>
      </c>
      <c r="AQ37" s="1417">
        <v>75</v>
      </c>
      <c r="AR37" s="1417">
        <v>63</v>
      </c>
      <c r="AS37" s="1417">
        <v>75</v>
      </c>
      <c r="AT37" s="1417">
        <v>81</v>
      </c>
      <c r="AU37" s="1417">
        <v>70</v>
      </c>
      <c r="AV37" s="1417">
        <v>78</v>
      </c>
      <c r="AW37" s="1417">
        <v>77</v>
      </c>
      <c r="AX37" s="1417">
        <v>77</v>
      </c>
      <c r="AY37" s="1417">
        <v>86</v>
      </c>
      <c r="AZ37" s="1417">
        <v>67</v>
      </c>
      <c r="BA37" s="1417">
        <v>83</v>
      </c>
      <c r="BB37" s="1417">
        <v>82</v>
      </c>
      <c r="BC37" s="1417">
        <v>82</v>
      </c>
      <c r="BD37" s="1417">
        <v>74</v>
      </c>
      <c r="BE37" s="1417">
        <v>78</v>
      </c>
      <c r="BF37" s="1417">
        <v>86</v>
      </c>
      <c r="BG37" s="1417">
        <v>84</v>
      </c>
      <c r="BH37" s="1417">
        <v>76</v>
      </c>
      <c r="BI37" s="1417">
        <v>81</v>
      </c>
      <c r="BJ37" s="1417">
        <v>76</v>
      </c>
      <c r="BK37" s="1417">
        <v>73</v>
      </c>
      <c r="BL37" s="1417">
        <v>72</v>
      </c>
      <c r="BM37" s="1417">
        <v>76</v>
      </c>
      <c r="BN37" s="1417">
        <v>74</v>
      </c>
      <c r="BO37" s="1417">
        <v>82</v>
      </c>
      <c r="BP37" s="1417">
        <v>74</v>
      </c>
      <c r="BQ37" s="1417">
        <v>79</v>
      </c>
      <c r="BR37" s="1417">
        <v>75</v>
      </c>
      <c r="BS37" s="1417">
        <v>77</v>
      </c>
      <c r="BT37" s="1417">
        <v>76</v>
      </c>
      <c r="BU37" s="1417">
        <v>76</v>
      </c>
      <c r="BV37" s="1417">
        <v>64</v>
      </c>
      <c r="BW37" s="1417">
        <v>70</v>
      </c>
      <c r="BX37" s="1417">
        <v>72</v>
      </c>
      <c r="BY37" s="1417">
        <v>71</v>
      </c>
      <c r="BZ37" s="1417">
        <v>63</v>
      </c>
      <c r="CA37" s="1417">
        <v>63</v>
      </c>
      <c r="CB37" s="1417">
        <v>67</v>
      </c>
      <c r="CC37" s="1417">
        <v>67</v>
      </c>
      <c r="CD37" s="1417">
        <v>71</v>
      </c>
      <c r="CE37" s="1417">
        <v>76</v>
      </c>
      <c r="CF37" s="1417">
        <v>73</v>
      </c>
      <c r="CG37" s="1417">
        <v>72</v>
      </c>
      <c r="CH37" s="1417">
        <v>76</v>
      </c>
      <c r="CI37" s="1417">
        <v>76</v>
      </c>
      <c r="CJ37" s="1417">
        <v>72</v>
      </c>
      <c r="CK37" s="1417">
        <v>68</v>
      </c>
      <c r="CL37" s="1417">
        <v>69</v>
      </c>
      <c r="CM37" s="1417">
        <v>60</v>
      </c>
      <c r="CN37" s="1417">
        <v>73</v>
      </c>
      <c r="CO37" s="1417">
        <v>65</v>
      </c>
      <c r="CP37" s="1417">
        <v>78</v>
      </c>
      <c r="CQ37" s="1417">
        <v>76</v>
      </c>
      <c r="CR37" s="1417">
        <v>76</v>
      </c>
      <c r="CS37" s="1417">
        <v>79</v>
      </c>
      <c r="CT37" s="1417">
        <v>71</v>
      </c>
      <c r="CU37" s="1417">
        <v>66</v>
      </c>
      <c r="CV37" s="1417">
        <v>69</v>
      </c>
      <c r="CW37" s="1417">
        <v>64</v>
      </c>
      <c r="CX37" s="1417">
        <v>71</v>
      </c>
      <c r="CY37" s="1417">
        <v>87</v>
      </c>
      <c r="CZ37" s="1417">
        <v>71</v>
      </c>
      <c r="DA37" s="1417">
        <v>70</v>
      </c>
      <c r="DB37" s="1417">
        <v>77</v>
      </c>
      <c r="DC37" s="1417">
        <v>80</v>
      </c>
      <c r="DD37" s="1417">
        <v>77</v>
      </c>
      <c r="DE37" s="1417">
        <v>76</v>
      </c>
      <c r="DF37" s="1417">
        <v>80</v>
      </c>
      <c r="DG37" s="1417">
        <v>88</v>
      </c>
      <c r="DH37" s="1417">
        <v>83</v>
      </c>
      <c r="DI37" s="1417">
        <v>85</v>
      </c>
      <c r="DJ37" s="1417">
        <v>85</v>
      </c>
      <c r="DK37" s="1417">
        <v>83</v>
      </c>
      <c r="DL37" s="1417">
        <v>79</v>
      </c>
      <c r="DM37" s="1417">
        <v>92</v>
      </c>
      <c r="DN37" s="1417">
        <v>92</v>
      </c>
      <c r="DO37" s="1417">
        <v>84</v>
      </c>
      <c r="DP37" s="1417">
        <v>77</v>
      </c>
    </row>
    <row r="38" spans="1:120" x14ac:dyDescent="0.2">
      <c r="A38" s="637" t="str">
        <f>CONCATENATE(" ",Kulturen[[#This Row],[HF]])</f>
        <v xml:space="preserve"> Winterweizen E-Sorte</v>
      </c>
      <c r="B38" s="772" t="str" cm="1">
        <f t="array" ref="B38">IFERROR(INDEX(Kulturen[HF],_xlfn.AGGREGATE(15,6,(ROW(Kulturen[Auswahl])-7)/(--(SEARCH("x",Kulturen[Auswahl])&gt;0)),ROW()-7),1),"")</f>
        <v>Hafer</v>
      </c>
      <c r="C38" s="772" t="str">
        <f>IF(Kulturen[[#This Row],[HF]]=$D$373,IF($C$6=0,0,"x"),IF($C$6=0,"x",Vorauswahl!C37))</f>
        <v>x</v>
      </c>
      <c r="D38" s="77" t="s">
        <v>90</v>
      </c>
      <c r="E38" s="77" t="s">
        <v>2384</v>
      </c>
      <c r="F38" s="540" t="s">
        <v>114</v>
      </c>
      <c r="G38" s="540">
        <v>1</v>
      </c>
      <c r="H38" s="540">
        <v>8</v>
      </c>
      <c r="I38" s="540">
        <v>1</v>
      </c>
      <c r="J38" s="540">
        <v>90</v>
      </c>
      <c r="K38" s="540">
        <v>0.8</v>
      </c>
      <c r="L38" s="540">
        <v>1.04</v>
      </c>
      <c r="M38" s="540">
        <v>80</v>
      </c>
      <c r="N38" s="540">
        <v>0</v>
      </c>
      <c r="O38" s="540">
        <v>1</v>
      </c>
      <c r="P38" s="540" t="s">
        <v>1581</v>
      </c>
      <c r="Q38" s="540">
        <v>260</v>
      </c>
      <c r="R38" s="540">
        <v>10</v>
      </c>
      <c r="S38" s="540">
        <v>10</v>
      </c>
      <c r="T38" s="540">
        <v>15</v>
      </c>
      <c r="U38" s="540">
        <v>0</v>
      </c>
      <c r="V38" s="540">
        <v>2</v>
      </c>
      <c r="W38" s="776">
        <f>IF(Kulturen[[#This Row],[Berechnungsschema]]=13,3,IF(Kulturen[[#This Row],[Berechnungsschema]]=6,2,1))</f>
        <v>1</v>
      </c>
      <c r="X38" s="776">
        <f>IF(Kulturen[[#This Row],[fruchtartengruppe]]=13,Kulturen[[#This Row],[NBedarfswert]],MAX(0,Kulturen[[#This Row],[NBedarfswert]]-Kulturen[[#This Row],[Ertrag]]*Kulturen[[#This Row],[Nfix]]))</f>
        <v>260</v>
      </c>
      <c r="Y38" s="1417">
        <v>78</v>
      </c>
      <c r="Z38" s="1417">
        <v>76</v>
      </c>
      <c r="AA38" s="1417">
        <v>78</v>
      </c>
      <c r="AB38" s="1417">
        <v>78</v>
      </c>
      <c r="AC38" s="1417">
        <v>75</v>
      </c>
      <c r="AD38" s="1417">
        <v>72</v>
      </c>
      <c r="AE38" s="1417">
        <v>86</v>
      </c>
      <c r="AF38" s="1417">
        <v>85</v>
      </c>
      <c r="AG38" s="1417">
        <v>80</v>
      </c>
      <c r="AH38" s="1417">
        <v>85</v>
      </c>
      <c r="AI38" s="1417">
        <v>79</v>
      </c>
      <c r="AJ38" s="1417">
        <v>88</v>
      </c>
      <c r="AK38" s="1417">
        <v>76</v>
      </c>
      <c r="AL38" s="1417">
        <v>87</v>
      </c>
      <c r="AM38" s="1417">
        <v>79</v>
      </c>
      <c r="AN38" s="1417">
        <v>81</v>
      </c>
      <c r="AO38" s="1417">
        <v>68</v>
      </c>
      <c r="AP38" s="1417">
        <v>83</v>
      </c>
      <c r="AQ38" s="1417">
        <v>75</v>
      </c>
      <c r="AR38" s="1417">
        <v>63</v>
      </c>
      <c r="AS38" s="1417">
        <v>75</v>
      </c>
      <c r="AT38" s="1417">
        <v>81</v>
      </c>
      <c r="AU38" s="1417">
        <v>70</v>
      </c>
      <c r="AV38" s="1417">
        <v>78</v>
      </c>
      <c r="AW38" s="1417">
        <v>77</v>
      </c>
      <c r="AX38" s="1417">
        <v>77</v>
      </c>
      <c r="AY38" s="1417">
        <v>86</v>
      </c>
      <c r="AZ38" s="1417">
        <v>67</v>
      </c>
      <c r="BA38" s="1417">
        <v>83</v>
      </c>
      <c r="BB38" s="1417">
        <v>82</v>
      </c>
      <c r="BC38" s="1417">
        <v>82</v>
      </c>
      <c r="BD38" s="1417">
        <v>74</v>
      </c>
      <c r="BE38" s="1417">
        <v>78</v>
      </c>
      <c r="BF38" s="1417">
        <v>86</v>
      </c>
      <c r="BG38" s="1417">
        <v>84</v>
      </c>
      <c r="BH38" s="1417">
        <v>76</v>
      </c>
      <c r="BI38" s="1417">
        <v>81</v>
      </c>
      <c r="BJ38" s="1417">
        <v>76</v>
      </c>
      <c r="BK38" s="1417">
        <v>73</v>
      </c>
      <c r="BL38" s="1417">
        <v>72</v>
      </c>
      <c r="BM38" s="1417">
        <v>76</v>
      </c>
      <c r="BN38" s="1417">
        <v>74</v>
      </c>
      <c r="BO38" s="1417">
        <v>82</v>
      </c>
      <c r="BP38" s="1417">
        <v>74</v>
      </c>
      <c r="BQ38" s="1417">
        <v>79</v>
      </c>
      <c r="BR38" s="1417">
        <v>75</v>
      </c>
      <c r="BS38" s="1417">
        <v>77</v>
      </c>
      <c r="BT38" s="1417">
        <v>76</v>
      </c>
      <c r="BU38" s="1417">
        <v>76</v>
      </c>
      <c r="BV38" s="1417">
        <v>64</v>
      </c>
      <c r="BW38" s="1417">
        <v>70</v>
      </c>
      <c r="BX38" s="1417">
        <v>72</v>
      </c>
      <c r="BY38" s="1417">
        <v>71</v>
      </c>
      <c r="BZ38" s="1417">
        <v>63</v>
      </c>
      <c r="CA38" s="1417">
        <v>63</v>
      </c>
      <c r="CB38" s="1417">
        <v>67</v>
      </c>
      <c r="CC38" s="1417">
        <v>67</v>
      </c>
      <c r="CD38" s="1417">
        <v>71</v>
      </c>
      <c r="CE38" s="1417">
        <v>76</v>
      </c>
      <c r="CF38" s="1417">
        <v>73</v>
      </c>
      <c r="CG38" s="1417">
        <v>72</v>
      </c>
      <c r="CH38" s="1417">
        <v>76</v>
      </c>
      <c r="CI38" s="1417">
        <v>76</v>
      </c>
      <c r="CJ38" s="1417">
        <v>72</v>
      </c>
      <c r="CK38" s="1417">
        <v>68</v>
      </c>
      <c r="CL38" s="1417">
        <v>69</v>
      </c>
      <c r="CM38" s="1417">
        <v>60</v>
      </c>
      <c r="CN38" s="1417">
        <v>73</v>
      </c>
      <c r="CO38" s="1417">
        <v>65</v>
      </c>
      <c r="CP38" s="1417">
        <v>78</v>
      </c>
      <c r="CQ38" s="1417">
        <v>76</v>
      </c>
      <c r="CR38" s="1417">
        <v>76</v>
      </c>
      <c r="CS38" s="1417">
        <v>79</v>
      </c>
      <c r="CT38" s="1417">
        <v>71</v>
      </c>
      <c r="CU38" s="1417">
        <v>66</v>
      </c>
      <c r="CV38" s="1417">
        <v>69</v>
      </c>
      <c r="CW38" s="1417">
        <v>64</v>
      </c>
      <c r="CX38" s="1417">
        <v>71</v>
      </c>
      <c r="CY38" s="1417">
        <v>87</v>
      </c>
      <c r="CZ38" s="1417">
        <v>71</v>
      </c>
      <c r="DA38" s="1417">
        <v>70</v>
      </c>
      <c r="DB38" s="1417">
        <v>77</v>
      </c>
      <c r="DC38" s="1417">
        <v>80</v>
      </c>
      <c r="DD38" s="1417">
        <v>77</v>
      </c>
      <c r="DE38" s="1417">
        <v>76</v>
      </c>
      <c r="DF38" s="1417">
        <v>80</v>
      </c>
      <c r="DG38" s="1417">
        <v>88</v>
      </c>
      <c r="DH38" s="1417">
        <v>83</v>
      </c>
      <c r="DI38" s="1417">
        <v>85</v>
      </c>
      <c r="DJ38" s="1417">
        <v>85</v>
      </c>
      <c r="DK38" s="1417">
        <v>83</v>
      </c>
      <c r="DL38" s="1417">
        <v>79</v>
      </c>
      <c r="DM38" s="1417">
        <v>92</v>
      </c>
      <c r="DN38" s="1417">
        <v>92</v>
      </c>
      <c r="DO38" s="1417">
        <v>84</v>
      </c>
      <c r="DP38" s="1417">
        <v>77</v>
      </c>
    </row>
    <row r="39" spans="1:120" x14ac:dyDescent="0.2">
      <c r="A39" s="637" t="str">
        <f>CONCATENATE(" ",Kulturen[[#This Row],[HF]])</f>
        <v xml:space="preserve"> Winterbrauweizen</v>
      </c>
      <c r="B39" s="772" t="str" cm="1">
        <f t="array" ref="B39">IFERROR(INDEX(Kulturen[HF],_xlfn.AGGREGATE(15,6,(ROW(Kulturen[Auswahl])-7)/(--(SEARCH("x",Kulturen[Auswahl])&gt;0)),ROW()-7),1),"")</f>
        <v>Triticale</v>
      </c>
      <c r="C39" s="772" t="str">
        <f>IF(Kulturen[[#This Row],[HF]]=$D$373,IF($C$6=0,0,"x"),IF($C$6=0,"x",Vorauswahl!C38))</f>
        <v>x</v>
      </c>
      <c r="D39" s="77" t="s">
        <v>16</v>
      </c>
      <c r="E39" s="77" t="s">
        <v>16</v>
      </c>
      <c r="F39" s="540" t="s">
        <v>532</v>
      </c>
      <c r="G39" s="540">
        <v>1</v>
      </c>
      <c r="H39" s="540">
        <v>8</v>
      </c>
      <c r="I39" s="540">
        <v>1</v>
      </c>
      <c r="J39" s="540">
        <v>90</v>
      </c>
      <c r="K39" s="540">
        <v>0.75</v>
      </c>
      <c r="L39" s="540">
        <v>0.99</v>
      </c>
      <c r="M39" s="540">
        <v>80</v>
      </c>
      <c r="N39" s="540">
        <v>0</v>
      </c>
      <c r="O39" s="540">
        <v>1</v>
      </c>
      <c r="P39" s="540" t="s">
        <v>1581</v>
      </c>
      <c r="Q39" s="540">
        <v>180</v>
      </c>
      <c r="R39" s="540">
        <v>10</v>
      </c>
      <c r="S39" s="540">
        <v>10</v>
      </c>
      <c r="T39" s="540">
        <v>15</v>
      </c>
      <c r="U39" s="540">
        <v>0</v>
      </c>
      <c r="V39" s="540">
        <v>3</v>
      </c>
      <c r="W39" s="776">
        <f>IF(Kulturen[[#This Row],[Berechnungsschema]]=13,3,IF(Kulturen[[#This Row],[Berechnungsschema]]=6,2,1))</f>
        <v>1</v>
      </c>
      <c r="X39" s="776">
        <f>IF(Kulturen[[#This Row],[fruchtartengruppe]]=13,Kulturen[[#This Row],[NBedarfswert]],MAX(0,Kulturen[[#This Row],[NBedarfswert]]-Kulturen[[#This Row],[Ertrag]]*Kulturen[[#This Row],[Nfix]]))</f>
        <v>180</v>
      </c>
      <c r="Y39" s="776">
        <v>78</v>
      </c>
      <c r="Z39" s="776">
        <v>76</v>
      </c>
      <c r="AA39" s="776">
        <v>78</v>
      </c>
      <c r="AB39" s="776">
        <v>78</v>
      </c>
      <c r="AC39" s="776">
        <v>75</v>
      </c>
      <c r="AD39" s="776">
        <v>72</v>
      </c>
      <c r="AE39" s="776">
        <v>86</v>
      </c>
      <c r="AF39" s="776">
        <v>85</v>
      </c>
      <c r="AG39" s="776">
        <v>80</v>
      </c>
      <c r="AH39" s="776">
        <v>85</v>
      </c>
      <c r="AI39" s="776">
        <v>79</v>
      </c>
      <c r="AJ39" s="776">
        <v>88</v>
      </c>
      <c r="AK39" s="776">
        <v>76</v>
      </c>
      <c r="AL39" s="776">
        <v>87</v>
      </c>
      <c r="AM39" s="776">
        <v>79</v>
      </c>
      <c r="AN39" s="776">
        <v>81</v>
      </c>
      <c r="AO39" s="776">
        <v>68</v>
      </c>
      <c r="AP39" s="776">
        <v>83</v>
      </c>
      <c r="AQ39" s="776">
        <v>75</v>
      </c>
      <c r="AR39" s="776">
        <v>63</v>
      </c>
      <c r="AS39" s="776">
        <v>75</v>
      </c>
      <c r="AT39" s="776">
        <v>81</v>
      </c>
      <c r="AU39" s="776">
        <v>70</v>
      </c>
      <c r="AV39" s="776">
        <v>78</v>
      </c>
      <c r="AW39" s="776">
        <v>77</v>
      </c>
      <c r="AX39" s="776">
        <v>77</v>
      </c>
      <c r="AY39" s="776">
        <v>86</v>
      </c>
      <c r="AZ39" s="776">
        <v>67</v>
      </c>
      <c r="BA39" s="776">
        <v>83</v>
      </c>
      <c r="BB39" s="776">
        <v>82</v>
      </c>
      <c r="BC39" s="776">
        <v>82</v>
      </c>
      <c r="BD39" s="776">
        <v>74</v>
      </c>
      <c r="BE39" s="776">
        <v>78</v>
      </c>
      <c r="BF39" s="776">
        <v>86</v>
      </c>
      <c r="BG39" s="776">
        <v>84</v>
      </c>
      <c r="BH39" s="776">
        <v>76</v>
      </c>
      <c r="BI39" s="776">
        <v>81</v>
      </c>
      <c r="BJ39" s="776">
        <v>76</v>
      </c>
      <c r="BK39" s="776">
        <v>73</v>
      </c>
      <c r="BL39" s="776">
        <v>72</v>
      </c>
      <c r="BM39" s="776">
        <v>76</v>
      </c>
      <c r="BN39" s="776">
        <v>74</v>
      </c>
      <c r="BO39" s="776">
        <v>82</v>
      </c>
      <c r="BP39" s="776">
        <v>74</v>
      </c>
      <c r="BQ39" s="776">
        <v>79</v>
      </c>
      <c r="BR39" s="776">
        <v>75</v>
      </c>
      <c r="BS39" s="776">
        <v>77</v>
      </c>
      <c r="BT39" s="776">
        <v>76</v>
      </c>
      <c r="BU39" s="776">
        <v>76</v>
      </c>
      <c r="BV39" s="776">
        <v>64</v>
      </c>
      <c r="BW39" s="776">
        <v>70</v>
      </c>
      <c r="BX39" s="776">
        <v>72</v>
      </c>
      <c r="BY39" s="776">
        <v>71</v>
      </c>
      <c r="BZ39" s="776">
        <v>63</v>
      </c>
      <c r="CA39" s="776">
        <v>63</v>
      </c>
      <c r="CB39" s="776">
        <v>67</v>
      </c>
      <c r="CC39" s="776">
        <v>67</v>
      </c>
      <c r="CD39" s="776">
        <v>71</v>
      </c>
      <c r="CE39" s="776">
        <v>76</v>
      </c>
      <c r="CF39" s="776">
        <v>73</v>
      </c>
      <c r="CG39" s="776">
        <v>72</v>
      </c>
      <c r="CH39" s="776">
        <v>76</v>
      </c>
      <c r="CI39" s="776">
        <v>76</v>
      </c>
      <c r="CJ39" s="776">
        <v>72</v>
      </c>
      <c r="CK39" s="776">
        <v>68</v>
      </c>
      <c r="CL39" s="776">
        <v>69</v>
      </c>
      <c r="CM39" s="776">
        <v>60</v>
      </c>
      <c r="CN39" s="776">
        <v>73</v>
      </c>
      <c r="CO39" s="776">
        <v>65</v>
      </c>
      <c r="CP39" s="776">
        <v>78</v>
      </c>
      <c r="CQ39" s="776">
        <v>76</v>
      </c>
      <c r="CR39" s="776">
        <v>76</v>
      </c>
      <c r="CS39" s="776">
        <v>79</v>
      </c>
      <c r="CT39" s="776">
        <v>71</v>
      </c>
      <c r="CU39" s="776">
        <v>66</v>
      </c>
      <c r="CV39" s="776">
        <v>69</v>
      </c>
      <c r="CW39" s="776">
        <v>64</v>
      </c>
      <c r="CX39" s="776">
        <v>71</v>
      </c>
      <c r="CY39" s="776">
        <v>87</v>
      </c>
      <c r="CZ39" s="776">
        <v>71</v>
      </c>
      <c r="DA39" s="776">
        <v>70</v>
      </c>
      <c r="DB39" s="776">
        <v>77</v>
      </c>
      <c r="DC39" s="776">
        <v>80</v>
      </c>
      <c r="DD39" s="776">
        <v>77</v>
      </c>
      <c r="DE39" s="776">
        <v>76</v>
      </c>
      <c r="DF39" s="776">
        <v>80</v>
      </c>
      <c r="DG39" s="776">
        <v>88</v>
      </c>
      <c r="DH39" s="776">
        <v>83</v>
      </c>
      <c r="DI39" s="776">
        <v>85</v>
      </c>
      <c r="DJ39" s="776">
        <v>85</v>
      </c>
      <c r="DK39" s="776">
        <v>83</v>
      </c>
      <c r="DL39" s="776">
        <v>79</v>
      </c>
      <c r="DM39" s="776">
        <v>92</v>
      </c>
      <c r="DN39" s="776">
        <v>92</v>
      </c>
      <c r="DO39" s="776">
        <v>84</v>
      </c>
      <c r="DP39" s="776">
        <v>77</v>
      </c>
    </row>
    <row r="40" spans="1:120" x14ac:dyDescent="0.2">
      <c r="A40" s="637" t="str">
        <f>CONCATENATE(" ",Kulturen[[#This Row],[HF]])</f>
        <v xml:space="preserve"> Sommerweizen</v>
      </c>
      <c r="B40" s="772" t="str" cm="1">
        <f t="array" ref="B40">IFERROR(INDEX(Kulturen[HF],_xlfn.AGGREGATE(15,6,(ROW(Kulturen[Auswahl])-7)/(--(SEARCH("x",Kulturen[Auswahl])&gt;0)),ROW()-7),1),"")</f>
        <v>Dinkel</v>
      </c>
      <c r="C40" s="772" t="str">
        <f>IF(Kulturen[[#This Row],[HF]]=$D$373,IF($C$6=0,0,"x"),IF($C$6=0,"x",Vorauswahl!C39))</f>
        <v>x</v>
      </c>
      <c r="D40" s="77" t="s">
        <v>533</v>
      </c>
      <c r="E40" s="77" t="s">
        <v>533</v>
      </c>
      <c r="F40" s="540" t="s">
        <v>534</v>
      </c>
      <c r="G40" s="540">
        <v>1</v>
      </c>
      <c r="H40" s="540">
        <v>8</v>
      </c>
      <c r="I40" s="540">
        <v>1</v>
      </c>
      <c r="J40" s="540">
        <v>90</v>
      </c>
      <c r="K40" s="540">
        <v>0.75</v>
      </c>
      <c r="L40" s="540">
        <v>0.99</v>
      </c>
      <c r="M40" s="540">
        <v>70</v>
      </c>
      <c r="N40" s="540">
        <v>0</v>
      </c>
      <c r="O40" s="540">
        <v>1</v>
      </c>
      <c r="P40" s="540">
        <v>0</v>
      </c>
      <c r="Q40" s="540">
        <v>220</v>
      </c>
      <c r="R40" s="540">
        <v>10</v>
      </c>
      <c r="S40" s="540">
        <v>10</v>
      </c>
      <c r="T40" s="540">
        <v>15</v>
      </c>
      <c r="U40" s="540">
        <v>0</v>
      </c>
      <c r="V40" s="540">
        <v>2</v>
      </c>
      <c r="W40" s="776">
        <f>IF(Kulturen[[#This Row],[Berechnungsschema]]=13,3,IF(Kulturen[[#This Row],[Berechnungsschema]]=6,2,1))</f>
        <v>1</v>
      </c>
      <c r="X40" s="776">
        <f>IF(Kulturen[[#This Row],[fruchtartengruppe]]=13,Kulturen[[#This Row],[NBedarfswert]],MAX(0,Kulturen[[#This Row],[NBedarfswert]]-Kulturen[[#This Row],[Ertrag]]*Kulturen[[#This Row],[Nfix]]))</f>
        <v>220</v>
      </c>
      <c r="Y40" s="1410">
        <v>54</v>
      </c>
      <c r="Z40" s="1410">
        <v>56</v>
      </c>
      <c r="AA40" s="1410">
        <v>55</v>
      </c>
      <c r="AB40" s="1410">
        <v>57</v>
      </c>
      <c r="AC40" s="1410">
        <v>56</v>
      </c>
      <c r="AD40" s="1410">
        <v>52</v>
      </c>
      <c r="AE40" s="1410">
        <v>53</v>
      </c>
      <c r="AF40" s="1410">
        <v>54</v>
      </c>
      <c r="AG40" s="1410">
        <v>56</v>
      </c>
      <c r="AH40" s="1410">
        <v>58</v>
      </c>
      <c r="AI40" s="1410">
        <v>54</v>
      </c>
      <c r="AJ40" s="1410">
        <v>55</v>
      </c>
      <c r="AK40" s="1410">
        <v>55</v>
      </c>
      <c r="AL40" s="1410">
        <v>58</v>
      </c>
      <c r="AM40" s="1410">
        <v>53</v>
      </c>
      <c r="AN40" s="1410">
        <v>54</v>
      </c>
      <c r="AO40" s="1410">
        <v>54</v>
      </c>
      <c r="AP40" s="1410">
        <v>58</v>
      </c>
      <c r="AQ40" s="1410">
        <v>55</v>
      </c>
      <c r="AR40" s="1410">
        <v>53</v>
      </c>
      <c r="AS40" s="1410">
        <v>54</v>
      </c>
      <c r="AT40" s="1410">
        <v>56</v>
      </c>
      <c r="AU40" s="1410">
        <v>54</v>
      </c>
      <c r="AV40" s="1410">
        <v>53</v>
      </c>
      <c r="AW40" s="1410">
        <v>55</v>
      </c>
      <c r="AX40" s="1410">
        <v>55</v>
      </c>
      <c r="AY40" s="1410">
        <v>62</v>
      </c>
      <c r="AZ40" s="1410">
        <v>51</v>
      </c>
      <c r="BA40" s="1410">
        <v>55</v>
      </c>
      <c r="BB40" s="1410">
        <v>53</v>
      </c>
      <c r="BC40" s="1410">
        <v>50</v>
      </c>
      <c r="BD40" s="1410">
        <v>52</v>
      </c>
      <c r="BE40" s="1410">
        <v>57</v>
      </c>
      <c r="BF40" s="1410">
        <v>56</v>
      </c>
      <c r="BG40" s="1410">
        <v>60</v>
      </c>
      <c r="BH40" s="1410">
        <v>52</v>
      </c>
      <c r="BI40" s="1410">
        <v>56</v>
      </c>
      <c r="BJ40" s="1410">
        <v>57</v>
      </c>
      <c r="BK40" s="1410">
        <v>50</v>
      </c>
      <c r="BL40" s="1410">
        <v>54</v>
      </c>
      <c r="BM40" s="1410">
        <v>53</v>
      </c>
      <c r="BN40" s="1410">
        <v>56</v>
      </c>
      <c r="BO40" s="1410">
        <v>62</v>
      </c>
      <c r="BP40" s="1410">
        <v>53</v>
      </c>
      <c r="BQ40" s="1410">
        <v>55</v>
      </c>
      <c r="BR40" s="1410">
        <v>52</v>
      </c>
      <c r="BS40" s="1410">
        <v>55</v>
      </c>
      <c r="BT40" s="1410">
        <v>54</v>
      </c>
      <c r="BU40" s="1410">
        <v>54</v>
      </c>
      <c r="BV40" s="1410">
        <v>49</v>
      </c>
      <c r="BW40" s="1410">
        <v>55</v>
      </c>
      <c r="BX40" s="1410">
        <v>56</v>
      </c>
      <c r="BY40" s="1410">
        <v>56</v>
      </c>
      <c r="BZ40" s="1410">
        <v>54</v>
      </c>
      <c r="CA40" s="1410">
        <v>52</v>
      </c>
      <c r="CB40" s="1410">
        <v>54</v>
      </c>
      <c r="CC40" s="1410">
        <v>52</v>
      </c>
      <c r="CD40" s="1410">
        <v>53</v>
      </c>
      <c r="CE40" s="1410">
        <v>58</v>
      </c>
      <c r="CF40" s="1410">
        <v>52</v>
      </c>
      <c r="CG40" s="1410">
        <v>52</v>
      </c>
      <c r="CH40" s="1410">
        <v>52</v>
      </c>
      <c r="CI40" s="1410">
        <v>55</v>
      </c>
      <c r="CJ40" s="1410">
        <v>57</v>
      </c>
      <c r="CK40" s="1410">
        <v>52</v>
      </c>
      <c r="CL40" s="1410">
        <v>52</v>
      </c>
      <c r="CM40" s="1410">
        <v>52</v>
      </c>
      <c r="CN40" s="1410">
        <v>52</v>
      </c>
      <c r="CO40" s="1410">
        <v>52</v>
      </c>
      <c r="CP40" s="1410">
        <v>50</v>
      </c>
      <c r="CQ40" s="1410">
        <v>52</v>
      </c>
      <c r="CR40" s="1410">
        <v>53</v>
      </c>
      <c r="CS40" s="1410">
        <v>57</v>
      </c>
      <c r="CT40" s="1410">
        <v>52</v>
      </c>
      <c r="CU40" s="1410">
        <v>52</v>
      </c>
      <c r="CV40" s="1410">
        <v>52</v>
      </c>
      <c r="CW40" s="1410">
        <v>52</v>
      </c>
      <c r="CX40" s="1410">
        <v>52</v>
      </c>
      <c r="CY40" s="1410">
        <v>52</v>
      </c>
      <c r="CZ40" s="1410">
        <v>50</v>
      </c>
      <c r="DA40" s="1410">
        <v>54</v>
      </c>
      <c r="DB40" s="1410">
        <v>54</v>
      </c>
      <c r="DC40" s="1410">
        <v>58</v>
      </c>
      <c r="DD40" s="1410">
        <v>59</v>
      </c>
      <c r="DE40" s="1410">
        <v>55</v>
      </c>
      <c r="DF40" s="1410">
        <v>56</v>
      </c>
      <c r="DG40" s="1410">
        <v>59</v>
      </c>
      <c r="DH40" s="1410">
        <v>62</v>
      </c>
      <c r="DI40" s="1410">
        <v>57</v>
      </c>
      <c r="DJ40" s="1410">
        <v>58</v>
      </c>
      <c r="DK40" s="1410">
        <v>55</v>
      </c>
      <c r="DL40" s="1410">
        <v>55</v>
      </c>
      <c r="DM40" s="1410">
        <v>59</v>
      </c>
      <c r="DN40" s="1410">
        <v>57</v>
      </c>
      <c r="DO40" s="1410">
        <v>65</v>
      </c>
      <c r="DP40" s="1410">
        <v>55</v>
      </c>
    </row>
    <row r="41" spans="1:120" x14ac:dyDescent="0.2">
      <c r="A41" s="637" t="str">
        <f>CONCATENATE(" ",Kulturen[[#This Row],[HF]])</f>
        <v xml:space="preserve"> Wintergerste mehrzeilig</v>
      </c>
      <c r="B41" s="772" t="str" cm="1">
        <f t="array" ref="B41">IFERROR(INDEX(Kulturen[HF],_xlfn.AGGREGATE(15,6,(ROW(Kulturen[Auswahl])-7)/(--(SEARCH("x",Kulturen[Auswahl])&gt;0)),ROW()-7),1),"")</f>
        <v>Emmer/Einkorn</v>
      </c>
      <c r="C41" s="772" t="str">
        <f>IF(Kulturen[[#This Row],[HF]]=$D$373,IF($C$6=0,0,"x"),IF($C$6=0,"x",Vorauswahl!C40))</f>
        <v>x</v>
      </c>
      <c r="D41" s="77" t="s">
        <v>18</v>
      </c>
      <c r="E41" s="77" t="s">
        <v>2385</v>
      </c>
      <c r="F41" s="540" t="s">
        <v>535</v>
      </c>
      <c r="G41" s="540">
        <v>1</v>
      </c>
      <c r="H41" s="540">
        <v>2</v>
      </c>
      <c r="I41" s="540">
        <v>1</v>
      </c>
      <c r="J41" s="540">
        <v>90</v>
      </c>
      <c r="K41" s="540">
        <v>0.8</v>
      </c>
      <c r="L41" s="540">
        <v>1.01</v>
      </c>
      <c r="M41" s="540">
        <v>70</v>
      </c>
      <c r="N41" s="540">
        <v>0</v>
      </c>
      <c r="O41" s="540">
        <v>1</v>
      </c>
      <c r="P41" s="540" t="s">
        <v>1582</v>
      </c>
      <c r="Q41" s="540">
        <v>180</v>
      </c>
      <c r="R41" s="540">
        <v>10</v>
      </c>
      <c r="S41" s="540">
        <v>10</v>
      </c>
      <c r="T41" s="540">
        <v>15</v>
      </c>
      <c r="U41" s="540">
        <v>0</v>
      </c>
      <c r="V41" s="540">
        <v>2</v>
      </c>
      <c r="W41" s="776">
        <f>IF(Kulturen[[#This Row],[Berechnungsschema]]=13,3,IF(Kulturen[[#This Row],[Berechnungsschema]]=6,2,1))</f>
        <v>1</v>
      </c>
      <c r="X41" s="776">
        <f>IF(Kulturen[[#This Row],[fruchtartengruppe]]=13,Kulturen[[#This Row],[NBedarfswert]],MAX(0,Kulturen[[#This Row],[NBedarfswert]]-Kulturen[[#This Row],[Ertrag]]*Kulturen[[#This Row],[Nfix]]))</f>
        <v>180</v>
      </c>
      <c r="Y41" s="1410">
        <v>75</v>
      </c>
      <c r="Z41" s="1410">
        <v>68</v>
      </c>
      <c r="AA41" s="1410">
        <v>69</v>
      </c>
      <c r="AB41" s="1410">
        <v>77</v>
      </c>
      <c r="AC41" s="1410">
        <v>64</v>
      </c>
      <c r="AD41" s="1410">
        <v>65</v>
      </c>
      <c r="AE41" s="1410">
        <v>79</v>
      </c>
      <c r="AF41" s="1410">
        <v>73</v>
      </c>
      <c r="AG41" s="1410">
        <v>73</v>
      </c>
      <c r="AH41" s="1410">
        <v>78</v>
      </c>
      <c r="AI41" s="1410">
        <v>77</v>
      </c>
      <c r="AJ41" s="1410">
        <v>79</v>
      </c>
      <c r="AK41" s="1410">
        <v>68</v>
      </c>
      <c r="AL41" s="1410">
        <v>74</v>
      </c>
      <c r="AM41" s="1410">
        <v>70</v>
      </c>
      <c r="AN41" s="1410">
        <v>79</v>
      </c>
      <c r="AO41" s="1410">
        <v>65</v>
      </c>
      <c r="AP41" s="1410">
        <v>76</v>
      </c>
      <c r="AQ41" s="1410">
        <v>71</v>
      </c>
      <c r="AR41" s="1410">
        <v>69</v>
      </c>
      <c r="AS41" s="1410">
        <v>66</v>
      </c>
      <c r="AT41" s="1410">
        <v>77</v>
      </c>
      <c r="AU41" s="1410">
        <v>61</v>
      </c>
      <c r="AV41" s="1410">
        <v>70</v>
      </c>
      <c r="AW41" s="1410">
        <v>69</v>
      </c>
      <c r="AX41" s="1410">
        <v>68</v>
      </c>
      <c r="AY41" s="1410">
        <v>82</v>
      </c>
      <c r="AZ41" s="1410">
        <v>58</v>
      </c>
      <c r="BA41" s="1410">
        <v>75</v>
      </c>
      <c r="BB41" s="1410">
        <v>78</v>
      </c>
      <c r="BC41" s="1410">
        <v>74</v>
      </c>
      <c r="BD41" s="1410">
        <v>65</v>
      </c>
      <c r="BE41" s="1410">
        <v>74</v>
      </c>
      <c r="BF41" s="1410">
        <v>75</v>
      </c>
      <c r="BG41" s="1410">
        <v>83</v>
      </c>
      <c r="BH41" s="1410">
        <v>70</v>
      </c>
      <c r="BI41" s="1410">
        <v>72</v>
      </c>
      <c r="BJ41" s="1410">
        <v>69</v>
      </c>
      <c r="BK41" s="1410">
        <v>63</v>
      </c>
      <c r="BL41" s="1410">
        <v>66</v>
      </c>
      <c r="BM41" s="1410">
        <v>67</v>
      </c>
      <c r="BN41" s="1410">
        <v>66</v>
      </c>
      <c r="BO41" s="1410">
        <v>71</v>
      </c>
      <c r="BP41" s="1410">
        <v>66</v>
      </c>
      <c r="BQ41" s="1410">
        <v>74</v>
      </c>
      <c r="BR41" s="1410">
        <v>66</v>
      </c>
      <c r="BS41" s="1410">
        <v>70</v>
      </c>
      <c r="BT41" s="1410">
        <v>68</v>
      </c>
      <c r="BU41" s="1410">
        <v>70</v>
      </c>
      <c r="BV41" s="1410">
        <v>58</v>
      </c>
      <c r="BW41" s="1410">
        <v>64</v>
      </c>
      <c r="BX41" s="1410">
        <v>64</v>
      </c>
      <c r="BY41" s="1410">
        <v>64</v>
      </c>
      <c r="BZ41" s="1410">
        <v>62</v>
      </c>
      <c r="CA41" s="1410">
        <v>57</v>
      </c>
      <c r="CB41" s="1410">
        <v>56</v>
      </c>
      <c r="CC41" s="1410">
        <v>56</v>
      </c>
      <c r="CD41" s="1410">
        <v>66</v>
      </c>
      <c r="CE41" s="1410">
        <v>66</v>
      </c>
      <c r="CF41" s="1410">
        <v>68</v>
      </c>
      <c r="CG41" s="1410">
        <v>70</v>
      </c>
      <c r="CH41" s="1410">
        <v>68</v>
      </c>
      <c r="CI41" s="1410">
        <v>70</v>
      </c>
      <c r="CJ41" s="1410">
        <v>66</v>
      </c>
      <c r="CK41" s="1410">
        <v>62</v>
      </c>
      <c r="CL41" s="1410">
        <v>68</v>
      </c>
      <c r="CM41" s="1410">
        <v>54</v>
      </c>
      <c r="CN41" s="1410">
        <v>71</v>
      </c>
      <c r="CO41" s="1410">
        <v>55</v>
      </c>
      <c r="CP41" s="1410">
        <v>70</v>
      </c>
      <c r="CQ41" s="1410">
        <v>68</v>
      </c>
      <c r="CR41" s="1410">
        <v>71</v>
      </c>
      <c r="CS41" s="1410">
        <v>71</v>
      </c>
      <c r="CT41" s="1410">
        <v>65</v>
      </c>
      <c r="CU41" s="1410">
        <v>64</v>
      </c>
      <c r="CV41" s="1410">
        <v>64</v>
      </c>
      <c r="CW41" s="1410">
        <v>58</v>
      </c>
      <c r="CX41" s="1410">
        <v>68</v>
      </c>
      <c r="CY41" s="1410">
        <v>80</v>
      </c>
      <c r="CZ41" s="1410">
        <v>68</v>
      </c>
      <c r="DA41" s="1410">
        <v>64</v>
      </c>
      <c r="DB41" s="1410">
        <v>73</v>
      </c>
      <c r="DC41" s="1410">
        <v>72</v>
      </c>
      <c r="DD41" s="1410">
        <v>70</v>
      </c>
      <c r="DE41" s="1410">
        <v>69</v>
      </c>
      <c r="DF41" s="1410">
        <v>70</v>
      </c>
      <c r="DG41" s="1410">
        <v>80</v>
      </c>
      <c r="DH41" s="1410">
        <v>73</v>
      </c>
      <c r="DI41" s="1410">
        <v>79</v>
      </c>
      <c r="DJ41" s="1410">
        <v>79</v>
      </c>
      <c r="DK41" s="1410">
        <v>81</v>
      </c>
      <c r="DL41" s="1410">
        <v>69</v>
      </c>
      <c r="DM41" s="1410">
        <v>88</v>
      </c>
      <c r="DN41" s="1410">
        <v>79</v>
      </c>
      <c r="DO41" s="1410">
        <v>77</v>
      </c>
      <c r="DP41" s="1410">
        <v>68</v>
      </c>
    </row>
    <row r="42" spans="1:120" x14ac:dyDescent="0.2">
      <c r="A42" s="637" t="str">
        <f>CONCATENATE(" ",Kulturen[[#This Row],[HF]])</f>
        <v xml:space="preserve"> Wintergerste zweizeilig</v>
      </c>
      <c r="B42" s="772" t="str" cm="1">
        <f t="array" ref="B42">IFERROR(INDEX(Kulturen[HF],_xlfn.AGGREGATE(15,6,(ROW(Kulturen[Auswahl])-7)/(--(SEARCH("x",Kulturen[Auswahl])&gt;0)),ROW()-7),1),"")</f>
        <v>Hartweizen (Durum)</v>
      </c>
      <c r="C42" s="772" t="str">
        <f>IF(Kulturen[[#This Row],[HF]]=$D$373,IF($C$6=0,0,"x"),IF($C$6=0,"x",Vorauswahl!C41))</f>
        <v>x</v>
      </c>
      <c r="D42" s="77" t="s">
        <v>17</v>
      </c>
      <c r="E42" s="77" t="s">
        <v>2386</v>
      </c>
      <c r="F42" s="540" t="s">
        <v>536</v>
      </c>
      <c r="G42" s="540">
        <v>1</v>
      </c>
      <c r="H42" s="540">
        <v>2</v>
      </c>
      <c r="I42" s="540">
        <v>1</v>
      </c>
      <c r="J42" s="540">
        <v>90</v>
      </c>
      <c r="K42" s="540">
        <v>0.8</v>
      </c>
      <c r="L42" s="540">
        <v>1.01</v>
      </c>
      <c r="M42" s="540">
        <v>70</v>
      </c>
      <c r="N42" s="540">
        <v>0</v>
      </c>
      <c r="O42" s="540">
        <v>1</v>
      </c>
      <c r="P42" s="540" t="s">
        <v>1582</v>
      </c>
      <c r="Q42" s="540">
        <v>180</v>
      </c>
      <c r="R42" s="540">
        <v>10</v>
      </c>
      <c r="S42" s="540">
        <v>10</v>
      </c>
      <c r="T42" s="540">
        <v>15</v>
      </c>
      <c r="U42" s="540">
        <v>0</v>
      </c>
      <c r="V42" s="540">
        <v>2</v>
      </c>
      <c r="W42" s="776">
        <f>IF(Kulturen[[#This Row],[Berechnungsschema]]=13,3,IF(Kulturen[[#This Row],[Berechnungsschema]]=6,2,1))</f>
        <v>1</v>
      </c>
      <c r="X42" s="776">
        <f>IF(Kulturen[[#This Row],[fruchtartengruppe]]=13,Kulturen[[#This Row],[NBedarfswert]],MAX(0,Kulturen[[#This Row],[NBedarfswert]]-Kulturen[[#This Row],[Ertrag]]*Kulturen[[#This Row],[Nfix]]))</f>
        <v>180</v>
      </c>
      <c r="Y42" s="1410">
        <v>75</v>
      </c>
      <c r="Z42" s="1410">
        <v>68</v>
      </c>
      <c r="AA42" s="1410">
        <v>69</v>
      </c>
      <c r="AB42" s="1410">
        <v>77</v>
      </c>
      <c r="AC42" s="1410">
        <v>64</v>
      </c>
      <c r="AD42" s="1410">
        <v>65</v>
      </c>
      <c r="AE42" s="1410">
        <v>79</v>
      </c>
      <c r="AF42" s="1410">
        <v>73</v>
      </c>
      <c r="AG42" s="1410">
        <v>73</v>
      </c>
      <c r="AH42" s="1410">
        <v>78</v>
      </c>
      <c r="AI42" s="1410">
        <v>77</v>
      </c>
      <c r="AJ42" s="1410">
        <v>79</v>
      </c>
      <c r="AK42" s="1410">
        <v>68</v>
      </c>
      <c r="AL42" s="1410">
        <v>74</v>
      </c>
      <c r="AM42" s="1410">
        <v>70</v>
      </c>
      <c r="AN42" s="1410">
        <v>79</v>
      </c>
      <c r="AO42" s="1410">
        <v>65</v>
      </c>
      <c r="AP42" s="1410">
        <v>76</v>
      </c>
      <c r="AQ42" s="1410">
        <v>71</v>
      </c>
      <c r="AR42" s="1410">
        <v>69</v>
      </c>
      <c r="AS42" s="1410">
        <v>66</v>
      </c>
      <c r="AT42" s="1410">
        <v>77</v>
      </c>
      <c r="AU42" s="1410">
        <v>61</v>
      </c>
      <c r="AV42" s="1410">
        <v>70</v>
      </c>
      <c r="AW42" s="1410">
        <v>69</v>
      </c>
      <c r="AX42" s="1410">
        <v>68</v>
      </c>
      <c r="AY42" s="1410">
        <v>82</v>
      </c>
      <c r="AZ42" s="1410">
        <v>58</v>
      </c>
      <c r="BA42" s="1410">
        <v>75</v>
      </c>
      <c r="BB42" s="1410">
        <v>78</v>
      </c>
      <c r="BC42" s="1410">
        <v>74</v>
      </c>
      <c r="BD42" s="1410">
        <v>65</v>
      </c>
      <c r="BE42" s="1410">
        <v>74</v>
      </c>
      <c r="BF42" s="1410">
        <v>75</v>
      </c>
      <c r="BG42" s="1410">
        <v>83</v>
      </c>
      <c r="BH42" s="1410">
        <v>70</v>
      </c>
      <c r="BI42" s="1410">
        <v>72</v>
      </c>
      <c r="BJ42" s="1410">
        <v>69</v>
      </c>
      <c r="BK42" s="1410">
        <v>63</v>
      </c>
      <c r="BL42" s="1410">
        <v>66</v>
      </c>
      <c r="BM42" s="1410">
        <v>67</v>
      </c>
      <c r="BN42" s="1410">
        <v>66</v>
      </c>
      <c r="BO42" s="1410">
        <v>71</v>
      </c>
      <c r="BP42" s="1410">
        <v>66</v>
      </c>
      <c r="BQ42" s="1410">
        <v>74</v>
      </c>
      <c r="BR42" s="1410">
        <v>66</v>
      </c>
      <c r="BS42" s="1410">
        <v>70</v>
      </c>
      <c r="BT42" s="1410">
        <v>68</v>
      </c>
      <c r="BU42" s="1410">
        <v>70</v>
      </c>
      <c r="BV42" s="1410">
        <v>58</v>
      </c>
      <c r="BW42" s="1410">
        <v>64</v>
      </c>
      <c r="BX42" s="1410">
        <v>64</v>
      </c>
      <c r="BY42" s="1410">
        <v>64</v>
      </c>
      <c r="BZ42" s="1410">
        <v>62</v>
      </c>
      <c r="CA42" s="1410">
        <v>57</v>
      </c>
      <c r="CB42" s="1410">
        <v>56</v>
      </c>
      <c r="CC42" s="1410">
        <v>56</v>
      </c>
      <c r="CD42" s="1410">
        <v>66</v>
      </c>
      <c r="CE42" s="1410">
        <v>66</v>
      </c>
      <c r="CF42" s="1410">
        <v>68</v>
      </c>
      <c r="CG42" s="1410">
        <v>70</v>
      </c>
      <c r="CH42" s="1410">
        <v>68</v>
      </c>
      <c r="CI42" s="1410">
        <v>70</v>
      </c>
      <c r="CJ42" s="1410">
        <v>66</v>
      </c>
      <c r="CK42" s="1410">
        <v>62</v>
      </c>
      <c r="CL42" s="1410">
        <v>68</v>
      </c>
      <c r="CM42" s="1410">
        <v>54</v>
      </c>
      <c r="CN42" s="1410">
        <v>71</v>
      </c>
      <c r="CO42" s="1410">
        <v>55</v>
      </c>
      <c r="CP42" s="1410">
        <v>70</v>
      </c>
      <c r="CQ42" s="1410">
        <v>68</v>
      </c>
      <c r="CR42" s="1410">
        <v>71</v>
      </c>
      <c r="CS42" s="1410">
        <v>71</v>
      </c>
      <c r="CT42" s="1410">
        <v>65</v>
      </c>
      <c r="CU42" s="1410">
        <v>64</v>
      </c>
      <c r="CV42" s="1410">
        <v>64</v>
      </c>
      <c r="CW42" s="1410">
        <v>58</v>
      </c>
      <c r="CX42" s="1410">
        <v>68</v>
      </c>
      <c r="CY42" s="1410">
        <v>80</v>
      </c>
      <c r="CZ42" s="1410">
        <v>68</v>
      </c>
      <c r="DA42" s="1410">
        <v>64</v>
      </c>
      <c r="DB42" s="1410">
        <v>73</v>
      </c>
      <c r="DC42" s="1410">
        <v>72</v>
      </c>
      <c r="DD42" s="1410">
        <v>70</v>
      </c>
      <c r="DE42" s="1410">
        <v>69</v>
      </c>
      <c r="DF42" s="1410">
        <v>70</v>
      </c>
      <c r="DG42" s="1410">
        <v>80</v>
      </c>
      <c r="DH42" s="1410">
        <v>73</v>
      </c>
      <c r="DI42" s="1410">
        <v>79</v>
      </c>
      <c r="DJ42" s="1410">
        <v>79</v>
      </c>
      <c r="DK42" s="1410">
        <v>81</v>
      </c>
      <c r="DL42" s="1410">
        <v>69</v>
      </c>
      <c r="DM42" s="1410">
        <v>88</v>
      </c>
      <c r="DN42" s="1410">
        <v>79</v>
      </c>
      <c r="DO42" s="1410">
        <v>77</v>
      </c>
      <c r="DP42" s="1410">
        <v>68</v>
      </c>
    </row>
    <row r="43" spans="1:120" x14ac:dyDescent="0.2">
      <c r="A43" s="637" t="str">
        <f>CONCATENATE(" ",Kulturen[[#This Row],[HF]])</f>
        <v xml:space="preserve"> Winterbraugerste</v>
      </c>
      <c r="B43" s="772" t="str" cm="1">
        <f t="array" ref="B43">IFERROR(INDEX(Kulturen[HF],_xlfn.AGGREGATE(15,6,(ROW(Kulturen[Auswahl])-7)/(--(SEARCH("x",Kulturen[Auswahl])&gt;0)),ROW()-7),1),"")</f>
        <v>+++Körnermais, sonstige Körnernutzung+++</v>
      </c>
      <c r="C43" s="772" t="str">
        <f>IF(Kulturen[[#This Row],[HF]]=$D$373,IF($C$6=0,0,"x"),IF($C$6=0,"x",Vorauswahl!C42))</f>
        <v>x</v>
      </c>
      <c r="D43" s="77" t="s">
        <v>1891</v>
      </c>
      <c r="E43" s="77" t="s">
        <v>1891</v>
      </c>
      <c r="F43" s="540" t="s">
        <v>537</v>
      </c>
      <c r="G43" s="540">
        <v>1</v>
      </c>
      <c r="H43" s="540">
        <v>2</v>
      </c>
      <c r="I43" s="540">
        <v>1</v>
      </c>
      <c r="J43" s="540">
        <v>90</v>
      </c>
      <c r="K43" s="540">
        <v>0.8</v>
      </c>
      <c r="L43" s="540">
        <v>1.01</v>
      </c>
      <c r="M43" s="540">
        <v>70</v>
      </c>
      <c r="N43" s="540">
        <v>0</v>
      </c>
      <c r="O43" s="540">
        <v>1</v>
      </c>
      <c r="P43" s="540" t="s">
        <v>1582</v>
      </c>
      <c r="Q43" s="540">
        <v>160</v>
      </c>
      <c r="R43" s="540">
        <v>10</v>
      </c>
      <c r="S43" s="540">
        <v>10</v>
      </c>
      <c r="T43" s="540">
        <v>15</v>
      </c>
      <c r="U43" s="540">
        <v>0</v>
      </c>
      <c r="V43" s="540">
        <v>2</v>
      </c>
      <c r="W43" s="776">
        <f>IF(Kulturen[[#This Row],[Berechnungsschema]]=13,3,IF(Kulturen[[#This Row],[Berechnungsschema]]=6,2,1))</f>
        <v>1</v>
      </c>
      <c r="X43" s="776">
        <f>IF(Kulturen[[#This Row],[fruchtartengruppe]]=13,Kulturen[[#This Row],[NBedarfswert]],MAX(0,Kulturen[[#This Row],[NBedarfswert]]-Kulturen[[#This Row],[Ertrag]]*Kulturen[[#This Row],[Nfix]]))</f>
        <v>160</v>
      </c>
      <c r="Y43" s="1410">
        <v>75</v>
      </c>
      <c r="Z43" s="1410">
        <v>68</v>
      </c>
      <c r="AA43" s="1410">
        <v>69</v>
      </c>
      <c r="AB43" s="1410">
        <v>77</v>
      </c>
      <c r="AC43" s="1410">
        <v>64</v>
      </c>
      <c r="AD43" s="1410">
        <v>65</v>
      </c>
      <c r="AE43" s="1410">
        <v>79</v>
      </c>
      <c r="AF43" s="1410">
        <v>73</v>
      </c>
      <c r="AG43" s="1410">
        <v>73</v>
      </c>
      <c r="AH43" s="1410">
        <v>78</v>
      </c>
      <c r="AI43" s="1410">
        <v>77</v>
      </c>
      <c r="AJ43" s="1410">
        <v>79</v>
      </c>
      <c r="AK43" s="1410">
        <v>68</v>
      </c>
      <c r="AL43" s="1410">
        <v>74</v>
      </c>
      <c r="AM43" s="1410">
        <v>70</v>
      </c>
      <c r="AN43" s="1410">
        <v>79</v>
      </c>
      <c r="AO43" s="1410">
        <v>65</v>
      </c>
      <c r="AP43" s="1410">
        <v>76</v>
      </c>
      <c r="AQ43" s="1410">
        <v>71</v>
      </c>
      <c r="AR43" s="1410">
        <v>69</v>
      </c>
      <c r="AS43" s="1410">
        <v>66</v>
      </c>
      <c r="AT43" s="1410">
        <v>77</v>
      </c>
      <c r="AU43" s="1410">
        <v>61</v>
      </c>
      <c r="AV43" s="1410">
        <v>70</v>
      </c>
      <c r="AW43" s="1410">
        <v>69</v>
      </c>
      <c r="AX43" s="1410">
        <v>68</v>
      </c>
      <c r="AY43" s="1410">
        <v>82</v>
      </c>
      <c r="AZ43" s="1410">
        <v>58</v>
      </c>
      <c r="BA43" s="1410">
        <v>75</v>
      </c>
      <c r="BB43" s="1410">
        <v>78</v>
      </c>
      <c r="BC43" s="1410">
        <v>74</v>
      </c>
      <c r="BD43" s="1410">
        <v>65</v>
      </c>
      <c r="BE43" s="1410">
        <v>74</v>
      </c>
      <c r="BF43" s="1410">
        <v>75</v>
      </c>
      <c r="BG43" s="1410">
        <v>83</v>
      </c>
      <c r="BH43" s="1410">
        <v>70</v>
      </c>
      <c r="BI43" s="1410">
        <v>72</v>
      </c>
      <c r="BJ43" s="1410">
        <v>69</v>
      </c>
      <c r="BK43" s="1410">
        <v>63</v>
      </c>
      <c r="BL43" s="1410">
        <v>66</v>
      </c>
      <c r="BM43" s="1410">
        <v>67</v>
      </c>
      <c r="BN43" s="1410">
        <v>66</v>
      </c>
      <c r="BO43" s="1410">
        <v>71</v>
      </c>
      <c r="BP43" s="1410">
        <v>66</v>
      </c>
      <c r="BQ43" s="1410">
        <v>74</v>
      </c>
      <c r="BR43" s="1410">
        <v>66</v>
      </c>
      <c r="BS43" s="1410">
        <v>70</v>
      </c>
      <c r="BT43" s="1410">
        <v>68</v>
      </c>
      <c r="BU43" s="1410">
        <v>70</v>
      </c>
      <c r="BV43" s="1410">
        <v>58</v>
      </c>
      <c r="BW43" s="1410">
        <v>64</v>
      </c>
      <c r="BX43" s="1410">
        <v>64</v>
      </c>
      <c r="BY43" s="1410">
        <v>64</v>
      </c>
      <c r="BZ43" s="1410">
        <v>62</v>
      </c>
      <c r="CA43" s="1410">
        <v>57</v>
      </c>
      <c r="CB43" s="1410">
        <v>56</v>
      </c>
      <c r="CC43" s="1410">
        <v>56</v>
      </c>
      <c r="CD43" s="1410">
        <v>66</v>
      </c>
      <c r="CE43" s="1410">
        <v>66</v>
      </c>
      <c r="CF43" s="1410">
        <v>68</v>
      </c>
      <c r="CG43" s="1410">
        <v>70</v>
      </c>
      <c r="CH43" s="1410">
        <v>68</v>
      </c>
      <c r="CI43" s="1410">
        <v>70</v>
      </c>
      <c r="CJ43" s="1410">
        <v>66</v>
      </c>
      <c r="CK43" s="1410">
        <v>62</v>
      </c>
      <c r="CL43" s="1410">
        <v>68</v>
      </c>
      <c r="CM43" s="1410">
        <v>54</v>
      </c>
      <c r="CN43" s="1410">
        <v>71</v>
      </c>
      <c r="CO43" s="1410">
        <v>55</v>
      </c>
      <c r="CP43" s="1410">
        <v>70</v>
      </c>
      <c r="CQ43" s="1410">
        <v>68</v>
      </c>
      <c r="CR43" s="1410">
        <v>71</v>
      </c>
      <c r="CS43" s="1410">
        <v>71</v>
      </c>
      <c r="CT43" s="1410">
        <v>65</v>
      </c>
      <c r="CU43" s="1410">
        <v>64</v>
      </c>
      <c r="CV43" s="1410">
        <v>64</v>
      </c>
      <c r="CW43" s="1410">
        <v>58</v>
      </c>
      <c r="CX43" s="1410">
        <v>68</v>
      </c>
      <c r="CY43" s="1410">
        <v>80</v>
      </c>
      <c r="CZ43" s="1410">
        <v>68</v>
      </c>
      <c r="DA43" s="1410">
        <v>64</v>
      </c>
      <c r="DB43" s="1410">
        <v>73</v>
      </c>
      <c r="DC43" s="1410">
        <v>72</v>
      </c>
      <c r="DD43" s="1410">
        <v>70</v>
      </c>
      <c r="DE43" s="1410">
        <v>69</v>
      </c>
      <c r="DF43" s="1410">
        <v>70</v>
      </c>
      <c r="DG43" s="1410">
        <v>80</v>
      </c>
      <c r="DH43" s="1410">
        <v>73</v>
      </c>
      <c r="DI43" s="1410">
        <v>79</v>
      </c>
      <c r="DJ43" s="1410">
        <v>79</v>
      </c>
      <c r="DK43" s="1410">
        <v>81</v>
      </c>
      <c r="DL43" s="1410">
        <v>69</v>
      </c>
      <c r="DM43" s="1410">
        <v>88</v>
      </c>
      <c r="DN43" s="1410">
        <v>79</v>
      </c>
      <c r="DO43" s="1410">
        <v>77</v>
      </c>
      <c r="DP43" s="1410">
        <v>68</v>
      </c>
    </row>
    <row r="44" spans="1:120" x14ac:dyDescent="0.2">
      <c r="A44" s="637" t="str">
        <f>CONCATENATE(" ",Kulturen[[#This Row],[HF]])</f>
        <v xml:space="preserve"> Sommerfuttergerste</v>
      </c>
      <c r="B44" s="772" t="str" cm="1">
        <f t="array" ref="B44">IFERROR(INDEX(Kulturen[HF],_xlfn.AGGREGATE(15,6,(ROW(Kulturen[Auswahl])-7)/(--(SEARCH("x",Kulturen[Auswahl])&gt;0)),ROW()-7),1),"")</f>
        <v>Körnermais</v>
      </c>
      <c r="C44" s="772" t="str">
        <f>IF(Kulturen[[#This Row],[HF]]=$D$373,IF($C$6=0,0,"x"),IF($C$6=0,"x",Vorauswahl!C43))</f>
        <v>x</v>
      </c>
      <c r="D44" s="77" t="s">
        <v>19</v>
      </c>
      <c r="E44" s="77" t="s">
        <v>19</v>
      </c>
      <c r="F44" s="540" t="s">
        <v>538</v>
      </c>
      <c r="G44" s="540">
        <v>1</v>
      </c>
      <c r="H44" s="540">
        <v>8</v>
      </c>
      <c r="I44" s="540">
        <v>1</v>
      </c>
      <c r="J44" s="540">
        <v>90</v>
      </c>
      <c r="K44" s="540">
        <v>0.8</v>
      </c>
      <c r="L44" s="540">
        <v>1.04</v>
      </c>
      <c r="M44" s="540">
        <v>50</v>
      </c>
      <c r="N44" s="540">
        <v>0</v>
      </c>
      <c r="O44" s="540">
        <v>1</v>
      </c>
      <c r="P44" s="540">
        <v>0</v>
      </c>
      <c r="Q44" s="540">
        <v>140</v>
      </c>
      <c r="R44" s="540">
        <v>10</v>
      </c>
      <c r="S44" s="540">
        <v>10</v>
      </c>
      <c r="T44" s="540">
        <v>15</v>
      </c>
      <c r="U44" s="540">
        <v>0</v>
      </c>
      <c r="V44" s="540">
        <v>3</v>
      </c>
      <c r="W44" s="776">
        <f>IF(Kulturen[[#This Row],[Berechnungsschema]]=13,3,IF(Kulturen[[#This Row],[Berechnungsschema]]=6,2,1))</f>
        <v>1</v>
      </c>
      <c r="X44" s="776">
        <f>IF(Kulturen[[#This Row],[fruchtartengruppe]]=13,Kulturen[[#This Row],[NBedarfswert]],MAX(0,Kulturen[[#This Row],[NBedarfswert]]-Kulturen[[#This Row],[Ertrag]]*Kulturen[[#This Row],[Nfix]]))</f>
        <v>140</v>
      </c>
      <c r="Y44" s="1410">
        <v>56</v>
      </c>
      <c r="Z44" s="1410">
        <v>53</v>
      </c>
      <c r="AA44" s="1410">
        <v>55</v>
      </c>
      <c r="AB44" s="1410">
        <v>55</v>
      </c>
      <c r="AC44" s="1410">
        <v>54</v>
      </c>
      <c r="AD44" s="1410">
        <v>48</v>
      </c>
      <c r="AE44" s="1410">
        <v>63</v>
      </c>
      <c r="AF44" s="1410">
        <v>61</v>
      </c>
      <c r="AG44" s="1410">
        <v>52</v>
      </c>
      <c r="AH44" s="1410">
        <v>56</v>
      </c>
      <c r="AI44" s="1410">
        <v>54</v>
      </c>
      <c r="AJ44" s="1410">
        <v>69</v>
      </c>
      <c r="AK44" s="1410">
        <v>51</v>
      </c>
      <c r="AL44" s="1410">
        <v>66</v>
      </c>
      <c r="AM44" s="1410">
        <v>57</v>
      </c>
      <c r="AN44" s="1410">
        <v>53</v>
      </c>
      <c r="AO44" s="1410">
        <v>58</v>
      </c>
      <c r="AP44" s="1410">
        <v>55</v>
      </c>
      <c r="AQ44" s="1410">
        <v>54</v>
      </c>
      <c r="AR44" s="1410">
        <v>51</v>
      </c>
      <c r="AS44" s="1410">
        <v>53</v>
      </c>
      <c r="AT44" s="1410">
        <v>59</v>
      </c>
      <c r="AU44" s="1410">
        <v>51</v>
      </c>
      <c r="AV44" s="1410">
        <v>54</v>
      </c>
      <c r="AW44" s="1410">
        <v>52</v>
      </c>
      <c r="AX44" s="1410">
        <v>53</v>
      </c>
      <c r="AY44" s="1410">
        <v>52</v>
      </c>
      <c r="AZ44" s="1410">
        <v>48</v>
      </c>
      <c r="BA44" s="1410">
        <v>54</v>
      </c>
      <c r="BB44" s="1410">
        <v>54</v>
      </c>
      <c r="BC44" s="1410">
        <v>51</v>
      </c>
      <c r="BD44" s="1410">
        <v>50</v>
      </c>
      <c r="BE44" s="1410">
        <v>53</v>
      </c>
      <c r="BF44" s="1410">
        <v>51</v>
      </c>
      <c r="BG44" s="1410">
        <v>56</v>
      </c>
      <c r="BH44" s="1410">
        <v>50</v>
      </c>
      <c r="BI44" s="1410">
        <v>55</v>
      </c>
      <c r="BJ44" s="1410">
        <v>57</v>
      </c>
      <c r="BK44" s="1410">
        <v>47</v>
      </c>
      <c r="BL44" s="1410">
        <v>50</v>
      </c>
      <c r="BM44" s="1410">
        <v>50</v>
      </c>
      <c r="BN44" s="1410">
        <v>50</v>
      </c>
      <c r="BO44" s="1410">
        <v>44</v>
      </c>
      <c r="BP44" s="1410">
        <v>51</v>
      </c>
      <c r="BQ44" s="1410">
        <v>59</v>
      </c>
      <c r="BR44" s="1410">
        <v>52</v>
      </c>
      <c r="BS44" s="1410">
        <v>52</v>
      </c>
      <c r="BT44" s="1410">
        <v>52</v>
      </c>
      <c r="BU44" s="1410">
        <v>55</v>
      </c>
      <c r="BV44" s="1410">
        <v>45</v>
      </c>
      <c r="BW44" s="1410">
        <v>52</v>
      </c>
      <c r="BX44" s="1410">
        <v>52</v>
      </c>
      <c r="BY44" s="1410">
        <v>49</v>
      </c>
      <c r="BZ44" s="1410">
        <v>56</v>
      </c>
      <c r="CA44" s="1410">
        <v>41</v>
      </c>
      <c r="CB44" s="1410">
        <v>48</v>
      </c>
      <c r="CC44" s="1410">
        <v>44</v>
      </c>
      <c r="CD44" s="1410">
        <v>55</v>
      </c>
      <c r="CE44" s="1410">
        <v>53</v>
      </c>
      <c r="CF44" s="1410">
        <v>51</v>
      </c>
      <c r="CG44" s="1410">
        <v>53</v>
      </c>
      <c r="CH44" s="1410">
        <v>51</v>
      </c>
      <c r="CI44" s="1410">
        <v>51</v>
      </c>
      <c r="CJ44" s="1410">
        <v>46</v>
      </c>
      <c r="CK44" s="1410">
        <v>51</v>
      </c>
      <c r="CL44" s="1410">
        <v>53</v>
      </c>
      <c r="CM44" s="1410">
        <v>44</v>
      </c>
      <c r="CN44" s="1410">
        <v>52</v>
      </c>
      <c r="CO44" s="1410">
        <v>49</v>
      </c>
      <c r="CP44" s="1410">
        <v>50</v>
      </c>
      <c r="CQ44" s="1410">
        <v>53</v>
      </c>
      <c r="CR44" s="1410">
        <v>52</v>
      </c>
      <c r="CS44" s="1410">
        <v>56</v>
      </c>
      <c r="CT44" s="1410">
        <v>48</v>
      </c>
      <c r="CU44" s="1410">
        <v>53</v>
      </c>
      <c r="CV44" s="1410">
        <v>51</v>
      </c>
      <c r="CW44" s="1410">
        <v>47</v>
      </c>
      <c r="CX44" s="1410">
        <v>57</v>
      </c>
      <c r="CY44" s="1410">
        <v>59</v>
      </c>
      <c r="CZ44" s="1410">
        <v>47</v>
      </c>
      <c r="DA44" s="1410">
        <v>54</v>
      </c>
      <c r="DB44" s="1410">
        <v>59</v>
      </c>
      <c r="DC44" s="1410">
        <v>56</v>
      </c>
      <c r="DD44" s="1410">
        <v>53</v>
      </c>
      <c r="DE44" s="1410">
        <v>53</v>
      </c>
      <c r="DF44" s="1410">
        <v>54</v>
      </c>
      <c r="DG44" s="1410">
        <v>67</v>
      </c>
      <c r="DH44" s="1410">
        <v>61</v>
      </c>
      <c r="DI44" s="1410">
        <v>66</v>
      </c>
      <c r="DJ44" s="1410">
        <v>61</v>
      </c>
      <c r="DK44" s="1410">
        <v>63</v>
      </c>
      <c r="DL44" s="1410">
        <v>53</v>
      </c>
      <c r="DM44" s="1410">
        <v>70</v>
      </c>
      <c r="DN44" s="1410">
        <v>58</v>
      </c>
      <c r="DO44" s="1410">
        <v>53</v>
      </c>
      <c r="DP44" s="1410">
        <v>54</v>
      </c>
    </row>
    <row r="45" spans="1:120" x14ac:dyDescent="0.2">
      <c r="A45" s="637" t="str">
        <f>CONCATENATE(" ",Kulturen[[#This Row],[HF]])</f>
        <v xml:space="preserve"> Sommerbraugerste</v>
      </c>
      <c r="B45" s="772" t="str" cm="1">
        <f t="array" ref="B45">IFERROR(INDEX(Kulturen[HF],_xlfn.AGGREGATE(15,6,(ROW(Kulturen[Auswahl])-7)/(--(SEARCH("x",Kulturen[Auswahl])&gt;0)),ROW()-7),1),"")</f>
        <v>Hirse</v>
      </c>
      <c r="C45" s="772" t="str">
        <f>IF(Kulturen[[#This Row],[HF]]=$D$373,IF($C$6=0,0,"x"),IF($C$6=0,"x",Vorauswahl!C44))</f>
        <v>x</v>
      </c>
      <c r="D45" s="77" t="s">
        <v>20</v>
      </c>
      <c r="E45" s="77" t="s">
        <v>20</v>
      </c>
      <c r="F45" s="540" t="s">
        <v>539</v>
      </c>
      <c r="G45" s="540">
        <v>1</v>
      </c>
      <c r="H45" s="540">
        <v>8</v>
      </c>
      <c r="I45" s="540">
        <v>1</v>
      </c>
      <c r="J45" s="540">
        <v>90</v>
      </c>
      <c r="K45" s="540">
        <v>0.8</v>
      </c>
      <c r="L45" s="540">
        <v>1.01</v>
      </c>
      <c r="M45" s="540">
        <v>50</v>
      </c>
      <c r="N45" s="540">
        <v>0</v>
      </c>
      <c r="O45" s="540">
        <v>1</v>
      </c>
      <c r="P45" s="540">
        <v>0</v>
      </c>
      <c r="Q45" s="540">
        <v>120</v>
      </c>
      <c r="R45" s="540">
        <v>10</v>
      </c>
      <c r="S45" s="540">
        <v>10</v>
      </c>
      <c r="T45" s="540">
        <v>15</v>
      </c>
      <c r="U45" s="540">
        <v>0</v>
      </c>
      <c r="V45" s="540">
        <v>3</v>
      </c>
      <c r="W45" s="776">
        <f>IF(Kulturen[[#This Row],[Berechnungsschema]]=13,3,IF(Kulturen[[#This Row],[Berechnungsschema]]=6,2,1))</f>
        <v>1</v>
      </c>
      <c r="X45" s="776">
        <f>IF(Kulturen[[#This Row],[fruchtartengruppe]]=13,Kulturen[[#This Row],[NBedarfswert]],MAX(0,Kulturen[[#This Row],[NBedarfswert]]-Kulturen[[#This Row],[Ertrag]]*Kulturen[[#This Row],[Nfix]]))</f>
        <v>120</v>
      </c>
      <c r="Y45" s="1410">
        <v>56</v>
      </c>
      <c r="Z45" s="1410">
        <v>53</v>
      </c>
      <c r="AA45" s="1410">
        <v>55</v>
      </c>
      <c r="AB45" s="1410">
        <v>55</v>
      </c>
      <c r="AC45" s="1410">
        <v>54</v>
      </c>
      <c r="AD45" s="1410">
        <v>48</v>
      </c>
      <c r="AE45" s="1410">
        <v>63</v>
      </c>
      <c r="AF45" s="1410">
        <v>61</v>
      </c>
      <c r="AG45" s="1410">
        <v>52</v>
      </c>
      <c r="AH45" s="1410">
        <v>56</v>
      </c>
      <c r="AI45" s="1410">
        <v>54</v>
      </c>
      <c r="AJ45" s="1410">
        <v>69</v>
      </c>
      <c r="AK45" s="1410">
        <v>51</v>
      </c>
      <c r="AL45" s="1410">
        <v>66</v>
      </c>
      <c r="AM45" s="1410">
        <v>57</v>
      </c>
      <c r="AN45" s="1410">
        <v>53</v>
      </c>
      <c r="AO45" s="1410">
        <v>58</v>
      </c>
      <c r="AP45" s="1410">
        <v>55</v>
      </c>
      <c r="AQ45" s="1410">
        <v>54</v>
      </c>
      <c r="AR45" s="1410">
        <v>51</v>
      </c>
      <c r="AS45" s="1410">
        <v>53</v>
      </c>
      <c r="AT45" s="1410">
        <v>59</v>
      </c>
      <c r="AU45" s="1410">
        <v>51</v>
      </c>
      <c r="AV45" s="1410">
        <v>54</v>
      </c>
      <c r="AW45" s="1410">
        <v>52</v>
      </c>
      <c r="AX45" s="1410">
        <v>53</v>
      </c>
      <c r="AY45" s="1410">
        <v>52</v>
      </c>
      <c r="AZ45" s="1410">
        <v>48</v>
      </c>
      <c r="BA45" s="1410">
        <v>54</v>
      </c>
      <c r="BB45" s="1410">
        <v>54</v>
      </c>
      <c r="BC45" s="1410">
        <v>51</v>
      </c>
      <c r="BD45" s="1410">
        <v>50</v>
      </c>
      <c r="BE45" s="1410">
        <v>53</v>
      </c>
      <c r="BF45" s="1410">
        <v>51</v>
      </c>
      <c r="BG45" s="1410">
        <v>56</v>
      </c>
      <c r="BH45" s="1410">
        <v>50</v>
      </c>
      <c r="BI45" s="1410">
        <v>55</v>
      </c>
      <c r="BJ45" s="1410">
        <v>57</v>
      </c>
      <c r="BK45" s="1410">
        <v>47</v>
      </c>
      <c r="BL45" s="1410">
        <v>50</v>
      </c>
      <c r="BM45" s="1410">
        <v>50</v>
      </c>
      <c r="BN45" s="1410">
        <v>50</v>
      </c>
      <c r="BO45" s="1410">
        <v>44</v>
      </c>
      <c r="BP45" s="1410">
        <v>51</v>
      </c>
      <c r="BQ45" s="1410">
        <v>59</v>
      </c>
      <c r="BR45" s="1410">
        <v>52</v>
      </c>
      <c r="BS45" s="1410">
        <v>52</v>
      </c>
      <c r="BT45" s="1410">
        <v>52</v>
      </c>
      <c r="BU45" s="1410">
        <v>55</v>
      </c>
      <c r="BV45" s="1410">
        <v>45</v>
      </c>
      <c r="BW45" s="1410">
        <v>52</v>
      </c>
      <c r="BX45" s="1410">
        <v>52</v>
      </c>
      <c r="BY45" s="1410">
        <v>49</v>
      </c>
      <c r="BZ45" s="1410">
        <v>56</v>
      </c>
      <c r="CA45" s="1410">
        <v>41</v>
      </c>
      <c r="CB45" s="1410">
        <v>48</v>
      </c>
      <c r="CC45" s="1410">
        <v>44</v>
      </c>
      <c r="CD45" s="1410">
        <v>55</v>
      </c>
      <c r="CE45" s="1410">
        <v>53</v>
      </c>
      <c r="CF45" s="1410">
        <v>51</v>
      </c>
      <c r="CG45" s="1410">
        <v>53</v>
      </c>
      <c r="CH45" s="1410">
        <v>51</v>
      </c>
      <c r="CI45" s="1410">
        <v>51</v>
      </c>
      <c r="CJ45" s="1410">
        <v>46</v>
      </c>
      <c r="CK45" s="1410">
        <v>51</v>
      </c>
      <c r="CL45" s="1410">
        <v>53</v>
      </c>
      <c r="CM45" s="1410">
        <v>44</v>
      </c>
      <c r="CN45" s="1410">
        <v>52</v>
      </c>
      <c r="CO45" s="1410">
        <v>49</v>
      </c>
      <c r="CP45" s="1410">
        <v>50</v>
      </c>
      <c r="CQ45" s="1410">
        <v>53</v>
      </c>
      <c r="CR45" s="1410">
        <v>52</v>
      </c>
      <c r="CS45" s="1410">
        <v>56</v>
      </c>
      <c r="CT45" s="1410">
        <v>48</v>
      </c>
      <c r="CU45" s="1410">
        <v>53</v>
      </c>
      <c r="CV45" s="1410">
        <v>51</v>
      </c>
      <c r="CW45" s="1410">
        <v>47</v>
      </c>
      <c r="CX45" s="1410">
        <v>57</v>
      </c>
      <c r="CY45" s="1410">
        <v>59</v>
      </c>
      <c r="CZ45" s="1410">
        <v>47</v>
      </c>
      <c r="DA45" s="1410">
        <v>54</v>
      </c>
      <c r="DB45" s="1410">
        <v>59</v>
      </c>
      <c r="DC45" s="1410">
        <v>56</v>
      </c>
      <c r="DD45" s="1410">
        <v>53</v>
      </c>
      <c r="DE45" s="1410">
        <v>53</v>
      </c>
      <c r="DF45" s="1410">
        <v>54</v>
      </c>
      <c r="DG45" s="1410">
        <v>67</v>
      </c>
      <c r="DH45" s="1410">
        <v>61</v>
      </c>
      <c r="DI45" s="1410">
        <v>66</v>
      </c>
      <c r="DJ45" s="1410">
        <v>61</v>
      </c>
      <c r="DK45" s="1410">
        <v>63</v>
      </c>
      <c r="DL45" s="1410">
        <v>53</v>
      </c>
      <c r="DM45" s="1410">
        <v>70</v>
      </c>
      <c r="DN45" s="1410">
        <v>58</v>
      </c>
      <c r="DO45" s="1410">
        <v>53</v>
      </c>
      <c r="DP45" s="1410">
        <v>54</v>
      </c>
    </row>
    <row r="46" spans="1:120" x14ac:dyDescent="0.2">
      <c r="A46" s="637" t="str">
        <f>CONCATENATE(" ",Kulturen[[#This Row],[HF]])</f>
        <v xml:space="preserve"> Winterroggen</v>
      </c>
      <c r="B46" s="772" t="str" cm="1">
        <f t="array" ref="B46">IFERROR(INDEX(Kulturen[HF],_xlfn.AGGREGATE(15,6,(ROW(Kulturen[Auswahl])-7)/(--(SEARCH("x",Kulturen[Auswahl])&gt;0)),ROW()-7),1),"")</f>
        <v>Amarant</v>
      </c>
      <c r="C46" s="772" t="str">
        <f>IF(Kulturen[[#This Row],[HF]]=$D$373,IF($C$6=0,0,"x"),IF($C$6=0,"x",Vorauswahl!C45))</f>
        <v>x</v>
      </c>
      <c r="D46" s="77" t="s">
        <v>21</v>
      </c>
      <c r="E46" s="77" t="s">
        <v>21</v>
      </c>
      <c r="F46" s="540" t="s">
        <v>540</v>
      </c>
      <c r="G46" s="540">
        <v>1</v>
      </c>
      <c r="H46" s="540">
        <v>8</v>
      </c>
      <c r="I46" s="540">
        <v>1</v>
      </c>
      <c r="J46" s="540">
        <v>90</v>
      </c>
      <c r="K46" s="540">
        <v>0.8</v>
      </c>
      <c r="L46" s="540">
        <v>1.07</v>
      </c>
      <c r="M46" s="540">
        <v>70</v>
      </c>
      <c r="N46" s="540">
        <v>0</v>
      </c>
      <c r="O46" s="540">
        <v>1</v>
      </c>
      <c r="P46" s="540" t="s">
        <v>1581</v>
      </c>
      <c r="Q46" s="540">
        <v>170</v>
      </c>
      <c r="R46" s="540">
        <v>10</v>
      </c>
      <c r="S46" s="540">
        <v>10</v>
      </c>
      <c r="T46" s="540">
        <v>15</v>
      </c>
      <c r="U46" s="540">
        <v>0</v>
      </c>
      <c r="V46" s="540">
        <v>3</v>
      </c>
      <c r="W46" s="776">
        <f>IF(Kulturen[[#This Row],[Berechnungsschema]]=13,3,IF(Kulturen[[#This Row],[Berechnungsschema]]=6,2,1))</f>
        <v>1</v>
      </c>
      <c r="X46" s="776">
        <f>IF(Kulturen[[#This Row],[fruchtartengruppe]]=13,Kulturen[[#This Row],[NBedarfswert]],MAX(0,Kulturen[[#This Row],[NBedarfswert]]-Kulturen[[#This Row],[Ertrag]]*Kulturen[[#This Row],[Nfix]]))</f>
        <v>170</v>
      </c>
      <c r="Y46" s="1410">
        <v>56</v>
      </c>
      <c r="Z46" s="1410">
        <v>57</v>
      </c>
      <c r="AA46" s="1410">
        <v>54</v>
      </c>
      <c r="AB46" s="1410">
        <v>53</v>
      </c>
      <c r="AC46" s="1410">
        <v>54</v>
      </c>
      <c r="AD46" s="1410">
        <v>56</v>
      </c>
      <c r="AE46" s="1410">
        <v>55</v>
      </c>
      <c r="AF46" s="1410">
        <v>56</v>
      </c>
      <c r="AG46" s="1410">
        <v>62</v>
      </c>
      <c r="AH46" s="1410">
        <v>53</v>
      </c>
      <c r="AI46" s="1410">
        <v>48</v>
      </c>
      <c r="AJ46" s="1410">
        <v>58</v>
      </c>
      <c r="AK46" s="1410">
        <v>55</v>
      </c>
      <c r="AL46" s="1410">
        <v>66</v>
      </c>
      <c r="AM46" s="1410">
        <v>56</v>
      </c>
      <c r="AN46" s="1410">
        <v>55</v>
      </c>
      <c r="AO46" s="1410">
        <v>59</v>
      </c>
      <c r="AP46" s="1410">
        <v>64</v>
      </c>
      <c r="AQ46" s="1410">
        <v>58</v>
      </c>
      <c r="AR46" s="1410">
        <v>49</v>
      </c>
      <c r="AS46" s="1410">
        <v>53</v>
      </c>
      <c r="AT46" s="1410">
        <v>54</v>
      </c>
      <c r="AU46" s="1410">
        <v>52</v>
      </c>
      <c r="AV46" s="1410">
        <v>56</v>
      </c>
      <c r="AW46" s="1410">
        <v>53</v>
      </c>
      <c r="AX46" s="1410">
        <v>52</v>
      </c>
      <c r="AY46" s="1410">
        <v>53</v>
      </c>
      <c r="AZ46" s="1410">
        <v>53</v>
      </c>
      <c r="BA46" s="1410">
        <v>60</v>
      </c>
      <c r="BB46" s="1410">
        <v>47</v>
      </c>
      <c r="BC46" s="1410">
        <v>51</v>
      </c>
      <c r="BD46" s="1410">
        <v>53</v>
      </c>
      <c r="BE46" s="1410">
        <v>56</v>
      </c>
      <c r="BF46" s="1410">
        <v>55</v>
      </c>
      <c r="BG46" s="1410">
        <v>56</v>
      </c>
      <c r="BH46" s="1410">
        <v>52</v>
      </c>
      <c r="BI46" s="1410">
        <v>59</v>
      </c>
      <c r="BJ46" s="1410">
        <v>59</v>
      </c>
      <c r="BK46" s="1410">
        <v>52</v>
      </c>
      <c r="BL46" s="1410">
        <v>54</v>
      </c>
      <c r="BM46" s="1410">
        <v>55</v>
      </c>
      <c r="BN46" s="1410">
        <v>58</v>
      </c>
      <c r="BO46" s="1410">
        <v>59</v>
      </c>
      <c r="BP46" s="1410">
        <v>57</v>
      </c>
      <c r="BQ46" s="1410">
        <v>57</v>
      </c>
      <c r="BR46" s="1410">
        <v>51</v>
      </c>
      <c r="BS46" s="1410">
        <v>53</v>
      </c>
      <c r="BT46" s="1410">
        <v>55</v>
      </c>
      <c r="BU46" s="1410">
        <v>53</v>
      </c>
      <c r="BV46" s="1410">
        <v>49</v>
      </c>
      <c r="BW46" s="1410">
        <v>56</v>
      </c>
      <c r="BX46" s="1410">
        <v>54</v>
      </c>
      <c r="BY46" s="1410">
        <v>52</v>
      </c>
      <c r="BZ46" s="1410">
        <v>49</v>
      </c>
      <c r="CA46" s="1410">
        <v>52</v>
      </c>
      <c r="CB46" s="1410">
        <v>45</v>
      </c>
      <c r="CC46" s="1410">
        <v>53</v>
      </c>
      <c r="CD46" s="1410">
        <v>58</v>
      </c>
      <c r="CE46" s="1410">
        <v>56</v>
      </c>
      <c r="CF46" s="1410">
        <v>53</v>
      </c>
      <c r="CG46" s="1410">
        <v>54</v>
      </c>
      <c r="CH46" s="1410">
        <v>53</v>
      </c>
      <c r="CI46" s="1410">
        <v>54</v>
      </c>
      <c r="CJ46" s="1410">
        <v>58</v>
      </c>
      <c r="CK46" s="1410">
        <v>56</v>
      </c>
      <c r="CL46" s="1410">
        <v>58</v>
      </c>
      <c r="CM46" s="1410">
        <v>45</v>
      </c>
      <c r="CN46" s="1410">
        <v>64</v>
      </c>
      <c r="CO46" s="1410">
        <v>46</v>
      </c>
      <c r="CP46" s="1410">
        <v>49</v>
      </c>
      <c r="CQ46" s="1410">
        <v>55</v>
      </c>
      <c r="CR46" s="1410">
        <v>54</v>
      </c>
      <c r="CS46" s="1410">
        <v>60</v>
      </c>
      <c r="CT46" s="1410">
        <v>59</v>
      </c>
      <c r="CU46" s="1410">
        <v>43</v>
      </c>
      <c r="CV46" s="1410">
        <v>53</v>
      </c>
      <c r="CW46" s="1410">
        <v>52</v>
      </c>
      <c r="CX46" s="1410">
        <v>52</v>
      </c>
      <c r="CY46" s="1410">
        <v>60</v>
      </c>
      <c r="CZ46" s="1410">
        <v>50</v>
      </c>
      <c r="DA46" s="1410">
        <v>55</v>
      </c>
      <c r="DB46" s="1410">
        <v>55</v>
      </c>
      <c r="DC46" s="1410">
        <v>55</v>
      </c>
      <c r="DD46" s="1410">
        <v>54</v>
      </c>
      <c r="DE46" s="1410">
        <v>54</v>
      </c>
      <c r="DF46" s="1410">
        <v>54</v>
      </c>
      <c r="DG46" s="1410">
        <v>55</v>
      </c>
      <c r="DH46" s="1410">
        <v>57</v>
      </c>
      <c r="DI46" s="1410">
        <v>54</v>
      </c>
      <c r="DJ46" s="1410">
        <v>54</v>
      </c>
      <c r="DK46" s="1410">
        <v>56</v>
      </c>
      <c r="DL46" s="1410">
        <v>53</v>
      </c>
      <c r="DM46" s="1410">
        <v>54</v>
      </c>
      <c r="DN46" s="1410">
        <v>53</v>
      </c>
      <c r="DO46" s="1410">
        <v>53</v>
      </c>
      <c r="DP46" s="1410">
        <v>54</v>
      </c>
    </row>
    <row r="47" spans="1:120" x14ac:dyDescent="0.2">
      <c r="A47" s="637" t="str">
        <f>CONCATENATE(" ",Kulturen[[#This Row],[HF]])</f>
        <v xml:space="preserve"> Sommerroggen</v>
      </c>
      <c r="B47" s="772" t="str" cm="1">
        <f t="array" ref="B47">IFERROR(INDEX(Kulturen[HF],_xlfn.AGGREGATE(15,6,(ROW(Kulturen[Auswahl])-7)/(--(SEARCH("x",Kulturen[Auswahl])&gt;0)),ROW()-7),1),"")</f>
        <v>Buchweizen</v>
      </c>
      <c r="C47" s="772" t="str">
        <f>IF(Kulturen[[#This Row],[HF]]=$D$373,IF($C$6=0,0,"x"),IF($C$6=0,"x",Vorauswahl!C46))</f>
        <v>x</v>
      </c>
      <c r="D47" s="77" t="s">
        <v>22</v>
      </c>
      <c r="E47" s="77" t="s">
        <v>22</v>
      </c>
      <c r="F47" s="540" t="s">
        <v>541</v>
      </c>
      <c r="G47" s="540">
        <v>1</v>
      </c>
      <c r="H47" s="540">
        <v>8</v>
      </c>
      <c r="I47" s="540">
        <v>1</v>
      </c>
      <c r="J47" s="540">
        <v>90</v>
      </c>
      <c r="K47" s="540">
        <v>0.8</v>
      </c>
      <c r="L47" s="540">
        <v>1.07</v>
      </c>
      <c r="M47" s="540">
        <v>70</v>
      </c>
      <c r="N47" s="540">
        <v>0</v>
      </c>
      <c r="O47" s="540">
        <v>1</v>
      </c>
      <c r="P47" s="540">
        <v>0</v>
      </c>
      <c r="Q47" s="540">
        <v>170</v>
      </c>
      <c r="R47" s="540">
        <v>10</v>
      </c>
      <c r="S47" s="540">
        <v>10</v>
      </c>
      <c r="T47" s="540">
        <v>15</v>
      </c>
      <c r="U47" s="540">
        <v>0</v>
      </c>
      <c r="V47" s="540">
        <v>3</v>
      </c>
      <c r="W47" s="776">
        <f>IF(Kulturen[[#This Row],[Berechnungsschema]]=13,3,IF(Kulturen[[#This Row],[Berechnungsschema]]=6,2,1))</f>
        <v>1</v>
      </c>
      <c r="X47" s="776">
        <f>IF(Kulturen[[#This Row],[fruchtartengruppe]]=13,Kulturen[[#This Row],[NBedarfswert]],MAX(0,Kulturen[[#This Row],[NBedarfswert]]-Kulturen[[#This Row],[Ertrag]]*Kulturen[[#This Row],[Nfix]]))</f>
        <v>170</v>
      </c>
      <c r="Y47" s="776">
        <v>45</v>
      </c>
      <c r="Z47" s="776">
        <v>46</v>
      </c>
      <c r="AA47" s="776">
        <v>43</v>
      </c>
      <c r="AB47" s="776">
        <v>43</v>
      </c>
      <c r="AC47" s="776">
        <v>43</v>
      </c>
      <c r="AD47" s="776">
        <v>44</v>
      </c>
      <c r="AE47" s="776">
        <v>44</v>
      </c>
      <c r="AF47" s="776">
        <v>45</v>
      </c>
      <c r="AG47" s="776">
        <v>50</v>
      </c>
      <c r="AH47" s="776">
        <v>43</v>
      </c>
      <c r="AI47" s="776">
        <v>38</v>
      </c>
      <c r="AJ47" s="776">
        <v>46</v>
      </c>
      <c r="AK47" s="776">
        <v>44</v>
      </c>
      <c r="AL47" s="776">
        <v>53</v>
      </c>
      <c r="AM47" s="776">
        <v>44</v>
      </c>
      <c r="AN47" s="776">
        <v>44</v>
      </c>
      <c r="AO47" s="776">
        <v>47</v>
      </c>
      <c r="AP47" s="776">
        <v>51</v>
      </c>
      <c r="AQ47" s="776">
        <v>46</v>
      </c>
      <c r="AR47" s="776">
        <v>39</v>
      </c>
      <c r="AS47" s="776">
        <v>43</v>
      </c>
      <c r="AT47" s="776">
        <v>43</v>
      </c>
      <c r="AU47" s="776">
        <v>41</v>
      </c>
      <c r="AV47" s="776">
        <v>45</v>
      </c>
      <c r="AW47" s="776">
        <v>43</v>
      </c>
      <c r="AX47" s="776">
        <v>42</v>
      </c>
      <c r="AY47" s="776">
        <v>43</v>
      </c>
      <c r="AZ47" s="776">
        <v>43</v>
      </c>
      <c r="BA47" s="776">
        <v>48</v>
      </c>
      <c r="BB47" s="776">
        <v>38</v>
      </c>
      <c r="BC47" s="776">
        <v>41</v>
      </c>
      <c r="BD47" s="776">
        <v>43</v>
      </c>
      <c r="BE47" s="776">
        <v>45</v>
      </c>
      <c r="BF47" s="776">
        <v>44</v>
      </c>
      <c r="BG47" s="776">
        <v>45</v>
      </c>
      <c r="BH47" s="776">
        <v>42</v>
      </c>
      <c r="BI47" s="776">
        <v>47</v>
      </c>
      <c r="BJ47" s="776">
        <v>47</v>
      </c>
      <c r="BK47" s="776">
        <v>42</v>
      </c>
      <c r="BL47" s="776">
        <v>43</v>
      </c>
      <c r="BM47" s="776">
        <v>44</v>
      </c>
      <c r="BN47" s="776">
        <v>46</v>
      </c>
      <c r="BO47" s="776">
        <v>47</v>
      </c>
      <c r="BP47" s="776">
        <v>46</v>
      </c>
      <c r="BQ47" s="776">
        <v>45</v>
      </c>
      <c r="BR47" s="776">
        <v>41</v>
      </c>
      <c r="BS47" s="776">
        <v>43</v>
      </c>
      <c r="BT47" s="776">
        <v>44</v>
      </c>
      <c r="BU47" s="776">
        <v>43</v>
      </c>
      <c r="BV47" s="776">
        <v>39</v>
      </c>
      <c r="BW47" s="776">
        <v>45</v>
      </c>
      <c r="BX47" s="776">
        <v>43</v>
      </c>
      <c r="BY47" s="776">
        <v>42</v>
      </c>
      <c r="BZ47" s="776">
        <v>39</v>
      </c>
      <c r="CA47" s="776">
        <v>41</v>
      </c>
      <c r="CB47" s="776">
        <v>36</v>
      </c>
      <c r="CC47" s="776">
        <v>43</v>
      </c>
      <c r="CD47" s="776">
        <v>46</v>
      </c>
      <c r="CE47" s="776">
        <v>45</v>
      </c>
      <c r="CF47" s="776">
        <v>43</v>
      </c>
      <c r="CG47" s="776">
        <v>43</v>
      </c>
      <c r="CH47" s="776">
        <v>43</v>
      </c>
      <c r="CI47" s="776">
        <v>43</v>
      </c>
      <c r="CJ47" s="776">
        <v>47</v>
      </c>
      <c r="CK47" s="776">
        <v>45</v>
      </c>
      <c r="CL47" s="776">
        <v>47</v>
      </c>
      <c r="CM47" s="776">
        <v>36</v>
      </c>
      <c r="CN47" s="776">
        <v>51</v>
      </c>
      <c r="CO47" s="776">
        <v>36</v>
      </c>
      <c r="CP47" s="776">
        <v>40</v>
      </c>
      <c r="CQ47" s="776">
        <v>44</v>
      </c>
      <c r="CR47" s="776">
        <v>44</v>
      </c>
      <c r="CS47" s="776">
        <v>48</v>
      </c>
      <c r="CT47" s="776">
        <v>47</v>
      </c>
      <c r="CU47" s="776">
        <v>34</v>
      </c>
      <c r="CV47" s="776">
        <v>43</v>
      </c>
      <c r="CW47" s="776">
        <v>42</v>
      </c>
      <c r="CX47" s="776">
        <v>42</v>
      </c>
      <c r="CY47" s="776">
        <v>48</v>
      </c>
      <c r="CZ47" s="776">
        <v>40</v>
      </c>
      <c r="DA47" s="776">
        <v>44</v>
      </c>
      <c r="DB47" s="776">
        <v>44</v>
      </c>
      <c r="DC47" s="776">
        <v>44</v>
      </c>
      <c r="DD47" s="776">
        <v>44</v>
      </c>
      <c r="DE47" s="776">
        <v>44</v>
      </c>
      <c r="DF47" s="776">
        <v>44</v>
      </c>
      <c r="DG47" s="776">
        <v>44</v>
      </c>
      <c r="DH47" s="776">
        <v>45</v>
      </c>
      <c r="DI47" s="776">
        <v>43</v>
      </c>
      <c r="DJ47" s="776">
        <v>43</v>
      </c>
      <c r="DK47" s="776">
        <v>45</v>
      </c>
      <c r="DL47" s="776">
        <v>43</v>
      </c>
      <c r="DM47" s="776">
        <v>43</v>
      </c>
      <c r="DN47" s="776">
        <v>43</v>
      </c>
      <c r="DO47" s="776">
        <v>43</v>
      </c>
      <c r="DP47" s="776">
        <v>44</v>
      </c>
    </row>
    <row r="48" spans="1:120" x14ac:dyDescent="0.2">
      <c r="A48" s="637" t="str">
        <f>CONCATENATE(" ",Kulturen[[#This Row],[HF]])</f>
        <v xml:space="preserve"> Hafer</v>
      </c>
      <c r="B48" s="772" t="str" cm="1">
        <f t="array" ref="B48">IFERROR(INDEX(Kulturen[HF],_xlfn.AGGREGATE(15,6,(ROW(Kulturen[Auswahl])-7)/(--(SEARCH("x",Kulturen[Auswahl])&gt;0)),ROW()-7),1),"")</f>
        <v>Quinoa</v>
      </c>
      <c r="C48" s="772" t="str">
        <f>IF(Kulturen[[#This Row],[HF]]=$D$373,IF($C$6=0,0,"x"),IF($C$6=0,"x",Vorauswahl!C47))</f>
        <v>x</v>
      </c>
      <c r="D48" s="77" t="s">
        <v>2</v>
      </c>
      <c r="E48" s="77" t="s">
        <v>2</v>
      </c>
      <c r="F48" s="540" t="s">
        <v>115</v>
      </c>
      <c r="G48" s="540">
        <v>1</v>
      </c>
      <c r="H48" s="540">
        <v>8</v>
      </c>
      <c r="I48" s="540">
        <v>1</v>
      </c>
      <c r="J48" s="540">
        <v>90</v>
      </c>
      <c r="K48" s="540">
        <v>0.8</v>
      </c>
      <c r="L48" s="540">
        <v>1.1299999999999999</v>
      </c>
      <c r="M48" s="540">
        <v>55</v>
      </c>
      <c r="N48" s="540">
        <v>0</v>
      </c>
      <c r="O48" s="540">
        <v>1</v>
      </c>
      <c r="P48" s="540">
        <v>0</v>
      </c>
      <c r="Q48" s="540">
        <v>130</v>
      </c>
      <c r="R48" s="540">
        <v>10</v>
      </c>
      <c r="S48" s="540">
        <v>10</v>
      </c>
      <c r="T48" s="540">
        <v>15</v>
      </c>
      <c r="U48" s="540">
        <v>0</v>
      </c>
      <c r="V48" s="540">
        <v>3</v>
      </c>
      <c r="W48" s="776">
        <f>IF(Kulturen[[#This Row],[Berechnungsschema]]=13,3,IF(Kulturen[[#This Row],[Berechnungsschema]]=6,2,1))</f>
        <v>1</v>
      </c>
      <c r="X48" s="776">
        <f>IF(Kulturen[[#This Row],[fruchtartengruppe]]=13,Kulturen[[#This Row],[NBedarfswert]],MAX(0,Kulturen[[#This Row],[NBedarfswert]]-Kulturen[[#This Row],[Ertrag]]*Kulturen[[#This Row],[Nfix]]))</f>
        <v>130</v>
      </c>
      <c r="Y48" s="1410">
        <v>50</v>
      </c>
      <c r="Z48" s="1410">
        <v>51</v>
      </c>
      <c r="AA48" s="1410">
        <v>49</v>
      </c>
      <c r="AB48" s="1410">
        <v>53</v>
      </c>
      <c r="AC48" s="1410">
        <v>49</v>
      </c>
      <c r="AD48" s="1410">
        <v>43</v>
      </c>
      <c r="AE48" s="1410">
        <v>58</v>
      </c>
      <c r="AF48" s="1410">
        <v>51</v>
      </c>
      <c r="AG48" s="1410">
        <v>50</v>
      </c>
      <c r="AH48" s="1410">
        <v>46</v>
      </c>
      <c r="AI48" s="1410">
        <v>52</v>
      </c>
      <c r="AJ48" s="1410">
        <v>48</v>
      </c>
      <c r="AK48" s="1410">
        <v>45</v>
      </c>
      <c r="AL48" s="1410">
        <v>58</v>
      </c>
      <c r="AM48" s="1410">
        <v>49</v>
      </c>
      <c r="AN48" s="1410">
        <v>53</v>
      </c>
      <c r="AO48" s="1410">
        <v>51</v>
      </c>
      <c r="AP48" s="1410">
        <v>58</v>
      </c>
      <c r="AQ48" s="1410">
        <v>47</v>
      </c>
      <c r="AR48" s="1410">
        <v>47</v>
      </c>
      <c r="AS48" s="1410">
        <v>48</v>
      </c>
      <c r="AT48" s="1410">
        <v>51</v>
      </c>
      <c r="AU48" s="1410">
        <v>46</v>
      </c>
      <c r="AV48" s="1410">
        <v>47</v>
      </c>
      <c r="AW48" s="1410">
        <v>48</v>
      </c>
      <c r="AX48" s="1410">
        <v>48</v>
      </c>
      <c r="AY48" s="1410">
        <v>48</v>
      </c>
      <c r="AZ48" s="1410">
        <v>45</v>
      </c>
      <c r="BA48" s="1410">
        <v>56</v>
      </c>
      <c r="BB48" s="1410">
        <v>51</v>
      </c>
      <c r="BC48" s="1410">
        <v>46</v>
      </c>
      <c r="BD48" s="1410">
        <v>46</v>
      </c>
      <c r="BE48" s="1410">
        <v>46</v>
      </c>
      <c r="BF48" s="1410">
        <v>49</v>
      </c>
      <c r="BG48" s="1410">
        <v>51</v>
      </c>
      <c r="BH48" s="1410">
        <v>45</v>
      </c>
      <c r="BI48" s="1410">
        <v>47</v>
      </c>
      <c r="BJ48" s="1410">
        <v>46</v>
      </c>
      <c r="BK48" s="1410">
        <v>43</v>
      </c>
      <c r="BL48" s="1410">
        <v>47</v>
      </c>
      <c r="BM48" s="1410">
        <v>48</v>
      </c>
      <c r="BN48" s="1410">
        <v>45</v>
      </c>
      <c r="BO48" s="1410">
        <v>44</v>
      </c>
      <c r="BP48" s="1410">
        <v>42</v>
      </c>
      <c r="BQ48" s="1410">
        <v>46</v>
      </c>
      <c r="BR48" s="1410">
        <v>47</v>
      </c>
      <c r="BS48" s="1410">
        <v>46</v>
      </c>
      <c r="BT48" s="1410">
        <v>46</v>
      </c>
      <c r="BU48" s="1410">
        <v>47</v>
      </c>
      <c r="BV48" s="1410">
        <v>39</v>
      </c>
      <c r="BW48" s="1410">
        <v>47</v>
      </c>
      <c r="BX48" s="1410">
        <v>44</v>
      </c>
      <c r="BY48" s="1410">
        <v>40</v>
      </c>
      <c r="BZ48" s="1410">
        <v>40</v>
      </c>
      <c r="CA48" s="1410">
        <v>36</v>
      </c>
      <c r="CB48" s="1410">
        <v>45</v>
      </c>
      <c r="CC48" s="1410">
        <v>45</v>
      </c>
      <c r="CD48" s="1410">
        <v>48</v>
      </c>
      <c r="CE48" s="1410">
        <v>48</v>
      </c>
      <c r="CF48" s="1410">
        <v>45</v>
      </c>
      <c r="CG48" s="1410">
        <v>45</v>
      </c>
      <c r="CH48" s="1410">
        <v>45</v>
      </c>
      <c r="CI48" s="1410">
        <v>50</v>
      </c>
      <c r="CJ48" s="1410">
        <v>43</v>
      </c>
      <c r="CK48" s="1410">
        <v>41</v>
      </c>
      <c r="CL48" s="1410">
        <v>45</v>
      </c>
      <c r="CM48" s="1410">
        <v>41</v>
      </c>
      <c r="CN48" s="1410">
        <v>47</v>
      </c>
      <c r="CO48" s="1410">
        <v>47</v>
      </c>
      <c r="CP48" s="1410">
        <v>50</v>
      </c>
      <c r="CQ48" s="1410">
        <v>45</v>
      </c>
      <c r="CR48" s="1410">
        <v>47</v>
      </c>
      <c r="CS48" s="1410">
        <v>47</v>
      </c>
      <c r="CT48" s="1410">
        <v>46</v>
      </c>
      <c r="CU48" s="1410">
        <v>34</v>
      </c>
      <c r="CV48" s="1410">
        <v>41</v>
      </c>
      <c r="CW48" s="1410">
        <v>43</v>
      </c>
      <c r="CX48" s="1410">
        <v>39</v>
      </c>
      <c r="CY48" s="1410">
        <v>46</v>
      </c>
      <c r="CZ48" s="1410">
        <v>40</v>
      </c>
      <c r="DA48" s="1410">
        <v>40</v>
      </c>
      <c r="DB48" s="1410">
        <v>45</v>
      </c>
      <c r="DC48" s="1410">
        <v>48</v>
      </c>
      <c r="DD48" s="1410">
        <v>46</v>
      </c>
      <c r="DE48" s="1410">
        <v>47</v>
      </c>
      <c r="DF48" s="1410">
        <v>47</v>
      </c>
      <c r="DG48" s="1410">
        <v>52</v>
      </c>
      <c r="DH48" s="1410">
        <v>60</v>
      </c>
      <c r="DI48" s="1410">
        <v>48</v>
      </c>
      <c r="DJ48" s="1410">
        <v>52</v>
      </c>
      <c r="DK48" s="1410">
        <v>60</v>
      </c>
      <c r="DL48" s="1410">
        <v>47</v>
      </c>
      <c r="DM48" s="1410">
        <v>48</v>
      </c>
      <c r="DN48" s="1410">
        <v>48</v>
      </c>
      <c r="DO48" s="1410">
        <v>48</v>
      </c>
      <c r="DP48" s="1410">
        <v>47</v>
      </c>
    </row>
    <row r="49" spans="1:120" x14ac:dyDescent="0.2">
      <c r="A49" s="637" t="str">
        <f>CONCATENATE(" ",Kulturen[[#This Row],[HF]])</f>
        <v xml:space="preserve"> Triticale</v>
      </c>
      <c r="B49" s="772" t="str" cm="1">
        <f t="array" ref="B49">IFERROR(INDEX(Kulturen[HF],_xlfn.AGGREGATE(15,6,(ROW(Kulturen[Auswahl])-7)/(--(SEARCH("x",Kulturen[Auswahl])&gt;0)),ROW()-7),1),"")</f>
        <v>+++Körnerleguminosen+++</v>
      </c>
      <c r="C49" s="772" t="str">
        <f>IF(Kulturen[[#This Row],[HF]]=$D$373,IF($C$6=0,0,"x"),IF($C$6=0,"x",Vorauswahl!C48))</f>
        <v>x</v>
      </c>
      <c r="D49" s="77" t="s">
        <v>3</v>
      </c>
      <c r="E49" s="77" t="s">
        <v>3</v>
      </c>
      <c r="F49" s="540" t="s">
        <v>542</v>
      </c>
      <c r="G49" s="540">
        <v>1</v>
      </c>
      <c r="H49" s="540">
        <v>8</v>
      </c>
      <c r="I49" s="540">
        <v>1</v>
      </c>
      <c r="J49" s="540">
        <v>90</v>
      </c>
      <c r="K49" s="540">
        <v>0.8</v>
      </c>
      <c r="L49" s="540">
        <v>1.07</v>
      </c>
      <c r="M49" s="540">
        <v>70</v>
      </c>
      <c r="N49" s="540">
        <v>0</v>
      </c>
      <c r="O49" s="540">
        <v>1</v>
      </c>
      <c r="P49" s="540" t="s">
        <v>1581</v>
      </c>
      <c r="Q49" s="540">
        <v>190</v>
      </c>
      <c r="R49" s="540">
        <v>10</v>
      </c>
      <c r="S49" s="540">
        <v>10</v>
      </c>
      <c r="T49" s="540">
        <v>15</v>
      </c>
      <c r="U49" s="540">
        <v>0</v>
      </c>
      <c r="V49" s="540">
        <v>3</v>
      </c>
      <c r="W49" s="776">
        <f>IF(Kulturen[[#This Row],[Berechnungsschema]]=13,3,IF(Kulturen[[#This Row],[Berechnungsschema]]=6,2,1))</f>
        <v>1</v>
      </c>
      <c r="X49" s="776">
        <f>IF(Kulturen[[#This Row],[fruchtartengruppe]]=13,Kulturen[[#This Row],[NBedarfswert]],MAX(0,Kulturen[[#This Row],[NBedarfswert]]-Kulturen[[#This Row],[Ertrag]]*Kulturen[[#This Row],[Nfix]]))</f>
        <v>190</v>
      </c>
      <c r="Y49" s="1410">
        <v>63</v>
      </c>
      <c r="Z49" s="1410">
        <v>61</v>
      </c>
      <c r="AA49" s="1410">
        <v>60</v>
      </c>
      <c r="AB49" s="1410">
        <v>63</v>
      </c>
      <c r="AC49" s="1410">
        <v>61</v>
      </c>
      <c r="AD49" s="1410">
        <v>54</v>
      </c>
      <c r="AE49" s="1410">
        <v>65</v>
      </c>
      <c r="AF49" s="1410">
        <v>63</v>
      </c>
      <c r="AG49" s="1410">
        <v>66</v>
      </c>
      <c r="AH49" s="1410">
        <v>64</v>
      </c>
      <c r="AI49" s="1410">
        <v>62</v>
      </c>
      <c r="AJ49" s="1410">
        <v>61</v>
      </c>
      <c r="AK49" s="1410">
        <v>62</v>
      </c>
      <c r="AL49" s="1410">
        <v>62</v>
      </c>
      <c r="AM49" s="1410">
        <v>63</v>
      </c>
      <c r="AN49" s="1410">
        <v>62</v>
      </c>
      <c r="AO49" s="1410">
        <v>65</v>
      </c>
      <c r="AP49" s="1410">
        <v>68</v>
      </c>
      <c r="AQ49" s="1410">
        <v>61</v>
      </c>
      <c r="AR49" s="1410">
        <v>58</v>
      </c>
      <c r="AS49" s="1410">
        <v>64</v>
      </c>
      <c r="AT49" s="1410">
        <v>64</v>
      </c>
      <c r="AU49" s="1410">
        <v>58</v>
      </c>
      <c r="AV49" s="1410">
        <v>64</v>
      </c>
      <c r="AW49" s="1410">
        <v>63</v>
      </c>
      <c r="AX49" s="1410">
        <v>61</v>
      </c>
      <c r="AY49" s="1410">
        <v>65</v>
      </c>
      <c r="AZ49" s="1410">
        <v>59</v>
      </c>
      <c r="BA49" s="1410">
        <v>68</v>
      </c>
      <c r="BB49" s="1410">
        <v>65</v>
      </c>
      <c r="BC49" s="1410">
        <v>63</v>
      </c>
      <c r="BD49" s="1410">
        <v>59</v>
      </c>
      <c r="BE49" s="1410">
        <v>62</v>
      </c>
      <c r="BF49" s="1410">
        <v>69</v>
      </c>
      <c r="BG49" s="1410">
        <v>67</v>
      </c>
      <c r="BH49" s="1410">
        <v>63</v>
      </c>
      <c r="BI49" s="1410">
        <v>66</v>
      </c>
      <c r="BJ49" s="1410">
        <v>63</v>
      </c>
      <c r="BK49" s="1410">
        <v>63</v>
      </c>
      <c r="BL49" s="1410">
        <v>63</v>
      </c>
      <c r="BM49" s="1410">
        <v>62</v>
      </c>
      <c r="BN49" s="1410">
        <v>61</v>
      </c>
      <c r="BO49" s="1410">
        <v>56</v>
      </c>
      <c r="BP49" s="1410">
        <v>64</v>
      </c>
      <c r="BQ49" s="1410">
        <v>68</v>
      </c>
      <c r="BR49" s="1410">
        <v>61</v>
      </c>
      <c r="BS49" s="1410">
        <v>62</v>
      </c>
      <c r="BT49" s="1410">
        <v>63</v>
      </c>
      <c r="BU49" s="1410">
        <v>64</v>
      </c>
      <c r="BV49" s="1410">
        <v>58</v>
      </c>
      <c r="BW49" s="1410">
        <v>61</v>
      </c>
      <c r="BX49" s="1410">
        <v>65</v>
      </c>
      <c r="BY49" s="1410">
        <v>62</v>
      </c>
      <c r="BZ49" s="1410">
        <v>61</v>
      </c>
      <c r="CA49" s="1410">
        <v>46</v>
      </c>
      <c r="CB49" s="1410">
        <v>53</v>
      </c>
      <c r="CC49" s="1410">
        <v>60</v>
      </c>
      <c r="CD49" s="1410">
        <v>60</v>
      </c>
      <c r="CE49" s="1410">
        <v>64</v>
      </c>
      <c r="CF49" s="1410">
        <v>61</v>
      </c>
      <c r="CG49" s="1410">
        <v>63</v>
      </c>
      <c r="CH49" s="1410">
        <v>61</v>
      </c>
      <c r="CI49" s="1410">
        <v>61</v>
      </c>
      <c r="CJ49" s="1410">
        <v>65</v>
      </c>
      <c r="CK49" s="1410">
        <v>61</v>
      </c>
      <c r="CL49" s="1410">
        <v>64</v>
      </c>
      <c r="CM49" s="1410">
        <v>51</v>
      </c>
      <c r="CN49" s="1410">
        <v>63</v>
      </c>
      <c r="CO49" s="1410">
        <v>53</v>
      </c>
      <c r="CP49" s="1410">
        <v>70</v>
      </c>
      <c r="CQ49" s="1410">
        <v>63</v>
      </c>
      <c r="CR49" s="1410">
        <v>63</v>
      </c>
      <c r="CS49" s="1410">
        <v>63</v>
      </c>
      <c r="CT49" s="1410">
        <v>61</v>
      </c>
      <c r="CU49" s="1410">
        <v>49</v>
      </c>
      <c r="CV49" s="1410">
        <v>46</v>
      </c>
      <c r="CW49" s="1410">
        <v>59</v>
      </c>
      <c r="CX49" s="1410">
        <v>61</v>
      </c>
      <c r="CY49" s="1410">
        <v>61</v>
      </c>
      <c r="CZ49" s="1410">
        <v>56</v>
      </c>
      <c r="DA49" s="1410">
        <v>61</v>
      </c>
      <c r="DB49" s="1410">
        <v>64</v>
      </c>
      <c r="DC49" s="1410">
        <v>66</v>
      </c>
      <c r="DD49" s="1410">
        <v>63</v>
      </c>
      <c r="DE49" s="1410">
        <v>62</v>
      </c>
      <c r="DF49" s="1410">
        <v>63</v>
      </c>
      <c r="DG49" s="1410">
        <v>63</v>
      </c>
      <c r="DH49" s="1410">
        <v>65</v>
      </c>
      <c r="DI49" s="1410">
        <v>64</v>
      </c>
      <c r="DJ49" s="1410">
        <v>65</v>
      </c>
      <c r="DK49" s="1410">
        <v>66</v>
      </c>
      <c r="DL49" s="1410">
        <v>62</v>
      </c>
      <c r="DM49" s="1410">
        <v>62</v>
      </c>
      <c r="DN49" s="1410">
        <v>62</v>
      </c>
      <c r="DO49" s="1410">
        <v>77</v>
      </c>
      <c r="DP49" s="1410">
        <v>62</v>
      </c>
    </row>
    <row r="50" spans="1:120" x14ac:dyDescent="0.2">
      <c r="A50" s="637" t="str">
        <f>CONCATENATE(" ",Kulturen[[#This Row],[HF]])</f>
        <v xml:space="preserve"> Dinkel</v>
      </c>
      <c r="B50" s="772" t="str" cm="1">
        <f t="array" ref="B50">IFERROR(INDEX(Kulturen[HF],_xlfn.AGGREGATE(15,6,(ROW(Kulturen[Auswahl])-7)/(--(SEARCH("x",Kulturen[Auswahl])&gt;0)),ROW()-7),1),"")</f>
        <v>Ackerbohnen</v>
      </c>
      <c r="C50" s="772" t="str">
        <f>IF(Kulturen[[#This Row],[HF]]=$D$373,IF($C$6=0,0,"x"),IF($C$6=0,"x",Vorauswahl!C49))</f>
        <v>x</v>
      </c>
      <c r="D50" s="77" t="s">
        <v>543</v>
      </c>
      <c r="E50" s="77" t="s">
        <v>543</v>
      </c>
      <c r="F50" s="540" t="s">
        <v>544</v>
      </c>
      <c r="G50" s="540">
        <v>1</v>
      </c>
      <c r="H50" s="540">
        <v>8</v>
      </c>
      <c r="I50" s="540">
        <v>1</v>
      </c>
      <c r="J50" s="540">
        <v>90</v>
      </c>
      <c r="K50" s="540">
        <v>0.8</v>
      </c>
      <c r="L50" s="540">
        <v>1.04</v>
      </c>
      <c r="M50" s="540">
        <v>60</v>
      </c>
      <c r="N50" s="540">
        <v>0</v>
      </c>
      <c r="O50" s="540">
        <v>1</v>
      </c>
      <c r="P50" s="540" t="s">
        <v>1581</v>
      </c>
      <c r="Q50" s="540">
        <v>200</v>
      </c>
      <c r="R50" s="540">
        <v>10</v>
      </c>
      <c r="S50" s="540">
        <v>10</v>
      </c>
      <c r="T50" s="540">
        <v>15</v>
      </c>
      <c r="U50" s="540">
        <v>0</v>
      </c>
      <c r="V50" s="540">
        <v>3</v>
      </c>
      <c r="W50" s="776">
        <f>IF(Kulturen[[#This Row],[Berechnungsschema]]=13,3,IF(Kulturen[[#This Row],[Berechnungsschema]]=6,2,1))</f>
        <v>1</v>
      </c>
      <c r="X50" s="776">
        <f>IF(Kulturen[[#This Row],[fruchtartengruppe]]=13,Kulturen[[#This Row],[NBedarfswert]],MAX(0,Kulturen[[#This Row],[NBedarfswert]]-Kulturen[[#This Row],[Ertrag]]*Kulturen[[#This Row],[Nfix]]))</f>
        <v>200</v>
      </c>
      <c r="Y50" s="1417">
        <v>62</v>
      </c>
      <c r="Z50" s="1417">
        <v>61</v>
      </c>
      <c r="AA50" s="1417">
        <v>62</v>
      </c>
      <c r="AB50" s="1417">
        <v>63</v>
      </c>
      <c r="AC50" s="1417">
        <v>60</v>
      </c>
      <c r="AD50" s="1417">
        <v>58</v>
      </c>
      <c r="AE50" s="1417">
        <v>69</v>
      </c>
      <c r="AF50" s="1417">
        <v>68</v>
      </c>
      <c r="AG50" s="1417">
        <v>64</v>
      </c>
      <c r="AH50" s="1417">
        <v>68</v>
      </c>
      <c r="AI50" s="1417">
        <v>63</v>
      </c>
      <c r="AJ50" s="1417">
        <v>70</v>
      </c>
      <c r="AK50" s="1417">
        <v>61</v>
      </c>
      <c r="AL50" s="1417">
        <v>69</v>
      </c>
      <c r="AM50" s="1417">
        <v>63</v>
      </c>
      <c r="AN50" s="1417">
        <v>65</v>
      </c>
      <c r="AO50" s="1417">
        <v>55</v>
      </c>
      <c r="AP50" s="1417">
        <v>66</v>
      </c>
      <c r="AQ50" s="1417">
        <v>60</v>
      </c>
      <c r="AR50" s="1417">
        <v>50</v>
      </c>
      <c r="AS50" s="1417">
        <v>60</v>
      </c>
      <c r="AT50" s="1417">
        <v>64</v>
      </c>
      <c r="AU50" s="1417">
        <v>56</v>
      </c>
      <c r="AV50" s="1417">
        <v>62</v>
      </c>
      <c r="AW50" s="1417">
        <v>61</v>
      </c>
      <c r="AX50" s="1417">
        <v>61</v>
      </c>
      <c r="AY50" s="1417">
        <v>69</v>
      </c>
      <c r="AZ50" s="1417">
        <v>54</v>
      </c>
      <c r="BA50" s="1417">
        <v>67</v>
      </c>
      <c r="BB50" s="1417">
        <v>66</v>
      </c>
      <c r="BC50" s="1417">
        <v>65</v>
      </c>
      <c r="BD50" s="1417">
        <v>59</v>
      </c>
      <c r="BE50" s="1417">
        <v>63</v>
      </c>
      <c r="BF50" s="1417">
        <v>69</v>
      </c>
      <c r="BG50" s="1417">
        <v>67</v>
      </c>
      <c r="BH50" s="1417">
        <v>61</v>
      </c>
      <c r="BI50" s="1417">
        <v>65</v>
      </c>
      <c r="BJ50" s="1417">
        <v>61</v>
      </c>
      <c r="BK50" s="1417">
        <v>58</v>
      </c>
      <c r="BL50" s="1417">
        <v>58</v>
      </c>
      <c r="BM50" s="1417">
        <v>61</v>
      </c>
      <c r="BN50" s="1417">
        <v>59</v>
      </c>
      <c r="BO50" s="1417">
        <v>66</v>
      </c>
      <c r="BP50" s="1417">
        <v>59</v>
      </c>
      <c r="BQ50" s="1417">
        <v>63</v>
      </c>
      <c r="BR50" s="1417">
        <v>60</v>
      </c>
      <c r="BS50" s="1417">
        <v>62</v>
      </c>
      <c r="BT50" s="1417">
        <v>61</v>
      </c>
      <c r="BU50" s="1417">
        <v>61</v>
      </c>
      <c r="BV50" s="1417">
        <v>52</v>
      </c>
      <c r="BW50" s="1417">
        <v>56</v>
      </c>
      <c r="BX50" s="1417">
        <v>58</v>
      </c>
      <c r="BY50" s="1417">
        <v>56</v>
      </c>
      <c r="BZ50" s="1417">
        <v>51</v>
      </c>
      <c r="CA50" s="1417">
        <v>50</v>
      </c>
      <c r="CB50" s="1417">
        <v>54</v>
      </c>
      <c r="CC50" s="1417">
        <v>54</v>
      </c>
      <c r="CD50" s="1417">
        <v>57</v>
      </c>
      <c r="CE50" s="1417">
        <v>61</v>
      </c>
      <c r="CF50" s="1417">
        <v>58</v>
      </c>
      <c r="CG50" s="1417">
        <v>57</v>
      </c>
      <c r="CH50" s="1417">
        <v>61</v>
      </c>
      <c r="CI50" s="1417">
        <v>61</v>
      </c>
      <c r="CJ50" s="1417">
        <v>57</v>
      </c>
      <c r="CK50" s="1417">
        <v>54</v>
      </c>
      <c r="CL50" s="1417">
        <v>55</v>
      </c>
      <c r="CM50" s="1417">
        <v>48</v>
      </c>
      <c r="CN50" s="1417">
        <v>59</v>
      </c>
      <c r="CO50" s="1417">
        <v>52</v>
      </c>
      <c r="CP50" s="1417">
        <v>62</v>
      </c>
      <c r="CQ50" s="1417">
        <v>61</v>
      </c>
      <c r="CR50" s="1417">
        <v>61</v>
      </c>
      <c r="CS50" s="1417">
        <v>63</v>
      </c>
      <c r="CT50" s="1417">
        <v>56</v>
      </c>
      <c r="CU50" s="1417">
        <v>53</v>
      </c>
      <c r="CV50" s="1417">
        <v>55</v>
      </c>
      <c r="CW50" s="1417">
        <v>51</v>
      </c>
      <c r="CX50" s="1417">
        <v>57</v>
      </c>
      <c r="CY50" s="1417">
        <v>69</v>
      </c>
      <c r="CZ50" s="1417">
        <v>57</v>
      </c>
      <c r="DA50" s="1417">
        <v>56</v>
      </c>
      <c r="DB50" s="1417">
        <v>62</v>
      </c>
      <c r="DC50" s="1417">
        <v>64</v>
      </c>
      <c r="DD50" s="1417">
        <v>62</v>
      </c>
      <c r="DE50" s="1417">
        <v>61</v>
      </c>
      <c r="DF50" s="1417">
        <v>64</v>
      </c>
      <c r="DG50" s="1417">
        <v>71</v>
      </c>
      <c r="DH50" s="1417">
        <v>66</v>
      </c>
      <c r="DI50" s="1417">
        <v>68</v>
      </c>
      <c r="DJ50" s="1417">
        <v>68</v>
      </c>
      <c r="DK50" s="1417">
        <v>67</v>
      </c>
      <c r="DL50" s="1417">
        <v>63</v>
      </c>
      <c r="DM50" s="1417">
        <v>74</v>
      </c>
      <c r="DN50" s="1417">
        <v>73</v>
      </c>
      <c r="DO50" s="1417">
        <v>67</v>
      </c>
      <c r="DP50" s="1417">
        <v>61</v>
      </c>
    </row>
    <row r="51" spans="1:120" x14ac:dyDescent="0.2">
      <c r="A51" s="637" t="str">
        <f>CONCATENATE(" ",Kulturen[[#This Row],[HF]])</f>
        <v xml:space="preserve"> Emmer/Einkorn</v>
      </c>
      <c r="B51" s="772" t="str" cm="1">
        <f t="array" ref="B51">IFERROR(INDEX(Kulturen[HF],_xlfn.AGGREGATE(15,6,(ROW(Kulturen[Auswahl])-7)/(--(SEARCH("x",Kulturen[Auswahl])&gt;0)),ROW()-7),1),"")</f>
        <v>Erbsen</v>
      </c>
      <c r="C51" s="772" t="str">
        <f>IF(Kulturen[[#This Row],[HF]]=$D$373,IF($C$6=0,0,"x"),IF($C$6=0,"x",Vorauswahl!C50))</f>
        <v>x</v>
      </c>
      <c r="D51" s="77" t="s">
        <v>23</v>
      </c>
      <c r="E51" s="77" t="s">
        <v>23</v>
      </c>
      <c r="F51" s="540" t="s">
        <v>545</v>
      </c>
      <c r="G51" s="540">
        <v>1</v>
      </c>
      <c r="H51" s="540">
        <v>8</v>
      </c>
      <c r="I51" s="540">
        <v>1</v>
      </c>
      <c r="J51" s="540">
        <v>90</v>
      </c>
      <c r="K51" s="540">
        <v>0.75</v>
      </c>
      <c r="L51" s="540">
        <v>1.05</v>
      </c>
      <c r="M51" s="540">
        <v>30</v>
      </c>
      <c r="N51" s="540">
        <v>0</v>
      </c>
      <c r="O51" s="540">
        <v>1</v>
      </c>
      <c r="P51" s="540" t="s">
        <v>1583</v>
      </c>
      <c r="Q51" s="540">
        <v>100</v>
      </c>
      <c r="R51" s="540">
        <v>10</v>
      </c>
      <c r="S51" s="540">
        <v>10</v>
      </c>
      <c r="T51" s="540">
        <v>15</v>
      </c>
      <c r="U51" s="540">
        <v>0</v>
      </c>
      <c r="V51" s="540">
        <v>3</v>
      </c>
      <c r="W51" s="776">
        <f>IF(Kulturen[[#This Row],[Berechnungsschema]]=13,3,IF(Kulturen[[#This Row],[Berechnungsschema]]=6,2,1))</f>
        <v>1</v>
      </c>
      <c r="X51" s="776">
        <f>IF(Kulturen[[#This Row],[fruchtartengruppe]]=13,Kulturen[[#This Row],[NBedarfswert]],MAX(0,Kulturen[[#This Row],[NBedarfswert]]-Kulturen[[#This Row],[Ertrag]]*Kulturen[[#This Row],[Nfix]]))</f>
        <v>100</v>
      </c>
      <c r="Y51" s="776">
        <v>31</v>
      </c>
      <c r="Z51" s="776">
        <v>30</v>
      </c>
      <c r="AA51" s="776">
        <v>31</v>
      </c>
      <c r="AB51" s="776">
        <v>31</v>
      </c>
      <c r="AC51" s="776">
        <v>30</v>
      </c>
      <c r="AD51" s="776">
        <v>29</v>
      </c>
      <c r="AE51" s="776">
        <v>35</v>
      </c>
      <c r="AF51" s="776">
        <v>34</v>
      </c>
      <c r="AG51" s="776">
        <v>32</v>
      </c>
      <c r="AH51" s="776">
        <v>34</v>
      </c>
      <c r="AI51" s="776">
        <v>32</v>
      </c>
      <c r="AJ51" s="776">
        <v>35</v>
      </c>
      <c r="AK51" s="776">
        <v>30</v>
      </c>
      <c r="AL51" s="776">
        <v>35</v>
      </c>
      <c r="AM51" s="776">
        <v>32</v>
      </c>
      <c r="AN51" s="776">
        <v>33</v>
      </c>
      <c r="AO51" s="776">
        <v>27</v>
      </c>
      <c r="AP51" s="776">
        <v>33</v>
      </c>
      <c r="AQ51" s="776">
        <v>30</v>
      </c>
      <c r="AR51" s="776">
        <v>25</v>
      </c>
      <c r="AS51" s="776">
        <v>30</v>
      </c>
      <c r="AT51" s="776">
        <v>32</v>
      </c>
      <c r="AU51" s="776">
        <v>28</v>
      </c>
      <c r="AV51" s="776">
        <v>31</v>
      </c>
      <c r="AW51" s="776">
        <v>31</v>
      </c>
      <c r="AX51" s="776">
        <v>31</v>
      </c>
      <c r="AY51" s="776">
        <v>34</v>
      </c>
      <c r="AZ51" s="776">
        <v>27</v>
      </c>
      <c r="BA51" s="776">
        <v>33</v>
      </c>
      <c r="BB51" s="776">
        <v>33</v>
      </c>
      <c r="BC51" s="776">
        <v>33</v>
      </c>
      <c r="BD51" s="776">
        <v>30</v>
      </c>
      <c r="BE51" s="776">
        <v>31</v>
      </c>
      <c r="BF51" s="776">
        <v>34</v>
      </c>
      <c r="BG51" s="776">
        <v>34</v>
      </c>
      <c r="BH51" s="776">
        <v>30</v>
      </c>
      <c r="BI51" s="776">
        <v>33</v>
      </c>
      <c r="BJ51" s="776">
        <v>31</v>
      </c>
      <c r="BK51" s="776">
        <v>29</v>
      </c>
      <c r="BL51" s="776">
        <v>29</v>
      </c>
      <c r="BM51" s="776">
        <v>30</v>
      </c>
      <c r="BN51" s="776">
        <v>29</v>
      </c>
      <c r="BO51" s="776">
        <v>33</v>
      </c>
      <c r="BP51" s="776">
        <v>29</v>
      </c>
      <c r="BQ51" s="776">
        <v>32</v>
      </c>
      <c r="BR51" s="776">
        <v>30</v>
      </c>
      <c r="BS51" s="776">
        <v>31</v>
      </c>
      <c r="BT51" s="776">
        <v>30</v>
      </c>
      <c r="BU51" s="776">
        <v>30</v>
      </c>
      <c r="BV51" s="776">
        <v>26</v>
      </c>
      <c r="BW51" s="776">
        <v>28</v>
      </c>
      <c r="BX51" s="776">
        <v>29</v>
      </c>
      <c r="BY51" s="776">
        <v>28</v>
      </c>
      <c r="BZ51" s="776">
        <v>25</v>
      </c>
      <c r="CA51" s="776">
        <v>25</v>
      </c>
      <c r="CB51" s="776">
        <v>27</v>
      </c>
      <c r="CC51" s="776">
        <v>27</v>
      </c>
      <c r="CD51" s="776">
        <v>28</v>
      </c>
      <c r="CE51" s="776">
        <v>30</v>
      </c>
      <c r="CF51" s="776">
        <v>29</v>
      </c>
      <c r="CG51" s="776">
        <v>29</v>
      </c>
      <c r="CH51" s="776">
        <v>30</v>
      </c>
      <c r="CI51" s="776">
        <v>30</v>
      </c>
      <c r="CJ51" s="776">
        <v>29</v>
      </c>
      <c r="CK51" s="776">
        <v>27</v>
      </c>
      <c r="CL51" s="776">
        <v>27</v>
      </c>
      <c r="CM51" s="776">
        <v>24</v>
      </c>
      <c r="CN51" s="776">
        <v>29</v>
      </c>
      <c r="CO51" s="776">
        <v>26</v>
      </c>
      <c r="CP51" s="776">
        <v>31</v>
      </c>
      <c r="CQ51" s="776">
        <v>31</v>
      </c>
      <c r="CR51" s="776">
        <v>30</v>
      </c>
      <c r="CS51" s="776">
        <v>32</v>
      </c>
      <c r="CT51" s="776">
        <v>28</v>
      </c>
      <c r="CU51" s="776">
        <v>26</v>
      </c>
      <c r="CV51" s="776">
        <v>28</v>
      </c>
      <c r="CW51" s="776">
        <v>26</v>
      </c>
      <c r="CX51" s="776">
        <v>28</v>
      </c>
      <c r="CY51" s="776">
        <v>35</v>
      </c>
      <c r="CZ51" s="776">
        <v>28</v>
      </c>
      <c r="DA51" s="776">
        <v>28</v>
      </c>
      <c r="DB51" s="776">
        <v>31</v>
      </c>
      <c r="DC51" s="776">
        <v>32</v>
      </c>
      <c r="DD51" s="776">
        <v>31</v>
      </c>
      <c r="DE51" s="776">
        <v>31</v>
      </c>
      <c r="DF51" s="776">
        <v>32</v>
      </c>
      <c r="DG51" s="776">
        <v>35</v>
      </c>
      <c r="DH51" s="776">
        <v>33</v>
      </c>
      <c r="DI51" s="776">
        <v>34</v>
      </c>
      <c r="DJ51" s="776">
        <v>34</v>
      </c>
      <c r="DK51" s="776">
        <v>33</v>
      </c>
      <c r="DL51" s="776">
        <v>31</v>
      </c>
      <c r="DM51" s="776">
        <v>37</v>
      </c>
      <c r="DN51" s="776">
        <v>37</v>
      </c>
      <c r="DO51" s="776">
        <v>34</v>
      </c>
      <c r="DP51" s="776">
        <v>31</v>
      </c>
    </row>
    <row r="52" spans="1:120" x14ac:dyDescent="0.2">
      <c r="A52" s="637" t="str">
        <f>CONCATENATE(" ",Kulturen[[#This Row],[HF]])</f>
        <v xml:space="preserve"> Hartweizen (Durum)</v>
      </c>
      <c r="B52" s="772" t="str" cm="1">
        <f t="array" ref="B52">IFERROR(INDEX(Kulturen[HF],_xlfn.AGGREGATE(15,6,(ROW(Kulturen[Auswahl])-7)/(--(SEARCH("x",Kulturen[Auswahl])&gt;0)),ROW()-7),1),"")</f>
        <v>Wicken</v>
      </c>
      <c r="C52" s="772" t="str">
        <f>IF(Kulturen[[#This Row],[HF]]=$D$373,IF($C$6=0,0,"x"),IF($C$6=0,"x",Vorauswahl!C51))</f>
        <v>x</v>
      </c>
      <c r="D52" s="77" t="s">
        <v>24</v>
      </c>
      <c r="E52" s="77" t="s">
        <v>24</v>
      </c>
      <c r="F52" s="540" t="s">
        <v>546</v>
      </c>
      <c r="G52" s="540">
        <v>1</v>
      </c>
      <c r="H52" s="540">
        <v>8</v>
      </c>
      <c r="I52" s="540">
        <v>1</v>
      </c>
      <c r="J52" s="540">
        <v>90</v>
      </c>
      <c r="K52" s="540">
        <v>0.8</v>
      </c>
      <c r="L52" s="540">
        <v>1.04</v>
      </c>
      <c r="M52" s="540">
        <v>55</v>
      </c>
      <c r="N52" s="540">
        <v>0</v>
      </c>
      <c r="O52" s="540">
        <v>1</v>
      </c>
      <c r="P52" s="540">
        <v>0</v>
      </c>
      <c r="Q52" s="540">
        <v>200</v>
      </c>
      <c r="R52" s="540">
        <v>10</v>
      </c>
      <c r="S52" s="540">
        <v>10</v>
      </c>
      <c r="T52" s="540">
        <v>15</v>
      </c>
      <c r="U52" s="540">
        <v>0</v>
      </c>
      <c r="V52" s="540">
        <v>3</v>
      </c>
      <c r="W52" s="776">
        <f>IF(Kulturen[[#This Row],[Berechnungsschema]]=13,3,IF(Kulturen[[#This Row],[Berechnungsschema]]=6,2,1))</f>
        <v>1</v>
      </c>
      <c r="X52" s="776">
        <f>IF(Kulturen[[#This Row],[fruchtartengruppe]]=13,Kulturen[[#This Row],[NBedarfswert]],MAX(0,Kulturen[[#This Row],[NBedarfswert]]-Kulturen[[#This Row],[Ertrag]]*Kulturen[[#This Row],[Nfix]]))</f>
        <v>200</v>
      </c>
      <c r="Y52" s="1410">
        <v>57</v>
      </c>
      <c r="Z52" s="1417">
        <v>57</v>
      </c>
      <c r="AA52" s="1417">
        <v>57</v>
      </c>
      <c r="AB52" s="1417">
        <v>57</v>
      </c>
      <c r="AC52" s="1417">
        <v>57</v>
      </c>
      <c r="AD52" s="1417">
        <v>57</v>
      </c>
      <c r="AE52" s="1417">
        <v>57</v>
      </c>
      <c r="AF52" s="1417">
        <v>57</v>
      </c>
      <c r="AG52" s="1417">
        <v>57</v>
      </c>
      <c r="AH52" s="1417">
        <v>57</v>
      </c>
      <c r="AI52" s="1417">
        <v>57</v>
      </c>
      <c r="AJ52" s="1417">
        <v>57</v>
      </c>
      <c r="AK52" s="1417">
        <v>57</v>
      </c>
      <c r="AL52" s="1417">
        <v>57</v>
      </c>
      <c r="AM52" s="1417">
        <v>57</v>
      </c>
      <c r="AN52" s="1417">
        <v>57</v>
      </c>
      <c r="AO52" s="1417">
        <v>57</v>
      </c>
      <c r="AP52" s="1417">
        <v>57</v>
      </c>
      <c r="AQ52" s="1417">
        <v>57</v>
      </c>
      <c r="AR52" s="1417">
        <v>57</v>
      </c>
      <c r="AS52" s="1417">
        <v>57</v>
      </c>
      <c r="AT52" s="1417">
        <v>57</v>
      </c>
      <c r="AU52" s="1417">
        <v>57</v>
      </c>
      <c r="AV52" s="1417">
        <v>57</v>
      </c>
      <c r="AW52" s="1417">
        <v>57</v>
      </c>
      <c r="AX52" s="1417">
        <v>57</v>
      </c>
      <c r="AY52" s="1417">
        <v>57</v>
      </c>
      <c r="AZ52" s="1417">
        <v>57</v>
      </c>
      <c r="BA52" s="1417">
        <v>57</v>
      </c>
      <c r="BB52" s="1417">
        <v>57</v>
      </c>
      <c r="BC52" s="1417">
        <v>57</v>
      </c>
      <c r="BD52" s="1417">
        <v>57</v>
      </c>
      <c r="BE52" s="1417">
        <v>57</v>
      </c>
      <c r="BF52" s="1417">
        <v>57</v>
      </c>
      <c r="BG52" s="1417">
        <v>57</v>
      </c>
      <c r="BH52" s="1417">
        <v>57</v>
      </c>
      <c r="BI52" s="1417">
        <v>57</v>
      </c>
      <c r="BJ52" s="1417">
        <v>57</v>
      </c>
      <c r="BK52" s="1417">
        <v>57</v>
      </c>
      <c r="BL52" s="1417">
        <v>57</v>
      </c>
      <c r="BM52" s="1417">
        <v>57</v>
      </c>
      <c r="BN52" s="1417">
        <v>57</v>
      </c>
      <c r="BO52" s="1417">
        <v>57</v>
      </c>
      <c r="BP52" s="1417">
        <v>57</v>
      </c>
      <c r="BQ52" s="1417">
        <v>57</v>
      </c>
      <c r="BR52" s="1417">
        <v>57</v>
      </c>
      <c r="BS52" s="1417">
        <v>57</v>
      </c>
      <c r="BT52" s="1417">
        <v>57</v>
      </c>
      <c r="BU52" s="1417">
        <v>57</v>
      </c>
      <c r="BV52" s="1417">
        <v>57</v>
      </c>
      <c r="BW52" s="1417">
        <v>57</v>
      </c>
      <c r="BX52" s="1417">
        <v>57</v>
      </c>
      <c r="BY52" s="1417">
        <v>57</v>
      </c>
      <c r="BZ52" s="1417">
        <v>57</v>
      </c>
      <c r="CA52" s="1417">
        <v>57</v>
      </c>
      <c r="CB52" s="1417">
        <v>57</v>
      </c>
      <c r="CC52" s="1417">
        <v>57</v>
      </c>
      <c r="CD52" s="1417">
        <v>57</v>
      </c>
      <c r="CE52" s="1417">
        <v>57</v>
      </c>
      <c r="CF52" s="1417">
        <v>57</v>
      </c>
      <c r="CG52" s="1417">
        <v>57</v>
      </c>
      <c r="CH52" s="1417">
        <v>57</v>
      </c>
      <c r="CI52" s="1417">
        <v>57</v>
      </c>
      <c r="CJ52" s="1417">
        <v>57</v>
      </c>
      <c r="CK52" s="1417">
        <v>57</v>
      </c>
      <c r="CL52" s="1417">
        <v>57</v>
      </c>
      <c r="CM52" s="1417">
        <v>57</v>
      </c>
      <c r="CN52" s="1417">
        <v>57</v>
      </c>
      <c r="CO52" s="1417">
        <v>57</v>
      </c>
      <c r="CP52" s="1417">
        <v>57</v>
      </c>
      <c r="CQ52" s="1417">
        <v>57</v>
      </c>
      <c r="CR52" s="1417">
        <v>57</v>
      </c>
      <c r="CS52" s="1417">
        <v>57</v>
      </c>
      <c r="CT52" s="1417">
        <v>57</v>
      </c>
      <c r="CU52" s="1417">
        <v>57</v>
      </c>
      <c r="CV52" s="1417">
        <v>57</v>
      </c>
      <c r="CW52" s="1417">
        <v>57</v>
      </c>
      <c r="CX52" s="1417">
        <v>57</v>
      </c>
      <c r="CY52" s="1417">
        <v>57</v>
      </c>
      <c r="CZ52" s="1417">
        <v>57</v>
      </c>
      <c r="DA52" s="1417">
        <v>57</v>
      </c>
      <c r="DB52" s="1417">
        <v>57</v>
      </c>
      <c r="DC52" s="1417">
        <v>57</v>
      </c>
      <c r="DD52" s="1417">
        <v>57</v>
      </c>
      <c r="DE52" s="1417">
        <v>57</v>
      </c>
      <c r="DF52" s="1417">
        <v>57</v>
      </c>
      <c r="DG52" s="1417">
        <v>57</v>
      </c>
      <c r="DH52" s="1417">
        <v>57</v>
      </c>
      <c r="DI52" s="1417">
        <v>57</v>
      </c>
      <c r="DJ52" s="1417">
        <v>57</v>
      </c>
      <c r="DK52" s="1417">
        <v>57</v>
      </c>
      <c r="DL52" s="1417">
        <v>57</v>
      </c>
      <c r="DM52" s="1417">
        <v>57</v>
      </c>
      <c r="DN52" s="1417">
        <v>57</v>
      </c>
      <c r="DO52" s="1417">
        <v>57</v>
      </c>
      <c r="DP52" s="1417">
        <v>57</v>
      </c>
    </row>
    <row r="53" spans="1:120" x14ac:dyDescent="0.2">
      <c r="A53" s="637" t="str">
        <f>CONCATENATE(" ",Kulturen[[#This Row],[HF]])</f>
        <v xml:space="preserve"> +++Körnermais, sonstige Körnernutzung+++</v>
      </c>
      <c r="B53" s="772" t="str" cm="1">
        <f t="array" ref="B53">IFERROR(INDEX(Kulturen[HF],_xlfn.AGGREGATE(15,6,(ROW(Kulturen[Auswahl])-7)/(--(SEARCH("x",Kulturen[Auswahl])&gt;0)),ROW()-7),1),"")</f>
        <v>Lupinen blau</v>
      </c>
      <c r="C53" s="772" t="str">
        <f>IF(Kulturen[[#This Row],[HF]]=$D$373,IF($C$6=0,0,"x"),IF($C$6=0,"x",Vorauswahl!C52))</f>
        <v>x</v>
      </c>
      <c r="D53" s="77" t="s">
        <v>1892</v>
      </c>
      <c r="E53" s="77" t="s">
        <v>1892</v>
      </c>
      <c r="F53" s="540"/>
      <c r="G53" s="540">
        <v>16</v>
      </c>
      <c r="H53" s="540">
        <v>8</v>
      </c>
      <c r="I53" s="540">
        <v>0</v>
      </c>
      <c r="J53" s="540">
        <v>90</v>
      </c>
      <c r="K53" s="540">
        <v>0</v>
      </c>
      <c r="L53" s="540">
        <v>0</v>
      </c>
      <c r="M53" s="540">
        <v>0</v>
      </c>
      <c r="N53" s="540">
        <v>0</v>
      </c>
      <c r="O53" s="540">
        <v>1</v>
      </c>
      <c r="P53" s="540">
        <v>0</v>
      </c>
      <c r="Q53" s="540">
        <v>0</v>
      </c>
      <c r="R53" s="540">
        <v>1</v>
      </c>
      <c r="S53" s="540">
        <v>0</v>
      </c>
      <c r="T53" s="540">
        <v>0</v>
      </c>
      <c r="U53" s="540">
        <v>0</v>
      </c>
      <c r="V53" s="540">
        <v>0</v>
      </c>
      <c r="W53" s="776">
        <f>IF(Kulturen[[#This Row],[Berechnungsschema]]=13,3,IF(Kulturen[[#This Row],[Berechnungsschema]]=6,2,1))</f>
        <v>1</v>
      </c>
      <c r="X53" s="776">
        <f>IF(Kulturen[[#This Row],[fruchtartengruppe]]=13,Kulturen[[#This Row],[NBedarfswert]],MAX(0,Kulturen[[#This Row],[NBedarfswert]]-Kulturen[[#This Row],[Ertrag]]*Kulturen[[#This Row],[Nfix]]))</f>
        <v>0</v>
      </c>
      <c r="Y53" s="776" t="s">
        <v>2127</v>
      </c>
      <c r="Z53" s="776" t="s">
        <v>2127</v>
      </c>
      <c r="AA53" s="776" t="s">
        <v>2127</v>
      </c>
      <c r="AB53" s="776" t="s">
        <v>2127</v>
      </c>
      <c r="AC53" s="776" t="s">
        <v>2127</v>
      </c>
      <c r="AD53" s="776" t="s">
        <v>2127</v>
      </c>
      <c r="AE53" s="776" t="s">
        <v>2127</v>
      </c>
      <c r="AF53" s="776" t="s">
        <v>2127</v>
      </c>
      <c r="AG53" s="776" t="s">
        <v>2127</v>
      </c>
      <c r="AH53" s="776" t="s">
        <v>2127</v>
      </c>
      <c r="AI53" s="776" t="s">
        <v>2127</v>
      </c>
      <c r="AJ53" s="776" t="s">
        <v>2127</v>
      </c>
      <c r="AK53" s="776" t="s">
        <v>2127</v>
      </c>
      <c r="AL53" s="776" t="s">
        <v>2127</v>
      </c>
      <c r="AM53" s="776" t="s">
        <v>2127</v>
      </c>
      <c r="AN53" s="776" t="s">
        <v>2127</v>
      </c>
      <c r="AO53" s="776" t="s">
        <v>2127</v>
      </c>
      <c r="AP53" s="776" t="s">
        <v>2127</v>
      </c>
      <c r="AQ53" s="776" t="s">
        <v>2127</v>
      </c>
      <c r="AR53" s="776" t="s">
        <v>2127</v>
      </c>
      <c r="AS53" s="776" t="s">
        <v>2127</v>
      </c>
      <c r="AT53" s="776" t="s">
        <v>2127</v>
      </c>
      <c r="AU53" s="776" t="s">
        <v>2127</v>
      </c>
      <c r="AV53" s="776" t="s">
        <v>2127</v>
      </c>
      <c r="AW53" s="776" t="s">
        <v>2127</v>
      </c>
      <c r="AX53" s="776" t="s">
        <v>2127</v>
      </c>
      <c r="AY53" s="776" t="s">
        <v>2127</v>
      </c>
      <c r="AZ53" s="776" t="s">
        <v>2127</v>
      </c>
      <c r="BA53" s="776" t="s">
        <v>2127</v>
      </c>
      <c r="BB53" s="776" t="s">
        <v>2127</v>
      </c>
      <c r="BC53" s="776" t="s">
        <v>2127</v>
      </c>
      <c r="BD53" s="776" t="s">
        <v>2127</v>
      </c>
      <c r="BE53" s="776" t="s">
        <v>2127</v>
      </c>
      <c r="BF53" s="776" t="s">
        <v>2127</v>
      </c>
      <c r="BG53" s="776" t="s">
        <v>2127</v>
      </c>
      <c r="BH53" s="776" t="s">
        <v>2127</v>
      </c>
      <c r="BI53" s="776" t="s">
        <v>2127</v>
      </c>
      <c r="BJ53" s="776" t="s">
        <v>2127</v>
      </c>
      <c r="BK53" s="776" t="s">
        <v>2127</v>
      </c>
      <c r="BL53" s="776" t="s">
        <v>2127</v>
      </c>
      <c r="BM53" s="776" t="s">
        <v>2127</v>
      </c>
      <c r="BN53" s="776" t="s">
        <v>2127</v>
      </c>
      <c r="BO53" s="776" t="s">
        <v>2127</v>
      </c>
      <c r="BP53" s="776" t="s">
        <v>2127</v>
      </c>
      <c r="BQ53" s="776" t="s">
        <v>2127</v>
      </c>
      <c r="BR53" s="776" t="s">
        <v>2127</v>
      </c>
      <c r="BS53" s="776" t="s">
        <v>2127</v>
      </c>
      <c r="BT53" s="776" t="s">
        <v>2127</v>
      </c>
      <c r="BU53" s="776" t="s">
        <v>2127</v>
      </c>
      <c r="BV53" s="776" t="s">
        <v>2127</v>
      </c>
      <c r="BW53" s="776" t="s">
        <v>2127</v>
      </c>
      <c r="BX53" s="776" t="s">
        <v>2127</v>
      </c>
      <c r="BY53" s="776" t="s">
        <v>2127</v>
      </c>
      <c r="BZ53" s="776" t="s">
        <v>2127</v>
      </c>
      <c r="CA53" s="776" t="s">
        <v>2127</v>
      </c>
      <c r="CB53" s="776" t="s">
        <v>2127</v>
      </c>
      <c r="CC53" s="776" t="s">
        <v>2127</v>
      </c>
      <c r="CD53" s="776" t="s">
        <v>2127</v>
      </c>
      <c r="CE53" s="776" t="s">
        <v>2127</v>
      </c>
      <c r="CF53" s="776" t="s">
        <v>2127</v>
      </c>
      <c r="CG53" s="776" t="s">
        <v>2127</v>
      </c>
      <c r="CH53" s="776" t="s">
        <v>2127</v>
      </c>
      <c r="CI53" s="776" t="s">
        <v>2127</v>
      </c>
      <c r="CJ53" s="776" t="s">
        <v>2127</v>
      </c>
      <c r="CK53" s="776" t="s">
        <v>2127</v>
      </c>
      <c r="CL53" s="776" t="s">
        <v>2127</v>
      </c>
      <c r="CM53" s="776" t="s">
        <v>2127</v>
      </c>
      <c r="CN53" s="776" t="s">
        <v>2127</v>
      </c>
      <c r="CO53" s="776" t="s">
        <v>2127</v>
      </c>
      <c r="CP53" s="776" t="s">
        <v>2127</v>
      </c>
      <c r="CQ53" s="776" t="s">
        <v>2127</v>
      </c>
      <c r="CR53" s="776" t="s">
        <v>2127</v>
      </c>
      <c r="CS53" s="776" t="s">
        <v>2127</v>
      </c>
      <c r="CT53" s="776" t="s">
        <v>2127</v>
      </c>
      <c r="CU53" s="776" t="s">
        <v>2127</v>
      </c>
      <c r="CV53" s="776" t="s">
        <v>2127</v>
      </c>
      <c r="CW53" s="776" t="s">
        <v>2127</v>
      </c>
      <c r="CX53" s="776" t="s">
        <v>2127</v>
      </c>
      <c r="CY53" s="776" t="s">
        <v>2127</v>
      </c>
      <c r="CZ53" s="776" t="s">
        <v>2127</v>
      </c>
      <c r="DA53" s="776" t="s">
        <v>2127</v>
      </c>
      <c r="DB53" s="776" t="s">
        <v>2127</v>
      </c>
      <c r="DC53" s="776" t="s">
        <v>2127</v>
      </c>
      <c r="DD53" s="776" t="s">
        <v>2127</v>
      </c>
      <c r="DE53" s="776" t="s">
        <v>2127</v>
      </c>
      <c r="DF53" s="776" t="s">
        <v>2127</v>
      </c>
      <c r="DG53" s="776" t="s">
        <v>2127</v>
      </c>
      <c r="DH53" s="776" t="s">
        <v>2127</v>
      </c>
      <c r="DI53" s="776" t="s">
        <v>2127</v>
      </c>
      <c r="DJ53" s="776" t="s">
        <v>2127</v>
      </c>
      <c r="DK53" s="776" t="s">
        <v>2127</v>
      </c>
      <c r="DL53" s="776" t="s">
        <v>2127</v>
      </c>
      <c r="DM53" s="776" t="s">
        <v>2127</v>
      </c>
      <c r="DN53" s="776" t="s">
        <v>2127</v>
      </c>
      <c r="DO53" s="776" t="s">
        <v>2127</v>
      </c>
      <c r="DP53" s="776" t="s">
        <v>2127</v>
      </c>
    </row>
    <row r="54" spans="1:120" x14ac:dyDescent="0.2">
      <c r="A54" s="637" t="str">
        <f>CONCATENATE(" ",Kulturen[[#This Row],[HF]])</f>
        <v xml:space="preserve"> Körnermais</v>
      </c>
      <c r="B54" s="772" t="str" cm="1">
        <f t="array" ref="B54">IFERROR(INDEX(Kulturen[HF],_xlfn.AGGREGATE(15,6,(ROW(Kulturen[Auswahl])-7)/(--(SEARCH("x",Kulturen[Auswahl])&gt;0)),ROW()-7),1),"")</f>
        <v>Linsen</v>
      </c>
      <c r="C54" s="772" t="str">
        <f>IF(Kulturen[[#This Row],[HF]]=$D$373,IF($C$6=0,0,"x"),IF($C$6=0,"x",Vorauswahl!C53))</f>
        <v>x</v>
      </c>
      <c r="D54" s="77" t="s">
        <v>1893</v>
      </c>
      <c r="E54" s="77" t="s">
        <v>1893</v>
      </c>
      <c r="F54" s="540" t="s">
        <v>116</v>
      </c>
      <c r="G54" s="540">
        <v>16</v>
      </c>
      <c r="H54" s="540">
        <v>8</v>
      </c>
      <c r="I54" s="540">
        <v>1</v>
      </c>
      <c r="J54" s="540">
        <v>90</v>
      </c>
      <c r="K54" s="540">
        <v>0.8</v>
      </c>
      <c r="L54" s="540">
        <v>1</v>
      </c>
      <c r="M54" s="540">
        <v>90</v>
      </c>
      <c r="N54" s="540">
        <v>0</v>
      </c>
      <c r="O54" s="540">
        <v>1</v>
      </c>
      <c r="P54" s="540">
        <v>0</v>
      </c>
      <c r="Q54" s="540">
        <v>200</v>
      </c>
      <c r="R54" s="540">
        <v>10</v>
      </c>
      <c r="S54" s="540">
        <v>10</v>
      </c>
      <c r="T54" s="540">
        <v>15</v>
      </c>
      <c r="U54" s="540">
        <v>0</v>
      </c>
      <c r="V54" s="540">
        <v>5</v>
      </c>
      <c r="W54" s="776">
        <f>IF(Kulturen[[#This Row],[Berechnungsschema]]=13,3,IF(Kulturen[[#This Row],[Berechnungsschema]]=6,2,1))</f>
        <v>1</v>
      </c>
      <c r="X54" s="776">
        <f>IF(Kulturen[[#This Row],[fruchtartengruppe]]=13,Kulturen[[#This Row],[NBedarfswert]],MAX(0,Kulturen[[#This Row],[NBedarfswert]]-Kulturen[[#This Row],[Ertrag]]*Kulturen[[#This Row],[Nfix]]))</f>
        <v>200</v>
      </c>
      <c r="Y54" s="1410">
        <v>103</v>
      </c>
      <c r="Z54" s="1410">
        <v>105</v>
      </c>
      <c r="AA54" s="1410">
        <v>105</v>
      </c>
      <c r="AB54" s="1410">
        <v>115</v>
      </c>
      <c r="AC54" s="1410">
        <v>105</v>
      </c>
      <c r="AD54" s="1410">
        <v>105</v>
      </c>
      <c r="AE54" s="1410">
        <v>112</v>
      </c>
      <c r="AF54" s="1410">
        <v>105</v>
      </c>
      <c r="AG54" s="1410">
        <v>96</v>
      </c>
      <c r="AH54" s="1410">
        <v>116</v>
      </c>
      <c r="AI54" s="1410">
        <v>99</v>
      </c>
      <c r="AJ54" s="1410">
        <v>98</v>
      </c>
      <c r="AK54" s="1410">
        <v>105</v>
      </c>
      <c r="AL54" s="1410">
        <v>100</v>
      </c>
      <c r="AM54" s="1410">
        <v>105</v>
      </c>
      <c r="AN54" s="1410">
        <v>109</v>
      </c>
      <c r="AO54" s="1410">
        <v>99</v>
      </c>
      <c r="AP54" s="1410">
        <v>101</v>
      </c>
      <c r="AQ54" s="1410">
        <v>109</v>
      </c>
      <c r="AR54" s="1410">
        <v>105</v>
      </c>
      <c r="AS54" s="1410">
        <v>104</v>
      </c>
      <c r="AT54" s="1410">
        <v>112</v>
      </c>
      <c r="AU54" s="1410">
        <v>105</v>
      </c>
      <c r="AV54" s="1410">
        <v>105</v>
      </c>
      <c r="AW54" s="1410">
        <v>106</v>
      </c>
      <c r="AX54" s="1410">
        <v>105</v>
      </c>
      <c r="AY54" s="1410">
        <v>115</v>
      </c>
      <c r="AZ54" s="1410">
        <v>105</v>
      </c>
      <c r="BA54" s="1410">
        <v>107</v>
      </c>
      <c r="BB54" s="1410">
        <v>104</v>
      </c>
      <c r="BC54" s="1410">
        <v>108</v>
      </c>
      <c r="BD54" s="1410">
        <v>105</v>
      </c>
      <c r="BE54" s="1410">
        <v>105</v>
      </c>
      <c r="BF54" s="1410">
        <v>106</v>
      </c>
      <c r="BG54" s="1410">
        <v>104</v>
      </c>
      <c r="BH54" s="1410">
        <v>105</v>
      </c>
      <c r="BI54" s="1410">
        <v>105</v>
      </c>
      <c r="BJ54" s="1410">
        <v>105</v>
      </c>
      <c r="BK54" s="1410">
        <v>103</v>
      </c>
      <c r="BL54" s="1410">
        <v>104</v>
      </c>
      <c r="BM54" s="1410">
        <v>105</v>
      </c>
      <c r="BN54" s="1410">
        <v>105</v>
      </c>
      <c r="BO54" s="1410">
        <v>103</v>
      </c>
      <c r="BP54" s="1410">
        <v>90</v>
      </c>
      <c r="BQ54" s="1410">
        <v>105</v>
      </c>
      <c r="BR54" s="1410">
        <v>105</v>
      </c>
      <c r="BS54" s="1410">
        <v>105</v>
      </c>
      <c r="BT54" s="1410">
        <v>105</v>
      </c>
      <c r="BU54" s="1410">
        <v>105</v>
      </c>
      <c r="BV54" s="1410">
        <v>98</v>
      </c>
      <c r="BW54" s="1410">
        <v>105</v>
      </c>
      <c r="BX54" s="1410">
        <v>103</v>
      </c>
      <c r="BY54" s="1410">
        <v>102</v>
      </c>
      <c r="BZ54" s="1410">
        <v>105</v>
      </c>
      <c r="CA54" s="1410">
        <v>105</v>
      </c>
      <c r="CB54" s="1410">
        <v>105</v>
      </c>
      <c r="CC54" s="1410">
        <v>105</v>
      </c>
      <c r="CD54" s="1410">
        <v>105</v>
      </c>
      <c r="CE54" s="1410">
        <v>105</v>
      </c>
      <c r="CF54" s="1410">
        <v>105</v>
      </c>
      <c r="CG54" s="1410">
        <v>105</v>
      </c>
      <c r="CH54" s="1410">
        <v>105</v>
      </c>
      <c r="CI54" s="1410">
        <v>105</v>
      </c>
      <c r="CJ54" s="1410">
        <v>100</v>
      </c>
      <c r="CK54" s="1410">
        <v>101</v>
      </c>
      <c r="CL54" s="1410">
        <v>109</v>
      </c>
      <c r="CM54" s="1410">
        <v>101</v>
      </c>
      <c r="CN54" s="1410">
        <v>88</v>
      </c>
      <c r="CO54" s="1410">
        <v>99</v>
      </c>
      <c r="CP54" s="1410">
        <v>98</v>
      </c>
      <c r="CQ54" s="1410">
        <v>105</v>
      </c>
      <c r="CR54" s="1410">
        <v>105</v>
      </c>
      <c r="CS54" s="1410">
        <v>104</v>
      </c>
      <c r="CT54" s="1410">
        <v>102</v>
      </c>
      <c r="CU54" s="1410">
        <v>105</v>
      </c>
      <c r="CV54" s="1410">
        <v>82</v>
      </c>
      <c r="CW54" s="1410">
        <v>87</v>
      </c>
      <c r="CX54" s="1410">
        <v>79</v>
      </c>
      <c r="CY54" s="1410">
        <v>100</v>
      </c>
      <c r="CZ54" s="1410">
        <v>98</v>
      </c>
      <c r="DA54" s="1410">
        <v>94</v>
      </c>
      <c r="DB54" s="1410">
        <v>98</v>
      </c>
      <c r="DC54" s="1410">
        <v>105</v>
      </c>
      <c r="DD54" s="1410">
        <v>105</v>
      </c>
      <c r="DE54" s="1410">
        <v>105</v>
      </c>
      <c r="DF54" s="1410">
        <v>105</v>
      </c>
      <c r="DG54" s="1410">
        <v>110</v>
      </c>
      <c r="DH54" s="1410">
        <v>116</v>
      </c>
      <c r="DI54" s="1410">
        <v>107</v>
      </c>
      <c r="DJ54" s="1410">
        <v>106</v>
      </c>
      <c r="DK54" s="1410">
        <v>102</v>
      </c>
      <c r="DL54" s="1410">
        <v>105</v>
      </c>
      <c r="DM54" s="1410">
        <v>105</v>
      </c>
      <c r="DN54" s="1410">
        <v>104</v>
      </c>
      <c r="DO54" s="1410">
        <v>100</v>
      </c>
      <c r="DP54" s="1410">
        <v>105</v>
      </c>
    </row>
    <row r="55" spans="1:120" x14ac:dyDescent="0.2">
      <c r="A55" s="637" t="str">
        <f>CONCATENATE(" ",Kulturen[[#This Row],[HF]])</f>
        <v xml:space="preserve"> Hirse</v>
      </c>
      <c r="B55" s="772" t="str" cm="1">
        <f t="array" ref="B55">IFERROR(INDEX(Kulturen[HF],_xlfn.AGGREGATE(15,6,(ROW(Kulturen[Auswahl])-7)/(--(SEARCH("x",Kulturen[Auswahl])&gt;0)),ROW()-7),1),"")</f>
        <v>Sojabohnen</v>
      </c>
      <c r="C55" s="772" t="str">
        <f>IF(Kulturen[[#This Row],[HF]]=$D$373,IF($C$6=0,0,"x"),IF($C$6=0,"x",Vorauswahl!C54))</f>
        <v>x</v>
      </c>
      <c r="D55" s="77" t="s">
        <v>26</v>
      </c>
      <c r="E55" s="77" t="s">
        <v>26</v>
      </c>
      <c r="F55" s="540" t="s">
        <v>548</v>
      </c>
      <c r="G55" s="540">
        <v>16</v>
      </c>
      <c r="H55" s="540">
        <v>8</v>
      </c>
      <c r="I55" s="540">
        <v>1</v>
      </c>
      <c r="J55" s="540">
        <v>90</v>
      </c>
      <c r="K55" s="540">
        <v>0.89</v>
      </c>
      <c r="L55" s="540">
        <v>2.29</v>
      </c>
      <c r="M55" s="540">
        <v>50</v>
      </c>
      <c r="N55" s="540">
        <v>0</v>
      </c>
      <c r="O55" s="540">
        <v>1</v>
      </c>
      <c r="P55" s="540">
        <v>0</v>
      </c>
      <c r="Q55" s="540">
        <v>130</v>
      </c>
      <c r="R55" s="540">
        <v>10</v>
      </c>
      <c r="S55" s="540">
        <v>10</v>
      </c>
      <c r="T55" s="540">
        <v>15</v>
      </c>
      <c r="U55" s="540">
        <v>0</v>
      </c>
      <c r="V55" s="540">
        <v>3</v>
      </c>
      <c r="W55" s="776">
        <f>IF(Kulturen[[#This Row],[Berechnungsschema]]=13,3,IF(Kulturen[[#This Row],[Berechnungsschema]]=6,2,1))</f>
        <v>1</v>
      </c>
      <c r="X55" s="776">
        <f>IF(Kulturen[[#This Row],[fruchtartengruppe]]=13,Kulturen[[#This Row],[NBedarfswert]],MAX(0,Kulturen[[#This Row],[NBedarfswert]]-Kulturen[[#This Row],[Ertrag]]*Kulturen[[#This Row],[Nfix]]))</f>
        <v>130</v>
      </c>
      <c r="Y55" s="776">
        <v>56</v>
      </c>
      <c r="Z55" s="776">
        <v>58</v>
      </c>
      <c r="AA55" s="776">
        <v>58</v>
      </c>
      <c r="AB55" s="776">
        <v>63</v>
      </c>
      <c r="AC55" s="776">
        <v>58</v>
      </c>
      <c r="AD55" s="776">
        <v>58</v>
      </c>
      <c r="AE55" s="776">
        <v>61</v>
      </c>
      <c r="AF55" s="776">
        <v>58</v>
      </c>
      <c r="AG55" s="776">
        <v>53</v>
      </c>
      <c r="AH55" s="776">
        <v>64</v>
      </c>
      <c r="AI55" s="776">
        <v>54</v>
      </c>
      <c r="AJ55" s="776">
        <v>54</v>
      </c>
      <c r="AK55" s="776">
        <v>58</v>
      </c>
      <c r="AL55" s="776">
        <v>55</v>
      </c>
      <c r="AM55" s="776">
        <v>58</v>
      </c>
      <c r="AN55" s="776">
        <v>60</v>
      </c>
      <c r="AO55" s="776">
        <v>54</v>
      </c>
      <c r="AP55" s="776">
        <v>55</v>
      </c>
      <c r="AQ55" s="776">
        <v>60</v>
      </c>
      <c r="AR55" s="776">
        <v>58</v>
      </c>
      <c r="AS55" s="776">
        <v>57</v>
      </c>
      <c r="AT55" s="776">
        <v>61</v>
      </c>
      <c r="AU55" s="776">
        <v>58</v>
      </c>
      <c r="AV55" s="776">
        <v>58</v>
      </c>
      <c r="AW55" s="776">
        <v>59</v>
      </c>
      <c r="AX55" s="776">
        <v>58</v>
      </c>
      <c r="AY55" s="776">
        <v>63</v>
      </c>
      <c r="AZ55" s="776">
        <v>58</v>
      </c>
      <c r="BA55" s="776">
        <v>59</v>
      </c>
      <c r="BB55" s="776">
        <v>57</v>
      </c>
      <c r="BC55" s="776">
        <v>60</v>
      </c>
      <c r="BD55" s="776">
        <v>58</v>
      </c>
      <c r="BE55" s="776">
        <v>58</v>
      </c>
      <c r="BF55" s="776">
        <v>58</v>
      </c>
      <c r="BG55" s="776">
        <v>57</v>
      </c>
      <c r="BH55" s="776">
        <v>58</v>
      </c>
      <c r="BI55" s="776">
        <v>58</v>
      </c>
      <c r="BJ55" s="776">
        <v>58</v>
      </c>
      <c r="BK55" s="776">
        <v>57</v>
      </c>
      <c r="BL55" s="776">
        <v>57</v>
      </c>
      <c r="BM55" s="776">
        <v>58</v>
      </c>
      <c r="BN55" s="776">
        <v>58</v>
      </c>
      <c r="BO55" s="776">
        <v>57</v>
      </c>
      <c r="BP55" s="776">
        <v>50</v>
      </c>
      <c r="BQ55" s="776">
        <v>58</v>
      </c>
      <c r="BR55" s="776">
        <v>58</v>
      </c>
      <c r="BS55" s="776">
        <v>58</v>
      </c>
      <c r="BT55" s="776">
        <v>58</v>
      </c>
      <c r="BU55" s="776">
        <v>58</v>
      </c>
      <c r="BV55" s="776">
        <v>54</v>
      </c>
      <c r="BW55" s="776">
        <v>58</v>
      </c>
      <c r="BX55" s="776">
        <v>56</v>
      </c>
      <c r="BY55" s="776">
        <v>56</v>
      </c>
      <c r="BZ55" s="776">
        <v>58</v>
      </c>
      <c r="CA55" s="776">
        <v>58</v>
      </c>
      <c r="CB55" s="776">
        <v>58</v>
      </c>
      <c r="CC55" s="776">
        <v>58</v>
      </c>
      <c r="CD55" s="776">
        <v>58</v>
      </c>
      <c r="CE55" s="776">
        <v>58</v>
      </c>
      <c r="CF55" s="776">
        <v>58</v>
      </c>
      <c r="CG55" s="776">
        <v>58</v>
      </c>
      <c r="CH55" s="776">
        <v>58</v>
      </c>
      <c r="CI55" s="776">
        <v>58</v>
      </c>
      <c r="CJ55" s="776">
        <v>55</v>
      </c>
      <c r="CK55" s="776">
        <v>56</v>
      </c>
      <c r="CL55" s="776">
        <v>60</v>
      </c>
      <c r="CM55" s="776">
        <v>56</v>
      </c>
      <c r="CN55" s="776">
        <v>49</v>
      </c>
      <c r="CO55" s="776">
        <v>54</v>
      </c>
      <c r="CP55" s="776">
        <v>54</v>
      </c>
      <c r="CQ55" s="776">
        <v>58</v>
      </c>
      <c r="CR55" s="776">
        <v>58</v>
      </c>
      <c r="CS55" s="776">
        <v>57</v>
      </c>
      <c r="CT55" s="776">
        <v>56</v>
      </c>
      <c r="CU55" s="776">
        <v>58</v>
      </c>
      <c r="CV55" s="776">
        <v>45</v>
      </c>
      <c r="CW55" s="776">
        <v>48</v>
      </c>
      <c r="CX55" s="776">
        <v>43</v>
      </c>
      <c r="CY55" s="776">
        <v>55</v>
      </c>
      <c r="CZ55" s="776">
        <v>54</v>
      </c>
      <c r="DA55" s="776">
        <v>52</v>
      </c>
      <c r="DB55" s="776">
        <v>54</v>
      </c>
      <c r="DC55" s="776">
        <v>58</v>
      </c>
      <c r="DD55" s="776">
        <v>58</v>
      </c>
      <c r="DE55" s="776">
        <v>58</v>
      </c>
      <c r="DF55" s="776">
        <v>58</v>
      </c>
      <c r="DG55" s="776">
        <v>61</v>
      </c>
      <c r="DH55" s="776">
        <v>64</v>
      </c>
      <c r="DI55" s="776">
        <v>59</v>
      </c>
      <c r="DJ55" s="776">
        <v>58</v>
      </c>
      <c r="DK55" s="776">
        <v>56</v>
      </c>
      <c r="DL55" s="776">
        <v>58</v>
      </c>
      <c r="DM55" s="776">
        <v>58</v>
      </c>
      <c r="DN55" s="776">
        <v>57</v>
      </c>
      <c r="DO55" s="776">
        <v>55</v>
      </c>
      <c r="DP55" s="776">
        <v>58</v>
      </c>
    </row>
    <row r="56" spans="1:120" x14ac:dyDescent="0.2">
      <c r="A56" s="637" t="str">
        <f>CONCATENATE(" ",Kulturen[[#This Row],[HF]])</f>
        <v xml:space="preserve"> Amarant</v>
      </c>
      <c r="B56" s="772" t="str" cm="1">
        <f t="array" ref="B56">IFERROR(INDEX(Kulturen[HF],_xlfn.AGGREGATE(15,6,(ROW(Kulturen[Auswahl])-7)/(--(SEARCH("x",Kulturen[Auswahl])&gt;0)),ROW()-7),1),"")</f>
        <v>+++Ölfrüchte+++</v>
      </c>
      <c r="C56" s="772" t="str">
        <f>IF(Kulturen[[#This Row],[HF]]=$D$373,IF($C$6=0,0,"x"),IF($C$6=0,"x",Vorauswahl!C55))</f>
        <v>x</v>
      </c>
      <c r="D56" s="77" t="s">
        <v>549</v>
      </c>
      <c r="E56" s="77" t="s">
        <v>549</v>
      </c>
      <c r="F56" s="540" t="s">
        <v>550</v>
      </c>
      <c r="G56" s="540">
        <v>16</v>
      </c>
      <c r="H56" s="540">
        <v>8</v>
      </c>
      <c r="I56" s="540">
        <v>1</v>
      </c>
      <c r="J56" s="540">
        <v>90</v>
      </c>
      <c r="K56" s="540">
        <v>0.89</v>
      </c>
      <c r="L56" s="540">
        <v>2.5</v>
      </c>
      <c r="M56" s="540">
        <v>35</v>
      </c>
      <c r="N56" s="540">
        <v>0</v>
      </c>
      <c r="O56" s="540">
        <v>1</v>
      </c>
      <c r="P56" s="540">
        <v>0</v>
      </c>
      <c r="Q56" s="540">
        <v>130</v>
      </c>
      <c r="R56" s="540">
        <v>5</v>
      </c>
      <c r="S56" s="540">
        <v>10</v>
      </c>
      <c r="T56" s="540">
        <v>15</v>
      </c>
      <c r="U56" s="540">
        <v>0</v>
      </c>
      <c r="V56" s="540">
        <v>3</v>
      </c>
      <c r="W56" s="776">
        <f>IF(Kulturen[[#This Row],[Berechnungsschema]]=13,3,IF(Kulturen[[#This Row],[Berechnungsschema]]=6,2,1))</f>
        <v>1</v>
      </c>
      <c r="X56" s="776">
        <f>IF(Kulturen[[#This Row],[fruchtartengruppe]]=13,Kulturen[[#This Row],[NBedarfswert]],MAX(0,Kulturen[[#This Row],[NBedarfswert]]-Kulturen[[#This Row],[Ertrag]]*Kulturen[[#This Row],[Nfix]]))</f>
        <v>130</v>
      </c>
      <c r="Y56" s="776">
        <v>41</v>
      </c>
      <c r="Z56" s="776">
        <v>42</v>
      </c>
      <c r="AA56" s="776">
        <v>42</v>
      </c>
      <c r="AB56" s="776">
        <v>46</v>
      </c>
      <c r="AC56" s="776">
        <v>42</v>
      </c>
      <c r="AD56" s="776">
        <v>42</v>
      </c>
      <c r="AE56" s="776">
        <v>45</v>
      </c>
      <c r="AF56" s="776">
        <v>42</v>
      </c>
      <c r="AG56" s="776">
        <v>39</v>
      </c>
      <c r="AH56" s="776">
        <v>47</v>
      </c>
      <c r="AI56" s="776">
        <v>39</v>
      </c>
      <c r="AJ56" s="776">
        <v>39</v>
      </c>
      <c r="AK56" s="776">
        <v>42</v>
      </c>
      <c r="AL56" s="776">
        <v>40</v>
      </c>
      <c r="AM56" s="776">
        <v>42</v>
      </c>
      <c r="AN56" s="776">
        <v>44</v>
      </c>
      <c r="AO56" s="776">
        <v>39</v>
      </c>
      <c r="AP56" s="776">
        <v>40</v>
      </c>
      <c r="AQ56" s="776">
        <v>44</v>
      </c>
      <c r="AR56" s="776">
        <v>42</v>
      </c>
      <c r="AS56" s="776">
        <v>42</v>
      </c>
      <c r="AT56" s="776">
        <v>45</v>
      </c>
      <c r="AU56" s="776">
        <v>42</v>
      </c>
      <c r="AV56" s="776">
        <v>42</v>
      </c>
      <c r="AW56" s="776">
        <v>43</v>
      </c>
      <c r="AX56" s="776">
        <v>42</v>
      </c>
      <c r="AY56" s="776">
        <v>46</v>
      </c>
      <c r="AZ56" s="776">
        <v>42</v>
      </c>
      <c r="BA56" s="776">
        <v>43</v>
      </c>
      <c r="BB56" s="776">
        <v>42</v>
      </c>
      <c r="BC56" s="776">
        <v>43</v>
      </c>
      <c r="BD56" s="776">
        <v>42</v>
      </c>
      <c r="BE56" s="776">
        <v>42</v>
      </c>
      <c r="BF56" s="776">
        <v>42</v>
      </c>
      <c r="BG56" s="776">
        <v>42</v>
      </c>
      <c r="BH56" s="776">
        <v>42</v>
      </c>
      <c r="BI56" s="776">
        <v>42</v>
      </c>
      <c r="BJ56" s="776">
        <v>42</v>
      </c>
      <c r="BK56" s="776">
        <v>41</v>
      </c>
      <c r="BL56" s="776">
        <v>42</v>
      </c>
      <c r="BM56" s="776">
        <v>42</v>
      </c>
      <c r="BN56" s="776">
        <v>42</v>
      </c>
      <c r="BO56" s="776">
        <v>41</v>
      </c>
      <c r="BP56" s="776">
        <v>36</v>
      </c>
      <c r="BQ56" s="776">
        <v>42</v>
      </c>
      <c r="BR56" s="776">
        <v>42</v>
      </c>
      <c r="BS56" s="776">
        <v>42</v>
      </c>
      <c r="BT56" s="776">
        <v>42</v>
      </c>
      <c r="BU56" s="776">
        <v>42</v>
      </c>
      <c r="BV56" s="776">
        <v>39</v>
      </c>
      <c r="BW56" s="776">
        <v>42</v>
      </c>
      <c r="BX56" s="776">
        <v>41</v>
      </c>
      <c r="BY56" s="776">
        <v>41</v>
      </c>
      <c r="BZ56" s="776">
        <v>42</v>
      </c>
      <c r="CA56" s="776">
        <v>42</v>
      </c>
      <c r="CB56" s="776">
        <v>42</v>
      </c>
      <c r="CC56" s="776">
        <v>42</v>
      </c>
      <c r="CD56" s="776">
        <v>42</v>
      </c>
      <c r="CE56" s="776">
        <v>42</v>
      </c>
      <c r="CF56" s="776">
        <v>42</v>
      </c>
      <c r="CG56" s="776">
        <v>42</v>
      </c>
      <c r="CH56" s="776">
        <v>42</v>
      </c>
      <c r="CI56" s="776">
        <v>42</v>
      </c>
      <c r="CJ56" s="776">
        <v>40</v>
      </c>
      <c r="CK56" s="776">
        <v>41</v>
      </c>
      <c r="CL56" s="776">
        <v>43</v>
      </c>
      <c r="CM56" s="776">
        <v>40</v>
      </c>
      <c r="CN56" s="776">
        <v>35</v>
      </c>
      <c r="CO56" s="776">
        <v>39</v>
      </c>
      <c r="CP56" s="776">
        <v>39</v>
      </c>
      <c r="CQ56" s="776">
        <v>42</v>
      </c>
      <c r="CR56" s="776">
        <v>42</v>
      </c>
      <c r="CS56" s="776">
        <v>42</v>
      </c>
      <c r="CT56" s="776">
        <v>41</v>
      </c>
      <c r="CU56" s="776">
        <v>42</v>
      </c>
      <c r="CV56" s="776">
        <v>33</v>
      </c>
      <c r="CW56" s="776">
        <v>35</v>
      </c>
      <c r="CX56" s="776">
        <v>32</v>
      </c>
      <c r="CY56" s="776">
        <v>40</v>
      </c>
      <c r="CZ56" s="776">
        <v>39</v>
      </c>
      <c r="DA56" s="776">
        <v>38</v>
      </c>
      <c r="DB56" s="776">
        <v>39</v>
      </c>
      <c r="DC56" s="776">
        <v>42</v>
      </c>
      <c r="DD56" s="776">
        <v>42</v>
      </c>
      <c r="DE56" s="776">
        <v>42</v>
      </c>
      <c r="DF56" s="776">
        <v>42</v>
      </c>
      <c r="DG56" s="776">
        <v>44</v>
      </c>
      <c r="DH56" s="776">
        <v>46</v>
      </c>
      <c r="DI56" s="776">
        <v>43</v>
      </c>
      <c r="DJ56" s="776">
        <v>42</v>
      </c>
      <c r="DK56" s="776">
        <v>41</v>
      </c>
      <c r="DL56" s="776">
        <v>42</v>
      </c>
      <c r="DM56" s="776">
        <v>42</v>
      </c>
      <c r="DN56" s="776">
        <v>42</v>
      </c>
      <c r="DO56" s="776">
        <v>40</v>
      </c>
      <c r="DP56" s="776">
        <v>42</v>
      </c>
    </row>
    <row r="57" spans="1:120" x14ac:dyDescent="0.2">
      <c r="A57" s="637" t="str">
        <f>CONCATENATE(" ",Kulturen[[#This Row],[HF]])</f>
        <v xml:space="preserve"> Buchweizen</v>
      </c>
      <c r="B57" s="772" t="str" cm="1">
        <f t="array" ref="B57">IFERROR(INDEX(Kulturen[HF],_xlfn.AGGREGATE(15,6,(ROW(Kulturen[Auswahl])-7)/(--(SEARCH("x",Kulturen[Auswahl])&gt;0)),ROW()-7),1),"")</f>
        <v>Winterraps</v>
      </c>
      <c r="C57" s="772" t="str">
        <f>IF(Kulturen[[#This Row],[HF]]=$D$373,IF($C$6=0,0,"x"),IF($C$6=0,"x",Vorauswahl!C56))</f>
        <v>x</v>
      </c>
      <c r="D57" s="77" t="s">
        <v>25</v>
      </c>
      <c r="E57" s="77" t="s">
        <v>25</v>
      </c>
      <c r="F57" s="540" t="s">
        <v>547</v>
      </c>
      <c r="G57" s="540">
        <v>16</v>
      </c>
      <c r="H57" s="540">
        <v>8</v>
      </c>
      <c r="I57" s="540">
        <v>1</v>
      </c>
      <c r="J57" s="540">
        <v>90</v>
      </c>
      <c r="K57" s="540">
        <v>0.65</v>
      </c>
      <c r="L57" s="540">
        <v>1.35</v>
      </c>
      <c r="M57" s="540">
        <v>25</v>
      </c>
      <c r="N57" s="540">
        <v>0</v>
      </c>
      <c r="O57" s="540">
        <v>1</v>
      </c>
      <c r="P57" s="540">
        <v>0</v>
      </c>
      <c r="Q57" s="540">
        <v>100</v>
      </c>
      <c r="R57" s="540">
        <v>5</v>
      </c>
      <c r="S57" s="540">
        <v>10</v>
      </c>
      <c r="T57" s="540">
        <v>15</v>
      </c>
      <c r="U57" s="540">
        <v>0</v>
      </c>
      <c r="V57" s="540">
        <v>3</v>
      </c>
      <c r="W57" s="776">
        <f>IF(Kulturen[[#This Row],[Berechnungsschema]]=13,3,IF(Kulturen[[#This Row],[Berechnungsschema]]=6,2,1))</f>
        <v>1</v>
      </c>
      <c r="X57" s="776">
        <f>IF(Kulturen[[#This Row],[fruchtartengruppe]]=13,Kulturen[[#This Row],[NBedarfswert]],MAX(0,Kulturen[[#This Row],[NBedarfswert]]-Kulturen[[#This Row],[Ertrag]]*Kulturen[[#This Row],[Nfix]]))</f>
        <v>100</v>
      </c>
      <c r="Y57" s="776">
        <v>31</v>
      </c>
      <c r="Z57" s="776">
        <v>32</v>
      </c>
      <c r="AA57" s="776">
        <v>32</v>
      </c>
      <c r="AB57" s="776">
        <v>34</v>
      </c>
      <c r="AC57" s="776">
        <v>32</v>
      </c>
      <c r="AD57" s="776">
        <v>32</v>
      </c>
      <c r="AE57" s="776">
        <v>34</v>
      </c>
      <c r="AF57" s="776">
        <v>32</v>
      </c>
      <c r="AG57" s="776">
        <v>29</v>
      </c>
      <c r="AH57" s="776">
        <v>35</v>
      </c>
      <c r="AI57" s="776">
        <v>30</v>
      </c>
      <c r="AJ57" s="776">
        <v>29</v>
      </c>
      <c r="AK57" s="776">
        <v>32</v>
      </c>
      <c r="AL57" s="776">
        <v>30</v>
      </c>
      <c r="AM57" s="776">
        <v>32</v>
      </c>
      <c r="AN57" s="776">
        <v>33</v>
      </c>
      <c r="AO57" s="776">
        <v>30</v>
      </c>
      <c r="AP57" s="776">
        <v>30</v>
      </c>
      <c r="AQ57" s="776">
        <v>33</v>
      </c>
      <c r="AR57" s="776">
        <v>32</v>
      </c>
      <c r="AS57" s="776">
        <v>31</v>
      </c>
      <c r="AT57" s="776">
        <v>33</v>
      </c>
      <c r="AU57" s="776">
        <v>32</v>
      </c>
      <c r="AV57" s="776">
        <v>32</v>
      </c>
      <c r="AW57" s="776">
        <v>32</v>
      </c>
      <c r="AX57" s="776">
        <v>32</v>
      </c>
      <c r="AY57" s="776">
        <v>34</v>
      </c>
      <c r="AZ57" s="776">
        <v>32</v>
      </c>
      <c r="BA57" s="776">
        <v>32</v>
      </c>
      <c r="BB57" s="776">
        <v>31</v>
      </c>
      <c r="BC57" s="776">
        <v>33</v>
      </c>
      <c r="BD57" s="776">
        <v>32</v>
      </c>
      <c r="BE57" s="776">
        <v>32</v>
      </c>
      <c r="BF57" s="776">
        <v>32</v>
      </c>
      <c r="BG57" s="776">
        <v>31</v>
      </c>
      <c r="BH57" s="776">
        <v>32</v>
      </c>
      <c r="BI57" s="776">
        <v>31</v>
      </c>
      <c r="BJ57" s="776">
        <v>32</v>
      </c>
      <c r="BK57" s="776">
        <v>31</v>
      </c>
      <c r="BL57" s="776">
        <v>31</v>
      </c>
      <c r="BM57" s="776">
        <v>31</v>
      </c>
      <c r="BN57" s="776">
        <v>32</v>
      </c>
      <c r="BO57" s="776">
        <v>31</v>
      </c>
      <c r="BP57" s="776">
        <v>27</v>
      </c>
      <c r="BQ57" s="776">
        <v>32</v>
      </c>
      <c r="BR57" s="776">
        <v>32</v>
      </c>
      <c r="BS57" s="776">
        <v>32</v>
      </c>
      <c r="BT57" s="776">
        <v>32</v>
      </c>
      <c r="BU57" s="776">
        <v>32</v>
      </c>
      <c r="BV57" s="776">
        <v>29</v>
      </c>
      <c r="BW57" s="776">
        <v>32</v>
      </c>
      <c r="BX57" s="776">
        <v>31</v>
      </c>
      <c r="BY57" s="776">
        <v>31</v>
      </c>
      <c r="BZ57" s="776">
        <v>32</v>
      </c>
      <c r="CA57" s="776">
        <v>32</v>
      </c>
      <c r="CB57" s="776">
        <v>32</v>
      </c>
      <c r="CC57" s="776">
        <v>32</v>
      </c>
      <c r="CD57" s="776">
        <v>32</v>
      </c>
      <c r="CE57" s="776">
        <v>31</v>
      </c>
      <c r="CF57" s="776">
        <v>32</v>
      </c>
      <c r="CG57" s="776">
        <v>32</v>
      </c>
      <c r="CH57" s="776">
        <v>32</v>
      </c>
      <c r="CI57" s="776">
        <v>32</v>
      </c>
      <c r="CJ57" s="776">
        <v>30</v>
      </c>
      <c r="CK57" s="776">
        <v>30</v>
      </c>
      <c r="CL57" s="776">
        <v>33</v>
      </c>
      <c r="CM57" s="776">
        <v>30</v>
      </c>
      <c r="CN57" s="776">
        <v>27</v>
      </c>
      <c r="CO57" s="776">
        <v>30</v>
      </c>
      <c r="CP57" s="776">
        <v>29</v>
      </c>
      <c r="CQ57" s="776">
        <v>32</v>
      </c>
      <c r="CR57" s="776">
        <v>32</v>
      </c>
      <c r="CS57" s="776">
        <v>31</v>
      </c>
      <c r="CT57" s="776">
        <v>30</v>
      </c>
      <c r="CU57" s="776">
        <v>32</v>
      </c>
      <c r="CV57" s="776">
        <v>25</v>
      </c>
      <c r="CW57" s="776">
        <v>26</v>
      </c>
      <c r="CX57" s="776">
        <v>24</v>
      </c>
      <c r="CY57" s="776">
        <v>30</v>
      </c>
      <c r="CZ57" s="776">
        <v>29</v>
      </c>
      <c r="DA57" s="776">
        <v>28</v>
      </c>
      <c r="DB57" s="776">
        <v>29</v>
      </c>
      <c r="DC57" s="776">
        <v>32</v>
      </c>
      <c r="DD57" s="776">
        <v>32</v>
      </c>
      <c r="DE57" s="776">
        <v>32</v>
      </c>
      <c r="DF57" s="776">
        <v>32</v>
      </c>
      <c r="DG57" s="776">
        <v>33</v>
      </c>
      <c r="DH57" s="776">
        <v>35</v>
      </c>
      <c r="DI57" s="776">
        <v>32</v>
      </c>
      <c r="DJ57" s="776">
        <v>32</v>
      </c>
      <c r="DK57" s="776">
        <v>31</v>
      </c>
      <c r="DL57" s="776">
        <v>32</v>
      </c>
      <c r="DM57" s="776">
        <v>32</v>
      </c>
      <c r="DN57" s="776">
        <v>31</v>
      </c>
      <c r="DO57" s="776">
        <v>30</v>
      </c>
      <c r="DP57" s="776">
        <v>32</v>
      </c>
    </row>
    <row r="58" spans="1:120" x14ac:dyDescent="0.2">
      <c r="A58" s="637" t="str">
        <f>CONCATENATE(" ",Kulturen[[#This Row],[HF]])</f>
        <v xml:space="preserve"> Quinoa</v>
      </c>
      <c r="B58" s="772" t="str" cm="1">
        <f t="array" ref="B58">IFERROR(INDEX(Kulturen[HF],_xlfn.AGGREGATE(15,6,(ROW(Kulturen[Auswahl])-7)/(--(SEARCH("x",Kulturen[Auswahl])&gt;0)),ROW()-7),1),"")</f>
        <v>Sommerraps</v>
      </c>
      <c r="C58" s="772" t="str">
        <f>IF(Kulturen[[#This Row],[HF]]=$D$373,IF($C$6=0,0,"x"),IF($C$6=0,"x",Vorauswahl!C57))</f>
        <v>x</v>
      </c>
      <c r="D58" s="77" t="s">
        <v>27</v>
      </c>
      <c r="E58" s="77" t="s">
        <v>27</v>
      </c>
      <c r="F58" s="540" t="s">
        <v>551</v>
      </c>
      <c r="G58" s="540">
        <v>16</v>
      </c>
      <c r="H58" s="540">
        <v>8</v>
      </c>
      <c r="I58" s="540">
        <v>1</v>
      </c>
      <c r="J58" s="540">
        <v>90</v>
      </c>
      <c r="K58" s="540">
        <v>0.94</v>
      </c>
      <c r="L58" s="540">
        <v>2.34</v>
      </c>
      <c r="M58" s="540">
        <v>30</v>
      </c>
      <c r="N58" s="540">
        <v>0</v>
      </c>
      <c r="O58" s="540">
        <v>1</v>
      </c>
      <c r="P58" s="540">
        <v>0</v>
      </c>
      <c r="Q58" s="540">
        <v>120</v>
      </c>
      <c r="R58" s="540">
        <v>5</v>
      </c>
      <c r="S58" s="540">
        <v>10</v>
      </c>
      <c r="T58" s="540">
        <v>15</v>
      </c>
      <c r="U58" s="540">
        <v>0</v>
      </c>
      <c r="V58" s="540">
        <v>3</v>
      </c>
      <c r="W58" s="776">
        <f>IF(Kulturen[[#This Row],[Berechnungsschema]]=13,3,IF(Kulturen[[#This Row],[Berechnungsschema]]=6,2,1))</f>
        <v>1</v>
      </c>
      <c r="X58" s="776">
        <f>IF(Kulturen[[#This Row],[fruchtartengruppe]]=13,Kulturen[[#This Row],[NBedarfswert]],MAX(0,Kulturen[[#This Row],[NBedarfswert]]-Kulturen[[#This Row],[Ertrag]]*Kulturen[[#This Row],[Nfix]]))</f>
        <v>120</v>
      </c>
      <c r="Y58" s="776">
        <v>36</v>
      </c>
      <c r="Z58" s="776">
        <v>37</v>
      </c>
      <c r="AA58" s="776">
        <v>37</v>
      </c>
      <c r="AB58" s="776">
        <v>40</v>
      </c>
      <c r="AC58" s="776">
        <v>37</v>
      </c>
      <c r="AD58" s="776">
        <v>37</v>
      </c>
      <c r="AE58" s="776">
        <v>39</v>
      </c>
      <c r="AF58" s="776">
        <v>37</v>
      </c>
      <c r="AG58" s="776">
        <v>34</v>
      </c>
      <c r="AH58" s="776">
        <v>41</v>
      </c>
      <c r="AI58" s="776">
        <v>35</v>
      </c>
      <c r="AJ58" s="776">
        <v>34</v>
      </c>
      <c r="AK58" s="776">
        <v>37</v>
      </c>
      <c r="AL58" s="776">
        <v>35</v>
      </c>
      <c r="AM58" s="776">
        <v>37</v>
      </c>
      <c r="AN58" s="776">
        <v>38</v>
      </c>
      <c r="AO58" s="776">
        <v>35</v>
      </c>
      <c r="AP58" s="776">
        <v>35</v>
      </c>
      <c r="AQ58" s="776">
        <v>38</v>
      </c>
      <c r="AR58" s="776">
        <v>37</v>
      </c>
      <c r="AS58" s="776">
        <v>36</v>
      </c>
      <c r="AT58" s="776">
        <v>39</v>
      </c>
      <c r="AU58" s="776">
        <v>37</v>
      </c>
      <c r="AV58" s="776">
        <v>37</v>
      </c>
      <c r="AW58" s="776">
        <v>37</v>
      </c>
      <c r="AX58" s="776">
        <v>37</v>
      </c>
      <c r="AY58" s="776">
        <v>40</v>
      </c>
      <c r="AZ58" s="776">
        <v>37</v>
      </c>
      <c r="BA58" s="776">
        <v>38</v>
      </c>
      <c r="BB58" s="776">
        <v>36</v>
      </c>
      <c r="BC58" s="776">
        <v>38</v>
      </c>
      <c r="BD58" s="776">
        <v>37</v>
      </c>
      <c r="BE58" s="776">
        <v>37</v>
      </c>
      <c r="BF58" s="776">
        <v>37</v>
      </c>
      <c r="BG58" s="776">
        <v>36</v>
      </c>
      <c r="BH58" s="776">
        <v>37</v>
      </c>
      <c r="BI58" s="776">
        <v>37</v>
      </c>
      <c r="BJ58" s="776">
        <v>37</v>
      </c>
      <c r="BK58" s="776">
        <v>36</v>
      </c>
      <c r="BL58" s="776">
        <v>36</v>
      </c>
      <c r="BM58" s="776">
        <v>37</v>
      </c>
      <c r="BN58" s="776">
        <v>37</v>
      </c>
      <c r="BO58" s="776">
        <v>36</v>
      </c>
      <c r="BP58" s="776">
        <v>32</v>
      </c>
      <c r="BQ58" s="776">
        <v>37</v>
      </c>
      <c r="BR58" s="776">
        <v>37</v>
      </c>
      <c r="BS58" s="776">
        <v>37</v>
      </c>
      <c r="BT58" s="776">
        <v>37</v>
      </c>
      <c r="BU58" s="776">
        <v>37</v>
      </c>
      <c r="BV58" s="776">
        <v>34</v>
      </c>
      <c r="BW58" s="776">
        <v>37</v>
      </c>
      <c r="BX58" s="776">
        <v>36</v>
      </c>
      <c r="BY58" s="776">
        <v>36</v>
      </c>
      <c r="BZ58" s="776">
        <v>37</v>
      </c>
      <c r="CA58" s="776">
        <v>37</v>
      </c>
      <c r="CB58" s="776">
        <v>37</v>
      </c>
      <c r="CC58" s="776">
        <v>37</v>
      </c>
      <c r="CD58" s="776">
        <v>37</v>
      </c>
      <c r="CE58" s="776">
        <v>37</v>
      </c>
      <c r="CF58" s="776">
        <v>37</v>
      </c>
      <c r="CG58" s="776">
        <v>37</v>
      </c>
      <c r="CH58" s="776">
        <v>37</v>
      </c>
      <c r="CI58" s="776">
        <v>37</v>
      </c>
      <c r="CJ58" s="776">
        <v>35</v>
      </c>
      <c r="CK58" s="776">
        <v>35</v>
      </c>
      <c r="CL58" s="776">
        <v>38</v>
      </c>
      <c r="CM58" s="776">
        <v>35</v>
      </c>
      <c r="CN58" s="776">
        <v>31</v>
      </c>
      <c r="CO58" s="776">
        <v>35</v>
      </c>
      <c r="CP58" s="776">
        <v>34</v>
      </c>
      <c r="CQ58" s="776">
        <v>37</v>
      </c>
      <c r="CR58" s="776">
        <v>37</v>
      </c>
      <c r="CS58" s="776">
        <v>36</v>
      </c>
      <c r="CT58" s="776">
        <v>36</v>
      </c>
      <c r="CU58" s="776">
        <v>37</v>
      </c>
      <c r="CV58" s="776">
        <v>29</v>
      </c>
      <c r="CW58" s="776">
        <v>30</v>
      </c>
      <c r="CX58" s="776">
        <v>28</v>
      </c>
      <c r="CY58" s="776">
        <v>35</v>
      </c>
      <c r="CZ58" s="776">
        <v>34</v>
      </c>
      <c r="DA58" s="776">
        <v>33</v>
      </c>
      <c r="DB58" s="776">
        <v>34</v>
      </c>
      <c r="DC58" s="776">
        <v>37</v>
      </c>
      <c r="DD58" s="776">
        <v>37</v>
      </c>
      <c r="DE58" s="776">
        <v>37</v>
      </c>
      <c r="DF58" s="776">
        <v>37</v>
      </c>
      <c r="DG58" s="776">
        <v>39</v>
      </c>
      <c r="DH58" s="776">
        <v>41</v>
      </c>
      <c r="DI58" s="776">
        <v>38</v>
      </c>
      <c r="DJ58" s="776">
        <v>37</v>
      </c>
      <c r="DK58" s="776">
        <v>36</v>
      </c>
      <c r="DL58" s="776">
        <v>37</v>
      </c>
      <c r="DM58" s="776">
        <v>37</v>
      </c>
      <c r="DN58" s="776">
        <v>36</v>
      </c>
      <c r="DO58" s="776">
        <v>35</v>
      </c>
      <c r="DP58" s="776">
        <v>37</v>
      </c>
    </row>
    <row r="59" spans="1:120" x14ac:dyDescent="0.2">
      <c r="A59" s="637" t="str">
        <f>CONCATENATE(" ",Kulturen[[#This Row],[HF]])</f>
        <v xml:space="preserve"> +++Körnerleguminosen+++</v>
      </c>
      <c r="B59" s="772" t="str" cm="1">
        <f t="array" ref="B59">IFERROR(INDEX(Kulturen[HF],_xlfn.AGGREGATE(15,6,(ROW(Kulturen[Auswahl])-7)/(--(SEARCH("x",Kulturen[Auswahl])&gt;0)),ROW()-7),1),"")</f>
        <v>Rübsen</v>
      </c>
      <c r="C59" s="772" t="str">
        <f>IF(Kulturen[[#This Row],[HF]]=$D$373,IF($C$6=0,0,"x"),IF($C$6=0,"x",Vorauswahl!C58))</f>
        <v>x</v>
      </c>
      <c r="D59" s="77" t="s">
        <v>1894</v>
      </c>
      <c r="E59" s="77" t="s">
        <v>1894</v>
      </c>
      <c r="F59" s="540" t="s">
        <v>1859</v>
      </c>
      <c r="G59" s="540">
        <v>2</v>
      </c>
      <c r="H59" s="540">
        <v>8</v>
      </c>
      <c r="I59" s="540">
        <v>0</v>
      </c>
      <c r="J59" s="540">
        <v>90</v>
      </c>
      <c r="K59" s="540">
        <v>0</v>
      </c>
      <c r="L59" s="540">
        <v>0</v>
      </c>
      <c r="M59" s="540">
        <v>0</v>
      </c>
      <c r="N59" s="540">
        <v>0</v>
      </c>
      <c r="O59" s="540">
        <v>1</v>
      </c>
      <c r="P59" s="540">
        <v>0</v>
      </c>
      <c r="Q59" s="540">
        <v>0</v>
      </c>
      <c r="R59" s="540">
        <v>1</v>
      </c>
      <c r="S59" s="540">
        <v>0</v>
      </c>
      <c r="T59" s="540">
        <v>0</v>
      </c>
      <c r="U59" s="540">
        <v>0</v>
      </c>
      <c r="V59" s="540">
        <v>0</v>
      </c>
      <c r="W59" s="776">
        <f>IF(Kulturen[[#This Row],[Berechnungsschema]]=13,3,IF(Kulturen[[#This Row],[Berechnungsschema]]=6,2,1))</f>
        <v>1</v>
      </c>
      <c r="X59" s="776">
        <f>IF(Kulturen[[#This Row],[fruchtartengruppe]]=13,Kulturen[[#This Row],[NBedarfswert]],MAX(0,Kulturen[[#This Row],[NBedarfswert]]-Kulturen[[#This Row],[Ertrag]]*Kulturen[[#This Row],[Nfix]]))</f>
        <v>0</v>
      </c>
      <c r="Y59" s="776" t="s">
        <v>2127</v>
      </c>
      <c r="Z59" s="776" t="s">
        <v>2127</v>
      </c>
      <c r="AA59" s="776" t="s">
        <v>2127</v>
      </c>
      <c r="AB59" s="776" t="s">
        <v>2127</v>
      </c>
      <c r="AC59" s="776" t="s">
        <v>2127</v>
      </c>
      <c r="AD59" s="776" t="s">
        <v>2127</v>
      </c>
      <c r="AE59" s="776" t="s">
        <v>2127</v>
      </c>
      <c r="AF59" s="776" t="s">
        <v>2127</v>
      </c>
      <c r="AG59" s="776" t="s">
        <v>2127</v>
      </c>
      <c r="AH59" s="776" t="s">
        <v>2127</v>
      </c>
      <c r="AI59" s="776" t="s">
        <v>2127</v>
      </c>
      <c r="AJ59" s="776" t="s">
        <v>2127</v>
      </c>
      <c r="AK59" s="776" t="s">
        <v>2127</v>
      </c>
      <c r="AL59" s="776" t="s">
        <v>2127</v>
      </c>
      <c r="AM59" s="776" t="s">
        <v>2127</v>
      </c>
      <c r="AN59" s="776" t="s">
        <v>2127</v>
      </c>
      <c r="AO59" s="776" t="s">
        <v>2127</v>
      </c>
      <c r="AP59" s="776" t="s">
        <v>2127</v>
      </c>
      <c r="AQ59" s="776" t="s">
        <v>2127</v>
      </c>
      <c r="AR59" s="776" t="s">
        <v>2127</v>
      </c>
      <c r="AS59" s="776" t="s">
        <v>2127</v>
      </c>
      <c r="AT59" s="776" t="s">
        <v>2127</v>
      </c>
      <c r="AU59" s="776" t="s">
        <v>2127</v>
      </c>
      <c r="AV59" s="776" t="s">
        <v>2127</v>
      </c>
      <c r="AW59" s="776" t="s">
        <v>2127</v>
      </c>
      <c r="AX59" s="776" t="s">
        <v>2127</v>
      </c>
      <c r="AY59" s="776" t="s">
        <v>2127</v>
      </c>
      <c r="AZ59" s="776" t="s">
        <v>2127</v>
      </c>
      <c r="BA59" s="776" t="s">
        <v>2127</v>
      </c>
      <c r="BB59" s="776" t="s">
        <v>2127</v>
      </c>
      <c r="BC59" s="776" t="s">
        <v>2127</v>
      </c>
      <c r="BD59" s="776" t="s">
        <v>2127</v>
      </c>
      <c r="BE59" s="776" t="s">
        <v>2127</v>
      </c>
      <c r="BF59" s="776" t="s">
        <v>2127</v>
      </c>
      <c r="BG59" s="776" t="s">
        <v>2127</v>
      </c>
      <c r="BH59" s="776" t="s">
        <v>2127</v>
      </c>
      <c r="BI59" s="776" t="s">
        <v>2127</v>
      </c>
      <c r="BJ59" s="776" t="s">
        <v>2127</v>
      </c>
      <c r="BK59" s="776" t="s">
        <v>2127</v>
      </c>
      <c r="BL59" s="776" t="s">
        <v>2127</v>
      </c>
      <c r="BM59" s="776" t="s">
        <v>2127</v>
      </c>
      <c r="BN59" s="776" t="s">
        <v>2127</v>
      </c>
      <c r="BO59" s="776" t="s">
        <v>2127</v>
      </c>
      <c r="BP59" s="776" t="s">
        <v>2127</v>
      </c>
      <c r="BQ59" s="776" t="s">
        <v>2127</v>
      </c>
      <c r="BR59" s="776" t="s">
        <v>2127</v>
      </c>
      <c r="BS59" s="776" t="s">
        <v>2127</v>
      </c>
      <c r="BT59" s="776" t="s">
        <v>2127</v>
      </c>
      <c r="BU59" s="776" t="s">
        <v>2127</v>
      </c>
      <c r="BV59" s="776" t="s">
        <v>2127</v>
      </c>
      <c r="BW59" s="776" t="s">
        <v>2127</v>
      </c>
      <c r="BX59" s="776" t="s">
        <v>2127</v>
      </c>
      <c r="BY59" s="776" t="s">
        <v>2127</v>
      </c>
      <c r="BZ59" s="776" t="s">
        <v>2127</v>
      </c>
      <c r="CA59" s="776" t="s">
        <v>2127</v>
      </c>
      <c r="CB59" s="776" t="s">
        <v>2127</v>
      </c>
      <c r="CC59" s="776" t="s">
        <v>2127</v>
      </c>
      <c r="CD59" s="776" t="s">
        <v>2127</v>
      </c>
      <c r="CE59" s="776" t="s">
        <v>2127</v>
      </c>
      <c r="CF59" s="776" t="s">
        <v>2127</v>
      </c>
      <c r="CG59" s="776" t="s">
        <v>2127</v>
      </c>
      <c r="CH59" s="776" t="s">
        <v>2127</v>
      </c>
      <c r="CI59" s="776" t="s">
        <v>2127</v>
      </c>
      <c r="CJ59" s="776" t="s">
        <v>2127</v>
      </c>
      <c r="CK59" s="776" t="s">
        <v>2127</v>
      </c>
      <c r="CL59" s="776" t="s">
        <v>2127</v>
      </c>
      <c r="CM59" s="776" t="s">
        <v>2127</v>
      </c>
      <c r="CN59" s="776" t="s">
        <v>2127</v>
      </c>
      <c r="CO59" s="776" t="s">
        <v>2127</v>
      </c>
      <c r="CP59" s="776" t="s">
        <v>2127</v>
      </c>
      <c r="CQ59" s="776" t="s">
        <v>2127</v>
      </c>
      <c r="CR59" s="776" t="s">
        <v>2127</v>
      </c>
      <c r="CS59" s="776" t="s">
        <v>2127</v>
      </c>
      <c r="CT59" s="776" t="s">
        <v>2127</v>
      </c>
      <c r="CU59" s="776" t="s">
        <v>2127</v>
      </c>
      <c r="CV59" s="776" t="s">
        <v>2127</v>
      </c>
      <c r="CW59" s="776" t="s">
        <v>2127</v>
      </c>
      <c r="CX59" s="776" t="s">
        <v>2127</v>
      </c>
      <c r="CY59" s="776" t="s">
        <v>2127</v>
      </c>
      <c r="CZ59" s="776" t="s">
        <v>2127</v>
      </c>
      <c r="DA59" s="776" t="s">
        <v>2127</v>
      </c>
      <c r="DB59" s="776" t="s">
        <v>2127</v>
      </c>
      <c r="DC59" s="776" t="s">
        <v>2127</v>
      </c>
      <c r="DD59" s="776" t="s">
        <v>2127</v>
      </c>
      <c r="DE59" s="776" t="s">
        <v>2127</v>
      </c>
      <c r="DF59" s="776" t="s">
        <v>2127</v>
      </c>
      <c r="DG59" s="776" t="s">
        <v>2127</v>
      </c>
      <c r="DH59" s="776" t="s">
        <v>2127</v>
      </c>
      <c r="DI59" s="776" t="s">
        <v>2127</v>
      </c>
      <c r="DJ59" s="776" t="s">
        <v>2127</v>
      </c>
      <c r="DK59" s="776" t="s">
        <v>2127</v>
      </c>
      <c r="DL59" s="776" t="s">
        <v>2127</v>
      </c>
      <c r="DM59" s="776" t="s">
        <v>2127</v>
      </c>
      <c r="DN59" s="776" t="s">
        <v>2127</v>
      </c>
      <c r="DO59" s="776" t="s">
        <v>2127</v>
      </c>
      <c r="DP59" s="776" t="s">
        <v>2127</v>
      </c>
    </row>
    <row r="60" spans="1:120" x14ac:dyDescent="0.2">
      <c r="A60" s="637" t="str">
        <f>CONCATENATE(" ",Kulturen[[#This Row],[HF]])</f>
        <v xml:space="preserve"> Ackerbohnen</v>
      </c>
      <c r="B60" s="772" t="str" cm="1">
        <f t="array" ref="B60">IFERROR(INDEX(Kulturen[HF],_xlfn.AGGREGATE(15,6,(ROW(Kulturen[Auswahl])-7)/(--(SEARCH("x",Kulturen[Auswahl])&gt;0)),ROW()-7),1),"")</f>
        <v>Sonnenblumen</v>
      </c>
      <c r="C60" s="772" t="str">
        <f>IF(Kulturen[[#This Row],[HF]]=$D$373,IF($C$6=0,0,"x"),IF($C$6=0,"x",Vorauswahl!C59))</f>
        <v>x</v>
      </c>
      <c r="D60" s="77" t="s">
        <v>85</v>
      </c>
      <c r="E60" s="77" t="s">
        <v>85</v>
      </c>
      <c r="F60" s="540" t="s">
        <v>552</v>
      </c>
      <c r="G60" s="540">
        <v>2</v>
      </c>
      <c r="H60" s="540">
        <v>8</v>
      </c>
      <c r="I60" s="540">
        <v>1</v>
      </c>
      <c r="J60" s="540">
        <v>90</v>
      </c>
      <c r="K60" s="540">
        <v>1.2</v>
      </c>
      <c r="L60" s="540">
        <v>1.5</v>
      </c>
      <c r="M60" s="540">
        <v>35</v>
      </c>
      <c r="N60" s="540">
        <v>5</v>
      </c>
      <c r="O60" s="540">
        <v>1</v>
      </c>
      <c r="P60" s="540">
        <v>0</v>
      </c>
      <c r="Q60" s="540">
        <v>0</v>
      </c>
      <c r="R60" s="540">
        <v>10</v>
      </c>
      <c r="S60" s="540">
        <v>0</v>
      </c>
      <c r="T60" s="540">
        <v>0</v>
      </c>
      <c r="U60" s="540">
        <v>10</v>
      </c>
      <c r="V60" s="540">
        <v>3</v>
      </c>
      <c r="W60" s="776">
        <f>IF(Kulturen[[#This Row],[Berechnungsschema]]=13,3,IF(Kulturen[[#This Row],[Berechnungsschema]]=6,2,1))</f>
        <v>1</v>
      </c>
      <c r="X60" s="776">
        <f>IF(Kulturen[[#This Row],[fruchtartengruppe]]=13,Kulturen[[#This Row],[NBedarfswert]],MAX(0,Kulturen[[#This Row],[NBedarfswert]]-Kulturen[[#This Row],[Ertrag]]*Kulturen[[#This Row],[Nfix]]))</f>
        <v>0</v>
      </c>
      <c r="Y60" s="776">
        <v>30</v>
      </c>
      <c r="Z60" s="776">
        <v>30</v>
      </c>
      <c r="AA60" s="776">
        <v>29</v>
      </c>
      <c r="AB60" s="776">
        <v>29</v>
      </c>
      <c r="AC60" s="776">
        <v>30</v>
      </c>
      <c r="AD60" s="776">
        <v>29</v>
      </c>
      <c r="AE60" s="776">
        <v>30</v>
      </c>
      <c r="AF60" s="776">
        <v>31</v>
      </c>
      <c r="AG60" s="776">
        <v>28</v>
      </c>
      <c r="AH60" s="776">
        <v>31</v>
      </c>
      <c r="AI60" s="776">
        <v>27</v>
      </c>
      <c r="AJ60" s="776">
        <v>31</v>
      </c>
      <c r="AK60" s="776">
        <v>29</v>
      </c>
      <c r="AL60" s="776">
        <v>31</v>
      </c>
      <c r="AM60" s="776">
        <v>28</v>
      </c>
      <c r="AN60" s="776">
        <v>32</v>
      </c>
      <c r="AO60" s="776">
        <v>30</v>
      </c>
      <c r="AP60" s="776">
        <v>27</v>
      </c>
      <c r="AQ60" s="776">
        <v>27</v>
      </c>
      <c r="AR60" s="776">
        <v>27</v>
      </c>
      <c r="AS60" s="776">
        <v>29</v>
      </c>
      <c r="AT60" s="776">
        <v>30</v>
      </c>
      <c r="AU60" s="776">
        <v>30</v>
      </c>
      <c r="AV60" s="776">
        <v>28</v>
      </c>
      <c r="AW60" s="776">
        <v>29</v>
      </c>
      <c r="AX60" s="776">
        <v>29</v>
      </c>
      <c r="AY60" s="776">
        <v>30</v>
      </c>
      <c r="AZ60" s="776">
        <v>29</v>
      </c>
      <c r="BA60" s="776">
        <v>27</v>
      </c>
      <c r="BB60" s="776">
        <v>27</v>
      </c>
      <c r="BC60" s="776">
        <v>29</v>
      </c>
      <c r="BD60" s="776">
        <v>29</v>
      </c>
      <c r="BE60" s="776">
        <v>27</v>
      </c>
      <c r="BF60" s="776">
        <v>31</v>
      </c>
      <c r="BG60" s="776">
        <v>33</v>
      </c>
      <c r="BH60" s="776">
        <v>29</v>
      </c>
      <c r="BI60" s="776">
        <v>28</v>
      </c>
      <c r="BJ60" s="776">
        <v>26</v>
      </c>
      <c r="BK60" s="776">
        <v>32</v>
      </c>
      <c r="BL60" s="776">
        <v>29</v>
      </c>
      <c r="BM60" s="776">
        <v>29</v>
      </c>
      <c r="BN60" s="776">
        <v>28</v>
      </c>
      <c r="BO60" s="776">
        <v>27</v>
      </c>
      <c r="BP60" s="776">
        <v>27</v>
      </c>
      <c r="BQ60" s="776">
        <v>29</v>
      </c>
      <c r="BR60" s="776">
        <v>29</v>
      </c>
      <c r="BS60" s="776">
        <v>29</v>
      </c>
      <c r="BT60" s="776">
        <v>29</v>
      </c>
      <c r="BU60" s="776">
        <v>29</v>
      </c>
      <c r="BV60" s="776">
        <v>28</v>
      </c>
      <c r="BW60" s="776">
        <v>28</v>
      </c>
      <c r="BX60" s="776">
        <v>30</v>
      </c>
      <c r="BY60" s="776">
        <v>27</v>
      </c>
      <c r="BZ60" s="776">
        <v>29</v>
      </c>
      <c r="CA60" s="776">
        <v>27</v>
      </c>
      <c r="CB60" s="776">
        <v>27</v>
      </c>
      <c r="CC60" s="776">
        <v>27</v>
      </c>
      <c r="CD60" s="776">
        <v>29</v>
      </c>
      <c r="CE60" s="776">
        <v>29</v>
      </c>
      <c r="CF60" s="776">
        <v>30</v>
      </c>
      <c r="CG60" s="776">
        <v>29</v>
      </c>
      <c r="CH60" s="776">
        <v>29</v>
      </c>
      <c r="CI60" s="776">
        <v>29</v>
      </c>
      <c r="CJ60" s="776">
        <v>31</v>
      </c>
      <c r="CK60" s="776">
        <v>29</v>
      </c>
      <c r="CL60" s="776">
        <v>29</v>
      </c>
      <c r="CM60" s="776">
        <v>28</v>
      </c>
      <c r="CN60" s="776">
        <v>32</v>
      </c>
      <c r="CO60" s="776">
        <v>28</v>
      </c>
      <c r="CP60" s="776">
        <v>28</v>
      </c>
      <c r="CQ60" s="776">
        <v>29</v>
      </c>
      <c r="CR60" s="776">
        <v>29</v>
      </c>
      <c r="CS60" s="776">
        <v>29</v>
      </c>
      <c r="CT60" s="776">
        <v>31</v>
      </c>
      <c r="CU60" s="776">
        <v>27</v>
      </c>
      <c r="CV60" s="776">
        <v>26</v>
      </c>
      <c r="CW60" s="776">
        <v>27</v>
      </c>
      <c r="CX60" s="776">
        <v>27</v>
      </c>
      <c r="CY60" s="776">
        <v>29</v>
      </c>
      <c r="CZ60" s="776">
        <v>30</v>
      </c>
      <c r="DA60" s="776">
        <v>27</v>
      </c>
      <c r="DB60" s="776">
        <v>28</v>
      </c>
      <c r="DC60" s="776">
        <v>29</v>
      </c>
      <c r="DD60" s="776">
        <v>29</v>
      </c>
      <c r="DE60" s="776">
        <v>29</v>
      </c>
      <c r="DF60" s="776">
        <v>30</v>
      </c>
      <c r="DG60" s="776">
        <v>36</v>
      </c>
      <c r="DH60" s="776">
        <v>30</v>
      </c>
      <c r="DI60" s="776">
        <v>29</v>
      </c>
      <c r="DJ60" s="776">
        <v>29</v>
      </c>
      <c r="DK60" s="776">
        <v>29</v>
      </c>
      <c r="DL60" s="776">
        <v>29</v>
      </c>
      <c r="DM60" s="776">
        <v>30</v>
      </c>
      <c r="DN60" s="776">
        <v>29</v>
      </c>
      <c r="DO60" s="776">
        <v>31</v>
      </c>
      <c r="DP60" s="776">
        <v>29</v>
      </c>
    </row>
    <row r="61" spans="1:120" x14ac:dyDescent="0.2">
      <c r="A61" s="637" t="str">
        <f>CONCATENATE(" ",Kulturen[[#This Row],[HF]])</f>
        <v xml:space="preserve"> Erbsen</v>
      </c>
      <c r="B61" s="772" t="str" cm="1">
        <f t="array" ref="B61">IFERROR(INDEX(Kulturen[HF],_xlfn.AGGREGATE(15,6,(ROW(Kulturen[Auswahl])-7)/(--(SEARCH("x",Kulturen[Auswahl])&gt;0)),ROW()-7),1),"")</f>
        <v>Körnersenf</v>
      </c>
      <c r="C61" s="772" t="str">
        <f>IF(Kulturen[[#This Row],[HF]]=$D$373,IF($C$6=0,0,"x"),IF($C$6=0,"x",Vorauswahl!C60))</f>
        <v>x</v>
      </c>
      <c r="D61" s="77" t="s">
        <v>86</v>
      </c>
      <c r="E61" s="77" t="s">
        <v>86</v>
      </c>
      <c r="F61" s="540" t="s">
        <v>1895</v>
      </c>
      <c r="G61" s="540">
        <v>2</v>
      </c>
      <c r="H61" s="540">
        <v>8</v>
      </c>
      <c r="I61" s="540">
        <v>1</v>
      </c>
      <c r="J61" s="540">
        <v>90</v>
      </c>
      <c r="K61" s="540">
        <v>1.1000000000000001</v>
      </c>
      <c r="L61" s="540">
        <v>1.4</v>
      </c>
      <c r="M61" s="540">
        <v>35</v>
      </c>
      <c r="N61" s="540">
        <v>4.4000000000000004</v>
      </c>
      <c r="O61" s="540">
        <v>1</v>
      </c>
      <c r="P61" s="540">
        <v>0</v>
      </c>
      <c r="Q61" s="540">
        <v>0</v>
      </c>
      <c r="R61" s="540">
        <v>10</v>
      </c>
      <c r="S61" s="540">
        <v>0</v>
      </c>
      <c r="T61" s="540">
        <v>0</v>
      </c>
      <c r="U61" s="540">
        <v>10</v>
      </c>
      <c r="V61" s="540">
        <v>3</v>
      </c>
      <c r="W61" s="776">
        <f>IF(Kulturen[[#This Row],[Berechnungsschema]]=13,3,IF(Kulturen[[#This Row],[Berechnungsschema]]=6,2,1))</f>
        <v>1</v>
      </c>
      <c r="X61" s="776">
        <f>IF(Kulturen[[#This Row],[fruchtartengruppe]]=13,Kulturen[[#This Row],[NBedarfswert]],MAX(0,Kulturen[[#This Row],[NBedarfswert]]-Kulturen[[#This Row],[Ertrag]]*Kulturen[[#This Row],[Nfix]]))</f>
        <v>0</v>
      </c>
      <c r="Y61" s="776">
        <v>30</v>
      </c>
      <c r="Z61" s="776">
        <v>31</v>
      </c>
      <c r="AA61" s="776">
        <v>31</v>
      </c>
      <c r="AB61" s="776">
        <v>32</v>
      </c>
      <c r="AC61" s="776">
        <v>30</v>
      </c>
      <c r="AD61" s="776">
        <v>31</v>
      </c>
      <c r="AE61" s="776">
        <v>31</v>
      </c>
      <c r="AF61" s="776">
        <v>30</v>
      </c>
      <c r="AG61" s="776">
        <v>32</v>
      </c>
      <c r="AH61" s="776">
        <v>32</v>
      </c>
      <c r="AI61" s="776">
        <v>32</v>
      </c>
      <c r="AJ61" s="776">
        <v>32</v>
      </c>
      <c r="AK61" s="776">
        <v>31</v>
      </c>
      <c r="AL61" s="776">
        <v>32</v>
      </c>
      <c r="AM61" s="776">
        <v>32</v>
      </c>
      <c r="AN61" s="776">
        <v>31</v>
      </c>
      <c r="AO61" s="776">
        <v>31</v>
      </c>
      <c r="AP61" s="776">
        <v>35</v>
      </c>
      <c r="AQ61" s="776">
        <v>32</v>
      </c>
      <c r="AR61" s="776">
        <v>32</v>
      </c>
      <c r="AS61" s="776">
        <v>32</v>
      </c>
      <c r="AT61" s="776">
        <v>31</v>
      </c>
      <c r="AU61" s="776">
        <v>31</v>
      </c>
      <c r="AV61" s="776">
        <v>31</v>
      </c>
      <c r="AW61" s="776">
        <v>30</v>
      </c>
      <c r="AX61" s="776">
        <v>31</v>
      </c>
      <c r="AY61" s="776">
        <v>35</v>
      </c>
      <c r="AZ61" s="776">
        <v>31</v>
      </c>
      <c r="BA61" s="776">
        <v>35</v>
      </c>
      <c r="BB61" s="776">
        <v>31</v>
      </c>
      <c r="BC61" s="776">
        <v>30</v>
      </c>
      <c r="BD61" s="776">
        <v>31</v>
      </c>
      <c r="BE61" s="776">
        <v>30</v>
      </c>
      <c r="BF61" s="776">
        <v>32</v>
      </c>
      <c r="BG61" s="776">
        <v>35</v>
      </c>
      <c r="BH61" s="776">
        <v>32</v>
      </c>
      <c r="BI61" s="776">
        <v>31</v>
      </c>
      <c r="BJ61" s="776">
        <v>34</v>
      </c>
      <c r="BK61" s="776">
        <v>33</v>
      </c>
      <c r="BL61" s="776">
        <v>33</v>
      </c>
      <c r="BM61" s="776">
        <v>32</v>
      </c>
      <c r="BN61" s="776">
        <v>36</v>
      </c>
      <c r="BO61" s="776">
        <v>31</v>
      </c>
      <c r="BP61" s="776">
        <v>36</v>
      </c>
      <c r="BQ61" s="776">
        <v>35</v>
      </c>
      <c r="BR61" s="776">
        <v>30</v>
      </c>
      <c r="BS61" s="776">
        <v>32</v>
      </c>
      <c r="BT61" s="776">
        <v>31</v>
      </c>
      <c r="BU61" s="776">
        <v>30</v>
      </c>
      <c r="BV61" s="776">
        <v>26</v>
      </c>
      <c r="BW61" s="776">
        <v>36</v>
      </c>
      <c r="BX61" s="776">
        <v>28</v>
      </c>
      <c r="BY61" s="776">
        <v>28</v>
      </c>
      <c r="BZ61" s="776">
        <v>31</v>
      </c>
      <c r="CA61" s="776">
        <v>30</v>
      </c>
      <c r="CB61" s="776">
        <v>28</v>
      </c>
      <c r="CC61" s="776">
        <v>32</v>
      </c>
      <c r="CD61" s="776">
        <v>29</v>
      </c>
      <c r="CE61" s="776">
        <v>31</v>
      </c>
      <c r="CF61" s="776">
        <v>31</v>
      </c>
      <c r="CG61" s="776">
        <v>32</v>
      </c>
      <c r="CH61" s="776">
        <v>30</v>
      </c>
      <c r="CI61" s="776">
        <v>31</v>
      </c>
      <c r="CJ61" s="776">
        <v>32</v>
      </c>
      <c r="CK61" s="776">
        <v>31</v>
      </c>
      <c r="CL61" s="776">
        <v>32</v>
      </c>
      <c r="CM61" s="776">
        <v>30</v>
      </c>
      <c r="CN61" s="776">
        <v>34</v>
      </c>
      <c r="CO61" s="776">
        <v>27</v>
      </c>
      <c r="CP61" s="776">
        <v>35</v>
      </c>
      <c r="CQ61" s="776">
        <v>32</v>
      </c>
      <c r="CR61" s="776">
        <v>31</v>
      </c>
      <c r="CS61" s="776">
        <v>30</v>
      </c>
      <c r="CT61" s="776">
        <v>31</v>
      </c>
      <c r="CU61" s="776">
        <v>29</v>
      </c>
      <c r="CV61" s="776">
        <v>23</v>
      </c>
      <c r="CW61" s="776">
        <v>33</v>
      </c>
      <c r="CX61" s="776">
        <v>30</v>
      </c>
      <c r="CY61" s="776">
        <v>33</v>
      </c>
      <c r="CZ61" s="776">
        <v>32</v>
      </c>
      <c r="DA61" s="776">
        <v>29</v>
      </c>
      <c r="DB61" s="776">
        <v>31</v>
      </c>
      <c r="DC61" s="776">
        <v>33</v>
      </c>
      <c r="DD61" s="776">
        <v>31</v>
      </c>
      <c r="DE61" s="776">
        <v>31</v>
      </c>
      <c r="DF61" s="776">
        <v>32</v>
      </c>
      <c r="DG61" s="776">
        <v>33</v>
      </c>
      <c r="DH61" s="776">
        <v>33</v>
      </c>
      <c r="DI61" s="776">
        <v>34</v>
      </c>
      <c r="DJ61" s="776">
        <v>31</v>
      </c>
      <c r="DK61" s="776">
        <v>34</v>
      </c>
      <c r="DL61" s="776">
        <v>31</v>
      </c>
      <c r="DM61" s="776">
        <v>31</v>
      </c>
      <c r="DN61" s="776">
        <v>34</v>
      </c>
      <c r="DO61" s="776">
        <v>34</v>
      </c>
      <c r="DP61" s="776">
        <v>31</v>
      </c>
    </row>
    <row r="62" spans="1:120" x14ac:dyDescent="0.2">
      <c r="A62" s="637" t="str">
        <f>CONCATENATE(" ",Kulturen[[#This Row],[HF]])</f>
        <v xml:space="preserve"> Wicken</v>
      </c>
      <c r="B62" s="772" t="str" cm="1">
        <f t="array" ref="B62">IFERROR(INDEX(Kulturen[HF],_xlfn.AGGREGATE(15,6,(ROW(Kulturen[Auswahl])-7)/(--(SEARCH("x",Kulturen[Auswahl])&gt;0)),ROW()-7),1),"")</f>
        <v>Öllein, Faserflachs</v>
      </c>
      <c r="C62" s="772" t="str">
        <f>IF(Kulturen[[#This Row],[HF]]=$D$373,IF($C$6=0,0,"x"),IF($C$6=0,"x",Vorauswahl!C61))</f>
        <v>x</v>
      </c>
      <c r="D62" s="77" t="s">
        <v>28</v>
      </c>
      <c r="E62" s="77" t="s">
        <v>28</v>
      </c>
      <c r="F62" s="540" t="s">
        <v>553</v>
      </c>
      <c r="G62" s="540">
        <v>2</v>
      </c>
      <c r="H62" s="540">
        <v>8</v>
      </c>
      <c r="I62" s="540">
        <v>1</v>
      </c>
      <c r="J62" s="540">
        <v>90</v>
      </c>
      <c r="K62" s="540">
        <v>1.1000000000000001</v>
      </c>
      <c r="L62" s="540">
        <v>1.4</v>
      </c>
      <c r="M62" s="540">
        <v>15</v>
      </c>
      <c r="N62" s="540">
        <v>4.3899999999999997</v>
      </c>
      <c r="O62" s="540">
        <v>1</v>
      </c>
      <c r="P62" s="540">
        <v>0</v>
      </c>
      <c r="Q62" s="540">
        <v>0</v>
      </c>
      <c r="R62" s="540">
        <v>10</v>
      </c>
      <c r="S62" s="540">
        <v>0</v>
      </c>
      <c r="T62" s="540">
        <v>0</v>
      </c>
      <c r="U62" s="540">
        <v>10</v>
      </c>
      <c r="V62" s="540">
        <v>3</v>
      </c>
      <c r="W62" s="776">
        <f>IF(Kulturen[[#This Row],[Berechnungsschema]]=13,3,IF(Kulturen[[#This Row],[Berechnungsschema]]=6,2,1))</f>
        <v>1</v>
      </c>
      <c r="X62" s="776">
        <f>IF(Kulturen[[#This Row],[fruchtartengruppe]]=13,Kulturen[[#This Row],[NBedarfswert]],MAX(0,Kulturen[[#This Row],[NBedarfswert]]-Kulturen[[#This Row],[Ertrag]]*Kulturen[[#This Row],[Nfix]]))</f>
        <v>0</v>
      </c>
      <c r="Y62" s="776">
        <v>12</v>
      </c>
      <c r="Z62" s="776">
        <v>12</v>
      </c>
      <c r="AA62" s="776">
        <v>12</v>
      </c>
      <c r="AB62" s="776">
        <v>13</v>
      </c>
      <c r="AC62" s="776">
        <v>12</v>
      </c>
      <c r="AD62" s="776">
        <v>12</v>
      </c>
      <c r="AE62" s="776">
        <v>12</v>
      </c>
      <c r="AF62" s="776">
        <v>12</v>
      </c>
      <c r="AG62" s="776">
        <v>13</v>
      </c>
      <c r="AH62" s="776">
        <v>13</v>
      </c>
      <c r="AI62" s="776">
        <v>13</v>
      </c>
      <c r="AJ62" s="776">
        <v>13</v>
      </c>
      <c r="AK62" s="776">
        <v>12</v>
      </c>
      <c r="AL62" s="776">
        <v>13</v>
      </c>
      <c r="AM62" s="776">
        <v>13</v>
      </c>
      <c r="AN62" s="776">
        <v>12</v>
      </c>
      <c r="AO62" s="776">
        <v>12</v>
      </c>
      <c r="AP62" s="776">
        <v>14</v>
      </c>
      <c r="AQ62" s="776">
        <v>13</v>
      </c>
      <c r="AR62" s="776">
        <v>13</v>
      </c>
      <c r="AS62" s="776">
        <v>13</v>
      </c>
      <c r="AT62" s="776">
        <v>13</v>
      </c>
      <c r="AU62" s="776">
        <v>12</v>
      </c>
      <c r="AV62" s="776">
        <v>12</v>
      </c>
      <c r="AW62" s="776">
        <v>12</v>
      </c>
      <c r="AX62" s="776">
        <v>13</v>
      </c>
      <c r="AY62" s="776">
        <v>14</v>
      </c>
      <c r="AZ62" s="776">
        <v>12</v>
      </c>
      <c r="BA62" s="776">
        <v>14</v>
      </c>
      <c r="BB62" s="776">
        <v>13</v>
      </c>
      <c r="BC62" s="776">
        <v>12</v>
      </c>
      <c r="BD62" s="776">
        <v>12</v>
      </c>
      <c r="BE62" s="776">
        <v>12</v>
      </c>
      <c r="BF62" s="776">
        <v>13</v>
      </c>
      <c r="BG62" s="776">
        <v>14</v>
      </c>
      <c r="BH62" s="776">
        <v>13</v>
      </c>
      <c r="BI62" s="776">
        <v>13</v>
      </c>
      <c r="BJ62" s="776">
        <v>14</v>
      </c>
      <c r="BK62" s="776">
        <v>13</v>
      </c>
      <c r="BL62" s="776">
        <v>13</v>
      </c>
      <c r="BM62" s="776">
        <v>13</v>
      </c>
      <c r="BN62" s="776">
        <v>14</v>
      </c>
      <c r="BO62" s="776">
        <v>13</v>
      </c>
      <c r="BP62" s="776">
        <v>14</v>
      </c>
      <c r="BQ62" s="776">
        <v>14</v>
      </c>
      <c r="BR62" s="776">
        <v>12</v>
      </c>
      <c r="BS62" s="776">
        <v>13</v>
      </c>
      <c r="BT62" s="776">
        <v>12</v>
      </c>
      <c r="BU62" s="776">
        <v>12</v>
      </c>
      <c r="BV62" s="776">
        <v>10</v>
      </c>
      <c r="BW62" s="776">
        <v>14</v>
      </c>
      <c r="BX62" s="776">
        <v>11</v>
      </c>
      <c r="BY62" s="776">
        <v>11</v>
      </c>
      <c r="BZ62" s="776">
        <v>12</v>
      </c>
      <c r="CA62" s="776">
        <v>12</v>
      </c>
      <c r="CB62" s="776">
        <v>11</v>
      </c>
      <c r="CC62" s="776">
        <v>13</v>
      </c>
      <c r="CD62" s="776">
        <v>11</v>
      </c>
      <c r="CE62" s="776">
        <v>12</v>
      </c>
      <c r="CF62" s="776">
        <v>12</v>
      </c>
      <c r="CG62" s="776">
        <v>13</v>
      </c>
      <c r="CH62" s="776">
        <v>12</v>
      </c>
      <c r="CI62" s="776">
        <v>13</v>
      </c>
      <c r="CJ62" s="776">
        <v>13</v>
      </c>
      <c r="CK62" s="776">
        <v>12</v>
      </c>
      <c r="CL62" s="776">
        <v>13</v>
      </c>
      <c r="CM62" s="776">
        <v>12</v>
      </c>
      <c r="CN62" s="776">
        <v>13</v>
      </c>
      <c r="CO62" s="776">
        <v>11</v>
      </c>
      <c r="CP62" s="776">
        <v>14</v>
      </c>
      <c r="CQ62" s="776">
        <v>13</v>
      </c>
      <c r="CR62" s="776">
        <v>12</v>
      </c>
      <c r="CS62" s="776">
        <v>12</v>
      </c>
      <c r="CT62" s="776">
        <v>12</v>
      </c>
      <c r="CU62" s="776">
        <v>11</v>
      </c>
      <c r="CV62" s="776">
        <v>9</v>
      </c>
      <c r="CW62" s="776">
        <v>13</v>
      </c>
      <c r="CX62" s="776">
        <v>12</v>
      </c>
      <c r="CY62" s="776">
        <v>13</v>
      </c>
      <c r="CZ62" s="776">
        <v>13</v>
      </c>
      <c r="DA62" s="776">
        <v>12</v>
      </c>
      <c r="DB62" s="776">
        <v>13</v>
      </c>
      <c r="DC62" s="776">
        <v>13</v>
      </c>
      <c r="DD62" s="776">
        <v>12</v>
      </c>
      <c r="DE62" s="776">
        <v>12</v>
      </c>
      <c r="DF62" s="776">
        <v>13</v>
      </c>
      <c r="DG62" s="776">
        <v>13</v>
      </c>
      <c r="DH62" s="776">
        <v>13</v>
      </c>
      <c r="DI62" s="776">
        <v>13</v>
      </c>
      <c r="DJ62" s="776">
        <v>13</v>
      </c>
      <c r="DK62" s="776">
        <v>14</v>
      </c>
      <c r="DL62" s="776">
        <v>12</v>
      </c>
      <c r="DM62" s="776">
        <v>13</v>
      </c>
      <c r="DN62" s="776">
        <v>13</v>
      </c>
      <c r="DO62" s="776">
        <v>14</v>
      </c>
      <c r="DP62" s="776">
        <v>12</v>
      </c>
    </row>
    <row r="63" spans="1:120" x14ac:dyDescent="0.2">
      <c r="A63" s="637" t="str">
        <f>CONCATENATE(" ",Kulturen[[#This Row],[HF]])</f>
        <v xml:space="preserve"> Lupinen blau</v>
      </c>
      <c r="B63" s="772" t="str" cm="1">
        <f t="array" ref="B63">IFERROR(INDEX(Kulturen[HF],_xlfn.AGGREGATE(15,6,(ROW(Kulturen[Auswahl])-7)/(--(SEARCH("x",Kulturen[Auswahl])&gt;0)),ROW()-7),1),"")</f>
        <v>Leindotter</v>
      </c>
      <c r="C63" s="772" t="str">
        <f>IF(Kulturen[[#This Row],[HF]]=$D$373,IF($C$6=0,0,"x"),IF($C$6=0,"x",Vorauswahl!C62))</f>
        <v>x</v>
      </c>
      <c r="D63" s="77" t="s">
        <v>87</v>
      </c>
      <c r="E63" s="77" t="s">
        <v>87</v>
      </c>
      <c r="F63" s="540" t="s">
        <v>554</v>
      </c>
      <c r="G63" s="540">
        <v>2</v>
      </c>
      <c r="H63" s="540">
        <v>8</v>
      </c>
      <c r="I63" s="540">
        <v>1</v>
      </c>
      <c r="J63" s="540">
        <v>90</v>
      </c>
      <c r="K63" s="540">
        <v>1.02</v>
      </c>
      <c r="L63" s="540">
        <v>1.32</v>
      </c>
      <c r="M63" s="540">
        <v>30</v>
      </c>
      <c r="N63" s="540">
        <v>5</v>
      </c>
      <c r="O63" s="540">
        <v>1</v>
      </c>
      <c r="P63" s="540">
        <v>0</v>
      </c>
      <c r="Q63" s="540">
        <v>0</v>
      </c>
      <c r="R63" s="540">
        <v>10</v>
      </c>
      <c r="S63" s="540">
        <v>0</v>
      </c>
      <c r="T63" s="540">
        <v>0</v>
      </c>
      <c r="U63" s="540">
        <v>10</v>
      </c>
      <c r="V63" s="540">
        <v>3</v>
      </c>
      <c r="W63" s="776">
        <f>IF(Kulturen[[#This Row],[Berechnungsschema]]=13,3,IF(Kulturen[[#This Row],[Berechnungsschema]]=6,2,1))</f>
        <v>1</v>
      </c>
      <c r="X63" s="776">
        <f>IF(Kulturen[[#This Row],[fruchtartengruppe]]=13,Kulturen[[#This Row],[NBedarfswert]],MAX(0,Kulturen[[#This Row],[NBedarfswert]]-Kulturen[[#This Row],[Ertrag]]*Kulturen[[#This Row],[Nfix]]))</f>
        <v>0</v>
      </c>
      <c r="Y63" s="776">
        <v>30</v>
      </c>
      <c r="Z63" s="776">
        <v>31</v>
      </c>
      <c r="AA63" s="776">
        <v>31</v>
      </c>
      <c r="AB63" s="776">
        <v>32</v>
      </c>
      <c r="AC63" s="776">
        <v>30</v>
      </c>
      <c r="AD63" s="776">
        <v>31</v>
      </c>
      <c r="AE63" s="776">
        <v>31</v>
      </c>
      <c r="AF63" s="776">
        <v>30</v>
      </c>
      <c r="AG63" s="776">
        <v>32</v>
      </c>
      <c r="AH63" s="776">
        <v>32</v>
      </c>
      <c r="AI63" s="776">
        <v>32</v>
      </c>
      <c r="AJ63" s="776">
        <v>32</v>
      </c>
      <c r="AK63" s="776">
        <v>31</v>
      </c>
      <c r="AL63" s="776">
        <v>32</v>
      </c>
      <c r="AM63" s="776">
        <v>32</v>
      </c>
      <c r="AN63" s="776">
        <v>31</v>
      </c>
      <c r="AO63" s="776">
        <v>31</v>
      </c>
      <c r="AP63" s="776">
        <v>35</v>
      </c>
      <c r="AQ63" s="776">
        <v>32</v>
      </c>
      <c r="AR63" s="776">
        <v>32</v>
      </c>
      <c r="AS63" s="776">
        <v>32</v>
      </c>
      <c r="AT63" s="776">
        <v>31</v>
      </c>
      <c r="AU63" s="776">
        <v>31</v>
      </c>
      <c r="AV63" s="776">
        <v>31</v>
      </c>
      <c r="AW63" s="776">
        <v>30</v>
      </c>
      <c r="AX63" s="776">
        <v>31</v>
      </c>
      <c r="AY63" s="776">
        <v>35</v>
      </c>
      <c r="AZ63" s="776">
        <v>31</v>
      </c>
      <c r="BA63" s="776">
        <v>35</v>
      </c>
      <c r="BB63" s="776">
        <v>31</v>
      </c>
      <c r="BC63" s="776">
        <v>30</v>
      </c>
      <c r="BD63" s="776">
        <v>31</v>
      </c>
      <c r="BE63" s="776">
        <v>30</v>
      </c>
      <c r="BF63" s="776">
        <v>32</v>
      </c>
      <c r="BG63" s="776">
        <v>35</v>
      </c>
      <c r="BH63" s="776">
        <v>32</v>
      </c>
      <c r="BI63" s="776">
        <v>31</v>
      </c>
      <c r="BJ63" s="776">
        <v>34</v>
      </c>
      <c r="BK63" s="776">
        <v>33</v>
      </c>
      <c r="BL63" s="776">
        <v>33</v>
      </c>
      <c r="BM63" s="776">
        <v>32</v>
      </c>
      <c r="BN63" s="776">
        <v>36</v>
      </c>
      <c r="BO63" s="776">
        <v>31</v>
      </c>
      <c r="BP63" s="776">
        <v>36</v>
      </c>
      <c r="BQ63" s="776">
        <v>35</v>
      </c>
      <c r="BR63" s="776">
        <v>30</v>
      </c>
      <c r="BS63" s="776">
        <v>32</v>
      </c>
      <c r="BT63" s="776">
        <v>31</v>
      </c>
      <c r="BU63" s="776">
        <v>30</v>
      </c>
      <c r="BV63" s="776">
        <v>26</v>
      </c>
      <c r="BW63" s="776">
        <v>36</v>
      </c>
      <c r="BX63" s="776">
        <v>28</v>
      </c>
      <c r="BY63" s="776">
        <v>28</v>
      </c>
      <c r="BZ63" s="776">
        <v>31</v>
      </c>
      <c r="CA63" s="776">
        <v>30</v>
      </c>
      <c r="CB63" s="776">
        <v>28</v>
      </c>
      <c r="CC63" s="776">
        <v>32</v>
      </c>
      <c r="CD63" s="776">
        <v>29</v>
      </c>
      <c r="CE63" s="776">
        <v>31</v>
      </c>
      <c r="CF63" s="776">
        <v>31</v>
      </c>
      <c r="CG63" s="776">
        <v>32</v>
      </c>
      <c r="CH63" s="776">
        <v>30</v>
      </c>
      <c r="CI63" s="776">
        <v>31</v>
      </c>
      <c r="CJ63" s="776">
        <v>32</v>
      </c>
      <c r="CK63" s="776">
        <v>31</v>
      </c>
      <c r="CL63" s="776">
        <v>32</v>
      </c>
      <c r="CM63" s="776">
        <v>30</v>
      </c>
      <c r="CN63" s="776">
        <v>34</v>
      </c>
      <c r="CO63" s="776">
        <v>27</v>
      </c>
      <c r="CP63" s="776">
        <v>35</v>
      </c>
      <c r="CQ63" s="776">
        <v>32</v>
      </c>
      <c r="CR63" s="776">
        <v>31</v>
      </c>
      <c r="CS63" s="776">
        <v>30</v>
      </c>
      <c r="CT63" s="776">
        <v>31</v>
      </c>
      <c r="CU63" s="776">
        <v>29</v>
      </c>
      <c r="CV63" s="776">
        <v>23</v>
      </c>
      <c r="CW63" s="776">
        <v>33</v>
      </c>
      <c r="CX63" s="776">
        <v>30</v>
      </c>
      <c r="CY63" s="776">
        <v>33</v>
      </c>
      <c r="CZ63" s="776">
        <v>32</v>
      </c>
      <c r="DA63" s="776">
        <v>29</v>
      </c>
      <c r="DB63" s="776">
        <v>31</v>
      </c>
      <c r="DC63" s="776">
        <v>33</v>
      </c>
      <c r="DD63" s="776">
        <v>31</v>
      </c>
      <c r="DE63" s="776">
        <v>31</v>
      </c>
      <c r="DF63" s="776">
        <v>32</v>
      </c>
      <c r="DG63" s="776">
        <v>33</v>
      </c>
      <c r="DH63" s="776">
        <v>33</v>
      </c>
      <c r="DI63" s="776">
        <v>34</v>
      </c>
      <c r="DJ63" s="776">
        <v>31</v>
      </c>
      <c r="DK63" s="776">
        <v>34</v>
      </c>
      <c r="DL63" s="776">
        <v>31</v>
      </c>
      <c r="DM63" s="776">
        <v>31</v>
      </c>
      <c r="DN63" s="776">
        <v>34</v>
      </c>
      <c r="DO63" s="776">
        <v>34</v>
      </c>
      <c r="DP63" s="776">
        <v>31</v>
      </c>
    </row>
    <row r="64" spans="1:120" x14ac:dyDescent="0.2">
      <c r="A64" s="637" t="str">
        <f>CONCATENATE(" ",Kulturen[[#This Row],[HF]])</f>
        <v xml:space="preserve"> Linsen</v>
      </c>
      <c r="B64" s="772" t="str" cm="1">
        <f t="array" ref="B64">IFERROR(INDEX(Kulturen[HF],_xlfn.AGGREGATE(15,6,(ROW(Kulturen[Auswahl])-7)/(--(SEARCH("x",Kulturen[Auswahl])&gt;0)),ROW()-7),1),"")</f>
        <v>Körnerhanf</v>
      </c>
      <c r="C64" s="772" t="str">
        <f>IF(Kulturen[[#This Row],[HF]]=$D$373,IF($C$6=0,0,"x"),IF($C$6=0,"x",Vorauswahl!C63))</f>
        <v>x</v>
      </c>
      <c r="D64" s="77" t="s">
        <v>29</v>
      </c>
      <c r="E64" s="77" t="s">
        <v>29</v>
      </c>
      <c r="F64" s="540" t="s">
        <v>555</v>
      </c>
      <c r="G64" s="540">
        <v>2</v>
      </c>
      <c r="H64" s="540">
        <v>8</v>
      </c>
      <c r="I64" s="540">
        <v>1</v>
      </c>
      <c r="J64" s="540">
        <v>90</v>
      </c>
      <c r="K64" s="540">
        <v>1.1000000000000001</v>
      </c>
      <c r="L64" s="540">
        <v>1.4</v>
      </c>
      <c r="M64" s="540">
        <v>15</v>
      </c>
      <c r="N64" s="540">
        <v>4.3499999999999996</v>
      </c>
      <c r="O64" s="540">
        <v>1</v>
      </c>
      <c r="P64" s="540">
        <v>0</v>
      </c>
      <c r="Q64" s="540">
        <v>0</v>
      </c>
      <c r="R64" s="540">
        <v>10</v>
      </c>
      <c r="S64" s="540">
        <v>0</v>
      </c>
      <c r="T64" s="540">
        <v>0</v>
      </c>
      <c r="U64" s="540">
        <v>10</v>
      </c>
      <c r="V64" s="540">
        <v>3</v>
      </c>
      <c r="W64" s="776">
        <f>IF(Kulturen[[#This Row],[Berechnungsschema]]=13,3,IF(Kulturen[[#This Row],[Berechnungsschema]]=6,2,1))</f>
        <v>1</v>
      </c>
      <c r="X64" s="776">
        <f>IF(Kulturen[[#This Row],[fruchtartengruppe]]=13,Kulturen[[#This Row],[NBedarfswert]],MAX(0,Kulturen[[#This Row],[NBedarfswert]]-Kulturen[[#This Row],[Ertrag]]*Kulturen[[#This Row],[Nfix]]))</f>
        <v>0</v>
      </c>
      <c r="Y64" s="776">
        <v>12</v>
      </c>
      <c r="Z64" s="776">
        <v>12</v>
      </c>
      <c r="AA64" s="776">
        <v>12</v>
      </c>
      <c r="AB64" s="776">
        <v>13</v>
      </c>
      <c r="AC64" s="776">
        <v>12</v>
      </c>
      <c r="AD64" s="776">
        <v>12</v>
      </c>
      <c r="AE64" s="776">
        <v>12</v>
      </c>
      <c r="AF64" s="776">
        <v>12</v>
      </c>
      <c r="AG64" s="776">
        <v>13</v>
      </c>
      <c r="AH64" s="776">
        <v>13</v>
      </c>
      <c r="AI64" s="776">
        <v>13</v>
      </c>
      <c r="AJ64" s="776">
        <v>13</v>
      </c>
      <c r="AK64" s="776">
        <v>12</v>
      </c>
      <c r="AL64" s="776">
        <v>13</v>
      </c>
      <c r="AM64" s="776">
        <v>13</v>
      </c>
      <c r="AN64" s="776">
        <v>12</v>
      </c>
      <c r="AO64" s="776">
        <v>12</v>
      </c>
      <c r="AP64" s="776">
        <v>14</v>
      </c>
      <c r="AQ64" s="776">
        <v>13</v>
      </c>
      <c r="AR64" s="776">
        <v>13</v>
      </c>
      <c r="AS64" s="776">
        <v>13</v>
      </c>
      <c r="AT64" s="776">
        <v>13</v>
      </c>
      <c r="AU64" s="776">
        <v>12</v>
      </c>
      <c r="AV64" s="776">
        <v>12</v>
      </c>
      <c r="AW64" s="776">
        <v>12</v>
      </c>
      <c r="AX64" s="776">
        <v>13</v>
      </c>
      <c r="AY64" s="776">
        <v>14</v>
      </c>
      <c r="AZ64" s="776">
        <v>12</v>
      </c>
      <c r="BA64" s="776">
        <v>14</v>
      </c>
      <c r="BB64" s="776">
        <v>13</v>
      </c>
      <c r="BC64" s="776">
        <v>12</v>
      </c>
      <c r="BD64" s="776">
        <v>12</v>
      </c>
      <c r="BE64" s="776">
        <v>12</v>
      </c>
      <c r="BF64" s="776">
        <v>13</v>
      </c>
      <c r="BG64" s="776">
        <v>14</v>
      </c>
      <c r="BH64" s="776">
        <v>13</v>
      </c>
      <c r="BI64" s="776">
        <v>13</v>
      </c>
      <c r="BJ64" s="776">
        <v>14</v>
      </c>
      <c r="BK64" s="776">
        <v>13</v>
      </c>
      <c r="BL64" s="776">
        <v>13</v>
      </c>
      <c r="BM64" s="776">
        <v>13</v>
      </c>
      <c r="BN64" s="776">
        <v>14</v>
      </c>
      <c r="BO64" s="776">
        <v>13</v>
      </c>
      <c r="BP64" s="776">
        <v>14</v>
      </c>
      <c r="BQ64" s="776">
        <v>14</v>
      </c>
      <c r="BR64" s="776">
        <v>12</v>
      </c>
      <c r="BS64" s="776">
        <v>13</v>
      </c>
      <c r="BT64" s="776">
        <v>12</v>
      </c>
      <c r="BU64" s="776">
        <v>12</v>
      </c>
      <c r="BV64" s="776">
        <v>10</v>
      </c>
      <c r="BW64" s="776">
        <v>14</v>
      </c>
      <c r="BX64" s="776">
        <v>11</v>
      </c>
      <c r="BY64" s="776">
        <v>11</v>
      </c>
      <c r="BZ64" s="776">
        <v>12</v>
      </c>
      <c r="CA64" s="776">
        <v>12</v>
      </c>
      <c r="CB64" s="776">
        <v>11</v>
      </c>
      <c r="CC64" s="776">
        <v>13</v>
      </c>
      <c r="CD64" s="776">
        <v>11</v>
      </c>
      <c r="CE64" s="776">
        <v>12</v>
      </c>
      <c r="CF64" s="776">
        <v>12</v>
      </c>
      <c r="CG64" s="776">
        <v>13</v>
      </c>
      <c r="CH64" s="776">
        <v>12</v>
      </c>
      <c r="CI64" s="776">
        <v>13</v>
      </c>
      <c r="CJ64" s="776">
        <v>13</v>
      </c>
      <c r="CK64" s="776">
        <v>12</v>
      </c>
      <c r="CL64" s="776">
        <v>13</v>
      </c>
      <c r="CM64" s="776">
        <v>12</v>
      </c>
      <c r="CN64" s="776">
        <v>13</v>
      </c>
      <c r="CO64" s="776">
        <v>11</v>
      </c>
      <c r="CP64" s="776">
        <v>14</v>
      </c>
      <c r="CQ64" s="776">
        <v>13</v>
      </c>
      <c r="CR64" s="776">
        <v>12</v>
      </c>
      <c r="CS64" s="776">
        <v>12</v>
      </c>
      <c r="CT64" s="776">
        <v>12</v>
      </c>
      <c r="CU64" s="776">
        <v>11</v>
      </c>
      <c r="CV64" s="776">
        <v>9</v>
      </c>
      <c r="CW64" s="776">
        <v>13</v>
      </c>
      <c r="CX64" s="776">
        <v>12</v>
      </c>
      <c r="CY64" s="776">
        <v>13</v>
      </c>
      <c r="CZ64" s="776">
        <v>13</v>
      </c>
      <c r="DA64" s="776">
        <v>12</v>
      </c>
      <c r="DB64" s="776">
        <v>13</v>
      </c>
      <c r="DC64" s="776">
        <v>13</v>
      </c>
      <c r="DD64" s="776">
        <v>12</v>
      </c>
      <c r="DE64" s="776">
        <v>12</v>
      </c>
      <c r="DF64" s="776">
        <v>13</v>
      </c>
      <c r="DG64" s="776">
        <v>13</v>
      </c>
      <c r="DH64" s="776">
        <v>13</v>
      </c>
      <c r="DI64" s="776">
        <v>13</v>
      </c>
      <c r="DJ64" s="776">
        <v>13</v>
      </c>
      <c r="DK64" s="776">
        <v>14</v>
      </c>
      <c r="DL64" s="776">
        <v>12</v>
      </c>
      <c r="DM64" s="776">
        <v>13</v>
      </c>
      <c r="DN64" s="776">
        <v>13</v>
      </c>
      <c r="DO64" s="776">
        <v>14</v>
      </c>
      <c r="DP64" s="776">
        <v>12</v>
      </c>
    </row>
    <row r="65" spans="1:120" x14ac:dyDescent="0.2">
      <c r="A65" s="637" t="str">
        <f>CONCATENATE(" ",Kulturen[[#This Row],[HF]])</f>
        <v xml:space="preserve"> Sojabohnen</v>
      </c>
      <c r="B65" s="772" t="str" cm="1">
        <f t="array" ref="B65">IFERROR(INDEX(Kulturen[HF],_xlfn.AGGREGATE(15,6,(ROW(Kulturen[Auswahl])-7)/(--(SEARCH("x",Kulturen[Auswahl])&gt;0)),ROW()-7),1),"")</f>
        <v>+++ Faserpflanzen+++</v>
      </c>
      <c r="C65" s="772" t="str">
        <f>IF(Kulturen[[#This Row],[HF]]=$D$373,IF($C$6=0,0,"x"),IF($C$6=0,"x",Vorauswahl!C64))</f>
        <v>x</v>
      </c>
      <c r="D65" s="77" t="s">
        <v>30</v>
      </c>
      <c r="E65" s="77" t="s">
        <v>30</v>
      </c>
      <c r="F65" s="540" t="s">
        <v>556</v>
      </c>
      <c r="G65" s="540">
        <v>2</v>
      </c>
      <c r="H65" s="540">
        <v>8</v>
      </c>
      <c r="I65" s="540">
        <v>1</v>
      </c>
      <c r="J65" s="540">
        <v>90</v>
      </c>
      <c r="K65" s="540">
        <v>1.5</v>
      </c>
      <c r="L65" s="540">
        <v>1.8</v>
      </c>
      <c r="M65" s="540">
        <v>20</v>
      </c>
      <c r="N65" s="540">
        <v>5.3</v>
      </c>
      <c r="O65" s="540">
        <v>1</v>
      </c>
      <c r="P65" s="540">
        <v>0</v>
      </c>
      <c r="Q65" s="540">
        <v>0</v>
      </c>
      <c r="R65" s="540">
        <v>10</v>
      </c>
      <c r="S65" s="540">
        <v>0</v>
      </c>
      <c r="T65" s="540">
        <v>0</v>
      </c>
      <c r="U65" s="540">
        <v>10</v>
      </c>
      <c r="V65" s="540">
        <v>3</v>
      </c>
      <c r="W65" s="776">
        <f>IF(Kulturen[[#This Row],[Berechnungsschema]]=13,3,IF(Kulturen[[#This Row],[Berechnungsschema]]=6,2,1))</f>
        <v>1</v>
      </c>
      <c r="X65" s="776">
        <f>IF(Kulturen[[#This Row],[fruchtartengruppe]]=13,Kulturen[[#This Row],[NBedarfswert]],MAX(0,Kulturen[[#This Row],[NBedarfswert]]-Kulturen[[#This Row],[Ertrag]]*Kulturen[[#This Row],[Nfix]]))</f>
        <v>0</v>
      </c>
      <c r="Y65" s="776">
        <v>29</v>
      </c>
      <c r="Z65" s="776">
        <v>29</v>
      </c>
      <c r="AA65" s="776">
        <v>29</v>
      </c>
      <c r="AB65" s="776">
        <v>29</v>
      </c>
      <c r="AC65" s="776">
        <v>29</v>
      </c>
      <c r="AD65" s="776">
        <v>29</v>
      </c>
      <c r="AE65" s="776">
        <v>29</v>
      </c>
      <c r="AF65" s="776">
        <v>29</v>
      </c>
      <c r="AG65" s="776">
        <v>29</v>
      </c>
      <c r="AH65" s="776">
        <v>29</v>
      </c>
      <c r="AI65" s="776">
        <v>29</v>
      </c>
      <c r="AJ65" s="776">
        <v>29</v>
      </c>
      <c r="AK65" s="776">
        <v>29</v>
      </c>
      <c r="AL65" s="776">
        <v>29</v>
      </c>
      <c r="AM65" s="776">
        <v>29</v>
      </c>
      <c r="AN65" s="776">
        <v>29</v>
      </c>
      <c r="AO65" s="776">
        <v>29</v>
      </c>
      <c r="AP65" s="776">
        <v>29</v>
      </c>
      <c r="AQ65" s="776">
        <v>29</v>
      </c>
      <c r="AR65" s="776">
        <v>29</v>
      </c>
      <c r="AS65" s="776">
        <v>29</v>
      </c>
      <c r="AT65" s="776">
        <v>29</v>
      </c>
      <c r="AU65" s="776">
        <v>29</v>
      </c>
      <c r="AV65" s="776">
        <v>29</v>
      </c>
      <c r="AW65" s="776">
        <v>29</v>
      </c>
      <c r="AX65" s="776">
        <v>29</v>
      </c>
      <c r="AY65" s="776">
        <v>29</v>
      </c>
      <c r="AZ65" s="776">
        <v>29</v>
      </c>
      <c r="BA65" s="776">
        <v>29</v>
      </c>
      <c r="BB65" s="776">
        <v>29</v>
      </c>
      <c r="BC65" s="776">
        <v>29</v>
      </c>
      <c r="BD65" s="776">
        <v>29</v>
      </c>
      <c r="BE65" s="776">
        <v>29</v>
      </c>
      <c r="BF65" s="776">
        <v>29</v>
      </c>
      <c r="BG65" s="776">
        <v>29</v>
      </c>
      <c r="BH65" s="776">
        <v>29</v>
      </c>
      <c r="BI65" s="776">
        <v>29</v>
      </c>
      <c r="BJ65" s="776">
        <v>29</v>
      </c>
      <c r="BK65" s="776">
        <v>29</v>
      </c>
      <c r="BL65" s="776">
        <v>29</v>
      </c>
      <c r="BM65" s="776">
        <v>29</v>
      </c>
      <c r="BN65" s="776">
        <v>29</v>
      </c>
      <c r="BO65" s="776">
        <v>29</v>
      </c>
      <c r="BP65" s="776">
        <v>29</v>
      </c>
      <c r="BQ65" s="776">
        <v>29</v>
      </c>
      <c r="BR65" s="776">
        <v>29</v>
      </c>
      <c r="BS65" s="776">
        <v>29</v>
      </c>
      <c r="BT65" s="776">
        <v>29</v>
      </c>
      <c r="BU65" s="776">
        <v>29</v>
      </c>
      <c r="BV65" s="776">
        <v>29</v>
      </c>
      <c r="BW65" s="776">
        <v>29</v>
      </c>
      <c r="BX65" s="776">
        <v>29</v>
      </c>
      <c r="BY65" s="776">
        <v>29</v>
      </c>
      <c r="BZ65" s="776">
        <v>29</v>
      </c>
      <c r="CA65" s="776">
        <v>29</v>
      </c>
      <c r="CB65" s="776">
        <v>29</v>
      </c>
      <c r="CC65" s="776">
        <v>29</v>
      </c>
      <c r="CD65" s="776">
        <v>29</v>
      </c>
      <c r="CE65" s="776">
        <v>29</v>
      </c>
      <c r="CF65" s="776">
        <v>29</v>
      </c>
      <c r="CG65" s="776">
        <v>29</v>
      </c>
      <c r="CH65" s="776">
        <v>29</v>
      </c>
      <c r="CI65" s="776">
        <v>29</v>
      </c>
      <c r="CJ65" s="776">
        <v>29</v>
      </c>
      <c r="CK65" s="776">
        <v>29</v>
      </c>
      <c r="CL65" s="776">
        <v>29</v>
      </c>
      <c r="CM65" s="776">
        <v>29</v>
      </c>
      <c r="CN65" s="776">
        <v>29</v>
      </c>
      <c r="CO65" s="776">
        <v>29</v>
      </c>
      <c r="CP65" s="776">
        <v>29</v>
      </c>
      <c r="CQ65" s="776">
        <v>29</v>
      </c>
      <c r="CR65" s="776">
        <v>29</v>
      </c>
      <c r="CS65" s="776">
        <v>29</v>
      </c>
      <c r="CT65" s="776">
        <v>29</v>
      </c>
      <c r="CU65" s="776">
        <v>29</v>
      </c>
      <c r="CV65" s="776">
        <v>29</v>
      </c>
      <c r="CW65" s="776">
        <v>29</v>
      </c>
      <c r="CX65" s="776">
        <v>29</v>
      </c>
      <c r="CY65" s="776">
        <v>29</v>
      </c>
      <c r="CZ65" s="776">
        <v>29</v>
      </c>
      <c r="DA65" s="776">
        <v>29</v>
      </c>
      <c r="DB65" s="776">
        <v>29</v>
      </c>
      <c r="DC65" s="776">
        <v>29</v>
      </c>
      <c r="DD65" s="776">
        <v>29</v>
      </c>
      <c r="DE65" s="776">
        <v>29</v>
      </c>
      <c r="DF65" s="776">
        <v>29</v>
      </c>
      <c r="DG65" s="776">
        <v>29</v>
      </c>
      <c r="DH65" s="776">
        <v>29</v>
      </c>
      <c r="DI65" s="776">
        <v>29</v>
      </c>
      <c r="DJ65" s="776">
        <v>29</v>
      </c>
      <c r="DK65" s="776">
        <v>29</v>
      </c>
      <c r="DL65" s="776">
        <v>29</v>
      </c>
      <c r="DM65" s="776">
        <v>29</v>
      </c>
      <c r="DN65" s="776">
        <v>29</v>
      </c>
      <c r="DO65" s="776">
        <v>29</v>
      </c>
      <c r="DP65" s="776">
        <v>29</v>
      </c>
    </row>
    <row r="66" spans="1:120" x14ac:dyDescent="0.2">
      <c r="A66" s="637" t="str">
        <f>CONCATENATE(" ",Kulturen[[#This Row],[HF]])</f>
        <v xml:space="preserve"> +++Ölfrüchte+++</v>
      </c>
      <c r="B66" s="772" t="str" cm="1">
        <f t="array" ref="B66">IFERROR(INDEX(Kulturen[HF],_xlfn.AGGREGATE(15,6,(ROW(Kulturen[Auswahl])-7)/(--(SEARCH("x",Kulturen[Auswahl])&gt;0)),ROW()-7),1),"")</f>
        <v>Flachs (Faserlein)</v>
      </c>
      <c r="C66" s="772" t="str">
        <f>IF(Kulturen[[#This Row],[HF]]=$D$373,IF($C$6=0,0,"x"),IF($C$6=0,"x",Vorauswahl!C65))</f>
        <v>x</v>
      </c>
      <c r="D66" s="77" t="s">
        <v>1896</v>
      </c>
      <c r="E66" s="77" t="s">
        <v>1896</v>
      </c>
      <c r="F66" s="540" t="s">
        <v>1859</v>
      </c>
      <c r="G66" s="540">
        <v>0</v>
      </c>
      <c r="H66" s="540">
        <v>8</v>
      </c>
      <c r="I66" s="540">
        <v>0</v>
      </c>
      <c r="J66" s="540">
        <v>90</v>
      </c>
      <c r="K66" s="540">
        <v>0</v>
      </c>
      <c r="L66" s="540">
        <v>0</v>
      </c>
      <c r="M66" s="540">
        <v>0</v>
      </c>
      <c r="N66" s="540">
        <v>0</v>
      </c>
      <c r="O66" s="540">
        <v>1</v>
      </c>
      <c r="P66" s="540">
        <v>0</v>
      </c>
      <c r="Q66" s="540">
        <v>0</v>
      </c>
      <c r="R66" s="540">
        <v>1</v>
      </c>
      <c r="S66" s="540">
        <v>0</v>
      </c>
      <c r="T66" s="540">
        <v>0</v>
      </c>
      <c r="U66" s="540">
        <v>0</v>
      </c>
      <c r="V66" s="540">
        <v>0</v>
      </c>
      <c r="W66" s="776">
        <f>IF(Kulturen[[#This Row],[Berechnungsschema]]=13,3,IF(Kulturen[[#This Row],[Berechnungsschema]]=6,2,1))</f>
        <v>1</v>
      </c>
      <c r="X66" s="776">
        <f>IF(Kulturen[[#This Row],[fruchtartengruppe]]=13,Kulturen[[#This Row],[NBedarfswert]],MAX(0,Kulturen[[#This Row],[NBedarfswert]]-Kulturen[[#This Row],[Ertrag]]*Kulturen[[#This Row],[Nfix]]))</f>
        <v>0</v>
      </c>
      <c r="Y66" s="776" t="s">
        <v>2127</v>
      </c>
      <c r="Z66" s="776" t="s">
        <v>2127</v>
      </c>
      <c r="AA66" s="776" t="s">
        <v>2127</v>
      </c>
      <c r="AB66" s="776" t="s">
        <v>2127</v>
      </c>
      <c r="AC66" s="776" t="s">
        <v>2127</v>
      </c>
      <c r="AD66" s="776" t="s">
        <v>2127</v>
      </c>
      <c r="AE66" s="776" t="s">
        <v>2127</v>
      </c>
      <c r="AF66" s="776" t="s">
        <v>2127</v>
      </c>
      <c r="AG66" s="776" t="s">
        <v>2127</v>
      </c>
      <c r="AH66" s="776" t="s">
        <v>2127</v>
      </c>
      <c r="AI66" s="776" t="s">
        <v>2127</v>
      </c>
      <c r="AJ66" s="776" t="s">
        <v>2127</v>
      </c>
      <c r="AK66" s="776" t="s">
        <v>2127</v>
      </c>
      <c r="AL66" s="776" t="s">
        <v>2127</v>
      </c>
      <c r="AM66" s="776" t="s">
        <v>2127</v>
      </c>
      <c r="AN66" s="776" t="s">
        <v>2127</v>
      </c>
      <c r="AO66" s="776" t="s">
        <v>2127</v>
      </c>
      <c r="AP66" s="776" t="s">
        <v>2127</v>
      </c>
      <c r="AQ66" s="776" t="s">
        <v>2127</v>
      </c>
      <c r="AR66" s="776" t="s">
        <v>2127</v>
      </c>
      <c r="AS66" s="776" t="s">
        <v>2127</v>
      </c>
      <c r="AT66" s="776" t="s">
        <v>2127</v>
      </c>
      <c r="AU66" s="776" t="s">
        <v>2127</v>
      </c>
      <c r="AV66" s="776" t="s">
        <v>2127</v>
      </c>
      <c r="AW66" s="776" t="s">
        <v>2127</v>
      </c>
      <c r="AX66" s="776" t="s">
        <v>2127</v>
      </c>
      <c r="AY66" s="776" t="s">
        <v>2127</v>
      </c>
      <c r="AZ66" s="776" t="s">
        <v>2127</v>
      </c>
      <c r="BA66" s="776" t="s">
        <v>2127</v>
      </c>
      <c r="BB66" s="776" t="s">
        <v>2127</v>
      </c>
      <c r="BC66" s="776" t="s">
        <v>2127</v>
      </c>
      <c r="BD66" s="776" t="s">
        <v>2127</v>
      </c>
      <c r="BE66" s="776" t="s">
        <v>2127</v>
      </c>
      <c r="BF66" s="776" t="s">
        <v>2127</v>
      </c>
      <c r="BG66" s="776" t="s">
        <v>2127</v>
      </c>
      <c r="BH66" s="776" t="s">
        <v>2127</v>
      </c>
      <c r="BI66" s="776" t="s">
        <v>2127</v>
      </c>
      <c r="BJ66" s="776" t="s">
        <v>2127</v>
      </c>
      <c r="BK66" s="776" t="s">
        <v>2127</v>
      </c>
      <c r="BL66" s="776" t="s">
        <v>2127</v>
      </c>
      <c r="BM66" s="776" t="s">
        <v>2127</v>
      </c>
      <c r="BN66" s="776" t="s">
        <v>2127</v>
      </c>
      <c r="BO66" s="776" t="s">
        <v>2127</v>
      </c>
      <c r="BP66" s="776" t="s">
        <v>2127</v>
      </c>
      <c r="BQ66" s="776" t="s">
        <v>2127</v>
      </c>
      <c r="BR66" s="776" t="s">
        <v>2127</v>
      </c>
      <c r="BS66" s="776" t="s">
        <v>2127</v>
      </c>
      <c r="BT66" s="776" t="s">
        <v>2127</v>
      </c>
      <c r="BU66" s="776" t="s">
        <v>2127</v>
      </c>
      <c r="BV66" s="776" t="s">
        <v>2127</v>
      </c>
      <c r="BW66" s="776" t="s">
        <v>2127</v>
      </c>
      <c r="BX66" s="776" t="s">
        <v>2127</v>
      </c>
      <c r="BY66" s="776" t="s">
        <v>2127</v>
      </c>
      <c r="BZ66" s="776" t="s">
        <v>2127</v>
      </c>
      <c r="CA66" s="776" t="s">
        <v>2127</v>
      </c>
      <c r="CB66" s="776" t="s">
        <v>2127</v>
      </c>
      <c r="CC66" s="776" t="s">
        <v>2127</v>
      </c>
      <c r="CD66" s="776" t="s">
        <v>2127</v>
      </c>
      <c r="CE66" s="776" t="s">
        <v>2127</v>
      </c>
      <c r="CF66" s="776" t="s">
        <v>2127</v>
      </c>
      <c r="CG66" s="776" t="s">
        <v>2127</v>
      </c>
      <c r="CH66" s="776" t="s">
        <v>2127</v>
      </c>
      <c r="CI66" s="776" t="s">
        <v>2127</v>
      </c>
      <c r="CJ66" s="776" t="s">
        <v>2127</v>
      </c>
      <c r="CK66" s="776" t="s">
        <v>2127</v>
      </c>
      <c r="CL66" s="776" t="s">
        <v>2127</v>
      </c>
      <c r="CM66" s="776" t="s">
        <v>2127</v>
      </c>
      <c r="CN66" s="776" t="s">
        <v>2127</v>
      </c>
      <c r="CO66" s="776" t="s">
        <v>2127</v>
      </c>
      <c r="CP66" s="776" t="s">
        <v>2127</v>
      </c>
      <c r="CQ66" s="776" t="s">
        <v>2127</v>
      </c>
      <c r="CR66" s="776" t="s">
        <v>2127</v>
      </c>
      <c r="CS66" s="776" t="s">
        <v>2127</v>
      </c>
      <c r="CT66" s="776" t="s">
        <v>2127</v>
      </c>
      <c r="CU66" s="776" t="s">
        <v>2127</v>
      </c>
      <c r="CV66" s="776" t="s">
        <v>2127</v>
      </c>
      <c r="CW66" s="776" t="s">
        <v>2127</v>
      </c>
      <c r="CX66" s="776" t="s">
        <v>2127</v>
      </c>
      <c r="CY66" s="776" t="s">
        <v>2127</v>
      </c>
      <c r="CZ66" s="776" t="s">
        <v>2127</v>
      </c>
      <c r="DA66" s="776" t="s">
        <v>2127</v>
      </c>
      <c r="DB66" s="776" t="s">
        <v>2127</v>
      </c>
      <c r="DC66" s="776" t="s">
        <v>2127</v>
      </c>
      <c r="DD66" s="776" t="s">
        <v>2127</v>
      </c>
      <c r="DE66" s="776" t="s">
        <v>2127</v>
      </c>
      <c r="DF66" s="776" t="s">
        <v>2127</v>
      </c>
      <c r="DG66" s="776" t="s">
        <v>2127</v>
      </c>
      <c r="DH66" s="776" t="s">
        <v>2127</v>
      </c>
      <c r="DI66" s="776" t="s">
        <v>2127</v>
      </c>
      <c r="DJ66" s="776" t="s">
        <v>2127</v>
      </c>
      <c r="DK66" s="776" t="s">
        <v>2127</v>
      </c>
      <c r="DL66" s="776" t="s">
        <v>2127</v>
      </c>
      <c r="DM66" s="776" t="s">
        <v>2127</v>
      </c>
      <c r="DN66" s="776" t="s">
        <v>2127</v>
      </c>
      <c r="DO66" s="776" t="s">
        <v>2127</v>
      </c>
      <c r="DP66" s="776" t="s">
        <v>2127</v>
      </c>
    </row>
    <row r="67" spans="1:120" x14ac:dyDescent="0.2">
      <c r="A67" s="637" t="str">
        <f>CONCATENATE(" ",Kulturen[[#This Row],[HF]])</f>
        <v xml:space="preserve"> Winterraps</v>
      </c>
      <c r="B67" s="772" t="str" cm="1">
        <f t="array" ref="B67">IFERROR(INDEX(Kulturen[HF],_xlfn.AGGREGATE(15,6,(ROW(Kulturen[Auswahl])-7)/(--(SEARCH("x",Kulturen[Auswahl])&gt;0)),ROW()-7),1),"")</f>
        <v>Hanf</v>
      </c>
      <c r="C67" s="772" t="str">
        <f>IF(Kulturen[[#This Row],[HF]]=$D$373,IF($C$6=0,0,"x"),IF($C$6=0,"x",Vorauswahl!C66))</f>
        <v>x</v>
      </c>
      <c r="D67" s="77" t="s">
        <v>31</v>
      </c>
      <c r="E67" s="77" t="s">
        <v>31</v>
      </c>
      <c r="F67" s="540" t="s">
        <v>1897</v>
      </c>
      <c r="G67" s="540">
        <v>3</v>
      </c>
      <c r="H67" s="540">
        <v>1</v>
      </c>
      <c r="I67" s="540">
        <v>1</v>
      </c>
      <c r="J67" s="540">
        <v>90</v>
      </c>
      <c r="K67" s="540">
        <v>1.8</v>
      </c>
      <c r="L67" s="540">
        <v>2.48</v>
      </c>
      <c r="M67" s="540">
        <v>40</v>
      </c>
      <c r="N67" s="540">
        <v>0</v>
      </c>
      <c r="O67" s="540">
        <v>1</v>
      </c>
      <c r="P67" s="540" t="s">
        <v>1584</v>
      </c>
      <c r="Q67" s="540">
        <v>200</v>
      </c>
      <c r="R67" s="540">
        <v>5</v>
      </c>
      <c r="S67" s="540">
        <v>10</v>
      </c>
      <c r="T67" s="540">
        <v>15</v>
      </c>
      <c r="U67" s="540">
        <v>10</v>
      </c>
      <c r="V67" s="540">
        <v>2</v>
      </c>
      <c r="W67" s="776">
        <f>IF(Kulturen[[#This Row],[Berechnungsschema]]=13,3,IF(Kulturen[[#This Row],[Berechnungsschema]]=6,2,1))</f>
        <v>1</v>
      </c>
      <c r="X67" s="776">
        <f>IF(Kulturen[[#This Row],[fruchtartengruppe]]=13,Kulturen[[#This Row],[NBedarfswert]],MAX(0,Kulturen[[#This Row],[NBedarfswert]]-Kulturen[[#This Row],[Ertrag]]*Kulturen[[#This Row],[Nfix]]))</f>
        <v>200</v>
      </c>
      <c r="Y67" s="1410">
        <v>35</v>
      </c>
      <c r="Z67" s="1410">
        <v>37</v>
      </c>
      <c r="AA67" s="1410">
        <v>36</v>
      </c>
      <c r="AB67" s="1410">
        <v>39</v>
      </c>
      <c r="AC67" s="1410">
        <v>37</v>
      </c>
      <c r="AD67" s="1410">
        <v>37</v>
      </c>
      <c r="AE67" s="1410">
        <v>43</v>
      </c>
      <c r="AF67" s="1410">
        <v>40</v>
      </c>
      <c r="AG67" s="1410">
        <v>38</v>
      </c>
      <c r="AH67" s="1410">
        <v>44</v>
      </c>
      <c r="AI67" s="1410">
        <v>42</v>
      </c>
      <c r="AJ67" s="1410">
        <v>44</v>
      </c>
      <c r="AK67" s="1410">
        <v>38</v>
      </c>
      <c r="AL67" s="1410">
        <v>42</v>
      </c>
      <c r="AM67" s="1410">
        <v>38</v>
      </c>
      <c r="AN67" s="1410">
        <v>41</v>
      </c>
      <c r="AO67" s="1410">
        <v>37</v>
      </c>
      <c r="AP67" s="1410">
        <v>39</v>
      </c>
      <c r="AQ67" s="1410">
        <v>40</v>
      </c>
      <c r="AR67" s="1410">
        <v>35</v>
      </c>
      <c r="AS67" s="1410">
        <v>36</v>
      </c>
      <c r="AT67" s="1410">
        <v>43</v>
      </c>
      <c r="AU67" s="1410">
        <v>39</v>
      </c>
      <c r="AV67" s="1410">
        <v>38</v>
      </c>
      <c r="AW67" s="1410">
        <v>38</v>
      </c>
      <c r="AX67" s="1410">
        <v>37</v>
      </c>
      <c r="AY67" s="1410">
        <v>39</v>
      </c>
      <c r="AZ67" s="1410">
        <v>37</v>
      </c>
      <c r="BA67" s="1410">
        <v>41</v>
      </c>
      <c r="BB67" s="1410">
        <v>40</v>
      </c>
      <c r="BC67" s="1410">
        <v>40</v>
      </c>
      <c r="BD67" s="1410">
        <v>38</v>
      </c>
      <c r="BE67" s="1410">
        <v>38</v>
      </c>
      <c r="BF67" s="1410">
        <v>41</v>
      </c>
      <c r="BG67" s="1410">
        <v>44</v>
      </c>
      <c r="BH67" s="1410">
        <v>38</v>
      </c>
      <c r="BI67" s="1410">
        <v>39</v>
      </c>
      <c r="BJ67" s="1410">
        <v>37</v>
      </c>
      <c r="BK67" s="1410">
        <v>37</v>
      </c>
      <c r="BL67" s="1410">
        <v>37</v>
      </c>
      <c r="BM67" s="1410">
        <v>38</v>
      </c>
      <c r="BN67" s="1410">
        <v>38</v>
      </c>
      <c r="BO67" s="1410">
        <v>40</v>
      </c>
      <c r="BP67" s="1410">
        <v>36</v>
      </c>
      <c r="BQ67" s="1410">
        <v>37</v>
      </c>
      <c r="BR67" s="1410">
        <v>36</v>
      </c>
      <c r="BS67" s="1410">
        <v>37</v>
      </c>
      <c r="BT67" s="1410">
        <v>38</v>
      </c>
      <c r="BU67" s="1410">
        <v>38</v>
      </c>
      <c r="BV67" s="1410">
        <v>33</v>
      </c>
      <c r="BW67" s="1410">
        <v>35</v>
      </c>
      <c r="BX67" s="1410">
        <v>33</v>
      </c>
      <c r="BY67" s="1410">
        <v>35</v>
      </c>
      <c r="BZ67" s="1410">
        <v>37</v>
      </c>
      <c r="CA67" s="1410">
        <v>34</v>
      </c>
      <c r="CB67" s="1410">
        <v>34</v>
      </c>
      <c r="CC67" s="1410">
        <v>35</v>
      </c>
      <c r="CD67" s="1410">
        <v>38</v>
      </c>
      <c r="CE67" s="1410">
        <v>37</v>
      </c>
      <c r="CF67" s="1410">
        <v>37</v>
      </c>
      <c r="CG67" s="1410">
        <v>39</v>
      </c>
      <c r="CH67" s="1410">
        <v>36</v>
      </c>
      <c r="CI67" s="1410">
        <v>39</v>
      </c>
      <c r="CJ67" s="1410">
        <v>38</v>
      </c>
      <c r="CK67" s="1410">
        <v>37</v>
      </c>
      <c r="CL67" s="1410">
        <v>37</v>
      </c>
      <c r="CM67" s="1410">
        <v>35</v>
      </c>
      <c r="CN67" s="1410">
        <v>37</v>
      </c>
      <c r="CO67" s="1410">
        <v>34</v>
      </c>
      <c r="CP67" s="1410">
        <v>41</v>
      </c>
      <c r="CQ67" s="1410">
        <v>39</v>
      </c>
      <c r="CR67" s="1410">
        <v>38</v>
      </c>
      <c r="CS67" s="1410">
        <v>38</v>
      </c>
      <c r="CT67" s="1410">
        <v>37</v>
      </c>
      <c r="CU67" s="1410">
        <v>35</v>
      </c>
      <c r="CV67" s="1410">
        <v>35</v>
      </c>
      <c r="CW67" s="1410">
        <v>35</v>
      </c>
      <c r="CX67" s="1410">
        <v>36</v>
      </c>
      <c r="CY67" s="1410">
        <v>44</v>
      </c>
      <c r="CZ67" s="1410">
        <v>36</v>
      </c>
      <c r="DA67" s="1410">
        <v>35</v>
      </c>
      <c r="DB67" s="1410">
        <v>36</v>
      </c>
      <c r="DC67" s="1410">
        <v>39</v>
      </c>
      <c r="DD67" s="1410">
        <v>38</v>
      </c>
      <c r="DE67" s="1410">
        <v>38</v>
      </c>
      <c r="DF67" s="1410">
        <v>37</v>
      </c>
      <c r="DG67" s="1410">
        <v>45</v>
      </c>
      <c r="DH67" s="1410">
        <v>40</v>
      </c>
      <c r="DI67" s="1410">
        <v>43</v>
      </c>
      <c r="DJ67" s="1410">
        <v>41</v>
      </c>
      <c r="DK67" s="1410">
        <v>38</v>
      </c>
      <c r="DL67" s="1410">
        <v>38</v>
      </c>
      <c r="DM67" s="1410">
        <v>43</v>
      </c>
      <c r="DN67" s="1410">
        <v>42</v>
      </c>
      <c r="DO67" s="1410">
        <v>40</v>
      </c>
      <c r="DP67" s="1410">
        <v>38</v>
      </c>
    </row>
    <row r="68" spans="1:120" x14ac:dyDescent="0.2">
      <c r="A68" s="637" t="str">
        <f>CONCATENATE(" ",Kulturen[[#This Row],[HF]])</f>
        <v xml:space="preserve"> Sommerraps</v>
      </c>
      <c r="B68" s="772" t="str" cm="1">
        <f t="array" ref="B68">IFERROR(INDEX(Kulturen[HF],_xlfn.AGGREGATE(15,6,(ROW(Kulturen[Auswahl])-7)/(--(SEARCH("x",Kulturen[Auswahl])&gt;0)),ROW()-7),1),"")</f>
        <v>+++Hackfrüchte+++</v>
      </c>
      <c r="C68" s="772" t="str">
        <f>IF(Kulturen[[#This Row],[HF]]=$D$373,IF($C$6=0,0,"x"),IF($C$6=0,"x",Vorauswahl!C67))</f>
        <v>x</v>
      </c>
      <c r="D68" s="77" t="s">
        <v>32</v>
      </c>
      <c r="E68" s="77" t="s">
        <v>32</v>
      </c>
      <c r="F68" s="540" t="s">
        <v>557</v>
      </c>
      <c r="G68" s="540">
        <v>3</v>
      </c>
      <c r="H68" s="540">
        <v>8</v>
      </c>
      <c r="I68" s="540">
        <v>1</v>
      </c>
      <c r="J68" s="540">
        <v>90</v>
      </c>
      <c r="K68" s="540">
        <v>1.8</v>
      </c>
      <c r="L68" s="540">
        <v>2.48</v>
      </c>
      <c r="M68" s="540">
        <v>35</v>
      </c>
      <c r="N68" s="540">
        <v>0</v>
      </c>
      <c r="O68" s="540">
        <v>1</v>
      </c>
      <c r="P68" s="540">
        <v>0</v>
      </c>
      <c r="Q68" s="540">
        <v>180</v>
      </c>
      <c r="R68" s="540">
        <v>5</v>
      </c>
      <c r="S68" s="540">
        <v>10</v>
      </c>
      <c r="T68" s="540">
        <v>15</v>
      </c>
      <c r="U68" s="540">
        <v>10</v>
      </c>
      <c r="V68" s="540">
        <v>2</v>
      </c>
      <c r="W68" s="776">
        <f>IF(Kulturen[[#This Row],[Berechnungsschema]]=13,3,IF(Kulturen[[#This Row],[Berechnungsschema]]=6,2,1))</f>
        <v>1</v>
      </c>
      <c r="X68" s="776">
        <f>IF(Kulturen[[#This Row],[fruchtartengruppe]]=13,Kulturen[[#This Row],[NBedarfswert]],MAX(0,Kulturen[[#This Row],[NBedarfswert]]-Kulturen[[#This Row],[Ertrag]]*Kulturen[[#This Row],[Nfix]]))</f>
        <v>180</v>
      </c>
      <c r="Y68" s="776">
        <v>28</v>
      </c>
      <c r="Z68" s="776">
        <v>30</v>
      </c>
      <c r="AA68" s="776">
        <v>29</v>
      </c>
      <c r="AB68" s="776">
        <v>31</v>
      </c>
      <c r="AC68" s="776">
        <v>30</v>
      </c>
      <c r="AD68" s="776">
        <v>29</v>
      </c>
      <c r="AE68" s="776">
        <v>34</v>
      </c>
      <c r="AF68" s="776">
        <v>32</v>
      </c>
      <c r="AG68" s="776">
        <v>30</v>
      </c>
      <c r="AH68" s="776">
        <v>35</v>
      </c>
      <c r="AI68" s="776">
        <v>34</v>
      </c>
      <c r="AJ68" s="776">
        <v>35</v>
      </c>
      <c r="AK68" s="776">
        <v>30</v>
      </c>
      <c r="AL68" s="776">
        <v>33</v>
      </c>
      <c r="AM68" s="776">
        <v>30</v>
      </c>
      <c r="AN68" s="776">
        <v>33</v>
      </c>
      <c r="AO68" s="776">
        <v>29</v>
      </c>
      <c r="AP68" s="776">
        <v>31</v>
      </c>
      <c r="AQ68" s="776">
        <v>32</v>
      </c>
      <c r="AR68" s="776">
        <v>28</v>
      </c>
      <c r="AS68" s="776">
        <v>29</v>
      </c>
      <c r="AT68" s="776">
        <v>34</v>
      </c>
      <c r="AU68" s="776">
        <v>31</v>
      </c>
      <c r="AV68" s="776">
        <v>30</v>
      </c>
      <c r="AW68" s="776">
        <v>30</v>
      </c>
      <c r="AX68" s="776">
        <v>30</v>
      </c>
      <c r="AY68" s="776">
        <v>31</v>
      </c>
      <c r="AZ68" s="776">
        <v>30</v>
      </c>
      <c r="BA68" s="776">
        <v>33</v>
      </c>
      <c r="BB68" s="776">
        <v>32</v>
      </c>
      <c r="BC68" s="776">
        <v>32</v>
      </c>
      <c r="BD68" s="776">
        <v>30</v>
      </c>
      <c r="BE68" s="776">
        <v>31</v>
      </c>
      <c r="BF68" s="776">
        <v>33</v>
      </c>
      <c r="BG68" s="776">
        <v>36</v>
      </c>
      <c r="BH68" s="776">
        <v>30</v>
      </c>
      <c r="BI68" s="776">
        <v>31</v>
      </c>
      <c r="BJ68" s="776">
        <v>30</v>
      </c>
      <c r="BK68" s="776">
        <v>29</v>
      </c>
      <c r="BL68" s="776">
        <v>30</v>
      </c>
      <c r="BM68" s="776">
        <v>30</v>
      </c>
      <c r="BN68" s="776">
        <v>30</v>
      </c>
      <c r="BO68" s="776">
        <v>32</v>
      </c>
      <c r="BP68" s="776">
        <v>29</v>
      </c>
      <c r="BQ68" s="776">
        <v>29</v>
      </c>
      <c r="BR68" s="776">
        <v>29</v>
      </c>
      <c r="BS68" s="776">
        <v>30</v>
      </c>
      <c r="BT68" s="776">
        <v>30</v>
      </c>
      <c r="BU68" s="776">
        <v>30</v>
      </c>
      <c r="BV68" s="776">
        <v>26</v>
      </c>
      <c r="BW68" s="776">
        <v>28</v>
      </c>
      <c r="BX68" s="776">
        <v>26</v>
      </c>
      <c r="BY68" s="776">
        <v>28</v>
      </c>
      <c r="BZ68" s="776">
        <v>30</v>
      </c>
      <c r="CA68" s="776">
        <v>27</v>
      </c>
      <c r="CB68" s="776">
        <v>27</v>
      </c>
      <c r="CC68" s="776">
        <v>28</v>
      </c>
      <c r="CD68" s="776">
        <v>30</v>
      </c>
      <c r="CE68" s="776">
        <v>30</v>
      </c>
      <c r="CF68" s="776">
        <v>30</v>
      </c>
      <c r="CG68" s="776">
        <v>31</v>
      </c>
      <c r="CH68" s="776">
        <v>29</v>
      </c>
      <c r="CI68" s="776">
        <v>31</v>
      </c>
      <c r="CJ68" s="776">
        <v>30</v>
      </c>
      <c r="CK68" s="776">
        <v>30</v>
      </c>
      <c r="CL68" s="776">
        <v>30</v>
      </c>
      <c r="CM68" s="776">
        <v>28</v>
      </c>
      <c r="CN68" s="776">
        <v>30</v>
      </c>
      <c r="CO68" s="776">
        <v>27</v>
      </c>
      <c r="CP68" s="776">
        <v>33</v>
      </c>
      <c r="CQ68" s="776">
        <v>31</v>
      </c>
      <c r="CR68" s="776">
        <v>30</v>
      </c>
      <c r="CS68" s="776">
        <v>31</v>
      </c>
      <c r="CT68" s="776">
        <v>30</v>
      </c>
      <c r="CU68" s="776">
        <v>28</v>
      </c>
      <c r="CV68" s="776">
        <v>28</v>
      </c>
      <c r="CW68" s="776">
        <v>28</v>
      </c>
      <c r="CX68" s="776">
        <v>29</v>
      </c>
      <c r="CY68" s="776">
        <v>35</v>
      </c>
      <c r="CZ68" s="776">
        <v>29</v>
      </c>
      <c r="DA68" s="776">
        <v>28</v>
      </c>
      <c r="DB68" s="776">
        <v>29</v>
      </c>
      <c r="DC68" s="776">
        <v>31</v>
      </c>
      <c r="DD68" s="776">
        <v>30</v>
      </c>
      <c r="DE68" s="776">
        <v>30</v>
      </c>
      <c r="DF68" s="776">
        <v>30</v>
      </c>
      <c r="DG68" s="776">
        <v>36</v>
      </c>
      <c r="DH68" s="776">
        <v>32</v>
      </c>
      <c r="DI68" s="776">
        <v>35</v>
      </c>
      <c r="DJ68" s="776">
        <v>33</v>
      </c>
      <c r="DK68" s="776">
        <v>31</v>
      </c>
      <c r="DL68" s="776">
        <v>30</v>
      </c>
      <c r="DM68" s="776">
        <v>34</v>
      </c>
      <c r="DN68" s="776">
        <v>34</v>
      </c>
      <c r="DO68" s="776">
        <v>32</v>
      </c>
      <c r="DP68" s="776">
        <v>30</v>
      </c>
    </row>
    <row r="69" spans="1:120" x14ac:dyDescent="0.2">
      <c r="A69" s="637" t="str">
        <f>CONCATENATE(" ",Kulturen[[#This Row],[HF]])</f>
        <v xml:space="preserve"> Rübsen</v>
      </c>
      <c r="B69" s="772" t="str" cm="1">
        <f t="array" ref="B69">IFERROR(INDEX(Kulturen[HF],_xlfn.AGGREGATE(15,6,(ROW(Kulturen[Auswahl])-7)/(--(SEARCH("x",Kulturen[Auswahl])&gt;0)),ROW()-7),1),"")</f>
        <v>Kartoffel (Speise, Stärke)</v>
      </c>
      <c r="C69" s="772" t="str">
        <f>IF(Kulturen[[#This Row],[HF]]=$D$373,IF($C$6=0,0,"x"),IF($C$6=0,"x",Vorauswahl!C68))</f>
        <v>x</v>
      </c>
      <c r="D69" s="77" t="s">
        <v>33</v>
      </c>
      <c r="E69" s="77" t="s">
        <v>33</v>
      </c>
      <c r="F69" s="540" t="s">
        <v>558</v>
      </c>
      <c r="G69" s="540">
        <v>3</v>
      </c>
      <c r="H69" s="540">
        <v>8</v>
      </c>
      <c r="I69" s="540">
        <v>1</v>
      </c>
      <c r="J69" s="540">
        <v>90</v>
      </c>
      <c r="K69" s="540">
        <v>1.8</v>
      </c>
      <c r="L69" s="540">
        <v>2.4</v>
      </c>
      <c r="M69" s="540">
        <v>35</v>
      </c>
      <c r="N69" s="540">
        <v>0</v>
      </c>
      <c r="O69" s="540">
        <v>1</v>
      </c>
      <c r="P69" s="540" t="s">
        <v>1583</v>
      </c>
      <c r="Q69" s="540">
        <v>180</v>
      </c>
      <c r="R69" s="540">
        <v>5</v>
      </c>
      <c r="S69" s="540">
        <v>10</v>
      </c>
      <c r="T69" s="540">
        <v>15</v>
      </c>
      <c r="U69" s="540">
        <v>10</v>
      </c>
      <c r="V69" s="540">
        <v>3</v>
      </c>
      <c r="W69" s="776">
        <f>IF(Kulturen[[#This Row],[Berechnungsschema]]=13,3,IF(Kulturen[[#This Row],[Berechnungsschema]]=6,2,1))</f>
        <v>1</v>
      </c>
      <c r="X69" s="776">
        <f>IF(Kulturen[[#This Row],[fruchtartengruppe]]=13,Kulturen[[#This Row],[NBedarfswert]],MAX(0,Kulturen[[#This Row],[NBedarfswert]]-Kulturen[[#This Row],[Ertrag]]*Kulturen[[#This Row],[Nfix]]))</f>
        <v>180</v>
      </c>
      <c r="Y69" s="776">
        <v>25</v>
      </c>
      <c r="Z69" s="776">
        <v>26</v>
      </c>
      <c r="AA69" s="776">
        <v>25</v>
      </c>
      <c r="AB69" s="776">
        <v>27</v>
      </c>
      <c r="AC69" s="776">
        <v>26</v>
      </c>
      <c r="AD69" s="776">
        <v>26</v>
      </c>
      <c r="AE69" s="776">
        <v>30</v>
      </c>
      <c r="AF69" s="776">
        <v>28</v>
      </c>
      <c r="AG69" s="776">
        <v>27</v>
      </c>
      <c r="AH69" s="776">
        <v>31</v>
      </c>
      <c r="AI69" s="776">
        <v>30</v>
      </c>
      <c r="AJ69" s="776">
        <v>31</v>
      </c>
      <c r="AK69" s="776">
        <v>26</v>
      </c>
      <c r="AL69" s="776">
        <v>29</v>
      </c>
      <c r="AM69" s="776">
        <v>26</v>
      </c>
      <c r="AN69" s="776">
        <v>29</v>
      </c>
      <c r="AO69" s="776">
        <v>26</v>
      </c>
      <c r="AP69" s="776">
        <v>27</v>
      </c>
      <c r="AQ69" s="776">
        <v>28</v>
      </c>
      <c r="AR69" s="776">
        <v>25</v>
      </c>
      <c r="AS69" s="776">
        <v>25</v>
      </c>
      <c r="AT69" s="776">
        <v>30</v>
      </c>
      <c r="AU69" s="776">
        <v>27</v>
      </c>
      <c r="AV69" s="776">
        <v>26</v>
      </c>
      <c r="AW69" s="776">
        <v>26</v>
      </c>
      <c r="AX69" s="776">
        <v>26</v>
      </c>
      <c r="AY69" s="776">
        <v>27</v>
      </c>
      <c r="AZ69" s="776">
        <v>26</v>
      </c>
      <c r="BA69" s="776">
        <v>28</v>
      </c>
      <c r="BB69" s="776">
        <v>28</v>
      </c>
      <c r="BC69" s="776">
        <v>28</v>
      </c>
      <c r="BD69" s="776">
        <v>26</v>
      </c>
      <c r="BE69" s="776">
        <v>27</v>
      </c>
      <c r="BF69" s="776">
        <v>29</v>
      </c>
      <c r="BG69" s="776">
        <v>31</v>
      </c>
      <c r="BH69" s="776">
        <v>26</v>
      </c>
      <c r="BI69" s="776">
        <v>28</v>
      </c>
      <c r="BJ69" s="776">
        <v>26</v>
      </c>
      <c r="BK69" s="776">
        <v>26</v>
      </c>
      <c r="BL69" s="776">
        <v>26</v>
      </c>
      <c r="BM69" s="776">
        <v>27</v>
      </c>
      <c r="BN69" s="776">
        <v>27</v>
      </c>
      <c r="BO69" s="776">
        <v>28</v>
      </c>
      <c r="BP69" s="776">
        <v>25</v>
      </c>
      <c r="BQ69" s="776">
        <v>26</v>
      </c>
      <c r="BR69" s="776">
        <v>25</v>
      </c>
      <c r="BS69" s="776">
        <v>26</v>
      </c>
      <c r="BT69" s="776">
        <v>26</v>
      </c>
      <c r="BU69" s="776">
        <v>26</v>
      </c>
      <c r="BV69" s="776">
        <v>23</v>
      </c>
      <c r="BW69" s="776">
        <v>24</v>
      </c>
      <c r="BX69" s="776">
        <v>23</v>
      </c>
      <c r="BY69" s="776">
        <v>25</v>
      </c>
      <c r="BZ69" s="776">
        <v>26</v>
      </c>
      <c r="CA69" s="776">
        <v>24</v>
      </c>
      <c r="CB69" s="776">
        <v>24</v>
      </c>
      <c r="CC69" s="776">
        <v>24</v>
      </c>
      <c r="CD69" s="776">
        <v>26</v>
      </c>
      <c r="CE69" s="776">
        <v>26</v>
      </c>
      <c r="CF69" s="776">
        <v>26</v>
      </c>
      <c r="CG69" s="776">
        <v>27</v>
      </c>
      <c r="CH69" s="776">
        <v>25</v>
      </c>
      <c r="CI69" s="776">
        <v>28</v>
      </c>
      <c r="CJ69" s="776">
        <v>27</v>
      </c>
      <c r="CK69" s="776">
        <v>26</v>
      </c>
      <c r="CL69" s="776">
        <v>26</v>
      </c>
      <c r="CM69" s="776">
        <v>24</v>
      </c>
      <c r="CN69" s="776">
        <v>26</v>
      </c>
      <c r="CO69" s="776">
        <v>24</v>
      </c>
      <c r="CP69" s="776">
        <v>29</v>
      </c>
      <c r="CQ69" s="776">
        <v>28</v>
      </c>
      <c r="CR69" s="776">
        <v>26</v>
      </c>
      <c r="CS69" s="776">
        <v>27</v>
      </c>
      <c r="CT69" s="776">
        <v>26</v>
      </c>
      <c r="CU69" s="776">
        <v>24</v>
      </c>
      <c r="CV69" s="776">
        <v>25</v>
      </c>
      <c r="CW69" s="776">
        <v>24</v>
      </c>
      <c r="CX69" s="776">
        <v>25</v>
      </c>
      <c r="CY69" s="776">
        <v>31</v>
      </c>
      <c r="CZ69" s="776">
        <v>25</v>
      </c>
      <c r="DA69" s="776">
        <v>25</v>
      </c>
      <c r="DB69" s="776">
        <v>25</v>
      </c>
      <c r="DC69" s="776">
        <v>27</v>
      </c>
      <c r="DD69" s="776">
        <v>26</v>
      </c>
      <c r="DE69" s="776">
        <v>26</v>
      </c>
      <c r="DF69" s="776">
        <v>26</v>
      </c>
      <c r="DG69" s="776">
        <v>31</v>
      </c>
      <c r="DH69" s="776">
        <v>28</v>
      </c>
      <c r="DI69" s="776">
        <v>30</v>
      </c>
      <c r="DJ69" s="776">
        <v>29</v>
      </c>
      <c r="DK69" s="776">
        <v>27</v>
      </c>
      <c r="DL69" s="776">
        <v>26</v>
      </c>
      <c r="DM69" s="776">
        <v>30</v>
      </c>
      <c r="DN69" s="776">
        <v>29</v>
      </c>
      <c r="DO69" s="776">
        <v>28</v>
      </c>
      <c r="DP69" s="776">
        <v>26</v>
      </c>
    </row>
    <row r="70" spans="1:120" x14ac:dyDescent="0.2">
      <c r="A70" s="637" t="str">
        <f>CONCATENATE(" ",Kulturen[[#This Row],[HF]])</f>
        <v xml:space="preserve"> Sonnenblumen</v>
      </c>
      <c r="B70" s="772" t="str" cm="1">
        <f t="array" ref="B70">IFERROR(INDEX(Kulturen[HF],_xlfn.AGGREGATE(15,6,(ROW(Kulturen[Auswahl])-7)/(--(SEARCH("x",Kulturen[Auswahl])&gt;0)),ROW()-7),1),"")</f>
        <v>Kartoffel (Veredelung)</v>
      </c>
      <c r="C70" s="772" t="str">
        <f>IF(Kulturen[[#This Row],[HF]]=$D$373,IF($C$6=0,0,"x"),IF($C$6=0,"x",Vorauswahl!C69))</f>
        <v>x</v>
      </c>
      <c r="D70" s="77" t="s">
        <v>743</v>
      </c>
      <c r="E70" s="77" t="s">
        <v>743</v>
      </c>
      <c r="F70" s="540" t="s">
        <v>1898</v>
      </c>
      <c r="G70" s="540">
        <v>3</v>
      </c>
      <c r="H70" s="540">
        <v>8</v>
      </c>
      <c r="I70" s="540">
        <v>1</v>
      </c>
      <c r="J70" s="540">
        <v>90</v>
      </c>
      <c r="K70" s="540">
        <v>1.6</v>
      </c>
      <c r="L70" s="540">
        <v>3.4</v>
      </c>
      <c r="M70" s="540">
        <v>30</v>
      </c>
      <c r="N70" s="540">
        <v>0</v>
      </c>
      <c r="O70" s="540">
        <v>1</v>
      </c>
      <c r="P70" s="540">
        <v>0</v>
      </c>
      <c r="Q70" s="540">
        <v>120</v>
      </c>
      <c r="R70" s="540">
        <v>5</v>
      </c>
      <c r="S70" s="540">
        <v>10</v>
      </c>
      <c r="T70" s="540">
        <v>15</v>
      </c>
      <c r="U70" s="540">
        <v>0</v>
      </c>
      <c r="V70" s="540">
        <v>4</v>
      </c>
      <c r="W70" s="776">
        <f>IF(Kulturen[[#This Row],[Berechnungsschema]]=13,3,IF(Kulturen[[#This Row],[Berechnungsschema]]=6,2,1))</f>
        <v>1</v>
      </c>
      <c r="X70" s="776">
        <f>IF(Kulturen[[#This Row],[fruchtartengruppe]]=13,Kulturen[[#This Row],[NBedarfswert]],MAX(0,Kulturen[[#This Row],[NBedarfswert]]-Kulturen[[#This Row],[Ertrag]]*Kulturen[[#This Row],[Nfix]]))</f>
        <v>120</v>
      </c>
      <c r="Y70" s="1410">
        <v>28</v>
      </c>
      <c r="Z70" s="1410">
        <v>29</v>
      </c>
      <c r="AA70" s="1410">
        <v>28</v>
      </c>
      <c r="AB70" s="1410">
        <v>28</v>
      </c>
      <c r="AC70" s="1410">
        <v>29</v>
      </c>
      <c r="AD70" s="1410">
        <v>28</v>
      </c>
      <c r="AE70" s="1410">
        <v>28</v>
      </c>
      <c r="AF70" s="1410">
        <v>28</v>
      </c>
      <c r="AG70" s="1410">
        <v>28</v>
      </c>
      <c r="AH70" s="1410">
        <v>28</v>
      </c>
      <c r="AI70" s="1410">
        <v>29</v>
      </c>
      <c r="AJ70" s="1410">
        <v>28</v>
      </c>
      <c r="AK70" s="1410">
        <v>28</v>
      </c>
      <c r="AL70" s="1410">
        <v>29</v>
      </c>
      <c r="AM70" s="1410">
        <v>28</v>
      </c>
      <c r="AN70" s="1410">
        <v>28</v>
      </c>
      <c r="AO70" s="1410">
        <v>28</v>
      </c>
      <c r="AP70" s="1410">
        <v>28</v>
      </c>
      <c r="AQ70" s="1410">
        <v>29</v>
      </c>
      <c r="AR70" s="1410">
        <v>28</v>
      </c>
      <c r="AS70" s="1410">
        <v>29</v>
      </c>
      <c r="AT70" s="1410">
        <v>28</v>
      </c>
      <c r="AU70" s="1410">
        <v>28</v>
      </c>
      <c r="AV70" s="1410">
        <v>29</v>
      </c>
      <c r="AW70" s="1410">
        <v>28</v>
      </c>
      <c r="AX70" s="1410">
        <v>28</v>
      </c>
      <c r="AY70" s="1410">
        <v>28</v>
      </c>
      <c r="AZ70" s="1410">
        <v>28</v>
      </c>
      <c r="BA70" s="1410">
        <v>28</v>
      </c>
      <c r="BB70" s="1410">
        <v>29</v>
      </c>
      <c r="BC70" s="1410">
        <v>28</v>
      </c>
      <c r="BD70" s="1410">
        <v>28</v>
      </c>
      <c r="BE70" s="1410">
        <v>28</v>
      </c>
      <c r="BF70" s="1410">
        <v>28</v>
      </c>
      <c r="BG70" s="1410">
        <v>27</v>
      </c>
      <c r="BH70" s="1410">
        <v>28</v>
      </c>
      <c r="BI70" s="1410">
        <v>30</v>
      </c>
      <c r="BJ70" s="1410">
        <v>28</v>
      </c>
      <c r="BK70" s="1410">
        <v>29</v>
      </c>
      <c r="BL70" s="1410">
        <v>29</v>
      </c>
      <c r="BM70" s="1410">
        <v>28</v>
      </c>
      <c r="BN70" s="1410">
        <v>28</v>
      </c>
      <c r="BO70" s="1410">
        <v>28</v>
      </c>
      <c r="BP70" s="1410">
        <v>28</v>
      </c>
      <c r="BQ70" s="1410">
        <v>28</v>
      </c>
      <c r="BR70" s="1410">
        <v>28</v>
      </c>
      <c r="BS70" s="1410">
        <v>28</v>
      </c>
      <c r="BT70" s="1410">
        <v>28</v>
      </c>
      <c r="BU70" s="1410">
        <v>28</v>
      </c>
      <c r="BV70" s="1410">
        <v>28</v>
      </c>
      <c r="BW70" s="1410">
        <v>28</v>
      </c>
      <c r="BX70" s="1410">
        <v>28</v>
      </c>
      <c r="BY70" s="1410">
        <v>29</v>
      </c>
      <c r="BZ70" s="1410">
        <v>28</v>
      </c>
      <c r="CA70" s="1410">
        <v>28</v>
      </c>
      <c r="CB70" s="1410">
        <v>28</v>
      </c>
      <c r="CC70" s="1410">
        <v>28</v>
      </c>
      <c r="CD70" s="1410">
        <v>28</v>
      </c>
      <c r="CE70" s="1410">
        <v>28</v>
      </c>
      <c r="CF70" s="1410">
        <v>28</v>
      </c>
      <c r="CG70" s="1410">
        <v>28</v>
      </c>
      <c r="CH70" s="1410">
        <v>28</v>
      </c>
      <c r="CI70" s="1410">
        <v>28</v>
      </c>
      <c r="CJ70" s="1410">
        <v>30</v>
      </c>
      <c r="CK70" s="1410">
        <v>27</v>
      </c>
      <c r="CL70" s="1410">
        <v>28</v>
      </c>
      <c r="CM70" s="1410">
        <v>28</v>
      </c>
      <c r="CN70" s="1410">
        <v>30</v>
      </c>
      <c r="CO70" s="1410">
        <v>28</v>
      </c>
      <c r="CP70" s="1410">
        <v>28</v>
      </c>
      <c r="CQ70" s="1410">
        <v>28</v>
      </c>
      <c r="CR70" s="1410">
        <v>28</v>
      </c>
      <c r="CS70" s="1410">
        <v>27</v>
      </c>
      <c r="CT70" s="1410">
        <v>28</v>
      </c>
      <c r="CU70" s="1410">
        <v>28</v>
      </c>
      <c r="CV70" s="1410">
        <v>28</v>
      </c>
      <c r="CW70" s="1410">
        <v>27</v>
      </c>
      <c r="CX70" s="1410">
        <v>28</v>
      </c>
      <c r="CY70" s="1410">
        <v>27</v>
      </c>
      <c r="CZ70" s="1410">
        <v>28</v>
      </c>
      <c r="DA70" s="1410">
        <v>27</v>
      </c>
      <c r="DB70" s="1410">
        <v>28</v>
      </c>
      <c r="DC70" s="1410">
        <v>28</v>
      </c>
      <c r="DD70" s="1410">
        <v>28</v>
      </c>
      <c r="DE70" s="1410">
        <v>28</v>
      </c>
      <c r="DF70" s="1410">
        <v>28</v>
      </c>
      <c r="DG70" s="1410">
        <v>28</v>
      </c>
      <c r="DH70" s="1410">
        <v>28</v>
      </c>
      <c r="DI70" s="1410">
        <v>27</v>
      </c>
      <c r="DJ70" s="1410">
        <v>28</v>
      </c>
      <c r="DK70" s="1410">
        <v>27</v>
      </c>
      <c r="DL70" s="1410">
        <v>28</v>
      </c>
      <c r="DM70" s="1410">
        <v>27</v>
      </c>
      <c r="DN70" s="1410">
        <v>28</v>
      </c>
      <c r="DO70" s="1410">
        <v>28</v>
      </c>
      <c r="DP70" s="1410">
        <v>28</v>
      </c>
    </row>
    <row r="71" spans="1:120" x14ac:dyDescent="0.2">
      <c r="A71" s="637" t="str">
        <f>CONCATENATE(" ",Kulturen[[#This Row],[HF]])</f>
        <v xml:space="preserve"> Körnersenf</v>
      </c>
      <c r="B71" s="772" t="str" cm="1">
        <f t="array" ref="B71">IFERROR(INDEX(Kulturen[HF],_xlfn.AGGREGATE(15,6,(ROW(Kulturen[Auswahl])-7)/(--(SEARCH("x",Kulturen[Auswahl])&gt;0)),ROW()-7),1),"")</f>
        <v>Frühkartoffel</v>
      </c>
      <c r="C71" s="772" t="str">
        <f>IF(Kulturen[[#This Row],[HF]]=$D$373,IF($C$6=0,0,"x"),IF($C$6=0,"x",Vorauswahl!C70))</f>
        <v>x</v>
      </c>
      <c r="D71" s="77" t="s">
        <v>4</v>
      </c>
      <c r="E71" s="77" t="s">
        <v>4</v>
      </c>
      <c r="F71" s="540" t="s">
        <v>559</v>
      </c>
      <c r="G71" s="540">
        <v>3</v>
      </c>
      <c r="H71" s="540">
        <v>8</v>
      </c>
      <c r="I71" s="540">
        <v>1</v>
      </c>
      <c r="J71" s="540">
        <v>90</v>
      </c>
      <c r="K71" s="540">
        <v>1.77</v>
      </c>
      <c r="L71" s="540">
        <v>2.37</v>
      </c>
      <c r="M71" s="540">
        <v>25</v>
      </c>
      <c r="N71" s="540">
        <v>0</v>
      </c>
      <c r="O71" s="540">
        <v>1</v>
      </c>
      <c r="P71" s="540">
        <v>0</v>
      </c>
      <c r="Q71" s="540">
        <v>160</v>
      </c>
      <c r="R71" s="540">
        <v>5</v>
      </c>
      <c r="S71" s="540">
        <v>10</v>
      </c>
      <c r="T71" s="540">
        <v>15</v>
      </c>
      <c r="U71" s="540">
        <v>10</v>
      </c>
      <c r="V71" s="540">
        <v>3</v>
      </c>
      <c r="W71" s="776">
        <f>IF(Kulturen[[#This Row],[Berechnungsschema]]=13,3,IF(Kulturen[[#This Row],[Berechnungsschema]]=6,2,1))</f>
        <v>1</v>
      </c>
      <c r="X71" s="776">
        <f>IF(Kulturen[[#This Row],[fruchtartengruppe]]=13,Kulturen[[#This Row],[NBedarfswert]],MAX(0,Kulturen[[#This Row],[NBedarfswert]]-Kulturen[[#This Row],[Ertrag]]*Kulturen[[#This Row],[Nfix]]))</f>
        <v>160</v>
      </c>
      <c r="Y71" s="776">
        <v>22</v>
      </c>
      <c r="Z71" s="776">
        <v>23</v>
      </c>
      <c r="AA71" s="776">
        <v>22</v>
      </c>
      <c r="AB71" s="776">
        <v>23</v>
      </c>
      <c r="AC71" s="776">
        <v>23</v>
      </c>
      <c r="AD71" s="776">
        <v>22</v>
      </c>
      <c r="AE71" s="776">
        <v>22</v>
      </c>
      <c r="AF71" s="776">
        <v>22</v>
      </c>
      <c r="AG71" s="776">
        <v>22</v>
      </c>
      <c r="AH71" s="776">
        <v>23</v>
      </c>
      <c r="AI71" s="776">
        <v>23</v>
      </c>
      <c r="AJ71" s="776">
        <v>22</v>
      </c>
      <c r="AK71" s="776">
        <v>22</v>
      </c>
      <c r="AL71" s="776">
        <v>23</v>
      </c>
      <c r="AM71" s="776">
        <v>22</v>
      </c>
      <c r="AN71" s="776">
        <v>23</v>
      </c>
      <c r="AO71" s="776">
        <v>22</v>
      </c>
      <c r="AP71" s="776">
        <v>22</v>
      </c>
      <c r="AQ71" s="776">
        <v>23</v>
      </c>
      <c r="AR71" s="776">
        <v>22</v>
      </c>
      <c r="AS71" s="776">
        <v>23</v>
      </c>
      <c r="AT71" s="776">
        <v>23</v>
      </c>
      <c r="AU71" s="776">
        <v>22</v>
      </c>
      <c r="AV71" s="776">
        <v>23</v>
      </c>
      <c r="AW71" s="776">
        <v>22</v>
      </c>
      <c r="AX71" s="776">
        <v>22</v>
      </c>
      <c r="AY71" s="776">
        <v>22</v>
      </c>
      <c r="AZ71" s="776">
        <v>22</v>
      </c>
      <c r="BA71" s="776">
        <v>22</v>
      </c>
      <c r="BB71" s="776">
        <v>23</v>
      </c>
      <c r="BC71" s="776">
        <v>23</v>
      </c>
      <c r="BD71" s="776">
        <v>22</v>
      </c>
      <c r="BE71" s="776">
        <v>23</v>
      </c>
      <c r="BF71" s="776">
        <v>22</v>
      </c>
      <c r="BG71" s="776">
        <v>22</v>
      </c>
      <c r="BH71" s="776">
        <v>22</v>
      </c>
      <c r="BI71" s="776">
        <v>24</v>
      </c>
      <c r="BJ71" s="776">
        <v>22</v>
      </c>
      <c r="BK71" s="776">
        <v>23</v>
      </c>
      <c r="BL71" s="776">
        <v>23</v>
      </c>
      <c r="BM71" s="776">
        <v>22</v>
      </c>
      <c r="BN71" s="776">
        <v>22</v>
      </c>
      <c r="BO71" s="776">
        <v>22</v>
      </c>
      <c r="BP71" s="776">
        <v>22</v>
      </c>
      <c r="BQ71" s="776">
        <v>22</v>
      </c>
      <c r="BR71" s="776">
        <v>22</v>
      </c>
      <c r="BS71" s="776">
        <v>22</v>
      </c>
      <c r="BT71" s="776">
        <v>22</v>
      </c>
      <c r="BU71" s="776">
        <v>22</v>
      </c>
      <c r="BV71" s="776">
        <v>22</v>
      </c>
      <c r="BW71" s="776">
        <v>22</v>
      </c>
      <c r="BX71" s="776">
        <v>22</v>
      </c>
      <c r="BY71" s="776">
        <v>23</v>
      </c>
      <c r="BZ71" s="776">
        <v>22</v>
      </c>
      <c r="CA71" s="776">
        <v>23</v>
      </c>
      <c r="CB71" s="776">
        <v>22</v>
      </c>
      <c r="CC71" s="776">
        <v>22</v>
      </c>
      <c r="CD71" s="776">
        <v>22</v>
      </c>
      <c r="CE71" s="776">
        <v>22</v>
      </c>
      <c r="CF71" s="776">
        <v>22</v>
      </c>
      <c r="CG71" s="776">
        <v>22</v>
      </c>
      <c r="CH71" s="776">
        <v>22</v>
      </c>
      <c r="CI71" s="776">
        <v>22</v>
      </c>
      <c r="CJ71" s="776">
        <v>24</v>
      </c>
      <c r="CK71" s="776">
        <v>22</v>
      </c>
      <c r="CL71" s="776">
        <v>23</v>
      </c>
      <c r="CM71" s="776">
        <v>22</v>
      </c>
      <c r="CN71" s="776">
        <v>24</v>
      </c>
      <c r="CO71" s="776">
        <v>23</v>
      </c>
      <c r="CP71" s="776">
        <v>22</v>
      </c>
      <c r="CQ71" s="776">
        <v>22</v>
      </c>
      <c r="CR71" s="776">
        <v>22</v>
      </c>
      <c r="CS71" s="776">
        <v>22</v>
      </c>
      <c r="CT71" s="776">
        <v>22</v>
      </c>
      <c r="CU71" s="776">
        <v>23</v>
      </c>
      <c r="CV71" s="776">
        <v>22</v>
      </c>
      <c r="CW71" s="776">
        <v>22</v>
      </c>
      <c r="CX71" s="776">
        <v>22</v>
      </c>
      <c r="CY71" s="776">
        <v>22</v>
      </c>
      <c r="CZ71" s="776">
        <v>22</v>
      </c>
      <c r="DA71" s="776">
        <v>22</v>
      </c>
      <c r="DB71" s="776">
        <v>23</v>
      </c>
      <c r="DC71" s="776">
        <v>22</v>
      </c>
      <c r="DD71" s="776">
        <v>22</v>
      </c>
      <c r="DE71" s="776">
        <v>22</v>
      </c>
      <c r="DF71" s="776">
        <v>22</v>
      </c>
      <c r="DG71" s="776">
        <v>22</v>
      </c>
      <c r="DH71" s="776">
        <v>22</v>
      </c>
      <c r="DI71" s="776">
        <v>22</v>
      </c>
      <c r="DJ71" s="776">
        <v>22</v>
      </c>
      <c r="DK71" s="776">
        <v>22</v>
      </c>
      <c r="DL71" s="776">
        <v>22</v>
      </c>
      <c r="DM71" s="776">
        <v>22</v>
      </c>
      <c r="DN71" s="776">
        <v>22</v>
      </c>
      <c r="DO71" s="776">
        <v>22</v>
      </c>
      <c r="DP71" s="776">
        <v>22</v>
      </c>
    </row>
    <row r="72" spans="1:120" x14ac:dyDescent="0.2">
      <c r="A72" s="637" t="str">
        <f>CONCATENATE(" ",Kulturen[[#This Row],[HF]])</f>
        <v xml:space="preserve"> Öllein, Faserflachs</v>
      </c>
      <c r="B72" s="772" t="str" cm="1">
        <f t="array" ref="B72">IFERROR(INDEX(Kulturen[HF],_xlfn.AGGREGATE(15,6,(ROW(Kulturen[Auswahl])-7)/(--(SEARCH("x",Kulturen[Auswahl])&gt;0)),ROW()-7),1),"")</f>
        <v>Zuckerrüben</v>
      </c>
      <c r="C72" s="772" t="str">
        <f>IF(Kulturen[[#This Row],[HF]]=$D$373,IF($C$6=0,0,"x"),IF($C$6=0,"x",Vorauswahl!C71))</f>
        <v>x</v>
      </c>
      <c r="D72" s="77" t="s">
        <v>744</v>
      </c>
      <c r="E72" s="77" t="s">
        <v>744</v>
      </c>
      <c r="F72" s="540" t="s">
        <v>560</v>
      </c>
      <c r="G72" s="540">
        <v>3</v>
      </c>
      <c r="H72" s="540">
        <v>8</v>
      </c>
      <c r="I72" s="540">
        <v>1</v>
      </c>
      <c r="J72" s="540">
        <v>90</v>
      </c>
      <c r="K72" s="540">
        <v>1.2</v>
      </c>
      <c r="L72" s="540">
        <v>1.5</v>
      </c>
      <c r="M72" s="540">
        <v>20</v>
      </c>
      <c r="N72" s="540">
        <v>0</v>
      </c>
      <c r="O72" s="540">
        <v>1</v>
      </c>
      <c r="P72" s="540">
        <v>0</v>
      </c>
      <c r="Q72" s="540">
        <v>100</v>
      </c>
      <c r="R72" s="540">
        <v>5</v>
      </c>
      <c r="S72" s="540">
        <v>10</v>
      </c>
      <c r="T72" s="540">
        <v>15</v>
      </c>
      <c r="U72" s="540">
        <v>0</v>
      </c>
      <c r="V72" s="540">
        <v>3</v>
      </c>
      <c r="W72" s="776">
        <f>IF(Kulturen[[#This Row],[Berechnungsschema]]=13,3,IF(Kulturen[[#This Row],[Berechnungsschema]]=6,2,1))</f>
        <v>1</v>
      </c>
      <c r="X72" s="776">
        <f>IF(Kulturen[[#This Row],[fruchtartengruppe]]=13,Kulturen[[#This Row],[NBedarfswert]],MAX(0,Kulturen[[#This Row],[NBedarfswert]]-Kulturen[[#This Row],[Ertrag]]*Kulturen[[#This Row],[Nfix]]))</f>
        <v>100</v>
      </c>
      <c r="Y72" s="776">
        <v>17</v>
      </c>
      <c r="Z72" s="776">
        <v>17</v>
      </c>
      <c r="AA72" s="776">
        <v>17</v>
      </c>
      <c r="AB72" s="776">
        <v>17</v>
      </c>
      <c r="AC72" s="776">
        <v>17</v>
      </c>
      <c r="AD72" s="776">
        <v>17</v>
      </c>
      <c r="AE72" s="776">
        <v>17</v>
      </c>
      <c r="AF72" s="776">
        <v>17</v>
      </c>
      <c r="AG72" s="776">
        <v>17</v>
      </c>
      <c r="AH72" s="776">
        <v>17</v>
      </c>
      <c r="AI72" s="776">
        <v>17</v>
      </c>
      <c r="AJ72" s="776">
        <v>17</v>
      </c>
      <c r="AK72" s="776">
        <v>17</v>
      </c>
      <c r="AL72" s="776">
        <v>17</v>
      </c>
      <c r="AM72" s="776">
        <v>17</v>
      </c>
      <c r="AN72" s="776">
        <v>17</v>
      </c>
      <c r="AO72" s="776">
        <v>17</v>
      </c>
      <c r="AP72" s="776">
        <v>17</v>
      </c>
      <c r="AQ72" s="776">
        <v>17</v>
      </c>
      <c r="AR72" s="776">
        <v>17</v>
      </c>
      <c r="AS72" s="776">
        <v>17</v>
      </c>
      <c r="AT72" s="776">
        <v>17</v>
      </c>
      <c r="AU72" s="776">
        <v>17</v>
      </c>
      <c r="AV72" s="776">
        <v>17</v>
      </c>
      <c r="AW72" s="776">
        <v>17</v>
      </c>
      <c r="AX72" s="776">
        <v>17</v>
      </c>
      <c r="AY72" s="776">
        <v>17</v>
      </c>
      <c r="AZ72" s="776">
        <v>17</v>
      </c>
      <c r="BA72" s="776">
        <v>17</v>
      </c>
      <c r="BB72" s="776">
        <v>17</v>
      </c>
      <c r="BC72" s="776">
        <v>17</v>
      </c>
      <c r="BD72" s="776">
        <v>17</v>
      </c>
      <c r="BE72" s="776">
        <v>17</v>
      </c>
      <c r="BF72" s="776">
        <v>17</v>
      </c>
      <c r="BG72" s="776">
        <v>16</v>
      </c>
      <c r="BH72" s="776">
        <v>17</v>
      </c>
      <c r="BI72" s="776">
        <v>18</v>
      </c>
      <c r="BJ72" s="776">
        <v>17</v>
      </c>
      <c r="BK72" s="776">
        <v>17</v>
      </c>
      <c r="BL72" s="776">
        <v>17</v>
      </c>
      <c r="BM72" s="776">
        <v>17</v>
      </c>
      <c r="BN72" s="776">
        <v>17</v>
      </c>
      <c r="BO72" s="776">
        <v>17</v>
      </c>
      <c r="BP72" s="776">
        <v>17</v>
      </c>
      <c r="BQ72" s="776">
        <v>17</v>
      </c>
      <c r="BR72" s="776">
        <v>17</v>
      </c>
      <c r="BS72" s="776">
        <v>17</v>
      </c>
      <c r="BT72" s="776">
        <v>17</v>
      </c>
      <c r="BU72" s="776">
        <v>17</v>
      </c>
      <c r="BV72" s="776">
        <v>17</v>
      </c>
      <c r="BW72" s="776">
        <v>17</v>
      </c>
      <c r="BX72" s="776">
        <v>17</v>
      </c>
      <c r="BY72" s="776">
        <v>17</v>
      </c>
      <c r="BZ72" s="776">
        <v>17</v>
      </c>
      <c r="CA72" s="776">
        <v>17</v>
      </c>
      <c r="CB72" s="776">
        <v>17</v>
      </c>
      <c r="CC72" s="776">
        <v>17</v>
      </c>
      <c r="CD72" s="776">
        <v>17</v>
      </c>
      <c r="CE72" s="776">
        <v>17</v>
      </c>
      <c r="CF72" s="776">
        <v>17</v>
      </c>
      <c r="CG72" s="776">
        <v>17</v>
      </c>
      <c r="CH72" s="776">
        <v>17</v>
      </c>
      <c r="CI72" s="776">
        <v>17</v>
      </c>
      <c r="CJ72" s="776">
        <v>18</v>
      </c>
      <c r="CK72" s="776">
        <v>16</v>
      </c>
      <c r="CL72" s="776">
        <v>17</v>
      </c>
      <c r="CM72" s="776">
        <v>17</v>
      </c>
      <c r="CN72" s="776">
        <v>18</v>
      </c>
      <c r="CO72" s="776">
        <v>17</v>
      </c>
      <c r="CP72" s="776">
        <v>17</v>
      </c>
      <c r="CQ72" s="776">
        <v>17</v>
      </c>
      <c r="CR72" s="776">
        <v>17</v>
      </c>
      <c r="CS72" s="776">
        <v>16</v>
      </c>
      <c r="CT72" s="776">
        <v>17</v>
      </c>
      <c r="CU72" s="776">
        <v>17</v>
      </c>
      <c r="CV72" s="776">
        <v>17</v>
      </c>
      <c r="CW72" s="776">
        <v>16</v>
      </c>
      <c r="CX72" s="776">
        <v>17</v>
      </c>
      <c r="CY72" s="776">
        <v>16</v>
      </c>
      <c r="CZ72" s="776">
        <v>17</v>
      </c>
      <c r="DA72" s="776">
        <v>16</v>
      </c>
      <c r="DB72" s="776">
        <v>17</v>
      </c>
      <c r="DC72" s="776">
        <v>17</v>
      </c>
      <c r="DD72" s="776">
        <v>17</v>
      </c>
      <c r="DE72" s="776">
        <v>17</v>
      </c>
      <c r="DF72" s="776">
        <v>17</v>
      </c>
      <c r="DG72" s="776">
        <v>17</v>
      </c>
      <c r="DH72" s="776">
        <v>17</v>
      </c>
      <c r="DI72" s="776">
        <v>16</v>
      </c>
      <c r="DJ72" s="776">
        <v>17</v>
      </c>
      <c r="DK72" s="776">
        <v>16</v>
      </c>
      <c r="DL72" s="776">
        <v>17</v>
      </c>
      <c r="DM72" s="776">
        <v>16</v>
      </c>
      <c r="DN72" s="776">
        <v>17</v>
      </c>
      <c r="DO72" s="776">
        <v>17</v>
      </c>
      <c r="DP72" s="776">
        <v>17</v>
      </c>
    </row>
    <row r="73" spans="1:120" x14ac:dyDescent="0.2">
      <c r="A73" s="637" t="str">
        <f>CONCATENATE(" ",Kulturen[[#This Row],[HF]])</f>
        <v xml:space="preserve"> Leindotter</v>
      </c>
      <c r="B73" s="772" t="str" cm="1">
        <f t="array" ref="B73">IFERROR(INDEX(Kulturen[HF],_xlfn.AGGREGATE(15,6,(ROW(Kulturen[Auswahl])-7)/(--(SEARCH("x",Kulturen[Auswahl])&gt;0)),ROW()-7),1),"")</f>
        <v>Futter-, Runkelrüben</v>
      </c>
      <c r="C73" s="772" t="str">
        <f>IF(Kulturen[[#This Row],[HF]]=$D$373,IF($C$6=0,0,"x"),IF($C$6=0,"x",Vorauswahl!C72))</f>
        <v>x</v>
      </c>
      <c r="D73" s="77" t="s">
        <v>34</v>
      </c>
      <c r="E73" s="77" t="s">
        <v>34</v>
      </c>
      <c r="F73" s="540" t="s">
        <v>561</v>
      </c>
      <c r="G73" s="540">
        <v>3</v>
      </c>
      <c r="H73" s="540">
        <v>8</v>
      </c>
      <c r="I73" s="540">
        <v>1</v>
      </c>
      <c r="J73" s="540">
        <v>90</v>
      </c>
      <c r="K73" s="540">
        <v>1.2</v>
      </c>
      <c r="L73" s="540">
        <v>1.5</v>
      </c>
      <c r="M73" s="540">
        <v>20</v>
      </c>
      <c r="N73" s="540">
        <v>0</v>
      </c>
      <c r="O73" s="540">
        <v>1</v>
      </c>
      <c r="P73" s="540">
        <v>0</v>
      </c>
      <c r="Q73" s="540">
        <v>110</v>
      </c>
      <c r="R73" s="540">
        <v>5</v>
      </c>
      <c r="S73" s="540">
        <v>10</v>
      </c>
      <c r="T73" s="540">
        <v>15</v>
      </c>
      <c r="U73" s="540">
        <v>0</v>
      </c>
      <c r="V73" s="540">
        <v>3</v>
      </c>
      <c r="W73" s="776">
        <f>IF(Kulturen[[#This Row],[Berechnungsschema]]=13,3,IF(Kulturen[[#This Row],[Berechnungsschema]]=6,2,1))</f>
        <v>1</v>
      </c>
      <c r="X73" s="776">
        <f>IF(Kulturen[[#This Row],[fruchtartengruppe]]=13,Kulturen[[#This Row],[NBedarfswert]],MAX(0,Kulturen[[#This Row],[NBedarfswert]]-Kulturen[[#This Row],[Ertrag]]*Kulturen[[#This Row],[Nfix]]))</f>
        <v>110</v>
      </c>
      <c r="Y73" s="776">
        <v>17</v>
      </c>
      <c r="Z73" s="776">
        <v>17</v>
      </c>
      <c r="AA73" s="776">
        <v>17</v>
      </c>
      <c r="AB73" s="776">
        <v>17</v>
      </c>
      <c r="AC73" s="776">
        <v>17</v>
      </c>
      <c r="AD73" s="776">
        <v>17</v>
      </c>
      <c r="AE73" s="776">
        <v>17</v>
      </c>
      <c r="AF73" s="776">
        <v>17</v>
      </c>
      <c r="AG73" s="776">
        <v>17</v>
      </c>
      <c r="AH73" s="776">
        <v>17</v>
      </c>
      <c r="AI73" s="776">
        <v>17</v>
      </c>
      <c r="AJ73" s="776">
        <v>17</v>
      </c>
      <c r="AK73" s="776">
        <v>17</v>
      </c>
      <c r="AL73" s="776">
        <v>17</v>
      </c>
      <c r="AM73" s="776">
        <v>17</v>
      </c>
      <c r="AN73" s="776">
        <v>17</v>
      </c>
      <c r="AO73" s="776">
        <v>17</v>
      </c>
      <c r="AP73" s="776">
        <v>17</v>
      </c>
      <c r="AQ73" s="776">
        <v>17</v>
      </c>
      <c r="AR73" s="776">
        <v>17</v>
      </c>
      <c r="AS73" s="776">
        <v>17</v>
      </c>
      <c r="AT73" s="776">
        <v>17</v>
      </c>
      <c r="AU73" s="776">
        <v>17</v>
      </c>
      <c r="AV73" s="776">
        <v>17</v>
      </c>
      <c r="AW73" s="776">
        <v>17</v>
      </c>
      <c r="AX73" s="776">
        <v>17</v>
      </c>
      <c r="AY73" s="776">
        <v>17</v>
      </c>
      <c r="AZ73" s="776">
        <v>17</v>
      </c>
      <c r="BA73" s="776">
        <v>17</v>
      </c>
      <c r="BB73" s="776">
        <v>17</v>
      </c>
      <c r="BC73" s="776">
        <v>17</v>
      </c>
      <c r="BD73" s="776">
        <v>17</v>
      </c>
      <c r="BE73" s="776">
        <v>17</v>
      </c>
      <c r="BF73" s="776">
        <v>17</v>
      </c>
      <c r="BG73" s="776">
        <v>16</v>
      </c>
      <c r="BH73" s="776">
        <v>17</v>
      </c>
      <c r="BI73" s="776">
        <v>18</v>
      </c>
      <c r="BJ73" s="776">
        <v>17</v>
      </c>
      <c r="BK73" s="776">
        <v>17</v>
      </c>
      <c r="BL73" s="776">
        <v>17</v>
      </c>
      <c r="BM73" s="776">
        <v>17</v>
      </c>
      <c r="BN73" s="776">
        <v>17</v>
      </c>
      <c r="BO73" s="776">
        <v>17</v>
      </c>
      <c r="BP73" s="776">
        <v>17</v>
      </c>
      <c r="BQ73" s="776">
        <v>17</v>
      </c>
      <c r="BR73" s="776">
        <v>17</v>
      </c>
      <c r="BS73" s="776">
        <v>17</v>
      </c>
      <c r="BT73" s="776">
        <v>17</v>
      </c>
      <c r="BU73" s="776">
        <v>17</v>
      </c>
      <c r="BV73" s="776">
        <v>17</v>
      </c>
      <c r="BW73" s="776">
        <v>17</v>
      </c>
      <c r="BX73" s="776">
        <v>17</v>
      </c>
      <c r="BY73" s="776">
        <v>17</v>
      </c>
      <c r="BZ73" s="776">
        <v>17</v>
      </c>
      <c r="CA73" s="776">
        <v>17</v>
      </c>
      <c r="CB73" s="776">
        <v>17</v>
      </c>
      <c r="CC73" s="776">
        <v>17</v>
      </c>
      <c r="CD73" s="776">
        <v>17</v>
      </c>
      <c r="CE73" s="776">
        <v>17</v>
      </c>
      <c r="CF73" s="776">
        <v>17</v>
      </c>
      <c r="CG73" s="776">
        <v>17</v>
      </c>
      <c r="CH73" s="776">
        <v>17</v>
      </c>
      <c r="CI73" s="776">
        <v>17</v>
      </c>
      <c r="CJ73" s="776">
        <v>18</v>
      </c>
      <c r="CK73" s="776">
        <v>16</v>
      </c>
      <c r="CL73" s="776">
        <v>17</v>
      </c>
      <c r="CM73" s="776">
        <v>17</v>
      </c>
      <c r="CN73" s="776">
        <v>18</v>
      </c>
      <c r="CO73" s="776">
        <v>17</v>
      </c>
      <c r="CP73" s="776">
        <v>17</v>
      </c>
      <c r="CQ73" s="776">
        <v>17</v>
      </c>
      <c r="CR73" s="776">
        <v>17</v>
      </c>
      <c r="CS73" s="776">
        <v>16</v>
      </c>
      <c r="CT73" s="776">
        <v>17</v>
      </c>
      <c r="CU73" s="776">
        <v>17</v>
      </c>
      <c r="CV73" s="776">
        <v>17</v>
      </c>
      <c r="CW73" s="776">
        <v>16</v>
      </c>
      <c r="CX73" s="776">
        <v>17</v>
      </c>
      <c r="CY73" s="776">
        <v>16</v>
      </c>
      <c r="CZ73" s="776">
        <v>17</v>
      </c>
      <c r="DA73" s="776">
        <v>16</v>
      </c>
      <c r="DB73" s="776">
        <v>17</v>
      </c>
      <c r="DC73" s="776">
        <v>17</v>
      </c>
      <c r="DD73" s="776">
        <v>17</v>
      </c>
      <c r="DE73" s="776">
        <v>17</v>
      </c>
      <c r="DF73" s="776">
        <v>17</v>
      </c>
      <c r="DG73" s="776">
        <v>17</v>
      </c>
      <c r="DH73" s="776">
        <v>17</v>
      </c>
      <c r="DI73" s="776">
        <v>16</v>
      </c>
      <c r="DJ73" s="776">
        <v>17</v>
      </c>
      <c r="DK73" s="776">
        <v>16</v>
      </c>
      <c r="DL73" s="776">
        <v>17</v>
      </c>
      <c r="DM73" s="776">
        <v>16</v>
      </c>
      <c r="DN73" s="776">
        <v>17</v>
      </c>
      <c r="DO73" s="776">
        <v>17</v>
      </c>
      <c r="DP73" s="776">
        <v>17</v>
      </c>
    </row>
    <row r="74" spans="1:120" x14ac:dyDescent="0.2">
      <c r="A74" s="637"/>
      <c r="B74" s="772" t="str" cm="1">
        <f t="array" ref="B74">IFERROR(INDEX(Kulturen[HF],_xlfn.AGGREGATE(15,6,(ROW(Kulturen[Auswahl])-7)/(--(SEARCH("x",Kulturen[Auswahl])&gt;0)),ROW()-7),1),"")</f>
        <v>Kohl-, Steckrüben</v>
      </c>
      <c r="C74" s="772" t="str">
        <f>IF(Kulturen[[#This Row],[HF]]=$D$373,IF($C$6=0,0,"x"),IF($C$6=0,"x",Vorauswahl!C73))</f>
        <v>x</v>
      </c>
      <c r="D74" s="77" t="s">
        <v>1899</v>
      </c>
      <c r="E74" s="77" t="s">
        <v>1899</v>
      </c>
      <c r="F74" s="540" t="s">
        <v>1900</v>
      </c>
      <c r="G74" s="540">
        <v>3</v>
      </c>
      <c r="H74" s="540">
        <v>8</v>
      </c>
      <c r="I74" s="540">
        <v>1</v>
      </c>
      <c r="J74" s="540">
        <v>90</v>
      </c>
      <c r="K74" s="540">
        <v>2.4300000000000002</v>
      </c>
      <c r="L74" s="540">
        <v>4.68</v>
      </c>
      <c r="M74" s="540">
        <v>8</v>
      </c>
      <c r="N74" s="540">
        <v>0</v>
      </c>
      <c r="O74" s="540">
        <v>1</v>
      </c>
      <c r="P74" s="540">
        <v>0</v>
      </c>
      <c r="Q74" s="540">
        <v>115</v>
      </c>
      <c r="R74" s="540">
        <v>1</v>
      </c>
      <c r="S74" s="540">
        <v>15</v>
      </c>
      <c r="T74" s="540">
        <v>15</v>
      </c>
      <c r="U74" s="540">
        <v>0</v>
      </c>
      <c r="V74" s="540">
        <v>2</v>
      </c>
      <c r="W74" s="776">
        <f>IF(Kulturen[[#This Row],[Berechnungsschema]]=13,3,IF(Kulturen[[#This Row],[Berechnungsschema]]=6,2,1))</f>
        <v>1</v>
      </c>
      <c r="X74" s="776">
        <f>IF(Kulturen[[#This Row],[fruchtartengruppe]]=13,Kulturen[[#This Row],[NBedarfswert]],MAX(0,Kulturen[[#This Row],[NBedarfswert]]-Kulturen[[#This Row],[Ertrag]]*Kulturen[[#This Row],[Nfix]]))</f>
        <v>115</v>
      </c>
      <c r="Y74" s="776" t="s">
        <v>2127</v>
      </c>
      <c r="Z74" s="776" t="s">
        <v>2127</v>
      </c>
      <c r="AA74" s="776" t="s">
        <v>2127</v>
      </c>
      <c r="AB74" s="776" t="s">
        <v>2127</v>
      </c>
      <c r="AC74" s="776" t="s">
        <v>2127</v>
      </c>
      <c r="AD74" s="776" t="s">
        <v>2127</v>
      </c>
      <c r="AE74" s="776" t="s">
        <v>2127</v>
      </c>
      <c r="AF74" s="776" t="s">
        <v>2127</v>
      </c>
      <c r="AG74" s="776" t="s">
        <v>2127</v>
      </c>
      <c r="AH74" s="776" t="s">
        <v>2127</v>
      </c>
      <c r="AI74" s="776" t="s">
        <v>2127</v>
      </c>
      <c r="AJ74" s="776" t="s">
        <v>2127</v>
      </c>
      <c r="AK74" s="776" t="s">
        <v>2127</v>
      </c>
      <c r="AL74" s="776" t="s">
        <v>2127</v>
      </c>
      <c r="AM74" s="776" t="s">
        <v>2127</v>
      </c>
      <c r="AN74" s="776" t="s">
        <v>2127</v>
      </c>
      <c r="AO74" s="776" t="s">
        <v>2127</v>
      </c>
      <c r="AP74" s="776" t="s">
        <v>2127</v>
      </c>
      <c r="AQ74" s="776" t="s">
        <v>2127</v>
      </c>
      <c r="AR74" s="776" t="s">
        <v>2127</v>
      </c>
      <c r="AS74" s="776" t="s">
        <v>2127</v>
      </c>
      <c r="AT74" s="776" t="s">
        <v>2127</v>
      </c>
      <c r="AU74" s="776" t="s">
        <v>2127</v>
      </c>
      <c r="AV74" s="776" t="s">
        <v>2127</v>
      </c>
      <c r="AW74" s="776" t="s">
        <v>2127</v>
      </c>
      <c r="AX74" s="776" t="s">
        <v>2127</v>
      </c>
      <c r="AY74" s="776" t="s">
        <v>2127</v>
      </c>
      <c r="AZ74" s="776" t="s">
        <v>2127</v>
      </c>
      <c r="BA74" s="776" t="s">
        <v>2127</v>
      </c>
      <c r="BB74" s="776" t="s">
        <v>2127</v>
      </c>
      <c r="BC74" s="776" t="s">
        <v>2127</v>
      </c>
      <c r="BD74" s="776" t="s">
        <v>2127</v>
      </c>
      <c r="BE74" s="776" t="s">
        <v>2127</v>
      </c>
      <c r="BF74" s="776" t="s">
        <v>2127</v>
      </c>
      <c r="BG74" s="776" t="s">
        <v>2127</v>
      </c>
      <c r="BH74" s="776" t="s">
        <v>2127</v>
      </c>
      <c r="BI74" s="776" t="s">
        <v>2127</v>
      </c>
      <c r="BJ74" s="776" t="s">
        <v>2127</v>
      </c>
      <c r="BK74" s="776" t="s">
        <v>2127</v>
      </c>
      <c r="BL74" s="776" t="s">
        <v>2127</v>
      </c>
      <c r="BM74" s="776" t="s">
        <v>2127</v>
      </c>
      <c r="BN74" s="776" t="s">
        <v>2127</v>
      </c>
      <c r="BO74" s="776" t="s">
        <v>2127</v>
      </c>
      <c r="BP74" s="776" t="s">
        <v>2127</v>
      </c>
      <c r="BQ74" s="776" t="s">
        <v>2127</v>
      </c>
      <c r="BR74" s="776" t="s">
        <v>2127</v>
      </c>
      <c r="BS74" s="776" t="s">
        <v>2127</v>
      </c>
      <c r="BT74" s="776" t="s">
        <v>2127</v>
      </c>
      <c r="BU74" s="776" t="s">
        <v>2127</v>
      </c>
      <c r="BV74" s="776" t="s">
        <v>2127</v>
      </c>
      <c r="BW74" s="776" t="s">
        <v>2127</v>
      </c>
      <c r="BX74" s="776" t="s">
        <v>2127</v>
      </c>
      <c r="BY74" s="776" t="s">
        <v>2127</v>
      </c>
      <c r="BZ74" s="776" t="s">
        <v>2127</v>
      </c>
      <c r="CA74" s="776" t="s">
        <v>2127</v>
      </c>
      <c r="CB74" s="776" t="s">
        <v>2127</v>
      </c>
      <c r="CC74" s="776" t="s">
        <v>2127</v>
      </c>
      <c r="CD74" s="776" t="s">
        <v>2127</v>
      </c>
      <c r="CE74" s="776" t="s">
        <v>2127</v>
      </c>
      <c r="CF74" s="776" t="s">
        <v>2127</v>
      </c>
      <c r="CG74" s="776" t="s">
        <v>2127</v>
      </c>
      <c r="CH74" s="776" t="s">
        <v>2127</v>
      </c>
      <c r="CI74" s="776" t="s">
        <v>2127</v>
      </c>
      <c r="CJ74" s="776" t="s">
        <v>2127</v>
      </c>
      <c r="CK74" s="776" t="s">
        <v>2127</v>
      </c>
      <c r="CL74" s="776" t="s">
        <v>2127</v>
      </c>
      <c r="CM74" s="776" t="s">
        <v>2127</v>
      </c>
      <c r="CN74" s="776" t="s">
        <v>2127</v>
      </c>
      <c r="CO74" s="776" t="s">
        <v>2127</v>
      </c>
      <c r="CP74" s="776" t="s">
        <v>2127</v>
      </c>
      <c r="CQ74" s="776" t="s">
        <v>2127</v>
      </c>
      <c r="CR74" s="776" t="s">
        <v>2127</v>
      </c>
      <c r="CS74" s="776" t="s">
        <v>2127</v>
      </c>
      <c r="CT74" s="776" t="s">
        <v>2127</v>
      </c>
      <c r="CU74" s="776" t="s">
        <v>2127</v>
      </c>
      <c r="CV74" s="776" t="s">
        <v>2127</v>
      </c>
      <c r="CW74" s="776" t="s">
        <v>2127</v>
      </c>
      <c r="CX74" s="776" t="s">
        <v>2127</v>
      </c>
      <c r="CY74" s="776" t="s">
        <v>2127</v>
      </c>
      <c r="CZ74" s="776" t="s">
        <v>2127</v>
      </c>
      <c r="DA74" s="776" t="s">
        <v>2127</v>
      </c>
      <c r="DB74" s="776" t="s">
        <v>2127</v>
      </c>
      <c r="DC74" s="776" t="s">
        <v>2127</v>
      </c>
      <c r="DD74" s="776" t="s">
        <v>2127</v>
      </c>
      <c r="DE74" s="776" t="s">
        <v>2127</v>
      </c>
      <c r="DF74" s="776" t="s">
        <v>2127</v>
      </c>
      <c r="DG74" s="776" t="s">
        <v>2127</v>
      </c>
      <c r="DH74" s="776" t="s">
        <v>2127</v>
      </c>
      <c r="DI74" s="776" t="s">
        <v>2127</v>
      </c>
      <c r="DJ74" s="776" t="s">
        <v>2127</v>
      </c>
      <c r="DK74" s="776" t="s">
        <v>2127</v>
      </c>
      <c r="DL74" s="776" t="s">
        <v>2127</v>
      </c>
      <c r="DM74" s="776" t="s">
        <v>2127</v>
      </c>
      <c r="DN74" s="776" t="s">
        <v>2127</v>
      </c>
      <c r="DO74" s="776" t="s">
        <v>2127</v>
      </c>
      <c r="DP74" s="776" t="s">
        <v>2127</v>
      </c>
    </row>
    <row r="75" spans="1:120" x14ac:dyDescent="0.2">
      <c r="A75" s="637" t="s">
        <v>2130</v>
      </c>
      <c r="B75" s="772" t="str" cm="1">
        <f t="array" ref="B75">IFERROR(INDEX(Kulturen[HF],_xlfn.AGGREGATE(15,6,(ROW(Kulturen[Auswahl])-7)/(--(SEARCH("x",Kulturen[Auswahl])&gt;0)),ROW()-7),1),"")</f>
        <v>+++Mehrschnittiger Feldfutterbau +++</v>
      </c>
      <c r="C75" s="772" t="str">
        <f>IF(Kulturen[[#This Row],[HF]]=$D$373,IF($C$6=0,0,"x"),IF($C$6=0,"x",Vorauswahl!C74))</f>
        <v>x</v>
      </c>
      <c r="D75" s="77" t="s">
        <v>1901</v>
      </c>
      <c r="E75" s="77" t="s">
        <v>1901</v>
      </c>
      <c r="F75" s="540" t="s">
        <v>1859</v>
      </c>
      <c r="G75" s="540">
        <v>4</v>
      </c>
      <c r="H75" s="540">
        <v>8</v>
      </c>
      <c r="I75" s="540">
        <v>0</v>
      </c>
      <c r="J75" s="540">
        <v>90</v>
      </c>
      <c r="K75" s="540">
        <v>0</v>
      </c>
      <c r="L75" s="540">
        <v>0</v>
      </c>
      <c r="M75" s="540">
        <v>0</v>
      </c>
      <c r="N75" s="540">
        <v>0</v>
      </c>
      <c r="O75" s="540">
        <v>1</v>
      </c>
      <c r="P75" s="540">
        <v>0</v>
      </c>
      <c r="Q75" s="540">
        <v>0</v>
      </c>
      <c r="R75" s="540">
        <v>1</v>
      </c>
      <c r="S75" s="540">
        <v>0</v>
      </c>
      <c r="T75" s="540">
        <v>0</v>
      </c>
      <c r="U75" s="540">
        <v>0</v>
      </c>
      <c r="V75" s="540">
        <v>0</v>
      </c>
      <c r="W75" s="776">
        <f>IF(Kulturen[[#This Row],[Berechnungsschema]]=13,3,IF(Kulturen[[#This Row],[Berechnungsschema]]=6,2,1))</f>
        <v>1</v>
      </c>
      <c r="X75" s="776">
        <f>IF(Kulturen[[#This Row],[fruchtartengruppe]]=13,Kulturen[[#This Row],[NBedarfswert]],MAX(0,Kulturen[[#This Row],[NBedarfswert]]-Kulturen[[#This Row],[Ertrag]]*Kulturen[[#This Row],[Nfix]]))</f>
        <v>0</v>
      </c>
      <c r="Y75" s="776" t="s">
        <v>2127</v>
      </c>
      <c r="Z75" s="776" t="s">
        <v>2127</v>
      </c>
      <c r="AA75" s="776" t="s">
        <v>2127</v>
      </c>
      <c r="AB75" s="776" t="s">
        <v>2127</v>
      </c>
      <c r="AC75" s="776" t="s">
        <v>2127</v>
      </c>
      <c r="AD75" s="776" t="s">
        <v>2127</v>
      </c>
      <c r="AE75" s="776" t="s">
        <v>2127</v>
      </c>
      <c r="AF75" s="776" t="s">
        <v>2127</v>
      </c>
      <c r="AG75" s="776" t="s">
        <v>2127</v>
      </c>
      <c r="AH75" s="776" t="s">
        <v>2127</v>
      </c>
      <c r="AI75" s="776" t="s">
        <v>2127</v>
      </c>
      <c r="AJ75" s="776" t="s">
        <v>2127</v>
      </c>
      <c r="AK75" s="776" t="s">
        <v>2127</v>
      </c>
      <c r="AL75" s="776" t="s">
        <v>2127</v>
      </c>
      <c r="AM75" s="776" t="s">
        <v>2127</v>
      </c>
      <c r="AN75" s="776" t="s">
        <v>2127</v>
      </c>
      <c r="AO75" s="776" t="s">
        <v>2127</v>
      </c>
      <c r="AP75" s="776" t="s">
        <v>2127</v>
      </c>
      <c r="AQ75" s="776" t="s">
        <v>2127</v>
      </c>
      <c r="AR75" s="776" t="s">
        <v>2127</v>
      </c>
      <c r="AS75" s="776" t="s">
        <v>2127</v>
      </c>
      <c r="AT75" s="776" t="s">
        <v>2127</v>
      </c>
      <c r="AU75" s="776" t="s">
        <v>2127</v>
      </c>
      <c r="AV75" s="776" t="s">
        <v>2127</v>
      </c>
      <c r="AW75" s="776" t="s">
        <v>2127</v>
      </c>
      <c r="AX75" s="776" t="s">
        <v>2127</v>
      </c>
      <c r="AY75" s="776" t="s">
        <v>2127</v>
      </c>
      <c r="AZ75" s="776" t="s">
        <v>2127</v>
      </c>
      <c r="BA75" s="776" t="s">
        <v>2127</v>
      </c>
      <c r="BB75" s="776" t="s">
        <v>2127</v>
      </c>
      <c r="BC75" s="776" t="s">
        <v>2127</v>
      </c>
      <c r="BD75" s="776" t="s">
        <v>2127</v>
      </c>
      <c r="BE75" s="776" t="s">
        <v>2127</v>
      </c>
      <c r="BF75" s="776" t="s">
        <v>2127</v>
      </c>
      <c r="BG75" s="776" t="s">
        <v>2127</v>
      </c>
      <c r="BH75" s="776" t="s">
        <v>2127</v>
      </c>
      <c r="BI75" s="776" t="s">
        <v>2127</v>
      </c>
      <c r="BJ75" s="776" t="s">
        <v>2127</v>
      </c>
      <c r="BK75" s="776" t="s">
        <v>2127</v>
      </c>
      <c r="BL75" s="776" t="s">
        <v>2127</v>
      </c>
      <c r="BM75" s="776" t="s">
        <v>2127</v>
      </c>
      <c r="BN75" s="776" t="s">
        <v>2127</v>
      </c>
      <c r="BO75" s="776" t="s">
        <v>2127</v>
      </c>
      <c r="BP75" s="776" t="s">
        <v>2127</v>
      </c>
      <c r="BQ75" s="776" t="s">
        <v>2127</v>
      </c>
      <c r="BR75" s="776" t="s">
        <v>2127</v>
      </c>
      <c r="BS75" s="776" t="s">
        <v>2127</v>
      </c>
      <c r="BT75" s="776" t="s">
        <v>2127</v>
      </c>
      <c r="BU75" s="776" t="s">
        <v>2127</v>
      </c>
      <c r="BV75" s="776" t="s">
        <v>2127</v>
      </c>
      <c r="BW75" s="776" t="s">
        <v>2127</v>
      </c>
      <c r="BX75" s="776" t="s">
        <v>2127</v>
      </c>
      <c r="BY75" s="776" t="s">
        <v>2127</v>
      </c>
      <c r="BZ75" s="776" t="s">
        <v>2127</v>
      </c>
      <c r="CA75" s="776" t="s">
        <v>2127</v>
      </c>
      <c r="CB75" s="776" t="s">
        <v>2127</v>
      </c>
      <c r="CC75" s="776" t="s">
        <v>2127</v>
      </c>
      <c r="CD75" s="776" t="s">
        <v>2127</v>
      </c>
      <c r="CE75" s="776" t="s">
        <v>2127</v>
      </c>
      <c r="CF75" s="776" t="s">
        <v>2127</v>
      </c>
      <c r="CG75" s="776" t="s">
        <v>2127</v>
      </c>
      <c r="CH75" s="776" t="s">
        <v>2127</v>
      </c>
      <c r="CI75" s="776" t="s">
        <v>2127</v>
      </c>
      <c r="CJ75" s="776" t="s">
        <v>2127</v>
      </c>
      <c r="CK75" s="776" t="s">
        <v>2127</v>
      </c>
      <c r="CL75" s="776" t="s">
        <v>2127</v>
      </c>
      <c r="CM75" s="776" t="s">
        <v>2127</v>
      </c>
      <c r="CN75" s="776" t="s">
        <v>2127</v>
      </c>
      <c r="CO75" s="776" t="s">
        <v>2127</v>
      </c>
      <c r="CP75" s="776" t="s">
        <v>2127</v>
      </c>
      <c r="CQ75" s="776" t="s">
        <v>2127</v>
      </c>
      <c r="CR75" s="776" t="s">
        <v>2127</v>
      </c>
      <c r="CS75" s="776" t="s">
        <v>2127</v>
      </c>
      <c r="CT75" s="776" t="s">
        <v>2127</v>
      </c>
      <c r="CU75" s="776" t="s">
        <v>2127</v>
      </c>
      <c r="CV75" s="776" t="s">
        <v>2127</v>
      </c>
      <c r="CW75" s="776" t="s">
        <v>2127</v>
      </c>
      <c r="CX75" s="776" t="s">
        <v>2127</v>
      </c>
      <c r="CY75" s="776" t="s">
        <v>2127</v>
      </c>
      <c r="CZ75" s="776" t="s">
        <v>2127</v>
      </c>
      <c r="DA75" s="776" t="s">
        <v>2127</v>
      </c>
      <c r="DB75" s="776" t="s">
        <v>2127</v>
      </c>
      <c r="DC75" s="776" t="s">
        <v>2127</v>
      </c>
      <c r="DD75" s="776" t="s">
        <v>2127</v>
      </c>
      <c r="DE75" s="776" t="s">
        <v>2127</v>
      </c>
      <c r="DF75" s="776" t="s">
        <v>2127</v>
      </c>
      <c r="DG75" s="776" t="s">
        <v>2127</v>
      </c>
      <c r="DH75" s="776" t="s">
        <v>2127</v>
      </c>
      <c r="DI75" s="776" t="s">
        <v>2127</v>
      </c>
      <c r="DJ75" s="776" t="s">
        <v>2127</v>
      </c>
      <c r="DK75" s="776" t="s">
        <v>2127</v>
      </c>
      <c r="DL75" s="776" t="s">
        <v>2127</v>
      </c>
      <c r="DM75" s="776" t="s">
        <v>2127</v>
      </c>
      <c r="DN75" s="776" t="s">
        <v>2127</v>
      </c>
      <c r="DO75" s="776" t="s">
        <v>2127</v>
      </c>
      <c r="DP75" s="776" t="s">
        <v>2127</v>
      </c>
    </row>
    <row r="76" spans="1:120" x14ac:dyDescent="0.2">
      <c r="A76" s="637" t="s">
        <v>2131</v>
      </c>
      <c r="B76" s="772" t="str" cm="1">
        <f t="array" ref="B76">IFERROR(INDEX(Kulturen[HF],_xlfn.AGGREGATE(15,6,(ROW(Kulturen[Auswahl])-7)/(--(SEARCH("x",Kulturen[Auswahl])&gt;0)),ROW()-7),1),"")</f>
        <v>Esparsette</v>
      </c>
      <c r="C76" s="772" t="str">
        <f>IF(Kulturen[[#This Row],[HF]]=$D$373,IF($C$6=0,0,"x"),IF($C$6=0,"x",Vorauswahl!C75))</f>
        <v>x</v>
      </c>
      <c r="D76" s="77" t="s">
        <v>35</v>
      </c>
      <c r="E76" s="77" t="s">
        <v>35</v>
      </c>
      <c r="F76" s="540" t="s">
        <v>562</v>
      </c>
      <c r="G76" s="540">
        <v>4</v>
      </c>
      <c r="H76" s="540">
        <v>8</v>
      </c>
      <c r="I76" s="540">
        <v>3</v>
      </c>
      <c r="J76" s="540">
        <v>90</v>
      </c>
      <c r="K76" s="540">
        <v>0.64</v>
      </c>
      <c r="L76" s="540">
        <v>0.64</v>
      </c>
      <c r="M76" s="540">
        <v>80</v>
      </c>
      <c r="N76" s="540">
        <v>0</v>
      </c>
      <c r="O76" s="540">
        <v>1</v>
      </c>
      <c r="P76" s="540">
        <v>0</v>
      </c>
      <c r="Q76" s="540">
        <v>100</v>
      </c>
      <c r="R76" s="540">
        <v>10</v>
      </c>
      <c r="S76" s="540">
        <v>10</v>
      </c>
      <c r="T76" s="540">
        <v>15</v>
      </c>
      <c r="U76" s="540">
        <v>0</v>
      </c>
      <c r="V76" s="540">
        <v>3</v>
      </c>
      <c r="W76" s="776">
        <f>IF(Kulturen[[#This Row],[Berechnungsschema]]=13,3,IF(Kulturen[[#This Row],[Berechnungsschema]]=6,2,1))</f>
        <v>1</v>
      </c>
      <c r="X76" s="776">
        <f>IF(Kulturen[[#This Row],[fruchtartengruppe]]=13,Kulturen[[#This Row],[NBedarfswert]],MAX(0,Kulturen[[#This Row],[NBedarfswert]]-Kulturen[[#This Row],[Ertrag]]*Kulturen[[#This Row],[Nfix]]))</f>
        <v>100</v>
      </c>
      <c r="Y76" s="776" t="s">
        <v>2127</v>
      </c>
      <c r="Z76" s="776" t="s">
        <v>2127</v>
      </c>
      <c r="AA76" s="776" t="s">
        <v>2127</v>
      </c>
      <c r="AB76" s="776" t="s">
        <v>2127</v>
      </c>
      <c r="AC76" s="776" t="s">
        <v>2127</v>
      </c>
      <c r="AD76" s="776" t="s">
        <v>2127</v>
      </c>
      <c r="AE76" s="776" t="s">
        <v>2127</v>
      </c>
      <c r="AF76" s="776" t="s">
        <v>2127</v>
      </c>
      <c r="AG76" s="776" t="s">
        <v>2127</v>
      </c>
      <c r="AH76" s="776" t="s">
        <v>2127</v>
      </c>
      <c r="AI76" s="776" t="s">
        <v>2127</v>
      </c>
      <c r="AJ76" s="776" t="s">
        <v>2127</v>
      </c>
      <c r="AK76" s="776" t="s">
        <v>2127</v>
      </c>
      <c r="AL76" s="776" t="s">
        <v>2127</v>
      </c>
      <c r="AM76" s="776" t="s">
        <v>2127</v>
      </c>
      <c r="AN76" s="776" t="s">
        <v>2127</v>
      </c>
      <c r="AO76" s="776" t="s">
        <v>2127</v>
      </c>
      <c r="AP76" s="776" t="s">
        <v>2127</v>
      </c>
      <c r="AQ76" s="776" t="s">
        <v>2127</v>
      </c>
      <c r="AR76" s="776" t="s">
        <v>2127</v>
      </c>
      <c r="AS76" s="776" t="s">
        <v>2127</v>
      </c>
      <c r="AT76" s="776" t="s">
        <v>2127</v>
      </c>
      <c r="AU76" s="776" t="s">
        <v>2127</v>
      </c>
      <c r="AV76" s="776" t="s">
        <v>2127</v>
      </c>
      <c r="AW76" s="776" t="s">
        <v>2127</v>
      </c>
      <c r="AX76" s="776" t="s">
        <v>2127</v>
      </c>
      <c r="AY76" s="776" t="s">
        <v>2127</v>
      </c>
      <c r="AZ76" s="776" t="s">
        <v>2127</v>
      </c>
      <c r="BA76" s="776" t="s">
        <v>2127</v>
      </c>
      <c r="BB76" s="776" t="s">
        <v>2127</v>
      </c>
      <c r="BC76" s="776" t="s">
        <v>2127</v>
      </c>
      <c r="BD76" s="776" t="s">
        <v>2127</v>
      </c>
      <c r="BE76" s="776" t="s">
        <v>2127</v>
      </c>
      <c r="BF76" s="776" t="s">
        <v>2127</v>
      </c>
      <c r="BG76" s="776" t="s">
        <v>2127</v>
      </c>
      <c r="BH76" s="776" t="s">
        <v>2127</v>
      </c>
      <c r="BI76" s="776" t="s">
        <v>2127</v>
      </c>
      <c r="BJ76" s="776" t="s">
        <v>2127</v>
      </c>
      <c r="BK76" s="776" t="s">
        <v>2127</v>
      </c>
      <c r="BL76" s="776" t="s">
        <v>2127</v>
      </c>
      <c r="BM76" s="776" t="s">
        <v>2127</v>
      </c>
      <c r="BN76" s="776" t="s">
        <v>2127</v>
      </c>
      <c r="BO76" s="776" t="s">
        <v>2127</v>
      </c>
      <c r="BP76" s="776" t="s">
        <v>2127</v>
      </c>
      <c r="BQ76" s="776" t="s">
        <v>2127</v>
      </c>
      <c r="BR76" s="776" t="s">
        <v>2127</v>
      </c>
      <c r="BS76" s="776" t="s">
        <v>2127</v>
      </c>
      <c r="BT76" s="776" t="s">
        <v>2127</v>
      </c>
      <c r="BU76" s="776" t="s">
        <v>2127</v>
      </c>
      <c r="BV76" s="776" t="s">
        <v>2127</v>
      </c>
      <c r="BW76" s="776" t="s">
        <v>2127</v>
      </c>
      <c r="BX76" s="776" t="s">
        <v>2127</v>
      </c>
      <c r="BY76" s="776" t="s">
        <v>2127</v>
      </c>
      <c r="BZ76" s="776" t="s">
        <v>2127</v>
      </c>
      <c r="CA76" s="776" t="s">
        <v>2127</v>
      </c>
      <c r="CB76" s="776" t="s">
        <v>2127</v>
      </c>
      <c r="CC76" s="776" t="s">
        <v>2127</v>
      </c>
      <c r="CD76" s="776" t="s">
        <v>2127</v>
      </c>
      <c r="CE76" s="776" t="s">
        <v>2127</v>
      </c>
      <c r="CF76" s="776" t="s">
        <v>2127</v>
      </c>
      <c r="CG76" s="776" t="s">
        <v>2127</v>
      </c>
      <c r="CH76" s="776" t="s">
        <v>2127</v>
      </c>
      <c r="CI76" s="776" t="s">
        <v>2127</v>
      </c>
      <c r="CJ76" s="776" t="s">
        <v>2127</v>
      </c>
      <c r="CK76" s="776" t="s">
        <v>2127</v>
      </c>
      <c r="CL76" s="776" t="s">
        <v>2127</v>
      </c>
      <c r="CM76" s="776" t="s">
        <v>2127</v>
      </c>
      <c r="CN76" s="776" t="s">
        <v>2127</v>
      </c>
      <c r="CO76" s="776" t="s">
        <v>2127</v>
      </c>
      <c r="CP76" s="776" t="s">
        <v>2127</v>
      </c>
      <c r="CQ76" s="776" t="s">
        <v>2127</v>
      </c>
      <c r="CR76" s="776" t="s">
        <v>2127</v>
      </c>
      <c r="CS76" s="776" t="s">
        <v>2127</v>
      </c>
      <c r="CT76" s="776" t="s">
        <v>2127</v>
      </c>
      <c r="CU76" s="776" t="s">
        <v>2127</v>
      </c>
      <c r="CV76" s="776" t="s">
        <v>2127</v>
      </c>
      <c r="CW76" s="776" t="s">
        <v>2127</v>
      </c>
      <c r="CX76" s="776" t="s">
        <v>2127</v>
      </c>
      <c r="CY76" s="776" t="s">
        <v>2127</v>
      </c>
      <c r="CZ76" s="776" t="s">
        <v>2127</v>
      </c>
      <c r="DA76" s="776" t="s">
        <v>2127</v>
      </c>
      <c r="DB76" s="776" t="s">
        <v>2127</v>
      </c>
      <c r="DC76" s="776" t="s">
        <v>2127</v>
      </c>
      <c r="DD76" s="776" t="s">
        <v>2127</v>
      </c>
      <c r="DE76" s="776" t="s">
        <v>2127</v>
      </c>
      <c r="DF76" s="776" t="s">
        <v>2127</v>
      </c>
      <c r="DG76" s="776" t="s">
        <v>2127</v>
      </c>
      <c r="DH76" s="776" t="s">
        <v>2127</v>
      </c>
      <c r="DI76" s="776" t="s">
        <v>2127</v>
      </c>
      <c r="DJ76" s="776" t="s">
        <v>2127</v>
      </c>
      <c r="DK76" s="776" t="s">
        <v>2127</v>
      </c>
      <c r="DL76" s="776" t="s">
        <v>2127</v>
      </c>
      <c r="DM76" s="776" t="s">
        <v>2127</v>
      </c>
      <c r="DN76" s="776" t="s">
        <v>2127</v>
      </c>
      <c r="DO76" s="776" t="s">
        <v>2127</v>
      </c>
      <c r="DP76" s="776" t="s">
        <v>2127</v>
      </c>
    </row>
    <row r="77" spans="1:120" x14ac:dyDescent="0.2">
      <c r="A77" s="637" t="s">
        <v>2132</v>
      </c>
      <c r="B77" s="772" t="str" cm="1">
        <f t="array" ref="B77">IFERROR(INDEX(Kulturen[HF],_xlfn.AGGREGATE(15,6,(ROW(Kulturen[Auswahl])-7)/(--(SEARCH("x",Kulturen[Auswahl])&gt;0)),ROW()-7),1),"")</f>
        <v>Ackergras</v>
      </c>
      <c r="C77" s="772" t="str">
        <f>IF(Kulturen[[#This Row],[HF]]=$D$373,IF($C$6=0,0,"x"),IF($C$6=0,"x",Vorauswahl!C76))</f>
        <v>x</v>
      </c>
      <c r="D77" s="77" t="s">
        <v>5</v>
      </c>
      <c r="E77" s="77" t="s">
        <v>5</v>
      </c>
      <c r="F77" s="540" t="s">
        <v>67</v>
      </c>
      <c r="G77" s="540">
        <v>4</v>
      </c>
      <c r="H77" s="540">
        <v>8</v>
      </c>
      <c r="I77" s="540">
        <v>3</v>
      </c>
      <c r="J77" s="540">
        <v>90</v>
      </c>
      <c r="K77" s="540">
        <v>0.3</v>
      </c>
      <c r="L77" s="540">
        <v>0.3</v>
      </c>
      <c r="M77" s="540">
        <v>150</v>
      </c>
      <c r="N77" s="540">
        <v>0</v>
      </c>
      <c r="O77" s="540">
        <v>1</v>
      </c>
      <c r="P77" s="540">
        <v>0</v>
      </c>
      <c r="Q77" s="540">
        <v>160</v>
      </c>
      <c r="R77" s="540">
        <v>50</v>
      </c>
      <c r="S77" s="540">
        <v>10</v>
      </c>
      <c r="T77" s="540">
        <v>15</v>
      </c>
      <c r="U77" s="540">
        <v>0</v>
      </c>
      <c r="V77" s="540">
        <v>3</v>
      </c>
      <c r="W77" s="776">
        <f>IF(Kulturen[[#This Row],[Berechnungsschema]]=13,3,IF(Kulturen[[#This Row],[Berechnungsschema]]=6,2,1))</f>
        <v>1</v>
      </c>
      <c r="X77" s="776">
        <f>IF(Kulturen[[#This Row],[fruchtartengruppe]]=13,Kulturen[[#This Row],[NBedarfswert]],MAX(0,Kulturen[[#This Row],[NBedarfswert]]-Kulturen[[#This Row],[Ertrag]]*Kulturen[[#This Row],[Nfix]]))</f>
        <v>160</v>
      </c>
      <c r="Y77" s="776" t="s">
        <v>2127</v>
      </c>
      <c r="Z77" s="776" t="s">
        <v>2127</v>
      </c>
      <c r="AA77" s="776" t="s">
        <v>2127</v>
      </c>
      <c r="AB77" s="776" t="s">
        <v>2127</v>
      </c>
      <c r="AC77" s="776" t="s">
        <v>2127</v>
      </c>
      <c r="AD77" s="776" t="s">
        <v>2127</v>
      </c>
      <c r="AE77" s="776" t="s">
        <v>2127</v>
      </c>
      <c r="AF77" s="776" t="s">
        <v>2127</v>
      </c>
      <c r="AG77" s="776" t="s">
        <v>2127</v>
      </c>
      <c r="AH77" s="776" t="s">
        <v>2127</v>
      </c>
      <c r="AI77" s="776" t="s">
        <v>2127</v>
      </c>
      <c r="AJ77" s="776" t="s">
        <v>2127</v>
      </c>
      <c r="AK77" s="776" t="s">
        <v>2127</v>
      </c>
      <c r="AL77" s="776" t="s">
        <v>2127</v>
      </c>
      <c r="AM77" s="776" t="s">
        <v>2127</v>
      </c>
      <c r="AN77" s="776" t="s">
        <v>2127</v>
      </c>
      <c r="AO77" s="776" t="s">
        <v>2127</v>
      </c>
      <c r="AP77" s="776" t="s">
        <v>2127</v>
      </c>
      <c r="AQ77" s="776" t="s">
        <v>2127</v>
      </c>
      <c r="AR77" s="776" t="s">
        <v>2127</v>
      </c>
      <c r="AS77" s="776" t="s">
        <v>2127</v>
      </c>
      <c r="AT77" s="776" t="s">
        <v>2127</v>
      </c>
      <c r="AU77" s="776" t="s">
        <v>2127</v>
      </c>
      <c r="AV77" s="776" t="s">
        <v>2127</v>
      </c>
      <c r="AW77" s="776" t="s">
        <v>2127</v>
      </c>
      <c r="AX77" s="776" t="s">
        <v>2127</v>
      </c>
      <c r="AY77" s="776" t="s">
        <v>2127</v>
      </c>
      <c r="AZ77" s="776" t="s">
        <v>2127</v>
      </c>
      <c r="BA77" s="776" t="s">
        <v>2127</v>
      </c>
      <c r="BB77" s="776" t="s">
        <v>2127</v>
      </c>
      <c r="BC77" s="776" t="s">
        <v>2127</v>
      </c>
      <c r="BD77" s="776" t="s">
        <v>2127</v>
      </c>
      <c r="BE77" s="776" t="s">
        <v>2127</v>
      </c>
      <c r="BF77" s="776" t="s">
        <v>2127</v>
      </c>
      <c r="BG77" s="776" t="s">
        <v>2127</v>
      </c>
      <c r="BH77" s="776" t="s">
        <v>2127</v>
      </c>
      <c r="BI77" s="776" t="s">
        <v>2127</v>
      </c>
      <c r="BJ77" s="776" t="s">
        <v>2127</v>
      </c>
      <c r="BK77" s="776" t="s">
        <v>2127</v>
      </c>
      <c r="BL77" s="776" t="s">
        <v>2127</v>
      </c>
      <c r="BM77" s="776" t="s">
        <v>2127</v>
      </c>
      <c r="BN77" s="776" t="s">
        <v>2127</v>
      </c>
      <c r="BO77" s="776" t="s">
        <v>2127</v>
      </c>
      <c r="BP77" s="776" t="s">
        <v>2127</v>
      </c>
      <c r="BQ77" s="776" t="s">
        <v>2127</v>
      </c>
      <c r="BR77" s="776" t="s">
        <v>2127</v>
      </c>
      <c r="BS77" s="776" t="s">
        <v>2127</v>
      </c>
      <c r="BT77" s="776" t="s">
        <v>2127</v>
      </c>
      <c r="BU77" s="776" t="s">
        <v>2127</v>
      </c>
      <c r="BV77" s="776" t="s">
        <v>2127</v>
      </c>
      <c r="BW77" s="776" t="s">
        <v>2127</v>
      </c>
      <c r="BX77" s="776" t="s">
        <v>2127</v>
      </c>
      <c r="BY77" s="776" t="s">
        <v>2127</v>
      </c>
      <c r="BZ77" s="776" t="s">
        <v>2127</v>
      </c>
      <c r="CA77" s="776" t="s">
        <v>2127</v>
      </c>
      <c r="CB77" s="776" t="s">
        <v>2127</v>
      </c>
      <c r="CC77" s="776" t="s">
        <v>2127</v>
      </c>
      <c r="CD77" s="776" t="s">
        <v>2127</v>
      </c>
      <c r="CE77" s="776" t="s">
        <v>2127</v>
      </c>
      <c r="CF77" s="776" t="s">
        <v>2127</v>
      </c>
      <c r="CG77" s="776" t="s">
        <v>2127</v>
      </c>
      <c r="CH77" s="776" t="s">
        <v>2127</v>
      </c>
      <c r="CI77" s="776" t="s">
        <v>2127</v>
      </c>
      <c r="CJ77" s="776" t="s">
        <v>2127</v>
      </c>
      <c r="CK77" s="776" t="s">
        <v>2127</v>
      </c>
      <c r="CL77" s="776" t="s">
        <v>2127</v>
      </c>
      <c r="CM77" s="776" t="s">
        <v>2127</v>
      </c>
      <c r="CN77" s="776" t="s">
        <v>2127</v>
      </c>
      <c r="CO77" s="776" t="s">
        <v>2127</v>
      </c>
      <c r="CP77" s="776" t="s">
        <v>2127</v>
      </c>
      <c r="CQ77" s="776" t="s">
        <v>2127</v>
      </c>
      <c r="CR77" s="776" t="s">
        <v>2127</v>
      </c>
      <c r="CS77" s="776" t="s">
        <v>2127</v>
      </c>
      <c r="CT77" s="776" t="s">
        <v>2127</v>
      </c>
      <c r="CU77" s="776" t="s">
        <v>2127</v>
      </c>
      <c r="CV77" s="776" t="s">
        <v>2127</v>
      </c>
      <c r="CW77" s="776" t="s">
        <v>2127</v>
      </c>
      <c r="CX77" s="776" t="s">
        <v>2127</v>
      </c>
      <c r="CY77" s="776" t="s">
        <v>2127</v>
      </c>
      <c r="CZ77" s="776" t="s">
        <v>2127</v>
      </c>
      <c r="DA77" s="776" t="s">
        <v>2127</v>
      </c>
      <c r="DB77" s="776" t="s">
        <v>2127</v>
      </c>
      <c r="DC77" s="776" t="s">
        <v>2127</v>
      </c>
      <c r="DD77" s="776" t="s">
        <v>2127</v>
      </c>
      <c r="DE77" s="776" t="s">
        <v>2127</v>
      </c>
      <c r="DF77" s="776" t="s">
        <v>2127</v>
      </c>
      <c r="DG77" s="776" t="s">
        <v>2127</v>
      </c>
      <c r="DH77" s="776" t="s">
        <v>2127</v>
      </c>
      <c r="DI77" s="776" t="s">
        <v>2127</v>
      </c>
      <c r="DJ77" s="776" t="s">
        <v>2127</v>
      </c>
      <c r="DK77" s="776" t="s">
        <v>2127</v>
      </c>
      <c r="DL77" s="776" t="s">
        <v>2127</v>
      </c>
      <c r="DM77" s="776" t="s">
        <v>2127</v>
      </c>
      <c r="DN77" s="776" t="s">
        <v>2127</v>
      </c>
      <c r="DO77" s="776" t="s">
        <v>2127</v>
      </c>
      <c r="DP77" s="776" t="s">
        <v>2127</v>
      </c>
    </row>
    <row r="78" spans="1:120" x14ac:dyDescent="0.2">
      <c r="A78" s="637" t="s">
        <v>2133</v>
      </c>
      <c r="B78" s="772" t="str" cm="1">
        <f t="array" ref="B78">IFERROR(INDEX(Kulturen[HF],_xlfn.AGGREGATE(15,6,(ROW(Kulturen[Auswahl])-7)/(--(SEARCH("x",Kulturen[Auswahl])&gt;0)),ROW()-7),1),"")</f>
        <v>Kleegras (30 % Klee)</v>
      </c>
      <c r="C78" s="772" t="str">
        <f>IF(Kulturen[[#This Row],[HF]]=$D$373,IF($C$6=0,0,"x"),IF($C$6=0,"x",Vorauswahl!C77))</f>
        <v>x</v>
      </c>
      <c r="D78" s="77" t="s">
        <v>1902</v>
      </c>
      <c r="E78" s="77" t="s">
        <v>1902</v>
      </c>
      <c r="F78" s="540" t="s">
        <v>1859</v>
      </c>
      <c r="G78" s="540">
        <v>5</v>
      </c>
      <c r="H78" s="540">
        <v>8</v>
      </c>
      <c r="I78" s="540">
        <v>0</v>
      </c>
      <c r="J78" s="540">
        <v>90</v>
      </c>
      <c r="K78" s="540">
        <v>0</v>
      </c>
      <c r="L78" s="540">
        <v>0</v>
      </c>
      <c r="M78" s="540">
        <v>0</v>
      </c>
      <c r="N78" s="540">
        <v>0</v>
      </c>
      <c r="O78" s="540">
        <v>1</v>
      </c>
      <c r="P78" s="540">
        <v>0</v>
      </c>
      <c r="Q78" s="540">
        <v>0</v>
      </c>
      <c r="R78" s="540">
        <v>1</v>
      </c>
      <c r="S78" s="540">
        <v>0</v>
      </c>
      <c r="T78" s="540">
        <v>0</v>
      </c>
      <c r="U78" s="540">
        <v>0</v>
      </c>
      <c r="V78" s="540">
        <v>0</v>
      </c>
      <c r="W78" s="776">
        <f>IF(Kulturen[[#This Row],[Berechnungsschema]]=13,3,IF(Kulturen[[#This Row],[Berechnungsschema]]=6,2,1))</f>
        <v>1</v>
      </c>
      <c r="X78" s="776">
        <f>IF(Kulturen[[#This Row],[fruchtartengruppe]]=13,Kulturen[[#This Row],[NBedarfswert]],MAX(0,Kulturen[[#This Row],[NBedarfswert]]-Kulturen[[#This Row],[Ertrag]]*Kulturen[[#This Row],[Nfix]]))</f>
        <v>0</v>
      </c>
      <c r="Y78" s="776" t="s">
        <v>2127</v>
      </c>
      <c r="Z78" s="776" t="s">
        <v>2127</v>
      </c>
      <c r="AA78" s="776" t="s">
        <v>2127</v>
      </c>
      <c r="AB78" s="776" t="s">
        <v>2127</v>
      </c>
      <c r="AC78" s="776" t="s">
        <v>2127</v>
      </c>
      <c r="AD78" s="776" t="s">
        <v>2127</v>
      </c>
      <c r="AE78" s="776" t="s">
        <v>2127</v>
      </c>
      <c r="AF78" s="776" t="s">
        <v>2127</v>
      </c>
      <c r="AG78" s="776" t="s">
        <v>2127</v>
      </c>
      <c r="AH78" s="776" t="s">
        <v>2127</v>
      </c>
      <c r="AI78" s="776" t="s">
        <v>2127</v>
      </c>
      <c r="AJ78" s="776" t="s">
        <v>2127</v>
      </c>
      <c r="AK78" s="776" t="s">
        <v>2127</v>
      </c>
      <c r="AL78" s="776" t="s">
        <v>2127</v>
      </c>
      <c r="AM78" s="776" t="s">
        <v>2127</v>
      </c>
      <c r="AN78" s="776" t="s">
        <v>2127</v>
      </c>
      <c r="AO78" s="776" t="s">
        <v>2127</v>
      </c>
      <c r="AP78" s="776" t="s">
        <v>2127</v>
      </c>
      <c r="AQ78" s="776" t="s">
        <v>2127</v>
      </c>
      <c r="AR78" s="776" t="s">
        <v>2127</v>
      </c>
      <c r="AS78" s="776" t="s">
        <v>2127</v>
      </c>
      <c r="AT78" s="776" t="s">
        <v>2127</v>
      </c>
      <c r="AU78" s="776" t="s">
        <v>2127</v>
      </c>
      <c r="AV78" s="776" t="s">
        <v>2127</v>
      </c>
      <c r="AW78" s="776" t="s">
        <v>2127</v>
      </c>
      <c r="AX78" s="776" t="s">
        <v>2127</v>
      </c>
      <c r="AY78" s="776" t="s">
        <v>2127</v>
      </c>
      <c r="AZ78" s="776" t="s">
        <v>2127</v>
      </c>
      <c r="BA78" s="776" t="s">
        <v>2127</v>
      </c>
      <c r="BB78" s="776" t="s">
        <v>2127</v>
      </c>
      <c r="BC78" s="776" t="s">
        <v>2127</v>
      </c>
      <c r="BD78" s="776" t="s">
        <v>2127</v>
      </c>
      <c r="BE78" s="776" t="s">
        <v>2127</v>
      </c>
      <c r="BF78" s="776" t="s">
        <v>2127</v>
      </c>
      <c r="BG78" s="776" t="s">
        <v>2127</v>
      </c>
      <c r="BH78" s="776" t="s">
        <v>2127</v>
      </c>
      <c r="BI78" s="776" t="s">
        <v>2127</v>
      </c>
      <c r="BJ78" s="776" t="s">
        <v>2127</v>
      </c>
      <c r="BK78" s="776" t="s">
        <v>2127</v>
      </c>
      <c r="BL78" s="776" t="s">
        <v>2127</v>
      </c>
      <c r="BM78" s="776" t="s">
        <v>2127</v>
      </c>
      <c r="BN78" s="776" t="s">
        <v>2127</v>
      </c>
      <c r="BO78" s="776" t="s">
        <v>2127</v>
      </c>
      <c r="BP78" s="776" t="s">
        <v>2127</v>
      </c>
      <c r="BQ78" s="776" t="s">
        <v>2127</v>
      </c>
      <c r="BR78" s="776" t="s">
        <v>2127</v>
      </c>
      <c r="BS78" s="776" t="s">
        <v>2127</v>
      </c>
      <c r="BT78" s="776" t="s">
        <v>2127</v>
      </c>
      <c r="BU78" s="776" t="s">
        <v>2127</v>
      </c>
      <c r="BV78" s="776" t="s">
        <v>2127</v>
      </c>
      <c r="BW78" s="776" t="s">
        <v>2127</v>
      </c>
      <c r="BX78" s="776" t="s">
        <v>2127</v>
      </c>
      <c r="BY78" s="776" t="s">
        <v>2127</v>
      </c>
      <c r="BZ78" s="776" t="s">
        <v>2127</v>
      </c>
      <c r="CA78" s="776" t="s">
        <v>2127</v>
      </c>
      <c r="CB78" s="776" t="s">
        <v>2127</v>
      </c>
      <c r="CC78" s="776" t="s">
        <v>2127</v>
      </c>
      <c r="CD78" s="776" t="s">
        <v>2127</v>
      </c>
      <c r="CE78" s="776" t="s">
        <v>2127</v>
      </c>
      <c r="CF78" s="776" t="s">
        <v>2127</v>
      </c>
      <c r="CG78" s="776" t="s">
        <v>2127</v>
      </c>
      <c r="CH78" s="776" t="s">
        <v>2127</v>
      </c>
      <c r="CI78" s="776" t="s">
        <v>2127</v>
      </c>
      <c r="CJ78" s="776" t="s">
        <v>2127</v>
      </c>
      <c r="CK78" s="776" t="s">
        <v>2127</v>
      </c>
      <c r="CL78" s="776" t="s">
        <v>2127</v>
      </c>
      <c r="CM78" s="776" t="s">
        <v>2127</v>
      </c>
      <c r="CN78" s="776" t="s">
        <v>2127</v>
      </c>
      <c r="CO78" s="776" t="s">
        <v>2127</v>
      </c>
      <c r="CP78" s="776" t="s">
        <v>2127</v>
      </c>
      <c r="CQ78" s="776" t="s">
        <v>2127</v>
      </c>
      <c r="CR78" s="776" t="s">
        <v>2127</v>
      </c>
      <c r="CS78" s="776" t="s">
        <v>2127</v>
      </c>
      <c r="CT78" s="776" t="s">
        <v>2127</v>
      </c>
      <c r="CU78" s="776" t="s">
        <v>2127</v>
      </c>
      <c r="CV78" s="776" t="s">
        <v>2127</v>
      </c>
      <c r="CW78" s="776" t="s">
        <v>2127</v>
      </c>
      <c r="CX78" s="776" t="s">
        <v>2127</v>
      </c>
      <c r="CY78" s="776" t="s">
        <v>2127</v>
      </c>
      <c r="CZ78" s="776" t="s">
        <v>2127</v>
      </c>
      <c r="DA78" s="776" t="s">
        <v>2127</v>
      </c>
      <c r="DB78" s="776" t="s">
        <v>2127</v>
      </c>
      <c r="DC78" s="776" t="s">
        <v>2127</v>
      </c>
      <c r="DD78" s="776" t="s">
        <v>2127</v>
      </c>
      <c r="DE78" s="776" t="s">
        <v>2127</v>
      </c>
      <c r="DF78" s="776" t="s">
        <v>2127</v>
      </c>
      <c r="DG78" s="776" t="s">
        <v>2127</v>
      </c>
      <c r="DH78" s="776" t="s">
        <v>2127</v>
      </c>
      <c r="DI78" s="776" t="s">
        <v>2127</v>
      </c>
      <c r="DJ78" s="776" t="s">
        <v>2127</v>
      </c>
      <c r="DK78" s="776" t="s">
        <v>2127</v>
      </c>
      <c r="DL78" s="776" t="s">
        <v>2127</v>
      </c>
      <c r="DM78" s="776" t="s">
        <v>2127</v>
      </c>
      <c r="DN78" s="776" t="s">
        <v>2127</v>
      </c>
      <c r="DO78" s="776" t="s">
        <v>2127</v>
      </c>
      <c r="DP78" s="776" t="s">
        <v>2127</v>
      </c>
    </row>
    <row r="79" spans="1:120" x14ac:dyDescent="0.2">
      <c r="A79" s="637" t="s">
        <v>2134</v>
      </c>
      <c r="B79" s="772" t="str" cm="1">
        <f t="array" ref="B79">IFERROR(INDEX(Kulturen[HF],_xlfn.AGGREGATE(15,6,(ROW(Kulturen[Auswahl])-7)/(--(SEARCH("x",Kulturen[Auswahl])&gt;0)),ROW()-7),1),"")</f>
        <v>Kleegras (50 % Klee)</v>
      </c>
      <c r="C79" s="772" t="str">
        <f>IF(Kulturen[[#This Row],[HF]]=$D$373,IF($C$6=0,0,"x"),IF($C$6=0,"x",Vorauswahl!C78))</f>
        <v>x</v>
      </c>
      <c r="D79" s="77" t="s">
        <v>563</v>
      </c>
      <c r="E79" s="77" t="s">
        <v>2387</v>
      </c>
      <c r="F79" s="540" t="s">
        <v>564</v>
      </c>
      <c r="G79" s="540">
        <v>5</v>
      </c>
      <c r="H79" s="540">
        <v>8</v>
      </c>
      <c r="I79" s="540">
        <v>1</v>
      </c>
      <c r="J79" s="540">
        <v>90</v>
      </c>
      <c r="K79" s="540">
        <v>0.14000000000000001</v>
      </c>
      <c r="L79" s="540">
        <v>0.15</v>
      </c>
      <c r="M79" s="540">
        <v>450</v>
      </c>
      <c r="N79" s="540">
        <v>0</v>
      </c>
      <c r="O79" s="540">
        <v>1</v>
      </c>
      <c r="P79" s="540">
        <v>0</v>
      </c>
      <c r="Q79" s="540">
        <v>180</v>
      </c>
      <c r="R79" s="540">
        <v>50</v>
      </c>
      <c r="S79" s="540">
        <v>10</v>
      </c>
      <c r="T79" s="540">
        <v>10</v>
      </c>
      <c r="U79" s="540">
        <v>0</v>
      </c>
      <c r="V79" s="540">
        <v>2</v>
      </c>
      <c r="W79" s="776">
        <f>IF(Kulturen[[#This Row],[Berechnungsschema]]=13,3,IF(Kulturen[[#This Row],[Berechnungsschema]]=6,2,1))</f>
        <v>1</v>
      </c>
      <c r="X79" s="776">
        <f>IF(Kulturen[[#This Row],[fruchtartengruppe]]=13,Kulturen[[#This Row],[NBedarfswert]],MAX(0,Kulturen[[#This Row],[NBedarfswert]]-Kulturen[[#This Row],[Ertrag]]*Kulturen[[#This Row],[Nfix]]))</f>
        <v>180</v>
      </c>
      <c r="Y79" s="1418">
        <v>446</v>
      </c>
      <c r="Z79" s="1418">
        <v>428</v>
      </c>
      <c r="AA79" s="1418">
        <v>428</v>
      </c>
      <c r="AB79" s="1418">
        <v>428</v>
      </c>
      <c r="AC79" s="1418">
        <v>428</v>
      </c>
      <c r="AD79" s="1418">
        <v>428</v>
      </c>
      <c r="AE79" s="1418">
        <v>447</v>
      </c>
      <c r="AF79" s="1418">
        <v>442</v>
      </c>
      <c r="AG79" s="1418">
        <v>455</v>
      </c>
      <c r="AH79" s="1418">
        <v>456</v>
      </c>
      <c r="AI79" s="1418">
        <v>425</v>
      </c>
      <c r="AJ79" s="1418">
        <v>444</v>
      </c>
      <c r="AK79" s="1418">
        <v>428</v>
      </c>
      <c r="AL79" s="1418">
        <v>477</v>
      </c>
      <c r="AM79" s="1418">
        <v>433</v>
      </c>
      <c r="AN79" s="1418">
        <v>428</v>
      </c>
      <c r="AO79" s="1418">
        <v>428</v>
      </c>
      <c r="AP79" s="1418">
        <v>411</v>
      </c>
      <c r="AQ79" s="1418">
        <v>373</v>
      </c>
      <c r="AR79" s="1418">
        <v>416</v>
      </c>
      <c r="AS79" s="1418">
        <v>428</v>
      </c>
      <c r="AT79" s="1418">
        <v>428</v>
      </c>
      <c r="AU79" s="1418">
        <v>402</v>
      </c>
      <c r="AV79" s="1418">
        <v>428</v>
      </c>
      <c r="AW79" s="1418">
        <v>428</v>
      </c>
      <c r="AX79" s="1418">
        <v>426</v>
      </c>
      <c r="AY79" s="1418">
        <v>494</v>
      </c>
      <c r="AZ79" s="1418">
        <v>393</v>
      </c>
      <c r="BA79" s="1418">
        <v>385</v>
      </c>
      <c r="BB79" s="1418">
        <v>415</v>
      </c>
      <c r="BC79" s="1418">
        <v>407</v>
      </c>
      <c r="BD79" s="1418">
        <v>398</v>
      </c>
      <c r="BE79" s="1418">
        <v>399</v>
      </c>
      <c r="BF79" s="1418">
        <v>461</v>
      </c>
      <c r="BG79" s="1418">
        <v>463</v>
      </c>
      <c r="BH79" s="1418">
        <v>428</v>
      </c>
      <c r="BI79" s="1418">
        <v>451</v>
      </c>
      <c r="BJ79" s="1418">
        <v>402</v>
      </c>
      <c r="BK79" s="1418">
        <v>362</v>
      </c>
      <c r="BL79" s="1418">
        <v>332</v>
      </c>
      <c r="BM79" s="1418">
        <v>384</v>
      </c>
      <c r="BN79" s="1418">
        <v>368</v>
      </c>
      <c r="BO79" s="1418">
        <v>434</v>
      </c>
      <c r="BP79" s="1418">
        <v>369</v>
      </c>
      <c r="BQ79" s="1418">
        <v>429</v>
      </c>
      <c r="BR79" s="1418">
        <v>400</v>
      </c>
      <c r="BS79" s="1418">
        <v>416</v>
      </c>
      <c r="BT79" s="1418">
        <v>428</v>
      </c>
      <c r="BU79" s="1418">
        <v>436</v>
      </c>
      <c r="BV79" s="1418">
        <v>334</v>
      </c>
      <c r="BW79" s="1418">
        <v>406</v>
      </c>
      <c r="BX79" s="1418">
        <v>324</v>
      </c>
      <c r="BY79" s="1418">
        <v>359</v>
      </c>
      <c r="BZ79" s="1418">
        <v>403</v>
      </c>
      <c r="CA79" s="1418">
        <v>398</v>
      </c>
      <c r="CB79" s="1418">
        <v>428</v>
      </c>
      <c r="CC79" s="1418">
        <v>409</v>
      </c>
      <c r="CD79" s="1418">
        <v>405</v>
      </c>
      <c r="CE79" s="1418">
        <v>425</v>
      </c>
      <c r="CF79" s="1418">
        <v>428</v>
      </c>
      <c r="CG79" s="1418">
        <v>437</v>
      </c>
      <c r="CH79" s="1418">
        <v>428</v>
      </c>
      <c r="CI79" s="1418">
        <v>428</v>
      </c>
      <c r="CJ79" s="1418">
        <v>377</v>
      </c>
      <c r="CK79" s="1418">
        <v>420</v>
      </c>
      <c r="CL79" s="1418">
        <v>421</v>
      </c>
      <c r="CM79" s="1418">
        <v>351</v>
      </c>
      <c r="CN79" s="1418">
        <v>384</v>
      </c>
      <c r="CO79" s="1418">
        <v>302</v>
      </c>
      <c r="CP79" s="1418">
        <v>330</v>
      </c>
      <c r="CQ79" s="1418">
        <v>428</v>
      </c>
      <c r="CR79" s="1418">
        <v>400</v>
      </c>
      <c r="CS79" s="1418">
        <v>433</v>
      </c>
      <c r="CT79" s="1418">
        <v>413</v>
      </c>
      <c r="CU79" s="1418">
        <v>359</v>
      </c>
      <c r="CV79" s="1418">
        <v>366</v>
      </c>
      <c r="CW79" s="1418">
        <v>322</v>
      </c>
      <c r="CX79" s="1418">
        <v>349</v>
      </c>
      <c r="CY79" s="1418">
        <v>424</v>
      </c>
      <c r="CZ79" s="1418">
        <v>424</v>
      </c>
      <c r="DA79" s="1418">
        <v>306</v>
      </c>
      <c r="DB79" s="1418">
        <v>378</v>
      </c>
      <c r="DC79" s="1418">
        <v>428</v>
      </c>
      <c r="DD79" s="1418">
        <v>428</v>
      </c>
      <c r="DE79" s="1418">
        <v>428</v>
      </c>
      <c r="DF79" s="1418">
        <v>428</v>
      </c>
      <c r="DG79" s="1418">
        <v>454</v>
      </c>
      <c r="DH79" s="1418">
        <v>467</v>
      </c>
      <c r="DI79" s="1418">
        <v>483</v>
      </c>
      <c r="DJ79" s="1418">
        <v>477</v>
      </c>
      <c r="DK79" s="1418">
        <v>436</v>
      </c>
      <c r="DL79" s="1418">
        <v>428</v>
      </c>
      <c r="DM79" s="1418">
        <v>439</v>
      </c>
      <c r="DN79" s="1418">
        <v>420</v>
      </c>
      <c r="DO79" s="1418">
        <v>426</v>
      </c>
      <c r="DP79" s="1418">
        <v>428</v>
      </c>
    </row>
    <row r="80" spans="1:120" x14ac:dyDescent="0.2">
      <c r="A80" s="637" t="s">
        <v>2135</v>
      </c>
      <c r="B80" s="772" t="str" cm="1">
        <f t="array" ref="B80">IFERROR(INDEX(Kulturen[HF],_xlfn.AGGREGATE(15,6,(ROW(Kulturen[Auswahl])-7)/(--(SEARCH("x",Kulturen[Auswahl])&gt;0)),ROW()-7),1),"")</f>
        <v>Kleegras (70 % Klee)</v>
      </c>
      <c r="C80" s="772" t="str">
        <f>IF(Kulturen[[#This Row],[HF]]=$D$373,IF($C$6=0,0,"x"),IF($C$6=0,"x",Vorauswahl!C79))</f>
        <v>x</v>
      </c>
      <c r="D80" s="77" t="s">
        <v>79</v>
      </c>
      <c r="E80" s="77" t="s">
        <v>79</v>
      </c>
      <c r="F80" s="540" t="s">
        <v>565</v>
      </c>
      <c r="G80" s="540">
        <v>5</v>
      </c>
      <c r="H80" s="540">
        <v>8</v>
      </c>
      <c r="I80" s="540">
        <v>1</v>
      </c>
      <c r="J80" s="540">
        <v>90</v>
      </c>
      <c r="K80" s="540">
        <v>0.14000000000000001</v>
      </c>
      <c r="L80" s="540">
        <v>0.15</v>
      </c>
      <c r="M80" s="540">
        <v>450</v>
      </c>
      <c r="N80" s="540">
        <v>0</v>
      </c>
      <c r="O80" s="540">
        <v>1</v>
      </c>
      <c r="P80" s="540">
        <v>0</v>
      </c>
      <c r="Q80" s="540">
        <v>200</v>
      </c>
      <c r="R80" s="540">
        <v>50</v>
      </c>
      <c r="S80" s="540">
        <v>10</v>
      </c>
      <c r="T80" s="540">
        <v>10</v>
      </c>
      <c r="U80" s="540">
        <v>0</v>
      </c>
      <c r="V80" s="540">
        <v>2</v>
      </c>
      <c r="W80" s="776">
        <f>IF(Kulturen[[#This Row],[Berechnungsschema]]=13,3,IF(Kulturen[[#This Row],[Berechnungsschema]]=6,2,1))</f>
        <v>1</v>
      </c>
      <c r="X80" s="776">
        <f>IF(Kulturen[[#This Row],[fruchtartengruppe]]=13,Kulturen[[#This Row],[NBedarfswert]],MAX(0,Kulturen[[#This Row],[NBedarfswert]]-Kulturen[[#This Row],[Ertrag]]*Kulturen[[#This Row],[Nfix]]))</f>
        <v>200</v>
      </c>
      <c r="Y80" s="1418">
        <v>446</v>
      </c>
      <c r="Z80" s="1418">
        <v>428</v>
      </c>
      <c r="AA80" s="1418">
        <v>428</v>
      </c>
      <c r="AB80" s="1418">
        <v>428</v>
      </c>
      <c r="AC80" s="1418">
        <v>428</v>
      </c>
      <c r="AD80" s="1418">
        <v>428</v>
      </c>
      <c r="AE80" s="1418">
        <v>447</v>
      </c>
      <c r="AF80" s="1418">
        <v>442</v>
      </c>
      <c r="AG80" s="1418">
        <v>455</v>
      </c>
      <c r="AH80" s="1418">
        <v>456</v>
      </c>
      <c r="AI80" s="1418">
        <v>425</v>
      </c>
      <c r="AJ80" s="1418">
        <v>444</v>
      </c>
      <c r="AK80" s="1418">
        <v>428</v>
      </c>
      <c r="AL80" s="1418">
        <v>477</v>
      </c>
      <c r="AM80" s="1418">
        <v>433</v>
      </c>
      <c r="AN80" s="1418">
        <v>428</v>
      </c>
      <c r="AO80" s="1418">
        <v>428</v>
      </c>
      <c r="AP80" s="1418">
        <v>411</v>
      </c>
      <c r="AQ80" s="1418">
        <v>373</v>
      </c>
      <c r="AR80" s="1418">
        <v>416</v>
      </c>
      <c r="AS80" s="1418">
        <v>428</v>
      </c>
      <c r="AT80" s="1418">
        <v>428</v>
      </c>
      <c r="AU80" s="1418">
        <v>402</v>
      </c>
      <c r="AV80" s="1418">
        <v>428</v>
      </c>
      <c r="AW80" s="1418">
        <v>428</v>
      </c>
      <c r="AX80" s="1418">
        <v>426</v>
      </c>
      <c r="AY80" s="1418">
        <v>494</v>
      </c>
      <c r="AZ80" s="1418">
        <v>393</v>
      </c>
      <c r="BA80" s="1418">
        <v>385</v>
      </c>
      <c r="BB80" s="1418">
        <v>415</v>
      </c>
      <c r="BC80" s="1418">
        <v>407</v>
      </c>
      <c r="BD80" s="1418">
        <v>398</v>
      </c>
      <c r="BE80" s="1418">
        <v>399</v>
      </c>
      <c r="BF80" s="1418">
        <v>461</v>
      </c>
      <c r="BG80" s="1418">
        <v>463</v>
      </c>
      <c r="BH80" s="1418">
        <v>428</v>
      </c>
      <c r="BI80" s="1418">
        <v>451</v>
      </c>
      <c r="BJ80" s="1418">
        <v>402</v>
      </c>
      <c r="BK80" s="1418">
        <v>362</v>
      </c>
      <c r="BL80" s="1418">
        <v>332</v>
      </c>
      <c r="BM80" s="1418">
        <v>384</v>
      </c>
      <c r="BN80" s="1418">
        <v>368</v>
      </c>
      <c r="BO80" s="1418">
        <v>434</v>
      </c>
      <c r="BP80" s="1418">
        <v>369</v>
      </c>
      <c r="BQ80" s="1418">
        <v>429</v>
      </c>
      <c r="BR80" s="1418">
        <v>400</v>
      </c>
      <c r="BS80" s="1418">
        <v>416</v>
      </c>
      <c r="BT80" s="1418">
        <v>428</v>
      </c>
      <c r="BU80" s="1418">
        <v>436</v>
      </c>
      <c r="BV80" s="1418">
        <v>334</v>
      </c>
      <c r="BW80" s="1418">
        <v>406</v>
      </c>
      <c r="BX80" s="1418">
        <v>324</v>
      </c>
      <c r="BY80" s="1418">
        <v>359</v>
      </c>
      <c r="BZ80" s="1418">
        <v>403</v>
      </c>
      <c r="CA80" s="1418">
        <v>398</v>
      </c>
      <c r="CB80" s="1418">
        <v>428</v>
      </c>
      <c r="CC80" s="1418">
        <v>409</v>
      </c>
      <c r="CD80" s="1418">
        <v>405</v>
      </c>
      <c r="CE80" s="1418">
        <v>425</v>
      </c>
      <c r="CF80" s="1418">
        <v>428</v>
      </c>
      <c r="CG80" s="1418">
        <v>437</v>
      </c>
      <c r="CH80" s="1418">
        <v>428</v>
      </c>
      <c r="CI80" s="1418">
        <v>428</v>
      </c>
      <c r="CJ80" s="1418">
        <v>377</v>
      </c>
      <c r="CK80" s="1418">
        <v>420</v>
      </c>
      <c r="CL80" s="1418">
        <v>421</v>
      </c>
      <c r="CM80" s="1418">
        <v>351</v>
      </c>
      <c r="CN80" s="1418">
        <v>384</v>
      </c>
      <c r="CO80" s="1418">
        <v>302</v>
      </c>
      <c r="CP80" s="1418">
        <v>330</v>
      </c>
      <c r="CQ80" s="1418">
        <v>428</v>
      </c>
      <c r="CR80" s="1418">
        <v>400</v>
      </c>
      <c r="CS80" s="1418">
        <v>433</v>
      </c>
      <c r="CT80" s="1418">
        <v>413</v>
      </c>
      <c r="CU80" s="1418">
        <v>359</v>
      </c>
      <c r="CV80" s="1418">
        <v>366</v>
      </c>
      <c r="CW80" s="1418">
        <v>322</v>
      </c>
      <c r="CX80" s="1418">
        <v>349</v>
      </c>
      <c r="CY80" s="1418">
        <v>424</v>
      </c>
      <c r="CZ80" s="1418">
        <v>424</v>
      </c>
      <c r="DA80" s="1418">
        <v>306</v>
      </c>
      <c r="DB80" s="1418">
        <v>378</v>
      </c>
      <c r="DC80" s="1418">
        <v>428</v>
      </c>
      <c r="DD80" s="1418">
        <v>428</v>
      </c>
      <c r="DE80" s="1418">
        <v>428</v>
      </c>
      <c r="DF80" s="1418">
        <v>428</v>
      </c>
      <c r="DG80" s="1418">
        <v>454</v>
      </c>
      <c r="DH80" s="1418">
        <v>467</v>
      </c>
      <c r="DI80" s="1418">
        <v>483</v>
      </c>
      <c r="DJ80" s="1418">
        <v>477</v>
      </c>
      <c r="DK80" s="1418">
        <v>436</v>
      </c>
      <c r="DL80" s="1418">
        <v>428</v>
      </c>
      <c r="DM80" s="1418">
        <v>439</v>
      </c>
      <c r="DN80" s="1418">
        <v>420</v>
      </c>
      <c r="DO80" s="1418">
        <v>426</v>
      </c>
      <c r="DP80" s="1418">
        <v>428</v>
      </c>
    </row>
    <row r="81" spans="1:123" x14ac:dyDescent="0.2">
      <c r="A81" s="637" t="s">
        <v>2136</v>
      </c>
      <c r="B81" s="772" t="str" cm="1">
        <f t="array" ref="B81">IFERROR(INDEX(Kulturen[HF],_xlfn.AGGREGATE(15,6,(ROW(Kulturen[Auswahl])-7)/(--(SEARCH("x",Kulturen[Auswahl])&gt;0)),ROW()-7),1),"")</f>
        <v>Luzernegras (30 % Luz)</v>
      </c>
      <c r="C81" s="772" t="str">
        <f>IF(Kulturen[[#This Row],[HF]]=$D$373,IF($C$6=0,0,"x"),IF($C$6=0,"x",Vorauswahl!C80))</f>
        <v>x</v>
      </c>
      <c r="D81" s="77" t="s">
        <v>36</v>
      </c>
      <c r="E81" s="77" t="s">
        <v>36</v>
      </c>
      <c r="F81" s="540" t="s">
        <v>566</v>
      </c>
      <c r="G81" s="540">
        <v>5</v>
      </c>
      <c r="H81" s="540">
        <v>8</v>
      </c>
      <c r="I81" s="540">
        <v>1</v>
      </c>
      <c r="J81" s="540">
        <v>90</v>
      </c>
      <c r="K81" s="540">
        <v>0.14000000000000001</v>
      </c>
      <c r="L81" s="540">
        <v>0.15</v>
      </c>
      <c r="M81" s="540">
        <v>400</v>
      </c>
      <c r="N81" s="540">
        <v>0</v>
      </c>
      <c r="O81" s="540">
        <v>1</v>
      </c>
      <c r="P81" s="540">
        <v>0</v>
      </c>
      <c r="Q81" s="540">
        <v>220</v>
      </c>
      <c r="R81" s="540">
        <v>50</v>
      </c>
      <c r="S81" s="540">
        <v>10</v>
      </c>
      <c r="T81" s="540">
        <v>10</v>
      </c>
      <c r="U81" s="540">
        <v>0</v>
      </c>
      <c r="V81" s="540">
        <v>2</v>
      </c>
      <c r="W81" s="776">
        <f>IF(Kulturen[[#This Row],[Berechnungsschema]]=13,3,IF(Kulturen[[#This Row],[Berechnungsschema]]=6,2,1))</f>
        <v>1</v>
      </c>
      <c r="X81" s="776">
        <f>IF(Kulturen[[#This Row],[fruchtartengruppe]]=13,Kulturen[[#This Row],[NBedarfswert]],MAX(0,Kulturen[[#This Row],[NBedarfswert]]-Kulturen[[#This Row],[Ertrag]]*Kulturen[[#This Row],[Nfix]]))</f>
        <v>220</v>
      </c>
      <c r="Y81" s="776">
        <v>357</v>
      </c>
      <c r="Z81" s="776">
        <v>343</v>
      </c>
      <c r="AA81" s="776">
        <v>343</v>
      </c>
      <c r="AB81" s="776">
        <v>343</v>
      </c>
      <c r="AC81" s="776">
        <v>343</v>
      </c>
      <c r="AD81" s="776">
        <v>343</v>
      </c>
      <c r="AE81" s="776">
        <v>358</v>
      </c>
      <c r="AF81" s="776">
        <v>353</v>
      </c>
      <c r="AG81" s="776">
        <v>364</v>
      </c>
      <c r="AH81" s="776">
        <v>365</v>
      </c>
      <c r="AI81" s="776">
        <v>340</v>
      </c>
      <c r="AJ81" s="776">
        <v>355</v>
      </c>
      <c r="AK81" s="776">
        <v>343</v>
      </c>
      <c r="AL81" s="776">
        <v>382</v>
      </c>
      <c r="AM81" s="776">
        <v>346</v>
      </c>
      <c r="AN81" s="776">
        <v>343</v>
      </c>
      <c r="AO81" s="776">
        <v>342</v>
      </c>
      <c r="AP81" s="776">
        <v>328</v>
      </c>
      <c r="AQ81" s="776">
        <v>299</v>
      </c>
      <c r="AR81" s="776">
        <v>333</v>
      </c>
      <c r="AS81" s="776">
        <v>343</v>
      </c>
      <c r="AT81" s="776">
        <v>343</v>
      </c>
      <c r="AU81" s="776">
        <v>322</v>
      </c>
      <c r="AV81" s="776">
        <v>343</v>
      </c>
      <c r="AW81" s="776">
        <v>343</v>
      </c>
      <c r="AX81" s="776">
        <v>341</v>
      </c>
      <c r="AY81" s="776">
        <v>395</v>
      </c>
      <c r="AZ81" s="776">
        <v>314</v>
      </c>
      <c r="BA81" s="776">
        <v>308</v>
      </c>
      <c r="BB81" s="776">
        <v>332</v>
      </c>
      <c r="BC81" s="776">
        <v>326</v>
      </c>
      <c r="BD81" s="776">
        <v>318</v>
      </c>
      <c r="BE81" s="776">
        <v>319</v>
      </c>
      <c r="BF81" s="776">
        <v>369</v>
      </c>
      <c r="BG81" s="776">
        <v>371</v>
      </c>
      <c r="BH81" s="776">
        <v>343</v>
      </c>
      <c r="BI81" s="776">
        <v>361</v>
      </c>
      <c r="BJ81" s="776">
        <v>322</v>
      </c>
      <c r="BK81" s="776">
        <v>289</v>
      </c>
      <c r="BL81" s="776">
        <v>266</v>
      </c>
      <c r="BM81" s="776">
        <v>307</v>
      </c>
      <c r="BN81" s="776">
        <v>294</v>
      </c>
      <c r="BO81" s="776">
        <v>347</v>
      </c>
      <c r="BP81" s="776">
        <v>295</v>
      </c>
      <c r="BQ81" s="776">
        <v>343</v>
      </c>
      <c r="BR81" s="776">
        <v>320</v>
      </c>
      <c r="BS81" s="776">
        <v>333</v>
      </c>
      <c r="BT81" s="776">
        <v>343</v>
      </c>
      <c r="BU81" s="776">
        <v>349</v>
      </c>
      <c r="BV81" s="776">
        <v>267</v>
      </c>
      <c r="BW81" s="776">
        <v>325</v>
      </c>
      <c r="BX81" s="776">
        <v>259</v>
      </c>
      <c r="BY81" s="776">
        <v>287</v>
      </c>
      <c r="BZ81" s="776">
        <v>322</v>
      </c>
      <c r="CA81" s="776">
        <v>318</v>
      </c>
      <c r="CB81" s="776">
        <v>343</v>
      </c>
      <c r="CC81" s="776">
        <v>327</v>
      </c>
      <c r="CD81" s="776">
        <v>324</v>
      </c>
      <c r="CE81" s="776">
        <v>340</v>
      </c>
      <c r="CF81" s="776">
        <v>343</v>
      </c>
      <c r="CG81" s="776">
        <v>349</v>
      </c>
      <c r="CH81" s="776">
        <v>343</v>
      </c>
      <c r="CI81" s="776">
        <v>343</v>
      </c>
      <c r="CJ81" s="776">
        <v>302</v>
      </c>
      <c r="CK81" s="776">
        <v>336</v>
      </c>
      <c r="CL81" s="776">
        <v>337</v>
      </c>
      <c r="CM81" s="776">
        <v>281</v>
      </c>
      <c r="CN81" s="776">
        <v>307</v>
      </c>
      <c r="CO81" s="776">
        <v>241</v>
      </c>
      <c r="CP81" s="776">
        <v>264</v>
      </c>
      <c r="CQ81" s="776">
        <v>343</v>
      </c>
      <c r="CR81" s="776">
        <v>320</v>
      </c>
      <c r="CS81" s="776">
        <v>347</v>
      </c>
      <c r="CT81" s="776">
        <v>330</v>
      </c>
      <c r="CU81" s="776">
        <v>287</v>
      </c>
      <c r="CV81" s="776">
        <v>292</v>
      </c>
      <c r="CW81" s="776">
        <v>258</v>
      </c>
      <c r="CX81" s="776">
        <v>279</v>
      </c>
      <c r="CY81" s="776">
        <v>340</v>
      </c>
      <c r="CZ81" s="776">
        <v>339</v>
      </c>
      <c r="DA81" s="776">
        <v>245</v>
      </c>
      <c r="DB81" s="776">
        <v>302</v>
      </c>
      <c r="DC81" s="776">
        <v>343</v>
      </c>
      <c r="DD81" s="776">
        <v>343</v>
      </c>
      <c r="DE81" s="776">
        <v>343</v>
      </c>
      <c r="DF81" s="776">
        <v>343</v>
      </c>
      <c r="DG81" s="776">
        <v>363</v>
      </c>
      <c r="DH81" s="776">
        <v>374</v>
      </c>
      <c r="DI81" s="776">
        <v>386</v>
      </c>
      <c r="DJ81" s="776">
        <v>381</v>
      </c>
      <c r="DK81" s="776">
        <v>349</v>
      </c>
      <c r="DL81" s="776">
        <v>343</v>
      </c>
      <c r="DM81" s="776">
        <v>351</v>
      </c>
      <c r="DN81" s="776">
        <v>336</v>
      </c>
      <c r="DO81" s="776">
        <v>341</v>
      </c>
      <c r="DP81" s="776">
        <v>343</v>
      </c>
    </row>
    <row r="82" spans="1:123" x14ac:dyDescent="0.2">
      <c r="A82" s="637" t="s">
        <v>2137</v>
      </c>
      <c r="B82" s="772" t="str" cm="1">
        <f t="array" ref="B82">IFERROR(INDEX(Kulturen[HF],_xlfn.AGGREGATE(15,6,(ROW(Kulturen[Auswahl])-7)/(--(SEARCH("x",Kulturen[Auswahl])&gt;0)),ROW()-7),1),"")</f>
        <v>Luzernegras (50 % Luz)</v>
      </c>
      <c r="C82" s="772" t="str">
        <f>IF(Kulturen[[#This Row],[HF]]=$D$373,IF($C$6=0,0,"x"),IF($C$6=0,"x",Vorauswahl!C81))</f>
        <v>x</v>
      </c>
      <c r="D82" s="77" t="s">
        <v>567</v>
      </c>
      <c r="E82" s="77" t="s">
        <v>567</v>
      </c>
      <c r="F82" s="540" t="s">
        <v>568</v>
      </c>
      <c r="G82" s="540">
        <v>5</v>
      </c>
      <c r="H82" s="540">
        <v>8</v>
      </c>
      <c r="I82" s="540">
        <v>1</v>
      </c>
      <c r="J82" s="540">
        <v>90</v>
      </c>
      <c r="K82" s="540">
        <v>0.1</v>
      </c>
      <c r="L82" s="540">
        <v>0.18</v>
      </c>
      <c r="M82" s="540">
        <v>650</v>
      </c>
      <c r="N82" s="540">
        <v>0</v>
      </c>
      <c r="O82" s="540">
        <v>1</v>
      </c>
      <c r="P82" s="540">
        <v>0</v>
      </c>
      <c r="Q82" s="540">
        <v>170</v>
      </c>
      <c r="R82" s="540">
        <v>100</v>
      </c>
      <c r="S82" s="540">
        <v>10</v>
      </c>
      <c r="T82" s="540">
        <v>15</v>
      </c>
      <c r="U82" s="540">
        <v>10</v>
      </c>
      <c r="V82" s="540">
        <v>3</v>
      </c>
      <c r="W82" s="776">
        <f>IF(Kulturen[[#This Row],[Berechnungsschema]]=13,3,IF(Kulturen[[#This Row],[Berechnungsschema]]=6,2,1))</f>
        <v>1</v>
      </c>
      <c r="X82" s="776">
        <f>IF(Kulturen[[#This Row],[fruchtartengruppe]]=13,Kulturen[[#This Row],[NBedarfswert]],MAX(0,Kulturen[[#This Row],[NBedarfswert]]-Kulturen[[#This Row],[Ertrag]]*Kulturen[[#This Row],[Nfix]]))</f>
        <v>170</v>
      </c>
      <c r="Y82" s="1410">
        <v>825</v>
      </c>
      <c r="Z82" s="1410">
        <v>826</v>
      </c>
      <c r="AA82" s="1410">
        <v>826</v>
      </c>
      <c r="AB82" s="1410">
        <v>826</v>
      </c>
      <c r="AC82" s="1410">
        <v>826</v>
      </c>
      <c r="AD82" s="1410">
        <v>826</v>
      </c>
      <c r="AE82" s="1410">
        <v>869</v>
      </c>
      <c r="AF82" s="1410">
        <v>826</v>
      </c>
      <c r="AG82" s="1410">
        <v>849</v>
      </c>
      <c r="AH82" s="1410">
        <v>857</v>
      </c>
      <c r="AI82" s="1410">
        <v>806</v>
      </c>
      <c r="AJ82" s="1410">
        <v>796</v>
      </c>
      <c r="AK82" s="1410">
        <v>826</v>
      </c>
      <c r="AL82" s="1410">
        <v>903</v>
      </c>
      <c r="AM82" s="1410">
        <v>826</v>
      </c>
      <c r="AN82" s="1410">
        <v>824</v>
      </c>
      <c r="AO82" s="1410">
        <v>826</v>
      </c>
      <c r="AP82" s="1410">
        <v>845</v>
      </c>
      <c r="AQ82" s="1410">
        <v>814</v>
      </c>
      <c r="AR82" s="1410">
        <v>826</v>
      </c>
      <c r="AS82" s="1410">
        <v>826</v>
      </c>
      <c r="AT82" s="1410">
        <v>826</v>
      </c>
      <c r="AU82" s="1410">
        <v>826</v>
      </c>
      <c r="AV82" s="1410">
        <v>826</v>
      </c>
      <c r="AW82" s="1410">
        <v>826</v>
      </c>
      <c r="AX82" s="1410">
        <v>847</v>
      </c>
      <c r="AY82" s="1410">
        <v>908</v>
      </c>
      <c r="AZ82" s="1410">
        <v>826</v>
      </c>
      <c r="BA82" s="1410">
        <v>906</v>
      </c>
      <c r="BB82" s="1410">
        <v>881</v>
      </c>
      <c r="BC82" s="1410">
        <v>830</v>
      </c>
      <c r="BD82" s="1410">
        <v>826</v>
      </c>
      <c r="BE82" s="1410">
        <v>748</v>
      </c>
      <c r="BF82" s="1410">
        <v>930</v>
      </c>
      <c r="BG82" s="1410">
        <v>861</v>
      </c>
      <c r="BH82" s="1410">
        <v>826</v>
      </c>
      <c r="BI82" s="1410">
        <v>861</v>
      </c>
      <c r="BJ82" s="1410">
        <v>826</v>
      </c>
      <c r="BK82" s="1410">
        <v>826</v>
      </c>
      <c r="BL82" s="1410">
        <v>826</v>
      </c>
      <c r="BM82" s="1410">
        <v>826</v>
      </c>
      <c r="BN82" s="1410">
        <v>826</v>
      </c>
      <c r="BO82" s="1410">
        <v>870</v>
      </c>
      <c r="BP82" s="1410">
        <v>826</v>
      </c>
      <c r="BQ82" s="1410">
        <v>826</v>
      </c>
      <c r="BR82" s="1410">
        <v>805</v>
      </c>
      <c r="BS82" s="1410">
        <v>826</v>
      </c>
      <c r="BT82" s="1410">
        <v>826</v>
      </c>
      <c r="BU82" s="1410">
        <v>826</v>
      </c>
      <c r="BV82" s="1410">
        <v>663</v>
      </c>
      <c r="BW82" s="1410">
        <v>826</v>
      </c>
      <c r="BX82" s="1410">
        <v>794</v>
      </c>
      <c r="BY82" s="1410">
        <v>826</v>
      </c>
      <c r="BZ82" s="1410">
        <v>826</v>
      </c>
      <c r="CA82" s="1410">
        <v>826</v>
      </c>
      <c r="CB82" s="1410">
        <v>826</v>
      </c>
      <c r="CC82" s="1410">
        <v>788</v>
      </c>
      <c r="CD82" s="1410">
        <v>826</v>
      </c>
      <c r="CE82" s="1410">
        <v>789</v>
      </c>
      <c r="CF82" s="1410">
        <v>826</v>
      </c>
      <c r="CG82" s="1410">
        <v>826</v>
      </c>
      <c r="CH82" s="1410">
        <v>826</v>
      </c>
      <c r="CI82" s="1410">
        <v>826</v>
      </c>
      <c r="CJ82" s="1410">
        <v>676</v>
      </c>
      <c r="CK82" s="1410">
        <v>763</v>
      </c>
      <c r="CL82" s="1410">
        <v>622</v>
      </c>
      <c r="CM82" s="1410">
        <v>826</v>
      </c>
      <c r="CN82" s="1410">
        <v>752</v>
      </c>
      <c r="CO82" s="1410">
        <v>777</v>
      </c>
      <c r="CP82" s="1410">
        <v>761</v>
      </c>
      <c r="CQ82" s="1410">
        <v>826</v>
      </c>
      <c r="CR82" s="1410">
        <v>826</v>
      </c>
      <c r="CS82" s="1410">
        <v>838</v>
      </c>
      <c r="CT82" s="1410">
        <v>826</v>
      </c>
      <c r="CU82" s="1410">
        <v>654</v>
      </c>
      <c r="CV82" s="1410">
        <v>674</v>
      </c>
      <c r="CW82" s="1410">
        <v>695</v>
      </c>
      <c r="CX82" s="1410">
        <v>705</v>
      </c>
      <c r="CY82" s="1410">
        <v>780</v>
      </c>
      <c r="CZ82" s="1410">
        <v>761</v>
      </c>
      <c r="DA82" s="1410">
        <v>658</v>
      </c>
      <c r="DB82" s="1410">
        <v>783</v>
      </c>
      <c r="DC82" s="1410">
        <v>826</v>
      </c>
      <c r="DD82" s="1410">
        <v>826</v>
      </c>
      <c r="DE82" s="1410">
        <v>826</v>
      </c>
      <c r="DF82" s="1410">
        <v>826</v>
      </c>
      <c r="DG82" s="1410">
        <v>944</v>
      </c>
      <c r="DH82" s="1410">
        <v>897</v>
      </c>
      <c r="DI82" s="1410">
        <v>910</v>
      </c>
      <c r="DJ82" s="1410">
        <v>913</v>
      </c>
      <c r="DK82" s="1410">
        <v>787</v>
      </c>
      <c r="DL82" s="1410">
        <v>826</v>
      </c>
      <c r="DM82" s="1410">
        <v>826</v>
      </c>
      <c r="DN82" s="1410">
        <v>826</v>
      </c>
      <c r="DO82" s="1410">
        <v>896</v>
      </c>
      <c r="DP82" s="1410">
        <v>826</v>
      </c>
    </row>
    <row r="83" spans="1:123" x14ac:dyDescent="0.2">
      <c r="A83" s="637" t="s">
        <v>2138</v>
      </c>
      <c r="B83" s="772" t="str" cm="1">
        <f t="array" ref="B83">IFERROR(INDEX(Kulturen[HF],_xlfn.AGGREGATE(15,6,(ROW(Kulturen[Auswahl])-7)/(--(SEARCH("x",Kulturen[Auswahl])&gt;0)),ROW()-7),1),"")</f>
        <v>Luzernegras (70 % Luz)</v>
      </c>
      <c r="C83" s="772" t="str">
        <f>IF(Kulturen[[#This Row],[HF]]=$D$373,IF($C$6=0,0,"x"),IF($C$6=0,"x",Vorauswahl!C82))</f>
        <v>x</v>
      </c>
      <c r="D83" s="77" t="s">
        <v>569</v>
      </c>
      <c r="E83" s="77" t="s">
        <v>569</v>
      </c>
      <c r="F83" s="540" t="s">
        <v>570</v>
      </c>
      <c r="G83" s="540">
        <v>5</v>
      </c>
      <c r="H83" s="540">
        <v>8</v>
      </c>
      <c r="I83" s="540">
        <v>1</v>
      </c>
      <c r="J83" s="540">
        <v>90</v>
      </c>
      <c r="K83" s="540">
        <v>0.09</v>
      </c>
      <c r="L83" s="540">
        <v>0.12</v>
      </c>
      <c r="M83" s="540">
        <v>650</v>
      </c>
      <c r="N83" s="540">
        <v>0</v>
      </c>
      <c r="O83" s="540">
        <v>1</v>
      </c>
      <c r="P83" s="540">
        <v>0</v>
      </c>
      <c r="Q83" s="540">
        <v>200</v>
      </c>
      <c r="R83" s="540">
        <v>100</v>
      </c>
      <c r="S83" s="540">
        <v>10</v>
      </c>
      <c r="T83" s="540">
        <v>15</v>
      </c>
      <c r="U83" s="540">
        <v>0</v>
      </c>
      <c r="V83" s="540">
        <v>3</v>
      </c>
      <c r="W83" s="776">
        <f>IF(Kulturen[[#This Row],[Berechnungsschema]]=13,3,IF(Kulturen[[#This Row],[Berechnungsschema]]=6,2,1))</f>
        <v>1</v>
      </c>
      <c r="X83" s="776">
        <f>IF(Kulturen[[#This Row],[fruchtartengruppe]]=13,Kulturen[[#This Row],[NBedarfswert]],MAX(0,Kulturen[[#This Row],[NBedarfswert]]-Kulturen[[#This Row],[Ertrag]]*Kulturen[[#This Row],[Nfix]]))</f>
        <v>200</v>
      </c>
      <c r="Y83" s="776">
        <v>990</v>
      </c>
      <c r="Z83" s="776">
        <v>992</v>
      </c>
      <c r="AA83" s="776">
        <v>992</v>
      </c>
      <c r="AB83" s="776">
        <v>992</v>
      </c>
      <c r="AC83" s="776">
        <v>992</v>
      </c>
      <c r="AD83" s="776">
        <v>992</v>
      </c>
      <c r="AE83" s="776">
        <v>1042</v>
      </c>
      <c r="AF83" s="776">
        <v>992</v>
      </c>
      <c r="AG83" s="776">
        <v>1019</v>
      </c>
      <c r="AH83" s="776">
        <v>1029</v>
      </c>
      <c r="AI83" s="776">
        <v>967</v>
      </c>
      <c r="AJ83" s="776">
        <v>955</v>
      </c>
      <c r="AK83" s="776">
        <v>992</v>
      </c>
      <c r="AL83" s="776">
        <v>1083</v>
      </c>
      <c r="AM83" s="776">
        <v>992</v>
      </c>
      <c r="AN83" s="776">
        <v>989</v>
      </c>
      <c r="AO83" s="776">
        <v>992</v>
      </c>
      <c r="AP83" s="776">
        <v>1014</v>
      </c>
      <c r="AQ83" s="776">
        <v>977</v>
      </c>
      <c r="AR83" s="776">
        <v>992</v>
      </c>
      <c r="AS83" s="776">
        <v>992</v>
      </c>
      <c r="AT83" s="776">
        <v>992</v>
      </c>
      <c r="AU83" s="776">
        <v>992</v>
      </c>
      <c r="AV83" s="776">
        <v>992</v>
      </c>
      <c r="AW83" s="776">
        <v>992</v>
      </c>
      <c r="AX83" s="776">
        <v>1017</v>
      </c>
      <c r="AY83" s="776">
        <v>1090</v>
      </c>
      <c r="AZ83" s="776">
        <v>992</v>
      </c>
      <c r="BA83" s="776">
        <v>1088</v>
      </c>
      <c r="BB83" s="776">
        <v>1057</v>
      </c>
      <c r="BC83" s="776">
        <v>997</v>
      </c>
      <c r="BD83" s="776">
        <v>992</v>
      </c>
      <c r="BE83" s="776">
        <v>897</v>
      </c>
      <c r="BF83" s="776">
        <v>1116</v>
      </c>
      <c r="BG83" s="776">
        <v>1033</v>
      </c>
      <c r="BH83" s="776">
        <v>992</v>
      </c>
      <c r="BI83" s="776">
        <v>1033</v>
      </c>
      <c r="BJ83" s="776">
        <v>992</v>
      </c>
      <c r="BK83" s="776">
        <v>992</v>
      </c>
      <c r="BL83" s="776">
        <v>992</v>
      </c>
      <c r="BM83" s="776">
        <v>992</v>
      </c>
      <c r="BN83" s="776">
        <v>992</v>
      </c>
      <c r="BO83" s="776">
        <v>1044</v>
      </c>
      <c r="BP83" s="776">
        <v>992</v>
      </c>
      <c r="BQ83" s="776">
        <v>992</v>
      </c>
      <c r="BR83" s="776">
        <v>965</v>
      </c>
      <c r="BS83" s="776">
        <v>992</v>
      </c>
      <c r="BT83" s="776">
        <v>992</v>
      </c>
      <c r="BU83" s="776">
        <v>992</v>
      </c>
      <c r="BV83" s="776">
        <v>796</v>
      </c>
      <c r="BW83" s="776">
        <v>992</v>
      </c>
      <c r="BX83" s="776">
        <v>953</v>
      </c>
      <c r="BY83" s="776">
        <v>992</v>
      </c>
      <c r="BZ83" s="776">
        <v>992</v>
      </c>
      <c r="CA83" s="776">
        <v>992</v>
      </c>
      <c r="CB83" s="776">
        <v>992</v>
      </c>
      <c r="CC83" s="776">
        <v>946</v>
      </c>
      <c r="CD83" s="776">
        <v>992</v>
      </c>
      <c r="CE83" s="776">
        <v>946</v>
      </c>
      <c r="CF83" s="776">
        <v>992</v>
      </c>
      <c r="CG83" s="776">
        <v>992</v>
      </c>
      <c r="CH83" s="776">
        <v>992</v>
      </c>
      <c r="CI83" s="776">
        <v>992</v>
      </c>
      <c r="CJ83" s="776">
        <v>811</v>
      </c>
      <c r="CK83" s="776">
        <v>915</v>
      </c>
      <c r="CL83" s="776">
        <v>746</v>
      </c>
      <c r="CM83" s="776">
        <v>992</v>
      </c>
      <c r="CN83" s="776">
        <v>903</v>
      </c>
      <c r="CO83" s="776">
        <v>933</v>
      </c>
      <c r="CP83" s="776">
        <v>914</v>
      </c>
      <c r="CQ83" s="776">
        <v>992</v>
      </c>
      <c r="CR83" s="776">
        <v>992</v>
      </c>
      <c r="CS83" s="776">
        <v>1005</v>
      </c>
      <c r="CT83" s="776">
        <v>992</v>
      </c>
      <c r="CU83" s="776">
        <v>785</v>
      </c>
      <c r="CV83" s="776">
        <v>809</v>
      </c>
      <c r="CW83" s="776">
        <v>834</v>
      </c>
      <c r="CX83" s="776">
        <v>846</v>
      </c>
      <c r="CY83" s="776">
        <v>936</v>
      </c>
      <c r="CZ83" s="776">
        <v>913</v>
      </c>
      <c r="DA83" s="776">
        <v>790</v>
      </c>
      <c r="DB83" s="776">
        <v>940</v>
      </c>
      <c r="DC83" s="776">
        <v>992</v>
      </c>
      <c r="DD83" s="776">
        <v>992</v>
      </c>
      <c r="DE83" s="776">
        <v>992</v>
      </c>
      <c r="DF83" s="776">
        <v>992</v>
      </c>
      <c r="DG83" s="776">
        <v>1133</v>
      </c>
      <c r="DH83" s="776">
        <v>1076</v>
      </c>
      <c r="DI83" s="776">
        <v>1092</v>
      </c>
      <c r="DJ83" s="776">
        <v>1096</v>
      </c>
      <c r="DK83" s="776">
        <v>945</v>
      </c>
      <c r="DL83" s="776">
        <v>992</v>
      </c>
      <c r="DM83" s="776">
        <v>992</v>
      </c>
      <c r="DN83" s="776">
        <v>992</v>
      </c>
      <c r="DO83" s="776">
        <v>1075</v>
      </c>
      <c r="DP83" s="776">
        <v>992</v>
      </c>
    </row>
    <row r="84" spans="1:123" x14ac:dyDescent="0.2">
      <c r="A84" s="637" t="s">
        <v>2139</v>
      </c>
      <c r="B84" s="772" t="str" cm="1">
        <f t="array" ref="B84">IFERROR(INDEX(Kulturen[HF],_xlfn.AGGREGATE(15,6,(ROW(Kulturen[Auswahl])-7)/(--(SEARCH("x",Kulturen[Auswahl])&gt;0)),ROW()-7),1),"")</f>
        <v>Klee (Reinkultur)</v>
      </c>
      <c r="C84" s="772" t="str">
        <f>IF(Kulturen[[#This Row],[HF]]=$D$373,IF($C$6=0,0,"x"),IF($C$6=0,"x",Vorauswahl!C83))</f>
        <v>x</v>
      </c>
      <c r="D84" s="77" t="s">
        <v>571</v>
      </c>
      <c r="E84" s="77" t="s">
        <v>571</v>
      </c>
      <c r="F84" s="540" t="s">
        <v>572</v>
      </c>
      <c r="G84" s="540">
        <v>5</v>
      </c>
      <c r="H84" s="540">
        <v>8</v>
      </c>
      <c r="I84" s="540">
        <v>1</v>
      </c>
      <c r="J84" s="540">
        <v>90</v>
      </c>
      <c r="K84" s="540">
        <v>7.0000000000000007E-2</v>
      </c>
      <c r="L84" s="540">
        <v>0.09</v>
      </c>
      <c r="M84" s="540">
        <v>900</v>
      </c>
      <c r="N84" s="540">
        <v>0</v>
      </c>
      <c r="O84" s="540">
        <v>1</v>
      </c>
      <c r="P84" s="540">
        <v>0</v>
      </c>
      <c r="Q84" s="540">
        <v>220</v>
      </c>
      <c r="R84" s="540">
        <v>100</v>
      </c>
      <c r="S84" s="540">
        <v>10</v>
      </c>
      <c r="T84" s="540">
        <v>15</v>
      </c>
      <c r="U84" s="540">
        <v>0</v>
      </c>
      <c r="V84" s="540">
        <v>3</v>
      </c>
      <c r="W84" s="776">
        <f>IF(Kulturen[[#This Row],[Berechnungsschema]]=13,3,IF(Kulturen[[#This Row],[Berechnungsschema]]=6,2,1))</f>
        <v>1</v>
      </c>
      <c r="X84" s="776">
        <f>IF(Kulturen[[#This Row],[fruchtartengruppe]]=13,Kulturen[[#This Row],[NBedarfswert]],MAX(0,Kulturen[[#This Row],[NBedarfswert]]-Kulturen[[#This Row],[Ertrag]]*Kulturen[[#This Row],[Nfix]]))</f>
        <v>220</v>
      </c>
      <c r="Y84" s="776">
        <v>825</v>
      </c>
      <c r="Z84" s="776">
        <v>826</v>
      </c>
      <c r="AA84" s="776">
        <v>826</v>
      </c>
      <c r="AB84" s="776">
        <v>826</v>
      </c>
      <c r="AC84" s="776">
        <v>826</v>
      </c>
      <c r="AD84" s="776">
        <v>826</v>
      </c>
      <c r="AE84" s="776">
        <v>869</v>
      </c>
      <c r="AF84" s="776">
        <v>826</v>
      </c>
      <c r="AG84" s="776">
        <v>849</v>
      </c>
      <c r="AH84" s="776">
        <v>857</v>
      </c>
      <c r="AI84" s="776">
        <v>806</v>
      </c>
      <c r="AJ84" s="776">
        <v>796</v>
      </c>
      <c r="AK84" s="776">
        <v>826</v>
      </c>
      <c r="AL84" s="776">
        <v>903</v>
      </c>
      <c r="AM84" s="776">
        <v>826</v>
      </c>
      <c r="AN84" s="776">
        <v>824</v>
      </c>
      <c r="AO84" s="776">
        <v>826</v>
      </c>
      <c r="AP84" s="776">
        <v>845</v>
      </c>
      <c r="AQ84" s="776">
        <v>814</v>
      </c>
      <c r="AR84" s="776">
        <v>826</v>
      </c>
      <c r="AS84" s="776">
        <v>826</v>
      </c>
      <c r="AT84" s="776">
        <v>826</v>
      </c>
      <c r="AU84" s="776">
        <v>826</v>
      </c>
      <c r="AV84" s="776">
        <v>826</v>
      </c>
      <c r="AW84" s="776">
        <v>826</v>
      </c>
      <c r="AX84" s="776">
        <v>847</v>
      </c>
      <c r="AY84" s="776">
        <v>908</v>
      </c>
      <c r="AZ84" s="776">
        <v>826</v>
      </c>
      <c r="BA84" s="776">
        <v>906</v>
      </c>
      <c r="BB84" s="776">
        <v>881</v>
      </c>
      <c r="BC84" s="776">
        <v>830</v>
      </c>
      <c r="BD84" s="776">
        <v>826</v>
      </c>
      <c r="BE84" s="776">
        <v>748</v>
      </c>
      <c r="BF84" s="776">
        <v>930</v>
      </c>
      <c r="BG84" s="776">
        <v>861</v>
      </c>
      <c r="BH84" s="776">
        <v>826</v>
      </c>
      <c r="BI84" s="776">
        <v>861</v>
      </c>
      <c r="BJ84" s="776">
        <v>826</v>
      </c>
      <c r="BK84" s="776">
        <v>826</v>
      </c>
      <c r="BL84" s="776">
        <v>826</v>
      </c>
      <c r="BM84" s="776">
        <v>826</v>
      </c>
      <c r="BN84" s="776">
        <v>826</v>
      </c>
      <c r="BO84" s="776">
        <v>870</v>
      </c>
      <c r="BP84" s="776">
        <v>826</v>
      </c>
      <c r="BQ84" s="776">
        <v>826</v>
      </c>
      <c r="BR84" s="776">
        <v>805</v>
      </c>
      <c r="BS84" s="776">
        <v>826</v>
      </c>
      <c r="BT84" s="776">
        <v>826</v>
      </c>
      <c r="BU84" s="776">
        <v>826</v>
      </c>
      <c r="BV84" s="776">
        <v>663</v>
      </c>
      <c r="BW84" s="776">
        <v>826</v>
      </c>
      <c r="BX84" s="776">
        <v>794</v>
      </c>
      <c r="BY84" s="776">
        <v>826</v>
      </c>
      <c r="BZ84" s="776">
        <v>826</v>
      </c>
      <c r="CA84" s="776">
        <v>826</v>
      </c>
      <c r="CB84" s="776">
        <v>826</v>
      </c>
      <c r="CC84" s="776">
        <v>788</v>
      </c>
      <c r="CD84" s="776">
        <v>826</v>
      </c>
      <c r="CE84" s="776">
        <v>789</v>
      </c>
      <c r="CF84" s="776">
        <v>826</v>
      </c>
      <c r="CG84" s="776">
        <v>826</v>
      </c>
      <c r="CH84" s="776">
        <v>826</v>
      </c>
      <c r="CI84" s="776">
        <v>826</v>
      </c>
      <c r="CJ84" s="776">
        <v>676</v>
      </c>
      <c r="CK84" s="776">
        <v>763</v>
      </c>
      <c r="CL84" s="776">
        <v>622</v>
      </c>
      <c r="CM84" s="776">
        <v>826</v>
      </c>
      <c r="CN84" s="776">
        <v>752</v>
      </c>
      <c r="CO84" s="776">
        <v>777</v>
      </c>
      <c r="CP84" s="776">
        <v>761</v>
      </c>
      <c r="CQ84" s="776">
        <v>826</v>
      </c>
      <c r="CR84" s="776">
        <v>826</v>
      </c>
      <c r="CS84" s="776">
        <v>838</v>
      </c>
      <c r="CT84" s="776">
        <v>826</v>
      </c>
      <c r="CU84" s="776">
        <v>654</v>
      </c>
      <c r="CV84" s="776">
        <v>674</v>
      </c>
      <c r="CW84" s="776">
        <v>695</v>
      </c>
      <c r="CX84" s="776">
        <v>705</v>
      </c>
      <c r="CY84" s="776">
        <v>780</v>
      </c>
      <c r="CZ84" s="776">
        <v>761</v>
      </c>
      <c r="DA84" s="776">
        <v>658</v>
      </c>
      <c r="DB84" s="776">
        <v>783</v>
      </c>
      <c r="DC84" s="776">
        <v>826</v>
      </c>
      <c r="DD84" s="776">
        <v>826</v>
      </c>
      <c r="DE84" s="776">
        <v>826</v>
      </c>
      <c r="DF84" s="776">
        <v>826</v>
      </c>
      <c r="DG84" s="776">
        <v>944</v>
      </c>
      <c r="DH84" s="776">
        <v>897</v>
      </c>
      <c r="DI84" s="776">
        <v>910</v>
      </c>
      <c r="DJ84" s="776">
        <v>913</v>
      </c>
      <c r="DK84" s="776">
        <v>787</v>
      </c>
      <c r="DL84" s="776">
        <v>826</v>
      </c>
      <c r="DM84" s="776">
        <v>826</v>
      </c>
      <c r="DN84" s="776">
        <v>826</v>
      </c>
      <c r="DO84" s="776">
        <v>896</v>
      </c>
      <c r="DP84" s="776">
        <v>826</v>
      </c>
    </row>
    <row r="85" spans="1:123" x14ac:dyDescent="0.2">
      <c r="A85" s="637" t="s">
        <v>2174</v>
      </c>
      <c r="B85" s="772" t="str" cm="1">
        <f t="array" ref="B85">IFERROR(INDEX(Kulturen[HF],_xlfn.AGGREGATE(15,6,(ROW(Kulturen[Auswahl])-7)/(--(SEARCH("x",Kulturen[Auswahl])&gt;0)),ROW()-7),1),"")</f>
        <v>Luzerne (Reinkultur)</v>
      </c>
      <c r="C85" s="772" t="str">
        <f>IF(Kulturen[[#This Row],[HF]]=$D$373,IF($C$6=0,0,"x"),IF($C$6=0,"x",Vorauswahl!C84))</f>
        <v>x</v>
      </c>
      <c r="D85" s="77" t="s">
        <v>1903</v>
      </c>
      <c r="E85" s="77" t="s">
        <v>1903</v>
      </c>
      <c r="F85" s="540" t="s">
        <v>1859</v>
      </c>
      <c r="G85" s="540">
        <v>6</v>
      </c>
      <c r="H85" s="540">
        <v>3</v>
      </c>
      <c r="I85" s="540">
        <v>0</v>
      </c>
      <c r="J85" s="540">
        <v>6</v>
      </c>
      <c r="K85" s="540">
        <v>0</v>
      </c>
      <c r="L85" s="540">
        <v>0</v>
      </c>
      <c r="M85" s="540">
        <v>0</v>
      </c>
      <c r="N85" s="540">
        <v>0</v>
      </c>
      <c r="O85" s="540">
        <v>2</v>
      </c>
      <c r="P85" s="540">
        <v>0</v>
      </c>
      <c r="Q85" s="540">
        <v>0</v>
      </c>
      <c r="R85" s="540">
        <v>1</v>
      </c>
      <c r="S85" s="540">
        <v>0</v>
      </c>
      <c r="T85" s="540">
        <v>0</v>
      </c>
      <c r="U85" s="540">
        <v>0</v>
      </c>
      <c r="V85" s="540">
        <v>0</v>
      </c>
      <c r="W85" s="776">
        <f>IF(Kulturen[[#This Row],[Berechnungsschema]]=13,3,IF(Kulturen[[#This Row],[Berechnungsschema]]=6,2,1))</f>
        <v>2</v>
      </c>
      <c r="X85" s="776">
        <f>IF(Kulturen[[#This Row],[fruchtartengruppe]]=13,Kulturen[[#This Row],[NBedarfswert]],MAX(0,Kulturen[[#This Row],[NBedarfswert]]-Kulturen[[#This Row],[Ertrag]]*Kulturen[[#This Row],[Nfix]]))</f>
        <v>0</v>
      </c>
      <c r="Y85" s="776" t="s">
        <v>2127</v>
      </c>
      <c r="Z85" s="776" t="s">
        <v>2127</v>
      </c>
      <c r="AA85" s="776" t="s">
        <v>2127</v>
      </c>
      <c r="AB85" s="776" t="s">
        <v>2127</v>
      </c>
      <c r="AC85" s="776" t="s">
        <v>2127</v>
      </c>
      <c r="AD85" s="776" t="s">
        <v>2127</v>
      </c>
      <c r="AE85" s="776" t="s">
        <v>2127</v>
      </c>
      <c r="AF85" s="776" t="s">
        <v>2127</v>
      </c>
      <c r="AG85" s="776" t="s">
        <v>2127</v>
      </c>
      <c r="AH85" s="776" t="s">
        <v>2127</v>
      </c>
      <c r="AI85" s="776" t="s">
        <v>2127</v>
      </c>
      <c r="AJ85" s="776" t="s">
        <v>2127</v>
      </c>
      <c r="AK85" s="776" t="s">
        <v>2127</v>
      </c>
      <c r="AL85" s="776" t="s">
        <v>2127</v>
      </c>
      <c r="AM85" s="776" t="s">
        <v>2127</v>
      </c>
      <c r="AN85" s="776" t="s">
        <v>2127</v>
      </c>
      <c r="AO85" s="776" t="s">
        <v>2127</v>
      </c>
      <c r="AP85" s="776" t="s">
        <v>2127</v>
      </c>
      <c r="AQ85" s="776" t="s">
        <v>2127</v>
      </c>
      <c r="AR85" s="776" t="s">
        <v>2127</v>
      </c>
      <c r="AS85" s="776" t="s">
        <v>2127</v>
      </c>
      <c r="AT85" s="776" t="s">
        <v>2127</v>
      </c>
      <c r="AU85" s="776" t="s">
        <v>2127</v>
      </c>
      <c r="AV85" s="776" t="s">
        <v>2127</v>
      </c>
      <c r="AW85" s="776" t="s">
        <v>2127</v>
      </c>
      <c r="AX85" s="776" t="s">
        <v>2127</v>
      </c>
      <c r="AY85" s="776" t="s">
        <v>2127</v>
      </c>
      <c r="AZ85" s="776" t="s">
        <v>2127</v>
      </c>
      <c r="BA85" s="776" t="s">
        <v>2127</v>
      </c>
      <c r="BB85" s="776" t="s">
        <v>2127</v>
      </c>
      <c r="BC85" s="776" t="s">
        <v>2127</v>
      </c>
      <c r="BD85" s="776" t="s">
        <v>2127</v>
      </c>
      <c r="BE85" s="776" t="s">
        <v>2127</v>
      </c>
      <c r="BF85" s="776" t="s">
        <v>2127</v>
      </c>
      <c r="BG85" s="776" t="s">
        <v>2127</v>
      </c>
      <c r="BH85" s="776" t="s">
        <v>2127</v>
      </c>
      <c r="BI85" s="776" t="s">
        <v>2127</v>
      </c>
      <c r="BJ85" s="776" t="s">
        <v>2127</v>
      </c>
      <c r="BK85" s="776" t="s">
        <v>2127</v>
      </c>
      <c r="BL85" s="776" t="s">
        <v>2127</v>
      </c>
      <c r="BM85" s="776" t="s">
        <v>2127</v>
      </c>
      <c r="BN85" s="776" t="s">
        <v>2127</v>
      </c>
      <c r="BO85" s="776" t="s">
        <v>2127</v>
      </c>
      <c r="BP85" s="776" t="s">
        <v>2127</v>
      </c>
      <c r="BQ85" s="776" t="s">
        <v>2127</v>
      </c>
      <c r="BR85" s="776" t="s">
        <v>2127</v>
      </c>
      <c r="BS85" s="776" t="s">
        <v>2127</v>
      </c>
      <c r="BT85" s="776" t="s">
        <v>2127</v>
      </c>
      <c r="BU85" s="776" t="s">
        <v>2127</v>
      </c>
      <c r="BV85" s="776" t="s">
        <v>2127</v>
      </c>
      <c r="BW85" s="776" t="s">
        <v>2127</v>
      </c>
      <c r="BX85" s="776" t="s">
        <v>2127</v>
      </c>
      <c r="BY85" s="776" t="s">
        <v>2127</v>
      </c>
      <c r="BZ85" s="776" t="s">
        <v>2127</v>
      </c>
      <c r="CA85" s="776" t="s">
        <v>2127</v>
      </c>
      <c r="CB85" s="776" t="s">
        <v>2127</v>
      </c>
      <c r="CC85" s="776" t="s">
        <v>2127</v>
      </c>
      <c r="CD85" s="776" t="s">
        <v>2127</v>
      </c>
      <c r="CE85" s="776" t="s">
        <v>2127</v>
      </c>
      <c r="CF85" s="776" t="s">
        <v>2127</v>
      </c>
      <c r="CG85" s="776" t="s">
        <v>2127</v>
      </c>
      <c r="CH85" s="776" t="s">
        <v>2127</v>
      </c>
      <c r="CI85" s="776" t="s">
        <v>2127</v>
      </c>
      <c r="CJ85" s="776" t="s">
        <v>2127</v>
      </c>
      <c r="CK85" s="776" t="s">
        <v>2127</v>
      </c>
      <c r="CL85" s="776" t="s">
        <v>2127</v>
      </c>
      <c r="CM85" s="776" t="s">
        <v>2127</v>
      </c>
      <c r="CN85" s="776" t="s">
        <v>2127</v>
      </c>
      <c r="CO85" s="776" t="s">
        <v>2127</v>
      </c>
      <c r="CP85" s="776" t="s">
        <v>2127</v>
      </c>
      <c r="CQ85" s="776" t="s">
        <v>2127</v>
      </c>
      <c r="CR85" s="776" t="s">
        <v>2127</v>
      </c>
      <c r="CS85" s="776" t="s">
        <v>2127</v>
      </c>
      <c r="CT85" s="776" t="s">
        <v>2127</v>
      </c>
      <c r="CU85" s="776" t="s">
        <v>2127</v>
      </c>
      <c r="CV85" s="776" t="s">
        <v>2127</v>
      </c>
      <c r="CW85" s="776" t="s">
        <v>2127</v>
      </c>
      <c r="CX85" s="776" t="s">
        <v>2127</v>
      </c>
      <c r="CY85" s="776" t="s">
        <v>2127</v>
      </c>
      <c r="CZ85" s="776" t="s">
        <v>2127</v>
      </c>
      <c r="DA85" s="776" t="s">
        <v>2127</v>
      </c>
      <c r="DB85" s="776" t="s">
        <v>2127</v>
      </c>
      <c r="DC85" s="776" t="s">
        <v>2127</v>
      </c>
      <c r="DD85" s="776" t="s">
        <v>2127</v>
      </c>
      <c r="DE85" s="776" t="s">
        <v>2127</v>
      </c>
      <c r="DF85" s="776" t="s">
        <v>2127</v>
      </c>
      <c r="DG85" s="776" t="s">
        <v>2127</v>
      </c>
      <c r="DH85" s="776" t="s">
        <v>2127</v>
      </c>
      <c r="DI85" s="776" t="s">
        <v>2127</v>
      </c>
      <c r="DJ85" s="776" t="s">
        <v>2127</v>
      </c>
      <c r="DK85" s="776" t="s">
        <v>2127</v>
      </c>
      <c r="DL85" s="776" t="s">
        <v>2127</v>
      </c>
      <c r="DM85" s="776" t="s">
        <v>2127</v>
      </c>
      <c r="DN85" s="776" t="s">
        <v>2127</v>
      </c>
      <c r="DO85" s="776" t="s">
        <v>2127</v>
      </c>
      <c r="DP85" s="776" t="s">
        <v>2127</v>
      </c>
    </row>
    <row r="86" spans="1:123" x14ac:dyDescent="0.2">
      <c r="A86" s="637" t="s">
        <v>2175</v>
      </c>
      <c r="B86" s="772" t="str" cm="1">
        <f t="array" ref="B86">IFERROR(INDEX(Kulturen[HF],_xlfn.AGGREGATE(15,6,(ROW(Kulturen[Auswahl])-7)/(--(SEARCH("x",Kulturen[Auswahl])&gt;0)),ROW()-7),1),"")</f>
        <v>+++Futterpflanzen+++</v>
      </c>
      <c r="C86" s="772" t="str">
        <f>IF(Kulturen[[#This Row],[HF]]=$D$373,IF($C$6=0,0,"x"),IF($C$6=0,"x",Vorauswahl!C85))</f>
        <v>x</v>
      </c>
      <c r="D86" s="77" t="s">
        <v>37</v>
      </c>
      <c r="E86" s="77" t="s">
        <v>37</v>
      </c>
      <c r="F86" s="540" t="s">
        <v>611</v>
      </c>
      <c r="G86" s="540">
        <v>6</v>
      </c>
      <c r="H86" s="540">
        <v>3</v>
      </c>
      <c r="I86" s="540">
        <v>3</v>
      </c>
      <c r="J86" s="540">
        <v>6</v>
      </c>
      <c r="K86" s="540">
        <v>0.14000000000000001</v>
      </c>
      <c r="L86" s="540">
        <v>0.14000000000000001</v>
      </c>
      <c r="M86" s="540">
        <v>200</v>
      </c>
      <c r="N86" s="540">
        <v>0.47</v>
      </c>
      <c r="O86" s="540">
        <v>2</v>
      </c>
      <c r="P86" s="540">
        <v>0</v>
      </c>
      <c r="Q86" s="540">
        <v>0</v>
      </c>
      <c r="R86" s="540">
        <v>10</v>
      </c>
      <c r="S86" s="540">
        <v>0</v>
      </c>
      <c r="T86" s="540">
        <v>0</v>
      </c>
      <c r="U86" s="540">
        <v>20</v>
      </c>
      <c r="V86" s="540">
        <v>4</v>
      </c>
      <c r="W86" s="776">
        <f>IF(Kulturen[[#This Row],[Berechnungsschema]]=13,3,IF(Kulturen[[#This Row],[Berechnungsschema]]=6,2,1))</f>
        <v>2</v>
      </c>
      <c r="X86" s="776">
        <f>IF(Kulturen[[#This Row],[fruchtartengruppe]]=13,Kulturen[[#This Row],[NBedarfswert]],MAX(0,Kulturen[[#This Row],[NBedarfswert]]-Kulturen[[#This Row],[Ertrag]]*Kulturen[[#This Row],[Nfix]]))</f>
        <v>0</v>
      </c>
      <c r="Y86" s="776" t="s">
        <v>2127</v>
      </c>
      <c r="Z86" s="776" t="s">
        <v>2127</v>
      </c>
      <c r="AA86" s="776" t="s">
        <v>2127</v>
      </c>
      <c r="AB86" s="776" t="s">
        <v>2127</v>
      </c>
      <c r="AC86" s="776" t="s">
        <v>2127</v>
      </c>
      <c r="AD86" s="776" t="s">
        <v>2127</v>
      </c>
      <c r="AE86" s="776" t="s">
        <v>2127</v>
      </c>
      <c r="AF86" s="776" t="s">
        <v>2127</v>
      </c>
      <c r="AG86" s="776" t="s">
        <v>2127</v>
      </c>
      <c r="AH86" s="776" t="s">
        <v>2127</v>
      </c>
      <c r="AI86" s="776" t="s">
        <v>2127</v>
      </c>
      <c r="AJ86" s="776" t="s">
        <v>2127</v>
      </c>
      <c r="AK86" s="776" t="s">
        <v>2127</v>
      </c>
      <c r="AL86" s="776" t="s">
        <v>2127</v>
      </c>
      <c r="AM86" s="776" t="s">
        <v>2127</v>
      </c>
      <c r="AN86" s="776" t="s">
        <v>2127</v>
      </c>
      <c r="AO86" s="776" t="s">
        <v>2127</v>
      </c>
      <c r="AP86" s="776" t="s">
        <v>2127</v>
      </c>
      <c r="AQ86" s="776" t="s">
        <v>2127</v>
      </c>
      <c r="AR86" s="776" t="s">
        <v>2127</v>
      </c>
      <c r="AS86" s="776" t="s">
        <v>2127</v>
      </c>
      <c r="AT86" s="776" t="s">
        <v>2127</v>
      </c>
      <c r="AU86" s="776" t="s">
        <v>2127</v>
      </c>
      <c r="AV86" s="776" t="s">
        <v>2127</v>
      </c>
      <c r="AW86" s="776" t="s">
        <v>2127</v>
      </c>
      <c r="AX86" s="776" t="s">
        <v>2127</v>
      </c>
      <c r="AY86" s="776" t="s">
        <v>2127</v>
      </c>
      <c r="AZ86" s="776" t="s">
        <v>2127</v>
      </c>
      <c r="BA86" s="776" t="s">
        <v>2127</v>
      </c>
      <c r="BB86" s="776" t="s">
        <v>2127</v>
      </c>
      <c r="BC86" s="776" t="s">
        <v>2127</v>
      </c>
      <c r="BD86" s="776" t="s">
        <v>2127</v>
      </c>
      <c r="BE86" s="776" t="s">
        <v>2127</v>
      </c>
      <c r="BF86" s="776" t="s">
        <v>2127</v>
      </c>
      <c r="BG86" s="776" t="s">
        <v>2127</v>
      </c>
      <c r="BH86" s="776" t="s">
        <v>2127</v>
      </c>
      <c r="BI86" s="776" t="s">
        <v>2127</v>
      </c>
      <c r="BJ86" s="776" t="s">
        <v>2127</v>
      </c>
      <c r="BK86" s="776" t="s">
        <v>2127</v>
      </c>
      <c r="BL86" s="776" t="s">
        <v>2127</v>
      </c>
      <c r="BM86" s="776" t="s">
        <v>2127</v>
      </c>
      <c r="BN86" s="776" t="s">
        <v>2127</v>
      </c>
      <c r="BO86" s="776" t="s">
        <v>2127</v>
      </c>
      <c r="BP86" s="776" t="s">
        <v>2127</v>
      </c>
      <c r="BQ86" s="776" t="s">
        <v>2127</v>
      </c>
      <c r="BR86" s="776" t="s">
        <v>2127</v>
      </c>
      <c r="BS86" s="776" t="s">
        <v>2127</v>
      </c>
      <c r="BT86" s="776" t="s">
        <v>2127</v>
      </c>
      <c r="BU86" s="776" t="s">
        <v>2127</v>
      </c>
      <c r="BV86" s="776" t="s">
        <v>2127</v>
      </c>
      <c r="BW86" s="776" t="s">
        <v>2127</v>
      </c>
      <c r="BX86" s="776" t="s">
        <v>2127</v>
      </c>
      <c r="BY86" s="776" t="s">
        <v>2127</v>
      </c>
      <c r="BZ86" s="776" t="s">
        <v>2127</v>
      </c>
      <c r="CA86" s="776" t="s">
        <v>2127</v>
      </c>
      <c r="CB86" s="776" t="s">
        <v>2127</v>
      </c>
      <c r="CC86" s="776" t="s">
        <v>2127</v>
      </c>
      <c r="CD86" s="776" t="s">
        <v>2127</v>
      </c>
      <c r="CE86" s="776" t="s">
        <v>2127</v>
      </c>
      <c r="CF86" s="776" t="s">
        <v>2127</v>
      </c>
      <c r="CG86" s="776" t="s">
        <v>2127</v>
      </c>
      <c r="CH86" s="776" t="s">
        <v>2127</v>
      </c>
      <c r="CI86" s="776" t="s">
        <v>2127</v>
      </c>
      <c r="CJ86" s="776" t="s">
        <v>2127</v>
      </c>
      <c r="CK86" s="776" t="s">
        <v>2127</v>
      </c>
      <c r="CL86" s="776" t="s">
        <v>2127</v>
      </c>
      <c r="CM86" s="776" t="s">
        <v>2127</v>
      </c>
      <c r="CN86" s="776" t="s">
        <v>2127</v>
      </c>
      <c r="CO86" s="776" t="s">
        <v>2127</v>
      </c>
      <c r="CP86" s="776" t="s">
        <v>2127</v>
      </c>
      <c r="CQ86" s="776" t="s">
        <v>2127</v>
      </c>
      <c r="CR86" s="776" t="s">
        <v>2127</v>
      </c>
      <c r="CS86" s="776" t="s">
        <v>2127</v>
      </c>
      <c r="CT86" s="776" t="s">
        <v>2127</v>
      </c>
      <c r="CU86" s="776" t="s">
        <v>2127</v>
      </c>
      <c r="CV86" s="776" t="s">
        <v>2127</v>
      </c>
      <c r="CW86" s="776" t="s">
        <v>2127</v>
      </c>
      <c r="CX86" s="776" t="s">
        <v>2127</v>
      </c>
      <c r="CY86" s="776" t="s">
        <v>2127</v>
      </c>
      <c r="CZ86" s="776" t="s">
        <v>2127</v>
      </c>
      <c r="DA86" s="776" t="s">
        <v>2127</v>
      </c>
      <c r="DB86" s="776" t="s">
        <v>2127</v>
      </c>
      <c r="DC86" s="776" t="s">
        <v>2127</v>
      </c>
      <c r="DD86" s="776" t="s">
        <v>2127</v>
      </c>
      <c r="DE86" s="776" t="s">
        <v>2127</v>
      </c>
      <c r="DF86" s="776" t="s">
        <v>2127</v>
      </c>
      <c r="DG86" s="776" t="s">
        <v>2127</v>
      </c>
      <c r="DH86" s="776" t="s">
        <v>2127</v>
      </c>
      <c r="DI86" s="776" t="s">
        <v>2127</v>
      </c>
      <c r="DJ86" s="776" t="s">
        <v>2127</v>
      </c>
      <c r="DK86" s="776" t="s">
        <v>2127</v>
      </c>
      <c r="DL86" s="776" t="s">
        <v>2127</v>
      </c>
      <c r="DM86" s="776" t="s">
        <v>2127</v>
      </c>
      <c r="DN86" s="776" t="s">
        <v>2127</v>
      </c>
      <c r="DO86" s="776" t="s">
        <v>2127</v>
      </c>
      <c r="DP86" s="776" t="s">
        <v>2127</v>
      </c>
    </row>
    <row r="87" spans="1:123" x14ac:dyDescent="0.2">
      <c r="A87" s="637" t="s">
        <v>2177</v>
      </c>
      <c r="B87" s="772" t="str" cm="1">
        <f t="array" ref="B87">IFERROR(INDEX(Kulturen[HF],_xlfn.AGGREGATE(15,6,(ROW(Kulturen[Auswahl])-7)/(--(SEARCH("x",Kulturen[Auswahl])&gt;0)),ROW()-7),1),"")</f>
        <v>Silomais (32 % TM)</v>
      </c>
      <c r="C87" s="772" t="str">
        <f>IF(Kulturen[[#This Row],[HF]]=$D$373,IF($C$6=0,0,"x"),IF($C$6=0,"x",Vorauswahl!C86))</f>
        <v>x</v>
      </c>
      <c r="D87" s="77" t="s">
        <v>1904</v>
      </c>
      <c r="E87" s="77" t="s">
        <v>1904</v>
      </c>
      <c r="F87" s="540" t="s">
        <v>612</v>
      </c>
      <c r="G87" s="540">
        <v>6</v>
      </c>
      <c r="H87" s="540">
        <v>3</v>
      </c>
      <c r="I87" s="540">
        <v>3</v>
      </c>
      <c r="J87" s="540">
        <v>6</v>
      </c>
      <c r="K87" s="540">
        <v>0.16</v>
      </c>
      <c r="L87" s="540">
        <v>0.16</v>
      </c>
      <c r="M87" s="540">
        <v>600</v>
      </c>
      <c r="N87" s="540">
        <v>0</v>
      </c>
      <c r="O87" s="540">
        <v>2</v>
      </c>
      <c r="P87" s="540">
        <v>0</v>
      </c>
      <c r="Q87" s="540">
        <v>318</v>
      </c>
      <c r="R87" s="540">
        <v>10</v>
      </c>
      <c r="S87" s="540">
        <v>5.3</v>
      </c>
      <c r="T87" s="540">
        <v>5.3</v>
      </c>
      <c r="U87" s="540">
        <v>10</v>
      </c>
      <c r="V87" s="540">
        <v>4</v>
      </c>
      <c r="W87" s="776">
        <f>IF(Kulturen[[#This Row],[Berechnungsschema]]=13,3,IF(Kulturen[[#This Row],[Berechnungsschema]]=6,2,1))</f>
        <v>2</v>
      </c>
      <c r="X87" s="776">
        <f>IF(Kulturen[[#This Row],[fruchtartengruppe]]=13,Kulturen[[#This Row],[NBedarfswert]],MAX(0,Kulturen[[#This Row],[NBedarfswert]]-Kulturen[[#This Row],[Ertrag]]*Kulturen[[#This Row],[Nfix]]))</f>
        <v>318</v>
      </c>
      <c r="Y87" s="1410">
        <v>453</v>
      </c>
      <c r="Z87" s="1410">
        <v>520</v>
      </c>
      <c r="AA87" s="1410">
        <v>568</v>
      </c>
      <c r="AB87" s="1410">
        <v>547</v>
      </c>
      <c r="AC87" s="1410">
        <v>587</v>
      </c>
      <c r="AD87" s="1410">
        <v>580</v>
      </c>
      <c r="AE87" s="1410">
        <v>528</v>
      </c>
      <c r="AF87" s="1410">
        <v>539</v>
      </c>
      <c r="AG87" s="1410">
        <v>475</v>
      </c>
      <c r="AH87" s="1410">
        <v>541</v>
      </c>
      <c r="AI87" s="1410">
        <v>525</v>
      </c>
      <c r="AJ87" s="1410">
        <v>538</v>
      </c>
      <c r="AK87" s="1410">
        <v>588</v>
      </c>
      <c r="AL87" s="1410">
        <v>564</v>
      </c>
      <c r="AM87" s="1410">
        <v>589</v>
      </c>
      <c r="AN87" s="1410">
        <v>542</v>
      </c>
      <c r="AO87" s="1410">
        <v>531</v>
      </c>
      <c r="AP87" s="1410">
        <v>463</v>
      </c>
      <c r="AQ87" s="1410">
        <v>505</v>
      </c>
      <c r="AR87" s="1410">
        <v>553</v>
      </c>
      <c r="AS87" s="1410">
        <v>546</v>
      </c>
      <c r="AT87" s="1410">
        <v>585</v>
      </c>
      <c r="AU87" s="1410">
        <v>563</v>
      </c>
      <c r="AV87" s="1410">
        <v>500</v>
      </c>
      <c r="AW87" s="1410">
        <v>524</v>
      </c>
      <c r="AX87" s="1410">
        <v>504</v>
      </c>
      <c r="AY87" s="1410">
        <v>542</v>
      </c>
      <c r="AZ87" s="1410">
        <v>518</v>
      </c>
      <c r="BA87" s="1410">
        <v>486</v>
      </c>
      <c r="BB87" s="1410">
        <v>527</v>
      </c>
      <c r="BC87" s="1410">
        <v>528</v>
      </c>
      <c r="BD87" s="1410">
        <v>520</v>
      </c>
      <c r="BE87" s="1410">
        <v>520</v>
      </c>
      <c r="BF87" s="1410">
        <v>517</v>
      </c>
      <c r="BG87" s="1410">
        <v>513</v>
      </c>
      <c r="BH87" s="1410">
        <v>415</v>
      </c>
      <c r="BI87" s="1410">
        <v>474</v>
      </c>
      <c r="BJ87" s="1410">
        <v>415</v>
      </c>
      <c r="BK87" s="1410">
        <v>446</v>
      </c>
      <c r="BL87" s="1410">
        <v>468</v>
      </c>
      <c r="BM87" s="1410">
        <v>487</v>
      </c>
      <c r="BN87" s="1410">
        <v>433</v>
      </c>
      <c r="BO87" s="1410">
        <v>474</v>
      </c>
      <c r="BP87" s="1410">
        <v>416</v>
      </c>
      <c r="BQ87" s="1410">
        <v>439</v>
      </c>
      <c r="BR87" s="1410">
        <v>422</v>
      </c>
      <c r="BS87" s="1410">
        <v>440</v>
      </c>
      <c r="BT87" s="1410">
        <v>451</v>
      </c>
      <c r="BU87" s="1410">
        <v>416</v>
      </c>
      <c r="BV87" s="1410">
        <v>447</v>
      </c>
      <c r="BW87" s="1410">
        <v>476</v>
      </c>
      <c r="BX87" s="1410">
        <v>440</v>
      </c>
      <c r="BY87" s="1410">
        <v>496</v>
      </c>
      <c r="BZ87" s="1410">
        <v>456</v>
      </c>
      <c r="CA87" s="1410">
        <v>465</v>
      </c>
      <c r="CB87" s="1410">
        <v>464</v>
      </c>
      <c r="CC87" s="1410">
        <v>451</v>
      </c>
      <c r="CD87" s="1410">
        <v>443</v>
      </c>
      <c r="CE87" s="1410">
        <v>411</v>
      </c>
      <c r="CF87" s="1410">
        <v>408</v>
      </c>
      <c r="CG87" s="1410">
        <v>386</v>
      </c>
      <c r="CH87" s="1410">
        <v>395</v>
      </c>
      <c r="CI87" s="1410">
        <v>392</v>
      </c>
      <c r="CJ87" s="1410">
        <v>417</v>
      </c>
      <c r="CK87" s="1410">
        <v>392</v>
      </c>
      <c r="CL87" s="1410">
        <v>386</v>
      </c>
      <c r="CM87" s="1410">
        <v>505</v>
      </c>
      <c r="CN87" s="1410">
        <v>416</v>
      </c>
      <c r="CO87" s="1410">
        <v>429</v>
      </c>
      <c r="CP87" s="1410">
        <v>451</v>
      </c>
      <c r="CQ87" s="1410">
        <v>449</v>
      </c>
      <c r="CR87" s="1410">
        <v>433</v>
      </c>
      <c r="CS87" s="1410">
        <v>446</v>
      </c>
      <c r="CT87" s="1410">
        <v>479</v>
      </c>
      <c r="CU87" s="1410">
        <v>436</v>
      </c>
      <c r="CV87" s="1410">
        <v>407</v>
      </c>
      <c r="CW87" s="1410">
        <v>421</v>
      </c>
      <c r="CX87" s="1410">
        <v>407</v>
      </c>
      <c r="CY87" s="1410">
        <v>494</v>
      </c>
      <c r="CZ87" s="1410">
        <v>460</v>
      </c>
      <c r="DA87" s="1410">
        <v>406</v>
      </c>
      <c r="DB87" s="1410">
        <v>465</v>
      </c>
      <c r="DC87" s="1410">
        <v>549</v>
      </c>
      <c r="DD87" s="1410">
        <v>566</v>
      </c>
      <c r="DE87" s="1410">
        <v>607</v>
      </c>
      <c r="DF87" s="1410">
        <v>578</v>
      </c>
      <c r="DG87" s="1410">
        <v>518</v>
      </c>
      <c r="DH87" s="1410">
        <v>526</v>
      </c>
      <c r="DI87" s="1410">
        <v>495</v>
      </c>
      <c r="DJ87" s="1410">
        <v>522</v>
      </c>
      <c r="DK87" s="1410">
        <v>521</v>
      </c>
      <c r="DL87" s="1410">
        <v>628</v>
      </c>
      <c r="DM87" s="1410">
        <v>571</v>
      </c>
      <c r="DN87" s="1410">
        <v>558</v>
      </c>
      <c r="DO87" s="1410">
        <v>473</v>
      </c>
      <c r="DP87" s="1410">
        <v>585</v>
      </c>
      <c r="DS87" s="1384" t="s">
        <v>1092</v>
      </c>
    </row>
    <row r="88" spans="1:123" x14ac:dyDescent="0.2">
      <c r="A88" s="637" t="s">
        <v>2178</v>
      </c>
      <c r="B88" s="772" t="str" cm="1">
        <f t="array" ref="B88">IFERROR(INDEX(Kulturen[HF],_xlfn.AGGREGATE(15,6,(ROW(Kulturen[Auswahl])-7)/(--(SEARCH("x",Kulturen[Auswahl])&gt;0)),ROW()-7),1),"")</f>
        <v>Corn-Cop-Mix (CCM)</v>
      </c>
      <c r="C88" s="772" t="str">
        <f>IF(Kulturen[[#This Row],[HF]]=$D$373,IF($C$6=0,0,"x"),IF($C$6=0,"x",Vorauswahl!C87))</f>
        <v>x</v>
      </c>
      <c r="D88" s="77" t="s">
        <v>2388</v>
      </c>
      <c r="E88" s="77" t="s">
        <v>2388</v>
      </c>
      <c r="F88" s="540" t="s">
        <v>613</v>
      </c>
      <c r="G88" s="540">
        <v>6</v>
      </c>
      <c r="H88" s="540">
        <v>3</v>
      </c>
      <c r="I88" s="540">
        <v>3</v>
      </c>
      <c r="J88" s="540">
        <v>6</v>
      </c>
      <c r="K88" s="540">
        <v>0.15</v>
      </c>
      <c r="L88" s="540">
        <v>0.15</v>
      </c>
      <c r="M88" s="540">
        <v>550</v>
      </c>
      <c r="N88" s="540">
        <v>0.2</v>
      </c>
      <c r="O88" s="540">
        <v>2</v>
      </c>
      <c r="P88" s="540">
        <v>0</v>
      </c>
      <c r="Q88" s="540">
        <v>308</v>
      </c>
      <c r="R88" s="540">
        <v>10</v>
      </c>
      <c r="S88" s="540">
        <v>5.6</v>
      </c>
      <c r="T88" s="540">
        <v>5.6</v>
      </c>
      <c r="U88" s="540">
        <v>20</v>
      </c>
      <c r="V88" s="540">
        <v>5</v>
      </c>
      <c r="W88" s="776">
        <f>IF(Kulturen[[#This Row],[Berechnungsschema]]=13,3,IF(Kulturen[[#This Row],[Berechnungsschema]]=6,2,1))</f>
        <v>2</v>
      </c>
      <c r="X88" s="776">
        <f>IF(Kulturen[[#This Row],[fruchtartengruppe]]=13,Kulturen[[#This Row],[NBedarfswert]],MAX(0,Kulturen[[#This Row],[NBedarfswert]]-Kulturen[[#This Row],[Ertrag]]*Kulturen[[#This Row],[Nfix]]))</f>
        <v>198</v>
      </c>
      <c r="Y88" s="1410">
        <v>513</v>
      </c>
      <c r="Z88" s="1410">
        <v>560</v>
      </c>
      <c r="AA88" s="1410">
        <v>585</v>
      </c>
      <c r="AB88" s="1410">
        <v>594</v>
      </c>
      <c r="AC88" s="1410">
        <v>592</v>
      </c>
      <c r="AD88" s="1410">
        <v>579</v>
      </c>
      <c r="AE88" s="1410">
        <v>577</v>
      </c>
      <c r="AF88" s="1410">
        <v>575</v>
      </c>
      <c r="AG88" s="1410">
        <v>530</v>
      </c>
      <c r="AH88" s="1410">
        <v>589</v>
      </c>
      <c r="AI88" s="1410">
        <v>576</v>
      </c>
      <c r="AJ88" s="1410">
        <v>583</v>
      </c>
      <c r="AK88" s="1410">
        <v>580</v>
      </c>
      <c r="AL88" s="1410">
        <v>604</v>
      </c>
      <c r="AM88" s="1410">
        <v>588</v>
      </c>
      <c r="AN88" s="1410">
        <v>590</v>
      </c>
      <c r="AO88" s="1410">
        <v>564</v>
      </c>
      <c r="AP88" s="1410">
        <v>517</v>
      </c>
      <c r="AQ88" s="1410">
        <v>556</v>
      </c>
      <c r="AR88" s="1410">
        <v>577</v>
      </c>
      <c r="AS88" s="1410">
        <v>579</v>
      </c>
      <c r="AT88" s="1410">
        <v>608</v>
      </c>
      <c r="AU88" s="1410">
        <v>577</v>
      </c>
      <c r="AV88" s="1410">
        <v>548</v>
      </c>
      <c r="AW88" s="1410">
        <v>574</v>
      </c>
      <c r="AX88" s="1410">
        <v>564</v>
      </c>
      <c r="AY88" s="1410">
        <v>589</v>
      </c>
      <c r="AZ88" s="1410">
        <v>548</v>
      </c>
      <c r="BA88" s="1410">
        <v>538</v>
      </c>
      <c r="BB88" s="1410">
        <v>577</v>
      </c>
      <c r="BC88" s="1410">
        <v>575</v>
      </c>
      <c r="BD88" s="1410">
        <v>550</v>
      </c>
      <c r="BE88" s="1410">
        <v>569</v>
      </c>
      <c r="BF88" s="1410">
        <v>571</v>
      </c>
      <c r="BG88" s="1410">
        <v>564</v>
      </c>
      <c r="BH88" s="1410">
        <v>473</v>
      </c>
      <c r="BI88" s="1410">
        <v>533</v>
      </c>
      <c r="BJ88" s="1410">
        <v>469</v>
      </c>
      <c r="BK88" s="1410">
        <v>498</v>
      </c>
      <c r="BL88" s="1410">
        <v>518</v>
      </c>
      <c r="BM88" s="1410">
        <v>537</v>
      </c>
      <c r="BN88" s="1410">
        <v>483</v>
      </c>
      <c r="BO88" s="1410">
        <v>529</v>
      </c>
      <c r="BP88" s="1410">
        <v>470</v>
      </c>
      <c r="BQ88" s="1410">
        <v>482</v>
      </c>
      <c r="BR88" s="1410">
        <v>481</v>
      </c>
      <c r="BS88" s="1410">
        <v>490</v>
      </c>
      <c r="BT88" s="1410">
        <v>502</v>
      </c>
      <c r="BU88" s="1410">
        <v>472</v>
      </c>
      <c r="BV88" s="1410">
        <v>501</v>
      </c>
      <c r="BW88" s="1410">
        <v>523</v>
      </c>
      <c r="BX88" s="1410">
        <v>495</v>
      </c>
      <c r="BY88" s="1410">
        <v>546</v>
      </c>
      <c r="BZ88" s="1410">
        <v>493</v>
      </c>
      <c r="CA88" s="1410">
        <v>509</v>
      </c>
      <c r="CB88" s="1410">
        <v>511</v>
      </c>
      <c r="CC88" s="1410">
        <v>506</v>
      </c>
      <c r="CD88" s="1410">
        <v>477</v>
      </c>
      <c r="CE88" s="1410">
        <v>469</v>
      </c>
      <c r="CF88" s="1410">
        <v>469</v>
      </c>
      <c r="CG88" s="1410">
        <v>454</v>
      </c>
      <c r="CH88" s="1410">
        <v>457</v>
      </c>
      <c r="CI88" s="1410">
        <v>455</v>
      </c>
      <c r="CJ88" s="1410">
        <v>475</v>
      </c>
      <c r="CK88" s="1410">
        <v>454</v>
      </c>
      <c r="CL88" s="1410">
        <v>453</v>
      </c>
      <c r="CM88" s="1410">
        <v>552</v>
      </c>
      <c r="CN88" s="1410">
        <v>479</v>
      </c>
      <c r="CO88" s="1410">
        <v>483</v>
      </c>
      <c r="CP88" s="1410">
        <v>505</v>
      </c>
      <c r="CQ88" s="1410">
        <v>504</v>
      </c>
      <c r="CR88" s="1410">
        <v>506</v>
      </c>
      <c r="CS88" s="1410">
        <v>514</v>
      </c>
      <c r="CT88" s="1410">
        <v>532</v>
      </c>
      <c r="CU88" s="1410">
        <v>495</v>
      </c>
      <c r="CV88" s="1410">
        <v>470</v>
      </c>
      <c r="CW88" s="1410">
        <v>479</v>
      </c>
      <c r="CX88" s="1410">
        <v>475</v>
      </c>
      <c r="CY88" s="1410">
        <v>546</v>
      </c>
      <c r="CZ88" s="1410">
        <v>517</v>
      </c>
      <c r="DA88" s="1410">
        <v>474</v>
      </c>
      <c r="DB88" s="1410">
        <v>530</v>
      </c>
      <c r="DC88" s="1410">
        <v>599</v>
      </c>
      <c r="DD88" s="1410">
        <v>585</v>
      </c>
      <c r="DE88" s="1410">
        <v>611</v>
      </c>
      <c r="DF88" s="1410">
        <v>614</v>
      </c>
      <c r="DG88" s="1410">
        <v>567</v>
      </c>
      <c r="DH88" s="1410">
        <v>574</v>
      </c>
      <c r="DI88" s="1410">
        <v>547</v>
      </c>
      <c r="DJ88" s="1410">
        <v>571</v>
      </c>
      <c r="DK88" s="1410">
        <v>570</v>
      </c>
      <c r="DL88" s="1410">
        <v>611</v>
      </c>
      <c r="DM88" s="1410">
        <v>600</v>
      </c>
      <c r="DN88" s="1410">
        <v>595</v>
      </c>
      <c r="DO88" s="1410">
        <v>529</v>
      </c>
      <c r="DP88" s="1410">
        <v>586</v>
      </c>
    </row>
    <row r="89" spans="1:123" x14ac:dyDescent="0.2">
      <c r="A89" s="637" t="s">
        <v>2179</v>
      </c>
      <c r="B89" s="772" t="str" cm="1">
        <f t="array" ref="B89">IFERROR(INDEX(Kulturen[HF],_xlfn.AGGREGATE(15,6,(ROW(Kulturen[Auswahl])-7)/(--(SEARCH("x",Kulturen[Auswahl])&gt;0)),ROW()-7),1),"")</f>
        <v>Lieschkolbensilage</v>
      </c>
      <c r="C89" s="772" t="str">
        <f>IF(Kulturen[[#This Row],[HF]]=$D$373,IF($C$6=0,0,"x"),IF($C$6=0,"x",Vorauswahl!C88))</f>
        <v>x</v>
      </c>
      <c r="D89" s="77" t="s">
        <v>2389</v>
      </c>
      <c r="E89" s="77" t="s">
        <v>2389</v>
      </c>
      <c r="F89" s="540" t="s">
        <v>614</v>
      </c>
      <c r="G89" s="540">
        <v>6</v>
      </c>
      <c r="H89" s="540">
        <v>3</v>
      </c>
      <c r="I89" s="540">
        <v>3</v>
      </c>
      <c r="J89" s="540">
        <v>6</v>
      </c>
      <c r="K89" s="540">
        <v>0.14000000000000001</v>
      </c>
      <c r="L89" s="540">
        <v>0.14000000000000001</v>
      </c>
      <c r="M89" s="540">
        <v>500</v>
      </c>
      <c r="N89" s="540">
        <v>0.33</v>
      </c>
      <c r="O89" s="540">
        <v>2</v>
      </c>
      <c r="P89" s="540">
        <v>0</v>
      </c>
      <c r="Q89" s="540">
        <v>290</v>
      </c>
      <c r="R89" s="540">
        <v>10</v>
      </c>
      <c r="S89" s="540">
        <v>5.8</v>
      </c>
      <c r="T89" s="540">
        <v>5.8</v>
      </c>
      <c r="U89" s="540">
        <v>20</v>
      </c>
      <c r="V89" s="540">
        <v>5</v>
      </c>
      <c r="W89" s="776">
        <f>IF(Kulturen[[#This Row],[Berechnungsschema]]=13,3,IF(Kulturen[[#This Row],[Berechnungsschema]]=6,2,1))</f>
        <v>2</v>
      </c>
      <c r="X89" s="776">
        <f>IF(Kulturen[[#This Row],[fruchtartengruppe]]=13,Kulturen[[#This Row],[NBedarfswert]],MAX(0,Kulturen[[#This Row],[NBedarfswert]]-Kulturen[[#This Row],[Ertrag]]*Kulturen[[#This Row],[Nfix]]))</f>
        <v>125</v>
      </c>
      <c r="Y89" s="1410">
        <v>513</v>
      </c>
      <c r="Z89" s="1410">
        <v>560</v>
      </c>
      <c r="AA89" s="1410">
        <v>585</v>
      </c>
      <c r="AB89" s="1410">
        <v>594</v>
      </c>
      <c r="AC89" s="1410">
        <v>592</v>
      </c>
      <c r="AD89" s="1410">
        <v>579</v>
      </c>
      <c r="AE89" s="1410">
        <v>577</v>
      </c>
      <c r="AF89" s="1410">
        <v>575</v>
      </c>
      <c r="AG89" s="1410">
        <v>530</v>
      </c>
      <c r="AH89" s="1410">
        <v>589</v>
      </c>
      <c r="AI89" s="1410">
        <v>576</v>
      </c>
      <c r="AJ89" s="1410">
        <v>583</v>
      </c>
      <c r="AK89" s="1410">
        <v>580</v>
      </c>
      <c r="AL89" s="1410">
        <v>604</v>
      </c>
      <c r="AM89" s="1410">
        <v>588</v>
      </c>
      <c r="AN89" s="1410">
        <v>590</v>
      </c>
      <c r="AO89" s="1410">
        <v>564</v>
      </c>
      <c r="AP89" s="1410">
        <v>517</v>
      </c>
      <c r="AQ89" s="1410">
        <v>556</v>
      </c>
      <c r="AR89" s="1410">
        <v>577</v>
      </c>
      <c r="AS89" s="1410">
        <v>579</v>
      </c>
      <c r="AT89" s="1410">
        <v>608</v>
      </c>
      <c r="AU89" s="1410">
        <v>577</v>
      </c>
      <c r="AV89" s="1410">
        <v>548</v>
      </c>
      <c r="AW89" s="1410">
        <v>574</v>
      </c>
      <c r="AX89" s="1410">
        <v>564</v>
      </c>
      <c r="AY89" s="1410">
        <v>589</v>
      </c>
      <c r="AZ89" s="1410">
        <v>548</v>
      </c>
      <c r="BA89" s="1410">
        <v>538</v>
      </c>
      <c r="BB89" s="1410">
        <v>577</v>
      </c>
      <c r="BC89" s="1410">
        <v>575</v>
      </c>
      <c r="BD89" s="1410">
        <v>550</v>
      </c>
      <c r="BE89" s="1410">
        <v>569</v>
      </c>
      <c r="BF89" s="1410">
        <v>571</v>
      </c>
      <c r="BG89" s="1410">
        <v>564</v>
      </c>
      <c r="BH89" s="1410">
        <v>473</v>
      </c>
      <c r="BI89" s="1410">
        <v>533</v>
      </c>
      <c r="BJ89" s="1410">
        <v>469</v>
      </c>
      <c r="BK89" s="1410">
        <v>498</v>
      </c>
      <c r="BL89" s="1410">
        <v>518</v>
      </c>
      <c r="BM89" s="1410">
        <v>537</v>
      </c>
      <c r="BN89" s="1410">
        <v>483</v>
      </c>
      <c r="BO89" s="1410">
        <v>529</v>
      </c>
      <c r="BP89" s="1410">
        <v>470</v>
      </c>
      <c r="BQ89" s="1410">
        <v>482</v>
      </c>
      <c r="BR89" s="1410">
        <v>481</v>
      </c>
      <c r="BS89" s="1410">
        <v>490</v>
      </c>
      <c r="BT89" s="1410">
        <v>502</v>
      </c>
      <c r="BU89" s="1410">
        <v>472</v>
      </c>
      <c r="BV89" s="1410">
        <v>501</v>
      </c>
      <c r="BW89" s="1410">
        <v>523</v>
      </c>
      <c r="BX89" s="1410">
        <v>495</v>
      </c>
      <c r="BY89" s="1410">
        <v>546</v>
      </c>
      <c r="BZ89" s="1410">
        <v>493</v>
      </c>
      <c r="CA89" s="1410">
        <v>509</v>
      </c>
      <c r="CB89" s="1410">
        <v>511</v>
      </c>
      <c r="CC89" s="1410">
        <v>506</v>
      </c>
      <c r="CD89" s="1410">
        <v>477</v>
      </c>
      <c r="CE89" s="1410">
        <v>469</v>
      </c>
      <c r="CF89" s="1410">
        <v>469</v>
      </c>
      <c r="CG89" s="1410">
        <v>454</v>
      </c>
      <c r="CH89" s="1410">
        <v>457</v>
      </c>
      <c r="CI89" s="1410">
        <v>455</v>
      </c>
      <c r="CJ89" s="1410">
        <v>475</v>
      </c>
      <c r="CK89" s="1410">
        <v>454</v>
      </c>
      <c r="CL89" s="1410">
        <v>453</v>
      </c>
      <c r="CM89" s="1410">
        <v>552</v>
      </c>
      <c r="CN89" s="1410">
        <v>479</v>
      </c>
      <c r="CO89" s="1410">
        <v>483</v>
      </c>
      <c r="CP89" s="1410">
        <v>505</v>
      </c>
      <c r="CQ89" s="1410">
        <v>504</v>
      </c>
      <c r="CR89" s="1410">
        <v>506</v>
      </c>
      <c r="CS89" s="1410">
        <v>514</v>
      </c>
      <c r="CT89" s="1410">
        <v>532</v>
      </c>
      <c r="CU89" s="1410">
        <v>495</v>
      </c>
      <c r="CV89" s="1410">
        <v>470</v>
      </c>
      <c r="CW89" s="1410">
        <v>479</v>
      </c>
      <c r="CX89" s="1410">
        <v>475</v>
      </c>
      <c r="CY89" s="1410">
        <v>546</v>
      </c>
      <c r="CZ89" s="1410">
        <v>517</v>
      </c>
      <c r="DA89" s="1410">
        <v>474</v>
      </c>
      <c r="DB89" s="1410">
        <v>530</v>
      </c>
      <c r="DC89" s="1410">
        <v>599</v>
      </c>
      <c r="DD89" s="1410">
        <v>585</v>
      </c>
      <c r="DE89" s="1410">
        <v>611</v>
      </c>
      <c r="DF89" s="1410">
        <v>614</v>
      </c>
      <c r="DG89" s="1410">
        <v>567</v>
      </c>
      <c r="DH89" s="1410">
        <v>574</v>
      </c>
      <c r="DI89" s="1410">
        <v>547</v>
      </c>
      <c r="DJ89" s="1410">
        <v>571</v>
      </c>
      <c r="DK89" s="1410">
        <v>570</v>
      </c>
      <c r="DL89" s="1410">
        <v>611</v>
      </c>
      <c r="DM89" s="1410">
        <v>600</v>
      </c>
      <c r="DN89" s="1410">
        <v>595</v>
      </c>
      <c r="DO89" s="1410">
        <v>529</v>
      </c>
      <c r="DP89" s="1410">
        <v>586</v>
      </c>
      <c r="DS89" s="1382" t="s">
        <v>745</v>
      </c>
    </row>
    <row r="90" spans="1:123" x14ac:dyDescent="0.2">
      <c r="A90" s="637" t="s">
        <v>2180</v>
      </c>
      <c r="B90" s="772" t="str" cm="1">
        <f t="array" ref="B90">IFERROR(INDEX(Kulturen[HF],_xlfn.AGGREGATE(15,6,(ROW(Kulturen[Auswahl])-7)/(--(SEARCH("x",Kulturen[Auswahl])&gt;0)),ROW()-7),1),"")</f>
        <v>GPS Weizen</v>
      </c>
      <c r="C90" s="772" t="str">
        <f>IF(Kulturen[[#This Row],[HF]]=$D$373,IF($C$6=0,0,"x"),IF($C$6=0,"x",Vorauswahl!C89))</f>
        <v>x</v>
      </c>
      <c r="D90" s="77" t="s">
        <v>2390</v>
      </c>
      <c r="E90" s="77" t="s">
        <v>2390</v>
      </c>
      <c r="F90" s="540" t="s">
        <v>615</v>
      </c>
      <c r="G90" s="540">
        <v>6</v>
      </c>
      <c r="H90" s="540">
        <v>3</v>
      </c>
      <c r="I90" s="540">
        <v>3</v>
      </c>
      <c r="J90" s="540">
        <v>6</v>
      </c>
      <c r="K90" s="540">
        <v>0.14000000000000001</v>
      </c>
      <c r="L90" s="540">
        <v>0.14000000000000001</v>
      </c>
      <c r="M90" s="540">
        <v>500</v>
      </c>
      <c r="N90" s="540">
        <v>0.46</v>
      </c>
      <c r="O90" s="540">
        <v>2</v>
      </c>
      <c r="P90" s="540">
        <v>0</v>
      </c>
      <c r="Q90" s="540">
        <v>305</v>
      </c>
      <c r="R90" s="540">
        <v>10</v>
      </c>
      <c r="S90" s="540">
        <v>6.1</v>
      </c>
      <c r="T90" s="540">
        <v>6.1</v>
      </c>
      <c r="U90" s="540">
        <v>20</v>
      </c>
      <c r="V90" s="540">
        <v>5</v>
      </c>
      <c r="W90" s="776">
        <f>IF(Kulturen[[#This Row],[Berechnungsschema]]=13,3,IF(Kulturen[[#This Row],[Berechnungsschema]]=6,2,1))</f>
        <v>2</v>
      </c>
      <c r="X90" s="776">
        <f>IF(Kulturen[[#This Row],[fruchtartengruppe]]=13,Kulturen[[#This Row],[NBedarfswert]],MAX(0,Kulturen[[#This Row],[NBedarfswert]]-Kulturen[[#This Row],[Ertrag]]*Kulturen[[#This Row],[Nfix]]))</f>
        <v>75</v>
      </c>
      <c r="Y90" s="1410">
        <v>513</v>
      </c>
      <c r="Z90" s="1410">
        <v>560</v>
      </c>
      <c r="AA90" s="1410">
        <v>585</v>
      </c>
      <c r="AB90" s="1410">
        <v>594</v>
      </c>
      <c r="AC90" s="1410">
        <v>592</v>
      </c>
      <c r="AD90" s="1410">
        <v>579</v>
      </c>
      <c r="AE90" s="1410">
        <v>577</v>
      </c>
      <c r="AF90" s="1410">
        <v>575</v>
      </c>
      <c r="AG90" s="1410">
        <v>530</v>
      </c>
      <c r="AH90" s="1410">
        <v>589</v>
      </c>
      <c r="AI90" s="1410">
        <v>576</v>
      </c>
      <c r="AJ90" s="1410">
        <v>583</v>
      </c>
      <c r="AK90" s="1410">
        <v>580</v>
      </c>
      <c r="AL90" s="1410">
        <v>604</v>
      </c>
      <c r="AM90" s="1410">
        <v>588</v>
      </c>
      <c r="AN90" s="1410">
        <v>590</v>
      </c>
      <c r="AO90" s="1410">
        <v>564</v>
      </c>
      <c r="AP90" s="1410">
        <v>517</v>
      </c>
      <c r="AQ90" s="1410">
        <v>556</v>
      </c>
      <c r="AR90" s="1410">
        <v>577</v>
      </c>
      <c r="AS90" s="1410">
        <v>579</v>
      </c>
      <c r="AT90" s="1410">
        <v>608</v>
      </c>
      <c r="AU90" s="1410">
        <v>577</v>
      </c>
      <c r="AV90" s="1410">
        <v>548</v>
      </c>
      <c r="AW90" s="1410">
        <v>574</v>
      </c>
      <c r="AX90" s="1410">
        <v>564</v>
      </c>
      <c r="AY90" s="1410">
        <v>589</v>
      </c>
      <c r="AZ90" s="1410">
        <v>548</v>
      </c>
      <c r="BA90" s="1410">
        <v>538</v>
      </c>
      <c r="BB90" s="1410">
        <v>577</v>
      </c>
      <c r="BC90" s="1410">
        <v>575</v>
      </c>
      <c r="BD90" s="1410">
        <v>550</v>
      </c>
      <c r="BE90" s="1410">
        <v>569</v>
      </c>
      <c r="BF90" s="1410">
        <v>571</v>
      </c>
      <c r="BG90" s="1410">
        <v>564</v>
      </c>
      <c r="BH90" s="1410">
        <v>473</v>
      </c>
      <c r="BI90" s="1410">
        <v>533</v>
      </c>
      <c r="BJ90" s="1410">
        <v>469</v>
      </c>
      <c r="BK90" s="1410">
        <v>498</v>
      </c>
      <c r="BL90" s="1410">
        <v>518</v>
      </c>
      <c r="BM90" s="1410">
        <v>537</v>
      </c>
      <c r="BN90" s="1410">
        <v>483</v>
      </c>
      <c r="BO90" s="1410">
        <v>529</v>
      </c>
      <c r="BP90" s="1410">
        <v>470</v>
      </c>
      <c r="BQ90" s="1410">
        <v>482</v>
      </c>
      <c r="BR90" s="1410">
        <v>481</v>
      </c>
      <c r="BS90" s="1410">
        <v>490</v>
      </c>
      <c r="BT90" s="1410">
        <v>502</v>
      </c>
      <c r="BU90" s="1410">
        <v>472</v>
      </c>
      <c r="BV90" s="1410">
        <v>501</v>
      </c>
      <c r="BW90" s="1410">
        <v>523</v>
      </c>
      <c r="BX90" s="1410">
        <v>495</v>
      </c>
      <c r="BY90" s="1410">
        <v>546</v>
      </c>
      <c r="BZ90" s="1410">
        <v>493</v>
      </c>
      <c r="CA90" s="1410">
        <v>509</v>
      </c>
      <c r="CB90" s="1410">
        <v>511</v>
      </c>
      <c r="CC90" s="1410">
        <v>506</v>
      </c>
      <c r="CD90" s="1410">
        <v>477</v>
      </c>
      <c r="CE90" s="1410">
        <v>469</v>
      </c>
      <c r="CF90" s="1410">
        <v>469</v>
      </c>
      <c r="CG90" s="1410">
        <v>454</v>
      </c>
      <c r="CH90" s="1410">
        <v>457</v>
      </c>
      <c r="CI90" s="1410">
        <v>455</v>
      </c>
      <c r="CJ90" s="1410">
        <v>475</v>
      </c>
      <c r="CK90" s="1410">
        <v>454</v>
      </c>
      <c r="CL90" s="1410">
        <v>453</v>
      </c>
      <c r="CM90" s="1410">
        <v>552</v>
      </c>
      <c r="CN90" s="1410">
        <v>479</v>
      </c>
      <c r="CO90" s="1410">
        <v>483</v>
      </c>
      <c r="CP90" s="1410">
        <v>505</v>
      </c>
      <c r="CQ90" s="1410">
        <v>504</v>
      </c>
      <c r="CR90" s="1410">
        <v>506</v>
      </c>
      <c r="CS90" s="1410">
        <v>514</v>
      </c>
      <c r="CT90" s="1410">
        <v>532</v>
      </c>
      <c r="CU90" s="1410">
        <v>495</v>
      </c>
      <c r="CV90" s="1410">
        <v>470</v>
      </c>
      <c r="CW90" s="1410">
        <v>479</v>
      </c>
      <c r="CX90" s="1410">
        <v>475</v>
      </c>
      <c r="CY90" s="1410">
        <v>546</v>
      </c>
      <c r="CZ90" s="1410">
        <v>517</v>
      </c>
      <c r="DA90" s="1410">
        <v>474</v>
      </c>
      <c r="DB90" s="1410">
        <v>530</v>
      </c>
      <c r="DC90" s="1410">
        <v>599</v>
      </c>
      <c r="DD90" s="1410">
        <v>585</v>
      </c>
      <c r="DE90" s="1410">
        <v>611</v>
      </c>
      <c r="DF90" s="1410">
        <v>614</v>
      </c>
      <c r="DG90" s="1410">
        <v>567</v>
      </c>
      <c r="DH90" s="1410">
        <v>574</v>
      </c>
      <c r="DI90" s="1410">
        <v>547</v>
      </c>
      <c r="DJ90" s="1410">
        <v>571</v>
      </c>
      <c r="DK90" s="1410">
        <v>570</v>
      </c>
      <c r="DL90" s="1410">
        <v>611</v>
      </c>
      <c r="DM90" s="1410">
        <v>600</v>
      </c>
      <c r="DN90" s="1410">
        <v>595</v>
      </c>
      <c r="DO90" s="1410">
        <v>529</v>
      </c>
      <c r="DP90" s="1410">
        <v>586</v>
      </c>
      <c r="DS90" s="1383" t="s">
        <v>38</v>
      </c>
    </row>
    <row r="91" spans="1:123" x14ac:dyDescent="0.2">
      <c r="A91" s="637" t="s">
        <v>2181</v>
      </c>
      <c r="B91" s="772" t="str" cm="1">
        <f t="array" ref="B91">IFERROR(INDEX(Kulturen[HF],_xlfn.AGGREGATE(15,6,(ROW(Kulturen[Auswahl])-7)/(--(SEARCH("x",Kulturen[Auswahl])&gt;0)),ROW()-7),1),"")</f>
        <v>GPS Wintergerste</v>
      </c>
      <c r="C91" s="772" t="str">
        <f>IF(Kulturen[[#This Row],[HF]]=$D$373,IF($C$6=0,0,"x"),IF($C$6=0,"x",Vorauswahl!C90))</f>
        <v>x</v>
      </c>
      <c r="D91" s="77" t="s">
        <v>2391</v>
      </c>
      <c r="E91" s="77" t="s">
        <v>2391</v>
      </c>
      <c r="F91" s="540" t="s">
        <v>616</v>
      </c>
      <c r="G91" s="540">
        <v>6</v>
      </c>
      <c r="H91" s="540">
        <v>3</v>
      </c>
      <c r="I91" s="540">
        <v>3</v>
      </c>
      <c r="J91" s="540">
        <v>6</v>
      </c>
      <c r="K91" s="540">
        <v>0.15</v>
      </c>
      <c r="L91" s="540">
        <v>0.15</v>
      </c>
      <c r="M91" s="540">
        <v>500</v>
      </c>
      <c r="N91" s="540">
        <v>0.2</v>
      </c>
      <c r="O91" s="540">
        <v>2</v>
      </c>
      <c r="P91" s="540">
        <v>0</v>
      </c>
      <c r="Q91" s="540">
        <v>280</v>
      </c>
      <c r="R91" s="540">
        <v>10</v>
      </c>
      <c r="S91" s="540">
        <v>5.6</v>
      </c>
      <c r="T91" s="540">
        <v>5.6</v>
      </c>
      <c r="U91" s="540">
        <v>20</v>
      </c>
      <c r="V91" s="540">
        <v>5</v>
      </c>
      <c r="W91" s="776">
        <f>IF(Kulturen[[#This Row],[Berechnungsschema]]=13,3,IF(Kulturen[[#This Row],[Berechnungsschema]]=6,2,1))</f>
        <v>2</v>
      </c>
      <c r="X91" s="776">
        <f>IF(Kulturen[[#This Row],[fruchtartengruppe]]=13,Kulturen[[#This Row],[NBedarfswert]],MAX(0,Kulturen[[#This Row],[NBedarfswert]]-Kulturen[[#This Row],[Ertrag]]*Kulturen[[#This Row],[Nfix]]))</f>
        <v>180</v>
      </c>
      <c r="Y91" s="1410">
        <v>513</v>
      </c>
      <c r="Z91" s="1410">
        <v>560</v>
      </c>
      <c r="AA91" s="1410">
        <v>585</v>
      </c>
      <c r="AB91" s="1410">
        <v>594</v>
      </c>
      <c r="AC91" s="1410">
        <v>592</v>
      </c>
      <c r="AD91" s="1410">
        <v>579</v>
      </c>
      <c r="AE91" s="1410">
        <v>577</v>
      </c>
      <c r="AF91" s="1410">
        <v>575</v>
      </c>
      <c r="AG91" s="1410">
        <v>530</v>
      </c>
      <c r="AH91" s="1410">
        <v>589</v>
      </c>
      <c r="AI91" s="1410">
        <v>576</v>
      </c>
      <c r="AJ91" s="1410">
        <v>583</v>
      </c>
      <c r="AK91" s="1410">
        <v>580</v>
      </c>
      <c r="AL91" s="1410">
        <v>604</v>
      </c>
      <c r="AM91" s="1410">
        <v>588</v>
      </c>
      <c r="AN91" s="1410">
        <v>590</v>
      </c>
      <c r="AO91" s="1410">
        <v>564</v>
      </c>
      <c r="AP91" s="1410">
        <v>517</v>
      </c>
      <c r="AQ91" s="1410">
        <v>556</v>
      </c>
      <c r="AR91" s="1410">
        <v>577</v>
      </c>
      <c r="AS91" s="1410">
        <v>579</v>
      </c>
      <c r="AT91" s="1410">
        <v>608</v>
      </c>
      <c r="AU91" s="1410">
        <v>577</v>
      </c>
      <c r="AV91" s="1410">
        <v>548</v>
      </c>
      <c r="AW91" s="1410">
        <v>574</v>
      </c>
      <c r="AX91" s="1410">
        <v>564</v>
      </c>
      <c r="AY91" s="1410">
        <v>589</v>
      </c>
      <c r="AZ91" s="1410">
        <v>548</v>
      </c>
      <c r="BA91" s="1410">
        <v>538</v>
      </c>
      <c r="BB91" s="1410">
        <v>577</v>
      </c>
      <c r="BC91" s="1410">
        <v>575</v>
      </c>
      <c r="BD91" s="1410">
        <v>550</v>
      </c>
      <c r="BE91" s="1410">
        <v>569</v>
      </c>
      <c r="BF91" s="1410">
        <v>571</v>
      </c>
      <c r="BG91" s="1410">
        <v>564</v>
      </c>
      <c r="BH91" s="1410">
        <v>473</v>
      </c>
      <c r="BI91" s="1410">
        <v>533</v>
      </c>
      <c r="BJ91" s="1410">
        <v>469</v>
      </c>
      <c r="BK91" s="1410">
        <v>498</v>
      </c>
      <c r="BL91" s="1410">
        <v>518</v>
      </c>
      <c r="BM91" s="1410">
        <v>537</v>
      </c>
      <c r="BN91" s="1410">
        <v>483</v>
      </c>
      <c r="BO91" s="1410">
        <v>529</v>
      </c>
      <c r="BP91" s="1410">
        <v>470</v>
      </c>
      <c r="BQ91" s="1410">
        <v>482</v>
      </c>
      <c r="BR91" s="1410">
        <v>481</v>
      </c>
      <c r="BS91" s="1410">
        <v>490</v>
      </c>
      <c r="BT91" s="1410">
        <v>502</v>
      </c>
      <c r="BU91" s="1410">
        <v>472</v>
      </c>
      <c r="BV91" s="1410">
        <v>501</v>
      </c>
      <c r="BW91" s="1410">
        <v>523</v>
      </c>
      <c r="BX91" s="1410">
        <v>495</v>
      </c>
      <c r="BY91" s="1410">
        <v>546</v>
      </c>
      <c r="BZ91" s="1410">
        <v>493</v>
      </c>
      <c r="CA91" s="1410">
        <v>509</v>
      </c>
      <c r="CB91" s="1410">
        <v>511</v>
      </c>
      <c r="CC91" s="1410">
        <v>506</v>
      </c>
      <c r="CD91" s="1410">
        <v>477</v>
      </c>
      <c r="CE91" s="1410">
        <v>469</v>
      </c>
      <c r="CF91" s="1410">
        <v>469</v>
      </c>
      <c r="CG91" s="1410">
        <v>454</v>
      </c>
      <c r="CH91" s="1410">
        <v>457</v>
      </c>
      <c r="CI91" s="1410">
        <v>455</v>
      </c>
      <c r="CJ91" s="1410">
        <v>475</v>
      </c>
      <c r="CK91" s="1410">
        <v>454</v>
      </c>
      <c r="CL91" s="1410">
        <v>453</v>
      </c>
      <c r="CM91" s="1410">
        <v>552</v>
      </c>
      <c r="CN91" s="1410">
        <v>479</v>
      </c>
      <c r="CO91" s="1410">
        <v>483</v>
      </c>
      <c r="CP91" s="1410">
        <v>505</v>
      </c>
      <c r="CQ91" s="1410">
        <v>504</v>
      </c>
      <c r="CR91" s="1410">
        <v>506</v>
      </c>
      <c r="CS91" s="1410">
        <v>514</v>
      </c>
      <c r="CT91" s="1410">
        <v>532</v>
      </c>
      <c r="CU91" s="1410">
        <v>495</v>
      </c>
      <c r="CV91" s="1410">
        <v>470</v>
      </c>
      <c r="CW91" s="1410">
        <v>479</v>
      </c>
      <c r="CX91" s="1410">
        <v>475</v>
      </c>
      <c r="CY91" s="1410">
        <v>546</v>
      </c>
      <c r="CZ91" s="1410">
        <v>517</v>
      </c>
      <c r="DA91" s="1410">
        <v>474</v>
      </c>
      <c r="DB91" s="1410">
        <v>530</v>
      </c>
      <c r="DC91" s="1410">
        <v>599</v>
      </c>
      <c r="DD91" s="1410">
        <v>585</v>
      </c>
      <c r="DE91" s="1410">
        <v>611</v>
      </c>
      <c r="DF91" s="1410">
        <v>614</v>
      </c>
      <c r="DG91" s="1410">
        <v>567</v>
      </c>
      <c r="DH91" s="1410">
        <v>574</v>
      </c>
      <c r="DI91" s="1410">
        <v>547</v>
      </c>
      <c r="DJ91" s="1410">
        <v>571</v>
      </c>
      <c r="DK91" s="1410">
        <v>570</v>
      </c>
      <c r="DL91" s="1410">
        <v>611</v>
      </c>
      <c r="DM91" s="1410">
        <v>600</v>
      </c>
      <c r="DN91" s="1410">
        <v>595</v>
      </c>
      <c r="DO91" s="1410">
        <v>529</v>
      </c>
      <c r="DP91" s="1410">
        <v>586</v>
      </c>
    </row>
    <row r="92" spans="1:123" x14ac:dyDescent="0.2">
      <c r="A92" s="637" t="s">
        <v>2182</v>
      </c>
      <c r="B92" s="772" t="str" cm="1">
        <f t="array" ref="B92">IFERROR(INDEX(Kulturen[HF],_xlfn.AGGREGATE(15,6,(ROW(Kulturen[Auswahl])-7)/(--(SEARCH("x",Kulturen[Auswahl])&gt;0)),ROW()-7),1),"")</f>
        <v>GPS Sommergerste</v>
      </c>
      <c r="C92" s="772" t="str">
        <f>IF(Kulturen[[#This Row],[HF]]=$D$373,IF($C$6=0,0,"x"),IF($C$6=0,"x",Vorauswahl!C91))</f>
        <v>x</v>
      </c>
      <c r="D92" s="77" t="s">
        <v>2392</v>
      </c>
      <c r="E92" s="77" t="s">
        <v>2392</v>
      </c>
      <c r="F92" s="540" t="s">
        <v>617</v>
      </c>
      <c r="G92" s="540">
        <v>6</v>
      </c>
      <c r="H92" s="540">
        <v>3</v>
      </c>
      <c r="I92" s="540">
        <v>3</v>
      </c>
      <c r="J92" s="540">
        <v>6</v>
      </c>
      <c r="K92" s="540">
        <v>0.15</v>
      </c>
      <c r="L92" s="540">
        <v>0.15</v>
      </c>
      <c r="M92" s="540">
        <v>500</v>
      </c>
      <c r="N92" s="540">
        <v>0.33</v>
      </c>
      <c r="O92" s="540">
        <v>2</v>
      </c>
      <c r="P92" s="540">
        <v>0</v>
      </c>
      <c r="Q92" s="540">
        <v>290</v>
      </c>
      <c r="R92" s="540">
        <v>10</v>
      </c>
      <c r="S92" s="540">
        <v>5.8</v>
      </c>
      <c r="T92" s="540">
        <v>5.8</v>
      </c>
      <c r="U92" s="540">
        <v>20</v>
      </c>
      <c r="V92" s="540">
        <v>5</v>
      </c>
      <c r="W92" s="776">
        <f>IF(Kulturen[[#This Row],[Berechnungsschema]]=13,3,IF(Kulturen[[#This Row],[Berechnungsschema]]=6,2,1))</f>
        <v>2</v>
      </c>
      <c r="X92" s="776">
        <f>IF(Kulturen[[#This Row],[fruchtartengruppe]]=13,Kulturen[[#This Row],[NBedarfswert]],MAX(0,Kulturen[[#This Row],[NBedarfswert]]-Kulturen[[#This Row],[Ertrag]]*Kulturen[[#This Row],[Nfix]]))</f>
        <v>125</v>
      </c>
      <c r="Y92" s="1410">
        <v>513</v>
      </c>
      <c r="Z92" s="1410">
        <v>560</v>
      </c>
      <c r="AA92" s="1410">
        <v>585</v>
      </c>
      <c r="AB92" s="1410">
        <v>594</v>
      </c>
      <c r="AC92" s="1410">
        <v>592</v>
      </c>
      <c r="AD92" s="1410">
        <v>579</v>
      </c>
      <c r="AE92" s="1410">
        <v>577</v>
      </c>
      <c r="AF92" s="1410">
        <v>575</v>
      </c>
      <c r="AG92" s="1410">
        <v>530</v>
      </c>
      <c r="AH92" s="1410">
        <v>589</v>
      </c>
      <c r="AI92" s="1410">
        <v>576</v>
      </c>
      <c r="AJ92" s="1410">
        <v>583</v>
      </c>
      <c r="AK92" s="1410">
        <v>580</v>
      </c>
      <c r="AL92" s="1410">
        <v>604</v>
      </c>
      <c r="AM92" s="1410">
        <v>588</v>
      </c>
      <c r="AN92" s="1410">
        <v>590</v>
      </c>
      <c r="AO92" s="1410">
        <v>564</v>
      </c>
      <c r="AP92" s="1410">
        <v>517</v>
      </c>
      <c r="AQ92" s="1410">
        <v>556</v>
      </c>
      <c r="AR92" s="1410">
        <v>577</v>
      </c>
      <c r="AS92" s="1410">
        <v>579</v>
      </c>
      <c r="AT92" s="1410">
        <v>608</v>
      </c>
      <c r="AU92" s="1410">
        <v>577</v>
      </c>
      <c r="AV92" s="1410">
        <v>548</v>
      </c>
      <c r="AW92" s="1410">
        <v>574</v>
      </c>
      <c r="AX92" s="1410">
        <v>564</v>
      </c>
      <c r="AY92" s="1410">
        <v>589</v>
      </c>
      <c r="AZ92" s="1410">
        <v>548</v>
      </c>
      <c r="BA92" s="1410">
        <v>538</v>
      </c>
      <c r="BB92" s="1410">
        <v>577</v>
      </c>
      <c r="BC92" s="1410">
        <v>575</v>
      </c>
      <c r="BD92" s="1410">
        <v>550</v>
      </c>
      <c r="BE92" s="1410">
        <v>569</v>
      </c>
      <c r="BF92" s="1410">
        <v>571</v>
      </c>
      <c r="BG92" s="1410">
        <v>564</v>
      </c>
      <c r="BH92" s="1410">
        <v>473</v>
      </c>
      <c r="BI92" s="1410">
        <v>533</v>
      </c>
      <c r="BJ92" s="1410">
        <v>469</v>
      </c>
      <c r="BK92" s="1410">
        <v>498</v>
      </c>
      <c r="BL92" s="1410">
        <v>518</v>
      </c>
      <c r="BM92" s="1410">
        <v>537</v>
      </c>
      <c r="BN92" s="1410">
        <v>483</v>
      </c>
      <c r="BO92" s="1410">
        <v>529</v>
      </c>
      <c r="BP92" s="1410">
        <v>470</v>
      </c>
      <c r="BQ92" s="1410">
        <v>482</v>
      </c>
      <c r="BR92" s="1410">
        <v>481</v>
      </c>
      <c r="BS92" s="1410">
        <v>490</v>
      </c>
      <c r="BT92" s="1410">
        <v>502</v>
      </c>
      <c r="BU92" s="1410">
        <v>472</v>
      </c>
      <c r="BV92" s="1410">
        <v>501</v>
      </c>
      <c r="BW92" s="1410">
        <v>523</v>
      </c>
      <c r="BX92" s="1410">
        <v>495</v>
      </c>
      <c r="BY92" s="1410">
        <v>546</v>
      </c>
      <c r="BZ92" s="1410">
        <v>493</v>
      </c>
      <c r="CA92" s="1410">
        <v>509</v>
      </c>
      <c r="CB92" s="1410">
        <v>511</v>
      </c>
      <c r="CC92" s="1410">
        <v>506</v>
      </c>
      <c r="CD92" s="1410">
        <v>477</v>
      </c>
      <c r="CE92" s="1410">
        <v>469</v>
      </c>
      <c r="CF92" s="1410">
        <v>469</v>
      </c>
      <c r="CG92" s="1410">
        <v>454</v>
      </c>
      <c r="CH92" s="1410">
        <v>457</v>
      </c>
      <c r="CI92" s="1410">
        <v>455</v>
      </c>
      <c r="CJ92" s="1410">
        <v>475</v>
      </c>
      <c r="CK92" s="1410">
        <v>454</v>
      </c>
      <c r="CL92" s="1410">
        <v>453</v>
      </c>
      <c r="CM92" s="1410">
        <v>552</v>
      </c>
      <c r="CN92" s="1410">
        <v>479</v>
      </c>
      <c r="CO92" s="1410">
        <v>483</v>
      </c>
      <c r="CP92" s="1410">
        <v>505</v>
      </c>
      <c r="CQ92" s="1410">
        <v>504</v>
      </c>
      <c r="CR92" s="1410">
        <v>506</v>
      </c>
      <c r="CS92" s="1410">
        <v>514</v>
      </c>
      <c r="CT92" s="1410">
        <v>532</v>
      </c>
      <c r="CU92" s="1410">
        <v>495</v>
      </c>
      <c r="CV92" s="1410">
        <v>470</v>
      </c>
      <c r="CW92" s="1410">
        <v>479</v>
      </c>
      <c r="CX92" s="1410">
        <v>475</v>
      </c>
      <c r="CY92" s="1410">
        <v>546</v>
      </c>
      <c r="CZ92" s="1410">
        <v>517</v>
      </c>
      <c r="DA92" s="1410">
        <v>474</v>
      </c>
      <c r="DB92" s="1410">
        <v>530</v>
      </c>
      <c r="DC92" s="1410">
        <v>599</v>
      </c>
      <c r="DD92" s="1410">
        <v>585</v>
      </c>
      <c r="DE92" s="1410">
        <v>611</v>
      </c>
      <c r="DF92" s="1410">
        <v>614</v>
      </c>
      <c r="DG92" s="1410">
        <v>567</v>
      </c>
      <c r="DH92" s="1410">
        <v>574</v>
      </c>
      <c r="DI92" s="1410">
        <v>547</v>
      </c>
      <c r="DJ92" s="1410">
        <v>571</v>
      </c>
      <c r="DK92" s="1410">
        <v>570</v>
      </c>
      <c r="DL92" s="1410">
        <v>611</v>
      </c>
      <c r="DM92" s="1410">
        <v>600</v>
      </c>
      <c r="DN92" s="1410">
        <v>595</v>
      </c>
      <c r="DO92" s="1410">
        <v>529</v>
      </c>
      <c r="DP92" s="1410">
        <v>586</v>
      </c>
    </row>
    <row r="93" spans="1:123" x14ac:dyDescent="0.2">
      <c r="A93" s="637" t="s">
        <v>2183</v>
      </c>
      <c r="B93" s="772" t="str" cm="1">
        <f t="array" ref="B93">IFERROR(INDEX(Kulturen[HF],_xlfn.AGGREGATE(15,6,(ROW(Kulturen[Auswahl])-7)/(--(SEARCH("x",Kulturen[Auswahl])&gt;0)),ROW()-7),1),"")</f>
        <v>GPS Triticale</v>
      </c>
      <c r="C93" s="772" t="str">
        <f>IF(Kulturen[[#This Row],[HF]]=$D$373,IF($C$6=0,0,"x"),IF($C$6=0,"x",Vorauswahl!C92))</f>
        <v>x</v>
      </c>
      <c r="D93" s="77" t="s">
        <v>2393</v>
      </c>
      <c r="E93" s="77" t="s">
        <v>2393</v>
      </c>
      <c r="F93" s="540" t="s">
        <v>618</v>
      </c>
      <c r="G93" s="540">
        <v>6</v>
      </c>
      <c r="H93" s="540">
        <v>3</v>
      </c>
      <c r="I93" s="540">
        <v>3</v>
      </c>
      <c r="J93" s="540">
        <v>6</v>
      </c>
      <c r="K93" s="540">
        <v>0.14000000000000001</v>
      </c>
      <c r="L93" s="540">
        <v>0.14000000000000001</v>
      </c>
      <c r="M93" s="540">
        <v>500</v>
      </c>
      <c r="N93" s="540">
        <v>0.46</v>
      </c>
      <c r="O93" s="540">
        <v>2</v>
      </c>
      <c r="P93" s="540">
        <v>0</v>
      </c>
      <c r="Q93" s="540">
        <v>305</v>
      </c>
      <c r="R93" s="540">
        <v>10</v>
      </c>
      <c r="S93" s="540">
        <v>6.1</v>
      </c>
      <c r="T93" s="540">
        <v>6.1</v>
      </c>
      <c r="U93" s="540">
        <v>20</v>
      </c>
      <c r="V93" s="540">
        <v>5</v>
      </c>
      <c r="W93" s="776">
        <f>IF(Kulturen[[#This Row],[Berechnungsschema]]=13,3,IF(Kulturen[[#This Row],[Berechnungsschema]]=6,2,1))</f>
        <v>2</v>
      </c>
      <c r="X93" s="776">
        <f>IF(Kulturen[[#This Row],[fruchtartengruppe]]=13,Kulturen[[#This Row],[NBedarfswert]],MAX(0,Kulturen[[#This Row],[NBedarfswert]]-Kulturen[[#This Row],[Ertrag]]*Kulturen[[#This Row],[Nfix]]))</f>
        <v>75</v>
      </c>
      <c r="Y93" s="1410">
        <v>513</v>
      </c>
      <c r="Z93" s="1410">
        <v>560</v>
      </c>
      <c r="AA93" s="1410">
        <v>585</v>
      </c>
      <c r="AB93" s="1410">
        <v>594</v>
      </c>
      <c r="AC93" s="1410">
        <v>592</v>
      </c>
      <c r="AD93" s="1410">
        <v>579</v>
      </c>
      <c r="AE93" s="1410">
        <v>577</v>
      </c>
      <c r="AF93" s="1410">
        <v>575</v>
      </c>
      <c r="AG93" s="1410">
        <v>530</v>
      </c>
      <c r="AH93" s="1410">
        <v>589</v>
      </c>
      <c r="AI93" s="1410">
        <v>576</v>
      </c>
      <c r="AJ93" s="1410">
        <v>583</v>
      </c>
      <c r="AK93" s="1410">
        <v>580</v>
      </c>
      <c r="AL93" s="1410">
        <v>604</v>
      </c>
      <c r="AM93" s="1410">
        <v>588</v>
      </c>
      <c r="AN93" s="1410">
        <v>590</v>
      </c>
      <c r="AO93" s="1410">
        <v>564</v>
      </c>
      <c r="AP93" s="1410">
        <v>517</v>
      </c>
      <c r="AQ93" s="1410">
        <v>556</v>
      </c>
      <c r="AR93" s="1410">
        <v>577</v>
      </c>
      <c r="AS93" s="1410">
        <v>579</v>
      </c>
      <c r="AT93" s="1410">
        <v>608</v>
      </c>
      <c r="AU93" s="1410">
        <v>577</v>
      </c>
      <c r="AV93" s="1410">
        <v>548</v>
      </c>
      <c r="AW93" s="1410">
        <v>574</v>
      </c>
      <c r="AX93" s="1410">
        <v>564</v>
      </c>
      <c r="AY93" s="1410">
        <v>589</v>
      </c>
      <c r="AZ93" s="1410">
        <v>548</v>
      </c>
      <c r="BA93" s="1410">
        <v>538</v>
      </c>
      <c r="BB93" s="1410">
        <v>577</v>
      </c>
      <c r="BC93" s="1410">
        <v>575</v>
      </c>
      <c r="BD93" s="1410">
        <v>550</v>
      </c>
      <c r="BE93" s="1410">
        <v>569</v>
      </c>
      <c r="BF93" s="1410">
        <v>571</v>
      </c>
      <c r="BG93" s="1410">
        <v>564</v>
      </c>
      <c r="BH93" s="1410">
        <v>473</v>
      </c>
      <c r="BI93" s="1410">
        <v>533</v>
      </c>
      <c r="BJ93" s="1410">
        <v>469</v>
      </c>
      <c r="BK93" s="1410">
        <v>498</v>
      </c>
      <c r="BL93" s="1410">
        <v>518</v>
      </c>
      <c r="BM93" s="1410">
        <v>537</v>
      </c>
      <c r="BN93" s="1410">
        <v>483</v>
      </c>
      <c r="BO93" s="1410">
        <v>529</v>
      </c>
      <c r="BP93" s="1410">
        <v>470</v>
      </c>
      <c r="BQ93" s="1410">
        <v>482</v>
      </c>
      <c r="BR93" s="1410">
        <v>481</v>
      </c>
      <c r="BS93" s="1410">
        <v>490</v>
      </c>
      <c r="BT93" s="1410">
        <v>502</v>
      </c>
      <c r="BU93" s="1410">
        <v>472</v>
      </c>
      <c r="BV93" s="1410">
        <v>501</v>
      </c>
      <c r="BW93" s="1410">
        <v>523</v>
      </c>
      <c r="BX93" s="1410">
        <v>495</v>
      </c>
      <c r="BY93" s="1410">
        <v>546</v>
      </c>
      <c r="BZ93" s="1410">
        <v>493</v>
      </c>
      <c r="CA93" s="1410">
        <v>509</v>
      </c>
      <c r="CB93" s="1410">
        <v>511</v>
      </c>
      <c r="CC93" s="1410">
        <v>506</v>
      </c>
      <c r="CD93" s="1410">
        <v>477</v>
      </c>
      <c r="CE93" s="1410">
        <v>469</v>
      </c>
      <c r="CF93" s="1410">
        <v>469</v>
      </c>
      <c r="CG93" s="1410">
        <v>454</v>
      </c>
      <c r="CH93" s="1410">
        <v>457</v>
      </c>
      <c r="CI93" s="1410">
        <v>455</v>
      </c>
      <c r="CJ93" s="1410">
        <v>475</v>
      </c>
      <c r="CK93" s="1410">
        <v>454</v>
      </c>
      <c r="CL93" s="1410">
        <v>453</v>
      </c>
      <c r="CM93" s="1410">
        <v>552</v>
      </c>
      <c r="CN93" s="1410">
        <v>479</v>
      </c>
      <c r="CO93" s="1410">
        <v>483</v>
      </c>
      <c r="CP93" s="1410">
        <v>505</v>
      </c>
      <c r="CQ93" s="1410">
        <v>504</v>
      </c>
      <c r="CR93" s="1410">
        <v>506</v>
      </c>
      <c r="CS93" s="1410">
        <v>514</v>
      </c>
      <c r="CT93" s="1410">
        <v>532</v>
      </c>
      <c r="CU93" s="1410">
        <v>495</v>
      </c>
      <c r="CV93" s="1410">
        <v>470</v>
      </c>
      <c r="CW93" s="1410">
        <v>479</v>
      </c>
      <c r="CX93" s="1410">
        <v>475</v>
      </c>
      <c r="CY93" s="1410">
        <v>546</v>
      </c>
      <c r="CZ93" s="1410">
        <v>517</v>
      </c>
      <c r="DA93" s="1410">
        <v>474</v>
      </c>
      <c r="DB93" s="1410">
        <v>530</v>
      </c>
      <c r="DC93" s="1410">
        <v>599</v>
      </c>
      <c r="DD93" s="1410">
        <v>585</v>
      </c>
      <c r="DE93" s="1410">
        <v>611</v>
      </c>
      <c r="DF93" s="1410">
        <v>614</v>
      </c>
      <c r="DG93" s="1410">
        <v>567</v>
      </c>
      <c r="DH93" s="1410">
        <v>574</v>
      </c>
      <c r="DI93" s="1410">
        <v>547</v>
      </c>
      <c r="DJ93" s="1410">
        <v>571</v>
      </c>
      <c r="DK93" s="1410">
        <v>570</v>
      </c>
      <c r="DL93" s="1410">
        <v>611</v>
      </c>
      <c r="DM93" s="1410">
        <v>600</v>
      </c>
      <c r="DN93" s="1410">
        <v>595</v>
      </c>
      <c r="DO93" s="1410">
        <v>529</v>
      </c>
      <c r="DP93" s="1410">
        <v>586</v>
      </c>
    </row>
    <row r="94" spans="1:123" x14ac:dyDescent="0.2">
      <c r="A94" s="637" t="s">
        <v>2184</v>
      </c>
      <c r="B94" s="772" t="str" cm="1">
        <f t="array" ref="B94">IFERROR(INDEX(Kulturen[HF],_xlfn.AGGREGATE(15,6,(ROW(Kulturen[Auswahl])-7)/(--(SEARCH("x",Kulturen[Auswahl])&gt;0)),ROW()-7),1),"")</f>
        <v>GPS Roggen</v>
      </c>
      <c r="C94" s="772" t="str">
        <f>IF(Kulturen[[#This Row],[HF]]=$D$373,IF($C$6=0,0,"x"),IF($C$6=0,"x",Vorauswahl!C93))</f>
        <v>x</v>
      </c>
      <c r="D94" s="77" t="s">
        <v>619</v>
      </c>
      <c r="E94" s="77" t="s">
        <v>619</v>
      </c>
      <c r="F94" s="540" t="s">
        <v>620</v>
      </c>
      <c r="G94" s="540">
        <v>6</v>
      </c>
      <c r="H94" s="540">
        <v>8</v>
      </c>
      <c r="I94" s="540">
        <v>3</v>
      </c>
      <c r="J94" s="540">
        <v>6</v>
      </c>
      <c r="K94" s="540">
        <v>0.13</v>
      </c>
      <c r="L94" s="540">
        <v>0.13</v>
      </c>
      <c r="M94" s="540">
        <v>450</v>
      </c>
      <c r="N94" s="540">
        <v>0.65</v>
      </c>
      <c r="O94" s="540">
        <v>2</v>
      </c>
      <c r="P94" s="540">
        <v>0</v>
      </c>
      <c r="Q94" s="540">
        <v>0</v>
      </c>
      <c r="R94" s="540">
        <v>10</v>
      </c>
      <c r="S94" s="540">
        <v>0</v>
      </c>
      <c r="T94" s="540">
        <v>0</v>
      </c>
      <c r="U94" s="540">
        <v>20</v>
      </c>
      <c r="V94" s="540">
        <v>5</v>
      </c>
      <c r="W94" s="776">
        <f>IF(Kulturen[[#This Row],[Berechnungsschema]]=13,3,IF(Kulturen[[#This Row],[Berechnungsschema]]=6,2,1))</f>
        <v>2</v>
      </c>
      <c r="X94" s="776">
        <f>IF(Kulturen[[#This Row],[fruchtartengruppe]]=13,Kulturen[[#This Row],[NBedarfswert]],MAX(0,Kulturen[[#This Row],[NBedarfswert]]-Kulturen[[#This Row],[Ertrag]]*Kulturen[[#This Row],[Nfix]]))</f>
        <v>0</v>
      </c>
      <c r="Y94" s="1410">
        <v>553</v>
      </c>
      <c r="Z94" s="1410">
        <v>601</v>
      </c>
      <c r="AA94" s="1410">
        <v>603</v>
      </c>
      <c r="AB94" s="1410">
        <v>641</v>
      </c>
      <c r="AC94" s="1410">
        <v>596</v>
      </c>
      <c r="AD94" s="1410">
        <v>578</v>
      </c>
      <c r="AE94" s="1410">
        <v>626</v>
      </c>
      <c r="AF94" s="1410">
        <v>610</v>
      </c>
      <c r="AG94" s="1410">
        <v>578</v>
      </c>
      <c r="AH94" s="1410">
        <v>637</v>
      </c>
      <c r="AI94" s="1410">
        <v>627</v>
      </c>
      <c r="AJ94" s="1410">
        <v>628</v>
      </c>
      <c r="AK94" s="1410">
        <v>572</v>
      </c>
      <c r="AL94" s="1410">
        <v>644</v>
      </c>
      <c r="AM94" s="1410">
        <v>586</v>
      </c>
      <c r="AN94" s="1410">
        <v>638</v>
      </c>
      <c r="AO94" s="1410">
        <v>597</v>
      </c>
      <c r="AP94" s="1410">
        <v>567</v>
      </c>
      <c r="AQ94" s="1410">
        <v>605</v>
      </c>
      <c r="AR94" s="1410">
        <v>602</v>
      </c>
      <c r="AS94" s="1410">
        <v>611</v>
      </c>
      <c r="AT94" s="1410">
        <v>632</v>
      </c>
      <c r="AU94" s="1410">
        <v>591</v>
      </c>
      <c r="AV94" s="1410">
        <v>605</v>
      </c>
      <c r="AW94" s="1410">
        <v>624</v>
      </c>
      <c r="AX94" s="1410">
        <v>605</v>
      </c>
      <c r="AY94" s="1410">
        <v>640</v>
      </c>
      <c r="AZ94" s="1410">
        <v>578</v>
      </c>
      <c r="BA94" s="1410">
        <v>590</v>
      </c>
      <c r="BB94" s="1410">
        <v>630</v>
      </c>
      <c r="BC94" s="1410">
        <v>626</v>
      </c>
      <c r="BD94" s="1410">
        <v>579</v>
      </c>
      <c r="BE94" s="1410">
        <v>621</v>
      </c>
      <c r="BF94" s="1410">
        <v>620</v>
      </c>
      <c r="BG94" s="1410">
        <v>618</v>
      </c>
      <c r="BH94" s="1410">
        <v>517</v>
      </c>
      <c r="BI94" s="1410">
        <v>576</v>
      </c>
      <c r="BJ94" s="1410">
        <v>518</v>
      </c>
      <c r="BK94" s="1410">
        <v>549</v>
      </c>
      <c r="BL94" s="1410">
        <v>570</v>
      </c>
      <c r="BM94" s="1410">
        <v>589</v>
      </c>
      <c r="BN94" s="1410">
        <v>537</v>
      </c>
      <c r="BO94" s="1410">
        <v>577</v>
      </c>
      <c r="BP94" s="1410">
        <v>518</v>
      </c>
      <c r="BQ94" s="1410">
        <v>527</v>
      </c>
      <c r="BR94" s="1410">
        <v>524</v>
      </c>
      <c r="BS94" s="1410">
        <v>545</v>
      </c>
      <c r="BT94" s="1410">
        <v>556</v>
      </c>
      <c r="BU94" s="1410">
        <v>519</v>
      </c>
      <c r="BV94" s="1410">
        <v>548</v>
      </c>
      <c r="BW94" s="1410">
        <v>573</v>
      </c>
      <c r="BX94" s="1410">
        <v>542</v>
      </c>
      <c r="BY94" s="1410">
        <v>595</v>
      </c>
      <c r="BZ94" s="1410">
        <v>533</v>
      </c>
      <c r="CA94" s="1410">
        <v>555</v>
      </c>
      <c r="CB94" s="1410">
        <v>560</v>
      </c>
      <c r="CC94" s="1410">
        <v>553</v>
      </c>
      <c r="CD94" s="1410">
        <v>515</v>
      </c>
      <c r="CE94" s="1410">
        <v>513</v>
      </c>
      <c r="CF94" s="1410">
        <v>508</v>
      </c>
      <c r="CG94" s="1410">
        <v>479</v>
      </c>
      <c r="CH94" s="1410">
        <v>493</v>
      </c>
      <c r="CI94" s="1410">
        <v>490</v>
      </c>
      <c r="CJ94" s="1410">
        <v>519</v>
      </c>
      <c r="CK94" s="1410">
        <v>490</v>
      </c>
      <c r="CL94" s="1410">
        <v>479</v>
      </c>
      <c r="CM94" s="1410">
        <v>600</v>
      </c>
      <c r="CN94" s="1410">
        <v>513</v>
      </c>
      <c r="CO94" s="1410">
        <v>532</v>
      </c>
      <c r="CP94" s="1410">
        <v>554</v>
      </c>
      <c r="CQ94" s="1410">
        <v>552</v>
      </c>
      <c r="CR94" s="1410">
        <v>520</v>
      </c>
      <c r="CS94" s="1410">
        <v>540</v>
      </c>
      <c r="CT94" s="1410">
        <v>580</v>
      </c>
      <c r="CU94" s="1410">
        <v>537</v>
      </c>
      <c r="CV94" s="1410">
        <v>502</v>
      </c>
      <c r="CW94" s="1410">
        <v>522</v>
      </c>
      <c r="CX94" s="1410">
        <v>500</v>
      </c>
      <c r="CY94" s="1410">
        <v>598</v>
      </c>
      <c r="CZ94" s="1410">
        <v>562</v>
      </c>
      <c r="DA94" s="1410">
        <v>499</v>
      </c>
      <c r="DB94" s="1410">
        <v>561</v>
      </c>
      <c r="DC94" s="1410">
        <v>650</v>
      </c>
      <c r="DD94" s="1410">
        <v>603</v>
      </c>
      <c r="DE94" s="1410">
        <v>614</v>
      </c>
      <c r="DF94" s="1410">
        <v>650</v>
      </c>
      <c r="DG94" s="1410">
        <v>618</v>
      </c>
      <c r="DH94" s="1410">
        <v>623</v>
      </c>
      <c r="DI94" s="1410">
        <v>599</v>
      </c>
      <c r="DJ94" s="1410">
        <v>622</v>
      </c>
      <c r="DK94" s="1410">
        <v>621</v>
      </c>
      <c r="DL94" s="1410">
        <v>594</v>
      </c>
      <c r="DM94" s="1410">
        <v>630</v>
      </c>
      <c r="DN94" s="1410">
        <v>632</v>
      </c>
      <c r="DO94" s="1410">
        <v>576</v>
      </c>
      <c r="DP94" s="1410">
        <v>587</v>
      </c>
    </row>
    <row r="95" spans="1:123" x14ac:dyDescent="0.2">
      <c r="A95" s="637" t="s">
        <v>2185</v>
      </c>
      <c r="B95" s="772" t="str" cm="1">
        <f t="array" ref="B95">IFERROR(INDEX(Kulturen[HF],_xlfn.AGGREGATE(15,6,(ROW(Kulturen[Auswahl])-7)/(--(SEARCH("x",Kulturen[Auswahl])&gt;0)),ROW()-7),1),"")</f>
        <v>GPS Hafer</v>
      </c>
      <c r="C95" s="772" t="str">
        <f>IF(Kulturen[[#This Row],[HF]]=$D$373,IF($C$6=0,0,"x"),IF($C$6=0,"x",Vorauswahl!C94))</f>
        <v>x</v>
      </c>
      <c r="D95" s="77" t="s">
        <v>621</v>
      </c>
      <c r="E95" s="77" t="s">
        <v>621</v>
      </c>
      <c r="F95" s="540" t="s">
        <v>622</v>
      </c>
      <c r="G95" s="540">
        <v>6</v>
      </c>
      <c r="H95" s="540">
        <v>8</v>
      </c>
      <c r="I95" s="540">
        <v>3</v>
      </c>
      <c r="J95" s="540">
        <v>6</v>
      </c>
      <c r="K95" s="540">
        <v>0.14000000000000001</v>
      </c>
      <c r="L95" s="540">
        <v>0.14000000000000001</v>
      </c>
      <c r="M95" s="540">
        <v>500</v>
      </c>
      <c r="N95" s="540">
        <v>0.65</v>
      </c>
      <c r="O95" s="540">
        <v>2</v>
      </c>
      <c r="P95" s="540">
        <v>0</v>
      </c>
      <c r="Q95" s="540">
        <v>0</v>
      </c>
      <c r="R95" s="540">
        <v>10</v>
      </c>
      <c r="S95" s="540">
        <v>0</v>
      </c>
      <c r="T95" s="540">
        <v>0</v>
      </c>
      <c r="U95" s="540">
        <v>20</v>
      </c>
      <c r="V95" s="540">
        <v>5</v>
      </c>
      <c r="W95" s="776">
        <f>IF(Kulturen[[#This Row],[Berechnungsschema]]=13,3,IF(Kulturen[[#This Row],[Berechnungsschema]]=6,2,1))</f>
        <v>2</v>
      </c>
      <c r="X95" s="776">
        <f>IF(Kulturen[[#This Row],[fruchtartengruppe]]=13,Kulturen[[#This Row],[NBedarfswert]],MAX(0,Kulturen[[#This Row],[NBedarfswert]]-Kulturen[[#This Row],[Ertrag]]*Kulturen[[#This Row],[Nfix]]))</f>
        <v>0</v>
      </c>
      <c r="Y95" s="1410">
        <v>554</v>
      </c>
      <c r="Z95" s="1410">
        <v>522</v>
      </c>
      <c r="AA95" s="1410">
        <v>557</v>
      </c>
      <c r="AB95" s="1410">
        <v>565</v>
      </c>
      <c r="AC95" s="1410">
        <v>565</v>
      </c>
      <c r="AD95" s="1410">
        <v>552</v>
      </c>
      <c r="AE95" s="1410">
        <v>550</v>
      </c>
      <c r="AF95" s="1410">
        <v>539</v>
      </c>
      <c r="AG95" s="1410">
        <v>553</v>
      </c>
      <c r="AH95" s="1410">
        <v>563</v>
      </c>
      <c r="AI95" s="1410">
        <v>558</v>
      </c>
      <c r="AJ95" s="1410">
        <v>550</v>
      </c>
      <c r="AK95" s="1410">
        <v>547</v>
      </c>
      <c r="AL95" s="1410">
        <v>568</v>
      </c>
      <c r="AM95" s="1410">
        <v>562</v>
      </c>
      <c r="AN95" s="1410">
        <v>566</v>
      </c>
      <c r="AO95" s="1410">
        <v>532</v>
      </c>
      <c r="AP95" s="1410">
        <v>539</v>
      </c>
      <c r="AQ95" s="1410">
        <v>548</v>
      </c>
      <c r="AR95" s="1410">
        <v>544</v>
      </c>
      <c r="AS95" s="1410">
        <v>543</v>
      </c>
      <c r="AT95" s="1410">
        <v>575</v>
      </c>
      <c r="AU95" s="1410">
        <v>547</v>
      </c>
      <c r="AV95" s="1410">
        <v>553</v>
      </c>
      <c r="AW95" s="1410">
        <v>551</v>
      </c>
      <c r="AX95" s="1410">
        <v>602</v>
      </c>
      <c r="AY95" s="1410">
        <v>585</v>
      </c>
      <c r="AZ95" s="1410">
        <v>507</v>
      </c>
      <c r="BA95" s="1410">
        <v>554</v>
      </c>
      <c r="BB95" s="1410">
        <v>571</v>
      </c>
      <c r="BC95" s="1410">
        <v>562</v>
      </c>
      <c r="BD95" s="1410">
        <v>508</v>
      </c>
      <c r="BE95" s="1410">
        <v>555</v>
      </c>
      <c r="BF95" s="1410">
        <v>585</v>
      </c>
      <c r="BG95" s="1410">
        <v>576</v>
      </c>
      <c r="BH95" s="1410">
        <v>507</v>
      </c>
      <c r="BI95" s="1410">
        <v>568</v>
      </c>
      <c r="BJ95" s="1410">
        <v>493</v>
      </c>
      <c r="BK95" s="1410">
        <v>505</v>
      </c>
      <c r="BL95" s="1410">
        <v>511</v>
      </c>
      <c r="BM95" s="1410">
        <v>531</v>
      </c>
      <c r="BN95" s="1410">
        <v>493</v>
      </c>
      <c r="BO95" s="1410">
        <v>554</v>
      </c>
      <c r="BP95" s="1410">
        <v>492</v>
      </c>
      <c r="BQ95" s="1410">
        <v>476</v>
      </c>
      <c r="BR95" s="1410">
        <v>515</v>
      </c>
      <c r="BS95" s="1410">
        <v>503</v>
      </c>
      <c r="BT95" s="1410">
        <v>516</v>
      </c>
      <c r="BU95" s="1410">
        <v>499</v>
      </c>
      <c r="BV95" s="1410">
        <v>516</v>
      </c>
      <c r="BW95" s="1410">
        <v>506</v>
      </c>
      <c r="BX95" s="1410">
        <v>518</v>
      </c>
      <c r="BY95" s="1410">
        <v>533</v>
      </c>
      <c r="BZ95" s="1410">
        <v>475</v>
      </c>
      <c r="CA95" s="1410">
        <v>486</v>
      </c>
      <c r="CB95" s="1410">
        <v>500</v>
      </c>
      <c r="CC95" s="1410">
        <v>527</v>
      </c>
      <c r="CD95" s="1410">
        <v>463</v>
      </c>
      <c r="CE95" s="1410">
        <v>503</v>
      </c>
      <c r="CF95" s="1410">
        <v>510</v>
      </c>
      <c r="CG95" s="1410">
        <v>520</v>
      </c>
      <c r="CH95" s="1410">
        <v>505</v>
      </c>
      <c r="CI95" s="1410">
        <v>503</v>
      </c>
      <c r="CJ95" s="1410">
        <v>506</v>
      </c>
      <c r="CK95" s="1410">
        <v>501</v>
      </c>
      <c r="CL95" s="1410">
        <v>517</v>
      </c>
      <c r="CM95" s="1410">
        <v>525</v>
      </c>
      <c r="CN95" s="1410">
        <v>530</v>
      </c>
      <c r="CO95" s="1410">
        <v>505</v>
      </c>
      <c r="CP95" s="1410">
        <v>521</v>
      </c>
      <c r="CQ95" s="1410">
        <v>530</v>
      </c>
      <c r="CR95" s="1410">
        <v>591</v>
      </c>
      <c r="CS95" s="1410">
        <v>579</v>
      </c>
      <c r="CT95" s="1410">
        <v>539</v>
      </c>
      <c r="CU95" s="1410">
        <v>528</v>
      </c>
      <c r="CV95" s="1410">
        <v>518</v>
      </c>
      <c r="CW95" s="1410">
        <v>515</v>
      </c>
      <c r="CX95" s="1410">
        <v>540</v>
      </c>
      <c r="CY95" s="1410">
        <v>556</v>
      </c>
      <c r="CZ95" s="1410">
        <v>547</v>
      </c>
      <c r="DA95" s="1410">
        <v>540</v>
      </c>
      <c r="DB95" s="1410">
        <v>586</v>
      </c>
      <c r="DC95" s="1410">
        <v>577</v>
      </c>
      <c r="DD95" s="1410">
        <v>556</v>
      </c>
      <c r="DE95" s="1410">
        <v>590</v>
      </c>
      <c r="DF95" s="1410">
        <v>576</v>
      </c>
      <c r="DG95" s="1410">
        <v>548</v>
      </c>
      <c r="DH95" s="1410">
        <v>553</v>
      </c>
      <c r="DI95" s="1410">
        <v>565</v>
      </c>
      <c r="DJ95" s="1410">
        <v>560</v>
      </c>
      <c r="DK95" s="1410">
        <v>559</v>
      </c>
      <c r="DL95" s="1410">
        <v>570</v>
      </c>
      <c r="DM95" s="1410">
        <v>565</v>
      </c>
      <c r="DN95" s="1410">
        <v>559</v>
      </c>
      <c r="DO95" s="1410">
        <v>552</v>
      </c>
      <c r="DP95" s="1410">
        <v>562</v>
      </c>
    </row>
    <row r="96" spans="1:123" x14ac:dyDescent="0.2">
      <c r="A96" s="637" t="s">
        <v>2140</v>
      </c>
      <c r="B96" s="772" t="str" cm="1">
        <f t="array" ref="B96">IFERROR(INDEX(Kulturen[HF],_xlfn.AGGREGATE(15,6,(ROW(Kulturen[Auswahl])-7)/(--(SEARCH("x",Kulturen[Auswahl])&gt;0)),ROW()-7),1),"")</f>
        <v>GPS Lupinen</v>
      </c>
      <c r="C96" s="772" t="str">
        <f>IF(Kulturen[[#This Row],[HF]]=$D$373,IF($C$6=0,0,"x"),IF($C$6=0,"x",Vorauswahl!C95))</f>
        <v>x</v>
      </c>
      <c r="D96" s="77" t="s">
        <v>1905</v>
      </c>
      <c r="E96" s="77" t="s">
        <v>1905</v>
      </c>
      <c r="F96" s="540" t="s">
        <v>1859</v>
      </c>
      <c r="G96" s="540">
        <v>7</v>
      </c>
      <c r="H96" s="540">
        <v>8</v>
      </c>
      <c r="I96" s="540">
        <v>0</v>
      </c>
      <c r="J96" s="540">
        <v>90</v>
      </c>
      <c r="K96" s="540">
        <v>0</v>
      </c>
      <c r="L96" s="540">
        <v>0</v>
      </c>
      <c r="M96" s="540">
        <v>0</v>
      </c>
      <c r="N96" s="540">
        <v>0</v>
      </c>
      <c r="O96" s="540">
        <v>1</v>
      </c>
      <c r="P96" s="540">
        <v>0</v>
      </c>
      <c r="Q96" s="540">
        <v>0</v>
      </c>
      <c r="R96" s="540">
        <v>1</v>
      </c>
      <c r="S96" s="540">
        <v>0</v>
      </c>
      <c r="T96" s="540">
        <v>0</v>
      </c>
      <c r="U96" s="540">
        <v>0</v>
      </c>
      <c r="V96" s="540">
        <v>0</v>
      </c>
      <c r="W96" s="776">
        <f>IF(Kulturen[[#This Row],[Berechnungsschema]]=13,3,IF(Kulturen[[#This Row],[Berechnungsschema]]=6,2,1))</f>
        <v>1</v>
      </c>
      <c r="X96" s="776">
        <f>IF(Kulturen[[#This Row],[fruchtartengruppe]]=13,Kulturen[[#This Row],[NBedarfswert]],MAX(0,Kulturen[[#This Row],[NBedarfswert]]-Kulturen[[#This Row],[Ertrag]]*Kulturen[[#This Row],[Nfix]]))</f>
        <v>0</v>
      </c>
      <c r="Y96" s="776" t="s">
        <v>2127</v>
      </c>
      <c r="Z96" s="776" t="s">
        <v>2127</v>
      </c>
      <c r="AA96" s="776" t="s">
        <v>2127</v>
      </c>
      <c r="AB96" s="776" t="s">
        <v>2127</v>
      </c>
      <c r="AC96" s="776" t="s">
        <v>2127</v>
      </c>
      <c r="AD96" s="776" t="s">
        <v>2127</v>
      </c>
      <c r="AE96" s="776" t="s">
        <v>2127</v>
      </c>
      <c r="AF96" s="776" t="s">
        <v>2127</v>
      </c>
      <c r="AG96" s="776" t="s">
        <v>2127</v>
      </c>
      <c r="AH96" s="776" t="s">
        <v>2127</v>
      </c>
      <c r="AI96" s="776" t="s">
        <v>2127</v>
      </c>
      <c r="AJ96" s="776" t="s">
        <v>2127</v>
      </c>
      <c r="AK96" s="776" t="s">
        <v>2127</v>
      </c>
      <c r="AL96" s="776" t="s">
        <v>2127</v>
      </c>
      <c r="AM96" s="776" t="s">
        <v>2127</v>
      </c>
      <c r="AN96" s="776" t="s">
        <v>2127</v>
      </c>
      <c r="AO96" s="776" t="s">
        <v>2127</v>
      </c>
      <c r="AP96" s="776" t="s">
        <v>2127</v>
      </c>
      <c r="AQ96" s="776" t="s">
        <v>2127</v>
      </c>
      <c r="AR96" s="776" t="s">
        <v>2127</v>
      </c>
      <c r="AS96" s="776" t="s">
        <v>2127</v>
      </c>
      <c r="AT96" s="776" t="s">
        <v>2127</v>
      </c>
      <c r="AU96" s="776" t="s">
        <v>2127</v>
      </c>
      <c r="AV96" s="776" t="s">
        <v>2127</v>
      </c>
      <c r="AW96" s="776" t="s">
        <v>2127</v>
      </c>
      <c r="AX96" s="776" t="s">
        <v>2127</v>
      </c>
      <c r="AY96" s="776" t="s">
        <v>2127</v>
      </c>
      <c r="AZ96" s="776" t="s">
        <v>2127</v>
      </c>
      <c r="BA96" s="776" t="s">
        <v>2127</v>
      </c>
      <c r="BB96" s="776" t="s">
        <v>2127</v>
      </c>
      <c r="BC96" s="776" t="s">
        <v>2127</v>
      </c>
      <c r="BD96" s="776" t="s">
        <v>2127</v>
      </c>
      <c r="BE96" s="776" t="s">
        <v>2127</v>
      </c>
      <c r="BF96" s="776" t="s">
        <v>2127</v>
      </c>
      <c r="BG96" s="776" t="s">
        <v>2127</v>
      </c>
      <c r="BH96" s="776" t="s">
        <v>2127</v>
      </c>
      <c r="BI96" s="776" t="s">
        <v>2127</v>
      </c>
      <c r="BJ96" s="776" t="s">
        <v>2127</v>
      </c>
      <c r="BK96" s="776" t="s">
        <v>2127</v>
      </c>
      <c r="BL96" s="776" t="s">
        <v>2127</v>
      </c>
      <c r="BM96" s="776" t="s">
        <v>2127</v>
      </c>
      <c r="BN96" s="776" t="s">
        <v>2127</v>
      </c>
      <c r="BO96" s="776" t="s">
        <v>2127</v>
      </c>
      <c r="BP96" s="776" t="s">
        <v>2127</v>
      </c>
      <c r="BQ96" s="776" t="s">
        <v>2127</v>
      </c>
      <c r="BR96" s="776" t="s">
        <v>2127</v>
      </c>
      <c r="BS96" s="776" t="s">
        <v>2127</v>
      </c>
      <c r="BT96" s="776" t="s">
        <v>2127</v>
      </c>
      <c r="BU96" s="776" t="s">
        <v>2127</v>
      </c>
      <c r="BV96" s="776" t="s">
        <v>2127</v>
      </c>
      <c r="BW96" s="776" t="s">
        <v>2127</v>
      </c>
      <c r="BX96" s="776" t="s">
        <v>2127</v>
      </c>
      <c r="BY96" s="776" t="s">
        <v>2127</v>
      </c>
      <c r="BZ96" s="776" t="s">
        <v>2127</v>
      </c>
      <c r="CA96" s="776" t="s">
        <v>2127</v>
      </c>
      <c r="CB96" s="776" t="s">
        <v>2127</v>
      </c>
      <c r="CC96" s="776" t="s">
        <v>2127</v>
      </c>
      <c r="CD96" s="776" t="s">
        <v>2127</v>
      </c>
      <c r="CE96" s="776" t="s">
        <v>2127</v>
      </c>
      <c r="CF96" s="776" t="s">
        <v>2127</v>
      </c>
      <c r="CG96" s="776" t="s">
        <v>2127</v>
      </c>
      <c r="CH96" s="776" t="s">
        <v>2127</v>
      </c>
      <c r="CI96" s="776" t="s">
        <v>2127</v>
      </c>
      <c r="CJ96" s="776" t="s">
        <v>2127</v>
      </c>
      <c r="CK96" s="776" t="s">
        <v>2127</v>
      </c>
      <c r="CL96" s="776" t="s">
        <v>2127</v>
      </c>
      <c r="CM96" s="776" t="s">
        <v>2127</v>
      </c>
      <c r="CN96" s="776" t="s">
        <v>2127</v>
      </c>
      <c r="CO96" s="776" t="s">
        <v>2127</v>
      </c>
      <c r="CP96" s="776" t="s">
        <v>2127</v>
      </c>
      <c r="CQ96" s="776" t="s">
        <v>2127</v>
      </c>
      <c r="CR96" s="776" t="s">
        <v>2127</v>
      </c>
      <c r="CS96" s="776" t="s">
        <v>2127</v>
      </c>
      <c r="CT96" s="776" t="s">
        <v>2127</v>
      </c>
      <c r="CU96" s="776" t="s">
        <v>2127</v>
      </c>
      <c r="CV96" s="776" t="s">
        <v>2127</v>
      </c>
      <c r="CW96" s="776" t="s">
        <v>2127</v>
      </c>
      <c r="CX96" s="776" t="s">
        <v>2127</v>
      </c>
      <c r="CY96" s="776" t="s">
        <v>2127</v>
      </c>
      <c r="CZ96" s="776" t="s">
        <v>2127</v>
      </c>
      <c r="DA96" s="776" t="s">
        <v>2127</v>
      </c>
      <c r="DB96" s="776" t="s">
        <v>2127</v>
      </c>
      <c r="DC96" s="776" t="s">
        <v>2127</v>
      </c>
      <c r="DD96" s="776" t="s">
        <v>2127</v>
      </c>
      <c r="DE96" s="776" t="s">
        <v>2127</v>
      </c>
      <c r="DF96" s="776" t="s">
        <v>2127</v>
      </c>
      <c r="DG96" s="776" t="s">
        <v>2127</v>
      </c>
      <c r="DH96" s="776" t="s">
        <v>2127</v>
      </c>
      <c r="DI96" s="776" t="s">
        <v>2127</v>
      </c>
      <c r="DJ96" s="776" t="s">
        <v>2127</v>
      </c>
      <c r="DK96" s="776" t="s">
        <v>2127</v>
      </c>
      <c r="DL96" s="776" t="s">
        <v>2127</v>
      </c>
      <c r="DM96" s="776" t="s">
        <v>2127</v>
      </c>
      <c r="DN96" s="776" t="s">
        <v>2127</v>
      </c>
      <c r="DO96" s="776" t="s">
        <v>2127</v>
      </c>
      <c r="DP96" s="776" t="s">
        <v>2127</v>
      </c>
    </row>
    <row r="97" spans="1:120" x14ac:dyDescent="0.2">
      <c r="A97" s="637" t="s">
        <v>2141</v>
      </c>
      <c r="B97" s="772" t="str" cm="1">
        <f t="array" ref="B97">IFERROR(INDEX(Kulturen[HF],_xlfn.AGGREGATE(15,6,(ROW(Kulturen[Auswahl])-7)/(--(SEARCH("x",Kulturen[Auswahl])&gt;0)),ROW()-7),1),"")</f>
        <v>GPS Erbsen/Ackerb.</v>
      </c>
      <c r="C97" s="772" t="str">
        <f>IF(Kulturen[[#This Row],[HF]]=$D$373,IF($C$6=0,0,"x"),IF($C$6=0,"x",Vorauswahl!C96))</f>
        <v>x</v>
      </c>
      <c r="D97" s="77" t="s">
        <v>2441</v>
      </c>
      <c r="E97" s="77" t="s">
        <v>2441</v>
      </c>
      <c r="F97" s="540" t="s">
        <v>112</v>
      </c>
      <c r="G97" s="540">
        <v>7</v>
      </c>
      <c r="H97" s="540">
        <v>8</v>
      </c>
      <c r="I97" s="540">
        <v>3</v>
      </c>
      <c r="J97" s="540">
        <v>90</v>
      </c>
      <c r="K97" s="540">
        <v>0.16</v>
      </c>
      <c r="L97" s="540">
        <v>0.16</v>
      </c>
      <c r="M97" s="540">
        <v>450</v>
      </c>
      <c r="N97" s="540">
        <v>0</v>
      </c>
      <c r="O97" s="540">
        <v>1</v>
      </c>
      <c r="P97" s="540">
        <v>0</v>
      </c>
      <c r="Q97" s="540">
        <v>200</v>
      </c>
      <c r="R97" s="540">
        <v>50</v>
      </c>
      <c r="S97" s="540">
        <v>10</v>
      </c>
      <c r="T97" s="540">
        <v>15</v>
      </c>
      <c r="U97" s="540">
        <v>0</v>
      </c>
      <c r="V97" s="540">
        <v>5</v>
      </c>
      <c r="W97" s="776">
        <f>IF(Kulturen[[#This Row],[Berechnungsschema]]=13,3,IF(Kulturen[[#This Row],[Berechnungsschema]]=6,2,1))</f>
        <v>1</v>
      </c>
      <c r="X97" s="776">
        <f>IF(Kulturen[[#This Row],[fruchtartengruppe]]=13,Kulturen[[#This Row],[NBedarfswert]],MAX(0,Kulturen[[#This Row],[NBedarfswert]]-Kulturen[[#This Row],[Ertrag]]*Kulturen[[#This Row],[Nfix]]))</f>
        <v>200</v>
      </c>
      <c r="Y97" s="1410">
        <v>533</v>
      </c>
      <c r="Z97" s="1410">
        <v>533</v>
      </c>
      <c r="AA97" s="1410">
        <v>524</v>
      </c>
      <c r="AB97" s="1410">
        <v>574</v>
      </c>
      <c r="AC97" s="1410">
        <v>588</v>
      </c>
      <c r="AD97" s="1410">
        <v>474</v>
      </c>
      <c r="AE97" s="1410">
        <v>597</v>
      </c>
      <c r="AF97" s="1410">
        <v>556</v>
      </c>
      <c r="AG97" s="1410">
        <v>564</v>
      </c>
      <c r="AH97" s="1410">
        <v>614</v>
      </c>
      <c r="AI97" s="1410">
        <v>557</v>
      </c>
      <c r="AJ97" s="1410">
        <v>592</v>
      </c>
      <c r="AK97" s="1410">
        <v>528</v>
      </c>
      <c r="AL97" s="1410">
        <v>559</v>
      </c>
      <c r="AM97" s="1410">
        <v>523</v>
      </c>
      <c r="AN97" s="1410">
        <v>581</v>
      </c>
      <c r="AO97" s="1410">
        <v>463</v>
      </c>
      <c r="AP97" s="1410">
        <v>547</v>
      </c>
      <c r="AQ97" s="1410">
        <v>515</v>
      </c>
      <c r="AR97" s="1410">
        <v>584</v>
      </c>
      <c r="AS97" s="1410">
        <v>535</v>
      </c>
      <c r="AT97" s="1410">
        <v>602</v>
      </c>
      <c r="AU97" s="1410">
        <v>573</v>
      </c>
      <c r="AV97" s="1410">
        <v>528</v>
      </c>
      <c r="AW97" s="1410">
        <v>539</v>
      </c>
      <c r="AX97" s="1410">
        <v>531</v>
      </c>
      <c r="AY97" s="1410">
        <v>630</v>
      </c>
      <c r="AZ97" s="1410">
        <v>538</v>
      </c>
      <c r="BA97" s="1410">
        <v>505</v>
      </c>
      <c r="BB97" s="1410">
        <v>554</v>
      </c>
      <c r="BC97" s="1410">
        <v>598</v>
      </c>
      <c r="BD97" s="1410">
        <v>524</v>
      </c>
      <c r="BE97" s="1410">
        <v>563</v>
      </c>
      <c r="BF97" s="1410">
        <v>525</v>
      </c>
      <c r="BG97" s="1410">
        <v>542</v>
      </c>
      <c r="BH97" s="1410">
        <v>541</v>
      </c>
      <c r="BI97" s="1410">
        <v>537</v>
      </c>
      <c r="BJ97" s="1410">
        <v>529</v>
      </c>
      <c r="BK97" s="1410">
        <v>484</v>
      </c>
      <c r="BL97" s="1410">
        <v>510</v>
      </c>
      <c r="BM97" s="1410">
        <v>494</v>
      </c>
      <c r="BN97" s="1410">
        <v>509</v>
      </c>
      <c r="BO97" s="1410">
        <v>550</v>
      </c>
      <c r="BP97" s="1410">
        <v>487</v>
      </c>
      <c r="BQ97" s="1410">
        <v>523</v>
      </c>
      <c r="BR97" s="1410">
        <v>523</v>
      </c>
      <c r="BS97" s="1410">
        <v>532</v>
      </c>
      <c r="BT97" s="1410">
        <v>528</v>
      </c>
      <c r="BU97" s="1410">
        <v>528</v>
      </c>
      <c r="BV97" s="1410">
        <v>500</v>
      </c>
      <c r="BW97" s="1410">
        <v>516</v>
      </c>
      <c r="BX97" s="1410">
        <v>476</v>
      </c>
      <c r="BY97" s="1410">
        <v>486</v>
      </c>
      <c r="BZ97" s="1410">
        <v>517</v>
      </c>
      <c r="CA97" s="1410">
        <v>424</v>
      </c>
      <c r="CB97" s="1410">
        <v>482</v>
      </c>
      <c r="CC97" s="1410">
        <v>468</v>
      </c>
      <c r="CD97" s="1410">
        <v>487</v>
      </c>
      <c r="CE97" s="1410">
        <v>533</v>
      </c>
      <c r="CF97" s="1410">
        <v>502</v>
      </c>
      <c r="CG97" s="1410">
        <v>547</v>
      </c>
      <c r="CH97" s="1410">
        <v>528</v>
      </c>
      <c r="CI97" s="1410">
        <v>528</v>
      </c>
      <c r="CJ97" s="1410">
        <v>479</v>
      </c>
      <c r="CK97" s="1410">
        <v>489</v>
      </c>
      <c r="CL97" s="1410">
        <v>481</v>
      </c>
      <c r="CM97" s="1410">
        <v>453</v>
      </c>
      <c r="CN97" s="1410">
        <v>461</v>
      </c>
      <c r="CO97" s="1410">
        <v>435</v>
      </c>
      <c r="CP97" s="1410">
        <v>511</v>
      </c>
      <c r="CQ97" s="1410">
        <v>528</v>
      </c>
      <c r="CR97" s="1410">
        <v>521</v>
      </c>
      <c r="CS97" s="1410">
        <v>528</v>
      </c>
      <c r="CT97" s="1410">
        <v>492</v>
      </c>
      <c r="CU97" s="1410">
        <v>419</v>
      </c>
      <c r="CV97" s="1410">
        <v>440</v>
      </c>
      <c r="CW97" s="1410">
        <v>440</v>
      </c>
      <c r="CX97" s="1410">
        <v>493</v>
      </c>
      <c r="CY97" s="1410">
        <v>515</v>
      </c>
      <c r="CZ97" s="1410">
        <v>436</v>
      </c>
      <c r="DA97" s="1410">
        <v>462</v>
      </c>
      <c r="DB97" s="1410">
        <v>504</v>
      </c>
      <c r="DC97" s="1410">
        <v>528</v>
      </c>
      <c r="DD97" s="1410">
        <v>532</v>
      </c>
      <c r="DE97" s="1410">
        <v>528</v>
      </c>
      <c r="DF97" s="1410">
        <v>537</v>
      </c>
      <c r="DG97" s="1410">
        <v>563</v>
      </c>
      <c r="DH97" s="1410">
        <v>550</v>
      </c>
      <c r="DI97" s="1410">
        <v>565</v>
      </c>
      <c r="DJ97" s="1410">
        <v>566</v>
      </c>
      <c r="DK97" s="1410">
        <v>548</v>
      </c>
      <c r="DL97" s="1410">
        <v>528</v>
      </c>
      <c r="DM97" s="1410">
        <v>567</v>
      </c>
      <c r="DN97" s="1410">
        <v>582</v>
      </c>
      <c r="DO97" s="1410">
        <v>509</v>
      </c>
      <c r="DP97" s="1410">
        <v>528</v>
      </c>
    </row>
    <row r="98" spans="1:120" x14ac:dyDescent="0.2">
      <c r="A98" s="637" t="s">
        <v>2142</v>
      </c>
      <c r="B98" s="772" t="str" cm="1">
        <f t="array" ref="B98">IFERROR(INDEX(Kulturen[HF],_xlfn.AGGREGATE(15,6,(ROW(Kulturen[Auswahl])-7)/(--(SEARCH("x",Kulturen[Auswahl])&gt;0)),ROW()-7),1),"")</f>
        <v>GPS Wicken</v>
      </c>
      <c r="C98" s="772" t="str">
        <f>IF(Kulturen[[#This Row],[HF]]=$D$373,IF($C$6=0,0,"x"),IF($C$6=0,"x",Vorauswahl!C97))</f>
        <v>x</v>
      </c>
      <c r="D98" s="77" t="s">
        <v>573</v>
      </c>
      <c r="E98" s="77" t="s">
        <v>573</v>
      </c>
      <c r="F98" s="540" t="s">
        <v>574</v>
      </c>
      <c r="G98" s="540">
        <v>7</v>
      </c>
      <c r="H98" s="540">
        <v>8</v>
      </c>
      <c r="I98" s="540">
        <v>3</v>
      </c>
      <c r="J98" s="540">
        <v>90</v>
      </c>
      <c r="K98" s="540">
        <v>0.41</v>
      </c>
      <c r="L98" s="540">
        <v>0.41</v>
      </c>
      <c r="M98" s="540">
        <v>120</v>
      </c>
      <c r="N98" s="540">
        <v>0</v>
      </c>
      <c r="O98" s="540">
        <v>1</v>
      </c>
      <c r="P98" s="540">
        <v>0</v>
      </c>
      <c r="Q98" s="540">
        <v>200</v>
      </c>
      <c r="R98" s="540">
        <v>20</v>
      </c>
      <c r="S98" s="540">
        <v>10</v>
      </c>
      <c r="T98" s="540">
        <v>15</v>
      </c>
      <c r="U98" s="540">
        <v>0</v>
      </c>
      <c r="V98" s="540">
        <v>5</v>
      </c>
      <c r="W98" s="776">
        <f>IF(Kulturen[[#This Row],[Berechnungsschema]]=13,3,IF(Kulturen[[#This Row],[Berechnungsschema]]=6,2,1))</f>
        <v>1</v>
      </c>
      <c r="X98" s="776">
        <f>IF(Kulturen[[#This Row],[fruchtartengruppe]]=13,Kulturen[[#This Row],[NBedarfswert]],MAX(0,Kulturen[[#This Row],[NBedarfswert]]-Kulturen[[#This Row],[Ertrag]]*Kulturen[[#This Row],[Nfix]]))</f>
        <v>200</v>
      </c>
      <c r="Y98" s="776">
        <v>154</v>
      </c>
      <c r="Z98" s="776">
        <v>158</v>
      </c>
      <c r="AA98" s="776">
        <v>158</v>
      </c>
      <c r="AB98" s="776">
        <v>172</v>
      </c>
      <c r="AC98" s="776">
        <v>158</v>
      </c>
      <c r="AD98" s="776">
        <v>158</v>
      </c>
      <c r="AE98" s="776">
        <v>168</v>
      </c>
      <c r="AF98" s="776">
        <v>158</v>
      </c>
      <c r="AG98" s="776">
        <v>145</v>
      </c>
      <c r="AH98" s="776">
        <v>175</v>
      </c>
      <c r="AI98" s="776">
        <v>148</v>
      </c>
      <c r="AJ98" s="776">
        <v>147</v>
      </c>
      <c r="AK98" s="776">
        <v>158</v>
      </c>
      <c r="AL98" s="776">
        <v>150</v>
      </c>
      <c r="AM98" s="776">
        <v>158</v>
      </c>
      <c r="AN98" s="776">
        <v>163</v>
      </c>
      <c r="AO98" s="776">
        <v>148</v>
      </c>
      <c r="AP98" s="776">
        <v>151</v>
      </c>
      <c r="AQ98" s="776">
        <v>164</v>
      </c>
      <c r="AR98" s="776">
        <v>158</v>
      </c>
      <c r="AS98" s="776">
        <v>156</v>
      </c>
      <c r="AT98" s="776">
        <v>167</v>
      </c>
      <c r="AU98" s="776">
        <v>158</v>
      </c>
      <c r="AV98" s="776">
        <v>158</v>
      </c>
      <c r="AW98" s="776">
        <v>160</v>
      </c>
      <c r="AX98" s="776">
        <v>158</v>
      </c>
      <c r="AY98" s="776">
        <v>172</v>
      </c>
      <c r="AZ98" s="776">
        <v>158</v>
      </c>
      <c r="BA98" s="776">
        <v>161</v>
      </c>
      <c r="BB98" s="776">
        <v>156</v>
      </c>
      <c r="BC98" s="776">
        <v>163</v>
      </c>
      <c r="BD98" s="776">
        <v>158</v>
      </c>
      <c r="BE98" s="776">
        <v>158</v>
      </c>
      <c r="BF98" s="776">
        <v>159</v>
      </c>
      <c r="BG98" s="776">
        <v>156</v>
      </c>
      <c r="BH98" s="776">
        <v>158</v>
      </c>
      <c r="BI98" s="776">
        <v>157</v>
      </c>
      <c r="BJ98" s="776">
        <v>158</v>
      </c>
      <c r="BK98" s="776">
        <v>154</v>
      </c>
      <c r="BL98" s="776">
        <v>156</v>
      </c>
      <c r="BM98" s="776">
        <v>157</v>
      </c>
      <c r="BN98" s="776">
        <v>158</v>
      </c>
      <c r="BO98" s="776">
        <v>155</v>
      </c>
      <c r="BP98" s="776">
        <v>135</v>
      </c>
      <c r="BQ98" s="776">
        <v>158</v>
      </c>
      <c r="BR98" s="776">
        <v>158</v>
      </c>
      <c r="BS98" s="776">
        <v>158</v>
      </c>
      <c r="BT98" s="776">
        <v>158</v>
      </c>
      <c r="BU98" s="776">
        <v>158</v>
      </c>
      <c r="BV98" s="776">
        <v>147</v>
      </c>
      <c r="BW98" s="776">
        <v>158</v>
      </c>
      <c r="BX98" s="776">
        <v>154</v>
      </c>
      <c r="BY98" s="776">
        <v>153</v>
      </c>
      <c r="BZ98" s="776">
        <v>158</v>
      </c>
      <c r="CA98" s="776">
        <v>158</v>
      </c>
      <c r="CB98" s="776">
        <v>158</v>
      </c>
      <c r="CC98" s="776">
        <v>158</v>
      </c>
      <c r="CD98" s="776">
        <v>158</v>
      </c>
      <c r="CE98" s="776">
        <v>157</v>
      </c>
      <c r="CF98" s="776">
        <v>158</v>
      </c>
      <c r="CG98" s="776">
        <v>158</v>
      </c>
      <c r="CH98" s="776">
        <v>158</v>
      </c>
      <c r="CI98" s="776">
        <v>158</v>
      </c>
      <c r="CJ98" s="776">
        <v>151</v>
      </c>
      <c r="CK98" s="776">
        <v>152</v>
      </c>
      <c r="CL98" s="776">
        <v>163</v>
      </c>
      <c r="CM98" s="776">
        <v>152</v>
      </c>
      <c r="CN98" s="776">
        <v>133</v>
      </c>
      <c r="CO98" s="776">
        <v>148</v>
      </c>
      <c r="CP98" s="776">
        <v>147</v>
      </c>
      <c r="CQ98" s="776">
        <v>158</v>
      </c>
      <c r="CR98" s="776">
        <v>158</v>
      </c>
      <c r="CS98" s="776">
        <v>156</v>
      </c>
      <c r="CT98" s="776">
        <v>152</v>
      </c>
      <c r="CU98" s="776">
        <v>158</v>
      </c>
      <c r="CV98" s="776">
        <v>123</v>
      </c>
      <c r="CW98" s="776">
        <v>130</v>
      </c>
      <c r="CX98" s="776">
        <v>118</v>
      </c>
      <c r="CY98" s="776">
        <v>150</v>
      </c>
      <c r="CZ98" s="776">
        <v>147</v>
      </c>
      <c r="DA98" s="776">
        <v>141</v>
      </c>
      <c r="DB98" s="776">
        <v>147</v>
      </c>
      <c r="DC98" s="776">
        <v>158</v>
      </c>
      <c r="DD98" s="776">
        <v>158</v>
      </c>
      <c r="DE98" s="776">
        <v>158</v>
      </c>
      <c r="DF98" s="776">
        <v>158</v>
      </c>
      <c r="DG98" s="776">
        <v>165</v>
      </c>
      <c r="DH98" s="776">
        <v>174</v>
      </c>
      <c r="DI98" s="776">
        <v>161</v>
      </c>
      <c r="DJ98" s="776">
        <v>159</v>
      </c>
      <c r="DK98" s="776">
        <v>153</v>
      </c>
      <c r="DL98" s="776">
        <v>158</v>
      </c>
      <c r="DM98" s="776">
        <v>158</v>
      </c>
      <c r="DN98" s="776">
        <v>156</v>
      </c>
      <c r="DO98" s="776">
        <v>151</v>
      </c>
      <c r="DP98" s="776">
        <v>158</v>
      </c>
    </row>
    <row r="99" spans="1:120" x14ac:dyDescent="0.2">
      <c r="A99" s="637" t="s">
        <v>2143</v>
      </c>
      <c r="B99" s="772" t="str" cm="1">
        <f t="array" ref="B99">IFERROR(INDEX(Kulturen[HF],_xlfn.AGGREGATE(15,6,(ROW(Kulturen[Auswahl])-7)/(--(SEARCH("x",Kulturen[Auswahl])&gt;0)),ROW()-7),1),"")</f>
        <v>GPS Rübsen</v>
      </c>
      <c r="C99" s="772" t="str">
        <f>IF(Kulturen[[#This Row],[HF]]=$D$373,IF($C$6=0,0,"x"),IF($C$6=0,"x",Vorauswahl!C98))</f>
        <v>x</v>
      </c>
      <c r="D99" s="77" t="s">
        <v>575</v>
      </c>
      <c r="E99" s="77" t="s">
        <v>575</v>
      </c>
      <c r="F99" s="540" t="s">
        <v>576</v>
      </c>
      <c r="G99" s="540">
        <v>7</v>
      </c>
      <c r="H99" s="540">
        <v>8</v>
      </c>
      <c r="I99" s="540">
        <v>3</v>
      </c>
      <c r="J99" s="540">
        <v>90</v>
      </c>
      <c r="K99" s="540">
        <v>0.32</v>
      </c>
      <c r="L99" s="540">
        <v>0.32</v>
      </c>
      <c r="M99" s="540">
        <v>150</v>
      </c>
      <c r="N99" s="540">
        <v>0</v>
      </c>
      <c r="O99" s="540">
        <v>1</v>
      </c>
      <c r="P99" s="540">
        <v>0</v>
      </c>
      <c r="Q99" s="540">
        <v>200</v>
      </c>
      <c r="R99" s="540">
        <v>20</v>
      </c>
      <c r="S99" s="540">
        <v>10</v>
      </c>
      <c r="T99" s="540">
        <v>15</v>
      </c>
      <c r="U99" s="540">
        <v>0</v>
      </c>
      <c r="V99" s="540">
        <v>5</v>
      </c>
      <c r="W99" s="776">
        <f>IF(Kulturen[[#This Row],[Berechnungsschema]]=13,3,IF(Kulturen[[#This Row],[Berechnungsschema]]=6,2,1))</f>
        <v>1</v>
      </c>
      <c r="X99" s="776">
        <f>IF(Kulturen[[#This Row],[fruchtartengruppe]]=13,Kulturen[[#This Row],[NBedarfswert]],MAX(0,Kulturen[[#This Row],[NBedarfswert]]-Kulturen[[#This Row],[Ertrag]]*Kulturen[[#This Row],[Nfix]]))</f>
        <v>200</v>
      </c>
      <c r="Y99" s="776">
        <v>185</v>
      </c>
      <c r="Z99" s="776">
        <v>189</v>
      </c>
      <c r="AA99" s="776">
        <v>189</v>
      </c>
      <c r="AB99" s="776">
        <v>206</v>
      </c>
      <c r="AC99" s="776">
        <v>189</v>
      </c>
      <c r="AD99" s="776">
        <v>189</v>
      </c>
      <c r="AE99" s="776">
        <v>201</v>
      </c>
      <c r="AF99" s="776">
        <v>189</v>
      </c>
      <c r="AG99" s="776">
        <v>173</v>
      </c>
      <c r="AH99" s="776">
        <v>209</v>
      </c>
      <c r="AI99" s="776">
        <v>177</v>
      </c>
      <c r="AJ99" s="776">
        <v>177</v>
      </c>
      <c r="AK99" s="776">
        <v>189</v>
      </c>
      <c r="AL99" s="776">
        <v>180</v>
      </c>
      <c r="AM99" s="776">
        <v>189</v>
      </c>
      <c r="AN99" s="776">
        <v>196</v>
      </c>
      <c r="AO99" s="776">
        <v>178</v>
      </c>
      <c r="AP99" s="776">
        <v>181</v>
      </c>
      <c r="AQ99" s="776">
        <v>197</v>
      </c>
      <c r="AR99" s="776">
        <v>189</v>
      </c>
      <c r="AS99" s="776">
        <v>188</v>
      </c>
      <c r="AT99" s="776">
        <v>201</v>
      </c>
      <c r="AU99" s="776">
        <v>189</v>
      </c>
      <c r="AV99" s="776">
        <v>189</v>
      </c>
      <c r="AW99" s="776">
        <v>192</v>
      </c>
      <c r="AX99" s="776">
        <v>190</v>
      </c>
      <c r="AY99" s="776">
        <v>206</v>
      </c>
      <c r="AZ99" s="776">
        <v>189</v>
      </c>
      <c r="BA99" s="776">
        <v>193</v>
      </c>
      <c r="BB99" s="776">
        <v>187</v>
      </c>
      <c r="BC99" s="776">
        <v>195</v>
      </c>
      <c r="BD99" s="776">
        <v>189</v>
      </c>
      <c r="BE99" s="776">
        <v>189</v>
      </c>
      <c r="BF99" s="776">
        <v>191</v>
      </c>
      <c r="BG99" s="776">
        <v>187</v>
      </c>
      <c r="BH99" s="776">
        <v>189</v>
      </c>
      <c r="BI99" s="776">
        <v>189</v>
      </c>
      <c r="BJ99" s="776">
        <v>189</v>
      </c>
      <c r="BK99" s="776">
        <v>185</v>
      </c>
      <c r="BL99" s="776">
        <v>187</v>
      </c>
      <c r="BM99" s="776">
        <v>189</v>
      </c>
      <c r="BN99" s="776">
        <v>189</v>
      </c>
      <c r="BO99" s="776">
        <v>186</v>
      </c>
      <c r="BP99" s="776">
        <v>163</v>
      </c>
      <c r="BQ99" s="776">
        <v>189</v>
      </c>
      <c r="BR99" s="776">
        <v>189</v>
      </c>
      <c r="BS99" s="776">
        <v>189</v>
      </c>
      <c r="BT99" s="776">
        <v>189</v>
      </c>
      <c r="BU99" s="776">
        <v>189</v>
      </c>
      <c r="BV99" s="776">
        <v>177</v>
      </c>
      <c r="BW99" s="776">
        <v>189</v>
      </c>
      <c r="BX99" s="776">
        <v>185</v>
      </c>
      <c r="BY99" s="776">
        <v>183</v>
      </c>
      <c r="BZ99" s="776">
        <v>189</v>
      </c>
      <c r="CA99" s="776">
        <v>189</v>
      </c>
      <c r="CB99" s="776">
        <v>189</v>
      </c>
      <c r="CC99" s="776">
        <v>189</v>
      </c>
      <c r="CD99" s="776">
        <v>189</v>
      </c>
      <c r="CE99" s="776">
        <v>189</v>
      </c>
      <c r="CF99" s="776">
        <v>189</v>
      </c>
      <c r="CG99" s="776">
        <v>189</v>
      </c>
      <c r="CH99" s="776">
        <v>189</v>
      </c>
      <c r="CI99" s="776">
        <v>189</v>
      </c>
      <c r="CJ99" s="776">
        <v>181</v>
      </c>
      <c r="CK99" s="776">
        <v>182</v>
      </c>
      <c r="CL99" s="776">
        <v>196</v>
      </c>
      <c r="CM99" s="776">
        <v>182</v>
      </c>
      <c r="CN99" s="776">
        <v>159</v>
      </c>
      <c r="CO99" s="776">
        <v>178</v>
      </c>
      <c r="CP99" s="776">
        <v>176</v>
      </c>
      <c r="CQ99" s="776">
        <v>189</v>
      </c>
      <c r="CR99" s="776">
        <v>189</v>
      </c>
      <c r="CS99" s="776">
        <v>187</v>
      </c>
      <c r="CT99" s="776">
        <v>183</v>
      </c>
      <c r="CU99" s="776">
        <v>189</v>
      </c>
      <c r="CV99" s="776">
        <v>147</v>
      </c>
      <c r="CW99" s="776">
        <v>156</v>
      </c>
      <c r="CX99" s="776">
        <v>142</v>
      </c>
      <c r="CY99" s="776">
        <v>180</v>
      </c>
      <c r="CZ99" s="776">
        <v>176</v>
      </c>
      <c r="DA99" s="776">
        <v>169</v>
      </c>
      <c r="DB99" s="776">
        <v>176</v>
      </c>
      <c r="DC99" s="776">
        <v>189</v>
      </c>
      <c r="DD99" s="776">
        <v>189</v>
      </c>
      <c r="DE99" s="776">
        <v>189</v>
      </c>
      <c r="DF99" s="776">
        <v>189</v>
      </c>
      <c r="DG99" s="776">
        <v>198</v>
      </c>
      <c r="DH99" s="776">
        <v>209</v>
      </c>
      <c r="DI99" s="776">
        <v>193</v>
      </c>
      <c r="DJ99" s="776">
        <v>191</v>
      </c>
      <c r="DK99" s="776">
        <v>184</v>
      </c>
      <c r="DL99" s="776">
        <v>189</v>
      </c>
      <c r="DM99" s="776">
        <v>189</v>
      </c>
      <c r="DN99" s="776">
        <v>187</v>
      </c>
      <c r="DO99" s="776">
        <v>181</v>
      </c>
      <c r="DP99" s="776">
        <v>189</v>
      </c>
    </row>
    <row r="100" spans="1:120" x14ac:dyDescent="0.2">
      <c r="A100" s="637" t="s">
        <v>2144</v>
      </c>
      <c r="B100" s="772" t="str" cm="1">
        <f t="array" ref="B100">IFERROR(INDEX(Kulturen[HF],_xlfn.AGGREGATE(15,6,(ROW(Kulturen[Auswahl])-7)/(--(SEARCH("x",Kulturen[Auswahl])&gt;0)),ROW()-7),1),"")</f>
        <v>GPS Winterraps</v>
      </c>
      <c r="C100" s="772" t="str">
        <f>IF(Kulturen[[#This Row],[HF]]=$D$373,IF($C$6=0,0,"x"),IF($C$6=0,"x",Vorauswahl!C99))</f>
        <v>x</v>
      </c>
      <c r="D100" s="77" t="s">
        <v>577</v>
      </c>
      <c r="E100" s="77" t="s">
        <v>577</v>
      </c>
      <c r="F100" s="540" t="s">
        <v>578</v>
      </c>
      <c r="G100" s="540">
        <v>7</v>
      </c>
      <c r="H100" s="540">
        <v>8</v>
      </c>
      <c r="I100" s="540">
        <v>3</v>
      </c>
      <c r="J100" s="540">
        <v>90</v>
      </c>
      <c r="K100" s="540">
        <v>0.23</v>
      </c>
      <c r="L100" s="540">
        <v>0.23</v>
      </c>
      <c r="M100" s="540">
        <v>350</v>
      </c>
      <c r="N100" s="540">
        <v>0</v>
      </c>
      <c r="O100" s="540">
        <v>1</v>
      </c>
      <c r="P100" s="540" t="s">
        <v>1581</v>
      </c>
      <c r="Q100" s="540">
        <v>210</v>
      </c>
      <c r="R100" s="540">
        <v>50</v>
      </c>
      <c r="S100" s="540">
        <v>10</v>
      </c>
      <c r="T100" s="540">
        <v>15</v>
      </c>
      <c r="U100" s="540">
        <v>0</v>
      </c>
      <c r="V100" s="540">
        <v>4</v>
      </c>
      <c r="W100" s="776">
        <f>IF(Kulturen[[#This Row],[Berechnungsschema]]=13,3,IF(Kulturen[[#This Row],[Berechnungsschema]]=6,2,1))</f>
        <v>1</v>
      </c>
      <c r="X100" s="776">
        <f>IF(Kulturen[[#This Row],[fruchtartengruppe]]=13,Kulturen[[#This Row],[NBedarfswert]],MAX(0,Kulturen[[#This Row],[NBedarfswert]]-Kulturen[[#This Row],[Ertrag]]*Kulturen[[#This Row],[Nfix]]))</f>
        <v>210</v>
      </c>
      <c r="Y100" s="776">
        <v>257</v>
      </c>
      <c r="Z100" s="776">
        <v>257</v>
      </c>
      <c r="AA100" s="776">
        <v>257</v>
      </c>
      <c r="AB100" s="776">
        <v>257</v>
      </c>
      <c r="AC100" s="776">
        <v>257</v>
      </c>
      <c r="AD100" s="776">
        <v>257</v>
      </c>
      <c r="AE100" s="776">
        <v>257</v>
      </c>
      <c r="AF100" s="776">
        <v>257</v>
      </c>
      <c r="AG100" s="776">
        <v>257</v>
      </c>
      <c r="AH100" s="776">
        <v>257</v>
      </c>
      <c r="AI100" s="776">
        <v>257</v>
      </c>
      <c r="AJ100" s="776">
        <v>257</v>
      </c>
      <c r="AK100" s="776">
        <v>257</v>
      </c>
      <c r="AL100" s="776">
        <v>257</v>
      </c>
      <c r="AM100" s="776">
        <v>257</v>
      </c>
      <c r="AN100" s="776">
        <v>257</v>
      </c>
      <c r="AO100" s="776">
        <v>257</v>
      </c>
      <c r="AP100" s="776">
        <v>257</v>
      </c>
      <c r="AQ100" s="776">
        <v>257</v>
      </c>
      <c r="AR100" s="776">
        <v>257</v>
      </c>
      <c r="AS100" s="776">
        <v>257</v>
      </c>
      <c r="AT100" s="776">
        <v>257</v>
      </c>
      <c r="AU100" s="776">
        <v>257</v>
      </c>
      <c r="AV100" s="776">
        <v>257</v>
      </c>
      <c r="AW100" s="776">
        <v>257</v>
      </c>
      <c r="AX100" s="776">
        <v>257</v>
      </c>
      <c r="AY100" s="776">
        <v>257</v>
      </c>
      <c r="AZ100" s="776">
        <v>257</v>
      </c>
      <c r="BA100" s="776">
        <v>257</v>
      </c>
      <c r="BB100" s="776">
        <v>257</v>
      </c>
      <c r="BC100" s="776">
        <v>257</v>
      </c>
      <c r="BD100" s="776">
        <v>257</v>
      </c>
      <c r="BE100" s="776">
        <v>257</v>
      </c>
      <c r="BF100" s="776">
        <v>257</v>
      </c>
      <c r="BG100" s="776">
        <v>257</v>
      </c>
      <c r="BH100" s="776">
        <v>257</v>
      </c>
      <c r="BI100" s="776">
        <v>257</v>
      </c>
      <c r="BJ100" s="776">
        <v>257</v>
      </c>
      <c r="BK100" s="776">
        <v>257</v>
      </c>
      <c r="BL100" s="776">
        <v>257</v>
      </c>
      <c r="BM100" s="776">
        <v>257</v>
      </c>
      <c r="BN100" s="776">
        <v>257</v>
      </c>
      <c r="BO100" s="776">
        <v>257</v>
      </c>
      <c r="BP100" s="776">
        <v>257</v>
      </c>
      <c r="BQ100" s="776">
        <v>257</v>
      </c>
      <c r="BR100" s="776">
        <v>257</v>
      </c>
      <c r="BS100" s="776">
        <v>257</v>
      </c>
      <c r="BT100" s="776">
        <v>257</v>
      </c>
      <c r="BU100" s="776">
        <v>257</v>
      </c>
      <c r="BV100" s="776">
        <v>257</v>
      </c>
      <c r="BW100" s="776">
        <v>257</v>
      </c>
      <c r="BX100" s="776">
        <v>257</v>
      </c>
      <c r="BY100" s="776">
        <v>257</v>
      </c>
      <c r="BZ100" s="776">
        <v>257</v>
      </c>
      <c r="CA100" s="776">
        <v>257</v>
      </c>
      <c r="CB100" s="776">
        <v>257</v>
      </c>
      <c r="CC100" s="776">
        <v>257</v>
      </c>
      <c r="CD100" s="776">
        <v>257</v>
      </c>
      <c r="CE100" s="776">
        <v>257</v>
      </c>
      <c r="CF100" s="776">
        <v>257</v>
      </c>
      <c r="CG100" s="776">
        <v>257</v>
      </c>
      <c r="CH100" s="776">
        <v>257</v>
      </c>
      <c r="CI100" s="776">
        <v>257</v>
      </c>
      <c r="CJ100" s="776">
        <v>257</v>
      </c>
      <c r="CK100" s="776">
        <v>257</v>
      </c>
      <c r="CL100" s="776">
        <v>257</v>
      </c>
      <c r="CM100" s="776">
        <v>257</v>
      </c>
      <c r="CN100" s="776">
        <v>257</v>
      </c>
      <c r="CO100" s="776">
        <v>257</v>
      </c>
      <c r="CP100" s="776">
        <v>257</v>
      </c>
      <c r="CQ100" s="776">
        <v>257</v>
      </c>
      <c r="CR100" s="776">
        <v>257</v>
      </c>
      <c r="CS100" s="776">
        <v>257</v>
      </c>
      <c r="CT100" s="776">
        <v>257</v>
      </c>
      <c r="CU100" s="776">
        <v>257</v>
      </c>
      <c r="CV100" s="776">
        <v>257</v>
      </c>
      <c r="CW100" s="776">
        <v>257</v>
      </c>
      <c r="CX100" s="776">
        <v>257</v>
      </c>
      <c r="CY100" s="776">
        <v>257</v>
      </c>
      <c r="CZ100" s="776">
        <v>257</v>
      </c>
      <c r="DA100" s="776">
        <v>257</v>
      </c>
      <c r="DB100" s="776">
        <v>257</v>
      </c>
      <c r="DC100" s="776">
        <v>257</v>
      </c>
      <c r="DD100" s="776">
        <v>257</v>
      </c>
      <c r="DE100" s="776">
        <v>257</v>
      </c>
      <c r="DF100" s="776">
        <v>257</v>
      </c>
      <c r="DG100" s="776">
        <v>257</v>
      </c>
      <c r="DH100" s="776">
        <v>257</v>
      </c>
      <c r="DI100" s="776">
        <v>257</v>
      </c>
      <c r="DJ100" s="776">
        <v>257</v>
      </c>
      <c r="DK100" s="776">
        <v>257</v>
      </c>
      <c r="DL100" s="776">
        <v>257</v>
      </c>
      <c r="DM100" s="776">
        <v>257</v>
      </c>
      <c r="DN100" s="776">
        <v>257</v>
      </c>
      <c r="DO100" s="776">
        <v>257</v>
      </c>
      <c r="DP100" s="776">
        <v>257</v>
      </c>
    </row>
    <row r="101" spans="1:120" x14ac:dyDescent="0.2">
      <c r="A101" s="637" t="s">
        <v>2145</v>
      </c>
      <c r="B101" s="772" t="str" cm="1">
        <f t="array" ref="B101">IFERROR(INDEX(Kulturen[HF],_xlfn.AGGREGATE(15,6,(ROW(Kulturen[Auswahl])-7)/(--(SEARCH("x",Kulturen[Auswahl])&gt;0)),ROW()-7),1),"")</f>
        <v>+++Energiepflanzen+++</v>
      </c>
      <c r="C101" s="772" t="str">
        <f>IF(Kulturen[[#This Row],[HF]]=$D$373,IF($C$6=0,0,"x"),IF($C$6=0,"x",Vorauswahl!C100))</f>
        <v>x</v>
      </c>
      <c r="D101" s="77" t="s">
        <v>579</v>
      </c>
      <c r="E101" s="77" t="s">
        <v>579</v>
      </c>
      <c r="F101" s="540" t="s">
        <v>580</v>
      </c>
      <c r="G101" s="540">
        <v>7</v>
      </c>
      <c r="H101" s="540">
        <v>2</v>
      </c>
      <c r="I101" s="540">
        <v>3</v>
      </c>
      <c r="J101" s="540">
        <v>90</v>
      </c>
      <c r="K101" s="540">
        <v>0.23</v>
      </c>
      <c r="L101" s="540">
        <v>0.23</v>
      </c>
      <c r="M101" s="540">
        <v>350</v>
      </c>
      <c r="N101" s="540">
        <v>0</v>
      </c>
      <c r="O101" s="540">
        <v>1</v>
      </c>
      <c r="P101" s="540" t="s">
        <v>1582</v>
      </c>
      <c r="Q101" s="540">
        <v>190</v>
      </c>
      <c r="R101" s="540">
        <v>50</v>
      </c>
      <c r="S101" s="540">
        <v>10</v>
      </c>
      <c r="T101" s="540">
        <v>15</v>
      </c>
      <c r="U101" s="540">
        <v>0</v>
      </c>
      <c r="V101" s="540">
        <v>4</v>
      </c>
      <c r="W101" s="776">
        <f>IF(Kulturen[[#This Row],[Berechnungsschema]]=13,3,IF(Kulturen[[#This Row],[Berechnungsschema]]=6,2,1))</f>
        <v>1</v>
      </c>
      <c r="X101" s="776">
        <f>IF(Kulturen[[#This Row],[fruchtartengruppe]]=13,Kulturen[[#This Row],[NBedarfswert]],MAX(0,Kulturen[[#This Row],[NBedarfswert]]-Kulturen[[#This Row],[Ertrag]]*Kulturen[[#This Row],[Nfix]]))</f>
        <v>190</v>
      </c>
      <c r="Y101" s="776" t="s">
        <v>2127</v>
      </c>
      <c r="Z101" s="776" t="s">
        <v>2127</v>
      </c>
      <c r="AA101" s="776" t="s">
        <v>2127</v>
      </c>
      <c r="AB101" s="776" t="s">
        <v>2127</v>
      </c>
      <c r="AC101" s="776" t="s">
        <v>2127</v>
      </c>
      <c r="AD101" s="776" t="s">
        <v>2127</v>
      </c>
      <c r="AE101" s="776" t="s">
        <v>2127</v>
      </c>
      <c r="AF101" s="776" t="s">
        <v>2127</v>
      </c>
      <c r="AG101" s="776" t="s">
        <v>2127</v>
      </c>
      <c r="AH101" s="776" t="s">
        <v>2127</v>
      </c>
      <c r="AI101" s="776" t="s">
        <v>2127</v>
      </c>
      <c r="AJ101" s="776" t="s">
        <v>2127</v>
      </c>
      <c r="AK101" s="776" t="s">
        <v>2127</v>
      </c>
      <c r="AL101" s="776" t="s">
        <v>2127</v>
      </c>
      <c r="AM101" s="776" t="s">
        <v>2127</v>
      </c>
      <c r="AN101" s="776" t="s">
        <v>2127</v>
      </c>
      <c r="AO101" s="776" t="s">
        <v>2127</v>
      </c>
      <c r="AP101" s="776" t="s">
        <v>2127</v>
      </c>
      <c r="AQ101" s="776" t="s">
        <v>2127</v>
      </c>
      <c r="AR101" s="776" t="s">
        <v>2127</v>
      </c>
      <c r="AS101" s="776" t="s">
        <v>2127</v>
      </c>
      <c r="AT101" s="776" t="s">
        <v>2127</v>
      </c>
      <c r="AU101" s="776" t="s">
        <v>2127</v>
      </c>
      <c r="AV101" s="776" t="s">
        <v>2127</v>
      </c>
      <c r="AW101" s="776" t="s">
        <v>2127</v>
      </c>
      <c r="AX101" s="776" t="s">
        <v>2127</v>
      </c>
      <c r="AY101" s="776" t="s">
        <v>2127</v>
      </c>
      <c r="AZ101" s="776" t="s">
        <v>2127</v>
      </c>
      <c r="BA101" s="776" t="s">
        <v>2127</v>
      </c>
      <c r="BB101" s="776" t="s">
        <v>2127</v>
      </c>
      <c r="BC101" s="776" t="s">
        <v>2127</v>
      </c>
      <c r="BD101" s="776" t="s">
        <v>2127</v>
      </c>
      <c r="BE101" s="776" t="s">
        <v>2127</v>
      </c>
      <c r="BF101" s="776" t="s">
        <v>2127</v>
      </c>
      <c r="BG101" s="776" t="s">
        <v>2127</v>
      </c>
      <c r="BH101" s="776" t="s">
        <v>2127</v>
      </c>
      <c r="BI101" s="776" t="s">
        <v>2127</v>
      </c>
      <c r="BJ101" s="776" t="s">
        <v>2127</v>
      </c>
      <c r="BK101" s="776" t="s">
        <v>2127</v>
      </c>
      <c r="BL101" s="776" t="s">
        <v>2127</v>
      </c>
      <c r="BM101" s="776" t="s">
        <v>2127</v>
      </c>
      <c r="BN101" s="776" t="s">
        <v>2127</v>
      </c>
      <c r="BO101" s="776" t="s">
        <v>2127</v>
      </c>
      <c r="BP101" s="776" t="s">
        <v>2127</v>
      </c>
      <c r="BQ101" s="776" t="s">
        <v>2127</v>
      </c>
      <c r="BR101" s="776" t="s">
        <v>2127</v>
      </c>
      <c r="BS101" s="776" t="s">
        <v>2127</v>
      </c>
      <c r="BT101" s="776" t="s">
        <v>2127</v>
      </c>
      <c r="BU101" s="776" t="s">
        <v>2127</v>
      </c>
      <c r="BV101" s="776" t="s">
        <v>2127</v>
      </c>
      <c r="BW101" s="776" t="s">
        <v>2127</v>
      </c>
      <c r="BX101" s="776" t="s">
        <v>2127</v>
      </c>
      <c r="BY101" s="776" t="s">
        <v>2127</v>
      </c>
      <c r="BZ101" s="776" t="s">
        <v>2127</v>
      </c>
      <c r="CA101" s="776" t="s">
        <v>2127</v>
      </c>
      <c r="CB101" s="776" t="s">
        <v>2127</v>
      </c>
      <c r="CC101" s="776" t="s">
        <v>2127</v>
      </c>
      <c r="CD101" s="776" t="s">
        <v>2127</v>
      </c>
      <c r="CE101" s="776" t="s">
        <v>2127</v>
      </c>
      <c r="CF101" s="776" t="s">
        <v>2127</v>
      </c>
      <c r="CG101" s="776" t="s">
        <v>2127</v>
      </c>
      <c r="CH101" s="776" t="s">
        <v>2127</v>
      </c>
      <c r="CI101" s="776" t="s">
        <v>2127</v>
      </c>
      <c r="CJ101" s="776" t="s">
        <v>2127</v>
      </c>
      <c r="CK101" s="776" t="s">
        <v>2127</v>
      </c>
      <c r="CL101" s="776" t="s">
        <v>2127</v>
      </c>
      <c r="CM101" s="776" t="s">
        <v>2127</v>
      </c>
      <c r="CN101" s="776" t="s">
        <v>2127</v>
      </c>
      <c r="CO101" s="776" t="s">
        <v>2127</v>
      </c>
      <c r="CP101" s="776" t="s">
        <v>2127</v>
      </c>
      <c r="CQ101" s="776" t="s">
        <v>2127</v>
      </c>
      <c r="CR101" s="776" t="s">
        <v>2127</v>
      </c>
      <c r="CS101" s="776" t="s">
        <v>2127</v>
      </c>
      <c r="CT101" s="776" t="s">
        <v>2127</v>
      </c>
      <c r="CU101" s="776" t="s">
        <v>2127</v>
      </c>
      <c r="CV101" s="776" t="s">
        <v>2127</v>
      </c>
      <c r="CW101" s="776" t="s">
        <v>2127</v>
      </c>
      <c r="CX101" s="776" t="s">
        <v>2127</v>
      </c>
      <c r="CY101" s="776" t="s">
        <v>2127</v>
      </c>
      <c r="CZ101" s="776" t="s">
        <v>2127</v>
      </c>
      <c r="DA101" s="776" t="s">
        <v>2127</v>
      </c>
      <c r="DB101" s="776" t="s">
        <v>2127</v>
      </c>
      <c r="DC101" s="776" t="s">
        <v>2127</v>
      </c>
      <c r="DD101" s="776" t="s">
        <v>2127</v>
      </c>
      <c r="DE101" s="776" t="s">
        <v>2127</v>
      </c>
      <c r="DF101" s="776" t="s">
        <v>2127</v>
      </c>
      <c r="DG101" s="776" t="s">
        <v>2127</v>
      </c>
      <c r="DH101" s="776" t="s">
        <v>2127</v>
      </c>
      <c r="DI101" s="776" t="s">
        <v>2127</v>
      </c>
      <c r="DJ101" s="776" t="s">
        <v>2127</v>
      </c>
      <c r="DK101" s="776" t="s">
        <v>2127</v>
      </c>
      <c r="DL101" s="776" t="s">
        <v>2127</v>
      </c>
      <c r="DM101" s="776" t="s">
        <v>2127</v>
      </c>
      <c r="DN101" s="776" t="s">
        <v>2127</v>
      </c>
      <c r="DO101" s="776" t="s">
        <v>2127</v>
      </c>
      <c r="DP101" s="776" t="s">
        <v>2127</v>
      </c>
    </row>
    <row r="102" spans="1:120" x14ac:dyDescent="0.2">
      <c r="A102" s="637" t="s">
        <v>2146</v>
      </c>
      <c r="B102" s="772" t="str" cm="1">
        <f t="array" ref="B102">IFERROR(INDEX(Kulturen[HF],_xlfn.AGGREGATE(15,6,(ROW(Kulturen[Auswahl])-7)/(--(SEARCH("x",Kulturen[Auswahl])&gt;0)),ROW()-7),1),"")</f>
        <v>Silphie (Ansaatjahr)</v>
      </c>
      <c r="C102" s="772" t="str">
        <f>IF(Kulturen[[#This Row],[HF]]=$D$373,IF($C$6=0,0,"x"),IF($C$6=0,"x",Vorauswahl!C101))</f>
        <v>x</v>
      </c>
      <c r="D102" s="77" t="s">
        <v>581</v>
      </c>
      <c r="E102" s="77" t="s">
        <v>581</v>
      </c>
      <c r="F102" s="540" t="s">
        <v>582</v>
      </c>
      <c r="G102" s="540">
        <v>7</v>
      </c>
      <c r="H102" s="540">
        <v>8</v>
      </c>
      <c r="I102" s="540">
        <v>3</v>
      </c>
      <c r="J102" s="540">
        <v>90</v>
      </c>
      <c r="K102" s="540">
        <v>0.23</v>
      </c>
      <c r="L102" s="540">
        <v>0.23</v>
      </c>
      <c r="M102" s="540">
        <v>350</v>
      </c>
      <c r="N102" s="540">
        <v>0</v>
      </c>
      <c r="O102" s="540">
        <v>1</v>
      </c>
      <c r="P102" s="540">
        <v>0</v>
      </c>
      <c r="Q102" s="540">
        <v>180</v>
      </c>
      <c r="R102" s="540">
        <v>50</v>
      </c>
      <c r="S102" s="540">
        <v>10</v>
      </c>
      <c r="T102" s="540">
        <v>15</v>
      </c>
      <c r="U102" s="540">
        <v>0</v>
      </c>
      <c r="V102" s="540">
        <v>4</v>
      </c>
      <c r="W102" s="776">
        <f>IF(Kulturen[[#This Row],[Berechnungsschema]]=13,3,IF(Kulturen[[#This Row],[Berechnungsschema]]=6,2,1))</f>
        <v>1</v>
      </c>
      <c r="X102" s="776">
        <f>IF(Kulturen[[#This Row],[fruchtartengruppe]]=13,Kulturen[[#This Row],[NBedarfswert]],MAX(0,Kulturen[[#This Row],[NBedarfswert]]-Kulturen[[#This Row],[Ertrag]]*Kulturen[[#This Row],[Nfix]]))</f>
        <v>180</v>
      </c>
      <c r="Y102" s="776" t="s">
        <v>2127</v>
      </c>
      <c r="Z102" s="776" t="s">
        <v>2127</v>
      </c>
      <c r="AA102" s="776" t="s">
        <v>2127</v>
      </c>
      <c r="AB102" s="776" t="s">
        <v>2127</v>
      </c>
      <c r="AC102" s="776" t="s">
        <v>2127</v>
      </c>
      <c r="AD102" s="776" t="s">
        <v>2127</v>
      </c>
      <c r="AE102" s="776" t="s">
        <v>2127</v>
      </c>
      <c r="AF102" s="776" t="s">
        <v>2127</v>
      </c>
      <c r="AG102" s="776" t="s">
        <v>2127</v>
      </c>
      <c r="AH102" s="776" t="s">
        <v>2127</v>
      </c>
      <c r="AI102" s="776" t="s">
        <v>2127</v>
      </c>
      <c r="AJ102" s="776" t="s">
        <v>2127</v>
      </c>
      <c r="AK102" s="776" t="s">
        <v>2127</v>
      </c>
      <c r="AL102" s="776" t="s">
        <v>2127</v>
      </c>
      <c r="AM102" s="776" t="s">
        <v>2127</v>
      </c>
      <c r="AN102" s="776" t="s">
        <v>2127</v>
      </c>
      <c r="AO102" s="776" t="s">
        <v>2127</v>
      </c>
      <c r="AP102" s="776" t="s">
        <v>2127</v>
      </c>
      <c r="AQ102" s="776" t="s">
        <v>2127</v>
      </c>
      <c r="AR102" s="776" t="s">
        <v>2127</v>
      </c>
      <c r="AS102" s="776" t="s">
        <v>2127</v>
      </c>
      <c r="AT102" s="776" t="s">
        <v>2127</v>
      </c>
      <c r="AU102" s="776" t="s">
        <v>2127</v>
      </c>
      <c r="AV102" s="776" t="s">
        <v>2127</v>
      </c>
      <c r="AW102" s="776" t="s">
        <v>2127</v>
      </c>
      <c r="AX102" s="776" t="s">
        <v>2127</v>
      </c>
      <c r="AY102" s="776" t="s">
        <v>2127</v>
      </c>
      <c r="AZ102" s="776" t="s">
        <v>2127</v>
      </c>
      <c r="BA102" s="776" t="s">
        <v>2127</v>
      </c>
      <c r="BB102" s="776" t="s">
        <v>2127</v>
      </c>
      <c r="BC102" s="776" t="s">
        <v>2127</v>
      </c>
      <c r="BD102" s="776" t="s">
        <v>2127</v>
      </c>
      <c r="BE102" s="776" t="s">
        <v>2127</v>
      </c>
      <c r="BF102" s="776" t="s">
        <v>2127</v>
      </c>
      <c r="BG102" s="776" t="s">
        <v>2127</v>
      </c>
      <c r="BH102" s="776" t="s">
        <v>2127</v>
      </c>
      <c r="BI102" s="776" t="s">
        <v>2127</v>
      </c>
      <c r="BJ102" s="776" t="s">
        <v>2127</v>
      </c>
      <c r="BK102" s="776" t="s">
        <v>2127</v>
      </c>
      <c r="BL102" s="776" t="s">
        <v>2127</v>
      </c>
      <c r="BM102" s="776" t="s">
        <v>2127</v>
      </c>
      <c r="BN102" s="776" t="s">
        <v>2127</v>
      </c>
      <c r="BO102" s="776" t="s">
        <v>2127</v>
      </c>
      <c r="BP102" s="776" t="s">
        <v>2127</v>
      </c>
      <c r="BQ102" s="776" t="s">
        <v>2127</v>
      </c>
      <c r="BR102" s="776" t="s">
        <v>2127</v>
      </c>
      <c r="BS102" s="776" t="s">
        <v>2127</v>
      </c>
      <c r="BT102" s="776" t="s">
        <v>2127</v>
      </c>
      <c r="BU102" s="776" t="s">
        <v>2127</v>
      </c>
      <c r="BV102" s="776" t="s">
        <v>2127</v>
      </c>
      <c r="BW102" s="776" t="s">
        <v>2127</v>
      </c>
      <c r="BX102" s="776" t="s">
        <v>2127</v>
      </c>
      <c r="BY102" s="776" t="s">
        <v>2127</v>
      </c>
      <c r="BZ102" s="776" t="s">
        <v>2127</v>
      </c>
      <c r="CA102" s="776" t="s">
        <v>2127</v>
      </c>
      <c r="CB102" s="776" t="s">
        <v>2127</v>
      </c>
      <c r="CC102" s="776" t="s">
        <v>2127</v>
      </c>
      <c r="CD102" s="776" t="s">
        <v>2127</v>
      </c>
      <c r="CE102" s="776" t="s">
        <v>2127</v>
      </c>
      <c r="CF102" s="776" t="s">
        <v>2127</v>
      </c>
      <c r="CG102" s="776" t="s">
        <v>2127</v>
      </c>
      <c r="CH102" s="776" t="s">
        <v>2127</v>
      </c>
      <c r="CI102" s="776" t="s">
        <v>2127</v>
      </c>
      <c r="CJ102" s="776" t="s">
        <v>2127</v>
      </c>
      <c r="CK102" s="776" t="s">
        <v>2127</v>
      </c>
      <c r="CL102" s="776" t="s">
        <v>2127</v>
      </c>
      <c r="CM102" s="776" t="s">
        <v>2127</v>
      </c>
      <c r="CN102" s="776" t="s">
        <v>2127</v>
      </c>
      <c r="CO102" s="776" t="s">
        <v>2127</v>
      </c>
      <c r="CP102" s="776" t="s">
        <v>2127</v>
      </c>
      <c r="CQ102" s="776" t="s">
        <v>2127</v>
      </c>
      <c r="CR102" s="776" t="s">
        <v>2127</v>
      </c>
      <c r="CS102" s="776" t="s">
        <v>2127</v>
      </c>
      <c r="CT102" s="776" t="s">
        <v>2127</v>
      </c>
      <c r="CU102" s="776" t="s">
        <v>2127</v>
      </c>
      <c r="CV102" s="776" t="s">
        <v>2127</v>
      </c>
      <c r="CW102" s="776" t="s">
        <v>2127</v>
      </c>
      <c r="CX102" s="776" t="s">
        <v>2127</v>
      </c>
      <c r="CY102" s="776" t="s">
        <v>2127</v>
      </c>
      <c r="CZ102" s="776" t="s">
        <v>2127</v>
      </c>
      <c r="DA102" s="776" t="s">
        <v>2127</v>
      </c>
      <c r="DB102" s="776" t="s">
        <v>2127</v>
      </c>
      <c r="DC102" s="776" t="s">
        <v>2127</v>
      </c>
      <c r="DD102" s="776" t="s">
        <v>2127</v>
      </c>
      <c r="DE102" s="776" t="s">
        <v>2127</v>
      </c>
      <c r="DF102" s="776" t="s">
        <v>2127</v>
      </c>
      <c r="DG102" s="776" t="s">
        <v>2127</v>
      </c>
      <c r="DH102" s="776" t="s">
        <v>2127</v>
      </c>
      <c r="DI102" s="776" t="s">
        <v>2127</v>
      </c>
      <c r="DJ102" s="776" t="s">
        <v>2127</v>
      </c>
      <c r="DK102" s="776" t="s">
        <v>2127</v>
      </c>
      <c r="DL102" s="776" t="s">
        <v>2127</v>
      </c>
      <c r="DM102" s="776" t="s">
        <v>2127</v>
      </c>
      <c r="DN102" s="776" t="s">
        <v>2127</v>
      </c>
      <c r="DO102" s="776" t="s">
        <v>2127</v>
      </c>
      <c r="DP102" s="776" t="s">
        <v>2127</v>
      </c>
    </row>
    <row r="103" spans="1:120" x14ac:dyDescent="0.2">
      <c r="A103" s="637" t="s">
        <v>2147</v>
      </c>
      <c r="B103" s="772" t="str" cm="1">
        <f t="array" ref="B103">IFERROR(INDEX(Kulturen[HF],_xlfn.AGGREGATE(15,6,(ROW(Kulturen[Auswahl])-7)/(--(SEARCH("x",Kulturen[Auswahl])&gt;0)),ROW()-7),1),"")</f>
        <v>Silphie (ab 2. Standjahr)</v>
      </c>
      <c r="C103" s="772" t="str">
        <f>IF(Kulturen[[#This Row],[HF]]=$D$373,IF($C$6=0,0,"x"),IF($C$6=0,"x",Vorauswahl!C102))</f>
        <v>x</v>
      </c>
      <c r="D103" s="77" t="s">
        <v>1906</v>
      </c>
      <c r="E103" s="77" t="s">
        <v>1906</v>
      </c>
      <c r="F103" s="540" t="s">
        <v>583</v>
      </c>
      <c r="G103" s="540">
        <v>7</v>
      </c>
      <c r="H103" s="540">
        <v>8</v>
      </c>
      <c r="I103" s="540">
        <v>3</v>
      </c>
      <c r="J103" s="540">
        <v>90</v>
      </c>
      <c r="K103" s="540">
        <v>0.23</v>
      </c>
      <c r="L103" s="540">
        <v>0.23</v>
      </c>
      <c r="M103" s="540">
        <v>350</v>
      </c>
      <c r="N103" s="540">
        <v>0</v>
      </c>
      <c r="O103" s="540">
        <v>1</v>
      </c>
      <c r="P103" s="540" t="s">
        <v>1581</v>
      </c>
      <c r="Q103" s="540">
        <v>180</v>
      </c>
      <c r="R103" s="540">
        <v>50</v>
      </c>
      <c r="S103" s="540">
        <v>10</v>
      </c>
      <c r="T103" s="540">
        <v>15</v>
      </c>
      <c r="U103" s="540">
        <v>0</v>
      </c>
      <c r="V103" s="540">
        <v>4</v>
      </c>
      <c r="W103" s="776">
        <f>IF(Kulturen[[#This Row],[Berechnungsschema]]=13,3,IF(Kulturen[[#This Row],[Berechnungsschema]]=6,2,1))</f>
        <v>1</v>
      </c>
      <c r="X103" s="776">
        <f>IF(Kulturen[[#This Row],[fruchtartengruppe]]=13,Kulturen[[#This Row],[NBedarfswert]],MAX(0,Kulturen[[#This Row],[NBedarfswert]]-Kulturen[[#This Row],[Ertrag]]*Kulturen[[#This Row],[Nfix]]))</f>
        <v>180</v>
      </c>
      <c r="Y103" s="776" t="s">
        <v>2127</v>
      </c>
      <c r="Z103" s="776" t="s">
        <v>2127</v>
      </c>
      <c r="AA103" s="776" t="s">
        <v>2127</v>
      </c>
      <c r="AB103" s="776" t="s">
        <v>2127</v>
      </c>
      <c r="AC103" s="776" t="s">
        <v>2127</v>
      </c>
      <c r="AD103" s="776" t="s">
        <v>2127</v>
      </c>
      <c r="AE103" s="776" t="s">
        <v>2127</v>
      </c>
      <c r="AF103" s="776" t="s">
        <v>2127</v>
      </c>
      <c r="AG103" s="776" t="s">
        <v>2127</v>
      </c>
      <c r="AH103" s="776" t="s">
        <v>2127</v>
      </c>
      <c r="AI103" s="776" t="s">
        <v>2127</v>
      </c>
      <c r="AJ103" s="776" t="s">
        <v>2127</v>
      </c>
      <c r="AK103" s="776" t="s">
        <v>2127</v>
      </c>
      <c r="AL103" s="776" t="s">
        <v>2127</v>
      </c>
      <c r="AM103" s="776" t="s">
        <v>2127</v>
      </c>
      <c r="AN103" s="776" t="s">
        <v>2127</v>
      </c>
      <c r="AO103" s="776" t="s">
        <v>2127</v>
      </c>
      <c r="AP103" s="776" t="s">
        <v>2127</v>
      </c>
      <c r="AQ103" s="776" t="s">
        <v>2127</v>
      </c>
      <c r="AR103" s="776" t="s">
        <v>2127</v>
      </c>
      <c r="AS103" s="776" t="s">
        <v>2127</v>
      </c>
      <c r="AT103" s="776" t="s">
        <v>2127</v>
      </c>
      <c r="AU103" s="776" t="s">
        <v>2127</v>
      </c>
      <c r="AV103" s="776" t="s">
        <v>2127</v>
      </c>
      <c r="AW103" s="776" t="s">
        <v>2127</v>
      </c>
      <c r="AX103" s="776" t="s">
        <v>2127</v>
      </c>
      <c r="AY103" s="776" t="s">
        <v>2127</v>
      </c>
      <c r="AZ103" s="776" t="s">
        <v>2127</v>
      </c>
      <c r="BA103" s="776" t="s">
        <v>2127</v>
      </c>
      <c r="BB103" s="776" t="s">
        <v>2127</v>
      </c>
      <c r="BC103" s="776" t="s">
        <v>2127</v>
      </c>
      <c r="BD103" s="776" t="s">
        <v>2127</v>
      </c>
      <c r="BE103" s="776" t="s">
        <v>2127</v>
      </c>
      <c r="BF103" s="776" t="s">
        <v>2127</v>
      </c>
      <c r="BG103" s="776" t="s">
        <v>2127</v>
      </c>
      <c r="BH103" s="776" t="s">
        <v>2127</v>
      </c>
      <c r="BI103" s="776" t="s">
        <v>2127</v>
      </c>
      <c r="BJ103" s="776" t="s">
        <v>2127</v>
      </c>
      <c r="BK103" s="776" t="s">
        <v>2127</v>
      </c>
      <c r="BL103" s="776" t="s">
        <v>2127</v>
      </c>
      <c r="BM103" s="776" t="s">
        <v>2127</v>
      </c>
      <c r="BN103" s="776" t="s">
        <v>2127</v>
      </c>
      <c r="BO103" s="776" t="s">
        <v>2127</v>
      </c>
      <c r="BP103" s="776" t="s">
        <v>2127</v>
      </c>
      <c r="BQ103" s="776" t="s">
        <v>2127</v>
      </c>
      <c r="BR103" s="776" t="s">
        <v>2127</v>
      </c>
      <c r="BS103" s="776" t="s">
        <v>2127</v>
      </c>
      <c r="BT103" s="776" t="s">
        <v>2127</v>
      </c>
      <c r="BU103" s="776" t="s">
        <v>2127</v>
      </c>
      <c r="BV103" s="776" t="s">
        <v>2127</v>
      </c>
      <c r="BW103" s="776" t="s">
        <v>2127</v>
      </c>
      <c r="BX103" s="776" t="s">
        <v>2127</v>
      </c>
      <c r="BY103" s="776" t="s">
        <v>2127</v>
      </c>
      <c r="BZ103" s="776" t="s">
        <v>2127</v>
      </c>
      <c r="CA103" s="776" t="s">
        <v>2127</v>
      </c>
      <c r="CB103" s="776" t="s">
        <v>2127</v>
      </c>
      <c r="CC103" s="776" t="s">
        <v>2127</v>
      </c>
      <c r="CD103" s="776" t="s">
        <v>2127</v>
      </c>
      <c r="CE103" s="776" t="s">
        <v>2127</v>
      </c>
      <c r="CF103" s="776" t="s">
        <v>2127</v>
      </c>
      <c r="CG103" s="776" t="s">
        <v>2127</v>
      </c>
      <c r="CH103" s="776" t="s">
        <v>2127</v>
      </c>
      <c r="CI103" s="776" t="s">
        <v>2127</v>
      </c>
      <c r="CJ103" s="776" t="s">
        <v>2127</v>
      </c>
      <c r="CK103" s="776" t="s">
        <v>2127</v>
      </c>
      <c r="CL103" s="776" t="s">
        <v>2127</v>
      </c>
      <c r="CM103" s="776" t="s">
        <v>2127</v>
      </c>
      <c r="CN103" s="776" t="s">
        <v>2127</v>
      </c>
      <c r="CO103" s="776" t="s">
        <v>2127</v>
      </c>
      <c r="CP103" s="776" t="s">
        <v>2127</v>
      </c>
      <c r="CQ103" s="776" t="s">
        <v>2127</v>
      </c>
      <c r="CR103" s="776" t="s">
        <v>2127</v>
      </c>
      <c r="CS103" s="776" t="s">
        <v>2127</v>
      </c>
      <c r="CT103" s="776" t="s">
        <v>2127</v>
      </c>
      <c r="CU103" s="776" t="s">
        <v>2127</v>
      </c>
      <c r="CV103" s="776" t="s">
        <v>2127</v>
      </c>
      <c r="CW103" s="776" t="s">
        <v>2127</v>
      </c>
      <c r="CX103" s="776" t="s">
        <v>2127</v>
      </c>
      <c r="CY103" s="776" t="s">
        <v>2127</v>
      </c>
      <c r="CZ103" s="776" t="s">
        <v>2127</v>
      </c>
      <c r="DA103" s="776" t="s">
        <v>2127</v>
      </c>
      <c r="DB103" s="776" t="s">
        <v>2127</v>
      </c>
      <c r="DC103" s="776" t="s">
        <v>2127</v>
      </c>
      <c r="DD103" s="776" t="s">
        <v>2127</v>
      </c>
      <c r="DE103" s="776" t="s">
        <v>2127</v>
      </c>
      <c r="DF103" s="776" t="s">
        <v>2127</v>
      </c>
      <c r="DG103" s="776" t="s">
        <v>2127</v>
      </c>
      <c r="DH103" s="776" t="s">
        <v>2127</v>
      </c>
      <c r="DI103" s="776" t="s">
        <v>2127</v>
      </c>
      <c r="DJ103" s="776" t="s">
        <v>2127</v>
      </c>
      <c r="DK103" s="776" t="s">
        <v>2127</v>
      </c>
      <c r="DL103" s="776" t="s">
        <v>2127</v>
      </c>
      <c r="DM103" s="776" t="s">
        <v>2127</v>
      </c>
      <c r="DN103" s="776" t="s">
        <v>2127</v>
      </c>
      <c r="DO103" s="776" t="s">
        <v>2127</v>
      </c>
      <c r="DP103" s="776" t="s">
        <v>2127</v>
      </c>
    </row>
    <row r="104" spans="1:120" x14ac:dyDescent="0.2">
      <c r="A104" s="637" t="s">
        <v>2148</v>
      </c>
      <c r="B104" s="772" t="str" cm="1">
        <f t="array" ref="B104">IFERROR(INDEX(Kulturen[HF],_xlfn.AGGREGATE(15,6,(ROW(Kulturen[Auswahl])-7)/(--(SEARCH("x",Kulturen[Auswahl])&gt;0)),ROW()-7),1),"")</f>
        <v>Sorgumhirse</v>
      </c>
      <c r="C104" s="772" t="str">
        <f>IF(Kulturen[[#This Row],[HF]]=$D$373,IF($C$6=0,0,"x"),IF($C$6=0,"x",Vorauswahl!C103))</f>
        <v>x</v>
      </c>
      <c r="D104" s="77" t="s">
        <v>39</v>
      </c>
      <c r="E104" s="77" t="s">
        <v>39</v>
      </c>
      <c r="F104" s="540" t="s">
        <v>584</v>
      </c>
      <c r="G104" s="540">
        <v>7</v>
      </c>
      <c r="H104" s="540">
        <v>8</v>
      </c>
      <c r="I104" s="540">
        <v>3</v>
      </c>
      <c r="J104" s="540">
        <v>90</v>
      </c>
      <c r="K104" s="540">
        <v>0.23</v>
      </c>
      <c r="L104" s="540">
        <v>0.23</v>
      </c>
      <c r="M104" s="540">
        <v>350</v>
      </c>
      <c r="N104" s="540">
        <v>0</v>
      </c>
      <c r="O104" s="540">
        <v>1</v>
      </c>
      <c r="P104" s="540" t="s">
        <v>1581</v>
      </c>
      <c r="Q104" s="540">
        <v>180</v>
      </c>
      <c r="R104" s="540">
        <v>50</v>
      </c>
      <c r="S104" s="540">
        <v>10</v>
      </c>
      <c r="T104" s="540">
        <v>15</v>
      </c>
      <c r="U104" s="540">
        <v>0</v>
      </c>
      <c r="V104" s="540">
        <v>4</v>
      </c>
      <c r="W104" s="776">
        <f>IF(Kulturen[[#This Row],[Berechnungsschema]]=13,3,IF(Kulturen[[#This Row],[Berechnungsschema]]=6,2,1))</f>
        <v>1</v>
      </c>
      <c r="X104" s="776">
        <f>IF(Kulturen[[#This Row],[fruchtartengruppe]]=13,Kulturen[[#This Row],[NBedarfswert]],MAX(0,Kulturen[[#This Row],[NBedarfswert]]-Kulturen[[#This Row],[Ertrag]]*Kulturen[[#This Row],[Nfix]]))</f>
        <v>180</v>
      </c>
      <c r="Y104" s="776" t="s">
        <v>2127</v>
      </c>
      <c r="Z104" s="776" t="s">
        <v>2127</v>
      </c>
      <c r="AA104" s="776" t="s">
        <v>2127</v>
      </c>
      <c r="AB104" s="776" t="s">
        <v>2127</v>
      </c>
      <c r="AC104" s="776" t="s">
        <v>2127</v>
      </c>
      <c r="AD104" s="776" t="s">
        <v>2127</v>
      </c>
      <c r="AE104" s="776" t="s">
        <v>2127</v>
      </c>
      <c r="AF104" s="776" t="s">
        <v>2127</v>
      </c>
      <c r="AG104" s="776" t="s">
        <v>2127</v>
      </c>
      <c r="AH104" s="776" t="s">
        <v>2127</v>
      </c>
      <c r="AI104" s="776" t="s">
        <v>2127</v>
      </c>
      <c r="AJ104" s="776" t="s">
        <v>2127</v>
      </c>
      <c r="AK104" s="776" t="s">
        <v>2127</v>
      </c>
      <c r="AL104" s="776" t="s">
        <v>2127</v>
      </c>
      <c r="AM104" s="776" t="s">
        <v>2127</v>
      </c>
      <c r="AN104" s="776" t="s">
        <v>2127</v>
      </c>
      <c r="AO104" s="776" t="s">
        <v>2127</v>
      </c>
      <c r="AP104" s="776" t="s">
        <v>2127</v>
      </c>
      <c r="AQ104" s="776" t="s">
        <v>2127</v>
      </c>
      <c r="AR104" s="776" t="s">
        <v>2127</v>
      </c>
      <c r="AS104" s="776" t="s">
        <v>2127</v>
      </c>
      <c r="AT104" s="776" t="s">
        <v>2127</v>
      </c>
      <c r="AU104" s="776" t="s">
        <v>2127</v>
      </c>
      <c r="AV104" s="776" t="s">
        <v>2127</v>
      </c>
      <c r="AW104" s="776" t="s">
        <v>2127</v>
      </c>
      <c r="AX104" s="776" t="s">
        <v>2127</v>
      </c>
      <c r="AY104" s="776" t="s">
        <v>2127</v>
      </c>
      <c r="AZ104" s="776" t="s">
        <v>2127</v>
      </c>
      <c r="BA104" s="776" t="s">
        <v>2127</v>
      </c>
      <c r="BB104" s="776" t="s">
        <v>2127</v>
      </c>
      <c r="BC104" s="776" t="s">
        <v>2127</v>
      </c>
      <c r="BD104" s="776" t="s">
        <v>2127</v>
      </c>
      <c r="BE104" s="776" t="s">
        <v>2127</v>
      </c>
      <c r="BF104" s="776" t="s">
        <v>2127</v>
      </c>
      <c r="BG104" s="776" t="s">
        <v>2127</v>
      </c>
      <c r="BH104" s="776" t="s">
        <v>2127</v>
      </c>
      <c r="BI104" s="776" t="s">
        <v>2127</v>
      </c>
      <c r="BJ104" s="776" t="s">
        <v>2127</v>
      </c>
      <c r="BK104" s="776" t="s">
        <v>2127</v>
      </c>
      <c r="BL104" s="776" t="s">
        <v>2127</v>
      </c>
      <c r="BM104" s="776" t="s">
        <v>2127</v>
      </c>
      <c r="BN104" s="776" t="s">
        <v>2127</v>
      </c>
      <c r="BO104" s="776" t="s">
        <v>2127</v>
      </c>
      <c r="BP104" s="776" t="s">
        <v>2127</v>
      </c>
      <c r="BQ104" s="776" t="s">
        <v>2127</v>
      </c>
      <c r="BR104" s="776" t="s">
        <v>2127</v>
      </c>
      <c r="BS104" s="776" t="s">
        <v>2127</v>
      </c>
      <c r="BT104" s="776" t="s">
        <v>2127</v>
      </c>
      <c r="BU104" s="776" t="s">
        <v>2127</v>
      </c>
      <c r="BV104" s="776" t="s">
        <v>2127</v>
      </c>
      <c r="BW104" s="776" t="s">
        <v>2127</v>
      </c>
      <c r="BX104" s="776" t="s">
        <v>2127</v>
      </c>
      <c r="BY104" s="776" t="s">
        <v>2127</v>
      </c>
      <c r="BZ104" s="776" t="s">
        <v>2127</v>
      </c>
      <c r="CA104" s="776" t="s">
        <v>2127</v>
      </c>
      <c r="CB104" s="776" t="s">
        <v>2127</v>
      </c>
      <c r="CC104" s="776" t="s">
        <v>2127</v>
      </c>
      <c r="CD104" s="776" t="s">
        <v>2127</v>
      </c>
      <c r="CE104" s="776" t="s">
        <v>2127</v>
      </c>
      <c r="CF104" s="776" t="s">
        <v>2127</v>
      </c>
      <c r="CG104" s="776" t="s">
        <v>2127</v>
      </c>
      <c r="CH104" s="776" t="s">
        <v>2127</v>
      </c>
      <c r="CI104" s="776" t="s">
        <v>2127</v>
      </c>
      <c r="CJ104" s="776" t="s">
        <v>2127</v>
      </c>
      <c r="CK104" s="776" t="s">
        <v>2127</v>
      </c>
      <c r="CL104" s="776" t="s">
        <v>2127</v>
      </c>
      <c r="CM104" s="776" t="s">
        <v>2127</v>
      </c>
      <c r="CN104" s="776" t="s">
        <v>2127</v>
      </c>
      <c r="CO104" s="776" t="s">
        <v>2127</v>
      </c>
      <c r="CP104" s="776" t="s">
        <v>2127</v>
      </c>
      <c r="CQ104" s="776" t="s">
        <v>2127</v>
      </c>
      <c r="CR104" s="776" t="s">
        <v>2127</v>
      </c>
      <c r="CS104" s="776" t="s">
        <v>2127</v>
      </c>
      <c r="CT104" s="776" t="s">
        <v>2127</v>
      </c>
      <c r="CU104" s="776" t="s">
        <v>2127</v>
      </c>
      <c r="CV104" s="776" t="s">
        <v>2127</v>
      </c>
      <c r="CW104" s="776" t="s">
        <v>2127</v>
      </c>
      <c r="CX104" s="776" t="s">
        <v>2127</v>
      </c>
      <c r="CY104" s="776" t="s">
        <v>2127</v>
      </c>
      <c r="CZ104" s="776" t="s">
        <v>2127</v>
      </c>
      <c r="DA104" s="776" t="s">
        <v>2127</v>
      </c>
      <c r="DB104" s="776" t="s">
        <v>2127</v>
      </c>
      <c r="DC104" s="776" t="s">
        <v>2127</v>
      </c>
      <c r="DD104" s="776" t="s">
        <v>2127</v>
      </c>
      <c r="DE104" s="776" t="s">
        <v>2127</v>
      </c>
      <c r="DF104" s="776" t="s">
        <v>2127</v>
      </c>
      <c r="DG104" s="776" t="s">
        <v>2127</v>
      </c>
      <c r="DH104" s="776" t="s">
        <v>2127</v>
      </c>
      <c r="DI104" s="776" t="s">
        <v>2127</v>
      </c>
      <c r="DJ104" s="776" t="s">
        <v>2127</v>
      </c>
      <c r="DK104" s="776" t="s">
        <v>2127</v>
      </c>
      <c r="DL104" s="776" t="s">
        <v>2127</v>
      </c>
      <c r="DM104" s="776" t="s">
        <v>2127</v>
      </c>
      <c r="DN104" s="776" t="s">
        <v>2127</v>
      </c>
      <c r="DO104" s="776" t="s">
        <v>2127</v>
      </c>
      <c r="DP104" s="776" t="s">
        <v>2127</v>
      </c>
    </row>
    <row r="105" spans="1:120" x14ac:dyDescent="0.2">
      <c r="A105" s="637" t="s">
        <v>2149</v>
      </c>
      <c r="B105" s="772" t="str" cm="1">
        <f t="array" ref="B105">IFERROR(INDEX(Kulturen[HF],_xlfn.AGGREGATE(15,6,(ROW(Kulturen[Auswahl])-7)/(--(SEARCH("x",Kulturen[Auswahl])&gt;0)),ROW()-7),1),"")</f>
        <v>Sida (Virginiamalve)</v>
      </c>
      <c r="C105" s="772" t="str">
        <f>IF(Kulturen[[#This Row],[HF]]=$D$373,IF($C$6=0,0,"x"),IF($C$6=0,"x",Vorauswahl!C104))</f>
        <v>x</v>
      </c>
      <c r="D105" s="77" t="s">
        <v>585</v>
      </c>
      <c r="E105" s="77" t="s">
        <v>585</v>
      </c>
      <c r="F105" s="540" t="s">
        <v>586</v>
      </c>
      <c r="G105" s="540">
        <v>7</v>
      </c>
      <c r="H105" s="540">
        <v>8</v>
      </c>
      <c r="I105" s="540">
        <v>3</v>
      </c>
      <c r="J105" s="540">
        <v>90</v>
      </c>
      <c r="K105" s="540">
        <v>0.23</v>
      </c>
      <c r="L105" s="540">
        <v>0.23</v>
      </c>
      <c r="M105" s="540">
        <v>350</v>
      </c>
      <c r="N105" s="540">
        <v>0</v>
      </c>
      <c r="O105" s="540">
        <v>1</v>
      </c>
      <c r="P105" s="540">
        <v>0</v>
      </c>
      <c r="Q105" s="540">
        <v>180</v>
      </c>
      <c r="R105" s="540">
        <v>50</v>
      </c>
      <c r="S105" s="540">
        <v>10</v>
      </c>
      <c r="T105" s="540">
        <v>15</v>
      </c>
      <c r="U105" s="540">
        <v>0</v>
      </c>
      <c r="V105" s="540">
        <v>4</v>
      </c>
      <c r="W105" s="776">
        <f>IF(Kulturen[[#This Row],[Berechnungsschema]]=13,3,IF(Kulturen[[#This Row],[Berechnungsschema]]=6,2,1))</f>
        <v>1</v>
      </c>
      <c r="X105" s="776">
        <f>IF(Kulturen[[#This Row],[fruchtartengruppe]]=13,Kulturen[[#This Row],[NBedarfswert]],MAX(0,Kulturen[[#This Row],[NBedarfswert]]-Kulturen[[#This Row],[Ertrag]]*Kulturen[[#This Row],[Nfix]]))</f>
        <v>180</v>
      </c>
      <c r="Y105" s="776" t="s">
        <v>2127</v>
      </c>
      <c r="Z105" s="776" t="s">
        <v>2127</v>
      </c>
      <c r="AA105" s="776" t="s">
        <v>2127</v>
      </c>
      <c r="AB105" s="776" t="s">
        <v>2127</v>
      </c>
      <c r="AC105" s="776" t="s">
        <v>2127</v>
      </c>
      <c r="AD105" s="776" t="s">
        <v>2127</v>
      </c>
      <c r="AE105" s="776" t="s">
        <v>2127</v>
      </c>
      <c r="AF105" s="776" t="s">
        <v>2127</v>
      </c>
      <c r="AG105" s="776" t="s">
        <v>2127</v>
      </c>
      <c r="AH105" s="776" t="s">
        <v>2127</v>
      </c>
      <c r="AI105" s="776" t="s">
        <v>2127</v>
      </c>
      <c r="AJ105" s="776" t="s">
        <v>2127</v>
      </c>
      <c r="AK105" s="776" t="s">
        <v>2127</v>
      </c>
      <c r="AL105" s="776" t="s">
        <v>2127</v>
      </c>
      <c r="AM105" s="776" t="s">
        <v>2127</v>
      </c>
      <c r="AN105" s="776" t="s">
        <v>2127</v>
      </c>
      <c r="AO105" s="776" t="s">
        <v>2127</v>
      </c>
      <c r="AP105" s="776" t="s">
        <v>2127</v>
      </c>
      <c r="AQ105" s="776" t="s">
        <v>2127</v>
      </c>
      <c r="AR105" s="776" t="s">
        <v>2127</v>
      </c>
      <c r="AS105" s="776" t="s">
        <v>2127</v>
      </c>
      <c r="AT105" s="776" t="s">
        <v>2127</v>
      </c>
      <c r="AU105" s="776" t="s">
        <v>2127</v>
      </c>
      <c r="AV105" s="776" t="s">
        <v>2127</v>
      </c>
      <c r="AW105" s="776" t="s">
        <v>2127</v>
      </c>
      <c r="AX105" s="776" t="s">
        <v>2127</v>
      </c>
      <c r="AY105" s="776" t="s">
        <v>2127</v>
      </c>
      <c r="AZ105" s="776" t="s">
        <v>2127</v>
      </c>
      <c r="BA105" s="776" t="s">
        <v>2127</v>
      </c>
      <c r="BB105" s="776" t="s">
        <v>2127</v>
      </c>
      <c r="BC105" s="776" t="s">
        <v>2127</v>
      </c>
      <c r="BD105" s="776" t="s">
        <v>2127</v>
      </c>
      <c r="BE105" s="776" t="s">
        <v>2127</v>
      </c>
      <c r="BF105" s="776" t="s">
        <v>2127</v>
      </c>
      <c r="BG105" s="776" t="s">
        <v>2127</v>
      </c>
      <c r="BH105" s="776" t="s">
        <v>2127</v>
      </c>
      <c r="BI105" s="776" t="s">
        <v>2127</v>
      </c>
      <c r="BJ105" s="776" t="s">
        <v>2127</v>
      </c>
      <c r="BK105" s="776" t="s">
        <v>2127</v>
      </c>
      <c r="BL105" s="776" t="s">
        <v>2127</v>
      </c>
      <c r="BM105" s="776" t="s">
        <v>2127</v>
      </c>
      <c r="BN105" s="776" t="s">
        <v>2127</v>
      </c>
      <c r="BO105" s="776" t="s">
        <v>2127</v>
      </c>
      <c r="BP105" s="776" t="s">
        <v>2127</v>
      </c>
      <c r="BQ105" s="776" t="s">
        <v>2127</v>
      </c>
      <c r="BR105" s="776" t="s">
        <v>2127</v>
      </c>
      <c r="BS105" s="776" t="s">
        <v>2127</v>
      </c>
      <c r="BT105" s="776" t="s">
        <v>2127</v>
      </c>
      <c r="BU105" s="776" t="s">
        <v>2127</v>
      </c>
      <c r="BV105" s="776" t="s">
        <v>2127</v>
      </c>
      <c r="BW105" s="776" t="s">
        <v>2127</v>
      </c>
      <c r="BX105" s="776" t="s">
        <v>2127</v>
      </c>
      <c r="BY105" s="776" t="s">
        <v>2127</v>
      </c>
      <c r="BZ105" s="776" t="s">
        <v>2127</v>
      </c>
      <c r="CA105" s="776" t="s">
        <v>2127</v>
      </c>
      <c r="CB105" s="776" t="s">
        <v>2127</v>
      </c>
      <c r="CC105" s="776" t="s">
        <v>2127</v>
      </c>
      <c r="CD105" s="776" t="s">
        <v>2127</v>
      </c>
      <c r="CE105" s="776" t="s">
        <v>2127</v>
      </c>
      <c r="CF105" s="776" t="s">
        <v>2127</v>
      </c>
      <c r="CG105" s="776" t="s">
        <v>2127</v>
      </c>
      <c r="CH105" s="776" t="s">
        <v>2127</v>
      </c>
      <c r="CI105" s="776" t="s">
        <v>2127</v>
      </c>
      <c r="CJ105" s="776" t="s">
        <v>2127</v>
      </c>
      <c r="CK105" s="776" t="s">
        <v>2127</v>
      </c>
      <c r="CL105" s="776" t="s">
        <v>2127</v>
      </c>
      <c r="CM105" s="776" t="s">
        <v>2127</v>
      </c>
      <c r="CN105" s="776" t="s">
        <v>2127</v>
      </c>
      <c r="CO105" s="776" t="s">
        <v>2127</v>
      </c>
      <c r="CP105" s="776" t="s">
        <v>2127</v>
      </c>
      <c r="CQ105" s="776" t="s">
        <v>2127</v>
      </c>
      <c r="CR105" s="776" t="s">
        <v>2127</v>
      </c>
      <c r="CS105" s="776" t="s">
        <v>2127</v>
      </c>
      <c r="CT105" s="776" t="s">
        <v>2127</v>
      </c>
      <c r="CU105" s="776" t="s">
        <v>2127</v>
      </c>
      <c r="CV105" s="776" t="s">
        <v>2127</v>
      </c>
      <c r="CW105" s="776" t="s">
        <v>2127</v>
      </c>
      <c r="CX105" s="776" t="s">
        <v>2127</v>
      </c>
      <c r="CY105" s="776" t="s">
        <v>2127</v>
      </c>
      <c r="CZ105" s="776" t="s">
        <v>2127</v>
      </c>
      <c r="DA105" s="776" t="s">
        <v>2127</v>
      </c>
      <c r="DB105" s="776" t="s">
        <v>2127</v>
      </c>
      <c r="DC105" s="776" t="s">
        <v>2127</v>
      </c>
      <c r="DD105" s="776" t="s">
        <v>2127</v>
      </c>
      <c r="DE105" s="776" t="s">
        <v>2127</v>
      </c>
      <c r="DF105" s="776" t="s">
        <v>2127</v>
      </c>
      <c r="DG105" s="776" t="s">
        <v>2127</v>
      </c>
      <c r="DH105" s="776" t="s">
        <v>2127</v>
      </c>
      <c r="DI105" s="776" t="s">
        <v>2127</v>
      </c>
      <c r="DJ105" s="776" t="s">
        <v>2127</v>
      </c>
      <c r="DK105" s="776" t="s">
        <v>2127</v>
      </c>
      <c r="DL105" s="776" t="s">
        <v>2127</v>
      </c>
      <c r="DM105" s="776" t="s">
        <v>2127</v>
      </c>
      <c r="DN105" s="776" t="s">
        <v>2127</v>
      </c>
      <c r="DO105" s="776" t="s">
        <v>2127</v>
      </c>
      <c r="DP105" s="776" t="s">
        <v>2127</v>
      </c>
    </row>
    <row r="106" spans="1:120" x14ac:dyDescent="0.2">
      <c r="A106" s="637" t="s">
        <v>2150</v>
      </c>
      <c r="B106" s="772" t="str" cm="1">
        <f t="array" ref="B106">IFERROR(INDEX(Kulturen[HF],_xlfn.AGGREGATE(15,6,(ROW(Kulturen[Auswahl])-7)/(--(SEARCH("x",Kulturen[Auswahl])&gt;0)),ROW()-7),1),"")</f>
        <v>Igniscum</v>
      </c>
      <c r="C106" s="772" t="str">
        <f>IF(Kulturen[[#This Row],[HF]]=$D$373,IF($C$6=0,0,"x"),IF($C$6=0,"x",Vorauswahl!C105))</f>
        <v>x</v>
      </c>
      <c r="D106" s="77" t="s">
        <v>587</v>
      </c>
      <c r="E106" s="77" t="s">
        <v>587</v>
      </c>
      <c r="F106" s="540" t="s">
        <v>588</v>
      </c>
      <c r="G106" s="540">
        <v>7</v>
      </c>
      <c r="H106" s="540">
        <v>8</v>
      </c>
      <c r="I106" s="540">
        <v>3</v>
      </c>
      <c r="J106" s="540">
        <v>90</v>
      </c>
      <c r="K106" s="540">
        <v>0.23</v>
      </c>
      <c r="L106" s="540">
        <v>0.23</v>
      </c>
      <c r="M106" s="540">
        <v>143</v>
      </c>
      <c r="N106" s="540">
        <v>0.67</v>
      </c>
      <c r="O106" s="540">
        <v>1</v>
      </c>
      <c r="P106" s="540">
        <v>0</v>
      </c>
      <c r="Q106" s="540">
        <v>0</v>
      </c>
      <c r="R106" s="540">
        <v>10</v>
      </c>
      <c r="S106" s="540">
        <v>0</v>
      </c>
      <c r="T106" s="540">
        <v>0</v>
      </c>
      <c r="U106" s="540">
        <v>10</v>
      </c>
      <c r="V106" s="540">
        <v>4</v>
      </c>
      <c r="W106" s="776">
        <f>IF(Kulturen[[#This Row],[Berechnungsschema]]=13,3,IF(Kulturen[[#This Row],[Berechnungsschema]]=6,2,1))</f>
        <v>1</v>
      </c>
      <c r="X106" s="776">
        <f>IF(Kulturen[[#This Row],[fruchtartengruppe]]=13,Kulturen[[#This Row],[NBedarfswert]],MAX(0,Kulturen[[#This Row],[NBedarfswert]]-Kulturen[[#This Row],[Ertrag]]*Kulturen[[#This Row],[Nfix]]))</f>
        <v>0</v>
      </c>
      <c r="Y106" s="776" t="s">
        <v>2127</v>
      </c>
      <c r="Z106" s="776" t="s">
        <v>2127</v>
      </c>
      <c r="AA106" s="776" t="s">
        <v>2127</v>
      </c>
      <c r="AB106" s="776" t="s">
        <v>2127</v>
      </c>
      <c r="AC106" s="776" t="s">
        <v>2127</v>
      </c>
      <c r="AD106" s="776" t="s">
        <v>2127</v>
      </c>
      <c r="AE106" s="776" t="s">
        <v>2127</v>
      </c>
      <c r="AF106" s="776" t="s">
        <v>2127</v>
      </c>
      <c r="AG106" s="776" t="s">
        <v>2127</v>
      </c>
      <c r="AH106" s="776" t="s">
        <v>2127</v>
      </c>
      <c r="AI106" s="776" t="s">
        <v>2127</v>
      </c>
      <c r="AJ106" s="776" t="s">
        <v>2127</v>
      </c>
      <c r="AK106" s="776" t="s">
        <v>2127</v>
      </c>
      <c r="AL106" s="776" t="s">
        <v>2127</v>
      </c>
      <c r="AM106" s="776" t="s">
        <v>2127</v>
      </c>
      <c r="AN106" s="776" t="s">
        <v>2127</v>
      </c>
      <c r="AO106" s="776" t="s">
        <v>2127</v>
      </c>
      <c r="AP106" s="776" t="s">
        <v>2127</v>
      </c>
      <c r="AQ106" s="776" t="s">
        <v>2127</v>
      </c>
      <c r="AR106" s="776" t="s">
        <v>2127</v>
      </c>
      <c r="AS106" s="776" t="s">
        <v>2127</v>
      </c>
      <c r="AT106" s="776" t="s">
        <v>2127</v>
      </c>
      <c r="AU106" s="776" t="s">
        <v>2127</v>
      </c>
      <c r="AV106" s="776" t="s">
        <v>2127</v>
      </c>
      <c r="AW106" s="776" t="s">
        <v>2127</v>
      </c>
      <c r="AX106" s="776" t="s">
        <v>2127</v>
      </c>
      <c r="AY106" s="776" t="s">
        <v>2127</v>
      </c>
      <c r="AZ106" s="776" t="s">
        <v>2127</v>
      </c>
      <c r="BA106" s="776" t="s">
        <v>2127</v>
      </c>
      <c r="BB106" s="776" t="s">
        <v>2127</v>
      </c>
      <c r="BC106" s="776" t="s">
        <v>2127</v>
      </c>
      <c r="BD106" s="776" t="s">
        <v>2127</v>
      </c>
      <c r="BE106" s="776" t="s">
        <v>2127</v>
      </c>
      <c r="BF106" s="776" t="s">
        <v>2127</v>
      </c>
      <c r="BG106" s="776" t="s">
        <v>2127</v>
      </c>
      <c r="BH106" s="776" t="s">
        <v>2127</v>
      </c>
      <c r="BI106" s="776" t="s">
        <v>2127</v>
      </c>
      <c r="BJ106" s="776" t="s">
        <v>2127</v>
      </c>
      <c r="BK106" s="776" t="s">
        <v>2127</v>
      </c>
      <c r="BL106" s="776" t="s">
        <v>2127</v>
      </c>
      <c r="BM106" s="776" t="s">
        <v>2127</v>
      </c>
      <c r="BN106" s="776" t="s">
        <v>2127</v>
      </c>
      <c r="BO106" s="776" t="s">
        <v>2127</v>
      </c>
      <c r="BP106" s="776" t="s">
        <v>2127</v>
      </c>
      <c r="BQ106" s="776" t="s">
        <v>2127</v>
      </c>
      <c r="BR106" s="776" t="s">
        <v>2127</v>
      </c>
      <c r="BS106" s="776" t="s">
        <v>2127</v>
      </c>
      <c r="BT106" s="776" t="s">
        <v>2127</v>
      </c>
      <c r="BU106" s="776" t="s">
        <v>2127</v>
      </c>
      <c r="BV106" s="776" t="s">
        <v>2127</v>
      </c>
      <c r="BW106" s="776" t="s">
        <v>2127</v>
      </c>
      <c r="BX106" s="776" t="s">
        <v>2127</v>
      </c>
      <c r="BY106" s="776" t="s">
        <v>2127</v>
      </c>
      <c r="BZ106" s="776" t="s">
        <v>2127</v>
      </c>
      <c r="CA106" s="776" t="s">
        <v>2127</v>
      </c>
      <c r="CB106" s="776" t="s">
        <v>2127</v>
      </c>
      <c r="CC106" s="776" t="s">
        <v>2127</v>
      </c>
      <c r="CD106" s="776" t="s">
        <v>2127</v>
      </c>
      <c r="CE106" s="776" t="s">
        <v>2127</v>
      </c>
      <c r="CF106" s="776" t="s">
        <v>2127</v>
      </c>
      <c r="CG106" s="776" t="s">
        <v>2127</v>
      </c>
      <c r="CH106" s="776" t="s">
        <v>2127</v>
      </c>
      <c r="CI106" s="776" t="s">
        <v>2127</v>
      </c>
      <c r="CJ106" s="776" t="s">
        <v>2127</v>
      </c>
      <c r="CK106" s="776" t="s">
        <v>2127</v>
      </c>
      <c r="CL106" s="776" t="s">
        <v>2127</v>
      </c>
      <c r="CM106" s="776" t="s">
        <v>2127</v>
      </c>
      <c r="CN106" s="776" t="s">
        <v>2127</v>
      </c>
      <c r="CO106" s="776" t="s">
        <v>2127</v>
      </c>
      <c r="CP106" s="776" t="s">
        <v>2127</v>
      </c>
      <c r="CQ106" s="776" t="s">
        <v>2127</v>
      </c>
      <c r="CR106" s="776" t="s">
        <v>2127</v>
      </c>
      <c r="CS106" s="776" t="s">
        <v>2127</v>
      </c>
      <c r="CT106" s="776" t="s">
        <v>2127</v>
      </c>
      <c r="CU106" s="776" t="s">
        <v>2127</v>
      </c>
      <c r="CV106" s="776" t="s">
        <v>2127</v>
      </c>
      <c r="CW106" s="776" t="s">
        <v>2127</v>
      </c>
      <c r="CX106" s="776" t="s">
        <v>2127</v>
      </c>
      <c r="CY106" s="776" t="s">
        <v>2127</v>
      </c>
      <c r="CZ106" s="776" t="s">
        <v>2127</v>
      </c>
      <c r="DA106" s="776" t="s">
        <v>2127</v>
      </c>
      <c r="DB106" s="776" t="s">
        <v>2127</v>
      </c>
      <c r="DC106" s="776" t="s">
        <v>2127</v>
      </c>
      <c r="DD106" s="776" t="s">
        <v>2127</v>
      </c>
      <c r="DE106" s="776" t="s">
        <v>2127</v>
      </c>
      <c r="DF106" s="776" t="s">
        <v>2127</v>
      </c>
      <c r="DG106" s="776" t="s">
        <v>2127</v>
      </c>
      <c r="DH106" s="776" t="s">
        <v>2127</v>
      </c>
      <c r="DI106" s="776" t="s">
        <v>2127</v>
      </c>
      <c r="DJ106" s="776" t="s">
        <v>2127</v>
      </c>
      <c r="DK106" s="776" t="s">
        <v>2127</v>
      </c>
      <c r="DL106" s="776" t="s">
        <v>2127</v>
      </c>
      <c r="DM106" s="776" t="s">
        <v>2127</v>
      </c>
      <c r="DN106" s="776" t="s">
        <v>2127</v>
      </c>
      <c r="DO106" s="776" t="s">
        <v>2127</v>
      </c>
      <c r="DP106" s="776" t="s">
        <v>2127</v>
      </c>
    </row>
    <row r="107" spans="1:120" x14ac:dyDescent="0.2">
      <c r="A107" s="637" t="s">
        <v>2151</v>
      </c>
      <c r="B107" s="772" t="str" cm="1">
        <f t="array" ref="B107">IFERROR(INDEX(Kulturen[HF],_xlfn.AGGREGATE(15,6,(ROW(Kulturen[Auswahl])-7)/(--(SEARCH("x",Kulturen[Auswahl])&gt;0)),ROW()-7),1),"")</f>
        <v>Riesenweizengras (Szarvasi)</v>
      </c>
      <c r="C107" s="772" t="str">
        <f>IF(Kulturen[[#This Row],[HF]]=$D$373,IF($C$6=0,0,"x"),IF($C$6=0,"x",Vorauswahl!C106))</f>
        <v>x</v>
      </c>
      <c r="D107" s="77" t="s">
        <v>589</v>
      </c>
      <c r="E107" s="77" t="s">
        <v>589</v>
      </c>
      <c r="F107" s="540" t="s">
        <v>590</v>
      </c>
      <c r="G107" s="540">
        <v>7</v>
      </c>
      <c r="H107" s="540">
        <v>8</v>
      </c>
      <c r="I107" s="540">
        <v>3</v>
      </c>
      <c r="J107" s="540">
        <v>90</v>
      </c>
      <c r="K107" s="540">
        <v>0.23</v>
      </c>
      <c r="L107" s="540">
        <v>0.23</v>
      </c>
      <c r="M107" s="540">
        <v>143</v>
      </c>
      <c r="N107" s="540">
        <v>0.67</v>
      </c>
      <c r="O107" s="540">
        <v>1</v>
      </c>
      <c r="P107" s="540">
        <v>0</v>
      </c>
      <c r="Q107" s="540">
        <v>0</v>
      </c>
      <c r="R107" s="540">
        <v>10</v>
      </c>
      <c r="S107" s="540">
        <v>0</v>
      </c>
      <c r="T107" s="540">
        <v>0</v>
      </c>
      <c r="U107" s="540">
        <v>10</v>
      </c>
      <c r="V107" s="540">
        <v>4</v>
      </c>
      <c r="W107" s="776">
        <f>IF(Kulturen[[#This Row],[Berechnungsschema]]=13,3,IF(Kulturen[[#This Row],[Berechnungsschema]]=6,2,1))</f>
        <v>1</v>
      </c>
      <c r="X107" s="776">
        <f>IF(Kulturen[[#This Row],[fruchtartengruppe]]=13,Kulturen[[#This Row],[NBedarfswert]],MAX(0,Kulturen[[#This Row],[NBedarfswert]]-Kulturen[[#This Row],[Ertrag]]*Kulturen[[#This Row],[Nfix]]))</f>
        <v>0</v>
      </c>
      <c r="Y107" s="776" t="s">
        <v>2127</v>
      </c>
      <c r="Z107" s="776" t="s">
        <v>2127</v>
      </c>
      <c r="AA107" s="776" t="s">
        <v>2127</v>
      </c>
      <c r="AB107" s="776" t="s">
        <v>2127</v>
      </c>
      <c r="AC107" s="776" t="s">
        <v>2127</v>
      </c>
      <c r="AD107" s="776" t="s">
        <v>2127</v>
      </c>
      <c r="AE107" s="776" t="s">
        <v>2127</v>
      </c>
      <c r="AF107" s="776" t="s">
        <v>2127</v>
      </c>
      <c r="AG107" s="776" t="s">
        <v>2127</v>
      </c>
      <c r="AH107" s="776" t="s">
        <v>2127</v>
      </c>
      <c r="AI107" s="776" t="s">
        <v>2127</v>
      </c>
      <c r="AJ107" s="776" t="s">
        <v>2127</v>
      </c>
      <c r="AK107" s="776" t="s">
        <v>2127</v>
      </c>
      <c r="AL107" s="776" t="s">
        <v>2127</v>
      </c>
      <c r="AM107" s="776" t="s">
        <v>2127</v>
      </c>
      <c r="AN107" s="776" t="s">
        <v>2127</v>
      </c>
      <c r="AO107" s="776" t="s">
        <v>2127</v>
      </c>
      <c r="AP107" s="776" t="s">
        <v>2127</v>
      </c>
      <c r="AQ107" s="776" t="s">
        <v>2127</v>
      </c>
      <c r="AR107" s="776" t="s">
        <v>2127</v>
      </c>
      <c r="AS107" s="776" t="s">
        <v>2127</v>
      </c>
      <c r="AT107" s="776" t="s">
        <v>2127</v>
      </c>
      <c r="AU107" s="776" t="s">
        <v>2127</v>
      </c>
      <c r="AV107" s="776" t="s">
        <v>2127</v>
      </c>
      <c r="AW107" s="776" t="s">
        <v>2127</v>
      </c>
      <c r="AX107" s="776" t="s">
        <v>2127</v>
      </c>
      <c r="AY107" s="776" t="s">
        <v>2127</v>
      </c>
      <c r="AZ107" s="776" t="s">
        <v>2127</v>
      </c>
      <c r="BA107" s="776" t="s">
        <v>2127</v>
      </c>
      <c r="BB107" s="776" t="s">
        <v>2127</v>
      </c>
      <c r="BC107" s="776" t="s">
        <v>2127</v>
      </c>
      <c r="BD107" s="776" t="s">
        <v>2127</v>
      </c>
      <c r="BE107" s="776" t="s">
        <v>2127</v>
      </c>
      <c r="BF107" s="776" t="s">
        <v>2127</v>
      </c>
      <c r="BG107" s="776" t="s">
        <v>2127</v>
      </c>
      <c r="BH107" s="776" t="s">
        <v>2127</v>
      </c>
      <c r="BI107" s="776" t="s">
        <v>2127</v>
      </c>
      <c r="BJ107" s="776" t="s">
        <v>2127</v>
      </c>
      <c r="BK107" s="776" t="s">
        <v>2127</v>
      </c>
      <c r="BL107" s="776" t="s">
        <v>2127</v>
      </c>
      <c r="BM107" s="776" t="s">
        <v>2127</v>
      </c>
      <c r="BN107" s="776" t="s">
        <v>2127</v>
      </c>
      <c r="BO107" s="776" t="s">
        <v>2127</v>
      </c>
      <c r="BP107" s="776" t="s">
        <v>2127</v>
      </c>
      <c r="BQ107" s="776" t="s">
        <v>2127</v>
      </c>
      <c r="BR107" s="776" t="s">
        <v>2127</v>
      </c>
      <c r="BS107" s="776" t="s">
        <v>2127</v>
      </c>
      <c r="BT107" s="776" t="s">
        <v>2127</v>
      </c>
      <c r="BU107" s="776" t="s">
        <v>2127</v>
      </c>
      <c r="BV107" s="776" t="s">
        <v>2127</v>
      </c>
      <c r="BW107" s="776" t="s">
        <v>2127</v>
      </c>
      <c r="BX107" s="776" t="s">
        <v>2127</v>
      </c>
      <c r="BY107" s="776" t="s">
        <v>2127</v>
      </c>
      <c r="BZ107" s="776" t="s">
        <v>2127</v>
      </c>
      <c r="CA107" s="776" t="s">
        <v>2127</v>
      </c>
      <c r="CB107" s="776" t="s">
        <v>2127</v>
      </c>
      <c r="CC107" s="776" t="s">
        <v>2127</v>
      </c>
      <c r="CD107" s="776" t="s">
        <v>2127</v>
      </c>
      <c r="CE107" s="776" t="s">
        <v>2127</v>
      </c>
      <c r="CF107" s="776" t="s">
        <v>2127</v>
      </c>
      <c r="CG107" s="776" t="s">
        <v>2127</v>
      </c>
      <c r="CH107" s="776" t="s">
        <v>2127</v>
      </c>
      <c r="CI107" s="776" t="s">
        <v>2127</v>
      </c>
      <c r="CJ107" s="776" t="s">
        <v>2127</v>
      </c>
      <c r="CK107" s="776" t="s">
        <v>2127</v>
      </c>
      <c r="CL107" s="776" t="s">
        <v>2127</v>
      </c>
      <c r="CM107" s="776" t="s">
        <v>2127</v>
      </c>
      <c r="CN107" s="776" t="s">
        <v>2127</v>
      </c>
      <c r="CO107" s="776" t="s">
        <v>2127</v>
      </c>
      <c r="CP107" s="776" t="s">
        <v>2127</v>
      </c>
      <c r="CQ107" s="776" t="s">
        <v>2127</v>
      </c>
      <c r="CR107" s="776" t="s">
        <v>2127</v>
      </c>
      <c r="CS107" s="776" t="s">
        <v>2127</v>
      </c>
      <c r="CT107" s="776" t="s">
        <v>2127</v>
      </c>
      <c r="CU107" s="776" t="s">
        <v>2127</v>
      </c>
      <c r="CV107" s="776" t="s">
        <v>2127</v>
      </c>
      <c r="CW107" s="776" t="s">
        <v>2127</v>
      </c>
      <c r="CX107" s="776" t="s">
        <v>2127</v>
      </c>
      <c r="CY107" s="776" t="s">
        <v>2127</v>
      </c>
      <c r="CZ107" s="776" t="s">
        <v>2127</v>
      </c>
      <c r="DA107" s="776" t="s">
        <v>2127</v>
      </c>
      <c r="DB107" s="776" t="s">
        <v>2127</v>
      </c>
      <c r="DC107" s="776" t="s">
        <v>2127</v>
      </c>
      <c r="DD107" s="776" t="s">
        <v>2127</v>
      </c>
      <c r="DE107" s="776" t="s">
        <v>2127</v>
      </c>
      <c r="DF107" s="776" t="s">
        <v>2127</v>
      </c>
      <c r="DG107" s="776" t="s">
        <v>2127</v>
      </c>
      <c r="DH107" s="776" t="s">
        <v>2127</v>
      </c>
      <c r="DI107" s="776" t="s">
        <v>2127</v>
      </c>
      <c r="DJ107" s="776" t="s">
        <v>2127</v>
      </c>
      <c r="DK107" s="776" t="s">
        <v>2127</v>
      </c>
      <c r="DL107" s="776" t="s">
        <v>2127</v>
      </c>
      <c r="DM107" s="776" t="s">
        <v>2127</v>
      </c>
      <c r="DN107" s="776" t="s">
        <v>2127</v>
      </c>
      <c r="DO107" s="776" t="s">
        <v>2127</v>
      </c>
      <c r="DP107" s="776" t="s">
        <v>2127</v>
      </c>
    </row>
    <row r="108" spans="1:120" x14ac:dyDescent="0.2">
      <c r="A108" s="637" t="s">
        <v>2152</v>
      </c>
      <c r="B108" s="772" t="str" cm="1">
        <f t="array" ref="B108">IFERROR(INDEX(Kulturen[HF],_xlfn.AGGREGATE(15,6,(ROW(Kulturen[Auswahl])-7)/(--(SEARCH("x",Kulturen[Auswahl])&gt;0)),ROW()-7),1),"")</f>
        <v>Chinaschilf (Miscanthus)</v>
      </c>
      <c r="C108" s="772" t="str">
        <f>IF(Kulturen[[#This Row],[HF]]=$D$373,IF($C$6=0,0,"x"),IF($C$6=0,"x",Vorauswahl!C107))</f>
        <v>x</v>
      </c>
      <c r="D108" s="77" t="s">
        <v>1907</v>
      </c>
      <c r="E108" s="77" t="s">
        <v>1907</v>
      </c>
      <c r="F108" s="540" t="s">
        <v>591</v>
      </c>
      <c r="G108" s="540">
        <v>7</v>
      </c>
      <c r="H108" s="540">
        <v>8</v>
      </c>
      <c r="I108" s="540">
        <v>3</v>
      </c>
      <c r="J108" s="540">
        <v>90</v>
      </c>
      <c r="K108" s="540">
        <v>0.23</v>
      </c>
      <c r="L108" s="540">
        <v>0.23</v>
      </c>
      <c r="M108" s="540">
        <v>114</v>
      </c>
      <c r="N108" s="540">
        <v>0.67</v>
      </c>
      <c r="O108" s="540">
        <v>1</v>
      </c>
      <c r="P108" s="540">
        <v>0</v>
      </c>
      <c r="Q108" s="540">
        <v>0</v>
      </c>
      <c r="R108" s="540">
        <v>10</v>
      </c>
      <c r="S108" s="540">
        <v>0</v>
      </c>
      <c r="T108" s="540">
        <v>0</v>
      </c>
      <c r="U108" s="540">
        <v>10</v>
      </c>
      <c r="V108" s="540">
        <v>4</v>
      </c>
      <c r="W108" s="776">
        <f>IF(Kulturen[[#This Row],[Berechnungsschema]]=13,3,IF(Kulturen[[#This Row],[Berechnungsschema]]=6,2,1))</f>
        <v>1</v>
      </c>
      <c r="X108" s="776">
        <f>IF(Kulturen[[#This Row],[fruchtartengruppe]]=13,Kulturen[[#This Row],[NBedarfswert]],MAX(0,Kulturen[[#This Row],[NBedarfswert]]-Kulturen[[#This Row],[Ertrag]]*Kulturen[[#This Row],[Nfix]]))</f>
        <v>0</v>
      </c>
      <c r="Y108" s="776" t="s">
        <v>2127</v>
      </c>
      <c r="Z108" s="776" t="s">
        <v>2127</v>
      </c>
      <c r="AA108" s="776" t="s">
        <v>2127</v>
      </c>
      <c r="AB108" s="776" t="s">
        <v>2127</v>
      </c>
      <c r="AC108" s="776" t="s">
        <v>2127</v>
      </c>
      <c r="AD108" s="776" t="s">
        <v>2127</v>
      </c>
      <c r="AE108" s="776" t="s">
        <v>2127</v>
      </c>
      <c r="AF108" s="776" t="s">
        <v>2127</v>
      </c>
      <c r="AG108" s="776" t="s">
        <v>2127</v>
      </c>
      <c r="AH108" s="776" t="s">
        <v>2127</v>
      </c>
      <c r="AI108" s="776" t="s">
        <v>2127</v>
      </c>
      <c r="AJ108" s="776" t="s">
        <v>2127</v>
      </c>
      <c r="AK108" s="776" t="s">
        <v>2127</v>
      </c>
      <c r="AL108" s="776" t="s">
        <v>2127</v>
      </c>
      <c r="AM108" s="776" t="s">
        <v>2127</v>
      </c>
      <c r="AN108" s="776" t="s">
        <v>2127</v>
      </c>
      <c r="AO108" s="776" t="s">
        <v>2127</v>
      </c>
      <c r="AP108" s="776" t="s">
        <v>2127</v>
      </c>
      <c r="AQ108" s="776" t="s">
        <v>2127</v>
      </c>
      <c r="AR108" s="776" t="s">
        <v>2127</v>
      </c>
      <c r="AS108" s="776" t="s">
        <v>2127</v>
      </c>
      <c r="AT108" s="776" t="s">
        <v>2127</v>
      </c>
      <c r="AU108" s="776" t="s">
        <v>2127</v>
      </c>
      <c r="AV108" s="776" t="s">
        <v>2127</v>
      </c>
      <c r="AW108" s="776" t="s">
        <v>2127</v>
      </c>
      <c r="AX108" s="776" t="s">
        <v>2127</v>
      </c>
      <c r="AY108" s="776" t="s">
        <v>2127</v>
      </c>
      <c r="AZ108" s="776" t="s">
        <v>2127</v>
      </c>
      <c r="BA108" s="776" t="s">
        <v>2127</v>
      </c>
      <c r="BB108" s="776" t="s">
        <v>2127</v>
      </c>
      <c r="BC108" s="776" t="s">
        <v>2127</v>
      </c>
      <c r="BD108" s="776" t="s">
        <v>2127</v>
      </c>
      <c r="BE108" s="776" t="s">
        <v>2127</v>
      </c>
      <c r="BF108" s="776" t="s">
        <v>2127</v>
      </c>
      <c r="BG108" s="776" t="s">
        <v>2127</v>
      </c>
      <c r="BH108" s="776" t="s">
        <v>2127</v>
      </c>
      <c r="BI108" s="776" t="s">
        <v>2127</v>
      </c>
      <c r="BJ108" s="776" t="s">
        <v>2127</v>
      </c>
      <c r="BK108" s="776" t="s">
        <v>2127</v>
      </c>
      <c r="BL108" s="776" t="s">
        <v>2127</v>
      </c>
      <c r="BM108" s="776" t="s">
        <v>2127</v>
      </c>
      <c r="BN108" s="776" t="s">
        <v>2127</v>
      </c>
      <c r="BO108" s="776" t="s">
        <v>2127</v>
      </c>
      <c r="BP108" s="776" t="s">
        <v>2127</v>
      </c>
      <c r="BQ108" s="776" t="s">
        <v>2127</v>
      </c>
      <c r="BR108" s="776" t="s">
        <v>2127</v>
      </c>
      <c r="BS108" s="776" t="s">
        <v>2127</v>
      </c>
      <c r="BT108" s="776" t="s">
        <v>2127</v>
      </c>
      <c r="BU108" s="776" t="s">
        <v>2127</v>
      </c>
      <c r="BV108" s="776" t="s">
        <v>2127</v>
      </c>
      <c r="BW108" s="776" t="s">
        <v>2127</v>
      </c>
      <c r="BX108" s="776" t="s">
        <v>2127</v>
      </c>
      <c r="BY108" s="776" t="s">
        <v>2127</v>
      </c>
      <c r="BZ108" s="776" t="s">
        <v>2127</v>
      </c>
      <c r="CA108" s="776" t="s">
        <v>2127</v>
      </c>
      <c r="CB108" s="776" t="s">
        <v>2127</v>
      </c>
      <c r="CC108" s="776" t="s">
        <v>2127</v>
      </c>
      <c r="CD108" s="776" t="s">
        <v>2127</v>
      </c>
      <c r="CE108" s="776" t="s">
        <v>2127</v>
      </c>
      <c r="CF108" s="776" t="s">
        <v>2127</v>
      </c>
      <c r="CG108" s="776" t="s">
        <v>2127</v>
      </c>
      <c r="CH108" s="776" t="s">
        <v>2127</v>
      </c>
      <c r="CI108" s="776" t="s">
        <v>2127</v>
      </c>
      <c r="CJ108" s="776" t="s">
        <v>2127</v>
      </c>
      <c r="CK108" s="776" t="s">
        <v>2127</v>
      </c>
      <c r="CL108" s="776" t="s">
        <v>2127</v>
      </c>
      <c r="CM108" s="776" t="s">
        <v>2127</v>
      </c>
      <c r="CN108" s="776" t="s">
        <v>2127</v>
      </c>
      <c r="CO108" s="776" t="s">
        <v>2127</v>
      </c>
      <c r="CP108" s="776" t="s">
        <v>2127</v>
      </c>
      <c r="CQ108" s="776" t="s">
        <v>2127</v>
      </c>
      <c r="CR108" s="776" t="s">
        <v>2127</v>
      </c>
      <c r="CS108" s="776" t="s">
        <v>2127</v>
      </c>
      <c r="CT108" s="776" t="s">
        <v>2127</v>
      </c>
      <c r="CU108" s="776" t="s">
        <v>2127</v>
      </c>
      <c r="CV108" s="776" t="s">
        <v>2127</v>
      </c>
      <c r="CW108" s="776" t="s">
        <v>2127</v>
      </c>
      <c r="CX108" s="776" t="s">
        <v>2127</v>
      </c>
      <c r="CY108" s="776" t="s">
        <v>2127</v>
      </c>
      <c r="CZ108" s="776" t="s">
        <v>2127</v>
      </c>
      <c r="DA108" s="776" t="s">
        <v>2127</v>
      </c>
      <c r="DB108" s="776" t="s">
        <v>2127</v>
      </c>
      <c r="DC108" s="776" t="s">
        <v>2127</v>
      </c>
      <c r="DD108" s="776" t="s">
        <v>2127</v>
      </c>
      <c r="DE108" s="776" t="s">
        <v>2127</v>
      </c>
      <c r="DF108" s="776" t="s">
        <v>2127</v>
      </c>
      <c r="DG108" s="776" t="s">
        <v>2127</v>
      </c>
      <c r="DH108" s="776" t="s">
        <v>2127</v>
      </c>
      <c r="DI108" s="776" t="s">
        <v>2127</v>
      </c>
      <c r="DJ108" s="776" t="s">
        <v>2127</v>
      </c>
      <c r="DK108" s="776" t="s">
        <v>2127</v>
      </c>
      <c r="DL108" s="776" t="s">
        <v>2127</v>
      </c>
      <c r="DM108" s="776" t="s">
        <v>2127</v>
      </c>
      <c r="DN108" s="776" t="s">
        <v>2127</v>
      </c>
      <c r="DO108" s="776" t="s">
        <v>2127</v>
      </c>
      <c r="DP108" s="776" t="s">
        <v>2127</v>
      </c>
    </row>
    <row r="109" spans="1:120" x14ac:dyDescent="0.2">
      <c r="A109" s="637" t="s">
        <v>2153</v>
      </c>
      <c r="B109" s="772" t="str" cm="1">
        <f t="array" ref="B109">IFERROR(INDEX(Kulturen[HF],_xlfn.AGGREGATE(15,6,(ROW(Kulturen[Auswahl])-7)/(--(SEARCH("x",Kulturen[Auswahl])&gt;0)),ROW()-7),1),"")</f>
        <v>Switchgras</v>
      </c>
      <c r="C109" s="772" t="str">
        <f>IF(Kulturen[[#This Row],[HF]]=$D$373,IF($C$6=0,0,"x"),IF($C$6=0,"x",Vorauswahl!C108))</f>
        <v>x</v>
      </c>
      <c r="D109" s="77" t="s">
        <v>1908</v>
      </c>
      <c r="E109" s="77" t="s">
        <v>1908</v>
      </c>
      <c r="F109" s="540" t="s">
        <v>594</v>
      </c>
      <c r="G109" s="540">
        <v>7</v>
      </c>
      <c r="H109" s="540">
        <v>8</v>
      </c>
      <c r="I109" s="540">
        <v>3</v>
      </c>
      <c r="J109" s="540">
        <v>90</v>
      </c>
      <c r="K109" s="540">
        <v>0.23</v>
      </c>
      <c r="L109" s="540">
        <v>0.23</v>
      </c>
      <c r="M109" s="540">
        <v>300</v>
      </c>
      <c r="N109" s="540">
        <v>0</v>
      </c>
      <c r="O109" s="540">
        <v>1</v>
      </c>
      <c r="P109" s="540">
        <v>0</v>
      </c>
      <c r="Q109" s="540">
        <v>180</v>
      </c>
      <c r="R109" s="540">
        <v>50</v>
      </c>
      <c r="S109" s="540">
        <v>10</v>
      </c>
      <c r="T109" s="540">
        <v>15</v>
      </c>
      <c r="U109" s="540">
        <v>10</v>
      </c>
      <c r="V109" s="540">
        <v>4</v>
      </c>
      <c r="W109" s="776">
        <f>IF(Kulturen[[#This Row],[Berechnungsschema]]=13,3,IF(Kulturen[[#This Row],[Berechnungsschema]]=6,2,1))</f>
        <v>1</v>
      </c>
      <c r="X109" s="776">
        <f>IF(Kulturen[[#This Row],[fruchtartengruppe]]=13,Kulturen[[#This Row],[NBedarfswert]],MAX(0,Kulturen[[#This Row],[NBedarfswert]]-Kulturen[[#This Row],[Ertrag]]*Kulturen[[#This Row],[Nfix]]))</f>
        <v>180</v>
      </c>
      <c r="Y109" s="776" t="s">
        <v>2127</v>
      </c>
      <c r="Z109" s="776" t="s">
        <v>2127</v>
      </c>
      <c r="AA109" s="776" t="s">
        <v>2127</v>
      </c>
      <c r="AB109" s="776" t="s">
        <v>2127</v>
      </c>
      <c r="AC109" s="776" t="s">
        <v>2127</v>
      </c>
      <c r="AD109" s="776" t="s">
        <v>2127</v>
      </c>
      <c r="AE109" s="776" t="s">
        <v>2127</v>
      </c>
      <c r="AF109" s="776" t="s">
        <v>2127</v>
      </c>
      <c r="AG109" s="776" t="s">
        <v>2127</v>
      </c>
      <c r="AH109" s="776" t="s">
        <v>2127</v>
      </c>
      <c r="AI109" s="776" t="s">
        <v>2127</v>
      </c>
      <c r="AJ109" s="776" t="s">
        <v>2127</v>
      </c>
      <c r="AK109" s="776" t="s">
        <v>2127</v>
      </c>
      <c r="AL109" s="776" t="s">
        <v>2127</v>
      </c>
      <c r="AM109" s="776" t="s">
        <v>2127</v>
      </c>
      <c r="AN109" s="776" t="s">
        <v>2127</v>
      </c>
      <c r="AO109" s="776" t="s">
        <v>2127</v>
      </c>
      <c r="AP109" s="776" t="s">
        <v>2127</v>
      </c>
      <c r="AQ109" s="776" t="s">
        <v>2127</v>
      </c>
      <c r="AR109" s="776" t="s">
        <v>2127</v>
      </c>
      <c r="AS109" s="776" t="s">
        <v>2127</v>
      </c>
      <c r="AT109" s="776" t="s">
        <v>2127</v>
      </c>
      <c r="AU109" s="776" t="s">
        <v>2127</v>
      </c>
      <c r="AV109" s="776" t="s">
        <v>2127</v>
      </c>
      <c r="AW109" s="776" t="s">
        <v>2127</v>
      </c>
      <c r="AX109" s="776" t="s">
        <v>2127</v>
      </c>
      <c r="AY109" s="776" t="s">
        <v>2127</v>
      </c>
      <c r="AZ109" s="776" t="s">
        <v>2127</v>
      </c>
      <c r="BA109" s="776" t="s">
        <v>2127</v>
      </c>
      <c r="BB109" s="776" t="s">
        <v>2127</v>
      </c>
      <c r="BC109" s="776" t="s">
        <v>2127</v>
      </c>
      <c r="BD109" s="776" t="s">
        <v>2127</v>
      </c>
      <c r="BE109" s="776" t="s">
        <v>2127</v>
      </c>
      <c r="BF109" s="776" t="s">
        <v>2127</v>
      </c>
      <c r="BG109" s="776" t="s">
        <v>2127</v>
      </c>
      <c r="BH109" s="776" t="s">
        <v>2127</v>
      </c>
      <c r="BI109" s="776" t="s">
        <v>2127</v>
      </c>
      <c r="BJ109" s="776" t="s">
        <v>2127</v>
      </c>
      <c r="BK109" s="776" t="s">
        <v>2127</v>
      </c>
      <c r="BL109" s="776" t="s">
        <v>2127</v>
      </c>
      <c r="BM109" s="776" t="s">
        <v>2127</v>
      </c>
      <c r="BN109" s="776" t="s">
        <v>2127</v>
      </c>
      <c r="BO109" s="776" t="s">
        <v>2127</v>
      </c>
      <c r="BP109" s="776" t="s">
        <v>2127</v>
      </c>
      <c r="BQ109" s="776" t="s">
        <v>2127</v>
      </c>
      <c r="BR109" s="776" t="s">
        <v>2127</v>
      </c>
      <c r="BS109" s="776" t="s">
        <v>2127</v>
      </c>
      <c r="BT109" s="776" t="s">
        <v>2127</v>
      </c>
      <c r="BU109" s="776" t="s">
        <v>2127</v>
      </c>
      <c r="BV109" s="776" t="s">
        <v>2127</v>
      </c>
      <c r="BW109" s="776" t="s">
        <v>2127</v>
      </c>
      <c r="BX109" s="776" t="s">
        <v>2127</v>
      </c>
      <c r="BY109" s="776" t="s">
        <v>2127</v>
      </c>
      <c r="BZ109" s="776" t="s">
        <v>2127</v>
      </c>
      <c r="CA109" s="776" t="s">
        <v>2127</v>
      </c>
      <c r="CB109" s="776" t="s">
        <v>2127</v>
      </c>
      <c r="CC109" s="776" t="s">
        <v>2127</v>
      </c>
      <c r="CD109" s="776" t="s">
        <v>2127</v>
      </c>
      <c r="CE109" s="776" t="s">
        <v>2127</v>
      </c>
      <c r="CF109" s="776" t="s">
        <v>2127</v>
      </c>
      <c r="CG109" s="776" t="s">
        <v>2127</v>
      </c>
      <c r="CH109" s="776" t="s">
        <v>2127</v>
      </c>
      <c r="CI109" s="776" t="s">
        <v>2127</v>
      </c>
      <c r="CJ109" s="776" t="s">
        <v>2127</v>
      </c>
      <c r="CK109" s="776" t="s">
        <v>2127</v>
      </c>
      <c r="CL109" s="776" t="s">
        <v>2127</v>
      </c>
      <c r="CM109" s="776" t="s">
        <v>2127</v>
      </c>
      <c r="CN109" s="776" t="s">
        <v>2127</v>
      </c>
      <c r="CO109" s="776" t="s">
        <v>2127</v>
      </c>
      <c r="CP109" s="776" t="s">
        <v>2127</v>
      </c>
      <c r="CQ109" s="776" t="s">
        <v>2127</v>
      </c>
      <c r="CR109" s="776" t="s">
        <v>2127</v>
      </c>
      <c r="CS109" s="776" t="s">
        <v>2127</v>
      </c>
      <c r="CT109" s="776" t="s">
        <v>2127</v>
      </c>
      <c r="CU109" s="776" t="s">
        <v>2127</v>
      </c>
      <c r="CV109" s="776" t="s">
        <v>2127</v>
      </c>
      <c r="CW109" s="776" t="s">
        <v>2127</v>
      </c>
      <c r="CX109" s="776" t="s">
        <v>2127</v>
      </c>
      <c r="CY109" s="776" t="s">
        <v>2127</v>
      </c>
      <c r="CZ109" s="776" t="s">
        <v>2127</v>
      </c>
      <c r="DA109" s="776" t="s">
        <v>2127</v>
      </c>
      <c r="DB109" s="776" t="s">
        <v>2127</v>
      </c>
      <c r="DC109" s="776" t="s">
        <v>2127</v>
      </c>
      <c r="DD109" s="776" t="s">
        <v>2127</v>
      </c>
      <c r="DE109" s="776" t="s">
        <v>2127</v>
      </c>
      <c r="DF109" s="776" t="s">
        <v>2127</v>
      </c>
      <c r="DG109" s="776" t="s">
        <v>2127</v>
      </c>
      <c r="DH109" s="776" t="s">
        <v>2127</v>
      </c>
      <c r="DI109" s="776" t="s">
        <v>2127</v>
      </c>
      <c r="DJ109" s="776" t="s">
        <v>2127</v>
      </c>
      <c r="DK109" s="776" t="s">
        <v>2127</v>
      </c>
      <c r="DL109" s="776" t="s">
        <v>2127</v>
      </c>
      <c r="DM109" s="776" t="s">
        <v>2127</v>
      </c>
      <c r="DN109" s="776" t="s">
        <v>2127</v>
      </c>
      <c r="DO109" s="776" t="s">
        <v>2127</v>
      </c>
      <c r="DP109" s="776" t="s">
        <v>2127</v>
      </c>
    </row>
    <row r="110" spans="1:120" x14ac:dyDescent="0.2">
      <c r="A110" s="637" t="s">
        <v>2154</v>
      </c>
      <c r="B110" s="772" t="str" cm="1">
        <f t="array" ref="B110">IFERROR(INDEX(Kulturen[HF],_xlfn.AGGREGATE(15,6,(ROW(Kulturen[Auswahl])-7)/(--(SEARCH("x",Kulturen[Auswahl])&gt;0)),ROW()-7),1),"")</f>
        <v>Rohrglanzgras</v>
      </c>
      <c r="C110" s="772" t="str">
        <f>IF(Kulturen[[#This Row],[HF]]=$D$373,IF($C$6=0,0,"x"),IF($C$6=0,"x",Vorauswahl!C109))</f>
        <v>x</v>
      </c>
      <c r="D110" s="77" t="s">
        <v>503</v>
      </c>
      <c r="E110" s="77" t="s">
        <v>503</v>
      </c>
      <c r="F110" s="540" t="s">
        <v>595</v>
      </c>
      <c r="G110" s="540">
        <v>7</v>
      </c>
      <c r="H110" s="540">
        <v>1</v>
      </c>
      <c r="I110" s="540">
        <v>3</v>
      </c>
      <c r="J110" s="540">
        <v>90</v>
      </c>
      <c r="K110" s="540">
        <v>0.23</v>
      </c>
      <c r="L110" s="540">
        <v>0.23</v>
      </c>
      <c r="M110" s="540">
        <v>350</v>
      </c>
      <c r="N110" s="540">
        <v>0</v>
      </c>
      <c r="O110" s="540">
        <v>1</v>
      </c>
      <c r="P110" s="540" t="s">
        <v>1584</v>
      </c>
      <c r="Q110" s="540">
        <v>200</v>
      </c>
      <c r="R110" s="540">
        <v>50</v>
      </c>
      <c r="S110" s="540">
        <v>10</v>
      </c>
      <c r="T110" s="540">
        <v>15</v>
      </c>
      <c r="U110" s="540">
        <v>10</v>
      </c>
      <c r="V110" s="540">
        <v>4</v>
      </c>
      <c r="W110" s="776">
        <f>IF(Kulturen[[#This Row],[Berechnungsschema]]=13,3,IF(Kulturen[[#This Row],[Berechnungsschema]]=6,2,1))</f>
        <v>1</v>
      </c>
      <c r="X110" s="776">
        <f>IF(Kulturen[[#This Row],[fruchtartengruppe]]=13,Kulturen[[#This Row],[NBedarfswert]],MAX(0,Kulturen[[#This Row],[NBedarfswert]]-Kulturen[[#This Row],[Ertrag]]*Kulturen[[#This Row],[Nfix]]))</f>
        <v>200</v>
      </c>
      <c r="Y110" s="776" t="s">
        <v>2127</v>
      </c>
      <c r="Z110" s="776" t="s">
        <v>2127</v>
      </c>
      <c r="AA110" s="776" t="s">
        <v>2127</v>
      </c>
      <c r="AB110" s="776" t="s">
        <v>2127</v>
      </c>
      <c r="AC110" s="776" t="s">
        <v>2127</v>
      </c>
      <c r="AD110" s="776" t="s">
        <v>2127</v>
      </c>
      <c r="AE110" s="776" t="s">
        <v>2127</v>
      </c>
      <c r="AF110" s="776" t="s">
        <v>2127</v>
      </c>
      <c r="AG110" s="776" t="s">
        <v>2127</v>
      </c>
      <c r="AH110" s="776" t="s">
        <v>2127</v>
      </c>
      <c r="AI110" s="776" t="s">
        <v>2127</v>
      </c>
      <c r="AJ110" s="776" t="s">
        <v>2127</v>
      </c>
      <c r="AK110" s="776" t="s">
        <v>2127</v>
      </c>
      <c r="AL110" s="776" t="s">
        <v>2127</v>
      </c>
      <c r="AM110" s="776" t="s">
        <v>2127</v>
      </c>
      <c r="AN110" s="776" t="s">
        <v>2127</v>
      </c>
      <c r="AO110" s="776" t="s">
        <v>2127</v>
      </c>
      <c r="AP110" s="776" t="s">
        <v>2127</v>
      </c>
      <c r="AQ110" s="776" t="s">
        <v>2127</v>
      </c>
      <c r="AR110" s="776" t="s">
        <v>2127</v>
      </c>
      <c r="AS110" s="776" t="s">
        <v>2127</v>
      </c>
      <c r="AT110" s="776" t="s">
        <v>2127</v>
      </c>
      <c r="AU110" s="776" t="s">
        <v>2127</v>
      </c>
      <c r="AV110" s="776" t="s">
        <v>2127</v>
      </c>
      <c r="AW110" s="776" t="s">
        <v>2127</v>
      </c>
      <c r="AX110" s="776" t="s">
        <v>2127</v>
      </c>
      <c r="AY110" s="776" t="s">
        <v>2127</v>
      </c>
      <c r="AZ110" s="776" t="s">
        <v>2127</v>
      </c>
      <c r="BA110" s="776" t="s">
        <v>2127</v>
      </c>
      <c r="BB110" s="776" t="s">
        <v>2127</v>
      </c>
      <c r="BC110" s="776" t="s">
        <v>2127</v>
      </c>
      <c r="BD110" s="776" t="s">
        <v>2127</v>
      </c>
      <c r="BE110" s="776" t="s">
        <v>2127</v>
      </c>
      <c r="BF110" s="776" t="s">
        <v>2127</v>
      </c>
      <c r="BG110" s="776" t="s">
        <v>2127</v>
      </c>
      <c r="BH110" s="776" t="s">
        <v>2127</v>
      </c>
      <c r="BI110" s="776" t="s">
        <v>2127</v>
      </c>
      <c r="BJ110" s="776" t="s">
        <v>2127</v>
      </c>
      <c r="BK110" s="776" t="s">
        <v>2127</v>
      </c>
      <c r="BL110" s="776" t="s">
        <v>2127</v>
      </c>
      <c r="BM110" s="776" t="s">
        <v>2127</v>
      </c>
      <c r="BN110" s="776" t="s">
        <v>2127</v>
      </c>
      <c r="BO110" s="776" t="s">
        <v>2127</v>
      </c>
      <c r="BP110" s="776" t="s">
        <v>2127</v>
      </c>
      <c r="BQ110" s="776" t="s">
        <v>2127</v>
      </c>
      <c r="BR110" s="776" t="s">
        <v>2127</v>
      </c>
      <c r="BS110" s="776" t="s">
        <v>2127</v>
      </c>
      <c r="BT110" s="776" t="s">
        <v>2127</v>
      </c>
      <c r="BU110" s="776" t="s">
        <v>2127</v>
      </c>
      <c r="BV110" s="776" t="s">
        <v>2127</v>
      </c>
      <c r="BW110" s="776" t="s">
        <v>2127</v>
      </c>
      <c r="BX110" s="776" t="s">
        <v>2127</v>
      </c>
      <c r="BY110" s="776" t="s">
        <v>2127</v>
      </c>
      <c r="BZ110" s="776" t="s">
        <v>2127</v>
      </c>
      <c r="CA110" s="776" t="s">
        <v>2127</v>
      </c>
      <c r="CB110" s="776" t="s">
        <v>2127</v>
      </c>
      <c r="CC110" s="776" t="s">
        <v>2127</v>
      </c>
      <c r="CD110" s="776" t="s">
        <v>2127</v>
      </c>
      <c r="CE110" s="776" t="s">
        <v>2127</v>
      </c>
      <c r="CF110" s="776" t="s">
        <v>2127</v>
      </c>
      <c r="CG110" s="776" t="s">
        <v>2127</v>
      </c>
      <c r="CH110" s="776" t="s">
        <v>2127</v>
      </c>
      <c r="CI110" s="776" t="s">
        <v>2127</v>
      </c>
      <c r="CJ110" s="776" t="s">
        <v>2127</v>
      </c>
      <c r="CK110" s="776" t="s">
        <v>2127</v>
      </c>
      <c r="CL110" s="776" t="s">
        <v>2127</v>
      </c>
      <c r="CM110" s="776" t="s">
        <v>2127</v>
      </c>
      <c r="CN110" s="776" t="s">
        <v>2127</v>
      </c>
      <c r="CO110" s="776" t="s">
        <v>2127</v>
      </c>
      <c r="CP110" s="776" t="s">
        <v>2127</v>
      </c>
      <c r="CQ110" s="776" t="s">
        <v>2127</v>
      </c>
      <c r="CR110" s="776" t="s">
        <v>2127</v>
      </c>
      <c r="CS110" s="776" t="s">
        <v>2127</v>
      </c>
      <c r="CT110" s="776" t="s">
        <v>2127</v>
      </c>
      <c r="CU110" s="776" t="s">
        <v>2127</v>
      </c>
      <c r="CV110" s="776" t="s">
        <v>2127</v>
      </c>
      <c r="CW110" s="776" t="s">
        <v>2127</v>
      </c>
      <c r="CX110" s="776" t="s">
        <v>2127</v>
      </c>
      <c r="CY110" s="776" t="s">
        <v>2127</v>
      </c>
      <c r="CZ110" s="776" t="s">
        <v>2127</v>
      </c>
      <c r="DA110" s="776" t="s">
        <v>2127</v>
      </c>
      <c r="DB110" s="776" t="s">
        <v>2127</v>
      </c>
      <c r="DC110" s="776" t="s">
        <v>2127</v>
      </c>
      <c r="DD110" s="776" t="s">
        <v>2127</v>
      </c>
      <c r="DE110" s="776" t="s">
        <v>2127</v>
      </c>
      <c r="DF110" s="776" t="s">
        <v>2127</v>
      </c>
      <c r="DG110" s="776" t="s">
        <v>2127</v>
      </c>
      <c r="DH110" s="776" t="s">
        <v>2127</v>
      </c>
      <c r="DI110" s="776" t="s">
        <v>2127</v>
      </c>
      <c r="DJ110" s="776" t="s">
        <v>2127</v>
      </c>
      <c r="DK110" s="776" t="s">
        <v>2127</v>
      </c>
      <c r="DL110" s="776" t="s">
        <v>2127</v>
      </c>
      <c r="DM110" s="776" t="s">
        <v>2127</v>
      </c>
      <c r="DN110" s="776" t="s">
        <v>2127</v>
      </c>
      <c r="DO110" s="776" t="s">
        <v>2127</v>
      </c>
      <c r="DP110" s="776" t="s">
        <v>2127</v>
      </c>
    </row>
    <row r="111" spans="1:120" x14ac:dyDescent="0.2">
      <c r="A111" s="637" t="s">
        <v>2155</v>
      </c>
      <c r="B111" s="772" t="str" cm="1">
        <f t="array" ref="B111">IFERROR(INDEX(Kulturen[HF],_xlfn.AGGREGATE(15,6,(ROW(Kulturen[Auswahl])-7)/(--(SEARCH("x",Kulturen[Auswahl])&gt;0)),ROW()-7),1),"")</f>
        <v>GPS Sonnenblumen</v>
      </c>
      <c r="C111" s="772" t="str">
        <f>IF(Kulturen[[#This Row],[HF]]=$D$373,IF($C$6=0,0,"x"),IF($C$6=0,"x",Vorauswahl!C110))</f>
        <v>x</v>
      </c>
      <c r="D111" s="77" t="s">
        <v>1909</v>
      </c>
      <c r="E111" s="77" t="s">
        <v>1909</v>
      </c>
      <c r="F111" s="540" t="s">
        <v>1859</v>
      </c>
      <c r="G111" s="540">
        <v>8</v>
      </c>
      <c r="H111" s="540">
        <v>8</v>
      </c>
      <c r="I111" s="540">
        <v>0</v>
      </c>
      <c r="J111" s="540">
        <v>90</v>
      </c>
      <c r="K111" s="540">
        <v>0</v>
      </c>
      <c r="L111" s="540">
        <v>0</v>
      </c>
      <c r="M111" s="540">
        <v>0</v>
      </c>
      <c r="N111" s="540">
        <v>0</v>
      </c>
      <c r="O111" s="540">
        <v>0</v>
      </c>
      <c r="P111" s="540">
        <v>0</v>
      </c>
      <c r="Q111" s="540">
        <v>0</v>
      </c>
      <c r="R111" s="540">
        <v>1</v>
      </c>
      <c r="S111" s="540">
        <v>0</v>
      </c>
      <c r="T111" s="540">
        <v>0</v>
      </c>
      <c r="U111" s="540">
        <v>0</v>
      </c>
      <c r="V111" s="540">
        <v>0</v>
      </c>
      <c r="W111" s="776">
        <f>IF(Kulturen[[#This Row],[Berechnungsschema]]=13,3,IF(Kulturen[[#This Row],[Berechnungsschema]]=6,2,1))</f>
        <v>1</v>
      </c>
      <c r="X111" s="776">
        <f>IF(Kulturen[[#This Row],[fruchtartengruppe]]=13,Kulturen[[#This Row],[NBedarfswert]],MAX(0,Kulturen[[#This Row],[NBedarfswert]]-Kulturen[[#This Row],[Ertrag]]*Kulturen[[#This Row],[Nfix]]))</f>
        <v>0</v>
      </c>
      <c r="Y111" s="776" t="s">
        <v>2127</v>
      </c>
      <c r="Z111" s="776" t="s">
        <v>2127</v>
      </c>
      <c r="AA111" s="776" t="s">
        <v>2127</v>
      </c>
      <c r="AB111" s="776" t="s">
        <v>2127</v>
      </c>
      <c r="AC111" s="776" t="s">
        <v>2127</v>
      </c>
      <c r="AD111" s="776" t="s">
        <v>2127</v>
      </c>
      <c r="AE111" s="776" t="s">
        <v>2127</v>
      </c>
      <c r="AF111" s="776" t="s">
        <v>2127</v>
      </c>
      <c r="AG111" s="776" t="s">
        <v>2127</v>
      </c>
      <c r="AH111" s="776" t="s">
        <v>2127</v>
      </c>
      <c r="AI111" s="776" t="s">
        <v>2127</v>
      </c>
      <c r="AJ111" s="776" t="s">
        <v>2127</v>
      </c>
      <c r="AK111" s="776" t="s">
        <v>2127</v>
      </c>
      <c r="AL111" s="776" t="s">
        <v>2127</v>
      </c>
      <c r="AM111" s="776" t="s">
        <v>2127</v>
      </c>
      <c r="AN111" s="776" t="s">
        <v>2127</v>
      </c>
      <c r="AO111" s="776" t="s">
        <v>2127</v>
      </c>
      <c r="AP111" s="776" t="s">
        <v>2127</v>
      </c>
      <c r="AQ111" s="776" t="s">
        <v>2127</v>
      </c>
      <c r="AR111" s="776" t="s">
        <v>2127</v>
      </c>
      <c r="AS111" s="776" t="s">
        <v>2127</v>
      </c>
      <c r="AT111" s="776" t="s">
        <v>2127</v>
      </c>
      <c r="AU111" s="776" t="s">
        <v>2127</v>
      </c>
      <c r="AV111" s="776" t="s">
        <v>2127</v>
      </c>
      <c r="AW111" s="776" t="s">
        <v>2127</v>
      </c>
      <c r="AX111" s="776" t="s">
        <v>2127</v>
      </c>
      <c r="AY111" s="776" t="s">
        <v>2127</v>
      </c>
      <c r="AZ111" s="776" t="s">
        <v>2127</v>
      </c>
      <c r="BA111" s="776" t="s">
        <v>2127</v>
      </c>
      <c r="BB111" s="776" t="s">
        <v>2127</v>
      </c>
      <c r="BC111" s="776" t="s">
        <v>2127</v>
      </c>
      <c r="BD111" s="776" t="s">
        <v>2127</v>
      </c>
      <c r="BE111" s="776" t="s">
        <v>2127</v>
      </c>
      <c r="BF111" s="776" t="s">
        <v>2127</v>
      </c>
      <c r="BG111" s="776" t="s">
        <v>2127</v>
      </c>
      <c r="BH111" s="776" t="s">
        <v>2127</v>
      </c>
      <c r="BI111" s="776" t="s">
        <v>2127</v>
      </c>
      <c r="BJ111" s="776" t="s">
        <v>2127</v>
      </c>
      <c r="BK111" s="776" t="s">
        <v>2127</v>
      </c>
      <c r="BL111" s="776" t="s">
        <v>2127</v>
      </c>
      <c r="BM111" s="776" t="s">
        <v>2127</v>
      </c>
      <c r="BN111" s="776" t="s">
        <v>2127</v>
      </c>
      <c r="BO111" s="776" t="s">
        <v>2127</v>
      </c>
      <c r="BP111" s="776" t="s">
        <v>2127</v>
      </c>
      <c r="BQ111" s="776" t="s">
        <v>2127</v>
      </c>
      <c r="BR111" s="776" t="s">
        <v>2127</v>
      </c>
      <c r="BS111" s="776" t="s">
        <v>2127</v>
      </c>
      <c r="BT111" s="776" t="s">
        <v>2127</v>
      </c>
      <c r="BU111" s="776" t="s">
        <v>2127</v>
      </c>
      <c r="BV111" s="776" t="s">
        <v>2127</v>
      </c>
      <c r="BW111" s="776" t="s">
        <v>2127</v>
      </c>
      <c r="BX111" s="776" t="s">
        <v>2127</v>
      </c>
      <c r="BY111" s="776" t="s">
        <v>2127</v>
      </c>
      <c r="BZ111" s="776" t="s">
        <v>2127</v>
      </c>
      <c r="CA111" s="776" t="s">
        <v>2127</v>
      </c>
      <c r="CB111" s="776" t="s">
        <v>2127</v>
      </c>
      <c r="CC111" s="776" t="s">
        <v>2127</v>
      </c>
      <c r="CD111" s="776" t="s">
        <v>2127</v>
      </c>
      <c r="CE111" s="776" t="s">
        <v>2127</v>
      </c>
      <c r="CF111" s="776" t="s">
        <v>2127</v>
      </c>
      <c r="CG111" s="776" t="s">
        <v>2127</v>
      </c>
      <c r="CH111" s="776" t="s">
        <v>2127</v>
      </c>
      <c r="CI111" s="776" t="s">
        <v>2127</v>
      </c>
      <c r="CJ111" s="776" t="s">
        <v>2127</v>
      </c>
      <c r="CK111" s="776" t="s">
        <v>2127</v>
      </c>
      <c r="CL111" s="776" t="s">
        <v>2127</v>
      </c>
      <c r="CM111" s="776" t="s">
        <v>2127</v>
      </c>
      <c r="CN111" s="776" t="s">
        <v>2127</v>
      </c>
      <c r="CO111" s="776" t="s">
        <v>2127</v>
      </c>
      <c r="CP111" s="776" t="s">
        <v>2127</v>
      </c>
      <c r="CQ111" s="776" t="s">
        <v>2127</v>
      </c>
      <c r="CR111" s="776" t="s">
        <v>2127</v>
      </c>
      <c r="CS111" s="776" t="s">
        <v>2127</v>
      </c>
      <c r="CT111" s="776" t="s">
        <v>2127</v>
      </c>
      <c r="CU111" s="776" t="s">
        <v>2127</v>
      </c>
      <c r="CV111" s="776" t="s">
        <v>2127</v>
      </c>
      <c r="CW111" s="776" t="s">
        <v>2127</v>
      </c>
      <c r="CX111" s="776" t="s">
        <v>2127</v>
      </c>
      <c r="CY111" s="776" t="s">
        <v>2127</v>
      </c>
      <c r="CZ111" s="776" t="s">
        <v>2127</v>
      </c>
      <c r="DA111" s="776" t="s">
        <v>2127</v>
      </c>
      <c r="DB111" s="776" t="s">
        <v>2127</v>
      </c>
      <c r="DC111" s="776" t="s">
        <v>2127</v>
      </c>
      <c r="DD111" s="776" t="s">
        <v>2127</v>
      </c>
      <c r="DE111" s="776" t="s">
        <v>2127</v>
      </c>
      <c r="DF111" s="776" t="s">
        <v>2127</v>
      </c>
      <c r="DG111" s="776" t="s">
        <v>2127</v>
      </c>
      <c r="DH111" s="776" t="s">
        <v>2127</v>
      </c>
      <c r="DI111" s="776" t="s">
        <v>2127</v>
      </c>
      <c r="DJ111" s="776" t="s">
        <v>2127</v>
      </c>
      <c r="DK111" s="776" t="s">
        <v>2127</v>
      </c>
      <c r="DL111" s="776" t="s">
        <v>2127</v>
      </c>
      <c r="DM111" s="776" t="s">
        <v>2127</v>
      </c>
      <c r="DN111" s="776" t="s">
        <v>2127</v>
      </c>
      <c r="DO111" s="776" t="s">
        <v>2127</v>
      </c>
      <c r="DP111" s="776" t="s">
        <v>2127</v>
      </c>
    </row>
    <row r="112" spans="1:120" x14ac:dyDescent="0.2">
      <c r="A112" s="637" t="s">
        <v>2186</v>
      </c>
      <c r="B112" s="772" t="str" cm="1">
        <f t="array" ref="B112">IFERROR(INDEX(Kulturen[HF],_xlfn.AGGREGATE(15,6,(ROW(Kulturen[Auswahl])-7)/(--(SEARCH("x",Kulturen[Auswahl])&gt;0)),ROW()-7),1),"")</f>
        <v>GPS Amarant</v>
      </c>
      <c r="C112" s="772" t="str">
        <f>IF(Kulturen[[#This Row],[HF]]=$D$373,IF($C$6=0,0,"x"),IF($C$6=0,"x",Vorauswahl!C111))</f>
        <v>x</v>
      </c>
      <c r="D112" s="77" t="s">
        <v>2394</v>
      </c>
      <c r="E112" s="77" t="s">
        <v>2394</v>
      </c>
      <c r="F112" s="540" t="s">
        <v>623</v>
      </c>
      <c r="G112" s="540">
        <v>8</v>
      </c>
      <c r="H112" s="540">
        <v>3</v>
      </c>
      <c r="I112" s="540">
        <v>3</v>
      </c>
      <c r="J112" s="540">
        <v>6</v>
      </c>
      <c r="K112" s="540">
        <v>0.12</v>
      </c>
      <c r="L112" s="540">
        <v>0.12</v>
      </c>
      <c r="M112" s="540">
        <v>0</v>
      </c>
      <c r="N112" s="540">
        <v>0</v>
      </c>
      <c r="O112" s="540">
        <v>1</v>
      </c>
      <c r="P112" s="540">
        <v>0</v>
      </c>
      <c r="Q112" s="540">
        <v>50</v>
      </c>
      <c r="R112" s="540">
        <v>20</v>
      </c>
      <c r="S112" s="540">
        <v>0</v>
      </c>
      <c r="T112" s="540">
        <v>0</v>
      </c>
      <c r="U112" s="540">
        <v>0</v>
      </c>
      <c r="V112" s="540">
        <v>3</v>
      </c>
      <c r="W112" s="776">
        <f>IF(Kulturen[[#This Row],[Berechnungsschema]]=13,3,IF(Kulturen[[#This Row],[Berechnungsschema]]=6,2,1))</f>
        <v>2</v>
      </c>
      <c r="X112" s="776">
        <f>IF(Kulturen[[#This Row],[fruchtartengruppe]]=13,Kulturen[[#This Row],[NBedarfswert]],MAX(0,Kulturen[[#This Row],[NBedarfswert]]-Kulturen[[#This Row],[Ertrag]]*Kulturen[[#This Row],[Nfix]]))</f>
        <v>50</v>
      </c>
      <c r="Y112" s="776">
        <v>0</v>
      </c>
      <c r="Z112" s="776">
        <v>0</v>
      </c>
      <c r="AA112" s="776">
        <v>0</v>
      </c>
      <c r="AB112" s="776">
        <v>0</v>
      </c>
      <c r="AC112" s="776">
        <v>0</v>
      </c>
      <c r="AD112" s="776">
        <v>0</v>
      </c>
      <c r="AE112" s="776">
        <v>0</v>
      </c>
      <c r="AF112" s="776">
        <v>0</v>
      </c>
      <c r="AG112" s="776">
        <v>0</v>
      </c>
      <c r="AH112" s="776">
        <v>0</v>
      </c>
      <c r="AI112" s="776">
        <v>0</v>
      </c>
      <c r="AJ112" s="776">
        <v>0</v>
      </c>
      <c r="AK112" s="776">
        <v>0</v>
      </c>
      <c r="AL112" s="776">
        <v>0</v>
      </c>
      <c r="AM112" s="776">
        <v>0</v>
      </c>
      <c r="AN112" s="776">
        <v>0</v>
      </c>
      <c r="AO112" s="776">
        <v>0</v>
      </c>
      <c r="AP112" s="776">
        <v>0</v>
      </c>
      <c r="AQ112" s="776">
        <v>0</v>
      </c>
      <c r="AR112" s="776">
        <v>0</v>
      </c>
      <c r="AS112" s="776">
        <v>0</v>
      </c>
      <c r="AT112" s="776">
        <v>0</v>
      </c>
      <c r="AU112" s="776">
        <v>0</v>
      </c>
      <c r="AV112" s="776">
        <v>0</v>
      </c>
      <c r="AW112" s="776">
        <v>0</v>
      </c>
      <c r="AX112" s="776">
        <v>0</v>
      </c>
      <c r="AY112" s="776">
        <v>0</v>
      </c>
      <c r="AZ112" s="776">
        <v>0</v>
      </c>
      <c r="BA112" s="776">
        <v>0</v>
      </c>
      <c r="BB112" s="776">
        <v>0</v>
      </c>
      <c r="BC112" s="776">
        <v>0</v>
      </c>
      <c r="BD112" s="776">
        <v>0</v>
      </c>
      <c r="BE112" s="776">
        <v>0</v>
      </c>
      <c r="BF112" s="776">
        <v>0</v>
      </c>
      <c r="BG112" s="776">
        <v>0</v>
      </c>
      <c r="BH112" s="776">
        <v>0</v>
      </c>
      <c r="BI112" s="776">
        <v>0</v>
      </c>
      <c r="BJ112" s="776">
        <v>0</v>
      </c>
      <c r="BK112" s="776">
        <v>0</v>
      </c>
      <c r="BL112" s="776">
        <v>0</v>
      </c>
      <c r="BM112" s="776">
        <v>0</v>
      </c>
      <c r="BN112" s="776">
        <v>0</v>
      </c>
      <c r="BO112" s="776">
        <v>0</v>
      </c>
      <c r="BP112" s="776">
        <v>0</v>
      </c>
      <c r="BQ112" s="776">
        <v>0</v>
      </c>
      <c r="BR112" s="776">
        <v>0</v>
      </c>
      <c r="BS112" s="776">
        <v>0</v>
      </c>
      <c r="BT112" s="776">
        <v>0</v>
      </c>
      <c r="BU112" s="776">
        <v>0</v>
      </c>
      <c r="BV112" s="776">
        <v>0</v>
      </c>
      <c r="BW112" s="776">
        <v>0</v>
      </c>
      <c r="BX112" s="776">
        <v>0</v>
      </c>
      <c r="BY112" s="776">
        <v>0</v>
      </c>
      <c r="BZ112" s="776">
        <v>0</v>
      </c>
      <c r="CA112" s="776">
        <v>0</v>
      </c>
      <c r="CB112" s="776">
        <v>0</v>
      </c>
      <c r="CC112" s="776">
        <v>0</v>
      </c>
      <c r="CD112" s="776">
        <v>0</v>
      </c>
      <c r="CE112" s="776">
        <v>0</v>
      </c>
      <c r="CF112" s="776">
        <v>0</v>
      </c>
      <c r="CG112" s="776">
        <v>0</v>
      </c>
      <c r="CH112" s="776">
        <v>0</v>
      </c>
      <c r="CI112" s="776">
        <v>0</v>
      </c>
      <c r="CJ112" s="776">
        <v>0</v>
      </c>
      <c r="CK112" s="776">
        <v>0</v>
      </c>
      <c r="CL112" s="776">
        <v>0</v>
      </c>
      <c r="CM112" s="776">
        <v>0</v>
      </c>
      <c r="CN112" s="776">
        <v>0</v>
      </c>
      <c r="CO112" s="776">
        <v>0</v>
      </c>
      <c r="CP112" s="776">
        <v>0</v>
      </c>
      <c r="CQ112" s="776">
        <v>0</v>
      </c>
      <c r="CR112" s="776">
        <v>0</v>
      </c>
      <c r="CS112" s="776">
        <v>0</v>
      </c>
      <c r="CT112" s="776">
        <v>0</v>
      </c>
      <c r="CU112" s="776">
        <v>0</v>
      </c>
      <c r="CV112" s="776">
        <v>0</v>
      </c>
      <c r="CW112" s="776">
        <v>0</v>
      </c>
      <c r="CX112" s="776">
        <v>0</v>
      </c>
      <c r="CY112" s="776">
        <v>0</v>
      </c>
      <c r="CZ112" s="776">
        <v>0</v>
      </c>
      <c r="DA112" s="776">
        <v>0</v>
      </c>
      <c r="DB112" s="776">
        <v>0</v>
      </c>
      <c r="DC112" s="776">
        <v>0</v>
      </c>
      <c r="DD112" s="776">
        <v>0</v>
      </c>
      <c r="DE112" s="776">
        <v>0</v>
      </c>
      <c r="DF112" s="776">
        <v>0</v>
      </c>
      <c r="DG112" s="776">
        <v>0</v>
      </c>
      <c r="DH112" s="776">
        <v>0</v>
      </c>
      <c r="DI112" s="776">
        <v>0</v>
      </c>
      <c r="DJ112" s="776">
        <v>0</v>
      </c>
      <c r="DK112" s="776">
        <v>0</v>
      </c>
      <c r="DL112" s="776">
        <v>0</v>
      </c>
      <c r="DM112" s="776">
        <v>0</v>
      </c>
      <c r="DN112" s="776">
        <v>0</v>
      </c>
      <c r="DO112" s="776">
        <v>0</v>
      </c>
      <c r="DP112" s="776">
        <v>0</v>
      </c>
    </row>
    <row r="113" spans="1:120" x14ac:dyDescent="0.2">
      <c r="A113" s="637" t="s">
        <v>2187</v>
      </c>
      <c r="B113" s="772" t="str" cm="1">
        <f t="array" ref="B113">IFERROR(INDEX(Kulturen[HF],_xlfn.AGGREGATE(15,6,(ROW(Kulturen[Auswahl])-7)/(--(SEARCH("x",Kulturen[Auswahl])&gt;0)),ROW()-7),1),"")</f>
        <v>GPS Buchweizen</v>
      </c>
      <c r="C113" s="772" t="str">
        <f>IF(Kulturen[[#This Row],[HF]]=$D$373,IF($C$6=0,0,"x"),IF($C$6=0,"x",Vorauswahl!C112))</f>
        <v>x</v>
      </c>
      <c r="D113" s="77" t="s">
        <v>624</v>
      </c>
      <c r="E113" s="77" t="s">
        <v>2395</v>
      </c>
      <c r="F113" s="540" t="s">
        <v>625</v>
      </c>
      <c r="G113" s="540">
        <v>8</v>
      </c>
      <c r="H113" s="540">
        <v>3</v>
      </c>
      <c r="I113" s="540">
        <v>3</v>
      </c>
      <c r="J113" s="540">
        <v>6</v>
      </c>
      <c r="K113" s="540">
        <v>0.12</v>
      </c>
      <c r="L113" s="540">
        <v>0.12</v>
      </c>
      <c r="M113" s="540">
        <v>450</v>
      </c>
      <c r="N113" s="540">
        <v>0</v>
      </c>
      <c r="O113" s="540">
        <v>1</v>
      </c>
      <c r="P113" s="540">
        <v>0</v>
      </c>
      <c r="Q113" s="540">
        <v>113</v>
      </c>
      <c r="R113" s="540">
        <v>20</v>
      </c>
      <c r="S113" s="540">
        <v>5</v>
      </c>
      <c r="T113" s="540">
        <v>5</v>
      </c>
      <c r="U113" s="540">
        <v>0</v>
      </c>
      <c r="V113" s="540">
        <v>3</v>
      </c>
      <c r="W113" s="776">
        <f>IF(Kulturen[[#This Row],[Berechnungsschema]]=13,3,IF(Kulturen[[#This Row],[Berechnungsschema]]=6,2,1))</f>
        <v>2</v>
      </c>
      <c r="X113" s="776">
        <f>IF(Kulturen[[#This Row],[fruchtartengruppe]]=13,Kulturen[[#This Row],[NBedarfswert]],MAX(0,Kulturen[[#This Row],[NBedarfswert]]-Kulturen[[#This Row],[Ertrag]]*Kulturen[[#This Row],[Nfix]]))</f>
        <v>113</v>
      </c>
      <c r="Y113" s="776">
        <v>427</v>
      </c>
      <c r="Z113" s="776">
        <v>426</v>
      </c>
      <c r="AA113" s="776">
        <v>419</v>
      </c>
      <c r="AB113" s="776">
        <v>459</v>
      </c>
      <c r="AC113" s="776">
        <v>471</v>
      </c>
      <c r="AD113" s="776">
        <v>379</v>
      </c>
      <c r="AE113" s="776">
        <v>478</v>
      </c>
      <c r="AF113" s="776">
        <v>445</v>
      </c>
      <c r="AG113" s="776">
        <v>451</v>
      </c>
      <c r="AH113" s="776">
        <v>491</v>
      </c>
      <c r="AI113" s="776">
        <v>445</v>
      </c>
      <c r="AJ113" s="776">
        <v>474</v>
      </c>
      <c r="AK113" s="776">
        <v>423</v>
      </c>
      <c r="AL113" s="776">
        <v>447</v>
      </c>
      <c r="AM113" s="776">
        <v>419</v>
      </c>
      <c r="AN113" s="776">
        <v>465</v>
      </c>
      <c r="AO113" s="776">
        <v>370</v>
      </c>
      <c r="AP113" s="776">
        <v>438</v>
      </c>
      <c r="AQ113" s="776">
        <v>412</v>
      </c>
      <c r="AR113" s="776">
        <v>468</v>
      </c>
      <c r="AS113" s="776">
        <v>428</v>
      </c>
      <c r="AT113" s="776">
        <v>481</v>
      </c>
      <c r="AU113" s="776">
        <v>459</v>
      </c>
      <c r="AV113" s="776">
        <v>423</v>
      </c>
      <c r="AW113" s="776">
        <v>431</v>
      </c>
      <c r="AX113" s="776">
        <v>425</v>
      </c>
      <c r="AY113" s="776">
        <v>504</v>
      </c>
      <c r="AZ113" s="776">
        <v>431</v>
      </c>
      <c r="BA113" s="776">
        <v>404</v>
      </c>
      <c r="BB113" s="776">
        <v>443</v>
      </c>
      <c r="BC113" s="776">
        <v>478</v>
      </c>
      <c r="BD113" s="776">
        <v>419</v>
      </c>
      <c r="BE113" s="776">
        <v>450</v>
      </c>
      <c r="BF113" s="776">
        <v>420</v>
      </c>
      <c r="BG113" s="776">
        <v>434</v>
      </c>
      <c r="BH113" s="776">
        <v>433</v>
      </c>
      <c r="BI113" s="776">
        <v>430</v>
      </c>
      <c r="BJ113" s="776">
        <v>423</v>
      </c>
      <c r="BK113" s="776">
        <v>387</v>
      </c>
      <c r="BL113" s="776">
        <v>408</v>
      </c>
      <c r="BM113" s="776">
        <v>395</v>
      </c>
      <c r="BN113" s="776">
        <v>408</v>
      </c>
      <c r="BO113" s="776">
        <v>440</v>
      </c>
      <c r="BP113" s="776">
        <v>390</v>
      </c>
      <c r="BQ113" s="776">
        <v>419</v>
      </c>
      <c r="BR113" s="776">
        <v>418</v>
      </c>
      <c r="BS113" s="776">
        <v>426</v>
      </c>
      <c r="BT113" s="776">
        <v>423</v>
      </c>
      <c r="BU113" s="776">
        <v>423</v>
      </c>
      <c r="BV113" s="776">
        <v>400</v>
      </c>
      <c r="BW113" s="776">
        <v>413</v>
      </c>
      <c r="BX113" s="776">
        <v>380</v>
      </c>
      <c r="BY113" s="776">
        <v>389</v>
      </c>
      <c r="BZ113" s="776">
        <v>413</v>
      </c>
      <c r="CA113" s="776">
        <v>339</v>
      </c>
      <c r="CB113" s="776">
        <v>385</v>
      </c>
      <c r="CC113" s="776">
        <v>374</v>
      </c>
      <c r="CD113" s="776">
        <v>389</v>
      </c>
      <c r="CE113" s="776">
        <v>427</v>
      </c>
      <c r="CF113" s="776">
        <v>402</v>
      </c>
      <c r="CG113" s="776">
        <v>438</v>
      </c>
      <c r="CH113" s="776">
        <v>423</v>
      </c>
      <c r="CI113" s="776">
        <v>423</v>
      </c>
      <c r="CJ113" s="776">
        <v>383</v>
      </c>
      <c r="CK113" s="776">
        <v>391</v>
      </c>
      <c r="CL113" s="776">
        <v>385</v>
      </c>
      <c r="CM113" s="776">
        <v>363</v>
      </c>
      <c r="CN113" s="776">
        <v>369</v>
      </c>
      <c r="CO113" s="776">
        <v>348</v>
      </c>
      <c r="CP113" s="776">
        <v>409</v>
      </c>
      <c r="CQ113" s="776">
        <v>423</v>
      </c>
      <c r="CR113" s="776">
        <v>417</v>
      </c>
      <c r="CS113" s="776">
        <v>423</v>
      </c>
      <c r="CT113" s="776">
        <v>393</v>
      </c>
      <c r="CU113" s="776">
        <v>336</v>
      </c>
      <c r="CV113" s="776">
        <v>352</v>
      </c>
      <c r="CW113" s="776">
        <v>352</v>
      </c>
      <c r="CX113" s="776">
        <v>395</v>
      </c>
      <c r="CY113" s="776">
        <v>412</v>
      </c>
      <c r="CZ113" s="776">
        <v>349</v>
      </c>
      <c r="DA113" s="776">
        <v>369</v>
      </c>
      <c r="DB113" s="776">
        <v>404</v>
      </c>
      <c r="DC113" s="776">
        <v>423</v>
      </c>
      <c r="DD113" s="776">
        <v>425</v>
      </c>
      <c r="DE113" s="776">
        <v>423</v>
      </c>
      <c r="DF113" s="776">
        <v>430</v>
      </c>
      <c r="DG113" s="776">
        <v>450</v>
      </c>
      <c r="DH113" s="776">
        <v>440</v>
      </c>
      <c r="DI113" s="776">
        <v>452</v>
      </c>
      <c r="DJ113" s="776">
        <v>453</v>
      </c>
      <c r="DK113" s="776">
        <v>438</v>
      </c>
      <c r="DL113" s="776">
        <v>423</v>
      </c>
      <c r="DM113" s="776">
        <v>454</v>
      </c>
      <c r="DN113" s="776">
        <v>466</v>
      </c>
      <c r="DO113" s="776">
        <v>408</v>
      </c>
      <c r="DP113" s="776">
        <v>423</v>
      </c>
    </row>
    <row r="114" spans="1:120" x14ac:dyDescent="0.2">
      <c r="A114" s="637" t="s">
        <v>2156</v>
      </c>
      <c r="B114" s="772" t="str" cm="1">
        <f t="array" ref="B114">IFERROR(INDEX(Kulturen[HF],_xlfn.AGGREGATE(15,6,(ROW(Kulturen[Auswahl])-7)/(--(SEARCH("x",Kulturen[Auswahl])&gt;0)),ROW()-7),1),"")</f>
        <v>GPS Quinoa</v>
      </c>
      <c r="C114" s="772" t="str">
        <f>IF(Kulturen[[#This Row],[HF]]=$D$373,IF($C$6=0,0,"x"),IF($C$6=0,"x",Vorauswahl!C113))</f>
        <v>x</v>
      </c>
      <c r="D114" s="77" t="s">
        <v>74</v>
      </c>
      <c r="E114" s="77" t="s">
        <v>74</v>
      </c>
      <c r="F114" s="540" t="s">
        <v>596</v>
      </c>
      <c r="G114" s="540">
        <v>8</v>
      </c>
      <c r="H114" s="540">
        <v>8</v>
      </c>
      <c r="I114" s="540">
        <v>3</v>
      </c>
      <c r="J114" s="540">
        <v>90</v>
      </c>
      <c r="K114" s="540">
        <v>0.18</v>
      </c>
      <c r="L114" s="540">
        <v>0.18</v>
      </c>
      <c r="M114" s="540">
        <v>450</v>
      </c>
      <c r="N114" s="540">
        <v>0</v>
      </c>
      <c r="O114" s="540">
        <v>1</v>
      </c>
      <c r="P114" s="540">
        <v>0</v>
      </c>
      <c r="Q114" s="540">
        <v>150</v>
      </c>
      <c r="R114" s="540">
        <v>50</v>
      </c>
      <c r="S114" s="540">
        <v>10</v>
      </c>
      <c r="T114" s="540">
        <v>15</v>
      </c>
      <c r="U114" s="540">
        <v>0</v>
      </c>
      <c r="V114" s="540">
        <v>3</v>
      </c>
      <c r="W114" s="776">
        <f>IF(Kulturen[[#This Row],[Berechnungsschema]]=13,3,IF(Kulturen[[#This Row],[Berechnungsschema]]=6,2,1))</f>
        <v>1</v>
      </c>
      <c r="X114" s="776">
        <f>IF(Kulturen[[#This Row],[fruchtartengruppe]]=13,Kulturen[[#This Row],[NBedarfswert]],MAX(0,Kulturen[[#This Row],[NBedarfswert]]-Kulturen[[#This Row],[Ertrag]]*Kulturen[[#This Row],[Nfix]]))</f>
        <v>150</v>
      </c>
      <c r="Y114" s="776">
        <v>427</v>
      </c>
      <c r="Z114" s="776">
        <v>426</v>
      </c>
      <c r="AA114" s="776">
        <v>419</v>
      </c>
      <c r="AB114" s="776">
        <v>459</v>
      </c>
      <c r="AC114" s="776">
        <v>471</v>
      </c>
      <c r="AD114" s="776">
        <v>379</v>
      </c>
      <c r="AE114" s="776">
        <v>478</v>
      </c>
      <c r="AF114" s="776">
        <v>445</v>
      </c>
      <c r="AG114" s="776">
        <v>451</v>
      </c>
      <c r="AH114" s="776">
        <v>491</v>
      </c>
      <c r="AI114" s="776">
        <v>445</v>
      </c>
      <c r="AJ114" s="776">
        <v>474</v>
      </c>
      <c r="AK114" s="776">
        <v>423</v>
      </c>
      <c r="AL114" s="776">
        <v>447</v>
      </c>
      <c r="AM114" s="776">
        <v>419</v>
      </c>
      <c r="AN114" s="776">
        <v>465</v>
      </c>
      <c r="AO114" s="776">
        <v>370</v>
      </c>
      <c r="AP114" s="776">
        <v>438</v>
      </c>
      <c r="AQ114" s="776">
        <v>412</v>
      </c>
      <c r="AR114" s="776">
        <v>468</v>
      </c>
      <c r="AS114" s="776">
        <v>428</v>
      </c>
      <c r="AT114" s="776">
        <v>481</v>
      </c>
      <c r="AU114" s="776">
        <v>459</v>
      </c>
      <c r="AV114" s="776">
        <v>423</v>
      </c>
      <c r="AW114" s="776">
        <v>431</v>
      </c>
      <c r="AX114" s="776">
        <v>425</v>
      </c>
      <c r="AY114" s="776">
        <v>504</v>
      </c>
      <c r="AZ114" s="776">
        <v>431</v>
      </c>
      <c r="BA114" s="776">
        <v>404</v>
      </c>
      <c r="BB114" s="776">
        <v>443</v>
      </c>
      <c r="BC114" s="776">
        <v>478</v>
      </c>
      <c r="BD114" s="776">
        <v>419</v>
      </c>
      <c r="BE114" s="776">
        <v>450</v>
      </c>
      <c r="BF114" s="776">
        <v>420</v>
      </c>
      <c r="BG114" s="776">
        <v>434</v>
      </c>
      <c r="BH114" s="776">
        <v>433</v>
      </c>
      <c r="BI114" s="776">
        <v>430</v>
      </c>
      <c r="BJ114" s="776">
        <v>423</v>
      </c>
      <c r="BK114" s="776">
        <v>387</v>
      </c>
      <c r="BL114" s="776">
        <v>408</v>
      </c>
      <c r="BM114" s="776">
        <v>395</v>
      </c>
      <c r="BN114" s="776">
        <v>408</v>
      </c>
      <c r="BO114" s="776">
        <v>440</v>
      </c>
      <c r="BP114" s="776">
        <v>390</v>
      </c>
      <c r="BQ114" s="776">
        <v>419</v>
      </c>
      <c r="BR114" s="776">
        <v>418</v>
      </c>
      <c r="BS114" s="776">
        <v>426</v>
      </c>
      <c r="BT114" s="776">
        <v>423</v>
      </c>
      <c r="BU114" s="776">
        <v>423</v>
      </c>
      <c r="BV114" s="776">
        <v>400</v>
      </c>
      <c r="BW114" s="776">
        <v>413</v>
      </c>
      <c r="BX114" s="776">
        <v>380</v>
      </c>
      <c r="BY114" s="776">
        <v>389</v>
      </c>
      <c r="BZ114" s="776">
        <v>413</v>
      </c>
      <c r="CA114" s="776">
        <v>339</v>
      </c>
      <c r="CB114" s="776">
        <v>385</v>
      </c>
      <c r="CC114" s="776">
        <v>374</v>
      </c>
      <c r="CD114" s="776">
        <v>389</v>
      </c>
      <c r="CE114" s="776">
        <v>427</v>
      </c>
      <c r="CF114" s="776">
        <v>402</v>
      </c>
      <c r="CG114" s="776">
        <v>438</v>
      </c>
      <c r="CH114" s="776">
        <v>423</v>
      </c>
      <c r="CI114" s="776">
        <v>423</v>
      </c>
      <c r="CJ114" s="776">
        <v>383</v>
      </c>
      <c r="CK114" s="776">
        <v>391</v>
      </c>
      <c r="CL114" s="776">
        <v>385</v>
      </c>
      <c r="CM114" s="776">
        <v>363</v>
      </c>
      <c r="CN114" s="776">
        <v>369</v>
      </c>
      <c r="CO114" s="776">
        <v>348</v>
      </c>
      <c r="CP114" s="776">
        <v>409</v>
      </c>
      <c r="CQ114" s="776">
        <v>423</v>
      </c>
      <c r="CR114" s="776">
        <v>417</v>
      </c>
      <c r="CS114" s="776">
        <v>423</v>
      </c>
      <c r="CT114" s="776">
        <v>393</v>
      </c>
      <c r="CU114" s="776">
        <v>336</v>
      </c>
      <c r="CV114" s="776">
        <v>352</v>
      </c>
      <c r="CW114" s="776">
        <v>352</v>
      </c>
      <c r="CX114" s="776">
        <v>395</v>
      </c>
      <c r="CY114" s="776">
        <v>412</v>
      </c>
      <c r="CZ114" s="776">
        <v>349</v>
      </c>
      <c r="DA114" s="776">
        <v>369</v>
      </c>
      <c r="DB114" s="776">
        <v>404</v>
      </c>
      <c r="DC114" s="776">
        <v>423</v>
      </c>
      <c r="DD114" s="776">
        <v>425</v>
      </c>
      <c r="DE114" s="776">
        <v>423</v>
      </c>
      <c r="DF114" s="776">
        <v>430</v>
      </c>
      <c r="DG114" s="776">
        <v>450</v>
      </c>
      <c r="DH114" s="776">
        <v>440</v>
      </c>
      <c r="DI114" s="776">
        <v>452</v>
      </c>
      <c r="DJ114" s="776">
        <v>453</v>
      </c>
      <c r="DK114" s="776">
        <v>438</v>
      </c>
      <c r="DL114" s="776">
        <v>423</v>
      </c>
      <c r="DM114" s="776">
        <v>454</v>
      </c>
      <c r="DN114" s="776">
        <v>466</v>
      </c>
      <c r="DO114" s="776">
        <v>408</v>
      </c>
      <c r="DP114" s="776">
        <v>423</v>
      </c>
    </row>
    <row r="115" spans="1:120" x14ac:dyDescent="0.2">
      <c r="A115" s="637" t="s">
        <v>2188</v>
      </c>
      <c r="B115" s="772" t="str" cm="1">
        <f t="array" ref="B115">IFERROR(INDEX(Kulturen[HF],_xlfn.AGGREGATE(15,6,(ROW(Kulturen[Auswahl])-7)/(--(SEARCH("x",Kulturen[Auswahl])&gt;0)),ROW()-7),1),"")</f>
        <v>+++Vermehrungspflanzen+++</v>
      </c>
      <c r="C115" s="772" t="str">
        <f>IF(Kulturen[[#This Row],[HF]]=$D$373,IF($C$6=0,0,"x"),IF($C$6=0,"x",Vorauswahl!C114))</f>
        <v>x</v>
      </c>
      <c r="D115" s="77" t="s">
        <v>40</v>
      </c>
      <c r="E115" s="77" t="s">
        <v>40</v>
      </c>
      <c r="F115" s="540" t="s">
        <v>626</v>
      </c>
      <c r="G115" s="540">
        <v>8</v>
      </c>
      <c r="H115" s="540">
        <v>3</v>
      </c>
      <c r="I115" s="540">
        <v>3</v>
      </c>
      <c r="J115" s="540">
        <v>6</v>
      </c>
      <c r="K115" s="540">
        <v>0.1</v>
      </c>
      <c r="L115" s="540">
        <v>0.1</v>
      </c>
      <c r="M115" s="540">
        <v>200</v>
      </c>
      <c r="N115" s="540">
        <v>0</v>
      </c>
      <c r="O115" s="540">
        <v>2</v>
      </c>
      <c r="P115" s="540">
        <v>0</v>
      </c>
      <c r="Q115" s="540">
        <v>58</v>
      </c>
      <c r="R115" s="540">
        <v>20</v>
      </c>
      <c r="S115" s="540">
        <v>6</v>
      </c>
      <c r="T115" s="540">
        <v>6</v>
      </c>
      <c r="U115" s="540">
        <v>0</v>
      </c>
      <c r="V115" s="540">
        <v>3</v>
      </c>
      <c r="W115" s="776">
        <f>IF(Kulturen[[#This Row],[Berechnungsschema]]=13,3,IF(Kulturen[[#This Row],[Berechnungsschema]]=6,2,1))</f>
        <v>2</v>
      </c>
      <c r="X115" s="776">
        <f>IF(Kulturen[[#This Row],[fruchtartengruppe]]=13,Kulturen[[#This Row],[NBedarfswert]],MAX(0,Kulturen[[#This Row],[NBedarfswert]]-Kulturen[[#This Row],[Ertrag]]*Kulturen[[#This Row],[Nfix]]))</f>
        <v>58</v>
      </c>
      <c r="Y115" s="776">
        <v>213</v>
      </c>
      <c r="Z115" s="776">
        <v>213</v>
      </c>
      <c r="AA115" s="776">
        <v>210</v>
      </c>
      <c r="AB115" s="776">
        <v>230</v>
      </c>
      <c r="AC115" s="776">
        <v>235</v>
      </c>
      <c r="AD115" s="776">
        <v>190</v>
      </c>
      <c r="AE115" s="776">
        <v>239</v>
      </c>
      <c r="AF115" s="776">
        <v>222</v>
      </c>
      <c r="AG115" s="776">
        <v>225</v>
      </c>
      <c r="AH115" s="776">
        <v>246</v>
      </c>
      <c r="AI115" s="776">
        <v>223</v>
      </c>
      <c r="AJ115" s="776">
        <v>237</v>
      </c>
      <c r="AK115" s="776">
        <v>211</v>
      </c>
      <c r="AL115" s="776">
        <v>224</v>
      </c>
      <c r="AM115" s="776">
        <v>209</v>
      </c>
      <c r="AN115" s="776">
        <v>233</v>
      </c>
      <c r="AO115" s="776">
        <v>185</v>
      </c>
      <c r="AP115" s="776">
        <v>219</v>
      </c>
      <c r="AQ115" s="776">
        <v>206</v>
      </c>
      <c r="AR115" s="776">
        <v>234</v>
      </c>
      <c r="AS115" s="776">
        <v>214</v>
      </c>
      <c r="AT115" s="776">
        <v>241</v>
      </c>
      <c r="AU115" s="776">
        <v>229</v>
      </c>
      <c r="AV115" s="776">
        <v>211</v>
      </c>
      <c r="AW115" s="776">
        <v>215</v>
      </c>
      <c r="AX115" s="776">
        <v>212</v>
      </c>
      <c r="AY115" s="776">
        <v>252</v>
      </c>
      <c r="AZ115" s="776">
        <v>215</v>
      </c>
      <c r="BA115" s="776">
        <v>202</v>
      </c>
      <c r="BB115" s="776">
        <v>222</v>
      </c>
      <c r="BC115" s="776">
        <v>239</v>
      </c>
      <c r="BD115" s="776">
        <v>210</v>
      </c>
      <c r="BE115" s="776">
        <v>225</v>
      </c>
      <c r="BF115" s="776">
        <v>210</v>
      </c>
      <c r="BG115" s="776">
        <v>217</v>
      </c>
      <c r="BH115" s="776">
        <v>216</v>
      </c>
      <c r="BI115" s="776">
        <v>215</v>
      </c>
      <c r="BJ115" s="776">
        <v>212</v>
      </c>
      <c r="BK115" s="776">
        <v>194</v>
      </c>
      <c r="BL115" s="776">
        <v>204</v>
      </c>
      <c r="BM115" s="776">
        <v>198</v>
      </c>
      <c r="BN115" s="776">
        <v>204</v>
      </c>
      <c r="BO115" s="776">
        <v>220</v>
      </c>
      <c r="BP115" s="776">
        <v>195</v>
      </c>
      <c r="BQ115" s="776">
        <v>209</v>
      </c>
      <c r="BR115" s="776">
        <v>209</v>
      </c>
      <c r="BS115" s="776">
        <v>213</v>
      </c>
      <c r="BT115" s="776">
        <v>211</v>
      </c>
      <c r="BU115" s="776">
        <v>211</v>
      </c>
      <c r="BV115" s="776">
        <v>200</v>
      </c>
      <c r="BW115" s="776">
        <v>206</v>
      </c>
      <c r="BX115" s="776">
        <v>190</v>
      </c>
      <c r="BY115" s="776">
        <v>194</v>
      </c>
      <c r="BZ115" s="776">
        <v>207</v>
      </c>
      <c r="CA115" s="776">
        <v>169</v>
      </c>
      <c r="CB115" s="776">
        <v>193</v>
      </c>
      <c r="CC115" s="776">
        <v>187</v>
      </c>
      <c r="CD115" s="776">
        <v>195</v>
      </c>
      <c r="CE115" s="776">
        <v>213</v>
      </c>
      <c r="CF115" s="776">
        <v>201</v>
      </c>
      <c r="CG115" s="776">
        <v>219</v>
      </c>
      <c r="CH115" s="776">
        <v>211</v>
      </c>
      <c r="CI115" s="776">
        <v>211</v>
      </c>
      <c r="CJ115" s="776">
        <v>192</v>
      </c>
      <c r="CK115" s="776">
        <v>195</v>
      </c>
      <c r="CL115" s="776">
        <v>192</v>
      </c>
      <c r="CM115" s="776">
        <v>181</v>
      </c>
      <c r="CN115" s="776">
        <v>185</v>
      </c>
      <c r="CO115" s="776">
        <v>174</v>
      </c>
      <c r="CP115" s="776">
        <v>204</v>
      </c>
      <c r="CQ115" s="776">
        <v>211</v>
      </c>
      <c r="CR115" s="776">
        <v>208</v>
      </c>
      <c r="CS115" s="776">
        <v>211</v>
      </c>
      <c r="CT115" s="776">
        <v>197</v>
      </c>
      <c r="CU115" s="776">
        <v>168</v>
      </c>
      <c r="CV115" s="776">
        <v>176</v>
      </c>
      <c r="CW115" s="776">
        <v>176</v>
      </c>
      <c r="CX115" s="776">
        <v>197</v>
      </c>
      <c r="CY115" s="776">
        <v>206</v>
      </c>
      <c r="CZ115" s="776">
        <v>174</v>
      </c>
      <c r="DA115" s="776">
        <v>185</v>
      </c>
      <c r="DB115" s="776">
        <v>202</v>
      </c>
      <c r="DC115" s="776">
        <v>211</v>
      </c>
      <c r="DD115" s="776">
        <v>213</v>
      </c>
      <c r="DE115" s="776">
        <v>211</v>
      </c>
      <c r="DF115" s="776">
        <v>215</v>
      </c>
      <c r="DG115" s="776">
        <v>225</v>
      </c>
      <c r="DH115" s="776">
        <v>220</v>
      </c>
      <c r="DI115" s="776">
        <v>226</v>
      </c>
      <c r="DJ115" s="776">
        <v>227</v>
      </c>
      <c r="DK115" s="776">
        <v>219</v>
      </c>
      <c r="DL115" s="776">
        <v>211</v>
      </c>
      <c r="DM115" s="776">
        <v>227</v>
      </c>
      <c r="DN115" s="776">
        <v>233</v>
      </c>
      <c r="DO115" s="776">
        <v>204</v>
      </c>
      <c r="DP115" s="776">
        <v>211</v>
      </c>
    </row>
    <row r="116" spans="1:120" x14ac:dyDescent="0.2">
      <c r="A116" s="637" t="s">
        <v>2189</v>
      </c>
      <c r="B116" s="772" t="str" cm="1">
        <f t="array" ref="B116">IFERROR(INDEX(Kulturen[HF],_xlfn.AGGREGATE(15,6,(ROW(Kulturen[Auswahl])-7)/(--(SEARCH("x",Kulturen[Auswahl])&gt;0)),ROW()-7),1),"")</f>
        <v>Grassamenvermehrung</v>
      </c>
      <c r="C116" s="772" t="str">
        <f>IF(Kulturen[[#This Row],[HF]]=$D$373,IF($C$6=0,0,"x"),IF($C$6=0,"x",Vorauswahl!C115))</f>
        <v>x</v>
      </c>
      <c r="D116" s="77" t="s">
        <v>742</v>
      </c>
      <c r="E116" s="77" t="s">
        <v>742</v>
      </c>
      <c r="F116" s="540" t="s">
        <v>627</v>
      </c>
      <c r="G116" s="540">
        <v>8</v>
      </c>
      <c r="H116" s="540">
        <v>3</v>
      </c>
      <c r="I116" s="540">
        <v>3</v>
      </c>
      <c r="J116" s="540">
        <v>6</v>
      </c>
      <c r="K116" s="540">
        <v>0.11</v>
      </c>
      <c r="L116" s="540">
        <v>0.11</v>
      </c>
      <c r="M116" s="540">
        <v>550</v>
      </c>
      <c r="N116" s="540">
        <v>0</v>
      </c>
      <c r="O116" s="540">
        <v>2</v>
      </c>
      <c r="P116" s="540">
        <v>0</v>
      </c>
      <c r="Q116" s="540">
        <v>171</v>
      </c>
      <c r="R116" s="540">
        <v>20</v>
      </c>
      <c r="S116" s="540">
        <v>6</v>
      </c>
      <c r="T116" s="540">
        <v>6</v>
      </c>
      <c r="U116" s="540">
        <v>0</v>
      </c>
      <c r="V116" s="540">
        <v>3</v>
      </c>
      <c r="W116" s="776">
        <f>IF(Kulturen[[#This Row],[Berechnungsschema]]=13,3,IF(Kulturen[[#This Row],[Berechnungsschema]]=6,2,1))</f>
        <v>2</v>
      </c>
      <c r="X116" s="776">
        <f>IF(Kulturen[[#This Row],[fruchtartengruppe]]=13,Kulturen[[#This Row],[NBedarfswert]],MAX(0,Kulturen[[#This Row],[NBedarfswert]]-Kulturen[[#This Row],[Ertrag]]*Kulturen[[#This Row],[Nfix]]))</f>
        <v>171</v>
      </c>
      <c r="Y116" s="776">
        <v>267</v>
      </c>
      <c r="Z116" s="776">
        <v>267</v>
      </c>
      <c r="AA116" s="776">
        <v>262</v>
      </c>
      <c r="AB116" s="776">
        <v>287</v>
      </c>
      <c r="AC116" s="776">
        <v>294</v>
      </c>
      <c r="AD116" s="776">
        <v>237</v>
      </c>
      <c r="AE116" s="776">
        <v>299</v>
      </c>
      <c r="AF116" s="776">
        <v>278</v>
      </c>
      <c r="AG116" s="776">
        <v>282</v>
      </c>
      <c r="AH116" s="776">
        <v>307</v>
      </c>
      <c r="AI116" s="776">
        <v>278</v>
      </c>
      <c r="AJ116" s="776">
        <v>296</v>
      </c>
      <c r="AK116" s="776">
        <v>264</v>
      </c>
      <c r="AL116" s="776">
        <v>280</v>
      </c>
      <c r="AM116" s="776">
        <v>262</v>
      </c>
      <c r="AN116" s="776">
        <v>291</v>
      </c>
      <c r="AO116" s="776">
        <v>232</v>
      </c>
      <c r="AP116" s="776">
        <v>274</v>
      </c>
      <c r="AQ116" s="776">
        <v>257</v>
      </c>
      <c r="AR116" s="776">
        <v>292</v>
      </c>
      <c r="AS116" s="776">
        <v>267</v>
      </c>
      <c r="AT116" s="776">
        <v>301</v>
      </c>
      <c r="AU116" s="776">
        <v>287</v>
      </c>
      <c r="AV116" s="776">
        <v>264</v>
      </c>
      <c r="AW116" s="776">
        <v>269</v>
      </c>
      <c r="AX116" s="776">
        <v>265</v>
      </c>
      <c r="AY116" s="776">
        <v>315</v>
      </c>
      <c r="AZ116" s="776">
        <v>269</v>
      </c>
      <c r="BA116" s="776">
        <v>252</v>
      </c>
      <c r="BB116" s="776">
        <v>277</v>
      </c>
      <c r="BC116" s="776">
        <v>299</v>
      </c>
      <c r="BD116" s="776">
        <v>262</v>
      </c>
      <c r="BE116" s="776">
        <v>282</v>
      </c>
      <c r="BF116" s="776">
        <v>263</v>
      </c>
      <c r="BG116" s="776">
        <v>271</v>
      </c>
      <c r="BH116" s="776">
        <v>271</v>
      </c>
      <c r="BI116" s="776">
        <v>269</v>
      </c>
      <c r="BJ116" s="776">
        <v>265</v>
      </c>
      <c r="BK116" s="776">
        <v>242</v>
      </c>
      <c r="BL116" s="776">
        <v>255</v>
      </c>
      <c r="BM116" s="776">
        <v>247</v>
      </c>
      <c r="BN116" s="776">
        <v>255</v>
      </c>
      <c r="BO116" s="776">
        <v>275</v>
      </c>
      <c r="BP116" s="776">
        <v>243</v>
      </c>
      <c r="BQ116" s="776">
        <v>262</v>
      </c>
      <c r="BR116" s="776">
        <v>262</v>
      </c>
      <c r="BS116" s="776">
        <v>266</v>
      </c>
      <c r="BT116" s="776">
        <v>264</v>
      </c>
      <c r="BU116" s="776">
        <v>264</v>
      </c>
      <c r="BV116" s="776">
        <v>250</v>
      </c>
      <c r="BW116" s="776">
        <v>258</v>
      </c>
      <c r="BX116" s="776">
        <v>238</v>
      </c>
      <c r="BY116" s="776">
        <v>243</v>
      </c>
      <c r="BZ116" s="776">
        <v>258</v>
      </c>
      <c r="CA116" s="776">
        <v>212</v>
      </c>
      <c r="CB116" s="776">
        <v>241</v>
      </c>
      <c r="CC116" s="776">
        <v>234</v>
      </c>
      <c r="CD116" s="776">
        <v>243</v>
      </c>
      <c r="CE116" s="776">
        <v>267</v>
      </c>
      <c r="CF116" s="776">
        <v>251</v>
      </c>
      <c r="CG116" s="776">
        <v>274</v>
      </c>
      <c r="CH116" s="776">
        <v>264</v>
      </c>
      <c r="CI116" s="776">
        <v>264</v>
      </c>
      <c r="CJ116" s="776">
        <v>240</v>
      </c>
      <c r="CK116" s="776">
        <v>244</v>
      </c>
      <c r="CL116" s="776">
        <v>240</v>
      </c>
      <c r="CM116" s="776">
        <v>227</v>
      </c>
      <c r="CN116" s="776">
        <v>231</v>
      </c>
      <c r="CO116" s="776">
        <v>218</v>
      </c>
      <c r="CP116" s="776">
        <v>255</v>
      </c>
      <c r="CQ116" s="776">
        <v>264</v>
      </c>
      <c r="CR116" s="776">
        <v>260</v>
      </c>
      <c r="CS116" s="776">
        <v>264</v>
      </c>
      <c r="CT116" s="776">
        <v>246</v>
      </c>
      <c r="CU116" s="776">
        <v>210</v>
      </c>
      <c r="CV116" s="776">
        <v>220</v>
      </c>
      <c r="CW116" s="776">
        <v>220</v>
      </c>
      <c r="CX116" s="776">
        <v>247</v>
      </c>
      <c r="CY116" s="776">
        <v>257</v>
      </c>
      <c r="CZ116" s="776">
        <v>218</v>
      </c>
      <c r="DA116" s="776">
        <v>231</v>
      </c>
      <c r="DB116" s="776">
        <v>252</v>
      </c>
      <c r="DC116" s="776">
        <v>264</v>
      </c>
      <c r="DD116" s="776">
        <v>266</v>
      </c>
      <c r="DE116" s="776">
        <v>264</v>
      </c>
      <c r="DF116" s="776">
        <v>269</v>
      </c>
      <c r="DG116" s="776">
        <v>281</v>
      </c>
      <c r="DH116" s="776">
        <v>275</v>
      </c>
      <c r="DI116" s="776">
        <v>283</v>
      </c>
      <c r="DJ116" s="776">
        <v>283</v>
      </c>
      <c r="DK116" s="776">
        <v>274</v>
      </c>
      <c r="DL116" s="776">
        <v>264</v>
      </c>
      <c r="DM116" s="776">
        <v>283</v>
      </c>
      <c r="DN116" s="776">
        <v>291</v>
      </c>
      <c r="DO116" s="776">
        <v>255</v>
      </c>
      <c r="DP116" s="776">
        <v>264</v>
      </c>
    </row>
    <row r="117" spans="1:120" x14ac:dyDescent="0.2">
      <c r="A117" s="637" t="s">
        <v>2190</v>
      </c>
      <c r="B117" s="772" t="str" cm="1">
        <f t="array" ref="B117">IFERROR(INDEX(Kulturen[HF],_xlfn.AGGREGATE(15,6,(ROW(Kulturen[Auswahl])-7)/(--(SEARCH("x",Kulturen[Auswahl])&gt;0)),ROW()-7),1),"")</f>
        <v>Kleesamenvermehrung</v>
      </c>
      <c r="C117" s="772" t="str">
        <f>IF(Kulturen[[#This Row],[HF]]=$D$373,IF($C$6=0,0,"x"),IF($C$6=0,"x",Vorauswahl!C116))</f>
        <v>x</v>
      </c>
      <c r="D117" s="77" t="s">
        <v>41</v>
      </c>
      <c r="E117" s="77" t="s">
        <v>2396</v>
      </c>
      <c r="F117" s="540" t="s">
        <v>628</v>
      </c>
      <c r="G117" s="540">
        <v>8</v>
      </c>
      <c r="H117" s="540">
        <v>3</v>
      </c>
      <c r="I117" s="540">
        <v>3</v>
      </c>
      <c r="J117" s="540">
        <v>6</v>
      </c>
      <c r="K117" s="540">
        <v>0.11</v>
      </c>
      <c r="L117" s="540">
        <v>0.11</v>
      </c>
      <c r="M117" s="540">
        <v>500</v>
      </c>
      <c r="N117" s="540">
        <v>0</v>
      </c>
      <c r="O117" s="540">
        <v>2</v>
      </c>
      <c r="P117" s="540">
        <v>0</v>
      </c>
      <c r="Q117" s="540">
        <v>165</v>
      </c>
      <c r="R117" s="540">
        <v>20</v>
      </c>
      <c r="S117" s="540">
        <v>7</v>
      </c>
      <c r="T117" s="540">
        <v>7</v>
      </c>
      <c r="U117" s="540">
        <v>0</v>
      </c>
      <c r="V117" s="540">
        <v>3</v>
      </c>
      <c r="W117" s="776">
        <f>IF(Kulturen[[#This Row],[Berechnungsschema]]=13,3,IF(Kulturen[[#This Row],[Berechnungsschema]]=6,2,1))</f>
        <v>2</v>
      </c>
      <c r="X117" s="776">
        <f>IF(Kulturen[[#This Row],[fruchtartengruppe]]=13,Kulturen[[#This Row],[NBedarfswert]],MAX(0,Kulturen[[#This Row],[NBedarfswert]]-Kulturen[[#This Row],[Ertrag]]*Kulturen[[#This Row],[Nfix]]))</f>
        <v>165</v>
      </c>
      <c r="Y117" s="776">
        <v>427</v>
      </c>
      <c r="Z117" s="776">
        <v>426</v>
      </c>
      <c r="AA117" s="776">
        <v>419</v>
      </c>
      <c r="AB117" s="776">
        <v>459</v>
      </c>
      <c r="AC117" s="776">
        <v>471</v>
      </c>
      <c r="AD117" s="776">
        <v>379</v>
      </c>
      <c r="AE117" s="776">
        <v>478</v>
      </c>
      <c r="AF117" s="776">
        <v>445</v>
      </c>
      <c r="AG117" s="776">
        <v>451</v>
      </c>
      <c r="AH117" s="776">
        <v>491</v>
      </c>
      <c r="AI117" s="776">
        <v>445</v>
      </c>
      <c r="AJ117" s="776">
        <v>474</v>
      </c>
      <c r="AK117" s="776">
        <v>423</v>
      </c>
      <c r="AL117" s="776">
        <v>447</v>
      </c>
      <c r="AM117" s="776">
        <v>419</v>
      </c>
      <c r="AN117" s="776">
        <v>465</v>
      </c>
      <c r="AO117" s="776">
        <v>370</v>
      </c>
      <c r="AP117" s="776">
        <v>438</v>
      </c>
      <c r="AQ117" s="776">
        <v>412</v>
      </c>
      <c r="AR117" s="776">
        <v>468</v>
      </c>
      <c r="AS117" s="776">
        <v>428</v>
      </c>
      <c r="AT117" s="776">
        <v>481</v>
      </c>
      <c r="AU117" s="776">
        <v>459</v>
      </c>
      <c r="AV117" s="776">
        <v>423</v>
      </c>
      <c r="AW117" s="776">
        <v>431</v>
      </c>
      <c r="AX117" s="776">
        <v>425</v>
      </c>
      <c r="AY117" s="776">
        <v>504</v>
      </c>
      <c r="AZ117" s="776">
        <v>431</v>
      </c>
      <c r="BA117" s="776">
        <v>404</v>
      </c>
      <c r="BB117" s="776">
        <v>443</v>
      </c>
      <c r="BC117" s="776">
        <v>478</v>
      </c>
      <c r="BD117" s="776">
        <v>419</v>
      </c>
      <c r="BE117" s="776">
        <v>450</v>
      </c>
      <c r="BF117" s="776">
        <v>420</v>
      </c>
      <c r="BG117" s="776">
        <v>434</v>
      </c>
      <c r="BH117" s="776">
        <v>433</v>
      </c>
      <c r="BI117" s="776">
        <v>430</v>
      </c>
      <c r="BJ117" s="776">
        <v>423</v>
      </c>
      <c r="BK117" s="776">
        <v>387</v>
      </c>
      <c r="BL117" s="776">
        <v>408</v>
      </c>
      <c r="BM117" s="776">
        <v>395</v>
      </c>
      <c r="BN117" s="776">
        <v>408</v>
      </c>
      <c r="BO117" s="776">
        <v>440</v>
      </c>
      <c r="BP117" s="776">
        <v>390</v>
      </c>
      <c r="BQ117" s="776">
        <v>419</v>
      </c>
      <c r="BR117" s="776">
        <v>418</v>
      </c>
      <c r="BS117" s="776">
        <v>426</v>
      </c>
      <c r="BT117" s="776">
        <v>423</v>
      </c>
      <c r="BU117" s="776">
        <v>423</v>
      </c>
      <c r="BV117" s="776">
        <v>400</v>
      </c>
      <c r="BW117" s="776">
        <v>413</v>
      </c>
      <c r="BX117" s="776">
        <v>380</v>
      </c>
      <c r="BY117" s="776">
        <v>389</v>
      </c>
      <c r="BZ117" s="776">
        <v>413</v>
      </c>
      <c r="CA117" s="776">
        <v>339</v>
      </c>
      <c r="CB117" s="776">
        <v>385</v>
      </c>
      <c r="CC117" s="776">
        <v>374</v>
      </c>
      <c r="CD117" s="776">
        <v>389</v>
      </c>
      <c r="CE117" s="776">
        <v>427</v>
      </c>
      <c r="CF117" s="776">
        <v>402</v>
      </c>
      <c r="CG117" s="776">
        <v>438</v>
      </c>
      <c r="CH117" s="776">
        <v>423</v>
      </c>
      <c r="CI117" s="776">
        <v>423</v>
      </c>
      <c r="CJ117" s="776">
        <v>383</v>
      </c>
      <c r="CK117" s="776">
        <v>391</v>
      </c>
      <c r="CL117" s="776">
        <v>385</v>
      </c>
      <c r="CM117" s="776">
        <v>363</v>
      </c>
      <c r="CN117" s="776">
        <v>369</v>
      </c>
      <c r="CO117" s="776">
        <v>348</v>
      </c>
      <c r="CP117" s="776">
        <v>409</v>
      </c>
      <c r="CQ117" s="776">
        <v>423</v>
      </c>
      <c r="CR117" s="776">
        <v>417</v>
      </c>
      <c r="CS117" s="776">
        <v>423</v>
      </c>
      <c r="CT117" s="776">
        <v>393</v>
      </c>
      <c r="CU117" s="776">
        <v>336</v>
      </c>
      <c r="CV117" s="776">
        <v>352</v>
      </c>
      <c r="CW117" s="776">
        <v>352</v>
      </c>
      <c r="CX117" s="776">
        <v>395</v>
      </c>
      <c r="CY117" s="776">
        <v>412</v>
      </c>
      <c r="CZ117" s="776">
        <v>349</v>
      </c>
      <c r="DA117" s="776">
        <v>369</v>
      </c>
      <c r="DB117" s="776">
        <v>404</v>
      </c>
      <c r="DC117" s="776">
        <v>423</v>
      </c>
      <c r="DD117" s="776">
        <v>425</v>
      </c>
      <c r="DE117" s="776">
        <v>423</v>
      </c>
      <c r="DF117" s="776">
        <v>430</v>
      </c>
      <c r="DG117" s="776">
        <v>450</v>
      </c>
      <c r="DH117" s="776">
        <v>440</v>
      </c>
      <c r="DI117" s="776">
        <v>452</v>
      </c>
      <c r="DJ117" s="776">
        <v>453</v>
      </c>
      <c r="DK117" s="776">
        <v>438</v>
      </c>
      <c r="DL117" s="776">
        <v>423</v>
      </c>
      <c r="DM117" s="776">
        <v>454</v>
      </c>
      <c r="DN117" s="776">
        <v>466</v>
      </c>
      <c r="DO117" s="776">
        <v>408</v>
      </c>
      <c r="DP117" s="776">
        <v>423</v>
      </c>
    </row>
    <row r="118" spans="1:120" x14ac:dyDescent="0.2">
      <c r="A118" s="637" t="s">
        <v>2191</v>
      </c>
      <c r="B118" s="772" t="str" cm="1">
        <f t="array" ref="B118">IFERROR(INDEX(Kulturen[HF],_xlfn.AGGREGATE(15,6,(ROW(Kulturen[Auswahl])-7)/(--(SEARCH("x",Kulturen[Auswahl])&gt;0)),ROW()-7),1),"")</f>
        <v>Luzernesamenvermehrung</v>
      </c>
      <c r="C118" s="772" t="str">
        <f>IF(Kulturen[[#This Row],[HF]]=$D$373,IF($C$6=0,0,"x"),IF($C$6=0,"x",Vorauswahl!C117))</f>
        <v>x</v>
      </c>
      <c r="D118" s="77" t="s">
        <v>42</v>
      </c>
      <c r="E118" s="77" t="s">
        <v>2397</v>
      </c>
      <c r="F118" s="540" t="s">
        <v>629</v>
      </c>
      <c r="G118" s="540">
        <v>8</v>
      </c>
      <c r="H118" s="540">
        <v>3</v>
      </c>
      <c r="I118" s="540">
        <v>3</v>
      </c>
      <c r="J118" s="540">
        <v>6</v>
      </c>
      <c r="K118" s="540">
        <v>0.12</v>
      </c>
      <c r="L118" s="540">
        <v>0.12</v>
      </c>
      <c r="M118" s="540">
        <v>250</v>
      </c>
      <c r="N118" s="540">
        <v>0</v>
      </c>
      <c r="O118" s="540">
        <v>1</v>
      </c>
      <c r="P118" s="540">
        <v>0</v>
      </c>
      <c r="Q118" s="540">
        <v>58</v>
      </c>
      <c r="R118" s="540">
        <v>50</v>
      </c>
      <c r="S118" s="540">
        <v>8</v>
      </c>
      <c r="T118" s="540">
        <v>8</v>
      </c>
      <c r="U118" s="540">
        <v>0</v>
      </c>
      <c r="V118" s="540">
        <v>3</v>
      </c>
      <c r="W118" s="776">
        <f>IF(Kulturen[[#This Row],[Berechnungsschema]]=13,3,IF(Kulturen[[#This Row],[Berechnungsschema]]=6,2,1))</f>
        <v>2</v>
      </c>
      <c r="X118" s="776">
        <f>IF(Kulturen[[#This Row],[fruchtartengruppe]]=13,Kulturen[[#This Row],[NBedarfswert]],MAX(0,Kulturen[[#This Row],[NBedarfswert]]-Kulturen[[#This Row],[Ertrag]]*Kulturen[[#This Row],[Nfix]]))</f>
        <v>58</v>
      </c>
      <c r="Y118" s="776">
        <v>160</v>
      </c>
      <c r="Z118" s="776">
        <v>160</v>
      </c>
      <c r="AA118" s="776">
        <v>157</v>
      </c>
      <c r="AB118" s="776">
        <v>172</v>
      </c>
      <c r="AC118" s="776">
        <v>177</v>
      </c>
      <c r="AD118" s="776">
        <v>142</v>
      </c>
      <c r="AE118" s="776">
        <v>179</v>
      </c>
      <c r="AF118" s="776">
        <v>167</v>
      </c>
      <c r="AG118" s="776">
        <v>169</v>
      </c>
      <c r="AH118" s="776">
        <v>184</v>
      </c>
      <c r="AI118" s="776">
        <v>167</v>
      </c>
      <c r="AJ118" s="776">
        <v>178</v>
      </c>
      <c r="AK118" s="776">
        <v>159</v>
      </c>
      <c r="AL118" s="776">
        <v>168</v>
      </c>
      <c r="AM118" s="776">
        <v>157</v>
      </c>
      <c r="AN118" s="776">
        <v>174</v>
      </c>
      <c r="AO118" s="776">
        <v>139</v>
      </c>
      <c r="AP118" s="776">
        <v>164</v>
      </c>
      <c r="AQ118" s="776">
        <v>154</v>
      </c>
      <c r="AR118" s="776">
        <v>175</v>
      </c>
      <c r="AS118" s="776">
        <v>160</v>
      </c>
      <c r="AT118" s="776">
        <v>180</v>
      </c>
      <c r="AU118" s="776">
        <v>172</v>
      </c>
      <c r="AV118" s="776">
        <v>159</v>
      </c>
      <c r="AW118" s="776">
        <v>162</v>
      </c>
      <c r="AX118" s="776">
        <v>159</v>
      </c>
      <c r="AY118" s="776">
        <v>189</v>
      </c>
      <c r="AZ118" s="776">
        <v>162</v>
      </c>
      <c r="BA118" s="776">
        <v>151</v>
      </c>
      <c r="BB118" s="776">
        <v>166</v>
      </c>
      <c r="BC118" s="776">
        <v>179</v>
      </c>
      <c r="BD118" s="776">
        <v>157</v>
      </c>
      <c r="BE118" s="776">
        <v>169</v>
      </c>
      <c r="BF118" s="776">
        <v>158</v>
      </c>
      <c r="BG118" s="776">
        <v>163</v>
      </c>
      <c r="BH118" s="776">
        <v>162</v>
      </c>
      <c r="BI118" s="776">
        <v>161</v>
      </c>
      <c r="BJ118" s="776">
        <v>159</v>
      </c>
      <c r="BK118" s="776">
        <v>145</v>
      </c>
      <c r="BL118" s="776">
        <v>153</v>
      </c>
      <c r="BM118" s="776">
        <v>148</v>
      </c>
      <c r="BN118" s="776">
        <v>153</v>
      </c>
      <c r="BO118" s="776">
        <v>165</v>
      </c>
      <c r="BP118" s="776">
        <v>146</v>
      </c>
      <c r="BQ118" s="776">
        <v>157</v>
      </c>
      <c r="BR118" s="776">
        <v>157</v>
      </c>
      <c r="BS118" s="776">
        <v>160</v>
      </c>
      <c r="BT118" s="776">
        <v>159</v>
      </c>
      <c r="BU118" s="776">
        <v>159</v>
      </c>
      <c r="BV118" s="776">
        <v>150</v>
      </c>
      <c r="BW118" s="776">
        <v>155</v>
      </c>
      <c r="BX118" s="776">
        <v>143</v>
      </c>
      <c r="BY118" s="776">
        <v>146</v>
      </c>
      <c r="BZ118" s="776">
        <v>155</v>
      </c>
      <c r="CA118" s="776">
        <v>127</v>
      </c>
      <c r="CB118" s="776">
        <v>145</v>
      </c>
      <c r="CC118" s="776">
        <v>140</v>
      </c>
      <c r="CD118" s="776">
        <v>146</v>
      </c>
      <c r="CE118" s="776">
        <v>160</v>
      </c>
      <c r="CF118" s="776">
        <v>151</v>
      </c>
      <c r="CG118" s="776">
        <v>164</v>
      </c>
      <c r="CH118" s="776">
        <v>159</v>
      </c>
      <c r="CI118" s="776">
        <v>159</v>
      </c>
      <c r="CJ118" s="776">
        <v>144</v>
      </c>
      <c r="CK118" s="776">
        <v>147</v>
      </c>
      <c r="CL118" s="776">
        <v>144</v>
      </c>
      <c r="CM118" s="776">
        <v>136</v>
      </c>
      <c r="CN118" s="776">
        <v>138</v>
      </c>
      <c r="CO118" s="776">
        <v>131</v>
      </c>
      <c r="CP118" s="776">
        <v>153</v>
      </c>
      <c r="CQ118" s="776">
        <v>159</v>
      </c>
      <c r="CR118" s="776">
        <v>156</v>
      </c>
      <c r="CS118" s="776">
        <v>159</v>
      </c>
      <c r="CT118" s="776">
        <v>147</v>
      </c>
      <c r="CU118" s="776">
        <v>126</v>
      </c>
      <c r="CV118" s="776">
        <v>132</v>
      </c>
      <c r="CW118" s="776">
        <v>132</v>
      </c>
      <c r="CX118" s="776">
        <v>148</v>
      </c>
      <c r="CY118" s="776">
        <v>154</v>
      </c>
      <c r="CZ118" s="776">
        <v>131</v>
      </c>
      <c r="DA118" s="776">
        <v>138</v>
      </c>
      <c r="DB118" s="776">
        <v>151</v>
      </c>
      <c r="DC118" s="776">
        <v>159</v>
      </c>
      <c r="DD118" s="776">
        <v>160</v>
      </c>
      <c r="DE118" s="776">
        <v>159</v>
      </c>
      <c r="DF118" s="776">
        <v>161</v>
      </c>
      <c r="DG118" s="776">
        <v>169</v>
      </c>
      <c r="DH118" s="776">
        <v>165</v>
      </c>
      <c r="DI118" s="776">
        <v>170</v>
      </c>
      <c r="DJ118" s="776">
        <v>170</v>
      </c>
      <c r="DK118" s="776">
        <v>164</v>
      </c>
      <c r="DL118" s="776">
        <v>159</v>
      </c>
      <c r="DM118" s="776">
        <v>170</v>
      </c>
      <c r="DN118" s="776">
        <v>175</v>
      </c>
      <c r="DO118" s="776">
        <v>153</v>
      </c>
      <c r="DP118" s="776">
        <v>159</v>
      </c>
    </row>
    <row r="119" spans="1:120" x14ac:dyDescent="0.2">
      <c r="A119" s="637" t="s">
        <v>2192</v>
      </c>
      <c r="B119" s="772" t="str" cm="1">
        <f t="array" ref="B119">IFERROR(INDEX(Kulturen[HF],_xlfn.AGGREGATE(15,6,(ROW(Kulturen[Auswahl])-7)/(--(SEARCH("x",Kulturen[Auswahl])&gt;0)),ROW()-7),1),"")</f>
        <v>Phaceliasamenvermehrung</v>
      </c>
      <c r="C119" s="772" t="str">
        <f>IF(Kulturen[[#This Row],[HF]]=$D$373,IF($C$6=0,0,"x"),IF($C$6=0,"x",Vorauswahl!C118))</f>
        <v>x</v>
      </c>
      <c r="D119" s="77" t="s">
        <v>43</v>
      </c>
      <c r="E119" s="77" t="s">
        <v>43</v>
      </c>
      <c r="F119" s="540" t="s">
        <v>630</v>
      </c>
      <c r="G119" s="540">
        <v>8</v>
      </c>
      <c r="H119" s="540">
        <v>3</v>
      </c>
      <c r="I119" s="540">
        <v>3</v>
      </c>
      <c r="J119" s="540">
        <v>6</v>
      </c>
      <c r="K119" s="540">
        <v>0.09</v>
      </c>
      <c r="L119" s="540">
        <v>0.09</v>
      </c>
      <c r="M119" s="540">
        <v>350</v>
      </c>
      <c r="N119" s="540">
        <v>0</v>
      </c>
      <c r="O119" s="540">
        <v>2</v>
      </c>
      <c r="P119" s="540">
        <v>0</v>
      </c>
      <c r="Q119" s="540">
        <v>109</v>
      </c>
      <c r="R119" s="540">
        <v>20</v>
      </c>
      <c r="S119" s="540">
        <v>6</v>
      </c>
      <c r="T119" s="540">
        <v>6</v>
      </c>
      <c r="U119" s="540">
        <v>0</v>
      </c>
      <c r="V119" s="540">
        <v>3</v>
      </c>
      <c r="W119" s="776">
        <f>IF(Kulturen[[#This Row],[Berechnungsschema]]=13,3,IF(Kulturen[[#This Row],[Berechnungsschema]]=6,2,1))</f>
        <v>2</v>
      </c>
      <c r="X119" s="776">
        <f>IF(Kulturen[[#This Row],[fruchtartengruppe]]=13,Kulturen[[#This Row],[NBedarfswert]],MAX(0,Kulturen[[#This Row],[NBedarfswert]]-Kulturen[[#This Row],[Ertrag]]*Kulturen[[#This Row],[Nfix]]))</f>
        <v>109</v>
      </c>
      <c r="Y119" s="776">
        <v>373</v>
      </c>
      <c r="Z119" s="776">
        <v>373</v>
      </c>
      <c r="AA119" s="776">
        <v>367</v>
      </c>
      <c r="AB119" s="776">
        <v>402</v>
      </c>
      <c r="AC119" s="776">
        <v>412</v>
      </c>
      <c r="AD119" s="776">
        <v>332</v>
      </c>
      <c r="AE119" s="776">
        <v>418</v>
      </c>
      <c r="AF119" s="776">
        <v>389</v>
      </c>
      <c r="AG119" s="776">
        <v>395</v>
      </c>
      <c r="AH119" s="776">
        <v>430</v>
      </c>
      <c r="AI119" s="776">
        <v>390</v>
      </c>
      <c r="AJ119" s="776">
        <v>414</v>
      </c>
      <c r="AK119" s="776">
        <v>370</v>
      </c>
      <c r="AL119" s="776">
        <v>391</v>
      </c>
      <c r="AM119" s="776">
        <v>366</v>
      </c>
      <c r="AN119" s="776">
        <v>407</v>
      </c>
      <c r="AO119" s="776">
        <v>324</v>
      </c>
      <c r="AP119" s="776">
        <v>383</v>
      </c>
      <c r="AQ119" s="776">
        <v>360</v>
      </c>
      <c r="AR119" s="776">
        <v>409</v>
      </c>
      <c r="AS119" s="776">
        <v>374</v>
      </c>
      <c r="AT119" s="776">
        <v>421</v>
      </c>
      <c r="AU119" s="776">
        <v>401</v>
      </c>
      <c r="AV119" s="776">
        <v>370</v>
      </c>
      <c r="AW119" s="776">
        <v>377</v>
      </c>
      <c r="AX119" s="776">
        <v>372</v>
      </c>
      <c r="AY119" s="776">
        <v>441</v>
      </c>
      <c r="AZ119" s="776">
        <v>377</v>
      </c>
      <c r="BA119" s="776">
        <v>353</v>
      </c>
      <c r="BB119" s="776">
        <v>388</v>
      </c>
      <c r="BC119" s="776">
        <v>419</v>
      </c>
      <c r="BD119" s="776">
        <v>367</v>
      </c>
      <c r="BE119" s="776">
        <v>394</v>
      </c>
      <c r="BF119" s="776">
        <v>368</v>
      </c>
      <c r="BG119" s="776">
        <v>380</v>
      </c>
      <c r="BH119" s="776">
        <v>379</v>
      </c>
      <c r="BI119" s="776">
        <v>376</v>
      </c>
      <c r="BJ119" s="776">
        <v>370</v>
      </c>
      <c r="BK119" s="776">
        <v>339</v>
      </c>
      <c r="BL119" s="776">
        <v>357</v>
      </c>
      <c r="BM119" s="776">
        <v>346</v>
      </c>
      <c r="BN119" s="776">
        <v>357</v>
      </c>
      <c r="BO119" s="776">
        <v>385</v>
      </c>
      <c r="BP119" s="776">
        <v>341</v>
      </c>
      <c r="BQ119" s="776">
        <v>366</v>
      </c>
      <c r="BR119" s="776">
        <v>366</v>
      </c>
      <c r="BS119" s="776">
        <v>372</v>
      </c>
      <c r="BT119" s="776">
        <v>370</v>
      </c>
      <c r="BU119" s="776">
        <v>370</v>
      </c>
      <c r="BV119" s="776">
        <v>350</v>
      </c>
      <c r="BW119" s="776">
        <v>361</v>
      </c>
      <c r="BX119" s="776">
        <v>333</v>
      </c>
      <c r="BY119" s="776">
        <v>340</v>
      </c>
      <c r="BZ119" s="776">
        <v>362</v>
      </c>
      <c r="CA119" s="776">
        <v>296</v>
      </c>
      <c r="CB119" s="776">
        <v>337</v>
      </c>
      <c r="CC119" s="776">
        <v>328</v>
      </c>
      <c r="CD119" s="776">
        <v>341</v>
      </c>
      <c r="CE119" s="776">
        <v>373</v>
      </c>
      <c r="CF119" s="776">
        <v>352</v>
      </c>
      <c r="CG119" s="776">
        <v>383</v>
      </c>
      <c r="CH119" s="776">
        <v>370</v>
      </c>
      <c r="CI119" s="776">
        <v>370</v>
      </c>
      <c r="CJ119" s="776">
        <v>335</v>
      </c>
      <c r="CK119" s="776">
        <v>342</v>
      </c>
      <c r="CL119" s="776">
        <v>336</v>
      </c>
      <c r="CM119" s="776">
        <v>317</v>
      </c>
      <c r="CN119" s="776">
        <v>323</v>
      </c>
      <c r="CO119" s="776">
        <v>305</v>
      </c>
      <c r="CP119" s="776">
        <v>358</v>
      </c>
      <c r="CQ119" s="776">
        <v>370</v>
      </c>
      <c r="CR119" s="776">
        <v>365</v>
      </c>
      <c r="CS119" s="776">
        <v>370</v>
      </c>
      <c r="CT119" s="776">
        <v>344</v>
      </c>
      <c r="CU119" s="776">
        <v>294</v>
      </c>
      <c r="CV119" s="776">
        <v>308</v>
      </c>
      <c r="CW119" s="776">
        <v>308</v>
      </c>
      <c r="CX119" s="776">
        <v>345</v>
      </c>
      <c r="CY119" s="776">
        <v>360</v>
      </c>
      <c r="CZ119" s="776">
        <v>305</v>
      </c>
      <c r="DA119" s="776">
        <v>323</v>
      </c>
      <c r="DB119" s="776">
        <v>353</v>
      </c>
      <c r="DC119" s="776">
        <v>370</v>
      </c>
      <c r="DD119" s="776">
        <v>372</v>
      </c>
      <c r="DE119" s="776">
        <v>370</v>
      </c>
      <c r="DF119" s="776">
        <v>376</v>
      </c>
      <c r="DG119" s="776">
        <v>394</v>
      </c>
      <c r="DH119" s="776">
        <v>385</v>
      </c>
      <c r="DI119" s="776">
        <v>396</v>
      </c>
      <c r="DJ119" s="776">
        <v>396</v>
      </c>
      <c r="DK119" s="776">
        <v>383</v>
      </c>
      <c r="DL119" s="776">
        <v>370</v>
      </c>
      <c r="DM119" s="776">
        <v>397</v>
      </c>
      <c r="DN119" s="776">
        <v>408</v>
      </c>
      <c r="DO119" s="776">
        <v>357</v>
      </c>
      <c r="DP119" s="776">
        <v>370</v>
      </c>
    </row>
    <row r="120" spans="1:120" x14ac:dyDescent="0.2">
      <c r="A120" s="637" t="s">
        <v>2193</v>
      </c>
      <c r="B120" s="772" t="str" cm="1">
        <f t="array" ref="B120">IFERROR(INDEX(Kulturen[HF],_xlfn.AGGREGATE(15,6,(ROW(Kulturen[Auswahl])-7)/(--(SEARCH("x",Kulturen[Auswahl])&gt;0)),ROW()-7),1),"")</f>
        <v>Wildkräutervermehr. (Legum.)</v>
      </c>
      <c r="C120" s="772" t="str">
        <f>IF(Kulturen[[#This Row],[HF]]=$D$373,IF($C$6=0,0,"x"),IF($C$6=0,"x",Vorauswahl!C119))</f>
        <v>x</v>
      </c>
      <c r="D120" s="77" t="s">
        <v>44</v>
      </c>
      <c r="E120" s="77" t="s">
        <v>44</v>
      </c>
      <c r="F120" s="540" t="s">
        <v>631</v>
      </c>
      <c r="G120" s="540">
        <v>8</v>
      </c>
      <c r="H120" s="540">
        <v>3</v>
      </c>
      <c r="I120" s="540">
        <v>3</v>
      </c>
      <c r="J120" s="540">
        <v>6</v>
      </c>
      <c r="K120" s="540">
        <v>0.15</v>
      </c>
      <c r="L120" s="540">
        <v>0.15</v>
      </c>
      <c r="M120" s="540">
        <v>400</v>
      </c>
      <c r="N120" s="540">
        <v>0</v>
      </c>
      <c r="O120" s="540">
        <v>2</v>
      </c>
      <c r="P120" s="540">
        <v>0</v>
      </c>
      <c r="Q120" s="540">
        <v>164</v>
      </c>
      <c r="R120" s="540">
        <v>20</v>
      </c>
      <c r="S120" s="540">
        <v>8</v>
      </c>
      <c r="T120" s="540">
        <v>8</v>
      </c>
      <c r="U120" s="540">
        <v>0</v>
      </c>
      <c r="V120" s="540">
        <v>3</v>
      </c>
      <c r="W120" s="776">
        <f>IF(Kulturen[[#This Row],[Berechnungsschema]]=13,3,IF(Kulturen[[#This Row],[Berechnungsschema]]=6,2,1))</f>
        <v>2</v>
      </c>
      <c r="X120" s="776">
        <f>IF(Kulturen[[#This Row],[fruchtartengruppe]]=13,Kulturen[[#This Row],[NBedarfswert]],MAX(0,Kulturen[[#This Row],[NBedarfswert]]-Kulturen[[#This Row],[Ertrag]]*Kulturen[[#This Row],[Nfix]]))</f>
        <v>164</v>
      </c>
      <c r="Y120" s="776">
        <v>267</v>
      </c>
      <c r="Z120" s="776">
        <v>267</v>
      </c>
      <c r="AA120" s="776">
        <v>262</v>
      </c>
      <c r="AB120" s="776">
        <v>287</v>
      </c>
      <c r="AC120" s="776">
        <v>294</v>
      </c>
      <c r="AD120" s="776">
        <v>237</v>
      </c>
      <c r="AE120" s="776">
        <v>299</v>
      </c>
      <c r="AF120" s="776">
        <v>278</v>
      </c>
      <c r="AG120" s="776">
        <v>282</v>
      </c>
      <c r="AH120" s="776">
        <v>307</v>
      </c>
      <c r="AI120" s="776">
        <v>278</v>
      </c>
      <c r="AJ120" s="776">
        <v>296</v>
      </c>
      <c r="AK120" s="776">
        <v>264</v>
      </c>
      <c r="AL120" s="776">
        <v>280</v>
      </c>
      <c r="AM120" s="776">
        <v>262</v>
      </c>
      <c r="AN120" s="776">
        <v>291</v>
      </c>
      <c r="AO120" s="776">
        <v>232</v>
      </c>
      <c r="AP120" s="776">
        <v>274</v>
      </c>
      <c r="AQ120" s="776">
        <v>257</v>
      </c>
      <c r="AR120" s="776">
        <v>292</v>
      </c>
      <c r="AS120" s="776">
        <v>267</v>
      </c>
      <c r="AT120" s="776">
        <v>301</v>
      </c>
      <c r="AU120" s="776">
        <v>287</v>
      </c>
      <c r="AV120" s="776">
        <v>264</v>
      </c>
      <c r="AW120" s="776">
        <v>269</v>
      </c>
      <c r="AX120" s="776">
        <v>265</v>
      </c>
      <c r="AY120" s="776">
        <v>315</v>
      </c>
      <c r="AZ120" s="776">
        <v>269</v>
      </c>
      <c r="BA120" s="776">
        <v>252</v>
      </c>
      <c r="BB120" s="776">
        <v>277</v>
      </c>
      <c r="BC120" s="776">
        <v>299</v>
      </c>
      <c r="BD120" s="776">
        <v>262</v>
      </c>
      <c r="BE120" s="776">
        <v>282</v>
      </c>
      <c r="BF120" s="776">
        <v>263</v>
      </c>
      <c r="BG120" s="776">
        <v>271</v>
      </c>
      <c r="BH120" s="776">
        <v>271</v>
      </c>
      <c r="BI120" s="776">
        <v>269</v>
      </c>
      <c r="BJ120" s="776">
        <v>265</v>
      </c>
      <c r="BK120" s="776">
        <v>242</v>
      </c>
      <c r="BL120" s="776">
        <v>255</v>
      </c>
      <c r="BM120" s="776">
        <v>247</v>
      </c>
      <c r="BN120" s="776">
        <v>255</v>
      </c>
      <c r="BO120" s="776">
        <v>275</v>
      </c>
      <c r="BP120" s="776">
        <v>243</v>
      </c>
      <c r="BQ120" s="776">
        <v>262</v>
      </c>
      <c r="BR120" s="776">
        <v>262</v>
      </c>
      <c r="BS120" s="776">
        <v>266</v>
      </c>
      <c r="BT120" s="776">
        <v>264</v>
      </c>
      <c r="BU120" s="776">
        <v>264</v>
      </c>
      <c r="BV120" s="776">
        <v>250</v>
      </c>
      <c r="BW120" s="776">
        <v>258</v>
      </c>
      <c r="BX120" s="776">
        <v>238</v>
      </c>
      <c r="BY120" s="776">
        <v>243</v>
      </c>
      <c r="BZ120" s="776">
        <v>258</v>
      </c>
      <c r="CA120" s="776">
        <v>212</v>
      </c>
      <c r="CB120" s="776">
        <v>241</v>
      </c>
      <c r="CC120" s="776">
        <v>234</v>
      </c>
      <c r="CD120" s="776">
        <v>243</v>
      </c>
      <c r="CE120" s="776">
        <v>267</v>
      </c>
      <c r="CF120" s="776">
        <v>251</v>
      </c>
      <c r="CG120" s="776">
        <v>274</v>
      </c>
      <c r="CH120" s="776">
        <v>264</v>
      </c>
      <c r="CI120" s="776">
        <v>264</v>
      </c>
      <c r="CJ120" s="776">
        <v>240</v>
      </c>
      <c r="CK120" s="776">
        <v>244</v>
      </c>
      <c r="CL120" s="776">
        <v>240</v>
      </c>
      <c r="CM120" s="776">
        <v>227</v>
      </c>
      <c r="CN120" s="776">
        <v>231</v>
      </c>
      <c r="CO120" s="776">
        <v>218</v>
      </c>
      <c r="CP120" s="776">
        <v>255</v>
      </c>
      <c r="CQ120" s="776">
        <v>264</v>
      </c>
      <c r="CR120" s="776">
        <v>260</v>
      </c>
      <c r="CS120" s="776">
        <v>264</v>
      </c>
      <c r="CT120" s="776">
        <v>246</v>
      </c>
      <c r="CU120" s="776">
        <v>210</v>
      </c>
      <c r="CV120" s="776">
        <v>220</v>
      </c>
      <c r="CW120" s="776">
        <v>220</v>
      </c>
      <c r="CX120" s="776">
        <v>247</v>
      </c>
      <c r="CY120" s="776">
        <v>257</v>
      </c>
      <c r="CZ120" s="776">
        <v>218</v>
      </c>
      <c r="DA120" s="776">
        <v>231</v>
      </c>
      <c r="DB120" s="776">
        <v>252</v>
      </c>
      <c r="DC120" s="776">
        <v>264</v>
      </c>
      <c r="DD120" s="776">
        <v>266</v>
      </c>
      <c r="DE120" s="776">
        <v>264</v>
      </c>
      <c r="DF120" s="776">
        <v>269</v>
      </c>
      <c r="DG120" s="776">
        <v>281</v>
      </c>
      <c r="DH120" s="776">
        <v>275</v>
      </c>
      <c r="DI120" s="776">
        <v>283</v>
      </c>
      <c r="DJ120" s="776">
        <v>283</v>
      </c>
      <c r="DK120" s="776">
        <v>274</v>
      </c>
      <c r="DL120" s="776">
        <v>264</v>
      </c>
      <c r="DM120" s="776">
        <v>283</v>
      </c>
      <c r="DN120" s="776">
        <v>291</v>
      </c>
      <c r="DO120" s="776">
        <v>255</v>
      </c>
      <c r="DP120" s="776">
        <v>264</v>
      </c>
    </row>
    <row r="121" spans="1:120" x14ac:dyDescent="0.2">
      <c r="A121" s="637" t="s">
        <v>2157</v>
      </c>
      <c r="B121" s="772" t="str" cm="1">
        <f t="array" ref="B121">IFERROR(INDEX(Kulturen[HF],_xlfn.AGGREGATE(15,6,(ROW(Kulturen[Auswahl])-7)/(--(SEARCH("x",Kulturen[Auswahl])&gt;0)),ROW()-7),1),"")</f>
        <v>Wildkräuterverm. (Nichtleg.)</v>
      </c>
      <c r="C121" s="772" t="str">
        <f>IF(Kulturen[[#This Row],[HF]]=$D$373,IF($C$6=0,0,"x"),IF($C$6=0,"x",Vorauswahl!C120))</f>
        <v>x</v>
      </c>
      <c r="D121" s="77" t="s">
        <v>592</v>
      </c>
      <c r="E121" s="77" t="s">
        <v>592</v>
      </c>
      <c r="F121" s="540" t="s">
        <v>593</v>
      </c>
      <c r="G121" s="540">
        <v>7</v>
      </c>
      <c r="H121" s="540">
        <v>8</v>
      </c>
      <c r="I121" s="540">
        <v>3</v>
      </c>
      <c r="J121" s="540">
        <v>90</v>
      </c>
      <c r="K121" s="540">
        <v>0.2</v>
      </c>
      <c r="L121" s="540">
        <v>0.2</v>
      </c>
      <c r="M121" s="540">
        <v>400</v>
      </c>
      <c r="N121" s="540">
        <v>0</v>
      </c>
      <c r="O121" s="540">
        <v>1</v>
      </c>
      <c r="P121" s="540">
        <v>0</v>
      </c>
      <c r="Q121" s="540">
        <v>140</v>
      </c>
      <c r="R121" s="540">
        <v>50</v>
      </c>
      <c r="S121" s="540">
        <v>10</v>
      </c>
      <c r="T121" s="540">
        <v>15</v>
      </c>
      <c r="U121" s="540">
        <v>0</v>
      </c>
      <c r="V121" s="540">
        <v>4</v>
      </c>
      <c r="W121" s="776">
        <f>IF(Kulturen[[#This Row],[Berechnungsschema]]=13,3,IF(Kulturen[[#This Row],[Berechnungsschema]]=6,2,1))</f>
        <v>1</v>
      </c>
      <c r="X121" s="776">
        <f>IF(Kulturen[[#This Row],[fruchtartengruppe]]=13,Kulturen[[#This Row],[NBedarfswert]],MAX(0,Kulturen[[#This Row],[NBedarfswert]]-Kulturen[[#This Row],[Ertrag]]*Kulturen[[#This Row],[Nfix]]))</f>
        <v>140</v>
      </c>
      <c r="Y121" s="776">
        <v>267</v>
      </c>
      <c r="Z121" s="776">
        <v>267</v>
      </c>
      <c r="AA121" s="776">
        <v>262</v>
      </c>
      <c r="AB121" s="776">
        <v>287</v>
      </c>
      <c r="AC121" s="776">
        <v>294</v>
      </c>
      <c r="AD121" s="776">
        <v>237</v>
      </c>
      <c r="AE121" s="776">
        <v>299</v>
      </c>
      <c r="AF121" s="776">
        <v>278</v>
      </c>
      <c r="AG121" s="776">
        <v>282</v>
      </c>
      <c r="AH121" s="776">
        <v>307</v>
      </c>
      <c r="AI121" s="776">
        <v>278</v>
      </c>
      <c r="AJ121" s="776">
        <v>296</v>
      </c>
      <c r="AK121" s="776">
        <v>264</v>
      </c>
      <c r="AL121" s="776">
        <v>280</v>
      </c>
      <c r="AM121" s="776">
        <v>262</v>
      </c>
      <c r="AN121" s="776">
        <v>291</v>
      </c>
      <c r="AO121" s="776">
        <v>232</v>
      </c>
      <c r="AP121" s="776">
        <v>274</v>
      </c>
      <c r="AQ121" s="776">
        <v>257</v>
      </c>
      <c r="AR121" s="776">
        <v>292</v>
      </c>
      <c r="AS121" s="776">
        <v>267</v>
      </c>
      <c r="AT121" s="776">
        <v>301</v>
      </c>
      <c r="AU121" s="776">
        <v>287</v>
      </c>
      <c r="AV121" s="776">
        <v>264</v>
      </c>
      <c r="AW121" s="776">
        <v>269</v>
      </c>
      <c r="AX121" s="776">
        <v>265</v>
      </c>
      <c r="AY121" s="776">
        <v>315</v>
      </c>
      <c r="AZ121" s="776">
        <v>269</v>
      </c>
      <c r="BA121" s="776">
        <v>252</v>
      </c>
      <c r="BB121" s="776">
        <v>277</v>
      </c>
      <c r="BC121" s="776">
        <v>299</v>
      </c>
      <c r="BD121" s="776">
        <v>262</v>
      </c>
      <c r="BE121" s="776">
        <v>282</v>
      </c>
      <c r="BF121" s="776">
        <v>263</v>
      </c>
      <c r="BG121" s="776">
        <v>271</v>
      </c>
      <c r="BH121" s="776">
        <v>271</v>
      </c>
      <c r="BI121" s="776">
        <v>269</v>
      </c>
      <c r="BJ121" s="776">
        <v>265</v>
      </c>
      <c r="BK121" s="776">
        <v>242</v>
      </c>
      <c r="BL121" s="776">
        <v>255</v>
      </c>
      <c r="BM121" s="776">
        <v>247</v>
      </c>
      <c r="BN121" s="776">
        <v>255</v>
      </c>
      <c r="BO121" s="776">
        <v>275</v>
      </c>
      <c r="BP121" s="776">
        <v>243</v>
      </c>
      <c r="BQ121" s="776">
        <v>262</v>
      </c>
      <c r="BR121" s="776">
        <v>262</v>
      </c>
      <c r="BS121" s="776">
        <v>266</v>
      </c>
      <c r="BT121" s="776">
        <v>264</v>
      </c>
      <c r="BU121" s="776">
        <v>264</v>
      </c>
      <c r="BV121" s="776">
        <v>250</v>
      </c>
      <c r="BW121" s="776">
        <v>258</v>
      </c>
      <c r="BX121" s="776">
        <v>238</v>
      </c>
      <c r="BY121" s="776">
        <v>243</v>
      </c>
      <c r="BZ121" s="776">
        <v>258</v>
      </c>
      <c r="CA121" s="776">
        <v>212</v>
      </c>
      <c r="CB121" s="776">
        <v>241</v>
      </c>
      <c r="CC121" s="776">
        <v>234</v>
      </c>
      <c r="CD121" s="776">
        <v>243</v>
      </c>
      <c r="CE121" s="776">
        <v>267</v>
      </c>
      <c r="CF121" s="776">
        <v>251</v>
      </c>
      <c r="CG121" s="776">
        <v>274</v>
      </c>
      <c r="CH121" s="776">
        <v>264</v>
      </c>
      <c r="CI121" s="776">
        <v>264</v>
      </c>
      <c r="CJ121" s="776">
        <v>240</v>
      </c>
      <c r="CK121" s="776">
        <v>244</v>
      </c>
      <c r="CL121" s="776">
        <v>240</v>
      </c>
      <c r="CM121" s="776">
        <v>227</v>
      </c>
      <c r="CN121" s="776">
        <v>231</v>
      </c>
      <c r="CO121" s="776">
        <v>218</v>
      </c>
      <c r="CP121" s="776">
        <v>255</v>
      </c>
      <c r="CQ121" s="776">
        <v>264</v>
      </c>
      <c r="CR121" s="776">
        <v>260</v>
      </c>
      <c r="CS121" s="776">
        <v>264</v>
      </c>
      <c r="CT121" s="776">
        <v>246</v>
      </c>
      <c r="CU121" s="776">
        <v>210</v>
      </c>
      <c r="CV121" s="776">
        <v>220</v>
      </c>
      <c r="CW121" s="776">
        <v>220</v>
      </c>
      <c r="CX121" s="776">
        <v>247</v>
      </c>
      <c r="CY121" s="776">
        <v>257</v>
      </c>
      <c r="CZ121" s="776">
        <v>218</v>
      </c>
      <c r="DA121" s="776">
        <v>231</v>
      </c>
      <c r="DB121" s="776">
        <v>252</v>
      </c>
      <c r="DC121" s="776">
        <v>264</v>
      </c>
      <c r="DD121" s="776">
        <v>266</v>
      </c>
      <c r="DE121" s="776">
        <v>264</v>
      </c>
      <c r="DF121" s="776">
        <v>269</v>
      </c>
      <c r="DG121" s="776">
        <v>281</v>
      </c>
      <c r="DH121" s="776">
        <v>275</v>
      </c>
      <c r="DI121" s="776">
        <v>283</v>
      </c>
      <c r="DJ121" s="776">
        <v>283</v>
      </c>
      <c r="DK121" s="776">
        <v>274</v>
      </c>
      <c r="DL121" s="776">
        <v>264</v>
      </c>
      <c r="DM121" s="776">
        <v>283</v>
      </c>
      <c r="DN121" s="776">
        <v>291</v>
      </c>
      <c r="DO121" s="776">
        <v>255</v>
      </c>
      <c r="DP121" s="776">
        <v>264</v>
      </c>
    </row>
    <row r="122" spans="1:120" x14ac:dyDescent="0.2">
      <c r="A122" s="637" t="s">
        <v>2158</v>
      </c>
      <c r="B122" s="772" t="str" cm="1">
        <f t="array" ref="B122">IFERROR(INDEX(Kulturen[HF],_xlfn.AGGREGATE(15,6,(ROW(Kulturen[Auswahl])-7)/(--(SEARCH("x",Kulturen[Auswahl])&gt;0)),ROW()-7),1),"")</f>
        <v>+++Dauerkulturen+++</v>
      </c>
      <c r="C122" s="772" t="str">
        <f>IF(Kulturen[[#This Row],[HF]]=$D$373,IF($C$6=0,0,"x"),IF($C$6=0,"x",Vorauswahl!C121))</f>
        <v>x</v>
      </c>
      <c r="D122" s="77" t="s">
        <v>1910</v>
      </c>
      <c r="E122" s="77" t="s">
        <v>1910</v>
      </c>
      <c r="F122" s="540" t="s">
        <v>597</v>
      </c>
      <c r="G122" s="540">
        <v>8</v>
      </c>
      <c r="H122" s="540">
        <v>8</v>
      </c>
      <c r="I122" s="540">
        <v>3</v>
      </c>
      <c r="J122" s="540">
        <v>90</v>
      </c>
      <c r="K122" s="540">
        <v>0.16</v>
      </c>
      <c r="L122" s="540">
        <v>0.16</v>
      </c>
      <c r="M122" s="540">
        <v>350</v>
      </c>
      <c r="N122" s="540">
        <v>0</v>
      </c>
      <c r="O122" s="540">
        <v>1</v>
      </c>
      <c r="P122" s="540">
        <v>0</v>
      </c>
      <c r="Q122" s="540">
        <v>130</v>
      </c>
      <c r="R122" s="540">
        <v>50</v>
      </c>
      <c r="S122" s="540">
        <v>10</v>
      </c>
      <c r="T122" s="540">
        <v>15</v>
      </c>
      <c r="U122" s="540">
        <v>0</v>
      </c>
      <c r="V122" s="540">
        <v>3</v>
      </c>
      <c r="W122" s="776">
        <f>IF(Kulturen[[#This Row],[Berechnungsschema]]=13,3,IF(Kulturen[[#This Row],[Berechnungsschema]]=6,2,1))</f>
        <v>1</v>
      </c>
      <c r="X122" s="776">
        <f>IF(Kulturen[[#This Row],[fruchtartengruppe]]=13,Kulturen[[#This Row],[NBedarfswert]],MAX(0,Kulturen[[#This Row],[NBedarfswert]]-Kulturen[[#This Row],[Ertrag]]*Kulturen[[#This Row],[Nfix]]))</f>
        <v>130</v>
      </c>
      <c r="Y122" s="776">
        <v>267</v>
      </c>
      <c r="Z122" s="776">
        <v>267</v>
      </c>
      <c r="AA122" s="776">
        <v>262</v>
      </c>
      <c r="AB122" s="776">
        <v>287</v>
      </c>
      <c r="AC122" s="776">
        <v>294</v>
      </c>
      <c r="AD122" s="776">
        <v>237</v>
      </c>
      <c r="AE122" s="776">
        <v>299</v>
      </c>
      <c r="AF122" s="776">
        <v>278</v>
      </c>
      <c r="AG122" s="776">
        <v>282</v>
      </c>
      <c r="AH122" s="776">
        <v>307</v>
      </c>
      <c r="AI122" s="776">
        <v>278</v>
      </c>
      <c r="AJ122" s="776">
        <v>296</v>
      </c>
      <c r="AK122" s="776">
        <v>264</v>
      </c>
      <c r="AL122" s="776">
        <v>280</v>
      </c>
      <c r="AM122" s="776">
        <v>262</v>
      </c>
      <c r="AN122" s="776">
        <v>291</v>
      </c>
      <c r="AO122" s="776">
        <v>232</v>
      </c>
      <c r="AP122" s="776">
        <v>274</v>
      </c>
      <c r="AQ122" s="776">
        <v>257</v>
      </c>
      <c r="AR122" s="776">
        <v>292</v>
      </c>
      <c r="AS122" s="776">
        <v>267</v>
      </c>
      <c r="AT122" s="776">
        <v>301</v>
      </c>
      <c r="AU122" s="776">
        <v>287</v>
      </c>
      <c r="AV122" s="776">
        <v>264</v>
      </c>
      <c r="AW122" s="776">
        <v>269</v>
      </c>
      <c r="AX122" s="776">
        <v>265</v>
      </c>
      <c r="AY122" s="776">
        <v>315</v>
      </c>
      <c r="AZ122" s="776">
        <v>269</v>
      </c>
      <c r="BA122" s="776">
        <v>252</v>
      </c>
      <c r="BB122" s="776">
        <v>277</v>
      </c>
      <c r="BC122" s="776">
        <v>299</v>
      </c>
      <c r="BD122" s="776">
        <v>262</v>
      </c>
      <c r="BE122" s="776">
        <v>282</v>
      </c>
      <c r="BF122" s="776">
        <v>263</v>
      </c>
      <c r="BG122" s="776">
        <v>271</v>
      </c>
      <c r="BH122" s="776">
        <v>271</v>
      </c>
      <c r="BI122" s="776">
        <v>269</v>
      </c>
      <c r="BJ122" s="776">
        <v>265</v>
      </c>
      <c r="BK122" s="776">
        <v>242</v>
      </c>
      <c r="BL122" s="776">
        <v>255</v>
      </c>
      <c r="BM122" s="776">
        <v>247</v>
      </c>
      <c r="BN122" s="776">
        <v>255</v>
      </c>
      <c r="BO122" s="776">
        <v>275</v>
      </c>
      <c r="BP122" s="776">
        <v>243</v>
      </c>
      <c r="BQ122" s="776">
        <v>262</v>
      </c>
      <c r="BR122" s="776">
        <v>262</v>
      </c>
      <c r="BS122" s="776">
        <v>266</v>
      </c>
      <c r="BT122" s="776">
        <v>264</v>
      </c>
      <c r="BU122" s="776">
        <v>264</v>
      </c>
      <c r="BV122" s="776">
        <v>250</v>
      </c>
      <c r="BW122" s="776">
        <v>258</v>
      </c>
      <c r="BX122" s="776">
        <v>238</v>
      </c>
      <c r="BY122" s="776">
        <v>243</v>
      </c>
      <c r="BZ122" s="776">
        <v>258</v>
      </c>
      <c r="CA122" s="776">
        <v>212</v>
      </c>
      <c r="CB122" s="776">
        <v>241</v>
      </c>
      <c r="CC122" s="776">
        <v>234</v>
      </c>
      <c r="CD122" s="776">
        <v>243</v>
      </c>
      <c r="CE122" s="776">
        <v>267</v>
      </c>
      <c r="CF122" s="776">
        <v>251</v>
      </c>
      <c r="CG122" s="776">
        <v>274</v>
      </c>
      <c r="CH122" s="776">
        <v>264</v>
      </c>
      <c r="CI122" s="776">
        <v>264</v>
      </c>
      <c r="CJ122" s="776">
        <v>240</v>
      </c>
      <c r="CK122" s="776">
        <v>244</v>
      </c>
      <c r="CL122" s="776">
        <v>240</v>
      </c>
      <c r="CM122" s="776">
        <v>227</v>
      </c>
      <c r="CN122" s="776">
        <v>231</v>
      </c>
      <c r="CO122" s="776">
        <v>218</v>
      </c>
      <c r="CP122" s="776">
        <v>255</v>
      </c>
      <c r="CQ122" s="776">
        <v>264</v>
      </c>
      <c r="CR122" s="776">
        <v>260</v>
      </c>
      <c r="CS122" s="776">
        <v>264</v>
      </c>
      <c r="CT122" s="776">
        <v>246</v>
      </c>
      <c r="CU122" s="776">
        <v>210</v>
      </c>
      <c r="CV122" s="776">
        <v>220</v>
      </c>
      <c r="CW122" s="776">
        <v>220</v>
      </c>
      <c r="CX122" s="776">
        <v>247</v>
      </c>
      <c r="CY122" s="776">
        <v>257</v>
      </c>
      <c r="CZ122" s="776">
        <v>218</v>
      </c>
      <c r="DA122" s="776">
        <v>231</v>
      </c>
      <c r="DB122" s="776">
        <v>252</v>
      </c>
      <c r="DC122" s="776">
        <v>264</v>
      </c>
      <c r="DD122" s="776">
        <v>266</v>
      </c>
      <c r="DE122" s="776">
        <v>264</v>
      </c>
      <c r="DF122" s="776">
        <v>269</v>
      </c>
      <c r="DG122" s="776">
        <v>281</v>
      </c>
      <c r="DH122" s="776">
        <v>275</v>
      </c>
      <c r="DI122" s="776">
        <v>283</v>
      </c>
      <c r="DJ122" s="776">
        <v>283</v>
      </c>
      <c r="DK122" s="776">
        <v>274</v>
      </c>
      <c r="DL122" s="776">
        <v>264</v>
      </c>
      <c r="DM122" s="776">
        <v>283</v>
      </c>
      <c r="DN122" s="776">
        <v>291</v>
      </c>
      <c r="DO122" s="776">
        <v>255</v>
      </c>
      <c r="DP122" s="776">
        <v>264</v>
      </c>
    </row>
    <row r="123" spans="1:120" x14ac:dyDescent="0.2">
      <c r="A123" s="637" t="s">
        <v>2159</v>
      </c>
      <c r="B123" s="772" t="str" cm="1">
        <f t="array" ref="B123">IFERROR(INDEX(Kulturen[HF],_xlfn.AGGREGATE(15,6,(ROW(Kulturen[Auswahl])-7)/(--(SEARCH("x",Kulturen[Auswahl])&gt;0)),ROW()-7),1),"")</f>
        <v>Hopfen (ohne Herkules)</v>
      </c>
      <c r="C123" s="772" t="str">
        <f>IF(Kulturen[[#This Row],[HF]]=$D$373,IF($C$6=0,0,"x"),IF($C$6=0,"x",Vorauswahl!C122))</f>
        <v>x</v>
      </c>
      <c r="D123" s="77" t="s">
        <v>45</v>
      </c>
      <c r="E123" s="77" t="s">
        <v>45</v>
      </c>
      <c r="F123" s="540" t="s">
        <v>598</v>
      </c>
      <c r="G123" s="540">
        <v>8</v>
      </c>
      <c r="H123" s="540">
        <v>8</v>
      </c>
      <c r="I123" s="540">
        <v>3</v>
      </c>
      <c r="J123" s="540">
        <v>90</v>
      </c>
      <c r="K123" s="540">
        <v>0.16</v>
      </c>
      <c r="L123" s="540">
        <v>0.16</v>
      </c>
      <c r="M123" s="540">
        <v>180</v>
      </c>
      <c r="N123" s="540">
        <v>0</v>
      </c>
      <c r="O123" s="540">
        <v>1</v>
      </c>
      <c r="P123" s="540">
        <v>0</v>
      </c>
      <c r="Q123" s="540">
        <v>100</v>
      </c>
      <c r="R123" s="540">
        <v>20</v>
      </c>
      <c r="S123" s="540">
        <v>10</v>
      </c>
      <c r="T123" s="540">
        <v>15</v>
      </c>
      <c r="U123" s="540">
        <v>0</v>
      </c>
      <c r="V123" s="540">
        <v>3</v>
      </c>
      <c r="W123" s="776">
        <f>IF(Kulturen[[#This Row],[Berechnungsschema]]=13,3,IF(Kulturen[[#This Row],[Berechnungsschema]]=6,2,1))</f>
        <v>1</v>
      </c>
      <c r="X123" s="776">
        <f>IF(Kulturen[[#This Row],[fruchtartengruppe]]=13,Kulturen[[#This Row],[NBedarfswert]],MAX(0,Kulturen[[#This Row],[NBedarfswert]]-Kulturen[[#This Row],[Ertrag]]*Kulturen[[#This Row],[Nfix]]))</f>
        <v>100</v>
      </c>
      <c r="Y123" s="776">
        <v>133</v>
      </c>
      <c r="Z123" s="776">
        <v>133</v>
      </c>
      <c r="AA123" s="776">
        <v>131</v>
      </c>
      <c r="AB123" s="776">
        <v>144</v>
      </c>
      <c r="AC123" s="776">
        <v>147</v>
      </c>
      <c r="AD123" s="776">
        <v>119</v>
      </c>
      <c r="AE123" s="776">
        <v>149</v>
      </c>
      <c r="AF123" s="776">
        <v>139</v>
      </c>
      <c r="AG123" s="776">
        <v>141</v>
      </c>
      <c r="AH123" s="776">
        <v>154</v>
      </c>
      <c r="AI123" s="776">
        <v>139</v>
      </c>
      <c r="AJ123" s="776">
        <v>148</v>
      </c>
      <c r="AK123" s="776">
        <v>132</v>
      </c>
      <c r="AL123" s="776">
        <v>140</v>
      </c>
      <c r="AM123" s="776">
        <v>131</v>
      </c>
      <c r="AN123" s="776">
        <v>145</v>
      </c>
      <c r="AO123" s="776">
        <v>116</v>
      </c>
      <c r="AP123" s="776">
        <v>137</v>
      </c>
      <c r="AQ123" s="776">
        <v>129</v>
      </c>
      <c r="AR123" s="776">
        <v>146</v>
      </c>
      <c r="AS123" s="776">
        <v>134</v>
      </c>
      <c r="AT123" s="776">
        <v>150</v>
      </c>
      <c r="AU123" s="776">
        <v>143</v>
      </c>
      <c r="AV123" s="776">
        <v>132</v>
      </c>
      <c r="AW123" s="776">
        <v>135</v>
      </c>
      <c r="AX123" s="776">
        <v>133</v>
      </c>
      <c r="AY123" s="776">
        <v>157</v>
      </c>
      <c r="AZ123" s="776">
        <v>135</v>
      </c>
      <c r="BA123" s="776">
        <v>126</v>
      </c>
      <c r="BB123" s="776">
        <v>139</v>
      </c>
      <c r="BC123" s="776">
        <v>150</v>
      </c>
      <c r="BD123" s="776">
        <v>131</v>
      </c>
      <c r="BE123" s="776">
        <v>141</v>
      </c>
      <c r="BF123" s="776">
        <v>131</v>
      </c>
      <c r="BG123" s="776">
        <v>136</v>
      </c>
      <c r="BH123" s="776">
        <v>135</v>
      </c>
      <c r="BI123" s="776">
        <v>134</v>
      </c>
      <c r="BJ123" s="776">
        <v>132</v>
      </c>
      <c r="BK123" s="776">
        <v>121</v>
      </c>
      <c r="BL123" s="776">
        <v>127</v>
      </c>
      <c r="BM123" s="776">
        <v>123</v>
      </c>
      <c r="BN123" s="776">
        <v>127</v>
      </c>
      <c r="BO123" s="776">
        <v>137</v>
      </c>
      <c r="BP123" s="776">
        <v>122</v>
      </c>
      <c r="BQ123" s="776">
        <v>131</v>
      </c>
      <c r="BR123" s="776">
        <v>131</v>
      </c>
      <c r="BS123" s="776">
        <v>133</v>
      </c>
      <c r="BT123" s="776">
        <v>132</v>
      </c>
      <c r="BU123" s="776">
        <v>132</v>
      </c>
      <c r="BV123" s="776">
        <v>125</v>
      </c>
      <c r="BW123" s="776">
        <v>129</v>
      </c>
      <c r="BX123" s="776">
        <v>119</v>
      </c>
      <c r="BY123" s="776">
        <v>121</v>
      </c>
      <c r="BZ123" s="776">
        <v>129</v>
      </c>
      <c r="CA123" s="776">
        <v>106</v>
      </c>
      <c r="CB123" s="776">
        <v>120</v>
      </c>
      <c r="CC123" s="776">
        <v>117</v>
      </c>
      <c r="CD123" s="776">
        <v>122</v>
      </c>
      <c r="CE123" s="776">
        <v>133</v>
      </c>
      <c r="CF123" s="776">
        <v>126</v>
      </c>
      <c r="CG123" s="776">
        <v>137</v>
      </c>
      <c r="CH123" s="776">
        <v>132</v>
      </c>
      <c r="CI123" s="776">
        <v>132</v>
      </c>
      <c r="CJ123" s="776">
        <v>120</v>
      </c>
      <c r="CK123" s="776">
        <v>122</v>
      </c>
      <c r="CL123" s="776">
        <v>120</v>
      </c>
      <c r="CM123" s="776">
        <v>113</v>
      </c>
      <c r="CN123" s="776">
        <v>115</v>
      </c>
      <c r="CO123" s="776">
        <v>109</v>
      </c>
      <c r="CP123" s="776">
        <v>128</v>
      </c>
      <c r="CQ123" s="776">
        <v>132</v>
      </c>
      <c r="CR123" s="776">
        <v>130</v>
      </c>
      <c r="CS123" s="776">
        <v>132</v>
      </c>
      <c r="CT123" s="776">
        <v>123</v>
      </c>
      <c r="CU123" s="776">
        <v>105</v>
      </c>
      <c r="CV123" s="776">
        <v>110</v>
      </c>
      <c r="CW123" s="776">
        <v>110</v>
      </c>
      <c r="CX123" s="776">
        <v>123</v>
      </c>
      <c r="CY123" s="776">
        <v>129</v>
      </c>
      <c r="CZ123" s="776">
        <v>109</v>
      </c>
      <c r="DA123" s="776">
        <v>115</v>
      </c>
      <c r="DB123" s="776">
        <v>126</v>
      </c>
      <c r="DC123" s="776">
        <v>132</v>
      </c>
      <c r="DD123" s="776">
        <v>133</v>
      </c>
      <c r="DE123" s="776">
        <v>132</v>
      </c>
      <c r="DF123" s="776">
        <v>134</v>
      </c>
      <c r="DG123" s="776">
        <v>141</v>
      </c>
      <c r="DH123" s="776">
        <v>138</v>
      </c>
      <c r="DI123" s="776">
        <v>141</v>
      </c>
      <c r="DJ123" s="776">
        <v>142</v>
      </c>
      <c r="DK123" s="776">
        <v>137</v>
      </c>
      <c r="DL123" s="776">
        <v>132</v>
      </c>
      <c r="DM123" s="776">
        <v>142</v>
      </c>
      <c r="DN123" s="776">
        <v>146</v>
      </c>
      <c r="DO123" s="776">
        <v>127</v>
      </c>
      <c r="DP123" s="776">
        <v>132</v>
      </c>
    </row>
    <row r="124" spans="1:120" x14ac:dyDescent="0.2">
      <c r="A124" s="637" t="s">
        <v>2160</v>
      </c>
      <c r="B124" s="772" t="str" cm="1">
        <f t="array" ref="B124">IFERROR(INDEX(Kulturen[HF],_xlfn.AGGREGATE(15,6,(ROW(Kulturen[Auswahl])-7)/(--(SEARCH("x",Kulturen[Auswahl])&gt;0)),ROW()-7),1),"")</f>
        <v>Hopfen (Herkules)</v>
      </c>
      <c r="C124" s="772" t="str">
        <f>IF(Kulturen[[#This Row],[HF]]=$D$373,IF($C$6=0,0,"x"),IF($C$6=0,"x",Vorauswahl!C123))</f>
        <v>x</v>
      </c>
      <c r="D124" s="77" t="s">
        <v>1911</v>
      </c>
      <c r="E124" s="77" t="s">
        <v>1911</v>
      </c>
      <c r="F124" s="540" t="s">
        <v>599</v>
      </c>
      <c r="G124" s="540">
        <v>8</v>
      </c>
      <c r="H124" s="540">
        <v>8</v>
      </c>
      <c r="I124" s="540">
        <v>3</v>
      </c>
      <c r="J124" s="540">
        <v>90</v>
      </c>
      <c r="K124" s="540">
        <v>0.16</v>
      </c>
      <c r="L124" s="540">
        <v>0.16</v>
      </c>
      <c r="M124" s="540">
        <v>180</v>
      </c>
      <c r="N124" s="540">
        <v>0</v>
      </c>
      <c r="O124" s="540">
        <v>1</v>
      </c>
      <c r="P124" s="540">
        <v>0</v>
      </c>
      <c r="Q124" s="540">
        <v>120</v>
      </c>
      <c r="R124" s="540">
        <v>20</v>
      </c>
      <c r="S124" s="540">
        <v>10</v>
      </c>
      <c r="T124" s="540">
        <v>15</v>
      </c>
      <c r="U124" s="540">
        <v>0</v>
      </c>
      <c r="V124" s="540">
        <v>3</v>
      </c>
      <c r="W124" s="776">
        <f>IF(Kulturen[[#This Row],[Berechnungsschema]]=13,3,IF(Kulturen[[#This Row],[Berechnungsschema]]=6,2,1))</f>
        <v>1</v>
      </c>
      <c r="X124" s="776">
        <f>IF(Kulturen[[#This Row],[fruchtartengruppe]]=13,Kulturen[[#This Row],[NBedarfswert]],MAX(0,Kulturen[[#This Row],[NBedarfswert]]-Kulturen[[#This Row],[Ertrag]]*Kulturen[[#This Row],[Nfix]]))</f>
        <v>120</v>
      </c>
      <c r="Y124" s="776">
        <v>213</v>
      </c>
      <c r="Z124" s="776">
        <v>213</v>
      </c>
      <c r="AA124" s="776">
        <v>210</v>
      </c>
      <c r="AB124" s="776">
        <v>230</v>
      </c>
      <c r="AC124" s="776">
        <v>235</v>
      </c>
      <c r="AD124" s="776">
        <v>190</v>
      </c>
      <c r="AE124" s="776">
        <v>239</v>
      </c>
      <c r="AF124" s="776">
        <v>222</v>
      </c>
      <c r="AG124" s="776">
        <v>225</v>
      </c>
      <c r="AH124" s="776">
        <v>246</v>
      </c>
      <c r="AI124" s="776">
        <v>223</v>
      </c>
      <c r="AJ124" s="776">
        <v>237</v>
      </c>
      <c r="AK124" s="776">
        <v>211</v>
      </c>
      <c r="AL124" s="776">
        <v>224</v>
      </c>
      <c r="AM124" s="776">
        <v>209</v>
      </c>
      <c r="AN124" s="776">
        <v>233</v>
      </c>
      <c r="AO124" s="776">
        <v>185</v>
      </c>
      <c r="AP124" s="776">
        <v>219</v>
      </c>
      <c r="AQ124" s="776">
        <v>206</v>
      </c>
      <c r="AR124" s="776">
        <v>234</v>
      </c>
      <c r="AS124" s="776">
        <v>214</v>
      </c>
      <c r="AT124" s="776">
        <v>241</v>
      </c>
      <c r="AU124" s="776">
        <v>229</v>
      </c>
      <c r="AV124" s="776">
        <v>211</v>
      </c>
      <c r="AW124" s="776">
        <v>215</v>
      </c>
      <c r="AX124" s="776">
        <v>212</v>
      </c>
      <c r="AY124" s="776">
        <v>252</v>
      </c>
      <c r="AZ124" s="776">
        <v>215</v>
      </c>
      <c r="BA124" s="776">
        <v>202</v>
      </c>
      <c r="BB124" s="776">
        <v>222</v>
      </c>
      <c r="BC124" s="776">
        <v>239</v>
      </c>
      <c r="BD124" s="776">
        <v>210</v>
      </c>
      <c r="BE124" s="776">
        <v>225</v>
      </c>
      <c r="BF124" s="776">
        <v>210</v>
      </c>
      <c r="BG124" s="776">
        <v>217</v>
      </c>
      <c r="BH124" s="776">
        <v>216</v>
      </c>
      <c r="BI124" s="776">
        <v>215</v>
      </c>
      <c r="BJ124" s="776">
        <v>212</v>
      </c>
      <c r="BK124" s="776">
        <v>194</v>
      </c>
      <c r="BL124" s="776">
        <v>204</v>
      </c>
      <c r="BM124" s="776">
        <v>198</v>
      </c>
      <c r="BN124" s="776">
        <v>204</v>
      </c>
      <c r="BO124" s="776">
        <v>220</v>
      </c>
      <c r="BP124" s="776">
        <v>195</v>
      </c>
      <c r="BQ124" s="776">
        <v>209</v>
      </c>
      <c r="BR124" s="776">
        <v>209</v>
      </c>
      <c r="BS124" s="776">
        <v>213</v>
      </c>
      <c r="BT124" s="776">
        <v>211</v>
      </c>
      <c r="BU124" s="776">
        <v>211</v>
      </c>
      <c r="BV124" s="776">
        <v>200</v>
      </c>
      <c r="BW124" s="776">
        <v>206</v>
      </c>
      <c r="BX124" s="776">
        <v>190</v>
      </c>
      <c r="BY124" s="776">
        <v>194</v>
      </c>
      <c r="BZ124" s="776">
        <v>207</v>
      </c>
      <c r="CA124" s="776">
        <v>169</v>
      </c>
      <c r="CB124" s="776">
        <v>193</v>
      </c>
      <c r="CC124" s="776">
        <v>187</v>
      </c>
      <c r="CD124" s="776">
        <v>195</v>
      </c>
      <c r="CE124" s="776">
        <v>213</v>
      </c>
      <c r="CF124" s="776">
        <v>201</v>
      </c>
      <c r="CG124" s="776">
        <v>219</v>
      </c>
      <c r="CH124" s="776">
        <v>211</v>
      </c>
      <c r="CI124" s="776">
        <v>211</v>
      </c>
      <c r="CJ124" s="776">
        <v>192</v>
      </c>
      <c r="CK124" s="776">
        <v>195</v>
      </c>
      <c r="CL124" s="776">
        <v>192</v>
      </c>
      <c r="CM124" s="776">
        <v>181</v>
      </c>
      <c r="CN124" s="776">
        <v>185</v>
      </c>
      <c r="CO124" s="776">
        <v>174</v>
      </c>
      <c r="CP124" s="776">
        <v>204</v>
      </c>
      <c r="CQ124" s="776">
        <v>211</v>
      </c>
      <c r="CR124" s="776">
        <v>208</v>
      </c>
      <c r="CS124" s="776">
        <v>211</v>
      </c>
      <c r="CT124" s="776">
        <v>197</v>
      </c>
      <c r="CU124" s="776">
        <v>168</v>
      </c>
      <c r="CV124" s="776">
        <v>176</v>
      </c>
      <c r="CW124" s="776">
        <v>176</v>
      </c>
      <c r="CX124" s="776">
        <v>197</v>
      </c>
      <c r="CY124" s="776">
        <v>206</v>
      </c>
      <c r="CZ124" s="776">
        <v>174</v>
      </c>
      <c r="DA124" s="776">
        <v>185</v>
      </c>
      <c r="DB124" s="776">
        <v>202</v>
      </c>
      <c r="DC124" s="776">
        <v>211</v>
      </c>
      <c r="DD124" s="776">
        <v>213</v>
      </c>
      <c r="DE124" s="776">
        <v>211</v>
      </c>
      <c r="DF124" s="776">
        <v>215</v>
      </c>
      <c r="DG124" s="776">
        <v>225</v>
      </c>
      <c r="DH124" s="776">
        <v>220</v>
      </c>
      <c r="DI124" s="776">
        <v>226</v>
      </c>
      <c r="DJ124" s="776">
        <v>227</v>
      </c>
      <c r="DK124" s="776">
        <v>219</v>
      </c>
      <c r="DL124" s="776">
        <v>211</v>
      </c>
      <c r="DM124" s="776">
        <v>227</v>
      </c>
      <c r="DN124" s="776">
        <v>233</v>
      </c>
      <c r="DO124" s="776">
        <v>204</v>
      </c>
      <c r="DP124" s="776">
        <v>211</v>
      </c>
    </row>
    <row r="125" spans="1:120" x14ac:dyDescent="0.2">
      <c r="A125" s="637" t="s">
        <v>2161</v>
      </c>
      <c r="B125" s="772" t="str" cm="1">
        <f t="array" ref="B125">IFERROR(INDEX(Kulturen[HF],_xlfn.AGGREGATE(15,6,(ROW(Kulturen[Auswahl])-7)/(--(SEARCH("x",Kulturen[Auswahl])&gt;0)),ROW()-7),1),"")</f>
        <v>Topinambur</v>
      </c>
      <c r="C125" s="772" t="str">
        <f>IF(Kulturen[[#This Row],[HF]]=$D$373,IF($C$6=0,0,"x"),IF($C$6=0,"x",Vorauswahl!C124))</f>
        <v>x</v>
      </c>
      <c r="D125" s="77" t="s">
        <v>1912</v>
      </c>
      <c r="E125" s="77" t="s">
        <v>1912</v>
      </c>
      <c r="F125" s="540" t="s">
        <v>1859</v>
      </c>
      <c r="G125" s="540">
        <v>9</v>
      </c>
      <c r="H125" s="540">
        <v>8</v>
      </c>
      <c r="I125" s="540">
        <v>0</v>
      </c>
      <c r="J125" s="540">
        <v>90</v>
      </c>
      <c r="K125" s="540">
        <v>0</v>
      </c>
      <c r="L125" s="540">
        <v>0</v>
      </c>
      <c r="M125" s="540">
        <v>0</v>
      </c>
      <c r="N125" s="540">
        <v>0</v>
      </c>
      <c r="O125" s="540">
        <v>0</v>
      </c>
      <c r="P125" s="540">
        <v>0</v>
      </c>
      <c r="Q125" s="540">
        <v>0</v>
      </c>
      <c r="R125" s="540">
        <v>1</v>
      </c>
      <c r="S125" s="540">
        <v>0</v>
      </c>
      <c r="T125" s="540">
        <v>0</v>
      </c>
      <c r="U125" s="540">
        <v>0</v>
      </c>
      <c r="V125" s="540">
        <v>0</v>
      </c>
      <c r="W125" s="776">
        <f>IF(Kulturen[[#This Row],[Berechnungsschema]]=13,3,IF(Kulturen[[#This Row],[Berechnungsschema]]=6,2,1))</f>
        <v>1</v>
      </c>
      <c r="X125" s="776">
        <f>IF(Kulturen[[#This Row],[fruchtartengruppe]]=13,Kulturen[[#This Row],[NBedarfswert]],MAX(0,Kulturen[[#This Row],[NBedarfswert]]-Kulturen[[#This Row],[Ertrag]]*Kulturen[[#This Row],[Nfix]]))</f>
        <v>0</v>
      </c>
      <c r="Y125" s="776" t="s">
        <v>2127</v>
      </c>
      <c r="Z125" s="776" t="s">
        <v>2127</v>
      </c>
      <c r="AA125" s="776" t="s">
        <v>2127</v>
      </c>
      <c r="AB125" s="776" t="s">
        <v>2127</v>
      </c>
      <c r="AC125" s="776" t="s">
        <v>2127</v>
      </c>
      <c r="AD125" s="776" t="s">
        <v>2127</v>
      </c>
      <c r="AE125" s="776" t="s">
        <v>2127</v>
      </c>
      <c r="AF125" s="776" t="s">
        <v>2127</v>
      </c>
      <c r="AG125" s="776" t="s">
        <v>2127</v>
      </c>
      <c r="AH125" s="776" t="s">
        <v>2127</v>
      </c>
      <c r="AI125" s="776" t="s">
        <v>2127</v>
      </c>
      <c r="AJ125" s="776" t="s">
        <v>2127</v>
      </c>
      <c r="AK125" s="776" t="s">
        <v>2127</v>
      </c>
      <c r="AL125" s="776" t="s">
        <v>2127</v>
      </c>
      <c r="AM125" s="776" t="s">
        <v>2127</v>
      </c>
      <c r="AN125" s="776" t="s">
        <v>2127</v>
      </c>
      <c r="AO125" s="776" t="s">
        <v>2127</v>
      </c>
      <c r="AP125" s="776" t="s">
        <v>2127</v>
      </c>
      <c r="AQ125" s="776" t="s">
        <v>2127</v>
      </c>
      <c r="AR125" s="776" t="s">
        <v>2127</v>
      </c>
      <c r="AS125" s="776" t="s">
        <v>2127</v>
      </c>
      <c r="AT125" s="776" t="s">
        <v>2127</v>
      </c>
      <c r="AU125" s="776" t="s">
        <v>2127</v>
      </c>
      <c r="AV125" s="776" t="s">
        <v>2127</v>
      </c>
      <c r="AW125" s="776" t="s">
        <v>2127</v>
      </c>
      <c r="AX125" s="776" t="s">
        <v>2127</v>
      </c>
      <c r="AY125" s="776" t="s">
        <v>2127</v>
      </c>
      <c r="AZ125" s="776" t="s">
        <v>2127</v>
      </c>
      <c r="BA125" s="776" t="s">
        <v>2127</v>
      </c>
      <c r="BB125" s="776" t="s">
        <v>2127</v>
      </c>
      <c r="BC125" s="776" t="s">
        <v>2127</v>
      </c>
      <c r="BD125" s="776" t="s">
        <v>2127</v>
      </c>
      <c r="BE125" s="776" t="s">
        <v>2127</v>
      </c>
      <c r="BF125" s="776" t="s">
        <v>2127</v>
      </c>
      <c r="BG125" s="776" t="s">
        <v>2127</v>
      </c>
      <c r="BH125" s="776" t="s">
        <v>2127</v>
      </c>
      <c r="BI125" s="776" t="s">
        <v>2127</v>
      </c>
      <c r="BJ125" s="776" t="s">
        <v>2127</v>
      </c>
      <c r="BK125" s="776" t="s">
        <v>2127</v>
      </c>
      <c r="BL125" s="776" t="s">
        <v>2127</v>
      </c>
      <c r="BM125" s="776" t="s">
        <v>2127</v>
      </c>
      <c r="BN125" s="776" t="s">
        <v>2127</v>
      </c>
      <c r="BO125" s="776" t="s">
        <v>2127</v>
      </c>
      <c r="BP125" s="776" t="s">
        <v>2127</v>
      </c>
      <c r="BQ125" s="776" t="s">
        <v>2127</v>
      </c>
      <c r="BR125" s="776" t="s">
        <v>2127</v>
      </c>
      <c r="BS125" s="776" t="s">
        <v>2127</v>
      </c>
      <c r="BT125" s="776" t="s">
        <v>2127</v>
      </c>
      <c r="BU125" s="776" t="s">
        <v>2127</v>
      </c>
      <c r="BV125" s="776" t="s">
        <v>2127</v>
      </c>
      <c r="BW125" s="776" t="s">
        <v>2127</v>
      </c>
      <c r="BX125" s="776" t="s">
        <v>2127</v>
      </c>
      <c r="BY125" s="776" t="s">
        <v>2127</v>
      </c>
      <c r="BZ125" s="776" t="s">
        <v>2127</v>
      </c>
      <c r="CA125" s="776" t="s">
        <v>2127</v>
      </c>
      <c r="CB125" s="776" t="s">
        <v>2127</v>
      </c>
      <c r="CC125" s="776" t="s">
        <v>2127</v>
      </c>
      <c r="CD125" s="776" t="s">
        <v>2127</v>
      </c>
      <c r="CE125" s="776" t="s">
        <v>2127</v>
      </c>
      <c r="CF125" s="776" t="s">
        <v>2127</v>
      </c>
      <c r="CG125" s="776" t="s">
        <v>2127</v>
      </c>
      <c r="CH125" s="776" t="s">
        <v>2127</v>
      </c>
      <c r="CI125" s="776" t="s">
        <v>2127</v>
      </c>
      <c r="CJ125" s="776" t="s">
        <v>2127</v>
      </c>
      <c r="CK125" s="776" t="s">
        <v>2127</v>
      </c>
      <c r="CL125" s="776" t="s">
        <v>2127</v>
      </c>
      <c r="CM125" s="776" t="s">
        <v>2127</v>
      </c>
      <c r="CN125" s="776" t="s">
        <v>2127</v>
      </c>
      <c r="CO125" s="776" t="s">
        <v>2127</v>
      </c>
      <c r="CP125" s="776" t="s">
        <v>2127</v>
      </c>
      <c r="CQ125" s="776" t="s">
        <v>2127</v>
      </c>
      <c r="CR125" s="776" t="s">
        <v>2127</v>
      </c>
      <c r="CS125" s="776" t="s">
        <v>2127</v>
      </c>
      <c r="CT125" s="776" t="s">
        <v>2127</v>
      </c>
      <c r="CU125" s="776" t="s">
        <v>2127</v>
      </c>
      <c r="CV125" s="776" t="s">
        <v>2127</v>
      </c>
      <c r="CW125" s="776" t="s">
        <v>2127</v>
      </c>
      <c r="CX125" s="776" t="s">
        <v>2127</v>
      </c>
      <c r="CY125" s="776" t="s">
        <v>2127</v>
      </c>
      <c r="CZ125" s="776" t="s">
        <v>2127</v>
      </c>
      <c r="DA125" s="776" t="s">
        <v>2127</v>
      </c>
      <c r="DB125" s="776" t="s">
        <v>2127</v>
      </c>
      <c r="DC125" s="776" t="s">
        <v>2127</v>
      </c>
      <c r="DD125" s="776" t="s">
        <v>2127</v>
      </c>
      <c r="DE125" s="776" t="s">
        <v>2127</v>
      </c>
      <c r="DF125" s="776" t="s">
        <v>2127</v>
      </c>
      <c r="DG125" s="776" t="s">
        <v>2127</v>
      </c>
      <c r="DH125" s="776" t="s">
        <v>2127</v>
      </c>
      <c r="DI125" s="776" t="s">
        <v>2127</v>
      </c>
      <c r="DJ125" s="776" t="s">
        <v>2127</v>
      </c>
      <c r="DK125" s="776" t="s">
        <v>2127</v>
      </c>
      <c r="DL125" s="776" t="s">
        <v>2127</v>
      </c>
      <c r="DM125" s="776" t="s">
        <v>2127</v>
      </c>
      <c r="DN125" s="776" t="s">
        <v>2127</v>
      </c>
      <c r="DO125" s="776" t="s">
        <v>2127</v>
      </c>
      <c r="DP125" s="776" t="s">
        <v>2127</v>
      </c>
    </row>
    <row r="126" spans="1:120" x14ac:dyDescent="0.2">
      <c r="A126" s="637" t="s">
        <v>2162</v>
      </c>
      <c r="B126" s="772" t="str" cm="1">
        <f t="array" ref="B126">IFERROR(INDEX(Kulturen[HF],_xlfn.AGGREGATE(15,6,(ROW(Kulturen[Auswahl])-7)/(--(SEARCH("x",Kulturen[Auswahl])&gt;0)),ROW()-7),1),"")</f>
        <v>Tabak (Burley dachtrocken)</v>
      </c>
      <c r="C126" s="772" t="str">
        <f>IF(Kulturen[[#This Row],[HF]]=$D$373,IF($C$6=0,0,"x"),IF($C$6=0,"x",Vorauswahl!C125))</f>
        <v>x</v>
      </c>
      <c r="D126" s="77" t="s">
        <v>46</v>
      </c>
      <c r="E126" s="77" t="s">
        <v>46</v>
      </c>
      <c r="F126" s="540" t="s">
        <v>600</v>
      </c>
      <c r="G126" s="540">
        <v>9</v>
      </c>
      <c r="H126" s="540">
        <v>3</v>
      </c>
      <c r="I126" s="540">
        <v>1</v>
      </c>
      <c r="J126" s="540">
        <v>90</v>
      </c>
      <c r="K126" s="540">
        <v>0.7</v>
      </c>
      <c r="L126" s="540">
        <v>3.5</v>
      </c>
      <c r="M126" s="540">
        <v>20</v>
      </c>
      <c r="N126" s="540">
        <v>0</v>
      </c>
      <c r="O126" s="540">
        <v>1</v>
      </c>
      <c r="P126" s="540">
        <v>0</v>
      </c>
      <c r="Q126" s="540">
        <v>170</v>
      </c>
      <c r="R126" s="540">
        <v>5</v>
      </c>
      <c r="S126" s="540">
        <v>10</v>
      </c>
      <c r="T126" s="540">
        <v>15</v>
      </c>
      <c r="U126" s="540">
        <v>10</v>
      </c>
      <c r="V126" s="540">
        <v>1</v>
      </c>
      <c r="W126" s="776">
        <f>IF(Kulturen[[#This Row],[Berechnungsschema]]=13,3,IF(Kulturen[[#This Row],[Berechnungsschema]]=6,2,1))</f>
        <v>1</v>
      </c>
      <c r="X126" s="776">
        <f>IF(Kulturen[[#This Row],[fruchtartengruppe]]=13,Kulturen[[#This Row],[NBedarfswert]],MAX(0,Kulturen[[#This Row],[NBedarfswert]]-Kulturen[[#This Row],[Ertrag]]*Kulturen[[#This Row],[Nfix]]))</f>
        <v>170</v>
      </c>
      <c r="Y126" s="776" t="s">
        <v>2127</v>
      </c>
      <c r="Z126" s="776" t="s">
        <v>2127</v>
      </c>
      <c r="AA126" s="776" t="s">
        <v>2127</v>
      </c>
      <c r="AB126" s="776" t="s">
        <v>2127</v>
      </c>
      <c r="AC126" s="776" t="s">
        <v>2127</v>
      </c>
      <c r="AD126" s="776" t="s">
        <v>2127</v>
      </c>
      <c r="AE126" s="776" t="s">
        <v>2127</v>
      </c>
      <c r="AF126" s="776" t="s">
        <v>2127</v>
      </c>
      <c r="AG126" s="776" t="s">
        <v>2127</v>
      </c>
      <c r="AH126" s="776" t="s">
        <v>2127</v>
      </c>
      <c r="AI126" s="776" t="s">
        <v>2127</v>
      </c>
      <c r="AJ126" s="776" t="s">
        <v>2127</v>
      </c>
      <c r="AK126" s="776" t="s">
        <v>2127</v>
      </c>
      <c r="AL126" s="776" t="s">
        <v>2127</v>
      </c>
      <c r="AM126" s="776" t="s">
        <v>2127</v>
      </c>
      <c r="AN126" s="776" t="s">
        <v>2127</v>
      </c>
      <c r="AO126" s="776" t="s">
        <v>2127</v>
      </c>
      <c r="AP126" s="776" t="s">
        <v>2127</v>
      </c>
      <c r="AQ126" s="776" t="s">
        <v>2127</v>
      </c>
      <c r="AR126" s="776" t="s">
        <v>2127</v>
      </c>
      <c r="AS126" s="776" t="s">
        <v>2127</v>
      </c>
      <c r="AT126" s="776" t="s">
        <v>2127</v>
      </c>
      <c r="AU126" s="776" t="s">
        <v>2127</v>
      </c>
      <c r="AV126" s="776" t="s">
        <v>2127</v>
      </c>
      <c r="AW126" s="776" t="s">
        <v>2127</v>
      </c>
      <c r="AX126" s="776" t="s">
        <v>2127</v>
      </c>
      <c r="AY126" s="776" t="s">
        <v>2127</v>
      </c>
      <c r="AZ126" s="776" t="s">
        <v>2127</v>
      </c>
      <c r="BA126" s="776" t="s">
        <v>2127</v>
      </c>
      <c r="BB126" s="776" t="s">
        <v>2127</v>
      </c>
      <c r="BC126" s="776" t="s">
        <v>2127</v>
      </c>
      <c r="BD126" s="776" t="s">
        <v>2127</v>
      </c>
      <c r="BE126" s="776" t="s">
        <v>2127</v>
      </c>
      <c r="BF126" s="776" t="s">
        <v>2127</v>
      </c>
      <c r="BG126" s="776" t="s">
        <v>2127</v>
      </c>
      <c r="BH126" s="776" t="s">
        <v>2127</v>
      </c>
      <c r="BI126" s="776" t="s">
        <v>2127</v>
      </c>
      <c r="BJ126" s="776" t="s">
        <v>2127</v>
      </c>
      <c r="BK126" s="776" t="s">
        <v>2127</v>
      </c>
      <c r="BL126" s="776" t="s">
        <v>2127</v>
      </c>
      <c r="BM126" s="776" t="s">
        <v>2127</v>
      </c>
      <c r="BN126" s="776" t="s">
        <v>2127</v>
      </c>
      <c r="BO126" s="776" t="s">
        <v>2127</v>
      </c>
      <c r="BP126" s="776" t="s">
        <v>2127</v>
      </c>
      <c r="BQ126" s="776" t="s">
        <v>2127</v>
      </c>
      <c r="BR126" s="776" t="s">
        <v>2127</v>
      </c>
      <c r="BS126" s="776" t="s">
        <v>2127</v>
      </c>
      <c r="BT126" s="776" t="s">
        <v>2127</v>
      </c>
      <c r="BU126" s="776" t="s">
        <v>2127</v>
      </c>
      <c r="BV126" s="776" t="s">
        <v>2127</v>
      </c>
      <c r="BW126" s="776" t="s">
        <v>2127</v>
      </c>
      <c r="BX126" s="776" t="s">
        <v>2127</v>
      </c>
      <c r="BY126" s="776" t="s">
        <v>2127</v>
      </c>
      <c r="BZ126" s="776" t="s">
        <v>2127</v>
      </c>
      <c r="CA126" s="776" t="s">
        <v>2127</v>
      </c>
      <c r="CB126" s="776" t="s">
        <v>2127</v>
      </c>
      <c r="CC126" s="776" t="s">
        <v>2127</v>
      </c>
      <c r="CD126" s="776" t="s">
        <v>2127</v>
      </c>
      <c r="CE126" s="776" t="s">
        <v>2127</v>
      </c>
      <c r="CF126" s="776" t="s">
        <v>2127</v>
      </c>
      <c r="CG126" s="776" t="s">
        <v>2127</v>
      </c>
      <c r="CH126" s="776" t="s">
        <v>2127</v>
      </c>
      <c r="CI126" s="776" t="s">
        <v>2127</v>
      </c>
      <c r="CJ126" s="776" t="s">
        <v>2127</v>
      </c>
      <c r="CK126" s="776" t="s">
        <v>2127</v>
      </c>
      <c r="CL126" s="776" t="s">
        <v>2127</v>
      </c>
      <c r="CM126" s="776" t="s">
        <v>2127</v>
      </c>
      <c r="CN126" s="776" t="s">
        <v>2127</v>
      </c>
      <c r="CO126" s="776" t="s">
        <v>2127</v>
      </c>
      <c r="CP126" s="776" t="s">
        <v>2127</v>
      </c>
      <c r="CQ126" s="776" t="s">
        <v>2127</v>
      </c>
      <c r="CR126" s="776" t="s">
        <v>2127</v>
      </c>
      <c r="CS126" s="776" t="s">
        <v>2127</v>
      </c>
      <c r="CT126" s="776" t="s">
        <v>2127</v>
      </c>
      <c r="CU126" s="776" t="s">
        <v>2127</v>
      </c>
      <c r="CV126" s="776" t="s">
        <v>2127</v>
      </c>
      <c r="CW126" s="776" t="s">
        <v>2127</v>
      </c>
      <c r="CX126" s="776" t="s">
        <v>2127</v>
      </c>
      <c r="CY126" s="776" t="s">
        <v>2127</v>
      </c>
      <c r="CZ126" s="776" t="s">
        <v>2127</v>
      </c>
      <c r="DA126" s="776" t="s">
        <v>2127</v>
      </c>
      <c r="DB126" s="776" t="s">
        <v>2127</v>
      </c>
      <c r="DC126" s="776" t="s">
        <v>2127</v>
      </c>
      <c r="DD126" s="776" t="s">
        <v>2127</v>
      </c>
      <c r="DE126" s="776" t="s">
        <v>2127</v>
      </c>
      <c r="DF126" s="776" t="s">
        <v>2127</v>
      </c>
      <c r="DG126" s="776" t="s">
        <v>2127</v>
      </c>
      <c r="DH126" s="776" t="s">
        <v>2127</v>
      </c>
      <c r="DI126" s="776" t="s">
        <v>2127</v>
      </c>
      <c r="DJ126" s="776" t="s">
        <v>2127</v>
      </c>
      <c r="DK126" s="776" t="s">
        <v>2127</v>
      </c>
      <c r="DL126" s="776" t="s">
        <v>2127</v>
      </c>
      <c r="DM126" s="776" t="s">
        <v>2127</v>
      </c>
      <c r="DN126" s="776" t="s">
        <v>2127</v>
      </c>
      <c r="DO126" s="776" t="s">
        <v>2127</v>
      </c>
      <c r="DP126" s="776" t="s">
        <v>2127</v>
      </c>
    </row>
    <row r="127" spans="1:120" x14ac:dyDescent="0.2">
      <c r="A127" s="637" t="s">
        <v>2163</v>
      </c>
      <c r="B127" s="772" t="str" cm="1">
        <f t="array" ref="B127">IFERROR(INDEX(Kulturen[HF],_xlfn.AGGREGATE(15,6,(ROW(Kulturen[Auswahl])-7)/(--(SEARCH("x",Kulturen[Auswahl])&gt;0)),ROW()-7),1),"")</f>
        <v>Erdbeeren, Frühjahr</v>
      </c>
      <c r="C127" s="772" t="str">
        <f>IF(Kulturen[[#This Row],[HF]]=$D$373,IF($C$6=0,0,"x"),IF($C$6=0,"x",Vorauswahl!C126))</f>
        <v>x</v>
      </c>
      <c r="D127" s="77" t="s">
        <v>47</v>
      </c>
      <c r="E127" s="77" t="s">
        <v>47</v>
      </c>
      <c r="F127" s="540" t="s">
        <v>601</v>
      </c>
      <c r="G127" s="540">
        <v>9</v>
      </c>
      <c r="H127" s="540">
        <v>8</v>
      </c>
      <c r="I127" s="540">
        <v>1</v>
      </c>
      <c r="J127" s="540">
        <v>90</v>
      </c>
      <c r="K127" s="540">
        <v>1.46</v>
      </c>
      <c r="L127" s="540">
        <v>3.86</v>
      </c>
      <c r="M127" s="540">
        <v>5</v>
      </c>
      <c r="N127" s="540">
        <v>10</v>
      </c>
      <c r="O127" s="540">
        <v>1</v>
      </c>
      <c r="P127" s="540">
        <v>0</v>
      </c>
      <c r="Q127" s="540">
        <v>0</v>
      </c>
      <c r="R127" s="540">
        <v>10</v>
      </c>
      <c r="S127" s="540">
        <v>0</v>
      </c>
      <c r="T127" s="540">
        <v>0</v>
      </c>
      <c r="U127" s="540">
        <v>20</v>
      </c>
      <c r="V127" s="540">
        <v>3</v>
      </c>
      <c r="W127" s="776">
        <f>IF(Kulturen[[#This Row],[Berechnungsschema]]=13,3,IF(Kulturen[[#This Row],[Berechnungsschema]]=6,2,1))</f>
        <v>1</v>
      </c>
      <c r="X127" s="776">
        <f>IF(Kulturen[[#This Row],[fruchtartengruppe]]=13,Kulturen[[#This Row],[NBedarfswert]],MAX(0,Kulturen[[#This Row],[NBedarfswert]]-Kulturen[[#This Row],[Ertrag]]*Kulturen[[#This Row],[Nfix]]))</f>
        <v>0</v>
      </c>
      <c r="Y127" s="776" t="s">
        <v>2127</v>
      </c>
      <c r="Z127" s="776" t="s">
        <v>2127</v>
      </c>
      <c r="AA127" s="776" t="s">
        <v>2127</v>
      </c>
      <c r="AB127" s="776" t="s">
        <v>2127</v>
      </c>
      <c r="AC127" s="776" t="s">
        <v>2127</v>
      </c>
      <c r="AD127" s="776" t="s">
        <v>2127</v>
      </c>
      <c r="AE127" s="776" t="s">
        <v>2127</v>
      </c>
      <c r="AF127" s="776" t="s">
        <v>2127</v>
      </c>
      <c r="AG127" s="776" t="s">
        <v>2127</v>
      </c>
      <c r="AH127" s="776" t="s">
        <v>2127</v>
      </c>
      <c r="AI127" s="776" t="s">
        <v>2127</v>
      </c>
      <c r="AJ127" s="776" t="s">
        <v>2127</v>
      </c>
      <c r="AK127" s="776" t="s">
        <v>2127</v>
      </c>
      <c r="AL127" s="776" t="s">
        <v>2127</v>
      </c>
      <c r="AM127" s="776" t="s">
        <v>2127</v>
      </c>
      <c r="AN127" s="776" t="s">
        <v>2127</v>
      </c>
      <c r="AO127" s="776" t="s">
        <v>2127</v>
      </c>
      <c r="AP127" s="776" t="s">
        <v>2127</v>
      </c>
      <c r="AQ127" s="776" t="s">
        <v>2127</v>
      </c>
      <c r="AR127" s="776" t="s">
        <v>2127</v>
      </c>
      <c r="AS127" s="776" t="s">
        <v>2127</v>
      </c>
      <c r="AT127" s="776" t="s">
        <v>2127</v>
      </c>
      <c r="AU127" s="776" t="s">
        <v>2127</v>
      </c>
      <c r="AV127" s="776" t="s">
        <v>2127</v>
      </c>
      <c r="AW127" s="776" t="s">
        <v>2127</v>
      </c>
      <c r="AX127" s="776" t="s">
        <v>2127</v>
      </c>
      <c r="AY127" s="776" t="s">
        <v>2127</v>
      </c>
      <c r="AZ127" s="776" t="s">
        <v>2127</v>
      </c>
      <c r="BA127" s="776" t="s">
        <v>2127</v>
      </c>
      <c r="BB127" s="776" t="s">
        <v>2127</v>
      </c>
      <c r="BC127" s="776" t="s">
        <v>2127</v>
      </c>
      <c r="BD127" s="776" t="s">
        <v>2127</v>
      </c>
      <c r="BE127" s="776" t="s">
        <v>2127</v>
      </c>
      <c r="BF127" s="776" t="s">
        <v>2127</v>
      </c>
      <c r="BG127" s="776" t="s">
        <v>2127</v>
      </c>
      <c r="BH127" s="776" t="s">
        <v>2127</v>
      </c>
      <c r="BI127" s="776" t="s">
        <v>2127</v>
      </c>
      <c r="BJ127" s="776" t="s">
        <v>2127</v>
      </c>
      <c r="BK127" s="776" t="s">
        <v>2127</v>
      </c>
      <c r="BL127" s="776" t="s">
        <v>2127</v>
      </c>
      <c r="BM127" s="776" t="s">
        <v>2127</v>
      </c>
      <c r="BN127" s="776" t="s">
        <v>2127</v>
      </c>
      <c r="BO127" s="776" t="s">
        <v>2127</v>
      </c>
      <c r="BP127" s="776" t="s">
        <v>2127</v>
      </c>
      <c r="BQ127" s="776" t="s">
        <v>2127</v>
      </c>
      <c r="BR127" s="776" t="s">
        <v>2127</v>
      </c>
      <c r="BS127" s="776" t="s">
        <v>2127</v>
      </c>
      <c r="BT127" s="776" t="s">
        <v>2127</v>
      </c>
      <c r="BU127" s="776" t="s">
        <v>2127</v>
      </c>
      <c r="BV127" s="776" t="s">
        <v>2127</v>
      </c>
      <c r="BW127" s="776" t="s">
        <v>2127</v>
      </c>
      <c r="BX127" s="776" t="s">
        <v>2127</v>
      </c>
      <c r="BY127" s="776" t="s">
        <v>2127</v>
      </c>
      <c r="BZ127" s="776" t="s">
        <v>2127</v>
      </c>
      <c r="CA127" s="776" t="s">
        <v>2127</v>
      </c>
      <c r="CB127" s="776" t="s">
        <v>2127</v>
      </c>
      <c r="CC127" s="776" t="s">
        <v>2127</v>
      </c>
      <c r="CD127" s="776" t="s">
        <v>2127</v>
      </c>
      <c r="CE127" s="776" t="s">
        <v>2127</v>
      </c>
      <c r="CF127" s="776" t="s">
        <v>2127</v>
      </c>
      <c r="CG127" s="776" t="s">
        <v>2127</v>
      </c>
      <c r="CH127" s="776" t="s">
        <v>2127</v>
      </c>
      <c r="CI127" s="776" t="s">
        <v>2127</v>
      </c>
      <c r="CJ127" s="776" t="s">
        <v>2127</v>
      </c>
      <c r="CK127" s="776" t="s">
        <v>2127</v>
      </c>
      <c r="CL127" s="776" t="s">
        <v>2127</v>
      </c>
      <c r="CM127" s="776" t="s">
        <v>2127</v>
      </c>
      <c r="CN127" s="776" t="s">
        <v>2127</v>
      </c>
      <c r="CO127" s="776" t="s">
        <v>2127</v>
      </c>
      <c r="CP127" s="776" t="s">
        <v>2127</v>
      </c>
      <c r="CQ127" s="776" t="s">
        <v>2127</v>
      </c>
      <c r="CR127" s="776" t="s">
        <v>2127</v>
      </c>
      <c r="CS127" s="776" t="s">
        <v>2127</v>
      </c>
      <c r="CT127" s="776" t="s">
        <v>2127</v>
      </c>
      <c r="CU127" s="776" t="s">
        <v>2127</v>
      </c>
      <c r="CV127" s="776" t="s">
        <v>2127</v>
      </c>
      <c r="CW127" s="776" t="s">
        <v>2127</v>
      </c>
      <c r="CX127" s="776" t="s">
        <v>2127</v>
      </c>
      <c r="CY127" s="776" t="s">
        <v>2127</v>
      </c>
      <c r="CZ127" s="776" t="s">
        <v>2127</v>
      </c>
      <c r="DA127" s="776" t="s">
        <v>2127</v>
      </c>
      <c r="DB127" s="776" t="s">
        <v>2127</v>
      </c>
      <c r="DC127" s="776" t="s">
        <v>2127</v>
      </c>
      <c r="DD127" s="776" t="s">
        <v>2127</v>
      </c>
      <c r="DE127" s="776" t="s">
        <v>2127</v>
      </c>
      <c r="DF127" s="776" t="s">
        <v>2127</v>
      </c>
      <c r="DG127" s="776" t="s">
        <v>2127</v>
      </c>
      <c r="DH127" s="776" t="s">
        <v>2127</v>
      </c>
      <c r="DI127" s="776" t="s">
        <v>2127</v>
      </c>
      <c r="DJ127" s="776" t="s">
        <v>2127</v>
      </c>
      <c r="DK127" s="776" t="s">
        <v>2127</v>
      </c>
      <c r="DL127" s="776" t="s">
        <v>2127</v>
      </c>
      <c r="DM127" s="776" t="s">
        <v>2127</v>
      </c>
      <c r="DN127" s="776" t="s">
        <v>2127</v>
      </c>
      <c r="DO127" s="776" t="s">
        <v>2127</v>
      </c>
      <c r="DP127" s="776" t="s">
        <v>2127</v>
      </c>
    </row>
    <row r="128" spans="1:120" x14ac:dyDescent="0.2">
      <c r="A128" s="637" t="s">
        <v>2164</v>
      </c>
      <c r="B128" s="772" t="str" cm="1">
        <f t="array" ref="B128">IFERROR(INDEX(Kulturen[HF],_xlfn.AGGREGATE(15,6,(ROW(Kulturen[Auswahl])-7)/(--(SEARCH("x",Kulturen[Auswahl])&gt;0)),ROW()-7),1),"")</f>
        <v>+++sonstiges+++</v>
      </c>
      <c r="C128" s="772" t="str">
        <f>IF(Kulturen[[#This Row],[HF]]=$D$373,IF($C$6=0,0,"x"),IF($C$6=0,"x",Vorauswahl!C127))</f>
        <v>x</v>
      </c>
      <c r="D128" s="77" t="s">
        <v>48</v>
      </c>
      <c r="E128" s="77" t="s">
        <v>2398</v>
      </c>
      <c r="F128" s="540" t="s">
        <v>602</v>
      </c>
      <c r="G128" s="540">
        <v>9</v>
      </c>
      <c r="H128" s="540">
        <v>8</v>
      </c>
      <c r="I128" s="540">
        <v>1</v>
      </c>
      <c r="J128" s="540">
        <v>90</v>
      </c>
      <c r="K128" s="540">
        <v>1.46</v>
      </c>
      <c r="L128" s="540">
        <v>3.86</v>
      </c>
      <c r="M128" s="540">
        <v>5</v>
      </c>
      <c r="N128" s="540">
        <v>10</v>
      </c>
      <c r="O128" s="540">
        <v>1</v>
      </c>
      <c r="P128" s="540">
        <v>0</v>
      </c>
      <c r="Q128" s="540">
        <v>0</v>
      </c>
      <c r="R128" s="540">
        <v>10</v>
      </c>
      <c r="S128" s="540">
        <v>0</v>
      </c>
      <c r="T128" s="540">
        <v>0</v>
      </c>
      <c r="U128" s="540">
        <v>20</v>
      </c>
      <c r="V128" s="540">
        <v>3</v>
      </c>
      <c r="W128" s="776">
        <f>IF(Kulturen[[#This Row],[Berechnungsschema]]=13,3,IF(Kulturen[[#This Row],[Berechnungsschema]]=6,2,1))</f>
        <v>1</v>
      </c>
      <c r="X128" s="776">
        <f>IF(Kulturen[[#This Row],[fruchtartengruppe]]=13,Kulturen[[#This Row],[NBedarfswert]],MAX(0,Kulturen[[#This Row],[NBedarfswert]]-Kulturen[[#This Row],[Ertrag]]*Kulturen[[#This Row],[Nfix]]))</f>
        <v>0</v>
      </c>
      <c r="Y128" s="776" t="s">
        <v>2127</v>
      </c>
      <c r="Z128" s="776" t="s">
        <v>2127</v>
      </c>
      <c r="AA128" s="776" t="s">
        <v>2127</v>
      </c>
      <c r="AB128" s="776" t="s">
        <v>2127</v>
      </c>
      <c r="AC128" s="776" t="s">
        <v>2127</v>
      </c>
      <c r="AD128" s="776" t="s">
        <v>2127</v>
      </c>
      <c r="AE128" s="776" t="s">
        <v>2127</v>
      </c>
      <c r="AF128" s="776" t="s">
        <v>2127</v>
      </c>
      <c r="AG128" s="776" t="s">
        <v>2127</v>
      </c>
      <c r="AH128" s="776" t="s">
        <v>2127</v>
      </c>
      <c r="AI128" s="776" t="s">
        <v>2127</v>
      </c>
      <c r="AJ128" s="776" t="s">
        <v>2127</v>
      </c>
      <c r="AK128" s="776" t="s">
        <v>2127</v>
      </c>
      <c r="AL128" s="776" t="s">
        <v>2127</v>
      </c>
      <c r="AM128" s="776" t="s">
        <v>2127</v>
      </c>
      <c r="AN128" s="776" t="s">
        <v>2127</v>
      </c>
      <c r="AO128" s="776" t="s">
        <v>2127</v>
      </c>
      <c r="AP128" s="776" t="s">
        <v>2127</v>
      </c>
      <c r="AQ128" s="776" t="s">
        <v>2127</v>
      </c>
      <c r="AR128" s="776" t="s">
        <v>2127</v>
      </c>
      <c r="AS128" s="776" t="s">
        <v>2127</v>
      </c>
      <c r="AT128" s="776" t="s">
        <v>2127</v>
      </c>
      <c r="AU128" s="776" t="s">
        <v>2127</v>
      </c>
      <c r="AV128" s="776" t="s">
        <v>2127</v>
      </c>
      <c r="AW128" s="776" t="s">
        <v>2127</v>
      </c>
      <c r="AX128" s="776" t="s">
        <v>2127</v>
      </c>
      <c r="AY128" s="776" t="s">
        <v>2127</v>
      </c>
      <c r="AZ128" s="776" t="s">
        <v>2127</v>
      </c>
      <c r="BA128" s="776" t="s">
        <v>2127</v>
      </c>
      <c r="BB128" s="776" t="s">
        <v>2127</v>
      </c>
      <c r="BC128" s="776" t="s">
        <v>2127</v>
      </c>
      <c r="BD128" s="776" t="s">
        <v>2127</v>
      </c>
      <c r="BE128" s="776" t="s">
        <v>2127</v>
      </c>
      <c r="BF128" s="776" t="s">
        <v>2127</v>
      </c>
      <c r="BG128" s="776" t="s">
        <v>2127</v>
      </c>
      <c r="BH128" s="776" t="s">
        <v>2127</v>
      </c>
      <c r="BI128" s="776" t="s">
        <v>2127</v>
      </c>
      <c r="BJ128" s="776" t="s">
        <v>2127</v>
      </c>
      <c r="BK128" s="776" t="s">
        <v>2127</v>
      </c>
      <c r="BL128" s="776" t="s">
        <v>2127</v>
      </c>
      <c r="BM128" s="776" t="s">
        <v>2127</v>
      </c>
      <c r="BN128" s="776" t="s">
        <v>2127</v>
      </c>
      <c r="BO128" s="776" t="s">
        <v>2127</v>
      </c>
      <c r="BP128" s="776" t="s">
        <v>2127</v>
      </c>
      <c r="BQ128" s="776" t="s">
        <v>2127</v>
      </c>
      <c r="BR128" s="776" t="s">
        <v>2127</v>
      </c>
      <c r="BS128" s="776" t="s">
        <v>2127</v>
      </c>
      <c r="BT128" s="776" t="s">
        <v>2127</v>
      </c>
      <c r="BU128" s="776" t="s">
        <v>2127</v>
      </c>
      <c r="BV128" s="776" t="s">
        <v>2127</v>
      </c>
      <c r="BW128" s="776" t="s">
        <v>2127</v>
      </c>
      <c r="BX128" s="776" t="s">
        <v>2127</v>
      </c>
      <c r="BY128" s="776" t="s">
        <v>2127</v>
      </c>
      <c r="BZ128" s="776" t="s">
        <v>2127</v>
      </c>
      <c r="CA128" s="776" t="s">
        <v>2127</v>
      </c>
      <c r="CB128" s="776" t="s">
        <v>2127</v>
      </c>
      <c r="CC128" s="776" t="s">
        <v>2127</v>
      </c>
      <c r="CD128" s="776" t="s">
        <v>2127</v>
      </c>
      <c r="CE128" s="776" t="s">
        <v>2127</v>
      </c>
      <c r="CF128" s="776" t="s">
        <v>2127</v>
      </c>
      <c r="CG128" s="776" t="s">
        <v>2127</v>
      </c>
      <c r="CH128" s="776" t="s">
        <v>2127</v>
      </c>
      <c r="CI128" s="776" t="s">
        <v>2127</v>
      </c>
      <c r="CJ128" s="776" t="s">
        <v>2127</v>
      </c>
      <c r="CK128" s="776" t="s">
        <v>2127</v>
      </c>
      <c r="CL128" s="776" t="s">
        <v>2127</v>
      </c>
      <c r="CM128" s="776" t="s">
        <v>2127</v>
      </c>
      <c r="CN128" s="776" t="s">
        <v>2127</v>
      </c>
      <c r="CO128" s="776" t="s">
        <v>2127</v>
      </c>
      <c r="CP128" s="776" t="s">
        <v>2127</v>
      </c>
      <c r="CQ128" s="776" t="s">
        <v>2127</v>
      </c>
      <c r="CR128" s="776" t="s">
        <v>2127</v>
      </c>
      <c r="CS128" s="776" t="s">
        <v>2127</v>
      </c>
      <c r="CT128" s="776" t="s">
        <v>2127</v>
      </c>
      <c r="CU128" s="776" t="s">
        <v>2127</v>
      </c>
      <c r="CV128" s="776" t="s">
        <v>2127</v>
      </c>
      <c r="CW128" s="776" t="s">
        <v>2127</v>
      </c>
      <c r="CX128" s="776" t="s">
        <v>2127</v>
      </c>
      <c r="CY128" s="776" t="s">
        <v>2127</v>
      </c>
      <c r="CZ128" s="776" t="s">
        <v>2127</v>
      </c>
      <c r="DA128" s="776" t="s">
        <v>2127</v>
      </c>
      <c r="DB128" s="776" t="s">
        <v>2127</v>
      </c>
      <c r="DC128" s="776" t="s">
        <v>2127</v>
      </c>
      <c r="DD128" s="776" t="s">
        <v>2127</v>
      </c>
      <c r="DE128" s="776" t="s">
        <v>2127</v>
      </c>
      <c r="DF128" s="776" t="s">
        <v>2127</v>
      </c>
      <c r="DG128" s="776" t="s">
        <v>2127</v>
      </c>
      <c r="DH128" s="776" t="s">
        <v>2127</v>
      </c>
      <c r="DI128" s="776" t="s">
        <v>2127</v>
      </c>
      <c r="DJ128" s="776" t="s">
        <v>2127</v>
      </c>
      <c r="DK128" s="776" t="s">
        <v>2127</v>
      </c>
      <c r="DL128" s="776" t="s">
        <v>2127</v>
      </c>
      <c r="DM128" s="776" t="s">
        <v>2127</v>
      </c>
      <c r="DN128" s="776" t="s">
        <v>2127</v>
      </c>
      <c r="DO128" s="776" t="s">
        <v>2127</v>
      </c>
      <c r="DP128" s="776" t="s">
        <v>2127</v>
      </c>
    </row>
    <row r="129" spans="1:123" x14ac:dyDescent="0.2">
      <c r="A129" s="637" t="s">
        <v>2165</v>
      </c>
      <c r="B129" s="772" t="str" cm="1">
        <f t="array" ref="B129">IFERROR(INDEX(Kulturen[HF],_xlfn.AGGREGATE(15,6,(ROW(Kulturen[Auswahl])-7)/(--(SEARCH("x",Kulturen[Auswahl])&gt;0)),ROW()-7),1),"")</f>
        <v>Pufferstreifen</v>
      </c>
      <c r="C129" s="772" t="str">
        <f>IF(Kulturen[[#This Row],[HF]]=$D$373,IF($C$6=0,0,"x"),IF($C$6=0,"x",Vorauswahl!C128))</f>
        <v>x</v>
      </c>
      <c r="D129" s="77" t="s">
        <v>49</v>
      </c>
      <c r="E129" s="77" t="s">
        <v>2399</v>
      </c>
      <c r="F129" s="540" t="s">
        <v>603</v>
      </c>
      <c r="G129" s="540">
        <v>9</v>
      </c>
      <c r="H129" s="540">
        <v>3</v>
      </c>
      <c r="I129" s="540">
        <v>1</v>
      </c>
      <c r="J129" s="540">
        <v>90</v>
      </c>
      <c r="K129" s="540">
        <v>0.7</v>
      </c>
      <c r="L129" s="540">
        <v>3.5</v>
      </c>
      <c r="M129" s="540">
        <v>10</v>
      </c>
      <c r="N129" s="540">
        <v>0</v>
      </c>
      <c r="O129" s="540">
        <v>1</v>
      </c>
      <c r="P129" s="540">
        <v>0</v>
      </c>
      <c r="Q129" s="540">
        <v>100</v>
      </c>
      <c r="R129" s="540">
        <v>2</v>
      </c>
      <c r="S129" s="540">
        <v>10</v>
      </c>
      <c r="T129" s="540">
        <v>15</v>
      </c>
      <c r="U129" s="540">
        <v>0</v>
      </c>
      <c r="V129" s="540">
        <v>1</v>
      </c>
      <c r="W129" s="776">
        <f>IF(Kulturen[[#This Row],[Berechnungsschema]]=13,3,IF(Kulturen[[#This Row],[Berechnungsschema]]=6,2,1))</f>
        <v>1</v>
      </c>
      <c r="X129" s="776">
        <f>IF(Kulturen[[#This Row],[fruchtartengruppe]]=13,Kulturen[[#This Row],[NBedarfswert]],MAX(0,Kulturen[[#This Row],[NBedarfswert]]-Kulturen[[#This Row],[Ertrag]]*Kulturen[[#This Row],[Nfix]]))</f>
        <v>100</v>
      </c>
      <c r="Y129" s="776" t="s">
        <v>2127</v>
      </c>
      <c r="Z129" s="776" t="s">
        <v>2127</v>
      </c>
      <c r="AA129" s="776" t="s">
        <v>2127</v>
      </c>
      <c r="AB129" s="776" t="s">
        <v>2127</v>
      </c>
      <c r="AC129" s="776" t="s">
        <v>2127</v>
      </c>
      <c r="AD129" s="776" t="s">
        <v>2127</v>
      </c>
      <c r="AE129" s="776" t="s">
        <v>2127</v>
      </c>
      <c r="AF129" s="776" t="s">
        <v>2127</v>
      </c>
      <c r="AG129" s="776" t="s">
        <v>2127</v>
      </c>
      <c r="AH129" s="776" t="s">
        <v>2127</v>
      </c>
      <c r="AI129" s="776" t="s">
        <v>2127</v>
      </c>
      <c r="AJ129" s="776" t="s">
        <v>2127</v>
      </c>
      <c r="AK129" s="776" t="s">
        <v>2127</v>
      </c>
      <c r="AL129" s="776" t="s">
        <v>2127</v>
      </c>
      <c r="AM129" s="776" t="s">
        <v>2127</v>
      </c>
      <c r="AN129" s="776" t="s">
        <v>2127</v>
      </c>
      <c r="AO129" s="776" t="s">
        <v>2127</v>
      </c>
      <c r="AP129" s="776" t="s">
        <v>2127</v>
      </c>
      <c r="AQ129" s="776" t="s">
        <v>2127</v>
      </c>
      <c r="AR129" s="776" t="s">
        <v>2127</v>
      </c>
      <c r="AS129" s="776" t="s">
        <v>2127</v>
      </c>
      <c r="AT129" s="776" t="s">
        <v>2127</v>
      </c>
      <c r="AU129" s="776" t="s">
        <v>2127</v>
      </c>
      <c r="AV129" s="776" t="s">
        <v>2127</v>
      </c>
      <c r="AW129" s="776" t="s">
        <v>2127</v>
      </c>
      <c r="AX129" s="776" t="s">
        <v>2127</v>
      </c>
      <c r="AY129" s="776" t="s">
        <v>2127</v>
      </c>
      <c r="AZ129" s="776" t="s">
        <v>2127</v>
      </c>
      <c r="BA129" s="776" t="s">
        <v>2127</v>
      </c>
      <c r="BB129" s="776" t="s">
        <v>2127</v>
      </c>
      <c r="BC129" s="776" t="s">
        <v>2127</v>
      </c>
      <c r="BD129" s="776" t="s">
        <v>2127</v>
      </c>
      <c r="BE129" s="776" t="s">
        <v>2127</v>
      </c>
      <c r="BF129" s="776" t="s">
        <v>2127</v>
      </c>
      <c r="BG129" s="776" t="s">
        <v>2127</v>
      </c>
      <c r="BH129" s="776" t="s">
        <v>2127</v>
      </c>
      <c r="BI129" s="776" t="s">
        <v>2127</v>
      </c>
      <c r="BJ129" s="776" t="s">
        <v>2127</v>
      </c>
      <c r="BK129" s="776" t="s">
        <v>2127</v>
      </c>
      <c r="BL129" s="776" t="s">
        <v>2127</v>
      </c>
      <c r="BM129" s="776" t="s">
        <v>2127</v>
      </c>
      <c r="BN129" s="776" t="s">
        <v>2127</v>
      </c>
      <c r="BO129" s="776" t="s">
        <v>2127</v>
      </c>
      <c r="BP129" s="776" t="s">
        <v>2127</v>
      </c>
      <c r="BQ129" s="776" t="s">
        <v>2127</v>
      </c>
      <c r="BR129" s="776" t="s">
        <v>2127</v>
      </c>
      <c r="BS129" s="776" t="s">
        <v>2127</v>
      </c>
      <c r="BT129" s="776" t="s">
        <v>2127</v>
      </c>
      <c r="BU129" s="776" t="s">
        <v>2127</v>
      </c>
      <c r="BV129" s="776" t="s">
        <v>2127</v>
      </c>
      <c r="BW129" s="776" t="s">
        <v>2127</v>
      </c>
      <c r="BX129" s="776" t="s">
        <v>2127</v>
      </c>
      <c r="BY129" s="776" t="s">
        <v>2127</v>
      </c>
      <c r="BZ129" s="776" t="s">
        <v>2127</v>
      </c>
      <c r="CA129" s="776" t="s">
        <v>2127</v>
      </c>
      <c r="CB129" s="776" t="s">
        <v>2127</v>
      </c>
      <c r="CC129" s="776" t="s">
        <v>2127</v>
      </c>
      <c r="CD129" s="776" t="s">
        <v>2127</v>
      </c>
      <c r="CE129" s="776" t="s">
        <v>2127</v>
      </c>
      <c r="CF129" s="776" t="s">
        <v>2127</v>
      </c>
      <c r="CG129" s="776" t="s">
        <v>2127</v>
      </c>
      <c r="CH129" s="776" t="s">
        <v>2127</v>
      </c>
      <c r="CI129" s="776" t="s">
        <v>2127</v>
      </c>
      <c r="CJ129" s="776" t="s">
        <v>2127</v>
      </c>
      <c r="CK129" s="776" t="s">
        <v>2127</v>
      </c>
      <c r="CL129" s="776" t="s">
        <v>2127</v>
      </c>
      <c r="CM129" s="776" t="s">
        <v>2127</v>
      </c>
      <c r="CN129" s="776" t="s">
        <v>2127</v>
      </c>
      <c r="CO129" s="776" t="s">
        <v>2127</v>
      </c>
      <c r="CP129" s="776" t="s">
        <v>2127</v>
      </c>
      <c r="CQ129" s="776" t="s">
        <v>2127</v>
      </c>
      <c r="CR129" s="776" t="s">
        <v>2127</v>
      </c>
      <c r="CS129" s="776" t="s">
        <v>2127</v>
      </c>
      <c r="CT129" s="776" t="s">
        <v>2127</v>
      </c>
      <c r="CU129" s="776" t="s">
        <v>2127</v>
      </c>
      <c r="CV129" s="776" t="s">
        <v>2127</v>
      </c>
      <c r="CW129" s="776" t="s">
        <v>2127</v>
      </c>
      <c r="CX129" s="776" t="s">
        <v>2127</v>
      </c>
      <c r="CY129" s="776" t="s">
        <v>2127</v>
      </c>
      <c r="CZ129" s="776" t="s">
        <v>2127</v>
      </c>
      <c r="DA129" s="776" t="s">
        <v>2127</v>
      </c>
      <c r="DB129" s="776" t="s">
        <v>2127</v>
      </c>
      <c r="DC129" s="776" t="s">
        <v>2127</v>
      </c>
      <c r="DD129" s="776" t="s">
        <v>2127</v>
      </c>
      <c r="DE129" s="776" t="s">
        <v>2127</v>
      </c>
      <c r="DF129" s="776" t="s">
        <v>2127</v>
      </c>
      <c r="DG129" s="776" t="s">
        <v>2127</v>
      </c>
      <c r="DH129" s="776" t="s">
        <v>2127</v>
      </c>
      <c r="DI129" s="776" t="s">
        <v>2127</v>
      </c>
      <c r="DJ129" s="776" t="s">
        <v>2127</v>
      </c>
      <c r="DK129" s="776" t="s">
        <v>2127</v>
      </c>
      <c r="DL129" s="776" t="s">
        <v>2127</v>
      </c>
      <c r="DM129" s="776" t="s">
        <v>2127</v>
      </c>
      <c r="DN129" s="776" t="s">
        <v>2127</v>
      </c>
      <c r="DO129" s="776" t="s">
        <v>2127</v>
      </c>
      <c r="DP129" s="776" t="s">
        <v>2127</v>
      </c>
    </row>
    <row r="130" spans="1:123" x14ac:dyDescent="0.2">
      <c r="A130" s="637" t="s">
        <v>2166</v>
      </c>
      <c r="B130" s="772" t="str" cm="1">
        <f t="array" ref="B130">IFERROR(INDEX(Kulturen[HF],_xlfn.AGGREGATE(15,6,(ROW(Kulturen[Auswahl])-7)/(--(SEARCH("x",Kulturen[Auswahl])&gt;0)),ROW()-7),1),"")</f>
        <v>Blühfläche, Blühstreifen</v>
      </c>
      <c r="C130" s="772" t="str">
        <f>IF(Kulturen[[#This Row],[HF]]=$D$373,IF($C$6=0,0,"x"),IF($C$6=0,"x",Vorauswahl!C129))</f>
        <v>x</v>
      </c>
      <c r="D130" s="77" t="s">
        <v>604</v>
      </c>
      <c r="E130" s="77" t="s">
        <v>604</v>
      </c>
      <c r="F130" s="540" t="s">
        <v>605</v>
      </c>
      <c r="G130" s="540">
        <v>9</v>
      </c>
      <c r="H130" s="540">
        <v>8</v>
      </c>
      <c r="I130" s="540">
        <v>1</v>
      </c>
      <c r="J130" s="540">
        <v>90</v>
      </c>
      <c r="K130" s="540">
        <v>1.5</v>
      </c>
      <c r="L130" s="540">
        <v>4.3</v>
      </c>
      <c r="M130" s="540">
        <v>5</v>
      </c>
      <c r="N130" s="540">
        <v>10</v>
      </c>
      <c r="O130" s="540">
        <v>1</v>
      </c>
      <c r="P130" s="540">
        <v>0</v>
      </c>
      <c r="Q130" s="540">
        <v>0</v>
      </c>
      <c r="R130" s="540">
        <v>10</v>
      </c>
      <c r="S130" s="540">
        <v>0</v>
      </c>
      <c r="T130" s="540">
        <v>0</v>
      </c>
      <c r="U130" s="540">
        <v>20</v>
      </c>
      <c r="V130" s="540">
        <v>3</v>
      </c>
      <c r="W130" s="776">
        <f>IF(Kulturen[[#This Row],[Berechnungsschema]]=13,3,IF(Kulturen[[#This Row],[Berechnungsschema]]=6,2,1))</f>
        <v>1</v>
      </c>
      <c r="X130" s="776">
        <f>IF(Kulturen[[#This Row],[fruchtartengruppe]]=13,Kulturen[[#This Row],[NBedarfswert]],MAX(0,Kulturen[[#This Row],[NBedarfswert]]-Kulturen[[#This Row],[Ertrag]]*Kulturen[[#This Row],[Nfix]]))</f>
        <v>0</v>
      </c>
      <c r="Y130" s="776" t="s">
        <v>2127</v>
      </c>
      <c r="Z130" s="776" t="s">
        <v>2127</v>
      </c>
      <c r="AA130" s="776" t="s">
        <v>2127</v>
      </c>
      <c r="AB130" s="776" t="s">
        <v>2127</v>
      </c>
      <c r="AC130" s="776" t="s">
        <v>2127</v>
      </c>
      <c r="AD130" s="776" t="s">
        <v>2127</v>
      </c>
      <c r="AE130" s="776" t="s">
        <v>2127</v>
      </c>
      <c r="AF130" s="776" t="s">
        <v>2127</v>
      </c>
      <c r="AG130" s="776" t="s">
        <v>2127</v>
      </c>
      <c r="AH130" s="776" t="s">
        <v>2127</v>
      </c>
      <c r="AI130" s="776" t="s">
        <v>2127</v>
      </c>
      <c r="AJ130" s="776" t="s">
        <v>2127</v>
      </c>
      <c r="AK130" s="776" t="s">
        <v>2127</v>
      </c>
      <c r="AL130" s="776" t="s">
        <v>2127</v>
      </c>
      <c r="AM130" s="776" t="s">
        <v>2127</v>
      </c>
      <c r="AN130" s="776" t="s">
        <v>2127</v>
      </c>
      <c r="AO130" s="776" t="s">
        <v>2127</v>
      </c>
      <c r="AP130" s="776" t="s">
        <v>2127</v>
      </c>
      <c r="AQ130" s="776" t="s">
        <v>2127</v>
      </c>
      <c r="AR130" s="776" t="s">
        <v>2127</v>
      </c>
      <c r="AS130" s="776" t="s">
        <v>2127</v>
      </c>
      <c r="AT130" s="776" t="s">
        <v>2127</v>
      </c>
      <c r="AU130" s="776" t="s">
        <v>2127</v>
      </c>
      <c r="AV130" s="776" t="s">
        <v>2127</v>
      </c>
      <c r="AW130" s="776" t="s">
        <v>2127</v>
      </c>
      <c r="AX130" s="776" t="s">
        <v>2127</v>
      </c>
      <c r="AY130" s="776" t="s">
        <v>2127</v>
      </c>
      <c r="AZ130" s="776" t="s">
        <v>2127</v>
      </c>
      <c r="BA130" s="776" t="s">
        <v>2127</v>
      </c>
      <c r="BB130" s="776" t="s">
        <v>2127</v>
      </c>
      <c r="BC130" s="776" t="s">
        <v>2127</v>
      </c>
      <c r="BD130" s="776" t="s">
        <v>2127</v>
      </c>
      <c r="BE130" s="776" t="s">
        <v>2127</v>
      </c>
      <c r="BF130" s="776" t="s">
        <v>2127</v>
      </c>
      <c r="BG130" s="776" t="s">
        <v>2127</v>
      </c>
      <c r="BH130" s="776" t="s">
        <v>2127</v>
      </c>
      <c r="BI130" s="776" t="s">
        <v>2127</v>
      </c>
      <c r="BJ130" s="776" t="s">
        <v>2127</v>
      </c>
      <c r="BK130" s="776" t="s">
        <v>2127</v>
      </c>
      <c r="BL130" s="776" t="s">
        <v>2127</v>
      </c>
      <c r="BM130" s="776" t="s">
        <v>2127</v>
      </c>
      <c r="BN130" s="776" t="s">
        <v>2127</v>
      </c>
      <c r="BO130" s="776" t="s">
        <v>2127</v>
      </c>
      <c r="BP130" s="776" t="s">
        <v>2127</v>
      </c>
      <c r="BQ130" s="776" t="s">
        <v>2127</v>
      </c>
      <c r="BR130" s="776" t="s">
        <v>2127</v>
      </c>
      <c r="BS130" s="776" t="s">
        <v>2127</v>
      </c>
      <c r="BT130" s="776" t="s">
        <v>2127</v>
      </c>
      <c r="BU130" s="776" t="s">
        <v>2127</v>
      </c>
      <c r="BV130" s="776" t="s">
        <v>2127</v>
      </c>
      <c r="BW130" s="776" t="s">
        <v>2127</v>
      </c>
      <c r="BX130" s="776" t="s">
        <v>2127</v>
      </c>
      <c r="BY130" s="776" t="s">
        <v>2127</v>
      </c>
      <c r="BZ130" s="776" t="s">
        <v>2127</v>
      </c>
      <c r="CA130" s="776" t="s">
        <v>2127</v>
      </c>
      <c r="CB130" s="776" t="s">
        <v>2127</v>
      </c>
      <c r="CC130" s="776" t="s">
        <v>2127</v>
      </c>
      <c r="CD130" s="776" t="s">
        <v>2127</v>
      </c>
      <c r="CE130" s="776" t="s">
        <v>2127</v>
      </c>
      <c r="CF130" s="776" t="s">
        <v>2127</v>
      </c>
      <c r="CG130" s="776" t="s">
        <v>2127</v>
      </c>
      <c r="CH130" s="776" t="s">
        <v>2127</v>
      </c>
      <c r="CI130" s="776" t="s">
        <v>2127</v>
      </c>
      <c r="CJ130" s="776" t="s">
        <v>2127</v>
      </c>
      <c r="CK130" s="776" t="s">
        <v>2127</v>
      </c>
      <c r="CL130" s="776" t="s">
        <v>2127</v>
      </c>
      <c r="CM130" s="776" t="s">
        <v>2127</v>
      </c>
      <c r="CN130" s="776" t="s">
        <v>2127</v>
      </c>
      <c r="CO130" s="776" t="s">
        <v>2127</v>
      </c>
      <c r="CP130" s="776" t="s">
        <v>2127</v>
      </c>
      <c r="CQ130" s="776" t="s">
        <v>2127</v>
      </c>
      <c r="CR130" s="776" t="s">
        <v>2127</v>
      </c>
      <c r="CS130" s="776" t="s">
        <v>2127</v>
      </c>
      <c r="CT130" s="776" t="s">
        <v>2127</v>
      </c>
      <c r="CU130" s="776" t="s">
        <v>2127</v>
      </c>
      <c r="CV130" s="776" t="s">
        <v>2127</v>
      </c>
      <c r="CW130" s="776" t="s">
        <v>2127</v>
      </c>
      <c r="CX130" s="776" t="s">
        <v>2127</v>
      </c>
      <c r="CY130" s="776" t="s">
        <v>2127</v>
      </c>
      <c r="CZ130" s="776" t="s">
        <v>2127</v>
      </c>
      <c r="DA130" s="776" t="s">
        <v>2127</v>
      </c>
      <c r="DB130" s="776" t="s">
        <v>2127</v>
      </c>
      <c r="DC130" s="776" t="s">
        <v>2127</v>
      </c>
      <c r="DD130" s="776" t="s">
        <v>2127</v>
      </c>
      <c r="DE130" s="776" t="s">
        <v>2127</v>
      </c>
      <c r="DF130" s="776" t="s">
        <v>2127</v>
      </c>
      <c r="DG130" s="776" t="s">
        <v>2127</v>
      </c>
      <c r="DH130" s="776" t="s">
        <v>2127</v>
      </c>
      <c r="DI130" s="776" t="s">
        <v>2127</v>
      </c>
      <c r="DJ130" s="776" t="s">
        <v>2127</v>
      </c>
      <c r="DK130" s="776" t="s">
        <v>2127</v>
      </c>
      <c r="DL130" s="776" t="s">
        <v>2127</v>
      </c>
      <c r="DM130" s="776" t="s">
        <v>2127</v>
      </c>
      <c r="DN130" s="776" t="s">
        <v>2127</v>
      </c>
      <c r="DO130" s="776" t="s">
        <v>2127</v>
      </c>
      <c r="DP130" s="776" t="s">
        <v>2127</v>
      </c>
    </row>
    <row r="131" spans="1:123" x14ac:dyDescent="0.2">
      <c r="A131" s="637" t="s">
        <v>2167</v>
      </c>
      <c r="B131" s="772" t="str" cm="1">
        <f t="array" ref="B131">IFERROR(INDEX(Kulturen[HF],_xlfn.AGGREGATE(15,6,(ROW(Kulturen[Auswahl])-7)/(--(SEARCH("x",Kulturen[Auswahl])&gt;0)),ROW()-7),1),"")</f>
        <v>Brache</v>
      </c>
      <c r="C131" s="772" t="str">
        <f>IF(Kulturen[[#This Row],[HF]]=$D$373,IF($C$6=0,0,"x"),IF($C$6=0,"x",Vorauswahl!C130))</f>
        <v>x</v>
      </c>
      <c r="D131" s="77" t="s">
        <v>606</v>
      </c>
      <c r="E131" s="77" t="s">
        <v>606</v>
      </c>
      <c r="F131" s="540" t="s">
        <v>607</v>
      </c>
      <c r="G131" s="540">
        <v>9</v>
      </c>
      <c r="H131" s="540">
        <v>3</v>
      </c>
      <c r="I131" s="540">
        <v>1</v>
      </c>
      <c r="J131" s="540">
        <v>90</v>
      </c>
      <c r="K131" s="540">
        <v>1.5</v>
      </c>
      <c r="L131" s="540">
        <v>4.3</v>
      </c>
      <c r="M131" s="540">
        <v>5</v>
      </c>
      <c r="N131" s="540">
        <v>0</v>
      </c>
      <c r="O131" s="540">
        <v>1</v>
      </c>
      <c r="P131" s="540">
        <v>0</v>
      </c>
      <c r="Q131" s="540">
        <v>120</v>
      </c>
      <c r="R131" s="540">
        <v>10</v>
      </c>
      <c r="S131" s="540">
        <v>0</v>
      </c>
      <c r="T131" s="540">
        <v>0</v>
      </c>
      <c r="U131" s="540">
        <v>10</v>
      </c>
      <c r="V131" s="540">
        <v>1</v>
      </c>
      <c r="W131" s="776">
        <f>IF(Kulturen[[#This Row],[Berechnungsschema]]=13,3,IF(Kulturen[[#This Row],[Berechnungsschema]]=6,2,1))</f>
        <v>1</v>
      </c>
      <c r="X131" s="776">
        <f>IF(Kulturen[[#This Row],[fruchtartengruppe]]=13,Kulturen[[#This Row],[NBedarfswert]],MAX(0,Kulturen[[#This Row],[NBedarfswert]]-Kulturen[[#This Row],[Ertrag]]*Kulturen[[#This Row],[Nfix]]))</f>
        <v>120</v>
      </c>
      <c r="Y131" s="776" t="s">
        <v>2127</v>
      </c>
      <c r="Z131" s="776" t="s">
        <v>2127</v>
      </c>
      <c r="AA131" s="776" t="s">
        <v>2127</v>
      </c>
      <c r="AB131" s="776" t="s">
        <v>2127</v>
      </c>
      <c r="AC131" s="776" t="s">
        <v>2127</v>
      </c>
      <c r="AD131" s="776" t="s">
        <v>2127</v>
      </c>
      <c r="AE131" s="776" t="s">
        <v>2127</v>
      </c>
      <c r="AF131" s="776" t="s">
        <v>2127</v>
      </c>
      <c r="AG131" s="776" t="s">
        <v>2127</v>
      </c>
      <c r="AH131" s="776" t="s">
        <v>2127</v>
      </c>
      <c r="AI131" s="776" t="s">
        <v>2127</v>
      </c>
      <c r="AJ131" s="776" t="s">
        <v>2127</v>
      </c>
      <c r="AK131" s="776" t="s">
        <v>2127</v>
      </c>
      <c r="AL131" s="776" t="s">
        <v>2127</v>
      </c>
      <c r="AM131" s="776" t="s">
        <v>2127</v>
      </c>
      <c r="AN131" s="776" t="s">
        <v>2127</v>
      </c>
      <c r="AO131" s="776" t="s">
        <v>2127</v>
      </c>
      <c r="AP131" s="776" t="s">
        <v>2127</v>
      </c>
      <c r="AQ131" s="776" t="s">
        <v>2127</v>
      </c>
      <c r="AR131" s="776" t="s">
        <v>2127</v>
      </c>
      <c r="AS131" s="776" t="s">
        <v>2127</v>
      </c>
      <c r="AT131" s="776" t="s">
        <v>2127</v>
      </c>
      <c r="AU131" s="776" t="s">
        <v>2127</v>
      </c>
      <c r="AV131" s="776" t="s">
        <v>2127</v>
      </c>
      <c r="AW131" s="776" t="s">
        <v>2127</v>
      </c>
      <c r="AX131" s="776" t="s">
        <v>2127</v>
      </c>
      <c r="AY131" s="776" t="s">
        <v>2127</v>
      </c>
      <c r="AZ131" s="776" t="s">
        <v>2127</v>
      </c>
      <c r="BA131" s="776" t="s">
        <v>2127</v>
      </c>
      <c r="BB131" s="776" t="s">
        <v>2127</v>
      </c>
      <c r="BC131" s="776" t="s">
        <v>2127</v>
      </c>
      <c r="BD131" s="776" t="s">
        <v>2127</v>
      </c>
      <c r="BE131" s="776" t="s">
        <v>2127</v>
      </c>
      <c r="BF131" s="776" t="s">
        <v>2127</v>
      </c>
      <c r="BG131" s="776" t="s">
        <v>2127</v>
      </c>
      <c r="BH131" s="776" t="s">
        <v>2127</v>
      </c>
      <c r="BI131" s="776" t="s">
        <v>2127</v>
      </c>
      <c r="BJ131" s="776" t="s">
        <v>2127</v>
      </c>
      <c r="BK131" s="776" t="s">
        <v>2127</v>
      </c>
      <c r="BL131" s="776" t="s">
        <v>2127</v>
      </c>
      <c r="BM131" s="776" t="s">
        <v>2127</v>
      </c>
      <c r="BN131" s="776" t="s">
        <v>2127</v>
      </c>
      <c r="BO131" s="776" t="s">
        <v>2127</v>
      </c>
      <c r="BP131" s="776" t="s">
        <v>2127</v>
      </c>
      <c r="BQ131" s="776" t="s">
        <v>2127</v>
      </c>
      <c r="BR131" s="776" t="s">
        <v>2127</v>
      </c>
      <c r="BS131" s="776" t="s">
        <v>2127</v>
      </c>
      <c r="BT131" s="776" t="s">
        <v>2127</v>
      </c>
      <c r="BU131" s="776" t="s">
        <v>2127</v>
      </c>
      <c r="BV131" s="776" t="s">
        <v>2127</v>
      </c>
      <c r="BW131" s="776" t="s">
        <v>2127</v>
      </c>
      <c r="BX131" s="776" t="s">
        <v>2127</v>
      </c>
      <c r="BY131" s="776" t="s">
        <v>2127</v>
      </c>
      <c r="BZ131" s="776" t="s">
        <v>2127</v>
      </c>
      <c r="CA131" s="776" t="s">
        <v>2127</v>
      </c>
      <c r="CB131" s="776" t="s">
        <v>2127</v>
      </c>
      <c r="CC131" s="776" t="s">
        <v>2127</v>
      </c>
      <c r="CD131" s="776" t="s">
        <v>2127</v>
      </c>
      <c r="CE131" s="776" t="s">
        <v>2127</v>
      </c>
      <c r="CF131" s="776" t="s">
        <v>2127</v>
      </c>
      <c r="CG131" s="776" t="s">
        <v>2127</v>
      </c>
      <c r="CH131" s="776" t="s">
        <v>2127</v>
      </c>
      <c r="CI131" s="776" t="s">
        <v>2127</v>
      </c>
      <c r="CJ131" s="776" t="s">
        <v>2127</v>
      </c>
      <c r="CK131" s="776" t="s">
        <v>2127</v>
      </c>
      <c r="CL131" s="776" t="s">
        <v>2127</v>
      </c>
      <c r="CM131" s="776" t="s">
        <v>2127</v>
      </c>
      <c r="CN131" s="776" t="s">
        <v>2127</v>
      </c>
      <c r="CO131" s="776" t="s">
        <v>2127</v>
      </c>
      <c r="CP131" s="776" t="s">
        <v>2127</v>
      </c>
      <c r="CQ131" s="776" t="s">
        <v>2127</v>
      </c>
      <c r="CR131" s="776" t="s">
        <v>2127</v>
      </c>
      <c r="CS131" s="776" t="s">
        <v>2127</v>
      </c>
      <c r="CT131" s="776" t="s">
        <v>2127</v>
      </c>
      <c r="CU131" s="776" t="s">
        <v>2127</v>
      </c>
      <c r="CV131" s="776" t="s">
        <v>2127</v>
      </c>
      <c r="CW131" s="776" t="s">
        <v>2127</v>
      </c>
      <c r="CX131" s="776" t="s">
        <v>2127</v>
      </c>
      <c r="CY131" s="776" t="s">
        <v>2127</v>
      </c>
      <c r="CZ131" s="776" t="s">
        <v>2127</v>
      </c>
      <c r="DA131" s="776" t="s">
        <v>2127</v>
      </c>
      <c r="DB131" s="776" t="s">
        <v>2127</v>
      </c>
      <c r="DC131" s="776" t="s">
        <v>2127</v>
      </c>
      <c r="DD131" s="776" t="s">
        <v>2127</v>
      </c>
      <c r="DE131" s="776" t="s">
        <v>2127</v>
      </c>
      <c r="DF131" s="776" t="s">
        <v>2127</v>
      </c>
      <c r="DG131" s="776" t="s">
        <v>2127</v>
      </c>
      <c r="DH131" s="776" t="s">
        <v>2127</v>
      </c>
      <c r="DI131" s="776" t="s">
        <v>2127</v>
      </c>
      <c r="DJ131" s="776" t="s">
        <v>2127</v>
      </c>
      <c r="DK131" s="776" t="s">
        <v>2127</v>
      </c>
      <c r="DL131" s="776" t="s">
        <v>2127</v>
      </c>
      <c r="DM131" s="776" t="s">
        <v>2127</v>
      </c>
      <c r="DN131" s="776" t="s">
        <v>2127</v>
      </c>
      <c r="DO131" s="776" t="s">
        <v>2127</v>
      </c>
      <c r="DP131" s="776" t="s">
        <v>2127</v>
      </c>
    </row>
    <row r="132" spans="1:123" x14ac:dyDescent="0.2">
      <c r="A132" s="637" t="s">
        <v>2168</v>
      </c>
      <c r="B132" s="772" t="str" cm="1">
        <f t="array" ref="B132">IFERROR(INDEX(Kulturen[HF],_xlfn.AGGREGATE(15,6,(ROW(Kulturen[Auswahl])-7)/(--(SEARCH("x",Kulturen[Auswahl])&gt;0)),ROW()-7),1),"")</f>
        <v>Stilllegung Acker</v>
      </c>
      <c r="C132" s="772" t="str">
        <f>IF(Kulturen[[#This Row],[HF]]=$D$373,IF($C$6=0,0,"x"),IF($C$6=0,"x",Vorauswahl!C131))</f>
        <v>x</v>
      </c>
      <c r="D132" s="77" t="s">
        <v>1913</v>
      </c>
      <c r="E132" s="77" t="s">
        <v>1913</v>
      </c>
      <c r="F132" s="540" t="s">
        <v>1859</v>
      </c>
      <c r="G132" s="540">
        <v>10</v>
      </c>
      <c r="H132" s="540">
        <v>5</v>
      </c>
      <c r="I132" s="540">
        <v>0</v>
      </c>
      <c r="J132" s="540">
        <v>90</v>
      </c>
      <c r="K132" s="540">
        <v>0</v>
      </c>
      <c r="L132" s="540">
        <v>0</v>
      </c>
      <c r="M132" s="540">
        <v>0</v>
      </c>
      <c r="N132" s="540">
        <v>0</v>
      </c>
      <c r="O132" s="540">
        <v>0</v>
      </c>
      <c r="P132" s="540">
        <v>0</v>
      </c>
      <c r="Q132" s="540">
        <v>0</v>
      </c>
      <c r="R132" s="540">
        <v>1</v>
      </c>
      <c r="S132" s="540">
        <v>0</v>
      </c>
      <c r="T132" s="540">
        <v>0</v>
      </c>
      <c r="U132" s="540">
        <v>0</v>
      </c>
      <c r="V132" s="540">
        <v>0</v>
      </c>
      <c r="W132" s="776">
        <f>IF(Kulturen[[#This Row],[Berechnungsschema]]=13,3,IF(Kulturen[[#This Row],[Berechnungsschema]]=6,2,1))</f>
        <v>1</v>
      </c>
      <c r="X132" s="776">
        <f>IF(Kulturen[[#This Row],[fruchtartengruppe]]=13,Kulturen[[#This Row],[NBedarfswert]],MAX(0,Kulturen[[#This Row],[NBedarfswert]]-Kulturen[[#This Row],[Ertrag]]*Kulturen[[#This Row],[Nfix]]))</f>
        <v>0</v>
      </c>
      <c r="Y132" s="776" t="s">
        <v>2127</v>
      </c>
      <c r="Z132" s="776" t="s">
        <v>2127</v>
      </c>
      <c r="AA132" s="776" t="s">
        <v>2127</v>
      </c>
      <c r="AB132" s="776" t="s">
        <v>2127</v>
      </c>
      <c r="AC132" s="776" t="s">
        <v>2127</v>
      </c>
      <c r="AD132" s="776" t="s">
        <v>2127</v>
      </c>
      <c r="AE132" s="776" t="s">
        <v>2127</v>
      </c>
      <c r="AF132" s="776" t="s">
        <v>2127</v>
      </c>
      <c r="AG132" s="776" t="s">
        <v>2127</v>
      </c>
      <c r="AH132" s="776" t="s">
        <v>2127</v>
      </c>
      <c r="AI132" s="776" t="s">
        <v>2127</v>
      </c>
      <c r="AJ132" s="776" t="s">
        <v>2127</v>
      </c>
      <c r="AK132" s="776" t="s">
        <v>2127</v>
      </c>
      <c r="AL132" s="776" t="s">
        <v>2127</v>
      </c>
      <c r="AM132" s="776" t="s">
        <v>2127</v>
      </c>
      <c r="AN132" s="776" t="s">
        <v>2127</v>
      </c>
      <c r="AO132" s="776" t="s">
        <v>2127</v>
      </c>
      <c r="AP132" s="776" t="s">
        <v>2127</v>
      </c>
      <c r="AQ132" s="776" t="s">
        <v>2127</v>
      </c>
      <c r="AR132" s="776" t="s">
        <v>2127</v>
      </c>
      <c r="AS132" s="776" t="s">
        <v>2127</v>
      </c>
      <c r="AT132" s="776" t="s">
        <v>2127</v>
      </c>
      <c r="AU132" s="776" t="s">
        <v>2127</v>
      </c>
      <c r="AV132" s="776" t="s">
        <v>2127</v>
      </c>
      <c r="AW132" s="776" t="s">
        <v>2127</v>
      </c>
      <c r="AX132" s="776" t="s">
        <v>2127</v>
      </c>
      <c r="AY132" s="776" t="s">
        <v>2127</v>
      </c>
      <c r="AZ132" s="776" t="s">
        <v>2127</v>
      </c>
      <c r="BA132" s="776" t="s">
        <v>2127</v>
      </c>
      <c r="BB132" s="776" t="s">
        <v>2127</v>
      </c>
      <c r="BC132" s="776" t="s">
        <v>2127</v>
      </c>
      <c r="BD132" s="776" t="s">
        <v>2127</v>
      </c>
      <c r="BE132" s="776" t="s">
        <v>2127</v>
      </c>
      <c r="BF132" s="776" t="s">
        <v>2127</v>
      </c>
      <c r="BG132" s="776" t="s">
        <v>2127</v>
      </c>
      <c r="BH132" s="776" t="s">
        <v>2127</v>
      </c>
      <c r="BI132" s="776" t="s">
        <v>2127</v>
      </c>
      <c r="BJ132" s="776" t="s">
        <v>2127</v>
      </c>
      <c r="BK132" s="776" t="s">
        <v>2127</v>
      </c>
      <c r="BL132" s="776" t="s">
        <v>2127</v>
      </c>
      <c r="BM132" s="776" t="s">
        <v>2127</v>
      </c>
      <c r="BN132" s="776" t="s">
        <v>2127</v>
      </c>
      <c r="BO132" s="776" t="s">
        <v>2127</v>
      </c>
      <c r="BP132" s="776" t="s">
        <v>2127</v>
      </c>
      <c r="BQ132" s="776" t="s">
        <v>2127</v>
      </c>
      <c r="BR132" s="776" t="s">
        <v>2127</v>
      </c>
      <c r="BS132" s="776" t="s">
        <v>2127</v>
      </c>
      <c r="BT132" s="776" t="s">
        <v>2127</v>
      </c>
      <c r="BU132" s="776" t="s">
        <v>2127</v>
      </c>
      <c r="BV132" s="776" t="s">
        <v>2127</v>
      </c>
      <c r="BW132" s="776" t="s">
        <v>2127</v>
      </c>
      <c r="BX132" s="776" t="s">
        <v>2127</v>
      </c>
      <c r="BY132" s="776" t="s">
        <v>2127</v>
      </c>
      <c r="BZ132" s="776" t="s">
        <v>2127</v>
      </c>
      <c r="CA132" s="776" t="s">
        <v>2127</v>
      </c>
      <c r="CB132" s="776" t="s">
        <v>2127</v>
      </c>
      <c r="CC132" s="776" t="s">
        <v>2127</v>
      </c>
      <c r="CD132" s="776" t="s">
        <v>2127</v>
      </c>
      <c r="CE132" s="776" t="s">
        <v>2127</v>
      </c>
      <c r="CF132" s="776" t="s">
        <v>2127</v>
      </c>
      <c r="CG132" s="776" t="s">
        <v>2127</v>
      </c>
      <c r="CH132" s="776" t="s">
        <v>2127</v>
      </c>
      <c r="CI132" s="776" t="s">
        <v>2127</v>
      </c>
      <c r="CJ132" s="776" t="s">
        <v>2127</v>
      </c>
      <c r="CK132" s="776" t="s">
        <v>2127</v>
      </c>
      <c r="CL132" s="776" t="s">
        <v>2127</v>
      </c>
      <c r="CM132" s="776" t="s">
        <v>2127</v>
      </c>
      <c r="CN132" s="776" t="s">
        <v>2127</v>
      </c>
      <c r="CO132" s="776" t="s">
        <v>2127</v>
      </c>
      <c r="CP132" s="776" t="s">
        <v>2127</v>
      </c>
      <c r="CQ132" s="776" t="s">
        <v>2127</v>
      </c>
      <c r="CR132" s="776" t="s">
        <v>2127</v>
      </c>
      <c r="CS132" s="776" t="s">
        <v>2127</v>
      </c>
      <c r="CT132" s="776" t="s">
        <v>2127</v>
      </c>
      <c r="CU132" s="776" t="s">
        <v>2127</v>
      </c>
      <c r="CV132" s="776" t="s">
        <v>2127</v>
      </c>
      <c r="CW132" s="776" t="s">
        <v>2127</v>
      </c>
      <c r="CX132" s="776" t="s">
        <v>2127</v>
      </c>
      <c r="CY132" s="776" t="s">
        <v>2127</v>
      </c>
      <c r="CZ132" s="776" t="s">
        <v>2127</v>
      </c>
      <c r="DA132" s="776" t="s">
        <v>2127</v>
      </c>
      <c r="DB132" s="776" t="s">
        <v>2127</v>
      </c>
      <c r="DC132" s="776" t="s">
        <v>2127</v>
      </c>
      <c r="DD132" s="776" t="s">
        <v>2127</v>
      </c>
      <c r="DE132" s="776" t="s">
        <v>2127</v>
      </c>
      <c r="DF132" s="776" t="s">
        <v>2127</v>
      </c>
      <c r="DG132" s="776" t="s">
        <v>2127</v>
      </c>
      <c r="DH132" s="776" t="s">
        <v>2127</v>
      </c>
      <c r="DI132" s="776" t="s">
        <v>2127</v>
      </c>
      <c r="DJ132" s="776" t="s">
        <v>2127</v>
      </c>
      <c r="DK132" s="776" t="s">
        <v>2127</v>
      </c>
      <c r="DL132" s="776" t="s">
        <v>2127</v>
      </c>
      <c r="DM132" s="776" t="s">
        <v>2127</v>
      </c>
      <c r="DN132" s="776" t="s">
        <v>2127</v>
      </c>
      <c r="DO132" s="776" t="s">
        <v>2127</v>
      </c>
      <c r="DP132" s="776" t="s">
        <v>2127</v>
      </c>
    </row>
    <row r="133" spans="1:123" x14ac:dyDescent="0.2">
      <c r="A133" s="637" t="s">
        <v>2169</v>
      </c>
      <c r="B133" s="772" t="str" cm="1">
        <f t="array" ref="B133">IFERROR(INDEX(Kulturen[HF],_xlfn.AGGREGATE(15,6,(ROW(Kulturen[Auswahl])-7)/(--(SEARCH("x",Kulturen[Auswahl])&gt;0)),ROW()-7),1),"")</f>
        <v>Dauerbrache (Nicht-LF)</v>
      </c>
      <c r="C133" s="772" t="str">
        <f>IF(Kulturen[[#This Row],[HF]]=$D$373,IF($C$6=0,0,"x"),IF($C$6=0,"x",Vorauswahl!C132))</f>
        <v>x</v>
      </c>
      <c r="D133" s="77" t="s">
        <v>1018</v>
      </c>
      <c r="E133" s="77" t="s">
        <v>2400</v>
      </c>
      <c r="F133" s="540" t="s">
        <v>1020</v>
      </c>
      <c r="G133" s="540">
        <v>10</v>
      </c>
      <c r="H133" s="540">
        <v>5</v>
      </c>
      <c r="I133" s="540">
        <v>3</v>
      </c>
      <c r="J133" s="540">
        <v>17</v>
      </c>
      <c r="K133" s="540">
        <v>1</v>
      </c>
      <c r="L133" s="540">
        <v>2</v>
      </c>
      <c r="M133" s="540">
        <v>17.5</v>
      </c>
      <c r="N133" s="540">
        <v>0</v>
      </c>
      <c r="O133" s="540">
        <v>1</v>
      </c>
      <c r="P133" s="540">
        <v>0</v>
      </c>
      <c r="Q133" s="540">
        <v>220</v>
      </c>
      <c r="R133" s="540">
        <v>1</v>
      </c>
      <c r="S133" s="540">
        <v>4</v>
      </c>
      <c r="T133" s="540">
        <v>4</v>
      </c>
      <c r="U133" s="540">
        <v>0</v>
      </c>
      <c r="V133" s="540">
        <v>1</v>
      </c>
      <c r="W133" s="776">
        <f>IF(Kulturen[[#This Row],[Berechnungsschema]]=13,3,IF(Kulturen[[#This Row],[Berechnungsschema]]=6,2,1))</f>
        <v>1</v>
      </c>
      <c r="X133" s="776">
        <f>IF(Kulturen[[#This Row],[fruchtartengruppe]]=13,Kulturen[[#This Row],[NBedarfswert]],MAX(0,Kulturen[[#This Row],[NBedarfswert]]-Kulturen[[#This Row],[Ertrag]]*Kulturen[[#This Row],[Nfix]]))</f>
        <v>220</v>
      </c>
      <c r="Y133" s="776" t="s">
        <v>2127</v>
      </c>
      <c r="Z133" s="776" t="s">
        <v>2127</v>
      </c>
      <c r="AA133" s="776" t="s">
        <v>2127</v>
      </c>
      <c r="AB133" s="776" t="s">
        <v>2127</v>
      </c>
      <c r="AC133" s="776" t="s">
        <v>2127</v>
      </c>
      <c r="AD133" s="776" t="s">
        <v>2127</v>
      </c>
      <c r="AE133" s="776" t="s">
        <v>2127</v>
      </c>
      <c r="AF133" s="776" t="s">
        <v>2127</v>
      </c>
      <c r="AG133" s="776" t="s">
        <v>2127</v>
      </c>
      <c r="AH133" s="776" t="s">
        <v>2127</v>
      </c>
      <c r="AI133" s="776" t="s">
        <v>2127</v>
      </c>
      <c r="AJ133" s="776" t="s">
        <v>2127</v>
      </c>
      <c r="AK133" s="776" t="s">
        <v>2127</v>
      </c>
      <c r="AL133" s="776" t="s">
        <v>2127</v>
      </c>
      <c r="AM133" s="776" t="s">
        <v>2127</v>
      </c>
      <c r="AN133" s="776" t="s">
        <v>2127</v>
      </c>
      <c r="AO133" s="776" t="s">
        <v>2127</v>
      </c>
      <c r="AP133" s="776" t="s">
        <v>2127</v>
      </c>
      <c r="AQ133" s="776" t="s">
        <v>2127</v>
      </c>
      <c r="AR133" s="776" t="s">
        <v>2127</v>
      </c>
      <c r="AS133" s="776" t="s">
        <v>2127</v>
      </c>
      <c r="AT133" s="776" t="s">
        <v>2127</v>
      </c>
      <c r="AU133" s="776" t="s">
        <v>2127</v>
      </c>
      <c r="AV133" s="776" t="s">
        <v>2127</v>
      </c>
      <c r="AW133" s="776" t="s">
        <v>2127</v>
      </c>
      <c r="AX133" s="776" t="s">
        <v>2127</v>
      </c>
      <c r="AY133" s="776" t="s">
        <v>2127</v>
      </c>
      <c r="AZ133" s="776" t="s">
        <v>2127</v>
      </c>
      <c r="BA133" s="776" t="s">
        <v>2127</v>
      </c>
      <c r="BB133" s="776" t="s">
        <v>2127</v>
      </c>
      <c r="BC133" s="776" t="s">
        <v>2127</v>
      </c>
      <c r="BD133" s="776" t="s">
        <v>2127</v>
      </c>
      <c r="BE133" s="776" t="s">
        <v>2127</v>
      </c>
      <c r="BF133" s="776" t="s">
        <v>2127</v>
      </c>
      <c r="BG133" s="776" t="s">
        <v>2127</v>
      </c>
      <c r="BH133" s="776" t="s">
        <v>2127</v>
      </c>
      <c r="BI133" s="776" t="s">
        <v>2127</v>
      </c>
      <c r="BJ133" s="776" t="s">
        <v>2127</v>
      </c>
      <c r="BK133" s="776" t="s">
        <v>2127</v>
      </c>
      <c r="BL133" s="776" t="s">
        <v>2127</v>
      </c>
      <c r="BM133" s="776" t="s">
        <v>2127</v>
      </c>
      <c r="BN133" s="776" t="s">
        <v>2127</v>
      </c>
      <c r="BO133" s="776" t="s">
        <v>2127</v>
      </c>
      <c r="BP133" s="776" t="s">
        <v>2127</v>
      </c>
      <c r="BQ133" s="776" t="s">
        <v>2127</v>
      </c>
      <c r="BR133" s="776" t="s">
        <v>2127</v>
      </c>
      <c r="BS133" s="776" t="s">
        <v>2127</v>
      </c>
      <c r="BT133" s="776" t="s">
        <v>2127</v>
      </c>
      <c r="BU133" s="776" t="s">
        <v>2127</v>
      </c>
      <c r="BV133" s="776" t="s">
        <v>2127</v>
      </c>
      <c r="BW133" s="776" t="s">
        <v>2127</v>
      </c>
      <c r="BX133" s="776" t="s">
        <v>2127</v>
      </c>
      <c r="BY133" s="776" t="s">
        <v>2127</v>
      </c>
      <c r="BZ133" s="776" t="s">
        <v>2127</v>
      </c>
      <c r="CA133" s="776" t="s">
        <v>2127</v>
      </c>
      <c r="CB133" s="776" t="s">
        <v>2127</v>
      </c>
      <c r="CC133" s="776" t="s">
        <v>2127</v>
      </c>
      <c r="CD133" s="776" t="s">
        <v>2127</v>
      </c>
      <c r="CE133" s="776" t="s">
        <v>2127</v>
      </c>
      <c r="CF133" s="776" t="s">
        <v>2127</v>
      </c>
      <c r="CG133" s="776" t="s">
        <v>2127</v>
      </c>
      <c r="CH133" s="776" t="s">
        <v>2127</v>
      </c>
      <c r="CI133" s="776" t="s">
        <v>2127</v>
      </c>
      <c r="CJ133" s="776" t="s">
        <v>2127</v>
      </c>
      <c r="CK133" s="776" t="s">
        <v>2127</v>
      </c>
      <c r="CL133" s="776" t="s">
        <v>2127</v>
      </c>
      <c r="CM133" s="776" t="s">
        <v>2127</v>
      </c>
      <c r="CN133" s="776" t="s">
        <v>2127</v>
      </c>
      <c r="CO133" s="776" t="s">
        <v>2127</v>
      </c>
      <c r="CP133" s="776" t="s">
        <v>2127</v>
      </c>
      <c r="CQ133" s="776" t="s">
        <v>2127</v>
      </c>
      <c r="CR133" s="776" t="s">
        <v>2127</v>
      </c>
      <c r="CS133" s="776" t="s">
        <v>2127</v>
      </c>
      <c r="CT133" s="776" t="s">
        <v>2127</v>
      </c>
      <c r="CU133" s="776" t="s">
        <v>2127</v>
      </c>
      <c r="CV133" s="776" t="s">
        <v>2127</v>
      </c>
      <c r="CW133" s="776" t="s">
        <v>2127</v>
      </c>
      <c r="CX133" s="776" t="s">
        <v>2127</v>
      </c>
      <c r="CY133" s="776" t="s">
        <v>2127</v>
      </c>
      <c r="CZ133" s="776" t="s">
        <v>2127</v>
      </c>
      <c r="DA133" s="776" t="s">
        <v>2127</v>
      </c>
      <c r="DB133" s="776" t="s">
        <v>2127</v>
      </c>
      <c r="DC133" s="776" t="s">
        <v>2127</v>
      </c>
      <c r="DD133" s="776" t="s">
        <v>2127</v>
      </c>
      <c r="DE133" s="776" t="s">
        <v>2127</v>
      </c>
      <c r="DF133" s="776" t="s">
        <v>2127</v>
      </c>
      <c r="DG133" s="776" t="s">
        <v>2127</v>
      </c>
      <c r="DH133" s="776" t="s">
        <v>2127</v>
      </c>
      <c r="DI133" s="776" t="s">
        <v>2127</v>
      </c>
      <c r="DJ133" s="776" t="s">
        <v>2127</v>
      </c>
      <c r="DK133" s="776" t="s">
        <v>2127</v>
      </c>
      <c r="DL133" s="776" t="s">
        <v>2127</v>
      </c>
      <c r="DM133" s="776" t="s">
        <v>2127</v>
      </c>
      <c r="DN133" s="776" t="s">
        <v>2127</v>
      </c>
      <c r="DO133" s="776" t="s">
        <v>2127</v>
      </c>
      <c r="DP133" s="776" t="s">
        <v>2127</v>
      </c>
    </row>
    <row r="134" spans="1:123" x14ac:dyDescent="0.2">
      <c r="A134" s="637" t="s">
        <v>2170</v>
      </c>
      <c r="B134" s="772" t="str" cm="1">
        <f t="array" ref="B134">IFERROR(INDEX(Kulturen[HF],_xlfn.AGGREGATE(15,6,(ROW(Kulturen[Auswahl])-7)/(--(SEARCH("x",Kulturen[Auswahl])&gt;0)),ROW()-7),1),"")</f>
        <v>Teichfläche (Nicht-LF)</v>
      </c>
      <c r="C134" s="772" t="str">
        <f>IF(Kulturen[[#This Row],[HF]]=$D$373,IF($C$6=0,0,"x"),IF($C$6=0,"x",Vorauswahl!C133))</f>
        <v>x</v>
      </c>
      <c r="D134" s="77" t="s">
        <v>1019</v>
      </c>
      <c r="E134" s="77" t="s">
        <v>1019</v>
      </c>
      <c r="F134" s="540" t="s">
        <v>1021</v>
      </c>
      <c r="G134" s="540">
        <v>10</v>
      </c>
      <c r="H134" s="540">
        <v>5</v>
      </c>
      <c r="I134" s="540">
        <v>3</v>
      </c>
      <c r="J134" s="540">
        <v>17</v>
      </c>
      <c r="K134" s="540">
        <v>1</v>
      </c>
      <c r="L134" s="540">
        <v>2</v>
      </c>
      <c r="M134" s="540">
        <v>17.5</v>
      </c>
      <c r="N134" s="540">
        <v>0</v>
      </c>
      <c r="O134" s="540">
        <v>1</v>
      </c>
      <c r="P134" s="540">
        <v>0</v>
      </c>
      <c r="Q134" s="540">
        <v>230</v>
      </c>
      <c r="R134" s="540">
        <v>1</v>
      </c>
      <c r="S134" s="540">
        <v>4</v>
      </c>
      <c r="T134" s="540">
        <v>4</v>
      </c>
      <c r="U134" s="540">
        <v>0</v>
      </c>
      <c r="V134" s="540">
        <v>1</v>
      </c>
      <c r="W134" s="776">
        <f>IF(Kulturen[[#This Row],[Berechnungsschema]]=13,3,IF(Kulturen[[#This Row],[Berechnungsschema]]=6,2,1))</f>
        <v>1</v>
      </c>
      <c r="X134" s="776">
        <f>IF(Kulturen[[#This Row],[fruchtartengruppe]]=13,Kulturen[[#This Row],[NBedarfswert]],MAX(0,Kulturen[[#This Row],[NBedarfswert]]-Kulturen[[#This Row],[Ertrag]]*Kulturen[[#This Row],[Nfix]]))</f>
        <v>230</v>
      </c>
      <c r="Y134" s="776" t="s">
        <v>2127</v>
      </c>
      <c r="Z134" s="776" t="s">
        <v>2127</v>
      </c>
      <c r="AA134" s="776" t="s">
        <v>2127</v>
      </c>
      <c r="AB134" s="776" t="s">
        <v>2127</v>
      </c>
      <c r="AC134" s="776" t="s">
        <v>2127</v>
      </c>
      <c r="AD134" s="776" t="s">
        <v>2127</v>
      </c>
      <c r="AE134" s="776" t="s">
        <v>2127</v>
      </c>
      <c r="AF134" s="776" t="s">
        <v>2127</v>
      </c>
      <c r="AG134" s="776" t="s">
        <v>2127</v>
      </c>
      <c r="AH134" s="776" t="s">
        <v>2127</v>
      </c>
      <c r="AI134" s="776" t="s">
        <v>2127</v>
      </c>
      <c r="AJ134" s="776" t="s">
        <v>2127</v>
      </c>
      <c r="AK134" s="776" t="s">
        <v>2127</v>
      </c>
      <c r="AL134" s="776" t="s">
        <v>2127</v>
      </c>
      <c r="AM134" s="776" t="s">
        <v>2127</v>
      </c>
      <c r="AN134" s="776" t="s">
        <v>2127</v>
      </c>
      <c r="AO134" s="776" t="s">
        <v>2127</v>
      </c>
      <c r="AP134" s="776" t="s">
        <v>2127</v>
      </c>
      <c r="AQ134" s="776" t="s">
        <v>2127</v>
      </c>
      <c r="AR134" s="776" t="s">
        <v>2127</v>
      </c>
      <c r="AS134" s="776" t="s">
        <v>2127</v>
      </c>
      <c r="AT134" s="776" t="s">
        <v>2127</v>
      </c>
      <c r="AU134" s="776" t="s">
        <v>2127</v>
      </c>
      <c r="AV134" s="776" t="s">
        <v>2127</v>
      </c>
      <c r="AW134" s="776" t="s">
        <v>2127</v>
      </c>
      <c r="AX134" s="776" t="s">
        <v>2127</v>
      </c>
      <c r="AY134" s="776" t="s">
        <v>2127</v>
      </c>
      <c r="AZ134" s="776" t="s">
        <v>2127</v>
      </c>
      <c r="BA134" s="776" t="s">
        <v>2127</v>
      </c>
      <c r="BB134" s="776" t="s">
        <v>2127</v>
      </c>
      <c r="BC134" s="776" t="s">
        <v>2127</v>
      </c>
      <c r="BD134" s="776" t="s">
        <v>2127</v>
      </c>
      <c r="BE134" s="776" t="s">
        <v>2127</v>
      </c>
      <c r="BF134" s="776" t="s">
        <v>2127</v>
      </c>
      <c r="BG134" s="776" t="s">
        <v>2127</v>
      </c>
      <c r="BH134" s="776" t="s">
        <v>2127</v>
      </c>
      <c r="BI134" s="776" t="s">
        <v>2127</v>
      </c>
      <c r="BJ134" s="776" t="s">
        <v>2127</v>
      </c>
      <c r="BK134" s="776" t="s">
        <v>2127</v>
      </c>
      <c r="BL134" s="776" t="s">
        <v>2127</v>
      </c>
      <c r="BM134" s="776" t="s">
        <v>2127</v>
      </c>
      <c r="BN134" s="776" t="s">
        <v>2127</v>
      </c>
      <c r="BO134" s="776" t="s">
        <v>2127</v>
      </c>
      <c r="BP134" s="776" t="s">
        <v>2127</v>
      </c>
      <c r="BQ134" s="776" t="s">
        <v>2127</v>
      </c>
      <c r="BR134" s="776" t="s">
        <v>2127</v>
      </c>
      <c r="BS134" s="776" t="s">
        <v>2127</v>
      </c>
      <c r="BT134" s="776" t="s">
        <v>2127</v>
      </c>
      <c r="BU134" s="776" t="s">
        <v>2127</v>
      </c>
      <c r="BV134" s="776" t="s">
        <v>2127</v>
      </c>
      <c r="BW134" s="776" t="s">
        <v>2127</v>
      </c>
      <c r="BX134" s="776" t="s">
        <v>2127</v>
      </c>
      <c r="BY134" s="776" t="s">
        <v>2127</v>
      </c>
      <c r="BZ134" s="776" t="s">
        <v>2127</v>
      </c>
      <c r="CA134" s="776" t="s">
        <v>2127</v>
      </c>
      <c r="CB134" s="776" t="s">
        <v>2127</v>
      </c>
      <c r="CC134" s="776" t="s">
        <v>2127</v>
      </c>
      <c r="CD134" s="776" t="s">
        <v>2127</v>
      </c>
      <c r="CE134" s="776" t="s">
        <v>2127</v>
      </c>
      <c r="CF134" s="776" t="s">
        <v>2127</v>
      </c>
      <c r="CG134" s="776" t="s">
        <v>2127</v>
      </c>
      <c r="CH134" s="776" t="s">
        <v>2127</v>
      </c>
      <c r="CI134" s="776" t="s">
        <v>2127</v>
      </c>
      <c r="CJ134" s="776" t="s">
        <v>2127</v>
      </c>
      <c r="CK134" s="776" t="s">
        <v>2127</v>
      </c>
      <c r="CL134" s="776" t="s">
        <v>2127</v>
      </c>
      <c r="CM134" s="776" t="s">
        <v>2127</v>
      </c>
      <c r="CN134" s="776" t="s">
        <v>2127</v>
      </c>
      <c r="CO134" s="776" t="s">
        <v>2127</v>
      </c>
      <c r="CP134" s="776" t="s">
        <v>2127</v>
      </c>
      <c r="CQ134" s="776" t="s">
        <v>2127</v>
      </c>
      <c r="CR134" s="776" t="s">
        <v>2127</v>
      </c>
      <c r="CS134" s="776" t="s">
        <v>2127</v>
      </c>
      <c r="CT134" s="776" t="s">
        <v>2127</v>
      </c>
      <c r="CU134" s="776" t="s">
        <v>2127</v>
      </c>
      <c r="CV134" s="776" t="s">
        <v>2127</v>
      </c>
      <c r="CW134" s="776" t="s">
        <v>2127</v>
      </c>
      <c r="CX134" s="776" t="s">
        <v>2127</v>
      </c>
      <c r="CY134" s="776" t="s">
        <v>2127</v>
      </c>
      <c r="CZ134" s="776" t="s">
        <v>2127</v>
      </c>
      <c r="DA134" s="776" t="s">
        <v>2127</v>
      </c>
      <c r="DB134" s="776" t="s">
        <v>2127</v>
      </c>
      <c r="DC134" s="776" t="s">
        <v>2127</v>
      </c>
      <c r="DD134" s="776" t="s">
        <v>2127</v>
      </c>
      <c r="DE134" s="776" t="s">
        <v>2127</v>
      </c>
      <c r="DF134" s="776" t="s">
        <v>2127</v>
      </c>
      <c r="DG134" s="776" t="s">
        <v>2127</v>
      </c>
      <c r="DH134" s="776" t="s">
        <v>2127</v>
      </c>
      <c r="DI134" s="776" t="s">
        <v>2127</v>
      </c>
      <c r="DJ134" s="776" t="s">
        <v>2127</v>
      </c>
      <c r="DK134" s="776" t="s">
        <v>2127</v>
      </c>
      <c r="DL134" s="776" t="s">
        <v>2127</v>
      </c>
      <c r="DM134" s="776" t="s">
        <v>2127</v>
      </c>
      <c r="DN134" s="776" t="s">
        <v>2127</v>
      </c>
      <c r="DO134" s="776" t="s">
        <v>2127</v>
      </c>
      <c r="DP134" s="776" t="s">
        <v>2127</v>
      </c>
    </row>
    <row r="135" spans="1:123" x14ac:dyDescent="0.2">
      <c r="A135" s="637" t="s">
        <v>2171</v>
      </c>
      <c r="B135" s="772" t="str" cm="1">
        <f t="array" ref="B135">IFERROR(INDEX(Kulturen[HF],_xlfn.AGGREGATE(15,6,(ROW(Kulturen[Auswahl])-7)/(--(SEARCH("x",Kulturen[Auswahl])&gt;0)),ROW()-7),1),"")</f>
        <v>Aufforstung (Nicht-LF)</v>
      </c>
      <c r="C135" s="772" t="str">
        <f>IF(Kulturen[[#This Row],[HF]]=$D$373,IF($C$6=0,0,"x"),IF($C$6=0,"x",Vorauswahl!C134))</f>
        <v>x</v>
      </c>
      <c r="D135" s="77" t="s">
        <v>1914</v>
      </c>
      <c r="E135" s="77" t="s">
        <v>1914</v>
      </c>
      <c r="F135" s="540" t="s">
        <v>608</v>
      </c>
      <c r="G135" s="540">
        <v>10</v>
      </c>
      <c r="H135" s="540">
        <v>8</v>
      </c>
      <c r="I135" s="540">
        <v>1</v>
      </c>
      <c r="J135" s="540">
        <v>90</v>
      </c>
      <c r="K135" s="540">
        <v>0.09</v>
      </c>
      <c r="L135" s="540">
        <v>0.11</v>
      </c>
      <c r="M135" s="540">
        <v>400</v>
      </c>
      <c r="N135" s="540">
        <v>0</v>
      </c>
      <c r="O135" s="540">
        <v>1</v>
      </c>
      <c r="P135" s="540">
        <v>0</v>
      </c>
      <c r="Q135" s="540">
        <v>140</v>
      </c>
      <c r="R135" s="540">
        <v>50</v>
      </c>
      <c r="S135" s="540">
        <v>10</v>
      </c>
      <c r="T135" s="540">
        <v>10</v>
      </c>
      <c r="U135" s="540">
        <v>0</v>
      </c>
      <c r="V135" s="540">
        <v>3</v>
      </c>
      <c r="W135" s="776">
        <f>IF(Kulturen[[#This Row],[Berechnungsschema]]=13,3,IF(Kulturen[[#This Row],[Berechnungsschema]]=6,2,1))</f>
        <v>1</v>
      </c>
      <c r="X135" s="776">
        <f>IF(Kulturen[[#This Row],[fruchtartengruppe]]=13,Kulturen[[#This Row],[NBedarfswert]],MAX(0,Kulturen[[#This Row],[NBedarfswert]]-Kulturen[[#This Row],[Ertrag]]*Kulturen[[#This Row],[Nfix]]))</f>
        <v>140</v>
      </c>
      <c r="Y135" s="776" t="s">
        <v>2127</v>
      </c>
      <c r="Z135" s="776" t="s">
        <v>2127</v>
      </c>
      <c r="AA135" s="776" t="s">
        <v>2127</v>
      </c>
      <c r="AB135" s="776" t="s">
        <v>2127</v>
      </c>
      <c r="AC135" s="776" t="s">
        <v>2127</v>
      </c>
      <c r="AD135" s="776" t="s">
        <v>2127</v>
      </c>
      <c r="AE135" s="776" t="s">
        <v>2127</v>
      </c>
      <c r="AF135" s="776" t="s">
        <v>2127</v>
      </c>
      <c r="AG135" s="776" t="s">
        <v>2127</v>
      </c>
      <c r="AH135" s="776" t="s">
        <v>2127</v>
      </c>
      <c r="AI135" s="776" t="s">
        <v>2127</v>
      </c>
      <c r="AJ135" s="776" t="s">
        <v>2127</v>
      </c>
      <c r="AK135" s="776" t="s">
        <v>2127</v>
      </c>
      <c r="AL135" s="776" t="s">
        <v>2127</v>
      </c>
      <c r="AM135" s="776" t="s">
        <v>2127</v>
      </c>
      <c r="AN135" s="776" t="s">
        <v>2127</v>
      </c>
      <c r="AO135" s="776" t="s">
        <v>2127</v>
      </c>
      <c r="AP135" s="776" t="s">
        <v>2127</v>
      </c>
      <c r="AQ135" s="776" t="s">
        <v>2127</v>
      </c>
      <c r="AR135" s="776" t="s">
        <v>2127</v>
      </c>
      <c r="AS135" s="776" t="s">
        <v>2127</v>
      </c>
      <c r="AT135" s="776" t="s">
        <v>2127</v>
      </c>
      <c r="AU135" s="776" t="s">
        <v>2127</v>
      </c>
      <c r="AV135" s="776" t="s">
        <v>2127</v>
      </c>
      <c r="AW135" s="776" t="s">
        <v>2127</v>
      </c>
      <c r="AX135" s="776" t="s">
        <v>2127</v>
      </c>
      <c r="AY135" s="776" t="s">
        <v>2127</v>
      </c>
      <c r="AZ135" s="776" t="s">
        <v>2127</v>
      </c>
      <c r="BA135" s="776" t="s">
        <v>2127</v>
      </c>
      <c r="BB135" s="776" t="s">
        <v>2127</v>
      </c>
      <c r="BC135" s="776" t="s">
        <v>2127</v>
      </c>
      <c r="BD135" s="776" t="s">
        <v>2127</v>
      </c>
      <c r="BE135" s="776" t="s">
        <v>2127</v>
      </c>
      <c r="BF135" s="776" t="s">
        <v>2127</v>
      </c>
      <c r="BG135" s="776" t="s">
        <v>2127</v>
      </c>
      <c r="BH135" s="776" t="s">
        <v>2127</v>
      </c>
      <c r="BI135" s="776" t="s">
        <v>2127</v>
      </c>
      <c r="BJ135" s="776" t="s">
        <v>2127</v>
      </c>
      <c r="BK135" s="776" t="s">
        <v>2127</v>
      </c>
      <c r="BL135" s="776" t="s">
        <v>2127</v>
      </c>
      <c r="BM135" s="776" t="s">
        <v>2127</v>
      </c>
      <c r="BN135" s="776" t="s">
        <v>2127</v>
      </c>
      <c r="BO135" s="776" t="s">
        <v>2127</v>
      </c>
      <c r="BP135" s="776" t="s">
        <v>2127</v>
      </c>
      <c r="BQ135" s="776" t="s">
        <v>2127</v>
      </c>
      <c r="BR135" s="776" t="s">
        <v>2127</v>
      </c>
      <c r="BS135" s="776" t="s">
        <v>2127</v>
      </c>
      <c r="BT135" s="776" t="s">
        <v>2127</v>
      </c>
      <c r="BU135" s="776" t="s">
        <v>2127</v>
      </c>
      <c r="BV135" s="776" t="s">
        <v>2127</v>
      </c>
      <c r="BW135" s="776" t="s">
        <v>2127</v>
      </c>
      <c r="BX135" s="776" t="s">
        <v>2127</v>
      </c>
      <c r="BY135" s="776" t="s">
        <v>2127</v>
      </c>
      <c r="BZ135" s="776" t="s">
        <v>2127</v>
      </c>
      <c r="CA135" s="776" t="s">
        <v>2127</v>
      </c>
      <c r="CB135" s="776" t="s">
        <v>2127</v>
      </c>
      <c r="CC135" s="776" t="s">
        <v>2127</v>
      </c>
      <c r="CD135" s="776" t="s">
        <v>2127</v>
      </c>
      <c r="CE135" s="776" t="s">
        <v>2127</v>
      </c>
      <c r="CF135" s="776" t="s">
        <v>2127</v>
      </c>
      <c r="CG135" s="776" t="s">
        <v>2127</v>
      </c>
      <c r="CH135" s="776" t="s">
        <v>2127</v>
      </c>
      <c r="CI135" s="776" t="s">
        <v>2127</v>
      </c>
      <c r="CJ135" s="776" t="s">
        <v>2127</v>
      </c>
      <c r="CK135" s="776" t="s">
        <v>2127</v>
      </c>
      <c r="CL135" s="776" t="s">
        <v>2127</v>
      </c>
      <c r="CM135" s="776" t="s">
        <v>2127</v>
      </c>
      <c r="CN135" s="776" t="s">
        <v>2127</v>
      </c>
      <c r="CO135" s="776" t="s">
        <v>2127</v>
      </c>
      <c r="CP135" s="776" t="s">
        <v>2127</v>
      </c>
      <c r="CQ135" s="776" t="s">
        <v>2127</v>
      </c>
      <c r="CR135" s="776" t="s">
        <v>2127</v>
      </c>
      <c r="CS135" s="776" t="s">
        <v>2127</v>
      </c>
      <c r="CT135" s="776" t="s">
        <v>2127</v>
      </c>
      <c r="CU135" s="776" t="s">
        <v>2127</v>
      </c>
      <c r="CV135" s="776" t="s">
        <v>2127</v>
      </c>
      <c r="CW135" s="776" t="s">
        <v>2127</v>
      </c>
      <c r="CX135" s="776" t="s">
        <v>2127</v>
      </c>
      <c r="CY135" s="776" t="s">
        <v>2127</v>
      </c>
      <c r="CZ135" s="776" t="s">
        <v>2127</v>
      </c>
      <c r="DA135" s="776" t="s">
        <v>2127</v>
      </c>
      <c r="DB135" s="776" t="s">
        <v>2127</v>
      </c>
      <c r="DC135" s="776" t="s">
        <v>2127</v>
      </c>
      <c r="DD135" s="776" t="s">
        <v>2127</v>
      </c>
      <c r="DE135" s="776" t="s">
        <v>2127</v>
      </c>
      <c r="DF135" s="776" t="s">
        <v>2127</v>
      </c>
      <c r="DG135" s="776" t="s">
        <v>2127</v>
      </c>
      <c r="DH135" s="776" t="s">
        <v>2127</v>
      </c>
      <c r="DI135" s="776" t="s">
        <v>2127</v>
      </c>
      <c r="DJ135" s="776" t="s">
        <v>2127</v>
      </c>
      <c r="DK135" s="776" t="s">
        <v>2127</v>
      </c>
      <c r="DL135" s="776" t="s">
        <v>2127</v>
      </c>
      <c r="DM135" s="776" t="s">
        <v>2127</v>
      </c>
      <c r="DN135" s="776" t="s">
        <v>2127</v>
      </c>
      <c r="DO135" s="776" t="s">
        <v>2127</v>
      </c>
      <c r="DP135" s="776" t="s">
        <v>2127</v>
      </c>
    </row>
    <row r="136" spans="1:123" x14ac:dyDescent="0.2">
      <c r="A136" s="637" t="s">
        <v>2172</v>
      </c>
      <c r="B136" s="772" t="str" cm="1">
        <f t="array" ref="B136">IFERROR(INDEX(Kulturen[HF],_xlfn.AGGREGATE(15,6,(ROW(Kulturen[Auswahl])-7)/(--(SEARCH("x",Kulturen[Auswahl])&gt;0)),ROW()-7),1),"")</f>
        <v>Feldgehölz, Feldrain (Nicht-LF)</v>
      </c>
      <c r="C136" s="772" t="str">
        <f>IF(Kulturen[[#This Row],[HF]]=$D$373,IF($C$6=0,0,"x"),IF($C$6=0,"x",Vorauswahl!C135))</f>
        <v>x</v>
      </c>
      <c r="D136" s="77" t="s">
        <v>50</v>
      </c>
      <c r="E136" s="77" t="s">
        <v>2401</v>
      </c>
      <c r="F136" s="540" t="s">
        <v>609</v>
      </c>
      <c r="G136" s="540">
        <v>10</v>
      </c>
      <c r="H136" s="540">
        <v>8</v>
      </c>
      <c r="I136" s="540">
        <v>3</v>
      </c>
      <c r="J136" s="540">
        <v>90</v>
      </c>
      <c r="K136" s="540">
        <v>0.7</v>
      </c>
      <c r="L136" s="540">
        <v>0.7</v>
      </c>
      <c r="M136" s="540">
        <v>23</v>
      </c>
      <c r="N136" s="540">
        <v>0</v>
      </c>
      <c r="O136" s="540">
        <v>1</v>
      </c>
      <c r="P136" s="540">
        <v>0</v>
      </c>
      <c r="Q136" s="540">
        <v>100</v>
      </c>
      <c r="R136" s="540">
        <v>5</v>
      </c>
      <c r="S136" s="540">
        <v>10</v>
      </c>
      <c r="T136" s="540">
        <v>15</v>
      </c>
      <c r="U136" s="540">
        <v>0</v>
      </c>
      <c r="V136" s="540">
        <v>1</v>
      </c>
      <c r="W136" s="776">
        <f>IF(Kulturen[[#This Row],[Berechnungsschema]]=13,3,IF(Kulturen[[#This Row],[Berechnungsschema]]=6,2,1))</f>
        <v>1</v>
      </c>
      <c r="X136" s="776">
        <f>IF(Kulturen[[#This Row],[fruchtartengruppe]]=13,Kulturen[[#This Row],[NBedarfswert]],MAX(0,Kulturen[[#This Row],[NBedarfswert]]-Kulturen[[#This Row],[Ertrag]]*Kulturen[[#This Row],[Nfix]]))</f>
        <v>100</v>
      </c>
      <c r="Y136" s="776" t="s">
        <v>2127</v>
      </c>
      <c r="Z136" s="776" t="s">
        <v>2127</v>
      </c>
      <c r="AA136" s="776" t="s">
        <v>2127</v>
      </c>
      <c r="AB136" s="776" t="s">
        <v>2127</v>
      </c>
      <c r="AC136" s="776" t="s">
        <v>2127</v>
      </c>
      <c r="AD136" s="776" t="s">
        <v>2127</v>
      </c>
      <c r="AE136" s="776" t="s">
        <v>2127</v>
      </c>
      <c r="AF136" s="776" t="s">
        <v>2127</v>
      </c>
      <c r="AG136" s="776" t="s">
        <v>2127</v>
      </c>
      <c r="AH136" s="776" t="s">
        <v>2127</v>
      </c>
      <c r="AI136" s="776" t="s">
        <v>2127</v>
      </c>
      <c r="AJ136" s="776" t="s">
        <v>2127</v>
      </c>
      <c r="AK136" s="776" t="s">
        <v>2127</v>
      </c>
      <c r="AL136" s="776" t="s">
        <v>2127</v>
      </c>
      <c r="AM136" s="776" t="s">
        <v>2127</v>
      </c>
      <c r="AN136" s="776" t="s">
        <v>2127</v>
      </c>
      <c r="AO136" s="776" t="s">
        <v>2127</v>
      </c>
      <c r="AP136" s="776" t="s">
        <v>2127</v>
      </c>
      <c r="AQ136" s="776" t="s">
        <v>2127</v>
      </c>
      <c r="AR136" s="776" t="s">
        <v>2127</v>
      </c>
      <c r="AS136" s="776" t="s">
        <v>2127</v>
      </c>
      <c r="AT136" s="776" t="s">
        <v>2127</v>
      </c>
      <c r="AU136" s="776" t="s">
        <v>2127</v>
      </c>
      <c r="AV136" s="776" t="s">
        <v>2127</v>
      </c>
      <c r="AW136" s="776" t="s">
        <v>2127</v>
      </c>
      <c r="AX136" s="776" t="s">
        <v>2127</v>
      </c>
      <c r="AY136" s="776" t="s">
        <v>2127</v>
      </c>
      <c r="AZ136" s="776" t="s">
        <v>2127</v>
      </c>
      <c r="BA136" s="776" t="s">
        <v>2127</v>
      </c>
      <c r="BB136" s="776" t="s">
        <v>2127</v>
      </c>
      <c r="BC136" s="776" t="s">
        <v>2127</v>
      </c>
      <c r="BD136" s="776" t="s">
        <v>2127</v>
      </c>
      <c r="BE136" s="776" t="s">
        <v>2127</v>
      </c>
      <c r="BF136" s="776" t="s">
        <v>2127</v>
      </c>
      <c r="BG136" s="776" t="s">
        <v>2127</v>
      </c>
      <c r="BH136" s="776" t="s">
        <v>2127</v>
      </c>
      <c r="BI136" s="776" t="s">
        <v>2127</v>
      </c>
      <c r="BJ136" s="776" t="s">
        <v>2127</v>
      </c>
      <c r="BK136" s="776" t="s">
        <v>2127</v>
      </c>
      <c r="BL136" s="776" t="s">
        <v>2127</v>
      </c>
      <c r="BM136" s="776" t="s">
        <v>2127</v>
      </c>
      <c r="BN136" s="776" t="s">
        <v>2127</v>
      </c>
      <c r="BO136" s="776" t="s">
        <v>2127</v>
      </c>
      <c r="BP136" s="776" t="s">
        <v>2127</v>
      </c>
      <c r="BQ136" s="776" t="s">
        <v>2127</v>
      </c>
      <c r="BR136" s="776" t="s">
        <v>2127</v>
      </c>
      <c r="BS136" s="776" t="s">
        <v>2127</v>
      </c>
      <c r="BT136" s="776" t="s">
        <v>2127</v>
      </c>
      <c r="BU136" s="776" t="s">
        <v>2127</v>
      </c>
      <c r="BV136" s="776" t="s">
        <v>2127</v>
      </c>
      <c r="BW136" s="776" t="s">
        <v>2127</v>
      </c>
      <c r="BX136" s="776" t="s">
        <v>2127</v>
      </c>
      <c r="BY136" s="776" t="s">
        <v>2127</v>
      </c>
      <c r="BZ136" s="776" t="s">
        <v>2127</v>
      </c>
      <c r="CA136" s="776" t="s">
        <v>2127</v>
      </c>
      <c r="CB136" s="776" t="s">
        <v>2127</v>
      </c>
      <c r="CC136" s="776" t="s">
        <v>2127</v>
      </c>
      <c r="CD136" s="776" t="s">
        <v>2127</v>
      </c>
      <c r="CE136" s="776" t="s">
        <v>2127</v>
      </c>
      <c r="CF136" s="776" t="s">
        <v>2127</v>
      </c>
      <c r="CG136" s="776" t="s">
        <v>2127</v>
      </c>
      <c r="CH136" s="776" t="s">
        <v>2127</v>
      </c>
      <c r="CI136" s="776" t="s">
        <v>2127</v>
      </c>
      <c r="CJ136" s="776" t="s">
        <v>2127</v>
      </c>
      <c r="CK136" s="776" t="s">
        <v>2127</v>
      </c>
      <c r="CL136" s="776" t="s">
        <v>2127</v>
      </c>
      <c r="CM136" s="776" t="s">
        <v>2127</v>
      </c>
      <c r="CN136" s="776" t="s">
        <v>2127</v>
      </c>
      <c r="CO136" s="776" t="s">
        <v>2127</v>
      </c>
      <c r="CP136" s="776" t="s">
        <v>2127</v>
      </c>
      <c r="CQ136" s="776" t="s">
        <v>2127</v>
      </c>
      <c r="CR136" s="776" t="s">
        <v>2127</v>
      </c>
      <c r="CS136" s="776" t="s">
        <v>2127</v>
      </c>
      <c r="CT136" s="776" t="s">
        <v>2127</v>
      </c>
      <c r="CU136" s="776" t="s">
        <v>2127</v>
      </c>
      <c r="CV136" s="776" t="s">
        <v>2127</v>
      </c>
      <c r="CW136" s="776" t="s">
        <v>2127</v>
      </c>
      <c r="CX136" s="776" t="s">
        <v>2127</v>
      </c>
      <c r="CY136" s="776" t="s">
        <v>2127</v>
      </c>
      <c r="CZ136" s="776" t="s">
        <v>2127</v>
      </c>
      <c r="DA136" s="776" t="s">
        <v>2127</v>
      </c>
      <c r="DB136" s="776" t="s">
        <v>2127</v>
      </c>
      <c r="DC136" s="776" t="s">
        <v>2127</v>
      </c>
      <c r="DD136" s="776" t="s">
        <v>2127</v>
      </c>
      <c r="DE136" s="776" t="s">
        <v>2127</v>
      </c>
      <c r="DF136" s="776" t="s">
        <v>2127</v>
      </c>
      <c r="DG136" s="776" t="s">
        <v>2127</v>
      </c>
      <c r="DH136" s="776" t="s">
        <v>2127</v>
      </c>
      <c r="DI136" s="776" t="s">
        <v>2127</v>
      </c>
      <c r="DJ136" s="776" t="s">
        <v>2127</v>
      </c>
      <c r="DK136" s="776" t="s">
        <v>2127</v>
      </c>
      <c r="DL136" s="776" t="s">
        <v>2127</v>
      </c>
      <c r="DM136" s="776" t="s">
        <v>2127</v>
      </c>
      <c r="DN136" s="776" t="s">
        <v>2127</v>
      </c>
      <c r="DO136" s="776" t="s">
        <v>2127</v>
      </c>
      <c r="DP136" s="776" t="s">
        <v>2127</v>
      </c>
    </row>
    <row r="137" spans="1:123" x14ac:dyDescent="0.2">
      <c r="A137" s="637" t="s">
        <v>2173</v>
      </c>
      <c r="B137" s="772" t="str" cm="1">
        <f t="array" ref="B137">IFERROR(INDEX(Kulturen[HF],_xlfn.AGGREGATE(15,6,(ROW(Kulturen[Auswahl])-7)/(--(SEARCH("x",Kulturen[Auswahl])&gt;0)),ROW()-7),1),"")</f>
        <v>sonstige Fläche (Nicht-LF)</v>
      </c>
      <c r="C137" s="772" t="str">
        <f>IF(Kulturen[[#This Row],[HF]]=$D$373,IF($C$6=0,0,"x"),IF($C$6=0,"x",Vorauswahl!C136))</f>
        <v>x</v>
      </c>
      <c r="D137" s="77" t="s">
        <v>75</v>
      </c>
      <c r="E137" s="77" t="s">
        <v>75</v>
      </c>
      <c r="F137" s="540" t="s">
        <v>610</v>
      </c>
      <c r="G137" s="540">
        <v>10</v>
      </c>
      <c r="H137" s="540">
        <v>8</v>
      </c>
      <c r="I137" s="540">
        <v>1</v>
      </c>
      <c r="J137" s="540">
        <v>90</v>
      </c>
      <c r="K137" s="540">
        <v>0.05</v>
      </c>
      <c r="L137" s="540">
        <v>0.05</v>
      </c>
      <c r="M137" s="540">
        <v>140</v>
      </c>
      <c r="N137" s="540">
        <v>0</v>
      </c>
      <c r="O137" s="540">
        <v>1</v>
      </c>
      <c r="P137" s="540">
        <v>0</v>
      </c>
      <c r="Q137" s="540">
        <v>60</v>
      </c>
      <c r="R137" s="540">
        <v>28</v>
      </c>
      <c r="S137" s="540">
        <v>20</v>
      </c>
      <c r="T137" s="540">
        <v>20</v>
      </c>
      <c r="U137" s="540">
        <v>0</v>
      </c>
      <c r="V137" s="540">
        <v>1</v>
      </c>
      <c r="W137" s="776">
        <f>IF(Kulturen[[#This Row],[Berechnungsschema]]=13,3,IF(Kulturen[[#This Row],[Berechnungsschema]]=6,2,1))</f>
        <v>1</v>
      </c>
      <c r="X137" s="776">
        <f>IF(Kulturen[[#This Row],[fruchtartengruppe]]=13,Kulturen[[#This Row],[NBedarfswert]],MAX(0,Kulturen[[#This Row],[NBedarfswert]]-Kulturen[[#This Row],[Ertrag]]*Kulturen[[#This Row],[Nfix]]))</f>
        <v>60</v>
      </c>
      <c r="Y137" s="776" t="s">
        <v>2127</v>
      </c>
      <c r="Z137" s="776" t="s">
        <v>2127</v>
      </c>
      <c r="AA137" s="776" t="s">
        <v>2127</v>
      </c>
      <c r="AB137" s="776" t="s">
        <v>2127</v>
      </c>
      <c r="AC137" s="776" t="s">
        <v>2127</v>
      </c>
      <c r="AD137" s="776" t="s">
        <v>2127</v>
      </c>
      <c r="AE137" s="776" t="s">
        <v>2127</v>
      </c>
      <c r="AF137" s="776" t="s">
        <v>2127</v>
      </c>
      <c r="AG137" s="776" t="s">
        <v>2127</v>
      </c>
      <c r="AH137" s="776" t="s">
        <v>2127</v>
      </c>
      <c r="AI137" s="776" t="s">
        <v>2127</v>
      </c>
      <c r="AJ137" s="776" t="s">
        <v>2127</v>
      </c>
      <c r="AK137" s="776" t="s">
        <v>2127</v>
      </c>
      <c r="AL137" s="776" t="s">
        <v>2127</v>
      </c>
      <c r="AM137" s="776" t="s">
        <v>2127</v>
      </c>
      <c r="AN137" s="776" t="s">
        <v>2127</v>
      </c>
      <c r="AO137" s="776" t="s">
        <v>2127</v>
      </c>
      <c r="AP137" s="776" t="s">
        <v>2127</v>
      </c>
      <c r="AQ137" s="776" t="s">
        <v>2127</v>
      </c>
      <c r="AR137" s="776" t="s">
        <v>2127</v>
      </c>
      <c r="AS137" s="776" t="s">
        <v>2127</v>
      </c>
      <c r="AT137" s="776" t="s">
        <v>2127</v>
      </c>
      <c r="AU137" s="776" t="s">
        <v>2127</v>
      </c>
      <c r="AV137" s="776" t="s">
        <v>2127</v>
      </c>
      <c r="AW137" s="776" t="s">
        <v>2127</v>
      </c>
      <c r="AX137" s="776" t="s">
        <v>2127</v>
      </c>
      <c r="AY137" s="776" t="s">
        <v>2127</v>
      </c>
      <c r="AZ137" s="776" t="s">
        <v>2127</v>
      </c>
      <c r="BA137" s="776" t="s">
        <v>2127</v>
      </c>
      <c r="BB137" s="776" t="s">
        <v>2127</v>
      </c>
      <c r="BC137" s="776" t="s">
        <v>2127</v>
      </c>
      <c r="BD137" s="776" t="s">
        <v>2127</v>
      </c>
      <c r="BE137" s="776" t="s">
        <v>2127</v>
      </c>
      <c r="BF137" s="776" t="s">
        <v>2127</v>
      </c>
      <c r="BG137" s="776" t="s">
        <v>2127</v>
      </c>
      <c r="BH137" s="776" t="s">
        <v>2127</v>
      </c>
      <c r="BI137" s="776" t="s">
        <v>2127</v>
      </c>
      <c r="BJ137" s="776" t="s">
        <v>2127</v>
      </c>
      <c r="BK137" s="776" t="s">
        <v>2127</v>
      </c>
      <c r="BL137" s="776" t="s">
        <v>2127</v>
      </c>
      <c r="BM137" s="776" t="s">
        <v>2127</v>
      </c>
      <c r="BN137" s="776" t="s">
        <v>2127</v>
      </c>
      <c r="BO137" s="776" t="s">
        <v>2127</v>
      </c>
      <c r="BP137" s="776" t="s">
        <v>2127</v>
      </c>
      <c r="BQ137" s="776" t="s">
        <v>2127</v>
      </c>
      <c r="BR137" s="776" t="s">
        <v>2127</v>
      </c>
      <c r="BS137" s="776" t="s">
        <v>2127</v>
      </c>
      <c r="BT137" s="776" t="s">
        <v>2127</v>
      </c>
      <c r="BU137" s="776" t="s">
        <v>2127</v>
      </c>
      <c r="BV137" s="776" t="s">
        <v>2127</v>
      </c>
      <c r="BW137" s="776" t="s">
        <v>2127</v>
      </c>
      <c r="BX137" s="776" t="s">
        <v>2127</v>
      </c>
      <c r="BY137" s="776" t="s">
        <v>2127</v>
      </c>
      <c r="BZ137" s="776" t="s">
        <v>2127</v>
      </c>
      <c r="CA137" s="776" t="s">
        <v>2127</v>
      </c>
      <c r="CB137" s="776" t="s">
        <v>2127</v>
      </c>
      <c r="CC137" s="776" t="s">
        <v>2127</v>
      </c>
      <c r="CD137" s="776" t="s">
        <v>2127</v>
      </c>
      <c r="CE137" s="776" t="s">
        <v>2127</v>
      </c>
      <c r="CF137" s="776" t="s">
        <v>2127</v>
      </c>
      <c r="CG137" s="776" t="s">
        <v>2127</v>
      </c>
      <c r="CH137" s="776" t="s">
        <v>2127</v>
      </c>
      <c r="CI137" s="776" t="s">
        <v>2127</v>
      </c>
      <c r="CJ137" s="776" t="s">
        <v>2127</v>
      </c>
      <c r="CK137" s="776" t="s">
        <v>2127</v>
      </c>
      <c r="CL137" s="776" t="s">
        <v>2127</v>
      </c>
      <c r="CM137" s="776" t="s">
        <v>2127</v>
      </c>
      <c r="CN137" s="776" t="s">
        <v>2127</v>
      </c>
      <c r="CO137" s="776" t="s">
        <v>2127</v>
      </c>
      <c r="CP137" s="776" t="s">
        <v>2127</v>
      </c>
      <c r="CQ137" s="776" t="s">
        <v>2127</v>
      </c>
      <c r="CR137" s="776" t="s">
        <v>2127</v>
      </c>
      <c r="CS137" s="776" t="s">
        <v>2127</v>
      </c>
      <c r="CT137" s="776" t="s">
        <v>2127</v>
      </c>
      <c r="CU137" s="776" t="s">
        <v>2127</v>
      </c>
      <c r="CV137" s="776" t="s">
        <v>2127</v>
      </c>
      <c r="CW137" s="776" t="s">
        <v>2127</v>
      </c>
      <c r="CX137" s="776" t="s">
        <v>2127</v>
      </c>
      <c r="CY137" s="776" t="s">
        <v>2127</v>
      </c>
      <c r="CZ137" s="776" t="s">
        <v>2127</v>
      </c>
      <c r="DA137" s="776" t="s">
        <v>2127</v>
      </c>
      <c r="DB137" s="776" t="s">
        <v>2127</v>
      </c>
      <c r="DC137" s="776" t="s">
        <v>2127</v>
      </c>
      <c r="DD137" s="776" t="s">
        <v>2127</v>
      </c>
      <c r="DE137" s="776" t="s">
        <v>2127</v>
      </c>
      <c r="DF137" s="776" t="s">
        <v>2127</v>
      </c>
      <c r="DG137" s="776" t="s">
        <v>2127</v>
      </c>
      <c r="DH137" s="776" t="s">
        <v>2127</v>
      </c>
      <c r="DI137" s="776" t="s">
        <v>2127</v>
      </c>
      <c r="DJ137" s="776" t="s">
        <v>2127</v>
      </c>
      <c r="DK137" s="776" t="s">
        <v>2127</v>
      </c>
      <c r="DL137" s="776" t="s">
        <v>2127</v>
      </c>
      <c r="DM137" s="776" t="s">
        <v>2127</v>
      </c>
      <c r="DN137" s="776" t="s">
        <v>2127</v>
      </c>
      <c r="DO137" s="776" t="s">
        <v>2127</v>
      </c>
      <c r="DP137" s="776" t="s">
        <v>2127</v>
      </c>
    </row>
    <row r="138" spans="1:123" x14ac:dyDescent="0.2">
      <c r="A138" s="637"/>
      <c r="B138" s="772" t="str" cm="1">
        <f t="array" ref="B138">IFERROR(INDEX(Kulturen[HF],_xlfn.AGGREGATE(15,6,(ROW(Kulturen[Auswahl])-7)/(--(SEARCH("x",Kulturen[Auswahl])&gt;0)),ROW()-7),1),"")</f>
        <v>+++Gemüse+++</v>
      </c>
      <c r="C138" s="772" t="str">
        <f>IF(Kulturen[[#This Row],[HF]]=$D$373,IF($C$6=0,0,"x"),IF($C$6=0,"x",Vorauswahl!C137))</f>
        <v>x</v>
      </c>
      <c r="D138" s="77" t="s">
        <v>1915</v>
      </c>
      <c r="E138" s="77" t="s">
        <v>1915</v>
      </c>
      <c r="F138" s="540" t="s">
        <v>1859</v>
      </c>
      <c r="G138" s="540">
        <v>11</v>
      </c>
      <c r="H138" s="540">
        <v>8</v>
      </c>
      <c r="I138" s="540">
        <v>3</v>
      </c>
      <c r="J138" s="540">
        <v>11</v>
      </c>
      <c r="K138" s="540">
        <v>0</v>
      </c>
      <c r="L138" s="540">
        <v>0</v>
      </c>
      <c r="M138" s="540">
        <v>0</v>
      </c>
      <c r="N138" s="540">
        <v>0</v>
      </c>
      <c r="O138" s="540">
        <v>0</v>
      </c>
      <c r="P138" s="540">
        <v>0</v>
      </c>
      <c r="Q138" s="540">
        <v>0</v>
      </c>
      <c r="R138" s="540">
        <v>1</v>
      </c>
      <c r="S138" s="540">
        <v>0</v>
      </c>
      <c r="T138" s="540">
        <v>0</v>
      </c>
      <c r="U138" s="540">
        <v>0</v>
      </c>
      <c r="V138" s="540">
        <v>0</v>
      </c>
      <c r="W138" s="776">
        <f>IF(Kulturen[[#This Row],[Berechnungsschema]]=13,3,IF(Kulturen[[#This Row],[Berechnungsschema]]=6,2,1))</f>
        <v>1</v>
      </c>
      <c r="X138" s="776">
        <f>IF(Kulturen[[#This Row],[fruchtartengruppe]]=13,Kulturen[[#This Row],[NBedarfswert]],MAX(0,Kulturen[[#This Row],[NBedarfswert]]-Kulturen[[#This Row],[Ertrag]]*Kulturen[[#This Row],[Nfix]]))</f>
        <v>0</v>
      </c>
      <c r="Y138" s="776" t="s">
        <v>2127</v>
      </c>
      <c r="Z138" s="776" t="s">
        <v>2127</v>
      </c>
      <c r="AA138" s="776" t="s">
        <v>2127</v>
      </c>
      <c r="AB138" s="776" t="s">
        <v>2127</v>
      </c>
      <c r="AC138" s="776" t="s">
        <v>2127</v>
      </c>
      <c r="AD138" s="776" t="s">
        <v>2127</v>
      </c>
      <c r="AE138" s="776" t="s">
        <v>2127</v>
      </c>
      <c r="AF138" s="776" t="s">
        <v>2127</v>
      </c>
      <c r="AG138" s="776" t="s">
        <v>2127</v>
      </c>
      <c r="AH138" s="776" t="s">
        <v>2127</v>
      </c>
      <c r="AI138" s="776" t="s">
        <v>2127</v>
      </c>
      <c r="AJ138" s="776" t="s">
        <v>2127</v>
      </c>
      <c r="AK138" s="776" t="s">
        <v>2127</v>
      </c>
      <c r="AL138" s="776" t="s">
        <v>2127</v>
      </c>
      <c r="AM138" s="776" t="s">
        <v>2127</v>
      </c>
      <c r="AN138" s="776" t="s">
        <v>2127</v>
      </c>
      <c r="AO138" s="776" t="s">
        <v>2127</v>
      </c>
      <c r="AP138" s="776" t="s">
        <v>2127</v>
      </c>
      <c r="AQ138" s="776" t="s">
        <v>2127</v>
      </c>
      <c r="AR138" s="776" t="s">
        <v>2127</v>
      </c>
      <c r="AS138" s="776" t="s">
        <v>2127</v>
      </c>
      <c r="AT138" s="776" t="s">
        <v>2127</v>
      </c>
      <c r="AU138" s="776" t="s">
        <v>2127</v>
      </c>
      <c r="AV138" s="776" t="s">
        <v>2127</v>
      </c>
      <c r="AW138" s="776" t="s">
        <v>2127</v>
      </c>
      <c r="AX138" s="776" t="s">
        <v>2127</v>
      </c>
      <c r="AY138" s="776" t="s">
        <v>2127</v>
      </c>
      <c r="AZ138" s="776" t="s">
        <v>2127</v>
      </c>
      <c r="BA138" s="776" t="s">
        <v>2127</v>
      </c>
      <c r="BB138" s="776" t="s">
        <v>2127</v>
      </c>
      <c r="BC138" s="776" t="s">
        <v>2127</v>
      </c>
      <c r="BD138" s="776" t="s">
        <v>2127</v>
      </c>
      <c r="BE138" s="776" t="s">
        <v>2127</v>
      </c>
      <c r="BF138" s="776" t="s">
        <v>2127</v>
      </c>
      <c r="BG138" s="776" t="s">
        <v>2127</v>
      </c>
      <c r="BH138" s="776" t="s">
        <v>2127</v>
      </c>
      <c r="BI138" s="776" t="s">
        <v>2127</v>
      </c>
      <c r="BJ138" s="776" t="s">
        <v>2127</v>
      </c>
      <c r="BK138" s="776" t="s">
        <v>2127</v>
      </c>
      <c r="BL138" s="776" t="s">
        <v>2127</v>
      </c>
      <c r="BM138" s="776" t="s">
        <v>2127</v>
      </c>
      <c r="BN138" s="776" t="s">
        <v>2127</v>
      </c>
      <c r="BO138" s="776" t="s">
        <v>2127</v>
      </c>
      <c r="BP138" s="776" t="s">
        <v>2127</v>
      </c>
      <c r="BQ138" s="776" t="s">
        <v>2127</v>
      </c>
      <c r="BR138" s="776" t="s">
        <v>2127</v>
      </c>
      <c r="BS138" s="776" t="s">
        <v>2127</v>
      </c>
      <c r="BT138" s="776" t="s">
        <v>2127</v>
      </c>
      <c r="BU138" s="776" t="s">
        <v>2127</v>
      </c>
      <c r="BV138" s="776" t="s">
        <v>2127</v>
      </c>
      <c r="BW138" s="776" t="s">
        <v>2127</v>
      </c>
      <c r="BX138" s="776" t="s">
        <v>2127</v>
      </c>
      <c r="BY138" s="776" t="s">
        <v>2127</v>
      </c>
      <c r="BZ138" s="776" t="s">
        <v>2127</v>
      </c>
      <c r="CA138" s="776" t="s">
        <v>2127</v>
      </c>
      <c r="CB138" s="776" t="s">
        <v>2127</v>
      </c>
      <c r="CC138" s="776" t="s">
        <v>2127</v>
      </c>
      <c r="CD138" s="776" t="s">
        <v>2127</v>
      </c>
      <c r="CE138" s="776" t="s">
        <v>2127</v>
      </c>
      <c r="CF138" s="776" t="s">
        <v>2127</v>
      </c>
      <c r="CG138" s="776" t="s">
        <v>2127</v>
      </c>
      <c r="CH138" s="776" t="s">
        <v>2127</v>
      </c>
      <c r="CI138" s="776" t="s">
        <v>2127</v>
      </c>
      <c r="CJ138" s="776" t="s">
        <v>2127</v>
      </c>
      <c r="CK138" s="776" t="s">
        <v>2127</v>
      </c>
      <c r="CL138" s="776" t="s">
        <v>2127</v>
      </c>
      <c r="CM138" s="776" t="s">
        <v>2127</v>
      </c>
      <c r="CN138" s="776" t="s">
        <v>2127</v>
      </c>
      <c r="CO138" s="776" t="s">
        <v>2127</v>
      </c>
      <c r="CP138" s="776" t="s">
        <v>2127</v>
      </c>
      <c r="CQ138" s="776" t="s">
        <v>2127</v>
      </c>
      <c r="CR138" s="776" t="s">
        <v>2127</v>
      </c>
      <c r="CS138" s="776" t="s">
        <v>2127</v>
      </c>
      <c r="CT138" s="776" t="s">
        <v>2127</v>
      </c>
      <c r="CU138" s="776" t="s">
        <v>2127</v>
      </c>
      <c r="CV138" s="776" t="s">
        <v>2127</v>
      </c>
      <c r="CW138" s="776" t="s">
        <v>2127</v>
      </c>
      <c r="CX138" s="776" t="s">
        <v>2127</v>
      </c>
      <c r="CY138" s="776" t="s">
        <v>2127</v>
      </c>
      <c r="CZ138" s="776" t="s">
        <v>2127</v>
      </c>
      <c r="DA138" s="776" t="s">
        <v>2127</v>
      </c>
      <c r="DB138" s="776" t="s">
        <v>2127</v>
      </c>
      <c r="DC138" s="776" t="s">
        <v>2127</v>
      </c>
      <c r="DD138" s="776" t="s">
        <v>2127</v>
      </c>
      <c r="DE138" s="776" t="s">
        <v>2127</v>
      </c>
      <c r="DF138" s="776" t="s">
        <v>2127</v>
      </c>
      <c r="DG138" s="776" t="s">
        <v>2127</v>
      </c>
      <c r="DH138" s="776" t="s">
        <v>2127</v>
      </c>
      <c r="DI138" s="776" t="s">
        <v>2127</v>
      </c>
      <c r="DJ138" s="776" t="s">
        <v>2127</v>
      </c>
      <c r="DK138" s="776" t="s">
        <v>2127</v>
      </c>
      <c r="DL138" s="776" t="s">
        <v>2127</v>
      </c>
      <c r="DM138" s="776" t="s">
        <v>2127</v>
      </c>
      <c r="DN138" s="776" t="s">
        <v>2127</v>
      </c>
      <c r="DO138" s="776" t="s">
        <v>2127</v>
      </c>
      <c r="DP138" s="776" t="s">
        <v>2127</v>
      </c>
    </row>
    <row r="139" spans="1:123" x14ac:dyDescent="0.2">
      <c r="B139" s="772" t="str" cm="1">
        <f t="array" ref="B139">IFERROR(INDEX(Kulturen[HF],_xlfn.AGGREGATE(15,6,(ROW(Kulturen[Auswahl])-7)/(--(SEARCH("x",Kulturen[Auswahl])&gt;0)),ROW()-7),1),"")</f>
        <v>Artischocke</v>
      </c>
      <c r="C139" s="772" t="str">
        <f>IF(Kulturen[[#This Row],[HF]]=$D$373,IF($C$6=0,0,"x"),IF($C$6=0,"x",Vorauswahl!C138))</f>
        <v>x</v>
      </c>
      <c r="D139" s="77" t="s">
        <v>1916</v>
      </c>
      <c r="E139" s="77" t="s">
        <v>1916</v>
      </c>
      <c r="F139" s="540" t="s">
        <v>1917</v>
      </c>
      <c r="G139" s="540">
        <v>11</v>
      </c>
      <c r="H139" s="540">
        <v>8</v>
      </c>
      <c r="I139" s="540">
        <v>3</v>
      </c>
      <c r="J139" s="540">
        <v>11</v>
      </c>
      <c r="K139" s="540">
        <v>0</v>
      </c>
      <c r="L139" s="540">
        <v>0</v>
      </c>
      <c r="M139" s="540">
        <v>0</v>
      </c>
      <c r="N139" s="540">
        <v>0</v>
      </c>
      <c r="O139" s="540">
        <v>1</v>
      </c>
      <c r="P139" s="540">
        <v>0</v>
      </c>
      <c r="Q139" s="540">
        <v>0</v>
      </c>
      <c r="R139" s="540">
        <v>10</v>
      </c>
      <c r="S139" s="540">
        <v>0</v>
      </c>
      <c r="T139" s="540">
        <v>0</v>
      </c>
      <c r="U139" s="540">
        <v>20</v>
      </c>
      <c r="V139" s="540">
        <v>3</v>
      </c>
      <c r="W139" s="776">
        <f>IF(Kulturen[[#This Row],[Berechnungsschema]]=13,3,IF(Kulturen[[#This Row],[Berechnungsschema]]=6,2,1))</f>
        <v>1</v>
      </c>
      <c r="X139" s="776">
        <f>IF(Kulturen[[#This Row],[fruchtartengruppe]]=13,Kulturen[[#This Row],[NBedarfswert]],MAX(0,Kulturen[[#This Row],[NBedarfswert]]-Kulturen[[#This Row],[Ertrag]]*Kulturen[[#This Row],[Nfix]]))</f>
        <v>0</v>
      </c>
      <c r="Y139" s="1410">
        <v>0</v>
      </c>
      <c r="Z139" s="1410">
        <v>0</v>
      </c>
      <c r="AA139" s="1410">
        <v>0</v>
      </c>
      <c r="AB139" s="1410">
        <v>0</v>
      </c>
      <c r="AC139" s="1410">
        <v>0</v>
      </c>
      <c r="AD139" s="1410">
        <v>0</v>
      </c>
      <c r="AE139" s="1410">
        <v>0</v>
      </c>
      <c r="AF139" s="1410">
        <v>0</v>
      </c>
      <c r="AG139" s="1410">
        <v>0</v>
      </c>
      <c r="AH139" s="1410">
        <v>0</v>
      </c>
      <c r="AI139" s="1410">
        <v>0</v>
      </c>
      <c r="AJ139" s="1410">
        <v>0</v>
      </c>
      <c r="AK139" s="1410">
        <v>0</v>
      </c>
      <c r="AL139" s="1410">
        <v>0</v>
      </c>
      <c r="AM139" s="1410">
        <v>0</v>
      </c>
      <c r="AN139" s="1410">
        <v>0</v>
      </c>
      <c r="AO139" s="1410">
        <v>0</v>
      </c>
      <c r="AP139" s="1410">
        <v>0</v>
      </c>
      <c r="AQ139" s="1410">
        <v>0</v>
      </c>
      <c r="AR139" s="1410">
        <v>0</v>
      </c>
      <c r="AS139" s="1410">
        <v>0</v>
      </c>
      <c r="AT139" s="1410">
        <v>0</v>
      </c>
      <c r="AU139" s="1410">
        <v>0</v>
      </c>
      <c r="AV139" s="1410">
        <v>0</v>
      </c>
      <c r="AW139" s="1410">
        <v>0</v>
      </c>
      <c r="AX139" s="1410">
        <v>0</v>
      </c>
      <c r="AY139" s="1410">
        <v>0</v>
      </c>
      <c r="AZ139" s="1410">
        <v>0</v>
      </c>
      <c r="BA139" s="1410">
        <v>0</v>
      </c>
      <c r="BB139" s="1410">
        <v>0</v>
      </c>
      <c r="BC139" s="1410">
        <v>0</v>
      </c>
      <c r="BD139" s="1410">
        <v>0</v>
      </c>
      <c r="BE139" s="1410">
        <v>0</v>
      </c>
      <c r="BF139" s="1410">
        <v>0</v>
      </c>
      <c r="BG139" s="1410">
        <v>0</v>
      </c>
      <c r="BH139" s="1410">
        <v>0</v>
      </c>
      <c r="BI139" s="1410">
        <v>0</v>
      </c>
      <c r="BJ139" s="1410">
        <v>0</v>
      </c>
      <c r="BK139" s="1410">
        <v>0</v>
      </c>
      <c r="BL139" s="1410">
        <v>0</v>
      </c>
      <c r="BM139" s="1410">
        <v>0</v>
      </c>
      <c r="BN139" s="1410">
        <v>0</v>
      </c>
      <c r="BO139" s="1410">
        <v>0</v>
      </c>
      <c r="BP139" s="1410">
        <v>0</v>
      </c>
      <c r="BQ139" s="1410">
        <v>0</v>
      </c>
      <c r="BR139" s="1410">
        <v>0</v>
      </c>
      <c r="BS139" s="1410">
        <v>0</v>
      </c>
      <c r="BT139" s="1410">
        <v>0</v>
      </c>
      <c r="BU139" s="1410">
        <v>0</v>
      </c>
      <c r="BV139" s="1410">
        <v>0</v>
      </c>
      <c r="BW139" s="1410">
        <v>0</v>
      </c>
      <c r="BX139" s="1410">
        <v>0</v>
      </c>
      <c r="BY139" s="1410">
        <v>0</v>
      </c>
      <c r="BZ139" s="1410">
        <v>0</v>
      </c>
      <c r="CA139" s="1410">
        <v>0</v>
      </c>
      <c r="CB139" s="1410">
        <v>0</v>
      </c>
      <c r="CC139" s="1410">
        <v>0</v>
      </c>
      <c r="CD139" s="1410">
        <v>0</v>
      </c>
      <c r="CE139" s="1410">
        <v>0</v>
      </c>
      <c r="CF139" s="1410">
        <v>0</v>
      </c>
      <c r="CG139" s="1410">
        <v>0</v>
      </c>
      <c r="CH139" s="1410">
        <v>0</v>
      </c>
      <c r="CI139" s="1410">
        <v>0</v>
      </c>
      <c r="CJ139" s="1410">
        <v>0</v>
      </c>
      <c r="CK139" s="1410">
        <v>0</v>
      </c>
      <c r="CL139" s="1410">
        <v>0</v>
      </c>
      <c r="CM139" s="1410">
        <v>0</v>
      </c>
      <c r="CN139" s="1410">
        <v>0</v>
      </c>
      <c r="CO139" s="1410">
        <v>0</v>
      </c>
      <c r="CP139" s="1410">
        <v>0</v>
      </c>
      <c r="CQ139" s="1410">
        <v>0</v>
      </c>
      <c r="CR139" s="1410">
        <v>0</v>
      </c>
      <c r="CS139" s="1410">
        <v>0</v>
      </c>
      <c r="CT139" s="1410">
        <v>0</v>
      </c>
      <c r="CU139" s="1410">
        <v>0</v>
      </c>
      <c r="CV139" s="1410">
        <v>0</v>
      </c>
      <c r="CW139" s="1410">
        <v>0</v>
      </c>
      <c r="CX139" s="1410">
        <v>0</v>
      </c>
      <c r="CY139" s="1410">
        <v>0</v>
      </c>
      <c r="CZ139" s="1410">
        <v>0</v>
      </c>
      <c r="DA139" s="1410">
        <v>0</v>
      </c>
      <c r="DB139" s="1410">
        <v>0</v>
      </c>
      <c r="DC139" s="1410">
        <v>0</v>
      </c>
      <c r="DD139" s="1410">
        <v>0</v>
      </c>
      <c r="DE139" s="1410">
        <v>0</v>
      </c>
      <c r="DF139" s="1410">
        <v>0</v>
      </c>
      <c r="DG139" s="1410">
        <v>0</v>
      </c>
      <c r="DH139" s="1410">
        <v>0</v>
      </c>
      <c r="DI139" s="1410">
        <v>0</v>
      </c>
      <c r="DJ139" s="1410">
        <v>0</v>
      </c>
      <c r="DK139" s="1410">
        <v>0</v>
      </c>
      <c r="DL139" s="1410">
        <v>0</v>
      </c>
      <c r="DM139" s="1410">
        <v>0</v>
      </c>
      <c r="DN139" s="1410">
        <v>0</v>
      </c>
      <c r="DO139" s="1410">
        <v>0</v>
      </c>
      <c r="DP139" s="1410">
        <v>0</v>
      </c>
      <c r="DS139" s="1397"/>
    </row>
    <row r="140" spans="1:123" x14ac:dyDescent="0.2">
      <c r="B140" s="772" t="str" cm="1">
        <f t="array" ref="B140">IFERROR(INDEX(Kulturen[HF],_xlfn.AGGREGATE(15,6,(ROW(Kulturen[Auswahl])-7)/(--(SEARCH("x",Kulturen[Auswahl])&gt;0)),ROW()-7),1),"")</f>
        <v>Auberginen</v>
      </c>
      <c r="C140" s="772" t="str">
        <f>IF(Kulturen[[#This Row],[HF]]=$D$373,IF($C$6=0,0,"x"),IF($C$6=0,"x",Vorauswahl!C139))</f>
        <v>x</v>
      </c>
      <c r="D140" s="77" t="s">
        <v>1918</v>
      </c>
      <c r="E140" s="77" t="s">
        <v>2402</v>
      </c>
      <c r="F140" s="540" t="s">
        <v>1919</v>
      </c>
      <c r="G140" s="540">
        <v>11</v>
      </c>
      <c r="H140" s="540">
        <v>8</v>
      </c>
      <c r="I140" s="540">
        <v>3</v>
      </c>
      <c r="J140" s="540">
        <v>11</v>
      </c>
      <c r="K140" s="540">
        <v>0</v>
      </c>
      <c r="L140" s="540">
        <v>0</v>
      </c>
      <c r="M140" s="540">
        <v>0</v>
      </c>
      <c r="N140" s="540">
        <v>0</v>
      </c>
      <c r="O140" s="540">
        <v>1</v>
      </c>
      <c r="P140" s="540">
        <v>0</v>
      </c>
      <c r="Q140" s="540">
        <v>0</v>
      </c>
      <c r="R140" s="540">
        <v>10</v>
      </c>
      <c r="S140" s="540">
        <v>0</v>
      </c>
      <c r="T140" s="540">
        <v>0</v>
      </c>
      <c r="U140" s="540">
        <v>10</v>
      </c>
      <c r="V140" s="540">
        <v>3</v>
      </c>
      <c r="W140" s="776">
        <f>IF(Kulturen[[#This Row],[Berechnungsschema]]=13,3,IF(Kulturen[[#This Row],[Berechnungsschema]]=6,2,1))</f>
        <v>1</v>
      </c>
      <c r="X140" s="776">
        <f>IF(Kulturen[[#This Row],[fruchtartengruppe]]=13,Kulturen[[#This Row],[NBedarfswert]],MAX(0,Kulturen[[#This Row],[NBedarfswert]]-Kulturen[[#This Row],[Ertrag]]*Kulturen[[#This Row],[Nfix]]))</f>
        <v>0</v>
      </c>
      <c r="Y140" s="1410">
        <v>0</v>
      </c>
      <c r="Z140" s="1410">
        <v>0</v>
      </c>
      <c r="AA140" s="1410">
        <v>0</v>
      </c>
      <c r="AB140" s="1410">
        <v>0</v>
      </c>
      <c r="AC140" s="1410">
        <v>0</v>
      </c>
      <c r="AD140" s="1410">
        <v>0</v>
      </c>
      <c r="AE140" s="1410">
        <v>0</v>
      </c>
      <c r="AF140" s="1410">
        <v>0</v>
      </c>
      <c r="AG140" s="1410">
        <v>0</v>
      </c>
      <c r="AH140" s="1410">
        <v>0</v>
      </c>
      <c r="AI140" s="1410">
        <v>0</v>
      </c>
      <c r="AJ140" s="1410">
        <v>0</v>
      </c>
      <c r="AK140" s="1410">
        <v>0</v>
      </c>
      <c r="AL140" s="1410">
        <v>0</v>
      </c>
      <c r="AM140" s="1410">
        <v>0</v>
      </c>
      <c r="AN140" s="1410">
        <v>0</v>
      </c>
      <c r="AO140" s="1410">
        <v>0</v>
      </c>
      <c r="AP140" s="1410">
        <v>0</v>
      </c>
      <c r="AQ140" s="1410">
        <v>0</v>
      </c>
      <c r="AR140" s="1410">
        <v>0</v>
      </c>
      <c r="AS140" s="1410">
        <v>0</v>
      </c>
      <c r="AT140" s="1410">
        <v>0</v>
      </c>
      <c r="AU140" s="1410">
        <v>0</v>
      </c>
      <c r="AV140" s="1410">
        <v>0</v>
      </c>
      <c r="AW140" s="1410">
        <v>0</v>
      </c>
      <c r="AX140" s="1410">
        <v>0</v>
      </c>
      <c r="AY140" s="1410">
        <v>0</v>
      </c>
      <c r="AZ140" s="1410">
        <v>0</v>
      </c>
      <c r="BA140" s="1410">
        <v>0</v>
      </c>
      <c r="BB140" s="1410">
        <v>0</v>
      </c>
      <c r="BC140" s="1410">
        <v>0</v>
      </c>
      <c r="BD140" s="1410">
        <v>0</v>
      </c>
      <c r="BE140" s="1410">
        <v>0</v>
      </c>
      <c r="BF140" s="1410">
        <v>0</v>
      </c>
      <c r="BG140" s="1410">
        <v>0</v>
      </c>
      <c r="BH140" s="1410">
        <v>0</v>
      </c>
      <c r="BI140" s="1410">
        <v>0</v>
      </c>
      <c r="BJ140" s="1410">
        <v>0</v>
      </c>
      <c r="BK140" s="1410">
        <v>0</v>
      </c>
      <c r="BL140" s="1410">
        <v>0</v>
      </c>
      <c r="BM140" s="1410">
        <v>0</v>
      </c>
      <c r="BN140" s="1410">
        <v>0</v>
      </c>
      <c r="BO140" s="1410">
        <v>0</v>
      </c>
      <c r="BP140" s="1410">
        <v>0</v>
      </c>
      <c r="BQ140" s="1410">
        <v>0</v>
      </c>
      <c r="BR140" s="1410">
        <v>0</v>
      </c>
      <c r="BS140" s="1410">
        <v>0</v>
      </c>
      <c r="BT140" s="1410">
        <v>0</v>
      </c>
      <c r="BU140" s="1410">
        <v>0</v>
      </c>
      <c r="BV140" s="1410">
        <v>0</v>
      </c>
      <c r="BW140" s="1410">
        <v>0</v>
      </c>
      <c r="BX140" s="1410">
        <v>0</v>
      </c>
      <c r="BY140" s="1410">
        <v>0</v>
      </c>
      <c r="BZ140" s="1410">
        <v>0</v>
      </c>
      <c r="CA140" s="1410">
        <v>0</v>
      </c>
      <c r="CB140" s="1410">
        <v>0</v>
      </c>
      <c r="CC140" s="1410">
        <v>0</v>
      </c>
      <c r="CD140" s="1410">
        <v>0</v>
      </c>
      <c r="CE140" s="1410">
        <v>0</v>
      </c>
      <c r="CF140" s="1410">
        <v>0</v>
      </c>
      <c r="CG140" s="1410">
        <v>0</v>
      </c>
      <c r="CH140" s="1410">
        <v>0</v>
      </c>
      <c r="CI140" s="1410">
        <v>0</v>
      </c>
      <c r="CJ140" s="1410">
        <v>0</v>
      </c>
      <c r="CK140" s="1410">
        <v>0</v>
      </c>
      <c r="CL140" s="1410">
        <v>0</v>
      </c>
      <c r="CM140" s="1410">
        <v>0</v>
      </c>
      <c r="CN140" s="1410">
        <v>0</v>
      </c>
      <c r="CO140" s="1410">
        <v>0</v>
      </c>
      <c r="CP140" s="1410">
        <v>0</v>
      </c>
      <c r="CQ140" s="1410">
        <v>0</v>
      </c>
      <c r="CR140" s="1410">
        <v>0</v>
      </c>
      <c r="CS140" s="1410">
        <v>0</v>
      </c>
      <c r="CT140" s="1410">
        <v>0</v>
      </c>
      <c r="CU140" s="1410">
        <v>0</v>
      </c>
      <c r="CV140" s="1410">
        <v>0</v>
      </c>
      <c r="CW140" s="1410">
        <v>0</v>
      </c>
      <c r="CX140" s="1410">
        <v>0</v>
      </c>
      <c r="CY140" s="1410">
        <v>0</v>
      </c>
      <c r="CZ140" s="1410">
        <v>0</v>
      </c>
      <c r="DA140" s="1410">
        <v>0</v>
      </c>
      <c r="DB140" s="1410">
        <v>0</v>
      </c>
      <c r="DC140" s="1410">
        <v>0</v>
      </c>
      <c r="DD140" s="1410">
        <v>0</v>
      </c>
      <c r="DE140" s="1410">
        <v>0</v>
      </c>
      <c r="DF140" s="1410">
        <v>0</v>
      </c>
      <c r="DG140" s="1410">
        <v>0</v>
      </c>
      <c r="DH140" s="1410">
        <v>0</v>
      </c>
      <c r="DI140" s="1410">
        <v>0</v>
      </c>
      <c r="DJ140" s="1410">
        <v>0</v>
      </c>
      <c r="DK140" s="1410">
        <v>0</v>
      </c>
      <c r="DL140" s="1410">
        <v>0</v>
      </c>
      <c r="DM140" s="1410">
        <v>0</v>
      </c>
      <c r="DN140" s="1410">
        <v>0</v>
      </c>
      <c r="DO140" s="1410">
        <v>0</v>
      </c>
      <c r="DP140" s="1410">
        <v>0</v>
      </c>
      <c r="DS140" s="1397"/>
    </row>
    <row r="141" spans="1:123" x14ac:dyDescent="0.2">
      <c r="B141" s="772" t="str" cm="1">
        <f t="array" ref="B141">IFERROR(INDEX(Kulturen[HF],_xlfn.AGGREGATE(15,6,(ROW(Kulturen[Auswahl])-7)/(--(SEARCH("x",Kulturen[Auswahl])&gt;0)),ROW()-7),1),"")</f>
        <v>Blattsalate, grün</v>
      </c>
      <c r="C141" s="772" t="str">
        <f>IF(Kulturen[[#This Row],[HF]]=$D$373,IF($C$6=0,0,"x"),IF($C$6=0,"x",Vorauswahl!C140))</f>
        <v>x</v>
      </c>
      <c r="D141" s="77" t="s">
        <v>1920</v>
      </c>
      <c r="E141" s="77" t="s">
        <v>1920</v>
      </c>
      <c r="F141" s="540" t="s">
        <v>1921</v>
      </c>
      <c r="G141" s="540">
        <v>11</v>
      </c>
      <c r="H141" s="540">
        <v>8</v>
      </c>
      <c r="I141" s="540">
        <v>3</v>
      </c>
      <c r="J141" s="540">
        <v>11</v>
      </c>
      <c r="K141" s="540">
        <v>0</v>
      </c>
      <c r="L141" s="540">
        <v>0</v>
      </c>
      <c r="M141" s="540">
        <v>0</v>
      </c>
      <c r="N141" s="540">
        <v>0</v>
      </c>
      <c r="O141" s="540">
        <v>1</v>
      </c>
      <c r="P141" s="540">
        <v>0</v>
      </c>
      <c r="Q141" s="540">
        <v>0</v>
      </c>
      <c r="R141" s="540">
        <v>10</v>
      </c>
      <c r="S141" s="540">
        <v>0</v>
      </c>
      <c r="T141" s="540">
        <v>0</v>
      </c>
      <c r="U141" s="540">
        <v>20</v>
      </c>
      <c r="V141" s="540">
        <v>3</v>
      </c>
      <c r="W141" s="776">
        <f>IF(Kulturen[[#This Row],[Berechnungsschema]]=13,3,IF(Kulturen[[#This Row],[Berechnungsschema]]=6,2,1))</f>
        <v>1</v>
      </c>
      <c r="X141" s="776">
        <f>IF(Kulturen[[#This Row],[fruchtartengruppe]]=13,Kulturen[[#This Row],[NBedarfswert]],MAX(0,Kulturen[[#This Row],[NBedarfswert]]-Kulturen[[#This Row],[Ertrag]]*Kulturen[[#This Row],[Nfix]]))</f>
        <v>0</v>
      </c>
      <c r="Y141" s="1410">
        <v>0</v>
      </c>
      <c r="Z141" s="1410">
        <v>0</v>
      </c>
      <c r="AA141" s="1410">
        <v>0</v>
      </c>
      <c r="AB141" s="1410">
        <v>0</v>
      </c>
      <c r="AC141" s="1410">
        <v>0</v>
      </c>
      <c r="AD141" s="1410">
        <v>0</v>
      </c>
      <c r="AE141" s="1410">
        <v>0</v>
      </c>
      <c r="AF141" s="1410">
        <v>0</v>
      </c>
      <c r="AG141" s="1410">
        <v>0</v>
      </c>
      <c r="AH141" s="1410">
        <v>0</v>
      </c>
      <c r="AI141" s="1410">
        <v>0</v>
      </c>
      <c r="AJ141" s="1410">
        <v>0</v>
      </c>
      <c r="AK141" s="1410">
        <v>0</v>
      </c>
      <c r="AL141" s="1410">
        <v>0</v>
      </c>
      <c r="AM141" s="1410">
        <v>0</v>
      </c>
      <c r="AN141" s="1410">
        <v>0</v>
      </c>
      <c r="AO141" s="1410">
        <v>0</v>
      </c>
      <c r="AP141" s="1410">
        <v>0</v>
      </c>
      <c r="AQ141" s="1410">
        <v>0</v>
      </c>
      <c r="AR141" s="1410">
        <v>0</v>
      </c>
      <c r="AS141" s="1410">
        <v>0</v>
      </c>
      <c r="AT141" s="1410">
        <v>0</v>
      </c>
      <c r="AU141" s="1410">
        <v>0</v>
      </c>
      <c r="AV141" s="1410">
        <v>0</v>
      </c>
      <c r="AW141" s="1410">
        <v>0</v>
      </c>
      <c r="AX141" s="1410">
        <v>0</v>
      </c>
      <c r="AY141" s="1410">
        <v>0</v>
      </c>
      <c r="AZ141" s="1410">
        <v>0</v>
      </c>
      <c r="BA141" s="1410">
        <v>0</v>
      </c>
      <c r="BB141" s="1410">
        <v>0</v>
      </c>
      <c r="BC141" s="1410">
        <v>0</v>
      </c>
      <c r="BD141" s="1410">
        <v>0</v>
      </c>
      <c r="BE141" s="1410">
        <v>0</v>
      </c>
      <c r="BF141" s="1410">
        <v>0</v>
      </c>
      <c r="BG141" s="1410">
        <v>0</v>
      </c>
      <c r="BH141" s="1410">
        <v>0</v>
      </c>
      <c r="BI141" s="1410">
        <v>0</v>
      </c>
      <c r="BJ141" s="1410">
        <v>0</v>
      </c>
      <c r="BK141" s="1410">
        <v>0</v>
      </c>
      <c r="BL141" s="1410">
        <v>0</v>
      </c>
      <c r="BM141" s="1410">
        <v>0</v>
      </c>
      <c r="BN141" s="1410">
        <v>0</v>
      </c>
      <c r="BO141" s="1410">
        <v>0</v>
      </c>
      <c r="BP141" s="1410">
        <v>0</v>
      </c>
      <c r="BQ141" s="1410">
        <v>0</v>
      </c>
      <c r="BR141" s="1410">
        <v>0</v>
      </c>
      <c r="BS141" s="1410">
        <v>0</v>
      </c>
      <c r="BT141" s="1410">
        <v>0</v>
      </c>
      <c r="BU141" s="1410">
        <v>0</v>
      </c>
      <c r="BV141" s="1410">
        <v>0</v>
      </c>
      <c r="BW141" s="1410">
        <v>0</v>
      </c>
      <c r="BX141" s="1410">
        <v>0</v>
      </c>
      <c r="BY141" s="1410">
        <v>0</v>
      </c>
      <c r="BZ141" s="1410">
        <v>0</v>
      </c>
      <c r="CA141" s="1410">
        <v>0</v>
      </c>
      <c r="CB141" s="1410">
        <v>0</v>
      </c>
      <c r="CC141" s="1410">
        <v>0</v>
      </c>
      <c r="CD141" s="1410">
        <v>0</v>
      </c>
      <c r="CE141" s="1410">
        <v>0</v>
      </c>
      <c r="CF141" s="1410">
        <v>0</v>
      </c>
      <c r="CG141" s="1410">
        <v>0</v>
      </c>
      <c r="CH141" s="1410">
        <v>0</v>
      </c>
      <c r="CI141" s="1410">
        <v>0</v>
      </c>
      <c r="CJ141" s="1410">
        <v>0</v>
      </c>
      <c r="CK141" s="1410">
        <v>0</v>
      </c>
      <c r="CL141" s="1410">
        <v>0</v>
      </c>
      <c r="CM141" s="1410">
        <v>0</v>
      </c>
      <c r="CN141" s="1410">
        <v>0</v>
      </c>
      <c r="CO141" s="1410">
        <v>0</v>
      </c>
      <c r="CP141" s="1410">
        <v>0</v>
      </c>
      <c r="CQ141" s="1410">
        <v>0</v>
      </c>
      <c r="CR141" s="1410">
        <v>0</v>
      </c>
      <c r="CS141" s="1410">
        <v>0</v>
      </c>
      <c r="CT141" s="1410">
        <v>0</v>
      </c>
      <c r="CU141" s="1410">
        <v>0</v>
      </c>
      <c r="CV141" s="1410">
        <v>0</v>
      </c>
      <c r="CW141" s="1410">
        <v>0</v>
      </c>
      <c r="CX141" s="1410">
        <v>0</v>
      </c>
      <c r="CY141" s="1410">
        <v>0</v>
      </c>
      <c r="CZ141" s="1410">
        <v>0</v>
      </c>
      <c r="DA141" s="1410">
        <v>0</v>
      </c>
      <c r="DB141" s="1410">
        <v>0</v>
      </c>
      <c r="DC141" s="1410">
        <v>0</v>
      </c>
      <c r="DD141" s="1410">
        <v>0</v>
      </c>
      <c r="DE141" s="1410">
        <v>0</v>
      </c>
      <c r="DF141" s="1410">
        <v>0</v>
      </c>
      <c r="DG141" s="1410">
        <v>0</v>
      </c>
      <c r="DH141" s="1410">
        <v>0</v>
      </c>
      <c r="DI141" s="1410">
        <v>0</v>
      </c>
      <c r="DJ141" s="1410">
        <v>0</v>
      </c>
      <c r="DK141" s="1410">
        <v>0</v>
      </c>
      <c r="DL141" s="1410">
        <v>0</v>
      </c>
      <c r="DM141" s="1410">
        <v>0</v>
      </c>
      <c r="DN141" s="1410">
        <v>0</v>
      </c>
      <c r="DO141" s="1410">
        <v>0</v>
      </c>
      <c r="DP141" s="1410">
        <v>0</v>
      </c>
    </row>
    <row r="142" spans="1:123" x14ac:dyDescent="0.2">
      <c r="B142" s="772" t="str" cm="1">
        <f t="array" ref="B142">IFERROR(INDEX(Kulturen[HF],_xlfn.AGGREGATE(15,6,(ROW(Kulturen[Auswahl])-7)/(--(SEARCH("x",Kulturen[Auswahl])&gt;0)),ROW()-7),1),"")</f>
        <v>Blattsalate, rot</v>
      </c>
      <c r="C142" s="772" t="str">
        <f>IF(Kulturen[[#This Row],[HF]]=$D$373,IF($C$6=0,0,"x"),IF($C$6=0,"x",Vorauswahl!C141))</f>
        <v>x</v>
      </c>
      <c r="D142" s="77" t="s">
        <v>1922</v>
      </c>
      <c r="E142" s="77" t="s">
        <v>1922</v>
      </c>
      <c r="F142" s="540" t="s">
        <v>1923</v>
      </c>
      <c r="G142" s="540">
        <v>11</v>
      </c>
      <c r="H142" s="540">
        <v>8</v>
      </c>
      <c r="I142" s="540">
        <v>3</v>
      </c>
      <c r="J142" s="540">
        <v>11</v>
      </c>
      <c r="K142" s="540">
        <v>0</v>
      </c>
      <c r="L142" s="540">
        <v>0</v>
      </c>
      <c r="M142" s="540">
        <v>0</v>
      </c>
      <c r="N142" s="540">
        <v>0</v>
      </c>
      <c r="O142" s="540">
        <v>1</v>
      </c>
      <c r="P142" s="540">
        <v>0</v>
      </c>
      <c r="Q142" s="540">
        <v>0</v>
      </c>
      <c r="R142" s="540">
        <v>10</v>
      </c>
      <c r="S142" s="540">
        <v>0</v>
      </c>
      <c r="T142" s="540">
        <v>0</v>
      </c>
      <c r="U142" s="540">
        <v>20</v>
      </c>
      <c r="V142" s="540">
        <v>3</v>
      </c>
      <c r="W142" s="776">
        <f>IF(Kulturen[[#This Row],[Berechnungsschema]]=13,3,IF(Kulturen[[#This Row],[Berechnungsschema]]=6,2,1))</f>
        <v>1</v>
      </c>
      <c r="X142" s="776">
        <f>IF(Kulturen[[#This Row],[fruchtartengruppe]]=13,Kulturen[[#This Row],[NBedarfswert]],MAX(0,Kulturen[[#This Row],[NBedarfswert]]-Kulturen[[#This Row],[Ertrag]]*Kulturen[[#This Row],[Nfix]]))</f>
        <v>0</v>
      </c>
      <c r="Y142" s="1410">
        <v>0</v>
      </c>
      <c r="Z142" s="1410">
        <v>0</v>
      </c>
      <c r="AA142" s="1410">
        <v>0</v>
      </c>
      <c r="AB142" s="1410">
        <v>0</v>
      </c>
      <c r="AC142" s="1410">
        <v>0</v>
      </c>
      <c r="AD142" s="1410">
        <v>0</v>
      </c>
      <c r="AE142" s="1410">
        <v>0</v>
      </c>
      <c r="AF142" s="1410">
        <v>0</v>
      </c>
      <c r="AG142" s="1410">
        <v>0</v>
      </c>
      <c r="AH142" s="1410">
        <v>0</v>
      </c>
      <c r="AI142" s="1410">
        <v>0</v>
      </c>
      <c r="AJ142" s="1410">
        <v>0</v>
      </c>
      <c r="AK142" s="1410">
        <v>0</v>
      </c>
      <c r="AL142" s="1410">
        <v>0</v>
      </c>
      <c r="AM142" s="1410">
        <v>0</v>
      </c>
      <c r="AN142" s="1410">
        <v>0</v>
      </c>
      <c r="AO142" s="1410">
        <v>0</v>
      </c>
      <c r="AP142" s="1410">
        <v>0</v>
      </c>
      <c r="AQ142" s="1410">
        <v>0</v>
      </c>
      <c r="AR142" s="1410">
        <v>0</v>
      </c>
      <c r="AS142" s="1410">
        <v>0</v>
      </c>
      <c r="AT142" s="1410">
        <v>0</v>
      </c>
      <c r="AU142" s="1410">
        <v>0</v>
      </c>
      <c r="AV142" s="1410">
        <v>0</v>
      </c>
      <c r="AW142" s="1410">
        <v>0</v>
      </c>
      <c r="AX142" s="1410">
        <v>0</v>
      </c>
      <c r="AY142" s="1410">
        <v>0</v>
      </c>
      <c r="AZ142" s="1410">
        <v>0</v>
      </c>
      <c r="BA142" s="1410">
        <v>0</v>
      </c>
      <c r="BB142" s="1410">
        <v>0</v>
      </c>
      <c r="BC142" s="1410">
        <v>0</v>
      </c>
      <c r="BD142" s="1410">
        <v>0</v>
      </c>
      <c r="BE142" s="1410">
        <v>0</v>
      </c>
      <c r="BF142" s="1410">
        <v>0</v>
      </c>
      <c r="BG142" s="1410">
        <v>0</v>
      </c>
      <c r="BH142" s="1410">
        <v>0</v>
      </c>
      <c r="BI142" s="1410">
        <v>0</v>
      </c>
      <c r="BJ142" s="1410">
        <v>0</v>
      </c>
      <c r="BK142" s="1410">
        <v>0</v>
      </c>
      <c r="BL142" s="1410">
        <v>0</v>
      </c>
      <c r="BM142" s="1410">
        <v>0</v>
      </c>
      <c r="BN142" s="1410">
        <v>0</v>
      </c>
      <c r="BO142" s="1410">
        <v>0</v>
      </c>
      <c r="BP142" s="1410">
        <v>0</v>
      </c>
      <c r="BQ142" s="1410">
        <v>0</v>
      </c>
      <c r="BR142" s="1410">
        <v>0</v>
      </c>
      <c r="BS142" s="1410">
        <v>0</v>
      </c>
      <c r="BT142" s="1410">
        <v>0</v>
      </c>
      <c r="BU142" s="1410">
        <v>0</v>
      </c>
      <c r="BV142" s="1410">
        <v>0</v>
      </c>
      <c r="BW142" s="1410">
        <v>0</v>
      </c>
      <c r="BX142" s="1410">
        <v>0</v>
      </c>
      <c r="BY142" s="1410">
        <v>0</v>
      </c>
      <c r="BZ142" s="1410">
        <v>0</v>
      </c>
      <c r="CA142" s="1410">
        <v>0</v>
      </c>
      <c r="CB142" s="1410">
        <v>0</v>
      </c>
      <c r="CC142" s="1410">
        <v>0</v>
      </c>
      <c r="CD142" s="1410">
        <v>0</v>
      </c>
      <c r="CE142" s="1410">
        <v>0</v>
      </c>
      <c r="CF142" s="1410">
        <v>0</v>
      </c>
      <c r="CG142" s="1410">
        <v>0</v>
      </c>
      <c r="CH142" s="1410">
        <v>0</v>
      </c>
      <c r="CI142" s="1410">
        <v>0</v>
      </c>
      <c r="CJ142" s="1410">
        <v>0</v>
      </c>
      <c r="CK142" s="1410">
        <v>0</v>
      </c>
      <c r="CL142" s="1410">
        <v>0</v>
      </c>
      <c r="CM142" s="1410">
        <v>0</v>
      </c>
      <c r="CN142" s="1410">
        <v>0</v>
      </c>
      <c r="CO142" s="1410">
        <v>0</v>
      </c>
      <c r="CP142" s="1410">
        <v>0</v>
      </c>
      <c r="CQ142" s="1410">
        <v>0</v>
      </c>
      <c r="CR142" s="1410">
        <v>0</v>
      </c>
      <c r="CS142" s="1410">
        <v>0</v>
      </c>
      <c r="CT142" s="1410">
        <v>0</v>
      </c>
      <c r="CU142" s="1410">
        <v>0</v>
      </c>
      <c r="CV142" s="1410">
        <v>0</v>
      </c>
      <c r="CW142" s="1410">
        <v>0</v>
      </c>
      <c r="CX142" s="1410">
        <v>0</v>
      </c>
      <c r="CY142" s="1410">
        <v>0</v>
      </c>
      <c r="CZ142" s="1410">
        <v>0</v>
      </c>
      <c r="DA142" s="1410">
        <v>0</v>
      </c>
      <c r="DB142" s="1410">
        <v>0</v>
      </c>
      <c r="DC142" s="1410">
        <v>0</v>
      </c>
      <c r="DD142" s="1410">
        <v>0</v>
      </c>
      <c r="DE142" s="1410">
        <v>0</v>
      </c>
      <c r="DF142" s="1410">
        <v>0</v>
      </c>
      <c r="DG142" s="1410">
        <v>0</v>
      </c>
      <c r="DH142" s="1410">
        <v>0</v>
      </c>
      <c r="DI142" s="1410">
        <v>0</v>
      </c>
      <c r="DJ142" s="1410">
        <v>0</v>
      </c>
      <c r="DK142" s="1410">
        <v>0</v>
      </c>
      <c r="DL142" s="1410">
        <v>0</v>
      </c>
      <c r="DM142" s="1410">
        <v>0</v>
      </c>
      <c r="DN142" s="1410">
        <v>0</v>
      </c>
      <c r="DO142" s="1410">
        <v>0</v>
      </c>
      <c r="DP142" s="1410">
        <v>0</v>
      </c>
    </row>
    <row r="143" spans="1:123" x14ac:dyDescent="0.2">
      <c r="B143" s="772" t="str" cm="1">
        <f t="array" ref="B143">IFERROR(INDEX(Kulturen[HF],_xlfn.AGGREGATE(15,6,(ROW(Kulturen[Auswahl])-7)/(--(SEARCH("x",Kulturen[Auswahl])&gt;0)),ROW()-7),1),"")</f>
        <v>Blumenkohl</v>
      </c>
      <c r="C143" s="772" t="str">
        <f>IF(Kulturen[[#This Row],[HF]]=$D$373,IF($C$6=0,0,"x"),IF($C$6=0,"x",Vorauswahl!C142))</f>
        <v>x</v>
      </c>
      <c r="D143" s="77" t="s">
        <v>1924</v>
      </c>
      <c r="E143" s="77" t="s">
        <v>2403</v>
      </c>
      <c r="F143" s="540" t="s">
        <v>1925</v>
      </c>
      <c r="G143" s="540">
        <v>11</v>
      </c>
      <c r="H143" s="540">
        <v>8</v>
      </c>
      <c r="I143" s="540">
        <v>3</v>
      </c>
      <c r="J143" s="540">
        <v>11</v>
      </c>
      <c r="K143" s="540">
        <v>0</v>
      </c>
      <c r="L143" s="540">
        <v>0</v>
      </c>
      <c r="M143" s="540">
        <v>0</v>
      </c>
      <c r="N143" s="540">
        <v>0</v>
      </c>
      <c r="O143" s="540">
        <v>1</v>
      </c>
      <c r="P143" s="540">
        <v>0</v>
      </c>
      <c r="Q143" s="540">
        <v>0</v>
      </c>
      <c r="R143" s="540">
        <v>10</v>
      </c>
      <c r="S143" s="540">
        <v>0</v>
      </c>
      <c r="T143" s="540">
        <v>0</v>
      </c>
      <c r="U143" s="540">
        <v>20</v>
      </c>
      <c r="V143" s="540">
        <v>3</v>
      </c>
      <c r="W143" s="776">
        <f>IF(Kulturen[[#This Row],[Berechnungsschema]]=13,3,IF(Kulturen[[#This Row],[Berechnungsschema]]=6,2,1))</f>
        <v>1</v>
      </c>
      <c r="X143" s="776">
        <f>IF(Kulturen[[#This Row],[fruchtartengruppe]]=13,Kulturen[[#This Row],[NBedarfswert]],MAX(0,Kulturen[[#This Row],[NBedarfswert]]-Kulturen[[#This Row],[Ertrag]]*Kulturen[[#This Row],[Nfix]]))</f>
        <v>0</v>
      </c>
      <c r="Y143" s="1410" t="s">
        <v>2127</v>
      </c>
      <c r="Z143" s="1410" t="s">
        <v>2127</v>
      </c>
      <c r="AA143" s="1410" t="s">
        <v>2127</v>
      </c>
      <c r="AB143" s="1410" t="s">
        <v>2127</v>
      </c>
      <c r="AC143" s="1410" t="s">
        <v>2127</v>
      </c>
      <c r="AD143" s="1410" t="s">
        <v>2127</v>
      </c>
      <c r="AE143" s="1410" t="s">
        <v>2127</v>
      </c>
      <c r="AF143" s="1410" t="s">
        <v>2127</v>
      </c>
      <c r="AG143" s="1410" t="s">
        <v>2127</v>
      </c>
      <c r="AH143" s="1410" t="s">
        <v>2127</v>
      </c>
      <c r="AI143" s="1410" t="s">
        <v>2127</v>
      </c>
      <c r="AJ143" s="1410" t="s">
        <v>2127</v>
      </c>
      <c r="AK143" s="1410" t="s">
        <v>2127</v>
      </c>
      <c r="AL143" s="1410" t="s">
        <v>2127</v>
      </c>
      <c r="AM143" s="1410" t="s">
        <v>2127</v>
      </c>
      <c r="AN143" s="1410" t="s">
        <v>2127</v>
      </c>
      <c r="AO143" s="1410" t="s">
        <v>2127</v>
      </c>
      <c r="AP143" s="1410" t="s">
        <v>2127</v>
      </c>
      <c r="AQ143" s="1410" t="s">
        <v>2127</v>
      </c>
      <c r="AR143" s="1410" t="s">
        <v>2127</v>
      </c>
      <c r="AS143" s="1410" t="s">
        <v>2127</v>
      </c>
      <c r="AT143" s="1410" t="s">
        <v>2127</v>
      </c>
      <c r="AU143" s="1410" t="s">
        <v>2127</v>
      </c>
      <c r="AV143" s="1410" t="s">
        <v>2127</v>
      </c>
      <c r="AW143" s="1410" t="s">
        <v>2127</v>
      </c>
      <c r="AX143" s="1410" t="s">
        <v>2127</v>
      </c>
      <c r="AY143" s="1410" t="s">
        <v>2127</v>
      </c>
      <c r="AZ143" s="1410" t="s">
        <v>2127</v>
      </c>
      <c r="BA143" s="1410" t="s">
        <v>2127</v>
      </c>
      <c r="BB143" s="1410" t="s">
        <v>2127</v>
      </c>
      <c r="BC143" s="1410" t="s">
        <v>2127</v>
      </c>
      <c r="BD143" s="1410" t="s">
        <v>2127</v>
      </c>
      <c r="BE143" s="1410" t="s">
        <v>2127</v>
      </c>
      <c r="BF143" s="1410" t="s">
        <v>2127</v>
      </c>
      <c r="BG143" s="1410" t="s">
        <v>2127</v>
      </c>
      <c r="BH143" s="1410" t="s">
        <v>2127</v>
      </c>
      <c r="BI143" s="1410" t="s">
        <v>2127</v>
      </c>
      <c r="BJ143" s="1410" t="s">
        <v>2127</v>
      </c>
      <c r="BK143" s="1410" t="s">
        <v>2127</v>
      </c>
      <c r="BL143" s="1410" t="s">
        <v>2127</v>
      </c>
      <c r="BM143" s="1410" t="s">
        <v>2127</v>
      </c>
      <c r="BN143" s="1410" t="s">
        <v>2127</v>
      </c>
      <c r="BO143" s="1410" t="s">
        <v>2127</v>
      </c>
      <c r="BP143" s="1410" t="s">
        <v>2127</v>
      </c>
      <c r="BQ143" s="1410" t="s">
        <v>2127</v>
      </c>
      <c r="BR143" s="1410" t="s">
        <v>2127</v>
      </c>
      <c r="BS143" s="1410" t="s">
        <v>2127</v>
      </c>
      <c r="BT143" s="1410" t="s">
        <v>2127</v>
      </c>
      <c r="BU143" s="1410" t="s">
        <v>2127</v>
      </c>
      <c r="BV143" s="1410" t="s">
        <v>2127</v>
      </c>
      <c r="BW143" s="1410" t="s">
        <v>2127</v>
      </c>
      <c r="BX143" s="1410" t="s">
        <v>2127</v>
      </c>
      <c r="BY143" s="1410" t="s">
        <v>2127</v>
      </c>
      <c r="BZ143" s="1410" t="s">
        <v>2127</v>
      </c>
      <c r="CA143" s="1410" t="s">
        <v>2127</v>
      </c>
      <c r="CB143" s="1410" t="s">
        <v>2127</v>
      </c>
      <c r="CC143" s="1410" t="s">
        <v>2127</v>
      </c>
      <c r="CD143" s="1410" t="s">
        <v>2127</v>
      </c>
      <c r="CE143" s="1410" t="s">
        <v>2127</v>
      </c>
      <c r="CF143" s="1410" t="s">
        <v>2127</v>
      </c>
      <c r="CG143" s="1410" t="s">
        <v>2127</v>
      </c>
      <c r="CH143" s="1410" t="s">
        <v>2127</v>
      </c>
      <c r="CI143" s="1410" t="s">
        <v>2127</v>
      </c>
      <c r="CJ143" s="1410" t="s">
        <v>2127</v>
      </c>
      <c r="CK143" s="1410" t="s">
        <v>2127</v>
      </c>
      <c r="CL143" s="1410" t="s">
        <v>2127</v>
      </c>
      <c r="CM143" s="1410" t="s">
        <v>2127</v>
      </c>
      <c r="CN143" s="1410" t="s">
        <v>2127</v>
      </c>
      <c r="CO143" s="1410" t="s">
        <v>2127</v>
      </c>
      <c r="CP143" s="1410" t="s">
        <v>2127</v>
      </c>
      <c r="CQ143" s="1410" t="s">
        <v>2127</v>
      </c>
      <c r="CR143" s="1410" t="s">
        <v>2127</v>
      </c>
      <c r="CS143" s="1410" t="s">
        <v>2127</v>
      </c>
      <c r="CT143" s="1410" t="s">
        <v>2127</v>
      </c>
      <c r="CU143" s="1410" t="s">
        <v>2127</v>
      </c>
      <c r="CV143" s="1410" t="s">
        <v>2127</v>
      </c>
      <c r="CW143" s="1410" t="s">
        <v>2127</v>
      </c>
      <c r="CX143" s="1410" t="s">
        <v>2127</v>
      </c>
      <c r="CY143" s="1410" t="s">
        <v>2127</v>
      </c>
      <c r="CZ143" s="1410" t="s">
        <v>2127</v>
      </c>
      <c r="DA143" s="1410" t="s">
        <v>2127</v>
      </c>
      <c r="DB143" s="1410" t="s">
        <v>2127</v>
      </c>
      <c r="DC143" s="1410" t="s">
        <v>2127</v>
      </c>
      <c r="DD143" s="1410" t="s">
        <v>2127</v>
      </c>
      <c r="DE143" s="1410" t="s">
        <v>2127</v>
      </c>
      <c r="DF143" s="1410" t="s">
        <v>2127</v>
      </c>
      <c r="DG143" s="1410" t="s">
        <v>2127</v>
      </c>
      <c r="DH143" s="1410" t="s">
        <v>2127</v>
      </c>
      <c r="DI143" s="1410" t="s">
        <v>2127</v>
      </c>
      <c r="DJ143" s="1410" t="s">
        <v>2127</v>
      </c>
      <c r="DK143" s="1410" t="s">
        <v>2127</v>
      </c>
      <c r="DL143" s="1410" t="s">
        <v>2127</v>
      </c>
      <c r="DM143" s="1410" t="s">
        <v>2127</v>
      </c>
      <c r="DN143" s="1410" t="s">
        <v>2127</v>
      </c>
      <c r="DO143" s="1410" t="s">
        <v>2127</v>
      </c>
      <c r="DP143" s="1410" t="s">
        <v>2127</v>
      </c>
    </row>
    <row r="144" spans="1:123" x14ac:dyDescent="0.2">
      <c r="B144" s="772" t="str" cm="1">
        <f t="array" ref="B144">IFERROR(INDEX(Kulturen[HF],_xlfn.AGGREGATE(15,6,(ROW(Kulturen[Auswahl])-7)/(--(SEARCH("x",Kulturen[Auswahl])&gt;0)),ROW()-7),1),"")</f>
        <v>Brokkoli</v>
      </c>
      <c r="C144" s="772" t="str">
        <f>IF(Kulturen[[#This Row],[HF]]=$D$373,IF($C$6=0,0,"x"),IF($C$6=0,"x",Vorauswahl!C143))</f>
        <v>x</v>
      </c>
      <c r="D144" s="77" t="s">
        <v>1926</v>
      </c>
      <c r="E144" s="77" t="s">
        <v>1926</v>
      </c>
      <c r="F144" s="540" t="s">
        <v>1927</v>
      </c>
      <c r="G144" s="540">
        <v>11</v>
      </c>
      <c r="H144" s="540">
        <v>8</v>
      </c>
      <c r="I144" s="540">
        <v>3</v>
      </c>
      <c r="J144" s="540">
        <v>11</v>
      </c>
      <c r="K144" s="540">
        <v>0</v>
      </c>
      <c r="L144" s="540">
        <v>0</v>
      </c>
      <c r="M144" s="540">
        <v>0</v>
      </c>
      <c r="N144" s="540">
        <v>0</v>
      </c>
      <c r="O144" s="540">
        <v>1</v>
      </c>
      <c r="P144" s="540">
        <v>0</v>
      </c>
      <c r="Q144" s="540">
        <v>0</v>
      </c>
      <c r="R144" s="540">
        <v>10</v>
      </c>
      <c r="S144" s="540">
        <v>0</v>
      </c>
      <c r="T144" s="540">
        <v>0</v>
      </c>
      <c r="U144" s="540">
        <v>20</v>
      </c>
      <c r="V144" s="540">
        <v>3</v>
      </c>
      <c r="W144" s="776">
        <f>IF(Kulturen[[#This Row],[Berechnungsschema]]=13,3,IF(Kulturen[[#This Row],[Berechnungsschema]]=6,2,1))</f>
        <v>1</v>
      </c>
      <c r="X144" s="776">
        <f>IF(Kulturen[[#This Row],[fruchtartengruppe]]=13,Kulturen[[#This Row],[NBedarfswert]],MAX(0,Kulturen[[#This Row],[NBedarfswert]]-Kulturen[[#This Row],[Ertrag]]*Kulturen[[#This Row],[Nfix]]))</f>
        <v>0</v>
      </c>
      <c r="Y144" s="1410" t="s">
        <v>2127</v>
      </c>
      <c r="Z144" s="1410" t="s">
        <v>2127</v>
      </c>
      <c r="AA144" s="1410" t="s">
        <v>2127</v>
      </c>
      <c r="AB144" s="1410" t="s">
        <v>2127</v>
      </c>
      <c r="AC144" s="1410" t="s">
        <v>2127</v>
      </c>
      <c r="AD144" s="1410" t="s">
        <v>2127</v>
      </c>
      <c r="AE144" s="1410" t="s">
        <v>2127</v>
      </c>
      <c r="AF144" s="1410" t="s">
        <v>2127</v>
      </c>
      <c r="AG144" s="1410" t="s">
        <v>2127</v>
      </c>
      <c r="AH144" s="1410" t="s">
        <v>2127</v>
      </c>
      <c r="AI144" s="1410" t="s">
        <v>2127</v>
      </c>
      <c r="AJ144" s="1410" t="s">
        <v>2127</v>
      </c>
      <c r="AK144" s="1410" t="s">
        <v>2127</v>
      </c>
      <c r="AL144" s="1410" t="s">
        <v>2127</v>
      </c>
      <c r="AM144" s="1410" t="s">
        <v>2127</v>
      </c>
      <c r="AN144" s="1410" t="s">
        <v>2127</v>
      </c>
      <c r="AO144" s="1410" t="s">
        <v>2127</v>
      </c>
      <c r="AP144" s="1410" t="s">
        <v>2127</v>
      </c>
      <c r="AQ144" s="1410" t="s">
        <v>2127</v>
      </c>
      <c r="AR144" s="1410" t="s">
        <v>2127</v>
      </c>
      <c r="AS144" s="1410" t="s">
        <v>2127</v>
      </c>
      <c r="AT144" s="1410" t="s">
        <v>2127</v>
      </c>
      <c r="AU144" s="1410" t="s">
        <v>2127</v>
      </c>
      <c r="AV144" s="1410" t="s">
        <v>2127</v>
      </c>
      <c r="AW144" s="1410" t="s">
        <v>2127</v>
      </c>
      <c r="AX144" s="1410" t="s">
        <v>2127</v>
      </c>
      <c r="AY144" s="1410" t="s">
        <v>2127</v>
      </c>
      <c r="AZ144" s="1410" t="s">
        <v>2127</v>
      </c>
      <c r="BA144" s="1410" t="s">
        <v>2127</v>
      </c>
      <c r="BB144" s="1410" t="s">
        <v>2127</v>
      </c>
      <c r="BC144" s="1410" t="s">
        <v>2127</v>
      </c>
      <c r="BD144" s="1410" t="s">
        <v>2127</v>
      </c>
      <c r="BE144" s="1410" t="s">
        <v>2127</v>
      </c>
      <c r="BF144" s="1410" t="s">
        <v>2127</v>
      </c>
      <c r="BG144" s="1410" t="s">
        <v>2127</v>
      </c>
      <c r="BH144" s="1410" t="s">
        <v>2127</v>
      </c>
      <c r="BI144" s="1410" t="s">
        <v>2127</v>
      </c>
      <c r="BJ144" s="1410" t="s">
        <v>2127</v>
      </c>
      <c r="BK144" s="1410" t="s">
        <v>2127</v>
      </c>
      <c r="BL144" s="1410" t="s">
        <v>2127</v>
      </c>
      <c r="BM144" s="1410" t="s">
        <v>2127</v>
      </c>
      <c r="BN144" s="1410" t="s">
        <v>2127</v>
      </c>
      <c r="BO144" s="1410" t="s">
        <v>2127</v>
      </c>
      <c r="BP144" s="1410" t="s">
        <v>2127</v>
      </c>
      <c r="BQ144" s="1410" t="s">
        <v>2127</v>
      </c>
      <c r="BR144" s="1410" t="s">
        <v>2127</v>
      </c>
      <c r="BS144" s="1410" t="s">
        <v>2127</v>
      </c>
      <c r="BT144" s="1410" t="s">
        <v>2127</v>
      </c>
      <c r="BU144" s="1410" t="s">
        <v>2127</v>
      </c>
      <c r="BV144" s="1410" t="s">
        <v>2127</v>
      </c>
      <c r="BW144" s="1410" t="s">
        <v>2127</v>
      </c>
      <c r="BX144" s="1410" t="s">
        <v>2127</v>
      </c>
      <c r="BY144" s="1410" t="s">
        <v>2127</v>
      </c>
      <c r="BZ144" s="1410" t="s">
        <v>2127</v>
      </c>
      <c r="CA144" s="1410" t="s">
        <v>2127</v>
      </c>
      <c r="CB144" s="1410" t="s">
        <v>2127</v>
      </c>
      <c r="CC144" s="1410" t="s">
        <v>2127</v>
      </c>
      <c r="CD144" s="1410" t="s">
        <v>2127</v>
      </c>
      <c r="CE144" s="1410" t="s">
        <v>2127</v>
      </c>
      <c r="CF144" s="1410" t="s">
        <v>2127</v>
      </c>
      <c r="CG144" s="1410" t="s">
        <v>2127</v>
      </c>
      <c r="CH144" s="1410" t="s">
        <v>2127</v>
      </c>
      <c r="CI144" s="1410" t="s">
        <v>2127</v>
      </c>
      <c r="CJ144" s="1410" t="s">
        <v>2127</v>
      </c>
      <c r="CK144" s="1410" t="s">
        <v>2127</v>
      </c>
      <c r="CL144" s="1410" t="s">
        <v>2127</v>
      </c>
      <c r="CM144" s="1410" t="s">
        <v>2127</v>
      </c>
      <c r="CN144" s="1410" t="s">
        <v>2127</v>
      </c>
      <c r="CO144" s="1410" t="s">
        <v>2127</v>
      </c>
      <c r="CP144" s="1410" t="s">
        <v>2127</v>
      </c>
      <c r="CQ144" s="1410" t="s">
        <v>2127</v>
      </c>
      <c r="CR144" s="1410" t="s">
        <v>2127</v>
      </c>
      <c r="CS144" s="1410" t="s">
        <v>2127</v>
      </c>
      <c r="CT144" s="1410" t="s">
        <v>2127</v>
      </c>
      <c r="CU144" s="1410" t="s">
        <v>2127</v>
      </c>
      <c r="CV144" s="1410" t="s">
        <v>2127</v>
      </c>
      <c r="CW144" s="1410" t="s">
        <v>2127</v>
      </c>
      <c r="CX144" s="1410" t="s">
        <v>2127</v>
      </c>
      <c r="CY144" s="1410" t="s">
        <v>2127</v>
      </c>
      <c r="CZ144" s="1410" t="s">
        <v>2127</v>
      </c>
      <c r="DA144" s="1410" t="s">
        <v>2127</v>
      </c>
      <c r="DB144" s="1410" t="s">
        <v>2127</v>
      </c>
      <c r="DC144" s="1410" t="s">
        <v>2127</v>
      </c>
      <c r="DD144" s="1410" t="s">
        <v>2127</v>
      </c>
      <c r="DE144" s="1410" t="s">
        <v>2127</v>
      </c>
      <c r="DF144" s="1410" t="s">
        <v>2127</v>
      </c>
      <c r="DG144" s="1410" t="s">
        <v>2127</v>
      </c>
      <c r="DH144" s="1410" t="s">
        <v>2127</v>
      </c>
      <c r="DI144" s="1410" t="s">
        <v>2127</v>
      </c>
      <c r="DJ144" s="1410" t="s">
        <v>2127</v>
      </c>
      <c r="DK144" s="1410" t="s">
        <v>2127</v>
      </c>
      <c r="DL144" s="1410" t="s">
        <v>2127</v>
      </c>
      <c r="DM144" s="1410" t="s">
        <v>2127</v>
      </c>
      <c r="DN144" s="1410" t="s">
        <v>2127</v>
      </c>
      <c r="DO144" s="1410" t="s">
        <v>2127</v>
      </c>
      <c r="DP144" s="1410" t="s">
        <v>2127</v>
      </c>
    </row>
    <row r="145" spans="1:120" x14ac:dyDescent="0.2">
      <c r="B145" s="772" t="str" cm="1">
        <f t="array" ref="B145">IFERROR(INDEX(Kulturen[HF],_xlfn.AGGREGATE(15,6,(ROW(Kulturen[Auswahl])-7)/(--(SEARCH("x",Kulturen[Auswahl])&gt;0)),ROW()-7),1),"")</f>
        <v>Buschbohnen</v>
      </c>
      <c r="C145" s="772" t="str">
        <f>IF(Kulturen[[#This Row],[HF]]=$D$373,IF($C$6=0,0,"x"),IF($C$6=0,"x",Vorauswahl!C144))</f>
        <v>x</v>
      </c>
      <c r="D145" s="77" t="s">
        <v>1928</v>
      </c>
      <c r="E145" s="77" t="s">
        <v>1928</v>
      </c>
      <c r="F145" s="540" t="s">
        <v>1929</v>
      </c>
      <c r="G145" s="540">
        <v>11</v>
      </c>
      <c r="H145" s="540">
        <v>8</v>
      </c>
      <c r="I145" s="540">
        <v>3</v>
      </c>
      <c r="J145" s="540">
        <v>11</v>
      </c>
      <c r="K145" s="540">
        <v>0</v>
      </c>
      <c r="L145" s="540">
        <v>0</v>
      </c>
      <c r="M145" s="540">
        <v>0</v>
      </c>
      <c r="N145" s="540">
        <v>0</v>
      </c>
      <c r="O145" s="540">
        <v>1</v>
      </c>
      <c r="P145" s="540">
        <v>0</v>
      </c>
      <c r="Q145" s="540">
        <v>0</v>
      </c>
      <c r="R145" s="540">
        <v>10</v>
      </c>
      <c r="S145" s="540">
        <v>0</v>
      </c>
      <c r="T145" s="540">
        <v>0</v>
      </c>
      <c r="U145" s="540">
        <v>20</v>
      </c>
      <c r="V145" s="540">
        <v>3</v>
      </c>
      <c r="W145" s="776">
        <f>IF(Kulturen[[#This Row],[Berechnungsschema]]=13,3,IF(Kulturen[[#This Row],[Berechnungsschema]]=6,2,1))</f>
        <v>1</v>
      </c>
      <c r="X145" s="776">
        <f>IF(Kulturen[[#This Row],[fruchtartengruppe]]=13,Kulturen[[#This Row],[NBedarfswert]],MAX(0,Kulturen[[#This Row],[NBedarfswert]]-Kulturen[[#This Row],[Ertrag]]*Kulturen[[#This Row],[Nfix]]))</f>
        <v>0</v>
      </c>
      <c r="Y145" s="1410" t="s">
        <v>2127</v>
      </c>
      <c r="Z145" s="1410" t="s">
        <v>2127</v>
      </c>
      <c r="AA145" s="1410" t="s">
        <v>2127</v>
      </c>
      <c r="AB145" s="1410" t="s">
        <v>2127</v>
      </c>
      <c r="AC145" s="1410" t="s">
        <v>2127</v>
      </c>
      <c r="AD145" s="1410" t="s">
        <v>2127</v>
      </c>
      <c r="AE145" s="1410" t="s">
        <v>2127</v>
      </c>
      <c r="AF145" s="1410" t="s">
        <v>2127</v>
      </c>
      <c r="AG145" s="1410" t="s">
        <v>2127</v>
      </c>
      <c r="AH145" s="1410" t="s">
        <v>2127</v>
      </c>
      <c r="AI145" s="1410" t="s">
        <v>2127</v>
      </c>
      <c r="AJ145" s="1410" t="s">
        <v>2127</v>
      </c>
      <c r="AK145" s="1410" t="s">
        <v>2127</v>
      </c>
      <c r="AL145" s="1410" t="s">
        <v>2127</v>
      </c>
      <c r="AM145" s="1410" t="s">
        <v>2127</v>
      </c>
      <c r="AN145" s="1410" t="s">
        <v>2127</v>
      </c>
      <c r="AO145" s="1410" t="s">
        <v>2127</v>
      </c>
      <c r="AP145" s="1410" t="s">
        <v>2127</v>
      </c>
      <c r="AQ145" s="1410" t="s">
        <v>2127</v>
      </c>
      <c r="AR145" s="1410" t="s">
        <v>2127</v>
      </c>
      <c r="AS145" s="1410" t="s">
        <v>2127</v>
      </c>
      <c r="AT145" s="1410" t="s">
        <v>2127</v>
      </c>
      <c r="AU145" s="1410" t="s">
        <v>2127</v>
      </c>
      <c r="AV145" s="1410" t="s">
        <v>2127</v>
      </c>
      <c r="AW145" s="1410" t="s">
        <v>2127</v>
      </c>
      <c r="AX145" s="1410" t="s">
        <v>2127</v>
      </c>
      <c r="AY145" s="1410" t="s">
        <v>2127</v>
      </c>
      <c r="AZ145" s="1410" t="s">
        <v>2127</v>
      </c>
      <c r="BA145" s="1410" t="s">
        <v>2127</v>
      </c>
      <c r="BB145" s="1410" t="s">
        <v>2127</v>
      </c>
      <c r="BC145" s="1410" t="s">
        <v>2127</v>
      </c>
      <c r="BD145" s="1410" t="s">
        <v>2127</v>
      </c>
      <c r="BE145" s="1410" t="s">
        <v>2127</v>
      </c>
      <c r="BF145" s="1410" t="s">
        <v>2127</v>
      </c>
      <c r="BG145" s="1410" t="s">
        <v>2127</v>
      </c>
      <c r="BH145" s="1410" t="s">
        <v>2127</v>
      </c>
      <c r="BI145" s="1410" t="s">
        <v>2127</v>
      </c>
      <c r="BJ145" s="1410" t="s">
        <v>2127</v>
      </c>
      <c r="BK145" s="1410" t="s">
        <v>2127</v>
      </c>
      <c r="BL145" s="1410" t="s">
        <v>2127</v>
      </c>
      <c r="BM145" s="1410" t="s">
        <v>2127</v>
      </c>
      <c r="BN145" s="1410" t="s">
        <v>2127</v>
      </c>
      <c r="BO145" s="1410" t="s">
        <v>2127</v>
      </c>
      <c r="BP145" s="1410" t="s">
        <v>2127</v>
      </c>
      <c r="BQ145" s="1410" t="s">
        <v>2127</v>
      </c>
      <c r="BR145" s="1410" t="s">
        <v>2127</v>
      </c>
      <c r="BS145" s="1410" t="s">
        <v>2127</v>
      </c>
      <c r="BT145" s="1410" t="s">
        <v>2127</v>
      </c>
      <c r="BU145" s="1410" t="s">
        <v>2127</v>
      </c>
      <c r="BV145" s="1410" t="s">
        <v>2127</v>
      </c>
      <c r="BW145" s="1410" t="s">
        <v>2127</v>
      </c>
      <c r="BX145" s="1410" t="s">
        <v>2127</v>
      </c>
      <c r="BY145" s="1410" t="s">
        <v>2127</v>
      </c>
      <c r="BZ145" s="1410" t="s">
        <v>2127</v>
      </c>
      <c r="CA145" s="1410" t="s">
        <v>2127</v>
      </c>
      <c r="CB145" s="1410" t="s">
        <v>2127</v>
      </c>
      <c r="CC145" s="1410" t="s">
        <v>2127</v>
      </c>
      <c r="CD145" s="1410" t="s">
        <v>2127</v>
      </c>
      <c r="CE145" s="1410" t="s">
        <v>2127</v>
      </c>
      <c r="CF145" s="1410" t="s">
        <v>2127</v>
      </c>
      <c r="CG145" s="1410" t="s">
        <v>2127</v>
      </c>
      <c r="CH145" s="1410" t="s">
        <v>2127</v>
      </c>
      <c r="CI145" s="1410" t="s">
        <v>2127</v>
      </c>
      <c r="CJ145" s="1410" t="s">
        <v>2127</v>
      </c>
      <c r="CK145" s="1410" t="s">
        <v>2127</v>
      </c>
      <c r="CL145" s="1410" t="s">
        <v>2127</v>
      </c>
      <c r="CM145" s="1410" t="s">
        <v>2127</v>
      </c>
      <c r="CN145" s="1410" t="s">
        <v>2127</v>
      </c>
      <c r="CO145" s="1410" t="s">
        <v>2127</v>
      </c>
      <c r="CP145" s="1410" t="s">
        <v>2127</v>
      </c>
      <c r="CQ145" s="1410" t="s">
        <v>2127</v>
      </c>
      <c r="CR145" s="1410" t="s">
        <v>2127</v>
      </c>
      <c r="CS145" s="1410" t="s">
        <v>2127</v>
      </c>
      <c r="CT145" s="1410" t="s">
        <v>2127</v>
      </c>
      <c r="CU145" s="1410" t="s">
        <v>2127</v>
      </c>
      <c r="CV145" s="1410" t="s">
        <v>2127</v>
      </c>
      <c r="CW145" s="1410" t="s">
        <v>2127</v>
      </c>
      <c r="CX145" s="1410" t="s">
        <v>2127</v>
      </c>
      <c r="CY145" s="1410" t="s">
        <v>2127</v>
      </c>
      <c r="CZ145" s="1410" t="s">
        <v>2127</v>
      </c>
      <c r="DA145" s="1410" t="s">
        <v>2127</v>
      </c>
      <c r="DB145" s="1410" t="s">
        <v>2127</v>
      </c>
      <c r="DC145" s="1410" t="s">
        <v>2127</v>
      </c>
      <c r="DD145" s="1410" t="s">
        <v>2127</v>
      </c>
      <c r="DE145" s="1410" t="s">
        <v>2127</v>
      </c>
      <c r="DF145" s="1410" t="s">
        <v>2127</v>
      </c>
      <c r="DG145" s="1410" t="s">
        <v>2127</v>
      </c>
      <c r="DH145" s="1410" t="s">
        <v>2127</v>
      </c>
      <c r="DI145" s="1410" t="s">
        <v>2127</v>
      </c>
      <c r="DJ145" s="1410" t="s">
        <v>2127</v>
      </c>
      <c r="DK145" s="1410" t="s">
        <v>2127</v>
      </c>
      <c r="DL145" s="1410" t="s">
        <v>2127</v>
      </c>
      <c r="DM145" s="1410" t="s">
        <v>2127</v>
      </c>
      <c r="DN145" s="1410" t="s">
        <v>2127</v>
      </c>
      <c r="DO145" s="1410" t="s">
        <v>2127</v>
      </c>
      <c r="DP145" s="1410" t="s">
        <v>2127</v>
      </c>
    </row>
    <row r="146" spans="1:120" x14ac:dyDescent="0.2">
      <c r="B146" s="772" t="str" cm="1">
        <f t="array" ref="B146">IFERROR(INDEX(Kulturen[HF],_xlfn.AGGREGATE(15,6,(ROW(Kulturen[Auswahl])-7)/(--(SEARCH("x",Kulturen[Auswahl])&gt;0)),ROW()-7),1),"")</f>
        <v>Chicoréerüben</v>
      </c>
      <c r="C146" s="772" t="str">
        <f>IF(Kulturen[[#This Row],[HF]]=$D$373,IF($C$6=0,0,"x"),IF($C$6=0,"x",Vorauswahl!C145))</f>
        <v>x</v>
      </c>
      <c r="D146" s="77" t="s">
        <v>1930</v>
      </c>
      <c r="E146" s="77" t="s">
        <v>1930</v>
      </c>
      <c r="F146" s="540" t="s">
        <v>1931</v>
      </c>
      <c r="G146" s="540">
        <v>11</v>
      </c>
      <c r="H146" s="540">
        <v>8</v>
      </c>
      <c r="I146" s="540">
        <v>3</v>
      </c>
      <c r="J146" s="540">
        <v>11</v>
      </c>
      <c r="K146" s="540">
        <v>0</v>
      </c>
      <c r="L146" s="540">
        <v>0</v>
      </c>
      <c r="M146" s="540">
        <v>0</v>
      </c>
      <c r="N146" s="540">
        <v>0</v>
      </c>
      <c r="O146" s="540">
        <v>1</v>
      </c>
      <c r="P146" s="540">
        <v>0</v>
      </c>
      <c r="Q146" s="540">
        <v>0</v>
      </c>
      <c r="R146" s="540">
        <v>10</v>
      </c>
      <c r="S146" s="540">
        <v>0</v>
      </c>
      <c r="T146" s="540">
        <v>0</v>
      </c>
      <c r="U146" s="540">
        <v>20</v>
      </c>
      <c r="V146" s="540">
        <v>3</v>
      </c>
      <c r="W146" s="776">
        <f>IF(Kulturen[[#This Row],[Berechnungsschema]]=13,3,IF(Kulturen[[#This Row],[Berechnungsschema]]=6,2,1))</f>
        <v>1</v>
      </c>
      <c r="X146" s="776">
        <f>IF(Kulturen[[#This Row],[fruchtartengruppe]]=13,Kulturen[[#This Row],[NBedarfswert]],MAX(0,Kulturen[[#This Row],[NBedarfswert]]-Kulturen[[#This Row],[Ertrag]]*Kulturen[[#This Row],[Nfix]]))</f>
        <v>0</v>
      </c>
      <c r="Y146" s="1410" t="s">
        <v>2127</v>
      </c>
      <c r="Z146" s="1410" t="s">
        <v>2127</v>
      </c>
      <c r="AA146" s="1410" t="s">
        <v>2127</v>
      </c>
      <c r="AB146" s="1410" t="s">
        <v>2127</v>
      </c>
      <c r="AC146" s="1410" t="s">
        <v>2127</v>
      </c>
      <c r="AD146" s="1410" t="s">
        <v>2127</v>
      </c>
      <c r="AE146" s="1410" t="s">
        <v>2127</v>
      </c>
      <c r="AF146" s="1410" t="s">
        <v>2127</v>
      </c>
      <c r="AG146" s="1410" t="s">
        <v>2127</v>
      </c>
      <c r="AH146" s="1410" t="s">
        <v>2127</v>
      </c>
      <c r="AI146" s="1410" t="s">
        <v>2127</v>
      </c>
      <c r="AJ146" s="1410" t="s">
        <v>2127</v>
      </c>
      <c r="AK146" s="1410" t="s">
        <v>2127</v>
      </c>
      <c r="AL146" s="1410" t="s">
        <v>2127</v>
      </c>
      <c r="AM146" s="1410" t="s">
        <v>2127</v>
      </c>
      <c r="AN146" s="1410" t="s">
        <v>2127</v>
      </c>
      <c r="AO146" s="1410" t="s">
        <v>2127</v>
      </c>
      <c r="AP146" s="1410" t="s">
        <v>2127</v>
      </c>
      <c r="AQ146" s="1410" t="s">
        <v>2127</v>
      </c>
      <c r="AR146" s="1410" t="s">
        <v>2127</v>
      </c>
      <c r="AS146" s="1410" t="s">
        <v>2127</v>
      </c>
      <c r="AT146" s="1410" t="s">
        <v>2127</v>
      </c>
      <c r="AU146" s="1410" t="s">
        <v>2127</v>
      </c>
      <c r="AV146" s="1410" t="s">
        <v>2127</v>
      </c>
      <c r="AW146" s="1410" t="s">
        <v>2127</v>
      </c>
      <c r="AX146" s="1410" t="s">
        <v>2127</v>
      </c>
      <c r="AY146" s="1410" t="s">
        <v>2127</v>
      </c>
      <c r="AZ146" s="1410" t="s">
        <v>2127</v>
      </c>
      <c r="BA146" s="1410" t="s">
        <v>2127</v>
      </c>
      <c r="BB146" s="1410" t="s">
        <v>2127</v>
      </c>
      <c r="BC146" s="1410" t="s">
        <v>2127</v>
      </c>
      <c r="BD146" s="1410" t="s">
        <v>2127</v>
      </c>
      <c r="BE146" s="1410" t="s">
        <v>2127</v>
      </c>
      <c r="BF146" s="1410" t="s">
        <v>2127</v>
      </c>
      <c r="BG146" s="1410" t="s">
        <v>2127</v>
      </c>
      <c r="BH146" s="1410" t="s">
        <v>2127</v>
      </c>
      <c r="BI146" s="1410" t="s">
        <v>2127</v>
      </c>
      <c r="BJ146" s="1410" t="s">
        <v>2127</v>
      </c>
      <c r="BK146" s="1410" t="s">
        <v>2127</v>
      </c>
      <c r="BL146" s="1410" t="s">
        <v>2127</v>
      </c>
      <c r="BM146" s="1410" t="s">
        <v>2127</v>
      </c>
      <c r="BN146" s="1410" t="s">
        <v>2127</v>
      </c>
      <c r="BO146" s="1410" t="s">
        <v>2127</v>
      </c>
      <c r="BP146" s="1410" t="s">
        <v>2127</v>
      </c>
      <c r="BQ146" s="1410" t="s">
        <v>2127</v>
      </c>
      <c r="BR146" s="1410" t="s">
        <v>2127</v>
      </c>
      <c r="BS146" s="1410" t="s">
        <v>2127</v>
      </c>
      <c r="BT146" s="1410" t="s">
        <v>2127</v>
      </c>
      <c r="BU146" s="1410" t="s">
        <v>2127</v>
      </c>
      <c r="BV146" s="1410" t="s">
        <v>2127</v>
      </c>
      <c r="BW146" s="1410" t="s">
        <v>2127</v>
      </c>
      <c r="BX146" s="1410" t="s">
        <v>2127</v>
      </c>
      <c r="BY146" s="1410" t="s">
        <v>2127</v>
      </c>
      <c r="BZ146" s="1410" t="s">
        <v>2127</v>
      </c>
      <c r="CA146" s="1410" t="s">
        <v>2127</v>
      </c>
      <c r="CB146" s="1410" t="s">
        <v>2127</v>
      </c>
      <c r="CC146" s="1410" t="s">
        <v>2127</v>
      </c>
      <c r="CD146" s="1410" t="s">
        <v>2127</v>
      </c>
      <c r="CE146" s="1410" t="s">
        <v>2127</v>
      </c>
      <c r="CF146" s="1410" t="s">
        <v>2127</v>
      </c>
      <c r="CG146" s="1410" t="s">
        <v>2127</v>
      </c>
      <c r="CH146" s="1410" t="s">
        <v>2127</v>
      </c>
      <c r="CI146" s="1410" t="s">
        <v>2127</v>
      </c>
      <c r="CJ146" s="1410" t="s">
        <v>2127</v>
      </c>
      <c r="CK146" s="1410" t="s">
        <v>2127</v>
      </c>
      <c r="CL146" s="1410" t="s">
        <v>2127</v>
      </c>
      <c r="CM146" s="1410" t="s">
        <v>2127</v>
      </c>
      <c r="CN146" s="1410" t="s">
        <v>2127</v>
      </c>
      <c r="CO146" s="1410" t="s">
        <v>2127</v>
      </c>
      <c r="CP146" s="1410" t="s">
        <v>2127</v>
      </c>
      <c r="CQ146" s="1410" t="s">
        <v>2127</v>
      </c>
      <c r="CR146" s="1410" t="s">
        <v>2127</v>
      </c>
      <c r="CS146" s="1410" t="s">
        <v>2127</v>
      </c>
      <c r="CT146" s="1410" t="s">
        <v>2127</v>
      </c>
      <c r="CU146" s="1410" t="s">
        <v>2127</v>
      </c>
      <c r="CV146" s="1410" t="s">
        <v>2127</v>
      </c>
      <c r="CW146" s="1410" t="s">
        <v>2127</v>
      </c>
      <c r="CX146" s="1410" t="s">
        <v>2127</v>
      </c>
      <c r="CY146" s="1410" t="s">
        <v>2127</v>
      </c>
      <c r="CZ146" s="1410" t="s">
        <v>2127</v>
      </c>
      <c r="DA146" s="1410" t="s">
        <v>2127</v>
      </c>
      <c r="DB146" s="1410" t="s">
        <v>2127</v>
      </c>
      <c r="DC146" s="1410" t="s">
        <v>2127</v>
      </c>
      <c r="DD146" s="1410" t="s">
        <v>2127</v>
      </c>
      <c r="DE146" s="1410" t="s">
        <v>2127</v>
      </c>
      <c r="DF146" s="1410" t="s">
        <v>2127</v>
      </c>
      <c r="DG146" s="1410" t="s">
        <v>2127</v>
      </c>
      <c r="DH146" s="1410" t="s">
        <v>2127</v>
      </c>
      <c r="DI146" s="1410" t="s">
        <v>2127</v>
      </c>
      <c r="DJ146" s="1410" t="s">
        <v>2127</v>
      </c>
      <c r="DK146" s="1410" t="s">
        <v>2127</v>
      </c>
      <c r="DL146" s="1410" t="s">
        <v>2127</v>
      </c>
      <c r="DM146" s="1410" t="s">
        <v>2127</v>
      </c>
      <c r="DN146" s="1410" t="s">
        <v>2127</v>
      </c>
      <c r="DO146" s="1410" t="s">
        <v>2127</v>
      </c>
      <c r="DP146" s="1410" t="s">
        <v>2127</v>
      </c>
    </row>
    <row r="147" spans="1:120" x14ac:dyDescent="0.2">
      <c r="A147" s="637"/>
      <c r="B147" s="772" t="str" cm="1">
        <f t="array" ref="B147">IFERROR(INDEX(Kulturen[HF],_xlfn.AGGREGATE(15,6,(ROW(Kulturen[Auswahl])-7)/(--(SEARCH("x",Kulturen[Auswahl])&gt;0)),ROW()-7),1),"")</f>
        <v>Chinakohl</v>
      </c>
      <c r="C147" s="772" t="str">
        <f>IF(Kulturen[[#This Row],[HF]]=$D$373,IF($C$6=0,0,"x"),IF($C$6=0,"x",Vorauswahl!C146))</f>
        <v>x</v>
      </c>
      <c r="D147" s="77" t="s">
        <v>1932</v>
      </c>
      <c r="E147" s="77" t="s">
        <v>1932</v>
      </c>
      <c r="F147" s="540" t="s">
        <v>1933</v>
      </c>
      <c r="G147" s="540">
        <v>11</v>
      </c>
      <c r="H147" s="540">
        <v>8</v>
      </c>
      <c r="I147" s="540">
        <v>3</v>
      </c>
      <c r="J147" s="540">
        <v>11</v>
      </c>
      <c r="K147" s="540">
        <v>0</v>
      </c>
      <c r="L147" s="540">
        <v>0</v>
      </c>
      <c r="M147" s="540">
        <v>0</v>
      </c>
      <c r="N147" s="540">
        <v>0</v>
      </c>
      <c r="O147" s="540">
        <v>1</v>
      </c>
      <c r="P147" s="540">
        <v>0</v>
      </c>
      <c r="Q147" s="540">
        <v>0</v>
      </c>
      <c r="R147" s="540">
        <v>10</v>
      </c>
      <c r="S147" s="540">
        <v>0</v>
      </c>
      <c r="T147" s="540">
        <v>0</v>
      </c>
      <c r="U147" s="540">
        <v>20</v>
      </c>
      <c r="V147" s="540">
        <v>3</v>
      </c>
      <c r="W147" s="776">
        <f>IF(Kulturen[[#This Row],[Berechnungsschema]]=13,3,IF(Kulturen[[#This Row],[Berechnungsschema]]=6,2,1))</f>
        <v>1</v>
      </c>
      <c r="X147" s="776">
        <f>IF(Kulturen[[#This Row],[fruchtartengruppe]]=13,Kulturen[[#This Row],[NBedarfswert]],MAX(0,Kulturen[[#This Row],[NBedarfswert]]-Kulturen[[#This Row],[Ertrag]]*Kulturen[[#This Row],[Nfix]]))</f>
        <v>0</v>
      </c>
      <c r="Y147" s="1410" t="s">
        <v>2127</v>
      </c>
      <c r="Z147" s="1410" t="s">
        <v>2127</v>
      </c>
      <c r="AA147" s="1410" t="s">
        <v>2127</v>
      </c>
      <c r="AB147" s="1410" t="s">
        <v>2127</v>
      </c>
      <c r="AC147" s="1410" t="s">
        <v>2127</v>
      </c>
      <c r="AD147" s="1410" t="s">
        <v>2127</v>
      </c>
      <c r="AE147" s="1410" t="s">
        <v>2127</v>
      </c>
      <c r="AF147" s="1410" t="s">
        <v>2127</v>
      </c>
      <c r="AG147" s="1410" t="s">
        <v>2127</v>
      </c>
      <c r="AH147" s="1410" t="s">
        <v>2127</v>
      </c>
      <c r="AI147" s="1410" t="s">
        <v>2127</v>
      </c>
      <c r="AJ147" s="1410" t="s">
        <v>2127</v>
      </c>
      <c r="AK147" s="1410" t="s">
        <v>2127</v>
      </c>
      <c r="AL147" s="1410" t="s">
        <v>2127</v>
      </c>
      <c r="AM147" s="1410" t="s">
        <v>2127</v>
      </c>
      <c r="AN147" s="1410" t="s">
        <v>2127</v>
      </c>
      <c r="AO147" s="1410" t="s">
        <v>2127</v>
      </c>
      <c r="AP147" s="1410" t="s">
        <v>2127</v>
      </c>
      <c r="AQ147" s="1410" t="s">
        <v>2127</v>
      </c>
      <c r="AR147" s="1410" t="s">
        <v>2127</v>
      </c>
      <c r="AS147" s="1410" t="s">
        <v>2127</v>
      </c>
      <c r="AT147" s="1410" t="s">
        <v>2127</v>
      </c>
      <c r="AU147" s="1410" t="s">
        <v>2127</v>
      </c>
      <c r="AV147" s="1410" t="s">
        <v>2127</v>
      </c>
      <c r="AW147" s="1410" t="s">
        <v>2127</v>
      </c>
      <c r="AX147" s="1410" t="s">
        <v>2127</v>
      </c>
      <c r="AY147" s="1410" t="s">
        <v>2127</v>
      </c>
      <c r="AZ147" s="1410" t="s">
        <v>2127</v>
      </c>
      <c r="BA147" s="1410" t="s">
        <v>2127</v>
      </c>
      <c r="BB147" s="1410" t="s">
        <v>2127</v>
      </c>
      <c r="BC147" s="1410" t="s">
        <v>2127</v>
      </c>
      <c r="BD147" s="1410" t="s">
        <v>2127</v>
      </c>
      <c r="BE147" s="1410" t="s">
        <v>2127</v>
      </c>
      <c r="BF147" s="1410" t="s">
        <v>2127</v>
      </c>
      <c r="BG147" s="1410" t="s">
        <v>2127</v>
      </c>
      <c r="BH147" s="1410" t="s">
        <v>2127</v>
      </c>
      <c r="BI147" s="1410" t="s">
        <v>2127</v>
      </c>
      <c r="BJ147" s="1410" t="s">
        <v>2127</v>
      </c>
      <c r="BK147" s="1410" t="s">
        <v>2127</v>
      </c>
      <c r="BL147" s="1410" t="s">
        <v>2127</v>
      </c>
      <c r="BM147" s="1410" t="s">
        <v>2127</v>
      </c>
      <c r="BN147" s="1410" t="s">
        <v>2127</v>
      </c>
      <c r="BO147" s="1410" t="s">
        <v>2127</v>
      </c>
      <c r="BP147" s="1410" t="s">
        <v>2127</v>
      </c>
      <c r="BQ147" s="1410" t="s">
        <v>2127</v>
      </c>
      <c r="BR147" s="1410" t="s">
        <v>2127</v>
      </c>
      <c r="BS147" s="1410" t="s">
        <v>2127</v>
      </c>
      <c r="BT147" s="1410" t="s">
        <v>2127</v>
      </c>
      <c r="BU147" s="1410" t="s">
        <v>2127</v>
      </c>
      <c r="BV147" s="1410" t="s">
        <v>2127</v>
      </c>
      <c r="BW147" s="1410" t="s">
        <v>2127</v>
      </c>
      <c r="BX147" s="1410" t="s">
        <v>2127</v>
      </c>
      <c r="BY147" s="1410" t="s">
        <v>2127</v>
      </c>
      <c r="BZ147" s="1410" t="s">
        <v>2127</v>
      </c>
      <c r="CA147" s="1410" t="s">
        <v>2127</v>
      </c>
      <c r="CB147" s="1410" t="s">
        <v>2127</v>
      </c>
      <c r="CC147" s="1410" t="s">
        <v>2127</v>
      </c>
      <c r="CD147" s="1410" t="s">
        <v>2127</v>
      </c>
      <c r="CE147" s="1410" t="s">
        <v>2127</v>
      </c>
      <c r="CF147" s="1410" t="s">
        <v>2127</v>
      </c>
      <c r="CG147" s="1410" t="s">
        <v>2127</v>
      </c>
      <c r="CH147" s="1410" t="s">
        <v>2127</v>
      </c>
      <c r="CI147" s="1410" t="s">
        <v>2127</v>
      </c>
      <c r="CJ147" s="1410" t="s">
        <v>2127</v>
      </c>
      <c r="CK147" s="1410" t="s">
        <v>2127</v>
      </c>
      <c r="CL147" s="1410" t="s">
        <v>2127</v>
      </c>
      <c r="CM147" s="1410" t="s">
        <v>2127</v>
      </c>
      <c r="CN147" s="1410" t="s">
        <v>2127</v>
      </c>
      <c r="CO147" s="1410" t="s">
        <v>2127</v>
      </c>
      <c r="CP147" s="1410" t="s">
        <v>2127</v>
      </c>
      <c r="CQ147" s="1410" t="s">
        <v>2127</v>
      </c>
      <c r="CR147" s="1410" t="s">
        <v>2127</v>
      </c>
      <c r="CS147" s="1410" t="s">
        <v>2127</v>
      </c>
      <c r="CT147" s="1410" t="s">
        <v>2127</v>
      </c>
      <c r="CU147" s="1410" t="s">
        <v>2127</v>
      </c>
      <c r="CV147" s="1410" t="s">
        <v>2127</v>
      </c>
      <c r="CW147" s="1410" t="s">
        <v>2127</v>
      </c>
      <c r="CX147" s="1410" t="s">
        <v>2127</v>
      </c>
      <c r="CY147" s="1410" t="s">
        <v>2127</v>
      </c>
      <c r="CZ147" s="1410" t="s">
        <v>2127</v>
      </c>
      <c r="DA147" s="1410" t="s">
        <v>2127</v>
      </c>
      <c r="DB147" s="1410" t="s">
        <v>2127</v>
      </c>
      <c r="DC147" s="1410" t="s">
        <v>2127</v>
      </c>
      <c r="DD147" s="1410" t="s">
        <v>2127</v>
      </c>
      <c r="DE147" s="1410" t="s">
        <v>2127</v>
      </c>
      <c r="DF147" s="1410" t="s">
        <v>2127</v>
      </c>
      <c r="DG147" s="1410" t="s">
        <v>2127</v>
      </c>
      <c r="DH147" s="1410" t="s">
        <v>2127</v>
      </c>
      <c r="DI147" s="1410" t="s">
        <v>2127</v>
      </c>
      <c r="DJ147" s="1410" t="s">
        <v>2127</v>
      </c>
      <c r="DK147" s="1410" t="s">
        <v>2127</v>
      </c>
      <c r="DL147" s="1410" t="s">
        <v>2127</v>
      </c>
      <c r="DM147" s="1410" t="s">
        <v>2127</v>
      </c>
      <c r="DN147" s="1410" t="s">
        <v>2127</v>
      </c>
      <c r="DO147" s="1410" t="s">
        <v>2127</v>
      </c>
      <c r="DP147" s="1410" t="s">
        <v>2127</v>
      </c>
    </row>
    <row r="148" spans="1:120" x14ac:dyDescent="0.2">
      <c r="A148" s="637" t="s">
        <v>2194</v>
      </c>
      <c r="B148" s="772" t="str" cm="1">
        <f t="array" ref="B148">IFERROR(INDEX(Kulturen[HF],_xlfn.AGGREGATE(15,6,(ROW(Kulturen[Auswahl])-7)/(--(SEARCH("x",Kulturen[Auswahl])&gt;0)),ROW()-7),1),"")</f>
        <v>Dicke Bohnen, ohne Hülsen</v>
      </c>
      <c r="C148" s="772" t="str">
        <f>IF(Kulturen[[#This Row],[HF]]=$D$373,IF($C$6=0,0,"x"),IF($C$6=0,"x",Vorauswahl!C147))</f>
        <v>x</v>
      </c>
      <c r="D148" s="938" t="s">
        <v>1934</v>
      </c>
      <c r="E148" s="938" t="s">
        <v>1934</v>
      </c>
      <c r="F148" s="938" t="s">
        <v>1859</v>
      </c>
      <c r="G148" s="938">
        <v>0</v>
      </c>
      <c r="H148" s="938">
        <v>0</v>
      </c>
      <c r="I148" s="938">
        <v>0</v>
      </c>
      <c r="J148" s="938">
        <v>0</v>
      </c>
      <c r="K148" s="938">
        <v>0</v>
      </c>
      <c r="L148" s="938">
        <v>0</v>
      </c>
      <c r="M148" s="938">
        <v>0</v>
      </c>
      <c r="N148" s="938">
        <v>0</v>
      </c>
      <c r="O148" s="938">
        <v>1</v>
      </c>
      <c r="P148" s="938">
        <v>0</v>
      </c>
      <c r="Q148" s="938">
        <v>0</v>
      </c>
      <c r="R148" s="938">
        <v>1</v>
      </c>
      <c r="S148" s="938">
        <v>0</v>
      </c>
      <c r="T148" s="938">
        <v>0</v>
      </c>
      <c r="U148" s="938">
        <v>0</v>
      </c>
      <c r="V148" s="938">
        <v>0</v>
      </c>
      <c r="W148" s="776">
        <f>IF(Kulturen[[#This Row],[Berechnungsschema]]=13,3,IF(Kulturen[[#This Row],[Berechnungsschema]]=6,2,1))</f>
        <v>1</v>
      </c>
      <c r="X148" s="776">
        <f>IF(Kulturen[[#This Row],[fruchtartengruppe]]=13,Kulturen[[#This Row],[NBedarfswert]],MAX(0,Kulturen[[#This Row],[NBedarfswert]]-Kulturen[[#This Row],[Ertrag]]*Kulturen[[#This Row],[Nfix]]))</f>
        <v>0</v>
      </c>
      <c r="Y148" s="776" t="s">
        <v>2127</v>
      </c>
      <c r="Z148" s="776" t="s">
        <v>2127</v>
      </c>
      <c r="AA148" s="776" t="s">
        <v>2127</v>
      </c>
      <c r="AB148" s="776" t="s">
        <v>2127</v>
      </c>
      <c r="AC148" s="776" t="s">
        <v>2127</v>
      </c>
      <c r="AD148" s="776" t="s">
        <v>2127</v>
      </c>
      <c r="AE148" s="776" t="s">
        <v>2127</v>
      </c>
      <c r="AF148" s="776" t="s">
        <v>2127</v>
      </c>
      <c r="AG148" s="776" t="s">
        <v>2127</v>
      </c>
      <c r="AH148" s="776" t="s">
        <v>2127</v>
      </c>
      <c r="AI148" s="776" t="s">
        <v>2127</v>
      </c>
      <c r="AJ148" s="776" t="s">
        <v>2127</v>
      </c>
      <c r="AK148" s="776" t="s">
        <v>2127</v>
      </c>
      <c r="AL148" s="776" t="s">
        <v>2127</v>
      </c>
      <c r="AM148" s="776" t="s">
        <v>2127</v>
      </c>
      <c r="AN148" s="776" t="s">
        <v>2127</v>
      </c>
      <c r="AO148" s="776" t="s">
        <v>2127</v>
      </c>
      <c r="AP148" s="776" t="s">
        <v>2127</v>
      </c>
      <c r="AQ148" s="776" t="s">
        <v>2127</v>
      </c>
      <c r="AR148" s="776" t="s">
        <v>2127</v>
      </c>
      <c r="AS148" s="776" t="s">
        <v>2127</v>
      </c>
      <c r="AT148" s="776" t="s">
        <v>2127</v>
      </c>
      <c r="AU148" s="776" t="s">
        <v>2127</v>
      </c>
      <c r="AV148" s="776" t="s">
        <v>2127</v>
      </c>
      <c r="AW148" s="776" t="s">
        <v>2127</v>
      </c>
      <c r="AX148" s="776" t="s">
        <v>2127</v>
      </c>
      <c r="AY148" s="776" t="s">
        <v>2127</v>
      </c>
      <c r="AZ148" s="776" t="s">
        <v>2127</v>
      </c>
      <c r="BA148" s="776" t="s">
        <v>2127</v>
      </c>
      <c r="BB148" s="776" t="s">
        <v>2127</v>
      </c>
      <c r="BC148" s="776" t="s">
        <v>2127</v>
      </c>
      <c r="BD148" s="776" t="s">
        <v>2127</v>
      </c>
      <c r="BE148" s="776" t="s">
        <v>2127</v>
      </c>
      <c r="BF148" s="776" t="s">
        <v>2127</v>
      </c>
      <c r="BG148" s="776" t="s">
        <v>2127</v>
      </c>
      <c r="BH148" s="776" t="s">
        <v>2127</v>
      </c>
      <c r="BI148" s="776" t="s">
        <v>2127</v>
      </c>
      <c r="BJ148" s="776" t="s">
        <v>2127</v>
      </c>
      <c r="BK148" s="776" t="s">
        <v>2127</v>
      </c>
      <c r="BL148" s="776" t="s">
        <v>2127</v>
      </c>
      <c r="BM148" s="776" t="s">
        <v>2127</v>
      </c>
      <c r="BN148" s="776" t="s">
        <v>2127</v>
      </c>
      <c r="BO148" s="776" t="s">
        <v>2127</v>
      </c>
      <c r="BP148" s="776" t="s">
        <v>2127</v>
      </c>
      <c r="BQ148" s="776" t="s">
        <v>2127</v>
      </c>
      <c r="BR148" s="776" t="s">
        <v>2127</v>
      </c>
      <c r="BS148" s="776" t="s">
        <v>2127</v>
      </c>
      <c r="BT148" s="776" t="s">
        <v>2127</v>
      </c>
      <c r="BU148" s="776" t="s">
        <v>2127</v>
      </c>
      <c r="BV148" s="776" t="s">
        <v>2127</v>
      </c>
      <c r="BW148" s="776" t="s">
        <v>2127</v>
      </c>
      <c r="BX148" s="776" t="s">
        <v>2127</v>
      </c>
      <c r="BY148" s="776" t="s">
        <v>2127</v>
      </c>
      <c r="BZ148" s="776" t="s">
        <v>2127</v>
      </c>
      <c r="CA148" s="776" t="s">
        <v>2127</v>
      </c>
      <c r="CB148" s="776" t="s">
        <v>2127</v>
      </c>
      <c r="CC148" s="776" t="s">
        <v>2127</v>
      </c>
      <c r="CD148" s="776" t="s">
        <v>2127</v>
      </c>
      <c r="CE148" s="776" t="s">
        <v>2127</v>
      </c>
      <c r="CF148" s="776" t="s">
        <v>2127</v>
      </c>
      <c r="CG148" s="776" t="s">
        <v>2127</v>
      </c>
      <c r="CH148" s="776" t="s">
        <v>2127</v>
      </c>
      <c r="CI148" s="776" t="s">
        <v>2127</v>
      </c>
      <c r="CJ148" s="776" t="s">
        <v>2127</v>
      </c>
      <c r="CK148" s="776" t="s">
        <v>2127</v>
      </c>
      <c r="CL148" s="776" t="s">
        <v>2127</v>
      </c>
      <c r="CM148" s="776" t="s">
        <v>2127</v>
      </c>
      <c r="CN148" s="776" t="s">
        <v>2127</v>
      </c>
      <c r="CO148" s="776" t="s">
        <v>2127</v>
      </c>
      <c r="CP148" s="776" t="s">
        <v>2127</v>
      </c>
      <c r="CQ148" s="776" t="s">
        <v>2127</v>
      </c>
      <c r="CR148" s="776" t="s">
        <v>2127</v>
      </c>
      <c r="CS148" s="776" t="s">
        <v>2127</v>
      </c>
      <c r="CT148" s="776" t="s">
        <v>2127</v>
      </c>
      <c r="CU148" s="776" t="s">
        <v>2127</v>
      </c>
      <c r="CV148" s="776" t="s">
        <v>2127</v>
      </c>
      <c r="CW148" s="776" t="s">
        <v>2127</v>
      </c>
      <c r="CX148" s="776" t="s">
        <v>2127</v>
      </c>
      <c r="CY148" s="776" t="s">
        <v>2127</v>
      </c>
      <c r="CZ148" s="776" t="s">
        <v>2127</v>
      </c>
      <c r="DA148" s="776" t="s">
        <v>2127</v>
      </c>
      <c r="DB148" s="776" t="s">
        <v>2127</v>
      </c>
      <c r="DC148" s="776" t="s">
        <v>2127</v>
      </c>
      <c r="DD148" s="776" t="s">
        <v>2127</v>
      </c>
      <c r="DE148" s="776" t="s">
        <v>2127</v>
      </c>
      <c r="DF148" s="776" t="s">
        <v>2127</v>
      </c>
      <c r="DG148" s="776" t="s">
        <v>2127</v>
      </c>
      <c r="DH148" s="776" t="s">
        <v>2127</v>
      </c>
      <c r="DI148" s="776" t="s">
        <v>2127</v>
      </c>
      <c r="DJ148" s="776" t="s">
        <v>2127</v>
      </c>
      <c r="DK148" s="776" t="s">
        <v>2127</v>
      </c>
      <c r="DL148" s="776" t="s">
        <v>2127</v>
      </c>
      <c r="DM148" s="776" t="s">
        <v>2127</v>
      </c>
      <c r="DN148" s="776" t="s">
        <v>2127</v>
      </c>
      <c r="DO148" s="776" t="s">
        <v>2127</v>
      </c>
      <c r="DP148" s="776" t="s">
        <v>2127</v>
      </c>
    </row>
    <row r="149" spans="1:120" x14ac:dyDescent="0.2">
      <c r="A149" s="637" t="s">
        <v>2195</v>
      </c>
      <c r="B149" s="772" t="str" cm="1">
        <f t="array" ref="B149">IFERROR(INDEX(Kulturen[HF],_xlfn.AGGREGATE(15,6,(ROW(Kulturen[Auswahl])-7)/(--(SEARCH("x",Kulturen[Auswahl])&gt;0)),ROW()-7),1),"")</f>
        <v>Eissalat</v>
      </c>
      <c r="C149" s="772" t="str">
        <f>IF(Kulturen[[#This Row],[HF]]=$D$373,IF($C$6=0,0,"x"),IF($C$6=0,"x",Vorauswahl!C148))</f>
        <v>x</v>
      </c>
      <c r="D149" s="938" t="s">
        <v>755</v>
      </c>
      <c r="E149" s="938" t="s">
        <v>755</v>
      </c>
      <c r="F149" s="938" t="s">
        <v>836</v>
      </c>
      <c r="G149" s="938">
        <v>12</v>
      </c>
      <c r="H149" s="938">
        <v>8</v>
      </c>
      <c r="I149" s="938">
        <v>1</v>
      </c>
      <c r="J149" s="938">
        <v>12</v>
      </c>
      <c r="K149" s="938">
        <v>0.25</v>
      </c>
      <c r="L149" s="938">
        <v>0.25</v>
      </c>
      <c r="M149" s="938">
        <v>160</v>
      </c>
      <c r="N149" s="938">
        <v>0</v>
      </c>
      <c r="O149" s="938">
        <v>1</v>
      </c>
      <c r="P149" s="938">
        <v>0</v>
      </c>
      <c r="Q149" s="938">
        <v>130</v>
      </c>
      <c r="R149" s="938">
        <v>32</v>
      </c>
      <c r="S149" s="938">
        <v>20</v>
      </c>
      <c r="T149" s="938">
        <v>20</v>
      </c>
      <c r="U149" s="938">
        <v>0</v>
      </c>
      <c r="V149" s="938">
        <v>1</v>
      </c>
      <c r="W149" s="776">
        <f>IF(Kulturen[[#This Row],[Berechnungsschema]]=13,3,IF(Kulturen[[#This Row],[Berechnungsschema]]=6,2,1))</f>
        <v>1</v>
      </c>
      <c r="X149" s="776">
        <f>IF(Kulturen[[#This Row],[fruchtartengruppe]]=13,Kulturen[[#This Row],[NBedarfswert]],MAX(0,Kulturen[[#This Row],[NBedarfswert]]-Kulturen[[#This Row],[Ertrag]]*Kulturen[[#This Row],[Nfix]]))</f>
        <v>130</v>
      </c>
      <c r="Y149" s="776" t="s">
        <v>2127</v>
      </c>
      <c r="Z149" s="776" t="s">
        <v>2127</v>
      </c>
      <c r="AA149" s="776" t="s">
        <v>2127</v>
      </c>
      <c r="AB149" s="776" t="s">
        <v>2127</v>
      </c>
      <c r="AC149" s="776" t="s">
        <v>2127</v>
      </c>
      <c r="AD149" s="776" t="s">
        <v>2127</v>
      </c>
      <c r="AE149" s="776" t="s">
        <v>2127</v>
      </c>
      <c r="AF149" s="776" t="s">
        <v>2127</v>
      </c>
      <c r="AG149" s="776" t="s">
        <v>2127</v>
      </c>
      <c r="AH149" s="776" t="s">
        <v>2127</v>
      </c>
      <c r="AI149" s="776" t="s">
        <v>2127</v>
      </c>
      <c r="AJ149" s="776" t="s">
        <v>2127</v>
      </c>
      <c r="AK149" s="776" t="s">
        <v>2127</v>
      </c>
      <c r="AL149" s="776" t="s">
        <v>2127</v>
      </c>
      <c r="AM149" s="776" t="s">
        <v>2127</v>
      </c>
      <c r="AN149" s="776" t="s">
        <v>2127</v>
      </c>
      <c r="AO149" s="776" t="s">
        <v>2127</v>
      </c>
      <c r="AP149" s="776" t="s">
        <v>2127</v>
      </c>
      <c r="AQ149" s="776" t="s">
        <v>2127</v>
      </c>
      <c r="AR149" s="776" t="s">
        <v>2127</v>
      </c>
      <c r="AS149" s="776" t="s">
        <v>2127</v>
      </c>
      <c r="AT149" s="776" t="s">
        <v>2127</v>
      </c>
      <c r="AU149" s="776" t="s">
        <v>2127</v>
      </c>
      <c r="AV149" s="776" t="s">
        <v>2127</v>
      </c>
      <c r="AW149" s="776" t="s">
        <v>2127</v>
      </c>
      <c r="AX149" s="776" t="s">
        <v>2127</v>
      </c>
      <c r="AY149" s="776" t="s">
        <v>2127</v>
      </c>
      <c r="AZ149" s="776" t="s">
        <v>2127</v>
      </c>
      <c r="BA149" s="776" t="s">
        <v>2127</v>
      </c>
      <c r="BB149" s="776" t="s">
        <v>2127</v>
      </c>
      <c r="BC149" s="776" t="s">
        <v>2127</v>
      </c>
      <c r="BD149" s="776" t="s">
        <v>2127</v>
      </c>
      <c r="BE149" s="776" t="s">
        <v>2127</v>
      </c>
      <c r="BF149" s="776" t="s">
        <v>2127</v>
      </c>
      <c r="BG149" s="776" t="s">
        <v>2127</v>
      </c>
      <c r="BH149" s="776" t="s">
        <v>2127</v>
      </c>
      <c r="BI149" s="776" t="s">
        <v>2127</v>
      </c>
      <c r="BJ149" s="776" t="s">
        <v>2127</v>
      </c>
      <c r="BK149" s="776" t="s">
        <v>2127</v>
      </c>
      <c r="BL149" s="776" t="s">
        <v>2127</v>
      </c>
      <c r="BM149" s="776" t="s">
        <v>2127</v>
      </c>
      <c r="BN149" s="776" t="s">
        <v>2127</v>
      </c>
      <c r="BO149" s="776" t="s">
        <v>2127</v>
      </c>
      <c r="BP149" s="776" t="s">
        <v>2127</v>
      </c>
      <c r="BQ149" s="776" t="s">
        <v>2127</v>
      </c>
      <c r="BR149" s="776" t="s">
        <v>2127</v>
      </c>
      <c r="BS149" s="776" t="s">
        <v>2127</v>
      </c>
      <c r="BT149" s="776" t="s">
        <v>2127</v>
      </c>
      <c r="BU149" s="776" t="s">
        <v>2127</v>
      </c>
      <c r="BV149" s="776" t="s">
        <v>2127</v>
      </c>
      <c r="BW149" s="776" t="s">
        <v>2127</v>
      </c>
      <c r="BX149" s="776" t="s">
        <v>2127</v>
      </c>
      <c r="BY149" s="776" t="s">
        <v>2127</v>
      </c>
      <c r="BZ149" s="776" t="s">
        <v>2127</v>
      </c>
      <c r="CA149" s="776" t="s">
        <v>2127</v>
      </c>
      <c r="CB149" s="776" t="s">
        <v>2127</v>
      </c>
      <c r="CC149" s="776" t="s">
        <v>2127</v>
      </c>
      <c r="CD149" s="776" t="s">
        <v>2127</v>
      </c>
      <c r="CE149" s="776" t="s">
        <v>2127</v>
      </c>
      <c r="CF149" s="776" t="s">
        <v>2127</v>
      </c>
      <c r="CG149" s="776" t="s">
        <v>2127</v>
      </c>
      <c r="CH149" s="776" t="s">
        <v>2127</v>
      </c>
      <c r="CI149" s="776" t="s">
        <v>2127</v>
      </c>
      <c r="CJ149" s="776" t="s">
        <v>2127</v>
      </c>
      <c r="CK149" s="776" t="s">
        <v>2127</v>
      </c>
      <c r="CL149" s="776" t="s">
        <v>2127</v>
      </c>
      <c r="CM149" s="776" t="s">
        <v>2127</v>
      </c>
      <c r="CN149" s="776" t="s">
        <v>2127</v>
      </c>
      <c r="CO149" s="776" t="s">
        <v>2127</v>
      </c>
      <c r="CP149" s="776" t="s">
        <v>2127</v>
      </c>
      <c r="CQ149" s="776" t="s">
        <v>2127</v>
      </c>
      <c r="CR149" s="776" t="s">
        <v>2127</v>
      </c>
      <c r="CS149" s="776" t="s">
        <v>2127</v>
      </c>
      <c r="CT149" s="776" t="s">
        <v>2127</v>
      </c>
      <c r="CU149" s="776" t="s">
        <v>2127</v>
      </c>
      <c r="CV149" s="776" t="s">
        <v>2127</v>
      </c>
      <c r="CW149" s="776" t="s">
        <v>2127</v>
      </c>
      <c r="CX149" s="776" t="s">
        <v>2127</v>
      </c>
      <c r="CY149" s="776" t="s">
        <v>2127</v>
      </c>
      <c r="CZ149" s="776" t="s">
        <v>2127</v>
      </c>
      <c r="DA149" s="776" t="s">
        <v>2127</v>
      </c>
      <c r="DB149" s="776" t="s">
        <v>2127</v>
      </c>
      <c r="DC149" s="776" t="s">
        <v>2127</v>
      </c>
      <c r="DD149" s="776" t="s">
        <v>2127</v>
      </c>
      <c r="DE149" s="776" t="s">
        <v>2127</v>
      </c>
      <c r="DF149" s="776" t="s">
        <v>2127</v>
      </c>
      <c r="DG149" s="776" t="s">
        <v>2127</v>
      </c>
      <c r="DH149" s="776" t="s">
        <v>2127</v>
      </c>
      <c r="DI149" s="776" t="s">
        <v>2127</v>
      </c>
      <c r="DJ149" s="776" t="s">
        <v>2127</v>
      </c>
      <c r="DK149" s="776" t="s">
        <v>2127</v>
      </c>
      <c r="DL149" s="776" t="s">
        <v>2127</v>
      </c>
      <c r="DM149" s="776" t="s">
        <v>2127</v>
      </c>
      <c r="DN149" s="776" t="s">
        <v>2127</v>
      </c>
      <c r="DO149" s="776" t="s">
        <v>2127</v>
      </c>
      <c r="DP149" s="776" t="s">
        <v>2127</v>
      </c>
    </row>
    <row r="150" spans="1:120" x14ac:dyDescent="0.2">
      <c r="A150" s="637" t="s">
        <v>2196</v>
      </c>
      <c r="B150" s="772" t="str" cm="1">
        <f t="array" ref="B150">IFERROR(INDEX(Kulturen[HF],_xlfn.AGGREGATE(15,6,(ROW(Kulturen[Auswahl])-7)/(--(SEARCH("x",Kulturen[Auswahl])&gt;0)),ROW()-7),1),"")</f>
        <v>Endivie, Frisée</v>
      </c>
      <c r="C150" s="772" t="str">
        <f>IF(Kulturen[[#This Row],[HF]]=$D$373,IF($C$6=0,0,"x"),IF($C$6=0,"x",Vorauswahl!C149))</f>
        <v>x</v>
      </c>
      <c r="D150" s="938" t="s">
        <v>756</v>
      </c>
      <c r="E150" s="938" t="s">
        <v>756</v>
      </c>
      <c r="F150" s="938" t="s">
        <v>837</v>
      </c>
      <c r="G150" s="938">
        <v>12</v>
      </c>
      <c r="H150" s="938">
        <v>8</v>
      </c>
      <c r="I150" s="938">
        <v>1</v>
      </c>
      <c r="J150" s="938">
        <v>12</v>
      </c>
      <c r="K150" s="938">
        <v>0.05</v>
      </c>
      <c r="L150" s="938">
        <v>0.05</v>
      </c>
      <c r="M150" s="938">
        <v>400</v>
      </c>
      <c r="N150" s="938">
        <v>0</v>
      </c>
      <c r="O150" s="938">
        <v>1</v>
      </c>
      <c r="P150" s="938">
        <v>0</v>
      </c>
      <c r="Q150" s="938">
        <v>190</v>
      </c>
      <c r="R150" s="938">
        <v>80</v>
      </c>
      <c r="S150" s="938">
        <v>20</v>
      </c>
      <c r="T150" s="938">
        <v>20</v>
      </c>
      <c r="U150" s="938">
        <v>0</v>
      </c>
      <c r="V150" s="938">
        <v>1</v>
      </c>
      <c r="W150" s="776">
        <f>IF(Kulturen[[#This Row],[Berechnungsschema]]=13,3,IF(Kulturen[[#This Row],[Berechnungsschema]]=6,2,1))</f>
        <v>1</v>
      </c>
      <c r="X150" s="776">
        <f>IF(Kulturen[[#This Row],[fruchtartengruppe]]=13,Kulturen[[#This Row],[NBedarfswert]],MAX(0,Kulturen[[#This Row],[NBedarfswert]]-Kulturen[[#This Row],[Ertrag]]*Kulturen[[#This Row],[Nfix]]))</f>
        <v>190</v>
      </c>
      <c r="Y150" s="776" t="s">
        <v>2127</v>
      </c>
      <c r="Z150" s="776" t="s">
        <v>2127</v>
      </c>
      <c r="AA150" s="776" t="s">
        <v>2127</v>
      </c>
      <c r="AB150" s="776" t="s">
        <v>2127</v>
      </c>
      <c r="AC150" s="776" t="s">
        <v>2127</v>
      </c>
      <c r="AD150" s="776" t="s">
        <v>2127</v>
      </c>
      <c r="AE150" s="776" t="s">
        <v>2127</v>
      </c>
      <c r="AF150" s="776" t="s">
        <v>2127</v>
      </c>
      <c r="AG150" s="776" t="s">
        <v>2127</v>
      </c>
      <c r="AH150" s="776" t="s">
        <v>2127</v>
      </c>
      <c r="AI150" s="776" t="s">
        <v>2127</v>
      </c>
      <c r="AJ150" s="776" t="s">
        <v>2127</v>
      </c>
      <c r="AK150" s="776" t="s">
        <v>2127</v>
      </c>
      <c r="AL150" s="776" t="s">
        <v>2127</v>
      </c>
      <c r="AM150" s="776" t="s">
        <v>2127</v>
      </c>
      <c r="AN150" s="776" t="s">
        <v>2127</v>
      </c>
      <c r="AO150" s="776" t="s">
        <v>2127</v>
      </c>
      <c r="AP150" s="776" t="s">
        <v>2127</v>
      </c>
      <c r="AQ150" s="776" t="s">
        <v>2127</v>
      </c>
      <c r="AR150" s="776" t="s">
        <v>2127</v>
      </c>
      <c r="AS150" s="776" t="s">
        <v>2127</v>
      </c>
      <c r="AT150" s="776" t="s">
        <v>2127</v>
      </c>
      <c r="AU150" s="776" t="s">
        <v>2127</v>
      </c>
      <c r="AV150" s="776" t="s">
        <v>2127</v>
      </c>
      <c r="AW150" s="776" t="s">
        <v>2127</v>
      </c>
      <c r="AX150" s="776" t="s">
        <v>2127</v>
      </c>
      <c r="AY150" s="776" t="s">
        <v>2127</v>
      </c>
      <c r="AZ150" s="776" t="s">
        <v>2127</v>
      </c>
      <c r="BA150" s="776" t="s">
        <v>2127</v>
      </c>
      <c r="BB150" s="776" t="s">
        <v>2127</v>
      </c>
      <c r="BC150" s="776" t="s">
        <v>2127</v>
      </c>
      <c r="BD150" s="776" t="s">
        <v>2127</v>
      </c>
      <c r="BE150" s="776" t="s">
        <v>2127</v>
      </c>
      <c r="BF150" s="776" t="s">
        <v>2127</v>
      </c>
      <c r="BG150" s="776" t="s">
        <v>2127</v>
      </c>
      <c r="BH150" s="776" t="s">
        <v>2127</v>
      </c>
      <c r="BI150" s="776" t="s">
        <v>2127</v>
      </c>
      <c r="BJ150" s="776" t="s">
        <v>2127</v>
      </c>
      <c r="BK150" s="776" t="s">
        <v>2127</v>
      </c>
      <c r="BL150" s="776" t="s">
        <v>2127</v>
      </c>
      <c r="BM150" s="776" t="s">
        <v>2127</v>
      </c>
      <c r="BN150" s="776" t="s">
        <v>2127</v>
      </c>
      <c r="BO150" s="776" t="s">
        <v>2127</v>
      </c>
      <c r="BP150" s="776" t="s">
        <v>2127</v>
      </c>
      <c r="BQ150" s="776" t="s">
        <v>2127</v>
      </c>
      <c r="BR150" s="776" t="s">
        <v>2127</v>
      </c>
      <c r="BS150" s="776" t="s">
        <v>2127</v>
      </c>
      <c r="BT150" s="776" t="s">
        <v>2127</v>
      </c>
      <c r="BU150" s="776" t="s">
        <v>2127</v>
      </c>
      <c r="BV150" s="776" t="s">
        <v>2127</v>
      </c>
      <c r="BW150" s="776" t="s">
        <v>2127</v>
      </c>
      <c r="BX150" s="776" t="s">
        <v>2127</v>
      </c>
      <c r="BY150" s="776" t="s">
        <v>2127</v>
      </c>
      <c r="BZ150" s="776" t="s">
        <v>2127</v>
      </c>
      <c r="CA150" s="776" t="s">
        <v>2127</v>
      </c>
      <c r="CB150" s="776" t="s">
        <v>2127</v>
      </c>
      <c r="CC150" s="776" t="s">
        <v>2127</v>
      </c>
      <c r="CD150" s="776" t="s">
        <v>2127</v>
      </c>
      <c r="CE150" s="776" t="s">
        <v>2127</v>
      </c>
      <c r="CF150" s="776" t="s">
        <v>2127</v>
      </c>
      <c r="CG150" s="776" t="s">
        <v>2127</v>
      </c>
      <c r="CH150" s="776" t="s">
        <v>2127</v>
      </c>
      <c r="CI150" s="776" t="s">
        <v>2127</v>
      </c>
      <c r="CJ150" s="776" t="s">
        <v>2127</v>
      </c>
      <c r="CK150" s="776" t="s">
        <v>2127</v>
      </c>
      <c r="CL150" s="776" t="s">
        <v>2127</v>
      </c>
      <c r="CM150" s="776" t="s">
        <v>2127</v>
      </c>
      <c r="CN150" s="776" t="s">
        <v>2127</v>
      </c>
      <c r="CO150" s="776" t="s">
        <v>2127</v>
      </c>
      <c r="CP150" s="776" t="s">
        <v>2127</v>
      </c>
      <c r="CQ150" s="776" t="s">
        <v>2127</v>
      </c>
      <c r="CR150" s="776" t="s">
        <v>2127</v>
      </c>
      <c r="CS150" s="776" t="s">
        <v>2127</v>
      </c>
      <c r="CT150" s="776" t="s">
        <v>2127</v>
      </c>
      <c r="CU150" s="776" t="s">
        <v>2127</v>
      </c>
      <c r="CV150" s="776" t="s">
        <v>2127</v>
      </c>
      <c r="CW150" s="776" t="s">
        <v>2127</v>
      </c>
      <c r="CX150" s="776" t="s">
        <v>2127</v>
      </c>
      <c r="CY150" s="776" t="s">
        <v>2127</v>
      </c>
      <c r="CZ150" s="776" t="s">
        <v>2127</v>
      </c>
      <c r="DA150" s="776" t="s">
        <v>2127</v>
      </c>
      <c r="DB150" s="776" t="s">
        <v>2127</v>
      </c>
      <c r="DC150" s="776" t="s">
        <v>2127</v>
      </c>
      <c r="DD150" s="776" t="s">
        <v>2127</v>
      </c>
      <c r="DE150" s="776" t="s">
        <v>2127</v>
      </c>
      <c r="DF150" s="776" t="s">
        <v>2127</v>
      </c>
      <c r="DG150" s="776" t="s">
        <v>2127</v>
      </c>
      <c r="DH150" s="776" t="s">
        <v>2127</v>
      </c>
      <c r="DI150" s="776" t="s">
        <v>2127</v>
      </c>
      <c r="DJ150" s="776" t="s">
        <v>2127</v>
      </c>
      <c r="DK150" s="776" t="s">
        <v>2127</v>
      </c>
      <c r="DL150" s="776" t="s">
        <v>2127</v>
      </c>
      <c r="DM150" s="776" t="s">
        <v>2127</v>
      </c>
      <c r="DN150" s="776" t="s">
        <v>2127</v>
      </c>
      <c r="DO150" s="776" t="s">
        <v>2127</v>
      </c>
      <c r="DP150" s="776" t="s">
        <v>2127</v>
      </c>
    </row>
    <row r="151" spans="1:120" x14ac:dyDescent="0.2">
      <c r="A151" s="637" t="s">
        <v>2197</v>
      </c>
      <c r="B151" s="772" t="str" cm="1">
        <f t="array" ref="B151">IFERROR(INDEX(Kulturen[HF],_xlfn.AGGREGATE(15,6,(ROW(Kulturen[Auswahl])-7)/(--(SEARCH("x",Kulturen[Auswahl])&gt;0)),ROW()-7),1),"")</f>
        <v>Endivie, glattblättrig</v>
      </c>
      <c r="C151" s="772" t="str">
        <f>IF(Kulturen[[#This Row],[HF]]=$D$373,IF($C$6=0,0,"x"),IF($C$6=0,"x",Vorauswahl!C150))</f>
        <v>x</v>
      </c>
      <c r="D151" s="938" t="s">
        <v>740</v>
      </c>
      <c r="E151" s="938" t="s">
        <v>740</v>
      </c>
      <c r="F151" s="938" t="s">
        <v>838</v>
      </c>
      <c r="G151" s="938">
        <v>12</v>
      </c>
      <c r="H151" s="938">
        <v>8</v>
      </c>
      <c r="I151" s="938">
        <v>3</v>
      </c>
      <c r="J151" s="938">
        <v>12</v>
      </c>
      <c r="K151" s="938">
        <v>6.9000000000000006E-2</v>
      </c>
      <c r="L151" s="938">
        <v>7.0000000000000007E-2</v>
      </c>
      <c r="M151" s="938">
        <v>350</v>
      </c>
      <c r="N151" s="938">
        <v>0</v>
      </c>
      <c r="O151" s="938">
        <v>1</v>
      </c>
      <c r="P151" s="938">
        <v>0</v>
      </c>
      <c r="Q151" s="938">
        <v>130</v>
      </c>
      <c r="R151" s="938">
        <v>70</v>
      </c>
      <c r="S151" s="938">
        <v>20</v>
      </c>
      <c r="T151" s="938">
        <v>20</v>
      </c>
      <c r="U151" s="938">
        <v>0</v>
      </c>
      <c r="V151" s="938">
        <v>1</v>
      </c>
      <c r="W151" s="776">
        <f>IF(Kulturen[[#This Row],[Berechnungsschema]]=13,3,IF(Kulturen[[#This Row],[Berechnungsschema]]=6,2,1))</f>
        <v>1</v>
      </c>
      <c r="X151" s="776">
        <f>IF(Kulturen[[#This Row],[fruchtartengruppe]]=13,Kulturen[[#This Row],[NBedarfswert]],MAX(0,Kulturen[[#This Row],[NBedarfswert]]-Kulturen[[#This Row],[Ertrag]]*Kulturen[[#This Row],[Nfix]]))</f>
        <v>130</v>
      </c>
      <c r="Y151" s="776" t="s">
        <v>2127</v>
      </c>
      <c r="Z151" s="776" t="s">
        <v>2127</v>
      </c>
      <c r="AA151" s="776" t="s">
        <v>2127</v>
      </c>
      <c r="AB151" s="776" t="s">
        <v>2127</v>
      </c>
      <c r="AC151" s="776" t="s">
        <v>2127</v>
      </c>
      <c r="AD151" s="776" t="s">
        <v>2127</v>
      </c>
      <c r="AE151" s="776" t="s">
        <v>2127</v>
      </c>
      <c r="AF151" s="776" t="s">
        <v>2127</v>
      </c>
      <c r="AG151" s="776" t="s">
        <v>2127</v>
      </c>
      <c r="AH151" s="776" t="s">
        <v>2127</v>
      </c>
      <c r="AI151" s="776" t="s">
        <v>2127</v>
      </c>
      <c r="AJ151" s="776" t="s">
        <v>2127</v>
      </c>
      <c r="AK151" s="776" t="s">
        <v>2127</v>
      </c>
      <c r="AL151" s="776" t="s">
        <v>2127</v>
      </c>
      <c r="AM151" s="776" t="s">
        <v>2127</v>
      </c>
      <c r="AN151" s="776" t="s">
        <v>2127</v>
      </c>
      <c r="AO151" s="776" t="s">
        <v>2127</v>
      </c>
      <c r="AP151" s="776" t="s">
        <v>2127</v>
      </c>
      <c r="AQ151" s="776" t="s">
        <v>2127</v>
      </c>
      <c r="AR151" s="776" t="s">
        <v>2127</v>
      </c>
      <c r="AS151" s="776" t="s">
        <v>2127</v>
      </c>
      <c r="AT151" s="776" t="s">
        <v>2127</v>
      </c>
      <c r="AU151" s="776" t="s">
        <v>2127</v>
      </c>
      <c r="AV151" s="776" t="s">
        <v>2127</v>
      </c>
      <c r="AW151" s="776" t="s">
        <v>2127</v>
      </c>
      <c r="AX151" s="776" t="s">
        <v>2127</v>
      </c>
      <c r="AY151" s="776" t="s">
        <v>2127</v>
      </c>
      <c r="AZ151" s="776" t="s">
        <v>2127</v>
      </c>
      <c r="BA151" s="776" t="s">
        <v>2127</v>
      </c>
      <c r="BB151" s="776" t="s">
        <v>2127</v>
      </c>
      <c r="BC151" s="776" t="s">
        <v>2127</v>
      </c>
      <c r="BD151" s="776" t="s">
        <v>2127</v>
      </c>
      <c r="BE151" s="776" t="s">
        <v>2127</v>
      </c>
      <c r="BF151" s="776" t="s">
        <v>2127</v>
      </c>
      <c r="BG151" s="776" t="s">
        <v>2127</v>
      </c>
      <c r="BH151" s="776" t="s">
        <v>2127</v>
      </c>
      <c r="BI151" s="776" t="s">
        <v>2127</v>
      </c>
      <c r="BJ151" s="776" t="s">
        <v>2127</v>
      </c>
      <c r="BK151" s="776" t="s">
        <v>2127</v>
      </c>
      <c r="BL151" s="776" t="s">
        <v>2127</v>
      </c>
      <c r="BM151" s="776" t="s">
        <v>2127</v>
      </c>
      <c r="BN151" s="776" t="s">
        <v>2127</v>
      </c>
      <c r="BO151" s="776" t="s">
        <v>2127</v>
      </c>
      <c r="BP151" s="776" t="s">
        <v>2127</v>
      </c>
      <c r="BQ151" s="776" t="s">
        <v>2127</v>
      </c>
      <c r="BR151" s="776" t="s">
        <v>2127</v>
      </c>
      <c r="BS151" s="776" t="s">
        <v>2127</v>
      </c>
      <c r="BT151" s="776" t="s">
        <v>2127</v>
      </c>
      <c r="BU151" s="776" t="s">
        <v>2127</v>
      </c>
      <c r="BV151" s="776" t="s">
        <v>2127</v>
      </c>
      <c r="BW151" s="776" t="s">
        <v>2127</v>
      </c>
      <c r="BX151" s="776" t="s">
        <v>2127</v>
      </c>
      <c r="BY151" s="776" t="s">
        <v>2127</v>
      </c>
      <c r="BZ151" s="776" t="s">
        <v>2127</v>
      </c>
      <c r="CA151" s="776" t="s">
        <v>2127</v>
      </c>
      <c r="CB151" s="776" t="s">
        <v>2127</v>
      </c>
      <c r="CC151" s="776" t="s">
        <v>2127</v>
      </c>
      <c r="CD151" s="776" t="s">
        <v>2127</v>
      </c>
      <c r="CE151" s="776" t="s">
        <v>2127</v>
      </c>
      <c r="CF151" s="776" t="s">
        <v>2127</v>
      </c>
      <c r="CG151" s="776" t="s">
        <v>2127</v>
      </c>
      <c r="CH151" s="776" t="s">
        <v>2127</v>
      </c>
      <c r="CI151" s="776" t="s">
        <v>2127</v>
      </c>
      <c r="CJ151" s="776" t="s">
        <v>2127</v>
      </c>
      <c r="CK151" s="776" t="s">
        <v>2127</v>
      </c>
      <c r="CL151" s="776" t="s">
        <v>2127</v>
      </c>
      <c r="CM151" s="776" t="s">
        <v>2127</v>
      </c>
      <c r="CN151" s="776" t="s">
        <v>2127</v>
      </c>
      <c r="CO151" s="776" t="s">
        <v>2127</v>
      </c>
      <c r="CP151" s="776" t="s">
        <v>2127</v>
      </c>
      <c r="CQ151" s="776" t="s">
        <v>2127</v>
      </c>
      <c r="CR151" s="776" t="s">
        <v>2127</v>
      </c>
      <c r="CS151" s="776" t="s">
        <v>2127</v>
      </c>
      <c r="CT151" s="776" t="s">
        <v>2127</v>
      </c>
      <c r="CU151" s="776" t="s">
        <v>2127</v>
      </c>
      <c r="CV151" s="776" t="s">
        <v>2127</v>
      </c>
      <c r="CW151" s="776" t="s">
        <v>2127</v>
      </c>
      <c r="CX151" s="776" t="s">
        <v>2127</v>
      </c>
      <c r="CY151" s="776" t="s">
        <v>2127</v>
      </c>
      <c r="CZ151" s="776" t="s">
        <v>2127</v>
      </c>
      <c r="DA151" s="776" t="s">
        <v>2127</v>
      </c>
      <c r="DB151" s="776" t="s">
        <v>2127</v>
      </c>
      <c r="DC151" s="776" t="s">
        <v>2127</v>
      </c>
      <c r="DD151" s="776" t="s">
        <v>2127</v>
      </c>
      <c r="DE151" s="776" t="s">
        <v>2127</v>
      </c>
      <c r="DF151" s="776" t="s">
        <v>2127</v>
      </c>
      <c r="DG151" s="776" t="s">
        <v>2127</v>
      </c>
      <c r="DH151" s="776" t="s">
        <v>2127</v>
      </c>
      <c r="DI151" s="776" t="s">
        <v>2127</v>
      </c>
      <c r="DJ151" s="776" t="s">
        <v>2127</v>
      </c>
      <c r="DK151" s="776" t="s">
        <v>2127</v>
      </c>
      <c r="DL151" s="776" t="s">
        <v>2127</v>
      </c>
      <c r="DM151" s="776" t="s">
        <v>2127</v>
      </c>
      <c r="DN151" s="776" t="s">
        <v>2127</v>
      </c>
      <c r="DO151" s="776" t="s">
        <v>2127</v>
      </c>
      <c r="DP151" s="776" t="s">
        <v>2127</v>
      </c>
    </row>
    <row r="152" spans="1:120" x14ac:dyDescent="0.2">
      <c r="A152" s="637" t="s">
        <v>2198</v>
      </c>
      <c r="B152" s="772" t="str" cm="1">
        <f t="array" ref="B152">IFERROR(INDEX(Kulturen[HF],_xlfn.AGGREGATE(15,6,(ROW(Kulturen[Auswahl])-7)/(--(SEARCH("x",Kulturen[Auswahl])&gt;0)),ROW()-7),1),"")</f>
        <v>Feldsalat, Rapunzel</v>
      </c>
      <c r="C152" s="772" t="str">
        <f>IF(Kulturen[[#This Row],[HF]]=$D$373,IF($C$6=0,0,"x"),IF($C$6=0,"x",Vorauswahl!C151))</f>
        <v>x</v>
      </c>
      <c r="D152" s="938" t="s">
        <v>757</v>
      </c>
      <c r="E152" s="938" t="s">
        <v>757</v>
      </c>
      <c r="F152" s="938" t="s">
        <v>839</v>
      </c>
      <c r="G152" s="938">
        <v>12</v>
      </c>
      <c r="H152" s="938">
        <v>8</v>
      </c>
      <c r="I152" s="938">
        <v>3</v>
      </c>
      <c r="J152" s="938">
        <v>12</v>
      </c>
      <c r="K152" s="938">
        <v>6.9000000000000006E-2</v>
      </c>
      <c r="L152" s="938">
        <v>7.0000000000000007E-2</v>
      </c>
      <c r="M152" s="938">
        <v>300</v>
      </c>
      <c r="N152" s="938">
        <v>0</v>
      </c>
      <c r="O152" s="938">
        <v>1</v>
      </c>
      <c r="P152" s="938">
        <v>0</v>
      </c>
      <c r="Q152" s="938">
        <v>115</v>
      </c>
      <c r="R152" s="938">
        <v>60</v>
      </c>
      <c r="S152" s="938">
        <v>20</v>
      </c>
      <c r="T152" s="938">
        <v>20</v>
      </c>
      <c r="U152" s="938">
        <v>0</v>
      </c>
      <c r="V152" s="938">
        <v>1</v>
      </c>
      <c r="W152" s="776">
        <f>IF(Kulturen[[#This Row],[Berechnungsschema]]=13,3,IF(Kulturen[[#This Row],[Berechnungsschema]]=6,2,1))</f>
        <v>1</v>
      </c>
      <c r="X152" s="776">
        <f>IF(Kulturen[[#This Row],[fruchtartengruppe]]=13,Kulturen[[#This Row],[NBedarfswert]],MAX(0,Kulturen[[#This Row],[NBedarfswert]]-Kulturen[[#This Row],[Ertrag]]*Kulturen[[#This Row],[Nfix]]))</f>
        <v>115</v>
      </c>
      <c r="Y152" s="776" t="s">
        <v>2127</v>
      </c>
      <c r="Z152" s="776" t="s">
        <v>2127</v>
      </c>
      <c r="AA152" s="776" t="s">
        <v>2127</v>
      </c>
      <c r="AB152" s="776" t="s">
        <v>2127</v>
      </c>
      <c r="AC152" s="776" t="s">
        <v>2127</v>
      </c>
      <c r="AD152" s="776" t="s">
        <v>2127</v>
      </c>
      <c r="AE152" s="776" t="s">
        <v>2127</v>
      </c>
      <c r="AF152" s="776" t="s">
        <v>2127</v>
      </c>
      <c r="AG152" s="776" t="s">
        <v>2127</v>
      </c>
      <c r="AH152" s="776" t="s">
        <v>2127</v>
      </c>
      <c r="AI152" s="776" t="s">
        <v>2127</v>
      </c>
      <c r="AJ152" s="776" t="s">
        <v>2127</v>
      </c>
      <c r="AK152" s="776" t="s">
        <v>2127</v>
      </c>
      <c r="AL152" s="776" t="s">
        <v>2127</v>
      </c>
      <c r="AM152" s="776" t="s">
        <v>2127</v>
      </c>
      <c r="AN152" s="776" t="s">
        <v>2127</v>
      </c>
      <c r="AO152" s="776" t="s">
        <v>2127</v>
      </c>
      <c r="AP152" s="776" t="s">
        <v>2127</v>
      </c>
      <c r="AQ152" s="776" t="s">
        <v>2127</v>
      </c>
      <c r="AR152" s="776" t="s">
        <v>2127</v>
      </c>
      <c r="AS152" s="776" t="s">
        <v>2127</v>
      </c>
      <c r="AT152" s="776" t="s">
        <v>2127</v>
      </c>
      <c r="AU152" s="776" t="s">
        <v>2127</v>
      </c>
      <c r="AV152" s="776" t="s">
        <v>2127</v>
      </c>
      <c r="AW152" s="776" t="s">
        <v>2127</v>
      </c>
      <c r="AX152" s="776" t="s">
        <v>2127</v>
      </c>
      <c r="AY152" s="776" t="s">
        <v>2127</v>
      </c>
      <c r="AZ152" s="776" t="s">
        <v>2127</v>
      </c>
      <c r="BA152" s="776" t="s">
        <v>2127</v>
      </c>
      <c r="BB152" s="776" t="s">
        <v>2127</v>
      </c>
      <c r="BC152" s="776" t="s">
        <v>2127</v>
      </c>
      <c r="BD152" s="776" t="s">
        <v>2127</v>
      </c>
      <c r="BE152" s="776" t="s">
        <v>2127</v>
      </c>
      <c r="BF152" s="776" t="s">
        <v>2127</v>
      </c>
      <c r="BG152" s="776" t="s">
        <v>2127</v>
      </c>
      <c r="BH152" s="776" t="s">
        <v>2127</v>
      </c>
      <c r="BI152" s="776" t="s">
        <v>2127</v>
      </c>
      <c r="BJ152" s="776" t="s">
        <v>2127</v>
      </c>
      <c r="BK152" s="776" t="s">
        <v>2127</v>
      </c>
      <c r="BL152" s="776" t="s">
        <v>2127</v>
      </c>
      <c r="BM152" s="776" t="s">
        <v>2127</v>
      </c>
      <c r="BN152" s="776" t="s">
        <v>2127</v>
      </c>
      <c r="BO152" s="776" t="s">
        <v>2127</v>
      </c>
      <c r="BP152" s="776" t="s">
        <v>2127</v>
      </c>
      <c r="BQ152" s="776" t="s">
        <v>2127</v>
      </c>
      <c r="BR152" s="776" t="s">
        <v>2127</v>
      </c>
      <c r="BS152" s="776" t="s">
        <v>2127</v>
      </c>
      <c r="BT152" s="776" t="s">
        <v>2127</v>
      </c>
      <c r="BU152" s="776" t="s">
        <v>2127</v>
      </c>
      <c r="BV152" s="776" t="s">
        <v>2127</v>
      </c>
      <c r="BW152" s="776" t="s">
        <v>2127</v>
      </c>
      <c r="BX152" s="776" t="s">
        <v>2127</v>
      </c>
      <c r="BY152" s="776" t="s">
        <v>2127</v>
      </c>
      <c r="BZ152" s="776" t="s">
        <v>2127</v>
      </c>
      <c r="CA152" s="776" t="s">
        <v>2127</v>
      </c>
      <c r="CB152" s="776" t="s">
        <v>2127</v>
      </c>
      <c r="CC152" s="776" t="s">
        <v>2127</v>
      </c>
      <c r="CD152" s="776" t="s">
        <v>2127</v>
      </c>
      <c r="CE152" s="776" t="s">
        <v>2127</v>
      </c>
      <c r="CF152" s="776" t="s">
        <v>2127</v>
      </c>
      <c r="CG152" s="776" t="s">
        <v>2127</v>
      </c>
      <c r="CH152" s="776" t="s">
        <v>2127</v>
      </c>
      <c r="CI152" s="776" t="s">
        <v>2127</v>
      </c>
      <c r="CJ152" s="776" t="s">
        <v>2127</v>
      </c>
      <c r="CK152" s="776" t="s">
        <v>2127</v>
      </c>
      <c r="CL152" s="776" t="s">
        <v>2127</v>
      </c>
      <c r="CM152" s="776" t="s">
        <v>2127</v>
      </c>
      <c r="CN152" s="776" t="s">
        <v>2127</v>
      </c>
      <c r="CO152" s="776" t="s">
        <v>2127</v>
      </c>
      <c r="CP152" s="776" t="s">
        <v>2127</v>
      </c>
      <c r="CQ152" s="776" t="s">
        <v>2127</v>
      </c>
      <c r="CR152" s="776" t="s">
        <v>2127</v>
      </c>
      <c r="CS152" s="776" t="s">
        <v>2127</v>
      </c>
      <c r="CT152" s="776" t="s">
        <v>2127</v>
      </c>
      <c r="CU152" s="776" t="s">
        <v>2127</v>
      </c>
      <c r="CV152" s="776" t="s">
        <v>2127</v>
      </c>
      <c r="CW152" s="776" t="s">
        <v>2127</v>
      </c>
      <c r="CX152" s="776" t="s">
        <v>2127</v>
      </c>
      <c r="CY152" s="776" t="s">
        <v>2127</v>
      </c>
      <c r="CZ152" s="776" t="s">
        <v>2127</v>
      </c>
      <c r="DA152" s="776" t="s">
        <v>2127</v>
      </c>
      <c r="DB152" s="776" t="s">
        <v>2127</v>
      </c>
      <c r="DC152" s="776" t="s">
        <v>2127</v>
      </c>
      <c r="DD152" s="776" t="s">
        <v>2127</v>
      </c>
      <c r="DE152" s="776" t="s">
        <v>2127</v>
      </c>
      <c r="DF152" s="776" t="s">
        <v>2127</v>
      </c>
      <c r="DG152" s="776" t="s">
        <v>2127</v>
      </c>
      <c r="DH152" s="776" t="s">
        <v>2127</v>
      </c>
      <c r="DI152" s="776" t="s">
        <v>2127</v>
      </c>
      <c r="DJ152" s="776" t="s">
        <v>2127</v>
      </c>
      <c r="DK152" s="776" t="s">
        <v>2127</v>
      </c>
      <c r="DL152" s="776" t="s">
        <v>2127</v>
      </c>
      <c r="DM152" s="776" t="s">
        <v>2127</v>
      </c>
      <c r="DN152" s="776" t="s">
        <v>2127</v>
      </c>
      <c r="DO152" s="776" t="s">
        <v>2127</v>
      </c>
      <c r="DP152" s="776" t="s">
        <v>2127</v>
      </c>
    </row>
    <row r="153" spans="1:120" x14ac:dyDescent="0.2">
      <c r="A153" s="637" t="s">
        <v>2199</v>
      </c>
      <c r="B153" s="772" t="str" cm="1">
        <f t="array" ref="B153">IFERROR(INDEX(Kulturen[HF],_xlfn.AGGREGATE(15,6,(ROW(Kulturen[Auswahl])-7)/(--(SEARCH("x",Kulturen[Auswahl])&gt;0)),ROW()-7),1),"")</f>
        <v>Feldsalat, großblättrig</v>
      </c>
      <c r="C153" s="772" t="str">
        <f>IF(Kulturen[[#This Row],[HF]]=$D$373,IF($C$6=0,0,"x"),IF($C$6=0,"x",Vorauswahl!C152))</f>
        <v>x</v>
      </c>
      <c r="D153" s="938" t="s">
        <v>739</v>
      </c>
      <c r="E153" s="938" t="s">
        <v>739</v>
      </c>
      <c r="F153" s="938" t="s">
        <v>840</v>
      </c>
      <c r="G153" s="938">
        <v>12</v>
      </c>
      <c r="H153" s="938">
        <v>8</v>
      </c>
      <c r="I153" s="938">
        <v>3</v>
      </c>
      <c r="J153" s="938">
        <v>12</v>
      </c>
      <c r="K153" s="938">
        <v>0.10299999999999999</v>
      </c>
      <c r="L153" s="938">
        <v>0.1</v>
      </c>
      <c r="M153" s="938">
        <v>350</v>
      </c>
      <c r="N153" s="938">
        <v>0</v>
      </c>
      <c r="O153" s="938">
        <v>1</v>
      </c>
      <c r="P153" s="938">
        <v>0</v>
      </c>
      <c r="Q153" s="938">
        <v>300</v>
      </c>
      <c r="R153" s="938">
        <v>70</v>
      </c>
      <c r="S153" s="938">
        <v>20</v>
      </c>
      <c r="T153" s="938">
        <v>20</v>
      </c>
      <c r="U153" s="938">
        <v>10</v>
      </c>
      <c r="V153" s="938">
        <v>1</v>
      </c>
      <c r="W153" s="776">
        <f>IF(Kulturen[[#This Row],[Berechnungsschema]]=13,3,IF(Kulturen[[#This Row],[Berechnungsschema]]=6,2,1))</f>
        <v>1</v>
      </c>
      <c r="X153" s="776">
        <f>IF(Kulturen[[#This Row],[fruchtartengruppe]]=13,Kulturen[[#This Row],[NBedarfswert]],MAX(0,Kulturen[[#This Row],[NBedarfswert]]-Kulturen[[#This Row],[Ertrag]]*Kulturen[[#This Row],[Nfix]]))</f>
        <v>300</v>
      </c>
      <c r="Y153" s="776" t="s">
        <v>2127</v>
      </c>
      <c r="Z153" s="776" t="s">
        <v>2127</v>
      </c>
      <c r="AA153" s="776" t="s">
        <v>2127</v>
      </c>
      <c r="AB153" s="776" t="s">
        <v>2127</v>
      </c>
      <c r="AC153" s="776" t="s">
        <v>2127</v>
      </c>
      <c r="AD153" s="776" t="s">
        <v>2127</v>
      </c>
      <c r="AE153" s="776" t="s">
        <v>2127</v>
      </c>
      <c r="AF153" s="776" t="s">
        <v>2127</v>
      </c>
      <c r="AG153" s="776" t="s">
        <v>2127</v>
      </c>
      <c r="AH153" s="776" t="s">
        <v>2127</v>
      </c>
      <c r="AI153" s="776" t="s">
        <v>2127</v>
      </c>
      <c r="AJ153" s="776" t="s">
        <v>2127</v>
      </c>
      <c r="AK153" s="776" t="s">
        <v>2127</v>
      </c>
      <c r="AL153" s="776" t="s">
        <v>2127</v>
      </c>
      <c r="AM153" s="776" t="s">
        <v>2127</v>
      </c>
      <c r="AN153" s="776" t="s">
        <v>2127</v>
      </c>
      <c r="AO153" s="776" t="s">
        <v>2127</v>
      </c>
      <c r="AP153" s="776" t="s">
        <v>2127</v>
      </c>
      <c r="AQ153" s="776" t="s">
        <v>2127</v>
      </c>
      <c r="AR153" s="776" t="s">
        <v>2127</v>
      </c>
      <c r="AS153" s="776" t="s">
        <v>2127</v>
      </c>
      <c r="AT153" s="776" t="s">
        <v>2127</v>
      </c>
      <c r="AU153" s="776" t="s">
        <v>2127</v>
      </c>
      <c r="AV153" s="776" t="s">
        <v>2127</v>
      </c>
      <c r="AW153" s="776" t="s">
        <v>2127</v>
      </c>
      <c r="AX153" s="776" t="s">
        <v>2127</v>
      </c>
      <c r="AY153" s="776" t="s">
        <v>2127</v>
      </c>
      <c r="AZ153" s="776" t="s">
        <v>2127</v>
      </c>
      <c r="BA153" s="776" t="s">
        <v>2127</v>
      </c>
      <c r="BB153" s="776" t="s">
        <v>2127</v>
      </c>
      <c r="BC153" s="776" t="s">
        <v>2127</v>
      </c>
      <c r="BD153" s="776" t="s">
        <v>2127</v>
      </c>
      <c r="BE153" s="776" t="s">
        <v>2127</v>
      </c>
      <c r="BF153" s="776" t="s">
        <v>2127</v>
      </c>
      <c r="BG153" s="776" t="s">
        <v>2127</v>
      </c>
      <c r="BH153" s="776" t="s">
        <v>2127</v>
      </c>
      <c r="BI153" s="776" t="s">
        <v>2127</v>
      </c>
      <c r="BJ153" s="776" t="s">
        <v>2127</v>
      </c>
      <c r="BK153" s="776" t="s">
        <v>2127</v>
      </c>
      <c r="BL153" s="776" t="s">
        <v>2127</v>
      </c>
      <c r="BM153" s="776" t="s">
        <v>2127</v>
      </c>
      <c r="BN153" s="776" t="s">
        <v>2127</v>
      </c>
      <c r="BO153" s="776" t="s">
        <v>2127</v>
      </c>
      <c r="BP153" s="776" t="s">
        <v>2127</v>
      </c>
      <c r="BQ153" s="776" t="s">
        <v>2127</v>
      </c>
      <c r="BR153" s="776" t="s">
        <v>2127</v>
      </c>
      <c r="BS153" s="776" t="s">
        <v>2127</v>
      </c>
      <c r="BT153" s="776" t="s">
        <v>2127</v>
      </c>
      <c r="BU153" s="776" t="s">
        <v>2127</v>
      </c>
      <c r="BV153" s="776" t="s">
        <v>2127</v>
      </c>
      <c r="BW153" s="776" t="s">
        <v>2127</v>
      </c>
      <c r="BX153" s="776" t="s">
        <v>2127</v>
      </c>
      <c r="BY153" s="776" t="s">
        <v>2127</v>
      </c>
      <c r="BZ153" s="776" t="s">
        <v>2127</v>
      </c>
      <c r="CA153" s="776" t="s">
        <v>2127</v>
      </c>
      <c r="CB153" s="776" t="s">
        <v>2127</v>
      </c>
      <c r="CC153" s="776" t="s">
        <v>2127</v>
      </c>
      <c r="CD153" s="776" t="s">
        <v>2127</v>
      </c>
      <c r="CE153" s="776" t="s">
        <v>2127</v>
      </c>
      <c r="CF153" s="776" t="s">
        <v>2127</v>
      </c>
      <c r="CG153" s="776" t="s">
        <v>2127</v>
      </c>
      <c r="CH153" s="776" t="s">
        <v>2127</v>
      </c>
      <c r="CI153" s="776" t="s">
        <v>2127</v>
      </c>
      <c r="CJ153" s="776" t="s">
        <v>2127</v>
      </c>
      <c r="CK153" s="776" t="s">
        <v>2127</v>
      </c>
      <c r="CL153" s="776" t="s">
        <v>2127</v>
      </c>
      <c r="CM153" s="776" t="s">
        <v>2127</v>
      </c>
      <c r="CN153" s="776" t="s">
        <v>2127</v>
      </c>
      <c r="CO153" s="776" t="s">
        <v>2127</v>
      </c>
      <c r="CP153" s="776" t="s">
        <v>2127</v>
      </c>
      <c r="CQ153" s="776" t="s">
        <v>2127</v>
      </c>
      <c r="CR153" s="776" t="s">
        <v>2127</v>
      </c>
      <c r="CS153" s="776" t="s">
        <v>2127</v>
      </c>
      <c r="CT153" s="776" t="s">
        <v>2127</v>
      </c>
      <c r="CU153" s="776" t="s">
        <v>2127</v>
      </c>
      <c r="CV153" s="776" t="s">
        <v>2127</v>
      </c>
      <c r="CW153" s="776" t="s">
        <v>2127</v>
      </c>
      <c r="CX153" s="776" t="s">
        <v>2127</v>
      </c>
      <c r="CY153" s="776" t="s">
        <v>2127</v>
      </c>
      <c r="CZ153" s="776" t="s">
        <v>2127</v>
      </c>
      <c r="DA153" s="776" t="s">
        <v>2127</v>
      </c>
      <c r="DB153" s="776" t="s">
        <v>2127</v>
      </c>
      <c r="DC153" s="776" t="s">
        <v>2127</v>
      </c>
      <c r="DD153" s="776" t="s">
        <v>2127</v>
      </c>
      <c r="DE153" s="776" t="s">
        <v>2127</v>
      </c>
      <c r="DF153" s="776" t="s">
        <v>2127</v>
      </c>
      <c r="DG153" s="776" t="s">
        <v>2127</v>
      </c>
      <c r="DH153" s="776" t="s">
        <v>2127</v>
      </c>
      <c r="DI153" s="776" t="s">
        <v>2127</v>
      </c>
      <c r="DJ153" s="776" t="s">
        <v>2127</v>
      </c>
      <c r="DK153" s="776" t="s">
        <v>2127</v>
      </c>
      <c r="DL153" s="776" t="s">
        <v>2127</v>
      </c>
      <c r="DM153" s="776" t="s">
        <v>2127</v>
      </c>
      <c r="DN153" s="776" t="s">
        <v>2127</v>
      </c>
      <c r="DO153" s="776" t="s">
        <v>2127</v>
      </c>
      <c r="DP153" s="776" t="s">
        <v>2127</v>
      </c>
    </row>
    <row r="154" spans="1:120" x14ac:dyDescent="0.2">
      <c r="A154" s="637" t="s">
        <v>2200</v>
      </c>
      <c r="B154" s="772" t="str" cm="1">
        <f t="array" ref="B154">IFERROR(INDEX(Kulturen[HF],_xlfn.AGGREGATE(15,6,(ROW(Kulturen[Auswahl])-7)/(--(SEARCH("x",Kulturen[Auswahl])&gt;0)),ROW()-7),1),"")</f>
        <v>Gemüseerbsen</v>
      </c>
      <c r="C154" s="772" t="str">
        <f>IF(Kulturen[[#This Row],[HF]]=$D$373,IF($C$6=0,0,"x"),IF($C$6=0,"x",Vorauswahl!C153))</f>
        <v>x</v>
      </c>
      <c r="D154" s="938" t="s">
        <v>758</v>
      </c>
      <c r="E154" s="938" t="s">
        <v>758</v>
      </c>
      <c r="F154" s="938" t="s">
        <v>841</v>
      </c>
      <c r="G154" s="938">
        <v>12</v>
      </c>
      <c r="H154" s="938">
        <v>8</v>
      </c>
      <c r="I154" s="938">
        <v>3</v>
      </c>
      <c r="J154" s="938">
        <v>12</v>
      </c>
      <c r="K154" s="938">
        <v>0.14899999999999999</v>
      </c>
      <c r="L154" s="938">
        <v>0.15</v>
      </c>
      <c r="M154" s="938">
        <v>150</v>
      </c>
      <c r="N154" s="938">
        <v>0</v>
      </c>
      <c r="O154" s="938">
        <v>1</v>
      </c>
      <c r="P154" s="938">
        <v>0</v>
      </c>
      <c r="Q154" s="938">
        <v>310</v>
      </c>
      <c r="R154" s="938">
        <v>30</v>
      </c>
      <c r="S154" s="938">
        <v>20</v>
      </c>
      <c r="T154" s="938">
        <v>20</v>
      </c>
      <c r="U154" s="938">
        <v>10</v>
      </c>
      <c r="V154" s="938">
        <v>1</v>
      </c>
      <c r="W154" s="776">
        <f>IF(Kulturen[[#This Row],[Berechnungsschema]]=13,3,IF(Kulturen[[#This Row],[Berechnungsschema]]=6,2,1))</f>
        <v>1</v>
      </c>
      <c r="X154" s="776">
        <f>IF(Kulturen[[#This Row],[fruchtartengruppe]]=13,Kulturen[[#This Row],[NBedarfswert]],MAX(0,Kulturen[[#This Row],[NBedarfswert]]-Kulturen[[#This Row],[Ertrag]]*Kulturen[[#This Row],[Nfix]]))</f>
        <v>310</v>
      </c>
      <c r="Y154" s="776" t="s">
        <v>2127</v>
      </c>
      <c r="Z154" s="776" t="s">
        <v>2127</v>
      </c>
      <c r="AA154" s="776" t="s">
        <v>2127</v>
      </c>
      <c r="AB154" s="776" t="s">
        <v>2127</v>
      </c>
      <c r="AC154" s="776" t="s">
        <v>2127</v>
      </c>
      <c r="AD154" s="776" t="s">
        <v>2127</v>
      </c>
      <c r="AE154" s="776" t="s">
        <v>2127</v>
      </c>
      <c r="AF154" s="776" t="s">
        <v>2127</v>
      </c>
      <c r="AG154" s="776" t="s">
        <v>2127</v>
      </c>
      <c r="AH154" s="776" t="s">
        <v>2127</v>
      </c>
      <c r="AI154" s="776" t="s">
        <v>2127</v>
      </c>
      <c r="AJ154" s="776" t="s">
        <v>2127</v>
      </c>
      <c r="AK154" s="776" t="s">
        <v>2127</v>
      </c>
      <c r="AL154" s="776" t="s">
        <v>2127</v>
      </c>
      <c r="AM154" s="776" t="s">
        <v>2127</v>
      </c>
      <c r="AN154" s="776" t="s">
        <v>2127</v>
      </c>
      <c r="AO154" s="776" t="s">
        <v>2127</v>
      </c>
      <c r="AP154" s="776" t="s">
        <v>2127</v>
      </c>
      <c r="AQ154" s="776" t="s">
        <v>2127</v>
      </c>
      <c r="AR154" s="776" t="s">
        <v>2127</v>
      </c>
      <c r="AS154" s="776" t="s">
        <v>2127</v>
      </c>
      <c r="AT154" s="776" t="s">
        <v>2127</v>
      </c>
      <c r="AU154" s="776" t="s">
        <v>2127</v>
      </c>
      <c r="AV154" s="776" t="s">
        <v>2127</v>
      </c>
      <c r="AW154" s="776" t="s">
        <v>2127</v>
      </c>
      <c r="AX154" s="776" t="s">
        <v>2127</v>
      </c>
      <c r="AY154" s="776" t="s">
        <v>2127</v>
      </c>
      <c r="AZ154" s="776" t="s">
        <v>2127</v>
      </c>
      <c r="BA154" s="776" t="s">
        <v>2127</v>
      </c>
      <c r="BB154" s="776" t="s">
        <v>2127</v>
      </c>
      <c r="BC154" s="776" t="s">
        <v>2127</v>
      </c>
      <c r="BD154" s="776" t="s">
        <v>2127</v>
      </c>
      <c r="BE154" s="776" t="s">
        <v>2127</v>
      </c>
      <c r="BF154" s="776" t="s">
        <v>2127</v>
      </c>
      <c r="BG154" s="776" t="s">
        <v>2127</v>
      </c>
      <c r="BH154" s="776" t="s">
        <v>2127</v>
      </c>
      <c r="BI154" s="776" t="s">
        <v>2127</v>
      </c>
      <c r="BJ154" s="776" t="s">
        <v>2127</v>
      </c>
      <c r="BK154" s="776" t="s">
        <v>2127</v>
      </c>
      <c r="BL154" s="776" t="s">
        <v>2127</v>
      </c>
      <c r="BM154" s="776" t="s">
        <v>2127</v>
      </c>
      <c r="BN154" s="776" t="s">
        <v>2127</v>
      </c>
      <c r="BO154" s="776" t="s">
        <v>2127</v>
      </c>
      <c r="BP154" s="776" t="s">
        <v>2127</v>
      </c>
      <c r="BQ154" s="776" t="s">
        <v>2127</v>
      </c>
      <c r="BR154" s="776" t="s">
        <v>2127</v>
      </c>
      <c r="BS154" s="776" t="s">
        <v>2127</v>
      </c>
      <c r="BT154" s="776" t="s">
        <v>2127</v>
      </c>
      <c r="BU154" s="776" t="s">
        <v>2127</v>
      </c>
      <c r="BV154" s="776" t="s">
        <v>2127</v>
      </c>
      <c r="BW154" s="776" t="s">
        <v>2127</v>
      </c>
      <c r="BX154" s="776" t="s">
        <v>2127</v>
      </c>
      <c r="BY154" s="776" t="s">
        <v>2127</v>
      </c>
      <c r="BZ154" s="776" t="s">
        <v>2127</v>
      </c>
      <c r="CA154" s="776" t="s">
        <v>2127</v>
      </c>
      <c r="CB154" s="776" t="s">
        <v>2127</v>
      </c>
      <c r="CC154" s="776" t="s">
        <v>2127</v>
      </c>
      <c r="CD154" s="776" t="s">
        <v>2127</v>
      </c>
      <c r="CE154" s="776" t="s">
        <v>2127</v>
      </c>
      <c r="CF154" s="776" t="s">
        <v>2127</v>
      </c>
      <c r="CG154" s="776" t="s">
        <v>2127</v>
      </c>
      <c r="CH154" s="776" t="s">
        <v>2127</v>
      </c>
      <c r="CI154" s="776" t="s">
        <v>2127</v>
      </c>
      <c r="CJ154" s="776" t="s">
        <v>2127</v>
      </c>
      <c r="CK154" s="776" t="s">
        <v>2127</v>
      </c>
      <c r="CL154" s="776" t="s">
        <v>2127</v>
      </c>
      <c r="CM154" s="776" t="s">
        <v>2127</v>
      </c>
      <c r="CN154" s="776" t="s">
        <v>2127</v>
      </c>
      <c r="CO154" s="776" t="s">
        <v>2127</v>
      </c>
      <c r="CP154" s="776" t="s">
        <v>2127</v>
      </c>
      <c r="CQ154" s="776" t="s">
        <v>2127</v>
      </c>
      <c r="CR154" s="776" t="s">
        <v>2127</v>
      </c>
      <c r="CS154" s="776" t="s">
        <v>2127</v>
      </c>
      <c r="CT154" s="776" t="s">
        <v>2127</v>
      </c>
      <c r="CU154" s="776" t="s">
        <v>2127</v>
      </c>
      <c r="CV154" s="776" t="s">
        <v>2127</v>
      </c>
      <c r="CW154" s="776" t="s">
        <v>2127</v>
      </c>
      <c r="CX154" s="776" t="s">
        <v>2127</v>
      </c>
      <c r="CY154" s="776" t="s">
        <v>2127</v>
      </c>
      <c r="CZ154" s="776" t="s">
        <v>2127</v>
      </c>
      <c r="DA154" s="776" t="s">
        <v>2127</v>
      </c>
      <c r="DB154" s="776" t="s">
        <v>2127</v>
      </c>
      <c r="DC154" s="776" t="s">
        <v>2127</v>
      </c>
      <c r="DD154" s="776" t="s">
        <v>2127</v>
      </c>
      <c r="DE154" s="776" t="s">
        <v>2127</v>
      </c>
      <c r="DF154" s="776" t="s">
        <v>2127</v>
      </c>
      <c r="DG154" s="776" t="s">
        <v>2127</v>
      </c>
      <c r="DH154" s="776" t="s">
        <v>2127</v>
      </c>
      <c r="DI154" s="776" t="s">
        <v>2127</v>
      </c>
      <c r="DJ154" s="776" t="s">
        <v>2127</v>
      </c>
      <c r="DK154" s="776" t="s">
        <v>2127</v>
      </c>
      <c r="DL154" s="776" t="s">
        <v>2127</v>
      </c>
      <c r="DM154" s="776" t="s">
        <v>2127</v>
      </c>
      <c r="DN154" s="776" t="s">
        <v>2127</v>
      </c>
      <c r="DO154" s="776" t="s">
        <v>2127</v>
      </c>
      <c r="DP154" s="776" t="s">
        <v>2127</v>
      </c>
    </row>
    <row r="155" spans="1:120" x14ac:dyDescent="0.2">
      <c r="A155" s="637" t="s">
        <v>2201</v>
      </c>
      <c r="B155" s="772" t="str" cm="1">
        <f t="array" ref="B155">IFERROR(INDEX(Kulturen[HF],_xlfn.AGGREGATE(15,6,(ROW(Kulturen[Auswahl])-7)/(--(SEARCH("x",Kulturen[Auswahl])&gt;0)),ROW()-7),1),"")</f>
        <v>Grünkohl</v>
      </c>
      <c r="C155" s="772" t="str">
        <f>IF(Kulturen[[#This Row],[HF]]=$D$373,IF($C$6=0,0,"x"),IF($C$6=0,"x",Vorauswahl!C154))</f>
        <v>x</v>
      </c>
      <c r="D155" s="938" t="s">
        <v>759</v>
      </c>
      <c r="E155" s="938" t="s">
        <v>759</v>
      </c>
      <c r="F155" s="938" t="s">
        <v>842</v>
      </c>
      <c r="G155" s="938">
        <v>12</v>
      </c>
      <c r="H155" s="938">
        <v>8</v>
      </c>
      <c r="I155" s="938">
        <v>1</v>
      </c>
      <c r="J155" s="938">
        <v>12</v>
      </c>
      <c r="K155" s="938">
        <v>9.1999999999999998E-2</v>
      </c>
      <c r="L155" s="938">
        <v>0.09</v>
      </c>
      <c r="M155" s="938">
        <v>120</v>
      </c>
      <c r="N155" s="938">
        <v>0.2</v>
      </c>
      <c r="O155" s="938">
        <v>1</v>
      </c>
      <c r="P155" s="938">
        <v>0</v>
      </c>
      <c r="Q155" s="938">
        <v>110</v>
      </c>
      <c r="R155" s="938">
        <v>24</v>
      </c>
      <c r="S155" s="938">
        <v>20</v>
      </c>
      <c r="T155" s="938">
        <v>20</v>
      </c>
      <c r="U155" s="938">
        <v>0</v>
      </c>
      <c r="V155" s="938">
        <v>1</v>
      </c>
      <c r="W155" s="776">
        <f>IF(Kulturen[[#This Row],[Berechnungsschema]]=13,3,IF(Kulturen[[#This Row],[Berechnungsschema]]=6,2,1))</f>
        <v>1</v>
      </c>
      <c r="X155" s="776">
        <f>IF(Kulturen[[#This Row],[fruchtartengruppe]]=13,Kulturen[[#This Row],[NBedarfswert]],MAX(0,Kulturen[[#This Row],[NBedarfswert]]-Kulturen[[#This Row],[Ertrag]]*Kulturen[[#This Row],[Nfix]]))</f>
        <v>86</v>
      </c>
      <c r="Y155" s="776" t="s">
        <v>2127</v>
      </c>
      <c r="Z155" s="776" t="s">
        <v>2127</v>
      </c>
      <c r="AA155" s="776" t="s">
        <v>2127</v>
      </c>
      <c r="AB155" s="776" t="s">
        <v>2127</v>
      </c>
      <c r="AC155" s="776" t="s">
        <v>2127</v>
      </c>
      <c r="AD155" s="776" t="s">
        <v>2127</v>
      </c>
      <c r="AE155" s="776" t="s">
        <v>2127</v>
      </c>
      <c r="AF155" s="776" t="s">
        <v>2127</v>
      </c>
      <c r="AG155" s="776" t="s">
        <v>2127</v>
      </c>
      <c r="AH155" s="776" t="s">
        <v>2127</v>
      </c>
      <c r="AI155" s="776" t="s">
        <v>2127</v>
      </c>
      <c r="AJ155" s="776" t="s">
        <v>2127</v>
      </c>
      <c r="AK155" s="776" t="s">
        <v>2127</v>
      </c>
      <c r="AL155" s="776" t="s">
        <v>2127</v>
      </c>
      <c r="AM155" s="776" t="s">
        <v>2127</v>
      </c>
      <c r="AN155" s="776" t="s">
        <v>2127</v>
      </c>
      <c r="AO155" s="776" t="s">
        <v>2127</v>
      </c>
      <c r="AP155" s="776" t="s">
        <v>2127</v>
      </c>
      <c r="AQ155" s="776" t="s">
        <v>2127</v>
      </c>
      <c r="AR155" s="776" t="s">
        <v>2127</v>
      </c>
      <c r="AS155" s="776" t="s">
        <v>2127</v>
      </c>
      <c r="AT155" s="776" t="s">
        <v>2127</v>
      </c>
      <c r="AU155" s="776" t="s">
        <v>2127</v>
      </c>
      <c r="AV155" s="776" t="s">
        <v>2127</v>
      </c>
      <c r="AW155" s="776" t="s">
        <v>2127</v>
      </c>
      <c r="AX155" s="776" t="s">
        <v>2127</v>
      </c>
      <c r="AY155" s="776" t="s">
        <v>2127</v>
      </c>
      <c r="AZ155" s="776" t="s">
        <v>2127</v>
      </c>
      <c r="BA155" s="776" t="s">
        <v>2127</v>
      </c>
      <c r="BB155" s="776" t="s">
        <v>2127</v>
      </c>
      <c r="BC155" s="776" t="s">
        <v>2127</v>
      </c>
      <c r="BD155" s="776" t="s">
        <v>2127</v>
      </c>
      <c r="BE155" s="776" t="s">
        <v>2127</v>
      </c>
      <c r="BF155" s="776" t="s">
        <v>2127</v>
      </c>
      <c r="BG155" s="776" t="s">
        <v>2127</v>
      </c>
      <c r="BH155" s="776" t="s">
        <v>2127</v>
      </c>
      <c r="BI155" s="776" t="s">
        <v>2127</v>
      </c>
      <c r="BJ155" s="776" t="s">
        <v>2127</v>
      </c>
      <c r="BK155" s="776" t="s">
        <v>2127</v>
      </c>
      <c r="BL155" s="776" t="s">
        <v>2127</v>
      </c>
      <c r="BM155" s="776" t="s">
        <v>2127</v>
      </c>
      <c r="BN155" s="776" t="s">
        <v>2127</v>
      </c>
      <c r="BO155" s="776" t="s">
        <v>2127</v>
      </c>
      <c r="BP155" s="776" t="s">
        <v>2127</v>
      </c>
      <c r="BQ155" s="776" t="s">
        <v>2127</v>
      </c>
      <c r="BR155" s="776" t="s">
        <v>2127</v>
      </c>
      <c r="BS155" s="776" t="s">
        <v>2127</v>
      </c>
      <c r="BT155" s="776" t="s">
        <v>2127</v>
      </c>
      <c r="BU155" s="776" t="s">
        <v>2127</v>
      </c>
      <c r="BV155" s="776" t="s">
        <v>2127</v>
      </c>
      <c r="BW155" s="776" t="s">
        <v>2127</v>
      </c>
      <c r="BX155" s="776" t="s">
        <v>2127</v>
      </c>
      <c r="BY155" s="776" t="s">
        <v>2127</v>
      </c>
      <c r="BZ155" s="776" t="s">
        <v>2127</v>
      </c>
      <c r="CA155" s="776" t="s">
        <v>2127</v>
      </c>
      <c r="CB155" s="776" t="s">
        <v>2127</v>
      </c>
      <c r="CC155" s="776" t="s">
        <v>2127</v>
      </c>
      <c r="CD155" s="776" t="s">
        <v>2127</v>
      </c>
      <c r="CE155" s="776" t="s">
        <v>2127</v>
      </c>
      <c r="CF155" s="776" t="s">
        <v>2127</v>
      </c>
      <c r="CG155" s="776" t="s">
        <v>2127</v>
      </c>
      <c r="CH155" s="776" t="s">
        <v>2127</v>
      </c>
      <c r="CI155" s="776" t="s">
        <v>2127</v>
      </c>
      <c r="CJ155" s="776" t="s">
        <v>2127</v>
      </c>
      <c r="CK155" s="776" t="s">
        <v>2127</v>
      </c>
      <c r="CL155" s="776" t="s">
        <v>2127</v>
      </c>
      <c r="CM155" s="776" t="s">
        <v>2127</v>
      </c>
      <c r="CN155" s="776" t="s">
        <v>2127</v>
      </c>
      <c r="CO155" s="776" t="s">
        <v>2127</v>
      </c>
      <c r="CP155" s="776" t="s">
        <v>2127</v>
      </c>
      <c r="CQ155" s="776" t="s">
        <v>2127</v>
      </c>
      <c r="CR155" s="776" t="s">
        <v>2127</v>
      </c>
      <c r="CS155" s="776" t="s">
        <v>2127</v>
      </c>
      <c r="CT155" s="776" t="s">
        <v>2127</v>
      </c>
      <c r="CU155" s="776" t="s">
        <v>2127</v>
      </c>
      <c r="CV155" s="776" t="s">
        <v>2127</v>
      </c>
      <c r="CW155" s="776" t="s">
        <v>2127</v>
      </c>
      <c r="CX155" s="776" t="s">
        <v>2127</v>
      </c>
      <c r="CY155" s="776" t="s">
        <v>2127</v>
      </c>
      <c r="CZ155" s="776" t="s">
        <v>2127</v>
      </c>
      <c r="DA155" s="776" t="s">
        <v>2127</v>
      </c>
      <c r="DB155" s="776" t="s">
        <v>2127</v>
      </c>
      <c r="DC155" s="776" t="s">
        <v>2127</v>
      </c>
      <c r="DD155" s="776" t="s">
        <v>2127</v>
      </c>
      <c r="DE155" s="776" t="s">
        <v>2127</v>
      </c>
      <c r="DF155" s="776" t="s">
        <v>2127</v>
      </c>
      <c r="DG155" s="776" t="s">
        <v>2127</v>
      </c>
      <c r="DH155" s="776" t="s">
        <v>2127</v>
      </c>
      <c r="DI155" s="776" t="s">
        <v>2127</v>
      </c>
      <c r="DJ155" s="776" t="s">
        <v>2127</v>
      </c>
      <c r="DK155" s="776" t="s">
        <v>2127</v>
      </c>
      <c r="DL155" s="776" t="s">
        <v>2127</v>
      </c>
      <c r="DM155" s="776" t="s">
        <v>2127</v>
      </c>
      <c r="DN155" s="776" t="s">
        <v>2127</v>
      </c>
      <c r="DO155" s="776" t="s">
        <v>2127</v>
      </c>
      <c r="DP155" s="776" t="s">
        <v>2127</v>
      </c>
    </row>
    <row r="156" spans="1:120" x14ac:dyDescent="0.2">
      <c r="A156" s="637" t="s">
        <v>2202</v>
      </c>
      <c r="B156" s="772" t="str" cm="1">
        <f t="array" ref="B156">IFERROR(INDEX(Kulturen[HF],_xlfn.AGGREGATE(15,6,(ROW(Kulturen[Auswahl])-7)/(--(SEARCH("x",Kulturen[Auswahl])&gt;0)),ROW()-7),1),"")</f>
        <v>Gurke, Einlege-</v>
      </c>
      <c r="C156" s="772" t="str">
        <f>IF(Kulturen[[#This Row],[HF]]=$D$373,IF($C$6=0,0,"x"),IF($C$6=0,"x",Vorauswahl!C155))</f>
        <v>x</v>
      </c>
      <c r="D156" s="938" t="s">
        <v>760</v>
      </c>
      <c r="E156" s="938" t="s">
        <v>760</v>
      </c>
      <c r="F156" s="938" t="s">
        <v>843</v>
      </c>
      <c r="G156" s="938">
        <v>12</v>
      </c>
      <c r="H156" s="938">
        <v>8</v>
      </c>
      <c r="I156" s="938">
        <v>1</v>
      </c>
      <c r="J156" s="938">
        <v>12</v>
      </c>
      <c r="K156" s="938">
        <v>0.121</v>
      </c>
      <c r="L156" s="938">
        <v>0.12</v>
      </c>
      <c r="M156" s="938">
        <v>450</v>
      </c>
      <c r="N156" s="938">
        <v>0</v>
      </c>
      <c r="O156" s="938">
        <v>1</v>
      </c>
      <c r="P156" s="938">
        <v>0</v>
      </c>
      <c r="Q156" s="938">
        <v>135</v>
      </c>
      <c r="R156" s="938">
        <v>90</v>
      </c>
      <c r="S156" s="938">
        <v>20</v>
      </c>
      <c r="T156" s="938">
        <v>20</v>
      </c>
      <c r="U156" s="938">
        <v>0</v>
      </c>
      <c r="V156" s="938">
        <v>1</v>
      </c>
      <c r="W156" s="776">
        <f>IF(Kulturen[[#This Row],[Berechnungsschema]]=13,3,IF(Kulturen[[#This Row],[Berechnungsschema]]=6,2,1))</f>
        <v>1</v>
      </c>
      <c r="X156" s="776">
        <f>IF(Kulturen[[#This Row],[fruchtartengruppe]]=13,Kulturen[[#This Row],[NBedarfswert]],MAX(0,Kulturen[[#This Row],[NBedarfswert]]-Kulturen[[#This Row],[Ertrag]]*Kulturen[[#This Row],[Nfix]]))</f>
        <v>135</v>
      </c>
      <c r="Y156" s="776" t="s">
        <v>2127</v>
      </c>
      <c r="Z156" s="776" t="s">
        <v>2127</v>
      </c>
      <c r="AA156" s="776" t="s">
        <v>2127</v>
      </c>
      <c r="AB156" s="776" t="s">
        <v>2127</v>
      </c>
      <c r="AC156" s="776" t="s">
        <v>2127</v>
      </c>
      <c r="AD156" s="776" t="s">
        <v>2127</v>
      </c>
      <c r="AE156" s="776" t="s">
        <v>2127</v>
      </c>
      <c r="AF156" s="776" t="s">
        <v>2127</v>
      </c>
      <c r="AG156" s="776" t="s">
        <v>2127</v>
      </c>
      <c r="AH156" s="776" t="s">
        <v>2127</v>
      </c>
      <c r="AI156" s="776" t="s">
        <v>2127</v>
      </c>
      <c r="AJ156" s="776" t="s">
        <v>2127</v>
      </c>
      <c r="AK156" s="776" t="s">
        <v>2127</v>
      </c>
      <c r="AL156" s="776" t="s">
        <v>2127</v>
      </c>
      <c r="AM156" s="776" t="s">
        <v>2127</v>
      </c>
      <c r="AN156" s="776" t="s">
        <v>2127</v>
      </c>
      <c r="AO156" s="776" t="s">
        <v>2127</v>
      </c>
      <c r="AP156" s="776" t="s">
        <v>2127</v>
      </c>
      <c r="AQ156" s="776" t="s">
        <v>2127</v>
      </c>
      <c r="AR156" s="776" t="s">
        <v>2127</v>
      </c>
      <c r="AS156" s="776" t="s">
        <v>2127</v>
      </c>
      <c r="AT156" s="776" t="s">
        <v>2127</v>
      </c>
      <c r="AU156" s="776" t="s">
        <v>2127</v>
      </c>
      <c r="AV156" s="776" t="s">
        <v>2127</v>
      </c>
      <c r="AW156" s="776" t="s">
        <v>2127</v>
      </c>
      <c r="AX156" s="776" t="s">
        <v>2127</v>
      </c>
      <c r="AY156" s="776" t="s">
        <v>2127</v>
      </c>
      <c r="AZ156" s="776" t="s">
        <v>2127</v>
      </c>
      <c r="BA156" s="776" t="s">
        <v>2127</v>
      </c>
      <c r="BB156" s="776" t="s">
        <v>2127</v>
      </c>
      <c r="BC156" s="776" t="s">
        <v>2127</v>
      </c>
      <c r="BD156" s="776" t="s">
        <v>2127</v>
      </c>
      <c r="BE156" s="776" t="s">
        <v>2127</v>
      </c>
      <c r="BF156" s="776" t="s">
        <v>2127</v>
      </c>
      <c r="BG156" s="776" t="s">
        <v>2127</v>
      </c>
      <c r="BH156" s="776" t="s">
        <v>2127</v>
      </c>
      <c r="BI156" s="776" t="s">
        <v>2127</v>
      </c>
      <c r="BJ156" s="776" t="s">
        <v>2127</v>
      </c>
      <c r="BK156" s="776" t="s">
        <v>2127</v>
      </c>
      <c r="BL156" s="776" t="s">
        <v>2127</v>
      </c>
      <c r="BM156" s="776" t="s">
        <v>2127</v>
      </c>
      <c r="BN156" s="776" t="s">
        <v>2127</v>
      </c>
      <c r="BO156" s="776" t="s">
        <v>2127</v>
      </c>
      <c r="BP156" s="776" t="s">
        <v>2127</v>
      </c>
      <c r="BQ156" s="776" t="s">
        <v>2127</v>
      </c>
      <c r="BR156" s="776" t="s">
        <v>2127</v>
      </c>
      <c r="BS156" s="776" t="s">
        <v>2127</v>
      </c>
      <c r="BT156" s="776" t="s">
        <v>2127</v>
      </c>
      <c r="BU156" s="776" t="s">
        <v>2127</v>
      </c>
      <c r="BV156" s="776" t="s">
        <v>2127</v>
      </c>
      <c r="BW156" s="776" t="s">
        <v>2127</v>
      </c>
      <c r="BX156" s="776" t="s">
        <v>2127</v>
      </c>
      <c r="BY156" s="776" t="s">
        <v>2127</v>
      </c>
      <c r="BZ156" s="776" t="s">
        <v>2127</v>
      </c>
      <c r="CA156" s="776" t="s">
        <v>2127</v>
      </c>
      <c r="CB156" s="776" t="s">
        <v>2127</v>
      </c>
      <c r="CC156" s="776" t="s">
        <v>2127</v>
      </c>
      <c r="CD156" s="776" t="s">
        <v>2127</v>
      </c>
      <c r="CE156" s="776" t="s">
        <v>2127</v>
      </c>
      <c r="CF156" s="776" t="s">
        <v>2127</v>
      </c>
      <c r="CG156" s="776" t="s">
        <v>2127</v>
      </c>
      <c r="CH156" s="776" t="s">
        <v>2127</v>
      </c>
      <c r="CI156" s="776" t="s">
        <v>2127</v>
      </c>
      <c r="CJ156" s="776" t="s">
        <v>2127</v>
      </c>
      <c r="CK156" s="776" t="s">
        <v>2127</v>
      </c>
      <c r="CL156" s="776" t="s">
        <v>2127</v>
      </c>
      <c r="CM156" s="776" t="s">
        <v>2127</v>
      </c>
      <c r="CN156" s="776" t="s">
        <v>2127</v>
      </c>
      <c r="CO156" s="776" t="s">
        <v>2127</v>
      </c>
      <c r="CP156" s="776" t="s">
        <v>2127</v>
      </c>
      <c r="CQ156" s="776" t="s">
        <v>2127</v>
      </c>
      <c r="CR156" s="776" t="s">
        <v>2127</v>
      </c>
      <c r="CS156" s="776" t="s">
        <v>2127</v>
      </c>
      <c r="CT156" s="776" t="s">
        <v>2127</v>
      </c>
      <c r="CU156" s="776" t="s">
        <v>2127</v>
      </c>
      <c r="CV156" s="776" t="s">
        <v>2127</v>
      </c>
      <c r="CW156" s="776" t="s">
        <v>2127</v>
      </c>
      <c r="CX156" s="776" t="s">
        <v>2127</v>
      </c>
      <c r="CY156" s="776" t="s">
        <v>2127</v>
      </c>
      <c r="CZ156" s="776" t="s">
        <v>2127</v>
      </c>
      <c r="DA156" s="776" t="s">
        <v>2127</v>
      </c>
      <c r="DB156" s="776" t="s">
        <v>2127</v>
      </c>
      <c r="DC156" s="776" t="s">
        <v>2127</v>
      </c>
      <c r="DD156" s="776" t="s">
        <v>2127</v>
      </c>
      <c r="DE156" s="776" t="s">
        <v>2127</v>
      </c>
      <c r="DF156" s="776" t="s">
        <v>2127</v>
      </c>
      <c r="DG156" s="776" t="s">
        <v>2127</v>
      </c>
      <c r="DH156" s="776" t="s">
        <v>2127</v>
      </c>
      <c r="DI156" s="776" t="s">
        <v>2127</v>
      </c>
      <c r="DJ156" s="776" t="s">
        <v>2127</v>
      </c>
      <c r="DK156" s="776" t="s">
        <v>2127</v>
      </c>
      <c r="DL156" s="776" t="s">
        <v>2127</v>
      </c>
      <c r="DM156" s="776" t="s">
        <v>2127</v>
      </c>
      <c r="DN156" s="776" t="s">
        <v>2127</v>
      </c>
      <c r="DO156" s="776" t="s">
        <v>2127</v>
      </c>
      <c r="DP156" s="776" t="s">
        <v>2127</v>
      </c>
    </row>
    <row r="157" spans="1:120" x14ac:dyDescent="0.2">
      <c r="A157" s="637" t="s">
        <v>2203</v>
      </c>
      <c r="B157" s="772" t="str" cm="1">
        <f t="array" ref="B157">IFERROR(INDEX(Kulturen[HF],_xlfn.AGGREGATE(15,6,(ROW(Kulturen[Auswahl])-7)/(--(SEARCH("x",Kulturen[Auswahl])&gt;0)),ROW()-7),1),"")</f>
        <v>Kichererbsen</v>
      </c>
      <c r="C157" s="772" t="str">
        <f>IF(Kulturen[[#This Row],[HF]]=$D$373,IF($C$6=0,0,"x"),IF($C$6=0,"x",Vorauswahl!C156))</f>
        <v>x</v>
      </c>
      <c r="D157" s="938" t="s">
        <v>761</v>
      </c>
      <c r="E157" s="938" t="s">
        <v>761</v>
      </c>
      <c r="F157" s="938" t="s">
        <v>844</v>
      </c>
      <c r="G157" s="938">
        <v>12</v>
      </c>
      <c r="H157" s="938">
        <v>8</v>
      </c>
      <c r="I157" s="938">
        <v>3</v>
      </c>
      <c r="J157" s="938">
        <v>12</v>
      </c>
      <c r="K157" s="938">
        <v>9.1999999999999998E-2</v>
      </c>
      <c r="L157" s="938">
        <v>0.09</v>
      </c>
      <c r="M157" s="938">
        <v>700</v>
      </c>
      <c r="N157" s="938">
        <v>0</v>
      </c>
      <c r="O157" s="938">
        <v>1</v>
      </c>
      <c r="P157" s="938">
        <v>0</v>
      </c>
      <c r="Q157" s="938">
        <v>210</v>
      </c>
      <c r="R157" s="938">
        <v>140</v>
      </c>
      <c r="S157" s="938">
        <v>20</v>
      </c>
      <c r="T157" s="938">
        <v>20</v>
      </c>
      <c r="U157" s="938">
        <v>10</v>
      </c>
      <c r="V157" s="938">
        <v>1</v>
      </c>
      <c r="W157" s="776">
        <f>IF(Kulturen[[#This Row],[Berechnungsschema]]=13,3,IF(Kulturen[[#This Row],[Berechnungsschema]]=6,2,1))</f>
        <v>1</v>
      </c>
      <c r="X157" s="776">
        <f>IF(Kulturen[[#This Row],[fruchtartengruppe]]=13,Kulturen[[#This Row],[NBedarfswert]],MAX(0,Kulturen[[#This Row],[NBedarfswert]]-Kulturen[[#This Row],[Ertrag]]*Kulturen[[#This Row],[Nfix]]))</f>
        <v>210</v>
      </c>
      <c r="Y157" s="776" t="s">
        <v>2127</v>
      </c>
      <c r="Z157" s="776" t="s">
        <v>2127</v>
      </c>
      <c r="AA157" s="776" t="s">
        <v>2127</v>
      </c>
      <c r="AB157" s="776" t="s">
        <v>2127</v>
      </c>
      <c r="AC157" s="776" t="s">
        <v>2127</v>
      </c>
      <c r="AD157" s="776" t="s">
        <v>2127</v>
      </c>
      <c r="AE157" s="776" t="s">
        <v>2127</v>
      </c>
      <c r="AF157" s="776" t="s">
        <v>2127</v>
      </c>
      <c r="AG157" s="776" t="s">
        <v>2127</v>
      </c>
      <c r="AH157" s="776" t="s">
        <v>2127</v>
      </c>
      <c r="AI157" s="776" t="s">
        <v>2127</v>
      </c>
      <c r="AJ157" s="776" t="s">
        <v>2127</v>
      </c>
      <c r="AK157" s="776" t="s">
        <v>2127</v>
      </c>
      <c r="AL157" s="776" t="s">
        <v>2127</v>
      </c>
      <c r="AM157" s="776" t="s">
        <v>2127</v>
      </c>
      <c r="AN157" s="776" t="s">
        <v>2127</v>
      </c>
      <c r="AO157" s="776" t="s">
        <v>2127</v>
      </c>
      <c r="AP157" s="776" t="s">
        <v>2127</v>
      </c>
      <c r="AQ157" s="776" t="s">
        <v>2127</v>
      </c>
      <c r="AR157" s="776" t="s">
        <v>2127</v>
      </c>
      <c r="AS157" s="776" t="s">
        <v>2127</v>
      </c>
      <c r="AT157" s="776" t="s">
        <v>2127</v>
      </c>
      <c r="AU157" s="776" t="s">
        <v>2127</v>
      </c>
      <c r="AV157" s="776" t="s">
        <v>2127</v>
      </c>
      <c r="AW157" s="776" t="s">
        <v>2127</v>
      </c>
      <c r="AX157" s="776" t="s">
        <v>2127</v>
      </c>
      <c r="AY157" s="776" t="s">
        <v>2127</v>
      </c>
      <c r="AZ157" s="776" t="s">
        <v>2127</v>
      </c>
      <c r="BA157" s="776" t="s">
        <v>2127</v>
      </c>
      <c r="BB157" s="776" t="s">
        <v>2127</v>
      </c>
      <c r="BC157" s="776" t="s">
        <v>2127</v>
      </c>
      <c r="BD157" s="776" t="s">
        <v>2127</v>
      </c>
      <c r="BE157" s="776" t="s">
        <v>2127</v>
      </c>
      <c r="BF157" s="776" t="s">
        <v>2127</v>
      </c>
      <c r="BG157" s="776" t="s">
        <v>2127</v>
      </c>
      <c r="BH157" s="776" t="s">
        <v>2127</v>
      </c>
      <c r="BI157" s="776" t="s">
        <v>2127</v>
      </c>
      <c r="BJ157" s="776" t="s">
        <v>2127</v>
      </c>
      <c r="BK157" s="776" t="s">
        <v>2127</v>
      </c>
      <c r="BL157" s="776" t="s">
        <v>2127</v>
      </c>
      <c r="BM157" s="776" t="s">
        <v>2127</v>
      </c>
      <c r="BN157" s="776" t="s">
        <v>2127</v>
      </c>
      <c r="BO157" s="776" t="s">
        <v>2127</v>
      </c>
      <c r="BP157" s="776" t="s">
        <v>2127</v>
      </c>
      <c r="BQ157" s="776" t="s">
        <v>2127</v>
      </c>
      <c r="BR157" s="776" t="s">
        <v>2127</v>
      </c>
      <c r="BS157" s="776" t="s">
        <v>2127</v>
      </c>
      <c r="BT157" s="776" t="s">
        <v>2127</v>
      </c>
      <c r="BU157" s="776" t="s">
        <v>2127</v>
      </c>
      <c r="BV157" s="776" t="s">
        <v>2127</v>
      </c>
      <c r="BW157" s="776" t="s">
        <v>2127</v>
      </c>
      <c r="BX157" s="776" t="s">
        <v>2127</v>
      </c>
      <c r="BY157" s="776" t="s">
        <v>2127</v>
      </c>
      <c r="BZ157" s="776" t="s">
        <v>2127</v>
      </c>
      <c r="CA157" s="776" t="s">
        <v>2127</v>
      </c>
      <c r="CB157" s="776" t="s">
        <v>2127</v>
      </c>
      <c r="CC157" s="776" t="s">
        <v>2127</v>
      </c>
      <c r="CD157" s="776" t="s">
        <v>2127</v>
      </c>
      <c r="CE157" s="776" t="s">
        <v>2127</v>
      </c>
      <c r="CF157" s="776" t="s">
        <v>2127</v>
      </c>
      <c r="CG157" s="776" t="s">
        <v>2127</v>
      </c>
      <c r="CH157" s="776" t="s">
        <v>2127</v>
      </c>
      <c r="CI157" s="776" t="s">
        <v>2127</v>
      </c>
      <c r="CJ157" s="776" t="s">
        <v>2127</v>
      </c>
      <c r="CK157" s="776" t="s">
        <v>2127</v>
      </c>
      <c r="CL157" s="776" t="s">
        <v>2127</v>
      </c>
      <c r="CM157" s="776" t="s">
        <v>2127</v>
      </c>
      <c r="CN157" s="776" t="s">
        <v>2127</v>
      </c>
      <c r="CO157" s="776" t="s">
        <v>2127</v>
      </c>
      <c r="CP157" s="776" t="s">
        <v>2127</v>
      </c>
      <c r="CQ157" s="776" t="s">
        <v>2127</v>
      </c>
      <c r="CR157" s="776" t="s">
        <v>2127</v>
      </c>
      <c r="CS157" s="776" t="s">
        <v>2127</v>
      </c>
      <c r="CT157" s="776" t="s">
        <v>2127</v>
      </c>
      <c r="CU157" s="776" t="s">
        <v>2127</v>
      </c>
      <c r="CV157" s="776" t="s">
        <v>2127</v>
      </c>
      <c r="CW157" s="776" t="s">
        <v>2127</v>
      </c>
      <c r="CX157" s="776" t="s">
        <v>2127</v>
      </c>
      <c r="CY157" s="776" t="s">
        <v>2127</v>
      </c>
      <c r="CZ157" s="776" t="s">
        <v>2127</v>
      </c>
      <c r="DA157" s="776" t="s">
        <v>2127</v>
      </c>
      <c r="DB157" s="776" t="s">
        <v>2127</v>
      </c>
      <c r="DC157" s="776" t="s">
        <v>2127</v>
      </c>
      <c r="DD157" s="776" t="s">
        <v>2127</v>
      </c>
      <c r="DE157" s="776" t="s">
        <v>2127</v>
      </c>
      <c r="DF157" s="776" t="s">
        <v>2127</v>
      </c>
      <c r="DG157" s="776" t="s">
        <v>2127</v>
      </c>
      <c r="DH157" s="776" t="s">
        <v>2127</v>
      </c>
      <c r="DI157" s="776" t="s">
        <v>2127</v>
      </c>
      <c r="DJ157" s="776" t="s">
        <v>2127</v>
      </c>
      <c r="DK157" s="776" t="s">
        <v>2127</v>
      </c>
      <c r="DL157" s="776" t="s">
        <v>2127</v>
      </c>
      <c r="DM157" s="776" t="s">
        <v>2127</v>
      </c>
      <c r="DN157" s="776" t="s">
        <v>2127</v>
      </c>
      <c r="DO157" s="776" t="s">
        <v>2127</v>
      </c>
      <c r="DP157" s="776" t="s">
        <v>2127</v>
      </c>
    </row>
    <row r="158" spans="1:120" x14ac:dyDescent="0.2">
      <c r="A158" s="637"/>
      <c r="B158" s="772" t="str" cm="1">
        <f t="array" ref="B158">IFERROR(INDEX(Kulturen[HF],_xlfn.AGGREGATE(15,6,(ROW(Kulturen[Auswahl])-7)/(--(SEARCH("x",Kulturen[Auswahl])&gt;0)),ROW()-7),1),"")</f>
        <v>Knollenfenchel</v>
      </c>
      <c r="C158" s="772" t="str">
        <f>IF(Kulturen[[#This Row],[HF]]=$D$373,IF($C$6=0,0,"x"),IF($C$6=0,"x",Vorauswahl!C157))</f>
        <v>x</v>
      </c>
      <c r="D158" s="938" t="s">
        <v>1935</v>
      </c>
      <c r="E158" s="938" t="s">
        <v>1935</v>
      </c>
      <c r="F158" s="938" t="s">
        <v>1936</v>
      </c>
      <c r="G158" s="938">
        <v>12</v>
      </c>
      <c r="H158" s="938">
        <v>8</v>
      </c>
      <c r="I158" s="938">
        <v>1</v>
      </c>
      <c r="J158" s="938">
        <v>12</v>
      </c>
      <c r="K158" s="938">
        <v>0.29799999999999999</v>
      </c>
      <c r="L158" s="938">
        <v>0.3</v>
      </c>
      <c r="M158" s="938">
        <v>65</v>
      </c>
      <c r="N158" s="938">
        <v>0.2</v>
      </c>
      <c r="O158" s="938">
        <v>1</v>
      </c>
      <c r="P158" s="938">
        <v>0</v>
      </c>
      <c r="Q158" s="938">
        <v>60</v>
      </c>
      <c r="R158" s="938">
        <v>13</v>
      </c>
      <c r="S158" s="938">
        <v>20</v>
      </c>
      <c r="T158" s="938">
        <v>20</v>
      </c>
      <c r="U158" s="938">
        <v>0</v>
      </c>
      <c r="V158" s="938">
        <v>1</v>
      </c>
      <c r="W158" s="776">
        <f>IF(Kulturen[[#This Row],[Berechnungsschema]]=13,3,IF(Kulturen[[#This Row],[Berechnungsschema]]=6,2,1))</f>
        <v>1</v>
      </c>
      <c r="X158" s="776">
        <f>IF(Kulturen[[#This Row],[fruchtartengruppe]]=13,Kulturen[[#This Row],[NBedarfswert]],MAX(0,Kulturen[[#This Row],[NBedarfswert]]-Kulturen[[#This Row],[Ertrag]]*Kulturen[[#This Row],[Nfix]]))</f>
        <v>47</v>
      </c>
      <c r="Y158" s="776" t="s">
        <v>2127</v>
      </c>
      <c r="Z158" s="776" t="s">
        <v>2127</v>
      </c>
      <c r="AA158" s="776" t="s">
        <v>2127</v>
      </c>
      <c r="AB158" s="776" t="s">
        <v>2127</v>
      </c>
      <c r="AC158" s="776" t="s">
        <v>2127</v>
      </c>
      <c r="AD158" s="776" t="s">
        <v>2127</v>
      </c>
      <c r="AE158" s="776" t="s">
        <v>2127</v>
      </c>
      <c r="AF158" s="776" t="s">
        <v>2127</v>
      </c>
      <c r="AG158" s="776" t="s">
        <v>2127</v>
      </c>
      <c r="AH158" s="776" t="s">
        <v>2127</v>
      </c>
      <c r="AI158" s="776" t="s">
        <v>2127</v>
      </c>
      <c r="AJ158" s="776" t="s">
        <v>2127</v>
      </c>
      <c r="AK158" s="776" t="s">
        <v>2127</v>
      </c>
      <c r="AL158" s="776" t="s">
        <v>2127</v>
      </c>
      <c r="AM158" s="776" t="s">
        <v>2127</v>
      </c>
      <c r="AN158" s="776" t="s">
        <v>2127</v>
      </c>
      <c r="AO158" s="776" t="s">
        <v>2127</v>
      </c>
      <c r="AP158" s="776" t="s">
        <v>2127</v>
      </c>
      <c r="AQ158" s="776" t="s">
        <v>2127</v>
      </c>
      <c r="AR158" s="776" t="s">
        <v>2127</v>
      </c>
      <c r="AS158" s="776" t="s">
        <v>2127</v>
      </c>
      <c r="AT158" s="776" t="s">
        <v>2127</v>
      </c>
      <c r="AU158" s="776" t="s">
        <v>2127</v>
      </c>
      <c r="AV158" s="776" t="s">
        <v>2127</v>
      </c>
      <c r="AW158" s="776" t="s">
        <v>2127</v>
      </c>
      <c r="AX158" s="776" t="s">
        <v>2127</v>
      </c>
      <c r="AY158" s="776" t="s">
        <v>2127</v>
      </c>
      <c r="AZ158" s="776" t="s">
        <v>2127</v>
      </c>
      <c r="BA158" s="776" t="s">
        <v>2127</v>
      </c>
      <c r="BB158" s="776" t="s">
        <v>2127</v>
      </c>
      <c r="BC158" s="776" t="s">
        <v>2127</v>
      </c>
      <c r="BD158" s="776" t="s">
        <v>2127</v>
      </c>
      <c r="BE158" s="776" t="s">
        <v>2127</v>
      </c>
      <c r="BF158" s="776" t="s">
        <v>2127</v>
      </c>
      <c r="BG158" s="776" t="s">
        <v>2127</v>
      </c>
      <c r="BH158" s="776" t="s">
        <v>2127</v>
      </c>
      <c r="BI158" s="776" t="s">
        <v>2127</v>
      </c>
      <c r="BJ158" s="776" t="s">
        <v>2127</v>
      </c>
      <c r="BK158" s="776" t="s">
        <v>2127</v>
      </c>
      <c r="BL158" s="776" t="s">
        <v>2127</v>
      </c>
      <c r="BM158" s="776" t="s">
        <v>2127</v>
      </c>
      <c r="BN158" s="776" t="s">
        <v>2127</v>
      </c>
      <c r="BO158" s="776" t="s">
        <v>2127</v>
      </c>
      <c r="BP158" s="776" t="s">
        <v>2127</v>
      </c>
      <c r="BQ158" s="776" t="s">
        <v>2127</v>
      </c>
      <c r="BR158" s="776" t="s">
        <v>2127</v>
      </c>
      <c r="BS158" s="776" t="s">
        <v>2127</v>
      </c>
      <c r="BT158" s="776" t="s">
        <v>2127</v>
      </c>
      <c r="BU158" s="776" t="s">
        <v>2127</v>
      </c>
      <c r="BV158" s="776" t="s">
        <v>2127</v>
      </c>
      <c r="BW158" s="776" t="s">
        <v>2127</v>
      </c>
      <c r="BX158" s="776" t="s">
        <v>2127</v>
      </c>
      <c r="BY158" s="776" t="s">
        <v>2127</v>
      </c>
      <c r="BZ158" s="776" t="s">
        <v>2127</v>
      </c>
      <c r="CA158" s="776" t="s">
        <v>2127</v>
      </c>
      <c r="CB158" s="776" t="s">
        <v>2127</v>
      </c>
      <c r="CC158" s="776" t="s">
        <v>2127</v>
      </c>
      <c r="CD158" s="776" t="s">
        <v>2127</v>
      </c>
      <c r="CE158" s="776" t="s">
        <v>2127</v>
      </c>
      <c r="CF158" s="776" t="s">
        <v>2127</v>
      </c>
      <c r="CG158" s="776" t="s">
        <v>2127</v>
      </c>
      <c r="CH158" s="776" t="s">
        <v>2127</v>
      </c>
      <c r="CI158" s="776" t="s">
        <v>2127</v>
      </c>
      <c r="CJ158" s="776" t="s">
        <v>2127</v>
      </c>
      <c r="CK158" s="776" t="s">
        <v>2127</v>
      </c>
      <c r="CL158" s="776" t="s">
        <v>2127</v>
      </c>
      <c r="CM158" s="776" t="s">
        <v>2127</v>
      </c>
      <c r="CN158" s="776" t="s">
        <v>2127</v>
      </c>
      <c r="CO158" s="776" t="s">
        <v>2127</v>
      </c>
      <c r="CP158" s="776" t="s">
        <v>2127</v>
      </c>
      <c r="CQ158" s="776" t="s">
        <v>2127</v>
      </c>
      <c r="CR158" s="776" t="s">
        <v>2127</v>
      </c>
      <c r="CS158" s="776" t="s">
        <v>2127</v>
      </c>
      <c r="CT158" s="776" t="s">
        <v>2127</v>
      </c>
      <c r="CU158" s="776" t="s">
        <v>2127</v>
      </c>
      <c r="CV158" s="776" t="s">
        <v>2127</v>
      </c>
      <c r="CW158" s="776" t="s">
        <v>2127</v>
      </c>
      <c r="CX158" s="776" t="s">
        <v>2127</v>
      </c>
      <c r="CY158" s="776" t="s">
        <v>2127</v>
      </c>
      <c r="CZ158" s="776" t="s">
        <v>2127</v>
      </c>
      <c r="DA158" s="776" t="s">
        <v>2127</v>
      </c>
      <c r="DB158" s="776" t="s">
        <v>2127</v>
      </c>
      <c r="DC158" s="776" t="s">
        <v>2127</v>
      </c>
      <c r="DD158" s="776" t="s">
        <v>2127</v>
      </c>
      <c r="DE158" s="776" t="s">
        <v>2127</v>
      </c>
      <c r="DF158" s="776" t="s">
        <v>2127</v>
      </c>
      <c r="DG158" s="776" t="s">
        <v>2127</v>
      </c>
      <c r="DH158" s="776" t="s">
        <v>2127</v>
      </c>
      <c r="DI158" s="776" t="s">
        <v>2127</v>
      </c>
      <c r="DJ158" s="776" t="s">
        <v>2127</v>
      </c>
      <c r="DK158" s="776" t="s">
        <v>2127</v>
      </c>
      <c r="DL158" s="776" t="s">
        <v>2127</v>
      </c>
      <c r="DM158" s="776" t="s">
        <v>2127</v>
      </c>
      <c r="DN158" s="776" t="s">
        <v>2127</v>
      </c>
      <c r="DO158" s="776" t="s">
        <v>2127</v>
      </c>
      <c r="DP158" s="776" t="s">
        <v>2127</v>
      </c>
    </row>
    <row r="159" spans="1:120" x14ac:dyDescent="0.2">
      <c r="A159" s="637" t="s">
        <v>2204</v>
      </c>
      <c r="B159" s="772" t="str" cm="1">
        <f t="array" ref="B159">IFERROR(INDEX(Kulturen[HF],_xlfn.AGGREGATE(15,6,(ROW(Kulturen[Auswahl])-7)/(--(SEARCH("x",Kulturen[Auswahl])&gt;0)),ROW()-7),1),"")</f>
        <v>Kohlrabi</v>
      </c>
      <c r="C159" s="772" t="str">
        <f>IF(Kulturen[[#This Row],[HF]]=$D$373,IF($C$6=0,0,"x"),IF($C$6=0,"x",Vorauswahl!C158))</f>
        <v>x</v>
      </c>
      <c r="D159" s="938" t="s">
        <v>762</v>
      </c>
      <c r="E159" s="938" t="s">
        <v>762</v>
      </c>
      <c r="F159" s="938" t="s">
        <v>845</v>
      </c>
      <c r="G159" s="938">
        <v>12</v>
      </c>
      <c r="H159" s="938">
        <v>8</v>
      </c>
      <c r="I159" s="938">
        <v>3</v>
      </c>
      <c r="J159" s="938">
        <v>12</v>
      </c>
      <c r="K159" s="938">
        <v>5.7000000000000002E-2</v>
      </c>
      <c r="L159" s="938">
        <v>0.06</v>
      </c>
      <c r="M159" s="938">
        <v>600</v>
      </c>
      <c r="N159" s="938">
        <v>0</v>
      </c>
      <c r="O159" s="938">
        <v>1</v>
      </c>
      <c r="P159" s="938">
        <v>0</v>
      </c>
      <c r="Q159" s="938">
        <v>175</v>
      </c>
      <c r="R159" s="938">
        <v>120</v>
      </c>
      <c r="S159" s="938">
        <v>20</v>
      </c>
      <c r="T159" s="938">
        <v>20</v>
      </c>
      <c r="U159" s="938">
        <v>0</v>
      </c>
      <c r="V159" s="938">
        <v>1</v>
      </c>
      <c r="W159" s="776">
        <f>IF(Kulturen[[#This Row],[Berechnungsschema]]=13,3,IF(Kulturen[[#This Row],[Berechnungsschema]]=6,2,1))</f>
        <v>1</v>
      </c>
      <c r="X159" s="776">
        <f>IF(Kulturen[[#This Row],[fruchtartengruppe]]=13,Kulturen[[#This Row],[NBedarfswert]],MAX(0,Kulturen[[#This Row],[NBedarfswert]]-Kulturen[[#This Row],[Ertrag]]*Kulturen[[#This Row],[Nfix]]))</f>
        <v>175</v>
      </c>
      <c r="Y159" s="776" t="s">
        <v>2127</v>
      </c>
      <c r="Z159" s="776" t="s">
        <v>2127</v>
      </c>
      <c r="AA159" s="776" t="s">
        <v>2127</v>
      </c>
      <c r="AB159" s="776" t="s">
        <v>2127</v>
      </c>
      <c r="AC159" s="776" t="s">
        <v>2127</v>
      </c>
      <c r="AD159" s="776" t="s">
        <v>2127</v>
      </c>
      <c r="AE159" s="776" t="s">
        <v>2127</v>
      </c>
      <c r="AF159" s="776" t="s">
        <v>2127</v>
      </c>
      <c r="AG159" s="776" t="s">
        <v>2127</v>
      </c>
      <c r="AH159" s="776" t="s">
        <v>2127</v>
      </c>
      <c r="AI159" s="776" t="s">
        <v>2127</v>
      </c>
      <c r="AJ159" s="776" t="s">
        <v>2127</v>
      </c>
      <c r="AK159" s="776" t="s">
        <v>2127</v>
      </c>
      <c r="AL159" s="776" t="s">
        <v>2127</v>
      </c>
      <c r="AM159" s="776" t="s">
        <v>2127</v>
      </c>
      <c r="AN159" s="776" t="s">
        <v>2127</v>
      </c>
      <c r="AO159" s="776" t="s">
        <v>2127</v>
      </c>
      <c r="AP159" s="776" t="s">
        <v>2127</v>
      </c>
      <c r="AQ159" s="776" t="s">
        <v>2127</v>
      </c>
      <c r="AR159" s="776" t="s">
        <v>2127</v>
      </c>
      <c r="AS159" s="776" t="s">
        <v>2127</v>
      </c>
      <c r="AT159" s="776" t="s">
        <v>2127</v>
      </c>
      <c r="AU159" s="776" t="s">
        <v>2127</v>
      </c>
      <c r="AV159" s="776" t="s">
        <v>2127</v>
      </c>
      <c r="AW159" s="776" t="s">
        <v>2127</v>
      </c>
      <c r="AX159" s="776" t="s">
        <v>2127</v>
      </c>
      <c r="AY159" s="776" t="s">
        <v>2127</v>
      </c>
      <c r="AZ159" s="776" t="s">
        <v>2127</v>
      </c>
      <c r="BA159" s="776" t="s">
        <v>2127</v>
      </c>
      <c r="BB159" s="776" t="s">
        <v>2127</v>
      </c>
      <c r="BC159" s="776" t="s">
        <v>2127</v>
      </c>
      <c r="BD159" s="776" t="s">
        <v>2127</v>
      </c>
      <c r="BE159" s="776" t="s">
        <v>2127</v>
      </c>
      <c r="BF159" s="776" t="s">
        <v>2127</v>
      </c>
      <c r="BG159" s="776" t="s">
        <v>2127</v>
      </c>
      <c r="BH159" s="776" t="s">
        <v>2127</v>
      </c>
      <c r="BI159" s="776" t="s">
        <v>2127</v>
      </c>
      <c r="BJ159" s="776" t="s">
        <v>2127</v>
      </c>
      <c r="BK159" s="776" t="s">
        <v>2127</v>
      </c>
      <c r="BL159" s="776" t="s">
        <v>2127</v>
      </c>
      <c r="BM159" s="776" t="s">
        <v>2127</v>
      </c>
      <c r="BN159" s="776" t="s">
        <v>2127</v>
      </c>
      <c r="BO159" s="776" t="s">
        <v>2127</v>
      </c>
      <c r="BP159" s="776" t="s">
        <v>2127</v>
      </c>
      <c r="BQ159" s="776" t="s">
        <v>2127</v>
      </c>
      <c r="BR159" s="776" t="s">
        <v>2127</v>
      </c>
      <c r="BS159" s="776" t="s">
        <v>2127</v>
      </c>
      <c r="BT159" s="776" t="s">
        <v>2127</v>
      </c>
      <c r="BU159" s="776" t="s">
        <v>2127</v>
      </c>
      <c r="BV159" s="776" t="s">
        <v>2127</v>
      </c>
      <c r="BW159" s="776" t="s">
        <v>2127</v>
      </c>
      <c r="BX159" s="776" t="s">
        <v>2127</v>
      </c>
      <c r="BY159" s="776" t="s">
        <v>2127</v>
      </c>
      <c r="BZ159" s="776" t="s">
        <v>2127</v>
      </c>
      <c r="CA159" s="776" t="s">
        <v>2127</v>
      </c>
      <c r="CB159" s="776" t="s">
        <v>2127</v>
      </c>
      <c r="CC159" s="776" t="s">
        <v>2127</v>
      </c>
      <c r="CD159" s="776" t="s">
        <v>2127</v>
      </c>
      <c r="CE159" s="776" t="s">
        <v>2127</v>
      </c>
      <c r="CF159" s="776" t="s">
        <v>2127</v>
      </c>
      <c r="CG159" s="776" t="s">
        <v>2127</v>
      </c>
      <c r="CH159" s="776" t="s">
        <v>2127</v>
      </c>
      <c r="CI159" s="776" t="s">
        <v>2127</v>
      </c>
      <c r="CJ159" s="776" t="s">
        <v>2127</v>
      </c>
      <c r="CK159" s="776" t="s">
        <v>2127</v>
      </c>
      <c r="CL159" s="776" t="s">
        <v>2127</v>
      </c>
      <c r="CM159" s="776" t="s">
        <v>2127</v>
      </c>
      <c r="CN159" s="776" t="s">
        <v>2127</v>
      </c>
      <c r="CO159" s="776" t="s">
        <v>2127</v>
      </c>
      <c r="CP159" s="776" t="s">
        <v>2127</v>
      </c>
      <c r="CQ159" s="776" t="s">
        <v>2127</v>
      </c>
      <c r="CR159" s="776" t="s">
        <v>2127</v>
      </c>
      <c r="CS159" s="776" t="s">
        <v>2127</v>
      </c>
      <c r="CT159" s="776" t="s">
        <v>2127</v>
      </c>
      <c r="CU159" s="776" t="s">
        <v>2127</v>
      </c>
      <c r="CV159" s="776" t="s">
        <v>2127</v>
      </c>
      <c r="CW159" s="776" t="s">
        <v>2127</v>
      </c>
      <c r="CX159" s="776" t="s">
        <v>2127</v>
      </c>
      <c r="CY159" s="776" t="s">
        <v>2127</v>
      </c>
      <c r="CZ159" s="776" t="s">
        <v>2127</v>
      </c>
      <c r="DA159" s="776" t="s">
        <v>2127</v>
      </c>
      <c r="DB159" s="776" t="s">
        <v>2127</v>
      </c>
      <c r="DC159" s="776" t="s">
        <v>2127</v>
      </c>
      <c r="DD159" s="776" t="s">
        <v>2127</v>
      </c>
      <c r="DE159" s="776" t="s">
        <v>2127</v>
      </c>
      <c r="DF159" s="776" t="s">
        <v>2127</v>
      </c>
      <c r="DG159" s="776" t="s">
        <v>2127</v>
      </c>
      <c r="DH159" s="776" t="s">
        <v>2127</v>
      </c>
      <c r="DI159" s="776" t="s">
        <v>2127</v>
      </c>
      <c r="DJ159" s="776" t="s">
        <v>2127</v>
      </c>
      <c r="DK159" s="776" t="s">
        <v>2127</v>
      </c>
      <c r="DL159" s="776" t="s">
        <v>2127</v>
      </c>
      <c r="DM159" s="776" t="s">
        <v>2127</v>
      </c>
      <c r="DN159" s="776" t="s">
        <v>2127</v>
      </c>
      <c r="DO159" s="776" t="s">
        <v>2127</v>
      </c>
      <c r="DP159" s="776" t="s">
        <v>2127</v>
      </c>
    </row>
    <row r="160" spans="1:120" x14ac:dyDescent="0.2">
      <c r="A160" s="637" t="s">
        <v>2205</v>
      </c>
      <c r="B160" s="772" t="str" cm="1">
        <f t="array" ref="B160">IFERROR(INDEX(Kulturen[HF],_xlfn.AGGREGATE(15,6,(ROW(Kulturen[Auswahl])-7)/(--(SEARCH("x",Kulturen[Auswahl])&gt;0)),ROW()-7),1),"")</f>
        <v>Kohlrübe</v>
      </c>
      <c r="C160" s="772" t="str">
        <f>IF(Kulturen[[#This Row],[HF]]=$D$373,IF($C$6=0,0,"x"),IF($C$6=0,"x",Vorauswahl!C159))</f>
        <v>x</v>
      </c>
      <c r="D160" s="938" t="s">
        <v>763</v>
      </c>
      <c r="E160" s="938" t="s">
        <v>763</v>
      </c>
      <c r="F160" s="938" t="s">
        <v>846</v>
      </c>
      <c r="G160" s="938">
        <v>12</v>
      </c>
      <c r="H160" s="938">
        <v>8</v>
      </c>
      <c r="I160" s="938">
        <v>3</v>
      </c>
      <c r="J160" s="938">
        <v>12</v>
      </c>
      <c r="K160" s="938">
        <v>0.06</v>
      </c>
      <c r="L160" s="938">
        <v>0.06</v>
      </c>
      <c r="M160" s="938">
        <v>350</v>
      </c>
      <c r="N160" s="938">
        <v>0</v>
      </c>
      <c r="O160" s="938">
        <v>1</v>
      </c>
      <c r="P160" s="938">
        <v>0</v>
      </c>
      <c r="Q160" s="938">
        <v>150</v>
      </c>
      <c r="R160" s="938">
        <v>70</v>
      </c>
      <c r="S160" s="938">
        <v>20</v>
      </c>
      <c r="T160" s="938">
        <v>20</v>
      </c>
      <c r="U160" s="938">
        <v>0</v>
      </c>
      <c r="V160" s="938">
        <v>1</v>
      </c>
      <c r="W160" s="776">
        <f>IF(Kulturen[[#This Row],[Berechnungsschema]]=13,3,IF(Kulturen[[#This Row],[Berechnungsschema]]=6,2,1))</f>
        <v>1</v>
      </c>
      <c r="X160" s="776">
        <f>IF(Kulturen[[#This Row],[fruchtartengruppe]]=13,Kulturen[[#This Row],[NBedarfswert]],MAX(0,Kulturen[[#This Row],[NBedarfswert]]-Kulturen[[#This Row],[Ertrag]]*Kulturen[[#This Row],[Nfix]]))</f>
        <v>150</v>
      </c>
      <c r="Y160" s="776" t="s">
        <v>2127</v>
      </c>
      <c r="Z160" s="776" t="s">
        <v>2127</v>
      </c>
      <c r="AA160" s="776" t="s">
        <v>2127</v>
      </c>
      <c r="AB160" s="776" t="s">
        <v>2127</v>
      </c>
      <c r="AC160" s="776" t="s">
        <v>2127</v>
      </c>
      <c r="AD160" s="776" t="s">
        <v>2127</v>
      </c>
      <c r="AE160" s="776" t="s">
        <v>2127</v>
      </c>
      <c r="AF160" s="776" t="s">
        <v>2127</v>
      </c>
      <c r="AG160" s="776" t="s">
        <v>2127</v>
      </c>
      <c r="AH160" s="776" t="s">
        <v>2127</v>
      </c>
      <c r="AI160" s="776" t="s">
        <v>2127</v>
      </c>
      <c r="AJ160" s="776" t="s">
        <v>2127</v>
      </c>
      <c r="AK160" s="776" t="s">
        <v>2127</v>
      </c>
      <c r="AL160" s="776" t="s">
        <v>2127</v>
      </c>
      <c r="AM160" s="776" t="s">
        <v>2127</v>
      </c>
      <c r="AN160" s="776" t="s">
        <v>2127</v>
      </c>
      <c r="AO160" s="776" t="s">
        <v>2127</v>
      </c>
      <c r="AP160" s="776" t="s">
        <v>2127</v>
      </c>
      <c r="AQ160" s="776" t="s">
        <v>2127</v>
      </c>
      <c r="AR160" s="776" t="s">
        <v>2127</v>
      </c>
      <c r="AS160" s="776" t="s">
        <v>2127</v>
      </c>
      <c r="AT160" s="776" t="s">
        <v>2127</v>
      </c>
      <c r="AU160" s="776" t="s">
        <v>2127</v>
      </c>
      <c r="AV160" s="776" t="s">
        <v>2127</v>
      </c>
      <c r="AW160" s="776" t="s">
        <v>2127</v>
      </c>
      <c r="AX160" s="776" t="s">
        <v>2127</v>
      </c>
      <c r="AY160" s="776" t="s">
        <v>2127</v>
      </c>
      <c r="AZ160" s="776" t="s">
        <v>2127</v>
      </c>
      <c r="BA160" s="776" t="s">
        <v>2127</v>
      </c>
      <c r="BB160" s="776" t="s">
        <v>2127</v>
      </c>
      <c r="BC160" s="776" t="s">
        <v>2127</v>
      </c>
      <c r="BD160" s="776" t="s">
        <v>2127</v>
      </c>
      <c r="BE160" s="776" t="s">
        <v>2127</v>
      </c>
      <c r="BF160" s="776" t="s">
        <v>2127</v>
      </c>
      <c r="BG160" s="776" t="s">
        <v>2127</v>
      </c>
      <c r="BH160" s="776" t="s">
        <v>2127</v>
      </c>
      <c r="BI160" s="776" t="s">
        <v>2127</v>
      </c>
      <c r="BJ160" s="776" t="s">
        <v>2127</v>
      </c>
      <c r="BK160" s="776" t="s">
        <v>2127</v>
      </c>
      <c r="BL160" s="776" t="s">
        <v>2127</v>
      </c>
      <c r="BM160" s="776" t="s">
        <v>2127</v>
      </c>
      <c r="BN160" s="776" t="s">
        <v>2127</v>
      </c>
      <c r="BO160" s="776" t="s">
        <v>2127</v>
      </c>
      <c r="BP160" s="776" t="s">
        <v>2127</v>
      </c>
      <c r="BQ160" s="776" t="s">
        <v>2127</v>
      </c>
      <c r="BR160" s="776" t="s">
        <v>2127</v>
      </c>
      <c r="BS160" s="776" t="s">
        <v>2127</v>
      </c>
      <c r="BT160" s="776" t="s">
        <v>2127</v>
      </c>
      <c r="BU160" s="776" t="s">
        <v>2127</v>
      </c>
      <c r="BV160" s="776" t="s">
        <v>2127</v>
      </c>
      <c r="BW160" s="776" t="s">
        <v>2127</v>
      </c>
      <c r="BX160" s="776" t="s">
        <v>2127</v>
      </c>
      <c r="BY160" s="776" t="s">
        <v>2127</v>
      </c>
      <c r="BZ160" s="776" t="s">
        <v>2127</v>
      </c>
      <c r="CA160" s="776" t="s">
        <v>2127</v>
      </c>
      <c r="CB160" s="776" t="s">
        <v>2127</v>
      </c>
      <c r="CC160" s="776" t="s">
        <v>2127</v>
      </c>
      <c r="CD160" s="776" t="s">
        <v>2127</v>
      </c>
      <c r="CE160" s="776" t="s">
        <v>2127</v>
      </c>
      <c r="CF160" s="776" t="s">
        <v>2127</v>
      </c>
      <c r="CG160" s="776" t="s">
        <v>2127</v>
      </c>
      <c r="CH160" s="776" t="s">
        <v>2127</v>
      </c>
      <c r="CI160" s="776" t="s">
        <v>2127</v>
      </c>
      <c r="CJ160" s="776" t="s">
        <v>2127</v>
      </c>
      <c r="CK160" s="776" t="s">
        <v>2127</v>
      </c>
      <c r="CL160" s="776" t="s">
        <v>2127</v>
      </c>
      <c r="CM160" s="776" t="s">
        <v>2127</v>
      </c>
      <c r="CN160" s="776" t="s">
        <v>2127</v>
      </c>
      <c r="CO160" s="776" t="s">
        <v>2127</v>
      </c>
      <c r="CP160" s="776" t="s">
        <v>2127</v>
      </c>
      <c r="CQ160" s="776" t="s">
        <v>2127</v>
      </c>
      <c r="CR160" s="776" t="s">
        <v>2127</v>
      </c>
      <c r="CS160" s="776" t="s">
        <v>2127</v>
      </c>
      <c r="CT160" s="776" t="s">
        <v>2127</v>
      </c>
      <c r="CU160" s="776" t="s">
        <v>2127</v>
      </c>
      <c r="CV160" s="776" t="s">
        <v>2127</v>
      </c>
      <c r="CW160" s="776" t="s">
        <v>2127</v>
      </c>
      <c r="CX160" s="776" t="s">
        <v>2127</v>
      </c>
      <c r="CY160" s="776" t="s">
        <v>2127</v>
      </c>
      <c r="CZ160" s="776" t="s">
        <v>2127</v>
      </c>
      <c r="DA160" s="776" t="s">
        <v>2127</v>
      </c>
      <c r="DB160" s="776" t="s">
        <v>2127</v>
      </c>
      <c r="DC160" s="776" t="s">
        <v>2127</v>
      </c>
      <c r="DD160" s="776" t="s">
        <v>2127</v>
      </c>
      <c r="DE160" s="776" t="s">
        <v>2127</v>
      </c>
      <c r="DF160" s="776" t="s">
        <v>2127</v>
      </c>
      <c r="DG160" s="776" t="s">
        <v>2127</v>
      </c>
      <c r="DH160" s="776" t="s">
        <v>2127</v>
      </c>
      <c r="DI160" s="776" t="s">
        <v>2127</v>
      </c>
      <c r="DJ160" s="776" t="s">
        <v>2127</v>
      </c>
      <c r="DK160" s="776" t="s">
        <v>2127</v>
      </c>
      <c r="DL160" s="776" t="s">
        <v>2127</v>
      </c>
      <c r="DM160" s="776" t="s">
        <v>2127</v>
      </c>
      <c r="DN160" s="776" t="s">
        <v>2127</v>
      </c>
      <c r="DO160" s="776" t="s">
        <v>2127</v>
      </c>
      <c r="DP160" s="776" t="s">
        <v>2127</v>
      </c>
    </row>
    <row r="161" spans="1:120" x14ac:dyDescent="0.2">
      <c r="A161" s="637" t="s">
        <v>2206</v>
      </c>
      <c r="B161" s="772" t="str" cm="1">
        <f t="array" ref="B161">IFERROR(INDEX(Kulturen[HF],_xlfn.AGGREGATE(15,6,(ROW(Kulturen[Auswahl])-7)/(--(SEARCH("x",Kulturen[Auswahl])&gt;0)),ROW()-7),1),"")</f>
        <v>Kopfsalat</v>
      </c>
      <c r="C161" s="772" t="str">
        <f>IF(Kulturen[[#This Row],[HF]]=$D$373,IF($C$6=0,0,"x"),IF($C$6=0,"x",Vorauswahl!C160))</f>
        <v>x</v>
      </c>
      <c r="D161" s="938" t="s">
        <v>764</v>
      </c>
      <c r="E161" s="938" t="s">
        <v>764</v>
      </c>
      <c r="F161" s="938" t="s">
        <v>847</v>
      </c>
      <c r="G161" s="938">
        <v>12</v>
      </c>
      <c r="H161" s="938">
        <v>8</v>
      </c>
      <c r="I161" s="938">
        <v>3</v>
      </c>
      <c r="J161" s="938">
        <v>12</v>
      </c>
      <c r="K161" s="938">
        <v>0.06</v>
      </c>
      <c r="L161" s="938">
        <v>0.06</v>
      </c>
      <c r="M161" s="938">
        <v>600</v>
      </c>
      <c r="N161" s="938">
        <v>0</v>
      </c>
      <c r="O161" s="938">
        <v>1</v>
      </c>
      <c r="P161" s="938">
        <v>0</v>
      </c>
      <c r="Q161" s="938">
        <v>190</v>
      </c>
      <c r="R161" s="938">
        <v>120</v>
      </c>
      <c r="S161" s="938">
        <v>20</v>
      </c>
      <c r="T161" s="938">
        <v>20</v>
      </c>
      <c r="U161" s="938">
        <v>0</v>
      </c>
      <c r="V161" s="938">
        <v>1</v>
      </c>
      <c r="W161" s="776">
        <f>IF(Kulturen[[#This Row],[Berechnungsschema]]=13,3,IF(Kulturen[[#This Row],[Berechnungsschema]]=6,2,1))</f>
        <v>1</v>
      </c>
      <c r="X161" s="776">
        <f>IF(Kulturen[[#This Row],[fruchtartengruppe]]=13,Kulturen[[#This Row],[NBedarfswert]],MAX(0,Kulturen[[#This Row],[NBedarfswert]]-Kulturen[[#This Row],[Ertrag]]*Kulturen[[#This Row],[Nfix]]))</f>
        <v>190</v>
      </c>
      <c r="Y161" s="776" t="s">
        <v>2127</v>
      </c>
      <c r="Z161" s="776" t="s">
        <v>2127</v>
      </c>
      <c r="AA161" s="776" t="s">
        <v>2127</v>
      </c>
      <c r="AB161" s="776" t="s">
        <v>2127</v>
      </c>
      <c r="AC161" s="776" t="s">
        <v>2127</v>
      </c>
      <c r="AD161" s="776" t="s">
        <v>2127</v>
      </c>
      <c r="AE161" s="776" t="s">
        <v>2127</v>
      </c>
      <c r="AF161" s="776" t="s">
        <v>2127</v>
      </c>
      <c r="AG161" s="776" t="s">
        <v>2127</v>
      </c>
      <c r="AH161" s="776" t="s">
        <v>2127</v>
      </c>
      <c r="AI161" s="776" t="s">
        <v>2127</v>
      </c>
      <c r="AJ161" s="776" t="s">
        <v>2127</v>
      </c>
      <c r="AK161" s="776" t="s">
        <v>2127</v>
      </c>
      <c r="AL161" s="776" t="s">
        <v>2127</v>
      </c>
      <c r="AM161" s="776" t="s">
        <v>2127</v>
      </c>
      <c r="AN161" s="776" t="s">
        <v>2127</v>
      </c>
      <c r="AO161" s="776" t="s">
        <v>2127</v>
      </c>
      <c r="AP161" s="776" t="s">
        <v>2127</v>
      </c>
      <c r="AQ161" s="776" t="s">
        <v>2127</v>
      </c>
      <c r="AR161" s="776" t="s">
        <v>2127</v>
      </c>
      <c r="AS161" s="776" t="s">
        <v>2127</v>
      </c>
      <c r="AT161" s="776" t="s">
        <v>2127</v>
      </c>
      <c r="AU161" s="776" t="s">
        <v>2127</v>
      </c>
      <c r="AV161" s="776" t="s">
        <v>2127</v>
      </c>
      <c r="AW161" s="776" t="s">
        <v>2127</v>
      </c>
      <c r="AX161" s="776" t="s">
        <v>2127</v>
      </c>
      <c r="AY161" s="776" t="s">
        <v>2127</v>
      </c>
      <c r="AZ161" s="776" t="s">
        <v>2127</v>
      </c>
      <c r="BA161" s="776" t="s">
        <v>2127</v>
      </c>
      <c r="BB161" s="776" t="s">
        <v>2127</v>
      </c>
      <c r="BC161" s="776" t="s">
        <v>2127</v>
      </c>
      <c r="BD161" s="776" t="s">
        <v>2127</v>
      </c>
      <c r="BE161" s="776" t="s">
        <v>2127</v>
      </c>
      <c r="BF161" s="776" t="s">
        <v>2127</v>
      </c>
      <c r="BG161" s="776" t="s">
        <v>2127</v>
      </c>
      <c r="BH161" s="776" t="s">
        <v>2127</v>
      </c>
      <c r="BI161" s="776" t="s">
        <v>2127</v>
      </c>
      <c r="BJ161" s="776" t="s">
        <v>2127</v>
      </c>
      <c r="BK161" s="776" t="s">
        <v>2127</v>
      </c>
      <c r="BL161" s="776" t="s">
        <v>2127</v>
      </c>
      <c r="BM161" s="776" t="s">
        <v>2127</v>
      </c>
      <c r="BN161" s="776" t="s">
        <v>2127</v>
      </c>
      <c r="BO161" s="776" t="s">
        <v>2127</v>
      </c>
      <c r="BP161" s="776" t="s">
        <v>2127</v>
      </c>
      <c r="BQ161" s="776" t="s">
        <v>2127</v>
      </c>
      <c r="BR161" s="776" t="s">
        <v>2127</v>
      </c>
      <c r="BS161" s="776" t="s">
        <v>2127</v>
      </c>
      <c r="BT161" s="776" t="s">
        <v>2127</v>
      </c>
      <c r="BU161" s="776" t="s">
        <v>2127</v>
      </c>
      <c r="BV161" s="776" t="s">
        <v>2127</v>
      </c>
      <c r="BW161" s="776" t="s">
        <v>2127</v>
      </c>
      <c r="BX161" s="776" t="s">
        <v>2127</v>
      </c>
      <c r="BY161" s="776" t="s">
        <v>2127</v>
      </c>
      <c r="BZ161" s="776" t="s">
        <v>2127</v>
      </c>
      <c r="CA161" s="776" t="s">
        <v>2127</v>
      </c>
      <c r="CB161" s="776" t="s">
        <v>2127</v>
      </c>
      <c r="CC161" s="776" t="s">
        <v>2127</v>
      </c>
      <c r="CD161" s="776" t="s">
        <v>2127</v>
      </c>
      <c r="CE161" s="776" t="s">
        <v>2127</v>
      </c>
      <c r="CF161" s="776" t="s">
        <v>2127</v>
      </c>
      <c r="CG161" s="776" t="s">
        <v>2127</v>
      </c>
      <c r="CH161" s="776" t="s">
        <v>2127</v>
      </c>
      <c r="CI161" s="776" t="s">
        <v>2127</v>
      </c>
      <c r="CJ161" s="776" t="s">
        <v>2127</v>
      </c>
      <c r="CK161" s="776" t="s">
        <v>2127</v>
      </c>
      <c r="CL161" s="776" t="s">
        <v>2127</v>
      </c>
      <c r="CM161" s="776" t="s">
        <v>2127</v>
      </c>
      <c r="CN161" s="776" t="s">
        <v>2127</v>
      </c>
      <c r="CO161" s="776" t="s">
        <v>2127</v>
      </c>
      <c r="CP161" s="776" t="s">
        <v>2127</v>
      </c>
      <c r="CQ161" s="776" t="s">
        <v>2127</v>
      </c>
      <c r="CR161" s="776" t="s">
        <v>2127</v>
      </c>
      <c r="CS161" s="776" t="s">
        <v>2127</v>
      </c>
      <c r="CT161" s="776" t="s">
        <v>2127</v>
      </c>
      <c r="CU161" s="776" t="s">
        <v>2127</v>
      </c>
      <c r="CV161" s="776" t="s">
        <v>2127</v>
      </c>
      <c r="CW161" s="776" t="s">
        <v>2127</v>
      </c>
      <c r="CX161" s="776" t="s">
        <v>2127</v>
      </c>
      <c r="CY161" s="776" t="s">
        <v>2127</v>
      </c>
      <c r="CZ161" s="776" t="s">
        <v>2127</v>
      </c>
      <c r="DA161" s="776" t="s">
        <v>2127</v>
      </c>
      <c r="DB161" s="776" t="s">
        <v>2127</v>
      </c>
      <c r="DC161" s="776" t="s">
        <v>2127</v>
      </c>
      <c r="DD161" s="776" t="s">
        <v>2127</v>
      </c>
      <c r="DE161" s="776" t="s">
        <v>2127</v>
      </c>
      <c r="DF161" s="776" t="s">
        <v>2127</v>
      </c>
      <c r="DG161" s="776" t="s">
        <v>2127</v>
      </c>
      <c r="DH161" s="776" t="s">
        <v>2127</v>
      </c>
      <c r="DI161" s="776" t="s">
        <v>2127</v>
      </c>
      <c r="DJ161" s="776" t="s">
        <v>2127</v>
      </c>
      <c r="DK161" s="776" t="s">
        <v>2127</v>
      </c>
      <c r="DL161" s="776" t="s">
        <v>2127</v>
      </c>
      <c r="DM161" s="776" t="s">
        <v>2127</v>
      </c>
      <c r="DN161" s="776" t="s">
        <v>2127</v>
      </c>
      <c r="DO161" s="776" t="s">
        <v>2127</v>
      </c>
      <c r="DP161" s="776" t="s">
        <v>2127</v>
      </c>
    </row>
    <row r="162" spans="1:120" x14ac:dyDescent="0.2">
      <c r="A162" s="637" t="s">
        <v>2207</v>
      </c>
      <c r="B162" s="772" t="str" cm="1">
        <f t="array" ref="B162">IFERROR(INDEX(Kulturen[HF],_xlfn.AGGREGATE(15,6,(ROW(Kulturen[Auswahl])-7)/(--(SEARCH("x",Kulturen[Auswahl])&gt;0)),ROW()-7),1),"")</f>
        <v>Kürbis, Hokkaido</v>
      </c>
      <c r="C162" s="772" t="str">
        <f>IF(Kulturen[[#This Row],[HF]]=$D$373,IF($C$6=0,0,"x"),IF($C$6=0,"x",Vorauswahl!C161))</f>
        <v>x</v>
      </c>
      <c r="D162" s="938" t="s">
        <v>765</v>
      </c>
      <c r="E162" s="938" t="s">
        <v>765</v>
      </c>
      <c r="F162" s="938" t="s">
        <v>848</v>
      </c>
      <c r="G162" s="938">
        <v>12</v>
      </c>
      <c r="H162" s="938">
        <v>8</v>
      </c>
      <c r="I162" s="938">
        <v>3</v>
      </c>
      <c r="J162" s="938">
        <v>12</v>
      </c>
      <c r="K162" s="938">
        <v>9.9000000000000005E-2</v>
      </c>
      <c r="L162" s="938">
        <v>0.1</v>
      </c>
      <c r="M162" s="938">
        <v>80</v>
      </c>
      <c r="N162" s="938">
        <v>0</v>
      </c>
      <c r="O162" s="938">
        <v>1</v>
      </c>
      <c r="P162" s="938">
        <v>0</v>
      </c>
      <c r="Q162" s="938">
        <v>85</v>
      </c>
      <c r="R162" s="938">
        <v>16</v>
      </c>
      <c r="S162" s="938">
        <v>20</v>
      </c>
      <c r="T162" s="938">
        <v>20</v>
      </c>
      <c r="U162" s="938">
        <v>0</v>
      </c>
      <c r="V162" s="938">
        <v>1</v>
      </c>
      <c r="W162" s="776">
        <f>IF(Kulturen[[#This Row],[Berechnungsschema]]=13,3,IF(Kulturen[[#This Row],[Berechnungsschema]]=6,2,1))</f>
        <v>1</v>
      </c>
      <c r="X162" s="776">
        <f>IF(Kulturen[[#This Row],[fruchtartengruppe]]=13,Kulturen[[#This Row],[NBedarfswert]],MAX(0,Kulturen[[#This Row],[NBedarfswert]]-Kulturen[[#This Row],[Ertrag]]*Kulturen[[#This Row],[Nfix]]))</f>
        <v>85</v>
      </c>
      <c r="Y162" s="776" t="s">
        <v>2127</v>
      </c>
      <c r="Z162" s="776" t="s">
        <v>2127</v>
      </c>
      <c r="AA162" s="776" t="s">
        <v>2127</v>
      </c>
      <c r="AB162" s="776" t="s">
        <v>2127</v>
      </c>
      <c r="AC162" s="776" t="s">
        <v>2127</v>
      </c>
      <c r="AD162" s="776" t="s">
        <v>2127</v>
      </c>
      <c r="AE162" s="776" t="s">
        <v>2127</v>
      </c>
      <c r="AF162" s="776" t="s">
        <v>2127</v>
      </c>
      <c r="AG162" s="776" t="s">
        <v>2127</v>
      </c>
      <c r="AH162" s="776" t="s">
        <v>2127</v>
      </c>
      <c r="AI162" s="776" t="s">
        <v>2127</v>
      </c>
      <c r="AJ162" s="776" t="s">
        <v>2127</v>
      </c>
      <c r="AK162" s="776" t="s">
        <v>2127</v>
      </c>
      <c r="AL162" s="776" t="s">
        <v>2127</v>
      </c>
      <c r="AM162" s="776" t="s">
        <v>2127</v>
      </c>
      <c r="AN162" s="776" t="s">
        <v>2127</v>
      </c>
      <c r="AO162" s="776" t="s">
        <v>2127</v>
      </c>
      <c r="AP162" s="776" t="s">
        <v>2127</v>
      </c>
      <c r="AQ162" s="776" t="s">
        <v>2127</v>
      </c>
      <c r="AR162" s="776" t="s">
        <v>2127</v>
      </c>
      <c r="AS162" s="776" t="s">
        <v>2127</v>
      </c>
      <c r="AT162" s="776" t="s">
        <v>2127</v>
      </c>
      <c r="AU162" s="776" t="s">
        <v>2127</v>
      </c>
      <c r="AV162" s="776" t="s">
        <v>2127</v>
      </c>
      <c r="AW162" s="776" t="s">
        <v>2127</v>
      </c>
      <c r="AX162" s="776" t="s">
        <v>2127</v>
      </c>
      <c r="AY162" s="776" t="s">
        <v>2127</v>
      </c>
      <c r="AZ162" s="776" t="s">
        <v>2127</v>
      </c>
      <c r="BA162" s="776" t="s">
        <v>2127</v>
      </c>
      <c r="BB162" s="776" t="s">
        <v>2127</v>
      </c>
      <c r="BC162" s="776" t="s">
        <v>2127</v>
      </c>
      <c r="BD162" s="776" t="s">
        <v>2127</v>
      </c>
      <c r="BE162" s="776" t="s">
        <v>2127</v>
      </c>
      <c r="BF162" s="776" t="s">
        <v>2127</v>
      </c>
      <c r="BG162" s="776" t="s">
        <v>2127</v>
      </c>
      <c r="BH162" s="776" t="s">
        <v>2127</v>
      </c>
      <c r="BI162" s="776" t="s">
        <v>2127</v>
      </c>
      <c r="BJ162" s="776" t="s">
        <v>2127</v>
      </c>
      <c r="BK162" s="776" t="s">
        <v>2127</v>
      </c>
      <c r="BL162" s="776" t="s">
        <v>2127</v>
      </c>
      <c r="BM162" s="776" t="s">
        <v>2127</v>
      </c>
      <c r="BN162" s="776" t="s">
        <v>2127</v>
      </c>
      <c r="BO162" s="776" t="s">
        <v>2127</v>
      </c>
      <c r="BP162" s="776" t="s">
        <v>2127</v>
      </c>
      <c r="BQ162" s="776" t="s">
        <v>2127</v>
      </c>
      <c r="BR162" s="776" t="s">
        <v>2127</v>
      </c>
      <c r="BS162" s="776" t="s">
        <v>2127</v>
      </c>
      <c r="BT162" s="776" t="s">
        <v>2127</v>
      </c>
      <c r="BU162" s="776" t="s">
        <v>2127</v>
      </c>
      <c r="BV162" s="776" t="s">
        <v>2127</v>
      </c>
      <c r="BW162" s="776" t="s">
        <v>2127</v>
      </c>
      <c r="BX162" s="776" t="s">
        <v>2127</v>
      </c>
      <c r="BY162" s="776" t="s">
        <v>2127</v>
      </c>
      <c r="BZ162" s="776" t="s">
        <v>2127</v>
      </c>
      <c r="CA162" s="776" t="s">
        <v>2127</v>
      </c>
      <c r="CB162" s="776" t="s">
        <v>2127</v>
      </c>
      <c r="CC162" s="776" t="s">
        <v>2127</v>
      </c>
      <c r="CD162" s="776" t="s">
        <v>2127</v>
      </c>
      <c r="CE162" s="776" t="s">
        <v>2127</v>
      </c>
      <c r="CF162" s="776" t="s">
        <v>2127</v>
      </c>
      <c r="CG162" s="776" t="s">
        <v>2127</v>
      </c>
      <c r="CH162" s="776" t="s">
        <v>2127</v>
      </c>
      <c r="CI162" s="776" t="s">
        <v>2127</v>
      </c>
      <c r="CJ162" s="776" t="s">
        <v>2127</v>
      </c>
      <c r="CK162" s="776" t="s">
        <v>2127</v>
      </c>
      <c r="CL162" s="776" t="s">
        <v>2127</v>
      </c>
      <c r="CM162" s="776" t="s">
        <v>2127</v>
      </c>
      <c r="CN162" s="776" t="s">
        <v>2127</v>
      </c>
      <c r="CO162" s="776" t="s">
        <v>2127</v>
      </c>
      <c r="CP162" s="776" t="s">
        <v>2127</v>
      </c>
      <c r="CQ162" s="776" t="s">
        <v>2127</v>
      </c>
      <c r="CR162" s="776" t="s">
        <v>2127</v>
      </c>
      <c r="CS162" s="776" t="s">
        <v>2127</v>
      </c>
      <c r="CT162" s="776" t="s">
        <v>2127</v>
      </c>
      <c r="CU162" s="776" t="s">
        <v>2127</v>
      </c>
      <c r="CV162" s="776" t="s">
        <v>2127</v>
      </c>
      <c r="CW162" s="776" t="s">
        <v>2127</v>
      </c>
      <c r="CX162" s="776" t="s">
        <v>2127</v>
      </c>
      <c r="CY162" s="776" t="s">
        <v>2127</v>
      </c>
      <c r="CZ162" s="776" t="s">
        <v>2127</v>
      </c>
      <c r="DA162" s="776" t="s">
        <v>2127</v>
      </c>
      <c r="DB162" s="776" t="s">
        <v>2127</v>
      </c>
      <c r="DC162" s="776" t="s">
        <v>2127</v>
      </c>
      <c r="DD162" s="776" t="s">
        <v>2127</v>
      </c>
      <c r="DE162" s="776" t="s">
        <v>2127</v>
      </c>
      <c r="DF162" s="776" t="s">
        <v>2127</v>
      </c>
      <c r="DG162" s="776" t="s">
        <v>2127</v>
      </c>
      <c r="DH162" s="776" t="s">
        <v>2127</v>
      </c>
      <c r="DI162" s="776" t="s">
        <v>2127</v>
      </c>
      <c r="DJ162" s="776" t="s">
        <v>2127</v>
      </c>
      <c r="DK162" s="776" t="s">
        <v>2127</v>
      </c>
      <c r="DL162" s="776" t="s">
        <v>2127</v>
      </c>
      <c r="DM162" s="776" t="s">
        <v>2127</v>
      </c>
      <c r="DN162" s="776" t="s">
        <v>2127</v>
      </c>
      <c r="DO162" s="776" t="s">
        <v>2127</v>
      </c>
      <c r="DP162" s="776" t="s">
        <v>2127</v>
      </c>
    </row>
    <row r="163" spans="1:120" x14ac:dyDescent="0.2">
      <c r="A163" s="637" t="s">
        <v>2208</v>
      </c>
      <c r="B163" s="772" t="str" cm="1">
        <f t="array" ref="B163">IFERROR(INDEX(Kulturen[HF],_xlfn.AGGREGATE(15,6,(ROW(Kulturen[Auswahl])-7)/(--(SEARCH("x",Kulturen[Auswahl])&gt;0)),ROW()-7),1),"")</f>
        <v>Kürbis, Öl-</v>
      </c>
      <c r="C163" s="772" t="str">
        <f>IF(Kulturen[[#This Row],[HF]]=$D$373,IF($C$6=0,0,"x"),IF($C$6=0,"x",Vorauswahl!C162))</f>
        <v>x</v>
      </c>
      <c r="D163" s="938" t="s">
        <v>766</v>
      </c>
      <c r="E163" s="938" t="s">
        <v>766</v>
      </c>
      <c r="F163" s="938" t="s">
        <v>849</v>
      </c>
      <c r="G163" s="938">
        <v>12</v>
      </c>
      <c r="H163" s="938">
        <v>8</v>
      </c>
      <c r="I163" s="938">
        <v>3</v>
      </c>
      <c r="J163" s="938">
        <v>12</v>
      </c>
      <c r="K163" s="938">
        <v>9.9000000000000005E-2</v>
      </c>
      <c r="L163" s="938">
        <v>0.1</v>
      </c>
      <c r="M163" s="938">
        <v>130</v>
      </c>
      <c r="N163" s="938">
        <v>0</v>
      </c>
      <c r="O163" s="938">
        <v>1</v>
      </c>
      <c r="P163" s="938">
        <v>0</v>
      </c>
      <c r="Q163" s="938">
        <v>110</v>
      </c>
      <c r="R163" s="938">
        <v>26</v>
      </c>
      <c r="S163" s="938">
        <v>20</v>
      </c>
      <c r="T163" s="938">
        <v>20</v>
      </c>
      <c r="U163" s="938">
        <v>0</v>
      </c>
      <c r="V163" s="938">
        <v>1</v>
      </c>
      <c r="W163" s="776">
        <f>IF(Kulturen[[#This Row],[Berechnungsschema]]=13,3,IF(Kulturen[[#This Row],[Berechnungsschema]]=6,2,1))</f>
        <v>1</v>
      </c>
      <c r="X163" s="776">
        <f>IF(Kulturen[[#This Row],[fruchtartengruppe]]=13,Kulturen[[#This Row],[NBedarfswert]],MAX(0,Kulturen[[#This Row],[NBedarfswert]]-Kulturen[[#This Row],[Ertrag]]*Kulturen[[#This Row],[Nfix]]))</f>
        <v>110</v>
      </c>
      <c r="Y163" s="776" t="s">
        <v>2127</v>
      </c>
      <c r="Z163" s="776" t="s">
        <v>2127</v>
      </c>
      <c r="AA163" s="776" t="s">
        <v>2127</v>
      </c>
      <c r="AB163" s="776" t="s">
        <v>2127</v>
      </c>
      <c r="AC163" s="776" t="s">
        <v>2127</v>
      </c>
      <c r="AD163" s="776" t="s">
        <v>2127</v>
      </c>
      <c r="AE163" s="776" t="s">
        <v>2127</v>
      </c>
      <c r="AF163" s="776" t="s">
        <v>2127</v>
      </c>
      <c r="AG163" s="776" t="s">
        <v>2127</v>
      </c>
      <c r="AH163" s="776" t="s">
        <v>2127</v>
      </c>
      <c r="AI163" s="776" t="s">
        <v>2127</v>
      </c>
      <c r="AJ163" s="776" t="s">
        <v>2127</v>
      </c>
      <c r="AK163" s="776" t="s">
        <v>2127</v>
      </c>
      <c r="AL163" s="776" t="s">
        <v>2127</v>
      </c>
      <c r="AM163" s="776" t="s">
        <v>2127</v>
      </c>
      <c r="AN163" s="776" t="s">
        <v>2127</v>
      </c>
      <c r="AO163" s="776" t="s">
        <v>2127</v>
      </c>
      <c r="AP163" s="776" t="s">
        <v>2127</v>
      </c>
      <c r="AQ163" s="776" t="s">
        <v>2127</v>
      </c>
      <c r="AR163" s="776" t="s">
        <v>2127</v>
      </c>
      <c r="AS163" s="776" t="s">
        <v>2127</v>
      </c>
      <c r="AT163" s="776" t="s">
        <v>2127</v>
      </c>
      <c r="AU163" s="776" t="s">
        <v>2127</v>
      </c>
      <c r="AV163" s="776" t="s">
        <v>2127</v>
      </c>
      <c r="AW163" s="776" t="s">
        <v>2127</v>
      </c>
      <c r="AX163" s="776" t="s">
        <v>2127</v>
      </c>
      <c r="AY163" s="776" t="s">
        <v>2127</v>
      </c>
      <c r="AZ163" s="776" t="s">
        <v>2127</v>
      </c>
      <c r="BA163" s="776" t="s">
        <v>2127</v>
      </c>
      <c r="BB163" s="776" t="s">
        <v>2127</v>
      </c>
      <c r="BC163" s="776" t="s">
        <v>2127</v>
      </c>
      <c r="BD163" s="776" t="s">
        <v>2127</v>
      </c>
      <c r="BE163" s="776" t="s">
        <v>2127</v>
      </c>
      <c r="BF163" s="776" t="s">
        <v>2127</v>
      </c>
      <c r="BG163" s="776" t="s">
        <v>2127</v>
      </c>
      <c r="BH163" s="776" t="s">
        <v>2127</v>
      </c>
      <c r="BI163" s="776" t="s">
        <v>2127</v>
      </c>
      <c r="BJ163" s="776" t="s">
        <v>2127</v>
      </c>
      <c r="BK163" s="776" t="s">
        <v>2127</v>
      </c>
      <c r="BL163" s="776" t="s">
        <v>2127</v>
      </c>
      <c r="BM163" s="776" t="s">
        <v>2127</v>
      </c>
      <c r="BN163" s="776" t="s">
        <v>2127</v>
      </c>
      <c r="BO163" s="776" t="s">
        <v>2127</v>
      </c>
      <c r="BP163" s="776" t="s">
        <v>2127</v>
      </c>
      <c r="BQ163" s="776" t="s">
        <v>2127</v>
      </c>
      <c r="BR163" s="776" t="s">
        <v>2127</v>
      </c>
      <c r="BS163" s="776" t="s">
        <v>2127</v>
      </c>
      <c r="BT163" s="776" t="s">
        <v>2127</v>
      </c>
      <c r="BU163" s="776" t="s">
        <v>2127</v>
      </c>
      <c r="BV163" s="776" t="s">
        <v>2127</v>
      </c>
      <c r="BW163" s="776" t="s">
        <v>2127</v>
      </c>
      <c r="BX163" s="776" t="s">
        <v>2127</v>
      </c>
      <c r="BY163" s="776" t="s">
        <v>2127</v>
      </c>
      <c r="BZ163" s="776" t="s">
        <v>2127</v>
      </c>
      <c r="CA163" s="776" t="s">
        <v>2127</v>
      </c>
      <c r="CB163" s="776" t="s">
        <v>2127</v>
      </c>
      <c r="CC163" s="776" t="s">
        <v>2127</v>
      </c>
      <c r="CD163" s="776" t="s">
        <v>2127</v>
      </c>
      <c r="CE163" s="776" t="s">
        <v>2127</v>
      </c>
      <c r="CF163" s="776" t="s">
        <v>2127</v>
      </c>
      <c r="CG163" s="776" t="s">
        <v>2127</v>
      </c>
      <c r="CH163" s="776" t="s">
        <v>2127</v>
      </c>
      <c r="CI163" s="776" t="s">
        <v>2127</v>
      </c>
      <c r="CJ163" s="776" t="s">
        <v>2127</v>
      </c>
      <c r="CK163" s="776" t="s">
        <v>2127</v>
      </c>
      <c r="CL163" s="776" t="s">
        <v>2127</v>
      </c>
      <c r="CM163" s="776" t="s">
        <v>2127</v>
      </c>
      <c r="CN163" s="776" t="s">
        <v>2127</v>
      </c>
      <c r="CO163" s="776" t="s">
        <v>2127</v>
      </c>
      <c r="CP163" s="776" t="s">
        <v>2127</v>
      </c>
      <c r="CQ163" s="776" t="s">
        <v>2127</v>
      </c>
      <c r="CR163" s="776" t="s">
        <v>2127</v>
      </c>
      <c r="CS163" s="776" t="s">
        <v>2127</v>
      </c>
      <c r="CT163" s="776" t="s">
        <v>2127</v>
      </c>
      <c r="CU163" s="776" t="s">
        <v>2127</v>
      </c>
      <c r="CV163" s="776" t="s">
        <v>2127</v>
      </c>
      <c r="CW163" s="776" t="s">
        <v>2127</v>
      </c>
      <c r="CX163" s="776" t="s">
        <v>2127</v>
      </c>
      <c r="CY163" s="776" t="s">
        <v>2127</v>
      </c>
      <c r="CZ163" s="776" t="s">
        <v>2127</v>
      </c>
      <c r="DA163" s="776" t="s">
        <v>2127</v>
      </c>
      <c r="DB163" s="776" t="s">
        <v>2127</v>
      </c>
      <c r="DC163" s="776" t="s">
        <v>2127</v>
      </c>
      <c r="DD163" s="776" t="s">
        <v>2127</v>
      </c>
      <c r="DE163" s="776" t="s">
        <v>2127</v>
      </c>
      <c r="DF163" s="776" t="s">
        <v>2127</v>
      </c>
      <c r="DG163" s="776" t="s">
        <v>2127</v>
      </c>
      <c r="DH163" s="776" t="s">
        <v>2127</v>
      </c>
      <c r="DI163" s="776" t="s">
        <v>2127</v>
      </c>
      <c r="DJ163" s="776" t="s">
        <v>2127</v>
      </c>
      <c r="DK163" s="776" t="s">
        <v>2127</v>
      </c>
      <c r="DL163" s="776" t="s">
        <v>2127</v>
      </c>
      <c r="DM163" s="776" t="s">
        <v>2127</v>
      </c>
      <c r="DN163" s="776" t="s">
        <v>2127</v>
      </c>
      <c r="DO163" s="776" t="s">
        <v>2127</v>
      </c>
      <c r="DP163" s="776" t="s">
        <v>2127</v>
      </c>
    </row>
    <row r="164" spans="1:120" x14ac:dyDescent="0.2">
      <c r="A164" s="637" t="s">
        <v>2209</v>
      </c>
      <c r="B164" s="772" t="str" cm="1">
        <f t="array" ref="B164">IFERROR(INDEX(Kulturen[HF],_xlfn.AGGREGATE(15,6,(ROW(Kulturen[Auswahl])-7)/(--(SEARCH("x",Kulturen[Auswahl])&gt;0)),ROW()-7),1),"")</f>
        <v>Kürbis, Speise-</v>
      </c>
      <c r="C164" s="772" t="str">
        <f>IF(Kulturen[[#This Row],[HF]]=$D$373,IF($C$6=0,0,"x"),IF($C$6=0,"x",Vorauswahl!C163))</f>
        <v>x</v>
      </c>
      <c r="D164" s="938" t="s">
        <v>767</v>
      </c>
      <c r="E164" s="938" t="s">
        <v>767</v>
      </c>
      <c r="F164" s="938" t="s">
        <v>850</v>
      </c>
      <c r="G164" s="938">
        <v>12</v>
      </c>
      <c r="H164" s="938">
        <v>8</v>
      </c>
      <c r="I164" s="938">
        <v>1</v>
      </c>
      <c r="J164" s="938">
        <v>12</v>
      </c>
      <c r="K164" s="938">
        <v>0.22900000000000001</v>
      </c>
      <c r="L164" s="938">
        <v>0.23</v>
      </c>
      <c r="M164" s="938">
        <v>80</v>
      </c>
      <c r="N164" s="938">
        <v>0.8</v>
      </c>
      <c r="O164" s="938">
        <v>1</v>
      </c>
      <c r="P164" s="938">
        <v>0</v>
      </c>
      <c r="Q164" s="938">
        <v>85</v>
      </c>
      <c r="R164" s="938">
        <v>16</v>
      </c>
      <c r="S164" s="938">
        <v>20</v>
      </c>
      <c r="T164" s="938">
        <v>20</v>
      </c>
      <c r="U164" s="938">
        <v>0</v>
      </c>
      <c r="V164" s="938">
        <v>1</v>
      </c>
      <c r="W164" s="776">
        <f>IF(Kulturen[[#This Row],[Berechnungsschema]]=13,3,IF(Kulturen[[#This Row],[Berechnungsschema]]=6,2,1))</f>
        <v>1</v>
      </c>
      <c r="X164" s="776">
        <f>IF(Kulturen[[#This Row],[fruchtartengruppe]]=13,Kulturen[[#This Row],[NBedarfswert]],MAX(0,Kulturen[[#This Row],[NBedarfswert]]-Kulturen[[#This Row],[Ertrag]]*Kulturen[[#This Row],[Nfix]]))</f>
        <v>21</v>
      </c>
      <c r="Y164" s="776" t="s">
        <v>2127</v>
      </c>
      <c r="Z164" s="776" t="s">
        <v>2127</v>
      </c>
      <c r="AA164" s="776" t="s">
        <v>2127</v>
      </c>
      <c r="AB164" s="776" t="s">
        <v>2127</v>
      </c>
      <c r="AC164" s="776" t="s">
        <v>2127</v>
      </c>
      <c r="AD164" s="776" t="s">
        <v>2127</v>
      </c>
      <c r="AE164" s="776" t="s">
        <v>2127</v>
      </c>
      <c r="AF164" s="776" t="s">
        <v>2127</v>
      </c>
      <c r="AG164" s="776" t="s">
        <v>2127</v>
      </c>
      <c r="AH164" s="776" t="s">
        <v>2127</v>
      </c>
      <c r="AI164" s="776" t="s">
        <v>2127</v>
      </c>
      <c r="AJ164" s="776" t="s">
        <v>2127</v>
      </c>
      <c r="AK164" s="776" t="s">
        <v>2127</v>
      </c>
      <c r="AL164" s="776" t="s">
        <v>2127</v>
      </c>
      <c r="AM164" s="776" t="s">
        <v>2127</v>
      </c>
      <c r="AN164" s="776" t="s">
        <v>2127</v>
      </c>
      <c r="AO164" s="776" t="s">
        <v>2127</v>
      </c>
      <c r="AP164" s="776" t="s">
        <v>2127</v>
      </c>
      <c r="AQ164" s="776" t="s">
        <v>2127</v>
      </c>
      <c r="AR164" s="776" t="s">
        <v>2127</v>
      </c>
      <c r="AS164" s="776" t="s">
        <v>2127</v>
      </c>
      <c r="AT164" s="776" t="s">
        <v>2127</v>
      </c>
      <c r="AU164" s="776" t="s">
        <v>2127</v>
      </c>
      <c r="AV164" s="776" t="s">
        <v>2127</v>
      </c>
      <c r="AW164" s="776" t="s">
        <v>2127</v>
      </c>
      <c r="AX164" s="776" t="s">
        <v>2127</v>
      </c>
      <c r="AY164" s="776" t="s">
        <v>2127</v>
      </c>
      <c r="AZ164" s="776" t="s">
        <v>2127</v>
      </c>
      <c r="BA164" s="776" t="s">
        <v>2127</v>
      </c>
      <c r="BB164" s="776" t="s">
        <v>2127</v>
      </c>
      <c r="BC164" s="776" t="s">
        <v>2127</v>
      </c>
      <c r="BD164" s="776" t="s">
        <v>2127</v>
      </c>
      <c r="BE164" s="776" t="s">
        <v>2127</v>
      </c>
      <c r="BF164" s="776" t="s">
        <v>2127</v>
      </c>
      <c r="BG164" s="776" t="s">
        <v>2127</v>
      </c>
      <c r="BH164" s="776" t="s">
        <v>2127</v>
      </c>
      <c r="BI164" s="776" t="s">
        <v>2127</v>
      </c>
      <c r="BJ164" s="776" t="s">
        <v>2127</v>
      </c>
      <c r="BK164" s="776" t="s">
        <v>2127</v>
      </c>
      <c r="BL164" s="776" t="s">
        <v>2127</v>
      </c>
      <c r="BM164" s="776" t="s">
        <v>2127</v>
      </c>
      <c r="BN164" s="776" t="s">
        <v>2127</v>
      </c>
      <c r="BO164" s="776" t="s">
        <v>2127</v>
      </c>
      <c r="BP164" s="776" t="s">
        <v>2127</v>
      </c>
      <c r="BQ164" s="776" t="s">
        <v>2127</v>
      </c>
      <c r="BR164" s="776" t="s">
        <v>2127</v>
      </c>
      <c r="BS164" s="776" t="s">
        <v>2127</v>
      </c>
      <c r="BT164" s="776" t="s">
        <v>2127</v>
      </c>
      <c r="BU164" s="776" t="s">
        <v>2127</v>
      </c>
      <c r="BV164" s="776" t="s">
        <v>2127</v>
      </c>
      <c r="BW164" s="776" t="s">
        <v>2127</v>
      </c>
      <c r="BX164" s="776" t="s">
        <v>2127</v>
      </c>
      <c r="BY164" s="776" t="s">
        <v>2127</v>
      </c>
      <c r="BZ164" s="776" t="s">
        <v>2127</v>
      </c>
      <c r="CA164" s="776" t="s">
        <v>2127</v>
      </c>
      <c r="CB164" s="776" t="s">
        <v>2127</v>
      </c>
      <c r="CC164" s="776" t="s">
        <v>2127</v>
      </c>
      <c r="CD164" s="776" t="s">
        <v>2127</v>
      </c>
      <c r="CE164" s="776" t="s">
        <v>2127</v>
      </c>
      <c r="CF164" s="776" t="s">
        <v>2127</v>
      </c>
      <c r="CG164" s="776" t="s">
        <v>2127</v>
      </c>
      <c r="CH164" s="776" t="s">
        <v>2127</v>
      </c>
      <c r="CI164" s="776" t="s">
        <v>2127</v>
      </c>
      <c r="CJ164" s="776" t="s">
        <v>2127</v>
      </c>
      <c r="CK164" s="776" t="s">
        <v>2127</v>
      </c>
      <c r="CL164" s="776" t="s">
        <v>2127</v>
      </c>
      <c r="CM164" s="776" t="s">
        <v>2127</v>
      </c>
      <c r="CN164" s="776" t="s">
        <v>2127</v>
      </c>
      <c r="CO164" s="776" t="s">
        <v>2127</v>
      </c>
      <c r="CP164" s="776" t="s">
        <v>2127</v>
      </c>
      <c r="CQ164" s="776" t="s">
        <v>2127</v>
      </c>
      <c r="CR164" s="776" t="s">
        <v>2127</v>
      </c>
      <c r="CS164" s="776" t="s">
        <v>2127</v>
      </c>
      <c r="CT164" s="776" t="s">
        <v>2127</v>
      </c>
      <c r="CU164" s="776" t="s">
        <v>2127</v>
      </c>
      <c r="CV164" s="776" t="s">
        <v>2127</v>
      </c>
      <c r="CW164" s="776" t="s">
        <v>2127</v>
      </c>
      <c r="CX164" s="776" t="s">
        <v>2127</v>
      </c>
      <c r="CY164" s="776" t="s">
        <v>2127</v>
      </c>
      <c r="CZ164" s="776" t="s">
        <v>2127</v>
      </c>
      <c r="DA164" s="776" t="s">
        <v>2127</v>
      </c>
      <c r="DB164" s="776" t="s">
        <v>2127</v>
      </c>
      <c r="DC164" s="776" t="s">
        <v>2127</v>
      </c>
      <c r="DD164" s="776" t="s">
        <v>2127</v>
      </c>
      <c r="DE164" s="776" t="s">
        <v>2127</v>
      </c>
      <c r="DF164" s="776" t="s">
        <v>2127</v>
      </c>
      <c r="DG164" s="776" t="s">
        <v>2127</v>
      </c>
      <c r="DH164" s="776" t="s">
        <v>2127</v>
      </c>
      <c r="DI164" s="776" t="s">
        <v>2127</v>
      </c>
      <c r="DJ164" s="776" t="s">
        <v>2127</v>
      </c>
      <c r="DK164" s="776" t="s">
        <v>2127</v>
      </c>
      <c r="DL164" s="776" t="s">
        <v>2127</v>
      </c>
      <c r="DM164" s="776" t="s">
        <v>2127</v>
      </c>
      <c r="DN164" s="776" t="s">
        <v>2127</v>
      </c>
      <c r="DO164" s="776" t="s">
        <v>2127</v>
      </c>
      <c r="DP164" s="776" t="s">
        <v>2127</v>
      </c>
    </row>
    <row r="165" spans="1:120" x14ac:dyDescent="0.2">
      <c r="A165" s="637" t="s">
        <v>2210</v>
      </c>
      <c r="B165" s="772" t="str" cm="1">
        <f t="array" ref="B165">IFERROR(INDEX(Kulturen[HF],_xlfn.AGGREGATE(15,6,(ROW(Kulturen[Auswahl])-7)/(--(SEARCH("x",Kulturen[Auswahl])&gt;0)),ROW()-7),1),"")</f>
        <v>Mangold</v>
      </c>
      <c r="C165" s="772" t="str">
        <f>IF(Kulturen[[#This Row],[HF]]=$D$373,IF($C$6=0,0,"x"),IF($C$6=0,"x",Vorauswahl!C164))</f>
        <v>x</v>
      </c>
      <c r="D165" s="938" t="s">
        <v>768</v>
      </c>
      <c r="E165" s="938" t="s">
        <v>768</v>
      </c>
      <c r="F165" s="938" t="s">
        <v>851</v>
      </c>
      <c r="G165" s="938">
        <v>12</v>
      </c>
      <c r="H165" s="938">
        <v>8</v>
      </c>
      <c r="I165" s="938">
        <v>3</v>
      </c>
      <c r="J165" s="938">
        <v>12</v>
      </c>
      <c r="K165" s="938">
        <v>0.16300000000000001</v>
      </c>
      <c r="L165" s="938">
        <v>0.16</v>
      </c>
      <c r="M165" s="938">
        <v>400</v>
      </c>
      <c r="N165" s="938">
        <v>0</v>
      </c>
      <c r="O165" s="938">
        <v>1</v>
      </c>
      <c r="P165" s="938">
        <v>0</v>
      </c>
      <c r="Q165" s="938">
        <v>200</v>
      </c>
      <c r="R165" s="938">
        <v>80</v>
      </c>
      <c r="S165" s="938">
        <v>20</v>
      </c>
      <c r="T165" s="938">
        <v>20</v>
      </c>
      <c r="U165" s="938">
        <v>10</v>
      </c>
      <c r="V165" s="938">
        <v>1</v>
      </c>
      <c r="W165" s="776">
        <f>IF(Kulturen[[#This Row],[Berechnungsschema]]=13,3,IF(Kulturen[[#This Row],[Berechnungsschema]]=6,2,1))</f>
        <v>1</v>
      </c>
      <c r="X165" s="776">
        <f>IF(Kulturen[[#This Row],[fruchtartengruppe]]=13,Kulturen[[#This Row],[NBedarfswert]],MAX(0,Kulturen[[#This Row],[NBedarfswert]]-Kulturen[[#This Row],[Ertrag]]*Kulturen[[#This Row],[Nfix]]))</f>
        <v>200</v>
      </c>
      <c r="Y165" s="776" t="s">
        <v>2127</v>
      </c>
      <c r="Z165" s="776" t="s">
        <v>2127</v>
      </c>
      <c r="AA165" s="776" t="s">
        <v>2127</v>
      </c>
      <c r="AB165" s="776" t="s">
        <v>2127</v>
      </c>
      <c r="AC165" s="776" t="s">
        <v>2127</v>
      </c>
      <c r="AD165" s="776" t="s">
        <v>2127</v>
      </c>
      <c r="AE165" s="776" t="s">
        <v>2127</v>
      </c>
      <c r="AF165" s="776" t="s">
        <v>2127</v>
      </c>
      <c r="AG165" s="776" t="s">
        <v>2127</v>
      </c>
      <c r="AH165" s="776" t="s">
        <v>2127</v>
      </c>
      <c r="AI165" s="776" t="s">
        <v>2127</v>
      </c>
      <c r="AJ165" s="776" t="s">
        <v>2127</v>
      </c>
      <c r="AK165" s="776" t="s">
        <v>2127</v>
      </c>
      <c r="AL165" s="776" t="s">
        <v>2127</v>
      </c>
      <c r="AM165" s="776" t="s">
        <v>2127</v>
      </c>
      <c r="AN165" s="776" t="s">
        <v>2127</v>
      </c>
      <c r="AO165" s="776" t="s">
        <v>2127</v>
      </c>
      <c r="AP165" s="776" t="s">
        <v>2127</v>
      </c>
      <c r="AQ165" s="776" t="s">
        <v>2127</v>
      </c>
      <c r="AR165" s="776" t="s">
        <v>2127</v>
      </c>
      <c r="AS165" s="776" t="s">
        <v>2127</v>
      </c>
      <c r="AT165" s="776" t="s">
        <v>2127</v>
      </c>
      <c r="AU165" s="776" t="s">
        <v>2127</v>
      </c>
      <c r="AV165" s="776" t="s">
        <v>2127</v>
      </c>
      <c r="AW165" s="776" t="s">
        <v>2127</v>
      </c>
      <c r="AX165" s="776" t="s">
        <v>2127</v>
      </c>
      <c r="AY165" s="776" t="s">
        <v>2127</v>
      </c>
      <c r="AZ165" s="776" t="s">
        <v>2127</v>
      </c>
      <c r="BA165" s="776" t="s">
        <v>2127</v>
      </c>
      <c r="BB165" s="776" t="s">
        <v>2127</v>
      </c>
      <c r="BC165" s="776" t="s">
        <v>2127</v>
      </c>
      <c r="BD165" s="776" t="s">
        <v>2127</v>
      </c>
      <c r="BE165" s="776" t="s">
        <v>2127</v>
      </c>
      <c r="BF165" s="776" t="s">
        <v>2127</v>
      </c>
      <c r="BG165" s="776" t="s">
        <v>2127</v>
      </c>
      <c r="BH165" s="776" t="s">
        <v>2127</v>
      </c>
      <c r="BI165" s="776" t="s">
        <v>2127</v>
      </c>
      <c r="BJ165" s="776" t="s">
        <v>2127</v>
      </c>
      <c r="BK165" s="776" t="s">
        <v>2127</v>
      </c>
      <c r="BL165" s="776" t="s">
        <v>2127</v>
      </c>
      <c r="BM165" s="776" t="s">
        <v>2127</v>
      </c>
      <c r="BN165" s="776" t="s">
        <v>2127</v>
      </c>
      <c r="BO165" s="776" t="s">
        <v>2127</v>
      </c>
      <c r="BP165" s="776" t="s">
        <v>2127</v>
      </c>
      <c r="BQ165" s="776" t="s">
        <v>2127</v>
      </c>
      <c r="BR165" s="776" t="s">
        <v>2127</v>
      </c>
      <c r="BS165" s="776" t="s">
        <v>2127</v>
      </c>
      <c r="BT165" s="776" t="s">
        <v>2127</v>
      </c>
      <c r="BU165" s="776" t="s">
        <v>2127</v>
      </c>
      <c r="BV165" s="776" t="s">
        <v>2127</v>
      </c>
      <c r="BW165" s="776" t="s">
        <v>2127</v>
      </c>
      <c r="BX165" s="776" t="s">
        <v>2127</v>
      </c>
      <c r="BY165" s="776" t="s">
        <v>2127</v>
      </c>
      <c r="BZ165" s="776" t="s">
        <v>2127</v>
      </c>
      <c r="CA165" s="776" t="s">
        <v>2127</v>
      </c>
      <c r="CB165" s="776" t="s">
        <v>2127</v>
      </c>
      <c r="CC165" s="776" t="s">
        <v>2127</v>
      </c>
      <c r="CD165" s="776" t="s">
        <v>2127</v>
      </c>
      <c r="CE165" s="776" t="s">
        <v>2127</v>
      </c>
      <c r="CF165" s="776" t="s">
        <v>2127</v>
      </c>
      <c r="CG165" s="776" t="s">
        <v>2127</v>
      </c>
      <c r="CH165" s="776" t="s">
        <v>2127</v>
      </c>
      <c r="CI165" s="776" t="s">
        <v>2127</v>
      </c>
      <c r="CJ165" s="776" t="s">
        <v>2127</v>
      </c>
      <c r="CK165" s="776" t="s">
        <v>2127</v>
      </c>
      <c r="CL165" s="776" t="s">
        <v>2127</v>
      </c>
      <c r="CM165" s="776" t="s">
        <v>2127</v>
      </c>
      <c r="CN165" s="776" t="s">
        <v>2127</v>
      </c>
      <c r="CO165" s="776" t="s">
        <v>2127</v>
      </c>
      <c r="CP165" s="776" t="s">
        <v>2127</v>
      </c>
      <c r="CQ165" s="776" t="s">
        <v>2127</v>
      </c>
      <c r="CR165" s="776" t="s">
        <v>2127</v>
      </c>
      <c r="CS165" s="776" t="s">
        <v>2127</v>
      </c>
      <c r="CT165" s="776" t="s">
        <v>2127</v>
      </c>
      <c r="CU165" s="776" t="s">
        <v>2127</v>
      </c>
      <c r="CV165" s="776" t="s">
        <v>2127</v>
      </c>
      <c r="CW165" s="776" t="s">
        <v>2127</v>
      </c>
      <c r="CX165" s="776" t="s">
        <v>2127</v>
      </c>
      <c r="CY165" s="776" t="s">
        <v>2127</v>
      </c>
      <c r="CZ165" s="776" t="s">
        <v>2127</v>
      </c>
      <c r="DA165" s="776" t="s">
        <v>2127</v>
      </c>
      <c r="DB165" s="776" t="s">
        <v>2127</v>
      </c>
      <c r="DC165" s="776" t="s">
        <v>2127</v>
      </c>
      <c r="DD165" s="776" t="s">
        <v>2127</v>
      </c>
      <c r="DE165" s="776" t="s">
        <v>2127</v>
      </c>
      <c r="DF165" s="776" t="s">
        <v>2127</v>
      </c>
      <c r="DG165" s="776" t="s">
        <v>2127</v>
      </c>
      <c r="DH165" s="776" t="s">
        <v>2127</v>
      </c>
      <c r="DI165" s="776" t="s">
        <v>2127</v>
      </c>
      <c r="DJ165" s="776" t="s">
        <v>2127</v>
      </c>
      <c r="DK165" s="776" t="s">
        <v>2127</v>
      </c>
      <c r="DL165" s="776" t="s">
        <v>2127</v>
      </c>
      <c r="DM165" s="776" t="s">
        <v>2127</v>
      </c>
      <c r="DN165" s="776" t="s">
        <v>2127</v>
      </c>
      <c r="DO165" s="776" t="s">
        <v>2127</v>
      </c>
      <c r="DP165" s="776" t="s">
        <v>2127</v>
      </c>
    </row>
    <row r="166" spans="1:120" x14ac:dyDescent="0.2">
      <c r="A166" s="637" t="s">
        <v>2211</v>
      </c>
      <c r="B166" s="772" t="str" cm="1">
        <f t="array" ref="B166">IFERROR(INDEX(Kulturen[HF],_xlfn.AGGREGATE(15,6,(ROW(Kulturen[Auswahl])-7)/(--(SEARCH("x",Kulturen[Auswahl])&gt;0)),ROW()-7),1),"")</f>
        <v>Melone, Wasser-</v>
      </c>
      <c r="C166" s="772" t="str">
        <f>IF(Kulturen[[#This Row],[HF]]=$D$373,IF($C$6=0,0,"x"),IF($C$6=0,"x",Vorauswahl!C165))</f>
        <v>x</v>
      </c>
      <c r="D166" s="938" t="s">
        <v>769</v>
      </c>
      <c r="E166" s="938" t="s">
        <v>769</v>
      </c>
      <c r="F166" s="938" t="s">
        <v>852</v>
      </c>
      <c r="G166" s="938">
        <v>12</v>
      </c>
      <c r="H166" s="938">
        <v>8</v>
      </c>
      <c r="I166" s="938">
        <v>1</v>
      </c>
      <c r="J166" s="938">
        <v>12</v>
      </c>
      <c r="K166" s="938">
        <v>6.9000000000000006E-2</v>
      </c>
      <c r="L166" s="938">
        <v>7.0000000000000007E-2</v>
      </c>
      <c r="M166" s="938">
        <v>800</v>
      </c>
      <c r="N166" s="938">
        <v>0</v>
      </c>
      <c r="O166" s="938">
        <v>1</v>
      </c>
      <c r="P166" s="938">
        <v>0</v>
      </c>
      <c r="Q166" s="938">
        <v>210</v>
      </c>
      <c r="R166" s="938">
        <v>160</v>
      </c>
      <c r="S166" s="938">
        <v>40</v>
      </c>
      <c r="T166" s="938">
        <v>40</v>
      </c>
      <c r="U166" s="938">
        <v>0</v>
      </c>
      <c r="V166" s="938">
        <v>1</v>
      </c>
      <c r="W166" s="776">
        <f>IF(Kulturen[[#This Row],[Berechnungsschema]]=13,3,IF(Kulturen[[#This Row],[Berechnungsschema]]=6,2,1))</f>
        <v>1</v>
      </c>
      <c r="X166" s="776">
        <f>IF(Kulturen[[#This Row],[fruchtartengruppe]]=13,Kulturen[[#This Row],[NBedarfswert]],MAX(0,Kulturen[[#This Row],[NBedarfswert]]-Kulturen[[#This Row],[Ertrag]]*Kulturen[[#This Row],[Nfix]]))</f>
        <v>210</v>
      </c>
      <c r="Y166" s="776" t="s">
        <v>2127</v>
      </c>
      <c r="Z166" s="776" t="s">
        <v>2127</v>
      </c>
      <c r="AA166" s="776" t="s">
        <v>2127</v>
      </c>
      <c r="AB166" s="776" t="s">
        <v>2127</v>
      </c>
      <c r="AC166" s="776" t="s">
        <v>2127</v>
      </c>
      <c r="AD166" s="776" t="s">
        <v>2127</v>
      </c>
      <c r="AE166" s="776" t="s">
        <v>2127</v>
      </c>
      <c r="AF166" s="776" t="s">
        <v>2127</v>
      </c>
      <c r="AG166" s="776" t="s">
        <v>2127</v>
      </c>
      <c r="AH166" s="776" t="s">
        <v>2127</v>
      </c>
      <c r="AI166" s="776" t="s">
        <v>2127</v>
      </c>
      <c r="AJ166" s="776" t="s">
        <v>2127</v>
      </c>
      <c r="AK166" s="776" t="s">
        <v>2127</v>
      </c>
      <c r="AL166" s="776" t="s">
        <v>2127</v>
      </c>
      <c r="AM166" s="776" t="s">
        <v>2127</v>
      </c>
      <c r="AN166" s="776" t="s">
        <v>2127</v>
      </c>
      <c r="AO166" s="776" t="s">
        <v>2127</v>
      </c>
      <c r="AP166" s="776" t="s">
        <v>2127</v>
      </c>
      <c r="AQ166" s="776" t="s">
        <v>2127</v>
      </c>
      <c r="AR166" s="776" t="s">
        <v>2127</v>
      </c>
      <c r="AS166" s="776" t="s">
        <v>2127</v>
      </c>
      <c r="AT166" s="776" t="s">
        <v>2127</v>
      </c>
      <c r="AU166" s="776" t="s">
        <v>2127</v>
      </c>
      <c r="AV166" s="776" t="s">
        <v>2127</v>
      </c>
      <c r="AW166" s="776" t="s">
        <v>2127</v>
      </c>
      <c r="AX166" s="776" t="s">
        <v>2127</v>
      </c>
      <c r="AY166" s="776" t="s">
        <v>2127</v>
      </c>
      <c r="AZ166" s="776" t="s">
        <v>2127</v>
      </c>
      <c r="BA166" s="776" t="s">
        <v>2127</v>
      </c>
      <c r="BB166" s="776" t="s">
        <v>2127</v>
      </c>
      <c r="BC166" s="776" t="s">
        <v>2127</v>
      </c>
      <c r="BD166" s="776" t="s">
        <v>2127</v>
      </c>
      <c r="BE166" s="776" t="s">
        <v>2127</v>
      </c>
      <c r="BF166" s="776" t="s">
        <v>2127</v>
      </c>
      <c r="BG166" s="776" t="s">
        <v>2127</v>
      </c>
      <c r="BH166" s="776" t="s">
        <v>2127</v>
      </c>
      <c r="BI166" s="776" t="s">
        <v>2127</v>
      </c>
      <c r="BJ166" s="776" t="s">
        <v>2127</v>
      </c>
      <c r="BK166" s="776" t="s">
        <v>2127</v>
      </c>
      <c r="BL166" s="776" t="s">
        <v>2127</v>
      </c>
      <c r="BM166" s="776" t="s">
        <v>2127</v>
      </c>
      <c r="BN166" s="776" t="s">
        <v>2127</v>
      </c>
      <c r="BO166" s="776" t="s">
        <v>2127</v>
      </c>
      <c r="BP166" s="776" t="s">
        <v>2127</v>
      </c>
      <c r="BQ166" s="776" t="s">
        <v>2127</v>
      </c>
      <c r="BR166" s="776" t="s">
        <v>2127</v>
      </c>
      <c r="BS166" s="776" t="s">
        <v>2127</v>
      </c>
      <c r="BT166" s="776" t="s">
        <v>2127</v>
      </c>
      <c r="BU166" s="776" t="s">
        <v>2127</v>
      </c>
      <c r="BV166" s="776" t="s">
        <v>2127</v>
      </c>
      <c r="BW166" s="776" t="s">
        <v>2127</v>
      </c>
      <c r="BX166" s="776" t="s">
        <v>2127</v>
      </c>
      <c r="BY166" s="776" t="s">
        <v>2127</v>
      </c>
      <c r="BZ166" s="776" t="s">
        <v>2127</v>
      </c>
      <c r="CA166" s="776" t="s">
        <v>2127</v>
      </c>
      <c r="CB166" s="776" t="s">
        <v>2127</v>
      </c>
      <c r="CC166" s="776" t="s">
        <v>2127</v>
      </c>
      <c r="CD166" s="776" t="s">
        <v>2127</v>
      </c>
      <c r="CE166" s="776" t="s">
        <v>2127</v>
      </c>
      <c r="CF166" s="776" t="s">
        <v>2127</v>
      </c>
      <c r="CG166" s="776" t="s">
        <v>2127</v>
      </c>
      <c r="CH166" s="776" t="s">
        <v>2127</v>
      </c>
      <c r="CI166" s="776" t="s">
        <v>2127</v>
      </c>
      <c r="CJ166" s="776" t="s">
        <v>2127</v>
      </c>
      <c r="CK166" s="776" t="s">
        <v>2127</v>
      </c>
      <c r="CL166" s="776" t="s">
        <v>2127</v>
      </c>
      <c r="CM166" s="776" t="s">
        <v>2127</v>
      </c>
      <c r="CN166" s="776" t="s">
        <v>2127</v>
      </c>
      <c r="CO166" s="776" t="s">
        <v>2127</v>
      </c>
      <c r="CP166" s="776" t="s">
        <v>2127</v>
      </c>
      <c r="CQ166" s="776" t="s">
        <v>2127</v>
      </c>
      <c r="CR166" s="776" t="s">
        <v>2127</v>
      </c>
      <c r="CS166" s="776" t="s">
        <v>2127</v>
      </c>
      <c r="CT166" s="776" t="s">
        <v>2127</v>
      </c>
      <c r="CU166" s="776" t="s">
        <v>2127</v>
      </c>
      <c r="CV166" s="776" t="s">
        <v>2127</v>
      </c>
      <c r="CW166" s="776" t="s">
        <v>2127</v>
      </c>
      <c r="CX166" s="776" t="s">
        <v>2127</v>
      </c>
      <c r="CY166" s="776" t="s">
        <v>2127</v>
      </c>
      <c r="CZ166" s="776" t="s">
        <v>2127</v>
      </c>
      <c r="DA166" s="776" t="s">
        <v>2127</v>
      </c>
      <c r="DB166" s="776" t="s">
        <v>2127</v>
      </c>
      <c r="DC166" s="776" t="s">
        <v>2127</v>
      </c>
      <c r="DD166" s="776" t="s">
        <v>2127</v>
      </c>
      <c r="DE166" s="776" t="s">
        <v>2127</v>
      </c>
      <c r="DF166" s="776" t="s">
        <v>2127</v>
      </c>
      <c r="DG166" s="776" t="s">
        <v>2127</v>
      </c>
      <c r="DH166" s="776" t="s">
        <v>2127</v>
      </c>
      <c r="DI166" s="776" t="s">
        <v>2127</v>
      </c>
      <c r="DJ166" s="776" t="s">
        <v>2127</v>
      </c>
      <c r="DK166" s="776" t="s">
        <v>2127</v>
      </c>
      <c r="DL166" s="776" t="s">
        <v>2127</v>
      </c>
      <c r="DM166" s="776" t="s">
        <v>2127</v>
      </c>
      <c r="DN166" s="776" t="s">
        <v>2127</v>
      </c>
      <c r="DO166" s="776" t="s">
        <v>2127</v>
      </c>
      <c r="DP166" s="776" t="s">
        <v>2127</v>
      </c>
    </row>
    <row r="167" spans="1:120" x14ac:dyDescent="0.2">
      <c r="A167" s="637"/>
      <c r="B167" s="772" t="str" cm="1">
        <f t="array" ref="B167">IFERROR(INDEX(Kulturen[HF],_xlfn.AGGREGATE(15,6,(ROW(Kulturen[Auswahl])-7)/(--(SEARCH("x",Kulturen[Auswahl])&gt;0)),ROW()-7),1),"")</f>
        <v>Melone, Zucker-, Honig-</v>
      </c>
      <c r="C167" s="772" t="str">
        <f>IF(Kulturen[[#This Row],[HF]]=$D$373,IF($C$6=0,0,"x"),IF($C$6=0,"x",Vorauswahl!C166))</f>
        <v>x</v>
      </c>
      <c r="D167" s="938" t="s">
        <v>1937</v>
      </c>
      <c r="E167" s="938" t="s">
        <v>1937</v>
      </c>
      <c r="F167" s="938" t="s">
        <v>1938</v>
      </c>
      <c r="G167" s="938">
        <v>12</v>
      </c>
      <c r="H167" s="938">
        <v>8</v>
      </c>
      <c r="I167" s="938">
        <v>1</v>
      </c>
      <c r="J167" s="938">
        <v>12</v>
      </c>
      <c r="K167" s="938">
        <v>0.23</v>
      </c>
      <c r="L167" s="938">
        <v>0.23</v>
      </c>
      <c r="M167" s="938">
        <v>80</v>
      </c>
      <c r="N167" s="938">
        <v>0.8</v>
      </c>
      <c r="O167" s="938">
        <v>1</v>
      </c>
      <c r="P167" s="938">
        <v>0</v>
      </c>
      <c r="Q167" s="938">
        <v>85</v>
      </c>
      <c r="R167" s="938">
        <v>16</v>
      </c>
      <c r="S167" s="938">
        <v>20</v>
      </c>
      <c r="T167" s="938">
        <v>20</v>
      </c>
      <c r="U167" s="938">
        <v>0</v>
      </c>
      <c r="V167" s="938">
        <v>1</v>
      </c>
      <c r="W167" s="776">
        <f>IF(Kulturen[[#This Row],[Berechnungsschema]]=13,3,IF(Kulturen[[#This Row],[Berechnungsschema]]=6,2,1))</f>
        <v>1</v>
      </c>
      <c r="X167" s="776">
        <f>IF(Kulturen[[#This Row],[fruchtartengruppe]]=13,Kulturen[[#This Row],[NBedarfswert]],MAX(0,Kulturen[[#This Row],[NBedarfswert]]-Kulturen[[#This Row],[Ertrag]]*Kulturen[[#This Row],[Nfix]]))</f>
        <v>21</v>
      </c>
      <c r="Y167" s="776" t="s">
        <v>2127</v>
      </c>
      <c r="Z167" s="776" t="s">
        <v>2127</v>
      </c>
      <c r="AA167" s="776" t="s">
        <v>2127</v>
      </c>
      <c r="AB167" s="776" t="s">
        <v>2127</v>
      </c>
      <c r="AC167" s="776" t="s">
        <v>2127</v>
      </c>
      <c r="AD167" s="776" t="s">
        <v>2127</v>
      </c>
      <c r="AE167" s="776" t="s">
        <v>2127</v>
      </c>
      <c r="AF167" s="776" t="s">
        <v>2127</v>
      </c>
      <c r="AG167" s="776" t="s">
        <v>2127</v>
      </c>
      <c r="AH167" s="776" t="s">
        <v>2127</v>
      </c>
      <c r="AI167" s="776" t="s">
        <v>2127</v>
      </c>
      <c r="AJ167" s="776" t="s">
        <v>2127</v>
      </c>
      <c r="AK167" s="776" t="s">
        <v>2127</v>
      </c>
      <c r="AL167" s="776" t="s">
        <v>2127</v>
      </c>
      <c r="AM167" s="776" t="s">
        <v>2127</v>
      </c>
      <c r="AN167" s="776" t="s">
        <v>2127</v>
      </c>
      <c r="AO167" s="776" t="s">
        <v>2127</v>
      </c>
      <c r="AP167" s="776" t="s">
        <v>2127</v>
      </c>
      <c r="AQ167" s="776" t="s">
        <v>2127</v>
      </c>
      <c r="AR167" s="776" t="s">
        <v>2127</v>
      </c>
      <c r="AS167" s="776" t="s">
        <v>2127</v>
      </c>
      <c r="AT167" s="776" t="s">
        <v>2127</v>
      </c>
      <c r="AU167" s="776" t="s">
        <v>2127</v>
      </c>
      <c r="AV167" s="776" t="s">
        <v>2127</v>
      </c>
      <c r="AW167" s="776" t="s">
        <v>2127</v>
      </c>
      <c r="AX167" s="776" t="s">
        <v>2127</v>
      </c>
      <c r="AY167" s="776" t="s">
        <v>2127</v>
      </c>
      <c r="AZ167" s="776" t="s">
        <v>2127</v>
      </c>
      <c r="BA167" s="776" t="s">
        <v>2127</v>
      </c>
      <c r="BB167" s="776" t="s">
        <v>2127</v>
      </c>
      <c r="BC167" s="776" t="s">
        <v>2127</v>
      </c>
      <c r="BD167" s="776" t="s">
        <v>2127</v>
      </c>
      <c r="BE167" s="776" t="s">
        <v>2127</v>
      </c>
      <c r="BF167" s="776" t="s">
        <v>2127</v>
      </c>
      <c r="BG167" s="776" t="s">
        <v>2127</v>
      </c>
      <c r="BH167" s="776" t="s">
        <v>2127</v>
      </c>
      <c r="BI167" s="776" t="s">
        <v>2127</v>
      </c>
      <c r="BJ167" s="776" t="s">
        <v>2127</v>
      </c>
      <c r="BK167" s="776" t="s">
        <v>2127</v>
      </c>
      <c r="BL167" s="776" t="s">
        <v>2127</v>
      </c>
      <c r="BM167" s="776" t="s">
        <v>2127</v>
      </c>
      <c r="BN167" s="776" t="s">
        <v>2127</v>
      </c>
      <c r="BO167" s="776" t="s">
        <v>2127</v>
      </c>
      <c r="BP167" s="776" t="s">
        <v>2127</v>
      </c>
      <c r="BQ167" s="776" t="s">
        <v>2127</v>
      </c>
      <c r="BR167" s="776" t="s">
        <v>2127</v>
      </c>
      <c r="BS167" s="776" t="s">
        <v>2127</v>
      </c>
      <c r="BT167" s="776" t="s">
        <v>2127</v>
      </c>
      <c r="BU167" s="776" t="s">
        <v>2127</v>
      </c>
      <c r="BV167" s="776" t="s">
        <v>2127</v>
      </c>
      <c r="BW167" s="776" t="s">
        <v>2127</v>
      </c>
      <c r="BX167" s="776" t="s">
        <v>2127</v>
      </c>
      <c r="BY167" s="776" t="s">
        <v>2127</v>
      </c>
      <c r="BZ167" s="776" t="s">
        <v>2127</v>
      </c>
      <c r="CA167" s="776" t="s">
        <v>2127</v>
      </c>
      <c r="CB167" s="776" t="s">
        <v>2127</v>
      </c>
      <c r="CC167" s="776" t="s">
        <v>2127</v>
      </c>
      <c r="CD167" s="776" t="s">
        <v>2127</v>
      </c>
      <c r="CE167" s="776" t="s">
        <v>2127</v>
      </c>
      <c r="CF167" s="776" t="s">
        <v>2127</v>
      </c>
      <c r="CG167" s="776" t="s">
        <v>2127</v>
      </c>
      <c r="CH167" s="776" t="s">
        <v>2127</v>
      </c>
      <c r="CI167" s="776" t="s">
        <v>2127</v>
      </c>
      <c r="CJ167" s="776" t="s">
        <v>2127</v>
      </c>
      <c r="CK167" s="776" t="s">
        <v>2127</v>
      </c>
      <c r="CL167" s="776" t="s">
        <v>2127</v>
      </c>
      <c r="CM167" s="776" t="s">
        <v>2127</v>
      </c>
      <c r="CN167" s="776" t="s">
        <v>2127</v>
      </c>
      <c r="CO167" s="776" t="s">
        <v>2127</v>
      </c>
      <c r="CP167" s="776" t="s">
        <v>2127</v>
      </c>
      <c r="CQ167" s="776" t="s">
        <v>2127</v>
      </c>
      <c r="CR167" s="776" t="s">
        <v>2127</v>
      </c>
      <c r="CS167" s="776" t="s">
        <v>2127</v>
      </c>
      <c r="CT167" s="776" t="s">
        <v>2127</v>
      </c>
      <c r="CU167" s="776" t="s">
        <v>2127</v>
      </c>
      <c r="CV167" s="776" t="s">
        <v>2127</v>
      </c>
      <c r="CW167" s="776" t="s">
        <v>2127</v>
      </c>
      <c r="CX167" s="776" t="s">
        <v>2127</v>
      </c>
      <c r="CY167" s="776" t="s">
        <v>2127</v>
      </c>
      <c r="CZ167" s="776" t="s">
        <v>2127</v>
      </c>
      <c r="DA167" s="776" t="s">
        <v>2127</v>
      </c>
      <c r="DB167" s="776" t="s">
        <v>2127</v>
      </c>
      <c r="DC167" s="776" t="s">
        <v>2127</v>
      </c>
      <c r="DD167" s="776" t="s">
        <v>2127</v>
      </c>
      <c r="DE167" s="776" t="s">
        <v>2127</v>
      </c>
      <c r="DF167" s="776" t="s">
        <v>2127</v>
      </c>
      <c r="DG167" s="776" t="s">
        <v>2127</v>
      </c>
      <c r="DH167" s="776" t="s">
        <v>2127</v>
      </c>
      <c r="DI167" s="776" t="s">
        <v>2127</v>
      </c>
      <c r="DJ167" s="776" t="s">
        <v>2127</v>
      </c>
      <c r="DK167" s="776" t="s">
        <v>2127</v>
      </c>
      <c r="DL167" s="776" t="s">
        <v>2127</v>
      </c>
      <c r="DM167" s="776" t="s">
        <v>2127</v>
      </c>
      <c r="DN167" s="776" t="s">
        <v>2127</v>
      </c>
      <c r="DO167" s="776" t="s">
        <v>2127</v>
      </c>
      <c r="DP167" s="776" t="s">
        <v>2127</v>
      </c>
    </row>
    <row r="168" spans="1:120" x14ac:dyDescent="0.2">
      <c r="A168" s="637" t="s">
        <v>2212</v>
      </c>
      <c r="B168" s="772" t="str" cm="1">
        <f t="array" ref="B168">IFERROR(INDEX(Kulturen[HF],_xlfn.AGGREGATE(15,6,(ROW(Kulturen[Auswahl])-7)/(--(SEARCH("x",Kulturen[Auswahl])&gt;0)),ROW()-7),1),"")</f>
        <v>Mairüben (mit Laub)</v>
      </c>
      <c r="C168" s="772" t="str">
        <f>IF(Kulturen[[#This Row],[HF]]=$D$373,IF($C$6=0,0,"x"),IF($C$6=0,"x",Vorauswahl!C167))</f>
        <v>x</v>
      </c>
      <c r="D168" s="938" t="s">
        <v>770</v>
      </c>
      <c r="E168" s="938" t="s">
        <v>770</v>
      </c>
      <c r="F168" s="938" t="s">
        <v>853</v>
      </c>
      <c r="G168" s="938">
        <v>12</v>
      </c>
      <c r="H168" s="938">
        <v>8</v>
      </c>
      <c r="I168" s="938">
        <v>3</v>
      </c>
      <c r="J168" s="938">
        <v>12</v>
      </c>
      <c r="K168" s="938">
        <v>6.9000000000000006E-2</v>
      </c>
      <c r="L168" s="938">
        <v>7.0000000000000007E-2</v>
      </c>
      <c r="M168" s="938">
        <v>400</v>
      </c>
      <c r="N168" s="938">
        <v>0</v>
      </c>
      <c r="O168" s="938">
        <v>1</v>
      </c>
      <c r="P168" s="938">
        <v>0</v>
      </c>
      <c r="Q168" s="938">
        <v>200</v>
      </c>
      <c r="R168" s="938">
        <v>80</v>
      </c>
      <c r="S168" s="938">
        <v>20</v>
      </c>
      <c r="T168" s="938">
        <v>20</v>
      </c>
      <c r="U168" s="938">
        <v>0</v>
      </c>
      <c r="V168" s="938">
        <v>1</v>
      </c>
      <c r="W168" s="776">
        <f>IF(Kulturen[[#This Row],[Berechnungsschema]]=13,3,IF(Kulturen[[#This Row],[Berechnungsschema]]=6,2,1))</f>
        <v>1</v>
      </c>
      <c r="X168" s="776">
        <f>IF(Kulturen[[#This Row],[fruchtartengruppe]]=13,Kulturen[[#This Row],[NBedarfswert]],MAX(0,Kulturen[[#This Row],[NBedarfswert]]-Kulturen[[#This Row],[Ertrag]]*Kulturen[[#This Row],[Nfix]]))</f>
        <v>200</v>
      </c>
      <c r="Y168" s="776" t="s">
        <v>2127</v>
      </c>
      <c r="Z168" s="776" t="s">
        <v>2127</v>
      </c>
      <c r="AA168" s="776" t="s">
        <v>2127</v>
      </c>
      <c r="AB168" s="776" t="s">
        <v>2127</v>
      </c>
      <c r="AC168" s="776" t="s">
        <v>2127</v>
      </c>
      <c r="AD168" s="776" t="s">
        <v>2127</v>
      </c>
      <c r="AE168" s="776" t="s">
        <v>2127</v>
      </c>
      <c r="AF168" s="776" t="s">
        <v>2127</v>
      </c>
      <c r="AG168" s="776" t="s">
        <v>2127</v>
      </c>
      <c r="AH168" s="776" t="s">
        <v>2127</v>
      </c>
      <c r="AI168" s="776" t="s">
        <v>2127</v>
      </c>
      <c r="AJ168" s="776" t="s">
        <v>2127</v>
      </c>
      <c r="AK168" s="776" t="s">
        <v>2127</v>
      </c>
      <c r="AL168" s="776" t="s">
        <v>2127</v>
      </c>
      <c r="AM168" s="776" t="s">
        <v>2127</v>
      </c>
      <c r="AN168" s="776" t="s">
        <v>2127</v>
      </c>
      <c r="AO168" s="776" t="s">
        <v>2127</v>
      </c>
      <c r="AP168" s="776" t="s">
        <v>2127</v>
      </c>
      <c r="AQ168" s="776" t="s">
        <v>2127</v>
      </c>
      <c r="AR168" s="776" t="s">
        <v>2127</v>
      </c>
      <c r="AS168" s="776" t="s">
        <v>2127</v>
      </c>
      <c r="AT168" s="776" t="s">
        <v>2127</v>
      </c>
      <c r="AU168" s="776" t="s">
        <v>2127</v>
      </c>
      <c r="AV168" s="776" t="s">
        <v>2127</v>
      </c>
      <c r="AW168" s="776" t="s">
        <v>2127</v>
      </c>
      <c r="AX168" s="776" t="s">
        <v>2127</v>
      </c>
      <c r="AY168" s="776" t="s">
        <v>2127</v>
      </c>
      <c r="AZ168" s="776" t="s">
        <v>2127</v>
      </c>
      <c r="BA168" s="776" t="s">
        <v>2127</v>
      </c>
      <c r="BB168" s="776" t="s">
        <v>2127</v>
      </c>
      <c r="BC168" s="776" t="s">
        <v>2127</v>
      </c>
      <c r="BD168" s="776" t="s">
        <v>2127</v>
      </c>
      <c r="BE168" s="776" t="s">
        <v>2127</v>
      </c>
      <c r="BF168" s="776" t="s">
        <v>2127</v>
      </c>
      <c r="BG168" s="776" t="s">
        <v>2127</v>
      </c>
      <c r="BH168" s="776" t="s">
        <v>2127</v>
      </c>
      <c r="BI168" s="776" t="s">
        <v>2127</v>
      </c>
      <c r="BJ168" s="776" t="s">
        <v>2127</v>
      </c>
      <c r="BK168" s="776" t="s">
        <v>2127</v>
      </c>
      <c r="BL168" s="776" t="s">
        <v>2127</v>
      </c>
      <c r="BM168" s="776" t="s">
        <v>2127</v>
      </c>
      <c r="BN168" s="776" t="s">
        <v>2127</v>
      </c>
      <c r="BO168" s="776" t="s">
        <v>2127</v>
      </c>
      <c r="BP168" s="776" t="s">
        <v>2127</v>
      </c>
      <c r="BQ168" s="776" t="s">
        <v>2127</v>
      </c>
      <c r="BR168" s="776" t="s">
        <v>2127</v>
      </c>
      <c r="BS168" s="776" t="s">
        <v>2127</v>
      </c>
      <c r="BT168" s="776" t="s">
        <v>2127</v>
      </c>
      <c r="BU168" s="776" t="s">
        <v>2127</v>
      </c>
      <c r="BV168" s="776" t="s">
        <v>2127</v>
      </c>
      <c r="BW168" s="776" t="s">
        <v>2127</v>
      </c>
      <c r="BX168" s="776" t="s">
        <v>2127</v>
      </c>
      <c r="BY168" s="776" t="s">
        <v>2127</v>
      </c>
      <c r="BZ168" s="776" t="s">
        <v>2127</v>
      </c>
      <c r="CA168" s="776" t="s">
        <v>2127</v>
      </c>
      <c r="CB168" s="776" t="s">
        <v>2127</v>
      </c>
      <c r="CC168" s="776" t="s">
        <v>2127</v>
      </c>
      <c r="CD168" s="776" t="s">
        <v>2127</v>
      </c>
      <c r="CE168" s="776" t="s">
        <v>2127</v>
      </c>
      <c r="CF168" s="776" t="s">
        <v>2127</v>
      </c>
      <c r="CG168" s="776" t="s">
        <v>2127</v>
      </c>
      <c r="CH168" s="776" t="s">
        <v>2127</v>
      </c>
      <c r="CI168" s="776" t="s">
        <v>2127</v>
      </c>
      <c r="CJ168" s="776" t="s">
        <v>2127</v>
      </c>
      <c r="CK168" s="776" t="s">
        <v>2127</v>
      </c>
      <c r="CL168" s="776" t="s">
        <v>2127</v>
      </c>
      <c r="CM168" s="776" t="s">
        <v>2127</v>
      </c>
      <c r="CN168" s="776" t="s">
        <v>2127</v>
      </c>
      <c r="CO168" s="776" t="s">
        <v>2127</v>
      </c>
      <c r="CP168" s="776" t="s">
        <v>2127</v>
      </c>
      <c r="CQ168" s="776" t="s">
        <v>2127</v>
      </c>
      <c r="CR168" s="776" t="s">
        <v>2127</v>
      </c>
      <c r="CS168" s="776" t="s">
        <v>2127</v>
      </c>
      <c r="CT168" s="776" t="s">
        <v>2127</v>
      </c>
      <c r="CU168" s="776" t="s">
        <v>2127</v>
      </c>
      <c r="CV168" s="776" t="s">
        <v>2127</v>
      </c>
      <c r="CW168" s="776" t="s">
        <v>2127</v>
      </c>
      <c r="CX168" s="776" t="s">
        <v>2127</v>
      </c>
      <c r="CY168" s="776" t="s">
        <v>2127</v>
      </c>
      <c r="CZ168" s="776" t="s">
        <v>2127</v>
      </c>
      <c r="DA168" s="776" t="s">
        <v>2127</v>
      </c>
      <c r="DB168" s="776" t="s">
        <v>2127</v>
      </c>
      <c r="DC168" s="776" t="s">
        <v>2127</v>
      </c>
      <c r="DD168" s="776" t="s">
        <v>2127</v>
      </c>
      <c r="DE168" s="776" t="s">
        <v>2127</v>
      </c>
      <c r="DF168" s="776" t="s">
        <v>2127</v>
      </c>
      <c r="DG168" s="776" t="s">
        <v>2127</v>
      </c>
      <c r="DH168" s="776" t="s">
        <v>2127</v>
      </c>
      <c r="DI168" s="776" t="s">
        <v>2127</v>
      </c>
      <c r="DJ168" s="776" t="s">
        <v>2127</v>
      </c>
      <c r="DK168" s="776" t="s">
        <v>2127</v>
      </c>
      <c r="DL168" s="776" t="s">
        <v>2127</v>
      </c>
      <c r="DM168" s="776" t="s">
        <v>2127</v>
      </c>
      <c r="DN168" s="776" t="s">
        <v>2127</v>
      </c>
      <c r="DO168" s="776" t="s">
        <v>2127</v>
      </c>
      <c r="DP168" s="776" t="s">
        <v>2127</v>
      </c>
    </row>
    <row r="169" spans="1:120" x14ac:dyDescent="0.2">
      <c r="A169" s="637" t="s">
        <v>2213</v>
      </c>
      <c r="B169" s="772" t="str" cm="1">
        <f t="array" ref="B169">IFERROR(INDEX(Kulturen[HF],_xlfn.AGGREGATE(15,6,(ROW(Kulturen[Auswahl])-7)/(--(SEARCH("x",Kulturen[Auswahl])&gt;0)),ROW()-7),1),"")</f>
        <v>Markerbse, früh bis mittelfrüh</v>
      </c>
      <c r="C169" s="772" t="str">
        <f>IF(Kulturen[[#This Row],[HF]]=$D$373,IF($C$6=0,0,"x"),IF($C$6=0,"x",Vorauswahl!C168))</f>
        <v>x</v>
      </c>
      <c r="D169" s="938" t="s">
        <v>771</v>
      </c>
      <c r="E169" s="938" t="s">
        <v>771</v>
      </c>
      <c r="F169" s="938" t="s">
        <v>854</v>
      </c>
      <c r="G169" s="938">
        <v>12</v>
      </c>
      <c r="H169" s="938">
        <v>8</v>
      </c>
      <c r="I169" s="938">
        <v>3</v>
      </c>
      <c r="J169" s="938">
        <v>12</v>
      </c>
      <c r="K169" s="938">
        <v>0.10299999999999999</v>
      </c>
      <c r="L169" s="938">
        <v>0.1</v>
      </c>
      <c r="M169" s="938">
        <v>450</v>
      </c>
      <c r="N169" s="938">
        <v>0</v>
      </c>
      <c r="O169" s="938">
        <v>1</v>
      </c>
      <c r="P169" s="938">
        <v>0</v>
      </c>
      <c r="Q169" s="938">
        <v>230</v>
      </c>
      <c r="R169" s="938">
        <v>90</v>
      </c>
      <c r="S169" s="938">
        <v>20</v>
      </c>
      <c r="T169" s="938">
        <v>20</v>
      </c>
      <c r="U169" s="938">
        <v>10</v>
      </c>
      <c r="V169" s="938">
        <v>1</v>
      </c>
      <c r="W169" s="776">
        <f>IF(Kulturen[[#This Row],[Berechnungsschema]]=13,3,IF(Kulturen[[#This Row],[Berechnungsschema]]=6,2,1))</f>
        <v>1</v>
      </c>
      <c r="X169" s="776">
        <f>IF(Kulturen[[#This Row],[fruchtartengruppe]]=13,Kulturen[[#This Row],[NBedarfswert]],MAX(0,Kulturen[[#This Row],[NBedarfswert]]-Kulturen[[#This Row],[Ertrag]]*Kulturen[[#This Row],[Nfix]]))</f>
        <v>230</v>
      </c>
      <c r="Y169" s="776" t="s">
        <v>2127</v>
      </c>
      <c r="Z169" s="776" t="s">
        <v>2127</v>
      </c>
      <c r="AA169" s="776" t="s">
        <v>2127</v>
      </c>
      <c r="AB169" s="776" t="s">
        <v>2127</v>
      </c>
      <c r="AC169" s="776" t="s">
        <v>2127</v>
      </c>
      <c r="AD169" s="776" t="s">
        <v>2127</v>
      </c>
      <c r="AE169" s="776" t="s">
        <v>2127</v>
      </c>
      <c r="AF169" s="776" t="s">
        <v>2127</v>
      </c>
      <c r="AG169" s="776" t="s">
        <v>2127</v>
      </c>
      <c r="AH169" s="776" t="s">
        <v>2127</v>
      </c>
      <c r="AI169" s="776" t="s">
        <v>2127</v>
      </c>
      <c r="AJ169" s="776" t="s">
        <v>2127</v>
      </c>
      <c r="AK169" s="776" t="s">
        <v>2127</v>
      </c>
      <c r="AL169" s="776" t="s">
        <v>2127</v>
      </c>
      <c r="AM169" s="776" t="s">
        <v>2127</v>
      </c>
      <c r="AN169" s="776" t="s">
        <v>2127</v>
      </c>
      <c r="AO169" s="776" t="s">
        <v>2127</v>
      </c>
      <c r="AP169" s="776" t="s">
        <v>2127</v>
      </c>
      <c r="AQ169" s="776" t="s">
        <v>2127</v>
      </c>
      <c r="AR169" s="776" t="s">
        <v>2127</v>
      </c>
      <c r="AS169" s="776" t="s">
        <v>2127</v>
      </c>
      <c r="AT169" s="776" t="s">
        <v>2127</v>
      </c>
      <c r="AU169" s="776" t="s">
        <v>2127</v>
      </c>
      <c r="AV169" s="776" t="s">
        <v>2127</v>
      </c>
      <c r="AW169" s="776" t="s">
        <v>2127</v>
      </c>
      <c r="AX169" s="776" t="s">
        <v>2127</v>
      </c>
      <c r="AY169" s="776" t="s">
        <v>2127</v>
      </c>
      <c r="AZ169" s="776" t="s">
        <v>2127</v>
      </c>
      <c r="BA169" s="776" t="s">
        <v>2127</v>
      </c>
      <c r="BB169" s="776" t="s">
        <v>2127</v>
      </c>
      <c r="BC169" s="776" t="s">
        <v>2127</v>
      </c>
      <c r="BD169" s="776" t="s">
        <v>2127</v>
      </c>
      <c r="BE169" s="776" t="s">
        <v>2127</v>
      </c>
      <c r="BF169" s="776" t="s">
        <v>2127</v>
      </c>
      <c r="BG169" s="776" t="s">
        <v>2127</v>
      </c>
      <c r="BH169" s="776" t="s">
        <v>2127</v>
      </c>
      <c r="BI169" s="776" t="s">
        <v>2127</v>
      </c>
      <c r="BJ169" s="776" t="s">
        <v>2127</v>
      </c>
      <c r="BK169" s="776" t="s">
        <v>2127</v>
      </c>
      <c r="BL169" s="776" t="s">
        <v>2127</v>
      </c>
      <c r="BM169" s="776" t="s">
        <v>2127</v>
      </c>
      <c r="BN169" s="776" t="s">
        <v>2127</v>
      </c>
      <c r="BO169" s="776" t="s">
        <v>2127</v>
      </c>
      <c r="BP169" s="776" t="s">
        <v>2127</v>
      </c>
      <c r="BQ169" s="776" t="s">
        <v>2127</v>
      </c>
      <c r="BR169" s="776" t="s">
        <v>2127</v>
      </c>
      <c r="BS169" s="776" t="s">
        <v>2127</v>
      </c>
      <c r="BT169" s="776" t="s">
        <v>2127</v>
      </c>
      <c r="BU169" s="776" t="s">
        <v>2127</v>
      </c>
      <c r="BV169" s="776" t="s">
        <v>2127</v>
      </c>
      <c r="BW169" s="776" t="s">
        <v>2127</v>
      </c>
      <c r="BX169" s="776" t="s">
        <v>2127</v>
      </c>
      <c r="BY169" s="776" t="s">
        <v>2127</v>
      </c>
      <c r="BZ169" s="776" t="s">
        <v>2127</v>
      </c>
      <c r="CA169" s="776" t="s">
        <v>2127</v>
      </c>
      <c r="CB169" s="776" t="s">
        <v>2127</v>
      </c>
      <c r="CC169" s="776" t="s">
        <v>2127</v>
      </c>
      <c r="CD169" s="776" t="s">
        <v>2127</v>
      </c>
      <c r="CE169" s="776" t="s">
        <v>2127</v>
      </c>
      <c r="CF169" s="776" t="s">
        <v>2127</v>
      </c>
      <c r="CG169" s="776" t="s">
        <v>2127</v>
      </c>
      <c r="CH169" s="776" t="s">
        <v>2127</v>
      </c>
      <c r="CI169" s="776" t="s">
        <v>2127</v>
      </c>
      <c r="CJ169" s="776" t="s">
        <v>2127</v>
      </c>
      <c r="CK169" s="776" t="s">
        <v>2127</v>
      </c>
      <c r="CL169" s="776" t="s">
        <v>2127</v>
      </c>
      <c r="CM169" s="776" t="s">
        <v>2127</v>
      </c>
      <c r="CN169" s="776" t="s">
        <v>2127</v>
      </c>
      <c r="CO169" s="776" t="s">
        <v>2127</v>
      </c>
      <c r="CP169" s="776" t="s">
        <v>2127</v>
      </c>
      <c r="CQ169" s="776" t="s">
        <v>2127</v>
      </c>
      <c r="CR169" s="776" t="s">
        <v>2127</v>
      </c>
      <c r="CS169" s="776" t="s">
        <v>2127</v>
      </c>
      <c r="CT169" s="776" t="s">
        <v>2127</v>
      </c>
      <c r="CU169" s="776" t="s">
        <v>2127</v>
      </c>
      <c r="CV169" s="776" t="s">
        <v>2127</v>
      </c>
      <c r="CW169" s="776" t="s">
        <v>2127</v>
      </c>
      <c r="CX169" s="776" t="s">
        <v>2127</v>
      </c>
      <c r="CY169" s="776" t="s">
        <v>2127</v>
      </c>
      <c r="CZ169" s="776" t="s">
        <v>2127</v>
      </c>
      <c r="DA169" s="776" t="s">
        <v>2127</v>
      </c>
      <c r="DB169" s="776" t="s">
        <v>2127</v>
      </c>
      <c r="DC169" s="776" t="s">
        <v>2127</v>
      </c>
      <c r="DD169" s="776" t="s">
        <v>2127</v>
      </c>
      <c r="DE169" s="776" t="s">
        <v>2127</v>
      </c>
      <c r="DF169" s="776" t="s">
        <v>2127</v>
      </c>
      <c r="DG169" s="776" t="s">
        <v>2127</v>
      </c>
      <c r="DH169" s="776" t="s">
        <v>2127</v>
      </c>
      <c r="DI169" s="776" t="s">
        <v>2127</v>
      </c>
      <c r="DJ169" s="776" t="s">
        <v>2127</v>
      </c>
      <c r="DK169" s="776" t="s">
        <v>2127</v>
      </c>
      <c r="DL169" s="776" t="s">
        <v>2127</v>
      </c>
      <c r="DM169" s="776" t="s">
        <v>2127</v>
      </c>
      <c r="DN169" s="776" t="s">
        <v>2127</v>
      </c>
      <c r="DO169" s="776" t="s">
        <v>2127</v>
      </c>
      <c r="DP169" s="776" t="s">
        <v>2127</v>
      </c>
    </row>
    <row r="170" spans="1:120" x14ac:dyDescent="0.2">
      <c r="A170" s="637"/>
      <c r="B170" s="772" t="str" cm="1">
        <f t="array" ref="B170">IFERROR(INDEX(Kulturen[HF],_xlfn.AGGREGATE(15,6,(ROW(Kulturen[Auswahl])-7)/(--(SEARCH("x",Kulturen[Auswahl])&gt;0)),ROW()-7),1),"")</f>
        <v>Markerbse, mittelspät</v>
      </c>
      <c r="C170" s="772" t="str">
        <f>IF(Kulturen[[#This Row],[HF]]=$D$373,IF($C$6=0,0,"x"),IF($C$6=0,"x",Vorauswahl!C169))</f>
        <v>x</v>
      </c>
      <c r="D170" s="938" t="s">
        <v>1939</v>
      </c>
      <c r="E170" s="938" t="s">
        <v>1939</v>
      </c>
      <c r="F170" s="938" t="s">
        <v>1940</v>
      </c>
      <c r="G170" s="938">
        <v>12</v>
      </c>
      <c r="H170" s="938">
        <v>8</v>
      </c>
      <c r="I170" s="938">
        <v>1</v>
      </c>
      <c r="J170" s="938">
        <v>12</v>
      </c>
      <c r="K170" s="938">
        <v>0.115</v>
      </c>
      <c r="L170" s="938">
        <v>0.12</v>
      </c>
      <c r="M170" s="938">
        <v>600</v>
      </c>
      <c r="N170" s="938">
        <v>0</v>
      </c>
      <c r="O170" s="938">
        <v>1</v>
      </c>
      <c r="P170" s="938">
        <v>0</v>
      </c>
      <c r="Q170" s="938">
        <v>100</v>
      </c>
      <c r="R170" s="938">
        <v>120</v>
      </c>
      <c r="S170" s="938">
        <v>20</v>
      </c>
      <c r="T170" s="938">
        <v>20</v>
      </c>
      <c r="U170" s="938">
        <v>10</v>
      </c>
      <c r="V170" s="938">
        <v>1</v>
      </c>
      <c r="W170" s="776">
        <f>IF(Kulturen[[#This Row],[Berechnungsschema]]=13,3,IF(Kulturen[[#This Row],[Berechnungsschema]]=6,2,1))</f>
        <v>1</v>
      </c>
      <c r="X170" s="776">
        <f>IF(Kulturen[[#This Row],[fruchtartengruppe]]=13,Kulturen[[#This Row],[NBedarfswert]],MAX(0,Kulturen[[#This Row],[NBedarfswert]]-Kulturen[[#This Row],[Ertrag]]*Kulturen[[#This Row],[Nfix]]))</f>
        <v>100</v>
      </c>
      <c r="Y170" s="776" t="s">
        <v>2127</v>
      </c>
      <c r="Z170" s="776" t="s">
        <v>2127</v>
      </c>
      <c r="AA170" s="776" t="s">
        <v>2127</v>
      </c>
      <c r="AB170" s="776" t="s">
        <v>2127</v>
      </c>
      <c r="AC170" s="776" t="s">
        <v>2127</v>
      </c>
      <c r="AD170" s="776" t="s">
        <v>2127</v>
      </c>
      <c r="AE170" s="776" t="s">
        <v>2127</v>
      </c>
      <c r="AF170" s="776" t="s">
        <v>2127</v>
      </c>
      <c r="AG170" s="776" t="s">
        <v>2127</v>
      </c>
      <c r="AH170" s="776" t="s">
        <v>2127</v>
      </c>
      <c r="AI170" s="776" t="s">
        <v>2127</v>
      </c>
      <c r="AJ170" s="776" t="s">
        <v>2127</v>
      </c>
      <c r="AK170" s="776" t="s">
        <v>2127</v>
      </c>
      <c r="AL170" s="776" t="s">
        <v>2127</v>
      </c>
      <c r="AM170" s="776" t="s">
        <v>2127</v>
      </c>
      <c r="AN170" s="776" t="s">
        <v>2127</v>
      </c>
      <c r="AO170" s="776" t="s">
        <v>2127</v>
      </c>
      <c r="AP170" s="776" t="s">
        <v>2127</v>
      </c>
      <c r="AQ170" s="776" t="s">
        <v>2127</v>
      </c>
      <c r="AR170" s="776" t="s">
        <v>2127</v>
      </c>
      <c r="AS170" s="776" t="s">
        <v>2127</v>
      </c>
      <c r="AT170" s="776" t="s">
        <v>2127</v>
      </c>
      <c r="AU170" s="776" t="s">
        <v>2127</v>
      </c>
      <c r="AV170" s="776" t="s">
        <v>2127</v>
      </c>
      <c r="AW170" s="776" t="s">
        <v>2127</v>
      </c>
      <c r="AX170" s="776" t="s">
        <v>2127</v>
      </c>
      <c r="AY170" s="776" t="s">
        <v>2127</v>
      </c>
      <c r="AZ170" s="776" t="s">
        <v>2127</v>
      </c>
      <c r="BA170" s="776" t="s">
        <v>2127</v>
      </c>
      <c r="BB170" s="776" t="s">
        <v>2127</v>
      </c>
      <c r="BC170" s="776" t="s">
        <v>2127</v>
      </c>
      <c r="BD170" s="776" t="s">
        <v>2127</v>
      </c>
      <c r="BE170" s="776" t="s">
        <v>2127</v>
      </c>
      <c r="BF170" s="776" t="s">
        <v>2127</v>
      </c>
      <c r="BG170" s="776" t="s">
        <v>2127</v>
      </c>
      <c r="BH170" s="776" t="s">
        <v>2127</v>
      </c>
      <c r="BI170" s="776" t="s">
        <v>2127</v>
      </c>
      <c r="BJ170" s="776" t="s">
        <v>2127</v>
      </c>
      <c r="BK170" s="776" t="s">
        <v>2127</v>
      </c>
      <c r="BL170" s="776" t="s">
        <v>2127</v>
      </c>
      <c r="BM170" s="776" t="s">
        <v>2127</v>
      </c>
      <c r="BN170" s="776" t="s">
        <v>2127</v>
      </c>
      <c r="BO170" s="776" t="s">
        <v>2127</v>
      </c>
      <c r="BP170" s="776" t="s">
        <v>2127</v>
      </c>
      <c r="BQ170" s="776" t="s">
        <v>2127</v>
      </c>
      <c r="BR170" s="776" t="s">
        <v>2127</v>
      </c>
      <c r="BS170" s="776" t="s">
        <v>2127</v>
      </c>
      <c r="BT170" s="776" t="s">
        <v>2127</v>
      </c>
      <c r="BU170" s="776" t="s">
        <v>2127</v>
      </c>
      <c r="BV170" s="776" t="s">
        <v>2127</v>
      </c>
      <c r="BW170" s="776" t="s">
        <v>2127</v>
      </c>
      <c r="BX170" s="776" t="s">
        <v>2127</v>
      </c>
      <c r="BY170" s="776" t="s">
        <v>2127</v>
      </c>
      <c r="BZ170" s="776" t="s">
        <v>2127</v>
      </c>
      <c r="CA170" s="776" t="s">
        <v>2127</v>
      </c>
      <c r="CB170" s="776" t="s">
        <v>2127</v>
      </c>
      <c r="CC170" s="776" t="s">
        <v>2127</v>
      </c>
      <c r="CD170" s="776" t="s">
        <v>2127</v>
      </c>
      <c r="CE170" s="776" t="s">
        <v>2127</v>
      </c>
      <c r="CF170" s="776" t="s">
        <v>2127</v>
      </c>
      <c r="CG170" s="776" t="s">
        <v>2127</v>
      </c>
      <c r="CH170" s="776" t="s">
        <v>2127</v>
      </c>
      <c r="CI170" s="776" t="s">
        <v>2127</v>
      </c>
      <c r="CJ170" s="776" t="s">
        <v>2127</v>
      </c>
      <c r="CK170" s="776" t="s">
        <v>2127</v>
      </c>
      <c r="CL170" s="776" t="s">
        <v>2127</v>
      </c>
      <c r="CM170" s="776" t="s">
        <v>2127</v>
      </c>
      <c r="CN170" s="776" t="s">
        <v>2127</v>
      </c>
      <c r="CO170" s="776" t="s">
        <v>2127</v>
      </c>
      <c r="CP170" s="776" t="s">
        <v>2127</v>
      </c>
      <c r="CQ170" s="776" t="s">
        <v>2127</v>
      </c>
      <c r="CR170" s="776" t="s">
        <v>2127</v>
      </c>
      <c r="CS170" s="776" t="s">
        <v>2127</v>
      </c>
      <c r="CT170" s="776" t="s">
        <v>2127</v>
      </c>
      <c r="CU170" s="776" t="s">
        <v>2127</v>
      </c>
      <c r="CV170" s="776" t="s">
        <v>2127</v>
      </c>
      <c r="CW170" s="776" t="s">
        <v>2127</v>
      </c>
      <c r="CX170" s="776" t="s">
        <v>2127</v>
      </c>
      <c r="CY170" s="776" t="s">
        <v>2127</v>
      </c>
      <c r="CZ170" s="776" t="s">
        <v>2127</v>
      </c>
      <c r="DA170" s="776" t="s">
        <v>2127</v>
      </c>
      <c r="DB170" s="776" t="s">
        <v>2127</v>
      </c>
      <c r="DC170" s="776" t="s">
        <v>2127</v>
      </c>
      <c r="DD170" s="776" t="s">
        <v>2127</v>
      </c>
      <c r="DE170" s="776" t="s">
        <v>2127</v>
      </c>
      <c r="DF170" s="776" t="s">
        <v>2127</v>
      </c>
      <c r="DG170" s="776" t="s">
        <v>2127</v>
      </c>
      <c r="DH170" s="776" t="s">
        <v>2127</v>
      </c>
      <c r="DI170" s="776" t="s">
        <v>2127</v>
      </c>
      <c r="DJ170" s="776" t="s">
        <v>2127</v>
      </c>
      <c r="DK170" s="776" t="s">
        <v>2127</v>
      </c>
      <c r="DL170" s="776" t="s">
        <v>2127</v>
      </c>
      <c r="DM170" s="776" t="s">
        <v>2127</v>
      </c>
      <c r="DN170" s="776" t="s">
        <v>2127</v>
      </c>
      <c r="DO170" s="776" t="s">
        <v>2127</v>
      </c>
      <c r="DP170" s="776" t="s">
        <v>2127</v>
      </c>
    </row>
    <row r="171" spans="1:120" x14ac:dyDescent="0.2">
      <c r="A171" s="637" t="s">
        <v>2214</v>
      </c>
      <c r="B171" s="772" t="str" cm="1">
        <f t="array" ref="B171">IFERROR(INDEX(Kulturen[HF],_xlfn.AGGREGATE(15,6,(ROW(Kulturen[Auswahl])-7)/(--(SEARCH("x",Kulturen[Auswahl])&gt;0)),ROW()-7),1),"")</f>
        <v>Möhren, Bund-</v>
      </c>
      <c r="C171" s="772" t="str">
        <f>IF(Kulturen[[#This Row],[HF]]=$D$373,IF($C$6=0,0,"x"),IF($C$6=0,"x",Vorauswahl!C170))</f>
        <v>x</v>
      </c>
      <c r="D171" s="938" t="s">
        <v>772</v>
      </c>
      <c r="E171" s="938" t="s">
        <v>772</v>
      </c>
      <c r="F171" s="938" t="s">
        <v>855</v>
      </c>
      <c r="G171" s="938">
        <v>12</v>
      </c>
      <c r="H171" s="938">
        <v>8</v>
      </c>
      <c r="I171" s="938">
        <v>3</v>
      </c>
      <c r="J171" s="938">
        <v>12</v>
      </c>
      <c r="K171" s="938">
        <v>6.9000000000000006E-2</v>
      </c>
      <c r="L171" s="938">
        <v>7.0000000000000007E-2</v>
      </c>
      <c r="M171" s="938">
        <v>500</v>
      </c>
      <c r="N171" s="938">
        <v>0</v>
      </c>
      <c r="O171" s="938">
        <v>1</v>
      </c>
      <c r="P171" s="938">
        <v>0</v>
      </c>
      <c r="Q171" s="938">
        <v>150</v>
      </c>
      <c r="R171" s="938">
        <v>100</v>
      </c>
      <c r="S171" s="938">
        <v>20</v>
      </c>
      <c r="T171" s="938">
        <v>20</v>
      </c>
      <c r="U171" s="938">
        <v>0</v>
      </c>
      <c r="V171" s="938">
        <v>1</v>
      </c>
      <c r="W171" s="776">
        <f>IF(Kulturen[[#This Row],[Berechnungsschema]]=13,3,IF(Kulturen[[#This Row],[Berechnungsschema]]=6,2,1))</f>
        <v>1</v>
      </c>
      <c r="X171" s="776">
        <f>IF(Kulturen[[#This Row],[fruchtartengruppe]]=13,Kulturen[[#This Row],[NBedarfswert]],MAX(0,Kulturen[[#This Row],[NBedarfswert]]-Kulturen[[#This Row],[Ertrag]]*Kulturen[[#This Row],[Nfix]]))</f>
        <v>150</v>
      </c>
      <c r="Y171" s="776" t="s">
        <v>2127</v>
      </c>
      <c r="Z171" s="776" t="s">
        <v>2127</v>
      </c>
      <c r="AA171" s="776" t="s">
        <v>2127</v>
      </c>
      <c r="AB171" s="776" t="s">
        <v>2127</v>
      </c>
      <c r="AC171" s="776" t="s">
        <v>2127</v>
      </c>
      <c r="AD171" s="776" t="s">
        <v>2127</v>
      </c>
      <c r="AE171" s="776" t="s">
        <v>2127</v>
      </c>
      <c r="AF171" s="776" t="s">
        <v>2127</v>
      </c>
      <c r="AG171" s="776" t="s">
        <v>2127</v>
      </c>
      <c r="AH171" s="776" t="s">
        <v>2127</v>
      </c>
      <c r="AI171" s="776" t="s">
        <v>2127</v>
      </c>
      <c r="AJ171" s="776" t="s">
        <v>2127</v>
      </c>
      <c r="AK171" s="776" t="s">
        <v>2127</v>
      </c>
      <c r="AL171" s="776" t="s">
        <v>2127</v>
      </c>
      <c r="AM171" s="776" t="s">
        <v>2127</v>
      </c>
      <c r="AN171" s="776" t="s">
        <v>2127</v>
      </c>
      <c r="AO171" s="776" t="s">
        <v>2127</v>
      </c>
      <c r="AP171" s="776" t="s">
        <v>2127</v>
      </c>
      <c r="AQ171" s="776" t="s">
        <v>2127</v>
      </c>
      <c r="AR171" s="776" t="s">
        <v>2127</v>
      </c>
      <c r="AS171" s="776" t="s">
        <v>2127</v>
      </c>
      <c r="AT171" s="776" t="s">
        <v>2127</v>
      </c>
      <c r="AU171" s="776" t="s">
        <v>2127</v>
      </c>
      <c r="AV171" s="776" t="s">
        <v>2127</v>
      </c>
      <c r="AW171" s="776" t="s">
        <v>2127</v>
      </c>
      <c r="AX171" s="776" t="s">
        <v>2127</v>
      </c>
      <c r="AY171" s="776" t="s">
        <v>2127</v>
      </c>
      <c r="AZ171" s="776" t="s">
        <v>2127</v>
      </c>
      <c r="BA171" s="776" t="s">
        <v>2127</v>
      </c>
      <c r="BB171" s="776" t="s">
        <v>2127</v>
      </c>
      <c r="BC171" s="776" t="s">
        <v>2127</v>
      </c>
      <c r="BD171" s="776" t="s">
        <v>2127</v>
      </c>
      <c r="BE171" s="776" t="s">
        <v>2127</v>
      </c>
      <c r="BF171" s="776" t="s">
        <v>2127</v>
      </c>
      <c r="BG171" s="776" t="s">
        <v>2127</v>
      </c>
      <c r="BH171" s="776" t="s">
        <v>2127</v>
      </c>
      <c r="BI171" s="776" t="s">
        <v>2127</v>
      </c>
      <c r="BJ171" s="776" t="s">
        <v>2127</v>
      </c>
      <c r="BK171" s="776" t="s">
        <v>2127</v>
      </c>
      <c r="BL171" s="776" t="s">
        <v>2127</v>
      </c>
      <c r="BM171" s="776" t="s">
        <v>2127</v>
      </c>
      <c r="BN171" s="776" t="s">
        <v>2127</v>
      </c>
      <c r="BO171" s="776" t="s">
        <v>2127</v>
      </c>
      <c r="BP171" s="776" t="s">
        <v>2127</v>
      </c>
      <c r="BQ171" s="776" t="s">
        <v>2127</v>
      </c>
      <c r="BR171" s="776" t="s">
        <v>2127</v>
      </c>
      <c r="BS171" s="776" t="s">
        <v>2127</v>
      </c>
      <c r="BT171" s="776" t="s">
        <v>2127</v>
      </c>
      <c r="BU171" s="776" t="s">
        <v>2127</v>
      </c>
      <c r="BV171" s="776" t="s">
        <v>2127</v>
      </c>
      <c r="BW171" s="776" t="s">
        <v>2127</v>
      </c>
      <c r="BX171" s="776" t="s">
        <v>2127</v>
      </c>
      <c r="BY171" s="776" t="s">
        <v>2127</v>
      </c>
      <c r="BZ171" s="776" t="s">
        <v>2127</v>
      </c>
      <c r="CA171" s="776" t="s">
        <v>2127</v>
      </c>
      <c r="CB171" s="776" t="s">
        <v>2127</v>
      </c>
      <c r="CC171" s="776" t="s">
        <v>2127</v>
      </c>
      <c r="CD171" s="776" t="s">
        <v>2127</v>
      </c>
      <c r="CE171" s="776" t="s">
        <v>2127</v>
      </c>
      <c r="CF171" s="776" t="s">
        <v>2127</v>
      </c>
      <c r="CG171" s="776" t="s">
        <v>2127</v>
      </c>
      <c r="CH171" s="776" t="s">
        <v>2127</v>
      </c>
      <c r="CI171" s="776" t="s">
        <v>2127</v>
      </c>
      <c r="CJ171" s="776" t="s">
        <v>2127</v>
      </c>
      <c r="CK171" s="776" t="s">
        <v>2127</v>
      </c>
      <c r="CL171" s="776" t="s">
        <v>2127</v>
      </c>
      <c r="CM171" s="776" t="s">
        <v>2127</v>
      </c>
      <c r="CN171" s="776" t="s">
        <v>2127</v>
      </c>
      <c r="CO171" s="776" t="s">
        <v>2127</v>
      </c>
      <c r="CP171" s="776" t="s">
        <v>2127</v>
      </c>
      <c r="CQ171" s="776" t="s">
        <v>2127</v>
      </c>
      <c r="CR171" s="776" t="s">
        <v>2127</v>
      </c>
      <c r="CS171" s="776" t="s">
        <v>2127</v>
      </c>
      <c r="CT171" s="776" t="s">
        <v>2127</v>
      </c>
      <c r="CU171" s="776" t="s">
        <v>2127</v>
      </c>
      <c r="CV171" s="776" t="s">
        <v>2127</v>
      </c>
      <c r="CW171" s="776" t="s">
        <v>2127</v>
      </c>
      <c r="CX171" s="776" t="s">
        <v>2127</v>
      </c>
      <c r="CY171" s="776" t="s">
        <v>2127</v>
      </c>
      <c r="CZ171" s="776" t="s">
        <v>2127</v>
      </c>
      <c r="DA171" s="776" t="s">
        <v>2127</v>
      </c>
      <c r="DB171" s="776" t="s">
        <v>2127</v>
      </c>
      <c r="DC171" s="776" t="s">
        <v>2127</v>
      </c>
      <c r="DD171" s="776" t="s">
        <v>2127</v>
      </c>
      <c r="DE171" s="776" t="s">
        <v>2127</v>
      </c>
      <c r="DF171" s="776" t="s">
        <v>2127</v>
      </c>
      <c r="DG171" s="776" t="s">
        <v>2127</v>
      </c>
      <c r="DH171" s="776" t="s">
        <v>2127</v>
      </c>
      <c r="DI171" s="776" t="s">
        <v>2127</v>
      </c>
      <c r="DJ171" s="776" t="s">
        <v>2127</v>
      </c>
      <c r="DK171" s="776" t="s">
        <v>2127</v>
      </c>
      <c r="DL171" s="776" t="s">
        <v>2127</v>
      </c>
      <c r="DM171" s="776" t="s">
        <v>2127</v>
      </c>
      <c r="DN171" s="776" t="s">
        <v>2127</v>
      </c>
      <c r="DO171" s="776" t="s">
        <v>2127</v>
      </c>
      <c r="DP171" s="776" t="s">
        <v>2127</v>
      </c>
    </row>
    <row r="172" spans="1:120" x14ac:dyDescent="0.2">
      <c r="A172" s="637"/>
      <c r="B172" s="772" t="str" cm="1">
        <f t="array" ref="B172">IFERROR(INDEX(Kulturen[HF],_xlfn.AGGREGATE(15,6,(ROW(Kulturen[Auswahl])-7)/(--(SEARCH("x",Kulturen[Auswahl])&gt;0)),ROW()-7),1),"")</f>
        <v>Möhren, Industrie-</v>
      </c>
      <c r="C172" s="772" t="str">
        <f>IF(Kulturen[[#This Row],[HF]]=$D$373,IF($C$6=0,0,"x"),IF($C$6=0,"x",Vorauswahl!C171))</f>
        <v>x</v>
      </c>
      <c r="D172" s="938" t="s">
        <v>1941</v>
      </c>
      <c r="E172" s="938" t="s">
        <v>1941</v>
      </c>
      <c r="F172" s="938" t="s">
        <v>1942</v>
      </c>
      <c r="G172" s="938">
        <v>12</v>
      </c>
      <c r="H172" s="938">
        <v>8</v>
      </c>
      <c r="I172" s="938">
        <v>1</v>
      </c>
      <c r="J172" s="938">
        <v>12</v>
      </c>
      <c r="K172" s="938">
        <v>0.20599999999999999</v>
      </c>
      <c r="L172" s="938">
        <v>0.21</v>
      </c>
      <c r="M172" s="938">
        <v>300</v>
      </c>
      <c r="N172" s="938">
        <v>0</v>
      </c>
      <c r="O172" s="938">
        <v>1</v>
      </c>
      <c r="P172" s="938">
        <v>0</v>
      </c>
      <c r="Q172" s="938">
        <v>140</v>
      </c>
      <c r="R172" s="938">
        <v>60</v>
      </c>
      <c r="S172" s="938">
        <v>20</v>
      </c>
      <c r="T172" s="938">
        <v>20</v>
      </c>
      <c r="U172" s="938">
        <v>0</v>
      </c>
      <c r="V172" s="938">
        <v>1</v>
      </c>
      <c r="W172" s="776">
        <f>IF(Kulturen[[#This Row],[Berechnungsschema]]=13,3,IF(Kulturen[[#This Row],[Berechnungsschema]]=6,2,1))</f>
        <v>1</v>
      </c>
      <c r="X172" s="776">
        <f>IF(Kulturen[[#This Row],[fruchtartengruppe]]=13,Kulturen[[#This Row],[NBedarfswert]],MAX(0,Kulturen[[#This Row],[NBedarfswert]]-Kulturen[[#This Row],[Ertrag]]*Kulturen[[#This Row],[Nfix]]))</f>
        <v>140</v>
      </c>
      <c r="Y172" s="776" t="s">
        <v>2127</v>
      </c>
      <c r="Z172" s="776" t="s">
        <v>2127</v>
      </c>
      <c r="AA172" s="776" t="s">
        <v>2127</v>
      </c>
      <c r="AB172" s="776" t="s">
        <v>2127</v>
      </c>
      <c r="AC172" s="776" t="s">
        <v>2127</v>
      </c>
      <c r="AD172" s="776" t="s">
        <v>2127</v>
      </c>
      <c r="AE172" s="776" t="s">
        <v>2127</v>
      </c>
      <c r="AF172" s="776" t="s">
        <v>2127</v>
      </c>
      <c r="AG172" s="776" t="s">
        <v>2127</v>
      </c>
      <c r="AH172" s="776" t="s">
        <v>2127</v>
      </c>
      <c r="AI172" s="776" t="s">
        <v>2127</v>
      </c>
      <c r="AJ172" s="776" t="s">
        <v>2127</v>
      </c>
      <c r="AK172" s="776" t="s">
        <v>2127</v>
      </c>
      <c r="AL172" s="776" t="s">
        <v>2127</v>
      </c>
      <c r="AM172" s="776" t="s">
        <v>2127</v>
      </c>
      <c r="AN172" s="776" t="s">
        <v>2127</v>
      </c>
      <c r="AO172" s="776" t="s">
        <v>2127</v>
      </c>
      <c r="AP172" s="776" t="s">
        <v>2127</v>
      </c>
      <c r="AQ172" s="776" t="s">
        <v>2127</v>
      </c>
      <c r="AR172" s="776" t="s">
        <v>2127</v>
      </c>
      <c r="AS172" s="776" t="s">
        <v>2127</v>
      </c>
      <c r="AT172" s="776" t="s">
        <v>2127</v>
      </c>
      <c r="AU172" s="776" t="s">
        <v>2127</v>
      </c>
      <c r="AV172" s="776" t="s">
        <v>2127</v>
      </c>
      <c r="AW172" s="776" t="s">
        <v>2127</v>
      </c>
      <c r="AX172" s="776" t="s">
        <v>2127</v>
      </c>
      <c r="AY172" s="776" t="s">
        <v>2127</v>
      </c>
      <c r="AZ172" s="776" t="s">
        <v>2127</v>
      </c>
      <c r="BA172" s="776" t="s">
        <v>2127</v>
      </c>
      <c r="BB172" s="776" t="s">
        <v>2127</v>
      </c>
      <c r="BC172" s="776" t="s">
        <v>2127</v>
      </c>
      <c r="BD172" s="776" t="s">
        <v>2127</v>
      </c>
      <c r="BE172" s="776" t="s">
        <v>2127</v>
      </c>
      <c r="BF172" s="776" t="s">
        <v>2127</v>
      </c>
      <c r="BG172" s="776" t="s">
        <v>2127</v>
      </c>
      <c r="BH172" s="776" t="s">
        <v>2127</v>
      </c>
      <c r="BI172" s="776" t="s">
        <v>2127</v>
      </c>
      <c r="BJ172" s="776" t="s">
        <v>2127</v>
      </c>
      <c r="BK172" s="776" t="s">
        <v>2127</v>
      </c>
      <c r="BL172" s="776" t="s">
        <v>2127</v>
      </c>
      <c r="BM172" s="776" t="s">
        <v>2127</v>
      </c>
      <c r="BN172" s="776" t="s">
        <v>2127</v>
      </c>
      <c r="BO172" s="776" t="s">
        <v>2127</v>
      </c>
      <c r="BP172" s="776" t="s">
        <v>2127</v>
      </c>
      <c r="BQ172" s="776" t="s">
        <v>2127</v>
      </c>
      <c r="BR172" s="776" t="s">
        <v>2127</v>
      </c>
      <c r="BS172" s="776" t="s">
        <v>2127</v>
      </c>
      <c r="BT172" s="776" t="s">
        <v>2127</v>
      </c>
      <c r="BU172" s="776" t="s">
        <v>2127</v>
      </c>
      <c r="BV172" s="776" t="s">
        <v>2127</v>
      </c>
      <c r="BW172" s="776" t="s">
        <v>2127</v>
      </c>
      <c r="BX172" s="776" t="s">
        <v>2127</v>
      </c>
      <c r="BY172" s="776" t="s">
        <v>2127</v>
      </c>
      <c r="BZ172" s="776" t="s">
        <v>2127</v>
      </c>
      <c r="CA172" s="776" t="s">
        <v>2127</v>
      </c>
      <c r="CB172" s="776" t="s">
        <v>2127</v>
      </c>
      <c r="CC172" s="776" t="s">
        <v>2127</v>
      </c>
      <c r="CD172" s="776" t="s">
        <v>2127</v>
      </c>
      <c r="CE172" s="776" t="s">
        <v>2127</v>
      </c>
      <c r="CF172" s="776" t="s">
        <v>2127</v>
      </c>
      <c r="CG172" s="776" t="s">
        <v>2127</v>
      </c>
      <c r="CH172" s="776" t="s">
        <v>2127</v>
      </c>
      <c r="CI172" s="776" t="s">
        <v>2127</v>
      </c>
      <c r="CJ172" s="776" t="s">
        <v>2127</v>
      </c>
      <c r="CK172" s="776" t="s">
        <v>2127</v>
      </c>
      <c r="CL172" s="776" t="s">
        <v>2127</v>
      </c>
      <c r="CM172" s="776" t="s">
        <v>2127</v>
      </c>
      <c r="CN172" s="776" t="s">
        <v>2127</v>
      </c>
      <c r="CO172" s="776" t="s">
        <v>2127</v>
      </c>
      <c r="CP172" s="776" t="s">
        <v>2127</v>
      </c>
      <c r="CQ172" s="776" t="s">
        <v>2127</v>
      </c>
      <c r="CR172" s="776" t="s">
        <v>2127</v>
      </c>
      <c r="CS172" s="776" t="s">
        <v>2127</v>
      </c>
      <c r="CT172" s="776" t="s">
        <v>2127</v>
      </c>
      <c r="CU172" s="776" t="s">
        <v>2127</v>
      </c>
      <c r="CV172" s="776" t="s">
        <v>2127</v>
      </c>
      <c r="CW172" s="776" t="s">
        <v>2127</v>
      </c>
      <c r="CX172" s="776" t="s">
        <v>2127</v>
      </c>
      <c r="CY172" s="776" t="s">
        <v>2127</v>
      </c>
      <c r="CZ172" s="776" t="s">
        <v>2127</v>
      </c>
      <c r="DA172" s="776" t="s">
        <v>2127</v>
      </c>
      <c r="DB172" s="776" t="s">
        <v>2127</v>
      </c>
      <c r="DC172" s="776" t="s">
        <v>2127</v>
      </c>
      <c r="DD172" s="776" t="s">
        <v>2127</v>
      </c>
      <c r="DE172" s="776" t="s">
        <v>2127</v>
      </c>
      <c r="DF172" s="776" t="s">
        <v>2127</v>
      </c>
      <c r="DG172" s="776" t="s">
        <v>2127</v>
      </c>
      <c r="DH172" s="776" t="s">
        <v>2127</v>
      </c>
      <c r="DI172" s="776" t="s">
        <v>2127</v>
      </c>
      <c r="DJ172" s="776" t="s">
        <v>2127</v>
      </c>
      <c r="DK172" s="776" t="s">
        <v>2127</v>
      </c>
      <c r="DL172" s="776" t="s">
        <v>2127</v>
      </c>
      <c r="DM172" s="776" t="s">
        <v>2127</v>
      </c>
      <c r="DN172" s="776" t="s">
        <v>2127</v>
      </c>
      <c r="DO172" s="776" t="s">
        <v>2127</v>
      </c>
      <c r="DP172" s="776" t="s">
        <v>2127</v>
      </c>
    </row>
    <row r="173" spans="1:120" x14ac:dyDescent="0.2">
      <c r="A173" s="637" t="s">
        <v>2215</v>
      </c>
      <c r="B173" s="772" t="str" cm="1">
        <f t="array" ref="B173">IFERROR(INDEX(Kulturen[HF],_xlfn.AGGREGATE(15,6,(ROW(Kulturen[Auswahl])-7)/(--(SEARCH("x",Kulturen[Auswahl])&gt;0)),ROW()-7),1),"")</f>
        <v>Möhren, Wasch-</v>
      </c>
      <c r="C173" s="772" t="str">
        <f>IF(Kulturen[[#This Row],[HF]]=$D$373,IF($C$6=0,0,"x"),IF($C$6=0,"x",Vorauswahl!C172))</f>
        <v>x</v>
      </c>
      <c r="D173" s="938" t="s">
        <v>773</v>
      </c>
      <c r="E173" s="938" t="s">
        <v>773</v>
      </c>
      <c r="F173" s="938" t="s">
        <v>856</v>
      </c>
      <c r="G173" s="938">
        <v>12</v>
      </c>
      <c r="H173" s="938">
        <v>8</v>
      </c>
      <c r="I173" s="938">
        <v>1</v>
      </c>
      <c r="J173" s="938">
        <v>12</v>
      </c>
      <c r="K173" s="938">
        <v>2.9</v>
      </c>
      <c r="L173" s="938">
        <v>2.9</v>
      </c>
      <c r="M173" s="938">
        <v>7</v>
      </c>
      <c r="N173" s="938">
        <v>0</v>
      </c>
      <c r="O173" s="938">
        <v>1</v>
      </c>
      <c r="P173" s="938">
        <v>0</v>
      </c>
      <c r="Q173" s="938">
        <v>90</v>
      </c>
      <c r="R173" s="938">
        <v>1.4</v>
      </c>
      <c r="S173" s="938">
        <v>20</v>
      </c>
      <c r="T173" s="938">
        <v>20</v>
      </c>
      <c r="U173" s="938">
        <v>0</v>
      </c>
      <c r="V173" s="938">
        <v>1</v>
      </c>
      <c r="W173" s="776">
        <f>IF(Kulturen[[#This Row],[Berechnungsschema]]=13,3,IF(Kulturen[[#This Row],[Berechnungsschema]]=6,2,1))</f>
        <v>1</v>
      </c>
      <c r="X173" s="776">
        <f>IF(Kulturen[[#This Row],[fruchtartengruppe]]=13,Kulturen[[#This Row],[NBedarfswert]],MAX(0,Kulturen[[#This Row],[NBedarfswert]]-Kulturen[[#This Row],[Ertrag]]*Kulturen[[#This Row],[Nfix]]))</f>
        <v>90</v>
      </c>
      <c r="Y173" s="776" t="s">
        <v>2127</v>
      </c>
      <c r="Z173" s="776" t="s">
        <v>2127</v>
      </c>
      <c r="AA173" s="776" t="s">
        <v>2127</v>
      </c>
      <c r="AB173" s="776" t="s">
        <v>2127</v>
      </c>
      <c r="AC173" s="776" t="s">
        <v>2127</v>
      </c>
      <c r="AD173" s="776" t="s">
        <v>2127</v>
      </c>
      <c r="AE173" s="776" t="s">
        <v>2127</v>
      </c>
      <c r="AF173" s="776" t="s">
        <v>2127</v>
      </c>
      <c r="AG173" s="776" t="s">
        <v>2127</v>
      </c>
      <c r="AH173" s="776" t="s">
        <v>2127</v>
      </c>
      <c r="AI173" s="776" t="s">
        <v>2127</v>
      </c>
      <c r="AJ173" s="776" t="s">
        <v>2127</v>
      </c>
      <c r="AK173" s="776" t="s">
        <v>2127</v>
      </c>
      <c r="AL173" s="776" t="s">
        <v>2127</v>
      </c>
      <c r="AM173" s="776" t="s">
        <v>2127</v>
      </c>
      <c r="AN173" s="776" t="s">
        <v>2127</v>
      </c>
      <c r="AO173" s="776" t="s">
        <v>2127</v>
      </c>
      <c r="AP173" s="776" t="s">
        <v>2127</v>
      </c>
      <c r="AQ173" s="776" t="s">
        <v>2127</v>
      </c>
      <c r="AR173" s="776" t="s">
        <v>2127</v>
      </c>
      <c r="AS173" s="776" t="s">
        <v>2127</v>
      </c>
      <c r="AT173" s="776" t="s">
        <v>2127</v>
      </c>
      <c r="AU173" s="776" t="s">
        <v>2127</v>
      </c>
      <c r="AV173" s="776" t="s">
        <v>2127</v>
      </c>
      <c r="AW173" s="776" t="s">
        <v>2127</v>
      </c>
      <c r="AX173" s="776" t="s">
        <v>2127</v>
      </c>
      <c r="AY173" s="776" t="s">
        <v>2127</v>
      </c>
      <c r="AZ173" s="776" t="s">
        <v>2127</v>
      </c>
      <c r="BA173" s="776" t="s">
        <v>2127</v>
      </c>
      <c r="BB173" s="776" t="s">
        <v>2127</v>
      </c>
      <c r="BC173" s="776" t="s">
        <v>2127</v>
      </c>
      <c r="BD173" s="776" t="s">
        <v>2127</v>
      </c>
      <c r="BE173" s="776" t="s">
        <v>2127</v>
      </c>
      <c r="BF173" s="776" t="s">
        <v>2127</v>
      </c>
      <c r="BG173" s="776" t="s">
        <v>2127</v>
      </c>
      <c r="BH173" s="776" t="s">
        <v>2127</v>
      </c>
      <c r="BI173" s="776" t="s">
        <v>2127</v>
      </c>
      <c r="BJ173" s="776" t="s">
        <v>2127</v>
      </c>
      <c r="BK173" s="776" t="s">
        <v>2127</v>
      </c>
      <c r="BL173" s="776" t="s">
        <v>2127</v>
      </c>
      <c r="BM173" s="776" t="s">
        <v>2127</v>
      </c>
      <c r="BN173" s="776" t="s">
        <v>2127</v>
      </c>
      <c r="BO173" s="776" t="s">
        <v>2127</v>
      </c>
      <c r="BP173" s="776" t="s">
        <v>2127</v>
      </c>
      <c r="BQ173" s="776" t="s">
        <v>2127</v>
      </c>
      <c r="BR173" s="776" t="s">
        <v>2127</v>
      </c>
      <c r="BS173" s="776" t="s">
        <v>2127</v>
      </c>
      <c r="BT173" s="776" t="s">
        <v>2127</v>
      </c>
      <c r="BU173" s="776" t="s">
        <v>2127</v>
      </c>
      <c r="BV173" s="776" t="s">
        <v>2127</v>
      </c>
      <c r="BW173" s="776" t="s">
        <v>2127</v>
      </c>
      <c r="BX173" s="776" t="s">
        <v>2127</v>
      </c>
      <c r="BY173" s="776" t="s">
        <v>2127</v>
      </c>
      <c r="BZ173" s="776" t="s">
        <v>2127</v>
      </c>
      <c r="CA173" s="776" t="s">
        <v>2127</v>
      </c>
      <c r="CB173" s="776" t="s">
        <v>2127</v>
      </c>
      <c r="CC173" s="776" t="s">
        <v>2127</v>
      </c>
      <c r="CD173" s="776" t="s">
        <v>2127</v>
      </c>
      <c r="CE173" s="776" t="s">
        <v>2127</v>
      </c>
      <c r="CF173" s="776" t="s">
        <v>2127</v>
      </c>
      <c r="CG173" s="776" t="s">
        <v>2127</v>
      </c>
      <c r="CH173" s="776" t="s">
        <v>2127</v>
      </c>
      <c r="CI173" s="776" t="s">
        <v>2127</v>
      </c>
      <c r="CJ173" s="776" t="s">
        <v>2127</v>
      </c>
      <c r="CK173" s="776" t="s">
        <v>2127</v>
      </c>
      <c r="CL173" s="776" t="s">
        <v>2127</v>
      </c>
      <c r="CM173" s="776" t="s">
        <v>2127</v>
      </c>
      <c r="CN173" s="776" t="s">
        <v>2127</v>
      </c>
      <c r="CO173" s="776" t="s">
        <v>2127</v>
      </c>
      <c r="CP173" s="776" t="s">
        <v>2127</v>
      </c>
      <c r="CQ173" s="776" t="s">
        <v>2127</v>
      </c>
      <c r="CR173" s="776" t="s">
        <v>2127</v>
      </c>
      <c r="CS173" s="776" t="s">
        <v>2127</v>
      </c>
      <c r="CT173" s="776" t="s">
        <v>2127</v>
      </c>
      <c r="CU173" s="776" t="s">
        <v>2127</v>
      </c>
      <c r="CV173" s="776" t="s">
        <v>2127</v>
      </c>
      <c r="CW173" s="776" t="s">
        <v>2127</v>
      </c>
      <c r="CX173" s="776" t="s">
        <v>2127</v>
      </c>
      <c r="CY173" s="776" t="s">
        <v>2127</v>
      </c>
      <c r="CZ173" s="776" t="s">
        <v>2127</v>
      </c>
      <c r="DA173" s="776" t="s">
        <v>2127</v>
      </c>
      <c r="DB173" s="776" t="s">
        <v>2127</v>
      </c>
      <c r="DC173" s="776" t="s">
        <v>2127</v>
      </c>
      <c r="DD173" s="776" t="s">
        <v>2127</v>
      </c>
      <c r="DE173" s="776" t="s">
        <v>2127</v>
      </c>
      <c r="DF173" s="776" t="s">
        <v>2127</v>
      </c>
      <c r="DG173" s="776" t="s">
        <v>2127</v>
      </c>
      <c r="DH173" s="776" t="s">
        <v>2127</v>
      </c>
      <c r="DI173" s="776" t="s">
        <v>2127</v>
      </c>
      <c r="DJ173" s="776" t="s">
        <v>2127</v>
      </c>
      <c r="DK173" s="776" t="s">
        <v>2127</v>
      </c>
      <c r="DL173" s="776" t="s">
        <v>2127</v>
      </c>
      <c r="DM173" s="776" t="s">
        <v>2127</v>
      </c>
      <c r="DN173" s="776" t="s">
        <v>2127</v>
      </c>
      <c r="DO173" s="776" t="s">
        <v>2127</v>
      </c>
      <c r="DP173" s="776" t="s">
        <v>2127</v>
      </c>
    </row>
    <row r="174" spans="1:120" x14ac:dyDescent="0.2">
      <c r="A174" s="637" t="s">
        <v>2216</v>
      </c>
      <c r="B174" s="772" t="str" cm="1">
        <f t="array" ref="B174">IFERROR(INDEX(Kulturen[HF],_xlfn.AGGREGATE(15,6,(ROW(Kulturen[Auswahl])-7)/(--(SEARCH("x",Kulturen[Auswahl])&gt;0)),ROW()-7),1),"")</f>
        <v>Pak Choi</v>
      </c>
      <c r="C174" s="772" t="str">
        <f>IF(Kulturen[[#This Row],[HF]]=$D$373,IF($C$6=0,0,"x"),IF($C$6=0,"x",Vorauswahl!C173))</f>
        <v>x</v>
      </c>
      <c r="D174" s="938" t="s">
        <v>774</v>
      </c>
      <c r="E174" s="938" t="s">
        <v>774</v>
      </c>
      <c r="F174" s="938" t="s">
        <v>857</v>
      </c>
      <c r="G174" s="938">
        <v>12</v>
      </c>
      <c r="H174" s="938">
        <v>8</v>
      </c>
      <c r="I174" s="938">
        <v>1</v>
      </c>
      <c r="J174" s="938">
        <v>12</v>
      </c>
      <c r="K174" s="938">
        <v>0.20599999999999999</v>
      </c>
      <c r="L174" s="938">
        <v>0.21</v>
      </c>
      <c r="M174" s="938">
        <v>400</v>
      </c>
      <c r="N174" s="938">
        <v>0</v>
      </c>
      <c r="O174" s="938">
        <v>1</v>
      </c>
      <c r="P174" s="938">
        <v>0</v>
      </c>
      <c r="Q174" s="938">
        <v>140</v>
      </c>
      <c r="R174" s="938">
        <v>80</v>
      </c>
      <c r="S174" s="938">
        <v>20</v>
      </c>
      <c r="T174" s="938">
        <v>20</v>
      </c>
      <c r="U174" s="938">
        <v>0</v>
      </c>
      <c r="V174" s="938">
        <v>1</v>
      </c>
      <c r="W174" s="776">
        <f>IF(Kulturen[[#This Row],[Berechnungsschema]]=13,3,IF(Kulturen[[#This Row],[Berechnungsschema]]=6,2,1))</f>
        <v>1</v>
      </c>
      <c r="X174" s="776">
        <f>IF(Kulturen[[#This Row],[fruchtartengruppe]]=13,Kulturen[[#This Row],[NBedarfswert]],MAX(0,Kulturen[[#This Row],[NBedarfswert]]-Kulturen[[#This Row],[Ertrag]]*Kulturen[[#This Row],[Nfix]]))</f>
        <v>140</v>
      </c>
      <c r="Y174" s="776" t="s">
        <v>2127</v>
      </c>
      <c r="Z174" s="776" t="s">
        <v>2127</v>
      </c>
      <c r="AA174" s="776" t="s">
        <v>2127</v>
      </c>
      <c r="AB174" s="776" t="s">
        <v>2127</v>
      </c>
      <c r="AC174" s="776" t="s">
        <v>2127</v>
      </c>
      <c r="AD174" s="776" t="s">
        <v>2127</v>
      </c>
      <c r="AE174" s="776" t="s">
        <v>2127</v>
      </c>
      <c r="AF174" s="776" t="s">
        <v>2127</v>
      </c>
      <c r="AG174" s="776" t="s">
        <v>2127</v>
      </c>
      <c r="AH174" s="776" t="s">
        <v>2127</v>
      </c>
      <c r="AI174" s="776" t="s">
        <v>2127</v>
      </c>
      <c r="AJ174" s="776" t="s">
        <v>2127</v>
      </c>
      <c r="AK174" s="776" t="s">
        <v>2127</v>
      </c>
      <c r="AL174" s="776" t="s">
        <v>2127</v>
      </c>
      <c r="AM174" s="776" t="s">
        <v>2127</v>
      </c>
      <c r="AN174" s="776" t="s">
        <v>2127</v>
      </c>
      <c r="AO174" s="776" t="s">
        <v>2127</v>
      </c>
      <c r="AP174" s="776" t="s">
        <v>2127</v>
      </c>
      <c r="AQ174" s="776" t="s">
        <v>2127</v>
      </c>
      <c r="AR174" s="776" t="s">
        <v>2127</v>
      </c>
      <c r="AS174" s="776" t="s">
        <v>2127</v>
      </c>
      <c r="AT174" s="776" t="s">
        <v>2127</v>
      </c>
      <c r="AU174" s="776" t="s">
        <v>2127</v>
      </c>
      <c r="AV174" s="776" t="s">
        <v>2127</v>
      </c>
      <c r="AW174" s="776" t="s">
        <v>2127</v>
      </c>
      <c r="AX174" s="776" t="s">
        <v>2127</v>
      </c>
      <c r="AY174" s="776" t="s">
        <v>2127</v>
      </c>
      <c r="AZ174" s="776" t="s">
        <v>2127</v>
      </c>
      <c r="BA174" s="776" t="s">
        <v>2127</v>
      </c>
      <c r="BB174" s="776" t="s">
        <v>2127</v>
      </c>
      <c r="BC174" s="776" t="s">
        <v>2127</v>
      </c>
      <c r="BD174" s="776" t="s">
        <v>2127</v>
      </c>
      <c r="BE174" s="776" t="s">
        <v>2127</v>
      </c>
      <c r="BF174" s="776" t="s">
        <v>2127</v>
      </c>
      <c r="BG174" s="776" t="s">
        <v>2127</v>
      </c>
      <c r="BH174" s="776" t="s">
        <v>2127</v>
      </c>
      <c r="BI174" s="776" t="s">
        <v>2127</v>
      </c>
      <c r="BJ174" s="776" t="s">
        <v>2127</v>
      </c>
      <c r="BK174" s="776" t="s">
        <v>2127</v>
      </c>
      <c r="BL174" s="776" t="s">
        <v>2127</v>
      </c>
      <c r="BM174" s="776" t="s">
        <v>2127</v>
      </c>
      <c r="BN174" s="776" t="s">
        <v>2127</v>
      </c>
      <c r="BO174" s="776" t="s">
        <v>2127</v>
      </c>
      <c r="BP174" s="776" t="s">
        <v>2127</v>
      </c>
      <c r="BQ174" s="776" t="s">
        <v>2127</v>
      </c>
      <c r="BR174" s="776" t="s">
        <v>2127</v>
      </c>
      <c r="BS174" s="776" t="s">
        <v>2127</v>
      </c>
      <c r="BT174" s="776" t="s">
        <v>2127</v>
      </c>
      <c r="BU174" s="776" t="s">
        <v>2127</v>
      </c>
      <c r="BV174" s="776" t="s">
        <v>2127</v>
      </c>
      <c r="BW174" s="776" t="s">
        <v>2127</v>
      </c>
      <c r="BX174" s="776" t="s">
        <v>2127</v>
      </c>
      <c r="BY174" s="776" t="s">
        <v>2127</v>
      </c>
      <c r="BZ174" s="776" t="s">
        <v>2127</v>
      </c>
      <c r="CA174" s="776" t="s">
        <v>2127</v>
      </c>
      <c r="CB174" s="776" t="s">
        <v>2127</v>
      </c>
      <c r="CC174" s="776" t="s">
        <v>2127</v>
      </c>
      <c r="CD174" s="776" t="s">
        <v>2127</v>
      </c>
      <c r="CE174" s="776" t="s">
        <v>2127</v>
      </c>
      <c r="CF174" s="776" t="s">
        <v>2127</v>
      </c>
      <c r="CG174" s="776" t="s">
        <v>2127</v>
      </c>
      <c r="CH174" s="776" t="s">
        <v>2127</v>
      </c>
      <c r="CI174" s="776" t="s">
        <v>2127</v>
      </c>
      <c r="CJ174" s="776" t="s">
        <v>2127</v>
      </c>
      <c r="CK174" s="776" t="s">
        <v>2127</v>
      </c>
      <c r="CL174" s="776" t="s">
        <v>2127</v>
      </c>
      <c r="CM174" s="776" t="s">
        <v>2127</v>
      </c>
      <c r="CN174" s="776" t="s">
        <v>2127</v>
      </c>
      <c r="CO174" s="776" t="s">
        <v>2127</v>
      </c>
      <c r="CP174" s="776" t="s">
        <v>2127</v>
      </c>
      <c r="CQ174" s="776" t="s">
        <v>2127</v>
      </c>
      <c r="CR174" s="776" t="s">
        <v>2127</v>
      </c>
      <c r="CS174" s="776" t="s">
        <v>2127</v>
      </c>
      <c r="CT174" s="776" t="s">
        <v>2127</v>
      </c>
      <c r="CU174" s="776" t="s">
        <v>2127</v>
      </c>
      <c r="CV174" s="776" t="s">
        <v>2127</v>
      </c>
      <c r="CW174" s="776" t="s">
        <v>2127</v>
      </c>
      <c r="CX174" s="776" t="s">
        <v>2127</v>
      </c>
      <c r="CY174" s="776" t="s">
        <v>2127</v>
      </c>
      <c r="CZ174" s="776" t="s">
        <v>2127</v>
      </c>
      <c r="DA174" s="776" t="s">
        <v>2127</v>
      </c>
      <c r="DB174" s="776" t="s">
        <v>2127</v>
      </c>
      <c r="DC174" s="776" t="s">
        <v>2127</v>
      </c>
      <c r="DD174" s="776" t="s">
        <v>2127</v>
      </c>
      <c r="DE174" s="776" t="s">
        <v>2127</v>
      </c>
      <c r="DF174" s="776" t="s">
        <v>2127</v>
      </c>
      <c r="DG174" s="776" t="s">
        <v>2127</v>
      </c>
      <c r="DH174" s="776" t="s">
        <v>2127</v>
      </c>
      <c r="DI174" s="776" t="s">
        <v>2127</v>
      </c>
      <c r="DJ174" s="776" t="s">
        <v>2127</v>
      </c>
      <c r="DK174" s="776" t="s">
        <v>2127</v>
      </c>
      <c r="DL174" s="776" t="s">
        <v>2127</v>
      </c>
      <c r="DM174" s="776" t="s">
        <v>2127</v>
      </c>
      <c r="DN174" s="776" t="s">
        <v>2127</v>
      </c>
      <c r="DO174" s="776" t="s">
        <v>2127</v>
      </c>
      <c r="DP174" s="776" t="s">
        <v>2127</v>
      </c>
    </row>
    <row r="175" spans="1:120" x14ac:dyDescent="0.2">
      <c r="A175" s="637"/>
      <c r="B175" s="772" t="str" cm="1">
        <f t="array" ref="B175">IFERROR(INDEX(Kulturen[HF],_xlfn.AGGREGATE(15,6,(ROW(Kulturen[Auswahl])-7)/(--(SEARCH("x",Kulturen[Auswahl])&gt;0)),ROW()-7),1),"")</f>
        <v>Paprika</v>
      </c>
      <c r="C175" s="772" t="str">
        <f>IF(Kulturen[[#This Row],[HF]]=$D$373,IF($C$6=0,0,"x"),IF($C$6=0,"x",Vorauswahl!C174))</f>
        <v>x</v>
      </c>
      <c r="D175" s="938" t="s">
        <v>1943</v>
      </c>
      <c r="E175" s="938" t="s">
        <v>1943</v>
      </c>
      <c r="F175" s="938" t="s">
        <v>1944</v>
      </c>
      <c r="G175" s="938">
        <v>12</v>
      </c>
      <c r="H175" s="938">
        <v>8</v>
      </c>
      <c r="I175" s="938">
        <v>3</v>
      </c>
      <c r="J175" s="938">
        <v>12</v>
      </c>
      <c r="K175" s="938">
        <v>0.09</v>
      </c>
      <c r="L175" s="938">
        <v>0.09</v>
      </c>
      <c r="M175" s="938">
        <v>180</v>
      </c>
      <c r="N175" s="938">
        <v>0</v>
      </c>
      <c r="O175" s="938">
        <v>1</v>
      </c>
      <c r="P175" s="938">
        <v>0</v>
      </c>
      <c r="Q175" s="938">
        <v>180</v>
      </c>
      <c r="R175" s="938">
        <v>36</v>
      </c>
      <c r="S175" s="938">
        <v>20</v>
      </c>
      <c r="T175" s="938">
        <v>20</v>
      </c>
      <c r="U175" s="938">
        <v>0</v>
      </c>
      <c r="V175" s="938">
        <v>1</v>
      </c>
      <c r="W175" s="776">
        <f>IF(Kulturen[[#This Row],[Berechnungsschema]]=13,3,IF(Kulturen[[#This Row],[Berechnungsschema]]=6,2,1))</f>
        <v>1</v>
      </c>
      <c r="X175" s="776">
        <f>IF(Kulturen[[#This Row],[fruchtartengruppe]]=13,Kulturen[[#This Row],[NBedarfswert]],MAX(0,Kulturen[[#This Row],[NBedarfswert]]-Kulturen[[#This Row],[Ertrag]]*Kulturen[[#This Row],[Nfix]]))</f>
        <v>180</v>
      </c>
      <c r="Y175" s="776" t="s">
        <v>2127</v>
      </c>
      <c r="Z175" s="776" t="s">
        <v>2127</v>
      </c>
      <c r="AA175" s="776" t="s">
        <v>2127</v>
      </c>
      <c r="AB175" s="776" t="s">
        <v>2127</v>
      </c>
      <c r="AC175" s="776" t="s">
        <v>2127</v>
      </c>
      <c r="AD175" s="776" t="s">
        <v>2127</v>
      </c>
      <c r="AE175" s="776" t="s">
        <v>2127</v>
      </c>
      <c r="AF175" s="776" t="s">
        <v>2127</v>
      </c>
      <c r="AG175" s="776" t="s">
        <v>2127</v>
      </c>
      <c r="AH175" s="776" t="s">
        <v>2127</v>
      </c>
      <c r="AI175" s="776" t="s">
        <v>2127</v>
      </c>
      <c r="AJ175" s="776" t="s">
        <v>2127</v>
      </c>
      <c r="AK175" s="776" t="s">
        <v>2127</v>
      </c>
      <c r="AL175" s="776" t="s">
        <v>2127</v>
      </c>
      <c r="AM175" s="776" t="s">
        <v>2127</v>
      </c>
      <c r="AN175" s="776" t="s">
        <v>2127</v>
      </c>
      <c r="AO175" s="776" t="s">
        <v>2127</v>
      </c>
      <c r="AP175" s="776" t="s">
        <v>2127</v>
      </c>
      <c r="AQ175" s="776" t="s">
        <v>2127</v>
      </c>
      <c r="AR175" s="776" t="s">
        <v>2127</v>
      </c>
      <c r="AS175" s="776" t="s">
        <v>2127</v>
      </c>
      <c r="AT175" s="776" t="s">
        <v>2127</v>
      </c>
      <c r="AU175" s="776" t="s">
        <v>2127</v>
      </c>
      <c r="AV175" s="776" t="s">
        <v>2127</v>
      </c>
      <c r="AW175" s="776" t="s">
        <v>2127</v>
      </c>
      <c r="AX175" s="776" t="s">
        <v>2127</v>
      </c>
      <c r="AY175" s="776" t="s">
        <v>2127</v>
      </c>
      <c r="AZ175" s="776" t="s">
        <v>2127</v>
      </c>
      <c r="BA175" s="776" t="s">
        <v>2127</v>
      </c>
      <c r="BB175" s="776" t="s">
        <v>2127</v>
      </c>
      <c r="BC175" s="776" t="s">
        <v>2127</v>
      </c>
      <c r="BD175" s="776" t="s">
        <v>2127</v>
      </c>
      <c r="BE175" s="776" t="s">
        <v>2127</v>
      </c>
      <c r="BF175" s="776" t="s">
        <v>2127</v>
      </c>
      <c r="BG175" s="776" t="s">
        <v>2127</v>
      </c>
      <c r="BH175" s="776" t="s">
        <v>2127</v>
      </c>
      <c r="BI175" s="776" t="s">
        <v>2127</v>
      </c>
      <c r="BJ175" s="776" t="s">
        <v>2127</v>
      </c>
      <c r="BK175" s="776" t="s">
        <v>2127</v>
      </c>
      <c r="BL175" s="776" t="s">
        <v>2127</v>
      </c>
      <c r="BM175" s="776" t="s">
        <v>2127</v>
      </c>
      <c r="BN175" s="776" t="s">
        <v>2127</v>
      </c>
      <c r="BO175" s="776" t="s">
        <v>2127</v>
      </c>
      <c r="BP175" s="776" t="s">
        <v>2127</v>
      </c>
      <c r="BQ175" s="776" t="s">
        <v>2127</v>
      </c>
      <c r="BR175" s="776" t="s">
        <v>2127</v>
      </c>
      <c r="BS175" s="776" t="s">
        <v>2127</v>
      </c>
      <c r="BT175" s="776" t="s">
        <v>2127</v>
      </c>
      <c r="BU175" s="776" t="s">
        <v>2127</v>
      </c>
      <c r="BV175" s="776" t="s">
        <v>2127</v>
      </c>
      <c r="BW175" s="776" t="s">
        <v>2127</v>
      </c>
      <c r="BX175" s="776" t="s">
        <v>2127</v>
      </c>
      <c r="BY175" s="776" t="s">
        <v>2127</v>
      </c>
      <c r="BZ175" s="776" t="s">
        <v>2127</v>
      </c>
      <c r="CA175" s="776" t="s">
        <v>2127</v>
      </c>
      <c r="CB175" s="776" t="s">
        <v>2127</v>
      </c>
      <c r="CC175" s="776" t="s">
        <v>2127</v>
      </c>
      <c r="CD175" s="776" t="s">
        <v>2127</v>
      </c>
      <c r="CE175" s="776" t="s">
        <v>2127</v>
      </c>
      <c r="CF175" s="776" t="s">
        <v>2127</v>
      </c>
      <c r="CG175" s="776" t="s">
        <v>2127</v>
      </c>
      <c r="CH175" s="776" t="s">
        <v>2127</v>
      </c>
      <c r="CI175" s="776" t="s">
        <v>2127</v>
      </c>
      <c r="CJ175" s="776" t="s">
        <v>2127</v>
      </c>
      <c r="CK175" s="776" t="s">
        <v>2127</v>
      </c>
      <c r="CL175" s="776" t="s">
        <v>2127</v>
      </c>
      <c r="CM175" s="776" t="s">
        <v>2127</v>
      </c>
      <c r="CN175" s="776" t="s">
        <v>2127</v>
      </c>
      <c r="CO175" s="776" t="s">
        <v>2127</v>
      </c>
      <c r="CP175" s="776" t="s">
        <v>2127</v>
      </c>
      <c r="CQ175" s="776" t="s">
        <v>2127</v>
      </c>
      <c r="CR175" s="776" t="s">
        <v>2127</v>
      </c>
      <c r="CS175" s="776" t="s">
        <v>2127</v>
      </c>
      <c r="CT175" s="776" t="s">
        <v>2127</v>
      </c>
      <c r="CU175" s="776" t="s">
        <v>2127</v>
      </c>
      <c r="CV175" s="776" t="s">
        <v>2127</v>
      </c>
      <c r="CW175" s="776" t="s">
        <v>2127</v>
      </c>
      <c r="CX175" s="776" t="s">
        <v>2127</v>
      </c>
      <c r="CY175" s="776" t="s">
        <v>2127</v>
      </c>
      <c r="CZ175" s="776" t="s">
        <v>2127</v>
      </c>
      <c r="DA175" s="776" t="s">
        <v>2127</v>
      </c>
      <c r="DB175" s="776" t="s">
        <v>2127</v>
      </c>
      <c r="DC175" s="776" t="s">
        <v>2127</v>
      </c>
      <c r="DD175" s="776" t="s">
        <v>2127</v>
      </c>
      <c r="DE175" s="776" t="s">
        <v>2127</v>
      </c>
      <c r="DF175" s="776" t="s">
        <v>2127</v>
      </c>
      <c r="DG175" s="776" t="s">
        <v>2127</v>
      </c>
      <c r="DH175" s="776" t="s">
        <v>2127</v>
      </c>
      <c r="DI175" s="776" t="s">
        <v>2127</v>
      </c>
      <c r="DJ175" s="776" t="s">
        <v>2127</v>
      </c>
      <c r="DK175" s="776" t="s">
        <v>2127</v>
      </c>
      <c r="DL175" s="776" t="s">
        <v>2127</v>
      </c>
      <c r="DM175" s="776" t="s">
        <v>2127</v>
      </c>
      <c r="DN175" s="776" t="s">
        <v>2127</v>
      </c>
      <c r="DO175" s="776" t="s">
        <v>2127</v>
      </c>
      <c r="DP175" s="776" t="s">
        <v>2127</v>
      </c>
    </row>
    <row r="176" spans="1:120" x14ac:dyDescent="0.2">
      <c r="A176" s="637"/>
      <c r="B176" s="772" t="str" cm="1">
        <f t="array" ref="B176">IFERROR(INDEX(Kulturen[HF],_xlfn.AGGREGATE(15,6,(ROW(Kulturen[Auswahl])-7)/(--(SEARCH("x",Kulturen[Auswahl])&gt;0)),ROW()-7),1),"")</f>
        <v>Pastinake</v>
      </c>
      <c r="C176" s="772" t="str">
        <f>IF(Kulturen[[#This Row],[HF]]=$D$373,IF($C$6=0,0,"x"),IF($C$6=0,"x",Vorauswahl!C175))</f>
        <v>x</v>
      </c>
      <c r="D176" s="938" t="s">
        <v>1945</v>
      </c>
      <c r="E176" s="938" t="s">
        <v>1945</v>
      </c>
      <c r="F176" s="938" t="s">
        <v>1946</v>
      </c>
      <c r="G176" s="938">
        <v>12</v>
      </c>
      <c r="H176" s="938">
        <v>8</v>
      </c>
      <c r="I176" s="938">
        <v>1</v>
      </c>
      <c r="J176" s="938">
        <v>12</v>
      </c>
      <c r="K176" s="938">
        <v>0.02</v>
      </c>
      <c r="L176" s="938">
        <v>0.02</v>
      </c>
      <c r="M176" s="938">
        <v>500</v>
      </c>
      <c r="N176" s="938">
        <v>0</v>
      </c>
      <c r="O176" s="938">
        <v>1</v>
      </c>
      <c r="P176" s="938">
        <v>0</v>
      </c>
      <c r="Q176" s="938">
        <v>185</v>
      </c>
      <c r="R176" s="938">
        <v>100</v>
      </c>
      <c r="S176" s="938">
        <v>20</v>
      </c>
      <c r="T176" s="938">
        <v>20</v>
      </c>
      <c r="U176" s="938">
        <v>0</v>
      </c>
      <c r="V176" s="938">
        <v>1</v>
      </c>
      <c r="W176" s="776">
        <f>IF(Kulturen[[#This Row],[Berechnungsschema]]=13,3,IF(Kulturen[[#This Row],[Berechnungsschema]]=6,2,1))</f>
        <v>1</v>
      </c>
      <c r="X176" s="776">
        <f>IF(Kulturen[[#This Row],[fruchtartengruppe]]=13,Kulturen[[#This Row],[NBedarfswert]],MAX(0,Kulturen[[#This Row],[NBedarfswert]]-Kulturen[[#This Row],[Ertrag]]*Kulturen[[#This Row],[Nfix]]))</f>
        <v>185</v>
      </c>
      <c r="Y176" s="776" t="s">
        <v>2127</v>
      </c>
      <c r="Z176" s="776" t="s">
        <v>2127</v>
      </c>
      <c r="AA176" s="776" t="s">
        <v>2127</v>
      </c>
      <c r="AB176" s="776" t="s">
        <v>2127</v>
      </c>
      <c r="AC176" s="776" t="s">
        <v>2127</v>
      </c>
      <c r="AD176" s="776" t="s">
        <v>2127</v>
      </c>
      <c r="AE176" s="776" t="s">
        <v>2127</v>
      </c>
      <c r="AF176" s="776" t="s">
        <v>2127</v>
      </c>
      <c r="AG176" s="776" t="s">
        <v>2127</v>
      </c>
      <c r="AH176" s="776" t="s">
        <v>2127</v>
      </c>
      <c r="AI176" s="776" t="s">
        <v>2127</v>
      </c>
      <c r="AJ176" s="776" t="s">
        <v>2127</v>
      </c>
      <c r="AK176" s="776" t="s">
        <v>2127</v>
      </c>
      <c r="AL176" s="776" t="s">
        <v>2127</v>
      </c>
      <c r="AM176" s="776" t="s">
        <v>2127</v>
      </c>
      <c r="AN176" s="776" t="s">
        <v>2127</v>
      </c>
      <c r="AO176" s="776" t="s">
        <v>2127</v>
      </c>
      <c r="AP176" s="776" t="s">
        <v>2127</v>
      </c>
      <c r="AQ176" s="776" t="s">
        <v>2127</v>
      </c>
      <c r="AR176" s="776" t="s">
        <v>2127</v>
      </c>
      <c r="AS176" s="776" t="s">
        <v>2127</v>
      </c>
      <c r="AT176" s="776" t="s">
        <v>2127</v>
      </c>
      <c r="AU176" s="776" t="s">
        <v>2127</v>
      </c>
      <c r="AV176" s="776" t="s">
        <v>2127</v>
      </c>
      <c r="AW176" s="776" t="s">
        <v>2127</v>
      </c>
      <c r="AX176" s="776" t="s">
        <v>2127</v>
      </c>
      <c r="AY176" s="776" t="s">
        <v>2127</v>
      </c>
      <c r="AZ176" s="776" t="s">
        <v>2127</v>
      </c>
      <c r="BA176" s="776" t="s">
        <v>2127</v>
      </c>
      <c r="BB176" s="776" t="s">
        <v>2127</v>
      </c>
      <c r="BC176" s="776" t="s">
        <v>2127</v>
      </c>
      <c r="BD176" s="776" t="s">
        <v>2127</v>
      </c>
      <c r="BE176" s="776" t="s">
        <v>2127</v>
      </c>
      <c r="BF176" s="776" t="s">
        <v>2127</v>
      </c>
      <c r="BG176" s="776" t="s">
        <v>2127</v>
      </c>
      <c r="BH176" s="776" t="s">
        <v>2127</v>
      </c>
      <c r="BI176" s="776" t="s">
        <v>2127</v>
      </c>
      <c r="BJ176" s="776" t="s">
        <v>2127</v>
      </c>
      <c r="BK176" s="776" t="s">
        <v>2127</v>
      </c>
      <c r="BL176" s="776" t="s">
        <v>2127</v>
      </c>
      <c r="BM176" s="776" t="s">
        <v>2127</v>
      </c>
      <c r="BN176" s="776" t="s">
        <v>2127</v>
      </c>
      <c r="BO176" s="776" t="s">
        <v>2127</v>
      </c>
      <c r="BP176" s="776" t="s">
        <v>2127</v>
      </c>
      <c r="BQ176" s="776" t="s">
        <v>2127</v>
      </c>
      <c r="BR176" s="776" t="s">
        <v>2127</v>
      </c>
      <c r="BS176" s="776" t="s">
        <v>2127</v>
      </c>
      <c r="BT176" s="776" t="s">
        <v>2127</v>
      </c>
      <c r="BU176" s="776" t="s">
        <v>2127</v>
      </c>
      <c r="BV176" s="776" t="s">
        <v>2127</v>
      </c>
      <c r="BW176" s="776" t="s">
        <v>2127</v>
      </c>
      <c r="BX176" s="776" t="s">
        <v>2127</v>
      </c>
      <c r="BY176" s="776" t="s">
        <v>2127</v>
      </c>
      <c r="BZ176" s="776" t="s">
        <v>2127</v>
      </c>
      <c r="CA176" s="776" t="s">
        <v>2127</v>
      </c>
      <c r="CB176" s="776" t="s">
        <v>2127</v>
      </c>
      <c r="CC176" s="776" t="s">
        <v>2127</v>
      </c>
      <c r="CD176" s="776" t="s">
        <v>2127</v>
      </c>
      <c r="CE176" s="776" t="s">
        <v>2127</v>
      </c>
      <c r="CF176" s="776" t="s">
        <v>2127</v>
      </c>
      <c r="CG176" s="776" t="s">
        <v>2127</v>
      </c>
      <c r="CH176" s="776" t="s">
        <v>2127</v>
      </c>
      <c r="CI176" s="776" t="s">
        <v>2127</v>
      </c>
      <c r="CJ176" s="776" t="s">
        <v>2127</v>
      </c>
      <c r="CK176" s="776" t="s">
        <v>2127</v>
      </c>
      <c r="CL176" s="776" t="s">
        <v>2127</v>
      </c>
      <c r="CM176" s="776" t="s">
        <v>2127</v>
      </c>
      <c r="CN176" s="776" t="s">
        <v>2127</v>
      </c>
      <c r="CO176" s="776" t="s">
        <v>2127</v>
      </c>
      <c r="CP176" s="776" t="s">
        <v>2127</v>
      </c>
      <c r="CQ176" s="776" t="s">
        <v>2127</v>
      </c>
      <c r="CR176" s="776" t="s">
        <v>2127</v>
      </c>
      <c r="CS176" s="776" t="s">
        <v>2127</v>
      </c>
      <c r="CT176" s="776" t="s">
        <v>2127</v>
      </c>
      <c r="CU176" s="776" t="s">
        <v>2127</v>
      </c>
      <c r="CV176" s="776" t="s">
        <v>2127</v>
      </c>
      <c r="CW176" s="776" t="s">
        <v>2127</v>
      </c>
      <c r="CX176" s="776" t="s">
        <v>2127</v>
      </c>
      <c r="CY176" s="776" t="s">
        <v>2127</v>
      </c>
      <c r="CZ176" s="776" t="s">
        <v>2127</v>
      </c>
      <c r="DA176" s="776" t="s">
        <v>2127</v>
      </c>
      <c r="DB176" s="776" t="s">
        <v>2127</v>
      </c>
      <c r="DC176" s="776" t="s">
        <v>2127</v>
      </c>
      <c r="DD176" s="776" t="s">
        <v>2127</v>
      </c>
      <c r="DE176" s="776" t="s">
        <v>2127</v>
      </c>
      <c r="DF176" s="776" t="s">
        <v>2127</v>
      </c>
      <c r="DG176" s="776" t="s">
        <v>2127</v>
      </c>
      <c r="DH176" s="776" t="s">
        <v>2127</v>
      </c>
      <c r="DI176" s="776" t="s">
        <v>2127</v>
      </c>
      <c r="DJ176" s="776" t="s">
        <v>2127</v>
      </c>
      <c r="DK176" s="776" t="s">
        <v>2127</v>
      </c>
      <c r="DL176" s="776" t="s">
        <v>2127</v>
      </c>
      <c r="DM176" s="776" t="s">
        <v>2127</v>
      </c>
      <c r="DN176" s="776" t="s">
        <v>2127</v>
      </c>
      <c r="DO176" s="776" t="s">
        <v>2127</v>
      </c>
      <c r="DP176" s="776" t="s">
        <v>2127</v>
      </c>
    </row>
    <row r="177" spans="1:120" x14ac:dyDescent="0.2">
      <c r="A177" s="637"/>
      <c r="B177" s="772" t="str" cm="1">
        <f t="array" ref="B177">IFERROR(INDEX(Kulturen[HF],_xlfn.AGGREGATE(15,6,(ROW(Kulturen[Auswahl])-7)/(--(SEARCH("x",Kulturen[Auswahl])&gt;0)),ROW()-7),1),"")</f>
        <v>Petersilie, Wurzel-</v>
      </c>
      <c r="C177" s="772" t="str">
        <f>IF(Kulturen[[#This Row],[HF]]=$D$373,IF($C$6=0,0,"x"),IF($C$6=0,"x",Vorauswahl!C176))</f>
        <v>x</v>
      </c>
      <c r="D177" s="938" t="s">
        <v>1947</v>
      </c>
      <c r="E177" s="938" t="s">
        <v>1947</v>
      </c>
      <c r="F177" s="938" t="s">
        <v>1948</v>
      </c>
      <c r="G177" s="938">
        <v>12</v>
      </c>
      <c r="H177" s="938">
        <v>8</v>
      </c>
      <c r="I177" s="938">
        <v>1</v>
      </c>
      <c r="J177" s="938">
        <v>12</v>
      </c>
      <c r="K177" s="938">
        <v>5.3999999999999999E-2</v>
      </c>
      <c r="L177" s="938">
        <v>0.05</v>
      </c>
      <c r="M177" s="938">
        <v>500</v>
      </c>
      <c r="N177" s="938">
        <v>0</v>
      </c>
      <c r="O177" s="938">
        <v>1</v>
      </c>
      <c r="P177" s="938">
        <v>0</v>
      </c>
      <c r="Q177" s="938">
        <v>185</v>
      </c>
      <c r="R177" s="938">
        <v>100</v>
      </c>
      <c r="S177" s="938">
        <v>20</v>
      </c>
      <c r="T177" s="938">
        <v>20</v>
      </c>
      <c r="U177" s="938">
        <v>0</v>
      </c>
      <c r="V177" s="938">
        <v>1</v>
      </c>
      <c r="W177" s="776">
        <f>IF(Kulturen[[#This Row],[Berechnungsschema]]=13,3,IF(Kulturen[[#This Row],[Berechnungsschema]]=6,2,1))</f>
        <v>1</v>
      </c>
      <c r="X177" s="776">
        <f>IF(Kulturen[[#This Row],[fruchtartengruppe]]=13,Kulturen[[#This Row],[NBedarfswert]],MAX(0,Kulturen[[#This Row],[NBedarfswert]]-Kulturen[[#This Row],[Ertrag]]*Kulturen[[#This Row],[Nfix]]))</f>
        <v>185</v>
      </c>
      <c r="Y177" s="776" t="s">
        <v>2127</v>
      </c>
      <c r="Z177" s="776" t="s">
        <v>2127</v>
      </c>
      <c r="AA177" s="776" t="s">
        <v>2127</v>
      </c>
      <c r="AB177" s="776" t="s">
        <v>2127</v>
      </c>
      <c r="AC177" s="776" t="s">
        <v>2127</v>
      </c>
      <c r="AD177" s="776" t="s">
        <v>2127</v>
      </c>
      <c r="AE177" s="776" t="s">
        <v>2127</v>
      </c>
      <c r="AF177" s="776" t="s">
        <v>2127</v>
      </c>
      <c r="AG177" s="776" t="s">
        <v>2127</v>
      </c>
      <c r="AH177" s="776" t="s">
        <v>2127</v>
      </c>
      <c r="AI177" s="776" t="s">
        <v>2127</v>
      </c>
      <c r="AJ177" s="776" t="s">
        <v>2127</v>
      </c>
      <c r="AK177" s="776" t="s">
        <v>2127</v>
      </c>
      <c r="AL177" s="776" t="s">
        <v>2127</v>
      </c>
      <c r="AM177" s="776" t="s">
        <v>2127</v>
      </c>
      <c r="AN177" s="776" t="s">
        <v>2127</v>
      </c>
      <c r="AO177" s="776" t="s">
        <v>2127</v>
      </c>
      <c r="AP177" s="776" t="s">
        <v>2127</v>
      </c>
      <c r="AQ177" s="776" t="s">
        <v>2127</v>
      </c>
      <c r="AR177" s="776" t="s">
        <v>2127</v>
      </c>
      <c r="AS177" s="776" t="s">
        <v>2127</v>
      </c>
      <c r="AT177" s="776" t="s">
        <v>2127</v>
      </c>
      <c r="AU177" s="776" t="s">
        <v>2127</v>
      </c>
      <c r="AV177" s="776" t="s">
        <v>2127</v>
      </c>
      <c r="AW177" s="776" t="s">
        <v>2127</v>
      </c>
      <c r="AX177" s="776" t="s">
        <v>2127</v>
      </c>
      <c r="AY177" s="776" t="s">
        <v>2127</v>
      </c>
      <c r="AZ177" s="776" t="s">
        <v>2127</v>
      </c>
      <c r="BA177" s="776" t="s">
        <v>2127</v>
      </c>
      <c r="BB177" s="776" t="s">
        <v>2127</v>
      </c>
      <c r="BC177" s="776" t="s">
        <v>2127</v>
      </c>
      <c r="BD177" s="776" t="s">
        <v>2127</v>
      </c>
      <c r="BE177" s="776" t="s">
        <v>2127</v>
      </c>
      <c r="BF177" s="776" t="s">
        <v>2127</v>
      </c>
      <c r="BG177" s="776" t="s">
        <v>2127</v>
      </c>
      <c r="BH177" s="776" t="s">
        <v>2127</v>
      </c>
      <c r="BI177" s="776" t="s">
        <v>2127</v>
      </c>
      <c r="BJ177" s="776" t="s">
        <v>2127</v>
      </c>
      <c r="BK177" s="776" t="s">
        <v>2127</v>
      </c>
      <c r="BL177" s="776" t="s">
        <v>2127</v>
      </c>
      <c r="BM177" s="776" t="s">
        <v>2127</v>
      </c>
      <c r="BN177" s="776" t="s">
        <v>2127</v>
      </c>
      <c r="BO177" s="776" t="s">
        <v>2127</v>
      </c>
      <c r="BP177" s="776" t="s">
        <v>2127</v>
      </c>
      <c r="BQ177" s="776" t="s">
        <v>2127</v>
      </c>
      <c r="BR177" s="776" t="s">
        <v>2127</v>
      </c>
      <c r="BS177" s="776" t="s">
        <v>2127</v>
      </c>
      <c r="BT177" s="776" t="s">
        <v>2127</v>
      </c>
      <c r="BU177" s="776" t="s">
        <v>2127</v>
      </c>
      <c r="BV177" s="776" t="s">
        <v>2127</v>
      </c>
      <c r="BW177" s="776" t="s">
        <v>2127</v>
      </c>
      <c r="BX177" s="776" t="s">
        <v>2127</v>
      </c>
      <c r="BY177" s="776" t="s">
        <v>2127</v>
      </c>
      <c r="BZ177" s="776" t="s">
        <v>2127</v>
      </c>
      <c r="CA177" s="776" t="s">
        <v>2127</v>
      </c>
      <c r="CB177" s="776" t="s">
        <v>2127</v>
      </c>
      <c r="CC177" s="776" t="s">
        <v>2127</v>
      </c>
      <c r="CD177" s="776" t="s">
        <v>2127</v>
      </c>
      <c r="CE177" s="776" t="s">
        <v>2127</v>
      </c>
      <c r="CF177" s="776" t="s">
        <v>2127</v>
      </c>
      <c r="CG177" s="776" t="s">
        <v>2127</v>
      </c>
      <c r="CH177" s="776" t="s">
        <v>2127</v>
      </c>
      <c r="CI177" s="776" t="s">
        <v>2127</v>
      </c>
      <c r="CJ177" s="776" t="s">
        <v>2127</v>
      </c>
      <c r="CK177" s="776" t="s">
        <v>2127</v>
      </c>
      <c r="CL177" s="776" t="s">
        <v>2127</v>
      </c>
      <c r="CM177" s="776" t="s">
        <v>2127</v>
      </c>
      <c r="CN177" s="776" t="s">
        <v>2127</v>
      </c>
      <c r="CO177" s="776" t="s">
        <v>2127</v>
      </c>
      <c r="CP177" s="776" t="s">
        <v>2127</v>
      </c>
      <c r="CQ177" s="776" t="s">
        <v>2127</v>
      </c>
      <c r="CR177" s="776" t="s">
        <v>2127</v>
      </c>
      <c r="CS177" s="776" t="s">
        <v>2127</v>
      </c>
      <c r="CT177" s="776" t="s">
        <v>2127</v>
      </c>
      <c r="CU177" s="776" t="s">
        <v>2127</v>
      </c>
      <c r="CV177" s="776" t="s">
        <v>2127</v>
      </c>
      <c r="CW177" s="776" t="s">
        <v>2127</v>
      </c>
      <c r="CX177" s="776" t="s">
        <v>2127</v>
      </c>
      <c r="CY177" s="776" t="s">
        <v>2127</v>
      </c>
      <c r="CZ177" s="776" t="s">
        <v>2127</v>
      </c>
      <c r="DA177" s="776" t="s">
        <v>2127</v>
      </c>
      <c r="DB177" s="776" t="s">
        <v>2127</v>
      </c>
      <c r="DC177" s="776" t="s">
        <v>2127</v>
      </c>
      <c r="DD177" s="776" t="s">
        <v>2127</v>
      </c>
      <c r="DE177" s="776" t="s">
        <v>2127</v>
      </c>
      <c r="DF177" s="776" t="s">
        <v>2127</v>
      </c>
      <c r="DG177" s="776" t="s">
        <v>2127</v>
      </c>
      <c r="DH177" s="776" t="s">
        <v>2127</v>
      </c>
      <c r="DI177" s="776" t="s">
        <v>2127</v>
      </c>
      <c r="DJ177" s="776" t="s">
        <v>2127</v>
      </c>
      <c r="DK177" s="776" t="s">
        <v>2127</v>
      </c>
      <c r="DL177" s="776" t="s">
        <v>2127</v>
      </c>
      <c r="DM177" s="776" t="s">
        <v>2127</v>
      </c>
      <c r="DN177" s="776" t="s">
        <v>2127</v>
      </c>
      <c r="DO177" s="776" t="s">
        <v>2127</v>
      </c>
      <c r="DP177" s="776" t="s">
        <v>2127</v>
      </c>
    </row>
    <row r="178" spans="1:120" x14ac:dyDescent="0.2">
      <c r="A178" s="637" t="s">
        <v>2217</v>
      </c>
      <c r="B178" s="772" t="str" cm="1">
        <f t="array" ref="B178">IFERROR(INDEX(Kulturen[HF],_xlfn.AGGREGATE(15,6,(ROW(Kulturen[Auswahl])-7)/(--(SEARCH("x",Kulturen[Auswahl])&gt;0)),ROW()-7),1),"")</f>
        <v>Porree</v>
      </c>
      <c r="C178" s="772" t="str">
        <f>IF(Kulturen[[#This Row],[HF]]=$D$373,IF($C$6=0,0,"x"),IF($C$6=0,"x",Vorauswahl!C177))</f>
        <v>x</v>
      </c>
      <c r="D178" s="938" t="s">
        <v>775</v>
      </c>
      <c r="E178" s="938" t="s">
        <v>775</v>
      </c>
      <c r="F178" s="938" t="s">
        <v>858</v>
      </c>
      <c r="G178" s="938">
        <v>12</v>
      </c>
      <c r="H178" s="938">
        <v>8</v>
      </c>
      <c r="I178" s="938">
        <v>3</v>
      </c>
      <c r="J178" s="938">
        <v>12</v>
      </c>
      <c r="K178" s="938">
        <v>0.10299999999999999</v>
      </c>
      <c r="L178" s="938">
        <v>0.1</v>
      </c>
      <c r="M178" s="938">
        <v>650</v>
      </c>
      <c r="N178" s="938">
        <v>0</v>
      </c>
      <c r="O178" s="938">
        <v>1</v>
      </c>
      <c r="P178" s="938">
        <v>0</v>
      </c>
      <c r="Q178" s="938">
        <v>170</v>
      </c>
      <c r="R178" s="938">
        <v>130</v>
      </c>
      <c r="S178" s="938">
        <v>20</v>
      </c>
      <c r="T178" s="938">
        <v>20</v>
      </c>
      <c r="U178" s="938">
        <v>0</v>
      </c>
      <c r="V178" s="938">
        <v>1</v>
      </c>
      <c r="W178" s="776">
        <f>IF(Kulturen[[#This Row],[Berechnungsschema]]=13,3,IF(Kulturen[[#This Row],[Berechnungsschema]]=6,2,1))</f>
        <v>1</v>
      </c>
      <c r="X178" s="776">
        <f>IF(Kulturen[[#This Row],[fruchtartengruppe]]=13,Kulturen[[#This Row],[NBedarfswert]],MAX(0,Kulturen[[#This Row],[NBedarfswert]]-Kulturen[[#This Row],[Ertrag]]*Kulturen[[#This Row],[Nfix]]))</f>
        <v>170</v>
      </c>
      <c r="Y178" s="776" t="s">
        <v>2127</v>
      </c>
      <c r="Z178" s="776" t="s">
        <v>2127</v>
      </c>
      <c r="AA178" s="776" t="s">
        <v>2127</v>
      </c>
      <c r="AB178" s="776" t="s">
        <v>2127</v>
      </c>
      <c r="AC178" s="776" t="s">
        <v>2127</v>
      </c>
      <c r="AD178" s="776" t="s">
        <v>2127</v>
      </c>
      <c r="AE178" s="776" t="s">
        <v>2127</v>
      </c>
      <c r="AF178" s="776" t="s">
        <v>2127</v>
      </c>
      <c r="AG178" s="776" t="s">
        <v>2127</v>
      </c>
      <c r="AH178" s="776" t="s">
        <v>2127</v>
      </c>
      <c r="AI178" s="776" t="s">
        <v>2127</v>
      </c>
      <c r="AJ178" s="776" t="s">
        <v>2127</v>
      </c>
      <c r="AK178" s="776" t="s">
        <v>2127</v>
      </c>
      <c r="AL178" s="776" t="s">
        <v>2127</v>
      </c>
      <c r="AM178" s="776" t="s">
        <v>2127</v>
      </c>
      <c r="AN178" s="776" t="s">
        <v>2127</v>
      </c>
      <c r="AO178" s="776" t="s">
        <v>2127</v>
      </c>
      <c r="AP178" s="776" t="s">
        <v>2127</v>
      </c>
      <c r="AQ178" s="776" t="s">
        <v>2127</v>
      </c>
      <c r="AR178" s="776" t="s">
        <v>2127</v>
      </c>
      <c r="AS178" s="776" t="s">
        <v>2127</v>
      </c>
      <c r="AT178" s="776" t="s">
        <v>2127</v>
      </c>
      <c r="AU178" s="776" t="s">
        <v>2127</v>
      </c>
      <c r="AV178" s="776" t="s">
        <v>2127</v>
      </c>
      <c r="AW178" s="776" t="s">
        <v>2127</v>
      </c>
      <c r="AX178" s="776" t="s">
        <v>2127</v>
      </c>
      <c r="AY178" s="776" t="s">
        <v>2127</v>
      </c>
      <c r="AZ178" s="776" t="s">
        <v>2127</v>
      </c>
      <c r="BA178" s="776" t="s">
        <v>2127</v>
      </c>
      <c r="BB178" s="776" t="s">
        <v>2127</v>
      </c>
      <c r="BC178" s="776" t="s">
        <v>2127</v>
      </c>
      <c r="BD178" s="776" t="s">
        <v>2127</v>
      </c>
      <c r="BE178" s="776" t="s">
        <v>2127</v>
      </c>
      <c r="BF178" s="776" t="s">
        <v>2127</v>
      </c>
      <c r="BG178" s="776" t="s">
        <v>2127</v>
      </c>
      <c r="BH178" s="776" t="s">
        <v>2127</v>
      </c>
      <c r="BI178" s="776" t="s">
        <v>2127</v>
      </c>
      <c r="BJ178" s="776" t="s">
        <v>2127</v>
      </c>
      <c r="BK178" s="776" t="s">
        <v>2127</v>
      </c>
      <c r="BL178" s="776" t="s">
        <v>2127</v>
      </c>
      <c r="BM178" s="776" t="s">
        <v>2127</v>
      </c>
      <c r="BN178" s="776" t="s">
        <v>2127</v>
      </c>
      <c r="BO178" s="776" t="s">
        <v>2127</v>
      </c>
      <c r="BP178" s="776" t="s">
        <v>2127</v>
      </c>
      <c r="BQ178" s="776" t="s">
        <v>2127</v>
      </c>
      <c r="BR178" s="776" t="s">
        <v>2127</v>
      </c>
      <c r="BS178" s="776" t="s">
        <v>2127</v>
      </c>
      <c r="BT178" s="776" t="s">
        <v>2127</v>
      </c>
      <c r="BU178" s="776" t="s">
        <v>2127</v>
      </c>
      <c r="BV178" s="776" t="s">
        <v>2127</v>
      </c>
      <c r="BW178" s="776" t="s">
        <v>2127</v>
      </c>
      <c r="BX178" s="776" t="s">
        <v>2127</v>
      </c>
      <c r="BY178" s="776" t="s">
        <v>2127</v>
      </c>
      <c r="BZ178" s="776" t="s">
        <v>2127</v>
      </c>
      <c r="CA178" s="776" t="s">
        <v>2127</v>
      </c>
      <c r="CB178" s="776" t="s">
        <v>2127</v>
      </c>
      <c r="CC178" s="776" t="s">
        <v>2127</v>
      </c>
      <c r="CD178" s="776" t="s">
        <v>2127</v>
      </c>
      <c r="CE178" s="776" t="s">
        <v>2127</v>
      </c>
      <c r="CF178" s="776" t="s">
        <v>2127</v>
      </c>
      <c r="CG178" s="776" t="s">
        <v>2127</v>
      </c>
      <c r="CH178" s="776" t="s">
        <v>2127</v>
      </c>
      <c r="CI178" s="776" t="s">
        <v>2127</v>
      </c>
      <c r="CJ178" s="776" t="s">
        <v>2127</v>
      </c>
      <c r="CK178" s="776" t="s">
        <v>2127</v>
      </c>
      <c r="CL178" s="776" t="s">
        <v>2127</v>
      </c>
      <c r="CM178" s="776" t="s">
        <v>2127</v>
      </c>
      <c r="CN178" s="776" t="s">
        <v>2127</v>
      </c>
      <c r="CO178" s="776" t="s">
        <v>2127</v>
      </c>
      <c r="CP178" s="776" t="s">
        <v>2127</v>
      </c>
      <c r="CQ178" s="776" t="s">
        <v>2127</v>
      </c>
      <c r="CR178" s="776" t="s">
        <v>2127</v>
      </c>
      <c r="CS178" s="776" t="s">
        <v>2127</v>
      </c>
      <c r="CT178" s="776" t="s">
        <v>2127</v>
      </c>
      <c r="CU178" s="776" t="s">
        <v>2127</v>
      </c>
      <c r="CV178" s="776" t="s">
        <v>2127</v>
      </c>
      <c r="CW178" s="776" t="s">
        <v>2127</v>
      </c>
      <c r="CX178" s="776" t="s">
        <v>2127</v>
      </c>
      <c r="CY178" s="776" t="s">
        <v>2127</v>
      </c>
      <c r="CZ178" s="776" t="s">
        <v>2127</v>
      </c>
      <c r="DA178" s="776" t="s">
        <v>2127</v>
      </c>
      <c r="DB178" s="776" t="s">
        <v>2127</v>
      </c>
      <c r="DC178" s="776" t="s">
        <v>2127</v>
      </c>
      <c r="DD178" s="776" t="s">
        <v>2127</v>
      </c>
      <c r="DE178" s="776" t="s">
        <v>2127</v>
      </c>
      <c r="DF178" s="776" t="s">
        <v>2127</v>
      </c>
      <c r="DG178" s="776" t="s">
        <v>2127</v>
      </c>
      <c r="DH178" s="776" t="s">
        <v>2127</v>
      </c>
      <c r="DI178" s="776" t="s">
        <v>2127</v>
      </c>
      <c r="DJ178" s="776" t="s">
        <v>2127</v>
      </c>
      <c r="DK178" s="776" t="s">
        <v>2127</v>
      </c>
      <c r="DL178" s="776" t="s">
        <v>2127</v>
      </c>
      <c r="DM178" s="776" t="s">
        <v>2127</v>
      </c>
      <c r="DN178" s="776" t="s">
        <v>2127</v>
      </c>
      <c r="DO178" s="776" t="s">
        <v>2127</v>
      </c>
      <c r="DP178" s="776" t="s">
        <v>2127</v>
      </c>
    </row>
    <row r="179" spans="1:120" x14ac:dyDescent="0.2">
      <c r="A179" s="637"/>
      <c r="B179" s="772" t="str" cm="1">
        <f t="array" ref="B179">IFERROR(INDEX(Kulturen[HF],_xlfn.AGGREGATE(15,6,(ROW(Kulturen[Auswahl])-7)/(--(SEARCH("x",Kulturen[Auswahl])&gt;0)),ROW()-7),1),"")</f>
        <v>Portulak Sommer bis 1. Schnitt</v>
      </c>
      <c r="C179" s="772" t="str">
        <f>IF(Kulturen[[#This Row],[HF]]=$D$373,IF($C$6=0,0,"x"),IF($C$6=0,"x",Vorauswahl!C178))</f>
        <v>x</v>
      </c>
      <c r="D179" s="938" t="s">
        <v>1949</v>
      </c>
      <c r="E179" s="938" t="s">
        <v>1949</v>
      </c>
      <c r="F179" s="938" t="s">
        <v>1950</v>
      </c>
      <c r="G179" s="938">
        <v>12</v>
      </c>
      <c r="H179" s="938">
        <v>8</v>
      </c>
      <c r="I179" s="938">
        <v>1</v>
      </c>
      <c r="J179" s="938">
        <v>12</v>
      </c>
      <c r="K179" s="938">
        <v>0.23</v>
      </c>
      <c r="L179" s="938">
        <v>0.23</v>
      </c>
      <c r="M179" s="938">
        <v>60</v>
      </c>
      <c r="N179" s="938">
        <v>0.8</v>
      </c>
      <c r="O179" s="938">
        <v>1</v>
      </c>
      <c r="P179" s="938">
        <v>0</v>
      </c>
      <c r="Q179" s="938">
        <v>85</v>
      </c>
      <c r="R179" s="938">
        <v>12</v>
      </c>
      <c r="S179" s="938">
        <v>20</v>
      </c>
      <c r="T179" s="938">
        <v>20</v>
      </c>
      <c r="U179" s="938">
        <v>0</v>
      </c>
      <c r="V179" s="938">
        <v>1</v>
      </c>
      <c r="W179" s="776">
        <f>IF(Kulturen[[#This Row],[Berechnungsschema]]=13,3,IF(Kulturen[[#This Row],[Berechnungsschema]]=6,2,1))</f>
        <v>1</v>
      </c>
      <c r="X179" s="776">
        <f>IF(Kulturen[[#This Row],[fruchtartengruppe]]=13,Kulturen[[#This Row],[NBedarfswert]],MAX(0,Kulturen[[#This Row],[NBedarfswert]]-Kulturen[[#This Row],[Ertrag]]*Kulturen[[#This Row],[Nfix]]))</f>
        <v>37</v>
      </c>
      <c r="Y179" s="776" t="s">
        <v>2127</v>
      </c>
      <c r="Z179" s="776" t="s">
        <v>2127</v>
      </c>
      <c r="AA179" s="776" t="s">
        <v>2127</v>
      </c>
      <c r="AB179" s="776" t="s">
        <v>2127</v>
      </c>
      <c r="AC179" s="776" t="s">
        <v>2127</v>
      </c>
      <c r="AD179" s="776" t="s">
        <v>2127</v>
      </c>
      <c r="AE179" s="776" t="s">
        <v>2127</v>
      </c>
      <c r="AF179" s="776" t="s">
        <v>2127</v>
      </c>
      <c r="AG179" s="776" t="s">
        <v>2127</v>
      </c>
      <c r="AH179" s="776" t="s">
        <v>2127</v>
      </c>
      <c r="AI179" s="776" t="s">
        <v>2127</v>
      </c>
      <c r="AJ179" s="776" t="s">
        <v>2127</v>
      </c>
      <c r="AK179" s="776" t="s">
        <v>2127</v>
      </c>
      <c r="AL179" s="776" t="s">
        <v>2127</v>
      </c>
      <c r="AM179" s="776" t="s">
        <v>2127</v>
      </c>
      <c r="AN179" s="776" t="s">
        <v>2127</v>
      </c>
      <c r="AO179" s="776" t="s">
        <v>2127</v>
      </c>
      <c r="AP179" s="776" t="s">
        <v>2127</v>
      </c>
      <c r="AQ179" s="776" t="s">
        <v>2127</v>
      </c>
      <c r="AR179" s="776" t="s">
        <v>2127</v>
      </c>
      <c r="AS179" s="776" t="s">
        <v>2127</v>
      </c>
      <c r="AT179" s="776" t="s">
        <v>2127</v>
      </c>
      <c r="AU179" s="776" t="s">
        <v>2127</v>
      </c>
      <c r="AV179" s="776" t="s">
        <v>2127</v>
      </c>
      <c r="AW179" s="776" t="s">
        <v>2127</v>
      </c>
      <c r="AX179" s="776" t="s">
        <v>2127</v>
      </c>
      <c r="AY179" s="776" t="s">
        <v>2127</v>
      </c>
      <c r="AZ179" s="776" t="s">
        <v>2127</v>
      </c>
      <c r="BA179" s="776" t="s">
        <v>2127</v>
      </c>
      <c r="BB179" s="776" t="s">
        <v>2127</v>
      </c>
      <c r="BC179" s="776" t="s">
        <v>2127</v>
      </c>
      <c r="BD179" s="776" t="s">
        <v>2127</v>
      </c>
      <c r="BE179" s="776" t="s">
        <v>2127</v>
      </c>
      <c r="BF179" s="776" t="s">
        <v>2127</v>
      </c>
      <c r="BG179" s="776" t="s">
        <v>2127</v>
      </c>
      <c r="BH179" s="776" t="s">
        <v>2127</v>
      </c>
      <c r="BI179" s="776" t="s">
        <v>2127</v>
      </c>
      <c r="BJ179" s="776" t="s">
        <v>2127</v>
      </c>
      <c r="BK179" s="776" t="s">
        <v>2127</v>
      </c>
      <c r="BL179" s="776" t="s">
        <v>2127</v>
      </c>
      <c r="BM179" s="776" t="s">
        <v>2127</v>
      </c>
      <c r="BN179" s="776" t="s">
        <v>2127</v>
      </c>
      <c r="BO179" s="776" t="s">
        <v>2127</v>
      </c>
      <c r="BP179" s="776" t="s">
        <v>2127</v>
      </c>
      <c r="BQ179" s="776" t="s">
        <v>2127</v>
      </c>
      <c r="BR179" s="776" t="s">
        <v>2127</v>
      </c>
      <c r="BS179" s="776" t="s">
        <v>2127</v>
      </c>
      <c r="BT179" s="776" t="s">
        <v>2127</v>
      </c>
      <c r="BU179" s="776" t="s">
        <v>2127</v>
      </c>
      <c r="BV179" s="776" t="s">
        <v>2127</v>
      </c>
      <c r="BW179" s="776" t="s">
        <v>2127</v>
      </c>
      <c r="BX179" s="776" t="s">
        <v>2127</v>
      </c>
      <c r="BY179" s="776" t="s">
        <v>2127</v>
      </c>
      <c r="BZ179" s="776" t="s">
        <v>2127</v>
      </c>
      <c r="CA179" s="776" t="s">
        <v>2127</v>
      </c>
      <c r="CB179" s="776" t="s">
        <v>2127</v>
      </c>
      <c r="CC179" s="776" t="s">
        <v>2127</v>
      </c>
      <c r="CD179" s="776" t="s">
        <v>2127</v>
      </c>
      <c r="CE179" s="776" t="s">
        <v>2127</v>
      </c>
      <c r="CF179" s="776" t="s">
        <v>2127</v>
      </c>
      <c r="CG179" s="776" t="s">
        <v>2127</v>
      </c>
      <c r="CH179" s="776" t="s">
        <v>2127</v>
      </c>
      <c r="CI179" s="776" t="s">
        <v>2127</v>
      </c>
      <c r="CJ179" s="776" t="s">
        <v>2127</v>
      </c>
      <c r="CK179" s="776" t="s">
        <v>2127</v>
      </c>
      <c r="CL179" s="776" t="s">
        <v>2127</v>
      </c>
      <c r="CM179" s="776" t="s">
        <v>2127</v>
      </c>
      <c r="CN179" s="776" t="s">
        <v>2127</v>
      </c>
      <c r="CO179" s="776" t="s">
        <v>2127</v>
      </c>
      <c r="CP179" s="776" t="s">
        <v>2127</v>
      </c>
      <c r="CQ179" s="776" t="s">
        <v>2127</v>
      </c>
      <c r="CR179" s="776" t="s">
        <v>2127</v>
      </c>
      <c r="CS179" s="776" t="s">
        <v>2127</v>
      </c>
      <c r="CT179" s="776" t="s">
        <v>2127</v>
      </c>
      <c r="CU179" s="776" t="s">
        <v>2127</v>
      </c>
      <c r="CV179" s="776" t="s">
        <v>2127</v>
      </c>
      <c r="CW179" s="776" t="s">
        <v>2127</v>
      </c>
      <c r="CX179" s="776" t="s">
        <v>2127</v>
      </c>
      <c r="CY179" s="776" t="s">
        <v>2127</v>
      </c>
      <c r="CZ179" s="776" t="s">
        <v>2127</v>
      </c>
      <c r="DA179" s="776" t="s">
        <v>2127</v>
      </c>
      <c r="DB179" s="776" t="s">
        <v>2127</v>
      </c>
      <c r="DC179" s="776" t="s">
        <v>2127</v>
      </c>
      <c r="DD179" s="776" t="s">
        <v>2127</v>
      </c>
      <c r="DE179" s="776" t="s">
        <v>2127</v>
      </c>
      <c r="DF179" s="776" t="s">
        <v>2127</v>
      </c>
      <c r="DG179" s="776" t="s">
        <v>2127</v>
      </c>
      <c r="DH179" s="776" t="s">
        <v>2127</v>
      </c>
      <c r="DI179" s="776" t="s">
        <v>2127</v>
      </c>
      <c r="DJ179" s="776" t="s">
        <v>2127</v>
      </c>
      <c r="DK179" s="776" t="s">
        <v>2127</v>
      </c>
      <c r="DL179" s="776" t="s">
        <v>2127</v>
      </c>
      <c r="DM179" s="776" t="s">
        <v>2127</v>
      </c>
      <c r="DN179" s="776" t="s">
        <v>2127</v>
      </c>
      <c r="DO179" s="776" t="s">
        <v>2127</v>
      </c>
      <c r="DP179" s="776" t="s">
        <v>2127</v>
      </c>
    </row>
    <row r="180" spans="1:120" x14ac:dyDescent="0.2">
      <c r="A180" s="637"/>
      <c r="B180" s="772" t="str" cm="1">
        <f t="array" ref="B180">IFERROR(INDEX(Kulturen[HF],_xlfn.AGGREGATE(15,6,(ROW(Kulturen[Auswahl])-7)/(--(SEARCH("x",Kulturen[Auswahl])&gt;0)),ROW()-7),1),"")</f>
        <v>Portulak Sommer nach einem Schnitt</v>
      </c>
      <c r="C180" s="772" t="str">
        <f>IF(Kulturen[[#This Row],[HF]]=$D$373,IF($C$6=0,0,"x"),IF($C$6=0,"x",Vorauswahl!C179))</f>
        <v>x</v>
      </c>
      <c r="D180" s="938" t="s">
        <v>1951</v>
      </c>
      <c r="E180" s="938" t="s">
        <v>1951</v>
      </c>
      <c r="F180" s="938" t="s">
        <v>1952</v>
      </c>
      <c r="G180" s="938">
        <v>12</v>
      </c>
      <c r="H180" s="938">
        <v>8</v>
      </c>
      <c r="I180" s="938">
        <v>1</v>
      </c>
      <c r="J180" s="938">
        <v>12</v>
      </c>
      <c r="K180" s="938">
        <v>0.23</v>
      </c>
      <c r="L180" s="938">
        <v>0.23</v>
      </c>
      <c r="M180" s="938">
        <v>80</v>
      </c>
      <c r="N180" s="938">
        <v>0.8</v>
      </c>
      <c r="O180" s="938">
        <v>1</v>
      </c>
      <c r="P180" s="938">
        <v>0</v>
      </c>
      <c r="Q180" s="938">
        <v>80</v>
      </c>
      <c r="R180" s="938">
        <v>16</v>
      </c>
      <c r="S180" s="938">
        <v>20</v>
      </c>
      <c r="T180" s="938">
        <v>20</v>
      </c>
      <c r="U180" s="938">
        <v>0</v>
      </c>
      <c r="V180" s="938">
        <v>1</v>
      </c>
      <c r="W180" s="776">
        <f>IF(Kulturen[[#This Row],[Berechnungsschema]]=13,3,IF(Kulturen[[#This Row],[Berechnungsschema]]=6,2,1))</f>
        <v>1</v>
      </c>
      <c r="X180" s="776">
        <f>IF(Kulturen[[#This Row],[fruchtartengruppe]]=13,Kulturen[[#This Row],[NBedarfswert]],MAX(0,Kulturen[[#This Row],[NBedarfswert]]-Kulturen[[#This Row],[Ertrag]]*Kulturen[[#This Row],[Nfix]]))</f>
        <v>16</v>
      </c>
      <c r="Y180" s="776" t="s">
        <v>2127</v>
      </c>
      <c r="Z180" s="776" t="s">
        <v>2127</v>
      </c>
      <c r="AA180" s="776" t="s">
        <v>2127</v>
      </c>
      <c r="AB180" s="776" t="s">
        <v>2127</v>
      </c>
      <c r="AC180" s="776" t="s">
        <v>2127</v>
      </c>
      <c r="AD180" s="776" t="s">
        <v>2127</v>
      </c>
      <c r="AE180" s="776" t="s">
        <v>2127</v>
      </c>
      <c r="AF180" s="776" t="s">
        <v>2127</v>
      </c>
      <c r="AG180" s="776" t="s">
        <v>2127</v>
      </c>
      <c r="AH180" s="776" t="s">
        <v>2127</v>
      </c>
      <c r="AI180" s="776" t="s">
        <v>2127</v>
      </c>
      <c r="AJ180" s="776" t="s">
        <v>2127</v>
      </c>
      <c r="AK180" s="776" t="s">
        <v>2127</v>
      </c>
      <c r="AL180" s="776" t="s">
        <v>2127</v>
      </c>
      <c r="AM180" s="776" t="s">
        <v>2127</v>
      </c>
      <c r="AN180" s="776" t="s">
        <v>2127</v>
      </c>
      <c r="AO180" s="776" t="s">
        <v>2127</v>
      </c>
      <c r="AP180" s="776" t="s">
        <v>2127</v>
      </c>
      <c r="AQ180" s="776" t="s">
        <v>2127</v>
      </c>
      <c r="AR180" s="776" t="s">
        <v>2127</v>
      </c>
      <c r="AS180" s="776" t="s">
        <v>2127</v>
      </c>
      <c r="AT180" s="776" t="s">
        <v>2127</v>
      </c>
      <c r="AU180" s="776" t="s">
        <v>2127</v>
      </c>
      <c r="AV180" s="776" t="s">
        <v>2127</v>
      </c>
      <c r="AW180" s="776" t="s">
        <v>2127</v>
      </c>
      <c r="AX180" s="776" t="s">
        <v>2127</v>
      </c>
      <c r="AY180" s="776" t="s">
        <v>2127</v>
      </c>
      <c r="AZ180" s="776" t="s">
        <v>2127</v>
      </c>
      <c r="BA180" s="776" t="s">
        <v>2127</v>
      </c>
      <c r="BB180" s="776" t="s">
        <v>2127</v>
      </c>
      <c r="BC180" s="776" t="s">
        <v>2127</v>
      </c>
      <c r="BD180" s="776" t="s">
        <v>2127</v>
      </c>
      <c r="BE180" s="776" t="s">
        <v>2127</v>
      </c>
      <c r="BF180" s="776" t="s">
        <v>2127</v>
      </c>
      <c r="BG180" s="776" t="s">
        <v>2127</v>
      </c>
      <c r="BH180" s="776" t="s">
        <v>2127</v>
      </c>
      <c r="BI180" s="776" t="s">
        <v>2127</v>
      </c>
      <c r="BJ180" s="776" t="s">
        <v>2127</v>
      </c>
      <c r="BK180" s="776" t="s">
        <v>2127</v>
      </c>
      <c r="BL180" s="776" t="s">
        <v>2127</v>
      </c>
      <c r="BM180" s="776" t="s">
        <v>2127</v>
      </c>
      <c r="BN180" s="776" t="s">
        <v>2127</v>
      </c>
      <c r="BO180" s="776" t="s">
        <v>2127</v>
      </c>
      <c r="BP180" s="776" t="s">
        <v>2127</v>
      </c>
      <c r="BQ180" s="776" t="s">
        <v>2127</v>
      </c>
      <c r="BR180" s="776" t="s">
        <v>2127</v>
      </c>
      <c r="BS180" s="776" t="s">
        <v>2127</v>
      </c>
      <c r="BT180" s="776" t="s">
        <v>2127</v>
      </c>
      <c r="BU180" s="776" t="s">
        <v>2127</v>
      </c>
      <c r="BV180" s="776" t="s">
        <v>2127</v>
      </c>
      <c r="BW180" s="776" t="s">
        <v>2127</v>
      </c>
      <c r="BX180" s="776" t="s">
        <v>2127</v>
      </c>
      <c r="BY180" s="776" t="s">
        <v>2127</v>
      </c>
      <c r="BZ180" s="776" t="s">
        <v>2127</v>
      </c>
      <c r="CA180" s="776" t="s">
        <v>2127</v>
      </c>
      <c r="CB180" s="776" t="s">
        <v>2127</v>
      </c>
      <c r="CC180" s="776" t="s">
        <v>2127</v>
      </c>
      <c r="CD180" s="776" t="s">
        <v>2127</v>
      </c>
      <c r="CE180" s="776" t="s">
        <v>2127</v>
      </c>
      <c r="CF180" s="776" t="s">
        <v>2127</v>
      </c>
      <c r="CG180" s="776" t="s">
        <v>2127</v>
      </c>
      <c r="CH180" s="776" t="s">
        <v>2127</v>
      </c>
      <c r="CI180" s="776" t="s">
        <v>2127</v>
      </c>
      <c r="CJ180" s="776" t="s">
        <v>2127</v>
      </c>
      <c r="CK180" s="776" t="s">
        <v>2127</v>
      </c>
      <c r="CL180" s="776" t="s">
        <v>2127</v>
      </c>
      <c r="CM180" s="776" t="s">
        <v>2127</v>
      </c>
      <c r="CN180" s="776" t="s">
        <v>2127</v>
      </c>
      <c r="CO180" s="776" t="s">
        <v>2127</v>
      </c>
      <c r="CP180" s="776" t="s">
        <v>2127</v>
      </c>
      <c r="CQ180" s="776" t="s">
        <v>2127</v>
      </c>
      <c r="CR180" s="776" t="s">
        <v>2127</v>
      </c>
      <c r="CS180" s="776" t="s">
        <v>2127</v>
      </c>
      <c r="CT180" s="776" t="s">
        <v>2127</v>
      </c>
      <c r="CU180" s="776" t="s">
        <v>2127</v>
      </c>
      <c r="CV180" s="776" t="s">
        <v>2127</v>
      </c>
      <c r="CW180" s="776" t="s">
        <v>2127</v>
      </c>
      <c r="CX180" s="776" t="s">
        <v>2127</v>
      </c>
      <c r="CY180" s="776" t="s">
        <v>2127</v>
      </c>
      <c r="CZ180" s="776" t="s">
        <v>2127</v>
      </c>
      <c r="DA180" s="776" t="s">
        <v>2127</v>
      </c>
      <c r="DB180" s="776" t="s">
        <v>2127</v>
      </c>
      <c r="DC180" s="776" t="s">
        <v>2127</v>
      </c>
      <c r="DD180" s="776" t="s">
        <v>2127</v>
      </c>
      <c r="DE180" s="776" t="s">
        <v>2127</v>
      </c>
      <c r="DF180" s="776" t="s">
        <v>2127</v>
      </c>
      <c r="DG180" s="776" t="s">
        <v>2127</v>
      </c>
      <c r="DH180" s="776" t="s">
        <v>2127</v>
      </c>
      <c r="DI180" s="776" t="s">
        <v>2127</v>
      </c>
      <c r="DJ180" s="776" t="s">
        <v>2127</v>
      </c>
      <c r="DK180" s="776" t="s">
        <v>2127</v>
      </c>
      <c r="DL180" s="776" t="s">
        <v>2127</v>
      </c>
      <c r="DM180" s="776" t="s">
        <v>2127</v>
      </c>
      <c r="DN180" s="776" t="s">
        <v>2127</v>
      </c>
      <c r="DO180" s="776" t="s">
        <v>2127</v>
      </c>
      <c r="DP180" s="776" t="s">
        <v>2127</v>
      </c>
    </row>
    <row r="181" spans="1:120" x14ac:dyDescent="0.2">
      <c r="A181" s="637" t="s">
        <v>2218</v>
      </c>
      <c r="B181" s="772" t="str" cm="1">
        <f t="array" ref="B181">IFERROR(INDEX(Kulturen[HF],_xlfn.AGGREGATE(15,6,(ROW(Kulturen[Auswahl])-7)/(--(SEARCH("x",Kulturen[Auswahl])&gt;0)),ROW()-7),1),"")</f>
        <v>Portulak Winter bis 1. Schnitt</v>
      </c>
      <c r="C181" s="772" t="str">
        <f>IF(Kulturen[[#This Row],[HF]]=$D$373,IF($C$6=0,0,"x"),IF($C$6=0,"x",Vorauswahl!C180))</f>
        <v>x</v>
      </c>
      <c r="D181" s="938" t="s">
        <v>776</v>
      </c>
      <c r="E181" s="938" t="s">
        <v>776</v>
      </c>
      <c r="F181" s="938" t="s">
        <v>859</v>
      </c>
      <c r="G181" s="938">
        <v>12</v>
      </c>
      <c r="H181" s="938">
        <v>8</v>
      </c>
      <c r="I181" s="938">
        <v>3</v>
      </c>
      <c r="J181" s="938">
        <v>12</v>
      </c>
      <c r="K181" s="938">
        <v>8.2000000000000003E-2</v>
      </c>
      <c r="L181" s="938">
        <v>0.08</v>
      </c>
      <c r="M181" s="938">
        <v>600</v>
      </c>
      <c r="N181" s="938">
        <v>0</v>
      </c>
      <c r="O181" s="938">
        <v>1</v>
      </c>
      <c r="P181" s="938">
        <v>0</v>
      </c>
      <c r="Q181" s="938">
        <v>115</v>
      </c>
      <c r="R181" s="938">
        <v>120</v>
      </c>
      <c r="S181" s="938">
        <v>20</v>
      </c>
      <c r="T181" s="938">
        <v>20</v>
      </c>
      <c r="U181" s="938">
        <v>0</v>
      </c>
      <c r="V181" s="938">
        <v>1</v>
      </c>
      <c r="W181" s="776">
        <f>IF(Kulturen[[#This Row],[Berechnungsschema]]=13,3,IF(Kulturen[[#This Row],[Berechnungsschema]]=6,2,1))</f>
        <v>1</v>
      </c>
      <c r="X181" s="776">
        <f>IF(Kulturen[[#This Row],[fruchtartengruppe]]=13,Kulturen[[#This Row],[NBedarfswert]],MAX(0,Kulturen[[#This Row],[NBedarfswert]]-Kulturen[[#This Row],[Ertrag]]*Kulturen[[#This Row],[Nfix]]))</f>
        <v>115</v>
      </c>
      <c r="Y181" s="776" t="s">
        <v>2127</v>
      </c>
      <c r="Z181" s="776" t="s">
        <v>2127</v>
      </c>
      <c r="AA181" s="776" t="s">
        <v>2127</v>
      </c>
      <c r="AB181" s="776" t="s">
        <v>2127</v>
      </c>
      <c r="AC181" s="776" t="s">
        <v>2127</v>
      </c>
      <c r="AD181" s="776" t="s">
        <v>2127</v>
      </c>
      <c r="AE181" s="776" t="s">
        <v>2127</v>
      </c>
      <c r="AF181" s="776" t="s">
        <v>2127</v>
      </c>
      <c r="AG181" s="776" t="s">
        <v>2127</v>
      </c>
      <c r="AH181" s="776" t="s">
        <v>2127</v>
      </c>
      <c r="AI181" s="776" t="s">
        <v>2127</v>
      </c>
      <c r="AJ181" s="776" t="s">
        <v>2127</v>
      </c>
      <c r="AK181" s="776" t="s">
        <v>2127</v>
      </c>
      <c r="AL181" s="776" t="s">
        <v>2127</v>
      </c>
      <c r="AM181" s="776" t="s">
        <v>2127</v>
      </c>
      <c r="AN181" s="776" t="s">
        <v>2127</v>
      </c>
      <c r="AO181" s="776" t="s">
        <v>2127</v>
      </c>
      <c r="AP181" s="776" t="s">
        <v>2127</v>
      </c>
      <c r="AQ181" s="776" t="s">
        <v>2127</v>
      </c>
      <c r="AR181" s="776" t="s">
        <v>2127</v>
      </c>
      <c r="AS181" s="776" t="s">
        <v>2127</v>
      </c>
      <c r="AT181" s="776" t="s">
        <v>2127</v>
      </c>
      <c r="AU181" s="776" t="s">
        <v>2127</v>
      </c>
      <c r="AV181" s="776" t="s">
        <v>2127</v>
      </c>
      <c r="AW181" s="776" t="s">
        <v>2127</v>
      </c>
      <c r="AX181" s="776" t="s">
        <v>2127</v>
      </c>
      <c r="AY181" s="776" t="s">
        <v>2127</v>
      </c>
      <c r="AZ181" s="776" t="s">
        <v>2127</v>
      </c>
      <c r="BA181" s="776" t="s">
        <v>2127</v>
      </c>
      <c r="BB181" s="776" t="s">
        <v>2127</v>
      </c>
      <c r="BC181" s="776" t="s">
        <v>2127</v>
      </c>
      <c r="BD181" s="776" t="s">
        <v>2127</v>
      </c>
      <c r="BE181" s="776" t="s">
        <v>2127</v>
      </c>
      <c r="BF181" s="776" t="s">
        <v>2127</v>
      </c>
      <c r="BG181" s="776" t="s">
        <v>2127</v>
      </c>
      <c r="BH181" s="776" t="s">
        <v>2127</v>
      </c>
      <c r="BI181" s="776" t="s">
        <v>2127</v>
      </c>
      <c r="BJ181" s="776" t="s">
        <v>2127</v>
      </c>
      <c r="BK181" s="776" t="s">
        <v>2127</v>
      </c>
      <c r="BL181" s="776" t="s">
        <v>2127</v>
      </c>
      <c r="BM181" s="776" t="s">
        <v>2127</v>
      </c>
      <c r="BN181" s="776" t="s">
        <v>2127</v>
      </c>
      <c r="BO181" s="776" t="s">
        <v>2127</v>
      </c>
      <c r="BP181" s="776" t="s">
        <v>2127</v>
      </c>
      <c r="BQ181" s="776" t="s">
        <v>2127</v>
      </c>
      <c r="BR181" s="776" t="s">
        <v>2127</v>
      </c>
      <c r="BS181" s="776" t="s">
        <v>2127</v>
      </c>
      <c r="BT181" s="776" t="s">
        <v>2127</v>
      </c>
      <c r="BU181" s="776" t="s">
        <v>2127</v>
      </c>
      <c r="BV181" s="776" t="s">
        <v>2127</v>
      </c>
      <c r="BW181" s="776" t="s">
        <v>2127</v>
      </c>
      <c r="BX181" s="776" t="s">
        <v>2127</v>
      </c>
      <c r="BY181" s="776" t="s">
        <v>2127</v>
      </c>
      <c r="BZ181" s="776" t="s">
        <v>2127</v>
      </c>
      <c r="CA181" s="776" t="s">
        <v>2127</v>
      </c>
      <c r="CB181" s="776" t="s">
        <v>2127</v>
      </c>
      <c r="CC181" s="776" t="s">
        <v>2127</v>
      </c>
      <c r="CD181" s="776" t="s">
        <v>2127</v>
      </c>
      <c r="CE181" s="776" t="s">
        <v>2127</v>
      </c>
      <c r="CF181" s="776" t="s">
        <v>2127</v>
      </c>
      <c r="CG181" s="776" t="s">
        <v>2127</v>
      </c>
      <c r="CH181" s="776" t="s">
        <v>2127</v>
      </c>
      <c r="CI181" s="776" t="s">
        <v>2127</v>
      </c>
      <c r="CJ181" s="776" t="s">
        <v>2127</v>
      </c>
      <c r="CK181" s="776" t="s">
        <v>2127</v>
      </c>
      <c r="CL181" s="776" t="s">
        <v>2127</v>
      </c>
      <c r="CM181" s="776" t="s">
        <v>2127</v>
      </c>
      <c r="CN181" s="776" t="s">
        <v>2127</v>
      </c>
      <c r="CO181" s="776" t="s">
        <v>2127</v>
      </c>
      <c r="CP181" s="776" t="s">
        <v>2127</v>
      </c>
      <c r="CQ181" s="776" t="s">
        <v>2127</v>
      </c>
      <c r="CR181" s="776" t="s">
        <v>2127</v>
      </c>
      <c r="CS181" s="776" t="s">
        <v>2127</v>
      </c>
      <c r="CT181" s="776" t="s">
        <v>2127</v>
      </c>
      <c r="CU181" s="776" t="s">
        <v>2127</v>
      </c>
      <c r="CV181" s="776" t="s">
        <v>2127</v>
      </c>
      <c r="CW181" s="776" t="s">
        <v>2127</v>
      </c>
      <c r="CX181" s="776" t="s">
        <v>2127</v>
      </c>
      <c r="CY181" s="776" t="s">
        <v>2127</v>
      </c>
      <c r="CZ181" s="776" t="s">
        <v>2127</v>
      </c>
      <c r="DA181" s="776" t="s">
        <v>2127</v>
      </c>
      <c r="DB181" s="776" t="s">
        <v>2127</v>
      </c>
      <c r="DC181" s="776" t="s">
        <v>2127</v>
      </c>
      <c r="DD181" s="776" t="s">
        <v>2127</v>
      </c>
      <c r="DE181" s="776" t="s">
        <v>2127</v>
      </c>
      <c r="DF181" s="776" t="s">
        <v>2127</v>
      </c>
      <c r="DG181" s="776" t="s">
        <v>2127</v>
      </c>
      <c r="DH181" s="776" t="s">
        <v>2127</v>
      </c>
      <c r="DI181" s="776" t="s">
        <v>2127</v>
      </c>
      <c r="DJ181" s="776" t="s">
        <v>2127</v>
      </c>
      <c r="DK181" s="776" t="s">
        <v>2127</v>
      </c>
      <c r="DL181" s="776" t="s">
        <v>2127</v>
      </c>
      <c r="DM181" s="776" t="s">
        <v>2127</v>
      </c>
      <c r="DN181" s="776" t="s">
        <v>2127</v>
      </c>
      <c r="DO181" s="776" t="s">
        <v>2127</v>
      </c>
      <c r="DP181" s="776" t="s">
        <v>2127</v>
      </c>
    </row>
    <row r="182" spans="1:120" x14ac:dyDescent="0.2">
      <c r="A182" s="637" t="s">
        <v>2219</v>
      </c>
      <c r="B182" s="772" t="str" cm="1">
        <f t="array" ref="B182">IFERROR(INDEX(Kulturen[HF],_xlfn.AGGREGATE(15,6,(ROW(Kulturen[Auswahl])-7)/(--(SEARCH("x",Kulturen[Auswahl])&gt;0)),ROW()-7),1),"")</f>
        <v>Portulak Winter nach einem Schnitt</v>
      </c>
      <c r="C182" s="772" t="str">
        <f>IF(Kulturen[[#This Row],[HF]]=$D$373,IF($C$6=0,0,"x"),IF($C$6=0,"x",Vorauswahl!C181))</f>
        <v>x</v>
      </c>
      <c r="D182" s="938" t="s">
        <v>777</v>
      </c>
      <c r="E182" s="938" t="s">
        <v>777</v>
      </c>
      <c r="F182" s="938" t="s">
        <v>860</v>
      </c>
      <c r="G182" s="938">
        <v>12</v>
      </c>
      <c r="H182" s="938">
        <v>8</v>
      </c>
      <c r="I182" s="938">
        <v>1</v>
      </c>
      <c r="J182" s="938">
        <v>12</v>
      </c>
      <c r="K182" s="938">
        <v>0.08</v>
      </c>
      <c r="L182" s="938">
        <v>0.08</v>
      </c>
      <c r="M182" s="938">
        <v>900</v>
      </c>
      <c r="N182" s="938">
        <v>0</v>
      </c>
      <c r="O182" s="938">
        <v>1</v>
      </c>
      <c r="P182" s="938">
        <v>0</v>
      </c>
      <c r="Q182" s="938">
        <v>165</v>
      </c>
      <c r="R182" s="938">
        <v>180</v>
      </c>
      <c r="S182" s="938">
        <v>20</v>
      </c>
      <c r="T182" s="938">
        <v>20</v>
      </c>
      <c r="U182" s="938">
        <v>0</v>
      </c>
      <c r="V182" s="938">
        <v>1</v>
      </c>
      <c r="W182" s="776">
        <f>IF(Kulturen[[#This Row],[Berechnungsschema]]=13,3,IF(Kulturen[[#This Row],[Berechnungsschema]]=6,2,1))</f>
        <v>1</v>
      </c>
      <c r="X182" s="776">
        <f>IF(Kulturen[[#This Row],[fruchtartengruppe]]=13,Kulturen[[#This Row],[NBedarfswert]],MAX(0,Kulturen[[#This Row],[NBedarfswert]]-Kulturen[[#This Row],[Ertrag]]*Kulturen[[#This Row],[Nfix]]))</f>
        <v>165</v>
      </c>
      <c r="Y182" s="776" t="s">
        <v>2127</v>
      </c>
      <c r="Z182" s="776" t="s">
        <v>2127</v>
      </c>
      <c r="AA182" s="776" t="s">
        <v>2127</v>
      </c>
      <c r="AB182" s="776" t="s">
        <v>2127</v>
      </c>
      <c r="AC182" s="776" t="s">
        <v>2127</v>
      </c>
      <c r="AD182" s="776" t="s">
        <v>2127</v>
      </c>
      <c r="AE182" s="776" t="s">
        <v>2127</v>
      </c>
      <c r="AF182" s="776" t="s">
        <v>2127</v>
      </c>
      <c r="AG182" s="776" t="s">
        <v>2127</v>
      </c>
      <c r="AH182" s="776" t="s">
        <v>2127</v>
      </c>
      <c r="AI182" s="776" t="s">
        <v>2127</v>
      </c>
      <c r="AJ182" s="776" t="s">
        <v>2127</v>
      </c>
      <c r="AK182" s="776" t="s">
        <v>2127</v>
      </c>
      <c r="AL182" s="776" t="s">
        <v>2127</v>
      </c>
      <c r="AM182" s="776" t="s">
        <v>2127</v>
      </c>
      <c r="AN182" s="776" t="s">
        <v>2127</v>
      </c>
      <c r="AO182" s="776" t="s">
        <v>2127</v>
      </c>
      <c r="AP182" s="776" t="s">
        <v>2127</v>
      </c>
      <c r="AQ182" s="776" t="s">
        <v>2127</v>
      </c>
      <c r="AR182" s="776" t="s">
        <v>2127</v>
      </c>
      <c r="AS182" s="776" t="s">
        <v>2127</v>
      </c>
      <c r="AT182" s="776" t="s">
        <v>2127</v>
      </c>
      <c r="AU182" s="776" t="s">
        <v>2127</v>
      </c>
      <c r="AV182" s="776" t="s">
        <v>2127</v>
      </c>
      <c r="AW182" s="776" t="s">
        <v>2127</v>
      </c>
      <c r="AX182" s="776" t="s">
        <v>2127</v>
      </c>
      <c r="AY182" s="776" t="s">
        <v>2127</v>
      </c>
      <c r="AZ182" s="776" t="s">
        <v>2127</v>
      </c>
      <c r="BA182" s="776" t="s">
        <v>2127</v>
      </c>
      <c r="BB182" s="776" t="s">
        <v>2127</v>
      </c>
      <c r="BC182" s="776" t="s">
        <v>2127</v>
      </c>
      <c r="BD182" s="776" t="s">
        <v>2127</v>
      </c>
      <c r="BE182" s="776" t="s">
        <v>2127</v>
      </c>
      <c r="BF182" s="776" t="s">
        <v>2127</v>
      </c>
      <c r="BG182" s="776" t="s">
        <v>2127</v>
      </c>
      <c r="BH182" s="776" t="s">
        <v>2127</v>
      </c>
      <c r="BI182" s="776" t="s">
        <v>2127</v>
      </c>
      <c r="BJ182" s="776" t="s">
        <v>2127</v>
      </c>
      <c r="BK182" s="776" t="s">
        <v>2127</v>
      </c>
      <c r="BL182" s="776" t="s">
        <v>2127</v>
      </c>
      <c r="BM182" s="776" t="s">
        <v>2127</v>
      </c>
      <c r="BN182" s="776" t="s">
        <v>2127</v>
      </c>
      <c r="BO182" s="776" t="s">
        <v>2127</v>
      </c>
      <c r="BP182" s="776" t="s">
        <v>2127</v>
      </c>
      <c r="BQ182" s="776" t="s">
        <v>2127</v>
      </c>
      <c r="BR182" s="776" t="s">
        <v>2127</v>
      </c>
      <c r="BS182" s="776" t="s">
        <v>2127</v>
      </c>
      <c r="BT182" s="776" t="s">
        <v>2127</v>
      </c>
      <c r="BU182" s="776" t="s">
        <v>2127</v>
      </c>
      <c r="BV182" s="776" t="s">
        <v>2127</v>
      </c>
      <c r="BW182" s="776" t="s">
        <v>2127</v>
      </c>
      <c r="BX182" s="776" t="s">
        <v>2127</v>
      </c>
      <c r="BY182" s="776" t="s">
        <v>2127</v>
      </c>
      <c r="BZ182" s="776" t="s">
        <v>2127</v>
      </c>
      <c r="CA182" s="776" t="s">
        <v>2127</v>
      </c>
      <c r="CB182" s="776" t="s">
        <v>2127</v>
      </c>
      <c r="CC182" s="776" t="s">
        <v>2127</v>
      </c>
      <c r="CD182" s="776" t="s">
        <v>2127</v>
      </c>
      <c r="CE182" s="776" t="s">
        <v>2127</v>
      </c>
      <c r="CF182" s="776" t="s">
        <v>2127</v>
      </c>
      <c r="CG182" s="776" t="s">
        <v>2127</v>
      </c>
      <c r="CH182" s="776" t="s">
        <v>2127</v>
      </c>
      <c r="CI182" s="776" t="s">
        <v>2127</v>
      </c>
      <c r="CJ182" s="776" t="s">
        <v>2127</v>
      </c>
      <c r="CK182" s="776" t="s">
        <v>2127</v>
      </c>
      <c r="CL182" s="776" t="s">
        <v>2127</v>
      </c>
      <c r="CM182" s="776" t="s">
        <v>2127</v>
      </c>
      <c r="CN182" s="776" t="s">
        <v>2127</v>
      </c>
      <c r="CO182" s="776" t="s">
        <v>2127</v>
      </c>
      <c r="CP182" s="776" t="s">
        <v>2127</v>
      </c>
      <c r="CQ182" s="776" t="s">
        <v>2127</v>
      </c>
      <c r="CR182" s="776" t="s">
        <v>2127</v>
      </c>
      <c r="CS182" s="776" t="s">
        <v>2127</v>
      </c>
      <c r="CT182" s="776" t="s">
        <v>2127</v>
      </c>
      <c r="CU182" s="776" t="s">
        <v>2127</v>
      </c>
      <c r="CV182" s="776" t="s">
        <v>2127</v>
      </c>
      <c r="CW182" s="776" t="s">
        <v>2127</v>
      </c>
      <c r="CX182" s="776" t="s">
        <v>2127</v>
      </c>
      <c r="CY182" s="776" t="s">
        <v>2127</v>
      </c>
      <c r="CZ182" s="776" t="s">
        <v>2127</v>
      </c>
      <c r="DA182" s="776" t="s">
        <v>2127</v>
      </c>
      <c r="DB182" s="776" t="s">
        <v>2127</v>
      </c>
      <c r="DC182" s="776" t="s">
        <v>2127</v>
      </c>
      <c r="DD182" s="776" t="s">
        <v>2127</v>
      </c>
      <c r="DE182" s="776" t="s">
        <v>2127</v>
      </c>
      <c r="DF182" s="776" t="s">
        <v>2127</v>
      </c>
      <c r="DG182" s="776" t="s">
        <v>2127</v>
      </c>
      <c r="DH182" s="776" t="s">
        <v>2127</v>
      </c>
      <c r="DI182" s="776" t="s">
        <v>2127</v>
      </c>
      <c r="DJ182" s="776" t="s">
        <v>2127</v>
      </c>
      <c r="DK182" s="776" t="s">
        <v>2127</v>
      </c>
      <c r="DL182" s="776" t="s">
        <v>2127</v>
      </c>
      <c r="DM182" s="776" t="s">
        <v>2127</v>
      </c>
      <c r="DN182" s="776" t="s">
        <v>2127</v>
      </c>
      <c r="DO182" s="776" t="s">
        <v>2127</v>
      </c>
      <c r="DP182" s="776" t="s">
        <v>2127</v>
      </c>
    </row>
    <row r="183" spans="1:120" x14ac:dyDescent="0.2">
      <c r="A183" s="637" t="s">
        <v>2220</v>
      </c>
      <c r="B183" s="772" t="str" cm="1">
        <f t="array" ref="B183">IFERROR(INDEX(Kulturen[HF],_xlfn.AGGREGATE(15,6,(ROW(Kulturen[Auswahl])-7)/(--(SEARCH("x",Kulturen[Auswahl])&gt;0)),ROW()-7),1),"")</f>
        <v>Radicchio</v>
      </c>
      <c r="C183" s="772" t="str">
        <f>IF(Kulturen[[#This Row],[HF]]=$D$373,IF($C$6=0,0,"x"),IF($C$6=0,"x",Vorauswahl!C182))</f>
        <v>x</v>
      </c>
      <c r="D183" s="938" t="s">
        <v>778</v>
      </c>
      <c r="E183" s="938" t="s">
        <v>778</v>
      </c>
      <c r="F183" s="938" t="s">
        <v>861</v>
      </c>
      <c r="G183" s="938">
        <v>12</v>
      </c>
      <c r="H183" s="938">
        <v>8</v>
      </c>
      <c r="I183" s="938">
        <v>1</v>
      </c>
      <c r="J183" s="938">
        <v>12</v>
      </c>
      <c r="K183" s="938">
        <v>0.08</v>
      </c>
      <c r="L183" s="938">
        <v>0.08</v>
      </c>
      <c r="M183" s="938">
        <v>700</v>
      </c>
      <c r="N183" s="938">
        <v>0</v>
      </c>
      <c r="O183" s="938">
        <v>1</v>
      </c>
      <c r="P183" s="938">
        <v>0</v>
      </c>
      <c r="Q183" s="938">
        <v>125</v>
      </c>
      <c r="R183" s="938">
        <v>140</v>
      </c>
      <c r="S183" s="938">
        <v>20</v>
      </c>
      <c r="T183" s="938">
        <v>20</v>
      </c>
      <c r="U183" s="938">
        <v>0</v>
      </c>
      <c r="V183" s="938">
        <v>1</v>
      </c>
      <c r="W183" s="776">
        <f>IF(Kulturen[[#This Row],[Berechnungsschema]]=13,3,IF(Kulturen[[#This Row],[Berechnungsschema]]=6,2,1))</f>
        <v>1</v>
      </c>
      <c r="X183" s="776">
        <f>IF(Kulturen[[#This Row],[fruchtartengruppe]]=13,Kulturen[[#This Row],[NBedarfswert]],MAX(0,Kulturen[[#This Row],[NBedarfswert]]-Kulturen[[#This Row],[Ertrag]]*Kulturen[[#This Row],[Nfix]]))</f>
        <v>125</v>
      </c>
      <c r="Y183" s="776" t="s">
        <v>2127</v>
      </c>
      <c r="Z183" s="776" t="s">
        <v>2127</v>
      </c>
      <c r="AA183" s="776" t="s">
        <v>2127</v>
      </c>
      <c r="AB183" s="776" t="s">
        <v>2127</v>
      </c>
      <c r="AC183" s="776" t="s">
        <v>2127</v>
      </c>
      <c r="AD183" s="776" t="s">
        <v>2127</v>
      </c>
      <c r="AE183" s="776" t="s">
        <v>2127</v>
      </c>
      <c r="AF183" s="776" t="s">
        <v>2127</v>
      </c>
      <c r="AG183" s="776" t="s">
        <v>2127</v>
      </c>
      <c r="AH183" s="776" t="s">
        <v>2127</v>
      </c>
      <c r="AI183" s="776" t="s">
        <v>2127</v>
      </c>
      <c r="AJ183" s="776" t="s">
        <v>2127</v>
      </c>
      <c r="AK183" s="776" t="s">
        <v>2127</v>
      </c>
      <c r="AL183" s="776" t="s">
        <v>2127</v>
      </c>
      <c r="AM183" s="776" t="s">
        <v>2127</v>
      </c>
      <c r="AN183" s="776" t="s">
        <v>2127</v>
      </c>
      <c r="AO183" s="776" t="s">
        <v>2127</v>
      </c>
      <c r="AP183" s="776" t="s">
        <v>2127</v>
      </c>
      <c r="AQ183" s="776" t="s">
        <v>2127</v>
      </c>
      <c r="AR183" s="776" t="s">
        <v>2127</v>
      </c>
      <c r="AS183" s="776" t="s">
        <v>2127</v>
      </c>
      <c r="AT183" s="776" t="s">
        <v>2127</v>
      </c>
      <c r="AU183" s="776" t="s">
        <v>2127</v>
      </c>
      <c r="AV183" s="776" t="s">
        <v>2127</v>
      </c>
      <c r="AW183" s="776" t="s">
        <v>2127</v>
      </c>
      <c r="AX183" s="776" t="s">
        <v>2127</v>
      </c>
      <c r="AY183" s="776" t="s">
        <v>2127</v>
      </c>
      <c r="AZ183" s="776" t="s">
        <v>2127</v>
      </c>
      <c r="BA183" s="776" t="s">
        <v>2127</v>
      </c>
      <c r="BB183" s="776" t="s">
        <v>2127</v>
      </c>
      <c r="BC183" s="776" t="s">
        <v>2127</v>
      </c>
      <c r="BD183" s="776" t="s">
        <v>2127</v>
      </c>
      <c r="BE183" s="776" t="s">
        <v>2127</v>
      </c>
      <c r="BF183" s="776" t="s">
        <v>2127</v>
      </c>
      <c r="BG183" s="776" t="s">
        <v>2127</v>
      </c>
      <c r="BH183" s="776" t="s">
        <v>2127</v>
      </c>
      <c r="BI183" s="776" t="s">
        <v>2127</v>
      </c>
      <c r="BJ183" s="776" t="s">
        <v>2127</v>
      </c>
      <c r="BK183" s="776" t="s">
        <v>2127</v>
      </c>
      <c r="BL183" s="776" t="s">
        <v>2127</v>
      </c>
      <c r="BM183" s="776" t="s">
        <v>2127</v>
      </c>
      <c r="BN183" s="776" t="s">
        <v>2127</v>
      </c>
      <c r="BO183" s="776" t="s">
        <v>2127</v>
      </c>
      <c r="BP183" s="776" t="s">
        <v>2127</v>
      </c>
      <c r="BQ183" s="776" t="s">
        <v>2127</v>
      </c>
      <c r="BR183" s="776" t="s">
        <v>2127</v>
      </c>
      <c r="BS183" s="776" t="s">
        <v>2127</v>
      </c>
      <c r="BT183" s="776" t="s">
        <v>2127</v>
      </c>
      <c r="BU183" s="776" t="s">
        <v>2127</v>
      </c>
      <c r="BV183" s="776" t="s">
        <v>2127</v>
      </c>
      <c r="BW183" s="776" t="s">
        <v>2127</v>
      </c>
      <c r="BX183" s="776" t="s">
        <v>2127</v>
      </c>
      <c r="BY183" s="776" t="s">
        <v>2127</v>
      </c>
      <c r="BZ183" s="776" t="s">
        <v>2127</v>
      </c>
      <c r="CA183" s="776" t="s">
        <v>2127</v>
      </c>
      <c r="CB183" s="776" t="s">
        <v>2127</v>
      </c>
      <c r="CC183" s="776" t="s">
        <v>2127</v>
      </c>
      <c r="CD183" s="776" t="s">
        <v>2127</v>
      </c>
      <c r="CE183" s="776" t="s">
        <v>2127</v>
      </c>
      <c r="CF183" s="776" t="s">
        <v>2127</v>
      </c>
      <c r="CG183" s="776" t="s">
        <v>2127</v>
      </c>
      <c r="CH183" s="776" t="s">
        <v>2127</v>
      </c>
      <c r="CI183" s="776" t="s">
        <v>2127</v>
      </c>
      <c r="CJ183" s="776" t="s">
        <v>2127</v>
      </c>
      <c r="CK183" s="776" t="s">
        <v>2127</v>
      </c>
      <c r="CL183" s="776" t="s">
        <v>2127</v>
      </c>
      <c r="CM183" s="776" t="s">
        <v>2127</v>
      </c>
      <c r="CN183" s="776" t="s">
        <v>2127</v>
      </c>
      <c r="CO183" s="776" t="s">
        <v>2127</v>
      </c>
      <c r="CP183" s="776" t="s">
        <v>2127</v>
      </c>
      <c r="CQ183" s="776" t="s">
        <v>2127</v>
      </c>
      <c r="CR183" s="776" t="s">
        <v>2127</v>
      </c>
      <c r="CS183" s="776" t="s">
        <v>2127</v>
      </c>
      <c r="CT183" s="776" t="s">
        <v>2127</v>
      </c>
      <c r="CU183" s="776" t="s">
        <v>2127</v>
      </c>
      <c r="CV183" s="776" t="s">
        <v>2127</v>
      </c>
      <c r="CW183" s="776" t="s">
        <v>2127</v>
      </c>
      <c r="CX183" s="776" t="s">
        <v>2127</v>
      </c>
      <c r="CY183" s="776" t="s">
        <v>2127</v>
      </c>
      <c r="CZ183" s="776" t="s">
        <v>2127</v>
      </c>
      <c r="DA183" s="776" t="s">
        <v>2127</v>
      </c>
      <c r="DB183" s="776" t="s">
        <v>2127</v>
      </c>
      <c r="DC183" s="776" t="s">
        <v>2127</v>
      </c>
      <c r="DD183" s="776" t="s">
        <v>2127</v>
      </c>
      <c r="DE183" s="776" t="s">
        <v>2127</v>
      </c>
      <c r="DF183" s="776" t="s">
        <v>2127</v>
      </c>
      <c r="DG183" s="776" t="s">
        <v>2127</v>
      </c>
      <c r="DH183" s="776" t="s">
        <v>2127</v>
      </c>
      <c r="DI183" s="776" t="s">
        <v>2127</v>
      </c>
      <c r="DJ183" s="776" t="s">
        <v>2127</v>
      </c>
      <c r="DK183" s="776" t="s">
        <v>2127</v>
      </c>
      <c r="DL183" s="776" t="s">
        <v>2127</v>
      </c>
      <c r="DM183" s="776" t="s">
        <v>2127</v>
      </c>
      <c r="DN183" s="776" t="s">
        <v>2127</v>
      </c>
      <c r="DO183" s="776" t="s">
        <v>2127</v>
      </c>
      <c r="DP183" s="776" t="s">
        <v>2127</v>
      </c>
    </row>
    <row r="184" spans="1:120" x14ac:dyDescent="0.2">
      <c r="A184" s="637"/>
      <c r="B184" s="772" t="str" cm="1">
        <f t="array" ref="B184">IFERROR(INDEX(Kulturen[HF],_xlfn.AGGREGATE(15,6,(ROW(Kulturen[Auswahl])-7)/(--(SEARCH("x",Kulturen[Auswahl])&gt;0)),ROW()-7),1),"")</f>
        <v>Radies</v>
      </c>
      <c r="C184" s="772" t="str">
        <f>IF(Kulturen[[#This Row],[HF]]=$D$373,IF($C$6=0,0,"x"),IF($C$6=0,"x",Vorauswahl!C183))</f>
        <v>x</v>
      </c>
      <c r="D184" s="938" t="s">
        <v>1953</v>
      </c>
      <c r="E184" s="938" t="s">
        <v>1953</v>
      </c>
      <c r="F184" s="938" t="s">
        <v>1954</v>
      </c>
      <c r="G184" s="938">
        <v>12</v>
      </c>
      <c r="H184" s="938">
        <v>8</v>
      </c>
      <c r="I184" s="938">
        <v>3</v>
      </c>
      <c r="J184" s="938">
        <v>12</v>
      </c>
      <c r="K184" s="938">
        <v>6.9000000000000006E-2</v>
      </c>
      <c r="L184" s="938">
        <v>7.0000000000000007E-2</v>
      </c>
      <c r="M184" s="938">
        <v>500</v>
      </c>
      <c r="N184" s="938">
        <v>0</v>
      </c>
      <c r="O184" s="938">
        <v>1</v>
      </c>
      <c r="P184" s="938">
        <v>0</v>
      </c>
      <c r="Q184" s="938">
        <v>180</v>
      </c>
      <c r="R184" s="938">
        <v>100</v>
      </c>
      <c r="S184" s="938">
        <v>20</v>
      </c>
      <c r="T184" s="938">
        <v>20</v>
      </c>
      <c r="U184" s="938">
        <v>0</v>
      </c>
      <c r="V184" s="938">
        <v>1</v>
      </c>
      <c r="W184" s="776">
        <f>IF(Kulturen[[#This Row],[Berechnungsschema]]=13,3,IF(Kulturen[[#This Row],[Berechnungsschema]]=6,2,1))</f>
        <v>1</v>
      </c>
      <c r="X184" s="776">
        <f>IF(Kulturen[[#This Row],[fruchtartengruppe]]=13,Kulturen[[#This Row],[NBedarfswert]],MAX(0,Kulturen[[#This Row],[NBedarfswert]]-Kulturen[[#This Row],[Ertrag]]*Kulturen[[#This Row],[Nfix]]))</f>
        <v>180</v>
      </c>
      <c r="Y184" s="776" t="s">
        <v>2127</v>
      </c>
      <c r="Z184" s="776" t="s">
        <v>2127</v>
      </c>
      <c r="AA184" s="776" t="s">
        <v>2127</v>
      </c>
      <c r="AB184" s="776" t="s">
        <v>2127</v>
      </c>
      <c r="AC184" s="776" t="s">
        <v>2127</v>
      </c>
      <c r="AD184" s="776" t="s">
        <v>2127</v>
      </c>
      <c r="AE184" s="776" t="s">
        <v>2127</v>
      </c>
      <c r="AF184" s="776" t="s">
        <v>2127</v>
      </c>
      <c r="AG184" s="776" t="s">
        <v>2127</v>
      </c>
      <c r="AH184" s="776" t="s">
        <v>2127</v>
      </c>
      <c r="AI184" s="776" t="s">
        <v>2127</v>
      </c>
      <c r="AJ184" s="776" t="s">
        <v>2127</v>
      </c>
      <c r="AK184" s="776" t="s">
        <v>2127</v>
      </c>
      <c r="AL184" s="776" t="s">
        <v>2127</v>
      </c>
      <c r="AM184" s="776" t="s">
        <v>2127</v>
      </c>
      <c r="AN184" s="776" t="s">
        <v>2127</v>
      </c>
      <c r="AO184" s="776" t="s">
        <v>2127</v>
      </c>
      <c r="AP184" s="776" t="s">
        <v>2127</v>
      </c>
      <c r="AQ184" s="776" t="s">
        <v>2127</v>
      </c>
      <c r="AR184" s="776" t="s">
        <v>2127</v>
      </c>
      <c r="AS184" s="776" t="s">
        <v>2127</v>
      </c>
      <c r="AT184" s="776" t="s">
        <v>2127</v>
      </c>
      <c r="AU184" s="776" t="s">
        <v>2127</v>
      </c>
      <c r="AV184" s="776" t="s">
        <v>2127</v>
      </c>
      <c r="AW184" s="776" t="s">
        <v>2127</v>
      </c>
      <c r="AX184" s="776" t="s">
        <v>2127</v>
      </c>
      <c r="AY184" s="776" t="s">
        <v>2127</v>
      </c>
      <c r="AZ184" s="776" t="s">
        <v>2127</v>
      </c>
      <c r="BA184" s="776" t="s">
        <v>2127</v>
      </c>
      <c r="BB184" s="776" t="s">
        <v>2127</v>
      </c>
      <c r="BC184" s="776" t="s">
        <v>2127</v>
      </c>
      <c r="BD184" s="776" t="s">
        <v>2127</v>
      </c>
      <c r="BE184" s="776" t="s">
        <v>2127</v>
      </c>
      <c r="BF184" s="776" t="s">
        <v>2127</v>
      </c>
      <c r="BG184" s="776" t="s">
        <v>2127</v>
      </c>
      <c r="BH184" s="776" t="s">
        <v>2127</v>
      </c>
      <c r="BI184" s="776" t="s">
        <v>2127</v>
      </c>
      <c r="BJ184" s="776" t="s">
        <v>2127</v>
      </c>
      <c r="BK184" s="776" t="s">
        <v>2127</v>
      </c>
      <c r="BL184" s="776" t="s">
        <v>2127</v>
      </c>
      <c r="BM184" s="776" t="s">
        <v>2127</v>
      </c>
      <c r="BN184" s="776" t="s">
        <v>2127</v>
      </c>
      <c r="BO184" s="776" t="s">
        <v>2127</v>
      </c>
      <c r="BP184" s="776" t="s">
        <v>2127</v>
      </c>
      <c r="BQ184" s="776" t="s">
        <v>2127</v>
      </c>
      <c r="BR184" s="776" t="s">
        <v>2127</v>
      </c>
      <c r="BS184" s="776" t="s">
        <v>2127</v>
      </c>
      <c r="BT184" s="776" t="s">
        <v>2127</v>
      </c>
      <c r="BU184" s="776" t="s">
        <v>2127</v>
      </c>
      <c r="BV184" s="776" t="s">
        <v>2127</v>
      </c>
      <c r="BW184" s="776" t="s">
        <v>2127</v>
      </c>
      <c r="BX184" s="776" t="s">
        <v>2127</v>
      </c>
      <c r="BY184" s="776" t="s">
        <v>2127</v>
      </c>
      <c r="BZ184" s="776" t="s">
        <v>2127</v>
      </c>
      <c r="CA184" s="776" t="s">
        <v>2127</v>
      </c>
      <c r="CB184" s="776" t="s">
        <v>2127</v>
      </c>
      <c r="CC184" s="776" t="s">
        <v>2127</v>
      </c>
      <c r="CD184" s="776" t="s">
        <v>2127</v>
      </c>
      <c r="CE184" s="776" t="s">
        <v>2127</v>
      </c>
      <c r="CF184" s="776" t="s">
        <v>2127</v>
      </c>
      <c r="CG184" s="776" t="s">
        <v>2127</v>
      </c>
      <c r="CH184" s="776" t="s">
        <v>2127</v>
      </c>
      <c r="CI184" s="776" t="s">
        <v>2127</v>
      </c>
      <c r="CJ184" s="776" t="s">
        <v>2127</v>
      </c>
      <c r="CK184" s="776" t="s">
        <v>2127</v>
      </c>
      <c r="CL184" s="776" t="s">
        <v>2127</v>
      </c>
      <c r="CM184" s="776" t="s">
        <v>2127</v>
      </c>
      <c r="CN184" s="776" t="s">
        <v>2127</v>
      </c>
      <c r="CO184" s="776" t="s">
        <v>2127</v>
      </c>
      <c r="CP184" s="776" t="s">
        <v>2127</v>
      </c>
      <c r="CQ184" s="776" t="s">
        <v>2127</v>
      </c>
      <c r="CR184" s="776" t="s">
        <v>2127</v>
      </c>
      <c r="CS184" s="776" t="s">
        <v>2127</v>
      </c>
      <c r="CT184" s="776" t="s">
        <v>2127</v>
      </c>
      <c r="CU184" s="776" t="s">
        <v>2127</v>
      </c>
      <c r="CV184" s="776" t="s">
        <v>2127</v>
      </c>
      <c r="CW184" s="776" t="s">
        <v>2127</v>
      </c>
      <c r="CX184" s="776" t="s">
        <v>2127</v>
      </c>
      <c r="CY184" s="776" t="s">
        <v>2127</v>
      </c>
      <c r="CZ184" s="776" t="s">
        <v>2127</v>
      </c>
      <c r="DA184" s="776" t="s">
        <v>2127</v>
      </c>
      <c r="DB184" s="776" t="s">
        <v>2127</v>
      </c>
      <c r="DC184" s="776" t="s">
        <v>2127</v>
      </c>
      <c r="DD184" s="776" t="s">
        <v>2127</v>
      </c>
      <c r="DE184" s="776" t="s">
        <v>2127</v>
      </c>
      <c r="DF184" s="776" t="s">
        <v>2127</v>
      </c>
      <c r="DG184" s="776" t="s">
        <v>2127</v>
      </c>
      <c r="DH184" s="776" t="s">
        <v>2127</v>
      </c>
      <c r="DI184" s="776" t="s">
        <v>2127</v>
      </c>
      <c r="DJ184" s="776" t="s">
        <v>2127</v>
      </c>
      <c r="DK184" s="776" t="s">
        <v>2127</v>
      </c>
      <c r="DL184" s="776" t="s">
        <v>2127</v>
      </c>
      <c r="DM184" s="776" t="s">
        <v>2127</v>
      </c>
      <c r="DN184" s="776" t="s">
        <v>2127</v>
      </c>
      <c r="DO184" s="776" t="s">
        <v>2127</v>
      </c>
      <c r="DP184" s="776" t="s">
        <v>2127</v>
      </c>
    </row>
    <row r="185" spans="1:120" x14ac:dyDescent="0.2">
      <c r="A185" s="637" t="s">
        <v>2221</v>
      </c>
      <c r="B185" s="772" t="str" cm="1">
        <f t="array" ref="B185">IFERROR(INDEX(Kulturen[HF],_xlfn.AGGREGATE(15,6,(ROW(Kulturen[Auswahl])-7)/(--(SEARCH("x",Kulturen[Auswahl])&gt;0)),ROW()-7),1),"")</f>
        <v>Rettich, Bund-</v>
      </c>
      <c r="C185" s="772" t="str">
        <f>IF(Kulturen[[#This Row],[HF]]=$D$373,IF($C$6=0,0,"x"),IF($C$6=0,"x",Vorauswahl!C184))</f>
        <v>x</v>
      </c>
      <c r="D185" s="938" t="s">
        <v>779</v>
      </c>
      <c r="E185" s="938" t="s">
        <v>779</v>
      </c>
      <c r="F185" s="938" t="s">
        <v>862</v>
      </c>
      <c r="G185" s="938">
        <v>12</v>
      </c>
      <c r="H185" s="938">
        <v>8</v>
      </c>
      <c r="I185" s="938">
        <v>1</v>
      </c>
      <c r="J185" s="938">
        <v>12</v>
      </c>
      <c r="K185" s="938">
        <v>0.06</v>
      </c>
      <c r="L185" s="938">
        <v>0.06</v>
      </c>
      <c r="M185" s="938">
        <v>500</v>
      </c>
      <c r="N185" s="938">
        <v>0</v>
      </c>
      <c r="O185" s="938">
        <v>1</v>
      </c>
      <c r="P185" s="938">
        <v>0</v>
      </c>
      <c r="Q185" s="938">
        <v>250</v>
      </c>
      <c r="R185" s="938">
        <v>100</v>
      </c>
      <c r="S185" s="938">
        <v>20</v>
      </c>
      <c r="T185" s="938">
        <v>20</v>
      </c>
      <c r="U185" s="938">
        <v>0</v>
      </c>
      <c r="V185" s="938">
        <v>1</v>
      </c>
      <c r="W185" s="776">
        <f>IF(Kulturen[[#This Row],[Berechnungsschema]]=13,3,IF(Kulturen[[#This Row],[Berechnungsschema]]=6,2,1))</f>
        <v>1</v>
      </c>
      <c r="X185" s="776">
        <f>IF(Kulturen[[#This Row],[fruchtartengruppe]]=13,Kulturen[[#This Row],[NBedarfswert]],MAX(0,Kulturen[[#This Row],[NBedarfswert]]-Kulturen[[#This Row],[Ertrag]]*Kulturen[[#This Row],[Nfix]]))</f>
        <v>250</v>
      </c>
      <c r="Y185" s="776" t="s">
        <v>2127</v>
      </c>
      <c r="Z185" s="776" t="s">
        <v>2127</v>
      </c>
      <c r="AA185" s="776" t="s">
        <v>2127</v>
      </c>
      <c r="AB185" s="776" t="s">
        <v>2127</v>
      </c>
      <c r="AC185" s="776" t="s">
        <v>2127</v>
      </c>
      <c r="AD185" s="776" t="s">
        <v>2127</v>
      </c>
      <c r="AE185" s="776" t="s">
        <v>2127</v>
      </c>
      <c r="AF185" s="776" t="s">
        <v>2127</v>
      </c>
      <c r="AG185" s="776" t="s">
        <v>2127</v>
      </c>
      <c r="AH185" s="776" t="s">
        <v>2127</v>
      </c>
      <c r="AI185" s="776" t="s">
        <v>2127</v>
      </c>
      <c r="AJ185" s="776" t="s">
        <v>2127</v>
      </c>
      <c r="AK185" s="776" t="s">
        <v>2127</v>
      </c>
      <c r="AL185" s="776" t="s">
        <v>2127</v>
      </c>
      <c r="AM185" s="776" t="s">
        <v>2127</v>
      </c>
      <c r="AN185" s="776" t="s">
        <v>2127</v>
      </c>
      <c r="AO185" s="776" t="s">
        <v>2127</v>
      </c>
      <c r="AP185" s="776" t="s">
        <v>2127</v>
      </c>
      <c r="AQ185" s="776" t="s">
        <v>2127</v>
      </c>
      <c r="AR185" s="776" t="s">
        <v>2127</v>
      </c>
      <c r="AS185" s="776" t="s">
        <v>2127</v>
      </c>
      <c r="AT185" s="776" t="s">
        <v>2127</v>
      </c>
      <c r="AU185" s="776" t="s">
        <v>2127</v>
      </c>
      <c r="AV185" s="776" t="s">
        <v>2127</v>
      </c>
      <c r="AW185" s="776" t="s">
        <v>2127</v>
      </c>
      <c r="AX185" s="776" t="s">
        <v>2127</v>
      </c>
      <c r="AY185" s="776" t="s">
        <v>2127</v>
      </c>
      <c r="AZ185" s="776" t="s">
        <v>2127</v>
      </c>
      <c r="BA185" s="776" t="s">
        <v>2127</v>
      </c>
      <c r="BB185" s="776" t="s">
        <v>2127</v>
      </c>
      <c r="BC185" s="776" t="s">
        <v>2127</v>
      </c>
      <c r="BD185" s="776" t="s">
        <v>2127</v>
      </c>
      <c r="BE185" s="776" t="s">
        <v>2127</v>
      </c>
      <c r="BF185" s="776" t="s">
        <v>2127</v>
      </c>
      <c r="BG185" s="776" t="s">
        <v>2127</v>
      </c>
      <c r="BH185" s="776" t="s">
        <v>2127</v>
      </c>
      <c r="BI185" s="776" t="s">
        <v>2127</v>
      </c>
      <c r="BJ185" s="776" t="s">
        <v>2127</v>
      </c>
      <c r="BK185" s="776" t="s">
        <v>2127</v>
      </c>
      <c r="BL185" s="776" t="s">
        <v>2127</v>
      </c>
      <c r="BM185" s="776" t="s">
        <v>2127</v>
      </c>
      <c r="BN185" s="776" t="s">
        <v>2127</v>
      </c>
      <c r="BO185" s="776" t="s">
        <v>2127</v>
      </c>
      <c r="BP185" s="776" t="s">
        <v>2127</v>
      </c>
      <c r="BQ185" s="776" t="s">
        <v>2127</v>
      </c>
      <c r="BR185" s="776" t="s">
        <v>2127</v>
      </c>
      <c r="BS185" s="776" t="s">
        <v>2127</v>
      </c>
      <c r="BT185" s="776" t="s">
        <v>2127</v>
      </c>
      <c r="BU185" s="776" t="s">
        <v>2127</v>
      </c>
      <c r="BV185" s="776" t="s">
        <v>2127</v>
      </c>
      <c r="BW185" s="776" t="s">
        <v>2127</v>
      </c>
      <c r="BX185" s="776" t="s">
        <v>2127</v>
      </c>
      <c r="BY185" s="776" t="s">
        <v>2127</v>
      </c>
      <c r="BZ185" s="776" t="s">
        <v>2127</v>
      </c>
      <c r="CA185" s="776" t="s">
        <v>2127</v>
      </c>
      <c r="CB185" s="776" t="s">
        <v>2127</v>
      </c>
      <c r="CC185" s="776" t="s">
        <v>2127</v>
      </c>
      <c r="CD185" s="776" t="s">
        <v>2127</v>
      </c>
      <c r="CE185" s="776" t="s">
        <v>2127</v>
      </c>
      <c r="CF185" s="776" t="s">
        <v>2127</v>
      </c>
      <c r="CG185" s="776" t="s">
        <v>2127</v>
      </c>
      <c r="CH185" s="776" t="s">
        <v>2127</v>
      </c>
      <c r="CI185" s="776" t="s">
        <v>2127</v>
      </c>
      <c r="CJ185" s="776" t="s">
        <v>2127</v>
      </c>
      <c r="CK185" s="776" t="s">
        <v>2127</v>
      </c>
      <c r="CL185" s="776" t="s">
        <v>2127</v>
      </c>
      <c r="CM185" s="776" t="s">
        <v>2127</v>
      </c>
      <c r="CN185" s="776" t="s">
        <v>2127</v>
      </c>
      <c r="CO185" s="776" t="s">
        <v>2127</v>
      </c>
      <c r="CP185" s="776" t="s">
        <v>2127</v>
      </c>
      <c r="CQ185" s="776" t="s">
        <v>2127</v>
      </c>
      <c r="CR185" s="776" t="s">
        <v>2127</v>
      </c>
      <c r="CS185" s="776" t="s">
        <v>2127</v>
      </c>
      <c r="CT185" s="776" t="s">
        <v>2127</v>
      </c>
      <c r="CU185" s="776" t="s">
        <v>2127</v>
      </c>
      <c r="CV185" s="776" t="s">
        <v>2127</v>
      </c>
      <c r="CW185" s="776" t="s">
        <v>2127</v>
      </c>
      <c r="CX185" s="776" t="s">
        <v>2127</v>
      </c>
      <c r="CY185" s="776" t="s">
        <v>2127</v>
      </c>
      <c r="CZ185" s="776" t="s">
        <v>2127</v>
      </c>
      <c r="DA185" s="776" t="s">
        <v>2127</v>
      </c>
      <c r="DB185" s="776" t="s">
        <v>2127</v>
      </c>
      <c r="DC185" s="776" t="s">
        <v>2127</v>
      </c>
      <c r="DD185" s="776" t="s">
        <v>2127</v>
      </c>
      <c r="DE185" s="776" t="s">
        <v>2127</v>
      </c>
      <c r="DF185" s="776" t="s">
        <v>2127</v>
      </c>
      <c r="DG185" s="776" t="s">
        <v>2127</v>
      </c>
      <c r="DH185" s="776" t="s">
        <v>2127</v>
      </c>
      <c r="DI185" s="776" t="s">
        <v>2127</v>
      </c>
      <c r="DJ185" s="776" t="s">
        <v>2127</v>
      </c>
      <c r="DK185" s="776" t="s">
        <v>2127</v>
      </c>
      <c r="DL185" s="776" t="s">
        <v>2127</v>
      </c>
      <c r="DM185" s="776" t="s">
        <v>2127</v>
      </c>
      <c r="DN185" s="776" t="s">
        <v>2127</v>
      </c>
      <c r="DO185" s="776" t="s">
        <v>2127</v>
      </c>
      <c r="DP185" s="776" t="s">
        <v>2127</v>
      </c>
    </row>
    <row r="186" spans="1:120" x14ac:dyDescent="0.2">
      <c r="A186" s="637" t="s">
        <v>2222</v>
      </c>
      <c r="B186" s="772" t="str" cm="1">
        <f t="array" ref="B186">IFERROR(INDEX(Kulturen[HF],_xlfn.AGGREGATE(15,6,(ROW(Kulturen[Auswahl])-7)/(--(SEARCH("x",Kulturen[Auswahl])&gt;0)),ROW()-7),1),"")</f>
        <v>Rettich, deutsch</v>
      </c>
      <c r="C186" s="772" t="str">
        <f>IF(Kulturen[[#This Row],[HF]]=$D$373,IF($C$6=0,0,"x"),IF($C$6=0,"x",Vorauswahl!C185))</f>
        <v>x</v>
      </c>
      <c r="D186" s="938" t="s">
        <v>780</v>
      </c>
      <c r="E186" s="938" t="s">
        <v>780</v>
      </c>
      <c r="F186" s="938" t="s">
        <v>863</v>
      </c>
      <c r="G186" s="938">
        <v>12</v>
      </c>
      <c r="H186" s="938">
        <v>8</v>
      </c>
      <c r="I186" s="938">
        <v>1</v>
      </c>
      <c r="J186" s="938">
        <v>12</v>
      </c>
      <c r="K186" s="938">
        <v>0.23599999999999999</v>
      </c>
      <c r="L186" s="938">
        <v>0.24</v>
      </c>
      <c r="M186" s="938">
        <v>400</v>
      </c>
      <c r="N186" s="938">
        <v>0</v>
      </c>
      <c r="O186" s="938">
        <v>1</v>
      </c>
      <c r="P186" s="938">
        <v>0</v>
      </c>
      <c r="Q186" s="938">
        <v>140</v>
      </c>
      <c r="R186" s="938">
        <v>80</v>
      </c>
      <c r="S186" s="938">
        <v>20</v>
      </c>
      <c r="T186" s="938">
        <v>20</v>
      </c>
      <c r="U186" s="938">
        <v>0</v>
      </c>
      <c r="V186" s="938">
        <v>1</v>
      </c>
      <c r="W186" s="776">
        <f>IF(Kulturen[[#This Row],[Berechnungsschema]]=13,3,IF(Kulturen[[#This Row],[Berechnungsschema]]=6,2,1))</f>
        <v>1</v>
      </c>
      <c r="X186" s="776">
        <f>IF(Kulturen[[#This Row],[fruchtartengruppe]]=13,Kulturen[[#This Row],[NBedarfswert]],MAX(0,Kulturen[[#This Row],[NBedarfswert]]-Kulturen[[#This Row],[Ertrag]]*Kulturen[[#This Row],[Nfix]]))</f>
        <v>140</v>
      </c>
      <c r="Y186" s="776" t="s">
        <v>2127</v>
      </c>
      <c r="Z186" s="776" t="s">
        <v>2127</v>
      </c>
      <c r="AA186" s="776" t="s">
        <v>2127</v>
      </c>
      <c r="AB186" s="776" t="s">
        <v>2127</v>
      </c>
      <c r="AC186" s="776" t="s">
        <v>2127</v>
      </c>
      <c r="AD186" s="776" t="s">
        <v>2127</v>
      </c>
      <c r="AE186" s="776" t="s">
        <v>2127</v>
      </c>
      <c r="AF186" s="776" t="s">
        <v>2127</v>
      </c>
      <c r="AG186" s="776" t="s">
        <v>2127</v>
      </c>
      <c r="AH186" s="776" t="s">
        <v>2127</v>
      </c>
      <c r="AI186" s="776" t="s">
        <v>2127</v>
      </c>
      <c r="AJ186" s="776" t="s">
        <v>2127</v>
      </c>
      <c r="AK186" s="776" t="s">
        <v>2127</v>
      </c>
      <c r="AL186" s="776" t="s">
        <v>2127</v>
      </c>
      <c r="AM186" s="776" t="s">
        <v>2127</v>
      </c>
      <c r="AN186" s="776" t="s">
        <v>2127</v>
      </c>
      <c r="AO186" s="776" t="s">
        <v>2127</v>
      </c>
      <c r="AP186" s="776" t="s">
        <v>2127</v>
      </c>
      <c r="AQ186" s="776" t="s">
        <v>2127</v>
      </c>
      <c r="AR186" s="776" t="s">
        <v>2127</v>
      </c>
      <c r="AS186" s="776" t="s">
        <v>2127</v>
      </c>
      <c r="AT186" s="776" t="s">
        <v>2127</v>
      </c>
      <c r="AU186" s="776" t="s">
        <v>2127</v>
      </c>
      <c r="AV186" s="776" t="s">
        <v>2127</v>
      </c>
      <c r="AW186" s="776" t="s">
        <v>2127</v>
      </c>
      <c r="AX186" s="776" t="s">
        <v>2127</v>
      </c>
      <c r="AY186" s="776" t="s">
        <v>2127</v>
      </c>
      <c r="AZ186" s="776" t="s">
        <v>2127</v>
      </c>
      <c r="BA186" s="776" t="s">
        <v>2127</v>
      </c>
      <c r="BB186" s="776" t="s">
        <v>2127</v>
      </c>
      <c r="BC186" s="776" t="s">
        <v>2127</v>
      </c>
      <c r="BD186" s="776" t="s">
        <v>2127</v>
      </c>
      <c r="BE186" s="776" t="s">
        <v>2127</v>
      </c>
      <c r="BF186" s="776" t="s">
        <v>2127</v>
      </c>
      <c r="BG186" s="776" t="s">
        <v>2127</v>
      </c>
      <c r="BH186" s="776" t="s">
        <v>2127</v>
      </c>
      <c r="BI186" s="776" t="s">
        <v>2127</v>
      </c>
      <c r="BJ186" s="776" t="s">
        <v>2127</v>
      </c>
      <c r="BK186" s="776" t="s">
        <v>2127</v>
      </c>
      <c r="BL186" s="776" t="s">
        <v>2127</v>
      </c>
      <c r="BM186" s="776" t="s">
        <v>2127</v>
      </c>
      <c r="BN186" s="776" t="s">
        <v>2127</v>
      </c>
      <c r="BO186" s="776" t="s">
        <v>2127</v>
      </c>
      <c r="BP186" s="776" t="s">
        <v>2127</v>
      </c>
      <c r="BQ186" s="776" t="s">
        <v>2127</v>
      </c>
      <c r="BR186" s="776" t="s">
        <v>2127</v>
      </c>
      <c r="BS186" s="776" t="s">
        <v>2127</v>
      </c>
      <c r="BT186" s="776" t="s">
        <v>2127</v>
      </c>
      <c r="BU186" s="776" t="s">
        <v>2127</v>
      </c>
      <c r="BV186" s="776" t="s">
        <v>2127</v>
      </c>
      <c r="BW186" s="776" t="s">
        <v>2127</v>
      </c>
      <c r="BX186" s="776" t="s">
        <v>2127</v>
      </c>
      <c r="BY186" s="776" t="s">
        <v>2127</v>
      </c>
      <c r="BZ186" s="776" t="s">
        <v>2127</v>
      </c>
      <c r="CA186" s="776" t="s">
        <v>2127</v>
      </c>
      <c r="CB186" s="776" t="s">
        <v>2127</v>
      </c>
      <c r="CC186" s="776" t="s">
        <v>2127</v>
      </c>
      <c r="CD186" s="776" t="s">
        <v>2127</v>
      </c>
      <c r="CE186" s="776" t="s">
        <v>2127</v>
      </c>
      <c r="CF186" s="776" t="s">
        <v>2127</v>
      </c>
      <c r="CG186" s="776" t="s">
        <v>2127</v>
      </c>
      <c r="CH186" s="776" t="s">
        <v>2127</v>
      </c>
      <c r="CI186" s="776" t="s">
        <v>2127</v>
      </c>
      <c r="CJ186" s="776" t="s">
        <v>2127</v>
      </c>
      <c r="CK186" s="776" t="s">
        <v>2127</v>
      </c>
      <c r="CL186" s="776" t="s">
        <v>2127</v>
      </c>
      <c r="CM186" s="776" t="s">
        <v>2127</v>
      </c>
      <c r="CN186" s="776" t="s">
        <v>2127</v>
      </c>
      <c r="CO186" s="776" t="s">
        <v>2127</v>
      </c>
      <c r="CP186" s="776" t="s">
        <v>2127</v>
      </c>
      <c r="CQ186" s="776" t="s">
        <v>2127</v>
      </c>
      <c r="CR186" s="776" t="s">
        <v>2127</v>
      </c>
      <c r="CS186" s="776" t="s">
        <v>2127</v>
      </c>
      <c r="CT186" s="776" t="s">
        <v>2127</v>
      </c>
      <c r="CU186" s="776" t="s">
        <v>2127</v>
      </c>
      <c r="CV186" s="776" t="s">
        <v>2127</v>
      </c>
      <c r="CW186" s="776" t="s">
        <v>2127</v>
      </c>
      <c r="CX186" s="776" t="s">
        <v>2127</v>
      </c>
      <c r="CY186" s="776" t="s">
        <v>2127</v>
      </c>
      <c r="CZ186" s="776" t="s">
        <v>2127</v>
      </c>
      <c r="DA186" s="776" t="s">
        <v>2127</v>
      </c>
      <c r="DB186" s="776" t="s">
        <v>2127</v>
      </c>
      <c r="DC186" s="776" t="s">
        <v>2127</v>
      </c>
      <c r="DD186" s="776" t="s">
        <v>2127</v>
      </c>
      <c r="DE186" s="776" t="s">
        <v>2127</v>
      </c>
      <c r="DF186" s="776" t="s">
        <v>2127</v>
      </c>
      <c r="DG186" s="776" t="s">
        <v>2127</v>
      </c>
      <c r="DH186" s="776" t="s">
        <v>2127</v>
      </c>
      <c r="DI186" s="776" t="s">
        <v>2127</v>
      </c>
      <c r="DJ186" s="776" t="s">
        <v>2127</v>
      </c>
      <c r="DK186" s="776" t="s">
        <v>2127</v>
      </c>
      <c r="DL186" s="776" t="s">
        <v>2127</v>
      </c>
      <c r="DM186" s="776" t="s">
        <v>2127</v>
      </c>
      <c r="DN186" s="776" t="s">
        <v>2127</v>
      </c>
      <c r="DO186" s="776" t="s">
        <v>2127</v>
      </c>
      <c r="DP186" s="776" t="s">
        <v>2127</v>
      </c>
    </row>
    <row r="187" spans="1:120" x14ac:dyDescent="0.2">
      <c r="A187" s="637" t="s">
        <v>2223</v>
      </c>
      <c r="B187" s="772" t="str" cm="1">
        <f t="array" ref="B187">IFERROR(INDEX(Kulturen[HF],_xlfn.AGGREGATE(15,6,(ROW(Kulturen[Auswahl])-7)/(--(SEARCH("x",Kulturen[Auswahl])&gt;0)),ROW()-7),1),"")</f>
        <v>Rettich, japanisch</v>
      </c>
      <c r="C187" s="772" t="str">
        <f>IF(Kulturen[[#This Row],[HF]]=$D$373,IF($C$6=0,0,"x"),IF($C$6=0,"x",Vorauswahl!C186))</f>
        <v>x</v>
      </c>
      <c r="D187" s="938" t="s">
        <v>781</v>
      </c>
      <c r="E187" s="938" t="s">
        <v>781</v>
      </c>
      <c r="F187" s="938" t="s">
        <v>864</v>
      </c>
      <c r="G187" s="938">
        <v>12</v>
      </c>
      <c r="H187" s="938">
        <v>8</v>
      </c>
      <c r="I187" s="938">
        <v>1</v>
      </c>
      <c r="J187" s="938">
        <v>12</v>
      </c>
      <c r="K187" s="938">
        <v>0.13700000000000001</v>
      </c>
      <c r="L187" s="938">
        <v>0.14000000000000001</v>
      </c>
      <c r="M187" s="938">
        <v>400</v>
      </c>
      <c r="N187" s="938">
        <v>0</v>
      </c>
      <c r="O187" s="938">
        <v>1</v>
      </c>
      <c r="P187" s="938">
        <v>0</v>
      </c>
      <c r="Q187" s="938">
        <v>130</v>
      </c>
      <c r="R187" s="938">
        <v>80</v>
      </c>
      <c r="S187" s="938">
        <v>20</v>
      </c>
      <c r="T187" s="938">
        <v>20</v>
      </c>
      <c r="U187" s="938">
        <v>0</v>
      </c>
      <c r="V187" s="938">
        <v>1</v>
      </c>
      <c r="W187" s="776">
        <f>IF(Kulturen[[#This Row],[Berechnungsschema]]=13,3,IF(Kulturen[[#This Row],[Berechnungsschema]]=6,2,1))</f>
        <v>1</v>
      </c>
      <c r="X187" s="776">
        <f>IF(Kulturen[[#This Row],[fruchtartengruppe]]=13,Kulturen[[#This Row],[NBedarfswert]],MAX(0,Kulturen[[#This Row],[NBedarfswert]]-Kulturen[[#This Row],[Ertrag]]*Kulturen[[#This Row],[Nfix]]))</f>
        <v>130</v>
      </c>
      <c r="Y187" s="776" t="s">
        <v>2127</v>
      </c>
      <c r="Z187" s="776" t="s">
        <v>2127</v>
      </c>
      <c r="AA187" s="776" t="s">
        <v>2127</v>
      </c>
      <c r="AB187" s="776" t="s">
        <v>2127</v>
      </c>
      <c r="AC187" s="776" t="s">
        <v>2127</v>
      </c>
      <c r="AD187" s="776" t="s">
        <v>2127</v>
      </c>
      <c r="AE187" s="776" t="s">
        <v>2127</v>
      </c>
      <c r="AF187" s="776" t="s">
        <v>2127</v>
      </c>
      <c r="AG187" s="776" t="s">
        <v>2127</v>
      </c>
      <c r="AH187" s="776" t="s">
        <v>2127</v>
      </c>
      <c r="AI187" s="776" t="s">
        <v>2127</v>
      </c>
      <c r="AJ187" s="776" t="s">
        <v>2127</v>
      </c>
      <c r="AK187" s="776" t="s">
        <v>2127</v>
      </c>
      <c r="AL187" s="776" t="s">
        <v>2127</v>
      </c>
      <c r="AM187" s="776" t="s">
        <v>2127</v>
      </c>
      <c r="AN187" s="776" t="s">
        <v>2127</v>
      </c>
      <c r="AO187" s="776" t="s">
        <v>2127</v>
      </c>
      <c r="AP187" s="776" t="s">
        <v>2127</v>
      </c>
      <c r="AQ187" s="776" t="s">
        <v>2127</v>
      </c>
      <c r="AR187" s="776" t="s">
        <v>2127</v>
      </c>
      <c r="AS187" s="776" t="s">
        <v>2127</v>
      </c>
      <c r="AT187" s="776" t="s">
        <v>2127</v>
      </c>
      <c r="AU187" s="776" t="s">
        <v>2127</v>
      </c>
      <c r="AV187" s="776" t="s">
        <v>2127</v>
      </c>
      <c r="AW187" s="776" t="s">
        <v>2127</v>
      </c>
      <c r="AX187" s="776" t="s">
        <v>2127</v>
      </c>
      <c r="AY187" s="776" t="s">
        <v>2127</v>
      </c>
      <c r="AZ187" s="776" t="s">
        <v>2127</v>
      </c>
      <c r="BA187" s="776" t="s">
        <v>2127</v>
      </c>
      <c r="BB187" s="776" t="s">
        <v>2127</v>
      </c>
      <c r="BC187" s="776" t="s">
        <v>2127</v>
      </c>
      <c r="BD187" s="776" t="s">
        <v>2127</v>
      </c>
      <c r="BE187" s="776" t="s">
        <v>2127</v>
      </c>
      <c r="BF187" s="776" t="s">
        <v>2127</v>
      </c>
      <c r="BG187" s="776" t="s">
        <v>2127</v>
      </c>
      <c r="BH187" s="776" t="s">
        <v>2127</v>
      </c>
      <c r="BI187" s="776" t="s">
        <v>2127</v>
      </c>
      <c r="BJ187" s="776" t="s">
        <v>2127</v>
      </c>
      <c r="BK187" s="776" t="s">
        <v>2127</v>
      </c>
      <c r="BL187" s="776" t="s">
        <v>2127</v>
      </c>
      <c r="BM187" s="776" t="s">
        <v>2127</v>
      </c>
      <c r="BN187" s="776" t="s">
        <v>2127</v>
      </c>
      <c r="BO187" s="776" t="s">
        <v>2127</v>
      </c>
      <c r="BP187" s="776" t="s">
        <v>2127</v>
      </c>
      <c r="BQ187" s="776" t="s">
        <v>2127</v>
      </c>
      <c r="BR187" s="776" t="s">
        <v>2127</v>
      </c>
      <c r="BS187" s="776" t="s">
        <v>2127</v>
      </c>
      <c r="BT187" s="776" t="s">
        <v>2127</v>
      </c>
      <c r="BU187" s="776" t="s">
        <v>2127</v>
      </c>
      <c r="BV187" s="776" t="s">
        <v>2127</v>
      </c>
      <c r="BW187" s="776" t="s">
        <v>2127</v>
      </c>
      <c r="BX187" s="776" t="s">
        <v>2127</v>
      </c>
      <c r="BY187" s="776" t="s">
        <v>2127</v>
      </c>
      <c r="BZ187" s="776" t="s">
        <v>2127</v>
      </c>
      <c r="CA187" s="776" t="s">
        <v>2127</v>
      </c>
      <c r="CB187" s="776" t="s">
        <v>2127</v>
      </c>
      <c r="CC187" s="776" t="s">
        <v>2127</v>
      </c>
      <c r="CD187" s="776" t="s">
        <v>2127</v>
      </c>
      <c r="CE187" s="776" t="s">
        <v>2127</v>
      </c>
      <c r="CF187" s="776" t="s">
        <v>2127</v>
      </c>
      <c r="CG187" s="776" t="s">
        <v>2127</v>
      </c>
      <c r="CH187" s="776" t="s">
        <v>2127</v>
      </c>
      <c r="CI187" s="776" t="s">
        <v>2127</v>
      </c>
      <c r="CJ187" s="776" t="s">
        <v>2127</v>
      </c>
      <c r="CK187" s="776" t="s">
        <v>2127</v>
      </c>
      <c r="CL187" s="776" t="s">
        <v>2127</v>
      </c>
      <c r="CM187" s="776" t="s">
        <v>2127</v>
      </c>
      <c r="CN187" s="776" t="s">
        <v>2127</v>
      </c>
      <c r="CO187" s="776" t="s">
        <v>2127</v>
      </c>
      <c r="CP187" s="776" t="s">
        <v>2127</v>
      </c>
      <c r="CQ187" s="776" t="s">
        <v>2127</v>
      </c>
      <c r="CR187" s="776" t="s">
        <v>2127</v>
      </c>
      <c r="CS187" s="776" t="s">
        <v>2127</v>
      </c>
      <c r="CT187" s="776" t="s">
        <v>2127</v>
      </c>
      <c r="CU187" s="776" t="s">
        <v>2127</v>
      </c>
      <c r="CV187" s="776" t="s">
        <v>2127</v>
      </c>
      <c r="CW187" s="776" t="s">
        <v>2127</v>
      </c>
      <c r="CX187" s="776" t="s">
        <v>2127</v>
      </c>
      <c r="CY187" s="776" t="s">
        <v>2127</v>
      </c>
      <c r="CZ187" s="776" t="s">
        <v>2127</v>
      </c>
      <c r="DA187" s="776" t="s">
        <v>2127</v>
      </c>
      <c r="DB187" s="776" t="s">
        <v>2127</v>
      </c>
      <c r="DC187" s="776" t="s">
        <v>2127</v>
      </c>
      <c r="DD187" s="776" t="s">
        <v>2127</v>
      </c>
      <c r="DE187" s="776" t="s">
        <v>2127</v>
      </c>
      <c r="DF187" s="776" t="s">
        <v>2127</v>
      </c>
      <c r="DG187" s="776" t="s">
        <v>2127</v>
      </c>
      <c r="DH187" s="776" t="s">
        <v>2127</v>
      </c>
      <c r="DI187" s="776" t="s">
        <v>2127</v>
      </c>
      <c r="DJ187" s="776" t="s">
        <v>2127</v>
      </c>
      <c r="DK187" s="776" t="s">
        <v>2127</v>
      </c>
      <c r="DL187" s="776" t="s">
        <v>2127</v>
      </c>
      <c r="DM187" s="776" t="s">
        <v>2127</v>
      </c>
      <c r="DN187" s="776" t="s">
        <v>2127</v>
      </c>
      <c r="DO187" s="776" t="s">
        <v>2127</v>
      </c>
      <c r="DP187" s="776" t="s">
        <v>2127</v>
      </c>
    </row>
    <row r="188" spans="1:120" x14ac:dyDescent="0.2">
      <c r="A188" s="637" t="s">
        <v>2224</v>
      </c>
      <c r="B188" s="772" t="str" cm="1">
        <f t="array" ref="B188">IFERROR(INDEX(Kulturen[HF],_xlfn.AGGREGATE(15,6,(ROW(Kulturen[Auswahl])-7)/(--(SEARCH("x",Kulturen[Auswahl])&gt;0)),ROW()-7),1),"")</f>
        <v>Rhabarber 1. Standjahr</v>
      </c>
      <c r="C188" s="772" t="str">
        <f>IF(Kulturen[[#This Row],[HF]]=$D$373,IF($C$6=0,0,"x"),IF($C$6=0,"x",Vorauswahl!C187))</f>
        <v>x</v>
      </c>
      <c r="D188" s="938" t="s">
        <v>782</v>
      </c>
      <c r="E188" s="938" t="s">
        <v>782</v>
      </c>
      <c r="F188" s="938" t="s">
        <v>865</v>
      </c>
      <c r="G188" s="938">
        <v>12</v>
      </c>
      <c r="H188" s="938">
        <v>8</v>
      </c>
      <c r="I188" s="938">
        <v>3</v>
      </c>
      <c r="J188" s="938">
        <v>12</v>
      </c>
      <c r="K188" s="938">
        <v>0.08</v>
      </c>
      <c r="L188" s="938">
        <v>0.08</v>
      </c>
      <c r="M188" s="938">
        <v>600</v>
      </c>
      <c r="N188" s="938">
        <v>0</v>
      </c>
      <c r="O188" s="938">
        <v>1</v>
      </c>
      <c r="P188" s="938">
        <v>0</v>
      </c>
      <c r="Q188" s="938">
        <v>250</v>
      </c>
      <c r="R188" s="938">
        <v>120</v>
      </c>
      <c r="S188" s="938">
        <v>40</v>
      </c>
      <c r="T188" s="938">
        <v>40</v>
      </c>
      <c r="U188" s="938">
        <v>0</v>
      </c>
      <c r="V188" s="938">
        <v>1</v>
      </c>
      <c r="W188" s="776">
        <f>IF(Kulturen[[#This Row],[Berechnungsschema]]=13,3,IF(Kulturen[[#This Row],[Berechnungsschema]]=6,2,1))</f>
        <v>1</v>
      </c>
      <c r="X188" s="776">
        <f>IF(Kulturen[[#This Row],[fruchtartengruppe]]=13,Kulturen[[#This Row],[NBedarfswert]],MAX(0,Kulturen[[#This Row],[NBedarfswert]]-Kulturen[[#This Row],[Ertrag]]*Kulturen[[#This Row],[Nfix]]))</f>
        <v>250</v>
      </c>
      <c r="Y188" s="776" t="s">
        <v>2127</v>
      </c>
      <c r="Z188" s="776" t="s">
        <v>2127</v>
      </c>
      <c r="AA188" s="776" t="s">
        <v>2127</v>
      </c>
      <c r="AB188" s="776" t="s">
        <v>2127</v>
      </c>
      <c r="AC188" s="776" t="s">
        <v>2127</v>
      </c>
      <c r="AD188" s="776" t="s">
        <v>2127</v>
      </c>
      <c r="AE188" s="776" t="s">
        <v>2127</v>
      </c>
      <c r="AF188" s="776" t="s">
        <v>2127</v>
      </c>
      <c r="AG188" s="776" t="s">
        <v>2127</v>
      </c>
      <c r="AH188" s="776" t="s">
        <v>2127</v>
      </c>
      <c r="AI188" s="776" t="s">
        <v>2127</v>
      </c>
      <c r="AJ188" s="776" t="s">
        <v>2127</v>
      </c>
      <c r="AK188" s="776" t="s">
        <v>2127</v>
      </c>
      <c r="AL188" s="776" t="s">
        <v>2127</v>
      </c>
      <c r="AM188" s="776" t="s">
        <v>2127</v>
      </c>
      <c r="AN188" s="776" t="s">
        <v>2127</v>
      </c>
      <c r="AO188" s="776" t="s">
        <v>2127</v>
      </c>
      <c r="AP188" s="776" t="s">
        <v>2127</v>
      </c>
      <c r="AQ188" s="776" t="s">
        <v>2127</v>
      </c>
      <c r="AR188" s="776" t="s">
        <v>2127</v>
      </c>
      <c r="AS188" s="776" t="s">
        <v>2127</v>
      </c>
      <c r="AT188" s="776" t="s">
        <v>2127</v>
      </c>
      <c r="AU188" s="776" t="s">
        <v>2127</v>
      </c>
      <c r="AV188" s="776" t="s">
        <v>2127</v>
      </c>
      <c r="AW188" s="776" t="s">
        <v>2127</v>
      </c>
      <c r="AX188" s="776" t="s">
        <v>2127</v>
      </c>
      <c r="AY188" s="776" t="s">
        <v>2127</v>
      </c>
      <c r="AZ188" s="776" t="s">
        <v>2127</v>
      </c>
      <c r="BA188" s="776" t="s">
        <v>2127</v>
      </c>
      <c r="BB188" s="776" t="s">
        <v>2127</v>
      </c>
      <c r="BC188" s="776" t="s">
        <v>2127</v>
      </c>
      <c r="BD188" s="776" t="s">
        <v>2127</v>
      </c>
      <c r="BE188" s="776" t="s">
        <v>2127</v>
      </c>
      <c r="BF188" s="776" t="s">
        <v>2127</v>
      </c>
      <c r="BG188" s="776" t="s">
        <v>2127</v>
      </c>
      <c r="BH188" s="776" t="s">
        <v>2127</v>
      </c>
      <c r="BI188" s="776" t="s">
        <v>2127</v>
      </c>
      <c r="BJ188" s="776" t="s">
        <v>2127</v>
      </c>
      <c r="BK188" s="776" t="s">
        <v>2127</v>
      </c>
      <c r="BL188" s="776" t="s">
        <v>2127</v>
      </c>
      <c r="BM188" s="776" t="s">
        <v>2127</v>
      </c>
      <c r="BN188" s="776" t="s">
        <v>2127</v>
      </c>
      <c r="BO188" s="776" t="s">
        <v>2127</v>
      </c>
      <c r="BP188" s="776" t="s">
        <v>2127</v>
      </c>
      <c r="BQ188" s="776" t="s">
        <v>2127</v>
      </c>
      <c r="BR188" s="776" t="s">
        <v>2127</v>
      </c>
      <c r="BS188" s="776" t="s">
        <v>2127</v>
      </c>
      <c r="BT188" s="776" t="s">
        <v>2127</v>
      </c>
      <c r="BU188" s="776" t="s">
        <v>2127</v>
      </c>
      <c r="BV188" s="776" t="s">
        <v>2127</v>
      </c>
      <c r="BW188" s="776" t="s">
        <v>2127</v>
      </c>
      <c r="BX188" s="776" t="s">
        <v>2127</v>
      </c>
      <c r="BY188" s="776" t="s">
        <v>2127</v>
      </c>
      <c r="BZ188" s="776" t="s">
        <v>2127</v>
      </c>
      <c r="CA188" s="776" t="s">
        <v>2127</v>
      </c>
      <c r="CB188" s="776" t="s">
        <v>2127</v>
      </c>
      <c r="CC188" s="776" t="s">
        <v>2127</v>
      </c>
      <c r="CD188" s="776" t="s">
        <v>2127</v>
      </c>
      <c r="CE188" s="776" t="s">
        <v>2127</v>
      </c>
      <c r="CF188" s="776" t="s">
        <v>2127</v>
      </c>
      <c r="CG188" s="776" t="s">
        <v>2127</v>
      </c>
      <c r="CH188" s="776" t="s">
        <v>2127</v>
      </c>
      <c r="CI188" s="776" t="s">
        <v>2127</v>
      </c>
      <c r="CJ188" s="776" t="s">
        <v>2127</v>
      </c>
      <c r="CK188" s="776" t="s">
        <v>2127</v>
      </c>
      <c r="CL188" s="776" t="s">
        <v>2127</v>
      </c>
      <c r="CM188" s="776" t="s">
        <v>2127</v>
      </c>
      <c r="CN188" s="776" t="s">
        <v>2127</v>
      </c>
      <c r="CO188" s="776" t="s">
        <v>2127</v>
      </c>
      <c r="CP188" s="776" t="s">
        <v>2127</v>
      </c>
      <c r="CQ188" s="776" t="s">
        <v>2127</v>
      </c>
      <c r="CR188" s="776" t="s">
        <v>2127</v>
      </c>
      <c r="CS188" s="776" t="s">
        <v>2127</v>
      </c>
      <c r="CT188" s="776" t="s">
        <v>2127</v>
      </c>
      <c r="CU188" s="776" t="s">
        <v>2127</v>
      </c>
      <c r="CV188" s="776" t="s">
        <v>2127</v>
      </c>
      <c r="CW188" s="776" t="s">
        <v>2127</v>
      </c>
      <c r="CX188" s="776" t="s">
        <v>2127</v>
      </c>
      <c r="CY188" s="776" t="s">
        <v>2127</v>
      </c>
      <c r="CZ188" s="776" t="s">
        <v>2127</v>
      </c>
      <c r="DA188" s="776" t="s">
        <v>2127</v>
      </c>
      <c r="DB188" s="776" t="s">
        <v>2127</v>
      </c>
      <c r="DC188" s="776" t="s">
        <v>2127</v>
      </c>
      <c r="DD188" s="776" t="s">
        <v>2127</v>
      </c>
      <c r="DE188" s="776" t="s">
        <v>2127</v>
      </c>
      <c r="DF188" s="776" t="s">
        <v>2127</v>
      </c>
      <c r="DG188" s="776" t="s">
        <v>2127</v>
      </c>
      <c r="DH188" s="776" t="s">
        <v>2127</v>
      </c>
      <c r="DI188" s="776" t="s">
        <v>2127</v>
      </c>
      <c r="DJ188" s="776" t="s">
        <v>2127</v>
      </c>
      <c r="DK188" s="776" t="s">
        <v>2127</v>
      </c>
      <c r="DL188" s="776" t="s">
        <v>2127</v>
      </c>
      <c r="DM188" s="776" t="s">
        <v>2127</v>
      </c>
      <c r="DN188" s="776" t="s">
        <v>2127</v>
      </c>
      <c r="DO188" s="776" t="s">
        <v>2127</v>
      </c>
      <c r="DP188" s="776" t="s">
        <v>2127</v>
      </c>
    </row>
    <row r="189" spans="1:120" x14ac:dyDescent="0.2">
      <c r="A189" s="637"/>
      <c r="B189" s="772" t="str" cm="1">
        <f t="array" ref="B189">IFERROR(INDEX(Kulturen[HF],_xlfn.AGGREGATE(15,6,(ROW(Kulturen[Auswahl])-7)/(--(SEARCH("x",Kulturen[Auswahl])&gt;0)),ROW()-7),1),"")</f>
        <v>Rhabarber 2. Standjahr Austrieb</v>
      </c>
      <c r="C189" s="772" t="str">
        <f>IF(Kulturen[[#This Row],[HF]]=$D$373,IF($C$6=0,0,"x"),IF($C$6=0,"x",Vorauswahl!C188))</f>
        <v>x</v>
      </c>
      <c r="D189" s="938" t="s">
        <v>1955</v>
      </c>
      <c r="E189" s="938" t="s">
        <v>1955</v>
      </c>
      <c r="F189" s="938" t="s">
        <v>1956</v>
      </c>
      <c r="G189" s="938">
        <v>12</v>
      </c>
      <c r="H189" s="938">
        <v>8</v>
      </c>
      <c r="I189" s="938">
        <v>3</v>
      </c>
      <c r="J189" s="938">
        <v>12</v>
      </c>
      <c r="K189" s="938">
        <v>0.11</v>
      </c>
      <c r="L189" s="938">
        <v>0.11</v>
      </c>
      <c r="M189" s="938">
        <v>150</v>
      </c>
      <c r="N189" s="938">
        <v>0</v>
      </c>
      <c r="O189" s="938">
        <v>2</v>
      </c>
      <c r="P189" s="938">
        <v>0</v>
      </c>
      <c r="Q189" s="938">
        <v>90</v>
      </c>
      <c r="R189" s="938">
        <v>30</v>
      </c>
      <c r="S189" s="938">
        <v>20</v>
      </c>
      <c r="T189" s="938">
        <v>20</v>
      </c>
      <c r="U189" s="938">
        <v>0</v>
      </c>
      <c r="V189" s="938">
        <v>1</v>
      </c>
      <c r="W189" s="776">
        <f>IF(Kulturen[[#This Row],[Berechnungsschema]]=13,3,IF(Kulturen[[#This Row],[Berechnungsschema]]=6,2,1))</f>
        <v>1</v>
      </c>
      <c r="X189" s="776">
        <f>IF(Kulturen[[#This Row],[fruchtartengruppe]]=13,Kulturen[[#This Row],[NBedarfswert]],MAX(0,Kulturen[[#This Row],[NBedarfswert]]-Kulturen[[#This Row],[Ertrag]]*Kulturen[[#This Row],[Nfix]]))</f>
        <v>90</v>
      </c>
      <c r="Y189" s="776" t="s">
        <v>2127</v>
      </c>
      <c r="Z189" s="776" t="s">
        <v>2127</v>
      </c>
      <c r="AA189" s="776" t="s">
        <v>2127</v>
      </c>
      <c r="AB189" s="776" t="s">
        <v>2127</v>
      </c>
      <c r="AC189" s="776" t="s">
        <v>2127</v>
      </c>
      <c r="AD189" s="776" t="s">
        <v>2127</v>
      </c>
      <c r="AE189" s="776" t="s">
        <v>2127</v>
      </c>
      <c r="AF189" s="776" t="s">
        <v>2127</v>
      </c>
      <c r="AG189" s="776" t="s">
        <v>2127</v>
      </c>
      <c r="AH189" s="776" t="s">
        <v>2127</v>
      </c>
      <c r="AI189" s="776" t="s">
        <v>2127</v>
      </c>
      <c r="AJ189" s="776" t="s">
        <v>2127</v>
      </c>
      <c r="AK189" s="776" t="s">
        <v>2127</v>
      </c>
      <c r="AL189" s="776" t="s">
        <v>2127</v>
      </c>
      <c r="AM189" s="776" t="s">
        <v>2127</v>
      </c>
      <c r="AN189" s="776" t="s">
        <v>2127</v>
      </c>
      <c r="AO189" s="776" t="s">
        <v>2127</v>
      </c>
      <c r="AP189" s="776" t="s">
        <v>2127</v>
      </c>
      <c r="AQ189" s="776" t="s">
        <v>2127</v>
      </c>
      <c r="AR189" s="776" t="s">
        <v>2127</v>
      </c>
      <c r="AS189" s="776" t="s">
        <v>2127</v>
      </c>
      <c r="AT189" s="776" t="s">
        <v>2127</v>
      </c>
      <c r="AU189" s="776" t="s">
        <v>2127</v>
      </c>
      <c r="AV189" s="776" t="s">
        <v>2127</v>
      </c>
      <c r="AW189" s="776" t="s">
        <v>2127</v>
      </c>
      <c r="AX189" s="776" t="s">
        <v>2127</v>
      </c>
      <c r="AY189" s="776" t="s">
        <v>2127</v>
      </c>
      <c r="AZ189" s="776" t="s">
        <v>2127</v>
      </c>
      <c r="BA189" s="776" t="s">
        <v>2127</v>
      </c>
      <c r="BB189" s="776" t="s">
        <v>2127</v>
      </c>
      <c r="BC189" s="776" t="s">
        <v>2127</v>
      </c>
      <c r="BD189" s="776" t="s">
        <v>2127</v>
      </c>
      <c r="BE189" s="776" t="s">
        <v>2127</v>
      </c>
      <c r="BF189" s="776" t="s">
        <v>2127</v>
      </c>
      <c r="BG189" s="776" t="s">
        <v>2127</v>
      </c>
      <c r="BH189" s="776" t="s">
        <v>2127</v>
      </c>
      <c r="BI189" s="776" t="s">
        <v>2127</v>
      </c>
      <c r="BJ189" s="776" t="s">
        <v>2127</v>
      </c>
      <c r="BK189" s="776" t="s">
        <v>2127</v>
      </c>
      <c r="BL189" s="776" t="s">
        <v>2127</v>
      </c>
      <c r="BM189" s="776" t="s">
        <v>2127</v>
      </c>
      <c r="BN189" s="776" t="s">
        <v>2127</v>
      </c>
      <c r="BO189" s="776" t="s">
        <v>2127</v>
      </c>
      <c r="BP189" s="776" t="s">
        <v>2127</v>
      </c>
      <c r="BQ189" s="776" t="s">
        <v>2127</v>
      </c>
      <c r="BR189" s="776" t="s">
        <v>2127</v>
      </c>
      <c r="BS189" s="776" t="s">
        <v>2127</v>
      </c>
      <c r="BT189" s="776" t="s">
        <v>2127</v>
      </c>
      <c r="BU189" s="776" t="s">
        <v>2127</v>
      </c>
      <c r="BV189" s="776" t="s">
        <v>2127</v>
      </c>
      <c r="BW189" s="776" t="s">
        <v>2127</v>
      </c>
      <c r="BX189" s="776" t="s">
        <v>2127</v>
      </c>
      <c r="BY189" s="776" t="s">
        <v>2127</v>
      </c>
      <c r="BZ189" s="776" t="s">
        <v>2127</v>
      </c>
      <c r="CA189" s="776" t="s">
        <v>2127</v>
      </c>
      <c r="CB189" s="776" t="s">
        <v>2127</v>
      </c>
      <c r="CC189" s="776" t="s">
        <v>2127</v>
      </c>
      <c r="CD189" s="776" t="s">
        <v>2127</v>
      </c>
      <c r="CE189" s="776" t="s">
        <v>2127</v>
      </c>
      <c r="CF189" s="776" t="s">
        <v>2127</v>
      </c>
      <c r="CG189" s="776" t="s">
        <v>2127</v>
      </c>
      <c r="CH189" s="776" t="s">
        <v>2127</v>
      </c>
      <c r="CI189" s="776" t="s">
        <v>2127</v>
      </c>
      <c r="CJ189" s="776" t="s">
        <v>2127</v>
      </c>
      <c r="CK189" s="776" t="s">
        <v>2127</v>
      </c>
      <c r="CL189" s="776" t="s">
        <v>2127</v>
      </c>
      <c r="CM189" s="776" t="s">
        <v>2127</v>
      </c>
      <c r="CN189" s="776" t="s">
        <v>2127</v>
      </c>
      <c r="CO189" s="776" t="s">
        <v>2127</v>
      </c>
      <c r="CP189" s="776" t="s">
        <v>2127</v>
      </c>
      <c r="CQ189" s="776" t="s">
        <v>2127</v>
      </c>
      <c r="CR189" s="776" t="s">
        <v>2127</v>
      </c>
      <c r="CS189" s="776" t="s">
        <v>2127</v>
      </c>
      <c r="CT189" s="776" t="s">
        <v>2127</v>
      </c>
      <c r="CU189" s="776" t="s">
        <v>2127</v>
      </c>
      <c r="CV189" s="776" t="s">
        <v>2127</v>
      </c>
      <c r="CW189" s="776" t="s">
        <v>2127</v>
      </c>
      <c r="CX189" s="776" t="s">
        <v>2127</v>
      </c>
      <c r="CY189" s="776" t="s">
        <v>2127</v>
      </c>
      <c r="CZ189" s="776" t="s">
        <v>2127</v>
      </c>
      <c r="DA189" s="776" t="s">
        <v>2127</v>
      </c>
      <c r="DB189" s="776" t="s">
        <v>2127</v>
      </c>
      <c r="DC189" s="776" t="s">
        <v>2127</v>
      </c>
      <c r="DD189" s="776" t="s">
        <v>2127</v>
      </c>
      <c r="DE189" s="776" t="s">
        <v>2127</v>
      </c>
      <c r="DF189" s="776" t="s">
        <v>2127</v>
      </c>
      <c r="DG189" s="776" t="s">
        <v>2127</v>
      </c>
      <c r="DH189" s="776" t="s">
        <v>2127</v>
      </c>
      <c r="DI189" s="776" t="s">
        <v>2127</v>
      </c>
      <c r="DJ189" s="776" t="s">
        <v>2127</v>
      </c>
      <c r="DK189" s="776" t="s">
        <v>2127</v>
      </c>
      <c r="DL189" s="776" t="s">
        <v>2127</v>
      </c>
      <c r="DM189" s="776" t="s">
        <v>2127</v>
      </c>
      <c r="DN189" s="776" t="s">
        <v>2127</v>
      </c>
      <c r="DO189" s="776" t="s">
        <v>2127</v>
      </c>
      <c r="DP189" s="776" t="s">
        <v>2127</v>
      </c>
    </row>
    <row r="190" spans="1:120" x14ac:dyDescent="0.2">
      <c r="A190" s="637"/>
      <c r="B190" s="772" t="str" cm="1">
        <f t="array" ref="B190">IFERROR(INDEX(Kulturen[HF],_xlfn.AGGREGATE(15,6,(ROW(Kulturen[Auswahl])-7)/(--(SEARCH("x",Kulturen[Auswahl])&gt;0)),ROW()-7),1),"")</f>
        <v>Rhabarber 3. Standjahr Austrieb</v>
      </c>
      <c r="C190" s="772" t="str">
        <f>IF(Kulturen[[#This Row],[HF]]=$D$373,IF($C$6=0,0,"x"),IF($C$6=0,"x",Vorauswahl!C189))</f>
        <v>x</v>
      </c>
      <c r="D190" s="938" t="s">
        <v>1957</v>
      </c>
      <c r="E190" s="938" t="s">
        <v>1957</v>
      </c>
      <c r="F190" s="938" t="s">
        <v>1958</v>
      </c>
      <c r="G190" s="938">
        <v>12</v>
      </c>
      <c r="H190" s="938">
        <v>8</v>
      </c>
      <c r="I190" s="938">
        <v>3</v>
      </c>
      <c r="J190" s="938">
        <v>12</v>
      </c>
      <c r="K190" s="938">
        <v>0.11</v>
      </c>
      <c r="L190" s="938">
        <v>0.11</v>
      </c>
      <c r="M190" s="938">
        <v>100</v>
      </c>
      <c r="N190" s="938">
        <v>0</v>
      </c>
      <c r="O190" s="938">
        <v>2</v>
      </c>
      <c r="P190" s="938">
        <v>0</v>
      </c>
      <c r="Q190" s="938">
        <v>70</v>
      </c>
      <c r="R190" s="938">
        <v>20</v>
      </c>
      <c r="S190" s="938">
        <v>20</v>
      </c>
      <c r="T190" s="938">
        <v>20</v>
      </c>
      <c r="U190" s="938">
        <v>0</v>
      </c>
      <c r="V190" s="938">
        <v>1</v>
      </c>
      <c r="W190" s="776">
        <f>IF(Kulturen[[#This Row],[Berechnungsschema]]=13,3,IF(Kulturen[[#This Row],[Berechnungsschema]]=6,2,1))</f>
        <v>1</v>
      </c>
      <c r="X190" s="776">
        <f>IF(Kulturen[[#This Row],[fruchtartengruppe]]=13,Kulturen[[#This Row],[NBedarfswert]],MAX(0,Kulturen[[#This Row],[NBedarfswert]]-Kulturen[[#This Row],[Ertrag]]*Kulturen[[#This Row],[Nfix]]))</f>
        <v>70</v>
      </c>
      <c r="Y190" s="776" t="s">
        <v>2127</v>
      </c>
      <c r="Z190" s="776" t="s">
        <v>2127</v>
      </c>
      <c r="AA190" s="776" t="s">
        <v>2127</v>
      </c>
      <c r="AB190" s="776" t="s">
        <v>2127</v>
      </c>
      <c r="AC190" s="776" t="s">
        <v>2127</v>
      </c>
      <c r="AD190" s="776" t="s">
        <v>2127</v>
      </c>
      <c r="AE190" s="776" t="s">
        <v>2127</v>
      </c>
      <c r="AF190" s="776" t="s">
        <v>2127</v>
      </c>
      <c r="AG190" s="776" t="s">
        <v>2127</v>
      </c>
      <c r="AH190" s="776" t="s">
        <v>2127</v>
      </c>
      <c r="AI190" s="776" t="s">
        <v>2127</v>
      </c>
      <c r="AJ190" s="776" t="s">
        <v>2127</v>
      </c>
      <c r="AK190" s="776" t="s">
        <v>2127</v>
      </c>
      <c r="AL190" s="776" t="s">
        <v>2127</v>
      </c>
      <c r="AM190" s="776" t="s">
        <v>2127</v>
      </c>
      <c r="AN190" s="776" t="s">
        <v>2127</v>
      </c>
      <c r="AO190" s="776" t="s">
        <v>2127</v>
      </c>
      <c r="AP190" s="776" t="s">
        <v>2127</v>
      </c>
      <c r="AQ190" s="776" t="s">
        <v>2127</v>
      </c>
      <c r="AR190" s="776" t="s">
        <v>2127</v>
      </c>
      <c r="AS190" s="776" t="s">
        <v>2127</v>
      </c>
      <c r="AT190" s="776" t="s">
        <v>2127</v>
      </c>
      <c r="AU190" s="776" t="s">
        <v>2127</v>
      </c>
      <c r="AV190" s="776" t="s">
        <v>2127</v>
      </c>
      <c r="AW190" s="776" t="s">
        <v>2127</v>
      </c>
      <c r="AX190" s="776" t="s">
        <v>2127</v>
      </c>
      <c r="AY190" s="776" t="s">
        <v>2127</v>
      </c>
      <c r="AZ190" s="776" t="s">
        <v>2127</v>
      </c>
      <c r="BA190" s="776" t="s">
        <v>2127</v>
      </c>
      <c r="BB190" s="776" t="s">
        <v>2127</v>
      </c>
      <c r="BC190" s="776" t="s">
        <v>2127</v>
      </c>
      <c r="BD190" s="776" t="s">
        <v>2127</v>
      </c>
      <c r="BE190" s="776" t="s">
        <v>2127</v>
      </c>
      <c r="BF190" s="776" t="s">
        <v>2127</v>
      </c>
      <c r="BG190" s="776" t="s">
        <v>2127</v>
      </c>
      <c r="BH190" s="776" t="s">
        <v>2127</v>
      </c>
      <c r="BI190" s="776" t="s">
        <v>2127</v>
      </c>
      <c r="BJ190" s="776" t="s">
        <v>2127</v>
      </c>
      <c r="BK190" s="776" t="s">
        <v>2127</v>
      </c>
      <c r="BL190" s="776" t="s">
        <v>2127</v>
      </c>
      <c r="BM190" s="776" t="s">
        <v>2127</v>
      </c>
      <c r="BN190" s="776" t="s">
        <v>2127</v>
      </c>
      <c r="BO190" s="776" t="s">
        <v>2127</v>
      </c>
      <c r="BP190" s="776" t="s">
        <v>2127</v>
      </c>
      <c r="BQ190" s="776" t="s">
        <v>2127</v>
      </c>
      <c r="BR190" s="776" t="s">
        <v>2127</v>
      </c>
      <c r="BS190" s="776" t="s">
        <v>2127</v>
      </c>
      <c r="BT190" s="776" t="s">
        <v>2127</v>
      </c>
      <c r="BU190" s="776" t="s">
        <v>2127</v>
      </c>
      <c r="BV190" s="776" t="s">
        <v>2127</v>
      </c>
      <c r="BW190" s="776" t="s">
        <v>2127</v>
      </c>
      <c r="BX190" s="776" t="s">
        <v>2127</v>
      </c>
      <c r="BY190" s="776" t="s">
        <v>2127</v>
      </c>
      <c r="BZ190" s="776" t="s">
        <v>2127</v>
      </c>
      <c r="CA190" s="776" t="s">
        <v>2127</v>
      </c>
      <c r="CB190" s="776" t="s">
        <v>2127</v>
      </c>
      <c r="CC190" s="776" t="s">
        <v>2127</v>
      </c>
      <c r="CD190" s="776" t="s">
        <v>2127</v>
      </c>
      <c r="CE190" s="776" t="s">
        <v>2127</v>
      </c>
      <c r="CF190" s="776" t="s">
        <v>2127</v>
      </c>
      <c r="CG190" s="776" t="s">
        <v>2127</v>
      </c>
      <c r="CH190" s="776" t="s">
        <v>2127</v>
      </c>
      <c r="CI190" s="776" t="s">
        <v>2127</v>
      </c>
      <c r="CJ190" s="776" t="s">
        <v>2127</v>
      </c>
      <c r="CK190" s="776" t="s">
        <v>2127</v>
      </c>
      <c r="CL190" s="776" t="s">
        <v>2127</v>
      </c>
      <c r="CM190" s="776" t="s">
        <v>2127</v>
      </c>
      <c r="CN190" s="776" t="s">
        <v>2127</v>
      </c>
      <c r="CO190" s="776" t="s">
        <v>2127</v>
      </c>
      <c r="CP190" s="776" t="s">
        <v>2127</v>
      </c>
      <c r="CQ190" s="776" t="s">
        <v>2127</v>
      </c>
      <c r="CR190" s="776" t="s">
        <v>2127</v>
      </c>
      <c r="CS190" s="776" t="s">
        <v>2127</v>
      </c>
      <c r="CT190" s="776" t="s">
        <v>2127</v>
      </c>
      <c r="CU190" s="776" t="s">
        <v>2127</v>
      </c>
      <c r="CV190" s="776" t="s">
        <v>2127</v>
      </c>
      <c r="CW190" s="776" t="s">
        <v>2127</v>
      </c>
      <c r="CX190" s="776" t="s">
        <v>2127</v>
      </c>
      <c r="CY190" s="776" t="s">
        <v>2127</v>
      </c>
      <c r="CZ190" s="776" t="s">
        <v>2127</v>
      </c>
      <c r="DA190" s="776" t="s">
        <v>2127</v>
      </c>
      <c r="DB190" s="776" t="s">
        <v>2127</v>
      </c>
      <c r="DC190" s="776" t="s">
        <v>2127</v>
      </c>
      <c r="DD190" s="776" t="s">
        <v>2127</v>
      </c>
      <c r="DE190" s="776" t="s">
        <v>2127</v>
      </c>
      <c r="DF190" s="776" t="s">
        <v>2127</v>
      </c>
      <c r="DG190" s="776" t="s">
        <v>2127</v>
      </c>
      <c r="DH190" s="776" t="s">
        <v>2127</v>
      </c>
      <c r="DI190" s="776" t="s">
        <v>2127</v>
      </c>
      <c r="DJ190" s="776" t="s">
        <v>2127</v>
      </c>
      <c r="DK190" s="776" t="s">
        <v>2127</v>
      </c>
      <c r="DL190" s="776" t="s">
        <v>2127</v>
      </c>
      <c r="DM190" s="776" t="s">
        <v>2127</v>
      </c>
      <c r="DN190" s="776" t="s">
        <v>2127</v>
      </c>
      <c r="DO190" s="776" t="s">
        <v>2127</v>
      </c>
      <c r="DP190" s="776" t="s">
        <v>2127</v>
      </c>
    </row>
    <row r="191" spans="1:120" x14ac:dyDescent="0.2">
      <c r="A191" s="637"/>
      <c r="B191" s="772" t="str" cm="1">
        <f t="array" ref="B191">IFERROR(INDEX(Kulturen[HF],_xlfn.AGGREGATE(15,6,(ROW(Kulturen[Auswahl])-7)/(--(SEARCH("x",Kulturen[Auswahl])&gt;0)),ROW()-7),1),"")</f>
        <v>Rhabarber ab 4. Standjahr Austr.</v>
      </c>
      <c r="C191" s="772" t="str">
        <f>IF(Kulturen[[#This Row],[HF]]=$D$373,IF($C$6=0,0,"x"),IF($C$6=0,"x",Vorauswahl!C190))</f>
        <v>x</v>
      </c>
      <c r="D191" s="938" t="s">
        <v>1959</v>
      </c>
      <c r="E191" s="938" t="s">
        <v>1959</v>
      </c>
      <c r="F191" s="938" t="s">
        <v>1960</v>
      </c>
      <c r="G191" s="938">
        <v>12</v>
      </c>
      <c r="H191" s="938">
        <v>8</v>
      </c>
      <c r="I191" s="938">
        <v>3</v>
      </c>
      <c r="J191" s="938">
        <v>12</v>
      </c>
      <c r="K191" s="938">
        <v>0.11</v>
      </c>
      <c r="L191" s="938">
        <v>0.11</v>
      </c>
      <c r="M191" s="938">
        <v>150</v>
      </c>
      <c r="N191" s="938">
        <v>0</v>
      </c>
      <c r="O191" s="938">
        <v>2</v>
      </c>
      <c r="P191" s="938">
        <v>0</v>
      </c>
      <c r="Q191" s="938">
        <v>90</v>
      </c>
      <c r="R191" s="938">
        <v>30</v>
      </c>
      <c r="S191" s="938">
        <v>20</v>
      </c>
      <c r="T191" s="938">
        <v>20</v>
      </c>
      <c r="U191" s="938">
        <v>0</v>
      </c>
      <c r="V191" s="938">
        <v>1</v>
      </c>
      <c r="W191" s="776">
        <f>IF(Kulturen[[#This Row],[Berechnungsschema]]=13,3,IF(Kulturen[[#This Row],[Berechnungsschema]]=6,2,1))</f>
        <v>1</v>
      </c>
      <c r="X191" s="776">
        <f>IF(Kulturen[[#This Row],[fruchtartengruppe]]=13,Kulturen[[#This Row],[NBedarfswert]],MAX(0,Kulturen[[#This Row],[NBedarfswert]]-Kulturen[[#This Row],[Ertrag]]*Kulturen[[#This Row],[Nfix]]))</f>
        <v>90</v>
      </c>
      <c r="Y191" s="776" t="s">
        <v>2127</v>
      </c>
      <c r="Z191" s="776" t="s">
        <v>2127</v>
      </c>
      <c r="AA191" s="776" t="s">
        <v>2127</v>
      </c>
      <c r="AB191" s="776" t="s">
        <v>2127</v>
      </c>
      <c r="AC191" s="776" t="s">
        <v>2127</v>
      </c>
      <c r="AD191" s="776" t="s">
        <v>2127</v>
      </c>
      <c r="AE191" s="776" t="s">
        <v>2127</v>
      </c>
      <c r="AF191" s="776" t="s">
        <v>2127</v>
      </c>
      <c r="AG191" s="776" t="s">
        <v>2127</v>
      </c>
      <c r="AH191" s="776" t="s">
        <v>2127</v>
      </c>
      <c r="AI191" s="776" t="s">
        <v>2127</v>
      </c>
      <c r="AJ191" s="776" t="s">
        <v>2127</v>
      </c>
      <c r="AK191" s="776" t="s">
        <v>2127</v>
      </c>
      <c r="AL191" s="776" t="s">
        <v>2127</v>
      </c>
      <c r="AM191" s="776" t="s">
        <v>2127</v>
      </c>
      <c r="AN191" s="776" t="s">
        <v>2127</v>
      </c>
      <c r="AO191" s="776" t="s">
        <v>2127</v>
      </c>
      <c r="AP191" s="776" t="s">
        <v>2127</v>
      </c>
      <c r="AQ191" s="776" t="s">
        <v>2127</v>
      </c>
      <c r="AR191" s="776" t="s">
        <v>2127</v>
      </c>
      <c r="AS191" s="776" t="s">
        <v>2127</v>
      </c>
      <c r="AT191" s="776" t="s">
        <v>2127</v>
      </c>
      <c r="AU191" s="776" t="s">
        <v>2127</v>
      </c>
      <c r="AV191" s="776" t="s">
        <v>2127</v>
      </c>
      <c r="AW191" s="776" t="s">
        <v>2127</v>
      </c>
      <c r="AX191" s="776" t="s">
        <v>2127</v>
      </c>
      <c r="AY191" s="776" t="s">
        <v>2127</v>
      </c>
      <c r="AZ191" s="776" t="s">
        <v>2127</v>
      </c>
      <c r="BA191" s="776" t="s">
        <v>2127</v>
      </c>
      <c r="BB191" s="776" t="s">
        <v>2127</v>
      </c>
      <c r="BC191" s="776" t="s">
        <v>2127</v>
      </c>
      <c r="BD191" s="776" t="s">
        <v>2127</v>
      </c>
      <c r="BE191" s="776" t="s">
        <v>2127</v>
      </c>
      <c r="BF191" s="776" t="s">
        <v>2127</v>
      </c>
      <c r="BG191" s="776" t="s">
        <v>2127</v>
      </c>
      <c r="BH191" s="776" t="s">
        <v>2127</v>
      </c>
      <c r="BI191" s="776" t="s">
        <v>2127</v>
      </c>
      <c r="BJ191" s="776" t="s">
        <v>2127</v>
      </c>
      <c r="BK191" s="776" t="s">
        <v>2127</v>
      </c>
      <c r="BL191" s="776" t="s">
        <v>2127</v>
      </c>
      <c r="BM191" s="776" t="s">
        <v>2127</v>
      </c>
      <c r="BN191" s="776" t="s">
        <v>2127</v>
      </c>
      <c r="BO191" s="776" t="s">
        <v>2127</v>
      </c>
      <c r="BP191" s="776" t="s">
        <v>2127</v>
      </c>
      <c r="BQ191" s="776" t="s">
        <v>2127</v>
      </c>
      <c r="BR191" s="776" t="s">
        <v>2127</v>
      </c>
      <c r="BS191" s="776" t="s">
        <v>2127</v>
      </c>
      <c r="BT191" s="776" t="s">
        <v>2127</v>
      </c>
      <c r="BU191" s="776" t="s">
        <v>2127</v>
      </c>
      <c r="BV191" s="776" t="s">
        <v>2127</v>
      </c>
      <c r="BW191" s="776" t="s">
        <v>2127</v>
      </c>
      <c r="BX191" s="776" t="s">
        <v>2127</v>
      </c>
      <c r="BY191" s="776" t="s">
        <v>2127</v>
      </c>
      <c r="BZ191" s="776" t="s">
        <v>2127</v>
      </c>
      <c r="CA191" s="776" t="s">
        <v>2127</v>
      </c>
      <c r="CB191" s="776" t="s">
        <v>2127</v>
      </c>
      <c r="CC191" s="776" t="s">
        <v>2127</v>
      </c>
      <c r="CD191" s="776" t="s">
        <v>2127</v>
      </c>
      <c r="CE191" s="776" t="s">
        <v>2127</v>
      </c>
      <c r="CF191" s="776" t="s">
        <v>2127</v>
      </c>
      <c r="CG191" s="776" t="s">
        <v>2127</v>
      </c>
      <c r="CH191" s="776" t="s">
        <v>2127</v>
      </c>
      <c r="CI191" s="776" t="s">
        <v>2127</v>
      </c>
      <c r="CJ191" s="776" t="s">
        <v>2127</v>
      </c>
      <c r="CK191" s="776" t="s">
        <v>2127</v>
      </c>
      <c r="CL191" s="776" t="s">
        <v>2127</v>
      </c>
      <c r="CM191" s="776" t="s">
        <v>2127</v>
      </c>
      <c r="CN191" s="776" t="s">
        <v>2127</v>
      </c>
      <c r="CO191" s="776" t="s">
        <v>2127</v>
      </c>
      <c r="CP191" s="776" t="s">
        <v>2127</v>
      </c>
      <c r="CQ191" s="776" t="s">
        <v>2127</v>
      </c>
      <c r="CR191" s="776" t="s">
        <v>2127</v>
      </c>
      <c r="CS191" s="776" t="s">
        <v>2127</v>
      </c>
      <c r="CT191" s="776" t="s">
        <v>2127</v>
      </c>
      <c r="CU191" s="776" t="s">
        <v>2127</v>
      </c>
      <c r="CV191" s="776" t="s">
        <v>2127</v>
      </c>
      <c r="CW191" s="776" t="s">
        <v>2127</v>
      </c>
      <c r="CX191" s="776" t="s">
        <v>2127</v>
      </c>
      <c r="CY191" s="776" t="s">
        <v>2127</v>
      </c>
      <c r="CZ191" s="776" t="s">
        <v>2127</v>
      </c>
      <c r="DA191" s="776" t="s">
        <v>2127</v>
      </c>
      <c r="DB191" s="776" t="s">
        <v>2127</v>
      </c>
      <c r="DC191" s="776" t="s">
        <v>2127</v>
      </c>
      <c r="DD191" s="776" t="s">
        <v>2127</v>
      </c>
      <c r="DE191" s="776" t="s">
        <v>2127</v>
      </c>
      <c r="DF191" s="776" t="s">
        <v>2127</v>
      </c>
      <c r="DG191" s="776" t="s">
        <v>2127</v>
      </c>
      <c r="DH191" s="776" t="s">
        <v>2127</v>
      </c>
      <c r="DI191" s="776" t="s">
        <v>2127</v>
      </c>
      <c r="DJ191" s="776" t="s">
        <v>2127</v>
      </c>
      <c r="DK191" s="776" t="s">
        <v>2127</v>
      </c>
      <c r="DL191" s="776" t="s">
        <v>2127</v>
      </c>
      <c r="DM191" s="776" t="s">
        <v>2127</v>
      </c>
      <c r="DN191" s="776" t="s">
        <v>2127</v>
      </c>
      <c r="DO191" s="776" t="s">
        <v>2127</v>
      </c>
      <c r="DP191" s="776" t="s">
        <v>2127</v>
      </c>
    </row>
    <row r="192" spans="1:120" x14ac:dyDescent="0.2">
      <c r="A192" s="637"/>
      <c r="B192" s="772" t="str" cm="1">
        <f t="array" ref="B192">IFERROR(INDEX(Kulturen[HF],_xlfn.AGGREGATE(15,6,(ROW(Kulturen[Auswahl])-7)/(--(SEARCH("x",Kulturen[Auswahl])&gt;0)),ROW()-7),1),"")</f>
        <v>Rhabarber 2. Standj. nach Ernte</v>
      </c>
      <c r="C192" s="772" t="str">
        <f>IF(Kulturen[[#This Row],[HF]]=$D$373,IF($C$6=0,0,"x"),IF($C$6=0,"x",Vorauswahl!C191))</f>
        <v>x</v>
      </c>
      <c r="D192" s="938" t="s">
        <v>1961</v>
      </c>
      <c r="E192" s="938" t="s">
        <v>1961</v>
      </c>
      <c r="F192" s="938" t="s">
        <v>1962</v>
      </c>
      <c r="G192" s="938">
        <v>12</v>
      </c>
      <c r="H192" s="938">
        <v>8</v>
      </c>
      <c r="I192" s="938">
        <v>3</v>
      </c>
      <c r="J192" s="938">
        <v>12</v>
      </c>
      <c r="K192" s="938">
        <v>0.11</v>
      </c>
      <c r="L192" s="938">
        <v>0.11</v>
      </c>
      <c r="M192" s="938">
        <v>100</v>
      </c>
      <c r="N192" s="938">
        <v>0</v>
      </c>
      <c r="O192" s="938">
        <v>2</v>
      </c>
      <c r="P192" s="938">
        <v>0</v>
      </c>
      <c r="Q192" s="938">
        <v>70</v>
      </c>
      <c r="R192" s="938">
        <v>20</v>
      </c>
      <c r="S192" s="938">
        <v>20</v>
      </c>
      <c r="T192" s="938">
        <v>20</v>
      </c>
      <c r="U192" s="938">
        <v>0</v>
      </c>
      <c r="V192" s="938">
        <v>1</v>
      </c>
      <c r="W192" s="776">
        <f>IF(Kulturen[[#This Row],[Berechnungsschema]]=13,3,IF(Kulturen[[#This Row],[Berechnungsschema]]=6,2,1))</f>
        <v>1</v>
      </c>
      <c r="X192" s="776">
        <f>IF(Kulturen[[#This Row],[fruchtartengruppe]]=13,Kulturen[[#This Row],[NBedarfswert]],MAX(0,Kulturen[[#This Row],[NBedarfswert]]-Kulturen[[#This Row],[Ertrag]]*Kulturen[[#This Row],[Nfix]]))</f>
        <v>70</v>
      </c>
      <c r="Y192" s="776" t="s">
        <v>2127</v>
      </c>
      <c r="Z192" s="776" t="s">
        <v>2127</v>
      </c>
      <c r="AA192" s="776" t="s">
        <v>2127</v>
      </c>
      <c r="AB192" s="776" t="s">
        <v>2127</v>
      </c>
      <c r="AC192" s="776" t="s">
        <v>2127</v>
      </c>
      <c r="AD192" s="776" t="s">
        <v>2127</v>
      </c>
      <c r="AE192" s="776" t="s">
        <v>2127</v>
      </c>
      <c r="AF192" s="776" t="s">
        <v>2127</v>
      </c>
      <c r="AG192" s="776" t="s">
        <v>2127</v>
      </c>
      <c r="AH192" s="776" t="s">
        <v>2127</v>
      </c>
      <c r="AI192" s="776" t="s">
        <v>2127</v>
      </c>
      <c r="AJ192" s="776" t="s">
        <v>2127</v>
      </c>
      <c r="AK192" s="776" t="s">
        <v>2127</v>
      </c>
      <c r="AL192" s="776" t="s">
        <v>2127</v>
      </c>
      <c r="AM192" s="776" t="s">
        <v>2127</v>
      </c>
      <c r="AN192" s="776" t="s">
        <v>2127</v>
      </c>
      <c r="AO192" s="776" t="s">
        <v>2127</v>
      </c>
      <c r="AP192" s="776" t="s">
        <v>2127</v>
      </c>
      <c r="AQ192" s="776" t="s">
        <v>2127</v>
      </c>
      <c r="AR192" s="776" t="s">
        <v>2127</v>
      </c>
      <c r="AS192" s="776" t="s">
        <v>2127</v>
      </c>
      <c r="AT192" s="776" t="s">
        <v>2127</v>
      </c>
      <c r="AU192" s="776" t="s">
        <v>2127</v>
      </c>
      <c r="AV192" s="776" t="s">
        <v>2127</v>
      </c>
      <c r="AW192" s="776" t="s">
        <v>2127</v>
      </c>
      <c r="AX192" s="776" t="s">
        <v>2127</v>
      </c>
      <c r="AY192" s="776" t="s">
        <v>2127</v>
      </c>
      <c r="AZ192" s="776" t="s">
        <v>2127</v>
      </c>
      <c r="BA192" s="776" t="s">
        <v>2127</v>
      </c>
      <c r="BB192" s="776" t="s">
        <v>2127</v>
      </c>
      <c r="BC192" s="776" t="s">
        <v>2127</v>
      </c>
      <c r="BD192" s="776" t="s">
        <v>2127</v>
      </c>
      <c r="BE192" s="776" t="s">
        <v>2127</v>
      </c>
      <c r="BF192" s="776" t="s">
        <v>2127</v>
      </c>
      <c r="BG192" s="776" t="s">
        <v>2127</v>
      </c>
      <c r="BH192" s="776" t="s">
        <v>2127</v>
      </c>
      <c r="BI192" s="776" t="s">
        <v>2127</v>
      </c>
      <c r="BJ192" s="776" t="s">
        <v>2127</v>
      </c>
      <c r="BK192" s="776" t="s">
        <v>2127</v>
      </c>
      <c r="BL192" s="776" t="s">
        <v>2127</v>
      </c>
      <c r="BM192" s="776" t="s">
        <v>2127</v>
      </c>
      <c r="BN192" s="776" t="s">
        <v>2127</v>
      </c>
      <c r="BO192" s="776" t="s">
        <v>2127</v>
      </c>
      <c r="BP192" s="776" t="s">
        <v>2127</v>
      </c>
      <c r="BQ192" s="776" t="s">
        <v>2127</v>
      </c>
      <c r="BR192" s="776" t="s">
        <v>2127</v>
      </c>
      <c r="BS192" s="776" t="s">
        <v>2127</v>
      </c>
      <c r="BT192" s="776" t="s">
        <v>2127</v>
      </c>
      <c r="BU192" s="776" t="s">
        <v>2127</v>
      </c>
      <c r="BV192" s="776" t="s">
        <v>2127</v>
      </c>
      <c r="BW192" s="776" t="s">
        <v>2127</v>
      </c>
      <c r="BX192" s="776" t="s">
        <v>2127</v>
      </c>
      <c r="BY192" s="776" t="s">
        <v>2127</v>
      </c>
      <c r="BZ192" s="776" t="s">
        <v>2127</v>
      </c>
      <c r="CA192" s="776" t="s">
        <v>2127</v>
      </c>
      <c r="CB192" s="776" t="s">
        <v>2127</v>
      </c>
      <c r="CC192" s="776" t="s">
        <v>2127</v>
      </c>
      <c r="CD192" s="776" t="s">
        <v>2127</v>
      </c>
      <c r="CE192" s="776" t="s">
        <v>2127</v>
      </c>
      <c r="CF192" s="776" t="s">
        <v>2127</v>
      </c>
      <c r="CG192" s="776" t="s">
        <v>2127</v>
      </c>
      <c r="CH192" s="776" t="s">
        <v>2127</v>
      </c>
      <c r="CI192" s="776" t="s">
        <v>2127</v>
      </c>
      <c r="CJ192" s="776" t="s">
        <v>2127</v>
      </c>
      <c r="CK192" s="776" t="s">
        <v>2127</v>
      </c>
      <c r="CL192" s="776" t="s">
        <v>2127</v>
      </c>
      <c r="CM192" s="776" t="s">
        <v>2127</v>
      </c>
      <c r="CN192" s="776" t="s">
        <v>2127</v>
      </c>
      <c r="CO192" s="776" t="s">
        <v>2127</v>
      </c>
      <c r="CP192" s="776" t="s">
        <v>2127</v>
      </c>
      <c r="CQ192" s="776" t="s">
        <v>2127</v>
      </c>
      <c r="CR192" s="776" t="s">
        <v>2127</v>
      </c>
      <c r="CS192" s="776" t="s">
        <v>2127</v>
      </c>
      <c r="CT192" s="776" t="s">
        <v>2127</v>
      </c>
      <c r="CU192" s="776" t="s">
        <v>2127</v>
      </c>
      <c r="CV192" s="776" t="s">
        <v>2127</v>
      </c>
      <c r="CW192" s="776" t="s">
        <v>2127</v>
      </c>
      <c r="CX192" s="776" t="s">
        <v>2127</v>
      </c>
      <c r="CY192" s="776" t="s">
        <v>2127</v>
      </c>
      <c r="CZ192" s="776" t="s">
        <v>2127</v>
      </c>
      <c r="DA192" s="776" t="s">
        <v>2127</v>
      </c>
      <c r="DB192" s="776" t="s">
        <v>2127</v>
      </c>
      <c r="DC192" s="776" t="s">
        <v>2127</v>
      </c>
      <c r="DD192" s="776" t="s">
        <v>2127</v>
      </c>
      <c r="DE192" s="776" t="s">
        <v>2127</v>
      </c>
      <c r="DF192" s="776" t="s">
        <v>2127</v>
      </c>
      <c r="DG192" s="776" t="s">
        <v>2127</v>
      </c>
      <c r="DH192" s="776" t="s">
        <v>2127</v>
      </c>
      <c r="DI192" s="776" t="s">
        <v>2127</v>
      </c>
      <c r="DJ192" s="776" t="s">
        <v>2127</v>
      </c>
      <c r="DK192" s="776" t="s">
        <v>2127</v>
      </c>
      <c r="DL192" s="776" t="s">
        <v>2127</v>
      </c>
      <c r="DM192" s="776" t="s">
        <v>2127</v>
      </c>
      <c r="DN192" s="776" t="s">
        <v>2127</v>
      </c>
      <c r="DO192" s="776" t="s">
        <v>2127</v>
      </c>
      <c r="DP192" s="776" t="s">
        <v>2127</v>
      </c>
    </row>
    <row r="193" spans="1:120" x14ac:dyDescent="0.2">
      <c r="A193" s="637" t="s">
        <v>2225</v>
      </c>
      <c r="B193" s="772" t="str" cm="1">
        <f t="array" ref="B193">IFERROR(INDEX(Kulturen[HF],_xlfn.AGGREGATE(15,6,(ROW(Kulturen[Auswahl])-7)/(--(SEARCH("x",Kulturen[Auswahl])&gt;0)),ROW()-7),1),"")</f>
        <v>Rhabarber 3. Standj. nach Ernte</v>
      </c>
      <c r="C193" s="772" t="str">
        <f>IF(Kulturen[[#This Row],[HF]]=$D$373,IF($C$6=0,0,"x"),IF($C$6=0,"x",Vorauswahl!C192))</f>
        <v>x</v>
      </c>
      <c r="D193" s="938" t="s">
        <v>783</v>
      </c>
      <c r="E193" s="938" t="s">
        <v>783</v>
      </c>
      <c r="F193" s="938" t="s">
        <v>866</v>
      </c>
      <c r="G193" s="938">
        <v>12</v>
      </c>
      <c r="H193" s="938">
        <v>8</v>
      </c>
      <c r="I193" s="938">
        <v>3</v>
      </c>
      <c r="J193" s="938">
        <v>12</v>
      </c>
      <c r="K193" s="938">
        <v>9.1999999999999998E-2</v>
      </c>
      <c r="L193" s="938">
        <v>0.09</v>
      </c>
      <c r="M193" s="938">
        <v>280</v>
      </c>
      <c r="N193" s="938">
        <v>0</v>
      </c>
      <c r="O193" s="938">
        <v>1</v>
      </c>
      <c r="P193" s="938">
        <v>0</v>
      </c>
      <c r="Q193" s="938">
        <v>140</v>
      </c>
      <c r="R193" s="938">
        <v>56</v>
      </c>
      <c r="S193" s="938">
        <v>20</v>
      </c>
      <c r="T193" s="938">
        <v>20</v>
      </c>
      <c r="U193" s="938">
        <v>0</v>
      </c>
      <c r="V193" s="938">
        <v>1</v>
      </c>
      <c r="W193" s="776">
        <f>IF(Kulturen[[#This Row],[Berechnungsschema]]=13,3,IF(Kulturen[[#This Row],[Berechnungsschema]]=6,2,1))</f>
        <v>1</v>
      </c>
      <c r="X193" s="776">
        <f>IF(Kulturen[[#This Row],[fruchtartengruppe]]=13,Kulturen[[#This Row],[NBedarfswert]],MAX(0,Kulturen[[#This Row],[NBedarfswert]]-Kulturen[[#This Row],[Ertrag]]*Kulturen[[#This Row],[Nfix]]))</f>
        <v>140</v>
      </c>
      <c r="Y193" s="776" t="s">
        <v>2127</v>
      </c>
      <c r="Z193" s="776" t="s">
        <v>2127</v>
      </c>
      <c r="AA193" s="776" t="s">
        <v>2127</v>
      </c>
      <c r="AB193" s="776" t="s">
        <v>2127</v>
      </c>
      <c r="AC193" s="776" t="s">
        <v>2127</v>
      </c>
      <c r="AD193" s="776" t="s">
        <v>2127</v>
      </c>
      <c r="AE193" s="776" t="s">
        <v>2127</v>
      </c>
      <c r="AF193" s="776" t="s">
        <v>2127</v>
      </c>
      <c r="AG193" s="776" t="s">
        <v>2127</v>
      </c>
      <c r="AH193" s="776" t="s">
        <v>2127</v>
      </c>
      <c r="AI193" s="776" t="s">
        <v>2127</v>
      </c>
      <c r="AJ193" s="776" t="s">
        <v>2127</v>
      </c>
      <c r="AK193" s="776" t="s">
        <v>2127</v>
      </c>
      <c r="AL193" s="776" t="s">
        <v>2127</v>
      </c>
      <c r="AM193" s="776" t="s">
        <v>2127</v>
      </c>
      <c r="AN193" s="776" t="s">
        <v>2127</v>
      </c>
      <c r="AO193" s="776" t="s">
        <v>2127</v>
      </c>
      <c r="AP193" s="776" t="s">
        <v>2127</v>
      </c>
      <c r="AQ193" s="776" t="s">
        <v>2127</v>
      </c>
      <c r="AR193" s="776" t="s">
        <v>2127</v>
      </c>
      <c r="AS193" s="776" t="s">
        <v>2127</v>
      </c>
      <c r="AT193" s="776" t="s">
        <v>2127</v>
      </c>
      <c r="AU193" s="776" t="s">
        <v>2127</v>
      </c>
      <c r="AV193" s="776" t="s">
        <v>2127</v>
      </c>
      <c r="AW193" s="776" t="s">
        <v>2127</v>
      </c>
      <c r="AX193" s="776" t="s">
        <v>2127</v>
      </c>
      <c r="AY193" s="776" t="s">
        <v>2127</v>
      </c>
      <c r="AZ193" s="776" t="s">
        <v>2127</v>
      </c>
      <c r="BA193" s="776" t="s">
        <v>2127</v>
      </c>
      <c r="BB193" s="776" t="s">
        <v>2127</v>
      </c>
      <c r="BC193" s="776" t="s">
        <v>2127</v>
      </c>
      <c r="BD193" s="776" t="s">
        <v>2127</v>
      </c>
      <c r="BE193" s="776" t="s">
        <v>2127</v>
      </c>
      <c r="BF193" s="776" t="s">
        <v>2127</v>
      </c>
      <c r="BG193" s="776" t="s">
        <v>2127</v>
      </c>
      <c r="BH193" s="776" t="s">
        <v>2127</v>
      </c>
      <c r="BI193" s="776" t="s">
        <v>2127</v>
      </c>
      <c r="BJ193" s="776" t="s">
        <v>2127</v>
      </c>
      <c r="BK193" s="776" t="s">
        <v>2127</v>
      </c>
      <c r="BL193" s="776" t="s">
        <v>2127</v>
      </c>
      <c r="BM193" s="776" t="s">
        <v>2127</v>
      </c>
      <c r="BN193" s="776" t="s">
        <v>2127</v>
      </c>
      <c r="BO193" s="776" t="s">
        <v>2127</v>
      </c>
      <c r="BP193" s="776" t="s">
        <v>2127</v>
      </c>
      <c r="BQ193" s="776" t="s">
        <v>2127</v>
      </c>
      <c r="BR193" s="776" t="s">
        <v>2127</v>
      </c>
      <c r="BS193" s="776" t="s">
        <v>2127</v>
      </c>
      <c r="BT193" s="776" t="s">
        <v>2127</v>
      </c>
      <c r="BU193" s="776" t="s">
        <v>2127</v>
      </c>
      <c r="BV193" s="776" t="s">
        <v>2127</v>
      </c>
      <c r="BW193" s="776" t="s">
        <v>2127</v>
      </c>
      <c r="BX193" s="776" t="s">
        <v>2127</v>
      </c>
      <c r="BY193" s="776" t="s">
        <v>2127</v>
      </c>
      <c r="BZ193" s="776" t="s">
        <v>2127</v>
      </c>
      <c r="CA193" s="776" t="s">
        <v>2127</v>
      </c>
      <c r="CB193" s="776" t="s">
        <v>2127</v>
      </c>
      <c r="CC193" s="776" t="s">
        <v>2127</v>
      </c>
      <c r="CD193" s="776" t="s">
        <v>2127</v>
      </c>
      <c r="CE193" s="776" t="s">
        <v>2127</v>
      </c>
      <c r="CF193" s="776" t="s">
        <v>2127</v>
      </c>
      <c r="CG193" s="776" t="s">
        <v>2127</v>
      </c>
      <c r="CH193" s="776" t="s">
        <v>2127</v>
      </c>
      <c r="CI193" s="776" t="s">
        <v>2127</v>
      </c>
      <c r="CJ193" s="776" t="s">
        <v>2127</v>
      </c>
      <c r="CK193" s="776" t="s">
        <v>2127</v>
      </c>
      <c r="CL193" s="776" t="s">
        <v>2127</v>
      </c>
      <c r="CM193" s="776" t="s">
        <v>2127</v>
      </c>
      <c r="CN193" s="776" t="s">
        <v>2127</v>
      </c>
      <c r="CO193" s="776" t="s">
        <v>2127</v>
      </c>
      <c r="CP193" s="776" t="s">
        <v>2127</v>
      </c>
      <c r="CQ193" s="776" t="s">
        <v>2127</v>
      </c>
      <c r="CR193" s="776" t="s">
        <v>2127</v>
      </c>
      <c r="CS193" s="776" t="s">
        <v>2127</v>
      </c>
      <c r="CT193" s="776" t="s">
        <v>2127</v>
      </c>
      <c r="CU193" s="776" t="s">
        <v>2127</v>
      </c>
      <c r="CV193" s="776" t="s">
        <v>2127</v>
      </c>
      <c r="CW193" s="776" t="s">
        <v>2127</v>
      </c>
      <c r="CX193" s="776" t="s">
        <v>2127</v>
      </c>
      <c r="CY193" s="776" t="s">
        <v>2127</v>
      </c>
      <c r="CZ193" s="776" t="s">
        <v>2127</v>
      </c>
      <c r="DA193" s="776" t="s">
        <v>2127</v>
      </c>
      <c r="DB193" s="776" t="s">
        <v>2127</v>
      </c>
      <c r="DC193" s="776" t="s">
        <v>2127</v>
      </c>
      <c r="DD193" s="776" t="s">
        <v>2127</v>
      </c>
      <c r="DE193" s="776" t="s">
        <v>2127</v>
      </c>
      <c r="DF193" s="776" t="s">
        <v>2127</v>
      </c>
      <c r="DG193" s="776" t="s">
        <v>2127</v>
      </c>
      <c r="DH193" s="776" t="s">
        <v>2127</v>
      </c>
      <c r="DI193" s="776" t="s">
        <v>2127</v>
      </c>
      <c r="DJ193" s="776" t="s">
        <v>2127</v>
      </c>
      <c r="DK193" s="776" t="s">
        <v>2127</v>
      </c>
      <c r="DL193" s="776" t="s">
        <v>2127</v>
      </c>
      <c r="DM193" s="776" t="s">
        <v>2127</v>
      </c>
      <c r="DN193" s="776" t="s">
        <v>2127</v>
      </c>
      <c r="DO193" s="776" t="s">
        <v>2127</v>
      </c>
      <c r="DP193" s="776" t="s">
        <v>2127</v>
      </c>
    </row>
    <row r="194" spans="1:120" x14ac:dyDescent="0.2">
      <c r="A194" s="637" t="s">
        <v>2226</v>
      </c>
      <c r="B194" s="772" t="str" cm="1">
        <f t="array" ref="B194">IFERROR(INDEX(Kulturen[HF],_xlfn.AGGREGATE(15,6,(ROW(Kulturen[Auswahl])-7)/(--(SEARCH("x",Kulturen[Auswahl])&gt;0)),ROW()-7),1),"")</f>
        <v>Rhabarber ab 4. Standj. n. Ernte</v>
      </c>
      <c r="C194" s="772" t="str">
        <f>IF(Kulturen[[#This Row],[HF]]=$D$373,IF($C$6=0,0,"x"),IF($C$6=0,"x",Vorauswahl!C193))</f>
        <v>x</v>
      </c>
      <c r="D194" s="938" t="s">
        <v>784</v>
      </c>
      <c r="E194" s="938" t="s">
        <v>784</v>
      </c>
      <c r="F194" s="938" t="s">
        <v>867</v>
      </c>
      <c r="G194" s="938">
        <v>12</v>
      </c>
      <c r="H194" s="938">
        <v>8</v>
      </c>
      <c r="I194" s="938">
        <v>1</v>
      </c>
      <c r="J194" s="938">
        <v>12</v>
      </c>
      <c r="K194" s="938">
        <v>6.9000000000000006E-2</v>
      </c>
      <c r="L194" s="938">
        <v>7.0000000000000007E-2</v>
      </c>
      <c r="M194" s="938">
        <v>300</v>
      </c>
      <c r="N194" s="938">
        <v>0</v>
      </c>
      <c r="O194" s="938">
        <v>1</v>
      </c>
      <c r="P194" s="938">
        <v>0</v>
      </c>
      <c r="Q194" s="938">
        <v>110</v>
      </c>
      <c r="R194" s="938">
        <v>60</v>
      </c>
      <c r="S194" s="938">
        <v>20</v>
      </c>
      <c r="T194" s="938">
        <v>20</v>
      </c>
      <c r="U194" s="938">
        <v>0</v>
      </c>
      <c r="V194" s="938">
        <v>1</v>
      </c>
      <c r="W194" s="776">
        <f>IF(Kulturen[[#This Row],[Berechnungsschema]]=13,3,IF(Kulturen[[#This Row],[Berechnungsschema]]=6,2,1))</f>
        <v>1</v>
      </c>
      <c r="X194" s="776">
        <f>IF(Kulturen[[#This Row],[fruchtartengruppe]]=13,Kulturen[[#This Row],[NBedarfswert]],MAX(0,Kulturen[[#This Row],[NBedarfswert]]-Kulturen[[#This Row],[Ertrag]]*Kulturen[[#This Row],[Nfix]]))</f>
        <v>110</v>
      </c>
      <c r="Y194" s="776" t="s">
        <v>2127</v>
      </c>
      <c r="Z194" s="776" t="s">
        <v>2127</v>
      </c>
      <c r="AA194" s="776" t="s">
        <v>2127</v>
      </c>
      <c r="AB194" s="776" t="s">
        <v>2127</v>
      </c>
      <c r="AC194" s="776" t="s">
        <v>2127</v>
      </c>
      <c r="AD194" s="776" t="s">
        <v>2127</v>
      </c>
      <c r="AE194" s="776" t="s">
        <v>2127</v>
      </c>
      <c r="AF194" s="776" t="s">
        <v>2127</v>
      </c>
      <c r="AG194" s="776" t="s">
        <v>2127</v>
      </c>
      <c r="AH194" s="776" t="s">
        <v>2127</v>
      </c>
      <c r="AI194" s="776" t="s">
        <v>2127</v>
      </c>
      <c r="AJ194" s="776" t="s">
        <v>2127</v>
      </c>
      <c r="AK194" s="776" t="s">
        <v>2127</v>
      </c>
      <c r="AL194" s="776" t="s">
        <v>2127</v>
      </c>
      <c r="AM194" s="776" t="s">
        <v>2127</v>
      </c>
      <c r="AN194" s="776" t="s">
        <v>2127</v>
      </c>
      <c r="AO194" s="776" t="s">
        <v>2127</v>
      </c>
      <c r="AP194" s="776" t="s">
        <v>2127</v>
      </c>
      <c r="AQ194" s="776" t="s">
        <v>2127</v>
      </c>
      <c r="AR194" s="776" t="s">
        <v>2127</v>
      </c>
      <c r="AS194" s="776" t="s">
        <v>2127</v>
      </c>
      <c r="AT194" s="776" t="s">
        <v>2127</v>
      </c>
      <c r="AU194" s="776" t="s">
        <v>2127</v>
      </c>
      <c r="AV194" s="776" t="s">
        <v>2127</v>
      </c>
      <c r="AW194" s="776" t="s">
        <v>2127</v>
      </c>
      <c r="AX194" s="776" t="s">
        <v>2127</v>
      </c>
      <c r="AY194" s="776" t="s">
        <v>2127</v>
      </c>
      <c r="AZ194" s="776" t="s">
        <v>2127</v>
      </c>
      <c r="BA194" s="776" t="s">
        <v>2127</v>
      </c>
      <c r="BB194" s="776" t="s">
        <v>2127</v>
      </c>
      <c r="BC194" s="776" t="s">
        <v>2127</v>
      </c>
      <c r="BD194" s="776" t="s">
        <v>2127</v>
      </c>
      <c r="BE194" s="776" t="s">
        <v>2127</v>
      </c>
      <c r="BF194" s="776" t="s">
        <v>2127</v>
      </c>
      <c r="BG194" s="776" t="s">
        <v>2127</v>
      </c>
      <c r="BH194" s="776" t="s">
        <v>2127</v>
      </c>
      <c r="BI194" s="776" t="s">
        <v>2127</v>
      </c>
      <c r="BJ194" s="776" t="s">
        <v>2127</v>
      </c>
      <c r="BK194" s="776" t="s">
        <v>2127</v>
      </c>
      <c r="BL194" s="776" t="s">
        <v>2127</v>
      </c>
      <c r="BM194" s="776" t="s">
        <v>2127</v>
      </c>
      <c r="BN194" s="776" t="s">
        <v>2127</v>
      </c>
      <c r="BO194" s="776" t="s">
        <v>2127</v>
      </c>
      <c r="BP194" s="776" t="s">
        <v>2127</v>
      </c>
      <c r="BQ194" s="776" t="s">
        <v>2127</v>
      </c>
      <c r="BR194" s="776" t="s">
        <v>2127</v>
      </c>
      <c r="BS194" s="776" t="s">
        <v>2127</v>
      </c>
      <c r="BT194" s="776" t="s">
        <v>2127</v>
      </c>
      <c r="BU194" s="776" t="s">
        <v>2127</v>
      </c>
      <c r="BV194" s="776" t="s">
        <v>2127</v>
      </c>
      <c r="BW194" s="776" t="s">
        <v>2127</v>
      </c>
      <c r="BX194" s="776" t="s">
        <v>2127</v>
      </c>
      <c r="BY194" s="776" t="s">
        <v>2127</v>
      </c>
      <c r="BZ194" s="776" t="s">
        <v>2127</v>
      </c>
      <c r="CA194" s="776" t="s">
        <v>2127</v>
      </c>
      <c r="CB194" s="776" t="s">
        <v>2127</v>
      </c>
      <c r="CC194" s="776" t="s">
        <v>2127</v>
      </c>
      <c r="CD194" s="776" t="s">
        <v>2127</v>
      </c>
      <c r="CE194" s="776" t="s">
        <v>2127</v>
      </c>
      <c r="CF194" s="776" t="s">
        <v>2127</v>
      </c>
      <c r="CG194" s="776" t="s">
        <v>2127</v>
      </c>
      <c r="CH194" s="776" t="s">
        <v>2127</v>
      </c>
      <c r="CI194" s="776" t="s">
        <v>2127</v>
      </c>
      <c r="CJ194" s="776" t="s">
        <v>2127</v>
      </c>
      <c r="CK194" s="776" t="s">
        <v>2127</v>
      </c>
      <c r="CL194" s="776" t="s">
        <v>2127</v>
      </c>
      <c r="CM194" s="776" t="s">
        <v>2127</v>
      </c>
      <c r="CN194" s="776" t="s">
        <v>2127</v>
      </c>
      <c r="CO194" s="776" t="s">
        <v>2127</v>
      </c>
      <c r="CP194" s="776" t="s">
        <v>2127</v>
      </c>
      <c r="CQ194" s="776" t="s">
        <v>2127</v>
      </c>
      <c r="CR194" s="776" t="s">
        <v>2127</v>
      </c>
      <c r="CS194" s="776" t="s">
        <v>2127</v>
      </c>
      <c r="CT194" s="776" t="s">
        <v>2127</v>
      </c>
      <c r="CU194" s="776" t="s">
        <v>2127</v>
      </c>
      <c r="CV194" s="776" t="s">
        <v>2127</v>
      </c>
      <c r="CW194" s="776" t="s">
        <v>2127</v>
      </c>
      <c r="CX194" s="776" t="s">
        <v>2127</v>
      </c>
      <c r="CY194" s="776" t="s">
        <v>2127</v>
      </c>
      <c r="CZ194" s="776" t="s">
        <v>2127</v>
      </c>
      <c r="DA194" s="776" t="s">
        <v>2127</v>
      </c>
      <c r="DB194" s="776" t="s">
        <v>2127</v>
      </c>
      <c r="DC194" s="776" t="s">
        <v>2127</v>
      </c>
      <c r="DD194" s="776" t="s">
        <v>2127</v>
      </c>
      <c r="DE194" s="776" t="s">
        <v>2127</v>
      </c>
      <c r="DF194" s="776" t="s">
        <v>2127</v>
      </c>
      <c r="DG194" s="776" t="s">
        <v>2127</v>
      </c>
      <c r="DH194" s="776" t="s">
        <v>2127</v>
      </c>
      <c r="DI194" s="776" t="s">
        <v>2127</v>
      </c>
      <c r="DJ194" s="776" t="s">
        <v>2127</v>
      </c>
      <c r="DK194" s="776" t="s">
        <v>2127</v>
      </c>
      <c r="DL194" s="776" t="s">
        <v>2127</v>
      </c>
      <c r="DM194" s="776" t="s">
        <v>2127</v>
      </c>
      <c r="DN194" s="776" t="s">
        <v>2127</v>
      </c>
      <c r="DO194" s="776" t="s">
        <v>2127</v>
      </c>
      <c r="DP194" s="776" t="s">
        <v>2127</v>
      </c>
    </row>
    <row r="195" spans="1:120" x14ac:dyDescent="0.2">
      <c r="A195" s="637" t="s">
        <v>2227</v>
      </c>
      <c r="B195" s="772" t="str" cm="1">
        <f t="array" ref="B195">IFERROR(INDEX(Kulturen[HF],_xlfn.AGGREGATE(15,6,(ROW(Kulturen[Auswahl])-7)/(--(SEARCH("x",Kulturen[Auswahl])&gt;0)),ROW()-7),1),"")</f>
        <v>Romana</v>
      </c>
      <c r="C195" s="772" t="str">
        <f>IF(Kulturen[[#This Row],[HF]]=$D$373,IF($C$6=0,0,"x"),IF($C$6=0,"x",Vorauswahl!C194))</f>
        <v>x</v>
      </c>
      <c r="D195" s="938" t="s">
        <v>785</v>
      </c>
      <c r="E195" s="938" t="s">
        <v>785</v>
      </c>
      <c r="F195" s="938" t="s">
        <v>868</v>
      </c>
      <c r="G195" s="938">
        <v>12</v>
      </c>
      <c r="H195" s="938">
        <v>8</v>
      </c>
      <c r="I195" s="938">
        <v>3</v>
      </c>
      <c r="J195" s="938">
        <v>12</v>
      </c>
      <c r="K195" s="938">
        <v>7.5999999999999998E-2</v>
      </c>
      <c r="L195" s="938">
        <v>0.08</v>
      </c>
      <c r="M195" s="938">
        <v>500</v>
      </c>
      <c r="N195" s="938">
        <v>0</v>
      </c>
      <c r="O195" s="938">
        <v>1</v>
      </c>
      <c r="P195" s="938">
        <v>0</v>
      </c>
      <c r="Q195" s="938">
        <v>140</v>
      </c>
      <c r="R195" s="938">
        <v>100</v>
      </c>
      <c r="S195" s="938">
        <v>40</v>
      </c>
      <c r="T195" s="938">
        <v>40</v>
      </c>
      <c r="U195" s="938">
        <v>0</v>
      </c>
      <c r="V195" s="938">
        <v>1</v>
      </c>
      <c r="W195" s="776">
        <f>IF(Kulturen[[#This Row],[Berechnungsschema]]=13,3,IF(Kulturen[[#This Row],[Berechnungsschema]]=6,2,1))</f>
        <v>1</v>
      </c>
      <c r="X195" s="776">
        <f>IF(Kulturen[[#This Row],[fruchtartengruppe]]=13,Kulturen[[#This Row],[NBedarfswert]],MAX(0,Kulturen[[#This Row],[NBedarfswert]]-Kulturen[[#This Row],[Ertrag]]*Kulturen[[#This Row],[Nfix]]))</f>
        <v>140</v>
      </c>
      <c r="Y195" s="776" t="s">
        <v>2127</v>
      </c>
      <c r="Z195" s="776" t="s">
        <v>2127</v>
      </c>
      <c r="AA195" s="776" t="s">
        <v>2127</v>
      </c>
      <c r="AB195" s="776" t="s">
        <v>2127</v>
      </c>
      <c r="AC195" s="776" t="s">
        <v>2127</v>
      </c>
      <c r="AD195" s="776" t="s">
        <v>2127</v>
      </c>
      <c r="AE195" s="776" t="s">
        <v>2127</v>
      </c>
      <c r="AF195" s="776" t="s">
        <v>2127</v>
      </c>
      <c r="AG195" s="776" t="s">
        <v>2127</v>
      </c>
      <c r="AH195" s="776" t="s">
        <v>2127</v>
      </c>
      <c r="AI195" s="776" t="s">
        <v>2127</v>
      </c>
      <c r="AJ195" s="776" t="s">
        <v>2127</v>
      </c>
      <c r="AK195" s="776" t="s">
        <v>2127</v>
      </c>
      <c r="AL195" s="776" t="s">
        <v>2127</v>
      </c>
      <c r="AM195" s="776" t="s">
        <v>2127</v>
      </c>
      <c r="AN195" s="776" t="s">
        <v>2127</v>
      </c>
      <c r="AO195" s="776" t="s">
        <v>2127</v>
      </c>
      <c r="AP195" s="776" t="s">
        <v>2127</v>
      </c>
      <c r="AQ195" s="776" t="s">
        <v>2127</v>
      </c>
      <c r="AR195" s="776" t="s">
        <v>2127</v>
      </c>
      <c r="AS195" s="776" t="s">
        <v>2127</v>
      </c>
      <c r="AT195" s="776" t="s">
        <v>2127</v>
      </c>
      <c r="AU195" s="776" t="s">
        <v>2127</v>
      </c>
      <c r="AV195" s="776" t="s">
        <v>2127</v>
      </c>
      <c r="AW195" s="776" t="s">
        <v>2127</v>
      </c>
      <c r="AX195" s="776" t="s">
        <v>2127</v>
      </c>
      <c r="AY195" s="776" t="s">
        <v>2127</v>
      </c>
      <c r="AZ195" s="776" t="s">
        <v>2127</v>
      </c>
      <c r="BA195" s="776" t="s">
        <v>2127</v>
      </c>
      <c r="BB195" s="776" t="s">
        <v>2127</v>
      </c>
      <c r="BC195" s="776" t="s">
        <v>2127</v>
      </c>
      <c r="BD195" s="776" t="s">
        <v>2127</v>
      </c>
      <c r="BE195" s="776" t="s">
        <v>2127</v>
      </c>
      <c r="BF195" s="776" t="s">
        <v>2127</v>
      </c>
      <c r="BG195" s="776" t="s">
        <v>2127</v>
      </c>
      <c r="BH195" s="776" t="s">
        <v>2127</v>
      </c>
      <c r="BI195" s="776" t="s">
        <v>2127</v>
      </c>
      <c r="BJ195" s="776" t="s">
        <v>2127</v>
      </c>
      <c r="BK195" s="776" t="s">
        <v>2127</v>
      </c>
      <c r="BL195" s="776" t="s">
        <v>2127</v>
      </c>
      <c r="BM195" s="776" t="s">
        <v>2127</v>
      </c>
      <c r="BN195" s="776" t="s">
        <v>2127</v>
      </c>
      <c r="BO195" s="776" t="s">
        <v>2127</v>
      </c>
      <c r="BP195" s="776" t="s">
        <v>2127</v>
      </c>
      <c r="BQ195" s="776" t="s">
        <v>2127</v>
      </c>
      <c r="BR195" s="776" t="s">
        <v>2127</v>
      </c>
      <c r="BS195" s="776" t="s">
        <v>2127</v>
      </c>
      <c r="BT195" s="776" t="s">
        <v>2127</v>
      </c>
      <c r="BU195" s="776" t="s">
        <v>2127</v>
      </c>
      <c r="BV195" s="776" t="s">
        <v>2127</v>
      </c>
      <c r="BW195" s="776" t="s">
        <v>2127</v>
      </c>
      <c r="BX195" s="776" t="s">
        <v>2127</v>
      </c>
      <c r="BY195" s="776" t="s">
        <v>2127</v>
      </c>
      <c r="BZ195" s="776" t="s">
        <v>2127</v>
      </c>
      <c r="CA195" s="776" t="s">
        <v>2127</v>
      </c>
      <c r="CB195" s="776" t="s">
        <v>2127</v>
      </c>
      <c r="CC195" s="776" t="s">
        <v>2127</v>
      </c>
      <c r="CD195" s="776" t="s">
        <v>2127</v>
      </c>
      <c r="CE195" s="776" t="s">
        <v>2127</v>
      </c>
      <c r="CF195" s="776" t="s">
        <v>2127</v>
      </c>
      <c r="CG195" s="776" t="s">
        <v>2127</v>
      </c>
      <c r="CH195" s="776" t="s">
        <v>2127</v>
      </c>
      <c r="CI195" s="776" t="s">
        <v>2127</v>
      </c>
      <c r="CJ195" s="776" t="s">
        <v>2127</v>
      </c>
      <c r="CK195" s="776" t="s">
        <v>2127</v>
      </c>
      <c r="CL195" s="776" t="s">
        <v>2127</v>
      </c>
      <c r="CM195" s="776" t="s">
        <v>2127</v>
      </c>
      <c r="CN195" s="776" t="s">
        <v>2127</v>
      </c>
      <c r="CO195" s="776" t="s">
        <v>2127</v>
      </c>
      <c r="CP195" s="776" t="s">
        <v>2127</v>
      </c>
      <c r="CQ195" s="776" t="s">
        <v>2127</v>
      </c>
      <c r="CR195" s="776" t="s">
        <v>2127</v>
      </c>
      <c r="CS195" s="776" t="s">
        <v>2127</v>
      </c>
      <c r="CT195" s="776" t="s">
        <v>2127</v>
      </c>
      <c r="CU195" s="776" t="s">
        <v>2127</v>
      </c>
      <c r="CV195" s="776" t="s">
        <v>2127</v>
      </c>
      <c r="CW195" s="776" t="s">
        <v>2127</v>
      </c>
      <c r="CX195" s="776" t="s">
        <v>2127</v>
      </c>
      <c r="CY195" s="776" t="s">
        <v>2127</v>
      </c>
      <c r="CZ195" s="776" t="s">
        <v>2127</v>
      </c>
      <c r="DA195" s="776" t="s">
        <v>2127</v>
      </c>
      <c r="DB195" s="776" t="s">
        <v>2127</v>
      </c>
      <c r="DC195" s="776" t="s">
        <v>2127</v>
      </c>
      <c r="DD195" s="776" t="s">
        <v>2127</v>
      </c>
      <c r="DE195" s="776" t="s">
        <v>2127</v>
      </c>
      <c r="DF195" s="776" t="s">
        <v>2127</v>
      </c>
      <c r="DG195" s="776" t="s">
        <v>2127</v>
      </c>
      <c r="DH195" s="776" t="s">
        <v>2127</v>
      </c>
      <c r="DI195" s="776" t="s">
        <v>2127</v>
      </c>
      <c r="DJ195" s="776" t="s">
        <v>2127</v>
      </c>
      <c r="DK195" s="776" t="s">
        <v>2127</v>
      </c>
      <c r="DL195" s="776" t="s">
        <v>2127</v>
      </c>
      <c r="DM195" s="776" t="s">
        <v>2127</v>
      </c>
      <c r="DN195" s="776" t="s">
        <v>2127</v>
      </c>
      <c r="DO195" s="776" t="s">
        <v>2127</v>
      </c>
      <c r="DP195" s="776" t="s">
        <v>2127</v>
      </c>
    </row>
    <row r="196" spans="1:120" x14ac:dyDescent="0.2">
      <c r="A196" s="637" t="s">
        <v>2228</v>
      </c>
      <c r="B196" s="772" t="str" cm="1">
        <f t="array" ref="B196">IFERROR(INDEX(Kulturen[HF],_xlfn.AGGREGATE(15,6,(ROW(Kulturen[Auswahl])-7)/(--(SEARCH("x",Kulturen[Auswahl])&gt;0)),ROW()-7),1),"")</f>
        <v>Romana, Herzen</v>
      </c>
      <c r="C196" s="772" t="str">
        <f>IF(Kulturen[[#This Row],[HF]]=$D$373,IF($C$6=0,0,"x"),IF($C$6=0,"x",Vorauswahl!C195))</f>
        <v>x</v>
      </c>
      <c r="D196" s="938" t="s">
        <v>786</v>
      </c>
      <c r="E196" s="938" t="s">
        <v>786</v>
      </c>
      <c r="F196" s="938" t="s">
        <v>869</v>
      </c>
      <c r="G196" s="938">
        <v>12</v>
      </c>
      <c r="H196" s="938">
        <v>8</v>
      </c>
      <c r="I196" s="938">
        <v>1</v>
      </c>
      <c r="J196" s="938">
        <v>12</v>
      </c>
      <c r="K196" s="938">
        <v>0.08</v>
      </c>
      <c r="L196" s="938">
        <v>0.08</v>
      </c>
      <c r="M196" s="938">
        <v>550</v>
      </c>
      <c r="N196" s="938">
        <v>0</v>
      </c>
      <c r="O196" s="938">
        <v>1</v>
      </c>
      <c r="P196" s="938">
        <v>0</v>
      </c>
      <c r="Q196" s="938">
        <v>175</v>
      </c>
      <c r="R196" s="938">
        <v>110</v>
      </c>
      <c r="S196" s="938">
        <v>40</v>
      </c>
      <c r="T196" s="938">
        <v>40</v>
      </c>
      <c r="U196" s="938">
        <v>0</v>
      </c>
      <c r="V196" s="938">
        <v>1</v>
      </c>
      <c r="W196" s="776">
        <f>IF(Kulturen[[#This Row],[Berechnungsschema]]=13,3,IF(Kulturen[[#This Row],[Berechnungsschema]]=6,2,1))</f>
        <v>1</v>
      </c>
      <c r="X196" s="776">
        <f>IF(Kulturen[[#This Row],[fruchtartengruppe]]=13,Kulturen[[#This Row],[NBedarfswert]],MAX(0,Kulturen[[#This Row],[NBedarfswert]]-Kulturen[[#This Row],[Ertrag]]*Kulturen[[#This Row],[Nfix]]))</f>
        <v>175</v>
      </c>
      <c r="Y196" s="776" t="s">
        <v>2127</v>
      </c>
      <c r="Z196" s="776" t="s">
        <v>2127</v>
      </c>
      <c r="AA196" s="776" t="s">
        <v>2127</v>
      </c>
      <c r="AB196" s="776" t="s">
        <v>2127</v>
      </c>
      <c r="AC196" s="776" t="s">
        <v>2127</v>
      </c>
      <c r="AD196" s="776" t="s">
        <v>2127</v>
      </c>
      <c r="AE196" s="776" t="s">
        <v>2127</v>
      </c>
      <c r="AF196" s="776" t="s">
        <v>2127</v>
      </c>
      <c r="AG196" s="776" t="s">
        <v>2127</v>
      </c>
      <c r="AH196" s="776" t="s">
        <v>2127</v>
      </c>
      <c r="AI196" s="776" t="s">
        <v>2127</v>
      </c>
      <c r="AJ196" s="776" t="s">
        <v>2127</v>
      </c>
      <c r="AK196" s="776" t="s">
        <v>2127</v>
      </c>
      <c r="AL196" s="776" t="s">
        <v>2127</v>
      </c>
      <c r="AM196" s="776" t="s">
        <v>2127</v>
      </c>
      <c r="AN196" s="776" t="s">
        <v>2127</v>
      </c>
      <c r="AO196" s="776" t="s">
        <v>2127</v>
      </c>
      <c r="AP196" s="776" t="s">
        <v>2127</v>
      </c>
      <c r="AQ196" s="776" t="s">
        <v>2127</v>
      </c>
      <c r="AR196" s="776" t="s">
        <v>2127</v>
      </c>
      <c r="AS196" s="776" t="s">
        <v>2127</v>
      </c>
      <c r="AT196" s="776" t="s">
        <v>2127</v>
      </c>
      <c r="AU196" s="776" t="s">
        <v>2127</v>
      </c>
      <c r="AV196" s="776" t="s">
        <v>2127</v>
      </c>
      <c r="AW196" s="776" t="s">
        <v>2127</v>
      </c>
      <c r="AX196" s="776" t="s">
        <v>2127</v>
      </c>
      <c r="AY196" s="776" t="s">
        <v>2127</v>
      </c>
      <c r="AZ196" s="776" t="s">
        <v>2127</v>
      </c>
      <c r="BA196" s="776" t="s">
        <v>2127</v>
      </c>
      <c r="BB196" s="776" t="s">
        <v>2127</v>
      </c>
      <c r="BC196" s="776" t="s">
        <v>2127</v>
      </c>
      <c r="BD196" s="776" t="s">
        <v>2127</v>
      </c>
      <c r="BE196" s="776" t="s">
        <v>2127</v>
      </c>
      <c r="BF196" s="776" t="s">
        <v>2127</v>
      </c>
      <c r="BG196" s="776" t="s">
        <v>2127</v>
      </c>
      <c r="BH196" s="776" t="s">
        <v>2127</v>
      </c>
      <c r="BI196" s="776" t="s">
        <v>2127</v>
      </c>
      <c r="BJ196" s="776" t="s">
        <v>2127</v>
      </c>
      <c r="BK196" s="776" t="s">
        <v>2127</v>
      </c>
      <c r="BL196" s="776" t="s">
        <v>2127</v>
      </c>
      <c r="BM196" s="776" t="s">
        <v>2127</v>
      </c>
      <c r="BN196" s="776" t="s">
        <v>2127</v>
      </c>
      <c r="BO196" s="776" t="s">
        <v>2127</v>
      </c>
      <c r="BP196" s="776" t="s">
        <v>2127</v>
      </c>
      <c r="BQ196" s="776" t="s">
        <v>2127</v>
      </c>
      <c r="BR196" s="776" t="s">
        <v>2127</v>
      </c>
      <c r="BS196" s="776" t="s">
        <v>2127</v>
      </c>
      <c r="BT196" s="776" t="s">
        <v>2127</v>
      </c>
      <c r="BU196" s="776" t="s">
        <v>2127</v>
      </c>
      <c r="BV196" s="776" t="s">
        <v>2127</v>
      </c>
      <c r="BW196" s="776" t="s">
        <v>2127</v>
      </c>
      <c r="BX196" s="776" t="s">
        <v>2127</v>
      </c>
      <c r="BY196" s="776" t="s">
        <v>2127</v>
      </c>
      <c r="BZ196" s="776" t="s">
        <v>2127</v>
      </c>
      <c r="CA196" s="776" t="s">
        <v>2127</v>
      </c>
      <c r="CB196" s="776" t="s">
        <v>2127</v>
      </c>
      <c r="CC196" s="776" t="s">
        <v>2127</v>
      </c>
      <c r="CD196" s="776" t="s">
        <v>2127</v>
      </c>
      <c r="CE196" s="776" t="s">
        <v>2127</v>
      </c>
      <c r="CF196" s="776" t="s">
        <v>2127</v>
      </c>
      <c r="CG196" s="776" t="s">
        <v>2127</v>
      </c>
      <c r="CH196" s="776" t="s">
        <v>2127</v>
      </c>
      <c r="CI196" s="776" t="s">
        <v>2127</v>
      </c>
      <c r="CJ196" s="776" t="s">
        <v>2127</v>
      </c>
      <c r="CK196" s="776" t="s">
        <v>2127</v>
      </c>
      <c r="CL196" s="776" t="s">
        <v>2127</v>
      </c>
      <c r="CM196" s="776" t="s">
        <v>2127</v>
      </c>
      <c r="CN196" s="776" t="s">
        <v>2127</v>
      </c>
      <c r="CO196" s="776" t="s">
        <v>2127</v>
      </c>
      <c r="CP196" s="776" t="s">
        <v>2127</v>
      </c>
      <c r="CQ196" s="776" t="s">
        <v>2127</v>
      </c>
      <c r="CR196" s="776" t="s">
        <v>2127</v>
      </c>
      <c r="CS196" s="776" t="s">
        <v>2127</v>
      </c>
      <c r="CT196" s="776" t="s">
        <v>2127</v>
      </c>
      <c r="CU196" s="776" t="s">
        <v>2127</v>
      </c>
      <c r="CV196" s="776" t="s">
        <v>2127</v>
      </c>
      <c r="CW196" s="776" t="s">
        <v>2127</v>
      </c>
      <c r="CX196" s="776" t="s">
        <v>2127</v>
      </c>
      <c r="CY196" s="776" t="s">
        <v>2127</v>
      </c>
      <c r="CZ196" s="776" t="s">
        <v>2127</v>
      </c>
      <c r="DA196" s="776" t="s">
        <v>2127</v>
      </c>
      <c r="DB196" s="776" t="s">
        <v>2127</v>
      </c>
      <c r="DC196" s="776" t="s">
        <v>2127</v>
      </c>
      <c r="DD196" s="776" t="s">
        <v>2127</v>
      </c>
      <c r="DE196" s="776" t="s">
        <v>2127</v>
      </c>
      <c r="DF196" s="776" t="s">
        <v>2127</v>
      </c>
      <c r="DG196" s="776" t="s">
        <v>2127</v>
      </c>
      <c r="DH196" s="776" t="s">
        <v>2127</v>
      </c>
      <c r="DI196" s="776" t="s">
        <v>2127</v>
      </c>
      <c r="DJ196" s="776" t="s">
        <v>2127</v>
      </c>
      <c r="DK196" s="776" t="s">
        <v>2127</v>
      </c>
      <c r="DL196" s="776" t="s">
        <v>2127</v>
      </c>
      <c r="DM196" s="776" t="s">
        <v>2127</v>
      </c>
      <c r="DN196" s="776" t="s">
        <v>2127</v>
      </c>
      <c r="DO196" s="776" t="s">
        <v>2127</v>
      </c>
      <c r="DP196" s="776" t="s">
        <v>2127</v>
      </c>
    </row>
    <row r="197" spans="1:120" x14ac:dyDescent="0.2">
      <c r="A197" s="637" t="s">
        <v>2229</v>
      </c>
      <c r="B197" s="772" t="str" cm="1">
        <f t="array" ref="B197">IFERROR(INDEX(Kulturen[HF],_xlfn.AGGREGATE(15,6,(ROW(Kulturen[Auswahl])-7)/(--(SEARCH("x",Kulturen[Auswahl])&gt;0)),ROW()-7),1),"")</f>
        <v>Rosenkohl, nur Röschen</v>
      </c>
      <c r="C197" s="772" t="str">
        <f>IF(Kulturen[[#This Row],[HF]]=$D$373,IF($C$6=0,0,"x"),IF($C$6=0,"x",Vorauswahl!C196))</f>
        <v>x</v>
      </c>
      <c r="D197" s="938" t="s">
        <v>787</v>
      </c>
      <c r="E197" s="938" t="s">
        <v>787</v>
      </c>
      <c r="F197" s="938" t="s">
        <v>870</v>
      </c>
      <c r="G197" s="938">
        <v>12</v>
      </c>
      <c r="H197" s="938">
        <v>8</v>
      </c>
      <c r="I197" s="938">
        <v>1</v>
      </c>
      <c r="J197" s="938">
        <v>12</v>
      </c>
      <c r="K197" s="938">
        <v>0.06</v>
      </c>
      <c r="L197" s="938">
        <v>0.06</v>
      </c>
      <c r="M197" s="938">
        <v>1000</v>
      </c>
      <c r="N197" s="938">
        <v>0</v>
      </c>
      <c r="O197" s="938">
        <v>1</v>
      </c>
      <c r="P197" s="938">
        <v>0</v>
      </c>
      <c r="Q197" s="938">
        <v>230</v>
      </c>
      <c r="R197" s="938">
        <v>200</v>
      </c>
      <c r="S197" s="938">
        <v>40</v>
      </c>
      <c r="T197" s="938">
        <v>40</v>
      </c>
      <c r="U197" s="938">
        <v>0</v>
      </c>
      <c r="V197" s="938">
        <v>1</v>
      </c>
      <c r="W197" s="776">
        <f>IF(Kulturen[[#This Row],[Berechnungsschema]]=13,3,IF(Kulturen[[#This Row],[Berechnungsschema]]=6,2,1))</f>
        <v>1</v>
      </c>
      <c r="X197" s="776">
        <f>IF(Kulturen[[#This Row],[fruchtartengruppe]]=13,Kulturen[[#This Row],[NBedarfswert]],MAX(0,Kulturen[[#This Row],[NBedarfswert]]-Kulturen[[#This Row],[Ertrag]]*Kulturen[[#This Row],[Nfix]]))</f>
        <v>230</v>
      </c>
      <c r="Y197" s="776" t="s">
        <v>2127</v>
      </c>
      <c r="Z197" s="776" t="s">
        <v>2127</v>
      </c>
      <c r="AA197" s="776" t="s">
        <v>2127</v>
      </c>
      <c r="AB197" s="776" t="s">
        <v>2127</v>
      </c>
      <c r="AC197" s="776" t="s">
        <v>2127</v>
      </c>
      <c r="AD197" s="776" t="s">
        <v>2127</v>
      </c>
      <c r="AE197" s="776" t="s">
        <v>2127</v>
      </c>
      <c r="AF197" s="776" t="s">
        <v>2127</v>
      </c>
      <c r="AG197" s="776" t="s">
        <v>2127</v>
      </c>
      <c r="AH197" s="776" t="s">
        <v>2127</v>
      </c>
      <c r="AI197" s="776" t="s">
        <v>2127</v>
      </c>
      <c r="AJ197" s="776" t="s">
        <v>2127</v>
      </c>
      <c r="AK197" s="776" t="s">
        <v>2127</v>
      </c>
      <c r="AL197" s="776" t="s">
        <v>2127</v>
      </c>
      <c r="AM197" s="776" t="s">
        <v>2127</v>
      </c>
      <c r="AN197" s="776" t="s">
        <v>2127</v>
      </c>
      <c r="AO197" s="776" t="s">
        <v>2127</v>
      </c>
      <c r="AP197" s="776" t="s">
        <v>2127</v>
      </c>
      <c r="AQ197" s="776" t="s">
        <v>2127</v>
      </c>
      <c r="AR197" s="776" t="s">
        <v>2127</v>
      </c>
      <c r="AS197" s="776" t="s">
        <v>2127</v>
      </c>
      <c r="AT197" s="776" t="s">
        <v>2127</v>
      </c>
      <c r="AU197" s="776" t="s">
        <v>2127</v>
      </c>
      <c r="AV197" s="776" t="s">
        <v>2127</v>
      </c>
      <c r="AW197" s="776" t="s">
        <v>2127</v>
      </c>
      <c r="AX197" s="776" t="s">
        <v>2127</v>
      </c>
      <c r="AY197" s="776" t="s">
        <v>2127</v>
      </c>
      <c r="AZ197" s="776" t="s">
        <v>2127</v>
      </c>
      <c r="BA197" s="776" t="s">
        <v>2127</v>
      </c>
      <c r="BB197" s="776" t="s">
        <v>2127</v>
      </c>
      <c r="BC197" s="776" t="s">
        <v>2127</v>
      </c>
      <c r="BD197" s="776" t="s">
        <v>2127</v>
      </c>
      <c r="BE197" s="776" t="s">
        <v>2127</v>
      </c>
      <c r="BF197" s="776" t="s">
        <v>2127</v>
      </c>
      <c r="BG197" s="776" t="s">
        <v>2127</v>
      </c>
      <c r="BH197" s="776" t="s">
        <v>2127</v>
      </c>
      <c r="BI197" s="776" t="s">
        <v>2127</v>
      </c>
      <c r="BJ197" s="776" t="s">
        <v>2127</v>
      </c>
      <c r="BK197" s="776" t="s">
        <v>2127</v>
      </c>
      <c r="BL197" s="776" t="s">
        <v>2127</v>
      </c>
      <c r="BM197" s="776" t="s">
        <v>2127</v>
      </c>
      <c r="BN197" s="776" t="s">
        <v>2127</v>
      </c>
      <c r="BO197" s="776" t="s">
        <v>2127</v>
      </c>
      <c r="BP197" s="776" t="s">
        <v>2127</v>
      </c>
      <c r="BQ197" s="776" t="s">
        <v>2127</v>
      </c>
      <c r="BR197" s="776" t="s">
        <v>2127</v>
      </c>
      <c r="BS197" s="776" t="s">
        <v>2127</v>
      </c>
      <c r="BT197" s="776" t="s">
        <v>2127</v>
      </c>
      <c r="BU197" s="776" t="s">
        <v>2127</v>
      </c>
      <c r="BV197" s="776" t="s">
        <v>2127</v>
      </c>
      <c r="BW197" s="776" t="s">
        <v>2127</v>
      </c>
      <c r="BX197" s="776" t="s">
        <v>2127</v>
      </c>
      <c r="BY197" s="776" t="s">
        <v>2127</v>
      </c>
      <c r="BZ197" s="776" t="s">
        <v>2127</v>
      </c>
      <c r="CA197" s="776" t="s">
        <v>2127</v>
      </c>
      <c r="CB197" s="776" t="s">
        <v>2127</v>
      </c>
      <c r="CC197" s="776" t="s">
        <v>2127</v>
      </c>
      <c r="CD197" s="776" t="s">
        <v>2127</v>
      </c>
      <c r="CE197" s="776" t="s">
        <v>2127</v>
      </c>
      <c r="CF197" s="776" t="s">
        <v>2127</v>
      </c>
      <c r="CG197" s="776" t="s">
        <v>2127</v>
      </c>
      <c r="CH197" s="776" t="s">
        <v>2127</v>
      </c>
      <c r="CI197" s="776" t="s">
        <v>2127</v>
      </c>
      <c r="CJ197" s="776" t="s">
        <v>2127</v>
      </c>
      <c r="CK197" s="776" t="s">
        <v>2127</v>
      </c>
      <c r="CL197" s="776" t="s">
        <v>2127</v>
      </c>
      <c r="CM197" s="776" t="s">
        <v>2127</v>
      </c>
      <c r="CN197" s="776" t="s">
        <v>2127</v>
      </c>
      <c r="CO197" s="776" t="s">
        <v>2127</v>
      </c>
      <c r="CP197" s="776" t="s">
        <v>2127</v>
      </c>
      <c r="CQ197" s="776" t="s">
        <v>2127</v>
      </c>
      <c r="CR197" s="776" t="s">
        <v>2127</v>
      </c>
      <c r="CS197" s="776" t="s">
        <v>2127</v>
      </c>
      <c r="CT197" s="776" t="s">
        <v>2127</v>
      </c>
      <c r="CU197" s="776" t="s">
        <v>2127</v>
      </c>
      <c r="CV197" s="776" t="s">
        <v>2127</v>
      </c>
      <c r="CW197" s="776" t="s">
        <v>2127</v>
      </c>
      <c r="CX197" s="776" t="s">
        <v>2127</v>
      </c>
      <c r="CY197" s="776" t="s">
        <v>2127</v>
      </c>
      <c r="CZ197" s="776" t="s">
        <v>2127</v>
      </c>
      <c r="DA197" s="776" t="s">
        <v>2127</v>
      </c>
      <c r="DB197" s="776" t="s">
        <v>2127</v>
      </c>
      <c r="DC197" s="776" t="s">
        <v>2127</v>
      </c>
      <c r="DD197" s="776" t="s">
        <v>2127</v>
      </c>
      <c r="DE197" s="776" t="s">
        <v>2127</v>
      </c>
      <c r="DF197" s="776" t="s">
        <v>2127</v>
      </c>
      <c r="DG197" s="776" t="s">
        <v>2127</v>
      </c>
      <c r="DH197" s="776" t="s">
        <v>2127</v>
      </c>
      <c r="DI197" s="776" t="s">
        <v>2127</v>
      </c>
      <c r="DJ197" s="776" t="s">
        <v>2127</v>
      </c>
      <c r="DK197" s="776" t="s">
        <v>2127</v>
      </c>
      <c r="DL197" s="776" t="s">
        <v>2127</v>
      </c>
      <c r="DM197" s="776" t="s">
        <v>2127</v>
      </c>
      <c r="DN197" s="776" t="s">
        <v>2127</v>
      </c>
      <c r="DO197" s="776" t="s">
        <v>2127</v>
      </c>
      <c r="DP197" s="776" t="s">
        <v>2127</v>
      </c>
    </row>
    <row r="198" spans="1:120" x14ac:dyDescent="0.2">
      <c r="A198" s="637" t="s">
        <v>2230</v>
      </c>
      <c r="B198" s="772" t="str" cm="1">
        <f t="array" ref="B198">IFERROR(INDEX(Kulturen[HF],_xlfn.AGGREGATE(15,6,(ROW(Kulturen[Auswahl])-7)/(--(SEARCH("x",Kulturen[Auswahl])&gt;0)),ROW()-7),1),"")</f>
        <v>Rote Rüben</v>
      </c>
      <c r="C198" s="772" t="str">
        <f>IF(Kulturen[[#This Row],[HF]]=$D$373,IF($C$6=0,0,"x"),IF($C$6=0,"x",Vorauswahl!C197))</f>
        <v>x</v>
      </c>
      <c r="D198" s="938" t="s">
        <v>1963</v>
      </c>
      <c r="E198" s="938" t="s">
        <v>1963</v>
      </c>
      <c r="F198" s="938" t="s">
        <v>871</v>
      </c>
      <c r="G198" s="938">
        <v>12</v>
      </c>
      <c r="H198" s="938">
        <v>8</v>
      </c>
      <c r="I198" s="938">
        <v>3</v>
      </c>
      <c r="J198" s="938">
        <v>12</v>
      </c>
      <c r="K198" s="938">
        <v>9.1999999999999998E-2</v>
      </c>
      <c r="L198" s="938">
        <v>0.09</v>
      </c>
      <c r="M198" s="938">
        <v>0</v>
      </c>
      <c r="N198" s="938">
        <v>0</v>
      </c>
      <c r="O198" s="938">
        <v>1</v>
      </c>
      <c r="P198" s="938">
        <v>0</v>
      </c>
      <c r="Q198" s="938">
        <v>130</v>
      </c>
      <c r="R198" s="938">
        <v>10</v>
      </c>
      <c r="S198" s="938">
        <v>0</v>
      </c>
      <c r="T198" s="938">
        <v>0</v>
      </c>
      <c r="U198" s="938">
        <v>0</v>
      </c>
      <c r="V198" s="938">
        <v>1</v>
      </c>
      <c r="W198" s="776">
        <f>IF(Kulturen[[#This Row],[Berechnungsschema]]=13,3,IF(Kulturen[[#This Row],[Berechnungsschema]]=6,2,1))</f>
        <v>1</v>
      </c>
      <c r="X198" s="776">
        <f>IF(Kulturen[[#This Row],[fruchtartengruppe]]=13,Kulturen[[#This Row],[NBedarfswert]],MAX(0,Kulturen[[#This Row],[NBedarfswert]]-Kulturen[[#This Row],[Ertrag]]*Kulturen[[#This Row],[Nfix]]))</f>
        <v>130</v>
      </c>
      <c r="Y198" s="776" t="s">
        <v>2127</v>
      </c>
      <c r="Z198" s="776" t="s">
        <v>2127</v>
      </c>
      <c r="AA198" s="776" t="s">
        <v>2127</v>
      </c>
      <c r="AB198" s="776" t="s">
        <v>2127</v>
      </c>
      <c r="AC198" s="776" t="s">
        <v>2127</v>
      </c>
      <c r="AD198" s="776" t="s">
        <v>2127</v>
      </c>
      <c r="AE198" s="776" t="s">
        <v>2127</v>
      </c>
      <c r="AF198" s="776" t="s">
        <v>2127</v>
      </c>
      <c r="AG198" s="776" t="s">
        <v>2127</v>
      </c>
      <c r="AH198" s="776" t="s">
        <v>2127</v>
      </c>
      <c r="AI198" s="776" t="s">
        <v>2127</v>
      </c>
      <c r="AJ198" s="776" t="s">
        <v>2127</v>
      </c>
      <c r="AK198" s="776" t="s">
        <v>2127</v>
      </c>
      <c r="AL198" s="776" t="s">
        <v>2127</v>
      </c>
      <c r="AM198" s="776" t="s">
        <v>2127</v>
      </c>
      <c r="AN198" s="776" t="s">
        <v>2127</v>
      </c>
      <c r="AO198" s="776" t="s">
        <v>2127</v>
      </c>
      <c r="AP198" s="776" t="s">
        <v>2127</v>
      </c>
      <c r="AQ198" s="776" t="s">
        <v>2127</v>
      </c>
      <c r="AR198" s="776" t="s">
        <v>2127</v>
      </c>
      <c r="AS198" s="776" t="s">
        <v>2127</v>
      </c>
      <c r="AT198" s="776" t="s">
        <v>2127</v>
      </c>
      <c r="AU198" s="776" t="s">
        <v>2127</v>
      </c>
      <c r="AV198" s="776" t="s">
        <v>2127</v>
      </c>
      <c r="AW198" s="776" t="s">
        <v>2127</v>
      </c>
      <c r="AX198" s="776" t="s">
        <v>2127</v>
      </c>
      <c r="AY198" s="776" t="s">
        <v>2127</v>
      </c>
      <c r="AZ198" s="776" t="s">
        <v>2127</v>
      </c>
      <c r="BA198" s="776" t="s">
        <v>2127</v>
      </c>
      <c r="BB198" s="776" t="s">
        <v>2127</v>
      </c>
      <c r="BC198" s="776" t="s">
        <v>2127</v>
      </c>
      <c r="BD198" s="776" t="s">
        <v>2127</v>
      </c>
      <c r="BE198" s="776" t="s">
        <v>2127</v>
      </c>
      <c r="BF198" s="776" t="s">
        <v>2127</v>
      </c>
      <c r="BG198" s="776" t="s">
        <v>2127</v>
      </c>
      <c r="BH198" s="776" t="s">
        <v>2127</v>
      </c>
      <c r="BI198" s="776" t="s">
        <v>2127</v>
      </c>
      <c r="BJ198" s="776" t="s">
        <v>2127</v>
      </c>
      <c r="BK198" s="776" t="s">
        <v>2127</v>
      </c>
      <c r="BL198" s="776" t="s">
        <v>2127</v>
      </c>
      <c r="BM198" s="776" t="s">
        <v>2127</v>
      </c>
      <c r="BN198" s="776" t="s">
        <v>2127</v>
      </c>
      <c r="BO198" s="776" t="s">
        <v>2127</v>
      </c>
      <c r="BP198" s="776" t="s">
        <v>2127</v>
      </c>
      <c r="BQ198" s="776" t="s">
        <v>2127</v>
      </c>
      <c r="BR198" s="776" t="s">
        <v>2127</v>
      </c>
      <c r="BS198" s="776" t="s">
        <v>2127</v>
      </c>
      <c r="BT198" s="776" t="s">
        <v>2127</v>
      </c>
      <c r="BU198" s="776" t="s">
        <v>2127</v>
      </c>
      <c r="BV198" s="776" t="s">
        <v>2127</v>
      </c>
      <c r="BW198" s="776" t="s">
        <v>2127</v>
      </c>
      <c r="BX198" s="776" t="s">
        <v>2127</v>
      </c>
      <c r="BY198" s="776" t="s">
        <v>2127</v>
      </c>
      <c r="BZ198" s="776" t="s">
        <v>2127</v>
      </c>
      <c r="CA198" s="776" t="s">
        <v>2127</v>
      </c>
      <c r="CB198" s="776" t="s">
        <v>2127</v>
      </c>
      <c r="CC198" s="776" t="s">
        <v>2127</v>
      </c>
      <c r="CD198" s="776" t="s">
        <v>2127</v>
      </c>
      <c r="CE198" s="776" t="s">
        <v>2127</v>
      </c>
      <c r="CF198" s="776" t="s">
        <v>2127</v>
      </c>
      <c r="CG198" s="776" t="s">
        <v>2127</v>
      </c>
      <c r="CH198" s="776" t="s">
        <v>2127</v>
      </c>
      <c r="CI198" s="776" t="s">
        <v>2127</v>
      </c>
      <c r="CJ198" s="776" t="s">
        <v>2127</v>
      </c>
      <c r="CK198" s="776" t="s">
        <v>2127</v>
      </c>
      <c r="CL198" s="776" t="s">
        <v>2127</v>
      </c>
      <c r="CM198" s="776" t="s">
        <v>2127</v>
      </c>
      <c r="CN198" s="776" t="s">
        <v>2127</v>
      </c>
      <c r="CO198" s="776" t="s">
        <v>2127</v>
      </c>
      <c r="CP198" s="776" t="s">
        <v>2127</v>
      </c>
      <c r="CQ198" s="776" t="s">
        <v>2127</v>
      </c>
      <c r="CR198" s="776" t="s">
        <v>2127</v>
      </c>
      <c r="CS198" s="776" t="s">
        <v>2127</v>
      </c>
      <c r="CT198" s="776" t="s">
        <v>2127</v>
      </c>
      <c r="CU198" s="776" t="s">
        <v>2127</v>
      </c>
      <c r="CV198" s="776" t="s">
        <v>2127</v>
      </c>
      <c r="CW198" s="776" t="s">
        <v>2127</v>
      </c>
      <c r="CX198" s="776" t="s">
        <v>2127</v>
      </c>
      <c r="CY198" s="776" t="s">
        <v>2127</v>
      </c>
      <c r="CZ198" s="776" t="s">
        <v>2127</v>
      </c>
      <c r="DA198" s="776" t="s">
        <v>2127</v>
      </c>
      <c r="DB198" s="776" t="s">
        <v>2127</v>
      </c>
      <c r="DC198" s="776" t="s">
        <v>2127</v>
      </c>
      <c r="DD198" s="776" t="s">
        <v>2127</v>
      </c>
      <c r="DE198" s="776" t="s">
        <v>2127</v>
      </c>
      <c r="DF198" s="776" t="s">
        <v>2127</v>
      </c>
      <c r="DG198" s="776" t="s">
        <v>2127</v>
      </c>
      <c r="DH198" s="776" t="s">
        <v>2127</v>
      </c>
      <c r="DI198" s="776" t="s">
        <v>2127</v>
      </c>
      <c r="DJ198" s="776" t="s">
        <v>2127</v>
      </c>
      <c r="DK198" s="776" t="s">
        <v>2127</v>
      </c>
      <c r="DL198" s="776" t="s">
        <v>2127</v>
      </c>
      <c r="DM198" s="776" t="s">
        <v>2127</v>
      </c>
      <c r="DN198" s="776" t="s">
        <v>2127</v>
      </c>
      <c r="DO198" s="776" t="s">
        <v>2127</v>
      </c>
      <c r="DP198" s="776" t="s">
        <v>2127</v>
      </c>
    </row>
    <row r="199" spans="1:120" x14ac:dyDescent="0.2">
      <c r="A199" s="637" t="s">
        <v>2231</v>
      </c>
      <c r="B199" s="772" t="str" cm="1">
        <f t="array" ref="B199">IFERROR(INDEX(Kulturen[HF],_xlfn.AGGREGATE(15,6,(ROW(Kulturen[Auswahl])-7)/(--(SEARCH("x",Kulturen[Auswahl])&gt;0)),ROW()-7),1),"")</f>
        <v>Rotkohl</v>
      </c>
      <c r="C199" s="772" t="str">
        <f>IF(Kulturen[[#This Row],[HF]]=$D$373,IF($C$6=0,0,"x"),IF($C$6=0,"x",Vorauswahl!C198))</f>
        <v>x</v>
      </c>
      <c r="D199" s="938" t="s">
        <v>1964</v>
      </c>
      <c r="E199" s="938" t="s">
        <v>1964</v>
      </c>
      <c r="F199" s="938" t="s">
        <v>872</v>
      </c>
      <c r="G199" s="938">
        <v>12</v>
      </c>
      <c r="H199" s="938">
        <v>8</v>
      </c>
      <c r="I199" s="938">
        <v>3</v>
      </c>
      <c r="J199" s="938">
        <v>12</v>
      </c>
      <c r="K199" s="938">
        <v>9.1999999999999998E-2</v>
      </c>
      <c r="L199" s="938">
        <v>0.09</v>
      </c>
      <c r="M199" s="938">
        <v>100</v>
      </c>
      <c r="N199" s="938">
        <v>0</v>
      </c>
      <c r="O199" s="938">
        <v>1</v>
      </c>
      <c r="P199" s="938">
        <v>0</v>
      </c>
      <c r="Q199" s="938">
        <v>100</v>
      </c>
      <c r="R199" s="938">
        <v>20</v>
      </c>
      <c r="S199" s="938">
        <v>20</v>
      </c>
      <c r="T199" s="938">
        <v>20</v>
      </c>
      <c r="U199" s="938">
        <v>0</v>
      </c>
      <c r="V199" s="938">
        <v>1</v>
      </c>
      <c r="W199" s="776">
        <f>IF(Kulturen[[#This Row],[Berechnungsschema]]=13,3,IF(Kulturen[[#This Row],[Berechnungsschema]]=6,2,1))</f>
        <v>1</v>
      </c>
      <c r="X199" s="776">
        <f>IF(Kulturen[[#This Row],[fruchtartengruppe]]=13,Kulturen[[#This Row],[NBedarfswert]],MAX(0,Kulturen[[#This Row],[NBedarfswert]]-Kulturen[[#This Row],[Ertrag]]*Kulturen[[#This Row],[Nfix]]))</f>
        <v>100</v>
      </c>
      <c r="Y199" s="776" t="s">
        <v>2127</v>
      </c>
      <c r="Z199" s="776" t="s">
        <v>2127</v>
      </c>
      <c r="AA199" s="776" t="s">
        <v>2127</v>
      </c>
      <c r="AB199" s="776" t="s">
        <v>2127</v>
      </c>
      <c r="AC199" s="776" t="s">
        <v>2127</v>
      </c>
      <c r="AD199" s="776" t="s">
        <v>2127</v>
      </c>
      <c r="AE199" s="776" t="s">
        <v>2127</v>
      </c>
      <c r="AF199" s="776" t="s">
        <v>2127</v>
      </c>
      <c r="AG199" s="776" t="s">
        <v>2127</v>
      </c>
      <c r="AH199" s="776" t="s">
        <v>2127</v>
      </c>
      <c r="AI199" s="776" t="s">
        <v>2127</v>
      </c>
      <c r="AJ199" s="776" t="s">
        <v>2127</v>
      </c>
      <c r="AK199" s="776" t="s">
        <v>2127</v>
      </c>
      <c r="AL199" s="776" t="s">
        <v>2127</v>
      </c>
      <c r="AM199" s="776" t="s">
        <v>2127</v>
      </c>
      <c r="AN199" s="776" t="s">
        <v>2127</v>
      </c>
      <c r="AO199" s="776" t="s">
        <v>2127</v>
      </c>
      <c r="AP199" s="776" t="s">
        <v>2127</v>
      </c>
      <c r="AQ199" s="776" t="s">
        <v>2127</v>
      </c>
      <c r="AR199" s="776" t="s">
        <v>2127</v>
      </c>
      <c r="AS199" s="776" t="s">
        <v>2127</v>
      </c>
      <c r="AT199" s="776" t="s">
        <v>2127</v>
      </c>
      <c r="AU199" s="776" t="s">
        <v>2127</v>
      </c>
      <c r="AV199" s="776" t="s">
        <v>2127</v>
      </c>
      <c r="AW199" s="776" t="s">
        <v>2127</v>
      </c>
      <c r="AX199" s="776" t="s">
        <v>2127</v>
      </c>
      <c r="AY199" s="776" t="s">
        <v>2127</v>
      </c>
      <c r="AZ199" s="776" t="s">
        <v>2127</v>
      </c>
      <c r="BA199" s="776" t="s">
        <v>2127</v>
      </c>
      <c r="BB199" s="776" t="s">
        <v>2127</v>
      </c>
      <c r="BC199" s="776" t="s">
        <v>2127</v>
      </c>
      <c r="BD199" s="776" t="s">
        <v>2127</v>
      </c>
      <c r="BE199" s="776" t="s">
        <v>2127</v>
      </c>
      <c r="BF199" s="776" t="s">
        <v>2127</v>
      </c>
      <c r="BG199" s="776" t="s">
        <v>2127</v>
      </c>
      <c r="BH199" s="776" t="s">
        <v>2127</v>
      </c>
      <c r="BI199" s="776" t="s">
        <v>2127</v>
      </c>
      <c r="BJ199" s="776" t="s">
        <v>2127</v>
      </c>
      <c r="BK199" s="776" t="s">
        <v>2127</v>
      </c>
      <c r="BL199" s="776" t="s">
        <v>2127</v>
      </c>
      <c r="BM199" s="776" t="s">
        <v>2127</v>
      </c>
      <c r="BN199" s="776" t="s">
        <v>2127</v>
      </c>
      <c r="BO199" s="776" t="s">
        <v>2127</v>
      </c>
      <c r="BP199" s="776" t="s">
        <v>2127</v>
      </c>
      <c r="BQ199" s="776" t="s">
        <v>2127</v>
      </c>
      <c r="BR199" s="776" t="s">
        <v>2127</v>
      </c>
      <c r="BS199" s="776" t="s">
        <v>2127</v>
      </c>
      <c r="BT199" s="776" t="s">
        <v>2127</v>
      </c>
      <c r="BU199" s="776" t="s">
        <v>2127</v>
      </c>
      <c r="BV199" s="776" t="s">
        <v>2127</v>
      </c>
      <c r="BW199" s="776" t="s">
        <v>2127</v>
      </c>
      <c r="BX199" s="776" t="s">
        <v>2127</v>
      </c>
      <c r="BY199" s="776" t="s">
        <v>2127</v>
      </c>
      <c r="BZ199" s="776" t="s">
        <v>2127</v>
      </c>
      <c r="CA199" s="776" t="s">
        <v>2127</v>
      </c>
      <c r="CB199" s="776" t="s">
        <v>2127</v>
      </c>
      <c r="CC199" s="776" t="s">
        <v>2127</v>
      </c>
      <c r="CD199" s="776" t="s">
        <v>2127</v>
      </c>
      <c r="CE199" s="776" t="s">
        <v>2127</v>
      </c>
      <c r="CF199" s="776" t="s">
        <v>2127</v>
      </c>
      <c r="CG199" s="776" t="s">
        <v>2127</v>
      </c>
      <c r="CH199" s="776" t="s">
        <v>2127</v>
      </c>
      <c r="CI199" s="776" t="s">
        <v>2127</v>
      </c>
      <c r="CJ199" s="776" t="s">
        <v>2127</v>
      </c>
      <c r="CK199" s="776" t="s">
        <v>2127</v>
      </c>
      <c r="CL199" s="776" t="s">
        <v>2127</v>
      </c>
      <c r="CM199" s="776" t="s">
        <v>2127</v>
      </c>
      <c r="CN199" s="776" t="s">
        <v>2127</v>
      </c>
      <c r="CO199" s="776" t="s">
        <v>2127</v>
      </c>
      <c r="CP199" s="776" t="s">
        <v>2127</v>
      </c>
      <c r="CQ199" s="776" t="s">
        <v>2127</v>
      </c>
      <c r="CR199" s="776" t="s">
        <v>2127</v>
      </c>
      <c r="CS199" s="776" t="s">
        <v>2127</v>
      </c>
      <c r="CT199" s="776" t="s">
        <v>2127</v>
      </c>
      <c r="CU199" s="776" t="s">
        <v>2127</v>
      </c>
      <c r="CV199" s="776" t="s">
        <v>2127</v>
      </c>
      <c r="CW199" s="776" t="s">
        <v>2127</v>
      </c>
      <c r="CX199" s="776" t="s">
        <v>2127</v>
      </c>
      <c r="CY199" s="776" t="s">
        <v>2127</v>
      </c>
      <c r="CZ199" s="776" t="s">
        <v>2127</v>
      </c>
      <c r="DA199" s="776" t="s">
        <v>2127</v>
      </c>
      <c r="DB199" s="776" t="s">
        <v>2127</v>
      </c>
      <c r="DC199" s="776" t="s">
        <v>2127</v>
      </c>
      <c r="DD199" s="776" t="s">
        <v>2127</v>
      </c>
      <c r="DE199" s="776" t="s">
        <v>2127</v>
      </c>
      <c r="DF199" s="776" t="s">
        <v>2127</v>
      </c>
      <c r="DG199" s="776" t="s">
        <v>2127</v>
      </c>
      <c r="DH199" s="776" t="s">
        <v>2127</v>
      </c>
      <c r="DI199" s="776" t="s">
        <v>2127</v>
      </c>
      <c r="DJ199" s="776" t="s">
        <v>2127</v>
      </c>
      <c r="DK199" s="776" t="s">
        <v>2127</v>
      </c>
      <c r="DL199" s="776" t="s">
        <v>2127</v>
      </c>
      <c r="DM199" s="776" t="s">
        <v>2127</v>
      </c>
      <c r="DN199" s="776" t="s">
        <v>2127</v>
      </c>
      <c r="DO199" s="776" t="s">
        <v>2127</v>
      </c>
      <c r="DP199" s="776" t="s">
        <v>2127</v>
      </c>
    </row>
    <row r="200" spans="1:120" x14ac:dyDescent="0.2">
      <c r="A200" s="637" t="s">
        <v>2232</v>
      </c>
      <c r="B200" s="772" t="str" cm="1">
        <f t="array" ref="B200">IFERROR(INDEX(Kulturen[HF],_xlfn.AGGREGATE(15,6,(ROW(Kulturen[Auswahl])-7)/(--(SEARCH("x",Kulturen[Auswahl])&gt;0)),ROW()-7),1),"")</f>
        <v>Rucola, Feinware</v>
      </c>
      <c r="C200" s="772" t="str">
        <f>IF(Kulturen[[#This Row],[HF]]=$D$373,IF($C$6=0,0,"x"),IF($C$6=0,"x",Vorauswahl!C199))</f>
        <v>x</v>
      </c>
      <c r="D200" s="938" t="s">
        <v>1965</v>
      </c>
      <c r="E200" s="938" t="s">
        <v>1965</v>
      </c>
      <c r="F200" s="938" t="s">
        <v>873</v>
      </c>
      <c r="G200" s="938">
        <v>12</v>
      </c>
      <c r="H200" s="938">
        <v>8</v>
      </c>
      <c r="I200" s="938">
        <v>3</v>
      </c>
      <c r="J200" s="938">
        <v>12</v>
      </c>
      <c r="K200" s="938">
        <v>9.1999999999999998E-2</v>
      </c>
      <c r="L200" s="938">
        <v>0.09</v>
      </c>
      <c r="M200" s="938">
        <v>200</v>
      </c>
      <c r="N200" s="938">
        <v>0</v>
      </c>
      <c r="O200" s="938">
        <v>1</v>
      </c>
      <c r="P200" s="938">
        <v>0</v>
      </c>
      <c r="Q200" s="938">
        <v>120</v>
      </c>
      <c r="R200" s="938">
        <v>40</v>
      </c>
      <c r="S200" s="938">
        <v>20</v>
      </c>
      <c r="T200" s="938">
        <v>20</v>
      </c>
      <c r="U200" s="938">
        <v>0</v>
      </c>
      <c r="V200" s="938">
        <v>1</v>
      </c>
      <c r="W200" s="776">
        <f>IF(Kulturen[[#This Row],[Berechnungsschema]]=13,3,IF(Kulturen[[#This Row],[Berechnungsschema]]=6,2,1))</f>
        <v>1</v>
      </c>
      <c r="X200" s="776">
        <f>IF(Kulturen[[#This Row],[fruchtartengruppe]]=13,Kulturen[[#This Row],[NBedarfswert]],MAX(0,Kulturen[[#This Row],[NBedarfswert]]-Kulturen[[#This Row],[Ertrag]]*Kulturen[[#This Row],[Nfix]]))</f>
        <v>120</v>
      </c>
      <c r="Y200" s="776" t="s">
        <v>2127</v>
      </c>
      <c r="Z200" s="776" t="s">
        <v>2127</v>
      </c>
      <c r="AA200" s="776" t="s">
        <v>2127</v>
      </c>
      <c r="AB200" s="776" t="s">
        <v>2127</v>
      </c>
      <c r="AC200" s="776" t="s">
        <v>2127</v>
      </c>
      <c r="AD200" s="776" t="s">
        <v>2127</v>
      </c>
      <c r="AE200" s="776" t="s">
        <v>2127</v>
      </c>
      <c r="AF200" s="776" t="s">
        <v>2127</v>
      </c>
      <c r="AG200" s="776" t="s">
        <v>2127</v>
      </c>
      <c r="AH200" s="776" t="s">
        <v>2127</v>
      </c>
      <c r="AI200" s="776" t="s">
        <v>2127</v>
      </c>
      <c r="AJ200" s="776" t="s">
        <v>2127</v>
      </c>
      <c r="AK200" s="776" t="s">
        <v>2127</v>
      </c>
      <c r="AL200" s="776" t="s">
        <v>2127</v>
      </c>
      <c r="AM200" s="776" t="s">
        <v>2127</v>
      </c>
      <c r="AN200" s="776" t="s">
        <v>2127</v>
      </c>
      <c r="AO200" s="776" t="s">
        <v>2127</v>
      </c>
      <c r="AP200" s="776" t="s">
        <v>2127</v>
      </c>
      <c r="AQ200" s="776" t="s">
        <v>2127</v>
      </c>
      <c r="AR200" s="776" t="s">
        <v>2127</v>
      </c>
      <c r="AS200" s="776" t="s">
        <v>2127</v>
      </c>
      <c r="AT200" s="776" t="s">
        <v>2127</v>
      </c>
      <c r="AU200" s="776" t="s">
        <v>2127</v>
      </c>
      <c r="AV200" s="776" t="s">
        <v>2127</v>
      </c>
      <c r="AW200" s="776" t="s">
        <v>2127</v>
      </c>
      <c r="AX200" s="776" t="s">
        <v>2127</v>
      </c>
      <c r="AY200" s="776" t="s">
        <v>2127</v>
      </c>
      <c r="AZ200" s="776" t="s">
        <v>2127</v>
      </c>
      <c r="BA200" s="776" t="s">
        <v>2127</v>
      </c>
      <c r="BB200" s="776" t="s">
        <v>2127</v>
      </c>
      <c r="BC200" s="776" t="s">
        <v>2127</v>
      </c>
      <c r="BD200" s="776" t="s">
        <v>2127</v>
      </c>
      <c r="BE200" s="776" t="s">
        <v>2127</v>
      </c>
      <c r="BF200" s="776" t="s">
        <v>2127</v>
      </c>
      <c r="BG200" s="776" t="s">
        <v>2127</v>
      </c>
      <c r="BH200" s="776" t="s">
        <v>2127</v>
      </c>
      <c r="BI200" s="776" t="s">
        <v>2127</v>
      </c>
      <c r="BJ200" s="776" t="s">
        <v>2127</v>
      </c>
      <c r="BK200" s="776" t="s">
        <v>2127</v>
      </c>
      <c r="BL200" s="776" t="s">
        <v>2127</v>
      </c>
      <c r="BM200" s="776" t="s">
        <v>2127</v>
      </c>
      <c r="BN200" s="776" t="s">
        <v>2127</v>
      </c>
      <c r="BO200" s="776" t="s">
        <v>2127</v>
      </c>
      <c r="BP200" s="776" t="s">
        <v>2127</v>
      </c>
      <c r="BQ200" s="776" t="s">
        <v>2127</v>
      </c>
      <c r="BR200" s="776" t="s">
        <v>2127</v>
      </c>
      <c r="BS200" s="776" t="s">
        <v>2127</v>
      </c>
      <c r="BT200" s="776" t="s">
        <v>2127</v>
      </c>
      <c r="BU200" s="776" t="s">
        <v>2127</v>
      </c>
      <c r="BV200" s="776" t="s">
        <v>2127</v>
      </c>
      <c r="BW200" s="776" t="s">
        <v>2127</v>
      </c>
      <c r="BX200" s="776" t="s">
        <v>2127</v>
      </c>
      <c r="BY200" s="776" t="s">
        <v>2127</v>
      </c>
      <c r="BZ200" s="776" t="s">
        <v>2127</v>
      </c>
      <c r="CA200" s="776" t="s">
        <v>2127</v>
      </c>
      <c r="CB200" s="776" t="s">
        <v>2127</v>
      </c>
      <c r="CC200" s="776" t="s">
        <v>2127</v>
      </c>
      <c r="CD200" s="776" t="s">
        <v>2127</v>
      </c>
      <c r="CE200" s="776" t="s">
        <v>2127</v>
      </c>
      <c r="CF200" s="776" t="s">
        <v>2127</v>
      </c>
      <c r="CG200" s="776" t="s">
        <v>2127</v>
      </c>
      <c r="CH200" s="776" t="s">
        <v>2127</v>
      </c>
      <c r="CI200" s="776" t="s">
        <v>2127</v>
      </c>
      <c r="CJ200" s="776" t="s">
        <v>2127</v>
      </c>
      <c r="CK200" s="776" t="s">
        <v>2127</v>
      </c>
      <c r="CL200" s="776" t="s">
        <v>2127</v>
      </c>
      <c r="CM200" s="776" t="s">
        <v>2127</v>
      </c>
      <c r="CN200" s="776" t="s">
        <v>2127</v>
      </c>
      <c r="CO200" s="776" t="s">
        <v>2127</v>
      </c>
      <c r="CP200" s="776" t="s">
        <v>2127</v>
      </c>
      <c r="CQ200" s="776" t="s">
        <v>2127</v>
      </c>
      <c r="CR200" s="776" t="s">
        <v>2127</v>
      </c>
      <c r="CS200" s="776" t="s">
        <v>2127</v>
      </c>
      <c r="CT200" s="776" t="s">
        <v>2127</v>
      </c>
      <c r="CU200" s="776" t="s">
        <v>2127</v>
      </c>
      <c r="CV200" s="776" t="s">
        <v>2127</v>
      </c>
      <c r="CW200" s="776" t="s">
        <v>2127</v>
      </c>
      <c r="CX200" s="776" t="s">
        <v>2127</v>
      </c>
      <c r="CY200" s="776" t="s">
        <v>2127</v>
      </c>
      <c r="CZ200" s="776" t="s">
        <v>2127</v>
      </c>
      <c r="DA200" s="776" t="s">
        <v>2127</v>
      </c>
      <c r="DB200" s="776" t="s">
        <v>2127</v>
      </c>
      <c r="DC200" s="776" t="s">
        <v>2127</v>
      </c>
      <c r="DD200" s="776" t="s">
        <v>2127</v>
      </c>
      <c r="DE200" s="776" t="s">
        <v>2127</v>
      </c>
      <c r="DF200" s="776" t="s">
        <v>2127</v>
      </c>
      <c r="DG200" s="776" t="s">
        <v>2127</v>
      </c>
      <c r="DH200" s="776" t="s">
        <v>2127</v>
      </c>
      <c r="DI200" s="776" t="s">
        <v>2127</v>
      </c>
      <c r="DJ200" s="776" t="s">
        <v>2127</v>
      </c>
      <c r="DK200" s="776" t="s">
        <v>2127</v>
      </c>
      <c r="DL200" s="776" t="s">
        <v>2127</v>
      </c>
      <c r="DM200" s="776" t="s">
        <v>2127</v>
      </c>
      <c r="DN200" s="776" t="s">
        <v>2127</v>
      </c>
      <c r="DO200" s="776" t="s">
        <v>2127</v>
      </c>
      <c r="DP200" s="776" t="s">
        <v>2127</v>
      </c>
    </row>
    <row r="201" spans="1:120" x14ac:dyDescent="0.2">
      <c r="A201" s="637" t="s">
        <v>2233</v>
      </c>
      <c r="B201" s="772" t="str" cm="1">
        <f t="array" ref="B201">IFERROR(INDEX(Kulturen[HF],_xlfn.AGGREGATE(15,6,(ROW(Kulturen[Auswahl])-7)/(--(SEARCH("x",Kulturen[Auswahl])&gt;0)),ROW()-7),1),"")</f>
        <v>Rucola, Grobware</v>
      </c>
      <c r="C201" s="772" t="str">
        <f>IF(Kulturen[[#This Row],[HF]]=$D$373,IF($C$6=0,0,"x"),IF($C$6=0,"x",Vorauswahl!C200))</f>
        <v>x</v>
      </c>
      <c r="D201" s="938" t="s">
        <v>1966</v>
      </c>
      <c r="E201" s="938" t="s">
        <v>1966</v>
      </c>
      <c r="F201" s="938" t="s">
        <v>874</v>
      </c>
      <c r="G201" s="938">
        <v>12</v>
      </c>
      <c r="H201" s="938">
        <v>8</v>
      </c>
      <c r="I201" s="938">
        <v>3</v>
      </c>
      <c r="J201" s="938">
        <v>12</v>
      </c>
      <c r="K201" s="938">
        <v>9.1999999999999998E-2</v>
      </c>
      <c r="L201" s="938">
        <v>0.09</v>
      </c>
      <c r="M201" s="938">
        <v>350</v>
      </c>
      <c r="N201" s="938">
        <v>0</v>
      </c>
      <c r="O201" s="938">
        <v>1</v>
      </c>
      <c r="P201" s="938">
        <v>0</v>
      </c>
      <c r="Q201" s="938">
        <v>140</v>
      </c>
      <c r="R201" s="938">
        <v>70</v>
      </c>
      <c r="S201" s="938">
        <v>20</v>
      </c>
      <c r="T201" s="938">
        <v>20</v>
      </c>
      <c r="U201" s="938">
        <v>0</v>
      </c>
      <c r="V201" s="938">
        <v>1</v>
      </c>
      <c r="W201" s="776">
        <f>IF(Kulturen[[#This Row],[Berechnungsschema]]=13,3,IF(Kulturen[[#This Row],[Berechnungsschema]]=6,2,1))</f>
        <v>1</v>
      </c>
      <c r="X201" s="776">
        <f>IF(Kulturen[[#This Row],[fruchtartengruppe]]=13,Kulturen[[#This Row],[NBedarfswert]],MAX(0,Kulturen[[#This Row],[NBedarfswert]]-Kulturen[[#This Row],[Ertrag]]*Kulturen[[#This Row],[Nfix]]))</f>
        <v>140</v>
      </c>
      <c r="Y201" s="776" t="s">
        <v>2127</v>
      </c>
      <c r="Z201" s="776" t="s">
        <v>2127</v>
      </c>
      <c r="AA201" s="776" t="s">
        <v>2127</v>
      </c>
      <c r="AB201" s="776" t="s">
        <v>2127</v>
      </c>
      <c r="AC201" s="776" t="s">
        <v>2127</v>
      </c>
      <c r="AD201" s="776" t="s">
        <v>2127</v>
      </c>
      <c r="AE201" s="776" t="s">
        <v>2127</v>
      </c>
      <c r="AF201" s="776" t="s">
        <v>2127</v>
      </c>
      <c r="AG201" s="776" t="s">
        <v>2127</v>
      </c>
      <c r="AH201" s="776" t="s">
        <v>2127</v>
      </c>
      <c r="AI201" s="776" t="s">
        <v>2127</v>
      </c>
      <c r="AJ201" s="776" t="s">
        <v>2127</v>
      </c>
      <c r="AK201" s="776" t="s">
        <v>2127</v>
      </c>
      <c r="AL201" s="776" t="s">
        <v>2127</v>
      </c>
      <c r="AM201" s="776" t="s">
        <v>2127</v>
      </c>
      <c r="AN201" s="776" t="s">
        <v>2127</v>
      </c>
      <c r="AO201" s="776" t="s">
        <v>2127</v>
      </c>
      <c r="AP201" s="776" t="s">
        <v>2127</v>
      </c>
      <c r="AQ201" s="776" t="s">
        <v>2127</v>
      </c>
      <c r="AR201" s="776" t="s">
        <v>2127</v>
      </c>
      <c r="AS201" s="776" t="s">
        <v>2127</v>
      </c>
      <c r="AT201" s="776" t="s">
        <v>2127</v>
      </c>
      <c r="AU201" s="776" t="s">
        <v>2127</v>
      </c>
      <c r="AV201" s="776" t="s">
        <v>2127</v>
      </c>
      <c r="AW201" s="776" t="s">
        <v>2127</v>
      </c>
      <c r="AX201" s="776" t="s">
        <v>2127</v>
      </c>
      <c r="AY201" s="776" t="s">
        <v>2127</v>
      </c>
      <c r="AZ201" s="776" t="s">
        <v>2127</v>
      </c>
      <c r="BA201" s="776" t="s">
        <v>2127</v>
      </c>
      <c r="BB201" s="776" t="s">
        <v>2127</v>
      </c>
      <c r="BC201" s="776" t="s">
        <v>2127</v>
      </c>
      <c r="BD201" s="776" t="s">
        <v>2127</v>
      </c>
      <c r="BE201" s="776" t="s">
        <v>2127</v>
      </c>
      <c r="BF201" s="776" t="s">
        <v>2127</v>
      </c>
      <c r="BG201" s="776" t="s">
        <v>2127</v>
      </c>
      <c r="BH201" s="776" t="s">
        <v>2127</v>
      </c>
      <c r="BI201" s="776" t="s">
        <v>2127</v>
      </c>
      <c r="BJ201" s="776" t="s">
        <v>2127</v>
      </c>
      <c r="BK201" s="776" t="s">
        <v>2127</v>
      </c>
      <c r="BL201" s="776" t="s">
        <v>2127</v>
      </c>
      <c r="BM201" s="776" t="s">
        <v>2127</v>
      </c>
      <c r="BN201" s="776" t="s">
        <v>2127</v>
      </c>
      <c r="BO201" s="776" t="s">
        <v>2127</v>
      </c>
      <c r="BP201" s="776" t="s">
        <v>2127</v>
      </c>
      <c r="BQ201" s="776" t="s">
        <v>2127</v>
      </c>
      <c r="BR201" s="776" t="s">
        <v>2127</v>
      </c>
      <c r="BS201" s="776" t="s">
        <v>2127</v>
      </c>
      <c r="BT201" s="776" t="s">
        <v>2127</v>
      </c>
      <c r="BU201" s="776" t="s">
        <v>2127</v>
      </c>
      <c r="BV201" s="776" t="s">
        <v>2127</v>
      </c>
      <c r="BW201" s="776" t="s">
        <v>2127</v>
      </c>
      <c r="BX201" s="776" t="s">
        <v>2127</v>
      </c>
      <c r="BY201" s="776" t="s">
        <v>2127</v>
      </c>
      <c r="BZ201" s="776" t="s">
        <v>2127</v>
      </c>
      <c r="CA201" s="776" t="s">
        <v>2127</v>
      </c>
      <c r="CB201" s="776" t="s">
        <v>2127</v>
      </c>
      <c r="CC201" s="776" t="s">
        <v>2127</v>
      </c>
      <c r="CD201" s="776" t="s">
        <v>2127</v>
      </c>
      <c r="CE201" s="776" t="s">
        <v>2127</v>
      </c>
      <c r="CF201" s="776" t="s">
        <v>2127</v>
      </c>
      <c r="CG201" s="776" t="s">
        <v>2127</v>
      </c>
      <c r="CH201" s="776" t="s">
        <v>2127</v>
      </c>
      <c r="CI201" s="776" t="s">
        <v>2127</v>
      </c>
      <c r="CJ201" s="776" t="s">
        <v>2127</v>
      </c>
      <c r="CK201" s="776" t="s">
        <v>2127</v>
      </c>
      <c r="CL201" s="776" t="s">
        <v>2127</v>
      </c>
      <c r="CM201" s="776" t="s">
        <v>2127</v>
      </c>
      <c r="CN201" s="776" t="s">
        <v>2127</v>
      </c>
      <c r="CO201" s="776" t="s">
        <v>2127</v>
      </c>
      <c r="CP201" s="776" t="s">
        <v>2127</v>
      </c>
      <c r="CQ201" s="776" t="s">
        <v>2127</v>
      </c>
      <c r="CR201" s="776" t="s">
        <v>2127</v>
      </c>
      <c r="CS201" s="776" t="s">
        <v>2127</v>
      </c>
      <c r="CT201" s="776" t="s">
        <v>2127</v>
      </c>
      <c r="CU201" s="776" t="s">
        <v>2127</v>
      </c>
      <c r="CV201" s="776" t="s">
        <v>2127</v>
      </c>
      <c r="CW201" s="776" t="s">
        <v>2127</v>
      </c>
      <c r="CX201" s="776" t="s">
        <v>2127</v>
      </c>
      <c r="CY201" s="776" t="s">
        <v>2127</v>
      </c>
      <c r="CZ201" s="776" t="s">
        <v>2127</v>
      </c>
      <c r="DA201" s="776" t="s">
        <v>2127</v>
      </c>
      <c r="DB201" s="776" t="s">
        <v>2127</v>
      </c>
      <c r="DC201" s="776" t="s">
        <v>2127</v>
      </c>
      <c r="DD201" s="776" t="s">
        <v>2127</v>
      </c>
      <c r="DE201" s="776" t="s">
        <v>2127</v>
      </c>
      <c r="DF201" s="776" t="s">
        <v>2127</v>
      </c>
      <c r="DG201" s="776" t="s">
        <v>2127</v>
      </c>
      <c r="DH201" s="776" t="s">
        <v>2127</v>
      </c>
      <c r="DI201" s="776" t="s">
        <v>2127</v>
      </c>
      <c r="DJ201" s="776" t="s">
        <v>2127</v>
      </c>
      <c r="DK201" s="776" t="s">
        <v>2127</v>
      </c>
      <c r="DL201" s="776" t="s">
        <v>2127</v>
      </c>
      <c r="DM201" s="776" t="s">
        <v>2127</v>
      </c>
      <c r="DN201" s="776" t="s">
        <v>2127</v>
      </c>
      <c r="DO201" s="776" t="s">
        <v>2127</v>
      </c>
      <c r="DP201" s="776" t="s">
        <v>2127</v>
      </c>
    </row>
    <row r="202" spans="1:120" x14ac:dyDescent="0.2">
      <c r="A202" s="637" t="s">
        <v>2234</v>
      </c>
      <c r="B202" s="772" t="str" cm="1">
        <f t="array" ref="B202">IFERROR(INDEX(Kulturen[HF],_xlfn.AGGREGATE(15,6,(ROW(Kulturen[Auswahl])-7)/(--(SEARCH("x",Kulturen[Auswahl])&gt;0)),ROW()-7),1),"")</f>
        <v>Salate, Baby Leaf Lettuce</v>
      </c>
      <c r="C202" s="772" t="str">
        <f>IF(Kulturen[[#This Row],[HF]]=$D$373,IF($C$6=0,0,"x"),IF($C$6=0,"x",Vorauswahl!C201))</f>
        <v>x</v>
      </c>
      <c r="D202" s="938" t="s">
        <v>1967</v>
      </c>
      <c r="E202" s="938" t="s">
        <v>1967</v>
      </c>
      <c r="F202" s="938" t="s">
        <v>875</v>
      </c>
      <c r="G202" s="938">
        <v>12</v>
      </c>
      <c r="H202" s="938">
        <v>8</v>
      </c>
      <c r="I202" s="938">
        <v>3</v>
      </c>
      <c r="J202" s="938">
        <v>12</v>
      </c>
      <c r="K202" s="938">
        <v>9.1999999999999998E-2</v>
      </c>
      <c r="L202" s="938">
        <v>0.09</v>
      </c>
      <c r="M202" s="938">
        <v>0</v>
      </c>
      <c r="N202" s="938">
        <v>0</v>
      </c>
      <c r="O202" s="938">
        <v>1</v>
      </c>
      <c r="P202" s="938">
        <v>0</v>
      </c>
      <c r="Q202" s="938">
        <v>150</v>
      </c>
      <c r="R202" s="938">
        <v>10</v>
      </c>
      <c r="S202" s="938">
        <v>0</v>
      </c>
      <c r="T202" s="938">
        <v>0</v>
      </c>
      <c r="U202" s="938">
        <v>0</v>
      </c>
      <c r="V202" s="938">
        <v>1</v>
      </c>
      <c r="W202" s="776">
        <f>IF(Kulturen[[#This Row],[Berechnungsschema]]=13,3,IF(Kulturen[[#This Row],[Berechnungsschema]]=6,2,1))</f>
        <v>1</v>
      </c>
      <c r="X202" s="776">
        <f>IF(Kulturen[[#This Row],[fruchtartengruppe]]=13,Kulturen[[#This Row],[NBedarfswert]],MAX(0,Kulturen[[#This Row],[NBedarfswert]]-Kulturen[[#This Row],[Ertrag]]*Kulturen[[#This Row],[Nfix]]))</f>
        <v>150</v>
      </c>
      <c r="Y202" s="776" t="s">
        <v>2127</v>
      </c>
      <c r="Z202" s="776" t="s">
        <v>2127</v>
      </c>
      <c r="AA202" s="776" t="s">
        <v>2127</v>
      </c>
      <c r="AB202" s="776" t="s">
        <v>2127</v>
      </c>
      <c r="AC202" s="776" t="s">
        <v>2127</v>
      </c>
      <c r="AD202" s="776" t="s">
        <v>2127</v>
      </c>
      <c r="AE202" s="776" t="s">
        <v>2127</v>
      </c>
      <c r="AF202" s="776" t="s">
        <v>2127</v>
      </c>
      <c r="AG202" s="776" t="s">
        <v>2127</v>
      </c>
      <c r="AH202" s="776" t="s">
        <v>2127</v>
      </c>
      <c r="AI202" s="776" t="s">
        <v>2127</v>
      </c>
      <c r="AJ202" s="776" t="s">
        <v>2127</v>
      </c>
      <c r="AK202" s="776" t="s">
        <v>2127</v>
      </c>
      <c r="AL202" s="776" t="s">
        <v>2127</v>
      </c>
      <c r="AM202" s="776" t="s">
        <v>2127</v>
      </c>
      <c r="AN202" s="776" t="s">
        <v>2127</v>
      </c>
      <c r="AO202" s="776" t="s">
        <v>2127</v>
      </c>
      <c r="AP202" s="776" t="s">
        <v>2127</v>
      </c>
      <c r="AQ202" s="776" t="s">
        <v>2127</v>
      </c>
      <c r="AR202" s="776" t="s">
        <v>2127</v>
      </c>
      <c r="AS202" s="776" t="s">
        <v>2127</v>
      </c>
      <c r="AT202" s="776" t="s">
        <v>2127</v>
      </c>
      <c r="AU202" s="776" t="s">
        <v>2127</v>
      </c>
      <c r="AV202" s="776" t="s">
        <v>2127</v>
      </c>
      <c r="AW202" s="776" t="s">
        <v>2127</v>
      </c>
      <c r="AX202" s="776" t="s">
        <v>2127</v>
      </c>
      <c r="AY202" s="776" t="s">
        <v>2127</v>
      </c>
      <c r="AZ202" s="776" t="s">
        <v>2127</v>
      </c>
      <c r="BA202" s="776" t="s">
        <v>2127</v>
      </c>
      <c r="BB202" s="776" t="s">
        <v>2127</v>
      </c>
      <c r="BC202" s="776" t="s">
        <v>2127</v>
      </c>
      <c r="BD202" s="776" t="s">
        <v>2127</v>
      </c>
      <c r="BE202" s="776" t="s">
        <v>2127</v>
      </c>
      <c r="BF202" s="776" t="s">
        <v>2127</v>
      </c>
      <c r="BG202" s="776" t="s">
        <v>2127</v>
      </c>
      <c r="BH202" s="776" t="s">
        <v>2127</v>
      </c>
      <c r="BI202" s="776" t="s">
        <v>2127</v>
      </c>
      <c r="BJ202" s="776" t="s">
        <v>2127</v>
      </c>
      <c r="BK202" s="776" t="s">
        <v>2127</v>
      </c>
      <c r="BL202" s="776" t="s">
        <v>2127</v>
      </c>
      <c r="BM202" s="776" t="s">
        <v>2127</v>
      </c>
      <c r="BN202" s="776" t="s">
        <v>2127</v>
      </c>
      <c r="BO202" s="776" t="s">
        <v>2127</v>
      </c>
      <c r="BP202" s="776" t="s">
        <v>2127</v>
      </c>
      <c r="BQ202" s="776" t="s">
        <v>2127</v>
      </c>
      <c r="BR202" s="776" t="s">
        <v>2127</v>
      </c>
      <c r="BS202" s="776" t="s">
        <v>2127</v>
      </c>
      <c r="BT202" s="776" t="s">
        <v>2127</v>
      </c>
      <c r="BU202" s="776" t="s">
        <v>2127</v>
      </c>
      <c r="BV202" s="776" t="s">
        <v>2127</v>
      </c>
      <c r="BW202" s="776" t="s">
        <v>2127</v>
      </c>
      <c r="BX202" s="776" t="s">
        <v>2127</v>
      </c>
      <c r="BY202" s="776" t="s">
        <v>2127</v>
      </c>
      <c r="BZ202" s="776" t="s">
        <v>2127</v>
      </c>
      <c r="CA202" s="776" t="s">
        <v>2127</v>
      </c>
      <c r="CB202" s="776" t="s">
        <v>2127</v>
      </c>
      <c r="CC202" s="776" t="s">
        <v>2127</v>
      </c>
      <c r="CD202" s="776" t="s">
        <v>2127</v>
      </c>
      <c r="CE202" s="776" t="s">
        <v>2127</v>
      </c>
      <c r="CF202" s="776" t="s">
        <v>2127</v>
      </c>
      <c r="CG202" s="776" t="s">
        <v>2127</v>
      </c>
      <c r="CH202" s="776" t="s">
        <v>2127</v>
      </c>
      <c r="CI202" s="776" t="s">
        <v>2127</v>
      </c>
      <c r="CJ202" s="776" t="s">
        <v>2127</v>
      </c>
      <c r="CK202" s="776" t="s">
        <v>2127</v>
      </c>
      <c r="CL202" s="776" t="s">
        <v>2127</v>
      </c>
      <c r="CM202" s="776" t="s">
        <v>2127</v>
      </c>
      <c r="CN202" s="776" t="s">
        <v>2127</v>
      </c>
      <c r="CO202" s="776" t="s">
        <v>2127</v>
      </c>
      <c r="CP202" s="776" t="s">
        <v>2127</v>
      </c>
      <c r="CQ202" s="776" t="s">
        <v>2127</v>
      </c>
      <c r="CR202" s="776" t="s">
        <v>2127</v>
      </c>
      <c r="CS202" s="776" t="s">
        <v>2127</v>
      </c>
      <c r="CT202" s="776" t="s">
        <v>2127</v>
      </c>
      <c r="CU202" s="776" t="s">
        <v>2127</v>
      </c>
      <c r="CV202" s="776" t="s">
        <v>2127</v>
      </c>
      <c r="CW202" s="776" t="s">
        <v>2127</v>
      </c>
      <c r="CX202" s="776" t="s">
        <v>2127</v>
      </c>
      <c r="CY202" s="776" t="s">
        <v>2127</v>
      </c>
      <c r="CZ202" s="776" t="s">
        <v>2127</v>
      </c>
      <c r="DA202" s="776" t="s">
        <v>2127</v>
      </c>
      <c r="DB202" s="776" t="s">
        <v>2127</v>
      </c>
      <c r="DC202" s="776" t="s">
        <v>2127</v>
      </c>
      <c r="DD202" s="776" t="s">
        <v>2127</v>
      </c>
      <c r="DE202" s="776" t="s">
        <v>2127</v>
      </c>
      <c r="DF202" s="776" t="s">
        <v>2127</v>
      </c>
      <c r="DG202" s="776" t="s">
        <v>2127</v>
      </c>
      <c r="DH202" s="776" t="s">
        <v>2127</v>
      </c>
      <c r="DI202" s="776" t="s">
        <v>2127</v>
      </c>
      <c r="DJ202" s="776" t="s">
        <v>2127</v>
      </c>
      <c r="DK202" s="776" t="s">
        <v>2127</v>
      </c>
      <c r="DL202" s="776" t="s">
        <v>2127</v>
      </c>
      <c r="DM202" s="776" t="s">
        <v>2127</v>
      </c>
      <c r="DN202" s="776" t="s">
        <v>2127</v>
      </c>
      <c r="DO202" s="776" t="s">
        <v>2127</v>
      </c>
      <c r="DP202" s="776" t="s">
        <v>2127</v>
      </c>
    </row>
    <row r="203" spans="1:120" x14ac:dyDescent="0.2">
      <c r="A203" s="637" t="s">
        <v>2235</v>
      </c>
      <c r="B203" s="772" t="str" cm="1">
        <f t="array" ref="B203">IFERROR(INDEX(Kulturen[HF],_xlfn.AGGREGATE(15,6,(ROW(Kulturen[Auswahl])-7)/(--(SEARCH("x",Kulturen[Auswahl])&gt;0)),ROW()-7),1),"")</f>
        <v>Schwarzwurzel</v>
      </c>
      <c r="C203" s="772" t="str">
        <f>IF(Kulturen[[#This Row],[HF]]=$D$373,IF($C$6=0,0,"x"),IF($C$6=0,"x",Vorauswahl!C202))</f>
        <v>x</v>
      </c>
      <c r="D203" s="938" t="s">
        <v>1968</v>
      </c>
      <c r="E203" s="938" t="s">
        <v>1968</v>
      </c>
      <c r="F203" s="938" t="s">
        <v>876</v>
      </c>
      <c r="G203" s="938">
        <v>12</v>
      </c>
      <c r="H203" s="938">
        <v>8</v>
      </c>
      <c r="I203" s="938">
        <v>3</v>
      </c>
      <c r="J203" s="938">
        <v>12</v>
      </c>
      <c r="K203" s="938">
        <v>9.1999999999999998E-2</v>
      </c>
      <c r="L203" s="938">
        <v>0.09</v>
      </c>
      <c r="M203" s="938">
        <v>0</v>
      </c>
      <c r="N203" s="938">
        <v>0</v>
      </c>
      <c r="O203" s="938">
        <v>1</v>
      </c>
      <c r="P203" s="938">
        <v>0</v>
      </c>
      <c r="Q203" s="938">
        <v>170</v>
      </c>
      <c r="R203" s="938">
        <v>10</v>
      </c>
      <c r="S203" s="938">
        <v>0</v>
      </c>
      <c r="T203" s="938">
        <v>0</v>
      </c>
      <c r="U203" s="938">
        <v>0</v>
      </c>
      <c r="V203" s="938">
        <v>1</v>
      </c>
      <c r="W203" s="776">
        <f>IF(Kulturen[[#This Row],[Berechnungsschema]]=13,3,IF(Kulturen[[#This Row],[Berechnungsschema]]=6,2,1))</f>
        <v>1</v>
      </c>
      <c r="X203" s="776">
        <f>IF(Kulturen[[#This Row],[fruchtartengruppe]]=13,Kulturen[[#This Row],[NBedarfswert]],MAX(0,Kulturen[[#This Row],[NBedarfswert]]-Kulturen[[#This Row],[Ertrag]]*Kulturen[[#This Row],[Nfix]]))</f>
        <v>170</v>
      </c>
      <c r="Y203" s="776" t="s">
        <v>2127</v>
      </c>
      <c r="Z203" s="776" t="s">
        <v>2127</v>
      </c>
      <c r="AA203" s="776" t="s">
        <v>2127</v>
      </c>
      <c r="AB203" s="776" t="s">
        <v>2127</v>
      </c>
      <c r="AC203" s="776" t="s">
        <v>2127</v>
      </c>
      <c r="AD203" s="776" t="s">
        <v>2127</v>
      </c>
      <c r="AE203" s="776" t="s">
        <v>2127</v>
      </c>
      <c r="AF203" s="776" t="s">
        <v>2127</v>
      </c>
      <c r="AG203" s="776" t="s">
        <v>2127</v>
      </c>
      <c r="AH203" s="776" t="s">
        <v>2127</v>
      </c>
      <c r="AI203" s="776" t="s">
        <v>2127</v>
      </c>
      <c r="AJ203" s="776" t="s">
        <v>2127</v>
      </c>
      <c r="AK203" s="776" t="s">
        <v>2127</v>
      </c>
      <c r="AL203" s="776" t="s">
        <v>2127</v>
      </c>
      <c r="AM203" s="776" t="s">
        <v>2127</v>
      </c>
      <c r="AN203" s="776" t="s">
        <v>2127</v>
      </c>
      <c r="AO203" s="776" t="s">
        <v>2127</v>
      </c>
      <c r="AP203" s="776" t="s">
        <v>2127</v>
      </c>
      <c r="AQ203" s="776" t="s">
        <v>2127</v>
      </c>
      <c r="AR203" s="776" t="s">
        <v>2127</v>
      </c>
      <c r="AS203" s="776" t="s">
        <v>2127</v>
      </c>
      <c r="AT203" s="776" t="s">
        <v>2127</v>
      </c>
      <c r="AU203" s="776" t="s">
        <v>2127</v>
      </c>
      <c r="AV203" s="776" t="s">
        <v>2127</v>
      </c>
      <c r="AW203" s="776" t="s">
        <v>2127</v>
      </c>
      <c r="AX203" s="776" t="s">
        <v>2127</v>
      </c>
      <c r="AY203" s="776" t="s">
        <v>2127</v>
      </c>
      <c r="AZ203" s="776" t="s">
        <v>2127</v>
      </c>
      <c r="BA203" s="776" t="s">
        <v>2127</v>
      </c>
      <c r="BB203" s="776" t="s">
        <v>2127</v>
      </c>
      <c r="BC203" s="776" t="s">
        <v>2127</v>
      </c>
      <c r="BD203" s="776" t="s">
        <v>2127</v>
      </c>
      <c r="BE203" s="776" t="s">
        <v>2127</v>
      </c>
      <c r="BF203" s="776" t="s">
        <v>2127</v>
      </c>
      <c r="BG203" s="776" t="s">
        <v>2127</v>
      </c>
      <c r="BH203" s="776" t="s">
        <v>2127</v>
      </c>
      <c r="BI203" s="776" t="s">
        <v>2127</v>
      </c>
      <c r="BJ203" s="776" t="s">
        <v>2127</v>
      </c>
      <c r="BK203" s="776" t="s">
        <v>2127</v>
      </c>
      <c r="BL203" s="776" t="s">
        <v>2127</v>
      </c>
      <c r="BM203" s="776" t="s">
        <v>2127</v>
      </c>
      <c r="BN203" s="776" t="s">
        <v>2127</v>
      </c>
      <c r="BO203" s="776" t="s">
        <v>2127</v>
      </c>
      <c r="BP203" s="776" t="s">
        <v>2127</v>
      </c>
      <c r="BQ203" s="776" t="s">
        <v>2127</v>
      </c>
      <c r="BR203" s="776" t="s">
        <v>2127</v>
      </c>
      <c r="BS203" s="776" t="s">
        <v>2127</v>
      </c>
      <c r="BT203" s="776" t="s">
        <v>2127</v>
      </c>
      <c r="BU203" s="776" t="s">
        <v>2127</v>
      </c>
      <c r="BV203" s="776" t="s">
        <v>2127</v>
      </c>
      <c r="BW203" s="776" t="s">
        <v>2127</v>
      </c>
      <c r="BX203" s="776" t="s">
        <v>2127</v>
      </c>
      <c r="BY203" s="776" t="s">
        <v>2127</v>
      </c>
      <c r="BZ203" s="776" t="s">
        <v>2127</v>
      </c>
      <c r="CA203" s="776" t="s">
        <v>2127</v>
      </c>
      <c r="CB203" s="776" t="s">
        <v>2127</v>
      </c>
      <c r="CC203" s="776" t="s">
        <v>2127</v>
      </c>
      <c r="CD203" s="776" t="s">
        <v>2127</v>
      </c>
      <c r="CE203" s="776" t="s">
        <v>2127</v>
      </c>
      <c r="CF203" s="776" t="s">
        <v>2127</v>
      </c>
      <c r="CG203" s="776" t="s">
        <v>2127</v>
      </c>
      <c r="CH203" s="776" t="s">
        <v>2127</v>
      </c>
      <c r="CI203" s="776" t="s">
        <v>2127</v>
      </c>
      <c r="CJ203" s="776" t="s">
        <v>2127</v>
      </c>
      <c r="CK203" s="776" t="s">
        <v>2127</v>
      </c>
      <c r="CL203" s="776" t="s">
        <v>2127</v>
      </c>
      <c r="CM203" s="776" t="s">
        <v>2127</v>
      </c>
      <c r="CN203" s="776" t="s">
        <v>2127</v>
      </c>
      <c r="CO203" s="776" t="s">
        <v>2127</v>
      </c>
      <c r="CP203" s="776" t="s">
        <v>2127</v>
      </c>
      <c r="CQ203" s="776" t="s">
        <v>2127</v>
      </c>
      <c r="CR203" s="776" t="s">
        <v>2127</v>
      </c>
      <c r="CS203" s="776" t="s">
        <v>2127</v>
      </c>
      <c r="CT203" s="776" t="s">
        <v>2127</v>
      </c>
      <c r="CU203" s="776" t="s">
        <v>2127</v>
      </c>
      <c r="CV203" s="776" t="s">
        <v>2127</v>
      </c>
      <c r="CW203" s="776" t="s">
        <v>2127</v>
      </c>
      <c r="CX203" s="776" t="s">
        <v>2127</v>
      </c>
      <c r="CY203" s="776" t="s">
        <v>2127</v>
      </c>
      <c r="CZ203" s="776" t="s">
        <v>2127</v>
      </c>
      <c r="DA203" s="776" t="s">
        <v>2127</v>
      </c>
      <c r="DB203" s="776" t="s">
        <v>2127</v>
      </c>
      <c r="DC203" s="776" t="s">
        <v>2127</v>
      </c>
      <c r="DD203" s="776" t="s">
        <v>2127</v>
      </c>
      <c r="DE203" s="776" t="s">
        <v>2127</v>
      </c>
      <c r="DF203" s="776" t="s">
        <v>2127</v>
      </c>
      <c r="DG203" s="776" t="s">
        <v>2127</v>
      </c>
      <c r="DH203" s="776" t="s">
        <v>2127</v>
      </c>
      <c r="DI203" s="776" t="s">
        <v>2127</v>
      </c>
      <c r="DJ203" s="776" t="s">
        <v>2127</v>
      </c>
      <c r="DK203" s="776" t="s">
        <v>2127</v>
      </c>
      <c r="DL203" s="776" t="s">
        <v>2127</v>
      </c>
      <c r="DM203" s="776" t="s">
        <v>2127</v>
      </c>
      <c r="DN203" s="776" t="s">
        <v>2127</v>
      </c>
      <c r="DO203" s="776" t="s">
        <v>2127</v>
      </c>
      <c r="DP203" s="776" t="s">
        <v>2127</v>
      </c>
    </row>
    <row r="204" spans="1:120" x14ac:dyDescent="0.2">
      <c r="A204" s="637" t="s">
        <v>2236</v>
      </c>
      <c r="B204" s="772" t="str" cm="1">
        <f t="array" ref="B204">IFERROR(INDEX(Kulturen[HF],_xlfn.AGGREGATE(15,6,(ROW(Kulturen[Auswahl])-7)/(--(SEARCH("x",Kulturen[Auswahl])&gt;0)),ROW()-7),1),"")</f>
        <v>Sellerie, Bund-</v>
      </c>
      <c r="C204" s="772" t="str">
        <f>IF(Kulturen[[#This Row],[HF]]=$D$373,IF($C$6=0,0,"x"),IF($C$6=0,"x",Vorauswahl!C203))</f>
        <v>x</v>
      </c>
      <c r="D204" s="938" t="s">
        <v>1969</v>
      </c>
      <c r="E204" s="938" t="s">
        <v>1969</v>
      </c>
      <c r="F204" s="938" t="s">
        <v>877</v>
      </c>
      <c r="G204" s="938">
        <v>12</v>
      </c>
      <c r="H204" s="938">
        <v>8</v>
      </c>
      <c r="I204" s="938">
        <v>3</v>
      </c>
      <c r="J204" s="938">
        <v>12</v>
      </c>
      <c r="K204" s="938">
        <v>9.1999999999999998E-2</v>
      </c>
      <c r="L204" s="938">
        <v>0.09</v>
      </c>
      <c r="M204" s="938">
        <v>0</v>
      </c>
      <c r="N204" s="938">
        <v>0</v>
      </c>
      <c r="O204" s="938">
        <v>1</v>
      </c>
      <c r="P204" s="938">
        <v>0</v>
      </c>
      <c r="Q204" s="938">
        <v>140</v>
      </c>
      <c r="R204" s="938">
        <v>10</v>
      </c>
      <c r="S204" s="938">
        <v>0</v>
      </c>
      <c r="T204" s="938">
        <v>0</v>
      </c>
      <c r="U204" s="938">
        <v>0</v>
      </c>
      <c r="V204" s="938">
        <v>1</v>
      </c>
      <c r="W204" s="776">
        <f>IF(Kulturen[[#This Row],[Berechnungsschema]]=13,3,IF(Kulturen[[#This Row],[Berechnungsschema]]=6,2,1))</f>
        <v>1</v>
      </c>
      <c r="X204" s="776">
        <f>IF(Kulturen[[#This Row],[fruchtartengruppe]]=13,Kulturen[[#This Row],[NBedarfswert]],MAX(0,Kulturen[[#This Row],[NBedarfswert]]-Kulturen[[#This Row],[Ertrag]]*Kulturen[[#This Row],[Nfix]]))</f>
        <v>140</v>
      </c>
      <c r="Y204" s="776" t="s">
        <v>2127</v>
      </c>
      <c r="Z204" s="776" t="s">
        <v>2127</v>
      </c>
      <c r="AA204" s="776" t="s">
        <v>2127</v>
      </c>
      <c r="AB204" s="776" t="s">
        <v>2127</v>
      </c>
      <c r="AC204" s="776" t="s">
        <v>2127</v>
      </c>
      <c r="AD204" s="776" t="s">
        <v>2127</v>
      </c>
      <c r="AE204" s="776" t="s">
        <v>2127</v>
      </c>
      <c r="AF204" s="776" t="s">
        <v>2127</v>
      </c>
      <c r="AG204" s="776" t="s">
        <v>2127</v>
      </c>
      <c r="AH204" s="776" t="s">
        <v>2127</v>
      </c>
      <c r="AI204" s="776" t="s">
        <v>2127</v>
      </c>
      <c r="AJ204" s="776" t="s">
        <v>2127</v>
      </c>
      <c r="AK204" s="776" t="s">
        <v>2127</v>
      </c>
      <c r="AL204" s="776" t="s">
        <v>2127</v>
      </c>
      <c r="AM204" s="776" t="s">
        <v>2127</v>
      </c>
      <c r="AN204" s="776" t="s">
        <v>2127</v>
      </c>
      <c r="AO204" s="776" t="s">
        <v>2127</v>
      </c>
      <c r="AP204" s="776" t="s">
        <v>2127</v>
      </c>
      <c r="AQ204" s="776" t="s">
        <v>2127</v>
      </c>
      <c r="AR204" s="776" t="s">
        <v>2127</v>
      </c>
      <c r="AS204" s="776" t="s">
        <v>2127</v>
      </c>
      <c r="AT204" s="776" t="s">
        <v>2127</v>
      </c>
      <c r="AU204" s="776" t="s">
        <v>2127</v>
      </c>
      <c r="AV204" s="776" t="s">
        <v>2127</v>
      </c>
      <c r="AW204" s="776" t="s">
        <v>2127</v>
      </c>
      <c r="AX204" s="776" t="s">
        <v>2127</v>
      </c>
      <c r="AY204" s="776" t="s">
        <v>2127</v>
      </c>
      <c r="AZ204" s="776" t="s">
        <v>2127</v>
      </c>
      <c r="BA204" s="776" t="s">
        <v>2127</v>
      </c>
      <c r="BB204" s="776" t="s">
        <v>2127</v>
      </c>
      <c r="BC204" s="776" t="s">
        <v>2127</v>
      </c>
      <c r="BD204" s="776" t="s">
        <v>2127</v>
      </c>
      <c r="BE204" s="776" t="s">
        <v>2127</v>
      </c>
      <c r="BF204" s="776" t="s">
        <v>2127</v>
      </c>
      <c r="BG204" s="776" t="s">
        <v>2127</v>
      </c>
      <c r="BH204" s="776" t="s">
        <v>2127</v>
      </c>
      <c r="BI204" s="776" t="s">
        <v>2127</v>
      </c>
      <c r="BJ204" s="776" t="s">
        <v>2127</v>
      </c>
      <c r="BK204" s="776" t="s">
        <v>2127</v>
      </c>
      <c r="BL204" s="776" t="s">
        <v>2127</v>
      </c>
      <c r="BM204" s="776" t="s">
        <v>2127</v>
      </c>
      <c r="BN204" s="776" t="s">
        <v>2127</v>
      </c>
      <c r="BO204" s="776" t="s">
        <v>2127</v>
      </c>
      <c r="BP204" s="776" t="s">
        <v>2127</v>
      </c>
      <c r="BQ204" s="776" t="s">
        <v>2127</v>
      </c>
      <c r="BR204" s="776" t="s">
        <v>2127</v>
      </c>
      <c r="BS204" s="776" t="s">
        <v>2127</v>
      </c>
      <c r="BT204" s="776" t="s">
        <v>2127</v>
      </c>
      <c r="BU204" s="776" t="s">
        <v>2127</v>
      </c>
      <c r="BV204" s="776" t="s">
        <v>2127</v>
      </c>
      <c r="BW204" s="776" t="s">
        <v>2127</v>
      </c>
      <c r="BX204" s="776" t="s">
        <v>2127</v>
      </c>
      <c r="BY204" s="776" t="s">
        <v>2127</v>
      </c>
      <c r="BZ204" s="776" t="s">
        <v>2127</v>
      </c>
      <c r="CA204" s="776" t="s">
        <v>2127</v>
      </c>
      <c r="CB204" s="776" t="s">
        <v>2127</v>
      </c>
      <c r="CC204" s="776" t="s">
        <v>2127</v>
      </c>
      <c r="CD204" s="776" t="s">
        <v>2127</v>
      </c>
      <c r="CE204" s="776" t="s">
        <v>2127</v>
      </c>
      <c r="CF204" s="776" t="s">
        <v>2127</v>
      </c>
      <c r="CG204" s="776" t="s">
        <v>2127</v>
      </c>
      <c r="CH204" s="776" t="s">
        <v>2127</v>
      </c>
      <c r="CI204" s="776" t="s">
        <v>2127</v>
      </c>
      <c r="CJ204" s="776" t="s">
        <v>2127</v>
      </c>
      <c r="CK204" s="776" t="s">
        <v>2127</v>
      </c>
      <c r="CL204" s="776" t="s">
        <v>2127</v>
      </c>
      <c r="CM204" s="776" t="s">
        <v>2127</v>
      </c>
      <c r="CN204" s="776" t="s">
        <v>2127</v>
      </c>
      <c r="CO204" s="776" t="s">
        <v>2127</v>
      </c>
      <c r="CP204" s="776" t="s">
        <v>2127</v>
      </c>
      <c r="CQ204" s="776" t="s">
        <v>2127</v>
      </c>
      <c r="CR204" s="776" t="s">
        <v>2127</v>
      </c>
      <c r="CS204" s="776" t="s">
        <v>2127</v>
      </c>
      <c r="CT204" s="776" t="s">
        <v>2127</v>
      </c>
      <c r="CU204" s="776" t="s">
        <v>2127</v>
      </c>
      <c r="CV204" s="776" t="s">
        <v>2127</v>
      </c>
      <c r="CW204" s="776" t="s">
        <v>2127</v>
      </c>
      <c r="CX204" s="776" t="s">
        <v>2127</v>
      </c>
      <c r="CY204" s="776" t="s">
        <v>2127</v>
      </c>
      <c r="CZ204" s="776" t="s">
        <v>2127</v>
      </c>
      <c r="DA204" s="776" t="s">
        <v>2127</v>
      </c>
      <c r="DB204" s="776" t="s">
        <v>2127</v>
      </c>
      <c r="DC204" s="776" t="s">
        <v>2127</v>
      </c>
      <c r="DD204" s="776" t="s">
        <v>2127</v>
      </c>
      <c r="DE204" s="776" t="s">
        <v>2127</v>
      </c>
      <c r="DF204" s="776" t="s">
        <v>2127</v>
      </c>
      <c r="DG204" s="776" t="s">
        <v>2127</v>
      </c>
      <c r="DH204" s="776" t="s">
        <v>2127</v>
      </c>
      <c r="DI204" s="776" t="s">
        <v>2127</v>
      </c>
      <c r="DJ204" s="776" t="s">
        <v>2127</v>
      </c>
      <c r="DK204" s="776" t="s">
        <v>2127</v>
      </c>
      <c r="DL204" s="776" t="s">
        <v>2127</v>
      </c>
      <c r="DM204" s="776" t="s">
        <v>2127</v>
      </c>
      <c r="DN204" s="776" t="s">
        <v>2127</v>
      </c>
      <c r="DO204" s="776" t="s">
        <v>2127</v>
      </c>
      <c r="DP204" s="776" t="s">
        <v>2127</v>
      </c>
    </row>
    <row r="205" spans="1:120" x14ac:dyDescent="0.2">
      <c r="A205" s="637" t="s">
        <v>2237</v>
      </c>
      <c r="B205" s="772" t="str" cm="1">
        <f t="array" ref="B205">IFERROR(INDEX(Kulturen[HF],_xlfn.AGGREGATE(15,6,(ROW(Kulturen[Auswahl])-7)/(--(SEARCH("x",Kulturen[Auswahl])&gt;0)),ROW()-7),1),"")</f>
        <v>Sellerie, Knollen-</v>
      </c>
      <c r="C205" s="772" t="str">
        <f>IF(Kulturen[[#This Row],[HF]]=$D$373,IF($C$6=0,0,"x"),IF($C$6=0,"x",Vorauswahl!C204))</f>
        <v>x</v>
      </c>
      <c r="D205" s="938" t="s">
        <v>788</v>
      </c>
      <c r="E205" s="938" t="s">
        <v>788</v>
      </c>
      <c r="F205" s="938" t="s">
        <v>878</v>
      </c>
      <c r="G205" s="938">
        <v>12</v>
      </c>
      <c r="H205" s="938">
        <v>8</v>
      </c>
      <c r="I205" s="938">
        <v>3</v>
      </c>
      <c r="J205" s="938">
        <v>12</v>
      </c>
      <c r="K205" s="938">
        <v>9.1999999999999998E-2</v>
      </c>
      <c r="L205" s="938">
        <v>0.09</v>
      </c>
      <c r="M205" s="938">
        <v>450</v>
      </c>
      <c r="N205" s="938">
        <v>0</v>
      </c>
      <c r="O205" s="938">
        <v>1</v>
      </c>
      <c r="P205" s="938">
        <v>0</v>
      </c>
      <c r="Q205" s="938">
        <v>140</v>
      </c>
      <c r="R205" s="938">
        <v>90</v>
      </c>
      <c r="S205" s="938">
        <v>20</v>
      </c>
      <c r="T205" s="938">
        <v>20</v>
      </c>
      <c r="U205" s="938">
        <v>0</v>
      </c>
      <c r="V205" s="938">
        <v>1</v>
      </c>
      <c r="W205" s="776">
        <f>IF(Kulturen[[#This Row],[Berechnungsschema]]=13,3,IF(Kulturen[[#This Row],[Berechnungsschema]]=6,2,1))</f>
        <v>1</v>
      </c>
      <c r="X205" s="776">
        <f>IF(Kulturen[[#This Row],[fruchtartengruppe]]=13,Kulturen[[#This Row],[NBedarfswert]],MAX(0,Kulturen[[#This Row],[NBedarfswert]]-Kulturen[[#This Row],[Ertrag]]*Kulturen[[#This Row],[Nfix]]))</f>
        <v>140</v>
      </c>
      <c r="Y205" s="776" t="s">
        <v>2127</v>
      </c>
      <c r="Z205" s="776" t="s">
        <v>2127</v>
      </c>
      <c r="AA205" s="776" t="s">
        <v>2127</v>
      </c>
      <c r="AB205" s="776" t="s">
        <v>2127</v>
      </c>
      <c r="AC205" s="776" t="s">
        <v>2127</v>
      </c>
      <c r="AD205" s="776" t="s">
        <v>2127</v>
      </c>
      <c r="AE205" s="776" t="s">
        <v>2127</v>
      </c>
      <c r="AF205" s="776" t="s">
        <v>2127</v>
      </c>
      <c r="AG205" s="776" t="s">
        <v>2127</v>
      </c>
      <c r="AH205" s="776" t="s">
        <v>2127</v>
      </c>
      <c r="AI205" s="776" t="s">
        <v>2127</v>
      </c>
      <c r="AJ205" s="776" t="s">
        <v>2127</v>
      </c>
      <c r="AK205" s="776" t="s">
        <v>2127</v>
      </c>
      <c r="AL205" s="776" t="s">
        <v>2127</v>
      </c>
      <c r="AM205" s="776" t="s">
        <v>2127</v>
      </c>
      <c r="AN205" s="776" t="s">
        <v>2127</v>
      </c>
      <c r="AO205" s="776" t="s">
        <v>2127</v>
      </c>
      <c r="AP205" s="776" t="s">
        <v>2127</v>
      </c>
      <c r="AQ205" s="776" t="s">
        <v>2127</v>
      </c>
      <c r="AR205" s="776" t="s">
        <v>2127</v>
      </c>
      <c r="AS205" s="776" t="s">
        <v>2127</v>
      </c>
      <c r="AT205" s="776" t="s">
        <v>2127</v>
      </c>
      <c r="AU205" s="776" t="s">
        <v>2127</v>
      </c>
      <c r="AV205" s="776" t="s">
        <v>2127</v>
      </c>
      <c r="AW205" s="776" t="s">
        <v>2127</v>
      </c>
      <c r="AX205" s="776" t="s">
        <v>2127</v>
      </c>
      <c r="AY205" s="776" t="s">
        <v>2127</v>
      </c>
      <c r="AZ205" s="776" t="s">
        <v>2127</v>
      </c>
      <c r="BA205" s="776" t="s">
        <v>2127</v>
      </c>
      <c r="BB205" s="776" t="s">
        <v>2127</v>
      </c>
      <c r="BC205" s="776" t="s">
        <v>2127</v>
      </c>
      <c r="BD205" s="776" t="s">
        <v>2127</v>
      </c>
      <c r="BE205" s="776" t="s">
        <v>2127</v>
      </c>
      <c r="BF205" s="776" t="s">
        <v>2127</v>
      </c>
      <c r="BG205" s="776" t="s">
        <v>2127</v>
      </c>
      <c r="BH205" s="776" t="s">
        <v>2127</v>
      </c>
      <c r="BI205" s="776" t="s">
        <v>2127</v>
      </c>
      <c r="BJ205" s="776" t="s">
        <v>2127</v>
      </c>
      <c r="BK205" s="776" t="s">
        <v>2127</v>
      </c>
      <c r="BL205" s="776" t="s">
        <v>2127</v>
      </c>
      <c r="BM205" s="776" t="s">
        <v>2127</v>
      </c>
      <c r="BN205" s="776" t="s">
        <v>2127</v>
      </c>
      <c r="BO205" s="776" t="s">
        <v>2127</v>
      </c>
      <c r="BP205" s="776" t="s">
        <v>2127</v>
      </c>
      <c r="BQ205" s="776" t="s">
        <v>2127</v>
      </c>
      <c r="BR205" s="776" t="s">
        <v>2127</v>
      </c>
      <c r="BS205" s="776" t="s">
        <v>2127</v>
      </c>
      <c r="BT205" s="776" t="s">
        <v>2127</v>
      </c>
      <c r="BU205" s="776" t="s">
        <v>2127</v>
      </c>
      <c r="BV205" s="776" t="s">
        <v>2127</v>
      </c>
      <c r="BW205" s="776" t="s">
        <v>2127</v>
      </c>
      <c r="BX205" s="776" t="s">
        <v>2127</v>
      </c>
      <c r="BY205" s="776" t="s">
        <v>2127</v>
      </c>
      <c r="BZ205" s="776" t="s">
        <v>2127</v>
      </c>
      <c r="CA205" s="776" t="s">
        <v>2127</v>
      </c>
      <c r="CB205" s="776" t="s">
        <v>2127</v>
      </c>
      <c r="CC205" s="776" t="s">
        <v>2127</v>
      </c>
      <c r="CD205" s="776" t="s">
        <v>2127</v>
      </c>
      <c r="CE205" s="776" t="s">
        <v>2127</v>
      </c>
      <c r="CF205" s="776" t="s">
        <v>2127</v>
      </c>
      <c r="CG205" s="776" t="s">
        <v>2127</v>
      </c>
      <c r="CH205" s="776" t="s">
        <v>2127</v>
      </c>
      <c r="CI205" s="776" t="s">
        <v>2127</v>
      </c>
      <c r="CJ205" s="776" t="s">
        <v>2127</v>
      </c>
      <c r="CK205" s="776" t="s">
        <v>2127</v>
      </c>
      <c r="CL205" s="776" t="s">
        <v>2127</v>
      </c>
      <c r="CM205" s="776" t="s">
        <v>2127</v>
      </c>
      <c r="CN205" s="776" t="s">
        <v>2127</v>
      </c>
      <c r="CO205" s="776" t="s">
        <v>2127</v>
      </c>
      <c r="CP205" s="776" t="s">
        <v>2127</v>
      </c>
      <c r="CQ205" s="776" t="s">
        <v>2127</v>
      </c>
      <c r="CR205" s="776" t="s">
        <v>2127</v>
      </c>
      <c r="CS205" s="776" t="s">
        <v>2127</v>
      </c>
      <c r="CT205" s="776" t="s">
        <v>2127</v>
      </c>
      <c r="CU205" s="776" t="s">
        <v>2127</v>
      </c>
      <c r="CV205" s="776" t="s">
        <v>2127</v>
      </c>
      <c r="CW205" s="776" t="s">
        <v>2127</v>
      </c>
      <c r="CX205" s="776" t="s">
        <v>2127</v>
      </c>
      <c r="CY205" s="776" t="s">
        <v>2127</v>
      </c>
      <c r="CZ205" s="776" t="s">
        <v>2127</v>
      </c>
      <c r="DA205" s="776" t="s">
        <v>2127</v>
      </c>
      <c r="DB205" s="776" t="s">
        <v>2127</v>
      </c>
      <c r="DC205" s="776" t="s">
        <v>2127</v>
      </c>
      <c r="DD205" s="776" t="s">
        <v>2127</v>
      </c>
      <c r="DE205" s="776" t="s">
        <v>2127</v>
      </c>
      <c r="DF205" s="776" t="s">
        <v>2127</v>
      </c>
      <c r="DG205" s="776" t="s">
        <v>2127</v>
      </c>
      <c r="DH205" s="776" t="s">
        <v>2127</v>
      </c>
      <c r="DI205" s="776" t="s">
        <v>2127</v>
      </c>
      <c r="DJ205" s="776" t="s">
        <v>2127</v>
      </c>
      <c r="DK205" s="776" t="s">
        <v>2127</v>
      </c>
      <c r="DL205" s="776" t="s">
        <v>2127</v>
      </c>
      <c r="DM205" s="776" t="s">
        <v>2127</v>
      </c>
      <c r="DN205" s="776" t="s">
        <v>2127</v>
      </c>
      <c r="DO205" s="776" t="s">
        <v>2127</v>
      </c>
      <c r="DP205" s="776" t="s">
        <v>2127</v>
      </c>
    </row>
    <row r="206" spans="1:120" x14ac:dyDescent="0.2">
      <c r="A206" s="637" t="s">
        <v>2238</v>
      </c>
      <c r="B206" s="772" t="str" cm="1">
        <f t="array" ref="B206">IFERROR(INDEX(Kulturen[HF],_xlfn.AGGREGATE(15,6,(ROW(Kulturen[Auswahl])-7)/(--(SEARCH("x",Kulturen[Auswahl])&gt;0)),ROW()-7),1),"")</f>
        <v>Sellerie, Stangen-</v>
      </c>
      <c r="C206" s="772" t="str">
        <f>IF(Kulturen[[#This Row],[HF]]=$D$373,IF($C$6=0,0,"x"),IF($C$6=0,"x",Vorauswahl!C205))</f>
        <v>x</v>
      </c>
      <c r="D206" s="938" t="s">
        <v>789</v>
      </c>
      <c r="E206" s="938" t="s">
        <v>789</v>
      </c>
      <c r="F206" s="938" t="s">
        <v>879</v>
      </c>
      <c r="G206" s="938">
        <v>12</v>
      </c>
      <c r="H206" s="938">
        <v>8</v>
      </c>
      <c r="I206" s="938">
        <v>1</v>
      </c>
      <c r="J206" s="938">
        <v>12</v>
      </c>
      <c r="K206" s="938">
        <v>9.1999999999999998E-2</v>
      </c>
      <c r="L206" s="938">
        <v>0.09</v>
      </c>
      <c r="M206" s="938">
        <v>300</v>
      </c>
      <c r="N206" s="938">
        <v>0</v>
      </c>
      <c r="O206" s="938">
        <v>1</v>
      </c>
      <c r="P206" s="938">
        <v>0</v>
      </c>
      <c r="Q206" s="938">
        <v>150</v>
      </c>
      <c r="R206" s="938">
        <v>60</v>
      </c>
      <c r="S206" s="938">
        <v>20</v>
      </c>
      <c r="T206" s="938">
        <v>20</v>
      </c>
      <c r="U206" s="938">
        <v>0</v>
      </c>
      <c r="V206" s="938">
        <v>1</v>
      </c>
      <c r="W206" s="776">
        <f>IF(Kulturen[[#This Row],[Berechnungsschema]]=13,3,IF(Kulturen[[#This Row],[Berechnungsschema]]=6,2,1))</f>
        <v>1</v>
      </c>
      <c r="X206" s="776">
        <f>IF(Kulturen[[#This Row],[fruchtartengruppe]]=13,Kulturen[[#This Row],[NBedarfswert]],MAX(0,Kulturen[[#This Row],[NBedarfswert]]-Kulturen[[#This Row],[Ertrag]]*Kulturen[[#This Row],[Nfix]]))</f>
        <v>150</v>
      </c>
      <c r="Y206" s="776" t="s">
        <v>2127</v>
      </c>
      <c r="Z206" s="776" t="s">
        <v>2127</v>
      </c>
      <c r="AA206" s="776" t="s">
        <v>2127</v>
      </c>
      <c r="AB206" s="776" t="s">
        <v>2127</v>
      </c>
      <c r="AC206" s="776" t="s">
        <v>2127</v>
      </c>
      <c r="AD206" s="776" t="s">
        <v>2127</v>
      </c>
      <c r="AE206" s="776" t="s">
        <v>2127</v>
      </c>
      <c r="AF206" s="776" t="s">
        <v>2127</v>
      </c>
      <c r="AG206" s="776" t="s">
        <v>2127</v>
      </c>
      <c r="AH206" s="776" t="s">
        <v>2127</v>
      </c>
      <c r="AI206" s="776" t="s">
        <v>2127</v>
      </c>
      <c r="AJ206" s="776" t="s">
        <v>2127</v>
      </c>
      <c r="AK206" s="776" t="s">
        <v>2127</v>
      </c>
      <c r="AL206" s="776" t="s">
        <v>2127</v>
      </c>
      <c r="AM206" s="776" t="s">
        <v>2127</v>
      </c>
      <c r="AN206" s="776" t="s">
        <v>2127</v>
      </c>
      <c r="AO206" s="776" t="s">
        <v>2127</v>
      </c>
      <c r="AP206" s="776" t="s">
        <v>2127</v>
      </c>
      <c r="AQ206" s="776" t="s">
        <v>2127</v>
      </c>
      <c r="AR206" s="776" t="s">
        <v>2127</v>
      </c>
      <c r="AS206" s="776" t="s">
        <v>2127</v>
      </c>
      <c r="AT206" s="776" t="s">
        <v>2127</v>
      </c>
      <c r="AU206" s="776" t="s">
        <v>2127</v>
      </c>
      <c r="AV206" s="776" t="s">
        <v>2127</v>
      </c>
      <c r="AW206" s="776" t="s">
        <v>2127</v>
      </c>
      <c r="AX206" s="776" t="s">
        <v>2127</v>
      </c>
      <c r="AY206" s="776" t="s">
        <v>2127</v>
      </c>
      <c r="AZ206" s="776" t="s">
        <v>2127</v>
      </c>
      <c r="BA206" s="776" t="s">
        <v>2127</v>
      </c>
      <c r="BB206" s="776" t="s">
        <v>2127</v>
      </c>
      <c r="BC206" s="776" t="s">
        <v>2127</v>
      </c>
      <c r="BD206" s="776" t="s">
        <v>2127</v>
      </c>
      <c r="BE206" s="776" t="s">
        <v>2127</v>
      </c>
      <c r="BF206" s="776" t="s">
        <v>2127</v>
      </c>
      <c r="BG206" s="776" t="s">
        <v>2127</v>
      </c>
      <c r="BH206" s="776" t="s">
        <v>2127</v>
      </c>
      <c r="BI206" s="776" t="s">
        <v>2127</v>
      </c>
      <c r="BJ206" s="776" t="s">
        <v>2127</v>
      </c>
      <c r="BK206" s="776" t="s">
        <v>2127</v>
      </c>
      <c r="BL206" s="776" t="s">
        <v>2127</v>
      </c>
      <c r="BM206" s="776" t="s">
        <v>2127</v>
      </c>
      <c r="BN206" s="776" t="s">
        <v>2127</v>
      </c>
      <c r="BO206" s="776" t="s">
        <v>2127</v>
      </c>
      <c r="BP206" s="776" t="s">
        <v>2127</v>
      </c>
      <c r="BQ206" s="776" t="s">
        <v>2127</v>
      </c>
      <c r="BR206" s="776" t="s">
        <v>2127</v>
      </c>
      <c r="BS206" s="776" t="s">
        <v>2127</v>
      </c>
      <c r="BT206" s="776" t="s">
        <v>2127</v>
      </c>
      <c r="BU206" s="776" t="s">
        <v>2127</v>
      </c>
      <c r="BV206" s="776" t="s">
        <v>2127</v>
      </c>
      <c r="BW206" s="776" t="s">
        <v>2127</v>
      </c>
      <c r="BX206" s="776" t="s">
        <v>2127</v>
      </c>
      <c r="BY206" s="776" t="s">
        <v>2127</v>
      </c>
      <c r="BZ206" s="776" t="s">
        <v>2127</v>
      </c>
      <c r="CA206" s="776" t="s">
        <v>2127</v>
      </c>
      <c r="CB206" s="776" t="s">
        <v>2127</v>
      </c>
      <c r="CC206" s="776" t="s">
        <v>2127</v>
      </c>
      <c r="CD206" s="776" t="s">
        <v>2127</v>
      </c>
      <c r="CE206" s="776" t="s">
        <v>2127</v>
      </c>
      <c r="CF206" s="776" t="s">
        <v>2127</v>
      </c>
      <c r="CG206" s="776" t="s">
        <v>2127</v>
      </c>
      <c r="CH206" s="776" t="s">
        <v>2127</v>
      </c>
      <c r="CI206" s="776" t="s">
        <v>2127</v>
      </c>
      <c r="CJ206" s="776" t="s">
        <v>2127</v>
      </c>
      <c r="CK206" s="776" t="s">
        <v>2127</v>
      </c>
      <c r="CL206" s="776" t="s">
        <v>2127</v>
      </c>
      <c r="CM206" s="776" t="s">
        <v>2127</v>
      </c>
      <c r="CN206" s="776" t="s">
        <v>2127</v>
      </c>
      <c r="CO206" s="776" t="s">
        <v>2127</v>
      </c>
      <c r="CP206" s="776" t="s">
        <v>2127</v>
      </c>
      <c r="CQ206" s="776" t="s">
        <v>2127</v>
      </c>
      <c r="CR206" s="776" t="s">
        <v>2127</v>
      </c>
      <c r="CS206" s="776" t="s">
        <v>2127</v>
      </c>
      <c r="CT206" s="776" t="s">
        <v>2127</v>
      </c>
      <c r="CU206" s="776" t="s">
        <v>2127</v>
      </c>
      <c r="CV206" s="776" t="s">
        <v>2127</v>
      </c>
      <c r="CW206" s="776" t="s">
        <v>2127</v>
      </c>
      <c r="CX206" s="776" t="s">
        <v>2127</v>
      </c>
      <c r="CY206" s="776" t="s">
        <v>2127</v>
      </c>
      <c r="CZ206" s="776" t="s">
        <v>2127</v>
      </c>
      <c r="DA206" s="776" t="s">
        <v>2127</v>
      </c>
      <c r="DB206" s="776" t="s">
        <v>2127</v>
      </c>
      <c r="DC206" s="776" t="s">
        <v>2127</v>
      </c>
      <c r="DD206" s="776" t="s">
        <v>2127</v>
      </c>
      <c r="DE206" s="776" t="s">
        <v>2127</v>
      </c>
      <c r="DF206" s="776" t="s">
        <v>2127</v>
      </c>
      <c r="DG206" s="776" t="s">
        <v>2127</v>
      </c>
      <c r="DH206" s="776" t="s">
        <v>2127</v>
      </c>
      <c r="DI206" s="776" t="s">
        <v>2127</v>
      </c>
      <c r="DJ206" s="776" t="s">
        <v>2127</v>
      </c>
      <c r="DK206" s="776" t="s">
        <v>2127</v>
      </c>
      <c r="DL206" s="776" t="s">
        <v>2127</v>
      </c>
      <c r="DM206" s="776" t="s">
        <v>2127</v>
      </c>
      <c r="DN206" s="776" t="s">
        <v>2127</v>
      </c>
      <c r="DO206" s="776" t="s">
        <v>2127</v>
      </c>
      <c r="DP206" s="776" t="s">
        <v>2127</v>
      </c>
    </row>
    <row r="207" spans="1:120" x14ac:dyDescent="0.2">
      <c r="A207" s="637" t="s">
        <v>2239</v>
      </c>
      <c r="B207" s="772" t="str" cm="1">
        <f t="array" ref="B207">IFERROR(INDEX(Kulturen[HF],_xlfn.AGGREGATE(15,6,(ROW(Kulturen[Auswahl])-7)/(--(SEARCH("x",Kulturen[Auswahl])&gt;0)),ROW()-7),1),"")</f>
        <v>Spargel 1. Standjahr</v>
      </c>
      <c r="C207" s="772" t="str">
        <f>IF(Kulturen[[#This Row],[HF]]=$D$373,IF($C$6=0,0,"x"),IF($C$6=0,"x",Vorauswahl!C206))</f>
        <v>x</v>
      </c>
      <c r="D207" s="938" t="s">
        <v>790</v>
      </c>
      <c r="E207" s="938" t="s">
        <v>790</v>
      </c>
      <c r="F207" s="938" t="s">
        <v>880</v>
      </c>
      <c r="G207" s="938">
        <v>12</v>
      </c>
      <c r="H207" s="938">
        <v>8</v>
      </c>
      <c r="I207" s="938">
        <v>1</v>
      </c>
      <c r="J207" s="938">
        <v>12</v>
      </c>
      <c r="K207" s="938">
        <v>0.19500000000000001</v>
      </c>
      <c r="L207" s="938">
        <v>0.2</v>
      </c>
      <c r="M207" s="938">
        <v>250</v>
      </c>
      <c r="N207" s="938">
        <v>0</v>
      </c>
      <c r="O207" s="938">
        <v>1</v>
      </c>
      <c r="P207" s="938">
        <v>0</v>
      </c>
      <c r="Q207" s="938">
        <v>310</v>
      </c>
      <c r="R207" s="938">
        <v>50</v>
      </c>
      <c r="S207" s="938">
        <v>40</v>
      </c>
      <c r="T207" s="938">
        <v>40</v>
      </c>
      <c r="U207" s="938">
        <v>10</v>
      </c>
      <c r="V207" s="938">
        <v>1</v>
      </c>
      <c r="W207" s="776">
        <f>IF(Kulturen[[#This Row],[Berechnungsschema]]=13,3,IF(Kulturen[[#This Row],[Berechnungsschema]]=6,2,1))</f>
        <v>1</v>
      </c>
      <c r="X207" s="776">
        <f>IF(Kulturen[[#This Row],[fruchtartengruppe]]=13,Kulturen[[#This Row],[NBedarfswert]],MAX(0,Kulturen[[#This Row],[NBedarfswert]]-Kulturen[[#This Row],[Ertrag]]*Kulturen[[#This Row],[Nfix]]))</f>
        <v>310</v>
      </c>
      <c r="Y207" s="776" t="s">
        <v>2127</v>
      </c>
      <c r="Z207" s="776" t="s">
        <v>2127</v>
      </c>
      <c r="AA207" s="776" t="s">
        <v>2127</v>
      </c>
      <c r="AB207" s="776" t="s">
        <v>2127</v>
      </c>
      <c r="AC207" s="776" t="s">
        <v>2127</v>
      </c>
      <c r="AD207" s="776" t="s">
        <v>2127</v>
      </c>
      <c r="AE207" s="776" t="s">
        <v>2127</v>
      </c>
      <c r="AF207" s="776" t="s">
        <v>2127</v>
      </c>
      <c r="AG207" s="776" t="s">
        <v>2127</v>
      </c>
      <c r="AH207" s="776" t="s">
        <v>2127</v>
      </c>
      <c r="AI207" s="776" t="s">
        <v>2127</v>
      </c>
      <c r="AJ207" s="776" t="s">
        <v>2127</v>
      </c>
      <c r="AK207" s="776" t="s">
        <v>2127</v>
      </c>
      <c r="AL207" s="776" t="s">
        <v>2127</v>
      </c>
      <c r="AM207" s="776" t="s">
        <v>2127</v>
      </c>
      <c r="AN207" s="776" t="s">
        <v>2127</v>
      </c>
      <c r="AO207" s="776" t="s">
        <v>2127</v>
      </c>
      <c r="AP207" s="776" t="s">
        <v>2127</v>
      </c>
      <c r="AQ207" s="776" t="s">
        <v>2127</v>
      </c>
      <c r="AR207" s="776" t="s">
        <v>2127</v>
      </c>
      <c r="AS207" s="776" t="s">
        <v>2127</v>
      </c>
      <c r="AT207" s="776" t="s">
        <v>2127</v>
      </c>
      <c r="AU207" s="776" t="s">
        <v>2127</v>
      </c>
      <c r="AV207" s="776" t="s">
        <v>2127</v>
      </c>
      <c r="AW207" s="776" t="s">
        <v>2127</v>
      </c>
      <c r="AX207" s="776" t="s">
        <v>2127</v>
      </c>
      <c r="AY207" s="776" t="s">
        <v>2127</v>
      </c>
      <c r="AZ207" s="776" t="s">
        <v>2127</v>
      </c>
      <c r="BA207" s="776" t="s">
        <v>2127</v>
      </c>
      <c r="BB207" s="776" t="s">
        <v>2127</v>
      </c>
      <c r="BC207" s="776" t="s">
        <v>2127</v>
      </c>
      <c r="BD207" s="776" t="s">
        <v>2127</v>
      </c>
      <c r="BE207" s="776" t="s">
        <v>2127</v>
      </c>
      <c r="BF207" s="776" t="s">
        <v>2127</v>
      </c>
      <c r="BG207" s="776" t="s">
        <v>2127</v>
      </c>
      <c r="BH207" s="776" t="s">
        <v>2127</v>
      </c>
      <c r="BI207" s="776" t="s">
        <v>2127</v>
      </c>
      <c r="BJ207" s="776" t="s">
        <v>2127</v>
      </c>
      <c r="BK207" s="776" t="s">
        <v>2127</v>
      </c>
      <c r="BL207" s="776" t="s">
        <v>2127</v>
      </c>
      <c r="BM207" s="776" t="s">
        <v>2127</v>
      </c>
      <c r="BN207" s="776" t="s">
        <v>2127</v>
      </c>
      <c r="BO207" s="776" t="s">
        <v>2127</v>
      </c>
      <c r="BP207" s="776" t="s">
        <v>2127</v>
      </c>
      <c r="BQ207" s="776" t="s">
        <v>2127</v>
      </c>
      <c r="BR207" s="776" t="s">
        <v>2127</v>
      </c>
      <c r="BS207" s="776" t="s">
        <v>2127</v>
      </c>
      <c r="BT207" s="776" t="s">
        <v>2127</v>
      </c>
      <c r="BU207" s="776" t="s">
        <v>2127</v>
      </c>
      <c r="BV207" s="776" t="s">
        <v>2127</v>
      </c>
      <c r="BW207" s="776" t="s">
        <v>2127</v>
      </c>
      <c r="BX207" s="776" t="s">
        <v>2127</v>
      </c>
      <c r="BY207" s="776" t="s">
        <v>2127</v>
      </c>
      <c r="BZ207" s="776" t="s">
        <v>2127</v>
      </c>
      <c r="CA207" s="776" t="s">
        <v>2127</v>
      </c>
      <c r="CB207" s="776" t="s">
        <v>2127</v>
      </c>
      <c r="CC207" s="776" t="s">
        <v>2127</v>
      </c>
      <c r="CD207" s="776" t="s">
        <v>2127</v>
      </c>
      <c r="CE207" s="776" t="s">
        <v>2127</v>
      </c>
      <c r="CF207" s="776" t="s">
        <v>2127</v>
      </c>
      <c r="CG207" s="776" t="s">
        <v>2127</v>
      </c>
      <c r="CH207" s="776" t="s">
        <v>2127</v>
      </c>
      <c r="CI207" s="776" t="s">
        <v>2127</v>
      </c>
      <c r="CJ207" s="776" t="s">
        <v>2127</v>
      </c>
      <c r="CK207" s="776" t="s">
        <v>2127</v>
      </c>
      <c r="CL207" s="776" t="s">
        <v>2127</v>
      </c>
      <c r="CM207" s="776" t="s">
        <v>2127</v>
      </c>
      <c r="CN207" s="776" t="s">
        <v>2127</v>
      </c>
      <c r="CO207" s="776" t="s">
        <v>2127</v>
      </c>
      <c r="CP207" s="776" t="s">
        <v>2127</v>
      </c>
      <c r="CQ207" s="776" t="s">
        <v>2127</v>
      </c>
      <c r="CR207" s="776" t="s">
        <v>2127</v>
      </c>
      <c r="CS207" s="776" t="s">
        <v>2127</v>
      </c>
      <c r="CT207" s="776" t="s">
        <v>2127</v>
      </c>
      <c r="CU207" s="776" t="s">
        <v>2127</v>
      </c>
      <c r="CV207" s="776" t="s">
        <v>2127</v>
      </c>
      <c r="CW207" s="776" t="s">
        <v>2127</v>
      </c>
      <c r="CX207" s="776" t="s">
        <v>2127</v>
      </c>
      <c r="CY207" s="776" t="s">
        <v>2127</v>
      </c>
      <c r="CZ207" s="776" t="s">
        <v>2127</v>
      </c>
      <c r="DA207" s="776" t="s">
        <v>2127</v>
      </c>
      <c r="DB207" s="776" t="s">
        <v>2127</v>
      </c>
      <c r="DC207" s="776" t="s">
        <v>2127</v>
      </c>
      <c r="DD207" s="776" t="s">
        <v>2127</v>
      </c>
      <c r="DE207" s="776" t="s">
        <v>2127</v>
      </c>
      <c r="DF207" s="776" t="s">
        <v>2127</v>
      </c>
      <c r="DG207" s="776" t="s">
        <v>2127</v>
      </c>
      <c r="DH207" s="776" t="s">
        <v>2127</v>
      </c>
      <c r="DI207" s="776" t="s">
        <v>2127</v>
      </c>
      <c r="DJ207" s="776" t="s">
        <v>2127</v>
      </c>
      <c r="DK207" s="776" t="s">
        <v>2127</v>
      </c>
      <c r="DL207" s="776" t="s">
        <v>2127</v>
      </c>
      <c r="DM207" s="776" t="s">
        <v>2127</v>
      </c>
      <c r="DN207" s="776" t="s">
        <v>2127</v>
      </c>
      <c r="DO207" s="776" t="s">
        <v>2127</v>
      </c>
      <c r="DP207" s="776" t="s">
        <v>2127</v>
      </c>
    </row>
    <row r="208" spans="1:120" x14ac:dyDescent="0.2">
      <c r="A208" s="637" t="s">
        <v>2240</v>
      </c>
      <c r="B208" s="772" t="str" cm="1">
        <f t="array" ref="B208">IFERROR(INDEX(Kulturen[HF],_xlfn.AGGREGATE(15,6,(ROW(Kulturen[Auswahl])-7)/(--(SEARCH("x",Kulturen[Auswahl])&gt;0)),ROW()-7),1),"")</f>
        <v>Spargel 2. Standjahr</v>
      </c>
      <c r="C208" s="772" t="str">
        <f>IF(Kulturen[[#This Row],[HF]]=$D$373,IF($C$6=0,0,"x"),IF($C$6=0,"x",Vorauswahl!C207))</f>
        <v>x</v>
      </c>
      <c r="D208" s="938" t="s">
        <v>791</v>
      </c>
      <c r="E208" s="938" t="s">
        <v>791</v>
      </c>
      <c r="F208" s="938" t="s">
        <v>881</v>
      </c>
      <c r="G208" s="938">
        <v>12</v>
      </c>
      <c r="H208" s="938">
        <v>8</v>
      </c>
      <c r="I208" s="938">
        <v>1</v>
      </c>
      <c r="J208" s="938">
        <v>12</v>
      </c>
      <c r="K208" s="938">
        <v>0.115</v>
      </c>
      <c r="L208" s="938">
        <v>0.12</v>
      </c>
      <c r="M208" s="938">
        <v>600</v>
      </c>
      <c r="N208" s="938">
        <v>0</v>
      </c>
      <c r="O208" s="938">
        <v>1</v>
      </c>
      <c r="P208" s="938">
        <v>0</v>
      </c>
      <c r="Q208" s="938">
        <v>250</v>
      </c>
      <c r="R208" s="938">
        <v>120</v>
      </c>
      <c r="S208" s="938">
        <v>20</v>
      </c>
      <c r="T208" s="938">
        <v>20</v>
      </c>
      <c r="U208" s="938">
        <v>0</v>
      </c>
      <c r="V208" s="938">
        <v>1</v>
      </c>
      <c r="W208" s="776">
        <f>IF(Kulturen[[#This Row],[Berechnungsschema]]=13,3,IF(Kulturen[[#This Row],[Berechnungsschema]]=6,2,1))</f>
        <v>1</v>
      </c>
      <c r="X208" s="776">
        <f>IF(Kulturen[[#This Row],[fruchtartengruppe]]=13,Kulturen[[#This Row],[NBedarfswert]],MAX(0,Kulturen[[#This Row],[NBedarfswert]]-Kulturen[[#This Row],[Ertrag]]*Kulturen[[#This Row],[Nfix]]))</f>
        <v>250</v>
      </c>
      <c r="Y208" s="776" t="s">
        <v>2127</v>
      </c>
      <c r="Z208" s="776" t="s">
        <v>2127</v>
      </c>
      <c r="AA208" s="776" t="s">
        <v>2127</v>
      </c>
      <c r="AB208" s="776" t="s">
        <v>2127</v>
      </c>
      <c r="AC208" s="776" t="s">
        <v>2127</v>
      </c>
      <c r="AD208" s="776" t="s">
        <v>2127</v>
      </c>
      <c r="AE208" s="776" t="s">
        <v>2127</v>
      </c>
      <c r="AF208" s="776" t="s">
        <v>2127</v>
      </c>
      <c r="AG208" s="776" t="s">
        <v>2127</v>
      </c>
      <c r="AH208" s="776" t="s">
        <v>2127</v>
      </c>
      <c r="AI208" s="776" t="s">
        <v>2127</v>
      </c>
      <c r="AJ208" s="776" t="s">
        <v>2127</v>
      </c>
      <c r="AK208" s="776" t="s">
        <v>2127</v>
      </c>
      <c r="AL208" s="776" t="s">
        <v>2127</v>
      </c>
      <c r="AM208" s="776" t="s">
        <v>2127</v>
      </c>
      <c r="AN208" s="776" t="s">
        <v>2127</v>
      </c>
      <c r="AO208" s="776" t="s">
        <v>2127</v>
      </c>
      <c r="AP208" s="776" t="s">
        <v>2127</v>
      </c>
      <c r="AQ208" s="776" t="s">
        <v>2127</v>
      </c>
      <c r="AR208" s="776" t="s">
        <v>2127</v>
      </c>
      <c r="AS208" s="776" t="s">
        <v>2127</v>
      </c>
      <c r="AT208" s="776" t="s">
        <v>2127</v>
      </c>
      <c r="AU208" s="776" t="s">
        <v>2127</v>
      </c>
      <c r="AV208" s="776" t="s">
        <v>2127</v>
      </c>
      <c r="AW208" s="776" t="s">
        <v>2127</v>
      </c>
      <c r="AX208" s="776" t="s">
        <v>2127</v>
      </c>
      <c r="AY208" s="776" t="s">
        <v>2127</v>
      </c>
      <c r="AZ208" s="776" t="s">
        <v>2127</v>
      </c>
      <c r="BA208" s="776" t="s">
        <v>2127</v>
      </c>
      <c r="BB208" s="776" t="s">
        <v>2127</v>
      </c>
      <c r="BC208" s="776" t="s">
        <v>2127</v>
      </c>
      <c r="BD208" s="776" t="s">
        <v>2127</v>
      </c>
      <c r="BE208" s="776" t="s">
        <v>2127</v>
      </c>
      <c r="BF208" s="776" t="s">
        <v>2127</v>
      </c>
      <c r="BG208" s="776" t="s">
        <v>2127</v>
      </c>
      <c r="BH208" s="776" t="s">
        <v>2127</v>
      </c>
      <c r="BI208" s="776" t="s">
        <v>2127</v>
      </c>
      <c r="BJ208" s="776" t="s">
        <v>2127</v>
      </c>
      <c r="BK208" s="776" t="s">
        <v>2127</v>
      </c>
      <c r="BL208" s="776" t="s">
        <v>2127</v>
      </c>
      <c r="BM208" s="776" t="s">
        <v>2127</v>
      </c>
      <c r="BN208" s="776" t="s">
        <v>2127</v>
      </c>
      <c r="BO208" s="776" t="s">
        <v>2127</v>
      </c>
      <c r="BP208" s="776" t="s">
        <v>2127</v>
      </c>
      <c r="BQ208" s="776" t="s">
        <v>2127</v>
      </c>
      <c r="BR208" s="776" t="s">
        <v>2127</v>
      </c>
      <c r="BS208" s="776" t="s">
        <v>2127</v>
      </c>
      <c r="BT208" s="776" t="s">
        <v>2127</v>
      </c>
      <c r="BU208" s="776" t="s">
        <v>2127</v>
      </c>
      <c r="BV208" s="776" t="s">
        <v>2127</v>
      </c>
      <c r="BW208" s="776" t="s">
        <v>2127</v>
      </c>
      <c r="BX208" s="776" t="s">
        <v>2127</v>
      </c>
      <c r="BY208" s="776" t="s">
        <v>2127</v>
      </c>
      <c r="BZ208" s="776" t="s">
        <v>2127</v>
      </c>
      <c r="CA208" s="776" t="s">
        <v>2127</v>
      </c>
      <c r="CB208" s="776" t="s">
        <v>2127</v>
      </c>
      <c r="CC208" s="776" t="s">
        <v>2127</v>
      </c>
      <c r="CD208" s="776" t="s">
        <v>2127</v>
      </c>
      <c r="CE208" s="776" t="s">
        <v>2127</v>
      </c>
      <c r="CF208" s="776" t="s">
        <v>2127</v>
      </c>
      <c r="CG208" s="776" t="s">
        <v>2127</v>
      </c>
      <c r="CH208" s="776" t="s">
        <v>2127</v>
      </c>
      <c r="CI208" s="776" t="s">
        <v>2127</v>
      </c>
      <c r="CJ208" s="776" t="s">
        <v>2127</v>
      </c>
      <c r="CK208" s="776" t="s">
        <v>2127</v>
      </c>
      <c r="CL208" s="776" t="s">
        <v>2127</v>
      </c>
      <c r="CM208" s="776" t="s">
        <v>2127</v>
      </c>
      <c r="CN208" s="776" t="s">
        <v>2127</v>
      </c>
      <c r="CO208" s="776" t="s">
        <v>2127</v>
      </c>
      <c r="CP208" s="776" t="s">
        <v>2127</v>
      </c>
      <c r="CQ208" s="776" t="s">
        <v>2127</v>
      </c>
      <c r="CR208" s="776" t="s">
        <v>2127</v>
      </c>
      <c r="CS208" s="776" t="s">
        <v>2127</v>
      </c>
      <c r="CT208" s="776" t="s">
        <v>2127</v>
      </c>
      <c r="CU208" s="776" t="s">
        <v>2127</v>
      </c>
      <c r="CV208" s="776" t="s">
        <v>2127</v>
      </c>
      <c r="CW208" s="776" t="s">
        <v>2127</v>
      </c>
      <c r="CX208" s="776" t="s">
        <v>2127</v>
      </c>
      <c r="CY208" s="776" t="s">
        <v>2127</v>
      </c>
      <c r="CZ208" s="776" t="s">
        <v>2127</v>
      </c>
      <c r="DA208" s="776" t="s">
        <v>2127</v>
      </c>
      <c r="DB208" s="776" t="s">
        <v>2127</v>
      </c>
      <c r="DC208" s="776" t="s">
        <v>2127</v>
      </c>
      <c r="DD208" s="776" t="s">
        <v>2127</v>
      </c>
      <c r="DE208" s="776" t="s">
        <v>2127</v>
      </c>
      <c r="DF208" s="776" t="s">
        <v>2127</v>
      </c>
      <c r="DG208" s="776" t="s">
        <v>2127</v>
      </c>
      <c r="DH208" s="776" t="s">
        <v>2127</v>
      </c>
      <c r="DI208" s="776" t="s">
        <v>2127</v>
      </c>
      <c r="DJ208" s="776" t="s">
        <v>2127</v>
      </c>
      <c r="DK208" s="776" t="s">
        <v>2127</v>
      </c>
      <c r="DL208" s="776" t="s">
        <v>2127</v>
      </c>
      <c r="DM208" s="776" t="s">
        <v>2127</v>
      </c>
      <c r="DN208" s="776" t="s">
        <v>2127</v>
      </c>
      <c r="DO208" s="776" t="s">
        <v>2127</v>
      </c>
      <c r="DP208" s="776" t="s">
        <v>2127</v>
      </c>
    </row>
    <row r="209" spans="1:120" x14ac:dyDescent="0.2">
      <c r="A209" s="637" t="s">
        <v>2241</v>
      </c>
      <c r="B209" s="772" t="str" cm="1">
        <f t="array" ref="B209">IFERROR(INDEX(Kulturen[HF],_xlfn.AGGREGATE(15,6,(ROW(Kulturen[Auswahl])-7)/(--(SEARCH("x",Kulturen[Auswahl])&gt;0)),ROW()-7),1),"")</f>
        <v>Spargel 3. Standjahr</v>
      </c>
      <c r="C209" s="772" t="str">
        <f>IF(Kulturen[[#This Row],[HF]]=$D$373,IF($C$6=0,0,"x"),IF($C$6=0,"x",Vorauswahl!C208))</f>
        <v>x</v>
      </c>
      <c r="D209" s="938" t="s">
        <v>792</v>
      </c>
      <c r="E209" s="938" t="s">
        <v>792</v>
      </c>
      <c r="F209" s="938" t="s">
        <v>882</v>
      </c>
      <c r="G209" s="938">
        <v>12</v>
      </c>
      <c r="H209" s="938">
        <v>8</v>
      </c>
      <c r="I209" s="938">
        <v>3</v>
      </c>
      <c r="J209" s="938">
        <v>12</v>
      </c>
      <c r="K209" s="938">
        <v>0.08</v>
      </c>
      <c r="L209" s="938">
        <v>0.08</v>
      </c>
      <c r="M209" s="938">
        <v>600</v>
      </c>
      <c r="N209" s="938">
        <v>0</v>
      </c>
      <c r="O209" s="938">
        <v>1</v>
      </c>
      <c r="P209" s="938">
        <v>0</v>
      </c>
      <c r="Q209" s="938">
        <v>260</v>
      </c>
      <c r="R209" s="938">
        <v>120</v>
      </c>
      <c r="S209" s="938">
        <v>40</v>
      </c>
      <c r="T209" s="938">
        <v>40</v>
      </c>
      <c r="U209" s="938">
        <v>10</v>
      </c>
      <c r="V209" s="938">
        <v>1</v>
      </c>
      <c r="W209" s="776">
        <f>IF(Kulturen[[#This Row],[Berechnungsschema]]=13,3,IF(Kulturen[[#This Row],[Berechnungsschema]]=6,2,1))</f>
        <v>1</v>
      </c>
      <c r="X209" s="776">
        <f>IF(Kulturen[[#This Row],[fruchtartengruppe]]=13,Kulturen[[#This Row],[NBedarfswert]],MAX(0,Kulturen[[#This Row],[NBedarfswert]]-Kulturen[[#This Row],[Ertrag]]*Kulturen[[#This Row],[Nfix]]))</f>
        <v>260</v>
      </c>
      <c r="Y209" s="776" t="s">
        <v>2127</v>
      </c>
      <c r="Z209" s="776" t="s">
        <v>2127</v>
      </c>
      <c r="AA209" s="776" t="s">
        <v>2127</v>
      </c>
      <c r="AB209" s="776" t="s">
        <v>2127</v>
      </c>
      <c r="AC209" s="776" t="s">
        <v>2127</v>
      </c>
      <c r="AD209" s="776" t="s">
        <v>2127</v>
      </c>
      <c r="AE209" s="776" t="s">
        <v>2127</v>
      </c>
      <c r="AF209" s="776" t="s">
        <v>2127</v>
      </c>
      <c r="AG209" s="776" t="s">
        <v>2127</v>
      </c>
      <c r="AH209" s="776" t="s">
        <v>2127</v>
      </c>
      <c r="AI209" s="776" t="s">
        <v>2127</v>
      </c>
      <c r="AJ209" s="776" t="s">
        <v>2127</v>
      </c>
      <c r="AK209" s="776" t="s">
        <v>2127</v>
      </c>
      <c r="AL209" s="776" t="s">
        <v>2127</v>
      </c>
      <c r="AM209" s="776" t="s">
        <v>2127</v>
      </c>
      <c r="AN209" s="776" t="s">
        <v>2127</v>
      </c>
      <c r="AO209" s="776" t="s">
        <v>2127</v>
      </c>
      <c r="AP209" s="776" t="s">
        <v>2127</v>
      </c>
      <c r="AQ209" s="776" t="s">
        <v>2127</v>
      </c>
      <c r="AR209" s="776" t="s">
        <v>2127</v>
      </c>
      <c r="AS209" s="776" t="s">
        <v>2127</v>
      </c>
      <c r="AT209" s="776" t="s">
        <v>2127</v>
      </c>
      <c r="AU209" s="776" t="s">
        <v>2127</v>
      </c>
      <c r="AV209" s="776" t="s">
        <v>2127</v>
      </c>
      <c r="AW209" s="776" t="s">
        <v>2127</v>
      </c>
      <c r="AX209" s="776" t="s">
        <v>2127</v>
      </c>
      <c r="AY209" s="776" t="s">
        <v>2127</v>
      </c>
      <c r="AZ209" s="776" t="s">
        <v>2127</v>
      </c>
      <c r="BA209" s="776" t="s">
        <v>2127</v>
      </c>
      <c r="BB209" s="776" t="s">
        <v>2127</v>
      </c>
      <c r="BC209" s="776" t="s">
        <v>2127</v>
      </c>
      <c r="BD209" s="776" t="s">
        <v>2127</v>
      </c>
      <c r="BE209" s="776" t="s">
        <v>2127</v>
      </c>
      <c r="BF209" s="776" t="s">
        <v>2127</v>
      </c>
      <c r="BG209" s="776" t="s">
        <v>2127</v>
      </c>
      <c r="BH209" s="776" t="s">
        <v>2127</v>
      </c>
      <c r="BI209" s="776" t="s">
        <v>2127</v>
      </c>
      <c r="BJ209" s="776" t="s">
        <v>2127</v>
      </c>
      <c r="BK209" s="776" t="s">
        <v>2127</v>
      </c>
      <c r="BL209" s="776" t="s">
        <v>2127</v>
      </c>
      <c r="BM209" s="776" t="s">
        <v>2127</v>
      </c>
      <c r="BN209" s="776" t="s">
        <v>2127</v>
      </c>
      <c r="BO209" s="776" t="s">
        <v>2127</v>
      </c>
      <c r="BP209" s="776" t="s">
        <v>2127</v>
      </c>
      <c r="BQ209" s="776" t="s">
        <v>2127</v>
      </c>
      <c r="BR209" s="776" t="s">
        <v>2127</v>
      </c>
      <c r="BS209" s="776" t="s">
        <v>2127</v>
      </c>
      <c r="BT209" s="776" t="s">
        <v>2127</v>
      </c>
      <c r="BU209" s="776" t="s">
        <v>2127</v>
      </c>
      <c r="BV209" s="776" t="s">
        <v>2127</v>
      </c>
      <c r="BW209" s="776" t="s">
        <v>2127</v>
      </c>
      <c r="BX209" s="776" t="s">
        <v>2127</v>
      </c>
      <c r="BY209" s="776" t="s">
        <v>2127</v>
      </c>
      <c r="BZ209" s="776" t="s">
        <v>2127</v>
      </c>
      <c r="CA209" s="776" t="s">
        <v>2127</v>
      </c>
      <c r="CB209" s="776" t="s">
        <v>2127</v>
      </c>
      <c r="CC209" s="776" t="s">
        <v>2127</v>
      </c>
      <c r="CD209" s="776" t="s">
        <v>2127</v>
      </c>
      <c r="CE209" s="776" t="s">
        <v>2127</v>
      </c>
      <c r="CF209" s="776" t="s">
        <v>2127</v>
      </c>
      <c r="CG209" s="776" t="s">
        <v>2127</v>
      </c>
      <c r="CH209" s="776" t="s">
        <v>2127</v>
      </c>
      <c r="CI209" s="776" t="s">
        <v>2127</v>
      </c>
      <c r="CJ209" s="776" t="s">
        <v>2127</v>
      </c>
      <c r="CK209" s="776" t="s">
        <v>2127</v>
      </c>
      <c r="CL209" s="776" t="s">
        <v>2127</v>
      </c>
      <c r="CM209" s="776" t="s">
        <v>2127</v>
      </c>
      <c r="CN209" s="776" t="s">
        <v>2127</v>
      </c>
      <c r="CO209" s="776" t="s">
        <v>2127</v>
      </c>
      <c r="CP209" s="776" t="s">
        <v>2127</v>
      </c>
      <c r="CQ209" s="776" t="s">
        <v>2127</v>
      </c>
      <c r="CR209" s="776" t="s">
        <v>2127</v>
      </c>
      <c r="CS209" s="776" t="s">
        <v>2127</v>
      </c>
      <c r="CT209" s="776" t="s">
        <v>2127</v>
      </c>
      <c r="CU209" s="776" t="s">
        <v>2127</v>
      </c>
      <c r="CV209" s="776" t="s">
        <v>2127</v>
      </c>
      <c r="CW209" s="776" t="s">
        <v>2127</v>
      </c>
      <c r="CX209" s="776" t="s">
        <v>2127</v>
      </c>
      <c r="CY209" s="776" t="s">
        <v>2127</v>
      </c>
      <c r="CZ209" s="776" t="s">
        <v>2127</v>
      </c>
      <c r="DA209" s="776" t="s">
        <v>2127</v>
      </c>
      <c r="DB209" s="776" t="s">
        <v>2127</v>
      </c>
      <c r="DC209" s="776" t="s">
        <v>2127</v>
      </c>
      <c r="DD209" s="776" t="s">
        <v>2127</v>
      </c>
      <c r="DE209" s="776" t="s">
        <v>2127</v>
      </c>
      <c r="DF209" s="776" t="s">
        <v>2127</v>
      </c>
      <c r="DG209" s="776" t="s">
        <v>2127</v>
      </c>
      <c r="DH209" s="776" t="s">
        <v>2127</v>
      </c>
      <c r="DI209" s="776" t="s">
        <v>2127</v>
      </c>
      <c r="DJ209" s="776" t="s">
        <v>2127</v>
      </c>
      <c r="DK209" s="776" t="s">
        <v>2127</v>
      </c>
      <c r="DL209" s="776" t="s">
        <v>2127</v>
      </c>
      <c r="DM209" s="776" t="s">
        <v>2127</v>
      </c>
      <c r="DN209" s="776" t="s">
        <v>2127</v>
      </c>
      <c r="DO209" s="776" t="s">
        <v>2127</v>
      </c>
      <c r="DP209" s="776" t="s">
        <v>2127</v>
      </c>
    </row>
    <row r="210" spans="1:120" x14ac:dyDescent="0.2">
      <c r="A210" s="637" t="s">
        <v>2242</v>
      </c>
      <c r="B210" s="772" t="str" cm="1">
        <f t="array" ref="B210">IFERROR(INDEX(Kulturen[HF],_xlfn.AGGREGATE(15,6,(ROW(Kulturen[Auswahl])-7)/(--(SEARCH("x",Kulturen[Auswahl])&gt;0)),ROW()-7),1),"")</f>
        <v>Spargel ab 4. Standjahr</v>
      </c>
      <c r="C210" s="772" t="str">
        <f>IF(Kulturen[[#This Row],[HF]]=$D$373,IF($C$6=0,0,"x"),IF($C$6=0,"x",Vorauswahl!C209))</f>
        <v>x</v>
      </c>
      <c r="D210" s="938" t="s">
        <v>793</v>
      </c>
      <c r="E210" s="938" t="s">
        <v>793</v>
      </c>
      <c r="F210" s="938" t="s">
        <v>883</v>
      </c>
      <c r="G210" s="938">
        <v>12</v>
      </c>
      <c r="H210" s="938">
        <v>8</v>
      </c>
      <c r="I210" s="938">
        <v>3</v>
      </c>
      <c r="J210" s="938">
        <v>12</v>
      </c>
      <c r="K210" s="938">
        <v>0.10299999999999999</v>
      </c>
      <c r="L210" s="938">
        <v>0.1</v>
      </c>
      <c r="M210" s="938">
        <v>175</v>
      </c>
      <c r="N210" s="938">
        <v>0</v>
      </c>
      <c r="O210" s="938">
        <v>2</v>
      </c>
      <c r="P210" s="938">
        <v>0</v>
      </c>
      <c r="Q210" s="938">
        <v>150</v>
      </c>
      <c r="R210" s="938">
        <v>35</v>
      </c>
      <c r="S210" s="938">
        <v>20</v>
      </c>
      <c r="T210" s="938">
        <v>20</v>
      </c>
      <c r="U210" s="938">
        <v>0</v>
      </c>
      <c r="V210" s="938">
        <v>1</v>
      </c>
      <c r="W210" s="776">
        <f>IF(Kulturen[[#This Row],[Berechnungsschema]]=13,3,IF(Kulturen[[#This Row],[Berechnungsschema]]=6,2,1))</f>
        <v>1</v>
      </c>
      <c r="X210" s="776">
        <f>IF(Kulturen[[#This Row],[fruchtartengruppe]]=13,Kulturen[[#This Row],[NBedarfswert]],MAX(0,Kulturen[[#This Row],[NBedarfswert]]-Kulturen[[#This Row],[Ertrag]]*Kulturen[[#This Row],[Nfix]]))</f>
        <v>150</v>
      </c>
      <c r="Y210" s="776" t="s">
        <v>2127</v>
      </c>
      <c r="Z210" s="776" t="s">
        <v>2127</v>
      </c>
      <c r="AA210" s="776" t="s">
        <v>2127</v>
      </c>
      <c r="AB210" s="776" t="s">
        <v>2127</v>
      </c>
      <c r="AC210" s="776" t="s">
        <v>2127</v>
      </c>
      <c r="AD210" s="776" t="s">
        <v>2127</v>
      </c>
      <c r="AE210" s="776" t="s">
        <v>2127</v>
      </c>
      <c r="AF210" s="776" t="s">
        <v>2127</v>
      </c>
      <c r="AG210" s="776" t="s">
        <v>2127</v>
      </c>
      <c r="AH210" s="776" t="s">
        <v>2127</v>
      </c>
      <c r="AI210" s="776" t="s">
        <v>2127</v>
      </c>
      <c r="AJ210" s="776" t="s">
        <v>2127</v>
      </c>
      <c r="AK210" s="776" t="s">
        <v>2127</v>
      </c>
      <c r="AL210" s="776" t="s">
        <v>2127</v>
      </c>
      <c r="AM210" s="776" t="s">
        <v>2127</v>
      </c>
      <c r="AN210" s="776" t="s">
        <v>2127</v>
      </c>
      <c r="AO210" s="776" t="s">
        <v>2127</v>
      </c>
      <c r="AP210" s="776" t="s">
        <v>2127</v>
      </c>
      <c r="AQ210" s="776" t="s">
        <v>2127</v>
      </c>
      <c r="AR210" s="776" t="s">
        <v>2127</v>
      </c>
      <c r="AS210" s="776" t="s">
        <v>2127</v>
      </c>
      <c r="AT210" s="776" t="s">
        <v>2127</v>
      </c>
      <c r="AU210" s="776" t="s">
        <v>2127</v>
      </c>
      <c r="AV210" s="776" t="s">
        <v>2127</v>
      </c>
      <c r="AW210" s="776" t="s">
        <v>2127</v>
      </c>
      <c r="AX210" s="776" t="s">
        <v>2127</v>
      </c>
      <c r="AY210" s="776" t="s">
        <v>2127</v>
      </c>
      <c r="AZ210" s="776" t="s">
        <v>2127</v>
      </c>
      <c r="BA210" s="776" t="s">
        <v>2127</v>
      </c>
      <c r="BB210" s="776" t="s">
        <v>2127</v>
      </c>
      <c r="BC210" s="776" t="s">
        <v>2127</v>
      </c>
      <c r="BD210" s="776" t="s">
        <v>2127</v>
      </c>
      <c r="BE210" s="776" t="s">
        <v>2127</v>
      </c>
      <c r="BF210" s="776" t="s">
        <v>2127</v>
      </c>
      <c r="BG210" s="776" t="s">
        <v>2127</v>
      </c>
      <c r="BH210" s="776" t="s">
        <v>2127</v>
      </c>
      <c r="BI210" s="776" t="s">
        <v>2127</v>
      </c>
      <c r="BJ210" s="776" t="s">
        <v>2127</v>
      </c>
      <c r="BK210" s="776" t="s">
        <v>2127</v>
      </c>
      <c r="BL210" s="776" t="s">
        <v>2127</v>
      </c>
      <c r="BM210" s="776" t="s">
        <v>2127</v>
      </c>
      <c r="BN210" s="776" t="s">
        <v>2127</v>
      </c>
      <c r="BO210" s="776" t="s">
        <v>2127</v>
      </c>
      <c r="BP210" s="776" t="s">
        <v>2127</v>
      </c>
      <c r="BQ210" s="776" t="s">
        <v>2127</v>
      </c>
      <c r="BR210" s="776" t="s">
        <v>2127</v>
      </c>
      <c r="BS210" s="776" t="s">
        <v>2127</v>
      </c>
      <c r="BT210" s="776" t="s">
        <v>2127</v>
      </c>
      <c r="BU210" s="776" t="s">
        <v>2127</v>
      </c>
      <c r="BV210" s="776" t="s">
        <v>2127</v>
      </c>
      <c r="BW210" s="776" t="s">
        <v>2127</v>
      </c>
      <c r="BX210" s="776" t="s">
        <v>2127</v>
      </c>
      <c r="BY210" s="776" t="s">
        <v>2127</v>
      </c>
      <c r="BZ210" s="776" t="s">
        <v>2127</v>
      </c>
      <c r="CA210" s="776" t="s">
        <v>2127</v>
      </c>
      <c r="CB210" s="776" t="s">
        <v>2127</v>
      </c>
      <c r="CC210" s="776" t="s">
        <v>2127</v>
      </c>
      <c r="CD210" s="776" t="s">
        <v>2127</v>
      </c>
      <c r="CE210" s="776" t="s">
        <v>2127</v>
      </c>
      <c r="CF210" s="776" t="s">
        <v>2127</v>
      </c>
      <c r="CG210" s="776" t="s">
        <v>2127</v>
      </c>
      <c r="CH210" s="776" t="s">
        <v>2127</v>
      </c>
      <c r="CI210" s="776" t="s">
        <v>2127</v>
      </c>
      <c r="CJ210" s="776" t="s">
        <v>2127</v>
      </c>
      <c r="CK210" s="776" t="s">
        <v>2127</v>
      </c>
      <c r="CL210" s="776" t="s">
        <v>2127</v>
      </c>
      <c r="CM210" s="776" t="s">
        <v>2127</v>
      </c>
      <c r="CN210" s="776" t="s">
        <v>2127</v>
      </c>
      <c r="CO210" s="776" t="s">
        <v>2127</v>
      </c>
      <c r="CP210" s="776" t="s">
        <v>2127</v>
      </c>
      <c r="CQ210" s="776" t="s">
        <v>2127</v>
      </c>
      <c r="CR210" s="776" t="s">
        <v>2127</v>
      </c>
      <c r="CS210" s="776" t="s">
        <v>2127</v>
      </c>
      <c r="CT210" s="776" t="s">
        <v>2127</v>
      </c>
      <c r="CU210" s="776" t="s">
        <v>2127</v>
      </c>
      <c r="CV210" s="776" t="s">
        <v>2127</v>
      </c>
      <c r="CW210" s="776" t="s">
        <v>2127</v>
      </c>
      <c r="CX210" s="776" t="s">
        <v>2127</v>
      </c>
      <c r="CY210" s="776" t="s">
        <v>2127</v>
      </c>
      <c r="CZ210" s="776" t="s">
        <v>2127</v>
      </c>
      <c r="DA210" s="776" t="s">
        <v>2127</v>
      </c>
      <c r="DB210" s="776" t="s">
        <v>2127</v>
      </c>
      <c r="DC210" s="776" t="s">
        <v>2127</v>
      </c>
      <c r="DD210" s="776" t="s">
        <v>2127</v>
      </c>
      <c r="DE210" s="776" t="s">
        <v>2127</v>
      </c>
      <c r="DF210" s="776" t="s">
        <v>2127</v>
      </c>
      <c r="DG210" s="776" t="s">
        <v>2127</v>
      </c>
      <c r="DH210" s="776" t="s">
        <v>2127</v>
      </c>
      <c r="DI210" s="776" t="s">
        <v>2127</v>
      </c>
      <c r="DJ210" s="776" t="s">
        <v>2127</v>
      </c>
      <c r="DK210" s="776" t="s">
        <v>2127</v>
      </c>
      <c r="DL210" s="776" t="s">
        <v>2127</v>
      </c>
      <c r="DM210" s="776" t="s">
        <v>2127</v>
      </c>
      <c r="DN210" s="776" t="s">
        <v>2127</v>
      </c>
      <c r="DO210" s="776" t="s">
        <v>2127</v>
      </c>
      <c r="DP210" s="776" t="s">
        <v>2127</v>
      </c>
    </row>
    <row r="211" spans="1:120" x14ac:dyDescent="0.2">
      <c r="A211" s="637" t="s">
        <v>2243</v>
      </c>
      <c r="B211" s="772" t="str" cm="1">
        <f t="array" ref="B211">IFERROR(INDEX(Kulturen[HF],_xlfn.AGGREGATE(15,6,(ROW(Kulturen[Auswahl])-7)/(--(SEARCH("x",Kulturen[Auswahl])&gt;0)),ROW()-7),1),"")</f>
        <v>Spinat, Blatt-, Frischmarkt, Baby</v>
      </c>
      <c r="C211" s="772" t="str">
        <f>IF(Kulturen[[#This Row],[HF]]=$D$373,IF($C$6=0,0,"x"),IF($C$6=0,"x",Vorauswahl!C210))</f>
        <v>x</v>
      </c>
      <c r="D211" s="938" t="s">
        <v>794</v>
      </c>
      <c r="E211" s="938" t="s">
        <v>794</v>
      </c>
      <c r="F211" s="938" t="s">
        <v>884</v>
      </c>
      <c r="G211" s="938">
        <v>12</v>
      </c>
      <c r="H211" s="938">
        <v>8</v>
      </c>
      <c r="I211" s="938">
        <v>3</v>
      </c>
      <c r="J211" s="938">
        <v>12</v>
      </c>
      <c r="K211" s="938">
        <v>0.10299999999999999</v>
      </c>
      <c r="L211" s="938">
        <v>0.1</v>
      </c>
      <c r="M211" s="938">
        <v>300</v>
      </c>
      <c r="N211" s="938">
        <v>0</v>
      </c>
      <c r="O211" s="938">
        <v>2</v>
      </c>
      <c r="P211" s="938">
        <v>0</v>
      </c>
      <c r="Q211" s="938">
        <v>210</v>
      </c>
      <c r="R211" s="938">
        <v>60</v>
      </c>
      <c r="S211" s="938">
        <v>20</v>
      </c>
      <c r="T211" s="938">
        <v>20</v>
      </c>
      <c r="U211" s="938">
        <v>0</v>
      </c>
      <c r="V211" s="938">
        <v>1</v>
      </c>
      <c r="W211" s="776">
        <f>IF(Kulturen[[#This Row],[Berechnungsschema]]=13,3,IF(Kulturen[[#This Row],[Berechnungsschema]]=6,2,1))</f>
        <v>1</v>
      </c>
      <c r="X211" s="776">
        <f>IF(Kulturen[[#This Row],[fruchtartengruppe]]=13,Kulturen[[#This Row],[NBedarfswert]],MAX(0,Kulturen[[#This Row],[NBedarfswert]]-Kulturen[[#This Row],[Ertrag]]*Kulturen[[#This Row],[Nfix]]))</f>
        <v>210</v>
      </c>
      <c r="Y211" s="776" t="s">
        <v>2127</v>
      </c>
      <c r="Z211" s="776" t="s">
        <v>2127</v>
      </c>
      <c r="AA211" s="776" t="s">
        <v>2127</v>
      </c>
      <c r="AB211" s="776" t="s">
        <v>2127</v>
      </c>
      <c r="AC211" s="776" t="s">
        <v>2127</v>
      </c>
      <c r="AD211" s="776" t="s">
        <v>2127</v>
      </c>
      <c r="AE211" s="776" t="s">
        <v>2127</v>
      </c>
      <c r="AF211" s="776" t="s">
        <v>2127</v>
      </c>
      <c r="AG211" s="776" t="s">
        <v>2127</v>
      </c>
      <c r="AH211" s="776" t="s">
        <v>2127</v>
      </c>
      <c r="AI211" s="776" t="s">
        <v>2127</v>
      </c>
      <c r="AJ211" s="776" t="s">
        <v>2127</v>
      </c>
      <c r="AK211" s="776" t="s">
        <v>2127</v>
      </c>
      <c r="AL211" s="776" t="s">
        <v>2127</v>
      </c>
      <c r="AM211" s="776" t="s">
        <v>2127</v>
      </c>
      <c r="AN211" s="776" t="s">
        <v>2127</v>
      </c>
      <c r="AO211" s="776" t="s">
        <v>2127</v>
      </c>
      <c r="AP211" s="776" t="s">
        <v>2127</v>
      </c>
      <c r="AQ211" s="776" t="s">
        <v>2127</v>
      </c>
      <c r="AR211" s="776" t="s">
        <v>2127</v>
      </c>
      <c r="AS211" s="776" t="s">
        <v>2127</v>
      </c>
      <c r="AT211" s="776" t="s">
        <v>2127</v>
      </c>
      <c r="AU211" s="776" t="s">
        <v>2127</v>
      </c>
      <c r="AV211" s="776" t="s">
        <v>2127</v>
      </c>
      <c r="AW211" s="776" t="s">
        <v>2127</v>
      </c>
      <c r="AX211" s="776" t="s">
        <v>2127</v>
      </c>
      <c r="AY211" s="776" t="s">
        <v>2127</v>
      </c>
      <c r="AZ211" s="776" t="s">
        <v>2127</v>
      </c>
      <c r="BA211" s="776" t="s">
        <v>2127</v>
      </c>
      <c r="BB211" s="776" t="s">
        <v>2127</v>
      </c>
      <c r="BC211" s="776" t="s">
        <v>2127</v>
      </c>
      <c r="BD211" s="776" t="s">
        <v>2127</v>
      </c>
      <c r="BE211" s="776" t="s">
        <v>2127</v>
      </c>
      <c r="BF211" s="776" t="s">
        <v>2127</v>
      </c>
      <c r="BG211" s="776" t="s">
        <v>2127</v>
      </c>
      <c r="BH211" s="776" t="s">
        <v>2127</v>
      </c>
      <c r="BI211" s="776" t="s">
        <v>2127</v>
      </c>
      <c r="BJ211" s="776" t="s">
        <v>2127</v>
      </c>
      <c r="BK211" s="776" t="s">
        <v>2127</v>
      </c>
      <c r="BL211" s="776" t="s">
        <v>2127</v>
      </c>
      <c r="BM211" s="776" t="s">
        <v>2127</v>
      </c>
      <c r="BN211" s="776" t="s">
        <v>2127</v>
      </c>
      <c r="BO211" s="776" t="s">
        <v>2127</v>
      </c>
      <c r="BP211" s="776" t="s">
        <v>2127</v>
      </c>
      <c r="BQ211" s="776" t="s">
        <v>2127</v>
      </c>
      <c r="BR211" s="776" t="s">
        <v>2127</v>
      </c>
      <c r="BS211" s="776" t="s">
        <v>2127</v>
      </c>
      <c r="BT211" s="776" t="s">
        <v>2127</v>
      </c>
      <c r="BU211" s="776" t="s">
        <v>2127</v>
      </c>
      <c r="BV211" s="776" t="s">
        <v>2127</v>
      </c>
      <c r="BW211" s="776" t="s">
        <v>2127</v>
      </c>
      <c r="BX211" s="776" t="s">
        <v>2127</v>
      </c>
      <c r="BY211" s="776" t="s">
        <v>2127</v>
      </c>
      <c r="BZ211" s="776" t="s">
        <v>2127</v>
      </c>
      <c r="CA211" s="776" t="s">
        <v>2127</v>
      </c>
      <c r="CB211" s="776" t="s">
        <v>2127</v>
      </c>
      <c r="CC211" s="776" t="s">
        <v>2127</v>
      </c>
      <c r="CD211" s="776" t="s">
        <v>2127</v>
      </c>
      <c r="CE211" s="776" t="s">
        <v>2127</v>
      </c>
      <c r="CF211" s="776" t="s">
        <v>2127</v>
      </c>
      <c r="CG211" s="776" t="s">
        <v>2127</v>
      </c>
      <c r="CH211" s="776" t="s">
        <v>2127</v>
      </c>
      <c r="CI211" s="776" t="s">
        <v>2127</v>
      </c>
      <c r="CJ211" s="776" t="s">
        <v>2127</v>
      </c>
      <c r="CK211" s="776" t="s">
        <v>2127</v>
      </c>
      <c r="CL211" s="776" t="s">
        <v>2127</v>
      </c>
      <c r="CM211" s="776" t="s">
        <v>2127</v>
      </c>
      <c r="CN211" s="776" t="s">
        <v>2127</v>
      </c>
      <c r="CO211" s="776" t="s">
        <v>2127</v>
      </c>
      <c r="CP211" s="776" t="s">
        <v>2127</v>
      </c>
      <c r="CQ211" s="776" t="s">
        <v>2127</v>
      </c>
      <c r="CR211" s="776" t="s">
        <v>2127</v>
      </c>
      <c r="CS211" s="776" t="s">
        <v>2127</v>
      </c>
      <c r="CT211" s="776" t="s">
        <v>2127</v>
      </c>
      <c r="CU211" s="776" t="s">
        <v>2127</v>
      </c>
      <c r="CV211" s="776" t="s">
        <v>2127</v>
      </c>
      <c r="CW211" s="776" t="s">
        <v>2127</v>
      </c>
      <c r="CX211" s="776" t="s">
        <v>2127</v>
      </c>
      <c r="CY211" s="776" t="s">
        <v>2127</v>
      </c>
      <c r="CZ211" s="776" t="s">
        <v>2127</v>
      </c>
      <c r="DA211" s="776" t="s">
        <v>2127</v>
      </c>
      <c r="DB211" s="776" t="s">
        <v>2127</v>
      </c>
      <c r="DC211" s="776" t="s">
        <v>2127</v>
      </c>
      <c r="DD211" s="776" t="s">
        <v>2127</v>
      </c>
      <c r="DE211" s="776" t="s">
        <v>2127</v>
      </c>
      <c r="DF211" s="776" t="s">
        <v>2127</v>
      </c>
      <c r="DG211" s="776" t="s">
        <v>2127</v>
      </c>
      <c r="DH211" s="776" t="s">
        <v>2127</v>
      </c>
      <c r="DI211" s="776" t="s">
        <v>2127</v>
      </c>
      <c r="DJ211" s="776" t="s">
        <v>2127</v>
      </c>
      <c r="DK211" s="776" t="s">
        <v>2127</v>
      </c>
      <c r="DL211" s="776" t="s">
        <v>2127</v>
      </c>
      <c r="DM211" s="776" t="s">
        <v>2127</v>
      </c>
      <c r="DN211" s="776" t="s">
        <v>2127</v>
      </c>
      <c r="DO211" s="776" t="s">
        <v>2127</v>
      </c>
      <c r="DP211" s="776" t="s">
        <v>2127</v>
      </c>
    </row>
    <row r="212" spans="1:120" x14ac:dyDescent="0.2">
      <c r="A212" s="637" t="s">
        <v>2244</v>
      </c>
      <c r="B212" s="772" t="str" cm="1">
        <f t="array" ref="B212">IFERROR(INDEX(Kulturen[HF],_xlfn.AGGREGATE(15,6,(ROW(Kulturen[Auswahl])-7)/(--(SEARCH("x",Kulturen[Auswahl])&gt;0)),ROW()-7),1),"")</f>
        <v>Spinat, Blatt-, Standard</v>
      </c>
      <c r="C212" s="772" t="str">
        <f>IF(Kulturen[[#This Row],[HF]]=$D$373,IF($C$6=0,0,"x"),IF($C$6=0,"x",Vorauswahl!C211))</f>
        <v>x</v>
      </c>
      <c r="D212" s="938" t="s">
        <v>795</v>
      </c>
      <c r="E212" s="938" t="s">
        <v>795</v>
      </c>
      <c r="F212" s="938" t="s">
        <v>885</v>
      </c>
      <c r="G212" s="938">
        <v>12</v>
      </c>
      <c r="H212" s="938">
        <v>8</v>
      </c>
      <c r="I212" s="938">
        <v>3</v>
      </c>
      <c r="J212" s="938">
        <v>12</v>
      </c>
      <c r="K212" s="938">
        <v>0.08</v>
      </c>
      <c r="L212" s="938">
        <v>0.08</v>
      </c>
      <c r="M212" s="938">
        <v>140</v>
      </c>
      <c r="N212" s="938">
        <v>0</v>
      </c>
      <c r="O212" s="938">
        <v>1</v>
      </c>
      <c r="P212" s="938">
        <v>0</v>
      </c>
      <c r="Q212" s="938">
        <v>90</v>
      </c>
      <c r="R212" s="938">
        <v>28</v>
      </c>
      <c r="S212" s="938">
        <v>20</v>
      </c>
      <c r="T212" s="938">
        <v>20</v>
      </c>
      <c r="U212" s="938">
        <v>0</v>
      </c>
      <c r="V212" s="938">
        <v>1</v>
      </c>
      <c r="W212" s="776">
        <f>IF(Kulturen[[#This Row],[Berechnungsschema]]=13,3,IF(Kulturen[[#This Row],[Berechnungsschema]]=6,2,1))</f>
        <v>1</v>
      </c>
      <c r="X212" s="776">
        <f>IF(Kulturen[[#This Row],[fruchtartengruppe]]=13,Kulturen[[#This Row],[NBedarfswert]],MAX(0,Kulturen[[#This Row],[NBedarfswert]]-Kulturen[[#This Row],[Ertrag]]*Kulturen[[#This Row],[Nfix]]))</f>
        <v>90</v>
      </c>
      <c r="Y212" s="776" t="s">
        <v>2127</v>
      </c>
      <c r="Z212" s="776" t="s">
        <v>2127</v>
      </c>
      <c r="AA212" s="776" t="s">
        <v>2127</v>
      </c>
      <c r="AB212" s="776" t="s">
        <v>2127</v>
      </c>
      <c r="AC212" s="776" t="s">
        <v>2127</v>
      </c>
      <c r="AD212" s="776" t="s">
        <v>2127</v>
      </c>
      <c r="AE212" s="776" t="s">
        <v>2127</v>
      </c>
      <c r="AF212" s="776" t="s">
        <v>2127</v>
      </c>
      <c r="AG212" s="776" t="s">
        <v>2127</v>
      </c>
      <c r="AH212" s="776" t="s">
        <v>2127</v>
      </c>
      <c r="AI212" s="776" t="s">
        <v>2127</v>
      </c>
      <c r="AJ212" s="776" t="s">
        <v>2127</v>
      </c>
      <c r="AK212" s="776" t="s">
        <v>2127</v>
      </c>
      <c r="AL212" s="776" t="s">
        <v>2127</v>
      </c>
      <c r="AM212" s="776" t="s">
        <v>2127</v>
      </c>
      <c r="AN212" s="776" t="s">
        <v>2127</v>
      </c>
      <c r="AO212" s="776" t="s">
        <v>2127</v>
      </c>
      <c r="AP212" s="776" t="s">
        <v>2127</v>
      </c>
      <c r="AQ212" s="776" t="s">
        <v>2127</v>
      </c>
      <c r="AR212" s="776" t="s">
        <v>2127</v>
      </c>
      <c r="AS212" s="776" t="s">
        <v>2127</v>
      </c>
      <c r="AT212" s="776" t="s">
        <v>2127</v>
      </c>
      <c r="AU212" s="776" t="s">
        <v>2127</v>
      </c>
      <c r="AV212" s="776" t="s">
        <v>2127</v>
      </c>
      <c r="AW212" s="776" t="s">
        <v>2127</v>
      </c>
      <c r="AX212" s="776" t="s">
        <v>2127</v>
      </c>
      <c r="AY212" s="776" t="s">
        <v>2127</v>
      </c>
      <c r="AZ212" s="776" t="s">
        <v>2127</v>
      </c>
      <c r="BA212" s="776" t="s">
        <v>2127</v>
      </c>
      <c r="BB212" s="776" t="s">
        <v>2127</v>
      </c>
      <c r="BC212" s="776" t="s">
        <v>2127</v>
      </c>
      <c r="BD212" s="776" t="s">
        <v>2127</v>
      </c>
      <c r="BE212" s="776" t="s">
        <v>2127</v>
      </c>
      <c r="BF212" s="776" t="s">
        <v>2127</v>
      </c>
      <c r="BG212" s="776" t="s">
        <v>2127</v>
      </c>
      <c r="BH212" s="776" t="s">
        <v>2127</v>
      </c>
      <c r="BI212" s="776" t="s">
        <v>2127</v>
      </c>
      <c r="BJ212" s="776" t="s">
        <v>2127</v>
      </c>
      <c r="BK212" s="776" t="s">
        <v>2127</v>
      </c>
      <c r="BL212" s="776" t="s">
        <v>2127</v>
      </c>
      <c r="BM212" s="776" t="s">
        <v>2127</v>
      </c>
      <c r="BN212" s="776" t="s">
        <v>2127</v>
      </c>
      <c r="BO212" s="776" t="s">
        <v>2127</v>
      </c>
      <c r="BP212" s="776" t="s">
        <v>2127</v>
      </c>
      <c r="BQ212" s="776" t="s">
        <v>2127</v>
      </c>
      <c r="BR212" s="776" t="s">
        <v>2127</v>
      </c>
      <c r="BS212" s="776" t="s">
        <v>2127</v>
      </c>
      <c r="BT212" s="776" t="s">
        <v>2127</v>
      </c>
      <c r="BU212" s="776" t="s">
        <v>2127</v>
      </c>
      <c r="BV212" s="776" t="s">
        <v>2127</v>
      </c>
      <c r="BW212" s="776" t="s">
        <v>2127</v>
      </c>
      <c r="BX212" s="776" t="s">
        <v>2127</v>
      </c>
      <c r="BY212" s="776" t="s">
        <v>2127</v>
      </c>
      <c r="BZ212" s="776" t="s">
        <v>2127</v>
      </c>
      <c r="CA212" s="776" t="s">
        <v>2127</v>
      </c>
      <c r="CB212" s="776" t="s">
        <v>2127</v>
      </c>
      <c r="CC212" s="776" t="s">
        <v>2127</v>
      </c>
      <c r="CD212" s="776" t="s">
        <v>2127</v>
      </c>
      <c r="CE212" s="776" t="s">
        <v>2127</v>
      </c>
      <c r="CF212" s="776" t="s">
        <v>2127</v>
      </c>
      <c r="CG212" s="776" t="s">
        <v>2127</v>
      </c>
      <c r="CH212" s="776" t="s">
        <v>2127</v>
      </c>
      <c r="CI212" s="776" t="s">
        <v>2127</v>
      </c>
      <c r="CJ212" s="776" t="s">
        <v>2127</v>
      </c>
      <c r="CK212" s="776" t="s">
        <v>2127</v>
      </c>
      <c r="CL212" s="776" t="s">
        <v>2127</v>
      </c>
      <c r="CM212" s="776" t="s">
        <v>2127</v>
      </c>
      <c r="CN212" s="776" t="s">
        <v>2127</v>
      </c>
      <c r="CO212" s="776" t="s">
        <v>2127</v>
      </c>
      <c r="CP212" s="776" t="s">
        <v>2127</v>
      </c>
      <c r="CQ212" s="776" t="s">
        <v>2127</v>
      </c>
      <c r="CR212" s="776" t="s">
        <v>2127</v>
      </c>
      <c r="CS212" s="776" t="s">
        <v>2127</v>
      </c>
      <c r="CT212" s="776" t="s">
        <v>2127</v>
      </c>
      <c r="CU212" s="776" t="s">
        <v>2127</v>
      </c>
      <c r="CV212" s="776" t="s">
        <v>2127</v>
      </c>
      <c r="CW212" s="776" t="s">
        <v>2127</v>
      </c>
      <c r="CX212" s="776" t="s">
        <v>2127</v>
      </c>
      <c r="CY212" s="776" t="s">
        <v>2127</v>
      </c>
      <c r="CZ212" s="776" t="s">
        <v>2127</v>
      </c>
      <c r="DA212" s="776" t="s">
        <v>2127</v>
      </c>
      <c r="DB212" s="776" t="s">
        <v>2127</v>
      </c>
      <c r="DC212" s="776" t="s">
        <v>2127</v>
      </c>
      <c r="DD212" s="776" t="s">
        <v>2127</v>
      </c>
      <c r="DE212" s="776" t="s">
        <v>2127</v>
      </c>
      <c r="DF212" s="776" t="s">
        <v>2127</v>
      </c>
      <c r="DG212" s="776" t="s">
        <v>2127</v>
      </c>
      <c r="DH212" s="776" t="s">
        <v>2127</v>
      </c>
      <c r="DI212" s="776" t="s">
        <v>2127</v>
      </c>
      <c r="DJ212" s="776" t="s">
        <v>2127</v>
      </c>
      <c r="DK212" s="776" t="s">
        <v>2127</v>
      </c>
      <c r="DL212" s="776" t="s">
        <v>2127</v>
      </c>
      <c r="DM212" s="776" t="s">
        <v>2127</v>
      </c>
      <c r="DN212" s="776" t="s">
        <v>2127</v>
      </c>
      <c r="DO212" s="776" t="s">
        <v>2127</v>
      </c>
      <c r="DP212" s="776" t="s">
        <v>2127</v>
      </c>
    </row>
    <row r="213" spans="1:120" x14ac:dyDescent="0.2">
      <c r="A213" s="637" t="s">
        <v>2245</v>
      </c>
      <c r="B213" s="772" t="str" cm="1">
        <f t="array" ref="B213">IFERROR(INDEX(Kulturen[HF],_xlfn.AGGREGATE(15,6,(ROW(Kulturen[Auswahl])-7)/(--(SEARCH("x",Kulturen[Auswahl])&gt;0)),ROW()-7),1),"")</f>
        <v>Spinat, Hack-, Standard</v>
      </c>
      <c r="C213" s="772" t="str">
        <f>IF(Kulturen[[#This Row],[HF]]=$D$373,IF($C$6=0,0,"x"),IF($C$6=0,"x",Vorauswahl!C212))</f>
        <v>x</v>
      </c>
      <c r="D213" s="938" t="s">
        <v>796</v>
      </c>
      <c r="E213" s="938" t="s">
        <v>796</v>
      </c>
      <c r="F213" s="938" t="s">
        <v>886</v>
      </c>
      <c r="G213" s="938">
        <v>12</v>
      </c>
      <c r="H213" s="938">
        <v>8</v>
      </c>
      <c r="I213" s="938">
        <v>1</v>
      </c>
      <c r="J213" s="938">
        <v>12</v>
      </c>
      <c r="K213" s="938">
        <v>0.16</v>
      </c>
      <c r="L213" s="938">
        <v>0.16</v>
      </c>
      <c r="M213" s="938">
        <v>200</v>
      </c>
      <c r="N213" s="938">
        <v>0</v>
      </c>
      <c r="O213" s="938">
        <v>1</v>
      </c>
      <c r="P213" s="938">
        <v>0</v>
      </c>
      <c r="Q213" s="938">
        <v>75</v>
      </c>
      <c r="R213" s="938">
        <v>40</v>
      </c>
      <c r="S213" s="938">
        <v>20</v>
      </c>
      <c r="T213" s="938">
        <v>20</v>
      </c>
      <c r="U213" s="938">
        <v>0</v>
      </c>
      <c r="V213" s="938">
        <v>1</v>
      </c>
      <c r="W213" s="776">
        <f>IF(Kulturen[[#This Row],[Berechnungsschema]]=13,3,IF(Kulturen[[#This Row],[Berechnungsschema]]=6,2,1))</f>
        <v>1</v>
      </c>
      <c r="X213" s="776">
        <f>IF(Kulturen[[#This Row],[fruchtartengruppe]]=13,Kulturen[[#This Row],[NBedarfswert]],MAX(0,Kulturen[[#This Row],[NBedarfswert]]-Kulturen[[#This Row],[Ertrag]]*Kulturen[[#This Row],[Nfix]]))</f>
        <v>75</v>
      </c>
      <c r="Y213" s="776" t="s">
        <v>2127</v>
      </c>
      <c r="Z213" s="776" t="s">
        <v>2127</v>
      </c>
      <c r="AA213" s="776" t="s">
        <v>2127</v>
      </c>
      <c r="AB213" s="776" t="s">
        <v>2127</v>
      </c>
      <c r="AC213" s="776" t="s">
        <v>2127</v>
      </c>
      <c r="AD213" s="776" t="s">
        <v>2127</v>
      </c>
      <c r="AE213" s="776" t="s">
        <v>2127</v>
      </c>
      <c r="AF213" s="776" t="s">
        <v>2127</v>
      </c>
      <c r="AG213" s="776" t="s">
        <v>2127</v>
      </c>
      <c r="AH213" s="776" t="s">
        <v>2127</v>
      </c>
      <c r="AI213" s="776" t="s">
        <v>2127</v>
      </c>
      <c r="AJ213" s="776" t="s">
        <v>2127</v>
      </c>
      <c r="AK213" s="776" t="s">
        <v>2127</v>
      </c>
      <c r="AL213" s="776" t="s">
        <v>2127</v>
      </c>
      <c r="AM213" s="776" t="s">
        <v>2127</v>
      </c>
      <c r="AN213" s="776" t="s">
        <v>2127</v>
      </c>
      <c r="AO213" s="776" t="s">
        <v>2127</v>
      </c>
      <c r="AP213" s="776" t="s">
        <v>2127</v>
      </c>
      <c r="AQ213" s="776" t="s">
        <v>2127</v>
      </c>
      <c r="AR213" s="776" t="s">
        <v>2127</v>
      </c>
      <c r="AS213" s="776" t="s">
        <v>2127</v>
      </c>
      <c r="AT213" s="776" t="s">
        <v>2127</v>
      </c>
      <c r="AU213" s="776" t="s">
        <v>2127</v>
      </c>
      <c r="AV213" s="776" t="s">
        <v>2127</v>
      </c>
      <c r="AW213" s="776" t="s">
        <v>2127</v>
      </c>
      <c r="AX213" s="776" t="s">
        <v>2127</v>
      </c>
      <c r="AY213" s="776" t="s">
        <v>2127</v>
      </c>
      <c r="AZ213" s="776" t="s">
        <v>2127</v>
      </c>
      <c r="BA213" s="776" t="s">
        <v>2127</v>
      </c>
      <c r="BB213" s="776" t="s">
        <v>2127</v>
      </c>
      <c r="BC213" s="776" t="s">
        <v>2127</v>
      </c>
      <c r="BD213" s="776" t="s">
        <v>2127</v>
      </c>
      <c r="BE213" s="776" t="s">
        <v>2127</v>
      </c>
      <c r="BF213" s="776" t="s">
        <v>2127</v>
      </c>
      <c r="BG213" s="776" t="s">
        <v>2127</v>
      </c>
      <c r="BH213" s="776" t="s">
        <v>2127</v>
      </c>
      <c r="BI213" s="776" t="s">
        <v>2127</v>
      </c>
      <c r="BJ213" s="776" t="s">
        <v>2127</v>
      </c>
      <c r="BK213" s="776" t="s">
        <v>2127</v>
      </c>
      <c r="BL213" s="776" t="s">
        <v>2127</v>
      </c>
      <c r="BM213" s="776" t="s">
        <v>2127</v>
      </c>
      <c r="BN213" s="776" t="s">
        <v>2127</v>
      </c>
      <c r="BO213" s="776" t="s">
        <v>2127</v>
      </c>
      <c r="BP213" s="776" t="s">
        <v>2127</v>
      </c>
      <c r="BQ213" s="776" t="s">
        <v>2127</v>
      </c>
      <c r="BR213" s="776" t="s">
        <v>2127</v>
      </c>
      <c r="BS213" s="776" t="s">
        <v>2127</v>
      </c>
      <c r="BT213" s="776" t="s">
        <v>2127</v>
      </c>
      <c r="BU213" s="776" t="s">
        <v>2127</v>
      </c>
      <c r="BV213" s="776" t="s">
        <v>2127</v>
      </c>
      <c r="BW213" s="776" t="s">
        <v>2127</v>
      </c>
      <c r="BX213" s="776" t="s">
        <v>2127</v>
      </c>
      <c r="BY213" s="776" t="s">
        <v>2127</v>
      </c>
      <c r="BZ213" s="776" t="s">
        <v>2127</v>
      </c>
      <c r="CA213" s="776" t="s">
        <v>2127</v>
      </c>
      <c r="CB213" s="776" t="s">
        <v>2127</v>
      </c>
      <c r="CC213" s="776" t="s">
        <v>2127</v>
      </c>
      <c r="CD213" s="776" t="s">
        <v>2127</v>
      </c>
      <c r="CE213" s="776" t="s">
        <v>2127</v>
      </c>
      <c r="CF213" s="776" t="s">
        <v>2127</v>
      </c>
      <c r="CG213" s="776" t="s">
        <v>2127</v>
      </c>
      <c r="CH213" s="776" t="s">
        <v>2127</v>
      </c>
      <c r="CI213" s="776" t="s">
        <v>2127</v>
      </c>
      <c r="CJ213" s="776" t="s">
        <v>2127</v>
      </c>
      <c r="CK213" s="776" t="s">
        <v>2127</v>
      </c>
      <c r="CL213" s="776" t="s">
        <v>2127</v>
      </c>
      <c r="CM213" s="776" t="s">
        <v>2127</v>
      </c>
      <c r="CN213" s="776" t="s">
        <v>2127</v>
      </c>
      <c r="CO213" s="776" t="s">
        <v>2127</v>
      </c>
      <c r="CP213" s="776" t="s">
        <v>2127</v>
      </c>
      <c r="CQ213" s="776" t="s">
        <v>2127</v>
      </c>
      <c r="CR213" s="776" t="s">
        <v>2127</v>
      </c>
      <c r="CS213" s="776" t="s">
        <v>2127</v>
      </c>
      <c r="CT213" s="776" t="s">
        <v>2127</v>
      </c>
      <c r="CU213" s="776" t="s">
        <v>2127</v>
      </c>
      <c r="CV213" s="776" t="s">
        <v>2127</v>
      </c>
      <c r="CW213" s="776" t="s">
        <v>2127</v>
      </c>
      <c r="CX213" s="776" t="s">
        <v>2127</v>
      </c>
      <c r="CY213" s="776" t="s">
        <v>2127</v>
      </c>
      <c r="CZ213" s="776" t="s">
        <v>2127</v>
      </c>
      <c r="DA213" s="776" t="s">
        <v>2127</v>
      </c>
      <c r="DB213" s="776" t="s">
        <v>2127</v>
      </c>
      <c r="DC213" s="776" t="s">
        <v>2127</v>
      </c>
      <c r="DD213" s="776" t="s">
        <v>2127</v>
      </c>
      <c r="DE213" s="776" t="s">
        <v>2127</v>
      </c>
      <c r="DF213" s="776" t="s">
        <v>2127</v>
      </c>
      <c r="DG213" s="776" t="s">
        <v>2127</v>
      </c>
      <c r="DH213" s="776" t="s">
        <v>2127</v>
      </c>
      <c r="DI213" s="776" t="s">
        <v>2127</v>
      </c>
      <c r="DJ213" s="776" t="s">
        <v>2127</v>
      </c>
      <c r="DK213" s="776" t="s">
        <v>2127</v>
      </c>
      <c r="DL213" s="776" t="s">
        <v>2127</v>
      </c>
      <c r="DM213" s="776" t="s">
        <v>2127</v>
      </c>
      <c r="DN213" s="776" t="s">
        <v>2127</v>
      </c>
      <c r="DO213" s="776" t="s">
        <v>2127</v>
      </c>
      <c r="DP213" s="776" t="s">
        <v>2127</v>
      </c>
    </row>
    <row r="214" spans="1:120" x14ac:dyDescent="0.2">
      <c r="A214" s="637" t="s">
        <v>2246</v>
      </c>
      <c r="B214" s="772" t="str" cm="1">
        <f t="array" ref="B214">IFERROR(INDEX(Kulturen[HF],_xlfn.AGGREGATE(15,6,(ROW(Kulturen[Auswahl])-7)/(--(SEARCH("x",Kulturen[Auswahl])&gt;0)),ROW()-7),1),"")</f>
        <v>Stangenbohne</v>
      </c>
      <c r="C214" s="772" t="str">
        <f>IF(Kulturen[[#This Row],[HF]]=$D$373,IF($C$6=0,0,"x"),IF($C$6=0,"x",Vorauswahl!C213))</f>
        <v>x</v>
      </c>
      <c r="D214" s="938" t="s">
        <v>797</v>
      </c>
      <c r="E214" s="938" t="s">
        <v>797</v>
      </c>
      <c r="F214" s="938" t="s">
        <v>887</v>
      </c>
      <c r="G214" s="938">
        <v>12</v>
      </c>
      <c r="H214" s="938">
        <v>8</v>
      </c>
      <c r="I214" s="938">
        <v>3</v>
      </c>
      <c r="J214" s="938">
        <v>12</v>
      </c>
      <c r="K214" s="938">
        <v>0.126</v>
      </c>
      <c r="L214" s="938">
        <v>0.13</v>
      </c>
      <c r="M214" s="938">
        <v>600</v>
      </c>
      <c r="N214" s="938">
        <v>0</v>
      </c>
      <c r="O214" s="938">
        <v>1</v>
      </c>
      <c r="P214" s="938">
        <v>0</v>
      </c>
      <c r="Q214" s="938">
        <v>205</v>
      </c>
      <c r="R214" s="938">
        <v>120</v>
      </c>
      <c r="S214" s="938">
        <v>20</v>
      </c>
      <c r="T214" s="938">
        <v>20</v>
      </c>
      <c r="U214" s="938">
        <v>0</v>
      </c>
      <c r="V214" s="938">
        <v>1</v>
      </c>
      <c r="W214" s="776">
        <f>IF(Kulturen[[#This Row],[Berechnungsschema]]=13,3,IF(Kulturen[[#This Row],[Berechnungsschema]]=6,2,1))</f>
        <v>1</v>
      </c>
      <c r="X214" s="776">
        <f>IF(Kulturen[[#This Row],[fruchtartengruppe]]=13,Kulturen[[#This Row],[NBedarfswert]],MAX(0,Kulturen[[#This Row],[NBedarfswert]]-Kulturen[[#This Row],[Ertrag]]*Kulturen[[#This Row],[Nfix]]))</f>
        <v>205</v>
      </c>
      <c r="Y214" s="776" t="s">
        <v>2127</v>
      </c>
      <c r="Z214" s="776" t="s">
        <v>2127</v>
      </c>
      <c r="AA214" s="776" t="s">
        <v>2127</v>
      </c>
      <c r="AB214" s="776" t="s">
        <v>2127</v>
      </c>
      <c r="AC214" s="776" t="s">
        <v>2127</v>
      </c>
      <c r="AD214" s="776" t="s">
        <v>2127</v>
      </c>
      <c r="AE214" s="776" t="s">
        <v>2127</v>
      </c>
      <c r="AF214" s="776" t="s">
        <v>2127</v>
      </c>
      <c r="AG214" s="776" t="s">
        <v>2127</v>
      </c>
      <c r="AH214" s="776" t="s">
        <v>2127</v>
      </c>
      <c r="AI214" s="776" t="s">
        <v>2127</v>
      </c>
      <c r="AJ214" s="776" t="s">
        <v>2127</v>
      </c>
      <c r="AK214" s="776" t="s">
        <v>2127</v>
      </c>
      <c r="AL214" s="776" t="s">
        <v>2127</v>
      </c>
      <c r="AM214" s="776" t="s">
        <v>2127</v>
      </c>
      <c r="AN214" s="776" t="s">
        <v>2127</v>
      </c>
      <c r="AO214" s="776" t="s">
        <v>2127</v>
      </c>
      <c r="AP214" s="776" t="s">
        <v>2127</v>
      </c>
      <c r="AQ214" s="776" t="s">
        <v>2127</v>
      </c>
      <c r="AR214" s="776" t="s">
        <v>2127</v>
      </c>
      <c r="AS214" s="776" t="s">
        <v>2127</v>
      </c>
      <c r="AT214" s="776" t="s">
        <v>2127</v>
      </c>
      <c r="AU214" s="776" t="s">
        <v>2127</v>
      </c>
      <c r="AV214" s="776" t="s">
        <v>2127</v>
      </c>
      <c r="AW214" s="776" t="s">
        <v>2127</v>
      </c>
      <c r="AX214" s="776" t="s">
        <v>2127</v>
      </c>
      <c r="AY214" s="776" t="s">
        <v>2127</v>
      </c>
      <c r="AZ214" s="776" t="s">
        <v>2127</v>
      </c>
      <c r="BA214" s="776" t="s">
        <v>2127</v>
      </c>
      <c r="BB214" s="776" t="s">
        <v>2127</v>
      </c>
      <c r="BC214" s="776" t="s">
        <v>2127</v>
      </c>
      <c r="BD214" s="776" t="s">
        <v>2127</v>
      </c>
      <c r="BE214" s="776" t="s">
        <v>2127</v>
      </c>
      <c r="BF214" s="776" t="s">
        <v>2127</v>
      </c>
      <c r="BG214" s="776" t="s">
        <v>2127</v>
      </c>
      <c r="BH214" s="776" t="s">
        <v>2127</v>
      </c>
      <c r="BI214" s="776" t="s">
        <v>2127</v>
      </c>
      <c r="BJ214" s="776" t="s">
        <v>2127</v>
      </c>
      <c r="BK214" s="776" t="s">
        <v>2127</v>
      </c>
      <c r="BL214" s="776" t="s">
        <v>2127</v>
      </c>
      <c r="BM214" s="776" t="s">
        <v>2127</v>
      </c>
      <c r="BN214" s="776" t="s">
        <v>2127</v>
      </c>
      <c r="BO214" s="776" t="s">
        <v>2127</v>
      </c>
      <c r="BP214" s="776" t="s">
        <v>2127</v>
      </c>
      <c r="BQ214" s="776" t="s">
        <v>2127</v>
      </c>
      <c r="BR214" s="776" t="s">
        <v>2127</v>
      </c>
      <c r="BS214" s="776" t="s">
        <v>2127</v>
      </c>
      <c r="BT214" s="776" t="s">
        <v>2127</v>
      </c>
      <c r="BU214" s="776" t="s">
        <v>2127</v>
      </c>
      <c r="BV214" s="776" t="s">
        <v>2127</v>
      </c>
      <c r="BW214" s="776" t="s">
        <v>2127</v>
      </c>
      <c r="BX214" s="776" t="s">
        <v>2127</v>
      </c>
      <c r="BY214" s="776" t="s">
        <v>2127</v>
      </c>
      <c r="BZ214" s="776" t="s">
        <v>2127</v>
      </c>
      <c r="CA214" s="776" t="s">
        <v>2127</v>
      </c>
      <c r="CB214" s="776" t="s">
        <v>2127</v>
      </c>
      <c r="CC214" s="776" t="s">
        <v>2127</v>
      </c>
      <c r="CD214" s="776" t="s">
        <v>2127</v>
      </c>
      <c r="CE214" s="776" t="s">
        <v>2127</v>
      </c>
      <c r="CF214" s="776" t="s">
        <v>2127</v>
      </c>
      <c r="CG214" s="776" t="s">
        <v>2127</v>
      </c>
      <c r="CH214" s="776" t="s">
        <v>2127</v>
      </c>
      <c r="CI214" s="776" t="s">
        <v>2127</v>
      </c>
      <c r="CJ214" s="776" t="s">
        <v>2127</v>
      </c>
      <c r="CK214" s="776" t="s">
        <v>2127</v>
      </c>
      <c r="CL214" s="776" t="s">
        <v>2127</v>
      </c>
      <c r="CM214" s="776" t="s">
        <v>2127</v>
      </c>
      <c r="CN214" s="776" t="s">
        <v>2127</v>
      </c>
      <c r="CO214" s="776" t="s">
        <v>2127</v>
      </c>
      <c r="CP214" s="776" t="s">
        <v>2127</v>
      </c>
      <c r="CQ214" s="776" t="s">
        <v>2127</v>
      </c>
      <c r="CR214" s="776" t="s">
        <v>2127</v>
      </c>
      <c r="CS214" s="776" t="s">
        <v>2127</v>
      </c>
      <c r="CT214" s="776" t="s">
        <v>2127</v>
      </c>
      <c r="CU214" s="776" t="s">
        <v>2127</v>
      </c>
      <c r="CV214" s="776" t="s">
        <v>2127</v>
      </c>
      <c r="CW214" s="776" t="s">
        <v>2127</v>
      </c>
      <c r="CX214" s="776" t="s">
        <v>2127</v>
      </c>
      <c r="CY214" s="776" t="s">
        <v>2127</v>
      </c>
      <c r="CZ214" s="776" t="s">
        <v>2127</v>
      </c>
      <c r="DA214" s="776" t="s">
        <v>2127</v>
      </c>
      <c r="DB214" s="776" t="s">
        <v>2127</v>
      </c>
      <c r="DC214" s="776" t="s">
        <v>2127</v>
      </c>
      <c r="DD214" s="776" t="s">
        <v>2127</v>
      </c>
      <c r="DE214" s="776" t="s">
        <v>2127</v>
      </c>
      <c r="DF214" s="776" t="s">
        <v>2127</v>
      </c>
      <c r="DG214" s="776" t="s">
        <v>2127</v>
      </c>
      <c r="DH214" s="776" t="s">
        <v>2127</v>
      </c>
      <c r="DI214" s="776" t="s">
        <v>2127</v>
      </c>
      <c r="DJ214" s="776" t="s">
        <v>2127</v>
      </c>
      <c r="DK214" s="776" t="s">
        <v>2127</v>
      </c>
      <c r="DL214" s="776" t="s">
        <v>2127</v>
      </c>
      <c r="DM214" s="776" t="s">
        <v>2127</v>
      </c>
      <c r="DN214" s="776" t="s">
        <v>2127</v>
      </c>
      <c r="DO214" s="776" t="s">
        <v>2127</v>
      </c>
      <c r="DP214" s="776" t="s">
        <v>2127</v>
      </c>
    </row>
    <row r="215" spans="1:120" x14ac:dyDescent="0.2">
      <c r="A215" s="637" t="s">
        <v>2247</v>
      </c>
      <c r="B215" s="772" t="str" cm="1">
        <f t="array" ref="B215">IFERROR(INDEX(Kulturen[HF],_xlfn.AGGREGATE(15,6,(ROW(Kulturen[Auswahl])-7)/(--(SEARCH("x",Kulturen[Auswahl])&gt;0)),ROW()-7),1),"")</f>
        <v>Süßkartoffel</v>
      </c>
      <c r="C215" s="772" t="str">
        <f>IF(Kulturen[[#This Row],[HF]]=$D$373,IF($C$6=0,0,"x"),IF($C$6=0,"x",Vorauswahl!C214))</f>
        <v>x</v>
      </c>
      <c r="D215" s="938" t="s">
        <v>798</v>
      </c>
      <c r="E215" s="938" t="s">
        <v>798</v>
      </c>
      <c r="F215" s="938" t="s">
        <v>888</v>
      </c>
      <c r="G215" s="938">
        <v>12</v>
      </c>
      <c r="H215" s="938">
        <v>8</v>
      </c>
      <c r="I215" s="938">
        <v>1</v>
      </c>
      <c r="J215" s="938">
        <v>12</v>
      </c>
      <c r="K215" s="938">
        <v>0.14899999999999999</v>
      </c>
      <c r="L215" s="938">
        <v>0.15</v>
      </c>
      <c r="M215" s="938">
        <v>650</v>
      </c>
      <c r="N215" s="938">
        <v>0</v>
      </c>
      <c r="O215" s="938">
        <v>1</v>
      </c>
      <c r="P215" s="938">
        <v>0</v>
      </c>
      <c r="Q215" s="938">
        <v>220</v>
      </c>
      <c r="R215" s="938">
        <v>130</v>
      </c>
      <c r="S215" s="938">
        <v>40</v>
      </c>
      <c r="T215" s="938">
        <v>40</v>
      </c>
      <c r="U215" s="938">
        <v>0</v>
      </c>
      <c r="V215" s="938">
        <v>1</v>
      </c>
      <c r="W215" s="776">
        <f>IF(Kulturen[[#This Row],[Berechnungsschema]]=13,3,IF(Kulturen[[#This Row],[Berechnungsschema]]=6,2,1))</f>
        <v>1</v>
      </c>
      <c r="X215" s="776">
        <f>IF(Kulturen[[#This Row],[fruchtartengruppe]]=13,Kulturen[[#This Row],[NBedarfswert]],MAX(0,Kulturen[[#This Row],[NBedarfswert]]-Kulturen[[#This Row],[Ertrag]]*Kulturen[[#This Row],[Nfix]]))</f>
        <v>220</v>
      </c>
      <c r="Y215" s="776" t="s">
        <v>2127</v>
      </c>
      <c r="Z215" s="776" t="s">
        <v>2127</v>
      </c>
      <c r="AA215" s="776" t="s">
        <v>2127</v>
      </c>
      <c r="AB215" s="776" t="s">
        <v>2127</v>
      </c>
      <c r="AC215" s="776" t="s">
        <v>2127</v>
      </c>
      <c r="AD215" s="776" t="s">
        <v>2127</v>
      </c>
      <c r="AE215" s="776" t="s">
        <v>2127</v>
      </c>
      <c r="AF215" s="776" t="s">
        <v>2127</v>
      </c>
      <c r="AG215" s="776" t="s">
        <v>2127</v>
      </c>
      <c r="AH215" s="776" t="s">
        <v>2127</v>
      </c>
      <c r="AI215" s="776" t="s">
        <v>2127</v>
      </c>
      <c r="AJ215" s="776" t="s">
        <v>2127</v>
      </c>
      <c r="AK215" s="776" t="s">
        <v>2127</v>
      </c>
      <c r="AL215" s="776" t="s">
        <v>2127</v>
      </c>
      <c r="AM215" s="776" t="s">
        <v>2127</v>
      </c>
      <c r="AN215" s="776" t="s">
        <v>2127</v>
      </c>
      <c r="AO215" s="776" t="s">
        <v>2127</v>
      </c>
      <c r="AP215" s="776" t="s">
        <v>2127</v>
      </c>
      <c r="AQ215" s="776" t="s">
        <v>2127</v>
      </c>
      <c r="AR215" s="776" t="s">
        <v>2127</v>
      </c>
      <c r="AS215" s="776" t="s">
        <v>2127</v>
      </c>
      <c r="AT215" s="776" t="s">
        <v>2127</v>
      </c>
      <c r="AU215" s="776" t="s">
        <v>2127</v>
      </c>
      <c r="AV215" s="776" t="s">
        <v>2127</v>
      </c>
      <c r="AW215" s="776" t="s">
        <v>2127</v>
      </c>
      <c r="AX215" s="776" t="s">
        <v>2127</v>
      </c>
      <c r="AY215" s="776" t="s">
        <v>2127</v>
      </c>
      <c r="AZ215" s="776" t="s">
        <v>2127</v>
      </c>
      <c r="BA215" s="776" t="s">
        <v>2127</v>
      </c>
      <c r="BB215" s="776" t="s">
        <v>2127</v>
      </c>
      <c r="BC215" s="776" t="s">
        <v>2127</v>
      </c>
      <c r="BD215" s="776" t="s">
        <v>2127</v>
      </c>
      <c r="BE215" s="776" t="s">
        <v>2127</v>
      </c>
      <c r="BF215" s="776" t="s">
        <v>2127</v>
      </c>
      <c r="BG215" s="776" t="s">
        <v>2127</v>
      </c>
      <c r="BH215" s="776" t="s">
        <v>2127</v>
      </c>
      <c r="BI215" s="776" t="s">
        <v>2127</v>
      </c>
      <c r="BJ215" s="776" t="s">
        <v>2127</v>
      </c>
      <c r="BK215" s="776" t="s">
        <v>2127</v>
      </c>
      <c r="BL215" s="776" t="s">
        <v>2127</v>
      </c>
      <c r="BM215" s="776" t="s">
        <v>2127</v>
      </c>
      <c r="BN215" s="776" t="s">
        <v>2127</v>
      </c>
      <c r="BO215" s="776" t="s">
        <v>2127</v>
      </c>
      <c r="BP215" s="776" t="s">
        <v>2127</v>
      </c>
      <c r="BQ215" s="776" t="s">
        <v>2127</v>
      </c>
      <c r="BR215" s="776" t="s">
        <v>2127</v>
      </c>
      <c r="BS215" s="776" t="s">
        <v>2127</v>
      </c>
      <c r="BT215" s="776" t="s">
        <v>2127</v>
      </c>
      <c r="BU215" s="776" t="s">
        <v>2127</v>
      </c>
      <c r="BV215" s="776" t="s">
        <v>2127</v>
      </c>
      <c r="BW215" s="776" t="s">
        <v>2127</v>
      </c>
      <c r="BX215" s="776" t="s">
        <v>2127</v>
      </c>
      <c r="BY215" s="776" t="s">
        <v>2127</v>
      </c>
      <c r="BZ215" s="776" t="s">
        <v>2127</v>
      </c>
      <c r="CA215" s="776" t="s">
        <v>2127</v>
      </c>
      <c r="CB215" s="776" t="s">
        <v>2127</v>
      </c>
      <c r="CC215" s="776" t="s">
        <v>2127</v>
      </c>
      <c r="CD215" s="776" t="s">
        <v>2127</v>
      </c>
      <c r="CE215" s="776" t="s">
        <v>2127</v>
      </c>
      <c r="CF215" s="776" t="s">
        <v>2127</v>
      </c>
      <c r="CG215" s="776" t="s">
        <v>2127</v>
      </c>
      <c r="CH215" s="776" t="s">
        <v>2127</v>
      </c>
      <c r="CI215" s="776" t="s">
        <v>2127</v>
      </c>
      <c r="CJ215" s="776" t="s">
        <v>2127</v>
      </c>
      <c r="CK215" s="776" t="s">
        <v>2127</v>
      </c>
      <c r="CL215" s="776" t="s">
        <v>2127</v>
      </c>
      <c r="CM215" s="776" t="s">
        <v>2127</v>
      </c>
      <c r="CN215" s="776" t="s">
        <v>2127</v>
      </c>
      <c r="CO215" s="776" t="s">
        <v>2127</v>
      </c>
      <c r="CP215" s="776" t="s">
        <v>2127</v>
      </c>
      <c r="CQ215" s="776" t="s">
        <v>2127</v>
      </c>
      <c r="CR215" s="776" t="s">
        <v>2127</v>
      </c>
      <c r="CS215" s="776" t="s">
        <v>2127</v>
      </c>
      <c r="CT215" s="776" t="s">
        <v>2127</v>
      </c>
      <c r="CU215" s="776" t="s">
        <v>2127</v>
      </c>
      <c r="CV215" s="776" t="s">
        <v>2127</v>
      </c>
      <c r="CW215" s="776" t="s">
        <v>2127</v>
      </c>
      <c r="CX215" s="776" t="s">
        <v>2127</v>
      </c>
      <c r="CY215" s="776" t="s">
        <v>2127</v>
      </c>
      <c r="CZ215" s="776" t="s">
        <v>2127</v>
      </c>
      <c r="DA215" s="776" t="s">
        <v>2127</v>
      </c>
      <c r="DB215" s="776" t="s">
        <v>2127</v>
      </c>
      <c r="DC215" s="776" t="s">
        <v>2127</v>
      </c>
      <c r="DD215" s="776" t="s">
        <v>2127</v>
      </c>
      <c r="DE215" s="776" t="s">
        <v>2127</v>
      </c>
      <c r="DF215" s="776" t="s">
        <v>2127</v>
      </c>
      <c r="DG215" s="776" t="s">
        <v>2127</v>
      </c>
      <c r="DH215" s="776" t="s">
        <v>2127</v>
      </c>
      <c r="DI215" s="776" t="s">
        <v>2127</v>
      </c>
      <c r="DJ215" s="776" t="s">
        <v>2127</v>
      </c>
      <c r="DK215" s="776" t="s">
        <v>2127</v>
      </c>
      <c r="DL215" s="776" t="s">
        <v>2127</v>
      </c>
      <c r="DM215" s="776" t="s">
        <v>2127</v>
      </c>
      <c r="DN215" s="776" t="s">
        <v>2127</v>
      </c>
      <c r="DO215" s="776" t="s">
        <v>2127</v>
      </c>
      <c r="DP215" s="776" t="s">
        <v>2127</v>
      </c>
    </row>
    <row r="216" spans="1:120" x14ac:dyDescent="0.2">
      <c r="A216" s="637" t="s">
        <v>2248</v>
      </c>
      <c r="B216" s="772" t="str" cm="1">
        <f t="array" ref="B216">IFERROR(INDEX(Kulturen[HF],_xlfn.AGGREGATE(15,6,(ROW(Kulturen[Auswahl])-7)/(--(SEARCH("x",Kulturen[Auswahl])&gt;0)),ROW()-7),1),"")</f>
        <v>Teltower Rübchen</v>
      </c>
      <c r="C216" s="772" t="str">
        <f>IF(Kulturen[[#This Row],[HF]]=$D$373,IF($C$6=0,0,"x"),IF($C$6=0,"x",Vorauswahl!C215))</f>
        <v>x</v>
      </c>
      <c r="D216" s="938" t="s">
        <v>799</v>
      </c>
      <c r="E216" s="938" t="s">
        <v>799</v>
      </c>
      <c r="F216" s="938" t="s">
        <v>889</v>
      </c>
      <c r="G216" s="938">
        <v>12</v>
      </c>
      <c r="H216" s="938">
        <v>8</v>
      </c>
      <c r="I216" s="938">
        <v>3</v>
      </c>
      <c r="J216" s="938">
        <v>12</v>
      </c>
      <c r="K216" s="938">
        <v>0.115</v>
      </c>
      <c r="L216" s="938">
        <v>0.12</v>
      </c>
      <c r="M216" s="938">
        <v>500</v>
      </c>
      <c r="N216" s="938">
        <v>0</v>
      </c>
      <c r="O216" s="938">
        <v>1</v>
      </c>
      <c r="P216" s="938">
        <v>0</v>
      </c>
      <c r="Q216" s="938">
        <v>230</v>
      </c>
      <c r="R216" s="938">
        <v>100</v>
      </c>
      <c r="S216" s="938">
        <v>20</v>
      </c>
      <c r="T216" s="938">
        <v>20</v>
      </c>
      <c r="U216" s="938">
        <v>0</v>
      </c>
      <c r="V216" s="938">
        <v>1</v>
      </c>
      <c r="W216" s="776">
        <f>IF(Kulturen[[#This Row],[Berechnungsschema]]=13,3,IF(Kulturen[[#This Row],[Berechnungsschema]]=6,2,1))</f>
        <v>1</v>
      </c>
      <c r="X216" s="776">
        <f>IF(Kulturen[[#This Row],[fruchtartengruppe]]=13,Kulturen[[#This Row],[NBedarfswert]],MAX(0,Kulturen[[#This Row],[NBedarfswert]]-Kulturen[[#This Row],[Ertrag]]*Kulturen[[#This Row],[Nfix]]))</f>
        <v>230</v>
      </c>
      <c r="Y216" s="776" t="s">
        <v>2127</v>
      </c>
      <c r="Z216" s="776" t="s">
        <v>2127</v>
      </c>
      <c r="AA216" s="776" t="s">
        <v>2127</v>
      </c>
      <c r="AB216" s="776" t="s">
        <v>2127</v>
      </c>
      <c r="AC216" s="776" t="s">
        <v>2127</v>
      </c>
      <c r="AD216" s="776" t="s">
        <v>2127</v>
      </c>
      <c r="AE216" s="776" t="s">
        <v>2127</v>
      </c>
      <c r="AF216" s="776" t="s">
        <v>2127</v>
      </c>
      <c r="AG216" s="776" t="s">
        <v>2127</v>
      </c>
      <c r="AH216" s="776" t="s">
        <v>2127</v>
      </c>
      <c r="AI216" s="776" t="s">
        <v>2127</v>
      </c>
      <c r="AJ216" s="776" t="s">
        <v>2127</v>
      </c>
      <c r="AK216" s="776" t="s">
        <v>2127</v>
      </c>
      <c r="AL216" s="776" t="s">
        <v>2127</v>
      </c>
      <c r="AM216" s="776" t="s">
        <v>2127</v>
      </c>
      <c r="AN216" s="776" t="s">
        <v>2127</v>
      </c>
      <c r="AO216" s="776" t="s">
        <v>2127</v>
      </c>
      <c r="AP216" s="776" t="s">
        <v>2127</v>
      </c>
      <c r="AQ216" s="776" t="s">
        <v>2127</v>
      </c>
      <c r="AR216" s="776" t="s">
        <v>2127</v>
      </c>
      <c r="AS216" s="776" t="s">
        <v>2127</v>
      </c>
      <c r="AT216" s="776" t="s">
        <v>2127</v>
      </c>
      <c r="AU216" s="776" t="s">
        <v>2127</v>
      </c>
      <c r="AV216" s="776" t="s">
        <v>2127</v>
      </c>
      <c r="AW216" s="776" t="s">
        <v>2127</v>
      </c>
      <c r="AX216" s="776" t="s">
        <v>2127</v>
      </c>
      <c r="AY216" s="776" t="s">
        <v>2127</v>
      </c>
      <c r="AZ216" s="776" t="s">
        <v>2127</v>
      </c>
      <c r="BA216" s="776" t="s">
        <v>2127</v>
      </c>
      <c r="BB216" s="776" t="s">
        <v>2127</v>
      </c>
      <c r="BC216" s="776" t="s">
        <v>2127</v>
      </c>
      <c r="BD216" s="776" t="s">
        <v>2127</v>
      </c>
      <c r="BE216" s="776" t="s">
        <v>2127</v>
      </c>
      <c r="BF216" s="776" t="s">
        <v>2127</v>
      </c>
      <c r="BG216" s="776" t="s">
        <v>2127</v>
      </c>
      <c r="BH216" s="776" t="s">
        <v>2127</v>
      </c>
      <c r="BI216" s="776" t="s">
        <v>2127</v>
      </c>
      <c r="BJ216" s="776" t="s">
        <v>2127</v>
      </c>
      <c r="BK216" s="776" t="s">
        <v>2127</v>
      </c>
      <c r="BL216" s="776" t="s">
        <v>2127</v>
      </c>
      <c r="BM216" s="776" t="s">
        <v>2127</v>
      </c>
      <c r="BN216" s="776" t="s">
        <v>2127</v>
      </c>
      <c r="BO216" s="776" t="s">
        <v>2127</v>
      </c>
      <c r="BP216" s="776" t="s">
        <v>2127</v>
      </c>
      <c r="BQ216" s="776" t="s">
        <v>2127</v>
      </c>
      <c r="BR216" s="776" t="s">
        <v>2127</v>
      </c>
      <c r="BS216" s="776" t="s">
        <v>2127</v>
      </c>
      <c r="BT216" s="776" t="s">
        <v>2127</v>
      </c>
      <c r="BU216" s="776" t="s">
        <v>2127</v>
      </c>
      <c r="BV216" s="776" t="s">
        <v>2127</v>
      </c>
      <c r="BW216" s="776" t="s">
        <v>2127</v>
      </c>
      <c r="BX216" s="776" t="s">
        <v>2127</v>
      </c>
      <c r="BY216" s="776" t="s">
        <v>2127</v>
      </c>
      <c r="BZ216" s="776" t="s">
        <v>2127</v>
      </c>
      <c r="CA216" s="776" t="s">
        <v>2127</v>
      </c>
      <c r="CB216" s="776" t="s">
        <v>2127</v>
      </c>
      <c r="CC216" s="776" t="s">
        <v>2127</v>
      </c>
      <c r="CD216" s="776" t="s">
        <v>2127</v>
      </c>
      <c r="CE216" s="776" t="s">
        <v>2127</v>
      </c>
      <c r="CF216" s="776" t="s">
        <v>2127</v>
      </c>
      <c r="CG216" s="776" t="s">
        <v>2127</v>
      </c>
      <c r="CH216" s="776" t="s">
        <v>2127</v>
      </c>
      <c r="CI216" s="776" t="s">
        <v>2127</v>
      </c>
      <c r="CJ216" s="776" t="s">
        <v>2127</v>
      </c>
      <c r="CK216" s="776" t="s">
        <v>2127</v>
      </c>
      <c r="CL216" s="776" t="s">
        <v>2127</v>
      </c>
      <c r="CM216" s="776" t="s">
        <v>2127</v>
      </c>
      <c r="CN216" s="776" t="s">
        <v>2127</v>
      </c>
      <c r="CO216" s="776" t="s">
        <v>2127</v>
      </c>
      <c r="CP216" s="776" t="s">
        <v>2127</v>
      </c>
      <c r="CQ216" s="776" t="s">
        <v>2127</v>
      </c>
      <c r="CR216" s="776" t="s">
        <v>2127</v>
      </c>
      <c r="CS216" s="776" t="s">
        <v>2127</v>
      </c>
      <c r="CT216" s="776" t="s">
        <v>2127</v>
      </c>
      <c r="CU216" s="776" t="s">
        <v>2127</v>
      </c>
      <c r="CV216" s="776" t="s">
        <v>2127</v>
      </c>
      <c r="CW216" s="776" t="s">
        <v>2127</v>
      </c>
      <c r="CX216" s="776" t="s">
        <v>2127</v>
      </c>
      <c r="CY216" s="776" t="s">
        <v>2127</v>
      </c>
      <c r="CZ216" s="776" t="s">
        <v>2127</v>
      </c>
      <c r="DA216" s="776" t="s">
        <v>2127</v>
      </c>
      <c r="DB216" s="776" t="s">
        <v>2127</v>
      </c>
      <c r="DC216" s="776" t="s">
        <v>2127</v>
      </c>
      <c r="DD216" s="776" t="s">
        <v>2127</v>
      </c>
      <c r="DE216" s="776" t="s">
        <v>2127</v>
      </c>
      <c r="DF216" s="776" t="s">
        <v>2127</v>
      </c>
      <c r="DG216" s="776" t="s">
        <v>2127</v>
      </c>
      <c r="DH216" s="776" t="s">
        <v>2127</v>
      </c>
      <c r="DI216" s="776" t="s">
        <v>2127</v>
      </c>
      <c r="DJ216" s="776" t="s">
        <v>2127</v>
      </c>
      <c r="DK216" s="776" t="s">
        <v>2127</v>
      </c>
      <c r="DL216" s="776" t="s">
        <v>2127</v>
      </c>
      <c r="DM216" s="776" t="s">
        <v>2127</v>
      </c>
      <c r="DN216" s="776" t="s">
        <v>2127</v>
      </c>
      <c r="DO216" s="776" t="s">
        <v>2127</v>
      </c>
      <c r="DP216" s="776" t="s">
        <v>2127</v>
      </c>
    </row>
    <row r="217" spans="1:120" x14ac:dyDescent="0.2">
      <c r="A217" s="637" t="s">
        <v>2249</v>
      </c>
      <c r="B217" s="772" t="str" cm="1">
        <f t="array" ref="B217">IFERROR(INDEX(Kulturen[HF],_xlfn.AGGREGATE(15,6,(ROW(Kulturen[Auswahl])-7)/(--(SEARCH("x",Kulturen[Auswahl])&gt;0)),ROW()-7),1),"")</f>
        <v>Tomate</v>
      </c>
      <c r="C217" s="772" t="str">
        <f>IF(Kulturen[[#This Row],[HF]]=$D$373,IF($C$6=0,0,"x"),IF($C$6=0,"x",Vorauswahl!C216))</f>
        <v>x</v>
      </c>
      <c r="D217" s="938" t="s">
        <v>1970</v>
      </c>
      <c r="E217" s="938" t="s">
        <v>1970</v>
      </c>
      <c r="F217" s="938" t="s">
        <v>890</v>
      </c>
      <c r="G217" s="938">
        <v>12</v>
      </c>
      <c r="H217" s="938">
        <v>8</v>
      </c>
      <c r="I217" s="938">
        <v>3</v>
      </c>
      <c r="J217" s="938">
        <v>12</v>
      </c>
      <c r="K217" s="938">
        <v>8.2000000000000003E-2</v>
      </c>
      <c r="L217" s="938">
        <v>0.08</v>
      </c>
      <c r="M217" s="938">
        <v>0</v>
      </c>
      <c r="N217" s="938">
        <v>0</v>
      </c>
      <c r="O217" s="938">
        <v>1</v>
      </c>
      <c r="P217" s="938">
        <v>0</v>
      </c>
      <c r="Q217" s="938">
        <v>140</v>
      </c>
      <c r="R217" s="938">
        <v>10</v>
      </c>
      <c r="S217" s="938">
        <v>0</v>
      </c>
      <c r="T217" s="938">
        <v>0</v>
      </c>
      <c r="U217" s="938">
        <v>0</v>
      </c>
      <c r="V217" s="938">
        <v>1</v>
      </c>
      <c r="W217" s="776">
        <f>IF(Kulturen[[#This Row],[Berechnungsschema]]=13,3,IF(Kulturen[[#This Row],[Berechnungsschema]]=6,2,1))</f>
        <v>1</v>
      </c>
      <c r="X217" s="776">
        <f>IF(Kulturen[[#This Row],[fruchtartengruppe]]=13,Kulturen[[#This Row],[NBedarfswert]],MAX(0,Kulturen[[#This Row],[NBedarfswert]]-Kulturen[[#This Row],[Ertrag]]*Kulturen[[#This Row],[Nfix]]))</f>
        <v>140</v>
      </c>
      <c r="Y217" s="776" t="s">
        <v>2127</v>
      </c>
      <c r="Z217" s="776" t="s">
        <v>2127</v>
      </c>
      <c r="AA217" s="776" t="s">
        <v>2127</v>
      </c>
      <c r="AB217" s="776" t="s">
        <v>2127</v>
      </c>
      <c r="AC217" s="776" t="s">
        <v>2127</v>
      </c>
      <c r="AD217" s="776" t="s">
        <v>2127</v>
      </c>
      <c r="AE217" s="776" t="s">
        <v>2127</v>
      </c>
      <c r="AF217" s="776" t="s">
        <v>2127</v>
      </c>
      <c r="AG217" s="776" t="s">
        <v>2127</v>
      </c>
      <c r="AH217" s="776" t="s">
        <v>2127</v>
      </c>
      <c r="AI217" s="776" t="s">
        <v>2127</v>
      </c>
      <c r="AJ217" s="776" t="s">
        <v>2127</v>
      </c>
      <c r="AK217" s="776" t="s">
        <v>2127</v>
      </c>
      <c r="AL217" s="776" t="s">
        <v>2127</v>
      </c>
      <c r="AM217" s="776" t="s">
        <v>2127</v>
      </c>
      <c r="AN217" s="776" t="s">
        <v>2127</v>
      </c>
      <c r="AO217" s="776" t="s">
        <v>2127</v>
      </c>
      <c r="AP217" s="776" t="s">
        <v>2127</v>
      </c>
      <c r="AQ217" s="776" t="s">
        <v>2127</v>
      </c>
      <c r="AR217" s="776" t="s">
        <v>2127</v>
      </c>
      <c r="AS217" s="776" t="s">
        <v>2127</v>
      </c>
      <c r="AT217" s="776" t="s">
        <v>2127</v>
      </c>
      <c r="AU217" s="776" t="s">
        <v>2127</v>
      </c>
      <c r="AV217" s="776" t="s">
        <v>2127</v>
      </c>
      <c r="AW217" s="776" t="s">
        <v>2127</v>
      </c>
      <c r="AX217" s="776" t="s">
        <v>2127</v>
      </c>
      <c r="AY217" s="776" t="s">
        <v>2127</v>
      </c>
      <c r="AZ217" s="776" t="s">
        <v>2127</v>
      </c>
      <c r="BA217" s="776" t="s">
        <v>2127</v>
      </c>
      <c r="BB217" s="776" t="s">
        <v>2127</v>
      </c>
      <c r="BC217" s="776" t="s">
        <v>2127</v>
      </c>
      <c r="BD217" s="776" t="s">
        <v>2127</v>
      </c>
      <c r="BE217" s="776" t="s">
        <v>2127</v>
      </c>
      <c r="BF217" s="776" t="s">
        <v>2127</v>
      </c>
      <c r="BG217" s="776" t="s">
        <v>2127</v>
      </c>
      <c r="BH217" s="776" t="s">
        <v>2127</v>
      </c>
      <c r="BI217" s="776" t="s">
        <v>2127</v>
      </c>
      <c r="BJ217" s="776" t="s">
        <v>2127</v>
      </c>
      <c r="BK217" s="776" t="s">
        <v>2127</v>
      </c>
      <c r="BL217" s="776" t="s">
        <v>2127</v>
      </c>
      <c r="BM217" s="776" t="s">
        <v>2127</v>
      </c>
      <c r="BN217" s="776" t="s">
        <v>2127</v>
      </c>
      <c r="BO217" s="776" t="s">
        <v>2127</v>
      </c>
      <c r="BP217" s="776" t="s">
        <v>2127</v>
      </c>
      <c r="BQ217" s="776" t="s">
        <v>2127</v>
      </c>
      <c r="BR217" s="776" t="s">
        <v>2127</v>
      </c>
      <c r="BS217" s="776" t="s">
        <v>2127</v>
      </c>
      <c r="BT217" s="776" t="s">
        <v>2127</v>
      </c>
      <c r="BU217" s="776" t="s">
        <v>2127</v>
      </c>
      <c r="BV217" s="776" t="s">
        <v>2127</v>
      </c>
      <c r="BW217" s="776" t="s">
        <v>2127</v>
      </c>
      <c r="BX217" s="776" t="s">
        <v>2127</v>
      </c>
      <c r="BY217" s="776" t="s">
        <v>2127</v>
      </c>
      <c r="BZ217" s="776" t="s">
        <v>2127</v>
      </c>
      <c r="CA217" s="776" t="s">
        <v>2127</v>
      </c>
      <c r="CB217" s="776" t="s">
        <v>2127</v>
      </c>
      <c r="CC217" s="776" t="s">
        <v>2127</v>
      </c>
      <c r="CD217" s="776" t="s">
        <v>2127</v>
      </c>
      <c r="CE217" s="776" t="s">
        <v>2127</v>
      </c>
      <c r="CF217" s="776" t="s">
        <v>2127</v>
      </c>
      <c r="CG217" s="776" t="s">
        <v>2127</v>
      </c>
      <c r="CH217" s="776" t="s">
        <v>2127</v>
      </c>
      <c r="CI217" s="776" t="s">
        <v>2127</v>
      </c>
      <c r="CJ217" s="776" t="s">
        <v>2127</v>
      </c>
      <c r="CK217" s="776" t="s">
        <v>2127</v>
      </c>
      <c r="CL217" s="776" t="s">
        <v>2127</v>
      </c>
      <c r="CM217" s="776" t="s">
        <v>2127</v>
      </c>
      <c r="CN217" s="776" t="s">
        <v>2127</v>
      </c>
      <c r="CO217" s="776" t="s">
        <v>2127</v>
      </c>
      <c r="CP217" s="776" t="s">
        <v>2127</v>
      </c>
      <c r="CQ217" s="776" t="s">
        <v>2127</v>
      </c>
      <c r="CR217" s="776" t="s">
        <v>2127</v>
      </c>
      <c r="CS217" s="776" t="s">
        <v>2127</v>
      </c>
      <c r="CT217" s="776" t="s">
        <v>2127</v>
      </c>
      <c r="CU217" s="776" t="s">
        <v>2127</v>
      </c>
      <c r="CV217" s="776" t="s">
        <v>2127</v>
      </c>
      <c r="CW217" s="776" t="s">
        <v>2127</v>
      </c>
      <c r="CX217" s="776" t="s">
        <v>2127</v>
      </c>
      <c r="CY217" s="776" t="s">
        <v>2127</v>
      </c>
      <c r="CZ217" s="776" t="s">
        <v>2127</v>
      </c>
      <c r="DA217" s="776" t="s">
        <v>2127</v>
      </c>
      <c r="DB217" s="776" t="s">
        <v>2127</v>
      </c>
      <c r="DC217" s="776" t="s">
        <v>2127</v>
      </c>
      <c r="DD217" s="776" t="s">
        <v>2127</v>
      </c>
      <c r="DE217" s="776" t="s">
        <v>2127</v>
      </c>
      <c r="DF217" s="776" t="s">
        <v>2127</v>
      </c>
      <c r="DG217" s="776" t="s">
        <v>2127</v>
      </c>
      <c r="DH217" s="776" t="s">
        <v>2127</v>
      </c>
      <c r="DI217" s="776" t="s">
        <v>2127</v>
      </c>
      <c r="DJ217" s="776" t="s">
        <v>2127</v>
      </c>
      <c r="DK217" s="776" t="s">
        <v>2127</v>
      </c>
      <c r="DL217" s="776" t="s">
        <v>2127</v>
      </c>
      <c r="DM217" s="776" t="s">
        <v>2127</v>
      </c>
      <c r="DN217" s="776" t="s">
        <v>2127</v>
      </c>
      <c r="DO217" s="776" t="s">
        <v>2127</v>
      </c>
      <c r="DP217" s="776" t="s">
        <v>2127</v>
      </c>
    </row>
    <row r="218" spans="1:120" x14ac:dyDescent="0.2">
      <c r="A218" s="637" t="s">
        <v>2250</v>
      </c>
      <c r="B218" s="772" t="str" cm="1">
        <f t="array" ref="B218">IFERROR(INDEX(Kulturen[HF],_xlfn.AGGREGATE(15,6,(ROW(Kulturen[Auswahl])-7)/(--(SEARCH("x",Kulturen[Auswahl])&gt;0)),ROW()-7),1),"")</f>
        <v>Weißkohl, Frischmarkt-</v>
      </c>
      <c r="C218" s="772" t="str">
        <f>IF(Kulturen[[#This Row],[HF]]=$D$373,IF($C$6=0,0,"x"),IF($C$6=0,"x",Vorauswahl!C217))</f>
        <v>x</v>
      </c>
      <c r="D218" s="938" t="s">
        <v>1971</v>
      </c>
      <c r="E218" s="938" t="s">
        <v>1971</v>
      </c>
      <c r="F218" s="938" t="s">
        <v>891</v>
      </c>
      <c r="G218" s="1508">
        <v>5</v>
      </c>
      <c r="H218" s="938">
        <v>8</v>
      </c>
      <c r="I218" s="938">
        <v>3</v>
      </c>
      <c r="J218" s="938">
        <v>12</v>
      </c>
      <c r="K218" s="938">
        <v>8.2000000000000003E-2</v>
      </c>
      <c r="L218" s="938">
        <v>0.08</v>
      </c>
      <c r="M218" s="938">
        <v>20</v>
      </c>
      <c r="N218" s="938">
        <v>0</v>
      </c>
      <c r="O218" s="938">
        <v>1</v>
      </c>
      <c r="P218" s="938">
        <v>0</v>
      </c>
      <c r="Q218" s="938">
        <v>160</v>
      </c>
      <c r="R218" s="938">
        <v>4</v>
      </c>
      <c r="S218" s="938">
        <v>20</v>
      </c>
      <c r="T218" s="938">
        <v>20</v>
      </c>
      <c r="U218" s="938">
        <v>0</v>
      </c>
      <c r="V218" s="938">
        <v>1</v>
      </c>
      <c r="W218" s="776">
        <f>IF(Kulturen[[#This Row],[Berechnungsschema]]=13,3,IF(Kulturen[[#This Row],[Berechnungsschema]]=6,2,1))</f>
        <v>1</v>
      </c>
      <c r="X218" s="776">
        <f>IF(Kulturen[[#This Row],[fruchtartengruppe]]=13,Kulturen[[#This Row],[NBedarfswert]],MAX(0,Kulturen[[#This Row],[NBedarfswert]]-Kulturen[[#This Row],[Ertrag]]*Kulturen[[#This Row],[Nfix]]))</f>
        <v>160</v>
      </c>
      <c r="Y218" s="776" t="s">
        <v>2127</v>
      </c>
      <c r="Z218" s="776" t="s">
        <v>2127</v>
      </c>
      <c r="AA218" s="776" t="s">
        <v>2127</v>
      </c>
      <c r="AB218" s="776" t="s">
        <v>2127</v>
      </c>
      <c r="AC218" s="776" t="s">
        <v>2127</v>
      </c>
      <c r="AD218" s="776" t="s">
        <v>2127</v>
      </c>
      <c r="AE218" s="776" t="s">
        <v>2127</v>
      </c>
      <c r="AF218" s="776" t="s">
        <v>2127</v>
      </c>
      <c r="AG218" s="776" t="s">
        <v>2127</v>
      </c>
      <c r="AH218" s="776" t="s">
        <v>2127</v>
      </c>
      <c r="AI218" s="776" t="s">
        <v>2127</v>
      </c>
      <c r="AJ218" s="776" t="s">
        <v>2127</v>
      </c>
      <c r="AK218" s="776" t="s">
        <v>2127</v>
      </c>
      <c r="AL218" s="776" t="s">
        <v>2127</v>
      </c>
      <c r="AM218" s="776" t="s">
        <v>2127</v>
      </c>
      <c r="AN218" s="776" t="s">
        <v>2127</v>
      </c>
      <c r="AO218" s="776" t="s">
        <v>2127</v>
      </c>
      <c r="AP218" s="776" t="s">
        <v>2127</v>
      </c>
      <c r="AQ218" s="776" t="s">
        <v>2127</v>
      </c>
      <c r="AR218" s="776" t="s">
        <v>2127</v>
      </c>
      <c r="AS218" s="776" t="s">
        <v>2127</v>
      </c>
      <c r="AT218" s="776" t="s">
        <v>2127</v>
      </c>
      <c r="AU218" s="776" t="s">
        <v>2127</v>
      </c>
      <c r="AV218" s="776" t="s">
        <v>2127</v>
      </c>
      <c r="AW218" s="776" t="s">
        <v>2127</v>
      </c>
      <c r="AX218" s="776" t="s">
        <v>2127</v>
      </c>
      <c r="AY218" s="776" t="s">
        <v>2127</v>
      </c>
      <c r="AZ218" s="776" t="s">
        <v>2127</v>
      </c>
      <c r="BA218" s="776" t="s">
        <v>2127</v>
      </c>
      <c r="BB218" s="776" t="s">
        <v>2127</v>
      </c>
      <c r="BC218" s="776" t="s">
        <v>2127</v>
      </c>
      <c r="BD218" s="776" t="s">
        <v>2127</v>
      </c>
      <c r="BE218" s="776" t="s">
        <v>2127</v>
      </c>
      <c r="BF218" s="776" t="s">
        <v>2127</v>
      </c>
      <c r="BG218" s="776" t="s">
        <v>2127</v>
      </c>
      <c r="BH218" s="776" t="s">
        <v>2127</v>
      </c>
      <c r="BI218" s="776" t="s">
        <v>2127</v>
      </c>
      <c r="BJ218" s="776" t="s">
        <v>2127</v>
      </c>
      <c r="BK218" s="776" t="s">
        <v>2127</v>
      </c>
      <c r="BL218" s="776" t="s">
        <v>2127</v>
      </c>
      <c r="BM218" s="776" t="s">
        <v>2127</v>
      </c>
      <c r="BN218" s="776" t="s">
        <v>2127</v>
      </c>
      <c r="BO218" s="776" t="s">
        <v>2127</v>
      </c>
      <c r="BP218" s="776" t="s">
        <v>2127</v>
      </c>
      <c r="BQ218" s="776" t="s">
        <v>2127</v>
      </c>
      <c r="BR218" s="776" t="s">
        <v>2127</v>
      </c>
      <c r="BS218" s="776" t="s">
        <v>2127</v>
      </c>
      <c r="BT218" s="776" t="s">
        <v>2127</v>
      </c>
      <c r="BU218" s="776" t="s">
        <v>2127</v>
      </c>
      <c r="BV218" s="776" t="s">
        <v>2127</v>
      </c>
      <c r="BW218" s="776" t="s">
        <v>2127</v>
      </c>
      <c r="BX218" s="776" t="s">
        <v>2127</v>
      </c>
      <c r="BY218" s="776" t="s">
        <v>2127</v>
      </c>
      <c r="BZ218" s="776" t="s">
        <v>2127</v>
      </c>
      <c r="CA218" s="776" t="s">
        <v>2127</v>
      </c>
      <c r="CB218" s="776" t="s">
        <v>2127</v>
      </c>
      <c r="CC218" s="776" t="s">
        <v>2127</v>
      </c>
      <c r="CD218" s="776" t="s">
        <v>2127</v>
      </c>
      <c r="CE218" s="776" t="s">
        <v>2127</v>
      </c>
      <c r="CF218" s="776" t="s">
        <v>2127</v>
      </c>
      <c r="CG218" s="776" t="s">
        <v>2127</v>
      </c>
      <c r="CH218" s="776" t="s">
        <v>2127</v>
      </c>
      <c r="CI218" s="776" t="s">
        <v>2127</v>
      </c>
      <c r="CJ218" s="776" t="s">
        <v>2127</v>
      </c>
      <c r="CK218" s="776" t="s">
        <v>2127</v>
      </c>
      <c r="CL218" s="776" t="s">
        <v>2127</v>
      </c>
      <c r="CM218" s="776" t="s">
        <v>2127</v>
      </c>
      <c r="CN218" s="776" t="s">
        <v>2127</v>
      </c>
      <c r="CO218" s="776" t="s">
        <v>2127</v>
      </c>
      <c r="CP218" s="776" t="s">
        <v>2127</v>
      </c>
      <c r="CQ218" s="776" t="s">
        <v>2127</v>
      </c>
      <c r="CR218" s="776" t="s">
        <v>2127</v>
      </c>
      <c r="CS218" s="776" t="s">
        <v>2127</v>
      </c>
      <c r="CT218" s="776" t="s">
        <v>2127</v>
      </c>
      <c r="CU218" s="776" t="s">
        <v>2127</v>
      </c>
      <c r="CV218" s="776" t="s">
        <v>2127</v>
      </c>
      <c r="CW218" s="776" t="s">
        <v>2127</v>
      </c>
      <c r="CX218" s="776" t="s">
        <v>2127</v>
      </c>
      <c r="CY218" s="776" t="s">
        <v>2127</v>
      </c>
      <c r="CZ218" s="776" t="s">
        <v>2127</v>
      </c>
      <c r="DA218" s="776" t="s">
        <v>2127</v>
      </c>
      <c r="DB218" s="776" t="s">
        <v>2127</v>
      </c>
      <c r="DC218" s="776" t="s">
        <v>2127</v>
      </c>
      <c r="DD218" s="776" t="s">
        <v>2127</v>
      </c>
      <c r="DE218" s="776" t="s">
        <v>2127</v>
      </c>
      <c r="DF218" s="776" t="s">
        <v>2127</v>
      </c>
      <c r="DG218" s="776" t="s">
        <v>2127</v>
      </c>
      <c r="DH218" s="776" t="s">
        <v>2127</v>
      </c>
      <c r="DI218" s="776" t="s">
        <v>2127</v>
      </c>
      <c r="DJ218" s="776" t="s">
        <v>2127</v>
      </c>
      <c r="DK218" s="776" t="s">
        <v>2127</v>
      </c>
      <c r="DL218" s="776" t="s">
        <v>2127</v>
      </c>
      <c r="DM218" s="776" t="s">
        <v>2127</v>
      </c>
      <c r="DN218" s="776" t="s">
        <v>2127</v>
      </c>
      <c r="DO218" s="776" t="s">
        <v>2127</v>
      </c>
      <c r="DP218" s="776" t="s">
        <v>2127</v>
      </c>
    </row>
    <row r="219" spans="1:120" x14ac:dyDescent="0.2">
      <c r="A219" s="637" t="s">
        <v>2251</v>
      </c>
      <c r="B219" s="772" t="str" cm="1">
        <f t="array" ref="B219">IFERROR(INDEX(Kulturen[HF],_xlfn.AGGREGATE(15,6,(ROW(Kulturen[Auswahl])-7)/(--(SEARCH("x",Kulturen[Auswahl])&gt;0)),ROW()-7),1),"")</f>
        <v>Weißkohl, Industrie-</v>
      </c>
      <c r="C219" s="772" t="str">
        <f>IF(Kulturen[[#This Row],[HF]]=$D$373,IF($C$6=0,0,"x"),IF($C$6=0,"x",Vorauswahl!C218))</f>
        <v>x</v>
      </c>
      <c r="D219" s="938" t="s">
        <v>1972</v>
      </c>
      <c r="E219" s="938" t="s">
        <v>1972</v>
      </c>
      <c r="F219" s="938" t="s">
        <v>892</v>
      </c>
      <c r="G219" s="1508">
        <v>5</v>
      </c>
      <c r="H219" s="938">
        <v>8</v>
      </c>
      <c r="I219" s="938">
        <v>3</v>
      </c>
      <c r="J219" s="938">
        <v>12</v>
      </c>
      <c r="K219" s="938">
        <v>8.2000000000000003E-2</v>
      </c>
      <c r="L219" s="938">
        <v>0.08</v>
      </c>
      <c r="M219" s="938">
        <v>80</v>
      </c>
      <c r="N219" s="938">
        <v>0</v>
      </c>
      <c r="O219" s="938">
        <v>1</v>
      </c>
      <c r="P219" s="938">
        <v>0</v>
      </c>
      <c r="Q219" s="938">
        <v>160</v>
      </c>
      <c r="R219" s="938">
        <v>16</v>
      </c>
      <c r="S219" s="938">
        <v>20</v>
      </c>
      <c r="T219" s="938">
        <v>20</v>
      </c>
      <c r="U219" s="938">
        <v>0</v>
      </c>
      <c r="V219" s="938">
        <v>1</v>
      </c>
      <c r="W219" s="776">
        <f>IF(Kulturen[[#This Row],[Berechnungsschema]]=13,3,IF(Kulturen[[#This Row],[Berechnungsschema]]=6,2,1))</f>
        <v>1</v>
      </c>
      <c r="X219" s="776">
        <f>IF(Kulturen[[#This Row],[fruchtartengruppe]]=13,Kulturen[[#This Row],[NBedarfswert]],MAX(0,Kulturen[[#This Row],[NBedarfswert]]-Kulturen[[#This Row],[Ertrag]]*Kulturen[[#This Row],[Nfix]]))</f>
        <v>160</v>
      </c>
      <c r="Y219" s="776" t="s">
        <v>2127</v>
      </c>
      <c r="Z219" s="776" t="s">
        <v>2127</v>
      </c>
      <c r="AA219" s="776" t="s">
        <v>2127</v>
      </c>
      <c r="AB219" s="776" t="s">
        <v>2127</v>
      </c>
      <c r="AC219" s="776" t="s">
        <v>2127</v>
      </c>
      <c r="AD219" s="776" t="s">
        <v>2127</v>
      </c>
      <c r="AE219" s="776" t="s">
        <v>2127</v>
      </c>
      <c r="AF219" s="776" t="s">
        <v>2127</v>
      </c>
      <c r="AG219" s="776" t="s">
        <v>2127</v>
      </c>
      <c r="AH219" s="776" t="s">
        <v>2127</v>
      </c>
      <c r="AI219" s="776" t="s">
        <v>2127</v>
      </c>
      <c r="AJ219" s="776" t="s">
        <v>2127</v>
      </c>
      <c r="AK219" s="776" t="s">
        <v>2127</v>
      </c>
      <c r="AL219" s="776" t="s">
        <v>2127</v>
      </c>
      <c r="AM219" s="776" t="s">
        <v>2127</v>
      </c>
      <c r="AN219" s="776" t="s">
        <v>2127</v>
      </c>
      <c r="AO219" s="776" t="s">
        <v>2127</v>
      </c>
      <c r="AP219" s="776" t="s">
        <v>2127</v>
      </c>
      <c r="AQ219" s="776" t="s">
        <v>2127</v>
      </c>
      <c r="AR219" s="776" t="s">
        <v>2127</v>
      </c>
      <c r="AS219" s="776" t="s">
        <v>2127</v>
      </c>
      <c r="AT219" s="776" t="s">
        <v>2127</v>
      </c>
      <c r="AU219" s="776" t="s">
        <v>2127</v>
      </c>
      <c r="AV219" s="776" t="s">
        <v>2127</v>
      </c>
      <c r="AW219" s="776" t="s">
        <v>2127</v>
      </c>
      <c r="AX219" s="776" t="s">
        <v>2127</v>
      </c>
      <c r="AY219" s="776" t="s">
        <v>2127</v>
      </c>
      <c r="AZ219" s="776" t="s">
        <v>2127</v>
      </c>
      <c r="BA219" s="776" t="s">
        <v>2127</v>
      </c>
      <c r="BB219" s="776" t="s">
        <v>2127</v>
      </c>
      <c r="BC219" s="776" t="s">
        <v>2127</v>
      </c>
      <c r="BD219" s="776" t="s">
        <v>2127</v>
      </c>
      <c r="BE219" s="776" t="s">
        <v>2127</v>
      </c>
      <c r="BF219" s="776" t="s">
        <v>2127</v>
      </c>
      <c r="BG219" s="776" t="s">
        <v>2127</v>
      </c>
      <c r="BH219" s="776" t="s">
        <v>2127</v>
      </c>
      <c r="BI219" s="776" t="s">
        <v>2127</v>
      </c>
      <c r="BJ219" s="776" t="s">
        <v>2127</v>
      </c>
      <c r="BK219" s="776" t="s">
        <v>2127</v>
      </c>
      <c r="BL219" s="776" t="s">
        <v>2127</v>
      </c>
      <c r="BM219" s="776" t="s">
        <v>2127</v>
      </c>
      <c r="BN219" s="776" t="s">
        <v>2127</v>
      </c>
      <c r="BO219" s="776" t="s">
        <v>2127</v>
      </c>
      <c r="BP219" s="776" t="s">
        <v>2127</v>
      </c>
      <c r="BQ219" s="776" t="s">
        <v>2127</v>
      </c>
      <c r="BR219" s="776" t="s">
        <v>2127</v>
      </c>
      <c r="BS219" s="776" t="s">
        <v>2127</v>
      </c>
      <c r="BT219" s="776" t="s">
        <v>2127</v>
      </c>
      <c r="BU219" s="776" t="s">
        <v>2127</v>
      </c>
      <c r="BV219" s="776" t="s">
        <v>2127</v>
      </c>
      <c r="BW219" s="776" t="s">
        <v>2127</v>
      </c>
      <c r="BX219" s="776" t="s">
        <v>2127</v>
      </c>
      <c r="BY219" s="776" t="s">
        <v>2127</v>
      </c>
      <c r="BZ219" s="776" t="s">
        <v>2127</v>
      </c>
      <c r="CA219" s="776" t="s">
        <v>2127</v>
      </c>
      <c r="CB219" s="776" t="s">
        <v>2127</v>
      </c>
      <c r="CC219" s="776" t="s">
        <v>2127</v>
      </c>
      <c r="CD219" s="776" t="s">
        <v>2127</v>
      </c>
      <c r="CE219" s="776" t="s">
        <v>2127</v>
      </c>
      <c r="CF219" s="776" t="s">
        <v>2127</v>
      </c>
      <c r="CG219" s="776" t="s">
        <v>2127</v>
      </c>
      <c r="CH219" s="776" t="s">
        <v>2127</v>
      </c>
      <c r="CI219" s="776" t="s">
        <v>2127</v>
      </c>
      <c r="CJ219" s="776" t="s">
        <v>2127</v>
      </c>
      <c r="CK219" s="776" t="s">
        <v>2127</v>
      </c>
      <c r="CL219" s="776" t="s">
        <v>2127</v>
      </c>
      <c r="CM219" s="776" t="s">
        <v>2127</v>
      </c>
      <c r="CN219" s="776" t="s">
        <v>2127</v>
      </c>
      <c r="CO219" s="776" t="s">
        <v>2127</v>
      </c>
      <c r="CP219" s="776" t="s">
        <v>2127</v>
      </c>
      <c r="CQ219" s="776" t="s">
        <v>2127</v>
      </c>
      <c r="CR219" s="776" t="s">
        <v>2127</v>
      </c>
      <c r="CS219" s="776" t="s">
        <v>2127</v>
      </c>
      <c r="CT219" s="776" t="s">
        <v>2127</v>
      </c>
      <c r="CU219" s="776" t="s">
        <v>2127</v>
      </c>
      <c r="CV219" s="776" t="s">
        <v>2127</v>
      </c>
      <c r="CW219" s="776" t="s">
        <v>2127</v>
      </c>
      <c r="CX219" s="776" t="s">
        <v>2127</v>
      </c>
      <c r="CY219" s="776" t="s">
        <v>2127</v>
      </c>
      <c r="CZ219" s="776" t="s">
        <v>2127</v>
      </c>
      <c r="DA219" s="776" t="s">
        <v>2127</v>
      </c>
      <c r="DB219" s="776" t="s">
        <v>2127</v>
      </c>
      <c r="DC219" s="776" t="s">
        <v>2127</v>
      </c>
      <c r="DD219" s="776" t="s">
        <v>2127</v>
      </c>
      <c r="DE219" s="776" t="s">
        <v>2127</v>
      </c>
      <c r="DF219" s="776" t="s">
        <v>2127</v>
      </c>
      <c r="DG219" s="776" t="s">
        <v>2127</v>
      </c>
      <c r="DH219" s="776" t="s">
        <v>2127</v>
      </c>
      <c r="DI219" s="776" t="s">
        <v>2127</v>
      </c>
      <c r="DJ219" s="776" t="s">
        <v>2127</v>
      </c>
      <c r="DK219" s="776" t="s">
        <v>2127</v>
      </c>
      <c r="DL219" s="776" t="s">
        <v>2127</v>
      </c>
      <c r="DM219" s="776" t="s">
        <v>2127</v>
      </c>
      <c r="DN219" s="776" t="s">
        <v>2127</v>
      </c>
      <c r="DO219" s="776" t="s">
        <v>2127</v>
      </c>
      <c r="DP219" s="776" t="s">
        <v>2127</v>
      </c>
    </row>
    <row r="220" spans="1:120" x14ac:dyDescent="0.2">
      <c r="A220" s="637" t="s">
        <v>2252</v>
      </c>
      <c r="B220" s="772" t="str" cm="1">
        <f t="array" ref="B220">IFERROR(INDEX(Kulturen[HF],_xlfn.AGGREGATE(15,6,(ROW(Kulturen[Auswahl])-7)/(--(SEARCH("x",Kulturen[Auswahl])&gt;0)),ROW()-7),1),"")</f>
        <v>Wirsing</v>
      </c>
      <c r="C220" s="772" t="str">
        <f>IF(Kulturen[[#This Row],[HF]]=$D$373,IF($C$6=0,0,"x"),IF($C$6=0,"x",Vorauswahl!C219))</f>
        <v>x</v>
      </c>
      <c r="D220" s="938" t="s">
        <v>1973</v>
      </c>
      <c r="E220" s="938" t="s">
        <v>2404</v>
      </c>
      <c r="F220" s="938" t="s">
        <v>893</v>
      </c>
      <c r="G220" s="1508">
        <v>5</v>
      </c>
      <c r="H220" s="938">
        <v>8</v>
      </c>
      <c r="I220" s="938">
        <v>3</v>
      </c>
      <c r="J220" s="938">
        <v>12</v>
      </c>
      <c r="K220" s="938">
        <v>8.2000000000000003E-2</v>
      </c>
      <c r="L220" s="938">
        <v>0.08</v>
      </c>
      <c r="M220" s="938">
        <v>100</v>
      </c>
      <c r="N220" s="938">
        <v>0</v>
      </c>
      <c r="O220" s="938">
        <v>1</v>
      </c>
      <c r="P220" s="938">
        <v>0</v>
      </c>
      <c r="Q220" s="938">
        <v>80</v>
      </c>
      <c r="R220" s="938">
        <v>20</v>
      </c>
      <c r="S220" s="938">
        <v>20</v>
      </c>
      <c r="T220" s="938">
        <v>20</v>
      </c>
      <c r="U220" s="938">
        <v>0</v>
      </c>
      <c r="V220" s="938">
        <v>1</v>
      </c>
      <c r="W220" s="776">
        <f>IF(Kulturen[[#This Row],[Berechnungsschema]]=13,3,IF(Kulturen[[#This Row],[Berechnungsschema]]=6,2,1))</f>
        <v>1</v>
      </c>
      <c r="X220" s="776">
        <f>IF(Kulturen[[#This Row],[fruchtartengruppe]]=13,Kulturen[[#This Row],[NBedarfswert]],MAX(0,Kulturen[[#This Row],[NBedarfswert]]-Kulturen[[#This Row],[Ertrag]]*Kulturen[[#This Row],[Nfix]]))</f>
        <v>80</v>
      </c>
      <c r="Y220" s="776" t="s">
        <v>2127</v>
      </c>
      <c r="Z220" s="776" t="s">
        <v>2127</v>
      </c>
      <c r="AA220" s="776" t="s">
        <v>2127</v>
      </c>
      <c r="AB220" s="776" t="s">
        <v>2127</v>
      </c>
      <c r="AC220" s="776" t="s">
        <v>2127</v>
      </c>
      <c r="AD220" s="776" t="s">
        <v>2127</v>
      </c>
      <c r="AE220" s="776" t="s">
        <v>2127</v>
      </c>
      <c r="AF220" s="776" t="s">
        <v>2127</v>
      </c>
      <c r="AG220" s="776" t="s">
        <v>2127</v>
      </c>
      <c r="AH220" s="776" t="s">
        <v>2127</v>
      </c>
      <c r="AI220" s="776" t="s">
        <v>2127</v>
      </c>
      <c r="AJ220" s="776" t="s">
        <v>2127</v>
      </c>
      <c r="AK220" s="776" t="s">
        <v>2127</v>
      </c>
      <c r="AL220" s="776" t="s">
        <v>2127</v>
      </c>
      <c r="AM220" s="776" t="s">
        <v>2127</v>
      </c>
      <c r="AN220" s="776" t="s">
        <v>2127</v>
      </c>
      <c r="AO220" s="776" t="s">
        <v>2127</v>
      </c>
      <c r="AP220" s="776" t="s">
        <v>2127</v>
      </c>
      <c r="AQ220" s="776" t="s">
        <v>2127</v>
      </c>
      <c r="AR220" s="776" t="s">
        <v>2127</v>
      </c>
      <c r="AS220" s="776" t="s">
        <v>2127</v>
      </c>
      <c r="AT220" s="776" t="s">
        <v>2127</v>
      </c>
      <c r="AU220" s="776" t="s">
        <v>2127</v>
      </c>
      <c r="AV220" s="776" t="s">
        <v>2127</v>
      </c>
      <c r="AW220" s="776" t="s">
        <v>2127</v>
      </c>
      <c r="AX220" s="776" t="s">
        <v>2127</v>
      </c>
      <c r="AY220" s="776" t="s">
        <v>2127</v>
      </c>
      <c r="AZ220" s="776" t="s">
        <v>2127</v>
      </c>
      <c r="BA220" s="776" t="s">
        <v>2127</v>
      </c>
      <c r="BB220" s="776" t="s">
        <v>2127</v>
      </c>
      <c r="BC220" s="776" t="s">
        <v>2127</v>
      </c>
      <c r="BD220" s="776" t="s">
        <v>2127</v>
      </c>
      <c r="BE220" s="776" t="s">
        <v>2127</v>
      </c>
      <c r="BF220" s="776" t="s">
        <v>2127</v>
      </c>
      <c r="BG220" s="776" t="s">
        <v>2127</v>
      </c>
      <c r="BH220" s="776" t="s">
        <v>2127</v>
      </c>
      <c r="BI220" s="776" t="s">
        <v>2127</v>
      </c>
      <c r="BJ220" s="776" t="s">
        <v>2127</v>
      </c>
      <c r="BK220" s="776" t="s">
        <v>2127</v>
      </c>
      <c r="BL220" s="776" t="s">
        <v>2127</v>
      </c>
      <c r="BM220" s="776" t="s">
        <v>2127</v>
      </c>
      <c r="BN220" s="776" t="s">
        <v>2127</v>
      </c>
      <c r="BO220" s="776" t="s">
        <v>2127</v>
      </c>
      <c r="BP220" s="776" t="s">
        <v>2127</v>
      </c>
      <c r="BQ220" s="776" t="s">
        <v>2127</v>
      </c>
      <c r="BR220" s="776" t="s">
        <v>2127</v>
      </c>
      <c r="BS220" s="776" t="s">
        <v>2127</v>
      </c>
      <c r="BT220" s="776" t="s">
        <v>2127</v>
      </c>
      <c r="BU220" s="776" t="s">
        <v>2127</v>
      </c>
      <c r="BV220" s="776" t="s">
        <v>2127</v>
      </c>
      <c r="BW220" s="776" t="s">
        <v>2127</v>
      </c>
      <c r="BX220" s="776" t="s">
        <v>2127</v>
      </c>
      <c r="BY220" s="776" t="s">
        <v>2127</v>
      </c>
      <c r="BZ220" s="776" t="s">
        <v>2127</v>
      </c>
      <c r="CA220" s="776" t="s">
        <v>2127</v>
      </c>
      <c r="CB220" s="776" t="s">
        <v>2127</v>
      </c>
      <c r="CC220" s="776" t="s">
        <v>2127</v>
      </c>
      <c r="CD220" s="776" t="s">
        <v>2127</v>
      </c>
      <c r="CE220" s="776" t="s">
        <v>2127</v>
      </c>
      <c r="CF220" s="776" t="s">
        <v>2127</v>
      </c>
      <c r="CG220" s="776" t="s">
        <v>2127</v>
      </c>
      <c r="CH220" s="776" t="s">
        <v>2127</v>
      </c>
      <c r="CI220" s="776" t="s">
        <v>2127</v>
      </c>
      <c r="CJ220" s="776" t="s">
        <v>2127</v>
      </c>
      <c r="CK220" s="776" t="s">
        <v>2127</v>
      </c>
      <c r="CL220" s="776" t="s">
        <v>2127</v>
      </c>
      <c r="CM220" s="776" t="s">
        <v>2127</v>
      </c>
      <c r="CN220" s="776" t="s">
        <v>2127</v>
      </c>
      <c r="CO220" s="776" t="s">
        <v>2127</v>
      </c>
      <c r="CP220" s="776" t="s">
        <v>2127</v>
      </c>
      <c r="CQ220" s="776" t="s">
        <v>2127</v>
      </c>
      <c r="CR220" s="776" t="s">
        <v>2127</v>
      </c>
      <c r="CS220" s="776" t="s">
        <v>2127</v>
      </c>
      <c r="CT220" s="776" t="s">
        <v>2127</v>
      </c>
      <c r="CU220" s="776" t="s">
        <v>2127</v>
      </c>
      <c r="CV220" s="776" t="s">
        <v>2127</v>
      </c>
      <c r="CW220" s="776" t="s">
        <v>2127</v>
      </c>
      <c r="CX220" s="776" t="s">
        <v>2127</v>
      </c>
      <c r="CY220" s="776" t="s">
        <v>2127</v>
      </c>
      <c r="CZ220" s="776" t="s">
        <v>2127</v>
      </c>
      <c r="DA220" s="776" t="s">
        <v>2127</v>
      </c>
      <c r="DB220" s="776" t="s">
        <v>2127</v>
      </c>
      <c r="DC220" s="776" t="s">
        <v>2127</v>
      </c>
      <c r="DD220" s="776" t="s">
        <v>2127</v>
      </c>
      <c r="DE220" s="776" t="s">
        <v>2127</v>
      </c>
      <c r="DF220" s="776" t="s">
        <v>2127</v>
      </c>
      <c r="DG220" s="776" t="s">
        <v>2127</v>
      </c>
      <c r="DH220" s="776" t="s">
        <v>2127</v>
      </c>
      <c r="DI220" s="776" t="s">
        <v>2127</v>
      </c>
      <c r="DJ220" s="776" t="s">
        <v>2127</v>
      </c>
      <c r="DK220" s="776" t="s">
        <v>2127</v>
      </c>
      <c r="DL220" s="776" t="s">
        <v>2127</v>
      </c>
      <c r="DM220" s="776" t="s">
        <v>2127</v>
      </c>
      <c r="DN220" s="776" t="s">
        <v>2127</v>
      </c>
      <c r="DO220" s="776" t="s">
        <v>2127</v>
      </c>
      <c r="DP220" s="776" t="s">
        <v>2127</v>
      </c>
    </row>
    <row r="221" spans="1:120" x14ac:dyDescent="0.2">
      <c r="A221" s="637" t="s">
        <v>2253</v>
      </c>
      <c r="B221" s="772" t="str" cm="1">
        <f t="array" ref="B221">IFERROR(INDEX(Kulturen[HF],_xlfn.AGGREGATE(15,6,(ROW(Kulturen[Auswahl])-7)/(--(SEARCH("x",Kulturen[Auswahl])&gt;0)),ROW()-7),1),"")</f>
        <v>Zucchini</v>
      </c>
      <c r="C221" s="772" t="str">
        <f>IF(Kulturen[[#This Row],[HF]]=$D$373,IF($C$6=0,0,"x"),IF($C$6=0,"x",Vorauswahl!C220))</f>
        <v>x</v>
      </c>
      <c r="D221" s="938" t="s">
        <v>1974</v>
      </c>
      <c r="E221" s="938" t="s">
        <v>1974</v>
      </c>
      <c r="F221" s="938" t="s">
        <v>894</v>
      </c>
      <c r="G221" s="938">
        <v>12</v>
      </c>
      <c r="H221" s="938">
        <v>8</v>
      </c>
      <c r="I221" s="938">
        <v>3</v>
      </c>
      <c r="J221" s="938">
        <v>12</v>
      </c>
      <c r="K221" s="938">
        <v>0.115</v>
      </c>
      <c r="L221" s="938">
        <v>0.12</v>
      </c>
      <c r="M221" s="938">
        <v>100</v>
      </c>
      <c r="N221" s="938">
        <v>0</v>
      </c>
      <c r="O221" s="938">
        <v>1</v>
      </c>
      <c r="P221" s="938">
        <v>0</v>
      </c>
      <c r="Q221" s="938">
        <v>100</v>
      </c>
      <c r="R221" s="938">
        <v>20</v>
      </c>
      <c r="S221" s="938">
        <v>20</v>
      </c>
      <c r="T221" s="938">
        <v>20</v>
      </c>
      <c r="U221" s="938">
        <v>0</v>
      </c>
      <c r="V221" s="938">
        <v>1</v>
      </c>
      <c r="W221" s="776">
        <f>IF(Kulturen[[#This Row],[Berechnungsschema]]=13,3,IF(Kulturen[[#This Row],[Berechnungsschema]]=6,2,1))</f>
        <v>1</v>
      </c>
      <c r="X221" s="776">
        <f>IF(Kulturen[[#This Row],[fruchtartengruppe]]=13,Kulturen[[#This Row],[NBedarfswert]],MAX(0,Kulturen[[#This Row],[NBedarfswert]]-Kulturen[[#This Row],[Ertrag]]*Kulturen[[#This Row],[Nfix]]))</f>
        <v>100</v>
      </c>
      <c r="Y221" s="776" t="s">
        <v>2127</v>
      </c>
      <c r="Z221" s="776" t="s">
        <v>2127</v>
      </c>
      <c r="AA221" s="776" t="s">
        <v>2127</v>
      </c>
      <c r="AB221" s="776" t="s">
        <v>2127</v>
      </c>
      <c r="AC221" s="776" t="s">
        <v>2127</v>
      </c>
      <c r="AD221" s="776" t="s">
        <v>2127</v>
      </c>
      <c r="AE221" s="776" t="s">
        <v>2127</v>
      </c>
      <c r="AF221" s="776" t="s">
        <v>2127</v>
      </c>
      <c r="AG221" s="776" t="s">
        <v>2127</v>
      </c>
      <c r="AH221" s="776" t="s">
        <v>2127</v>
      </c>
      <c r="AI221" s="776" t="s">
        <v>2127</v>
      </c>
      <c r="AJ221" s="776" t="s">
        <v>2127</v>
      </c>
      <c r="AK221" s="776" t="s">
        <v>2127</v>
      </c>
      <c r="AL221" s="776" t="s">
        <v>2127</v>
      </c>
      <c r="AM221" s="776" t="s">
        <v>2127</v>
      </c>
      <c r="AN221" s="776" t="s">
        <v>2127</v>
      </c>
      <c r="AO221" s="776" t="s">
        <v>2127</v>
      </c>
      <c r="AP221" s="776" t="s">
        <v>2127</v>
      </c>
      <c r="AQ221" s="776" t="s">
        <v>2127</v>
      </c>
      <c r="AR221" s="776" t="s">
        <v>2127</v>
      </c>
      <c r="AS221" s="776" t="s">
        <v>2127</v>
      </c>
      <c r="AT221" s="776" t="s">
        <v>2127</v>
      </c>
      <c r="AU221" s="776" t="s">
        <v>2127</v>
      </c>
      <c r="AV221" s="776" t="s">
        <v>2127</v>
      </c>
      <c r="AW221" s="776" t="s">
        <v>2127</v>
      </c>
      <c r="AX221" s="776" t="s">
        <v>2127</v>
      </c>
      <c r="AY221" s="776" t="s">
        <v>2127</v>
      </c>
      <c r="AZ221" s="776" t="s">
        <v>2127</v>
      </c>
      <c r="BA221" s="776" t="s">
        <v>2127</v>
      </c>
      <c r="BB221" s="776" t="s">
        <v>2127</v>
      </c>
      <c r="BC221" s="776" t="s">
        <v>2127</v>
      </c>
      <c r="BD221" s="776" t="s">
        <v>2127</v>
      </c>
      <c r="BE221" s="776" t="s">
        <v>2127</v>
      </c>
      <c r="BF221" s="776" t="s">
        <v>2127</v>
      </c>
      <c r="BG221" s="776" t="s">
        <v>2127</v>
      </c>
      <c r="BH221" s="776" t="s">
        <v>2127</v>
      </c>
      <c r="BI221" s="776" t="s">
        <v>2127</v>
      </c>
      <c r="BJ221" s="776" t="s">
        <v>2127</v>
      </c>
      <c r="BK221" s="776" t="s">
        <v>2127</v>
      </c>
      <c r="BL221" s="776" t="s">
        <v>2127</v>
      </c>
      <c r="BM221" s="776" t="s">
        <v>2127</v>
      </c>
      <c r="BN221" s="776" t="s">
        <v>2127</v>
      </c>
      <c r="BO221" s="776" t="s">
        <v>2127</v>
      </c>
      <c r="BP221" s="776" t="s">
        <v>2127</v>
      </c>
      <c r="BQ221" s="776" t="s">
        <v>2127</v>
      </c>
      <c r="BR221" s="776" t="s">
        <v>2127</v>
      </c>
      <c r="BS221" s="776" t="s">
        <v>2127</v>
      </c>
      <c r="BT221" s="776" t="s">
        <v>2127</v>
      </c>
      <c r="BU221" s="776" t="s">
        <v>2127</v>
      </c>
      <c r="BV221" s="776" t="s">
        <v>2127</v>
      </c>
      <c r="BW221" s="776" t="s">
        <v>2127</v>
      </c>
      <c r="BX221" s="776" t="s">
        <v>2127</v>
      </c>
      <c r="BY221" s="776" t="s">
        <v>2127</v>
      </c>
      <c r="BZ221" s="776" t="s">
        <v>2127</v>
      </c>
      <c r="CA221" s="776" t="s">
        <v>2127</v>
      </c>
      <c r="CB221" s="776" t="s">
        <v>2127</v>
      </c>
      <c r="CC221" s="776" t="s">
        <v>2127</v>
      </c>
      <c r="CD221" s="776" t="s">
        <v>2127</v>
      </c>
      <c r="CE221" s="776" t="s">
        <v>2127</v>
      </c>
      <c r="CF221" s="776" t="s">
        <v>2127</v>
      </c>
      <c r="CG221" s="776" t="s">
        <v>2127</v>
      </c>
      <c r="CH221" s="776" t="s">
        <v>2127</v>
      </c>
      <c r="CI221" s="776" t="s">
        <v>2127</v>
      </c>
      <c r="CJ221" s="776" t="s">
        <v>2127</v>
      </c>
      <c r="CK221" s="776" t="s">
        <v>2127</v>
      </c>
      <c r="CL221" s="776" t="s">
        <v>2127</v>
      </c>
      <c r="CM221" s="776" t="s">
        <v>2127</v>
      </c>
      <c r="CN221" s="776" t="s">
        <v>2127</v>
      </c>
      <c r="CO221" s="776" t="s">
        <v>2127</v>
      </c>
      <c r="CP221" s="776" t="s">
        <v>2127</v>
      </c>
      <c r="CQ221" s="776" t="s">
        <v>2127</v>
      </c>
      <c r="CR221" s="776" t="s">
        <v>2127</v>
      </c>
      <c r="CS221" s="776" t="s">
        <v>2127</v>
      </c>
      <c r="CT221" s="776" t="s">
        <v>2127</v>
      </c>
      <c r="CU221" s="776" t="s">
        <v>2127</v>
      </c>
      <c r="CV221" s="776" t="s">
        <v>2127</v>
      </c>
      <c r="CW221" s="776" t="s">
        <v>2127</v>
      </c>
      <c r="CX221" s="776" t="s">
        <v>2127</v>
      </c>
      <c r="CY221" s="776" t="s">
        <v>2127</v>
      </c>
      <c r="CZ221" s="776" t="s">
        <v>2127</v>
      </c>
      <c r="DA221" s="776" t="s">
        <v>2127</v>
      </c>
      <c r="DB221" s="776" t="s">
        <v>2127</v>
      </c>
      <c r="DC221" s="776" t="s">
        <v>2127</v>
      </c>
      <c r="DD221" s="776" t="s">
        <v>2127</v>
      </c>
      <c r="DE221" s="776" t="s">
        <v>2127</v>
      </c>
      <c r="DF221" s="776" t="s">
        <v>2127</v>
      </c>
      <c r="DG221" s="776" t="s">
        <v>2127</v>
      </c>
      <c r="DH221" s="776" t="s">
        <v>2127</v>
      </c>
      <c r="DI221" s="776" t="s">
        <v>2127</v>
      </c>
      <c r="DJ221" s="776" t="s">
        <v>2127</v>
      </c>
      <c r="DK221" s="776" t="s">
        <v>2127</v>
      </c>
      <c r="DL221" s="776" t="s">
        <v>2127</v>
      </c>
      <c r="DM221" s="776" t="s">
        <v>2127</v>
      </c>
      <c r="DN221" s="776" t="s">
        <v>2127</v>
      </c>
      <c r="DO221" s="776" t="s">
        <v>2127</v>
      </c>
      <c r="DP221" s="776" t="s">
        <v>2127</v>
      </c>
    </row>
    <row r="222" spans="1:120" x14ac:dyDescent="0.2">
      <c r="A222" s="637" t="s">
        <v>2254</v>
      </c>
      <c r="B222" s="772" t="str" cm="1">
        <f t="array" ref="B222">IFERROR(INDEX(Kulturen[HF],_xlfn.AGGREGATE(15,6,(ROW(Kulturen[Auswahl])-7)/(--(SEARCH("x",Kulturen[Auswahl])&gt;0)),ROW()-7),1),"")</f>
        <v>Zuckerhut</v>
      </c>
      <c r="C222" s="772" t="str">
        <f>IF(Kulturen[[#This Row],[HF]]=$D$373,IF($C$6=0,0,"x"),IF($C$6=0,"x",Vorauswahl!C221))</f>
        <v>x</v>
      </c>
      <c r="D222" s="938" t="s">
        <v>800</v>
      </c>
      <c r="E222" s="938" t="s">
        <v>800</v>
      </c>
      <c r="F222" s="938" t="s">
        <v>895</v>
      </c>
      <c r="G222" s="938">
        <v>12</v>
      </c>
      <c r="H222" s="938">
        <v>8</v>
      </c>
      <c r="I222" s="938">
        <v>3</v>
      </c>
      <c r="J222" s="938">
        <v>12</v>
      </c>
      <c r="K222" s="938">
        <v>0.115</v>
      </c>
      <c r="L222" s="938">
        <v>0.12</v>
      </c>
      <c r="M222" s="938">
        <v>250</v>
      </c>
      <c r="N222" s="938">
        <v>0</v>
      </c>
      <c r="O222" s="938">
        <v>1</v>
      </c>
      <c r="P222" s="938">
        <v>0</v>
      </c>
      <c r="Q222" s="938">
        <v>190</v>
      </c>
      <c r="R222" s="938">
        <v>50</v>
      </c>
      <c r="S222" s="938">
        <v>20</v>
      </c>
      <c r="T222" s="938">
        <v>20</v>
      </c>
      <c r="U222" s="938">
        <v>0</v>
      </c>
      <c r="V222" s="938">
        <v>1</v>
      </c>
      <c r="W222" s="776">
        <f>IF(Kulturen[[#This Row],[Berechnungsschema]]=13,3,IF(Kulturen[[#This Row],[Berechnungsschema]]=6,2,1))</f>
        <v>1</v>
      </c>
      <c r="X222" s="776">
        <f>IF(Kulturen[[#This Row],[fruchtartengruppe]]=13,Kulturen[[#This Row],[NBedarfswert]],MAX(0,Kulturen[[#This Row],[NBedarfswert]]-Kulturen[[#This Row],[Ertrag]]*Kulturen[[#This Row],[Nfix]]))</f>
        <v>190</v>
      </c>
      <c r="Y222" s="776" t="s">
        <v>2127</v>
      </c>
      <c r="Z222" s="776" t="s">
        <v>2127</v>
      </c>
      <c r="AA222" s="776" t="s">
        <v>2127</v>
      </c>
      <c r="AB222" s="776" t="s">
        <v>2127</v>
      </c>
      <c r="AC222" s="776" t="s">
        <v>2127</v>
      </c>
      <c r="AD222" s="776" t="s">
        <v>2127</v>
      </c>
      <c r="AE222" s="776" t="s">
        <v>2127</v>
      </c>
      <c r="AF222" s="776" t="s">
        <v>2127</v>
      </c>
      <c r="AG222" s="776" t="s">
        <v>2127</v>
      </c>
      <c r="AH222" s="776" t="s">
        <v>2127</v>
      </c>
      <c r="AI222" s="776" t="s">
        <v>2127</v>
      </c>
      <c r="AJ222" s="776" t="s">
        <v>2127</v>
      </c>
      <c r="AK222" s="776" t="s">
        <v>2127</v>
      </c>
      <c r="AL222" s="776" t="s">
        <v>2127</v>
      </c>
      <c r="AM222" s="776" t="s">
        <v>2127</v>
      </c>
      <c r="AN222" s="776" t="s">
        <v>2127</v>
      </c>
      <c r="AO222" s="776" t="s">
        <v>2127</v>
      </c>
      <c r="AP222" s="776" t="s">
        <v>2127</v>
      </c>
      <c r="AQ222" s="776" t="s">
        <v>2127</v>
      </c>
      <c r="AR222" s="776" t="s">
        <v>2127</v>
      </c>
      <c r="AS222" s="776" t="s">
        <v>2127</v>
      </c>
      <c r="AT222" s="776" t="s">
        <v>2127</v>
      </c>
      <c r="AU222" s="776" t="s">
        <v>2127</v>
      </c>
      <c r="AV222" s="776" t="s">
        <v>2127</v>
      </c>
      <c r="AW222" s="776" t="s">
        <v>2127</v>
      </c>
      <c r="AX222" s="776" t="s">
        <v>2127</v>
      </c>
      <c r="AY222" s="776" t="s">
        <v>2127</v>
      </c>
      <c r="AZ222" s="776" t="s">
        <v>2127</v>
      </c>
      <c r="BA222" s="776" t="s">
        <v>2127</v>
      </c>
      <c r="BB222" s="776" t="s">
        <v>2127</v>
      </c>
      <c r="BC222" s="776" t="s">
        <v>2127</v>
      </c>
      <c r="BD222" s="776" t="s">
        <v>2127</v>
      </c>
      <c r="BE222" s="776" t="s">
        <v>2127</v>
      </c>
      <c r="BF222" s="776" t="s">
        <v>2127</v>
      </c>
      <c r="BG222" s="776" t="s">
        <v>2127</v>
      </c>
      <c r="BH222" s="776" t="s">
        <v>2127</v>
      </c>
      <c r="BI222" s="776" t="s">
        <v>2127</v>
      </c>
      <c r="BJ222" s="776" t="s">
        <v>2127</v>
      </c>
      <c r="BK222" s="776" t="s">
        <v>2127</v>
      </c>
      <c r="BL222" s="776" t="s">
        <v>2127</v>
      </c>
      <c r="BM222" s="776" t="s">
        <v>2127</v>
      </c>
      <c r="BN222" s="776" t="s">
        <v>2127</v>
      </c>
      <c r="BO222" s="776" t="s">
        <v>2127</v>
      </c>
      <c r="BP222" s="776" t="s">
        <v>2127</v>
      </c>
      <c r="BQ222" s="776" t="s">
        <v>2127</v>
      </c>
      <c r="BR222" s="776" t="s">
        <v>2127</v>
      </c>
      <c r="BS222" s="776" t="s">
        <v>2127</v>
      </c>
      <c r="BT222" s="776" t="s">
        <v>2127</v>
      </c>
      <c r="BU222" s="776" t="s">
        <v>2127</v>
      </c>
      <c r="BV222" s="776" t="s">
        <v>2127</v>
      </c>
      <c r="BW222" s="776" t="s">
        <v>2127</v>
      </c>
      <c r="BX222" s="776" t="s">
        <v>2127</v>
      </c>
      <c r="BY222" s="776" t="s">
        <v>2127</v>
      </c>
      <c r="BZ222" s="776" t="s">
        <v>2127</v>
      </c>
      <c r="CA222" s="776" t="s">
        <v>2127</v>
      </c>
      <c r="CB222" s="776" t="s">
        <v>2127</v>
      </c>
      <c r="CC222" s="776" t="s">
        <v>2127</v>
      </c>
      <c r="CD222" s="776" t="s">
        <v>2127</v>
      </c>
      <c r="CE222" s="776" t="s">
        <v>2127</v>
      </c>
      <c r="CF222" s="776" t="s">
        <v>2127</v>
      </c>
      <c r="CG222" s="776" t="s">
        <v>2127</v>
      </c>
      <c r="CH222" s="776" t="s">
        <v>2127</v>
      </c>
      <c r="CI222" s="776" t="s">
        <v>2127</v>
      </c>
      <c r="CJ222" s="776" t="s">
        <v>2127</v>
      </c>
      <c r="CK222" s="776" t="s">
        <v>2127</v>
      </c>
      <c r="CL222" s="776" t="s">
        <v>2127</v>
      </c>
      <c r="CM222" s="776" t="s">
        <v>2127</v>
      </c>
      <c r="CN222" s="776" t="s">
        <v>2127</v>
      </c>
      <c r="CO222" s="776" t="s">
        <v>2127</v>
      </c>
      <c r="CP222" s="776" t="s">
        <v>2127</v>
      </c>
      <c r="CQ222" s="776" t="s">
        <v>2127</v>
      </c>
      <c r="CR222" s="776" t="s">
        <v>2127</v>
      </c>
      <c r="CS222" s="776" t="s">
        <v>2127</v>
      </c>
      <c r="CT222" s="776" t="s">
        <v>2127</v>
      </c>
      <c r="CU222" s="776" t="s">
        <v>2127</v>
      </c>
      <c r="CV222" s="776" t="s">
        <v>2127</v>
      </c>
      <c r="CW222" s="776" t="s">
        <v>2127</v>
      </c>
      <c r="CX222" s="776" t="s">
        <v>2127</v>
      </c>
      <c r="CY222" s="776" t="s">
        <v>2127</v>
      </c>
      <c r="CZ222" s="776" t="s">
        <v>2127</v>
      </c>
      <c r="DA222" s="776" t="s">
        <v>2127</v>
      </c>
      <c r="DB222" s="776" t="s">
        <v>2127</v>
      </c>
      <c r="DC222" s="776" t="s">
        <v>2127</v>
      </c>
      <c r="DD222" s="776" t="s">
        <v>2127</v>
      </c>
      <c r="DE222" s="776" t="s">
        <v>2127</v>
      </c>
      <c r="DF222" s="776" t="s">
        <v>2127</v>
      </c>
      <c r="DG222" s="776" t="s">
        <v>2127</v>
      </c>
      <c r="DH222" s="776" t="s">
        <v>2127</v>
      </c>
      <c r="DI222" s="776" t="s">
        <v>2127</v>
      </c>
      <c r="DJ222" s="776" t="s">
        <v>2127</v>
      </c>
      <c r="DK222" s="776" t="s">
        <v>2127</v>
      </c>
      <c r="DL222" s="776" t="s">
        <v>2127</v>
      </c>
      <c r="DM222" s="776" t="s">
        <v>2127</v>
      </c>
      <c r="DN222" s="776" t="s">
        <v>2127</v>
      </c>
      <c r="DO222" s="776" t="s">
        <v>2127</v>
      </c>
      <c r="DP222" s="776" t="s">
        <v>2127</v>
      </c>
    </row>
    <row r="223" spans="1:120" x14ac:dyDescent="0.2">
      <c r="A223" s="637" t="s">
        <v>2255</v>
      </c>
      <c r="B223" s="772" t="str" cm="1">
        <f t="array" ref="B223">IFERROR(INDEX(Kulturen[HF],_xlfn.AGGREGATE(15,6,(ROW(Kulturen[Auswahl])-7)/(--(SEARCH("x",Kulturen[Auswahl])&gt;0)),ROW()-7),1),"")</f>
        <v>Zuckermais</v>
      </c>
      <c r="C223" s="772" t="str">
        <f>IF(Kulturen[[#This Row],[HF]]=$D$373,IF($C$6=0,0,"x"),IF($C$6=0,"x",Vorauswahl!C222))</f>
        <v>x</v>
      </c>
      <c r="D223" s="938" t="s">
        <v>801</v>
      </c>
      <c r="E223" s="938" t="s">
        <v>801</v>
      </c>
      <c r="F223" s="938" t="s">
        <v>896</v>
      </c>
      <c r="G223" s="938">
        <v>12</v>
      </c>
      <c r="H223" s="938">
        <v>8</v>
      </c>
      <c r="I223" s="938">
        <v>3</v>
      </c>
      <c r="J223" s="938">
        <v>12</v>
      </c>
      <c r="K223" s="938">
        <v>0.115</v>
      </c>
      <c r="L223" s="938">
        <v>0.12</v>
      </c>
      <c r="M223" s="938">
        <v>300</v>
      </c>
      <c r="N223" s="938">
        <v>0</v>
      </c>
      <c r="O223" s="938">
        <v>1</v>
      </c>
      <c r="P223" s="938">
        <v>0</v>
      </c>
      <c r="Q223" s="938">
        <v>205</v>
      </c>
      <c r="R223" s="938">
        <v>60</v>
      </c>
      <c r="S223" s="938">
        <v>20</v>
      </c>
      <c r="T223" s="938">
        <v>20</v>
      </c>
      <c r="U223" s="938">
        <v>0</v>
      </c>
      <c r="V223" s="938">
        <v>1</v>
      </c>
      <c r="W223" s="776">
        <f>IF(Kulturen[[#This Row],[Berechnungsschema]]=13,3,IF(Kulturen[[#This Row],[Berechnungsschema]]=6,2,1))</f>
        <v>1</v>
      </c>
      <c r="X223" s="776">
        <f>IF(Kulturen[[#This Row],[fruchtartengruppe]]=13,Kulturen[[#This Row],[NBedarfswert]],MAX(0,Kulturen[[#This Row],[NBedarfswert]]-Kulturen[[#This Row],[Ertrag]]*Kulturen[[#This Row],[Nfix]]))</f>
        <v>205</v>
      </c>
      <c r="Y223" s="776" t="s">
        <v>2127</v>
      </c>
      <c r="Z223" s="776" t="s">
        <v>2127</v>
      </c>
      <c r="AA223" s="776" t="s">
        <v>2127</v>
      </c>
      <c r="AB223" s="776" t="s">
        <v>2127</v>
      </c>
      <c r="AC223" s="776" t="s">
        <v>2127</v>
      </c>
      <c r="AD223" s="776" t="s">
        <v>2127</v>
      </c>
      <c r="AE223" s="776" t="s">
        <v>2127</v>
      </c>
      <c r="AF223" s="776" t="s">
        <v>2127</v>
      </c>
      <c r="AG223" s="776" t="s">
        <v>2127</v>
      </c>
      <c r="AH223" s="776" t="s">
        <v>2127</v>
      </c>
      <c r="AI223" s="776" t="s">
        <v>2127</v>
      </c>
      <c r="AJ223" s="776" t="s">
        <v>2127</v>
      </c>
      <c r="AK223" s="776" t="s">
        <v>2127</v>
      </c>
      <c r="AL223" s="776" t="s">
        <v>2127</v>
      </c>
      <c r="AM223" s="776" t="s">
        <v>2127</v>
      </c>
      <c r="AN223" s="776" t="s">
        <v>2127</v>
      </c>
      <c r="AO223" s="776" t="s">
        <v>2127</v>
      </c>
      <c r="AP223" s="776" t="s">
        <v>2127</v>
      </c>
      <c r="AQ223" s="776" t="s">
        <v>2127</v>
      </c>
      <c r="AR223" s="776" t="s">
        <v>2127</v>
      </c>
      <c r="AS223" s="776" t="s">
        <v>2127</v>
      </c>
      <c r="AT223" s="776" t="s">
        <v>2127</v>
      </c>
      <c r="AU223" s="776" t="s">
        <v>2127</v>
      </c>
      <c r="AV223" s="776" t="s">
        <v>2127</v>
      </c>
      <c r="AW223" s="776" t="s">
        <v>2127</v>
      </c>
      <c r="AX223" s="776" t="s">
        <v>2127</v>
      </c>
      <c r="AY223" s="776" t="s">
        <v>2127</v>
      </c>
      <c r="AZ223" s="776" t="s">
        <v>2127</v>
      </c>
      <c r="BA223" s="776" t="s">
        <v>2127</v>
      </c>
      <c r="BB223" s="776" t="s">
        <v>2127</v>
      </c>
      <c r="BC223" s="776" t="s">
        <v>2127</v>
      </c>
      <c r="BD223" s="776" t="s">
        <v>2127</v>
      </c>
      <c r="BE223" s="776" t="s">
        <v>2127</v>
      </c>
      <c r="BF223" s="776" t="s">
        <v>2127</v>
      </c>
      <c r="BG223" s="776" t="s">
        <v>2127</v>
      </c>
      <c r="BH223" s="776" t="s">
        <v>2127</v>
      </c>
      <c r="BI223" s="776" t="s">
        <v>2127</v>
      </c>
      <c r="BJ223" s="776" t="s">
        <v>2127</v>
      </c>
      <c r="BK223" s="776" t="s">
        <v>2127</v>
      </c>
      <c r="BL223" s="776" t="s">
        <v>2127</v>
      </c>
      <c r="BM223" s="776" t="s">
        <v>2127</v>
      </c>
      <c r="BN223" s="776" t="s">
        <v>2127</v>
      </c>
      <c r="BO223" s="776" t="s">
        <v>2127</v>
      </c>
      <c r="BP223" s="776" t="s">
        <v>2127</v>
      </c>
      <c r="BQ223" s="776" t="s">
        <v>2127</v>
      </c>
      <c r="BR223" s="776" t="s">
        <v>2127</v>
      </c>
      <c r="BS223" s="776" t="s">
        <v>2127</v>
      </c>
      <c r="BT223" s="776" t="s">
        <v>2127</v>
      </c>
      <c r="BU223" s="776" t="s">
        <v>2127</v>
      </c>
      <c r="BV223" s="776" t="s">
        <v>2127</v>
      </c>
      <c r="BW223" s="776" t="s">
        <v>2127</v>
      </c>
      <c r="BX223" s="776" t="s">
        <v>2127</v>
      </c>
      <c r="BY223" s="776" t="s">
        <v>2127</v>
      </c>
      <c r="BZ223" s="776" t="s">
        <v>2127</v>
      </c>
      <c r="CA223" s="776" t="s">
        <v>2127</v>
      </c>
      <c r="CB223" s="776" t="s">
        <v>2127</v>
      </c>
      <c r="CC223" s="776" t="s">
        <v>2127</v>
      </c>
      <c r="CD223" s="776" t="s">
        <v>2127</v>
      </c>
      <c r="CE223" s="776" t="s">
        <v>2127</v>
      </c>
      <c r="CF223" s="776" t="s">
        <v>2127</v>
      </c>
      <c r="CG223" s="776" t="s">
        <v>2127</v>
      </c>
      <c r="CH223" s="776" t="s">
        <v>2127</v>
      </c>
      <c r="CI223" s="776" t="s">
        <v>2127</v>
      </c>
      <c r="CJ223" s="776" t="s">
        <v>2127</v>
      </c>
      <c r="CK223" s="776" t="s">
        <v>2127</v>
      </c>
      <c r="CL223" s="776" t="s">
        <v>2127</v>
      </c>
      <c r="CM223" s="776" t="s">
        <v>2127</v>
      </c>
      <c r="CN223" s="776" t="s">
        <v>2127</v>
      </c>
      <c r="CO223" s="776" t="s">
        <v>2127</v>
      </c>
      <c r="CP223" s="776" t="s">
        <v>2127</v>
      </c>
      <c r="CQ223" s="776" t="s">
        <v>2127</v>
      </c>
      <c r="CR223" s="776" t="s">
        <v>2127</v>
      </c>
      <c r="CS223" s="776" t="s">
        <v>2127</v>
      </c>
      <c r="CT223" s="776" t="s">
        <v>2127</v>
      </c>
      <c r="CU223" s="776" t="s">
        <v>2127</v>
      </c>
      <c r="CV223" s="776" t="s">
        <v>2127</v>
      </c>
      <c r="CW223" s="776" t="s">
        <v>2127</v>
      </c>
      <c r="CX223" s="776" t="s">
        <v>2127</v>
      </c>
      <c r="CY223" s="776" t="s">
        <v>2127</v>
      </c>
      <c r="CZ223" s="776" t="s">
        <v>2127</v>
      </c>
      <c r="DA223" s="776" t="s">
        <v>2127</v>
      </c>
      <c r="DB223" s="776" t="s">
        <v>2127</v>
      </c>
      <c r="DC223" s="776" t="s">
        <v>2127</v>
      </c>
      <c r="DD223" s="776" t="s">
        <v>2127</v>
      </c>
      <c r="DE223" s="776" t="s">
        <v>2127</v>
      </c>
      <c r="DF223" s="776" t="s">
        <v>2127</v>
      </c>
      <c r="DG223" s="776" t="s">
        <v>2127</v>
      </c>
      <c r="DH223" s="776" t="s">
        <v>2127</v>
      </c>
      <c r="DI223" s="776" t="s">
        <v>2127</v>
      </c>
      <c r="DJ223" s="776" t="s">
        <v>2127</v>
      </c>
      <c r="DK223" s="776" t="s">
        <v>2127</v>
      </c>
      <c r="DL223" s="776" t="s">
        <v>2127</v>
      </c>
      <c r="DM223" s="776" t="s">
        <v>2127</v>
      </c>
      <c r="DN223" s="776" t="s">
        <v>2127</v>
      </c>
      <c r="DO223" s="776" t="s">
        <v>2127</v>
      </c>
      <c r="DP223" s="776" t="s">
        <v>2127</v>
      </c>
    </row>
    <row r="224" spans="1:120" x14ac:dyDescent="0.2">
      <c r="A224" s="637" t="s">
        <v>2256</v>
      </c>
      <c r="B224" s="772" t="str" cm="1">
        <f t="array" ref="B224">IFERROR(INDEX(Kulturen[HF],_xlfn.AGGREGATE(15,6,(ROW(Kulturen[Auswahl])-7)/(--(SEARCH("x",Kulturen[Auswahl])&gt;0)),ROW()-7),1),"")</f>
        <v>Zwiebel, Bund-</v>
      </c>
      <c r="C224" s="772" t="str">
        <f>IF(Kulturen[[#This Row],[HF]]=$D$373,IF($C$6=0,0,"x"),IF($C$6=0,"x",Vorauswahl!C223))</f>
        <v>x</v>
      </c>
      <c r="D224" s="938" t="s">
        <v>802</v>
      </c>
      <c r="E224" s="938" t="s">
        <v>802</v>
      </c>
      <c r="F224" s="938" t="s">
        <v>897</v>
      </c>
      <c r="G224" s="938">
        <v>12</v>
      </c>
      <c r="H224" s="938">
        <v>8</v>
      </c>
      <c r="I224" s="938">
        <v>3</v>
      </c>
      <c r="J224" s="938">
        <v>12</v>
      </c>
      <c r="K224" s="938">
        <v>9.1999999999999998E-2</v>
      </c>
      <c r="L224" s="938">
        <v>0.09</v>
      </c>
      <c r="M224" s="938">
        <v>250</v>
      </c>
      <c r="N224" s="938">
        <v>0.2</v>
      </c>
      <c r="O224" s="938">
        <v>1</v>
      </c>
      <c r="P224" s="938">
        <v>0</v>
      </c>
      <c r="Q224" s="938">
        <v>100</v>
      </c>
      <c r="R224" s="938">
        <v>50</v>
      </c>
      <c r="S224" s="938">
        <v>20</v>
      </c>
      <c r="T224" s="938">
        <v>20</v>
      </c>
      <c r="U224" s="938">
        <v>0</v>
      </c>
      <c r="V224" s="938">
        <v>1</v>
      </c>
      <c r="W224" s="776">
        <f>IF(Kulturen[[#This Row],[Berechnungsschema]]=13,3,IF(Kulturen[[#This Row],[Berechnungsschema]]=6,2,1))</f>
        <v>1</v>
      </c>
      <c r="X224" s="776">
        <f>IF(Kulturen[[#This Row],[fruchtartengruppe]]=13,Kulturen[[#This Row],[NBedarfswert]],MAX(0,Kulturen[[#This Row],[NBedarfswert]]-Kulturen[[#This Row],[Ertrag]]*Kulturen[[#This Row],[Nfix]]))</f>
        <v>50</v>
      </c>
      <c r="Y224" s="776" t="s">
        <v>2127</v>
      </c>
      <c r="Z224" s="776" t="s">
        <v>2127</v>
      </c>
      <c r="AA224" s="776" t="s">
        <v>2127</v>
      </c>
      <c r="AB224" s="776" t="s">
        <v>2127</v>
      </c>
      <c r="AC224" s="776" t="s">
        <v>2127</v>
      </c>
      <c r="AD224" s="776" t="s">
        <v>2127</v>
      </c>
      <c r="AE224" s="776" t="s">
        <v>2127</v>
      </c>
      <c r="AF224" s="776" t="s">
        <v>2127</v>
      </c>
      <c r="AG224" s="776" t="s">
        <v>2127</v>
      </c>
      <c r="AH224" s="776" t="s">
        <v>2127</v>
      </c>
      <c r="AI224" s="776" t="s">
        <v>2127</v>
      </c>
      <c r="AJ224" s="776" t="s">
        <v>2127</v>
      </c>
      <c r="AK224" s="776" t="s">
        <v>2127</v>
      </c>
      <c r="AL224" s="776" t="s">
        <v>2127</v>
      </c>
      <c r="AM224" s="776" t="s">
        <v>2127</v>
      </c>
      <c r="AN224" s="776" t="s">
        <v>2127</v>
      </c>
      <c r="AO224" s="776" t="s">
        <v>2127</v>
      </c>
      <c r="AP224" s="776" t="s">
        <v>2127</v>
      </c>
      <c r="AQ224" s="776" t="s">
        <v>2127</v>
      </c>
      <c r="AR224" s="776" t="s">
        <v>2127</v>
      </c>
      <c r="AS224" s="776" t="s">
        <v>2127</v>
      </c>
      <c r="AT224" s="776" t="s">
        <v>2127</v>
      </c>
      <c r="AU224" s="776" t="s">
        <v>2127</v>
      </c>
      <c r="AV224" s="776" t="s">
        <v>2127</v>
      </c>
      <c r="AW224" s="776" t="s">
        <v>2127</v>
      </c>
      <c r="AX224" s="776" t="s">
        <v>2127</v>
      </c>
      <c r="AY224" s="776" t="s">
        <v>2127</v>
      </c>
      <c r="AZ224" s="776" t="s">
        <v>2127</v>
      </c>
      <c r="BA224" s="776" t="s">
        <v>2127</v>
      </c>
      <c r="BB224" s="776" t="s">
        <v>2127</v>
      </c>
      <c r="BC224" s="776" t="s">
        <v>2127</v>
      </c>
      <c r="BD224" s="776" t="s">
        <v>2127</v>
      </c>
      <c r="BE224" s="776" t="s">
        <v>2127</v>
      </c>
      <c r="BF224" s="776" t="s">
        <v>2127</v>
      </c>
      <c r="BG224" s="776" t="s">
        <v>2127</v>
      </c>
      <c r="BH224" s="776" t="s">
        <v>2127</v>
      </c>
      <c r="BI224" s="776" t="s">
        <v>2127</v>
      </c>
      <c r="BJ224" s="776" t="s">
        <v>2127</v>
      </c>
      <c r="BK224" s="776" t="s">
        <v>2127</v>
      </c>
      <c r="BL224" s="776" t="s">
        <v>2127</v>
      </c>
      <c r="BM224" s="776" t="s">
        <v>2127</v>
      </c>
      <c r="BN224" s="776" t="s">
        <v>2127</v>
      </c>
      <c r="BO224" s="776" t="s">
        <v>2127</v>
      </c>
      <c r="BP224" s="776" t="s">
        <v>2127</v>
      </c>
      <c r="BQ224" s="776" t="s">
        <v>2127</v>
      </c>
      <c r="BR224" s="776" t="s">
        <v>2127</v>
      </c>
      <c r="BS224" s="776" t="s">
        <v>2127</v>
      </c>
      <c r="BT224" s="776" t="s">
        <v>2127</v>
      </c>
      <c r="BU224" s="776" t="s">
        <v>2127</v>
      </c>
      <c r="BV224" s="776" t="s">
        <v>2127</v>
      </c>
      <c r="BW224" s="776" t="s">
        <v>2127</v>
      </c>
      <c r="BX224" s="776" t="s">
        <v>2127</v>
      </c>
      <c r="BY224" s="776" t="s">
        <v>2127</v>
      </c>
      <c r="BZ224" s="776" t="s">
        <v>2127</v>
      </c>
      <c r="CA224" s="776" t="s">
        <v>2127</v>
      </c>
      <c r="CB224" s="776" t="s">
        <v>2127</v>
      </c>
      <c r="CC224" s="776" t="s">
        <v>2127</v>
      </c>
      <c r="CD224" s="776" t="s">
        <v>2127</v>
      </c>
      <c r="CE224" s="776" t="s">
        <v>2127</v>
      </c>
      <c r="CF224" s="776" t="s">
        <v>2127</v>
      </c>
      <c r="CG224" s="776" t="s">
        <v>2127</v>
      </c>
      <c r="CH224" s="776" t="s">
        <v>2127</v>
      </c>
      <c r="CI224" s="776" t="s">
        <v>2127</v>
      </c>
      <c r="CJ224" s="776" t="s">
        <v>2127</v>
      </c>
      <c r="CK224" s="776" t="s">
        <v>2127</v>
      </c>
      <c r="CL224" s="776" t="s">
        <v>2127</v>
      </c>
      <c r="CM224" s="776" t="s">
        <v>2127</v>
      </c>
      <c r="CN224" s="776" t="s">
        <v>2127</v>
      </c>
      <c r="CO224" s="776" t="s">
        <v>2127</v>
      </c>
      <c r="CP224" s="776" t="s">
        <v>2127</v>
      </c>
      <c r="CQ224" s="776" t="s">
        <v>2127</v>
      </c>
      <c r="CR224" s="776" t="s">
        <v>2127</v>
      </c>
      <c r="CS224" s="776" t="s">
        <v>2127</v>
      </c>
      <c r="CT224" s="776" t="s">
        <v>2127</v>
      </c>
      <c r="CU224" s="776" t="s">
        <v>2127</v>
      </c>
      <c r="CV224" s="776" t="s">
        <v>2127</v>
      </c>
      <c r="CW224" s="776" t="s">
        <v>2127</v>
      </c>
      <c r="CX224" s="776" t="s">
        <v>2127</v>
      </c>
      <c r="CY224" s="776" t="s">
        <v>2127</v>
      </c>
      <c r="CZ224" s="776" t="s">
        <v>2127</v>
      </c>
      <c r="DA224" s="776" t="s">
        <v>2127</v>
      </c>
      <c r="DB224" s="776" t="s">
        <v>2127</v>
      </c>
      <c r="DC224" s="776" t="s">
        <v>2127</v>
      </c>
      <c r="DD224" s="776" t="s">
        <v>2127</v>
      </c>
      <c r="DE224" s="776" t="s">
        <v>2127</v>
      </c>
      <c r="DF224" s="776" t="s">
        <v>2127</v>
      </c>
      <c r="DG224" s="776" t="s">
        <v>2127</v>
      </c>
      <c r="DH224" s="776" t="s">
        <v>2127</v>
      </c>
      <c r="DI224" s="776" t="s">
        <v>2127</v>
      </c>
      <c r="DJ224" s="776" t="s">
        <v>2127</v>
      </c>
      <c r="DK224" s="776" t="s">
        <v>2127</v>
      </c>
      <c r="DL224" s="776" t="s">
        <v>2127</v>
      </c>
      <c r="DM224" s="776" t="s">
        <v>2127</v>
      </c>
      <c r="DN224" s="776" t="s">
        <v>2127</v>
      </c>
      <c r="DO224" s="776" t="s">
        <v>2127</v>
      </c>
      <c r="DP224" s="776" t="s">
        <v>2127</v>
      </c>
    </row>
    <row r="225" spans="1:120" x14ac:dyDescent="0.2">
      <c r="A225" s="637" t="s">
        <v>2257</v>
      </c>
      <c r="B225" s="772" t="str" cm="1">
        <f t="array" ref="B225">IFERROR(INDEX(Kulturen[HF],_xlfn.AGGREGATE(15,6,(ROW(Kulturen[Auswahl])-7)/(--(SEARCH("x",Kulturen[Auswahl])&gt;0)),ROW()-7),1),"")</f>
        <v>Zwiebeln, Säschalotten</v>
      </c>
      <c r="C225" s="772" t="str">
        <f>IF(Kulturen[[#This Row],[HF]]=$D$373,IF($C$6=0,0,"x"),IF($C$6=0,"x",Vorauswahl!C224))</f>
        <v>x</v>
      </c>
      <c r="D225" s="938" t="s">
        <v>803</v>
      </c>
      <c r="E225" s="938" t="s">
        <v>803</v>
      </c>
      <c r="F225" s="938" t="s">
        <v>898</v>
      </c>
      <c r="G225" s="938">
        <v>12</v>
      </c>
      <c r="H225" s="938">
        <v>8</v>
      </c>
      <c r="I225" s="938">
        <v>1</v>
      </c>
      <c r="J225" s="938">
        <v>12</v>
      </c>
      <c r="K225" s="938">
        <v>0.09</v>
      </c>
      <c r="L225" s="938">
        <v>0.09</v>
      </c>
      <c r="M225" s="938">
        <v>400</v>
      </c>
      <c r="N225" s="938">
        <v>0</v>
      </c>
      <c r="O225" s="938">
        <v>1</v>
      </c>
      <c r="P225" s="938">
        <v>0</v>
      </c>
      <c r="Q225" s="938">
        <v>120</v>
      </c>
      <c r="R225" s="938">
        <v>80</v>
      </c>
      <c r="S225" s="938">
        <v>20</v>
      </c>
      <c r="T225" s="938">
        <v>20</v>
      </c>
      <c r="U225" s="938">
        <v>0</v>
      </c>
      <c r="V225" s="938">
        <v>1</v>
      </c>
      <c r="W225" s="776">
        <f>IF(Kulturen[[#This Row],[Berechnungsschema]]=13,3,IF(Kulturen[[#This Row],[Berechnungsschema]]=6,2,1))</f>
        <v>1</v>
      </c>
      <c r="X225" s="776">
        <f>IF(Kulturen[[#This Row],[fruchtartengruppe]]=13,Kulturen[[#This Row],[NBedarfswert]],MAX(0,Kulturen[[#This Row],[NBedarfswert]]-Kulturen[[#This Row],[Ertrag]]*Kulturen[[#This Row],[Nfix]]))</f>
        <v>120</v>
      </c>
      <c r="Y225" s="776" t="s">
        <v>2127</v>
      </c>
      <c r="Z225" s="776" t="s">
        <v>2127</v>
      </c>
      <c r="AA225" s="776" t="s">
        <v>2127</v>
      </c>
      <c r="AB225" s="776" t="s">
        <v>2127</v>
      </c>
      <c r="AC225" s="776" t="s">
        <v>2127</v>
      </c>
      <c r="AD225" s="776" t="s">
        <v>2127</v>
      </c>
      <c r="AE225" s="776" t="s">
        <v>2127</v>
      </c>
      <c r="AF225" s="776" t="s">
        <v>2127</v>
      </c>
      <c r="AG225" s="776" t="s">
        <v>2127</v>
      </c>
      <c r="AH225" s="776" t="s">
        <v>2127</v>
      </c>
      <c r="AI225" s="776" t="s">
        <v>2127</v>
      </c>
      <c r="AJ225" s="776" t="s">
        <v>2127</v>
      </c>
      <c r="AK225" s="776" t="s">
        <v>2127</v>
      </c>
      <c r="AL225" s="776" t="s">
        <v>2127</v>
      </c>
      <c r="AM225" s="776" t="s">
        <v>2127</v>
      </c>
      <c r="AN225" s="776" t="s">
        <v>2127</v>
      </c>
      <c r="AO225" s="776" t="s">
        <v>2127</v>
      </c>
      <c r="AP225" s="776" t="s">
        <v>2127</v>
      </c>
      <c r="AQ225" s="776" t="s">
        <v>2127</v>
      </c>
      <c r="AR225" s="776" t="s">
        <v>2127</v>
      </c>
      <c r="AS225" s="776" t="s">
        <v>2127</v>
      </c>
      <c r="AT225" s="776" t="s">
        <v>2127</v>
      </c>
      <c r="AU225" s="776" t="s">
        <v>2127</v>
      </c>
      <c r="AV225" s="776" t="s">
        <v>2127</v>
      </c>
      <c r="AW225" s="776" t="s">
        <v>2127</v>
      </c>
      <c r="AX225" s="776" t="s">
        <v>2127</v>
      </c>
      <c r="AY225" s="776" t="s">
        <v>2127</v>
      </c>
      <c r="AZ225" s="776" t="s">
        <v>2127</v>
      </c>
      <c r="BA225" s="776" t="s">
        <v>2127</v>
      </c>
      <c r="BB225" s="776" t="s">
        <v>2127</v>
      </c>
      <c r="BC225" s="776" t="s">
        <v>2127</v>
      </c>
      <c r="BD225" s="776" t="s">
        <v>2127</v>
      </c>
      <c r="BE225" s="776" t="s">
        <v>2127</v>
      </c>
      <c r="BF225" s="776" t="s">
        <v>2127</v>
      </c>
      <c r="BG225" s="776" t="s">
        <v>2127</v>
      </c>
      <c r="BH225" s="776" t="s">
        <v>2127</v>
      </c>
      <c r="BI225" s="776" t="s">
        <v>2127</v>
      </c>
      <c r="BJ225" s="776" t="s">
        <v>2127</v>
      </c>
      <c r="BK225" s="776" t="s">
        <v>2127</v>
      </c>
      <c r="BL225" s="776" t="s">
        <v>2127</v>
      </c>
      <c r="BM225" s="776" t="s">
        <v>2127</v>
      </c>
      <c r="BN225" s="776" t="s">
        <v>2127</v>
      </c>
      <c r="BO225" s="776" t="s">
        <v>2127</v>
      </c>
      <c r="BP225" s="776" t="s">
        <v>2127</v>
      </c>
      <c r="BQ225" s="776" t="s">
        <v>2127</v>
      </c>
      <c r="BR225" s="776" t="s">
        <v>2127</v>
      </c>
      <c r="BS225" s="776" t="s">
        <v>2127</v>
      </c>
      <c r="BT225" s="776" t="s">
        <v>2127</v>
      </c>
      <c r="BU225" s="776" t="s">
        <v>2127</v>
      </c>
      <c r="BV225" s="776" t="s">
        <v>2127</v>
      </c>
      <c r="BW225" s="776" t="s">
        <v>2127</v>
      </c>
      <c r="BX225" s="776" t="s">
        <v>2127</v>
      </c>
      <c r="BY225" s="776" t="s">
        <v>2127</v>
      </c>
      <c r="BZ225" s="776" t="s">
        <v>2127</v>
      </c>
      <c r="CA225" s="776" t="s">
        <v>2127</v>
      </c>
      <c r="CB225" s="776" t="s">
        <v>2127</v>
      </c>
      <c r="CC225" s="776" t="s">
        <v>2127</v>
      </c>
      <c r="CD225" s="776" t="s">
        <v>2127</v>
      </c>
      <c r="CE225" s="776" t="s">
        <v>2127</v>
      </c>
      <c r="CF225" s="776" t="s">
        <v>2127</v>
      </c>
      <c r="CG225" s="776" t="s">
        <v>2127</v>
      </c>
      <c r="CH225" s="776" t="s">
        <v>2127</v>
      </c>
      <c r="CI225" s="776" t="s">
        <v>2127</v>
      </c>
      <c r="CJ225" s="776" t="s">
        <v>2127</v>
      </c>
      <c r="CK225" s="776" t="s">
        <v>2127</v>
      </c>
      <c r="CL225" s="776" t="s">
        <v>2127</v>
      </c>
      <c r="CM225" s="776" t="s">
        <v>2127</v>
      </c>
      <c r="CN225" s="776" t="s">
        <v>2127</v>
      </c>
      <c r="CO225" s="776" t="s">
        <v>2127</v>
      </c>
      <c r="CP225" s="776" t="s">
        <v>2127</v>
      </c>
      <c r="CQ225" s="776" t="s">
        <v>2127</v>
      </c>
      <c r="CR225" s="776" t="s">
        <v>2127</v>
      </c>
      <c r="CS225" s="776" t="s">
        <v>2127</v>
      </c>
      <c r="CT225" s="776" t="s">
        <v>2127</v>
      </c>
      <c r="CU225" s="776" t="s">
        <v>2127</v>
      </c>
      <c r="CV225" s="776" t="s">
        <v>2127</v>
      </c>
      <c r="CW225" s="776" t="s">
        <v>2127</v>
      </c>
      <c r="CX225" s="776" t="s">
        <v>2127</v>
      </c>
      <c r="CY225" s="776" t="s">
        <v>2127</v>
      </c>
      <c r="CZ225" s="776" t="s">
        <v>2127</v>
      </c>
      <c r="DA225" s="776" t="s">
        <v>2127</v>
      </c>
      <c r="DB225" s="776" t="s">
        <v>2127</v>
      </c>
      <c r="DC225" s="776" t="s">
        <v>2127</v>
      </c>
      <c r="DD225" s="776" t="s">
        <v>2127</v>
      </c>
      <c r="DE225" s="776" t="s">
        <v>2127</v>
      </c>
      <c r="DF225" s="776" t="s">
        <v>2127</v>
      </c>
      <c r="DG225" s="776" t="s">
        <v>2127</v>
      </c>
      <c r="DH225" s="776" t="s">
        <v>2127</v>
      </c>
      <c r="DI225" s="776" t="s">
        <v>2127</v>
      </c>
      <c r="DJ225" s="776" t="s">
        <v>2127</v>
      </c>
      <c r="DK225" s="776" t="s">
        <v>2127</v>
      </c>
      <c r="DL225" s="776" t="s">
        <v>2127</v>
      </c>
      <c r="DM225" s="776" t="s">
        <v>2127</v>
      </c>
      <c r="DN225" s="776" t="s">
        <v>2127</v>
      </c>
      <c r="DO225" s="776" t="s">
        <v>2127</v>
      </c>
      <c r="DP225" s="776" t="s">
        <v>2127</v>
      </c>
    </row>
    <row r="226" spans="1:120" x14ac:dyDescent="0.2">
      <c r="A226" s="637" t="s">
        <v>2258</v>
      </c>
      <c r="B226" s="772" t="str" cm="1">
        <f t="array" ref="B226">IFERROR(INDEX(Kulturen[HF],_xlfn.AGGREGATE(15,6,(ROW(Kulturen[Auswahl])-7)/(--(SEARCH("x",Kulturen[Auswahl])&gt;0)),ROW()-7),1),"")</f>
        <v>Zwiebel, Trocken-</v>
      </c>
      <c r="C226" s="772" t="str">
        <f>IF(Kulturen[[#This Row],[HF]]=$D$373,IF($C$6=0,0,"x"),IF($C$6=0,"x",Vorauswahl!C225))</f>
        <v>x</v>
      </c>
      <c r="D226" s="938" t="s">
        <v>804</v>
      </c>
      <c r="E226" s="938" t="s">
        <v>804</v>
      </c>
      <c r="F226" s="938" t="s">
        <v>899</v>
      </c>
      <c r="G226" s="938">
        <v>12</v>
      </c>
      <c r="H226" s="938">
        <v>8</v>
      </c>
      <c r="I226" s="938">
        <v>1</v>
      </c>
      <c r="J226" s="938">
        <v>12</v>
      </c>
      <c r="K226" s="938">
        <v>0.24099999999999999</v>
      </c>
      <c r="L226" s="938">
        <v>0.24</v>
      </c>
      <c r="M226" s="938">
        <v>150</v>
      </c>
      <c r="N226" s="938">
        <v>0</v>
      </c>
      <c r="O226" s="938">
        <v>1</v>
      </c>
      <c r="P226" s="938">
        <v>0</v>
      </c>
      <c r="Q226" s="938">
        <v>110</v>
      </c>
      <c r="R226" s="938">
        <v>30</v>
      </c>
      <c r="S226" s="938">
        <v>20</v>
      </c>
      <c r="T226" s="938">
        <v>20</v>
      </c>
      <c r="U226" s="938">
        <v>0</v>
      </c>
      <c r="V226" s="938">
        <v>1</v>
      </c>
      <c r="W226" s="776">
        <f>IF(Kulturen[[#This Row],[Berechnungsschema]]=13,3,IF(Kulturen[[#This Row],[Berechnungsschema]]=6,2,1))</f>
        <v>1</v>
      </c>
      <c r="X226" s="776">
        <f>IF(Kulturen[[#This Row],[fruchtartengruppe]]=13,Kulturen[[#This Row],[NBedarfswert]],MAX(0,Kulturen[[#This Row],[NBedarfswert]]-Kulturen[[#This Row],[Ertrag]]*Kulturen[[#This Row],[Nfix]]))</f>
        <v>110</v>
      </c>
      <c r="Y226" s="776" t="s">
        <v>2127</v>
      </c>
      <c r="Z226" s="776" t="s">
        <v>2127</v>
      </c>
      <c r="AA226" s="776" t="s">
        <v>2127</v>
      </c>
      <c r="AB226" s="776" t="s">
        <v>2127</v>
      </c>
      <c r="AC226" s="776" t="s">
        <v>2127</v>
      </c>
      <c r="AD226" s="776" t="s">
        <v>2127</v>
      </c>
      <c r="AE226" s="776" t="s">
        <v>2127</v>
      </c>
      <c r="AF226" s="776" t="s">
        <v>2127</v>
      </c>
      <c r="AG226" s="776" t="s">
        <v>2127</v>
      </c>
      <c r="AH226" s="776" t="s">
        <v>2127</v>
      </c>
      <c r="AI226" s="776" t="s">
        <v>2127</v>
      </c>
      <c r="AJ226" s="776" t="s">
        <v>2127</v>
      </c>
      <c r="AK226" s="776" t="s">
        <v>2127</v>
      </c>
      <c r="AL226" s="776" t="s">
        <v>2127</v>
      </c>
      <c r="AM226" s="776" t="s">
        <v>2127</v>
      </c>
      <c r="AN226" s="776" t="s">
        <v>2127</v>
      </c>
      <c r="AO226" s="776" t="s">
        <v>2127</v>
      </c>
      <c r="AP226" s="776" t="s">
        <v>2127</v>
      </c>
      <c r="AQ226" s="776" t="s">
        <v>2127</v>
      </c>
      <c r="AR226" s="776" t="s">
        <v>2127</v>
      </c>
      <c r="AS226" s="776" t="s">
        <v>2127</v>
      </c>
      <c r="AT226" s="776" t="s">
        <v>2127</v>
      </c>
      <c r="AU226" s="776" t="s">
        <v>2127</v>
      </c>
      <c r="AV226" s="776" t="s">
        <v>2127</v>
      </c>
      <c r="AW226" s="776" t="s">
        <v>2127</v>
      </c>
      <c r="AX226" s="776" t="s">
        <v>2127</v>
      </c>
      <c r="AY226" s="776" t="s">
        <v>2127</v>
      </c>
      <c r="AZ226" s="776" t="s">
        <v>2127</v>
      </c>
      <c r="BA226" s="776" t="s">
        <v>2127</v>
      </c>
      <c r="BB226" s="776" t="s">
        <v>2127</v>
      </c>
      <c r="BC226" s="776" t="s">
        <v>2127</v>
      </c>
      <c r="BD226" s="776" t="s">
        <v>2127</v>
      </c>
      <c r="BE226" s="776" t="s">
        <v>2127</v>
      </c>
      <c r="BF226" s="776" t="s">
        <v>2127</v>
      </c>
      <c r="BG226" s="776" t="s">
        <v>2127</v>
      </c>
      <c r="BH226" s="776" t="s">
        <v>2127</v>
      </c>
      <c r="BI226" s="776" t="s">
        <v>2127</v>
      </c>
      <c r="BJ226" s="776" t="s">
        <v>2127</v>
      </c>
      <c r="BK226" s="776" t="s">
        <v>2127</v>
      </c>
      <c r="BL226" s="776" t="s">
        <v>2127</v>
      </c>
      <c r="BM226" s="776" t="s">
        <v>2127</v>
      </c>
      <c r="BN226" s="776" t="s">
        <v>2127</v>
      </c>
      <c r="BO226" s="776" t="s">
        <v>2127</v>
      </c>
      <c r="BP226" s="776" t="s">
        <v>2127</v>
      </c>
      <c r="BQ226" s="776" t="s">
        <v>2127</v>
      </c>
      <c r="BR226" s="776" t="s">
        <v>2127</v>
      </c>
      <c r="BS226" s="776" t="s">
        <v>2127</v>
      </c>
      <c r="BT226" s="776" t="s">
        <v>2127</v>
      </c>
      <c r="BU226" s="776" t="s">
        <v>2127</v>
      </c>
      <c r="BV226" s="776" t="s">
        <v>2127</v>
      </c>
      <c r="BW226" s="776" t="s">
        <v>2127</v>
      </c>
      <c r="BX226" s="776" t="s">
        <v>2127</v>
      </c>
      <c r="BY226" s="776" t="s">
        <v>2127</v>
      </c>
      <c r="BZ226" s="776" t="s">
        <v>2127</v>
      </c>
      <c r="CA226" s="776" t="s">
        <v>2127</v>
      </c>
      <c r="CB226" s="776" t="s">
        <v>2127</v>
      </c>
      <c r="CC226" s="776" t="s">
        <v>2127</v>
      </c>
      <c r="CD226" s="776" t="s">
        <v>2127</v>
      </c>
      <c r="CE226" s="776" t="s">
        <v>2127</v>
      </c>
      <c r="CF226" s="776" t="s">
        <v>2127</v>
      </c>
      <c r="CG226" s="776" t="s">
        <v>2127</v>
      </c>
      <c r="CH226" s="776" t="s">
        <v>2127</v>
      </c>
      <c r="CI226" s="776" t="s">
        <v>2127</v>
      </c>
      <c r="CJ226" s="776" t="s">
        <v>2127</v>
      </c>
      <c r="CK226" s="776" t="s">
        <v>2127</v>
      </c>
      <c r="CL226" s="776" t="s">
        <v>2127</v>
      </c>
      <c r="CM226" s="776" t="s">
        <v>2127</v>
      </c>
      <c r="CN226" s="776" t="s">
        <v>2127</v>
      </c>
      <c r="CO226" s="776" t="s">
        <v>2127</v>
      </c>
      <c r="CP226" s="776" t="s">
        <v>2127</v>
      </c>
      <c r="CQ226" s="776" t="s">
        <v>2127</v>
      </c>
      <c r="CR226" s="776" t="s">
        <v>2127</v>
      </c>
      <c r="CS226" s="776" t="s">
        <v>2127</v>
      </c>
      <c r="CT226" s="776" t="s">
        <v>2127</v>
      </c>
      <c r="CU226" s="776" t="s">
        <v>2127</v>
      </c>
      <c r="CV226" s="776" t="s">
        <v>2127</v>
      </c>
      <c r="CW226" s="776" t="s">
        <v>2127</v>
      </c>
      <c r="CX226" s="776" t="s">
        <v>2127</v>
      </c>
      <c r="CY226" s="776" t="s">
        <v>2127</v>
      </c>
      <c r="CZ226" s="776" t="s">
        <v>2127</v>
      </c>
      <c r="DA226" s="776" t="s">
        <v>2127</v>
      </c>
      <c r="DB226" s="776" t="s">
        <v>2127</v>
      </c>
      <c r="DC226" s="776" t="s">
        <v>2127</v>
      </c>
      <c r="DD226" s="776" t="s">
        <v>2127</v>
      </c>
      <c r="DE226" s="776" t="s">
        <v>2127</v>
      </c>
      <c r="DF226" s="776" t="s">
        <v>2127</v>
      </c>
      <c r="DG226" s="776" t="s">
        <v>2127</v>
      </c>
      <c r="DH226" s="776" t="s">
        <v>2127</v>
      </c>
      <c r="DI226" s="776" t="s">
        <v>2127</v>
      </c>
      <c r="DJ226" s="776" t="s">
        <v>2127</v>
      </c>
      <c r="DK226" s="776" t="s">
        <v>2127</v>
      </c>
      <c r="DL226" s="776" t="s">
        <v>2127</v>
      </c>
      <c r="DM226" s="776" t="s">
        <v>2127</v>
      </c>
      <c r="DN226" s="776" t="s">
        <v>2127</v>
      </c>
      <c r="DO226" s="776" t="s">
        <v>2127</v>
      </c>
      <c r="DP226" s="776" t="s">
        <v>2127</v>
      </c>
    </row>
    <row r="227" spans="1:120" x14ac:dyDescent="0.2">
      <c r="A227" s="637" t="s">
        <v>2259</v>
      </c>
      <c r="B227" s="772" t="str" cm="1">
        <f t="array" ref="B227">IFERROR(INDEX(Kulturen[HF],_xlfn.AGGREGATE(15,6,(ROW(Kulturen[Auswahl])-7)/(--(SEARCH("x",Kulturen[Auswahl])&gt;0)),ROW()-7),1),"")</f>
        <v>+++Heil- und Gewürzpflanzen</v>
      </c>
      <c r="C227" s="772" t="str">
        <f>IF(Kulturen[[#This Row],[HF]]=$D$373,IF($C$6=0,0,"x"),IF($C$6=0,"x",Vorauswahl!C226))</f>
        <v>x</v>
      </c>
      <c r="D227" s="938" t="s">
        <v>805</v>
      </c>
      <c r="E227" s="938" t="s">
        <v>805</v>
      </c>
      <c r="F227" s="938" t="s">
        <v>900</v>
      </c>
      <c r="G227" s="938">
        <v>12</v>
      </c>
      <c r="H227" s="938">
        <v>8</v>
      </c>
      <c r="I227" s="938">
        <v>1</v>
      </c>
      <c r="J227" s="938">
        <v>12</v>
      </c>
      <c r="K227" s="938">
        <v>0.05</v>
      </c>
      <c r="L227" s="938">
        <v>0.05</v>
      </c>
      <c r="M227" s="938">
        <v>600</v>
      </c>
      <c r="N227" s="938">
        <v>0</v>
      </c>
      <c r="O227" s="938">
        <v>1</v>
      </c>
      <c r="P227" s="938">
        <v>0</v>
      </c>
      <c r="Q227" s="938">
        <v>225</v>
      </c>
      <c r="R227" s="938">
        <v>120</v>
      </c>
      <c r="S227" s="938">
        <v>20</v>
      </c>
      <c r="T227" s="938">
        <v>20</v>
      </c>
      <c r="U227" s="938">
        <v>0</v>
      </c>
      <c r="V227" s="938">
        <v>1</v>
      </c>
      <c r="W227" s="776">
        <f>IF(Kulturen[[#This Row],[Berechnungsschema]]=13,3,IF(Kulturen[[#This Row],[Berechnungsschema]]=6,2,1))</f>
        <v>1</v>
      </c>
      <c r="X227" s="776">
        <f>IF(Kulturen[[#This Row],[fruchtartengruppe]]=13,Kulturen[[#This Row],[NBedarfswert]],MAX(0,Kulturen[[#This Row],[NBedarfswert]]-Kulturen[[#This Row],[Ertrag]]*Kulturen[[#This Row],[Nfix]]))</f>
        <v>225</v>
      </c>
      <c r="Y227" s="776" t="s">
        <v>2127</v>
      </c>
      <c r="Z227" s="776" t="s">
        <v>2127</v>
      </c>
      <c r="AA227" s="776" t="s">
        <v>2127</v>
      </c>
      <c r="AB227" s="776" t="s">
        <v>2127</v>
      </c>
      <c r="AC227" s="776" t="s">
        <v>2127</v>
      </c>
      <c r="AD227" s="776" t="s">
        <v>2127</v>
      </c>
      <c r="AE227" s="776" t="s">
        <v>2127</v>
      </c>
      <c r="AF227" s="776" t="s">
        <v>2127</v>
      </c>
      <c r="AG227" s="776" t="s">
        <v>2127</v>
      </c>
      <c r="AH227" s="776" t="s">
        <v>2127</v>
      </c>
      <c r="AI227" s="776" t="s">
        <v>2127</v>
      </c>
      <c r="AJ227" s="776" t="s">
        <v>2127</v>
      </c>
      <c r="AK227" s="776" t="s">
        <v>2127</v>
      </c>
      <c r="AL227" s="776" t="s">
        <v>2127</v>
      </c>
      <c r="AM227" s="776" t="s">
        <v>2127</v>
      </c>
      <c r="AN227" s="776" t="s">
        <v>2127</v>
      </c>
      <c r="AO227" s="776" t="s">
        <v>2127</v>
      </c>
      <c r="AP227" s="776" t="s">
        <v>2127</v>
      </c>
      <c r="AQ227" s="776" t="s">
        <v>2127</v>
      </c>
      <c r="AR227" s="776" t="s">
        <v>2127</v>
      </c>
      <c r="AS227" s="776" t="s">
        <v>2127</v>
      </c>
      <c r="AT227" s="776" t="s">
        <v>2127</v>
      </c>
      <c r="AU227" s="776" t="s">
        <v>2127</v>
      </c>
      <c r="AV227" s="776" t="s">
        <v>2127</v>
      </c>
      <c r="AW227" s="776" t="s">
        <v>2127</v>
      </c>
      <c r="AX227" s="776" t="s">
        <v>2127</v>
      </c>
      <c r="AY227" s="776" t="s">
        <v>2127</v>
      </c>
      <c r="AZ227" s="776" t="s">
        <v>2127</v>
      </c>
      <c r="BA227" s="776" t="s">
        <v>2127</v>
      </c>
      <c r="BB227" s="776" t="s">
        <v>2127</v>
      </c>
      <c r="BC227" s="776" t="s">
        <v>2127</v>
      </c>
      <c r="BD227" s="776" t="s">
        <v>2127</v>
      </c>
      <c r="BE227" s="776" t="s">
        <v>2127</v>
      </c>
      <c r="BF227" s="776" t="s">
        <v>2127</v>
      </c>
      <c r="BG227" s="776" t="s">
        <v>2127</v>
      </c>
      <c r="BH227" s="776" t="s">
        <v>2127</v>
      </c>
      <c r="BI227" s="776" t="s">
        <v>2127</v>
      </c>
      <c r="BJ227" s="776" t="s">
        <v>2127</v>
      </c>
      <c r="BK227" s="776" t="s">
        <v>2127</v>
      </c>
      <c r="BL227" s="776" t="s">
        <v>2127</v>
      </c>
      <c r="BM227" s="776" t="s">
        <v>2127</v>
      </c>
      <c r="BN227" s="776" t="s">
        <v>2127</v>
      </c>
      <c r="BO227" s="776" t="s">
        <v>2127</v>
      </c>
      <c r="BP227" s="776" t="s">
        <v>2127</v>
      </c>
      <c r="BQ227" s="776" t="s">
        <v>2127</v>
      </c>
      <c r="BR227" s="776" t="s">
        <v>2127</v>
      </c>
      <c r="BS227" s="776" t="s">
        <v>2127</v>
      </c>
      <c r="BT227" s="776" t="s">
        <v>2127</v>
      </c>
      <c r="BU227" s="776" t="s">
        <v>2127</v>
      </c>
      <c r="BV227" s="776" t="s">
        <v>2127</v>
      </c>
      <c r="BW227" s="776" t="s">
        <v>2127</v>
      </c>
      <c r="BX227" s="776" t="s">
        <v>2127</v>
      </c>
      <c r="BY227" s="776" t="s">
        <v>2127</v>
      </c>
      <c r="BZ227" s="776" t="s">
        <v>2127</v>
      </c>
      <c r="CA227" s="776" t="s">
        <v>2127</v>
      </c>
      <c r="CB227" s="776" t="s">
        <v>2127</v>
      </c>
      <c r="CC227" s="776" t="s">
        <v>2127</v>
      </c>
      <c r="CD227" s="776" t="s">
        <v>2127</v>
      </c>
      <c r="CE227" s="776" t="s">
        <v>2127</v>
      </c>
      <c r="CF227" s="776" t="s">
        <v>2127</v>
      </c>
      <c r="CG227" s="776" t="s">
        <v>2127</v>
      </c>
      <c r="CH227" s="776" t="s">
        <v>2127</v>
      </c>
      <c r="CI227" s="776" t="s">
        <v>2127</v>
      </c>
      <c r="CJ227" s="776" t="s">
        <v>2127</v>
      </c>
      <c r="CK227" s="776" t="s">
        <v>2127</v>
      </c>
      <c r="CL227" s="776" t="s">
        <v>2127</v>
      </c>
      <c r="CM227" s="776" t="s">
        <v>2127</v>
      </c>
      <c r="CN227" s="776" t="s">
        <v>2127</v>
      </c>
      <c r="CO227" s="776" t="s">
        <v>2127</v>
      </c>
      <c r="CP227" s="776" t="s">
        <v>2127</v>
      </c>
      <c r="CQ227" s="776" t="s">
        <v>2127</v>
      </c>
      <c r="CR227" s="776" t="s">
        <v>2127</v>
      </c>
      <c r="CS227" s="776" t="s">
        <v>2127</v>
      </c>
      <c r="CT227" s="776" t="s">
        <v>2127</v>
      </c>
      <c r="CU227" s="776" t="s">
        <v>2127</v>
      </c>
      <c r="CV227" s="776" t="s">
        <v>2127</v>
      </c>
      <c r="CW227" s="776" t="s">
        <v>2127</v>
      </c>
      <c r="CX227" s="776" t="s">
        <v>2127</v>
      </c>
      <c r="CY227" s="776" t="s">
        <v>2127</v>
      </c>
      <c r="CZ227" s="776" t="s">
        <v>2127</v>
      </c>
      <c r="DA227" s="776" t="s">
        <v>2127</v>
      </c>
      <c r="DB227" s="776" t="s">
        <v>2127</v>
      </c>
      <c r="DC227" s="776" t="s">
        <v>2127</v>
      </c>
      <c r="DD227" s="776" t="s">
        <v>2127</v>
      </c>
      <c r="DE227" s="776" t="s">
        <v>2127</v>
      </c>
      <c r="DF227" s="776" t="s">
        <v>2127</v>
      </c>
      <c r="DG227" s="776" t="s">
        <v>2127</v>
      </c>
      <c r="DH227" s="776" t="s">
        <v>2127</v>
      </c>
      <c r="DI227" s="776" t="s">
        <v>2127</v>
      </c>
      <c r="DJ227" s="776" t="s">
        <v>2127</v>
      </c>
      <c r="DK227" s="776" t="s">
        <v>2127</v>
      </c>
      <c r="DL227" s="776" t="s">
        <v>2127</v>
      </c>
      <c r="DM227" s="776" t="s">
        <v>2127</v>
      </c>
      <c r="DN227" s="776" t="s">
        <v>2127</v>
      </c>
      <c r="DO227" s="776" t="s">
        <v>2127</v>
      </c>
      <c r="DP227" s="776" t="s">
        <v>2127</v>
      </c>
    </row>
    <row r="228" spans="1:120" x14ac:dyDescent="0.2">
      <c r="A228" s="637" t="s">
        <v>2260</v>
      </c>
      <c r="B228" s="772" t="str" cm="1">
        <f t="array" ref="B228">IFERROR(INDEX(Kulturen[HF],_xlfn.AGGREGATE(15,6,(ROW(Kulturen[Auswahl])-7)/(--(SEARCH("x",Kulturen[Auswahl])&gt;0)),ROW()-7),1),"")</f>
        <v>Ackerschachtelhalm (Kraut)</v>
      </c>
      <c r="C228" s="772" t="str">
        <f>IF(Kulturen[[#This Row],[HF]]=$D$373,IF($C$6=0,0,"x"),IF($C$6=0,"x",Vorauswahl!C227))</f>
        <v>x</v>
      </c>
      <c r="D228" s="938" t="s">
        <v>806</v>
      </c>
      <c r="E228" s="938" t="s">
        <v>2405</v>
      </c>
      <c r="F228" s="938" t="s">
        <v>901</v>
      </c>
      <c r="G228" s="938">
        <v>12</v>
      </c>
      <c r="H228" s="938">
        <v>8</v>
      </c>
      <c r="I228" s="938">
        <v>3</v>
      </c>
      <c r="J228" s="938">
        <v>12</v>
      </c>
      <c r="K228" s="938">
        <v>7.2999999999999995E-2</v>
      </c>
      <c r="L228" s="938">
        <v>7.0000000000000007E-2</v>
      </c>
      <c r="M228" s="938">
        <v>700</v>
      </c>
      <c r="N228" s="938">
        <v>0</v>
      </c>
      <c r="O228" s="938">
        <v>1</v>
      </c>
      <c r="P228" s="938">
        <v>0</v>
      </c>
      <c r="Q228" s="938">
        <v>260</v>
      </c>
      <c r="R228" s="938">
        <v>140</v>
      </c>
      <c r="S228" s="938">
        <v>40</v>
      </c>
      <c r="T228" s="938">
        <v>40</v>
      </c>
      <c r="U228" s="938">
        <v>10</v>
      </c>
      <c r="V228" s="938">
        <v>1</v>
      </c>
      <c r="W228" s="776">
        <f>IF(Kulturen[[#This Row],[Berechnungsschema]]=13,3,IF(Kulturen[[#This Row],[Berechnungsschema]]=6,2,1))</f>
        <v>1</v>
      </c>
      <c r="X228" s="776">
        <f>IF(Kulturen[[#This Row],[fruchtartengruppe]]=13,Kulturen[[#This Row],[NBedarfswert]],MAX(0,Kulturen[[#This Row],[NBedarfswert]]-Kulturen[[#This Row],[Ertrag]]*Kulturen[[#This Row],[Nfix]]))</f>
        <v>260</v>
      </c>
      <c r="Y228" s="776" t="s">
        <v>2127</v>
      </c>
      <c r="Z228" s="776" t="s">
        <v>2127</v>
      </c>
      <c r="AA228" s="776" t="s">
        <v>2127</v>
      </c>
      <c r="AB228" s="776" t="s">
        <v>2127</v>
      </c>
      <c r="AC228" s="776" t="s">
        <v>2127</v>
      </c>
      <c r="AD228" s="776" t="s">
        <v>2127</v>
      </c>
      <c r="AE228" s="776" t="s">
        <v>2127</v>
      </c>
      <c r="AF228" s="776" t="s">
        <v>2127</v>
      </c>
      <c r="AG228" s="776" t="s">
        <v>2127</v>
      </c>
      <c r="AH228" s="776" t="s">
        <v>2127</v>
      </c>
      <c r="AI228" s="776" t="s">
        <v>2127</v>
      </c>
      <c r="AJ228" s="776" t="s">
        <v>2127</v>
      </c>
      <c r="AK228" s="776" t="s">
        <v>2127</v>
      </c>
      <c r="AL228" s="776" t="s">
        <v>2127</v>
      </c>
      <c r="AM228" s="776" t="s">
        <v>2127</v>
      </c>
      <c r="AN228" s="776" t="s">
        <v>2127</v>
      </c>
      <c r="AO228" s="776" t="s">
        <v>2127</v>
      </c>
      <c r="AP228" s="776" t="s">
        <v>2127</v>
      </c>
      <c r="AQ228" s="776" t="s">
        <v>2127</v>
      </c>
      <c r="AR228" s="776" t="s">
        <v>2127</v>
      </c>
      <c r="AS228" s="776" t="s">
        <v>2127</v>
      </c>
      <c r="AT228" s="776" t="s">
        <v>2127</v>
      </c>
      <c r="AU228" s="776" t="s">
        <v>2127</v>
      </c>
      <c r="AV228" s="776" t="s">
        <v>2127</v>
      </c>
      <c r="AW228" s="776" t="s">
        <v>2127</v>
      </c>
      <c r="AX228" s="776" t="s">
        <v>2127</v>
      </c>
      <c r="AY228" s="776" t="s">
        <v>2127</v>
      </c>
      <c r="AZ228" s="776" t="s">
        <v>2127</v>
      </c>
      <c r="BA228" s="776" t="s">
        <v>2127</v>
      </c>
      <c r="BB228" s="776" t="s">
        <v>2127</v>
      </c>
      <c r="BC228" s="776" t="s">
        <v>2127</v>
      </c>
      <c r="BD228" s="776" t="s">
        <v>2127</v>
      </c>
      <c r="BE228" s="776" t="s">
        <v>2127</v>
      </c>
      <c r="BF228" s="776" t="s">
        <v>2127</v>
      </c>
      <c r="BG228" s="776" t="s">
        <v>2127</v>
      </c>
      <c r="BH228" s="776" t="s">
        <v>2127</v>
      </c>
      <c r="BI228" s="776" t="s">
        <v>2127</v>
      </c>
      <c r="BJ228" s="776" t="s">
        <v>2127</v>
      </c>
      <c r="BK228" s="776" t="s">
        <v>2127</v>
      </c>
      <c r="BL228" s="776" t="s">
        <v>2127</v>
      </c>
      <c r="BM228" s="776" t="s">
        <v>2127</v>
      </c>
      <c r="BN228" s="776" t="s">
        <v>2127</v>
      </c>
      <c r="BO228" s="776" t="s">
        <v>2127</v>
      </c>
      <c r="BP228" s="776" t="s">
        <v>2127</v>
      </c>
      <c r="BQ228" s="776" t="s">
        <v>2127</v>
      </c>
      <c r="BR228" s="776" t="s">
        <v>2127</v>
      </c>
      <c r="BS228" s="776" t="s">
        <v>2127</v>
      </c>
      <c r="BT228" s="776" t="s">
        <v>2127</v>
      </c>
      <c r="BU228" s="776" t="s">
        <v>2127</v>
      </c>
      <c r="BV228" s="776" t="s">
        <v>2127</v>
      </c>
      <c r="BW228" s="776" t="s">
        <v>2127</v>
      </c>
      <c r="BX228" s="776" t="s">
        <v>2127</v>
      </c>
      <c r="BY228" s="776" t="s">
        <v>2127</v>
      </c>
      <c r="BZ228" s="776" t="s">
        <v>2127</v>
      </c>
      <c r="CA228" s="776" t="s">
        <v>2127</v>
      </c>
      <c r="CB228" s="776" t="s">
        <v>2127</v>
      </c>
      <c r="CC228" s="776" t="s">
        <v>2127</v>
      </c>
      <c r="CD228" s="776" t="s">
        <v>2127</v>
      </c>
      <c r="CE228" s="776" t="s">
        <v>2127</v>
      </c>
      <c r="CF228" s="776" t="s">
        <v>2127</v>
      </c>
      <c r="CG228" s="776" t="s">
        <v>2127</v>
      </c>
      <c r="CH228" s="776" t="s">
        <v>2127</v>
      </c>
      <c r="CI228" s="776" t="s">
        <v>2127</v>
      </c>
      <c r="CJ228" s="776" t="s">
        <v>2127</v>
      </c>
      <c r="CK228" s="776" t="s">
        <v>2127</v>
      </c>
      <c r="CL228" s="776" t="s">
        <v>2127</v>
      </c>
      <c r="CM228" s="776" t="s">
        <v>2127</v>
      </c>
      <c r="CN228" s="776" t="s">
        <v>2127</v>
      </c>
      <c r="CO228" s="776" t="s">
        <v>2127</v>
      </c>
      <c r="CP228" s="776" t="s">
        <v>2127</v>
      </c>
      <c r="CQ228" s="776" t="s">
        <v>2127</v>
      </c>
      <c r="CR228" s="776" t="s">
        <v>2127</v>
      </c>
      <c r="CS228" s="776" t="s">
        <v>2127</v>
      </c>
      <c r="CT228" s="776" t="s">
        <v>2127</v>
      </c>
      <c r="CU228" s="776" t="s">
        <v>2127</v>
      </c>
      <c r="CV228" s="776" t="s">
        <v>2127</v>
      </c>
      <c r="CW228" s="776" t="s">
        <v>2127</v>
      </c>
      <c r="CX228" s="776" t="s">
        <v>2127</v>
      </c>
      <c r="CY228" s="776" t="s">
        <v>2127</v>
      </c>
      <c r="CZ228" s="776" t="s">
        <v>2127</v>
      </c>
      <c r="DA228" s="776" t="s">
        <v>2127</v>
      </c>
      <c r="DB228" s="776" t="s">
        <v>2127</v>
      </c>
      <c r="DC228" s="776" t="s">
        <v>2127</v>
      </c>
      <c r="DD228" s="776" t="s">
        <v>2127</v>
      </c>
      <c r="DE228" s="776" t="s">
        <v>2127</v>
      </c>
      <c r="DF228" s="776" t="s">
        <v>2127</v>
      </c>
      <c r="DG228" s="776" t="s">
        <v>2127</v>
      </c>
      <c r="DH228" s="776" t="s">
        <v>2127</v>
      </c>
      <c r="DI228" s="776" t="s">
        <v>2127</v>
      </c>
      <c r="DJ228" s="776" t="s">
        <v>2127</v>
      </c>
      <c r="DK228" s="776" t="s">
        <v>2127</v>
      </c>
      <c r="DL228" s="776" t="s">
        <v>2127</v>
      </c>
      <c r="DM228" s="776" t="s">
        <v>2127</v>
      </c>
      <c r="DN228" s="776" t="s">
        <v>2127</v>
      </c>
      <c r="DO228" s="776" t="s">
        <v>2127</v>
      </c>
      <c r="DP228" s="776" t="s">
        <v>2127</v>
      </c>
    </row>
    <row r="229" spans="1:120" x14ac:dyDescent="0.2">
      <c r="A229" s="637" t="s">
        <v>2261</v>
      </c>
      <c r="B229" s="772" t="str" cm="1">
        <f t="array" ref="B229">IFERROR(INDEX(Kulturen[HF],_xlfn.AGGREGATE(15,6,(ROW(Kulturen[Auswahl])-7)/(--(SEARCH("x",Kulturen[Auswahl])&gt;0)),ROW()-7),1),"")</f>
        <v>Ackerstiefmütterchen (Blühendes Kraut)</v>
      </c>
      <c r="C229" s="772" t="str">
        <f>IF(Kulturen[[#This Row],[HF]]=$D$373,IF($C$6=0,0,"x"),IF($C$6=0,"x",Vorauswahl!C228))</f>
        <v>x</v>
      </c>
      <c r="D229" s="938" t="s">
        <v>807</v>
      </c>
      <c r="E229" s="938" t="s">
        <v>2406</v>
      </c>
      <c r="F229" s="938" t="s">
        <v>902</v>
      </c>
      <c r="G229" s="938">
        <v>12</v>
      </c>
      <c r="H229" s="938">
        <v>8</v>
      </c>
      <c r="I229" s="938">
        <v>3</v>
      </c>
      <c r="J229" s="938">
        <v>12</v>
      </c>
      <c r="K229" s="938">
        <v>7.2999999999999995E-2</v>
      </c>
      <c r="L229" s="938">
        <v>7.0000000000000007E-2</v>
      </c>
      <c r="M229" s="938">
        <v>1000</v>
      </c>
      <c r="N229" s="938">
        <v>0</v>
      </c>
      <c r="O229" s="938">
        <v>1</v>
      </c>
      <c r="P229" s="938">
        <v>0</v>
      </c>
      <c r="Q229" s="938">
        <v>320</v>
      </c>
      <c r="R229" s="938">
        <v>200</v>
      </c>
      <c r="S229" s="938">
        <v>40</v>
      </c>
      <c r="T229" s="938">
        <v>40</v>
      </c>
      <c r="U229" s="938">
        <v>10</v>
      </c>
      <c r="V229" s="938">
        <v>1</v>
      </c>
      <c r="W229" s="776">
        <f>IF(Kulturen[[#This Row],[Berechnungsschema]]=13,3,IF(Kulturen[[#This Row],[Berechnungsschema]]=6,2,1))</f>
        <v>1</v>
      </c>
      <c r="X229" s="776">
        <f>IF(Kulturen[[#This Row],[fruchtartengruppe]]=13,Kulturen[[#This Row],[NBedarfswert]],MAX(0,Kulturen[[#This Row],[NBedarfswert]]-Kulturen[[#This Row],[Ertrag]]*Kulturen[[#This Row],[Nfix]]))</f>
        <v>320</v>
      </c>
      <c r="Y229" s="776" t="s">
        <v>2127</v>
      </c>
      <c r="Z229" s="776" t="s">
        <v>2127</v>
      </c>
      <c r="AA229" s="776" t="s">
        <v>2127</v>
      </c>
      <c r="AB229" s="776" t="s">
        <v>2127</v>
      </c>
      <c r="AC229" s="776" t="s">
        <v>2127</v>
      </c>
      <c r="AD229" s="776" t="s">
        <v>2127</v>
      </c>
      <c r="AE229" s="776" t="s">
        <v>2127</v>
      </c>
      <c r="AF229" s="776" t="s">
        <v>2127</v>
      </c>
      <c r="AG229" s="776" t="s">
        <v>2127</v>
      </c>
      <c r="AH229" s="776" t="s">
        <v>2127</v>
      </c>
      <c r="AI229" s="776" t="s">
        <v>2127</v>
      </c>
      <c r="AJ229" s="776" t="s">
        <v>2127</v>
      </c>
      <c r="AK229" s="776" t="s">
        <v>2127</v>
      </c>
      <c r="AL229" s="776" t="s">
        <v>2127</v>
      </c>
      <c r="AM229" s="776" t="s">
        <v>2127</v>
      </c>
      <c r="AN229" s="776" t="s">
        <v>2127</v>
      </c>
      <c r="AO229" s="776" t="s">
        <v>2127</v>
      </c>
      <c r="AP229" s="776" t="s">
        <v>2127</v>
      </c>
      <c r="AQ229" s="776" t="s">
        <v>2127</v>
      </c>
      <c r="AR229" s="776" t="s">
        <v>2127</v>
      </c>
      <c r="AS229" s="776" t="s">
        <v>2127</v>
      </c>
      <c r="AT229" s="776" t="s">
        <v>2127</v>
      </c>
      <c r="AU229" s="776" t="s">
        <v>2127</v>
      </c>
      <c r="AV229" s="776" t="s">
        <v>2127</v>
      </c>
      <c r="AW229" s="776" t="s">
        <v>2127</v>
      </c>
      <c r="AX229" s="776" t="s">
        <v>2127</v>
      </c>
      <c r="AY229" s="776" t="s">
        <v>2127</v>
      </c>
      <c r="AZ229" s="776" t="s">
        <v>2127</v>
      </c>
      <c r="BA229" s="776" t="s">
        <v>2127</v>
      </c>
      <c r="BB229" s="776" t="s">
        <v>2127</v>
      </c>
      <c r="BC229" s="776" t="s">
        <v>2127</v>
      </c>
      <c r="BD229" s="776" t="s">
        <v>2127</v>
      </c>
      <c r="BE229" s="776" t="s">
        <v>2127</v>
      </c>
      <c r="BF229" s="776" t="s">
        <v>2127</v>
      </c>
      <c r="BG229" s="776" t="s">
        <v>2127</v>
      </c>
      <c r="BH229" s="776" t="s">
        <v>2127</v>
      </c>
      <c r="BI229" s="776" t="s">
        <v>2127</v>
      </c>
      <c r="BJ229" s="776" t="s">
        <v>2127</v>
      </c>
      <c r="BK229" s="776" t="s">
        <v>2127</v>
      </c>
      <c r="BL229" s="776" t="s">
        <v>2127</v>
      </c>
      <c r="BM229" s="776" t="s">
        <v>2127</v>
      </c>
      <c r="BN229" s="776" t="s">
        <v>2127</v>
      </c>
      <c r="BO229" s="776" t="s">
        <v>2127</v>
      </c>
      <c r="BP229" s="776" t="s">
        <v>2127</v>
      </c>
      <c r="BQ229" s="776" t="s">
        <v>2127</v>
      </c>
      <c r="BR229" s="776" t="s">
        <v>2127</v>
      </c>
      <c r="BS229" s="776" t="s">
        <v>2127</v>
      </c>
      <c r="BT229" s="776" t="s">
        <v>2127</v>
      </c>
      <c r="BU229" s="776" t="s">
        <v>2127</v>
      </c>
      <c r="BV229" s="776" t="s">
        <v>2127</v>
      </c>
      <c r="BW229" s="776" t="s">
        <v>2127</v>
      </c>
      <c r="BX229" s="776" t="s">
        <v>2127</v>
      </c>
      <c r="BY229" s="776" t="s">
        <v>2127</v>
      </c>
      <c r="BZ229" s="776" t="s">
        <v>2127</v>
      </c>
      <c r="CA229" s="776" t="s">
        <v>2127</v>
      </c>
      <c r="CB229" s="776" t="s">
        <v>2127</v>
      </c>
      <c r="CC229" s="776" t="s">
        <v>2127</v>
      </c>
      <c r="CD229" s="776" t="s">
        <v>2127</v>
      </c>
      <c r="CE229" s="776" t="s">
        <v>2127</v>
      </c>
      <c r="CF229" s="776" t="s">
        <v>2127</v>
      </c>
      <c r="CG229" s="776" t="s">
        <v>2127</v>
      </c>
      <c r="CH229" s="776" t="s">
        <v>2127</v>
      </c>
      <c r="CI229" s="776" t="s">
        <v>2127</v>
      </c>
      <c r="CJ229" s="776" t="s">
        <v>2127</v>
      </c>
      <c r="CK229" s="776" t="s">
        <v>2127</v>
      </c>
      <c r="CL229" s="776" t="s">
        <v>2127</v>
      </c>
      <c r="CM229" s="776" t="s">
        <v>2127</v>
      </c>
      <c r="CN229" s="776" t="s">
        <v>2127</v>
      </c>
      <c r="CO229" s="776" t="s">
        <v>2127</v>
      </c>
      <c r="CP229" s="776" t="s">
        <v>2127</v>
      </c>
      <c r="CQ229" s="776" t="s">
        <v>2127</v>
      </c>
      <c r="CR229" s="776" t="s">
        <v>2127</v>
      </c>
      <c r="CS229" s="776" t="s">
        <v>2127</v>
      </c>
      <c r="CT229" s="776" t="s">
        <v>2127</v>
      </c>
      <c r="CU229" s="776" t="s">
        <v>2127</v>
      </c>
      <c r="CV229" s="776" t="s">
        <v>2127</v>
      </c>
      <c r="CW229" s="776" t="s">
        <v>2127</v>
      </c>
      <c r="CX229" s="776" t="s">
        <v>2127</v>
      </c>
      <c r="CY229" s="776" t="s">
        <v>2127</v>
      </c>
      <c r="CZ229" s="776" t="s">
        <v>2127</v>
      </c>
      <c r="DA229" s="776" t="s">
        <v>2127</v>
      </c>
      <c r="DB229" s="776" t="s">
        <v>2127</v>
      </c>
      <c r="DC229" s="776" t="s">
        <v>2127</v>
      </c>
      <c r="DD229" s="776" t="s">
        <v>2127</v>
      </c>
      <c r="DE229" s="776" t="s">
        <v>2127</v>
      </c>
      <c r="DF229" s="776" t="s">
        <v>2127</v>
      </c>
      <c r="DG229" s="776" t="s">
        <v>2127</v>
      </c>
      <c r="DH229" s="776" t="s">
        <v>2127</v>
      </c>
      <c r="DI229" s="776" t="s">
        <v>2127</v>
      </c>
      <c r="DJ229" s="776" t="s">
        <v>2127</v>
      </c>
      <c r="DK229" s="776" t="s">
        <v>2127</v>
      </c>
      <c r="DL229" s="776" t="s">
        <v>2127</v>
      </c>
      <c r="DM229" s="776" t="s">
        <v>2127</v>
      </c>
      <c r="DN229" s="776" t="s">
        <v>2127</v>
      </c>
      <c r="DO229" s="776" t="s">
        <v>2127</v>
      </c>
      <c r="DP229" s="776" t="s">
        <v>2127</v>
      </c>
    </row>
    <row r="230" spans="1:120" x14ac:dyDescent="0.2">
      <c r="A230" s="637" t="s">
        <v>2262</v>
      </c>
      <c r="B230" s="772" t="str" cm="1">
        <f t="array" ref="B230">IFERROR(INDEX(Kulturen[HF],_xlfn.AGGREGATE(15,6,(ROW(Kulturen[Auswahl])-7)/(--(SEARCH("x",Kulturen[Auswahl])&gt;0)),ROW()-7),1),"")</f>
        <v>Akelei (Blühendes Kraut)</v>
      </c>
      <c r="C230" s="772" t="str">
        <f>IF(Kulturen[[#This Row],[HF]]=$D$373,IF($C$6=0,0,"x"),IF($C$6=0,"x",Vorauswahl!C229))</f>
        <v>x</v>
      </c>
      <c r="D230" s="938" t="s">
        <v>808</v>
      </c>
      <c r="E230" s="938" t="s">
        <v>808</v>
      </c>
      <c r="F230" s="938" t="s">
        <v>903</v>
      </c>
      <c r="G230" s="938">
        <v>12</v>
      </c>
      <c r="H230" s="938">
        <v>8</v>
      </c>
      <c r="I230" s="938">
        <v>3</v>
      </c>
      <c r="J230" s="938">
        <v>12</v>
      </c>
      <c r="K230" s="938">
        <v>0.115</v>
      </c>
      <c r="L230" s="938">
        <v>0.12</v>
      </c>
      <c r="M230" s="938">
        <v>400</v>
      </c>
      <c r="N230" s="938">
        <v>0</v>
      </c>
      <c r="O230" s="938">
        <v>1</v>
      </c>
      <c r="P230" s="938">
        <v>0</v>
      </c>
      <c r="Q230" s="938">
        <v>285</v>
      </c>
      <c r="R230" s="938">
        <v>80</v>
      </c>
      <c r="S230" s="938">
        <v>40</v>
      </c>
      <c r="T230" s="938">
        <v>40</v>
      </c>
      <c r="U230" s="938">
        <v>10</v>
      </c>
      <c r="V230" s="938">
        <v>1</v>
      </c>
      <c r="W230" s="776">
        <f>IF(Kulturen[[#This Row],[Berechnungsschema]]=13,3,IF(Kulturen[[#This Row],[Berechnungsschema]]=6,2,1))</f>
        <v>1</v>
      </c>
      <c r="X230" s="776">
        <f>IF(Kulturen[[#This Row],[fruchtartengruppe]]=13,Kulturen[[#This Row],[NBedarfswert]],MAX(0,Kulturen[[#This Row],[NBedarfswert]]-Kulturen[[#This Row],[Ertrag]]*Kulturen[[#This Row],[Nfix]]))</f>
        <v>285</v>
      </c>
      <c r="Y230" s="776" t="s">
        <v>2127</v>
      </c>
      <c r="Z230" s="776" t="s">
        <v>2127</v>
      </c>
      <c r="AA230" s="776" t="s">
        <v>2127</v>
      </c>
      <c r="AB230" s="776" t="s">
        <v>2127</v>
      </c>
      <c r="AC230" s="776" t="s">
        <v>2127</v>
      </c>
      <c r="AD230" s="776" t="s">
        <v>2127</v>
      </c>
      <c r="AE230" s="776" t="s">
        <v>2127</v>
      </c>
      <c r="AF230" s="776" t="s">
        <v>2127</v>
      </c>
      <c r="AG230" s="776" t="s">
        <v>2127</v>
      </c>
      <c r="AH230" s="776" t="s">
        <v>2127</v>
      </c>
      <c r="AI230" s="776" t="s">
        <v>2127</v>
      </c>
      <c r="AJ230" s="776" t="s">
        <v>2127</v>
      </c>
      <c r="AK230" s="776" t="s">
        <v>2127</v>
      </c>
      <c r="AL230" s="776" t="s">
        <v>2127</v>
      </c>
      <c r="AM230" s="776" t="s">
        <v>2127</v>
      </c>
      <c r="AN230" s="776" t="s">
        <v>2127</v>
      </c>
      <c r="AO230" s="776" t="s">
        <v>2127</v>
      </c>
      <c r="AP230" s="776" t="s">
        <v>2127</v>
      </c>
      <c r="AQ230" s="776" t="s">
        <v>2127</v>
      </c>
      <c r="AR230" s="776" t="s">
        <v>2127</v>
      </c>
      <c r="AS230" s="776" t="s">
        <v>2127</v>
      </c>
      <c r="AT230" s="776" t="s">
        <v>2127</v>
      </c>
      <c r="AU230" s="776" t="s">
        <v>2127</v>
      </c>
      <c r="AV230" s="776" t="s">
        <v>2127</v>
      </c>
      <c r="AW230" s="776" t="s">
        <v>2127</v>
      </c>
      <c r="AX230" s="776" t="s">
        <v>2127</v>
      </c>
      <c r="AY230" s="776" t="s">
        <v>2127</v>
      </c>
      <c r="AZ230" s="776" t="s">
        <v>2127</v>
      </c>
      <c r="BA230" s="776" t="s">
        <v>2127</v>
      </c>
      <c r="BB230" s="776" t="s">
        <v>2127</v>
      </c>
      <c r="BC230" s="776" t="s">
        <v>2127</v>
      </c>
      <c r="BD230" s="776" t="s">
        <v>2127</v>
      </c>
      <c r="BE230" s="776" t="s">
        <v>2127</v>
      </c>
      <c r="BF230" s="776" t="s">
        <v>2127</v>
      </c>
      <c r="BG230" s="776" t="s">
        <v>2127</v>
      </c>
      <c r="BH230" s="776" t="s">
        <v>2127</v>
      </c>
      <c r="BI230" s="776" t="s">
        <v>2127</v>
      </c>
      <c r="BJ230" s="776" t="s">
        <v>2127</v>
      </c>
      <c r="BK230" s="776" t="s">
        <v>2127</v>
      </c>
      <c r="BL230" s="776" t="s">
        <v>2127</v>
      </c>
      <c r="BM230" s="776" t="s">
        <v>2127</v>
      </c>
      <c r="BN230" s="776" t="s">
        <v>2127</v>
      </c>
      <c r="BO230" s="776" t="s">
        <v>2127</v>
      </c>
      <c r="BP230" s="776" t="s">
        <v>2127</v>
      </c>
      <c r="BQ230" s="776" t="s">
        <v>2127</v>
      </c>
      <c r="BR230" s="776" t="s">
        <v>2127</v>
      </c>
      <c r="BS230" s="776" t="s">
        <v>2127</v>
      </c>
      <c r="BT230" s="776" t="s">
        <v>2127</v>
      </c>
      <c r="BU230" s="776" t="s">
        <v>2127</v>
      </c>
      <c r="BV230" s="776" t="s">
        <v>2127</v>
      </c>
      <c r="BW230" s="776" t="s">
        <v>2127</v>
      </c>
      <c r="BX230" s="776" t="s">
        <v>2127</v>
      </c>
      <c r="BY230" s="776" t="s">
        <v>2127</v>
      </c>
      <c r="BZ230" s="776" t="s">
        <v>2127</v>
      </c>
      <c r="CA230" s="776" t="s">
        <v>2127</v>
      </c>
      <c r="CB230" s="776" t="s">
        <v>2127</v>
      </c>
      <c r="CC230" s="776" t="s">
        <v>2127</v>
      </c>
      <c r="CD230" s="776" t="s">
        <v>2127</v>
      </c>
      <c r="CE230" s="776" t="s">
        <v>2127</v>
      </c>
      <c r="CF230" s="776" t="s">
        <v>2127</v>
      </c>
      <c r="CG230" s="776" t="s">
        <v>2127</v>
      </c>
      <c r="CH230" s="776" t="s">
        <v>2127</v>
      </c>
      <c r="CI230" s="776" t="s">
        <v>2127</v>
      </c>
      <c r="CJ230" s="776" t="s">
        <v>2127</v>
      </c>
      <c r="CK230" s="776" t="s">
        <v>2127</v>
      </c>
      <c r="CL230" s="776" t="s">
        <v>2127</v>
      </c>
      <c r="CM230" s="776" t="s">
        <v>2127</v>
      </c>
      <c r="CN230" s="776" t="s">
        <v>2127</v>
      </c>
      <c r="CO230" s="776" t="s">
        <v>2127</v>
      </c>
      <c r="CP230" s="776" t="s">
        <v>2127</v>
      </c>
      <c r="CQ230" s="776" t="s">
        <v>2127</v>
      </c>
      <c r="CR230" s="776" t="s">
        <v>2127</v>
      </c>
      <c r="CS230" s="776" t="s">
        <v>2127</v>
      </c>
      <c r="CT230" s="776" t="s">
        <v>2127</v>
      </c>
      <c r="CU230" s="776" t="s">
        <v>2127</v>
      </c>
      <c r="CV230" s="776" t="s">
        <v>2127</v>
      </c>
      <c r="CW230" s="776" t="s">
        <v>2127</v>
      </c>
      <c r="CX230" s="776" t="s">
        <v>2127</v>
      </c>
      <c r="CY230" s="776" t="s">
        <v>2127</v>
      </c>
      <c r="CZ230" s="776" t="s">
        <v>2127</v>
      </c>
      <c r="DA230" s="776" t="s">
        <v>2127</v>
      </c>
      <c r="DB230" s="776" t="s">
        <v>2127</v>
      </c>
      <c r="DC230" s="776" t="s">
        <v>2127</v>
      </c>
      <c r="DD230" s="776" t="s">
        <v>2127</v>
      </c>
      <c r="DE230" s="776" t="s">
        <v>2127</v>
      </c>
      <c r="DF230" s="776" t="s">
        <v>2127</v>
      </c>
      <c r="DG230" s="776" t="s">
        <v>2127</v>
      </c>
      <c r="DH230" s="776" t="s">
        <v>2127</v>
      </c>
      <c r="DI230" s="776" t="s">
        <v>2127</v>
      </c>
      <c r="DJ230" s="776" t="s">
        <v>2127</v>
      </c>
      <c r="DK230" s="776" t="s">
        <v>2127</v>
      </c>
      <c r="DL230" s="776" t="s">
        <v>2127</v>
      </c>
      <c r="DM230" s="776" t="s">
        <v>2127</v>
      </c>
      <c r="DN230" s="776" t="s">
        <v>2127</v>
      </c>
      <c r="DO230" s="776" t="s">
        <v>2127</v>
      </c>
      <c r="DP230" s="776" t="s">
        <v>2127</v>
      </c>
    </row>
    <row r="231" spans="1:120" x14ac:dyDescent="0.2">
      <c r="A231" s="637" t="s">
        <v>2263</v>
      </c>
      <c r="B231" s="772" t="str" cm="1">
        <f t="array" ref="B231">IFERROR(INDEX(Kulturen[HF],_xlfn.AGGREGATE(15,6,(ROW(Kulturen[Auswahl])-7)/(--(SEARCH("x",Kulturen[Auswahl])&gt;0)),ROW()-7),1),"")</f>
        <v>Alant (Wurzeln)</v>
      </c>
      <c r="C231" s="772" t="str">
        <f>IF(Kulturen[[#This Row],[HF]]=$D$373,IF($C$6=0,0,"x"),IF($C$6=0,"x",Vorauswahl!C230))</f>
        <v>x</v>
      </c>
      <c r="D231" s="938" t="s">
        <v>809</v>
      </c>
      <c r="E231" s="938" t="s">
        <v>809</v>
      </c>
      <c r="F231" s="938" t="s">
        <v>904</v>
      </c>
      <c r="G231" s="938">
        <v>12</v>
      </c>
      <c r="H231" s="938">
        <v>8</v>
      </c>
      <c r="I231" s="938">
        <v>1</v>
      </c>
      <c r="J231" s="938">
        <v>12</v>
      </c>
      <c r="K231" s="938">
        <v>0.06</v>
      </c>
      <c r="L231" s="938">
        <v>0.06</v>
      </c>
      <c r="M231" s="938">
        <v>650</v>
      </c>
      <c r="N231" s="938">
        <v>0</v>
      </c>
      <c r="O231" s="938">
        <v>1</v>
      </c>
      <c r="P231" s="938">
        <v>0</v>
      </c>
      <c r="Q231" s="938">
        <v>250</v>
      </c>
      <c r="R231" s="938">
        <v>130</v>
      </c>
      <c r="S231" s="938">
        <v>20</v>
      </c>
      <c r="T231" s="938">
        <v>20</v>
      </c>
      <c r="U231" s="938">
        <v>0</v>
      </c>
      <c r="V231" s="938">
        <v>1</v>
      </c>
      <c r="W231" s="776">
        <f>IF(Kulturen[[#This Row],[Berechnungsschema]]=13,3,IF(Kulturen[[#This Row],[Berechnungsschema]]=6,2,1))</f>
        <v>1</v>
      </c>
      <c r="X231" s="776">
        <f>IF(Kulturen[[#This Row],[fruchtartengruppe]]=13,Kulturen[[#This Row],[NBedarfswert]],MAX(0,Kulturen[[#This Row],[NBedarfswert]]-Kulturen[[#This Row],[Ertrag]]*Kulturen[[#This Row],[Nfix]]))</f>
        <v>250</v>
      </c>
      <c r="Y231" s="776" t="s">
        <v>2127</v>
      </c>
      <c r="Z231" s="776" t="s">
        <v>2127</v>
      </c>
      <c r="AA231" s="776" t="s">
        <v>2127</v>
      </c>
      <c r="AB231" s="776" t="s">
        <v>2127</v>
      </c>
      <c r="AC231" s="776" t="s">
        <v>2127</v>
      </c>
      <c r="AD231" s="776" t="s">
        <v>2127</v>
      </c>
      <c r="AE231" s="776" t="s">
        <v>2127</v>
      </c>
      <c r="AF231" s="776" t="s">
        <v>2127</v>
      </c>
      <c r="AG231" s="776" t="s">
        <v>2127</v>
      </c>
      <c r="AH231" s="776" t="s">
        <v>2127</v>
      </c>
      <c r="AI231" s="776" t="s">
        <v>2127</v>
      </c>
      <c r="AJ231" s="776" t="s">
        <v>2127</v>
      </c>
      <c r="AK231" s="776" t="s">
        <v>2127</v>
      </c>
      <c r="AL231" s="776" t="s">
        <v>2127</v>
      </c>
      <c r="AM231" s="776" t="s">
        <v>2127</v>
      </c>
      <c r="AN231" s="776" t="s">
        <v>2127</v>
      </c>
      <c r="AO231" s="776" t="s">
        <v>2127</v>
      </c>
      <c r="AP231" s="776" t="s">
        <v>2127</v>
      </c>
      <c r="AQ231" s="776" t="s">
        <v>2127</v>
      </c>
      <c r="AR231" s="776" t="s">
        <v>2127</v>
      </c>
      <c r="AS231" s="776" t="s">
        <v>2127</v>
      </c>
      <c r="AT231" s="776" t="s">
        <v>2127</v>
      </c>
      <c r="AU231" s="776" t="s">
        <v>2127</v>
      </c>
      <c r="AV231" s="776" t="s">
        <v>2127</v>
      </c>
      <c r="AW231" s="776" t="s">
        <v>2127</v>
      </c>
      <c r="AX231" s="776" t="s">
        <v>2127</v>
      </c>
      <c r="AY231" s="776" t="s">
        <v>2127</v>
      </c>
      <c r="AZ231" s="776" t="s">
        <v>2127</v>
      </c>
      <c r="BA231" s="776" t="s">
        <v>2127</v>
      </c>
      <c r="BB231" s="776" t="s">
        <v>2127</v>
      </c>
      <c r="BC231" s="776" t="s">
        <v>2127</v>
      </c>
      <c r="BD231" s="776" t="s">
        <v>2127</v>
      </c>
      <c r="BE231" s="776" t="s">
        <v>2127</v>
      </c>
      <c r="BF231" s="776" t="s">
        <v>2127</v>
      </c>
      <c r="BG231" s="776" t="s">
        <v>2127</v>
      </c>
      <c r="BH231" s="776" t="s">
        <v>2127</v>
      </c>
      <c r="BI231" s="776" t="s">
        <v>2127</v>
      </c>
      <c r="BJ231" s="776" t="s">
        <v>2127</v>
      </c>
      <c r="BK231" s="776" t="s">
        <v>2127</v>
      </c>
      <c r="BL231" s="776" t="s">
        <v>2127</v>
      </c>
      <c r="BM231" s="776" t="s">
        <v>2127</v>
      </c>
      <c r="BN231" s="776" t="s">
        <v>2127</v>
      </c>
      <c r="BO231" s="776" t="s">
        <v>2127</v>
      </c>
      <c r="BP231" s="776" t="s">
        <v>2127</v>
      </c>
      <c r="BQ231" s="776" t="s">
        <v>2127</v>
      </c>
      <c r="BR231" s="776" t="s">
        <v>2127</v>
      </c>
      <c r="BS231" s="776" t="s">
        <v>2127</v>
      </c>
      <c r="BT231" s="776" t="s">
        <v>2127</v>
      </c>
      <c r="BU231" s="776" t="s">
        <v>2127</v>
      </c>
      <c r="BV231" s="776" t="s">
        <v>2127</v>
      </c>
      <c r="BW231" s="776" t="s">
        <v>2127</v>
      </c>
      <c r="BX231" s="776" t="s">
        <v>2127</v>
      </c>
      <c r="BY231" s="776" t="s">
        <v>2127</v>
      </c>
      <c r="BZ231" s="776" t="s">
        <v>2127</v>
      </c>
      <c r="CA231" s="776" t="s">
        <v>2127</v>
      </c>
      <c r="CB231" s="776" t="s">
        <v>2127</v>
      </c>
      <c r="CC231" s="776" t="s">
        <v>2127</v>
      </c>
      <c r="CD231" s="776" t="s">
        <v>2127</v>
      </c>
      <c r="CE231" s="776" t="s">
        <v>2127</v>
      </c>
      <c r="CF231" s="776" t="s">
        <v>2127</v>
      </c>
      <c r="CG231" s="776" t="s">
        <v>2127</v>
      </c>
      <c r="CH231" s="776" t="s">
        <v>2127</v>
      </c>
      <c r="CI231" s="776" t="s">
        <v>2127</v>
      </c>
      <c r="CJ231" s="776" t="s">
        <v>2127</v>
      </c>
      <c r="CK231" s="776" t="s">
        <v>2127</v>
      </c>
      <c r="CL231" s="776" t="s">
        <v>2127</v>
      </c>
      <c r="CM231" s="776" t="s">
        <v>2127</v>
      </c>
      <c r="CN231" s="776" t="s">
        <v>2127</v>
      </c>
      <c r="CO231" s="776" t="s">
        <v>2127</v>
      </c>
      <c r="CP231" s="776" t="s">
        <v>2127</v>
      </c>
      <c r="CQ231" s="776" t="s">
        <v>2127</v>
      </c>
      <c r="CR231" s="776" t="s">
        <v>2127</v>
      </c>
      <c r="CS231" s="776" t="s">
        <v>2127</v>
      </c>
      <c r="CT231" s="776" t="s">
        <v>2127</v>
      </c>
      <c r="CU231" s="776" t="s">
        <v>2127</v>
      </c>
      <c r="CV231" s="776" t="s">
        <v>2127</v>
      </c>
      <c r="CW231" s="776" t="s">
        <v>2127</v>
      </c>
      <c r="CX231" s="776" t="s">
        <v>2127</v>
      </c>
      <c r="CY231" s="776" t="s">
        <v>2127</v>
      </c>
      <c r="CZ231" s="776" t="s">
        <v>2127</v>
      </c>
      <c r="DA231" s="776" t="s">
        <v>2127</v>
      </c>
      <c r="DB231" s="776" t="s">
        <v>2127</v>
      </c>
      <c r="DC231" s="776" t="s">
        <v>2127</v>
      </c>
      <c r="DD231" s="776" t="s">
        <v>2127</v>
      </c>
      <c r="DE231" s="776" t="s">
        <v>2127</v>
      </c>
      <c r="DF231" s="776" t="s">
        <v>2127</v>
      </c>
      <c r="DG231" s="776" t="s">
        <v>2127</v>
      </c>
      <c r="DH231" s="776" t="s">
        <v>2127</v>
      </c>
      <c r="DI231" s="776" t="s">
        <v>2127</v>
      </c>
      <c r="DJ231" s="776" t="s">
        <v>2127</v>
      </c>
      <c r="DK231" s="776" t="s">
        <v>2127</v>
      </c>
      <c r="DL231" s="776" t="s">
        <v>2127</v>
      </c>
      <c r="DM231" s="776" t="s">
        <v>2127</v>
      </c>
      <c r="DN231" s="776" t="s">
        <v>2127</v>
      </c>
      <c r="DO231" s="776" t="s">
        <v>2127</v>
      </c>
      <c r="DP231" s="776" t="s">
        <v>2127</v>
      </c>
    </row>
    <row r="232" spans="1:120" x14ac:dyDescent="0.2">
      <c r="A232" s="637" t="s">
        <v>2264</v>
      </c>
      <c r="B232" s="772" t="str" cm="1">
        <f t="array" ref="B232">IFERROR(INDEX(Kulturen[HF],_xlfn.AGGREGATE(15,6,(ROW(Kulturen[Auswahl])-7)/(--(SEARCH("x",Kulturen[Auswahl])&gt;0)),ROW()-7),1),"")</f>
        <v>Ampfer, Krauser (Kraut nach der Blüte)</v>
      </c>
      <c r="C232" s="772" t="str">
        <f>IF(Kulturen[[#This Row],[HF]]=$D$373,IF($C$6=0,0,"x"),IF($C$6=0,"x",Vorauswahl!C231))</f>
        <v>x</v>
      </c>
      <c r="D232" s="938" t="s">
        <v>810</v>
      </c>
      <c r="E232" s="938" t="s">
        <v>810</v>
      </c>
      <c r="F232" s="938" t="s">
        <v>905</v>
      </c>
      <c r="G232" s="938">
        <v>12</v>
      </c>
      <c r="H232" s="938">
        <v>8</v>
      </c>
      <c r="I232" s="938">
        <v>3</v>
      </c>
      <c r="J232" s="938">
        <v>12</v>
      </c>
      <c r="K232" s="938">
        <v>0.115</v>
      </c>
      <c r="L232" s="938">
        <v>0.12</v>
      </c>
      <c r="M232" s="938">
        <v>600</v>
      </c>
      <c r="N232" s="938">
        <v>0</v>
      </c>
      <c r="O232" s="938">
        <v>1</v>
      </c>
      <c r="P232" s="938">
        <v>0</v>
      </c>
      <c r="Q232" s="938">
        <v>190</v>
      </c>
      <c r="R232" s="938">
        <v>120</v>
      </c>
      <c r="S232" s="938">
        <v>20</v>
      </c>
      <c r="T232" s="938">
        <v>20</v>
      </c>
      <c r="U232" s="938">
        <v>0</v>
      </c>
      <c r="V232" s="938">
        <v>1</v>
      </c>
      <c r="W232" s="776">
        <f>IF(Kulturen[[#This Row],[Berechnungsschema]]=13,3,IF(Kulturen[[#This Row],[Berechnungsschema]]=6,2,1))</f>
        <v>1</v>
      </c>
      <c r="X232" s="776">
        <f>IF(Kulturen[[#This Row],[fruchtartengruppe]]=13,Kulturen[[#This Row],[NBedarfswert]],MAX(0,Kulturen[[#This Row],[NBedarfswert]]-Kulturen[[#This Row],[Ertrag]]*Kulturen[[#This Row],[Nfix]]))</f>
        <v>190</v>
      </c>
      <c r="Y232" s="776" t="s">
        <v>2127</v>
      </c>
      <c r="Z232" s="776" t="s">
        <v>2127</v>
      </c>
      <c r="AA232" s="776" t="s">
        <v>2127</v>
      </c>
      <c r="AB232" s="776" t="s">
        <v>2127</v>
      </c>
      <c r="AC232" s="776" t="s">
        <v>2127</v>
      </c>
      <c r="AD232" s="776" t="s">
        <v>2127</v>
      </c>
      <c r="AE232" s="776" t="s">
        <v>2127</v>
      </c>
      <c r="AF232" s="776" t="s">
        <v>2127</v>
      </c>
      <c r="AG232" s="776" t="s">
        <v>2127</v>
      </c>
      <c r="AH232" s="776" t="s">
        <v>2127</v>
      </c>
      <c r="AI232" s="776" t="s">
        <v>2127</v>
      </c>
      <c r="AJ232" s="776" t="s">
        <v>2127</v>
      </c>
      <c r="AK232" s="776" t="s">
        <v>2127</v>
      </c>
      <c r="AL232" s="776" t="s">
        <v>2127</v>
      </c>
      <c r="AM232" s="776" t="s">
        <v>2127</v>
      </c>
      <c r="AN232" s="776" t="s">
        <v>2127</v>
      </c>
      <c r="AO232" s="776" t="s">
        <v>2127</v>
      </c>
      <c r="AP232" s="776" t="s">
        <v>2127</v>
      </c>
      <c r="AQ232" s="776" t="s">
        <v>2127</v>
      </c>
      <c r="AR232" s="776" t="s">
        <v>2127</v>
      </c>
      <c r="AS232" s="776" t="s">
        <v>2127</v>
      </c>
      <c r="AT232" s="776" t="s">
        <v>2127</v>
      </c>
      <c r="AU232" s="776" t="s">
        <v>2127</v>
      </c>
      <c r="AV232" s="776" t="s">
        <v>2127</v>
      </c>
      <c r="AW232" s="776" t="s">
        <v>2127</v>
      </c>
      <c r="AX232" s="776" t="s">
        <v>2127</v>
      </c>
      <c r="AY232" s="776" t="s">
        <v>2127</v>
      </c>
      <c r="AZ232" s="776" t="s">
        <v>2127</v>
      </c>
      <c r="BA232" s="776" t="s">
        <v>2127</v>
      </c>
      <c r="BB232" s="776" t="s">
        <v>2127</v>
      </c>
      <c r="BC232" s="776" t="s">
        <v>2127</v>
      </c>
      <c r="BD232" s="776" t="s">
        <v>2127</v>
      </c>
      <c r="BE232" s="776" t="s">
        <v>2127</v>
      </c>
      <c r="BF232" s="776" t="s">
        <v>2127</v>
      </c>
      <c r="BG232" s="776" t="s">
        <v>2127</v>
      </c>
      <c r="BH232" s="776" t="s">
        <v>2127</v>
      </c>
      <c r="BI232" s="776" t="s">
        <v>2127</v>
      </c>
      <c r="BJ232" s="776" t="s">
        <v>2127</v>
      </c>
      <c r="BK232" s="776" t="s">
        <v>2127</v>
      </c>
      <c r="BL232" s="776" t="s">
        <v>2127</v>
      </c>
      <c r="BM232" s="776" t="s">
        <v>2127</v>
      </c>
      <c r="BN232" s="776" t="s">
        <v>2127</v>
      </c>
      <c r="BO232" s="776" t="s">
        <v>2127</v>
      </c>
      <c r="BP232" s="776" t="s">
        <v>2127</v>
      </c>
      <c r="BQ232" s="776" t="s">
        <v>2127</v>
      </c>
      <c r="BR232" s="776" t="s">
        <v>2127</v>
      </c>
      <c r="BS232" s="776" t="s">
        <v>2127</v>
      </c>
      <c r="BT232" s="776" t="s">
        <v>2127</v>
      </c>
      <c r="BU232" s="776" t="s">
        <v>2127</v>
      </c>
      <c r="BV232" s="776" t="s">
        <v>2127</v>
      </c>
      <c r="BW232" s="776" t="s">
        <v>2127</v>
      </c>
      <c r="BX232" s="776" t="s">
        <v>2127</v>
      </c>
      <c r="BY232" s="776" t="s">
        <v>2127</v>
      </c>
      <c r="BZ232" s="776" t="s">
        <v>2127</v>
      </c>
      <c r="CA232" s="776" t="s">
        <v>2127</v>
      </c>
      <c r="CB232" s="776" t="s">
        <v>2127</v>
      </c>
      <c r="CC232" s="776" t="s">
        <v>2127</v>
      </c>
      <c r="CD232" s="776" t="s">
        <v>2127</v>
      </c>
      <c r="CE232" s="776" t="s">
        <v>2127</v>
      </c>
      <c r="CF232" s="776" t="s">
        <v>2127</v>
      </c>
      <c r="CG232" s="776" t="s">
        <v>2127</v>
      </c>
      <c r="CH232" s="776" t="s">
        <v>2127</v>
      </c>
      <c r="CI232" s="776" t="s">
        <v>2127</v>
      </c>
      <c r="CJ232" s="776" t="s">
        <v>2127</v>
      </c>
      <c r="CK232" s="776" t="s">
        <v>2127</v>
      </c>
      <c r="CL232" s="776" t="s">
        <v>2127</v>
      </c>
      <c r="CM232" s="776" t="s">
        <v>2127</v>
      </c>
      <c r="CN232" s="776" t="s">
        <v>2127</v>
      </c>
      <c r="CO232" s="776" t="s">
        <v>2127</v>
      </c>
      <c r="CP232" s="776" t="s">
        <v>2127</v>
      </c>
      <c r="CQ232" s="776" t="s">
        <v>2127</v>
      </c>
      <c r="CR232" s="776" t="s">
        <v>2127</v>
      </c>
      <c r="CS232" s="776" t="s">
        <v>2127</v>
      </c>
      <c r="CT232" s="776" t="s">
        <v>2127</v>
      </c>
      <c r="CU232" s="776" t="s">
        <v>2127</v>
      </c>
      <c r="CV232" s="776" t="s">
        <v>2127</v>
      </c>
      <c r="CW232" s="776" t="s">
        <v>2127</v>
      </c>
      <c r="CX232" s="776" t="s">
        <v>2127</v>
      </c>
      <c r="CY232" s="776" t="s">
        <v>2127</v>
      </c>
      <c r="CZ232" s="776" t="s">
        <v>2127</v>
      </c>
      <c r="DA232" s="776" t="s">
        <v>2127</v>
      </c>
      <c r="DB232" s="776" t="s">
        <v>2127</v>
      </c>
      <c r="DC232" s="776" t="s">
        <v>2127</v>
      </c>
      <c r="DD232" s="776" t="s">
        <v>2127</v>
      </c>
      <c r="DE232" s="776" t="s">
        <v>2127</v>
      </c>
      <c r="DF232" s="776" t="s">
        <v>2127</v>
      </c>
      <c r="DG232" s="776" t="s">
        <v>2127</v>
      </c>
      <c r="DH232" s="776" t="s">
        <v>2127</v>
      </c>
      <c r="DI232" s="776" t="s">
        <v>2127</v>
      </c>
      <c r="DJ232" s="776" t="s">
        <v>2127</v>
      </c>
      <c r="DK232" s="776" t="s">
        <v>2127</v>
      </c>
      <c r="DL232" s="776" t="s">
        <v>2127</v>
      </c>
      <c r="DM232" s="776" t="s">
        <v>2127</v>
      </c>
      <c r="DN232" s="776" t="s">
        <v>2127</v>
      </c>
      <c r="DO232" s="776" t="s">
        <v>2127</v>
      </c>
      <c r="DP232" s="776" t="s">
        <v>2127</v>
      </c>
    </row>
    <row r="233" spans="1:120" x14ac:dyDescent="0.2">
      <c r="A233" s="637" t="s">
        <v>2265</v>
      </c>
      <c r="B233" s="772" t="str" cm="1">
        <f t="array" ref="B233">IFERROR(INDEX(Kulturen[HF],_xlfn.AGGREGATE(15,6,(ROW(Kulturen[Auswahl])-7)/(--(SEARCH("x",Kulturen[Auswahl])&gt;0)),ROW()-7),1),"")</f>
        <v>Ampfer, Wiesen- (Blatt)</v>
      </c>
      <c r="C233" s="772" t="str">
        <f>IF(Kulturen[[#This Row],[HF]]=$D$373,IF($C$6=0,0,"x"),IF($C$6=0,"x",Vorauswahl!C232))</f>
        <v>x</v>
      </c>
      <c r="D233" s="938" t="s">
        <v>811</v>
      </c>
      <c r="E233" s="938" t="s">
        <v>811</v>
      </c>
      <c r="F233" s="938" t="s">
        <v>906</v>
      </c>
      <c r="G233" s="938">
        <v>12</v>
      </c>
      <c r="H233" s="938">
        <v>8</v>
      </c>
      <c r="I233" s="938">
        <v>1</v>
      </c>
      <c r="J233" s="938">
        <v>12</v>
      </c>
      <c r="K233" s="938">
        <v>0.16</v>
      </c>
      <c r="L233" s="938">
        <v>0.16</v>
      </c>
      <c r="M233" s="938">
        <v>200</v>
      </c>
      <c r="N233" s="938">
        <v>0</v>
      </c>
      <c r="O233" s="938">
        <v>1</v>
      </c>
      <c r="P233" s="938">
        <v>0</v>
      </c>
      <c r="Q233" s="938">
        <v>160</v>
      </c>
      <c r="R233" s="938">
        <v>40</v>
      </c>
      <c r="S233" s="938">
        <v>20</v>
      </c>
      <c r="T233" s="938">
        <v>20</v>
      </c>
      <c r="U233" s="938">
        <v>0</v>
      </c>
      <c r="V233" s="938">
        <v>1</v>
      </c>
      <c r="W233" s="776">
        <f>IF(Kulturen[[#This Row],[Berechnungsschema]]=13,3,IF(Kulturen[[#This Row],[Berechnungsschema]]=6,2,1))</f>
        <v>1</v>
      </c>
      <c r="X233" s="776">
        <f>IF(Kulturen[[#This Row],[fruchtartengruppe]]=13,Kulturen[[#This Row],[NBedarfswert]],MAX(0,Kulturen[[#This Row],[NBedarfswert]]-Kulturen[[#This Row],[Ertrag]]*Kulturen[[#This Row],[Nfix]]))</f>
        <v>160</v>
      </c>
      <c r="Y233" s="776" t="s">
        <v>2127</v>
      </c>
      <c r="Z233" s="776" t="s">
        <v>2127</v>
      </c>
      <c r="AA233" s="776" t="s">
        <v>2127</v>
      </c>
      <c r="AB233" s="776" t="s">
        <v>2127</v>
      </c>
      <c r="AC233" s="776" t="s">
        <v>2127</v>
      </c>
      <c r="AD233" s="776" t="s">
        <v>2127</v>
      </c>
      <c r="AE233" s="776" t="s">
        <v>2127</v>
      </c>
      <c r="AF233" s="776" t="s">
        <v>2127</v>
      </c>
      <c r="AG233" s="776" t="s">
        <v>2127</v>
      </c>
      <c r="AH233" s="776" t="s">
        <v>2127</v>
      </c>
      <c r="AI233" s="776" t="s">
        <v>2127</v>
      </c>
      <c r="AJ233" s="776" t="s">
        <v>2127</v>
      </c>
      <c r="AK233" s="776" t="s">
        <v>2127</v>
      </c>
      <c r="AL233" s="776" t="s">
        <v>2127</v>
      </c>
      <c r="AM233" s="776" t="s">
        <v>2127</v>
      </c>
      <c r="AN233" s="776" t="s">
        <v>2127</v>
      </c>
      <c r="AO233" s="776" t="s">
        <v>2127</v>
      </c>
      <c r="AP233" s="776" t="s">
        <v>2127</v>
      </c>
      <c r="AQ233" s="776" t="s">
        <v>2127</v>
      </c>
      <c r="AR233" s="776" t="s">
        <v>2127</v>
      </c>
      <c r="AS233" s="776" t="s">
        <v>2127</v>
      </c>
      <c r="AT233" s="776" t="s">
        <v>2127</v>
      </c>
      <c r="AU233" s="776" t="s">
        <v>2127</v>
      </c>
      <c r="AV233" s="776" t="s">
        <v>2127</v>
      </c>
      <c r="AW233" s="776" t="s">
        <v>2127</v>
      </c>
      <c r="AX233" s="776" t="s">
        <v>2127</v>
      </c>
      <c r="AY233" s="776" t="s">
        <v>2127</v>
      </c>
      <c r="AZ233" s="776" t="s">
        <v>2127</v>
      </c>
      <c r="BA233" s="776" t="s">
        <v>2127</v>
      </c>
      <c r="BB233" s="776" t="s">
        <v>2127</v>
      </c>
      <c r="BC233" s="776" t="s">
        <v>2127</v>
      </c>
      <c r="BD233" s="776" t="s">
        <v>2127</v>
      </c>
      <c r="BE233" s="776" t="s">
        <v>2127</v>
      </c>
      <c r="BF233" s="776" t="s">
        <v>2127</v>
      </c>
      <c r="BG233" s="776" t="s">
        <v>2127</v>
      </c>
      <c r="BH233" s="776" t="s">
        <v>2127</v>
      </c>
      <c r="BI233" s="776" t="s">
        <v>2127</v>
      </c>
      <c r="BJ233" s="776" t="s">
        <v>2127</v>
      </c>
      <c r="BK233" s="776" t="s">
        <v>2127</v>
      </c>
      <c r="BL233" s="776" t="s">
        <v>2127</v>
      </c>
      <c r="BM233" s="776" t="s">
        <v>2127</v>
      </c>
      <c r="BN233" s="776" t="s">
        <v>2127</v>
      </c>
      <c r="BO233" s="776" t="s">
        <v>2127</v>
      </c>
      <c r="BP233" s="776" t="s">
        <v>2127</v>
      </c>
      <c r="BQ233" s="776" t="s">
        <v>2127</v>
      </c>
      <c r="BR233" s="776" t="s">
        <v>2127</v>
      </c>
      <c r="BS233" s="776" t="s">
        <v>2127</v>
      </c>
      <c r="BT233" s="776" t="s">
        <v>2127</v>
      </c>
      <c r="BU233" s="776" t="s">
        <v>2127</v>
      </c>
      <c r="BV233" s="776" t="s">
        <v>2127</v>
      </c>
      <c r="BW233" s="776" t="s">
        <v>2127</v>
      </c>
      <c r="BX233" s="776" t="s">
        <v>2127</v>
      </c>
      <c r="BY233" s="776" t="s">
        <v>2127</v>
      </c>
      <c r="BZ233" s="776" t="s">
        <v>2127</v>
      </c>
      <c r="CA233" s="776" t="s">
        <v>2127</v>
      </c>
      <c r="CB233" s="776" t="s">
        <v>2127</v>
      </c>
      <c r="CC233" s="776" t="s">
        <v>2127</v>
      </c>
      <c r="CD233" s="776" t="s">
        <v>2127</v>
      </c>
      <c r="CE233" s="776" t="s">
        <v>2127</v>
      </c>
      <c r="CF233" s="776" t="s">
        <v>2127</v>
      </c>
      <c r="CG233" s="776" t="s">
        <v>2127</v>
      </c>
      <c r="CH233" s="776" t="s">
        <v>2127</v>
      </c>
      <c r="CI233" s="776" t="s">
        <v>2127</v>
      </c>
      <c r="CJ233" s="776" t="s">
        <v>2127</v>
      </c>
      <c r="CK233" s="776" t="s">
        <v>2127</v>
      </c>
      <c r="CL233" s="776" t="s">
        <v>2127</v>
      </c>
      <c r="CM233" s="776" t="s">
        <v>2127</v>
      </c>
      <c r="CN233" s="776" t="s">
        <v>2127</v>
      </c>
      <c r="CO233" s="776" t="s">
        <v>2127</v>
      </c>
      <c r="CP233" s="776" t="s">
        <v>2127</v>
      </c>
      <c r="CQ233" s="776" t="s">
        <v>2127</v>
      </c>
      <c r="CR233" s="776" t="s">
        <v>2127</v>
      </c>
      <c r="CS233" s="776" t="s">
        <v>2127</v>
      </c>
      <c r="CT233" s="776" t="s">
        <v>2127</v>
      </c>
      <c r="CU233" s="776" t="s">
        <v>2127</v>
      </c>
      <c r="CV233" s="776" t="s">
        <v>2127</v>
      </c>
      <c r="CW233" s="776" t="s">
        <v>2127</v>
      </c>
      <c r="CX233" s="776" t="s">
        <v>2127</v>
      </c>
      <c r="CY233" s="776" t="s">
        <v>2127</v>
      </c>
      <c r="CZ233" s="776" t="s">
        <v>2127</v>
      </c>
      <c r="DA233" s="776" t="s">
        <v>2127</v>
      </c>
      <c r="DB233" s="776" t="s">
        <v>2127</v>
      </c>
      <c r="DC233" s="776" t="s">
        <v>2127</v>
      </c>
      <c r="DD233" s="776" t="s">
        <v>2127</v>
      </c>
      <c r="DE233" s="776" t="s">
        <v>2127</v>
      </c>
      <c r="DF233" s="776" t="s">
        <v>2127</v>
      </c>
      <c r="DG233" s="776" t="s">
        <v>2127</v>
      </c>
      <c r="DH233" s="776" t="s">
        <v>2127</v>
      </c>
      <c r="DI233" s="776" t="s">
        <v>2127</v>
      </c>
      <c r="DJ233" s="776" t="s">
        <v>2127</v>
      </c>
      <c r="DK233" s="776" t="s">
        <v>2127</v>
      </c>
      <c r="DL233" s="776" t="s">
        <v>2127</v>
      </c>
      <c r="DM233" s="776" t="s">
        <v>2127</v>
      </c>
      <c r="DN233" s="776" t="s">
        <v>2127</v>
      </c>
      <c r="DO233" s="776" t="s">
        <v>2127</v>
      </c>
      <c r="DP233" s="776" t="s">
        <v>2127</v>
      </c>
    </row>
    <row r="234" spans="1:120" x14ac:dyDescent="0.2">
      <c r="A234" s="637" t="s">
        <v>2266</v>
      </c>
      <c r="B234" s="772" t="str" cm="1">
        <f t="array" ref="B234">IFERROR(INDEX(Kulturen[HF],_xlfn.AGGREGATE(15,6,(ROW(Kulturen[Auswahl])-7)/(--(SEARCH("x",Kulturen[Auswahl])&gt;0)),ROW()-7),1),"")</f>
        <v>Andorn (Blühendes Kraut)</v>
      </c>
      <c r="C234" s="772" t="str">
        <f>IF(Kulturen[[#This Row],[HF]]=$D$373,IF($C$6=0,0,"x"),IF($C$6=0,"x",Vorauswahl!C233))</f>
        <v>x</v>
      </c>
      <c r="D234" s="938" t="s">
        <v>812</v>
      </c>
      <c r="E234" s="938" t="s">
        <v>812</v>
      </c>
      <c r="F234" s="938" t="s">
        <v>907</v>
      </c>
      <c r="G234" s="938">
        <v>12</v>
      </c>
      <c r="H234" s="938">
        <v>8</v>
      </c>
      <c r="I234" s="938">
        <v>3</v>
      </c>
      <c r="J234" s="938">
        <v>12</v>
      </c>
      <c r="K234" s="938">
        <v>0.06</v>
      </c>
      <c r="L234" s="938">
        <v>0.06</v>
      </c>
      <c r="M234" s="938">
        <v>680</v>
      </c>
      <c r="N234" s="938">
        <v>0</v>
      </c>
      <c r="O234" s="938">
        <v>1</v>
      </c>
      <c r="P234" s="938">
        <v>0</v>
      </c>
      <c r="Q234" s="938">
        <v>210</v>
      </c>
      <c r="R234" s="938">
        <v>136</v>
      </c>
      <c r="S234" s="938">
        <v>20</v>
      </c>
      <c r="T234" s="938">
        <v>20</v>
      </c>
      <c r="U234" s="938">
        <v>0</v>
      </c>
      <c r="V234" s="938">
        <v>1</v>
      </c>
      <c r="W234" s="776">
        <f>IF(Kulturen[[#This Row],[Berechnungsschema]]=13,3,IF(Kulturen[[#This Row],[Berechnungsschema]]=6,2,1))</f>
        <v>1</v>
      </c>
      <c r="X234" s="776">
        <f>IF(Kulturen[[#This Row],[fruchtartengruppe]]=13,Kulturen[[#This Row],[NBedarfswert]],MAX(0,Kulturen[[#This Row],[NBedarfswert]]-Kulturen[[#This Row],[Ertrag]]*Kulturen[[#This Row],[Nfix]]))</f>
        <v>210</v>
      </c>
      <c r="Y234" s="776" t="s">
        <v>2127</v>
      </c>
      <c r="Z234" s="776" t="s">
        <v>2127</v>
      </c>
      <c r="AA234" s="776" t="s">
        <v>2127</v>
      </c>
      <c r="AB234" s="776" t="s">
        <v>2127</v>
      </c>
      <c r="AC234" s="776" t="s">
        <v>2127</v>
      </c>
      <c r="AD234" s="776" t="s">
        <v>2127</v>
      </c>
      <c r="AE234" s="776" t="s">
        <v>2127</v>
      </c>
      <c r="AF234" s="776" t="s">
        <v>2127</v>
      </c>
      <c r="AG234" s="776" t="s">
        <v>2127</v>
      </c>
      <c r="AH234" s="776" t="s">
        <v>2127</v>
      </c>
      <c r="AI234" s="776" t="s">
        <v>2127</v>
      </c>
      <c r="AJ234" s="776" t="s">
        <v>2127</v>
      </c>
      <c r="AK234" s="776" t="s">
        <v>2127</v>
      </c>
      <c r="AL234" s="776" t="s">
        <v>2127</v>
      </c>
      <c r="AM234" s="776" t="s">
        <v>2127</v>
      </c>
      <c r="AN234" s="776" t="s">
        <v>2127</v>
      </c>
      <c r="AO234" s="776" t="s">
        <v>2127</v>
      </c>
      <c r="AP234" s="776" t="s">
        <v>2127</v>
      </c>
      <c r="AQ234" s="776" t="s">
        <v>2127</v>
      </c>
      <c r="AR234" s="776" t="s">
        <v>2127</v>
      </c>
      <c r="AS234" s="776" t="s">
        <v>2127</v>
      </c>
      <c r="AT234" s="776" t="s">
        <v>2127</v>
      </c>
      <c r="AU234" s="776" t="s">
        <v>2127</v>
      </c>
      <c r="AV234" s="776" t="s">
        <v>2127</v>
      </c>
      <c r="AW234" s="776" t="s">
        <v>2127</v>
      </c>
      <c r="AX234" s="776" t="s">
        <v>2127</v>
      </c>
      <c r="AY234" s="776" t="s">
        <v>2127</v>
      </c>
      <c r="AZ234" s="776" t="s">
        <v>2127</v>
      </c>
      <c r="BA234" s="776" t="s">
        <v>2127</v>
      </c>
      <c r="BB234" s="776" t="s">
        <v>2127</v>
      </c>
      <c r="BC234" s="776" t="s">
        <v>2127</v>
      </c>
      <c r="BD234" s="776" t="s">
        <v>2127</v>
      </c>
      <c r="BE234" s="776" t="s">
        <v>2127</v>
      </c>
      <c r="BF234" s="776" t="s">
        <v>2127</v>
      </c>
      <c r="BG234" s="776" t="s">
        <v>2127</v>
      </c>
      <c r="BH234" s="776" t="s">
        <v>2127</v>
      </c>
      <c r="BI234" s="776" t="s">
        <v>2127</v>
      </c>
      <c r="BJ234" s="776" t="s">
        <v>2127</v>
      </c>
      <c r="BK234" s="776" t="s">
        <v>2127</v>
      </c>
      <c r="BL234" s="776" t="s">
        <v>2127</v>
      </c>
      <c r="BM234" s="776" t="s">
        <v>2127</v>
      </c>
      <c r="BN234" s="776" t="s">
        <v>2127</v>
      </c>
      <c r="BO234" s="776" t="s">
        <v>2127</v>
      </c>
      <c r="BP234" s="776" t="s">
        <v>2127</v>
      </c>
      <c r="BQ234" s="776" t="s">
        <v>2127</v>
      </c>
      <c r="BR234" s="776" t="s">
        <v>2127</v>
      </c>
      <c r="BS234" s="776" t="s">
        <v>2127</v>
      </c>
      <c r="BT234" s="776" t="s">
        <v>2127</v>
      </c>
      <c r="BU234" s="776" t="s">
        <v>2127</v>
      </c>
      <c r="BV234" s="776" t="s">
        <v>2127</v>
      </c>
      <c r="BW234" s="776" t="s">
        <v>2127</v>
      </c>
      <c r="BX234" s="776" t="s">
        <v>2127</v>
      </c>
      <c r="BY234" s="776" t="s">
        <v>2127</v>
      </c>
      <c r="BZ234" s="776" t="s">
        <v>2127</v>
      </c>
      <c r="CA234" s="776" t="s">
        <v>2127</v>
      </c>
      <c r="CB234" s="776" t="s">
        <v>2127</v>
      </c>
      <c r="CC234" s="776" t="s">
        <v>2127</v>
      </c>
      <c r="CD234" s="776" t="s">
        <v>2127</v>
      </c>
      <c r="CE234" s="776" t="s">
        <v>2127</v>
      </c>
      <c r="CF234" s="776" t="s">
        <v>2127</v>
      </c>
      <c r="CG234" s="776" t="s">
        <v>2127</v>
      </c>
      <c r="CH234" s="776" t="s">
        <v>2127</v>
      </c>
      <c r="CI234" s="776" t="s">
        <v>2127</v>
      </c>
      <c r="CJ234" s="776" t="s">
        <v>2127</v>
      </c>
      <c r="CK234" s="776" t="s">
        <v>2127</v>
      </c>
      <c r="CL234" s="776" t="s">
        <v>2127</v>
      </c>
      <c r="CM234" s="776" t="s">
        <v>2127</v>
      </c>
      <c r="CN234" s="776" t="s">
        <v>2127</v>
      </c>
      <c r="CO234" s="776" t="s">
        <v>2127</v>
      </c>
      <c r="CP234" s="776" t="s">
        <v>2127</v>
      </c>
      <c r="CQ234" s="776" t="s">
        <v>2127</v>
      </c>
      <c r="CR234" s="776" t="s">
        <v>2127</v>
      </c>
      <c r="CS234" s="776" t="s">
        <v>2127</v>
      </c>
      <c r="CT234" s="776" t="s">
        <v>2127</v>
      </c>
      <c r="CU234" s="776" t="s">
        <v>2127</v>
      </c>
      <c r="CV234" s="776" t="s">
        <v>2127</v>
      </c>
      <c r="CW234" s="776" t="s">
        <v>2127</v>
      </c>
      <c r="CX234" s="776" t="s">
        <v>2127</v>
      </c>
      <c r="CY234" s="776" t="s">
        <v>2127</v>
      </c>
      <c r="CZ234" s="776" t="s">
        <v>2127</v>
      </c>
      <c r="DA234" s="776" t="s">
        <v>2127</v>
      </c>
      <c r="DB234" s="776" t="s">
        <v>2127</v>
      </c>
      <c r="DC234" s="776" t="s">
        <v>2127</v>
      </c>
      <c r="DD234" s="776" t="s">
        <v>2127</v>
      </c>
      <c r="DE234" s="776" t="s">
        <v>2127</v>
      </c>
      <c r="DF234" s="776" t="s">
        <v>2127</v>
      </c>
      <c r="DG234" s="776" t="s">
        <v>2127</v>
      </c>
      <c r="DH234" s="776" t="s">
        <v>2127</v>
      </c>
      <c r="DI234" s="776" t="s">
        <v>2127</v>
      </c>
      <c r="DJ234" s="776" t="s">
        <v>2127</v>
      </c>
      <c r="DK234" s="776" t="s">
        <v>2127</v>
      </c>
      <c r="DL234" s="776" t="s">
        <v>2127</v>
      </c>
      <c r="DM234" s="776" t="s">
        <v>2127</v>
      </c>
      <c r="DN234" s="776" t="s">
        <v>2127</v>
      </c>
      <c r="DO234" s="776" t="s">
        <v>2127</v>
      </c>
      <c r="DP234" s="776" t="s">
        <v>2127</v>
      </c>
    </row>
    <row r="235" spans="1:120" x14ac:dyDescent="0.2">
      <c r="A235" s="637"/>
      <c r="B235" s="772" t="str" cm="1">
        <f t="array" ref="B235">IFERROR(INDEX(Kulturen[HF],_xlfn.AGGREGATE(15,6,(ROW(Kulturen[Auswahl])-7)/(--(SEARCH("x",Kulturen[Auswahl])&gt;0)),ROW()-7),1),"")</f>
        <v>Anis (Samen)</v>
      </c>
      <c r="C235" s="772" t="str">
        <f>IF(Kulturen[[#This Row],[HF]]=$D$373,IF($C$6=0,0,"x"),IF($C$6=0,"x",Vorauswahl!C234))</f>
        <v>x</v>
      </c>
      <c r="D235" s="938" t="s">
        <v>1975</v>
      </c>
      <c r="E235" s="938" t="s">
        <v>1975</v>
      </c>
      <c r="F235" s="938" t="s">
        <v>1976</v>
      </c>
      <c r="G235" s="938">
        <v>12</v>
      </c>
      <c r="H235" s="938">
        <v>8</v>
      </c>
      <c r="I235" s="938">
        <v>1</v>
      </c>
      <c r="J235" s="938">
        <v>12</v>
      </c>
      <c r="K235" s="938">
        <v>0.13100000000000001</v>
      </c>
      <c r="L235" s="938">
        <v>0.13</v>
      </c>
      <c r="M235" s="938">
        <v>400</v>
      </c>
      <c r="N235" s="938">
        <v>0</v>
      </c>
      <c r="O235" s="938">
        <v>1</v>
      </c>
      <c r="P235" s="938">
        <v>0</v>
      </c>
      <c r="Q235" s="938">
        <v>85</v>
      </c>
      <c r="R235" s="938">
        <v>80</v>
      </c>
      <c r="S235" s="938">
        <v>20</v>
      </c>
      <c r="T235" s="938">
        <v>20</v>
      </c>
      <c r="U235" s="938">
        <v>0</v>
      </c>
      <c r="V235" s="938">
        <v>1</v>
      </c>
      <c r="W235" s="776">
        <f>IF(Kulturen[[#This Row],[Berechnungsschema]]=13,3,IF(Kulturen[[#This Row],[Berechnungsschema]]=6,2,1))</f>
        <v>1</v>
      </c>
      <c r="X235" s="776">
        <f>IF(Kulturen[[#This Row],[fruchtartengruppe]]=13,Kulturen[[#This Row],[NBedarfswert]],MAX(0,Kulturen[[#This Row],[NBedarfswert]]-Kulturen[[#This Row],[Ertrag]]*Kulturen[[#This Row],[Nfix]]))</f>
        <v>85</v>
      </c>
      <c r="Y235" s="776" t="s">
        <v>2127</v>
      </c>
      <c r="Z235" s="776" t="s">
        <v>2127</v>
      </c>
      <c r="AA235" s="776" t="s">
        <v>2127</v>
      </c>
      <c r="AB235" s="776" t="s">
        <v>2127</v>
      </c>
      <c r="AC235" s="776" t="s">
        <v>2127</v>
      </c>
      <c r="AD235" s="776" t="s">
        <v>2127</v>
      </c>
      <c r="AE235" s="776" t="s">
        <v>2127</v>
      </c>
      <c r="AF235" s="776" t="s">
        <v>2127</v>
      </c>
      <c r="AG235" s="776" t="s">
        <v>2127</v>
      </c>
      <c r="AH235" s="776" t="s">
        <v>2127</v>
      </c>
      <c r="AI235" s="776" t="s">
        <v>2127</v>
      </c>
      <c r="AJ235" s="776" t="s">
        <v>2127</v>
      </c>
      <c r="AK235" s="776" t="s">
        <v>2127</v>
      </c>
      <c r="AL235" s="776" t="s">
        <v>2127</v>
      </c>
      <c r="AM235" s="776" t="s">
        <v>2127</v>
      </c>
      <c r="AN235" s="776" t="s">
        <v>2127</v>
      </c>
      <c r="AO235" s="776" t="s">
        <v>2127</v>
      </c>
      <c r="AP235" s="776" t="s">
        <v>2127</v>
      </c>
      <c r="AQ235" s="776" t="s">
        <v>2127</v>
      </c>
      <c r="AR235" s="776" t="s">
        <v>2127</v>
      </c>
      <c r="AS235" s="776" t="s">
        <v>2127</v>
      </c>
      <c r="AT235" s="776" t="s">
        <v>2127</v>
      </c>
      <c r="AU235" s="776" t="s">
        <v>2127</v>
      </c>
      <c r="AV235" s="776" t="s">
        <v>2127</v>
      </c>
      <c r="AW235" s="776" t="s">
        <v>2127</v>
      </c>
      <c r="AX235" s="776" t="s">
        <v>2127</v>
      </c>
      <c r="AY235" s="776" t="s">
        <v>2127</v>
      </c>
      <c r="AZ235" s="776" t="s">
        <v>2127</v>
      </c>
      <c r="BA235" s="776" t="s">
        <v>2127</v>
      </c>
      <c r="BB235" s="776" t="s">
        <v>2127</v>
      </c>
      <c r="BC235" s="776" t="s">
        <v>2127</v>
      </c>
      <c r="BD235" s="776" t="s">
        <v>2127</v>
      </c>
      <c r="BE235" s="776" t="s">
        <v>2127</v>
      </c>
      <c r="BF235" s="776" t="s">
        <v>2127</v>
      </c>
      <c r="BG235" s="776" t="s">
        <v>2127</v>
      </c>
      <c r="BH235" s="776" t="s">
        <v>2127</v>
      </c>
      <c r="BI235" s="776" t="s">
        <v>2127</v>
      </c>
      <c r="BJ235" s="776" t="s">
        <v>2127</v>
      </c>
      <c r="BK235" s="776" t="s">
        <v>2127</v>
      </c>
      <c r="BL235" s="776" t="s">
        <v>2127</v>
      </c>
      <c r="BM235" s="776" t="s">
        <v>2127</v>
      </c>
      <c r="BN235" s="776" t="s">
        <v>2127</v>
      </c>
      <c r="BO235" s="776" t="s">
        <v>2127</v>
      </c>
      <c r="BP235" s="776" t="s">
        <v>2127</v>
      </c>
      <c r="BQ235" s="776" t="s">
        <v>2127</v>
      </c>
      <c r="BR235" s="776" t="s">
        <v>2127</v>
      </c>
      <c r="BS235" s="776" t="s">
        <v>2127</v>
      </c>
      <c r="BT235" s="776" t="s">
        <v>2127</v>
      </c>
      <c r="BU235" s="776" t="s">
        <v>2127</v>
      </c>
      <c r="BV235" s="776" t="s">
        <v>2127</v>
      </c>
      <c r="BW235" s="776" t="s">
        <v>2127</v>
      </c>
      <c r="BX235" s="776" t="s">
        <v>2127</v>
      </c>
      <c r="BY235" s="776" t="s">
        <v>2127</v>
      </c>
      <c r="BZ235" s="776" t="s">
        <v>2127</v>
      </c>
      <c r="CA235" s="776" t="s">
        <v>2127</v>
      </c>
      <c r="CB235" s="776" t="s">
        <v>2127</v>
      </c>
      <c r="CC235" s="776" t="s">
        <v>2127</v>
      </c>
      <c r="CD235" s="776" t="s">
        <v>2127</v>
      </c>
      <c r="CE235" s="776" t="s">
        <v>2127</v>
      </c>
      <c r="CF235" s="776" t="s">
        <v>2127</v>
      </c>
      <c r="CG235" s="776" t="s">
        <v>2127</v>
      </c>
      <c r="CH235" s="776" t="s">
        <v>2127</v>
      </c>
      <c r="CI235" s="776" t="s">
        <v>2127</v>
      </c>
      <c r="CJ235" s="776" t="s">
        <v>2127</v>
      </c>
      <c r="CK235" s="776" t="s">
        <v>2127</v>
      </c>
      <c r="CL235" s="776" t="s">
        <v>2127</v>
      </c>
      <c r="CM235" s="776" t="s">
        <v>2127</v>
      </c>
      <c r="CN235" s="776" t="s">
        <v>2127</v>
      </c>
      <c r="CO235" s="776" t="s">
        <v>2127</v>
      </c>
      <c r="CP235" s="776" t="s">
        <v>2127</v>
      </c>
      <c r="CQ235" s="776" t="s">
        <v>2127</v>
      </c>
      <c r="CR235" s="776" t="s">
        <v>2127</v>
      </c>
      <c r="CS235" s="776" t="s">
        <v>2127</v>
      </c>
      <c r="CT235" s="776" t="s">
        <v>2127</v>
      </c>
      <c r="CU235" s="776" t="s">
        <v>2127</v>
      </c>
      <c r="CV235" s="776" t="s">
        <v>2127</v>
      </c>
      <c r="CW235" s="776" t="s">
        <v>2127</v>
      </c>
      <c r="CX235" s="776" t="s">
        <v>2127</v>
      </c>
      <c r="CY235" s="776" t="s">
        <v>2127</v>
      </c>
      <c r="CZ235" s="776" t="s">
        <v>2127</v>
      </c>
      <c r="DA235" s="776" t="s">
        <v>2127</v>
      </c>
      <c r="DB235" s="776" t="s">
        <v>2127</v>
      </c>
      <c r="DC235" s="776" t="s">
        <v>2127</v>
      </c>
      <c r="DD235" s="776" t="s">
        <v>2127</v>
      </c>
      <c r="DE235" s="776" t="s">
        <v>2127</v>
      </c>
      <c r="DF235" s="776" t="s">
        <v>2127</v>
      </c>
      <c r="DG235" s="776" t="s">
        <v>2127</v>
      </c>
      <c r="DH235" s="776" t="s">
        <v>2127</v>
      </c>
      <c r="DI235" s="776" t="s">
        <v>2127</v>
      </c>
      <c r="DJ235" s="776" t="s">
        <v>2127</v>
      </c>
      <c r="DK235" s="776" t="s">
        <v>2127</v>
      </c>
      <c r="DL235" s="776" t="s">
        <v>2127</v>
      </c>
      <c r="DM235" s="776" t="s">
        <v>2127</v>
      </c>
      <c r="DN235" s="776" t="s">
        <v>2127</v>
      </c>
      <c r="DO235" s="776" t="s">
        <v>2127</v>
      </c>
      <c r="DP235" s="776" t="s">
        <v>2127</v>
      </c>
    </row>
    <row r="236" spans="1:120" x14ac:dyDescent="0.2">
      <c r="A236" s="637" t="s">
        <v>2267</v>
      </c>
      <c r="B236" s="772" t="str" cm="1">
        <f t="array" ref="B236">IFERROR(INDEX(Kulturen[HF],_xlfn.AGGREGATE(15,6,(ROW(Kulturen[Auswahl])-7)/(--(SEARCH("x",Kulturen[Auswahl])&gt;0)),ROW()-7),1),"")</f>
        <v>Artischocke (Kardone) (Kraut)</v>
      </c>
      <c r="C236" s="772" t="str">
        <f>IF(Kulturen[[#This Row],[HF]]=$D$373,IF($C$6=0,0,"x"),IF($C$6=0,"x",Vorauswahl!C235))</f>
        <v>x</v>
      </c>
      <c r="D236" s="938" t="s">
        <v>813</v>
      </c>
      <c r="E236" s="938" t="s">
        <v>813</v>
      </c>
      <c r="F236" s="938" t="s">
        <v>908</v>
      </c>
      <c r="G236" s="938">
        <v>12</v>
      </c>
      <c r="H236" s="938">
        <v>8</v>
      </c>
      <c r="I236" s="938">
        <v>1</v>
      </c>
      <c r="J236" s="938">
        <v>12</v>
      </c>
      <c r="K236" s="938">
        <v>0.08</v>
      </c>
      <c r="L236" s="938">
        <v>0.08</v>
      </c>
      <c r="M236" s="938">
        <v>600</v>
      </c>
      <c r="N236" s="938">
        <v>0</v>
      </c>
      <c r="O236" s="938">
        <v>1</v>
      </c>
      <c r="P236" s="938">
        <v>0</v>
      </c>
      <c r="Q236" s="938">
        <v>155</v>
      </c>
      <c r="R236" s="938">
        <v>120</v>
      </c>
      <c r="S236" s="938">
        <v>20</v>
      </c>
      <c r="T236" s="938">
        <v>20</v>
      </c>
      <c r="U236" s="938">
        <v>0</v>
      </c>
      <c r="V236" s="938">
        <v>1</v>
      </c>
      <c r="W236" s="776">
        <f>IF(Kulturen[[#This Row],[Berechnungsschema]]=13,3,IF(Kulturen[[#This Row],[Berechnungsschema]]=6,2,1))</f>
        <v>1</v>
      </c>
      <c r="X236" s="776">
        <f>IF(Kulturen[[#This Row],[fruchtartengruppe]]=13,Kulturen[[#This Row],[NBedarfswert]],MAX(0,Kulturen[[#This Row],[NBedarfswert]]-Kulturen[[#This Row],[Ertrag]]*Kulturen[[#This Row],[Nfix]]))</f>
        <v>155</v>
      </c>
      <c r="Y236" s="776" t="s">
        <v>2127</v>
      </c>
      <c r="Z236" s="776" t="s">
        <v>2127</v>
      </c>
      <c r="AA236" s="776" t="s">
        <v>2127</v>
      </c>
      <c r="AB236" s="776" t="s">
        <v>2127</v>
      </c>
      <c r="AC236" s="776" t="s">
        <v>2127</v>
      </c>
      <c r="AD236" s="776" t="s">
        <v>2127</v>
      </c>
      <c r="AE236" s="776" t="s">
        <v>2127</v>
      </c>
      <c r="AF236" s="776" t="s">
        <v>2127</v>
      </c>
      <c r="AG236" s="776" t="s">
        <v>2127</v>
      </c>
      <c r="AH236" s="776" t="s">
        <v>2127</v>
      </c>
      <c r="AI236" s="776" t="s">
        <v>2127</v>
      </c>
      <c r="AJ236" s="776" t="s">
        <v>2127</v>
      </c>
      <c r="AK236" s="776" t="s">
        <v>2127</v>
      </c>
      <c r="AL236" s="776" t="s">
        <v>2127</v>
      </c>
      <c r="AM236" s="776" t="s">
        <v>2127</v>
      </c>
      <c r="AN236" s="776" t="s">
        <v>2127</v>
      </c>
      <c r="AO236" s="776" t="s">
        <v>2127</v>
      </c>
      <c r="AP236" s="776" t="s">
        <v>2127</v>
      </c>
      <c r="AQ236" s="776" t="s">
        <v>2127</v>
      </c>
      <c r="AR236" s="776" t="s">
        <v>2127</v>
      </c>
      <c r="AS236" s="776" t="s">
        <v>2127</v>
      </c>
      <c r="AT236" s="776" t="s">
        <v>2127</v>
      </c>
      <c r="AU236" s="776" t="s">
        <v>2127</v>
      </c>
      <c r="AV236" s="776" t="s">
        <v>2127</v>
      </c>
      <c r="AW236" s="776" t="s">
        <v>2127</v>
      </c>
      <c r="AX236" s="776" t="s">
        <v>2127</v>
      </c>
      <c r="AY236" s="776" t="s">
        <v>2127</v>
      </c>
      <c r="AZ236" s="776" t="s">
        <v>2127</v>
      </c>
      <c r="BA236" s="776" t="s">
        <v>2127</v>
      </c>
      <c r="BB236" s="776" t="s">
        <v>2127</v>
      </c>
      <c r="BC236" s="776" t="s">
        <v>2127</v>
      </c>
      <c r="BD236" s="776" t="s">
        <v>2127</v>
      </c>
      <c r="BE236" s="776" t="s">
        <v>2127</v>
      </c>
      <c r="BF236" s="776" t="s">
        <v>2127</v>
      </c>
      <c r="BG236" s="776" t="s">
        <v>2127</v>
      </c>
      <c r="BH236" s="776" t="s">
        <v>2127</v>
      </c>
      <c r="BI236" s="776" t="s">
        <v>2127</v>
      </c>
      <c r="BJ236" s="776" t="s">
        <v>2127</v>
      </c>
      <c r="BK236" s="776" t="s">
        <v>2127</v>
      </c>
      <c r="BL236" s="776" t="s">
        <v>2127</v>
      </c>
      <c r="BM236" s="776" t="s">
        <v>2127</v>
      </c>
      <c r="BN236" s="776" t="s">
        <v>2127</v>
      </c>
      <c r="BO236" s="776" t="s">
        <v>2127</v>
      </c>
      <c r="BP236" s="776" t="s">
        <v>2127</v>
      </c>
      <c r="BQ236" s="776" t="s">
        <v>2127</v>
      </c>
      <c r="BR236" s="776" t="s">
        <v>2127</v>
      </c>
      <c r="BS236" s="776" t="s">
        <v>2127</v>
      </c>
      <c r="BT236" s="776" t="s">
        <v>2127</v>
      </c>
      <c r="BU236" s="776" t="s">
        <v>2127</v>
      </c>
      <c r="BV236" s="776" t="s">
        <v>2127</v>
      </c>
      <c r="BW236" s="776" t="s">
        <v>2127</v>
      </c>
      <c r="BX236" s="776" t="s">
        <v>2127</v>
      </c>
      <c r="BY236" s="776" t="s">
        <v>2127</v>
      </c>
      <c r="BZ236" s="776" t="s">
        <v>2127</v>
      </c>
      <c r="CA236" s="776" t="s">
        <v>2127</v>
      </c>
      <c r="CB236" s="776" t="s">
        <v>2127</v>
      </c>
      <c r="CC236" s="776" t="s">
        <v>2127</v>
      </c>
      <c r="CD236" s="776" t="s">
        <v>2127</v>
      </c>
      <c r="CE236" s="776" t="s">
        <v>2127</v>
      </c>
      <c r="CF236" s="776" t="s">
        <v>2127</v>
      </c>
      <c r="CG236" s="776" t="s">
        <v>2127</v>
      </c>
      <c r="CH236" s="776" t="s">
        <v>2127</v>
      </c>
      <c r="CI236" s="776" t="s">
        <v>2127</v>
      </c>
      <c r="CJ236" s="776" t="s">
        <v>2127</v>
      </c>
      <c r="CK236" s="776" t="s">
        <v>2127</v>
      </c>
      <c r="CL236" s="776" t="s">
        <v>2127</v>
      </c>
      <c r="CM236" s="776" t="s">
        <v>2127</v>
      </c>
      <c r="CN236" s="776" t="s">
        <v>2127</v>
      </c>
      <c r="CO236" s="776" t="s">
        <v>2127</v>
      </c>
      <c r="CP236" s="776" t="s">
        <v>2127</v>
      </c>
      <c r="CQ236" s="776" t="s">
        <v>2127</v>
      </c>
      <c r="CR236" s="776" t="s">
        <v>2127</v>
      </c>
      <c r="CS236" s="776" t="s">
        <v>2127</v>
      </c>
      <c r="CT236" s="776" t="s">
        <v>2127</v>
      </c>
      <c r="CU236" s="776" t="s">
        <v>2127</v>
      </c>
      <c r="CV236" s="776" t="s">
        <v>2127</v>
      </c>
      <c r="CW236" s="776" t="s">
        <v>2127</v>
      </c>
      <c r="CX236" s="776" t="s">
        <v>2127</v>
      </c>
      <c r="CY236" s="776" t="s">
        <v>2127</v>
      </c>
      <c r="CZ236" s="776" t="s">
        <v>2127</v>
      </c>
      <c r="DA236" s="776" t="s">
        <v>2127</v>
      </c>
      <c r="DB236" s="776" t="s">
        <v>2127</v>
      </c>
      <c r="DC236" s="776" t="s">
        <v>2127</v>
      </c>
      <c r="DD236" s="776" t="s">
        <v>2127</v>
      </c>
      <c r="DE236" s="776" t="s">
        <v>2127</v>
      </c>
      <c r="DF236" s="776" t="s">
        <v>2127</v>
      </c>
      <c r="DG236" s="776" t="s">
        <v>2127</v>
      </c>
      <c r="DH236" s="776" t="s">
        <v>2127</v>
      </c>
      <c r="DI236" s="776" t="s">
        <v>2127</v>
      </c>
      <c r="DJ236" s="776" t="s">
        <v>2127</v>
      </c>
      <c r="DK236" s="776" t="s">
        <v>2127</v>
      </c>
      <c r="DL236" s="776" t="s">
        <v>2127</v>
      </c>
      <c r="DM236" s="776" t="s">
        <v>2127</v>
      </c>
      <c r="DN236" s="776" t="s">
        <v>2127</v>
      </c>
      <c r="DO236" s="776" t="s">
        <v>2127</v>
      </c>
      <c r="DP236" s="776" t="s">
        <v>2127</v>
      </c>
    </row>
    <row r="237" spans="1:120" x14ac:dyDescent="0.2">
      <c r="A237" s="637" t="s">
        <v>2268</v>
      </c>
      <c r="B237" s="772" t="str" cm="1">
        <f t="array" ref="B237">IFERROR(INDEX(Kulturen[HF],_xlfn.AGGREGATE(15,6,(ROW(Kulturen[Auswahl])-7)/(--(SEARCH("x",Kulturen[Auswahl])&gt;0)),ROW()-7),1),"")</f>
        <v>Arzneifenchel (Samen)</v>
      </c>
      <c r="C237" s="772" t="str">
        <f>IF(Kulturen[[#This Row],[HF]]=$D$373,IF($C$6=0,0,"x"),IF($C$6=0,"x",Vorauswahl!C236))</f>
        <v>x</v>
      </c>
      <c r="D237" s="938" t="s">
        <v>1977</v>
      </c>
      <c r="E237" s="938" t="s">
        <v>1977</v>
      </c>
      <c r="F237" s="938" t="s">
        <v>1859</v>
      </c>
      <c r="G237" s="938">
        <v>0</v>
      </c>
      <c r="H237" s="938">
        <v>0</v>
      </c>
      <c r="I237" s="938">
        <v>0</v>
      </c>
      <c r="J237" s="938">
        <v>0</v>
      </c>
      <c r="K237" s="938">
        <v>0</v>
      </c>
      <c r="L237" s="938">
        <v>0</v>
      </c>
      <c r="M237" s="938">
        <v>0</v>
      </c>
      <c r="N237" s="938">
        <v>0</v>
      </c>
      <c r="O237" s="938">
        <v>0</v>
      </c>
      <c r="P237" s="938">
        <v>0</v>
      </c>
      <c r="Q237" s="938">
        <v>0</v>
      </c>
      <c r="R237" s="938" t="s">
        <v>58</v>
      </c>
      <c r="S237" s="938">
        <v>0</v>
      </c>
      <c r="T237" s="938">
        <v>0</v>
      </c>
      <c r="U237" s="938">
        <v>0</v>
      </c>
      <c r="V237" s="938">
        <v>0</v>
      </c>
      <c r="W237" s="776">
        <f>IF(Kulturen[[#This Row],[Berechnungsschema]]=13,3,IF(Kulturen[[#This Row],[Berechnungsschema]]=6,2,1))</f>
        <v>1</v>
      </c>
      <c r="X237" s="776">
        <f>IF(Kulturen[[#This Row],[fruchtartengruppe]]=13,Kulturen[[#This Row],[NBedarfswert]],MAX(0,Kulturen[[#This Row],[NBedarfswert]]-Kulturen[[#This Row],[Ertrag]]*Kulturen[[#This Row],[Nfix]]))</f>
        <v>0</v>
      </c>
      <c r="Y237" s="776" t="s">
        <v>2127</v>
      </c>
      <c r="Z237" s="776" t="s">
        <v>2127</v>
      </c>
      <c r="AA237" s="776" t="s">
        <v>2127</v>
      </c>
      <c r="AB237" s="776" t="s">
        <v>2127</v>
      </c>
      <c r="AC237" s="776" t="s">
        <v>2127</v>
      </c>
      <c r="AD237" s="776" t="s">
        <v>2127</v>
      </c>
      <c r="AE237" s="776" t="s">
        <v>2127</v>
      </c>
      <c r="AF237" s="776" t="s">
        <v>2127</v>
      </c>
      <c r="AG237" s="776" t="s">
        <v>2127</v>
      </c>
      <c r="AH237" s="776" t="s">
        <v>2127</v>
      </c>
      <c r="AI237" s="776" t="s">
        <v>2127</v>
      </c>
      <c r="AJ237" s="776" t="s">
        <v>2127</v>
      </c>
      <c r="AK237" s="776" t="s">
        <v>2127</v>
      </c>
      <c r="AL237" s="776" t="s">
        <v>2127</v>
      </c>
      <c r="AM237" s="776" t="s">
        <v>2127</v>
      </c>
      <c r="AN237" s="776" t="s">
        <v>2127</v>
      </c>
      <c r="AO237" s="776" t="s">
        <v>2127</v>
      </c>
      <c r="AP237" s="776" t="s">
        <v>2127</v>
      </c>
      <c r="AQ237" s="776" t="s">
        <v>2127</v>
      </c>
      <c r="AR237" s="776" t="s">
        <v>2127</v>
      </c>
      <c r="AS237" s="776" t="s">
        <v>2127</v>
      </c>
      <c r="AT237" s="776" t="s">
        <v>2127</v>
      </c>
      <c r="AU237" s="776" t="s">
        <v>2127</v>
      </c>
      <c r="AV237" s="776" t="s">
        <v>2127</v>
      </c>
      <c r="AW237" s="776" t="s">
        <v>2127</v>
      </c>
      <c r="AX237" s="776" t="s">
        <v>2127</v>
      </c>
      <c r="AY237" s="776" t="s">
        <v>2127</v>
      </c>
      <c r="AZ237" s="776" t="s">
        <v>2127</v>
      </c>
      <c r="BA237" s="776" t="s">
        <v>2127</v>
      </c>
      <c r="BB237" s="776" t="s">
        <v>2127</v>
      </c>
      <c r="BC237" s="776" t="s">
        <v>2127</v>
      </c>
      <c r="BD237" s="776" t="s">
        <v>2127</v>
      </c>
      <c r="BE237" s="776" t="s">
        <v>2127</v>
      </c>
      <c r="BF237" s="776" t="s">
        <v>2127</v>
      </c>
      <c r="BG237" s="776" t="s">
        <v>2127</v>
      </c>
      <c r="BH237" s="776" t="s">
        <v>2127</v>
      </c>
      <c r="BI237" s="776" t="s">
        <v>2127</v>
      </c>
      <c r="BJ237" s="776" t="s">
        <v>2127</v>
      </c>
      <c r="BK237" s="776" t="s">
        <v>2127</v>
      </c>
      <c r="BL237" s="776" t="s">
        <v>2127</v>
      </c>
      <c r="BM237" s="776" t="s">
        <v>2127</v>
      </c>
      <c r="BN237" s="776" t="s">
        <v>2127</v>
      </c>
      <c r="BO237" s="776" t="s">
        <v>2127</v>
      </c>
      <c r="BP237" s="776" t="s">
        <v>2127</v>
      </c>
      <c r="BQ237" s="776" t="s">
        <v>2127</v>
      </c>
      <c r="BR237" s="776" t="s">
        <v>2127</v>
      </c>
      <c r="BS237" s="776" t="s">
        <v>2127</v>
      </c>
      <c r="BT237" s="776" t="s">
        <v>2127</v>
      </c>
      <c r="BU237" s="776" t="s">
        <v>2127</v>
      </c>
      <c r="BV237" s="776" t="s">
        <v>2127</v>
      </c>
      <c r="BW237" s="776" t="s">
        <v>2127</v>
      </c>
      <c r="BX237" s="776" t="s">
        <v>2127</v>
      </c>
      <c r="BY237" s="776" t="s">
        <v>2127</v>
      </c>
      <c r="BZ237" s="776" t="s">
        <v>2127</v>
      </c>
      <c r="CA237" s="776" t="s">
        <v>2127</v>
      </c>
      <c r="CB237" s="776" t="s">
        <v>2127</v>
      </c>
      <c r="CC237" s="776" t="s">
        <v>2127</v>
      </c>
      <c r="CD237" s="776" t="s">
        <v>2127</v>
      </c>
      <c r="CE237" s="776" t="s">
        <v>2127</v>
      </c>
      <c r="CF237" s="776" t="s">
        <v>2127</v>
      </c>
      <c r="CG237" s="776" t="s">
        <v>2127</v>
      </c>
      <c r="CH237" s="776" t="s">
        <v>2127</v>
      </c>
      <c r="CI237" s="776" t="s">
        <v>2127</v>
      </c>
      <c r="CJ237" s="776" t="s">
        <v>2127</v>
      </c>
      <c r="CK237" s="776" t="s">
        <v>2127</v>
      </c>
      <c r="CL237" s="776" t="s">
        <v>2127</v>
      </c>
      <c r="CM237" s="776" t="s">
        <v>2127</v>
      </c>
      <c r="CN237" s="776" t="s">
        <v>2127</v>
      </c>
      <c r="CO237" s="776" t="s">
        <v>2127</v>
      </c>
      <c r="CP237" s="776" t="s">
        <v>2127</v>
      </c>
      <c r="CQ237" s="776" t="s">
        <v>2127</v>
      </c>
      <c r="CR237" s="776" t="s">
        <v>2127</v>
      </c>
      <c r="CS237" s="776" t="s">
        <v>2127</v>
      </c>
      <c r="CT237" s="776" t="s">
        <v>2127</v>
      </c>
      <c r="CU237" s="776" t="s">
        <v>2127</v>
      </c>
      <c r="CV237" s="776" t="s">
        <v>2127</v>
      </c>
      <c r="CW237" s="776" t="s">
        <v>2127</v>
      </c>
      <c r="CX237" s="776" t="s">
        <v>2127</v>
      </c>
      <c r="CY237" s="776" t="s">
        <v>2127</v>
      </c>
      <c r="CZ237" s="776" t="s">
        <v>2127</v>
      </c>
      <c r="DA237" s="776" t="s">
        <v>2127</v>
      </c>
      <c r="DB237" s="776" t="s">
        <v>2127</v>
      </c>
      <c r="DC237" s="776" t="s">
        <v>2127</v>
      </c>
      <c r="DD237" s="776" t="s">
        <v>2127</v>
      </c>
      <c r="DE237" s="776" t="s">
        <v>2127</v>
      </c>
      <c r="DF237" s="776" t="s">
        <v>2127</v>
      </c>
      <c r="DG237" s="776" t="s">
        <v>2127</v>
      </c>
      <c r="DH237" s="776" t="s">
        <v>2127</v>
      </c>
      <c r="DI237" s="776" t="s">
        <v>2127</v>
      </c>
      <c r="DJ237" s="776" t="s">
        <v>2127</v>
      </c>
      <c r="DK237" s="776" t="s">
        <v>2127</v>
      </c>
      <c r="DL237" s="776" t="s">
        <v>2127</v>
      </c>
      <c r="DM237" s="776" t="s">
        <v>2127</v>
      </c>
      <c r="DN237" s="776" t="s">
        <v>2127</v>
      </c>
      <c r="DO237" s="776" t="s">
        <v>2127</v>
      </c>
      <c r="DP237" s="776" t="s">
        <v>2127</v>
      </c>
    </row>
    <row r="238" spans="1:120" x14ac:dyDescent="0.2">
      <c r="A238" s="637" t="s">
        <v>2269</v>
      </c>
      <c r="B238" s="772" t="str" cm="1">
        <f t="array" ref="B238">IFERROR(INDEX(Kulturen[HF],_xlfn.AGGREGATE(15,6,(ROW(Kulturen[Auswahl])-7)/(--(SEARCH("x",Kulturen[Auswahl])&gt;0)),ROW()-7),1),"")</f>
        <v>Arzneirhabarber (Wurzeln)</v>
      </c>
      <c r="C238" s="772" t="str">
        <f>IF(Kulturen[[#This Row],[HF]]=$D$373,IF($C$6=0,0,"x"),IF($C$6=0,"x",Vorauswahl!C237))</f>
        <v>x</v>
      </c>
      <c r="D238" s="938" t="s">
        <v>1978</v>
      </c>
      <c r="E238" s="938" t="s">
        <v>1978</v>
      </c>
      <c r="F238" s="938" t="s">
        <v>909</v>
      </c>
      <c r="G238" s="938">
        <v>14</v>
      </c>
      <c r="H238" s="938">
        <v>8</v>
      </c>
      <c r="I238" s="938">
        <v>3</v>
      </c>
      <c r="J238" s="938">
        <v>14</v>
      </c>
      <c r="K238" s="938">
        <v>0.23</v>
      </c>
      <c r="L238" s="938">
        <v>0.23</v>
      </c>
      <c r="M238" s="938">
        <v>50</v>
      </c>
      <c r="N238" s="938">
        <v>0</v>
      </c>
      <c r="O238" s="938">
        <v>1</v>
      </c>
      <c r="P238" s="938">
        <v>0</v>
      </c>
      <c r="Q238" s="938">
        <v>45</v>
      </c>
      <c r="R238" s="938">
        <v>5</v>
      </c>
      <c r="S238" s="938">
        <v>2</v>
      </c>
      <c r="T238" s="938">
        <v>2</v>
      </c>
      <c r="U238" s="938">
        <v>0</v>
      </c>
      <c r="V238" s="938">
        <v>1</v>
      </c>
      <c r="W238" s="776">
        <f>IF(Kulturen[[#This Row],[Berechnungsschema]]=13,3,IF(Kulturen[[#This Row],[Berechnungsschema]]=6,2,1))</f>
        <v>1</v>
      </c>
      <c r="X238" s="776">
        <f>IF(Kulturen[[#This Row],[fruchtartengruppe]]=13,Kulturen[[#This Row],[NBedarfswert]],MAX(0,Kulturen[[#This Row],[NBedarfswert]]-Kulturen[[#This Row],[Ertrag]]*Kulturen[[#This Row],[Nfix]]))</f>
        <v>45</v>
      </c>
      <c r="Y238" s="776" t="s">
        <v>2127</v>
      </c>
      <c r="Z238" s="776" t="s">
        <v>2127</v>
      </c>
      <c r="AA238" s="776" t="s">
        <v>2127</v>
      </c>
      <c r="AB238" s="776" t="s">
        <v>2127</v>
      </c>
      <c r="AC238" s="776" t="s">
        <v>2127</v>
      </c>
      <c r="AD238" s="776" t="s">
        <v>2127</v>
      </c>
      <c r="AE238" s="776" t="s">
        <v>2127</v>
      </c>
      <c r="AF238" s="776" t="s">
        <v>2127</v>
      </c>
      <c r="AG238" s="776" t="s">
        <v>2127</v>
      </c>
      <c r="AH238" s="776" t="s">
        <v>2127</v>
      </c>
      <c r="AI238" s="776" t="s">
        <v>2127</v>
      </c>
      <c r="AJ238" s="776" t="s">
        <v>2127</v>
      </c>
      <c r="AK238" s="776" t="s">
        <v>2127</v>
      </c>
      <c r="AL238" s="776" t="s">
        <v>2127</v>
      </c>
      <c r="AM238" s="776" t="s">
        <v>2127</v>
      </c>
      <c r="AN238" s="776" t="s">
        <v>2127</v>
      </c>
      <c r="AO238" s="776" t="s">
        <v>2127</v>
      </c>
      <c r="AP238" s="776" t="s">
        <v>2127</v>
      </c>
      <c r="AQ238" s="776" t="s">
        <v>2127</v>
      </c>
      <c r="AR238" s="776" t="s">
        <v>2127</v>
      </c>
      <c r="AS238" s="776" t="s">
        <v>2127</v>
      </c>
      <c r="AT238" s="776" t="s">
        <v>2127</v>
      </c>
      <c r="AU238" s="776" t="s">
        <v>2127</v>
      </c>
      <c r="AV238" s="776" t="s">
        <v>2127</v>
      </c>
      <c r="AW238" s="776" t="s">
        <v>2127</v>
      </c>
      <c r="AX238" s="776" t="s">
        <v>2127</v>
      </c>
      <c r="AY238" s="776" t="s">
        <v>2127</v>
      </c>
      <c r="AZ238" s="776" t="s">
        <v>2127</v>
      </c>
      <c r="BA238" s="776" t="s">
        <v>2127</v>
      </c>
      <c r="BB238" s="776" t="s">
        <v>2127</v>
      </c>
      <c r="BC238" s="776" t="s">
        <v>2127</v>
      </c>
      <c r="BD238" s="776" t="s">
        <v>2127</v>
      </c>
      <c r="BE238" s="776" t="s">
        <v>2127</v>
      </c>
      <c r="BF238" s="776" t="s">
        <v>2127</v>
      </c>
      <c r="BG238" s="776" t="s">
        <v>2127</v>
      </c>
      <c r="BH238" s="776" t="s">
        <v>2127</v>
      </c>
      <c r="BI238" s="776" t="s">
        <v>2127</v>
      </c>
      <c r="BJ238" s="776" t="s">
        <v>2127</v>
      </c>
      <c r="BK238" s="776" t="s">
        <v>2127</v>
      </c>
      <c r="BL238" s="776" t="s">
        <v>2127</v>
      </c>
      <c r="BM238" s="776" t="s">
        <v>2127</v>
      </c>
      <c r="BN238" s="776" t="s">
        <v>2127</v>
      </c>
      <c r="BO238" s="776" t="s">
        <v>2127</v>
      </c>
      <c r="BP238" s="776" t="s">
        <v>2127</v>
      </c>
      <c r="BQ238" s="776" t="s">
        <v>2127</v>
      </c>
      <c r="BR238" s="776" t="s">
        <v>2127</v>
      </c>
      <c r="BS238" s="776" t="s">
        <v>2127</v>
      </c>
      <c r="BT238" s="776" t="s">
        <v>2127</v>
      </c>
      <c r="BU238" s="776" t="s">
        <v>2127</v>
      </c>
      <c r="BV238" s="776" t="s">
        <v>2127</v>
      </c>
      <c r="BW238" s="776" t="s">
        <v>2127</v>
      </c>
      <c r="BX238" s="776" t="s">
        <v>2127</v>
      </c>
      <c r="BY238" s="776" t="s">
        <v>2127</v>
      </c>
      <c r="BZ238" s="776" t="s">
        <v>2127</v>
      </c>
      <c r="CA238" s="776" t="s">
        <v>2127</v>
      </c>
      <c r="CB238" s="776" t="s">
        <v>2127</v>
      </c>
      <c r="CC238" s="776" t="s">
        <v>2127</v>
      </c>
      <c r="CD238" s="776" t="s">
        <v>2127</v>
      </c>
      <c r="CE238" s="776" t="s">
        <v>2127</v>
      </c>
      <c r="CF238" s="776" t="s">
        <v>2127</v>
      </c>
      <c r="CG238" s="776" t="s">
        <v>2127</v>
      </c>
      <c r="CH238" s="776" t="s">
        <v>2127</v>
      </c>
      <c r="CI238" s="776" t="s">
        <v>2127</v>
      </c>
      <c r="CJ238" s="776" t="s">
        <v>2127</v>
      </c>
      <c r="CK238" s="776" t="s">
        <v>2127</v>
      </c>
      <c r="CL238" s="776" t="s">
        <v>2127</v>
      </c>
      <c r="CM238" s="776" t="s">
        <v>2127</v>
      </c>
      <c r="CN238" s="776" t="s">
        <v>2127</v>
      </c>
      <c r="CO238" s="776" t="s">
        <v>2127</v>
      </c>
      <c r="CP238" s="776" t="s">
        <v>2127</v>
      </c>
      <c r="CQ238" s="776" t="s">
        <v>2127</v>
      </c>
      <c r="CR238" s="776" t="s">
        <v>2127</v>
      </c>
      <c r="CS238" s="776" t="s">
        <v>2127</v>
      </c>
      <c r="CT238" s="776" t="s">
        <v>2127</v>
      </c>
      <c r="CU238" s="776" t="s">
        <v>2127</v>
      </c>
      <c r="CV238" s="776" t="s">
        <v>2127</v>
      </c>
      <c r="CW238" s="776" t="s">
        <v>2127</v>
      </c>
      <c r="CX238" s="776" t="s">
        <v>2127</v>
      </c>
      <c r="CY238" s="776" t="s">
        <v>2127</v>
      </c>
      <c r="CZ238" s="776" t="s">
        <v>2127</v>
      </c>
      <c r="DA238" s="776" t="s">
        <v>2127</v>
      </c>
      <c r="DB238" s="776" t="s">
        <v>2127</v>
      </c>
      <c r="DC238" s="776" t="s">
        <v>2127</v>
      </c>
      <c r="DD238" s="776" t="s">
        <v>2127</v>
      </c>
      <c r="DE238" s="776" t="s">
        <v>2127</v>
      </c>
      <c r="DF238" s="776" t="s">
        <v>2127</v>
      </c>
      <c r="DG238" s="776" t="s">
        <v>2127</v>
      </c>
      <c r="DH238" s="776" t="s">
        <v>2127</v>
      </c>
      <c r="DI238" s="776" t="s">
        <v>2127</v>
      </c>
      <c r="DJ238" s="776" t="s">
        <v>2127</v>
      </c>
      <c r="DK238" s="776" t="s">
        <v>2127</v>
      </c>
      <c r="DL238" s="776" t="s">
        <v>2127</v>
      </c>
      <c r="DM238" s="776" t="s">
        <v>2127</v>
      </c>
      <c r="DN238" s="776" t="s">
        <v>2127</v>
      </c>
      <c r="DO238" s="776" t="s">
        <v>2127</v>
      </c>
      <c r="DP238" s="776" t="s">
        <v>2127</v>
      </c>
    </row>
    <row r="239" spans="1:120" x14ac:dyDescent="0.2">
      <c r="A239" s="637" t="s">
        <v>2270</v>
      </c>
      <c r="B239" s="772" t="str" cm="1">
        <f t="array" ref="B239">IFERROR(INDEX(Kulturen[HF],_xlfn.AGGREGATE(15,6,(ROW(Kulturen[Auswahl])-7)/(--(SEARCH("x",Kulturen[Auswahl])&gt;0)),ROW()-7),1),"")</f>
        <v>Bärlauch (Blätter)</v>
      </c>
      <c r="C239" s="772" t="str">
        <f>IF(Kulturen[[#This Row],[HF]]=$D$373,IF($C$6=0,0,"x"),IF($C$6=0,"x",Vorauswahl!C238))</f>
        <v>x</v>
      </c>
      <c r="D239" s="938" t="s">
        <v>1979</v>
      </c>
      <c r="E239" s="938" t="s">
        <v>1979</v>
      </c>
      <c r="F239" s="938" t="s">
        <v>1980</v>
      </c>
      <c r="G239" s="938">
        <v>14</v>
      </c>
      <c r="H239" s="938">
        <v>8</v>
      </c>
      <c r="I239" s="938">
        <v>3</v>
      </c>
      <c r="J239" s="938">
        <v>14</v>
      </c>
      <c r="K239" s="938">
        <v>0.2</v>
      </c>
      <c r="L239" s="938">
        <v>0.2</v>
      </c>
      <c r="M239" s="938">
        <v>50</v>
      </c>
      <c r="N239" s="938">
        <v>0</v>
      </c>
      <c r="O239" s="938">
        <v>1</v>
      </c>
      <c r="P239" s="938">
        <v>0</v>
      </c>
      <c r="Q239" s="938">
        <v>45</v>
      </c>
      <c r="R239" s="938">
        <v>5</v>
      </c>
      <c r="S239" s="938">
        <v>2</v>
      </c>
      <c r="T239" s="938">
        <v>2</v>
      </c>
      <c r="U239" s="938">
        <v>0</v>
      </c>
      <c r="V239" s="938">
        <v>1</v>
      </c>
      <c r="W239" s="776">
        <f>IF(Kulturen[[#This Row],[Berechnungsschema]]=13,3,IF(Kulturen[[#This Row],[Berechnungsschema]]=6,2,1))</f>
        <v>1</v>
      </c>
      <c r="X239" s="776">
        <f>IF(Kulturen[[#This Row],[fruchtartengruppe]]=13,Kulturen[[#This Row],[NBedarfswert]],MAX(0,Kulturen[[#This Row],[NBedarfswert]]-Kulturen[[#This Row],[Ertrag]]*Kulturen[[#This Row],[Nfix]]))</f>
        <v>45</v>
      </c>
      <c r="Y239" s="776" t="s">
        <v>2127</v>
      </c>
      <c r="Z239" s="776" t="s">
        <v>2127</v>
      </c>
      <c r="AA239" s="776" t="s">
        <v>2127</v>
      </c>
      <c r="AB239" s="776" t="s">
        <v>2127</v>
      </c>
      <c r="AC239" s="776" t="s">
        <v>2127</v>
      </c>
      <c r="AD239" s="776" t="s">
        <v>2127</v>
      </c>
      <c r="AE239" s="776" t="s">
        <v>2127</v>
      </c>
      <c r="AF239" s="776" t="s">
        <v>2127</v>
      </c>
      <c r="AG239" s="776" t="s">
        <v>2127</v>
      </c>
      <c r="AH239" s="776" t="s">
        <v>2127</v>
      </c>
      <c r="AI239" s="776" t="s">
        <v>2127</v>
      </c>
      <c r="AJ239" s="776" t="s">
        <v>2127</v>
      </c>
      <c r="AK239" s="776" t="s">
        <v>2127</v>
      </c>
      <c r="AL239" s="776" t="s">
        <v>2127</v>
      </c>
      <c r="AM239" s="776" t="s">
        <v>2127</v>
      </c>
      <c r="AN239" s="776" t="s">
        <v>2127</v>
      </c>
      <c r="AO239" s="776" t="s">
        <v>2127</v>
      </c>
      <c r="AP239" s="776" t="s">
        <v>2127</v>
      </c>
      <c r="AQ239" s="776" t="s">
        <v>2127</v>
      </c>
      <c r="AR239" s="776" t="s">
        <v>2127</v>
      </c>
      <c r="AS239" s="776" t="s">
        <v>2127</v>
      </c>
      <c r="AT239" s="776" t="s">
        <v>2127</v>
      </c>
      <c r="AU239" s="776" t="s">
        <v>2127</v>
      </c>
      <c r="AV239" s="776" t="s">
        <v>2127</v>
      </c>
      <c r="AW239" s="776" t="s">
        <v>2127</v>
      </c>
      <c r="AX239" s="776" t="s">
        <v>2127</v>
      </c>
      <c r="AY239" s="776" t="s">
        <v>2127</v>
      </c>
      <c r="AZ239" s="776" t="s">
        <v>2127</v>
      </c>
      <c r="BA239" s="776" t="s">
        <v>2127</v>
      </c>
      <c r="BB239" s="776" t="s">
        <v>2127</v>
      </c>
      <c r="BC239" s="776" t="s">
        <v>2127</v>
      </c>
      <c r="BD239" s="776" t="s">
        <v>2127</v>
      </c>
      <c r="BE239" s="776" t="s">
        <v>2127</v>
      </c>
      <c r="BF239" s="776" t="s">
        <v>2127</v>
      </c>
      <c r="BG239" s="776" t="s">
        <v>2127</v>
      </c>
      <c r="BH239" s="776" t="s">
        <v>2127</v>
      </c>
      <c r="BI239" s="776" t="s">
        <v>2127</v>
      </c>
      <c r="BJ239" s="776" t="s">
        <v>2127</v>
      </c>
      <c r="BK239" s="776" t="s">
        <v>2127</v>
      </c>
      <c r="BL239" s="776" t="s">
        <v>2127</v>
      </c>
      <c r="BM239" s="776" t="s">
        <v>2127</v>
      </c>
      <c r="BN239" s="776" t="s">
        <v>2127</v>
      </c>
      <c r="BO239" s="776" t="s">
        <v>2127</v>
      </c>
      <c r="BP239" s="776" t="s">
        <v>2127</v>
      </c>
      <c r="BQ239" s="776" t="s">
        <v>2127</v>
      </c>
      <c r="BR239" s="776" t="s">
        <v>2127</v>
      </c>
      <c r="BS239" s="776" t="s">
        <v>2127</v>
      </c>
      <c r="BT239" s="776" t="s">
        <v>2127</v>
      </c>
      <c r="BU239" s="776" t="s">
        <v>2127</v>
      </c>
      <c r="BV239" s="776" t="s">
        <v>2127</v>
      </c>
      <c r="BW239" s="776" t="s">
        <v>2127</v>
      </c>
      <c r="BX239" s="776" t="s">
        <v>2127</v>
      </c>
      <c r="BY239" s="776" t="s">
        <v>2127</v>
      </c>
      <c r="BZ239" s="776" t="s">
        <v>2127</v>
      </c>
      <c r="CA239" s="776" t="s">
        <v>2127</v>
      </c>
      <c r="CB239" s="776" t="s">
        <v>2127</v>
      </c>
      <c r="CC239" s="776" t="s">
        <v>2127</v>
      </c>
      <c r="CD239" s="776" t="s">
        <v>2127</v>
      </c>
      <c r="CE239" s="776" t="s">
        <v>2127</v>
      </c>
      <c r="CF239" s="776" t="s">
        <v>2127</v>
      </c>
      <c r="CG239" s="776" t="s">
        <v>2127</v>
      </c>
      <c r="CH239" s="776" t="s">
        <v>2127</v>
      </c>
      <c r="CI239" s="776" t="s">
        <v>2127</v>
      </c>
      <c r="CJ239" s="776" t="s">
        <v>2127</v>
      </c>
      <c r="CK239" s="776" t="s">
        <v>2127</v>
      </c>
      <c r="CL239" s="776" t="s">
        <v>2127</v>
      </c>
      <c r="CM239" s="776" t="s">
        <v>2127</v>
      </c>
      <c r="CN239" s="776" t="s">
        <v>2127</v>
      </c>
      <c r="CO239" s="776" t="s">
        <v>2127</v>
      </c>
      <c r="CP239" s="776" t="s">
        <v>2127</v>
      </c>
      <c r="CQ239" s="776" t="s">
        <v>2127</v>
      </c>
      <c r="CR239" s="776" t="s">
        <v>2127</v>
      </c>
      <c r="CS239" s="776" t="s">
        <v>2127</v>
      </c>
      <c r="CT239" s="776" t="s">
        <v>2127</v>
      </c>
      <c r="CU239" s="776" t="s">
        <v>2127</v>
      </c>
      <c r="CV239" s="776" t="s">
        <v>2127</v>
      </c>
      <c r="CW239" s="776" t="s">
        <v>2127</v>
      </c>
      <c r="CX239" s="776" t="s">
        <v>2127</v>
      </c>
      <c r="CY239" s="776" t="s">
        <v>2127</v>
      </c>
      <c r="CZ239" s="776" t="s">
        <v>2127</v>
      </c>
      <c r="DA239" s="776" t="s">
        <v>2127</v>
      </c>
      <c r="DB239" s="776" t="s">
        <v>2127</v>
      </c>
      <c r="DC239" s="776" t="s">
        <v>2127</v>
      </c>
      <c r="DD239" s="776" t="s">
        <v>2127</v>
      </c>
      <c r="DE239" s="776" t="s">
        <v>2127</v>
      </c>
      <c r="DF239" s="776" t="s">
        <v>2127</v>
      </c>
      <c r="DG239" s="776" t="s">
        <v>2127</v>
      </c>
      <c r="DH239" s="776" t="s">
        <v>2127</v>
      </c>
      <c r="DI239" s="776" t="s">
        <v>2127</v>
      </c>
      <c r="DJ239" s="776" t="s">
        <v>2127</v>
      </c>
      <c r="DK239" s="776" t="s">
        <v>2127</v>
      </c>
      <c r="DL239" s="776" t="s">
        <v>2127</v>
      </c>
      <c r="DM239" s="776" t="s">
        <v>2127</v>
      </c>
      <c r="DN239" s="776" t="s">
        <v>2127</v>
      </c>
      <c r="DO239" s="776" t="s">
        <v>2127</v>
      </c>
      <c r="DP239" s="776" t="s">
        <v>2127</v>
      </c>
    </row>
    <row r="240" spans="1:120" x14ac:dyDescent="0.2">
      <c r="A240" s="637"/>
      <c r="B240" s="772" t="str" cm="1">
        <f t="array" ref="B240">IFERROR(INDEX(Kulturen[HF],_xlfn.AGGREGATE(15,6,(ROW(Kulturen[Auswahl])-7)/(--(SEARCH("x",Kulturen[Auswahl])&gt;0)),ROW()-7),1),"")</f>
        <v>Bärwurz (Wurzel)</v>
      </c>
      <c r="C240" s="772" t="str">
        <f>IF(Kulturen[[#This Row],[HF]]=$D$373,IF($C$6=0,0,"x"),IF($C$6=0,"x",Vorauswahl!C239))</f>
        <v>x</v>
      </c>
      <c r="D240" s="938" t="s">
        <v>1981</v>
      </c>
      <c r="E240" s="938" t="s">
        <v>1981</v>
      </c>
      <c r="F240" s="938" t="s">
        <v>910</v>
      </c>
      <c r="G240" s="938">
        <v>14</v>
      </c>
      <c r="H240" s="938">
        <v>8</v>
      </c>
      <c r="I240" s="938">
        <v>3</v>
      </c>
      <c r="J240" s="938">
        <v>14</v>
      </c>
      <c r="K240" s="938">
        <v>0.18</v>
      </c>
      <c r="L240" s="938">
        <v>0.18</v>
      </c>
      <c r="M240" s="938">
        <v>80</v>
      </c>
      <c r="N240" s="938">
        <v>0</v>
      </c>
      <c r="O240" s="938">
        <v>1</v>
      </c>
      <c r="P240" s="938">
        <v>0</v>
      </c>
      <c r="Q240" s="938">
        <v>85</v>
      </c>
      <c r="R240" s="938">
        <v>8</v>
      </c>
      <c r="S240" s="938">
        <v>4</v>
      </c>
      <c r="T240" s="938">
        <v>4</v>
      </c>
      <c r="U240" s="938">
        <v>0</v>
      </c>
      <c r="V240" s="938">
        <v>1</v>
      </c>
      <c r="W240" s="776">
        <f>IF(Kulturen[[#This Row],[Berechnungsschema]]=13,3,IF(Kulturen[[#This Row],[Berechnungsschema]]=6,2,1))</f>
        <v>1</v>
      </c>
      <c r="X240" s="776">
        <f>IF(Kulturen[[#This Row],[fruchtartengruppe]]=13,Kulturen[[#This Row],[NBedarfswert]],MAX(0,Kulturen[[#This Row],[NBedarfswert]]-Kulturen[[#This Row],[Ertrag]]*Kulturen[[#This Row],[Nfix]]))</f>
        <v>85</v>
      </c>
      <c r="Y240" s="776" t="s">
        <v>2127</v>
      </c>
      <c r="Z240" s="776" t="s">
        <v>2127</v>
      </c>
      <c r="AA240" s="776" t="s">
        <v>2127</v>
      </c>
      <c r="AB240" s="776" t="s">
        <v>2127</v>
      </c>
      <c r="AC240" s="776" t="s">
        <v>2127</v>
      </c>
      <c r="AD240" s="776" t="s">
        <v>2127</v>
      </c>
      <c r="AE240" s="776" t="s">
        <v>2127</v>
      </c>
      <c r="AF240" s="776" t="s">
        <v>2127</v>
      </c>
      <c r="AG240" s="776" t="s">
        <v>2127</v>
      </c>
      <c r="AH240" s="776" t="s">
        <v>2127</v>
      </c>
      <c r="AI240" s="776" t="s">
        <v>2127</v>
      </c>
      <c r="AJ240" s="776" t="s">
        <v>2127</v>
      </c>
      <c r="AK240" s="776" t="s">
        <v>2127</v>
      </c>
      <c r="AL240" s="776" t="s">
        <v>2127</v>
      </c>
      <c r="AM240" s="776" t="s">
        <v>2127</v>
      </c>
      <c r="AN240" s="776" t="s">
        <v>2127</v>
      </c>
      <c r="AO240" s="776" t="s">
        <v>2127</v>
      </c>
      <c r="AP240" s="776" t="s">
        <v>2127</v>
      </c>
      <c r="AQ240" s="776" t="s">
        <v>2127</v>
      </c>
      <c r="AR240" s="776" t="s">
        <v>2127</v>
      </c>
      <c r="AS240" s="776" t="s">
        <v>2127</v>
      </c>
      <c r="AT240" s="776" t="s">
        <v>2127</v>
      </c>
      <c r="AU240" s="776" t="s">
        <v>2127</v>
      </c>
      <c r="AV240" s="776" t="s">
        <v>2127</v>
      </c>
      <c r="AW240" s="776" t="s">
        <v>2127</v>
      </c>
      <c r="AX240" s="776" t="s">
        <v>2127</v>
      </c>
      <c r="AY240" s="776" t="s">
        <v>2127</v>
      </c>
      <c r="AZ240" s="776" t="s">
        <v>2127</v>
      </c>
      <c r="BA240" s="776" t="s">
        <v>2127</v>
      </c>
      <c r="BB240" s="776" t="s">
        <v>2127</v>
      </c>
      <c r="BC240" s="776" t="s">
        <v>2127</v>
      </c>
      <c r="BD240" s="776" t="s">
        <v>2127</v>
      </c>
      <c r="BE240" s="776" t="s">
        <v>2127</v>
      </c>
      <c r="BF240" s="776" t="s">
        <v>2127</v>
      </c>
      <c r="BG240" s="776" t="s">
        <v>2127</v>
      </c>
      <c r="BH240" s="776" t="s">
        <v>2127</v>
      </c>
      <c r="BI240" s="776" t="s">
        <v>2127</v>
      </c>
      <c r="BJ240" s="776" t="s">
        <v>2127</v>
      </c>
      <c r="BK240" s="776" t="s">
        <v>2127</v>
      </c>
      <c r="BL240" s="776" t="s">
        <v>2127</v>
      </c>
      <c r="BM240" s="776" t="s">
        <v>2127</v>
      </c>
      <c r="BN240" s="776" t="s">
        <v>2127</v>
      </c>
      <c r="BO240" s="776" t="s">
        <v>2127</v>
      </c>
      <c r="BP240" s="776" t="s">
        <v>2127</v>
      </c>
      <c r="BQ240" s="776" t="s">
        <v>2127</v>
      </c>
      <c r="BR240" s="776" t="s">
        <v>2127</v>
      </c>
      <c r="BS240" s="776" t="s">
        <v>2127</v>
      </c>
      <c r="BT240" s="776" t="s">
        <v>2127</v>
      </c>
      <c r="BU240" s="776" t="s">
        <v>2127</v>
      </c>
      <c r="BV240" s="776" t="s">
        <v>2127</v>
      </c>
      <c r="BW240" s="776" t="s">
        <v>2127</v>
      </c>
      <c r="BX240" s="776" t="s">
        <v>2127</v>
      </c>
      <c r="BY240" s="776" t="s">
        <v>2127</v>
      </c>
      <c r="BZ240" s="776" t="s">
        <v>2127</v>
      </c>
      <c r="CA240" s="776" t="s">
        <v>2127</v>
      </c>
      <c r="CB240" s="776" t="s">
        <v>2127</v>
      </c>
      <c r="CC240" s="776" t="s">
        <v>2127</v>
      </c>
      <c r="CD240" s="776" t="s">
        <v>2127</v>
      </c>
      <c r="CE240" s="776" t="s">
        <v>2127</v>
      </c>
      <c r="CF240" s="776" t="s">
        <v>2127</v>
      </c>
      <c r="CG240" s="776" t="s">
        <v>2127</v>
      </c>
      <c r="CH240" s="776" t="s">
        <v>2127</v>
      </c>
      <c r="CI240" s="776" t="s">
        <v>2127</v>
      </c>
      <c r="CJ240" s="776" t="s">
        <v>2127</v>
      </c>
      <c r="CK240" s="776" t="s">
        <v>2127</v>
      </c>
      <c r="CL240" s="776" t="s">
        <v>2127</v>
      </c>
      <c r="CM240" s="776" t="s">
        <v>2127</v>
      </c>
      <c r="CN240" s="776" t="s">
        <v>2127</v>
      </c>
      <c r="CO240" s="776" t="s">
        <v>2127</v>
      </c>
      <c r="CP240" s="776" t="s">
        <v>2127</v>
      </c>
      <c r="CQ240" s="776" t="s">
        <v>2127</v>
      </c>
      <c r="CR240" s="776" t="s">
        <v>2127</v>
      </c>
      <c r="CS240" s="776" t="s">
        <v>2127</v>
      </c>
      <c r="CT240" s="776" t="s">
        <v>2127</v>
      </c>
      <c r="CU240" s="776" t="s">
        <v>2127</v>
      </c>
      <c r="CV240" s="776" t="s">
        <v>2127</v>
      </c>
      <c r="CW240" s="776" t="s">
        <v>2127</v>
      </c>
      <c r="CX240" s="776" t="s">
        <v>2127</v>
      </c>
      <c r="CY240" s="776" t="s">
        <v>2127</v>
      </c>
      <c r="CZ240" s="776" t="s">
        <v>2127</v>
      </c>
      <c r="DA240" s="776" t="s">
        <v>2127</v>
      </c>
      <c r="DB240" s="776" t="s">
        <v>2127</v>
      </c>
      <c r="DC240" s="776" t="s">
        <v>2127</v>
      </c>
      <c r="DD240" s="776" t="s">
        <v>2127</v>
      </c>
      <c r="DE240" s="776" t="s">
        <v>2127</v>
      </c>
      <c r="DF240" s="776" t="s">
        <v>2127</v>
      </c>
      <c r="DG240" s="776" t="s">
        <v>2127</v>
      </c>
      <c r="DH240" s="776" t="s">
        <v>2127</v>
      </c>
      <c r="DI240" s="776" t="s">
        <v>2127</v>
      </c>
      <c r="DJ240" s="776" t="s">
        <v>2127</v>
      </c>
      <c r="DK240" s="776" t="s">
        <v>2127</v>
      </c>
      <c r="DL240" s="776" t="s">
        <v>2127</v>
      </c>
      <c r="DM240" s="776" t="s">
        <v>2127</v>
      </c>
      <c r="DN240" s="776" t="s">
        <v>2127</v>
      </c>
      <c r="DO240" s="776" t="s">
        <v>2127</v>
      </c>
      <c r="DP240" s="776" t="s">
        <v>2127</v>
      </c>
    </row>
    <row r="241" spans="1:120" x14ac:dyDescent="0.2">
      <c r="A241" s="637" t="s">
        <v>2271</v>
      </c>
      <c r="B241" s="772" t="str" cm="1">
        <f t="array" ref="B241">IFERROR(INDEX(Kulturen[HF],_xlfn.AGGREGATE(15,6,(ROW(Kulturen[Auswahl])-7)/(--(SEARCH("x",Kulturen[Auswahl])&gt;0)),ROW()-7),1),"")</f>
        <v>Baikal-Helmkraut (Wurzeln)</v>
      </c>
      <c r="C241" s="772" t="str">
        <f>IF(Kulturen[[#This Row],[HF]]=$D$373,IF($C$6=0,0,"x"),IF($C$6=0,"x",Vorauswahl!C240))</f>
        <v>x</v>
      </c>
      <c r="D241" s="938" t="s">
        <v>1982</v>
      </c>
      <c r="E241" s="938" t="s">
        <v>1982</v>
      </c>
      <c r="F241" s="938" t="s">
        <v>911</v>
      </c>
      <c r="G241" s="938">
        <v>14</v>
      </c>
      <c r="H241" s="938">
        <v>8</v>
      </c>
      <c r="I241" s="938">
        <v>1</v>
      </c>
      <c r="J241" s="938">
        <v>14</v>
      </c>
      <c r="K241" s="938">
        <v>0.21</v>
      </c>
      <c r="L241" s="938">
        <v>0.24</v>
      </c>
      <c r="M241" s="938">
        <v>300</v>
      </c>
      <c r="N241" s="938">
        <v>0</v>
      </c>
      <c r="O241" s="938">
        <v>1</v>
      </c>
      <c r="P241" s="938">
        <v>0</v>
      </c>
      <c r="Q241" s="938">
        <v>205</v>
      </c>
      <c r="R241" s="938">
        <v>30</v>
      </c>
      <c r="S241" s="938">
        <v>21</v>
      </c>
      <c r="T241" s="938">
        <v>21</v>
      </c>
      <c r="U241" s="938">
        <v>0</v>
      </c>
      <c r="V241" s="938">
        <v>1</v>
      </c>
      <c r="W241" s="776">
        <f>IF(Kulturen[[#This Row],[Berechnungsschema]]=13,3,IF(Kulturen[[#This Row],[Berechnungsschema]]=6,2,1))</f>
        <v>1</v>
      </c>
      <c r="X241" s="776">
        <f>IF(Kulturen[[#This Row],[fruchtartengruppe]]=13,Kulturen[[#This Row],[NBedarfswert]],MAX(0,Kulturen[[#This Row],[NBedarfswert]]-Kulturen[[#This Row],[Ertrag]]*Kulturen[[#This Row],[Nfix]]))</f>
        <v>205</v>
      </c>
      <c r="Y241" s="776" t="s">
        <v>2127</v>
      </c>
      <c r="Z241" s="776" t="s">
        <v>2127</v>
      </c>
      <c r="AA241" s="776" t="s">
        <v>2127</v>
      </c>
      <c r="AB241" s="776" t="s">
        <v>2127</v>
      </c>
      <c r="AC241" s="776" t="s">
        <v>2127</v>
      </c>
      <c r="AD241" s="776" t="s">
        <v>2127</v>
      </c>
      <c r="AE241" s="776" t="s">
        <v>2127</v>
      </c>
      <c r="AF241" s="776" t="s">
        <v>2127</v>
      </c>
      <c r="AG241" s="776" t="s">
        <v>2127</v>
      </c>
      <c r="AH241" s="776" t="s">
        <v>2127</v>
      </c>
      <c r="AI241" s="776" t="s">
        <v>2127</v>
      </c>
      <c r="AJ241" s="776" t="s">
        <v>2127</v>
      </c>
      <c r="AK241" s="776" t="s">
        <v>2127</v>
      </c>
      <c r="AL241" s="776" t="s">
        <v>2127</v>
      </c>
      <c r="AM241" s="776" t="s">
        <v>2127</v>
      </c>
      <c r="AN241" s="776" t="s">
        <v>2127</v>
      </c>
      <c r="AO241" s="776" t="s">
        <v>2127</v>
      </c>
      <c r="AP241" s="776" t="s">
        <v>2127</v>
      </c>
      <c r="AQ241" s="776" t="s">
        <v>2127</v>
      </c>
      <c r="AR241" s="776" t="s">
        <v>2127</v>
      </c>
      <c r="AS241" s="776" t="s">
        <v>2127</v>
      </c>
      <c r="AT241" s="776" t="s">
        <v>2127</v>
      </c>
      <c r="AU241" s="776" t="s">
        <v>2127</v>
      </c>
      <c r="AV241" s="776" t="s">
        <v>2127</v>
      </c>
      <c r="AW241" s="776" t="s">
        <v>2127</v>
      </c>
      <c r="AX241" s="776" t="s">
        <v>2127</v>
      </c>
      <c r="AY241" s="776" t="s">
        <v>2127</v>
      </c>
      <c r="AZ241" s="776" t="s">
        <v>2127</v>
      </c>
      <c r="BA241" s="776" t="s">
        <v>2127</v>
      </c>
      <c r="BB241" s="776" t="s">
        <v>2127</v>
      </c>
      <c r="BC241" s="776" t="s">
        <v>2127</v>
      </c>
      <c r="BD241" s="776" t="s">
        <v>2127</v>
      </c>
      <c r="BE241" s="776" t="s">
        <v>2127</v>
      </c>
      <c r="BF241" s="776" t="s">
        <v>2127</v>
      </c>
      <c r="BG241" s="776" t="s">
        <v>2127</v>
      </c>
      <c r="BH241" s="776" t="s">
        <v>2127</v>
      </c>
      <c r="BI241" s="776" t="s">
        <v>2127</v>
      </c>
      <c r="BJ241" s="776" t="s">
        <v>2127</v>
      </c>
      <c r="BK241" s="776" t="s">
        <v>2127</v>
      </c>
      <c r="BL241" s="776" t="s">
        <v>2127</v>
      </c>
      <c r="BM241" s="776" t="s">
        <v>2127</v>
      </c>
      <c r="BN241" s="776" t="s">
        <v>2127</v>
      </c>
      <c r="BO241" s="776" t="s">
        <v>2127</v>
      </c>
      <c r="BP241" s="776" t="s">
        <v>2127</v>
      </c>
      <c r="BQ241" s="776" t="s">
        <v>2127</v>
      </c>
      <c r="BR241" s="776" t="s">
        <v>2127</v>
      </c>
      <c r="BS241" s="776" t="s">
        <v>2127</v>
      </c>
      <c r="BT241" s="776" t="s">
        <v>2127</v>
      </c>
      <c r="BU241" s="776" t="s">
        <v>2127</v>
      </c>
      <c r="BV241" s="776" t="s">
        <v>2127</v>
      </c>
      <c r="BW241" s="776" t="s">
        <v>2127</v>
      </c>
      <c r="BX241" s="776" t="s">
        <v>2127</v>
      </c>
      <c r="BY241" s="776" t="s">
        <v>2127</v>
      </c>
      <c r="BZ241" s="776" t="s">
        <v>2127</v>
      </c>
      <c r="CA241" s="776" t="s">
        <v>2127</v>
      </c>
      <c r="CB241" s="776" t="s">
        <v>2127</v>
      </c>
      <c r="CC241" s="776" t="s">
        <v>2127</v>
      </c>
      <c r="CD241" s="776" t="s">
        <v>2127</v>
      </c>
      <c r="CE241" s="776" t="s">
        <v>2127</v>
      </c>
      <c r="CF241" s="776" t="s">
        <v>2127</v>
      </c>
      <c r="CG241" s="776" t="s">
        <v>2127</v>
      </c>
      <c r="CH241" s="776" t="s">
        <v>2127</v>
      </c>
      <c r="CI241" s="776" t="s">
        <v>2127</v>
      </c>
      <c r="CJ241" s="776" t="s">
        <v>2127</v>
      </c>
      <c r="CK241" s="776" t="s">
        <v>2127</v>
      </c>
      <c r="CL241" s="776" t="s">
        <v>2127</v>
      </c>
      <c r="CM241" s="776" t="s">
        <v>2127</v>
      </c>
      <c r="CN241" s="776" t="s">
        <v>2127</v>
      </c>
      <c r="CO241" s="776" t="s">
        <v>2127</v>
      </c>
      <c r="CP241" s="776" t="s">
        <v>2127</v>
      </c>
      <c r="CQ241" s="776" t="s">
        <v>2127</v>
      </c>
      <c r="CR241" s="776" t="s">
        <v>2127</v>
      </c>
      <c r="CS241" s="776" t="s">
        <v>2127</v>
      </c>
      <c r="CT241" s="776" t="s">
        <v>2127</v>
      </c>
      <c r="CU241" s="776" t="s">
        <v>2127</v>
      </c>
      <c r="CV241" s="776" t="s">
        <v>2127</v>
      </c>
      <c r="CW241" s="776" t="s">
        <v>2127</v>
      </c>
      <c r="CX241" s="776" t="s">
        <v>2127</v>
      </c>
      <c r="CY241" s="776" t="s">
        <v>2127</v>
      </c>
      <c r="CZ241" s="776" t="s">
        <v>2127</v>
      </c>
      <c r="DA241" s="776" t="s">
        <v>2127</v>
      </c>
      <c r="DB241" s="776" t="s">
        <v>2127</v>
      </c>
      <c r="DC241" s="776" t="s">
        <v>2127</v>
      </c>
      <c r="DD241" s="776" t="s">
        <v>2127</v>
      </c>
      <c r="DE241" s="776" t="s">
        <v>2127</v>
      </c>
      <c r="DF241" s="776" t="s">
        <v>2127</v>
      </c>
      <c r="DG241" s="776" t="s">
        <v>2127</v>
      </c>
      <c r="DH241" s="776" t="s">
        <v>2127</v>
      </c>
      <c r="DI241" s="776" t="s">
        <v>2127</v>
      </c>
      <c r="DJ241" s="776" t="s">
        <v>2127</v>
      </c>
      <c r="DK241" s="776" t="s">
        <v>2127</v>
      </c>
      <c r="DL241" s="776" t="s">
        <v>2127</v>
      </c>
      <c r="DM241" s="776" t="s">
        <v>2127</v>
      </c>
      <c r="DN241" s="776" t="s">
        <v>2127</v>
      </c>
      <c r="DO241" s="776" t="s">
        <v>2127</v>
      </c>
      <c r="DP241" s="776" t="s">
        <v>2127</v>
      </c>
    </row>
    <row r="242" spans="1:120" x14ac:dyDescent="0.2">
      <c r="A242" s="637" t="s">
        <v>2272</v>
      </c>
      <c r="B242" s="772" t="str" cm="1">
        <f t="array" ref="B242">IFERROR(INDEX(Kulturen[HF],_xlfn.AGGREGATE(15,6,(ROW(Kulturen[Auswahl])-7)/(--(SEARCH("x",Kulturen[Auswahl])&gt;0)),ROW()-7),1),"")</f>
        <v>Baldrian (Wurzeln)</v>
      </c>
      <c r="C242" s="772" t="str">
        <f>IF(Kulturen[[#This Row],[HF]]=$D$373,IF($C$6=0,0,"x"),IF($C$6=0,"x",Vorauswahl!C241))</f>
        <v>x</v>
      </c>
      <c r="D242" s="938" t="s">
        <v>1983</v>
      </c>
      <c r="E242" s="938" t="s">
        <v>1983</v>
      </c>
      <c r="F242" s="938" t="s">
        <v>912</v>
      </c>
      <c r="G242" s="938">
        <v>14</v>
      </c>
      <c r="H242" s="938">
        <v>8</v>
      </c>
      <c r="I242" s="938">
        <v>3</v>
      </c>
      <c r="J242" s="938">
        <v>14</v>
      </c>
      <c r="K242" s="938">
        <v>7.0000000000000007E-2</v>
      </c>
      <c r="L242" s="938">
        <v>7.0000000000000007E-2</v>
      </c>
      <c r="M242" s="938">
        <v>700</v>
      </c>
      <c r="N242" s="938">
        <v>0</v>
      </c>
      <c r="O242" s="938">
        <v>1</v>
      </c>
      <c r="P242" s="938">
        <v>0</v>
      </c>
      <c r="Q242" s="938">
        <v>180</v>
      </c>
      <c r="R242" s="938">
        <v>70</v>
      </c>
      <c r="S242" s="938">
        <v>18</v>
      </c>
      <c r="T242" s="938">
        <v>18</v>
      </c>
      <c r="U242" s="938">
        <v>0</v>
      </c>
      <c r="V242" s="938">
        <v>1</v>
      </c>
      <c r="W242" s="776">
        <f>IF(Kulturen[[#This Row],[Berechnungsschema]]=13,3,IF(Kulturen[[#This Row],[Berechnungsschema]]=6,2,1))</f>
        <v>1</v>
      </c>
      <c r="X242" s="776">
        <f>IF(Kulturen[[#This Row],[fruchtartengruppe]]=13,Kulturen[[#This Row],[NBedarfswert]],MAX(0,Kulturen[[#This Row],[NBedarfswert]]-Kulturen[[#This Row],[Ertrag]]*Kulturen[[#This Row],[Nfix]]))</f>
        <v>180</v>
      </c>
      <c r="Y242" s="776" t="s">
        <v>2127</v>
      </c>
      <c r="Z242" s="776" t="s">
        <v>2127</v>
      </c>
      <c r="AA242" s="776" t="s">
        <v>2127</v>
      </c>
      <c r="AB242" s="776" t="s">
        <v>2127</v>
      </c>
      <c r="AC242" s="776" t="s">
        <v>2127</v>
      </c>
      <c r="AD242" s="776" t="s">
        <v>2127</v>
      </c>
      <c r="AE242" s="776" t="s">
        <v>2127</v>
      </c>
      <c r="AF242" s="776" t="s">
        <v>2127</v>
      </c>
      <c r="AG242" s="776" t="s">
        <v>2127</v>
      </c>
      <c r="AH242" s="776" t="s">
        <v>2127</v>
      </c>
      <c r="AI242" s="776" t="s">
        <v>2127</v>
      </c>
      <c r="AJ242" s="776" t="s">
        <v>2127</v>
      </c>
      <c r="AK242" s="776" t="s">
        <v>2127</v>
      </c>
      <c r="AL242" s="776" t="s">
        <v>2127</v>
      </c>
      <c r="AM242" s="776" t="s">
        <v>2127</v>
      </c>
      <c r="AN242" s="776" t="s">
        <v>2127</v>
      </c>
      <c r="AO242" s="776" t="s">
        <v>2127</v>
      </c>
      <c r="AP242" s="776" t="s">
        <v>2127</v>
      </c>
      <c r="AQ242" s="776" t="s">
        <v>2127</v>
      </c>
      <c r="AR242" s="776" t="s">
        <v>2127</v>
      </c>
      <c r="AS242" s="776" t="s">
        <v>2127</v>
      </c>
      <c r="AT242" s="776" t="s">
        <v>2127</v>
      </c>
      <c r="AU242" s="776" t="s">
        <v>2127</v>
      </c>
      <c r="AV242" s="776" t="s">
        <v>2127</v>
      </c>
      <c r="AW242" s="776" t="s">
        <v>2127</v>
      </c>
      <c r="AX242" s="776" t="s">
        <v>2127</v>
      </c>
      <c r="AY242" s="776" t="s">
        <v>2127</v>
      </c>
      <c r="AZ242" s="776" t="s">
        <v>2127</v>
      </c>
      <c r="BA242" s="776" t="s">
        <v>2127</v>
      </c>
      <c r="BB242" s="776" t="s">
        <v>2127</v>
      </c>
      <c r="BC242" s="776" t="s">
        <v>2127</v>
      </c>
      <c r="BD242" s="776" t="s">
        <v>2127</v>
      </c>
      <c r="BE242" s="776" t="s">
        <v>2127</v>
      </c>
      <c r="BF242" s="776" t="s">
        <v>2127</v>
      </c>
      <c r="BG242" s="776" t="s">
        <v>2127</v>
      </c>
      <c r="BH242" s="776" t="s">
        <v>2127</v>
      </c>
      <c r="BI242" s="776" t="s">
        <v>2127</v>
      </c>
      <c r="BJ242" s="776" t="s">
        <v>2127</v>
      </c>
      <c r="BK242" s="776" t="s">
        <v>2127</v>
      </c>
      <c r="BL242" s="776" t="s">
        <v>2127</v>
      </c>
      <c r="BM242" s="776" t="s">
        <v>2127</v>
      </c>
      <c r="BN242" s="776" t="s">
        <v>2127</v>
      </c>
      <c r="BO242" s="776" t="s">
        <v>2127</v>
      </c>
      <c r="BP242" s="776" t="s">
        <v>2127</v>
      </c>
      <c r="BQ242" s="776" t="s">
        <v>2127</v>
      </c>
      <c r="BR242" s="776" t="s">
        <v>2127</v>
      </c>
      <c r="BS242" s="776" t="s">
        <v>2127</v>
      </c>
      <c r="BT242" s="776" t="s">
        <v>2127</v>
      </c>
      <c r="BU242" s="776" t="s">
        <v>2127</v>
      </c>
      <c r="BV242" s="776" t="s">
        <v>2127</v>
      </c>
      <c r="BW242" s="776" t="s">
        <v>2127</v>
      </c>
      <c r="BX242" s="776" t="s">
        <v>2127</v>
      </c>
      <c r="BY242" s="776" t="s">
        <v>2127</v>
      </c>
      <c r="BZ242" s="776" t="s">
        <v>2127</v>
      </c>
      <c r="CA242" s="776" t="s">
        <v>2127</v>
      </c>
      <c r="CB242" s="776" t="s">
        <v>2127</v>
      </c>
      <c r="CC242" s="776" t="s">
        <v>2127</v>
      </c>
      <c r="CD242" s="776" t="s">
        <v>2127</v>
      </c>
      <c r="CE242" s="776" t="s">
        <v>2127</v>
      </c>
      <c r="CF242" s="776" t="s">
        <v>2127</v>
      </c>
      <c r="CG242" s="776" t="s">
        <v>2127</v>
      </c>
      <c r="CH242" s="776" t="s">
        <v>2127</v>
      </c>
      <c r="CI242" s="776" t="s">
        <v>2127</v>
      </c>
      <c r="CJ242" s="776" t="s">
        <v>2127</v>
      </c>
      <c r="CK242" s="776" t="s">
        <v>2127</v>
      </c>
      <c r="CL242" s="776" t="s">
        <v>2127</v>
      </c>
      <c r="CM242" s="776" t="s">
        <v>2127</v>
      </c>
      <c r="CN242" s="776" t="s">
        <v>2127</v>
      </c>
      <c r="CO242" s="776" t="s">
        <v>2127</v>
      </c>
      <c r="CP242" s="776" t="s">
        <v>2127</v>
      </c>
      <c r="CQ242" s="776" t="s">
        <v>2127</v>
      </c>
      <c r="CR242" s="776" t="s">
        <v>2127</v>
      </c>
      <c r="CS242" s="776" t="s">
        <v>2127</v>
      </c>
      <c r="CT242" s="776" t="s">
        <v>2127</v>
      </c>
      <c r="CU242" s="776" t="s">
        <v>2127</v>
      </c>
      <c r="CV242" s="776" t="s">
        <v>2127</v>
      </c>
      <c r="CW242" s="776" t="s">
        <v>2127</v>
      </c>
      <c r="CX242" s="776" t="s">
        <v>2127</v>
      </c>
      <c r="CY242" s="776" t="s">
        <v>2127</v>
      </c>
      <c r="CZ242" s="776" t="s">
        <v>2127</v>
      </c>
      <c r="DA242" s="776" t="s">
        <v>2127</v>
      </c>
      <c r="DB242" s="776" t="s">
        <v>2127</v>
      </c>
      <c r="DC242" s="776" t="s">
        <v>2127</v>
      </c>
      <c r="DD242" s="776" t="s">
        <v>2127</v>
      </c>
      <c r="DE242" s="776" t="s">
        <v>2127</v>
      </c>
      <c r="DF242" s="776" t="s">
        <v>2127</v>
      </c>
      <c r="DG242" s="776" t="s">
        <v>2127</v>
      </c>
      <c r="DH242" s="776" t="s">
        <v>2127</v>
      </c>
      <c r="DI242" s="776" t="s">
        <v>2127</v>
      </c>
      <c r="DJ242" s="776" t="s">
        <v>2127</v>
      </c>
      <c r="DK242" s="776" t="s">
        <v>2127</v>
      </c>
      <c r="DL242" s="776" t="s">
        <v>2127</v>
      </c>
      <c r="DM242" s="776" t="s">
        <v>2127</v>
      </c>
      <c r="DN242" s="776" t="s">
        <v>2127</v>
      </c>
      <c r="DO242" s="776" t="s">
        <v>2127</v>
      </c>
      <c r="DP242" s="776" t="s">
        <v>2127</v>
      </c>
    </row>
    <row r="243" spans="1:120" x14ac:dyDescent="0.2">
      <c r="A243" s="637" t="s">
        <v>2273</v>
      </c>
      <c r="B243" s="772" t="str" cm="1">
        <f t="array" ref="B243">IFERROR(INDEX(Kulturen[HF],_xlfn.AGGREGATE(15,6,(ROW(Kulturen[Auswahl])-7)/(--(SEARCH("x",Kulturen[Auswahl])&gt;0)),ROW()-7),1),"")</f>
        <v>Ballonrebe (Kraut)</v>
      </c>
      <c r="C243" s="772" t="str">
        <f>IF(Kulturen[[#This Row],[HF]]=$D$373,IF($C$6=0,0,"x"),IF($C$6=0,"x",Vorauswahl!C242))</f>
        <v>x</v>
      </c>
      <c r="D243" s="938" t="s">
        <v>1984</v>
      </c>
      <c r="E243" s="938" t="s">
        <v>1984</v>
      </c>
      <c r="F243" s="938" t="s">
        <v>913</v>
      </c>
      <c r="G243" s="938">
        <v>14</v>
      </c>
      <c r="H243" s="938">
        <v>8</v>
      </c>
      <c r="I243" s="938">
        <v>1</v>
      </c>
      <c r="J243" s="938">
        <v>14</v>
      </c>
      <c r="K243" s="938">
        <v>0.11</v>
      </c>
      <c r="L243" s="938">
        <v>0.12</v>
      </c>
      <c r="M243" s="938">
        <v>720</v>
      </c>
      <c r="N243" s="938">
        <v>0</v>
      </c>
      <c r="O243" s="938">
        <v>1</v>
      </c>
      <c r="P243" s="938">
        <v>0</v>
      </c>
      <c r="Q243" s="938">
        <v>290</v>
      </c>
      <c r="R243" s="938">
        <v>72</v>
      </c>
      <c r="S243" s="938">
        <v>29</v>
      </c>
      <c r="T243" s="938">
        <v>29</v>
      </c>
      <c r="U243" s="938">
        <v>0</v>
      </c>
      <c r="V243" s="938">
        <v>1</v>
      </c>
      <c r="W243" s="776">
        <f>IF(Kulturen[[#This Row],[Berechnungsschema]]=13,3,IF(Kulturen[[#This Row],[Berechnungsschema]]=6,2,1))</f>
        <v>1</v>
      </c>
      <c r="X243" s="776">
        <f>IF(Kulturen[[#This Row],[fruchtartengruppe]]=13,Kulturen[[#This Row],[NBedarfswert]],MAX(0,Kulturen[[#This Row],[NBedarfswert]]-Kulturen[[#This Row],[Ertrag]]*Kulturen[[#This Row],[Nfix]]))</f>
        <v>290</v>
      </c>
      <c r="Y243" s="776" t="s">
        <v>2127</v>
      </c>
      <c r="Z243" s="776" t="s">
        <v>2127</v>
      </c>
      <c r="AA243" s="776" t="s">
        <v>2127</v>
      </c>
      <c r="AB243" s="776" t="s">
        <v>2127</v>
      </c>
      <c r="AC243" s="776" t="s">
        <v>2127</v>
      </c>
      <c r="AD243" s="776" t="s">
        <v>2127</v>
      </c>
      <c r="AE243" s="776" t="s">
        <v>2127</v>
      </c>
      <c r="AF243" s="776" t="s">
        <v>2127</v>
      </c>
      <c r="AG243" s="776" t="s">
        <v>2127</v>
      </c>
      <c r="AH243" s="776" t="s">
        <v>2127</v>
      </c>
      <c r="AI243" s="776" t="s">
        <v>2127</v>
      </c>
      <c r="AJ243" s="776" t="s">
        <v>2127</v>
      </c>
      <c r="AK243" s="776" t="s">
        <v>2127</v>
      </c>
      <c r="AL243" s="776" t="s">
        <v>2127</v>
      </c>
      <c r="AM243" s="776" t="s">
        <v>2127</v>
      </c>
      <c r="AN243" s="776" t="s">
        <v>2127</v>
      </c>
      <c r="AO243" s="776" t="s">
        <v>2127</v>
      </c>
      <c r="AP243" s="776" t="s">
        <v>2127</v>
      </c>
      <c r="AQ243" s="776" t="s">
        <v>2127</v>
      </c>
      <c r="AR243" s="776" t="s">
        <v>2127</v>
      </c>
      <c r="AS243" s="776" t="s">
        <v>2127</v>
      </c>
      <c r="AT243" s="776" t="s">
        <v>2127</v>
      </c>
      <c r="AU243" s="776" t="s">
        <v>2127</v>
      </c>
      <c r="AV243" s="776" t="s">
        <v>2127</v>
      </c>
      <c r="AW243" s="776" t="s">
        <v>2127</v>
      </c>
      <c r="AX243" s="776" t="s">
        <v>2127</v>
      </c>
      <c r="AY243" s="776" t="s">
        <v>2127</v>
      </c>
      <c r="AZ243" s="776" t="s">
        <v>2127</v>
      </c>
      <c r="BA243" s="776" t="s">
        <v>2127</v>
      </c>
      <c r="BB243" s="776" t="s">
        <v>2127</v>
      </c>
      <c r="BC243" s="776" t="s">
        <v>2127</v>
      </c>
      <c r="BD243" s="776" t="s">
        <v>2127</v>
      </c>
      <c r="BE243" s="776" t="s">
        <v>2127</v>
      </c>
      <c r="BF243" s="776" t="s">
        <v>2127</v>
      </c>
      <c r="BG243" s="776" t="s">
        <v>2127</v>
      </c>
      <c r="BH243" s="776" t="s">
        <v>2127</v>
      </c>
      <c r="BI243" s="776" t="s">
        <v>2127</v>
      </c>
      <c r="BJ243" s="776" t="s">
        <v>2127</v>
      </c>
      <c r="BK243" s="776" t="s">
        <v>2127</v>
      </c>
      <c r="BL243" s="776" t="s">
        <v>2127</v>
      </c>
      <c r="BM243" s="776" t="s">
        <v>2127</v>
      </c>
      <c r="BN243" s="776" t="s">
        <v>2127</v>
      </c>
      <c r="BO243" s="776" t="s">
        <v>2127</v>
      </c>
      <c r="BP243" s="776" t="s">
        <v>2127</v>
      </c>
      <c r="BQ243" s="776" t="s">
        <v>2127</v>
      </c>
      <c r="BR243" s="776" t="s">
        <v>2127</v>
      </c>
      <c r="BS243" s="776" t="s">
        <v>2127</v>
      </c>
      <c r="BT243" s="776" t="s">
        <v>2127</v>
      </c>
      <c r="BU243" s="776" t="s">
        <v>2127</v>
      </c>
      <c r="BV243" s="776" t="s">
        <v>2127</v>
      </c>
      <c r="BW243" s="776" t="s">
        <v>2127</v>
      </c>
      <c r="BX243" s="776" t="s">
        <v>2127</v>
      </c>
      <c r="BY243" s="776" t="s">
        <v>2127</v>
      </c>
      <c r="BZ243" s="776" t="s">
        <v>2127</v>
      </c>
      <c r="CA243" s="776" t="s">
        <v>2127</v>
      </c>
      <c r="CB243" s="776" t="s">
        <v>2127</v>
      </c>
      <c r="CC243" s="776" t="s">
        <v>2127</v>
      </c>
      <c r="CD243" s="776" t="s">
        <v>2127</v>
      </c>
      <c r="CE243" s="776" t="s">
        <v>2127</v>
      </c>
      <c r="CF243" s="776" t="s">
        <v>2127</v>
      </c>
      <c r="CG243" s="776" t="s">
        <v>2127</v>
      </c>
      <c r="CH243" s="776" t="s">
        <v>2127</v>
      </c>
      <c r="CI243" s="776" t="s">
        <v>2127</v>
      </c>
      <c r="CJ243" s="776" t="s">
        <v>2127</v>
      </c>
      <c r="CK243" s="776" t="s">
        <v>2127</v>
      </c>
      <c r="CL243" s="776" t="s">
        <v>2127</v>
      </c>
      <c r="CM243" s="776" t="s">
        <v>2127</v>
      </c>
      <c r="CN243" s="776" t="s">
        <v>2127</v>
      </c>
      <c r="CO243" s="776" t="s">
        <v>2127</v>
      </c>
      <c r="CP243" s="776" t="s">
        <v>2127</v>
      </c>
      <c r="CQ243" s="776" t="s">
        <v>2127</v>
      </c>
      <c r="CR243" s="776" t="s">
        <v>2127</v>
      </c>
      <c r="CS243" s="776" t="s">
        <v>2127</v>
      </c>
      <c r="CT243" s="776" t="s">
        <v>2127</v>
      </c>
      <c r="CU243" s="776" t="s">
        <v>2127</v>
      </c>
      <c r="CV243" s="776" t="s">
        <v>2127</v>
      </c>
      <c r="CW243" s="776" t="s">
        <v>2127</v>
      </c>
      <c r="CX243" s="776" t="s">
        <v>2127</v>
      </c>
      <c r="CY243" s="776" t="s">
        <v>2127</v>
      </c>
      <c r="CZ243" s="776" t="s">
        <v>2127</v>
      </c>
      <c r="DA243" s="776" t="s">
        <v>2127</v>
      </c>
      <c r="DB243" s="776" t="s">
        <v>2127</v>
      </c>
      <c r="DC243" s="776" t="s">
        <v>2127</v>
      </c>
      <c r="DD243" s="776" t="s">
        <v>2127</v>
      </c>
      <c r="DE243" s="776" t="s">
        <v>2127</v>
      </c>
      <c r="DF243" s="776" t="s">
        <v>2127</v>
      </c>
      <c r="DG243" s="776" t="s">
        <v>2127</v>
      </c>
      <c r="DH243" s="776" t="s">
        <v>2127</v>
      </c>
      <c r="DI243" s="776" t="s">
        <v>2127</v>
      </c>
      <c r="DJ243" s="776" t="s">
        <v>2127</v>
      </c>
      <c r="DK243" s="776" t="s">
        <v>2127</v>
      </c>
      <c r="DL243" s="776" t="s">
        <v>2127</v>
      </c>
      <c r="DM243" s="776" t="s">
        <v>2127</v>
      </c>
      <c r="DN243" s="776" t="s">
        <v>2127</v>
      </c>
      <c r="DO243" s="776" t="s">
        <v>2127</v>
      </c>
      <c r="DP243" s="776" t="s">
        <v>2127</v>
      </c>
    </row>
    <row r="244" spans="1:120" x14ac:dyDescent="0.2">
      <c r="A244" s="637"/>
      <c r="B244" s="772" t="str" cm="1">
        <f t="array" ref="B244">IFERROR(INDEX(Kulturen[HF],_xlfn.AGGREGATE(15,6,(ROW(Kulturen[Auswahl])-7)/(--(SEARCH("x",Kulturen[Auswahl])&gt;0)),ROW()-7),1),"")</f>
        <v>Basilikum (Kraut b. Blühbeginn)</v>
      </c>
      <c r="C244" s="772" t="str">
        <f>IF(Kulturen[[#This Row],[HF]]=$D$373,IF($C$6=0,0,"x"),IF($C$6=0,"x",Vorauswahl!C243))</f>
        <v>x</v>
      </c>
      <c r="D244" s="938" t="s">
        <v>1985</v>
      </c>
      <c r="E244" s="938" t="s">
        <v>1985</v>
      </c>
      <c r="F244" s="938" t="s">
        <v>1986</v>
      </c>
      <c r="G244" s="938">
        <v>14</v>
      </c>
      <c r="H244" s="938">
        <v>8</v>
      </c>
      <c r="I244" s="938">
        <v>3</v>
      </c>
      <c r="J244" s="938">
        <v>14</v>
      </c>
      <c r="K244" s="938">
        <v>0.19</v>
      </c>
      <c r="L244" s="938">
        <v>0.19</v>
      </c>
      <c r="M244" s="938">
        <v>300</v>
      </c>
      <c r="N244" s="938">
        <v>0</v>
      </c>
      <c r="O244" s="938">
        <v>1</v>
      </c>
      <c r="P244" s="938">
        <v>0</v>
      </c>
      <c r="Q244" s="938">
        <v>185</v>
      </c>
      <c r="R244" s="938">
        <v>30</v>
      </c>
      <c r="S244" s="938">
        <v>19</v>
      </c>
      <c r="T244" s="938">
        <v>19</v>
      </c>
      <c r="U244" s="938">
        <v>0</v>
      </c>
      <c r="V244" s="938">
        <v>1</v>
      </c>
      <c r="W244" s="776">
        <f>IF(Kulturen[[#This Row],[Berechnungsschema]]=13,3,IF(Kulturen[[#This Row],[Berechnungsschema]]=6,2,1))</f>
        <v>1</v>
      </c>
      <c r="X244" s="776">
        <f>IF(Kulturen[[#This Row],[fruchtartengruppe]]=13,Kulturen[[#This Row],[NBedarfswert]],MAX(0,Kulturen[[#This Row],[NBedarfswert]]-Kulturen[[#This Row],[Ertrag]]*Kulturen[[#This Row],[Nfix]]))</f>
        <v>185</v>
      </c>
      <c r="Y244" s="776" t="s">
        <v>2127</v>
      </c>
      <c r="Z244" s="776" t="s">
        <v>2127</v>
      </c>
      <c r="AA244" s="776" t="s">
        <v>2127</v>
      </c>
      <c r="AB244" s="776" t="s">
        <v>2127</v>
      </c>
      <c r="AC244" s="776" t="s">
        <v>2127</v>
      </c>
      <c r="AD244" s="776" t="s">
        <v>2127</v>
      </c>
      <c r="AE244" s="776" t="s">
        <v>2127</v>
      </c>
      <c r="AF244" s="776" t="s">
        <v>2127</v>
      </c>
      <c r="AG244" s="776" t="s">
        <v>2127</v>
      </c>
      <c r="AH244" s="776" t="s">
        <v>2127</v>
      </c>
      <c r="AI244" s="776" t="s">
        <v>2127</v>
      </c>
      <c r="AJ244" s="776" t="s">
        <v>2127</v>
      </c>
      <c r="AK244" s="776" t="s">
        <v>2127</v>
      </c>
      <c r="AL244" s="776" t="s">
        <v>2127</v>
      </c>
      <c r="AM244" s="776" t="s">
        <v>2127</v>
      </c>
      <c r="AN244" s="776" t="s">
        <v>2127</v>
      </c>
      <c r="AO244" s="776" t="s">
        <v>2127</v>
      </c>
      <c r="AP244" s="776" t="s">
        <v>2127</v>
      </c>
      <c r="AQ244" s="776" t="s">
        <v>2127</v>
      </c>
      <c r="AR244" s="776" t="s">
        <v>2127</v>
      </c>
      <c r="AS244" s="776" t="s">
        <v>2127</v>
      </c>
      <c r="AT244" s="776" t="s">
        <v>2127</v>
      </c>
      <c r="AU244" s="776" t="s">
        <v>2127</v>
      </c>
      <c r="AV244" s="776" t="s">
        <v>2127</v>
      </c>
      <c r="AW244" s="776" t="s">
        <v>2127</v>
      </c>
      <c r="AX244" s="776" t="s">
        <v>2127</v>
      </c>
      <c r="AY244" s="776" t="s">
        <v>2127</v>
      </c>
      <c r="AZ244" s="776" t="s">
        <v>2127</v>
      </c>
      <c r="BA244" s="776" t="s">
        <v>2127</v>
      </c>
      <c r="BB244" s="776" t="s">
        <v>2127</v>
      </c>
      <c r="BC244" s="776" t="s">
        <v>2127</v>
      </c>
      <c r="BD244" s="776" t="s">
        <v>2127</v>
      </c>
      <c r="BE244" s="776" t="s">
        <v>2127</v>
      </c>
      <c r="BF244" s="776" t="s">
        <v>2127</v>
      </c>
      <c r="BG244" s="776" t="s">
        <v>2127</v>
      </c>
      <c r="BH244" s="776" t="s">
        <v>2127</v>
      </c>
      <c r="BI244" s="776" t="s">
        <v>2127</v>
      </c>
      <c r="BJ244" s="776" t="s">
        <v>2127</v>
      </c>
      <c r="BK244" s="776" t="s">
        <v>2127</v>
      </c>
      <c r="BL244" s="776" t="s">
        <v>2127</v>
      </c>
      <c r="BM244" s="776" t="s">
        <v>2127</v>
      </c>
      <c r="BN244" s="776" t="s">
        <v>2127</v>
      </c>
      <c r="BO244" s="776" t="s">
        <v>2127</v>
      </c>
      <c r="BP244" s="776" t="s">
        <v>2127</v>
      </c>
      <c r="BQ244" s="776" t="s">
        <v>2127</v>
      </c>
      <c r="BR244" s="776" t="s">
        <v>2127</v>
      </c>
      <c r="BS244" s="776" t="s">
        <v>2127</v>
      </c>
      <c r="BT244" s="776" t="s">
        <v>2127</v>
      </c>
      <c r="BU244" s="776" t="s">
        <v>2127</v>
      </c>
      <c r="BV244" s="776" t="s">
        <v>2127</v>
      </c>
      <c r="BW244" s="776" t="s">
        <v>2127</v>
      </c>
      <c r="BX244" s="776" t="s">
        <v>2127</v>
      </c>
      <c r="BY244" s="776" t="s">
        <v>2127</v>
      </c>
      <c r="BZ244" s="776" t="s">
        <v>2127</v>
      </c>
      <c r="CA244" s="776" t="s">
        <v>2127</v>
      </c>
      <c r="CB244" s="776" t="s">
        <v>2127</v>
      </c>
      <c r="CC244" s="776" t="s">
        <v>2127</v>
      </c>
      <c r="CD244" s="776" t="s">
        <v>2127</v>
      </c>
      <c r="CE244" s="776" t="s">
        <v>2127</v>
      </c>
      <c r="CF244" s="776" t="s">
        <v>2127</v>
      </c>
      <c r="CG244" s="776" t="s">
        <v>2127</v>
      </c>
      <c r="CH244" s="776" t="s">
        <v>2127</v>
      </c>
      <c r="CI244" s="776" t="s">
        <v>2127</v>
      </c>
      <c r="CJ244" s="776" t="s">
        <v>2127</v>
      </c>
      <c r="CK244" s="776" t="s">
        <v>2127</v>
      </c>
      <c r="CL244" s="776" t="s">
        <v>2127</v>
      </c>
      <c r="CM244" s="776" t="s">
        <v>2127</v>
      </c>
      <c r="CN244" s="776" t="s">
        <v>2127</v>
      </c>
      <c r="CO244" s="776" t="s">
        <v>2127</v>
      </c>
      <c r="CP244" s="776" t="s">
        <v>2127</v>
      </c>
      <c r="CQ244" s="776" t="s">
        <v>2127</v>
      </c>
      <c r="CR244" s="776" t="s">
        <v>2127</v>
      </c>
      <c r="CS244" s="776" t="s">
        <v>2127</v>
      </c>
      <c r="CT244" s="776" t="s">
        <v>2127</v>
      </c>
      <c r="CU244" s="776" t="s">
        <v>2127</v>
      </c>
      <c r="CV244" s="776" t="s">
        <v>2127</v>
      </c>
      <c r="CW244" s="776" t="s">
        <v>2127</v>
      </c>
      <c r="CX244" s="776" t="s">
        <v>2127</v>
      </c>
      <c r="CY244" s="776" t="s">
        <v>2127</v>
      </c>
      <c r="CZ244" s="776" t="s">
        <v>2127</v>
      </c>
      <c r="DA244" s="776" t="s">
        <v>2127</v>
      </c>
      <c r="DB244" s="776" t="s">
        <v>2127</v>
      </c>
      <c r="DC244" s="776" t="s">
        <v>2127</v>
      </c>
      <c r="DD244" s="776" t="s">
        <v>2127</v>
      </c>
      <c r="DE244" s="776" t="s">
        <v>2127</v>
      </c>
      <c r="DF244" s="776" t="s">
        <v>2127</v>
      </c>
      <c r="DG244" s="776" t="s">
        <v>2127</v>
      </c>
      <c r="DH244" s="776" t="s">
        <v>2127</v>
      </c>
      <c r="DI244" s="776" t="s">
        <v>2127</v>
      </c>
      <c r="DJ244" s="776" t="s">
        <v>2127</v>
      </c>
      <c r="DK244" s="776" t="s">
        <v>2127</v>
      </c>
      <c r="DL244" s="776" t="s">
        <v>2127</v>
      </c>
      <c r="DM244" s="776" t="s">
        <v>2127</v>
      </c>
      <c r="DN244" s="776" t="s">
        <v>2127</v>
      </c>
      <c r="DO244" s="776" t="s">
        <v>2127</v>
      </c>
      <c r="DP244" s="776" t="s">
        <v>2127</v>
      </c>
    </row>
    <row r="245" spans="1:120" x14ac:dyDescent="0.2">
      <c r="A245" s="637" t="s">
        <v>2274</v>
      </c>
      <c r="B245" s="772" t="str" cm="1">
        <f t="array" ref="B245">IFERROR(INDEX(Kulturen[HF],_xlfn.AGGREGATE(15,6,(ROW(Kulturen[Auswahl])-7)/(--(SEARCH("x",Kulturen[Auswahl])&gt;0)),ROW()-7),1),"")</f>
        <v>Beinwell (Wurzeln)</v>
      </c>
      <c r="C245" s="772" t="str">
        <f>IF(Kulturen[[#This Row],[HF]]=$D$373,IF($C$6=0,0,"x"),IF($C$6=0,"x",Vorauswahl!C244))</f>
        <v>x</v>
      </c>
      <c r="D245" s="938" t="s">
        <v>814</v>
      </c>
      <c r="E245" s="938" t="s">
        <v>814</v>
      </c>
      <c r="F245" s="938" t="s">
        <v>914</v>
      </c>
      <c r="G245" s="938">
        <v>14</v>
      </c>
      <c r="H245" s="938">
        <v>8</v>
      </c>
      <c r="I245" s="938">
        <v>1</v>
      </c>
      <c r="J245" s="938">
        <v>14</v>
      </c>
      <c r="K245" s="938">
        <v>1.1499999999999999</v>
      </c>
      <c r="L245" s="938">
        <v>3.2</v>
      </c>
      <c r="M245" s="938">
        <v>13</v>
      </c>
      <c r="N245" s="938">
        <v>0</v>
      </c>
      <c r="O245" s="938">
        <v>1</v>
      </c>
      <c r="P245" s="938">
        <v>0</v>
      </c>
      <c r="Q245" s="938">
        <v>95</v>
      </c>
      <c r="R245" s="938">
        <v>1</v>
      </c>
      <c r="S245" s="938">
        <v>10</v>
      </c>
      <c r="T245" s="938">
        <v>10</v>
      </c>
      <c r="U245" s="938">
        <v>0</v>
      </c>
      <c r="V245" s="938">
        <v>1</v>
      </c>
      <c r="W245" s="776">
        <f>IF(Kulturen[[#This Row],[Berechnungsschema]]=13,3,IF(Kulturen[[#This Row],[Berechnungsschema]]=6,2,1))</f>
        <v>1</v>
      </c>
      <c r="X245" s="776">
        <f>IF(Kulturen[[#This Row],[fruchtartengruppe]]=13,Kulturen[[#This Row],[NBedarfswert]],MAX(0,Kulturen[[#This Row],[NBedarfswert]]-Kulturen[[#This Row],[Ertrag]]*Kulturen[[#This Row],[Nfix]]))</f>
        <v>95</v>
      </c>
      <c r="Y245" s="776" t="s">
        <v>2127</v>
      </c>
      <c r="Z245" s="776" t="s">
        <v>2127</v>
      </c>
      <c r="AA245" s="776" t="s">
        <v>2127</v>
      </c>
      <c r="AB245" s="776" t="s">
        <v>2127</v>
      </c>
      <c r="AC245" s="776" t="s">
        <v>2127</v>
      </c>
      <c r="AD245" s="776" t="s">
        <v>2127</v>
      </c>
      <c r="AE245" s="776" t="s">
        <v>2127</v>
      </c>
      <c r="AF245" s="776" t="s">
        <v>2127</v>
      </c>
      <c r="AG245" s="776" t="s">
        <v>2127</v>
      </c>
      <c r="AH245" s="776" t="s">
        <v>2127</v>
      </c>
      <c r="AI245" s="776" t="s">
        <v>2127</v>
      </c>
      <c r="AJ245" s="776" t="s">
        <v>2127</v>
      </c>
      <c r="AK245" s="776" t="s">
        <v>2127</v>
      </c>
      <c r="AL245" s="776" t="s">
        <v>2127</v>
      </c>
      <c r="AM245" s="776" t="s">
        <v>2127</v>
      </c>
      <c r="AN245" s="776" t="s">
        <v>2127</v>
      </c>
      <c r="AO245" s="776" t="s">
        <v>2127</v>
      </c>
      <c r="AP245" s="776" t="s">
        <v>2127</v>
      </c>
      <c r="AQ245" s="776" t="s">
        <v>2127</v>
      </c>
      <c r="AR245" s="776" t="s">
        <v>2127</v>
      </c>
      <c r="AS245" s="776" t="s">
        <v>2127</v>
      </c>
      <c r="AT245" s="776" t="s">
        <v>2127</v>
      </c>
      <c r="AU245" s="776" t="s">
        <v>2127</v>
      </c>
      <c r="AV245" s="776" t="s">
        <v>2127</v>
      </c>
      <c r="AW245" s="776" t="s">
        <v>2127</v>
      </c>
      <c r="AX245" s="776" t="s">
        <v>2127</v>
      </c>
      <c r="AY245" s="776" t="s">
        <v>2127</v>
      </c>
      <c r="AZ245" s="776" t="s">
        <v>2127</v>
      </c>
      <c r="BA245" s="776" t="s">
        <v>2127</v>
      </c>
      <c r="BB245" s="776" t="s">
        <v>2127</v>
      </c>
      <c r="BC245" s="776" t="s">
        <v>2127</v>
      </c>
      <c r="BD245" s="776" t="s">
        <v>2127</v>
      </c>
      <c r="BE245" s="776" t="s">
        <v>2127</v>
      </c>
      <c r="BF245" s="776" t="s">
        <v>2127</v>
      </c>
      <c r="BG245" s="776" t="s">
        <v>2127</v>
      </c>
      <c r="BH245" s="776" t="s">
        <v>2127</v>
      </c>
      <c r="BI245" s="776" t="s">
        <v>2127</v>
      </c>
      <c r="BJ245" s="776" t="s">
        <v>2127</v>
      </c>
      <c r="BK245" s="776" t="s">
        <v>2127</v>
      </c>
      <c r="BL245" s="776" t="s">
        <v>2127</v>
      </c>
      <c r="BM245" s="776" t="s">
        <v>2127</v>
      </c>
      <c r="BN245" s="776" t="s">
        <v>2127</v>
      </c>
      <c r="BO245" s="776" t="s">
        <v>2127</v>
      </c>
      <c r="BP245" s="776" t="s">
        <v>2127</v>
      </c>
      <c r="BQ245" s="776" t="s">
        <v>2127</v>
      </c>
      <c r="BR245" s="776" t="s">
        <v>2127</v>
      </c>
      <c r="BS245" s="776" t="s">
        <v>2127</v>
      </c>
      <c r="BT245" s="776" t="s">
        <v>2127</v>
      </c>
      <c r="BU245" s="776" t="s">
        <v>2127</v>
      </c>
      <c r="BV245" s="776" t="s">
        <v>2127</v>
      </c>
      <c r="BW245" s="776" t="s">
        <v>2127</v>
      </c>
      <c r="BX245" s="776" t="s">
        <v>2127</v>
      </c>
      <c r="BY245" s="776" t="s">
        <v>2127</v>
      </c>
      <c r="BZ245" s="776" t="s">
        <v>2127</v>
      </c>
      <c r="CA245" s="776" t="s">
        <v>2127</v>
      </c>
      <c r="CB245" s="776" t="s">
        <v>2127</v>
      </c>
      <c r="CC245" s="776" t="s">
        <v>2127</v>
      </c>
      <c r="CD245" s="776" t="s">
        <v>2127</v>
      </c>
      <c r="CE245" s="776" t="s">
        <v>2127</v>
      </c>
      <c r="CF245" s="776" t="s">
        <v>2127</v>
      </c>
      <c r="CG245" s="776" t="s">
        <v>2127</v>
      </c>
      <c r="CH245" s="776" t="s">
        <v>2127</v>
      </c>
      <c r="CI245" s="776" t="s">
        <v>2127</v>
      </c>
      <c r="CJ245" s="776" t="s">
        <v>2127</v>
      </c>
      <c r="CK245" s="776" t="s">
        <v>2127</v>
      </c>
      <c r="CL245" s="776" t="s">
        <v>2127</v>
      </c>
      <c r="CM245" s="776" t="s">
        <v>2127</v>
      </c>
      <c r="CN245" s="776" t="s">
        <v>2127</v>
      </c>
      <c r="CO245" s="776" t="s">
        <v>2127</v>
      </c>
      <c r="CP245" s="776" t="s">
        <v>2127</v>
      </c>
      <c r="CQ245" s="776" t="s">
        <v>2127</v>
      </c>
      <c r="CR245" s="776" t="s">
        <v>2127</v>
      </c>
      <c r="CS245" s="776" t="s">
        <v>2127</v>
      </c>
      <c r="CT245" s="776" t="s">
        <v>2127</v>
      </c>
      <c r="CU245" s="776" t="s">
        <v>2127</v>
      </c>
      <c r="CV245" s="776" t="s">
        <v>2127</v>
      </c>
      <c r="CW245" s="776" t="s">
        <v>2127</v>
      </c>
      <c r="CX245" s="776" t="s">
        <v>2127</v>
      </c>
      <c r="CY245" s="776" t="s">
        <v>2127</v>
      </c>
      <c r="CZ245" s="776" t="s">
        <v>2127</v>
      </c>
      <c r="DA245" s="776" t="s">
        <v>2127</v>
      </c>
      <c r="DB245" s="776" t="s">
        <v>2127</v>
      </c>
      <c r="DC245" s="776" t="s">
        <v>2127</v>
      </c>
      <c r="DD245" s="776" t="s">
        <v>2127</v>
      </c>
      <c r="DE245" s="776" t="s">
        <v>2127</v>
      </c>
      <c r="DF245" s="776" t="s">
        <v>2127</v>
      </c>
      <c r="DG245" s="776" t="s">
        <v>2127</v>
      </c>
      <c r="DH245" s="776" t="s">
        <v>2127</v>
      </c>
      <c r="DI245" s="776" t="s">
        <v>2127</v>
      </c>
      <c r="DJ245" s="776" t="s">
        <v>2127</v>
      </c>
      <c r="DK245" s="776" t="s">
        <v>2127</v>
      </c>
      <c r="DL245" s="776" t="s">
        <v>2127</v>
      </c>
      <c r="DM245" s="776" t="s">
        <v>2127</v>
      </c>
      <c r="DN245" s="776" t="s">
        <v>2127</v>
      </c>
      <c r="DO245" s="776" t="s">
        <v>2127</v>
      </c>
      <c r="DP245" s="776" t="s">
        <v>2127</v>
      </c>
    </row>
    <row r="246" spans="1:120" x14ac:dyDescent="0.2">
      <c r="A246" s="637" t="s">
        <v>2275</v>
      </c>
      <c r="B246" s="772" t="str" cm="1">
        <f t="array" ref="B246">IFERROR(INDEX(Kulturen[HF],_xlfn.AGGREGATE(15,6,(ROW(Kulturen[Auswahl])-7)/(--(SEARCH("x",Kulturen[Auswahl])&gt;0)),ROW()-7),1),"")</f>
        <v>Bergarnika (Blütenkörbe)</v>
      </c>
      <c r="C246" s="772" t="str">
        <f>IF(Kulturen[[#This Row],[HF]]=$D$373,IF($C$6=0,0,"x"),IF($C$6=0,"x",Vorauswahl!C245))</f>
        <v>x</v>
      </c>
      <c r="D246" s="938" t="s">
        <v>1987</v>
      </c>
      <c r="E246" s="938" t="s">
        <v>1987</v>
      </c>
      <c r="F246" s="938" t="s">
        <v>915</v>
      </c>
      <c r="G246" s="938">
        <v>14</v>
      </c>
      <c r="H246" s="938">
        <v>8</v>
      </c>
      <c r="I246" s="938">
        <v>3</v>
      </c>
      <c r="J246" s="938">
        <v>14</v>
      </c>
      <c r="K246" s="938">
        <v>0.08</v>
      </c>
      <c r="L246" s="938">
        <v>0.08</v>
      </c>
      <c r="M246" s="938">
        <v>150</v>
      </c>
      <c r="N246" s="938">
        <v>0</v>
      </c>
      <c r="O246" s="938">
        <v>2</v>
      </c>
      <c r="P246" s="938">
        <v>0</v>
      </c>
      <c r="Q246" s="938">
        <v>80</v>
      </c>
      <c r="R246" s="938">
        <v>15</v>
      </c>
      <c r="S246" s="938">
        <v>8</v>
      </c>
      <c r="T246" s="938">
        <v>8</v>
      </c>
      <c r="U246" s="938">
        <v>0</v>
      </c>
      <c r="V246" s="938">
        <v>1</v>
      </c>
      <c r="W246" s="776">
        <f>IF(Kulturen[[#This Row],[Berechnungsschema]]=13,3,IF(Kulturen[[#This Row],[Berechnungsschema]]=6,2,1))</f>
        <v>1</v>
      </c>
      <c r="X246" s="776">
        <f>IF(Kulturen[[#This Row],[fruchtartengruppe]]=13,Kulturen[[#This Row],[NBedarfswert]],MAX(0,Kulturen[[#This Row],[NBedarfswert]]-Kulturen[[#This Row],[Ertrag]]*Kulturen[[#This Row],[Nfix]]))</f>
        <v>80</v>
      </c>
      <c r="Y246" s="776" t="s">
        <v>2127</v>
      </c>
      <c r="Z246" s="776" t="s">
        <v>2127</v>
      </c>
      <c r="AA246" s="776" t="s">
        <v>2127</v>
      </c>
      <c r="AB246" s="776" t="s">
        <v>2127</v>
      </c>
      <c r="AC246" s="776" t="s">
        <v>2127</v>
      </c>
      <c r="AD246" s="776" t="s">
        <v>2127</v>
      </c>
      <c r="AE246" s="776" t="s">
        <v>2127</v>
      </c>
      <c r="AF246" s="776" t="s">
        <v>2127</v>
      </c>
      <c r="AG246" s="776" t="s">
        <v>2127</v>
      </c>
      <c r="AH246" s="776" t="s">
        <v>2127</v>
      </c>
      <c r="AI246" s="776" t="s">
        <v>2127</v>
      </c>
      <c r="AJ246" s="776" t="s">
        <v>2127</v>
      </c>
      <c r="AK246" s="776" t="s">
        <v>2127</v>
      </c>
      <c r="AL246" s="776" t="s">
        <v>2127</v>
      </c>
      <c r="AM246" s="776" t="s">
        <v>2127</v>
      </c>
      <c r="AN246" s="776" t="s">
        <v>2127</v>
      </c>
      <c r="AO246" s="776" t="s">
        <v>2127</v>
      </c>
      <c r="AP246" s="776" t="s">
        <v>2127</v>
      </c>
      <c r="AQ246" s="776" t="s">
        <v>2127</v>
      </c>
      <c r="AR246" s="776" t="s">
        <v>2127</v>
      </c>
      <c r="AS246" s="776" t="s">
        <v>2127</v>
      </c>
      <c r="AT246" s="776" t="s">
        <v>2127</v>
      </c>
      <c r="AU246" s="776" t="s">
        <v>2127</v>
      </c>
      <c r="AV246" s="776" t="s">
        <v>2127</v>
      </c>
      <c r="AW246" s="776" t="s">
        <v>2127</v>
      </c>
      <c r="AX246" s="776" t="s">
        <v>2127</v>
      </c>
      <c r="AY246" s="776" t="s">
        <v>2127</v>
      </c>
      <c r="AZ246" s="776" t="s">
        <v>2127</v>
      </c>
      <c r="BA246" s="776" t="s">
        <v>2127</v>
      </c>
      <c r="BB246" s="776" t="s">
        <v>2127</v>
      </c>
      <c r="BC246" s="776" t="s">
        <v>2127</v>
      </c>
      <c r="BD246" s="776" t="s">
        <v>2127</v>
      </c>
      <c r="BE246" s="776" t="s">
        <v>2127</v>
      </c>
      <c r="BF246" s="776" t="s">
        <v>2127</v>
      </c>
      <c r="BG246" s="776" t="s">
        <v>2127</v>
      </c>
      <c r="BH246" s="776" t="s">
        <v>2127</v>
      </c>
      <c r="BI246" s="776" t="s">
        <v>2127</v>
      </c>
      <c r="BJ246" s="776" t="s">
        <v>2127</v>
      </c>
      <c r="BK246" s="776" t="s">
        <v>2127</v>
      </c>
      <c r="BL246" s="776" t="s">
        <v>2127</v>
      </c>
      <c r="BM246" s="776" t="s">
        <v>2127</v>
      </c>
      <c r="BN246" s="776" t="s">
        <v>2127</v>
      </c>
      <c r="BO246" s="776" t="s">
        <v>2127</v>
      </c>
      <c r="BP246" s="776" t="s">
        <v>2127</v>
      </c>
      <c r="BQ246" s="776" t="s">
        <v>2127</v>
      </c>
      <c r="BR246" s="776" t="s">
        <v>2127</v>
      </c>
      <c r="BS246" s="776" t="s">
        <v>2127</v>
      </c>
      <c r="BT246" s="776" t="s">
        <v>2127</v>
      </c>
      <c r="BU246" s="776" t="s">
        <v>2127</v>
      </c>
      <c r="BV246" s="776" t="s">
        <v>2127</v>
      </c>
      <c r="BW246" s="776" t="s">
        <v>2127</v>
      </c>
      <c r="BX246" s="776" t="s">
        <v>2127</v>
      </c>
      <c r="BY246" s="776" t="s">
        <v>2127</v>
      </c>
      <c r="BZ246" s="776" t="s">
        <v>2127</v>
      </c>
      <c r="CA246" s="776" t="s">
        <v>2127</v>
      </c>
      <c r="CB246" s="776" t="s">
        <v>2127</v>
      </c>
      <c r="CC246" s="776" t="s">
        <v>2127</v>
      </c>
      <c r="CD246" s="776" t="s">
        <v>2127</v>
      </c>
      <c r="CE246" s="776" t="s">
        <v>2127</v>
      </c>
      <c r="CF246" s="776" t="s">
        <v>2127</v>
      </c>
      <c r="CG246" s="776" t="s">
        <v>2127</v>
      </c>
      <c r="CH246" s="776" t="s">
        <v>2127</v>
      </c>
      <c r="CI246" s="776" t="s">
        <v>2127</v>
      </c>
      <c r="CJ246" s="776" t="s">
        <v>2127</v>
      </c>
      <c r="CK246" s="776" t="s">
        <v>2127</v>
      </c>
      <c r="CL246" s="776" t="s">
        <v>2127</v>
      </c>
      <c r="CM246" s="776" t="s">
        <v>2127</v>
      </c>
      <c r="CN246" s="776" t="s">
        <v>2127</v>
      </c>
      <c r="CO246" s="776" t="s">
        <v>2127</v>
      </c>
      <c r="CP246" s="776" t="s">
        <v>2127</v>
      </c>
      <c r="CQ246" s="776" t="s">
        <v>2127</v>
      </c>
      <c r="CR246" s="776" t="s">
        <v>2127</v>
      </c>
      <c r="CS246" s="776" t="s">
        <v>2127</v>
      </c>
      <c r="CT246" s="776" t="s">
        <v>2127</v>
      </c>
      <c r="CU246" s="776" t="s">
        <v>2127</v>
      </c>
      <c r="CV246" s="776" t="s">
        <v>2127</v>
      </c>
      <c r="CW246" s="776" t="s">
        <v>2127</v>
      </c>
      <c r="CX246" s="776" t="s">
        <v>2127</v>
      </c>
      <c r="CY246" s="776" t="s">
        <v>2127</v>
      </c>
      <c r="CZ246" s="776" t="s">
        <v>2127</v>
      </c>
      <c r="DA246" s="776" t="s">
        <v>2127</v>
      </c>
      <c r="DB246" s="776" t="s">
        <v>2127</v>
      </c>
      <c r="DC246" s="776" t="s">
        <v>2127</v>
      </c>
      <c r="DD246" s="776" t="s">
        <v>2127</v>
      </c>
      <c r="DE246" s="776" t="s">
        <v>2127</v>
      </c>
      <c r="DF246" s="776" t="s">
        <v>2127</v>
      </c>
      <c r="DG246" s="776" t="s">
        <v>2127</v>
      </c>
      <c r="DH246" s="776" t="s">
        <v>2127</v>
      </c>
      <c r="DI246" s="776" t="s">
        <v>2127</v>
      </c>
      <c r="DJ246" s="776" t="s">
        <v>2127</v>
      </c>
      <c r="DK246" s="776" t="s">
        <v>2127</v>
      </c>
      <c r="DL246" s="776" t="s">
        <v>2127</v>
      </c>
      <c r="DM246" s="776" t="s">
        <v>2127</v>
      </c>
      <c r="DN246" s="776" t="s">
        <v>2127</v>
      </c>
      <c r="DO246" s="776" t="s">
        <v>2127</v>
      </c>
      <c r="DP246" s="776" t="s">
        <v>2127</v>
      </c>
    </row>
    <row r="247" spans="1:120" x14ac:dyDescent="0.2">
      <c r="A247" s="637" t="s">
        <v>2276</v>
      </c>
      <c r="B247" s="772" t="str" cm="1">
        <f t="array" ref="B247">IFERROR(INDEX(Kulturen[HF],_xlfn.AGGREGATE(15,6,(ROW(Kulturen[Auswahl])-7)/(--(SEARCH("x",Kulturen[Auswahl])&gt;0)),ROW()-7),1),"")</f>
        <v>Bergbohnenkraut (Blühendes Kraut)</v>
      </c>
      <c r="C247" s="772" t="str">
        <f>IF(Kulturen[[#This Row],[HF]]=$D$373,IF($C$6=0,0,"x"),IF($C$6=0,"x",Vorauswahl!C246))</f>
        <v>x</v>
      </c>
      <c r="D247" s="938" t="s">
        <v>1988</v>
      </c>
      <c r="E247" s="938" t="s">
        <v>1988</v>
      </c>
      <c r="F247" s="938" t="s">
        <v>916</v>
      </c>
      <c r="G247" s="938">
        <v>14</v>
      </c>
      <c r="H247" s="938">
        <v>8</v>
      </c>
      <c r="I247" s="938">
        <v>1</v>
      </c>
      <c r="J247" s="938">
        <v>14</v>
      </c>
      <c r="K247" s="938">
        <v>1.26</v>
      </c>
      <c r="L247" s="938">
        <v>2.2200000000000002</v>
      </c>
      <c r="M247" s="938">
        <v>25</v>
      </c>
      <c r="N247" s="938">
        <v>0</v>
      </c>
      <c r="O247" s="938">
        <v>1</v>
      </c>
      <c r="P247" s="938">
        <v>0</v>
      </c>
      <c r="Q247" s="938">
        <v>150</v>
      </c>
      <c r="R247" s="938">
        <v>3</v>
      </c>
      <c r="S247" s="938">
        <v>15</v>
      </c>
      <c r="T247" s="938">
        <v>15</v>
      </c>
      <c r="U247" s="938">
        <v>0</v>
      </c>
      <c r="V247" s="938">
        <v>1</v>
      </c>
      <c r="W247" s="776">
        <f>IF(Kulturen[[#This Row],[Berechnungsschema]]=13,3,IF(Kulturen[[#This Row],[Berechnungsschema]]=6,2,1))</f>
        <v>1</v>
      </c>
      <c r="X247" s="776">
        <f>IF(Kulturen[[#This Row],[fruchtartengruppe]]=13,Kulturen[[#This Row],[NBedarfswert]],MAX(0,Kulturen[[#This Row],[NBedarfswert]]-Kulturen[[#This Row],[Ertrag]]*Kulturen[[#This Row],[Nfix]]))</f>
        <v>150</v>
      </c>
      <c r="Y247" s="776" t="s">
        <v>2127</v>
      </c>
      <c r="Z247" s="776" t="s">
        <v>2127</v>
      </c>
      <c r="AA247" s="776" t="s">
        <v>2127</v>
      </c>
      <c r="AB247" s="776" t="s">
        <v>2127</v>
      </c>
      <c r="AC247" s="776" t="s">
        <v>2127</v>
      </c>
      <c r="AD247" s="776" t="s">
        <v>2127</v>
      </c>
      <c r="AE247" s="776" t="s">
        <v>2127</v>
      </c>
      <c r="AF247" s="776" t="s">
        <v>2127</v>
      </c>
      <c r="AG247" s="776" t="s">
        <v>2127</v>
      </c>
      <c r="AH247" s="776" t="s">
        <v>2127</v>
      </c>
      <c r="AI247" s="776" t="s">
        <v>2127</v>
      </c>
      <c r="AJ247" s="776" t="s">
        <v>2127</v>
      </c>
      <c r="AK247" s="776" t="s">
        <v>2127</v>
      </c>
      <c r="AL247" s="776" t="s">
        <v>2127</v>
      </c>
      <c r="AM247" s="776" t="s">
        <v>2127</v>
      </c>
      <c r="AN247" s="776" t="s">
        <v>2127</v>
      </c>
      <c r="AO247" s="776" t="s">
        <v>2127</v>
      </c>
      <c r="AP247" s="776" t="s">
        <v>2127</v>
      </c>
      <c r="AQ247" s="776" t="s">
        <v>2127</v>
      </c>
      <c r="AR247" s="776" t="s">
        <v>2127</v>
      </c>
      <c r="AS247" s="776" t="s">
        <v>2127</v>
      </c>
      <c r="AT247" s="776" t="s">
        <v>2127</v>
      </c>
      <c r="AU247" s="776" t="s">
        <v>2127</v>
      </c>
      <c r="AV247" s="776" t="s">
        <v>2127</v>
      </c>
      <c r="AW247" s="776" t="s">
        <v>2127</v>
      </c>
      <c r="AX247" s="776" t="s">
        <v>2127</v>
      </c>
      <c r="AY247" s="776" t="s">
        <v>2127</v>
      </c>
      <c r="AZ247" s="776" t="s">
        <v>2127</v>
      </c>
      <c r="BA247" s="776" t="s">
        <v>2127</v>
      </c>
      <c r="BB247" s="776" t="s">
        <v>2127</v>
      </c>
      <c r="BC247" s="776" t="s">
        <v>2127</v>
      </c>
      <c r="BD247" s="776" t="s">
        <v>2127</v>
      </c>
      <c r="BE247" s="776" t="s">
        <v>2127</v>
      </c>
      <c r="BF247" s="776" t="s">
        <v>2127</v>
      </c>
      <c r="BG247" s="776" t="s">
        <v>2127</v>
      </c>
      <c r="BH247" s="776" t="s">
        <v>2127</v>
      </c>
      <c r="BI247" s="776" t="s">
        <v>2127</v>
      </c>
      <c r="BJ247" s="776" t="s">
        <v>2127</v>
      </c>
      <c r="BK247" s="776" t="s">
        <v>2127</v>
      </c>
      <c r="BL247" s="776" t="s">
        <v>2127</v>
      </c>
      <c r="BM247" s="776" t="s">
        <v>2127</v>
      </c>
      <c r="BN247" s="776" t="s">
        <v>2127</v>
      </c>
      <c r="BO247" s="776" t="s">
        <v>2127</v>
      </c>
      <c r="BP247" s="776" t="s">
        <v>2127</v>
      </c>
      <c r="BQ247" s="776" t="s">
        <v>2127</v>
      </c>
      <c r="BR247" s="776" t="s">
        <v>2127</v>
      </c>
      <c r="BS247" s="776" t="s">
        <v>2127</v>
      </c>
      <c r="BT247" s="776" t="s">
        <v>2127</v>
      </c>
      <c r="BU247" s="776" t="s">
        <v>2127</v>
      </c>
      <c r="BV247" s="776" t="s">
        <v>2127</v>
      </c>
      <c r="BW247" s="776" t="s">
        <v>2127</v>
      </c>
      <c r="BX247" s="776" t="s">
        <v>2127</v>
      </c>
      <c r="BY247" s="776" t="s">
        <v>2127</v>
      </c>
      <c r="BZ247" s="776" t="s">
        <v>2127</v>
      </c>
      <c r="CA247" s="776" t="s">
        <v>2127</v>
      </c>
      <c r="CB247" s="776" t="s">
        <v>2127</v>
      </c>
      <c r="CC247" s="776" t="s">
        <v>2127</v>
      </c>
      <c r="CD247" s="776" t="s">
        <v>2127</v>
      </c>
      <c r="CE247" s="776" t="s">
        <v>2127</v>
      </c>
      <c r="CF247" s="776" t="s">
        <v>2127</v>
      </c>
      <c r="CG247" s="776" t="s">
        <v>2127</v>
      </c>
      <c r="CH247" s="776" t="s">
        <v>2127</v>
      </c>
      <c r="CI247" s="776" t="s">
        <v>2127</v>
      </c>
      <c r="CJ247" s="776" t="s">
        <v>2127</v>
      </c>
      <c r="CK247" s="776" t="s">
        <v>2127</v>
      </c>
      <c r="CL247" s="776" t="s">
        <v>2127</v>
      </c>
      <c r="CM247" s="776" t="s">
        <v>2127</v>
      </c>
      <c r="CN247" s="776" t="s">
        <v>2127</v>
      </c>
      <c r="CO247" s="776" t="s">
        <v>2127</v>
      </c>
      <c r="CP247" s="776" t="s">
        <v>2127</v>
      </c>
      <c r="CQ247" s="776" t="s">
        <v>2127</v>
      </c>
      <c r="CR247" s="776" t="s">
        <v>2127</v>
      </c>
      <c r="CS247" s="776" t="s">
        <v>2127</v>
      </c>
      <c r="CT247" s="776" t="s">
        <v>2127</v>
      </c>
      <c r="CU247" s="776" t="s">
        <v>2127</v>
      </c>
      <c r="CV247" s="776" t="s">
        <v>2127</v>
      </c>
      <c r="CW247" s="776" t="s">
        <v>2127</v>
      </c>
      <c r="CX247" s="776" t="s">
        <v>2127</v>
      </c>
      <c r="CY247" s="776" t="s">
        <v>2127</v>
      </c>
      <c r="CZ247" s="776" t="s">
        <v>2127</v>
      </c>
      <c r="DA247" s="776" t="s">
        <v>2127</v>
      </c>
      <c r="DB247" s="776" t="s">
        <v>2127</v>
      </c>
      <c r="DC247" s="776" t="s">
        <v>2127</v>
      </c>
      <c r="DD247" s="776" t="s">
        <v>2127</v>
      </c>
      <c r="DE247" s="776" t="s">
        <v>2127</v>
      </c>
      <c r="DF247" s="776" t="s">
        <v>2127</v>
      </c>
      <c r="DG247" s="776" t="s">
        <v>2127</v>
      </c>
      <c r="DH247" s="776" t="s">
        <v>2127</v>
      </c>
      <c r="DI247" s="776" t="s">
        <v>2127</v>
      </c>
      <c r="DJ247" s="776" t="s">
        <v>2127</v>
      </c>
      <c r="DK247" s="776" t="s">
        <v>2127</v>
      </c>
      <c r="DL247" s="776" t="s">
        <v>2127</v>
      </c>
      <c r="DM247" s="776" t="s">
        <v>2127</v>
      </c>
      <c r="DN247" s="776" t="s">
        <v>2127</v>
      </c>
      <c r="DO247" s="776" t="s">
        <v>2127</v>
      </c>
      <c r="DP247" s="776" t="s">
        <v>2127</v>
      </c>
    </row>
    <row r="248" spans="1:120" x14ac:dyDescent="0.2">
      <c r="A248" s="637" t="s">
        <v>2277</v>
      </c>
      <c r="B248" s="772" t="str" cm="1">
        <f t="array" ref="B248">IFERROR(INDEX(Kulturen[HF],_xlfn.AGGREGATE(15,6,(ROW(Kulturen[Auswahl])-7)/(--(SEARCH("x",Kulturen[Auswahl])&gt;0)),ROW()-7),1),"")</f>
        <v>Bertram, Römischer (Wurzeln)</v>
      </c>
      <c r="C248" s="772" t="str">
        <f>IF(Kulturen[[#This Row],[HF]]=$D$373,IF($C$6=0,0,"x"),IF($C$6=0,"x",Vorauswahl!C247))</f>
        <v>x</v>
      </c>
      <c r="D248" s="938" t="s">
        <v>1989</v>
      </c>
      <c r="E248" s="938" t="s">
        <v>1989</v>
      </c>
      <c r="F248" s="938" t="s">
        <v>917</v>
      </c>
      <c r="G248" s="938">
        <v>14</v>
      </c>
      <c r="H248" s="938">
        <v>8</v>
      </c>
      <c r="I248" s="938">
        <v>1</v>
      </c>
      <c r="J248" s="938">
        <v>14</v>
      </c>
      <c r="K248" s="938">
        <v>0.25</v>
      </c>
      <c r="L248" s="938">
        <v>0.42</v>
      </c>
      <c r="M248" s="938">
        <v>75</v>
      </c>
      <c r="N248" s="938">
        <v>0</v>
      </c>
      <c r="O248" s="938">
        <v>1</v>
      </c>
      <c r="P248" s="938">
        <v>0</v>
      </c>
      <c r="Q248" s="938">
        <v>80</v>
      </c>
      <c r="R248" s="938">
        <v>8</v>
      </c>
      <c r="S248" s="938">
        <v>8</v>
      </c>
      <c r="T248" s="938">
        <v>8</v>
      </c>
      <c r="U248" s="938">
        <v>0</v>
      </c>
      <c r="V248" s="938">
        <v>2</v>
      </c>
      <c r="W248" s="776">
        <f>IF(Kulturen[[#This Row],[Berechnungsschema]]=13,3,IF(Kulturen[[#This Row],[Berechnungsschema]]=6,2,1))</f>
        <v>1</v>
      </c>
      <c r="X248" s="776">
        <f>IF(Kulturen[[#This Row],[fruchtartengruppe]]=13,Kulturen[[#This Row],[NBedarfswert]],MAX(0,Kulturen[[#This Row],[NBedarfswert]]-Kulturen[[#This Row],[Ertrag]]*Kulturen[[#This Row],[Nfix]]))</f>
        <v>80</v>
      </c>
      <c r="Y248" s="776" t="s">
        <v>2127</v>
      </c>
      <c r="Z248" s="776" t="s">
        <v>2127</v>
      </c>
      <c r="AA248" s="776" t="s">
        <v>2127</v>
      </c>
      <c r="AB248" s="776" t="s">
        <v>2127</v>
      </c>
      <c r="AC248" s="776" t="s">
        <v>2127</v>
      </c>
      <c r="AD248" s="776" t="s">
        <v>2127</v>
      </c>
      <c r="AE248" s="776" t="s">
        <v>2127</v>
      </c>
      <c r="AF248" s="776" t="s">
        <v>2127</v>
      </c>
      <c r="AG248" s="776" t="s">
        <v>2127</v>
      </c>
      <c r="AH248" s="776" t="s">
        <v>2127</v>
      </c>
      <c r="AI248" s="776" t="s">
        <v>2127</v>
      </c>
      <c r="AJ248" s="776" t="s">
        <v>2127</v>
      </c>
      <c r="AK248" s="776" t="s">
        <v>2127</v>
      </c>
      <c r="AL248" s="776" t="s">
        <v>2127</v>
      </c>
      <c r="AM248" s="776" t="s">
        <v>2127</v>
      </c>
      <c r="AN248" s="776" t="s">
        <v>2127</v>
      </c>
      <c r="AO248" s="776" t="s">
        <v>2127</v>
      </c>
      <c r="AP248" s="776" t="s">
        <v>2127</v>
      </c>
      <c r="AQ248" s="776" t="s">
        <v>2127</v>
      </c>
      <c r="AR248" s="776" t="s">
        <v>2127</v>
      </c>
      <c r="AS248" s="776" t="s">
        <v>2127</v>
      </c>
      <c r="AT248" s="776" t="s">
        <v>2127</v>
      </c>
      <c r="AU248" s="776" t="s">
        <v>2127</v>
      </c>
      <c r="AV248" s="776" t="s">
        <v>2127</v>
      </c>
      <c r="AW248" s="776" t="s">
        <v>2127</v>
      </c>
      <c r="AX248" s="776" t="s">
        <v>2127</v>
      </c>
      <c r="AY248" s="776" t="s">
        <v>2127</v>
      </c>
      <c r="AZ248" s="776" t="s">
        <v>2127</v>
      </c>
      <c r="BA248" s="776" t="s">
        <v>2127</v>
      </c>
      <c r="BB248" s="776" t="s">
        <v>2127</v>
      </c>
      <c r="BC248" s="776" t="s">
        <v>2127</v>
      </c>
      <c r="BD248" s="776" t="s">
        <v>2127</v>
      </c>
      <c r="BE248" s="776" t="s">
        <v>2127</v>
      </c>
      <c r="BF248" s="776" t="s">
        <v>2127</v>
      </c>
      <c r="BG248" s="776" t="s">
        <v>2127</v>
      </c>
      <c r="BH248" s="776" t="s">
        <v>2127</v>
      </c>
      <c r="BI248" s="776" t="s">
        <v>2127</v>
      </c>
      <c r="BJ248" s="776" t="s">
        <v>2127</v>
      </c>
      <c r="BK248" s="776" t="s">
        <v>2127</v>
      </c>
      <c r="BL248" s="776" t="s">
        <v>2127</v>
      </c>
      <c r="BM248" s="776" t="s">
        <v>2127</v>
      </c>
      <c r="BN248" s="776" t="s">
        <v>2127</v>
      </c>
      <c r="BO248" s="776" t="s">
        <v>2127</v>
      </c>
      <c r="BP248" s="776" t="s">
        <v>2127</v>
      </c>
      <c r="BQ248" s="776" t="s">
        <v>2127</v>
      </c>
      <c r="BR248" s="776" t="s">
        <v>2127</v>
      </c>
      <c r="BS248" s="776" t="s">
        <v>2127</v>
      </c>
      <c r="BT248" s="776" t="s">
        <v>2127</v>
      </c>
      <c r="BU248" s="776" t="s">
        <v>2127</v>
      </c>
      <c r="BV248" s="776" t="s">
        <v>2127</v>
      </c>
      <c r="BW248" s="776" t="s">
        <v>2127</v>
      </c>
      <c r="BX248" s="776" t="s">
        <v>2127</v>
      </c>
      <c r="BY248" s="776" t="s">
        <v>2127</v>
      </c>
      <c r="BZ248" s="776" t="s">
        <v>2127</v>
      </c>
      <c r="CA248" s="776" t="s">
        <v>2127</v>
      </c>
      <c r="CB248" s="776" t="s">
        <v>2127</v>
      </c>
      <c r="CC248" s="776" t="s">
        <v>2127</v>
      </c>
      <c r="CD248" s="776" t="s">
        <v>2127</v>
      </c>
      <c r="CE248" s="776" t="s">
        <v>2127</v>
      </c>
      <c r="CF248" s="776" t="s">
        <v>2127</v>
      </c>
      <c r="CG248" s="776" t="s">
        <v>2127</v>
      </c>
      <c r="CH248" s="776" t="s">
        <v>2127</v>
      </c>
      <c r="CI248" s="776" t="s">
        <v>2127</v>
      </c>
      <c r="CJ248" s="776" t="s">
        <v>2127</v>
      </c>
      <c r="CK248" s="776" t="s">
        <v>2127</v>
      </c>
      <c r="CL248" s="776" t="s">
        <v>2127</v>
      </c>
      <c r="CM248" s="776" t="s">
        <v>2127</v>
      </c>
      <c r="CN248" s="776" t="s">
        <v>2127</v>
      </c>
      <c r="CO248" s="776" t="s">
        <v>2127</v>
      </c>
      <c r="CP248" s="776" t="s">
        <v>2127</v>
      </c>
      <c r="CQ248" s="776" t="s">
        <v>2127</v>
      </c>
      <c r="CR248" s="776" t="s">
        <v>2127</v>
      </c>
      <c r="CS248" s="776" t="s">
        <v>2127</v>
      </c>
      <c r="CT248" s="776" t="s">
        <v>2127</v>
      </c>
      <c r="CU248" s="776" t="s">
        <v>2127</v>
      </c>
      <c r="CV248" s="776" t="s">
        <v>2127</v>
      </c>
      <c r="CW248" s="776" t="s">
        <v>2127</v>
      </c>
      <c r="CX248" s="776" t="s">
        <v>2127</v>
      </c>
      <c r="CY248" s="776" t="s">
        <v>2127</v>
      </c>
      <c r="CZ248" s="776" t="s">
        <v>2127</v>
      </c>
      <c r="DA248" s="776" t="s">
        <v>2127</v>
      </c>
      <c r="DB248" s="776" t="s">
        <v>2127</v>
      </c>
      <c r="DC248" s="776" t="s">
        <v>2127</v>
      </c>
      <c r="DD248" s="776" t="s">
        <v>2127</v>
      </c>
      <c r="DE248" s="776" t="s">
        <v>2127</v>
      </c>
      <c r="DF248" s="776" t="s">
        <v>2127</v>
      </c>
      <c r="DG248" s="776" t="s">
        <v>2127</v>
      </c>
      <c r="DH248" s="776" t="s">
        <v>2127</v>
      </c>
      <c r="DI248" s="776" t="s">
        <v>2127</v>
      </c>
      <c r="DJ248" s="776" t="s">
        <v>2127</v>
      </c>
      <c r="DK248" s="776" t="s">
        <v>2127</v>
      </c>
      <c r="DL248" s="776" t="s">
        <v>2127</v>
      </c>
      <c r="DM248" s="776" t="s">
        <v>2127</v>
      </c>
      <c r="DN248" s="776" t="s">
        <v>2127</v>
      </c>
      <c r="DO248" s="776" t="s">
        <v>2127</v>
      </c>
      <c r="DP248" s="776" t="s">
        <v>2127</v>
      </c>
    </row>
    <row r="249" spans="1:120" x14ac:dyDescent="0.2">
      <c r="A249" s="637" t="s">
        <v>2278</v>
      </c>
      <c r="B249" s="772" t="str" cm="1">
        <f t="array" ref="B249">IFERROR(INDEX(Kulturen[HF],_xlfn.AGGREGATE(15,6,(ROW(Kulturen[Auswahl])-7)/(--(SEARCH("x",Kulturen[Auswahl])&gt;0)),ROW()-7),1),"")</f>
        <v>Besenbeifuß (A. scoparia) (Kraut)</v>
      </c>
      <c r="C249" s="772" t="str">
        <f>IF(Kulturen[[#This Row],[HF]]=$D$373,IF($C$6=0,0,"x"),IF($C$6=0,"x",Vorauswahl!C248))</f>
        <v>x</v>
      </c>
      <c r="D249" s="938" t="s">
        <v>1990</v>
      </c>
      <c r="E249" s="938" t="s">
        <v>1990</v>
      </c>
      <c r="F249" s="938" t="s">
        <v>918</v>
      </c>
      <c r="G249" s="938">
        <v>14</v>
      </c>
      <c r="H249" s="938">
        <v>8</v>
      </c>
      <c r="I249" s="938">
        <v>3</v>
      </c>
      <c r="J249" s="938">
        <v>14</v>
      </c>
      <c r="K249" s="938">
        <v>0.75</v>
      </c>
      <c r="L249" s="938">
        <v>0.75</v>
      </c>
      <c r="M249" s="938">
        <v>20</v>
      </c>
      <c r="N249" s="938">
        <v>0</v>
      </c>
      <c r="O249" s="938">
        <v>1</v>
      </c>
      <c r="P249" s="938">
        <v>0</v>
      </c>
      <c r="Q249" s="938">
        <v>10</v>
      </c>
      <c r="R249" s="938">
        <v>2</v>
      </c>
      <c r="S249" s="938">
        <v>1</v>
      </c>
      <c r="T249" s="938">
        <v>1</v>
      </c>
      <c r="U249" s="938">
        <v>0</v>
      </c>
      <c r="V249" s="938">
        <v>1</v>
      </c>
      <c r="W249" s="776">
        <f>IF(Kulturen[[#This Row],[Berechnungsschema]]=13,3,IF(Kulturen[[#This Row],[Berechnungsschema]]=6,2,1))</f>
        <v>1</v>
      </c>
      <c r="X249" s="776">
        <f>IF(Kulturen[[#This Row],[fruchtartengruppe]]=13,Kulturen[[#This Row],[NBedarfswert]],MAX(0,Kulturen[[#This Row],[NBedarfswert]]-Kulturen[[#This Row],[Ertrag]]*Kulturen[[#This Row],[Nfix]]))</f>
        <v>10</v>
      </c>
      <c r="Y249" s="776" t="s">
        <v>2127</v>
      </c>
      <c r="Z249" s="776" t="s">
        <v>2127</v>
      </c>
      <c r="AA249" s="776" t="s">
        <v>2127</v>
      </c>
      <c r="AB249" s="776" t="s">
        <v>2127</v>
      </c>
      <c r="AC249" s="776" t="s">
        <v>2127</v>
      </c>
      <c r="AD249" s="776" t="s">
        <v>2127</v>
      </c>
      <c r="AE249" s="776" t="s">
        <v>2127</v>
      </c>
      <c r="AF249" s="776" t="s">
        <v>2127</v>
      </c>
      <c r="AG249" s="776" t="s">
        <v>2127</v>
      </c>
      <c r="AH249" s="776" t="s">
        <v>2127</v>
      </c>
      <c r="AI249" s="776" t="s">
        <v>2127</v>
      </c>
      <c r="AJ249" s="776" t="s">
        <v>2127</v>
      </c>
      <c r="AK249" s="776" t="s">
        <v>2127</v>
      </c>
      <c r="AL249" s="776" t="s">
        <v>2127</v>
      </c>
      <c r="AM249" s="776" t="s">
        <v>2127</v>
      </c>
      <c r="AN249" s="776" t="s">
        <v>2127</v>
      </c>
      <c r="AO249" s="776" t="s">
        <v>2127</v>
      </c>
      <c r="AP249" s="776" t="s">
        <v>2127</v>
      </c>
      <c r="AQ249" s="776" t="s">
        <v>2127</v>
      </c>
      <c r="AR249" s="776" t="s">
        <v>2127</v>
      </c>
      <c r="AS249" s="776" t="s">
        <v>2127</v>
      </c>
      <c r="AT249" s="776" t="s">
        <v>2127</v>
      </c>
      <c r="AU249" s="776" t="s">
        <v>2127</v>
      </c>
      <c r="AV249" s="776" t="s">
        <v>2127</v>
      </c>
      <c r="AW249" s="776" t="s">
        <v>2127</v>
      </c>
      <c r="AX249" s="776" t="s">
        <v>2127</v>
      </c>
      <c r="AY249" s="776" t="s">
        <v>2127</v>
      </c>
      <c r="AZ249" s="776" t="s">
        <v>2127</v>
      </c>
      <c r="BA249" s="776" t="s">
        <v>2127</v>
      </c>
      <c r="BB249" s="776" t="s">
        <v>2127</v>
      </c>
      <c r="BC249" s="776" t="s">
        <v>2127</v>
      </c>
      <c r="BD249" s="776" t="s">
        <v>2127</v>
      </c>
      <c r="BE249" s="776" t="s">
        <v>2127</v>
      </c>
      <c r="BF249" s="776" t="s">
        <v>2127</v>
      </c>
      <c r="BG249" s="776" t="s">
        <v>2127</v>
      </c>
      <c r="BH249" s="776" t="s">
        <v>2127</v>
      </c>
      <c r="BI249" s="776" t="s">
        <v>2127</v>
      </c>
      <c r="BJ249" s="776" t="s">
        <v>2127</v>
      </c>
      <c r="BK249" s="776" t="s">
        <v>2127</v>
      </c>
      <c r="BL249" s="776" t="s">
        <v>2127</v>
      </c>
      <c r="BM249" s="776" t="s">
        <v>2127</v>
      </c>
      <c r="BN249" s="776" t="s">
        <v>2127</v>
      </c>
      <c r="BO249" s="776" t="s">
        <v>2127</v>
      </c>
      <c r="BP249" s="776" t="s">
        <v>2127</v>
      </c>
      <c r="BQ249" s="776" t="s">
        <v>2127</v>
      </c>
      <c r="BR249" s="776" t="s">
        <v>2127</v>
      </c>
      <c r="BS249" s="776" t="s">
        <v>2127</v>
      </c>
      <c r="BT249" s="776" t="s">
        <v>2127</v>
      </c>
      <c r="BU249" s="776" t="s">
        <v>2127</v>
      </c>
      <c r="BV249" s="776" t="s">
        <v>2127</v>
      </c>
      <c r="BW249" s="776" t="s">
        <v>2127</v>
      </c>
      <c r="BX249" s="776" t="s">
        <v>2127</v>
      </c>
      <c r="BY249" s="776" t="s">
        <v>2127</v>
      </c>
      <c r="BZ249" s="776" t="s">
        <v>2127</v>
      </c>
      <c r="CA249" s="776" t="s">
        <v>2127</v>
      </c>
      <c r="CB249" s="776" t="s">
        <v>2127</v>
      </c>
      <c r="CC249" s="776" t="s">
        <v>2127</v>
      </c>
      <c r="CD249" s="776" t="s">
        <v>2127</v>
      </c>
      <c r="CE249" s="776" t="s">
        <v>2127</v>
      </c>
      <c r="CF249" s="776" t="s">
        <v>2127</v>
      </c>
      <c r="CG249" s="776" t="s">
        <v>2127</v>
      </c>
      <c r="CH249" s="776" t="s">
        <v>2127</v>
      </c>
      <c r="CI249" s="776" t="s">
        <v>2127</v>
      </c>
      <c r="CJ249" s="776" t="s">
        <v>2127</v>
      </c>
      <c r="CK249" s="776" t="s">
        <v>2127</v>
      </c>
      <c r="CL249" s="776" t="s">
        <v>2127</v>
      </c>
      <c r="CM249" s="776" t="s">
        <v>2127</v>
      </c>
      <c r="CN249" s="776" t="s">
        <v>2127</v>
      </c>
      <c r="CO249" s="776" t="s">
        <v>2127</v>
      </c>
      <c r="CP249" s="776" t="s">
        <v>2127</v>
      </c>
      <c r="CQ249" s="776" t="s">
        <v>2127</v>
      </c>
      <c r="CR249" s="776" t="s">
        <v>2127</v>
      </c>
      <c r="CS249" s="776" t="s">
        <v>2127</v>
      </c>
      <c r="CT249" s="776" t="s">
        <v>2127</v>
      </c>
      <c r="CU249" s="776" t="s">
        <v>2127</v>
      </c>
      <c r="CV249" s="776" t="s">
        <v>2127</v>
      </c>
      <c r="CW249" s="776" t="s">
        <v>2127</v>
      </c>
      <c r="CX249" s="776" t="s">
        <v>2127</v>
      </c>
      <c r="CY249" s="776" t="s">
        <v>2127</v>
      </c>
      <c r="CZ249" s="776" t="s">
        <v>2127</v>
      </c>
      <c r="DA249" s="776" t="s">
        <v>2127</v>
      </c>
      <c r="DB249" s="776" t="s">
        <v>2127</v>
      </c>
      <c r="DC249" s="776" t="s">
        <v>2127</v>
      </c>
      <c r="DD249" s="776" t="s">
        <v>2127</v>
      </c>
      <c r="DE249" s="776" t="s">
        <v>2127</v>
      </c>
      <c r="DF249" s="776" t="s">
        <v>2127</v>
      </c>
      <c r="DG249" s="776" t="s">
        <v>2127</v>
      </c>
      <c r="DH249" s="776" t="s">
        <v>2127</v>
      </c>
      <c r="DI249" s="776" t="s">
        <v>2127</v>
      </c>
      <c r="DJ249" s="776" t="s">
        <v>2127</v>
      </c>
      <c r="DK249" s="776" t="s">
        <v>2127</v>
      </c>
      <c r="DL249" s="776" t="s">
        <v>2127</v>
      </c>
      <c r="DM249" s="776" t="s">
        <v>2127</v>
      </c>
      <c r="DN249" s="776" t="s">
        <v>2127</v>
      </c>
      <c r="DO249" s="776" t="s">
        <v>2127</v>
      </c>
      <c r="DP249" s="776" t="s">
        <v>2127</v>
      </c>
    </row>
    <row r="250" spans="1:120" x14ac:dyDescent="0.2">
      <c r="A250" s="637"/>
      <c r="B250" s="772" t="str" cm="1">
        <f t="array" ref="B250">IFERROR(INDEX(Kulturen[HF],_xlfn.AGGREGATE(15,6,(ROW(Kulturen[Auswahl])-7)/(--(SEARCH("x",Kulturen[Auswahl])&gt;0)),ROW()-7),1),"")</f>
        <v>Bibernelle, Kleine (Wurzeln)</v>
      </c>
      <c r="C250" s="772" t="str">
        <f>IF(Kulturen[[#This Row],[HF]]=$D$373,IF($C$6=0,0,"x"),IF($C$6=0,"x",Vorauswahl!C249))</f>
        <v>x</v>
      </c>
      <c r="D250" s="938" t="s">
        <v>1991</v>
      </c>
      <c r="E250" s="938" t="s">
        <v>1991</v>
      </c>
      <c r="F250" s="938" t="s">
        <v>1992</v>
      </c>
      <c r="G250" s="938">
        <v>14</v>
      </c>
      <c r="H250" s="938">
        <v>8</v>
      </c>
      <c r="I250" s="938">
        <v>1</v>
      </c>
      <c r="J250" s="938">
        <v>14</v>
      </c>
      <c r="K250" s="938">
        <v>0.35</v>
      </c>
      <c r="L250" s="938">
        <v>0.43</v>
      </c>
      <c r="M250" s="938">
        <v>100</v>
      </c>
      <c r="N250" s="938">
        <v>0</v>
      </c>
      <c r="O250" s="938">
        <v>1</v>
      </c>
      <c r="P250" s="938">
        <v>0</v>
      </c>
      <c r="Q250" s="938">
        <v>85</v>
      </c>
      <c r="R250" s="938">
        <v>10</v>
      </c>
      <c r="S250" s="938">
        <v>9</v>
      </c>
      <c r="T250" s="938">
        <v>9</v>
      </c>
      <c r="U250" s="938">
        <v>0</v>
      </c>
      <c r="V250" s="938">
        <v>1</v>
      </c>
      <c r="W250" s="776">
        <f>IF(Kulturen[[#This Row],[Berechnungsschema]]=13,3,IF(Kulturen[[#This Row],[Berechnungsschema]]=6,2,1))</f>
        <v>1</v>
      </c>
      <c r="X250" s="776">
        <f>IF(Kulturen[[#This Row],[fruchtartengruppe]]=13,Kulturen[[#This Row],[NBedarfswert]],MAX(0,Kulturen[[#This Row],[NBedarfswert]]-Kulturen[[#This Row],[Ertrag]]*Kulturen[[#This Row],[Nfix]]))</f>
        <v>85</v>
      </c>
      <c r="Y250" s="776" t="s">
        <v>2127</v>
      </c>
      <c r="Z250" s="776" t="s">
        <v>2127</v>
      </c>
      <c r="AA250" s="776" t="s">
        <v>2127</v>
      </c>
      <c r="AB250" s="776" t="s">
        <v>2127</v>
      </c>
      <c r="AC250" s="776" t="s">
        <v>2127</v>
      </c>
      <c r="AD250" s="776" t="s">
        <v>2127</v>
      </c>
      <c r="AE250" s="776" t="s">
        <v>2127</v>
      </c>
      <c r="AF250" s="776" t="s">
        <v>2127</v>
      </c>
      <c r="AG250" s="776" t="s">
        <v>2127</v>
      </c>
      <c r="AH250" s="776" t="s">
        <v>2127</v>
      </c>
      <c r="AI250" s="776" t="s">
        <v>2127</v>
      </c>
      <c r="AJ250" s="776" t="s">
        <v>2127</v>
      </c>
      <c r="AK250" s="776" t="s">
        <v>2127</v>
      </c>
      <c r="AL250" s="776" t="s">
        <v>2127</v>
      </c>
      <c r="AM250" s="776" t="s">
        <v>2127</v>
      </c>
      <c r="AN250" s="776" t="s">
        <v>2127</v>
      </c>
      <c r="AO250" s="776" t="s">
        <v>2127</v>
      </c>
      <c r="AP250" s="776" t="s">
        <v>2127</v>
      </c>
      <c r="AQ250" s="776" t="s">
        <v>2127</v>
      </c>
      <c r="AR250" s="776" t="s">
        <v>2127</v>
      </c>
      <c r="AS250" s="776" t="s">
        <v>2127</v>
      </c>
      <c r="AT250" s="776" t="s">
        <v>2127</v>
      </c>
      <c r="AU250" s="776" t="s">
        <v>2127</v>
      </c>
      <c r="AV250" s="776" t="s">
        <v>2127</v>
      </c>
      <c r="AW250" s="776" t="s">
        <v>2127</v>
      </c>
      <c r="AX250" s="776" t="s">
        <v>2127</v>
      </c>
      <c r="AY250" s="776" t="s">
        <v>2127</v>
      </c>
      <c r="AZ250" s="776" t="s">
        <v>2127</v>
      </c>
      <c r="BA250" s="776" t="s">
        <v>2127</v>
      </c>
      <c r="BB250" s="776" t="s">
        <v>2127</v>
      </c>
      <c r="BC250" s="776" t="s">
        <v>2127</v>
      </c>
      <c r="BD250" s="776" t="s">
        <v>2127</v>
      </c>
      <c r="BE250" s="776" t="s">
        <v>2127</v>
      </c>
      <c r="BF250" s="776" t="s">
        <v>2127</v>
      </c>
      <c r="BG250" s="776" t="s">
        <v>2127</v>
      </c>
      <c r="BH250" s="776" t="s">
        <v>2127</v>
      </c>
      <c r="BI250" s="776" t="s">
        <v>2127</v>
      </c>
      <c r="BJ250" s="776" t="s">
        <v>2127</v>
      </c>
      <c r="BK250" s="776" t="s">
        <v>2127</v>
      </c>
      <c r="BL250" s="776" t="s">
        <v>2127</v>
      </c>
      <c r="BM250" s="776" t="s">
        <v>2127</v>
      </c>
      <c r="BN250" s="776" t="s">
        <v>2127</v>
      </c>
      <c r="BO250" s="776" t="s">
        <v>2127</v>
      </c>
      <c r="BP250" s="776" t="s">
        <v>2127</v>
      </c>
      <c r="BQ250" s="776" t="s">
        <v>2127</v>
      </c>
      <c r="BR250" s="776" t="s">
        <v>2127</v>
      </c>
      <c r="BS250" s="776" t="s">
        <v>2127</v>
      </c>
      <c r="BT250" s="776" t="s">
        <v>2127</v>
      </c>
      <c r="BU250" s="776" t="s">
        <v>2127</v>
      </c>
      <c r="BV250" s="776" t="s">
        <v>2127</v>
      </c>
      <c r="BW250" s="776" t="s">
        <v>2127</v>
      </c>
      <c r="BX250" s="776" t="s">
        <v>2127</v>
      </c>
      <c r="BY250" s="776" t="s">
        <v>2127</v>
      </c>
      <c r="BZ250" s="776" t="s">
        <v>2127</v>
      </c>
      <c r="CA250" s="776" t="s">
        <v>2127</v>
      </c>
      <c r="CB250" s="776" t="s">
        <v>2127</v>
      </c>
      <c r="CC250" s="776" t="s">
        <v>2127</v>
      </c>
      <c r="CD250" s="776" t="s">
        <v>2127</v>
      </c>
      <c r="CE250" s="776" t="s">
        <v>2127</v>
      </c>
      <c r="CF250" s="776" t="s">
        <v>2127</v>
      </c>
      <c r="CG250" s="776" t="s">
        <v>2127</v>
      </c>
      <c r="CH250" s="776" t="s">
        <v>2127</v>
      </c>
      <c r="CI250" s="776" t="s">
        <v>2127</v>
      </c>
      <c r="CJ250" s="776" t="s">
        <v>2127</v>
      </c>
      <c r="CK250" s="776" t="s">
        <v>2127</v>
      </c>
      <c r="CL250" s="776" t="s">
        <v>2127</v>
      </c>
      <c r="CM250" s="776" t="s">
        <v>2127</v>
      </c>
      <c r="CN250" s="776" t="s">
        <v>2127</v>
      </c>
      <c r="CO250" s="776" t="s">
        <v>2127</v>
      </c>
      <c r="CP250" s="776" t="s">
        <v>2127</v>
      </c>
      <c r="CQ250" s="776" t="s">
        <v>2127</v>
      </c>
      <c r="CR250" s="776" t="s">
        <v>2127</v>
      </c>
      <c r="CS250" s="776" t="s">
        <v>2127</v>
      </c>
      <c r="CT250" s="776" t="s">
        <v>2127</v>
      </c>
      <c r="CU250" s="776" t="s">
        <v>2127</v>
      </c>
      <c r="CV250" s="776" t="s">
        <v>2127</v>
      </c>
      <c r="CW250" s="776" t="s">
        <v>2127</v>
      </c>
      <c r="CX250" s="776" t="s">
        <v>2127</v>
      </c>
      <c r="CY250" s="776" t="s">
        <v>2127</v>
      </c>
      <c r="CZ250" s="776" t="s">
        <v>2127</v>
      </c>
      <c r="DA250" s="776" t="s">
        <v>2127</v>
      </c>
      <c r="DB250" s="776" t="s">
        <v>2127</v>
      </c>
      <c r="DC250" s="776" t="s">
        <v>2127</v>
      </c>
      <c r="DD250" s="776" t="s">
        <v>2127</v>
      </c>
      <c r="DE250" s="776" t="s">
        <v>2127</v>
      </c>
      <c r="DF250" s="776" t="s">
        <v>2127</v>
      </c>
      <c r="DG250" s="776" t="s">
        <v>2127</v>
      </c>
      <c r="DH250" s="776" t="s">
        <v>2127</v>
      </c>
      <c r="DI250" s="776" t="s">
        <v>2127</v>
      </c>
      <c r="DJ250" s="776" t="s">
        <v>2127</v>
      </c>
      <c r="DK250" s="776" t="s">
        <v>2127</v>
      </c>
      <c r="DL250" s="776" t="s">
        <v>2127</v>
      </c>
      <c r="DM250" s="776" t="s">
        <v>2127</v>
      </c>
      <c r="DN250" s="776" t="s">
        <v>2127</v>
      </c>
      <c r="DO250" s="776" t="s">
        <v>2127</v>
      </c>
      <c r="DP250" s="776" t="s">
        <v>2127</v>
      </c>
    </row>
    <row r="251" spans="1:120" x14ac:dyDescent="0.2">
      <c r="A251" s="637" t="s">
        <v>2279</v>
      </c>
      <c r="B251" s="772" t="str" cm="1">
        <f t="array" ref="B251">IFERROR(INDEX(Kulturen[HF],_xlfn.AGGREGATE(15,6,(ROW(Kulturen[Auswahl])-7)/(--(SEARCH("x",Kulturen[Auswahl])&gt;0)),ROW()-7),1),"")</f>
        <v>Bockshornklee (Samen)</v>
      </c>
      <c r="C251" s="772" t="str">
        <f>IF(Kulturen[[#This Row],[HF]]=$D$373,IF($C$6=0,0,"x"),IF($C$6=0,"x",Vorauswahl!C250))</f>
        <v>x</v>
      </c>
      <c r="D251" s="938" t="s">
        <v>1993</v>
      </c>
      <c r="E251" s="938" t="s">
        <v>1993</v>
      </c>
      <c r="F251" s="938" t="s">
        <v>919</v>
      </c>
      <c r="G251" s="938">
        <v>14</v>
      </c>
      <c r="H251" s="938">
        <v>8</v>
      </c>
      <c r="I251" s="938">
        <v>1</v>
      </c>
      <c r="J251" s="938">
        <v>14</v>
      </c>
      <c r="K251" s="938">
        <v>0.25</v>
      </c>
      <c r="L251" s="938">
        <v>1.25</v>
      </c>
      <c r="M251" s="938">
        <v>20</v>
      </c>
      <c r="N251" s="938">
        <v>0</v>
      </c>
      <c r="O251" s="938">
        <v>1</v>
      </c>
      <c r="P251" s="938">
        <v>0</v>
      </c>
      <c r="Q251" s="938">
        <v>100</v>
      </c>
      <c r="R251" s="938">
        <v>2</v>
      </c>
      <c r="S251" s="938">
        <v>10</v>
      </c>
      <c r="T251" s="938">
        <v>10</v>
      </c>
      <c r="U251" s="938">
        <v>0</v>
      </c>
      <c r="V251" s="938">
        <v>1</v>
      </c>
      <c r="W251" s="776">
        <f>IF(Kulturen[[#This Row],[Berechnungsschema]]=13,3,IF(Kulturen[[#This Row],[Berechnungsschema]]=6,2,1))</f>
        <v>1</v>
      </c>
      <c r="X251" s="776">
        <f>IF(Kulturen[[#This Row],[fruchtartengruppe]]=13,Kulturen[[#This Row],[NBedarfswert]],MAX(0,Kulturen[[#This Row],[NBedarfswert]]-Kulturen[[#This Row],[Ertrag]]*Kulturen[[#This Row],[Nfix]]))</f>
        <v>100</v>
      </c>
      <c r="Y251" s="776" t="s">
        <v>2127</v>
      </c>
      <c r="Z251" s="776" t="s">
        <v>2127</v>
      </c>
      <c r="AA251" s="776" t="s">
        <v>2127</v>
      </c>
      <c r="AB251" s="776" t="s">
        <v>2127</v>
      </c>
      <c r="AC251" s="776" t="s">
        <v>2127</v>
      </c>
      <c r="AD251" s="776" t="s">
        <v>2127</v>
      </c>
      <c r="AE251" s="776" t="s">
        <v>2127</v>
      </c>
      <c r="AF251" s="776" t="s">
        <v>2127</v>
      </c>
      <c r="AG251" s="776" t="s">
        <v>2127</v>
      </c>
      <c r="AH251" s="776" t="s">
        <v>2127</v>
      </c>
      <c r="AI251" s="776" t="s">
        <v>2127</v>
      </c>
      <c r="AJ251" s="776" t="s">
        <v>2127</v>
      </c>
      <c r="AK251" s="776" t="s">
        <v>2127</v>
      </c>
      <c r="AL251" s="776" t="s">
        <v>2127</v>
      </c>
      <c r="AM251" s="776" t="s">
        <v>2127</v>
      </c>
      <c r="AN251" s="776" t="s">
        <v>2127</v>
      </c>
      <c r="AO251" s="776" t="s">
        <v>2127</v>
      </c>
      <c r="AP251" s="776" t="s">
        <v>2127</v>
      </c>
      <c r="AQ251" s="776" t="s">
        <v>2127</v>
      </c>
      <c r="AR251" s="776" t="s">
        <v>2127</v>
      </c>
      <c r="AS251" s="776" t="s">
        <v>2127</v>
      </c>
      <c r="AT251" s="776" t="s">
        <v>2127</v>
      </c>
      <c r="AU251" s="776" t="s">
        <v>2127</v>
      </c>
      <c r="AV251" s="776" t="s">
        <v>2127</v>
      </c>
      <c r="AW251" s="776" t="s">
        <v>2127</v>
      </c>
      <c r="AX251" s="776" t="s">
        <v>2127</v>
      </c>
      <c r="AY251" s="776" t="s">
        <v>2127</v>
      </c>
      <c r="AZ251" s="776" t="s">
        <v>2127</v>
      </c>
      <c r="BA251" s="776" t="s">
        <v>2127</v>
      </c>
      <c r="BB251" s="776" t="s">
        <v>2127</v>
      </c>
      <c r="BC251" s="776" t="s">
        <v>2127</v>
      </c>
      <c r="BD251" s="776" t="s">
        <v>2127</v>
      </c>
      <c r="BE251" s="776" t="s">
        <v>2127</v>
      </c>
      <c r="BF251" s="776" t="s">
        <v>2127</v>
      </c>
      <c r="BG251" s="776" t="s">
        <v>2127</v>
      </c>
      <c r="BH251" s="776" t="s">
        <v>2127</v>
      </c>
      <c r="BI251" s="776" t="s">
        <v>2127</v>
      </c>
      <c r="BJ251" s="776" t="s">
        <v>2127</v>
      </c>
      <c r="BK251" s="776" t="s">
        <v>2127</v>
      </c>
      <c r="BL251" s="776" t="s">
        <v>2127</v>
      </c>
      <c r="BM251" s="776" t="s">
        <v>2127</v>
      </c>
      <c r="BN251" s="776" t="s">
        <v>2127</v>
      </c>
      <c r="BO251" s="776" t="s">
        <v>2127</v>
      </c>
      <c r="BP251" s="776" t="s">
        <v>2127</v>
      </c>
      <c r="BQ251" s="776" t="s">
        <v>2127</v>
      </c>
      <c r="BR251" s="776" t="s">
        <v>2127</v>
      </c>
      <c r="BS251" s="776" t="s">
        <v>2127</v>
      </c>
      <c r="BT251" s="776" t="s">
        <v>2127</v>
      </c>
      <c r="BU251" s="776" t="s">
        <v>2127</v>
      </c>
      <c r="BV251" s="776" t="s">
        <v>2127</v>
      </c>
      <c r="BW251" s="776" t="s">
        <v>2127</v>
      </c>
      <c r="BX251" s="776" t="s">
        <v>2127</v>
      </c>
      <c r="BY251" s="776" t="s">
        <v>2127</v>
      </c>
      <c r="BZ251" s="776" t="s">
        <v>2127</v>
      </c>
      <c r="CA251" s="776" t="s">
        <v>2127</v>
      </c>
      <c r="CB251" s="776" t="s">
        <v>2127</v>
      </c>
      <c r="CC251" s="776" t="s">
        <v>2127</v>
      </c>
      <c r="CD251" s="776" t="s">
        <v>2127</v>
      </c>
      <c r="CE251" s="776" t="s">
        <v>2127</v>
      </c>
      <c r="CF251" s="776" t="s">
        <v>2127</v>
      </c>
      <c r="CG251" s="776" t="s">
        <v>2127</v>
      </c>
      <c r="CH251" s="776" t="s">
        <v>2127</v>
      </c>
      <c r="CI251" s="776" t="s">
        <v>2127</v>
      </c>
      <c r="CJ251" s="776" t="s">
        <v>2127</v>
      </c>
      <c r="CK251" s="776" t="s">
        <v>2127</v>
      </c>
      <c r="CL251" s="776" t="s">
        <v>2127</v>
      </c>
      <c r="CM251" s="776" t="s">
        <v>2127</v>
      </c>
      <c r="CN251" s="776" t="s">
        <v>2127</v>
      </c>
      <c r="CO251" s="776" t="s">
        <v>2127</v>
      </c>
      <c r="CP251" s="776" t="s">
        <v>2127</v>
      </c>
      <c r="CQ251" s="776" t="s">
        <v>2127</v>
      </c>
      <c r="CR251" s="776" t="s">
        <v>2127</v>
      </c>
      <c r="CS251" s="776" t="s">
        <v>2127</v>
      </c>
      <c r="CT251" s="776" t="s">
        <v>2127</v>
      </c>
      <c r="CU251" s="776" t="s">
        <v>2127</v>
      </c>
      <c r="CV251" s="776" t="s">
        <v>2127</v>
      </c>
      <c r="CW251" s="776" t="s">
        <v>2127</v>
      </c>
      <c r="CX251" s="776" t="s">
        <v>2127</v>
      </c>
      <c r="CY251" s="776" t="s">
        <v>2127</v>
      </c>
      <c r="CZ251" s="776" t="s">
        <v>2127</v>
      </c>
      <c r="DA251" s="776" t="s">
        <v>2127</v>
      </c>
      <c r="DB251" s="776" t="s">
        <v>2127</v>
      </c>
      <c r="DC251" s="776" t="s">
        <v>2127</v>
      </c>
      <c r="DD251" s="776" t="s">
        <v>2127</v>
      </c>
      <c r="DE251" s="776" t="s">
        <v>2127</v>
      </c>
      <c r="DF251" s="776" t="s">
        <v>2127</v>
      </c>
      <c r="DG251" s="776" t="s">
        <v>2127</v>
      </c>
      <c r="DH251" s="776" t="s">
        <v>2127</v>
      </c>
      <c r="DI251" s="776" t="s">
        <v>2127</v>
      </c>
      <c r="DJ251" s="776" t="s">
        <v>2127</v>
      </c>
      <c r="DK251" s="776" t="s">
        <v>2127</v>
      </c>
      <c r="DL251" s="776" t="s">
        <v>2127</v>
      </c>
      <c r="DM251" s="776" t="s">
        <v>2127</v>
      </c>
      <c r="DN251" s="776" t="s">
        <v>2127</v>
      </c>
      <c r="DO251" s="776" t="s">
        <v>2127</v>
      </c>
      <c r="DP251" s="776" t="s">
        <v>2127</v>
      </c>
    </row>
    <row r="252" spans="1:120" x14ac:dyDescent="0.2">
      <c r="A252" s="637" t="s">
        <v>2280</v>
      </c>
      <c r="B252" s="772" t="str" cm="1">
        <f t="array" ref="B252">IFERROR(INDEX(Kulturen[HF],_xlfn.AGGREGATE(15,6,(ROW(Kulturen[Auswahl])-7)/(--(SEARCH("x",Kulturen[Auswahl])&gt;0)),ROW()-7),1),"")</f>
        <v>Bohnenkraut, einjährig (Blühendes Kraut)</v>
      </c>
      <c r="C252" s="772" t="str">
        <f>IF(Kulturen[[#This Row],[HF]]=$D$373,IF($C$6=0,0,"x"),IF($C$6=0,"x",Vorauswahl!C251))</f>
        <v>x</v>
      </c>
      <c r="D252" s="938" t="s">
        <v>1994</v>
      </c>
      <c r="E252" s="938" t="s">
        <v>1994</v>
      </c>
      <c r="F252" s="938" t="s">
        <v>920</v>
      </c>
      <c r="G252" s="938">
        <v>14</v>
      </c>
      <c r="H252" s="938">
        <v>8</v>
      </c>
      <c r="I252" s="938">
        <v>1</v>
      </c>
      <c r="J252" s="938">
        <v>14</v>
      </c>
      <c r="K252" s="938">
        <v>0.19</v>
      </c>
      <c r="L252" s="938">
        <v>0.32</v>
      </c>
      <c r="M252" s="938">
        <v>150</v>
      </c>
      <c r="N252" s="938">
        <v>0</v>
      </c>
      <c r="O252" s="938">
        <v>1</v>
      </c>
      <c r="P252" s="938">
        <v>0</v>
      </c>
      <c r="Q252" s="938">
        <v>120</v>
      </c>
      <c r="R252" s="938">
        <v>15</v>
      </c>
      <c r="S252" s="938">
        <v>12</v>
      </c>
      <c r="T252" s="938">
        <v>12</v>
      </c>
      <c r="U252" s="938">
        <v>0</v>
      </c>
      <c r="V252" s="938">
        <v>1</v>
      </c>
      <c r="W252" s="776">
        <f>IF(Kulturen[[#This Row],[Berechnungsschema]]=13,3,IF(Kulturen[[#This Row],[Berechnungsschema]]=6,2,1))</f>
        <v>1</v>
      </c>
      <c r="X252" s="776">
        <f>IF(Kulturen[[#This Row],[fruchtartengruppe]]=13,Kulturen[[#This Row],[NBedarfswert]],MAX(0,Kulturen[[#This Row],[NBedarfswert]]-Kulturen[[#This Row],[Ertrag]]*Kulturen[[#This Row],[Nfix]]))</f>
        <v>120</v>
      </c>
      <c r="Y252" s="776" t="s">
        <v>2127</v>
      </c>
      <c r="Z252" s="776" t="s">
        <v>2127</v>
      </c>
      <c r="AA252" s="776" t="s">
        <v>2127</v>
      </c>
      <c r="AB252" s="776" t="s">
        <v>2127</v>
      </c>
      <c r="AC252" s="776" t="s">
        <v>2127</v>
      </c>
      <c r="AD252" s="776" t="s">
        <v>2127</v>
      </c>
      <c r="AE252" s="776" t="s">
        <v>2127</v>
      </c>
      <c r="AF252" s="776" t="s">
        <v>2127</v>
      </c>
      <c r="AG252" s="776" t="s">
        <v>2127</v>
      </c>
      <c r="AH252" s="776" t="s">
        <v>2127</v>
      </c>
      <c r="AI252" s="776" t="s">
        <v>2127</v>
      </c>
      <c r="AJ252" s="776" t="s">
        <v>2127</v>
      </c>
      <c r="AK252" s="776" t="s">
        <v>2127</v>
      </c>
      <c r="AL252" s="776" t="s">
        <v>2127</v>
      </c>
      <c r="AM252" s="776" t="s">
        <v>2127</v>
      </c>
      <c r="AN252" s="776" t="s">
        <v>2127</v>
      </c>
      <c r="AO252" s="776" t="s">
        <v>2127</v>
      </c>
      <c r="AP252" s="776" t="s">
        <v>2127</v>
      </c>
      <c r="AQ252" s="776" t="s">
        <v>2127</v>
      </c>
      <c r="AR252" s="776" t="s">
        <v>2127</v>
      </c>
      <c r="AS252" s="776" t="s">
        <v>2127</v>
      </c>
      <c r="AT252" s="776" t="s">
        <v>2127</v>
      </c>
      <c r="AU252" s="776" t="s">
        <v>2127</v>
      </c>
      <c r="AV252" s="776" t="s">
        <v>2127</v>
      </c>
      <c r="AW252" s="776" t="s">
        <v>2127</v>
      </c>
      <c r="AX252" s="776" t="s">
        <v>2127</v>
      </c>
      <c r="AY252" s="776" t="s">
        <v>2127</v>
      </c>
      <c r="AZ252" s="776" t="s">
        <v>2127</v>
      </c>
      <c r="BA252" s="776" t="s">
        <v>2127</v>
      </c>
      <c r="BB252" s="776" t="s">
        <v>2127</v>
      </c>
      <c r="BC252" s="776" t="s">
        <v>2127</v>
      </c>
      <c r="BD252" s="776" t="s">
        <v>2127</v>
      </c>
      <c r="BE252" s="776" t="s">
        <v>2127</v>
      </c>
      <c r="BF252" s="776" t="s">
        <v>2127</v>
      </c>
      <c r="BG252" s="776" t="s">
        <v>2127</v>
      </c>
      <c r="BH252" s="776" t="s">
        <v>2127</v>
      </c>
      <c r="BI252" s="776" t="s">
        <v>2127</v>
      </c>
      <c r="BJ252" s="776" t="s">
        <v>2127</v>
      </c>
      <c r="BK252" s="776" t="s">
        <v>2127</v>
      </c>
      <c r="BL252" s="776" t="s">
        <v>2127</v>
      </c>
      <c r="BM252" s="776" t="s">
        <v>2127</v>
      </c>
      <c r="BN252" s="776" t="s">
        <v>2127</v>
      </c>
      <c r="BO252" s="776" t="s">
        <v>2127</v>
      </c>
      <c r="BP252" s="776" t="s">
        <v>2127</v>
      </c>
      <c r="BQ252" s="776" t="s">
        <v>2127</v>
      </c>
      <c r="BR252" s="776" t="s">
        <v>2127</v>
      </c>
      <c r="BS252" s="776" t="s">
        <v>2127</v>
      </c>
      <c r="BT252" s="776" t="s">
        <v>2127</v>
      </c>
      <c r="BU252" s="776" t="s">
        <v>2127</v>
      </c>
      <c r="BV252" s="776" t="s">
        <v>2127</v>
      </c>
      <c r="BW252" s="776" t="s">
        <v>2127</v>
      </c>
      <c r="BX252" s="776" t="s">
        <v>2127</v>
      </c>
      <c r="BY252" s="776" t="s">
        <v>2127</v>
      </c>
      <c r="BZ252" s="776" t="s">
        <v>2127</v>
      </c>
      <c r="CA252" s="776" t="s">
        <v>2127</v>
      </c>
      <c r="CB252" s="776" t="s">
        <v>2127</v>
      </c>
      <c r="CC252" s="776" t="s">
        <v>2127</v>
      </c>
      <c r="CD252" s="776" t="s">
        <v>2127</v>
      </c>
      <c r="CE252" s="776" t="s">
        <v>2127</v>
      </c>
      <c r="CF252" s="776" t="s">
        <v>2127</v>
      </c>
      <c r="CG252" s="776" t="s">
        <v>2127</v>
      </c>
      <c r="CH252" s="776" t="s">
        <v>2127</v>
      </c>
      <c r="CI252" s="776" t="s">
        <v>2127</v>
      </c>
      <c r="CJ252" s="776" t="s">
        <v>2127</v>
      </c>
      <c r="CK252" s="776" t="s">
        <v>2127</v>
      </c>
      <c r="CL252" s="776" t="s">
        <v>2127</v>
      </c>
      <c r="CM252" s="776" t="s">
        <v>2127</v>
      </c>
      <c r="CN252" s="776" t="s">
        <v>2127</v>
      </c>
      <c r="CO252" s="776" t="s">
        <v>2127</v>
      </c>
      <c r="CP252" s="776" t="s">
        <v>2127</v>
      </c>
      <c r="CQ252" s="776" t="s">
        <v>2127</v>
      </c>
      <c r="CR252" s="776" t="s">
        <v>2127</v>
      </c>
      <c r="CS252" s="776" t="s">
        <v>2127</v>
      </c>
      <c r="CT252" s="776" t="s">
        <v>2127</v>
      </c>
      <c r="CU252" s="776" t="s">
        <v>2127</v>
      </c>
      <c r="CV252" s="776" t="s">
        <v>2127</v>
      </c>
      <c r="CW252" s="776" t="s">
        <v>2127</v>
      </c>
      <c r="CX252" s="776" t="s">
        <v>2127</v>
      </c>
      <c r="CY252" s="776" t="s">
        <v>2127</v>
      </c>
      <c r="CZ252" s="776" t="s">
        <v>2127</v>
      </c>
      <c r="DA252" s="776" t="s">
        <v>2127</v>
      </c>
      <c r="DB252" s="776" t="s">
        <v>2127</v>
      </c>
      <c r="DC252" s="776" t="s">
        <v>2127</v>
      </c>
      <c r="DD252" s="776" t="s">
        <v>2127</v>
      </c>
      <c r="DE252" s="776" t="s">
        <v>2127</v>
      </c>
      <c r="DF252" s="776" t="s">
        <v>2127</v>
      </c>
      <c r="DG252" s="776" t="s">
        <v>2127</v>
      </c>
      <c r="DH252" s="776" t="s">
        <v>2127</v>
      </c>
      <c r="DI252" s="776" t="s">
        <v>2127</v>
      </c>
      <c r="DJ252" s="776" t="s">
        <v>2127</v>
      </c>
      <c r="DK252" s="776" t="s">
        <v>2127</v>
      </c>
      <c r="DL252" s="776" t="s">
        <v>2127</v>
      </c>
      <c r="DM252" s="776" t="s">
        <v>2127</v>
      </c>
      <c r="DN252" s="776" t="s">
        <v>2127</v>
      </c>
      <c r="DO252" s="776" t="s">
        <v>2127</v>
      </c>
      <c r="DP252" s="776" t="s">
        <v>2127</v>
      </c>
    </row>
    <row r="253" spans="1:120" x14ac:dyDescent="0.2">
      <c r="A253" s="637"/>
      <c r="B253" s="772" t="str" cm="1">
        <f t="array" ref="B253">IFERROR(INDEX(Kulturen[HF],_xlfn.AGGREGATE(15,6,(ROW(Kulturen[Auswahl])-7)/(--(SEARCH("x",Kulturen[Auswahl])&gt;0)),ROW()-7),1),"")</f>
        <v>Borretsch (Blühendes Kraut)</v>
      </c>
      <c r="C253" s="772" t="str">
        <f>IF(Kulturen[[#This Row],[HF]]=$D$373,IF($C$6=0,0,"x"),IF($C$6=0,"x",Vorauswahl!C252))</f>
        <v>x</v>
      </c>
      <c r="D253" s="938" t="s">
        <v>1995</v>
      </c>
      <c r="E253" s="938" t="s">
        <v>1995</v>
      </c>
      <c r="F253" s="938" t="s">
        <v>1996</v>
      </c>
      <c r="G253" s="938">
        <v>14</v>
      </c>
      <c r="H253" s="938">
        <v>8</v>
      </c>
      <c r="I253" s="938">
        <v>3</v>
      </c>
      <c r="J253" s="938">
        <v>14</v>
      </c>
      <c r="K253" s="938">
        <v>0.26</v>
      </c>
      <c r="L253" s="938">
        <v>0.26</v>
      </c>
      <c r="M253" s="938">
        <v>185</v>
      </c>
      <c r="N253" s="938">
        <v>0</v>
      </c>
      <c r="O253" s="938">
        <v>1</v>
      </c>
      <c r="P253" s="938">
        <v>0</v>
      </c>
      <c r="Q253" s="938">
        <v>150</v>
      </c>
      <c r="R253" s="938">
        <v>19</v>
      </c>
      <c r="S253" s="938">
        <v>15</v>
      </c>
      <c r="T253" s="938">
        <v>15</v>
      </c>
      <c r="U253" s="938">
        <v>0</v>
      </c>
      <c r="V253" s="938">
        <v>1</v>
      </c>
      <c r="W253" s="776">
        <f>IF(Kulturen[[#This Row],[Berechnungsschema]]=13,3,IF(Kulturen[[#This Row],[Berechnungsschema]]=6,2,1))</f>
        <v>1</v>
      </c>
      <c r="X253" s="776">
        <f>IF(Kulturen[[#This Row],[fruchtartengruppe]]=13,Kulturen[[#This Row],[NBedarfswert]],MAX(0,Kulturen[[#This Row],[NBedarfswert]]-Kulturen[[#This Row],[Ertrag]]*Kulturen[[#This Row],[Nfix]]))</f>
        <v>150</v>
      </c>
      <c r="Y253" s="776" t="s">
        <v>2127</v>
      </c>
      <c r="Z253" s="776" t="s">
        <v>2127</v>
      </c>
      <c r="AA253" s="776" t="s">
        <v>2127</v>
      </c>
      <c r="AB253" s="776" t="s">
        <v>2127</v>
      </c>
      <c r="AC253" s="776" t="s">
        <v>2127</v>
      </c>
      <c r="AD253" s="776" t="s">
        <v>2127</v>
      </c>
      <c r="AE253" s="776" t="s">
        <v>2127</v>
      </c>
      <c r="AF253" s="776" t="s">
        <v>2127</v>
      </c>
      <c r="AG253" s="776" t="s">
        <v>2127</v>
      </c>
      <c r="AH253" s="776" t="s">
        <v>2127</v>
      </c>
      <c r="AI253" s="776" t="s">
        <v>2127</v>
      </c>
      <c r="AJ253" s="776" t="s">
        <v>2127</v>
      </c>
      <c r="AK253" s="776" t="s">
        <v>2127</v>
      </c>
      <c r="AL253" s="776" t="s">
        <v>2127</v>
      </c>
      <c r="AM253" s="776" t="s">
        <v>2127</v>
      </c>
      <c r="AN253" s="776" t="s">
        <v>2127</v>
      </c>
      <c r="AO253" s="776" t="s">
        <v>2127</v>
      </c>
      <c r="AP253" s="776" t="s">
        <v>2127</v>
      </c>
      <c r="AQ253" s="776" t="s">
        <v>2127</v>
      </c>
      <c r="AR253" s="776" t="s">
        <v>2127</v>
      </c>
      <c r="AS253" s="776" t="s">
        <v>2127</v>
      </c>
      <c r="AT253" s="776" t="s">
        <v>2127</v>
      </c>
      <c r="AU253" s="776" t="s">
        <v>2127</v>
      </c>
      <c r="AV253" s="776" t="s">
        <v>2127</v>
      </c>
      <c r="AW253" s="776" t="s">
        <v>2127</v>
      </c>
      <c r="AX253" s="776" t="s">
        <v>2127</v>
      </c>
      <c r="AY253" s="776" t="s">
        <v>2127</v>
      </c>
      <c r="AZ253" s="776" t="s">
        <v>2127</v>
      </c>
      <c r="BA253" s="776" t="s">
        <v>2127</v>
      </c>
      <c r="BB253" s="776" t="s">
        <v>2127</v>
      </c>
      <c r="BC253" s="776" t="s">
        <v>2127</v>
      </c>
      <c r="BD253" s="776" t="s">
        <v>2127</v>
      </c>
      <c r="BE253" s="776" t="s">
        <v>2127</v>
      </c>
      <c r="BF253" s="776" t="s">
        <v>2127</v>
      </c>
      <c r="BG253" s="776" t="s">
        <v>2127</v>
      </c>
      <c r="BH253" s="776" t="s">
        <v>2127</v>
      </c>
      <c r="BI253" s="776" t="s">
        <v>2127</v>
      </c>
      <c r="BJ253" s="776" t="s">
        <v>2127</v>
      </c>
      <c r="BK253" s="776" t="s">
        <v>2127</v>
      </c>
      <c r="BL253" s="776" t="s">
        <v>2127</v>
      </c>
      <c r="BM253" s="776" t="s">
        <v>2127</v>
      </c>
      <c r="BN253" s="776" t="s">
        <v>2127</v>
      </c>
      <c r="BO253" s="776" t="s">
        <v>2127</v>
      </c>
      <c r="BP253" s="776" t="s">
        <v>2127</v>
      </c>
      <c r="BQ253" s="776" t="s">
        <v>2127</v>
      </c>
      <c r="BR253" s="776" t="s">
        <v>2127</v>
      </c>
      <c r="BS253" s="776" t="s">
        <v>2127</v>
      </c>
      <c r="BT253" s="776" t="s">
        <v>2127</v>
      </c>
      <c r="BU253" s="776" t="s">
        <v>2127</v>
      </c>
      <c r="BV253" s="776" t="s">
        <v>2127</v>
      </c>
      <c r="BW253" s="776" t="s">
        <v>2127</v>
      </c>
      <c r="BX253" s="776" t="s">
        <v>2127</v>
      </c>
      <c r="BY253" s="776" t="s">
        <v>2127</v>
      </c>
      <c r="BZ253" s="776" t="s">
        <v>2127</v>
      </c>
      <c r="CA253" s="776" t="s">
        <v>2127</v>
      </c>
      <c r="CB253" s="776" t="s">
        <v>2127</v>
      </c>
      <c r="CC253" s="776" t="s">
        <v>2127</v>
      </c>
      <c r="CD253" s="776" t="s">
        <v>2127</v>
      </c>
      <c r="CE253" s="776" t="s">
        <v>2127</v>
      </c>
      <c r="CF253" s="776" t="s">
        <v>2127</v>
      </c>
      <c r="CG253" s="776" t="s">
        <v>2127</v>
      </c>
      <c r="CH253" s="776" t="s">
        <v>2127</v>
      </c>
      <c r="CI253" s="776" t="s">
        <v>2127</v>
      </c>
      <c r="CJ253" s="776" t="s">
        <v>2127</v>
      </c>
      <c r="CK253" s="776" t="s">
        <v>2127</v>
      </c>
      <c r="CL253" s="776" t="s">
        <v>2127</v>
      </c>
      <c r="CM253" s="776" t="s">
        <v>2127</v>
      </c>
      <c r="CN253" s="776" t="s">
        <v>2127</v>
      </c>
      <c r="CO253" s="776" t="s">
        <v>2127</v>
      </c>
      <c r="CP253" s="776" t="s">
        <v>2127</v>
      </c>
      <c r="CQ253" s="776" t="s">
        <v>2127</v>
      </c>
      <c r="CR253" s="776" t="s">
        <v>2127</v>
      </c>
      <c r="CS253" s="776" t="s">
        <v>2127</v>
      </c>
      <c r="CT253" s="776" t="s">
        <v>2127</v>
      </c>
      <c r="CU253" s="776" t="s">
        <v>2127</v>
      </c>
      <c r="CV253" s="776" t="s">
        <v>2127</v>
      </c>
      <c r="CW253" s="776" t="s">
        <v>2127</v>
      </c>
      <c r="CX253" s="776" t="s">
        <v>2127</v>
      </c>
      <c r="CY253" s="776" t="s">
        <v>2127</v>
      </c>
      <c r="CZ253" s="776" t="s">
        <v>2127</v>
      </c>
      <c r="DA253" s="776" t="s">
        <v>2127</v>
      </c>
      <c r="DB253" s="776" t="s">
        <v>2127</v>
      </c>
      <c r="DC253" s="776" t="s">
        <v>2127</v>
      </c>
      <c r="DD253" s="776" t="s">
        <v>2127</v>
      </c>
      <c r="DE253" s="776" t="s">
        <v>2127</v>
      </c>
      <c r="DF253" s="776" t="s">
        <v>2127</v>
      </c>
      <c r="DG253" s="776" t="s">
        <v>2127</v>
      </c>
      <c r="DH253" s="776" t="s">
        <v>2127</v>
      </c>
      <c r="DI253" s="776" t="s">
        <v>2127</v>
      </c>
      <c r="DJ253" s="776" t="s">
        <v>2127</v>
      </c>
      <c r="DK253" s="776" t="s">
        <v>2127</v>
      </c>
      <c r="DL253" s="776" t="s">
        <v>2127</v>
      </c>
      <c r="DM253" s="776" t="s">
        <v>2127</v>
      </c>
      <c r="DN253" s="776" t="s">
        <v>2127</v>
      </c>
      <c r="DO253" s="776" t="s">
        <v>2127</v>
      </c>
      <c r="DP253" s="776" t="s">
        <v>2127</v>
      </c>
    </row>
    <row r="254" spans="1:120" x14ac:dyDescent="0.2">
      <c r="A254" s="637" t="s">
        <v>2281</v>
      </c>
      <c r="B254" s="772" t="str" cm="1">
        <f t="array" ref="B254">IFERROR(INDEX(Kulturen[HF],_xlfn.AGGREGATE(15,6,(ROW(Kulturen[Auswahl])-7)/(--(SEARCH("x",Kulturen[Auswahl])&gt;0)),ROW()-7),1),"")</f>
        <v>Braunelle (Kraut zu Ende der Blüte)</v>
      </c>
      <c r="C254" s="772" t="str">
        <f>IF(Kulturen[[#This Row],[HF]]=$D$373,IF($C$6=0,0,"x"),IF($C$6=0,"x",Vorauswahl!C253))</f>
        <v>x</v>
      </c>
      <c r="D254" s="938" t="s">
        <v>1997</v>
      </c>
      <c r="E254" s="938" t="s">
        <v>1997</v>
      </c>
      <c r="F254" s="938" t="s">
        <v>921</v>
      </c>
      <c r="G254" s="938">
        <v>14</v>
      </c>
      <c r="H254" s="938">
        <v>8</v>
      </c>
      <c r="I254" s="938">
        <v>3</v>
      </c>
      <c r="J254" s="938">
        <v>14</v>
      </c>
      <c r="K254" s="938">
        <v>0.08</v>
      </c>
      <c r="L254" s="938">
        <v>0.08</v>
      </c>
      <c r="M254" s="938">
        <v>150</v>
      </c>
      <c r="N254" s="938">
        <v>0</v>
      </c>
      <c r="O254" s="938">
        <v>2</v>
      </c>
      <c r="P254" s="938">
        <v>0</v>
      </c>
      <c r="Q254" s="938">
        <v>120</v>
      </c>
      <c r="R254" s="938">
        <v>15</v>
      </c>
      <c r="S254" s="938">
        <v>12</v>
      </c>
      <c r="T254" s="938">
        <v>12</v>
      </c>
      <c r="U254" s="938">
        <v>0</v>
      </c>
      <c r="V254" s="938">
        <v>1</v>
      </c>
      <c r="W254" s="776">
        <f>IF(Kulturen[[#This Row],[Berechnungsschema]]=13,3,IF(Kulturen[[#This Row],[Berechnungsschema]]=6,2,1))</f>
        <v>1</v>
      </c>
      <c r="X254" s="776">
        <f>IF(Kulturen[[#This Row],[fruchtartengruppe]]=13,Kulturen[[#This Row],[NBedarfswert]],MAX(0,Kulturen[[#This Row],[NBedarfswert]]-Kulturen[[#This Row],[Ertrag]]*Kulturen[[#This Row],[Nfix]]))</f>
        <v>120</v>
      </c>
      <c r="Y254" s="776" t="s">
        <v>2127</v>
      </c>
      <c r="Z254" s="776" t="s">
        <v>2127</v>
      </c>
      <c r="AA254" s="776" t="s">
        <v>2127</v>
      </c>
      <c r="AB254" s="776" t="s">
        <v>2127</v>
      </c>
      <c r="AC254" s="776" t="s">
        <v>2127</v>
      </c>
      <c r="AD254" s="776" t="s">
        <v>2127</v>
      </c>
      <c r="AE254" s="776" t="s">
        <v>2127</v>
      </c>
      <c r="AF254" s="776" t="s">
        <v>2127</v>
      </c>
      <c r="AG254" s="776" t="s">
        <v>2127</v>
      </c>
      <c r="AH254" s="776" t="s">
        <v>2127</v>
      </c>
      <c r="AI254" s="776" t="s">
        <v>2127</v>
      </c>
      <c r="AJ254" s="776" t="s">
        <v>2127</v>
      </c>
      <c r="AK254" s="776" t="s">
        <v>2127</v>
      </c>
      <c r="AL254" s="776" t="s">
        <v>2127</v>
      </c>
      <c r="AM254" s="776" t="s">
        <v>2127</v>
      </c>
      <c r="AN254" s="776" t="s">
        <v>2127</v>
      </c>
      <c r="AO254" s="776" t="s">
        <v>2127</v>
      </c>
      <c r="AP254" s="776" t="s">
        <v>2127</v>
      </c>
      <c r="AQ254" s="776" t="s">
        <v>2127</v>
      </c>
      <c r="AR254" s="776" t="s">
        <v>2127</v>
      </c>
      <c r="AS254" s="776" t="s">
        <v>2127</v>
      </c>
      <c r="AT254" s="776" t="s">
        <v>2127</v>
      </c>
      <c r="AU254" s="776" t="s">
        <v>2127</v>
      </c>
      <c r="AV254" s="776" t="s">
        <v>2127</v>
      </c>
      <c r="AW254" s="776" t="s">
        <v>2127</v>
      </c>
      <c r="AX254" s="776" t="s">
        <v>2127</v>
      </c>
      <c r="AY254" s="776" t="s">
        <v>2127</v>
      </c>
      <c r="AZ254" s="776" t="s">
        <v>2127</v>
      </c>
      <c r="BA254" s="776" t="s">
        <v>2127</v>
      </c>
      <c r="BB254" s="776" t="s">
        <v>2127</v>
      </c>
      <c r="BC254" s="776" t="s">
        <v>2127</v>
      </c>
      <c r="BD254" s="776" t="s">
        <v>2127</v>
      </c>
      <c r="BE254" s="776" t="s">
        <v>2127</v>
      </c>
      <c r="BF254" s="776" t="s">
        <v>2127</v>
      </c>
      <c r="BG254" s="776" t="s">
        <v>2127</v>
      </c>
      <c r="BH254" s="776" t="s">
        <v>2127</v>
      </c>
      <c r="BI254" s="776" t="s">
        <v>2127</v>
      </c>
      <c r="BJ254" s="776" t="s">
        <v>2127</v>
      </c>
      <c r="BK254" s="776" t="s">
        <v>2127</v>
      </c>
      <c r="BL254" s="776" t="s">
        <v>2127</v>
      </c>
      <c r="BM254" s="776" t="s">
        <v>2127</v>
      </c>
      <c r="BN254" s="776" t="s">
        <v>2127</v>
      </c>
      <c r="BO254" s="776" t="s">
        <v>2127</v>
      </c>
      <c r="BP254" s="776" t="s">
        <v>2127</v>
      </c>
      <c r="BQ254" s="776" t="s">
        <v>2127</v>
      </c>
      <c r="BR254" s="776" t="s">
        <v>2127</v>
      </c>
      <c r="BS254" s="776" t="s">
        <v>2127</v>
      </c>
      <c r="BT254" s="776" t="s">
        <v>2127</v>
      </c>
      <c r="BU254" s="776" t="s">
        <v>2127</v>
      </c>
      <c r="BV254" s="776" t="s">
        <v>2127</v>
      </c>
      <c r="BW254" s="776" t="s">
        <v>2127</v>
      </c>
      <c r="BX254" s="776" t="s">
        <v>2127</v>
      </c>
      <c r="BY254" s="776" t="s">
        <v>2127</v>
      </c>
      <c r="BZ254" s="776" t="s">
        <v>2127</v>
      </c>
      <c r="CA254" s="776" t="s">
        <v>2127</v>
      </c>
      <c r="CB254" s="776" t="s">
        <v>2127</v>
      </c>
      <c r="CC254" s="776" t="s">
        <v>2127</v>
      </c>
      <c r="CD254" s="776" t="s">
        <v>2127</v>
      </c>
      <c r="CE254" s="776" t="s">
        <v>2127</v>
      </c>
      <c r="CF254" s="776" t="s">
        <v>2127</v>
      </c>
      <c r="CG254" s="776" t="s">
        <v>2127</v>
      </c>
      <c r="CH254" s="776" t="s">
        <v>2127</v>
      </c>
      <c r="CI254" s="776" t="s">
        <v>2127</v>
      </c>
      <c r="CJ254" s="776" t="s">
        <v>2127</v>
      </c>
      <c r="CK254" s="776" t="s">
        <v>2127</v>
      </c>
      <c r="CL254" s="776" t="s">
        <v>2127</v>
      </c>
      <c r="CM254" s="776" t="s">
        <v>2127</v>
      </c>
      <c r="CN254" s="776" t="s">
        <v>2127</v>
      </c>
      <c r="CO254" s="776" t="s">
        <v>2127</v>
      </c>
      <c r="CP254" s="776" t="s">
        <v>2127</v>
      </c>
      <c r="CQ254" s="776" t="s">
        <v>2127</v>
      </c>
      <c r="CR254" s="776" t="s">
        <v>2127</v>
      </c>
      <c r="CS254" s="776" t="s">
        <v>2127</v>
      </c>
      <c r="CT254" s="776" t="s">
        <v>2127</v>
      </c>
      <c r="CU254" s="776" t="s">
        <v>2127</v>
      </c>
      <c r="CV254" s="776" t="s">
        <v>2127</v>
      </c>
      <c r="CW254" s="776" t="s">
        <v>2127</v>
      </c>
      <c r="CX254" s="776" t="s">
        <v>2127</v>
      </c>
      <c r="CY254" s="776" t="s">
        <v>2127</v>
      </c>
      <c r="CZ254" s="776" t="s">
        <v>2127</v>
      </c>
      <c r="DA254" s="776" t="s">
        <v>2127</v>
      </c>
      <c r="DB254" s="776" t="s">
        <v>2127</v>
      </c>
      <c r="DC254" s="776" t="s">
        <v>2127</v>
      </c>
      <c r="DD254" s="776" t="s">
        <v>2127</v>
      </c>
      <c r="DE254" s="776" t="s">
        <v>2127</v>
      </c>
      <c r="DF254" s="776" t="s">
        <v>2127</v>
      </c>
      <c r="DG254" s="776" t="s">
        <v>2127</v>
      </c>
      <c r="DH254" s="776" t="s">
        <v>2127</v>
      </c>
      <c r="DI254" s="776" t="s">
        <v>2127</v>
      </c>
      <c r="DJ254" s="776" t="s">
        <v>2127</v>
      </c>
      <c r="DK254" s="776" t="s">
        <v>2127</v>
      </c>
      <c r="DL254" s="776" t="s">
        <v>2127</v>
      </c>
      <c r="DM254" s="776" t="s">
        <v>2127</v>
      </c>
      <c r="DN254" s="776" t="s">
        <v>2127</v>
      </c>
      <c r="DO254" s="776" t="s">
        <v>2127</v>
      </c>
      <c r="DP254" s="776" t="s">
        <v>2127</v>
      </c>
    </row>
    <row r="255" spans="1:120" x14ac:dyDescent="0.2">
      <c r="A255" s="637"/>
      <c r="B255" s="772" t="str" cm="1">
        <f t="array" ref="B255">IFERROR(INDEX(Kulturen[HF],_xlfn.AGGREGATE(15,6,(ROW(Kulturen[Auswahl])-7)/(--(SEARCH("x",Kulturen[Auswahl])&gt;0)),ROW()-7),1),"")</f>
        <v>Brennnessel, Große (Nicht blühendes Kraut)</v>
      </c>
      <c r="C255" s="772" t="str">
        <f>IF(Kulturen[[#This Row],[HF]]=$D$373,IF($C$6=0,0,"x"),IF($C$6=0,"x",Vorauswahl!C254))</f>
        <v>x</v>
      </c>
      <c r="D255" s="938" t="s">
        <v>1998</v>
      </c>
      <c r="E255" s="938" t="s">
        <v>1998</v>
      </c>
      <c r="F255" s="938" t="s">
        <v>1999</v>
      </c>
      <c r="G255" s="938">
        <v>14</v>
      </c>
      <c r="H255" s="938">
        <v>8</v>
      </c>
      <c r="I255" s="938">
        <v>1</v>
      </c>
      <c r="J255" s="938">
        <v>14</v>
      </c>
      <c r="K255" s="938">
        <v>0.23</v>
      </c>
      <c r="L255" s="938">
        <v>0.23</v>
      </c>
      <c r="M255" s="938">
        <v>110</v>
      </c>
      <c r="N255" s="938">
        <v>0</v>
      </c>
      <c r="O255" s="938">
        <v>1</v>
      </c>
      <c r="P255" s="938">
        <v>0</v>
      </c>
      <c r="Q255" s="938">
        <v>120</v>
      </c>
      <c r="R255" s="938">
        <v>11</v>
      </c>
      <c r="S255" s="938">
        <v>12</v>
      </c>
      <c r="T255" s="938">
        <v>12</v>
      </c>
      <c r="U255" s="938">
        <v>0</v>
      </c>
      <c r="V255" s="938">
        <v>1</v>
      </c>
      <c r="W255" s="776">
        <f>IF(Kulturen[[#This Row],[Berechnungsschema]]=13,3,IF(Kulturen[[#This Row],[Berechnungsschema]]=6,2,1))</f>
        <v>1</v>
      </c>
      <c r="X255" s="776">
        <f>IF(Kulturen[[#This Row],[fruchtartengruppe]]=13,Kulturen[[#This Row],[NBedarfswert]],MAX(0,Kulturen[[#This Row],[NBedarfswert]]-Kulturen[[#This Row],[Ertrag]]*Kulturen[[#This Row],[Nfix]]))</f>
        <v>120</v>
      </c>
      <c r="Y255" s="776" t="s">
        <v>2127</v>
      </c>
      <c r="Z255" s="776" t="s">
        <v>2127</v>
      </c>
      <c r="AA255" s="776" t="s">
        <v>2127</v>
      </c>
      <c r="AB255" s="776" t="s">
        <v>2127</v>
      </c>
      <c r="AC255" s="776" t="s">
        <v>2127</v>
      </c>
      <c r="AD255" s="776" t="s">
        <v>2127</v>
      </c>
      <c r="AE255" s="776" t="s">
        <v>2127</v>
      </c>
      <c r="AF255" s="776" t="s">
        <v>2127</v>
      </c>
      <c r="AG255" s="776" t="s">
        <v>2127</v>
      </c>
      <c r="AH255" s="776" t="s">
        <v>2127</v>
      </c>
      <c r="AI255" s="776" t="s">
        <v>2127</v>
      </c>
      <c r="AJ255" s="776" t="s">
        <v>2127</v>
      </c>
      <c r="AK255" s="776" t="s">
        <v>2127</v>
      </c>
      <c r="AL255" s="776" t="s">
        <v>2127</v>
      </c>
      <c r="AM255" s="776" t="s">
        <v>2127</v>
      </c>
      <c r="AN255" s="776" t="s">
        <v>2127</v>
      </c>
      <c r="AO255" s="776" t="s">
        <v>2127</v>
      </c>
      <c r="AP255" s="776" t="s">
        <v>2127</v>
      </c>
      <c r="AQ255" s="776" t="s">
        <v>2127</v>
      </c>
      <c r="AR255" s="776" t="s">
        <v>2127</v>
      </c>
      <c r="AS255" s="776" t="s">
        <v>2127</v>
      </c>
      <c r="AT255" s="776" t="s">
        <v>2127</v>
      </c>
      <c r="AU255" s="776" t="s">
        <v>2127</v>
      </c>
      <c r="AV255" s="776" t="s">
        <v>2127</v>
      </c>
      <c r="AW255" s="776" t="s">
        <v>2127</v>
      </c>
      <c r="AX255" s="776" t="s">
        <v>2127</v>
      </c>
      <c r="AY255" s="776" t="s">
        <v>2127</v>
      </c>
      <c r="AZ255" s="776" t="s">
        <v>2127</v>
      </c>
      <c r="BA255" s="776" t="s">
        <v>2127</v>
      </c>
      <c r="BB255" s="776" t="s">
        <v>2127</v>
      </c>
      <c r="BC255" s="776" t="s">
        <v>2127</v>
      </c>
      <c r="BD255" s="776" t="s">
        <v>2127</v>
      </c>
      <c r="BE255" s="776" t="s">
        <v>2127</v>
      </c>
      <c r="BF255" s="776" t="s">
        <v>2127</v>
      </c>
      <c r="BG255" s="776" t="s">
        <v>2127</v>
      </c>
      <c r="BH255" s="776" t="s">
        <v>2127</v>
      </c>
      <c r="BI255" s="776" t="s">
        <v>2127</v>
      </c>
      <c r="BJ255" s="776" t="s">
        <v>2127</v>
      </c>
      <c r="BK255" s="776" t="s">
        <v>2127</v>
      </c>
      <c r="BL255" s="776" t="s">
        <v>2127</v>
      </c>
      <c r="BM255" s="776" t="s">
        <v>2127</v>
      </c>
      <c r="BN255" s="776" t="s">
        <v>2127</v>
      </c>
      <c r="BO255" s="776" t="s">
        <v>2127</v>
      </c>
      <c r="BP255" s="776" t="s">
        <v>2127</v>
      </c>
      <c r="BQ255" s="776" t="s">
        <v>2127</v>
      </c>
      <c r="BR255" s="776" t="s">
        <v>2127</v>
      </c>
      <c r="BS255" s="776" t="s">
        <v>2127</v>
      </c>
      <c r="BT255" s="776" t="s">
        <v>2127</v>
      </c>
      <c r="BU255" s="776" t="s">
        <v>2127</v>
      </c>
      <c r="BV255" s="776" t="s">
        <v>2127</v>
      </c>
      <c r="BW255" s="776" t="s">
        <v>2127</v>
      </c>
      <c r="BX255" s="776" t="s">
        <v>2127</v>
      </c>
      <c r="BY255" s="776" t="s">
        <v>2127</v>
      </c>
      <c r="BZ255" s="776" t="s">
        <v>2127</v>
      </c>
      <c r="CA255" s="776" t="s">
        <v>2127</v>
      </c>
      <c r="CB255" s="776" t="s">
        <v>2127</v>
      </c>
      <c r="CC255" s="776" t="s">
        <v>2127</v>
      </c>
      <c r="CD255" s="776" t="s">
        <v>2127</v>
      </c>
      <c r="CE255" s="776" t="s">
        <v>2127</v>
      </c>
      <c r="CF255" s="776" t="s">
        <v>2127</v>
      </c>
      <c r="CG255" s="776" t="s">
        <v>2127</v>
      </c>
      <c r="CH255" s="776" t="s">
        <v>2127</v>
      </c>
      <c r="CI255" s="776" t="s">
        <v>2127</v>
      </c>
      <c r="CJ255" s="776" t="s">
        <v>2127</v>
      </c>
      <c r="CK255" s="776" t="s">
        <v>2127</v>
      </c>
      <c r="CL255" s="776" t="s">
        <v>2127</v>
      </c>
      <c r="CM255" s="776" t="s">
        <v>2127</v>
      </c>
      <c r="CN255" s="776" t="s">
        <v>2127</v>
      </c>
      <c r="CO255" s="776" t="s">
        <v>2127</v>
      </c>
      <c r="CP255" s="776" t="s">
        <v>2127</v>
      </c>
      <c r="CQ255" s="776" t="s">
        <v>2127</v>
      </c>
      <c r="CR255" s="776" t="s">
        <v>2127</v>
      </c>
      <c r="CS255" s="776" t="s">
        <v>2127</v>
      </c>
      <c r="CT255" s="776" t="s">
        <v>2127</v>
      </c>
      <c r="CU255" s="776" t="s">
        <v>2127</v>
      </c>
      <c r="CV255" s="776" t="s">
        <v>2127</v>
      </c>
      <c r="CW255" s="776" t="s">
        <v>2127</v>
      </c>
      <c r="CX255" s="776" t="s">
        <v>2127</v>
      </c>
      <c r="CY255" s="776" t="s">
        <v>2127</v>
      </c>
      <c r="CZ255" s="776" t="s">
        <v>2127</v>
      </c>
      <c r="DA255" s="776" t="s">
        <v>2127</v>
      </c>
      <c r="DB255" s="776" t="s">
        <v>2127</v>
      </c>
      <c r="DC255" s="776" t="s">
        <v>2127</v>
      </c>
      <c r="DD255" s="776" t="s">
        <v>2127</v>
      </c>
      <c r="DE255" s="776" t="s">
        <v>2127</v>
      </c>
      <c r="DF255" s="776" t="s">
        <v>2127</v>
      </c>
      <c r="DG255" s="776" t="s">
        <v>2127</v>
      </c>
      <c r="DH255" s="776" t="s">
        <v>2127</v>
      </c>
      <c r="DI255" s="776" t="s">
        <v>2127</v>
      </c>
      <c r="DJ255" s="776" t="s">
        <v>2127</v>
      </c>
      <c r="DK255" s="776" t="s">
        <v>2127</v>
      </c>
      <c r="DL255" s="776" t="s">
        <v>2127</v>
      </c>
      <c r="DM255" s="776" t="s">
        <v>2127</v>
      </c>
      <c r="DN255" s="776" t="s">
        <v>2127</v>
      </c>
      <c r="DO255" s="776" t="s">
        <v>2127</v>
      </c>
      <c r="DP255" s="776" t="s">
        <v>2127</v>
      </c>
    </row>
    <row r="256" spans="1:120" x14ac:dyDescent="0.2">
      <c r="A256" s="637" t="s">
        <v>2282</v>
      </c>
      <c r="B256" s="772" t="str" cm="1">
        <f t="array" ref="B256">IFERROR(INDEX(Kulturen[HF],_xlfn.AGGREGATE(15,6,(ROW(Kulturen[Auswahl])-7)/(--(SEARCH("x",Kulturen[Auswahl])&gt;0)),ROW()-7),1),"")</f>
        <v>Brennnessel, Kleine (Blühendes Kraut)</v>
      </c>
      <c r="C256" s="772" t="str">
        <f>IF(Kulturen[[#This Row],[HF]]=$D$373,IF($C$6=0,0,"x"),IF($C$6=0,"x",Vorauswahl!C255))</f>
        <v>x</v>
      </c>
      <c r="D256" s="938" t="s">
        <v>815</v>
      </c>
      <c r="E256" s="938" t="s">
        <v>815</v>
      </c>
      <c r="F256" s="938" t="s">
        <v>922</v>
      </c>
      <c r="G256" s="938">
        <v>14</v>
      </c>
      <c r="H256" s="938">
        <v>8</v>
      </c>
      <c r="I256" s="938">
        <v>1</v>
      </c>
      <c r="J256" s="938">
        <v>14</v>
      </c>
      <c r="K256" s="938">
        <v>0.16</v>
      </c>
      <c r="L256" s="938">
        <v>0.44</v>
      </c>
      <c r="M256" s="938">
        <v>40</v>
      </c>
      <c r="N256" s="938">
        <v>0</v>
      </c>
      <c r="O256" s="938">
        <v>1</v>
      </c>
      <c r="P256" s="938">
        <v>0</v>
      </c>
      <c r="Q256" s="938">
        <v>70</v>
      </c>
      <c r="R256" s="938">
        <v>4</v>
      </c>
      <c r="S256" s="938">
        <v>7</v>
      </c>
      <c r="T256" s="938">
        <v>7</v>
      </c>
      <c r="U256" s="938">
        <v>0</v>
      </c>
      <c r="V256" s="938">
        <v>1</v>
      </c>
      <c r="W256" s="776">
        <f>IF(Kulturen[[#This Row],[Berechnungsschema]]=13,3,IF(Kulturen[[#This Row],[Berechnungsschema]]=6,2,1))</f>
        <v>1</v>
      </c>
      <c r="X256" s="776">
        <f>IF(Kulturen[[#This Row],[fruchtartengruppe]]=13,Kulturen[[#This Row],[NBedarfswert]],MAX(0,Kulturen[[#This Row],[NBedarfswert]]-Kulturen[[#This Row],[Ertrag]]*Kulturen[[#This Row],[Nfix]]))</f>
        <v>70</v>
      </c>
      <c r="Y256" s="776" t="s">
        <v>2127</v>
      </c>
      <c r="Z256" s="776" t="s">
        <v>2127</v>
      </c>
      <c r="AA256" s="776" t="s">
        <v>2127</v>
      </c>
      <c r="AB256" s="776" t="s">
        <v>2127</v>
      </c>
      <c r="AC256" s="776" t="s">
        <v>2127</v>
      </c>
      <c r="AD256" s="776" t="s">
        <v>2127</v>
      </c>
      <c r="AE256" s="776" t="s">
        <v>2127</v>
      </c>
      <c r="AF256" s="776" t="s">
        <v>2127</v>
      </c>
      <c r="AG256" s="776" t="s">
        <v>2127</v>
      </c>
      <c r="AH256" s="776" t="s">
        <v>2127</v>
      </c>
      <c r="AI256" s="776" t="s">
        <v>2127</v>
      </c>
      <c r="AJ256" s="776" t="s">
        <v>2127</v>
      </c>
      <c r="AK256" s="776" t="s">
        <v>2127</v>
      </c>
      <c r="AL256" s="776" t="s">
        <v>2127</v>
      </c>
      <c r="AM256" s="776" t="s">
        <v>2127</v>
      </c>
      <c r="AN256" s="776" t="s">
        <v>2127</v>
      </c>
      <c r="AO256" s="776" t="s">
        <v>2127</v>
      </c>
      <c r="AP256" s="776" t="s">
        <v>2127</v>
      </c>
      <c r="AQ256" s="776" t="s">
        <v>2127</v>
      </c>
      <c r="AR256" s="776" t="s">
        <v>2127</v>
      </c>
      <c r="AS256" s="776" t="s">
        <v>2127</v>
      </c>
      <c r="AT256" s="776" t="s">
        <v>2127</v>
      </c>
      <c r="AU256" s="776" t="s">
        <v>2127</v>
      </c>
      <c r="AV256" s="776" t="s">
        <v>2127</v>
      </c>
      <c r="AW256" s="776" t="s">
        <v>2127</v>
      </c>
      <c r="AX256" s="776" t="s">
        <v>2127</v>
      </c>
      <c r="AY256" s="776" t="s">
        <v>2127</v>
      </c>
      <c r="AZ256" s="776" t="s">
        <v>2127</v>
      </c>
      <c r="BA256" s="776" t="s">
        <v>2127</v>
      </c>
      <c r="BB256" s="776" t="s">
        <v>2127</v>
      </c>
      <c r="BC256" s="776" t="s">
        <v>2127</v>
      </c>
      <c r="BD256" s="776" t="s">
        <v>2127</v>
      </c>
      <c r="BE256" s="776" t="s">
        <v>2127</v>
      </c>
      <c r="BF256" s="776" t="s">
        <v>2127</v>
      </c>
      <c r="BG256" s="776" t="s">
        <v>2127</v>
      </c>
      <c r="BH256" s="776" t="s">
        <v>2127</v>
      </c>
      <c r="BI256" s="776" t="s">
        <v>2127</v>
      </c>
      <c r="BJ256" s="776" t="s">
        <v>2127</v>
      </c>
      <c r="BK256" s="776" t="s">
        <v>2127</v>
      </c>
      <c r="BL256" s="776" t="s">
        <v>2127</v>
      </c>
      <c r="BM256" s="776" t="s">
        <v>2127</v>
      </c>
      <c r="BN256" s="776" t="s">
        <v>2127</v>
      </c>
      <c r="BO256" s="776" t="s">
        <v>2127</v>
      </c>
      <c r="BP256" s="776" t="s">
        <v>2127</v>
      </c>
      <c r="BQ256" s="776" t="s">
        <v>2127</v>
      </c>
      <c r="BR256" s="776" t="s">
        <v>2127</v>
      </c>
      <c r="BS256" s="776" t="s">
        <v>2127</v>
      </c>
      <c r="BT256" s="776" t="s">
        <v>2127</v>
      </c>
      <c r="BU256" s="776" t="s">
        <v>2127</v>
      </c>
      <c r="BV256" s="776" t="s">
        <v>2127</v>
      </c>
      <c r="BW256" s="776" t="s">
        <v>2127</v>
      </c>
      <c r="BX256" s="776" t="s">
        <v>2127</v>
      </c>
      <c r="BY256" s="776" t="s">
        <v>2127</v>
      </c>
      <c r="BZ256" s="776" t="s">
        <v>2127</v>
      </c>
      <c r="CA256" s="776" t="s">
        <v>2127</v>
      </c>
      <c r="CB256" s="776" t="s">
        <v>2127</v>
      </c>
      <c r="CC256" s="776" t="s">
        <v>2127</v>
      </c>
      <c r="CD256" s="776" t="s">
        <v>2127</v>
      </c>
      <c r="CE256" s="776" t="s">
        <v>2127</v>
      </c>
      <c r="CF256" s="776" t="s">
        <v>2127</v>
      </c>
      <c r="CG256" s="776" t="s">
        <v>2127</v>
      </c>
      <c r="CH256" s="776" t="s">
        <v>2127</v>
      </c>
      <c r="CI256" s="776" t="s">
        <v>2127</v>
      </c>
      <c r="CJ256" s="776" t="s">
        <v>2127</v>
      </c>
      <c r="CK256" s="776" t="s">
        <v>2127</v>
      </c>
      <c r="CL256" s="776" t="s">
        <v>2127</v>
      </c>
      <c r="CM256" s="776" t="s">
        <v>2127</v>
      </c>
      <c r="CN256" s="776" t="s">
        <v>2127</v>
      </c>
      <c r="CO256" s="776" t="s">
        <v>2127</v>
      </c>
      <c r="CP256" s="776" t="s">
        <v>2127</v>
      </c>
      <c r="CQ256" s="776" t="s">
        <v>2127</v>
      </c>
      <c r="CR256" s="776" t="s">
        <v>2127</v>
      </c>
      <c r="CS256" s="776" t="s">
        <v>2127</v>
      </c>
      <c r="CT256" s="776" t="s">
        <v>2127</v>
      </c>
      <c r="CU256" s="776" t="s">
        <v>2127</v>
      </c>
      <c r="CV256" s="776" t="s">
        <v>2127</v>
      </c>
      <c r="CW256" s="776" t="s">
        <v>2127</v>
      </c>
      <c r="CX256" s="776" t="s">
        <v>2127</v>
      </c>
      <c r="CY256" s="776" t="s">
        <v>2127</v>
      </c>
      <c r="CZ256" s="776" t="s">
        <v>2127</v>
      </c>
      <c r="DA256" s="776" t="s">
        <v>2127</v>
      </c>
      <c r="DB256" s="776" t="s">
        <v>2127</v>
      </c>
      <c r="DC256" s="776" t="s">
        <v>2127</v>
      </c>
      <c r="DD256" s="776" t="s">
        <v>2127</v>
      </c>
      <c r="DE256" s="776" t="s">
        <v>2127</v>
      </c>
      <c r="DF256" s="776" t="s">
        <v>2127</v>
      </c>
      <c r="DG256" s="776" t="s">
        <v>2127</v>
      </c>
      <c r="DH256" s="776" t="s">
        <v>2127</v>
      </c>
      <c r="DI256" s="776" t="s">
        <v>2127</v>
      </c>
      <c r="DJ256" s="776" t="s">
        <v>2127</v>
      </c>
      <c r="DK256" s="776" t="s">
        <v>2127</v>
      </c>
      <c r="DL256" s="776" t="s">
        <v>2127</v>
      </c>
      <c r="DM256" s="776" t="s">
        <v>2127</v>
      </c>
      <c r="DN256" s="776" t="s">
        <v>2127</v>
      </c>
      <c r="DO256" s="776" t="s">
        <v>2127</v>
      </c>
      <c r="DP256" s="776" t="s">
        <v>2127</v>
      </c>
    </row>
    <row r="257" spans="1:123" x14ac:dyDescent="0.2">
      <c r="A257" s="637" t="s">
        <v>2283</v>
      </c>
      <c r="B257" s="772" t="str" cm="1">
        <f t="array" ref="B257">IFERROR(INDEX(Kulturen[HF],_xlfn.AGGREGATE(15,6,(ROW(Kulturen[Auswahl])-7)/(--(SEARCH("x",Kulturen[Auswahl])&gt;0)),ROW()-7),1),"")</f>
        <v>Brunnenkresse (Kraut)</v>
      </c>
      <c r="C257" s="772" t="str">
        <f>IF(Kulturen[[#This Row],[HF]]=$D$373,IF($C$6=0,0,"x"),IF($C$6=0,"x",Vorauswahl!C256))</f>
        <v>x</v>
      </c>
      <c r="D257" s="938" t="s">
        <v>2000</v>
      </c>
      <c r="E257" s="938" t="s">
        <v>2000</v>
      </c>
      <c r="F257" s="938" t="s">
        <v>923</v>
      </c>
      <c r="G257" s="938">
        <v>14</v>
      </c>
      <c r="H257" s="938">
        <v>8</v>
      </c>
      <c r="I257" s="938">
        <v>3</v>
      </c>
      <c r="J257" s="938">
        <v>14</v>
      </c>
      <c r="K257" s="938">
        <v>0.16</v>
      </c>
      <c r="L257" s="938">
        <v>0.16</v>
      </c>
      <c r="M257" s="938">
        <v>135</v>
      </c>
      <c r="N257" s="938">
        <v>0</v>
      </c>
      <c r="O257" s="938">
        <v>2</v>
      </c>
      <c r="P257" s="938">
        <v>0</v>
      </c>
      <c r="Q257" s="938">
        <v>130</v>
      </c>
      <c r="R257" s="938">
        <v>14</v>
      </c>
      <c r="S257" s="938">
        <v>13</v>
      </c>
      <c r="T257" s="938">
        <v>13</v>
      </c>
      <c r="U257" s="938">
        <v>0</v>
      </c>
      <c r="V257" s="938">
        <v>1</v>
      </c>
      <c r="W257" s="776">
        <f>IF(Kulturen[[#This Row],[Berechnungsschema]]=13,3,IF(Kulturen[[#This Row],[Berechnungsschema]]=6,2,1))</f>
        <v>1</v>
      </c>
      <c r="X257" s="776">
        <f>IF(Kulturen[[#This Row],[fruchtartengruppe]]=13,Kulturen[[#This Row],[NBedarfswert]],MAX(0,Kulturen[[#This Row],[NBedarfswert]]-Kulturen[[#This Row],[Ertrag]]*Kulturen[[#This Row],[Nfix]]))</f>
        <v>130</v>
      </c>
      <c r="Y257" s="776" t="s">
        <v>2127</v>
      </c>
      <c r="Z257" s="776" t="s">
        <v>2127</v>
      </c>
      <c r="AA257" s="776" t="s">
        <v>2127</v>
      </c>
      <c r="AB257" s="776" t="s">
        <v>2127</v>
      </c>
      <c r="AC257" s="776" t="s">
        <v>2127</v>
      </c>
      <c r="AD257" s="776" t="s">
        <v>2127</v>
      </c>
      <c r="AE257" s="776" t="s">
        <v>2127</v>
      </c>
      <c r="AF257" s="776" t="s">
        <v>2127</v>
      </c>
      <c r="AG257" s="776" t="s">
        <v>2127</v>
      </c>
      <c r="AH257" s="776" t="s">
        <v>2127</v>
      </c>
      <c r="AI257" s="776" t="s">
        <v>2127</v>
      </c>
      <c r="AJ257" s="776" t="s">
        <v>2127</v>
      </c>
      <c r="AK257" s="776" t="s">
        <v>2127</v>
      </c>
      <c r="AL257" s="776" t="s">
        <v>2127</v>
      </c>
      <c r="AM257" s="776" t="s">
        <v>2127</v>
      </c>
      <c r="AN257" s="776" t="s">
        <v>2127</v>
      </c>
      <c r="AO257" s="776" t="s">
        <v>2127</v>
      </c>
      <c r="AP257" s="776" t="s">
        <v>2127</v>
      </c>
      <c r="AQ257" s="776" t="s">
        <v>2127</v>
      </c>
      <c r="AR257" s="776" t="s">
        <v>2127</v>
      </c>
      <c r="AS257" s="776" t="s">
        <v>2127</v>
      </c>
      <c r="AT257" s="776" t="s">
        <v>2127</v>
      </c>
      <c r="AU257" s="776" t="s">
        <v>2127</v>
      </c>
      <c r="AV257" s="776" t="s">
        <v>2127</v>
      </c>
      <c r="AW257" s="776" t="s">
        <v>2127</v>
      </c>
      <c r="AX257" s="776" t="s">
        <v>2127</v>
      </c>
      <c r="AY257" s="776" t="s">
        <v>2127</v>
      </c>
      <c r="AZ257" s="776" t="s">
        <v>2127</v>
      </c>
      <c r="BA257" s="776" t="s">
        <v>2127</v>
      </c>
      <c r="BB257" s="776" t="s">
        <v>2127</v>
      </c>
      <c r="BC257" s="776" t="s">
        <v>2127</v>
      </c>
      <c r="BD257" s="776" t="s">
        <v>2127</v>
      </c>
      <c r="BE257" s="776" t="s">
        <v>2127</v>
      </c>
      <c r="BF257" s="776" t="s">
        <v>2127</v>
      </c>
      <c r="BG257" s="776" t="s">
        <v>2127</v>
      </c>
      <c r="BH257" s="776" t="s">
        <v>2127</v>
      </c>
      <c r="BI257" s="776" t="s">
        <v>2127</v>
      </c>
      <c r="BJ257" s="776" t="s">
        <v>2127</v>
      </c>
      <c r="BK257" s="776" t="s">
        <v>2127</v>
      </c>
      <c r="BL257" s="776" t="s">
        <v>2127</v>
      </c>
      <c r="BM257" s="776" t="s">
        <v>2127</v>
      </c>
      <c r="BN257" s="776" t="s">
        <v>2127</v>
      </c>
      <c r="BO257" s="776" t="s">
        <v>2127</v>
      </c>
      <c r="BP257" s="776" t="s">
        <v>2127</v>
      </c>
      <c r="BQ257" s="776" t="s">
        <v>2127</v>
      </c>
      <c r="BR257" s="776" t="s">
        <v>2127</v>
      </c>
      <c r="BS257" s="776" t="s">
        <v>2127</v>
      </c>
      <c r="BT257" s="776" t="s">
        <v>2127</v>
      </c>
      <c r="BU257" s="776" t="s">
        <v>2127</v>
      </c>
      <c r="BV257" s="776" t="s">
        <v>2127</v>
      </c>
      <c r="BW257" s="776" t="s">
        <v>2127</v>
      </c>
      <c r="BX257" s="776" t="s">
        <v>2127</v>
      </c>
      <c r="BY257" s="776" t="s">
        <v>2127</v>
      </c>
      <c r="BZ257" s="776" t="s">
        <v>2127</v>
      </c>
      <c r="CA257" s="776" t="s">
        <v>2127</v>
      </c>
      <c r="CB257" s="776" t="s">
        <v>2127</v>
      </c>
      <c r="CC257" s="776" t="s">
        <v>2127</v>
      </c>
      <c r="CD257" s="776" t="s">
        <v>2127</v>
      </c>
      <c r="CE257" s="776" t="s">
        <v>2127</v>
      </c>
      <c r="CF257" s="776" t="s">
        <v>2127</v>
      </c>
      <c r="CG257" s="776" t="s">
        <v>2127</v>
      </c>
      <c r="CH257" s="776" t="s">
        <v>2127</v>
      </c>
      <c r="CI257" s="776" t="s">
        <v>2127</v>
      </c>
      <c r="CJ257" s="776" t="s">
        <v>2127</v>
      </c>
      <c r="CK257" s="776" t="s">
        <v>2127</v>
      </c>
      <c r="CL257" s="776" t="s">
        <v>2127</v>
      </c>
      <c r="CM257" s="776" t="s">
        <v>2127</v>
      </c>
      <c r="CN257" s="776" t="s">
        <v>2127</v>
      </c>
      <c r="CO257" s="776" t="s">
        <v>2127</v>
      </c>
      <c r="CP257" s="776" t="s">
        <v>2127</v>
      </c>
      <c r="CQ257" s="776" t="s">
        <v>2127</v>
      </c>
      <c r="CR257" s="776" t="s">
        <v>2127</v>
      </c>
      <c r="CS257" s="776" t="s">
        <v>2127</v>
      </c>
      <c r="CT257" s="776" t="s">
        <v>2127</v>
      </c>
      <c r="CU257" s="776" t="s">
        <v>2127</v>
      </c>
      <c r="CV257" s="776" t="s">
        <v>2127</v>
      </c>
      <c r="CW257" s="776" t="s">
        <v>2127</v>
      </c>
      <c r="CX257" s="776" t="s">
        <v>2127</v>
      </c>
      <c r="CY257" s="776" t="s">
        <v>2127</v>
      </c>
      <c r="CZ257" s="776" t="s">
        <v>2127</v>
      </c>
      <c r="DA257" s="776" t="s">
        <v>2127</v>
      </c>
      <c r="DB257" s="776" t="s">
        <v>2127</v>
      </c>
      <c r="DC257" s="776" t="s">
        <v>2127</v>
      </c>
      <c r="DD257" s="776" t="s">
        <v>2127</v>
      </c>
      <c r="DE257" s="776" t="s">
        <v>2127</v>
      </c>
      <c r="DF257" s="776" t="s">
        <v>2127</v>
      </c>
      <c r="DG257" s="776" t="s">
        <v>2127</v>
      </c>
      <c r="DH257" s="776" t="s">
        <v>2127</v>
      </c>
      <c r="DI257" s="776" t="s">
        <v>2127</v>
      </c>
      <c r="DJ257" s="776" t="s">
        <v>2127</v>
      </c>
      <c r="DK257" s="776" t="s">
        <v>2127</v>
      </c>
      <c r="DL257" s="776" t="s">
        <v>2127</v>
      </c>
      <c r="DM257" s="776" t="s">
        <v>2127</v>
      </c>
      <c r="DN257" s="776" t="s">
        <v>2127</v>
      </c>
      <c r="DO257" s="776" t="s">
        <v>2127</v>
      </c>
      <c r="DP257" s="776" t="s">
        <v>2127</v>
      </c>
    </row>
    <row r="258" spans="1:123" x14ac:dyDescent="0.2">
      <c r="A258" s="637"/>
      <c r="B258" s="772" t="str" cm="1">
        <f t="array" ref="B258">IFERROR(INDEX(Kulturen[HF],_xlfn.AGGREGATE(15,6,(ROW(Kulturen[Auswahl])-7)/(--(SEARCH("x",Kulturen[Auswahl])&gt;0)),ROW()-7),1),"")</f>
        <v>Dill, Frischmarkt (Kraut)</v>
      </c>
      <c r="C258" s="772" t="str">
        <f>IF(Kulturen[[#This Row],[HF]]=$D$373,IF($C$6=0,0,"x"),IF($C$6=0,"x",Vorauswahl!C257))</f>
        <v>x</v>
      </c>
      <c r="D258" s="938" t="s">
        <v>2001</v>
      </c>
      <c r="E258" s="938" t="s">
        <v>2001</v>
      </c>
      <c r="F258" s="938" t="s">
        <v>2002</v>
      </c>
      <c r="G258" s="938">
        <v>14</v>
      </c>
      <c r="H258" s="938">
        <v>8</v>
      </c>
      <c r="I258" s="938">
        <v>1</v>
      </c>
      <c r="J258" s="938">
        <v>14</v>
      </c>
      <c r="K258" s="938">
        <v>0.17</v>
      </c>
      <c r="L258" s="938">
        <v>0.17</v>
      </c>
      <c r="M258" s="938">
        <v>50</v>
      </c>
      <c r="N258" s="938">
        <v>0</v>
      </c>
      <c r="O258" s="938">
        <v>1</v>
      </c>
      <c r="P258" s="938">
        <v>0</v>
      </c>
      <c r="Q258" s="938">
        <v>60</v>
      </c>
      <c r="R258" s="938">
        <v>5</v>
      </c>
      <c r="S258" s="938">
        <v>6</v>
      </c>
      <c r="T258" s="938">
        <v>6</v>
      </c>
      <c r="U258" s="938">
        <v>0</v>
      </c>
      <c r="V258" s="938">
        <v>1</v>
      </c>
      <c r="W258" s="776">
        <f>IF(Kulturen[[#This Row],[Berechnungsschema]]=13,3,IF(Kulturen[[#This Row],[Berechnungsschema]]=6,2,1))</f>
        <v>1</v>
      </c>
      <c r="X258" s="776">
        <f>IF(Kulturen[[#This Row],[fruchtartengruppe]]=13,Kulturen[[#This Row],[NBedarfswert]],MAX(0,Kulturen[[#This Row],[NBedarfswert]]-Kulturen[[#This Row],[Ertrag]]*Kulturen[[#This Row],[Nfix]]))</f>
        <v>60</v>
      </c>
      <c r="Y258" s="776" t="s">
        <v>2127</v>
      </c>
      <c r="Z258" s="776" t="s">
        <v>2127</v>
      </c>
      <c r="AA258" s="776" t="s">
        <v>2127</v>
      </c>
      <c r="AB258" s="776" t="s">
        <v>2127</v>
      </c>
      <c r="AC258" s="776" t="s">
        <v>2127</v>
      </c>
      <c r="AD258" s="776" t="s">
        <v>2127</v>
      </c>
      <c r="AE258" s="776" t="s">
        <v>2127</v>
      </c>
      <c r="AF258" s="776" t="s">
        <v>2127</v>
      </c>
      <c r="AG258" s="776" t="s">
        <v>2127</v>
      </c>
      <c r="AH258" s="776" t="s">
        <v>2127</v>
      </c>
      <c r="AI258" s="776" t="s">
        <v>2127</v>
      </c>
      <c r="AJ258" s="776" t="s">
        <v>2127</v>
      </c>
      <c r="AK258" s="776" t="s">
        <v>2127</v>
      </c>
      <c r="AL258" s="776" t="s">
        <v>2127</v>
      </c>
      <c r="AM258" s="776" t="s">
        <v>2127</v>
      </c>
      <c r="AN258" s="776" t="s">
        <v>2127</v>
      </c>
      <c r="AO258" s="776" t="s">
        <v>2127</v>
      </c>
      <c r="AP258" s="776" t="s">
        <v>2127</v>
      </c>
      <c r="AQ258" s="776" t="s">
        <v>2127</v>
      </c>
      <c r="AR258" s="776" t="s">
        <v>2127</v>
      </c>
      <c r="AS258" s="776" t="s">
        <v>2127</v>
      </c>
      <c r="AT258" s="776" t="s">
        <v>2127</v>
      </c>
      <c r="AU258" s="776" t="s">
        <v>2127</v>
      </c>
      <c r="AV258" s="776" t="s">
        <v>2127</v>
      </c>
      <c r="AW258" s="776" t="s">
        <v>2127</v>
      </c>
      <c r="AX258" s="776" t="s">
        <v>2127</v>
      </c>
      <c r="AY258" s="776" t="s">
        <v>2127</v>
      </c>
      <c r="AZ258" s="776" t="s">
        <v>2127</v>
      </c>
      <c r="BA258" s="776" t="s">
        <v>2127</v>
      </c>
      <c r="BB258" s="776" t="s">
        <v>2127</v>
      </c>
      <c r="BC258" s="776" t="s">
        <v>2127</v>
      </c>
      <c r="BD258" s="776" t="s">
        <v>2127</v>
      </c>
      <c r="BE258" s="776" t="s">
        <v>2127</v>
      </c>
      <c r="BF258" s="776" t="s">
        <v>2127</v>
      </c>
      <c r="BG258" s="776" t="s">
        <v>2127</v>
      </c>
      <c r="BH258" s="776" t="s">
        <v>2127</v>
      </c>
      <c r="BI258" s="776" t="s">
        <v>2127</v>
      </c>
      <c r="BJ258" s="776" t="s">
        <v>2127</v>
      </c>
      <c r="BK258" s="776" t="s">
        <v>2127</v>
      </c>
      <c r="BL258" s="776" t="s">
        <v>2127</v>
      </c>
      <c r="BM258" s="776" t="s">
        <v>2127</v>
      </c>
      <c r="BN258" s="776" t="s">
        <v>2127</v>
      </c>
      <c r="BO258" s="776" t="s">
        <v>2127</v>
      </c>
      <c r="BP258" s="776" t="s">
        <v>2127</v>
      </c>
      <c r="BQ258" s="776" t="s">
        <v>2127</v>
      </c>
      <c r="BR258" s="776" t="s">
        <v>2127</v>
      </c>
      <c r="BS258" s="776" t="s">
        <v>2127</v>
      </c>
      <c r="BT258" s="776" t="s">
        <v>2127</v>
      </c>
      <c r="BU258" s="776" t="s">
        <v>2127</v>
      </c>
      <c r="BV258" s="776" t="s">
        <v>2127</v>
      </c>
      <c r="BW258" s="776" t="s">
        <v>2127</v>
      </c>
      <c r="BX258" s="776" t="s">
        <v>2127</v>
      </c>
      <c r="BY258" s="776" t="s">
        <v>2127</v>
      </c>
      <c r="BZ258" s="776" t="s">
        <v>2127</v>
      </c>
      <c r="CA258" s="776" t="s">
        <v>2127</v>
      </c>
      <c r="CB258" s="776" t="s">
        <v>2127</v>
      </c>
      <c r="CC258" s="776" t="s">
        <v>2127</v>
      </c>
      <c r="CD258" s="776" t="s">
        <v>2127</v>
      </c>
      <c r="CE258" s="776" t="s">
        <v>2127</v>
      </c>
      <c r="CF258" s="776" t="s">
        <v>2127</v>
      </c>
      <c r="CG258" s="776" t="s">
        <v>2127</v>
      </c>
      <c r="CH258" s="776" t="s">
        <v>2127</v>
      </c>
      <c r="CI258" s="776" t="s">
        <v>2127</v>
      </c>
      <c r="CJ258" s="776" t="s">
        <v>2127</v>
      </c>
      <c r="CK258" s="776" t="s">
        <v>2127</v>
      </c>
      <c r="CL258" s="776" t="s">
        <v>2127</v>
      </c>
      <c r="CM258" s="776" t="s">
        <v>2127</v>
      </c>
      <c r="CN258" s="776" t="s">
        <v>2127</v>
      </c>
      <c r="CO258" s="776" t="s">
        <v>2127</v>
      </c>
      <c r="CP258" s="776" t="s">
        <v>2127</v>
      </c>
      <c r="CQ258" s="776" t="s">
        <v>2127</v>
      </c>
      <c r="CR258" s="776" t="s">
        <v>2127</v>
      </c>
      <c r="CS258" s="776" t="s">
        <v>2127</v>
      </c>
      <c r="CT258" s="776" t="s">
        <v>2127</v>
      </c>
      <c r="CU258" s="776" t="s">
        <v>2127</v>
      </c>
      <c r="CV258" s="776" t="s">
        <v>2127</v>
      </c>
      <c r="CW258" s="776" t="s">
        <v>2127</v>
      </c>
      <c r="CX258" s="776" t="s">
        <v>2127</v>
      </c>
      <c r="CY258" s="776" t="s">
        <v>2127</v>
      </c>
      <c r="CZ258" s="776" t="s">
        <v>2127</v>
      </c>
      <c r="DA258" s="776" t="s">
        <v>2127</v>
      </c>
      <c r="DB258" s="776" t="s">
        <v>2127</v>
      </c>
      <c r="DC258" s="776" t="s">
        <v>2127</v>
      </c>
      <c r="DD258" s="776" t="s">
        <v>2127</v>
      </c>
      <c r="DE258" s="776" t="s">
        <v>2127</v>
      </c>
      <c r="DF258" s="776" t="s">
        <v>2127</v>
      </c>
      <c r="DG258" s="776" t="s">
        <v>2127</v>
      </c>
      <c r="DH258" s="776" t="s">
        <v>2127</v>
      </c>
      <c r="DI258" s="776" t="s">
        <v>2127</v>
      </c>
      <c r="DJ258" s="776" t="s">
        <v>2127</v>
      </c>
      <c r="DK258" s="776" t="s">
        <v>2127</v>
      </c>
      <c r="DL258" s="776" t="s">
        <v>2127</v>
      </c>
      <c r="DM258" s="776" t="s">
        <v>2127</v>
      </c>
      <c r="DN258" s="776" t="s">
        <v>2127</v>
      </c>
      <c r="DO258" s="776" t="s">
        <v>2127</v>
      </c>
      <c r="DP258" s="776" t="s">
        <v>2127</v>
      </c>
    </row>
    <row r="259" spans="1:123" x14ac:dyDescent="0.2">
      <c r="A259" s="637" t="s">
        <v>2284</v>
      </c>
      <c r="B259" s="772" t="str" cm="1">
        <f t="array" ref="B259">IFERROR(INDEX(Kulturen[HF],_xlfn.AGGREGATE(15,6,(ROW(Kulturen[Auswahl])-7)/(--(SEARCH("x",Kulturen[Auswahl])&gt;0)),ROW()-7),1),"")</f>
        <v>Dill, Industrieware (Kraut b. Knospenansatz)</v>
      </c>
      <c r="C259" s="772" t="str">
        <f>IF(Kulturen[[#This Row],[HF]]=$D$373,IF($C$6=0,0,"x"),IF($C$6=0,"x",Vorauswahl!C258))</f>
        <v>x</v>
      </c>
      <c r="D259" s="938" t="s">
        <v>2003</v>
      </c>
      <c r="E259" s="938" t="s">
        <v>2003</v>
      </c>
      <c r="F259" s="938" t="s">
        <v>924</v>
      </c>
      <c r="G259" s="938">
        <v>14</v>
      </c>
      <c r="H259" s="938">
        <v>8</v>
      </c>
      <c r="I259" s="938">
        <v>3</v>
      </c>
      <c r="J259" s="938">
        <v>14</v>
      </c>
      <c r="K259" s="938">
        <v>0.15</v>
      </c>
      <c r="L259" s="938">
        <v>0.15</v>
      </c>
      <c r="M259" s="938">
        <v>250</v>
      </c>
      <c r="N259" s="938">
        <v>0</v>
      </c>
      <c r="O259" s="938">
        <v>2</v>
      </c>
      <c r="P259" s="938">
        <v>0</v>
      </c>
      <c r="Q259" s="938">
        <v>190</v>
      </c>
      <c r="R259" s="938">
        <v>25</v>
      </c>
      <c r="S259" s="938">
        <v>19</v>
      </c>
      <c r="T259" s="938">
        <v>19</v>
      </c>
      <c r="U259" s="938">
        <v>0</v>
      </c>
      <c r="V259" s="938">
        <v>1</v>
      </c>
      <c r="W259" s="776">
        <f>IF(Kulturen[[#This Row],[Berechnungsschema]]=13,3,IF(Kulturen[[#This Row],[Berechnungsschema]]=6,2,1))</f>
        <v>1</v>
      </c>
      <c r="X259" s="776">
        <f>IF(Kulturen[[#This Row],[fruchtartengruppe]]=13,Kulturen[[#This Row],[NBedarfswert]],MAX(0,Kulturen[[#This Row],[NBedarfswert]]-Kulturen[[#This Row],[Ertrag]]*Kulturen[[#This Row],[Nfix]]))</f>
        <v>190</v>
      </c>
      <c r="Y259" s="776" t="s">
        <v>2127</v>
      </c>
      <c r="Z259" s="776" t="s">
        <v>2127</v>
      </c>
      <c r="AA259" s="776" t="s">
        <v>2127</v>
      </c>
      <c r="AB259" s="776" t="s">
        <v>2127</v>
      </c>
      <c r="AC259" s="776" t="s">
        <v>2127</v>
      </c>
      <c r="AD259" s="776" t="s">
        <v>2127</v>
      </c>
      <c r="AE259" s="776" t="s">
        <v>2127</v>
      </c>
      <c r="AF259" s="776" t="s">
        <v>2127</v>
      </c>
      <c r="AG259" s="776" t="s">
        <v>2127</v>
      </c>
      <c r="AH259" s="776" t="s">
        <v>2127</v>
      </c>
      <c r="AI259" s="776" t="s">
        <v>2127</v>
      </c>
      <c r="AJ259" s="776" t="s">
        <v>2127</v>
      </c>
      <c r="AK259" s="776" t="s">
        <v>2127</v>
      </c>
      <c r="AL259" s="776" t="s">
        <v>2127</v>
      </c>
      <c r="AM259" s="776" t="s">
        <v>2127</v>
      </c>
      <c r="AN259" s="776" t="s">
        <v>2127</v>
      </c>
      <c r="AO259" s="776" t="s">
        <v>2127</v>
      </c>
      <c r="AP259" s="776" t="s">
        <v>2127</v>
      </c>
      <c r="AQ259" s="776" t="s">
        <v>2127</v>
      </c>
      <c r="AR259" s="776" t="s">
        <v>2127</v>
      </c>
      <c r="AS259" s="776" t="s">
        <v>2127</v>
      </c>
      <c r="AT259" s="776" t="s">
        <v>2127</v>
      </c>
      <c r="AU259" s="776" t="s">
        <v>2127</v>
      </c>
      <c r="AV259" s="776" t="s">
        <v>2127</v>
      </c>
      <c r="AW259" s="776" t="s">
        <v>2127</v>
      </c>
      <c r="AX259" s="776" t="s">
        <v>2127</v>
      </c>
      <c r="AY259" s="776" t="s">
        <v>2127</v>
      </c>
      <c r="AZ259" s="776" t="s">
        <v>2127</v>
      </c>
      <c r="BA259" s="776" t="s">
        <v>2127</v>
      </c>
      <c r="BB259" s="776" t="s">
        <v>2127</v>
      </c>
      <c r="BC259" s="776" t="s">
        <v>2127</v>
      </c>
      <c r="BD259" s="776" t="s">
        <v>2127</v>
      </c>
      <c r="BE259" s="776" t="s">
        <v>2127</v>
      </c>
      <c r="BF259" s="776" t="s">
        <v>2127</v>
      </c>
      <c r="BG259" s="776" t="s">
        <v>2127</v>
      </c>
      <c r="BH259" s="776" t="s">
        <v>2127</v>
      </c>
      <c r="BI259" s="776" t="s">
        <v>2127</v>
      </c>
      <c r="BJ259" s="776" t="s">
        <v>2127</v>
      </c>
      <c r="BK259" s="776" t="s">
        <v>2127</v>
      </c>
      <c r="BL259" s="776" t="s">
        <v>2127</v>
      </c>
      <c r="BM259" s="776" t="s">
        <v>2127</v>
      </c>
      <c r="BN259" s="776" t="s">
        <v>2127</v>
      </c>
      <c r="BO259" s="776" t="s">
        <v>2127</v>
      </c>
      <c r="BP259" s="776" t="s">
        <v>2127</v>
      </c>
      <c r="BQ259" s="776" t="s">
        <v>2127</v>
      </c>
      <c r="BR259" s="776" t="s">
        <v>2127</v>
      </c>
      <c r="BS259" s="776" t="s">
        <v>2127</v>
      </c>
      <c r="BT259" s="776" t="s">
        <v>2127</v>
      </c>
      <c r="BU259" s="776" t="s">
        <v>2127</v>
      </c>
      <c r="BV259" s="776" t="s">
        <v>2127</v>
      </c>
      <c r="BW259" s="776" t="s">
        <v>2127</v>
      </c>
      <c r="BX259" s="776" t="s">
        <v>2127</v>
      </c>
      <c r="BY259" s="776" t="s">
        <v>2127</v>
      </c>
      <c r="BZ259" s="776" t="s">
        <v>2127</v>
      </c>
      <c r="CA259" s="776" t="s">
        <v>2127</v>
      </c>
      <c r="CB259" s="776" t="s">
        <v>2127</v>
      </c>
      <c r="CC259" s="776" t="s">
        <v>2127</v>
      </c>
      <c r="CD259" s="776" t="s">
        <v>2127</v>
      </c>
      <c r="CE259" s="776" t="s">
        <v>2127</v>
      </c>
      <c r="CF259" s="776" t="s">
        <v>2127</v>
      </c>
      <c r="CG259" s="776" t="s">
        <v>2127</v>
      </c>
      <c r="CH259" s="776" t="s">
        <v>2127</v>
      </c>
      <c r="CI259" s="776" t="s">
        <v>2127</v>
      </c>
      <c r="CJ259" s="776" t="s">
        <v>2127</v>
      </c>
      <c r="CK259" s="776" t="s">
        <v>2127</v>
      </c>
      <c r="CL259" s="776" t="s">
        <v>2127</v>
      </c>
      <c r="CM259" s="776" t="s">
        <v>2127</v>
      </c>
      <c r="CN259" s="776" t="s">
        <v>2127</v>
      </c>
      <c r="CO259" s="776" t="s">
        <v>2127</v>
      </c>
      <c r="CP259" s="776" t="s">
        <v>2127</v>
      </c>
      <c r="CQ259" s="776" t="s">
        <v>2127</v>
      </c>
      <c r="CR259" s="776" t="s">
        <v>2127</v>
      </c>
      <c r="CS259" s="776" t="s">
        <v>2127</v>
      </c>
      <c r="CT259" s="776" t="s">
        <v>2127</v>
      </c>
      <c r="CU259" s="776" t="s">
        <v>2127</v>
      </c>
      <c r="CV259" s="776" t="s">
        <v>2127</v>
      </c>
      <c r="CW259" s="776" t="s">
        <v>2127</v>
      </c>
      <c r="CX259" s="776" t="s">
        <v>2127</v>
      </c>
      <c r="CY259" s="776" t="s">
        <v>2127</v>
      </c>
      <c r="CZ259" s="776" t="s">
        <v>2127</v>
      </c>
      <c r="DA259" s="776" t="s">
        <v>2127</v>
      </c>
      <c r="DB259" s="776" t="s">
        <v>2127</v>
      </c>
      <c r="DC259" s="776" t="s">
        <v>2127</v>
      </c>
      <c r="DD259" s="776" t="s">
        <v>2127</v>
      </c>
      <c r="DE259" s="776" t="s">
        <v>2127</v>
      </c>
      <c r="DF259" s="776" t="s">
        <v>2127</v>
      </c>
      <c r="DG259" s="776" t="s">
        <v>2127</v>
      </c>
      <c r="DH259" s="776" t="s">
        <v>2127</v>
      </c>
      <c r="DI259" s="776" t="s">
        <v>2127</v>
      </c>
      <c r="DJ259" s="776" t="s">
        <v>2127</v>
      </c>
      <c r="DK259" s="776" t="s">
        <v>2127</v>
      </c>
      <c r="DL259" s="776" t="s">
        <v>2127</v>
      </c>
      <c r="DM259" s="776" t="s">
        <v>2127</v>
      </c>
      <c r="DN259" s="776" t="s">
        <v>2127</v>
      </c>
      <c r="DO259" s="776" t="s">
        <v>2127</v>
      </c>
      <c r="DP259" s="776" t="s">
        <v>2127</v>
      </c>
    </row>
    <row r="260" spans="1:123" x14ac:dyDescent="0.2">
      <c r="A260" s="637" t="s">
        <v>2285</v>
      </c>
      <c r="B260" s="772" t="str" cm="1">
        <f t="array" ref="B260">IFERROR(INDEX(Kulturen[HF],_xlfn.AGGREGATE(15,6,(ROW(Kulturen[Auswahl])-7)/(--(SEARCH("x",Kulturen[Auswahl])&gt;0)),ROW()-7),1),"")</f>
        <v>Dill (Dillspitzen)</v>
      </c>
      <c r="C260" s="772" t="str">
        <f>IF(Kulturen[[#This Row],[HF]]=$D$373,IF($C$6=0,0,"x"),IF($C$6=0,"x",Vorauswahl!C259))</f>
        <v>x</v>
      </c>
      <c r="D260" s="938" t="s">
        <v>2004</v>
      </c>
      <c r="E260" s="938" t="s">
        <v>2004</v>
      </c>
      <c r="F260" s="938" t="s">
        <v>925</v>
      </c>
      <c r="G260" s="938">
        <v>14</v>
      </c>
      <c r="H260" s="938">
        <v>8</v>
      </c>
      <c r="I260" s="938">
        <v>1</v>
      </c>
      <c r="J260" s="938">
        <v>14</v>
      </c>
      <c r="K260" s="938">
        <v>0.17</v>
      </c>
      <c r="L260" s="938">
        <v>0.92</v>
      </c>
      <c r="M260" s="938">
        <v>70</v>
      </c>
      <c r="N260" s="938">
        <v>0</v>
      </c>
      <c r="O260" s="938">
        <v>1</v>
      </c>
      <c r="P260" s="938">
        <v>0</v>
      </c>
      <c r="Q260" s="938">
        <v>155</v>
      </c>
      <c r="R260" s="938">
        <v>7</v>
      </c>
      <c r="S260" s="938">
        <v>16</v>
      </c>
      <c r="T260" s="938">
        <v>16</v>
      </c>
      <c r="U260" s="938">
        <v>0</v>
      </c>
      <c r="V260" s="938">
        <v>1</v>
      </c>
      <c r="W260" s="776">
        <f>IF(Kulturen[[#This Row],[Berechnungsschema]]=13,3,IF(Kulturen[[#This Row],[Berechnungsschema]]=6,2,1))</f>
        <v>1</v>
      </c>
      <c r="X260" s="776">
        <f>IF(Kulturen[[#This Row],[fruchtartengruppe]]=13,Kulturen[[#This Row],[NBedarfswert]],MAX(0,Kulturen[[#This Row],[NBedarfswert]]-Kulturen[[#This Row],[Ertrag]]*Kulturen[[#This Row],[Nfix]]))</f>
        <v>155</v>
      </c>
      <c r="Y260" s="776" t="s">
        <v>2127</v>
      </c>
      <c r="Z260" s="776" t="s">
        <v>2127</v>
      </c>
      <c r="AA260" s="776" t="s">
        <v>2127</v>
      </c>
      <c r="AB260" s="776" t="s">
        <v>2127</v>
      </c>
      <c r="AC260" s="776" t="s">
        <v>2127</v>
      </c>
      <c r="AD260" s="776" t="s">
        <v>2127</v>
      </c>
      <c r="AE260" s="776" t="s">
        <v>2127</v>
      </c>
      <c r="AF260" s="776" t="s">
        <v>2127</v>
      </c>
      <c r="AG260" s="776" t="s">
        <v>2127</v>
      </c>
      <c r="AH260" s="776" t="s">
        <v>2127</v>
      </c>
      <c r="AI260" s="776" t="s">
        <v>2127</v>
      </c>
      <c r="AJ260" s="776" t="s">
        <v>2127</v>
      </c>
      <c r="AK260" s="776" t="s">
        <v>2127</v>
      </c>
      <c r="AL260" s="776" t="s">
        <v>2127</v>
      </c>
      <c r="AM260" s="776" t="s">
        <v>2127</v>
      </c>
      <c r="AN260" s="776" t="s">
        <v>2127</v>
      </c>
      <c r="AO260" s="776" t="s">
        <v>2127</v>
      </c>
      <c r="AP260" s="776" t="s">
        <v>2127</v>
      </c>
      <c r="AQ260" s="776" t="s">
        <v>2127</v>
      </c>
      <c r="AR260" s="776" t="s">
        <v>2127</v>
      </c>
      <c r="AS260" s="776" t="s">
        <v>2127</v>
      </c>
      <c r="AT260" s="776" t="s">
        <v>2127</v>
      </c>
      <c r="AU260" s="776" t="s">
        <v>2127</v>
      </c>
      <c r="AV260" s="776" t="s">
        <v>2127</v>
      </c>
      <c r="AW260" s="776" t="s">
        <v>2127</v>
      </c>
      <c r="AX260" s="776" t="s">
        <v>2127</v>
      </c>
      <c r="AY260" s="776" t="s">
        <v>2127</v>
      </c>
      <c r="AZ260" s="776" t="s">
        <v>2127</v>
      </c>
      <c r="BA260" s="776" t="s">
        <v>2127</v>
      </c>
      <c r="BB260" s="776" t="s">
        <v>2127</v>
      </c>
      <c r="BC260" s="776" t="s">
        <v>2127</v>
      </c>
      <c r="BD260" s="776" t="s">
        <v>2127</v>
      </c>
      <c r="BE260" s="776" t="s">
        <v>2127</v>
      </c>
      <c r="BF260" s="776" t="s">
        <v>2127</v>
      </c>
      <c r="BG260" s="776" t="s">
        <v>2127</v>
      </c>
      <c r="BH260" s="776" t="s">
        <v>2127</v>
      </c>
      <c r="BI260" s="776" t="s">
        <v>2127</v>
      </c>
      <c r="BJ260" s="776" t="s">
        <v>2127</v>
      </c>
      <c r="BK260" s="776" t="s">
        <v>2127</v>
      </c>
      <c r="BL260" s="776" t="s">
        <v>2127</v>
      </c>
      <c r="BM260" s="776" t="s">
        <v>2127</v>
      </c>
      <c r="BN260" s="776" t="s">
        <v>2127</v>
      </c>
      <c r="BO260" s="776" t="s">
        <v>2127</v>
      </c>
      <c r="BP260" s="776" t="s">
        <v>2127</v>
      </c>
      <c r="BQ260" s="776" t="s">
        <v>2127</v>
      </c>
      <c r="BR260" s="776" t="s">
        <v>2127</v>
      </c>
      <c r="BS260" s="776" t="s">
        <v>2127</v>
      </c>
      <c r="BT260" s="776" t="s">
        <v>2127</v>
      </c>
      <c r="BU260" s="776" t="s">
        <v>2127</v>
      </c>
      <c r="BV260" s="776" t="s">
        <v>2127</v>
      </c>
      <c r="BW260" s="776" t="s">
        <v>2127</v>
      </c>
      <c r="BX260" s="776" t="s">
        <v>2127</v>
      </c>
      <c r="BY260" s="776" t="s">
        <v>2127</v>
      </c>
      <c r="BZ260" s="776" t="s">
        <v>2127</v>
      </c>
      <c r="CA260" s="776" t="s">
        <v>2127</v>
      </c>
      <c r="CB260" s="776" t="s">
        <v>2127</v>
      </c>
      <c r="CC260" s="776" t="s">
        <v>2127</v>
      </c>
      <c r="CD260" s="776" t="s">
        <v>2127</v>
      </c>
      <c r="CE260" s="776" t="s">
        <v>2127</v>
      </c>
      <c r="CF260" s="776" t="s">
        <v>2127</v>
      </c>
      <c r="CG260" s="776" t="s">
        <v>2127</v>
      </c>
      <c r="CH260" s="776" t="s">
        <v>2127</v>
      </c>
      <c r="CI260" s="776" t="s">
        <v>2127</v>
      </c>
      <c r="CJ260" s="776" t="s">
        <v>2127</v>
      </c>
      <c r="CK260" s="776" t="s">
        <v>2127</v>
      </c>
      <c r="CL260" s="776" t="s">
        <v>2127</v>
      </c>
      <c r="CM260" s="776" t="s">
        <v>2127</v>
      </c>
      <c r="CN260" s="776" t="s">
        <v>2127</v>
      </c>
      <c r="CO260" s="776" t="s">
        <v>2127</v>
      </c>
      <c r="CP260" s="776" t="s">
        <v>2127</v>
      </c>
      <c r="CQ260" s="776" t="s">
        <v>2127</v>
      </c>
      <c r="CR260" s="776" t="s">
        <v>2127</v>
      </c>
      <c r="CS260" s="776" t="s">
        <v>2127</v>
      </c>
      <c r="CT260" s="776" t="s">
        <v>2127</v>
      </c>
      <c r="CU260" s="776" t="s">
        <v>2127</v>
      </c>
      <c r="CV260" s="776" t="s">
        <v>2127</v>
      </c>
      <c r="CW260" s="776" t="s">
        <v>2127</v>
      </c>
      <c r="CX260" s="776" t="s">
        <v>2127</v>
      </c>
      <c r="CY260" s="776" t="s">
        <v>2127</v>
      </c>
      <c r="CZ260" s="776" t="s">
        <v>2127</v>
      </c>
      <c r="DA260" s="776" t="s">
        <v>2127</v>
      </c>
      <c r="DB260" s="776" t="s">
        <v>2127</v>
      </c>
      <c r="DC260" s="776" t="s">
        <v>2127</v>
      </c>
      <c r="DD260" s="776" t="s">
        <v>2127</v>
      </c>
      <c r="DE260" s="776" t="s">
        <v>2127</v>
      </c>
      <c r="DF260" s="776" t="s">
        <v>2127</v>
      </c>
      <c r="DG260" s="776" t="s">
        <v>2127</v>
      </c>
      <c r="DH260" s="776" t="s">
        <v>2127</v>
      </c>
      <c r="DI260" s="776" t="s">
        <v>2127</v>
      </c>
      <c r="DJ260" s="776" t="s">
        <v>2127</v>
      </c>
      <c r="DK260" s="776" t="s">
        <v>2127</v>
      </c>
      <c r="DL260" s="776" t="s">
        <v>2127</v>
      </c>
      <c r="DM260" s="776" t="s">
        <v>2127</v>
      </c>
      <c r="DN260" s="776" t="s">
        <v>2127</v>
      </c>
      <c r="DO260" s="776" t="s">
        <v>2127</v>
      </c>
      <c r="DP260" s="776" t="s">
        <v>2127</v>
      </c>
    </row>
    <row r="261" spans="1:123" x14ac:dyDescent="0.2">
      <c r="A261" s="637" t="s">
        <v>2288</v>
      </c>
      <c r="B261" s="772" t="str" cm="1">
        <f t="array" ref="B261">IFERROR(INDEX(Kulturen[HF],_xlfn.AGGREGATE(15,6,(ROW(Kulturen[Auswahl])-7)/(--(SEARCH("x",Kulturen[Auswahl])&gt;0)),ROW()-7),1),"")</f>
        <v>Dost, Oregano (Blühendes Kraut)</v>
      </c>
      <c r="C261" s="772" t="str">
        <f>IF(Kulturen[[#This Row],[HF]]=$D$373,IF($C$6=0,0,"x"),IF($C$6=0,"x",Vorauswahl!C260))</f>
        <v>x</v>
      </c>
      <c r="D261" s="938" t="s">
        <v>816</v>
      </c>
      <c r="E261" s="938" t="s">
        <v>816</v>
      </c>
      <c r="F261" s="938" t="s">
        <v>928</v>
      </c>
      <c r="G261" s="938">
        <v>14</v>
      </c>
      <c r="H261" s="938">
        <v>8</v>
      </c>
      <c r="I261" s="938">
        <v>1</v>
      </c>
      <c r="J261" s="938">
        <v>14</v>
      </c>
      <c r="K261" s="938">
        <v>1.4</v>
      </c>
      <c r="L261" s="938">
        <v>3.08</v>
      </c>
      <c r="M261" s="938">
        <v>5</v>
      </c>
      <c r="N261" s="938">
        <v>4.5999999999999996</v>
      </c>
      <c r="O261" s="938">
        <v>1</v>
      </c>
      <c r="P261" s="938">
        <v>0</v>
      </c>
      <c r="Q261" s="938">
        <v>55</v>
      </c>
      <c r="R261" s="938">
        <v>1</v>
      </c>
      <c r="S261" s="938">
        <v>3</v>
      </c>
      <c r="T261" s="938">
        <v>3</v>
      </c>
      <c r="U261" s="938">
        <v>0</v>
      </c>
      <c r="V261" s="938">
        <v>2</v>
      </c>
      <c r="W261" s="776">
        <f>IF(Kulturen[[#This Row],[Berechnungsschema]]=13,3,IF(Kulturen[[#This Row],[Berechnungsschema]]=6,2,1))</f>
        <v>1</v>
      </c>
      <c r="X261" s="776">
        <f>IF(Kulturen[[#This Row],[fruchtartengruppe]]=13,Kulturen[[#This Row],[NBedarfswert]],MAX(0,Kulturen[[#This Row],[NBedarfswert]]-Kulturen[[#This Row],[Ertrag]]*Kulturen[[#This Row],[Nfix]]))</f>
        <v>32</v>
      </c>
      <c r="Y261" s="776" t="s">
        <v>2127</v>
      </c>
      <c r="Z261" s="776" t="s">
        <v>2127</v>
      </c>
      <c r="AA261" s="776" t="s">
        <v>2127</v>
      </c>
      <c r="AB261" s="776" t="s">
        <v>2127</v>
      </c>
      <c r="AC261" s="776" t="s">
        <v>2127</v>
      </c>
      <c r="AD261" s="776" t="s">
        <v>2127</v>
      </c>
      <c r="AE261" s="776" t="s">
        <v>2127</v>
      </c>
      <c r="AF261" s="776" t="s">
        <v>2127</v>
      </c>
      <c r="AG261" s="776" t="s">
        <v>2127</v>
      </c>
      <c r="AH261" s="776" t="s">
        <v>2127</v>
      </c>
      <c r="AI261" s="776" t="s">
        <v>2127</v>
      </c>
      <c r="AJ261" s="776" t="s">
        <v>2127</v>
      </c>
      <c r="AK261" s="776" t="s">
        <v>2127</v>
      </c>
      <c r="AL261" s="776" t="s">
        <v>2127</v>
      </c>
      <c r="AM261" s="776" t="s">
        <v>2127</v>
      </c>
      <c r="AN261" s="776" t="s">
        <v>2127</v>
      </c>
      <c r="AO261" s="776" t="s">
        <v>2127</v>
      </c>
      <c r="AP261" s="776" t="s">
        <v>2127</v>
      </c>
      <c r="AQ261" s="776" t="s">
        <v>2127</v>
      </c>
      <c r="AR261" s="776" t="s">
        <v>2127</v>
      </c>
      <c r="AS261" s="776" t="s">
        <v>2127</v>
      </c>
      <c r="AT261" s="776" t="s">
        <v>2127</v>
      </c>
      <c r="AU261" s="776" t="s">
        <v>2127</v>
      </c>
      <c r="AV261" s="776" t="s">
        <v>2127</v>
      </c>
      <c r="AW261" s="776" t="s">
        <v>2127</v>
      </c>
      <c r="AX261" s="776" t="s">
        <v>2127</v>
      </c>
      <c r="AY261" s="776" t="s">
        <v>2127</v>
      </c>
      <c r="AZ261" s="776" t="s">
        <v>2127</v>
      </c>
      <c r="BA261" s="776" t="s">
        <v>2127</v>
      </c>
      <c r="BB261" s="776" t="s">
        <v>2127</v>
      </c>
      <c r="BC261" s="776" t="s">
        <v>2127</v>
      </c>
      <c r="BD261" s="776" t="s">
        <v>2127</v>
      </c>
      <c r="BE261" s="776" t="s">
        <v>2127</v>
      </c>
      <c r="BF261" s="776" t="s">
        <v>2127</v>
      </c>
      <c r="BG261" s="776" t="s">
        <v>2127</v>
      </c>
      <c r="BH261" s="776" t="s">
        <v>2127</v>
      </c>
      <c r="BI261" s="776" t="s">
        <v>2127</v>
      </c>
      <c r="BJ261" s="776" t="s">
        <v>2127</v>
      </c>
      <c r="BK261" s="776" t="s">
        <v>2127</v>
      </c>
      <c r="BL261" s="776" t="s">
        <v>2127</v>
      </c>
      <c r="BM261" s="776" t="s">
        <v>2127</v>
      </c>
      <c r="BN261" s="776" t="s">
        <v>2127</v>
      </c>
      <c r="BO261" s="776" t="s">
        <v>2127</v>
      </c>
      <c r="BP261" s="776" t="s">
        <v>2127</v>
      </c>
      <c r="BQ261" s="776" t="s">
        <v>2127</v>
      </c>
      <c r="BR261" s="776" t="s">
        <v>2127</v>
      </c>
      <c r="BS261" s="776" t="s">
        <v>2127</v>
      </c>
      <c r="BT261" s="776" t="s">
        <v>2127</v>
      </c>
      <c r="BU261" s="776" t="s">
        <v>2127</v>
      </c>
      <c r="BV261" s="776" t="s">
        <v>2127</v>
      </c>
      <c r="BW261" s="776" t="s">
        <v>2127</v>
      </c>
      <c r="BX261" s="776" t="s">
        <v>2127</v>
      </c>
      <c r="BY261" s="776" t="s">
        <v>2127</v>
      </c>
      <c r="BZ261" s="776" t="s">
        <v>2127</v>
      </c>
      <c r="CA261" s="776" t="s">
        <v>2127</v>
      </c>
      <c r="CB261" s="776" t="s">
        <v>2127</v>
      </c>
      <c r="CC261" s="776" t="s">
        <v>2127</v>
      </c>
      <c r="CD261" s="776" t="s">
        <v>2127</v>
      </c>
      <c r="CE261" s="776" t="s">
        <v>2127</v>
      </c>
      <c r="CF261" s="776" t="s">
        <v>2127</v>
      </c>
      <c r="CG261" s="776" t="s">
        <v>2127</v>
      </c>
      <c r="CH261" s="776" t="s">
        <v>2127</v>
      </c>
      <c r="CI261" s="776" t="s">
        <v>2127</v>
      </c>
      <c r="CJ261" s="776" t="s">
        <v>2127</v>
      </c>
      <c r="CK261" s="776" t="s">
        <v>2127</v>
      </c>
      <c r="CL261" s="776" t="s">
        <v>2127</v>
      </c>
      <c r="CM261" s="776" t="s">
        <v>2127</v>
      </c>
      <c r="CN261" s="776" t="s">
        <v>2127</v>
      </c>
      <c r="CO261" s="776" t="s">
        <v>2127</v>
      </c>
      <c r="CP261" s="776" t="s">
        <v>2127</v>
      </c>
      <c r="CQ261" s="776" t="s">
        <v>2127</v>
      </c>
      <c r="CR261" s="776" t="s">
        <v>2127</v>
      </c>
      <c r="CS261" s="776" t="s">
        <v>2127</v>
      </c>
      <c r="CT261" s="776" t="s">
        <v>2127</v>
      </c>
      <c r="CU261" s="776" t="s">
        <v>2127</v>
      </c>
      <c r="CV261" s="776" t="s">
        <v>2127</v>
      </c>
      <c r="CW261" s="776" t="s">
        <v>2127</v>
      </c>
      <c r="CX261" s="776" t="s">
        <v>2127</v>
      </c>
      <c r="CY261" s="776" t="s">
        <v>2127</v>
      </c>
      <c r="CZ261" s="776" t="s">
        <v>2127</v>
      </c>
      <c r="DA261" s="776" t="s">
        <v>2127</v>
      </c>
      <c r="DB261" s="776" t="s">
        <v>2127</v>
      </c>
      <c r="DC261" s="776" t="s">
        <v>2127</v>
      </c>
      <c r="DD261" s="776" t="s">
        <v>2127</v>
      </c>
      <c r="DE261" s="776" t="s">
        <v>2127</v>
      </c>
      <c r="DF261" s="776" t="s">
        <v>2127</v>
      </c>
      <c r="DG261" s="776" t="s">
        <v>2127</v>
      </c>
      <c r="DH261" s="776" t="s">
        <v>2127</v>
      </c>
      <c r="DI261" s="776" t="s">
        <v>2127</v>
      </c>
      <c r="DJ261" s="776" t="s">
        <v>2127</v>
      </c>
      <c r="DK261" s="776" t="s">
        <v>2127</v>
      </c>
      <c r="DL261" s="776" t="s">
        <v>2127</v>
      </c>
      <c r="DM261" s="776" t="s">
        <v>2127</v>
      </c>
      <c r="DN261" s="776" t="s">
        <v>2127</v>
      </c>
      <c r="DO261" s="776" t="s">
        <v>2127</v>
      </c>
      <c r="DP261" s="776" t="s">
        <v>2127</v>
      </c>
    </row>
    <row r="262" spans="1:123" x14ac:dyDescent="0.2">
      <c r="A262" s="637" t="s">
        <v>2289</v>
      </c>
      <c r="B262" s="772" t="str" cm="1">
        <f t="array" ref="B262">IFERROR(INDEX(Kulturen[HF],_xlfn.AGGREGATE(15,6,(ROW(Kulturen[Auswahl])-7)/(--(SEARCH("x",Kulturen[Auswahl])&gt;0)),ROW()-7),1),"")</f>
        <v>Drachenkopf, Türkischer (Blühendes Kraut)</v>
      </c>
      <c r="C262" s="772" t="str">
        <f>IF(Kulturen[[#This Row],[HF]]=$D$373,IF($C$6=0,0,"x"),IF($C$6=0,"x",Vorauswahl!C261))</f>
        <v>x</v>
      </c>
      <c r="D262" s="938" t="s">
        <v>2005</v>
      </c>
      <c r="E262" s="938" t="s">
        <v>2005</v>
      </c>
      <c r="F262" s="938" t="s">
        <v>929</v>
      </c>
      <c r="G262" s="938">
        <v>14</v>
      </c>
      <c r="H262" s="938">
        <v>8</v>
      </c>
      <c r="I262" s="938">
        <v>3</v>
      </c>
      <c r="J262" s="938">
        <v>14</v>
      </c>
      <c r="K262" s="938">
        <v>0.12</v>
      </c>
      <c r="L262" s="938">
        <v>0.12</v>
      </c>
      <c r="M262" s="938">
        <v>450</v>
      </c>
      <c r="N262" s="938">
        <v>0</v>
      </c>
      <c r="O262" s="938">
        <v>2</v>
      </c>
      <c r="P262" s="938">
        <v>0</v>
      </c>
      <c r="Q262" s="938">
        <v>185</v>
      </c>
      <c r="R262" s="938">
        <v>45</v>
      </c>
      <c r="S262" s="938">
        <v>19</v>
      </c>
      <c r="T262" s="938">
        <v>19</v>
      </c>
      <c r="U262" s="938">
        <v>0</v>
      </c>
      <c r="V262" s="938">
        <v>1</v>
      </c>
      <c r="W262" s="776">
        <f>IF(Kulturen[[#This Row],[Berechnungsschema]]=13,3,IF(Kulturen[[#This Row],[Berechnungsschema]]=6,2,1))</f>
        <v>1</v>
      </c>
      <c r="X262" s="776">
        <f>IF(Kulturen[[#This Row],[fruchtartengruppe]]=13,Kulturen[[#This Row],[NBedarfswert]],MAX(0,Kulturen[[#This Row],[NBedarfswert]]-Kulturen[[#This Row],[Ertrag]]*Kulturen[[#This Row],[Nfix]]))</f>
        <v>185</v>
      </c>
      <c r="Y262" s="776" t="s">
        <v>2127</v>
      </c>
      <c r="Z262" s="776" t="s">
        <v>2127</v>
      </c>
      <c r="AA262" s="776" t="s">
        <v>2127</v>
      </c>
      <c r="AB262" s="776" t="s">
        <v>2127</v>
      </c>
      <c r="AC262" s="776" t="s">
        <v>2127</v>
      </c>
      <c r="AD262" s="776" t="s">
        <v>2127</v>
      </c>
      <c r="AE262" s="776" t="s">
        <v>2127</v>
      </c>
      <c r="AF262" s="776" t="s">
        <v>2127</v>
      </c>
      <c r="AG262" s="776" t="s">
        <v>2127</v>
      </c>
      <c r="AH262" s="776" t="s">
        <v>2127</v>
      </c>
      <c r="AI262" s="776" t="s">
        <v>2127</v>
      </c>
      <c r="AJ262" s="776" t="s">
        <v>2127</v>
      </c>
      <c r="AK262" s="776" t="s">
        <v>2127</v>
      </c>
      <c r="AL262" s="776" t="s">
        <v>2127</v>
      </c>
      <c r="AM262" s="776" t="s">
        <v>2127</v>
      </c>
      <c r="AN262" s="776" t="s">
        <v>2127</v>
      </c>
      <c r="AO262" s="776" t="s">
        <v>2127</v>
      </c>
      <c r="AP262" s="776" t="s">
        <v>2127</v>
      </c>
      <c r="AQ262" s="776" t="s">
        <v>2127</v>
      </c>
      <c r="AR262" s="776" t="s">
        <v>2127</v>
      </c>
      <c r="AS262" s="776" t="s">
        <v>2127</v>
      </c>
      <c r="AT262" s="776" t="s">
        <v>2127</v>
      </c>
      <c r="AU262" s="776" t="s">
        <v>2127</v>
      </c>
      <c r="AV262" s="776" t="s">
        <v>2127</v>
      </c>
      <c r="AW262" s="776" t="s">
        <v>2127</v>
      </c>
      <c r="AX262" s="776" t="s">
        <v>2127</v>
      </c>
      <c r="AY262" s="776" t="s">
        <v>2127</v>
      </c>
      <c r="AZ262" s="776" t="s">
        <v>2127</v>
      </c>
      <c r="BA262" s="776" t="s">
        <v>2127</v>
      </c>
      <c r="BB262" s="776" t="s">
        <v>2127</v>
      </c>
      <c r="BC262" s="776" t="s">
        <v>2127</v>
      </c>
      <c r="BD262" s="776" t="s">
        <v>2127</v>
      </c>
      <c r="BE262" s="776" t="s">
        <v>2127</v>
      </c>
      <c r="BF262" s="776" t="s">
        <v>2127</v>
      </c>
      <c r="BG262" s="776" t="s">
        <v>2127</v>
      </c>
      <c r="BH262" s="776" t="s">
        <v>2127</v>
      </c>
      <c r="BI262" s="776" t="s">
        <v>2127</v>
      </c>
      <c r="BJ262" s="776" t="s">
        <v>2127</v>
      </c>
      <c r="BK262" s="776" t="s">
        <v>2127</v>
      </c>
      <c r="BL262" s="776" t="s">
        <v>2127</v>
      </c>
      <c r="BM262" s="776" t="s">
        <v>2127</v>
      </c>
      <c r="BN262" s="776" t="s">
        <v>2127</v>
      </c>
      <c r="BO262" s="776" t="s">
        <v>2127</v>
      </c>
      <c r="BP262" s="776" t="s">
        <v>2127</v>
      </c>
      <c r="BQ262" s="776" t="s">
        <v>2127</v>
      </c>
      <c r="BR262" s="776" t="s">
        <v>2127</v>
      </c>
      <c r="BS262" s="776" t="s">
        <v>2127</v>
      </c>
      <c r="BT262" s="776" t="s">
        <v>2127</v>
      </c>
      <c r="BU262" s="776" t="s">
        <v>2127</v>
      </c>
      <c r="BV262" s="776" t="s">
        <v>2127</v>
      </c>
      <c r="BW262" s="776" t="s">
        <v>2127</v>
      </c>
      <c r="BX262" s="776" t="s">
        <v>2127</v>
      </c>
      <c r="BY262" s="776" t="s">
        <v>2127</v>
      </c>
      <c r="BZ262" s="776" t="s">
        <v>2127</v>
      </c>
      <c r="CA262" s="776" t="s">
        <v>2127</v>
      </c>
      <c r="CB262" s="776" t="s">
        <v>2127</v>
      </c>
      <c r="CC262" s="776" t="s">
        <v>2127</v>
      </c>
      <c r="CD262" s="776" t="s">
        <v>2127</v>
      </c>
      <c r="CE262" s="776" t="s">
        <v>2127</v>
      </c>
      <c r="CF262" s="776" t="s">
        <v>2127</v>
      </c>
      <c r="CG262" s="776" t="s">
        <v>2127</v>
      </c>
      <c r="CH262" s="776" t="s">
        <v>2127</v>
      </c>
      <c r="CI262" s="776" t="s">
        <v>2127</v>
      </c>
      <c r="CJ262" s="776" t="s">
        <v>2127</v>
      </c>
      <c r="CK262" s="776" t="s">
        <v>2127</v>
      </c>
      <c r="CL262" s="776" t="s">
        <v>2127</v>
      </c>
      <c r="CM262" s="776" t="s">
        <v>2127</v>
      </c>
      <c r="CN262" s="776" t="s">
        <v>2127</v>
      </c>
      <c r="CO262" s="776" t="s">
        <v>2127</v>
      </c>
      <c r="CP262" s="776" t="s">
        <v>2127</v>
      </c>
      <c r="CQ262" s="776" t="s">
        <v>2127</v>
      </c>
      <c r="CR262" s="776" t="s">
        <v>2127</v>
      </c>
      <c r="CS262" s="776" t="s">
        <v>2127</v>
      </c>
      <c r="CT262" s="776" t="s">
        <v>2127</v>
      </c>
      <c r="CU262" s="776" t="s">
        <v>2127</v>
      </c>
      <c r="CV262" s="776" t="s">
        <v>2127</v>
      </c>
      <c r="CW262" s="776" t="s">
        <v>2127</v>
      </c>
      <c r="CX262" s="776" t="s">
        <v>2127</v>
      </c>
      <c r="CY262" s="776" t="s">
        <v>2127</v>
      </c>
      <c r="CZ262" s="776" t="s">
        <v>2127</v>
      </c>
      <c r="DA262" s="776" t="s">
        <v>2127</v>
      </c>
      <c r="DB262" s="776" t="s">
        <v>2127</v>
      </c>
      <c r="DC262" s="776" t="s">
        <v>2127</v>
      </c>
      <c r="DD262" s="776" t="s">
        <v>2127</v>
      </c>
      <c r="DE262" s="776" t="s">
        <v>2127</v>
      </c>
      <c r="DF262" s="776" t="s">
        <v>2127</v>
      </c>
      <c r="DG262" s="776" t="s">
        <v>2127</v>
      </c>
      <c r="DH262" s="776" t="s">
        <v>2127</v>
      </c>
      <c r="DI262" s="776" t="s">
        <v>2127</v>
      </c>
      <c r="DJ262" s="776" t="s">
        <v>2127</v>
      </c>
      <c r="DK262" s="776" t="s">
        <v>2127</v>
      </c>
      <c r="DL262" s="776" t="s">
        <v>2127</v>
      </c>
      <c r="DM262" s="776" t="s">
        <v>2127</v>
      </c>
      <c r="DN262" s="776" t="s">
        <v>2127</v>
      </c>
      <c r="DO262" s="776" t="s">
        <v>2127</v>
      </c>
      <c r="DP262" s="776" t="s">
        <v>2127</v>
      </c>
      <c r="DS262" s="1385"/>
    </row>
    <row r="263" spans="1:123" x14ac:dyDescent="0.2">
      <c r="A263" s="637" t="s">
        <v>2290</v>
      </c>
      <c r="B263" s="772" t="str" cm="1">
        <f t="array" ref="B263">IFERROR(INDEX(Kulturen[HF],_xlfn.AGGREGATE(15,6,(ROW(Kulturen[Auswahl])-7)/(--(SEARCH("x",Kulturen[Auswahl])&gt;0)),ROW()-7),1),"")</f>
        <v>Drachenkopf, Iberischer (Samen)</v>
      </c>
      <c r="C263" s="772" t="str">
        <f>IF(Kulturen[[#This Row],[HF]]=$D$373,IF($C$6=0,0,"x"),IF($C$6=0,"x",Vorauswahl!C262))</f>
        <v>x</v>
      </c>
      <c r="D263" s="938" t="s">
        <v>2006</v>
      </c>
      <c r="E263" s="938" t="s">
        <v>2006</v>
      </c>
      <c r="F263" s="938" t="s">
        <v>930</v>
      </c>
      <c r="G263" s="938">
        <v>14</v>
      </c>
      <c r="H263" s="938">
        <v>8</v>
      </c>
      <c r="I263" s="938">
        <v>3</v>
      </c>
      <c r="J263" s="938">
        <v>14</v>
      </c>
      <c r="K263" s="938">
        <v>0.05</v>
      </c>
      <c r="L263" s="938">
        <v>0.05</v>
      </c>
      <c r="M263" s="938">
        <v>300</v>
      </c>
      <c r="N263" s="938">
        <v>0</v>
      </c>
      <c r="O263" s="938">
        <v>2</v>
      </c>
      <c r="P263" s="938">
        <v>0</v>
      </c>
      <c r="Q263" s="938">
        <v>110</v>
      </c>
      <c r="R263" s="938">
        <v>30</v>
      </c>
      <c r="S263" s="938">
        <v>6</v>
      </c>
      <c r="T263" s="938">
        <v>6</v>
      </c>
      <c r="U263" s="938">
        <v>0</v>
      </c>
      <c r="V263" s="938">
        <v>1</v>
      </c>
      <c r="W263" s="776">
        <f>IF(Kulturen[[#This Row],[Berechnungsschema]]=13,3,IF(Kulturen[[#This Row],[Berechnungsschema]]=6,2,1))</f>
        <v>1</v>
      </c>
      <c r="X263" s="776">
        <f>IF(Kulturen[[#This Row],[fruchtartengruppe]]=13,Kulturen[[#This Row],[NBedarfswert]],MAX(0,Kulturen[[#This Row],[NBedarfswert]]-Kulturen[[#This Row],[Ertrag]]*Kulturen[[#This Row],[Nfix]]))</f>
        <v>110</v>
      </c>
      <c r="Y263" s="776" t="s">
        <v>2127</v>
      </c>
      <c r="Z263" s="776" t="s">
        <v>2127</v>
      </c>
      <c r="AA263" s="776" t="s">
        <v>2127</v>
      </c>
      <c r="AB263" s="776" t="s">
        <v>2127</v>
      </c>
      <c r="AC263" s="776" t="s">
        <v>2127</v>
      </c>
      <c r="AD263" s="776" t="s">
        <v>2127</v>
      </c>
      <c r="AE263" s="776" t="s">
        <v>2127</v>
      </c>
      <c r="AF263" s="776" t="s">
        <v>2127</v>
      </c>
      <c r="AG263" s="776" t="s">
        <v>2127</v>
      </c>
      <c r="AH263" s="776" t="s">
        <v>2127</v>
      </c>
      <c r="AI263" s="776" t="s">
        <v>2127</v>
      </c>
      <c r="AJ263" s="776" t="s">
        <v>2127</v>
      </c>
      <c r="AK263" s="776" t="s">
        <v>2127</v>
      </c>
      <c r="AL263" s="776" t="s">
        <v>2127</v>
      </c>
      <c r="AM263" s="776" t="s">
        <v>2127</v>
      </c>
      <c r="AN263" s="776" t="s">
        <v>2127</v>
      </c>
      <c r="AO263" s="776" t="s">
        <v>2127</v>
      </c>
      <c r="AP263" s="776" t="s">
        <v>2127</v>
      </c>
      <c r="AQ263" s="776" t="s">
        <v>2127</v>
      </c>
      <c r="AR263" s="776" t="s">
        <v>2127</v>
      </c>
      <c r="AS263" s="776" t="s">
        <v>2127</v>
      </c>
      <c r="AT263" s="776" t="s">
        <v>2127</v>
      </c>
      <c r="AU263" s="776" t="s">
        <v>2127</v>
      </c>
      <c r="AV263" s="776" t="s">
        <v>2127</v>
      </c>
      <c r="AW263" s="776" t="s">
        <v>2127</v>
      </c>
      <c r="AX263" s="776" t="s">
        <v>2127</v>
      </c>
      <c r="AY263" s="776" t="s">
        <v>2127</v>
      </c>
      <c r="AZ263" s="776" t="s">
        <v>2127</v>
      </c>
      <c r="BA263" s="776" t="s">
        <v>2127</v>
      </c>
      <c r="BB263" s="776" t="s">
        <v>2127</v>
      </c>
      <c r="BC263" s="776" t="s">
        <v>2127</v>
      </c>
      <c r="BD263" s="776" t="s">
        <v>2127</v>
      </c>
      <c r="BE263" s="776" t="s">
        <v>2127</v>
      </c>
      <c r="BF263" s="776" t="s">
        <v>2127</v>
      </c>
      <c r="BG263" s="776" t="s">
        <v>2127</v>
      </c>
      <c r="BH263" s="776" t="s">
        <v>2127</v>
      </c>
      <c r="BI263" s="776" t="s">
        <v>2127</v>
      </c>
      <c r="BJ263" s="776" t="s">
        <v>2127</v>
      </c>
      <c r="BK263" s="776" t="s">
        <v>2127</v>
      </c>
      <c r="BL263" s="776" t="s">
        <v>2127</v>
      </c>
      <c r="BM263" s="776" t="s">
        <v>2127</v>
      </c>
      <c r="BN263" s="776" t="s">
        <v>2127</v>
      </c>
      <c r="BO263" s="776" t="s">
        <v>2127</v>
      </c>
      <c r="BP263" s="776" t="s">
        <v>2127</v>
      </c>
      <c r="BQ263" s="776" t="s">
        <v>2127</v>
      </c>
      <c r="BR263" s="776" t="s">
        <v>2127</v>
      </c>
      <c r="BS263" s="776" t="s">
        <v>2127</v>
      </c>
      <c r="BT263" s="776" t="s">
        <v>2127</v>
      </c>
      <c r="BU263" s="776" t="s">
        <v>2127</v>
      </c>
      <c r="BV263" s="776" t="s">
        <v>2127</v>
      </c>
      <c r="BW263" s="776" t="s">
        <v>2127</v>
      </c>
      <c r="BX263" s="776" t="s">
        <v>2127</v>
      </c>
      <c r="BY263" s="776" t="s">
        <v>2127</v>
      </c>
      <c r="BZ263" s="776" t="s">
        <v>2127</v>
      </c>
      <c r="CA263" s="776" t="s">
        <v>2127</v>
      </c>
      <c r="CB263" s="776" t="s">
        <v>2127</v>
      </c>
      <c r="CC263" s="776" t="s">
        <v>2127</v>
      </c>
      <c r="CD263" s="776" t="s">
        <v>2127</v>
      </c>
      <c r="CE263" s="776" t="s">
        <v>2127</v>
      </c>
      <c r="CF263" s="776" t="s">
        <v>2127</v>
      </c>
      <c r="CG263" s="776" t="s">
        <v>2127</v>
      </c>
      <c r="CH263" s="776" t="s">
        <v>2127</v>
      </c>
      <c r="CI263" s="776" t="s">
        <v>2127</v>
      </c>
      <c r="CJ263" s="776" t="s">
        <v>2127</v>
      </c>
      <c r="CK263" s="776" t="s">
        <v>2127</v>
      </c>
      <c r="CL263" s="776" t="s">
        <v>2127</v>
      </c>
      <c r="CM263" s="776" t="s">
        <v>2127</v>
      </c>
      <c r="CN263" s="776" t="s">
        <v>2127</v>
      </c>
      <c r="CO263" s="776" t="s">
        <v>2127</v>
      </c>
      <c r="CP263" s="776" t="s">
        <v>2127</v>
      </c>
      <c r="CQ263" s="776" t="s">
        <v>2127</v>
      </c>
      <c r="CR263" s="776" t="s">
        <v>2127</v>
      </c>
      <c r="CS263" s="776" t="s">
        <v>2127</v>
      </c>
      <c r="CT263" s="776" t="s">
        <v>2127</v>
      </c>
      <c r="CU263" s="776" t="s">
        <v>2127</v>
      </c>
      <c r="CV263" s="776" t="s">
        <v>2127</v>
      </c>
      <c r="CW263" s="776" t="s">
        <v>2127</v>
      </c>
      <c r="CX263" s="776" t="s">
        <v>2127</v>
      </c>
      <c r="CY263" s="776" t="s">
        <v>2127</v>
      </c>
      <c r="CZ263" s="776" t="s">
        <v>2127</v>
      </c>
      <c r="DA263" s="776" t="s">
        <v>2127</v>
      </c>
      <c r="DB263" s="776" t="s">
        <v>2127</v>
      </c>
      <c r="DC263" s="776" t="s">
        <v>2127</v>
      </c>
      <c r="DD263" s="776" t="s">
        <v>2127</v>
      </c>
      <c r="DE263" s="776" t="s">
        <v>2127</v>
      </c>
      <c r="DF263" s="776" t="s">
        <v>2127</v>
      </c>
      <c r="DG263" s="776" t="s">
        <v>2127</v>
      </c>
      <c r="DH263" s="776" t="s">
        <v>2127</v>
      </c>
      <c r="DI263" s="776" t="s">
        <v>2127</v>
      </c>
      <c r="DJ263" s="776" t="s">
        <v>2127</v>
      </c>
      <c r="DK263" s="776" t="s">
        <v>2127</v>
      </c>
      <c r="DL263" s="776" t="s">
        <v>2127</v>
      </c>
      <c r="DM263" s="776" t="s">
        <v>2127</v>
      </c>
      <c r="DN263" s="776" t="s">
        <v>2127</v>
      </c>
      <c r="DO263" s="776" t="s">
        <v>2127</v>
      </c>
      <c r="DP263" s="776" t="s">
        <v>2127</v>
      </c>
      <c r="DS263" s="1386"/>
    </row>
    <row r="264" spans="1:123" x14ac:dyDescent="0.2">
      <c r="A264" s="637" t="s">
        <v>2291</v>
      </c>
      <c r="B264" s="772" t="str" cm="1">
        <f t="array" ref="B264">IFERROR(INDEX(Kulturen[HF],_xlfn.AGGREGATE(15,6,(ROW(Kulturen[Auswahl])-7)/(--(SEARCH("x",Kulturen[Auswahl])&gt;0)),ROW()-7),1),"")</f>
        <v>Efeu (Kraut)</v>
      </c>
      <c r="C264" s="772" t="str">
        <f>IF(Kulturen[[#This Row],[HF]]=$D$373,IF($C$6=0,0,"x"),IF($C$6=0,"x",Vorauswahl!C263))</f>
        <v>x</v>
      </c>
      <c r="D264" s="938" t="s">
        <v>2007</v>
      </c>
      <c r="E264" s="938" t="s">
        <v>2007</v>
      </c>
      <c r="F264" s="938" t="s">
        <v>931</v>
      </c>
      <c r="G264" s="938">
        <v>14</v>
      </c>
      <c r="H264" s="938">
        <v>8</v>
      </c>
      <c r="I264" s="938">
        <v>3</v>
      </c>
      <c r="J264" s="938">
        <v>14</v>
      </c>
      <c r="K264" s="938">
        <v>0.17</v>
      </c>
      <c r="L264" s="938">
        <v>0.17</v>
      </c>
      <c r="M264" s="938">
        <v>300</v>
      </c>
      <c r="N264" s="938">
        <v>0</v>
      </c>
      <c r="O264" s="938">
        <v>1</v>
      </c>
      <c r="P264" s="938">
        <v>0</v>
      </c>
      <c r="Q264" s="938">
        <v>140</v>
      </c>
      <c r="R264" s="938">
        <v>30</v>
      </c>
      <c r="S264" s="938">
        <v>14</v>
      </c>
      <c r="T264" s="938">
        <v>14</v>
      </c>
      <c r="U264" s="938">
        <v>0</v>
      </c>
      <c r="V264" s="938">
        <v>1</v>
      </c>
      <c r="W264" s="776">
        <f>IF(Kulturen[[#This Row],[Berechnungsschema]]=13,3,IF(Kulturen[[#This Row],[Berechnungsschema]]=6,2,1))</f>
        <v>1</v>
      </c>
      <c r="X264" s="776">
        <f>IF(Kulturen[[#This Row],[fruchtartengruppe]]=13,Kulturen[[#This Row],[NBedarfswert]],MAX(0,Kulturen[[#This Row],[NBedarfswert]]-Kulturen[[#This Row],[Ertrag]]*Kulturen[[#This Row],[Nfix]]))</f>
        <v>140</v>
      </c>
      <c r="Y264" s="776" t="s">
        <v>2127</v>
      </c>
      <c r="Z264" s="776" t="s">
        <v>2127</v>
      </c>
      <c r="AA264" s="776" t="s">
        <v>2127</v>
      </c>
      <c r="AB264" s="776" t="s">
        <v>2127</v>
      </c>
      <c r="AC264" s="776" t="s">
        <v>2127</v>
      </c>
      <c r="AD264" s="776" t="s">
        <v>2127</v>
      </c>
      <c r="AE264" s="776" t="s">
        <v>2127</v>
      </c>
      <c r="AF264" s="776" t="s">
        <v>2127</v>
      </c>
      <c r="AG264" s="776" t="s">
        <v>2127</v>
      </c>
      <c r="AH264" s="776" t="s">
        <v>2127</v>
      </c>
      <c r="AI264" s="776" t="s">
        <v>2127</v>
      </c>
      <c r="AJ264" s="776" t="s">
        <v>2127</v>
      </c>
      <c r="AK264" s="776" t="s">
        <v>2127</v>
      </c>
      <c r="AL264" s="776" t="s">
        <v>2127</v>
      </c>
      <c r="AM264" s="776" t="s">
        <v>2127</v>
      </c>
      <c r="AN264" s="776" t="s">
        <v>2127</v>
      </c>
      <c r="AO264" s="776" t="s">
        <v>2127</v>
      </c>
      <c r="AP264" s="776" t="s">
        <v>2127</v>
      </c>
      <c r="AQ264" s="776" t="s">
        <v>2127</v>
      </c>
      <c r="AR264" s="776" t="s">
        <v>2127</v>
      </c>
      <c r="AS264" s="776" t="s">
        <v>2127</v>
      </c>
      <c r="AT264" s="776" t="s">
        <v>2127</v>
      </c>
      <c r="AU264" s="776" t="s">
        <v>2127</v>
      </c>
      <c r="AV264" s="776" t="s">
        <v>2127</v>
      </c>
      <c r="AW264" s="776" t="s">
        <v>2127</v>
      </c>
      <c r="AX264" s="776" t="s">
        <v>2127</v>
      </c>
      <c r="AY264" s="776" t="s">
        <v>2127</v>
      </c>
      <c r="AZ264" s="776" t="s">
        <v>2127</v>
      </c>
      <c r="BA264" s="776" t="s">
        <v>2127</v>
      </c>
      <c r="BB264" s="776" t="s">
        <v>2127</v>
      </c>
      <c r="BC264" s="776" t="s">
        <v>2127</v>
      </c>
      <c r="BD264" s="776" t="s">
        <v>2127</v>
      </c>
      <c r="BE264" s="776" t="s">
        <v>2127</v>
      </c>
      <c r="BF264" s="776" t="s">
        <v>2127</v>
      </c>
      <c r="BG264" s="776" t="s">
        <v>2127</v>
      </c>
      <c r="BH264" s="776" t="s">
        <v>2127</v>
      </c>
      <c r="BI264" s="776" t="s">
        <v>2127</v>
      </c>
      <c r="BJ264" s="776" t="s">
        <v>2127</v>
      </c>
      <c r="BK264" s="776" t="s">
        <v>2127</v>
      </c>
      <c r="BL264" s="776" t="s">
        <v>2127</v>
      </c>
      <c r="BM264" s="776" t="s">
        <v>2127</v>
      </c>
      <c r="BN264" s="776" t="s">
        <v>2127</v>
      </c>
      <c r="BO264" s="776" t="s">
        <v>2127</v>
      </c>
      <c r="BP264" s="776" t="s">
        <v>2127</v>
      </c>
      <c r="BQ264" s="776" t="s">
        <v>2127</v>
      </c>
      <c r="BR264" s="776" t="s">
        <v>2127</v>
      </c>
      <c r="BS264" s="776" t="s">
        <v>2127</v>
      </c>
      <c r="BT264" s="776" t="s">
        <v>2127</v>
      </c>
      <c r="BU264" s="776" t="s">
        <v>2127</v>
      </c>
      <c r="BV264" s="776" t="s">
        <v>2127</v>
      </c>
      <c r="BW264" s="776" t="s">
        <v>2127</v>
      </c>
      <c r="BX264" s="776" t="s">
        <v>2127</v>
      </c>
      <c r="BY264" s="776" t="s">
        <v>2127</v>
      </c>
      <c r="BZ264" s="776" t="s">
        <v>2127</v>
      </c>
      <c r="CA264" s="776" t="s">
        <v>2127</v>
      </c>
      <c r="CB264" s="776" t="s">
        <v>2127</v>
      </c>
      <c r="CC264" s="776" t="s">
        <v>2127</v>
      </c>
      <c r="CD264" s="776" t="s">
        <v>2127</v>
      </c>
      <c r="CE264" s="776" t="s">
        <v>2127</v>
      </c>
      <c r="CF264" s="776" t="s">
        <v>2127</v>
      </c>
      <c r="CG264" s="776" t="s">
        <v>2127</v>
      </c>
      <c r="CH264" s="776" t="s">
        <v>2127</v>
      </c>
      <c r="CI264" s="776" t="s">
        <v>2127</v>
      </c>
      <c r="CJ264" s="776" t="s">
        <v>2127</v>
      </c>
      <c r="CK264" s="776" t="s">
        <v>2127</v>
      </c>
      <c r="CL264" s="776" t="s">
        <v>2127</v>
      </c>
      <c r="CM264" s="776" t="s">
        <v>2127</v>
      </c>
      <c r="CN264" s="776" t="s">
        <v>2127</v>
      </c>
      <c r="CO264" s="776" t="s">
        <v>2127</v>
      </c>
      <c r="CP264" s="776" t="s">
        <v>2127</v>
      </c>
      <c r="CQ264" s="776" t="s">
        <v>2127</v>
      </c>
      <c r="CR264" s="776" t="s">
        <v>2127</v>
      </c>
      <c r="CS264" s="776" t="s">
        <v>2127</v>
      </c>
      <c r="CT264" s="776" t="s">
        <v>2127</v>
      </c>
      <c r="CU264" s="776" t="s">
        <v>2127</v>
      </c>
      <c r="CV264" s="776" t="s">
        <v>2127</v>
      </c>
      <c r="CW264" s="776" t="s">
        <v>2127</v>
      </c>
      <c r="CX264" s="776" t="s">
        <v>2127</v>
      </c>
      <c r="CY264" s="776" t="s">
        <v>2127</v>
      </c>
      <c r="CZ264" s="776" t="s">
        <v>2127</v>
      </c>
      <c r="DA264" s="776" t="s">
        <v>2127</v>
      </c>
      <c r="DB264" s="776" t="s">
        <v>2127</v>
      </c>
      <c r="DC264" s="776" t="s">
        <v>2127</v>
      </c>
      <c r="DD264" s="776" t="s">
        <v>2127</v>
      </c>
      <c r="DE264" s="776" t="s">
        <v>2127</v>
      </c>
      <c r="DF264" s="776" t="s">
        <v>2127</v>
      </c>
      <c r="DG264" s="776" t="s">
        <v>2127</v>
      </c>
      <c r="DH264" s="776" t="s">
        <v>2127</v>
      </c>
      <c r="DI264" s="776" t="s">
        <v>2127</v>
      </c>
      <c r="DJ264" s="776" t="s">
        <v>2127</v>
      </c>
      <c r="DK264" s="776" t="s">
        <v>2127</v>
      </c>
      <c r="DL264" s="776" t="s">
        <v>2127</v>
      </c>
      <c r="DM264" s="776" t="s">
        <v>2127</v>
      </c>
      <c r="DN264" s="776" t="s">
        <v>2127</v>
      </c>
      <c r="DO264" s="776" t="s">
        <v>2127</v>
      </c>
      <c r="DP264" s="776" t="s">
        <v>2127</v>
      </c>
    </row>
    <row r="265" spans="1:123" x14ac:dyDescent="0.2">
      <c r="A265" s="637" t="s">
        <v>2292</v>
      </c>
      <c r="B265" s="772" t="str" cm="1">
        <f t="array" ref="B265">IFERROR(INDEX(Kulturen[HF],_xlfn.AGGREGATE(15,6,(ROW(Kulturen[Auswahl])-7)/(--(SEARCH("x",Kulturen[Auswahl])&gt;0)),ROW()-7),1),"")</f>
        <v>Eibisch (Wurzeln)</v>
      </c>
      <c r="C265" s="772" t="str">
        <f>IF(Kulturen[[#This Row],[HF]]=$D$373,IF($C$6=0,0,"x"),IF($C$6=0,"x",Vorauswahl!C264))</f>
        <v>x</v>
      </c>
      <c r="D265" s="938" t="s">
        <v>2008</v>
      </c>
      <c r="E265" s="938" t="s">
        <v>2008</v>
      </c>
      <c r="F265" s="938" t="s">
        <v>932</v>
      </c>
      <c r="G265" s="938">
        <v>14</v>
      </c>
      <c r="H265" s="938">
        <v>8</v>
      </c>
      <c r="I265" s="938">
        <v>3</v>
      </c>
      <c r="J265" s="938">
        <v>14</v>
      </c>
      <c r="K265" s="938">
        <v>0.26</v>
      </c>
      <c r="L265" s="938">
        <v>0.35</v>
      </c>
      <c r="M265" s="938">
        <v>180</v>
      </c>
      <c r="N265" s="938">
        <v>0</v>
      </c>
      <c r="O265" s="938">
        <v>2</v>
      </c>
      <c r="P265" s="938">
        <v>0</v>
      </c>
      <c r="Q265" s="938">
        <v>195</v>
      </c>
      <c r="R265" s="938">
        <v>18</v>
      </c>
      <c r="S265" s="938">
        <v>20</v>
      </c>
      <c r="T265" s="938">
        <v>20</v>
      </c>
      <c r="U265" s="938">
        <v>0</v>
      </c>
      <c r="V265" s="938">
        <v>1</v>
      </c>
      <c r="W265" s="776">
        <f>IF(Kulturen[[#This Row],[Berechnungsschema]]=13,3,IF(Kulturen[[#This Row],[Berechnungsschema]]=6,2,1))</f>
        <v>1</v>
      </c>
      <c r="X265" s="776">
        <f>IF(Kulturen[[#This Row],[fruchtartengruppe]]=13,Kulturen[[#This Row],[NBedarfswert]],MAX(0,Kulturen[[#This Row],[NBedarfswert]]-Kulturen[[#This Row],[Ertrag]]*Kulturen[[#This Row],[Nfix]]))</f>
        <v>195</v>
      </c>
      <c r="Y265" s="776" t="s">
        <v>2127</v>
      </c>
      <c r="Z265" s="776" t="s">
        <v>2127</v>
      </c>
      <c r="AA265" s="776" t="s">
        <v>2127</v>
      </c>
      <c r="AB265" s="776" t="s">
        <v>2127</v>
      </c>
      <c r="AC265" s="776" t="s">
        <v>2127</v>
      </c>
      <c r="AD265" s="776" t="s">
        <v>2127</v>
      </c>
      <c r="AE265" s="776" t="s">
        <v>2127</v>
      </c>
      <c r="AF265" s="776" t="s">
        <v>2127</v>
      </c>
      <c r="AG265" s="776" t="s">
        <v>2127</v>
      </c>
      <c r="AH265" s="776" t="s">
        <v>2127</v>
      </c>
      <c r="AI265" s="776" t="s">
        <v>2127</v>
      </c>
      <c r="AJ265" s="776" t="s">
        <v>2127</v>
      </c>
      <c r="AK265" s="776" t="s">
        <v>2127</v>
      </c>
      <c r="AL265" s="776" t="s">
        <v>2127</v>
      </c>
      <c r="AM265" s="776" t="s">
        <v>2127</v>
      </c>
      <c r="AN265" s="776" t="s">
        <v>2127</v>
      </c>
      <c r="AO265" s="776" t="s">
        <v>2127</v>
      </c>
      <c r="AP265" s="776" t="s">
        <v>2127</v>
      </c>
      <c r="AQ265" s="776" t="s">
        <v>2127</v>
      </c>
      <c r="AR265" s="776" t="s">
        <v>2127</v>
      </c>
      <c r="AS265" s="776" t="s">
        <v>2127</v>
      </c>
      <c r="AT265" s="776" t="s">
        <v>2127</v>
      </c>
      <c r="AU265" s="776" t="s">
        <v>2127</v>
      </c>
      <c r="AV265" s="776" t="s">
        <v>2127</v>
      </c>
      <c r="AW265" s="776" t="s">
        <v>2127</v>
      </c>
      <c r="AX265" s="776" t="s">
        <v>2127</v>
      </c>
      <c r="AY265" s="776" t="s">
        <v>2127</v>
      </c>
      <c r="AZ265" s="776" t="s">
        <v>2127</v>
      </c>
      <c r="BA265" s="776" t="s">
        <v>2127</v>
      </c>
      <c r="BB265" s="776" t="s">
        <v>2127</v>
      </c>
      <c r="BC265" s="776" t="s">
        <v>2127</v>
      </c>
      <c r="BD265" s="776" t="s">
        <v>2127</v>
      </c>
      <c r="BE265" s="776" t="s">
        <v>2127</v>
      </c>
      <c r="BF265" s="776" t="s">
        <v>2127</v>
      </c>
      <c r="BG265" s="776" t="s">
        <v>2127</v>
      </c>
      <c r="BH265" s="776" t="s">
        <v>2127</v>
      </c>
      <c r="BI265" s="776" t="s">
        <v>2127</v>
      </c>
      <c r="BJ265" s="776" t="s">
        <v>2127</v>
      </c>
      <c r="BK265" s="776" t="s">
        <v>2127</v>
      </c>
      <c r="BL265" s="776" t="s">
        <v>2127</v>
      </c>
      <c r="BM265" s="776" t="s">
        <v>2127</v>
      </c>
      <c r="BN265" s="776" t="s">
        <v>2127</v>
      </c>
      <c r="BO265" s="776" t="s">
        <v>2127</v>
      </c>
      <c r="BP265" s="776" t="s">
        <v>2127</v>
      </c>
      <c r="BQ265" s="776" t="s">
        <v>2127</v>
      </c>
      <c r="BR265" s="776" t="s">
        <v>2127</v>
      </c>
      <c r="BS265" s="776" t="s">
        <v>2127</v>
      </c>
      <c r="BT265" s="776" t="s">
        <v>2127</v>
      </c>
      <c r="BU265" s="776" t="s">
        <v>2127</v>
      </c>
      <c r="BV265" s="776" t="s">
        <v>2127</v>
      </c>
      <c r="BW265" s="776" t="s">
        <v>2127</v>
      </c>
      <c r="BX265" s="776" t="s">
        <v>2127</v>
      </c>
      <c r="BY265" s="776" t="s">
        <v>2127</v>
      </c>
      <c r="BZ265" s="776" t="s">
        <v>2127</v>
      </c>
      <c r="CA265" s="776" t="s">
        <v>2127</v>
      </c>
      <c r="CB265" s="776" t="s">
        <v>2127</v>
      </c>
      <c r="CC265" s="776" t="s">
        <v>2127</v>
      </c>
      <c r="CD265" s="776" t="s">
        <v>2127</v>
      </c>
      <c r="CE265" s="776" t="s">
        <v>2127</v>
      </c>
      <c r="CF265" s="776" t="s">
        <v>2127</v>
      </c>
      <c r="CG265" s="776" t="s">
        <v>2127</v>
      </c>
      <c r="CH265" s="776" t="s">
        <v>2127</v>
      </c>
      <c r="CI265" s="776" t="s">
        <v>2127</v>
      </c>
      <c r="CJ265" s="776" t="s">
        <v>2127</v>
      </c>
      <c r="CK265" s="776" t="s">
        <v>2127</v>
      </c>
      <c r="CL265" s="776" t="s">
        <v>2127</v>
      </c>
      <c r="CM265" s="776" t="s">
        <v>2127</v>
      </c>
      <c r="CN265" s="776" t="s">
        <v>2127</v>
      </c>
      <c r="CO265" s="776" t="s">
        <v>2127</v>
      </c>
      <c r="CP265" s="776" t="s">
        <v>2127</v>
      </c>
      <c r="CQ265" s="776" t="s">
        <v>2127</v>
      </c>
      <c r="CR265" s="776" t="s">
        <v>2127</v>
      </c>
      <c r="CS265" s="776" t="s">
        <v>2127</v>
      </c>
      <c r="CT265" s="776" t="s">
        <v>2127</v>
      </c>
      <c r="CU265" s="776" t="s">
        <v>2127</v>
      </c>
      <c r="CV265" s="776" t="s">
        <v>2127</v>
      </c>
      <c r="CW265" s="776" t="s">
        <v>2127</v>
      </c>
      <c r="CX265" s="776" t="s">
        <v>2127</v>
      </c>
      <c r="CY265" s="776" t="s">
        <v>2127</v>
      </c>
      <c r="CZ265" s="776" t="s">
        <v>2127</v>
      </c>
      <c r="DA265" s="776" t="s">
        <v>2127</v>
      </c>
      <c r="DB265" s="776" t="s">
        <v>2127</v>
      </c>
      <c r="DC265" s="776" t="s">
        <v>2127</v>
      </c>
      <c r="DD265" s="776" t="s">
        <v>2127</v>
      </c>
      <c r="DE265" s="776" t="s">
        <v>2127</v>
      </c>
      <c r="DF265" s="776" t="s">
        <v>2127</v>
      </c>
      <c r="DG265" s="776" t="s">
        <v>2127</v>
      </c>
      <c r="DH265" s="776" t="s">
        <v>2127</v>
      </c>
      <c r="DI265" s="776" t="s">
        <v>2127</v>
      </c>
      <c r="DJ265" s="776" t="s">
        <v>2127</v>
      </c>
      <c r="DK265" s="776" t="s">
        <v>2127</v>
      </c>
      <c r="DL265" s="776" t="s">
        <v>2127</v>
      </c>
      <c r="DM265" s="776" t="s">
        <v>2127</v>
      </c>
      <c r="DN265" s="776" t="s">
        <v>2127</v>
      </c>
      <c r="DO265" s="776" t="s">
        <v>2127</v>
      </c>
      <c r="DP265" s="776" t="s">
        <v>2127</v>
      </c>
    </row>
    <row r="266" spans="1:123" x14ac:dyDescent="0.2">
      <c r="A266" s="637" t="s">
        <v>2293</v>
      </c>
      <c r="B266" s="772" t="str" cm="1">
        <f t="array" ref="B266">IFERROR(INDEX(Kulturen[HF],_xlfn.AGGREGATE(15,6,(ROW(Kulturen[Auswahl])-7)/(--(SEARCH("x",Kulturen[Auswahl])&gt;0)),ROW()-7),1),"")</f>
        <v>Eisenkraut, Echtes (Kraut)</v>
      </c>
      <c r="C266" s="772" t="str">
        <f>IF(Kulturen[[#This Row],[HF]]=$D$373,IF($C$6=0,0,"x"),IF($C$6=0,"x",Vorauswahl!C265))</f>
        <v>x</v>
      </c>
      <c r="D266" s="938" t="s">
        <v>2009</v>
      </c>
      <c r="E266" s="938" t="s">
        <v>2009</v>
      </c>
      <c r="F266" s="938" t="s">
        <v>933</v>
      </c>
      <c r="G266" s="938">
        <v>14</v>
      </c>
      <c r="H266" s="938">
        <v>8</v>
      </c>
      <c r="I266" s="938">
        <v>3</v>
      </c>
      <c r="J266" s="938">
        <v>14</v>
      </c>
      <c r="K266" s="938">
        <v>0.15</v>
      </c>
      <c r="L266" s="938">
        <v>0.15</v>
      </c>
      <c r="M266" s="938">
        <v>120</v>
      </c>
      <c r="N266" s="938">
        <v>0</v>
      </c>
      <c r="O266" s="938">
        <v>2</v>
      </c>
      <c r="P266" s="938">
        <v>0</v>
      </c>
      <c r="Q266" s="938">
        <v>125</v>
      </c>
      <c r="R266" s="938">
        <v>12</v>
      </c>
      <c r="S266" s="938">
        <v>13</v>
      </c>
      <c r="T266" s="938">
        <v>13</v>
      </c>
      <c r="U266" s="938">
        <v>0</v>
      </c>
      <c r="V266" s="938">
        <v>1</v>
      </c>
      <c r="W266" s="776">
        <f>IF(Kulturen[[#This Row],[Berechnungsschema]]=13,3,IF(Kulturen[[#This Row],[Berechnungsschema]]=6,2,1))</f>
        <v>1</v>
      </c>
      <c r="X266" s="776">
        <f>IF(Kulturen[[#This Row],[fruchtartengruppe]]=13,Kulturen[[#This Row],[NBedarfswert]],MAX(0,Kulturen[[#This Row],[NBedarfswert]]-Kulturen[[#This Row],[Ertrag]]*Kulturen[[#This Row],[Nfix]]))</f>
        <v>125</v>
      </c>
      <c r="Y266" s="776" t="s">
        <v>2127</v>
      </c>
      <c r="Z266" s="776" t="s">
        <v>2127</v>
      </c>
      <c r="AA266" s="776" t="s">
        <v>2127</v>
      </c>
      <c r="AB266" s="776" t="s">
        <v>2127</v>
      </c>
      <c r="AC266" s="776" t="s">
        <v>2127</v>
      </c>
      <c r="AD266" s="776" t="s">
        <v>2127</v>
      </c>
      <c r="AE266" s="776" t="s">
        <v>2127</v>
      </c>
      <c r="AF266" s="776" t="s">
        <v>2127</v>
      </c>
      <c r="AG266" s="776" t="s">
        <v>2127</v>
      </c>
      <c r="AH266" s="776" t="s">
        <v>2127</v>
      </c>
      <c r="AI266" s="776" t="s">
        <v>2127</v>
      </c>
      <c r="AJ266" s="776" t="s">
        <v>2127</v>
      </c>
      <c r="AK266" s="776" t="s">
        <v>2127</v>
      </c>
      <c r="AL266" s="776" t="s">
        <v>2127</v>
      </c>
      <c r="AM266" s="776" t="s">
        <v>2127</v>
      </c>
      <c r="AN266" s="776" t="s">
        <v>2127</v>
      </c>
      <c r="AO266" s="776" t="s">
        <v>2127</v>
      </c>
      <c r="AP266" s="776" t="s">
        <v>2127</v>
      </c>
      <c r="AQ266" s="776" t="s">
        <v>2127</v>
      </c>
      <c r="AR266" s="776" t="s">
        <v>2127</v>
      </c>
      <c r="AS266" s="776" t="s">
        <v>2127</v>
      </c>
      <c r="AT266" s="776" t="s">
        <v>2127</v>
      </c>
      <c r="AU266" s="776" t="s">
        <v>2127</v>
      </c>
      <c r="AV266" s="776" t="s">
        <v>2127</v>
      </c>
      <c r="AW266" s="776" t="s">
        <v>2127</v>
      </c>
      <c r="AX266" s="776" t="s">
        <v>2127</v>
      </c>
      <c r="AY266" s="776" t="s">
        <v>2127</v>
      </c>
      <c r="AZ266" s="776" t="s">
        <v>2127</v>
      </c>
      <c r="BA266" s="776" t="s">
        <v>2127</v>
      </c>
      <c r="BB266" s="776" t="s">
        <v>2127</v>
      </c>
      <c r="BC266" s="776" t="s">
        <v>2127</v>
      </c>
      <c r="BD266" s="776" t="s">
        <v>2127</v>
      </c>
      <c r="BE266" s="776" t="s">
        <v>2127</v>
      </c>
      <c r="BF266" s="776" t="s">
        <v>2127</v>
      </c>
      <c r="BG266" s="776" t="s">
        <v>2127</v>
      </c>
      <c r="BH266" s="776" t="s">
        <v>2127</v>
      </c>
      <c r="BI266" s="776" t="s">
        <v>2127</v>
      </c>
      <c r="BJ266" s="776" t="s">
        <v>2127</v>
      </c>
      <c r="BK266" s="776" t="s">
        <v>2127</v>
      </c>
      <c r="BL266" s="776" t="s">
        <v>2127</v>
      </c>
      <c r="BM266" s="776" t="s">
        <v>2127</v>
      </c>
      <c r="BN266" s="776" t="s">
        <v>2127</v>
      </c>
      <c r="BO266" s="776" t="s">
        <v>2127</v>
      </c>
      <c r="BP266" s="776" t="s">
        <v>2127</v>
      </c>
      <c r="BQ266" s="776" t="s">
        <v>2127</v>
      </c>
      <c r="BR266" s="776" t="s">
        <v>2127</v>
      </c>
      <c r="BS266" s="776" t="s">
        <v>2127</v>
      </c>
      <c r="BT266" s="776" t="s">
        <v>2127</v>
      </c>
      <c r="BU266" s="776" t="s">
        <v>2127</v>
      </c>
      <c r="BV266" s="776" t="s">
        <v>2127</v>
      </c>
      <c r="BW266" s="776" t="s">
        <v>2127</v>
      </c>
      <c r="BX266" s="776" t="s">
        <v>2127</v>
      </c>
      <c r="BY266" s="776" t="s">
        <v>2127</v>
      </c>
      <c r="BZ266" s="776" t="s">
        <v>2127</v>
      </c>
      <c r="CA266" s="776" t="s">
        <v>2127</v>
      </c>
      <c r="CB266" s="776" t="s">
        <v>2127</v>
      </c>
      <c r="CC266" s="776" t="s">
        <v>2127</v>
      </c>
      <c r="CD266" s="776" t="s">
        <v>2127</v>
      </c>
      <c r="CE266" s="776" t="s">
        <v>2127</v>
      </c>
      <c r="CF266" s="776" t="s">
        <v>2127</v>
      </c>
      <c r="CG266" s="776" t="s">
        <v>2127</v>
      </c>
      <c r="CH266" s="776" t="s">
        <v>2127</v>
      </c>
      <c r="CI266" s="776" t="s">
        <v>2127</v>
      </c>
      <c r="CJ266" s="776" t="s">
        <v>2127</v>
      </c>
      <c r="CK266" s="776" t="s">
        <v>2127</v>
      </c>
      <c r="CL266" s="776" t="s">
        <v>2127</v>
      </c>
      <c r="CM266" s="776" t="s">
        <v>2127</v>
      </c>
      <c r="CN266" s="776" t="s">
        <v>2127</v>
      </c>
      <c r="CO266" s="776" t="s">
        <v>2127</v>
      </c>
      <c r="CP266" s="776" t="s">
        <v>2127</v>
      </c>
      <c r="CQ266" s="776" t="s">
        <v>2127</v>
      </c>
      <c r="CR266" s="776" t="s">
        <v>2127</v>
      </c>
      <c r="CS266" s="776" t="s">
        <v>2127</v>
      </c>
      <c r="CT266" s="776" t="s">
        <v>2127</v>
      </c>
      <c r="CU266" s="776" t="s">
        <v>2127</v>
      </c>
      <c r="CV266" s="776" t="s">
        <v>2127</v>
      </c>
      <c r="CW266" s="776" t="s">
        <v>2127</v>
      </c>
      <c r="CX266" s="776" t="s">
        <v>2127</v>
      </c>
      <c r="CY266" s="776" t="s">
        <v>2127</v>
      </c>
      <c r="CZ266" s="776" t="s">
        <v>2127</v>
      </c>
      <c r="DA266" s="776" t="s">
        <v>2127</v>
      </c>
      <c r="DB266" s="776" t="s">
        <v>2127</v>
      </c>
      <c r="DC266" s="776" t="s">
        <v>2127</v>
      </c>
      <c r="DD266" s="776" t="s">
        <v>2127</v>
      </c>
      <c r="DE266" s="776" t="s">
        <v>2127</v>
      </c>
      <c r="DF266" s="776" t="s">
        <v>2127</v>
      </c>
      <c r="DG266" s="776" t="s">
        <v>2127</v>
      </c>
      <c r="DH266" s="776" t="s">
        <v>2127</v>
      </c>
      <c r="DI266" s="776" t="s">
        <v>2127</v>
      </c>
      <c r="DJ266" s="776" t="s">
        <v>2127</v>
      </c>
      <c r="DK266" s="776" t="s">
        <v>2127</v>
      </c>
      <c r="DL266" s="776" t="s">
        <v>2127</v>
      </c>
      <c r="DM266" s="776" t="s">
        <v>2127</v>
      </c>
      <c r="DN266" s="776" t="s">
        <v>2127</v>
      </c>
      <c r="DO266" s="776" t="s">
        <v>2127</v>
      </c>
      <c r="DP266" s="776" t="s">
        <v>2127</v>
      </c>
    </row>
    <row r="267" spans="1:123" x14ac:dyDescent="0.2">
      <c r="A267" s="637" t="s">
        <v>2294</v>
      </c>
      <c r="B267" s="772" t="str" cm="1">
        <f t="array" ref="B267">IFERROR(INDEX(Kulturen[HF],_xlfn.AGGREGATE(15,6,(ROW(Kulturen[Auswahl])-7)/(--(SEARCH("x",Kulturen[Auswahl])&gt;0)),ROW()-7),1),"")</f>
        <v>Engelwurz, Europäische (Wurzeln)</v>
      </c>
      <c r="C267" s="772" t="str">
        <f>IF(Kulturen[[#This Row],[HF]]=$D$373,IF($C$6=0,0,"x"),IF($C$6=0,"x",Vorauswahl!C266))</f>
        <v>x</v>
      </c>
      <c r="D267" s="938" t="s">
        <v>2010</v>
      </c>
      <c r="E267" s="938" t="s">
        <v>2010</v>
      </c>
      <c r="F267" s="938" t="s">
        <v>934</v>
      </c>
      <c r="G267" s="938">
        <v>14</v>
      </c>
      <c r="H267" s="938">
        <v>8</v>
      </c>
      <c r="I267" s="938">
        <v>3</v>
      </c>
      <c r="J267" s="938">
        <v>14</v>
      </c>
      <c r="K267" s="938">
        <v>9.1999999999999998E-2</v>
      </c>
      <c r="L267" s="938">
        <v>0.09</v>
      </c>
      <c r="M267" s="938">
        <v>150</v>
      </c>
      <c r="N267" s="938">
        <v>0</v>
      </c>
      <c r="O267" s="938">
        <v>2</v>
      </c>
      <c r="P267" s="938">
        <v>0</v>
      </c>
      <c r="Q267" s="938">
        <v>65</v>
      </c>
      <c r="R267" s="938">
        <v>15</v>
      </c>
      <c r="S267" s="938">
        <v>7</v>
      </c>
      <c r="T267" s="938">
        <v>7</v>
      </c>
      <c r="U267" s="938">
        <v>0</v>
      </c>
      <c r="V267" s="938">
        <v>1</v>
      </c>
      <c r="W267" s="776">
        <f>IF(Kulturen[[#This Row],[Berechnungsschema]]=13,3,IF(Kulturen[[#This Row],[Berechnungsschema]]=6,2,1))</f>
        <v>1</v>
      </c>
      <c r="X267" s="776">
        <f>IF(Kulturen[[#This Row],[fruchtartengruppe]]=13,Kulturen[[#This Row],[NBedarfswert]],MAX(0,Kulturen[[#This Row],[NBedarfswert]]-Kulturen[[#This Row],[Ertrag]]*Kulturen[[#This Row],[Nfix]]))</f>
        <v>65</v>
      </c>
      <c r="Y267" s="776" t="s">
        <v>2127</v>
      </c>
      <c r="Z267" s="776" t="s">
        <v>2127</v>
      </c>
      <c r="AA267" s="776" t="s">
        <v>2127</v>
      </c>
      <c r="AB267" s="776" t="s">
        <v>2127</v>
      </c>
      <c r="AC267" s="776" t="s">
        <v>2127</v>
      </c>
      <c r="AD267" s="776" t="s">
        <v>2127</v>
      </c>
      <c r="AE267" s="776" t="s">
        <v>2127</v>
      </c>
      <c r="AF267" s="776" t="s">
        <v>2127</v>
      </c>
      <c r="AG267" s="776" t="s">
        <v>2127</v>
      </c>
      <c r="AH267" s="776" t="s">
        <v>2127</v>
      </c>
      <c r="AI267" s="776" t="s">
        <v>2127</v>
      </c>
      <c r="AJ267" s="776" t="s">
        <v>2127</v>
      </c>
      <c r="AK267" s="776" t="s">
        <v>2127</v>
      </c>
      <c r="AL267" s="776" t="s">
        <v>2127</v>
      </c>
      <c r="AM267" s="776" t="s">
        <v>2127</v>
      </c>
      <c r="AN267" s="776" t="s">
        <v>2127</v>
      </c>
      <c r="AO267" s="776" t="s">
        <v>2127</v>
      </c>
      <c r="AP267" s="776" t="s">
        <v>2127</v>
      </c>
      <c r="AQ267" s="776" t="s">
        <v>2127</v>
      </c>
      <c r="AR267" s="776" t="s">
        <v>2127</v>
      </c>
      <c r="AS267" s="776" t="s">
        <v>2127</v>
      </c>
      <c r="AT267" s="776" t="s">
        <v>2127</v>
      </c>
      <c r="AU267" s="776" t="s">
        <v>2127</v>
      </c>
      <c r="AV267" s="776" t="s">
        <v>2127</v>
      </c>
      <c r="AW267" s="776" t="s">
        <v>2127</v>
      </c>
      <c r="AX267" s="776" t="s">
        <v>2127</v>
      </c>
      <c r="AY267" s="776" t="s">
        <v>2127</v>
      </c>
      <c r="AZ267" s="776" t="s">
        <v>2127</v>
      </c>
      <c r="BA267" s="776" t="s">
        <v>2127</v>
      </c>
      <c r="BB267" s="776" t="s">
        <v>2127</v>
      </c>
      <c r="BC267" s="776" t="s">
        <v>2127</v>
      </c>
      <c r="BD267" s="776" t="s">
        <v>2127</v>
      </c>
      <c r="BE267" s="776" t="s">
        <v>2127</v>
      </c>
      <c r="BF267" s="776" t="s">
        <v>2127</v>
      </c>
      <c r="BG267" s="776" t="s">
        <v>2127</v>
      </c>
      <c r="BH267" s="776" t="s">
        <v>2127</v>
      </c>
      <c r="BI267" s="776" t="s">
        <v>2127</v>
      </c>
      <c r="BJ267" s="776" t="s">
        <v>2127</v>
      </c>
      <c r="BK267" s="776" t="s">
        <v>2127</v>
      </c>
      <c r="BL267" s="776" t="s">
        <v>2127</v>
      </c>
      <c r="BM267" s="776" t="s">
        <v>2127</v>
      </c>
      <c r="BN267" s="776" t="s">
        <v>2127</v>
      </c>
      <c r="BO267" s="776" t="s">
        <v>2127</v>
      </c>
      <c r="BP267" s="776" t="s">
        <v>2127</v>
      </c>
      <c r="BQ267" s="776" t="s">
        <v>2127</v>
      </c>
      <c r="BR267" s="776" t="s">
        <v>2127</v>
      </c>
      <c r="BS267" s="776" t="s">
        <v>2127</v>
      </c>
      <c r="BT267" s="776" t="s">
        <v>2127</v>
      </c>
      <c r="BU267" s="776" t="s">
        <v>2127</v>
      </c>
      <c r="BV267" s="776" t="s">
        <v>2127</v>
      </c>
      <c r="BW267" s="776" t="s">
        <v>2127</v>
      </c>
      <c r="BX267" s="776" t="s">
        <v>2127</v>
      </c>
      <c r="BY267" s="776" t="s">
        <v>2127</v>
      </c>
      <c r="BZ267" s="776" t="s">
        <v>2127</v>
      </c>
      <c r="CA267" s="776" t="s">
        <v>2127</v>
      </c>
      <c r="CB267" s="776" t="s">
        <v>2127</v>
      </c>
      <c r="CC267" s="776" t="s">
        <v>2127</v>
      </c>
      <c r="CD267" s="776" t="s">
        <v>2127</v>
      </c>
      <c r="CE267" s="776" t="s">
        <v>2127</v>
      </c>
      <c r="CF267" s="776" t="s">
        <v>2127</v>
      </c>
      <c r="CG267" s="776" t="s">
        <v>2127</v>
      </c>
      <c r="CH267" s="776" t="s">
        <v>2127</v>
      </c>
      <c r="CI267" s="776" t="s">
        <v>2127</v>
      </c>
      <c r="CJ267" s="776" t="s">
        <v>2127</v>
      </c>
      <c r="CK267" s="776" t="s">
        <v>2127</v>
      </c>
      <c r="CL267" s="776" t="s">
        <v>2127</v>
      </c>
      <c r="CM267" s="776" t="s">
        <v>2127</v>
      </c>
      <c r="CN267" s="776" t="s">
        <v>2127</v>
      </c>
      <c r="CO267" s="776" t="s">
        <v>2127</v>
      </c>
      <c r="CP267" s="776" t="s">
        <v>2127</v>
      </c>
      <c r="CQ267" s="776" t="s">
        <v>2127</v>
      </c>
      <c r="CR267" s="776" t="s">
        <v>2127</v>
      </c>
      <c r="CS267" s="776" t="s">
        <v>2127</v>
      </c>
      <c r="CT267" s="776" t="s">
        <v>2127</v>
      </c>
      <c r="CU267" s="776" t="s">
        <v>2127</v>
      </c>
      <c r="CV267" s="776" t="s">
        <v>2127</v>
      </c>
      <c r="CW267" s="776" t="s">
        <v>2127</v>
      </c>
      <c r="CX267" s="776" t="s">
        <v>2127</v>
      </c>
      <c r="CY267" s="776" t="s">
        <v>2127</v>
      </c>
      <c r="CZ267" s="776" t="s">
        <v>2127</v>
      </c>
      <c r="DA267" s="776" t="s">
        <v>2127</v>
      </c>
      <c r="DB267" s="776" t="s">
        <v>2127</v>
      </c>
      <c r="DC267" s="776" t="s">
        <v>2127</v>
      </c>
      <c r="DD267" s="776" t="s">
        <v>2127</v>
      </c>
      <c r="DE267" s="776" t="s">
        <v>2127</v>
      </c>
      <c r="DF267" s="776" t="s">
        <v>2127</v>
      </c>
      <c r="DG267" s="776" t="s">
        <v>2127</v>
      </c>
      <c r="DH267" s="776" t="s">
        <v>2127</v>
      </c>
      <c r="DI267" s="776" t="s">
        <v>2127</v>
      </c>
      <c r="DJ267" s="776" t="s">
        <v>2127</v>
      </c>
      <c r="DK267" s="776" t="s">
        <v>2127</v>
      </c>
      <c r="DL267" s="776" t="s">
        <v>2127</v>
      </c>
      <c r="DM267" s="776" t="s">
        <v>2127</v>
      </c>
      <c r="DN267" s="776" t="s">
        <v>2127</v>
      </c>
      <c r="DO267" s="776" t="s">
        <v>2127</v>
      </c>
      <c r="DP267" s="776" t="s">
        <v>2127</v>
      </c>
    </row>
    <row r="268" spans="1:123" x14ac:dyDescent="0.2">
      <c r="A268" s="637" t="s">
        <v>2295</v>
      </c>
      <c r="B268" s="772" t="str" cm="1">
        <f t="array" ref="B268">IFERROR(INDEX(Kulturen[HF],_xlfn.AGGREGATE(15,6,(ROW(Kulturen[Auswahl])-7)/(--(SEARCH("x",Kulturen[Auswahl])&gt;0)),ROW()-7),1),"")</f>
        <v>Engelwurz, Sibirische (Wurzeln)</v>
      </c>
      <c r="C268" s="772" t="str">
        <f>IF(Kulturen[[#This Row],[HF]]=$D$373,IF($C$6=0,0,"x"),IF($C$6=0,"x",Vorauswahl!C267))</f>
        <v>x</v>
      </c>
      <c r="D268" s="938" t="s">
        <v>2011</v>
      </c>
      <c r="E268" s="938" t="s">
        <v>2011</v>
      </c>
      <c r="F268" s="938" t="s">
        <v>935</v>
      </c>
      <c r="G268" s="938">
        <v>14</v>
      </c>
      <c r="H268" s="938">
        <v>8</v>
      </c>
      <c r="I268" s="938">
        <v>3</v>
      </c>
      <c r="J268" s="938">
        <v>14</v>
      </c>
      <c r="K268" s="938">
        <v>9.1999999999999998E-2</v>
      </c>
      <c r="L268" s="938">
        <v>0.09</v>
      </c>
      <c r="M268" s="938">
        <v>200</v>
      </c>
      <c r="N268" s="938">
        <v>0</v>
      </c>
      <c r="O268" s="938">
        <v>1</v>
      </c>
      <c r="P268" s="938">
        <v>0</v>
      </c>
      <c r="Q268" s="938">
        <v>85</v>
      </c>
      <c r="R268" s="938">
        <v>20</v>
      </c>
      <c r="S268" s="938">
        <v>4</v>
      </c>
      <c r="T268" s="938">
        <v>4</v>
      </c>
      <c r="U268" s="938">
        <v>0</v>
      </c>
      <c r="V268" s="938">
        <v>1</v>
      </c>
      <c r="W268" s="776">
        <f>IF(Kulturen[[#This Row],[Berechnungsschema]]=13,3,IF(Kulturen[[#This Row],[Berechnungsschema]]=6,2,1))</f>
        <v>1</v>
      </c>
      <c r="X268" s="776">
        <f>IF(Kulturen[[#This Row],[fruchtartengruppe]]=13,Kulturen[[#This Row],[NBedarfswert]],MAX(0,Kulturen[[#This Row],[NBedarfswert]]-Kulturen[[#This Row],[Ertrag]]*Kulturen[[#This Row],[Nfix]]))</f>
        <v>85</v>
      </c>
      <c r="Y268" s="776" t="s">
        <v>2127</v>
      </c>
      <c r="Z268" s="776" t="s">
        <v>2127</v>
      </c>
      <c r="AA268" s="776" t="s">
        <v>2127</v>
      </c>
      <c r="AB268" s="776" t="s">
        <v>2127</v>
      </c>
      <c r="AC268" s="776" t="s">
        <v>2127</v>
      </c>
      <c r="AD268" s="776" t="s">
        <v>2127</v>
      </c>
      <c r="AE268" s="776" t="s">
        <v>2127</v>
      </c>
      <c r="AF268" s="776" t="s">
        <v>2127</v>
      </c>
      <c r="AG268" s="776" t="s">
        <v>2127</v>
      </c>
      <c r="AH268" s="776" t="s">
        <v>2127</v>
      </c>
      <c r="AI268" s="776" t="s">
        <v>2127</v>
      </c>
      <c r="AJ268" s="776" t="s">
        <v>2127</v>
      </c>
      <c r="AK268" s="776" t="s">
        <v>2127</v>
      </c>
      <c r="AL268" s="776" t="s">
        <v>2127</v>
      </c>
      <c r="AM268" s="776" t="s">
        <v>2127</v>
      </c>
      <c r="AN268" s="776" t="s">
        <v>2127</v>
      </c>
      <c r="AO268" s="776" t="s">
        <v>2127</v>
      </c>
      <c r="AP268" s="776" t="s">
        <v>2127</v>
      </c>
      <c r="AQ268" s="776" t="s">
        <v>2127</v>
      </c>
      <c r="AR268" s="776" t="s">
        <v>2127</v>
      </c>
      <c r="AS268" s="776" t="s">
        <v>2127</v>
      </c>
      <c r="AT268" s="776" t="s">
        <v>2127</v>
      </c>
      <c r="AU268" s="776" t="s">
        <v>2127</v>
      </c>
      <c r="AV268" s="776" t="s">
        <v>2127</v>
      </c>
      <c r="AW268" s="776" t="s">
        <v>2127</v>
      </c>
      <c r="AX268" s="776" t="s">
        <v>2127</v>
      </c>
      <c r="AY268" s="776" t="s">
        <v>2127</v>
      </c>
      <c r="AZ268" s="776" t="s">
        <v>2127</v>
      </c>
      <c r="BA268" s="776" t="s">
        <v>2127</v>
      </c>
      <c r="BB268" s="776" t="s">
        <v>2127</v>
      </c>
      <c r="BC268" s="776" t="s">
        <v>2127</v>
      </c>
      <c r="BD268" s="776" t="s">
        <v>2127</v>
      </c>
      <c r="BE268" s="776" t="s">
        <v>2127</v>
      </c>
      <c r="BF268" s="776" t="s">
        <v>2127</v>
      </c>
      <c r="BG268" s="776" t="s">
        <v>2127</v>
      </c>
      <c r="BH268" s="776" t="s">
        <v>2127</v>
      </c>
      <c r="BI268" s="776" t="s">
        <v>2127</v>
      </c>
      <c r="BJ268" s="776" t="s">
        <v>2127</v>
      </c>
      <c r="BK268" s="776" t="s">
        <v>2127</v>
      </c>
      <c r="BL268" s="776" t="s">
        <v>2127</v>
      </c>
      <c r="BM268" s="776" t="s">
        <v>2127</v>
      </c>
      <c r="BN268" s="776" t="s">
        <v>2127</v>
      </c>
      <c r="BO268" s="776" t="s">
        <v>2127</v>
      </c>
      <c r="BP268" s="776" t="s">
        <v>2127</v>
      </c>
      <c r="BQ268" s="776" t="s">
        <v>2127</v>
      </c>
      <c r="BR268" s="776" t="s">
        <v>2127</v>
      </c>
      <c r="BS268" s="776" t="s">
        <v>2127</v>
      </c>
      <c r="BT268" s="776" t="s">
        <v>2127</v>
      </c>
      <c r="BU268" s="776" t="s">
        <v>2127</v>
      </c>
      <c r="BV268" s="776" t="s">
        <v>2127</v>
      </c>
      <c r="BW268" s="776" t="s">
        <v>2127</v>
      </c>
      <c r="BX268" s="776" t="s">
        <v>2127</v>
      </c>
      <c r="BY268" s="776" t="s">
        <v>2127</v>
      </c>
      <c r="BZ268" s="776" t="s">
        <v>2127</v>
      </c>
      <c r="CA268" s="776" t="s">
        <v>2127</v>
      </c>
      <c r="CB268" s="776" t="s">
        <v>2127</v>
      </c>
      <c r="CC268" s="776" t="s">
        <v>2127</v>
      </c>
      <c r="CD268" s="776" t="s">
        <v>2127</v>
      </c>
      <c r="CE268" s="776" t="s">
        <v>2127</v>
      </c>
      <c r="CF268" s="776" t="s">
        <v>2127</v>
      </c>
      <c r="CG268" s="776" t="s">
        <v>2127</v>
      </c>
      <c r="CH268" s="776" t="s">
        <v>2127</v>
      </c>
      <c r="CI268" s="776" t="s">
        <v>2127</v>
      </c>
      <c r="CJ268" s="776" t="s">
        <v>2127</v>
      </c>
      <c r="CK268" s="776" t="s">
        <v>2127</v>
      </c>
      <c r="CL268" s="776" t="s">
        <v>2127</v>
      </c>
      <c r="CM268" s="776" t="s">
        <v>2127</v>
      </c>
      <c r="CN268" s="776" t="s">
        <v>2127</v>
      </c>
      <c r="CO268" s="776" t="s">
        <v>2127</v>
      </c>
      <c r="CP268" s="776" t="s">
        <v>2127</v>
      </c>
      <c r="CQ268" s="776" t="s">
        <v>2127</v>
      </c>
      <c r="CR268" s="776" t="s">
        <v>2127</v>
      </c>
      <c r="CS268" s="776" t="s">
        <v>2127</v>
      </c>
      <c r="CT268" s="776" t="s">
        <v>2127</v>
      </c>
      <c r="CU268" s="776" t="s">
        <v>2127</v>
      </c>
      <c r="CV268" s="776" t="s">
        <v>2127</v>
      </c>
      <c r="CW268" s="776" t="s">
        <v>2127</v>
      </c>
      <c r="CX268" s="776" t="s">
        <v>2127</v>
      </c>
      <c r="CY268" s="776" t="s">
        <v>2127</v>
      </c>
      <c r="CZ268" s="776" t="s">
        <v>2127</v>
      </c>
      <c r="DA268" s="776" t="s">
        <v>2127</v>
      </c>
      <c r="DB268" s="776" t="s">
        <v>2127</v>
      </c>
      <c r="DC268" s="776" t="s">
        <v>2127</v>
      </c>
      <c r="DD268" s="776" t="s">
        <v>2127</v>
      </c>
      <c r="DE268" s="776" t="s">
        <v>2127</v>
      </c>
      <c r="DF268" s="776" t="s">
        <v>2127</v>
      </c>
      <c r="DG268" s="776" t="s">
        <v>2127</v>
      </c>
      <c r="DH268" s="776" t="s">
        <v>2127</v>
      </c>
      <c r="DI268" s="776" t="s">
        <v>2127</v>
      </c>
      <c r="DJ268" s="776" t="s">
        <v>2127</v>
      </c>
      <c r="DK268" s="776" t="s">
        <v>2127</v>
      </c>
      <c r="DL268" s="776" t="s">
        <v>2127</v>
      </c>
      <c r="DM268" s="776" t="s">
        <v>2127</v>
      </c>
      <c r="DN268" s="776" t="s">
        <v>2127</v>
      </c>
      <c r="DO268" s="776" t="s">
        <v>2127</v>
      </c>
      <c r="DP268" s="776" t="s">
        <v>2127</v>
      </c>
    </row>
    <row r="269" spans="1:123" x14ac:dyDescent="0.2">
      <c r="A269" s="637" t="s">
        <v>2296</v>
      </c>
      <c r="B269" s="772" t="str" cm="1">
        <f t="array" ref="B269">IFERROR(INDEX(Kulturen[HF],_xlfn.AGGREGATE(15,6,(ROW(Kulturen[Auswahl])-7)/(--(SEARCH("x",Kulturen[Auswahl])&gt;0)),ROW()-7),1),"")</f>
        <v>Enzian, ohne Ernte</v>
      </c>
      <c r="C269" s="772" t="str">
        <f>IF(Kulturen[[#This Row],[HF]]=$D$373,IF($C$6=0,0,"x"),IF($C$6=0,"x",Vorauswahl!C268))</f>
        <v>x</v>
      </c>
      <c r="D269" s="938" t="s">
        <v>2012</v>
      </c>
      <c r="E269" s="938" t="s">
        <v>2012</v>
      </c>
      <c r="F269" s="938" t="s">
        <v>936</v>
      </c>
      <c r="G269" s="938">
        <v>14</v>
      </c>
      <c r="H269" s="938">
        <v>8</v>
      </c>
      <c r="I269" s="938">
        <v>3</v>
      </c>
      <c r="J269" s="938">
        <v>14</v>
      </c>
      <c r="K269" s="938">
        <v>9.1999999999999998E-2</v>
      </c>
      <c r="L269" s="938">
        <v>0.09</v>
      </c>
      <c r="M269" s="938">
        <v>250</v>
      </c>
      <c r="N269" s="938">
        <v>0</v>
      </c>
      <c r="O269" s="938">
        <v>1</v>
      </c>
      <c r="P269" s="938">
        <v>0</v>
      </c>
      <c r="Q269" s="938">
        <v>105</v>
      </c>
      <c r="R269" s="938">
        <v>25</v>
      </c>
      <c r="S269" s="938">
        <v>11</v>
      </c>
      <c r="T269" s="938">
        <v>11</v>
      </c>
      <c r="U269" s="938">
        <v>0</v>
      </c>
      <c r="V269" s="938">
        <v>1</v>
      </c>
      <c r="W269" s="776">
        <f>IF(Kulturen[[#This Row],[Berechnungsschema]]=13,3,IF(Kulturen[[#This Row],[Berechnungsschema]]=6,2,1))</f>
        <v>1</v>
      </c>
      <c r="X269" s="776">
        <f>IF(Kulturen[[#This Row],[fruchtartengruppe]]=13,Kulturen[[#This Row],[NBedarfswert]],MAX(0,Kulturen[[#This Row],[NBedarfswert]]-Kulturen[[#This Row],[Ertrag]]*Kulturen[[#This Row],[Nfix]]))</f>
        <v>105</v>
      </c>
      <c r="Y269" s="776" t="s">
        <v>2127</v>
      </c>
      <c r="Z269" s="776" t="s">
        <v>2127</v>
      </c>
      <c r="AA269" s="776" t="s">
        <v>2127</v>
      </c>
      <c r="AB269" s="776" t="s">
        <v>2127</v>
      </c>
      <c r="AC269" s="776" t="s">
        <v>2127</v>
      </c>
      <c r="AD269" s="776" t="s">
        <v>2127</v>
      </c>
      <c r="AE269" s="776" t="s">
        <v>2127</v>
      </c>
      <c r="AF269" s="776" t="s">
        <v>2127</v>
      </c>
      <c r="AG269" s="776" t="s">
        <v>2127</v>
      </c>
      <c r="AH269" s="776" t="s">
        <v>2127</v>
      </c>
      <c r="AI269" s="776" t="s">
        <v>2127</v>
      </c>
      <c r="AJ269" s="776" t="s">
        <v>2127</v>
      </c>
      <c r="AK269" s="776" t="s">
        <v>2127</v>
      </c>
      <c r="AL269" s="776" t="s">
        <v>2127</v>
      </c>
      <c r="AM269" s="776" t="s">
        <v>2127</v>
      </c>
      <c r="AN269" s="776" t="s">
        <v>2127</v>
      </c>
      <c r="AO269" s="776" t="s">
        <v>2127</v>
      </c>
      <c r="AP269" s="776" t="s">
        <v>2127</v>
      </c>
      <c r="AQ269" s="776" t="s">
        <v>2127</v>
      </c>
      <c r="AR269" s="776" t="s">
        <v>2127</v>
      </c>
      <c r="AS269" s="776" t="s">
        <v>2127</v>
      </c>
      <c r="AT269" s="776" t="s">
        <v>2127</v>
      </c>
      <c r="AU269" s="776" t="s">
        <v>2127</v>
      </c>
      <c r="AV269" s="776" t="s">
        <v>2127</v>
      </c>
      <c r="AW269" s="776" t="s">
        <v>2127</v>
      </c>
      <c r="AX269" s="776" t="s">
        <v>2127</v>
      </c>
      <c r="AY269" s="776" t="s">
        <v>2127</v>
      </c>
      <c r="AZ269" s="776" t="s">
        <v>2127</v>
      </c>
      <c r="BA269" s="776" t="s">
        <v>2127</v>
      </c>
      <c r="BB269" s="776" t="s">
        <v>2127</v>
      </c>
      <c r="BC269" s="776" t="s">
        <v>2127</v>
      </c>
      <c r="BD269" s="776" t="s">
        <v>2127</v>
      </c>
      <c r="BE269" s="776" t="s">
        <v>2127</v>
      </c>
      <c r="BF269" s="776" t="s">
        <v>2127</v>
      </c>
      <c r="BG269" s="776" t="s">
        <v>2127</v>
      </c>
      <c r="BH269" s="776" t="s">
        <v>2127</v>
      </c>
      <c r="BI269" s="776" t="s">
        <v>2127</v>
      </c>
      <c r="BJ269" s="776" t="s">
        <v>2127</v>
      </c>
      <c r="BK269" s="776" t="s">
        <v>2127</v>
      </c>
      <c r="BL269" s="776" t="s">
        <v>2127</v>
      </c>
      <c r="BM269" s="776" t="s">
        <v>2127</v>
      </c>
      <c r="BN269" s="776" t="s">
        <v>2127</v>
      </c>
      <c r="BO269" s="776" t="s">
        <v>2127</v>
      </c>
      <c r="BP269" s="776" t="s">
        <v>2127</v>
      </c>
      <c r="BQ269" s="776" t="s">
        <v>2127</v>
      </c>
      <c r="BR269" s="776" t="s">
        <v>2127</v>
      </c>
      <c r="BS269" s="776" t="s">
        <v>2127</v>
      </c>
      <c r="BT269" s="776" t="s">
        <v>2127</v>
      </c>
      <c r="BU269" s="776" t="s">
        <v>2127</v>
      </c>
      <c r="BV269" s="776" t="s">
        <v>2127</v>
      </c>
      <c r="BW269" s="776" t="s">
        <v>2127</v>
      </c>
      <c r="BX269" s="776" t="s">
        <v>2127</v>
      </c>
      <c r="BY269" s="776" t="s">
        <v>2127</v>
      </c>
      <c r="BZ269" s="776" t="s">
        <v>2127</v>
      </c>
      <c r="CA269" s="776" t="s">
        <v>2127</v>
      </c>
      <c r="CB269" s="776" t="s">
        <v>2127</v>
      </c>
      <c r="CC269" s="776" t="s">
        <v>2127</v>
      </c>
      <c r="CD269" s="776" t="s">
        <v>2127</v>
      </c>
      <c r="CE269" s="776" t="s">
        <v>2127</v>
      </c>
      <c r="CF269" s="776" t="s">
        <v>2127</v>
      </c>
      <c r="CG269" s="776" t="s">
        <v>2127</v>
      </c>
      <c r="CH269" s="776" t="s">
        <v>2127</v>
      </c>
      <c r="CI269" s="776" t="s">
        <v>2127</v>
      </c>
      <c r="CJ269" s="776" t="s">
        <v>2127</v>
      </c>
      <c r="CK269" s="776" t="s">
        <v>2127</v>
      </c>
      <c r="CL269" s="776" t="s">
        <v>2127</v>
      </c>
      <c r="CM269" s="776" t="s">
        <v>2127</v>
      </c>
      <c r="CN269" s="776" t="s">
        <v>2127</v>
      </c>
      <c r="CO269" s="776" t="s">
        <v>2127</v>
      </c>
      <c r="CP269" s="776" t="s">
        <v>2127</v>
      </c>
      <c r="CQ269" s="776" t="s">
        <v>2127</v>
      </c>
      <c r="CR269" s="776" t="s">
        <v>2127</v>
      </c>
      <c r="CS269" s="776" t="s">
        <v>2127</v>
      </c>
      <c r="CT269" s="776" t="s">
        <v>2127</v>
      </c>
      <c r="CU269" s="776" t="s">
        <v>2127</v>
      </c>
      <c r="CV269" s="776" t="s">
        <v>2127</v>
      </c>
      <c r="CW269" s="776" t="s">
        <v>2127</v>
      </c>
      <c r="CX269" s="776" t="s">
        <v>2127</v>
      </c>
      <c r="CY269" s="776" t="s">
        <v>2127</v>
      </c>
      <c r="CZ269" s="776" t="s">
        <v>2127</v>
      </c>
      <c r="DA269" s="776" t="s">
        <v>2127</v>
      </c>
      <c r="DB269" s="776" t="s">
        <v>2127</v>
      </c>
      <c r="DC269" s="776" t="s">
        <v>2127</v>
      </c>
      <c r="DD269" s="776" t="s">
        <v>2127</v>
      </c>
      <c r="DE269" s="776" t="s">
        <v>2127</v>
      </c>
      <c r="DF269" s="776" t="s">
        <v>2127</v>
      </c>
      <c r="DG269" s="776" t="s">
        <v>2127</v>
      </c>
      <c r="DH269" s="776" t="s">
        <v>2127</v>
      </c>
      <c r="DI269" s="776" t="s">
        <v>2127</v>
      </c>
      <c r="DJ269" s="776" t="s">
        <v>2127</v>
      </c>
      <c r="DK269" s="776" t="s">
        <v>2127</v>
      </c>
      <c r="DL269" s="776" t="s">
        <v>2127</v>
      </c>
      <c r="DM269" s="776" t="s">
        <v>2127</v>
      </c>
      <c r="DN269" s="776" t="s">
        <v>2127</v>
      </c>
      <c r="DO269" s="776" t="s">
        <v>2127</v>
      </c>
      <c r="DP269" s="776" t="s">
        <v>2127</v>
      </c>
    </row>
    <row r="270" spans="1:123" x14ac:dyDescent="0.2">
      <c r="A270" s="637"/>
      <c r="B270" s="772" t="str" cm="1">
        <f t="array" ref="B270">IFERROR(INDEX(Kulturen[HF],_xlfn.AGGREGATE(15,6,(ROW(Kulturen[Auswahl])-7)/(--(SEARCH("x",Kulturen[Auswahl])&gt;0)),ROW()-7),1),"")</f>
        <v>Enzian, Erntejahr (Wurzeln nach 4 Jahren)</v>
      </c>
      <c r="C270" s="772" t="str">
        <f>IF(Kulturen[[#This Row],[HF]]=$D$373,IF($C$6=0,0,"x"),IF($C$6=0,"x",Vorauswahl!C269))</f>
        <v>x</v>
      </c>
      <c r="D270" s="938" t="s">
        <v>718</v>
      </c>
      <c r="E270" s="938" t="s">
        <v>718</v>
      </c>
      <c r="F270" s="938" t="s">
        <v>2013</v>
      </c>
      <c r="G270" s="938">
        <v>14</v>
      </c>
      <c r="H270" s="938">
        <v>8</v>
      </c>
      <c r="I270" s="938">
        <v>1</v>
      </c>
      <c r="J270" s="938">
        <v>14</v>
      </c>
      <c r="K270" s="938">
        <v>0.17</v>
      </c>
      <c r="L270" s="938">
        <v>0.27</v>
      </c>
      <c r="M270" s="938">
        <v>50</v>
      </c>
      <c r="N270" s="938">
        <v>0</v>
      </c>
      <c r="O270" s="938">
        <v>1</v>
      </c>
      <c r="P270" s="938">
        <v>0</v>
      </c>
      <c r="Q270" s="938">
        <v>85</v>
      </c>
      <c r="R270" s="938">
        <v>5</v>
      </c>
      <c r="S270" s="938">
        <v>4</v>
      </c>
      <c r="T270" s="938">
        <v>4</v>
      </c>
      <c r="U270" s="938">
        <v>0</v>
      </c>
      <c r="V270" s="938">
        <v>1</v>
      </c>
      <c r="W270" s="776">
        <f>IF(Kulturen[[#This Row],[Berechnungsschema]]=13,3,IF(Kulturen[[#This Row],[Berechnungsschema]]=6,2,1))</f>
        <v>1</v>
      </c>
      <c r="X270" s="776">
        <f>IF(Kulturen[[#This Row],[fruchtartengruppe]]=13,Kulturen[[#This Row],[NBedarfswert]],MAX(0,Kulturen[[#This Row],[NBedarfswert]]-Kulturen[[#This Row],[Ertrag]]*Kulturen[[#This Row],[Nfix]]))</f>
        <v>85</v>
      </c>
      <c r="Y270" s="776" t="s">
        <v>2127</v>
      </c>
      <c r="Z270" s="776" t="s">
        <v>2127</v>
      </c>
      <c r="AA270" s="776" t="s">
        <v>2127</v>
      </c>
      <c r="AB270" s="776" t="s">
        <v>2127</v>
      </c>
      <c r="AC270" s="776" t="s">
        <v>2127</v>
      </c>
      <c r="AD270" s="776" t="s">
        <v>2127</v>
      </c>
      <c r="AE270" s="776" t="s">
        <v>2127</v>
      </c>
      <c r="AF270" s="776" t="s">
        <v>2127</v>
      </c>
      <c r="AG270" s="776" t="s">
        <v>2127</v>
      </c>
      <c r="AH270" s="776" t="s">
        <v>2127</v>
      </c>
      <c r="AI270" s="776" t="s">
        <v>2127</v>
      </c>
      <c r="AJ270" s="776" t="s">
        <v>2127</v>
      </c>
      <c r="AK270" s="776" t="s">
        <v>2127</v>
      </c>
      <c r="AL270" s="776" t="s">
        <v>2127</v>
      </c>
      <c r="AM270" s="776" t="s">
        <v>2127</v>
      </c>
      <c r="AN270" s="776" t="s">
        <v>2127</v>
      </c>
      <c r="AO270" s="776" t="s">
        <v>2127</v>
      </c>
      <c r="AP270" s="776" t="s">
        <v>2127</v>
      </c>
      <c r="AQ270" s="776" t="s">
        <v>2127</v>
      </c>
      <c r="AR270" s="776" t="s">
        <v>2127</v>
      </c>
      <c r="AS270" s="776" t="s">
        <v>2127</v>
      </c>
      <c r="AT270" s="776" t="s">
        <v>2127</v>
      </c>
      <c r="AU270" s="776" t="s">
        <v>2127</v>
      </c>
      <c r="AV270" s="776" t="s">
        <v>2127</v>
      </c>
      <c r="AW270" s="776" t="s">
        <v>2127</v>
      </c>
      <c r="AX270" s="776" t="s">
        <v>2127</v>
      </c>
      <c r="AY270" s="776" t="s">
        <v>2127</v>
      </c>
      <c r="AZ270" s="776" t="s">
        <v>2127</v>
      </c>
      <c r="BA270" s="776" t="s">
        <v>2127</v>
      </c>
      <c r="BB270" s="776" t="s">
        <v>2127</v>
      </c>
      <c r="BC270" s="776" t="s">
        <v>2127</v>
      </c>
      <c r="BD270" s="776" t="s">
        <v>2127</v>
      </c>
      <c r="BE270" s="776" t="s">
        <v>2127</v>
      </c>
      <c r="BF270" s="776" t="s">
        <v>2127</v>
      </c>
      <c r="BG270" s="776" t="s">
        <v>2127</v>
      </c>
      <c r="BH270" s="776" t="s">
        <v>2127</v>
      </c>
      <c r="BI270" s="776" t="s">
        <v>2127</v>
      </c>
      <c r="BJ270" s="776" t="s">
        <v>2127</v>
      </c>
      <c r="BK270" s="776" t="s">
        <v>2127</v>
      </c>
      <c r="BL270" s="776" t="s">
        <v>2127</v>
      </c>
      <c r="BM270" s="776" t="s">
        <v>2127</v>
      </c>
      <c r="BN270" s="776" t="s">
        <v>2127</v>
      </c>
      <c r="BO270" s="776" t="s">
        <v>2127</v>
      </c>
      <c r="BP270" s="776" t="s">
        <v>2127</v>
      </c>
      <c r="BQ270" s="776" t="s">
        <v>2127</v>
      </c>
      <c r="BR270" s="776" t="s">
        <v>2127</v>
      </c>
      <c r="BS270" s="776" t="s">
        <v>2127</v>
      </c>
      <c r="BT270" s="776" t="s">
        <v>2127</v>
      </c>
      <c r="BU270" s="776" t="s">
        <v>2127</v>
      </c>
      <c r="BV270" s="776" t="s">
        <v>2127</v>
      </c>
      <c r="BW270" s="776" t="s">
        <v>2127</v>
      </c>
      <c r="BX270" s="776" t="s">
        <v>2127</v>
      </c>
      <c r="BY270" s="776" t="s">
        <v>2127</v>
      </c>
      <c r="BZ270" s="776" t="s">
        <v>2127</v>
      </c>
      <c r="CA270" s="776" t="s">
        <v>2127</v>
      </c>
      <c r="CB270" s="776" t="s">
        <v>2127</v>
      </c>
      <c r="CC270" s="776" t="s">
        <v>2127</v>
      </c>
      <c r="CD270" s="776" t="s">
        <v>2127</v>
      </c>
      <c r="CE270" s="776" t="s">
        <v>2127</v>
      </c>
      <c r="CF270" s="776" t="s">
        <v>2127</v>
      </c>
      <c r="CG270" s="776" t="s">
        <v>2127</v>
      </c>
      <c r="CH270" s="776" t="s">
        <v>2127</v>
      </c>
      <c r="CI270" s="776" t="s">
        <v>2127</v>
      </c>
      <c r="CJ270" s="776" t="s">
        <v>2127</v>
      </c>
      <c r="CK270" s="776" t="s">
        <v>2127</v>
      </c>
      <c r="CL270" s="776" t="s">
        <v>2127</v>
      </c>
      <c r="CM270" s="776" t="s">
        <v>2127</v>
      </c>
      <c r="CN270" s="776" t="s">
        <v>2127</v>
      </c>
      <c r="CO270" s="776" t="s">
        <v>2127</v>
      </c>
      <c r="CP270" s="776" t="s">
        <v>2127</v>
      </c>
      <c r="CQ270" s="776" t="s">
        <v>2127</v>
      </c>
      <c r="CR270" s="776" t="s">
        <v>2127</v>
      </c>
      <c r="CS270" s="776" t="s">
        <v>2127</v>
      </c>
      <c r="CT270" s="776" t="s">
        <v>2127</v>
      </c>
      <c r="CU270" s="776" t="s">
        <v>2127</v>
      </c>
      <c r="CV270" s="776" t="s">
        <v>2127</v>
      </c>
      <c r="CW270" s="776" t="s">
        <v>2127</v>
      </c>
      <c r="CX270" s="776" t="s">
        <v>2127</v>
      </c>
      <c r="CY270" s="776" t="s">
        <v>2127</v>
      </c>
      <c r="CZ270" s="776" t="s">
        <v>2127</v>
      </c>
      <c r="DA270" s="776" t="s">
        <v>2127</v>
      </c>
      <c r="DB270" s="776" t="s">
        <v>2127</v>
      </c>
      <c r="DC270" s="776" t="s">
        <v>2127</v>
      </c>
      <c r="DD270" s="776" t="s">
        <v>2127</v>
      </c>
      <c r="DE270" s="776" t="s">
        <v>2127</v>
      </c>
      <c r="DF270" s="776" t="s">
        <v>2127</v>
      </c>
      <c r="DG270" s="776" t="s">
        <v>2127</v>
      </c>
      <c r="DH270" s="776" t="s">
        <v>2127</v>
      </c>
      <c r="DI270" s="776" t="s">
        <v>2127</v>
      </c>
      <c r="DJ270" s="776" t="s">
        <v>2127</v>
      </c>
      <c r="DK270" s="776" t="s">
        <v>2127</v>
      </c>
      <c r="DL270" s="776" t="s">
        <v>2127</v>
      </c>
      <c r="DM270" s="776" t="s">
        <v>2127</v>
      </c>
      <c r="DN270" s="776" t="s">
        <v>2127</v>
      </c>
      <c r="DO270" s="776" t="s">
        <v>2127</v>
      </c>
      <c r="DP270" s="776" t="s">
        <v>2127</v>
      </c>
    </row>
    <row r="271" spans="1:123" x14ac:dyDescent="0.2">
      <c r="A271" s="637" t="s">
        <v>2297</v>
      </c>
      <c r="B271" s="772" t="str" cm="1">
        <f t="array" ref="B271">IFERROR(INDEX(Kulturen[HF],_xlfn.AGGREGATE(15,6,(ROW(Kulturen[Auswahl])-7)/(--(SEARCH("x",Kulturen[Auswahl])&gt;0)),ROW()-7),1),"")</f>
        <v>Estragon, Deutscher (Nicht blühendes Kraut)</v>
      </c>
      <c r="C271" s="772" t="str">
        <f>IF(Kulturen[[#This Row],[HF]]=$D$373,IF($C$6=0,0,"x"),IF($C$6=0,"x",Vorauswahl!C270))</f>
        <v>x</v>
      </c>
      <c r="D271" s="938" t="s">
        <v>2014</v>
      </c>
      <c r="E271" s="938" t="s">
        <v>2014</v>
      </c>
      <c r="F271" s="938" t="s">
        <v>937</v>
      </c>
      <c r="G271" s="938">
        <v>14</v>
      </c>
      <c r="H271" s="938">
        <v>8</v>
      </c>
      <c r="I271" s="938">
        <v>3</v>
      </c>
      <c r="J271" s="938">
        <v>14</v>
      </c>
      <c r="K271" s="938">
        <v>0.14000000000000001</v>
      </c>
      <c r="L271" s="938">
        <v>0.14000000000000001</v>
      </c>
      <c r="M271" s="938">
        <v>120</v>
      </c>
      <c r="N271" s="938">
        <v>0</v>
      </c>
      <c r="O271" s="938">
        <v>2</v>
      </c>
      <c r="P271" s="938">
        <v>0</v>
      </c>
      <c r="Q271" s="938">
        <v>100</v>
      </c>
      <c r="R271" s="938">
        <v>12</v>
      </c>
      <c r="S271" s="938">
        <v>5</v>
      </c>
      <c r="T271" s="938">
        <v>5</v>
      </c>
      <c r="U271" s="938">
        <v>0</v>
      </c>
      <c r="V271" s="938">
        <v>1</v>
      </c>
      <c r="W271" s="776">
        <f>IF(Kulturen[[#This Row],[Berechnungsschema]]=13,3,IF(Kulturen[[#This Row],[Berechnungsschema]]=6,2,1))</f>
        <v>1</v>
      </c>
      <c r="X271" s="776">
        <f>IF(Kulturen[[#This Row],[fruchtartengruppe]]=13,Kulturen[[#This Row],[NBedarfswert]],MAX(0,Kulturen[[#This Row],[NBedarfswert]]-Kulturen[[#This Row],[Ertrag]]*Kulturen[[#This Row],[Nfix]]))</f>
        <v>100</v>
      </c>
      <c r="Y271" s="776" t="s">
        <v>2127</v>
      </c>
      <c r="Z271" s="776" t="s">
        <v>2127</v>
      </c>
      <c r="AA271" s="776" t="s">
        <v>2127</v>
      </c>
      <c r="AB271" s="776" t="s">
        <v>2127</v>
      </c>
      <c r="AC271" s="776" t="s">
        <v>2127</v>
      </c>
      <c r="AD271" s="776" t="s">
        <v>2127</v>
      </c>
      <c r="AE271" s="776" t="s">
        <v>2127</v>
      </c>
      <c r="AF271" s="776" t="s">
        <v>2127</v>
      </c>
      <c r="AG271" s="776" t="s">
        <v>2127</v>
      </c>
      <c r="AH271" s="776" t="s">
        <v>2127</v>
      </c>
      <c r="AI271" s="776" t="s">
        <v>2127</v>
      </c>
      <c r="AJ271" s="776" t="s">
        <v>2127</v>
      </c>
      <c r="AK271" s="776" t="s">
        <v>2127</v>
      </c>
      <c r="AL271" s="776" t="s">
        <v>2127</v>
      </c>
      <c r="AM271" s="776" t="s">
        <v>2127</v>
      </c>
      <c r="AN271" s="776" t="s">
        <v>2127</v>
      </c>
      <c r="AO271" s="776" t="s">
        <v>2127</v>
      </c>
      <c r="AP271" s="776" t="s">
        <v>2127</v>
      </c>
      <c r="AQ271" s="776" t="s">
        <v>2127</v>
      </c>
      <c r="AR271" s="776" t="s">
        <v>2127</v>
      </c>
      <c r="AS271" s="776" t="s">
        <v>2127</v>
      </c>
      <c r="AT271" s="776" t="s">
        <v>2127</v>
      </c>
      <c r="AU271" s="776" t="s">
        <v>2127</v>
      </c>
      <c r="AV271" s="776" t="s">
        <v>2127</v>
      </c>
      <c r="AW271" s="776" t="s">
        <v>2127</v>
      </c>
      <c r="AX271" s="776" t="s">
        <v>2127</v>
      </c>
      <c r="AY271" s="776" t="s">
        <v>2127</v>
      </c>
      <c r="AZ271" s="776" t="s">
        <v>2127</v>
      </c>
      <c r="BA271" s="776" t="s">
        <v>2127</v>
      </c>
      <c r="BB271" s="776" t="s">
        <v>2127</v>
      </c>
      <c r="BC271" s="776" t="s">
        <v>2127</v>
      </c>
      <c r="BD271" s="776" t="s">
        <v>2127</v>
      </c>
      <c r="BE271" s="776" t="s">
        <v>2127</v>
      </c>
      <c r="BF271" s="776" t="s">
        <v>2127</v>
      </c>
      <c r="BG271" s="776" t="s">
        <v>2127</v>
      </c>
      <c r="BH271" s="776" t="s">
        <v>2127</v>
      </c>
      <c r="BI271" s="776" t="s">
        <v>2127</v>
      </c>
      <c r="BJ271" s="776" t="s">
        <v>2127</v>
      </c>
      <c r="BK271" s="776" t="s">
        <v>2127</v>
      </c>
      <c r="BL271" s="776" t="s">
        <v>2127</v>
      </c>
      <c r="BM271" s="776" t="s">
        <v>2127</v>
      </c>
      <c r="BN271" s="776" t="s">
        <v>2127</v>
      </c>
      <c r="BO271" s="776" t="s">
        <v>2127</v>
      </c>
      <c r="BP271" s="776" t="s">
        <v>2127</v>
      </c>
      <c r="BQ271" s="776" t="s">
        <v>2127</v>
      </c>
      <c r="BR271" s="776" t="s">
        <v>2127</v>
      </c>
      <c r="BS271" s="776" t="s">
        <v>2127</v>
      </c>
      <c r="BT271" s="776" t="s">
        <v>2127</v>
      </c>
      <c r="BU271" s="776" t="s">
        <v>2127</v>
      </c>
      <c r="BV271" s="776" t="s">
        <v>2127</v>
      </c>
      <c r="BW271" s="776" t="s">
        <v>2127</v>
      </c>
      <c r="BX271" s="776" t="s">
        <v>2127</v>
      </c>
      <c r="BY271" s="776" t="s">
        <v>2127</v>
      </c>
      <c r="BZ271" s="776" t="s">
        <v>2127</v>
      </c>
      <c r="CA271" s="776" t="s">
        <v>2127</v>
      </c>
      <c r="CB271" s="776" t="s">
        <v>2127</v>
      </c>
      <c r="CC271" s="776" t="s">
        <v>2127</v>
      </c>
      <c r="CD271" s="776" t="s">
        <v>2127</v>
      </c>
      <c r="CE271" s="776" t="s">
        <v>2127</v>
      </c>
      <c r="CF271" s="776" t="s">
        <v>2127</v>
      </c>
      <c r="CG271" s="776" t="s">
        <v>2127</v>
      </c>
      <c r="CH271" s="776" t="s">
        <v>2127</v>
      </c>
      <c r="CI271" s="776" t="s">
        <v>2127</v>
      </c>
      <c r="CJ271" s="776" t="s">
        <v>2127</v>
      </c>
      <c r="CK271" s="776" t="s">
        <v>2127</v>
      </c>
      <c r="CL271" s="776" t="s">
        <v>2127</v>
      </c>
      <c r="CM271" s="776" t="s">
        <v>2127</v>
      </c>
      <c r="CN271" s="776" t="s">
        <v>2127</v>
      </c>
      <c r="CO271" s="776" t="s">
        <v>2127</v>
      </c>
      <c r="CP271" s="776" t="s">
        <v>2127</v>
      </c>
      <c r="CQ271" s="776" t="s">
        <v>2127</v>
      </c>
      <c r="CR271" s="776" t="s">
        <v>2127</v>
      </c>
      <c r="CS271" s="776" t="s">
        <v>2127</v>
      </c>
      <c r="CT271" s="776" t="s">
        <v>2127</v>
      </c>
      <c r="CU271" s="776" t="s">
        <v>2127</v>
      </c>
      <c r="CV271" s="776" t="s">
        <v>2127</v>
      </c>
      <c r="CW271" s="776" t="s">
        <v>2127</v>
      </c>
      <c r="CX271" s="776" t="s">
        <v>2127</v>
      </c>
      <c r="CY271" s="776" t="s">
        <v>2127</v>
      </c>
      <c r="CZ271" s="776" t="s">
        <v>2127</v>
      </c>
      <c r="DA271" s="776" t="s">
        <v>2127</v>
      </c>
      <c r="DB271" s="776" t="s">
        <v>2127</v>
      </c>
      <c r="DC271" s="776" t="s">
        <v>2127</v>
      </c>
      <c r="DD271" s="776" t="s">
        <v>2127</v>
      </c>
      <c r="DE271" s="776" t="s">
        <v>2127</v>
      </c>
      <c r="DF271" s="776" t="s">
        <v>2127</v>
      </c>
      <c r="DG271" s="776" t="s">
        <v>2127</v>
      </c>
      <c r="DH271" s="776" t="s">
        <v>2127</v>
      </c>
      <c r="DI271" s="776" t="s">
        <v>2127</v>
      </c>
      <c r="DJ271" s="776" t="s">
        <v>2127</v>
      </c>
      <c r="DK271" s="776" t="s">
        <v>2127</v>
      </c>
      <c r="DL271" s="776" t="s">
        <v>2127</v>
      </c>
      <c r="DM271" s="776" t="s">
        <v>2127</v>
      </c>
      <c r="DN271" s="776" t="s">
        <v>2127</v>
      </c>
      <c r="DO271" s="776" t="s">
        <v>2127</v>
      </c>
      <c r="DP271" s="776" t="s">
        <v>2127</v>
      </c>
    </row>
    <row r="272" spans="1:123" x14ac:dyDescent="0.2">
      <c r="A272" s="637" t="s">
        <v>2298</v>
      </c>
      <c r="B272" s="772" t="str" cm="1">
        <f t="array" ref="B272">IFERROR(INDEX(Kulturen[HF],_xlfn.AGGREGATE(15,6,(ROW(Kulturen[Auswahl])-7)/(--(SEARCH("x",Kulturen[Auswahl])&gt;0)),ROW()-7),1),"")</f>
        <v>Färberdistel (Samen)</v>
      </c>
      <c r="C272" s="772" t="str">
        <f>IF(Kulturen[[#This Row],[HF]]=$D$373,IF($C$6=0,0,"x"),IF($C$6=0,"x",Vorauswahl!C271))</f>
        <v>x</v>
      </c>
      <c r="D272" s="938" t="s">
        <v>2015</v>
      </c>
      <c r="E272" s="938" t="s">
        <v>2015</v>
      </c>
      <c r="F272" s="938" t="s">
        <v>938</v>
      </c>
      <c r="G272" s="938">
        <v>14</v>
      </c>
      <c r="H272" s="938">
        <v>8</v>
      </c>
      <c r="I272" s="938">
        <v>3</v>
      </c>
      <c r="J272" s="938">
        <v>14</v>
      </c>
      <c r="K272" s="938">
        <v>0.11</v>
      </c>
      <c r="L272" s="938">
        <v>0.11</v>
      </c>
      <c r="M272" s="938">
        <v>500</v>
      </c>
      <c r="N272" s="938">
        <v>0</v>
      </c>
      <c r="O272" s="938">
        <v>1</v>
      </c>
      <c r="P272" s="938">
        <v>0</v>
      </c>
      <c r="Q272" s="938">
        <v>175</v>
      </c>
      <c r="R272" s="938">
        <v>50</v>
      </c>
      <c r="S272" s="938">
        <v>18</v>
      </c>
      <c r="T272" s="938">
        <v>18</v>
      </c>
      <c r="U272" s="938">
        <v>0</v>
      </c>
      <c r="V272" s="938">
        <v>1</v>
      </c>
      <c r="W272" s="776">
        <f>IF(Kulturen[[#This Row],[Berechnungsschema]]=13,3,IF(Kulturen[[#This Row],[Berechnungsschema]]=6,2,1))</f>
        <v>1</v>
      </c>
      <c r="X272" s="776">
        <f>IF(Kulturen[[#This Row],[fruchtartengruppe]]=13,Kulturen[[#This Row],[NBedarfswert]],MAX(0,Kulturen[[#This Row],[NBedarfswert]]-Kulturen[[#This Row],[Ertrag]]*Kulturen[[#This Row],[Nfix]]))</f>
        <v>175</v>
      </c>
      <c r="Y272" s="776" t="s">
        <v>2127</v>
      </c>
      <c r="Z272" s="776" t="s">
        <v>2127</v>
      </c>
      <c r="AA272" s="776" t="s">
        <v>2127</v>
      </c>
      <c r="AB272" s="776" t="s">
        <v>2127</v>
      </c>
      <c r="AC272" s="776" t="s">
        <v>2127</v>
      </c>
      <c r="AD272" s="776" t="s">
        <v>2127</v>
      </c>
      <c r="AE272" s="776" t="s">
        <v>2127</v>
      </c>
      <c r="AF272" s="776" t="s">
        <v>2127</v>
      </c>
      <c r="AG272" s="776" t="s">
        <v>2127</v>
      </c>
      <c r="AH272" s="776" t="s">
        <v>2127</v>
      </c>
      <c r="AI272" s="776" t="s">
        <v>2127</v>
      </c>
      <c r="AJ272" s="776" t="s">
        <v>2127</v>
      </c>
      <c r="AK272" s="776" t="s">
        <v>2127</v>
      </c>
      <c r="AL272" s="776" t="s">
        <v>2127</v>
      </c>
      <c r="AM272" s="776" t="s">
        <v>2127</v>
      </c>
      <c r="AN272" s="776" t="s">
        <v>2127</v>
      </c>
      <c r="AO272" s="776" t="s">
        <v>2127</v>
      </c>
      <c r="AP272" s="776" t="s">
        <v>2127</v>
      </c>
      <c r="AQ272" s="776" t="s">
        <v>2127</v>
      </c>
      <c r="AR272" s="776" t="s">
        <v>2127</v>
      </c>
      <c r="AS272" s="776" t="s">
        <v>2127</v>
      </c>
      <c r="AT272" s="776" t="s">
        <v>2127</v>
      </c>
      <c r="AU272" s="776" t="s">
        <v>2127</v>
      </c>
      <c r="AV272" s="776" t="s">
        <v>2127</v>
      </c>
      <c r="AW272" s="776" t="s">
        <v>2127</v>
      </c>
      <c r="AX272" s="776" t="s">
        <v>2127</v>
      </c>
      <c r="AY272" s="776" t="s">
        <v>2127</v>
      </c>
      <c r="AZ272" s="776" t="s">
        <v>2127</v>
      </c>
      <c r="BA272" s="776" t="s">
        <v>2127</v>
      </c>
      <c r="BB272" s="776" t="s">
        <v>2127</v>
      </c>
      <c r="BC272" s="776" t="s">
        <v>2127</v>
      </c>
      <c r="BD272" s="776" t="s">
        <v>2127</v>
      </c>
      <c r="BE272" s="776" t="s">
        <v>2127</v>
      </c>
      <c r="BF272" s="776" t="s">
        <v>2127</v>
      </c>
      <c r="BG272" s="776" t="s">
        <v>2127</v>
      </c>
      <c r="BH272" s="776" t="s">
        <v>2127</v>
      </c>
      <c r="BI272" s="776" t="s">
        <v>2127</v>
      </c>
      <c r="BJ272" s="776" t="s">
        <v>2127</v>
      </c>
      <c r="BK272" s="776" t="s">
        <v>2127</v>
      </c>
      <c r="BL272" s="776" t="s">
        <v>2127</v>
      </c>
      <c r="BM272" s="776" t="s">
        <v>2127</v>
      </c>
      <c r="BN272" s="776" t="s">
        <v>2127</v>
      </c>
      <c r="BO272" s="776" t="s">
        <v>2127</v>
      </c>
      <c r="BP272" s="776" t="s">
        <v>2127</v>
      </c>
      <c r="BQ272" s="776" t="s">
        <v>2127</v>
      </c>
      <c r="BR272" s="776" t="s">
        <v>2127</v>
      </c>
      <c r="BS272" s="776" t="s">
        <v>2127</v>
      </c>
      <c r="BT272" s="776" t="s">
        <v>2127</v>
      </c>
      <c r="BU272" s="776" t="s">
        <v>2127</v>
      </c>
      <c r="BV272" s="776" t="s">
        <v>2127</v>
      </c>
      <c r="BW272" s="776" t="s">
        <v>2127</v>
      </c>
      <c r="BX272" s="776" t="s">
        <v>2127</v>
      </c>
      <c r="BY272" s="776" t="s">
        <v>2127</v>
      </c>
      <c r="BZ272" s="776" t="s">
        <v>2127</v>
      </c>
      <c r="CA272" s="776" t="s">
        <v>2127</v>
      </c>
      <c r="CB272" s="776" t="s">
        <v>2127</v>
      </c>
      <c r="CC272" s="776" t="s">
        <v>2127</v>
      </c>
      <c r="CD272" s="776" t="s">
        <v>2127</v>
      </c>
      <c r="CE272" s="776" t="s">
        <v>2127</v>
      </c>
      <c r="CF272" s="776" t="s">
        <v>2127</v>
      </c>
      <c r="CG272" s="776" t="s">
        <v>2127</v>
      </c>
      <c r="CH272" s="776" t="s">
        <v>2127</v>
      </c>
      <c r="CI272" s="776" t="s">
        <v>2127</v>
      </c>
      <c r="CJ272" s="776" t="s">
        <v>2127</v>
      </c>
      <c r="CK272" s="776" t="s">
        <v>2127</v>
      </c>
      <c r="CL272" s="776" t="s">
        <v>2127</v>
      </c>
      <c r="CM272" s="776" t="s">
        <v>2127</v>
      </c>
      <c r="CN272" s="776" t="s">
        <v>2127</v>
      </c>
      <c r="CO272" s="776" t="s">
        <v>2127</v>
      </c>
      <c r="CP272" s="776" t="s">
        <v>2127</v>
      </c>
      <c r="CQ272" s="776" t="s">
        <v>2127</v>
      </c>
      <c r="CR272" s="776" t="s">
        <v>2127</v>
      </c>
      <c r="CS272" s="776" t="s">
        <v>2127</v>
      </c>
      <c r="CT272" s="776" t="s">
        <v>2127</v>
      </c>
      <c r="CU272" s="776" t="s">
        <v>2127</v>
      </c>
      <c r="CV272" s="776" t="s">
        <v>2127</v>
      </c>
      <c r="CW272" s="776" t="s">
        <v>2127</v>
      </c>
      <c r="CX272" s="776" t="s">
        <v>2127</v>
      </c>
      <c r="CY272" s="776" t="s">
        <v>2127</v>
      </c>
      <c r="CZ272" s="776" t="s">
        <v>2127</v>
      </c>
      <c r="DA272" s="776" t="s">
        <v>2127</v>
      </c>
      <c r="DB272" s="776" t="s">
        <v>2127</v>
      </c>
      <c r="DC272" s="776" t="s">
        <v>2127</v>
      </c>
      <c r="DD272" s="776" t="s">
        <v>2127</v>
      </c>
      <c r="DE272" s="776" t="s">
        <v>2127</v>
      </c>
      <c r="DF272" s="776" t="s">
        <v>2127</v>
      </c>
      <c r="DG272" s="776" t="s">
        <v>2127</v>
      </c>
      <c r="DH272" s="776" t="s">
        <v>2127</v>
      </c>
      <c r="DI272" s="776" t="s">
        <v>2127</v>
      </c>
      <c r="DJ272" s="776" t="s">
        <v>2127</v>
      </c>
      <c r="DK272" s="776" t="s">
        <v>2127</v>
      </c>
      <c r="DL272" s="776" t="s">
        <v>2127</v>
      </c>
      <c r="DM272" s="776" t="s">
        <v>2127</v>
      </c>
      <c r="DN272" s="776" t="s">
        <v>2127</v>
      </c>
      <c r="DO272" s="776" t="s">
        <v>2127</v>
      </c>
      <c r="DP272" s="776" t="s">
        <v>2127</v>
      </c>
    </row>
    <row r="273" spans="1:120" x14ac:dyDescent="0.2">
      <c r="A273" s="637"/>
      <c r="B273" s="772" t="str" cm="1">
        <f t="array" ref="B273">IFERROR(INDEX(Kulturen[HF],_xlfn.AGGREGATE(15,6,(ROW(Kulturen[Auswahl])-7)/(--(SEARCH("x",Kulturen[Auswahl])&gt;0)),ROW()-7),1),"")</f>
        <v>Färberwaid (Kraut)</v>
      </c>
      <c r="C273" s="772" t="str">
        <f>IF(Kulturen[[#This Row],[HF]]=$D$373,IF($C$6=0,0,"x"),IF($C$6=0,"x",Vorauswahl!C272))</f>
        <v>x</v>
      </c>
      <c r="D273" s="938" t="s">
        <v>2016</v>
      </c>
      <c r="E273" s="938" t="s">
        <v>2016</v>
      </c>
      <c r="F273" s="938" t="s">
        <v>2017</v>
      </c>
      <c r="G273" s="938">
        <v>14</v>
      </c>
      <c r="H273" s="938">
        <v>8</v>
      </c>
      <c r="I273" s="938">
        <v>1</v>
      </c>
      <c r="J273" s="938">
        <v>14</v>
      </c>
      <c r="K273" s="938">
        <v>1.6</v>
      </c>
      <c r="L273" s="938">
        <v>2.15</v>
      </c>
      <c r="M273" s="938">
        <v>20</v>
      </c>
      <c r="N273" s="938">
        <v>0</v>
      </c>
      <c r="O273" s="938">
        <v>1</v>
      </c>
      <c r="P273" s="938">
        <v>0</v>
      </c>
      <c r="Q273" s="938">
        <v>100</v>
      </c>
      <c r="R273" s="938">
        <v>2</v>
      </c>
      <c r="S273" s="938">
        <v>10</v>
      </c>
      <c r="T273" s="938">
        <v>10</v>
      </c>
      <c r="U273" s="938">
        <v>0</v>
      </c>
      <c r="V273" s="938">
        <v>1</v>
      </c>
      <c r="W273" s="776">
        <f>IF(Kulturen[[#This Row],[Berechnungsschema]]=13,3,IF(Kulturen[[#This Row],[Berechnungsschema]]=6,2,1))</f>
        <v>1</v>
      </c>
      <c r="X273" s="776">
        <f>IF(Kulturen[[#This Row],[fruchtartengruppe]]=13,Kulturen[[#This Row],[NBedarfswert]],MAX(0,Kulturen[[#This Row],[NBedarfswert]]-Kulturen[[#This Row],[Ertrag]]*Kulturen[[#This Row],[Nfix]]))</f>
        <v>100</v>
      </c>
      <c r="Y273" s="776" t="s">
        <v>2127</v>
      </c>
      <c r="Z273" s="776" t="s">
        <v>2127</v>
      </c>
      <c r="AA273" s="776" t="s">
        <v>2127</v>
      </c>
      <c r="AB273" s="776" t="s">
        <v>2127</v>
      </c>
      <c r="AC273" s="776" t="s">
        <v>2127</v>
      </c>
      <c r="AD273" s="776" t="s">
        <v>2127</v>
      </c>
      <c r="AE273" s="776" t="s">
        <v>2127</v>
      </c>
      <c r="AF273" s="776" t="s">
        <v>2127</v>
      </c>
      <c r="AG273" s="776" t="s">
        <v>2127</v>
      </c>
      <c r="AH273" s="776" t="s">
        <v>2127</v>
      </c>
      <c r="AI273" s="776" t="s">
        <v>2127</v>
      </c>
      <c r="AJ273" s="776" t="s">
        <v>2127</v>
      </c>
      <c r="AK273" s="776" t="s">
        <v>2127</v>
      </c>
      <c r="AL273" s="776" t="s">
        <v>2127</v>
      </c>
      <c r="AM273" s="776" t="s">
        <v>2127</v>
      </c>
      <c r="AN273" s="776" t="s">
        <v>2127</v>
      </c>
      <c r="AO273" s="776" t="s">
        <v>2127</v>
      </c>
      <c r="AP273" s="776" t="s">
        <v>2127</v>
      </c>
      <c r="AQ273" s="776" t="s">
        <v>2127</v>
      </c>
      <c r="AR273" s="776" t="s">
        <v>2127</v>
      </c>
      <c r="AS273" s="776" t="s">
        <v>2127</v>
      </c>
      <c r="AT273" s="776" t="s">
        <v>2127</v>
      </c>
      <c r="AU273" s="776" t="s">
        <v>2127</v>
      </c>
      <c r="AV273" s="776" t="s">
        <v>2127</v>
      </c>
      <c r="AW273" s="776" t="s">
        <v>2127</v>
      </c>
      <c r="AX273" s="776" t="s">
        <v>2127</v>
      </c>
      <c r="AY273" s="776" t="s">
        <v>2127</v>
      </c>
      <c r="AZ273" s="776" t="s">
        <v>2127</v>
      </c>
      <c r="BA273" s="776" t="s">
        <v>2127</v>
      </c>
      <c r="BB273" s="776" t="s">
        <v>2127</v>
      </c>
      <c r="BC273" s="776" t="s">
        <v>2127</v>
      </c>
      <c r="BD273" s="776" t="s">
        <v>2127</v>
      </c>
      <c r="BE273" s="776" t="s">
        <v>2127</v>
      </c>
      <c r="BF273" s="776" t="s">
        <v>2127</v>
      </c>
      <c r="BG273" s="776" t="s">
        <v>2127</v>
      </c>
      <c r="BH273" s="776" t="s">
        <v>2127</v>
      </c>
      <c r="BI273" s="776" t="s">
        <v>2127</v>
      </c>
      <c r="BJ273" s="776" t="s">
        <v>2127</v>
      </c>
      <c r="BK273" s="776" t="s">
        <v>2127</v>
      </c>
      <c r="BL273" s="776" t="s">
        <v>2127</v>
      </c>
      <c r="BM273" s="776" t="s">
        <v>2127</v>
      </c>
      <c r="BN273" s="776" t="s">
        <v>2127</v>
      </c>
      <c r="BO273" s="776" t="s">
        <v>2127</v>
      </c>
      <c r="BP273" s="776" t="s">
        <v>2127</v>
      </c>
      <c r="BQ273" s="776" t="s">
        <v>2127</v>
      </c>
      <c r="BR273" s="776" t="s">
        <v>2127</v>
      </c>
      <c r="BS273" s="776" t="s">
        <v>2127</v>
      </c>
      <c r="BT273" s="776" t="s">
        <v>2127</v>
      </c>
      <c r="BU273" s="776" t="s">
        <v>2127</v>
      </c>
      <c r="BV273" s="776" t="s">
        <v>2127</v>
      </c>
      <c r="BW273" s="776" t="s">
        <v>2127</v>
      </c>
      <c r="BX273" s="776" t="s">
        <v>2127</v>
      </c>
      <c r="BY273" s="776" t="s">
        <v>2127</v>
      </c>
      <c r="BZ273" s="776" t="s">
        <v>2127</v>
      </c>
      <c r="CA273" s="776" t="s">
        <v>2127</v>
      </c>
      <c r="CB273" s="776" t="s">
        <v>2127</v>
      </c>
      <c r="CC273" s="776" t="s">
        <v>2127</v>
      </c>
      <c r="CD273" s="776" t="s">
        <v>2127</v>
      </c>
      <c r="CE273" s="776" t="s">
        <v>2127</v>
      </c>
      <c r="CF273" s="776" t="s">
        <v>2127</v>
      </c>
      <c r="CG273" s="776" t="s">
        <v>2127</v>
      </c>
      <c r="CH273" s="776" t="s">
        <v>2127</v>
      </c>
      <c r="CI273" s="776" t="s">
        <v>2127</v>
      </c>
      <c r="CJ273" s="776" t="s">
        <v>2127</v>
      </c>
      <c r="CK273" s="776" t="s">
        <v>2127</v>
      </c>
      <c r="CL273" s="776" t="s">
        <v>2127</v>
      </c>
      <c r="CM273" s="776" t="s">
        <v>2127</v>
      </c>
      <c r="CN273" s="776" t="s">
        <v>2127</v>
      </c>
      <c r="CO273" s="776" t="s">
        <v>2127</v>
      </c>
      <c r="CP273" s="776" t="s">
        <v>2127</v>
      </c>
      <c r="CQ273" s="776" t="s">
        <v>2127</v>
      </c>
      <c r="CR273" s="776" t="s">
        <v>2127</v>
      </c>
      <c r="CS273" s="776" t="s">
        <v>2127</v>
      </c>
      <c r="CT273" s="776" t="s">
        <v>2127</v>
      </c>
      <c r="CU273" s="776" t="s">
        <v>2127</v>
      </c>
      <c r="CV273" s="776" t="s">
        <v>2127</v>
      </c>
      <c r="CW273" s="776" t="s">
        <v>2127</v>
      </c>
      <c r="CX273" s="776" t="s">
        <v>2127</v>
      </c>
      <c r="CY273" s="776" t="s">
        <v>2127</v>
      </c>
      <c r="CZ273" s="776" t="s">
        <v>2127</v>
      </c>
      <c r="DA273" s="776" t="s">
        <v>2127</v>
      </c>
      <c r="DB273" s="776" t="s">
        <v>2127</v>
      </c>
      <c r="DC273" s="776" t="s">
        <v>2127</v>
      </c>
      <c r="DD273" s="776" t="s">
        <v>2127</v>
      </c>
      <c r="DE273" s="776" t="s">
        <v>2127</v>
      </c>
      <c r="DF273" s="776" t="s">
        <v>2127</v>
      </c>
      <c r="DG273" s="776" t="s">
        <v>2127</v>
      </c>
      <c r="DH273" s="776" t="s">
        <v>2127</v>
      </c>
      <c r="DI273" s="776" t="s">
        <v>2127</v>
      </c>
      <c r="DJ273" s="776" t="s">
        <v>2127</v>
      </c>
      <c r="DK273" s="776" t="s">
        <v>2127</v>
      </c>
      <c r="DL273" s="776" t="s">
        <v>2127</v>
      </c>
      <c r="DM273" s="776" t="s">
        <v>2127</v>
      </c>
      <c r="DN273" s="776" t="s">
        <v>2127</v>
      </c>
      <c r="DO273" s="776" t="s">
        <v>2127</v>
      </c>
      <c r="DP273" s="776" t="s">
        <v>2127</v>
      </c>
    </row>
    <row r="274" spans="1:120" x14ac:dyDescent="0.2">
      <c r="A274" s="637"/>
      <c r="B274" s="772" t="str" cm="1">
        <f t="array" ref="B274">IFERROR(INDEX(Kulturen[HF],_xlfn.AGGREGATE(15,6,(ROW(Kulturen[Auswahl])-7)/(--(SEARCH("x",Kulturen[Auswahl])&gt;0)),ROW()-7),1),"")</f>
        <v>Federmohn, 1. Standjahr (Kraut)</v>
      </c>
      <c r="C274" s="772" t="str">
        <f>IF(Kulturen[[#This Row],[HF]]=$D$373,IF($C$6=0,0,"x"),IF($C$6=0,"x",Vorauswahl!C273))</f>
        <v>x</v>
      </c>
      <c r="D274" s="938" t="s">
        <v>2018</v>
      </c>
      <c r="E274" s="938" t="s">
        <v>2018</v>
      </c>
      <c r="F274" s="938" t="s">
        <v>2019</v>
      </c>
      <c r="G274" s="938">
        <v>14</v>
      </c>
      <c r="H274" s="938">
        <v>8</v>
      </c>
      <c r="I274" s="938">
        <v>3</v>
      </c>
      <c r="J274" s="938">
        <v>14</v>
      </c>
      <c r="K274" s="938">
        <v>0.12</v>
      </c>
      <c r="L274" s="938">
        <v>0.12</v>
      </c>
      <c r="M274" s="938">
        <v>100</v>
      </c>
      <c r="N274" s="938">
        <v>0</v>
      </c>
      <c r="O274" s="938">
        <v>1</v>
      </c>
      <c r="P274" s="938">
        <v>0</v>
      </c>
      <c r="Q274" s="938">
        <v>60</v>
      </c>
      <c r="R274" s="938">
        <v>10</v>
      </c>
      <c r="S274" s="938">
        <v>6</v>
      </c>
      <c r="T274" s="938">
        <v>6</v>
      </c>
      <c r="U274" s="938">
        <v>0</v>
      </c>
      <c r="V274" s="938">
        <v>1</v>
      </c>
      <c r="W274" s="776">
        <f>IF(Kulturen[[#This Row],[Berechnungsschema]]=13,3,IF(Kulturen[[#This Row],[Berechnungsschema]]=6,2,1))</f>
        <v>1</v>
      </c>
      <c r="X274" s="776">
        <f>IF(Kulturen[[#This Row],[fruchtartengruppe]]=13,Kulturen[[#This Row],[NBedarfswert]],MAX(0,Kulturen[[#This Row],[NBedarfswert]]-Kulturen[[#This Row],[Ertrag]]*Kulturen[[#This Row],[Nfix]]))</f>
        <v>60</v>
      </c>
      <c r="Y274" s="776" t="s">
        <v>2127</v>
      </c>
      <c r="Z274" s="776" t="s">
        <v>2127</v>
      </c>
      <c r="AA274" s="776" t="s">
        <v>2127</v>
      </c>
      <c r="AB274" s="776" t="s">
        <v>2127</v>
      </c>
      <c r="AC274" s="776" t="s">
        <v>2127</v>
      </c>
      <c r="AD274" s="776" t="s">
        <v>2127</v>
      </c>
      <c r="AE274" s="776" t="s">
        <v>2127</v>
      </c>
      <c r="AF274" s="776" t="s">
        <v>2127</v>
      </c>
      <c r="AG274" s="776" t="s">
        <v>2127</v>
      </c>
      <c r="AH274" s="776" t="s">
        <v>2127</v>
      </c>
      <c r="AI274" s="776" t="s">
        <v>2127</v>
      </c>
      <c r="AJ274" s="776" t="s">
        <v>2127</v>
      </c>
      <c r="AK274" s="776" t="s">
        <v>2127</v>
      </c>
      <c r="AL274" s="776" t="s">
        <v>2127</v>
      </c>
      <c r="AM274" s="776" t="s">
        <v>2127</v>
      </c>
      <c r="AN274" s="776" t="s">
        <v>2127</v>
      </c>
      <c r="AO274" s="776" t="s">
        <v>2127</v>
      </c>
      <c r="AP274" s="776" t="s">
        <v>2127</v>
      </c>
      <c r="AQ274" s="776" t="s">
        <v>2127</v>
      </c>
      <c r="AR274" s="776" t="s">
        <v>2127</v>
      </c>
      <c r="AS274" s="776" t="s">
        <v>2127</v>
      </c>
      <c r="AT274" s="776" t="s">
        <v>2127</v>
      </c>
      <c r="AU274" s="776" t="s">
        <v>2127</v>
      </c>
      <c r="AV274" s="776" t="s">
        <v>2127</v>
      </c>
      <c r="AW274" s="776" t="s">
        <v>2127</v>
      </c>
      <c r="AX274" s="776" t="s">
        <v>2127</v>
      </c>
      <c r="AY274" s="776" t="s">
        <v>2127</v>
      </c>
      <c r="AZ274" s="776" t="s">
        <v>2127</v>
      </c>
      <c r="BA274" s="776" t="s">
        <v>2127</v>
      </c>
      <c r="BB274" s="776" t="s">
        <v>2127</v>
      </c>
      <c r="BC274" s="776" t="s">
        <v>2127</v>
      </c>
      <c r="BD274" s="776" t="s">
        <v>2127</v>
      </c>
      <c r="BE274" s="776" t="s">
        <v>2127</v>
      </c>
      <c r="BF274" s="776" t="s">
        <v>2127</v>
      </c>
      <c r="BG274" s="776" t="s">
        <v>2127</v>
      </c>
      <c r="BH274" s="776" t="s">
        <v>2127</v>
      </c>
      <c r="BI274" s="776" t="s">
        <v>2127</v>
      </c>
      <c r="BJ274" s="776" t="s">
        <v>2127</v>
      </c>
      <c r="BK274" s="776" t="s">
        <v>2127</v>
      </c>
      <c r="BL274" s="776" t="s">
        <v>2127</v>
      </c>
      <c r="BM274" s="776" t="s">
        <v>2127</v>
      </c>
      <c r="BN274" s="776" t="s">
        <v>2127</v>
      </c>
      <c r="BO274" s="776" t="s">
        <v>2127</v>
      </c>
      <c r="BP274" s="776" t="s">
        <v>2127</v>
      </c>
      <c r="BQ274" s="776" t="s">
        <v>2127</v>
      </c>
      <c r="BR274" s="776" t="s">
        <v>2127</v>
      </c>
      <c r="BS274" s="776" t="s">
        <v>2127</v>
      </c>
      <c r="BT274" s="776" t="s">
        <v>2127</v>
      </c>
      <c r="BU274" s="776" t="s">
        <v>2127</v>
      </c>
      <c r="BV274" s="776" t="s">
        <v>2127</v>
      </c>
      <c r="BW274" s="776" t="s">
        <v>2127</v>
      </c>
      <c r="BX274" s="776" t="s">
        <v>2127</v>
      </c>
      <c r="BY274" s="776" t="s">
        <v>2127</v>
      </c>
      <c r="BZ274" s="776" t="s">
        <v>2127</v>
      </c>
      <c r="CA274" s="776" t="s">
        <v>2127</v>
      </c>
      <c r="CB274" s="776" t="s">
        <v>2127</v>
      </c>
      <c r="CC274" s="776" t="s">
        <v>2127</v>
      </c>
      <c r="CD274" s="776" t="s">
        <v>2127</v>
      </c>
      <c r="CE274" s="776" t="s">
        <v>2127</v>
      </c>
      <c r="CF274" s="776" t="s">
        <v>2127</v>
      </c>
      <c r="CG274" s="776" t="s">
        <v>2127</v>
      </c>
      <c r="CH274" s="776" t="s">
        <v>2127</v>
      </c>
      <c r="CI274" s="776" t="s">
        <v>2127</v>
      </c>
      <c r="CJ274" s="776" t="s">
        <v>2127</v>
      </c>
      <c r="CK274" s="776" t="s">
        <v>2127</v>
      </c>
      <c r="CL274" s="776" t="s">
        <v>2127</v>
      </c>
      <c r="CM274" s="776" t="s">
        <v>2127</v>
      </c>
      <c r="CN274" s="776" t="s">
        <v>2127</v>
      </c>
      <c r="CO274" s="776" t="s">
        <v>2127</v>
      </c>
      <c r="CP274" s="776" t="s">
        <v>2127</v>
      </c>
      <c r="CQ274" s="776" t="s">
        <v>2127</v>
      </c>
      <c r="CR274" s="776" t="s">
        <v>2127</v>
      </c>
      <c r="CS274" s="776" t="s">
        <v>2127</v>
      </c>
      <c r="CT274" s="776" t="s">
        <v>2127</v>
      </c>
      <c r="CU274" s="776" t="s">
        <v>2127</v>
      </c>
      <c r="CV274" s="776" t="s">
        <v>2127</v>
      </c>
      <c r="CW274" s="776" t="s">
        <v>2127</v>
      </c>
      <c r="CX274" s="776" t="s">
        <v>2127</v>
      </c>
      <c r="CY274" s="776" t="s">
        <v>2127</v>
      </c>
      <c r="CZ274" s="776" t="s">
        <v>2127</v>
      </c>
      <c r="DA274" s="776" t="s">
        <v>2127</v>
      </c>
      <c r="DB274" s="776" t="s">
        <v>2127</v>
      </c>
      <c r="DC274" s="776" t="s">
        <v>2127</v>
      </c>
      <c r="DD274" s="776" t="s">
        <v>2127</v>
      </c>
      <c r="DE274" s="776" t="s">
        <v>2127</v>
      </c>
      <c r="DF274" s="776" t="s">
        <v>2127</v>
      </c>
      <c r="DG274" s="776" t="s">
        <v>2127</v>
      </c>
      <c r="DH274" s="776" t="s">
        <v>2127</v>
      </c>
      <c r="DI274" s="776" t="s">
        <v>2127</v>
      </c>
      <c r="DJ274" s="776" t="s">
        <v>2127</v>
      </c>
      <c r="DK274" s="776" t="s">
        <v>2127</v>
      </c>
      <c r="DL274" s="776" t="s">
        <v>2127</v>
      </c>
      <c r="DM274" s="776" t="s">
        <v>2127</v>
      </c>
      <c r="DN274" s="776" t="s">
        <v>2127</v>
      </c>
      <c r="DO274" s="776" t="s">
        <v>2127</v>
      </c>
      <c r="DP274" s="776" t="s">
        <v>2127</v>
      </c>
    </row>
    <row r="275" spans="1:120" x14ac:dyDescent="0.2">
      <c r="A275" s="637" t="s">
        <v>2299</v>
      </c>
      <c r="B275" s="772" t="str" cm="1">
        <f t="array" ref="B275">IFERROR(INDEX(Kulturen[HF],_xlfn.AGGREGATE(15,6,(ROW(Kulturen[Auswahl])-7)/(--(SEARCH("x",Kulturen[Auswahl])&gt;0)),ROW()-7),1),"")</f>
        <v>Federmohn, ab 2. Standjahr (Kraut)</v>
      </c>
      <c r="C275" s="772" t="str">
        <f>IF(Kulturen[[#This Row],[HF]]=$D$373,IF($C$6=0,0,"x"),IF($C$6=0,"x",Vorauswahl!C274))</f>
        <v>x</v>
      </c>
      <c r="D275" s="938" t="s">
        <v>2020</v>
      </c>
      <c r="E275" s="938" t="s">
        <v>2020</v>
      </c>
      <c r="F275" s="938" t="s">
        <v>939</v>
      </c>
      <c r="G275" s="938">
        <v>14</v>
      </c>
      <c r="H275" s="938">
        <v>8</v>
      </c>
      <c r="I275" s="938">
        <v>1</v>
      </c>
      <c r="J275" s="938">
        <v>14</v>
      </c>
      <c r="K275" s="938">
        <v>0.3</v>
      </c>
      <c r="L275" s="938">
        <v>0.35</v>
      </c>
      <c r="M275" s="938">
        <v>150</v>
      </c>
      <c r="N275" s="938">
        <v>0</v>
      </c>
      <c r="O275" s="938">
        <v>1</v>
      </c>
      <c r="P275" s="938">
        <v>0</v>
      </c>
      <c r="Q275" s="938">
        <v>140</v>
      </c>
      <c r="R275" s="938">
        <v>15</v>
      </c>
      <c r="S275" s="938">
        <v>14</v>
      </c>
      <c r="T275" s="938">
        <v>14</v>
      </c>
      <c r="U275" s="938">
        <v>0</v>
      </c>
      <c r="V275" s="938">
        <v>1</v>
      </c>
      <c r="W275" s="776">
        <f>IF(Kulturen[[#This Row],[Berechnungsschema]]=13,3,IF(Kulturen[[#This Row],[Berechnungsschema]]=6,2,1))</f>
        <v>1</v>
      </c>
      <c r="X275" s="776">
        <f>IF(Kulturen[[#This Row],[fruchtartengruppe]]=13,Kulturen[[#This Row],[NBedarfswert]],MAX(0,Kulturen[[#This Row],[NBedarfswert]]-Kulturen[[#This Row],[Ertrag]]*Kulturen[[#This Row],[Nfix]]))</f>
        <v>140</v>
      </c>
      <c r="Y275" s="776" t="s">
        <v>2127</v>
      </c>
      <c r="Z275" s="776" t="s">
        <v>2127</v>
      </c>
      <c r="AA275" s="776" t="s">
        <v>2127</v>
      </c>
      <c r="AB275" s="776" t="s">
        <v>2127</v>
      </c>
      <c r="AC275" s="776" t="s">
        <v>2127</v>
      </c>
      <c r="AD275" s="776" t="s">
        <v>2127</v>
      </c>
      <c r="AE275" s="776" t="s">
        <v>2127</v>
      </c>
      <c r="AF275" s="776" t="s">
        <v>2127</v>
      </c>
      <c r="AG275" s="776" t="s">
        <v>2127</v>
      </c>
      <c r="AH275" s="776" t="s">
        <v>2127</v>
      </c>
      <c r="AI275" s="776" t="s">
        <v>2127</v>
      </c>
      <c r="AJ275" s="776" t="s">
        <v>2127</v>
      </c>
      <c r="AK275" s="776" t="s">
        <v>2127</v>
      </c>
      <c r="AL275" s="776" t="s">
        <v>2127</v>
      </c>
      <c r="AM275" s="776" t="s">
        <v>2127</v>
      </c>
      <c r="AN275" s="776" t="s">
        <v>2127</v>
      </c>
      <c r="AO275" s="776" t="s">
        <v>2127</v>
      </c>
      <c r="AP275" s="776" t="s">
        <v>2127</v>
      </c>
      <c r="AQ275" s="776" t="s">
        <v>2127</v>
      </c>
      <c r="AR275" s="776" t="s">
        <v>2127</v>
      </c>
      <c r="AS275" s="776" t="s">
        <v>2127</v>
      </c>
      <c r="AT275" s="776" t="s">
        <v>2127</v>
      </c>
      <c r="AU275" s="776" t="s">
        <v>2127</v>
      </c>
      <c r="AV275" s="776" t="s">
        <v>2127</v>
      </c>
      <c r="AW275" s="776" t="s">
        <v>2127</v>
      </c>
      <c r="AX275" s="776" t="s">
        <v>2127</v>
      </c>
      <c r="AY275" s="776" t="s">
        <v>2127</v>
      </c>
      <c r="AZ275" s="776" t="s">
        <v>2127</v>
      </c>
      <c r="BA275" s="776" t="s">
        <v>2127</v>
      </c>
      <c r="BB275" s="776" t="s">
        <v>2127</v>
      </c>
      <c r="BC275" s="776" t="s">
        <v>2127</v>
      </c>
      <c r="BD275" s="776" t="s">
        <v>2127</v>
      </c>
      <c r="BE275" s="776" t="s">
        <v>2127</v>
      </c>
      <c r="BF275" s="776" t="s">
        <v>2127</v>
      </c>
      <c r="BG275" s="776" t="s">
        <v>2127</v>
      </c>
      <c r="BH275" s="776" t="s">
        <v>2127</v>
      </c>
      <c r="BI275" s="776" t="s">
        <v>2127</v>
      </c>
      <c r="BJ275" s="776" t="s">
        <v>2127</v>
      </c>
      <c r="BK275" s="776" t="s">
        <v>2127</v>
      </c>
      <c r="BL275" s="776" t="s">
        <v>2127</v>
      </c>
      <c r="BM275" s="776" t="s">
        <v>2127</v>
      </c>
      <c r="BN275" s="776" t="s">
        <v>2127</v>
      </c>
      <c r="BO275" s="776" t="s">
        <v>2127</v>
      </c>
      <c r="BP275" s="776" t="s">
        <v>2127</v>
      </c>
      <c r="BQ275" s="776" t="s">
        <v>2127</v>
      </c>
      <c r="BR275" s="776" t="s">
        <v>2127</v>
      </c>
      <c r="BS275" s="776" t="s">
        <v>2127</v>
      </c>
      <c r="BT275" s="776" t="s">
        <v>2127</v>
      </c>
      <c r="BU275" s="776" t="s">
        <v>2127</v>
      </c>
      <c r="BV275" s="776" t="s">
        <v>2127</v>
      </c>
      <c r="BW275" s="776" t="s">
        <v>2127</v>
      </c>
      <c r="BX275" s="776" t="s">
        <v>2127</v>
      </c>
      <c r="BY275" s="776" t="s">
        <v>2127</v>
      </c>
      <c r="BZ275" s="776" t="s">
        <v>2127</v>
      </c>
      <c r="CA275" s="776" t="s">
        <v>2127</v>
      </c>
      <c r="CB275" s="776" t="s">
        <v>2127</v>
      </c>
      <c r="CC275" s="776" t="s">
        <v>2127</v>
      </c>
      <c r="CD275" s="776" t="s">
        <v>2127</v>
      </c>
      <c r="CE275" s="776" t="s">
        <v>2127</v>
      </c>
      <c r="CF275" s="776" t="s">
        <v>2127</v>
      </c>
      <c r="CG275" s="776" t="s">
        <v>2127</v>
      </c>
      <c r="CH275" s="776" t="s">
        <v>2127</v>
      </c>
      <c r="CI275" s="776" t="s">
        <v>2127</v>
      </c>
      <c r="CJ275" s="776" t="s">
        <v>2127</v>
      </c>
      <c r="CK275" s="776" t="s">
        <v>2127</v>
      </c>
      <c r="CL275" s="776" t="s">
        <v>2127</v>
      </c>
      <c r="CM275" s="776" t="s">
        <v>2127</v>
      </c>
      <c r="CN275" s="776" t="s">
        <v>2127</v>
      </c>
      <c r="CO275" s="776" t="s">
        <v>2127</v>
      </c>
      <c r="CP275" s="776" t="s">
        <v>2127</v>
      </c>
      <c r="CQ275" s="776" t="s">
        <v>2127</v>
      </c>
      <c r="CR275" s="776" t="s">
        <v>2127</v>
      </c>
      <c r="CS275" s="776" t="s">
        <v>2127</v>
      </c>
      <c r="CT275" s="776" t="s">
        <v>2127</v>
      </c>
      <c r="CU275" s="776" t="s">
        <v>2127</v>
      </c>
      <c r="CV275" s="776" t="s">
        <v>2127</v>
      </c>
      <c r="CW275" s="776" t="s">
        <v>2127</v>
      </c>
      <c r="CX275" s="776" t="s">
        <v>2127</v>
      </c>
      <c r="CY275" s="776" t="s">
        <v>2127</v>
      </c>
      <c r="CZ275" s="776" t="s">
        <v>2127</v>
      </c>
      <c r="DA275" s="776" t="s">
        <v>2127</v>
      </c>
      <c r="DB275" s="776" t="s">
        <v>2127</v>
      </c>
      <c r="DC275" s="776" t="s">
        <v>2127</v>
      </c>
      <c r="DD275" s="776" t="s">
        <v>2127</v>
      </c>
      <c r="DE275" s="776" t="s">
        <v>2127</v>
      </c>
      <c r="DF275" s="776" t="s">
        <v>2127</v>
      </c>
      <c r="DG275" s="776" t="s">
        <v>2127</v>
      </c>
      <c r="DH275" s="776" t="s">
        <v>2127</v>
      </c>
      <c r="DI275" s="776" t="s">
        <v>2127</v>
      </c>
      <c r="DJ275" s="776" t="s">
        <v>2127</v>
      </c>
      <c r="DK275" s="776" t="s">
        <v>2127</v>
      </c>
      <c r="DL275" s="776" t="s">
        <v>2127</v>
      </c>
      <c r="DM275" s="776" t="s">
        <v>2127</v>
      </c>
      <c r="DN275" s="776" t="s">
        <v>2127</v>
      </c>
      <c r="DO275" s="776" t="s">
        <v>2127</v>
      </c>
      <c r="DP275" s="776" t="s">
        <v>2127</v>
      </c>
    </row>
    <row r="276" spans="1:120" x14ac:dyDescent="0.2">
      <c r="A276" s="637" t="s">
        <v>2300</v>
      </c>
      <c r="B276" s="772" t="str" cm="1">
        <f t="array" ref="B276">IFERROR(INDEX(Kulturen[HF],_xlfn.AGGREGATE(15,6,(ROW(Kulturen[Auswahl])-7)/(--(SEARCH("x",Kulturen[Auswahl])&gt;0)),ROW()-7),1),"")</f>
        <v>Frauenmantel, Gewöhnlicher (Blühendes Kraut)</v>
      </c>
      <c r="C276" s="772" t="str">
        <f>IF(Kulturen[[#This Row],[HF]]=$D$373,IF($C$6=0,0,"x"),IF($C$6=0,"x",Vorauswahl!C275))</f>
        <v>x</v>
      </c>
      <c r="D276" s="938" t="s">
        <v>2021</v>
      </c>
      <c r="E276" s="938" t="s">
        <v>2021</v>
      </c>
      <c r="F276" s="938" t="s">
        <v>940</v>
      </c>
      <c r="G276" s="938">
        <v>14</v>
      </c>
      <c r="H276" s="938">
        <v>8</v>
      </c>
      <c r="I276" s="938">
        <v>3</v>
      </c>
      <c r="J276" s="938">
        <v>14</v>
      </c>
      <c r="K276" s="938">
        <v>0.14000000000000001</v>
      </c>
      <c r="L276" s="938">
        <v>0.14000000000000001</v>
      </c>
      <c r="M276" s="938">
        <v>230</v>
      </c>
      <c r="N276" s="938">
        <v>0</v>
      </c>
      <c r="O276" s="938">
        <v>2</v>
      </c>
      <c r="P276" s="938">
        <v>0</v>
      </c>
      <c r="Q276" s="938">
        <v>155</v>
      </c>
      <c r="R276" s="938">
        <v>23</v>
      </c>
      <c r="S276" s="938">
        <v>16</v>
      </c>
      <c r="T276" s="938">
        <v>16</v>
      </c>
      <c r="U276" s="938">
        <v>0</v>
      </c>
      <c r="V276" s="938">
        <v>1</v>
      </c>
      <c r="W276" s="776">
        <f>IF(Kulturen[[#This Row],[Berechnungsschema]]=13,3,IF(Kulturen[[#This Row],[Berechnungsschema]]=6,2,1))</f>
        <v>1</v>
      </c>
      <c r="X276" s="776">
        <f>IF(Kulturen[[#This Row],[fruchtartengruppe]]=13,Kulturen[[#This Row],[NBedarfswert]],MAX(0,Kulturen[[#This Row],[NBedarfswert]]-Kulturen[[#This Row],[Ertrag]]*Kulturen[[#This Row],[Nfix]]))</f>
        <v>155</v>
      </c>
      <c r="Y276" s="776" t="s">
        <v>2127</v>
      </c>
      <c r="Z276" s="776" t="s">
        <v>2127</v>
      </c>
      <c r="AA276" s="776" t="s">
        <v>2127</v>
      </c>
      <c r="AB276" s="776" t="s">
        <v>2127</v>
      </c>
      <c r="AC276" s="776" t="s">
        <v>2127</v>
      </c>
      <c r="AD276" s="776" t="s">
        <v>2127</v>
      </c>
      <c r="AE276" s="776" t="s">
        <v>2127</v>
      </c>
      <c r="AF276" s="776" t="s">
        <v>2127</v>
      </c>
      <c r="AG276" s="776" t="s">
        <v>2127</v>
      </c>
      <c r="AH276" s="776" t="s">
        <v>2127</v>
      </c>
      <c r="AI276" s="776" t="s">
        <v>2127</v>
      </c>
      <c r="AJ276" s="776" t="s">
        <v>2127</v>
      </c>
      <c r="AK276" s="776" t="s">
        <v>2127</v>
      </c>
      <c r="AL276" s="776" t="s">
        <v>2127</v>
      </c>
      <c r="AM276" s="776" t="s">
        <v>2127</v>
      </c>
      <c r="AN276" s="776" t="s">
        <v>2127</v>
      </c>
      <c r="AO276" s="776" t="s">
        <v>2127</v>
      </c>
      <c r="AP276" s="776" t="s">
        <v>2127</v>
      </c>
      <c r="AQ276" s="776" t="s">
        <v>2127</v>
      </c>
      <c r="AR276" s="776" t="s">
        <v>2127</v>
      </c>
      <c r="AS276" s="776" t="s">
        <v>2127</v>
      </c>
      <c r="AT276" s="776" t="s">
        <v>2127</v>
      </c>
      <c r="AU276" s="776" t="s">
        <v>2127</v>
      </c>
      <c r="AV276" s="776" t="s">
        <v>2127</v>
      </c>
      <c r="AW276" s="776" t="s">
        <v>2127</v>
      </c>
      <c r="AX276" s="776" t="s">
        <v>2127</v>
      </c>
      <c r="AY276" s="776" t="s">
        <v>2127</v>
      </c>
      <c r="AZ276" s="776" t="s">
        <v>2127</v>
      </c>
      <c r="BA276" s="776" t="s">
        <v>2127</v>
      </c>
      <c r="BB276" s="776" t="s">
        <v>2127</v>
      </c>
      <c r="BC276" s="776" t="s">
        <v>2127</v>
      </c>
      <c r="BD276" s="776" t="s">
        <v>2127</v>
      </c>
      <c r="BE276" s="776" t="s">
        <v>2127</v>
      </c>
      <c r="BF276" s="776" t="s">
        <v>2127</v>
      </c>
      <c r="BG276" s="776" t="s">
        <v>2127</v>
      </c>
      <c r="BH276" s="776" t="s">
        <v>2127</v>
      </c>
      <c r="BI276" s="776" t="s">
        <v>2127</v>
      </c>
      <c r="BJ276" s="776" t="s">
        <v>2127</v>
      </c>
      <c r="BK276" s="776" t="s">
        <v>2127</v>
      </c>
      <c r="BL276" s="776" t="s">
        <v>2127</v>
      </c>
      <c r="BM276" s="776" t="s">
        <v>2127</v>
      </c>
      <c r="BN276" s="776" t="s">
        <v>2127</v>
      </c>
      <c r="BO276" s="776" t="s">
        <v>2127</v>
      </c>
      <c r="BP276" s="776" t="s">
        <v>2127</v>
      </c>
      <c r="BQ276" s="776" t="s">
        <v>2127</v>
      </c>
      <c r="BR276" s="776" t="s">
        <v>2127</v>
      </c>
      <c r="BS276" s="776" t="s">
        <v>2127</v>
      </c>
      <c r="BT276" s="776" t="s">
        <v>2127</v>
      </c>
      <c r="BU276" s="776" t="s">
        <v>2127</v>
      </c>
      <c r="BV276" s="776" t="s">
        <v>2127</v>
      </c>
      <c r="BW276" s="776" t="s">
        <v>2127</v>
      </c>
      <c r="BX276" s="776" t="s">
        <v>2127</v>
      </c>
      <c r="BY276" s="776" t="s">
        <v>2127</v>
      </c>
      <c r="BZ276" s="776" t="s">
        <v>2127</v>
      </c>
      <c r="CA276" s="776" t="s">
        <v>2127</v>
      </c>
      <c r="CB276" s="776" t="s">
        <v>2127</v>
      </c>
      <c r="CC276" s="776" t="s">
        <v>2127</v>
      </c>
      <c r="CD276" s="776" t="s">
        <v>2127</v>
      </c>
      <c r="CE276" s="776" t="s">
        <v>2127</v>
      </c>
      <c r="CF276" s="776" t="s">
        <v>2127</v>
      </c>
      <c r="CG276" s="776" t="s">
        <v>2127</v>
      </c>
      <c r="CH276" s="776" t="s">
        <v>2127</v>
      </c>
      <c r="CI276" s="776" t="s">
        <v>2127</v>
      </c>
      <c r="CJ276" s="776" t="s">
        <v>2127</v>
      </c>
      <c r="CK276" s="776" t="s">
        <v>2127</v>
      </c>
      <c r="CL276" s="776" t="s">
        <v>2127</v>
      </c>
      <c r="CM276" s="776" t="s">
        <v>2127</v>
      </c>
      <c r="CN276" s="776" t="s">
        <v>2127</v>
      </c>
      <c r="CO276" s="776" t="s">
        <v>2127</v>
      </c>
      <c r="CP276" s="776" t="s">
        <v>2127</v>
      </c>
      <c r="CQ276" s="776" t="s">
        <v>2127</v>
      </c>
      <c r="CR276" s="776" t="s">
        <v>2127</v>
      </c>
      <c r="CS276" s="776" t="s">
        <v>2127</v>
      </c>
      <c r="CT276" s="776" t="s">
        <v>2127</v>
      </c>
      <c r="CU276" s="776" t="s">
        <v>2127</v>
      </c>
      <c r="CV276" s="776" t="s">
        <v>2127</v>
      </c>
      <c r="CW276" s="776" t="s">
        <v>2127</v>
      </c>
      <c r="CX276" s="776" t="s">
        <v>2127</v>
      </c>
      <c r="CY276" s="776" t="s">
        <v>2127</v>
      </c>
      <c r="CZ276" s="776" t="s">
        <v>2127</v>
      </c>
      <c r="DA276" s="776" t="s">
        <v>2127</v>
      </c>
      <c r="DB276" s="776" t="s">
        <v>2127</v>
      </c>
      <c r="DC276" s="776" t="s">
        <v>2127</v>
      </c>
      <c r="DD276" s="776" t="s">
        <v>2127</v>
      </c>
      <c r="DE276" s="776" t="s">
        <v>2127</v>
      </c>
      <c r="DF276" s="776" t="s">
        <v>2127</v>
      </c>
      <c r="DG276" s="776" t="s">
        <v>2127</v>
      </c>
      <c r="DH276" s="776" t="s">
        <v>2127</v>
      </c>
      <c r="DI276" s="776" t="s">
        <v>2127</v>
      </c>
      <c r="DJ276" s="776" t="s">
        <v>2127</v>
      </c>
      <c r="DK276" s="776" t="s">
        <v>2127</v>
      </c>
      <c r="DL276" s="776" t="s">
        <v>2127</v>
      </c>
      <c r="DM276" s="776" t="s">
        <v>2127</v>
      </c>
      <c r="DN276" s="776" t="s">
        <v>2127</v>
      </c>
      <c r="DO276" s="776" t="s">
        <v>2127</v>
      </c>
      <c r="DP276" s="776" t="s">
        <v>2127</v>
      </c>
    </row>
    <row r="277" spans="1:120" x14ac:dyDescent="0.2">
      <c r="A277" s="637" t="s">
        <v>2301</v>
      </c>
      <c r="B277" s="772" t="str" cm="1">
        <f t="array" ref="B277">IFERROR(INDEX(Kulturen[HF],_xlfn.AGGREGATE(15,6,(ROW(Kulturen[Auswahl])-7)/(--(SEARCH("x",Kulturen[Auswahl])&gt;0)),ROW()-7),1),"")</f>
        <v>Galega (Geißraute) (Kraut)</v>
      </c>
      <c r="C277" s="772" t="str">
        <f>IF(Kulturen[[#This Row],[HF]]=$D$373,IF($C$6=0,0,"x"),IF($C$6=0,"x",Vorauswahl!C276))</f>
        <v>x</v>
      </c>
      <c r="D277" s="938" t="s">
        <v>2022</v>
      </c>
      <c r="E277" s="938" t="s">
        <v>2022</v>
      </c>
      <c r="F277" s="938" t="s">
        <v>941</v>
      </c>
      <c r="G277" s="938">
        <v>14</v>
      </c>
      <c r="H277" s="938">
        <v>8</v>
      </c>
      <c r="I277" s="938">
        <v>1</v>
      </c>
      <c r="J277" s="938">
        <v>14</v>
      </c>
      <c r="K277" s="938">
        <v>0.23</v>
      </c>
      <c r="L277" s="938">
        <v>0.37</v>
      </c>
      <c r="M277" s="938">
        <v>200</v>
      </c>
      <c r="N277" s="938">
        <v>0</v>
      </c>
      <c r="O277" s="938">
        <v>1</v>
      </c>
      <c r="P277" s="938">
        <v>0</v>
      </c>
      <c r="Q277" s="938">
        <v>140</v>
      </c>
      <c r="R277" s="938">
        <v>20</v>
      </c>
      <c r="S277" s="938">
        <v>14</v>
      </c>
      <c r="T277" s="938">
        <v>14</v>
      </c>
      <c r="U277" s="938">
        <v>0</v>
      </c>
      <c r="V277" s="938">
        <v>1</v>
      </c>
      <c r="W277" s="776">
        <f>IF(Kulturen[[#This Row],[Berechnungsschema]]=13,3,IF(Kulturen[[#This Row],[Berechnungsschema]]=6,2,1))</f>
        <v>1</v>
      </c>
      <c r="X277" s="776">
        <f>IF(Kulturen[[#This Row],[fruchtartengruppe]]=13,Kulturen[[#This Row],[NBedarfswert]],MAX(0,Kulturen[[#This Row],[NBedarfswert]]-Kulturen[[#This Row],[Ertrag]]*Kulturen[[#This Row],[Nfix]]))</f>
        <v>140</v>
      </c>
      <c r="Y277" s="776" t="s">
        <v>2127</v>
      </c>
      <c r="Z277" s="776" t="s">
        <v>2127</v>
      </c>
      <c r="AA277" s="776" t="s">
        <v>2127</v>
      </c>
      <c r="AB277" s="776" t="s">
        <v>2127</v>
      </c>
      <c r="AC277" s="776" t="s">
        <v>2127</v>
      </c>
      <c r="AD277" s="776" t="s">
        <v>2127</v>
      </c>
      <c r="AE277" s="776" t="s">
        <v>2127</v>
      </c>
      <c r="AF277" s="776" t="s">
        <v>2127</v>
      </c>
      <c r="AG277" s="776" t="s">
        <v>2127</v>
      </c>
      <c r="AH277" s="776" t="s">
        <v>2127</v>
      </c>
      <c r="AI277" s="776" t="s">
        <v>2127</v>
      </c>
      <c r="AJ277" s="776" t="s">
        <v>2127</v>
      </c>
      <c r="AK277" s="776" t="s">
        <v>2127</v>
      </c>
      <c r="AL277" s="776" t="s">
        <v>2127</v>
      </c>
      <c r="AM277" s="776" t="s">
        <v>2127</v>
      </c>
      <c r="AN277" s="776" t="s">
        <v>2127</v>
      </c>
      <c r="AO277" s="776" t="s">
        <v>2127</v>
      </c>
      <c r="AP277" s="776" t="s">
        <v>2127</v>
      </c>
      <c r="AQ277" s="776" t="s">
        <v>2127</v>
      </c>
      <c r="AR277" s="776" t="s">
        <v>2127</v>
      </c>
      <c r="AS277" s="776" t="s">
        <v>2127</v>
      </c>
      <c r="AT277" s="776" t="s">
        <v>2127</v>
      </c>
      <c r="AU277" s="776" t="s">
        <v>2127</v>
      </c>
      <c r="AV277" s="776" t="s">
        <v>2127</v>
      </c>
      <c r="AW277" s="776" t="s">
        <v>2127</v>
      </c>
      <c r="AX277" s="776" t="s">
        <v>2127</v>
      </c>
      <c r="AY277" s="776" t="s">
        <v>2127</v>
      </c>
      <c r="AZ277" s="776" t="s">
        <v>2127</v>
      </c>
      <c r="BA277" s="776" t="s">
        <v>2127</v>
      </c>
      <c r="BB277" s="776" t="s">
        <v>2127</v>
      </c>
      <c r="BC277" s="776" t="s">
        <v>2127</v>
      </c>
      <c r="BD277" s="776" t="s">
        <v>2127</v>
      </c>
      <c r="BE277" s="776" t="s">
        <v>2127</v>
      </c>
      <c r="BF277" s="776" t="s">
        <v>2127</v>
      </c>
      <c r="BG277" s="776" t="s">
        <v>2127</v>
      </c>
      <c r="BH277" s="776" t="s">
        <v>2127</v>
      </c>
      <c r="BI277" s="776" t="s">
        <v>2127</v>
      </c>
      <c r="BJ277" s="776" t="s">
        <v>2127</v>
      </c>
      <c r="BK277" s="776" t="s">
        <v>2127</v>
      </c>
      <c r="BL277" s="776" t="s">
        <v>2127</v>
      </c>
      <c r="BM277" s="776" t="s">
        <v>2127</v>
      </c>
      <c r="BN277" s="776" t="s">
        <v>2127</v>
      </c>
      <c r="BO277" s="776" t="s">
        <v>2127</v>
      </c>
      <c r="BP277" s="776" t="s">
        <v>2127</v>
      </c>
      <c r="BQ277" s="776" t="s">
        <v>2127</v>
      </c>
      <c r="BR277" s="776" t="s">
        <v>2127</v>
      </c>
      <c r="BS277" s="776" t="s">
        <v>2127</v>
      </c>
      <c r="BT277" s="776" t="s">
        <v>2127</v>
      </c>
      <c r="BU277" s="776" t="s">
        <v>2127</v>
      </c>
      <c r="BV277" s="776" t="s">
        <v>2127</v>
      </c>
      <c r="BW277" s="776" t="s">
        <v>2127</v>
      </c>
      <c r="BX277" s="776" t="s">
        <v>2127</v>
      </c>
      <c r="BY277" s="776" t="s">
        <v>2127</v>
      </c>
      <c r="BZ277" s="776" t="s">
        <v>2127</v>
      </c>
      <c r="CA277" s="776" t="s">
        <v>2127</v>
      </c>
      <c r="CB277" s="776" t="s">
        <v>2127</v>
      </c>
      <c r="CC277" s="776" t="s">
        <v>2127</v>
      </c>
      <c r="CD277" s="776" t="s">
        <v>2127</v>
      </c>
      <c r="CE277" s="776" t="s">
        <v>2127</v>
      </c>
      <c r="CF277" s="776" t="s">
        <v>2127</v>
      </c>
      <c r="CG277" s="776" t="s">
        <v>2127</v>
      </c>
      <c r="CH277" s="776" t="s">
        <v>2127</v>
      </c>
      <c r="CI277" s="776" t="s">
        <v>2127</v>
      </c>
      <c r="CJ277" s="776" t="s">
        <v>2127</v>
      </c>
      <c r="CK277" s="776" t="s">
        <v>2127</v>
      </c>
      <c r="CL277" s="776" t="s">
        <v>2127</v>
      </c>
      <c r="CM277" s="776" t="s">
        <v>2127</v>
      </c>
      <c r="CN277" s="776" t="s">
        <v>2127</v>
      </c>
      <c r="CO277" s="776" t="s">
        <v>2127</v>
      </c>
      <c r="CP277" s="776" t="s">
        <v>2127</v>
      </c>
      <c r="CQ277" s="776" t="s">
        <v>2127</v>
      </c>
      <c r="CR277" s="776" t="s">
        <v>2127</v>
      </c>
      <c r="CS277" s="776" t="s">
        <v>2127</v>
      </c>
      <c r="CT277" s="776" t="s">
        <v>2127</v>
      </c>
      <c r="CU277" s="776" t="s">
        <v>2127</v>
      </c>
      <c r="CV277" s="776" t="s">
        <v>2127</v>
      </c>
      <c r="CW277" s="776" t="s">
        <v>2127</v>
      </c>
      <c r="CX277" s="776" t="s">
        <v>2127</v>
      </c>
      <c r="CY277" s="776" t="s">
        <v>2127</v>
      </c>
      <c r="CZ277" s="776" t="s">
        <v>2127</v>
      </c>
      <c r="DA277" s="776" t="s">
        <v>2127</v>
      </c>
      <c r="DB277" s="776" t="s">
        <v>2127</v>
      </c>
      <c r="DC277" s="776" t="s">
        <v>2127</v>
      </c>
      <c r="DD277" s="776" t="s">
        <v>2127</v>
      </c>
      <c r="DE277" s="776" t="s">
        <v>2127</v>
      </c>
      <c r="DF277" s="776" t="s">
        <v>2127</v>
      </c>
      <c r="DG277" s="776" t="s">
        <v>2127</v>
      </c>
      <c r="DH277" s="776" t="s">
        <v>2127</v>
      </c>
      <c r="DI277" s="776" t="s">
        <v>2127</v>
      </c>
      <c r="DJ277" s="776" t="s">
        <v>2127</v>
      </c>
      <c r="DK277" s="776" t="s">
        <v>2127</v>
      </c>
      <c r="DL277" s="776" t="s">
        <v>2127</v>
      </c>
      <c r="DM277" s="776" t="s">
        <v>2127</v>
      </c>
      <c r="DN277" s="776" t="s">
        <v>2127</v>
      </c>
      <c r="DO277" s="776" t="s">
        <v>2127</v>
      </c>
      <c r="DP277" s="776" t="s">
        <v>2127</v>
      </c>
    </row>
    <row r="278" spans="1:120" x14ac:dyDescent="0.2">
      <c r="A278" s="637" t="s">
        <v>2302</v>
      </c>
      <c r="B278" s="772" t="str" cm="1">
        <f t="array" ref="B278">IFERROR(INDEX(Kulturen[HF],_xlfn.AGGREGATE(15,6,(ROW(Kulturen[Auswahl])-7)/(--(SEARCH("x",Kulturen[Auswahl])&gt;0)),ROW()-7),1),"")</f>
        <v>Gartenkresse (Kraut)</v>
      </c>
      <c r="C278" s="772" t="str">
        <f>IF(Kulturen[[#This Row],[HF]]=$D$373,IF($C$6=0,0,"x"),IF($C$6=0,"x",Vorauswahl!C277))</f>
        <v>x</v>
      </c>
      <c r="D278" s="938" t="s">
        <v>2023</v>
      </c>
      <c r="E278" s="938" t="s">
        <v>2023</v>
      </c>
      <c r="F278" s="938" t="s">
        <v>942</v>
      </c>
      <c r="G278" s="938">
        <v>14</v>
      </c>
      <c r="H278" s="938">
        <v>8</v>
      </c>
      <c r="I278" s="938">
        <v>1</v>
      </c>
      <c r="J278" s="938">
        <v>14</v>
      </c>
      <c r="K278" s="938">
        <v>0.25</v>
      </c>
      <c r="L278" s="938">
        <v>0.41</v>
      </c>
      <c r="M278" s="938">
        <v>200</v>
      </c>
      <c r="N278" s="938">
        <v>0</v>
      </c>
      <c r="O278" s="938">
        <v>1</v>
      </c>
      <c r="P278" s="938">
        <v>0</v>
      </c>
      <c r="Q278" s="938">
        <v>190</v>
      </c>
      <c r="R278" s="938">
        <v>20</v>
      </c>
      <c r="S278" s="938">
        <v>19</v>
      </c>
      <c r="T278" s="938">
        <v>19</v>
      </c>
      <c r="U278" s="938">
        <v>0</v>
      </c>
      <c r="V278" s="938">
        <v>1</v>
      </c>
      <c r="W278" s="776">
        <f>IF(Kulturen[[#This Row],[Berechnungsschema]]=13,3,IF(Kulturen[[#This Row],[Berechnungsschema]]=6,2,1))</f>
        <v>1</v>
      </c>
      <c r="X278" s="776">
        <f>IF(Kulturen[[#This Row],[fruchtartengruppe]]=13,Kulturen[[#This Row],[NBedarfswert]],MAX(0,Kulturen[[#This Row],[NBedarfswert]]-Kulturen[[#This Row],[Ertrag]]*Kulturen[[#This Row],[Nfix]]))</f>
        <v>190</v>
      </c>
      <c r="Y278" s="776" t="s">
        <v>2127</v>
      </c>
      <c r="Z278" s="776" t="s">
        <v>2127</v>
      </c>
      <c r="AA278" s="776" t="s">
        <v>2127</v>
      </c>
      <c r="AB278" s="776" t="s">
        <v>2127</v>
      </c>
      <c r="AC278" s="776" t="s">
        <v>2127</v>
      </c>
      <c r="AD278" s="776" t="s">
        <v>2127</v>
      </c>
      <c r="AE278" s="776" t="s">
        <v>2127</v>
      </c>
      <c r="AF278" s="776" t="s">
        <v>2127</v>
      </c>
      <c r="AG278" s="776" t="s">
        <v>2127</v>
      </c>
      <c r="AH278" s="776" t="s">
        <v>2127</v>
      </c>
      <c r="AI278" s="776" t="s">
        <v>2127</v>
      </c>
      <c r="AJ278" s="776" t="s">
        <v>2127</v>
      </c>
      <c r="AK278" s="776" t="s">
        <v>2127</v>
      </c>
      <c r="AL278" s="776" t="s">
        <v>2127</v>
      </c>
      <c r="AM278" s="776" t="s">
        <v>2127</v>
      </c>
      <c r="AN278" s="776" t="s">
        <v>2127</v>
      </c>
      <c r="AO278" s="776" t="s">
        <v>2127</v>
      </c>
      <c r="AP278" s="776" t="s">
        <v>2127</v>
      </c>
      <c r="AQ278" s="776" t="s">
        <v>2127</v>
      </c>
      <c r="AR278" s="776" t="s">
        <v>2127</v>
      </c>
      <c r="AS278" s="776" t="s">
        <v>2127</v>
      </c>
      <c r="AT278" s="776" t="s">
        <v>2127</v>
      </c>
      <c r="AU278" s="776" t="s">
        <v>2127</v>
      </c>
      <c r="AV278" s="776" t="s">
        <v>2127</v>
      </c>
      <c r="AW278" s="776" t="s">
        <v>2127</v>
      </c>
      <c r="AX278" s="776" t="s">
        <v>2127</v>
      </c>
      <c r="AY278" s="776" t="s">
        <v>2127</v>
      </c>
      <c r="AZ278" s="776" t="s">
        <v>2127</v>
      </c>
      <c r="BA278" s="776" t="s">
        <v>2127</v>
      </c>
      <c r="BB278" s="776" t="s">
        <v>2127</v>
      </c>
      <c r="BC278" s="776" t="s">
        <v>2127</v>
      </c>
      <c r="BD278" s="776" t="s">
        <v>2127</v>
      </c>
      <c r="BE278" s="776" t="s">
        <v>2127</v>
      </c>
      <c r="BF278" s="776" t="s">
        <v>2127</v>
      </c>
      <c r="BG278" s="776" t="s">
        <v>2127</v>
      </c>
      <c r="BH278" s="776" t="s">
        <v>2127</v>
      </c>
      <c r="BI278" s="776" t="s">
        <v>2127</v>
      </c>
      <c r="BJ278" s="776" t="s">
        <v>2127</v>
      </c>
      <c r="BK278" s="776" t="s">
        <v>2127</v>
      </c>
      <c r="BL278" s="776" t="s">
        <v>2127</v>
      </c>
      <c r="BM278" s="776" t="s">
        <v>2127</v>
      </c>
      <c r="BN278" s="776" t="s">
        <v>2127</v>
      </c>
      <c r="BO278" s="776" t="s">
        <v>2127</v>
      </c>
      <c r="BP278" s="776" t="s">
        <v>2127</v>
      </c>
      <c r="BQ278" s="776" t="s">
        <v>2127</v>
      </c>
      <c r="BR278" s="776" t="s">
        <v>2127</v>
      </c>
      <c r="BS278" s="776" t="s">
        <v>2127</v>
      </c>
      <c r="BT278" s="776" t="s">
        <v>2127</v>
      </c>
      <c r="BU278" s="776" t="s">
        <v>2127</v>
      </c>
      <c r="BV278" s="776" t="s">
        <v>2127</v>
      </c>
      <c r="BW278" s="776" t="s">
        <v>2127</v>
      </c>
      <c r="BX278" s="776" t="s">
        <v>2127</v>
      </c>
      <c r="BY278" s="776" t="s">
        <v>2127</v>
      </c>
      <c r="BZ278" s="776" t="s">
        <v>2127</v>
      </c>
      <c r="CA278" s="776" t="s">
        <v>2127</v>
      </c>
      <c r="CB278" s="776" t="s">
        <v>2127</v>
      </c>
      <c r="CC278" s="776" t="s">
        <v>2127</v>
      </c>
      <c r="CD278" s="776" t="s">
        <v>2127</v>
      </c>
      <c r="CE278" s="776" t="s">
        <v>2127</v>
      </c>
      <c r="CF278" s="776" t="s">
        <v>2127</v>
      </c>
      <c r="CG278" s="776" t="s">
        <v>2127</v>
      </c>
      <c r="CH278" s="776" t="s">
        <v>2127</v>
      </c>
      <c r="CI278" s="776" t="s">
        <v>2127</v>
      </c>
      <c r="CJ278" s="776" t="s">
        <v>2127</v>
      </c>
      <c r="CK278" s="776" t="s">
        <v>2127</v>
      </c>
      <c r="CL278" s="776" t="s">
        <v>2127</v>
      </c>
      <c r="CM278" s="776" t="s">
        <v>2127</v>
      </c>
      <c r="CN278" s="776" t="s">
        <v>2127</v>
      </c>
      <c r="CO278" s="776" t="s">
        <v>2127</v>
      </c>
      <c r="CP278" s="776" t="s">
        <v>2127</v>
      </c>
      <c r="CQ278" s="776" t="s">
        <v>2127</v>
      </c>
      <c r="CR278" s="776" t="s">
        <v>2127</v>
      </c>
      <c r="CS278" s="776" t="s">
        <v>2127</v>
      </c>
      <c r="CT278" s="776" t="s">
        <v>2127</v>
      </c>
      <c r="CU278" s="776" t="s">
        <v>2127</v>
      </c>
      <c r="CV278" s="776" t="s">
        <v>2127</v>
      </c>
      <c r="CW278" s="776" t="s">
        <v>2127</v>
      </c>
      <c r="CX278" s="776" t="s">
        <v>2127</v>
      </c>
      <c r="CY278" s="776" t="s">
        <v>2127</v>
      </c>
      <c r="CZ278" s="776" t="s">
        <v>2127</v>
      </c>
      <c r="DA278" s="776" t="s">
        <v>2127</v>
      </c>
      <c r="DB278" s="776" t="s">
        <v>2127</v>
      </c>
      <c r="DC278" s="776" t="s">
        <v>2127</v>
      </c>
      <c r="DD278" s="776" t="s">
        <v>2127</v>
      </c>
      <c r="DE278" s="776" t="s">
        <v>2127</v>
      </c>
      <c r="DF278" s="776" t="s">
        <v>2127</v>
      </c>
      <c r="DG278" s="776" t="s">
        <v>2127</v>
      </c>
      <c r="DH278" s="776" t="s">
        <v>2127</v>
      </c>
      <c r="DI278" s="776" t="s">
        <v>2127</v>
      </c>
      <c r="DJ278" s="776" t="s">
        <v>2127</v>
      </c>
      <c r="DK278" s="776" t="s">
        <v>2127</v>
      </c>
      <c r="DL278" s="776" t="s">
        <v>2127</v>
      </c>
      <c r="DM278" s="776" t="s">
        <v>2127</v>
      </c>
      <c r="DN278" s="776" t="s">
        <v>2127</v>
      </c>
      <c r="DO278" s="776" t="s">
        <v>2127</v>
      </c>
      <c r="DP278" s="776" t="s">
        <v>2127</v>
      </c>
    </row>
    <row r="279" spans="1:120" x14ac:dyDescent="0.2">
      <c r="A279" s="637" t="s">
        <v>2303</v>
      </c>
      <c r="B279" s="772" t="str" cm="1">
        <f t="array" ref="B279">IFERROR(INDEX(Kulturen[HF],_xlfn.AGGREGATE(15,6,(ROW(Kulturen[Auswahl])-7)/(--(SEARCH("x",Kulturen[Auswahl])&gt;0)),ROW()-7),1),"")</f>
        <v>Gartenpimpinelle (Kraut)</v>
      </c>
      <c r="C279" s="772" t="str">
        <f>IF(Kulturen[[#This Row],[HF]]=$D$373,IF($C$6=0,0,"x"),IF($C$6=0,"x",Vorauswahl!C278))</f>
        <v>x</v>
      </c>
      <c r="D279" s="938" t="s">
        <v>98</v>
      </c>
      <c r="E279" s="938" t="s">
        <v>98</v>
      </c>
      <c r="F279" s="938" t="s">
        <v>943</v>
      </c>
      <c r="G279" s="938">
        <v>14</v>
      </c>
      <c r="H279" s="938">
        <v>8</v>
      </c>
      <c r="I279" s="938">
        <v>3</v>
      </c>
      <c r="J279" s="938">
        <v>14</v>
      </c>
      <c r="K279" s="938">
        <v>0.2</v>
      </c>
      <c r="L279" s="938">
        <v>0.2</v>
      </c>
      <c r="M279" s="938">
        <v>20</v>
      </c>
      <c r="N279" s="938">
        <v>0</v>
      </c>
      <c r="O279" s="938">
        <v>1</v>
      </c>
      <c r="P279" s="938">
        <v>0</v>
      </c>
      <c r="Q279" s="938">
        <v>45</v>
      </c>
      <c r="R279" s="938">
        <v>30</v>
      </c>
      <c r="S279" s="938">
        <v>2</v>
      </c>
      <c r="T279" s="938">
        <v>2</v>
      </c>
      <c r="U279" s="938">
        <v>0</v>
      </c>
      <c r="V279" s="938">
        <v>1</v>
      </c>
      <c r="W279" s="776">
        <f>IF(Kulturen[[#This Row],[Berechnungsschema]]=13,3,IF(Kulturen[[#This Row],[Berechnungsschema]]=6,2,1))</f>
        <v>1</v>
      </c>
      <c r="X279" s="776">
        <f>IF(Kulturen[[#This Row],[fruchtartengruppe]]=13,Kulturen[[#This Row],[NBedarfswert]],MAX(0,Kulturen[[#This Row],[NBedarfswert]]-Kulturen[[#This Row],[Ertrag]]*Kulturen[[#This Row],[Nfix]]))</f>
        <v>45</v>
      </c>
      <c r="Y279" s="776" t="s">
        <v>2127</v>
      </c>
      <c r="Z279" s="776" t="s">
        <v>2127</v>
      </c>
      <c r="AA279" s="776" t="s">
        <v>2127</v>
      </c>
      <c r="AB279" s="776" t="s">
        <v>2127</v>
      </c>
      <c r="AC279" s="776" t="s">
        <v>2127</v>
      </c>
      <c r="AD279" s="776" t="s">
        <v>2127</v>
      </c>
      <c r="AE279" s="776" t="s">
        <v>2127</v>
      </c>
      <c r="AF279" s="776" t="s">
        <v>2127</v>
      </c>
      <c r="AG279" s="776" t="s">
        <v>2127</v>
      </c>
      <c r="AH279" s="776" t="s">
        <v>2127</v>
      </c>
      <c r="AI279" s="776" t="s">
        <v>2127</v>
      </c>
      <c r="AJ279" s="776" t="s">
        <v>2127</v>
      </c>
      <c r="AK279" s="776" t="s">
        <v>2127</v>
      </c>
      <c r="AL279" s="776" t="s">
        <v>2127</v>
      </c>
      <c r="AM279" s="776" t="s">
        <v>2127</v>
      </c>
      <c r="AN279" s="776" t="s">
        <v>2127</v>
      </c>
      <c r="AO279" s="776" t="s">
        <v>2127</v>
      </c>
      <c r="AP279" s="776" t="s">
        <v>2127</v>
      </c>
      <c r="AQ279" s="776" t="s">
        <v>2127</v>
      </c>
      <c r="AR279" s="776" t="s">
        <v>2127</v>
      </c>
      <c r="AS279" s="776" t="s">
        <v>2127</v>
      </c>
      <c r="AT279" s="776" t="s">
        <v>2127</v>
      </c>
      <c r="AU279" s="776" t="s">
        <v>2127</v>
      </c>
      <c r="AV279" s="776" t="s">
        <v>2127</v>
      </c>
      <c r="AW279" s="776" t="s">
        <v>2127</v>
      </c>
      <c r="AX279" s="776" t="s">
        <v>2127</v>
      </c>
      <c r="AY279" s="776" t="s">
        <v>2127</v>
      </c>
      <c r="AZ279" s="776" t="s">
        <v>2127</v>
      </c>
      <c r="BA279" s="776" t="s">
        <v>2127</v>
      </c>
      <c r="BB279" s="776" t="s">
        <v>2127</v>
      </c>
      <c r="BC279" s="776" t="s">
        <v>2127</v>
      </c>
      <c r="BD279" s="776" t="s">
        <v>2127</v>
      </c>
      <c r="BE279" s="776" t="s">
        <v>2127</v>
      </c>
      <c r="BF279" s="776" t="s">
        <v>2127</v>
      </c>
      <c r="BG279" s="776" t="s">
        <v>2127</v>
      </c>
      <c r="BH279" s="776" t="s">
        <v>2127</v>
      </c>
      <c r="BI279" s="776" t="s">
        <v>2127</v>
      </c>
      <c r="BJ279" s="776" t="s">
        <v>2127</v>
      </c>
      <c r="BK279" s="776" t="s">
        <v>2127</v>
      </c>
      <c r="BL279" s="776" t="s">
        <v>2127</v>
      </c>
      <c r="BM279" s="776" t="s">
        <v>2127</v>
      </c>
      <c r="BN279" s="776" t="s">
        <v>2127</v>
      </c>
      <c r="BO279" s="776" t="s">
        <v>2127</v>
      </c>
      <c r="BP279" s="776" t="s">
        <v>2127</v>
      </c>
      <c r="BQ279" s="776" t="s">
        <v>2127</v>
      </c>
      <c r="BR279" s="776" t="s">
        <v>2127</v>
      </c>
      <c r="BS279" s="776" t="s">
        <v>2127</v>
      </c>
      <c r="BT279" s="776" t="s">
        <v>2127</v>
      </c>
      <c r="BU279" s="776" t="s">
        <v>2127</v>
      </c>
      <c r="BV279" s="776" t="s">
        <v>2127</v>
      </c>
      <c r="BW279" s="776" t="s">
        <v>2127</v>
      </c>
      <c r="BX279" s="776" t="s">
        <v>2127</v>
      </c>
      <c r="BY279" s="776" t="s">
        <v>2127</v>
      </c>
      <c r="BZ279" s="776" t="s">
        <v>2127</v>
      </c>
      <c r="CA279" s="776" t="s">
        <v>2127</v>
      </c>
      <c r="CB279" s="776" t="s">
        <v>2127</v>
      </c>
      <c r="CC279" s="776" t="s">
        <v>2127</v>
      </c>
      <c r="CD279" s="776" t="s">
        <v>2127</v>
      </c>
      <c r="CE279" s="776" t="s">
        <v>2127</v>
      </c>
      <c r="CF279" s="776" t="s">
        <v>2127</v>
      </c>
      <c r="CG279" s="776" t="s">
        <v>2127</v>
      </c>
      <c r="CH279" s="776" t="s">
        <v>2127</v>
      </c>
      <c r="CI279" s="776" t="s">
        <v>2127</v>
      </c>
      <c r="CJ279" s="776" t="s">
        <v>2127</v>
      </c>
      <c r="CK279" s="776" t="s">
        <v>2127</v>
      </c>
      <c r="CL279" s="776" t="s">
        <v>2127</v>
      </c>
      <c r="CM279" s="776" t="s">
        <v>2127</v>
      </c>
      <c r="CN279" s="776" t="s">
        <v>2127</v>
      </c>
      <c r="CO279" s="776" t="s">
        <v>2127</v>
      </c>
      <c r="CP279" s="776" t="s">
        <v>2127</v>
      </c>
      <c r="CQ279" s="776" t="s">
        <v>2127</v>
      </c>
      <c r="CR279" s="776" t="s">
        <v>2127</v>
      </c>
      <c r="CS279" s="776" t="s">
        <v>2127</v>
      </c>
      <c r="CT279" s="776" t="s">
        <v>2127</v>
      </c>
      <c r="CU279" s="776" t="s">
        <v>2127</v>
      </c>
      <c r="CV279" s="776" t="s">
        <v>2127</v>
      </c>
      <c r="CW279" s="776" t="s">
        <v>2127</v>
      </c>
      <c r="CX279" s="776" t="s">
        <v>2127</v>
      </c>
      <c r="CY279" s="776" t="s">
        <v>2127</v>
      </c>
      <c r="CZ279" s="776" t="s">
        <v>2127</v>
      </c>
      <c r="DA279" s="776" t="s">
        <v>2127</v>
      </c>
      <c r="DB279" s="776" t="s">
        <v>2127</v>
      </c>
      <c r="DC279" s="776" t="s">
        <v>2127</v>
      </c>
      <c r="DD279" s="776" t="s">
        <v>2127</v>
      </c>
      <c r="DE279" s="776" t="s">
        <v>2127</v>
      </c>
      <c r="DF279" s="776" t="s">
        <v>2127</v>
      </c>
      <c r="DG279" s="776" t="s">
        <v>2127</v>
      </c>
      <c r="DH279" s="776" t="s">
        <v>2127</v>
      </c>
      <c r="DI279" s="776" t="s">
        <v>2127</v>
      </c>
      <c r="DJ279" s="776" t="s">
        <v>2127</v>
      </c>
      <c r="DK279" s="776" t="s">
        <v>2127</v>
      </c>
      <c r="DL279" s="776" t="s">
        <v>2127</v>
      </c>
      <c r="DM279" s="776" t="s">
        <v>2127</v>
      </c>
      <c r="DN279" s="776" t="s">
        <v>2127</v>
      </c>
      <c r="DO279" s="776" t="s">
        <v>2127</v>
      </c>
      <c r="DP279" s="776" t="s">
        <v>2127</v>
      </c>
    </row>
    <row r="280" spans="1:120" x14ac:dyDescent="0.2">
      <c r="A280" s="637" t="s">
        <v>2304</v>
      </c>
      <c r="B280" s="772" t="str" cm="1">
        <f t="array" ref="B280">IFERROR(INDEX(Kulturen[HF],_xlfn.AGGREGATE(15,6,(ROW(Kulturen[Auswahl])-7)/(--(SEARCH("x",Kulturen[Auswahl])&gt;0)),ROW()-7),1),"")</f>
        <v>Getreidegras (Kraut)</v>
      </c>
      <c r="C280" s="772" t="str">
        <f>IF(Kulturen[[#This Row],[HF]]=$D$373,IF($C$6=0,0,"x"),IF($C$6=0,"x",Vorauswahl!C279))</f>
        <v>x</v>
      </c>
      <c r="D280" s="938" t="s">
        <v>2024</v>
      </c>
      <c r="E280" s="938" t="s">
        <v>2024</v>
      </c>
      <c r="F280" s="938" t="s">
        <v>944</v>
      </c>
      <c r="G280" s="938">
        <v>14</v>
      </c>
      <c r="H280" s="938">
        <v>8</v>
      </c>
      <c r="I280" s="938">
        <v>3</v>
      </c>
      <c r="J280" s="938">
        <v>14</v>
      </c>
      <c r="K280" s="938">
        <v>0.2</v>
      </c>
      <c r="L280" s="938">
        <v>0.2</v>
      </c>
      <c r="M280" s="938">
        <v>300</v>
      </c>
      <c r="N280" s="938">
        <v>0</v>
      </c>
      <c r="O280" s="938">
        <v>1</v>
      </c>
      <c r="P280" s="938">
        <v>0</v>
      </c>
      <c r="Q280" s="938">
        <v>130</v>
      </c>
      <c r="R280" s="938">
        <v>30</v>
      </c>
      <c r="S280" s="938">
        <v>13</v>
      </c>
      <c r="T280" s="938">
        <v>13</v>
      </c>
      <c r="U280" s="938">
        <v>0</v>
      </c>
      <c r="V280" s="938">
        <v>1</v>
      </c>
      <c r="W280" s="776">
        <f>IF(Kulturen[[#This Row],[Berechnungsschema]]=13,3,IF(Kulturen[[#This Row],[Berechnungsschema]]=6,2,1))</f>
        <v>1</v>
      </c>
      <c r="X280" s="776">
        <f>IF(Kulturen[[#This Row],[fruchtartengruppe]]=13,Kulturen[[#This Row],[NBedarfswert]],MAX(0,Kulturen[[#This Row],[NBedarfswert]]-Kulturen[[#This Row],[Ertrag]]*Kulturen[[#This Row],[Nfix]]))</f>
        <v>130</v>
      </c>
      <c r="Y280" s="776" t="s">
        <v>2127</v>
      </c>
      <c r="Z280" s="776" t="s">
        <v>2127</v>
      </c>
      <c r="AA280" s="776" t="s">
        <v>2127</v>
      </c>
      <c r="AB280" s="776" t="s">
        <v>2127</v>
      </c>
      <c r="AC280" s="776" t="s">
        <v>2127</v>
      </c>
      <c r="AD280" s="776" t="s">
        <v>2127</v>
      </c>
      <c r="AE280" s="776" t="s">
        <v>2127</v>
      </c>
      <c r="AF280" s="776" t="s">
        <v>2127</v>
      </c>
      <c r="AG280" s="776" t="s">
        <v>2127</v>
      </c>
      <c r="AH280" s="776" t="s">
        <v>2127</v>
      </c>
      <c r="AI280" s="776" t="s">
        <v>2127</v>
      </c>
      <c r="AJ280" s="776" t="s">
        <v>2127</v>
      </c>
      <c r="AK280" s="776" t="s">
        <v>2127</v>
      </c>
      <c r="AL280" s="776" t="s">
        <v>2127</v>
      </c>
      <c r="AM280" s="776" t="s">
        <v>2127</v>
      </c>
      <c r="AN280" s="776" t="s">
        <v>2127</v>
      </c>
      <c r="AO280" s="776" t="s">
        <v>2127</v>
      </c>
      <c r="AP280" s="776" t="s">
        <v>2127</v>
      </c>
      <c r="AQ280" s="776" t="s">
        <v>2127</v>
      </c>
      <c r="AR280" s="776" t="s">
        <v>2127</v>
      </c>
      <c r="AS280" s="776" t="s">
        <v>2127</v>
      </c>
      <c r="AT280" s="776" t="s">
        <v>2127</v>
      </c>
      <c r="AU280" s="776" t="s">
        <v>2127</v>
      </c>
      <c r="AV280" s="776" t="s">
        <v>2127</v>
      </c>
      <c r="AW280" s="776" t="s">
        <v>2127</v>
      </c>
      <c r="AX280" s="776" t="s">
        <v>2127</v>
      </c>
      <c r="AY280" s="776" t="s">
        <v>2127</v>
      </c>
      <c r="AZ280" s="776" t="s">
        <v>2127</v>
      </c>
      <c r="BA280" s="776" t="s">
        <v>2127</v>
      </c>
      <c r="BB280" s="776" t="s">
        <v>2127</v>
      </c>
      <c r="BC280" s="776" t="s">
        <v>2127</v>
      </c>
      <c r="BD280" s="776" t="s">
        <v>2127</v>
      </c>
      <c r="BE280" s="776" t="s">
        <v>2127</v>
      </c>
      <c r="BF280" s="776" t="s">
        <v>2127</v>
      </c>
      <c r="BG280" s="776" t="s">
        <v>2127</v>
      </c>
      <c r="BH280" s="776" t="s">
        <v>2127</v>
      </c>
      <c r="BI280" s="776" t="s">
        <v>2127</v>
      </c>
      <c r="BJ280" s="776" t="s">
        <v>2127</v>
      </c>
      <c r="BK280" s="776" t="s">
        <v>2127</v>
      </c>
      <c r="BL280" s="776" t="s">
        <v>2127</v>
      </c>
      <c r="BM280" s="776" t="s">
        <v>2127</v>
      </c>
      <c r="BN280" s="776" t="s">
        <v>2127</v>
      </c>
      <c r="BO280" s="776" t="s">
        <v>2127</v>
      </c>
      <c r="BP280" s="776" t="s">
        <v>2127</v>
      </c>
      <c r="BQ280" s="776" t="s">
        <v>2127</v>
      </c>
      <c r="BR280" s="776" t="s">
        <v>2127</v>
      </c>
      <c r="BS280" s="776" t="s">
        <v>2127</v>
      </c>
      <c r="BT280" s="776" t="s">
        <v>2127</v>
      </c>
      <c r="BU280" s="776" t="s">
        <v>2127</v>
      </c>
      <c r="BV280" s="776" t="s">
        <v>2127</v>
      </c>
      <c r="BW280" s="776" t="s">
        <v>2127</v>
      </c>
      <c r="BX280" s="776" t="s">
        <v>2127</v>
      </c>
      <c r="BY280" s="776" t="s">
        <v>2127</v>
      </c>
      <c r="BZ280" s="776" t="s">
        <v>2127</v>
      </c>
      <c r="CA280" s="776" t="s">
        <v>2127</v>
      </c>
      <c r="CB280" s="776" t="s">
        <v>2127</v>
      </c>
      <c r="CC280" s="776" t="s">
        <v>2127</v>
      </c>
      <c r="CD280" s="776" t="s">
        <v>2127</v>
      </c>
      <c r="CE280" s="776" t="s">
        <v>2127</v>
      </c>
      <c r="CF280" s="776" t="s">
        <v>2127</v>
      </c>
      <c r="CG280" s="776" t="s">
        <v>2127</v>
      </c>
      <c r="CH280" s="776" t="s">
        <v>2127</v>
      </c>
      <c r="CI280" s="776" t="s">
        <v>2127</v>
      </c>
      <c r="CJ280" s="776" t="s">
        <v>2127</v>
      </c>
      <c r="CK280" s="776" t="s">
        <v>2127</v>
      </c>
      <c r="CL280" s="776" t="s">
        <v>2127</v>
      </c>
      <c r="CM280" s="776" t="s">
        <v>2127</v>
      </c>
      <c r="CN280" s="776" t="s">
        <v>2127</v>
      </c>
      <c r="CO280" s="776" t="s">
        <v>2127</v>
      </c>
      <c r="CP280" s="776" t="s">
        <v>2127</v>
      </c>
      <c r="CQ280" s="776" t="s">
        <v>2127</v>
      </c>
      <c r="CR280" s="776" t="s">
        <v>2127</v>
      </c>
      <c r="CS280" s="776" t="s">
        <v>2127</v>
      </c>
      <c r="CT280" s="776" t="s">
        <v>2127</v>
      </c>
      <c r="CU280" s="776" t="s">
        <v>2127</v>
      </c>
      <c r="CV280" s="776" t="s">
        <v>2127</v>
      </c>
      <c r="CW280" s="776" t="s">
        <v>2127</v>
      </c>
      <c r="CX280" s="776" t="s">
        <v>2127</v>
      </c>
      <c r="CY280" s="776" t="s">
        <v>2127</v>
      </c>
      <c r="CZ280" s="776" t="s">
        <v>2127</v>
      </c>
      <c r="DA280" s="776" t="s">
        <v>2127</v>
      </c>
      <c r="DB280" s="776" t="s">
        <v>2127</v>
      </c>
      <c r="DC280" s="776" t="s">
        <v>2127</v>
      </c>
      <c r="DD280" s="776" t="s">
        <v>2127</v>
      </c>
      <c r="DE280" s="776" t="s">
        <v>2127</v>
      </c>
      <c r="DF280" s="776" t="s">
        <v>2127</v>
      </c>
      <c r="DG280" s="776" t="s">
        <v>2127</v>
      </c>
      <c r="DH280" s="776" t="s">
        <v>2127</v>
      </c>
      <c r="DI280" s="776" t="s">
        <v>2127</v>
      </c>
      <c r="DJ280" s="776" t="s">
        <v>2127</v>
      </c>
      <c r="DK280" s="776" t="s">
        <v>2127</v>
      </c>
      <c r="DL280" s="776" t="s">
        <v>2127</v>
      </c>
      <c r="DM280" s="776" t="s">
        <v>2127</v>
      </c>
      <c r="DN280" s="776" t="s">
        <v>2127</v>
      </c>
      <c r="DO280" s="776" t="s">
        <v>2127</v>
      </c>
      <c r="DP280" s="776" t="s">
        <v>2127</v>
      </c>
    </row>
    <row r="281" spans="1:120" x14ac:dyDescent="0.2">
      <c r="A281" s="637" t="s">
        <v>2305</v>
      </c>
      <c r="B281" s="772" t="str" cm="1">
        <f t="array" ref="B281">IFERROR(INDEX(Kulturen[HF],_xlfn.AGGREGATE(15,6,(ROW(Kulturen[Auswahl])-7)/(--(SEARCH("x",Kulturen[Auswahl])&gt;0)),ROW()-7),1),"")</f>
        <v>Ginseng (Wurzeln)</v>
      </c>
      <c r="C281" s="772" t="str">
        <f>IF(Kulturen[[#This Row],[HF]]=$D$373,IF($C$6=0,0,"x"),IF($C$6=0,"x",Vorauswahl!C280))</f>
        <v>x</v>
      </c>
      <c r="D281" s="938" t="s">
        <v>2025</v>
      </c>
      <c r="E281" s="938" t="s">
        <v>2025</v>
      </c>
      <c r="F281" s="938" t="s">
        <v>945</v>
      </c>
      <c r="G281" s="938">
        <v>14</v>
      </c>
      <c r="H281" s="938">
        <v>8</v>
      </c>
      <c r="I281" s="938">
        <v>3</v>
      </c>
      <c r="J281" s="938">
        <v>14</v>
      </c>
      <c r="K281" s="938">
        <v>0.16</v>
      </c>
      <c r="L281" s="938">
        <v>0.16</v>
      </c>
      <c r="M281" s="938">
        <v>150</v>
      </c>
      <c r="N281" s="938">
        <v>0</v>
      </c>
      <c r="O281" s="938">
        <v>2</v>
      </c>
      <c r="P281" s="938">
        <v>0</v>
      </c>
      <c r="Q281" s="938">
        <v>125</v>
      </c>
      <c r="R281" s="938">
        <v>15</v>
      </c>
      <c r="S281" s="938">
        <v>13</v>
      </c>
      <c r="T281" s="938">
        <v>13</v>
      </c>
      <c r="U281" s="938">
        <v>0</v>
      </c>
      <c r="V281" s="938">
        <v>1</v>
      </c>
      <c r="W281" s="776">
        <f>IF(Kulturen[[#This Row],[Berechnungsschema]]=13,3,IF(Kulturen[[#This Row],[Berechnungsschema]]=6,2,1))</f>
        <v>1</v>
      </c>
      <c r="X281" s="776">
        <f>IF(Kulturen[[#This Row],[fruchtartengruppe]]=13,Kulturen[[#This Row],[NBedarfswert]],MAX(0,Kulturen[[#This Row],[NBedarfswert]]-Kulturen[[#This Row],[Ertrag]]*Kulturen[[#This Row],[Nfix]]))</f>
        <v>125</v>
      </c>
      <c r="Y281" s="776" t="s">
        <v>2127</v>
      </c>
      <c r="Z281" s="776" t="s">
        <v>2127</v>
      </c>
      <c r="AA281" s="776" t="s">
        <v>2127</v>
      </c>
      <c r="AB281" s="776" t="s">
        <v>2127</v>
      </c>
      <c r="AC281" s="776" t="s">
        <v>2127</v>
      </c>
      <c r="AD281" s="776" t="s">
        <v>2127</v>
      </c>
      <c r="AE281" s="776" t="s">
        <v>2127</v>
      </c>
      <c r="AF281" s="776" t="s">
        <v>2127</v>
      </c>
      <c r="AG281" s="776" t="s">
        <v>2127</v>
      </c>
      <c r="AH281" s="776" t="s">
        <v>2127</v>
      </c>
      <c r="AI281" s="776" t="s">
        <v>2127</v>
      </c>
      <c r="AJ281" s="776" t="s">
        <v>2127</v>
      </c>
      <c r="AK281" s="776" t="s">
        <v>2127</v>
      </c>
      <c r="AL281" s="776" t="s">
        <v>2127</v>
      </c>
      <c r="AM281" s="776" t="s">
        <v>2127</v>
      </c>
      <c r="AN281" s="776" t="s">
        <v>2127</v>
      </c>
      <c r="AO281" s="776" t="s">
        <v>2127</v>
      </c>
      <c r="AP281" s="776" t="s">
        <v>2127</v>
      </c>
      <c r="AQ281" s="776" t="s">
        <v>2127</v>
      </c>
      <c r="AR281" s="776" t="s">
        <v>2127</v>
      </c>
      <c r="AS281" s="776" t="s">
        <v>2127</v>
      </c>
      <c r="AT281" s="776" t="s">
        <v>2127</v>
      </c>
      <c r="AU281" s="776" t="s">
        <v>2127</v>
      </c>
      <c r="AV281" s="776" t="s">
        <v>2127</v>
      </c>
      <c r="AW281" s="776" t="s">
        <v>2127</v>
      </c>
      <c r="AX281" s="776" t="s">
        <v>2127</v>
      </c>
      <c r="AY281" s="776" t="s">
        <v>2127</v>
      </c>
      <c r="AZ281" s="776" t="s">
        <v>2127</v>
      </c>
      <c r="BA281" s="776" t="s">
        <v>2127</v>
      </c>
      <c r="BB281" s="776" t="s">
        <v>2127</v>
      </c>
      <c r="BC281" s="776" t="s">
        <v>2127</v>
      </c>
      <c r="BD281" s="776" t="s">
        <v>2127</v>
      </c>
      <c r="BE281" s="776" t="s">
        <v>2127</v>
      </c>
      <c r="BF281" s="776" t="s">
        <v>2127</v>
      </c>
      <c r="BG281" s="776" t="s">
        <v>2127</v>
      </c>
      <c r="BH281" s="776" t="s">
        <v>2127</v>
      </c>
      <c r="BI281" s="776" t="s">
        <v>2127</v>
      </c>
      <c r="BJ281" s="776" t="s">
        <v>2127</v>
      </c>
      <c r="BK281" s="776" t="s">
        <v>2127</v>
      </c>
      <c r="BL281" s="776" t="s">
        <v>2127</v>
      </c>
      <c r="BM281" s="776" t="s">
        <v>2127</v>
      </c>
      <c r="BN281" s="776" t="s">
        <v>2127</v>
      </c>
      <c r="BO281" s="776" t="s">
        <v>2127</v>
      </c>
      <c r="BP281" s="776" t="s">
        <v>2127</v>
      </c>
      <c r="BQ281" s="776" t="s">
        <v>2127</v>
      </c>
      <c r="BR281" s="776" t="s">
        <v>2127</v>
      </c>
      <c r="BS281" s="776" t="s">
        <v>2127</v>
      </c>
      <c r="BT281" s="776" t="s">
        <v>2127</v>
      </c>
      <c r="BU281" s="776" t="s">
        <v>2127</v>
      </c>
      <c r="BV281" s="776" t="s">
        <v>2127</v>
      </c>
      <c r="BW281" s="776" t="s">
        <v>2127</v>
      </c>
      <c r="BX281" s="776" t="s">
        <v>2127</v>
      </c>
      <c r="BY281" s="776" t="s">
        <v>2127</v>
      </c>
      <c r="BZ281" s="776" t="s">
        <v>2127</v>
      </c>
      <c r="CA281" s="776" t="s">
        <v>2127</v>
      </c>
      <c r="CB281" s="776" t="s">
        <v>2127</v>
      </c>
      <c r="CC281" s="776" t="s">
        <v>2127</v>
      </c>
      <c r="CD281" s="776" t="s">
        <v>2127</v>
      </c>
      <c r="CE281" s="776" t="s">
        <v>2127</v>
      </c>
      <c r="CF281" s="776" t="s">
        <v>2127</v>
      </c>
      <c r="CG281" s="776" t="s">
        <v>2127</v>
      </c>
      <c r="CH281" s="776" t="s">
        <v>2127</v>
      </c>
      <c r="CI281" s="776" t="s">
        <v>2127</v>
      </c>
      <c r="CJ281" s="776" t="s">
        <v>2127</v>
      </c>
      <c r="CK281" s="776" t="s">
        <v>2127</v>
      </c>
      <c r="CL281" s="776" t="s">
        <v>2127</v>
      </c>
      <c r="CM281" s="776" t="s">
        <v>2127</v>
      </c>
      <c r="CN281" s="776" t="s">
        <v>2127</v>
      </c>
      <c r="CO281" s="776" t="s">
        <v>2127</v>
      </c>
      <c r="CP281" s="776" t="s">
        <v>2127</v>
      </c>
      <c r="CQ281" s="776" t="s">
        <v>2127</v>
      </c>
      <c r="CR281" s="776" t="s">
        <v>2127</v>
      </c>
      <c r="CS281" s="776" t="s">
        <v>2127</v>
      </c>
      <c r="CT281" s="776" t="s">
        <v>2127</v>
      </c>
      <c r="CU281" s="776" t="s">
        <v>2127</v>
      </c>
      <c r="CV281" s="776" t="s">
        <v>2127</v>
      </c>
      <c r="CW281" s="776" t="s">
        <v>2127</v>
      </c>
      <c r="CX281" s="776" t="s">
        <v>2127</v>
      </c>
      <c r="CY281" s="776" t="s">
        <v>2127</v>
      </c>
      <c r="CZ281" s="776" t="s">
        <v>2127</v>
      </c>
      <c r="DA281" s="776" t="s">
        <v>2127</v>
      </c>
      <c r="DB281" s="776" t="s">
        <v>2127</v>
      </c>
      <c r="DC281" s="776" t="s">
        <v>2127</v>
      </c>
      <c r="DD281" s="776" t="s">
        <v>2127</v>
      </c>
      <c r="DE281" s="776" t="s">
        <v>2127</v>
      </c>
      <c r="DF281" s="776" t="s">
        <v>2127</v>
      </c>
      <c r="DG281" s="776" t="s">
        <v>2127</v>
      </c>
      <c r="DH281" s="776" t="s">
        <v>2127</v>
      </c>
      <c r="DI281" s="776" t="s">
        <v>2127</v>
      </c>
      <c r="DJ281" s="776" t="s">
        <v>2127</v>
      </c>
      <c r="DK281" s="776" t="s">
        <v>2127</v>
      </c>
      <c r="DL281" s="776" t="s">
        <v>2127</v>
      </c>
      <c r="DM281" s="776" t="s">
        <v>2127</v>
      </c>
      <c r="DN281" s="776" t="s">
        <v>2127</v>
      </c>
      <c r="DO281" s="776" t="s">
        <v>2127</v>
      </c>
      <c r="DP281" s="776" t="s">
        <v>2127</v>
      </c>
    </row>
    <row r="282" spans="1:120" x14ac:dyDescent="0.2">
      <c r="A282" s="637" t="s">
        <v>2306</v>
      </c>
      <c r="B282" s="772" t="str" cm="1">
        <f t="array" ref="B282">IFERROR(INDEX(Kulturen[HF],_xlfn.AGGREGATE(15,6,(ROW(Kulturen[Auswahl])-7)/(--(SEARCH("x",Kulturen[Auswahl])&gt;0)),ROW()-7),1),"")</f>
        <v>Goldrute (Blühhorizont)</v>
      </c>
      <c r="C282" s="772" t="str">
        <f>IF(Kulturen[[#This Row],[HF]]=$D$373,IF($C$6=0,0,"x"),IF($C$6=0,"x",Vorauswahl!C281))</f>
        <v>x</v>
      </c>
      <c r="D282" s="938" t="s">
        <v>817</v>
      </c>
      <c r="E282" s="938" t="s">
        <v>817</v>
      </c>
      <c r="F282" s="938" t="s">
        <v>946</v>
      </c>
      <c r="G282" s="938">
        <v>14</v>
      </c>
      <c r="H282" s="938">
        <v>8</v>
      </c>
      <c r="I282" s="938">
        <v>1</v>
      </c>
      <c r="J282" s="938">
        <v>14</v>
      </c>
      <c r="K282" s="938">
        <v>0.83</v>
      </c>
      <c r="L282" s="938">
        <v>1.22</v>
      </c>
      <c r="M282" s="938">
        <v>40</v>
      </c>
      <c r="N282" s="938">
        <v>0</v>
      </c>
      <c r="O282" s="938">
        <v>1</v>
      </c>
      <c r="P282" s="938">
        <v>0</v>
      </c>
      <c r="Q282" s="938">
        <v>120</v>
      </c>
      <c r="R282" s="938">
        <v>4</v>
      </c>
      <c r="S282" s="938">
        <v>12</v>
      </c>
      <c r="T282" s="938">
        <v>12</v>
      </c>
      <c r="U282" s="938">
        <v>0</v>
      </c>
      <c r="V282" s="938">
        <v>1</v>
      </c>
      <c r="W282" s="776">
        <f>IF(Kulturen[[#This Row],[Berechnungsschema]]=13,3,IF(Kulturen[[#This Row],[Berechnungsschema]]=6,2,1))</f>
        <v>1</v>
      </c>
      <c r="X282" s="776">
        <f>IF(Kulturen[[#This Row],[fruchtartengruppe]]=13,Kulturen[[#This Row],[NBedarfswert]],MAX(0,Kulturen[[#This Row],[NBedarfswert]]-Kulturen[[#This Row],[Ertrag]]*Kulturen[[#This Row],[Nfix]]))</f>
        <v>120</v>
      </c>
      <c r="Y282" s="776" t="s">
        <v>2127</v>
      </c>
      <c r="Z282" s="776" t="s">
        <v>2127</v>
      </c>
      <c r="AA282" s="776" t="s">
        <v>2127</v>
      </c>
      <c r="AB282" s="776" t="s">
        <v>2127</v>
      </c>
      <c r="AC282" s="776" t="s">
        <v>2127</v>
      </c>
      <c r="AD282" s="776" t="s">
        <v>2127</v>
      </c>
      <c r="AE282" s="776" t="s">
        <v>2127</v>
      </c>
      <c r="AF282" s="776" t="s">
        <v>2127</v>
      </c>
      <c r="AG282" s="776" t="s">
        <v>2127</v>
      </c>
      <c r="AH282" s="776" t="s">
        <v>2127</v>
      </c>
      <c r="AI282" s="776" t="s">
        <v>2127</v>
      </c>
      <c r="AJ282" s="776" t="s">
        <v>2127</v>
      </c>
      <c r="AK282" s="776" t="s">
        <v>2127</v>
      </c>
      <c r="AL282" s="776" t="s">
        <v>2127</v>
      </c>
      <c r="AM282" s="776" t="s">
        <v>2127</v>
      </c>
      <c r="AN282" s="776" t="s">
        <v>2127</v>
      </c>
      <c r="AO282" s="776" t="s">
        <v>2127</v>
      </c>
      <c r="AP282" s="776" t="s">
        <v>2127</v>
      </c>
      <c r="AQ282" s="776" t="s">
        <v>2127</v>
      </c>
      <c r="AR282" s="776" t="s">
        <v>2127</v>
      </c>
      <c r="AS282" s="776" t="s">
        <v>2127</v>
      </c>
      <c r="AT282" s="776" t="s">
        <v>2127</v>
      </c>
      <c r="AU282" s="776" t="s">
        <v>2127</v>
      </c>
      <c r="AV282" s="776" t="s">
        <v>2127</v>
      </c>
      <c r="AW282" s="776" t="s">
        <v>2127</v>
      </c>
      <c r="AX282" s="776" t="s">
        <v>2127</v>
      </c>
      <c r="AY282" s="776" t="s">
        <v>2127</v>
      </c>
      <c r="AZ282" s="776" t="s">
        <v>2127</v>
      </c>
      <c r="BA282" s="776" t="s">
        <v>2127</v>
      </c>
      <c r="BB282" s="776" t="s">
        <v>2127</v>
      </c>
      <c r="BC282" s="776" t="s">
        <v>2127</v>
      </c>
      <c r="BD282" s="776" t="s">
        <v>2127</v>
      </c>
      <c r="BE282" s="776" t="s">
        <v>2127</v>
      </c>
      <c r="BF282" s="776" t="s">
        <v>2127</v>
      </c>
      <c r="BG282" s="776" t="s">
        <v>2127</v>
      </c>
      <c r="BH282" s="776" t="s">
        <v>2127</v>
      </c>
      <c r="BI282" s="776" t="s">
        <v>2127</v>
      </c>
      <c r="BJ282" s="776" t="s">
        <v>2127</v>
      </c>
      <c r="BK282" s="776" t="s">
        <v>2127</v>
      </c>
      <c r="BL282" s="776" t="s">
        <v>2127</v>
      </c>
      <c r="BM282" s="776" t="s">
        <v>2127</v>
      </c>
      <c r="BN282" s="776" t="s">
        <v>2127</v>
      </c>
      <c r="BO282" s="776" t="s">
        <v>2127</v>
      </c>
      <c r="BP282" s="776" t="s">
        <v>2127</v>
      </c>
      <c r="BQ282" s="776" t="s">
        <v>2127</v>
      </c>
      <c r="BR282" s="776" t="s">
        <v>2127</v>
      </c>
      <c r="BS282" s="776" t="s">
        <v>2127</v>
      </c>
      <c r="BT282" s="776" t="s">
        <v>2127</v>
      </c>
      <c r="BU282" s="776" t="s">
        <v>2127</v>
      </c>
      <c r="BV282" s="776" t="s">
        <v>2127</v>
      </c>
      <c r="BW282" s="776" t="s">
        <v>2127</v>
      </c>
      <c r="BX282" s="776" t="s">
        <v>2127</v>
      </c>
      <c r="BY282" s="776" t="s">
        <v>2127</v>
      </c>
      <c r="BZ282" s="776" t="s">
        <v>2127</v>
      </c>
      <c r="CA282" s="776" t="s">
        <v>2127</v>
      </c>
      <c r="CB282" s="776" t="s">
        <v>2127</v>
      </c>
      <c r="CC282" s="776" t="s">
        <v>2127</v>
      </c>
      <c r="CD282" s="776" t="s">
        <v>2127</v>
      </c>
      <c r="CE282" s="776" t="s">
        <v>2127</v>
      </c>
      <c r="CF282" s="776" t="s">
        <v>2127</v>
      </c>
      <c r="CG282" s="776" t="s">
        <v>2127</v>
      </c>
      <c r="CH282" s="776" t="s">
        <v>2127</v>
      </c>
      <c r="CI282" s="776" t="s">
        <v>2127</v>
      </c>
      <c r="CJ282" s="776" t="s">
        <v>2127</v>
      </c>
      <c r="CK282" s="776" t="s">
        <v>2127</v>
      </c>
      <c r="CL282" s="776" t="s">
        <v>2127</v>
      </c>
      <c r="CM282" s="776" t="s">
        <v>2127</v>
      </c>
      <c r="CN282" s="776" t="s">
        <v>2127</v>
      </c>
      <c r="CO282" s="776" t="s">
        <v>2127</v>
      </c>
      <c r="CP282" s="776" t="s">
        <v>2127</v>
      </c>
      <c r="CQ282" s="776" t="s">
        <v>2127</v>
      </c>
      <c r="CR282" s="776" t="s">
        <v>2127</v>
      </c>
      <c r="CS282" s="776" t="s">
        <v>2127</v>
      </c>
      <c r="CT282" s="776" t="s">
        <v>2127</v>
      </c>
      <c r="CU282" s="776" t="s">
        <v>2127</v>
      </c>
      <c r="CV282" s="776" t="s">
        <v>2127</v>
      </c>
      <c r="CW282" s="776" t="s">
        <v>2127</v>
      </c>
      <c r="CX282" s="776" t="s">
        <v>2127</v>
      </c>
      <c r="CY282" s="776" t="s">
        <v>2127</v>
      </c>
      <c r="CZ282" s="776" t="s">
        <v>2127</v>
      </c>
      <c r="DA282" s="776" t="s">
        <v>2127</v>
      </c>
      <c r="DB282" s="776" t="s">
        <v>2127</v>
      </c>
      <c r="DC282" s="776" t="s">
        <v>2127</v>
      </c>
      <c r="DD282" s="776" t="s">
        <v>2127</v>
      </c>
      <c r="DE282" s="776" t="s">
        <v>2127</v>
      </c>
      <c r="DF282" s="776" t="s">
        <v>2127</v>
      </c>
      <c r="DG282" s="776" t="s">
        <v>2127</v>
      </c>
      <c r="DH282" s="776" t="s">
        <v>2127</v>
      </c>
      <c r="DI282" s="776" t="s">
        <v>2127</v>
      </c>
      <c r="DJ282" s="776" t="s">
        <v>2127</v>
      </c>
      <c r="DK282" s="776" t="s">
        <v>2127</v>
      </c>
      <c r="DL282" s="776" t="s">
        <v>2127</v>
      </c>
      <c r="DM282" s="776" t="s">
        <v>2127</v>
      </c>
      <c r="DN282" s="776" t="s">
        <v>2127</v>
      </c>
      <c r="DO282" s="776" t="s">
        <v>2127</v>
      </c>
      <c r="DP282" s="776" t="s">
        <v>2127</v>
      </c>
    </row>
    <row r="283" spans="1:120" x14ac:dyDescent="0.2">
      <c r="A283" s="637"/>
      <c r="B283" s="772" t="str" cm="1">
        <f t="array" ref="B283">IFERROR(INDEX(Kulturen[HF],_xlfn.AGGREGATE(15,6,(ROW(Kulturen[Auswahl])-7)/(--(SEARCH("x",Kulturen[Auswahl])&gt;0)),ROW()-7),1),"")</f>
        <v>Hafer, Grüner (Kraut v. Milchreife)</v>
      </c>
      <c r="C283" s="772" t="str">
        <f>IF(Kulturen[[#This Row],[HF]]=$D$373,IF($C$6=0,0,"x"),IF($C$6=0,"x",Vorauswahl!C282))</f>
        <v>x</v>
      </c>
      <c r="D283" s="938" t="s">
        <v>2026</v>
      </c>
      <c r="E283" s="938" t="s">
        <v>2026</v>
      </c>
      <c r="F283" s="938" t="s">
        <v>2027</v>
      </c>
      <c r="G283" s="938">
        <v>14</v>
      </c>
      <c r="H283" s="938">
        <v>8</v>
      </c>
      <c r="I283" s="938">
        <v>3</v>
      </c>
      <c r="J283" s="938">
        <v>14</v>
      </c>
      <c r="K283" s="938">
        <v>0.23</v>
      </c>
      <c r="L283" s="938">
        <v>0.23</v>
      </c>
      <c r="M283" s="938">
        <v>150</v>
      </c>
      <c r="N283" s="938">
        <v>0</v>
      </c>
      <c r="O283" s="938">
        <v>2</v>
      </c>
      <c r="P283" s="938">
        <v>0</v>
      </c>
      <c r="Q283" s="938">
        <v>190</v>
      </c>
      <c r="R283" s="938">
        <v>15</v>
      </c>
      <c r="S283" s="938">
        <v>19</v>
      </c>
      <c r="T283" s="938">
        <v>19</v>
      </c>
      <c r="U283" s="938">
        <v>0</v>
      </c>
      <c r="V283" s="938">
        <v>1</v>
      </c>
      <c r="W283" s="776">
        <f>IF(Kulturen[[#This Row],[Berechnungsschema]]=13,3,IF(Kulturen[[#This Row],[Berechnungsschema]]=6,2,1))</f>
        <v>1</v>
      </c>
      <c r="X283" s="776">
        <f>IF(Kulturen[[#This Row],[fruchtartengruppe]]=13,Kulturen[[#This Row],[NBedarfswert]],MAX(0,Kulturen[[#This Row],[NBedarfswert]]-Kulturen[[#This Row],[Ertrag]]*Kulturen[[#This Row],[Nfix]]))</f>
        <v>190</v>
      </c>
      <c r="Y283" s="776" t="s">
        <v>2127</v>
      </c>
      <c r="Z283" s="776" t="s">
        <v>2127</v>
      </c>
      <c r="AA283" s="776" t="s">
        <v>2127</v>
      </c>
      <c r="AB283" s="776" t="s">
        <v>2127</v>
      </c>
      <c r="AC283" s="776" t="s">
        <v>2127</v>
      </c>
      <c r="AD283" s="776" t="s">
        <v>2127</v>
      </c>
      <c r="AE283" s="776" t="s">
        <v>2127</v>
      </c>
      <c r="AF283" s="776" t="s">
        <v>2127</v>
      </c>
      <c r="AG283" s="776" t="s">
        <v>2127</v>
      </c>
      <c r="AH283" s="776" t="s">
        <v>2127</v>
      </c>
      <c r="AI283" s="776" t="s">
        <v>2127</v>
      </c>
      <c r="AJ283" s="776" t="s">
        <v>2127</v>
      </c>
      <c r="AK283" s="776" t="s">
        <v>2127</v>
      </c>
      <c r="AL283" s="776" t="s">
        <v>2127</v>
      </c>
      <c r="AM283" s="776" t="s">
        <v>2127</v>
      </c>
      <c r="AN283" s="776" t="s">
        <v>2127</v>
      </c>
      <c r="AO283" s="776" t="s">
        <v>2127</v>
      </c>
      <c r="AP283" s="776" t="s">
        <v>2127</v>
      </c>
      <c r="AQ283" s="776" t="s">
        <v>2127</v>
      </c>
      <c r="AR283" s="776" t="s">
        <v>2127</v>
      </c>
      <c r="AS283" s="776" t="s">
        <v>2127</v>
      </c>
      <c r="AT283" s="776" t="s">
        <v>2127</v>
      </c>
      <c r="AU283" s="776" t="s">
        <v>2127</v>
      </c>
      <c r="AV283" s="776" t="s">
        <v>2127</v>
      </c>
      <c r="AW283" s="776" t="s">
        <v>2127</v>
      </c>
      <c r="AX283" s="776" t="s">
        <v>2127</v>
      </c>
      <c r="AY283" s="776" t="s">
        <v>2127</v>
      </c>
      <c r="AZ283" s="776" t="s">
        <v>2127</v>
      </c>
      <c r="BA283" s="776" t="s">
        <v>2127</v>
      </c>
      <c r="BB283" s="776" t="s">
        <v>2127</v>
      </c>
      <c r="BC283" s="776" t="s">
        <v>2127</v>
      </c>
      <c r="BD283" s="776" t="s">
        <v>2127</v>
      </c>
      <c r="BE283" s="776" t="s">
        <v>2127</v>
      </c>
      <c r="BF283" s="776" t="s">
        <v>2127</v>
      </c>
      <c r="BG283" s="776" t="s">
        <v>2127</v>
      </c>
      <c r="BH283" s="776" t="s">
        <v>2127</v>
      </c>
      <c r="BI283" s="776" t="s">
        <v>2127</v>
      </c>
      <c r="BJ283" s="776" t="s">
        <v>2127</v>
      </c>
      <c r="BK283" s="776" t="s">
        <v>2127</v>
      </c>
      <c r="BL283" s="776" t="s">
        <v>2127</v>
      </c>
      <c r="BM283" s="776" t="s">
        <v>2127</v>
      </c>
      <c r="BN283" s="776" t="s">
        <v>2127</v>
      </c>
      <c r="BO283" s="776" t="s">
        <v>2127</v>
      </c>
      <c r="BP283" s="776" t="s">
        <v>2127</v>
      </c>
      <c r="BQ283" s="776" t="s">
        <v>2127</v>
      </c>
      <c r="BR283" s="776" t="s">
        <v>2127</v>
      </c>
      <c r="BS283" s="776" t="s">
        <v>2127</v>
      </c>
      <c r="BT283" s="776" t="s">
        <v>2127</v>
      </c>
      <c r="BU283" s="776" t="s">
        <v>2127</v>
      </c>
      <c r="BV283" s="776" t="s">
        <v>2127</v>
      </c>
      <c r="BW283" s="776" t="s">
        <v>2127</v>
      </c>
      <c r="BX283" s="776" t="s">
        <v>2127</v>
      </c>
      <c r="BY283" s="776" t="s">
        <v>2127</v>
      </c>
      <c r="BZ283" s="776" t="s">
        <v>2127</v>
      </c>
      <c r="CA283" s="776" t="s">
        <v>2127</v>
      </c>
      <c r="CB283" s="776" t="s">
        <v>2127</v>
      </c>
      <c r="CC283" s="776" t="s">
        <v>2127</v>
      </c>
      <c r="CD283" s="776" t="s">
        <v>2127</v>
      </c>
      <c r="CE283" s="776" t="s">
        <v>2127</v>
      </c>
      <c r="CF283" s="776" t="s">
        <v>2127</v>
      </c>
      <c r="CG283" s="776" t="s">
        <v>2127</v>
      </c>
      <c r="CH283" s="776" t="s">
        <v>2127</v>
      </c>
      <c r="CI283" s="776" t="s">
        <v>2127</v>
      </c>
      <c r="CJ283" s="776" t="s">
        <v>2127</v>
      </c>
      <c r="CK283" s="776" t="s">
        <v>2127</v>
      </c>
      <c r="CL283" s="776" t="s">
        <v>2127</v>
      </c>
      <c r="CM283" s="776" t="s">
        <v>2127</v>
      </c>
      <c r="CN283" s="776" t="s">
        <v>2127</v>
      </c>
      <c r="CO283" s="776" t="s">
        <v>2127</v>
      </c>
      <c r="CP283" s="776" t="s">
        <v>2127</v>
      </c>
      <c r="CQ283" s="776" t="s">
        <v>2127</v>
      </c>
      <c r="CR283" s="776" t="s">
        <v>2127</v>
      </c>
      <c r="CS283" s="776" t="s">
        <v>2127</v>
      </c>
      <c r="CT283" s="776" t="s">
        <v>2127</v>
      </c>
      <c r="CU283" s="776" t="s">
        <v>2127</v>
      </c>
      <c r="CV283" s="776" t="s">
        <v>2127</v>
      </c>
      <c r="CW283" s="776" t="s">
        <v>2127</v>
      </c>
      <c r="CX283" s="776" t="s">
        <v>2127</v>
      </c>
      <c r="CY283" s="776" t="s">
        <v>2127</v>
      </c>
      <c r="CZ283" s="776" t="s">
        <v>2127</v>
      </c>
      <c r="DA283" s="776" t="s">
        <v>2127</v>
      </c>
      <c r="DB283" s="776" t="s">
        <v>2127</v>
      </c>
      <c r="DC283" s="776" t="s">
        <v>2127</v>
      </c>
      <c r="DD283" s="776" t="s">
        <v>2127</v>
      </c>
      <c r="DE283" s="776" t="s">
        <v>2127</v>
      </c>
      <c r="DF283" s="776" t="s">
        <v>2127</v>
      </c>
      <c r="DG283" s="776" t="s">
        <v>2127</v>
      </c>
      <c r="DH283" s="776" t="s">
        <v>2127</v>
      </c>
      <c r="DI283" s="776" t="s">
        <v>2127</v>
      </c>
      <c r="DJ283" s="776" t="s">
        <v>2127</v>
      </c>
      <c r="DK283" s="776" t="s">
        <v>2127</v>
      </c>
      <c r="DL283" s="776" t="s">
        <v>2127</v>
      </c>
      <c r="DM283" s="776" t="s">
        <v>2127</v>
      </c>
      <c r="DN283" s="776" t="s">
        <v>2127</v>
      </c>
      <c r="DO283" s="776" t="s">
        <v>2127</v>
      </c>
      <c r="DP283" s="776" t="s">
        <v>2127</v>
      </c>
    </row>
    <row r="284" spans="1:120" x14ac:dyDescent="0.2">
      <c r="A284" s="637" t="s">
        <v>2307</v>
      </c>
      <c r="B284" s="772" t="str" cm="1">
        <f t="array" ref="B284">IFERROR(INDEX(Kulturen[HF],_xlfn.AGGREGATE(15,6,(ROW(Kulturen[Auswahl])-7)/(--(SEARCH("x",Kulturen[Auswahl])&gt;0)),ROW()-7),1),"")</f>
        <v>Ingwer (Rhizom)</v>
      </c>
      <c r="C284" s="772" t="str">
        <f>IF(Kulturen[[#This Row],[HF]]=$D$373,IF($C$6=0,0,"x"),IF($C$6=0,"x",Vorauswahl!C283))</f>
        <v>x</v>
      </c>
      <c r="D284" s="938" t="s">
        <v>2028</v>
      </c>
      <c r="E284" s="938" t="s">
        <v>2028</v>
      </c>
      <c r="F284" s="938" t="s">
        <v>947</v>
      </c>
      <c r="G284" s="938">
        <v>14</v>
      </c>
      <c r="H284" s="938">
        <v>8</v>
      </c>
      <c r="I284" s="938">
        <v>3</v>
      </c>
      <c r="J284" s="938">
        <v>14</v>
      </c>
      <c r="K284" s="938">
        <v>0.08</v>
      </c>
      <c r="L284" s="938">
        <v>0.08</v>
      </c>
      <c r="M284" s="938">
        <v>220</v>
      </c>
      <c r="N284" s="938">
        <v>0</v>
      </c>
      <c r="O284" s="938">
        <v>1</v>
      </c>
      <c r="P284" s="938">
        <v>0</v>
      </c>
      <c r="Q284" s="938">
        <v>135</v>
      </c>
      <c r="R284" s="938">
        <v>22</v>
      </c>
      <c r="S284" s="938">
        <v>14</v>
      </c>
      <c r="T284" s="938">
        <v>14</v>
      </c>
      <c r="U284" s="938">
        <v>0</v>
      </c>
      <c r="V284" s="938">
        <v>1</v>
      </c>
      <c r="W284" s="776">
        <f>IF(Kulturen[[#This Row],[Berechnungsschema]]=13,3,IF(Kulturen[[#This Row],[Berechnungsschema]]=6,2,1))</f>
        <v>1</v>
      </c>
      <c r="X284" s="776">
        <f>IF(Kulturen[[#This Row],[fruchtartengruppe]]=13,Kulturen[[#This Row],[NBedarfswert]],MAX(0,Kulturen[[#This Row],[NBedarfswert]]-Kulturen[[#This Row],[Ertrag]]*Kulturen[[#This Row],[Nfix]]))</f>
        <v>135</v>
      </c>
      <c r="Y284" s="776" t="s">
        <v>2127</v>
      </c>
      <c r="Z284" s="776" t="s">
        <v>2127</v>
      </c>
      <c r="AA284" s="776" t="s">
        <v>2127</v>
      </c>
      <c r="AB284" s="776" t="s">
        <v>2127</v>
      </c>
      <c r="AC284" s="776" t="s">
        <v>2127</v>
      </c>
      <c r="AD284" s="776" t="s">
        <v>2127</v>
      </c>
      <c r="AE284" s="776" t="s">
        <v>2127</v>
      </c>
      <c r="AF284" s="776" t="s">
        <v>2127</v>
      </c>
      <c r="AG284" s="776" t="s">
        <v>2127</v>
      </c>
      <c r="AH284" s="776" t="s">
        <v>2127</v>
      </c>
      <c r="AI284" s="776" t="s">
        <v>2127</v>
      </c>
      <c r="AJ284" s="776" t="s">
        <v>2127</v>
      </c>
      <c r="AK284" s="776" t="s">
        <v>2127</v>
      </c>
      <c r="AL284" s="776" t="s">
        <v>2127</v>
      </c>
      <c r="AM284" s="776" t="s">
        <v>2127</v>
      </c>
      <c r="AN284" s="776" t="s">
        <v>2127</v>
      </c>
      <c r="AO284" s="776" t="s">
        <v>2127</v>
      </c>
      <c r="AP284" s="776" t="s">
        <v>2127</v>
      </c>
      <c r="AQ284" s="776" t="s">
        <v>2127</v>
      </c>
      <c r="AR284" s="776" t="s">
        <v>2127</v>
      </c>
      <c r="AS284" s="776" t="s">
        <v>2127</v>
      </c>
      <c r="AT284" s="776" t="s">
        <v>2127</v>
      </c>
      <c r="AU284" s="776" t="s">
        <v>2127</v>
      </c>
      <c r="AV284" s="776" t="s">
        <v>2127</v>
      </c>
      <c r="AW284" s="776" t="s">
        <v>2127</v>
      </c>
      <c r="AX284" s="776" t="s">
        <v>2127</v>
      </c>
      <c r="AY284" s="776" t="s">
        <v>2127</v>
      </c>
      <c r="AZ284" s="776" t="s">
        <v>2127</v>
      </c>
      <c r="BA284" s="776" t="s">
        <v>2127</v>
      </c>
      <c r="BB284" s="776" t="s">
        <v>2127</v>
      </c>
      <c r="BC284" s="776" t="s">
        <v>2127</v>
      </c>
      <c r="BD284" s="776" t="s">
        <v>2127</v>
      </c>
      <c r="BE284" s="776" t="s">
        <v>2127</v>
      </c>
      <c r="BF284" s="776" t="s">
        <v>2127</v>
      </c>
      <c r="BG284" s="776" t="s">
        <v>2127</v>
      </c>
      <c r="BH284" s="776" t="s">
        <v>2127</v>
      </c>
      <c r="BI284" s="776" t="s">
        <v>2127</v>
      </c>
      <c r="BJ284" s="776" t="s">
        <v>2127</v>
      </c>
      <c r="BK284" s="776" t="s">
        <v>2127</v>
      </c>
      <c r="BL284" s="776" t="s">
        <v>2127</v>
      </c>
      <c r="BM284" s="776" t="s">
        <v>2127</v>
      </c>
      <c r="BN284" s="776" t="s">
        <v>2127</v>
      </c>
      <c r="BO284" s="776" t="s">
        <v>2127</v>
      </c>
      <c r="BP284" s="776" t="s">
        <v>2127</v>
      </c>
      <c r="BQ284" s="776" t="s">
        <v>2127</v>
      </c>
      <c r="BR284" s="776" t="s">
        <v>2127</v>
      </c>
      <c r="BS284" s="776" t="s">
        <v>2127</v>
      </c>
      <c r="BT284" s="776" t="s">
        <v>2127</v>
      </c>
      <c r="BU284" s="776" t="s">
        <v>2127</v>
      </c>
      <c r="BV284" s="776" t="s">
        <v>2127</v>
      </c>
      <c r="BW284" s="776" t="s">
        <v>2127</v>
      </c>
      <c r="BX284" s="776" t="s">
        <v>2127</v>
      </c>
      <c r="BY284" s="776" t="s">
        <v>2127</v>
      </c>
      <c r="BZ284" s="776" t="s">
        <v>2127</v>
      </c>
      <c r="CA284" s="776" t="s">
        <v>2127</v>
      </c>
      <c r="CB284" s="776" t="s">
        <v>2127</v>
      </c>
      <c r="CC284" s="776" t="s">
        <v>2127</v>
      </c>
      <c r="CD284" s="776" t="s">
        <v>2127</v>
      </c>
      <c r="CE284" s="776" t="s">
        <v>2127</v>
      </c>
      <c r="CF284" s="776" t="s">
        <v>2127</v>
      </c>
      <c r="CG284" s="776" t="s">
        <v>2127</v>
      </c>
      <c r="CH284" s="776" t="s">
        <v>2127</v>
      </c>
      <c r="CI284" s="776" t="s">
        <v>2127</v>
      </c>
      <c r="CJ284" s="776" t="s">
        <v>2127</v>
      </c>
      <c r="CK284" s="776" t="s">
        <v>2127</v>
      </c>
      <c r="CL284" s="776" t="s">
        <v>2127</v>
      </c>
      <c r="CM284" s="776" t="s">
        <v>2127</v>
      </c>
      <c r="CN284" s="776" t="s">
        <v>2127</v>
      </c>
      <c r="CO284" s="776" t="s">
        <v>2127</v>
      </c>
      <c r="CP284" s="776" t="s">
        <v>2127</v>
      </c>
      <c r="CQ284" s="776" t="s">
        <v>2127</v>
      </c>
      <c r="CR284" s="776" t="s">
        <v>2127</v>
      </c>
      <c r="CS284" s="776" t="s">
        <v>2127</v>
      </c>
      <c r="CT284" s="776" t="s">
        <v>2127</v>
      </c>
      <c r="CU284" s="776" t="s">
        <v>2127</v>
      </c>
      <c r="CV284" s="776" t="s">
        <v>2127</v>
      </c>
      <c r="CW284" s="776" t="s">
        <v>2127</v>
      </c>
      <c r="CX284" s="776" t="s">
        <v>2127</v>
      </c>
      <c r="CY284" s="776" t="s">
        <v>2127</v>
      </c>
      <c r="CZ284" s="776" t="s">
        <v>2127</v>
      </c>
      <c r="DA284" s="776" t="s">
        <v>2127</v>
      </c>
      <c r="DB284" s="776" t="s">
        <v>2127</v>
      </c>
      <c r="DC284" s="776" t="s">
        <v>2127</v>
      </c>
      <c r="DD284" s="776" t="s">
        <v>2127</v>
      </c>
      <c r="DE284" s="776" t="s">
        <v>2127</v>
      </c>
      <c r="DF284" s="776" t="s">
        <v>2127</v>
      </c>
      <c r="DG284" s="776" t="s">
        <v>2127</v>
      </c>
      <c r="DH284" s="776" t="s">
        <v>2127</v>
      </c>
      <c r="DI284" s="776" t="s">
        <v>2127</v>
      </c>
      <c r="DJ284" s="776" t="s">
        <v>2127</v>
      </c>
      <c r="DK284" s="776" t="s">
        <v>2127</v>
      </c>
      <c r="DL284" s="776" t="s">
        <v>2127</v>
      </c>
      <c r="DM284" s="776" t="s">
        <v>2127</v>
      </c>
      <c r="DN284" s="776" t="s">
        <v>2127</v>
      </c>
      <c r="DO284" s="776" t="s">
        <v>2127</v>
      </c>
      <c r="DP284" s="776" t="s">
        <v>2127</v>
      </c>
    </row>
    <row r="285" spans="1:120" x14ac:dyDescent="0.2">
      <c r="A285" s="637" t="s">
        <v>2308</v>
      </c>
      <c r="B285" s="772" t="str" cm="1">
        <f t="array" ref="B285">IFERROR(INDEX(Kulturen[HF],_xlfn.AGGREGATE(15,6,(ROW(Kulturen[Auswahl])-7)/(--(SEARCH("x",Kulturen[Auswahl])&gt;0)),ROW()-7),1),"")</f>
        <v>Johanniskraut (Blühendes Kraut)</v>
      </c>
      <c r="C285" s="772" t="str">
        <f>IF(Kulturen[[#This Row],[HF]]=$D$373,IF($C$6=0,0,"x"),IF($C$6=0,"x",Vorauswahl!C284))</f>
        <v>x</v>
      </c>
      <c r="D285" s="938" t="s">
        <v>2029</v>
      </c>
      <c r="E285" s="938" t="s">
        <v>2029</v>
      </c>
      <c r="F285" s="938" t="s">
        <v>948</v>
      </c>
      <c r="G285" s="938">
        <v>14</v>
      </c>
      <c r="H285" s="938">
        <v>8</v>
      </c>
      <c r="I285" s="938">
        <v>3</v>
      </c>
      <c r="J285" s="938">
        <v>14</v>
      </c>
      <c r="K285" s="938">
        <v>0.05</v>
      </c>
      <c r="L285" s="938">
        <v>0.05</v>
      </c>
      <c r="M285" s="938">
        <v>480</v>
      </c>
      <c r="N285" s="938">
        <v>0</v>
      </c>
      <c r="O285" s="938">
        <v>1</v>
      </c>
      <c r="P285" s="938">
        <v>0</v>
      </c>
      <c r="Q285" s="938">
        <v>195</v>
      </c>
      <c r="R285" s="938">
        <v>48</v>
      </c>
      <c r="S285" s="938">
        <v>20</v>
      </c>
      <c r="T285" s="938">
        <v>20</v>
      </c>
      <c r="U285" s="938">
        <v>0</v>
      </c>
      <c r="V285" s="938">
        <v>1</v>
      </c>
      <c r="W285" s="776">
        <f>IF(Kulturen[[#This Row],[Berechnungsschema]]=13,3,IF(Kulturen[[#This Row],[Berechnungsschema]]=6,2,1))</f>
        <v>1</v>
      </c>
      <c r="X285" s="776">
        <f>IF(Kulturen[[#This Row],[fruchtartengruppe]]=13,Kulturen[[#This Row],[NBedarfswert]],MAX(0,Kulturen[[#This Row],[NBedarfswert]]-Kulturen[[#This Row],[Ertrag]]*Kulturen[[#This Row],[Nfix]]))</f>
        <v>195</v>
      </c>
      <c r="Y285" s="776" t="s">
        <v>2127</v>
      </c>
      <c r="Z285" s="776" t="s">
        <v>2127</v>
      </c>
      <c r="AA285" s="776" t="s">
        <v>2127</v>
      </c>
      <c r="AB285" s="776" t="s">
        <v>2127</v>
      </c>
      <c r="AC285" s="776" t="s">
        <v>2127</v>
      </c>
      <c r="AD285" s="776" t="s">
        <v>2127</v>
      </c>
      <c r="AE285" s="776" t="s">
        <v>2127</v>
      </c>
      <c r="AF285" s="776" t="s">
        <v>2127</v>
      </c>
      <c r="AG285" s="776" t="s">
        <v>2127</v>
      </c>
      <c r="AH285" s="776" t="s">
        <v>2127</v>
      </c>
      <c r="AI285" s="776" t="s">
        <v>2127</v>
      </c>
      <c r="AJ285" s="776" t="s">
        <v>2127</v>
      </c>
      <c r="AK285" s="776" t="s">
        <v>2127</v>
      </c>
      <c r="AL285" s="776" t="s">
        <v>2127</v>
      </c>
      <c r="AM285" s="776" t="s">
        <v>2127</v>
      </c>
      <c r="AN285" s="776" t="s">
        <v>2127</v>
      </c>
      <c r="AO285" s="776" t="s">
        <v>2127</v>
      </c>
      <c r="AP285" s="776" t="s">
        <v>2127</v>
      </c>
      <c r="AQ285" s="776" t="s">
        <v>2127</v>
      </c>
      <c r="AR285" s="776" t="s">
        <v>2127</v>
      </c>
      <c r="AS285" s="776" t="s">
        <v>2127</v>
      </c>
      <c r="AT285" s="776" t="s">
        <v>2127</v>
      </c>
      <c r="AU285" s="776" t="s">
        <v>2127</v>
      </c>
      <c r="AV285" s="776" t="s">
        <v>2127</v>
      </c>
      <c r="AW285" s="776" t="s">
        <v>2127</v>
      </c>
      <c r="AX285" s="776" t="s">
        <v>2127</v>
      </c>
      <c r="AY285" s="776" t="s">
        <v>2127</v>
      </c>
      <c r="AZ285" s="776" t="s">
        <v>2127</v>
      </c>
      <c r="BA285" s="776" t="s">
        <v>2127</v>
      </c>
      <c r="BB285" s="776" t="s">
        <v>2127</v>
      </c>
      <c r="BC285" s="776" t="s">
        <v>2127</v>
      </c>
      <c r="BD285" s="776" t="s">
        <v>2127</v>
      </c>
      <c r="BE285" s="776" t="s">
        <v>2127</v>
      </c>
      <c r="BF285" s="776" t="s">
        <v>2127</v>
      </c>
      <c r="BG285" s="776" t="s">
        <v>2127</v>
      </c>
      <c r="BH285" s="776" t="s">
        <v>2127</v>
      </c>
      <c r="BI285" s="776" t="s">
        <v>2127</v>
      </c>
      <c r="BJ285" s="776" t="s">
        <v>2127</v>
      </c>
      <c r="BK285" s="776" t="s">
        <v>2127</v>
      </c>
      <c r="BL285" s="776" t="s">
        <v>2127</v>
      </c>
      <c r="BM285" s="776" t="s">
        <v>2127</v>
      </c>
      <c r="BN285" s="776" t="s">
        <v>2127</v>
      </c>
      <c r="BO285" s="776" t="s">
        <v>2127</v>
      </c>
      <c r="BP285" s="776" t="s">
        <v>2127</v>
      </c>
      <c r="BQ285" s="776" t="s">
        <v>2127</v>
      </c>
      <c r="BR285" s="776" t="s">
        <v>2127</v>
      </c>
      <c r="BS285" s="776" t="s">
        <v>2127</v>
      </c>
      <c r="BT285" s="776" t="s">
        <v>2127</v>
      </c>
      <c r="BU285" s="776" t="s">
        <v>2127</v>
      </c>
      <c r="BV285" s="776" t="s">
        <v>2127</v>
      </c>
      <c r="BW285" s="776" t="s">
        <v>2127</v>
      </c>
      <c r="BX285" s="776" t="s">
        <v>2127</v>
      </c>
      <c r="BY285" s="776" t="s">
        <v>2127</v>
      </c>
      <c r="BZ285" s="776" t="s">
        <v>2127</v>
      </c>
      <c r="CA285" s="776" t="s">
        <v>2127</v>
      </c>
      <c r="CB285" s="776" t="s">
        <v>2127</v>
      </c>
      <c r="CC285" s="776" t="s">
        <v>2127</v>
      </c>
      <c r="CD285" s="776" t="s">
        <v>2127</v>
      </c>
      <c r="CE285" s="776" t="s">
        <v>2127</v>
      </c>
      <c r="CF285" s="776" t="s">
        <v>2127</v>
      </c>
      <c r="CG285" s="776" t="s">
        <v>2127</v>
      </c>
      <c r="CH285" s="776" t="s">
        <v>2127</v>
      </c>
      <c r="CI285" s="776" t="s">
        <v>2127</v>
      </c>
      <c r="CJ285" s="776" t="s">
        <v>2127</v>
      </c>
      <c r="CK285" s="776" t="s">
        <v>2127</v>
      </c>
      <c r="CL285" s="776" t="s">
        <v>2127</v>
      </c>
      <c r="CM285" s="776" t="s">
        <v>2127</v>
      </c>
      <c r="CN285" s="776" t="s">
        <v>2127</v>
      </c>
      <c r="CO285" s="776" t="s">
        <v>2127</v>
      </c>
      <c r="CP285" s="776" t="s">
        <v>2127</v>
      </c>
      <c r="CQ285" s="776" t="s">
        <v>2127</v>
      </c>
      <c r="CR285" s="776" t="s">
        <v>2127</v>
      </c>
      <c r="CS285" s="776" t="s">
        <v>2127</v>
      </c>
      <c r="CT285" s="776" t="s">
        <v>2127</v>
      </c>
      <c r="CU285" s="776" t="s">
        <v>2127</v>
      </c>
      <c r="CV285" s="776" t="s">
        <v>2127</v>
      </c>
      <c r="CW285" s="776" t="s">
        <v>2127</v>
      </c>
      <c r="CX285" s="776" t="s">
        <v>2127</v>
      </c>
      <c r="CY285" s="776" t="s">
        <v>2127</v>
      </c>
      <c r="CZ285" s="776" t="s">
        <v>2127</v>
      </c>
      <c r="DA285" s="776" t="s">
        <v>2127</v>
      </c>
      <c r="DB285" s="776" t="s">
        <v>2127</v>
      </c>
      <c r="DC285" s="776" t="s">
        <v>2127</v>
      </c>
      <c r="DD285" s="776" t="s">
        <v>2127</v>
      </c>
      <c r="DE285" s="776" t="s">
        <v>2127</v>
      </c>
      <c r="DF285" s="776" t="s">
        <v>2127</v>
      </c>
      <c r="DG285" s="776" t="s">
        <v>2127</v>
      </c>
      <c r="DH285" s="776" t="s">
        <v>2127</v>
      </c>
      <c r="DI285" s="776" t="s">
        <v>2127</v>
      </c>
      <c r="DJ285" s="776" t="s">
        <v>2127</v>
      </c>
      <c r="DK285" s="776" t="s">
        <v>2127</v>
      </c>
      <c r="DL285" s="776" t="s">
        <v>2127</v>
      </c>
      <c r="DM285" s="776" t="s">
        <v>2127</v>
      </c>
      <c r="DN285" s="776" t="s">
        <v>2127</v>
      </c>
      <c r="DO285" s="776" t="s">
        <v>2127</v>
      </c>
      <c r="DP285" s="776" t="s">
        <v>2127</v>
      </c>
    </row>
    <row r="286" spans="1:120" x14ac:dyDescent="0.2">
      <c r="A286" s="637" t="s">
        <v>2309</v>
      </c>
      <c r="B286" s="772" t="str" cm="1">
        <f t="array" ref="B286">IFERROR(INDEX(Kulturen[HF],_xlfn.AGGREGATE(15,6,(ROW(Kulturen[Auswahl])-7)/(--(SEARCH("x",Kulturen[Auswahl])&gt;0)),ROW()-7),1),"")</f>
        <v>Kamille (Blüten)</v>
      </c>
      <c r="C286" s="772" t="str">
        <f>IF(Kulturen[[#This Row],[HF]]=$D$373,IF($C$6=0,0,"x"),IF($C$6=0,"x",Vorauswahl!C285))</f>
        <v>x</v>
      </c>
      <c r="D286" s="938" t="s">
        <v>2030</v>
      </c>
      <c r="E286" s="938" t="s">
        <v>2030</v>
      </c>
      <c r="F286" s="938" t="s">
        <v>949</v>
      </c>
      <c r="G286" s="938">
        <v>14</v>
      </c>
      <c r="H286" s="938">
        <v>8</v>
      </c>
      <c r="I286" s="938">
        <v>3</v>
      </c>
      <c r="J286" s="938">
        <v>14</v>
      </c>
      <c r="K286" s="938">
        <v>0.14000000000000001</v>
      </c>
      <c r="L286" s="938">
        <v>0.14000000000000001</v>
      </c>
      <c r="M286" s="938">
        <v>300</v>
      </c>
      <c r="N286" s="938">
        <v>0</v>
      </c>
      <c r="O286" s="938">
        <v>2</v>
      </c>
      <c r="P286" s="938">
        <v>0</v>
      </c>
      <c r="Q286" s="938">
        <v>155</v>
      </c>
      <c r="R286" s="938">
        <v>30</v>
      </c>
      <c r="S286" s="938">
        <v>16</v>
      </c>
      <c r="T286" s="938">
        <v>16</v>
      </c>
      <c r="U286" s="938">
        <v>0</v>
      </c>
      <c r="V286" s="938">
        <v>1</v>
      </c>
      <c r="W286" s="776">
        <f>IF(Kulturen[[#This Row],[Berechnungsschema]]=13,3,IF(Kulturen[[#This Row],[Berechnungsschema]]=6,2,1))</f>
        <v>1</v>
      </c>
      <c r="X286" s="776">
        <f>IF(Kulturen[[#This Row],[fruchtartengruppe]]=13,Kulturen[[#This Row],[NBedarfswert]],MAX(0,Kulturen[[#This Row],[NBedarfswert]]-Kulturen[[#This Row],[Ertrag]]*Kulturen[[#This Row],[Nfix]]))</f>
        <v>155</v>
      </c>
      <c r="Y286" s="776" t="s">
        <v>2127</v>
      </c>
      <c r="Z286" s="776" t="s">
        <v>2127</v>
      </c>
      <c r="AA286" s="776" t="s">
        <v>2127</v>
      </c>
      <c r="AB286" s="776" t="s">
        <v>2127</v>
      </c>
      <c r="AC286" s="776" t="s">
        <v>2127</v>
      </c>
      <c r="AD286" s="776" t="s">
        <v>2127</v>
      </c>
      <c r="AE286" s="776" t="s">
        <v>2127</v>
      </c>
      <c r="AF286" s="776" t="s">
        <v>2127</v>
      </c>
      <c r="AG286" s="776" t="s">
        <v>2127</v>
      </c>
      <c r="AH286" s="776" t="s">
        <v>2127</v>
      </c>
      <c r="AI286" s="776" t="s">
        <v>2127</v>
      </c>
      <c r="AJ286" s="776" t="s">
        <v>2127</v>
      </c>
      <c r="AK286" s="776" t="s">
        <v>2127</v>
      </c>
      <c r="AL286" s="776" t="s">
        <v>2127</v>
      </c>
      <c r="AM286" s="776" t="s">
        <v>2127</v>
      </c>
      <c r="AN286" s="776" t="s">
        <v>2127</v>
      </c>
      <c r="AO286" s="776" t="s">
        <v>2127</v>
      </c>
      <c r="AP286" s="776" t="s">
        <v>2127</v>
      </c>
      <c r="AQ286" s="776" t="s">
        <v>2127</v>
      </c>
      <c r="AR286" s="776" t="s">
        <v>2127</v>
      </c>
      <c r="AS286" s="776" t="s">
        <v>2127</v>
      </c>
      <c r="AT286" s="776" t="s">
        <v>2127</v>
      </c>
      <c r="AU286" s="776" t="s">
        <v>2127</v>
      </c>
      <c r="AV286" s="776" t="s">
        <v>2127</v>
      </c>
      <c r="AW286" s="776" t="s">
        <v>2127</v>
      </c>
      <c r="AX286" s="776" t="s">
        <v>2127</v>
      </c>
      <c r="AY286" s="776" t="s">
        <v>2127</v>
      </c>
      <c r="AZ286" s="776" t="s">
        <v>2127</v>
      </c>
      <c r="BA286" s="776" t="s">
        <v>2127</v>
      </c>
      <c r="BB286" s="776" t="s">
        <v>2127</v>
      </c>
      <c r="BC286" s="776" t="s">
        <v>2127</v>
      </c>
      <c r="BD286" s="776" t="s">
        <v>2127</v>
      </c>
      <c r="BE286" s="776" t="s">
        <v>2127</v>
      </c>
      <c r="BF286" s="776" t="s">
        <v>2127</v>
      </c>
      <c r="BG286" s="776" t="s">
        <v>2127</v>
      </c>
      <c r="BH286" s="776" t="s">
        <v>2127</v>
      </c>
      <c r="BI286" s="776" t="s">
        <v>2127</v>
      </c>
      <c r="BJ286" s="776" t="s">
        <v>2127</v>
      </c>
      <c r="BK286" s="776" t="s">
        <v>2127</v>
      </c>
      <c r="BL286" s="776" t="s">
        <v>2127</v>
      </c>
      <c r="BM286" s="776" t="s">
        <v>2127</v>
      </c>
      <c r="BN286" s="776" t="s">
        <v>2127</v>
      </c>
      <c r="BO286" s="776" t="s">
        <v>2127</v>
      </c>
      <c r="BP286" s="776" t="s">
        <v>2127</v>
      </c>
      <c r="BQ286" s="776" t="s">
        <v>2127</v>
      </c>
      <c r="BR286" s="776" t="s">
        <v>2127</v>
      </c>
      <c r="BS286" s="776" t="s">
        <v>2127</v>
      </c>
      <c r="BT286" s="776" t="s">
        <v>2127</v>
      </c>
      <c r="BU286" s="776" t="s">
        <v>2127</v>
      </c>
      <c r="BV286" s="776" t="s">
        <v>2127</v>
      </c>
      <c r="BW286" s="776" t="s">
        <v>2127</v>
      </c>
      <c r="BX286" s="776" t="s">
        <v>2127</v>
      </c>
      <c r="BY286" s="776" t="s">
        <v>2127</v>
      </c>
      <c r="BZ286" s="776" t="s">
        <v>2127</v>
      </c>
      <c r="CA286" s="776" t="s">
        <v>2127</v>
      </c>
      <c r="CB286" s="776" t="s">
        <v>2127</v>
      </c>
      <c r="CC286" s="776" t="s">
        <v>2127</v>
      </c>
      <c r="CD286" s="776" t="s">
        <v>2127</v>
      </c>
      <c r="CE286" s="776" t="s">
        <v>2127</v>
      </c>
      <c r="CF286" s="776" t="s">
        <v>2127</v>
      </c>
      <c r="CG286" s="776" t="s">
        <v>2127</v>
      </c>
      <c r="CH286" s="776" t="s">
        <v>2127</v>
      </c>
      <c r="CI286" s="776" t="s">
        <v>2127</v>
      </c>
      <c r="CJ286" s="776" t="s">
        <v>2127</v>
      </c>
      <c r="CK286" s="776" t="s">
        <v>2127</v>
      </c>
      <c r="CL286" s="776" t="s">
        <v>2127</v>
      </c>
      <c r="CM286" s="776" t="s">
        <v>2127</v>
      </c>
      <c r="CN286" s="776" t="s">
        <v>2127</v>
      </c>
      <c r="CO286" s="776" t="s">
        <v>2127</v>
      </c>
      <c r="CP286" s="776" t="s">
        <v>2127</v>
      </c>
      <c r="CQ286" s="776" t="s">
        <v>2127</v>
      </c>
      <c r="CR286" s="776" t="s">
        <v>2127</v>
      </c>
      <c r="CS286" s="776" t="s">
        <v>2127</v>
      </c>
      <c r="CT286" s="776" t="s">
        <v>2127</v>
      </c>
      <c r="CU286" s="776" t="s">
        <v>2127</v>
      </c>
      <c r="CV286" s="776" t="s">
        <v>2127</v>
      </c>
      <c r="CW286" s="776" t="s">
        <v>2127</v>
      </c>
      <c r="CX286" s="776" t="s">
        <v>2127</v>
      </c>
      <c r="CY286" s="776" t="s">
        <v>2127</v>
      </c>
      <c r="CZ286" s="776" t="s">
        <v>2127</v>
      </c>
      <c r="DA286" s="776" t="s">
        <v>2127</v>
      </c>
      <c r="DB286" s="776" t="s">
        <v>2127</v>
      </c>
      <c r="DC286" s="776" t="s">
        <v>2127</v>
      </c>
      <c r="DD286" s="776" t="s">
        <v>2127</v>
      </c>
      <c r="DE286" s="776" t="s">
        <v>2127</v>
      </c>
      <c r="DF286" s="776" t="s">
        <v>2127</v>
      </c>
      <c r="DG286" s="776" t="s">
        <v>2127</v>
      </c>
      <c r="DH286" s="776" t="s">
        <v>2127</v>
      </c>
      <c r="DI286" s="776" t="s">
        <v>2127</v>
      </c>
      <c r="DJ286" s="776" t="s">
        <v>2127</v>
      </c>
      <c r="DK286" s="776" t="s">
        <v>2127</v>
      </c>
      <c r="DL286" s="776" t="s">
        <v>2127</v>
      </c>
      <c r="DM286" s="776" t="s">
        <v>2127</v>
      </c>
      <c r="DN286" s="776" t="s">
        <v>2127</v>
      </c>
      <c r="DO286" s="776" t="s">
        <v>2127</v>
      </c>
      <c r="DP286" s="776" t="s">
        <v>2127</v>
      </c>
    </row>
    <row r="287" spans="1:120" x14ac:dyDescent="0.2">
      <c r="A287" s="637" t="s">
        <v>2310</v>
      </c>
      <c r="B287" s="772" t="str" cm="1">
        <f t="array" ref="B287">IFERROR(INDEX(Kulturen[HF],_xlfn.AGGREGATE(15,6,(ROW(Kulturen[Auswahl])-7)/(--(SEARCH("x",Kulturen[Auswahl])&gt;0)),ROW()-7),1),"")</f>
        <v>Kamille (Blühhorizont)</v>
      </c>
      <c r="C287" s="772" t="str">
        <f>IF(Kulturen[[#This Row],[HF]]=$D$373,IF($C$6=0,0,"x"),IF($C$6=0,"x",Vorauswahl!C286))</f>
        <v>x</v>
      </c>
      <c r="D287" s="938" t="s">
        <v>2031</v>
      </c>
      <c r="E287" s="938" t="s">
        <v>2031</v>
      </c>
      <c r="F287" s="938" t="s">
        <v>950</v>
      </c>
      <c r="G287" s="938">
        <v>14</v>
      </c>
      <c r="H287" s="938">
        <v>8</v>
      </c>
      <c r="I287" s="938">
        <v>3</v>
      </c>
      <c r="J287" s="938">
        <v>14</v>
      </c>
      <c r="K287" s="938">
        <v>0.17</v>
      </c>
      <c r="L287" s="938">
        <v>0.17</v>
      </c>
      <c r="M287" s="938">
        <v>300</v>
      </c>
      <c r="N287" s="938">
        <v>0.46</v>
      </c>
      <c r="O287" s="938">
        <v>2</v>
      </c>
      <c r="P287" s="938">
        <v>0</v>
      </c>
      <c r="Q287" s="938">
        <v>150</v>
      </c>
      <c r="R287" s="938">
        <v>30</v>
      </c>
      <c r="S287" s="938">
        <v>15</v>
      </c>
      <c r="T287" s="938">
        <v>15</v>
      </c>
      <c r="U287" s="938">
        <v>0</v>
      </c>
      <c r="V287" s="938">
        <v>1</v>
      </c>
      <c r="W287" s="776">
        <f>IF(Kulturen[[#This Row],[Berechnungsschema]]=13,3,IF(Kulturen[[#This Row],[Berechnungsschema]]=6,2,1))</f>
        <v>1</v>
      </c>
      <c r="X287" s="776">
        <f>IF(Kulturen[[#This Row],[fruchtartengruppe]]=13,Kulturen[[#This Row],[NBedarfswert]],MAX(0,Kulturen[[#This Row],[NBedarfswert]]-Kulturen[[#This Row],[Ertrag]]*Kulturen[[#This Row],[Nfix]]))</f>
        <v>12</v>
      </c>
      <c r="Y287" s="776" t="s">
        <v>2127</v>
      </c>
      <c r="Z287" s="776" t="s">
        <v>2127</v>
      </c>
      <c r="AA287" s="776" t="s">
        <v>2127</v>
      </c>
      <c r="AB287" s="776" t="s">
        <v>2127</v>
      </c>
      <c r="AC287" s="776" t="s">
        <v>2127</v>
      </c>
      <c r="AD287" s="776" t="s">
        <v>2127</v>
      </c>
      <c r="AE287" s="776" t="s">
        <v>2127</v>
      </c>
      <c r="AF287" s="776" t="s">
        <v>2127</v>
      </c>
      <c r="AG287" s="776" t="s">
        <v>2127</v>
      </c>
      <c r="AH287" s="776" t="s">
        <v>2127</v>
      </c>
      <c r="AI287" s="776" t="s">
        <v>2127</v>
      </c>
      <c r="AJ287" s="776" t="s">
        <v>2127</v>
      </c>
      <c r="AK287" s="776" t="s">
        <v>2127</v>
      </c>
      <c r="AL287" s="776" t="s">
        <v>2127</v>
      </c>
      <c r="AM287" s="776" t="s">
        <v>2127</v>
      </c>
      <c r="AN287" s="776" t="s">
        <v>2127</v>
      </c>
      <c r="AO287" s="776" t="s">
        <v>2127</v>
      </c>
      <c r="AP287" s="776" t="s">
        <v>2127</v>
      </c>
      <c r="AQ287" s="776" t="s">
        <v>2127</v>
      </c>
      <c r="AR287" s="776" t="s">
        <v>2127</v>
      </c>
      <c r="AS287" s="776" t="s">
        <v>2127</v>
      </c>
      <c r="AT287" s="776" t="s">
        <v>2127</v>
      </c>
      <c r="AU287" s="776" t="s">
        <v>2127</v>
      </c>
      <c r="AV287" s="776" t="s">
        <v>2127</v>
      </c>
      <c r="AW287" s="776" t="s">
        <v>2127</v>
      </c>
      <c r="AX287" s="776" t="s">
        <v>2127</v>
      </c>
      <c r="AY287" s="776" t="s">
        <v>2127</v>
      </c>
      <c r="AZ287" s="776" t="s">
        <v>2127</v>
      </c>
      <c r="BA287" s="776" t="s">
        <v>2127</v>
      </c>
      <c r="BB287" s="776" t="s">
        <v>2127</v>
      </c>
      <c r="BC287" s="776" t="s">
        <v>2127</v>
      </c>
      <c r="BD287" s="776" t="s">
        <v>2127</v>
      </c>
      <c r="BE287" s="776" t="s">
        <v>2127</v>
      </c>
      <c r="BF287" s="776" t="s">
        <v>2127</v>
      </c>
      <c r="BG287" s="776" t="s">
        <v>2127</v>
      </c>
      <c r="BH287" s="776" t="s">
        <v>2127</v>
      </c>
      <c r="BI287" s="776" t="s">
        <v>2127</v>
      </c>
      <c r="BJ287" s="776" t="s">
        <v>2127</v>
      </c>
      <c r="BK287" s="776" t="s">
        <v>2127</v>
      </c>
      <c r="BL287" s="776" t="s">
        <v>2127</v>
      </c>
      <c r="BM287" s="776" t="s">
        <v>2127</v>
      </c>
      <c r="BN287" s="776" t="s">
        <v>2127</v>
      </c>
      <c r="BO287" s="776" t="s">
        <v>2127</v>
      </c>
      <c r="BP287" s="776" t="s">
        <v>2127</v>
      </c>
      <c r="BQ287" s="776" t="s">
        <v>2127</v>
      </c>
      <c r="BR287" s="776" t="s">
        <v>2127</v>
      </c>
      <c r="BS287" s="776" t="s">
        <v>2127</v>
      </c>
      <c r="BT287" s="776" t="s">
        <v>2127</v>
      </c>
      <c r="BU287" s="776" t="s">
        <v>2127</v>
      </c>
      <c r="BV287" s="776" t="s">
        <v>2127</v>
      </c>
      <c r="BW287" s="776" t="s">
        <v>2127</v>
      </c>
      <c r="BX287" s="776" t="s">
        <v>2127</v>
      </c>
      <c r="BY287" s="776" t="s">
        <v>2127</v>
      </c>
      <c r="BZ287" s="776" t="s">
        <v>2127</v>
      </c>
      <c r="CA287" s="776" t="s">
        <v>2127</v>
      </c>
      <c r="CB287" s="776" t="s">
        <v>2127</v>
      </c>
      <c r="CC287" s="776" t="s">
        <v>2127</v>
      </c>
      <c r="CD287" s="776" t="s">
        <v>2127</v>
      </c>
      <c r="CE287" s="776" t="s">
        <v>2127</v>
      </c>
      <c r="CF287" s="776" t="s">
        <v>2127</v>
      </c>
      <c r="CG287" s="776" t="s">
        <v>2127</v>
      </c>
      <c r="CH287" s="776" t="s">
        <v>2127</v>
      </c>
      <c r="CI287" s="776" t="s">
        <v>2127</v>
      </c>
      <c r="CJ287" s="776" t="s">
        <v>2127</v>
      </c>
      <c r="CK287" s="776" t="s">
        <v>2127</v>
      </c>
      <c r="CL287" s="776" t="s">
        <v>2127</v>
      </c>
      <c r="CM287" s="776" t="s">
        <v>2127</v>
      </c>
      <c r="CN287" s="776" t="s">
        <v>2127</v>
      </c>
      <c r="CO287" s="776" t="s">
        <v>2127</v>
      </c>
      <c r="CP287" s="776" t="s">
        <v>2127</v>
      </c>
      <c r="CQ287" s="776" t="s">
        <v>2127</v>
      </c>
      <c r="CR287" s="776" t="s">
        <v>2127</v>
      </c>
      <c r="CS287" s="776" t="s">
        <v>2127</v>
      </c>
      <c r="CT287" s="776" t="s">
        <v>2127</v>
      </c>
      <c r="CU287" s="776" t="s">
        <v>2127</v>
      </c>
      <c r="CV287" s="776" t="s">
        <v>2127</v>
      </c>
      <c r="CW287" s="776" t="s">
        <v>2127</v>
      </c>
      <c r="CX287" s="776" t="s">
        <v>2127</v>
      </c>
      <c r="CY287" s="776" t="s">
        <v>2127</v>
      </c>
      <c r="CZ287" s="776" t="s">
        <v>2127</v>
      </c>
      <c r="DA287" s="776" t="s">
        <v>2127</v>
      </c>
      <c r="DB287" s="776" t="s">
        <v>2127</v>
      </c>
      <c r="DC287" s="776" t="s">
        <v>2127</v>
      </c>
      <c r="DD287" s="776" t="s">
        <v>2127</v>
      </c>
      <c r="DE287" s="776" t="s">
        <v>2127</v>
      </c>
      <c r="DF287" s="776" t="s">
        <v>2127</v>
      </c>
      <c r="DG287" s="776" t="s">
        <v>2127</v>
      </c>
      <c r="DH287" s="776" t="s">
        <v>2127</v>
      </c>
      <c r="DI287" s="776" t="s">
        <v>2127</v>
      </c>
      <c r="DJ287" s="776" t="s">
        <v>2127</v>
      </c>
      <c r="DK287" s="776" t="s">
        <v>2127</v>
      </c>
      <c r="DL287" s="776" t="s">
        <v>2127</v>
      </c>
      <c r="DM287" s="776" t="s">
        <v>2127</v>
      </c>
      <c r="DN287" s="776" t="s">
        <v>2127</v>
      </c>
      <c r="DO287" s="776" t="s">
        <v>2127</v>
      </c>
      <c r="DP287" s="776" t="s">
        <v>2127</v>
      </c>
    </row>
    <row r="288" spans="1:120" x14ac:dyDescent="0.2">
      <c r="A288" s="637" t="s">
        <v>2311</v>
      </c>
      <c r="B288" s="772" t="str" cm="1">
        <f t="array" ref="B288">IFERROR(INDEX(Kulturen[HF],_xlfn.AGGREGATE(15,6,(ROW(Kulturen[Auswahl])-7)/(--(SEARCH("x",Kulturen[Auswahl])&gt;0)),ROW()-7),1),"")</f>
        <v>Kapuzinerkresse (Blühendes Kraut)</v>
      </c>
      <c r="C288" s="772" t="str">
        <f>IF(Kulturen[[#This Row],[HF]]=$D$373,IF($C$6=0,0,"x"),IF($C$6=0,"x",Vorauswahl!C287))</f>
        <v>x</v>
      </c>
      <c r="D288" s="938" t="s">
        <v>2032</v>
      </c>
      <c r="E288" s="938" t="s">
        <v>2032</v>
      </c>
      <c r="F288" s="938" t="s">
        <v>951</v>
      </c>
      <c r="G288" s="938">
        <v>14</v>
      </c>
      <c r="H288" s="938">
        <v>8</v>
      </c>
      <c r="I288" s="938">
        <v>3</v>
      </c>
      <c r="J288" s="938">
        <v>14</v>
      </c>
      <c r="K288" s="938">
        <v>0.26</v>
      </c>
      <c r="L288" s="938">
        <v>0.26</v>
      </c>
      <c r="M288" s="938">
        <v>150</v>
      </c>
      <c r="N288" s="938">
        <v>0</v>
      </c>
      <c r="O288" s="938">
        <v>2</v>
      </c>
      <c r="P288" s="938">
        <v>0</v>
      </c>
      <c r="Q288" s="938">
        <v>120</v>
      </c>
      <c r="R288" s="938">
        <v>15</v>
      </c>
      <c r="S288" s="938">
        <v>12</v>
      </c>
      <c r="T288" s="938">
        <v>12</v>
      </c>
      <c r="U288" s="938">
        <v>0</v>
      </c>
      <c r="V288" s="938">
        <v>1</v>
      </c>
      <c r="W288" s="776">
        <f>IF(Kulturen[[#This Row],[Berechnungsschema]]=13,3,IF(Kulturen[[#This Row],[Berechnungsschema]]=6,2,1))</f>
        <v>1</v>
      </c>
      <c r="X288" s="776">
        <f>IF(Kulturen[[#This Row],[fruchtartengruppe]]=13,Kulturen[[#This Row],[NBedarfswert]],MAX(0,Kulturen[[#This Row],[NBedarfswert]]-Kulturen[[#This Row],[Ertrag]]*Kulturen[[#This Row],[Nfix]]))</f>
        <v>120</v>
      </c>
      <c r="Y288" s="776" t="s">
        <v>2127</v>
      </c>
      <c r="Z288" s="776" t="s">
        <v>2127</v>
      </c>
      <c r="AA288" s="776" t="s">
        <v>2127</v>
      </c>
      <c r="AB288" s="776" t="s">
        <v>2127</v>
      </c>
      <c r="AC288" s="776" t="s">
        <v>2127</v>
      </c>
      <c r="AD288" s="776" t="s">
        <v>2127</v>
      </c>
      <c r="AE288" s="776" t="s">
        <v>2127</v>
      </c>
      <c r="AF288" s="776" t="s">
        <v>2127</v>
      </c>
      <c r="AG288" s="776" t="s">
        <v>2127</v>
      </c>
      <c r="AH288" s="776" t="s">
        <v>2127</v>
      </c>
      <c r="AI288" s="776" t="s">
        <v>2127</v>
      </c>
      <c r="AJ288" s="776" t="s">
        <v>2127</v>
      </c>
      <c r="AK288" s="776" t="s">
        <v>2127</v>
      </c>
      <c r="AL288" s="776" t="s">
        <v>2127</v>
      </c>
      <c r="AM288" s="776" t="s">
        <v>2127</v>
      </c>
      <c r="AN288" s="776" t="s">
        <v>2127</v>
      </c>
      <c r="AO288" s="776" t="s">
        <v>2127</v>
      </c>
      <c r="AP288" s="776" t="s">
        <v>2127</v>
      </c>
      <c r="AQ288" s="776" t="s">
        <v>2127</v>
      </c>
      <c r="AR288" s="776" t="s">
        <v>2127</v>
      </c>
      <c r="AS288" s="776" t="s">
        <v>2127</v>
      </c>
      <c r="AT288" s="776" t="s">
        <v>2127</v>
      </c>
      <c r="AU288" s="776" t="s">
        <v>2127</v>
      </c>
      <c r="AV288" s="776" t="s">
        <v>2127</v>
      </c>
      <c r="AW288" s="776" t="s">
        <v>2127</v>
      </c>
      <c r="AX288" s="776" t="s">
        <v>2127</v>
      </c>
      <c r="AY288" s="776" t="s">
        <v>2127</v>
      </c>
      <c r="AZ288" s="776" t="s">
        <v>2127</v>
      </c>
      <c r="BA288" s="776" t="s">
        <v>2127</v>
      </c>
      <c r="BB288" s="776" t="s">
        <v>2127</v>
      </c>
      <c r="BC288" s="776" t="s">
        <v>2127</v>
      </c>
      <c r="BD288" s="776" t="s">
        <v>2127</v>
      </c>
      <c r="BE288" s="776" t="s">
        <v>2127</v>
      </c>
      <c r="BF288" s="776" t="s">
        <v>2127</v>
      </c>
      <c r="BG288" s="776" t="s">
        <v>2127</v>
      </c>
      <c r="BH288" s="776" t="s">
        <v>2127</v>
      </c>
      <c r="BI288" s="776" t="s">
        <v>2127</v>
      </c>
      <c r="BJ288" s="776" t="s">
        <v>2127</v>
      </c>
      <c r="BK288" s="776" t="s">
        <v>2127</v>
      </c>
      <c r="BL288" s="776" t="s">
        <v>2127</v>
      </c>
      <c r="BM288" s="776" t="s">
        <v>2127</v>
      </c>
      <c r="BN288" s="776" t="s">
        <v>2127</v>
      </c>
      <c r="BO288" s="776" t="s">
        <v>2127</v>
      </c>
      <c r="BP288" s="776" t="s">
        <v>2127</v>
      </c>
      <c r="BQ288" s="776" t="s">
        <v>2127</v>
      </c>
      <c r="BR288" s="776" t="s">
        <v>2127</v>
      </c>
      <c r="BS288" s="776" t="s">
        <v>2127</v>
      </c>
      <c r="BT288" s="776" t="s">
        <v>2127</v>
      </c>
      <c r="BU288" s="776" t="s">
        <v>2127</v>
      </c>
      <c r="BV288" s="776" t="s">
        <v>2127</v>
      </c>
      <c r="BW288" s="776" t="s">
        <v>2127</v>
      </c>
      <c r="BX288" s="776" t="s">
        <v>2127</v>
      </c>
      <c r="BY288" s="776" t="s">
        <v>2127</v>
      </c>
      <c r="BZ288" s="776" t="s">
        <v>2127</v>
      </c>
      <c r="CA288" s="776" t="s">
        <v>2127</v>
      </c>
      <c r="CB288" s="776" t="s">
        <v>2127</v>
      </c>
      <c r="CC288" s="776" t="s">
        <v>2127</v>
      </c>
      <c r="CD288" s="776" t="s">
        <v>2127</v>
      </c>
      <c r="CE288" s="776" t="s">
        <v>2127</v>
      </c>
      <c r="CF288" s="776" t="s">
        <v>2127</v>
      </c>
      <c r="CG288" s="776" t="s">
        <v>2127</v>
      </c>
      <c r="CH288" s="776" t="s">
        <v>2127</v>
      </c>
      <c r="CI288" s="776" t="s">
        <v>2127</v>
      </c>
      <c r="CJ288" s="776" t="s">
        <v>2127</v>
      </c>
      <c r="CK288" s="776" t="s">
        <v>2127</v>
      </c>
      <c r="CL288" s="776" t="s">
        <v>2127</v>
      </c>
      <c r="CM288" s="776" t="s">
        <v>2127</v>
      </c>
      <c r="CN288" s="776" t="s">
        <v>2127</v>
      </c>
      <c r="CO288" s="776" t="s">
        <v>2127</v>
      </c>
      <c r="CP288" s="776" t="s">
        <v>2127</v>
      </c>
      <c r="CQ288" s="776" t="s">
        <v>2127</v>
      </c>
      <c r="CR288" s="776" t="s">
        <v>2127</v>
      </c>
      <c r="CS288" s="776" t="s">
        <v>2127</v>
      </c>
      <c r="CT288" s="776" t="s">
        <v>2127</v>
      </c>
      <c r="CU288" s="776" t="s">
        <v>2127</v>
      </c>
      <c r="CV288" s="776" t="s">
        <v>2127</v>
      </c>
      <c r="CW288" s="776" t="s">
        <v>2127</v>
      </c>
      <c r="CX288" s="776" t="s">
        <v>2127</v>
      </c>
      <c r="CY288" s="776" t="s">
        <v>2127</v>
      </c>
      <c r="CZ288" s="776" t="s">
        <v>2127</v>
      </c>
      <c r="DA288" s="776" t="s">
        <v>2127</v>
      </c>
      <c r="DB288" s="776" t="s">
        <v>2127</v>
      </c>
      <c r="DC288" s="776" t="s">
        <v>2127</v>
      </c>
      <c r="DD288" s="776" t="s">
        <v>2127</v>
      </c>
      <c r="DE288" s="776" t="s">
        <v>2127</v>
      </c>
      <c r="DF288" s="776" t="s">
        <v>2127</v>
      </c>
      <c r="DG288" s="776" t="s">
        <v>2127</v>
      </c>
      <c r="DH288" s="776" t="s">
        <v>2127</v>
      </c>
      <c r="DI288" s="776" t="s">
        <v>2127</v>
      </c>
      <c r="DJ288" s="776" t="s">
        <v>2127</v>
      </c>
      <c r="DK288" s="776" t="s">
        <v>2127</v>
      </c>
      <c r="DL288" s="776" t="s">
        <v>2127</v>
      </c>
      <c r="DM288" s="776" t="s">
        <v>2127</v>
      </c>
      <c r="DN288" s="776" t="s">
        <v>2127</v>
      </c>
      <c r="DO288" s="776" t="s">
        <v>2127</v>
      </c>
      <c r="DP288" s="776" t="s">
        <v>2127</v>
      </c>
    </row>
    <row r="289" spans="1:120" x14ac:dyDescent="0.2">
      <c r="A289" s="637"/>
      <c r="B289" s="772" t="str" cm="1">
        <f t="array" ref="B289">IFERROR(INDEX(Kulturen[HF],_xlfn.AGGREGATE(15,6,(ROW(Kulturen[Auswahl])-7)/(--(SEARCH("x",Kulturen[Auswahl])&gt;0)),ROW()-7),1),"")</f>
        <v>Kerbel (Kraut)</v>
      </c>
      <c r="C289" s="772" t="str">
        <f>IF(Kulturen[[#This Row],[HF]]=$D$373,IF($C$6=0,0,"x"),IF($C$6=0,"x",Vorauswahl!C288))</f>
        <v>x</v>
      </c>
      <c r="D289" s="938" t="s">
        <v>2033</v>
      </c>
      <c r="E289" s="938" t="s">
        <v>2033</v>
      </c>
      <c r="F289" s="938" t="s">
        <v>1011</v>
      </c>
      <c r="G289" s="938">
        <v>14</v>
      </c>
      <c r="H289" s="938">
        <v>8</v>
      </c>
      <c r="I289" s="938">
        <v>3</v>
      </c>
      <c r="J289" s="938">
        <v>14</v>
      </c>
      <c r="K289" s="938">
        <v>0.1</v>
      </c>
      <c r="L289" s="938">
        <v>0.1</v>
      </c>
      <c r="M289" s="938">
        <v>100</v>
      </c>
      <c r="N289" s="938">
        <v>0</v>
      </c>
      <c r="O289" s="938">
        <v>2</v>
      </c>
      <c r="P289" s="938">
        <v>0</v>
      </c>
      <c r="Q289" s="938">
        <v>80</v>
      </c>
      <c r="R289" s="938">
        <v>10</v>
      </c>
      <c r="S289" s="938">
        <v>4</v>
      </c>
      <c r="T289" s="938">
        <v>4</v>
      </c>
      <c r="U289" s="938">
        <v>0</v>
      </c>
      <c r="V289" s="938">
        <v>1</v>
      </c>
      <c r="W289" s="776">
        <f>IF(Kulturen[[#This Row],[Berechnungsschema]]=13,3,IF(Kulturen[[#This Row],[Berechnungsschema]]=6,2,1))</f>
        <v>1</v>
      </c>
      <c r="X289" s="776">
        <f>IF(Kulturen[[#This Row],[fruchtartengruppe]]=13,Kulturen[[#This Row],[NBedarfswert]],MAX(0,Kulturen[[#This Row],[NBedarfswert]]-Kulturen[[#This Row],[Ertrag]]*Kulturen[[#This Row],[Nfix]]))</f>
        <v>80</v>
      </c>
      <c r="Y289" s="776" t="s">
        <v>2127</v>
      </c>
      <c r="Z289" s="776" t="s">
        <v>2127</v>
      </c>
      <c r="AA289" s="776" t="s">
        <v>2127</v>
      </c>
      <c r="AB289" s="776" t="s">
        <v>2127</v>
      </c>
      <c r="AC289" s="776" t="s">
        <v>2127</v>
      </c>
      <c r="AD289" s="776" t="s">
        <v>2127</v>
      </c>
      <c r="AE289" s="776" t="s">
        <v>2127</v>
      </c>
      <c r="AF289" s="776" t="s">
        <v>2127</v>
      </c>
      <c r="AG289" s="776" t="s">
        <v>2127</v>
      </c>
      <c r="AH289" s="776" t="s">
        <v>2127</v>
      </c>
      <c r="AI289" s="776" t="s">
        <v>2127</v>
      </c>
      <c r="AJ289" s="776" t="s">
        <v>2127</v>
      </c>
      <c r="AK289" s="776" t="s">
        <v>2127</v>
      </c>
      <c r="AL289" s="776" t="s">
        <v>2127</v>
      </c>
      <c r="AM289" s="776" t="s">
        <v>2127</v>
      </c>
      <c r="AN289" s="776" t="s">
        <v>2127</v>
      </c>
      <c r="AO289" s="776" t="s">
        <v>2127</v>
      </c>
      <c r="AP289" s="776" t="s">
        <v>2127</v>
      </c>
      <c r="AQ289" s="776" t="s">
        <v>2127</v>
      </c>
      <c r="AR289" s="776" t="s">
        <v>2127</v>
      </c>
      <c r="AS289" s="776" t="s">
        <v>2127</v>
      </c>
      <c r="AT289" s="776" t="s">
        <v>2127</v>
      </c>
      <c r="AU289" s="776" t="s">
        <v>2127</v>
      </c>
      <c r="AV289" s="776" t="s">
        <v>2127</v>
      </c>
      <c r="AW289" s="776" t="s">
        <v>2127</v>
      </c>
      <c r="AX289" s="776" t="s">
        <v>2127</v>
      </c>
      <c r="AY289" s="776" t="s">
        <v>2127</v>
      </c>
      <c r="AZ289" s="776" t="s">
        <v>2127</v>
      </c>
      <c r="BA289" s="776" t="s">
        <v>2127</v>
      </c>
      <c r="BB289" s="776" t="s">
        <v>2127</v>
      </c>
      <c r="BC289" s="776" t="s">
        <v>2127</v>
      </c>
      <c r="BD289" s="776" t="s">
        <v>2127</v>
      </c>
      <c r="BE289" s="776" t="s">
        <v>2127</v>
      </c>
      <c r="BF289" s="776" t="s">
        <v>2127</v>
      </c>
      <c r="BG289" s="776" t="s">
        <v>2127</v>
      </c>
      <c r="BH289" s="776" t="s">
        <v>2127</v>
      </c>
      <c r="BI289" s="776" t="s">
        <v>2127</v>
      </c>
      <c r="BJ289" s="776" t="s">
        <v>2127</v>
      </c>
      <c r="BK289" s="776" t="s">
        <v>2127</v>
      </c>
      <c r="BL289" s="776" t="s">
        <v>2127</v>
      </c>
      <c r="BM289" s="776" t="s">
        <v>2127</v>
      </c>
      <c r="BN289" s="776" t="s">
        <v>2127</v>
      </c>
      <c r="BO289" s="776" t="s">
        <v>2127</v>
      </c>
      <c r="BP289" s="776" t="s">
        <v>2127</v>
      </c>
      <c r="BQ289" s="776" t="s">
        <v>2127</v>
      </c>
      <c r="BR289" s="776" t="s">
        <v>2127</v>
      </c>
      <c r="BS289" s="776" t="s">
        <v>2127</v>
      </c>
      <c r="BT289" s="776" t="s">
        <v>2127</v>
      </c>
      <c r="BU289" s="776" t="s">
        <v>2127</v>
      </c>
      <c r="BV289" s="776" t="s">
        <v>2127</v>
      </c>
      <c r="BW289" s="776" t="s">
        <v>2127</v>
      </c>
      <c r="BX289" s="776" t="s">
        <v>2127</v>
      </c>
      <c r="BY289" s="776" t="s">
        <v>2127</v>
      </c>
      <c r="BZ289" s="776" t="s">
        <v>2127</v>
      </c>
      <c r="CA289" s="776" t="s">
        <v>2127</v>
      </c>
      <c r="CB289" s="776" t="s">
        <v>2127</v>
      </c>
      <c r="CC289" s="776" t="s">
        <v>2127</v>
      </c>
      <c r="CD289" s="776" t="s">
        <v>2127</v>
      </c>
      <c r="CE289" s="776" t="s">
        <v>2127</v>
      </c>
      <c r="CF289" s="776" t="s">
        <v>2127</v>
      </c>
      <c r="CG289" s="776" t="s">
        <v>2127</v>
      </c>
      <c r="CH289" s="776" t="s">
        <v>2127</v>
      </c>
      <c r="CI289" s="776" t="s">
        <v>2127</v>
      </c>
      <c r="CJ289" s="776" t="s">
        <v>2127</v>
      </c>
      <c r="CK289" s="776" t="s">
        <v>2127</v>
      </c>
      <c r="CL289" s="776" t="s">
        <v>2127</v>
      </c>
      <c r="CM289" s="776" t="s">
        <v>2127</v>
      </c>
      <c r="CN289" s="776" t="s">
        <v>2127</v>
      </c>
      <c r="CO289" s="776" t="s">
        <v>2127</v>
      </c>
      <c r="CP289" s="776" t="s">
        <v>2127</v>
      </c>
      <c r="CQ289" s="776" t="s">
        <v>2127</v>
      </c>
      <c r="CR289" s="776" t="s">
        <v>2127</v>
      </c>
      <c r="CS289" s="776" t="s">
        <v>2127</v>
      </c>
      <c r="CT289" s="776" t="s">
        <v>2127</v>
      </c>
      <c r="CU289" s="776" t="s">
        <v>2127</v>
      </c>
      <c r="CV289" s="776" t="s">
        <v>2127</v>
      </c>
      <c r="CW289" s="776" t="s">
        <v>2127</v>
      </c>
      <c r="CX289" s="776" t="s">
        <v>2127</v>
      </c>
      <c r="CY289" s="776" t="s">
        <v>2127</v>
      </c>
      <c r="CZ289" s="776" t="s">
        <v>2127</v>
      </c>
      <c r="DA289" s="776" t="s">
        <v>2127</v>
      </c>
      <c r="DB289" s="776" t="s">
        <v>2127</v>
      </c>
      <c r="DC289" s="776" t="s">
        <v>2127</v>
      </c>
      <c r="DD289" s="776" t="s">
        <v>2127</v>
      </c>
      <c r="DE289" s="776" t="s">
        <v>2127</v>
      </c>
      <c r="DF289" s="776" t="s">
        <v>2127</v>
      </c>
      <c r="DG289" s="776" t="s">
        <v>2127</v>
      </c>
      <c r="DH289" s="776" t="s">
        <v>2127</v>
      </c>
      <c r="DI289" s="776" t="s">
        <v>2127</v>
      </c>
      <c r="DJ289" s="776" t="s">
        <v>2127</v>
      </c>
      <c r="DK289" s="776" t="s">
        <v>2127</v>
      </c>
      <c r="DL289" s="776" t="s">
        <v>2127</v>
      </c>
      <c r="DM289" s="776" t="s">
        <v>2127</v>
      </c>
      <c r="DN289" s="776" t="s">
        <v>2127</v>
      </c>
      <c r="DO289" s="776" t="s">
        <v>2127</v>
      </c>
      <c r="DP289" s="776" t="s">
        <v>2127</v>
      </c>
    </row>
    <row r="290" spans="1:120" x14ac:dyDescent="0.2">
      <c r="A290" s="637"/>
      <c r="B290" s="772" t="str" cm="1">
        <f t="array" ref="B290">IFERROR(INDEX(Kulturen[HF],_xlfn.AGGREGATE(15,6,(ROW(Kulturen[Auswahl])-7)/(--(SEARCH("x",Kulturen[Auswahl])&gt;0)),ROW()-7),1),"")</f>
        <v>Koriander (Kraut)</v>
      </c>
      <c r="C290" s="772" t="str">
        <f>IF(Kulturen[[#This Row],[HF]]=$D$373,IF($C$6=0,0,"x"),IF($C$6=0,"x",Vorauswahl!C289))</f>
        <v>x</v>
      </c>
      <c r="D290" s="938" t="s">
        <v>2034</v>
      </c>
      <c r="E290" s="938" t="s">
        <v>2034</v>
      </c>
      <c r="F290" s="938" t="s">
        <v>2035</v>
      </c>
      <c r="G290" s="938">
        <v>14</v>
      </c>
      <c r="H290" s="938">
        <v>8</v>
      </c>
      <c r="I290" s="938">
        <v>3</v>
      </c>
      <c r="J290" s="938">
        <v>14</v>
      </c>
      <c r="K290" s="938">
        <v>0.2</v>
      </c>
      <c r="L290" s="938">
        <v>0.2</v>
      </c>
      <c r="M290" s="938">
        <v>55</v>
      </c>
      <c r="N290" s="938">
        <v>0</v>
      </c>
      <c r="O290" s="938">
        <v>2</v>
      </c>
      <c r="P290" s="938">
        <v>0</v>
      </c>
      <c r="Q290" s="938">
        <v>75</v>
      </c>
      <c r="R290" s="938">
        <v>6</v>
      </c>
      <c r="S290" s="938">
        <v>4</v>
      </c>
      <c r="T290" s="938">
        <v>4</v>
      </c>
      <c r="U290" s="938">
        <v>0</v>
      </c>
      <c r="V290" s="938">
        <v>1</v>
      </c>
      <c r="W290" s="776">
        <f>IF(Kulturen[[#This Row],[Berechnungsschema]]=13,3,IF(Kulturen[[#This Row],[Berechnungsschema]]=6,2,1))</f>
        <v>1</v>
      </c>
      <c r="X290" s="776">
        <f>IF(Kulturen[[#This Row],[fruchtartengruppe]]=13,Kulturen[[#This Row],[NBedarfswert]],MAX(0,Kulturen[[#This Row],[NBedarfswert]]-Kulturen[[#This Row],[Ertrag]]*Kulturen[[#This Row],[Nfix]]))</f>
        <v>75</v>
      </c>
      <c r="Y290" s="776" t="s">
        <v>2127</v>
      </c>
      <c r="Z290" s="776" t="s">
        <v>2127</v>
      </c>
      <c r="AA290" s="776" t="s">
        <v>2127</v>
      </c>
      <c r="AB290" s="776" t="s">
        <v>2127</v>
      </c>
      <c r="AC290" s="776" t="s">
        <v>2127</v>
      </c>
      <c r="AD290" s="776" t="s">
        <v>2127</v>
      </c>
      <c r="AE290" s="776" t="s">
        <v>2127</v>
      </c>
      <c r="AF290" s="776" t="s">
        <v>2127</v>
      </c>
      <c r="AG290" s="776" t="s">
        <v>2127</v>
      </c>
      <c r="AH290" s="776" t="s">
        <v>2127</v>
      </c>
      <c r="AI290" s="776" t="s">
        <v>2127</v>
      </c>
      <c r="AJ290" s="776" t="s">
        <v>2127</v>
      </c>
      <c r="AK290" s="776" t="s">
        <v>2127</v>
      </c>
      <c r="AL290" s="776" t="s">
        <v>2127</v>
      </c>
      <c r="AM290" s="776" t="s">
        <v>2127</v>
      </c>
      <c r="AN290" s="776" t="s">
        <v>2127</v>
      </c>
      <c r="AO290" s="776" t="s">
        <v>2127</v>
      </c>
      <c r="AP290" s="776" t="s">
        <v>2127</v>
      </c>
      <c r="AQ290" s="776" t="s">
        <v>2127</v>
      </c>
      <c r="AR290" s="776" t="s">
        <v>2127</v>
      </c>
      <c r="AS290" s="776" t="s">
        <v>2127</v>
      </c>
      <c r="AT290" s="776" t="s">
        <v>2127</v>
      </c>
      <c r="AU290" s="776" t="s">
        <v>2127</v>
      </c>
      <c r="AV290" s="776" t="s">
        <v>2127</v>
      </c>
      <c r="AW290" s="776" t="s">
        <v>2127</v>
      </c>
      <c r="AX290" s="776" t="s">
        <v>2127</v>
      </c>
      <c r="AY290" s="776" t="s">
        <v>2127</v>
      </c>
      <c r="AZ290" s="776" t="s">
        <v>2127</v>
      </c>
      <c r="BA290" s="776" t="s">
        <v>2127</v>
      </c>
      <c r="BB290" s="776" t="s">
        <v>2127</v>
      </c>
      <c r="BC290" s="776" t="s">
        <v>2127</v>
      </c>
      <c r="BD290" s="776" t="s">
        <v>2127</v>
      </c>
      <c r="BE290" s="776" t="s">
        <v>2127</v>
      </c>
      <c r="BF290" s="776" t="s">
        <v>2127</v>
      </c>
      <c r="BG290" s="776" t="s">
        <v>2127</v>
      </c>
      <c r="BH290" s="776" t="s">
        <v>2127</v>
      </c>
      <c r="BI290" s="776" t="s">
        <v>2127</v>
      </c>
      <c r="BJ290" s="776" t="s">
        <v>2127</v>
      </c>
      <c r="BK290" s="776" t="s">
        <v>2127</v>
      </c>
      <c r="BL290" s="776" t="s">
        <v>2127</v>
      </c>
      <c r="BM290" s="776" t="s">
        <v>2127</v>
      </c>
      <c r="BN290" s="776" t="s">
        <v>2127</v>
      </c>
      <c r="BO290" s="776" t="s">
        <v>2127</v>
      </c>
      <c r="BP290" s="776" t="s">
        <v>2127</v>
      </c>
      <c r="BQ290" s="776" t="s">
        <v>2127</v>
      </c>
      <c r="BR290" s="776" t="s">
        <v>2127</v>
      </c>
      <c r="BS290" s="776" t="s">
        <v>2127</v>
      </c>
      <c r="BT290" s="776" t="s">
        <v>2127</v>
      </c>
      <c r="BU290" s="776" t="s">
        <v>2127</v>
      </c>
      <c r="BV290" s="776" t="s">
        <v>2127</v>
      </c>
      <c r="BW290" s="776" t="s">
        <v>2127</v>
      </c>
      <c r="BX290" s="776" t="s">
        <v>2127</v>
      </c>
      <c r="BY290" s="776" t="s">
        <v>2127</v>
      </c>
      <c r="BZ290" s="776" t="s">
        <v>2127</v>
      </c>
      <c r="CA290" s="776" t="s">
        <v>2127</v>
      </c>
      <c r="CB290" s="776" t="s">
        <v>2127</v>
      </c>
      <c r="CC290" s="776" t="s">
        <v>2127</v>
      </c>
      <c r="CD290" s="776" t="s">
        <v>2127</v>
      </c>
      <c r="CE290" s="776" t="s">
        <v>2127</v>
      </c>
      <c r="CF290" s="776" t="s">
        <v>2127</v>
      </c>
      <c r="CG290" s="776" t="s">
        <v>2127</v>
      </c>
      <c r="CH290" s="776" t="s">
        <v>2127</v>
      </c>
      <c r="CI290" s="776" t="s">
        <v>2127</v>
      </c>
      <c r="CJ290" s="776" t="s">
        <v>2127</v>
      </c>
      <c r="CK290" s="776" t="s">
        <v>2127</v>
      </c>
      <c r="CL290" s="776" t="s">
        <v>2127</v>
      </c>
      <c r="CM290" s="776" t="s">
        <v>2127</v>
      </c>
      <c r="CN290" s="776" t="s">
        <v>2127</v>
      </c>
      <c r="CO290" s="776" t="s">
        <v>2127</v>
      </c>
      <c r="CP290" s="776" t="s">
        <v>2127</v>
      </c>
      <c r="CQ290" s="776" t="s">
        <v>2127</v>
      </c>
      <c r="CR290" s="776" t="s">
        <v>2127</v>
      </c>
      <c r="CS290" s="776" t="s">
        <v>2127</v>
      </c>
      <c r="CT290" s="776" t="s">
        <v>2127</v>
      </c>
      <c r="CU290" s="776" t="s">
        <v>2127</v>
      </c>
      <c r="CV290" s="776" t="s">
        <v>2127</v>
      </c>
      <c r="CW290" s="776" t="s">
        <v>2127</v>
      </c>
      <c r="CX290" s="776" t="s">
        <v>2127</v>
      </c>
      <c r="CY290" s="776" t="s">
        <v>2127</v>
      </c>
      <c r="CZ290" s="776" t="s">
        <v>2127</v>
      </c>
      <c r="DA290" s="776" t="s">
        <v>2127</v>
      </c>
      <c r="DB290" s="776" t="s">
        <v>2127</v>
      </c>
      <c r="DC290" s="776" t="s">
        <v>2127</v>
      </c>
      <c r="DD290" s="776" t="s">
        <v>2127</v>
      </c>
      <c r="DE290" s="776" t="s">
        <v>2127</v>
      </c>
      <c r="DF290" s="776" t="s">
        <v>2127</v>
      </c>
      <c r="DG290" s="776" t="s">
        <v>2127</v>
      </c>
      <c r="DH290" s="776" t="s">
        <v>2127</v>
      </c>
      <c r="DI290" s="776" t="s">
        <v>2127</v>
      </c>
      <c r="DJ290" s="776" t="s">
        <v>2127</v>
      </c>
      <c r="DK290" s="776" t="s">
        <v>2127</v>
      </c>
      <c r="DL290" s="776" t="s">
        <v>2127</v>
      </c>
      <c r="DM290" s="776" t="s">
        <v>2127</v>
      </c>
      <c r="DN290" s="776" t="s">
        <v>2127</v>
      </c>
      <c r="DO290" s="776" t="s">
        <v>2127</v>
      </c>
      <c r="DP290" s="776" t="s">
        <v>2127</v>
      </c>
    </row>
    <row r="291" spans="1:120" x14ac:dyDescent="0.2">
      <c r="A291" s="637"/>
      <c r="B291" s="772" t="str" cm="1">
        <f t="array" ref="B291">IFERROR(INDEX(Kulturen[HF],_xlfn.AGGREGATE(15,6,(ROW(Kulturen[Auswahl])-7)/(--(SEARCH("x",Kulturen[Auswahl])&gt;0)),ROW()-7),1),"")</f>
        <v>Koriander (Samen)</v>
      </c>
      <c r="C291" s="772" t="str">
        <f>IF(Kulturen[[#This Row],[HF]]=$D$373,IF($C$6=0,0,"x"),IF($C$6=0,"x",Vorauswahl!C290))</f>
        <v>x</v>
      </c>
      <c r="D291" s="938" t="s">
        <v>2036</v>
      </c>
      <c r="E291" s="938" t="s">
        <v>2036</v>
      </c>
      <c r="F291" s="938" t="s">
        <v>2037</v>
      </c>
      <c r="G291" s="938">
        <v>14</v>
      </c>
      <c r="H291" s="938">
        <v>8</v>
      </c>
      <c r="I291" s="938">
        <v>1</v>
      </c>
      <c r="J291" s="938">
        <v>14</v>
      </c>
      <c r="K291" s="938">
        <v>0.24</v>
      </c>
      <c r="L291" s="938">
        <v>0.24</v>
      </c>
      <c r="M291" s="938">
        <v>6</v>
      </c>
      <c r="N291" s="938">
        <v>0</v>
      </c>
      <c r="O291" s="938">
        <v>1</v>
      </c>
      <c r="P291" s="938">
        <v>0</v>
      </c>
      <c r="Q291" s="938">
        <v>25</v>
      </c>
      <c r="R291" s="938">
        <v>1</v>
      </c>
      <c r="S291" s="938">
        <v>1</v>
      </c>
      <c r="T291" s="938">
        <v>1</v>
      </c>
      <c r="U291" s="938">
        <v>0</v>
      </c>
      <c r="V291" s="938">
        <v>1</v>
      </c>
      <c r="W291" s="776">
        <f>IF(Kulturen[[#This Row],[Berechnungsschema]]=13,3,IF(Kulturen[[#This Row],[Berechnungsschema]]=6,2,1))</f>
        <v>1</v>
      </c>
      <c r="X291" s="776">
        <f>IF(Kulturen[[#This Row],[fruchtartengruppe]]=13,Kulturen[[#This Row],[NBedarfswert]],MAX(0,Kulturen[[#This Row],[NBedarfswert]]-Kulturen[[#This Row],[Ertrag]]*Kulturen[[#This Row],[Nfix]]))</f>
        <v>25</v>
      </c>
      <c r="Y291" s="776" t="s">
        <v>2127</v>
      </c>
      <c r="Z291" s="776" t="s">
        <v>2127</v>
      </c>
      <c r="AA291" s="776" t="s">
        <v>2127</v>
      </c>
      <c r="AB291" s="776" t="s">
        <v>2127</v>
      </c>
      <c r="AC291" s="776" t="s">
        <v>2127</v>
      </c>
      <c r="AD291" s="776" t="s">
        <v>2127</v>
      </c>
      <c r="AE291" s="776" t="s">
        <v>2127</v>
      </c>
      <c r="AF291" s="776" t="s">
        <v>2127</v>
      </c>
      <c r="AG291" s="776" t="s">
        <v>2127</v>
      </c>
      <c r="AH291" s="776" t="s">
        <v>2127</v>
      </c>
      <c r="AI291" s="776" t="s">
        <v>2127</v>
      </c>
      <c r="AJ291" s="776" t="s">
        <v>2127</v>
      </c>
      <c r="AK291" s="776" t="s">
        <v>2127</v>
      </c>
      <c r="AL291" s="776" t="s">
        <v>2127</v>
      </c>
      <c r="AM291" s="776" t="s">
        <v>2127</v>
      </c>
      <c r="AN291" s="776" t="s">
        <v>2127</v>
      </c>
      <c r="AO291" s="776" t="s">
        <v>2127</v>
      </c>
      <c r="AP291" s="776" t="s">
        <v>2127</v>
      </c>
      <c r="AQ291" s="776" t="s">
        <v>2127</v>
      </c>
      <c r="AR291" s="776" t="s">
        <v>2127</v>
      </c>
      <c r="AS291" s="776" t="s">
        <v>2127</v>
      </c>
      <c r="AT291" s="776" t="s">
        <v>2127</v>
      </c>
      <c r="AU291" s="776" t="s">
        <v>2127</v>
      </c>
      <c r="AV291" s="776" t="s">
        <v>2127</v>
      </c>
      <c r="AW291" s="776" t="s">
        <v>2127</v>
      </c>
      <c r="AX291" s="776" t="s">
        <v>2127</v>
      </c>
      <c r="AY291" s="776" t="s">
        <v>2127</v>
      </c>
      <c r="AZ291" s="776" t="s">
        <v>2127</v>
      </c>
      <c r="BA291" s="776" t="s">
        <v>2127</v>
      </c>
      <c r="BB291" s="776" t="s">
        <v>2127</v>
      </c>
      <c r="BC291" s="776" t="s">
        <v>2127</v>
      </c>
      <c r="BD291" s="776" t="s">
        <v>2127</v>
      </c>
      <c r="BE291" s="776" t="s">
        <v>2127</v>
      </c>
      <c r="BF291" s="776" t="s">
        <v>2127</v>
      </c>
      <c r="BG291" s="776" t="s">
        <v>2127</v>
      </c>
      <c r="BH291" s="776" t="s">
        <v>2127</v>
      </c>
      <c r="BI291" s="776" t="s">
        <v>2127</v>
      </c>
      <c r="BJ291" s="776" t="s">
        <v>2127</v>
      </c>
      <c r="BK291" s="776" t="s">
        <v>2127</v>
      </c>
      <c r="BL291" s="776" t="s">
        <v>2127</v>
      </c>
      <c r="BM291" s="776" t="s">
        <v>2127</v>
      </c>
      <c r="BN291" s="776" t="s">
        <v>2127</v>
      </c>
      <c r="BO291" s="776" t="s">
        <v>2127</v>
      </c>
      <c r="BP291" s="776" t="s">
        <v>2127</v>
      </c>
      <c r="BQ291" s="776" t="s">
        <v>2127</v>
      </c>
      <c r="BR291" s="776" t="s">
        <v>2127</v>
      </c>
      <c r="BS291" s="776" t="s">
        <v>2127</v>
      </c>
      <c r="BT291" s="776" t="s">
        <v>2127</v>
      </c>
      <c r="BU291" s="776" t="s">
        <v>2127</v>
      </c>
      <c r="BV291" s="776" t="s">
        <v>2127</v>
      </c>
      <c r="BW291" s="776" t="s">
        <v>2127</v>
      </c>
      <c r="BX291" s="776" t="s">
        <v>2127</v>
      </c>
      <c r="BY291" s="776" t="s">
        <v>2127</v>
      </c>
      <c r="BZ291" s="776" t="s">
        <v>2127</v>
      </c>
      <c r="CA291" s="776" t="s">
        <v>2127</v>
      </c>
      <c r="CB291" s="776" t="s">
        <v>2127</v>
      </c>
      <c r="CC291" s="776" t="s">
        <v>2127</v>
      </c>
      <c r="CD291" s="776" t="s">
        <v>2127</v>
      </c>
      <c r="CE291" s="776" t="s">
        <v>2127</v>
      </c>
      <c r="CF291" s="776" t="s">
        <v>2127</v>
      </c>
      <c r="CG291" s="776" t="s">
        <v>2127</v>
      </c>
      <c r="CH291" s="776" t="s">
        <v>2127</v>
      </c>
      <c r="CI291" s="776" t="s">
        <v>2127</v>
      </c>
      <c r="CJ291" s="776" t="s">
        <v>2127</v>
      </c>
      <c r="CK291" s="776" t="s">
        <v>2127</v>
      </c>
      <c r="CL291" s="776" t="s">
        <v>2127</v>
      </c>
      <c r="CM291" s="776" t="s">
        <v>2127</v>
      </c>
      <c r="CN291" s="776" t="s">
        <v>2127</v>
      </c>
      <c r="CO291" s="776" t="s">
        <v>2127</v>
      </c>
      <c r="CP291" s="776" t="s">
        <v>2127</v>
      </c>
      <c r="CQ291" s="776" t="s">
        <v>2127</v>
      </c>
      <c r="CR291" s="776" t="s">
        <v>2127</v>
      </c>
      <c r="CS291" s="776" t="s">
        <v>2127</v>
      </c>
      <c r="CT291" s="776" t="s">
        <v>2127</v>
      </c>
      <c r="CU291" s="776" t="s">
        <v>2127</v>
      </c>
      <c r="CV291" s="776" t="s">
        <v>2127</v>
      </c>
      <c r="CW291" s="776" t="s">
        <v>2127</v>
      </c>
      <c r="CX291" s="776" t="s">
        <v>2127</v>
      </c>
      <c r="CY291" s="776" t="s">
        <v>2127</v>
      </c>
      <c r="CZ291" s="776" t="s">
        <v>2127</v>
      </c>
      <c r="DA291" s="776" t="s">
        <v>2127</v>
      </c>
      <c r="DB291" s="776" t="s">
        <v>2127</v>
      </c>
      <c r="DC291" s="776" t="s">
        <v>2127</v>
      </c>
      <c r="DD291" s="776" t="s">
        <v>2127</v>
      </c>
      <c r="DE291" s="776" t="s">
        <v>2127</v>
      </c>
      <c r="DF291" s="776" t="s">
        <v>2127</v>
      </c>
      <c r="DG291" s="776" t="s">
        <v>2127</v>
      </c>
      <c r="DH291" s="776" t="s">
        <v>2127</v>
      </c>
      <c r="DI291" s="776" t="s">
        <v>2127</v>
      </c>
      <c r="DJ291" s="776" t="s">
        <v>2127</v>
      </c>
      <c r="DK291" s="776" t="s">
        <v>2127</v>
      </c>
      <c r="DL291" s="776" t="s">
        <v>2127</v>
      </c>
      <c r="DM291" s="776" t="s">
        <v>2127</v>
      </c>
      <c r="DN291" s="776" t="s">
        <v>2127</v>
      </c>
      <c r="DO291" s="776" t="s">
        <v>2127</v>
      </c>
      <c r="DP291" s="776" t="s">
        <v>2127</v>
      </c>
    </row>
    <row r="292" spans="1:120" x14ac:dyDescent="0.2">
      <c r="A292" s="637" t="s">
        <v>2312</v>
      </c>
      <c r="B292" s="772" t="str" cm="1">
        <f t="array" ref="B292">IFERROR(INDEX(Kulturen[HF],_xlfn.AGGREGATE(15,6,(ROW(Kulturen[Auswahl])-7)/(--(SEARCH("x",Kulturen[Auswahl])&gt;0)),ROW()-7),1),"")</f>
        <v>Kornblume (Blühendes Kraut)</v>
      </c>
      <c r="C292" s="772" t="str">
        <f>IF(Kulturen[[#This Row],[HF]]=$D$373,IF($C$6=0,0,"x"),IF($C$6=0,"x",Vorauswahl!C291))</f>
        <v>x</v>
      </c>
      <c r="D292" s="938" t="s">
        <v>818</v>
      </c>
      <c r="E292" s="938" t="s">
        <v>818</v>
      </c>
      <c r="F292" s="938" t="s">
        <v>952</v>
      </c>
      <c r="G292" s="938">
        <v>14</v>
      </c>
      <c r="H292" s="938">
        <v>8</v>
      </c>
      <c r="I292" s="938">
        <v>3</v>
      </c>
      <c r="J292" s="938">
        <v>14</v>
      </c>
      <c r="K292" s="938">
        <v>0.21</v>
      </c>
      <c r="L292" s="938">
        <v>0.21</v>
      </c>
      <c r="M292" s="938">
        <v>210</v>
      </c>
      <c r="N292" s="938">
        <v>0</v>
      </c>
      <c r="O292" s="938">
        <v>1</v>
      </c>
      <c r="P292" s="938">
        <v>0</v>
      </c>
      <c r="Q292" s="938">
        <v>165</v>
      </c>
      <c r="R292" s="938">
        <v>21</v>
      </c>
      <c r="S292" s="938">
        <v>17</v>
      </c>
      <c r="T292" s="938">
        <v>17</v>
      </c>
      <c r="U292" s="938">
        <v>0</v>
      </c>
      <c r="V292" s="938">
        <v>1</v>
      </c>
      <c r="W292" s="776">
        <f>IF(Kulturen[[#This Row],[Berechnungsschema]]=13,3,IF(Kulturen[[#This Row],[Berechnungsschema]]=6,2,1))</f>
        <v>1</v>
      </c>
      <c r="X292" s="776">
        <f>IF(Kulturen[[#This Row],[fruchtartengruppe]]=13,Kulturen[[#This Row],[NBedarfswert]],MAX(0,Kulturen[[#This Row],[NBedarfswert]]-Kulturen[[#This Row],[Ertrag]]*Kulturen[[#This Row],[Nfix]]))</f>
        <v>165</v>
      </c>
      <c r="Y292" s="776" t="s">
        <v>2127</v>
      </c>
      <c r="Z292" s="776" t="s">
        <v>2127</v>
      </c>
      <c r="AA292" s="776" t="s">
        <v>2127</v>
      </c>
      <c r="AB292" s="776" t="s">
        <v>2127</v>
      </c>
      <c r="AC292" s="776" t="s">
        <v>2127</v>
      </c>
      <c r="AD292" s="776" t="s">
        <v>2127</v>
      </c>
      <c r="AE292" s="776" t="s">
        <v>2127</v>
      </c>
      <c r="AF292" s="776" t="s">
        <v>2127</v>
      </c>
      <c r="AG292" s="776" t="s">
        <v>2127</v>
      </c>
      <c r="AH292" s="776" t="s">
        <v>2127</v>
      </c>
      <c r="AI292" s="776" t="s">
        <v>2127</v>
      </c>
      <c r="AJ292" s="776" t="s">
        <v>2127</v>
      </c>
      <c r="AK292" s="776" t="s">
        <v>2127</v>
      </c>
      <c r="AL292" s="776" t="s">
        <v>2127</v>
      </c>
      <c r="AM292" s="776" t="s">
        <v>2127</v>
      </c>
      <c r="AN292" s="776" t="s">
        <v>2127</v>
      </c>
      <c r="AO292" s="776" t="s">
        <v>2127</v>
      </c>
      <c r="AP292" s="776" t="s">
        <v>2127</v>
      </c>
      <c r="AQ292" s="776" t="s">
        <v>2127</v>
      </c>
      <c r="AR292" s="776" t="s">
        <v>2127</v>
      </c>
      <c r="AS292" s="776" t="s">
        <v>2127</v>
      </c>
      <c r="AT292" s="776" t="s">
        <v>2127</v>
      </c>
      <c r="AU292" s="776" t="s">
        <v>2127</v>
      </c>
      <c r="AV292" s="776" t="s">
        <v>2127</v>
      </c>
      <c r="AW292" s="776" t="s">
        <v>2127</v>
      </c>
      <c r="AX292" s="776" t="s">
        <v>2127</v>
      </c>
      <c r="AY292" s="776" t="s">
        <v>2127</v>
      </c>
      <c r="AZ292" s="776" t="s">
        <v>2127</v>
      </c>
      <c r="BA292" s="776" t="s">
        <v>2127</v>
      </c>
      <c r="BB292" s="776" t="s">
        <v>2127</v>
      </c>
      <c r="BC292" s="776" t="s">
        <v>2127</v>
      </c>
      <c r="BD292" s="776" t="s">
        <v>2127</v>
      </c>
      <c r="BE292" s="776" t="s">
        <v>2127</v>
      </c>
      <c r="BF292" s="776" t="s">
        <v>2127</v>
      </c>
      <c r="BG292" s="776" t="s">
        <v>2127</v>
      </c>
      <c r="BH292" s="776" t="s">
        <v>2127</v>
      </c>
      <c r="BI292" s="776" t="s">
        <v>2127</v>
      </c>
      <c r="BJ292" s="776" t="s">
        <v>2127</v>
      </c>
      <c r="BK292" s="776" t="s">
        <v>2127</v>
      </c>
      <c r="BL292" s="776" t="s">
        <v>2127</v>
      </c>
      <c r="BM292" s="776" t="s">
        <v>2127</v>
      </c>
      <c r="BN292" s="776" t="s">
        <v>2127</v>
      </c>
      <c r="BO292" s="776" t="s">
        <v>2127</v>
      </c>
      <c r="BP292" s="776" t="s">
        <v>2127</v>
      </c>
      <c r="BQ292" s="776" t="s">
        <v>2127</v>
      </c>
      <c r="BR292" s="776" t="s">
        <v>2127</v>
      </c>
      <c r="BS292" s="776" t="s">
        <v>2127</v>
      </c>
      <c r="BT292" s="776" t="s">
        <v>2127</v>
      </c>
      <c r="BU292" s="776" t="s">
        <v>2127</v>
      </c>
      <c r="BV292" s="776" t="s">
        <v>2127</v>
      </c>
      <c r="BW292" s="776" t="s">
        <v>2127</v>
      </c>
      <c r="BX292" s="776" t="s">
        <v>2127</v>
      </c>
      <c r="BY292" s="776" t="s">
        <v>2127</v>
      </c>
      <c r="BZ292" s="776" t="s">
        <v>2127</v>
      </c>
      <c r="CA292" s="776" t="s">
        <v>2127</v>
      </c>
      <c r="CB292" s="776" t="s">
        <v>2127</v>
      </c>
      <c r="CC292" s="776" t="s">
        <v>2127</v>
      </c>
      <c r="CD292" s="776" t="s">
        <v>2127</v>
      </c>
      <c r="CE292" s="776" t="s">
        <v>2127</v>
      </c>
      <c r="CF292" s="776" t="s">
        <v>2127</v>
      </c>
      <c r="CG292" s="776" t="s">
        <v>2127</v>
      </c>
      <c r="CH292" s="776" t="s">
        <v>2127</v>
      </c>
      <c r="CI292" s="776" t="s">
        <v>2127</v>
      </c>
      <c r="CJ292" s="776" t="s">
        <v>2127</v>
      </c>
      <c r="CK292" s="776" t="s">
        <v>2127</v>
      </c>
      <c r="CL292" s="776" t="s">
        <v>2127</v>
      </c>
      <c r="CM292" s="776" t="s">
        <v>2127</v>
      </c>
      <c r="CN292" s="776" t="s">
        <v>2127</v>
      </c>
      <c r="CO292" s="776" t="s">
        <v>2127</v>
      </c>
      <c r="CP292" s="776" t="s">
        <v>2127</v>
      </c>
      <c r="CQ292" s="776" t="s">
        <v>2127</v>
      </c>
      <c r="CR292" s="776" t="s">
        <v>2127</v>
      </c>
      <c r="CS292" s="776" t="s">
        <v>2127</v>
      </c>
      <c r="CT292" s="776" t="s">
        <v>2127</v>
      </c>
      <c r="CU292" s="776" t="s">
        <v>2127</v>
      </c>
      <c r="CV292" s="776" t="s">
        <v>2127</v>
      </c>
      <c r="CW292" s="776" t="s">
        <v>2127</v>
      </c>
      <c r="CX292" s="776" t="s">
        <v>2127</v>
      </c>
      <c r="CY292" s="776" t="s">
        <v>2127</v>
      </c>
      <c r="CZ292" s="776" t="s">
        <v>2127</v>
      </c>
      <c r="DA292" s="776" t="s">
        <v>2127</v>
      </c>
      <c r="DB292" s="776" t="s">
        <v>2127</v>
      </c>
      <c r="DC292" s="776" t="s">
        <v>2127</v>
      </c>
      <c r="DD292" s="776" t="s">
        <v>2127</v>
      </c>
      <c r="DE292" s="776" t="s">
        <v>2127</v>
      </c>
      <c r="DF292" s="776" t="s">
        <v>2127</v>
      </c>
      <c r="DG292" s="776" t="s">
        <v>2127</v>
      </c>
      <c r="DH292" s="776" t="s">
        <v>2127</v>
      </c>
      <c r="DI292" s="776" t="s">
        <v>2127</v>
      </c>
      <c r="DJ292" s="776" t="s">
        <v>2127</v>
      </c>
      <c r="DK292" s="776" t="s">
        <v>2127</v>
      </c>
      <c r="DL292" s="776" t="s">
        <v>2127</v>
      </c>
      <c r="DM292" s="776" t="s">
        <v>2127</v>
      </c>
      <c r="DN292" s="776" t="s">
        <v>2127</v>
      </c>
      <c r="DO292" s="776" t="s">
        <v>2127</v>
      </c>
      <c r="DP292" s="776" t="s">
        <v>2127</v>
      </c>
    </row>
    <row r="293" spans="1:120" x14ac:dyDescent="0.2">
      <c r="A293" s="637"/>
      <c r="B293" s="772" t="str" cm="1">
        <f t="array" ref="B293">IFERROR(INDEX(Kulturen[HF],_xlfn.AGGREGATE(15,6,(ROW(Kulturen[Auswahl])-7)/(--(SEARCH("x",Kulturen[Auswahl])&gt;0)),ROW()-7),1),"")</f>
        <v>Kornblume (Blüten)</v>
      </c>
      <c r="C293" s="772" t="str">
        <f>IF(Kulturen[[#This Row],[HF]]=$D$373,IF($C$6=0,0,"x"),IF($C$6=0,"x",Vorauswahl!C292))</f>
        <v>x</v>
      </c>
      <c r="D293" s="938" t="s">
        <v>2038</v>
      </c>
      <c r="E293" s="938" t="s">
        <v>2038</v>
      </c>
      <c r="F293" s="938" t="s">
        <v>2039</v>
      </c>
      <c r="G293" s="938">
        <v>14</v>
      </c>
      <c r="H293" s="938">
        <v>8</v>
      </c>
      <c r="I293" s="938">
        <v>3</v>
      </c>
      <c r="J293" s="938">
        <v>14</v>
      </c>
      <c r="K293" s="938">
        <v>0.22</v>
      </c>
      <c r="L293" s="938">
        <v>0.22</v>
      </c>
      <c r="M293" s="938">
        <v>115</v>
      </c>
      <c r="N293" s="938">
        <v>0</v>
      </c>
      <c r="O293" s="938">
        <v>1</v>
      </c>
      <c r="P293" s="938">
        <v>0</v>
      </c>
      <c r="Q293" s="938">
        <v>110</v>
      </c>
      <c r="R293" s="938">
        <v>12</v>
      </c>
      <c r="S293" s="938">
        <v>6</v>
      </c>
      <c r="T293" s="938">
        <v>6</v>
      </c>
      <c r="U293" s="938">
        <v>0</v>
      </c>
      <c r="V293" s="938">
        <v>1</v>
      </c>
      <c r="W293" s="776">
        <f>IF(Kulturen[[#This Row],[Berechnungsschema]]=13,3,IF(Kulturen[[#This Row],[Berechnungsschema]]=6,2,1))</f>
        <v>1</v>
      </c>
      <c r="X293" s="776">
        <f>IF(Kulturen[[#This Row],[fruchtartengruppe]]=13,Kulturen[[#This Row],[NBedarfswert]],MAX(0,Kulturen[[#This Row],[NBedarfswert]]-Kulturen[[#This Row],[Ertrag]]*Kulturen[[#This Row],[Nfix]]))</f>
        <v>110</v>
      </c>
      <c r="Y293" s="776" t="s">
        <v>2127</v>
      </c>
      <c r="Z293" s="776" t="s">
        <v>2127</v>
      </c>
      <c r="AA293" s="776" t="s">
        <v>2127</v>
      </c>
      <c r="AB293" s="776" t="s">
        <v>2127</v>
      </c>
      <c r="AC293" s="776" t="s">
        <v>2127</v>
      </c>
      <c r="AD293" s="776" t="s">
        <v>2127</v>
      </c>
      <c r="AE293" s="776" t="s">
        <v>2127</v>
      </c>
      <c r="AF293" s="776" t="s">
        <v>2127</v>
      </c>
      <c r="AG293" s="776" t="s">
        <v>2127</v>
      </c>
      <c r="AH293" s="776" t="s">
        <v>2127</v>
      </c>
      <c r="AI293" s="776" t="s">
        <v>2127</v>
      </c>
      <c r="AJ293" s="776" t="s">
        <v>2127</v>
      </c>
      <c r="AK293" s="776" t="s">
        <v>2127</v>
      </c>
      <c r="AL293" s="776" t="s">
        <v>2127</v>
      </c>
      <c r="AM293" s="776" t="s">
        <v>2127</v>
      </c>
      <c r="AN293" s="776" t="s">
        <v>2127</v>
      </c>
      <c r="AO293" s="776" t="s">
        <v>2127</v>
      </c>
      <c r="AP293" s="776" t="s">
        <v>2127</v>
      </c>
      <c r="AQ293" s="776" t="s">
        <v>2127</v>
      </c>
      <c r="AR293" s="776" t="s">
        <v>2127</v>
      </c>
      <c r="AS293" s="776" t="s">
        <v>2127</v>
      </c>
      <c r="AT293" s="776" t="s">
        <v>2127</v>
      </c>
      <c r="AU293" s="776" t="s">
        <v>2127</v>
      </c>
      <c r="AV293" s="776" t="s">
        <v>2127</v>
      </c>
      <c r="AW293" s="776" t="s">
        <v>2127</v>
      </c>
      <c r="AX293" s="776" t="s">
        <v>2127</v>
      </c>
      <c r="AY293" s="776" t="s">
        <v>2127</v>
      </c>
      <c r="AZ293" s="776" t="s">
        <v>2127</v>
      </c>
      <c r="BA293" s="776" t="s">
        <v>2127</v>
      </c>
      <c r="BB293" s="776" t="s">
        <v>2127</v>
      </c>
      <c r="BC293" s="776" t="s">
        <v>2127</v>
      </c>
      <c r="BD293" s="776" t="s">
        <v>2127</v>
      </c>
      <c r="BE293" s="776" t="s">
        <v>2127</v>
      </c>
      <c r="BF293" s="776" t="s">
        <v>2127</v>
      </c>
      <c r="BG293" s="776" t="s">
        <v>2127</v>
      </c>
      <c r="BH293" s="776" t="s">
        <v>2127</v>
      </c>
      <c r="BI293" s="776" t="s">
        <v>2127</v>
      </c>
      <c r="BJ293" s="776" t="s">
        <v>2127</v>
      </c>
      <c r="BK293" s="776" t="s">
        <v>2127</v>
      </c>
      <c r="BL293" s="776" t="s">
        <v>2127</v>
      </c>
      <c r="BM293" s="776" t="s">
        <v>2127</v>
      </c>
      <c r="BN293" s="776" t="s">
        <v>2127</v>
      </c>
      <c r="BO293" s="776" t="s">
        <v>2127</v>
      </c>
      <c r="BP293" s="776" t="s">
        <v>2127</v>
      </c>
      <c r="BQ293" s="776" t="s">
        <v>2127</v>
      </c>
      <c r="BR293" s="776" t="s">
        <v>2127</v>
      </c>
      <c r="BS293" s="776" t="s">
        <v>2127</v>
      </c>
      <c r="BT293" s="776" t="s">
        <v>2127</v>
      </c>
      <c r="BU293" s="776" t="s">
        <v>2127</v>
      </c>
      <c r="BV293" s="776" t="s">
        <v>2127</v>
      </c>
      <c r="BW293" s="776" t="s">
        <v>2127</v>
      </c>
      <c r="BX293" s="776" t="s">
        <v>2127</v>
      </c>
      <c r="BY293" s="776" t="s">
        <v>2127</v>
      </c>
      <c r="BZ293" s="776" t="s">
        <v>2127</v>
      </c>
      <c r="CA293" s="776" t="s">
        <v>2127</v>
      </c>
      <c r="CB293" s="776" t="s">
        <v>2127</v>
      </c>
      <c r="CC293" s="776" t="s">
        <v>2127</v>
      </c>
      <c r="CD293" s="776" t="s">
        <v>2127</v>
      </c>
      <c r="CE293" s="776" t="s">
        <v>2127</v>
      </c>
      <c r="CF293" s="776" t="s">
        <v>2127</v>
      </c>
      <c r="CG293" s="776" t="s">
        <v>2127</v>
      </c>
      <c r="CH293" s="776" t="s">
        <v>2127</v>
      </c>
      <c r="CI293" s="776" t="s">
        <v>2127</v>
      </c>
      <c r="CJ293" s="776" t="s">
        <v>2127</v>
      </c>
      <c r="CK293" s="776" t="s">
        <v>2127</v>
      </c>
      <c r="CL293" s="776" t="s">
        <v>2127</v>
      </c>
      <c r="CM293" s="776" t="s">
        <v>2127</v>
      </c>
      <c r="CN293" s="776" t="s">
        <v>2127</v>
      </c>
      <c r="CO293" s="776" t="s">
        <v>2127</v>
      </c>
      <c r="CP293" s="776" t="s">
        <v>2127</v>
      </c>
      <c r="CQ293" s="776" t="s">
        <v>2127</v>
      </c>
      <c r="CR293" s="776" t="s">
        <v>2127</v>
      </c>
      <c r="CS293" s="776" t="s">
        <v>2127</v>
      </c>
      <c r="CT293" s="776" t="s">
        <v>2127</v>
      </c>
      <c r="CU293" s="776" t="s">
        <v>2127</v>
      </c>
      <c r="CV293" s="776" t="s">
        <v>2127</v>
      </c>
      <c r="CW293" s="776" t="s">
        <v>2127</v>
      </c>
      <c r="CX293" s="776" t="s">
        <v>2127</v>
      </c>
      <c r="CY293" s="776" t="s">
        <v>2127</v>
      </c>
      <c r="CZ293" s="776" t="s">
        <v>2127</v>
      </c>
      <c r="DA293" s="776" t="s">
        <v>2127</v>
      </c>
      <c r="DB293" s="776" t="s">
        <v>2127</v>
      </c>
      <c r="DC293" s="776" t="s">
        <v>2127</v>
      </c>
      <c r="DD293" s="776" t="s">
        <v>2127</v>
      </c>
      <c r="DE293" s="776" t="s">
        <v>2127</v>
      </c>
      <c r="DF293" s="776" t="s">
        <v>2127</v>
      </c>
      <c r="DG293" s="776" t="s">
        <v>2127</v>
      </c>
      <c r="DH293" s="776" t="s">
        <v>2127</v>
      </c>
      <c r="DI293" s="776" t="s">
        <v>2127</v>
      </c>
      <c r="DJ293" s="776" t="s">
        <v>2127</v>
      </c>
      <c r="DK293" s="776" t="s">
        <v>2127</v>
      </c>
      <c r="DL293" s="776" t="s">
        <v>2127</v>
      </c>
      <c r="DM293" s="776" t="s">
        <v>2127</v>
      </c>
      <c r="DN293" s="776" t="s">
        <v>2127</v>
      </c>
      <c r="DO293" s="776" t="s">
        <v>2127</v>
      </c>
      <c r="DP293" s="776" t="s">
        <v>2127</v>
      </c>
    </row>
    <row r="294" spans="1:120" x14ac:dyDescent="0.2">
      <c r="A294" s="637"/>
      <c r="B294" s="772" t="str" cm="1">
        <f t="array" ref="B294">IFERROR(INDEX(Kulturen[HF],_xlfn.AGGREGATE(15,6,(ROW(Kulturen[Auswahl])-7)/(--(SEARCH("x",Kulturen[Auswahl])&gt;0)),ROW()-7),1),"")</f>
        <v>Knoblauch (Zwiebel ganz)</v>
      </c>
      <c r="C294" s="772" t="str">
        <f>IF(Kulturen[[#This Row],[HF]]=$D$373,IF($C$6=0,0,"x"),IF($C$6=0,"x",Vorauswahl!C293))</f>
        <v>x</v>
      </c>
      <c r="D294" s="938" t="s">
        <v>2040</v>
      </c>
      <c r="E294" s="938" t="s">
        <v>2040</v>
      </c>
      <c r="F294" s="938" t="s">
        <v>2041</v>
      </c>
      <c r="G294" s="938">
        <v>14</v>
      </c>
      <c r="H294" s="938">
        <v>8</v>
      </c>
      <c r="I294" s="938">
        <v>1</v>
      </c>
      <c r="J294" s="938">
        <v>14</v>
      </c>
      <c r="K294" s="938">
        <v>7.0000000000000007E-2</v>
      </c>
      <c r="L294" s="938">
        <v>7.0000000000000007E-2</v>
      </c>
      <c r="M294" s="938">
        <v>420</v>
      </c>
      <c r="N294" s="938">
        <v>0</v>
      </c>
      <c r="O294" s="938">
        <v>1</v>
      </c>
      <c r="P294" s="938">
        <v>0</v>
      </c>
      <c r="Q294" s="938">
        <v>200</v>
      </c>
      <c r="R294" s="938">
        <v>42</v>
      </c>
      <c r="S294" s="938">
        <v>20</v>
      </c>
      <c r="T294" s="938">
        <v>20</v>
      </c>
      <c r="U294" s="938">
        <v>0</v>
      </c>
      <c r="V294" s="938">
        <v>1</v>
      </c>
      <c r="W294" s="776">
        <f>IF(Kulturen[[#This Row],[Berechnungsschema]]=13,3,IF(Kulturen[[#This Row],[Berechnungsschema]]=6,2,1))</f>
        <v>1</v>
      </c>
      <c r="X294" s="776">
        <f>IF(Kulturen[[#This Row],[fruchtartengruppe]]=13,Kulturen[[#This Row],[NBedarfswert]],MAX(0,Kulturen[[#This Row],[NBedarfswert]]-Kulturen[[#This Row],[Ertrag]]*Kulturen[[#This Row],[Nfix]]))</f>
        <v>200</v>
      </c>
      <c r="Y294" s="776" t="s">
        <v>2127</v>
      </c>
      <c r="Z294" s="776" t="s">
        <v>2127</v>
      </c>
      <c r="AA294" s="776" t="s">
        <v>2127</v>
      </c>
      <c r="AB294" s="776" t="s">
        <v>2127</v>
      </c>
      <c r="AC294" s="776" t="s">
        <v>2127</v>
      </c>
      <c r="AD294" s="776" t="s">
        <v>2127</v>
      </c>
      <c r="AE294" s="776" t="s">
        <v>2127</v>
      </c>
      <c r="AF294" s="776" t="s">
        <v>2127</v>
      </c>
      <c r="AG294" s="776" t="s">
        <v>2127</v>
      </c>
      <c r="AH294" s="776" t="s">
        <v>2127</v>
      </c>
      <c r="AI294" s="776" t="s">
        <v>2127</v>
      </c>
      <c r="AJ294" s="776" t="s">
        <v>2127</v>
      </c>
      <c r="AK294" s="776" t="s">
        <v>2127</v>
      </c>
      <c r="AL294" s="776" t="s">
        <v>2127</v>
      </c>
      <c r="AM294" s="776" t="s">
        <v>2127</v>
      </c>
      <c r="AN294" s="776" t="s">
        <v>2127</v>
      </c>
      <c r="AO294" s="776" t="s">
        <v>2127</v>
      </c>
      <c r="AP294" s="776" t="s">
        <v>2127</v>
      </c>
      <c r="AQ294" s="776" t="s">
        <v>2127</v>
      </c>
      <c r="AR294" s="776" t="s">
        <v>2127</v>
      </c>
      <c r="AS294" s="776" t="s">
        <v>2127</v>
      </c>
      <c r="AT294" s="776" t="s">
        <v>2127</v>
      </c>
      <c r="AU294" s="776" t="s">
        <v>2127</v>
      </c>
      <c r="AV294" s="776" t="s">
        <v>2127</v>
      </c>
      <c r="AW294" s="776" t="s">
        <v>2127</v>
      </c>
      <c r="AX294" s="776" t="s">
        <v>2127</v>
      </c>
      <c r="AY294" s="776" t="s">
        <v>2127</v>
      </c>
      <c r="AZ294" s="776" t="s">
        <v>2127</v>
      </c>
      <c r="BA294" s="776" t="s">
        <v>2127</v>
      </c>
      <c r="BB294" s="776" t="s">
        <v>2127</v>
      </c>
      <c r="BC294" s="776" t="s">
        <v>2127</v>
      </c>
      <c r="BD294" s="776" t="s">
        <v>2127</v>
      </c>
      <c r="BE294" s="776" t="s">
        <v>2127</v>
      </c>
      <c r="BF294" s="776" t="s">
        <v>2127</v>
      </c>
      <c r="BG294" s="776" t="s">
        <v>2127</v>
      </c>
      <c r="BH294" s="776" t="s">
        <v>2127</v>
      </c>
      <c r="BI294" s="776" t="s">
        <v>2127</v>
      </c>
      <c r="BJ294" s="776" t="s">
        <v>2127</v>
      </c>
      <c r="BK294" s="776" t="s">
        <v>2127</v>
      </c>
      <c r="BL294" s="776" t="s">
        <v>2127</v>
      </c>
      <c r="BM294" s="776" t="s">
        <v>2127</v>
      </c>
      <c r="BN294" s="776" t="s">
        <v>2127</v>
      </c>
      <c r="BO294" s="776" t="s">
        <v>2127</v>
      </c>
      <c r="BP294" s="776" t="s">
        <v>2127</v>
      </c>
      <c r="BQ294" s="776" t="s">
        <v>2127</v>
      </c>
      <c r="BR294" s="776" t="s">
        <v>2127</v>
      </c>
      <c r="BS294" s="776" t="s">
        <v>2127</v>
      </c>
      <c r="BT294" s="776" t="s">
        <v>2127</v>
      </c>
      <c r="BU294" s="776" t="s">
        <v>2127</v>
      </c>
      <c r="BV294" s="776" t="s">
        <v>2127</v>
      </c>
      <c r="BW294" s="776" t="s">
        <v>2127</v>
      </c>
      <c r="BX294" s="776" t="s">
        <v>2127</v>
      </c>
      <c r="BY294" s="776" t="s">
        <v>2127</v>
      </c>
      <c r="BZ294" s="776" t="s">
        <v>2127</v>
      </c>
      <c r="CA294" s="776" t="s">
        <v>2127</v>
      </c>
      <c r="CB294" s="776" t="s">
        <v>2127</v>
      </c>
      <c r="CC294" s="776" t="s">
        <v>2127</v>
      </c>
      <c r="CD294" s="776" t="s">
        <v>2127</v>
      </c>
      <c r="CE294" s="776" t="s">
        <v>2127</v>
      </c>
      <c r="CF294" s="776" t="s">
        <v>2127</v>
      </c>
      <c r="CG294" s="776" t="s">
        <v>2127</v>
      </c>
      <c r="CH294" s="776" t="s">
        <v>2127</v>
      </c>
      <c r="CI294" s="776" t="s">
        <v>2127</v>
      </c>
      <c r="CJ294" s="776" t="s">
        <v>2127</v>
      </c>
      <c r="CK294" s="776" t="s">
        <v>2127</v>
      </c>
      <c r="CL294" s="776" t="s">
        <v>2127</v>
      </c>
      <c r="CM294" s="776" t="s">
        <v>2127</v>
      </c>
      <c r="CN294" s="776" t="s">
        <v>2127</v>
      </c>
      <c r="CO294" s="776" t="s">
        <v>2127</v>
      </c>
      <c r="CP294" s="776" t="s">
        <v>2127</v>
      </c>
      <c r="CQ294" s="776" t="s">
        <v>2127</v>
      </c>
      <c r="CR294" s="776" t="s">
        <v>2127</v>
      </c>
      <c r="CS294" s="776" t="s">
        <v>2127</v>
      </c>
      <c r="CT294" s="776" t="s">
        <v>2127</v>
      </c>
      <c r="CU294" s="776" t="s">
        <v>2127</v>
      </c>
      <c r="CV294" s="776" t="s">
        <v>2127</v>
      </c>
      <c r="CW294" s="776" t="s">
        <v>2127</v>
      </c>
      <c r="CX294" s="776" t="s">
        <v>2127</v>
      </c>
      <c r="CY294" s="776" t="s">
        <v>2127</v>
      </c>
      <c r="CZ294" s="776" t="s">
        <v>2127</v>
      </c>
      <c r="DA294" s="776" t="s">
        <v>2127</v>
      </c>
      <c r="DB294" s="776" t="s">
        <v>2127</v>
      </c>
      <c r="DC294" s="776" t="s">
        <v>2127</v>
      </c>
      <c r="DD294" s="776" t="s">
        <v>2127</v>
      </c>
      <c r="DE294" s="776" t="s">
        <v>2127</v>
      </c>
      <c r="DF294" s="776" t="s">
        <v>2127</v>
      </c>
      <c r="DG294" s="776" t="s">
        <v>2127</v>
      </c>
      <c r="DH294" s="776" t="s">
        <v>2127</v>
      </c>
      <c r="DI294" s="776" t="s">
        <v>2127</v>
      </c>
      <c r="DJ294" s="776" t="s">
        <v>2127</v>
      </c>
      <c r="DK294" s="776" t="s">
        <v>2127</v>
      </c>
      <c r="DL294" s="776" t="s">
        <v>2127</v>
      </c>
      <c r="DM294" s="776" t="s">
        <v>2127</v>
      </c>
      <c r="DN294" s="776" t="s">
        <v>2127</v>
      </c>
      <c r="DO294" s="776" t="s">
        <v>2127</v>
      </c>
      <c r="DP294" s="776" t="s">
        <v>2127</v>
      </c>
    </row>
    <row r="295" spans="1:120" x14ac:dyDescent="0.2">
      <c r="A295" s="637" t="s">
        <v>2313</v>
      </c>
      <c r="B295" s="772" t="str" cm="1">
        <f t="array" ref="B295">IFERROR(INDEX(Kulturen[HF],_xlfn.AGGREGATE(15,6,(ROW(Kulturen[Auswahl])-7)/(--(SEARCH("x",Kulturen[Auswahl])&gt;0)),ROW()-7),1),"")</f>
        <v>Kümmel, einjährig, (Samen)</v>
      </c>
      <c r="C295" s="772" t="str">
        <f>IF(Kulturen[[#This Row],[HF]]=$D$373,IF($C$6=0,0,"x"),IF($C$6=0,"x",Vorauswahl!C294))</f>
        <v>x</v>
      </c>
      <c r="D295" s="938" t="s">
        <v>2042</v>
      </c>
      <c r="E295" s="938" t="s">
        <v>2042</v>
      </c>
      <c r="F295" s="938" t="s">
        <v>953</v>
      </c>
      <c r="G295" s="938">
        <v>14</v>
      </c>
      <c r="H295" s="938">
        <v>8</v>
      </c>
      <c r="I295" s="938">
        <v>3</v>
      </c>
      <c r="J295" s="938">
        <v>14</v>
      </c>
      <c r="K295" s="938">
        <v>0.2</v>
      </c>
      <c r="L295" s="938">
        <v>0.2</v>
      </c>
      <c r="M295" s="938">
        <v>200</v>
      </c>
      <c r="N295" s="938">
        <v>0</v>
      </c>
      <c r="O295" s="938">
        <v>2</v>
      </c>
      <c r="P295" s="938">
        <v>0</v>
      </c>
      <c r="Q295" s="938">
        <v>145</v>
      </c>
      <c r="R295" s="938">
        <v>20</v>
      </c>
      <c r="S295" s="938">
        <v>15</v>
      </c>
      <c r="T295" s="938">
        <v>15</v>
      </c>
      <c r="U295" s="938">
        <v>0</v>
      </c>
      <c r="V295" s="938">
        <v>1</v>
      </c>
      <c r="W295" s="776">
        <f>IF(Kulturen[[#This Row],[Berechnungsschema]]=13,3,IF(Kulturen[[#This Row],[Berechnungsschema]]=6,2,1))</f>
        <v>1</v>
      </c>
      <c r="X295" s="776">
        <f>IF(Kulturen[[#This Row],[fruchtartengruppe]]=13,Kulturen[[#This Row],[NBedarfswert]],MAX(0,Kulturen[[#This Row],[NBedarfswert]]-Kulturen[[#This Row],[Ertrag]]*Kulturen[[#This Row],[Nfix]]))</f>
        <v>145</v>
      </c>
      <c r="Y295" s="776" t="s">
        <v>2127</v>
      </c>
      <c r="Z295" s="776" t="s">
        <v>2127</v>
      </c>
      <c r="AA295" s="776" t="s">
        <v>2127</v>
      </c>
      <c r="AB295" s="776" t="s">
        <v>2127</v>
      </c>
      <c r="AC295" s="776" t="s">
        <v>2127</v>
      </c>
      <c r="AD295" s="776" t="s">
        <v>2127</v>
      </c>
      <c r="AE295" s="776" t="s">
        <v>2127</v>
      </c>
      <c r="AF295" s="776" t="s">
        <v>2127</v>
      </c>
      <c r="AG295" s="776" t="s">
        <v>2127</v>
      </c>
      <c r="AH295" s="776" t="s">
        <v>2127</v>
      </c>
      <c r="AI295" s="776" t="s">
        <v>2127</v>
      </c>
      <c r="AJ295" s="776" t="s">
        <v>2127</v>
      </c>
      <c r="AK295" s="776" t="s">
        <v>2127</v>
      </c>
      <c r="AL295" s="776" t="s">
        <v>2127</v>
      </c>
      <c r="AM295" s="776" t="s">
        <v>2127</v>
      </c>
      <c r="AN295" s="776" t="s">
        <v>2127</v>
      </c>
      <c r="AO295" s="776" t="s">
        <v>2127</v>
      </c>
      <c r="AP295" s="776" t="s">
        <v>2127</v>
      </c>
      <c r="AQ295" s="776" t="s">
        <v>2127</v>
      </c>
      <c r="AR295" s="776" t="s">
        <v>2127</v>
      </c>
      <c r="AS295" s="776" t="s">
        <v>2127</v>
      </c>
      <c r="AT295" s="776" t="s">
        <v>2127</v>
      </c>
      <c r="AU295" s="776" t="s">
        <v>2127</v>
      </c>
      <c r="AV295" s="776" t="s">
        <v>2127</v>
      </c>
      <c r="AW295" s="776" t="s">
        <v>2127</v>
      </c>
      <c r="AX295" s="776" t="s">
        <v>2127</v>
      </c>
      <c r="AY295" s="776" t="s">
        <v>2127</v>
      </c>
      <c r="AZ295" s="776" t="s">
        <v>2127</v>
      </c>
      <c r="BA295" s="776" t="s">
        <v>2127</v>
      </c>
      <c r="BB295" s="776" t="s">
        <v>2127</v>
      </c>
      <c r="BC295" s="776" t="s">
        <v>2127</v>
      </c>
      <c r="BD295" s="776" t="s">
        <v>2127</v>
      </c>
      <c r="BE295" s="776" t="s">
        <v>2127</v>
      </c>
      <c r="BF295" s="776" t="s">
        <v>2127</v>
      </c>
      <c r="BG295" s="776" t="s">
        <v>2127</v>
      </c>
      <c r="BH295" s="776" t="s">
        <v>2127</v>
      </c>
      <c r="BI295" s="776" t="s">
        <v>2127</v>
      </c>
      <c r="BJ295" s="776" t="s">
        <v>2127</v>
      </c>
      <c r="BK295" s="776" t="s">
        <v>2127</v>
      </c>
      <c r="BL295" s="776" t="s">
        <v>2127</v>
      </c>
      <c r="BM295" s="776" t="s">
        <v>2127</v>
      </c>
      <c r="BN295" s="776" t="s">
        <v>2127</v>
      </c>
      <c r="BO295" s="776" t="s">
        <v>2127</v>
      </c>
      <c r="BP295" s="776" t="s">
        <v>2127</v>
      </c>
      <c r="BQ295" s="776" t="s">
        <v>2127</v>
      </c>
      <c r="BR295" s="776" t="s">
        <v>2127</v>
      </c>
      <c r="BS295" s="776" t="s">
        <v>2127</v>
      </c>
      <c r="BT295" s="776" t="s">
        <v>2127</v>
      </c>
      <c r="BU295" s="776" t="s">
        <v>2127</v>
      </c>
      <c r="BV295" s="776" t="s">
        <v>2127</v>
      </c>
      <c r="BW295" s="776" t="s">
        <v>2127</v>
      </c>
      <c r="BX295" s="776" t="s">
        <v>2127</v>
      </c>
      <c r="BY295" s="776" t="s">
        <v>2127</v>
      </c>
      <c r="BZ295" s="776" t="s">
        <v>2127</v>
      </c>
      <c r="CA295" s="776" t="s">
        <v>2127</v>
      </c>
      <c r="CB295" s="776" t="s">
        <v>2127</v>
      </c>
      <c r="CC295" s="776" t="s">
        <v>2127</v>
      </c>
      <c r="CD295" s="776" t="s">
        <v>2127</v>
      </c>
      <c r="CE295" s="776" t="s">
        <v>2127</v>
      </c>
      <c r="CF295" s="776" t="s">
        <v>2127</v>
      </c>
      <c r="CG295" s="776" t="s">
        <v>2127</v>
      </c>
      <c r="CH295" s="776" t="s">
        <v>2127</v>
      </c>
      <c r="CI295" s="776" t="s">
        <v>2127</v>
      </c>
      <c r="CJ295" s="776" t="s">
        <v>2127</v>
      </c>
      <c r="CK295" s="776" t="s">
        <v>2127</v>
      </c>
      <c r="CL295" s="776" t="s">
        <v>2127</v>
      </c>
      <c r="CM295" s="776" t="s">
        <v>2127</v>
      </c>
      <c r="CN295" s="776" t="s">
        <v>2127</v>
      </c>
      <c r="CO295" s="776" t="s">
        <v>2127</v>
      </c>
      <c r="CP295" s="776" t="s">
        <v>2127</v>
      </c>
      <c r="CQ295" s="776" t="s">
        <v>2127</v>
      </c>
      <c r="CR295" s="776" t="s">
        <v>2127</v>
      </c>
      <c r="CS295" s="776" t="s">
        <v>2127</v>
      </c>
      <c r="CT295" s="776" t="s">
        <v>2127</v>
      </c>
      <c r="CU295" s="776" t="s">
        <v>2127</v>
      </c>
      <c r="CV295" s="776" t="s">
        <v>2127</v>
      </c>
      <c r="CW295" s="776" t="s">
        <v>2127</v>
      </c>
      <c r="CX295" s="776" t="s">
        <v>2127</v>
      </c>
      <c r="CY295" s="776" t="s">
        <v>2127</v>
      </c>
      <c r="CZ295" s="776" t="s">
        <v>2127</v>
      </c>
      <c r="DA295" s="776" t="s">
        <v>2127</v>
      </c>
      <c r="DB295" s="776" t="s">
        <v>2127</v>
      </c>
      <c r="DC295" s="776" t="s">
        <v>2127</v>
      </c>
      <c r="DD295" s="776" t="s">
        <v>2127</v>
      </c>
      <c r="DE295" s="776" t="s">
        <v>2127</v>
      </c>
      <c r="DF295" s="776" t="s">
        <v>2127</v>
      </c>
      <c r="DG295" s="776" t="s">
        <v>2127</v>
      </c>
      <c r="DH295" s="776" t="s">
        <v>2127</v>
      </c>
      <c r="DI295" s="776" t="s">
        <v>2127</v>
      </c>
      <c r="DJ295" s="776" t="s">
        <v>2127</v>
      </c>
      <c r="DK295" s="776" t="s">
        <v>2127</v>
      </c>
      <c r="DL295" s="776" t="s">
        <v>2127</v>
      </c>
      <c r="DM295" s="776" t="s">
        <v>2127</v>
      </c>
      <c r="DN295" s="776" t="s">
        <v>2127</v>
      </c>
      <c r="DO295" s="776" t="s">
        <v>2127</v>
      </c>
      <c r="DP295" s="776" t="s">
        <v>2127</v>
      </c>
    </row>
    <row r="296" spans="1:120" x14ac:dyDescent="0.2">
      <c r="A296" s="637" t="s">
        <v>2314</v>
      </c>
      <c r="B296" s="772" t="str" cm="1">
        <f t="array" ref="B296">IFERROR(INDEX(Kulturen[HF],_xlfn.AGGREGATE(15,6,(ROW(Kulturen[Auswahl])-7)/(--(SEARCH("x",Kulturen[Auswahl])&gt;0)),ROW()-7),1),"")</f>
        <v>Kümmel, zweijährig, ohne Ernte</v>
      </c>
      <c r="C296" s="772" t="str">
        <f>IF(Kulturen[[#This Row],[HF]]=$D$373,IF($C$6=0,0,"x"),IF($C$6=0,"x",Vorauswahl!C295))</f>
        <v>x</v>
      </c>
      <c r="D296" s="938" t="s">
        <v>2043</v>
      </c>
      <c r="E296" s="938" t="s">
        <v>2043</v>
      </c>
      <c r="F296" s="938" t="s">
        <v>2044</v>
      </c>
      <c r="G296" s="938">
        <v>14</v>
      </c>
      <c r="H296" s="938">
        <v>8</v>
      </c>
      <c r="I296" s="938">
        <v>1</v>
      </c>
      <c r="J296" s="938">
        <v>14</v>
      </c>
      <c r="K296" s="938">
        <v>0.21</v>
      </c>
      <c r="L296" s="938">
        <v>0.21</v>
      </c>
      <c r="M296" s="938">
        <v>20</v>
      </c>
      <c r="N296" s="938">
        <v>0</v>
      </c>
      <c r="O296" s="938">
        <v>2</v>
      </c>
      <c r="P296" s="938">
        <v>0</v>
      </c>
      <c r="Q296" s="938">
        <v>65</v>
      </c>
      <c r="R296" s="938">
        <v>2</v>
      </c>
      <c r="S296" s="938">
        <v>3</v>
      </c>
      <c r="T296" s="938">
        <v>3</v>
      </c>
      <c r="U296" s="938">
        <v>0</v>
      </c>
      <c r="V296" s="938">
        <v>1</v>
      </c>
      <c r="W296" s="776">
        <f>IF(Kulturen[[#This Row],[Berechnungsschema]]=13,3,IF(Kulturen[[#This Row],[Berechnungsschema]]=6,2,1))</f>
        <v>1</v>
      </c>
      <c r="X296" s="776">
        <f>IF(Kulturen[[#This Row],[fruchtartengruppe]]=13,Kulturen[[#This Row],[NBedarfswert]],MAX(0,Kulturen[[#This Row],[NBedarfswert]]-Kulturen[[#This Row],[Ertrag]]*Kulturen[[#This Row],[Nfix]]))</f>
        <v>65</v>
      </c>
      <c r="Y296" s="776" t="s">
        <v>2127</v>
      </c>
      <c r="Z296" s="776" t="s">
        <v>2127</v>
      </c>
      <c r="AA296" s="776" t="s">
        <v>2127</v>
      </c>
      <c r="AB296" s="776" t="s">
        <v>2127</v>
      </c>
      <c r="AC296" s="776" t="s">
        <v>2127</v>
      </c>
      <c r="AD296" s="776" t="s">
        <v>2127</v>
      </c>
      <c r="AE296" s="776" t="s">
        <v>2127</v>
      </c>
      <c r="AF296" s="776" t="s">
        <v>2127</v>
      </c>
      <c r="AG296" s="776" t="s">
        <v>2127</v>
      </c>
      <c r="AH296" s="776" t="s">
        <v>2127</v>
      </c>
      <c r="AI296" s="776" t="s">
        <v>2127</v>
      </c>
      <c r="AJ296" s="776" t="s">
        <v>2127</v>
      </c>
      <c r="AK296" s="776" t="s">
        <v>2127</v>
      </c>
      <c r="AL296" s="776" t="s">
        <v>2127</v>
      </c>
      <c r="AM296" s="776" t="s">
        <v>2127</v>
      </c>
      <c r="AN296" s="776" t="s">
        <v>2127</v>
      </c>
      <c r="AO296" s="776" t="s">
        <v>2127</v>
      </c>
      <c r="AP296" s="776" t="s">
        <v>2127</v>
      </c>
      <c r="AQ296" s="776" t="s">
        <v>2127</v>
      </c>
      <c r="AR296" s="776" t="s">
        <v>2127</v>
      </c>
      <c r="AS296" s="776" t="s">
        <v>2127</v>
      </c>
      <c r="AT296" s="776" t="s">
        <v>2127</v>
      </c>
      <c r="AU296" s="776" t="s">
        <v>2127</v>
      </c>
      <c r="AV296" s="776" t="s">
        <v>2127</v>
      </c>
      <c r="AW296" s="776" t="s">
        <v>2127</v>
      </c>
      <c r="AX296" s="776" t="s">
        <v>2127</v>
      </c>
      <c r="AY296" s="776" t="s">
        <v>2127</v>
      </c>
      <c r="AZ296" s="776" t="s">
        <v>2127</v>
      </c>
      <c r="BA296" s="776" t="s">
        <v>2127</v>
      </c>
      <c r="BB296" s="776" t="s">
        <v>2127</v>
      </c>
      <c r="BC296" s="776" t="s">
        <v>2127</v>
      </c>
      <c r="BD296" s="776" t="s">
        <v>2127</v>
      </c>
      <c r="BE296" s="776" t="s">
        <v>2127</v>
      </c>
      <c r="BF296" s="776" t="s">
        <v>2127</v>
      </c>
      <c r="BG296" s="776" t="s">
        <v>2127</v>
      </c>
      <c r="BH296" s="776" t="s">
        <v>2127</v>
      </c>
      <c r="BI296" s="776" t="s">
        <v>2127</v>
      </c>
      <c r="BJ296" s="776" t="s">
        <v>2127</v>
      </c>
      <c r="BK296" s="776" t="s">
        <v>2127</v>
      </c>
      <c r="BL296" s="776" t="s">
        <v>2127</v>
      </c>
      <c r="BM296" s="776" t="s">
        <v>2127</v>
      </c>
      <c r="BN296" s="776" t="s">
        <v>2127</v>
      </c>
      <c r="BO296" s="776" t="s">
        <v>2127</v>
      </c>
      <c r="BP296" s="776" t="s">
        <v>2127</v>
      </c>
      <c r="BQ296" s="776" t="s">
        <v>2127</v>
      </c>
      <c r="BR296" s="776" t="s">
        <v>2127</v>
      </c>
      <c r="BS296" s="776" t="s">
        <v>2127</v>
      </c>
      <c r="BT296" s="776" t="s">
        <v>2127</v>
      </c>
      <c r="BU296" s="776" t="s">
        <v>2127</v>
      </c>
      <c r="BV296" s="776" t="s">
        <v>2127</v>
      </c>
      <c r="BW296" s="776" t="s">
        <v>2127</v>
      </c>
      <c r="BX296" s="776" t="s">
        <v>2127</v>
      </c>
      <c r="BY296" s="776" t="s">
        <v>2127</v>
      </c>
      <c r="BZ296" s="776" t="s">
        <v>2127</v>
      </c>
      <c r="CA296" s="776" t="s">
        <v>2127</v>
      </c>
      <c r="CB296" s="776" t="s">
        <v>2127</v>
      </c>
      <c r="CC296" s="776" t="s">
        <v>2127</v>
      </c>
      <c r="CD296" s="776" t="s">
        <v>2127</v>
      </c>
      <c r="CE296" s="776" t="s">
        <v>2127</v>
      </c>
      <c r="CF296" s="776" t="s">
        <v>2127</v>
      </c>
      <c r="CG296" s="776" t="s">
        <v>2127</v>
      </c>
      <c r="CH296" s="776" t="s">
        <v>2127</v>
      </c>
      <c r="CI296" s="776" t="s">
        <v>2127</v>
      </c>
      <c r="CJ296" s="776" t="s">
        <v>2127</v>
      </c>
      <c r="CK296" s="776" t="s">
        <v>2127</v>
      </c>
      <c r="CL296" s="776" t="s">
        <v>2127</v>
      </c>
      <c r="CM296" s="776" t="s">
        <v>2127</v>
      </c>
      <c r="CN296" s="776" t="s">
        <v>2127</v>
      </c>
      <c r="CO296" s="776" t="s">
        <v>2127</v>
      </c>
      <c r="CP296" s="776" t="s">
        <v>2127</v>
      </c>
      <c r="CQ296" s="776" t="s">
        <v>2127</v>
      </c>
      <c r="CR296" s="776" t="s">
        <v>2127</v>
      </c>
      <c r="CS296" s="776" t="s">
        <v>2127</v>
      </c>
      <c r="CT296" s="776" t="s">
        <v>2127</v>
      </c>
      <c r="CU296" s="776" t="s">
        <v>2127</v>
      </c>
      <c r="CV296" s="776" t="s">
        <v>2127</v>
      </c>
      <c r="CW296" s="776" t="s">
        <v>2127</v>
      </c>
      <c r="CX296" s="776" t="s">
        <v>2127</v>
      </c>
      <c r="CY296" s="776" t="s">
        <v>2127</v>
      </c>
      <c r="CZ296" s="776" t="s">
        <v>2127</v>
      </c>
      <c r="DA296" s="776" t="s">
        <v>2127</v>
      </c>
      <c r="DB296" s="776" t="s">
        <v>2127</v>
      </c>
      <c r="DC296" s="776" t="s">
        <v>2127</v>
      </c>
      <c r="DD296" s="776" t="s">
        <v>2127</v>
      </c>
      <c r="DE296" s="776" t="s">
        <v>2127</v>
      </c>
      <c r="DF296" s="776" t="s">
        <v>2127</v>
      </c>
      <c r="DG296" s="776" t="s">
        <v>2127</v>
      </c>
      <c r="DH296" s="776" t="s">
        <v>2127</v>
      </c>
      <c r="DI296" s="776" t="s">
        <v>2127</v>
      </c>
      <c r="DJ296" s="776" t="s">
        <v>2127</v>
      </c>
      <c r="DK296" s="776" t="s">
        <v>2127</v>
      </c>
      <c r="DL296" s="776" t="s">
        <v>2127</v>
      </c>
      <c r="DM296" s="776" t="s">
        <v>2127</v>
      </c>
      <c r="DN296" s="776" t="s">
        <v>2127</v>
      </c>
      <c r="DO296" s="776" t="s">
        <v>2127</v>
      </c>
      <c r="DP296" s="776" t="s">
        <v>2127</v>
      </c>
    </row>
    <row r="297" spans="1:120" x14ac:dyDescent="0.2">
      <c r="A297" s="637"/>
      <c r="B297" s="772" t="str" cm="1">
        <f t="array" ref="B297">IFERROR(INDEX(Kulturen[HF],_xlfn.AGGREGATE(15,6,(ROW(Kulturen[Auswahl])-7)/(--(SEARCH("x",Kulturen[Auswahl])&gt;0)),ROW()-7),1),"")</f>
        <v>Kümmel, zweijährig, Erntejahr</v>
      </c>
      <c r="C297" s="772" t="str">
        <f>IF(Kulturen[[#This Row],[HF]]=$D$373,IF($C$6=0,0,"x"),IF($C$6=0,"x",Vorauswahl!C296))</f>
        <v>x</v>
      </c>
      <c r="D297" s="938" t="s">
        <v>2045</v>
      </c>
      <c r="E297" s="938" t="s">
        <v>2045</v>
      </c>
      <c r="F297" s="938" t="s">
        <v>954</v>
      </c>
      <c r="G297" s="938">
        <v>14</v>
      </c>
      <c r="H297" s="938">
        <v>8</v>
      </c>
      <c r="I297" s="938">
        <v>1</v>
      </c>
      <c r="J297" s="938">
        <v>14</v>
      </c>
      <c r="K297" s="938">
        <v>0.21</v>
      </c>
      <c r="L297" s="938">
        <v>0.21</v>
      </c>
      <c r="M297" s="938">
        <v>45</v>
      </c>
      <c r="N297" s="938">
        <v>0</v>
      </c>
      <c r="O297" s="938">
        <v>2</v>
      </c>
      <c r="P297" s="938">
        <v>0</v>
      </c>
      <c r="Q297" s="938">
        <v>75</v>
      </c>
      <c r="R297" s="938">
        <v>5</v>
      </c>
      <c r="S297" s="938">
        <v>4</v>
      </c>
      <c r="T297" s="938">
        <v>4</v>
      </c>
      <c r="U297" s="938">
        <v>0</v>
      </c>
      <c r="V297" s="938">
        <v>1</v>
      </c>
      <c r="W297" s="776">
        <f>IF(Kulturen[[#This Row],[Berechnungsschema]]=13,3,IF(Kulturen[[#This Row],[Berechnungsschema]]=6,2,1))</f>
        <v>1</v>
      </c>
      <c r="X297" s="776">
        <f>IF(Kulturen[[#This Row],[fruchtartengruppe]]=13,Kulturen[[#This Row],[NBedarfswert]],MAX(0,Kulturen[[#This Row],[NBedarfswert]]-Kulturen[[#This Row],[Ertrag]]*Kulturen[[#This Row],[Nfix]]))</f>
        <v>75</v>
      </c>
      <c r="Y297" s="776" t="s">
        <v>2127</v>
      </c>
      <c r="Z297" s="776" t="s">
        <v>2127</v>
      </c>
      <c r="AA297" s="776" t="s">
        <v>2127</v>
      </c>
      <c r="AB297" s="776" t="s">
        <v>2127</v>
      </c>
      <c r="AC297" s="776" t="s">
        <v>2127</v>
      </c>
      <c r="AD297" s="776" t="s">
        <v>2127</v>
      </c>
      <c r="AE297" s="776" t="s">
        <v>2127</v>
      </c>
      <c r="AF297" s="776" t="s">
        <v>2127</v>
      </c>
      <c r="AG297" s="776" t="s">
        <v>2127</v>
      </c>
      <c r="AH297" s="776" t="s">
        <v>2127</v>
      </c>
      <c r="AI297" s="776" t="s">
        <v>2127</v>
      </c>
      <c r="AJ297" s="776" t="s">
        <v>2127</v>
      </c>
      <c r="AK297" s="776" t="s">
        <v>2127</v>
      </c>
      <c r="AL297" s="776" t="s">
        <v>2127</v>
      </c>
      <c r="AM297" s="776" t="s">
        <v>2127</v>
      </c>
      <c r="AN297" s="776" t="s">
        <v>2127</v>
      </c>
      <c r="AO297" s="776" t="s">
        <v>2127</v>
      </c>
      <c r="AP297" s="776" t="s">
        <v>2127</v>
      </c>
      <c r="AQ297" s="776" t="s">
        <v>2127</v>
      </c>
      <c r="AR297" s="776" t="s">
        <v>2127</v>
      </c>
      <c r="AS297" s="776" t="s">
        <v>2127</v>
      </c>
      <c r="AT297" s="776" t="s">
        <v>2127</v>
      </c>
      <c r="AU297" s="776" t="s">
        <v>2127</v>
      </c>
      <c r="AV297" s="776" t="s">
        <v>2127</v>
      </c>
      <c r="AW297" s="776" t="s">
        <v>2127</v>
      </c>
      <c r="AX297" s="776" t="s">
        <v>2127</v>
      </c>
      <c r="AY297" s="776" t="s">
        <v>2127</v>
      </c>
      <c r="AZ297" s="776" t="s">
        <v>2127</v>
      </c>
      <c r="BA297" s="776" t="s">
        <v>2127</v>
      </c>
      <c r="BB297" s="776" t="s">
        <v>2127</v>
      </c>
      <c r="BC297" s="776" t="s">
        <v>2127</v>
      </c>
      <c r="BD297" s="776" t="s">
        <v>2127</v>
      </c>
      <c r="BE297" s="776" t="s">
        <v>2127</v>
      </c>
      <c r="BF297" s="776" t="s">
        <v>2127</v>
      </c>
      <c r="BG297" s="776" t="s">
        <v>2127</v>
      </c>
      <c r="BH297" s="776" t="s">
        <v>2127</v>
      </c>
      <c r="BI297" s="776" t="s">
        <v>2127</v>
      </c>
      <c r="BJ297" s="776" t="s">
        <v>2127</v>
      </c>
      <c r="BK297" s="776" t="s">
        <v>2127</v>
      </c>
      <c r="BL297" s="776" t="s">
        <v>2127</v>
      </c>
      <c r="BM297" s="776" t="s">
        <v>2127</v>
      </c>
      <c r="BN297" s="776" t="s">
        <v>2127</v>
      </c>
      <c r="BO297" s="776" t="s">
        <v>2127</v>
      </c>
      <c r="BP297" s="776" t="s">
        <v>2127</v>
      </c>
      <c r="BQ297" s="776" t="s">
        <v>2127</v>
      </c>
      <c r="BR297" s="776" t="s">
        <v>2127</v>
      </c>
      <c r="BS297" s="776" t="s">
        <v>2127</v>
      </c>
      <c r="BT297" s="776" t="s">
        <v>2127</v>
      </c>
      <c r="BU297" s="776" t="s">
        <v>2127</v>
      </c>
      <c r="BV297" s="776" t="s">
        <v>2127</v>
      </c>
      <c r="BW297" s="776" t="s">
        <v>2127</v>
      </c>
      <c r="BX297" s="776" t="s">
        <v>2127</v>
      </c>
      <c r="BY297" s="776" t="s">
        <v>2127</v>
      </c>
      <c r="BZ297" s="776" t="s">
        <v>2127</v>
      </c>
      <c r="CA297" s="776" t="s">
        <v>2127</v>
      </c>
      <c r="CB297" s="776" t="s">
        <v>2127</v>
      </c>
      <c r="CC297" s="776" t="s">
        <v>2127</v>
      </c>
      <c r="CD297" s="776" t="s">
        <v>2127</v>
      </c>
      <c r="CE297" s="776" t="s">
        <v>2127</v>
      </c>
      <c r="CF297" s="776" t="s">
        <v>2127</v>
      </c>
      <c r="CG297" s="776" t="s">
        <v>2127</v>
      </c>
      <c r="CH297" s="776" t="s">
        <v>2127</v>
      </c>
      <c r="CI297" s="776" t="s">
        <v>2127</v>
      </c>
      <c r="CJ297" s="776" t="s">
        <v>2127</v>
      </c>
      <c r="CK297" s="776" t="s">
        <v>2127</v>
      </c>
      <c r="CL297" s="776" t="s">
        <v>2127</v>
      </c>
      <c r="CM297" s="776" t="s">
        <v>2127</v>
      </c>
      <c r="CN297" s="776" t="s">
        <v>2127</v>
      </c>
      <c r="CO297" s="776" t="s">
        <v>2127</v>
      </c>
      <c r="CP297" s="776" t="s">
        <v>2127</v>
      </c>
      <c r="CQ297" s="776" t="s">
        <v>2127</v>
      </c>
      <c r="CR297" s="776" t="s">
        <v>2127</v>
      </c>
      <c r="CS297" s="776" t="s">
        <v>2127</v>
      </c>
      <c r="CT297" s="776" t="s">
        <v>2127</v>
      </c>
      <c r="CU297" s="776" t="s">
        <v>2127</v>
      </c>
      <c r="CV297" s="776" t="s">
        <v>2127</v>
      </c>
      <c r="CW297" s="776" t="s">
        <v>2127</v>
      </c>
      <c r="CX297" s="776" t="s">
        <v>2127</v>
      </c>
      <c r="CY297" s="776" t="s">
        <v>2127</v>
      </c>
      <c r="CZ297" s="776" t="s">
        <v>2127</v>
      </c>
      <c r="DA297" s="776" t="s">
        <v>2127</v>
      </c>
      <c r="DB297" s="776" t="s">
        <v>2127</v>
      </c>
      <c r="DC297" s="776" t="s">
        <v>2127</v>
      </c>
      <c r="DD297" s="776" t="s">
        <v>2127</v>
      </c>
      <c r="DE297" s="776" t="s">
        <v>2127</v>
      </c>
      <c r="DF297" s="776" t="s">
        <v>2127</v>
      </c>
      <c r="DG297" s="776" t="s">
        <v>2127</v>
      </c>
      <c r="DH297" s="776" t="s">
        <v>2127</v>
      </c>
      <c r="DI297" s="776" t="s">
        <v>2127</v>
      </c>
      <c r="DJ297" s="776" t="s">
        <v>2127</v>
      </c>
      <c r="DK297" s="776" t="s">
        <v>2127</v>
      </c>
      <c r="DL297" s="776" t="s">
        <v>2127</v>
      </c>
      <c r="DM297" s="776" t="s">
        <v>2127</v>
      </c>
      <c r="DN297" s="776" t="s">
        <v>2127</v>
      </c>
      <c r="DO297" s="776" t="s">
        <v>2127</v>
      </c>
      <c r="DP297" s="776" t="s">
        <v>2127</v>
      </c>
    </row>
    <row r="298" spans="1:120" x14ac:dyDescent="0.2">
      <c r="A298" s="637" t="s">
        <v>2315</v>
      </c>
      <c r="B298" s="772" t="str" cm="1">
        <f t="array" ref="B298">IFERROR(INDEX(Kulturen[HF],_xlfn.AGGREGATE(15,6,(ROW(Kulturen[Auswahl])-7)/(--(SEARCH("x",Kulturen[Auswahl])&gt;0)),ROW()-7),1),"")</f>
        <v>Kuhschelle, Wiesen- (Kraut)</v>
      </c>
      <c r="C298" s="772" t="str">
        <f>IF(Kulturen[[#This Row],[HF]]=$D$373,IF($C$6=0,0,"x"),IF($C$6=0,"x",Vorauswahl!C297))</f>
        <v>x</v>
      </c>
      <c r="D298" s="938" t="s">
        <v>2046</v>
      </c>
      <c r="E298" s="938" t="s">
        <v>2046</v>
      </c>
      <c r="F298" s="938" t="s">
        <v>955</v>
      </c>
      <c r="G298" s="938">
        <v>14</v>
      </c>
      <c r="H298" s="938">
        <v>8</v>
      </c>
      <c r="I298" s="938">
        <v>3</v>
      </c>
      <c r="J298" s="938">
        <v>14</v>
      </c>
      <c r="K298" s="938">
        <v>0.16</v>
      </c>
      <c r="L298" s="938">
        <v>0.16</v>
      </c>
      <c r="M298" s="938">
        <v>185</v>
      </c>
      <c r="N298" s="938">
        <v>0</v>
      </c>
      <c r="O298" s="938">
        <v>2</v>
      </c>
      <c r="P298" s="938">
        <v>0</v>
      </c>
      <c r="Q298" s="938">
        <v>135</v>
      </c>
      <c r="R298" s="938">
        <v>19</v>
      </c>
      <c r="S298" s="938">
        <v>14</v>
      </c>
      <c r="T298" s="938">
        <v>14</v>
      </c>
      <c r="U298" s="938">
        <v>0</v>
      </c>
      <c r="V298" s="938">
        <v>1</v>
      </c>
      <c r="W298" s="776">
        <f>IF(Kulturen[[#This Row],[Berechnungsschema]]=13,3,IF(Kulturen[[#This Row],[Berechnungsschema]]=6,2,1))</f>
        <v>1</v>
      </c>
      <c r="X298" s="776">
        <f>IF(Kulturen[[#This Row],[fruchtartengruppe]]=13,Kulturen[[#This Row],[NBedarfswert]],MAX(0,Kulturen[[#This Row],[NBedarfswert]]-Kulturen[[#This Row],[Ertrag]]*Kulturen[[#This Row],[Nfix]]))</f>
        <v>135</v>
      </c>
      <c r="Y298" s="776" t="s">
        <v>2127</v>
      </c>
      <c r="Z298" s="776" t="s">
        <v>2127</v>
      </c>
      <c r="AA298" s="776" t="s">
        <v>2127</v>
      </c>
      <c r="AB298" s="776" t="s">
        <v>2127</v>
      </c>
      <c r="AC298" s="776" t="s">
        <v>2127</v>
      </c>
      <c r="AD298" s="776" t="s">
        <v>2127</v>
      </c>
      <c r="AE298" s="776" t="s">
        <v>2127</v>
      </c>
      <c r="AF298" s="776" t="s">
        <v>2127</v>
      </c>
      <c r="AG298" s="776" t="s">
        <v>2127</v>
      </c>
      <c r="AH298" s="776" t="s">
        <v>2127</v>
      </c>
      <c r="AI298" s="776" t="s">
        <v>2127</v>
      </c>
      <c r="AJ298" s="776" t="s">
        <v>2127</v>
      </c>
      <c r="AK298" s="776" t="s">
        <v>2127</v>
      </c>
      <c r="AL298" s="776" t="s">
        <v>2127</v>
      </c>
      <c r="AM298" s="776" t="s">
        <v>2127</v>
      </c>
      <c r="AN298" s="776" t="s">
        <v>2127</v>
      </c>
      <c r="AO298" s="776" t="s">
        <v>2127</v>
      </c>
      <c r="AP298" s="776" t="s">
        <v>2127</v>
      </c>
      <c r="AQ298" s="776" t="s">
        <v>2127</v>
      </c>
      <c r="AR298" s="776" t="s">
        <v>2127</v>
      </c>
      <c r="AS298" s="776" t="s">
        <v>2127</v>
      </c>
      <c r="AT298" s="776" t="s">
        <v>2127</v>
      </c>
      <c r="AU298" s="776" t="s">
        <v>2127</v>
      </c>
      <c r="AV298" s="776" t="s">
        <v>2127</v>
      </c>
      <c r="AW298" s="776" t="s">
        <v>2127</v>
      </c>
      <c r="AX298" s="776" t="s">
        <v>2127</v>
      </c>
      <c r="AY298" s="776" t="s">
        <v>2127</v>
      </c>
      <c r="AZ298" s="776" t="s">
        <v>2127</v>
      </c>
      <c r="BA298" s="776" t="s">
        <v>2127</v>
      </c>
      <c r="BB298" s="776" t="s">
        <v>2127</v>
      </c>
      <c r="BC298" s="776" t="s">
        <v>2127</v>
      </c>
      <c r="BD298" s="776" t="s">
        <v>2127</v>
      </c>
      <c r="BE298" s="776" t="s">
        <v>2127</v>
      </c>
      <c r="BF298" s="776" t="s">
        <v>2127</v>
      </c>
      <c r="BG298" s="776" t="s">
        <v>2127</v>
      </c>
      <c r="BH298" s="776" t="s">
        <v>2127</v>
      </c>
      <c r="BI298" s="776" t="s">
        <v>2127</v>
      </c>
      <c r="BJ298" s="776" t="s">
        <v>2127</v>
      </c>
      <c r="BK298" s="776" t="s">
        <v>2127</v>
      </c>
      <c r="BL298" s="776" t="s">
        <v>2127</v>
      </c>
      <c r="BM298" s="776" t="s">
        <v>2127</v>
      </c>
      <c r="BN298" s="776" t="s">
        <v>2127</v>
      </c>
      <c r="BO298" s="776" t="s">
        <v>2127</v>
      </c>
      <c r="BP298" s="776" t="s">
        <v>2127</v>
      </c>
      <c r="BQ298" s="776" t="s">
        <v>2127</v>
      </c>
      <c r="BR298" s="776" t="s">
        <v>2127</v>
      </c>
      <c r="BS298" s="776" t="s">
        <v>2127</v>
      </c>
      <c r="BT298" s="776" t="s">
        <v>2127</v>
      </c>
      <c r="BU298" s="776" t="s">
        <v>2127</v>
      </c>
      <c r="BV298" s="776" t="s">
        <v>2127</v>
      </c>
      <c r="BW298" s="776" t="s">
        <v>2127</v>
      </c>
      <c r="BX298" s="776" t="s">
        <v>2127</v>
      </c>
      <c r="BY298" s="776" t="s">
        <v>2127</v>
      </c>
      <c r="BZ298" s="776" t="s">
        <v>2127</v>
      </c>
      <c r="CA298" s="776" t="s">
        <v>2127</v>
      </c>
      <c r="CB298" s="776" t="s">
        <v>2127</v>
      </c>
      <c r="CC298" s="776" t="s">
        <v>2127</v>
      </c>
      <c r="CD298" s="776" t="s">
        <v>2127</v>
      </c>
      <c r="CE298" s="776" t="s">
        <v>2127</v>
      </c>
      <c r="CF298" s="776" t="s">
        <v>2127</v>
      </c>
      <c r="CG298" s="776" t="s">
        <v>2127</v>
      </c>
      <c r="CH298" s="776" t="s">
        <v>2127</v>
      </c>
      <c r="CI298" s="776" t="s">
        <v>2127</v>
      </c>
      <c r="CJ298" s="776" t="s">
        <v>2127</v>
      </c>
      <c r="CK298" s="776" t="s">
        <v>2127</v>
      </c>
      <c r="CL298" s="776" t="s">
        <v>2127</v>
      </c>
      <c r="CM298" s="776" t="s">
        <v>2127</v>
      </c>
      <c r="CN298" s="776" t="s">
        <v>2127</v>
      </c>
      <c r="CO298" s="776" t="s">
        <v>2127</v>
      </c>
      <c r="CP298" s="776" t="s">
        <v>2127</v>
      </c>
      <c r="CQ298" s="776" t="s">
        <v>2127</v>
      </c>
      <c r="CR298" s="776" t="s">
        <v>2127</v>
      </c>
      <c r="CS298" s="776" t="s">
        <v>2127</v>
      </c>
      <c r="CT298" s="776" t="s">
        <v>2127</v>
      </c>
      <c r="CU298" s="776" t="s">
        <v>2127</v>
      </c>
      <c r="CV298" s="776" t="s">
        <v>2127</v>
      </c>
      <c r="CW298" s="776" t="s">
        <v>2127</v>
      </c>
      <c r="CX298" s="776" t="s">
        <v>2127</v>
      </c>
      <c r="CY298" s="776" t="s">
        <v>2127</v>
      </c>
      <c r="CZ298" s="776" t="s">
        <v>2127</v>
      </c>
      <c r="DA298" s="776" t="s">
        <v>2127</v>
      </c>
      <c r="DB298" s="776" t="s">
        <v>2127</v>
      </c>
      <c r="DC298" s="776" t="s">
        <v>2127</v>
      </c>
      <c r="DD298" s="776" t="s">
        <v>2127</v>
      </c>
      <c r="DE298" s="776" t="s">
        <v>2127</v>
      </c>
      <c r="DF298" s="776" t="s">
        <v>2127</v>
      </c>
      <c r="DG298" s="776" t="s">
        <v>2127</v>
      </c>
      <c r="DH298" s="776" t="s">
        <v>2127</v>
      </c>
      <c r="DI298" s="776" t="s">
        <v>2127</v>
      </c>
      <c r="DJ298" s="776" t="s">
        <v>2127</v>
      </c>
      <c r="DK298" s="776" t="s">
        <v>2127</v>
      </c>
      <c r="DL298" s="776" t="s">
        <v>2127</v>
      </c>
      <c r="DM298" s="776" t="s">
        <v>2127</v>
      </c>
      <c r="DN298" s="776" t="s">
        <v>2127</v>
      </c>
      <c r="DO298" s="776" t="s">
        <v>2127</v>
      </c>
      <c r="DP298" s="776" t="s">
        <v>2127</v>
      </c>
    </row>
    <row r="299" spans="1:120" x14ac:dyDescent="0.2">
      <c r="A299" s="637" t="s">
        <v>2316</v>
      </c>
      <c r="B299" s="772" t="str" cm="1">
        <f t="array" ref="B299">IFERROR(INDEX(Kulturen[HF],_xlfn.AGGREGATE(15,6,(ROW(Kulturen[Auswahl])-7)/(--(SEARCH("x",Kulturen[Auswahl])&gt;0)),ROW()-7),1),"")</f>
        <v>Kuhschelle, Wiesen- (Ganzpflanze)</v>
      </c>
      <c r="C299" s="772" t="str">
        <f>IF(Kulturen[[#This Row],[HF]]=$D$373,IF($C$6=0,0,"x"),IF($C$6=0,"x",Vorauswahl!C298))</f>
        <v>x</v>
      </c>
      <c r="D299" s="938" t="s">
        <v>2047</v>
      </c>
      <c r="E299" s="938" t="s">
        <v>2047</v>
      </c>
      <c r="F299" s="938" t="s">
        <v>956</v>
      </c>
      <c r="G299" s="938">
        <v>14</v>
      </c>
      <c r="H299" s="938">
        <v>8</v>
      </c>
      <c r="I299" s="938">
        <v>3</v>
      </c>
      <c r="J299" s="938">
        <v>14</v>
      </c>
      <c r="K299" s="938">
        <v>0.1</v>
      </c>
      <c r="L299" s="938">
        <v>0.1</v>
      </c>
      <c r="M299" s="938">
        <v>190</v>
      </c>
      <c r="N299" s="938">
        <v>0</v>
      </c>
      <c r="O299" s="938">
        <v>2</v>
      </c>
      <c r="P299" s="938">
        <v>0</v>
      </c>
      <c r="Q299" s="938">
        <v>120</v>
      </c>
      <c r="R299" s="938">
        <v>19</v>
      </c>
      <c r="S299" s="938">
        <v>12</v>
      </c>
      <c r="T299" s="938">
        <v>12</v>
      </c>
      <c r="U299" s="938">
        <v>0</v>
      </c>
      <c r="V299" s="938">
        <v>1</v>
      </c>
      <c r="W299" s="776">
        <f>IF(Kulturen[[#This Row],[Berechnungsschema]]=13,3,IF(Kulturen[[#This Row],[Berechnungsschema]]=6,2,1))</f>
        <v>1</v>
      </c>
      <c r="X299" s="776">
        <f>IF(Kulturen[[#This Row],[fruchtartengruppe]]=13,Kulturen[[#This Row],[NBedarfswert]],MAX(0,Kulturen[[#This Row],[NBedarfswert]]-Kulturen[[#This Row],[Ertrag]]*Kulturen[[#This Row],[Nfix]]))</f>
        <v>120</v>
      </c>
      <c r="Y299" s="776" t="s">
        <v>2127</v>
      </c>
      <c r="Z299" s="776" t="s">
        <v>2127</v>
      </c>
      <c r="AA299" s="776" t="s">
        <v>2127</v>
      </c>
      <c r="AB299" s="776" t="s">
        <v>2127</v>
      </c>
      <c r="AC299" s="776" t="s">
        <v>2127</v>
      </c>
      <c r="AD299" s="776" t="s">
        <v>2127</v>
      </c>
      <c r="AE299" s="776" t="s">
        <v>2127</v>
      </c>
      <c r="AF299" s="776" t="s">
        <v>2127</v>
      </c>
      <c r="AG299" s="776" t="s">
        <v>2127</v>
      </c>
      <c r="AH299" s="776" t="s">
        <v>2127</v>
      </c>
      <c r="AI299" s="776" t="s">
        <v>2127</v>
      </c>
      <c r="AJ299" s="776" t="s">
        <v>2127</v>
      </c>
      <c r="AK299" s="776" t="s">
        <v>2127</v>
      </c>
      <c r="AL299" s="776" t="s">
        <v>2127</v>
      </c>
      <c r="AM299" s="776" t="s">
        <v>2127</v>
      </c>
      <c r="AN299" s="776" t="s">
        <v>2127</v>
      </c>
      <c r="AO299" s="776" t="s">
        <v>2127</v>
      </c>
      <c r="AP299" s="776" t="s">
        <v>2127</v>
      </c>
      <c r="AQ299" s="776" t="s">
        <v>2127</v>
      </c>
      <c r="AR299" s="776" t="s">
        <v>2127</v>
      </c>
      <c r="AS299" s="776" t="s">
        <v>2127</v>
      </c>
      <c r="AT299" s="776" t="s">
        <v>2127</v>
      </c>
      <c r="AU299" s="776" t="s">
        <v>2127</v>
      </c>
      <c r="AV299" s="776" t="s">
        <v>2127</v>
      </c>
      <c r="AW299" s="776" t="s">
        <v>2127</v>
      </c>
      <c r="AX299" s="776" t="s">
        <v>2127</v>
      </c>
      <c r="AY299" s="776" t="s">
        <v>2127</v>
      </c>
      <c r="AZ299" s="776" t="s">
        <v>2127</v>
      </c>
      <c r="BA299" s="776" t="s">
        <v>2127</v>
      </c>
      <c r="BB299" s="776" t="s">
        <v>2127</v>
      </c>
      <c r="BC299" s="776" t="s">
        <v>2127</v>
      </c>
      <c r="BD299" s="776" t="s">
        <v>2127</v>
      </c>
      <c r="BE299" s="776" t="s">
        <v>2127</v>
      </c>
      <c r="BF299" s="776" t="s">
        <v>2127</v>
      </c>
      <c r="BG299" s="776" t="s">
        <v>2127</v>
      </c>
      <c r="BH299" s="776" t="s">
        <v>2127</v>
      </c>
      <c r="BI299" s="776" t="s">
        <v>2127</v>
      </c>
      <c r="BJ299" s="776" t="s">
        <v>2127</v>
      </c>
      <c r="BK299" s="776" t="s">
        <v>2127</v>
      </c>
      <c r="BL299" s="776" t="s">
        <v>2127</v>
      </c>
      <c r="BM299" s="776" t="s">
        <v>2127</v>
      </c>
      <c r="BN299" s="776" t="s">
        <v>2127</v>
      </c>
      <c r="BO299" s="776" t="s">
        <v>2127</v>
      </c>
      <c r="BP299" s="776" t="s">
        <v>2127</v>
      </c>
      <c r="BQ299" s="776" t="s">
        <v>2127</v>
      </c>
      <c r="BR299" s="776" t="s">
        <v>2127</v>
      </c>
      <c r="BS299" s="776" t="s">
        <v>2127</v>
      </c>
      <c r="BT299" s="776" t="s">
        <v>2127</v>
      </c>
      <c r="BU299" s="776" t="s">
        <v>2127</v>
      </c>
      <c r="BV299" s="776" t="s">
        <v>2127</v>
      </c>
      <c r="BW299" s="776" t="s">
        <v>2127</v>
      </c>
      <c r="BX299" s="776" t="s">
        <v>2127</v>
      </c>
      <c r="BY299" s="776" t="s">
        <v>2127</v>
      </c>
      <c r="BZ299" s="776" t="s">
        <v>2127</v>
      </c>
      <c r="CA299" s="776" t="s">
        <v>2127</v>
      </c>
      <c r="CB299" s="776" t="s">
        <v>2127</v>
      </c>
      <c r="CC299" s="776" t="s">
        <v>2127</v>
      </c>
      <c r="CD299" s="776" t="s">
        <v>2127</v>
      </c>
      <c r="CE299" s="776" t="s">
        <v>2127</v>
      </c>
      <c r="CF299" s="776" t="s">
        <v>2127</v>
      </c>
      <c r="CG299" s="776" t="s">
        <v>2127</v>
      </c>
      <c r="CH299" s="776" t="s">
        <v>2127</v>
      </c>
      <c r="CI299" s="776" t="s">
        <v>2127</v>
      </c>
      <c r="CJ299" s="776" t="s">
        <v>2127</v>
      </c>
      <c r="CK299" s="776" t="s">
        <v>2127</v>
      </c>
      <c r="CL299" s="776" t="s">
        <v>2127</v>
      </c>
      <c r="CM299" s="776" t="s">
        <v>2127</v>
      </c>
      <c r="CN299" s="776" t="s">
        <v>2127</v>
      </c>
      <c r="CO299" s="776" t="s">
        <v>2127</v>
      </c>
      <c r="CP299" s="776" t="s">
        <v>2127</v>
      </c>
      <c r="CQ299" s="776" t="s">
        <v>2127</v>
      </c>
      <c r="CR299" s="776" t="s">
        <v>2127</v>
      </c>
      <c r="CS299" s="776" t="s">
        <v>2127</v>
      </c>
      <c r="CT299" s="776" t="s">
        <v>2127</v>
      </c>
      <c r="CU299" s="776" t="s">
        <v>2127</v>
      </c>
      <c r="CV299" s="776" t="s">
        <v>2127</v>
      </c>
      <c r="CW299" s="776" t="s">
        <v>2127</v>
      </c>
      <c r="CX299" s="776" t="s">
        <v>2127</v>
      </c>
      <c r="CY299" s="776" t="s">
        <v>2127</v>
      </c>
      <c r="CZ299" s="776" t="s">
        <v>2127</v>
      </c>
      <c r="DA299" s="776" t="s">
        <v>2127</v>
      </c>
      <c r="DB299" s="776" t="s">
        <v>2127</v>
      </c>
      <c r="DC299" s="776" t="s">
        <v>2127</v>
      </c>
      <c r="DD299" s="776" t="s">
        <v>2127</v>
      </c>
      <c r="DE299" s="776" t="s">
        <v>2127</v>
      </c>
      <c r="DF299" s="776" t="s">
        <v>2127</v>
      </c>
      <c r="DG299" s="776" t="s">
        <v>2127</v>
      </c>
      <c r="DH299" s="776" t="s">
        <v>2127</v>
      </c>
      <c r="DI299" s="776" t="s">
        <v>2127</v>
      </c>
      <c r="DJ299" s="776" t="s">
        <v>2127</v>
      </c>
      <c r="DK299" s="776" t="s">
        <v>2127</v>
      </c>
      <c r="DL299" s="776" t="s">
        <v>2127</v>
      </c>
      <c r="DM299" s="776" t="s">
        <v>2127</v>
      </c>
      <c r="DN299" s="776" t="s">
        <v>2127</v>
      </c>
      <c r="DO299" s="776" t="s">
        <v>2127</v>
      </c>
      <c r="DP299" s="776" t="s">
        <v>2127</v>
      </c>
    </row>
    <row r="300" spans="1:120" x14ac:dyDescent="0.2">
      <c r="A300" s="637" t="s">
        <v>2317</v>
      </c>
      <c r="B300" s="772" t="str" cm="1">
        <f t="array" ref="B300">IFERROR(INDEX(Kulturen[HF],_xlfn.AGGREGATE(15,6,(ROW(Kulturen[Auswahl])-7)/(--(SEARCH("x",Kulturen[Auswahl])&gt;0)),ROW()-7),1),"")</f>
        <v>Lavendel (Blütenähren)</v>
      </c>
      <c r="C300" s="772" t="str">
        <f>IF(Kulturen[[#This Row],[HF]]=$D$373,IF($C$6=0,0,"x"),IF($C$6=0,"x",Vorauswahl!C299))</f>
        <v>x</v>
      </c>
      <c r="D300" s="938" t="s">
        <v>2048</v>
      </c>
      <c r="E300" s="938" t="s">
        <v>2048</v>
      </c>
      <c r="F300" s="938" t="s">
        <v>957</v>
      </c>
      <c r="G300" s="938">
        <v>14</v>
      </c>
      <c r="H300" s="938">
        <v>8</v>
      </c>
      <c r="I300" s="938">
        <v>3</v>
      </c>
      <c r="J300" s="938">
        <v>14</v>
      </c>
      <c r="K300" s="938">
        <v>0.14000000000000001</v>
      </c>
      <c r="L300" s="938">
        <v>0.14000000000000001</v>
      </c>
      <c r="M300" s="938">
        <v>120</v>
      </c>
      <c r="N300" s="938">
        <v>0</v>
      </c>
      <c r="O300" s="938">
        <v>2</v>
      </c>
      <c r="P300" s="938">
        <v>0</v>
      </c>
      <c r="Q300" s="938">
        <v>100</v>
      </c>
      <c r="R300" s="938">
        <v>12</v>
      </c>
      <c r="S300" s="938">
        <v>5</v>
      </c>
      <c r="T300" s="938">
        <v>5</v>
      </c>
      <c r="U300" s="938">
        <v>0</v>
      </c>
      <c r="V300" s="938">
        <v>1</v>
      </c>
      <c r="W300" s="776">
        <f>IF(Kulturen[[#This Row],[Berechnungsschema]]=13,3,IF(Kulturen[[#This Row],[Berechnungsschema]]=6,2,1))</f>
        <v>1</v>
      </c>
      <c r="X300" s="776">
        <f>IF(Kulturen[[#This Row],[fruchtartengruppe]]=13,Kulturen[[#This Row],[NBedarfswert]],MAX(0,Kulturen[[#This Row],[NBedarfswert]]-Kulturen[[#This Row],[Ertrag]]*Kulturen[[#This Row],[Nfix]]))</f>
        <v>100</v>
      </c>
      <c r="Y300" s="776" t="s">
        <v>2127</v>
      </c>
      <c r="Z300" s="776" t="s">
        <v>2127</v>
      </c>
      <c r="AA300" s="776" t="s">
        <v>2127</v>
      </c>
      <c r="AB300" s="776" t="s">
        <v>2127</v>
      </c>
      <c r="AC300" s="776" t="s">
        <v>2127</v>
      </c>
      <c r="AD300" s="776" t="s">
        <v>2127</v>
      </c>
      <c r="AE300" s="776" t="s">
        <v>2127</v>
      </c>
      <c r="AF300" s="776" t="s">
        <v>2127</v>
      </c>
      <c r="AG300" s="776" t="s">
        <v>2127</v>
      </c>
      <c r="AH300" s="776" t="s">
        <v>2127</v>
      </c>
      <c r="AI300" s="776" t="s">
        <v>2127</v>
      </c>
      <c r="AJ300" s="776" t="s">
        <v>2127</v>
      </c>
      <c r="AK300" s="776" t="s">
        <v>2127</v>
      </c>
      <c r="AL300" s="776" t="s">
        <v>2127</v>
      </c>
      <c r="AM300" s="776" t="s">
        <v>2127</v>
      </c>
      <c r="AN300" s="776" t="s">
        <v>2127</v>
      </c>
      <c r="AO300" s="776" t="s">
        <v>2127</v>
      </c>
      <c r="AP300" s="776" t="s">
        <v>2127</v>
      </c>
      <c r="AQ300" s="776" t="s">
        <v>2127</v>
      </c>
      <c r="AR300" s="776" t="s">
        <v>2127</v>
      </c>
      <c r="AS300" s="776" t="s">
        <v>2127</v>
      </c>
      <c r="AT300" s="776" t="s">
        <v>2127</v>
      </c>
      <c r="AU300" s="776" t="s">
        <v>2127</v>
      </c>
      <c r="AV300" s="776" t="s">
        <v>2127</v>
      </c>
      <c r="AW300" s="776" t="s">
        <v>2127</v>
      </c>
      <c r="AX300" s="776" t="s">
        <v>2127</v>
      </c>
      <c r="AY300" s="776" t="s">
        <v>2127</v>
      </c>
      <c r="AZ300" s="776" t="s">
        <v>2127</v>
      </c>
      <c r="BA300" s="776" t="s">
        <v>2127</v>
      </c>
      <c r="BB300" s="776" t="s">
        <v>2127</v>
      </c>
      <c r="BC300" s="776" t="s">
        <v>2127</v>
      </c>
      <c r="BD300" s="776" t="s">
        <v>2127</v>
      </c>
      <c r="BE300" s="776" t="s">
        <v>2127</v>
      </c>
      <c r="BF300" s="776" t="s">
        <v>2127</v>
      </c>
      <c r="BG300" s="776" t="s">
        <v>2127</v>
      </c>
      <c r="BH300" s="776" t="s">
        <v>2127</v>
      </c>
      <c r="BI300" s="776" t="s">
        <v>2127</v>
      </c>
      <c r="BJ300" s="776" t="s">
        <v>2127</v>
      </c>
      <c r="BK300" s="776" t="s">
        <v>2127</v>
      </c>
      <c r="BL300" s="776" t="s">
        <v>2127</v>
      </c>
      <c r="BM300" s="776" t="s">
        <v>2127</v>
      </c>
      <c r="BN300" s="776" t="s">
        <v>2127</v>
      </c>
      <c r="BO300" s="776" t="s">
        <v>2127</v>
      </c>
      <c r="BP300" s="776" t="s">
        <v>2127</v>
      </c>
      <c r="BQ300" s="776" t="s">
        <v>2127</v>
      </c>
      <c r="BR300" s="776" t="s">
        <v>2127</v>
      </c>
      <c r="BS300" s="776" t="s">
        <v>2127</v>
      </c>
      <c r="BT300" s="776" t="s">
        <v>2127</v>
      </c>
      <c r="BU300" s="776" t="s">
        <v>2127</v>
      </c>
      <c r="BV300" s="776" t="s">
        <v>2127</v>
      </c>
      <c r="BW300" s="776" t="s">
        <v>2127</v>
      </c>
      <c r="BX300" s="776" t="s">
        <v>2127</v>
      </c>
      <c r="BY300" s="776" t="s">
        <v>2127</v>
      </c>
      <c r="BZ300" s="776" t="s">
        <v>2127</v>
      </c>
      <c r="CA300" s="776" t="s">
        <v>2127</v>
      </c>
      <c r="CB300" s="776" t="s">
        <v>2127</v>
      </c>
      <c r="CC300" s="776" t="s">
        <v>2127</v>
      </c>
      <c r="CD300" s="776" t="s">
        <v>2127</v>
      </c>
      <c r="CE300" s="776" t="s">
        <v>2127</v>
      </c>
      <c r="CF300" s="776" t="s">
        <v>2127</v>
      </c>
      <c r="CG300" s="776" t="s">
        <v>2127</v>
      </c>
      <c r="CH300" s="776" t="s">
        <v>2127</v>
      </c>
      <c r="CI300" s="776" t="s">
        <v>2127</v>
      </c>
      <c r="CJ300" s="776" t="s">
        <v>2127</v>
      </c>
      <c r="CK300" s="776" t="s">
        <v>2127</v>
      </c>
      <c r="CL300" s="776" t="s">
        <v>2127</v>
      </c>
      <c r="CM300" s="776" t="s">
        <v>2127</v>
      </c>
      <c r="CN300" s="776" t="s">
        <v>2127</v>
      </c>
      <c r="CO300" s="776" t="s">
        <v>2127</v>
      </c>
      <c r="CP300" s="776" t="s">
        <v>2127</v>
      </c>
      <c r="CQ300" s="776" t="s">
        <v>2127</v>
      </c>
      <c r="CR300" s="776" t="s">
        <v>2127</v>
      </c>
      <c r="CS300" s="776" t="s">
        <v>2127</v>
      </c>
      <c r="CT300" s="776" t="s">
        <v>2127</v>
      </c>
      <c r="CU300" s="776" t="s">
        <v>2127</v>
      </c>
      <c r="CV300" s="776" t="s">
        <v>2127</v>
      </c>
      <c r="CW300" s="776" t="s">
        <v>2127</v>
      </c>
      <c r="CX300" s="776" t="s">
        <v>2127</v>
      </c>
      <c r="CY300" s="776" t="s">
        <v>2127</v>
      </c>
      <c r="CZ300" s="776" t="s">
        <v>2127</v>
      </c>
      <c r="DA300" s="776" t="s">
        <v>2127</v>
      </c>
      <c r="DB300" s="776" t="s">
        <v>2127</v>
      </c>
      <c r="DC300" s="776" t="s">
        <v>2127</v>
      </c>
      <c r="DD300" s="776" t="s">
        <v>2127</v>
      </c>
      <c r="DE300" s="776" t="s">
        <v>2127</v>
      </c>
      <c r="DF300" s="776" t="s">
        <v>2127</v>
      </c>
      <c r="DG300" s="776" t="s">
        <v>2127</v>
      </c>
      <c r="DH300" s="776" t="s">
        <v>2127</v>
      </c>
      <c r="DI300" s="776" t="s">
        <v>2127</v>
      </c>
      <c r="DJ300" s="776" t="s">
        <v>2127</v>
      </c>
      <c r="DK300" s="776" t="s">
        <v>2127</v>
      </c>
      <c r="DL300" s="776" t="s">
        <v>2127</v>
      </c>
      <c r="DM300" s="776" t="s">
        <v>2127</v>
      </c>
      <c r="DN300" s="776" t="s">
        <v>2127</v>
      </c>
      <c r="DO300" s="776" t="s">
        <v>2127</v>
      </c>
      <c r="DP300" s="776" t="s">
        <v>2127</v>
      </c>
    </row>
    <row r="301" spans="1:120" x14ac:dyDescent="0.2">
      <c r="A301" s="637" t="s">
        <v>2318</v>
      </c>
      <c r="B301" s="772" t="str" cm="1">
        <f t="array" ref="B301">IFERROR(INDEX(Kulturen[HF],_xlfn.AGGREGATE(15,6,(ROW(Kulturen[Auswahl])-7)/(--(SEARCH("x",Kulturen[Auswahl])&gt;0)),ROW()-7),1),"")</f>
        <v>Liebstöckel (Nicht blühendes Kraut)</v>
      </c>
      <c r="C301" s="772" t="str">
        <f>IF(Kulturen[[#This Row],[HF]]=$D$373,IF($C$6=0,0,"x"),IF($C$6=0,"x",Vorauswahl!C300))</f>
        <v>x</v>
      </c>
      <c r="D301" s="938" t="s">
        <v>819</v>
      </c>
      <c r="E301" s="938" t="s">
        <v>819</v>
      </c>
      <c r="F301" s="938" t="s">
        <v>958</v>
      </c>
      <c r="G301" s="938">
        <v>14</v>
      </c>
      <c r="H301" s="938">
        <v>8</v>
      </c>
      <c r="I301" s="938">
        <v>1</v>
      </c>
      <c r="J301" s="938">
        <v>14</v>
      </c>
      <c r="K301" s="938">
        <v>1.1000000000000001</v>
      </c>
      <c r="L301" s="938">
        <v>2.15</v>
      </c>
      <c r="M301" s="938">
        <v>20</v>
      </c>
      <c r="N301" s="938">
        <v>0</v>
      </c>
      <c r="O301" s="938">
        <v>1</v>
      </c>
      <c r="P301" s="938">
        <v>0</v>
      </c>
      <c r="Q301" s="938">
        <v>80</v>
      </c>
      <c r="R301" s="938">
        <v>2</v>
      </c>
      <c r="S301" s="938">
        <v>8</v>
      </c>
      <c r="T301" s="938">
        <v>8</v>
      </c>
      <c r="U301" s="938">
        <v>0</v>
      </c>
      <c r="V301" s="938">
        <v>1</v>
      </c>
      <c r="W301" s="776">
        <f>IF(Kulturen[[#This Row],[Berechnungsschema]]=13,3,IF(Kulturen[[#This Row],[Berechnungsschema]]=6,2,1))</f>
        <v>1</v>
      </c>
      <c r="X301" s="776">
        <f>IF(Kulturen[[#This Row],[fruchtartengruppe]]=13,Kulturen[[#This Row],[NBedarfswert]],MAX(0,Kulturen[[#This Row],[NBedarfswert]]-Kulturen[[#This Row],[Ertrag]]*Kulturen[[#This Row],[Nfix]]))</f>
        <v>80</v>
      </c>
      <c r="Y301" s="776" t="s">
        <v>2127</v>
      </c>
      <c r="Z301" s="776" t="s">
        <v>2127</v>
      </c>
      <c r="AA301" s="776" t="s">
        <v>2127</v>
      </c>
      <c r="AB301" s="776" t="s">
        <v>2127</v>
      </c>
      <c r="AC301" s="776" t="s">
        <v>2127</v>
      </c>
      <c r="AD301" s="776" t="s">
        <v>2127</v>
      </c>
      <c r="AE301" s="776" t="s">
        <v>2127</v>
      </c>
      <c r="AF301" s="776" t="s">
        <v>2127</v>
      </c>
      <c r="AG301" s="776" t="s">
        <v>2127</v>
      </c>
      <c r="AH301" s="776" t="s">
        <v>2127</v>
      </c>
      <c r="AI301" s="776" t="s">
        <v>2127</v>
      </c>
      <c r="AJ301" s="776" t="s">
        <v>2127</v>
      </c>
      <c r="AK301" s="776" t="s">
        <v>2127</v>
      </c>
      <c r="AL301" s="776" t="s">
        <v>2127</v>
      </c>
      <c r="AM301" s="776" t="s">
        <v>2127</v>
      </c>
      <c r="AN301" s="776" t="s">
        <v>2127</v>
      </c>
      <c r="AO301" s="776" t="s">
        <v>2127</v>
      </c>
      <c r="AP301" s="776" t="s">
        <v>2127</v>
      </c>
      <c r="AQ301" s="776" t="s">
        <v>2127</v>
      </c>
      <c r="AR301" s="776" t="s">
        <v>2127</v>
      </c>
      <c r="AS301" s="776" t="s">
        <v>2127</v>
      </c>
      <c r="AT301" s="776" t="s">
        <v>2127</v>
      </c>
      <c r="AU301" s="776" t="s">
        <v>2127</v>
      </c>
      <c r="AV301" s="776" t="s">
        <v>2127</v>
      </c>
      <c r="AW301" s="776" t="s">
        <v>2127</v>
      </c>
      <c r="AX301" s="776" t="s">
        <v>2127</v>
      </c>
      <c r="AY301" s="776" t="s">
        <v>2127</v>
      </c>
      <c r="AZ301" s="776" t="s">
        <v>2127</v>
      </c>
      <c r="BA301" s="776" t="s">
        <v>2127</v>
      </c>
      <c r="BB301" s="776" t="s">
        <v>2127</v>
      </c>
      <c r="BC301" s="776" t="s">
        <v>2127</v>
      </c>
      <c r="BD301" s="776" t="s">
        <v>2127</v>
      </c>
      <c r="BE301" s="776" t="s">
        <v>2127</v>
      </c>
      <c r="BF301" s="776" t="s">
        <v>2127</v>
      </c>
      <c r="BG301" s="776" t="s">
        <v>2127</v>
      </c>
      <c r="BH301" s="776" t="s">
        <v>2127</v>
      </c>
      <c r="BI301" s="776" t="s">
        <v>2127</v>
      </c>
      <c r="BJ301" s="776" t="s">
        <v>2127</v>
      </c>
      <c r="BK301" s="776" t="s">
        <v>2127</v>
      </c>
      <c r="BL301" s="776" t="s">
        <v>2127</v>
      </c>
      <c r="BM301" s="776" t="s">
        <v>2127</v>
      </c>
      <c r="BN301" s="776" t="s">
        <v>2127</v>
      </c>
      <c r="BO301" s="776" t="s">
        <v>2127</v>
      </c>
      <c r="BP301" s="776" t="s">
        <v>2127</v>
      </c>
      <c r="BQ301" s="776" t="s">
        <v>2127</v>
      </c>
      <c r="BR301" s="776" t="s">
        <v>2127</v>
      </c>
      <c r="BS301" s="776" t="s">
        <v>2127</v>
      </c>
      <c r="BT301" s="776" t="s">
        <v>2127</v>
      </c>
      <c r="BU301" s="776" t="s">
        <v>2127</v>
      </c>
      <c r="BV301" s="776" t="s">
        <v>2127</v>
      </c>
      <c r="BW301" s="776" t="s">
        <v>2127</v>
      </c>
      <c r="BX301" s="776" t="s">
        <v>2127</v>
      </c>
      <c r="BY301" s="776" t="s">
        <v>2127</v>
      </c>
      <c r="BZ301" s="776" t="s">
        <v>2127</v>
      </c>
      <c r="CA301" s="776" t="s">
        <v>2127</v>
      </c>
      <c r="CB301" s="776" t="s">
        <v>2127</v>
      </c>
      <c r="CC301" s="776" t="s">
        <v>2127</v>
      </c>
      <c r="CD301" s="776" t="s">
        <v>2127</v>
      </c>
      <c r="CE301" s="776" t="s">
        <v>2127</v>
      </c>
      <c r="CF301" s="776" t="s">
        <v>2127</v>
      </c>
      <c r="CG301" s="776" t="s">
        <v>2127</v>
      </c>
      <c r="CH301" s="776" t="s">
        <v>2127</v>
      </c>
      <c r="CI301" s="776" t="s">
        <v>2127</v>
      </c>
      <c r="CJ301" s="776" t="s">
        <v>2127</v>
      </c>
      <c r="CK301" s="776" t="s">
        <v>2127</v>
      </c>
      <c r="CL301" s="776" t="s">
        <v>2127</v>
      </c>
      <c r="CM301" s="776" t="s">
        <v>2127</v>
      </c>
      <c r="CN301" s="776" t="s">
        <v>2127</v>
      </c>
      <c r="CO301" s="776" t="s">
        <v>2127</v>
      </c>
      <c r="CP301" s="776" t="s">
        <v>2127</v>
      </c>
      <c r="CQ301" s="776" t="s">
        <v>2127</v>
      </c>
      <c r="CR301" s="776" t="s">
        <v>2127</v>
      </c>
      <c r="CS301" s="776" t="s">
        <v>2127</v>
      </c>
      <c r="CT301" s="776" t="s">
        <v>2127</v>
      </c>
      <c r="CU301" s="776" t="s">
        <v>2127</v>
      </c>
      <c r="CV301" s="776" t="s">
        <v>2127</v>
      </c>
      <c r="CW301" s="776" t="s">
        <v>2127</v>
      </c>
      <c r="CX301" s="776" t="s">
        <v>2127</v>
      </c>
      <c r="CY301" s="776" t="s">
        <v>2127</v>
      </c>
      <c r="CZ301" s="776" t="s">
        <v>2127</v>
      </c>
      <c r="DA301" s="776" t="s">
        <v>2127</v>
      </c>
      <c r="DB301" s="776" t="s">
        <v>2127</v>
      </c>
      <c r="DC301" s="776" t="s">
        <v>2127</v>
      </c>
      <c r="DD301" s="776" t="s">
        <v>2127</v>
      </c>
      <c r="DE301" s="776" t="s">
        <v>2127</v>
      </c>
      <c r="DF301" s="776" t="s">
        <v>2127</v>
      </c>
      <c r="DG301" s="776" t="s">
        <v>2127</v>
      </c>
      <c r="DH301" s="776" t="s">
        <v>2127</v>
      </c>
      <c r="DI301" s="776" t="s">
        <v>2127</v>
      </c>
      <c r="DJ301" s="776" t="s">
        <v>2127</v>
      </c>
      <c r="DK301" s="776" t="s">
        <v>2127</v>
      </c>
      <c r="DL301" s="776" t="s">
        <v>2127</v>
      </c>
      <c r="DM301" s="776" t="s">
        <v>2127</v>
      </c>
      <c r="DN301" s="776" t="s">
        <v>2127</v>
      </c>
      <c r="DO301" s="776" t="s">
        <v>2127</v>
      </c>
      <c r="DP301" s="776" t="s">
        <v>2127</v>
      </c>
    </row>
    <row r="302" spans="1:120" x14ac:dyDescent="0.2">
      <c r="A302" s="637" t="s">
        <v>2319</v>
      </c>
      <c r="B302" s="772" t="str" cm="1">
        <f t="array" ref="B302">IFERROR(INDEX(Kulturen[HF],_xlfn.AGGREGATE(15,6,(ROW(Kulturen[Auswahl])-7)/(--(SEARCH("x",Kulturen[Auswahl])&gt;0)),ROW()-7),1),"")</f>
        <v>Löwenzahn (Kraut)</v>
      </c>
      <c r="C302" s="772" t="str">
        <f>IF(Kulturen[[#This Row],[HF]]=$D$373,IF($C$6=0,0,"x"),IF($C$6=0,"x",Vorauswahl!C301))</f>
        <v>x</v>
      </c>
      <c r="D302" s="938" t="s">
        <v>2049</v>
      </c>
      <c r="E302" s="938" t="s">
        <v>2049</v>
      </c>
      <c r="F302" s="938" t="s">
        <v>959</v>
      </c>
      <c r="G302" s="938">
        <v>14</v>
      </c>
      <c r="H302" s="938">
        <v>8</v>
      </c>
      <c r="I302" s="938">
        <v>3</v>
      </c>
      <c r="J302" s="938">
        <v>14</v>
      </c>
      <c r="K302" s="938">
        <v>0.1</v>
      </c>
      <c r="L302" s="938">
        <v>0.1</v>
      </c>
      <c r="M302" s="938">
        <v>200</v>
      </c>
      <c r="N302" s="938">
        <v>0</v>
      </c>
      <c r="O302" s="938">
        <v>1</v>
      </c>
      <c r="P302" s="938">
        <v>0</v>
      </c>
      <c r="Q302" s="938">
        <v>115</v>
      </c>
      <c r="R302" s="938">
        <v>20</v>
      </c>
      <c r="S302" s="938">
        <v>12</v>
      </c>
      <c r="T302" s="938">
        <v>12</v>
      </c>
      <c r="U302" s="938">
        <v>0</v>
      </c>
      <c r="V302" s="938">
        <v>1</v>
      </c>
      <c r="W302" s="776">
        <f>IF(Kulturen[[#This Row],[Berechnungsschema]]=13,3,IF(Kulturen[[#This Row],[Berechnungsschema]]=6,2,1))</f>
        <v>1</v>
      </c>
      <c r="X302" s="776">
        <f>IF(Kulturen[[#This Row],[fruchtartengruppe]]=13,Kulturen[[#This Row],[NBedarfswert]],MAX(0,Kulturen[[#This Row],[NBedarfswert]]-Kulturen[[#This Row],[Ertrag]]*Kulturen[[#This Row],[Nfix]]))</f>
        <v>115</v>
      </c>
      <c r="Y302" s="776" t="s">
        <v>2127</v>
      </c>
      <c r="Z302" s="776" t="s">
        <v>2127</v>
      </c>
      <c r="AA302" s="776" t="s">
        <v>2127</v>
      </c>
      <c r="AB302" s="776" t="s">
        <v>2127</v>
      </c>
      <c r="AC302" s="776" t="s">
        <v>2127</v>
      </c>
      <c r="AD302" s="776" t="s">
        <v>2127</v>
      </c>
      <c r="AE302" s="776" t="s">
        <v>2127</v>
      </c>
      <c r="AF302" s="776" t="s">
        <v>2127</v>
      </c>
      <c r="AG302" s="776" t="s">
        <v>2127</v>
      </c>
      <c r="AH302" s="776" t="s">
        <v>2127</v>
      </c>
      <c r="AI302" s="776" t="s">
        <v>2127</v>
      </c>
      <c r="AJ302" s="776" t="s">
        <v>2127</v>
      </c>
      <c r="AK302" s="776" t="s">
        <v>2127</v>
      </c>
      <c r="AL302" s="776" t="s">
        <v>2127</v>
      </c>
      <c r="AM302" s="776" t="s">
        <v>2127</v>
      </c>
      <c r="AN302" s="776" t="s">
        <v>2127</v>
      </c>
      <c r="AO302" s="776" t="s">
        <v>2127</v>
      </c>
      <c r="AP302" s="776" t="s">
        <v>2127</v>
      </c>
      <c r="AQ302" s="776" t="s">
        <v>2127</v>
      </c>
      <c r="AR302" s="776" t="s">
        <v>2127</v>
      </c>
      <c r="AS302" s="776" t="s">
        <v>2127</v>
      </c>
      <c r="AT302" s="776" t="s">
        <v>2127</v>
      </c>
      <c r="AU302" s="776" t="s">
        <v>2127</v>
      </c>
      <c r="AV302" s="776" t="s">
        <v>2127</v>
      </c>
      <c r="AW302" s="776" t="s">
        <v>2127</v>
      </c>
      <c r="AX302" s="776" t="s">
        <v>2127</v>
      </c>
      <c r="AY302" s="776" t="s">
        <v>2127</v>
      </c>
      <c r="AZ302" s="776" t="s">
        <v>2127</v>
      </c>
      <c r="BA302" s="776" t="s">
        <v>2127</v>
      </c>
      <c r="BB302" s="776" t="s">
        <v>2127</v>
      </c>
      <c r="BC302" s="776" t="s">
        <v>2127</v>
      </c>
      <c r="BD302" s="776" t="s">
        <v>2127</v>
      </c>
      <c r="BE302" s="776" t="s">
        <v>2127</v>
      </c>
      <c r="BF302" s="776" t="s">
        <v>2127</v>
      </c>
      <c r="BG302" s="776" t="s">
        <v>2127</v>
      </c>
      <c r="BH302" s="776" t="s">
        <v>2127</v>
      </c>
      <c r="BI302" s="776" t="s">
        <v>2127</v>
      </c>
      <c r="BJ302" s="776" t="s">
        <v>2127</v>
      </c>
      <c r="BK302" s="776" t="s">
        <v>2127</v>
      </c>
      <c r="BL302" s="776" t="s">
        <v>2127</v>
      </c>
      <c r="BM302" s="776" t="s">
        <v>2127</v>
      </c>
      <c r="BN302" s="776" t="s">
        <v>2127</v>
      </c>
      <c r="BO302" s="776" t="s">
        <v>2127</v>
      </c>
      <c r="BP302" s="776" t="s">
        <v>2127</v>
      </c>
      <c r="BQ302" s="776" t="s">
        <v>2127</v>
      </c>
      <c r="BR302" s="776" t="s">
        <v>2127</v>
      </c>
      <c r="BS302" s="776" t="s">
        <v>2127</v>
      </c>
      <c r="BT302" s="776" t="s">
        <v>2127</v>
      </c>
      <c r="BU302" s="776" t="s">
        <v>2127</v>
      </c>
      <c r="BV302" s="776" t="s">
        <v>2127</v>
      </c>
      <c r="BW302" s="776" t="s">
        <v>2127</v>
      </c>
      <c r="BX302" s="776" t="s">
        <v>2127</v>
      </c>
      <c r="BY302" s="776" t="s">
        <v>2127</v>
      </c>
      <c r="BZ302" s="776" t="s">
        <v>2127</v>
      </c>
      <c r="CA302" s="776" t="s">
        <v>2127</v>
      </c>
      <c r="CB302" s="776" t="s">
        <v>2127</v>
      </c>
      <c r="CC302" s="776" t="s">
        <v>2127</v>
      </c>
      <c r="CD302" s="776" t="s">
        <v>2127</v>
      </c>
      <c r="CE302" s="776" t="s">
        <v>2127</v>
      </c>
      <c r="CF302" s="776" t="s">
        <v>2127</v>
      </c>
      <c r="CG302" s="776" t="s">
        <v>2127</v>
      </c>
      <c r="CH302" s="776" t="s">
        <v>2127</v>
      </c>
      <c r="CI302" s="776" t="s">
        <v>2127</v>
      </c>
      <c r="CJ302" s="776" t="s">
        <v>2127</v>
      </c>
      <c r="CK302" s="776" t="s">
        <v>2127</v>
      </c>
      <c r="CL302" s="776" t="s">
        <v>2127</v>
      </c>
      <c r="CM302" s="776" t="s">
        <v>2127</v>
      </c>
      <c r="CN302" s="776" t="s">
        <v>2127</v>
      </c>
      <c r="CO302" s="776" t="s">
        <v>2127</v>
      </c>
      <c r="CP302" s="776" t="s">
        <v>2127</v>
      </c>
      <c r="CQ302" s="776" t="s">
        <v>2127</v>
      </c>
      <c r="CR302" s="776" t="s">
        <v>2127</v>
      </c>
      <c r="CS302" s="776" t="s">
        <v>2127</v>
      </c>
      <c r="CT302" s="776" t="s">
        <v>2127</v>
      </c>
      <c r="CU302" s="776" t="s">
        <v>2127</v>
      </c>
      <c r="CV302" s="776" t="s">
        <v>2127</v>
      </c>
      <c r="CW302" s="776" t="s">
        <v>2127</v>
      </c>
      <c r="CX302" s="776" t="s">
        <v>2127</v>
      </c>
      <c r="CY302" s="776" t="s">
        <v>2127</v>
      </c>
      <c r="CZ302" s="776" t="s">
        <v>2127</v>
      </c>
      <c r="DA302" s="776" t="s">
        <v>2127</v>
      </c>
      <c r="DB302" s="776" t="s">
        <v>2127</v>
      </c>
      <c r="DC302" s="776" t="s">
        <v>2127</v>
      </c>
      <c r="DD302" s="776" t="s">
        <v>2127</v>
      </c>
      <c r="DE302" s="776" t="s">
        <v>2127</v>
      </c>
      <c r="DF302" s="776" t="s">
        <v>2127</v>
      </c>
      <c r="DG302" s="776" t="s">
        <v>2127</v>
      </c>
      <c r="DH302" s="776" t="s">
        <v>2127</v>
      </c>
      <c r="DI302" s="776" t="s">
        <v>2127</v>
      </c>
      <c r="DJ302" s="776" t="s">
        <v>2127</v>
      </c>
      <c r="DK302" s="776" t="s">
        <v>2127</v>
      </c>
      <c r="DL302" s="776" t="s">
        <v>2127</v>
      </c>
      <c r="DM302" s="776" t="s">
        <v>2127</v>
      </c>
      <c r="DN302" s="776" t="s">
        <v>2127</v>
      </c>
      <c r="DO302" s="776" t="s">
        <v>2127</v>
      </c>
      <c r="DP302" s="776" t="s">
        <v>2127</v>
      </c>
    </row>
    <row r="303" spans="1:120" x14ac:dyDescent="0.2">
      <c r="A303" s="637" t="s">
        <v>2320</v>
      </c>
      <c r="B303" s="772" t="str" cm="1">
        <f t="array" ref="B303">IFERROR(INDEX(Kulturen[HF],_xlfn.AGGREGATE(15,6,(ROW(Kulturen[Auswahl])-7)/(--(SEARCH("x",Kulturen[Auswahl])&gt;0)),ROW()-7),1),"")</f>
        <v>Löwenzahn, Kaukasischer (Wurzeln)</v>
      </c>
      <c r="C303" s="772" t="str">
        <f>IF(Kulturen[[#This Row],[HF]]=$D$373,IF($C$6=0,0,"x"),IF($C$6=0,"x",Vorauswahl!C302))</f>
        <v>x</v>
      </c>
      <c r="D303" s="938" t="s">
        <v>2050</v>
      </c>
      <c r="E303" s="938" t="s">
        <v>2050</v>
      </c>
      <c r="F303" s="938" t="s">
        <v>960</v>
      </c>
      <c r="G303" s="938">
        <v>14</v>
      </c>
      <c r="H303" s="938">
        <v>8</v>
      </c>
      <c r="I303" s="938">
        <v>1</v>
      </c>
      <c r="J303" s="938">
        <v>14</v>
      </c>
      <c r="K303" s="938">
        <v>0.19</v>
      </c>
      <c r="L303" s="938">
        <v>0.32</v>
      </c>
      <c r="M303" s="938">
        <v>70</v>
      </c>
      <c r="N303" s="938">
        <v>0</v>
      </c>
      <c r="O303" s="938">
        <v>2</v>
      </c>
      <c r="P303" s="938">
        <v>0</v>
      </c>
      <c r="Q303" s="938">
        <v>160</v>
      </c>
      <c r="R303" s="938">
        <v>7</v>
      </c>
      <c r="S303" s="938">
        <v>16</v>
      </c>
      <c r="T303" s="938">
        <v>16</v>
      </c>
      <c r="U303" s="938">
        <v>0</v>
      </c>
      <c r="V303" s="938">
        <v>1</v>
      </c>
      <c r="W303" s="776">
        <f>IF(Kulturen[[#This Row],[Berechnungsschema]]=13,3,IF(Kulturen[[#This Row],[Berechnungsschema]]=6,2,1))</f>
        <v>1</v>
      </c>
      <c r="X303" s="776">
        <f>IF(Kulturen[[#This Row],[fruchtartengruppe]]=13,Kulturen[[#This Row],[NBedarfswert]],MAX(0,Kulturen[[#This Row],[NBedarfswert]]-Kulturen[[#This Row],[Ertrag]]*Kulturen[[#This Row],[Nfix]]))</f>
        <v>160</v>
      </c>
      <c r="Y303" s="776" t="s">
        <v>2127</v>
      </c>
      <c r="Z303" s="776" t="s">
        <v>2127</v>
      </c>
      <c r="AA303" s="776" t="s">
        <v>2127</v>
      </c>
      <c r="AB303" s="776" t="s">
        <v>2127</v>
      </c>
      <c r="AC303" s="776" t="s">
        <v>2127</v>
      </c>
      <c r="AD303" s="776" t="s">
        <v>2127</v>
      </c>
      <c r="AE303" s="776" t="s">
        <v>2127</v>
      </c>
      <c r="AF303" s="776" t="s">
        <v>2127</v>
      </c>
      <c r="AG303" s="776" t="s">
        <v>2127</v>
      </c>
      <c r="AH303" s="776" t="s">
        <v>2127</v>
      </c>
      <c r="AI303" s="776" t="s">
        <v>2127</v>
      </c>
      <c r="AJ303" s="776" t="s">
        <v>2127</v>
      </c>
      <c r="AK303" s="776" t="s">
        <v>2127</v>
      </c>
      <c r="AL303" s="776" t="s">
        <v>2127</v>
      </c>
      <c r="AM303" s="776" t="s">
        <v>2127</v>
      </c>
      <c r="AN303" s="776" t="s">
        <v>2127</v>
      </c>
      <c r="AO303" s="776" t="s">
        <v>2127</v>
      </c>
      <c r="AP303" s="776" t="s">
        <v>2127</v>
      </c>
      <c r="AQ303" s="776" t="s">
        <v>2127</v>
      </c>
      <c r="AR303" s="776" t="s">
        <v>2127</v>
      </c>
      <c r="AS303" s="776" t="s">
        <v>2127</v>
      </c>
      <c r="AT303" s="776" t="s">
        <v>2127</v>
      </c>
      <c r="AU303" s="776" t="s">
        <v>2127</v>
      </c>
      <c r="AV303" s="776" t="s">
        <v>2127</v>
      </c>
      <c r="AW303" s="776" t="s">
        <v>2127</v>
      </c>
      <c r="AX303" s="776" t="s">
        <v>2127</v>
      </c>
      <c r="AY303" s="776" t="s">
        <v>2127</v>
      </c>
      <c r="AZ303" s="776" t="s">
        <v>2127</v>
      </c>
      <c r="BA303" s="776" t="s">
        <v>2127</v>
      </c>
      <c r="BB303" s="776" t="s">
        <v>2127</v>
      </c>
      <c r="BC303" s="776" t="s">
        <v>2127</v>
      </c>
      <c r="BD303" s="776" t="s">
        <v>2127</v>
      </c>
      <c r="BE303" s="776" t="s">
        <v>2127</v>
      </c>
      <c r="BF303" s="776" t="s">
        <v>2127</v>
      </c>
      <c r="BG303" s="776" t="s">
        <v>2127</v>
      </c>
      <c r="BH303" s="776" t="s">
        <v>2127</v>
      </c>
      <c r="BI303" s="776" t="s">
        <v>2127</v>
      </c>
      <c r="BJ303" s="776" t="s">
        <v>2127</v>
      </c>
      <c r="BK303" s="776" t="s">
        <v>2127</v>
      </c>
      <c r="BL303" s="776" t="s">
        <v>2127</v>
      </c>
      <c r="BM303" s="776" t="s">
        <v>2127</v>
      </c>
      <c r="BN303" s="776" t="s">
        <v>2127</v>
      </c>
      <c r="BO303" s="776" t="s">
        <v>2127</v>
      </c>
      <c r="BP303" s="776" t="s">
        <v>2127</v>
      </c>
      <c r="BQ303" s="776" t="s">
        <v>2127</v>
      </c>
      <c r="BR303" s="776" t="s">
        <v>2127</v>
      </c>
      <c r="BS303" s="776" t="s">
        <v>2127</v>
      </c>
      <c r="BT303" s="776" t="s">
        <v>2127</v>
      </c>
      <c r="BU303" s="776" t="s">
        <v>2127</v>
      </c>
      <c r="BV303" s="776" t="s">
        <v>2127</v>
      </c>
      <c r="BW303" s="776" t="s">
        <v>2127</v>
      </c>
      <c r="BX303" s="776" t="s">
        <v>2127</v>
      </c>
      <c r="BY303" s="776" t="s">
        <v>2127</v>
      </c>
      <c r="BZ303" s="776" t="s">
        <v>2127</v>
      </c>
      <c r="CA303" s="776" t="s">
        <v>2127</v>
      </c>
      <c r="CB303" s="776" t="s">
        <v>2127</v>
      </c>
      <c r="CC303" s="776" t="s">
        <v>2127</v>
      </c>
      <c r="CD303" s="776" t="s">
        <v>2127</v>
      </c>
      <c r="CE303" s="776" t="s">
        <v>2127</v>
      </c>
      <c r="CF303" s="776" t="s">
        <v>2127</v>
      </c>
      <c r="CG303" s="776" t="s">
        <v>2127</v>
      </c>
      <c r="CH303" s="776" t="s">
        <v>2127</v>
      </c>
      <c r="CI303" s="776" t="s">
        <v>2127</v>
      </c>
      <c r="CJ303" s="776" t="s">
        <v>2127</v>
      </c>
      <c r="CK303" s="776" t="s">
        <v>2127</v>
      </c>
      <c r="CL303" s="776" t="s">
        <v>2127</v>
      </c>
      <c r="CM303" s="776" t="s">
        <v>2127</v>
      </c>
      <c r="CN303" s="776" t="s">
        <v>2127</v>
      </c>
      <c r="CO303" s="776" t="s">
        <v>2127</v>
      </c>
      <c r="CP303" s="776" t="s">
        <v>2127</v>
      </c>
      <c r="CQ303" s="776" t="s">
        <v>2127</v>
      </c>
      <c r="CR303" s="776" t="s">
        <v>2127</v>
      </c>
      <c r="CS303" s="776" t="s">
        <v>2127</v>
      </c>
      <c r="CT303" s="776" t="s">
        <v>2127</v>
      </c>
      <c r="CU303" s="776" t="s">
        <v>2127</v>
      </c>
      <c r="CV303" s="776" t="s">
        <v>2127</v>
      </c>
      <c r="CW303" s="776" t="s">
        <v>2127</v>
      </c>
      <c r="CX303" s="776" t="s">
        <v>2127</v>
      </c>
      <c r="CY303" s="776" t="s">
        <v>2127</v>
      </c>
      <c r="CZ303" s="776" t="s">
        <v>2127</v>
      </c>
      <c r="DA303" s="776" t="s">
        <v>2127</v>
      </c>
      <c r="DB303" s="776" t="s">
        <v>2127</v>
      </c>
      <c r="DC303" s="776" t="s">
        <v>2127</v>
      </c>
      <c r="DD303" s="776" t="s">
        <v>2127</v>
      </c>
      <c r="DE303" s="776" t="s">
        <v>2127</v>
      </c>
      <c r="DF303" s="776" t="s">
        <v>2127</v>
      </c>
      <c r="DG303" s="776" t="s">
        <v>2127</v>
      </c>
      <c r="DH303" s="776" t="s">
        <v>2127</v>
      </c>
      <c r="DI303" s="776" t="s">
        <v>2127</v>
      </c>
      <c r="DJ303" s="776" t="s">
        <v>2127</v>
      </c>
      <c r="DK303" s="776" t="s">
        <v>2127</v>
      </c>
      <c r="DL303" s="776" t="s">
        <v>2127</v>
      </c>
      <c r="DM303" s="776" t="s">
        <v>2127</v>
      </c>
      <c r="DN303" s="776" t="s">
        <v>2127</v>
      </c>
      <c r="DO303" s="776" t="s">
        <v>2127</v>
      </c>
      <c r="DP303" s="776" t="s">
        <v>2127</v>
      </c>
    </row>
    <row r="304" spans="1:120" x14ac:dyDescent="0.2">
      <c r="A304" s="637"/>
      <c r="B304" s="772" t="str" cm="1">
        <f t="array" ref="B304">IFERROR(INDEX(Kulturen[HF],_xlfn.AGGREGATE(15,6,(ROW(Kulturen[Auswahl])-7)/(--(SEARCH("x",Kulturen[Auswahl])&gt;0)),ROW()-7),1),"")</f>
        <v>Mädesüß (Blühendes Kraut)</v>
      </c>
      <c r="C304" s="772" t="str">
        <f>IF(Kulturen[[#This Row],[HF]]=$D$373,IF($C$6=0,0,"x"),IF($C$6=0,"x",Vorauswahl!C303))</f>
        <v>x</v>
      </c>
      <c r="D304" s="938" t="s">
        <v>2051</v>
      </c>
      <c r="E304" s="938" t="s">
        <v>2051</v>
      </c>
      <c r="F304" s="938" t="s">
        <v>2052</v>
      </c>
      <c r="G304" s="938">
        <v>14</v>
      </c>
      <c r="H304" s="938">
        <v>8</v>
      </c>
      <c r="I304" s="938">
        <v>1</v>
      </c>
      <c r="J304" s="938">
        <v>14</v>
      </c>
      <c r="K304" s="938">
        <v>0.17</v>
      </c>
      <c r="L304" s="938">
        <v>0.28000000000000003</v>
      </c>
      <c r="M304" s="938">
        <v>80</v>
      </c>
      <c r="N304" s="938">
        <v>0</v>
      </c>
      <c r="O304" s="938">
        <v>1</v>
      </c>
      <c r="P304" s="938">
        <v>0</v>
      </c>
      <c r="Q304" s="938">
        <v>85</v>
      </c>
      <c r="R304" s="938">
        <v>8</v>
      </c>
      <c r="S304" s="938">
        <v>9</v>
      </c>
      <c r="T304" s="938">
        <v>9</v>
      </c>
      <c r="U304" s="938">
        <v>0</v>
      </c>
      <c r="V304" s="938">
        <v>1</v>
      </c>
      <c r="W304" s="776">
        <f>IF(Kulturen[[#This Row],[Berechnungsschema]]=13,3,IF(Kulturen[[#This Row],[Berechnungsschema]]=6,2,1))</f>
        <v>1</v>
      </c>
      <c r="X304" s="776">
        <f>IF(Kulturen[[#This Row],[fruchtartengruppe]]=13,Kulturen[[#This Row],[NBedarfswert]],MAX(0,Kulturen[[#This Row],[NBedarfswert]]-Kulturen[[#This Row],[Ertrag]]*Kulturen[[#This Row],[Nfix]]))</f>
        <v>85</v>
      </c>
      <c r="Y304" s="776" t="s">
        <v>2127</v>
      </c>
      <c r="Z304" s="776" t="s">
        <v>2127</v>
      </c>
      <c r="AA304" s="776" t="s">
        <v>2127</v>
      </c>
      <c r="AB304" s="776" t="s">
        <v>2127</v>
      </c>
      <c r="AC304" s="776" t="s">
        <v>2127</v>
      </c>
      <c r="AD304" s="776" t="s">
        <v>2127</v>
      </c>
      <c r="AE304" s="776" t="s">
        <v>2127</v>
      </c>
      <c r="AF304" s="776" t="s">
        <v>2127</v>
      </c>
      <c r="AG304" s="776" t="s">
        <v>2127</v>
      </c>
      <c r="AH304" s="776" t="s">
        <v>2127</v>
      </c>
      <c r="AI304" s="776" t="s">
        <v>2127</v>
      </c>
      <c r="AJ304" s="776" t="s">
        <v>2127</v>
      </c>
      <c r="AK304" s="776" t="s">
        <v>2127</v>
      </c>
      <c r="AL304" s="776" t="s">
        <v>2127</v>
      </c>
      <c r="AM304" s="776" t="s">
        <v>2127</v>
      </c>
      <c r="AN304" s="776" t="s">
        <v>2127</v>
      </c>
      <c r="AO304" s="776" t="s">
        <v>2127</v>
      </c>
      <c r="AP304" s="776" t="s">
        <v>2127</v>
      </c>
      <c r="AQ304" s="776" t="s">
        <v>2127</v>
      </c>
      <c r="AR304" s="776" t="s">
        <v>2127</v>
      </c>
      <c r="AS304" s="776" t="s">
        <v>2127</v>
      </c>
      <c r="AT304" s="776" t="s">
        <v>2127</v>
      </c>
      <c r="AU304" s="776" t="s">
        <v>2127</v>
      </c>
      <c r="AV304" s="776" t="s">
        <v>2127</v>
      </c>
      <c r="AW304" s="776" t="s">
        <v>2127</v>
      </c>
      <c r="AX304" s="776" t="s">
        <v>2127</v>
      </c>
      <c r="AY304" s="776" t="s">
        <v>2127</v>
      </c>
      <c r="AZ304" s="776" t="s">
        <v>2127</v>
      </c>
      <c r="BA304" s="776" t="s">
        <v>2127</v>
      </c>
      <c r="BB304" s="776" t="s">
        <v>2127</v>
      </c>
      <c r="BC304" s="776" t="s">
        <v>2127</v>
      </c>
      <c r="BD304" s="776" t="s">
        <v>2127</v>
      </c>
      <c r="BE304" s="776" t="s">
        <v>2127</v>
      </c>
      <c r="BF304" s="776" t="s">
        <v>2127</v>
      </c>
      <c r="BG304" s="776" t="s">
        <v>2127</v>
      </c>
      <c r="BH304" s="776" t="s">
        <v>2127</v>
      </c>
      <c r="BI304" s="776" t="s">
        <v>2127</v>
      </c>
      <c r="BJ304" s="776" t="s">
        <v>2127</v>
      </c>
      <c r="BK304" s="776" t="s">
        <v>2127</v>
      </c>
      <c r="BL304" s="776" t="s">
        <v>2127</v>
      </c>
      <c r="BM304" s="776" t="s">
        <v>2127</v>
      </c>
      <c r="BN304" s="776" t="s">
        <v>2127</v>
      </c>
      <c r="BO304" s="776" t="s">
        <v>2127</v>
      </c>
      <c r="BP304" s="776" t="s">
        <v>2127</v>
      </c>
      <c r="BQ304" s="776" t="s">
        <v>2127</v>
      </c>
      <c r="BR304" s="776" t="s">
        <v>2127</v>
      </c>
      <c r="BS304" s="776" t="s">
        <v>2127</v>
      </c>
      <c r="BT304" s="776" t="s">
        <v>2127</v>
      </c>
      <c r="BU304" s="776" t="s">
        <v>2127</v>
      </c>
      <c r="BV304" s="776" t="s">
        <v>2127</v>
      </c>
      <c r="BW304" s="776" t="s">
        <v>2127</v>
      </c>
      <c r="BX304" s="776" t="s">
        <v>2127</v>
      </c>
      <c r="BY304" s="776" t="s">
        <v>2127</v>
      </c>
      <c r="BZ304" s="776" t="s">
        <v>2127</v>
      </c>
      <c r="CA304" s="776" t="s">
        <v>2127</v>
      </c>
      <c r="CB304" s="776" t="s">
        <v>2127</v>
      </c>
      <c r="CC304" s="776" t="s">
        <v>2127</v>
      </c>
      <c r="CD304" s="776" t="s">
        <v>2127</v>
      </c>
      <c r="CE304" s="776" t="s">
        <v>2127</v>
      </c>
      <c r="CF304" s="776" t="s">
        <v>2127</v>
      </c>
      <c r="CG304" s="776" t="s">
        <v>2127</v>
      </c>
      <c r="CH304" s="776" t="s">
        <v>2127</v>
      </c>
      <c r="CI304" s="776" t="s">
        <v>2127</v>
      </c>
      <c r="CJ304" s="776" t="s">
        <v>2127</v>
      </c>
      <c r="CK304" s="776" t="s">
        <v>2127</v>
      </c>
      <c r="CL304" s="776" t="s">
        <v>2127</v>
      </c>
      <c r="CM304" s="776" t="s">
        <v>2127</v>
      </c>
      <c r="CN304" s="776" t="s">
        <v>2127</v>
      </c>
      <c r="CO304" s="776" t="s">
        <v>2127</v>
      </c>
      <c r="CP304" s="776" t="s">
        <v>2127</v>
      </c>
      <c r="CQ304" s="776" t="s">
        <v>2127</v>
      </c>
      <c r="CR304" s="776" t="s">
        <v>2127</v>
      </c>
      <c r="CS304" s="776" t="s">
        <v>2127</v>
      </c>
      <c r="CT304" s="776" t="s">
        <v>2127</v>
      </c>
      <c r="CU304" s="776" t="s">
        <v>2127</v>
      </c>
      <c r="CV304" s="776" t="s">
        <v>2127</v>
      </c>
      <c r="CW304" s="776" t="s">
        <v>2127</v>
      </c>
      <c r="CX304" s="776" t="s">
        <v>2127</v>
      </c>
      <c r="CY304" s="776" t="s">
        <v>2127</v>
      </c>
      <c r="CZ304" s="776" t="s">
        <v>2127</v>
      </c>
      <c r="DA304" s="776" t="s">
        <v>2127</v>
      </c>
      <c r="DB304" s="776" t="s">
        <v>2127</v>
      </c>
      <c r="DC304" s="776" t="s">
        <v>2127</v>
      </c>
      <c r="DD304" s="776" t="s">
        <v>2127</v>
      </c>
      <c r="DE304" s="776" t="s">
        <v>2127</v>
      </c>
      <c r="DF304" s="776" t="s">
        <v>2127</v>
      </c>
      <c r="DG304" s="776" t="s">
        <v>2127</v>
      </c>
      <c r="DH304" s="776" t="s">
        <v>2127</v>
      </c>
      <c r="DI304" s="776" t="s">
        <v>2127</v>
      </c>
      <c r="DJ304" s="776" t="s">
        <v>2127</v>
      </c>
      <c r="DK304" s="776" t="s">
        <v>2127</v>
      </c>
      <c r="DL304" s="776" t="s">
        <v>2127</v>
      </c>
      <c r="DM304" s="776" t="s">
        <v>2127</v>
      </c>
      <c r="DN304" s="776" t="s">
        <v>2127</v>
      </c>
      <c r="DO304" s="776" t="s">
        <v>2127</v>
      </c>
      <c r="DP304" s="776" t="s">
        <v>2127</v>
      </c>
    </row>
    <row r="305" spans="1:120" x14ac:dyDescent="0.2">
      <c r="A305" s="637" t="s">
        <v>2321</v>
      </c>
      <c r="B305" s="772" t="str" cm="1">
        <f t="array" ref="B305">IFERROR(INDEX(Kulturen[HF],_xlfn.AGGREGATE(15,6,(ROW(Kulturen[Auswahl])-7)/(--(SEARCH("x",Kulturen[Auswahl])&gt;0)),ROW()-7),1),"")</f>
        <v>Majoran (Kraut bei Blühbeginn)</v>
      </c>
      <c r="C305" s="772" t="str">
        <f>IF(Kulturen[[#This Row],[HF]]=$D$373,IF($C$6=0,0,"x"),IF($C$6=0,"x",Vorauswahl!C304))</f>
        <v>x</v>
      </c>
      <c r="D305" s="938" t="s">
        <v>2053</v>
      </c>
      <c r="E305" s="938" t="s">
        <v>2053</v>
      </c>
      <c r="F305" s="938" t="s">
        <v>961</v>
      </c>
      <c r="G305" s="938">
        <v>14</v>
      </c>
      <c r="H305" s="938">
        <v>8</v>
      </c>
      <c r="I305" s="938">
        <v>1</v>
      </c>
      <c r="J305" s="938">
        <v>14</v>
      </c>
      <c r="K305" s="938">
        <v>1.1499999999999999</v>
      </c>
      <c r="L305" s="938">
        <v>2.73</v>
      </c>
      <c r="M305" s="938">
        <v>20</v>
      </c>
      <c r="N305" s="938">
        <v>0</v>
      </c>
      <c r="O305" s="938">
        <v>1</v>
      </c>
      <c r="P305" s="938">
        <v>0</v>
      </c>
      <c r="Q305" s="938">
        <v>110</v>
      </c>
      <c r="R305" s="938">
        <v>2</v>
      </c>
      <c r="S305" s="938">
        <v>11</v>
      </c>
      <c r="T305" s="938">
        <v>11</v>
      </c>
      <c r="U305" s="938">
        <v>0</v>
      </c>
      <c r="V305" s="938">
        <v>1</v>
      </c>
      <c r="W305" s="776">
        <f>IF(Kulturen[[#This Row],[Berechnungsschema]]=13,3,IF(Kulturen[[#This Row],[Berechnungsschema]]=6,2,1))</f>
        <v>1</v>
      </c>
      <c r="X305" s="776">
        <f>IF(Kulturen[[#This Row],[fruchtartengruppe]]=13,Kulturen[[#This Row],[NBedarfswert]],MAX(0,Kulturen[[#This Row],[NBedarfswert]]-Kulturen[[#This Row],[Ertrag]]*Kulturen[[#This Row],[Nfix]]))</f>
        <v>110</v>
      </c>
      <c r="Y305" s="776" t="s">
        <v>2127</v>
      </c>
      <c r="Z305" s="776" t="s">
        <v>2127</v>
      </c>
      <c r="AA305" s="776" t="s">
        <v>2127</v>
      </c>
      <c r="AB305" s="776" t="s">
        <v>2127</v>
      </c>
      <c r="AC305" s="776" t="s">
        <v>2127</v>
      </c>
      <c r="AD305" s="776" t="s">
        <v>2127</v>
      </c>
      <c r="AE305" s="776" t="s">
        <v>2127</v>
      </c>
      <c r="AF305" s="776" t="s">
        <v>2127</v>
      </c>
      <c r="AG305" s="776" t="s">
        <v>2127</v>
      </c>
      <c r="AH305" s="776" t="s">
        <v>2127</v>
      </c>
      <c r="AI305" s="776" t="s">
        <v>2127</v>
      </c>
      <c r="AJ305" s="776" t="s">
        <v>2127</v>
      </c>
      <c r="AK305" s="776" t="s">
        <v>2127</v>
      </c>
      <c r="AL305" s="776" t="s">
        <v>2127</v>
      </c>
      <c r="AM305" s="776" t="s">
        <v>2127</v>
      </c>
      <c r="AN305" s="776" t="s">
        <v>2127</v>
      </c>
      <c r="AO305" s="776" t="s">
        <v>2127</v>
      </c>
      <c r="AP305" s="776" t="s">
        <v>2127</v>
      </c>
      <c r="AQ305" s="776" t="s">
        <v>2127</v>
      </c>
      <c r="AR305" s="776" t="s">
        <v>2127</v>
      </c>
      <c r="AS305" s="776" t="s">
        <v>2127</v>
      </c>
      <c r="AT305" s="776" t="s">
        <v>2127</v>
      </c>
      <c r="AU305" s="776" t="s">
        <v>2127</v>
      </c>
      <c r="AV305" s="776" t="s">
        <v>2127</v>
      </c>
      <c r="AW305" s="776" t="s">
        <v>2127</v>
      </c>
      <c r="AX305" s="776" t="s">
        <v>2127</v>
      </c>
      <c r="AY305" s="776" t="s">
        <v>2127</v>
      </c>
      <c r="AZ305" s="776" t="s">
        <v>2127</v>
      </c>
      <c r="BA305" s="776" t="s">
        <v>2127</v>
      </c>
      <c r="BB305" s="776" t="s">
        <v>2127</v>
      </c>
      <c r="BC305" s="776" t="s">
        <v>2127</v>
      </c>
      <c r="BD305" s="776" t="s">
        <v>2127</v>
      </c>
      <c r="BE305" s="776" t="s">
        <v>2127</v>
      </c>
      <c r="BF305" s="776" t="s">
        <v>2127</v>
      </c>
      <c r="BG305" s="776" t="s">
        <v>2127</v>
      </c>
      <c r="BH305" s="776" t="s">
        <v>2127</v>
      </c>
      <c r="BI305" s="776" t="s">
        <v>2127</v>
      </c>
      <c r="BJ305" s="776" t="s">
        <v>2127</v>
      </c>
      <c r="BK305" s="776" t="s">
        <v>2127</v>
      </c>
      <c r="BL305" s="776" t="s">
        <v>2127</v>
      </c>
      <c r="BM305" s="776" t="s">
        <v>2127</v>
      </c>
      <c r="BN305" s="776" t="s">
        <v>2127</v>
      </c>
      <c r="BO305" s="776" t="s">
        <v>2127</v>
      </c>
      <c r="BP305" s="776" t="s">
        <v>2127</v>
      </c>
      <c r="BQ305" s="776" t="s">
        <v>2127</v>
      </c>
      <c r="BR305" s="776" t="s">
        <v>2127</v>
      </c>
      <c r="BS305" s="776" t="s">
        <v>2127</v>
      </c>
      <c r="BT305" s="776" t="s">
        <v>2127</v>
      </c>
      <c r="BU305" s="776" t="s">
        <v>2127</v>
      </c>
      <c r="BV305" s="776" t="s">
        <v>2127</v>
      </c>
      <c r="BW305" s="776" t="s">
        <v>2127</v>
      </c>
      <c r="BX305" s="776" t="s">
        <v>2127</v>
      </c>
      <c r="BY305" s="776" t="s">
        <v>2127</v>
      </c>
      <c r="BZ305" s="776" t="s">
        <v>2127</v>
      </c>
      <c r="CA305" s="776" t="s">
        <v>2127</v>
      </c>
      <c r="CB305" s="776" t="s">
        <v>2127</v>
      </c>
      <c r="CC305" s="776" t="s">
        <v>2127</v>
      </c>
      <c r="CD305" s="776" t="s">
        <v>2127</v>
      </c>
      <c r="CE305" s="776" t="s">
        <v>2127</v>
      </c>
      <c r="CF305" s="776" t="s">
        <v>2127</v>
      </c>
      <c r="CG305" s="776" t="s">
        <v>2127</v>
      </c>
      <c r="CH305" s="776" t="s">
        <v>2127</v>
      </c>
      <c r="CI305" s="776" t="s">
        <v>2127</v>
      </c>
      <c r="CJ305" s="776" t="s">
        <v>2127</v>
      </c>
      <c r="CK305" s="776" t="s">
        <v>2127</v>
      </c>
      <c r="CL305" s="776" t="s">
        <v>2127</v>
      </c>
      <c r="CM305" s="776" t="s">
        <v>2127</v>
      </c>
      <c r="CN305" s="776" t="s">
        <v>2127</v>
      </c>
      <c r="CO305" s="776" t="s">
        <v>2127</v>
      </c>
      <c r="CP305" s="776" t="s">
        <v>2127</v>
      </c>
      <c r="CQ305" s="776" t="s">
        <v>2127</v>
      </c>
      <c r="CR305" s="776" t="s">
        <v>2127</v>
      </c>
      <c r="CS305" s="776" t="s">
        <v>2127</v>
      </c>
      <c r="CT305" s="776" t="s">
        <v>2127</v>
      </c>
      <c r="CU305" s="776" t="s">
        <v>2127</v>
      </c>
      <c r="CV305" s="776" t="s">
        <v>2127</v>
      </c>
      <c r="CW305" s="776" t="s">
        <v>2127</v>
      </c>
      <c r="CX305" s="776" t="s">
        <v>2127</v>
      </c>
      <c r="CY305" s="776" t="s">
        <v>2127</v>
      </c>
      <c r="CZ305" s="776" t="s">
        <v>2127</v>
      </c>
      <c r="DA305" s="776" t="s">
        <v>2127</v>
      </c>
      <c r="DB305" s="776" t="s">
        <v>2127</v>
      </c>
      <c r="DC305" s="776" t="s">
        <v>2127</v>
      </c>
      <c r="DD305" s="776" t="s">
        <v>2127</v>
      </c>
      <c r="DE305" s="776" t="s">
        <v>2127</v>
      </c>
      <c r="DF305" s="776" t="s">
        <v>2127</v>
      </c>
      <c r="DG305" s="776" t="s">
        <v>2127</v>
      </c>
      <c r="DH305" s="776" t="s">
        <v>2127</v>
      </c>
      <c r="DI305" s="776" t="s">
        <v>2127</v>
      </c>
      <c r="DJ305" s="776" t="s">
        <v>2127</v>
      </c>
      <c r="DK305" s="776" t="s">
        <v>2127</v>
      </c>
      <c r="DL305" s="776" t="s">
        <v>2127</v>
      </c>
      <c r="DM305" s="776" t="s">
        <v>2127</v>
      </c>
      <c r="DN305" s="776" t="s">
        <v>2127</v>
      </c>
      <c r="DO305" s="776" t="s">
        <v>2127</v>
      </c>
      <c r="DP305" s="776" t="s">
        <v>2127</v>
      </c>
    </row>
    <row r="306" spans="1:120" x14ac:dyDescent="0.2">
      <c r="A306" s="637"/>
      <c r="B306" s="772" t="str" cm="1">
        <f t="array" ref="B306">IFERROR(INDEX(Kulturen[HF],_xlfn.AGGREGATE(15,6,(ROW(Kulturen[Auswahl])-7)/(--(SEARCH("x",Kulturen[Auswahl])&gt;0)),ROW()-7),1),"")</f>
        <v>Malve, Blaue (Blühendes Kraut)</v>
      </c>
      <c r="C306" s="772" t="str">
        <f>IF(Kulturen[[#This Row],[HF]]=$D$373,IF($C$6=0,0,"x"),IF($C$6=0,"x",Vorauswahl!C305))</f>
        <v>x</v>
      </c>
      <c r="D306" s="938" t="s">
        <v>2054</v>
      </c>
      <c r="E306" s="938" t="s">
        <v>2054</v>
      </c>
      <c r="F306" s="938" t="s">
        <v>2055</v>
      </c>
      <c r="G306" s="938">
        <v>14</v>
      </c>
      <c r="H306" s="938">
        <v>8</v>
      </c>
      <c r="I306" s="938">
        <v>1</v>
      </c>
      <c r="J306" s="938">
        <v>14</v>
      </c>
      <c r="K306" s="938">
        <v>1.1499999999999999</v>
      </c>
      <c r="L306" s="938">
        <v>1.1499999999999999</v>
      </c>
      <c r="M306" s="938">
        <v>0</v>
      </c>
      <c r="N306" s="938">
        <v>0</v>
      </c>
      <c r="O306" s="938">
        <v>1</v>
      </c>
      <c r="P306" s="938">
        <v>0</v>
      </c>
      <c r="Q306" s="938">
        <v>20</v>
      </c>
      <c r="R306" s="938">
        <v>2</v>
      </c>
      <c r="S306" s="938">
        <v>1</v>
      </c>
      <c r="T306" s="938">
        <v>1</v>
      </c>
      <c r="U306" s="938">
        <v>0</v>
      </c>
      <c r="V306" s="938">
        <v>1</v>
      </c>
      <c r="W306" s="776">
        <f>IF(Kulturen[[#This Row],[Berechnungsschema]]=13,3,IF(Kulturen[[#This Row],[Berechnungsschema]]=6,2,1))</f>
        <v>1</v>
      </c>
      <c r="X306" s="776">
        <f>IF(Kulturen[[#This Row],[fruchtartengruppe]]=13,Kulturen[[#This Row],[NBedarfswert]],MAX(0,Kulturen[[#This Row],[NBedarfswert]]-Kulturen[[#This Row],[Ertrag]]*Kulturen[[#This Row],[Nfix]]))</f>
        <v>20</v>
      </c>
      <c r="Y306" s="776" t="s">
        <v>2127</v>
      </c>
      <c r="Z306" s="776" t="s">
        <v>2127</v>
      </c>
      <c r="AA306" s="776" t="s">
        <v>2127</v>
      </c>
      <c r="AB306" s="776" t="s">
        <v>2127</v>
      </c>
      <c r="AC306" s="776" t="s">
        <v>2127</v>
      </c>
      <c r="AD306" s="776" t="s">
        <v>2127</v>
      </c>
      <c r="AE306" s="776" t="s">
        <v>2127</v>
      </c>
      <c r="AF306" s="776" t="s">
        <v>2127</v>
      </c>
      <c r="AG306" s="776" t="s">
        <v>2127</v>
      </c>
      <c r="AH306" s="776" t="s">
        <v>2127</v>
      </c>
      <c r="AI306" s="776" t="s">
        <v>2127</v>
      </c>
      <c r="AJ306" s="776" t="s">
        <v>2127</v>
      </c>
      <c r="AK306" s="776" t="s">
        <v>2127</v>
      </c>
      <c r="AL306" s="776" t="s">
        <v>2127</v>
      </c>
      <c r="AM306" s="776" t="s">
        <v>2127</v>
      </c>
      <c r="AN306" s="776" t="s">
        <v>2127</v>
      </c>
      <c r="AO306" s="776" t="s">
        <v>2127</v>
      </c>
      <c r="AP306" s="776" t="s">
        <v>2127</v>
      </c>
      <c r="AQ306" s="776" t="s">
        <v>2127</v>
      </c>
      <c r="AR306" s="776" t="s">
        <v>2127</v>
      </c>
      <c r="AS306" s="776" t="s">
        <v>2127</v>
      </c>
      <c r="AT306" s="776" t="s">
        <v>2127</v>
      </c>
      <c r="AU306" s="776" t="s">
        <v>2127</v>
      </c>
      <c r="AV306" s="776" t="s">
        <v>2127</v>
      </c>
      <c r="AW306" s="776" t="s">
        <v>2127</v>
      </c>
      <c r="AX306" s="776" t="s">
        <v>2127</v>
      </c>
      <c r="AY306" s="776" t="s">
        <v>2127</v>
      </c>
      <c r="AZ306" s="776" t="s">
        <v>2127</v>
      </c>
      <c r="BA306" s="776" t="s">
        <v>2127</v>
      </c>
      <c r="BB306" s="776" t="s">
        <v>2127</v>
      </c>
      <c r="BC306" s="776" t="s">
        <v>2127</v>
      </c>
      <c r="BD306" s="776" t="s">
        <v>2127</v>
      </c>
      <c r="BE306" s="776" t="s">
        <v>2127</v>
      </c>
      <c r="BF306" s="776" t="s">
        <v>2127</v>
      </c>
      <c r="BG306" s="776" t="s">
        <v>2127</v>
      </c>
      <c r="BH306" s="776" t="s">
        <v>2127</v>
      </c>
      <c r="BI306" s="776" t="s">
        <v>2127</v>
      </c>
      <c r="BJ306" s="776" t="s">
        <v>2127</v>
      </c>
      <c r="BK306" s="776" t="s">
        <v>2127</v>
      </c>
      <c r="BL306" s="776" t="s">
        <v>2127</v>
      </c>
      <c r="BM306" s="776" t="s">
        <v>2127</v>
      </c>
      <c r="BN306" s="776" t="s">
        <v>2127</v>
      </c>
      <c r="BO306" s="776" t="s">
        <v>2127</v>
      </c>
      <c r="BP306" s="776" t="s">
        <v>2127</v>
      </c>
      <c r="BQ306" s="776" t="s">
        <v>2127</v>
      </c>
      <c r="BR306" s="776" t="s">
        <v>2127</v>
      </c>
      <c r="BS306" s="776" t="s">
        <v>2127</v>
      </c>
      <c r="BT306" s="776" t="s">
        <v>2127</v>
      </c>
      <c r="BU306" s="776" t="s">
        <v>2127</v>
      </c>
      <c r="BV306" s="776" t="s">
        <v>2127</v>
      </c>
      <c r="BW306" s="776" t="s">
        <v>2127</v>
      </c>
      <c r="BX306" s="776" t="s">
        <v>2127</v>
      </c>
      <c r="BY306" s="776" t="s">
        <v>2127</v>
      </c>
      <c r="BZ306" s="776" t="s">
        <v>2127</v>
      </c>
      <c r="CA306" s="776" t="s">
        <v>2127</v>
      </c>
      <c r="CB306" s="776" t="s">
        <v>2127</v>
      </c>
      <c r="CC306" s="776" t="s">
        <v>2127</v>
      </c>
      <c r="CD306" s="776" t="s">
        <v>2127</v>
      </c>
      <c r="CE306" s="776" t="s">
        <v>2127</v>
      </c>
      <c r="CF306" s="776" t="s">
        <v>2127</v>
      </c>
      <c r="CG306" s="776" t="s">
        <v>2127</v>
      </c>
      <c r="CH306" s="776" t="s">
        <v>2127</v>
      </c>
      <c r="CI306" s="776" t="s">
        <v>2127</v>
      </c>
      <c r="CJ306" s="776" t="s">
        <v>2127</v>
      </c>
      <c r="CK306" s="776" t="s">
        <v>2127</v>
      </c>
      <c r="CL306" s="776" t="s">
        <v>2127</v>
      </c>
      <c r="CM306" s="776" t="s">
        <v>2127</v>
      </c>
      <c r="CN306" s="776" t="s">
        <v>2127</v>
      </c>
      <c r="CO306" s="776" t="s">
        <v>2127</v>
      </c>
      <c r="CP306" s="776" t="s">
        <v>2127</v>
      </c>
      <c r="CQ306" s="776" t="s">
        <v>2127</v>
      </c>
      <c r="CR306" s="776" t="s">
        <v>2127</v>
      </c>
      <c r="CS306" s="776" t="s">
        <v>2127</v>
      </c>
      <c r="CT306" s="776" t="s">
        <v>2127</v>
      </c>
      <c r="CU306" s="776" t="s">
        <v>2127</v>
      </c>
      <c r="CV306" s="776" t="s">
        <v>2127</v>
      </c>
      <c r="CW306" s="776" t="s">
        <v>2127</v>
      </c>
      <c r="CX306" s="776" t="s">
        <v>2127</v>
      </c>
      <c r="CY306" s="776" t="s">
        <v>2127</v>
      </c>
      <c r="CZ306" s="776" t="s">
        <v>2127</v>
      </c>
      <c r="DA306" s="776" t="s">
        <v>2127</v>
      </c>
      <c r="DB306" s="776" t="s">
        <v>2127</v>
      </c>
      <c r="DC306" s="776" t="s">
        <v>2127</v>
      </c>
      <c r="DD306" s="776" t="s">
        <v>2127</v>
      </c>
      <c r="DE306" s="776" t="s">
        <v>2127</v>
      </c>
      <c r="DF306" s="776" t="s">
        <v>2127</v>
      </c>
      <c r="DG306" s="776" t="s">
        <v>2127</v>
      </c>
      <c r="DH306" s="776" t="s">
        <v>2127</v>
      </c>
      <c r="DI306" s="776" t="s">
        <v>2127</v>
      </c>
      <c r="DJ306" s="776" t="s">
        <v>2127</v>
      </c>
      <c r="DK306" s="776" t="s">
        <v>2127</v>
      </c>
      <c r="DL306" s="776" t="s">
        <v>2127</v>
      </c>
      <c r="DM306" s="776" t="s">
        <v>2127</v>
      </c>
      <c r="DN306" s="776" t="s">
        <v>2127</v>
      </c>
      <c r="DO306" s="776" t="s">
        <v>2127</v>
      </c>
      <c r="DP306" s="776" t="s">
        <v>2127</v>
      </c>
    </row>
    <row r="307" spans="1:120" x14ac:dyDescent="0.2">
      <c r="A307" s="637"/>
      <c r="B307" s="772" t="str" cm="1">
        <f t="array" ref="B307">IFERROR(INDEX(Kulturen[HF],_xlfn.AGGREGATE(15,6,(ROW(Kulturen[Auswahl])-7)/(--(SEARCH("x",Kulturen[Auswahl])&gt;0)),ROW()-7),1),"")</f>
        <v>Malve, Blaue (Blüten)</v>
      </c>
      <c r="C307" s="772" t="str">
        <f>IF(Kulturen[[#This Row],[HF]]=$D$373,IF($C$6=0,0,"x"),IF($C$6=0,"x",Vorauswahl!C306))</f>
        <v>x</v>
      </c>
      <c r="D307" s="938" t="s">
        <v>2056</v>
      </c>
      <c r="E307" s="938" t="s">
        <v>2056</v>
      </c>
      <c r="F307" s="938" t="s">
        <v>2057</v>
      </c>
      <c r="G307" s="938">
        <v>14</v>
      </c>
      <c r="H307" s="938">
        <v>8</v>
      </c>
      <c r="I307" s="938">
        <v>1</v>
      </c>
      <c r="J307" s="938">
        <v>14</v>
      </c>
      <c r="K307" s="938">
        <v>1.1499999999999999</v>
      </c>
      <c r="L307" s="938">
        <v>2.7</v>
      </c>
      <c r="M307" s="938">
        <v>23</v>
      </c>
      <c r="N307" s="938">
        <v>0</v>
      </c>
      <c r="O307" s="938">
        <v>1</v>
      </c>
      <c r="P307" s="938">
        <v>0</v>
      </c>
      <c r="Q307" s="938">
        <v>120</v>
      </c>
      <c r="R307" s="938">
        <v>2</v>
      </c>
      <c r="S307" s="938">
        <v>12</v>
      </c>
      <c r="T307" s="938">
        <v>12</v>
      </c>
      <c r="U307" s="938">
        <v>0</v>
      </c>
      <c r="V307" s="938">
        <v>1</v>
      </c>
      <c r="W307" s="776">
        <f>IF(Kulturen[[#This Row],[Berechnungsschema]]=13,3,IF(Kulturen[[#This Row],[Berechnungsschema]]=6,2,1))</f>
        <v>1</v>
      </c>
      <c r="X307" s="776">
        <f>IF(Kulturen[[#This Row],[fruchtartengruppe]]=13,Kulturen[[#This Row],[NBedarfswert]],MAX(0,Kulturen[[#This Row],[NBedarfswert]]-Kulturen[[#This Row],[Ertrag]]*Kulturen[[#This Row],[Nfix]]))</f>
        <v>120</v>
      </c>
      <c r="Y307" s="776" t="s">
        <v>2127</v>
      </c>
      <c r="Z307" s="776" t="s">
        <v>2127</v>
      </c>
      <c r="AA307" s="776" t="s">
        <v>2127</v>
      </c>
      <c r="AB307" s="776" t="s">
        <v>2127</v>
      </c>
      <c r="AC307" s="776" t="s">
        <v>2127</v>
      </c>
      <c r="AD307" s="776" t="s">
        <v>2127</v>
      </c>
      <c r="AE307" s="776" t="s">
        <v>2127</v>
      </c>
      <c r="AF307" s="776" t="s">
        <v>2127</v>
      </c>
      <c r="AG307" s="776" t="s">
        <v>2127</v>
      </c>
      <c r="AH307" s="776" t="s">
        <v>2127</v>
      </c>
      <c r="AI307" s="776" t="s">
        <v>2127</v>
      </c>
      <c r="AJ307" s="776" t="s">
        <v>2127</v>
      </c>
      <c r="AK307" s="776" t="s">
        <v>2127</v>
      </c>
      <c r="AL307" s="776" t="s">
        <v>2127</v>
      </c>
      <c r="AM307" s="776" t="s">
        <v>2127</v>
      </c>
      <c r="AN307" s="776" t="s">
        <v>2127</v>
      </c>
      <c r="AO307" s="776" t="s">
        <v>2127</v>
      </c>
      <c r="AP307" s="776" t="s">
        <v>2127</v>
      </c>
      <c r="AQ307" s="776" t="s">
        <v>2127</v>
      </c>
      <c r="AR307" s="776" t="s">
        <v>2127</v>
      </c>
      <c r="AS307" s="776" t="s">
        <v>2127</v>
      </c>
      <c r="AT307" s="776" t="s">
        <v>2127</v>
      </c>
      <c r="AU307" s="776" t="s">
        <v>2127</v>
      </c>
      <c r="AV307" s="776" t="s">
        <v>2127</v>
      </c>
      <c r="AW307" s="776" t="s">
        <v>2127</v>
      </c>
      <c r="AX307" s="776" t="s">
        <v>2127</v>
      </c>
      <c r="AY307" s="776" t="s">
        <v>2127</v>
      </c>
      <c r="AZ307" s="776" t="s">
        <v>2127</v>
      </c>
      <c r="BA307" s="776" t="s">
        <v>2127</v>
      </c>
      <c r="BB307" s="776" t="s">
        <v>2127</v>
      </c>
      <c r="BC307" s="776" t="s">
        <v>2127</v>
      </c>
      <c r="BD307" s="776" t="s">
        <v>2127</v>
      </c>
      <c r="BE307" s="776" t="s">
        <v>2127</v>
      </c>
      <c r="BF307" s="776" t="s">
        <v>2127</v>
      </c>
      <c r="BG307" s="776" t="s">
        <v>2127</v>
      </c>
      <c r="BH307" s="776" t="s">
        <v>2127</v>
      </c>
      <c r="BI307" s="776" t="s">
        <v>2127</v>
      </c>
      <c r="BJ307" s="776" t="s">
        <v>2127</v>
      </c>
      <c r="BK307" s="776" t="s">
        <v>2127</v>
      </c>
      <c r="BL307" s="776" t="s">
        <v>2127</v>
      </c>
      <c r="BM307" s="776" t="s">
        <v>2127</v>
      </c>
      <c r="BN307" s="776" t="s">
        <v>2127</v>
      </c>
      <c r="BO307" s="776" t="s">
        <v>2127</v>
      </c>
      <c r="BP307" s="776" t="s">
        <v>2127</v>
      </c>
      <c r="BQ307" s="776" t="s">
        <v>2127</v>
      </c>
      <c r="BR307" s="776" t="s">
        <v>2127</v>
      </c>
      <c r="BS307" s="776" t="s">
        <v>2127</v>
      </c>
      <c r="BT307" s="776" t="s">
        <v>2127</v>
      </c>
      <c r="BU307" s="776" t="s">
        <v>2127</v>
      </c>
      <c r="BV307" s="776" t="s">
        <v>2127</v>
      </c>
      <c r="BW307" s="776" t="s">
        <v>2127</v>
      </c>
      <c r="BX307" s="776" t="s">
        <v>2127</v>
      </c>
      <c r="BY307" s="776" t="s">
        <v>2127</v>
      </c>
      <c r="BZ307" s="776" t="s">
        <v>2127</v>
      </c>
      <c r="CA307" s="776" t="s">
        <v>2127</v>
      </c>
      <c r="CB307" s="776" t="s">
        <v>2127</v>
      </c>
      <c r="CC307" s="776" t="s">
        <v>2127</v>
      </c>
      <c r="CD307" s="776" t="s">
        <v>2127</v>
      </c>
      <c r="CE307" s="776" t="s">
        <v>2127</v>
      </c>
      <c r="CF307" s="776" t="s">
        <v>2127</v>
      </c>
      <c r="CG307" s="776" t="s">
        <v>2127</v>
      </c>
      <c r="CH307" s="776" t="s">
        <v>2127</v>
      </c>
      <c r="CI307" s="776" t="s">
        <v>2127</v>
      </c>
      <c r="CJ307" s="776" t="s">
        <v>2127</v>
      </c>
      <c r="CK307" s="776" t="s">
        <v>2127</v>
      </c>
      <c r="CL307" s="776" t="s">
        <v>2127</v>
      </c>
      <c r="CM307" s="776" t="s">
        <v>2127</v>
      </c>
      <c r="CN307" s="776" t="s">
        <v>2127</v>
      </c>
      <c r="CO307" s="776" t="s">
        <v>2127</v>
      </c>
      <c r="CP307" s="776" t="s">
        <v>2127</v>
      </c>
      <c r="CQ307" s="776" t="s">
        <v>2127</v>
      </c>
      <c r="CR307" s="776" t="s">
        <v>2127</v>
      </c>
      <c r="CS307" s="776" t="s">
        <v>2127</v>
      </c>
      <c r="CT307" s="776" t="s">
        <v>2127</v>
      </c>
      <c r="CU307" s="776" t="s">
        <v>2127</v>
      </c>
      <c r="CV307" s="776" t="s">
        <v>2127</v>
      </c>
      <c r="CW307" s="776" t="s">
        <v>2127</v>
      </c>
      <c r="CX307" s="776" t="s">
        <v>2127</v>
      </c>
      <c r="CY307" s="776" t="s">
        <v>2127</v>
      </c>
      <c r="CZ307" s="776" t="s">
        <v>2127</v>
      </c>
      <c r="DA307" s="776" t="s">
        <v>2127</v>
      </c>
      <c r="DB307" s="776" t="s">
        <v>2127</v>
      </c>
      <c r="DC307" s="776" t="s">
        <v>2127</v>
      </c>
      <c r="DD307" s="776" t="s">
        <v>2127</v>
      </c>
      <c r="DE307" s="776" t="s">
        <v>2127</v>
      </c>
      <c r="DF307" s="776" t="s">
        <v>2127</v>
      </c>
      <c r="DG307" s="776" t="s">
        <v>2127</v>
      </c>
      <c r="DH307" s="776" t="s">
        <v>2127</v>
      </c>
      <c r="DI307" s="776" t="s">
        <v>2127</v>
      </c>
      <c r="DJ307" s="776" t="s">
        <v>2127</v>
      </c>
      <c r="DK307" s="776" t="s">
        <v>2127</v>
      </c>
      <c r="DL307" s="776" t="s">
        <v>2127</v>
      </c>
      <c r="DM307" s="776" t="s">
        <v>2127</v>
      </c>
      <c r="DN307" s="776" t="s">
        <v>2127</v>
      </c>
      <c r="DO307" s="776" t="s">
        <v>2127</v>
      </c>
      <c r="DP307" s="776" t="s">
        <v>2127</v>
      </c>
    </row>
    <row r="308" spans="1:120" x14ac:dyDescent="0.2">
      <c r="A308" s="637"/>
      <c r="B308" s="772" t="str" cm="1">
        <f t="array" ref="B308">IFERROR(INDEX(Kulturen[HF],_xlfn.AGGREGATE(15,6,(ROW(Kulturen[Auswahl])-7)/(--(SEARCH("x",Kulturen[Auswahl])&gt;0)),ROW()-7),1),"")</f>
        <v>Mariendistel (Kraut)</v>
      </c>
      <c r="C308" s="772" t="str">
        <f>IF(Kulturen[[#This Row],[HF]]=$D$373,IF($C$6=0,0,"x"),IF($C$6=0,"x",Vorauswahl!C307))</f>
        <v>x</v>
      </c>
      <c r="D308" s="938" t="s">
        <v>2058</v>
      </c>
      <c r="E308" s="938" t="s">
        <v>2058</v>
      </c>
      <c r="F308" s="938" t="s">
        <v>2059</v>
      </c>
      <c r="G308" s="938">
        <v>14</v>
      </c>
      <c r="H308" s="938">
        <v>8</v>
      </c>
      <c r="I308" s="938">
        <v>1</v>
      </c>
      <c r="J308" s="938">
        <v>14</v>
      </c>
      <c r="K308" s="938">
        <v>0.22</v>
      </c>
      <c r="L308" s="938">
        <v>0.22</v>
      </c>
      <c r="M308" s="938">
        <v>25</v>
      </c>
      <c r="N308" s="938">
        <v>0</v>
      </c>
      <c r="O308" s="938">
        <v>1</v>
      </c>
      <c r="P308" s="938">
        <v>0</v>
      </c>
      <c r="Q308" s="938">
        <v>30</v>
      </c>
      <c r="R308" s="938">
        <v>3</v>
      </c>
      <c r="S308" s="938">
        <v>2</v>
      </c>
      <c r="T308" s="938">
        <v>2</v>
      </c>
      <c r="U308" s="938">
        <v>0</v>
      </c>
      <c r="V308" s="938">
        <v>1</v>
      </c>
      <c r="W308" s="776">
        <f>IF(Kulturen[[#This Row],[Berechnungsschema]]=13,3,IF(Kulturen[[#This Row],[Berechnungsschema]]=6,2,1))</f>
        <v>1</v>
      </c>
      <c r="X308" s="776">
        <f>IF(Kulturen[[#This Row],[fruchtartengruppe]]=13,Kulturen[[#This Row],[NBedarfswert]],MAX(0,Kulturen[[#This Row],[NBedarfswert]]-Kulturen[[#This Row],[Ertrag]]*Kulturen[[#This Row],[Nfix]]))</f>
        <v>30</v>
      </c>
      <c r="Y308" s="776" t="s">
        <v>2127</v>
      </c>
      <c r="Z308" s="776" t="s">
        <v>2127</v>
      </c>
      <c r="AA308" s="776" t="s">
        <v>2127</v>
      </c>
      <c r="AB308" s="776" t="s">
        <v>2127</v>
      </c>
      <c r="AC308" s="776" t="s">
        <v>2127</v>
      </c>
      <c r="AD308" s="776" t="s">
        <v>2127</v>
      </c>
      <c r="AE308" s="776" t="s">
        <v>2127</v>
      </c>
      <c r="AF308" s="776" t="s">
        <v>2127</v>
      </c>
      <c r="AG308" s="776" t="s">
        <v>2127</v>
      </c>
      <c r="AH308" s="776" t="s">
        <v>2127</v>
      </c>
      <c r="AI308" s="776" t="s">
        <v>2127</v>
      </c>
      <c r="AJ308" s="776" t="s">
        <v>2127</v>
      </c>
      <c r="AK308" s="776" t="s">
        <v>2127</v>
      </c>
      <c r="AL308" s="776" t="s">
        <v>2127</v>
      </c>
      <c r="AM308" s="776" t="s">
        <v>2127</v>
      </c>
      <c r="AN308" s="776" t="s">
        <v>2127</v>
      </c>
      <c r="AO308" s="776" t="s">
        <v>2127</v>
      </c>
      <c r="AP308" s="776" t="s">
        <v>2127</v>
      </c>
      <c r="AQ308" s="776" t="s">
        <v>2127</v>
      </c>
      <c r="AR308" s="776" t="s">
        <v>2127</v>
      </c>
      <c r="AS308" s="776" t="s">
        <v>2127</v>
      </c>
      <c r="AT308" s="776" t="s">
        <v>2127</v>
      </c>
      <c r="AU308" s="776" t="s">
        <v>2127</v>
      </c>
      <c r="AV308" s="776" t="s">
        <v>2127</v>
      </c>
      <c r="AW308" s="776" t="s">
        <v>2127</v>
      </c>
      <c r="AX308" s="776" t="s">
        <v>2127</v>
      </c>
      <c r="AY308" s="776" t="s">
        <v>2127</v>
      </c>
      <c r="AZ308" s="776" t="s">
        <v>2127</v>
      </c>
      <c r="BA308" s="776" t="s">
        <v>2127</v>
      </c>
      <c r="BB308" s="776" t="s">
        <v>2127</v>
      </c>
      <c r="BC308" s="776" t="s">
        <v>2127</v>
      </c>
      <c r="BD308" s="776" t="s">
        <v>2127</v>
      </c>
      <c r="BE308" s="776" t="s">
        <v>2127</v>
      </c>
      <c r="BF308" s="776" t="s">
        <v>2127</v>
      </c>
      <c r="BG308" s="776" t="s">
        <v>2127</v>
      </c>
      <c r="BH308" s="776" t="s">
        <v>2127</v>
      </c>
      <c r="BI308" s="776" t="s">
        <v>2127</v>
      </c>
      <c r="BJ308" s="776" t="s">
        <v>2127</v>
      </c>
      <c r="BK308" s="776" t="s">
        <v>2127</v>
      </c>
      <c r="BL308" s="776" t="s">
        <v>2127</v>
      </c>
      <c r="BM308" s="776" t="s">
        <v>2127</v>
      </c>
      <c r="BN308" s="776" t="s">
        <v>2127</v>
      </c>
      <c r="BO308" s="776" t="s">
        <v>2127</v>
      </c>
      <c r="BP308" s="776" t="s">
        <v>2127</v>
      </c>
      <c r="BQ308" s="776" t="s">
        <v>2127</v>
      </c>
      <c r="BR308" s="776" t="s">
        <v>2127</v>
      </c>
      <c r="BS308" s="776" t="s">
        <v>2127</v>
      </c>
      <c r="BT308" s="776" t="s">
        <v>2127</v>
      </c>
      <c r="BU308" s="776" t="s">
        <v>2127</v>
      </c>
      <c r="BV308" s="776" t="s">
        <v>2127</v>
      </c>
      <c r="BW308" s="776" t="s">
        <v>2127</v>
      </c>
      <c r="BX308" s="776" t="s">
        <v>2127</v>
      </c>
      <c r="BY308" s="776" t="s">
        <v>2127</v>
      </c>
      <c r="BZ308" s="776" t="s">
        <v>2127</v>
      </c>
      <c r="CA308" s="776" t="s">
        <v>2127</v>
      </c>
      <c r="CB308" s="776" t="s">
        <v>2127</v>
      </c>
      <c r="CC308" s="776" t="s">
        <v>2127</v>
      </c>
      <c r="CD308" s="776" t="s">
        <v>2127</v>
      </c>
      <c r="CE308" s="776" t="s">
        <v>2127</v>
      </c>
      <c r="CF308" s="776" t="s">
        <v>2127</v>
      </c>
      <c r="CG308" s="776" t="s">
        <v>2127</v>
      </c>
      <c r="CH308" s="776" t="s">
        <v>2127</v>
      </c>
      <c r="CI308" s="776" t="s">
        <v>2127</v>
      </c>
      <c r="CJ308" s="776" t="s">
        <v>2127</v>
      </c>
      <c r="CK308" s="776" t="s">
        <v>2127</v>
      </c>
      <c r="CL308" s="776" t="s">
        <v>2127</v>
      </c>
      <c r="CM308" s="776" t="s">
        <v>2127</v>
      </c>
      <c r="CN308" s="776" t="s">
        <v>2127</v>
      </c>
      <c r="CO308" s="776" t="s">
        <v>2127</v>
      </c>
      <c r="CP308" s="776" t="s">
        <v>2127</v>
      </c>
      <c r="CQ308" s="776" t="s">
        <v>2127</v>
      </c>
      <c r="CR308" s="776" t="s">
        <v>2127</v>
      </c>
      <c r="CS308" s="776" t="s">
        <v>2127</v>
      </c>
      <c r="CT308" s="776" t="s">
        <v>2127</v>
      </c>
      <c r="CU308" s="776" t="s">
        <v>2127</v>
      </c>
      <c r="CV308" s="776" t="s">
        <v>2127</v>
      </c>
      <c r="CW308" s="776" t="s">
        <v>2127</v>
      </c>
      <c r="CX308" s="776" t="s">
        <v>2127</v>
      </c>
      <c r="CY308" s="776" t="s">
        <v>2127</v>
      </c>
      <c r="CZ308" s="776" t="s">
        <v>2127</v>
      </c>
      <c r="DA308" s="776" t="s">
        <v>2127</v>
      </c>
      <c r="DB308" s="776" t="s">
        <v>2127</v>
      </c>
      <c r="DC308" s="776" t="s">
        <v>2127</v>
      </c>
      <c r="DD308" s="776" t="s">
        <v>2127</v>
      </c>
      <c r="DE308" s="776" t="s">
        <v>2127</v>
      </c>
      <c r="DF308" s="776" t="s">
        <v>2127</v>
      </c>
      <c r="DG308" s="776" t="s">
        <v>2127</v>
      </c>
      <c r="DH308" s="776" t="s">
        <v>2127</v>
      </c>
      <c r="DI308" s="776" t="s">
        <v>2127</v>
      </c>
      <c r="DJ308" s="776" t="s">
        <v>2127</v>
      </c>
      <c r="DK308" s="776" t="s">
        <v>2127</v>
      </c>
      <c r="DL308" s="776" t="s">
        <v>2127</v>
      </c>
      <c r="DM308" s="776" t="s">
        <v>2127</v>
      </c>
      <c r="DN308" s="776" t="s">
        <v>2127</v>
      </c>
      <c r="DO308" s="776" t="s">
        <v>2127</v>
      </c>
      <c r="DP308" s="776" t="s">
        <v>2127</v>
      </c>
    </row>
    <row r="309" spans="1:120" x14ac:dyDescent="0.2">
      <c r="A309" s="637"/>
      <c r="B309" s="772" t="str" cm="1">
        <f t="array" ref="B309">IFERROR(INDEX(Kulturen[HF],_xlfn.AGGREGATE(15,6,(ROW(Kulturen[Auswahl])-7)/(--(SEARCH("x",Kulturen[Auswahl])&gt;0)),ROW()-7),1),"")</f>
        <v>Mariendistel (Samen)</v>
      </c>
      <c r="C309" s="772" t="str">
        <f>IF(Kulturen[[#This Row],[HF]]=$D$373,IF($C$6=0,0,"x"),IF($C$6=0,"x",Vorauswahl!C308))</f>
        <v>x</v>
      </c>
      <c r="D309" s="938" t="s">
        <v>2060</v>
      </c>
      <c r="E309" s="938" t="s">
        <v>2060</v>
      </c>
      <c r="F309" s="938" t="s">
        <v>2061</v>
      </c>
      <c r="G309" s="938">
        <v>14</v>
      </c>
      <c r="H309" s="938">
        <v>8</v>
      </c>
      <c r="I309" s="938">
        <v>3</v>
      </c>
      <c r="J309" s="938">
        <v>14</v>
      </c>
      <c r="K309" s="938">
        <v>0.12</v>
      </c>
      <c r="L309" s="938">
        <v>0.12</v>
      </c>
      <c r="M309" s="938">
        <v>95</v>
      </c>
      <c r="N309" s="938">
        <v>0</v>
      </c>
      <c r="O309" s="938">
        <v>1</v>
      </c>
      <c r="P309" s="938">
        <v>0</v>
      </c>
      <c r="Q309" s="938">
        <v>40</v>
      </c>
      <c r="R309" s="938">
        <v>10</v>
      </c>
      <c r="S309" s="938">
        <v>2</v>
      </c>
      <c r="T309" s="938">
        <v>2</v>
      </c>
      <c r="U309" s="938">
        <v>0</v>
      </c>
      <c r="V309" s="938">
        <v>1</v>
      </c>
      <c r="W309" s="776">
        <f>IF(Kulturen[[#This Row],[Berechnungsschema]]=13,3,IF(Kulturen[[#This Row],[Berechnungsschema]]=6,2,1))</f>
        <v>1</v>
      </c>
      <c r="X309" s="776">
        <f>IF(Kulturen[[#This Row],[fruchtartengruppe]]=13,Kulturen[[#This Row],[NBedarfswert]],MAX(0,Kulturen[[#This Row],[NBedarfswert]]-Kulturen[[#This Row],[Ertrag]]*Kulturen[[#This Row],[Nfix]]))</f>
        <v>40</v>
      </c>
      <c r="Y309" s="776" t="s">
        <v>2127</v>
      </c>
      <c r="Z309" s="776" t="s">
        <v>2127</v>
      </c>
      <c r="AA309" s="776" t="s">
        <v>2127</v>
      </c>
      <c r="AB309" s="776" t="s">
        <v>2127</v>
      </c>
      <c r="AC309" s="776" t="s">
        <v>2127</v>
      </c>
      <c r="AD309" s="776" t="s">
        <v>2127</v>
      </c>
      <c r="AE309" s="776" t="s">
        <v>2127</v>
      </c>
      <c r="AF309" s="776" t="s">
        <v>2127</v>
      </c>
      <c r="AG309" s="776" t="s">
        <v>2127</v>
      </c>
      <c r="AH309" s="776" t="s">
        <v>2127</v>
      </c>
      <c r="AI309" s="776" t="s">
        <v>2127</v>
      </c>
      <c r="AJ309" s="776" t="s">
        <v>2127</v>
      </c>
      <c r="AK309" s="776" t="s">
        <v>2127</v>
      </c>
      <c r="AL309" s="776" t="s">
        <v>2127</v>
      </c>
      <c r="AM309" s="776" t="s">
        <v>2127</v>
      </c>
      <c r="AN309" s="776" t="s">
        <v>2127</v>
      </c>
      <c r="AO309" s="776" t="s">
        <v>2127</v>
      </c>
      <c r="AP309" s="776" t="s">
        <v>2127</v>
      </c>
      <c r="AQ309" s="776" t="s">
        <v>2127</v>
      </c>
      <c r="AR309" s="776" t="s">
        <v>2127</v>
      </c>
      <c r="AS309" s="776" t="s">
        <v>2127</v>
      </c>
      <c r="AT309" s="776" t="s">
        <v>2127</v>
      </c>
      <c r="AU309" s="776" t="s">
        <v>2127</v>
      </c>
      <c r="AV309" s="776" t="s">
        <v>2127</v>
      </c>
      <c r="AW309" s="776" t="s">
        <v>2127</v>
      </c>
      <c r="AX309" s="776" t="s">
        <v>2127</v>
      </c>
      <c r="AY309" s="776" t="s">
        <v>2127</v>
      </c>
      <c r="AZ309" s="776" t="s">
        <v>2127</v>
      </c>
      <c r="BA309" s="776" t="s">
        <v>2127</v>
      </c>
      <c r="BB309" s="776" t="s">
        <v>2127</v>
      </c>
      <c r="BC309" s="776" t="s">
        <v>2127</v>
      </c>
      <c r="BD309" s="776" t="s">
        <v>2127</v>
      </c>
      <c r="BE309" s="776" t="s">
        <v>2127</v>
      </c>
      <c r="BF309" s="776" t="s">
        <v>2127</v>
      </c>
      <c r="BG309" s="776" t="s">
        <v>2127</v>
      </c>
      <c r="BH309" s="776" t="s">
        <v>2127</v>
      </c>
      <c r="BI309" s="776" t="s">
        <v>2127</v>
      </c>
      <c r="BJ309" s="776" t="s">
        <v>2127</v>
      </c>
      <c r="BK309" s="776" t="s">
        <v>2127</v>
      </c>
      <c r="BL309" s="776" t="s">
        <v>2127</v>
      </c>
      <c r="BM309" s="776" t="s">
        <v>2127</v>
      </c>
      <c r="BN309" s="776" t="s">
        <v>2127</v>
      </c>
      <c r="BO309" s="776" t="s">
        <v>2127</v>
      </c>
      <c r="BP309" s="776" t="s">
        <v>2127</v>
      </c>
      <c r="BQ309" s="776" t="s">
        <v>2127</v>
      </c>
      <c r="BR309" s="776" t="s">
        <v>2127</v>
      </c>
      <c r="BS309" s="776" t="s">
        <v>2127</v>
      </c>
      <c r="BT309" s="776" t="s">
        <v>2127</v>
      </c>
      <c r="BU309" s="776" t="s">
        <v>2127</v>
      </c>
      <c r="BV309" s="776" t="s">
        <v>2127</v>
      </c>
      <c r="BW309" s="776" t="s">
        <v>2127</v>
      </c>
      <c r="BX309" s="776" t="s">
        <v>2127</v>
      </c>
      <c r="BY309" s="776" t="s">
        <v>2127</v>
      </c>
      <c r="BZ309" s="776" t="s">
        <v>2127</v>
      </c>
      <c r="CA309" s="776" t="s">
        <v>2127</v>
      </c>
      <c r="CB309" s="776" t="s">
        <v>2127</v>
      </c>
      <c r="CC309" s="776" t="s">
        <v>2127</v>
      </c>
      <c r="CD309" s="776" t="s">
        <v>2127</v>
      </c>
      <c r="CE309" s="776" t="s">
        <v>2127</v>
      </c>
      <c r="CF309" s="776" t="s">
        <v>2127</v>
      </c>
      <c r="CG309" s="776" t="s">
        <v>2127</v>
      </c>
      <c r="CH309" s="776" t="s">
        <v>2127</v>
      </c>
      <c r="CI309" s="776" t="s">
        <v>2127</v>
      </c>
      <c r="CJ309" s="776" t="s">
        <v>2127</v>
      </c>
      <c r="CK309" s="776" t="s">
        <v>2127</v>
      </c>
      <c r="CL309" s="776" t="s">
        <v>2127</v>
      </c>
      <c r="CM309" s="776" t="s">
        <v>2127</v>
      </c>
      <c r="CN309" s="776" t="s">
        <v>2127</v>
      </c>
      <c r="CO309" s="776" t="s">
        <v>2127</v>
      </c>
      <c r="CP309" s="776" t="s">
        <v>2127</v>
      </c>
      <c r="CQ309" s="776" t="s">
        <v>2127</v>
      </c>
      <c r="CR309" s="776" t="s">
        <v>2127</v>
      </c>
      <c r="CS309" s="776" t="s">
        <v>2127</v>
      </c>
      <c r="CT309" s="776" t="s">
        <v>2127</v>
      </c>
      <c r="CU309" s="776" t="s">
        <v>2127</v>
      </c>
      <c r="CV309" s="776" t="s">
        <v>2127</v>
      </c>
      <c r="CW309" s="776" t="s">
        <v>2127</v>
      </c>
      <c r="CX309" s="776" t="s">
        <v>2127</v>
      </c>
      <c r="CY309" s="776" t="s">
        <v>2127</v>
      </c>
      <c r="CZ309" s="776" t="s">
        <v>2127</v>
      </c>
      <c r="DA309" s="776" t="s">
        <v>2127</v>
      </c>
      <c r="DB309" s="776" t="s">
        <v>2127</v>
      </c>
      <c r="DC309" s="776" t="s">
        <v>2127</v>
      </c>
      <c r="DD309" s="776" t="s">
        <v>2127</v>
      </c>
      <c r="DE309" s="776" t="s">
        <v>2127</v>
      </c>
      <c r="DF309" s="776" t="s">
        <v>2127</v>
      </c>
      <c r="DG309" s="776" t="s">
        <v>2127</v>
      </c>
      <c r="DH309" s="776" t="s">
        <v>2127</v>
      </c>
      <c r="DI309" s="776" t="s">
        <v>2127</v>
      </c>
      <c r="DJ309" s="776" t="s">
        <v>2127</v>
      </c>
      <c r="DK309" s="776" t="s">
        <v>2127</v>
      </c>
      <c r="DL309" s="776" t="s">
        <v>2127</v>
      </c>
      <c r="DM309" s="776" t="s">
        <v>2127</v>
      </c>
      <c r="DN309" s="776" t="s">
        <v>2127</v>
      </c>
      <c r="DO309" s="776" t="s">
        <v>2127</v>
      </c>
      <c r="DP309" s="776" t="s">
        <v>2127</v>
      </c>
    </row>
    <row r="310" spans="1:120" x14ac:dyDescent="0.2">
      <c r="A310" s="637" t="s">
        <v>2322</v>
      </c>
      <c r="B310" s="772" t="str" cm="1">
        <f t="array" ref="B310">IFERROR(INDEX(Kulturen[HF],_xlfn.AGGREGATE(15,6,(ROW(Kulturen[Auswahl])-7)/(--(SEARCH("x",Kulturen[Auswahl])&gt;0)),ROW()-7),1),"")</f>
        <v>Meerrettich (Wurzeln)</v>
      </c>
      <c r="C310" s="772" t="str">
        <f>IF(Kulturen[[#This Row],[HF]]=$D$373,IF($C$6=0,0,"x"),IF($C$6=0,"x",Vorauswahl!C309))</f>
        <v>x</v>
      </c>
      <c r="D310" s="938" t="s">
        <v>820</v>
      </c>
      <c r="E310" s="938" t="s">
        <v>820</v>
      </c>
      <c r="F310" s="938" t="s">
        <v>962</v>
      </c>
      <c r="G310" s="938">
        <v>14</v>
      </c>
      <c r="H310" s="938">
        <v>8</v>
      </c>
      <c r="I310" s="938">
        <v>1</v>
      </c>
      <c r="J310" s="938">
        <v>14</v>
      </c>
      <c r="K310" s="938">
        <v>0.13</v>
      </c>
      <c r="L310" s="938">
        <v>0.73</v>
      </c>
      <c r="M310" s="938">
        <v>25</v>
      </c>
      <c r="N310" s="938">
        <v>0</v>
      </c>
      <c r="O310" s="938">
        <v>1</v>
      </c>
      <c r="P310" s="938">
        <v>0</v>
      </c>
      <c r="Q310" s="938">
        <v>90</v>
      </c>
      <c r="R310" s="938">
        <v>3</v>
      </c>
      <c r="S310" s="938">
        <v>9</v>
      </c>
      <c r="T310" s="938">
        <v>9</v>
      </c>
      <c r="U310" s="938">
        <v>0</v>
      </c>
      <c r="V310" s="938">
        <v>1</v>
      </c>
      <c r="W310" s="776">
        <f>IF(Kulturen[[#This Row],[Berechnungsschema]]=13,3,IF(Kulturen[[#This Row],[Berechnungsschema]]=6,2,1))</f>
        <v>1</v>
      </c>
      <c r="X310" s="776">
        <f>IF(Kulturen[[#This Row],[fruchtartengruppe]]=13,Kulturen[[#This Row],[NBedarfswert]],MAX(0,Kulturen[[#This Row],[NBedarfswert]]-Kulturen[[#This Row],[Ertrag]]*Kulturen[[#This Row],[Nfix]]))</f>
        <v>90</v>
      </c>
      <c r="Y310" s="776" t="s">
        <v>2127</v>
      </c>
      <c r="Z310" s="776" t="s">
        <v>2127</v>
      </c>
      <c r="AA310" s="776" t="s">
        <v>2127</v>
      </c>
      <c r="AB310" s="776" t="s">
        <v>2127</v>
      </c>
      <c r="AC310" s="776" t="s">
        <v>2127</v>
      </c>
      <c r="AD310" s="776" t="s">
        <v>2127</v>
      </c>
      <c r="AE310" s="776" t="s">
        <v>2127</v>
      </c>
      <c r="AF310" s="776" t="s">
        <v>2127</v>
      </c>
      <c r="AG310" s="776" t="s">
        <v>2127</v>
      </c>
      <c r="AH310" s="776" t="s">
        <v>2127</v>
      </c>
      <c r="AI310" s="776" t="s">
        <v>2127</v>
      </c>
      <c r="AJ310" s="776" t="s">
        <v>2127</v>
      </c>
      <c r="AK310" s="776" t="s">
        <v>2127</v>
      </c>
      <c r="AL310" s="776" t="s">
        <v>2127</v>
      </c>
      <c r="AM310" s="776" t="s">
        <v>2127</v>
      </c>
      <c r="AN310" s="776" t="s">
        <v>2127</v>
      </c>
      <c r="AO310" s="776" t="s">
        <v>2127</v>
      </c>
      <c r="AP310" s="776" t="s">
        <v>2127</v>
      </c>
      <c r="AQ310" s="776" t="s">
        <v>2127</v>
      </c>
      <c r="AR310" s="776" t="s">
        <v>2127</v>
      </c>
      <c r="AS310" s="776" t="s">
        <v>2127</v>
      </c>
      <c r="AT310" s="776" t="s">
        <v>2127</v>
      </c>
      <c r="AU310" s="776" t="s">
        <v>2127</v>
      </c>
      <c r="AV310" s="776" t="s">
        <v>2127</v>
      </c>
      <c r="AW310" s="776" t="s">
        <v>2127</v>
      </c>
      <c r="AX310" s="776" t="s">
        <v>2127</v>
      </c>
      <c r="AY310" s="776" t="s">
        <v>2127</v>
      </c>
      <c r="AZ310" s="776" t="s">
        <v>2127</v>
      </c>
      <c r="BA310" s="776" t="s">
        <v>2127</v>
      </c>
      <c r="BB310" s="776" t="s">
        <v>2127</v>
      </c>
      <c r="BC310" s="776" t="s">
        <v>2127</v>
      </c>
      <c r="BD310" s="776" t="s">
        <v>2127</v>
      </c>
      <c r="BE310" s="776" t="s">
        <v>2127</v>
      </c>
      <c r="BF310" s="776" t="s">
        <v>2127</v>
      </c>
      <c r="BG310" s="776" t="s">
        <v>2127</v>
      </c>
      <c r="BH310" s="776" t="s">
        <v>2127</v>
      </c>
      <c r="BI310" s="776" t="s">
        <v>2127</v>
      </c>
      <c r="BJ310" s="776" t="s">
        <v>2127</v>
      </c>
      <c r="BK310" s="776" t="s">
        <v>2127</v>
      </c>
      <c r="BL310" s="776" t="s">
        <v>2127</v>
      </c>
      <c r="BM310" s="776" t="s">
        <v>2127</v>
      </c>
      <c r="BN310" s="776" t="s">
        <v>2127</v>
      </c>
      <c r="BO310" s="776" t="s">
        <v>2127</v>
      </c>
      <c r="BP310" s="776" t="s">
        <v>2127</v>
      </c>
      <c r="BQ310" s="776" t="s">
        <v>2127</v>
      </c>
      <c r="BR310" s="776" t="s">
        <v>2127</v>
      </c>
      <c r="BS310" s="776" t="s">
        <v>2127</v>
      </c>
      <c r="BT310" s="776" t="s">
        <v>2127</v>
      </c>
      <c r="BU310" s="776" t="s">
        <v>2127</v>
      </c>
      <c r="BV310" s="776" t="s">
        <v>2127</v>
      </c>
      <c r="BW310" s="776" t="s">
        <v>2127</v>
      </c>
      <c r="BX310" s="776" t="s">
        <v>2127</v>
      </c>
      <c r="BY310" s="776" t="s">
        <v>2127</v>
      </c>
      <c r="BZ310" s="776" t="s">
        <v>2127</v>
      </c>
      <c r="CA310" s="776" t="s">
        <v>2127</v>
      </c>
      <c r="CB310" s="776" t="s">
        <v>2127</v>
      </c>
      <c r="CC310" s="776" t="s">
        <v>2127</v>
      </c>
      <c r="CD310" s="776" t="s">
        <v>2127</v>
      </c>
      <c r="CE310" s="776" t="s">
        <v>2127</v>
      </c>
      <c r="CF310" s="776" t="s">
        <v>2127</v>
      </c>
      <c r="CG310" s="776" t="s">
        <v>2127</v>
      </c>
      <c r="CH310" s="776" t="s">
        <v>2127</v>
      </c>
      <c r="CI310" s="776" t="s">
        <v>2127</v>
      </c>
      <c r="CJ310" s="776" t="s">
        <v>2127</v>
      </c>
      <c r="CK310" s="776" t="s">
        <v>2127</v>
      </c>
      <c r="CL310" s="776" t="s">
        <v>2127</v>
      </c>
      <c r="CM310" s="776" t="s">
        <v>2127</v>
      </c>
      <c r="CN310" s="776" t="s">
        <v>2127</v>
      </c>
      <c r="CO310" s="776" t="s">
        <v>2127</v>
      </c>
      <c r="CP310" s="776" t="s">
        <v>2127</v>
      </c>
      <c r="CQ310" s="776" t="s">
        <v>2127</v>
      </c>
      <c r="CR310" s="776" t="s">
        <v>2127</v>
      </c>
      <c r="CS310" s="776" t="s">
        <v>2127</v>
      </c>
      <c r="CT310" s="776" t="s">
        <v>2127</v>
      </c>
      <c r="CU310" s="776" t="s">
        <v>2127</v>
      </c>
      <c r="CV310" s="776" t="s">
        <v>2127</v>
      </c>
      <c r="CW310" s="776" t="s">
        <v>2127</v>
      </c>
      <c r="CX310" s="776" t="s">
        <v>2127</v>
      </c>
      <c r="CY310" s="776" t="s">
        <v>2127</v>
      </c>
      <c r="CZ310" s="776" t="s">
        <v>2127</v>
      </c>
      <c r="DA310" s="776" t="s">
        <v>2127</v>
      </c>
      <c r="DB310" s="776" t="s">
        <v>2127</v>
      </c>
      <c r="DC310" s="776" t="s">
        <v>2127</v>
      </c>
      <c r="DD310" s="776" t="s">
        <v>2127</v>
      </c>
      <c r="DE310" s="776" t="s">
        <v>2127</v>
      </c>
      <c r="DF310" s="776" t="s">
        <v>2127</v>
      </c>
      <c r="DG310" s="776" t="s">
        <v>2127</v>
      </c>
      <c r="DH310" s="776" t="s">
        <v>2127</v>
      </c>
      <c r="DI310" s="776" t="s">
        <v>2127</v>
      </c>
      <c r="DJ310" s="776" t="s">
        <v>2127</v>
      </c>
      <c r="DK310" s="776" t="s">
        <v>2127</v>
      </c>
      <c r="DL310" s="776" t="s">
        <v>2127</v>
      </c>
      <c r="DM310" s="776" t="s">
        <v>2127</v>
      </c>
      <c r="DN310" s="776" t="s">
        <v>2127</v>
      </c>
      <c r="DO310" s="776" t="s">
        <v>2127</v>
      </c>
      <c r="DP310" s="776" t="s">
        <v>2127</v>
      </c>
    </row>
    <row r="311" spans="1:120" x14ac:dyDescent="0.2">
      <c r="A311" s="637" t="s">
        <v>2323</v>
      </c>
      <c r="B311" s="772" t="str" cm="1">
        <f t="array" ref="B311">IFERROR(INDEX(Kulturen[HF],_xlfn.AGGREGATE(15,6,(ROW(Kulturen[Auswahl])-7)/(--(SEARCH("x",Kulturen[Auswahl])&gt;0)),ROW()-7),1),"")</f>
        <v>Meisterwurz (Wurzel)</v>
      </c>
      <c r="C311" s="772" t="str">
        <f>IF(Kulturen[[#This Row],[HF]]=$D$373,IF($C$6=0,0,"x"),IF($C$6=0,"x",Vorauswahl!C310))</f>
        <v>x</v>
      </c>
      <c r="D311" s="938" t="s">
        <v>2062</v>
      </c>
      <c r="E311" s="938" t="s">
        <v>2062</v>
      </c>
      <c r="F311" s="938" t="s">
        <v>963</v>
      </c>
      <c r="G311" s="938">
        <v>14</v>
      </c>
      <c r="H311" s="938">
        <v>8</v>
      </c>
      <c r="I311" s="938">
        <v>3</v>
      </c>
      <c r="J311" s="938">
        <v>14</v>
      </c>
      <c r="K311" s="938">
        <v>0.11</v>
      </c>
      <c r="L311" s="938">
        <v>0.14000000000000001</v>
      </c>
      <c r="M311" s="938">
        <v>550</v>
      </c>
      <c r="N311" s="938">
        <v>0</v>
      </c>
      <c r="O311" s="938">
        <v>2</v>
      </c>
      <c r="P311" s="938">
        <v>0</v>
      </c>
      <c r="Q311" s="938">
        <v>245</v>
      </c>
      <c r="R311" s="938">
        <v>55</v>
      </c>
      <c r="S311" s="938">
        <v>25</v>
      </c>
      <c r="T311" s="938">
        <v>25</v>
      </c>
      <c r="U311" s="938">
        <v>0</v>
      </c>
      <c r="V311" s="938">
        <v>1</v>
      </c>
      <c r="W311" s="776">
        <f>IF(Kulturen[[#This Row],[Berechnungsschema]]=13,3,IF(Kulturen[[#This Row],[Berechnungsschema]]=6,2,1))</f>
        <v>1</v>
      </c>
      <c r="X311" s="776">
        <f>IF(Kulturen[[#This Row],[fruchtartengruppe]]=13,Kulturen[[#This Row],[NBedarfswert]],MAX(0,Kulturen[[#This Row],[NBedarfswert]]-Kulturen[[#This Row],[Ertrag]]*Kulturen[[#This Row],[Nfix]]))</f>
        <v>245</v>
      </c>
      <c r="Y311" s="776" t="s">
        <v>2127</v>
      </c>
      <c r="Z311" s="776" t="s">
        <v>2127</v>
      </c>
      <c r="AA311" s="776" t="s">
        <v>2127</v>
      </c>
      <c r="AB311" s="776" t="s">
        <v>2127</v>
      </c>
      <c r="AC311" s="776" t="s">
        <v>2127</v>
      </c>
      <c r="AD311" s="776" t="s">
        <v>2127</v>
      </c>
      <c r="AE311" s="776" t="s">
        <v>2127</v>
      </c>
      <c r="AF311" s="776" t="s">
        <v>2127</v>
      </c>
      <c r="AG311" s="776" t="s">
        <v>2127</v>
      </c>
      <c r="AH311" s="776" t="s">
        <v>2127</v>
      </c>
      <c r="AI311" s="776" t="s">
        <v>2127</v>
      </c>
      <c r="AJ311" s="776" t="s">
        <v>2127</v>
      </c>
      <c r="AK311" s="776" t="s">
        <v>2127</v>
      </c>
      <c r="AL311" s="776" t="s">
        <v>2127</v>
      </c>
      <c r="AM311" s="776" t="s">
        <v>2127</v>
      </c>
      <c r="AN311" s="776" t="s">
        <v>2127</v>
      </c>
      <c r="AO311" s="776" t="s">
        <v>2127</v>
      </c>
      <c r="AP311" s="776" t="s">
        <v>2127</v>
      </c>
      <c r="AQ311" s="776" t="s">
        <v>2127</v>
      </c>
      <c r="AR311" s="776" t="s">
        <v>2127</v>
      </c>
      <c r="AS311" s="776" t="s">
        <v>2127</v>
      </c>
      <c r="AT311" s="776" t="s">
        <v>2127</v>
      </c>
      <c r="AU311" s="776" t="s">
        <v>2127</v>
      </c>
      <c r="AV311" s="776" t="s">
        <v>2127</v>
      </c>
      <c r="AW311" s="776" t="s">
        <v>2127</v>
      </c>
      <c r="AX311" s="776" t="s">
        <v>2127</v>
      </c>
      <c r="AY311" s="776" t="s">
        <v>2127</v>
      </c>
      <c r="AZ311" s="776" t="s">
        <v>2127</v>
      </c>
      <c r="BA311" s="776" t="s">
        <v>2127</v>
      </c>
      <c r="BB311" s="776" t="s">
        <v>2127</v>
      </c>
      <c r="BC311" s="776" t="s">
        <v>2127</v>
      </c>
      <c r="BD311" s="776" t="s">
        <v>2127</v>
      </c>
      <c r="BE311" s="776" t="s">
        <v>2127</v>
      </c>
      <c r="BF311" s="776" t="s">
        <v>2127</v>
      </c>
      <c r="BG311" s="776" t="s">
        <v>2127</v>
      </c>
      <c r="BH311" s="776" t="s">
        <v>2127</v>
      </c>
      <c r="BI311" s="776" t="s">
        <v>2127</v>
      </c>
      <c r="BJ311" s="776" t="s">
        <v>2127</v>
      </c>
      <c r="BK311" s="776" t="s">
        <v>2127</v>
      </c>
      <c r="BL311" s="776" t="s">
        <v>2127</v>
      </c>
      <c r="BM311" s="776" t="s">
        <v>2127</v>
      </c>
      <c r="BN311" s="776" t="s">
        <v>2127</v>
      </c>
      <c r="BO311" s="776" t="s">
        <v>2127</v>
      </c>
      <c r="BP311" s="776" t="s">
        <v>2127</v>
      </c>
      <c r="BQ311" s="776" t="s">
        <v>2127</v>
      </c>
      <c r="BR311" s="776" t="s">
        <v>2127</v>
      </c>
      <c r="BS311" s="776" t="s">
        <v>2127</v>
      </c>
      <c r="BT311" s="776" t="s">
        <v>2127</v>
      </c>
      <c r="BU311" s="776" t="s">
        <v>2127</v>
      </c>
      <c r="BV311" s="776" t="s">
        <v>2127</v>
      </c>
      <c r="BW311" s="776" t="s">
        <v>2127</v>
      </c>
      <c r="BX311" s="776" t="s">
        <v>2127</v>
      </c>
      <c r="BY311" s="776" t="s">
        <v>2127</v>
      </c>
      <c r="BZ311" s="776" t="s">
        <v>2127</v>
      </c>
      <c r="CA311" s="776" t="s">
        <v>2127</v>
      </c>
      <c r="CB311" s="776" t="s">
        <v>2127</v>
      </c>
      <c r="CC311" s="776" t="s">
        <v>2127</v>
      </c>
      <c r="CD311" s="776" t="s">
        <v>2127</v>
      </c>
      <c r="CE311" s="776" t="s">
        <v>2127</v>
      </c>
      <c r="CF311" s="776" t="s">
        <v>2127</v>
      </c>
      <c r="CG311" s="776" t="s">
        <v>2127</v>
      </c>
      <c r="CH311" s="776" t="s">
        <v>2127</v>
      </c>
      <c r="CI311" s="776" t="s">
        <v>2127</v>
      </c>
      <c r="CJ311" s="776" t="s">
        <v>2127</v>
      </c>
      <c r="CK311" s="776" t="s">
        <v>2127</v>
      </c>
      <c r="CL311" s="776" t="s">
        <v>2127</v>
      </c>
      <c r="CM311" s="776" t="s">
        <v>2127</v>
      </c>
      <c r="CN311" s="776" t="s">
        <v>2127</v>
      </c>
      <c r="CO311" s="776" t="s">
        <v>2127</v>
      </c>
      <c r="CP311" s="776" t="s">
        <v>2127</v>
      </c>
      <c r="CQ311" s="776" t="s">
        <v>2127</v>
      </c>
      <c r="CR311" s="776" t="s">
        <v>2127</v>
      </c>
      <c r="CS311" s="776" t="s">
        <v>2127</v>
      </c>
      <c r="CT311" s="776" t="s">
        <v>2127</v>
      </c>
      <c r="CU311" s="776" t="s">
        <v>2127</v>
      </c>
      <c r="CV311" s="776" t="s">
        <v>2127</v>
      </c>
      <c r="CW311" s="776" t="s">
        <v>2127</v>
      </c>
      <c r="CX311" s="776" t="s">
        <v>2127</v>
      </c>
      <c r="CY311" s="776" t="s">
        <v>2127</v>
      </c>
      <c r="CZ311" s="776" t="s">
        <v>2127</v>
      </c>
      <c r="DA311" s="776" t="s">
        <v>2127</v>
      </c>
      <c r="DB311" s="776" t="s">
        <v>2127</v>
      </c>
      <c r="DC311" s="776" t="s">
        <v>2127</v>
      </c>
      <c r="DD311" s="776" t="s">
        <v>2127</v>
      </c>
      <c r="DE311" s="776" t="s">
        <v>2127</v>
      </c>
      <c r="DF311" s="776" t="s">
        <v>2127</v>
      </c>
      <c r="DG311" s="776" t="s">
        <v>2127</v>
      </c>
      <c r="DH311" s="776" t="s">
        <v>2127</v>
      </c>
      <c r="DI311" s="776" t="s">
        <v>2127</v>
      </c>
      <c r="DJ311" s="776" t="s">
        <v>2127</v>
      </c>
      <c r="DK311" s="776" t="s">
        <v>2127</v>
      </c>
      <c r="DL311" s="776" t="s">
        <v>2127</v>
      </c>
      <c r="DM311" s="776" t="s">
        <v>2127</v>
      </c>
      <c r="DN311" s="776" t="s">
        <v>2127</v>
      </c>
      <c r="DO311" s="776" t="s">
        <v>2127</v>
      </c>
      <c r="DP311" s="776" t="s">
        <v>2127</v>
      </c>
    </row>
    <row r="312" spans="1:120" x14ac:dyDescent="0.2">
      <c r="A312" s="637" t="s">
        <v>2324</v>
      </c>
      <c r="B312" s="772" t="str" cm="1">
        <f t="array" ref="B312">IFERROR(INDEX(Kulturen[HF],_xlfn.AGGREGATE(15,6,(ROW(Kulturen[Auswahl])-7)/(--(SEARCH("x",Kulturen[Auswahl])&gt;0)),ROW()-7),1),"")</f>
        <v>Melde (Kraut)</v>
      </c>
      <c r="C312" s="772" t="str">
        <f>IF(Kulturen[[#This Row],[HF]]=$D$373,IF($C$6=0,0,"x"),IF($C$6=0,"x",Vorauswahl!C311))</f>
        <v>x</v>
      </c>
      <c r="D312" s="938" t="s">
        <v>2063</v>
      </c>
      <c r="E312" s="938" t="s">
        <v>2063</v>
      </c>
      <c r="F312" s="938" t="s">
        <v>964</v>
      </c>
      <c r="G312" s="938">
        <v>14</v>
      </c>
      <c r="H312" s="938">
        <v>8</v>
      </c>
      <c r="I312" s="938">
        <v>3</v>
      </c>
      <c r="J312" s="938">
        <v>14</v>
      </c>
      <c r="K312" s="938">
        <v>0.11</v>
      </c>
      <c r="L312" s="938">
        <v>0.11</v>
      </c>
      <c r="M312" s="938">
        <v>275</v>
      </c>
      <c r="N312" s="938">
        <v>0</v>
      </c>
      <c r="O312" s="938">
        <v>2</v>
      </c>
      <c r="P312" s="938">
        <v>0</v>
      </c>
      <c r="Q312" s="938">
        <v>135</v>
      </c>
      <c r="R312" s="938">
        <v>28</v>
      </c>
      <c r="S312" s="938">
        <v>14</v>
      </c>
      <c r="T312" s="938">
        <v>14</v>
      </c>
      <c r="U312" s="938">
        <v>0</v>
      </c>
      <c r="V312" s="938">
        <v>1</v>
      </c>
      <c r="W312" s="776">
        <f>IF(Kulturen[[#This Row],[Berechnungsschema]]=13,3,IF(Kulturen[[#This Row],[Berechnungsschema]]=6,2,1))</f>
        <v>1</v>
      </c>
      <c r="X312" s="776">
        <f>IF(Kulturen[[#This Row],[fruchtartengruppe]]=13,Kulturen[[#This Row],[NBedarfswert]],MAX(0,Kulturen[[#This Row],[NBedarfswert]]-Kulturen[[#This Row],[Ertrag]]*Kulturen[[#This Row],[Nfix]]))</f>
        <v>135</v>
      </c>
      <c r="Y312" s="776" t="s">
        <v>2127</v>
      </c>
      <c r="Z312" s="776" t="s">
        <v>2127</v>
      </c>
      <c r="AA312" s="776" t="s">
        <v>2127</v>
      </c>
      <c r="AB312" s="776" t="s">
        <v>2127</v>
      </c>
      <c r="AC312" s="776" t="s">
        <v>2127</v>
      </c>
      <c r="AD312" s="776" t="s">
        <v>2127</v>
      </c>
      <c r="AE312" s="776" t="s">
        <v>2127</v>
      </c>
      <c r="AF312" s="776" t="s">
        <v>2127</v>
      </c>
      <c r="AG312" s="776" t="s">
        <v>2127</v>
      </c>
      <c r="AH312" s="776" t="s">
        <v>2127</v>
      </c>
      <c r="AI312" s="776" t="s">
        <v>2127</v>
      </c>
      <c r="AJ312" s="776" t="s">
        <v>2127</v>
      </c>
      <c r="AK312" s="776" t="s">
        <v>2127</v>
      </c>
      <c r="AL312" s="776" t="s">
        <v>2127</v>
      </c>
      <c r="AM312" s="776" t="s">
        <v>2127</v>
      </c>
      <c r="AN312" s="776" t="s">
        <v>2127</v>
      </c>
      <c r="AO312" s="776" t="s">
        <v>2127</v>
      </c>
      <c r="AP312" s="776" t="s">
        <v>2127</v>
      </c>
      <c r="AQ312" s="776" t="s">
        <v>2127</v>
      </c>
      <c r="AR312" s="776" t="s">
        <v>2127</v>
      </c>
      <c r="AS312" s="776" t="s">
        <v>2127</v>
      </c>
      <c r="AT312" s="776" t="s">
        <v>2127</v>
      </c>
      <c r="AU312" s="776" t="s">
        <v>2127</v>
      </c>
      <c r="AV312" s="776" t="s">
        <v>2127</v>
      </c>
      <c r="AW312" s="776" t="s">
        <v>2127</v>
      </c>
      <c r="AX312" s="776" t="s">
        <v>2127</v>
      </c>
      <c r="AY312" s="776" t="s">
        <v>2127</v>
      </c>
      <c r="AZ312" s="776" t="s">
        <v>2127</v>
      </c>
      <c r="BA312" s="776" t="s">
        <v>2127</v>
      </c>
      <c r="BB312" s="776" t="s">
        <v>2127</v>
      </c>
      <c r="BC312" s="776" t="s">
        <v>2127</v>
      </c>
      <c r="BD312" s="776" t="s">
        <v>2127</v>
      </c>
      <c r="BE312" s="776" t="s">
        <v>2127</v>
      </c>
      <c r="BF312" s="776" t="s">
        <v>2127</v>
      </c>
      <c r="BG312" s="776" t="s">
        <v>2127</v>
      </c>
      <c r="BH312" s="776" t="s">
        <v>2127</v>
      </c>
      <c r="BI312" s="776" t="s">
        <v>2127</v>
      </c>
      <c r="BJ312" s="776" t="s">
        <v>2127</v>
      </c>
      <c r="BK312" s="776" t="s">
        <v>2127</v>
      </c>
      <c r="BL312" s="776" t="s">
        <v>2127</v>
      </c>
      <c r="BM312" s="776" t="s">
        <v>2127</v>
      </c>
      <c r="BN312" s="776" t="s">
        <v>2127</v>
      </c>
      <c r="BO312" s="776" t="s">
        <v>2127</v>
      </c>
      <c r="BP312" s="776" t="s">
        <v>2127</v>
      </c>
      <c r="BQ312" s="776" t="s">
        <v>2127</v>
      </c>
      <c r="BR312" s="776" t="s">
        <v>2127</v>
      </c>
      <c r="BS312" s="776" t="s">
        <v>2127</v>
      </c>
      <c r="BT312" s="776" t="s">
        <v>2127</v>
      </c>
      <c r="BU312" s="776" t="s">
        <v>2127</v>
      </c>
      <c r="BV312" s="776" t="s">
        <v>2127</v>
      </c>
      <c r="BW312" s="776" t="s">
        <v>2127</v>
      </c>
      <c r="BX312" s="776" t="s">
        <v>2127</v>
      </c>
      <c r="BY312" s="776" t="s">
        <v>2127</v>
      </c>
      <c r="BZ312" s="776" t="s">
        <v>2127</v>
      </c>
      <c r="CA312" s="776" t="s">
        <v>2127</v>
      </c>
      <c r="CB312" s="776" t="s">
        <v>2127</v>
      </c>
      <c r="CC312" s="776" t="s">
        <v>2127</v>
      </c>
      <c r="CD312" s="776" t="s">
        <v>2127</v>
      </c>
      <c r="CE312" s="776" t="s">
        <v>2127</v>
      </c>
      <c r="CF312" s="776" t="s">
        <v>2127</v>
      </c>
      <c r="CG312" s="776" t="s">
        <v>2127</v>
      </c>
      <c r="CH312" s="776" t="s">
        <v>2127</v>
      </c>
      <c r="CI312" s="776" t="s">
        <v>2127</v>
      </c>
      <c r="CJ312" s="776" t="s">
        <v>2127</v>
      </c>
      <c r="CK312" s="776" t="s">
        <v>2127</v>
      </c>
      <c r="CL312" s="776" t="s">
        <v>2127</v>
      </c>
      <c r="CM312" s="776" t="s">
        <v>2127</v>
      </c>
      <c r="CN312" s="776" t="s">
        <v>2127</v>
      </c>
      <c r="CO312" s="776" t="s">
        <v>2127</v>
      </c>
      <c r="CP312" s="776" t="s">
        <v>2127</v>
      </c>
      <c r="CQ312" s="776" t="s">
        <v>2127</v>
      </c>
      <c r="CR312" s="776" t="s">
        <v>2127</v>
      </c>
      <c r="CS312" s="776" t="s">
        <v>2127</v>
      </c>
      <c r="CT312" s="776" t="s">
        <v>2127</v>
      </c>
      <c r="CU312" s="776" t="s">
        <v>2127</v>
      </c>
      <c r="CV312" s="776" t="s">
        <v>2127</v>
      </c>
      <c r="CW312" s="776" t="s">
        <v>2127</v>
      </c>
      <c r="CX312" s="776" t="s">
        <v>2127</v>
      </c>
      <c r="CY312" s="776" t="s">
        <v>2127</v>
      </c>
      <c r="CZ312" s="776" t="s">
        <v>2127</v>
      </c>
      <c r="DA312" s="776" t="s">
        <v>2127</v>
      </c>
      <c r="DB312" s="776" t="s">
        <v>2127</v>
      </c>
      <c r="DC312" s="776" t="s">
        <v>2127</v>
      </c>
      <c r="DD312" s="776" t="s">
        <v>2127</v>
      </c>
      <c r="DE312" s="776" t="s">
        <v>2127</v>
      </c>
      <c r="DF312" s="776" t="s">
        <v>2127</v>
      </c>
      <c r="DG312" s="776" t="s">
        <v>2127</v>
      </c>
      <c r="DH312" s="776" t="s">
        <v>2127</v>
      </c>
      <c r="DI312" s="776" t="s">
        <v>2127</v>
      </c>
      <c r="DJ312" s="776" t="s">
        <v>2127</v>
      </c>
      <c r="DK312" s="776" t="s">
        <v>2127</v>
      </c>
      <c r="DL312" s="776" t="s">
        <v>2127</v>
      </c>
      <c r="DM312" s="776" t="s">
        <v>2127</v>
      </c>
      <c r="DN312" s="776" t="s">
        <v>2127</v>
      </c>
      <c r="DO312" s="776" t="s">
        <v>2127</v>
      </c>
      <c r="DP312" s="776" t="s">
        <v>2127</v>
      </c>
    </row>
    <row r="313" spans="1:120" x14ac:dyDescent="0.2">
      <c r="A313" s="637" t="s">
        <v>2325</v>
      </c>
      <c r="B313" s="772" t="str" cm="1">
        <f t="array" ref="B313">IFERROR(INDEX(Kulturen[HF],_xlfn.AGGREGATE(15,6,(ROW(Kulturen[Auswahl])-7)/(--(SEARCH("x",Kulturen[Auswahl])&gt;0)),ROW()-7),1),"")</f>
        <v>Mohn (Samen und Kapseln)</v>
      </c>
      <c r="C313" s="772" t="str">
        <f>IF(Kulturen[[#This Row],[HF]]=$D$373,IF($C$6=0,0,"x"),IF($C$6=0,"x",Vorauswahl!C312))</f>
        <v>x</v>
      </c>
      <c r="D313" s="938" t="s">
        <v>2064</v>
      </c>
      <c r="E313" s="938" t="s">
        <v>2064</v>
      </c>
      <c r="F313" s="938" t="s">
        <v>965</v>
      </c>
      <c r="G313" s="938">
        <v>14</v>
      </c>
      <c r="H313" s="938">
        <v>8</v>
      </c>
      <c r="I313" s="938">
        <v>1</v>
      </c>
      <c r="J313" s="938">
        <v>14</v>
      </c>
      <c r="K313" s="938">
        <v>0.21</v>
      </c>
      <c r="L313" s="938">
        <v>0.21</v>
      </c>
      <c r="M313" s="938">
        <v>30</v>
      </c>
      <c r="N313" s="938">
        <v>0</v>
      </c>
      <c r="O313" s="938">
        <v>1</v>
      </c>
      <c r="P313" s="938">
        <v>0</v>
      </c>
      <c r="Q313" s="938">
        <v>100</v>
      </c>
      <c r="R313" s="938">
        <v>3</v>
      </c>
      <c r="S313" s="938">
        <v>5</v>
      </c>
      <c r="T313" s="938">
        <v>5</v>
      </c>
      <c r="U313" s="938">
        <v>0</v>
      </c>
      <c r="V313" s="938">
        <v>1</v>
      </c>
      <c r="W313" s="776">
        <f>IF(Kulturen[[#This Row],[Berechnungsschema]]=13,3,IF(Kulturen[[#This Row],[Berechnungsschema]]=6,2,1))</f>
        <v>1</v>
      </c>
      <c r="X313" s="776">
        <f>IF(Kulturen[[#This Row],[fruchtartengruppe]]=13,Kulturen[[#This Row],[NBedarfswert]],MAX(0,Kulturen[[#This Row],[NBedarfswert]]-Kulturen[[#This Row],[Ertrag]]*Kulturen[[#This Row],[Nfix]]))</f>
        <v>100</v>
      </c>
      <c r="Y313" s="776" t="s">
        <v>2127</v>
      </c>
      <c r="Z313" s="776" t="s">
        <v>2127</v>
      </c>
      <c r="AA313" s="776" t="s">
        <v>2127</v>
      </c>
      <c r="AB313" s="776" t="s">
        <v>2127</v>
      </c>
      <c r="AC313" s="776" t="s">
        <v>2127</v>
      </c>
      <c r="AD313" s="776" t="s">
        <v>2127</v>
      </c>
      <c r="AE313" s="776" t="s">
        <v>2127</v>
      </c>
      <c r="AF313" s="776" t="s">
        <v>2127</v>
      </c>
      <c r="AG313" s="776" t="s">
        <v>2127</v>
      </c>
      <c r="AH313" s="776" t="s">
        <v>2127</v>
      </c>
      <c r="AI313" s="776" t="s">
        <v>2127</v>
      </c>
      <c r="AJ313" s="776" t="s">
        <v>2127</v>
      </c>
      <c r="AK313" s="776" t="s">
        <v>2127</v>
      </c>
      <c r="AL313" s="776" t="s">
        <v>2127</v>
      </c>
      <c r="AM313" s="776" t="s">
        <v>2127</v>
      </c>
      <c r="AN313" s="776" t="s">
        <v>2127</v>
      </c>
      <c r="AO313" s="776" t="s">
        <v>2127</v>
      </c>
      <c r="AP313" s="776" t="s">
        <v>2127</v>
      </c>
      <c r="AQ313" s="776" t="s">
        <v>2127</v>
      </c>
      <c r="AR313" s="776" t="s">
        <v>2127</v>
      </c>
      <c r="AS313" s="776" t="s">
        <v>2127</v>
      </c>
      <c r="AT313" s="776" t="s">
        <v>2127</v>
      </c>
      <c r="AU313" s="776" t="s">
        <v>2127</v>
      </c>
      <c r="AV313" s="776" t="s">
        <v>2127</v>
      </c>
      <c r="AW313" s="776" t="s">
        <v>2127</v>
      </c>
      <c r="AX313" s="776" t="s">
        <v>2127</v>
      </c>
      <c r="AY313" s="776" t="s">
        <v>2127</v>
      </c>
      <c r="AZ313" s="776" t="s">
        <v>2127</v>
      </c>
      <c r="BA313" s="776" t="s">
        <v>2127</v>
      </c>
      <c r="BB313" s="776" t="s">
        <v>2127</v>
      </c>
      <c r="BC313" s="776" t="s">
        <v>2127</v>
      </c>
      <c r="BD313" s="776" t="s">
        <v>2127</v>
      </c>
      <c r="BE313" s="776" t="s">
        <v>2127</v>
      </c>
      <c r="BF313" s="776" t="s">
        <v>2127</v>
      </c>
      <c r="BG313" s="776" t="s">
        <v>2127</v>
      </c>
      <c r="BH313" s="776" t="s">
        <v>2127</v>
      </c>
      <c r="BI313" s="776" t="s">
        <v>2127</v>
      </c>
      <c r="BJ313" s="776" t="s">
        <v>2127</v>
      </c>
      <c r="BK313" s="776" t="s">
        <v>2127</v>
      </c>
      <c r="BL313" s="776" t="s">
        <v>2127</v>
      </c>
      <c r="BM313" s="776" t="s">
        <v>2127</v>
      </c>
      <c r="BN313" s="776" t="s">
        <v>2127</v>
      </c>
      <c r="BO313" s="776" t="s">
        <v>2127</v>
      </c>
      <c r="BP313" s="776" t="s">
        <v>2127</v>
      </c>
      <c r="BQ313" s="776" t="s">
        <v>2127</v>
      </c>
      <c r="BR313" s="776" t="s">
        <v>2127</v>
      </c>
      <c r="BS313" s="776" t="s">
        <v>2127</v>
      </c>
      <c r="BT313" s="776" t="s">
        <v>2127</v>
      </c>
      <c r="BU313" s="776" t="s">
        <v>2127</v>
      </c>
      <c r="BV313" s="776" t="s">
        <v>2127</v>
      </c>
      <c r="BW313" s="776" t="s">
        <v>2127</v>
      </c>
      <c r="BX313" s="776" t="s">
        <v>2127</v>
      </c>
      <c r="BY313" s="776" t="s">
        <v>2127</v>
      </c>
      <c r="BZ313" s="776" t="s">
        <v>2127</v>
      </c>
      <c r="CA313" s="776" t="s">
        <v>2127</v>
      </c>
      <c r="CB313" s="776" t="s">
        <v>2127</v>
      </c>
      <c r="CC313" s="776" t="s">
        <v>2127</v>
      </c>
      <c r="CD313" s="776" t="s">
        <v>2127</v>
      </c>
      <c r="CE313" s="776" t="s">
        <v>2127</v>
      </c>
      <c r="CF313" s="776" t="s">
        <v>2127</v>
      </c>
      <c r="CG313" s="776" t="s">
        <v>2127</v>
      </c>
      <c r="CH313" s="776" t="s">
        <v>2127</v>
      </c>
      <c r="CI313" s="776" t="s">
        <v>2127</v>
      </c>
      <c r="CJ313" s="776" t="s">
        <v>2127</v>
      </c>
      <c r="CK313" s="776" t="s">
        <v>2127</v>
      </c>
      <c r="CL313" s="776" t="s">
        <v>2127</v>
      </c>
      <c r="CM313" s="776" t="s">
        <v>2127</v>
      </c>
      <c r="CN313" s="776" t="s">
        <v>2127</v>
      </c>
      <c r="CO313" s="776" t="s">
        <v>2127</v>
      </c>
      <c r="CP313" s="776" t="s">
        <v>2127</v>
      </c>
      <c r="CQ313" s="776" t="s">
        <v>2127</v>
      </c>
      <c r="CR313" s="776" t="s">
        <v>2127</v>
      </c>
      <c r="CS313" s="776" t="s">
        <v>2127</v>
      </c>
      <c r="CT313" s="776" t="s">
        <v>2127</v>
      </c>
      <c r="CU313" s="776" t="s">
        <v>2127</v>
      </c>
      <c r="CV313" s="776" t="s">
        <v>2127</v>
      </c>
      <c r="CW313" s="776" t="s">
        <v>2127</v>
      </c>
      <c r="CX313" s="776" t="s">
        <v>2127</v>
      </c>
      <c r="CY313" s="776" t="s">
        <v>2127</v>
      </c>
      <c r="CZ313" s="776" t="s">
        <v>2127</v>
      </c>
      <c r="DA313" s="776" t="s">
        <v>2127</v>
      </c>
      <c r="DB313" s="776" t="s">
        <v>2127</v>
      </c>
      <c r="DC313" s="776" t="s">
        <v>2127</v>
      </c>
      <c r="DD313" s="776" t="s">
        <v>2127</v>
      </c>
      <c r="DE313" s="776" t="s">
        <v>2127</v>
      </c>
      <c r="DF313" s="776" t="s">
        <v>2127</v>
      </c>
      <c r="DG313" s="776" t="s">
        <v>2127</v>
      </c>
      <c r="DH313" s="776" t="s">
        <v>2127</v>
      </c>
      <c r="DI313" s="776" t="s">
        <v>2127</v>
      </c>
      <c r="DJ313" s="776" t="s">
        <v>2127</v>
      </c>
      <c r="DK313" s="776" t="s">
        <v>2127</v>
      </c>
      <c r="DL313" s="776" t="s">
        <v>2127</v>
      </c>
      <c r="DM313" s="776" t="s">
        <v>2127</v>
      </c>
      <c r="DN313" s="776" t="s">
        <v>2127</v>
      </c>
      <c r="DO313" s="776" t="s">
        <v>2127</v>
      </c>
      <c r="DP313" s="776" t="s">
        <v>2127</v>
      </c>
    </row>
    <row r="314" spans="1:120" x14ac:dyDescent="0.2">
      <c r="A314" s="637" t="s">
        <v>2326</v>
      </c>
      <c r="B314" s="772" t="str" cm="1">
        <f t="array" ref="B314">IFERROR(INDEX(Kulturen[HF],_xlfn.AGGREGATE(15,6,(ROW(Kulturen[Auswahl])-7)/(--(SEARCH("x",Kulturen[Auswahl])&gt;0)),ROW()-7),1),"")</f>
        <v>Muskatteller Salbei (Blühendes Kraut)</v>
      </c>
      <c r="C314" s="772" t="str">
        <f>IF(Kulturen[[#This Row],[HF]]=$D$373,IF($C$6=0,0,"x"),IF($C$6=0,"x",Vorauswahl!C313))</f>
        <v>x</v>
      </c>
      <c r="D314" s="938" t="s">
        <v>2065</v>
      </c>
      <c r="E314" s="938" t="s">
        <v>2065</v>
      </c>
      <c r="F314" s="938" t="s">
        <v>966</v>
      </c>
      <c r="G314" s="938">
        <v>14</v>
      </c>
      <c r="H314" s="938">
        <v>8</v>
      </c>
      <c r="I314" s="938">
        <v>3</v>
      </c>
      <c r="J314" s="938">
        <v>14</v>
      </c>
      <c r="K314" s="938">
        <v>0.2</v>
      </c>
      <c r="L314" s="938">
        <v>0.2</v>
      </c>
      <c r="M314" s="938">
        <v>100</v>
      </c>
      <c r="N314" s="938">
        <v>0</v>
      </c>
      <c r="O314" s="938">
        <v>1</v>
      </c>
      <c r="P314" s="938">
        <v>0</v>
      </c>
      <c r="Q314" s="938">
        <v>70</v>
      </c>
      <c r="R314" s="938">
        <v>10</v>
      </c>
      <c r="S314" s="938">
        <v>7</v>
      </c>
      <c r="T314" s="938">
        <v>7</v>
      </c>
      <c r="U314" s="938">
        <v>0</v>
      </c>
      <c r="V314" s="938">
        <v>1</v>
      </c>
      <c r="W314" s="776">
        <f>IF(Kulturen[[#This Row],[Berechnungsschema]]=13,3,IF(Kulturen[[#This Row],[Berechnungsschema]]=6,2,1))</f>
        <v>1</v>
      </c>
      <c r="X314" s="776">
        <f>IF(Kulturen[[#This Row],[fruchtartengruppe]]=13,Kulturen[[#This Row],[NBedarfswert]],MAX(0,Kulturen[[#This Row],[NBedarfswert]]-Kulturen[[#This Row],[Ertrag]]*Kulturen[[#This Row],[Nfix]]))</f>
        <v>70</v>
      </c>
      <c r="Y314" s="776" t="s">
        <v>2127</v>
      </c>
      <c r="Z314" s="776" t="s">
        <v>2127</v>
      </c>
      <c r="AA314" s="776" t="s">
        <v>2127</v>
      </c>
      <c r="AB314" s="776" t="s">
        <v>2127</v>
      </c>
      <c r="AC314" s="776" t="s">
        <v>2127</v>
      </c>
      <c r="AD314" s="776" t="s">
        <v>2127</v>
      </c>
      <c r="AE314" s="776" t="s">
        <v>2127</v>
      </c>
      <c r="AF314" s="776" t="s">
        <v>2127</v>
      </c>
      <c r="AG314" s="776" t="s">
        <v>2127</v>
      </c>
      <c r="AH314" s="776" t="s">
        <v>2127</v>
      </c>
      <c r="AI314" s="776" t="s">
        <v>2127</v>
      </c>
      <c r="AJ314" s="776" t="s">
        <v>2127</v>
      </c>
      <c r="AK314" s="776" t="s">
        <v>2127</v>
      </c>
      <c r="AL314" s="776" t="s">
        <v>2127</v>
      </c>
      <c r="AM314" s="776" t="s">
        <v>2127</v>
      </c>
      <c r="AN314" s="776" t="s">
        <v>2127</v>
      </c>
      <c r="AO314" s="776" t="s">
        <v>2127</v>
      </c>
      <c r="AP314" s="776" t="s">
        <v>2127</v>
      </c>
      <c r="AQ314" s="776" t="s">
        <v>2127</v>
      </c>
      <c r="AR314" s="776" t="s">
        <v>2127</v>
      </c>
      <c r="AS314" s="776" t="s">
        <v>2127</v>
      </c>
      <c r="AT314" s="776" t="s">
        <v>2127</v>
      </c>
      <c r="AU314" s="776" t="s">
        <v>2127</v>
      </c>
      <c r="AV314" s="776" t="s">
        <v>2127</v>
      </c>
      <c r="AW314" s="776" t="s">
        <v>2127</v>
      </c>
      <c r="AX314" s="776" t="s">
        <v>2127</v>
      </c>
      <c r="AY314" s="776" t="s">
        <v>2127</v>
      </c>
      <c r="AZ314" s="776" t="s">
        <v>2127</v>
      </c>
      <c r="BA314" s="776" t="s">
        <v>2127</v>
      </c>
      <c r="BB314" s="776" t="s">
        <v>2127</v>
      </c>
      <c r="BC314" s="776" t="s">
        <v>2127</v>
      </c>
      <c r="BD314" s="776" t="s">
        <v>2127</v>
      </c>
      <c r="BE314" s="776" t="s">
        <v>2127</v>
      </c>
      <c r="BF314" s="776" t="s">
        <v>2127</v>
      </c>
      <c r="BG314" s="776" t="s">
        <v>2127</v>
      </c>
      <c r="BH314" s="776" t="s">
        <v>2127</v>
      </c>
      <c r="BI314" s="776" t="s">
        <v>2127</v>
      </c>
      <c r="BJ314" s="776" t="s">
        <v>2127</v>
      </c>
      <c r="BK314" s="776" t="s">
        <v>2127</v>
      </c>
      <c r="BL314" s="776" t="s">
        <v>2127</v>
      </c>
      <c r="BM314" s="776" t="s">
        <v>2127</v>
      </c>
      <c r="BN314" s="776" t="s">
        <v>2127</v>
      </c>
      <c r="BO314" s="776" t="s">
        <v>2127</v>
      </c>
      <c r="BP314" s="776" t="s">
        <v>2127</v>
      </c>
      <c r="BQ314" s="776" t="s">
        <v>2127</v>
      </c>
      <c r="BR314" s="776" t="s">
        <v>2127</v>
      </c>
      <c r="BS314" s="776" t="s">
        <v>2127</v>
      </c>
      <c r="BT314" s="776" t="s">
        <v>2127</v>
      </c>
      <c r="BU314" s="776" t="s">
        <v>2127</v>
      </c>
      <c r="BV314" s="776" t="s">
        <v>2127</v>
      </c>
      <c r="BW314" s="776" t="s">
        <v>2127</v>
      </c>
      <c r="BX314" s="776" t="s">
        <v>2127</v>
      </c>
      <c r="BY314" s="776" t="s">
        <v>2127</v>
      </c>
      <c r="BZ314" s="776" t="s">
        <v>2127</v>
      </c>
      <c r="CA314" s="776" t="s">
        <v>2127</v>
      </c>
      <c r="CB314" s="776" t="s">
        <v>2127</v>
      </c>
      <c r="CC314" s="776" t="s">
        <v>2127</v>
      </c>
      <c r="CD314" s="776" t="s">
        <v>2127</v>
      </c>
      <c r="CE314" s="776" t="s">
        <v>2127</v>
      </c>
      <c r="CF314" s="776" t="s">
        <v>2127</v>
      </c>
      <c r="CG314" s="776" t="s">
        <v>2127</v>
      </c>
      <c r="CH314" s="776" t="s">
        <v>2127</v>
      </c>
      <c r="CI314" s="776" t="s">
        <v>2127</v>
      </c>
      <c r="CJ314" s="776" t="s">
        <v>2127</v>
      </c>
      <c r="CK314" s="776" t="s">
        <v>2127</v>
      </c>
      <c r="CL314" s="776" t="s">
        <v>2127</v>
      </c>
      <c r="CM314" s="776" t="s">
        <v>2127</v>
      </c>
      <c r="CN314" s="776" t="s">
        <v>2127</v>
      </c>
      <c r="CO314" s="776" t="s">
        <v>2127</v>
      </c>
      <c r="CP314" s="776" t="s">
        <v>2127</v>
      </c>
      <c r="CQ314" s="776" t="s">
        <v>2127</v>
      </c>
      <c r="CR314" s="776" t="s">
        <v>2127</v>
      </c>
      <c r="CS314" s="776" t="s">
        <v>2127</v>
      </c>
      <c r="CT314" s="776" t="s">
        <v>2127</v>
      </c>
      <c r="CU314" s="776" t="s">
        <v>2127</v>
      </c>
      <c r="CV314" s="776" t="s">
        <v>2127</v>
      </c>
      <c r="CW314" s="776" t="s">
        <v>2127</v>
      </c>
      <c r="CX314" s="776" t="s">
        <v>2127</v>
      </c>
      <c r="CY314" s="776" t="s">
        <v>2127</v>
      </c>
      <c r="CZ314" s="776" t="s">
        <v>2127</v>
      </c>
      <c r="DA314" s="776" t="s">
        <v>2127</v>
      </c>
      <c r="DB314" s="776" t="s">
        <v>2127</v>
      </c>
      <c r="DC314" s="776" t="s">
        <v>2127</v>
      </c>
      <c r="DD314" s="776" t="s">
        <v>2127</v>
      </c>
      <c r="DE314" s="776" t="s">
        <v>2127</v>
      </c>
      <c r="DF314" s="776" t="s">
        <v>2127</v>
      </c>
      <c r="DG314" s="776" t="s">
        <v>2127</v>
      </c>
      <c r="DH314" s="776" t="s">
        <v>2127</v>
      </c>
      <c r="DI314" s="776" t="s">
        <v>2127</v>
      </c>
      <c r="DJ314" s="776" t="s">
        <v>2127</v>
      </c>
      <c r="DK314" s="776" t="s">
        <v>2127</v>
      </c>
      <c r="DL314" s="776" t="s">
        <v>2127</v>
      </c>
      <c r="DM314" s="776" t="s">
        <v>2127</v>
      </c>
      <c r="DN314" s="776" t="s">
        <v>2127</v>
      </c>
      <c r="DO314" s="776" t="s">
        <v>2127</v>
      </c>
      <c r="DP314" s="776" t="s">
        <v>2127</v>
      </c>
    </row>
    <row r="315" spans="1:120" x14ac:dyDescent="0.2">
      <c r="A315" s="637" t="s">
        <v>2327</v>
      </c>
      <c r="B315" s="772" t="str" cm="1">
        <f t="array" ref="B315">IFERROR(INDEX(Kulturen[HF],_xlfn.AGGREGATE(15,6,(ROW(Kulturen[Auswahl])-7)/(--(SEARCH("x",Kulturen[Auswahl])&gt;0)),ROW()-7),1),"")</f>
        <v>Mutterkraut (T. parthenium) (Blühendes Kraut)</v>
      </c>
      <c r="C315" s="772" t="str">
        <f>IF(Kulturen[[#This Row],[HF]]=$D$373,IF($C$6=0,0,"x"),IF($C$6=0,"x",Vorauswahl!C314))</f>
        <v>x</v>
      </c>
      <c r="D315" s="938" t="s">
        <v>2066</v>
      </c>
      <c r="E315" s="938" t="s">
        <v>2066</v>
      </c>
      <c r="F315" s="938" t="s">
        <v>967</v>
      </c>
      <c r="G315" s="938">
        <v>14</v>
      </c>
      <c r="H315" s="938">
        <v>8</v>
      </c>
      <c r="I315" s="938">
        <v>3</v>
      </c>
      <c r="J315" s="938">
        <v>14</v>
      </c>
      <c r="K315" s="938">
        <v>0.14000000000000001</v>
      </c>
      <c r="L315" s="938">
        <v>0.14000000000000001</v>
      </c>
      <c r="M315" s="938">
        <v>200</v>
      </c>
      <c r="N315" s="938">
        <v>0</v>
      </c>
      <c r="O315" s="938">
        <v>2</v>
      </c>
      <c r="P315" s="938">
        <v>0</v>
      </c>
      <c r="Q315" s="938">
        <v>135</v>
      </c>
      <c r="R315" s="938">
        <v>20</v>
      </c>
      <c r="S315" s="938">
        <v>14</v>
      </c>
      <c r="T315" s="938">
        <v>14</v>
      </c>
      <c r="U315" s="938">
        <v>0</v>
      </c>
      <c r="V315" s="938">
        <v>1</v>
      </c>
      <c r="W315" s="776">
        <f>IF(Kulturen[[#This Row],[Berechnungsschema]]=13,3,IF(Kulturen[[#This Row],[Berechnungsschema]]=6,2,1))</f>
        <v>1</v>
      </c>
      <c r="X315" s="776">
        <f>IF(Kulturen[[#This Row],[fruchtartengruppe]]=13,Kulturen[[#This Row],[NBedarfswert]],MAX(0,Kulturen[[#This Row],[NBedarfswert]]-Kulturen[[#This Row],[Ertrag]]*Kulturen[[#This Row],[Nfix]]))</f>
        <v>135</v>
      </c>
      <c r="Y315" s="776" t="s">
        <v>2127</v>
      </c>
      <c r="Z315" s="776" t="s">
        <v>2127</v>
      </c>
      <c r="AA315" s="776" t="s">
        <v>2127</v>
      </c>
      <c r="AB315" s="776" t="s">
        <v>2127</v>
      </c>
      <c r="AC315" s="776" t="s">
        <v>2127</v>
      </c>
      <c r="AD315" s="776" t="s">
        <v>2127</v>
      </c>
      <c r="AE315" s="776" t="s">
        <v>2127</v>
      </c>
      <c r="AF315" s="776" t="s">
        <v>2127</v>
      </c>
      <c r="AG315" s="776" t="s">
        <v>2127</v>
      </c>
      <c r="AH315" s="776" t="s">
        <v>2127</v>
      </c>
      <c r="AI315" s="776" t="s">
        <v>2127</v>
      </c>
      <c r="AJ315" s="776" t="s">
        <v>2127</v>
      </c>
      <c r="AK315" s="776" t="s">
        <v>2127</v>
      </c>
      <c r="AL315" s="776" t="s">
        <v>2127</v>
      </c>
      <c r="AM315" s="776" t="s">
        <v>2127</v>
      </c>
      <c r="AN315" s="776" t="s">
        <v>2127</v>
      </c>
      <c r="AO315" s="776" t="s">
        <v>2127</v>
      </c>
      <c r="AP315" s="776" t="s">
        <v>2127</v>
      </c>
      <c r="AQ315" s="776" t="s">
        <v>2127</v>
      </c>
      <c r="AR315" s="776" t="s">
        <v>2127</v>
      </c>
      <c r="AS315" s="776" t="s">
        <v>2127</v>
      </c>
      <c r="AT315" s="776" t="s">
        <v>2127</v>
      </c>
      <c r="AU315" s="776" t="s">
        <v>2127</v>
      </c>
      <c r="AV315" s="776" t="s">
        <v>2127</v>
      </c>
      <c r="AW315" s="776" t="s">
        <v>2127</v>
      </c>
      <c r="AX315" s="776" t="s">
        <v>2127</v>
      </c>
      <c r="AY315" s="776" t="s">
        <v>2127</v>
      </c>
      <c r="AZ315" s="776" t="s">
        <v>2127</v>
      </c>
      <c r="BA315" s="776" t="s">
        <v>2127</v>
      </c>
      <c r="BB315" s="776" t="s">
        <v>2127</v>
      </c>
      <c r="BC315" s="776" t="s">
        <v>2127</v>
      </c>
      <c r="BD315" s="776" t="s">
        <v>2127</v>
      </c>
      <c r="BE315" s="776" t="s">
        <v>2127</v>
      </c>
      <c r="BF315" s="776" t="s">
        <v>2127</v>
      </c>
      <c r="BG315" s="776" t="s">
        <v>2127</v>
      </c>
      <c r="BH315" s="776" t="s">
        <v>2127</v>
      </c>
      <c r="BI315" s="776" t="s">
        <v>2127</v>
      </c>
      <c r="BJ315" s="776" t="s">
        <v>2127</v>
      </c>
      <c r="BK315" s="776" t="s">
        <v>2127</v>
      </c>
      <c r="BL315" s="776" t="s">
        <v>2127</v>
      </c>
      <c r="BM315" s="776" t="s">
        <v>2127</v>
      </c>
      <c r="BN315" s="776" t="s">
        <v>2127</v>
      </c>
      <c r="BO315" s="776" t="s">
        <v>2127</v>
      </c>
      <c r="BP315" s="776" t="s">
        <v>2127</v>
      </c>
      <c r="BQ315" s="776" t="s">
        <v>2127</v>
      </c>
      <c r="BR315" s="776" t="s">
        <v>2127</v>
      </c>
      <c r="BS315" s="776" t="s">
        <v>2127</v>
      </c>
      <c r="BT315" s="776" t="s">
        <v>2127</v>
      </c>
      <c r="BU315" s="776" t="s">
        <v>2127</v>
      </c>
      <c r="BV315" s="776" t="s">
        <v>2127</v>
      </c>
      <c r="BW315" s="776" t="s">
        <v>2127</v>
      </c>
      <c r="BX315" s="776" t="s">
        <v>2127</v>
      </c>
      <c r="BY315" s="776" t="s">
        <v>2127</v>
      </c>
      <c r="BZ315" s="776" t="s">
        <v>2127</v>
      </c>
      <c r="CA315" s="776" t="s">
        <v>2127</v>
      </c>
      <c r="CB315" s="776" t="s">
        <v>2127</v>
      </c>
      <c r="CC315" s="776" t="s">
        <v>2127</v>
      </c>
      <c r="CD315" s="776" t="s">
        <v>2127</v>
      </c>
      <c r="CE315" s="776" t="s">
        <v>2127</v>
      </c>
      <c r="CF315" s="776" t="s">
        <v>2127</v>
      </c>
      <c r="CG315" s="776" t="s">
        <v>2127</v>
      </c>
      <c r="CH315" s="776" t="s">
        <v>2127</v>
      </c>
      <c r="CI315" s="776" t="s">
        <v>2127</v>
      </c>
      <c r="CJ315" s="776" t="s">
        <v>2127</v>
      </c>
      <c r="CK315" s="776" t="s">
        <v>2127</v>
      </c>
      <c r="CL315" s="776" t="s">
        <v>2127</v>
      </c>
      <c r="CM315" s="776" t="s">
        <v>2127</v>
      </c>
      <c r="CN315" s="776" t="s">
        <v>2127</v>
      </c>
      <c r="CO315" s="776" t="s">
        <v>2127</v>
      </c>
      <c r="CP315" s="776" t="s">
        <v>2127</v>
      </c>
      <c r="CQ315" s="776" t="s">
        <v>2127</v>
      </c>
      <c r="CR315" s="776" t="s">
        <v>2127</v>
      </c>
      <c r="CS315" s="776" t="s">
        <v>2127</v>
      </c>
      <c r="CT315" s="776" t="s">
        <v>2127</v>
      </c>
      <c r="CU315" s="776" t="s">
        <v>2127</v>
      </c>
      <c r="CV315" s="776" t="s">
        <v>2127</v>
      </c>
      <c r="CW315" s="776" t="s">
        <v>2127</v>
      </c>
      <c r="CX315" s="776" t="s">
        <v>2127</v>
      </c>
      <c r="CY315" s="776" t="s">
        <v>2127</v>
      </c>
      <c r="CZ315" s="776" t="s">
        <v>2127</v>
      </c>
      <c r="DA315" s="776" t="s">
        <v>2127</v>
      </c>
      <c r="DB315" s="776" t="s">
        <v>2127</v>
      </c>
      <c r="DC315" s="776" t="s">
        <v>2127</v>
      </c>
      <c r="DD315" s="776" t="s">
        <v>2127</v>
      </c>
      <c r="DE315" s="776" t="s">
        <v>2127</v>
      </c>
      <c r="DF315" s="776" t="s">
        <v>2127</v>
      </c>
      <c r="DG315" s="776" t="s">
        <v>2127</v>
      </c>
      <c r="DH315" s="776" t="s">
        <v>2127</v>
      </c>
      <c r="DI315" s="776" t="s">
        <v>2127</v>
      </c>
      <c r="DJ315" s="776" t="s">
        <v>2127</v>
      </c>
      <c r="DK315" s="776" t="s">
        <v>2127</v>
      </c>
      <c r="DL315" s="776" t="s">
        <v>2127</v>
      </c>
      <c r="DM315" s="776" t="s">
        <v>2127</v>
      </c>
      <c r="DN315" s="776" t="s">
        <v>2127</v>
      </c>
      <c r="DO315" s="776" t="s">
        <v>2127</v>
      </c>
      <c r="DP315" s="776" t="s">
        <v>2127</v>
      </c>
    </row>
    <row r="316" spans="1:120" x14ac:dyDescent="0.2">
      <c r="A316" s="637" t="s">
        <v>2286</v>
      </c>
      <c r="B316" s="772" t="str" cm="1">
        <f t="array" ref="B316">IFERROR(INDEX(Kulturen[HF],_xlfn.AGGREGATE(15,6,(ROW(Kulturen[Auswahl])-7)/(--(SEARCH("x",Kulturen[Auswahl])&gt;0)),ROW()-7),1),"")</f>
        <v>Mutterkraut, Chin. (L. jap.) (Blühendes Kraut)</v>
      </c>
      <c r="C316" s="772" t="str">
        <f>IF(Kulturen[[#This Row],[HF]]=$D$373,IF($C$6=0,0,"x"),IF($C$6=0,"x",Vorauswahl!C315))</f>
        <v>x</v>
      </c>
      <c r="D316" s="938" t="s">
        <v>2067</v>
      </c>
      <c r="E316" s="938" t="s">
        <v>2067</v>
      </c>
      <c r="F316" s="938" t="s">
        <v>926</v>
      </c>
      <c r="G316" s="938">
        <v>14</v>
      </c>
      <c r="H316" s="938">
        <v>8</v>
      </c>
      <c r="I316" s="938">
        <v>3</v>
      </c>
      <c r="J316" s="938">
        <v>14</v>
      </c>
      <c r="K316" s="938">
        <v>0.16</v>
      </c>
      <c r="L316" s="938">
        <v>0.16</v>
      </c>
      <c r="M316" s="938">
        <v>500</v>
      </c>
      <c r="N316" s="938">
        <v>0</v>
      </c>
      <c r="O316" s="938">
        <v>2</v>
      </c>
      <c r="P316" s="938">
        <v>0</v>
      </c>
      <c r="Q316" s="938">
        <v>215</v>
      </c>
      <c r="R316" s="938">
        <v>50</v>
      </c>
      <c r="S316" s="938">
        <v>22</v>
      </c>
      <c r="T316" s="938">
        <v>22</v>
      </c>
      <c r="U316" s="938">
        <v>0</v>
      </c>
      <c r="V316" s="938">
        <v>1</v>
      </c>
      <c r="W316" s="776">
        <f>IF(Kulturen[[#This Row],[Berechnungsschema]]=13,3,IF(Kulturen[[#This Row],[Berechnungsschema]]=6,2,1))</f>
        <v>1</v>
      </c>
      <c r="X316" s="776">
        <f>IF(Kulturen[[#This Row],[fruchtartengruppe]]=13,Kulturen[[#This Row],[NBedarfswert]],MAX(0,Kulturen[[#This Row],[NBedarfswert]]-Kulturen[[#This Row],[Ertrag]]*Kulturen[[#This Row],[Nfix]]))</f>
        <v>215</v>
      </c>
      <c r="Y316" s="776" t="s">
        <v>2127</v>
      </c>
      <c r="Z316" s="776" t="s">
        <v>2127</v>
      </c>
      <c r="AA316" s="776" t="s">
        <v>2127</v>
      </c>
      <c r="AB316" s="776" t="s">
        <v>2127</v>
      </c>
      <c r="AC316" s="776" t="s">
        <v>2127</v>
      </c>
      <c r="AD316" s="776" t="s">
        <v>2127</v>
      </c>
      <c r="AE316" s="776" t="s">
        <v>2127</v>
      </c>
      <c r="AF316" s="776" t="s">
        <v>2127</v>
      </c>
      <c r="AG316" s="776" t="s">
        <v>2127</v>
      </c>
      <c r="AH316" s="776" t="s">
        <v>2127</v>
      </c>
      <c r="AI316" s="776" t="s">
        <v>2127</v>
      </c>
      <c r="AJ316" s="776" t="s">
        <v>2127</v>
      </c>
      <c r="AK316" s="776" t="s">
        <v>2127</v>
      </c>
      <c r="AL316" s="776" t="s">
        <v>2127</v>
      </c>
      <c r="AM316" s="776" t="s">
        <v>2127</v>
      </c>
      <c r="AN316" s="776" t="s">
        <v>2127</v>
      </c>
      <c r="AO316" s="776" t="s">
        <v>2127</v>
      </c>
      <c r="AP316" s="776" t="s">
        <v>2127</v>
      </c>
      <c r="AQ316" s="776" t="s">
        <v>2127</v>
      </c>
      <c r="AR316" s="776" t="s">
        <v>2127</v>
      </c>
      <c r="AS316" s="776" t="s">
        <v>2127</v>
      </c>
      <c r="AT316" s="776" t="s">
        <v>2127</v>
      </c>
      <c r="AU316" s="776" t="s">
        <v>2127</v>
      </c>
      <c r="AV316" s="776" t="s">
        <v>2127</v>
      </c>
      <c r="AW316" s="776" t="s">
        <v>2127</v>
      </c>
      <c r="AX316" s="776" t="s">
        <v>2127</v>
      </c>
      <c r="AY316" s="776" t="s">
        <v>2127</v>
      </c>
      <c r="AZ316" s="776" t="s">
        <v>2127</v>
      </c>
      <c r="BA316" s="776" t="s">
        <v>2127</v>
      </c>
      <c r="BB316" s="776" t="s">
        <v>2127</v>
      </c>
      <c r="BC316" s="776" t="s">
        <v>2127</v>
      </c>
      <c r="BD316" s="776" t="s">
        <v>2127</v>
      </c>
      <c r="BE316" s="776" t="s">
        <v>2127</v>
      </c>
      <c r="BF316" s="776" t="s">
        <v>2127</v>
      </c>
      <c r="BG316" s="776" t="s">
        <v>2127</v>
      </c>
      <c r="BH316" s="776" t="s">
        <v>2127</v>
      </c>
      <c r="BI316" s="776" t="s">
        <v>2127</v>
      </c>
      <c r="BJ316" s="776" t="s">
        <v>2127</v>
      </c>
      <c r="BK316" s="776" t="s">
        <v>2127</v>
      </c>
      <c r="BL316" s="776" t="s">
        <v>2127</v>
      </c>
      <c r="BM316" s="776" t="s">
        <v>2127</v>
      </c>
      <c r="BN316" s="776" t="s">
        <v>2127</v>
      </c>
      <c r="BO316" s="776" t="s">
        <v>2127</v>
      </c>
      <c r="BP316" s="776" t="s">
        <v>2127</v>
      </c>
      <c r="BQ316" s="776" t="s">
        <v>2127</v>
      </c>
      <c r="BR316" s="776" t="s">
        <v>2127</v>
      </c>
      <c r="BS316" s="776" t="s">
        <v>2127</v>
      </c>
      <c r="BT316" s="776" t="s">
        <v>2127</v>
      </c>
      <c r="BU316" s="776" t="s">
        <v>2127</v>
      </c>
      <c r="BV316" s="776" t="s">
        <v>2127</v>
      </c>
      <c r="BW316" s="776" t="s">
        <v>2127</v>
      </c>
      <c r="BX316" s="776" t="s">
        <v>2127</v>
      </c>
      <c r="BY316" s="776" t="s">
        <v>2127</v>
      </c>
      <c r="BZ316" s="776" t="s">
        <v>2127</v>
      </c>
      <c r="CA316" s="776" t="s">
        <v>2127</v>
      </c>
      <c r="CB316" s="776" t="s">
        <v>2127</v>
      </c>
      <c r="CC316" s="776" t="s">
        <v>2127</v>
      </c>
      <c r="CD316" s="776" t="s">
        <v>2127</v>
      </c>
      <c r="CE316" s="776" t="s">
        <v>2127</v>
      </c>
      <c r="CF316" s="776" t="s">
        <v>2127</v>
      </c>
      <c r="CG316" s="776" t="s">
        <v>2127</v>
      </c>
      <c r="CH316" s="776" t="s">
        <v>2127</v>
      </c>
      <c r="CI316" s="776" t="s">
        <v>2127</v>
      </c>
      <c r="CJ316" s="776" t="s">
        <v>2127</v>
      </c>
      <c r="CK316" s="776" t="s">
        <v>2127</v>
      </c>
      <c r="CL316" s="776" t="s">
        <v>2127</v>
      </c>
      <c r="CM316" s="776" t="s">
        <v>2127</v>
      </c>
      <c r="CN316" s="776" t="s">
        <v>2127</v>
      </c>
      <c r="CO316" s="776" t="s">
        <v>2127</v>
      </c>
      <c r="CP316" s="776" t="s">
        <v>2127</v>
      </c>
      <c r="CQ316" s="776" t="s">
        <v>2127</v>
      </c>
      <c r="CR316" s="776" t="s">
        <v>2127</v>
      </c>
      <c r="CS316" s="776" t="s">
        <v>2127</v>
      </c>
      <c r="CT316" s="776" t="s">
        <v>2127</v>
      </c>
      <c r="CU316" s="776" t="s">
        <v>2127</v>
      </c>
      <c r="CV316" s="776" t="s">
        <v>2127</v>
      </c>
      <c r="CW316" s="776" t="s">
        <v>2127</v>
      </c>
      <c r="CX316" s="776" t="s">
        <v>2127</v>
      </c>
      <c r="CY316" s="776" t="s">
        <v>2127</v>
      </c>
      <c r="CZ316" s="776" t="s">
        <v>2127</v>
      </c>
      <c r="DA316" s="776" t="s">
        <v>2127</v>
      </c>
      <c r="DB316" s="776" t="s">
        <v>2127</v>
      </c>
      <c r="DC316" s="776" t="s">
        <v>2127</v>
      </c>
      <c r="DD316" s="776" t="s">
        <v>2127</v>
      </c>
      <c r="DE316" s="776" t="s">
        <v>2127</v>
      </c>
      <c r="DF316" s="776" t="s">
        <v>2127</v>
      </c>
      <c r="DG316" s="776" t="s">
        <v>2127</v>
      </c>
      <c r="DH316" s="776" t="s">
        <v>2127</v>
      </c>
      <c r="DI316" s="776" t="s">
        <v>2127</v>
      </c>
      <c r="DJ316" s="776" t="s">
        <v>2127</v>
      </c>
      <c r="DK316" s="776" t="s">
        <v>2127</v>
      </c>
      <c r="DL316" s="776" t="s">
        <v>2127</v>
      </c>
      <c r="DM316" s="776" t="s">
        <v>2127</v>
      </c>
      <c r="DN316" s="776" t="s">
        <v>2127</v>
      </c>
      <c r="DO316" s="776" t="s">
        <v>2127</v>
      </c>
      <c r="DP316" s="776" t="s">
        <v>2127</v>
      </c>
    </row>
    <row r="317" spans="1:120" x14ac:dyDescent="0.2">
      <c r="A317" s="637" t="s">
        <v>2287</v>
      </c>
      <c r="B317" s="772" t="str" cm="1">
        <f t="array" ref="B317">IFERROR(INDEX(Kulturen[HF],_xlfn.AGGREGATE(15,6,(ROW(Kulturen[Auswahl])-7)/(--(SEARCH("x",Kulturen[Auswahl])&gt;0)),ROW()-7),1),"")</f>
        <v>Nachtkerze (Samen)</v>
      </c>
      <c r="C317" s="772" t="str">
        <f>IF(Kulturen[[#This Row],[HF]]=$D$373,IF($C$6=0,0,"x"),IF($C$6=0,"x",Vorauswahl!C316))</f>
        <v>x</v>
      </c>
      <c r="D317" s="938" t="s">
        <v>2068</v>
      </c>
      <c r="E317" s="938" t="s">
        <v>2068</v>
      </c>
      <c r="F317" s="938" t="s">
        <v>927</v>
      </c>
      <c r="G317" s="938">
        <v>14</v>
      </c>
      <c r="H317" s="938">
        <v>8</v>
      </c>
      <c r="I317" s="938">
        <v>1</v>
      </c>
      <c r="J317" s="938">
        <v>14</v>
      </c>
      <c r="K317" s="938">
        <v>0.16</v>
      </c>
      <c r="L317" s="938">
        <v>0.88</v>
      </c>
      <c r="M317" s="938">
        <v>100</v>
      </c>
      <c r="N317" s="938">
        <v>0</v>
      </c>
      <c r="O317" s="938">
        <v>2</v>
      </c>
      <c r="P317" s="938">
        <v>0</v>
      </c>
      <c r="Q317" s="938">
        <v>235</v>
      </c>
      <c r="R317" s="938">
        <v>10</v>
      </c>
      <c r="S317" s="938">
        <v>24</v>
      </c>
      <c r="T317" s="938">
        <v>24</v>
      </c>
      <c r="U317" s="938">
        <v>0</v>
      </c>
      <c r="V317" s="938">
        <v>1</v>
      </c>
      <c r="W317" s="776">
        <f>IF(Kulturen[[#This Row],[Berechnungsschema]]=13,3,IF(Kulturen[[#This Row],[Berechnungsschema]]=6,2,1))</f>
        <v>1</v>
      </c>
      <c r="X317" s="776">
        <f>IF(Kulturen[[#This Row],[fruchtartengruppe]]=13,Kulturen[[#This Row],[NBedarfswert]],MAX(0,Kulturen[[#This Row],[NBedarfswert]]-Kulturen[[#This Row],[Ertrag]]*Kulturen[[#This Row],[Nfix]]))</f>
        <v>235</v>
      </c>
      <c r="Y317" s="776" t="s">
        <v>2127</v>
      </c>
      <c r="Z317" s="776" t="s">
        <v>2127</v>
      </c>
      <c r="AA317" s="776" t="s">
        <v>2127</v>
      </c>
      <c r="AB317" s="776" t="s">
        <v>2127</v>
      </c>
      <c r="AC317" s="776" t="s">
        <v>2127</v>
      </c>
      <c r="AD317" s="776" t="s">
        <v>2127</v>
      </c>
      <c r="AE317" s="776" t="s">
        <v>2127</v>
      </c>
      <c r="AF317" s="776" t="s">
        <v>2127</v>
      </c>
      <c r="AG317" s="776" t="s">
        <v>2127</v>
      </c>
      <c r="AH317" s="776" t="s">
        <v>2127</v>
      </c>
      <c r="AI317" s="776" t="s">
        <v>2127</v>
      </c>
      <c r="AJ317" s="776" t="s">
        <v>2127</v>
      </c>
      <c r="AK317" s="776" t="s">
        <v>2127</v>
      </c>
      <c r="AL317" s="776" t="s">
        <v>2127</v>
      </c>
      <c r="AM317" s="776" t="s">
        <v>2127</v>
      </c>
      <c r="AN317" s="776" t="s">
        <v>2127</v>
      </c>
      <c r="AO317" s="776" t="s">
        <v>2127</v>
      </c>
      <c r="AP317" s="776" t="s">
        <v>2127</v>
      </c>
      <c r="AQ317" s="776" t="s">
        <v>2127</v>
      </c>
      <c r="AR317" s="776" t="s">
        <v>2127</v>
      </c>
      <c r="AS317" s="776" t="s">
        <v>2127</v>
      </c>
      <c r="AT317" s="776" t="s">
        <v>2127</v>
      </c>
      <c r="AU317" s="776" t="s">
        <v>2127</v>
      </c>
      <c r="AV317" s="776" t="s">
        <v>2127</v>
      </c>
      <c r="AW317" s="776" t="s">
        <v>2127</v>
      </c>
      <c r="AX317" s="776" t="s">
        <v>2127</v>
      </c>
      <c r="AY317" s="776" t="s">
        <v>2127</v>
      </c>
      <c r="AZ317" s="776" t="s">
        <v>2127</v>
      </c>
      <c r="BA317" s="776" t="s">
        <v>2127</v>
      </c>
      <c r="BB317" s="776" t="s">
        <v>2127</v>
      </c>
      <c r="BC317" s="776" t="s">
        <v>2127</v>
      </c>
      <c r="BD317" s="776" t="s">
        <v>2127</v>
      </c>
      <c r="BE317" s="776" t="s">
        <v>2127</v>
      </c>
      <c r="BF317" s="776" t="s">
        <v>2127</v>
      </c>
      <c r="BG317" s="776" t="s">
        <v>2127</v>
      </c>
      <c r="BH317" s="776" t="s">
        <v>2127</v>
      </c>
      <c r="BI317" s="776" t="s">
        <v>2127</v>
      </c>
      <c r="BJ317" s="776" t="s">
        <v>2127</v>
      </c>
      <c r="BK317" s="776" t="s">
        <v>2127</v>
      </c>
      <c r="BL317" s="776" t="s">
        <v>2127</v>
      </c>
      <c r="BM317" s="776" t="s">
        <v>2127</v>
      </c>
      <c r="BN317" s="776" t="s">
        <v>2127</v>
      </c>
      <c r="BO317" s="776" t="s">
        <v>2127</v>
      </c>
      <c r="BP317" s="776" t="s">
        <v>2127</v>
      </c>
      <c r="BQ317" s="776" t="s">
        <v>2127</v>
      </c>
      <c r="BR317" s="776" t="s">
        <v>2127</v>
      </c>
      <c r="BS317" s="776" t="s">
        <v>2127</v>
      </c>
      <c r="BT317" s="776" t="s">
        <v>2127</v>
      </c>
      <c r="BU317" s="776" t="s">
        <v>2127</v>
      </c>
      <c r="BV317" s="776" t="s">
        <v>2127</v>
      </c>
      <c r="BW317" s="776" t="s">
        <v>2127</v>
      </c>
      <c r="BX317" s="776" t="s">
        <v>2127</v>
      </c>
      <c r="BY317" s="776" t="s">
        <v>2127</v>
      </c>
      <c r="BZ317" s="776" t="s">
        <v>2127</v>
      </c>
      <c r="CA317" s="776" t="s">
        <v>2127</v>
      </c>
      <c r="CB317" s="776" t="s">
        <v>2127</v>
      </c>
      <c r="CC317" s="776" t="s">
        <v>2127</v>
      </c>
      <c r="CD317" s="776" t="s">
        <v>2127</v>
      </c>
      <c r="CE317" s="776" t="s">
        <v>2127</v>
      </c>
      <c r="CF317" s="776" t="s">
        <v>2127</v>
      </c>
      <c r="CG317" s="776" t="s">
        <v>2127</v>
      </c>
      <c r="CH317" s="776" t="s">
        <v>2127</v>
      </c>
      <c r="CI317" s="776" t="s">
        <v>2127</v>
      </c>
      <c r="CJ317" s="776" t="s">
        <v>2127</v>
      </c>
      <c r="CK317" s="776" t="s">
        <v>2127</v>
      </c>
      <c r="CL317" s="776" t="s">
        <v>2127</v>
      </c>
      <c r="CM317" s="776" t="s">
        <v>2127</v>
      </c>
      <c r="CN317" s="776" t="s">
        <v>2127</v>
      </c>
      <c r="CO317" s="776" t="s">
        <v>2127</v>
      </c>
      <c r="CP317" s="776" t="s">
        <v>2127</v>
      </c>
      <c r="CQ317" s="776" t="s">
        <v>2127</v>
      </c>
      <c r="CR317" s="776" t="s">
        <v>2127</v>
      </c>
      <c r="CS317" s="776" t="s">
        <v>2127</v>
      </c>
      <c r="CT317" s="776" t="s">
        <v>2127</v>
      </c>
      <c r="CU317" s="776" t="s">
        <v>2127</v>
      </c>
      <c r="CV317" s="776" t="s">
        <v>2127</v>
      </c>
      <c r="CW317" s="776" t="s">
        <v>2127</v>
      </c>
      <c r="CX317" s="776" t="s">
        <v>2127</v>
      </c>
      <c r="CY317" s="776" t="s">
        <v>2127</v>
      </c>
      <c r="CZ317" s="776" t="s">
        <v>2127</v>
      </c>
      <c r="DA317" s="776" t="s">
        <v>2127</v>
      </c>
      <c r="DB317" s="776" t="s">
        <v>2127</v>
      </c>
      <c r="DC317" s="776" t="s">
        <v>2127</v>
      </c>
      <c r="DD317" s="776" t="s">
        <v>2127</v>
      </c>
      <c r="DE317" s="776" t="s">
        <v>2127</v>
      </c>
      <c r="DF317" s="776" t="s">
        <v>2127</v>
      </c>
      <c r="DG317" s="776" t="s">
        <v>2127</v>
      </c>
      <c r="DH317" s="776" t="s">
        <v>2127</v>
      </c>
      <c r="DI317" s="776" t="s">
        <v>2127</v>
      </c>
      <c r="DJ317" s="776" t="s">
        <v>2127</v>
      </c>
      <c r="DK317" s="776" t="s">
        <v>2127</v>
      </c>
      <c r="DL317" s="776" t="s">
        <v>2127</v>
      </c>
      <c r="DM317" s="776" t="s">
        <v>2127</v>
      </c>
      <c r="DN317" s="776" t="s">
        <v>2127</v>
      </c>
      <c r="DO317" s="776" t="s">
        <v>2127</v>
      </c>
      <c r="DP317" s="776" t="s">
        <v>2127</v>
      </c>
    </row>
    <row r="318" spans="1:120" x14ac:dyDescent="0.2">
      <c r="A318" s="637"/>
      <c r="B318" s="772" t="str" cm="1">
        <f t="array" ref="B318">IFERROR(INDEX(Kulturen[HF],_xlfn.AGGREGATE(15,6,(ROW(Kulturen[Auswahl])-7)/(--(SEARCH("x",Kulturen[Auswahl])&gt;0)),ROW()-7),1),"")</f>
        <v>Odermennig (Kraut)</v>
      </c>
      <c r="C318" s="772" t="str">
        <f>IF(Kulturen[[#This Row],[HF]]=$D$373,IF($C$6=0,0,"x"),IF($C$6=0,"x",Vorauswahl!C317))</f>
        <v>x</v>
      </c>
      <c r="D318" s="938" t="s">
        <v>2069</v>
      </c>
      <c r="E318" s="938" t="s">
        <v>2069</v>
      </c>
      <c r="F318" s="938" t="s">
        <v>2070</v>
      </c>
      <c r="G318" s="938">
        <v>14</v>
      </c>
      <c r="H318" s="938">
        <v>8</v>
      </c>
      <c r="I318" s="938">
        <v>3</v>
      </c>
      <c r="J318" s="938">
        <v>14</v>
      </c>
      <c r="K318" s="938">
        <v>0.12</v>
      </c>
      <c r="L318" s="938">
        <v>0.12</v>
      </c>
      <c r="M318" s="938">
        <v>280</v>
      </c>
      <c r="N318" s="938">
        <v>0</v>
      </c>
      <c r="O318" s="938">
        <v>1</v>
      </c>
      <c r="P318" s="938">
        <v>0</v>
      </c>
      <c r="Q318" s="938">
        <v>105</v>
      </c>
      <c r="R318" s="938">
        <v>28</v>
      </c>
      <c r="S318" s="938">
        <v>5</v>
      </c>
      <c r="T318" s="938">
        <v>5</v>
      </c>
      <c r="U318" s="938">
        <v>0</v>
      </c>
      <c r="V318" s="938">
        <v>1</v>
      </c>
      <c r="W318" s="776">
        <f>IF(Kulturen[[#This Row],[Berechnungsschema]]=13,3,IF(Kulturen[[#This Row],[Berechnungsschema]]=6,2,1))</f>
        <v>1</v>
      </c>
      <c r="X318" s="776">
        <f>IF(Kulturen[[#This Row],[fruchtartengruppe]]=13,Kulturen[[#This Row],[NBedarfswert]],MAX(0,Kulturen[[#This Row],[NBedarfswert]]-Kulturen[[#This Row],[Ertrag]]*Kulturen[[#This Row],[Nfix]]))</f>
        <v>105</v>
      </c>
      <c r="Y318" s="776" t="s">
        <v>2127</v>
      </c>
      <c r="Z318" s="776" t="s">
        <v>2127</v>
      </c>
      <c r="AA318" s="776" t="s">
        <v>2127</v>
      </c>
      <c r="AB318" s="776" t="s">
        <v>2127</v>
      </c>
      <c r="AC318" s="776" t="s">
        <v>2127</v>
      </c>
      <c r="AD318" s="776" t="s">
        <v>2127</v>
      </c>
      <c r="AE318" s="776" t="s">
        <v>2127</v>
      </c>
      <c r="AF318" s="776" t="s">
        <v>2127</v>
      </c>
      <c r="AG318" s="776" t="s">
        <v>2127</v>
      </c>
      <c r="AH318" s="776" t="s">
        <v>2127</v>
      </c>
      <c r="AI318" s="776" t="s">
        <v>2127</v>
      </c>
      <c r="AJ318" s="776" t="s">
        <v>2127</v>
      </c>
      <c r="AK318" s="776" t="s">
        <v>2127</v>
      </c>
      <c r="AL318" s="776" t="s">
        <v>2127</v>
      </c>
      <c r="AM318" s="776" t="s">
        <v>2127</v>
      </c>
      <c r="AN318" s="776" t="s">
        <v>2127</v>
      </c>
      <c r="AO318" s="776" t="s">
        <v>2127</v>
      </c>
      <c r="AP318" s="776" t="s">
        <v>2127</v>
      </c>
      <c r="AQ318" s="776" t="s">
        <v>2127</v>
      </c>
      <c r="AR318" s="776" t="s">
        <v>2127</v>
      </c>
      <c r="AS318" s="776" t="s">
        <v>2127</v>
      </c>
      <c r="AT318" s="776" t="s">
        <v>2127</v>
      </c>
      <c r="AU318" s="776" t="s">
        <v>2127</v>
      </c>
      <c r="AV318" s="776" t="s">
        <v>2127</v>
      </c>
      <c r="AW318" s="776" t="s">
        <v>2127</v>
      </c>
      <c r="AX318" s="776" t="s">
        <v>2127</v>
      </c>
      <c r="AY318" s="776" t="s">
        <v>2127</v>
      </c>
      <c r="AZ318" s="776" t="s">
        <v>2127</v>
      </c>
      <c r="BA318" s="776" t="s">
        <v>2127</v>
      </c>
      <c r="BB318" s="776" t="s">
        <v>2127</v>
      </c>
      <c r="BC318" s="776" t="s">
        <v>2127</v>
      </c>
      <c r="BD318" s="776" t="s">
        <v>2127</v>
      </c>
      <c r="BE318" s="776" t="s">
        <v>2127</v>
      </c>
      <c r="BF318" s="776" t="s">
        <v>2127</v>
      </c>
      <c r="BG318" s="776" t="s">
        <v>2127</v>
      </c>
      <c r="BH318" s="776" t="s">
        <v>2127</v>
      </c>
      <c r="BI318" s="776" t="s">
        <v>2127</v>
      </c>
      <c r="BJ318" s="776" t="s">
        <v>2127</v>
      </c>
      <c r="BK318" s="776" t="s">
        <v>2127</v>
      </c>
      <c r="BL318" s="776" t="s">
        <v>2127</v>
      </c>
      <c r="BM318" s="776" t="s">
        <v>2127</v>
      </c>
      <c r="BN318" s="776" t="s">
        <v>2127</v>
      </c>
      <c r="BO318" s="776" t="s">
        <v>2127</v>
      </c>
      <c r="BP318" s="776" t="s">
        <v>2127</v>
      </c>
      <c r="BQ318" s="776" t="s">
        <v>2127</v>
      </c>
      <c r="BR318" s="776" t="s">
        <v>2127</v>
      </c>
      <c r="BS318" s="776" t="s">
        <v>2127</v>
      </c>
      <c r="BT318" s="776" t="s">
        <v>2127</v>
      </c>
      <c r="BU318" s="776" t="s">
        <v>2127</v>
      </c>
      <c r="BV318" s="776" t="s">
        <v>2127</v>
      </c>
      <c r="BW318" s="776" t="s">
        <v>2127</v>
      </c>
      <c r="BX318" s="776" t="s">
        <v>2127</v>
      </c>
      <c r="BY318" s="776" t="s">
        <v>2127</v>
      </c>
      <c r="BZ318" s="776" t="s">
        <v>2127</v>
      </c>
      <c r="CA318" s="776" t="s">
        <v>2127</v>
      </c>
      <c r="CB318" s="776" t="s">
        <v>2127</v>
      </c>
      <c r="CC318" s="776" t="s">
        <v>2127</v>
      </c>
      <c r="CD318" s="776" t="s">
        <v>2127</v>
      </c>
      <c r="CE318" s="776" t="s">
        <v>2127</v>
      </c>
      <c r="CF318" s="776" t="s">
        <v>2127</v>
      </c>
      <c r="CG318" s="776" t="s">
        <v>2127</v>
      </c>
      <c r="CH318" s="776" t="s">
        <v>2127</v>
      </c>
      <c r="CI318" s="776" t="s">
        <v>2127</v>
      </c>
      <c r="CJ318" s="776" t="s">
        <v>2127</v>
      </c>
      <c r="CK318" s="776" t="s">
        <v>2127</v>
      </c>
      <c r="CL318" s="776" t="s">
        <v>2127</v>
      </c>
      <c r="CM318" s="776" t="s">
        <v>2127</v>
      </c>
      <c r="CN318" s="776" t="s">
        <v>2127</v>
      </c>
      <c r="CO318" s="776" t="s">
        <v>2127</v>
      </c>
      <c r="CP318" s="776" t="s">
        <v>2127</v>
      </c>
      <c r="CQ318" s="776" t="s">
        <v>2127</v>
      </c>
      <c r="CR318" s="776" t="s">
        <v>2127</v>
      </c>
      <c r="CS318" s="776" t="s">
        <v>2127</v>
      </c>
      <c r="CT318" s="776" t="s">
        <v>2127</v>
      </c>
      <c r="CU318" s="776" t="s">
        <v>2127</v>
      </c>
      <c r="CV318" s="776" t="s">
        <v>2127</v>
      </c>
      <c r="CW318" s="776" t="s">
        <v>2127</v>
      </c>
      <c r="CX318" s="776" t="s">
        <v>2127</v>
      </c>
      <c r="CY318" s="776" t="s">
        <v>2127</v>
      </c>
      <c r="CZ318" s="776" t="s">
        <v>2127</v>
      </c>
      <c r="DA318" s="776" t="s">
        <v>2127</v>
      </c>
      <c r="DB318" s="776" t="s">
        <v>2127</v>
      </c>
      <c r="DC318" s="776" t="s">
        <v>2127</v>
      </c>
      <c r="DD318" s="776" t="s">
        <v>2127</v>
      </c>
      <c r="DE318" s="776" t="s">
        <v>2127</v>
      </c>
      <c r="DF318" s="776" t="s">
        <v>2127</v>
      </c>
      <c r="DG318" s="776" t="s">
        <v>2127</v>
      </c>
      <c r="DH318" s="776" t="s">
        <v>2127</v>
      </c>
      <c r="DI318" s="776" t="s">
        <v>2127</v>
      </c>
      <c r="DJ318" s="776" t="s">
        <v>2127</v>
      </c>
      <c r="DK318" s="776" t="s">
        <v>2127</v>
      </c>
      <c r="DL318" s="776" t="s">
        <v>2127</v>
      </c>
      <c r="DM318" s="776" t="s">
        <v>2127</v>
      </c>
      <c r="DN318" s="776" t="s">
        <v>2127</v>
      </c>
      <c r="DO318" s="776" t="s">
        <v>2127</v>
      </c>
      <c r="DP318" s="776" t="s">
        <v>2127</v>
      </c>
    </row>
    <row r="319" spans="1:120" x14ac:dyDescent="0.2">
      <c r="A319" s="637" t="s">
        <v>2328</v>
      </c>
      <c r="B319" s="772" t="str" cm="1">
        <f t="array" ref="B319">IFERROR(INDEX(Kulturen[HF],_xlfn.AGGREGATE(15,6,(ROW(Kulturen[Auswahl])-7)/(--(SEARCH("x",Kulturen[Auswahl])&gt;0)),ROW()-7),1),"")</f>
        <v>Pestwurz (Blätter)</v>
      </c>
      <c r="C319" s="772" t="str">
        <f>IF(Kulturen[[#This Row],[HF]]=$D$373,IF($C$6=0,0,"x"),IF($C$6=0,"x",Vorauswahl!C318))</f>
        <v>x</v>
      </c>
      <c r="D319" s="938" t="s">
        <v>821</v>
      </c>
      <c r="E319" s="938" t="s">
        <v>821</v>
      </c>
      <c r="F319" s="938" t="s">
        <v>968</v>
      </c>
      <c r="G319" s="938">
        <v>14</v>
      </c>
      <c r="H319" s="938">
        <v>8</v>
      </c>
      <c r="I319" s="938">
        <v>1</v>
      </c>
      <c r="J319" s="938">
        <v>14</v>
      </c>
      <c r="K319" s="938">
        <v>1.1200000000000001</v>
      </c>
      <c r="L319" s="938">
        <v>2.4300000000000002</v>
      </c>
      <c r="M319" s="938">
        <v>15</v>
      </c>
      <c r="N319" s="938">
        <v>0</v>
      </c>
      <c r="O319" s="938">
        <v>1</v>
      </c>
      <c r="P319" s="938">
        <v>0</v>
      </c>
      <c r="Q319" s="938">
        <v>100</v>
      </c>
      <c r="R319" s="938">
        <v>2</v>
      </c>
      <c r="S319" s="938">
        <v>10</v>
      </c>
      <c r="T319" s="938">
        <v>10</v>
      </c>
      <c r="U319" s="938">
        <v>0</v>
      </c>
      <c r="V319" s="938">
        <v>1</v>
      </c>
      <c r="W319" s="776">
        <f>IF(Kulturen[[#This Row],[Berechnungsschema]]=13,3,IF(Kulturen[[#This Row],[Berechnungsschema]]=6,2,1))</f>
        <v>1</v>
      </c>
      <c r="X319" s="776">
        <f>IF(Kulturen[[#This Row],[fruchtartengruppe]]=13,Kulturen[[#This Row],[NBedarfswert]],MAX(0,Kulturen[[#This Row],[NBedarfswert]]-Kulturen[[#This Row],[Ertrag]]*Kulturen[[#This Row],[Nfix]]))</f>
        <v>100</v>
      </c>
      <c r="Y319" s="776" t="s">
        <v>2127</v>
      </c>
      <c r="Z319" s="776" t="s">
        <v>2127</v>
      </c>
      <c r="AA319" s="776" t="s">
        <v>2127</v>
      </c>
      <c r="AB319" s="776" t="s">
        <v>2127</v>
      </c>
      <c r="AC319" s="776" t="s">
        <v>2127</v>
      </c>
      <c r="AD319" s="776" t="s">
        <v>2127</v>
      </c>
      <c r="AE319" s="776" t="s">
        <v>2127</v>
      </c>
      <c r="AF319" s="776" t="s">
        <v>2127</v>
      </c>
      <c r="AG319" s="776" t="s">
        <v>2127</v>
      </c>
      <c r="AH319" s="776" t="s">
        <v>2127</v>
      </c>
      <c r="AI319" s="776" t="s">
        <v>2127</v>
      </c>
      <c r="AJ319" s="776" t="s">
        <v>2127</v>
      </c>
      <c r="AK319" s="776" t="s">
        <v>2127</v>
      </c>
      <c r="AL319" s="776" t="s">
        <v>2127</v>
      </c>
      <c r="AM319" s="776" t="s">
        <v>2127</v>
      </c>
      <c r="AN319" s="776" t="s">
        <v>2127</v>
      </c>
      <c r="AO319" s="776" t="s">
        <v>2127</v>
      </c>
      <c r="AP319" s="776" t="s">
        <v>2127</v>
      </c>
      <c r="AQ319" s="776" t="s">
        <v>2127</v>
      </c>
      <c r="AR319" s="776" t="s">
        <v>2127</v>
      </c>
      <c r="AS319" s="776" t="s">
        <v>2127</v>
      </c>
      <c r="AT319" s="776" t="s">
        <v>2127</v>
      </c>
      <c r="AU319" s="776" t="s">
        <v>2127</v>
      </c>
      <c r="AV319" s="776" t="s">
        <v>2127</v>
      </c>
      <c r="AW319" s="776" t="s">
        <v>2127</v>
      </c>
      <c r="AX319" s="776" t="s">
        <v>2127</v>
      </c>
      <c r="AY319" s="776" t="s">
        <v>2127</v>
      </c>
      <c r="AZ319" s="776" t="s">
        <v>2127</v>
      </c>
      <c r="BA319" s="776" t="s">
        <v>2127</v>
      </c>
      <c r="BB319" s="776" t="s">
        <v>2127</v>
      </c>
      <c r="BC319" s="776" t="s">
        <v>2127</v>
      </c>
      <c r="BD319" s="776" t="s">
        <v>2127</v>
      </c>
      <c r="BE319" s="776" t="s">
        <v>2127</v>
      </c>
      <c r="BF319" s="776" t="s">
        <v>2127</v>
      </c>
      <c r="BG319" s="776" t="s">
        <v>2127</v>
      </c>
      <c r="BH319" s="776" t="s">
        <v>2127</v>
      </c>
      <c r="BI319" s="776" t="s">
        <v>2127</v>
      </c>
      <c r="BJ319" s="776" t="s">
        <v>2127</v>
      </c>
      <c r="BK319" s="776" t="s">
        <v>2127</v>
      </c>
      <c r="BL319" s="776" t="s">
        <v>2127</v>
      </c>
      <c r="BM319" s="776" t="s">
        <v>2127</v>
      </c>
      <c r="BN319" s="776" t="s">
        <v>2127</v>
      </c>
      <c r="BO319" s="776" t="s">
        <v>2127</v>
      </c>
      <c r="BP319" s="776" t="s">
        <v>2127</v>
      </c>
      <c r="BQ319" s="776" t="s">
        <v>2127</v>
      </c>
      <c r="BR319" s="776" t="s">
        <v>2127</v>
      </c>
      <c r="BS319" s="776" t="s">
        <v>2127</v>
      </c>
      <c r="BT319" s="776" t="s">
        <v>2127</v>
      </c>
      <c r="BU319" s="776" t="s">
        <v>2127</v>
      </c>
      <c r="BV319" s="776" t="s">
        <v>2127</v>
      </c>
      <c r="BW319" s="776" t="s">
        <v>2127</v>
      </c>
      <c r="BX319" s="776" t="s">
        <v>2127</v>
      </c>
      <c r="BY319" s="776" t="s">
        <v>2127</v>
      </c>
      <c r="BZ319" s="776" t="s">
        <v>2127</v>
      </c>
      <c r="CA319" s="776" t="s">
        <v>2127</v>
      </c>
      <c r="CB319" s="776" t="s">
        <v>2127</v>
      </c>
      <c r="CC319" s="776" t="s">
        <v>2127</v>
      </c>
      <c r="CD319" s="776" t="s">
        <v>2127</v>
      </c>
      <c r="CE319" s="776" t="s">
        <v>2127</v>
      </c>
      <c r="CF319" s="776" t="s">
        <v>2127</v>
      </c>
      <c r="CG319" s="776" t="s">
        <v>2127</v>
      </c>
      <c r="CH319" s="776" t="s">
        <v>2127</v>
      </c>
      <c r="CI319" s="776" t="s">
        <v>2127</v>
      </c>
      <c r="CJ319" s="776" t="s">
        <v>2127</v>
      </c>
      <c r="CK319" s="776" t="s">
        <v>2127</v>
      </c>
      <c r="CL319" s="776" t="s">
        <v>2127</v>
      </c>
      <c r="CM319" s="776" t="s">
        <v>2127</v>
      </c>
      <c r="CN319" s="776" t="s">
        <v>2127</v>
      </c>
      <c r="CO319" s="776" t="s">
        <v>2127</v>
      </c>
      <c r="CP319" s="776" t="s">
        <v>2127</v>
      </c>
      <c r="CQ319" s="776" t="s">
        <v>2127</v>
      </c>
      <c r="CR319" s="776" t="s">
        <v>2127</v>
      </c>
      <c r="CS319" s="776" t="s">
        <v>2127</v>
      </c>
      <c r="CT319" s="776" t="s">
        <v>2127</v>
      </c>
      <c r="CU319" s="776" t="s">
        <v>2127</v>
      </c>
      <c r="CV319" s="776" t="s">
        <v>2127</v>
      </c>
      <c r="CW319" s="776" t="s">
        <v>2127</v>
      </c>
      <c r="CX319" s="776" t="s">
        <v>2127</v>
      </c>
      <c r="CY319" s="776" t="s">
        <v>2127</v>
      </c>
      <c r="CZ319" s="776" t="s">
        <v>2127</v>
      </c>
      <c r="DA319" s="776" t="s">
        <v>2127</v>
      </c>
      <c r="DB319" s="776" t="s">
        <v>2127</v>
      </c>
      <c r="DC319" s="776" t="s">
        <v>2127</v>
      </c>
      <c r="DD319" s="776" t="s">
        <v>2127</v>
      </c>
      <c r="DE319" s="776" t="s">
        <v>2127</v>
      </c>
      <c r="DF319" s="776" t="s">
        <v>2127</v>
      </c>
      <c r="DG319" s="776" t="s">
        <v>2127</v>
      </c>
      <c r="DH319" s="776" t="s">
        <v>2127</v>
      </c>
      <c r="DI319" s="776" t="s">
        <v>2127</v>
      </c>
      <c r="DJ319" s="776" t="s">
        <v>2127</v>
      </c>
      <c r="DK319" s="776" t="s">
        <v>2127</v>
      </c>
      <c r="DL319" s="776" t="s">
        <v>2127</v>
      </c>
      <c r="DM319" s="776" t="s">
        <v>2127</v>
      </c>
      <c r="DN319" s="776" t="s">
        <v>2127</v>
      </c>
      <c r="DO319" s="776" t="s">
        <v>2127</v>
      </c>
      <c r="DP319" s="776" t="s">
        <v>2127</v>
      </c>
    </row>
    <row r="320" spans="1:120" x14ac:dyDescent="0.2">
      <c r="A320" s="637" t="s">
        <v>2329</v>
      </c>
      <c r="B320" s="772" t="str" cm="1">
        <f t="array" ref="B320">IFERROR(INDEX(Kulturen[HF],_xlfn.AGGREGATE(15,6,(ROW(Kulturen[Auswahl])-7)/(--(SEARCH("x",Kulturen[Auswahl])&gt;0)),ROW()-7),1),"")</f>
        <v>Petersilie, Blatt- (Blätter bis 1. Schnitt)</v>
      </c>
      <c r="C320" s="772" t="str">
        <f>IF(Kulturen[[#This Row],[HF]]=$D$373,IF($C$6=0,0,"x"),IF($C$6=0,"x",Vorauswahl!C319))</f>
        <v>x</v>
      </c>
      <c r="D320" s="938" t="s">
        <v>2071</v>
      </c>
      <c r="E320" s="938" t="s">
        <v>2071</v>
      </c>
      <c r="F320" s="938" t="s">
        <v>969</v>
      </c>
      <c r="G320" s="938">
        <v>14</v>
      </c>
      <c r="H320" s="938">
        <v>8</v>
      </c>
      <c r="I320" s="938">
        <v>1</v>
      </c>
      <c r="J320" s="938">
        <v>14</v>
      </c>
      <c r="K320" s="938">
        <v>0.22</v>
      </c>
      <c r="L320" s="938">
        <v>0.35</v>
      </c>
      <c r="M320" s="938">
        <v>200</v>
      </c>
      <c r="N320" s="938">
        <v>0</v>
      </c>
      <c r="O320" s="938">
        <v>1</v>
      </c>
      <c r="P320" s="938">
        <v>0</v>
      </c>
      <c r="Q320" s="938">
        <v>255</v>
      </c>
      <c r="R320" s="938">
        <v>20</v>
      </c>
      <c r="S320" s="938">
        <v>26</v>
      </c>
      <c r="T320" s="938">
        <v>26</v>
      </c>
      <c r="U320" s="938">
        <v>0</v>
      </c>
      <c r="V320" s="938">
        <v>1</v>
      </c>
      <c r="W320" s="776">
        <f>IF(Kulturen[[#This Row],[Berechnungsschema]]=13,3,IF(Kulturen[[#This Row],[Berechnungsschema]]=6,2,1))</f>
        <v>1</v>
      </c>
      <c r="X320" s="776">
        <f>IF(Kulturen[[#This Row],[fruchtartengruppe]]=13,Kulturen[[#This Row],[NBedarfswert]],MAX(0,Kulturen[[#This Row],[NBedarfswert]]-Kulturen[[#This Row],[Ertrag]]*Kulturen[[#This Row],[Nfix]]))</f>
        <v>255</v>
      </c>
      <c r="Y320" s="776" t="s">
        <v>2127</v>
      </c>
      <c r="Z320" s="776" t="s">
        <v>2127</v>
      </c>
      <c r="AA320" s="776" t="s">
        <v>2127</v>
      </c>
      <c r="AB320" s="776" t="s">
        <v>2127</v>
      </c>
      <c r="AC320" s="776" t="s">
        <v>2127</v>
      </c>
      <c r="AD320" s="776" t="s">
        <v>2127</v>
      </c>
      <c r="AE320" s="776" t="s">
        <v>2127</v>
      </c>
      <c r="AF320" s="776" t="s">
        <v>2127</v>
      </c>
      <c r="AG320" s="776" t="s">
        <v>2127</v>
      </c>
      <c r="AH320" s="776" t="s">
        <v>2127</v>
      </c>
      <c r="AI320" s="776" t="s">
        <v>2127</v>
      </c>
      <c r="AJ320" s="776" t="s">
        <v>2127</v>
      </c>
      <c r="AK320" s="776" t="s">
        <v>2127</v>
      </c>
      <c r="AL320" s="776" t="s">
        <v>2127</v>
      </c>
      <c r="AM320" s="776" t="s">
        <v>2127</v>
      </c>
      <c r="AN320" s="776" t="s">
        <v>2127</v>
      </c>
      <c r="AO320" s="776" t="s">
        <v>2127</v>
      </c>
      <c r="AP320" s="776" t="s">
        <v>2127</v>
      </c>
      <c r="AQ320" s="776" t="s">
        <v>2127</v>
      </c>
      <c r="AR320" s="776" t="s">
        <v>2127</v>
      </c>
      <c r="AS320" s="776" t="s">
        <v>2127</v>
      </c>
      <c r="AT320" s="776" t="s">
        <v>2127</v>
      </c>
      <c r="AU320" s="776" t="s">
        <v>2127</v>
      </c>
      <c r="AV320" s="776" t="s">
        <v>2127</v>
      </c>
      <c r="AW320" s="776" t="s">
        <v>2127</v>
      </c>
      <c r="AX320" s="776" t="s">
        <v>2127</v>
      </c>
      <c r="AY320" s="776" t="s">
        <v>2127</v>
      </c>
      <c r="AZ320" s="776" t="s">
        <v>2127</v>
      </c>
      <c r="BA320" s="776" t="s">
        <v>2127</v>
      </c>
      <c r="BB320" s="776" t="s">
        <v>2127</v>
      </c>
      <c r="BC320" s="776" t="s">
        <v>2127</v>
      </c>
      <c r="BD320" s="776" t="s">
        <v>2127</v>
      </c>
      <c r="BE320" s="776" t="s">
        <v>2127</v>
      </c>
      <c r="BF320" s="776" t="s">
        <v>2127</v>
      </c>
      <c r="BG320" s="776" t="s">
        <v>2127</v>
      </c>
      <c r="BH320" s="776" t="s">
        <v>2127</v>
      </c>
      <c r="BI320" s="776" t="s">
        <v>2127</v>
      </c>
      <c r="BJ320" s="776" t="s">
        <v>2127</v>
      </c>
      <c r="BK320" s="776" t="s">
        <v>2127</v>
      </c>
      <c r="BL320" s="776" t="s">
        <v>2127</v>
      </c>
      <c r="BM320" s="776" t="s">
        <v>2127</v>
      </c>
      <c r="BN320" s="776" t="s">
        <v>2127</v>
      </c>
      <c r="BO320" s="776" t="s">
        <v>2127</v>
      </c>
      <c r="BP320" s="776" t="s">
        <v>2127</v>
      </c>
      <c r="BQ320" s="776" t="s">
        <v>2127</v>
      </c>
      <c r="BR320" s="776" t="s">
        <v>2127</v>
      </c>
      <c r="BS320" s="776" t="s">
        <v>2127</v>
      </c>
      <c r="BT320" s="776" t="s">
        <v>2127</v>
      </c>
      <c r="BU320" s="776" t="s">
        <v>2127</v>
      </c>
      <c r="BV320" s="776" t="s">
        <v>2127</v>
      </c>
      <c r="BW320" s="776" t="s">
        <v>2127</v>
      </c>
      <c r="BX320" s="776" t="s">
        <v>2127</v>
      </c>
      <c r="BY320" s="776" t="s">
        <v>2127</v>
      </c>
      <c r="BZ320" s="776" t="s">
        <v>2127</v>
      </c>
      <c r="CA320" s="776" t="s">
        <v>2127</v>
      </c>
      <c r="CB320" s="776" t="s">
        <v>2127</v>
      </c>
      <c r="CC320" s="776" t="s">
        <v>2127</v>
      </c>
      <c r="CD320" s="776" t="s">
        <v>2127</v>
      </c>
      <c r="CE320" s="776" t="s">
        <v>2127</v>
      </c>
      <c r="CF320" s="776" t="s">
        <v>2127</v>
      </c>
      <c r="CG320" s="776" t="s">
        <v>2127</v>
      </c>
      <c r="CH320" s="776" t="s">
        <v>2127</v>
      </c>
      <c r="CI320" s="776" t="s">
        <v>2127</v>
      </c>
      <c r="CJ320" s="776" t="s">
        <v>2127</v>
      </c>
      <c r="CK320" s="776" t="s">
        <v>2127</v>
      </c>
      <c r="CL320" s="776" t="s">
        <v>2127</v>
      </c>
      <c r="CM320" s="776" t="s">
        <v>2127</v>
      </c>
      <c r="CN320" s="776" t="s">
        <v>2127</v>
      </c>
      <c r="CO320" s="776" t="s">
        <v>2127</v>
      </c>
      <c r="CP320" s="776" t="s">
        <v>2127</v>
      </c>
      <c r="CQ320" s="776" t="s">
        <v>2127</v>
      </c>
      <c r="CR320" s="776" t="s">
        <v>2127</v>
      </c>
      <c r="CS320" s="776" t="s">
        <v>2127</v>
      </c>
      <c r="CT320" s="776" t="s">
        <v>2127</v>
      </c>
      <c r="CU320" s="776" t="s">
        <v>2127</v>
      </c>
      <c r="CV320" s="776" t="s">
        <v>2127</v>
      </c>
      <c r="CW320" s="776" t="s">
        <v>2127</v>
      </c>
      <c r="CX320" s="776" t="s">
        <v>2127</v>
      </c>
      <c r="CY320" s="776" t="s">
        <v>2127</v>
      </c>
      <c r="CZ320" s="776" t="s">
        <v>2127</v>
      </c>
      <c r="DA320" s="776" t="s">
        <v>2127</v>
      </c>
      <c r="DB320" s="776" t="s">
        <v>2127</v>
      </c>
      <c r="DC320" s="776" t="s">
        <v>2127</v>
      </c>
      <c r="DD320" s="776" t="s">
        <v>2127</v>
      </c>
      <c r="DE320" s="776" t="s">
        <v>2127</v>
      </c>
      <c r="DF320" s="776" t="s">
        <v>2127</v>
      </c>
      <c r="DG320" s="776" t="s">
        <v>2127</v>
      </c>
      <c r="DH320" s="776" t="s">
        <v>2127</v>
      </c>
      <c r="DI320" s="776" t="s">
        <v>2127</v>
      </c>
      <c r="DJ320" s="776" t="s">
        <v>2127</v>
      </c>
      <c r="DK320" s="776" t="s">
        <v>2127</v>
      </c>
      <c r="DL320" s="776" t="s">
        <v>2127</v>
      </c>
      <c r="DM320" s="776" t="s">
        <v>2127</v>
      </c>
      <c r="DN320" s="776" t="s">
        <v>2127</v>
      </c>
      <c r="DO320" s="776" t="s">
        <v>2127</v>
      </c>
      <c r="DP320" s="776" t="s">
        <v>2127</v>
      </c>
    </row>
    <row r="321" spans="1:120" x14ac:dyDescent="0.2">
      <c r="A321" s="637"/>
      <c r="B321" s="772" t="str" cm="1">
        <f t="array" ref="B321">IFERROR(INDEX(Kulturen[HF],_xlfn.AGGREGATE(15,6,(ROW(Kulturen[Auswahl])-7)/(--(SEARCH("x",Kulturen[Auswahl])&gt;0)),ROW()-7),1),"")</f>
        <v>Petersilie, Blatt- (Blatt nach 1 Schnitt)</v>
      </c>
      <c r="C321" s="772" t="str">
        <f>IF(Kulturen[[#This Row],[HF]]=$D$373,IF($C$6=0,0,"x"),IF($C$6=0,"x",Vorauswahl!C320))</f>
        <v>x</v>
      </c>
      <c r="D321" s="938" t="s">
        <v>2072</v>
      </c>
      <c r="E321" s="938" t="s">
        <v>2072</v>
      </c>
      <c r="F321" s="938" t="s">
        <v>2073</v>
      </c>
      <c r="G321" s="938">
        <v>14</v>
      </c>
      <c r="H321" s="938">
        <v>8</v>
      </c>
      <c r="I321" s="938">
        <v>1</v>
      </c>
      <c r="J321" s="938">
        <v>14</v>
      </c>
      <c r="K321" s="938">
        <v>0.26</v>
      </c>
      <c r="L321" s="938">
        <v>0.26</v>
      </c>
      <c r="M321" s="938">
        <v>35</v>
      </c>
      <c r="N321" s="938">
        <v>0</v>
      </c>
      <c r="O321" s="938">
        <v>1</v>
      </c>
      <c r="P321" s="938">
        <v>0</v>
      </c>
      <c r="Q321" s="938">
        <v>40</v>
      </c>
      <c r="R321" s="938">
        <v>4</v>
      </c>
      <c r="S321" s="938">
        <v>2</v>
      </c>
      <c r="T321" s="938">
        <v>2</v>
      </c>
      <c r="U321" s="938">
        <v>0</v>
      </c>
      <c r="V321" s="938">
        <v>1</v>
      </c>
      <c r="W321" s="776">
        <f>IF(Kulturen[[#This Row],[Berechnungsschema]]=13,3,IF(Kulturen[[#This Row],[Berechnungsschema]]=6,2,1))</f>
        <v>1</v>
      </c>
      <c r="X321" s="776">
        <f>IF(Kulturen[[#This Row],[fruchtartengruppe]]=13,Kulturen[[#This Row],[NBedarfswert]],MAX(0,Kulturen[[#This Row],[NBedarfswert]]-Kulturen[[#This Row],[Ertrag]]*Kulturen[[#This Row],[Nfix]]))</f>
        <v>40</v>
      </c>
      <c r="Y321" s="776" t="s">
        <v>2127</v>
      </c>
      <c r="Z321" s="776" t="s">
        <v>2127</v>
      </c>
      <c r="AA321" s="776" t="s">
        <v>2127</v>
      </c>
      <c r="AB321" s="776" t="s">
        <v>2127</v>
      </c>
      <c r="AC321" s="776" t="s">
        <v>2127</v>
      </c>
      <c r="AD321" s="776" t="s">
        <v>2127</v>
      </c>
      <c r="AE321" s="776" t="s">
        <v>2127</v>
      </c>
      <c r="AF321" s="776" t="s">
        <v>2127</v>
      </c>
      <c r="AG321" s="776" t="s">
        <v>2127</v>
      </c>
      <c r="AH321" s="776" t="s">
        <v>2127</v>
      </c>
      <c r="AI321" s="776" t="s">
        <v>2127</v>
      </c>
      <c r="AJ321" s="776" t="s">
        <v>2127</v>
      </c>
      <c r="AK321" s="776" t="s">
        <v>2127</v>
      </c>
      <c r="AL321" s="776" t="s">
        <v>2127</v>
      </c>
      <c r="AM321" s="776" t="s">
        <v>2127</v>
      </c>
      <c r="AN321" s="776" t="s">
        <v>2127</v>
      </c>
      <c r="AO321" s="776" t="s">
        <v>2127</v>
      </c>
      <c r="AP321" s="776" t="s">
        <v>2127</v>
      </c>
      <c r="AQ321" s="776" t="s">
        <v>2127</v>
      </c>
      <c r="AR321" s="776" t="s">
        <v>2127</v>
      </c>
      <c r="AS321" s="776" t="s">
        <v>2127</v>
      </c>
      <c r="AT321" s="776" t="s">
        <v>2127</v>
      </c>
      <c r="AU321" s="776" t="s">
        <v>2127</v>
      </c>
      <c r="AV321" s="776" t="s">
        <v>2127</v>
      </c>
      <c r="AW321" s="776" t="s">
        <v>2127</v>
      </c>
      <c r="AX321" s="776" t="s">
        <v>2127</v>
      </c>
      <c r="AY321" s="776" t="s">
        <v>2127</v>
      </c>
      <c r="AZ321" s="776" t="s">
        <v>2127</v>
      </c>
      <c r="BA321" s="776" t="s">
        <v>2127</v>
      </c>
      <c r="BB321" s="776" t="s">
        <v>2127</v>
      </c>
      <c r="BC321" s="776" t="s">
        <v>2127</v>
      </c>
      <c r="BD321" s="776" t="s">
        <v>2127</v>
      </c>
      <c r="BE321" s="776" t="s">
        <v>2127</v>
      </c>
      <c r="BF321" s="776" t="s">
        <v>2127</v>
      </c>
      <c r="BG321" s="776" t="s">
        <v>2127</v>
      </c>
      <c r="BH321" s="776" t="s">
        <v>2127</v>
      </c>
      <c r="BI321" s="776" t="s">
        <v>2127</v>
      </c>
      <c r="BJ321" s="776" t="s">
        <v>2127</v>
      </c>
      <c r="BK321" s="776" t="s">
        <v>2127</v>
      </c>
      <c r="BL321" s="776" t="s">
        <v>2127</v>
      </c>
      <c r="BM321" s="776" t="s">
        <v>2127</v>
      </c>
      <c r="BN321" s="776" t="s">
        <v>2127</v>
      </c>
      <c r="BO321" s="776" t="s">
        <v>2127</v>
      </c>
      <c r="BP321" s="776" t="s">
        <v>2127</v>
      </c>
      <c r="BQ321" s="776" t="s">
        <v>2127</v>
      </c>
      <c r="BR321" s="776" t="s">
        <v>2127</v>
      </c>
      <c r="BS321" s="776" t="s">
        <v>2127</v>
      </c>
      <c r="BT321" s="776" t="s">
        <v>2127</v>
      </c>
      <c r="BU321" s="776" t="s">
        <v>2127</v>
      </c>
      <c r="BV321" s="776" t="s">
        <v>2127</v>
      </c>
      <c r="BW321" s="776" t="s">
        <v>2127</v>
      </c>
      <c r="BX321" s="776" t="s">
        <v>2127</v>
      </c>
      <c r="BY321" s="776" t="s">
        <v>2127</v>
      </c>
      <c r="BZ321" s="776" t="s">
        <v>2127</v>
      </c>
      <c r="CA321" s="776" t="s">
        <v>2127</v>
      </c>
      <c r="CB321" s="776" t="s">
        <v>2127</v>
      </c>
      <c r="CC321" s="776" t="s">
        <v>2127</v>
      </c>
      <c r="CD321" s="776" t="s">
        <v>2127</v>
      </c>
      <c r="CE321" s="776" t="s">
        <v>2127</v>
      </c>
      <c r="CF321" s="776" t="s">
        <v>2127</v>
      </c>
      <c r="CG321" s="776" t="s">
        <v>2127</v>
      </c>
      <c r="CH321" s="776" t="s">
        <v>2127</v>
      </c>
      <c r="CI321" s="776" t="s">
        <v>2127</v>
      </c>
      <c r="CJ321" s="776" t="s">
        <v>2127</v>
      </c>
      <c r="CK321" s="776" t="s">
        <v>2127</v>
      </c>
      <c r="CL321" s="776" t="s">
        <v>2127</v>
      </c>
      <c r="CM321" s="776" t="s">
        <v>2127</v>
      </c>
      <c r="CN321" s="776" t="s">
        <v>2127</v>
      </c>
      <c r="CO321" s="776" t="s">
        <v>2127</v>
      </c>
      <c r="CP321" s="776" t="s">
        <v>2127</v>
      </c>
      <c r="CQ321" s="776" t="s">
        <v>2127</v>
      </c>
      <c r="CR321" s="776" t="s">
        <v>2127</v>
      </c>
      <c r="CS321" s="776" t="s">
        <v>2127</v>
      </c>
      <c r="CT321" s="776" t="s">
        <v>2127</v>
      </c>
      <c r="CU321" s="776" t="s">
        <v>2127</v>
      </c>
      <c r="CV321" s="776" t="s">
        <v>2127</v>
      </c>
      <c r="CW321" s="776" t="s">
        <v>2127</v>
      </c>
      <c r="CX321" s="776" t="s">
        <v>2127</v>
      </c>
      <c r="CY321" s="776" t="s">
        <v>2127</v>
      </c>
      <c r="CZ321" s="776" t="s">
        <v>2127</v>
      </c>
      <c r="DA321" s="776" t="s">
        <v>2127</v>
      </c>
      <c r="DB321" s="776" t="s">
        <v>2127</v>
      </c>
      <c r="DC321" s="776" t="s">
        <v>2127</v>
      </c>
      <c r="DD321" s="776" t="s">
        <v>2127</v>
      </c>
      <c r="DE321" s="776" t="s">
        <v>2127</v>
      </c>
      <c r="DF321" s="776" t="s">
        <v>2127</v>
      </c>
      <c r="DG321" s="776" t="s">
        <v>2127</v>
      </c>
      <c r="DH321" s="776" t="s">
        <v>2127</v>
      </c>
      <c r="DI321" s="776" t="s">
        <v>2127</v>
      </c>
      <c r="DJ321" s="776" t="s">
        <v>2127</v>
      </c>
      <c r="DK321" s="776" t="s">
        <v>2127</v>
      </c>
      <c r="DL321" s="776" t="s">
        <v>2127</v>
      </c>
      <c r="DM321" s="776" t="s">
        <v>2127</v>
      </c>
      <c r="DN321" s="776" t="s">
        <v>2127</v>
      </c>
      <c r="DO321" s="776" t="s">
        <v>2127</v>
      </c>
      <c r="DP321" s="776" t="s">
        <v>2127</v>
      </c>
    </row>
    <row r="322" spans="1:120" x14ac:dyDescent="0.2">
      <c r="A322" s="637" t="s">
        <v>2330</v>
      </c>
      <c r="B322" s="772" t="str" cm="1">
        <f t="array" ref="B322">IFERROR(INDEX(Kulturen[HF],_xlfn.AGGREGATE(15,6,(ROW(Kulturen[Auswahl])-7)/(--(SEARCH("x",Kulturen[Auswahl])&gt;0)),ROW()-7),1),"")</f>
        <v>Petersilie, Blatt-, Verarbeitung, alle Schnitte</v>
      </c>
      <c r="C322" s="772" t="str">
        <f>IF(Kulturen[[#This Row],[HF]]=$D$373,IF($C$6=0,0,"x"),IF($C$6=0,"x",Vorauswahl!C321))</f>
        <v>x</v>
      </c>
      <c r="D322" s="938" t="s">
        <v>2074</v>
      </c>
      <c r="E322" s="938" t="s">
        <v>2074</v>
      </c>
      <c r="F322" s="938" t="s">
        <v>970</v>
      </c>
      <c r="G322" s="938">
        <v>14</v>
      </c>
      <c r="H322" s="938">
        <v>8</v>
      </c>
      <c r="I322" s="938">
        <v>3</v>
      </c>
      <c r="J322" s="938">
        <v>14</v>
      </c>
      <c r="K322" s="938">
        <v>0.11</v>
      </c>
      <c r="L322" s="938">
        <v>0.11</v>
      </c>
      <c r="M322" s="938">
        <v>150</v>
      </c>
      <c r="N322" s="938">
        <v>0</v>
      </c>
      <c r="O322" s="938">
        <v>2</v>
      </c>
      <c r="P322" s="938">
        <v>0</v>
      </c>
      <c r="Q322" s="938">
        <v>90</v>
      </c>
      <c r="R322" s="938">
        <v>15</v>
      </c>
      <c r="S322" s="938">
        <v>5</v>
      </c>
      <c r="T322" s="938">
        <v>5</v>
      </c>
      <c r="U322" s="938">
        <v>0</v>
      </c>
      <c r="V322" s="938">
        <v>1</v>
      </c>
      <c r="W322" s="776">
        <f>IF(Kulturen[[#This Row],[Berechnungsschema]]=13,3,IF(Kulturen[[#This Row],[Berechnungsschema]]=6,2,1))</f>
        <v>1</v>
      </c>
      <c r="X322" s="776">
        <f>IF(Kulturen[[#This Row],[fruchtartengruppe]]=13,Kulturen[[#This Row],[NBedarfswert]],MAX(0,Kulturen[[#This Row],[NBedarfswert]]-Kulturen[[#This Row],[Ertrag]]*Kulturen[[#This Row],[Nfix]]))</f>
        <v>90</v>
      </c>
      <c r="Y322" s="776" t="s">
        <v>2127</v>
      </c>
      <c r="Z322" s="776" t="s">
        <v>2127</v>
      </c>
      <c r="AA322" s="776" t="s">
        <v>2127</v>
      </c>
      <c r="AB322" s="776" t="s">
        <v>2127</v>
      </c>
      <c r="AC322" s="776" t="s">
        <v>2127</v>
      </c>
      <c r="AD322" s="776" t="s">
        <v>2127</v>
      </c>
      <c r="AE322" s="776" t="s">
        <v>2127</v>
      </c>
      <c r="AF322" s="776" t="s">
        <v>2127</v>
      </c>
      <c r="AG322" s="776" t="s">
        <v>2127</v>
      </c>
      <c r="AH322" s="776" t="s">
        <v>2127</v>
      </c>
      <c r="AI322" s="776" t="s">
        <v>2127</v>
      </c>
      <c r="AJ322" s="776" t="s">
        <v>2127</v>
      </c>
      <c r="AK322" s="776" t="s">
        <v>2127</v>
      </c>
      <c r="AL322" s="776" t="s">
        <v>2127</v>
      </c>
      <c r="AM322" s="776" t="s">
        <v>2127</v>
      </c>
      <c r="AN322" s="776" t="s">
        <v>2127</v>
      </c>
      <c r="AO322" s="776" t="s">
        <v>2127</v>
      </c>
      <c r="AP322" s="776" t="s">
        <v>2127</v>
      </c>
      <c r="AQ322" s="776" t="s">
        <v>2127</v>
      </c>
      <c r="AR322" s="776" t="s">
        <v>2127</v>
      </c>
      <c r="AS322" s="776" t="s">
        <v>2127</v>
      </c>
      <c r="AT322" s="776" t="s">
        <v>2127</v>
      </c>
      <c r="AU322" s="776" t="s">
        <v>2127</v>
      </c>
      <c r="AV322" s="776" t="s">
        <v>2127</v>
      </c>
      <c r="AW322" s="776" t="s">
        <v>2127</v>
      </c>
      <c r="AX322" s="776" t="s">
        <v>2127</v>
      </c>
      <c r="AY322" s="776" t="s">
        <v>2127</v>
      </c>
      <c r="AZ322" s="776" t="s">
        <v>2127</v>
      </c>
      <c r="BA322" s="776" t="s">
        <v>2127</v>
      </c>
      <c r="BB322" s="776" t="s">
        <v>2127</v>
      </c>
      <c r="BC322" s="776" t="s">
        <v>2127</v>
      </c>
      <c r="BD322" s="776" t="s">
        <v>2127</v>
      </c>
      <c r="BE322" s="776" t="s">
        <v>2127</v>
      </c>
      <c r="BF322" s="776" t="s">
        <v>2127</v>
      </c>
      <c r="BG322" s="776" t="s">
        <v>2127</v>
      </c>
      <c r="BH322" s="776" t="s">
        <v>2127</v>
      </c>
      <c r="BI322" s="776" t="s">
        <v>2127</v>
      </c>
      <c r="BJ322" s="776" t="s">
        <v>2127</v>
      </c>
      <c r="BK322" s="776" t="s">
        <v>2127</v>
      </c>
      <c r="BL322" s="776" t="s">
        <v>2127</v>
      </c>
      <c r="BM322" s="776" t="s">
        <v>2127</v>
      </c>
      <c r="BN322" s="776" t="s">
        <v>2127</v>
      </c>
      <c r="BO322" s="776" t="s">
        <v>2127</v>
      </c>
      <c r="BP322" s="776" t="s">
        <v>2127</v>
      </c>
      <c r="BQ322" s="776" t="s">
        <v>2127</v>
      </c>
      <c r="BR322" s="776" t="s">
        <v>2127</v>
      </c>
      <c r="BS322" s="776" t="s">
        <v>2127</v>
      </c>
      <c r="BT322" s="776" t="s">
        <v>2127</v>
      </c>
      <c r="BU322" s="776" t="s">
        <v>2127</v>
      </c>
      <c r="BV322" s="776" t="s">
        <v>2127</v>
      </c>
      <c r="BW322" s="776" t="s">
        <v>2127</v>
      </c>
      <c r="BX322" s="776" t="s">
        <v>2127</v>
      </c>
      <c r="BY322" s="776" t="s">
        <v>2127</v>
      </c>
      <c r="BZ322" s="776" t="s">
        <v>2127</v>
      </c>
      <c r="CA322" s="776" t="s">
        <v>2127</v>
      </c>
      <c r="CB322" s="776" t="s">
        <v>2127</v>
      </c>
      <c r="CC322" s="776" t="s">
        <v>2127</v>
      </c>
      <c r="CD322" s="776" t="s">
        <v>2127</v>
      </c>
      <c r="CE322" s="776" t="s">
        <v>2127</v>
      </c>
      <c r="CF322" s="776" t="s">
        <v>2127</v>
      </c>
      <c r="CG322" s="776" t="s">
        <v>2127</v>
      </c>
      <c r="CH322" s="776" t="s">
        <v>2127</v>
      </c>
      <c r="CI322" s="776" t="s">
        <v>2127</v>
      </c>
      <c r="CJ322" s="776" t="s">
        <v>2127</v>
      </c>
      <c r="CK322" s="776" t="s">
        <v>2127</v>
      </c>
      <c r="CL322" s="776" t="s">
        <v>2127</v>
      </c>
      <c r="CM322" s="776" t="s">
        <v>2127</v>
      </c>
      <c r="CN322" s="776" t="s">
        <v>2127</v>
      </c>
      <c r="CO322" s="776" t="s">
        <v>2127</v>
      </c>
      <c r="CP322" s="776" t="s">
        <v>2127</v>
      </c>
      <c r="CQ322" s="776" t="s">
        <v>2127</v>
      </c>
      <c r="CR322" s="776" t="s">
        <v>2127</v>
      </c>
      <c r="CS322" s="776" t="s">
        <v>2127</v>
      </c>
      <c r="CT322" s="776" t="s">
        <v>2127</v>
      </c>
      <c r="CU322" s="776" t="s">
        <v>2127</v>
      </c>
      <c r="CV322" s="776" t="s">
        <v>2127</v>
      </c>
      <c r="CW322" s="776" t="s">
        <v>2127</v>
      </c>
      <c r="CX322" s="776" t="s">
        <v>2127</v>
      </c>
      <c r="CY322" s="776" t="s">
        <v>2127</v>
      </c>
      <c r="CZ322" s="776" t="s">
        <v>2127</v>
      </c>
      <c r="DA322" s="776" t="s">
        <v>2127</v>
      </c>
      <c r="DB322" s="776" t="s">
        <v>2127</v>
      </c>
      <c r="DC322" s="776" t="s">
        <v>2127</v>
      </c>
      <c r="DD322" s="776" t="s">
        <v>2127</v>
      </c>
      <c r="DE322" s="776" t="s">
        <v>2127</v>
      </c>
      <c r="DF322" s="776" t="s">
        <v>2127</v>
      </c>
      <c r="DG322" s="776" t="s">
        <v>2127</v>
      </c>
      <c r="DH322" s="776" t="s">
        <v>2127</v>
      </c>
      <c r="DI322" s="776" t="s">
        <v>2127</v>
      </c>
      <c r="DJ322" s="776" t="s">
        <v>2127</v>
      </c>
      <c r="DK322" s="776" t="s">
        <v>2127</v>
      </c>
      <c r="DL322" s="776" t="s">
        <v>2127</v>
      </c>
      <c r="DM322" s="776" t="s">
        <v>2127</v>
      </c>
      <c r="DN322" s="776" t="s">
        <v>2127</v>
      </c>
      <c r="DO322" s="776" t="s">
        <v>2127</v>
      </c>
      <c r="DP322" s="776" t="s">
        <v>2127</v>
      </c>
    </row>
    <row r="323" spans="1:120" x14ac:dyDescent="0.2">
      <c r="A323" s="637" t="s">
        <v>2331</v>
      </c>
      <c r="B323" s="772" t="str" cm="1">
        <f t="array" ref="B323">IFERROR(INDEX(Kulturen[HF],_xlfn.AGGREGATE(15,6,(ROW(Kulturen[Auswahl])-7)/(--(SEARCH("x",Kulturen[Auswahl])&gt;0)),ROW()-7),1),"")</f>
        <v>Pfefferminze, Minzen (Nicht blühendes Kraut)</v>
      </c>
      <c r="C323" s="772" t="str">
        <f>IF(Kulturen[[#This Row],[HF]]=$D$373,IF($C$6=0,0,"x"),IF($C$6=0,"x",Vorauswahl!C322))</f>
        <v>x</v>
      </c>
      <c r="D323" s="938" t="s">
        <v>822</v>
      </c>
      <c r="E323" s="938" t="s">
        <v>822</v>
      </c>
      <c r="F323" s="938" t="s">
        <v>971</v>
      </c>
      <c r="G323" s="938">
        <v>14</v>
      </c>
      <c r="H323" s="938">
        <v>8</v>
      </c>
      <c r="I323" s="938">
        <v>1</v>
      </c>
      <c r="J323" s="938">
        <v>14</v>
      </c>
      <c r="K323" s="938">
        <v>0.95</v>
      </c>
      <c r="L323" s="938">
        <v>1.87</v>
      </c>
      <c r="M323" s="938">
        <v>25</v>
      </c>
      <c r="N323" s="938">
        <v>0</v>
      </c>
      <c r="O323" s="938">
        <v>1</v>
      </c>
      <c r="P323" s="938">
        <v>0</v>
      </c>
      <c r="Q323" s="938">
        <v>80</v>
      </c>
      <c r="R323" s="938">
        <v>3</v>
      </c>
      <c r="S323" s="938">
        <v>8</v>
      </c>
      <c r="T323" s="938">
        <v>8</v>
      </c>
      <c r="U323" s="938">
        <v>0</v>
      </c>
      <c r="V323" s="938">
        <v>1</v>
      </c>
      <c r="W323" s="776">
        <f>IF(Kulturen[[#This Row],[Berechnungsschema]]=13,3,IF(Kulturen[[#This Row],[Berechnungsschema]]=6,2,1))</f>
        <v>1</v>
      </c>
      <c r="X323" s="776">
        <f>IF(Kulturen[[#This Row],[fruchtartengruppe]]=13,Kulturen[[#This Row],[NBedarfswert]],MAX(0,Kulturen[[#This Row],[NBedarfswert]]-Kulturen[[#This Row],[Ertrag]]*Kulturen[[#This Row],[Nfix]]))</f>
        <v>80</v>
      </c>
      <c r="Y323" s="776" t="s">
        <v>2127</v>
      </c>
      <c r="Z323" s="776" t="s">
        <v>2127</v>
      </c>
      <c r="AA323" s="776" t="s">
        <v>2127</v>
      </c>
      <c r="AB323" s="776" t="s">
        <v>2127</v>
      </c>
      <c r="AC323" s="776" t="s">
        <v>2127</v>
      </c>
      <c r="AD323" s="776" t="s">
        <v>2127</v>
      </c>
      <c r="AE323" s="776" t="s">
        <v>2127</v>
      </c>
      <c r="AF323" s="776" t="s">
        <v>2127</v>
      </c>
      <c r="AG323" s="776" t="s">
        <v>2127</v>
      </c>
      <c r="AH323" s="776" t="s">
        <v>2127</v>
      </c>
      <c r="AI323" s="776" t="s">
        <v>2127</v>
      </c>
      <c r="AJ323" s="776" t="s">
        <v>2127</v>
      </c>
      <c r="AK323" s="776" t="s">
        <v>2127</v>
      </c>
      <c r="AL323" s="776" t="s">
        <v>2127</v>
      </c>
      <c r="AM323" s="776" t="s">
        <v>2127</v>
      </c>
      <c r="AN323" s="776" t="s">
        <v>2127</v>
      </c>
      <c r="AO323" s="776" t="s">
        <v>2127</v>
      </c>
      <c r="AP323" s="776" t="s">
        <v>2127</v>
      </c>
      <c r="AQ323" s="776" t="s">
        <v>2127</v>
      </c>
      <c r="AR323" s="776" t="s">
        <v>2127</v>
      </c>
      <c r="AS323" s="776" t="s">
        <v>2127</v>
      </c>
      <c r="AT323" s="776" t="s">
        <v>2127</v>
      </c>
      <c r="AU323" s="776" t="s">
        <v>2127</v>
      </c>
      <c r="AV323" s="776" t="s">
        <v>2127</v>
      </c>
      <c r="AW323" s="776" t="s">
        <v>2127</v>
      </c>
      <c r="AX323" s="776" t="s">
        <v>2127</v>
      </c>
      <c r="AY323" s="776" t="s">
        <v>2127</v>
      </c>
      <c r="AZ323" s="776" t="s">
        <v>2127</v>
      </c>
      <c r="BA323" s="776" t="s">
        <v>2127</v>
      </c>
      <c r="BB323" s="776" t="s">
        <v>2127</v>
      </c>
      <c r="BC323" s="776" t="s">
        <v>2127</v>
      </c>
      <c r="BD323" s="776" t="s">
        <v>2127</v>
      </c>
      <c r="BE323" s="776" t="s">
        <v>2127</v>
      </c>
      <c r="BF323" s="776" t="s">
        <v>2127</v>
      </c>
      <c r="BG323" s="776" t="s">
        <v>2127</v>
      </c>
      <c r="BH323" s="776" t="s">
        <v>2127</v>
      </c>
      <c r="BI323" s="776" t="s">
        <v>2127</v>
      </c>
      <c r="BJ323" s="776" t="s">
        <v>2127</v>
      </c>
      <c r="BK323" s="776" t="s">
        <v>2127</v>
      </c>
      <c r="BL323" s="776" t="s">
        <v>2127</v>
      </c>
      <c r="BM323" s="776" t="s">
        <v>2127</v>
      </c>
      <c r="BN323" s="776" t="s">
        <v>2127</v>
      </c>
      <c r="BO323" s="776" t="s">
        <v>2127</v>
      </c>
      <c r="BP323" s="776" t="s">
        <v>2127</v>
      </c>
      <c r="BQ323" s="776" t="s">
        <v>2127</v>
      </c>
      <c r="BR323" s="776" t="s">
        <v>2127</v>
      </c>
      <c r="BS323" s="776" t="s">
        <v>2127</v>
      </c>
      <c r="BT323" s="776" t="s">
        <v>2127</v>
      </c>
      <c r="BU323" s="776" t="s">
        <v>2127</v>
      </c>
      <c r="BV323" s="776" t="s">
        <v>2127</v>
      </c>
      <c r="BW323" s="776" t="s">
        <v>2127</v>
      </c>
      <c r="BX323" s="776" t="s">
        <v>2127</v>
      </c>
      <c r="BY323" s="776" t="s">
        <v>2127</v>
      </c>
      <c r="BZ323" s="776" t="s">
        <v>2127</v>
      </c>
      <c r="CA323" s="776" t="s">
        <v>2127</v>
      </c>
      <c r="CB323" s="776" t="s">
        <v>2127</v>
      </c>
      <c r="CC323" s="776" t="s">
        <v>2127</v>
      </c>
      <c r="CD323" s="776" t="s">
        <v>2127</v>
      </c>
      <c r="CE323" s="776" t="s">
        <v>2127</v>
      </c>
      <c r="CF323" s="776" t="s">
        <v>2127</v>
      </c>
      <c r="CG323" s="776" t="s">
        <v>2127</v>
      </c>
      <c r="CH323" s="776" t="s">
        <v>2127</v>
      </c>
      <c r="CI323" s="776" t="s">
        <v>2127</v>
      </c>
      <c r="CJ323" s="776" t="s">
        <v>2127</v>
      </c>
      <c r="CK323" s="776" t="s">
        <v>2127</v>
      </c>
      <c r="CL323" s="776" t="s">
        <v>2127</v>
      </c>
      <c r="CM323" s="776" t="s">
        <v>2127</v>
      </c>
      <c r="CN323" s="776" t="s">
        <v>2127</v>
      </c>
      <c r="CO323" s="776" t="s">
        <v>2127</v>
      </c>
      <c r="CP323" s="776" t="s">
        <v>2127</v>
      </c>
      <c r="CQ323" s="776" t="s">
        <v>2127</v>
      </c>
      <c r="CR323" s="776" t="s">
        <v>2127</v>
      </c>
      <c r="CS323" s="776" t="s">
        <v>2127</v>
      </c>
      <c r="CT323" s="776" t="s">
        <v>2127</v>
      </c>
      <c r="CU323" s="776" t="s">
        <v>2127</v>
      </c>
      <c r="CV323" s="776" t="s">
        <v>2127</v>
      </c>
      <c r="CW323" s="776" t="s">
        <v>2127</v>
      </c>
      <c r="CX323" s="776" t="s">
        <v>2127</v>
      </c>
      <c r="CY323" s="776" t="s">
        <v>2127</v>
      </c>
      <c r="CZ323" s="776" t="s">
        <v>2127</v>
      </c>
      <c r="DA323" s="776" t="s">
        <v>2127</v>
      </c>
      <c r="DB323" s="776" t="s">
        <v>2127</v>
      </c>
      <c r="DC323" s="776" t="s">
        <v>2127</v>
      </c>
      <c r="DD323" s="776" t="s">
        <v>2127</v>
      </c>
      <c r="DE323" s="776" t="s">
        <v>2127</v>
      </c>
      <c r="DF323" s="776" t="s">
        <v>2127</v>
      </c>
      <c r="DG323" s="776" t="s">
        <v>2127</v>
      </c>
      <c r="DH323" s="776" t="s">
        <v>2127</v>
      </c>
      <c r="DI323" s="776" t="s">
        <v>2127</v>
      </c>
      <c r="DJ323" s="776" t="s">
        <v>2127</v>
      </c>
      <c r="DK323" s="776" t="s">
        <v>2127</v>
      </c>
      <c r="DL323" s="776" t="s">
        <v>2127</v>
      </c>
      <c r="DM323" s="776" t="s">
        <v>2127</v>
      </c>
      <c r="DN323" s="776" t="s">
        <v>2127</v>
      </c>
      <c r="DO323" s="776" t="s">
        <v>2127</v>
      </c>
      <c r="DP323" s="776" t="s">
        <v>2127</v>
      </c>
    </row>
    <row r="324" spans="1:120" x14ac:dyDescent="0.2">
      <c r="A324" s="637" t="s">
        <v>2332</v>
      </c>
      <c r="B324" s="772" t="str" cm="1">
        <f t="array" ref="B324">IFERROR(INDEX(Kulturen[HF],_xlfn.AGGREGATE(15,6,(ROW(Kulturen[Auswahl])-7)/(--(SEARCH("x",Kulturen[Auswahl])&gt;0)),ROW()-7),1),"")</f>
        <v>Ringelblume, blüh. Kraut (Blühendes Kraut)</v>
      </c>
      <c r="C324" s="772" t="str">
        <f>IF(Kulturen[[#This Row],[HF]]=$D$373,IF($C$6=0,0,"x"),IF($C$6=0,"x",Vorauswahl!C323))</f>
        <v>x</v>
      </c>
      <c r="D324" s="938" t="s">
        <v>2075</v>
      </c>
      <c r="E324" s="938" t="s">
        <v>2075</v>
      </c>
      <c r="F324" s="938" t="s">
        <v>972</v>
      </c>
      <c r="G324" s="938">
        <v>14</v>
      </c>
      <c r="H324" s="938">
        <v>8</v>
      </c>
      <c r="I324" s="938">
        <v>3</v>
      </c>
      <c r="J324" s="938">
        <v>14</v>
      </c>
      <c r="K324" s="938">
        <v>0.16</v>
      </c>
      <c r="L324" s="938">
        <v>0.16</v>
      </c>
      <c r="M324" s="938">
        <v>300</v>
      </c>
      <c r="N324" s="938">
        <v>0</v>
      </c>
      <c r="O324" s="938">
        <v>1</v>
      </c>
      <c r="P324" s="938">
        <v>0</v>
      </c>
      <c r="Q324" s="938">
        <v>165</v>
      </c>
      <c r="R324" s="938">
        <v>30</v>
      </c>
      <c r="S324" s="938">
        <v>17</v>
      </c>
      <c r="T324" s="938">
        <v>17</v>
      </c>
      <c r="U324" s="938">
        <v>0</v>
      </c>
      <c r="V324" s="938">
        <v>1</v>
      </c>
      <c r="W324" s="776">
        <f>IF(Kulturen[[#This Row],[Berechnungsschema]]=13,3,IF(Kulturen[[#This Row],[Berechnungsschema]]=6,2,1))</f>
        <v>1</v>
      </c>
      <c r="X324" s="776">
        <f>IF(Kulturen[[#This Row],[fruchtartengruppe]]=13,Kulturen[[#This Row],[NBedarfswert]],MAX(0,Kulturen[[#This Row],[NBedarfswert]]-Kulturen[[#This Row],[Ertrag]]*Kulturen[[#This Row],[Nfix]]))</f>
        <v>165</v>
      </c>
      <c r="Y324" s="776" t="s">
        <v>2127</v>
      </c>
      <c r="Z324" s="776" t="s">
        <v>2127</v>
      </c>
      <c r="AA324" s="776" t="s">
        <v>2127</v>
      </c>
      <c r="AB324" s="776" t="s">
        <v>2127</v>
      </c>
      <c r="AC324" s="776" t="s">
        <v>2127</v>
      </c>
      <c r="AD324" s="776" t="s">
        <v>2127</v>
      </c>
      <c r="AE324" s="776" t="s">
        <v>2127</v>
      </c>
      <c r="AF324" s="776" t="s">
        <v>2127</v>
      </c>
      <c r="AG324" s="776" t="s">
        <v>2127</v>
      </c>
      <c r="AH324" s="776" t="s">
        <v>2127</v>
      </c>
      <c r="AI324" s="776" t="s">
        <v>2127</v>
      </c>
      <c r="AJ324" s="776" t="s">
        <v>2127</v>
      </c>
      <c r="AK324" s="776" t="s">
        <v>2127</v>
      </c>
      <c r="AL324" s="776" t="s">
        <v>2127</v>
      </c>
      <c r="AM324" s="776" t="s">
        <v>2127</v>
      </c>
      <c r="AN324" s="776" t="s">
        <v>2127</v>
      </c>
      <c r="AO324" s="776" t="s">
        <v>2127</v>
      </c>
      <c r="AP324" s="776" t="s">
        <v>2127</v>
      </c>
      <c r="AQ324" s="776" t="s">
        <v>2127</v>
      </c>
      <c r="AR324" s="776" t="s">
        <v>2127</v>
      </c>
      <c r="AS324" s="776" t="s">
        <v>2127</v>
      </c>
      <c r="AT324" s="776" t="s">
        <v>2127</v>
      </c>
      <c r="AU324" s="776" t="s">
        <v>2127</v>
      </c>
      <c r="AV324" s="776" t="s">
        <v>2127</v>
      </c>
      <c r="AW324" s="776" t="s">
        <v>2127</v>
      </c>
      <c r="AX324" s="776" t="s">
        <v>2127</v>
      </c>
      <c r="AY324" s="776" t="s">
        <v>2127</v>
      </c>
      <c r="AZ324" s="776" t="s">
        <v>2127</v>
      </c>
      <c r="BA324" s="776" t="s">
        <v>2127</v>
      </c>
      <c r="BB324" s="776" t="s">
        <v>2127</v>
      </c>
      <c r="BC324" s="776" t="s">
        <v>2127</v>
      </c>
      <c r="BD324" s="776" t="s">
        <v>2127</v>
      </c>
      <c r="BE324" s="776" t="s">
        <v>2127</v>
      </c>
      <c r="BF324" s="776" t="s">
        <v>2127</v>
      </c>
      <c r="BG324" s="776" t="s">
        <v>2127</v>
      </c>
      <c r="BH324" s="776" t="s">
        <v>2127</v>
      </c>
      <c r="BI324" s="776" t="s">
        <v>2127</v>
      </c>
      <c r="BJ324" s="776" t="s">
        <v>2127</v>
      </c>
      <c r="BK324" s="776" t="s">
        <v>2127</v>
      </c>
      <c r="BL324" s="776" t="s">
        <v>2127</v>
      </c>
      <c r="BM324" s="776" t="s">
        <v>2127</v>
      </c>
      <c r="BN324" s="776" t="s">
        <v>2127</v>
      </c>
      <c r="BO324" s="776" t="s">
        <v>2127</v>
      </c>
      <c r="BP324" s="776" t="s">
        <v>2127</v>
      </c>
      <c r="BQ324" s="776" t="s">
        <v>2127</v>
      </c>
      <c r="BR324" s="776" t="s">
        <v>2127</v>
      </c>
      <c r="BS324" s="776" t="s">
        <v>2127</v>
      </c>
      <c r="BT324" s="776" t="s">
        <v>2127</v>
      </c>
      <c r="BU324" s="776" t="s">
        <v>2127</v>
      </c>
      <c r="BV324" s="776" t="s">
        <v>2127</v>
      </c>
      <c r="BW324" s="776" t="s">
        <v>2127</v>
      </c>
      <c r="BX324" s="776" t="s">
        <v>2127</v>
      </c>
      <c r="BY324" s="776" t="s">
        <v>2127</v>
      </c>
      <c r="BZ324" s="776" t="s">
        <v>2127</v>
      </c>
      <c r="CA324" s="776" t="s">
        <v>2127</v>
      </c>
      <c r="CB324" s="776" t="s">
        <v>2127</v>
      </c>
      <c r="CC324" s="776" t="s">
        <v>2127</v>
      </c>
      <c r="CD324" s="776" t="s">
        <v>2127</v>
      </c>
      <c r="CE324" s="776" t="s">
        <v>2127</v>
      </c>
      <c r="CF324" s="776" t="s">
        <v>2127</v>
      </c>
      <c r="CG324" s="776" t="s">
        <v>2127</v>
      </c>
      <c r="CH324" s="776" t="s">
        <v>2127</v>
      </c>
      <c r="CI324" s="776" t="s">
        <v>2127</v>
      </c>
      <c r="CJ324" s="776" t="s">
        <v>2127</v>
      </c>
      <c r="CK324" s="776" t="s">
        <v>2127</v>
      </c>
      <c r="CL324" s="776" t="s">
        <v>2127</v>
      </c>
      <c r="CM324" s="776" t="s">
        <v>2127</v>
      </c>
      <c r="CN324" s="776" t="s">
        <v>2127</v>
      </c>
      <c r="CO324" s="776" t="s">
        <v>2127</v>
      </c>
      <c r="CP324" s="776" t="s">
        <v>2127</v>
      </c>
      <c r="CQ324" s="776" t="s">
        <v>2127</v>
      </c>
      <c r="CR324" s="776" t="s">
        <v>2127</v>
      </c>
      <c r="CS324" s="776" t="s">
        <v>2127</v>
      </c>
      <c r="CT324" s="776" t="s">
        <v>2127</v>
      </c>
      <c r="CU324" s="776" t="s">
        <v>2127</v>
      </c>
      <c r="CV324" s="776" t="s">
        <v>2127</v>
      </c>
      <c r="CW324" s="776" t="s">
        <v>2127</v>
      </c>
      <c r="CX324" s="776" t="s">
        <v>2127</v>
      </c>
      <c r="CY324" s="776" t="s">
        <v>2127</v>
      </c>
      <c r="CZ324" s="776" t="s">
        <v>2127</v>
      </c>
      <c r="DA324" s="776" t="s">
        <v>2127</v>
      </c>
      <c r="DB324" s="776" t="s">
        <v>2127</v>
      </c>
      <c r="DC324" s="776" t="s">
        <v>2127</v>
      </c>
      <c r="DD324" s="776" t="s">
        <v>2127</v>
      </c>
      <c r="DE324" s="776" t="s">
        <v>2127</v>
      </c>
      <c r="DF324" s="776" t="s">
        <v>2127</v>
      </c>
      <c r="DG324" s="776" t="s">
        <v>2127</v>
      </c>
      <c r="DH324" s="776" t="s">
        <v>2127</v>
      </c>
      <c r="DI324" s="776" t="s">
        <v>2127</v>
      </c>
      <c r="DJ324" s="776" t="s">
        <v>2127</v>
      </c>
      <c r="DK324" s="776" t="s">
        <v>2127</v>
      </c>
      <c r="DL324" s="776" t="s">
        <v>2127</v>
      </c>
      <c r="DM324" s="776" t="s">
        <v>2127</v>
      </c>
      <c r="DN324" s="776" t="s">
        <v>2127</v>
      </c>
      <c r="DO324" s="776" t="s">
        <v>2127</v>
      </c>
      <c r="DP324" s="776" t="s">
        <v>2127</v>
      </c>
    </row>
    <row r="325" spans="1:120" x14ac:dyDescent="0.2">
      <c r="A325" s="637" t="s">
        <v>2333</v>
      </c>
      <c r="B325" s="772" t="str" cm="1">
        <f t="array" ref="B325">IFERROR(INDEX(Kulturen[HF],_xlfn.AGGREGATE(15,6,(ROW(Kulturen[Auswahl])-7)/(--(SEARCH("x",Kulturen[Auswahl])&gt;0)),ROW()-7),1),"")</f>
        <v>Ringelblume, Blüte (Blütenkörbe)</v>
      </c>
      <c r="C325" s="772" t="str">
        <f>IF(Kulturen[[#This Row],[HF]]=$D$373,IF($C$6=0,0,"x"),IF($C$6=0,"x",Vorauswahl!C324))</f>
        <v>x</v>
      </c>
      <c r="D325" s="938" t="s">
        <v>2076</v>
      </c>
      <c r="E325" s="938" t="s">
        <v>2076</v>
      </c>
      <c r="F325" s="938" t="s">
        <v>973</v>
      </c>
      <c r="G325" s="938">
        <v>14</v>
      </c>
      <c r="H325" s="938">
        <v>8</v>
      </c>
      <c r="I325" s="938">
        <v>3</v>
      </c>
      <c r="J325" s="938">
        <v>14</v>
      </c>
      <c r="K325" s="938">
        <v>0.16</v>
      </c>
      <c r="L325" s="938">
        <v>0.16</v>
      </c>
      <c r="M325" s="938">
        <v>120</v>
      </c>
      <c r="N325" s="938">
        <v>0</v>
      </c>
      <c r="O325" s="938">
        <v>2</v>
      </c>
      <c r="P325" s="938">
        <v>0</v>
      </c>
      <c r="Q325" s="938">
        <v>95</v>
      </c>
      <c r="R325" s="938">
        <v>12</v>
      </c>
      <c r="S325" s="938">
        <v>5</v>
      </c>
      <c r="T325" s="938">
        <v>5</v>
      </c>
      <c r="U325" s="938">
        <v>0</v>
      </c>
      <c r="V325" s="938">
        <v>1</v>
      </c>
      <c r="W325" s="776">
        <f>IF(Kulturen[[#This Row],[Berechnungsschema]]=13,3,IF(Kulturen[[#This Row],[Berechnungsschema]]=6,2,1))</f>
        <v>1</v>
      </c>
      <c r="X325" s="776">
        <f>IF(Kulturen[[#This Row],[fruchtartengruppe]]=13,Kulturen[[#This Row],[NBedarfswert]],MAX(0,Kulturen[[#This Row],[NBedarfswert]]-Kulturen[[#This Row],[Ertrag]]*Kulturen[[#This Row],[Nfix]]))</f>
        <v>95</v>
      </c>
      <c r="Y325" s="776" t="s">
        <v>2127</v>
      </c>
      <c r="Z325" s="776" t="s">
        <v>2127</v>
      </c>
      <c r="AA325" s="776" t="s">
        <v>2127</v>
      </c>
      <c r="AB325" s="776" t="s">
        <v>2127</v>
      </c>
      <c r="AC325" s="776" t="s">
        <v>2127</v>
      </c>
      <c r="AD325" s="776" t="s">
        <v>2127</v>
      </c>
      <c r="AE325" s="776" t="s">
        <v>2127</v>
      </c>
      <c r="AF325" s="776" t="s">
        <v>2127</v>
      </c>
      <c r="AG325" s="776" t="s">
        <v>2127</v>
      </c>
      <c r="AH325" s="776" t="s">
        <v>2127</v>
      </c>
      <c r="AI325" s="776" t="s">
        <v>2127</v>
      </c>
      <c r="AJ325" s="776" t="s">
        <v>2127</v>
      </c>
      <c r="AK325" s="776" t="s">
        <v>2127</v>
      </c>
      <c r="AL325" s="776" t="s">
        <v>2127</v>
      </c>
      <c r="AM325" s="776" t="s">
        <v>2127</v>
      </c>
      <c r="AN325" s="776" t="s">
        <v>2127</v>
      </c>
      <c r="AO325" s="776" t="s">
        <v>2127</v>
      </c>
      <c r="AP325" s="776" t="s">
        <v>2127</v>
      </c>
      <c r="AQ325" s="776" t="s">
        <v>2127</v>
      </c>
      <c r="AR325" s="776" t="s">
        <v>2127</v>
      </c>
      <c r="AS325" s="776" t="s">
        <v>2127</v>
      </c>
      <c r="AT325" s="776" t="s">
        <v>2127</v>
      </c>
      <c r="AU325" s="776" t="s">
        <v>2127</v>
      </c>
      <c r="AV325" s="776" t="s">
        <v>2127</v>
      </c>
      <c r="AW325" s="776" t="s">
        <v>2127</v>
      </c>
      <c r="AX325" s="776" t="s">
        <v>2127</v>
      </c>
      <c r="AY325" s="776" t="s">
        <v>2127</v>
      </c>
      <c r="AZ325" s="776" t="s">
        <v>2127</v>
      </c>
      <c r="BA325" s="776" t="s">
        <v>2127</v>
      </c>
      <c r="BB325" s="776" t="s">
        <v>2127</v>
      </c>
      <c r="BC325" s="776" t="s">
        <v>2127</v>
      </c>
      <c r="BD325" s="776" t="s">
        <v>2127</v>
      </c>
      <c r="BE325" s="776" t="s">
        <v>2127</v>
      </c>
      <c r="BF325" s="776" t="s">
        <v>2127</v>
      </c>
      <c r="BG325" s="776" t="s">
        <v>2127</v>
      </c>
      <c r="BH325" s="776" t="s">
        <v>2127</v>
      </c>
      <c r="BI325" s="776" t="s">
        <v>2127</v>
      </c>
      <c r="BJ325" s="776" t="s">
        <v>2127</v>
      </c>
      <c r="BK325" s="776" t="s">
        <v>2127</v>
      </c>
      <c r="BL325" s="776" t="s">
        <v>2127</v>
      </c>
      <c r="BM325" s="776" t="s">
        <v>2127</v>
      </c>
      <c r="BN325" s="776" t="s">
        <v>2127</v>
      </c>
      <c r="BO325" s="776" t="s">
        <v>2127</v>
      </c>
      <c r="BP325" s="776" t="s">
        <v>2127</v>
      </c>
      <c r="BQ325" s="776" t="s">
        <v>2127</v>
      </c>
      <c r="BR325" s="776" t="s">
        <v>2127</v>
      </c>
      <c r="BS325" s="776" t="s">
        <v>2127</v>
      </c>
      <c r="BT325" s="776" t="s">
        <v>2127</v>
      </c>
      <c r="BU325" s="776" t="s">
        <v>2127</v>
      </c>
      <c r="BV325" s="776" t="s">
        <v>2127</v>
      </c>
      <c r="BW325" s="776" t="s">
        <v>2127</v>
      </c>
      <c r="BX325" s="776" t="s">
        <v>2127</v>
      </c>
      <c r="BY325" s="776" t="s">
        <v>2127</v>
      </c>
      <c r="BZ325" s="776" t="s">
        <v>2127</v>
      </c>
      <c r="CA325" s="776" t="s">
        <v>2127</v>
      </c>
      <c r="CB325" s="776" t="s">
        <v>2127</v>
      </c>
      <c r="CC325" s="776" t="s">
        <v>2127</v>
      </c>
      <c r="CD325" s="776" t="s">
        <v>2127</v>
      </c>
      <c r="CE325" s="776" t="s">
        <v>2127</v>
      </c>
      <c r="CF325" s="776" t="s">
        <v>2127</v>
      </c>
      <c r="CG325" s="776" t="s">
        <v>2127</v>
      </c>
      <c r="CH325" s="776" t="s">
        <v>2127</v>
      </c>
      <c r="CI325" s="776" t="s">
        <v>2127</v>
      </c>
      <c r="CJ325" s="776" t="s">
        <v>2127</v>
      </c>
      <c r="CK325" s="776" t="s">
        <v>2127</v>
      </c>
      <c r="CL325" s="776" t="s">
        <v>2127</v>
      </c>
      <c r="CM325" s="776" t="s">
        <v>2127</v>
      </c>
      <c r="CN325" s="776" t="s">
        <v>2127</v>
      </c>
      <c r="CO325" s="776" t="s">
        <v>2127</v>
      </c>
      <c r="CP325" s="776" t="s">
        <v>2127</v>
      </c>
      <c r="CQ325" s="776" t="s">
        <v>2127</v>
      </c>
      <c r="CR325" s="776" t="s">
        <v>2127</v>
      </c>
      <c r="CS325" s="776" t="s">
        <v>2127</v>
      </c>
      <c r="CT325" s="776" t="s">
        <v>2127</v>
      </c>
      <c r="CU325" s="776" t="s">
        <v>2127</v>
      </c>
      <c r="CV325" s="776" t="s">
        <v>2127</v>
      </c>
      <c r="CW325" s="776" t="s">
        <v>2127</v>
      </c>
      <c r="CX325" s="776" t="s">
        <v>2127</v>
      </c>
      <c r="CY325" s="776" t="s">
        <v>2127</v>
      </c>
      <c r="CZ325" s="776" t="s">
        <v>2127</v>
      </c>
      <c r="DA325" s="776" t="s">
        <v>2127</v>
      </c>
      <c r="DB325" s="776" t="s">
        <v>2127</v>
      </c>
      <c r="DC325" s="776" t="s">
        <v>2127</v>
      </c>
      <c r="DD325" s="776" t="s">
        <v>2127</v>
      </c>
      <c r="DE325" s="776" t="s">
        <v>2127</v>
      </c>
      <c r="DF325" s="776" t="s">
        <v>2127</v>
      </c>
      <c r="DG325" s="776" t="s">
        <v>2127</v>
      </c>
      <c r="DH325" s="776" t="s">
        <v>2127</v>
      </c>
      <c r="DI325" s="776" t="s">
        <v>2127</v>
      </c>
      <c r="DJ325" s="776" t="s">
        <v>2127</v>
      </c>
      <c r="DK325" s="776" t="s">
        <v>2127</v>
      </c>
      <c r="DL325" s="776" t="s">
        <v>2127</v>
      </c>
      <c r="DM325" s="776" t="s">
        <v>2127</v>
      </c>
      <c r="DN325" s="776" t="s">
        <v>2127</v>
      </c>
      <c r="DO325" s="776" t="s">
        <v>2127</v>
      </c>
      <c r="DP325" s="776" t="s">
        <v>2127</v>
      </c>
    </row>
    <row r="326" spans="1:120" x14ac:dyDescent="0.2">
      <c r="A326" s="637" t="s">
        <v>2334</v>
      </c>
      <c r="B326" s="772" t="str" cm="1">
        <f t="array" ref="B326">IFERROR(INDEX(Kulturen[HF],_xlfn.AGGREGATE(15,6,(ROW(Kulturen[Auswahl])-7)/(--(SEARCH("x",Kulturen[Auswahl])&gt;0)),ROW()-7),1),"")</f>
        <v>Rosenwurz (Wurzeln)</v>
      </c>
      <c r="C326" s="772" t="str">
        <f>IF(Kulturen[[#This Row],[HF]]=$D$373,IF($C$6=0,0,"x"),IF($C$6=0,"x",Vorauswahl!C325))</f>
        <v>x</v>
      </c>
      <c r="D326" s="938" t="s">
        <v>2077</v>
      </c>
      <c r="E326" s="938" t="s">
        <v>2077</v>
      </c>
      <c r="F326" s="938" t="s">
        <v>974</v>
      </c>
      <c r="G326" s="938">
        <v>14</v>
      </c>
      <c r="H326" s="938">
        <v>8</v>
      </c>
      <c r="I326" s="938">
        <v>3</v>
      </c>
      <c r="J326" s="938">
        <v>14</v>
      </c>
      <c r="K326" s="938">
        <v>0.14000000000000001</v>
      </c>
      <c r="L326" s="938">
        <v>0.14000000000000001</v>
      </c>
      <c r="M326" s="938">
        <v>250</v>
      </c>
      <c r="N326" s="938">
        <v>0</v>
      </c>
      <c r="O326" s="938">
        <v>1</v>
      </c>
      <c r="P326" s="938">
        <v>0</v>
      </c>
      <c r="Q326" s="938">
        <v>170</v>
      </c>
      <c r="R326" s="938">
        <v>25</v>
      </c>
      <c r="S326" s="938">
        <v>17</v>
      </c>
      <c r="T326" s="938">
        <v>17</v>
      </c>
      <c r="U326" s="938">
        <v>0</v>
      </c>
      <c r="V326" s="938">
        <v>1</v>
      </c>
      <c r="W326" s="776">
        <f>IF(Kulturen[[#This Row],[Berechnungsschema]]=13,3,IF(Kulturen[[#This Row],[Berechnungsschema]]=6,2,1))</f>
        <v>1</v>
      </c>
      <c r="X326" s="776">
        <f>IF(Kulturen[[#This Row],[fruchtartengruppe]]=13,Kulturen[[#This Row],[NBedarfswert]],MAX(0,Kulturen[[#This Row],[NBedarfswert]]-Kulturen[[#This Row],[Ertrag]]*Kulturen[[#This Row],[Nfix]]))</f>
        <v>170</v>
      </c>
      <c r="Y326" s="776" t="s">
        <v>2127</v>
      </c>
      <c r="Z326" s="776" t="s">
        <v>2127</v>
      </c>
      <c r="AA326" s="776" t="s">
        <v>2127</v>
      </c>
      <c r="AB326" s="776" t="s">
        <v>2127</v>
      </c>
      <c r="AC326" s="776" t="s">
        <v>2127</v>
      </c>
      <c r="AD326" s="776" t="s">
        <v>2127</v>
      </c>
      <c r="AE326" s="776" t="s">
        <v>2127</v>
      </c>
      <c r="AF326" s="776" t="s">
        <v>2127</v>
      </c>
      <c r="AG326" s="776" t="s">
        <v>2127</v>
      </c>
      <c r="AH326" s="776" t="s">
        <v>2127</v>
      </c>
      <c r="AI326" s="776" t="s">
        <v>2127</v>
      </c>
      <c r="AJ326" s="776" t="s">
        <v>2127</v>
      </c>
      <c r="AK326" s="776" t="s">
        <v>2127</v>
      </c>
      <c r="AL326" s="776" t="s">
        <v>2127</v>
      </c>
      <c r="AM326" s="776" t="s">
        <v>2127</v>
      </c>
      <c r="AN326" s="776" t="s">
        <v>2127</v>
      </c>
      <c r="AO326" s="776" t="s">
        <v>2127</v>
      </c>
      <c r="AP326" s="776" t="s">
        <v>2127</v>
      </c>
      <c r="AQ326" s="776" t="s">
        <v>2127</v>
      </c>
      <c r="AR326" s="776" t="s">
        <v>2127</v>
      </c>
      <c r="AS326" s="776" t="s">
        <v>2127</v>
      </c>
      <c r="AT326" s="776" t="s">
        <v>2127</v>
      </c>
      <c r="AU326" s="776" t="s">
        <v>2127</v>
      </c>
      <c r="AV326" s="776" t="s">
        <v>2127</v>
      </c>
      <c r="AW326" s="776" t="s">
        <v>2127</v>
      </c>
      <c r="AX326" s="776" t="s">
        <v>2127</v>
      </c>
      <c r="AY326" s="776" t="s">
        <v>2127</v>
      </c>
      <c r="AZ326" s="776" t="s">
        <v>2127</v>
      </c>
      <c r="BA326" s="776" t="s">
        <v>2127</v>
      </c>
      <c r="BB326" s="776" t="s">
        <v>2127</v>
      </c>
      <c r="BC326" s="776" t="s">
        <v>2127</v>
      </c>
      <c r="BD326" s="776" t="s">
        <v>2127</v>
      </c>
      <c r="BE326" s="776" t="s">
        <v>2127</v>
      </c>
      <c r="BF326" s="776" t="s">
        <v>2127</v>
      </c>
      <c r="BG326" s="776" t="s">
        <v>2127</v>
      </c>
      <c r="BH326" s="776" t="s">
        <v>2127</v>
      </c>
      <c r="BI326" s="776" t="s">
        <v>2127</v>
      </c>
      <c r="BJ326" s="776" t="s">
        <v>2127</v>
      </c>
      <c r="BK326" s="776" t="s">
        <v>2127</v>
      </c>
      <c r="BL326" s="776" t="s">
        <v>2127</v>
      </c>
      <c r="BM326" s="776" t="s">
        <v>2127</v>
      </c>
      <c r="BN326" s="776" t="s">
        <v>2127</v>
      </c>
      <c r="BO326" s="776" t="s">
        <v>2127</v>
      </c>
      <c r="BP326" s="776" t="s">
        <v>2127</v>
      </c>
      <c r="BQ326" s="776" t="s">
        <v>2127</v>
      </c>
      <c r="BR326" s="776" t="s">
        <v>2127</v>
      </c>
      <c r="BS326" s="776" t="s">
        <v>2127</v>
      </c>
      <c r="BT326" s="776" t="s">
        <v>2127</v>
      </c>
      <c r="BU326" s="776" t="s">
        <v>2127</v>
      </c>
      <c r="BV326" s="776" t="s">
        <v>2127</v>
      </c>
      <c r="BW326" s="776" t="s">
        <v>2127</v>
      </c>
      <c r="BX326" s="776" t="s">
        <v>2127</v>
      </c>
      <c r="BY326" s="776" t="s">
        <v>2127</v>
      </c>
      <c r="BZ326" s="776" t="s">
        <v>2127</v>
      </c>
      <c r="CA326" s="776" t="s">
        <v>2127</v>
      </c>
      <c r="CB326" s="776" t="s">
        <v>2127</v>
      </c>
      <c r="CC326" s="776" t="s">
        <v>2127</v>
      </c>
      <c r="CD326" s="776" t="s">
        <v>2127</v>
      </c>
      <c r="CE326" s="776" t="s">
        <v>2127</v>
      </c>
      <c r="CF326" s="776" t="s">
        <v>2127</v>
      </c>
      <c r="CG326" s="776" t="s">
        <v>2127</v>
      </c>
      <c r="CH326" s="776" t="s">
        <v>2127</v>
      </c>
      <c r="CI326" s="776" t="s">
        <v>2127</v>
      </c>
      <c r="CJ326" s="776" t="s">
        <v>2127</v>
      </c>
      <c r="CK326" s="776" t="s">
        <v>2127</v>
      </c>
      <c r="CL326" s="776" t="s">
        <v>2127</v>
      </c>
      <c r="CM326" s="776" t="s">
        <v>2127</v>
      </c>
      <c r="CN326" s="776" t="s">
        <v>2127</v>
      </c>
      <c r="CO326" s="776" t="s">
        <v>2127</v>
      </c>
      <c r="CP326" s="776" t="s">
        <v>2127</v>
      </c>
      <c r="CQ326" s="776" t="s">
        <v>2127</v>
      </c>
      <c r="CR326" s="776" t="s">
        <v>2127</v>
      </c>
      <c r="CS326" s="776" t="s">
        <v>2127</v>
      </c>
      <c r="CT326" s="776" t="s">
        <v>2127</v>
      </c>
      <c r="CU326" s="776" t="s">
        <v>2127</v>
      </c>
      <c r="CV326" s="776" t="s">
        <v>2127</v>
      </c>
      <c r="CW326" s="776" t="s">
        <v>2127</v>
      </c>
      <c r="CX326" s="776" t="s">
        <v>2127</v>
      </c>
      <c r="CY326" s="776" t="s">
        <v>2127</v>
      </c>
      <c r="CZ326" s="776" t="s">
        <v>2127</v>
      </c>
      <c r="DA326" s="776" t="s">
        <v>2127</v>
      </c>
      <c r="DB326" s="776" t="s">
        <v>2127</v>
      </c>
      <c r="DC326" s="776" t="s">
        <v>2127</v>
      </c>
      <c r="DD326" s="776" t="s">
        <v>2127</v>
      </c>
      <c r="DE326" s="776" t="s">
        <v>2127</v>
      </c>
      <c r="DF326" s="776" t="s">
        <v>2127</v>
      </c>
      <c r="DG326" s="776" t="s">
        <v>2127</v>
      </c>
      <c r="DH326" s="776" t="s">
        <v>2127</v>
      </c>
      <c r="DI326" s="776" t="s">
        <v>2127</v>
      </c>
      <c r="DJ326" s="776" t="s">
        <v>2127</v>
      </c>
      <c r="DK326" s="776" t="s">
        <v>2127</v>
      </c>
      <c r="DL326" s="776" t="s">
        <v>2127</v>
      </c>
      <c r="DM326" s="776" t="s">
        <v>2127</v>
      </c>
      <c r="DN326" s="776" t="s">
        <v>2127</v>
      </c>
      <c r="DO326" s="776" t="s">
        <v>2127</v>
      </c>
      <c r="DP326" s="776" t="s">
        <v>2127</v>
      </c>
    </row>
    <row r="327" spans="1:120" x14ac:dyDescent="0.2">
      <c r="A327" s="637" t="s">
        <v>2335</v>
      </c>
      <c r="B327" s="772" t="str" cm="1">
        <f t="array" ref="B327">IFERROR(INDEX(Kulturen[HF],_xlfn.AGGREGATE(15,6,(ROW(Kulturen[Auswahl])-7)/(--(SEARCH("x",Kulturen[Auswahl])&gt;0)),ROW()-7),1),"")</f>
        <v>Rosmarin (Nicht blühendes Kraut)</v>
      </c>
      <c r="C327" s="772" t="str">
        <f>IF(Kulturen[[#This Row],[HF]]=$D$373,IF($C$6=0,0,"x"),IF($C$6=0,"x",Vorauswahl!C326))</f>
        <v>x</v>
      </c>
      <c r="D327" s="938" t="s">
        <v>823</v>
      </c>
      <c r="E327" s="938" t="s">
        <v>823</v>
      </c>
      <c r="F327" s="938" t="s">
        <v>975</v>
      </c>
      <c r="G327" s="938">
        <v>14</v>
      </c>
      <c r="H327" s="938">
        <v>8</v>
      </c>
      <c r="I327" s="938">
        <v>1</v>
      </c>
      <c r="J327" s="938">
        <v>14</v>
      </c>
      <c r="K327" s="938">
        <v>1.1200000000000001</v>
      </c>
      <c r="L327" s="938">
        <v>2.4300000000000002</v>
      </c>
      <c r="M327" s="938">
        <v>15</v>
      </c>
      <c r="N327" s="938">
        <v>0</v>
      </c>
      <c r="O327" s="938">
        <v>1</v>
      </c>
      <c r="P327" s="938">
        <v>0</v>
      </c>
      <c r="Q327" s="938">
        <v>100</v>
      </c>
      <c r="R327" s="938">
        <v>2</v>
      </c>
      <c r="S327" s="938">
        <v>10</v>
      </c>
      <c r="T327" s="938">
        <v>10</v>
      </c>
      <c r="U327" s="938">
        <v>0</v>
      </c>
      <c r="V327" s="938">
        <v>1</v>
      </c>
      <c r="W327" s="776">
        <f>IF(Kulturen[[#This Row],[Berechnungsschema]]=13,3,IF(Kulturen[[#This Row],[Berechnungsschema]]=6,2,1))</f>
        <v>1</v>
      </c>
      <c r="X327" s="776">
        <f>IF(Kulturen[[#This Row],[fruchtartengruppe]]=13,Kulturen[[#This Row],[NBedarfswert]],MAX(0,Kulturen[[#This Row],[NBedarfswert]]-Kulturen[[#This Row],[Ertrag]]*Kulturen[[#This Row],[Nfix]]))</f>
        <v>100</v>
      </c>
      <c r="Y327" s="776" t="s">
        <v>2127</v>
      </c>
      <c r="Z327" s="776" t="s">
        <v>2127</v>
      </c>
      <c r="AA327" s="776" t="s">
        <v>2127</v>
      </c>
      <c r="AB327" s="776" t="s">
        <v>2127</v>
      </c>
      <c r="AC327" s="776" t="s">
        <v>2127</v>
      </c>
      <c r="AD327" s="776" t="s">
        <v>2127</v>
      </c>
      <c r="AE327" s="776" t="s">
        <v>2127</v>
      </c>
      <c r="AF327" s="776" t="s">
        <v>2127</v>
      </c>
      <c r="AG327" s="776" t="s">
        <v>2127</v>
      </c>
      <c r="AH327" s="776" t="s">
        <v>2127</v>
      </c>
      <c r="AI327" s="776" t="s">
        <v>2127</v>
      </c>
      <c r="AJ327" s="776" t="s">
        <v>2127</v>
      </c>
      <c r="AK327" s="776" t="s">
        <v>2127</v>
      </c>
      <c r="AL327" s="776" t="s">
        <v>2127</v>
      </c>
      <c r="AM327" s="776" t="s">
        <v>2127</v>
      </c>
      <c r="AN327" s="776" t="s">
        <v>2127</v>
      </c>
      <c r="AO327" s="776" t="s">
        <v>2127</v>
      </c>
      <c r="AP327" s="776" t="s">
        <v>2127</v>
      </c>
      <c r="AQ327" s="776" t="s">
        <v>2127</v>
      </c>
      <c r="AR327" s="776" t="s">
        <v>2127</v>
      </c>
      <c r="AS327" s="776" t="s">
        <v>2127</v>
      </c>
      <c r="AT327" s="776" t="s">
        <v>2127</v>
      </c>
      <c r="AU327" s="776" t="s">
        <v>2127</v>
      </c>
      <c r="AV327" s="776" t="s">
        <v>2127</v>
      </c>
      <c r="AW327" s="776" t="s">
        <v>2127</v>
      </c>
      <c r="AX327" s="776" t="s">
        <v>2127</v>
      </c>
      <c r="AY327" s="776" t="s">
        <v>2127</v>
      </c>
      <c r="AZ327" s="776" t="s">
        <v>2127</v>
      </c>
      <c r="BA327" s="776" t="s">
        <v>2127</v>
      </c>
      <c r="BB327" s="776" t="s">
        <v>2127</v>
      </c>
      <c r="BC327" s="776" t="s">
        <v>2127</v>
      </c>
      <c r="BD327" s="776" t="s">
        <v>2127</v>
      </c>
      <c r="BE327" s="776" t="s">
        <v>2127</v>
      </c>
      <c r="BF327" s="776" t="s">
        <v>2127</v>
      </c>
      <c r="BG327" s="776" t="s">
        <v>2127</v>
      </c>
      <c r="BH327" s="776" t="s">
        <v>2127</v>
      </c>
      <c r="BI327" s="776" t="s">
        <v>2127</v>
      </c>
      <c r="BJ327" s="776" t="s">
        <v>2127</v>
      </c>
      <c r="BK327" s="776" t="s">
        <v>2127</v>
      </c>
      <c r="BL327" s="776" t="s">
        <v>2127</v>
      </c>
      <c r="BM327" s="776" t="s">
        <v>2127</v>
      </c>
      <c r="BN327" s="776" t="s">
        <v>2127</v>
      </c>
      <c r="BO327" s="776" t="s">
        <v>2127</v>
      </c>
      <c r="BP327" s="776" t="s">
        <v>2127</v>
      </c>
      <c r="BQ327" s="776" t="s">
        <v>2127</v>
      </c>
      <c r="BR327" s="776" t="s">
        <v>2127</v>
      </c>
      <c r="BS327" s="776" t="s">
        <v>2127</v>
      </c>
      <c r="BT327" s="776" t="s">
        <v>2127</v>
      </c>
      <c r="BU327" s="776" t="s">
        <v>2127</v>
      </c>
      <c r="BV327" s="776" t="s">
        <v>2127</v>
      </c>
      <c r="BW327" s="776" t="s">
        <v>2127</v>
      </c>
      <c r="BX327" s="776" t="s">
        <v>2127</v>
      </c>
      <c r="BY327" s="776" t="s">
        <v>2127</v>
      </c>
      <c r="BZ327" s="776" t="s">
        <v>2127</v>
      </c>
      <c r="CA327" s="776" t="s">
        <v>2127</v>
      </c>
      <c r="CB327" s="776" t="s">
        <v>2127</v>
      </c>
      <c r="CC327" s="776" t="s">
        <v>2127</v>
      </c>
      <c r="CD327" s="776" t="s">
        <v>2127</v>
      </c>
      <c r="CE327" s="776" t="s">
        <v>2127</v>
      </c>
      <c r="CF327" s="776" t="s">
        <v>2127</v>
      </c>
      <c r="CG327" s="776" t="s">
        <v>2127</v>
      </c>
      <c r="CH327" s="776" t="s">
        <v>2127</v>
      </c>
      <c r="CI327" s="776" t="s">
        <v>2127</v>
      </c>
      <c r="CJ327" s="776" t="s">
        <v>2127</v>
      </c>
      <c r="CK327" s="776" t="s">
        <v>2127</v>
      </c>
      <c r="CL327" s="776" t="s">
        <v>2127</v>
      </c>
      <c r="CM327" s="776" t="s">
        <v>2127</v>
      </c>
      <c r="CN327" s="776" t="s">
        <v>2127</v>
      </c>
      <c r="CO327" s="776" t="s">
        <v>2127</v>
      </c>
      <c r="CP327" s="776" t="s">
        <v>2127</v>
      </c>
      <c r="CQ327" s="776" t="s">
        <v>2127</v>
      </c>
      <c r="CR327" s="776" t="s">
        <v>2127</v>
      </c>
      <c r="CS327" s="776" t="s">
        <v>2127</v>
      </c>
      <c r="CT327" s="776" t="s">
        <v>2127</v>
      </c>
      <c r="CU327" s="776" t="s">
        <v>2127</v>
      </c>
      <c r="CV327" s="776" t="s">
        <v>2127</v>
      </c>
      <c r="CW327" s="776" t="s">
        <v>2127</v>
      </c>
      <c r="CX327" s="776" t="s">
        <v>2127</v>
      </c>
      <c r="CY327" s="776" t="s">
        <v>2127</v>
      </c>
      <c r="CZ327" s="776" t="s">
        <v>2127</v>
      </c>
      <c r="DA327" s="776" t="s">
        <v>2127</v>
      </c>
      <c r="DB327" s="776" t="s">
        <v>2127</v>
      </c>
      <c r="DC327" s="776" t="s">
        <v>2127</v>
      </c>
      <c r="DD327" s="776" t="s">
        <v>2127</v>
      </c>
      <c r="DE327" s="776" t="s">
        <v>2127</v>
      </c>
      <c r="DF327" s="776" t="s">
        <v>2127</v>
      </c>
      <c r="DG327" s="776" t="s">
        <v>2127</v>
      </c>
      <c r="DH327" s="776" t="s">
        <v>2127</v>
      </c>
      <c r="DI327" s="776" t="s">
        <v>2127</v>
      </c>
      <c r="DJ327" s="776" t="s">
        <v>2127</v>
      </c>
      <c r="DK327" s="776" t="s">
        <v>2127</v>
      </c>
      <c r="DL327" s="776" t="s">
        <v>2127</v>
      </c>
      <c r="DM327" s="776" t="s">
        <v>2127</v>
      </c>
      <c r="DN327" s="776" t="s">
        <v>2127</v>
      </c>
      <c r="DO327" s="776" t="s">
        <v>2127</v>
      </c>
      <c r="DP327" s="776" t="s">
        <v>2127</v>
      </c>
    </row>
    <row r="328" spans="1:120" x14ac:dyDescent="0.2">
      <c r="A328" s="637"/>
      <c r="B328" s="772" t="str" cm="1">
        <f t="array" ref="B328">IFERROR(INDEX(Kulturen[HF],_xlfn.AGGREGATE(15,6,(ROW(Kulturen[Auswahl])-7)/(--(SEARCH("x",Kulturen[Auswahl])&gt;0)),ROW()-7),1),"")</f>
        <v>Rotwurzelsalbei (S. miltior.) (Wurzeln)</v>
      </c>
      <c r="C328" s="772" t="str">
        <f>IF(Kulturen[[#This Row],[HF]]=$D$373,IF($C$6=0,0,"x"),IF($C$6=0,"x",Vorauswahl!C327))</f>
        <v>x</v>
      </c>
      <c r="D328" s="938" t="s">
        <v>2078</v>
      </c>
      <c r="E328" s="938" t="s">
        <v>2078</v>
      </c>
      <c r="F328" s="938" t="s">
        <v>2079</v>
      </c>
      <c r="G328" s="938">
        <v>14</v>
      </c>
      <c r="H328" s="938">
        <v>8</v>
      </c>
      <c r="I328" s="938">
        <v>3</v>
      </c>
      <c r="J328" s="938">
        <v>14</v>
      </c>
      <c r="K328" s="938">
        <v>0.15</v>
      </c>
      <c r="L328" s="938">
        <v>0.15</v>
      </c>
      <c r="M328" s="938">
        <v>160</v>
      </c>
      <c r="N328" s="938">
        <v>0</v>
      </c>
      <c r="O328" s="938">
        <v>1</v>
      </c>
      <c r="P328" s="938">
        <v>0</v>
      </c>
      <c r="Q328" s="938">
        <v>100</v>
      </c>
      <c r="R328" s="938">
        <v>16</v>
      </c>
      <c r="S328" s="938">
        <v>10</v>
      </c>
      <c r="T328" s="938">
        <v>10</v>
      </c>
      <c r="U328" s="938">
        <v>0</v>
      </c>
      <c r="V328" s="938">
        <v>1</v>
      </c>
      <c r="W328" s="776">
        <f>IF(Kulturen[[#This Row],[Berechnungsschema]]=13,3,IF(Kulturen[[#This Row],[Berechnungsschema]]=6,2,1))</f>
        <v>1</v>
      </c>
      <c r="X328" s="776">
        <f>IF(Kulturen[[#This Row],[fruchtartengruppe]]=13,Kulturen[[#This Row],[NBedarfswert]],MAX(0,Kulturen[[#This Row],[NBedarfswert]]-Kulturen[[#This Row],[Ertrag]]*Kulturen[[#This Row],[Nfix]]))</f>
        <v>100</v>
      </c>
      <c r="Y328" s="776" t="s">
        <v>2127</v>
      </c>
      <c r="Z328" s="776" t="s">
        <v>2127</v>
      </c>
      <c r="AA328" s="776" t="s">
        <v>2127</v>
      </c>
      <c r="AB328" s="776" t="s">
        <v>2127</v>
      </c>
      <c r="AC328" s="776" t="s">
        <v>2127</v>
      </c>
      <c r="AD328" s="776" t="s">
        <v>2127</v>
      </c>
      <c r="AE328" s="776" t="s">
        <v>2127</v>
      </c>
      <c r="AF328" s="776" t="s">
        <v>2127</v>
      </c>
      <c r="AG328" s="776" t="s">
        <v>2127</v>
      </c>
      <c r="AH328" s="776" t="s">
        <v>2127</v>
      </c>
      <c r="AI328" s="776" t="s">
        <v>2127</v>
      </c>
      <c r="AJ328" s="776" t="s">
        <v>2127</v>
      </c>
      <c r="AK328" s="776" t="s">
        <v>2127</v>
      </c>
      <c r="AL328" s="776" t="s">
        <v>2127</v>
      </c>
      <c r="AM328" s="776" t="s">
        <v>2127</v>
      </c>
      <c r="AN328" s="776" t="s">
        <v>2127</v>
      </c>
      <c r="AO328" s="776" t="s">
        <v>2127</v>
      </c>
      <c r="AP328" s="776" t="s">
        <v>2127</v>
      </c>
      <c r="AQ328" s="776" t="s">
        <v>2127</v>
      </c>
      <c r="AR328" s="776" t="s">
        <v>2127</v>
      </c>
      <c r="AS328" s="776" t="s">
        <v>2127</v>
      </c>
      <c r="AT328" s="776" t="s">
        <v>2127</v>
      </c>
      <c r="AU328" s="776" t="s">
        <v>2127</v>
      </c>
      <c r="AV328" s="776" t="s">
        <v>2127</v>
      </c>
      <c r="AW328" s="776" t="s">
        <v>2127</v>
      </c>
      <c r="AX328" s="776" t="s">
        <v>2127</v>
      </c>
      <c r="AY328" s="776" t="s">
        <v>2127</v>
      </c>
      <c r="AZ328" s="776" t="s">
        <v>2127</v>
      </c>
      <c r="BA328" s="776" t="s">
        <v>2127</v>
      </c>
      <c r="BB328" s="776" t="s">
        <v>2127</v>
      </c>
      <c r="BC328" s="776" t="s">
        <v>2127</v>
      </c>
      <c r="BD328" s="776" t="s">
        <v>2127</v>
      </c>
      <c r="BE328" s="776" t="s">
        <v>2127</v>
      </c>
      <c r="BF328" s="776" t="s">
        <v>2127</v>
      </c>
      <c r="BG328" s="776" t="s">
        <v>2127</v>
      </c>
      <c r="BH328" s="776" t="s">
        <v>2127</v>
      </c>
      <c r="BI328" s="776" t="s">
        <v>2127</v>
      </c>
      <c r="BJ328" s="776" t="s">
        <v>2127</v>
      </c>
      <c r="BK328" s="776" t="s">
        <v>2127</v>
      </c>
      <c r="BL328" s="776" t="s">
        <v>2127</v>
      </c>
      <c r="BM328" s="776" t="s">
        <v>2127</v>
      </c>
      <c r="BN328" s="776" t="s">
        <v>2127</v>
      </c>
      <c r="BO328" s="776" t="s">
        <v>2127</v>
      </c>
      <c r="BP328" s="776" t="s">
        <v>2127</v>
      </c>
      <c r="BQ328" s="776" t="s">
        <v>2127</v>
      </c>
      <c r="BR328" s="776" t="s">
        <v>2127</v>
      </c>
      <c r="BS328" s="776" t="s">
        <v>2127</v>
      </c>
      <c r="BT328" s="776" t="s">
        <v>2127</v>
      </c>
      <c r="BU328" s="776" t="s">
        <v>2127</v>
      </c>
      <c r="BV328" s="776" t="s">
        <v>2127</v>
      </c>
      <c r="BW328" s="776" t="s">
        <v>2127</v>
      </c>
      <c r="BX328" s="776" t="s">
        <v>2127</v>
      </c>
      <c r="BY328" s="776" t="s">
        <v>2127</v>
      </c>
      <c r="BZ328" s="776" t="s">
        <v>2127</v>
      </c>
      <c r="CA328" s="776" t="s">
        <v>2127</v>
      </c>
      <c r="CB328" s="776" t="s">
        <v>2127</v>
      </c>
      <c r="CC328" s="776" t="s">
        <v>2127</v>
      </c>
      <c r="CD328" s="776" t="s">
        <v>2127</v>
      </c>
      <c r="CE328" s="776" t="s">
        <v>2127</v>
      </c>
      <c r="CF328" s="776" t="s">
        <v>2127</v>
      </c>
      <c r="CG328" s="776" t="s">
        <v>2127</v>
      </c>
      <c r="CH328" s="776" t="s">
        <v>2127</v>
      </c>
      <c r="CI328" s="776" t="s">
        <v>2127</v>
      </c>
      <c r="CJ328" s="776" t="s">
        <v>2127</v>
      </c>
      <c r="CK328" s="776" t="s">
        <v>2127</v>
      </c>
      <c r="CL328" s="776" t="s">
        <v>2127</v>
      </c>
      <c r="CM328" s="776" t="s">
        <v>2127</v>
      </c>
      <c r="CN328" s="776" t="s">
        <v>2127</v>
      </c>
      <c r="CO328" s="776" t="s">
        <v>2127</v>
      </c>
      <c r="CP328" s="776" t="s">
        <v>2127</v>
      </c>
      <c r="CQ328" s="776" t="s">
        <v>2127</v>
      </c>
      <c r="CR328" s="776" t="s">
        <v>2127</v>
      </c>
      <c r="CS328" s="776" t="s">
        <v>2127</v>
      </c>
      <c r="CT328" s="776" t="s">
        <v>2127</v>
      </c>
      <c r="CU328" s="776" t="s">
        <v>2127</v>
      </c>
      <c r="CV328" s="776" t="s">
        <v>2127</v>
      </c>
      <c r="CW328" s="776" t="s">
        <v>2127</v>
      </c>
      <c r="CX328" s="776" t="s">
        <v>2127</v>
      </c>
      <c r="CY328" s="776" t="s">
        <v>2127</v>
      </c>
      <c r="CZ328" s="776" t="s">
        <v>2127</v>
      </c>
      <c r="DA328" s="776" t="s">
        <v>2127</v>
      </c>
      <c r="DB328" s="776" t="s">
        <v>2127</v>
      </c>
      <c r="DC328" s="776" t="s">
        <v>2127</v>
      </c>
      <c r="DD328" s="776" t="s">
        <v>2127</v>
      </c>
      <c r="DE328" s="776" t="s">
        <v>2127</v>
      </c>
      <c r="DF328" s="776" t="s">
        <v>2127</v>
      </c>
      <c r="DG328" s="776" t="s">
        <v>2127</v>
      </c>
      <c r="DH328" s="776" t="s">
        <v>2127</v>
      </c>
      <c r="DI328" s="776" t="s">
        <v>2127</v>
      </c>
      <c r="DJ328" s="776" t="s">
        <v>2127</v>
      </c>
      <c r="DK328" s="776" t="s">
        <v>2127</v>
      </c>
      <c r="DL328" s="776" t="s">
        <v>2127</v>
      </c>
      <c r="DM328" s="776" t="s">
        <v>2127</v>
      </c>
      <c r="DN328" s="776" t="s">
        <v>2127</v>
      </c>
      <c r="DO328" s="776" t="s">
        <v>2127</v>
      </c>
      <c r="DP328" s="776" t="s">
        <v>2127</v>
      </c>
    </row>
    <row r="329" spans="1:120" x14ac:dyDescent="0.2">
      <c r="A329" s="637"/>
      <c r="B329" s="772" t="str" cm="1">
        <f t="array" ref="B329">IFERROR(INDEX(Kulturen[HF],_xlfn.AGGREGATE(15,6,(ROW(Kulturen[Auswahl])-7)/(--(SEARCH("x",Kulturen[Auswahl])&gt;0)),ROW()-7),1),"")</f>
        <v>Salbei (Salvia officinalis) (Nicht blühendes Kraut)</v>
      </c>
      <c r="C329" s="772" t="str">
        <f>IF(Kulturen[[#This Row],[HF]]=$D$373,IF($C$6=0,0,"x"),IF($C$6=0,"x",Vorauswahl!C328))</f>
        <v>x</v>
      </c>
      <c r="D329" s="938" t="s">
        <v>2080</v>
      </c>
      <c r="E329" s="938" t="s">
        <v>2080</v>
      </c>
      <c r="F329" s="938" t="s">
        <v>2081</v>
      </c>
      <c r="G329" s="938">
        <v>14</v>
      </c>
      <c r="H329" s="938">
        <v>8</v>
      </c>
      <c r="I329" s="938">
        <v>1</v>
      </c>
      <c r="J329" s="938">
        <v>14</v>
      </c>
      <c r="K329" s="938">
        <v>0.15</v>
      </c>
      <c r="L329" s="938">
        <v>0.15</v>
      </c>
      <c r="M329" s="938">
        <v>50</v>
      </c>
      <c r="N329" s="938">
        <v>0</v>
      </c>
      <c r="O329" s="938">
        <v>1</v>
      </c>
      <c r="P329" s="938">
        <v>0</v>
      </c>
      <c r="Q329" s="938">
        <v>115</v>
      </c>
      <c r="R329" s="938">
        <v>5</v>
      </c>
      <c r="S329" s="938">
        <v>12</v>
      </c>
      <c r="T329" s="938">
        <v>12</v>
      </c>
      <c r="U329" s="938">
        <v>0</v>
      </c>
      <c r="V329" s="938">
        <v>1</v>
      </c>
      <c r="W329" s="776">
        <f>IF(Kulturen[[#This Row],[Berechnungsschema]]=13,3,IF(Kulturen[[#This Row],[Berechnungsschema]]=6,2,1))</f>
        <v>1</v>
      </c>
      <c r="X329" s="776">
        <f>IF(Kulturen[[#This Row],[fruchtartengruppe]]=13,Kulturen[[#This Row],[NBedarfswert]],MAX(0,Kulturen[[#This Row],[NBedarfswert]]-Kulturen[[#This Row],[Ertrag]]*Kulturen[[#This Row],[Nfix]]))</f>
        <v>115</v>
      </c>
      <c r="Y329" s="776" t="s">
        <v>2127</v>
      </c>
      <c r="Z329" s="776" t="s">
        <v>2127</v>
      </c>
      <c r="AA329" s="776" t="s">
        <v>2127</v>
      </c>
      <c r="AB329" s="776" t="s">
        <v>2127</v>
      </c>
      <c r="AC329" s="776" t="s">
        <v>2127</v>
      </c>
      <c r="AD329" s="776" t="s">
        <v>2127</v>
      </c>
      <c r="AE329" s="776" t="s">
        <v>2127</v>
      </c>
      <c r="AF329" s="776" t="s">
        <v>2127</v>
      </c>
      <c r="AG329" s="776" t="s">
        <v>2127</v>
      </c>
      <c r="AH329" s="776" t="s">
        <v>2127</v>
      </c>
      <c r="AI329" s="776" t="s">
        <v>2127</v>
      </c>
      <c r="AJ329" s="776" t="s">
        <v>2127</v>
      </c>
      <c r="AK329" s="776" t="s">
        <v>2127</v>
      </c>
      <c r="AL329" s="776" t="s">
        <v>2127</v>
      </c>
      <c r="AM329" s="776" t="s">
        <v>2127</v>
      </c>
      <c r="AN329" s="776" t="s">
        <v>2127</v>
      </c>
      <c r="AO329" s="776" t="s">
        <v>2127</v>
      </c>
      <c r="AP329" s="776" t="s">
        <v>2127</v>
      </c>
      <c r="AQ329" s="776" t="s">
        <v>2127</v>
      </c>
      <c r="AR329" s="776" t="s">
        <v>2127</v>
      </c>
      <c r="AS329" s="776" t="s">
        <v>2127</v>
      </c>
      <c r="AT329" s="776" t="s">
        <v>2127</v>
      </c>
      <c r="AU329" s="776" t="s">
        <v>2127</v>
      </c>
      <c r="AV329" s="776" t="s">
        <v>2127</v>
      </c>
      <c r="AW329" s="776" t="s">
        <v>2127</v>
      </c>
      <c r="AX329" s="776" t="s">
        <v>2127</v>
      </c>
      <c r="AY329" s="776" t="s">
        <v>2127</v>
      </c>
      <c r="AZ329" s="776" t="s">
        <v>2127</v>
      </c>
      <c r="BA329" s="776" t="s">
        <v>2127</v>
      </c>
      <c r="BB329" s="776" t="s">
        <v>2127</v>
      </c>
      <c r="BC329" s="776" t="s">
        <v>2127</v>
      </c>
      <c r="BD329" s="776" t="s">
        <v>2127</v>
      </c>
      <c r="BE329" s="776" t="s">
        <v>2127</v>
      </c>
      <c r="BF329" s="776" t="s">
        <v>2127</v>
      </c>
      <c r="BG329" s="776" t="s">
        <v>2127</v>
      </c>
      <c r="BH329" s="776" t="s">
        <v>2127</v>
      </c>
      <c r="BI329" s="776" t="s">
        <v>2127</v>
      </c>
      <c r="BJ329" s="776" t="s">
        <v>2127</v>
      </c>
      <c r="BK329" s="776" t="s">
        <v>2127</v>
      </c>
      <c r="BL329" s="776" t="s">
        <v>2127</v>
      </c>
      <c r="BM329" s="776" t="s">
        <v>2127</v>
      </c>
      <c r="BN329" s="776" t="s">
        <v>2127</v>
      </c>
      <c r="BO329" s="776" t="s">
        <v>2127</v>
      </c>
      <c r="BP329" s="776" t="s">
        <v>2127</v>
      </c>
      <c r="BQ329" s="776" t="s">
        <v>2127</v>
      </c>
      <c r="BR329" s="776" t="s">
        <v>2127</v>
      </c>
      <c r="BS329" s="776" t="s">
        <v>2127</v>
      </c>
      <c r="BT329" s="776" t="s">
        <v>2127</v>
      </c>
      <c r="BU329" s="776" t="s">
        <v>2127</v>
      </c>
      <c r="BV329" s="776" t="s">
        <v>2127</v>
      </c>
      <c r="BW329" s="776" t="s">
        <v>2127</v>
      </c>
      <c r="BX329" s="776" t="s">
        <v>2127</v>
      </c>
      <c r="BY329" s="776" t="s">
        <v>2127</v>
      </c>
      <c r="BZ329" s="776" t="s">
        <v>2127</v>
      </c>
      <c r="CA329" s="776" t="s">
        <v>2127</v>
      </c>
      <c r="CB329" s="776" t="s">
        <v>2127</v>
      </c>
      <c r="CC329" s="776" t="s">
        <v>2127</v>
      </c>
      <c r="CD329" s="776" t="s">
        <v>2127</v>
      </c>
      <c r="CE329" s="776" t="s">
        <v>2127</v>
      </c>
      <c r="CF329" s="776" t="s">
        <v>2127</v>
      </c>
      <c r="CG329" s="776" t="s">
        <v>2127</v>
      </c>
      <c r="CH329" s="776" t="s">
        <v>2127</v>
      </c>
      <c r="CI329" s="776" t="s">
        <v>2127</v>
      </c>
      <c r="CJ329" s="776" t="s">
        <v>2127</v>
      </c>
      <c r="CK329" s="776" t="s">
        <v>2127</v>
      </c>
      <c r="CL329" s="776" t="s">
        <v>2127</v>
      </c>
      <c r="CM329" s="776" t="s">
        <v>2127</v>
      </c>
      <c r="CN329" s="776" t="s">
        <v>2127</v>
      </c>
      <c r="CO329" s="776" t="s">
        <v>2127</v>
      </c>
      <c r="CP329" s="776" t="s">
        <v>2127</v>
      </c>
      <c r="CQ329" s="776" t="s">
        <v>2127</v>
      </c>
      <c r="CR329" s="776" t="s">
        <v>2127</v>
      </c>
      <c r="CS329" s="776" t="s">
        <v>2127</v>
      </c>
      <c r="CT329" s="776" t="s">
        <v>2127</v>
      </c>
      <c r="CU329" s="776" t="s">
        <v>2127</v>
      </c>
      <c r="CV329" s="776" t="s">
        <v>2127</v>
      </c>
      <c r="CW329" s="776" t="s">
        <v>2127</v>
      </c>
      <c r="CX329" s="776" t="s">
        <v>2127</v>
      </c>
      <c r="CY329" s="776" t="s">
        <v>2127</v>
      </c>
      <c r="CZ329" s="776" t="s">
        <v>2127</v>
      </c>
      <c r="DA329" s="776" t="s">
        <v>2127</v>
      </c>
      <c r="DB329" s="776" t="s">
        <v>2127</v>
      </c>
      <c r="DC329" s="776" t="s">
        <v>2127</v>
      </c>
      <c r="DD329" s="776" t="s">
        <v>2127</v>
      </c>
      <c r="DE329" s="776" t="s">
        <v>2127</v>
      </c>
      <c r="DF329" s="776" t="s">
        <v>2127</v>
      </c>
      <c r="DG329" s="776" t="s">
        <v>2127</v>
      </c>
      <c r="DH329" s="776" t="s">
        <v>2127</v>
      </c>
      <c r="DI329" s="776" t="s">
        <v>2127</v>
      </c>
      <c r="DJ329" s="776" t="s">
        <v>2127</v>
      </c>
      <c r="DK329" s="776" t="s">
        <v>2127</v>
      </c>
      <c r="DL329" s="776" t="s">
        <v>2127</v>
      </c>
      <c r="DM329" s="776" t="s">
        <v>2127</v>
      </c>
      <c r="DN329" s="776" t="s">
        <v>2127</v>
      </c>
      <c r="DO329" s="776" t="s">
        <v>2127</v>
      </c>
      <c r="DP329" s="776" t="s">
        <v>2127</v>
      </c>
    </row>
    <row r="330" spans="1:120" x14ac:dyDescent="0.2">
      <c r="A330" s="637" t="s">
        <v>2336</v>
      </c>
      <c r="B330" s="772" t="str" cm="1">
        <f t="array" ref="B330">IFERROR(INDEX(Kulturen[HF],_xlfn.AGGREGATE(15,6,(ROW(Kulturen[Auswahl])-7)/(--(SEARCH("x",Kulturen[Auswahl])&gt;0)),ROW()-7),1),"")</f>
        <v>Saposhnikovia (Wurzel)</v>
      </c>
      <c r="C330" s="772" t="str">
        <f>IF(Kulturen[[#This Row],[HF]]=$D$373,IF($C$6=0,0,"x"),IF($C$6=0,"x",Vorauswahl!C329))</f>
        <v>x</v>
      </c>
      <c r="D330" s="938" t="s">
        <v>2082</v>
      </c>
      <c r="E330" s="938" t="s">
        <v>2082</v>
      </c>
      <c r="F330" s="938" t="s">
        <v>976</v>
      </c>
      <c r="G330" s="938">
        <v>14</v>
      </c>
      <c r="H330" s="938">
        <v>8</v>
      </c>
      <c r="I330" s="938">
        <v>3</v>
      </c>
      <c r="J330" s="938">
        <v>14</v>
      </c>
      <c r="K330" s="938">
        <v>0.115</v>
      </c>
      <c r="L330" s="938">
        <v>0.12</v>
      </c>
      <c r="M330" s="938">
        <v>240</v>
      </c>
      <c r="N330" s="938">
        <v>0</v>
      </c>
      <c r="O330" s="938">
        <v>1</v>
      </c>
      <c r="P330" s="938">
        <v>0</v>
      </c>
      <c r="Q330" s="938">
        <v>160</v>
      </c>
      <c r="R330" s="938">
        <v>24</v>
      </c>
      <c r="S330" s="938">
        <v>16</v>
      </c>
      <c r="T330" s="938">
        <v>16</v>
      </c>
      <c r="U330" s="938">
        <v>0</v>
      </c>
      <c r="V330" s="938">
        <v>1</v>
      </c>
      <c r="W330" s="776">
        <f>IF(Kulturen[[#This Row],[Berechnungsschema]]=13,3,IF(Kulturen[[#This Row],[Berechnungsschema]]=6,2,1))</f>
        <v>1</v>
      </c>
      <c r="X330" s="776">
        <f>IF(Kulturen[[#This Row],[fruchtartengruppe]]=13,Kulturen[[#This Row],[NBedarfswert]],MAX(0,Kulturen[[#This Row],[NBedarfswert]]-Kulturen[[#This Row],[Ertrag]]*Kulturen[[#This Row],[Nfix]]))</f>
        <v>160</v>
      </c>
      <c r="Y330" s="776" t="s">
        <v>2127</v>
      </c>
      <c r="Z330" s="776" t="s">
        <v>2127</v>
      </c>
      <c r="AA330" s="776" t="s">
        <v>2127</v>
      </c>
      <c r="AB330" s="776" t="s">
        <v>2127</v>
      </c>
      <c r="AC330" s="776" t="s">
        <v>2127</v>
      </c>
      <c r="AD330" s="776" t="s">
        <v>2127</v>
      </c>
      <c r="AE330" s="776" t="s">
        <v>2127</v>
      </c>
      <c r="AF330" s="776" t="s">
        <v>2127</v>
      </c>
      <c r="AG330" s="776" t="s">
        <v>2127</v>
      </c>
      <c r="AH330" s="776" t="s">
        <v>2127</v>
      </c>
      <c r="AI330" s="776" t="s">
        <v>2127</v>
      </c>
      <c r="AJ330" s="776" t="s">
        <v>2127</v>
      </c>
      <c r="AK330" s="776" t="s">
        <v>2127</v>
      </c>
      <c r="AL330" s="776" t="s">
        <v>2127</v>
      </c>
      <c r="AM330" s="776" t="s">
        <v>2127</v>
      </c>
      <c r="AN330" s="776" t="s">
        <v>2127</v>
      </c>
      <c r="AO330" s="776" t="s">
        <v>2127</v>
      </c>
      <c r="AP330" s="776" t="s">
        <v>2127</v>
      </c>
      <c r="AQ330" s="776" t="s">
        <v>2127</v>
      </c>
      <c r="AR330" s="776" t="s">
        <v>2127</v>
      </c>
      <c r="AS330" s="776" t="s">
        <v>2127</v>
      </c>
      <c r="AT330" s="776" t="s">
        <v>2127</v>
      </c>
      <c r="AU330" s="776" t="s">
        <v>2127</v>
      </c>
      <c r="AV330" s="776" t="s">
        <v>2127</v>
      </c>
      <c r="AW330" s="776" t="s">
        <v>2127</v>
      </c>
      <c r="AX330" s="776" t="s">
        <v>2127</v>
      </c>
      <c r="AY330" s="776" t="s">
        <v>2127</v>
      </c>
      <c r="AZ330" s="776" t="s">
        <v>2127</v>
      </c>
      <c r="BA330" s="776" t="s">
        <v>2127</v>
      </c>
      <c r="BB330" s="776" t="s">
        <v>2127</v>
      </c>
      <c r="BC330" s="776" t="s">
        <v>2127</v>
      </c>
      <c r="BD330" s="776" t="s">
        <v>2127</v>
      </c>
      <c r="BE330" s="776" t="s">
        <v>2127</v>
      </c>
      <c r="BF330" s="776" t="s">
        <v>2127</v>
      </c>
      <c r="BG330" s="776" t="s">
        <v>2127</v>
      </c>
      <c r="BH330" s="776" t="s">
        <v>2127</v>
      </c>
      <c r="BI330" s="776" t="s">
        <v>2127</v>
      </c>
      <c r="BJ330" s="776" t="s">
        <v>2127</v>
      </c>
      <c r="BK330" s="776" t="s">
        <v>2127</v>
      </c>
      <c r="BL330" s="776" t="s">
        <v>2127</v>
      </c>
      <c r="BM330" s="776" t="s">
        <v>2127</v>
      </c>
      <c r="BN330" s="776" t="s">
        <v>2127</v>
      </c>
      <c r="BO330" s="776" t="s">
        <v>2127</v>
      </c>
      <c r="BP330" s="776" t="s">
        <v>2127</v>
      </c>
      <c r="BQ330" s="776" t="s">
        <v>2127</v>
      </c>
      <c r="BR330" s="776" t="s">
        <v>2127</v>
      </c>
      <c r="BS330" s="776" t="s">
        <v>2127</v>
      </c>
      <c r="BT330" s="776" t="s">
        <v>2127</v>
      </c>
      <c r="BU330" s="776" t="s">
        <v>2127</v>
      </c>
      <c r="BV330" s="776" t="s">
        <v>2127</v>
      </c>
      <c r="BW330" s="776" t="s">
        <v>2127</v>
      </c>
      <c r="BX330" s="776" t="s">
        <v>2127</v>
      </c>
      <c r="BY330" s="776" t="s">
        <v>2127</v>
      </c>
      <c r="BZ330" s="776" t="s">
        <v>2127</v>
      </c>
      <c r="CA330" s="776" t="s">
        <v>2127</v>
      </c>
      <c r="CB330" s="776" t="s">
        <v>2127</v>
      </c>
      <c r="CC330" s="776" t="s">
        <v>2127</v>
      </c>
      <c r="CD330" s="776" t="s">
        <v>2127</v>
      </c>
      <c r="CE330" s="776" t="s">
        <v>2127</v>
      </c>
      <c r="CF330" s="776" t="s">
        <v>2127</v>
      </c>
      <c r="CG330" s="776" t="s">
        <v>2127</v>
      </c>
      <c r="CH330" s="776" t="s">
        <v>2127</v>
      </c>
      <c r="CI330" s="776" t="s">
        <v>2127</v>
      </c>
      <c r="CJ330" s="776" t="s">
        <v>2127</v>
      </c>
      <c r="CK330" s="776" t="s">
        <v>2127</v>
      </c>
      <c r="CL330" s="776" t="s">
        <v>2127</v>
      </c>
      <c r="CM330" s="776" t="s">
        <v>2127</v>
      </c>
      <c r="CN330" s="776" t="s">
        <v>2127</v>
      </c>
      <c r="CO330" s="776" t="s">
        <v>2127</v>
      </c>
      <c r="CP330" s="776" t="s">
        <v>2127</v>
      </c>
      <c r="CQ330" s="776" t="s">
        <v>2127</v>
      </c>
      <c r="CR330" s="776" t="s">
        <v>2127</v>
      </c>
      <c r="CS330" s="776" t="s">
        <v>2127</v>
      </c>
      <c r="CT330" s="776" t="s">
        <v>2127</v>
      </c>
      <c r="CU330" s="776" t="s">
        <v>2127</v>
      </c>
      <c r="CV330" s="776" t="s">
        <v>2127</v>
      </c>
      <c r="CW330" s="776" t="s">
        <v>2127</v>
      </c>
      <c r="CX330" s="776" t="s">
        <v>2127</v>
      </c>
      <c r="CY330" s="776" t="s">
        <v>2127</v>
      </c>
      <c r="CZ330" s="776" t="s">
        <v>2127</v>
      </c>
      <c r="DA330" s="776" t="s">
        <v>2127</v>
      </c>
      <c r="DB330" s="776" t="s">
        <v>2127</v>
      </c>
      <c r="DC330" s="776" t="s">
        <v>2127</v>
      </c>
      <c r="DD330" s="776" t="s">
        <v>2127</v>
      </c>
      <c r="DE330" s="776" t="s">
        <v>2127</v>
      </c>
      <c r="DF330" s="776" t="s">
        <v>2127</v>
      </c>
      <c r="DG330" s="776" t="s">
        <v>2127</v>
      </c>
      <c r="DH330" s="776" t="s">
        <v>2127</v>
      </c>
      <c r="DI330" s="776" t="s">
        <v>2127</v>
      </c>
      <c r="DJ330" s="776" t="s">
        <v>2127</v>
      </c>
      <c r="DK330" s="776" t="s">
        <v>2127</v>
      </c>
      <c r="DL330" s="776" t="s">
        <v>2127</v>
      </c>
      <c r="DM330" s="776" t="s">
        <v>2127</v>
      </c>
      <c r="DN330" s="776" t="s">
        <v>2127</v>
      </c>
      <c r="DO330" s="776" t="s">
        <v>2127</v>
      </c>
      <c r="DP330" s="776" t="s">
        <v>2127</v>
      </c>
    </row>
    <row r="331" spans="1:120" x14ac:dyDescent="0.2">
      <c r="A331" s="637" t="s">
        <v>2337</v>
      </c>
      <c r="B331" s="772" t="str" cm="1">
        <f t="array" ref="B331">IFERROR(INDEX(Kulturen[HF],_xlfn.AGGREGATE(15,6,(ROW(Kulturen[Auswahl])-7)/(--(SEARCH("x",Kulturen[Auswahl])&gt;0)),ROW()-7),1),"")</f>
        <v>Saussurea costus (Wurzel)</v>
      </c>
      <c r="C331" s="772" t="str">
        <f>IF(Kulturen[[#This Row],[HF]]=$D$373,IF($C$6=0,0,"x"),IF($C$6=0,"x",Vorauswahl!C330))</f>
        <v>x</v>
      </c>
      <c r="D331" s="938" t="s">
        <v>2083</v>
      </c>
      <c r="E331" s="938" t="s">
        <v>2083</v>
      </c>
      <c r="F331" s="938" t="s">
        <v>977</v>
      </c>
      <c r="G331" s="938">
        <v>14</v>
      </c>
      <c r="H331" s="938">
        <v>8</v>
      </c>
      <c r="I331" s="938">
        <v>3</v>
      </c>
      <c r="J331" s="938">
        <v>14</v>
      </c>
      <c r="K331" s="938">
        <v>0.115</v>
      </c>
      <c r="L331" s="938">
        <v>0.12</v>
      </c>
      <c r="M331" s="938">
        <v>160</v>
      </c>
      <c r="N331" s="938">
        <v>0</v>
      </c>
      <c r="O331" s="938">
        <v>2</v>
      </c>
      <c r="P331" s="938">
        <v>0</v>
      </c>
      <c r="Q331" s="938">
        <v>100</v>
      </c>
      <c r="R331" s="938">
        <v>16</v>
      </c>
      <c r="S331" s="938">
        <v>5</v>
      </c>
      <c r="T331" s="938">
        <v>5</v>
      </c>
      <c r="U331" s="938">
        <v>0</v>
      </c>
      <c r="V331" s="938">
        <v>1</v>
      </c>
      <c r="W331" s="776">
        <f>IF(Kulturen[[#This Row],[Berechnungsschema]]=13,3,IF(Kulturen[[#This Row],[Berechnungsschema]]=6,2,1))</f>
        <v>1</v>
      </c>
      <c r="X331" s="776">
        <f>IF(Kulturen[[#This Row],[fruchtartengruppe]]=13,Kulturen[[#This Row],[NBedarfswert]],MAX(0,Kulturen[[#This Row],[NBedarfswert]]-Kulturen[[#This Row],[Ertrag]]*Kulturen[[#This Row],[Nfix]]))</f>
        <v>100</v>
      </c>
      <c r="Y331" s="776" t="s">
        <v>2127</v>
      </c>
      <c r="Z331" s="776" t="s">
        <v>2127</v>
      </c>
      <c r="AA331" s="776" t="s">
        <v>2127</v>
      </c>
      <c r="AB331" s="776" t="s">
        <v>2127</v>
      </c>
      <c r="AC331" s="776" t="s">
        <v>2127</v>
      </c>
      <c r="AD331" s="776" t="s">
        <v>2127</v>
      </c>
      <c r="AE331" s="776" t="s">
        <v>2127</v>
      </c>
      <c r="AF331" s="776" t="s">
        <v>2127</v>
      </c>
      <c r="AG331" s="776" t="s">
        <v>2127</v>
      </c>
      <c r="AH331" s="776" t="s">
        <v>2127</v>
      </c>
      <c r="AI331" s="776" t="s">
        <v>2127</v>
      </c>
      <c r="AJ331" s="776" t="s">
        <v>2127</v>
      </c>
      <c r="AK331" s="776" t="s">
        <v>2127</v>
      </c>
      <c r="AL331" s="776" t="s">
        <v>2127</v>
      </c>
      <c r="AM331" s="776" t="s">
        <v>2127</v>
      </c>
      <c r="AN331" s="776" t="s">
        <v>2127</v>
      </c>
      <c r="AO331" s="776" t="s">
        <v>2127</v>
      </c>
      <c r="AP331" s="776" t="s">
        <v>2127</v>
      </c>
      <c r="AQ331" s="776" t="s">
        <v>2127</v>
      </c>
      <c r="AR331" s="776" t="s">
        <v>2127</v>
      </c>
      <c r="AS331" s="776" t="s">
        <v>2127</v>
      </c>
      <c r="AT331" s="776" t="s">
        <v>2127</v>
      </c>
      <c r="AU331" s="776" t="s">
        <v>2127</v>
      </c>
      <c r="AV331" s="776" t="s">
        <v>2127</v>
      </c>
      <c r="AW331" s="776" t="s">
        <v>2127</v>
      </c>
      <c r="AX331" s="776" t="s">
        <v>2127</v>
      </c>
      <c r="AY331" s="776" t="s">
        <v>2127</v>
      </c>
      <c r="AZ331" s="776" t="s">
        <v>2127</v>
      </c>
      <c r="BA331" s="776" t="s">
        <v>2127</v>
      </c>
      <c r="BB331" s="776" t="s">
        <v>2127</v>
      </c>
      <c r="BC331" s="776" t="s">
        <v>2127</v>
      </c>
      <c r="BD331" s="776" t="s">
        <v>2127</v>
      </c>
      <c r="BE331" s="776" t="s">
        <v>2127</v>
      </c>
      <c r="BF331" s="776" t="s">
        <v>2127</v>
      </c>
      <c r="BG331" s="776" t="s">
        <v>2127</v>
      </c>
      <c r="BH331" s="776" t="s">
        <v>2127</v>
      </c>
      <c r="BI331" s="776" t="s">
        <v>2127</v>
      </c>
      <c r="BJ331" s="776" t="s">
        <v>2127</v>
      </c>
      <c r="BK331" s="776" t="s">
        <v>2127</v>
      </c>
      <c r="BL331" s="776" t="s">
        <v>2127</v>
      </c>
      <c r="BM331" s="776" t="s">
        <v>2127</v>
      </c>
      <c r="BN331" s="776" t="s">
        <v>2127</v>
      </c>
      <c r="BO331" s="776" t="s">
        <v>2127</v>
      </c>
      <c r="BP331" s="776" t="s">
        <v>2127</v>
      </c>
      <c r="BQ331" s="776" t="s">
        <v>2127</v>
      </c>
      <c r="BR331" s="776" t="s">
        <v>2127</v>
      </c>
      <c r="BS331" s="776" t="s">
        <v>2127</v>
      </c>
      <c r="BT331" s="776" t="s">
        <v>2127</v>
      </c>
      <c r="BU331" s="776" t="s">
        <v>2127</v>
      </c>
      <c r="BV331" s="776" t="s">
        <v>2127</v>
      </c>
      <c r="BW331" s="776" t="s">
        <v>2127</v>
      </c>
      <c r="BX331" s="776" t="s">
        <v>2127</v>
      </c>
      <c r="BY331" s="776" t="s">
        <v>2127</v>
      </c>
      <c r="BZ331" s="776" t="s">
        <v>2127</v>
      </c>
      <c r="CA331" s="776" t="s">
        <v>2127</v>
      </c>
      <c r="CB331" s="776" t="s">
        <v>2127</v>
      </c>
      <c r="CC331" s="776" t="s">
        <v>2127</v>
      </c>
      <c r="CD331" s="776" t="s">
        <v>2127</v>
      </c>
      <c r="CE331" s="776" t="s">
        <v>2127</v>
      </c>
      <c r="CF331" s="776" t="s">
        <v>2127</v>
      </c>
      <c r="CG331" s="776" t="s">
        <v>2127</v>
      </c>
      <c r="CH331" s="776" t="s">
        <v>2127</v>
      </c>
      <c r="CI331" s="776" t="s">
        <v>2127</v>
      </c>
      <c r="CJ331" s="776" t="s">
        <v>2127</v>
      </c>
      <c r="CK331" s="776" t="s">
        <v>2127</v>
      </c>
      <c r="CL331" s="776" t="s">
        <v>2127</v>
      </c>
      <c r="CM331" s="776" t="s">
        <v>2127</v>
      </c>
      <c r="CN331" s="776" t="s">
        <v>2127</v>
      </c>
      <c r="CO331" s="776" t="s">
        <v>2127</v>
      </c>
      <c r="CP331" s="776" t="s">
        <v>2127</v>
      </c>
      <c r="CQ331" s="776" t="s">
        <v>2127</v>
      </c>
      <c r="CR331" s="776" t="s">
        <v>2127</v>
      </c>
      <c r="CS331" s="776" t="s">
        <v>2127</v>
      </c>
      <c r="CT331" s="776" t="s">
        <v>2127</v>
      </c>
      <c r="CU331" s="776" t="s">
        <v>2127</v>
      </c>
      <c r="CV331" s="776" t="s">
        <v>2127</v>
      </c>
      <c r="CW331" s="776" t="s">
        <v>2127</v>
      </c>
      <c r="CX331" s="776" t="s">
        <v>2127</v>
      </c>
      <c r="CY331" s="776" t="s">
        <v>2127</v>
      </c>
      <c r="CZ331" s="776" t="s">
        <v>2127</v>
      </c>
      <c r="DA331" s="776" t="s">
        <v>2127</v>
      </c>
      <c r="DB331" s="776" t="s">
        <v>2127</v>
      </c>
      <c r="DC331" s="776" t="s">
        <v>2127</v>
      </c>
      <c r="DD331" s="776" t="s">
        <v>2127</v>
      </c>
      <c r="DE331" s="776" t="s">
        <v>2127</v>
      </c>
      <c r="DF331" s="776" t="s">
        <v>2127</v>
      </c>
      <c r="DG331" s="776" t="s">
        <v>2127</v>
      </c>
      <c r="DH331" s="776" t="s">
        <v>2127</v>
      </c>
      <c r="DI331" s="776" t="s">
        <v>2127</v>
      </c>
      <c r="DJ331" s="776" t="s">
        <v>2127</v>
      </c>
      <c r="DK331" s="776" t="s">
        <v>2127</v>
      </c>
      <c r="DL331" s="776" t="s">
        <v>2127</v>
      </c>
      <c r="DM331" s="776" t="s">
        <v>2127</v>
      </c>
      <c r="DN331" s="776" t="s">
        <v>2127</v>
      </c>
      <c r="DO331" s="776" t="s">
        <v>2127</v>
      </c>
      <c r="DP331" s="776" t="s">
        <v>2127</v>
      </c>
    </row>
    <row r="332" spans="1:120" x14ac:dyDescent="0.2">
      <c r="A332" s="637" t="s">
        <v>2338</v>
      </c>
      <c r="B332" s="772" t="str" cm="1">
        <f t="array" ref="B332">IFERROR(INDEX(Kulturen[HF],_xlfn.AGGREGATE(15,6,(ROW(Kulturen[Auswahl])-7)/(--(SEARCH("x",Kulturen[Auswahl])&gt;0)),ROW()-7),1),"")</f>
        <v>Schabziegerklee (Blühendes Kraut)</v>
      </c>
      <c r="C332" s="772" t="str">
        <f>IF(Kulturen[[#This Row],[HF]]=$D$373,IF($C$6=0,0,"x"),IF($C$6=0,"x",Vorauswahl!C331))</f>
        <v>x</v>
      </c>
      <c r="D332" s="938" t="s">
        <v>2084</v>
      </c>
      <c r="E332" s="938" t="s">
        <v>2084</v>
      </c>
      <c r="F332" s="938" t="s">
        <v>978</v>
      </c>
      <c r="G332" s="938">
        <v>14</v>
      </c>
      <c r="H332" s="938">
        <v>8</v>
      </c>
      <c r="I332" s="938">
        <v>3</v>
      </c>
      <c r="J332" s="938">
        <v>14</v>
      </c>
      <c r="K332" s="938">
        <v>0.13</v>
      </c>
      <c r="L332" s="938">
        <v>0.13</v>
      </c>
      <c r="M332" s="938">
        <v>500</v>
      </c>
      <c r="N332" s="938">
        <v>0</v>
      </c>
      <c r="O332" s="938">
        <v>2</v>
      </c>
      <c r="P332" s="938">
        <v>0</v>
      </c>
      <c r="Q332" s="938">
        <v>285</v>
      </c>
      <c r="R332" s="938">
        <v>50</v>
      </c>
      <c r="S332" s="938">
        <v>29</v>
      </c>
      <c r="T332" s="938">
        <v>14</v>
      </c>
      <c r="U332" s="938">
        <v>0</v>
      </c>
      <c r="V332" s="938">
        <v>1</v>
      </c>
      <c r="W332" s="776">
        <f>IF(Kulturen[[#This Row],[Berechnungsschema]]=13,3,IF(Kulturen[[#This Row],[Berechnungsschema]]=6,2,1))</f>
        <v>1</v>
      </c>
      <c r="X332" s="776">
        <f>IF(Kulturen[[#This Row],[fruchtartengruppe]]=13,Kulturen[[#This Row],[NBedarfswert]],MAX(0,Kulturen[[#This Row],[NBedarfswert]]-Kulturen[[#This Row],[Ertrag]]*Kulturen[[#This Row],[Nfix]]))</f>
        <v>285</v>
      </c>
      <c r="Y332" s="776" t="s">
        <v>2127</v>
      </c>
      <c r="Z332" s="776" t="s">
        <v>2127</v>
      </c>
      <c r="AA332" s="776" t="s">
        <v>2127</v>
      </c>
      <c r="AB332" s="776" t="s">
        <v>2127</v>
      </c>
      <c r="AC332" s="776" t="s">
        <v>2127</v>
      </c>
      <c r="AD332" s="776" t="s">
        <v>2127</v>
      </c>
      <c r="AE332" s="776" t="s">
        <v>2127</v>
      </c>
      <c r="AF332" s="776" t="s">
        <v>2127</v>
      </c>
      <c r="AG332" s="776" t="s">
        <v>2127</v>
      </c>
      <c r="AH332" s="776" t="s">
        <v>2127</v>
      </c>
      <c r="AI332" s="776" t="s">
        <v>2127</v>
      </c>
      <c r="AJ332" s="776" t="s">
        <v>2127</v>
      </c>
      <c r="AK332" s="776" t="s">
        <v>2127</v>
      </c>
      <c r="AL332" s="776" t="s">
        <v>2127</v>
      </c>
      <c r="AM332" s="776" t="s">
        <v>2127</v>
      </c>
      <c r="AN332" s="776" t="s">
        <v>2127</v>
      </c>
      <c r="AO332" s="776" t="s">
        <v>2127</v>
      </c>
      <c r="AP332" s="776" t="s">
        <v>2127</v>
      </c>
      <c r="AQ332" s="776" t="s">
        <v>2127</v>
      </c>
      <c r="AR332" s="776" t="s">
        <v>2127</v>
      </c>
      <c r="AS332" s="776" t="s">
        <v>2127</v>
      </c>
      <c r="AT332" s="776" t="s">
        <v>2127</v>
      </c>
      <c r="AU332" s="776" t="s">
        <v>2127</v>
      </c>
      <c r="AV332" s="776" t="s">
        <v>2127</v>
      </c>
      <c r="AW332" s="776" t="s">
        <v>2127</v>
      </c>
      <c r="AX332" s="776" t="s">
        <v>2127</v>
      </c>
      <c r="AY332" s="776" t="s">
        <v>2127</v>
      </c>
      <c r="AZ332" s="776" t="s">
        <v>2127</v>
      </c>
      <c r="BA332" s="776" t="s">
        <v>2127</v>
      </c>
      <c r="BB332" s="776" t="s">
        <v>2127</v>
      </c>
      <c r="BC332" s="776" t="s">
        <v>2127</v>
      </c>
      <c r="BD332" s="776" t="s">
        <v>2127</v>
      </c>
      <c r="BE332" s="776" t="s">
        <v>2127</v>
      </c>
      <c r="BF332" s="776" t="s">
        <v>2127</v>
      </c>
      <c r="BG332" s="776" t="s">
        <v>2127</v>
      </c>
      <c r="BH332" s="776" t="s">
        <v>2127</v>
      </c>
      <c r="BI332" s="776" t="s">
        <v>2127</v>
      </c>
      <c r="BJ332" s="776" t="s">
        <v>2127</v>
      </c>
      <c r="BK332" s="776" t="s">
        <v>2127</v>
      </c>
      <c r="BL332" s="776" t="s">
        <v>2127</v>
      </c>
      <c r="BM332" s="776" t="s">
        <v>2127</v>
      </c>
      <c r="BN332" s="776" t="s">
        <v>2127</v>
      </c>
      <c r="BO332" s="776" t="s">
        <v>2127</v>
      </c>
      <c r="BP332" s="776" t="s">
        <v>2127</v>
      </c>
      <c r="BQ332" s="776" t="s">
        <v>2127</v>
      </c>
      <c r="BR332" s="776" t="s">
        <v>2127</v>
      </c>
      <c r="BS332" s="776" t="s">
        <v>2127</v>
      </c>
      <c r="BT332" s="776" t="s">
        <v>2127</v>
      </c>
      <c r="BU332" s="776" t="s">
        <v>2127</v>
      </c>
      <c r="BV332" s="776" t="s">
        <v>2127</v>
      </c>
      <c r="BW332" s="776" t="s">
        <v>2127</v>
      </c>
      <c r="BX332" s="776" t="s">
        <v>2127</v>
      </c>
      <c r="BY332" s="776" t="s">
        <v>2127</v>
      </c>
      <c r="BZ332" s="776" t="s">
        <v>2127</v>
      </c>
      <c r="CA332" s="776" t="s">
        <v>2127</v>
      </c>
      <c r="CB332" s="776" t="s">
        <v>2127</v>
      </c>
      <c r="CC332" s="776" t="s">
        <v>2127</v>
      </c>
      <c r="CD332" s="776" t="s">
        <v>2127</v>
      </c>
      <c r="CE332" s="776" t="s">
        <v>2127</v>
      </c>
      <c r="CF332" s="776" t="s">
        <v>2127</v>
      </c>
      <c r="CG332" s="776" t="s">
        <v>2127</v>
      </c>
      <c r="CH332" s="776" t="s">
        <v>2127</v>
      </c>
      <c r="CI332" s="776" t="s">
        <v>2127</v>
      </c>
      <c r="CJ332" s="776" t="s">
        <v>2127</v>
      </c>
      <c r="CK332" s="776" t="s">
        <v>2127</v>
      </c>
      <c r="CL332" s="776" t="s">
        <v>2127</v>
      </c>
      <c r="CM332" s="776" t="s">
        <v>2127</v>
      </c>
      <c r="CN332" s="776" t="s">
        <v>2127</v>
      </c>
      <c r="CO332" s="776" t="s">
        <v>2127</v>
      </c>
      <c r="CP332" s="776" t="s">
        <v>2127</v>
      </c>
      <c r="CQ332" s="776" t="s">
        <v>2127</v>
      </c>
      <c r="CR332" s="776" t="s">
        <v>2127</v>
      </c>
      <c r="CS332" s="776" t="s">
        <v>2127</v>
      </c>
      <c r="CT332" s="776" t="s">
        <v>2127</v>
      </c>
      <c r="CU332" s="776" t="s">
        <v>2127</v>
      </c>
      <c r="CV332" s="776" t="s">
        <v>2127</v>
      </c>
      <c r="CW332" s="776" t="s">
        <v>2127</v>
      </c>
      <c r="CX332" s="776" t="s">
        <v>2127</v>
      </c>
      <c r="CY332" s="776" t="s">
        <v>2127</v>
      </c>
      <c r="CZ332" s="776" t="s">
        <v>2127</v>
      </c>
      <c r="DA332" s="776" t="s">
        <v>2127</v>
      </c>
      <c r="DB332" s="776" t="s">
        <v>2127</v>
      </c>
      <c r="DC332" s="776" t="s">
        <v>2127</v>
      </c>
      <c r="DD332" s="776" t="s">
        <v>2127</v>
      </c>
      <c r="DE332" s="776" t="s">
        <v>2127</v>
      </c>
      <c r="DF332" s="776" t="s">
        <v>2127</v>
      </c>
      <c r="DG332" s="776" t="s">
        <v>2127</v>
      </c>
      <c r="DH332" s="776" t="s">
        <v>2127</v>
      </c>
      <c r="DI332" s="776" t="s">
        <v>2127</v>
      </c>
      <c r="DJ332" s="776" t="s">
        <v>2127</v>
      </c>
      <c r="DK332" s="776" t="s">
        <v>2127</v>
      </c>
      <c r="DL332" s="776" t="s">
        <v>2127</v>
      </c>
      <c r="DM332" s="776" t="s">
        <v>2127</v>
      </c>
      <c r="DN332" s="776" t="s">
        <v>2127</v>
      </c>
      <c r="DO332" s="776" t="s">
        <v>2127</v>
      </c>
      <c r="DP332" s="776" t="s">
        <v>2127</v>
      </c>
    </row>
    <row r="333" spans="1:120" x14ac:dyDescent="0.2">
      <c r="A333" s="637" t="s">
        <v>2339</v>
      </c>
      <c r="B333" s="772" t="str" cm="1">
        <f t="array" ref="B333">IFERROR(INDEX(Kulturen[HF],_xlfn.AGGREGATE(15,6,(ROW(Kulturen[Auswahl])-7)/(--(SEARCH("x",Kulturen[Auswahl])&gt;0)),ROW()-7),1),"")</f>
        <v>Schafgarbe (Blühhorizont)</v>
      </c>
      <c r="C333" s="772" t="str">
        <f>IF(Kulturen[[#This Row],[HF]]=$D$373,IF($C$6=0,0,"x"),IF($C$6=0,"x",Vorauswahl!C332))</f>
        <v>x</v>
      </c>
      <c r="D333" s="938" t="s">
        <v>2085</v>
      </c>
      <c r="E333" s="938" t="s">
        <v>2085</v>
      </c>
      <c r="F333" s="938" t="s">
        <v>979</v>
      </c>
      <c r="G333" s="938">
        <v>14</v>
      </c>
      <c r="H333" s="938">
        <v>8</v>
      </c>
      <c r="I333" s="938">
        <v>3</v>
      </c>
      <c r="J333" s="938">
        <v>14</v>
      </c>
      <c r="K333" s="938">
        <v>0.11</v>
      </c>
      <c r="L333" s="938">
        <v>0.11</v>
      </c>
      <c r="M333" s="938">
        <v>400</v>
      </c>
      <c r="N333" s="938">
        <v>0</v>
      </c>
      <c r="O333" s="938">
        <v>2</v>
      </c>
      <c r="P333" s="938">
        <v>0</v>
      </c>
      <c r="Q333" s="938">
        <v>210</v>
      </c>
      <c r="R333" s="938">
        <v>40</v>
      </c>
      <c r="S333" s="938">
        <v>21</v>
      </c>
      <c r="T333" s="938">
        <v>21</v>
      </c>
      <c r="U333" s="938">
        <v>0</v>
      </c>
      <c r="V333" s="938">
        <v>1</v>
      </c>
      <c r="W333" s="776">
        <f>IF(Kulturen[[#This Row],[Berechnungsschema]]=13,3,IF(Kulturen[[#This Row],[Berechnungsschema]]=6,2,1))</f>
        <v>1</v>
      </c>
      <c r="X333" s="776">
        <f>IF(Kulturen[[#This Row],[fruchtartengruppe]]=13,Kulturen[[#This Row],[NBedarfswert]],MAX(0,Kulturen[[#This Row],[NBedarfswert]]-Kulturen[[#This Row],[Ertrag]]*Kulturen[[#This Row],[Nfix]]))</f>
        <v>210</v>
      </c>
      <c r="Y333" s="776" t="s">
        <v>2127</v>
      </c>
      <c r="Z333" s="776" t="s">
        <v>2127</v>
      </c>
      <c r="AA333" s="776" t="s">
        <v>2127</v>
      </c>
      <c r="AB333" s="776" t="s">
        <v>2127</v>
      </c>
      <c r="AC333" s="776" t="s">
        <v>2127</v>
      </c>
      <c r="AD333" s="776" t="s">
        <v>2127</v>
      </c>
      <c r="AE333" s="776" t="s">
        <v>2127</v>
      </c>
      <c r="AF333" s="776" t="s">
        <v>2127</v>
      </c>
      <c r="AG333" s="776" t="s">
        <v>2127</v>
      </c>
      <c r="AH333" s="776" t="s">
        <v>2127</v>
      </c>
      <c r="AI333" s="776" t="s">
        <v>2127</v>
      </c>
      <c r="AJ333" s="776" t="s">
        <v>2127</v>
      </c>
      <c r="AK333" s="776" t="s">
        <v>2127</v>
      </c>
      <c r="AL333" s="776" t="s">
        <v>2127</v>
      </c>
      <c r="AM333" s="776" t="s">
        <v>2127</v>
      </c>
      <c r="AN333" s="776" t="s">
        <v>2127</v>
      </c>
      <c r="AO333" s="776" t="s">
        <v>2127</v>
      </c>
      <c r="AP333" s="776" t="s">
        <v>2127</v>
      </c>
      <c r="AQ333" s="776" t="s">
        <v>2127</v>
      </c>
      <c r="AR333" s="776" t="s">
        <v>2127</v>
      </c>
      <c r="AS333" s="776" t="s">
        <v>2127</v>
      </c>
      <c r="AT333" s="776" t="s">
        <v>2127</v>
      </c>
      <c r="AU333" s="776" t="s">
        <v>2127</v>
      </c>
      <c r="AV333" s="776" t="s">
        <v>2127</v>
      </c>
      <c r="AW333" s="776" t="s">
        <v>2127</v>
      </c>
      <c r="AX333" s="776" t="s">
        <v>2127</v>
      </c>
      <c r="AY333" s="776" t="s">
        <v>2127</v>
      </c>
      <c r="AZ333" s="776" t="s">
        <v>2127</v>
      </c>
      <c r="BA333" s="776" t="s">
        <v>2127</v>
      </c>
      <c r="BB333" s="776" t="s">
        <v>2127</v>
      </c>
      <c r="BC333" s="776" t="s">
        <v>2127</v>
      </c>
      <c r="BD333" s="776" t="s">
        <v>2127</v>
      </c>
      <c r="BE333" s="776" t="s">
        <v>2127</v>
      </c>
      <c r="BF333" s="776" t="s">
        <v>2127</v>
      </c>
      <c r="BG333" s="776" t="s">
        <v>2127</v>
      </c>
      <c r="BH333" s="776" t="s">
        <v>2127</v>
      </c>
      <c r="BI333" s="776" t="s">
        <v>2127</v>
      </c>
      <c r="BJ333" s="776" t="s">
        <v>2127</v>
      </c>
      <c r="BK333" s="776" t="s">
        <v>2127</v>
      </c>
      <c r="BL333" s="776" t="s">
        <v>2127</v>
      </c>
      <c r="BM333" s="776" t="s">
        <v>2127</v>
      </c>
      <c r="BN333" s="776" t="s">
        <v>2127</v>
      </c>
      <c r="BO333" s="776" t="s">
        <v>2127</v>
      </c>
      <c r="BP333" s="776" t="s">
        <v>2127</v>
      </c>
      <c r="BQ333" s="776" t="s">
        <v>2127</v>
      </c>
      <c r="BR333" s="776" t="s">
        <v>2127</v>
      </c>
      <c r="BS333" s="776" t="s">
        <v>2127</v>
      </c>
      <c r="BT333" s="776" t="s">
        <v>2127</v>
      </c>
      <c r="BU333" s="776" t="s">
        <v>2127</v>
      </c>
      <c r="BV333" s="776" t="s">
        <v>2127</v>
      </c>
      <c r="BW333" s="776" t="s">
        <v>2127</v>
      </c>
      <c r="BX333" s="776" t="s">
        <v>2127</v>
      </c>
      <c r="BY333" s="776" t="s">
        <v>2127</v>
      </c>
      <c r="BZ333" s="776" t="s">
        <v>2127</v>
      </c>
      <c r="CA333" s="776" t="s">
        <v>2127</v>
      </c>
      <c r="CB333" s="776" t="s">
        <v>2127</v>
      </c>
      <c r="CC333" s="776" t="s">
        <v>2127</v>
      </c>
      <c r="CD333" s="776" t="s">
        <v>2127</v>
      </c>
      <c r="CE333" s="776" t="s">
        <v>2127</v>
      </c>
      <c r="CF333" s="776" t="s">
        <v>2127</v>
      </c>
      <c r="CG333" s="776" t="s">
        <v>2127</v>
      </c>
      <c r="CH333" s="776" t="s">
        <v>2127</v>
      </c>
      <c r="CI333" s="776" t="s">
        <v>2127</v>
      </c>
      <c r="CJ333" s="776" t="s">
        <v>2127</v>
      </c>
      <c r="CK333" s="776" t="s">
        <v>2127</v>
      </c>
      <c r="CL333" s="776" t="s">
        <v>2127</v>
      </c>
      <c r="CM333" s="776" t="s">
        <v>2127</v>
      </c>
      <c r="CN333" s="776" t="s">
        <v>2127</v>
      </c>
      <c r="CO333" s="776" t="s">
        <v>2127</v>
      </c>
      <c r="CP333" s="776" t="s">
        <v>2127</v>
      </c>
      <c r="CQ333" s="776" t="s">
        <v>2127</v>
      </c>
      <c r="CR333" s="776" t="s">
        <v>2127</v>
      </c>
      <c r="CS333" s="776" t="s">
        <v>2127</v>
      </c>
      <c r="CT333" s="776" t="s">
        <v>2127</v>
      </c>
      <c r="CU333" s="776" t="s">
        <v>2127</v>
      </c>
      <c r="CV333" s="776" t="s">
        <v>2127</v>
      </c>
      <c r="CW333" s="776" t="s">
        <v>2127</v>
      </c>
      <c r="CX333" s="776" t="s">
        <v>2127</v>
      </c>
      <c r="CY333" s="776" t="s">
        <v>2127</v>
      </c>
      <c r="CZ333" s="776" t="s">
        <v>2127</v>
      </c>
      <c r="DA333" s="776" t="s">
        <v>2127</v>
      </c>
      <c r="DB333" s="776" t="s">
        <v>2127</v>
      </c>
      <c r="DC333" s="776" t="s">
        <v>2127</v>
      </c>
      <c r="DD333" s="776" t="s">
        <v>2127</v>
      </c>
      <c r="DE333" s="776" t="s">
        <v>2127</v>
      </c>
      <c r="DF333" s="776" t="s">
        <v>2127</v>
      </c>
      <c r="DG333" s="776" t="s">
        <v>2127</v>
      </c>
      <c r="DH333" s="776" t="s">
        <v>2127</v>
      </c>
      <c r="DI333" s="776" t="s">
        <v>2127</v>
      </c>
      <c r="DJ333" s="776" t="s">
        <v>2127</v>
      </c>
      <c r="DK333" s="776" t="s">
        <v>2127</v>
      </c>
      <c r="DL333" s="776" t="s">
        <v>2127</v>
      </c>
      <c r="DM333" s="776" t="s">
        <v>2127</v>
      </c>
      <c r="DN333" s="776" t="s">
        <v>2127</v>
      </c>
      <c r="DO333" s="776" t="s">
        <v>2127</v>
      </c>
      <c r="DP333" s="776" t="s">
        <v>2127</v>
      </c>
    </row>
    <row r="334" spans="1:120" x14ac:dyDescent="0.2">
      <c r="A334" s="637" t="s">
        <v>2340</v>
      </c>
      <c r="B334" s="772" t="str" cm="1">
        <f t="array" ref="B334">IFERROR(INDEX(Kulturen[HF],_xlfn.AGGREGATE(15,6,(ROW(Kulturen[Auswahl])-7)/(--(SEARCH("x",Kulturen[Auswahl])&gt;0)),ROW()-7),1),"")</f>
        <v>Schleifenblume, Bittere (Kraut)</v>
      </c>
      <c r="C334" s="772" t="str">
        <f>IF(Kulturen[[#This Row],[HF]]=$D$373,IF($C$6=0,0,"x"),IF($C$6=0,"x",Vorauswahl!C333))</f>
        <v>x</v>
      </c>
      <c r="D334" s="938" t="s">
        <v>2086</v>
      </c>
      <c r="E334" s="938" t="s">
        <v>2086</v>
      </c>
      <c r="F334" s="938" t="s">
        <v>980</v>
      </c>
      <c r="G334" s="938">
        <v>14</v>
      </c>
      <c r="H334" s="938">
        <v>8</v>
      </c>
      <c r="I334" s="938">
        <v>3</v>
      </c>
      <c r="J334" s="938">
        <v>14</v>
      </c>
      <c r="K334" s="938">
        <v>7.0000000000000007E-2</v>
      </c>
      <c r="L334" s="938">
        <v>7.0000000000000007E-2</v>
      </c>
      <c r="M334" s="938">
        <v>600</v>
      </c>
      <c r="N334" s="938">
        <v>0</v>
      </c>
      <c r="O334" s="938">
        <v>2</v>
      </c>
      <c r="P334" s="938">
        <v>0</v>
      </c>
      <c r="Q334" s="938">
        <v>215</v>
      </c>
      <c r="R334" s="938">
        <v>60</v>
      </c>
      <c r="S334" s="938">
        <v>22</v>
      </c>
      <c r="T334" s="938">
        <v>22</v>
      </c>
      <c r="U334" s="938">
        <v>0</v>
      </c>
      <c r="V334" s="938">
        <v>1</v>
      </c>
      <c r="W334" s="776">
        <f>IF(Kulturen[[#This Row],[Berechnungsschema]]=13,3,IF(Kulturen[[#This Row],[Berechnungsschema]]=6,2,1))</f>
        <v>1</v>
      </c>
      <c r="X334" s="776">
        <f>IF(Kulturen[[#This Row],[fruchtartengruppe]]=13,Kulturen[[#This Row],[NBedarfswert]],MAX(0,Kulturen[[#This Row],[NBedarfswert]]-Kulturen[[#This Row],[Ertrag]]*Kulturen[[#This Row],[Nfix]]))</f>
        <v>215</v>
      </c>
      <c r="Y334" s="776" t="s">
        <v>2127</v>
      </c>
      <c r="Z334" s="776" t="s">
        <v>2127</v>
      </c>
      <c r="AA334" s="776" t="s">
        <v>2127</v>
      </c>
      <c r="AB334" s="776" t="s">
        <v>2127</v>
      </c>
      <c r="AC334" s="776" t="s">
        <v>2127</v>
      </c>
      <c r="AD334" s="776" t="s">
        <v>2127</v>
      </c>
      <c r="AE334" s="776" t="s">
        <v>2127</v>
      </c>
      <c r="AF334" s="776" t="s">
        <v>2127</v>
      </c>
      <c r="AG334" s="776" t="s">
        <v>2127</v>
      </c>
      <c r="AH334" s="776" t="s">
        <v>2127</v>
      </c>
      <c r="AI334" s="776" t="s">
        <v>2127</v>
      </c>
      <c r="AJ334" s="776" t="s">
        <v>2127</v>
      </c>
      <c r="AK334" s="776" t="s">
        <v>2127</v>
      </c>
      <c r="AL334" s="776" t="s">
        <v>2127</v>
      </c>
      <c r="AM334" s="776" t="s">
        <v>2127</v>
      </c>
      <c r="AN334" s="776" t="s">
        <v>2127</v>
      </c>
      <c r="AO334" s="776" t="s">
        <v>2127</v>
      </c>
      <c r="AP334" s="776" t="s">
        <v>2127</v>
      </c>
      <c r="AQ334" s="776" t="s">
        <v>2127</v>
      </c>
      <c r="AR334" s="776" t="s">
        <v>2127</v>
      </c>
      <c r="AS334" s="776" t="s">
        <v>2127</v>
      </c>
      <c r="AT334" s="776" t="s">
        <v>2127</v>
      </c>
      <c r="AU334" s="776" t="s">
        <v>2127</v>
      </c>
      <c r="AV334" s="776" t="s">
        <v>2127</v>
      </c>
      <c r="AW334" s="776" t="s">
        <v>2127</v>
      </c>
      <c r="AX334" s="776" t="s">
        <v>2127</v>
      </c>
      <c r="AY334" s="776" t="s">
        <v>2127</v>
      </c>
      <c r="AZ334" s="776" t="s">
        <v>2127</v>
      </c>
      <c r="BA334" s="776" t="s">
        <v>2127</v>
      </c>
      <c r="BB334" s="776" t="s">
        <v>2127</v>
      </c>
      <c r="BC334" s="776" t="s">
        <v>2127</v>
      </c>
      <c r="BD334" s="776" t="s">
        <v>2127</v>
      </c>
      <c r="BE334" s="776" t="s">
        <v>2127</v>
      </c>
      <c r="BF334" s="776" t="s">
        <v>2127</v>
      </c>
      <c r="BG334" s="776" t="s">
        <v>2127</v>
      </c>
      <c r="BH334" s="776" t="s">
        <v>2127</v>
      </c>
      <c r="BI334" s="776" t="s">
        <v>2127</v>
      </c>
      <c r="BJ334" s="776" t="s">
        <v>2127</v>
      </c>
      <c r="BK334" s="776" t="s">
        <v>2127</v>
      </c>
      <c r="BL334" s="776" t="s">
        <v>2127</v>
      </c>
      <c r="BM334" s="776" t="s">
        <v>2127</v>
      </c>
      <c r="BN334" s="776" t="s">
        <v>2127</v>
      </c>
      <c r="BO334" s="776" t="s">
        <v>2127</v>
      </c>
      <c r="BP334" s="776" t="s">
        <v>2127</v>
      </c>
      <c r="BQ334" s="776" t="s">
        <v>2127</v>
      </c>
      <c r="BR334" s="776" t="s">
        <v>2127</v>
      </c>
      <c r="BS334" s="776" t="s">
        <v>2127</v>
      </c>
      <c r="BT334" s="776" t="s">
        <v>2127</v>
      </c>
      <c r="BU334" s="776" t="s">
        <v>2127</v>
      </c>
      <c r="BV334" s="776" t="s">
        <v>2127</v>
      </c>
      <c r="BW334" s="776" t="s">
        <v>2127</v>
      </c>
      <c r="BX334" s="776" t="s">
        <v>2127</v>
      </c>
      <c r="BY334" s="776" t="s">
        <v>2127</v>
      </c>
      <c r="BZ334" s="776" t="s">
        <v>2127</v>
      </c>
      <c r="CA334" s="776" t="s">
        <v>2127</v>
      </c>
      <c r="CB334" s="776" t="s">
        <v>2127</v>
      </c>
      <c r="CC334" s="776" t="s">
        <v>2127</v>
      </c>
      <c r="CD334" s="776" t="s">
        <v>2127</v>
      </c>
      <c r="CE334" s="776" t="s">
        <v>2127</v>
      </c>
      <c r="CF334" s="776" t="s">
        <v>2127</v>
      </c>
      <c r="CG334" s="776" t="s">
        <v>2127</v>
      </c>
      <c r="CH334" s="776" t="s">
        <v>2127</v>
      </c>
      <c r="CI334" s="776" t="s">
        <v>2127</v>
      </c>
      <c r="CJ334" s="776" t="s">
        <v>2127</v>
      </c>
      <c r="CK334" s="776" t="s">
        <v>2127</v>
      </c>
      <c r="CL334" s="776" t="s">
        <v>2127</v>
      </c>
      <c r="CM334" s="776" t="s">
        <v>2127</v>
      </c>
      <c r="CN334" s="776" t="s">
        <v>2127</v>
      </c>
      <c r="CO334" s="776" t="s">
        <v>2127</v>
      </c>
      <c r="CP334" s="776" t="s">
        <v>2127</v>
      </c>
      <c r="CQ334" s="776" t="s">
        <v>2127</v>
      </c>
      <c r="CR334" s="776" t="s">
        <v>2127</v>
      </c>
      <c r="CS334" s="776" t="s">
        <v>2127</v>
      </c>
      <c r="CT334" s="776" t="s">
        <v>2127</v>
      </c>
      <c r="CU334" s="776" t="s">
        <v>2127</v>
      </c>
      <c r="CV334" s="776" t="s">
        <v>2127</v>
      </c>
      <c r="CW334" s="776" t="s">
        <v>2127</v>
      </c>
      <c r="CX334" s="776" t="s">
        <v>2127</v>
      </c>
      <c r="CY334" s="776" t="s">
        <v>2127</v>
      </c>
      <c r="CZ334" s="776" t="s">
        <v>2127</v>
      </c>
      <c r="DA334" s="776" t="s">
        <v>2127</v>
      </c>
      <c r="DB334" s="776" t="s">
        <v>2127</v>
      </c>
      <c r="DC334" s="776" t="s">
        <v>2127</v>
      </c>
      <c r="DD334" s="776" t="s">
        <v>2127</v>
      </c>
      <c r="DE334" s="776" t="s">
        <v>2127</v>
      </c>
      <c r="DF334" s="776" t="s">
        <v>2127</v>
      </c>
      <c r="DG334" s="776" t="s">
        <v>2127</v>
      </c>
      <c r="DH334" s="776" t="s">
        <v>2127</v>
      </c>
      <c r="DI334" s="776" t="s">
        <v>2127</v>
      </c>
      <c r="DJ334" s="776" t="s">
        <v>2127</v>
      </c>
      <c r="DK334" s="776" t="s">
        <v>2127</v>
      </c>
      <c r="DL334" s="776" t="s">
        <v>2127</v>
      </c>
      <c r="DM334" s="776" t="s">
        <v>2127</v>
      </c>
      <c r="DN334" s="776" t="s">
        <v>2127</v>
      </c>
      <c r="DO334" s="776" t="s">
        <v>2127</v>
      </c>
      <c r="DP334" s="776" t="s">
        <v>2127</v>
      </c>
    </row>
    <row r="335" spans="1:120" x14ac:dyDescent="0.2">
      <c r="A335" s="637" t="s">
        <v>2341</v>
      </c>
      <c r="B335" s="772" t="str" cm="1">
        <f t="array" ref="B335">IFERROR(INDEX(Kulturen[HF],_xlfn.AGGREGATE(15,6,(ROW(Kulturen[Auswahl])-7)/(--(SEARCH("x",Kulturen[Auswahl])&gt;0)),ROW()-7),1),"")</f>
        <v>Schlüsselblume, P.veris, P. vulgaris (Wurzeln)</v>
      </c>
      <c r="C335" s="772" t="str">
        <f>IF(Kulturen[[#This Row],[HF]]=$D$373,IF($C$6=0,0,"x"),IF($C$6=0,"x",Vorauswahl!C334))</f>
        <v>x</v>
      </c>
      <c r="D335" s="938" t="s">
        <v>2087</v>
      </c>
      <c r="E335" s="938" t="s">
        <v>2087</v>
      </c>
      <c r="F335" s="938" t="s">
        <v>981</v>
      </c>
      <c r="G335" s="938">
        <v>14</v>
      </c>
      <c r="H335" s="938">
        <v>8</v>
      </c>
      <c r="I335" s="938">
        <v>1</v>
      </c>
      <c r="J335" s="938">
        <v>14</v>
      </c>
      <c r="K335" s="938">
        <v>0.12</v>
      </c>
      <c r="L335" s="938">
        <v>0.75</v>
      </c>
      <c r="M335" s="938">
        <v>50</v>
      </c>
      <c r="N335" s="938">
        <v>0</v>
      </c>
      <c r="O335" s="938">
        <v>2</v>
      </c>
      <c r="P335" s="938">
        <v>0</v>
      </c>
      <c r="Q335" s="938">
        <v>185</v>
      </c>
      <c r="R335" s="938">
        <v>5</v>
      </c>
      <c r="S335" s="938">
        <v>19</v>
      </c>
      <c r="T335" s="938">
        <v>19</v>
      </c>
      <c r="U335" s="938">
        <v>0</v>
      </c>
      <c r="V335" s="938">
        <v>1</v>
      </c>
      <c r="W335" s="776">
        <f>IF(Kulturen[[#This Row],[Berechnungsschema]]=13,3,IF(Kulturen[[#This Row],[Berechnungsschema]]=6,2,1))</f>
        <v>1</v>
      </c>
      <c r="X335" s="776">
        <f>IF(Kulturen[[#This Row],[fruchtartengruppe]]=13,Kulturen[[#This Row],[NBedarfswert]],MAX(0,Kulturen[[#This Row],[NBedarfswert]]-Kulturen[[#This Row],[Ertrag]]*Kulturen[[#This Row],[Nfix]]))</f>
        <v>185</v>
      </c>
      <c r="Y335" s="776" t="s">
        <v>2127</v>
      </c>
      <c r="Z335" s="776" t="s">
        <v>2127</v>
      </c>
      <c r="AA335" s="776" t="s">
        <v>2127</v>
      </c>
      <c r="AB335" s="776" t="s">
        <v>2127</v>
      </c>
      <c r="AC335" s="776" t="s">
        <v>2127</v>
      </c>
      <c r="AD335" s="776" t="s">
        <v>2127</v>
      </c>
      <c r="AE335" s="776" t="s">
        <v>2127</v>
      </c>
      <c r="AF335" s="776" t="s">
        <v>2127</v>
      </c>
      <c r="AG335" s="776" t="s">
        <v>2127</v>
      </c>
      <c r="AH335" s="776" t="s">
        <v>2127</v>
      </c>
      <c r="AI335" s="776" t="s">
        <v>2127</v>
      </c>
      <c r="AJ335" s="776" t="s">
        <v>2127</v>
      </c>
      <c r="AK335" s="776" t="s">
        <v>2127</v>
      </c>
      <c r="AL335" s="776" t="s">
        <v>2127</v>
      </c>
      <c r="AM335" s="776" t="s">
        <v>2127</v>
      </c>
      <c r="AN335" s="776" t="s">
        <v>2127</v>
      </c>
      <c r="AO335" s="776" t="s">
        <v>2127</v>
      </c>
      <c r="AP335" s="776" t="s">
        <v>2127</v>
      </c>
      <c r="AQ335" s="776" t="s">
        <v>2127</v>
      </c>
      <c r="AR335" s="776" t="s">
        <v>2127</v>
      </c>
      <c r="AS335" s="776" t="s">
        <v>2127</v>
      </c>
      <c r="AT335" s="776" t="s">
        <v>2127</v>
      </c>
      <c r="AU335" s="776" t="s">
        <v>2127</v>
      </c>
      <c r="AV335" s="776" t="s">
        <v>2127</v>
      </c>
      <c r="AW335" s="776" t="s">
        <v>2127</v>
      </c>
      <c r="AX335" s="776" t="s">
        <v>2127</v>
      </c>
      <c r="AY335" s="776" t="s">
        <v>2127</v>
      </c>
      <c r="AZ335" s="776" t="s">
        <v>2127</v>
      </c>
      <c r="BA335" s="776" t="s">
        <v>2127</v>
      </c>
      <c r="BB335" s="776" t="s">
        <v>2127</v>
      </c>
      <c r="BC335" s="776" t="s">
        <v>2127</v>
      </c>
      <c r="BD335" s="776" t="s">
        <v>2127</v>
      </c>
      <c r="BE335" s="776" t="s">
        <v>2127</v>
      </c>
      <c r="BF335" s="776" t="s">
        <v>2127</v>
      </c>
      <c r="BG335" s="776" t="s">
        <v>2127</v>
      </c>
      <c r="BH335" s="776" t="s">
        <v>2127</v>
      </c>
      <c r="BI335" s="776" t="s">
        <v>2127</v>
      </c>
      <c r="BJ335" s="776" t="s">
        <v>2127</v>
      </c>
      <c r="BK335" s="776" t="s">
        <v>2127</v>
      </c>
      <c r="BL335" s="776" t="s">
        <v>2127</v>
      </c>
      <c r="BM335" s="776" t="s">
        <v>2127</v>
      </c>
      <c r="BN335" s="776" t="s">
        <v>2127</v>
      </c>
      <c r="BO335" s="776" t="s">
        <v>2127</v>
      </c>
      <c r="BP335" s="776" t="s">
        <v>2127</v>
      </c>
      <c r="BQ335" s="776" t="s">
        <v>2127</v>
      </c>
      <c r="BR335" s="776" t="s">
        <v>2127</v>
      </c>
      <c r="BS335" s="776" t="s">
        <v>2127</v>
      </c>
      <c r="BT335" s="776" t="s">
        <v>2127</v>
      </c>
      <c r="BU335" s="776" t="s">
        <v>2127</v>
      </c>
      <c r="BV335" s="776" t="s">
        <v>2127</v>
      </c>
      <c r="BW335" s="776" t="s">
        <v>2127</v>
      </c>
      <c r="BX335" s="776" t="s">
        <v>2127</v>
      </c>
      <c r="BY335" s="776" t="s">
        <v>2127</v>
      </c>
      <c r="BZ335" s="776" t="s">
        <v>2127</v>
      </c>
      <c r="CA335" s="776" t="s">
        <v>2127</v>
      </c>
      <c r="CB335" s="776" t="s">
        <v>2127</v>
      </c>
      <c r="CC335" s="776" t="s">
        <v>2127</v>
      </c>
      <c r="CD335" s="776" t="s">
        <v>2127</v>
      </c>
      <c r="CE335" s="776" t="s">
        <v>2127</v>
      </c>
      <c r="CF335" s="776" t="s">
        <v>2127</v>
      </c>
      <c r="CG335" s="776" t="s">
        <v>2127</v>
      </c>
      <c r="CH335" s="776" t="s">
        <v>2127</v>
      </c>
      <c r="CI335" s="776" t="s">
        <v>2127</v>
      </c>
      <c r="CJ335" s="776" t="s">
        <v>2127</v>
      </c>
      <c r="CK335" s="776" t="s">
        <v>2127</v>
      </c>
      <c r="CL335" s="776" t="s">
        <v>2127</v>
      </c>
      <c r="CM335" s="776" t="s">
        <v>2127</v>
      </c>
      <c r="CN335" s="776" t="s">
        <v>2127</v>
      </c>
      <c r="CO335" s="776" t="s">
        <v>2127</v>
      </c>
      <c r="CP335" s="776" t="s">
        <v>2127</v>
      </c>
      <c r="CQ335" s="776" t="s">
        <v>2127</v>
      </c>
      <c r="CR335" s="776" t="s">
        <v>2127</v>
      </c>
      <c r="CS335" s="776" t="s">
        <v>2127</v>
      </c>
      <c r="CT335" s="776" t="s">
        <v>2127</v>
      </c>
      <c r="CU335" s="776" t="s">
        <v>2127</v>
      </c>
      <c r="CV335" s="776" t="s">
        <v>2127</v>
      </c>
      <c r="CW335" s="776" t="s">
        <v>2127</v>
      </c>
      <c r="CX335" s="776" t="s">
        <v>2127</v>
      </c>
      <c r="CY335" s="776" t="s">
        <v>2127</v>
      </c>
      <c r="CZ335" s="776" t="s">
        <v>2127</v>
      </c>
      <c r="DA335" s="776" t="s">
        <v>2127</v>
      </c>
      <c r="DB335" s="776" t="s">
        <v>2127</v>
      </c>
      <c r="DC335" s="776" t="s">
        <v>2127</v>
      </c>
      <c r="DD335" s="776" t="s">
        <v>2127</v>
      </c>
      <c r="DE335" s="776" t="s">
        <v>2127</v>
      </c>
      <c r="DF335" s="776" t="s">
        <v>2127</v>
      </c>
      <c r="DG335" s="776" t="s">
        <v>2127</v>
      </c>
      <c r="DH335" s="776" t="s">
        <v>2127</v>
      </c>
      <c r="DI335" s="776" t="s">
        <v>2127</v>
      </c>
      <c r="DJ335" s="776" t="s">
        <v>2127</v>
      </c>
      <c r="DK335" s="776" t="s">
        <v>2127</v>
      </c>
      <c r="DL335" s="776" t="s">
        <v>2127</v>
      </c>
      <c r="DM335" s="776" t="s">
        <v>2127</v>
      </c>
      <c r="DN335" s="776" t="s">
        <v>2127</v>
      </c>
      <c r="DO335" s="776" t="s">
        <v>2127</v>
      </c>
      <c r="DP335" s="776" t="s">
        <v>2127</v>
      </c>
    </row>
    <row r="336" spans="1:120" x14ac:dyDescent="0.2">
      <c r="A336" s="637"/>
      <c r="B336" s="772" t="str" cm="1">
        <f t="array" ref="B336">IFERROR(INDEX(Kulturen[HF],_xlfn.AGGREGATE(15,6,(ROW(Kulturen[Auswahl])-7)/(--(SEARCH("x",Kulturen[Auswahl])&gt;0)),ROW()-7),1),"")</f>
        <v>Schlüsselblume, P.veris, (Blüten)</v>
      </c>
      <c r="C336" s="772" t="str">
        <f>IF(Kulturen[[#This Row],[HF]]=$D$373,IF($C$6=0,0,"x"),IF($C$6=0,"x",Vorauswahl!C335))</f>
        <v>x</v>
      </c>
      <c r="D336" s="938" t="s">
        <v>2088</v>
      </c>
      <c r="E336" s="938" t="s">
        <v>2088</v>
      </c>
      <c r="F336" s="938" t="s">
        <v>2089</v>
      </c>
      <c r="G336" s="938">
        <v>14</v>
      </c>
      <c r="H336" s="938">
        <v>8</v>
      </c>
      <c r="I336" s="938">
        <v>1</v>
      </c>
      <c r="J336" s="938">
        <v>14</v>
      </c>
      <c r="K336" s="938">
        <v>0.15</v>
      </c>
      <c r="L336" s="938">
        <v>0.15</v>
      </c>
      <c r="M336" s="938">
        <v>50</v>
      </c>
      <c r="N336" s="938">
        <v>0</v>
      </c>
      <c r="O336" s="938">
        <v>1</v>
      </c>
      <c r="P336" s="938">
        <v>0</v>
      </c>
      <c r="Q336" s="938">
        <v>50</v>
      </c>
      <c r="R336" s="938">
        <v>5</v>
      </c>
      <c r="S336" s="938">
        <v>3</v>
      </c>
      <c r="T336" s="938">
        <v>3</v>
      </c>
      <c r="U336" s="938">
        <v>0</v>
      </c>
      <c r="V336" s="938">
        <v>1</v>
      </c>
      <c r="W336" s="776">
        <f>IF(Kulturen[[#This Row],[Berechnungsschema]]=13,3,IF(Kulturen[[#This Row],[Berechnungsschema]]=6,2,1))</f>
        <v>1</v>
      </c>
      <c r="X336" s="776">
        <f>IF(Kulturen[[#This Row],[fruchtartengruppe]]=13,Kulturen[[#This Row],[NBedarfswert]],MAX(0,Kulturen[[#This Row],[NBedarfswert]]-Kulturen[[#This Row],[Ertrag]]*Kulturen[[#This Row],[Nfix]]))</f>
        <v>50</v>
      </c>
      <c r="Y336" s="776" t="s">
        <v>2127</v>
      </c>
      <c r="Z336" s="776" t="s">
        <v>2127</v>
      </c>
      <c r="AA336" s="776" t="s">
        <v>2127</v>
      </c>
      <c r="AB336" s="776" t="s">
        <v>2127</v>
      </c>
      <c r="AC336" s="776" t="s">
        <v>2127</v>
      </c>
      <c r="AD336" s="776" t="s">
        <v>2127</v>
      </c>
      <c r="AE336" s="776" t="s">
        <v>2127</v>
      </c>
      <c r="AF336" s="776" t="s">
        <v>2127</v>
      </c>
      <c r="AG336" s="776" t="s">
        <v>2127</v>
      </c>
      <c r="AH336" s="776" t="s">
        <v>2127</v>
      </c>
      <c r="AI336" s="776" t="s">
        <v>2127</v>
      </c>
      <c r="AJ336" s="776" t="s">
        <v>2127</v>
      </c>
      <c r="AK336" s="776" t="s">
        <v>2127</v>
      </c>
      <c r="AL336" s="776" t="s">
        <v>2127</v>
      </c>
      <c r="AM336" s="776" t="s">
        <v>2127</v>
      </c>
      <c r="AN336" s="776" t="s">
        <v>2127</v>
      </c>
      <c r="AO336" s="776" t="s">
        <v>2127</v>
      </c>
      <c r="AP336" s="776" t="s">
        <v>2127</v>
      </c>
      <c r="AQ336" s="776" t="s">
        <v>2127</v>
      </c>
      <c r="AR336" s="776" t="s">
        <v>2127</v>
      </c>
      <c r="AS336" s="776" t="s">
        <v>2127</v>
      </c>
      <c r="AT336" s="776" t="s">
        <v>2127</v>
      </c>
      <c r="AU336" s="776" t="s">
        <v>2127</v>
      </c>
      <c r="AV336" s="776" t="s">
        <v>2127</v>
      </c>
      <c r="AW336" s="776" t="s">
        <v>2127</v>
      </c>
      <c r="AX336" s="776" t="s">
        <v>2127</v>
      </c>
      <c r="AY336" s="776" t="s">
        <v>2127</v>
      </c>
      <c r="AZ336" s="776" t="s">
        <v>2127</v>
      </c>
      <c r="BA336" s="776" t="s">
        <v>2127</v>
      </c>
      <c r="BB336" s="776" t="s">
        <v>2127</v>
      </c>
      <c r="BC336" s="776" t="s">
        <v>2127</v>
      </c>
      <c r="BD336" s="776" t="s">
        <v>2127</v>
      </c>
      <c r="BE336" s="776" t="s">
        <v>2127</v>
      </c>
      <c r="BF336" s="776" t="s">
        <v>2127</v>
      </c>
      <c r="BG336" s="776" t="s">
        <v>2127</v>
      </c>
      <c r="BH336" s="776" t="s">
        <v>2127</v>
      </c>
      <c r="BI336" s="776" t="s">
        <v>2127</v>
      </c>
      <c r="BJ336" s="776" t="s">
        <v>2127</v>
      </c>
      <c r="BK336" s="776" t="s">
        <v>2127</v>
      </c>
      <c r="BL336" s="776" t="s">
        <v>2127</v>
      </c>
      <c r="BM336" s="776" t="s">
        <v>2127</v>
      </c>
      <c r="BN336" s="776" t="s">
        <v>2127</v>
      </c>
      <c r="BO336" s="776" t="s">
        <v>2127</v>
      </c>
      <c r="BP336" s="776" t="s">
        <v>2127</v>
      </c>
      <c r="BQ336" s="776" t="s">
        <v>2127</v>
      </c>
      <c r="BR336" s="776" t="s">
        <v>2127</v>
      </c>
      <c r="BS336" s="776" t="s">
        <v>2127</v>
      </c>
      <c r="BT336" s="776" t="s">
        <v>2127</v>
      </c>
      <c r="BU336" s="776" t="s">
        <v>2127</v>
      </c>
      <c r="BV336" s="776" t="s">
        <v>2127</v>
      </c>
      <c r="BW336" s="776" t="s">
        <v>2127</v>
      </c>
      <c r="BX336" s="776" t="s">
        <v>2127</v>
      </c>
      <c r="BY336" s="776" t="s">
        <v>2127</v>
      </c>
      <c r="BZ336" s="776" t="s">
        <v>2127</v>
      </c>
      <c r="CA336" s="776" t="s">
        <v>2127</v>
      </c>
      <c r="CB336" s="776" t="s">
        <v>2127</v>
      </c>
      <c r="CC336" s="776" t="s">
        <v>2127</v>
      </c>
      <c r="CD336" s="776" t="s">
        <v>2127</v>
      </c>
      <c r="CE336" s="776" t="s">
        <v>2127</v>
      </c>
      <c r="CF336" s="776" t="s">
        <v>2127</v>
      </c>
      <c r="CG336" s="776" t="s">
        <v>2127</v>
      </c>
      <c r="CH336" s="776" t="s">
        <v>2127</v>
      </c>
      <c r="CI336" s="776" t="s">
        <v>2127</v>
      </c>
      <c r="CJ336" s="776" t="s">
        <v>2127</v>
      </c>
      <c r="CK336" s="776" t="s">
        <v>2127</v>
      </c>
      <c r="CL336" s="776" t="s">
        <v>2127</v>
      </c>
      <c r="CM336" s="776" t="s">
        <v>2127</v>
      </c>
      <c r="CN336" s="776" t="s">
        <v>2127</v>
      </c>
      <c r="CO336" s="776" t="s">
        <v>2127</v>
      </c>
      <c r="CP336" s="776" t="s">
        <v>2127</v>
      </c>
      <c r="CQ336" s="776" t="s">
        <v>2127</v>
      </c>
      <c r="CR336" s="776" t="s">
        <v>2127</v>
      </c>
      <c r="CS336" s="776" t="s">
        <v>2127</v>
      </c>
      <c r="CT336" s="776" t="s">
        <v>2127</v>
      </c>
      <c r="CU336" s="776" t="s">
        <v>2127</v>
      </c>
      <c r="CV336" s="776" t="s">
        <v>2127</v>
      </c>
      <c r="CW336" s="776" t="s">
        <v>2127</v>
      </c>
      <c r="CX336" s="776" t="s">
        <v>2127</v>
      </c>
      <c r="CY336" s="776" t="s">
        <v>2127</v>
      </c>
      <c r="CZ336" s="776" t="s">
        <v>2127</v>
      </c>
      <c r="DA336" s="776" t="s">
        <v>2127</v>
      </c>
      <c r="DB336" s="776" t="s">
        <v>2127</v>
      </c>
      <c r="DC336" s="776" t="s">
        <v>2127</v>
      </c>
      <c r="DD336" s="776" t="s">
        <v>2127</v>
      </c>
      <c r="DE336" s="776" t="s">
        <v>2127</v>
      </c>
      <c r="DF336" s="776" t="s">
        <v>2127</v>
      </c>
      <c r="DG336" s="776" t="s">
        <v>2127</v>
      </c>
      <c r="DH336" s="776" t="s">
        <v>2127</v>
      </c>
      <c r="DI336" s="776" t="s">
        <v>2127</v>
      </c>
      <c r="DJ336" s="776" t="s">
        <v>2127</v>
      </c>
      <c r="DK336" s="776" t="s">
        <v>2127</v>
      </c>
      <c r="DL336" s="776" t="s">
        <v>2127</v>
      </c>
      <c r="DM336" s="776" t="s">
        <v>2127</v>
      </c>
      <c r="DN336" s="776" t="s">
        <v>2127</v>
      </c>
      <c r="DO336" s="776" t="s">
        <v>2127</v>
      </c>
      <c r="DP336" s="776" t="s">
        <v>2127</v>
      </c>
    </row>
    <row r="337" spans="1:120" x14ac:dyDescent="0.2">
      <c r="A337" s="637" t="s">
        <v>2342</v>
      </c>
      <c r="B337" s="772" t="str" cm="1">
        <f t="array" ref="B337">IFERROR(INDEX(Kulturen[HF],_xlfn.AGGREGATE(15,6,(ROW(Kulturen[Auswahl])-7)/(--(SEARCH("x",Kulturen[Auswahl])&gt;0)),ROW()-7),1),"")</f>
        <v>Schnittknoblauch (Kraut)</v>
      </c>
      <c r="C337" s="772" t="str">
        <f>IF(Kulturen[[#This Row],[HF]]=$D$373,IF($C$6=0,0,"x"),IF($C$6=0,"x",Vorauswahl!C336))</f>
        <v>x</v>
      </c>
      <c r="D337" s="938" t="s">
        <v>2090</v>
      </c>
      <c r="E337" s="938" t="s">
        <v>2090</v>
      </c>
      <c r="F337" s="938" t="s">
        <v>982</v>
      </c>
      <c r="G337" s="938">
        <v>14</v>
      </c>
      <c r="H337" s="938">
        <v>8</v>
      </c>
      <c r="I337" s="938">
        <v>3</v>
      </c>
      <c r="J337" s="938">
        <v>14</v>
      </c>
      <c r="K337" s="938">
        <v>0.09</v>
      </c>
      <c r="L337" s="938">
        <v>0.09</v>
      </c>
      <c r="M337" s="938">
        <v>80</v>
      </c>
      <c r="N337" s="938">
        <v>0</v>
      </c>
      <c r="O337" s="938">
        <v>2</v>
      </c>
      <c r="P337" s="938">
        <v>0</v>
      </c>
      <c r="Q337" s="938">
        <v>65</v>
      </c>
      <c r="R337" s="938">
        <v>8</v>
      </c>
      <c r="S337" s="938">
        <v>7</v>
      </c>
      <c r="T337" s="938">
        <v>7</v>
      </c>
      <c r="U337" s="938">
        <v>0</v>
      </c>
      <c r="V337" s="938">
        <v>1</v>
      </c>
      <c r="W337" s="776">
        <f>IF(Kulturen[[#This Row],[Berechnungsschema]]=13,3,IF(Kulturen[[#This Row],[Berechnungsschema]]=6,2,1))</f>
        <v>1</v>
      </c>
      <c r="X337" s="776">
        <f>IF(Kulturen[[#This Row],[fruchtartengruppe]]=13,Kulturen[[#This Row],[NBedarfswert]],MAX(0,Kulturen[[#This Row],[NBedarfswert]]-Kulturen[[#This Row],[Ertrag]]*Kulturen[[#This Row],[Nfix]]))</f>
        <v>65</v>
      </c>
      <c r="Y337" s="776" t="s">
        <v>2127</v>
      </c>
      <c r="Z337" s="776" t="s">
        <v>2127</v>
      </c>
      <c r="AA337" s="776" t="s">
        <v>2127</v>
      </c>
      <c r="AB337" s="776" t="s">
        <v>2127</v>
      </c>
      <c r="AC337" s="776" t="s">
        <v>2127</v>
      </c>
      <c r="AD337" s="776" t="s">
        <v>2127</v>
      </c>
      <c r="AE337" s="776" t="s">
        <v>2127</v>
      </c>
      <c r="AF337" s="776" t="s">
        <v>2127</v>
      </c>
      <c r="AG337" s="776" t="s">
        <v>2127</v>
      </c>
      <c r="AH337" s="776" t="s">
        <v>2127</v>
      </c>
      <c r="AI337" s="776" t="s">
        <v>2127</v>
      </c>
      <c r="AJ337" s="776" t="s">
        <v>2127</v>
      </c>
      <c r="AK337" s="776" t="s">
        <v>2127</v>
      </c>
      <c r="AL337" s="776" t="s">
        <v>2127</v>
      </c>
      <c r="AM337" s="776" t="s">
        <v>2127</v>
      </c>
      <c r="AN337" s="776" t="s">
        <v>2127</v>
      </c>
      <c r="AO337" s="776" t="s">
        <v>2127</v>
      </c>
      <c r="AP337" s="776" t="s">
        <v>2127</v>
      </c>
      <c r="AQ337" s="776" t="s">
        <v>2127</v>
      </c>
      <c r="AR337" s="776" t="s">
        <v>2127</v>
      </c>
      <c r="AS337" s="776" t="s">
        <v>2127</v>
      </c>
      <c r="AT337" s="776" t="s">
        <v>2127</v>
      </c>
      <c r="AU337" s="776" t="s">
        <v>2127</v>
      </c>
      <c r="AV337" s="776" t="s">
        <v>2127</v>
      </c>
      <c r="AW337" s="776" t="s">
        <v>2127</v>
      </c>
      <c r="AX337" s="776" t="s">
        <v>2127</v>
      </c>
      <c r="AY337" s="776" t="s">
        <v>2127</v>
      </c>
      <c r="AZ337" s="776" t="s">
        <v>2127</v>
      </c>
      <c r="BA337" s="776" t="s">
        <v>2127</v>
      </c>
      <c r="BB337" s="776" t="s">
        <v>2127</v>
      </c>
      <c r="BC337" s="776" t="s">
        <v>2127</v>
      </c>
      <c r="BD337" s="776" t="s">
        <v>2127</v>
      </c>
      <c r="BE337" s="776" t="s">
        <v>2127</v>
      </c>
      <c r="BF337" s="776" t="s">
        <v>2127</v>
      </c>
      <c r="BG337" s="776" t="s">
        <v>2127</v>
      </c>
      <c r="BH337" s="776" t="s">
        <v>2127</v>
      </c>
      <c r="BI337" s="776" t="s">
        <v>2127</v>
      </c>
      <c r="BJ337" s="776" t="s">
        <v>2127</v>
      </c>
      <c r="BK337" s="776" t="s">
        <v>2127</v>
      </c>
      <c r="BL337" s="776" t="s">
        <v>2127</v>
      </c>
      <c r="BM337" s="776" t="s">
        <v>2127</v>
      </c>
      <c r="BN337" s="776" t="s">
        <v>2127</v>
      </c>
      <c r="BO337" s="776" t="s">
        <v>2127</v>
      </c>
      <c r="BP337" s="776" t="s">
        <v>2127</v>
      </c>
      <c r="BQ337" s="776" t="s">
        <v>2127</v>
      </c>
      <c r="BR337" s="776" t="s">
        <v>2127</v>
      </c>
      <c r="BS337" s="776" t="s">
        <v>2127</v>
      </c>
      <c r="BT337" s="776" t="s">
        <v>2127</v>
      </c>
      <c r="BU337" s="776" t="s">
        <v>2127</v>
      </c>
      <c r="BV337" s="776" t="s">
        <v>2127</v>
      </c>
      <c r="BW337" s="776" t="s">
        <v>2127</v>
      </c>
      <c r="BX337" s="776" t="s">
        <v>2127</v>
      </c>
      <c r="BY337" s="776" t="s">
        <v>2127</v>
      </c>
      <c r="BZ337" s="776" t="s">
        <v>2127</v>
      </c>
      <c r="CA337" s="776" t="s">
        <v>2127</v>
      </c>
      <c r="CB337" s="776" t="s">
        <v>2127</v>
      </c>
      <c r="CC337" s="776" t="s">
        <v>2127</v>
      </c>
      <c r="CD337" s="776" t="s">
        <v>2127</v>
      </c>
      <c r="CE337" s="776" t="s">
        <v>2127</v>
      </c>
      <c r="CF337" s="776" t="s">
        <v>2127</v>
      </c>
      <c r="CG337" s="776" t="s">
        <v>2127</v>
      </c>
      <c r="CH337" s="776" t="s">
        <v>2127</v>
      </c>
      <c r="CI337" s="776" t="s">
        <v>2127</v>
      </c>
      <c r="CJ337" s="776" t="s">
        <v>2127</v>
      </c>
      <c r="CK337" s="776" t="s">
        <v>2127</v>
      </c>
      <c r="CL337" s="776" t="s">
        <v>2127</v>
      </c>
      <c r="CM337" s="776" t="s">
        <v>2127</v>
      </c>
      <c r="CN337" s="776" t="s">
        <v>2127</v>
      </c>
      <c r="CO337" s="776" t="s">
        <v>2127</v>
      </c>
      <c r="CP337" s="776" t="s">
        <v>2127</v>
      </c>
      <c r="CQ337" s="776" t="s">
        <v>2127</v>
      </c>
      <c r="CR337" s="776" t="s">
        <v>2127</v>
      </c>
      <c r="CS337" s="776" t="s">
        <v>2127</v>
      </c>
      <c r="CT337" s="776" t="s">
        <v>2127</v>
      </c>
      <c r="CU337" s="776" t="s">
        <v>2127</v>
      </c>
      <c r="CV337" s="776" t="s">
        <v>2127</v>
      </c>
      <c r="CW337" s="776" t="s">
        <v>2127</v>
      </c>
      <c r="CX337" s="776" t="s">
        <v>2127</v>
      </c>
      <c r="CY337" s="776" t="s">
        <v>2127</v>
      </c>
      <c r="CZ337" s="776" t="s">
        <v>2127</v>
      </c>
      <c r="DA337" s="776" t="s">
        <v>2127</v>
      </c>
      <c r="DB337" s="776" t="s">
        <v>2127</v>
      </c>
      <c r="DC337" s="776" t="s">
        <v>2127</v>
      </c>
      <c r="DD337" s="776" t="s">
        <v>2127</v>
      </c>
      <c r="DE337" s="776" t="s">
        <v>2127</v>
      </c>
      <c r="DF337" s="776" t="s">
        <v>2127</v>
      </c>
      <c r="DG337" s="776" t="s">
        <v>2127</v>
      </c>
      <c r="DH337" s="776" t="s">
        <v>2127</v>
      </c>
      <c r="DI337" s="776" t="s">
        <v>2127</v>
      </c>
      <c r="DJ337" s="776" t="s">
        <v>2127</v>
      </c>
      <c r="DK337" s="776" t="s">
        <v>2127</v>
      </c>
      <c r="DL337" s="776" t="s">
        <v>2127</v>
      </c>
      <c r="DM337" s="776" t="s">
        <v>2127</v>
      </c>
      <c r="DN337" s="776" t="s">
        <v>2127</v>
      </c>
      <c r="DO337" s="776" t="s">
        <v>2127</v>
      </c>
      <c r="DP337" s="776" t="s">
        <v>2127</v>
      </c>
    </row>
    <row r="338" spans="1:120" x14ac:dyDescent="0.2">
      <c r="A338" s="637" t="s">
        <v>2343</v>
      </c>
      <c r="B338" s="772" t="str" cm="1">
        <f t="array" ref="B338">IFERROR(INDEX(Kulturen[HF],_xlfn.AGGREGATE(15,6,(ROW(Kulturen[Auswahl])-7)/(--(SEARCH("x",Kulturen[Auswahl])&gt;0)),ROW()-7),1),"")</f>
        <v>Schnittlauch (Kraut, bis 1. Schnitt)</v>
      </c>
      <c r="C338" s="772" t="str">
        <f>IF(Kulturen[[#This Row],[HF]]=$D$373,IF($C$6=0,0,"x"),IF($C$6=0,"x",Vorauswahl!C337))</f>
        <v>x</v>
      </c>
      <c r="D338" s="938" t="s">
        <v>2091</v>
      </c>
      <c r="E338" s="938" t="s">
        <v>2091</v>
      </c>
      <c r="F338" s="938" t="s">
        <v>983</v>
      </c>
      <c r="G338" s="938">
        <v>14</v>
      </c>
      <c r="H338" s="938">
        <v>8</v>
      </c>
      <c r="I338" s="938">
        <v>1</v>
      </c>
      <c r="J338" s="938">
        <v>14</v>
      </c>
      <c r="K338" s="938">
        <v>0.13</v>
      </c>
      <c r="L338" s="938">
        <v>0.28000000000000003</v>
      </c>
      <c r="M338" s="938">
        <v>200</v>
      </c>
      <c r="N338" s="938">
        <v>0</v>
      </c>
      <c r="O338" s="938">
        <v>1</v>
      </c>
      <c r="P338" s="938">
        <v>0</v>
      </c>
      <c r="Q338" s="938">
        <v>175</v>
      </c>
      <c r="R338" s="938">
        <v>20</v>
      </c>
      <c r="S338" s="938">
        <v>18</v>
      </c>
      <c r="T338" s="938">
        <v>18</v>
      </c>
      <c r="U338" s="938">
        <v>0</v>
      </c>
      <c r="V338" s="938">
        <v>1</v>
      </c>
      <c r="W338" s="776">
        <f>IF(Kulturen[[#This Row],[Berechnungsschema]]=13,3,IF(Kulturen[[#This Row],[Berechnungsschema]]=6,2,1))</f>
        <v>1</v>
      </c>
      <c r="X338" s="776">
        <f>IF(Kulturen[[#This Row],[fruchtartengruppe]]=13,Kulturen[[#This Row],[NBedarfswert]],MAX(0,Kulturen[[#This Row],[NBedarfswert]]-Kulturen[[#This Row],[Ertrag]]*Kulturen[[#This Row],[Nfix]]))</f>
        <v>175</v>
      </c>
      <c r="Y338" s="776" t="s">
        <v>2127</v>
      </c>
      <c r="Z338" s="776" t="s">
        <v>2127</v>
      </c>
      <c r="AA338" s="776" t="s">
        <v>2127</v>
      </c>
      <c r="AB338" s="776" t="s">
        <v>2127</v>
      </c>
      <c r="AC338" s="776" t="s">
        <v>2127</v>
      </c>
      <c r="AD338" s="776" t="s">
        <v>2127</v>
      </c>
      <c r="AE338" s="776" t="s">
        <v>2127</v>
      </c>
      <c r="AF338" s="776" t="s">
        <v>2127</v>
      </c>
      <c r="AG338" s="776" t="s">
        <v>2127</v>
      </c>
      <c r="AH338" s="776" t="s">
        <v>2127</v>
      </c>
      <c r="AI338" s="776" t="s">
        <v>2127</v>
      </c>
      <c r="AJ338" s="776" t="s">
        <v>2127</v>
      </c>
      <c r="AK338" s="776" t="s">
        <v>2127</v>
      </c>
      <c r="AL338" s="776" t="s">
        <v>2127</v>
      </c>
      <c r="AM338" s="776" t="s">
        <v>2127</v>
      </c>
      <c r="AN338" s="776" t="s">
        <v>2127</v>
      </c>
      <c r="AO338" s="776" t="s">
        <v>2127</v>
      </c>
      <c r="AP338" s="776" t="s">
        <v>2127</v>
      </c>
      <c r="AQ338" s="776" t="s">
        <v>2127</v>
      </c>
      <c r="AR338" s="776" t="s">
        <v>2127</v>
      </c>
      <c r="AS338" s="776" t="s">
        <v>2127</v>
      </c>
      <c r="AT338" s="776" t="s">
        <v>2127</v>
      </c>
      <c r="AU338" s="776" t="s">
        <v>2127</v>
      </c>
      <c r="AV338" s="776" t="s">
        <v>2127</v>
      </c>
      <c r="AW338" s="776" t="s">
        <v>2127</v>
      </c>
      <c r="AX338" s="776" t="s">
        <v>2127</v>
      </c>
      <c r="AY338" s="776" t="s">
        <v>2127</v>
      </c>
      <c r="AZ338" s="776" t="s">
        <v>2127</v>
      </c>
      <c r="BA338" s="776" t="s">
        <v>2127</v>
      </c>
      <c r="BB338" s="776" t="s">
        <v>2127</v>
      </c>
      <c r="BC338" s="776" t="s">
        <v>2127</v>
      </c>
      <c r="BD338" s="776" t="s">
        <v>2127</v>
      </c>
      <c r="BE338" s="776" t="s">
        <v>2127</v>
      </c>
      <c r="BF338" s="776" t="s">
        <v>2127</v>
      </c>
      <c r="BG338" s="776" t="s">
        <v>2127</v>
      </c>
      <c r="BH338" s="776" t="s">
        <v>2127</v>
      </c>
      <c r="BI338" s="776" t="s">
        <v>2127</v>
      </c>
      <c r="BJ338" s="776" t="s">
        <v>2127</v>
      </c>
      <c r="BK338" s="776" t="s">
        <v>2127</v>
      </c>
      <c r="BL338" s="776" t="s">
        <v>2127</v>
      </c>
      <c r="BM338" s="776" t="s">
        <v>2127</v>
      </c>
      <c r="BN338" s="776" t="s">
        <v>2127</v>
      </c>
      <c r="BO338" s="776" t="s">
        <v>2127</v>
      </c>
      <c r="BP338" s="776" t="s">
        <v>2127</v>
      </c>
      <c r="BQ338" s="776" t="s">
        <v>2127</v>
      </c>
      <c r="BR338" s="776" t="s">
        <v>2127</v>
      </c>
      <c r="BS338" s="776" t="s">
        <v>2127</v>
      </c>
      <c r="BT338" s="776" t="s">
        <v>2127</v>
      </c>
      <c r="BU338" s="776" t="s">
        <v>2127</v>
      </c>
      <c r="BV338" s="776" t="s">
        <v>2127</v>
      </c>
      <c r="BW338" s="776" t="s">
        <v>2127</v>
      </c>
      <c r="BX338" s="776" t="s">
        <v>2127</v>
      </c>
      <c r="BY338" s="776" t="s">
        <v>2127</v>
      </c>
      <c r="BZ338" s="776" t="s">
        <v>2127</v>
      </c>
      <c r="CA338" s="776" t="s">
        <v>2127</v>
      </c>
      <c r="CB338" s="776" t="s">
        <v>2127</v>
      </c>
      <c r="CC338" s="776" t="s">
        <v>2127</v>
      </c>
      <c r="CD338" s="776" t="s">
        <v>2127</v>
      </c>
      <c r="CE338" s="776" t="s">
        <v>2127</v>
      </c>
      <c r="CF338" s="776" t="s">
        <v>2127</v>
      </c>
      <c r="CG338" s="776" t="s">
        <v>2127</v>
      </c>
      <c r="CH338" s="776" t="s">
        <v>2127</v>
      </c>
      <c r="CI338" s="776" t="s">
        <v>2127</v>
      </c>
      <c r="CJ338" s="776" t="s">
        <v>2127</v>
      </c>
      <c r="CK338" s="776" t="s">
        <v>2127</v>
      </c>
      <c r="CL338" s="776" t="s">
        <v>2127</v>
      </c>
      <c r="CM338" s="776" t="s">
        <v>2127</v>
      </c>
      <c r="CN338" s="776" t="s">
        <v>2127</v>
      </c>
      <c r="CO338" s="776" t="s">
        <v>2127</v>
      </c>
      <c r="CP338" s="776" t="s">
        <v>2127</v>
      </c>
      <c r="CQ338" s="776" t="s">
        <v>2127</v>
      </c>
      <c r="CR338" s="776" t="s">
        <v>2127</v>
      </c>
      <c r="CS338" s="776" t="s">
        <v>2127</v>
      </c>
      <c r="CT338" s="776" t="s">
        <v>2127</v>
      </c>
      <c r="CU338" s="776" t="s">
        <v>2127</v>
      </c>
      <c r="CV338" s="776" t="s">
        <v>2127</v>
      </c>
      <c r="CW338" s="776" t="s">
        <v>2127</v>
      </c>
      <c r="CX338" s="776" t="s">
        <v>2127</v>
      </c>
      <c r="CY338" s="776" t="s">
        <v>2127</v>
      </c>
      <c r="CZ338" s="776" t="s">
        <v>2127</v>
      </c>
      <c r="DA338" s="776" t="s">
        <v>2127</v>
      </c>
      <c r="DB338" s="776" t="s">
        <v>2127</v>
      </c>
      <c r="DC338" s="776" t="s">
        <v>2127</v>
      </c>
      <c r="DD338" s="776" t="s">
        <v>2127</v>
      </c>
      <c r="DE338" s="776" t="s">
        <v>2127</v>
      </c>
      <c r="DF338" s="776" t="s">
        <v>2127</v>
      </c>
      <c r="DG338" s="776" t="s">
        <v>2127</v>
      </c>
      <c r="DH338" s="776" t="s">
        <v>2127</v>
      </c>
      <c r="DI338" s="776" t="s">
        <v>2127</v>
      </c>
      <c r="DJ338" s="776" t="s">
        <v>2127</v>
      </c>
      <c r="DK338" s="776" t="s">
        <v>2127</v>
      </c>
      <c r="DL338" s="776" t="s">
        <v>2127</v>
      </c>
      <c r="DM338" s="776" t="s">
        <v>2127</v>
      </c>
      <c r="DN338" s="776" t="s">
        <v>2127</v>
      </c>
      <c r="DO338" s="776" t="s">
        <v>2127</v>
      </c>
      <c r="DP338" s="776" t="s">
        <v>2127</v>
      </c>
    </row>
    <row r="339" spans="1:120" x14ac:dyDescent="0.2">
      <c r="A339" s="637" t="s">
        <v>2344</v>
      </c>
      <c r="B339" s="772" t="str" cm="1">
        <f t="array" ref="B339">IFERROR(INDEX(Kulturen[HF],_xlfn.AGGREGATE(15,6,(ROW(Kulturen[Auswahl])-7)/(--(SEARCH("x",Kulturen[Auswahl])&gt;0)),ROW()-7),1),"")</f>
        <v>Schnittlauch (Kraut, nach 1 Schnitt)</v>
      </c>
      <c r="C339" s="772" t="str">
        <f>IF(Kulturen[[#This Row],[HF]]=$D$373,IF($C$6=0,0,"x"),IF($C$6=0,"x",Vorauswahl!C338))</f>
        <v>x</v>
      </c>
      <c r="D339" s="938" t="s">
        <v>2092</v>
      </c>
      <c r="E339" s="938" t="s">
        <v>2092</v>
      </c>
      <c r="F339" s="938" t="s">
        <v>984</v>
      </c>
      <c r="G339" s="938">
        <v>14</v>
      </c>
      <c r="H339" s="938">
        <v>8</v>
      </c>
      <c r="I339" s="938">
        <v>3</v>
      </c>
      <c r="J339" s="938">
        <v>14</v>
      </c>
      <c r="K339" s="938">
        <v>0.11</v>
      </c>
      <c r="L339" s="938">
        <v>0.11</v>
      </c>
      <c r="M339" s="938">
        <v>350</v>
      </c>
      <c r="N339" s="938">
        <v>0</v>
      </c>
      <c r="O339" s="938">
        <v>2</v>
      </c>
      <c r="P339" s="938">
        <v>0</v>
      </c>
      <c r="Q339" s="938">
        <v>210</v>
      </c>
      <c r="R339" s="938">
        <v>35</v>
      </c>
      <c r="S339" s="938">
        <v>21</v>
      </c>
      <c r="T339" s="938">
        <v>21</v>
      </c>
      <c r="U339" s="938">
        <v>0</v>
      </c>
      <c r="V339" s="938">
        <v>1</v>
      </c>
      <c r="W339" s="776">
        <f>IF(Kulturen[[#This Row],[Berechnungsschema]]=13,3,IF(Kulturen[[#This Row],[Berechnungsschema]]=6,2,1))</f>
        <v>1</v>
      </c>
      <c r="X339" s="776">
        <f>IF(Kulturen[[#This Row],[fruchtartengruppe]]=13,Kulturen[[#This Row],[NBedarfswert]],MAX(0,Kulturen[[#This Row],[NBedarfswert]]-Kulturen[[#This Row],[Ertrag]]*Kulturen[[#This Row],[Nfix]]))</f>
        <v>210</v>
      </c>
      <c r="Y339" s="776" t="s">
        <v>2127</v>
      </c>
      <c r="Z339" s="776" t="s">
        <v>2127</v>
      </c>
      <c r="AA339" s="776" t="s">
        <v>2127</v>
      </c>
      <c r="AB339" s="776" t="s">
        <v>2127</v>
      </c>
      <c r="AC339" s="776" t="s">
        <v>2127</v>
      </c>
      <c r="AD339" s="776" t="s">
        <v>2127</v>
      </c>
      <c r="AE339" s="776" t="s">
        <v>2127</v>
      </c>
      <c r="AF339" s="776" t="s">
        <v>2127</v>
      </c>
      <c r="AG339" s="776" t="s">
        <v>2127</v>
      </c>
      <c r="AH339" s="776" t="s">
        <v>2127</v>
      </c>
      <c r="AI339" s="776" t="s">
        <v>2127</v>
      </c>
      <c r="AJ339" s="776" t="s">
        <v>2127</v>
      </c>
      <c r="AK339" s="776" t="s">
        <v>2127</v>
      </c>
      <c r="AL339" s="776" t="s">
        <v>2127</v>
      </c>
      <c r="AM339" s="776" t="s">
        <v>2127</v>
      </c>
      <c r="AN339" s="776" t="s">
        <v>2127</v>
      </c>
      <c r="AO339" s="776" t="s">
        <v>2127</v>
      </c>
      <c r="AP339" s="776" t="s">
        <v>2127</v>
      </c>
      <c r="AQ339" s="776" t="s">
        <v>2127</v>
      </c>
      <c r="AR339" s="776" t="s">
        <v>2127</v>
      </c>
      <c r="AS339" s="776" t="s">
        <v>2127</v>
      </c>
      <c r="AT339" s="776" t="s">
        <v>2127</v>
      </c>
      <c r="AU339" s="776" t="s">
        <v>2127</v>
      </c>
      <c r="AV339" s="776" t="s">
        <v>2127</v>
      </c>
      <c r="AW339" s="776" t="s">
        <v>2127</v>
      </c>
      <c r="AX339" s="776" t="s">
        <v>2127</v>
      </c>
      <c r="AY339" s="776" t="s">
        <v>2127</v>
      </c>
      <c r="AZ339" s="776" t="s">
        <v>2127</v>
      </c>
      <c r="BA339" s="776" t="s">
        <v>2127</v>
      </c>
      <c r="BB339" s="776" t="s">
        <v>2127</v>
      </c>
      <c r="BC339" s="776" t="s">
        <v>2127</v>
      </c>
      <c r="BD339" s="776" t="s">
        <v>2127</v>
      </c>
      <c r="BE339" s="776" t="s">
        <v>2127</v>
      </c>
      <c r="BF339" s="776" t="s">
        <v>2127</v>
      </c>
      <c r="BG339" s="776" t="s">
        <v>2127</v>
      </c>
      <c r="BH339" s="776" t="s">
        <v>2127</v>
      </c>
      <c r="BI339" s="776" t="s">
        <v>2127</v>
      </c>
      <c r="BJ339" s="776" t="s">
        <v>2127</v>
      </c>
      <c r="BK339" s="776" t="s">
        <v>2127</v>
      </c>
      <c r="BL339" s="776" t="s">
        <v>2127</v>
      </c>
      <c r="BM339" s="776" t="s">
        <v>2127</v>
      </c>
      <c r="BN339" s="776" t="s">
        <v>2127</v>
      </c>
      <c r="BO339" s="776" t="s">
        <v>2127</v>
      </c>
      <c r="BP339" s="776" t="s">
        <v>2127</v>
      </c>
      <c r="BQ339" s="776" t="s">
        <v>2127</v>
      </c>
      <c r="BR339" s="776" t="s">
        <v>2127</v>
      </c>
      <c r="BS339" s="776" t="s">
        <v>2127</v>
      </c>
      <c r="BT339" s="776" t="s">
        <v>2127</v>
      </c>
      <c r="BU339" s="776" t="s">
        <v>2127</v>
      </c>
      <c r="BV339" s="776" t="s">
        <v>2127</v>
      </c>
      <c r="BW339" s="776" t="s">
        <v>2127</v>
      </c>
      <c r="BX339" s="776" t="s">
        <v>2127</v>
      </c>
      <c r="BY339" s="776" t="s">
        <v>2127</v>
      </c>
      <c r="BZ339" s="776" t="s">
        <v>2127</v>
      </c>
      <c r="CA339" s="776" t="s">
        <v>2127</v>
      </c>
      <c r="CB339" s="776" t="s">
        <v>2127</v>
      </c>
      <c r="CC339" s="776" t="s">
        <v>2127</v>
      </c>
      <c r="CD339" s="776" t="s">
        <v>2127</v>
      </c>
      <c r="CE339" s="776" t="s">
        <v>2127</v>
      </c>
      <c r="CF339" s="776" t="s">
        <v>2127</v>
      </c>
      <c r="CG339" s="776" t="s">
        <v>2127</v>
      </c>
      <c r="CH339" s="776" t="s">
        <v>2127</v>
      </c>
      <c r="CI339" s="776" t="s">
        <v>2127</v>
      </c>
      <c r="CJ339" s="776" t="s">
        <v>2127</v>
      </c>
      <c r="CK339" s="776" t="s">
        <v>2127</v>
      </c>
      <c r="CL339" s="776" t="s">
        <v>2127</v>
      </c>
      <c r="CM339" s="776" t="s">
        <v>2127</v>
      </c>
      <c r="CN339" s="776" t="s">
        <v>2127</v>
      </c>
      <c r="CO339" s="776" t="s">
        <v>2127</v>
      </c>
      <c r="CP339" s="776" t="s">
        <v>2127</v>
      </c>
      <c r="CQ339" s="776" t="s">
        <v>2127</v>
      </c>
      <c r="CR339" s="776" t="s">
        <v>2127</v>
      </c>
      <c r="CS339" s="776" t="s">
        <v>2127</v>
      </c>
      <c r="CT339" s="776" t="s">
        <v>2127</v>
      </c>
      <c r="CU339" s="776" t="s">
        <v>2127</v>
      </c>
      <c r="CV339" s="776" t="s">
        <v>2127</v>
      </c>
      <c r="CW339" s="776" t="s">
        <v>2127</v>
      </c>
      <c r="CX339" s="776" t="s">
        <v>2127</v>
      </c>
      <c r="CY339" s="776" t="s">
        <v>2127</v>
      </c>
      <c r="CZ339" s="776" t="s">
        <v>2127</v>
      </c>
      <c r="DA339" s="776" t="s">
        <v>2127</v>
      </c>
      <c r="DB339" s="776" t="s">
        <v>2127</v>
      </c>
      <c r="DC339" s="776" t="s">
        <v>2127</v>
      </c>
      <c r="DD339" s="776" t="s">
        <v>2127</v>
      </c>
      <c r="DE339" s="776" t="s">
        <v>2127</v>
      </c>
      <c r="DF339" s="776" t="s">
        <v>2127</v>
      </c>
      <c r="DG339" s="776" t="s">
        <v>2127</v>
      </c>
      <c r="DH339" s="776" t="s">
        <v>2127</v>
      </c>
      <c r="DI339" s="776" t="s">
        <v>2127</v>
      </c>
      <c r="DJ339" s="776" t="s">
        <v>2127</v>
      </c>
      <c r="DK339" s="776" t="s">
        <v>2127</v>
      </c>
      <c r="DL339" s="776" t="s">
        <v>2127</v>
      </c>
      <c r="DM339" s="776" t="s">
        <v>2127</v>
      </c>
      <c r="DN339" s="776" t="s">
        <v>2127</v>
      </c>
      <c r="DO339" s="776" t="s">
        <v>2127</v>
      </c>
      <c r="DP339" s="776" t="s">
        <v>2127</v>
      </c>
    </row>
    <row r="340" spans="1:120" x14ac:dyDescent="0.2">
      <c r="A340" s="637" t="s">
        <v>2345</v>
      </c>
      <c r="B340" s="772" t="str" cm="1">
        <f t="array" ref="B340">IFERROR(INDEX(Kulturen[HF],_xlfn.AGGREGATE(15,6,(ROW(Kulturen[Auswahl])-7)/(--(SEARCH("x",Kulturen[Auswahl])&gt;0)),ROW()-7),1),"")</f>
        <v>Schnittlauch, für Treiberei (Ballen)</v>
      </c>
      <c r="C340" s="772" t="str">
        <f>IF(Kulturen[[#This Row],[HF]]=$D$373,IF($C$6=0,0,"x"),IF($C$6=0,"x",Vorauswahl!C339))</f>
        <v>x</v>
      </c>
      <c r="D340" s="938" t="s">
        <v>2093</v>
      </c>
      <c r="E340" s="938" t="s">
        <v>2093</v>
      </c>
      <c r="F340" s="938" t="s">
        <v>985</v>
      </c>
      <c r="G340" s="938">
        <v>14</v>
      </c>
      <c r="H340" s="938">
        <v>8</v>
      </c>
      <c r="I340" s="938">
        <v>1</v>
      </c>
      <c r="J340" s="938">
        <v>14</v>
      </c>
      <c r="K340" s="938">
        <v>0.23</v>
      </c>
      <c r="L340" s="938">
        <v>0.38</v>
      </c>
      <c r="M340" s="938">
        <v>80</v>
      </c>
      <c r="N340" s="938">
        <v>0</v>
      </c>
      <c r="O340" s="938">
        <v>1</v>
      </c>
      <c r="P340" s="938">
        <v>0</v>
      </c>
      <c r="Q340" s="938">
        <v>110</v>
      </c>
      <c r="R340" s="938">
        <v>8</v>
      </c>
      <c r="S340" s="938">
        <v>11</v>
      </c>
      <c r="T340" s="938">
        <v>11</v>
      </c>
      <c r="U340" s="938">
        <v>0</v>
      </c>
      <c r="V340" s="938">
        <v>1</v>
      </c>
      <c r="W340" s="776">
        <f>IF(Kulturen[[#This Row],[Berechnungsschema]]=13,3,IF(Kulturen[[#This Row],[Berechnungsschema]]=6,2,1))</f>
        <v>1</v>
      </c>
      <c r="X340" s="776">
        <f>IF(Kulturen[[#This Row],[fruchtartengruppe]]=13,Kulturen[[#This Row],[NBedarfswert]],MAX(0,Kulturen[[#This Row],[NBedarfswert]]-Kulturen[[#This Row],[Ertrag]]*Kulturen[[#This Row],[Nfix]]))</f>
        <v>110</v>
      </c>
      <c r="Y340" s="776" t="s">
        <v>2127</v>
      </c>
      <c r="Z340" s="776" t="s">
        <v>2127</v>
      </c>
      <c r="AA340" s="776" t="s">
        <v>2127</v>
      </c>
      <c r="AB340" s="776" t="s">
        <v>2127</v>
      </c>
      <c r="AC340" s="776" t="s">
        <v>2127</v>
      </c>
      <c r="AD340" s="776" t="s">
        <v>2127</v>
      </c>
      <c r="AE340" s="776" t="s">
        <v>2127</v>
      </c>
      <c r="AF340" s="776" t="s">
        <v>2127</v>
      </c>
      <c r="AG340" s="776" t="s">
        <v>2127</v>
      </c>
      <c r="AH340" s="776" t="s">
        <v>2127</v>
      </c>
      <c r="AI340" s="776" t="s">
        <v>2127</v>
      </c>
      <c r="AJ340" s="776" t="s">
        <v>2127</v>
      </c>
      <c r="AK340" s="776" t="s">
        <v>2127</v>
      </c>
      <c r="AL340" s="776" t="s">
        <v>2127</v>
      </c>
      <c r="AM340" s="776" t="s">
        <v>2127</v>
      </c>
      <c r="AN340" s="776" t="s">
        <v>2127</v>
      </c>
      <c r="AO340" s="776" t="s">
        <v>2127</v>
      </c>
      <c r="AP340" s="776" t="s">
        <v>2127</v>
      </c>
      <c r="AQ340" s="776" t="s">
        <v>2127</v>
      </c>
      <c r="AR340" s="776" t="s">
        <v>2127</v>
      </c>
      <c r="AS340" s="776" t="s">
        <v>2127</v>
      </c>
      <c r="AT340" s="776" t="s">
        <v>2127</v>
      </c>
      <c r="AU340" s="776" t="s">
        <v>2127</v>
      </c>
      <c r="AV340" s="776" t="s">
        <v>2127</v>
      </c>
      <c r="AW340" s="776" t="s">
        <v>2127</v>
      </c>
      <c r="AX340" s="776" t="s">
        <v>2127</v>
      </c>
      <c r="AY340" s="776" t="s">
        <v>2127</v>
      </c>
      <c r="AZ340" s="776" t="s">
        <v>2127</v>
      </c>
      <c r="BA340" s="776" t="s">
        <v>2127</v>
      </c>
      <c r="BB340" s="776" t="s">
        <v>2127</v>
      </c>
      <c r="BC340" s="776" t="s">
        <v>2127</v>
      </c>
      <c r="BD340" s="776" t="s">
        <v>2127</v>
      </c>
      <c r="BE340" s="776" t="s">
        <v>2127</v>
      </c>
      <c r="BF340" s="776" t="s">
        <v>2127</v>
      </c>
      <c r="BG340" s="776" t="s">
        <v>2127</v>
      </c>
      <c r="BH340" s="776" t="s">
        <v>2127</v>
      </c>
      <c r="BI340" s="776" t="s">
        <v>2127</v>
      </c>
      <c r="BJ340" s="776" t="s">
        <v>2127</v>
      </c>
      <c r="BK340" s="776" t="s">
        <v>2127</v>
      </c>
      <c r="BL340" s="776" t="s">
        <v>2127</v>
      </c>
      <c r="BM340" s="776" t="s">
        <v>2127</v>
      </c>
      <c r="BN340" s="776" t="s">
        <v>2127</v>
      </c>
      <c r="BO340" s="776" t="s">
        <v>2127</v>
      </c>
      <c r="BP340" s="776" t="s">
        <v>2127</v>
      </c>
      <c r="BQ340" s="776" t="s">
        <v>2127</v>
      </c>
      <c r="BR340" s="776" t="s">
        <v>2127</v>
      </c>
      <c r="BS340" s="776" t="s">
        <v>2127</v>
      </c>
      <c r="BT340" s="776" t="s">
        <v>2127</v>
      </c>
      <c r="BU340" s="776" t="s">
        <v>2127</v>
      </c>
      <c r="BV340" s="776" t="s">
        <v>2127</v>
      </c>
      <c r="BW340" s="776" t="s">
        <v>2127</v>
      </c>
      <c r="BX340" s="776" t="s">
        <v>2127</v>
      </c>
      <c r="BY340" s="776" t="s">
        <v>2127</v>
      </c>
      <c r="BZ340" s="776" t="s">
        <v>2127</v>
      </c>
      <c r="CA340" s="776" t="s">
        <v>2127</v>
      </c>
      <c r="CB340" s="776" t="s">
        <v>2127</v>
      </c>
      <c r="CC340" s="776" t="s">
        <v>2127</v>
      </c>
      <c r="CD340" s="776" t="s">
        <v>2127</v>
      </c>
      <c r="CE340" s="776" t="s">
        <v>2127</v>
      </c>
      <c r="CF340" s="776" t="s">
        <v>2127</v>
      </c>
      <c r="CG340" s="776" t="s">
        <v>2127</v>
      </c>
      <c r="CH340" s="776" t="s">
        <v>2127</v>
      </c>
      <c r="CI340" s="776" t="s">
        <v>2127</v>
      </c>
      <c r="CJ340" s="776" t="s">
        <v>2127</v>
      </c>
      <c r="CK340" s="776" t="s">
        <v>2127</v>
      </c>
      <c r="CL340" s="776" t="s">
        <v>2127</v>
      </c>
      <c r="CM340" s="776" t="s">
        <v>2127</v>
      </c>
      <c r="CN340" s="776" t="s">
        <v>2127</v>
      </c>
      <c r="CO340" s="776" t="s">
        <v>2127</v>
      </c>
      <c r="CP340" s="776" t="s">
        <v>2127</v>
      </c>
      <c r="CQ340" s="776" t="s">
        <v>2127</v>
      </c>
      <c r="CR340" s="776" t="s">
        <v>2127</v>
      </c>
      <c r="CS340" s="776" t="s">
        <v>2127</v>
      </c>
      <c r="CT340" s="776" t="s">
        <v>2127</v>
      </c>
      <c r="CU340" s="776" t="s">
        <v>2127</v>
      </c>
      <c r="CV340" s="776" t="s">
        <v>2127</v>
      </c>
      <c r="CW340" s="776" t="s">
        <v>2127</v>
      </c>
      <c r="CX340" s="776" t="s">
        <v>2127</v>
      </c>
      <c r="CY340" s="776" t="s">
        <v>2127</v>
      </c>
      <c r="CZ340" s="776" t="s">
        <v>2127</v>
      </c>
      <c r="DA340" s="776" t="s">
        <v>2127</v>
      </c>
      <c r="DB340" s="776" t="s">
        <v>2127</v>
      </c>
      <c r="DC340" s="776" t="s">
        <v>2127</v>
      </c>
      <c r="DD340" s="776" t="s">
        <v>2127</v>
      </c>
      <c r="DE340" s="776" t="s">
        <v>2127</v>
      </c>
      <c r="DF340" s="776" t="s">
        <v>2127</v>
      </c>
      <c r="DG340" s="776" t="s">
        <v>2127</v>
      </c>
      <c r="DH340" s="776" t="s">
        <v>2127</v>
      </c>
      <c r="DI340" s="776" t="s">
        <v>2127</v>
      </c>
      <c r="DJ340" s="776" t="s">
        <v>2127</v>
      </c>
      <c r="DK340" s="776" t="s">
        <v>2127</v>
      </c>
      <c r="DL340" s="776" t="s">
        <v>2127</v>
      </c>
      <c r="DM340" s="776" t="s">
        <v>2127</v>
      </c>
      <c r="DN340" s="776" t="s">
        <v>2127</v>
      </c>
      <c r="DO340" s="776" t="s">
        <v>2127</v>
      </c>
      <c r="DP340" s="776" t="s">
        <v>2127</v>
      </c>
    </row>
    <row r="341" spans="1:120" x14ac:dyDescent="0.2">
      <c r="A341" s="637" t="s">
        <v>2346</v>
      </c>
      <c r="B341" s="772" t="str" cm="1">
        <f t="array" ref="B341">IFERROR(INDEX(Kulturen[HF],_xlfn.AGGREGATE(15,6,(ROW(Kulturen[Auswahl])-7)/(--(SEARCH("x",Kulturen[Auswahl])&gt;0)),ROW()-7),1),"")</f>
        <v>Schnittlauch, Verarbeitung, alle Schnitte</v>
      </c>
      <c r="C341" s="772" t="str">
        <f>IF(Kulturen[[#This Row],[HF]]=$D$373,IF($C$6=0,0,"x"),IF($C$6=0,"x",Vorauswahl!C340))</f>
        <v>x</v>
      </c>
      <c r="D341" s="938" t="s">
        <v>2094</v>
      </c>
      <c r="E341" s="938" t="s">
        <v>2094</v>
      </c>
      <c r="F341" s="938" t="s">
        <v>986</v>
      </c>
      <c r="G341" s="938">
        <v>14</v>
      </c>
      <c r="H341" s="938">
        <v>8</v>
      </c>
      <c r="I341" s="938">
        <v>1</v>
      </c>
      <c r="J341" s="938">
        <v>14</v>
      </c>
      <c r="K341" s="938">
        <v>0.21</v>
      </c>
      <c r="L341" s="938">
        <v>0.28000000000000003</v>
      </c>
      <c r="M341" s="938">
        <v>100</v>
      </c>
      <c r="N341" s="938">
        <v>0</v>
      </c>
      <c r="O341" s="938">
        <v>1</v>
      </c>
      <c r="P341" s="938">
        <v>0</v>
      </c>
      <c r="Q341" s="938">
        <v>100</v>
      </c>
      <c r="R341" s="938">
        <v>10</v>
      </c>
      <c r="S341" s="938">
        <v>10</v>
      </c>
      <c r="T341" s="938">
        <v>10</v>
      </c>
      <c r="U341" s="938">
        <v>0</v>
      </c>
      <c r="V341" s="938">
        <v>1</v>
      </c>
      <c r="W341" s="776">
        <f>IF(Kulturen[[#This Row],[Berechnungsschema]]=13,3,IF(Kulturen[[#This Row],[Berechnungsschema]]=6,2,1))</f>
        <v>1</v>
      </c>
      <c r="X341" s="776">
        <f>IF(Kulturen[[#This Row],[fruchtartengruppe]]=13,Kulturen[[#This Row],[NBedarfswert]],MAX(0,Kulturen[[#This Row],[NBedarfswert]]-Kulturen[[#This Row],[Ertrag]]*Kulturen[[#This Row],[Nfix]]))</f>
        <v>100</v>
      </c>
      <c r="Y341" s="776" t="s">
        <v>2127</v>
      </c>
      <c r="Z341" s="776" t="s">
        <v>2127</v>
      </c>
      <c r="AA341" s="776" t="s">
        <v>2127</v>
      </c>
      <c r="AB341" s="776" t="s">
        <v>2127</v>
      </c>
      <c r="AC341" s="776" t="s">
        <v>2127</v>
      </c>
      <c r="AD341" s="776" t="s">
        <v>2127</v>
      </c>
      <c r="AE341" s="776" t="s">
        <v>2127</v>
      </c>
      <c r="AF341" s="776" t="s">
        <v>2127</v>
      </c>
      <c r="AG341" s="776" t="s">
        <v>2127</v>
      </c>
      <c r="AH341" s="776" t="s">
        <v>2127</v>
      </c>
      <c r="AI341" s="776" t="s">
        <v>2127</v>
      </c>
      <c r="AJ341" s="776" t="s">
        <v>2127</v>
      </c>
      <c r="AK341" s="776" t="s">
        <v>2127</v>
      </c>
      <c r="AL341" s="776" t="s">
        <v>2127</v>
      </c>
      <c r="AM341" s="776" t="s">
        <v>2127</v>
      </c>
      <c r="AN341" s="776" t="s">
        <v>2127</v>
      </c>
      <c r="AO341" s="776" t="s">
        <v>2127</v>
      </c>
      <c r="AP341" s="776" t="s">
        <v>2127</v>
      </c>
      <c r="AQ341" s="776" t="s">
        <v>2127</v>
      </c>
      <c r="AR341" s="776" t="s">
        <v>2127</v>
      </c>
      <c r="AS341" s="776" t="s">
        <v>2127</v>
      </c>
      <c r="AT341" s="776" t="s">
        <v>2127</v>
      </c>
      <c r="AU341" s="776" t="s">
        <v>2127</v>
      </c>
      <c r="AV341" s="776" t="s">
        <v>2127</v>
      </c>
      <c r="AW341" s="776" t="s">
        <v>2127</v>
      </c>
      <c r="AX341" s="776" t="s">
        <v>2127</v>
      </c>
      <c r="AY341" s="776" t="s">
        <v>2127</v>
      </c>
      <c r="AZ341" s="776" t="s">
        <v>2127</v>
      </c>
      <c r="BA341" s="776" t="s">
        <v>2127</v>
      </c>
      <c r="BB341" s="776" t="s">
        <v>2127</v>
      </c>
      <c r="BC341" s="776" t="s">
        <v>2127</v>
      </c>
      <c r="BD341" s="776" t="s">
        <v>2127</v>
      </c>
      <c r="BE341" s="776" t="s">
        <v>2127</v>
      </c>
      <c r="BF341" s="776" t="s">
        <v>2127</v>
      </c>
      <c r="BG341" s="776" t="s">
        <v>2127</v>
      </c>
      <c r="BH341" s="776" t="s">
        <v>2127</v>
      </c>
      <c r="BI341" s="776" t="s">
        <v>2127</v>
      </c>
      <c r="BJ341" s="776" t="s">
        <v>2127</v>
      </c>
      <c r="BK341" s="776" t="s">
        <v>2127</v>
      </c>
      <c r="BL341" s="776" t="s">
        <v>2127</v>
      </c>
      <c r="BM341" s="776" t="s">
        <v>2127</v>
      </c>
      <c r="BN341" s="776" t="s">
        <v>2127</v>
      </c>
      <c r="BO341" s="776" t="s">
        <v>2127</v>
      </c>
      <c r="BP341" s="776" t="s">
        <v>2127</v>
      </c>
      <c r="BQ341" s="776" t="s">
        <v>2127</v>
      </c>
      <c r="BR341" s="776" t="s">
        <v>2127</v>
      </c>
      <c r="BS341" s="776" t="s">
        <v>2127</v>
      </c>
      <c r="BT341" s="776" t="s">
        <v>2127</v>
      </c>
      <c r="BU341" s="776" t="s">
        <v>2127</v>
      </c>
      <c r="BV341" s="776" t="s">
        <v>2127</v>
      </c>
      <c r="BW341" s="776" t="s">
        <v>2127</v>
      </c>
      <c r="BX341" s="776" t="s">
        <v>2127</v>
      </c>
      <c r="BY341" s="776" t="s">
        <v>2127</v>
      </c>
      <c r="BZ341" s="776" t="s">
        <v>2127</v>
      </c>
      <c r="CA341" s="776" t="s">
        <v>2127</v>
      </c>
      <c r="CB341" s="776" t="s">
        <v>2127</v>
      </c>
      <c r="CC341" s="776" t="s">
        <v>2127</v>
      </c>
      <c r="CD341" s="776" t="s">
        <v>2127</v>
      </c>
      <c r="CE341" s="776" t="s">
        <v>2127</v>
      </c>
      <c r="CF341" s="776" t="s">
        <v>2127</v>
      </c>
      <c r="CG341" s="776" t="s">
        <v>2127</v>
      </c>
      <c r="CH341" s="776" t="s">
        <v>2127</v>
      </c>
      <c r="CI341" s="776" t="s">
        <v>2127</v>
      </c>
      <c r="CJ341" s="776" t="s">
        <v>2127</v>
      </c>
      <c r="CK341" s="776" t="s">
        <v>2127</v>
      </c>
      <c r="CL341" s="776" t="s">
        <v>2127</v>
      </c>
      <c r="CM341" s="776" t="s">
        <v>2127</v>
      </c>
      <c r="CN341" s="776" t="s">
        <v>2127</v>
      </c>
      <c r="CO341" s="776" t="s">
        <v>2127</v>
      </c>
      <c r="CP341" s="776" t="s">
        <v>2127</v>
      </c>
      <c r="CQ341" s="776" t="s">
        <v>2127</v>
      </c>
      <c r="CR341" s="776" t="s">
        <v>2127</v>
      </c>
      <c r="CS341" s="776" t="s">
        <v>2127</v>
      </c>
      <c r="CT341" s="776" t="s">
        <v>2127</v>
      </c>
      <c r="CU341" s="776" t="s">
        <v>2127</v>
      </c>
      <c r="CV341" s="776" t="s">
        <v>2127</v>
      </c>
      <c r="CW341" s="776" t="s">
        <v>2127</v>
      </c>
      <c r="CX341" s="776" t="s">
        <v>2127</v>
      </c>
      <c r="CY341" s="776" t="s">
        <v>2127</v>
      </c>
      <c r="CZ341" s="776" t="s">
        <v>2127</v>
      </c>
      <c r="DA341" s="776" t="s">
        <v>2127</v>
      </c>
      <c r="DB341" s="776" t="s">
        <v>2127</v>
      </c>
      <c r="DC341" s="776" t="s">
        <v>2127</v>
      </c>
      <c r="DD341" s="776" t="s">
        <v>2127</v>
      </c>
      <c r="DE341" s="776" t="s">
        <v>2127</v>
      </c>
      <c r="DF341" s="776" t="s">
        <v>2127</v>
      </c>
      <c r="DG341" s="776" t="s">
        <v>2127</v>
      </c>
      <c r="DH341" s="776" t="s">
        <v>2127</v>
      </c>
      <c r="DI341" s="776" t="s">
        <v>2127</v>
      </c>
      <c r="DJ341" s="776" t="s">
        <v>2127</v>
      </c>
      <c r="DK341" s="776" t="s">
        <v>2127</v>
      </c>
      <c r="DL341" s="776" t="s">
        <v>2127</v>
      </c>
      <c r="DM341" s="776" t="s">
        <v>2127</v>
      </c>
      <c r="DN341" s="776" t="s">
        <v>2127</v>
      </c>
      <c r="DO341" s="776" t="s">
        <v>2127</v>
      </c>
      <c r="DP341" s="776" t="s">
        <v>2127</v>
      </c>
    </row>
    <row r="342" spans="1:120" x14ac:dyDescent="0.2">
      <c r="A342" s="637" t="s">
        <v>2347</v>
      </c>
      <c r="B342" s="772" t="str" cm="1">
        <f t="array" ref="B342">IFERROR(INDEX(Kulturen[HF],_xlfn.AGGREGATE(15,6,(ROW(Kulturen[Auswahl])-7)/(--(SEARCH("x",Kulturen[Auswahl])&gt;0)),ROW()-7),1),"")</f>
        <v>Schöllkraut (Blühendes Kraut)</v>
      </c>
      <c r="C342" s="772" t="str">
        <f>IF(Kulturen[[#This Row],[HF]]=$D$373,IF($C$6=0,0,"x"),IF($C$6=0,"x",Vorauswahl!C341))</f>
        <v>x</v>
      </c>
      <c r="D342" s="938" t="s">
        <v>2095</v>
      </c>
      <c r="E342" s="938" t="s">
        <v>2095</v>
      </c>
      <c r="F342" s="938" t="s">
        <v>987</v>
      </c>
      <c r="G342" s="938">
        <v>14</v>
      </c>
      <c r="H342" s="938">
        <v>8</v>
      </c>
      <c r="I342" s="938">
        <v>3</v>
      </c>
      <c r="J342" s="938">
        <v>14</v>
      </c>
      <c r="K342" s="938">
        <v>0.08</v>
      </c>
      <c r="L342" s="938">
        <v>0.08</v>
      </c>
      <c r="M342" s="938">
        <v>300</v>
      </c>
      <c r="N342" s="938">
        <v>0.46</v>
      </c>
      <c r="O342" s="938">
        <v>1</v>
      </c>
      <c r="P342" s="938">
        <v>0</v>
      </c>
      <c r="Q342" s="938">
        <v>130</v>
      </c>
      <c r="R342" s="938">
        <v>30</v>
      </c>
      <c r="S342" s="938">
        <v>13</v>
      </c>
      <c r="T342" s="938">
        <v>13</v>
      </c>
      <c r="U342" s="938">
        <v>0</v>
      </c>
      <c r="V342" s="938">
        <v>1</v>
      </c>
      <c r="W342" s="776">
        <f>IF(Kulturen[[#This Row],[Berechnungsschema]]=13,3,IF(Kulturen[[#This Row],[Berechnungsschema]]=6,2,1))</f>
        <v>1</v>
      </c>
      <c r="X342" s="776">
        <f>IF(Kulturen[[#This Row],[fruchtartengruppe]]=13,Kulturen[[#This Row],[NBedarfswert]],MAX(0,Kulturen[[#This Row],[NBedarfswert]]-Kulturen[[#This Row],[Ertrag]]*Kulturen[[#This Row],[Nfix]]))</f>
        <v>0</v>
      </c>
      <c r="Y342" s="776" t="s">
        <v>2127</v>
      </c>
      <c r="Z342" s="776" t="s">
        <v>2127</v>
      </c>
      <c r="AA342" s="776" t="s">
        <v>2127</v>
      </c>
      <c r="AB342" s="776" t="s">
        <v>2127</v>
      </c>
      <c r="AC342" s="776" t="s">
        <v>2127</v>
      </c>
      <c r="AD342" s="776" t="s">
        <v>2127</v>
      </c>
      <c r="AE342" s="776" t="s">
        <v>2127</v>
      </c>
      <c r="AF342" s="776" t="s">
        <v>2127</v>
      </c>
      <c r="AG342" s="776" t="s">
        <v>2127</v>
      </c>
      <c r="AH342" s="776" t="s">
        <v>2127</v>
      </c>
      <c r="AI342" s="776" t="s">
        <v>2127</v>
      </c>
      <c r="AJ342" s="776" t="s">
        <v>2127</v>
      </c>
      <c r="AK342" s="776" t="s">
        <v>2127</v>
      </c>
      <c r="AL342" s="776" t="s">
        <v>2127</v>
      </c>
      <c r="AM342" s="776" t="s">
        <v>2127</v>
      </c>
      <c r="AN342" s="776" t="s">
        <v>2127</v>
      </c>
      <c r="AO342" s="776" t="s">
        <v>2127</v>
      </c>
      <c r="AP342" s="776" t="s">
        <v>2127</v>
      </c>
      <c r="AQ342" s="776" t="s">
        <v>2127</v>
      </c>
      <c r="AR342" s="776" t="s">
        <v>2127</v>
      </c>
      <c r="AS342" s="776" t="s">
        <v>2127</v>
      </c>
      <c r="AT342" s="776" t="s">
        <v>2127</v>
      </c>
      <c r="AU342" s="776" t="s">
        <v>2127</v>
      </c>
      <c r="AV342" s="776" t="s">
        <v>2127</v>
      </c>
      <c r="AW342" s="776" t="s">
        <v>2127</v>
      </c>
      <c r="AX342" s="776" t="s">
        <v>2127</v>
      </c>
      <c r="AY342" s="776" t="s">
        <v>2127</v>
      </c>
      <c r="AZ342" s="776" t="s">
        <v>2127</v>
      </c>
      <c r="BA342" s="776" t="s">
        <v>2127</v>
      </c>
      <c r="BB342" s="776" t="s">
        <v>2127</v>
      </c>
      <c r="BC342" s="776" t="s">
        <v>2127</v>
      </c>
      <c r="BD342" s="776" t="s">
        <v>2127</v>
      </c>
      <c r="BE342" s="776" t="s">
        <v>2127</v>
      </c>
      <c r="BF342" s="776" t="s">
        <v>2127</v>
      </c>
      <c r="BG342" s="776" t="s">
        <v>2127</v>
      </c>
      <c r="BH342" s="776" t="s">
        <v>2127</v>
      </c>
      <c r="BI342" s="776" t="s">
        <v>2127</v>
      </c>
      <c r="BJ342" s="776" t="s">
        <v>2127</v>
      </c>
      <c r="BK342" s="776" t="s">
        <v>2127</v>
      </c>
      <c r="BL342" s="776" t="s">
        <v>2127</v>
      </c>
      <c r="BM342" s="776" t="s">
        <v>2127</v>
      </c>
      <c r="BN342" s="776" t="s">
        <v>2127</v>
      </c>
      <c r="BO342" s="776" t="s">
        <v>2127</v>
      </c>
      <c r="BP342" s="776" t="s">
        <v>2127</v>
      </c>
      <c r="BQ342" s="776" t="s">
        <v>2127</v>
      </c>
      <c r="BR342" s="776" t="s">
        <v>2127</v>
      </c>
      <c r="BS342" s="776" t="s">
        <v>2127</v>
      </c>
      <c r="BT342" s="776" t="s">
        <v>2127</v>
      </c>
      <c r="BU342" s="776" t="s">
        <v>2127</v>
      </c>
      <c r="BV342" s="776" t="s">
        <v>2127</v>
      </c>
      <c r="BW342" s="776" t="s">
        <v>2127</v>
      </c>
      <c r="BX342" s="776" t="s">
        <v>2127</v>
      </c>
      <c r="BY342" s="776" t="s">
        <v>2127</v>
      </c>
      <c r="BZ342" s="776" t="s">
        <v>2127</v>
      </c>
      <c r="CA342" s="776" t="s">
        <v>2127</v>
      </c>
      <c r="CB342" s="776" t="s">
        <v>2127</v>
      </c>
      <c r="CC342" s="776" t="s">
        <v>2127</v>
      </c>
      <c r="CD342" s="776" t="s">
        <v>2127</v>
      </c>
      <c r="CE342" s="776" t="s">
        <v>2127</v>
      </c>
      <c r="CF342" s="776" t="s">
        <v>2127</v>
      </c>
      <c r="CG342" s="776" t="s">
        <v>2127</v>
      </c>
      <c r="CH342" s="776" t="s">
        <v>2127</v>
      </c>
      <c r="CI342" s="776" t="s">
        <v>2127</v>
      </c>
      <c r="CJ342" s="776" t="s">
        <v>2127</v>
      </c>
      <c r="CK342" s="776" t="s">
        <v>2127</v>
      </c>
      <c r="CL342" s="776" t="s">
        <v>2127</v>
      </c>
      <c r="CM342" s="776" t="s">
        <v>2127</v>
      </c>
      <c r="CN342" s="776" t="s">
        <v>2127</v>
      </c>
      <c r="CO342" s="776" t="s">
        <v>2127</v>
      </c>
      <c r="CP342" s="776" t="s">
        <v>2127</v>
      </c>
      <c r="CQ342" s="776" t="s">
        <v>2127</v>
      </c>
      <c r="CR342" s="776" t="s">
        <v>2127</v>
      </c>
      <c r="CS342" s="776" t="s">
        <v>2127</v>
      </c>
      <c r="CT342" s="776" t="s">
        <v>2127</v>
      </c>
      <c r="CU342" s="776" t="s">
        <v>2127</v>
      </c>
      <c r="CV342" s="776" t="s">
        <v>2127</v>
      </c>
      <c r="CW342" s="776" t="s">
        <v>2127</v>
      </c>
      <c r="CX342" s="776" t="s">
        <v>2127</v>
      </c>
      <c r="CY342" s="776" t="s">
        <v>2127</v>
      </c>
      <c r="CZ342" s="776" t="s">
        <v>2127</v>
      </c>
      <c r="DA342" s="776" t="s">
        <v>2127</v>
      </c>
      <c r="DB342" s="776" t="s">
        <v>2127</v>
      </c>
      <c r="DC342" s="776" t="s">
        <v>2127</v>
      </c>
      <c r="DD342" s="776" t="s">
        <v>2127</v>
      </c>
      <c r="DE342" s="776" t="s">
        <v>2127</v>
      </c>
      <c r="DF342" s="776" t="s">
        <v>2127</v>
      </c>
      <c r="DG342" s="776" t="s">
        <v>2127</v>
      </c>
      <c r="DH342" s="776" t="s">
        <v>2127</v>
      </c>
      <c r="DI342" s="776" t="s">
        <v>2127</v>
      </c>
      <c r="DJ342" s="776" t="s">
        <v>2127</v>
      </c>
      <c r="DK342" s="776" t="s">
        <v>2127</v>
      </c>
      <c r="DL342" s="776" t="s">
        <v>2127</v>
      </c>
      <c r="DM342" s="776" t="s">
        <v>2127</v>
      </c>
      <c r="DN342" s="776" t="s">
        <v>2127</v>
      </c>
      <c r="DO342" s="776" t="s">
        <v>2127</v>
      </c>
      <c r="DP342" s="776" t="s">
        <v>2127</v>
      </c>
    </row>
    <row r="343" spans="1:120" x14ac:dyDescent="0.2">
      <c r="A343" s="637" t="s">
        <v>2348</v>
      </c>
      <c r="B343" s="772" t="str" cm="1">
        <f t="array" ref="B343">IFERROR(INDEX(Kulturen[HF],_xlfn.AGGREGATE(15,6,(ROW(Kulturen[Auswahl])-7)/(--(SEARCH("x",Kulturen[Auswahl])&gt;0)),ROW()-7),1),"")</f>
        <v>Schwarzkümmel (Samen)</v>
      </c>
      <c r="C343" s="772" t="str">
        <f>IF(Kulturen[[#This Row],[HF]]=$D$373,IF($C$6=0,0,"x"),IF($C$6=0,"x",Vorauswahl!C342))</f>
        <v>x</v>
      </c>
      <c r="D343" s="938" t="s">
        <v>824</v>
      </c>
      <c r="E343" s="938" t="s">
        <v>824</v>
      </c>
      <c r="F343" s="938" t="s">
        <v>988</v>
      </c>
      <c r="G343" s="938">
        <v>14</v>
      </c>
      <c r="H343" s="938">
        <v>8</v>
      </c>
      <c r="I343" s="938">
        <v>3</v>
      </c>
      <c r="J343" s="938">
        <v>14</v>
      </c>
      <c r="K343" s="938">
        <v>0.16</v>
      </c>
      <c r="L343" s="938">
        <v>0.16</v>
      </c>
      <c r="M343" s="938">
        <v>350</v>
      </c>
      <c r="N343" s="938">
        <v>0</v>
      </c>
      <c r="O343" s="938">
        <v>1</v>
      </c>
      <c r="P343" s="938">
        <v>0</v>
      </c>
      <c r="Q343" s="938">
        <v>180</v>
      </c>
      <c r="R343" s="938">
        <v>35</v>
      </c>
      <c r="S343" s="938">
        <v>18</v>
      </c>
      <c r="T343" s="938">
        <v>18</v>
      </c>
      <c r="U343" s="938">
        <v>0</v>
      </c>
      <c r="V343" s="938">
        <v>1</v>
      </c>
      <c r="W343" s="776">
        <f>IF(Kulturen[[#This Row],[Berechnungsschema]]=13,3,IF(Kulturen[[#This Row],[Berechnungsschema]]=6,2,1))</f>
        <v>1</v>
      </c>
      <c r="X343" s="776">
        <f>IF(Kulturen[[#This Row],[fruchtartengruppe]]=13,Kulturen[[#This Row],[NBedarfswert]],MAX(0,Kulturen[[#This Row],[NBedarfswert]]-Kulturen[[#This Row],[Ertrag]]*Kulturen[[#This Row],[Nfix]]))</f>
        <v>180</v>
      </c>
      <c r="Y343" s="776" t="s">
        <v>2127</v>
      </c>
      <c r="Z343" s="776" t="s">
        <v>2127</v>
      </c>
      <c r="AA343" s="776" t="s">
        <v>2127</v>
      </c>
      <c r="AB343" s="776" t="s">
        <v>2127</v>
      </c>
      <c r="AC343" s="776" t="s">
        <v>2127</v>
      </c>
      <c r="AD343" s="776" t="s">
        <v>2127</v>
      </c>
      <c r="AE343" s="776" t="s">
        <v>2127</v>
      </c>
      <c r="AF343" s="776" t="s">
        <v>2127</v>
      </c>
      <c r="AG343" s="776" t="s">
        <v>2127</v>
      </c>
      <c r="AH343" s="776" t="s">
        <v>2127</v>
      </c>
      <c r="AI343" s="776" t="s">
        <v>2127</v>
      </c>
      <c r="AJ343" s="776" t="s">
        <v>2127</v>
      </c>
      <c r="AK343" s="776" t="s">
        <v>2127</v>
      </c>
      <c r="AL343" s="776" t="s">
        <v>2127</v>
      </c>
      <c r="AM343" s="776" t="s">
        <v>2127</v>
      </c>
      <c r="AN343" s="776" t="s">
        <v>2127</v>
      </c>
      <c r="AO343" s="776" t="s">
        <v>2127</v>
      </c>
      <c r="AP343" s="776" t="s">
        <v>2127</v>
      </c>
      <c r="AQ343" s="776" t="s">
        <v>2127</v>
      </c>
      <c r="AR343" s="776" t="s">
        <v>2127</v>
      </c>
      <c r="AS343" s="776" t="s">
        <v>2127</v>
      </c>
      <c r="AT343" s="776" t="s">
        <v>2127</v>
      </c>
      <c r="AU343" s="776" t="s">
        <v>2127</v>
      </c>
      <c r="AV343" s="776" t="s">
        <v>2127</v>
      </c>
      <c r="AW343" s="776" t="s">
        <v>2127</v>
      </c>
      <c r="AX343" s="776" t="s">
        <v>2127</v>
      </c>
      <c r="AY343" s="776" t="s">
        <v>2127</v>
      </c>
      <c r="AZ343" s="776" t="s">
        <v>2127</v>
      </c>
      <c r="BA343" s="776" t="s">
        <v>2127</v>
      </c>
      <c r="BB343" s="776" t="s">
        <v>2127</v>
      </c>
      <c r="BC343" s="776" t="s">
        <v>2127</v>
      </c>
      <c r="BD343" s="776" t="s">
        <v>2127</v>
      </c>
      <c r="BE343" s="776" t="s">
        <v>2127</v>
      </c>
      <c r="BF343" s="776" t="s">
        <v>2127</v>
      </c>
      <c r="BG343" s="776" t="s">
        <v>2127</v>
      </c>
      <c r="BH343" s="776" t="s">
        <v>2127</v>
      </c>
      <c r="BI343" s="776" t="s">
        <v>2127</v>
      </c>
      <c r="BJ343" s="776" t="s">
        <v>2127</v>
      </c>
      <c r="BK343" s="776" t="s">
        <v>2127</v>
      </c>
      <c r="BL343" s="776" t="s">
        <v>2127</v>
      </c>
      <c r="BM343" s="776" t="s">
        <v>2127</v>
      </c>
      <c r="BN343" s="776" t="s">
        <v>2127</v>
      </c>
      <c r="BO343" s="776" t="s">
        <v>2127</v>
      </c>
      <c r="BP343" s="776" t="s">
        <v>2127</v>
      </c>
      <c r="BQ343" s="776" t="s">
        <v>2127</v>
      </c>
      <c r="BR343" s="776" t="s">
        <v>2127</v>
      </c>
      <c r="BS343" s="776" t="s">
        <v>2127</v>
      </c>
      <c r="BT343" s="776" t="s">
        <v>2127</v>
      </c>
      <c r="BU343" s="776" t="s">
        <v>2127</v>
      </c>
      <c r="BV343" s="776" t="s">
        <v>2127</v>
      </c>
      <c r="BW343" s="776" t="s">
        <v>2127</v>
      </c>
      <c r="BX343" s="776" t="s">
        <v>2127</v>
      </c>
      <c r="BY343" s="776" t="s">
        <v>2127</v>
      </c>
      <c r="BZ343" s="776" t="s">
        <v>2127</v>
      </c>
      <c r="CA343" s="776" t="s">
        <v>2127</v>
      </c>
      <c r="CB343" s="776" t="s">
        <v>2127</v>
      </c>
      <c r="CC343" s="776" t="s">
        <v>2127</v>
      </c>
      <c r="CD343" s="776" t="s">
        <v>2127</v>
      </c>
      <c r="CE343" s="776" t="s">
        <v>2127</v>
      </c>
      <c r="CF343" s="776" t="s">
        <v>2127</v>
      </c>
      <c r="CG343" s="776" t="s">
        <v>2127</v>
      </c>
      <c r="CH343" s="776" t="s">
        <v>2127</v>
      </c>
      <c r="CI343" s="776" t="s">
        <v>2127</v>
      </c>
      <c r="CJ343" s="776" t="s">
        <v>2127</v>
      </c>
      <c r="CK343" s="776" t="s">
        <v>2127</v>
      </c>
      <c r="CL343" s="776" t="s">
        <v>2127</v>
      </c>
      <c r="CM343" s="776" t="s">
        <v>2127</v>
      </c>
      <c r="CN343" s="776" t="s">
        <v>2127</v>
      </c>
      <c r="CO343" s="776" t="s">
        <v>2127</v>
      </c>
      <c r="CP343" s="776" t="s">
        <v>2127</v>
      </c>
      <c r="CQ343" s="776" t="s">
        <v>2127</v>
      </c>
      <c r="CR343" s="776" t="s">
        <v>2127</v>
      </c>
      <c r="CS343" s="776" t="s">
        <v>2127</v>
      </c>
      <c r="CT343" s="776" t="s">
        <v>2127</v>
      </c>
      <c r="CU343" s="776" t="s">
        <v>2127</v>
      </c>
      <c r="CV343" s="776" t="s">
        <v>2127</v>
      </c>
      <c r="CW343" s="776" t="s">
        <v>2127</v>
      </c>
      <c r="CX343" s="776" t="s">
        <v>2127</v>
      </c>
      <c r="CY343" s="776" t="s">
        <v>2127</v>
      </c>
      <c r="CZ343" s="776" t="s">
        <v>2127</v>
      </c>
      <c r="DA343" s="776" t="s">
        <v>2127</v>
      </c>
      <c r="DB343" s="776" t="s">
        <v>2127</v>
      </c>
      <c r="DC343" s="776" t="s">
        <v>2127</v>
      </c>
      <c r="DD343" s="776" t="s">
        <v>2127</v>
      </c>
      <c r="DE343" s="776" t="s">
        <v>2127</v>
      </c>
      <c r="DF343" s="776" t="s">
        <v>2127</v>
      </c>
      <c r="DG343" s="776" t="s">
        <v>2127</v>
      </c>
      <c r="DH343" s="776" t="s">
        <v>2127</v>
      </c>
      <c r="DI343" s="776" t="s">
        <v>2127</v>
      </c>
      <c r="DJ343" s="776" t="s">
        <v>2127</v>
      </c>
      <c r="DK343" s="776" t="s">
        <v>2127</v>
      </c>
      <c r="DL343" s="776" t="s">
        <v>2127</v>
      </c>
      <c r="DM343" s="776" t="s">
        <v>2127</v>
      </c>
      <c r="DN343" s="776" t="s">
        <v>2127</v>
      </c>
      <c r="DO343" s="776" t="s">
        <v>2127</v>
      </c>
      <c r="DP343" s="776" t="s">
        <v>2127</v>
      </c>
    </row>
    <row r="344" spans="1:120" x14ac:dyDescent="0.2">
      <c r="A344" s="637" t="s">
        <v>2349</v>
      </c>
      <c r="B344" s="772" t="str" cm="1">
        <f t="array" ref="B344">IFERROR(INDEX(Kulturen[HF],_xlfn.AGGREGATE(15,6,(ROW(Kulturen[Auswahl])-7)/(--(SEARCH("x",Kulturen[Auswahl])&gt;0)),ROW()-7),1),"")</f>
        <v>Sellerie, Schnitt- (Kraut)</v>
      </c>
      <c r="C344" s="772" t="str">
        <f>IF(Kulturen[[#This Row],[HF]]=$D$373,IF($C$6=0,0,"x"),IF($C$6=0,"x",Vorauswahl!C343))</f>
        <v>x</v>
      </c>
      <c r="D344" s="938" t="s">
        <v>2096</v>
      </c>
      <c r="E344" s="938" t="s">
        <v>2096</v>
      </c>
      <c r="F344" s="938" t="s">
        <v>989</v>
      </c>
      <c r="G344" s="938">
        <v>14</v>
      </c>
      <c r="H344" s="938">
        <v>8</v>
      </c>
      <c r="I344" s="938">
        <v>3</v>
      </c>
      <c r="J344" s="938">
        <v>14</v>
      </c>
      <c r="K344" s="938">
        <v>0.09</v>
      </c>
      <c r="L344" s="938">
        <v>0.09</v>
      </c>
      <c r="M344" s="938">
        <v>150</v>
      </c>
      <c r="N344" s="938">
        <v>0</v>
      </c>
      <c r="O344" s="938">
        <v>1</v>
      </c>
      <c r="P344" s="938">
        <v>0</v>
      </c>
      <c r="Q344" s="938">
        <v>95</v>
      </c>
      <c r="R344" s="938">
        <v>15</v>
      </c>
      <c r="S344" s="938">
        <v>5</v>
      </c>
      <c r="T344" s="938">
        <v>5</v>
      </c>
      <c r="U344" s="938">
        <v>0</v>
      </c>
      <c r="V344" s="938">
        <v>1</v>
      </c>
      <c r="W344" s="776">
        <f>IF(Kulturen[[#This Row],[Berechnungsschema]]=13,3,IF(Kulturen[[#This Row],[Berechnungsschema]]=6,2,1))</f>
        <v>1</v>
      </c>
      <c r="X344" s="776">
        <f>IF(Kulturen[[#This Row],[fruchtartengruppe]]=13,Kulturen[[#This Row],[NBedarfswert]],MAX(0,Kulturen[[#This Row],[NBedarfswert]]-Kulturen[[#This Row],[Ertrag]]*Kulturen[[#This Row],[Nfix]]))</f>
        <v>95</v>
      </c>
      <c r="Y344" s="776" t="s">
        <v>2127</v>
      </c>
      <c r="Z344" s="776" t="s">
        <v>2127</v>
      </c>
      <c r="AA344" s="776" t="s">
        <v>2127</v>
      </c>
      <c r="AB344" s="776" t="s">
        <v>2127</v>
      </c>
      <c r="AC344" s="776" t="s">
        <v>2127</v>
      </c>
      <c r="AD344" s="776" t="s">
        <v>2127</v>
      </c>
      <c r="AE344" s="776" t="s">
        <v>2127</v>
      </c>
      <c r="AF344" s="776" t="s">
        <v>2127</v>
      </c>
      <c r="AG344" s="776" t="s">
        <v>2127</v>
      </c>
      <c r="AH344" s="776" t="s">
        <v>2127</v>
      </c>
      <c r="AI344" s="776" t="s">
        <v>2127</v>
      </c>
      <c r="AJ344" s="776" t="s">
        <v>2127</v>
      </c>
      <c r="AK344" s="776" t="s">
        <v>2127</v>
      </c>
      <c r="AL344" s="776" t="s">
        <v>2127</v>
      </c>
      <c r="AM344" s="776" t="s">
        <v>2127</v>
      </c>
      <c r="AN344" s="776" t="s">
        <v>2127</v>
      </c>
      <c r="AO344" s="776" t="s">
        <v>2127</v>
      </c>
      <c r="AP344" s="776" t="s">
        <v>2127</v>
      </c>
      <c r="AQ344" s="776" t="s">
        <v>2127</v>
      </c>
      <c r="AR344" s="776" t="s">
        <v>2127</v>
      </c>
      <c r="AS344" s="776" t="s">
        <v>2127</v>
      </c>
      <c r="AT344" s="776" t="s">
        <v>2127</v>
      </c>
      <c r="AU344" s="776" t="s">
        <v>2127</v>
      </c>
      <c r="AV344" s="776" t="s">
        <v>2127</v>
      </c>
      <c r="AW344" s="776" t="s">
        <v>2127</v>
      </c>
      <c r="AX344" s="776" t="s">
        <v>2127</v>
      </c>
      <c r="AY344" s="776" t="s">
        <v>2127</v>
      </c>
      <c r="AZ344" s="776" t="s">
        <v>2127</v>
      </c>
      <c r="BA344" s="776" t="s">
        <v>2127</v>
      </c>
      <c r="BB344" s="776" t="s">
        <v>2127</v>
      </c>
      <c r="BC344" s="776" t="s">
        <v>2127</v>
      </c>
      <c r="BD344" s="776" t="s">
        <v>2127</v>
      </c>
      <c r="BE344" s="776" t="s">
        <v>2127</v>
      </c>
      <c r="BF344" s="776" t="s">
        <v>2127</v>
      </c>
      <c r="BG344" s="776" t="s">
        <v>2127</v>
      </c>
      <c r="BH344" s="776" t="s">
        <v>2127</v>
      </c>
      <c r="BI344" s="776" t="s">
        <v>2127</v>
      </c>
      <c r="BJ344" s="776" t="s">
        <v>2127</v>
      </c>
      <c r="BK344" s="776" t="s">
        <v>2127</v>
      </c>
      <c r="BL344" s="776" t="s">
        <v>2127</v>
      </c>
      <c r="BM344" s="776" t="s">
        <v>2127</v>
      </c>
      <c r="BN344" s="776" t="s">
        <v>2127</v>
      </c>
      <c r="BO344" s="776" t="s">
        <v>2127</v>
      </c>
      <c r="BP344" s="776" t="s">
        <v>2127</v>
      </c>
      <c r="BQ344" s="776" t="s">
        <v>2127</v>
      </c>
      <c r="BR344" s="776" t="s">
        <v>2127</v>
      </c>
      <c r="BS344" s="776" t="s">
        <v>2127</v>
      </c>
      <c r="BT344" s="776" t="s">
        <v>2127</v>
      </c>
      <c r="BU344" s="776" t="s">
        <v>2127</v>
      </c>
      <c r="BV344" s="776" t="s">
        <v>2127</v>
      </c>
      <c r="BW344" s="776" t="s">
        <v>2127</v>
      </c>
      <c r="BX344" s="776" t="s">
        <v>2127</v>
      </c>
      <c r="BY344" s="776" t="s">
        <v>2127</v>
      </c>
      <c r="BZ344" s="776" t="s">
        <v>2127</v>
      </c>
      <c r="CA344" s="776" t="s">
        <v>2127</v>
      </c>
      <c r="CB344" s="776" t="s">
        <v>2127</v>
      </c>
      <c r="CC344" s="776" t="s">
        <v>2127</v>
      </c>
      <c r="CD344" s="776" t="s">
        <v>2127</v>
      </c>
      <c r="CE344" s="776" t="s">
        <v>2127</v>
      </c>
      <c r="CF344" s="776" t="s">
        <v>2127</v>
      </c>
      <c r="CG344" s="776" t="s">
        <v>2127</v>
      </c>
      <c r="CH344" s="776" t="s">
        <v>2127</v>
      </c>
      <c r="CI344" s="776" t="s">
        <v>2127</v>
      </c>
      <c r="CJ344" s="776" t="s">
        <v>2127</v>
      </c>
      <c r="CK344" s="776" t="s">
        <v>2127</v>
      </c>
      <c r="CL344" s="776" t="s">
        <v>2127</v>
      </c>
      <c r="CM344" s="776" t="s">
        <v>2127</v>
      </c>
      <c r="CN344" s="776" t="s">
        <v>2127</v>
      </c>
      <c r="CO344" s="776" t="s">
        <v>2127</v>
      </c>
      <c r="CP344" s="776" t="s">
        <v>2127</v>
      </c>
      <c r="CQ344" s="776" t="s">
        <v>2127</v>
      </c>
      <c r="CR344" s="776" t="s">
        <v>2127</v>
      </c>
      <c r="CS344" s="776" t="s">
        <v>2127</v>
      </c>
      <c r="CT344" s="776" t="s">
        <v>2127</v>
      </c>
      <c r="CU344" s="776" t="s">
        <v>2127</v>
      </c>
      <c r="CV344" s="776" t="s">
        <v>2127</v>
      </c>
      <c r="CW344" s="776" t="s">
        <v>2127</v>
      </c>
      <c r="CX344" s="776" t="s">
        <v>2127</v>
      </c>
      <c r="CY344" s="776" t="s">
        <v>2127</v>
      </c>
      <c r="CZ344" s="776" t="s">
        <v>2127</v>
      </c>
      <c r="DA344" s="776" t="s">
        <v>2127</v>
      </c>
      <c r="DB344" s="776" t="s">
        <v>2127</v>
      </c>
      <c r="DC344" s="776" t="s">
        <v>2127</v>
      </c>
      <c r="DD344" s="776" t="s">
        <v>2127</v>
      </c>
      <c r="DE344" s="776" t="s">
        <v>2127</v>
      </c>
      <c r="DF344" s="776" t="s">
        <v>2127</v>
      </c>
      <c r="DG344" s="776" t="s">
        <v>2127</v>
      </c>
      <c r="DH344" s="776" t="s">
        <v>2127</v>
      </c>
      <c r="DI344" s="776" t="s">
        <v>2127</v>
      </c>
      <c r="DJ344" s="776" t="s">
        <v>2127</v>
      </c>
      <c r="DK344" s="776" t="s">
        <v>2127</v>
      </c>
      <c r="DL344" s="776" t="s">
        <v>2127</v>
      </c>
      <c r="DM344" s="776" t="s">
        <v>2127</v>
      </c>
      <c r="DN344" s="776" t="s">
        <v>2127</v>
      </c>
      <c r="DO344" s="776" t="s">
        <v>2127</v>
      </c>
      <c r="DP344" s="776" t="s">
        <v>2127</v>
      </c>
    </row>
    <row r="345" spans="1:120" x14ac:dyDescent="0.2">
      <c r="A345" s="637" t="s">
        <v>2350</v>
      </c>
      <c r="B345" s="772" t="str" cm="1">
        <f t="array" ref="B345">IFERROR(INDEX(Kulturen[HF],_xlfn.AGGREGATE(15,6,(ROW(Kulturen[Auswahl])-7)/(--(SEARCH("x",Kulturen[Auswahl])&gt;0)),ROW()-7),1),"")</f>
        <v>Senf, Brauner (Samen)</v>
      </c>
      <c r="C345" s="772" t="str">
        <f>IF(Kulturen[[#This Row],[HF]]=$D$373,IF($C$6=0,0,"x"),IF($C$6=0,"x",Vorauswahl!C344))</f>
        <v>x</v>
      </c>
      <c r="D345" s="938" t="s">
        <v>2097</v>
      </c>
      <c r="E345" s="938" t="s">
        <v>2097</v>
      </c>
      <c r="F345" s="938" t="s">
        <v>990</v>
      </c>
      <c r="G345" s="938">
        <v>14</v>
      </c>
      <c r="H345" s="938">
        <v>8</v>
      </c>
      <c r="I345" s="938">
        <v>1</v>
      </c>
      <c r="J345" s="938">
        <v>14</v>
      </c>
      <c r="K345" s="938">
        <v>0.15</v>
      </c>
      <c r="L345" s="938">
        <v>0.28999999999999998</v>
      </c>
      <c r="M345" s="938">
        <v>120</v>
      </c>
      <c r="N345" s="938">
        <v>0</v>
      </c>
      <c r="O345" s="938">
        <v>1</v>
      </c>
      <c r="P345" s="938">
        <v>0</v>
      </c>
      <c r="Q345" s="938">
        <v>105</v>
      </c>
      <c r="R345" s="938">
        <v>12</v>
      </c>
      <c r="S345" s="938">
        <v>11</v>
      </c>
      <c r="T345" s="938">
        <v>11</v>
      </c>
      <c r="U345" s="938">
        <v>0</v>
      </c>
      <c r="V345" s="938">
        <v>1</v>
      </c>
      <c r="W345" s="776">
        <f>IF(Kulturen[[#This Row],[Berechnungsschema]]=13,3,IF(Kulturen[[#This Row],[Berechnungsschema]]=6,2,1))</f>
        <v>1</v>
      </c>
      <c r="X345" s="776">
        <f>IF(Kulturen[[#This Row],[fruchtartengruppe]]=13,Kulturen[[#This Row],[NBedarfswert]],MAX(0,Kulturen[[#This Row],[NBedarfswert]]-Kulturen[[#This Row],[Ertrag]]*Kulturen[[#This Row],[Nfix]]))</f>
        <v>105</v>
      </c>
      <c r="Y345" s="776" t="s">
        <v>2127</v>
      </c>
      <c r="Z345" s="776" t="s">
        <v>2127</v>
      </c>
      <c r="AA345" s="776" t="s">
        <v>2127</v>
      </c>
      <c r="AB345" s="776" t="s">
        <v>2127</v>
      </c>
      <c r="AC345" s="776" t="s">
        <v>2127</v>
      </c>
      <c r="AD345" s="776" t="s">
        <v>2127</v>
      </c>
      <c r="AE345" s="776" t="s">
        <v>2127</v>
      </c>
      <c r="AF345" s="776" t="s">
        <v>2127</v>
      </c>
      <c r="AG345" s="776" t="s">
        <v>2127</v>
      </c>
      <c r="AH345" s="776" t="s">
        <v>2127</v>
      </c>
      <c r="AI345" s="776" t="s">
        <v>2127</v>
      </c>
      <c r="AJ345" s="776" t="s">
        <v>2127</v>
      </c>
      <c r="AK345" s="776" t="s">
        <v>2127</v>
      </c>
      <c r="AL345" s="776" t="s">
        <v>2127</v>
      </c>
      <c r="AM345" s="776" t="s">
        <v>2127</v>
      </c>
      <c r="AN345" s="776" t="s">
        <v>2127</v>
      </c>
      <c r="AO345" s="776" t="s">
        <v>2127</v>
      </c>
      <c r="AP345" s="776" t="s">
        <v>2127</v>
      </c>
      <c r="AQ345" s="776" t="s">
        <v>2127</v>
      </c>
      <c r="AR345" s="776" t="s">
        <v>2127</v>
      </c>
      <c r="AS345" s="776" t="s">
        <v>2127</v>
      </c>
      <c r="AT345" s="776" t="s">
        <v>2127</v>
      </c>
      <c r="AU345" s="776" t="s">
        <v>2127</v>
      </c>
      <c r="AV345" s="776" t="s">
        <v>2127</v>
      </c>
      <c r="AW345" s="776" t="s">
        <v>2127</v>
      </c>
      <c r="AX345" s="776" t="s">
        <v>2127</v>
      </c>
      <c r="AY345" s="776" t="s">
        <v>2127</v>
      </c>
      <c r="AZ345" s="776" t="s">
        <v>2127</v>
      </c>
      <c r="BA345" s="776" t="s">
        <v>2127</v>
      </c>
      <c r="BB345" s="776" t="s">
        <v>2127</v>
      </c>
      <c r="BC345" s="776" t="s">
        <v>2127</v>
      </c>
      <c r="BD345" s="776" t="s">
        <v>2127</v>
      </c>
      <c r="BE345" s="776" t="s">
        <v>2127</v>
      </c>
      <c r="BF345" s="776" t="s">
        <v>2127</v>
      </c>
      <c r="BG345" s="776" t="s">
        <v>2127</v>
      </c>
      <c r="BH345" s="776" t="s">
        <v>2127</v>
      </c>
      <c r="BI345" s="776" t="s">
        <v>2127</v>
      </c>
      <c r="BJ345" s="776" t="s">
        <v>2127</v>
      </c>
      <c r="BK345" s="776" t="s">
        <v>2127</v>
      </c>
      <c r="BL345" s="776" t="s">
        <v>2127</v>
      </c>
      <c r="BM345" s="776" t="s">
        <v>2127</v>
      </c>
      <c r="BN345" s="776" t="s">
        <v>2127</v>
      </c>
      <c r="BO345" s="776" t="s">
        <v>2127</v>
      </c>
      <c r="BP345" s="776" t="s">
        <v>2127</v>
      </c>
      <c r="BQ345" s="776" t="s">
        <v>2127</v>
      </c>
      <c r="BR345" s="776" t="s">
        <v>2127</v>
      </c>
      <c r="BS345" s="776" t="s">
        <v>2127</v>
      </c>
      <c r="BT345" s="776" t="s">
        <v>2127</v>
      </c>
      <c r="BU345" s="776" t="s">
        <v>2127</v>
      </c>
      <c r="BV345" s="776" t="s">
        <v>2127</v>
      </c>
      <c r="BW345" s="776" t="s">
        <v>2127</v>
      </c>
      <c r="BX345" s="776" t="s">
        <v>2127</v>
      </c>
      <c r="BY345" s="776" t="s">
        <v>2127</v>
      </c>
      <c r="BZ345" s="776" t="s">
        <v>2127</v>
      </c>
      <c r="CA345" s="776" t="s">
        <v>2127</v>
      </c>
      <c r="CB345" s="776" t="s">
        <v>2127</v>
      </c>
      <c r="CC345" s="776" t="s">
        <v>2127</v>
      </c>
      <c r="CD345" s="776" t="s">
        <v>2127</v>
      </c>
      <c r="CE345" s="776" t="s">
        <v>2127</v>
      </c>
      <c r="CF345" s="776" t="s">
        <v>2127</v>
      </c>
      <c r="CG345" s="776" t="s">
        <v>2127</v>
      </c>
      <c r="CH345" s="776" t="s">
        <v>2127</v>
      </c>
      <c r="CI345" s="776" t="s">
        <v>2127</v>
      </c>
      <c r="CJ345" s="776" t="s">
        <v>2127</v>
      </c>
      <c r="CK345" s="776" t="s">
        <v>2127</v>
      </c>
      <c r="CL345" s="776" t="s">
        <v>2127</v>
      </c>
      <c r="CM345" s="776" t="s">
        <v>2127</v>
      </c>
      <c r="CN345" s="776" t="s">
        <v>2127</v>
      </c>
      <c r="CO345" s="776" t="s">
        <v>2127</v>
      </c>
      <c r="CP345" s="776" t="s">
        <v>2127</v>
      </c>
      <c r="CQ345" s="776" t="s">
        <v>2127</v>
      </c>
      <c r="CR345" s="776" t="s">
        <v>2127</v>
      </c>
      <c r="CS345" s="776" t="s">
        <v>2127</v>
      </c>
      <c r="CT345" s="776" t="s">
        <v>2127</v>
      </c>
      <c r="CU345" s="776" t="s">
        <v>2127</v>
      </c>
      <c r="CV345" s="776" t="s">
        <v>2127</v>
      </c>
      <c r="CW345" s="776" t="s">
        <v>2127</v>
      </c>
      <c r="CX345" s="776" t="s">
        <v>2127</v>
      </c>
      <c r="CY345" s="776" t="s">
        <v>2127</v>
      </c>
      <c r="CZ345" s="776" t="s">
        <v>2127</v>
      </c>
      <c r="DA345" s="776" t="s">
        <v>2127</v>
      </c>
      <c r="DB345" s="776" t="s">
        <v>2127</v>
      </c>
      <c r="DC345" s="776" t="s">
        <v>2127</v>
      </c>
      <c r="DD345" s="776" t="s">
        <v>2127</v>
      </c>
      <c r="DE345" s="776" t="s">
        <v>2127</v>
      </c>
      <c r="DF345" s="776" t="s">
        <v>2127</v>
      </c>
      <c r="DG345" s="776" t="s">
        <v>2127</v>
      </c>
      <c r="DH345" s="776" t="s">
        <v>2127</v>
      </c>
      <c r="DI345" s="776" t="s">
        <v>2127</v>
      </c>
      <c r="DJ345" s="776" t="s">
        <v>2127</v>
      </c>
      <c r="DK345" s="776" t="s">
        <v>2127</v>
      </c>
      <c r="DL345" s="776" t="s">
        <v>2127</v>
      </c>
      <c r="DM345" s="776" t="s">
        <v>2127</v>
      </c>
      <c r="DN345" s="776" t="s">
        <v>2127</v>
      </c>
      <c r="DO345" s="776" t="s">
        <v>2127</v>
      </c>
      <c r="DP345" s="776" t="s">
        <v>2127</v>
      </c>
    </row>
    <row r="346" spans="1:120" x14ac:dyDescent="0.2">
      <c r="A346" s="637"/>
      <c r="B346" s="772" t="str" cm="1">
        <f t="array" ref="B346">IFERROR(INDEX(Kulturen[HF],_xlfn.AGGREGATE(15,6,(ROW(Kulturen[Auswahl])-7)/(--(SEARCH("x",Kulturen[Auswahl])&gt;0)),ROW()-7),1),"")</f>
        <v>Senf, Gelber/Weißer (Samen)</v>
      </c>
      <c r="C346" s="772" t="str">
        <f>IF(Kulturen[[#This Row],[HF]]=$D$373,IF($C$6=0,0,"x"),IF($C$6=0,"x",Vorauswahl!C345))</f>
        <v>x</v>
      </c>
      <c r="D346" s="938" t="s">
        <v>2098</v>
      </c>
      <c r="E346" s="938" t="s">
        <v>2098</v>
      </c>
      <c r="F346" s="938" t="s">
        <v>2099</v>
      </c>
      <c r="G346" s="938">
        <v>14</v>
      </c>
      <c r="H346" s="938">
        <v>8</v>
      </c>
      <c r="I346" s="938">
        <v>1</v>
      </c>
      <c r="J346" s="938">
        <v>14</v>
      </c>
      <c r="K346" s="938">
        <v>0.12</v>
      </c>
      <c r="L346" s="938">
        <v>0.12</v>
      </c>
      <c r="M346" s="938">
        <v>25</v>
      </c>
      <c r="N346" s="938">
        <v>0</v>
      </c>
      <c r="O346" s="938">
        <v>1</v>
      </c>
      <c r="P346" s="938">
        <v>0</v>
      </c>
      <c r="Q346" s="938">
        <v>95</v>
      </c>
      <c r="R346" s="938">
        <v>3</v>
      </c>
      <c r="S346" s="938">
        <v>5</v>
      </c>
      <c r="T346" s="938">
        <v>5</v>
      </c>
      <c r="U346" s="938">
        <v>0</v>
      </c>
      <c r="V346" s="938">
        <v>1</v>
      </c>
      <c r="W346" s="776">
        <f>IF(Kulturen[[#This Row],[Berechnungsschema]]=13,3,IF(Kulturen[[#This Row],[Berechnungsschema]]=6,2,1))</f>
        <v>1</v>
      </c>
      <c r="X346" s="776">
        <f>IF(Kulturen[[#This Row],[fruchtartengruppe]]=13,Kulturen[[#This Row],[NBedarfswert]],MAX(0,Kulturen[[#This Row],[NBedarfswert]]-Kulturen[[#This Row],[Ertrag]]*Kulturen[[#This Row],[Nfix]]))</f>
        <v>95</v>
      </c>
      <c r="Y346" s="776" t="s">
        <v>2127</v>
      </c>
      <c r="Z346" s="776" t="s">
        <v>2127</v>
      </c>
      <c r="AA346" s="776" t="s">
        <v>2127</v>
      </c>
      <c r="AB346" s="776" t="s">
        <v>2127</v>
      </c>
      <c r="AC346" s="776" t="s">
        <v>2127</v>
      </c>
      <c r="AD346" s="776" t="s">
        <v>2127</v>
      </c>
      <c r="AE346" s="776" t="s">
        <v>2127</v>
      </c>
      <c r="AF346" s="776" t="s">
        <v>2127</v>
      </c>
      <c r="AG346" s="776" t="s">
        <v>2127</v>
      </c>
      <c r="AH346" s="776" t="s">
        <v>2127</v>
      </c>
      <c r="AI346" s="776" t="s">
        <v>2127</v>
      </c>
      <c r="AJ346" s="776" t="s">
        <v>2127</v>
      </c>
      <c r="AK346" s="776" t="s">
        <v>2127</v>
      </c>
      <c r="AL346" s="776" t="s">
        <v>2127</v>
      </c>
      <c r="AM346" s="776" t="s">
        <v>2127</v>
      </c>
      <c r="AN346" s="776" t="s">
        <v>2127</v>
      </c>
      <c r="AO346" s="776" t="s">
        <v>2127</v>
      </c>
      <c r="AP346" s="776" t="s">
        <v>2127</v>
      </c>
      <c r="AQ346" s="776" t="s">
        <v>2127</v>
      </c>
      <c r="AR346" s="776" t="s">
        <v>2127</v>
      </c>
      <c r="AS346" s="776" t="s">
        <v>2127</v>
      </c>
      <c r="AT346" s="776" t="s">
        <v>2127</v>
      </c>
      <c r="AU346" s="776" t="s">
        <v>2127</v>
      </c>
      <c r="AV346" s="776" t="s">
        <v>2127</v>
      </c>
      <c r="AW346" s="776" t="s">
        <v>2127</v>
      </c>
      <c r="AX346" s="776" t="s">
        <v>2127</v>
      </c>
      <c r="AY346" s="776" t="s">
        <v>2127</v>
      </c>
      <c r="AZ346" s="776" t="s">
        <v>2127</v>
      </c>
      <c r="BA346" s="776" t="s">
        <v>2127</v>
      </c>
      <c r="BB346" s="776" t="s">
        <v>2127</v>
      </c>
      <c r="BC346" s="776" t="s">
        <v>2127</v>
      </c>
      <c r="BD346" s="776" t="s">
        <v>2127</v>
      </c>
      <c r="BE346" s="776" t="s">
        <v>2127</v>
      </c>
      <c r="BF346" s="776" t="s">
        <v>2127</v>
      </c>
      <c r="BG346" s="776" t="s">
        <v>2127</v>
      </c>
      <c r="BH346" s="776" t="s">
        <v>2127</v>
      </c>
      <c r="BI346" s="776" t="s">
        <v>2127</v>
      </c>
      <c r="BJ346" s="776" t="s">
        <v>2127</v>
      </c>
      <c r="BK346" s="776" t="s">
        <v>2127</v>
      </c>
      <c r="BL346" s="776" t="s">
        <v>2127</v>
      </c>
      <c r="BM346" s="776" t="s">
        <v>2127</v>
      </c>
      <c r="BN346" s="776" t="s">
        <v>2127</v>
      </c>
      <c r="BO346" s="776" t="s">
        <v>2127</v>
      </c>
      <c r="BP346" s="776" t="s">
        <v>2127</v>
      </c>
      <c r="BQ346" s="776" t="s">
        <v>2127</v>
      </c>
      <c r="BR346" s="776" t="s">
        <v>2127</v>
      </c>
      <c r="BS346" s="776" t="s">
        <v>2127</v>
      </c>
      <c r="BT346" s="776" t="s">
        <v>2127</v>
      </c>
      <c r="BU346" s="776" t="s">
        <v>2127</v>
      </c>
      <c r="BV346" s="776" t="s">
        <v>2127</v>
      </c>
      <c r="BW346" s="776" t="s">
        <v>2127</v>
      </c>
      <c r="BX346" s="776" t="s">
        <v>2127</v>
      </c>
      <c r="BY346" s="776" t="s">
        <v>2127</v>
      </c>
      <c r="BZ346" s="776" t="s">
        <v>2127</v>
      </c>
      <c r="CA346" s="776" t="s">
        <v>2127</v>
      </c>
      <c r="CB346" s="776" t="s">
        <v>2127</v>
      </c>
      <c r="CC346" s="776" t="s">
        <v>2127</v>
      </c>
      <c r="CD346" s="776" t="s">
        <v>2127</v>
      </c>
      <c r="CE346" s="776" t="s">
        <v>2127</v>
      </c>
      <c r="CF346" s="776" t="s">
        <v>2127</v>
      </c>
      <c r="CG346" s="776" t="s">
        <v>2127</v>
      </c>
      <c r="CH346" s="776" t="s">
        <v>2127</v>
      </c>
      <c r="CI346" s="776" t="s">
        <v>2127</v>
      </c>
      <c r="CJ346" s="776" t="s">
        <v>2127</v>
      </c>
      <c r="CK346" s="776" t="s">
        <v>2127</v>
      </c>
      <c r="CL346" s="776" t="s">
        <v>2127</v>
      </c>
      <c r="CM346" s="776" t="s">
        <v>2127</v>
      </c>
      <c r="CN346" s="776" t="s">
        <v>2127</v>
      </c>
      <c r="CO346" s="776" t="s">
        <v>2127</v>
      </c>
      <c r="CP346" s="776" t="s">
        <v>2127</v>
      </c>
      <c r="CQ346" s="776" t="s">
        <v>2127</v>
      </c>
      <c r="CR346" s="776" t="s">
        <v>2127</v>
      </c>
      <c r="CS346" s="776" t="s">
        <v>2127</v>
      </c>
      <c r="CT346" s="776" t="s">
        <v>2127</v>
      </c>
      <c r="CU346" s="776" t="s">
        <v>2127</v>
      </c>
      <c r="CV346" s="776" t="s">
        <v>2127</v>
      </c>
      <c r="CW346" s="776" t="s">
        <v>2127</v>
      </c>
      <c r="CX346" s="776" t="s">
        <v>2127</v>
      </c>
      <c r="CY346" s="776" t="s">
        <v>2127</v>
      </c>
      <c r="CZ346" s="776" t="s">
        <v>2127</v>
      </c>
      <c r="DA346" s="776" t="s">
        <v>2127</v>
      </c>
      <c r="DB346" s="776" t="s">
        <v>2127</v>
      </c>
      <c r="DC346" s="776" t="s">
        <v>2127</v>
      </c>
      <c r="DD346" s="776" t="s">
        <v>2127</v>
      </c>
      <c r="DE346" s="776" t="s">
        <v>2127</v>
      </c>
      <c r="DF346" s="776" t="s">
        <v>2127</v>
      </c>
      <c r="DG346" s="776" t="s">
        <v>2127</v>
      </c>
      <c r="DH346" s="776" t="s">
        <v>2127</v>
      </c>
      <c r="DI346" s="776" t="s">
        <v>2127</v>
      </c>
      <c r="DJ346" s="776" t="s">
        <v>2127</v>
      </c>
      <c r="DK346" s="776" t="s">
        <v>2127</v>
      </c>
      <c r="DL346" s="776" t="s">
        <v>2127</v>
      </c>
      <c r="DM346" s="776" t="s">
        <v>2127</v>
      </c>
      <c r="DN346" s="776" t="s">
        <v>2127</v>
      </c>
      <c r="DO346" s="776" t="s">
        <v>2127</v>
      </c>
      <c r="DP346" s="776" t="s">
        <v>2127</v>
      </c>
    </row>
    <row r="347" spans="1:120" x14ac:dyDescent="0.2">
      <c r="A347" s="637" t="s">
        <v>2351</v>
      </c>
      <c r="B347" s="772" t="str" cm="1">
        <f t="array" ref="B347">IFERROR(INDEX(Kulturen[HF],_xlfn.AGGREGATE(15,6,(ROW(Kulturen[Auswahl])-7)/(--(SEARCH("x",Kulturen[Auswahl])&gt;0)),ROW()-7),1),"")</f>
        <v>Senf, Schwarzer (Samen)</v>
      </c>
      <c r="C347" s="772" t="str">
        <f>IF(Kulturen[[#This Row],[HF]]=$D$373,IF($C$6=0,0,"x"),IF($C$6=0,"x",Vorauswahl!C346))</f>
        <v>x</v>
      </c>
      <c r="D347" s="938" t="s">
        <v>2100</v>
      </c>
      <c r="E347" s="938" t="s">
        <v>2100</v>
      </c>
      <c r="F347" s="938" t="s">
        <v>991</v>
      </c>
      <c r="G347" s="938">
        <v>14</v>
      </c>
      <c r="H347" s="938">
        <v>8</v>
      </c>
      <c r="I347" s="938">
        <v>3</v>
      </c>
      <c r="J347" s="938">
        <v>14</v>
      </c>
      <c r="K347" s="938">
        <v>0.09</v>
      </c>
      <c r="L347" s="938">
        <v>0.09</v>
      </c>
      <c r="M347" s="938">
        <v>200</v>
      </c>
      <c r="N347" s="938">
        <v>0</v>
      </c>
      <c r="O347" s="938">
        <v>2</v>
      </c>
      <c r="P347" s="938">
        <v>0</v>
      </c>
      <c r="Q347" s="938">
        <v>145</v>
      </c>
      <c r="R347" s="938">
        <v>20</v>
      </c>
      <c r="S347" s="938">
        <v>7</v>
      </c>
      <c r="T347" s="938">
        <v>7</v>
      </c>
      <c r="U347" s="938">
        <v>0</v>
      </c>
      <c r="V347" s="938">
        <v>1</v>
      </c>
      <c r="W347" s="776">
        <f>IF(Kulturen[[#This Row],[Berechnungsschema]]=13,3,IF(Kulturen[[#This Row],[Berechnungsschema]]=6,2,1))</f>
        <v>1</v>
      </c>
      <c r="X347" s="776">
        <f>IF(Kulturen[[#This Row],[fruchtartengruppe]]=13,Kulturen[[#This Row],[NBedarfswert]],MAX(0,Kulturen[[#This Row],[NBedarfswert]]-Kulturen[[#This Row],[Ertrag]]*Kulturen[[#This Row],[Nfix]]))</f>
        <v>145</v>
      </c>
      <c r="Y347" s="776" t="s">
        <v>2127</v>
      </c>
      <c r="Z347" s="776" t="s">
        <v>2127</v>
      </c>
      <c r="AA347" s="776" t="s">
        <v>2127</v>
      </c>
      <c r="AB347" s="776" t="s">
        <v>2127</v>
      </c>
      <c r="AC347" s="776" t="s">
        <v>2127</v>
      </c>
      <c r="AD347" s="776" t="s">
        <v>2127</v>
      </c>
      <c r="AE347" s="776" t="s">
        <v>2127</v>
      </c>
      <c r="AF347" s="776" t="s">
        <v>2127</v>
      </c>
      <c r="AG347" s="776" t="s">
        <v>2127</v>
      </c>
      <c r="AH347" s="776" t="s">
        <v>2127</v>
      </c>
      <c r="AI347" s="776" t="s">
        <v>2127</v>
      </c>
      <c r="AJ347" s="776" t="s">
        <v>2127</v>
      </c>
      <c r="AK347" s="776" t="s">
        <v>2127</v>
      </c>
      <c r="AL347" s="776" t="s">
        <v>2127</v>
      </c>
      <c r="AM347" s="776" t="s">
        <v>2127</v>
      </c>
      <c r="AN347" s="776" t="s">
        <v>2127</v>
      </c>
      <c r="AO347" s="776" t="s">
        <v>2127</v>
      </c>
      <c r="AP347" s="776" t="s">
        <v>2127</v>
      </c>
      <c r="AQ347" s="776" t="s">
        <v>2127</v>
      </c>
      <c r="AR347" s="776" t="s">
        <v>2127</v>
      </c>
      <c r="AS347" s="776" t="s">
        <v>2127</v>
      </c>
      <c r="AT347" s="776" t="s">
        <v>2127</v>
      </c>
      <c r="AU347" s="776" t="s">
        <v>2127</v>
      </c>
      <c r="AV347" s="776" t="s">
        <v>2127</v>
      </c>
      <c r="AW347" s="776" t="s">
        <v>2127</v>
      </c>
      <c r="AX347" s="776" t="s">
        <v>2127</v>
      </c>
      <c r="AY347" s="776" t="s">
        <v>2127</v>
      </c>
      <c r="AZ347" s="776" t="s">
        <v>2127</v>
      </c>
      <c r="BA347" s="776" t="s">
        <v>2127</v>
      </c>
      <c r="BB347" s="776" t="s">
        <v>2127</v>
      </c>
      <c r="BC347" s="776" t="s">
        <v>2127</v>
      </c>
      <c r="BD347" s="776" t="s">
        <v>2127</v>
      </c>
      <c r="BE347" s="776" t="s">
        <v>2127</v>
      </c>
      <c r="BF347" s="776" t="s">
        <v>2127</v>
      </c>
      <c r="BG347" s="776" t="s">
        <v>2127</v>
      </c>
      <c r="BH347" s="776" t="s">
        <v>2127</v>
      </c>
      <c r="BI347" s="776" t="s">
        <v>2127</v>
      </c>
      <c r="BJ347" s="776" t="s">
        <v>2127</v>
      </c>
      <c r="BK347" s="776" t="s">
        <v>2127</v>
      </c>
      <c r="BL347" s="776" t="s">
        <v>2127</v>
      </c>
      <c r="BM347" s="776" t="s">
        <v>2127</v>
      </c>
      <c r="BN347" s="776" t="s">
        <v>2127</v>
      </c>
      <c r="BO347" s="776" t="s">
        <v>2127</v>
      </c>
      <c r="BP347" s="776" t="s">
        <v>2127</v>
      </c>
      <c r="BQ347" s="776" t="s">
        <v>2127</v>
      </c>
      <c r="BR347" s="776" t="s">
        <v>2127</v>
      </c>
      <c r="BS347" s="776" t="s">
        <v>2127</v>
      </c>
      <c r="BT347" s="776" t="s">
        <v>2127</v>
      </c>
      <c r="BU347" s="776" t="s">
        <v>2127</v>
      </c>
      <c r="BV347" s="776" t="s">
        <v>2127</v>
      </c>
      <c r="BW347" s="776" t="s">
        <v>2127</v>
      </c>
      <c r="BX347" s="776" t="s">
        <v>2127</v>
      </c>
      <c r="BY347" s="776" t="s">
        <v>2127</v>
      </c>
      <c r="BZ347" s="776" t="s">
        <v>2127</v>
      </c>
      <c r="CA347" s="776" t="s">
        <v>2127</v>
      </c>
      <c r="CB347" s="776" t="s">
        <v>2127</v>
      </c>
      <c r="CC347" s="776" t="s">
        <v>2127</v>
      </c>
      <c r="CD347" s="776" t="s">
        <v>2127</v>
      </c>
      <c r="CE347" s="776" t="s">
        <v>2127</v>
      </c>
      <c r="CF347" s="776" t="s">
        <v>2127</v>
      </c>
      <c r="CG347" s="776" t="s">
        <v>2127</v>
      </c>
      <c r="CH347" s="776" t="s">
        <v>2127</v>
      </c>
      <c r="CI347" s="776" t="s">
        <v>2127</v>
      </c>
      <c r="CJ347" s="776" t="s">
        <v>2127</v>
      </c>
      <c r="CK347" s="776" t="s">
        <v>2127</v>
      </c>
      <c r="CL347" s="776" t="s">
        <v>2127</v>
      </c>
      <c r="CM347" s="776" t="s">
        <v>2127</v>
      </c>
      <c r="CN347" s="776" t="s">
        <v>2127</v>
      </c>
      <c r="CO347" s="776" t="s">
        <v>2127</v>
      </c>
      <c r="CP347" s="776" t="s">
        <v>2127</v>
      </c>
      <c r="CQ347" s="776" t="s">
        <v>2127</v>
      </c>
      <c r="CR347" s="776" t="s">
        <v>2127</v>
      </c>
      <c r="CS347" s="776" t="s">
        <v>2127</v>
      </c>
      <c r="CT347" s="776" t="s">
        <v>2127</v>
      </c>
      <c r="CU347" s="776" t="s">
        <v>2127</v>
      </c>
      <c r="CV347" s="776" t="s">
        <v>2127</v>
      </c>
      <c r="CW347" s="776" t="s">
        <v>2127</v>
      </c>
      <c r="CX347" s="776" t="s">
        <v>2127</v>
      </c>
      <c r="CY347" s="776" t="s">
        <v>2127</v>
      </c>
      <c r="CZ347" s="776" t="s">
        <v>2127</v>
      </c>
      <c r="DA347" s="776" t="s">
        <v>2127</v>
      </c>
      <c r="DB347" s="776" t="s">
        <v>2127</v>
      </c>
      <c r="DC347" s="776" t="s">
        <v>2127</v>
      </c>
      <c r="DD347" s="776" t="s">
        <v>2127</v>
      </c>
      <c r="DE347" s="776" t="s">
        <v>2127</v>
      </c>
      <c r="DF347" s="776" t="s">
        <v>2127</v>
      </c>
      <c r="DG347" s="776" t="s">
        <v>2127</v>
      </c>
      <c r="DH347" s="776" t="s">
        <v>2127</v>
      </c>
      <c r="DI347" s="776" t="s">
        <v>2127</v>
      </c>
      <c r="DJ347" s="776" t="s">
        <v>2127</v>
      </c>
      <c r="DK347" s="776" t="s">
        <v>2127</v>
      </c>
      <c r="DL347" s="776" t="s">
        <v>2127</v>
      </c>
      <c r="DM347" s="776" t="s">
        <v>2127</v>
      </c>
      <c r="DN347" s="776" t="s">
        <v>2127</v>
      </c>
      <c r="DO347" s="776" t="s">
        <v>2127</v>
      </c>
      <c r="DP347" s="776" t="s">
        <v>2127</v>
      </c>
    </row>
    <row r="348" spans="1:120" x14ac:dyDescent="0.2">
      <c r="A348" s="637" t="s">
        <v>2352</v>
      </c>
      <c r="B348" s="772" t="str" cm="1">
        <f t="array" ref="B348">IFERROR(INDEX(Kulturen[HF],_xlfn.AGGREGATE(15,6,(ROW(Kulturen[Auswahl])-7)/(--(SEARCH("x",Kulturen[Auswahl])&gt;0)),ROW()-7),1),"")</f>
        <v>Siegesbeckia (Blühendes Kraut)</v>
      </c>
      <c r="C348" s="772" t="str">
        <f>IF(Kulturen[[#This Row],[HF]]=$D$373,IF($C$6=0,0,"x"),IF($C$6=0,"x",Vorauswahl!C347))</f>
        <v>x</v>
      </c>
      <c r="D348" s="938" t="s">
        <v>2101</v>
      </c>
      <c r="E348" s="938" t="s">
        <v>2101</v>
      </c>
      <c r="F348" s="938" t="s">
        <v>992</v>
      </c>
      <c r="G348" s="938">
        <v>14</v>
      </c>
      <c r="H348" s="938">
        <v>8</v>
      </c>
      <c r="I348" s="938">
        <v>3</v>
      </c>
      <c r="J348" s="938">
        <v>14</v>
      </c>
      <c r="K348" s="938">
        <v>0.13700000000000001</v>
      </c>
      <c r="L348" s="938">
        <v>0.14000000000000001</v>
      </c>
      <c r="M348" s="938">
        <v>300</v>
      </c>
      <c r="N348" s="938">
        <v>0</v>
      </c>
      <c r="O348" s="938">
        <v>2</v>
      </c>
      <c r="P348" s="938">
        <v>0</v>
      </c>
      <c r="Q348" s="938">
        <v>210</v>
      </c>
      <c r="R348" s="938">
        <v>30</v>
      </c>
      <c r="S348" s="938">
        <v>21</v>
      </c>
      <c r="T348" s="938">
        <v>21</v>
      </c>
      <c r="U348" s="938">
        <v>0</v>
      </c>
      <c r="V348" s="938">
        <v>1</v>
      </c>
      <c r="W348" s="776">
        <f>IF(Kulturen[[#This Row],[Berechnungsschema]]=13,3,IF(Kulturen[[#This Row],[Berechnungsschema]]=6,2,1))</f>
        <v>1</v>
      </c>
      <c r="X348" s="776">
        <f>IF(Kulturen[[#This Row],[fruchtartengruppe]]=13,Kulturen[[#This Row],[NBedarfswert]],MAX(0,Kulturen[[#This Row],[NBedarfswert]]-Kulturen[[#This Row],[Ertrag]]*Kulturen[[#This Row],[Nfix]]))</f>
        <v>210</v>
      </c>
      <c r="Y348" s="776" t="s">
        <v>2127</v>
      </c>
      <c r="Z348" s="776" t="s">
        <v>2127</v>
      </c>
      <c r="AA348" s="776" t="s">
        <v>2127</v>
      </c>
      <c r="AB348" s="776" t="s">
        <v>2127</v>
      </c>
      <c r="AC348" s="776" t="s">
        <v>2127</v>
      </c>
      <c r="AD348" s="776" t="s">
        <v>2127</v>
      </c>
      <c r="AE348" s="776" t="s">
        <v>2127</v>
      </c>
      <c r="AF348" s="776" t="s">
        <v>2127</v>
      </c>
      <c r="AG348" s="776" t="s">
        <v>2127</v>
      </c>
      <c r="AH348" s="776" t="s">
        <v>2127</v>
      </c>
      <c r="AI348" s="776" t="s">
        <v>2127</v>
      </c>
      <c r="AJ348" s="776" t="s">
        <v>2127</v>
      </c>
      <c r="AK348" s="776" t="s">
        <v>2127</v>
      </c>
      <c r="AL348" s="776" t="s">
        <v>2127</v>
      </c>
      <c r="AM348" s="776" t="s">
        <v>2127</v>
      </c>
      <c r="AN348" s="776" t="s">
        <v>2127</v>
      </c>
      <c r="AO348" s="776" t="s">
        <v>2127</v>
      </c>
      <c r="AP348" s="776" t="s">
        <v>2127</v>
      </c>
      <c r="AQ348" s="776" t="s">
        <v>2127</v>
      </c>
      <c r="AR348" s="776" t="s">
        <v>2127</v>
      </c>
      <c r="AS348" s="776" t="s">
        <v>2127</v>
      </c>
      <c r="AT348" s="776" t="s">
        <v>2127</v>
      </c>
      <c r="AU348" s="776" t="s">
        <v>2127</v>
      </c>
      <c r="AV348" s="776" t="s">
        <v>2127</v>
      </c>
      <c r="AW348" s="776" t="s">
        <v>2127</v>
      </c>
      <c r="AX348" s="776" t="s">
        <v>2127</v>
      </c>
      <c r="AY348" s="776" t="s">
        <v>2127</v>
      </c>
      <c r="AZ348" s="776" t="s">
        <v>2127</v>
      </c>
      <c r="BA348" s="776" t="s">
        <v>2127</v>
      </c>
      <c r="BB348" s="776" t="s">
        <v>2127</v>
      </c>
      <c r="BC348" s="776" t="s">
        <v>2127</v>
      </c>
      <c r="BD348" s="776" t="s">
        <v>2127</v>
      </c>
      <c r="BE348" s="776" t="s">
        <v>2127</v>
      </c>
      <c r="BF348" s="776" t="s">
        <v>2127</v>
      </c>
      <c r="BG348" s="776" t="s">
        <v>2127</v>
      </c>
      <c r="BH348" s="776" t="s">
        <v>2127</v>
      </c>
      <c r="BI348" s="776" t="s">
        <v>2127</v>
      </c>
      <c r="BJ348" s="776" t="s">
        <v>2127</v>
      </c>
      <c r="BK348" s="776" t="s">
        <v>2127</v>
      </c>
      <c r="BL348" s="776" t="s">
        <v>2127</v>
      </c>
      <c r="BM348" s="776" t="s">
        <v>2127</v>
      </c>
      <c r="BN348" s="776" t="s">
        <v>2127</v>
      </c>
      <c r="BO348" s="776" t="s">
        <v>2127</v>
      </c>
      <c r="BP348" s="776" t="s">
        <v>2127</v>
      </c>
      <c r="BQ348" s="776" t="s">
        <v>2127</v>
      </c>
      <c r="BR348" s="776" t="s">
        <v>2127</v>
      </c>
      <c r="BS348" s="776" t="s">
        <v>2127</v>
      </c>
      <c r="BT348" s="776" t="s">
        <v>2127</v>
      </c>
      <c r="BU348" s="776" t="s">
        <v>2127</v>
      </c>
      <c r="BV348" s="776" t="s">
        <v>2127</v>
      </c>
      <c r="BW348" s="776" t="s">
        <v>2127</v>
      </c>
      <c r="BX348" s="776" t="s">
        <v>2127</v>
      </c>
      <c r="BY348" s="776" t="s">
        <v>2127</v>
      </c>
      <c r="BZ348" s="776" t="s">
        <v>2127</v>
      </c>
      <c r="CA348" s="776" t="s">
        <v>2127</v>
      </c>
      <c r="CB348" s="776" t="s">
        <v>2127</v>
      </c>
      <c r="CC348" s="776" t="s">
        <v>2127</v>
      </c>
      <c r="CD348" s="776" t="s">
        <v>2127</v>
      </c>
      <c r="CE348" s="776" t="s">
        <v>2127</v>
      </c>
      <c r="CF348" s="776" t="s">
        <v>2127</v>
      </c>
      <c r="CG348" s="776" t="s">
        <v>2127</v>
      </c>
      <c r="CH348" s="776" t="s">
        <v>2127</v>
      </c>
      <c r="CI348" s="776" t="s">
        <v>2127</v>
      </c>
      <c r="CJ348" s="776" t="s">
        <v>2127</v>
      </c>
      <c r="CK348" s="776" t="s">
        <v>2127</v>
      </c>
      <c r="CL348" s="776" t="s">
        <v>2127</v>
      </c>
      <c r="CM348" s="776" t="s">
        <v>2127</v>
      </c>
      <c r="CN348" s="776" t="s">
        <v>2127</v>
      </c>
      <c r="CO348" s="776" t="s">
        <v>2127</v>
      </c>
      <c r="CP348" s="776" t="s">
        <v>2127</v>
      </c>
      <c r="CQ348" s="776" t="s">
        <v>2127</v>
      </c>
      <c r="CR348" s="776" t="s">
        <v>2127</v>
      </c>
      <c r="CS348" s="776" t="s">
        <v>2127</v>
      </c>
      <c r="CT348" s="776" t="s">
        <v>2127</v>
      </c>
      <c r="CU348" s="776" t="s">
        <v>2127</v>
      </c>
      <c r="CV348" s="776" t="s">
        <v>2127</v>
      </c>
      <c r="CW348" s="776" t="s">
        <v>2127</v>
      </c>
      <c r="CX348" s="776" t="s">
        <v>2127</v>
      </c>
      <c r="CY348" s="776" t="s">
        <v>2127</v>
      </c>
      <c r="CZ348" s="776" t="s">
        <v>2127</v>
      </c>
      <c r="DA348" s="776" t="s">
        <v>2127</v>
      </c>
      <c r="DB348" s="776" t="s">
        <v>2127</v>
      </c>
      <c r="DC348" s="776" t="s">
        <v>2127</v>
      </c>
      <c r="DD348" s="776" t="s">
        <v>2127</v>
      </c>
      <c r="DE348" s="776" t="s">
        <v>2127</v>
      </c>
      <c r="DF348" s="776" t="s">
        <v>2127</v>
      </c>
      <c r="DG348" s="776" t="s">
        <v>2127</v>
      </c>
      <c r="DH348" s="776" t="s">
        <v>2127</v>
      </c>
      <c r="DI348" s="776" t="s">
        <v>2127</v>
      </c>
      <c r="DJ348" s="776" t="s">
        <v>2127</v>
      </c>
      <c r="DK348" s="776" t="s">
        <v>2127</v>
      </c>
      <c r="DL348" s="776" t="s">
        <v>2127</v>
      </c>
      <c r="DM348" s="776" t="s">
        <v>2127</v>
      </c>
      <c r="DN348" s="776" t="s">
        <v>2127</v>
      </c>
      <c r="DO348" s="776" t="s">
        <v>2127</v>
      </c>
      <c r="DP348" s="776" t="s">
        <v>2127</v>
      </c>
    </row>
    <row r="349" spans="1:120" x14ac:dyDescent="0.2">
      <c r="A349" s="637" t="s">
        <v>2353</v>
      </c>
      <c r="B349" s="772" t="str" cm="1">
        <f t="array" ref="B349">IFERROR(INDEX(Kulturen[HF],_xlfn.AGGREGATE(15,6,(ROW(Kulturen[Auswahl])-7)/(--(SEARCH("x",Kulturen[Auswahl])&gt;0)),ROW()-7),1),"")</f>
        <v>Sonnenhut (E.angustifolia) (Blühendes Kraut)</v>
      </c>
      <c r="C349" s="772" t="str">
        <f>IF(Kulturen[[#This Row],[HF]]=$D$373,IF($C$6=0,0,"x"),IF($C$6=0,"x",Vorauswahl!C348))</f>
        <v>x</v>
      </c>
      <c r="D349" s="938" t="s">
        <v>2102</v>
      </c>
      <c r="E349" s="938" t="s">
        <v>2102</v>
      </c>
      <c r="F349" s="938" t="s">
        <v>993</v>
      </c>
      <c r="G349" s="938">
        <v>14</v>
      </c>
      <c r="H349" s="938">
        <v>8</v>
      </c>
      <c r="I349" s="938">
        <v>3</v>
      </c>
      <c r="J349" s="938">
        <v>14</v>
      </c>
      <c r="K349" s="938">
        <v>0.13700000000000001</v>
      </c>
      <c r="L349" s="938">
        <v>0.14000000000000001</v>
      </c>
      <c r="M349" s="938">
        <v>200</v>
      </c>
      <c r="N349" s="938">
        <v>0</v>
      </c>
      <c r="O349" s="938">
        <v>2</v>
      </c>
      <c r="P349" s="938">
        <v>0</v>
      </c>
      <c r="Q349" s="938">
        <v>180</v>
      </c>
      <c r="R349" s="938">
        <v>20</v>
      </c>
      <c r="S349" s="938">
        <v>18</v>
      </c>
      <c r="T349" s="938">
        <v>9</v>
      </c>
      <c r="U349" s="938">
        <v>0</v>
      </c>
      <c r="V349" s="938">
        <v>1</v>
      </c>
      <c r="W349" s="776">
        <f>IF(Kulturen[[#This Row],[Berechnungsschema]]=13,3,IF(Kulturen[[#This Row],[Berechnungsschema]]=6,2,1))</f>
        <v>1</v>
      </c>
      <c r="X349" s="776">
        <f>IF(Kulturen[[#This Row],[fruchtartengruppe]]=13,Kulturen[[#This Row],[NBedarfswert]],MAX(0,Kulturen[[#This Row],[NBedarfswert]]-Kulturen[[#This Row],[Ertrag]]*Kulturen[[#This Row],[Nfix]]))</f>
        <v>180</v>
      </c>
      <c r="Y349" s="776" t="s">
        <v>2127</v>
      </c>
      <c r="Z349" s="776" t="s">
        <v>2127</v>
      </c>
      <c r="AA349" s="776" t="s">
        <v>2127</v>
      </c>
      <c r="AB349" s="776" t="s">
        <v>2127</v>
      </c>
      <c r="AC349" s="776" t="s">
        <v>2127</v>
      </c>
      <c r="AD349" s="776" t="s">
        <v>2127</v>
      </c>
      <c r="AE349" s="776" t="s">
        <v>2127</v>
      </c>
      <c r="AF349" s="776" t="s">
        <v>2127</v>
      </c>
      <c r="AG349" s="776" t="s">
        <v>2127</v>
      </c>
      <c r="AH349" s="776" t="s">
        <v>2127</v>
      </c>
      <c r="AI349" s="776" t="s">
        <v>2127</v>
      </c>
      <c r="AJ349" s="776" t="s">
        <v>2127</v>
      </c>
      <c r="AK349" s="776" t="s">
        <v>2127</v>
      </c>
      <c r="AL349" s="776" t="s">
        <v>2127</v>
      </c>
      <c r="AM349" s="776" t="s">
        <v>2127</v>
      </c>
      <c r="AN349" s="776" t="s">
        <v>2127</v>
      </c>
      <c r="AO349" s="776" t="s">
        <v>2127</v>
      </c>
      <c r="AP349" s="776" t="s">
        <v>2127</v>
      </c>
      <c r="AQ349" s="776" t="s">
        <v>2127</v>
      </c>
      <c r="AR349" s="776" t="s">
        <v>2127</v>
      </c>
      <c r="AS349" s="776" t="s">
        <v>2127</v>
      </c>
      <c r="AT349" s="776" t="s">
        <v>2127</v>
      </c>
      <c r="AU349" s="776" t="s">
        <v>2127</v>
      </c>
      <c r="AV349" s="776" t="s">
        <v>2127</v>
      </c>
      <c r="AW349" s="776" t="s">
        <v>2127</v>
      </c>
      <c r="AX349" s="776" t="s">
        <v>2127</v>
      </c>
      <c r="AY349" s="776" t="s">
        <v>2127</v>
      </c>
      <c r="AZ349" s="776" t="s">
        <v>2127</v>
      </c>
      <c r="BA349" s="776" t="s">
        <v>2127</v>
      </c>
      <c r="BB349" s="776" t="s">
        <v>2127</v>
      </c>
      <c r="BC349" s="776" t="s">
        <v>2127</v>
      </c>
      <c r="BD349" s="776" t="s">
        <v>2127</v>
      </c>
      <c r="BE349" s="776" t="s">
        <v>2127</v>
      </c>
      <c r="BF349" s="776" t="s">
        <v>2127</v>
      </c>
      <c r="BG349" s="776" t="s">
        <v>2127</v>
      </c>
      <c r="BH349" s="776" t="s">
        <v>2127</v>
      </c>
      <c r="BI349" s="776" t="s">
        <v>2127</v>
      </c>
      <c r="BJ349" s="776" t="s">
        <v>2127</v>
      </c>
      <c r="BK349" s="776" t="s">
        <v>2127</v>
      </c>
      <c r="BL349" s="776" t="s">
        <v>2127</v>
      </c>
      <c r="BM349" s="776" t="s">
        <v>2127</v>
      </c>
      <c r="BN349" s="776" t="s">
        <v>2127</v>
      </c>
      <c r="BO349" s="776" t="s">
        <v>2127</v>
      </c>
      <c r="BP349" s="776" t="s">
        <v>2127</v>
      </c>
      <c r="BQ349" s="776" t="s">
        <v>2127</v>
      </c>
      <c r="BR349" s="776" t="s">
        <v>2127</v>
      </c>
      <c r="BS349" s="776" t="s">
        <v>2127</v>
      </c>
      <c r="BT349" s="776" t="s">
        <v>2127</v>
      </c>
      <c r="BU349" s="776" t="s">
        <v>2127</v>
      </c>
      <c r="BV349" s="776" t="s">
        <v>2127</v>
      </c>
      <c r="BW349" s="776" t="s">
        <v>2127</v>
      </c>
      <c r="BX349" s="776" t="s">
        <v>2127</v>
      </c>
      <c r="BY349" s="776" t="s">
        <v>2127</v>
      </c>
      <c r="BZ349" s="776" t="s">
        <v>2127</v>
      </c>
      <c r="CA349" s="776" t="s">
        <v>2127</v>
      </c>
      <c r="CB349" s="776" t="s">
        <v>2127</v>
      </c>
      <c r="CC349" s="776" t="s">
        <v>2127</v>
      </c>
      <c r="CD349" s="776" t="s">
        <v>2127</v>
      </c>
      <c r="CE349" s="776" t="s">
        <v>2127</v>
      </c>
      <c r="CF349" s="776" t="s">
        <v>2127</v>
      </c>
      <c r="CG349" s="776" t="s">
        <v>2127</v>
      </c>
      <c r="CH349" s="776" t="s">
        <v>2127</v>
      </c>
      <c r="CI349" s="776" t="s">
        <v>2127</v>
      </c>
      <c r="CJ349" s="776" t="s">
        <v>2127</v>
      </c>
      <c r="CK349" s="776" t="s">
        <v>2127</v>
      </c>
      <c r="CL349" s="776" t="s">
        <v>2127</v>
      </c>
      <c r="CM349" s="776" t="s">
        <v>2127</v>
      </c>
      <c r="CN349" s="776" t="s">
        <v>2127</v>
      </c>
      <c r="CO349" s="776" t="s">
        <v>2127</v>
      </c>
      <c r="CP349" s="776" t="s">
        <v>2127</v>
      </c>
      <c r="CQ349" s="776" t="s">
        <v>2127</v>
      </c>
      <c r="CR349" s="776" t="s">
        <v>2127</v>
      </c>
      <c r="CS349" s="776" t="s">
        <v>2127</v>
      </c>
      <c r="CT349" s="776" t="s">
        <v>2127</v>
      </c>
      <c r="CU349" s="776" t="s">
        <v>2127</v>
      </c>
      <c r="CV349" s="776" t="s">
        <v>2127</v>
      </c>
      <c r="CW349" s="776" t="s">
        <v>2127</v>
      </c>
      <c r="CX349" s="776" t="s">
        <v>2127</v>
      </c>
      <c r="CY349" s="776" t="s">
        <v>2127</v>
      </c>
      <c r="CZ349" s="776" t="s">
        <v>2127</v>
      </c>
      <c r="DA349" s="776" t="s">
        <v>2127</v>
      </c>
      <c r="DB349" s="776" t="s">
        <v>2127</v>
      </c>
      <c r="DC349" s="776" t="s">
        <v>2127</v>
      </c>
      <c r="DD349" s="776" t="s">
        <v>2127</v>
      </c>
      <c r="DE349" s="776" t="s">
        <v>2127</v>
      </c>
      <c r="DF349" s="776" t="s">
        <v>2127</v>
      </c>
      <c r="DG349" s="776" t="s">
        <v>2127</v>
      </c>
      <c r="DH349" s="776" t="s">
        <v>2127</v>
      </c>
      <c r="DI349" s="776" t="s">
        <v>2127</v>
      </c>
      <c r="DJ349" s="776" t="s">
        <v>2127</v>
      </c>
      <c r="DK349" s="776" t="s">
        <v>2127</v>
      </c>
      <c r="DL349" s="776" t="s">
        <v>2127</v>
      </c>
      <c r="DM349" s="776" t="s">
        <v>2127</v>
      </c>
      <c r="DN349" s="776" t="s">
        <v>2127</v>
      </c>
      <c r="DO349" s="776" t="s">
        <v>2127</v>
      </c>
      <c r="DP349" s="776" t="s">
        <v>2127</v>
      </c>
    </row>
    <row r="350" spans="1:120" x14ac:dyDescent="0.2">
      <c r="A350" s="637" t="s">
        <v>2354</v>
      </c>
      <c r="B350" s="772" t="str" cm="1">
        <f t="array" ref="B350">IFERROR(INDEX(Kulturen[HF],_xlfn.AGGREGATE(15,6,(ROW(Kulturen[Auswahl])-7)/(--(SEARCH("x",Kulturen[Auswahl])&gt;0)),ROW()-7),1),"")</f>
        <v>Sonnenhut (E.pallida) (Blühendes Kraut)</v>
      </c>
      <c r="C350" s="772" t="str">
        <f>IF(Kulturen[[#This Row],[HF]]=$D$373,IF($C$6=0,0,"x"),IF($C$6=0,"x",Vorauswahl!C349))</f>
        <v>x</v>
      </c>
      <c r="D350" s="938" t="s">
        <v>2103</v>
      </c>
      <c r="E350" s="938" t="s">
        <v>2103</v>
      </c>
      <c r="F350" s="938" t="s">
        <v>994</v>
      </c>
      <c r="G350" s="938">
        <v>14</v>
      </c>
      <c r="H350" s="938">
        <v>8</v>
      </c>
      <c r="I350" s="938">
        <v>3</v>
      </c>
      <c r="J350" s="938">
        <v>14</v>
      </c>
      <c r="K350" s="938">
        <v>0.13700000000000001</v>
      </c>
      <c r="L350" s="938">
        <v>0.14000000000000001</v>
      </c>
      <c r="M350" s="938">
        <v>280</v>
      </c>
      <c r="N350" s="938">
        <v>0</v>
      </c>
      <c r="O350" s="938">
        <v>1</v>
      </c>
      <c r="P350" s="938">
        <v>0</v>
      </c>
      <c r="Q350" s="938">
        <v>240</v>
      </c>
      <c r="R350" s="938">
        <v>28</v>
      </c>
      <c r="S350" s="938">
        <v>24</v>
      </c>
      <c r="T350" s="938">
        <v>12</v>
      </c>
      <c r="U350" s="938">
        <v>0</v>
      </c>
      <c r="V350" s="938">
        <v>1</v>
      </c>
      <c r="W350" s="776">
        <f>IF(Kulturen[[#This Row],[Berechnungsschema]]=13,3,IF(Kulturen[[#This Row],[Berechnungsschema]]=6,2,1))</f>
        <v>1</v>
      </c>
      <c r="X350" s="776">
        <f>IF(Kulturen[[#This Row],[fruchtartengruppe]]=13,Kulturen[[#This Row],[NBedarfswert]],MAX(0,Kulturen[[#This Row],[NBedarfswert]]-Kulturen[[#This Row],[Ertrag]]*Kulturen[[#This Row],[Nfix]]))</f>
        <v>240</v>
      </c>
      <c r="Y350" s="776" t="s">
        <v>2127</v>
      </c>
      <c r="Z350" s="776" t="s">
        <v>2127</v>
      </c>
      <c r="AA350" s="776" t="s">
        <v>2127</v>
      </c>
      <c r="AB350" s="776" t="s">
        <v>2127</v>
      </c>
      <c r="AC350" s="776" t="s">
        <v>2127</v>
      </c>
      <c r="AD350" s="776" t="s">
        <v>2127</v>
      </c>
      <c r="AE350" s="776" t="s">
        <v>2127</v>
      </c>
      <c r="AF350" s="776" t="s">
        <v>2127</v>
      </c>
      <c r="AG350" s="776" t="s">
        <v>2127</v>
      </c>
      <c r="AH350" s="776" t="s">
        <v>2127</v>
      </c>
      <c r="AI350" s="776" t="s">
        <v>2127</v>
      </c>
      <c r="AJ350" s="776" t="s">
        <v>2127</v>
      </c>
      <c r="AK350" s="776" t="s">
        <v>2127</v>
      </c>
      <c r="AL350" s="776" t="s">
        <v>2127</v>
      </c>
      <c r="AM350" s="776" t="s">
        <v>2127</v>
      </c>
      <c r="AN350" s="776" t="s">
        <v>2127</v>
      </c>
      <c r="AO350" s="776" t="s">
        <v>2127</v>
      </c>
      <c r="AP350" s="776" t="s">
        <v>2127</v>
      </c>
      <c r="AQ350" s="776" t="s">
        <v>2127</v>
      </c>
      <c r="AR350" s="776" t="s">
        <v>2127</v>
      </c>
      <c r="AS350" s="776" t="s">
        <v>2127</v>
      </c>
      <c r="AT350" s="776" t="s">
        <v>2127</v>
      </c>
      <c r="AU350" s="776" t="s">
        <v>2127</v>
      </c>
      <c r="AV350" s="776" t="s">
        <v>2127</v>
      </c>
      <c r="AW350" s="776" t="s">
        <v>2127</v>
      </c>
      <c r="AX350" s="776" t="s">
        <v>2127</v>
      </c>
      <c r="AY350" s="776" t="s">
        <v>2127</v>
      </c>
      <c r="AZ350" s="776" t="s">
        <v>2127</v>
      </c>
      <c r="BA350" s="776" t="s">
        <v>2127</v>
      </c>
      <c r="BB350" s="776" t="s">
        <v>2127</v>
      </c>
      <c r="BC350" s="776" t="s">
        <v>2127</v>
      </c>
      <c r="BD350" s="776" t="s">
        <v>2127</v>
      </c>
      <c r="BE350" s="776" t="s">
        <v>2127</v>
      </c>
      <c r="BF350" s="776" t="s">
        <v>2127</v>
      </c>
      <c r="BG350" s="776" t="s">
        <v>2127</v>
      </c>
      <c r="BH350" s="776" t="s">
        <v>2127</v>
      </c>
      <c r="BI350" s="776" t="s">
        <v>2127</v>
      </c>
      <c r="BJ350" s="776" t="s">
        <v>2127</v>
      </c>
      <c r="BK350" s="776" t="s">
        <v>2127</v>
      </c>
      <c r="BL350" s="776" t="s">
        <v>2127</v>
      </c>
      <c r="BM350" s="776" t="s">
        <v>2127</v>
      </c>
      <c r="BN350" s="776" t="s">
        <v>2127</v>
      </c>
      <c r="BO350" s="776" t="s">
        <v>2127</v>
      </c>
      <c r="BP350" s="776" t="s">
        <v>2127</v>
      </c>
      <c r="BQ350" s="776" t="s">
        <v>2127</v>
      </c>
      <c r="BR350" s="776" t="s">
        <v>2127</v>
      </c>
      <c r="BS350" s="776" t="s">
        <v>2127</v>
      </c>
      <c r="BT350" s="776" t="s">
        <v>2127</v>
      </c>
      <c r="BU350" s="776" t="s">
        <v>2127</v>
      </c>
      <c r="BV350" s="776" t="s">
        <v>2127</v>
      </c>
      <c r="BW350" s="776" t="s">
        <v>2127</v>
      </c>
      <c r="BX350" s="776" t="s">
        <v>2127</v>
      </c>
      <c r="BY350" s="776" t="s">
        <v>2127</v>
      </c>
      <c r="BZ350" s="776" t="s">
        <v>2127</v>
      </c>
      <c r="CA350" s="776" t="s">
        <v>2127</v>
      </c>
      <c r="CB350" s="776" t="s">
        <v>2127</v>
      </c>
      <c r="CC350" s="776" t="s">
        <v>2127</v>
      </c>
      <c r="CD350" s="776" t="s">
        <v>2127</v>
      </c>
      <c r="CE350" s="776" t="s">
        <v>2127</v>
      </c>
      <c r="CF350" s="776" t="s">
        <v>2127</v>
      </c>
      <c r="CG350" s="776" t="s">
        <v>2127</v>
      </c>
      <c r="CH350" s="776" t="s">
        <v>2127</v>
      </c>
      <c r="CI350" s="776" t="s">
        <v>2127</v>
      </c>
      <c r="CJ350" s="776" t="s">
        <v>2127</v>
      </c>
      <c r="CK350" s="776" t="s">
        <v>2127</v>
      </c>
      <c r="CL350" s="776" t="s">
        <v>2127</v>
      </c>
      <c r="CM350" s="776" t="s">
        <v>2127</v>
      </c>
      <c r="CN350" s="776" t="s">
        <v>2127</v>
      </c>
      <c r="CO350" s="776" t="s">
        <v>2127</v>
      </c>
      <c r="CP350" s="776" t="s">
        <v>2127</v>
      </c>
      <c r="CQ350" s="776" t="s">
        <v>2127</v>
      </c>
      <c r="CR350" s="776" t="s">
        <v>2127</v>
      </c>
      <c r="CS350" s="776" t="s">
        <v>2127</v>
      </c>
      <c r="CT350" s="776" t="s">
        <v>2127</v>
      </c>
      <c r="CU350" s="776" t="s">
        <v>2127</v>
      </c>
      <c r="CV350" s="776" t="s">
        <v>2127</v>
      </c>
      <c r="CW350" s="776" t="s">
        <v>2127</v>
      </c>
      <c r="CX350" s="776" t="s">
        <v>2127</v>
      </c>
      <c r="CY350" s="776" t="s">
        <v>2127</v>
      </c>
      <c r="CZ350" s="776" t="s">
        <v>2127</v>
      </c>
      <c r="DA350" s="776" t="s">
        <v>2127</v>
      </c>
      <c r="DB350" s="776" t="s">
        <v>2127</v>
      </c>
      <c r="DC350" s="776" t="s">
        <v>2127</v>
      </c>
      <c r="DD350" s="776" t="s">
        <v>2127</v>
      </c>
      <c r="DE350" s="776" t="s">
        <v>2127</v>
      </c>
      <c r="DF350" s="776" t="s">
        <v>2127</v>
      </c>
      <c r="DG350" s="776" t="s">
        <v>2127</v>
      </c>
      <c r="DH350" s="776" t="s">
        <v>2127</v>
      </c>
      <c r="DI350" s="776" t="s">
        <v>2127</v>
      </c>
      <c r="DJ350" s="776" t="s">
        <v>2127</v>
      </c>
      <c r="DK350" s="776" t="s">
        <v>2127</v>
      </c>
      <c r="DL350" s="776" t="s">
        <v>2127</v>
      </c>
      <c r="DM350" s="776" t="s">
        <v>2127</v>
      </c>
      <c r="DN350" s="776" t="s">
        <v>2127</v>
      </c>
      <c r="DO350" s="776" t="s">
        <v>2127</v>
      </c>
      <c r="DP350" s="776" t="s">
        <v>2127</v>
      </c>
    </row>
    <row r="351" spans="1:120" x14ac:dyDescent="0.2">
      <c r="A351" s="637" t="s">
        <v>2355</v>
      </c>
      <c r="B351" s="772" t="str" cm="1">
        <f t="array" ref="B351">IFERROR(INDEX(Kulturen[HF],_xlfn.AGGREGATE(15,6,(ROW(Kulturen[Auswahl])-7)/(--(SEARCH("x",Kulturen[Auswahl])&gt;0)),ROW()-7),1),"")</f>
        <v>Sonnenhut (E.purpurea) (Blühendes Kraut)</v>
      </c>
      <c r="C351" s="772" t="str">
        <f>IF(Kulturen[[#This Row],[HF]]=$D$373,IF($C$6=0,0,"x"),IF($C$6=0,"x",Vorauswahl!C350))</f>
        <v>x</v>
      </c>
      <c r="D351" s="938" t="s">
        <v>2104</v>
      </c>
      <c r="E351" s="938" t="s">
        <v>2104</v>
      </c>
      <c r="F351" s="938" t="s">
        <v>995</v>
      </c>
      <c r="G351" s="938">
        <v>14</v>
      </c>
      <c r="H351" s="938">
        <v>8</v>
      </c>
      <c r="I351" s="938">
        <v>3</v>
      </c>
      <c r="J351" s="938">
        <v>14</v>
      </c>
      <c r="K351" s="938">
        <v>0.13700000000000001</v>
      </c>
      <c r="L351" s="938">
        <v>0.14000000000000001</v>
      </c>
      <c r="M351" s="938">
        <v>500</v>
      </c>
      <c r="N351" s="938">
        <v>0</v>
      </c>
      <c r="O351" s="938">
        <v>2</v>
      </c>
      <c r="P351" s="938">
        <v>0</v>
      </c>
      <c r="Q351" s="938">
        <v>310</v>
      </c>
      <c r="R351" s="938">
        <v>50</v>
      </c>
      <c r="S351" s="938">
        <v>31</v>
      </c>
      <c r="T351" s="938">
        <v>31</v>
      </c>
      <c r="U351" s="938">
        <v>0</v>
      </c>
      <c r="V351" s="938">
        <v>1</v>
      </c>
      <c r="W351" s="776">
        <f>IF(Kulturen[[#This Row],[Berechnungsschema]]=13,3,IF(Kulturen[[#This Row],[Berechnungsschema]]=6,2,1))</f>
        <v>1</v>
      </c>
      <c r="X351" s="776">
        <f>IF(Kulturen[[#This Row],[fruchtartengruppe]]=13,Kulturen[[#This Row],[NBedarfswert]],MAX(0,Kulturen[[#This Row],[NBedarfswert]]-Kulturen[[#This Row],[Ertrag]]*Kulturen[[#This Row],[Nfix]]))</f>
        <v>310</v>
      </c>
      <c r="Y351" s="776" t="s">
        <v>2127</v>
      </c>
      <c r="Z351" s="776" t="s">
        <v>2127</v>
      </c>
      <c r="AA351" s="776" t="s">
        <v>2127</v>
      </c>
      <c r="AB351" s="776" t="s">
        <v>2127</v>
      </c>
      <c r="AC351" s="776" t="s">
        <v>2127</v>
      </c>
      <c r="AD351" s="776" t="s">
        <v>2127</v>
      </c>
      <c r="AE351" s="776" t="s">
        <v>2127</v>
      </c>
      <c r="AF351" s="776" t="s">
        <v>2127</v>
      </c>
      <c r="AG351" s="776" t="s">
        <v>2127</v>
      </c>
      <c r="AH351" s="776" t="s">
        <v>2127</v>
      </c>
      <c r="AI351" s="776" t="s">
        <v>2127</v>
      </c>
      <c r="AJ351" s="776" t="s">
        <v>2127</v>
      </c>
      <c r="AK351" s="776" t="s">
        <v>2127</v>
      </c>
      <c r="AL351" s="776" t="s">
        <v>2127</v>
      </c>
      <c r="AM351" s="776" t="s">
        <v>2127</v>
      </c>
      <c r="AN351" s="776" t="s">
        <v>2127</v>
      </c>
      <c r="AO351" s="776" t="s">
        <v>2127</v>
      </c>
      <c r="AP351" s="776" t="s">
        <v>2127</v>
      </c>
      <c r="AQ351" s="776" t="s">
        <v>2127</v>
      </c>
      <c r="AR351" s="776" t="s">
        <v>2127</v>
      </c>
      <c r="AS351" s="776" t="s">
        <v>2127</v>
      </c>
      <c r="AT351" s="776" t="s">
        <v>2127</v>
      </c>
      <c r="AU351" s="776" t="s">
        <v>2127</v>
      </c>
      <c r="AV351" s="776" t="s">
        <v>2127</v>
      </c>
      <c r="AW351" s="776" t="s">
        <v>2127</v>
      </c>
      <c r="AX351" s="776" t="s">
        <v>2127</v>
      </c>
      <c r="AY351" s="776" t="s">
        <v>2127</v>
      </c>
      <c r="AZ351" s="776" t="s">
        <v>2127</v>
      </c>
      <c r="BA351" s="776" t="s">
        <v>2127</v>
      </c>
      <c r="BB351" s="776" t="s">
        <v>2127</v>
      </c>
      <c r="BC351" s="776" t="s">
        <v>2127</v>
      </c>
      <c r="BD351" s="776" t="s">
        <v>2127</v>
      </c>
      <c r="BE351" s="776" t="s">
        <v>2127</v>
      </c>
      <c r="BF351" s="776" t="s">
        <v>2127</v>
      </c>
      <c r="BG351" s="776" t="s">
        <v>2127</v>
      </c>
      <c r="BH351" s="776" t="s">
        <v>2127</v>
      </c>
      <c r="BI351" s="776" t="s">
        <v>2127</v>
      </c>
      <c r="BJ351" s="776" t="s">
        <v>2127</v>
      </c>
      <c r="BK351" s="776" t="s">
        <v>2127</v>
      </c>
      <c r="BL351" s="776" t="s">
        <v>2127</v>
      </c>
      <c r="BM351" s="776" t="s">
        <v>2127</v>
      </c>
      <c r="BN351" s="776" t="s">
        <v>2127</v>
      </c>
      <c r="BO351" s="776" t="s">
        <v>2127</v>
      </c>
      <c r="BP351" s="776" t="s">
        <v>2127</v>
      </c>
      <c r="BQ351" s="776" t="s">
        <v>2127</v>
      </c>
      <c r="BR351" s="776" t="s">
        <v>2127</v>
      </c>
      <c r="BS351" s="776" t="s">
        <v>2127</v>
      </c>
      <c r="BT351" s="776" t="s">
        <v>2127</v>
      </c>
      <c r="BU351" s="776" t="s">
        <v>2127</v>
      </c>
      <c r="BV351" s="776" t="s">
        <v>2127</v>
      </c>
      <c r="BW351" s="776" t="s">
        <v>2127</v>
      </c>
      <c r="BX351" s="776" t="s">
        <v>2127</v>
      </c>
      <c r="BY351" s="776" t="s">
        <v>2127</v>
      </c>
      <c r="BZ351" s="776" t="s">
        <v>2127</v>
      </c>
      <c r="CA351" s="776" t="s">
        <v>2127</v>
      </c>
      <c r="CB351" s="776" t="s">
        <v>2127</v>
      </c>
      <c r="CC351" s="776" t="s">
        <v>2127</v>
      </c>
      <c r="CD351" s="776" t="s">
        <v>2127</v>
      </c>
      <c r="CE351" s="776" t="s">
        <v>2127</v>
      </c>
      <c r="CF351" s="776" t="s">
        <v>2127</v>
      </c>
      <c r="CG351" s="776" t="s">
        <v>2127</v>
      </c>
      <c r="CH351" s="776" t="s">
        <v>2127</v>
      </c>
      <c r="CI351" s="776" t="s">
        <v>2127</v>
      </c>
      <c r="CJ351" s="776" t="s">
        <v>2127</v>
      </c>
      <c r="CK351" s="776" t="s">
        <v>2127</v>
      </c>
      <c r="CL351" s="776" t="s">
        <v>2127</v>
      </c>
      <c r="CM351" s="776" t="s">
        <v>2127</v>
      </c>
      <c r="CN351" s="776" t="s">
        <v>2127</v>
      </c>
      <c r="CO351" s="776" t="s">
        <v>2127</v>
      </c>
      <c r="CP351" s="776" t="s">
        <v>2127</v>
      </c>
      <c r="CQ351" s="776" t="s">
        <v>2127</v>
      </c>
      <c r="CR351" s="776" t="s">
        <v>2127</v>
      </c>
      <c r="CS351" s="776" t="s">
        <v>2127</v>
      </c>
      <c r="CT351" s="776" t="s">
        <v>2127</v>
      </c>
      <c r="CU351" s="776" t="s">
        <v>2127</v>
      </c>
      <c r="CV351" s="776" t="s">
        <v>2127</v>
      </c>
      <c r="CW351" s="776" t="s">
        <v>2127</v>
      </c>
      <c r="CX351" s="776" t="s">
        <v>2127</v>
      </c>
      <c r="CY351" s="776" t="s">
        <v>2127</v>
      </c>
      <c r="CZ351" s="776" t="s">
        <v>2127</v>
      </c>
      <c r="DA351" s="776" t="s">
        <v>2127</v>
      </c>
      <c r="DB351" s="776" t="s">
        <v>2127</v>
      </c>
      <c r="DC351" s="776" t="s">
        <v>2127</v>
      </c>
      <c r="DD351" s="776" t="s">
        <v>2127</v>
      </c>
      <c r="DE351" s="776" t="s">
        <v>2127</v>
      </c>
      <c r="DF351" s="776" t="s">
        <v>2127</v>
      </c>
      <c r="DG351" s="776" t="s">
        <v>2127</v>
      </c>
      <c r="DH351" s="776" t="s">
        <v>2127</v>
      </c>
      <c r="DI351" s="776" t="s">
        <v>2127</v>
      </c>
      <c r="DJ351" s="776" t="s">
        <v>2127</v>
      </c>
      <c r="DK351" s="776" t="s">
        <v>2127</v>
      </c>
      <c r="DL351" s="776" t="s">
        <v>2127</v>
      </c>
      <c r="DM351" s="776" t="s">
        <v>2127</v>
      </c>
      <c r="DN351" s="776" t="s">
        <v>2127</v>
      </c>
      <c r="DO351" s="776" t="s">
        <v>2127</v>
      </c>
      <c r="DP351" s="776" t="s">
        <v>2127</v>
      </c>
    </row>
    <row r="352" spans="1:120" x14ac:dyDescent="0.2">
      <c r="A352" s="637" t="s">
        <v>2356</v>
      </c>
      <c r="B352" s="772" t="str" cm="1">
        <f t="array" ref="B352">IFERROR(INDEX(Kulturen[HF],_xlfn.AGGREGATE(15,6,(ROW(Kulturen[Auswahl])-7)/(--(SEARCH("x",Kulturen[Auswahl])&gt;0)),ROW()-7),1),"")</f>
        <v>Spitzwegerich (Kraut)</v>
      </c>
      <c r="C352" s="772" t="str">
        <f>IF(Kulturen[[#This Row],[HF]]=$D$373,IF($C$6=0,0,"x"),IF($C$6=0,"x",Vorauswahl!C351))</f>
        <v>x</v>
      </c>
      <c r="D352" s="938" t="s">
        <v>2105</v>
      </c>
      <c r="E352" s="938" t="s">
        <v>2105</v>
      </c>
      <c r="F352" s="938" t="s">
        <v>996</v>
      </c>
      <c r="G352" s="938">
        <v>14</v>
      </c>
      <c r="H352" s="938">
        <v>8</v>
      </c>
      <c r="I352" s="938">
        <v>3</v>
      </c>
      <c r="J352" s="938">
        <v>14</v>
      </c>
      <c r="K352" s="938">
        <v>0.11</v>
      </c>
      <c r="L352" s="938">
        <v>0.11</v>
      </c>
      <c r="M352" s="938">
        <v>300</v>
      </c>
      <c r="N352" s="938">
        <v>0</v>
      </c>
      <c r="O352" s="938">
        <v>2</v>
      </c>
      <c r="P352" s="938">
        <v>0</v>
      </c>
      <c r="Q352" s="938">
        <v>160</v>
      </c>
      <c r="R352" s="938">
        <v>30</v>
      </c>
      <c r="S352" s="938">
        <v>16</v>
      </c>
      <c r="T352" s="938">
        <v>16</v>
      </c>
      <c r="U352" s="938">
        <v>0</v>
      </c>
      <c r="V352" s="938">
        <v>1</v>
      </c>
      <c r="W352" s="776">
        <f>IF(Kulturen[[#This Row],[Berechnungsschema]]=13,3,IF(Kulturen[[#This Row],[Berechnungsschema]]=6,2,1))</f>
        <v>1</v>
      </c>
      <c r="X352" s="776">
        <f>IF(Kulturen[[#This Row],[fruchtartengruppe]]=13,Kulturen[[#This Row],[NBedarfswert]],MAX(0,Kulturen[[#This Row],[NBedarfswert]]-Kulturen[[#This Row],[Ertrag]]*Kulturen[[#This Row],[Nfix]]))</f>
        <v>160</v>
      </c>
      <c r="Y352" s="776" t="s">
        <v>2127</v>
      </c>
      <c r="Z352" s="776" t="s">
        <v>2127</v>
      </c>
      <c r="AA352" s="776" t="s">
        <v>2127</v>
      </c>
      <c r="AB352" s="776" t="s">
        <v>2127</v>
      </c>
      <c r="AC352" s="776" t="s">
        <v>2127</v>
      </c>
      <c r="AD352" s="776" t="s">
        <v>2127</v>
      </c>
      <c r="AE352" s="776" t="s">
        <v>2127</v>
      </c>
      <c r="AF352" s="776" t="s">
        <v>2127</v>
      </c>
      <c r="AG352" s="776" t="s">
        <v>2127</v>
      </c>
      <c r="AH352" s="776" t="s">
        <v>2127</v>
      </c>
      <c r="AI352" s="776" t="s">
        <v>2127</v>
      </c>
      <c r="AJ352" s="776" t="s">
        <v>2127</v>
      </c>
      <c r="AK352" s="776" t="s">
        <v>2127</v>
      </c>
      <c r="AL352" s="776" t="s">
        <v>2127</v>
      </c>
      <c r="AM352" s="776" t="s">
        <v>2127</v>
      </c>
      <c r="AN352" s="776" t="s">
        <v>2127</v>
      </c>
      <c r="AO352" s="776" t="s">
        <v>2127</v>
      </c>
      <c r="AP352" s="776" t="s">
        <v>2127</v>
      </c>
      <c r="AQ352" s="776" t="s">
        <v>2127</v>
      </c>
      <c r="AR352" s="776" t="s">
        <v>2127</v>
      </c>
      <c r="AS352" s="776" t="s">
        <v>2127</v>
      </c>
      <c r="AT352" s="776" t="s">
        <v>2127</v>
      </c>
      <c r="AU352" s="776" t="s">
        <v>2127</v>
      </c>
      <c r="AV352" s="776" t="s">
        <v>2127</v>
      </c>
      <c r="AW352" s="776" t="s">
        <v>2127</v>
      </c>
      <c r="AX352" s="776" t="s">
        <v>2127</v>
      </c>
      <c r="AY352" s="776" t="s">
        <v>2127</v>
      </c>
      <c r="AZ352" s="776" t="s">
        <v>2127</v>
      </c>
      <c r="BA352" s="776" t="s">
        <v>2127</v>
      </c>
      <c r="BB352" s="776" t="s">
        <v>2127</v>
      </c>
      <c r="BC352" s="776" t="s">
        <v>2127</v>
      </c>
      <c r="BD352" s="776" t="s">
        <v>2127</v>
      </c>
      <c r="BE352" s="776" t="s">
        <v>2127</v>
      </c>
      <c r="BF352" s="776" t="s">
        <v>2127</v>
      </c>
      <c r="BG352" s="776" t="s">
        <v>2127</v>
      </c>
      <c r="BH352" s="776" t="s">
        <v>2127</v>
      </c>
      <c r="BI352" s="776" t="s">
        <v>2127</v>
      </c>
      <c r="BJ352" s="776" t="s">
        <v>2127</v>
      </c>
      <c r="BK352" s="776" t="s">
        <v>2127</v>
      </c>
      <c r="BL352" s="776" t="s">
        <v>2127</v>
      </c>
      <c r="BM352" s="776" t="s">
        <v>2127</v>
      </c>
      <c r="BN352" s="776" t="s">
        <v>2127</v>
      </c>
      <c r="BO352" s="776" t="s">
        <v>2127</v>
      </c>
      <c r="BP352" s="776" t="s">
        <v>2127</v>
      </c>
      <c r="BQ352" s="776" t="s">
        <v>2127</v>
      </c>
      <c r="BR352" s="776" t="s">
        <v>2127</v>
      </c>
      <c r="BS352" s="776" t="s">
        <v>2127</v>
      </c>
      <c r="BT352" s="776" t="s">
        <v>2127</v>
      </c>
      <c r="BU352" s="776" t="s">
        <v>2127</v>
      </c>
      <c r="BV352" s="776" t="s">
        <v>2127</v>
      </c>
      <c r="BW352" s="776" t="s">
        <v>2127</v>
      </c>
      <c r="BX352" s="776" t="s">
        <v>2127</v>
      </c>
      <c r="BY352" s="776" t="s">
        <v>2127</v>
      </c>
      <c r="BZ352" s="776" t="s">
        <v>2127</v>
      </c>
      <c r="CA352" s="776" t="s">
        <v>2127</v>
      </c>
      <c r="CB352" s="776" t="s">
        <v>2127</v>
      </c>
      <c r="CC352" s="776" t="s">
        <v>2127</v>
      </c>
      <c r="CD352" s="776" t="s">
        <v>2127</v>
      </c>
      <c r="CE352" s="776" t="s">
        <v>2127</v>
      </c>
      <c r="CF352" s="776" t="s">
        <v>2127</v>
      </c>
      <c r="CG352" s="776" t="s">
        <v>2127</v>
      </c>
      <c r="CH352" s="776" t="s">
        <v>2127</v>
      </c>
      <c r="CI352" s="776" t="s">
        <v>2127</v>
      </c>
      <c r="CJ352" s="776" t="s">
        <v>2127</v>
      </c>
      <c r="CK352" s="776" t="s">
        <v>2127</v>
      </c>
      <c r="CL352" s="776" t="s">
        <v>2127</v>
      </c>
      <c r="CM352" s="776" t="s">
        <v>2127</v>
      </c>
      <c r="CN352" s="776" t="s">
        <v>2127</v>
      </c>
      <c r="CO352" s="776" t="s">
        <v>2127</v>
      </c>
      <c r="CP352" s="776" t="s">
        <v>2127</v>
      </c>
      <c r="CQ352" s="776" t="s">
        <v>2127</v>
      </c>
      <c r="CR352" s="776" t="s">
        <v>2127</v>
      </c>
      <c r="CS352" s="776" t="s">
        <v>2127</v>
      </c>
      <c r="CT352" s="776" t="s">
        <v>2127</v>
      </c>
      <c r="CU352" s="776" t="s">
        <v>2127</v>
      </c>
      <c r="CV352" s="776" t="s">
        <v>2127</v>
      </c>
      <c r="CW352" s="776" t="s">
        <v>2127</v>
      </c>
      <c r="CX352" s="776" t="s">
        <v>2127</v>
      </c>
      <c r="CY352" s="776" t="s">
        <v>2127</v>
      </c>
      <c r="CZ352" s="776" t="s">
        <v>2127</v>
      </c>
      <c r="DA352" s="776" t="s">
        <v>2127</v>
      </c>
      <c r="DB352" s="776" t="s">
        <v>2127</v>
      </c>
      <c r="DC352" s="776" t="s">
        <v>2127</v>
      </c>
      <c r="DD352" s="776" t="s">
        <v>2127</v>
      </c>
      <c r="DE352" s="776" t="s">
        <v>2127</v>
      </c>
      <c r="DF352" s="776" t="s">
        <v>2127</v>
      </c>
      <c r="DG352" s="776" t="s">
        <v>2127</v>
      </c>
      <c r="DH352" s="776" t="s">
        <v>2127</v>
      </c>
      <c r="DI352" s="776" t="s">
        <v>2127</v>
      </c>
      <c r="DJ352" s="776" t="s">
        <v>2127</v>
      </c>
      <c r="DK352" s="776" t="s">
        <v>2127</v>
      </c>
      <c r="DL352" s="776" t="s">
        <v>2127</v>
      </c>
      <c r="DM352" s="776" t="s">
        <v>2127</v>
      </c>
      <c r="DN352" s="776" t="s">
        <v>2127</v>
      </c>
      <c r="DO352" s="776" t="s">
        <v>2127</v>
      </c>
      <c r="DP352" s="776" t="s">
        <v>2127</v>
      </c>
    </row>
    <row r="353" spans="1:120" x14ac:dyDescent="0.2">
      <c r="A353" s="637" t="s">
        <v>2366</v>
      </c>
      <c r="B353" s="772" t="str" cm="1">
        <f t="array" ref="B353">IFERROR(INDEX(Kulturen[HF],_xlfn.AGGREGATE(15,6,(ROW(Kulturen[Auswahl])-7)/(--(SEARCH("x",Kulturen[Auswahl])&gt;0)),ROW()-7),1),"")</f>
        <v>Steinklee, Gelber (Blühendes Kraut)</v>
      </c>
      <c r="C353" s="772" t="str">
        <f>IF(Kulturen[[#This Row],[HF]]=$D$373,IF($C$6=0,0,"x"),IF($C$6=0,"x",Vorauswahl!C352))</f>
        <v>x</v>
      </c>
      <c r="D353" s="938" t="s">
        <v>827</v>
      </c>
      <c r="E353" s="938" t="s">
        <v>827</v>
      </c>
      <c r="F353" s="938" t="s">
        <v>1006</v>
      </c>
      <c r="G353" s="938">
        <v>14</v>
      </c>
      <c r="H353" s="938">
        <v>8</v>
      </c>
      <c r="I353" s="938">
        <v>1</v>
      </c>
      <c r="J353" s="938">
        <v>14</v>
      </c>
      <c r="K353" s="938">
        <v>1.71</v>
      </c>
      <c r="L353" s="938">
        <v>2</v>
      </c>
      <c r="M353" s="938">
        <v>15</v>
      </c>
      <c r="N353" s="938">
        <v>0</v>
      </c>
      <c r="O353" s="938">
        <v>1</v>
      </c>
      <c r="P353" s="938">
        <v>0</v>
      </c>
      <c r="Q353" s="938">
        <v>105</v>
      </c>
      <c r="R353" s="938">
        <v>2</v>
      </c>
      <c r="S353" s="938">
        <v>5</v>
      </c>
      <c r="T353" s="938">
        <v>5</v>
      </c>
      <c r="U353" s="938">
        <v>0</v>
      </c>
      <c r="V353" s="938">
        <v>1</v>
      </c>
      <c r="W353" s="776">
        <f>IF(Kulturen[[#This Row],[Berechnungsschema]]=13,3,IF(Kulturen[[#This Row],[Berechnungsschema]]=6,2,1))</f>
        <v>1</v>
      </c>
      <c r="X353" s="776">
        <f>IF(Kulturen[[#This Row],[fruchtartengruppe]]=13,Kulturen[[#This Row],[NBedarfswert]],MAX(0,Kulturen[[#This Row],[NBedarfswert]]-Kulturen[[#This Row],[Ertrag]]*Kulturen[[#This Row],[Nfix]]))</f>
        <v>105</v>
      </c>
      <c r="Y353" s="776" t="s">
        <v>2127</v>
      </c>
      <c r="Z353" s="776" t="s">
        <v>2127</v>
      </c>
      <c r="AA353" s="776" t="s">
        <v>2127</v>
      </c>
      <c r="AB353" s="776" t="s">
        <v>2127</v>
      </c>
      <c r="AC353" s="776" t="s">
        <v>2127</v>
      </c>
      <c r="AD353" s="776" t="s">
        <v>2127</v>
      </c>
      <c r="AE353" s="776" t="s">
        <v>2127</v>
      </c>
      <c r="AF353" s="776" t="s">
        <v>2127</v>
      </c>
      <c r="AG353" s="776" t="s">
        <v>2127</v>
      </c>
      <c r="AH353" s="776" t="s">
        <v>2127</v>
      </c>
      <c r="AI353" s="776" t="s">
        <v>2127</v>
      </c>
      <c r="AJ353" s="776" t="s">
        <v>2127</v>
      </c>
      <c r="AK353" s="776" t="s">
        <v>2127</v>
      </c>
      <c r="AL353" s="776" t="s">
        <v>2127</v>
      </c>
      <c r="AM353" s="776" t="s">
        <v>2127</v>
      </c>
      <c r="AN353" s="776" t="s">
        <v>2127</v>
      </c>
      <c r="AO353" s="776" t="s">
        <v>2127</v>
      </c>
      <c r="AP353" s="776" t="s">
        <v>2127</v>
      </c>
      <c r="AQ353" s="776" t="s">
        <v>2127</v>
      </c>
      <c r="AR353" s="776" t="s">
        <v>2127</v>
      </c>
      <c r="AS353" s="776" t="s">
        <v>2127</v>
      </c>
      <c r="AT353" s="776" t="s">
        <v>2127</v>
      </c>
      <c r="AU353" s="776" t="s">
        <v>2127</v>
      </c>
      <c r="AV353" s="776" t="s">
        <v>2127</v>
      </c>
      <c r="AW353" s="776" t="s">
        <v>2127</v>
      </c>
      <c r="AX353" s="776" t="s">
        <v>2127</v>
      </c>
      <c r="AY353" s="776" t="s">
        <v>2127</v>
      </c>
      <c r="AZ353" s="776" t="s">
        <v>2127</v>
      </c>
      <c r="BA353" s="776" t="s">
        <v>2127</v>
      </c>
      <c r="BB353" s="776" t="s">
        <v>2127</v>
      </c>
      <c r="BC353" s="776" t="s">
        <v>2127</v>
      </c>
      <c r="BD353" s="776" t="s">
        <v>2127</v>
      </c>
      <c r="BE353" s="776" t="s">
        <v>2127</v>
      </c>
      <c r="BF353" s="776" t="s">
        <v>2127</v>
      </c>
      <c r="BG353" s="776" t="s">
        <v>2127</v>
      </c>
      <c r="BH353" s="776" t="s">
        <v>2127</v>
      </c>
      <c r="BI353" s="776" t="s">
        <v>2127</v>
      </c>
      <c r="BJ353" s="776" t="s">
        <v>2127</v>
      </c>
      <c r="BK353" s="776" t="s">
        <v>2127</v>
      </c>
      <c r="BL353" s="776" t="s">
        <v>2127</v>
      </c>
      <c r="BM353" s="776" t="s">
        <v>2127</v>
      </c>
      <c r="BN353" s="776" t="s">
        <v>2127</v>
      </c>
      <c r="BO353" s="776" t="s">
        <v>2127</v>
      </c>
      <c r="BP353" s="776" t="s">
        <v>2127</v>
      </c>
      <c r="BQ353" s="776" t="s">
        <v>2127</v>
      </c>
      <c r="BR353" s="776" t="s">
        <v>2127</v>
      </c>
      <c r="BS353" s="776" t="s">
        <v>2127</v>
      </c>
      <c r="BT353" s="776" t="s">
        <v>2127</v>
      </c>
      <c r="BU353" s="776" t="s">
        <v>2127</v>
      </c>
      <c r="BV353" s="776" t="s">
        <v>2127</v>
      </c>
      <c r="BW353" s="776" t="s">
        <v>2127</v>
      </c>
      <c r="BX353" s="776" t="s">
        <v>2127</v>
      </c>
      <c r="BY353" s="776" t="s">
        <v>2127</v>
      </c>
      <c r="BZ353" s="776" t="s">
        <v>2127</v>
      </c>
      <c r="CA353" s="776" t="s">
        <v>2127</v>
      </c>
      <c r="CB353" s="776" t="s">
        <v>2127</v>
      </c>
      <c r="CC353" s="776" t="s">
        <v>2127</v>
      </c>
      <c r="CD353" s="776" t="s">
        <v>2127</v>
      </c>
      <c r="CE353" s="776" t="s">
        <v>2127</v>
      </c>
      <c r="CF353" s="776" t="s">
        <v>2127</v>
      </c>
      <c r="CG353" s="776" t="s">
        <v>2127</v>
      </c>
      <c r="CH353" s="776" t="s">
        <v>2127</v>
      </c>
      <c r="CI353" s="776" t="s">
        <v>2127</v>
      </c>
      <c r="CJ353" s="776" t="s">
        <v>2127</v>
      </c>
      <c r="CK353" s="776" t="s">
        <v>2127</v>
      </c>
      <c r="CL353" s="776" t="s">
        <v>2127</v>
      </c>
      <c r="CM353" s="776" t="s">
        <v>2127</v>
      </c>
      <c r="CN353" s="776" t="s">
        <v>2127</v>
      </c>
      <c r="CO353" s="776" t="s">
        <v>2127</v>
      </c>
      <c r="CP353" s="776" t="s">
        <v>2127</v>
      </c>
      <c r="CQ353" s="776" t="s">
        <v>2127</v>
      </c>
      <c r="CR353" s="776" t="s">
        <v>2127</v>
      </c>
      <c r="CS353" s="776" t="s">
        <v>2127</v>
      </c>
      <c r="CT353" s="776" t="s">
        <v>2127</v>
      </c>
      <c r="CU353" s="776" t="s">
        <v>2127</v>
      </c>
      <c r="CV353" s="776" t="s">
        <v>2127</v>
      </c>
      <c r="CW353" s="776" t="s">
        <v>2127</v>
      </c>
      <c r="CX353" s="776" t="s">
        <v>2127</v>
      </c>
      <c r="CY353" s="776" t="s">
        <v>2127</v>
      </c>
      <c r="CZ353" s="776" t="s">
        <v>2127</v>
      </c>
      <c r="DA353" s="776" t="s">
        <v>2127</v>
      </c>
      <c r="DB353" s="776" t="s">
        <v>2127</v>
      </c>
      <c r="DC353" s="776" t="s">
        <v>2127</v>
      </c>
      <c r="DD353" s="776" t="s">
        <v>2127</v>
      </c>
      <c r="DE353" s="776" t="s">
        <v>2127</v>
      </c>
      <c r="DF353" s="776" t="s">
        <v>2127</v>
      </c>
      <c r="DG353" s="776" t="s">
        <v>2127</v>
      </c>
      <c r="DH353" s="776" t="s">
        <v>2127</v>
      </c>
      <c r="DI353" s="776" t="s">
        <v>2127</v>
      </c>
      <c r="DJ353" s="776" t="s">
        <v>2127</v>
      </c>
      <c r="DK353" s="776" t="s">
        <v>2127</v>
      </c>
      <c r="DL353" s="776" t="s">
        <v>2127</v>
      </c>
      <c r="DM353" s="776" t="s">
        <v>2127</v>
      </c>
      <c r="DN353" s="776" t="s">
        <v>2127</v>
      </c>
      <c r="DO353" s="776" t="s">
        <v>2127</v>
      </c>
      <c r="DP353" s="776" t="s">
        <v>2127</v>
      </c>
    </row>
    <row r="354" spans="1:120" x14ac:dyDescent="0.2">
      <c r="A354" s="637" t="s">
        <v>2357</v>
      </c>
      <c r="B354" s="772" t="str" cm="1">
        <f t="array" ref="B354">IFERROR(INDEX(Kulturen[HF],_xlfn.AGGREGATE(15,6,(ROW(Kulturen[Auswahl])-7)/(--(SEARCH("x",Kulturen[Auswahl])&gt;0)),ROW()-7),1),"")</f>
        <v>Steinklee, Weißer (Blühendes Kraut)</v>
      </c>
      <c r="C354" s="772" t="str">
        <f>IF(Kulturen[[#This Row],[HF]]=$D$373,IF($C$6=0,0,"x"),IF($C$6=0,"x",Vorauswahl!C353))</f>
        <v>x</v>
      </c>
      <c r="D354" s="938" t="s">
        <v>2106</v>
      </c>
      <c r="E354" s="938" t="s">
        <v>2106</v>
      </c>
      <c r="F354" s="938" t="s">
        <v>997</v>
      </c>
      <c r="G354" s="938">
        <v>14</v>
      </c>
      <c r="H354" s="938">
        <v>8</v>
      </c>
      <c r="I354" s="938">
        <v>3</v>
      </c>
      <c r="J354" s="938">
        <v>14</v>
      </c>
      <c r="K354" s="938">
        <v>0.11</v>
      </c>
      <c r="L354" s="938">
        <v>0.11</v>
      </c>
      <c r="M354" s="938">
        <v>550</v>
      </c>
      <c r="N354" s="938">
        <v>0</v>
      </c>
      <c r="O354" s="938">
        <v>2</v>
      </c>
      <c r="P354" s="938">
        <v>0</v>
      </c>
      <c r="Q354" s="938">
        <v>245</v>
      </c>
      <c r="R354" s="938">
        <v>55</v>
      </c>
      <c r="S354" s="938">
        <v>25</v>
      </c>
      <c r="T354" s="938">
        <v>25</v>
      </c>
      <c r="U354" s="938">
        <v>0</v>
      </c>
      <c r="V354" s="938">
        <v>1</v>
      </c>
      <c r="W354" s="776">
        <f>IF(Kulturen[[#This Row],[Berechnungsschema]]=13,3,IF(Kulturen[[#This Row],[Berechnungsschema]]=6,2,1))</f>
        <v>1</v>
      </c>
      <c r="X354" s="776">
        <f>IF(Kulturen[[#This Row],[fruchtartengruppe]]=13,Kulturen[[#This Row],[NBedarfswert]],MAX(0,Kulturen[[#This Row],[NBedarfswert]]-Kulturen[[#This Row],[Ertrag]]*Kulturen[[#This Row],[Nfix]]))</f>
        <v>245</v>
      </c>
      <c r="Y354" s="776" t="s">
        <v>2127</v>
      </c>
      <c r="Z354" s="776" t="s">
        <v>2127</v>
      </c>
      <c r="AA354" s="776" t="s">
        <v>2127</v>
      </c>
      <c r="AB354" s="776" t="s">
        <v>2127</v>
      </c>
      <c r="AC354" s="776" t="s">
        <v>2127</v>
      </c>
      <c r="AD354" s="776" t="s">
        <v>2127</v>
      </c>
      <c r="AE354" s="776" t="s">
        <v>2127</v>
      </c>
      <c r="AF354" s="776" t="s">
        <v>2127</v>
      </c>
      <c r="AG354" s="776" t="s">
        <v>2127</v>
      </c>
      <c r="AH354" s="776" t="s">
        <v>2127</v>
      </c>
      <c r="AI354" s="776" t="s">
        <v>2127</v>
      </c>
      <c r="AJ354" s="776" t="s">
        <v>2127</v>
      </c>
      <c r="AK354" s="776" t="s">
        <v>2127</v>
      </c>
      <c r="AL354" s="776" t="s">
        <v>2127</v>
      </c>
      <c r="AM354" s="776" t="s">
        <v>2127</v>
      </c>
      <c r="AN354" s="776" t="s">
        <v>2127</v>
      </c>
      <c r="AO354" s="776" t="s">
        <v>2127</v>
      </c>
      <c r="AP354" s="776" t="s">
        <v>2127</v>
      </c>
      <c r="AQ354" s="776" t="s">
        <v>2127</v>
      </c>
      <c r="AR354" s="776" t="s">
        <v>2127</v>
      </c>
      <c r="AS354" s="776" t="s">
        <v>2127</v>
      </c>
      <c r="AT354" s="776" t="s">
        <v>2127</v>
      </c>
      <c r="AU354" s="776" t="s">
        <v>2127</v>
      </c>
      <c r="AV354" s="776" t="s">
        <v>2127</v>
      </c>
      <c r="AW354" s="776" t="s">
        <v>2127</v>
      </c>
      <c r="AX354" s="776" t="s">
        <v>2127</v>
      </c>
      <c r="AY354" s="776" t="s">
        <v>2127</v>
      </c>
      <c r="AZ354" s="776" t="s">
        <v>2127</v>
      </c>
      <c r="BA354" s="776" t="s">
        <v>2127</v>
      </c>
      <c r="BB354" s="776" t="s">
        <v>2127</v>
      </c>
      <c r="BC354" s="776" t="s">
        <v>2127</v>
      </c>
      <c r="BD354" s="776" t="s">
        <v>2127</v>
      </c>
      <c r="BE354" s="776" t="s">
        <v>2127</v>
      </c>
      <c r="BF354" s="776" t="s">
        <v>2127</v>
      </c>
      <c r="BG354" s="776" t="s">
        <v>2127</v>
      </c>
      <c r="BH354" s="776" t="s">
        <v>2127</v>
      </c>
      <c r="BI354" s="776" t="s">
        <v>2127</v>
      </c>
      <c r="BJ354" s="776" t="s">
        <v>2127</v>
      </c>
      <c r="BK354" s="776" t="s">
        <v>2127</v>
      </c>
      <c r="BL354" s="776" t="s">
        <v>2127</v>
      </c>
      <c r="BM354" s="776" t="s">
        <v>2127</v>
      </c>
      <c r="BN354" s="776" t="s">
        <v>2127</v>
      </c>
      <c r="BO354" s="776" t="s">
        <v>2127</v>
      </c>
      <c r="BP354" s="776" t="s">
        <v>2127</v>
      </c>
      <c r="BQ354" s="776" t="s">
        <v>2127</v>
      </c>
      <c r="BR354" s="776" t="s">
        <v>2127</v>
      </c>
      <c r="BS354" s="776" t="s">
        <v>2127</v>
      </c>
      <c r="BT354" s="776" t="s">
        <v>2127</v>
      </c>
      <c r="BU354" s="776" t="s">
        <v>2127</v>
      </c>
      <c r="BV354" s="776" t="s">
        <v>2127</v>
      </c>
      <c r="BW354" s="776" t="s">
        <v>2127</v>
      </c>
      <c r="BX354" s="776" t="s">
        <v>2127</v>
      </c>
      <c r="BY354" s="776" t="s">
        <v>2127</v>
      </c>
      <c r="BZ354" s="776" t="s">
        <v>2127</v>
      </c>
      <c r="CA354" s="776" t="s">
        <v>2127</v>
      </c>
      <c r="CB354" s="776" t="s">
        <v>2127</v>
      </c>
      <c r="CC354" s="776" t="s">
        <v>2127</v>
      </c>
      <c r="CD354" s="776" t="s">
        <v>2127</v>
      </c>
      <c r="CE354" s="776" t="s">
        <v>2127</v>
      </c>
      <c r="CF354" s="776" t="s">
        <v>2127</v>
      </c>
      <c r="CG354" s="776" t="s">
        <v>2127</v>
      </c>
      <c r="CH354" s="776" t="s">
        <v>2127</v>
      </c>
      <c r="CI354" s="776" t="s">
        <v>2127</v>
      </c>
      <c r="CJ354" s="776" t="s">
        <v>2127</v>
      </c>
      <c r="CK354" s="776" t="s">
        <v>2127</v>
      </c>
      <c r="CL354" s="776" t="s">
        <v>2127</v>
      </c>
      <c r="CM354" s="776" t="s">
        <v>2127</v>
      </c>
      <c r="CN354" s="776" t="s">
        <v>2127</v>
      </c>
      <c r="CO354" s="776" t="s">
        <v>2127</v>
      </c>
      <c r="CP354" s="776" t="s">
        <v>2127</v>
      </c>
      <c r="CQ354" s="776" t="s">
        <v>2127</v>
      </c>
      <c r="CR354" s="776" t="s">
        <v>2127</v>
      </c>
      <c r="CS354" s="776" t="s">
        <v>2127</v>
      </c>
      <c r="CT354" s="776" t="s">
        <v>2127</v>
      </c>
      <c r="CU354" s="776" t="s">
        <v>2127</v>
      </c>
      <c r="CV354" s="776" t="s">
        <v>2127</v>
      </c>
      <c r="CW354" s="776" t="s">
        <v>2127</v>
      </c>
      <c r="CX354" s="776" t="s">
        <v>2127</v>
      </c>
      <c r="CY354" s="776" t="s">
        <v>2127</v>
      </c>
      <c r="CZ354" s="776" t="s">
        <v>2127</v>
      </c>
      <c r="DA354" s="776" t="s">
        <v>2127</v>
      </c>
      <c r="DB354" s="776" t="s">
        <v>2127</v>
      </c>
      <c r="DC354" s="776" t="s">
        <v>2127</v>
      </c>
      <c r="DD354" s="776" t="s">
        <v>2127</v>
      </c>
      <c r="DE354" s="776" t="s">
        <v>2127</v>
      </c>
      <c r="DF354" s="776" t="s">
        <v>2127</v>
      </c>
      <c r="DG354" s="776" t="s">
        <v>2127</v>
      </c>
      <c r="DH354" s="776" t="s">
        <v>2127</v>
      </c>
      <c r="DI354" s="776" t="s">
        <v>2127</v>
      </c>
      <c r="DJ354" s="776" t="s">
        <v>2127</v>
      </c>
      <c r="DK354" s="776" t="s">
        <v>2127</v>
      </c>
      <c r="DL354" s="776" t="s">
        <v>2127</v>
      </c>
      <c r="DM354" s="776" t="s">
        <v>2127</v>
      </c>
      <c r="DN354" s="776" t="s">
        <v>2127</v>
      </c>
      <c r="DO354" s="776" t="s">
        <v>2127</v>
      </c>
      <c r="DP354" s="776" t="s">
        <v>2127</v>
      </c>
    </row>
    <row r="355" spans="1:120" x14ac:dyDescent="0.2">
      <c r="A355" s="637" t="s">
        <v>2358</v>
      </c>
      <c r="B355" s="772" t="str" cm="1">
        <f t="array" ref="B355">IFERROR(INDEX(Kulturen[HF],_xlfn.AGGREGATE(15,6,(ROW(Kulturen[Auswahl])-7)/(--(SEARCH("x",Kulturen[Auswahl])&gt;0)),ROW()-7),1),"")</f>
        <v>Thymian (Blühendes Kraut)</v>
      </c>
      <c r="C355" s="772" t="str">
        <f>IF(Kulturen[[#This Row],[HF]]=$D$373,IF($C$6=0,0,"x"),IF($C$6=0,"x",Vorauswahl!C354))</f>
        <v>x</v>
      </c>
      <c r="D355" s="938" t="s">
        <v>825</v>
      </c>
      <c r="E355" s="938" t="s">
        <v>825</v>
      </c>
      <c r="F355" s="938" t="s">
        <v>998</v>
      </c>
      <c r="G355" s="938">
        <v>14</v>
      </c>
      <c r="H355" s="938">
        <v>8</v>
      </c>
      <c r="I355" s="938">
        <v>1</v>
      </c>
      <c r="J355" s="938">
        <v>14</v>
      </c>
      <c r="K355" s="938">
        <v>1.53</v>
      </c>
      <c r="L355" s="938">
        <v>2.06</v>
      </c>
      <c r="M355" s="938">
        <v>9</v>
      </c>
      <c r="N355" s="938">
        <v>0</v>
      </c>
      <c r="O355" s="938">
        <v>1</v>
      </c>
      <c r="P355" s="938">
        <v>0</v>
      </c>
      <c r="Q355" s="938">
        <v>65</v>
      </c>
      <c r="R355" s="938">
        <v>1</v>
      </c>
      <c r="S355" s="938">
        <v>7</v>
      </c>
      <c r="T355" s="938">
        <v>7</v>
      </c>
      <c r="U355" s="938">
        <v>0</v>
      </c>
      <c r="V355" s="938">
        <v>1</v>
      </c>
      <c r="W355" s="776">
        <f>IF(Kulturen[[#This Row],[Berechnungsschema]]=13,3,IF(Kulturen[[#This Row],[Berechnungsschema]]=6,2,1))</f>
        <v>1</v>
      </c>
      <c r="X355" s="776">
        <f>IF(Kulturen[[#This Row],[fruchtartengruppe]]=13,Kulturen[[#This Row],[NBedarfswert]],MAX(0,Kulturen[[#This Row],[NBedarfswert]]-Kulturen[[#This Row],[Ertrag]]*Kulturen[[#This Row],[Nfix]]))</f>
        <v>65</v>
      </c>
      <c r="Y355" s="776" t="s">
        <v>2127</v>
      </c>
      <c r="Z355" s="776" t="s">
        <v>2127</v>
      </c>
      <c r="AA355" s="776" t="s">
        <v>2127</v>
      </c>
      <c r="AB355" s="776" t="s">
        <v>2127</v>
      </c>
      <c r="AC355" s="776" t="s">
        <v>2127</v>
      </c>
      <c r="AD355" s="776" t="s">
        <v>2127</v>
      </c>
      <c r="AE355" s="776" t="s">
        <v>2127</v>
      </c>
      <c r="AF355" s="776" t="s">
        <v>2127</v>
      </c>
      <c r="AG355" s="776" t="s">
        <v>2127</v>
      </c>
      <c r="AH355" s="776" t="s">
        <v>2127</v>
      </c>
      <c r="AI355" s="776" t="s">
        <v>2127</v>
      </c>
      <c r="AJ355" s="776" t="s">
        <v>2127</v>
      </c>
      <c r="AK355" s="776" t="s">
        <v>2127</v>
      </c>
      <c r="AL355" s="776" t="s">
        <v>2127</v>
      </c>
      <c r="AM355" s="776" t="s">
        <v>2127</v>
      </c>
      <c r="AN355" s="776" t="s">
        <v>2127</v>
      </c>
      <c r="AO355" s="776" t="s">
        <v>2127</v>
      </c>
      <c r="AP355" s="776" t="s">
        <v>2127</v>
      </c>
      <c r="AQ355" s="776" t="s">
        <v>2127</v>
      </c>
      <c r="AR355" s="776" t="s">
        <v>2127</v>
      </c>
      <c r="AS355" s="776" t="s">
        <v>2127</v>
      </c>
      <c r="AT355" s="776" t="s">
        <v>2127</v>
      </c>
      <c r="AU355" s="776" t="s">
        <v>2127</v>
      </c>
      <c r="AV355" s="776" t="s">
        <v>2127</v>
      </c>
      <c r="AW355" s="776" t="s">
        <v>2127</v>
      </c>
      <c r="AX355" s="776" t="s">
        <v>2127</v>
      </c>
      <c r="AY355" s="776" t="s">
        <v>2127</v>
      </c>
      <c r="AZ355" s="776" t="s">
        <v>2127</v>
      </c>
      <c r="BA355" s="776" t="s">
        <v>2127</v>
      </c>
      <c r="BB355" s="776" t="s">
        <v>2127</v>
      </c>
      <c r="BC355" s="776" t="s">
        <v>2127</v>
      </c>
      <c r="BD355" s="776" t="s">
        <v>2127</v>
      </c>
      <c r="BE355" s="776" t="s">
        <v>2127</v>
      </c>
      <c r="BF355" s="776" t="s">
        <v>2127</v>
      </c>
      <c r="BG355" s="776" t="s">
        <v>2127</v>
      </c>
      <c r="BH355" s="776" t="s">
        <v>2127</v>
      </c>
      <c r="BI355" s="776" t="s">
        <v>2127</v>
      </c>
      <c r="BJ355" s="776" t="s">
        <v>2127</v>
      </c>
      <c r="BK355" s="776" t="s">
        <v>2127</v>
      </c>
      <c r="BL355" s="776" t="s">
        <v>2127</v>
      </c>
      <c r="BM355" s="776" t="s">
        <v>2127</v>
      </c>
      <c r="BN355" s="776" t="s">
        <v>2127</v>
      </c>
      <c r="BO355" s="776" t="s">
        <v>2127</v>
      </c>
      <c r="BP355" s="776" t="s">
        <v>2127</v>
      </c>
      <c r="BQ355" s="776" t="s">
        <v>2127</v>
      </c>
      <c r="BR355" s="776" t="s">
        <v>2127</v>
      </c>
      <c r="BS355" s="776" t="s">
        <v>2127</v>
      </c>
      <c r="BT355" s="776" t="s">
        <v>2127</v>
      </c>
      <c r="BU355" s="776" t="s">
        <v>2127</v>
      </c>
      <c r="BV355" s="776" t="s">
        <v>2127</v>
      </c>
      <c r="BW355" s="776" t="s">
        <v>2127</v>
      </c>
      <c r="BX355" s="776" t="s">
        <v>2127</v>
      </c>
      <c r="BY355" s="776" t="s">
        <v>2127</v>
      </c>
      <c r="BZ355" s="776" t="s">
        <v>2127</v>
      </c>
      <c r="CA355" s="776" t="s">
        <v>2127</v>
      </c>
      <c r="CB355" s="776" t="s">
        <v>2127</v>
      </c>
      <c r="CC355" s="776" t="s">
        <v>2127</v>
      </c>
      <c r="CD355" s="776" t="s">
        <v>2127</v>
      </c>
      <c r="CE355" s="776" t="s">
        <v>2127</v>
      </c>
      <c r="CF355" s="776" t="s">
        <v>2127</v>
      </c>
      <c r="CG355" s="776" t="s">
        <v>2127</v>
      </c>
      <c r="CH355" s="776" t="s">
        <v>2127</v>
      </c>
      <c r="CI355" s="776" t="s">
        <v>2127</v>
      </c>
      <c r="CJ355" s="776" t="s">
        <v>2127</v>
      </c>
      <c r="CK355" s="776" t="s">
        <v>2127</v>
      </c>
      <c r="CL355" s="776" t="s">
        <v>2127</v>
      </c>
      <c r="CM355" s="776" t="s">
        <v>2127</v>
      </c>
      <c r="CN355" s="776" t="s">
        <v>2127</v>
      </c>
      <c r="CO355" s="776" t="s">
        <v>2127</v>
      </c>
      <c r="CP355" s="776" t="s">
        <v>2127</v>
      </c>
      <c r="CQ355" s="776" t="s">
        <v>2127</v>
      </c>
      <c r="CR355" s="776" t="s">
        <v>2127</v>
      </c>
      <c r="CS355" s="776" t="s">
        <v>2127</v>
      </c>
      <c r="CT355" s="776" t="s">
        <v>2127</v>
      </c>
      <c r="CU355" s="776" t="s">
        <v>2127</v>
      </c>
      <c r="CV355" s="776" t="s">
        <v>2127</v>
      </c>
      <c r="CW355" s="776" t="s">
        <v>2127</v>
      </c>
      <c r="CX355" s="776" t="s">
        <v>2127</v>
      </c>
      <c r="CY355" s="776" t="s">
        <v>2127</v>
      </c>
      <c r="CZ355" s="776" t="s">
        <v>2127</v>
      </c>
      <c r="DA355" s="776" t="s">
        <v>2127</v>
      </c>
      <c r="DB355" s="776" t="s">
        <v>2127</v>
      </c>
      <c r="DC355" s="776" t="s">
        <v>2127</v>
      </c>
      <c r="DD355" s="776" t="s">
        <v>2127</v>
      </c>
      <c r="DE355" s="776" t="s">
        <v>2127</v>
      </c>
      <c r="DF355" s="776" t="s">
        <v>2127</v>
      </c>
      <c r="DG355" s="776" t="s">
        <v>2127</v>
      </c>
      <c r="DH355" s="776" t="s">
        <v>2127</v>
      </c>
      <c r="DI355" s="776" t="s">
        <v>2127</v>
      </c>
      <c r="DJ355" s="776" t="s">
        <v>2127</v>
      </c>
      <c r="DK355" s="776" t="s">
        <v>2127</v>
      </c>
      <c r="DL355" s="776" t="s">
        <v>2127</v>
      </c>
      <c r="DM355" s="776" t="s">
        <v>2127</v>
      </c>
      <c r="DN355" s="776" t="s">
        <v>2127</v>
      </c>
      <c r="DO355" s="776" t="s">
        <v>2127</v>
      </c>
      <c r="DP355" s="776" t="s">
        <v>2127</v>
      </c>
    </row>
    <row r="356" spans="1:120" x14ac:dyDescent="0.2">
      <c r="A356" s="637" t="s">
        <v>2359</v>
      </c>
      <c r="B356" s="772" t="str" cm="1">
        <f t="array" ref="B356">IFERROR(INDEX(Kulturen[HF],_xlfn.AGGREGATE(15,6,(ROW(Kulturen[Auswahl])-7)/(--(SEARCH("x",Kulturen[Auswahl])&gt;0)),ROW()-7),1),"")</f>
        <v>Tollkirsche (Kraut)</v>
      </c>
      <c r="C356" s="772" t="str">
        <f>IF(Kulturen[[#This Row],[HF]]=$D$373,IF($C$6=0,0,"x"),IF($C$6=0,"x",Vorauswahl!C355))</f>
        <v>x</v>
      </c>
      <c r="D356" s="938" t="s">
        <v>826</v>
      </c>
      <c r="E356" s="938" t="s">
        <v>826</v>
      </c>
      <c r="F356" s="938" t="s">
        <v>999</v>
      </c>
      <c r="G356" s="938">
        <v>14</v>
      </c>
      <c r="H356" s="938">
        <v>8</v>
      </c>
      <c r="I356" s="938">
        <v>1</v>
      </c>
      <c r="J356" s="938">
        <v>14</v>
      </c>
      <c r="K356" s="938">
        <v>1.77</v>
      </c>
      <c r="L356" s="938">
        <v>3.37</v>
      </c>
      <c r="M356" s="938">
        <v>15</v>
      </c>
      <c r="N356" s="938">
        <v>0</v>
      </c>
      <c r="O356" s="938">
        <v>1</v>
      </c>
      <c r="P356" s="938">
        <v>0</v>
      </c>
      <c r="Q356" s="938">
        <v>135</v>
      </c>
      <c r="R356" s="938">
        <v>2</v>
      </c>
      <c r="S356" s="938">
        <v>14</v>
      </c>
      <c r="T356" s="938">
        <v>14</v>
      </c>
      <c r="U356" s="938">
        <v>0</v>
      </c>
      <c r="V356" s="938">
        <v>1</v>
      </c>
      <c r="W356" s="776">
        <f>IF(Kulturen[[#This Row],[Berechnungsschema]]=13,3,IF(Kulturen[[#This Row],[Berechnungsschema]]=6,2,1))</f>
        <v>1</v>
      </c>
      <c r="X356" s="776">
        <f>IF(Kulturen[[#This Row],[fruchtartengruppe]]=13,Kulturen[[#This Row],[NBedarfswert]],MAX(0,Kulturen[[#This Row],[NBedarfswert]]-Kulturen[[#This Row],[Ertrag]]*Kulturen[[#This Row],[Nfix]]))</f>
        <v>135</v>
      </c>
      <c r="Y356" s="776" t="s">
        <v>2127</v>
      </c>
      <c r="Z356" s="776" t="s">
        <v>2127</v>
      </c>
      <c r="AA356" s="776" t="s">
        <v>2127</v>
      </c>
      <c r="AB356" s="776" t="s">
        <v>2127</v>
      </c>
      <c r="AC356" s="776" t="s">
        <v>2127</v>
      </c>
      <c r="AD356" s="776" t="s">
        <v>2127</v>
      </c>
      <c r="AE356" s="776" t="s">
        <v>2127</v>
      </c>
      <c r="AF356" s="776" t="s">
        <v>2127</v>
      </c>
      <c r="AG356" s="776" t="s">
        <v>2127</v>
      </c>
      <c r="AH356" s="776" t="s">
        <v>2127</v>
      </c>
      <c r="AI356" s="776" t="s">
        <v>2127</v>
      </c>
      <c r="AJ356" s="776" t="s">
        <v>2127</v>
      </c>
      <c r="AK356" s="776" t="s">
        <v>2127</v>
      </c>
      <c r="AL356" s="776" t="s">
        <v>2127</v>
      </c>
      <c r="AM356" s="776" t="s">
        <v>2127</v>
      </c>
      <c r="AN356" s="776" t="s">
        <v>2127</v>
      </c>
      <c r="AO356" s="776" t="s">
        <v>2127</v>
      </c>
      <c r="AP356" s="776" t="s">
        <v>2127</v>
      </c>
      <c r="AQ356" s="776" t="s">
        <v>2127</v>
      </c>
      <c r="AR356" s="776" t="s">
        <v>2127</v>
      </c>
      <c r="AS356" s="776" t="s">
        <v>2127</v>
      </c>
      <c r="AT356" s="776" t="s">
        <v>2127</v>
      </c>
      <c r="AU356" s="776" t="s">
        <v>2127</v>
      </c>
      <c r="AV356" s="776" t="s">
        <v>2127</v>
      </c>
      <c r="AW356" s="776" t="s">
        <v>2127</v>
      </c>
      <c r="AX356" s="776" t="s">
        <v>2127</v>
      </c>
      <c r="AY356" s="776" t="s">
        <v>2127</v>
      </c>
      <c r="AZ356" s="776" t="s">
        <v>2127</v>
      </c>
      <c r="BA356" s="776" t="s">
        <v>2127</v>
      </c>
      <c r="BB356" s="776" t="s">
        <v>2127</v>
      </c>
      <c r="BC356" s="776" t="s">
        <v>2127</v>
      </c>
      <c r="BD356" s="776" t="s">
        <v>2127</v>
      </c>
      <c r="BE356" s="776" t="s">
        <v>2127</v>
      </c>
      <c r="BF356" s="776" t="s">
        <v>2127</v>
      </c>
      <c r="BG356" s="776" t="s">
        <v>2127</v>
      </c>
      <c r="BH356" s="776" t="s">
        <v>2127</v>
      </c>
      <c r="BI356" s="776" t="s">
        <v>2127</v>
      </c>
      <c r="BJ356" s="776" t="s">
        <v>2127</v>
      </c>
      <c r="BK356" s="776" t="s">
        <v>2127</v>
      </c>
      <c r="BL356" s="776" t="s">
        <v>2127</v>
      </c>
      <c r="BM356" s="776" t="s">
        <v>2127</v>
      </c>
      <c r="BN356" s="776" t="s">
        <v>2127</v>
      </c>
      <c r="BO356" s="776" t="s">
        <v>2127</v>
      </c>
      <c r="BP356" s="776" t="s">
        <v>2127</v>
      </c>
      <c r="BQ356" s="776" t="s">
        <v>2127</v>
      </c>
      <c r="BR356" s="776" t="s">
        <v>2127</v>
      </c>
      <c r="BS356" s="776" t="s">
        <v>2127</v>
      </c>
      <c r="BT356" s="776" t="s">
        <v>2127</v>
      </c>
      <c r="BU356" s="776" t="s">
        <v>2127</v>
      </c>
      <c r="BV356" s="776" t="s">
        <v>2127</v>
      </c>
      <c r="BW356" s="776" t="s">
        <v>2127</v>
      </c>
      <c r="BX356" s="776" t="s">
        <v>2127</v>
      </c>
      <c r="BY356" s="776" t="s">
        <v>2127</v>
      </c>
      <c r="BZ356" s="776" t="s">
        <v>2127</v>
      </c>
      <c r="CA356" s="776" t="s">
        <v>2127</v>
      </c>
      <c r="CB356" s="776" t="s">
        <v>2127</v>
      </c>
      <c r="CC356" s="776" t="s">
        <v>2127</v>
      </c>
      <c r="CD356" s="776" t="s">
        <v>2127</v>
      </c>
      <c r="CE356" s="776" t="s">
        <v>2127</v>
      </c>
      <c r="CF356" s="776" t="s">
        <v>2127</v>
      </c>
      <c r="CG356" s="776" t="s">
        <v>2127</v>
      </c>
      <c r="CH356" s="776" t="s">
        <v>2127</v>
      </c>
      <c r="CI356" s="776" t="s">
        <v>2127</v>
      </c>
      <c r="CJ356" s="776" t="s">
        <v>2127</v>
      </c>
      <c r="CK356" s="776" t="s">
        <v>2127</v>
      </c>
      <c r="CL356" s="776" t="s">
        <v>2127</v>
      </c>
      <c r="CM356" s="776" t="s">
        <v>2127</v>
      </c>
      <c r="CN356" s="776" t="s">
        <v>2127</v>
      </c>
      <c r="CO356" s="776" t="s">
        <v>2127</v>
      </c>
      <c r="CP356" s="776" t="s">
        <v>2127</v>
      </c>
      <c r="CQ356" s="776" t="s">
        <v>2127</v>
      </c>
      <c r="CR356" s="776" t="s">
        <v>2127</v>
      </c>
      <c r="CS356" s="776" t="s">
        <v>2127</v>
      </c>
      <c r="CT356" s="776" t="s">
        <v>2127</v>
      </c>
      <c r="CU356" s="776" t="s">
        <v>2127</v>
      </c>
      <c r="CV356" s="776" t="s">
        <v>2127</v>
      </c>
      <c r="CW356" s="776" t="s">
        <v>2127</v>
      </c>
      <c r="CX356" s="776" t="s">
        <v>2127</v>
      </c>
      <c r="CY356" s="776" t="s">
        <v>2127</v>
      </c>
      <c r="CZ356" s="776" t="s">
        <v>2127</v>
      </c>
      <c r="DA356" s="776" t="s">
        <v>2127</v>
      </c>
      <c r="DB356" s="776" t="s">
        <v>2127</v>
      </c>
      <c r="DC356" s="776" t="s">
        <v>2127</v>
      </c>
      <c r="DD356" s="776" t="s">
        <v>2127</v>
      </c>
      <c r="DE356" s="776" t="s">
        <v>2127</v>
      </c>
      <c r="DF356" s="776" t="s">
        <v>2127</v>
      </c>
      <c r="DG356" s="776" t="s">
        <v>2127</v>
      </c>
      <c r="DH356" s="776" t="s">
        <v>2127</v>
      </c>
      <c r="DI356" s="776" t="s">
        <v>2127</v>
      </c>
      <c r="DJ356" s="776" t="s">
        <v>2127</v>
      </c>
      <c r="DK356" s="776" t="s">
        <v>2127</v>
      </c>
      <c r="DL356" s="776" t="s">
        <v>2127</v>
      </c>
      <c r="DM356" s="776" t="s">
        <v>2127</v>
      </c>
      <c r="DN356" s="776" t="s">
        <v>2127</v>
      </c>
      <c r="DO356" s="776" t="s">
        <v>2127</v>
      </c>
      <c r="DP356" s="776" t="s">
        <v>2127</v>
      </c>
    </row>
    <row r="357" spans="1:120" x14ac:dyDescent="0.2">
      <c r="A357" s="637"/>
      <c r="B357" s="772" t="str" cm="1">
        <f t="array" ref="B357">IFERROR(INDEX(Kulturen[HF],_xlfn.AGGREGATE(15,6,(ROW(Kulturen[Auswahl])-7)/(--(SEARCH("x",Kulturen[Auswahl])&gt;0)),ROW()-7),1),"")</f>
        <v>Tragant, Chinesischer (Wurzeln)</v>
      </c>
      <c r="C357" s="772" t="str">
        <f>IF(Kulturen[[#This Row],[HF]]=$D$373,IF($C$6=0,0,"x"),IF($C$6=0,"x",Vorauswahl!C356))</f>
        <v>x</v>
      </c>
      <c r="D357" s="938" t="s">
        <v>2107</v>
      </c>
      <c r="E357" s="938" t="s">
        <v>2107</v>
      </c>
      <c r="F357" s="938" t="s">
        <v>2108</v>
      </c>
      <c r="G357" s="938">
        <v>14</v>
      </c>
      <c r="H357" s="938">
        <v>8</v>
      </c>
      <c r="I357" s="938">
        <v>1</v>
      </c>
      <c r="J357" s="938">
        <v>14</v>
      </c>
      <c r="K357" s="938">
        <v>1.81</v>
      </c>
      <c r="L357" s="938">
        <v>1.81</v>
      </c>
      <c r="M357" s="938">
        <v>12</v>
      </c>
      <c r="N357" s="938">
        <v>0</v>
      </c>
      <c r="O357" s="938">
        <v>1</v>
      </c>
      <c r="P357" s="938">
        <v>0</v>
      </c>
      <c r="Q357" s="938">
        <v>80</v>
      </c>
      <c r="R357" s="938">
        <v>1</v>
      </c>
      <c r="S357" s="938">
        <v>8</v>
      </c>
      <c r="T357" s="938">
        <v>8</v>
      </c>
      <c r="U357" s="938">
        <v>0</v>
      </c>
      <c r="V357" s="938">
        <v>1</v>
      </c>
      <c r="W357" s="776">
        <f>IF(Kulturen[[#This Row],[Berechnungsschema]]=13,3,IF(Kulturen[[#This Row],[Berechnungsschema]]=6,2,1))</f>
        <v>1</v>
      </c>
      <c r="X357" s="776">
        <f>IF(Kulturen[[#This Row],[fruchtartengruppe]]=13,Kulturen[[#This Row],[NBedarfswert]],MAX(0,Kulturen[[#This Row],[NBedarfswert]]-Kulturen[[#This Row],[Ertrag]]*Kulturen[[#This Row],[Nfix]]))</f>
        <v>80</v>
      </c>
      <c r="Y357" s="776" t="s">
        <v>2127</v>
      </c>
      <c r="Z357" s="776" t="s">
        <v>2127</v>
      </c>
      <c r="AA357" s="776" t="s">
        <v>2127</v>
      </c>
      <c r="AB357" s="776" t="s">
        <v>2127</v>
      </c>
      <c r="AC357" s="776" t="s">
        <v>2127</v>
      </c>
      <c r="AD357" s="776" t="s">
        <v>2127</v>
      </c>
      <c r="AE357" s="776" t="s">
        <v>2127</v>
      </c>
      <c r="AF357" s="776" t="s">
        <v>2127</v>
      </c>
      <c r="AG357" s="776" t="s">
        <v>2127</v>
      </c>
      <c r="AH357" s="776" t="s">
        <v>2127</v>
      </c>
      <c r="AI357" s="776" t="s">
        <v>2127</v>
      </c>
      <c r="AJ357" s="776" t="s">
        <v>2127</v>
      </c>
      <c r="AK357" s="776" t="s">
        <v>2127</v>
      </c>
      <c r="AL357" s="776" t="s">
        <v>2127</v>
      </c>
      <c r="AM357" s="776" t="s">
        <v>2127</v>
      </c>
      <c r="AN357" s="776" t="s">
        <v>2127</v>
      </c>
      <c r="AO357" s="776" t="s">
        <v>2127</v>
      </c>
      <c r="AP357" s="776" t="s">
        <v>2127</v>
      </c>
      <c r="AQ357" s="776" t="s">
        <v>2127</v>
      </c>
      <c r="AR357" s="776" t="s">
        <v>2127</v>
      </c>
      <c r="AS357" s="776" t="s">
        <v>2127</v>
      </c>
      <c r="AT357" s="776" t="s">
        <v>2127</v>
      </c>
      <c r="AU357" s="776" t="s">
        <v>2127</v>
      </c>
      <c r="AV357" s="776" t="s">
        <v>2127</v>
      </c>
      <c r="AW357" s="776" t="s">
        <v>2127</v>
      </c>
      <c r="AX357" s="776" t="s">
        <v>2127</v>
      </c>
      <c r="AY357" s="776" t="s">
        <v>2127</v>
      </c>
      <c r="AZ357" s="776" t="s">
        <v>2127</v>
      </c>
      <c r="BA357" s="776" t="s">
        <v>2127</v>
      </c>
      <c r="BB357" s="776" t="s">
        <v>2127</v>
      </c>
      <c r="BC357" s="776" t="s">
        <v>2127</v>
      </c>
      <c r="BD357" s="776" t="s">
        <v>2127</v>
      </c>
      <c r="BE357" s="776" t="s">
        <v>2127</v>
      </c>
      <c r="BF357" s="776" t="s">
        <v>2127</v>
      </c>
      <c r="BG357" s="776" t="s">
        <v>2127</v>
      </c>
      <c r="BH357" s="776" t="s">
        <v>2127</v>
      </c>
      <c r="BI357" s="776" t="s">
        <v>2127</v>
      </c>
      <c r="BJ357" s="776" t="s">
        <v>2127</v>
      </c>
      <c r="BK357" s="776" t="s">
        <v>2127</v>
      </c>
      <c r="BL357" s="776" t="s">
        <v>2127</v>
      </c>
      <c r="BM357" s="776" t="s">
        <v>2127</v>
      </c>
      <c r="BN357" s="776" t="s">
        <v>2127</v>
      </c>
      <c r="BO357" s="776" t="s">
        <v>2127</v>
      </c>
      <c r="BP357" s="776" t="s">
        <v>2127</v>
      </c>
      <c r="BQ357" s="776" t="s">
        <v>2127</v>
      </c>
      <c r="BR357" s="776" t="s">
        <v>2127</v>
      </c>
      <c r="BS357" s="776" t="s">
        <v>2127</v>
      </c>
      <c r="BT357" s="776" t="s">
        <v>2127</v>
      </c>
      <c r="BU357" s="776" t="s">
        <v>2127</v>
      </c>
      <c r="BV357" s="776" t="s">
        <v>2127</v>
      </c>
      <c r="BW357" s="776" t="s">
        <v>2127</v>
      </c>
      <c r="BX357" s="776" t="s">
        <v>2127</v>
      </c>
      <c r="BY357" s="776" t="s">
        <v>2127</v>
      </c>
      <c r="BZ357" s="776" t="s">
        <v>2127</v>
      </c>
      <c r="CA357" s="776" t="s">
        <v>2127</v>
      </c>
      <c r="CB357" s="776" t="s">
        <v>2127</v>
      </c>
      <c r="CC357" s="776" t="s">
        <v>2127</v>
      </c>
      <c r="CD357" s="776" t="s">
        <v>2127</v>
      </c>
      <c r="CE357" s="776" t="s">
        <v>2127</v>
      </c>
      <c r="CF357" s="776" t="s">
        <v>2127</v>
      </c>
      <c r="CG357" s="776" t="s">
        <v>2127</v>
      </c>
      <c r="CH357" s="776" t="s">
        <v>2127</v>
      </c>
      <c r="CI357" s="776" t="s">
        <v>2127</v>
      </c>
      <c r="CJ357" s="776" t="s">
        <v>2127</v>
      </c>
      <c r="CK357" s="776" t="s">
        <v>2127</v>
      </c>
      <c r="CL357" s="776" t="s">
        <v>2127</v>
      </c>
      <c r="CM357" s="776" t="s">
        <v>2127</v>
      </c>
      <c r="CN357" s="776" t="s">
        <v>2127</v>
      </c>
      <c r="CO357" s="776" t="s">
        <v>2127</v>
      </c>
      <c r="CP357" s="776" t="s">
        <v>2127</v>
      </c>
      <c r="CQ357" s="776" t="s">
        <v>2127</v>
      </c>
      <c r="CR357" s="776" t="s">
        <v>2127</v>
      </c>
      <c r="CS357" s="776" t="s">
        <v>2127</v>
      </c>
      <c r="CT357" s="776" t="s">
        <v>2127</v>
      </c>
      <c r="CU357" s="776" t="s">
        <v>2127</v>
      </c>
      <c r="CV357" s="776" t="s">
        <v>2127</v>
      </c>
      <c r="CW357" s="776" t="s">
        <v>2127</v>
      </c>
      <c r="CX357" s="776" t="s">
        <v>2127</v>
      </c>
      <c r="CY357" s="776" t="s">
        <v>2127</v>
      </c>
      <c r="CZ357" s="776" t="s">
        <v>2127</v>
      </c>
      <c r="DA357" s="776" t="s">
        <v>2127</v>
      </c>
      <c r="DB357" s="776" t="s">
        <v>2127</v>
      </c>
      <c r="DC357" s="776" t="s">
        <v>2127</v>
      </c>
      <c r="DD357" s="776" t="s">
        <v>2127</v>
      </c>
      <c r="DE357" s="776" t="s">
        <v>2127</v>
      </c>
      <c r="DF357" s="776" t="s">
        <v>2127</v>
      </c>
      <c r="DG357" s="776" t="s">
        <v>2127</v>
      </c>
      <c r="DH357" s="776" t="s">
        <v>2127</v>
      </c>
      <c r="DI357" s="776" t="s">
        <v>2127</v>
      </c>
      <c r="DJ357" s="776" t="s">
        <v>2127</v>
      </c>
      <c r="DK357" s="776" t="s">
        <v>2127</v>
      </c>
      <c r="DL357" s="776" t="s">
        <v>2127</v>
      </c>
      <c r="DM357" s="776" t="s">
        <v>2127</v>
      </c>
      <c r="DN357" s="776" t="s">
        <v>2127</v>
      </c>
      <c r="DO357" s="776" t="s">
        <v>2127</v>
      </c>
      <c r="DP357" s="776" t="s">
        <v>2127</v>
      </c>
    </row>
    <row r="358" spans="1:120" x14ac:dyDescent="0.2">
      <c r="A358" s="637" t="s">
        <v>2360</v>
      </c>
      <c r="B358" s="772" t="str" cm="1">
        <f t="array" ref="B358">IFERROR(INDEX(Kulturen[HF],_xlfn.AGGREGATE(15,6,(ROW(Kulturen[Auswahl])-7)/(--(SEARCH("x",Kulturen[Auswahl])&gt;0)),ROW()-7),1),"")</f>
        <v>Wermut, Beifuß (Nicht blühendes Kraut)</v>
      </c>
      <c r="C358" s="772" t="str">
        <f>IF(Kulturen[[#This Row],[HF]]=$D$373,IF($C$6=0,0,"x"),IF($C$6=0,"x",Vorauswahl!C357))</f>
        <v>x</v>
      </c>
      <c r="D358" s="938" t="s">
        <v>2109</v>
      </c>
      <c r="E358" s="938" t="s">
        <v>2109</v>
      </c>
      <c r="F358" s="938" t="s">
        <v>1000</v>
      </c>
      <c r="G358" s="938">
        <v>14</v>
      </c>
      <c r="H358" s="938">
        <v>8</v>
      </c>
      <c r="I358" s="938">
        <v>3</v>
      </c>
      <c r="J358" s="938">
        <v>14</v>
      </c>
      <c r="K358" s="938">
        <v>0.1</v>
      </c>
      <c r="L358" s="938">
        <v>0.1</v>
      </c>
      <c r="M358" s="938">
        <v>500</v>
      </c>
      <c r="N358" s="938">
        <v>0</v>
      </c>
      <c r="O358" s="938">
        <v>1</v>
      </c>
      <c r="P358" s="938">
        <v>0</v>
      </c>
      <c r="Q358" s="938">
        <v>150</v>
      </c>
      <c r="R358" s="938">
        <v>50</v>
      </c>
      <c r="S358" s="938">
        <v>15</v>
      </c>
      <c r="T358" s="938">
        <v>15</v>
      </c>
      <c r="U358" s="938">
        <v>0</v>
      </c>
      <c r="V358" s="938">
        <v>1</v>
      </c>
      <c r="W358" s="776">
        <f>IF(Kulturen[[#This Row],[Berechnungsschema]]=13,3,IF(Kulturen[[#This Row],[Berechnungsschema]]=6,2,1))</f>
        <v>1</v>
      </c>
      <c r="X358" s="776">
        <f>IF(Kulturen[[#This Row],[fruchtartengruppe]]=13,Kulturen[[#This Row],[NBedarfswert]],MAX(0,Kulturen[[#This Row],[NBedarfswert]]-Kulturen[[#This Row],[Ertrag]]*Kulturen[[#This Row],[Nfix]]))</f>
        <v>150</v>
      </c>
      <c r="Y358" s="776" t="s">
        <v>2127</v>
      </c>
      <c r="Z358" s="776" t="s">
        <v>2127</v>
      </c>
      <c r="AA358" s="776" t="s">
        <v>2127</v>
      </c>
      <c r="AB358" s="776" t="s">
        <v>2127</v>
      </c>
      <c r="AC358" s="776" t="s">
        <v>2127</v>
      </c>
      <c r="AD358" s="776" t="s">
        <v>2127</v>
      </c>
      <c r="AE358" s="776" t="s">
        <v>2127</v>
      </c>
      <c r="AF358" s="776" t="s">
        <v>2127</v>
      </c>
      <c r="AG358" s="776" t="s">
        <v>2127</v>
      </c>
      <c r="AH358" s="776" t="s">
        <v>2127</v>
      </c>
      <c r="AI358" s="776" t="s">
        <v>2127</v>
      </c>
      <c r="AJ358" s="776" t="s">
        <v>2127</v>
      </c>
      <c r="AK358" s="776" t="s">
        <v>2127</v>
      </c>
      <c r="AL358" s="776" t="s">
        <v>2127</v>
      </c>
      <c r="AM358" s="776" t="s">
        <v>2127</v>
      </c>
      <c r="AN358" s="776" t="s">
        <v>2127</v>
      </c>
      <c r="AO358" s="776" t="s">
        <v>2127</v>
      </c>
      <c r="AP358" s="776" t="s">
        <v>2127</v>
      </c>
      <c r="AQ358" s="776" t="s">
        <v>2127</v>
      </c>
      <c r="AR358" s="776" t="s">
        <v>2127</v>
      </c>
      <c r="AS358" s="776" t="s">
        <v>2127</v>
      </c>
      <c r="AT358" s="776" t="s">
        <v>2127</v>
      </c>
      <c r="AU358" s="776" t="s">
        <v>2127</v>
      </c>
      <c r="AV358" s="776" t="s">
        <v>2127</v>
      </c>
      <c r="AW358" s="776" t="s">
        <v>2127</v>
      </c>
      <c r="AX358" s="776" t="s">
        <v>2127</v>
      </c>
      <c r="AY358" s="776" t="s">
        <v>2127</v>
      </c>
      <c r="AZ358" s="776" t="s">
        <v>2127</v>
      </c>
      <c r="BA358" s="776" t="s">
        <v>2127</v>
      </c>
      <c r="BB358" s="776" t="s">
        <v>2127</v>
      </c>
      <c r="BC358" s="776" t="s">
        <v>2127</v>
      </c>
      <c r="BD358" s="776" t="s">
        <v>2127</v>
      </c>
      <c r="BE358" s="776" t="s">
        <v>2127</v>
      </c>
      <c r="BF358" s="776" t="s">
        <v>2127</v>
      </c>
      <c r="BG358" s="776" t="s">
        <v>2127</v>
      </c>
      <c r="BH358" s="776" t="s">
        <v>2127</v>
      </c>
      <c r="BI358" s="776" t="s">
        <v>2127</v>
      </c>
      <c r="BJ358" s="776" t="s">
        <v>2127</v>
      </c>
      <c r="BK358" s="776" t="s">
        <v>2127</v>
      </c>
      <c r="BL358" s="776" t="s">
        <v>2127</v>
      </c>
      <c r="BM358" s="776" t="s">
        <v>2127</v>
      </c>
      <c r="BN358" s="776" t="s">
        <v>2127</v>
      </c>
      <c r="BO358" s="776" t="s">
        <v>2127</v>
      </c>
      <c r="BP358" s="776" t="s">
        <v>2127</v>
      </c>
      <c r="BQ358" s="776" t="s">
        <v>2127</v>
      </c>
      <c r="BR358" s="776" t="s">
        <v>2127</v>
      </c>
      <c r="BS358" s="776" t="s">
        <v>2127</v>
      </c>
      <c r="BT358" s="776" t="s">
        <v>2127</v>
      </c>
      <c r="BU358" s="776" t="s">
        <v>2127</v>
      </c>
      <c r="BV358" s="776" t="s">
        <v>2127</v>
      </c>
      <c r="BW358" s="776" t="s">
        <v>2127</v>
      </c>
      <c r="BX358" s="776" t="s">
        <v>2127</v>
      </c>
      <c r="BY358" s="776" t="s">
        <v>2127</v>
      </c>
      <c r="BZ358" s="776" t="s">
        <v>2127</v>
      </c>
      <c r="CA358" s="776" t="s">
        <v>2127</v>
      </c>
      <c r="CB358" s="776" t="s">
        <v>2127</v>
      </c>
      <c r="CC358" s="776" t="s">
        <v>2127</v>
      </c>
      <c r="CD358" s="776" t="s">
        <v>2127</v>
      </c>
      <c r="CE358" s="776" t="s">
        <v>2127</v>
      </c>
      <c r="CF358" s="776" t="s">
        <v>2127</v>
      </c>
      <c r="CG358" s="776" t="s">
        <v>2127</v>
      </c>
      <c r="CH358" s="776" t="s">
        <v>2127</v>
      </c>
      <c r="CI358" s="776" t="s">
        <v>2127</v>
      </c>
      <c r="CJ358" s="776" t="s">
        <v>2127</v>
      </c>
      <c r="CK358" s="776" t="s">
        <v>2127</v>
      </c>
      <c r="CL358" s="776" t="s">
        <v>2127</v>
      </c>
      <c r="CM358" s="776" t="s">
        <v>2127</v>
      </c>
      <c r="CN358" s="776" t="s">
        <v>2127</v>
      </c>
      <c r="CO358" s="776" t="s">
        <v>2127</v>
      </c>
      <c r="CP358" s="776" t="s">
        <v>2127</v>
      </c>
      <c r="CQ358" s="776" t="s">
        <v>2127</v>
      </c>
      <c r="CR358" s="776" t="s">
        <v>2127</v>
      </c>
      <c r="CS358" s="776" t="s">
        <v>2127</v>
      </c>
      <c r="CT358" s="776" t="s">
        <v>2127</v>
      </c>
      <c r="CU358" s="776" t="s">
        <v>2127</v>
      </c>
      <c r="CV358" s="776" t="s">
        <v>2127</v>
      </c>
      <c r="CW358" s="776" t="s">
        <v>2127</v>
      </c>
      <c r="CX358" s="776" t="s">
        <v>2127</v>
      </c>
      <c r="CY358" s="776" t="s">
        <v>2127</v>
      </c>
      <c r="CZ358" s="776" t="s">
        <v>2127</v>
      </c>
      <c r="DA358" s="776" t="s">
        <v>2127</v>
      </c>
      <c r="DB358" s="776" t="s">
        <v>2127</v>
      </c>
      <c r="DC358" s="776" t="s">
        <v>2127</v>
      </c>
      <c r="DD358" s="776" t="s">
        <v>2127</v>
      </c>
      <c r="DE358" s="776" t="s">
        <v>2127</v>
      </c>
      <c r="DF358" s="776" t="s">
        <v>2127</v>
      </c>
      <c r="DG358" s="776" t="s">
        <v>2127</v>
      </c>
      <c r="DH358" s="776" t="s">
        <v>2127</v>
      </c>
      <c r="DI358" s="776" t="s">
        <v>2127</v>
      </c>
      <c r="DJ358" s="776" t="s">
        <v>2127</v>
      </c>
      <c r="DK358" s="776" t="s">
        <v>2127</v>
      </c>
      <c r="DL358" s="776" t="s">
        <v>2127</v>
      </c>
      <c r="DM358" s="776" t="s">
        <v>2127</v>
      </c>
      <c r="DN358" s="776" t="s">
        <v>2127</v>
      </c>
      <c r="DO358" s="776" t="s">
        <v>2127</v>
      </c>
      <c r="DP358" s="776" t="s">
        <v>2127</v>
      </c>
    </row>
    <row r="359" spans="1:120" x14ac:dyDescent="0.2">
      <c r="A359" s="637" t="s">
        <v>2361</v>
      </c>
      <c r="B359" s="772" t="str" cm="1">
        <f t="array" ref="B359">IFERROR(INDEX(Kulturen[HF],_xlfn.AGGREGATE(15,6,(ROW(Kulturen[Auswahl])-7)/(--(SEARCH("x",Kulturen[Auswahl])&gt;0)),ROW()-7),1),"")</f>
        <v>Winterheckenzwiebel (Kraut)</v>
      </c>
      <c r="C359" s="772" t="str">
        <f>IF(Kulturen[[#This Row],[HF]]=$D$373,IF($C$6=0,0,"x"),IF($C$6=0,"x",Vorauswahl!C358))</f>
        <v>x</v>
      </c>
      <c r="D359" s="938" t="s">
        <v>2110</v>
      </c>
      <c r="E359" s="938" t="s">
        <v>2110</v>
      </c>
      <c r="F359" s="938" t="s">
        <v>1001</v>
      </c>
      <c r="G359" s="938">
        <v>14</v>
      </c>
      <c r="H359" s="938">
        <v>8</v>
      </c>
      <c r="I359" s="938">
        <v>1</v>
      </c>
      <c r="J359" s="938">
        <v>14</v>
      </c>
      <c r="K359" s="938">
        <v>0.12</v>
      </c>
      <c r="L359" s="938">
        <v>0.15</v>
      </c>
      <c r="M359" s="938">
        <v>50</v>
      </c>
      <c r="N359" s="938">
        <v>0</v>
      </c>
      <c r="O359" s="938">
        <v>2</v>
      </c>
      <c r="P359" s="938">
        <v>0</v>
      </c>
      <c r="Q359" s="938">
        <v>75</v>
      </c>
      <c r="R359" s="938">
        <v>5</v>
      </c>
      <c r="S359" s="938">
        <v>4</v>
      </c>
      <c r="T359" s="938">
        <v>4</v>
      </c>
      <c r="U359" s="938">
        <v>0</v>
      </c>
      <c r="V359" s="938">
        <v>1</v>
      </c>
      <c r="W359" s="776">
        <f>IF(Kulturen[[#This Row],[Berechnungsschema]]=13,3,IF(Kulturen[[#This Row],[Berechnungsschema]]=6,2,1))</f>
        <v>1</v>
      </c>
      <c r="X359" s="776">
        <f>IF(Kulturen[[#This Row],[fruchtartengruppe]]=13,Kulturen[[#This Row],[NBedarfswert]],MAX(0,Kulturen[[#This Row],[NBedarfswert]]-Kulturen[[#This Row],[Ertrag]]*Kulturen[[#This Row],[Nfix]]))</f>
        <v>75</v>
      </c>
      <c r="Y359" s="776" t="s">
        <v>2127</v>
      </c>
      <c r="Z359" s="776" t="s">
        <v>2127</v>
      </c>
      <c r="AA359" s="776" t="s">
        <v>2127</v>
      </c>
      <c r="AB359" s="776" t="s">
        <v>2127</v>
      </c>
      <c r="AC359" s="776" t="s">
        <v>2127</v>
      </c>
      <c r="AD359" s="776" t="s">
        <v>2127</v>
      </c>
      <c r="AE359" s="776" t="s">
        <v>2127</v>
      </c>
      <c r="AF359" s="776" t="s">
        <v>2127</v>
      </c>
      <c r="AG359" s="776" t="s">
        <v>2127</v>
      </c>
      <c r="AH359" s="776" t="s">
        <v>2127</v>
      </c>
      <c r="AI359" s="776" t="s">
        <v>2127</v>
      </c>
      <c r="AJ359" s="776" t="s">
        <v>2127</v>
      </c>
      <c r="AK359" s="776" t="s">
        <v>2127</v>
      </c>
      <c r="AL359" s="776" t="s">
        <v>2127</v>
      </c>
      <c r="AM359" s="776" t="s">
        <v>2127</v>
      </c>
      <c r="AN359" s="776" t="s">
        <v>2127</v>
      </c>
      <c r="AO359" s="776" t="s">
        <v>2127</v>
      </c>
      <c r="AP359" s="776" t="s">
        <v>2127</v>
      </c>
      <c r="AQ359" s="776" t="s">
        <v>2127</v>
      </c>
      <c r="AR359" s="776" t="s">
        <v>2127</v>
      </c>
      <c r="AS359" s="776" t="s">
        <v>2127</v>
      </c>
      <c r="AT359" s="776" t="s">
        <v>2127</v>
      </c>
      <c r="AU359" s="776" t="s">
        <v>2127</v>
      </c>
      <c r="AV359" s="776" t="s">
        <v>2127</v>
      </c>
      <c r="AW359" s="776" t="s">
        <v>2127</v>
      </c>
      <c r="AX359" s="776" t="s">
        <v>2127</v>
      </c>
      <c r="AY359" s="776" t="s">
        <v>2127</v>
      </c>
      <c r="AZ359" s="776" t="s">
        <v>2127</v>
      </c>
      <c r="BA359" s="776" t="s">
        <v>2127</v>
      </c>
      <c r="BB359" s="776" t="s">
        <v>2127</v>
      </c>
      <c r="BC359" s="776" t="s">
        <v>2127</v>
      </c>
      <c r="BD359" s="776" t="s">
        <v>2127</v>
      </c>
      <c r="BE359" s="776" t="s">
        <v>2127</v>
      </c>
      <c r="BF359" s="776" t="s">
        <v>2127</v>
      </c>
      <c r="BG359" s="776" t="s">
        <v>2127</v>
      </c>
      <c r="BH359" s="776" t="s">
        <v>2127</v>
      </c>
      <c r="BI359" s="776" t="s">
        <v>2127</v>
      </c>
      <c r="BJ359" s="776" t="s">
        <v>2127</v>
      </c>
      <c r="BK359" s="776" t="s">
        <v>2127</v>
      </c>
      <c r="BL359" s="776" t="s">
        <v>2127</v>
      </c>
      <c r="BM359" s="776" t="s">
        <v>2127</v>
      </c>
      <c r="BN359" s="776" t="s">
        <v>2127</v>
      </c>
      <c r="BO359" s="776" t="s">
        <v>2127</v>
      </c>
      <c r="BP359" s="776" t="s">
        <v>2127</v>
      </c>
      <c r="BQ359" s="776" t="s">
        <v>2127</v>
      </c>
      <c r="BR359" s="776" t="s">
        <v>2127</v>
      </c>
      <c r="BS359" s="776" t="s">
        <v>2127</v>
      </c>
      <c r="BT359" s="776" t="s">
        <v>2127</v>
      </c>
      <c r="BU359" s="776" t="s">
        <v>2127</v>
      </c>
      <c r="BV359" s="776" t="s">
        <v>2127</v>
      </c>
      <c r="BW359" s="776" t="s">
        <v>2127</v>
      </c>
      <c r="BX359" s="776" t="s">
        <v>2127</v>
      </c>
      <c r="BY359" s="776" t="s">
        <v>2127</v>
      </c>
      <c r="BZ359" s="776" t="s">
        <v>2127</v>
      </c>
      <c r="CA359" s="776" t="s">
        <v>2127</v>
      </c>
      <c r="CB359" s="776" t="s">
        <v>2127</v>
      </c>
      <c r="CC359" s="776" t="s">
        <v>2127</v>
      </c>
      <c r="CD359" s="776" t="s">
        <v>2127</v>
      </c>
      <c r="CE359" s="776" t="s">
        <v>2127</v>
      </c>
      <c r="CF359" s="776" t="s">
        <v>2127</v>
      </c>
      <c r="CG359" s="776" t="s">
        <v>2127</v>
      </c>
      <c r="CH359" s="776" t="s">
        <v>2127</v>
      </c>
      <c r="CI359" s="776" t="s">
        <v>2127</v>
      </c>
      <c r="CJ359" s="776" t="s">
        <v>2127</v>
      </c>
      <c r="CK359" s="776" t="s">
        <v>2127</v>
      </c>
      <c r="CL359" s="776" t="s">
        <v>2127</v>
      </c>
      <c r="CM359" s="776" t="s">
        <v>2127</v>
      </c>
      <c r="CN359" s="776" t="s">
        <v>2127</v>
      </c>
      <c r="CO359" s="776" t="s">
        <v>2127</v>
      </c>
      <c r="CP359" s="776" t="s">
        <v>2127</v>
      </c>
      <c r="CQ359" s="776" t="s">
        <v>2127</v>
      </c>
      <c r="CR359" s="776" t="s">
        <v>2127</v>
      </c>
      <c r="CS359" s="776" t="s">
        <v>2127</v>
      </c>
      <c r="CT359" s="776" t="s">
        <v>2127</v>
      </c>
      <c r="CU359" s="776" t="s">
        <v>2127</v>
      </c>
      <c r="CV359" s="776" t="s">
        <v>2127</v>
      </c>
      <c r="CW359" s="776" t="s">
        <v>2127</v>
      </c>
      <c r="CX359" s="776" t="s">
        <v>2127</v>
      </c>
      <c r="CY359" s="776" t="s">
        <v>2127</v>
      </c>
      <c r="CZ359" s="776" t="s">
        <v>2127</v>
      </c>
      <c r="DA359" s="776" t="s">
        <v>2127</v>
      </c>
      <c r="DB359" s="776" t="s">
        <v>2127</v>
      </c>
      <c r="DC359" s="776" t="s">
        <v>2127</v>
      </c>
      <c r="DD359" s="776" t="s">
        <v>2127</v>
      </c>
      <c r="DE359" s="776" t="s">
        <v>2127</v>
      </c>
      <c r="DF359" s="776" t="s">
        <v>2127</v>
      </c>
      <c r="DG359" s="776" t="s">
        <v>2127</v>
      </c>
      <c r="DH359" s="776" t="s">
        <v>2127</v>
      </c>
      <c r="DI359" s="776" t="s">
        <v>2127</v>
      </c>
      <c r="DJ359" s="776" t="s">
        <v>2127</v>
      </c>
      <c r="DK359" s="776" t="s">
        <v>2127</v>
      </c>
      <c r="DL359" s="776" t="s">
        <v>2127</v>
      </c>
      <c r="DM359" s="776" t="s">
        <v>2127</v>
      </c>
      <c r="DN359" s="776" t="s">
        <v>2127</v>
      </c>
      <c r="DO359" s="776" t="s">
        <v>2127</v>
      </c>
      <c r="DP359" s="776" t="s">
        <v>2127</v>
      </c>
    </row>
    <row r="360" spans="1:120" x14ac:dyDescent="0.2">
      <c r="A360" s="637" t="s">
        <v>2362</v>
      </c>
      <c r="B360" s="772" t="str" cm="1">
        <f t="array" ref="B360">IFERROR(INDEX(Kulturen[HF],_xlfn.AGGREGATE(15,6,(ROW(Kulturen[Auswahl])-7)/(--(SEARCH("x",Kulturen[Auswahl])&gt;0)),ROW()-7),1),"")</f>
        <v>Ysop (Blühendes Kraut)</v>
      </c>
      <c r="C360" s="772" t="str">
        <f>IF(Kulturen[[#This Row],[HF]]=$D$373,IF($C$6=0,0,"x"),IF($C$6=0,"x",Vorauswahl!C359))</f>
        <v>x</v>
      </c>
      <c r="D360" s="938" t="s">
        <v>2111</v>
      </c>
      <c r="E360" s="938" t="s">
        <v>2111</v>
      </c>
      <c r="F360" s="938" t="s">
        <v>1002</v>
      </c>
      <c r="G360" s="938">
        <v>14</v>
      </c>
      <c r="H360" s="938">
        <v>8</v>
      </c>
      <c r="I360" s="938">
        <v>1</v>
      </c>
      <c r="J360" s="938">
        <v>14</v>
      </c>
      <c r="K360" s="938">
        <v>0.1</v>
      </c>
      <c r="L360" s="938">
        <v>0.12</v>
      </c>
      <c r="M360" s="938">
        <v>300</v>
      </c>
      <c r="N360" s="938">
        <v>0</v>
      </c>
      <c r="O360" s="938">
        <v>1</v>
      </c>
      <c r="P360" s="938">
        <v>0</v>
      </c>
      <c r="Q360" s="938">
        <v>180</v>
      </c>
      <c r="R360" s="938">
        <v>30</v>
      </c>
      <c r="S360" s="938">
        <v>18</v>
      </c>
      <c r="T360" s="938">
        <v>18</v>
      </c>
      <c r="U360" s="938">
        <v>0</v>
      </c>
      <c r="V360" s="938">
        <v>1</v>
      </c>
      <c r="W360" s="776">
        <f>IF(Kulturen[[#This Row],[Berechnungsschema]]=13,3,IF(Kulturen[[#This Row],[Berechnungsschema]]=6,2,1))</f>
        <v>1</v>
      </c>
      <c r="X360" s="776">
        <f>IF(Kulturen[[#This Row],[fruchtartengruppe]]=13,Kulturen[[#This Row],[NBedarfswert]],MAX(0,Kulturen[[#This Row],[NBedarfswert]]-Kulturen[[#This Row],[Ertrag]]*Kulturen[[#This Row],[Nfix]]))</f>
        <v>180</v>
      </c>
      <c r="Y360" s="776" t="s">
        <v>2127</v>
      </c>
      <c r="Z360" s="776" t="s">
        <v>2127</v>
      </c>
      <c r="AA360" s="776" t="s">
        <v>2127</v>
      </c>
      <c r="AB360" s="776" t="s">
        <v>2127</v>
      </c>
      <c r="AC360" s="776" t="s">
        <v>2127</v>
      </c>
      <c r="AD360" s="776" t="s">
        <v>2127</v>
      </c>
      <c r="AE360" s="776" t="s">
        <v>2127</v>
      </c>
      <c r="AF360" s="776" t="s">
        <v>2127</v>
      </c>
      <c r="AG360" s="776" t="s">
        <v>2127</v>
      </c>
      <c r="AH360" s="776" t="s">
        <v>2127</v>
      </c>
      <c r="AI360" s="776" t="s">
        <v>2127</v>
      </c>
      <c r="AJ360" s="776" t="s">
        <v>2127</v>
      </c>
      <c r="AK360" s="776" t="s">
        <v>2127</v>
      </c>
      <c r="AL360" s="776" t="s">
        <v>2127</v>
      </c>
      <c r="AM360" s="776" t="s">
        <v>2127</v>
      </c>
      <c r="AN360" s="776" t="s">
        <v>2127</v>
      </c>
      <c r="AO360" s="776" t="s">
        <v>2127</v>
      </c>
      <c r="AP360" s="776" t="s">
        <v>2127</v>
      </c>
      <c r="AQ360" s="776" t="s">
        <v>2127</v>
      </c>
      <c r="AR360" s="776" t="s">
        <v>2127</v>
      </c>
      <c r="AS360" s="776" t="s">
        <v>2127</v>
      </c>
      <c r="AT360" s="776" t="s">
        <v>2127</v>
      </c>
      <c r="AU360" s="776" t="s">
        <v>2127</v>
      </c>
      <c r="AV360" s="776" t="s">
        <v>2127</v>
      </c>
      <c r="AW360" s="776" t="s">
        <v>2127</v>
      </c>
      <c r="AX360" s="776" t="s">
        <v>2127</v>
      </c>
      <c r="AY360" s="776" t="s">
        <v>2127</v>
      </c>
      <c r="AZ360" s="776" t="s">
        <v>2127</v>
      </c>
      <c r="BA360" s="776" t="s">
        <v>2127</v>
      </c>
      <c r="BB360" s="776" t="s">
        <v>2127</v>
      </c>
      <c r="BC360" s="776" t="s">
        <v>2127</v>
      </c>
      <c r="BD360" s="776" t="s">
        <v>2127</v>
      </c>
      <c r="BE360" s="776" t="s">
        <v>2127</v>
      </c>
      <c r="BF360" s="776" t="s">
        <v>2127</v>
      </c>
      <c r="BG360" s="776" t="s">
        <v>2127</v>
      </c>
      <c r="BH360" s="776" t="s">
        <v>2127</v>
      </c>
      <c r="BI360" s="776" t="s">
        <v>2127</v>
      </c>
      <c r="BJ360" s="776" t="s">
        <v>2127</v>
      </c>
      <c r="BK360" s="776" t="s">
        <v>2127</v>
      </c>
      <c r="BL360" s="776" t="s">
        <v>2127</v>
      </c>
      <c r="BM360" s="776" t="s">
        <v>2127</v>
      </c>
      <c r="BN360" s="776" t="s">
        <v>2127</v>
      </c>
      <c r="BO360" s="776" t="s">
        <v>2127</v>
      </c>
      <c r="BP360" s="776" t="s">
        <v>2127</v>
      </c>
      <c r="BQ360" s="776" t="s">
        <v>2127</v>
      </c>
      <c r="BR360" s="776" t="s">
        <v>2127</v>
      </c>
      <c r="BS360" s="776" t="s">
        <v>2127</v>
      </c>
      <c r="BT360" s="776" t="s">
        <v>2127</v>
      </c>
      <c r="BU360" s="776" t="s">
        <v>2127</v>
      </c>
      <c r="BV360" s="776" t="s">
        <v>2127</v>
      </c>
      <c r="BW360" s="776" t="s">
        <v>2127</v>
      </c>
      <c r="BX360" s="776" t="s">
        <v>2127</v>
      </c>
      <c r="BY360" s="776" t="s">
        <v>2127</v>
      </c>
      <c r="BZ360" s="776" t="s">
        <v>2127</v>
      </c>
      <c r="CA360" s="776" t="s">
        <v>2127</v>
      </c>
      <c r="CB360" s="776" t="s">
        <v>2127</v>
      </c>
      <c r="CC360" s="776" t="s">
        <v>2127</v>
      </c>
      <c r="CD360" s="776" t="s">
        <v>2127</v>
      </c>
      <c r="CE360" s="776" t="s">
        <v>2127</v>
      </c>
      <c r="CF360" s="776" t="s">
        <v>2127</v>
      </c>
      <c r="CG360" s="776" t="s">
        <v>2127</v>
      </c>
      <c r="CH360" s="776" t="s">
        <v>2127</v>
      </c>
      <c r="CI360" s="776" t="s">
        <v>2127</v>
      </c>
      <c r="CJ360" s="776" t="s">
        <v>2127</v>
      </c>
      <c r="CK360" s="776" t="s">
        <v>2127</v>
      </c>
      <c r="CL360" s="776" t="s">
        <v>2127</v>
      </c>
      <c r="CM360" s="776" t="s">
        <v>2127</v>
      </c>
      <c r="CN360" s="776" t="s">
        <v>2127</v>
      </c>
      <c r="CO360" s="776" t="s">
        <v>2127</v>
      </c>
      <c r="CP360" s="776" t="s">
        <v>2127</v>
      </c>
      <c r="CQ360" s="776" t="s">
        <v>2127</v>
      </c>
      <c r="CR360" s="776" t="s">
        <v>2127</v>
      </c>
      <c r="CS360" s="776" t="s">
        <v>2127</v>
      </c>
      <c r="CT360" s="776" t="s">
        <v>2127</v>
      </c>
      <c r="CU360" s="776" t="s">
        <v>2127</v>
      </c>
      <c r="CV360" s="776" t="s">
        <v>2127</v>
      </c>
      <c r="CW360" s="776" t="s">
        <v>2127</v>
      </c>
      <c r="CX360" s="776" t="s">
        <v>2127</v>
      </c>
      <c r="CY360" s="776" t="s">
        <v>2127</v>
      </c>
      <c r="CZ360" s="776" t="s">
        <v>2127</v>
      </c>
      <c r="DA360" s="776" t="s">
        <v>2127</v>
      </c>
      <c r="DB360" s="776" t="s">
        <v>2127</v>
      </c>
      <c r="DC360" s="776" t="s">
        <v>2127</v>
      </c>
      <c r="DD360" s="776" t="s">
        <v>2127</v>
      </c>
      <c r="DE360" s="776" t="s">
        <v>2127</v>
      </c>
      <c r="DF360" s="776" t="s">
        <v>2127</v>
      </c>
      <c r="DG360" s="776" t="s">
        <v>2127</v>
      </c>
      <c r="DH360" s="776" t="s">
        <v>2127</v>
      </c>
      <c r="DI360" s="776" t="s">
        <v>2127</v>
      </c>
      <c r="DJ360" s="776" t="s">
        <v>2127</v>
      </c>
      <c r="DK360" s="776" t="s">
        <v>2127</v>
      </c>
      <c r="DL360" s="776" t="s">
        <v>2127</v>
      </c>
      <c r="DM360" s="776" t="s">
        <v>2127</v>
      </c>
      <c r="DN360" s="776" t="s">
        <v>2127</v>
      </c>
      <c r="DO360" s="776" t="s">
        <v>2127</v>
      </c>
      <c r="DP360" s="776" t="s">
        <v>2127</v>
      </c>
    </row>
    <row r="361" spans="1:120" x14ac:dyDescent="0.2">
      <c r="A361" s="637" t="s">
        <v>2363</v>
      </c>
      <c r="B361" s="772" t="str" cm="1">
        <f t="array" ref="B361">IFERROR(INDEX(Kulturen[HF],_xlfn.AGGREGATE(15,6,(ROW(Kulturen[Auswahl])-7)/(--(SEARCH("x",Kulturen[Auswahl])&gt;0)),ROW()-7),1),"")</f>
        <v>Zitronenmelisse (Nicht blühendes Kraut)</v>
      </c>
      <c r="C361" s="772" t="str">
        <f>IF(Kulturen[[#This Row],[HF]]=$D$373,IF($C$6=0,0,"x"),IF($C$6=0,"x",Vorauswahl!C360))</f>
        <v>x</v>
      </c>
      <c r="D361" s="938" t="s">
        <v>2112</v>
      </c>
      <c r="E361" s="938" t="s">
        <v>2112</v>
      </c>
      <c r="F361" s="938" t="s">
        <v>1003</v>
      </c>
      <c r="G361" s="938">
        <v>14</v>
      </c>
      <c r="H361" s="938">
        <v>8</v>
      </c>
      <c r="I361" s="938">
        <v>1</v>
      </c>
      <c r="J361" s="938">
        <v>14</v>
      </c>
      <c r="K361" s="938">
        <v>0.13</v>
      </c>
      <c r="L361" s="938">
        <v>0.15</v>
      </c>
      <c r="M361" s="938">
        <v>300</v>
      </c>
      <c r="N361" s="938">
        <v>0</v>
      </c>
      <c r="O361" s="938">
        <v>2</v>
      </c>
      <c r="P361" s="938">
        <v>0</v>
      </c>
      <c r="Q361" s="938">
        <v>215</v>
      </c>
      <c r="R361" s="938">
        <v>30</v>
      </c>
      <c r="S361" s="938">
        <v>22</v>
      </c>
      <c r="T361" s="938">
        <v>22</v>
      </c>
      <c r="U361" s="938">
        <v>0</v>
      </c>
      <c r="V361" s="938">
        <v>1</v>
      </c>
      <c r="W361" s="776">
        <f>IF(Kulturen[[#This Row],[Berechnungsschema]]=13,3,IF(Kulturen[[#This Row],[Berechnungsschema]]=6,2,1))</f>
        <v>1</v>
      </c>
      <c r="X361" s="776">
        <f>IF(Kulturen[[#This Row],[fruchtartengruppe]]=13,Kulturen[[#This Row],[NBedarfswert]],MAX(0,Kulturen[[#This Row],[NBedarfswert]]-Kulturen[[#This Row],[Ertrag]]*Kulturen[[#This Row],[Nfix]]))</f>
        <v>215</v>
      </c>
      <c r="Y361" s="776" t="s">
        <v>2127</v>
      </c>
      <c r="Z361" s="776" t="s">
        <v>2127</v>
      </c>
      <c r="AA361" s="776" t="s">
        <v>2127</v>
      </c>
      <c r="AB361" s="776" t="s">
        <v>2127</v>
      </c>
      <c r="AC361" s="776" t="s">
        <v>2127</v>
      </c>
      <c r="AD361" s="776" t="s">
        <v>2127</v>
      </c>
      <c r="AE361" s="776" t="s">
        <v>2127</v>
      </c>
      <c r="AF361" s="776" t="s">
        <v>2127</v>
      </c>
      <c r="AG361" s="776" t="s">
        <v>2127</v>
      </c>
      <c r="AH361" s="776" t="s">
        <v>2127</v>
      </c>
      <c r="AI361" s="776" t="s">
        <v>2127</v>
      </c>
      <c r="AJ361" s="776" t="s">
        <v>2127</v>
      </c>
      <c r="AK361" s="776" t="s">
        <v>2127</v>
      </c>
      <c r="AL361" s="776" t="s">
        <v>2127</v>
      </c>
      <c r="AM361" s="776" t="s">
        <v>2127</v>
      </c>
      <c r="AN361" s="776" t="s">
        <v>2127</v>
      </c>
      <c r="AO361" s="776" t="s">
        <v>2127</v>
      </c>
      <c r="AP361" s="776" t="s">
        <v>2127</v>
      </c>
      <c r="AQ361" s="776" t="s">
        <v>2127</v>
      </c>
      <c r="AR361" s="776" t="s">
        <v>2127</v>
      </c>
      <c r="AS361" s="776" t="s">
        <v>2127</v>
      </c>
      <c r="AT361" s="776" t="s">
        <v>2127</v>
      </c>
      <c r="AU361" s="776" t="s">
        <v>2127</v>
      </c>
      <c r="AV361" s="776" t="s">
        <v>2127</v>
      </c>
      <c r="AW361" s="776" t="s">
        <v>2127</v>
      </c>
      <c r="AX361" s="776" t="s">
        <v>2127</v>
      </c>
      <c r="AY361" s="776" t="s">
        <v>2127</v>
      </c>
      <c r="AZ361" s="776" t="s">
        <v>2127</v>
      </c>
      <c r="BA361" s="776" t="s">
        <v>2127</v>
      </c>
      <c r="BB361" s="776" t="s">
        <v>2127</v>
      </c>
      <c r="BC361" s="776" t="s">
        <v>2127</v>
      </c>
      <c r="BD361" s="776" t="s">
        <v>2127</v>
      </c>
      <c r="BE361" s="776" t="s">
        <v>2127</v>
      </c>
      <c r="BF361" s="776" t="s">
        <v>2127</v>
      </c>
      <c r="BG361" s="776" t="s">
        <v>2127</v>
      </c>
      <c r="BH361" s="776" t="s">
        <v>2127</v>
      </c>
      <c r="BI361" s="776" t="s">
        <v>2127</v>
      </c>
      <c r="BJ361" s="776" t="s">
        <v>2127</v>
      </c>
      <c r="BK361" s="776" t="s">
        <v>2127</v>
      </c>
      <c r="BL361" s="776" t="s">
        <v>2127</v>
      </c>
      <c r="BM361" s="776" t="s">
        <v>2127</v>
      </c>
      <c r="BN361" s="776" t="s">
        <v>2127</v>
      </c>
      <c r="BO361" s="776" t="s">
        <v>2127</v>
      </c>
      <c r="BP361" s="776" t="s">
        <v>2127</v>
      </c>
      <c r="BQ361" s="776" t="s">
        <v>2127</v>
      </c>
      <c r="BR361" s="776" t="s">
        <v>2127</v>
      </c>
      <c r="BS361" s="776" t="s">
        <v>2127</v>
      </c>
      <c r="BT361" s="776" t="s">
        <v>2127</v>
      </c>
      <c r="BU361" s="776" t="s">
        <v>2127</v>
      </c>
      <c r="BV361" s="776" t="s">
        <v>2127</v>
      </c>
      <c r="BW361" s="776" t="s">
        <v>2127</v>
      </c>
      <c r="BX361" s="776" t="s">
        <v>2127</v>
      </c>
      <c r="BY361" s="776" t="s">
        <v>2127</v>
      </c>
      <c r="BZ361" s="776" t="s">
        <v>2127</v>
      </c>
      <c r="CA361" s="776" t="s">
        <v>2127</v>
      </c>
      <c r="CB361" s="776" t="s">
        <v>2127</v>
      </c>
      <c r="CC361" s="776" t="s">
        <v>2127</v>
      </c>
      <c r="CD361" s="776" t="s">
        <v>2127</v>
      </c>
      <c r="CE361" s="776" t="s">
        <v>2127</v>
      </c>
      <c r="CF361" s="776" t="s">
        <v>2127</v>
      </c>
      <c r="CG361" s="776" t="s">
        <v>2127</v>
      </c>
      <c r="CH361" s="776" t="s">
        <v>2127</v>
      </c>
      <c r="CI361" s="776" t="s">
        <v>2127</v>
      </c>
      <c r="CJ361" s="776" t="s">
        <v>2127</v>
      </c>
      <c r="CK361" s="776" t="s">
        <v>2127</v>
      </c>
      <c r="CL361" s="776" t="s">
        <v>2127</v>
      </c>
      <c r="CM361" s="776" t="s">
        <v>2127</v>
      </c>
      <c r="CN361" s="776" t="s">
        <v>2127</v>
      </c>
      <c r="CO361" s="776" t="s">
        <v>2127</v>
      </c>
      <c r="CP361" s="776" t="s">
        <v>2127</v>
      </c>
      <c r="CQ361" s="776" t="s">
        <v>2127</v>
      </c>
      <c r="CR361" s="776" t="s">
        <v>2127</v>
      </c>
      <c r="CS361" s="776" t="s">
        <v>2127</v>
      </c>
      <c r="CT361" s="776" t="s">
        <v>2127</v>
      </c>
      <c r="CU361" s="776" t="s">
        <v>2127</v>
      </c>
      <c r="CV361" s="776" t="s">
        <v>2127</v>
      </c>
      <c r="CW361" s="776" t="s">
        <v>2127</v>
      </c>
      <c r="CX361" s="776" t="s">
        <v>2127</v>
      </c>
      <c r="CY361" s="776" t="s">
        <v>2127</v>
      </c>
      <c r="CZ361" s="776" t="s">
        <v>2127</v>
      </c>
      <c r="DA361" s="776" t="s">
        <v>2127</v>
      </c>
      <c r="DB361" s="776" t="s">
        <v>2127</v>
      </c>
      <c r="DC361" s="776" t="s">
        <v>2127</v>
      </c>
      <c r="DD361" s="776" t="s">
        <v>2127</v>
      </c>
      <c r="DE361" s="776" t="s">
        <v>2127</v>
      </c>
      <c r="DF361" s="776" t="s">
        <v>2127</v>
      </c>
      <c r="DG361" s="776" t="s">
        <v>2127</v>
      </c>
      <c r="DH361" s="776" t="s">
        <v>2127</v>
      </c>
      <c r="DI361" s="776" t="s">
        <v>2127</v>
      </c>
      <c r="DJ361" s="776" t="s">
        <v>2127</v>
      </c>
      <c r="DK361" s="776" t="s">
        <v>2127</v>
      </c>
      <c r="DL361" s="776" t="s">
        <v>2127</v>
      </c>
      <c r="DM361" s="776" t="s">
        <v>2127</v>
      </c>
      <c r="DN361" s="776" t="s">
        <v>2127</v>
      </c>
      <c r="DO361" s="776" t="s">
        <v>2127</v>
      </c>
      <c r="DP361" s="776" t="s">
        <v>2127</v>
      </c>
    </row>
    <row r="362" spans="1:120" x14ac:dyDescent="0.2">
      <c r="A362" s="637" t="s">
        <v>2364</v>
      </c>
      <c r="B362" s="772" t="str" cm="1">
        <f t="array" ref="B362">IFERROR(INDEX(Kulturen[HF],_xlfn.AGGREGATE(15,6,(ROW(Kulturen[Auswahl])-7)/(--(SEARCH("x",Kulturen[Auswahl])&gt;0)),ROW()-7),1),"")</f>
        <v>Zitronenverbene (Kraut)</v>
      </c>
      <c r="C362" s="772" t="str">
        <f>IF(Kulturen[[#This Row],[HF]]=$D$373,IF($C$6=0,0,"x"),IF($C$6=0,"x",Vorauswahl!C361))</f>
        <v>x</v>
      </c>
      <c r="D362" s="938" t="s">
        <v>2113</v>
      </c>
      <c r="E362" s="938" t="s">
        <v>2113</v>
      </c>
      <c r="F362" s="938" t="s">
        <v>1004</v>
      </c>
      <c r="G362" s="938">
        <v>14</v>
      </c>
      <c r="H362" s="938">
        <v>8</v>
      </c>
      <c r="I362" s="938">
        <v>3</v>
      </c>
      <c r="J362" s="938">
        <v>14</v>
      </c>
      <c r="K362" s="938">
        <v>0.12</v>
      </c>
      <c r="L362" s="938">
        <v>0.12</v>
      </c>
      <c r="M362" s="938">
        <v>350</v>
      </c>
      <c r="N362" s="938">
        <v>0</v>
      </c>
      <c r="O362" s="938">
        <v>2</v>
      </c>
      <c r="P362" s="938">
        <v>0</v>
      </c>
      <c r="Q362" s="938">
        <v>185</v>
      </c>
      <c r="R362" s="938">
        <v>35</v>
      </c>
      <c r="S362" s="938">
        <v>19</v>
      </c>
      <c r="T362" s="938">
        <v>19</v>
      </c>
      <c r="U362" s="938">
        <v>0</v>
      </c>
      <c r="V362" s="938">
        <v>1</v>
      </c>
      <c r="W362" s="776">
        <f>IF(Kulturen[[#This Row],[Berechnungsschema]]=13,3,IF(Kulturen[[#This Row],[Berechnungsschema]]=6,2,1))</f>
        <v>1</v>
      </c>
      <c r="X362" s="776">
        <f>IF(Kulturen[[#This Row],[fruchtartengruppe]]=13,Kulturen[[#This Row],[NBedarfswert]],MAX(0,Kulturen[[#This Row],[NBedarfswert]]-Kulturen[[#This Row],[Ertrag]]*Kulturen[[#This Row],[Nfix]]))</f>
        <v>185</v>
      </c>
      <c r="Y362" s="776" t="s">
        <v>2127</v>
      </c>
      <c r="Z362" s="776" t="s">
        <v>2127</v>
      </c>
      <c r="AA362" s="776" t="s">
        <v>2127</v>
      </c>
      <c r="AB362" s="776" t="s">
        <v>2127</v>
      </c>
      <c r="AC362" s="776" t="s">
        <v>2127</v>
      </c>
      <c r="AD362" s="776" t="s">
        <v>2127</v>
      </c>
      <c r="AE362" s="776" t="s">
        <v>2127</v>
      </c>
      <c r="AF362" s="776" t="s">
        <v>2127</v>
      </c>
      <c r="AG362" s="776" t="s">
        <v>2127</v>
      </c>
      <c r="AH362" s="776" t="s">
        <v>2127</v>
      </c>
      <c r="AI362" s="776" t="s">
        <v>2127</v>
      </c>
      <c r="AJ362" s="776" t="s">
        <v>2127</v>
      </c>
      <c r="AK362" s="776" t="s">
        <v>2127</v>
      </c>
      <c r="AL362" s="776" t="s">
        <v>2127</v>
      </c>
      <c r="AM362" s="776" t="s">
        <v>2127</v>
      </c>
      <c r="AN362" s="776" t="s">
        <v>2127</v>
      </c>
      <c r="AO362" s="776" t="s">
        <v>2127</v>
      </c>
      <c r="AP362" s="776" t="s">
        <v>2127</v>
      </c>
      <c r="AQ362" s="776" t="s">
        <v>2127</v>
      </c>
      <c r="AR362" s="776" t="s">
        <v>2127</v>
      </c>
      <c r="AS362" s="776" t="s">
        <v>2127</v>
      </c>
      <c r="AT362" s="776" t="s">
        <v>2127</v>
      </c>
      <c r="AU362" s="776" t="s">
        <v>2127</v>
      </c>
      <c r="AV362" s="776" t="s">
        <v>2127</v>
      </c>
      <c r="AW362" s="776" t="s">
        <v>2127</v>
      </c>
      <c r="AX362" s="776" t="s">
        <v>2127</v>
      </c>
      <c r="AY362" s="776" t="s">
        <v>2127</v>
      </c>
      <c r="AZ362" s="776" t="s">
        <v>2127</v>
      </c>
      <c r="BA362" s="776" t="s">
        <v>2127</v>
      </c>
      <c r="BB362" s="776" t="s">
        <v>2127</v>
      </c>
      <c r="BC362" s="776" t="s">
        <v>2127</v>
      </c>
      <c r="BD362" s="776" t="s">
        <v>2127</v>
      </c>
      <c r="BE362" s="776" t="s">
        <v>2127</v>
      </c>
      <c r="BF362" s="776" t="s">
        <v>2127</v>
      </c>
      <c r="BG362" s="776" t="s">
        <v>2127</v>
      </c>
      <c r="BH362" s="776" t="s">
        <v>2127</v>
      </c>
      <c r="BI362" s="776" t="s">
        <v>2127</v>
      </c>
      <c r="BJ362" s="776" t="s">
        <v>2127</v>
      </c>
      <c r="BK362" s="776" t="s">
        <v>2127</v>
      </c>
      <c r="BL362" s="776" t="s">
        <v>2127</v>
      </c>
      <c r="BM362" s="776" t="s">
        <v>2127</v>
      </c>
      <c r="BN362" s="776" t="s">
        <v>2127</v>
      </c>
      <c r="BO362" s="776" t="s">
        <v>2127</v>
      </c>
      <c r="BP362" s="776" t="s">
        <v>2127</v>
      </c>
      <c r="BQ362" s="776" t="s">
        <v>2127</v>
      </c>
      <c r="BR362" s="776" t="s">
        <v>2127</v>
      </c>
      <c r="BS362" s="776" t="s">
        <v>2127</v>
      </c>
      <c r="BT362" s="776" t="s">
        <v>2127</v>
      </c>
      <c r="BU362" s="776" t="s">
        <v>2127</v>
      </c>
      <c r="BV362" s="776" t="s">
        <v>2127</v>
      </c>
      <c r="BW362" s="776" t="s">
        <v>2127</v>
      </c>
      <c r="BX362" s="776" t="s">
        <v>2127</v>
      </c>
      <c r="BY362" s="776" t="s">
        <v>2127</v>
      </c>
      <c r="BZ362" s="776" t="s">
        <v>2127</v>
      </c>
      <c r="CA362" s="776" t="s">
        <v>2127</v>
      </c>
      <c r="CB362" s="776" t="s">
        <v>2127</v>
      </c>
      <c r="CC362" s="776" t="s">
        <v>2127</v>
      </c>
      <c r="CD362" s="776" t="s">
        <v>2127</v>
      </c>
      <c r="CE362" s="776" t="s">
        <v>2127</v>
      </c>
      <c r="CF362" s="776" t="s">
        <v>2127</v>
      </c>
      <c r="CG362" s="776" t="s">
        <v>2127</v>
      </c>
      <c r="CH362" s="776" t="s">
        <v>2127</v>
      </c>
      <c r="CI362" s="776" t="s">
        <v>2127</v>
      </c>
      <c r="CJ362" s="776" t="s">
        <v>2127</v>
      </c>
      <c r="CK362" s="776" t="s">
        <v>2127</v>
      </c>
      <c r="CL362" s="776" t="s">
        <v>2127</v>
      </c>
      <c r="CM362" s="776" t="s">
        <v>2127</v>
      </c>
      <c r="CN362" s="776" t="s">
        <v>2127</v>
      </c>
      <c r="CO362" s="776" t="s">
        <v>2127</v>
      </c>
      <c r="CP362" s="776" t="s">
        <v>2127</v>
      </c>
      <c r="CQ362" s="776" t="s">
        <v>2127</v>
      </c>
      <c r="CR362" s="776" t="s">
        <v>2127</v>
      </c>
      <c r="CS362" s="776" t="s">
        <v>2127</v>
      </c>
      <c r="CT362" s="776" t="s">
        <v>2127</v>
      </c>
      <c r="CU362" s="776" t="s">
        <v>2127</v>
      </c>
      <c r="CV362" s="776" t="s">
        <v>2127</v>
      </c>
      <c r="CW362" s="776" t="s">
        <v>2127</v>
      </c>
      <c r="CX362" s="776" t="s">
        <v>2127</v>
      </c>
      <c r="CY362" s="776" t="s">
        <v>2127</v>
      </c>
      <c r="CZ362" s="776" t="s">
        <v>2127</v>
      </c>
      <c r="DA362" s="776" t="s">
        <v>2127</v>
      </c>
      <c r="DB362" s="776" t="s">
        <v>2127</v>
      </c>
      <c r="DC362" s="776" t="s">
        <v>2127</v>
      </c>
      <c r="DD362" s="776" t="s">
        <v>2127</v>
      </c>
      <c r="DE362" s="776" t="s">
        <v>2127</v>
      </c>
      <c r="DF362" s="776" t="s">
        <v>2127</v>
      </c>
      <c r="DG362" s="776" t="s">
        <v>2127</v>
      </c>
      <c r="DH362" s="776" t="s">
        <v>2127</v>
      </c>
      <c r="DI362" s="776" t="s">
        <v>2127</v>
      </c>
      <c r="DJ362" s="776" t="s">
        <v>2127</v>
      </c>
      <c r="DK362" s="776" t="s">
        <v>2127</v>
      </c>
      <c r="DL362" s="776" t="s">
        <v>2127</v>
      </c>
      <c r="DM362" s="776" t="s">
        <v>2127</v>
      </c>
      <c r="DN362" s="776" t="s">
        <v>2127</v>
      </c>
      <c r="DO362" s="776" t="s">
        <v>2127</v>
      </c>
      <c r="DP362" s="776" t="s">
        <v>2127</v>
      </c>
    </row>
    <row r="363" spans="1:120" x14ac:dyDescent="0.2">
      <c r="A363" s="637" t="s">
        <v>2365</v>
      </c>
      <c r="B363" s="772" t="str" cm="1">
        <f t="array" ref="B363">IFERROR(INDEX(Kulturen[HF],_xlfn.AGGREGATE(15,6,(ROW(Kulturen[Auswahl])-7)/(--(SEARCH("x",Kulturen[Auswahl])&gt;0)),ROW()-7),1),"")</f>
        <v/>
      </c>
      <c r="C363" s="772" t="str">
        <f>IF(Kulturen[[#This Row],[HF]]=$D$373,IF($C$6=0,0,"x"),IF($C$6=0,"x",Vorauswahl!C362))</f>
        <v>x</v>
      </c>
      <c r="D363" s="938" t="s">
        <v>2114</v>
      </c>
      <c r="E363" s="938" t="s">
        <v>2114</v>
      </c>
      <c r="F363" s="938" t="s">
        <v>1005</v>
      </c>
      <c r="G363" s="938">
        <v>14</v>
      </c>
      <c r="H363" s="938">
        <v>8</v>
      </c>
      <c r="I363" s="938">
        <v>3</v>
      </c>
      <c r="J363" s="938">
        <v>14</v>
      </c>
      <c r="K363" s="938">
        <v>0.14000000000000001</v>
      </c>
      <c r="L363" s="938">
        <v>0.14000000000000001</v>
      </c>
      <c r="M363" s="938">
        <v>350</v>
      </c>
      <c r="N363" s="938">
        <v>0.46</v>
      </c>
      <c r="O363" s="938">
        <v>1</v>
      </c>
      <c r="P363" s="938">
        <v>0</v>
      </c>
      <c r="Q363" s="938">
        <v>225</v>
      </c>
      <c r="R363" s="938">
        <v>35</v>
      </c>
      <c r="S363" s="938">
        <v>23</v>
      </c>
      <c r="T363" s="938">
        <v>23</v>
      </c>
      <c r="U363" s="938">
        <v>0</v>
      </c>
      <c r="V363" s="938">
        <v>1</v>
      </c>
      <c r="W363" s="776">
        <f>IF(Kulturen[[#This Row],[Berechnungsschema]]=13,3,IF(Kulturen[[#This Row],[Berechnungsschema]]=6,2,1))</f>
        <v>1</v>
      </c>
      <c r="X363" s="776">
        <f>IF(Kulturen[[#This Row],[fruchtartengruppe]]=13,Kulturen[[#This Row],[NBedarfswert]],MAX(0,Kulturen[[#This Row],[NBedarfswert]]-Kulturen[[#This Row],[Ertrag]]*Kulturen[[#This Row],[Nfix]]))</f>
        <v>64</v>
      </c>
      <c r="Y363" s="776" t="s">
        <v>2127</v>
      </c>
      <c r="Z363" s="776" t="s">
        <v>2127</v>
      </c>
      <c r="AA363" s="776" t="s">
        <v>2127</v>
      </c>
      <c r="AB363" s="776" t="s">
        <v>2127</v>
      </c>
      <c r="AC363" s="776" t="s">
        <v>2127</v>
      </c>
      <c r="AD363" s="776" t="s">
        <v>2127</v>
      </c>
      <c r="AE363" s="776" t="s">
        <v>2127</v>
      </c>
      <c r="AF363" s="776" t="s">
        <v>2127</v>
      </c>
      <c r="AG363" s="776" t="s">
        <v>2127</v>
      </c>
      <c r="AH363" s="776" t="s">
        <v>2127</v>
      </c>
      <c r="AI363" s="776" t="s">
        <v>2127</v>
      </c>
      <c r="AJ363" s="776" t="s">
        <v>2127</v>
      </c>
      <c r="AK363" s="776" t="s">
        <v>2127</v>
      </c>
      <c r="AL363" s="776" t="s">
        <v>2127</v>
      </c>
      <c r="AM363" s="776" t="s">
        <v>2127</v>
      </c>
      <c r="AN363" s="776" t="s">
        <v>2127</v>
      </c>
      <c r="AO363" s="776" t="s">
        <v>2127</v>
      </c>
      <c r="AP363" s="776" t="s">
        <v>2127</v>
      </c>
      <c r="AQ363" s="776" t="s">
        <v>2127</v>
      </c>
      <c r="AR363" s="776" t="s">
        <v>2127</v>
      </c>
      <c r="AS363" s="776" t="s">
        <v>2127</v>
      </c>
      <c r="AT363" s="776" t="s">
        <v>2127</v>
      </c>
      <c r="AU363" s="776" t="s">
        <v>2127</v>
      </c>
      <c r="AV363" s="776" t="s">
        <v>2127</v>
      </c>
      <c r="AW363" s="776" t="s">
        <v>2127</v>
      </c>
      <c r="AX363" s="776" t="s">
        <v>2127</v>
      </c>
      <c r="AY363" s="776" t="s">
        <v>2127</v>
      </c>
      <c r="AZ363" s="776" t="s">
        <v>2127</v>
      </c>
      <c r="BA363" s="776" t="s">
        <v>2127</v>
      </c>
      <c r="BB363" s="776" t="s">
        <v>2127</v>
      </c>
      <c r="BC363" s="776" t="s">
        <v>2127</v>
      </c>
      <c r="BD363" s="776" t="s">
        <v>2127</v>
      </c>
      <c r="BE363" s="776" t="s">
        <v>2127</v>
      </c>
      <c r="BF363" s="776" t="s">
        <v>2127</v>
      </c>
      <c r="BG363" s="776" t="s">
        <v>2127</v>
      </c>
      <c r="BH363" s="776" t="s">
        <v>2127</v>
      </c>
      <c r="BI363" s="776" t="s">
        <v>2127</v>
      </c>
      <c r="BJ363" s="776" t="s">
        <v>2127</v>
      </c>
      <c r="BK363" s="776" t="s">
        <v>2127</v>
      </c>
      <c r="BL363" s="776" t="s">
        <v>2127</v>
      </c>
      <c r="BM363" s="776" t="s">
        <v>2127</v>
      </c>
      <c r="BN363" s="776" t="s">
        <v>2127</v>
      </c>
      <c r="BO363" s="776" t="s">
        <v>2127</v>
      </c>
      <c r="BP363" s="776" t="s">
        <v>2127</v>
      </c>
      <c r="BQ363" s="776" t="s">
        <v>2127</v>
      </c>
      <c r="BR363" s="776" t="s">
        <v>2127</v>
      </c>
      <c r="BS363" s="776" t="s">
        <v>2127</v>
      </c>
      <c r="BT363" s="776" t="s">
        <v>2127</v>
      </c>
      <c r="BU363" s="776" t="s">
        <v>2127</v>
      </c>
      <c r="BV363" s="776" t="s">
        <v>2127</v>
      </c>
      <c r="BW363" s="776" t="s">
        <v>2127</v>
      </c>
      <c r="BX363" s="776" t="s">
        <v>2127</v>
      </c>
      <c r="BY363" s="776" t="s">
        <v>2127</v>
      </c>
      <c r="BZ363" s="776" t="s">
        <v>2127</v>
      </c>
      <c r="CA363" s="776" t="s">
        <v>2127</v>
      </c>
      <c r="CB363" s="776" t="s">
        <v>2127</v>
      </c>
      <c r="CC363" s="776" t="s">
        <v>2127</v>
      </c>
      <c r="CD363" s="776" t="s">
        <v>2127</v>
      </c>
      <c r="CE363" s="776" t="s">
        <v>2127</v>
      </c>
      <c r="CF363" s="776" t="s">
        <v>2127</v>
      </c>
      <c r="CG363" s="776" t="s">
        <v>2127</v>
      </c>
      <c r="CH363" s="776" t="s">
        <v>2127</v>
      </c>
      <c r="CI363" s="776" t="s">
        <v>2127</v>
      </c>
      <c r="CJ363" s="776" t="s">
        <v>2127</v>
      </c>
      <c r="CK363" s="776" t="s">
        <v>2127</v>
      </c>
      <c r="CL363" s="776" t="s">
        <v>2127</v>
      </c>
      <c r="CM363" s="776" t="s">
        <v>2127</v>
      </c>
      <c r="CN363" s="776" t="s">
        <v>2127</v>
      </c>
      <c r="CO363" s="776" t="s">
        <v>2127</v>
      </c>
      <c r="CP363" s="776" t="s">
        <v>2127</v>
      </c>
      <c r="CQ363" s="776" t="s">
        <v>2127</v>
      </c>
      <c r="CR363" s="776" t="s">
        <v>2127</v>
      </c>
      <c r="CS363" s="776" t="s">
        <v>2127</v>
      </c>
      <c r="CT363" s="776" t="s">
        <v>2127</v>
      </c>
      <c r="CU363" s="776" t="s">
        <v>2127</v>
      </c>
      <c r="CV363" s="776" t="s">
        <v>2127</v>
      </c>
      <c r="CW363" s="776" t="s">
        <v>2127</v>
      </c>
      <c r="CX363" s="776" t="s">
        <v>2127</v>
      </c>
      <c r="CY363" s="776" t="s">
        <v>2127</v>
      </c>
      <c r="CZ363" s="776" t="s">
        <v>2127</v>
      </c>
      <c r="DA363" s="776" t="s">
        <v>2127</v>
      </c>
      <c r="DB363" s="776" t="s">
        <v>2127</v>
      </c>
      <c r="DC363" s="776" t="s">
        <v>2127</v>
      </c>
      <c r="DD363" s="776" t="s">
        <v>2127</v>
      </c>
      <c r="DE363" s="776" t="s">
        <v>2127</v>
      </c>
      <c r="DF363" s="776" t="s">
        <v>2127</v>
      </c>
      <c r="DG363" s="776" t="s">
        <v>2127</v>
      </c>
      <c r="DH363" s="776" t="s">
        <v>2127</v>
      </c>
      <c r="DI363" s="776" t="s">
        <v>2127</v>
      </c>
      <c r="DJ363" s="776" t="s">
        <v>2127</v>
      </c>
      <c r="DK363" s="776" t="s">
        <v>2127</v>
      </c>
      <c r="DL363" s="776" t="s">
        <v>2127</v>
      </c>
      <c r="DM363" s="776" t="s">
        <v>2127</v>
      </c>
      <c r="DN363" s="776" t="s">
        <v>2127</v>
      </c>
      <c r="DO363" s="776" t="s">
        <v>2127</v>
      </c>
      <c r="DP363" s="776" t="s">
        <v>2127</v>
      </c>
    </row>
    <row r="364" spans="1:120" x14ac:dyDescent="0.2">
      <c r="B364" s="772" t="str" cm="1">
        <f t="array" ref="B364">IFERROR(INDEX(Kulturen[HF],_xlfn.AGGREGATE(15,6,(ROW(Kulturen[Auswahl])-7)/(--(SEARCH("x",Kulturen[Auswahl])&gt;0)),ROW()-7),1),"")</f>
        <v/>
      </c>
      <c r="C364" s="772" t="str">
        <f>IF(Kulturen[[#This Row],[HF]]=$D$373,IF($C$6=0,0,"x"),IF($C$6=0,"x",Vorauswahl!C363))</f>
        <v>x</v>
      </c>
      <c r="D364" s="938" t="s">
        <v>2115</v>
      </c>
      <c r="E364" s="938" t="s">
        <v>2115</v>
      </c>
      <c r="F364" s="938" t="s">
        <v>2116</v>
      </c>
      <c r="G364" s="938">
        <v>14</v>
      </c>
      <c r="H364" s="938">
        <v>8</v>
      </c>
      <c r="I364" s="938">
        <v>3</v>
      </c>
      <c r="J364" s="938">
        <v>14</v>
      </c>
      <c r="K364" s="938">
        <v>0.14000000000000001</v>
      </c>
      <c r="L364" s="938">
        <v>0.14000000000000001</v>
      </c>
      <c r="M364" s="938">
        <v>350</v>
      </c>
      <c r="N364" s="938">
        <v>0.46</v>
      </c>
      <c r="O364" s="938">
        <v>1</v>
      </c>
      <c r="P364" s="938">
        <v>0</v>
      </c>
      <c r="Q364" s="938">
        <v>225</v>
      </c>
      <c r="R364" s="938">
        <v>35</v>
      </c>
      <c r="S364" s="938">
        <v>23</v>
      </c>
      <c r="T364" s="938">
        <v>23</v>
      </c>
      <c r="U364" s="938">
        <v>0</v>
      </c>
      <c r="V364" s="938">
        <v>1</v>
      </c>
      <c r="W364" s="776">
        <f>IF(Kulturen[[#This Row],[Berechnungsschema]]=13,3,IF(Kulturen[[#This Row],[Berechnungsschema]]=6,2,1))</f>
        <v>1</v>
      </c>
      <c r="X364" s="776">
        <f>IF(Kulturen[[#This Row],[fruchtartengruppe]]=13,Kulturen[[#This Row],[NBedarfswert]],MAX(0,Kulturen[[#This Row],[NBedarfswert]]-Kulturen[[#This Row],[Ertrag]]*Kulturen[[#This Row],[Nfix]]))</f>
        <v>64</v>
      </c>
      <c r="Y364" s="776" t="s">
        <v>2127</v>
      </c>
      <c r="Z364" s="776" t="s">
        <v>2127</v>
      </c>
      <c r="AA364" s="776" t="s">
        <v>2127</v>
      </c>
      <c r="AB364" s="776" t="s">
        <v>2127</v>
      </c>
      <c r="AC364" s="776" t="s">
        <v>2127</v>
      </c>
      <c r="AD364" s="776" t="s">
        <v>2127</v>
      </c>
      <c r="AE364" s="776" t="s">
        <v>2127</v>
      </c>
      <c r="AF364" s="776" t="s">
        <v>2127</v>
      </c>
      <c r="AG364" s="776" t="s">
        <v>2127</v>
      </c>
      <c r="AH364" s="776" t="s">
        <v>2127</v>
      </c>
      <c r="AI364" s="776" t="s">
        <v>2127</v>
      </c>
      <c r="AJ364" s="776" t="s">
        <v>2127</v>
      </c>
      <c r="AK364" s="776" t="s">
        <v>2127</v>
      </c>
      <c r="AL364" s="776" t="s">
        <v>2127</v>
      </c>
      <c r="AM364" s="776" t="s">
        <v>2127</v>
      </c>
      <c r="AN364" s="776" t="s">
        <v>2127</v>
      </c>
      <c r="AO364" s="776" t="s">
        <v>2127</v>
      </c>
      <c r="AP364" s="776" t="s">
        <v>2127</v>
      </c>
      <c r="AQ364" s="776" t="s">
        <v>2127</v>
      </c>
      <c r="AR364" s="776" t="s">
        <v>2127</v>
      </c>
      <c r="AS364" s="776" t="s">
        <v>2127</v>
      </c>
      <c r="AT364" s="776" t="s">
        <v>2127</v>
      </c>
      <c r="AU364" s="776" t="s">
        <v>2127</v>
      </c>
      <c r="AV364" s="776" t="s">
        <v>2127</v>
      </c>
      <c r="AW364" s="776" t="s">
        <v>2127</v>
      </c>
      <c r="AX364" s="776" t="s">
        <v>2127</v>
      </c>
      <c r="AY364" s="776" t="s">
        <v>2127</v>
      </c>
      <c r="AZ364" s="776" t="s">
        <v>2127</v>
      </c>
      <c r="BA364" s="776" t="s">
        <v>2127</v>
      </c>
      <c r="BB364" s="776" t="s">
        <v>2127</v>
      </c>
      <c r="BC364" s="776" t="s">
        <v>2127</v>
      </c>
      <c r="BD364" s="776" t="s">
        <v>2127</v>
      </c>
      <c r="BE364" s="776" t="s">
        <v>2127</v>
      </c>
      <c r="BF364" s="776" t="s">
        <v>2127</v>
      </c>
      <c r="BG364" s="776" t="s">
        <v>2127</v>
      </c>
      <c r="BH364" s="776" t="s">
        <v>2127</v>
      </c>
      <c r="BI364" s="776" t="s">
        <v>2127</v>
      </c>
      <c r="BJ364" s="776" t="s">
        <v>2127</v>
      </c>
      <c r="BK364" s="776" t="s">
        <v>2127</v>
      </c>
      <c r="BL364" s="776" t="s">
        <v>2127</v>
      </c>
      <c r="BM364" s="776" t="s">
        <v>2127</v>
      </c>
      <c r="BN364" s="776" t="s">
        <v>2127</v>
      </c>
      <c r="BO364" s="776" t="s">
        <v>2127</v>
      </c>
      <c r="BP364" s="776" t="s">
        <v>2127</v>
      </c>
      <c r="BQ364" s="776" t="s">
        <v>2127</v>
      </c>
      <c r="BR364" s="776" t="s">
        <v>2127</v>
      </c>
      <c r="BS364" s="776" t="s">
        <v>2127</v>
      </c>
      <c r="BT364" s="776" t="s">
        <v>2127</v>
      </c>
      <c r="BU364" s="776" t="s">
        <v>2127</v>
      </c>
      <c r="BV364" s="776" t="s">
        <v>2127</v>
      </c>
      <c r="BW364" s="776" t="s">
        <v>2127</v>
      </c>
      <c r="BX364" s="776" t="s">
        <v>2127</v>
      </c>
      <c r="BY364" s="776" t="s">
        <v>2127</v>
      </c>
      <c r="BZ364" s="776" t="s">
        <v>2127</v>
      </c>
      <c r="CA364" s="776" t="s">
        <v>2127</v>
      </c>
      <c r="CB364" s="776" t="s">
        <v>2127</v>
      </c>
      <c r="CC364" s="776" t="s">
        <v>2127</v>
      </c>
      <c r="CD364" s="776" t="s">
        <v>2127</v>
      </c>
      <c r="CE364" s="776" t="s">
        <v>2127</v>
      </c>
      <c r="CF364" s="776" t="s">
        <v>2127</v>
      </c>
      <c r="CG364" s="776" t="s">
        <v>2127</v>
      </c>
      <c r="CH364" s="776" t="s">
        <v>2127</v>
      </c>
      <c r="CI364" s="776" t="s">
        <v>2127</v>
      </c>
      <c r="CJ364" s="776" t="s">
        <v>2127</v>
      </c>
      <c r="CK364" s="776" t="s">
        <v>2127</v>
      </c>
      <c r="CL364" s="776" t="s">
        <v>2127</v>
      </c>
      <c r="CM364" s="776" t="s">
        <v>2127</v>
      </c>
      <c r="CN364" s="776" t="s">
        <v>2127</v>
      </c>
      <c r="CO364" s="776" t="s">
        <v>2127</v>
      </c>
      <c r="CP364" s="776" t="s">
        <v>2127</v>
      </c>
      <c r="CQ364" s="776" t="s">
        <v>2127</v>
      </c>
      <c r="CR364" s="776" t="s">
        <v>2127</v>
      </c>
      <c r="CS364" s="776" t="s">
        <v>2127</v>
      </c>
      <c r="CT364" s="776" t="s">
        <v>2127</v>
      </c>
      <c r="CU364" s="776" t="s">
        <v>2127</v>
      </c>
      <c r="CV364" s="776" t="s">
        <v>2127</v>
      </c>
      <c r="CW364" s="776" t="s">
        <v>2127</v>
      </c>
      <c r="CX364" s="776" t="s">
        <v>2127</v>
      </c>
      <c r="CY364" s="776" t="s">
        <v>2127</v>
      </c>
      <c r="CZ364" s="776" t="s">
        <v>2127</v>
      </c>
      <c r="DA364" s="776" t="s">
        <v>2127</v>
      </c>
      <c r="DB364" s="776" t="s">
        <v>2127</v>
      </c>
      <c r="DC364" s="776" t="s">
        <v>2127</v>
      </c>
      <c r="DD364" s="776" t="s">
        <v>2127</v>
      </c>
      <c r="DE364" s="776" t="s">
        <v>2127</v>
      </c>
      <c r="DF364" s="776" t="s">
        <v>2127</v>
      </c>
      <c r="DG364" s="776" t="s">
        <v>2127</v>
      </c>
      <c r="DH364" s="776" t="s">
        <v>2127</v>
      </c>
      <c r="DI364" s="776" t="s">
        <v>2127</v>
      </c>
      <c r="DJ364" s="776" t="s">
        <v>2127</v>
      </c>
      <c r="DK364" s="776" t="s">
        <v>2127</v>
      </c>
      <c r="DL364" s="776" t="s">
        <v>2127</v>
      </c>
      <c r="DM364" s="776" t="s">
        <v>2127</v>
      </c>
      <c r="DN364" s="776" t="s">
        <v>2127</v>
      </c>
      <c r="DO364" s="776" t="s">
        <v>2127</v>
      </c>
      <c r="DP364" s="776" t="s">
        <v>2127</v>
      </c>
    </row>
    <row r="365" spans="1:120" x14ac:dyDescent="0.2">
      <c r="A365" s="637" t="s">
        <v>2367</v>
      </c>
      <c r="B365" s="772" t="str" cm="1">
        <f t="array" ref="B365">IFERROR(INDEX(Kulturen[HF],_xlfn.AGGREGATE(15,6,(ROW(Kulturen[Auswahl])-7)/(--(SEARCH("x",Kulturen[Auswahl])&gt;0)),ROW()-7),1),"")</f>
        <v/>
      </c>
      <c r="C365" s="772" t="str">
        <f>IF(Kulturen[[#This Row],[HF]]=$D$373,IF($C$6=0,0,"x"),IF($C$6=0,"x",Vorauswahl!C364))</f>
        <v>x</v>
      </c>
      <c r="D365" s="938" t="s">
        <v>2117</v>
      </c>
      <c r="E365" s="938" t="s">
        <v>2117</v>
      </c>
      <c r="F365" s="938" t="s">
        <v>1007</v>
      </c>
      <c r="G365" s="938">
        <v>14</v>
      </c>
      <c r="H365" s="938">
        <v>8</v>
      </c>
      <c r="I365" s="938">
        <v>3</v>
      </c>
      <c r="J365" s="938">
        <v>14</v>
      </c>
      <c r="K365" s="938">
        <v>0.12</v>
      </c>
      <c r="L365" s="938">
        <v>0.12</v>
      </c>
      <c r="M365" s="938">
        <v>150</v>
      </c>
      <c r="N365" s="938">
        <v>0</v>
      </c>
      <c r="O365" s="938">
        <v>2</v>
      </c>
      <c r="P365" s="938">
        <v>0</v>
      </c>
      <c r="Q365" s="938">
        <v>100</v>
      </c>
      <c r="R365" s="938">
        <v>15</v>
      </c>
      <c r="S365" s="938">
        <v>5</v>
      </c>
      <c r="T365" s="938">
        <v>5</v>
      </c>
      <c r="U365" s="938">
        <v>0</v>
      </c>
      <c r="V365" s="938">
        <v>1</v>
      </c>
      <c r="W365" s="776">
        <f>IF(Kulturen[[#This Row],[Berechnungsschema]]=13,3,IF(Kulturen[[#This Row],[Berechnungsschema]]=6,2,1))</f>
        <v>1</v>
      </c>
      <c r="X365" s="776">
        <f>IF(Kulturen[[#This Row],[fruchtartengruppe]]=13,Kulturen[[#This Row],[NBedarfswert]],MAX(0,Kulturen[[#This Row],[NBedarfswert]]-Kulturen[[#This Row],[Ertrag]]*Kulturen[[#This Row],[Nfix]]))</f>
        <v>100</v>
      </c>
      <c r="Y365" s="776" t="s">
        <v>2127</v>
      </c>
      <c r="Z365" s="776" t="s">
        <v>2127</v>
      </c>
      <c r="AA365" s="776" t="s">
        <v>2127</v>
      </c>
      <c r="AB365" s="776" t="s">
        <v>2127</v>
      </c>
      <c r="AC365" s="776" t="s">
        <v>2127</v>
      </c>
      <c r="AD365" s="776" t="s">
        <v>2127</v>
      </c>
      <c r="AE365" s="776" t="s">
        <v>2127</v>
      </c>
      <c r="AF365" s="776" t="s">
        <v>2127</v>
      </c>
      <c r="AG365" s="776" t="s">
        <v>2127</v>
      </c>
      <c r="AH365" s="776" t="s">
        <v>2127</v>
      </c>
      <c r="AI365" s="776" t="s">
        <v>2127</v>
      </c>
      <c r="AJ365" s="776" t="s">
        <v>2127</v>
      </c>
      <c r="AK365" s="776" t="s">
        <v>2127</v>
      </c>
      <c r="AL365" s="776" t="s">
        <v>2127</v>
      </c>
      <c r="AM365" s="776" t="s">
        <v>2127</v>
      </c>
      <c r="AN365" s="776" t="s">
        <v>2127</v>
      </c>
      <c r="AO365" s="776" t="s">
        <v>2127</v>
      </c>
      <c r="AP365" s="776" t="s">
        <v>2127</v>
      </c>
      <c r="AQ365" s="776" t="s">
        <v>2127</v>
      </c>
      <c r="AR365" s="776" t="s">
        <v>2127</v>
      </c>
      <c r="AS365" s="776" t="s">
        <v>2127</v>
      </c>
      <c r="AT365" s="776" t="s">
        <v>2127</v>
      </c>
      <c r="AU365" s="776" t="s">
        <v>2127</v>
      </c>
      <c r="AV365" s="776" t="s">
        <v>2127</v>
      </c>
      <c r="AW365" s="776" t="s">
        <v>2127</v>
      </c>
      <c r="AX365" s="776" t="s">
        <v>2127</v>
      </c>
      <c r="AY365" s="776" t="s">
        <v>2127</v>
      </c>
      <c r="AZ365" s="776" t="s">
        <v>2127</v>
      </c>
      <c r="BA365" s="776" t="s">
        <v>2127</v>
      </c>
      <c r="BB365" s="776" t="s">
        <v>2127</v>
      </c>
      <c r="BC365" s="776" t="s">
        <v>2127</v>
      </c>
      <c r="BD365" s="776" t="s">
        <v>2127</v>
      </c>
      <c r="BE365" s="776" t="s">
        <v>2127</v>
      </c>
      <c r="BF365" s="776" t="s">
        <v>2127</v>
      </c>
      <c r="BG365" s="776" t="s">
        <v>2127</v>
      </c>
      <c r="BH365" s="776" t="s">
        <v>2127</v>
      </c>
      <c r="BI365" s="776" t="s">
        <v>2127</v>
      </c>
      <c r="BJ365" s="776" t="s">
        <v>2127</v>
      </c>
      <c r="BK365" s="776" t="s">
        <v>2127</v>
      </c>
      <c r="BL365" s="776" t="s">
        <v>2127</v>
      </c>
      <c r="BM365" s="776" t="s">
        <v>2127</v>
      </c>
      <c r="BN365" s="776" t="s">
        <v>2127</v>
      </c>
      <c r="BO365" s="776" t="s">
        <v>2127</v>
      </c>
      <c r="BP365" s="776" t="s">
        <v>2127</v>
      </c>
      <c r="BQ365" s="776" t="s">
        <v>2127</v>
      </c>
      <c r="BR365" s="776" t="s">
        <v>2127</v>
      </c>
      <c r="BS365" s="776" t="s">
        <v>2127</v>
      </c>
      <c r="BT365" s="776" t="s">
        <v>2127</v>
      </c>
      <c r="BU365" s="776" t="s">
        <v>2127</v>
      </c>
      <c r="BV365" s="776" t="s">
        <v>2127</v>
      </c>
      <c r="BW365" s="776" t="s">
        <v>2127</v>
      </c>
      <c r="BX365" s="776" t="s">
        <v>2127</v>
      </c>
      <c r="BY365" s="776" t="s">
        <v>2127</v>
      </c>
      <c r="BZ365" s="776" t="s">
        <v>2127</v>
      </c>
      <c r="CA365" s="776" t="s">
        <v>2127</v>
      </c>
      <c r="CB365" s="776" t="s">
        <v>2127</v>
      </c>
      <c r="CC365" s="776" t="s">
        <v>2127</v>
      </c>
      <c r="CD365" s="776" t="s">
        <v>2127</v>
      </c>
      <c r="CE365" s="776" t="s">
        <v>2127</v>
      </c>
      <c r="CF365" s="776" t="s">
        <v>2127</v>
      </c>
      <c r="CG365" s="776" t="s">
        <v>2127</v>
      </c>
      <c r="CH365" s="776" t="s">
        <v>2127</v>
      </c>
      <c r="CI365" s="776" t="s">
        <v>2127</v>
      </c>
      <c r="CJ365" s="776" t="s">
        <v>2127</v>
      </c>
      <c r="CK365" s="776" t="s">
        <v>2127</v>
      </c>
      <c r="CL365" s="776" t="s">
        <v>2127</v>
      </c>
      <c r="CM365" s="776" t="s">
        <v>2127</v>
      </c>
      <c r="CN365" s="776" t="s">
        <v>2127</v>
      </c>
      <c r="CO365" s="776" t="s">
        <v>2127</v>
      </c>
      <c r="CP365" s="776" t="s">
        <v>2127</v>
      </c>
      <c r="CQ365" s="776" t="s">
        <v>2127</v>
      </c>
      <c r="CR365" s="776" t="s">
        <v>2127</v>
      </c>
      <c r="CS365" s="776" t="s">
        <v>2127</v>
      </c>
      <c r="CT365" s="776" t="s">
        <v>2127</v>
      </c>
      <c r="CU365" s="776" t="s">
        <v>2127</v>
      </c>
      <c r="CV365" s="776" t="s">
        <v>2127</v>
      </c>
      <c r="CW365" s="776" t="s">
        <v>2127</v>
      </c>
      <c r="CX365" s="776" t="s">
        <v>2127</v>
      </c>
      <c r="CY365" s="776" t="s">
        <v>2127</v>
      </c>
      <c r="CZ365" s="776" t="s">
        <v>2127</v>
      </c>
      <c r="DA365" s="776" t="s">
        <v>2127</v>
      </c>
      <c r="DB365" s="776" t="s">
        <v>2127</v>
      </c>
      <c r="DC365" s="776" t="s">
        <v>2127</v>
      </c>
      <c r="DD365" s="776" t="s">
        <v>2127</v>
      </c>
      <c r="DE365" s="776" t="s">
        <v>2127</v>
      </c>
      <c r="DF365" s="776" t="s">
        <v>2127</v>
      </c>
      <c r="DG365" s="776" t="s">
        <v>2127</v>
      </c>
      <c r="DH365" s="776" t="s">
        <v>2127</v>
      </c>
      <c r="DI365" s="776" t="s">
        <v>2127</v>
      </c>
      <c r="DJ365" s="776" t="s">
        <v>2127</v>
      </c>
      <c r="DK365" s="776" t="s">
        <v>2127</v>
      </c>
      <c r="DL365" s="776" t="s">
        <v>2127</v>
      </c>
      <c r="DM365" s="776" t="s">
        <v>2127</v>
      </c>
      <c r="DN365" s="776" t="s">
        <v>2127</v>
      </c>
      <c r="DO365" s="776" t="s">
        <v>2127</v>
      </c>
      <c r="DP365" s="776" t="s">
        <v>2127</v>
      </c>
    </row>
    <row r="366" spans="1:120" x14ac:dyDescent="0.2">
      <c r="A366" s="637" t="s">
        <v>2368</v>
      </c>
      <c r="B366" s="772" t="str" cm="1">
        <f t="array" ref="B366">IFERROR(INDEX(Kulturen[HF],_xlfn.AGGREGATE(15,6,(ROW(Kulturen[Auswahl])-7)/(--(SEARCH("x",Kulturen[Auswahl])&gt;0)),ROW()-7),1),"")</f>
        <v/>
      </c>
      <c r="C366" s="772" t="str">
        <f>IF(Kulturen[[#This Row],[HF]]=$D$373,IF($C$6=0,0,"x"),IF($C$6=0,"x",Vorauswahl!C365))</f>
        <v>x</v>
      </c>
      <c r="D366" s="938" t="s">
        <v>2118</v>
      </c>
      <c r="E366" s="938" t="s">
        <v>2118</v>
      </c>
      <c r="F366" s="938" t="s">
        <v>1008</v>
      </c>
      <c r="G366" s="938">
        <v>14</v>
      </c>
      <c r="H366" s="938">
        <v>8</v>
      </c>
      <c r="I366" s="938">
        <v>3</v>
      </c>
      <c r="J366" s="938">
        <v>14</v>
      </c>
      <c r="K366" s="938">
        <v>0.46</v>
      </c>
      <c r="L366" s="938">
        <v>0.46</v>
      </c>
      <c r="M366" s="938">
        <v>120</v>
      </c>
      <c r="N366" s="938">
        <v>0</v>
      </c>
      <c r="O366" s="938">
        <v>2</v>
      </c>
      <c r="P366" s="938">
        <v>0</v>
      </c>
      <c r="Q366" s="938">
        <v>130</v>
      </c>
      <c r="R366" s="938">
        <v>12</v>
      </c>
      <c r="S366" s="938">
        <v>13</v>
      </c>
      <c r="T366" s="938">
        <v>13</v>
      </c>
      <c r="U366" s="938">
        <v>0</v>
      </c>
      <c r="V366" s="938">
        <v>1</v>
      </c>
      <c r="W366" s="776">
        <f>IF(Kulturen[[#This Row],[Berechnungsschema]]=13,3,IF(Kulturen[[#This Row],[Berechnungsschema]]=6,2,1))</f>
        <v>1</v>
      </c>
      <c r="X366" s="776">
        <f>IF(Kulturen[[#This Row],[fruchtartengruppe]]=13,Kulturen[[#This Row],[NBedarfswert]],MAX(0,Kulturen[[#This Row],[NBedarfswert]]-Kulturen[[#This Row],[Ertrag]]*Kulturen[[#This Row],[Nfix]]))</f>
        <v>130</v>
      </c>
      <c r="Y366" s="776" t="s">
        <v>2127</v>
      </c>
      <c r="Z366" s="776" t="s">
        <v>2127</v>
      </c>
      <c r="AA366" s="776" t="s">
        <v>2127</v>
      </c>
      <c r="AB366" s="776" t="s">
        <v>2127</v>
      </c>
      <c r="AC366" s="776" t="s">
        <v>2127</v>
      </c>
      <c r="AD366" s="776" t="s">
        <v>2127</v>
      </c>
      <c r="AE366" s="776" t="s">
        <v>2127</v>
      </c>
      <c r="AF366" s="776" t="s">
        <v>2127</v>
      </c>
      <c r="AG366" s="776" t="s">
        <v>2127</v>
      </c>
      <c r="AH366" s="776" t="s">
        <v>2127</v>
      </c>
      <c r="AI366" s="776" t="s">
        <v>2127</v>
      </c>
      <c r="AJ366" s="776" t="s">
        <v>2127</v>
      </c>
      <c r="AK366" s="776" t="s">
        <v>2127</v>
      </c>
      <c r="AL366" s="776" t="s">
        <v>2127</v>
      </c>
      <c r="AM366" s="776" t="s">
        <v>2127</v>
      </c>
      <c r="AN366" s="776" t="s">
        <v>2127</v>
      </c>
      <c r="AO366" s="776" t="s">
        <v>2127</v>
      </c>
      <c r="AP366" s="776" t="s">
        <v>2127</v>
      </c>
      <c r="AQ366" s="776" t="s">
        <v>2127</v>
      </c>
      <c r="AR366" s="776" t="s">
        <v>2127</v>
      </c>
      <c r="AS366" s="776" t="s">
        <v>2127</v>
      </c>
      <c r="AT366" s="776" t="s">
        <v>2127</v>
      </c>
      <c r="AU366" s="776" t="s">
        <v>2127</v>
      </c>
      <c r="AV366" s="776" t="s">
        <v>2127</v>
      </c>
      <c r="AW366" s="776" t="s">
        <v>2127</v>
      </c>
      <c r="AX366" s="776" t="s">
        <v>2127</v>
      </c>
      <c r="AY366" s="776" t="s">
        <v>2127</v>
      </c>
      <c r="AZ366" s="776" t="s">
        <v>2127</v>
      </c>
      <c r="BA366" s="776" t="s">
        <v>2127</v>
      </c>
      <c r="BB366" s="776" t="s">
        <v>2127</v>
      </c>
      <c r="BC366" s="776" t="s">
        <v>2127</v>
      </c>
      <c r="BD366" s="776" t="s">
        <v>2127</v>
      </c>
      <c r="BE366" s="776" t="s">
        <v>2127</v>
      </c>
      <c r="BF366" s="776" t="s">
        <v>2127</v>
      </c>
      <c r="BG366" s="776" t="s">
        <v>2127</v>
      </c>
      <c r="BH366" s="776" t="s">
        <v>2127</v>
      </c>
      <c r="BI366" s="776" t="s">
        <v>2127</v>
      </c>
      <c r="BJ366" s="776" t="s">
        <v>2127</v>
      </c>
      <c r="BK366" s="776" t="s">
        <v>2127</v>
      </c>
      <c r="BL366" s="776" t="s">
        <v>2127</v>
      </c>
      <c r="BM366" s="776" t="s">
        <v>2127</v>
      </c>
      <c r="BN366" s="776" t="s">
        <v>2127</v>
      </c>
      <c r="BO366" s="776" t="s">
        <v>2127</v>
      </c>
      <c r="BP366" s="776" t="s">
        <v>2127</v>
      </c>
      <c r="BQ366" s="776" t="s">
        <v>2127</v>
      </c>
      <c r="BR366" s="776" t="s">
        <v>2127</v>
      </c>
      <c r="BS366" s="776" t="s">
        <v>2127</v>
      </c>
      <c r="BT366" s="776" t="s">
        <v>2127</v>
      </c>
      <c r="BU366" s="776" t="s">
        <v>2127</v>
      </c>
      <c r="BV366" s="776" t="s">
        <v>2127</v>
      </c>
      <c r="BW366" s="776" t="s">
        <v>2127</v>
      </c>
      <c r="BX366" s="776" t="s">
        <v>2127</v>
      </c>
      <c r="BY366" s="776" t="s">
        <v>2127</v>
      </c>
      <c r="BZ366" s="776" t="s">
        <v>2127</v>
      </c>
      <c r="CA366" s="776" t="s">
        <v>2127</v>
      </c>
      <c r="CB366" s="776" t="s">
        <v>2127</v>
      </c>
      <c r="CC366" s="776" t="s">
        <v>2127</v>
      </c>
      <c r="CD366" s="776" t="s">
        <v>2127</v>
      </c>
      <c r="CE366" s="776" t="s">
        <v>2127</v>
      </c>
      <c r="CF366" s="776" t="s">
        <v>2127</v>
      </c>
      <c r="CG366" s="776" t="s">
        <v>2127</v>
      </c>
      <c r="CH366" s="776" t="s">
        <v>2127</v>
      </c>
      <c r="CI366" s="776" t="s">
        <v>2127</v>
      </c>
      <c r="CJ366" s="776" t="s">
        <v>2127</v>
      </c>
      <c r="CK366" s="776" t="s">
        <v>2127</v>
      </c>
      <c r="CL366" s="776" t="s">
        <v>2127</v>
      </c>
      <c r="CM366" s="776" t="s">
        <v>2127</v>
      </c>
      <c r="CN366" s="776" t="s">
        <v>2127</v>
      </c>
      <c r="CO366" s="776" t="s">
        <v>2127</v>
      </c>
      <c r="CP366" s="776" t="s">
        <v>2127</v>
      </c>
      <c r="CQ366" s="776" t="s">
        <v>2127</v>
      </c>
      <c r="CR366" s="776" t="s">
        <v>2127</v>
      </c>
      <c r="CS366" s="776" t="s">
        <v>2127</v>
      </c>
      <c r="CT366" s="776" t="s">
        <v>2127</v>
      </c>
      <c r="CU366" s="776" t="s">
        <v>2127</v>
      </c>
      <c r="CV366" s="776" t="s">
        <v>2127</v>
      </c>
      <c r="CW366" s="776" t="s">
        <v>2127</v>
      </c>
      <c r="CX366" s="776" t="s">
        <v>2127</v>
      </c>
      <c r="CY366" s="776" t="s">
        <v>2127</v>
      </c>
      <c r="CZ366" s="776" t="s">
        <v>2127</v>
      </c>
      <c r="DA366" s="776" t="s">
        <v>2127</v>
      </c>
      <c r="DB366" s="776" t="s">
        <v>2127</v>
      </c>
      <c r="DC366" s="776" t="s">
        <v>2127</v>
      </c>
      <c r="DD366" s="776" t="s">
        <v>2127</v>
      </c>
      <c r="DE366" s="776" t="s">
        <v>2127</v>
      </c>
      <c r="DF366" s="776" t="s">
        <v>2127</v>
      </c>
      <c r="DG366" s="776" t="s">
        <v>2127</v>
      </c>
      <c r="DH366" s="776" t="s">
        <v>2127</v>
      </c>
      <c r="DI366" s="776" t="s">
        <v>2127</v>
      </c>
      <c r="DJ366" s="776" t="s">
        <v>2127</v>
      </c>
      <c r="DK366" s="776" t="s">
        <v>2127</v>
      </c>
      <c r="DL366" s="776" t="s">
        <v>2127</v>
      </c>
      <c r="DM366" s="776" t="s">
        <v>2127</v>
      </c>
      <c r="DN366" s="776" t="s">
        <v>2127</v>
      </c>
      <c r="DO366" s="776" t="s">
        <v>2127</v>
      </c>
      <c r="DP366" s="776" t="s">
        <v>2127</v>
      </c>
    </row>
    <row r="367" spans="1:120" x14ac:dyDescent="0.2">
      <c r="A367" s="637" t="s">
        <v>2369</v>
      </c>
      <c r="B367" s="772" t="str" cm="1">
        <f t="array" ref="B367">IFERROR(INDEX(Kulturen[HF],_xlfn.AGGREGATE(15,6,(ROW(Kulturen[Auswahl])-7)/(--(SEARCH("x",Kulturen[Auswahl])&gt;0)),ROW()-7),1),"")</f>
        <v/>
      </c>
      <c r="C367" s="772" t="str">
        <f>IF(Kulturen[[#This Row],[HF]]=$D$373,IF($C$6=0,0,"x"),IF($C$6=0,"x",Vorauswahl!C366))</f>
        <v>x</v>
      </c>
      <c r="D367" s="938" t="s">
        <v>2119</v>
      </c>
      <c r="E367" s="938" t="s">
        <v>2119</v>
      </c>
      <c r="F367" s="938" t="s">
        <v>1009</v>
      </c>
      <c r="G367" s="938">
        <v>14</v>
      </c>
      <c r="H367" s="938">
        <v>8</v>
      </c>
      <c r="I367" s="938">
        <v>1</v>
      </c>
      <c r="J367" s="938">
        <v>14</v>
      </c>
      <c r="K367" s="938">
        <v>0.25</v>
      </c>
      <c r="L367" s="938">
        <v>1.2</v>
      </c>
      <c r="M367" s="938">
        <v>40</v>
      </c>
      <c r="N367" s="938">
        <v>2.2999999999999998</v>
      </c>
      <c r="O367" s="938">
        <v>1</v>
      </c>
      <c r="P367" s="938">
        <v>0</v>
      </c>
      <c r="Q367" s="938">
        <v>150</v>
      </c>
      <c r="R367" s="938">
        <v>4</v>
      </c>
      <c r="S367" s="938">
        <v>15</v>
      </c>
      <c r="T367" s="938">
        <v>15</v>
      </c>
      <c r="U367" s="938">
        <v>0</v>
      </c>
      <c r="V367" s="938">
        <v>1</v>
      </c>
      <c r="W367" s="776">
        <f>IF(Kulturen[[#This Row],[Berechnungsschema]]=13,3,IF(Kulturen[[#This Row],[Berechnungsschema]]=6,2,1))</f>
        <v>1</v>
      </c>
      <c r="X367" s="776">
        <f>IF(Kulturen[[#This Row],[fruchtartengruppe]]=13,Kulturen[[#This Row],[NBedarfswert]],MAX(0,Kulturen[[#This Row],[NBedarfswert]]-Kulturen[[#This Row],[Ertrag]]*Kulturen[[#This Row],[Nfix]]))</f>
        <v>58</v>
      </c>
      <c r="Y367" s="776" t="s">
        <v>2127</v>
      </c>
      <c r="Z367" s="776" t="s">
        <v>2127</v>
      </c>
      <c r="AA367" s="776" t="s">
        <v>2127</v>
      </c>
      <c r="AB367" s="776" t="s">
        <v>2127</v>
      </c>
      <c r="AC367" s="776" t="s">
        <v>2127</v>
      </c>
      <c r="AD367" s="776" t="s">
        <v>2127</v>
      </c>
      <c r="AE367" s="776" t="s">
        <v>2127</v>
      </c>
      <c r="AF367" s="776" t="s">
        <v>2127</v>
      </c>
      <c r="AG367" s="776" t="s">
        <v>2127</v>
      </c>
      <c r="AH367" s="776" t="s">
        <v>2127</v>
      </c>
      <c r="AI367" s="776" t="s">
        <v>2127</v>
      </c>
      <c r="AJ367" s="776" t="s">
        <v>2127</v>
      </c>
      <c r="AK367" s="776" t="s">
        <v>2127</v>
      </c>
      <c r="AL367" s="776" t="s">
        <v>2127</v>
      </c>
      <c r="AM367" s="776" t="s">
        <v>2127</v>
      </c>
      <c r="AN367" s="776" t="s">
        <v>2127</v>
      </c>
      <c r="AO367" s="776" t="s">
        <v>2127</v>
      </c>
      <c r="AP367" s="776" t="s">
        <v>2127</v>
      </c>
      <c r="AQ367" s="776" t="s">
        <v>2127</v>
      </c>
      <c r="AR367" s="776" t="s">
        <v>2127</v>
      </c>
      <c r="AS367" s="776" t="s">
        <v>2127</v>
      </c>
      <c r="AT367" s="776" t="s">
        <v>2127</v>
      </c>
      <c r="AU367" s="776" t="s">
        <v>2127</v>
      </c>
      <c r="AV367" s="776" t="s">
        <v>2127</v>
      </c>
      <c r="AW367" s="776" t="s">
        <v>2127</v>
      </c>
      <c r="AX367" s="776" t="s">
        <v>2127</v>
      </c>
      <c r="AY367" s="776" t="s">
        <v>2127</v>
      </c>
      <c r="AZ367" s="776" t="s">
        <v>2127</v>
      </c>
      <c r="BA367" s="776" t="s">
        <v>2127</v>
      </c>
      <c r="BB367" s="776" t="s">
        <v>2127</v>
      </c>
      <c r="BC367" s="776" t="s">
        <v>2127</v>
      </c>
      <c r="BD367" s="776" t="s">
        <v>2127</v>
      </c>
      <c r="BE367" s="776" t="s">
        <v>2127</v>
      </c>
      <c r="BF367" s="776" t="s">
        <v>2127</v>
      </c>
      <c r="BG367" s="776" t="s">
        <v>2127</v>
      </c>
      <c r="BH367" s="776" t="s">
        <v>2127</v>
      </c>
      <c r="BI367" s="776" t="s">
        <v>2127</v>
      </c>
      <c r="BJ367" s="776" t="s">
        <v>2127</v>
      </c>
      <c r="BK367" s="776" t="s">
        <v>2127</v>
      </c>
      <c r="BL367" s="776" t="s">
        <v>2127</v>
      </c>
      <c r="BM367" s="776" t="s">
        <v>2127</v>
      </c>
      <c r="BN367" s="776" t="s">
        <v>2127</v>
      </c>
      <c r="BO367" s="776" t="s">
        <v>2127</v>
      </c>
      <c r="BP367" s="776" t="s">
        <v>2127</v>
      </c>
      <c r="BQ367" s="776" t="s">
        <v>2127</v>
      </c>
      <c r="BR367" s="776" t="s">
        <v>2127</v>
      </c>
      <c r="BS367" s="776" t="s">
        <v>2127</v>
      </c>
      <c r="BT367" s="776" t="s">
        <v>2127</v>
      </c>
      <c r="BU367" s="776" t="s">
        <v>2127</v>
      </c>
      <c r="BV367" s="776" t="s">
        <v>2127</v>
      </c>
      <c r="BW367" s="776" t="s">
        <v>2127</v>
      </c>
      <c r="BX367" s="776" t="s">
        <v>2127</v>
      </c>
      <c r="BY367" s="776" t="s">
        <v>2127</v>
      </c>
      <c r="BZ367" s="776" t="s">
        <v>2127</v>
      </c>
      <c r="CA367" s="776" t="s">
        <v>2127</v>
      </c>
      <c r="CB367" s="776" t="s">
        <v>2127</v>
      </c>
      <c r="CC367" s="776" t="s">
        <v>2127</v>
      </c>
      <c r="CD367" s="776" t="s">
        <v>2127</v>
      </c>
      <c r="CE367" s="776" t="s">
        <v>2127</v>
      </c>
      <c r="CF367" s="776" t="s">
        <v>2127</v>
      </c>
      <c r="CG367" s="776" t="s">
        <v>2127</v>
      </c>
      <c r="CH367" s="776" t="s">
        <v>2127</v>
      </c>
      <c r="CI367" s="776" t="s">
        <v>2127</v>
      </c>
      <c r="CJ367" s="776" t="s">
        <v>2127</v>
      </c>
      <c r="CK367" s="776" t="s">
        <v>2127</v>
      </c>
      <c r="CL367" s="776" t="s">
        <v>2127</v>
      </c>
      <c r="CM367" s="776" t="s">
        <v>2127</v>
      </c>
      <c r="CN367" s="776" t="s">
        <v>2127</v>
      </c>
      <c r="CO367" s="776" t="s">
        <v>2127</v>
      </c>
      <c r="CP367" s="776" t="s">
        <v>2127</v>
      </c>
      <c r="CQ367" s="776" t="s">
        <v>2127</v>
      </c>
      <c r="CR367" s="776" t="s">
        <v>2127</v>
      </c>
      <c r="CS367" s="776" t="s">
        <v>2127</v>
      </c>
      <c r="CT367" s="776" t="s">
        <v>2127</v>
      </c>
      <c r="CU367" s="776" t="s">
        <v>2127</v>
      </c>
      <c r="CV367" s="776" t="s">
        <v>2127</v>
      </c>
      <c r="CW367" s="776" t="s">
        <v>2127</v>
      </c>
      <c r="CX367" s="776" t="s">
        <v>2127</v>
      </c>
      <c r="CY367" s="776" t="s">
        <v>2127</v>
      </c>
      <c r="CZ367" s="776" t="s">
        <v>2127</v>
      </c>
      <c r="DA367" s="776" t="s">
        <v>2127</v>
      </c>
      <c r="DB367" s="776" t="s">
        <v>2127</v>
      </c>
      <c r="DC367" s="776" t="s">
        <v>2127</v>
      </c>
      <c r="DD367" s="776" t="s">
        <v>2127</v>
      </c>
      <c r="DE367" s="776" t="s">
        <v>2127</v>
      </c>
      <c r="DF367" s="776" t="s">
        <v>2127</v>
      </c>
      <c r="DG367" s="776" t="s">
        <v>2127</v>
      </c>
      <c r="DH367" s="776" t="s">
        <v>2127</v>
      </c>
      <c r="DI367" s="776" t="s">
        <v>2127</v>
      </c>
      <c r="DJ367" s="776" t="s">
        <v>2127</v>
      </c>
      <c r="DK367" s="776" t="s">
        <v>2127</v>
      </c>
      <c r="DL367" s="776" t="s">
        <v>2127</v>
      </c>
      <c r="DM367" s="776" t="s">
        <v>2127</v>
      </c>
      <c r="DN367" s="776" t="s">
        <v>2127</v>
      </c>
      <c r="DO367" s="776" t="s">
        <v>2127</v>
      </c>
      <c r="DP367" s="776" t="s">
        <v>2127</v>
      </c>
    </row>
    <row r="368" spans="1:120" x14ac:dyDescent="0.2">
      <c r="A368" s="637" t="s">
        <v>2370</v>
      </c>
      <c r="B368" s="772" t="str" cm="1">
        <f t="array" ref="B368">IFERROR(INDEX(Kulturen[HF],_xlfn.AGGREGATE(15,6,(ROW(Kulturen[Auswahl])-7)/(--(SEARCH("x",Kulturen[Auswahl])&gt;0)),ROW()-7),1),"")</f>
        <v/>
      </c>
      <c r="C368" s="772" t="str">
        <f>IF(Kulturen[[#This Row],[HF]]=$D$373,IF($C$6=0,0,"x"),IF($C$6=0,"x",Vorauswahl!C367))</f>
        <v>x</v>
      </c>
      <c r="D368" s="938" t="s">
        <v>2120</v>
      </c>
      <c r="E368" s="938" t="s">
        <v>2120</v>
      </c>
      <c r="F368" s="938" t="s">
        <v>1010</v>
      </c>
      <c r="G368" s="938">
        <v>14</v>
      </c>
      <c r="H368" s="938">
        <v>8</v>
      </c>
      <c r="I368" s="938">
        <v>3</v>
      </c>
      <c r="J368" s="938">
        <v>14</v>
      </c>
      <c r="K368" s="938">
        <v>0.17</v>
      </c>
      <c r="L368" s="938">
        <v>0.17</v>
      </c>
      <c r="M368" s="938">
        <v>300</v>
      </c>
      <c r="N368" s="938">
        <v>0</v>
      </c>
      <c r="O368" s="938">
        <v>2</v>
      </c>
      <c r="P368" s="938">
        <v>0</v>
      </c>
      <c r="Q368" s="938">
        <v>135</v>
      </c>
      <c r="R368" s="938">
        <v>30</v>
      </c>
      <c r="S368" s="938">
        <v>14</v>
      </c>
      <c r="T368" s="938">
        <v>14</v>
      </c>
      <c r="U368" s="938">
        <v>0</v>
      </c>
      <c r="V368" s="938">
        <v>1</v>
      </c>
      <c r="W368" s="776">
        <f>IF(Kulturen[[#This Row],[Berechnungsschema]]=13,3,IF(Kulturen[[#This Row],[Berechnungsschema]]=6,2,1))</f>
        <v>1</v>
      </c>
      <c r="X368" s="776">
        <f>IF(Kulturen[[#This Row],[fruchtartengruppe]]=13,Kulturen[[#This Row],[NBedarfswert]],MAX(0,Kulturen[[#This Row],[NBedarfswert]]-Kulturen[[#This Row],[Ertrag]]*Kulturen[[#This Row],[Nfix]]))</f>
        <v>135</v>
      </c>
      <c r="Y368" s="776" t="s">
        <v>2127</v>
      </c>
      <c r="Z368" s="776" t="s">
        <v>2127</v>
      </c>
      <c r="AA368" s="776" t="s">
        <v>2127</v>
      </c>
      <c r="AB368" s="776" t="s">
        <v>2127</v>
      </c>
      <c r="AC368" s="776" t="s">
        <v>2127</v>
      </c>
      <c r="AD368" s="776" t="s">
        <v>2127</v>
      </c>
      <c r="AE368" s="776" t="s">
        <v>2127</v>
      </c>
      <c r="AF368" s="776" t="s">
        <v>2127</v>
      </c>
      <c r="AG368" s="776" t="s">
        <v>2127</v>
      </c>
      <c r="AH368" s="776" t="s">
        <v>2127</v>
      </c>
      <c r="AI368" s="776" t="s">
        <v>2127</v>
      </c>
      <c r="AJ368" s="776" t="s">
        <v>2127</v>
      </c>
      <c r="AK368" s="776" t="s">
        <v>2127</v>
      </c>
      <c r="AL368" s="776" t="s">
        <v>2127</v>
      </c>
      <c r="AM368" s="776" t="s">
        <v>2127</v>
      </c>
      <c r="AN368" s="776" t="s">
        <v>2127</v>
      </c>
      <c r="AO368" s="776" t="s">
        <v>2127</v>
      </c>
      <c r="AP368" s="776" t="s">
        <v>2127</v>
      </c>
      <c r="AQ368" s="776" t="s">
        <v>2127</v>
      </c>
      <c r="AR368" s="776" t="s">
        <v>2127</v>
      </c>
      <c r="AS368" s="776" t="s">
        <v>2127</v>
      </c>
      <c r="AT368" s="776" t="s">
        <v>2127</v>
      </c>
      <c r="AU368" s="776" t="s">
        <v>2127</v>
      </c>
      <c r="AV368" s="776" t="s">
        <v>2127</v>
      </c>
      <c r="AW368" s="776" t="s">
        <v>2127</v>
      </c>
      <c r="AX368" s="776" t="s">
        <v>2127</v>
      </c>
      <c r="AY368" s="776" t="s">
        <v>2127</v>
      </c>
      <c r="AZ368" s="776" t="s">
        <v>2127</v>
      </c>
      <c r="BA368" s="776" t="s">
        <v>2127</v>
      </c>
      <c r="BB368" s="776" t="s">
        <v>2127</v>
      </c>
      <c r="BC368" s="776" t="s">
        <v>2127</v>
      </c>
      <c r="BD368" s="776" t="s">
        <v>2127</v>
      </c>
      <c r="BE368" s="776" t="s">
        <v>2127</v>
      </c>
      <c r="BF368" s="776" t="s">
        <v>2127</v>
      </c>
      <c r="BG368" s="776" t="s">
        <v>2127</v>
      </c>
      <c r="BH368" s="776" t="s">
        <v>2127</v>
      </c>
      <c r="BI368" s="776" t="s">
        <v>2127</v>
      </c>
      <c r="BJ368" s="776" t="s">
        <v>2127</v>
      </c>
      <c r="BK368" s="776" t="s">
        <v>2127</v>
      </c>
      <c r="BL368" s="776" t="s">
        <v>2127</v>
      </c>
      <c r="BM368" s="776" t="s">
        <v>2127</v>
      </c>
      <c r="BN368" s="776" t="s">
        <v>2127</v>
      </c>
      <c r="BO368" s="776" t="s">
        <v>2127</v>
      </c>
      <c r="BP368" s="776" t="s">
        <v>2127</v>
      </c>
      <c r="BQ368" s="776" t="s">
        <v>2127</v>
      </c>
      <c r="BR368" s="776" t="s">
        <v>2127</v>
      </c>
      <c r="BS368" s="776" t="s">
        <v>2127</v>
      </c>
      <c r="BT368" s="776" t="s">
        <v>2127</v>
      </c>
      <c r="BU368" s="776" t="s">
        <v>2127</v>
      </c>
      <c r="BV368" s="776" t="s">
        <v>2127</v>
      </c>
      <c r="BW368" s="776" t="s">
        <v>2127</v>
      </c>
      <c r="BX368" s="776" t="s">
        <v>2127</v>
      </c>
      <c r="BY368" s="776" t="s">
        <v>2127</v>
      </c>
      <c r="BZ368" s="776" t="s">
        <v>2127</v>
      </c>
      <c r="CA368" s="776" t="s">
        <v>2127</v>
      </c>
      <c r="CB368" s="776" t="s">
        <v>2127</v>
      </c>
      <c r="CC368" s="776" t="s">
        <v>2127</v>
      </c>
      <c r="CD368" s="776" t="s">
        <v>2127</v>
      </c>
      <c r="CE368" s="776" t="s">
        <v>2127</v>
      </c>
      <c r="CF368" s="776" t="s">
        <v>2127</v>
      </c>
      <c r="CG368" s="776" t="s">
        <v>2127</v>
      </c>
      <c r="CH368" s="776" t="s">
        <v>2127</v>
      </c>
      <c r="CI368" s="776" t="s">
        <v>2127</v>
      </c>
      <c r="CJ368" s="776" t="s">
        <v>2127</v>
      </c>
      <c r="CK368" s="776" t="s">
        <v>2127</v>
      </c>
      <c r="CL368" s="776" t="s">
        <v>2127</v>
      </c>
      <c r="CM368" s="776" t="s">
        <v>2127</v>
      </c>
      <c r="CN368" s="776" t="s">
        <v>2127</v>
      </c>
      <c r="CO368" s="776" t="s">
        <v>2127</v>
      </c>
      <c r="CP368" s="776" t="s">
        <v>2127</v>
      </c>
      <c r="CQ368" s="776" t="s">
        <v>2127</v>
      </c>
      <c r="CR368" s="776" t="s">
        <v>2127</v>
      </c>
      <c r="CS368" s="776" t="s">
        <v>2127</v>
      </c>
      <c r="CT368" s="776" t="s">
        <v>2127</v>
      </c>
      <c r="CU368" s="776" t="s">
        <v>2127</v>
      </c>
      <c r="CV368" s="776" t="s">
        <v>2127</v>
      </c>
      <c r="CW368" s="776" t="s">
        <v>2127</v>
      </c>
      <c r="CX368" s="776" t="s">
        <v>2127</v>
      </c>
      <c r="CY368" s="776" t="s">
        <v>2127</v>
      </c>
      <c r="CZ368" s="776" t="s">
        <v>2127</v>
      </c>
      <c r="DA368" s="776" t="s">
        <v>2127</v>
      </c>
      <c r="DB368" s="776" t="s">
        <v>2127</v>
      </c>
      <c r="DC368" s="776" t="s">
        <v>2127</v>
      </c>
      <c r="DD368" s="776" t="s">
        <v>2127</v>
      </c>
      <c r="DE368" s="776" t="s">
        <v>2127</v>
      </c>
      <c r="DF368" s="776" t="s">
        <v>2127</v>
      </c>
      <c r="DG368" s="776" t="s">
        <v>2127</v>
      </c>
      <c r="DH368" s="776" t="s">
        <v>2127</v>
      </c>
      <c r="DI368" s="776" t="s">
        <v>2127</v>
      </c>
      <c r="DJ368" s="776" t="s">
        <v>2127</v>
      </c>
      <c r="DK368" s="776" t="s">
        <v>2127</v>
      </c>
      <c r="DL368" s="776" t="s">
        <v>2127</v>
      </c>
      <c r="DM368" s="776" t="s">
        <v>2127</v>
      </c>
      <c r="DN368" s="776" t="s">
        <v>2127</v>
      </c>
      <c r="DO368" s="776" t="s">
        <v>2127</v>
      </c>
      <c r="DP368" s="776" t="s">
        <v>2127</v>
      </c>
    </row>
    <row r="369" spans="1:123" x14ac:dyDescent="0.2">
      <c r="A369" s="637" t="s">
        <v>2371</v>
      </c>
      <c r="B369" s="772" t="str" cm="1">
        <f t="array" ref="B369">IFERROR(INDEX(Kulturen[HF],_xlfn.AGGREGATE(15,6,(ROW(Kulturen[Auswahl])-7)/(--(SEARCH("x",Kulturen[Auswahl])&gt;0)),ROW()-7),1),"")</f>
        <v/>
      </c>
      <c r="C369" s="772" t="str">
        <f>IF(Kulturen[[#This Row],[HF]]=$D$373,IF($C$6=0,0,"x"),IF($C$6=0,"x",Vorauswahl!C368))</f>
        <v>x</v>
      </c>
      <c r="D369" s="938" t="s">
        <v>2121</v>
      </c>
      <c r="E369" s="938" t="s">
        <v>2121</v>
      </c>
      <c r="F369" s="938" t="s">
        <v>1012</v>
      </c>
      <c r="G369" s="938">
        <v>14</v>
      </c>
      <c r="H369" s="938">
        <v>8</v>
      </c>
      <c r="I369" s="938">
        <v>3</v>
      </c>
      <c r="J369" s="938">
        <v>14</v>
      </c>
      <c r="K369" s="938">
        <v>0.14000000000000001</v>
      </c>
      <c r="L369" s="938">
        <v>0.14000000000000001</v>
      </c>
      <c r="M369" s="938">
        <v>800</v>
      </c>
      <c r="N369" s="938">
        <v>0</v>
      </c>
      <c r="O369" s="938">
        <v>2</v>
      </c>
      <c r="P369" s="938">
        <v>0</v>
      </c>
      <c r="Q369" s="938">
        <v>440</v>
      </c>
      <c r="R369" s="938">
        <v>80</v>
      </c>
      <c r="S369" s="938">
        <v>44</v>
      </c>
      <c r="T369" s="938">
        <v>44</v>
      </c>
      <c r="U369" s="938">
        <v>0</v>
      </c>
      <c r="V369" s="938">
        <v>1</v>
      </c>
      <c r="W369" s="776">
        <f>IF(Kulturen[[#This Row],[Berechnungsschema]]=13,3,IF(Kulturen[[#This Row],[Berechnungsschema]]=6,2,1))</f>
        <v>1</v>
      </c>
      <c r="X369" s="776">
        <f>IF(Kulturen[[#This Row],[fruchtartengruppe]]=13,Kulturen[[#This Row],[NBedarfswert]],MAX(0,Kulturen[[#This Row],[NBedarfswert]]-Kulturen[[#This Row],[Ertrag]]*Kulturen[[#This Row],[Nfix]]))</f>
        <v>440</v>
      </c>
      <c r="Y369" s="776" t="s">
        <v>2127</v>
      </c>
      <c r="Z369" s="776" t="s">
        <v>2127</v>
      </c>
      <c r="AA369" s="776" t="s">
        <v>2127</v>
      </c>
      <c r="AB369" s="776" t="s">
        <v>2127</v>
      </c>
      <c r="AC369" s="776" t="s">
        <v>2127</v>
      </c>
      <c r="AD369" s="776" t="s">
        <v>2127</v>
      </c>
      <c r="AE369" s="776" t="s">
        <v>2127</v>
      </c>
      <c r="AF369" s="776" t="s">
        <v>2127</v>
      </c>
      <c r="AG369" s="776" t="s">
        <v>2127</v>
      </c>
      <c r="AH369" s="776" t="s">
        <v>2127</v>
      </c>
      <c r="AI369" s="776" t="s">
        <v>2127</v>
      </c>
      <c r="AJ369" s="776" t="s">
        <v>2127</v>
      </c>
      <c r="AK369" s="776" t="s">
        <v>2127</v>
      </c>
      <c r="AL369" s="776" t="s">
        <v>2127</v>
      </c>
      <c r="AM369" s="776" t="s">
        <v>2127</v>
      </c>
      <c r="AN369" s="776" t="s">
        <v>2127</v>
      </c>
      <c r="AO369" s="776" t="s">
        <v>2127</v>
      </c>
      <c r="AP369" s="776" t="s">
        <v>2127</v>
      </c>
      <c r="AQ369" s="776" t="s">
        <v>2127</v>
      </c>
      <c r="AR369" s="776" t="s">
        <v>2127</v>
      </c>
      <c r="AS369" s="776" t="s">
        <v>2127</v>
      </c>
      <c r="AT369" s="776" t="s">
        <v>2127</v>
      </c>
      <c r="AU369" s="776" t="s">
        <v>2127</v>
      </c>
      <c r="AV369" s="776" t="s">
        <v>2127</v>
      </c>
      <c r="AW369" s="776" t="s">
        <v>2127</v>
      </c>
      <c r="AX369" s="776" t="s">
        <v>2127</v>
      </c>
      <c r="AY369" s="776" t="s">
        <v>2127</v>
      </c>
      <c r="AZ369" s="776" t="s">
        <v>2127</v>
      </c>
      <c r="BA369" s="776" t="s">
        <v>2127</v>
      </c>
      <c r="BB369" s="776" t="s">
        <v>2127</v>
      </c>
      <c r="BC369" s="776" t="s">
        <v>2127</v>
      </c>
      <c r="BD369" s="776" t="s">
        <v>2127</v>
      </c>
      <c r="BE369" s="776" t="s">
        <v>2127</v>
      </c>
      <c r="BF369" s="776" t="s">
        <v>2127</v>
      </c>
      <c r="BG369" s="776" t="s">
        <v>2127</v>
      </c>
      <c r="BH369" s="776" t="s">
        <v>2127</v>
      </c>
      <c r="BI369" s="776" t="s">
        <v>2127</v>
      </c>
      <c r="BJ369" s="776" t="s">
        <v>2127</v>
      </c>
      <c r="BK369" s="776" t="s">
        <v>2127</v>
      </c>
      <c r="BL369" s="776" t="s">
        <v>2127</v>
      </c>
      <c r="BM369" s="776" t="s">
        <v>2127</v>
      </c>
      <c r="BN369" s="776" t="s">
        <v>2127</v>
      </c>
      <c r="BO369" s="776" t="s">
        <v>2127</v>
      </c>
      <c r="BP369" s="776" t="s">
        <v>2127</v>
      </c>
      <c r="BQ369" s="776" t="s">
        <v>2127</v>
      </c>
      <c r="BR369" s="776" t="s">
        <v>2127</v>
      </c>
      <c r="BS369" s="776" t="s">
        <v>2127</v>
      </c>
      <c r="BT369" s="776" t="s">
        <v>2127</v>
      </c>
      <c r="BU369" s="776" t="s">
        <v>2127</v>
      </c>
      <c r="BV369" s="776" t="s">
        <v>2127</v>
      </c>
      <c r="BW369" s="776" t="s">
        <v>2127</v>
      </c>
      <c r="BX369" s="776" t="s">
        <v>2127</v>
      </c>
      <c r="BY369" s="776" t="s">
        <v>2127</v>
      </c>
      <c r="BZ369" s="776" t="s">
        <v>2127</v>
      </c>
      <c r="CA369" s="776" t="s">
        <v>2127</v>
      </c>
      <c r="CB369" s="776" t="s">
        <v>2127</v>
      </c>
      <c r="CC369" s="776" t="s">
        <v>2127</v>
      </c>
      <c r="CD369" s="776" t="s">
        <v>2127</v>
      </c>
      <c r="CE369" s="776" t="s">
        <v>2127</v>
      </c>
      <c r="CF369" s="776" t="s">
        <v>2127</v>
      </c>
      <c r="CG369" s="776" t="s">
        <v>2127</v>
      </c>
      <c r="CH369" s="776" t="s">
        <v>2127</v>
      </c>
      <c r="CI369" s="776" t="s">
        <v>2127</v>
      </c>
      <c r="CJ369" s="776" t="s">
        <v>2127</v>
      </c>
      <c r="CK369" s="776" t="s">
        <v>2127</v>
      </c>
      <c r="CL369" s="776" t="s">
        <v>2127</v>
      </c>
      <c r="CM369" s="776" t="s">
        <v>2127</v>
      </c>
      <c r="CN369" s="776" t="s">
        <v>2127</v>
      </c>
      <c r="CO369" s="776" t="s">
        <v>2127</v>
      </c>
      <c r="CP369" s="776" t="s">
        <v>2127</v>
      </c>
      <c r="CQ369" s="776" t="s">
        <v>2127</v>
      </c>
      <c r="CR369" s="776" t="s">
        <v>2127</v>
      </c>
      <c r="CS369" s="776" t="s">
        <v>2127</v>
      </c>
      <c r="CT369" s="776" t="s">
        <v>2127</v>
      </c>
      <c r="CU369" s="776" t="s">
        <v>2127</v>
      </c>
      <c r="CV369" s="776" t="s">
        <v>2127</v>
      </c>
      <c r="CW369" s="776" t="s">
        <v>2127</v>
      </c>
      <c r="CX369" s="776" t="s">
        <v>2127</v>
      </c>
      <c r="CY369" s="776" t="s">
        <v>2127</v>
      </c>
      <c r="CZ369" s="776" t="s">
        <v>2127</v>
      </c>
      <c r="DA369" s="776" t="s">
        <v>2127</v>
      </c>
      <c r="DB369" s="776" t="s">
        <v>2127</v>
      </c>
      <c r="DC369" s="776" t="s">
        <v>2127</v>
      </c>
      <c r="DD369" s="776" t="s">
        <v>2127</v>
      </c>
      <c r="DE369" s="776" t="s">
        <v>2127</v>
      </c>
      <c r="DF369" s="776" t="s">
        <v>2127</v>
      </c>
      <c r="DG369" s="776" t="s">
        <v>2127</v>
      </c>
      <c r="DH369" s="776" t="s">
        <v>2127</v>
      </c>
      <c r="DI369" s="776" t="s">
        <v>2127</v>
      </c>
      <c r="DJ369" s="776" t="s">
        <v>2127</v>
      </c>
      <c r="DK369" s="776" t="s">
        <v>2127</v>
      </c>
      <c r="DL369" s="776" t="s">
        <v>2127</v>
      </c>
      <c r="DM369" s="776" t="s">
        <v>2127</v>
      </c>
      <c r="DN369" s="776" t="s">
        <v>2127</v>
      </c>
      <c r="DO369" s="776" t="s">
        <v>2127</v>
      </c>
      <c r="DP369" s="776" t="s">
        <v>2127</v>
      </c>
      <c r="DS369" s="1387" t="s">
        <v>1023</v>
      </c>
    </row>
    <row r="370" spans="1:123" x14ac:dyDescent="0.2">
      <c r="A370" s="637" t="s">
        <v>2372</v>
      </c>
      <c r="B370" s="772" t="str" cm="1">
        <f t="array" ref="B370">IFERROR(INDEX(Kulturen[HF],_xlfn.AGGREGATE(15,6,(ROW(Kulturen[Auswahl])-7)/(--(SEARCH("x",Kulturen[Auswahl])&gt;0)),ROW()-7),1),"")</f>
        <v/>
      </c>
      <c r="C370" s="772" t="str">
        <f>IF(Kulturen[[#This Row],[HF]]=$D$373,IF($C$6=0,0,"x"),IF($C$6=0,"x",Vorauswahl!C369))</f>
        <v>x</v>
      </c>
      <c r="D370" s="938" t="s">
        <v>2122</v>
      </c>
      <c r="E370" s="938" t="s">
        <v>2122</v>
      </c>
      <c r="F370" s="938" t="s">
        <v>1013</v>
      </c>
      <c r="G370" s="938">
        <v>14</v>
      </c>
      <c r="H370" s="938">
        <v>8</v>
      </c>
      <c r="I370" s="938">
        <v>3</v>
      </c>
      <c r="J370" s="938">
        <v>14</v>
      </c>
      <c r="K370" s="938">
        <v>0.1</v>
      </c>
      <c r="L370" s="938">
        <v>0.1</v>
      </c>
      <c r="M370" s="938">
        <v>150</v>
      </c>
      <c r="N370" s="938">
        <v>0</v>
      </c>
      <c r="O370" s="938">
        <v>2</v>
      </c>
      <c r="P370" s="938">
        <v>0</v>
      </c>
      <c r="Q370" s="938">
        <v>105</v>
      </c>
      <c r="R370" s="938">
        <v>15</v>
      </c>
      <c r="S370" s="938">
        <v>5</v>
      </c>
      <c r="T370" s="938">
        <v>5</v>
      </c>
      <c r="U370" s="938">
        <v>0</v>
      </c>
      <c r="V370" s="938">
        <v>1</v>
      </c>
      <c r="W370" s="776">
        <f>IF(Kulturen[[#This Row],[Berechnungsschema]]=13,3,IF(Kulturen[[#This Row],[Berechnungsschema]]=6,2,1))</f>
        <v>1</v>
      </c>
      <c r="X370" s="776">
        <f>IF(Kulturen[[#This Row],[fruchtartengruppe]]=13,Kulturen[[#This Row],[NBedarfswert]],MAX(0,Kulturen[[#This Row],[NBedarfswert]]-Kulturen[[#This Row],[Ertrag]]*Kulturen[[#This Row],[Nfix]]))</f>
        <v>105</v>
      </c>
      <c r="Y370" s="776" t="s">
        <v>2127</v>
      </c>
      <c r="Z370" s="776" t="s">
        <v>2127</v>
      </c>
      <c r="AA370" s="776" t="s">
        <v>2127</v>
      </c>
      <c r="AB370" s="776" t="s">
        <v>2127</v>
      </c>
      <c r="AC370" s="776" t="s">
        <v>2127</v>
      </c>
      <c r="AD370" s="776" t="s">
        <v>2127</v>
      </c>
      <c r="AE370" s="776" t="s">
        <v>2127</v>
      </c>
      <c r="AF370" s="776" t="s">
        <v>2127</v>
      </c>
      <c r="AG370" s="776" t="s">
        <v>2127</v>
      </c>
      <c r="AH370" s="776" t="s">
        <v>2127</v>
      </c>
      <c r="AI370" s="776" t="s">
        <v>2127</v>
      </c>
      <c r="AJ370" s="776" t="s">
        <v>2127</v>
      </c>
      <c r="AK370" s="776" t="s">
        <v>2127</v>
      </c>
      <c r="AL370" s="776" t="s">
        <v>2127</v>
      </c>
      <c r="AM370" s="776" t="s">
        <v>2127</v>
      </c>
      <c r="AN370" s="776" t="s">
        <v>2127</v>
      </c>
      <c r="AO370" s="776" t="s">
        <v>2127</v>
      </c>
      <c r="AP370" s="776" t="s">
        <v>2127</v>
      </c>
      <c r="AQ370" s="776" t="s">
        <v>2127</v>
      </c>
      <c r="AR370" s="776" t="s">
        <v>2127</v>
      </c>
      <c r="AS370" s="776" t="s">
        <v>2127</v>
      </c>
      <c r="AT370" s="776" t="s">
        <v>2127</v>
      </c>
      <c r="AU370" s="776" t="s">
        <v>2127</v>
      </c>
      <c r="AV370" s="776" t="s">
        <v>2127</v>
      </c>
      <c r="AW370" s="776" t="s">
        <v>2127</v>
      </c>
      <c r="AX370" s="776" t="s">
        <v>2127</v>
      </c>
      <c r="AY370" s="776" t="s">
        <v>2127</v>
      </c>
      <c r="AZ370" s="776" t="s">
        <v>2127</v>
      </c>
      <c r="BA370" s="776" t="s">
        <v>2127</v>
      </c>
      <c r="BB370" s="776" t="s">
        <v>2127</v>
      </c>
      <c r="BC370" s="776" t="s">
        <v>2127</v>
      </c>
      <c r="BD370" s="776" t="s">
        <v>2127</v>
      </c>
      <c r="BE370" s="776" t="s">
        <v>2127</v>
      </c>
      <c r="BF370" s="776" t="s">
        <v>2127</v>
      </c>
      <c r="BG370" s="776" t="s">
        <v>2127</v>
      </c>
      <c r="BH370" s="776" t="s">
        <v>2127</v>
      </c>
      <c r="BI370" s="776" t="s">
        <v>2127</v>
      </c>
      <c r="BJ370" s="776" t="s">
        <v>2127</v>
      </c>
      <c r="BK370" s="776" t="s">
        <v>2127</v>
      </c>
      <c r="BL370" s="776" t="s">
        <v>2127</v>
      </c>
      <c r="BM370" s="776" t="s">
        <v>2127</v>
      </c>
      <c r="BN370" s="776" t="s">
        <v>2127</v>
      </c>
      <c r="BO370" s="776" t="s">
        <v>2127</v>
      </c>
      <c r="BP370" s="776" t="s">
        <v>2127</v>
      </c>
      <c r="BQ370" s="776" t="s">
        <v>2127</v>
      </c>
      <c r="BR370" s="776" t="s">
        <v>2127</v>
      </c>
      <c r="BS370" s="776" t="s">
        <v>2127</v>
      </c>
      <c r="BT370" s="776" t="s">
        <v>2127</v>
      </c>
      <c r="BU370" s="776" t="s">
        <v>2127</v>
      </c>
      <c r="BV370" s="776" t="s">
        <v>2127</v>
      </c>
      <c r="BW370" s="776" t="s">
        <v>2127</v>
      </c>
      <c r="BX370" s="776" t="s">
        <v>2127</v>
      </c>
      <c r="BY370" s="776" t="s">
        <v>2127</v>
      </c>
      <c r="BZ370" s="776" t="s">
        <v>2127</v>
      </c>
      <c r="CA370" s="776" t="s">
        <v>2127</v>
      </c>
      <c r="CB370" s="776" t="s">
        <v>2127</v>
      </c>
      <c r="CC370" s="776" t="s">
        <v>2127</v>
      </c>
      <c r="CD370" s="776" t="s">
        <v>2127</v>
      </c>
      <c r="CE370" s="776" t="s">
        <v>2127</v>
      </c>
      <c r="CF370" s="776" t="s">
        <v>2127</v>
      </c>
      <c r="CG370" s="776" t="s">
        <v>2127</v>
      </c>
      <c r="CH370" s="776" t="s">
        <v>2127</v>
      </c>
      <c r="CI370" s="776" t="s">
        <v>2127</v>
      </c>
      <c r="CJ370" s="776" t="s">
        <v>2127</v>
      </c>
      <c r="CK370" s="776" t="s">
        <v>2127</v>
      </c>
      <c r="CL370" s="776" t="s">
        <v>2127</v>
      </c>
      <c r="CM370" s="776" t="s">
        <v>2127</v>
      </c>
      <c r="CN370" s="776" t="s">
        <v>2127</v>
      </c>
      <c r="CO370" s="776" t="s">
        <v>2127</v>
      </c>
      <c r="CP370" s="776" t="s">
        <v>2127</v>
      </c>
      <c r="CQ370" s="776" t="s">
        <v>2127</v>
      </c>
      <c r="CR370" s="776" t="s">
        <v>2127</v>
      </c>
      <c r="CS370" s="776" t="s">
        <v>2127</v>
      </c>
      <c r="CT370" s="776" t="s">
        <v>2127</v>
      </c>
      <c r="CU370" s="776" t="s">
        <v>2127</v>
      </c>
      <c r="CV370" s="776" t="s">
        <v>2127</v>
      </c>
      <c r="CW370" s="776" t="s">
        <v>2127</v>
      </c>
      <c r="CX370" s="776" t="s">
        <v>2127</v>
      </c>
      <c r="CY370" s="776" t="s">
        <v>2127</v>
      </c>
      <c r="CZ370" s="776" t="s">
        <v>2127</v>
      </c>
      <c r="DA370" s="776" t="s">
        <v>2127</v>
      </c>
      <c r="DB370" s="776" t="s">
        <v>2127</v>
      </c>
      <c r="DC370" s="776" t="s">
        <v>2127</v>
      </c>
      <c r="DD370" s="776" t="s">
        <v>2127</v>
      </c>
      <c r="DE370" s="776" t="s">
        <v>2127</v>
      </c>
      <c r="DF370" s="776" t="s">
        <v>2127</v>
      </c>
      <c r="DG370" s="776" t="s">
        <v>2127</v>
      </c>
      <c r="DH370" s="776" t="s">
        <v>2127</v>
      </c>
      <c r="DI370" s="776" t="s">
        <v>2127</v>
      </c>
      <c r="DJ370" s="776" t="s">
        <v>2127</v>
      </c>
      <c r="DK370" s="776" t="s">
        <v>2127</v>
      </c>
      <c r="DL370" s="776" t="s">
        <v>2127</v>
      </c>
      <c r="DM370" s="776" t="s">
        <v>2127</v>
      </c>
      <c r="DN370" s="776" t="s">
        <v>2127</v>
      </c>
      <c r="DO370" s="776" t="s">
        <v>2127</v>
      </c>
      <c r="DP370" s="776" t="s">
        <v>2127</v>
      </c>
    </row>
    <row r="371" spans="1:123" x14ac:dyDescent="0.2">
      <c r="A371" s="631" t="s">
        <v>2373</v>
      </c>
      <c r="B371" s="772" t="str" cm="1">
        <f t="array" ref="B371">IFERROR(INDEX(Kulturen[HF],_xlfn.AGGREGATE(15,6,(ROW(Kulturen[Auswahl])-7)/(--(SEARCH("x",Kulturen[Auswahl])&gt;0)),ROW()-7),1),"")</f>
        <v/>
      </c>
      <c r="C371" s="772" t="str">
        <f>IF(Kulturen[[#This Row],[HF]]=$D$373,IF($C$6=0,0,"x"),IF($C$6=0,"x",Vorauswahl!C370))</f>
        <v>x</v>
      </c>
      <c r="D371" s="938" t="s">
        <v>2123</v>
      </c>
      <c r="E371" s="938" t="s">
        <v>2123</v>
      </c>
      <c r="F371" s="938" t="s">
        <v>1014</v>
      </c>
      <c r="G371" s="938">
        <v>14</v>
      </c>
      <c r="H371" s="938">
        <v>8</v>
      </c>
      <c r="I371" s="938">
        <v>3</v>
      </c>
      <c r="J371" s="938">
        <v>14</v>
      </c>
      <c r="K371" s="938">
        <v>0.14000000000000001</v>
      </c>
      <c r="L371" s="938">
        <v>0.14000000000000001</v>
      </c>
      <c r="M371" s="938">
        <v>300</v>
      </c>
      <c r="N371" s="938">
        <v>0</v>
      </c>
      <c r="O371" s="938">
        <v>2</v>
      </c>
      <c r="P371" s="938">
        <v>0</v>
      </c>
      <c r="Q371" s="938">
        <v>185</v>
      </c>
      <c r="R371" s="938">
        <v>30</v>
      </c>
      <c r="S371" s="938">
        <v>19</v>
      </c>
      <c r="T371" s="938">
        <v>19</v>
      </c>
      <c r="U371" s="938">
        <v>0</v>
      </c>
      <c r="V371" s="938">
        <v>1</v>
      </c>
      <c r="W371" s="776">
        <f>IF(Kulturen[[#This Row],[Berechnungsschema]]=13,3,IF(Kulturen[[#This Row],[Berechnungsschema]]=6,2,1))</f>
        <v>1</v>
      </c>
      <c r="X371" s="776">
        <f>IF(Kulturen[[#This Row],[fruchtartengruppe]]=13,Kulturen[[#This Row],[NBedarfswert]],MAX(0,Kulturen[[#This Row],[NBedarfswert]]-Kulturen[[#This Row],[Ertrag]]*Kulturen[[#This Row],[Nfix]]))</f>
        <v>185</v>
      </c>
      <c r="Y371" s="776" t="s">
        <v>2127</v>
      </c>
      <c r="Z371" s="776" t="s">
        <v>2127</v>
      </c>
      <c r="AA371" s="776" t="s">
        <v>2127</v>
      </c>
      <c r="AB371" s="776" t="s">
        <v>2127</v>
      </c>
      <c r="AC371" s="776" t="s">
        <v>2127</v>
      </c>
      <c r="AD371" s="776" t="s">
        <v>2127</v>
      </c>
      <c r="AE371" s="776" t="s">
        <v>2127</v>
      </c>
      <c r="AF371" s="776" t="s">
        <v>2127</v>
      </c>
      <c r="AG371" s="776" t="s">
        <v>2127</v>
      </c>
      <c r="AH371" s="776" t="s">
        <v>2127</v>
      </c>
      <c r="AI371" s="776" t="s">
        <v>2127</v>
      </c>
      <c r="AJ371" s="776" t="s">
        <v>2127</v>
      </c>
      <c r="AK371" s="776" t="s">
        <v>2127</v>
      </c>
      <c r="AL371" s="776" t="s">
        <v>2127</v>
      </c>
      <c r="AM371" s="776" t="s">
        <v>2127</v>
      </c>
      <c r="AN371" s="776" t="s">
        <v>2127</v>
      </c>
      <c r="AO371" s="776" t="s">
        <v>2127</v>
      </c>
      <c r="AP371" s="776" t="s">
        <v>2127</v>
      </c>
      <c r="AQ371" s="776" t="s">
        <v>2127</v>
      </c>
      <c r="AR371" s="776" t="s">
        <v>2127</v>
      </c>
      <c r="AS371" s="776" t="s">
        <v>2127</v>
      </c>
      <c r="AT371" s="776" t="s">
        <v>2127</v>
      </c>
      <c r="AU371" s="776" t="s">
        <v>2127</v>
      </c>
      <c r="AV371" s="776" t="s">
        <v>2127</v>
      </c>
      <c r="AW371" s="776" t="s">
        <v>2127</v>
      </c>
      <c r="AX371" s="776" t="s">
        <v>2127</v>
      </c>
      <c r="AY371" s="776" t="s">
        <v>2127</v>
      </c>
      <c r="AZ371" s="776" t="s">
        <v>2127</v>
      </c>
      <c r="BA371" s="776" t="s">
        <v>2127</v>
      </c>
      <c r="BB371" s="776" t="s">
        <v>2127</v>
      </c>
      <c r="BC371" s="776" t="s">
        <v>2127</v>
      </c>
      <c r="BD371" s="776" t="s">
        <v>2127</v>
      </c>
      <c r="BE371" s="776" t="s">
        <v>2127</v>
      </c>
      <c r="BF371" s="776" t="s">
        <v>2127</v>
      </c>
      <c r="BG371" s="776" t="s">
        <v>2127</v>
      </c>
      <c r="BH371" s="776" t="s">
        <v>2127</v>
      </c>
      <c r="BI371" s="776" t="s">
        <v>2127</v>
      </c>
      <c r="BJ371" s="776" t="s">
        <v>2127</v>
      </c>
      <c r="BK371" s="776" t="s">
        <v>2127</v>
      </c>
      <c r="BL371" s="776" t="s">
        <v>2127</v>
      </c>
      <c r="BM371" s="776" t="s">
        <v>2127</v>
      </c>
      <c r="BN371" s="776" t="s">
        <v>2127</v>
      </c>
      <c r="BO371" s="776" t="s">
        <v>2127</v>
      </c>
      <c r="BP371" s="776" t="s">
        <v>2127</v>
      </c>
      <c r="BQ371" s="776" t="s">
        <v>2127</v>
      </c>
      <c r="BR371" s="776" t="s">
        <v>2127</v>
      </c>
      <c r="BS371" s="776" t="s">
        <v>2127</v>
      </c>
      <c r="BT371" s="776" t="s">
        <v>2127</v>
      </c>
      <c r="BU371" s="776" t="s">
        <v>2127</v>
      </c>
      <c r="BV371" s="776" t="s">
        <v>2127</v>
      </c>
      <c r="BW371" s="776" t="s">
        <v>2127</v>
      </c>
      <c r="BX371" s="776" t="s">
        <v>2127</v>
      </c>
      <c r="BY371" s="776" t="s">
        <v>2127</v>
      </c>
      <c r="BZ371" s="776" t="s">
        <v>2127</v>
      </c>
      <c r="CA371" s="776" t="s">
        <v>2127</v>
      </c>
      <c r="CB371" s="776" t="s">
        <v>2127</v>
      </c>
      <c r="CC371" s="776" t="s">
        <v>2127</v>
      </c>
      <c r="CD371" s="776" t="s">
        <v>2127</v>
      </c>
      <c r="CE371" s="776" t="s">
        <v>2127</v>
      </c>
      <c r="CF371" s="776" t="s">
        <v>2127</v>
      </c>
      <c r="CG371" s="776" t="s">
        <v>2127</v>
      </c>
      <c r="CH371" s="776" t="s">
        <v>2127</v>
      </c>
      <c r="CI371" s="776" t="s">
        <v>2127</v>
      </c>
      <c r="CJ371" s="776" t="s">
        <v>2127</v>
      </c>
      <c r="CK371" s="776" t="s">
        <v>2127</v>
      </c>
      <c r="CL371" s="776" t="s">
        <v>2127</v>
      </c>
      <c r="CM371" s="776" t="s">
        <v>2127</v>
      </c>
      <c r="CN371" s="776" t="s">
        <v>2127</v>
      </c>
      <c r="CO371" s="776" t="s">
        <v>2127</v>
      </c>
      <c r="CP371" s="776" t="s">
        <v>2127</v>
      </c>
      <c r="CQ371" s="776" t="s">
        <v>2127</v>
      </c>
      <c r="CR371" s="776" t="s">
        <v>2127</v>
      </c>
      <c r="CS371" s="776" t="s">
        <v>2127</v>
      </c>
      <c r="CT371" s="776" t="s">
        <v>2127</v>
      </c>
      <c r="CU371" s="776" t="s">
        <v>2127</v>
      </c>
      <c r="CV371" s="776" t="s">
        <v>2127</v>
      </c>
      <c r="CW371" s="776" t="s">
        <v>2127</v>
      </c>
      <c r="CX371" s="776" t="s">
        <v>2127</v>
      </c>
      <c r="CY371" s="776" t="s">
        <v>2127</v>
      </c>
      <c r="CZ371" s="776" t="s">
        <v>2127</v>
      </c>
      <c r="DA371" s="776" t="s">
        <v>2127</v>
      </c>
      <c r="DB371" s="776" t="s">
        <v>2127</v>
      </c>
      <c r="DC371" s="776" t="s">
        <v>2127</v>
      </c>
      <c r="DD371" s="776" t="s">
        <v>2127</v>
      </c>
      <c r="DE371" s="776" t="s">
        <v>2127</v>
      </c>
      <c r="DF371" s="776" t="s">
        <v>2127</v>
      </c>
      <c r="DG371" s="776" t="s">
        <v>2127</v>
      </c>
      <c r="DH371" s="776" t="s">
        <v>2127</v>
      </c>
      <c r="DI371" s="776" t="s">
        <v>2127</v>
      </c>
      <c r="DJ371" s="776" t="s">
        <v>2127</v>
      </c>
      <c r="DK371" s="776" t="s">
        <v>2127</v>
      </c>
      <c r="DL371" s="776" t="s">
        <v>2127</v>
      </c>
      <c r="DM371" s="776" t="s">
        <v>2127</v>
      </c>
      <c r="DN371" s="776" t="s">
        <v>2127</v>
      </c>
      <c r="DO371" s="776" t="s">
        <v>2127</v>
      </c>
      <c r="DP371" s="776" t="s">
        <v>2127</v>
      </c>
    </row>
    <row r="372" spans="1:123" x14ac:dyDescent="0.2">
      <c r="A372" s="631" t="s">
        <v>2374</v>
      </c>
      <c r="B372" s="772" t="str" cm="1">
        <f t="array" ref="B372">IFERROR(INDEX(Kulturen[HF],_xlfn.AGGREGATE(15,6,(ROW(Kulturen[Auswahl])-7)/(--(SEARCH("x",Kulturen[Auswahl])&gt;0)),ROW()-7),1),"")</f>
        <v/>
      </c>
      <c r="C372" s="772" t="str">
        <f>IF(Kulturen[[#This Row],[HF]]=$D$373,IF($C$6=0,0,"x"),IF($C$6=0,"x",Vorauswahl!C371))</f>
        <v>x</v>
      </c>
      <c r="D372" s="938" t="s">
        <v>2124</v>
      </c>
      <c r="E372" s="938" t="s">
        <v>2124</v>
      </c>
      <c r="F372" s="938" t="s">
        <v>1015</v>
      </c>
      <c r="G372" s="938">
        <v>14</v>
      </c>
      <c r="H372" s="938">
        <v>8</v>
      </c>
      <c r="I372" s="938">
        <v>3</v>
      </c>
      <c r="J372" s="938">
        <v>14</v>
      </c>
      <c r="K372" s="938">
        <v>0.14000000000000001</v>
      </c>
      <c r="L372" s="938">
        <v>0.14000000000000001</v>
      </c>
      <c r="M372" s="938">
        <v>265</v>
      </c>
      <c r="N372" s="938">
        <v>0</v>
      </c>
      <c r="O372" s="938">
        <v>2</v>
      </c>
      <c r="P372" s="938">
        <v>0</v>
      </c>
      <c r="Q372" s="938">
        <v>155</v>
      </c>
      <c r="R372" s="938">
        <v>27</v>
      </c>
      <c r="S372" s="938">
        <v>16</v>
      </c>
      <c r="T372" s="938">
        <v>16</v>
      </c>
      <c r="U372" s="938">
        <v>0</v>
      </c>
      <c r="V372" s="938">
        <v>1</v>
      </c>
      <c r="W372" s="776">
        <f>IF(Kulturen[[#This Row],[Berechnungsschema]]=13,3,IF(Kulturen[[#This Row],[Berechnungsschema]]=6,2,1))</f>
        <v>1</v>
      </c>
      <c r="X372" s="776">
        <f>IF(Kulturen[[#This Row],[fruchtartengruppe]]=13,Kulturen[[#This Row],[NBedarfswert]],MAX(0,Kulturen[[#This Row],[NBedarfswert]]-Kulturen[[#This Row],[Ertrag]]*Kulturen[[#This Row],[Nfix]]))</f>
        <v>155</v>
      </c>
      <c r="Y372" s="776" t="s">
        <v>2127</v>
      </c>
      <c r="Z372" s="776" t="s">
        <v>2127</v>
      </c>
      <c r="AA372" s="776" t="s">
        <v>2127</v>
      </c>
      <c r="AB372" s="776" t="s">
        <v>2127</v>
      </c>
      <c r="AC372" s="776" t="s">
        <v>2127</v>
      </c>
      <c r="AD372" s="776" t="s">
        <v>2127</v>
      </c>
      <c r="AE372" s="776" t="s">
        <v>2127</v>
      </c>
      <c r="AF372" s="776" t="s">
        <v>2127</v>
      </c>
      <c r="AG372" s="776" t="s">
        <v>2127</v>
      </c>
      <c r="AH372" s="776" t="s">
        <v>2127</v>
      </c>
      <c r="AI372" s="776" t="s">
        <v>2127</v>
      </c>
      <c r="AJ372" s="776" t="s">
        <v>2127</v>
      </c>
      <c r="AK372" s="776" t="s">
        <v>2127</v>
      </c>
      <c r="AL372" s="776" t="s">
        <v>2127</v>
      </c>
      <c r="AM372" s="776" t="s">
        <v>2127</v>
      </c>
      <c r="AN372" s="776" t="s">
        <v>2127</v>
      </c>
      <c r="AO372" s="776" t="s">
        <v>2127</v>
      </c>
      <c r="AP372" s="776" t="s">
        <v>2127</v>
      </c>
      <c r="AQ372" s="776" t="s">
        <v>2127</v>
      </c>
      <c r="AR372" s="776" t="s">
        <v>2127</v>
      </c>
      <c r="AS372" s="776" t="s">
        <v>2127</v>
      </c>
      <c r="AT372" s="776" t="s">
        <v>2127</v>
      </c>
      <c r="AU372" s="776" t="s">
        <v>2127</v>
      </c>
      <c r="AV372" s="776" t="s">
        <v>2127</v>
      </c>
      <c r="AW372" s="776" t="s">
        <v>2127</v>
      </c>
      <c r="AX372" s="776" t="s">
        <v>2127</v>
      </c>
      <c r="AY372" s="776" t="s">
        <v>2127</v>
      </c>
      <c r="AZ372" s="776" t="s">
        <v>2127</v>
      </c>
      <c r="BA372" s="776" t="s">
        <v>2127</v>
      </c>
      <c r="BB372" s="776" t="s">
        <v>2127</v>
      </c>
      <c r="BC372" s="776" t="s">
        <v>2127</v>
      </c>
      <c r="BD372" s="776" t="s">
        <v>2127</v>
      </c>
      <c r="BE372" s="776" t="s">
        <v>2127</v>
      </c>
      <c r="BF372" s="776" t="s">
        <v>2127</v>
      </c>
      <c r="BG372" s="776" t="s">
        <v>2127</v>
      </c>
      <c r="BH372" s="776" t="s">
        <v>2127</v>
      </c>
      <c r="BI372" s="776" t="s">
        <v>2127</v>
      </c>
      <c r="BJ372" s="776" t="s">
        <v>2127</v>
      </c>
      <c r="BK372" s="776" t="s">
        <v>2127</v>
      </c>
      <c r="BL372" s="776" t="s">
        <v>2127</v>
      </c>
      <c r="BM372" s="776" t="s">
        <v>2127</v>
      </c>
      <c r="BN372" s="776" t="s">
        <v>2127</v>
      </c>
      <c r="BO372" s="776" t="s">
        <v>2127</v>
      </c>
      <c r="BP372" s="776" t="s">
        <v>2127</v>
      </c>
      <c r="BQ372" s="776" t="s">
        <v>2127</v>
      </c>
      <c r="BR372" s="776" t="s">
        <v>2127</v>
      </c>
      <c r="BS372" s="776" t="s">
        <v>2127</v>
      </c>
      <c r="BT372" s="776" t="s">
        <v>2127</v>
      </c>
      <c r="BU372" s="776" t="s">
        <v>2127</v>
      </c>
      <c r="BV372" s="776" t="s">
        <v>2127</v>
      </c>
      <c r="BW372" s="776" t="s">
        <v>2127</v>
      </c>
      <c r="BX372" s="776" t="s">
        <v>2127</v>
      </c>
      <c r="BY372" s="776" t="s">
        <v>2127</v>
      </c>
      <c r="BZ372" s="776" t="s">
        <v>2127</v>
      </c>
      <c r="CA372" s="776" t="s">
        <v>2127</v>
      </c>
      <c r="CB372" s="776" t="s">
        <v>2127</v>
      </c>
      <c r="CC372" s="776" t="s">
        <v>2127</v>
      </c>
      <c r="CD372" s="776" t="s">
        <v>2127</v>
      </c>
      <c r="CE372" s="776" t="s">
        <v>2127</v>
      </c>
      <c r="CF372" s="776" t="s">
        <v>2127</v>
      </c>
      <c r="CG372" s="776" t="s">
        <v>2127</v>
      </c>
      <c r="CH372" s="776" t="s">
        <v>2127</v>
      </c>
      <c r="CI372" s="776" t="s">
        <v>2127</v>
      </c>
      <c r="CJ372" s="776" t="s">
        <v>2127</v>
      </c>
      <c r="CK372" s="776" t="s">
        <v>2127</v>
      </c>
      <c r="CL372" s="776" t="s">
        <v>2127</v>
      </c>
      <c r="CM372" s="776" t="s">
        <v>2127</v>
      </c>
      <c r="CN372" s="776" t="s">
        <v>2127</v>
      </c>
      <c r="CO372" s="776" t="s">
        <v>2127</v>
      </c>
      <c r="CP372" s="776" t="s">
        <v>2127</v>
      </c>
      <c r="CQ372" s="776" t="s">
        <v>2127</v>
      </c>
      <c r="CR372" s="776" t="s">
        <v>2127</v>
      </c>
      <c r="CS372" s="776" t="s">
        <v>2127</v>
      </c>
      <c r="CT372" s="776" t="s">
        <v>2127</v>
      </c>
      <c r="CU372" s="776" t="s">
        <v>2127</v>
      </c>
      <c r="CV372" s="776" t="s">
        <v>2127</v>
      </c>
      <c r="CW372" s="776" t="s">
        <v>2127</v>
      </c>
      <c r="CX372" s="776" t="s">
        <v>2127</v>
      </c>
      <c r="CY372" s="776" t="s">
        <v>2127</v>
      </c>
      <c r="CZ372" s="776" t="s">
        <v>2127</v>
      </c>
      <c r="DA372" s="776" t="s">
        <v>2127</v>
      </c>
      <c r="DB372" s="776" t="s">
        <v>2127</v>
      </c>
      <c r="DC372" s="776" t="s">
        <v>2127</v>
      </c>
      <c r="DD372" s="776" t="s">
        <v>2127</v>
      </c>
      <c r="DE372" s="776" t="s">
        <v>2127</v>
      </c>
      <c r="DF372" s="776" t="s">
        <v>2127</v>
      </c>
      <c r="DG372" s="776" t="s">
        <v>2127</v>
      </c>
      <c r="DH372" s="776" t="s">
        <v>2127</v>
      </c>
      <c r="DI372" s="776" t="s">
        <v>2127</v>
      </c>
      <c r="DJ372" s="776" t="s">
        <v>2127</v>
      </c>
      <c r="DK372" s="776" t="s">
        <v>2127</v>
      </c>
      <c r="DL372" s="776" t="s">
        <v>2127</v>
      </c>
      <c r="DM372" s="776" t="s">
        <v>2127</v>
      </c>
      <c r="DN372" s="776" t="s">
        <v>2127</v>
      </c>
      <c r="DO372" s="776" t="s">
        <v>2127</v>
      </c>
      <c r="DP372" s="776" t="s">
        <v>2127</v>
      </c>
    </row>
    <row r="373" spans="1:123" x14ac:dyDescent="0.2">
      <c r="B373" s="772" t="str" cm="1">
        <f t="array" ref="B373">IFERROR(INDEX(Kulturen[HF],_xlfn.AGGREGATE(15,6,(ROW(Kulturen[Auswahl])-7)/(--(SEARCH("x",Kulturen[Auswahl])&gt;0)),ROW()-7),1),"")</f>
        <v/>
      </c>
      <c r="C373" s="772">
        <f>IF(Kulturen[[#This Row],[HF]]=$D$373,IF($C$6=0,0,"x"),IF($C$6=0,"x",Vorauswahl!C372))</f>
        <v>0</v>
      </c>
      <c r="D373" s="1405" t="s">
        <v>1498</v>
      </c>
      <c r="E373" s="1405"/>
      <c r="F373" s="1405"/>
      <c r="G373" s="776">
        <v>11</v>
      </c>
      <c r="H373" s="1407">
        <v>1</v>
      </c>
      <c r="I373" s="1407">
        <v>3</v>
      </c>
      <c r="J373" s="1407">
        <v>0</v>
      </c>
      <c r="K373" s="1415">
        <v>1</v>
      </c>
      <c r="L373" s="1415">
        <v>0</v>
      </c>
      <c r="M373" s="1416">
        <v>0</v>
      </c>
      <c r="N373" s="1416">
        <v>0</v>
      </c>
      <c r="O373" s="1407">
        <v>0</v>
      </c>
      <c r="P373" s="1416">
        <v>0</v>
      </c>
      <c r="Q373" s="1416">
        <v>0</v>
      </c>
      <c r="R373" s="1416">
        <v>10</v>
      </c>
      <c r="S373" s="1413">
        <v>0</v>
      </c>
      <c r="T373" s="1413">
        <v>0</v>
      </c>
      <c r="U373" s="1419">
        <v>0</v>
      </c>
      <c r="V373" s="1416">
        <v>0</v>
      </c>
      <c r="W373" s="776">
        <f>IF(Kulturen[[#This Row],[Berechnungsschema]]=13,3,IF(Kulturen[[#This Row],[Berechnungsschema]]=6,2,1))</f>
        <v>1</v>
      </c>
      <c r="X373" s="776">
        <f>IF(Kulturen[[#This Row],[fruchtartengruppe]]=13,Kulturen[[#This Row],[NBedarfswert]],MAX(0,Kulturen[[#This Row],[NBedarfswert]]-Kulturen[[#This Row],[Ertrag]]*Kulturen[[#This Row],[Nfix]]))</f>
        <v>0</v>
      </c>
      <c r="Y373" s="776" t="s">
        <v>2127</v>
      </c>
      <c r="Z373" s="776" t="s">
        <v>2127</v>
      </c>
      <c r="AA373" s="776" t="s">
        <v>2127</v>
      </c>
      <c r="AB373" s="776" t="s">
        <v>2127</v>
      </c>
      <c r="AC373" s="776" t="s">
        <v>2127</v>
      </c>
      <c r="AD373" s="776" t="s">
        <v>2127</v>
      </c>
      <c r="AE373" s="776" t="s">
        <v>2127</v>
      </c>
      <c r="AF373" s="776" t="s">
        <v>2127</v>
      </c>
      <c r="AG373" s="776" t="s">
        <v>2127</v>
      </c>
      <c r="AH373" s="776" t="s">
        <v>2127</v>
      </c>
      <c r="AI373" s="776" t="s">
        <v>2127</v>
      </c>
      <c r="AJ373" s="776" t="s">
        <v>2127</v>
      </c>
      <c r="AK373" s="776" t="s">
        <v>2127</v>
      </c>
      <c r="AL373" s="776" t="s">
        <v>2127</v>
      </c>
      <c r="AM373" s="776" t="s">
        <v>2127</v>
      </c>
      <c r="AN373" s="776" t="s">
        <v>2127</v>
      </c>
      <c r="AO373" s="776" t="s">
        <v>2127</v>
      </c>
      <c r="AP373" s="776" t="s">
        <v>2127</v>
      </c>
      <c r="AQ373" s="776" t="s">
        <v>2127</v>
      </c>
      <c r="AR373" s="776" t="s">
        <v>2127</v>
      </c>
      <c r="AS373" s="776" t="s">
        <v>2127</v>
      </c>
      <c r="AT373" s="776" t="s">
        <v>2127</v>
      </c>
      <c r="AU373" s="776" t="s">
        <v>2127</v>
      </c>
      <c r="AV373" s="776" t="s">
        <v>2127</v>
      </c>
      <c r="AW373" s="776" t="s">
        <v>2127</v>
      </c>
      <c r="AX373" s="776" t="s">
        <v>2127</v>
      </c>
      <c r="AY373" s="776" t="s">
        <v>2127</v>
      </c>
      <c r="AZ373" s="776" t="s">
        <v>2127</v>
      </c>
      <c r="BA373" s="776" t="s">
        <v>2127</v>
      </c>
      <c r="BB373" s="776" t="s">
        <v>2127</v>
      </c>
      <c r="BC373" s="776" t="s">
        <v>2127</v>
      </c>
      <c r="BD373" s="776" t="s">
        <v>2127</v>
      </c>
      <c r="BE373" s="776" t="s">
        <v>2127</v>
      </c>
      <c r="BF373" s="776" t="s">
        <v>2127</v>
      </c>
      <c r="BG373" s="776" t="s">
        <v>2127</v>
      </c>
      <c r="BH373" s="776" t="s">
        <v>2127</v>
      </c>
      <c r="BI373" s="776" t="s">
        <v>2127</v>
      </c>
      <c r="BJ373" s="776" t="s">
        <v>2127</v>
      </c>
      <c r="BK373" s="776" t="s">
        <v>2127</v>
      </c>
      <c r="BL373" s="776" t="s">
        <v>2127</v>
      </c>
      <c r="BM373" s="776" t="s">
        <v>2127</v>
      </c>
      <c r="BN373" s="776" t="s">
        <v>2127</v>
      </c>
      <c r="BO373" s="776" t="s">
        <v>2127</v>
      </c>
      <c r="BP373" s="776" t="s">
        <v>2127</v>
      </c>
      <c r="BQ373" s="776" t="s">
        <v>2127</v>
      </c>
      <c r="BR373" s="776" t="s">
        <v>2127</v>
      </c>
      <c r="BS373" s="776" t="s">
        <v>2127</v>
      </c>
      <c r="BT373" s="776" t="s">
        <v>2127</v>
      </c>
      <c r="BU373" s="776" t="s">
        <v>2127</v>
      </c>
      <c r="BV373" s="776" t="s">
        <v>2127</v>
      </c>
      <c r="BW373" s="776" t="s">
        <v>2127</v>
      </c>
      <c r="BX373" s="776" t="s">
        <v>2127</v>
      </c>
      <c r="BY373" s="776" t="s">
        <v>2127</v>
      </c>
      <c r="BZ373" s="776" t="s">
        <v>2127</v>
      </c>
      <c r="CA373" s="776" t="s">
        <v>2127</v>
      </c>
      <c r="CB373" s="776" t="s">
        <v>2127</v>
      </c>
      <c r="CC373" s="776" t="s">
        <v>2127</v>
      </c>
      <c r="CD373" s="776" t="s">
        <v>2127</v>
      </c>
      <c r="CE373" s="776" t="s">
        <v>2127</v>
      </c>
      <c r="CF373" s="776" t="s">
        <v>2127</v>
      </c>
      <c r="CG373" s="776" t="s">
        <v>2127</v>
      </c>
      <c r="CH373" s="776" t="s">
        <v>2127</v>
      </c>
      <c r="CI373" s="776" t="s">
        <v>2127</v>
      </c>
      <c r="CJ373" s="776" t="s">
        <v>2127</v>
      </c>
      <c r="CK373" s="776" t="s">
        <v>2127</v>
      </c>
      <c r="CL373" s="776" t="s">
        <v>2127</v>
      </c>
      <c r="CM373" s="776" t="s">
        <v>2127</v>
      </c>
      <c r="CN373" s="776" t="s">
        <v>2127</v>
      </c>
      <c r="CO373" s="776" t="s">
        <v>2127</v>
      </c>
      <c r="CP373" s="776" t="s">
        <v>2127</v>
      </c>
      <c r="CQ373" s="776" t="s">
        <v>2127</v>
      </c>
      <c r="CR373" s="776" t="s">
        <v>2127</v>
      </c>
      <c r="CS373" s="776" t="s">
        <v>2127</v>
      </c>
      <c r="CT373" s="776" t="s">
        <v>2127</v>
      </c>
      <c r="CU373" s="776" t="s">
        <v>2127</v>
      </c>
      <c r="CV373" s="776" t="s">
        <v>2127</v>
      </c>
      <c r="CW373" s="776" t="s">
        <v>2127</v>
      </c>
      <c r="CX373" s="776" t="s">
        <v>2127</v>
      </c>
      <c r="CY373" s="776" t="s">
        <v>2127</v>
      </c>
      <c r="CZ373" s="776" t="s">
        <v>2127</v>
      </c>
      <c r="DA373" s="776" t="s">
        <v>2127</v>
      </c>
      <c r="DB373" s="776" t="s">
        <v>2127</v>
      </c>
      <c r="DC373" s="776" t="s">
        <v>2127</v>
      </c>
      <c r="DD373" s="776" t="s">
        <v>2127</v>
      </c>
      <c r="DE373" s="776" t="s">
        <v>2127</v>
      </c>
      <c r="DF373" s="776" t="s">
        <v>2127</v>
      </c>
      <c r="DG373" s="776" t="s">
        <v>2127</v>
      </c>
      <c r="DH373" s="776" t="s">
        <v>2127</v>
      </c>
      <c r="DI373" s="776" t="s">
        <v>2127</v>
      </c>
      <c r="DJ373" s="776" t="s">
        <v>2127</v>
      </c>
      <c r="DK373" s="776" t="s">
        <v>2127</v>
      </c>
      <c r="DL373" s="776" t="s">
        <v>2127</v>
      </c>
      <c r="DM373" s="776" t="s">
        <v>2127</v>
      </c>
      <c r="DN373" s="776" t="s">
        <v>2127</v>
      </c>
      <c r="DO373" s="776" t="s">
        <v>2127</v>
      </c>
      <c r="DP373" s="776" t="s">
        <v>2127</v>
      </c>
    </row>
    <row r="374" spans="1:123" x14ac:dyDescent="0.2">
      <c r="A374" s="672"/>
    </row>
    <row r="375" spans="1:123" x14ac:dyDescent="0.2">
      <c r="A375" s="672"/>
    </row>
    <row r="376" spans="1:123" x14ac:dyDescent="0.2">
      <c r="A376" s="670"/>
    </row>
    <row r="377" spans="1:123" x14ac:dyDescent="0.2">
      <c r="A377" s="670"/>
    </row>
    <row r="378" spans="1:123" x14ac:dyDescent="0.2">
      <c r="A378" s="671"/>
    </row>
    <row r="379" spans="1:123" x14ac:dyDescent="0.2">
      <c r="A379" s="671"/>
    </row>
    <row r="380" spans="1:123" x14ac:dyDescent="0.2">
      <c r="A380" s="661"/>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Q104"/>
  <sheetViews>
    <sheetView topLeftCell="D1" workbookViewId="0">
      <selection activeCell="N14" sqref="N14:N20"/>
    </sheetView>
  </sheetViews>
  <sheetFormatPr baseColWidth="10" defaultRowHeight="12.75" x14ac:dyDescent="0.2"/>
  <cols>
    <col min="1" max="1" width="31.7109375" style="352" customWidth="1"/>
    <col min="2" max="2" width="31.7109375" style="714" customWidth="1"/>
    <col min="3" max="3" width="12.140625" style="714" customWidth="1"/>
    <col min="4" max="4" width="41.28515625" customWidth="1"/>
    <col min="5" max="5" width="35.42578125" style="242" customWidth="1"/>
    <col min="6" max="6" width="13.7109375" customWidth="1"/>
    <col min="7" max="7" width="17.28515625" customWidth="1"/>
    <col min="11" max="11" width="15.85546875" customWidth="1"/>
    <col min="12" max="12" width="12.28515625" customWidth="1"/>
    <col min="14" max="15" width="13.28515625" customWidth="1"/>
    <col min="17" max="17" width="15.42578125" customWidth="1"/>
  </cols>
  <sheetData>
    <row r="1" spans="1:17" s="137" customFormat="1" x14ac:dyDescent="0.2">
      <c r="A1" s="882" t="s">
        <v>1884</v>
      </c>
      <c r="B1" s="714"/>
      <c r="C1" s="714"/>
      <c r="D1" s="137">
        <v>1</v>
      </c>
      <c r="E1" s="242">
        <f>COLUMN(E1)-COLUMN($D$1)+1</f>
        <v>2</v>
      </c>
      <c r="F1" s="938">
        <f t="shared" ref="F1:Q1" si="0">COLUMN(F1)-COLUMN($D$1)+1</f>
        <v>3</v>
      </c>
      <c r="G1" s="938">
        <f t="shared" si="0"/>
        <v>4</v>
      </c>
      <c r="H1" s="938">
        <f>COLUMN(H1)-COLUMN($D$1)+1</f>
        <v>5</v>
      </c>
      <c r="I1" s="938">
        <f>COLUMN(I1)-COLUMN($D$1)+1</f>
        <v>6</v>
      </c>
      <c r="J1" s="938">
        <f t="shared" si="0"/>
        <v>7</v>
      </c>
      <c r="K1" s="938">
        <f>COLUMN(K1)-COLUMN($D$1)+1</f>
        <v>8</v>
      </c>
      <c r="L1" s="938">
        <f t="shared" si="0"/>
        <v>9</v>
      </c>
      <c r="M1" s="938">
        <f t="shared" si="0"/>
        <v>10</v>
      </c>
      <c r="N1" s="938">
        <f t="shared" si="0"/>
        <v>11</v>
      </c>
      <c r="O1" s="938">
        <f t="shared" si="0"/>
        <v>12</v>
      </c>
      <c r="P1" s="938">
        <f>COLUMN(P1)-COLUMN($D$1)+1</f>
        <v>13</v>
      </c>
      <c r="Q1" s="938">
        <f t="shared" si="0"/>
        <v>14</v>
      </c>
    </row>
    <row r="2" spans="1:17" s="714" customFormat="1" x14ac:dyDescent="0.2">
      <c r="C2" s="716"/>
      <c r="D2" s="742"/>
    </row>
    <row r="3" spans="1:17" s="714" customFormat="1" x14ac:dyDescent="0.2">
      <c r="C3" s="716"/>
      <c r="D3" s="742"/>
    </row>
    <row r="4" spans="1:17" s="252" customFormat="1" ht="13.5" thickBot="1" x14ac:dyDescent="0.25">
      <c r="A4" s="352"/>
      <c r="B4" s="714"/>
      <c r="C4" s="716" t="s">
        <v>1393</v>
      </c>
      <c r="D4" s="115">
        <f>COUNTIF(Tabelle9[Auswahl],"x")</f>
        <v>0</v>
      </c>
      <c r="E4" s="255" t="s">
        <v>506</v>
      </c>
      <c r="F4" s="255"/>
      <c r="G4" s="938" t="s">
        <v>508</v>
      </c>
      <c r="H4" s="938" t="s">
        <v>525</v>
      </c>
      <c r="I4" s="938" t="s">
        <v>510</v>
      </c>
      <c r="J4" s="938" t="s">
        <v>509</v>
      </c>
      <c r="K4" s="938" t="s">
        <v>507</v>
      </c>
      <c r="L4" s="255" t="s">
        <v>512</v>
      </c>
      <c r="M4" s="255" t="s">
        <v>513</v>
      </c>
      <c r="N4" s="255" t="s">
        <v>514</v>
      </c>
      <c r="O4" s="255" t="s">
        <v>515</v>
      </c>
      <c r="P4" s="632" t="s">
        <v>530</v>
      </c>
    </row>
    <row r="5" spans="1:17" ht="15" x14ac:dyDescent="0.2">
      <c r="D5" s="2"/>
      <c r="E5" s="29"/>
      <c r="F5" s="2"/>
      <c r="G5" s="29"/>
      <c r="H5" s="29"/>
      <c r="I5" s="260" t="s">
        <v>511</v>
      </c>
      <c r="J5" s="258" t="s">
        <v>126</v>
      </c>
      <c r="K5" s="270" t="s">
        <v>505</v>
      </c>
      <c r="L5" s="262" t="s">
        <v>394</v>
      </c>
      <c r="M5" s="263" t="s">
        <v>52</v>
      </c>
      <c r="N5" s="1539" t="s">
        <v>53</v>
      </c>
      <c r="O5" s="1540"/>
      <c r="Q5" s="270"/>
    </row>
    <row r="6" spans="1:17" ht="25.5" x14ac:dyDescent="0.2">
      <c r="A6" s="353" t="s">
        <v>1045</v>
      </c>
      <c r="B6" s="716"/>
      <c r="C6" s="716"/>
      <c r="D6" s="3" t="s">
        <v>497</v>
      </c>
      <c r="E6" s="269" t="s">
        <v>498</v>
      </c>
      <c r="F6" s="3" t="s">
        <v>1108</v>
      </c>
      <c r="G6" s="271" t="s">
        <v>138</v>
      </c>
      <c r="H6" s="28" t="s">
        <v>0</v>
      </c>
      <c r="I6" s="261" t="s">
        <v>13</v>
      </c>
      <c r="J6" s="259" t="s">
        <v>66</v>
      </c>
      <c r="K6" s="271" t="s">
        <v>504</v>
      </c>
      <c r="L6" s="264" t="s">
        <v>516</v>
      </c>
      <c r="M6" s="265" t="s">
        <v>55</v>
      </c>
      <c r="N6" s="266" t="s">
        <v>56</v>
      </c>
      <c r="O6" s="267" t="s">
        <v>57</v>
      </c>
      <c r="Q6" s="272" t="s">
        <v>518</v>
      </c>
    </row>
    <row r="7" spans="1:17" ht="26.25" thickBot="1" x14ac:dyDescent="0.25">
      <c r="B7" s="740" t="s">
        <v>1337</v>
      </c>
      <c r="C7" s="740" t="s">
        <v>1261</v>
      </c>
      <c r="D7" s="1421" t="s">
        <v>1316</v>
      </c>
      <c r="E7" s="269" t="s">
        <v>1281</v>
      </c>
      <c r="F7" s="1421" t="s">
        <v>1108</v>
      </c>
      <c r="G7" s="271" t="s">
        <v>1265</v>
      </c>
      <c r="H7" s="28" t="s">
        <v>0</v>
      </c>
      <c r="I7" s="1422" t="s">
        <v>13</v>
      </c>
      <c r="J7" s="1423" t="s">
        <v>192</v>
      </c>
      <c r="K7" s="1424" t="s">
        <v>1282</v>
      </c>
      <c r="L7" s="1425" t="s">
        <v>296</v>
      </c>
      <c r="M7" s="1426" t="s">
        <v>1179</v>
      </c>
      <c r="N7" s="1426" t="s">
        <v>1283</v>
      </c>
      <c r="O7" s="1427" t="s">
        <v>1284</v>
      </c>
      <c r="P7" s="1428" t="s">
        <v>1263</v>
      </c>
      <c r="Q7" s="269" t="s">
        <v>1285</v>
      </c>
    </row>
    <row r="8" spans="1:17" ht="13.5" thickBot="1" x14ac:dyDescent="0.25">
      <c r="B8" s="53" t="s">
        <v>699</v>
      </c>
      <c r="C8" s="739" t="s">
        <v>315</v>
      </c>
      <c r="D8" s="1430" t="str">
        <f t="shared" ref="D8:D13" si="1">E8</f>
        <v xml:space="preserve"> --    </v>
      </c>
      <c r="E8" s="1430" t="s">
        <v>699</v>
      </c>
      <c r="F8" s="1430" t="s">
        <v>60</v>
      </c>
      <c r="G8" s="505">
        <v>0</v>
      </c>
      <c r="H8" s="1429">
        <v>0</v>
      </c>
      <c r="I8" s="1430" t="str">
        <f>""</f>
        <v/>
      </c>
      <c r="J8" s="505">
        <v>0</v>
      </c>
      <c r="K8" s="505">
        <v>0</v>
      </c>
      <c r="L8" s="1430">
        <v>0</v>
      </c>
      <c r="M8" s="1429">
        <v>1</v>
      </c>
      <c r="N8" s="1429">
        <v>0</v>
      </c>
      <c r="O8" s="1429">
        <v>0</v>
      </c>
      <c r="P8" s="1431">
        <v>0</v>
      </c>
      <c r="Q8" s="505">
        <v>0</v>
      </c>
    </row>
    <row r="9" spans="1:17" s="252" customFormat="1" ht="13.5" thickBot="1" x14ac:dyDescent="0.25">
      <c r="A9" s="254" t="s">
        <v>499</v>
      </c>
      <c r="B9" s="739" t="str" cm="1">
        <f t="array" ref="B9">IFERROR(INDEX(Nebenkultur[Nebenkultur],_xlfn.AGGREGATE(15,6,(ROW(Nebenkultur[Auswahl])-7)/(--(SEARCH("x",Nebenkultur[Auswahl])&gt;0)),ROW()-7),1),"")</f>
        <v xml:space="preserve"> +++Zwischenfrucht++</v>
      </c>
      <c r="C9" s="739" t="str">
        <f>IF(Nebenkultur[[#This Row],[Nebenkultur]]=$D$28,IF($D$4=0,0,"x"),IF($D$4=0,"x",Vorauswahl!AR14))</f>
        <v>x</v>
      </c>
      <c r="D9" s="1439" t="str">
        <f t="shared" si="1"/>
        <v xml:space="preserve"> +++Zwischenfrucht++</v>
      </c>
      <c r="E9" s="1435" t="s">
        <v>1047</v>
      </c>
      <c r="F9" s="1435"/>
      <c r="G9" s="1432">
        <v>0</v>
      </c>
      <c r="H9" s="1433">
        <v>0</v>
      </c>
      <c r="I9" s="404">
        <v>0</v>
      </c>
      <c r="J9" s="1434">
        <v>0</v>
      </c>
      <c r="K9" s="404">
        <v>0</v>
      </c>
      <c r="L9" s="404">
        <v>0</v>
      </c>
      <c r="M9" s="404">
        <v>1</v>
      </c>
      <c r="N9" s="404">
        <v>0</v>
      </c>
      <c r="O9" s="404">
        <v>0</v>
      </c>
      <c r="P9" s="1431">
        <v>0</v>
      </c>
      <c r="Q9" s="505">
        <v>0</v>
      </c>
    </row>
    <row r="10" spans="1:17" s="252" customFormat="1" x14ac:dyDescent="0.2">
      <c r="A10" s="253" t="s">
        <v>500</v>
      </c>
      <c r="B10" s="739" t="str" cm="1">
        <f t="array" ref="B10">IFERROR(INDEX(Nebenkultur[Nebenkultur],_xlfn.AGGREGATE(15,6,(ROW(Nebenkultur[Auswahl])-7)/(--(SEARCH("x",Nebenkultur[Auswahl])&gt;0)),ROW()-7),1),"")</f>
        <v>Zwischenfr. &lt;25 % Leg.</v>
      </c>
      <c r="C10" s="739" t="str">
        <f>IF(Nebenkultur[[#This Row],[Nebenkultur]]=$D$28,IF($D$4=0,0,"x"),IF($D$4=0,"x",Vorauswahl!AR15))</f>
        <v>x</v>
      </c>
      <c r="D10" s="1440" t="str">
        <f t="shared" si="1"/>
        <v>Zwischenfr. &lt;25 % Leg.</v>
      </c>
      <c r="E10" s="505" t="s">
        <v>2411</v>
      </c>
      <c r="F10" s="847" t="s">
        <v>1105</v>
      </c>
      <c r="G10" s="938">
        <v>80</v>
      </c>
      <c r="H10" s="938">
        <v>0.14000000000000001</v>
      </c>
      <c r="I10" s="938">
        <v>150</v>
      </c>
      <c r="J10" s="938">
        <v>0</v>
      </c>
      <c r="K10" s="938">
        <v>1</v>
      </c>
      <c r="L10" s="505">
        <v>0</v>
      </c>
      <c r="M10" s="505">
        <v>1</v>
      </c>
      <c r="N10" s="505">
        <v>0</v>
      </c>
      <c r="O10" s="505">
        <v>0</v>
      </c>
      <c r="P10" s="1431">
        <v>0</v>
      </c>
      <c r="Q10" s="505">
        <v>1</v>
      </c>
    </row>
    <row r="11" spans="1:17" s="252" customFormat="1" x14ac:dyDescent="0.2">
      <c r="A11" s="253" t="s">
        <v>517</v>
      </c>
      <c r="B11" s="739" t="str" cm="1">
        <f t="array" ref="B11">IFERROR(INDEX(Nebenkultur[Nebenkultur],_xlfn.AGGREGATE(15,6,(ROW(Nebenkultur[Auswahl])-7)/(--(SEARCH("x",Nebenkultur[Auswahl])&gt;0)),ROW()-7),1),"")</f>
        <v>Zwischenfr. 25-75 % Leg.</v>
      </c>
      <c r="C11" s="739" t="str">
        <f>IF(Nebenkultur[[#This Row],[Nebenkultur]]=$D$28,IF($D$4=0,0,"x"),IF($D$4=0,"x",Vorauswahl!AR16))</f>
        <v>x</v>
      </c>
      <c r="D11" s="1440" t="str">
        <f>E11</f>
        <v>Zwischenfr. 25-75 % Leg.</v>
      </c>
      <c r="E11" s="505" t="s">
        <v>2412</v>
      </c>
      <c r="F11" s="847" t="s">
        <v>1106</v>
      </c>
      <c r="G11" s="938">
        <v>80</v>
      </c>
      <c r="H11" s="938">
        <v>0.14000000000000001</v>
      </c>
      <c r="I11" s="938">
        <v>150</v>
      </c>
      <c r="J11" s="938">
        <v>0.19</v>
      </c>
      <c r="K11" s="938">
        <v>1</v>
      </c>
      <c r="L11" s="505">
        <v>0</v>
      </c>
      <c r="M11" s="505">
        <v>1</v>
      </c>
      <c r="N11" s="505">
        <v>0</v>
      </c>
      <c r="O11" s="505">
        <v>0</v>
      </c>
      <c r="P11" s="1431">
        <v>0</v>
      </c>
      <c r="Q11" s="505">
        <v>1</v>
      </c>
    </row>
    <row r="12" spans="1:17" s="252" customFormat="1" ht="13.5" thickBot="1" x14ac:dyDescent="0.25">
      <c r="A12" s="253" t="s">
        <v>501</v>
      </c>
      <c r="B12" s="739" t="str" cm="1">
        <f t="array" ref="B12">IFERROR(INDEX(Nebenkultur[Nebenkultur],_xlfn.AGGREGATE(15,6,(ROW(Nebenkultur[Auswahl])-7)/(--(SEARCH("x",Nebenkultur[Auswahl])&gt;0)),ROW()-7),1),"")</f>
        <v>Zwischenfr. &gt;75 % Leg.</v>
      </c>
      <c r="C12" s="739" t="str">
        <f>IF(Nebenkultur[[#This Row],[Nebenkultur]]=$D$28,IF($D$4=0,0,"x"),IF($D$4=0,"x",Vorauswahl!AR17))</f>
        <v>x</v>
      </c>
      <c r="D12" s="1440" t="str">
        <f t="shared" si="1"/>
        <v>Zwischenfr. &gt;75 % Leg.</v>
      </c>
      <c r="E12" s="505" t="s">
        <v>2413</v>
      </c>
      <c r="F12" s="847" t="s">
        <v>1107</v>
      </c>
      <c r="G12" s="938">
        <v>80</v>
      </c>
      <c r="H12" s="938">
        <v>0.14000000000000001</v>
      </c>
      <c r="I12" s="938">
        <v>150</v>
      </c>
      <c r="J12" s="938">
        <v>0.38</v>
      </c>
      <c r="K12" s="938">
        <v>1</v>
      </c>
      <c r="L12" s="505">
        <v>0</v>
      </c>
      <c r="M12" s="505">
        <v>1</v>
      </c>
      <c r="N12" s="505">
        <v>0</v>
      </c>
      <c r="O12" s="505">
        <v>0</v>
      </c>
      <c r="P12" s="1431">
        <v>0</v>
      </c>
      <c r="Q12" s="505">
        <v>2</v>
      </c>
    </row>
    <row r="13" spans="1:17" ht="13.5" thickBot="1" x14ac:dyDescent="0.25">
      <c r="A13" s="268" t="s">
        <v>502</v>
      </c>
      <c r="B13" s="739" t="str" cm="1">
        <f t="array" ref="B13">IFERROR(INDEX(Nebenkultur[Nebenkultur],_xlfn.AGGREGATE(15,6,(ROW(Nebenkultur[Auswahl])-7)/(--(SEARCH("x",Nebenkultur[Auswahl])&gt;0)),ROW()-7),1),"")</f>
        <v xml:space="preserve"> +++Zweitfr. (2. HF)+++</v>
      </c>
      <c r="C13" s="739" t="str">
        <f>IF(Nebenkultur[[#This Row],[Nebenkultur]]=$D$28,IF($D$4=0,0,"x"),IF($D$4=0,"x",Vorauswahl!AR18))</f>
        <v>x</v>
      </c>
      <c r="D13" s="1430" t="str">
        <f t="shared" si="1"/>
        <v xml:space="preserve"> +++Zweitfr. (2. HF)+++</v>
      </c>
      <c r="E13" s="1435" t="s">
        <v>1046</v>
      </c>
      <c r="F13" s="1435"/>
      <c r="G13" s="404">
        <v>0</v>
      </c>
      <c r="H13" s="1435">
        <v>0</v>
      </c>
      <c r="I13" s="1435">
        <v>0</v>
      </c>
      <c r="J13" s="1435">
        <v>0</v>
      </c>
      <c r="K13" s="404">
        <v>0</v>
      </c>
      <c r="L13" s="1435">
        <v>0</v>
      </c>
      <c r="M13" s="1435">
        <v>1</v>
      </c>
      <c r="N13" s="1435">
        <v>0</v>
      </c>
      <c r="O13" s="1435">
        <v>0</v>
      </c>
      <c r="P13" s="1431">
        <v>0</v>
      </c>
      <c r="Q13" s="505">
        <v>0</v>
      </c>
    </row>
    <row r="14" spans="1:17" x14ac:dyDescent="0.2">
      <c r="A14" s="253" t="s">
        <v>1871</v>
      </c>
      <c r="B14" s="739" t="str" cm="1">
        <f t="array" ref="B14">IFERROR(INDEX(Nebenkultur[Nebenkultur],_xlfn.AGGREGATE(15,6,(ROW(Nebenkultur[Auswahl])-7)/(--(SEARCH("x",Nebenkultur[Auswahl])&gt;0)),ROW()-7),1),"")</f>
        <v>ZF: Weidelgras &lt;30 % Leg.</v>
      </c>
      <c r="C14" s="739" t="str">
        <f>IF(Nebenkultur[[#This Row],[Nebenkultur]]=$D$28,IF($D$4=0,0,"x"),IF($D$4=0,"x",Vorauswahl!AR19))</f>
        <v>x</v>
      </c>
      <c r="D14" s="1440" t="str">
        <f>CONCATENATE("ZF: ",E14)</f>
        <v>ZF: Weidelgras &lt;30 % Leg.</v>
      </c>
      <c r="E14" s="505" t="s">
        <v>2407</v>
      </c>
      <c r="F14" s="1378" t="s">
        <v>1109</v>
      </c>
      <c r="G14" s="505">
        <v>70</v>
      </c>
      <c r="H14" s="505">
        <v>0.16</v>
      </c>
      <c r="I14" s="505">
        <v>250</v>
      </c>
      <c r="J14" s="505">
        <v>0</v>
      </c>
      <c r="K14" s="505">
        <v>2</v>
      </c>
      <c r="L14" s="505">
        <v>133</v>
      </c>
      <c r="M14" s="505">
        <v>10</v>
      </c>
      <c r="N14" s="505">
        <v>5.3</v>
      </c>
      <c r="O14" s="505">
        <v>0</v>
      </c>
      <c r="P14" s="601">
        <v>5</v>
      </c>
      <c r="Q14" s="505">
        <v>0</v>
      </c>
    </row>
    <row r="15" spans="1:17" x14ac:dyDescent="0.2">
      <c r="A15" s="225" t="s">
        <v>1872</v>
      </c>
      <c r="B15" s="739" t="str" cm="1">
        <f t="array" ref="B15">IFERROR(INDEX(Nebenkultur[Nebenkultur],_xlfn.AGGREGATE(15,6,(ROW(Nebenkultur[Auswahl])-7)/(--(SEARCH("x",Nebenkultur[Auswahl])&gt;0)),ROW()-7),1),"")</f>
        <v>ZF: Kleegras 30 - 70 % Leg.</v>
      </c>
      <c r="C15" s="739" t="str">
        <f>IF(Nebenkultur[[#This Row],[Nebenkultur]]=$D$28,IF($D$4=0,0,"x"),IF($D$4=0,"x",Vorauswahl!AR20))</f>
        <v>x</v>
      </c>
      <c r="D15" s="1440" t="str">
        <f t="shared" ref="D15:D20" si="2">CONCATENATE("ZF: ",E15)</f>
        <v>ZF: Kleegras 30 - 70 % Leg.</v>
      </c>
      <c r="E15" s="505" t="s">
        <v>2408</v>
      </c>
      <c r="F15" s="291" t="s">
        <v>1220</v>
      </c>
      <c r="G15" s="505">
        <v>70</v>
      </c>
      <c r="H15" s="505">
        <v>0.14000000000000001</v>
      </c>
      <c r="I15" s="505">
        <v>250</v>
      </c>
      <c r="J15" s="505">
        <v>0.33</v>
      </c>
      <c r="K15" s="505">
        <v>2</v>
      </c>
      <c r="L15" s="505">
        <v>145</v>
      </c>
      <c r="M15" s="505">
        <v>10</v>
      </c>
      <c r="N15" s="505">
        <v>5.8</v>
      </c>
      <c r="O15" s="505">
        <v>0</v>
      </c>
      <c r="P15" s="601">
        <v>5</v>
      </c>
      <c r="Q15" s="505">
        <v>0</v>
      </c>
    </row>
    <row r="16" spans="1:17" x14ac:dyDescent="0.2">
      <c r="A16" s="225" t="s">
        <v>1873</v>
      </c>
      <c r="B16" s="739" t="str" cm="1">
        <f t="array" ref="B16">IFERROR(INDEX(Nebenkultur[Nebenkultur],_xlfn.AGGREGATE(15,6,(ROW(Nebenkultur[Auswahl])-7)/(--(SEARCH("x",Nebenkultur[Auswahl])&gt;0)),ROW()-7),1),"")</f>
        <v>ZF: Kleegras &gt;70 % Leg.</v>
      </c>
      <c r="C16" s="739" t="str">
        <f>IF(Nebenkultur[[#This Row],[Nebenkultur]]=$D$28,IF($D$4=0,0,"x"),IF($D$4=0,"x",Vorauswahl!AR21))</f>
        <v>x</v>
      </c>
      <c r="D16" s="1440" t="str">
        <f t="shared" si="2"/>
        <v>ZF: Kleegras &gt;70 % Leg.</v>
      </c>
      <c r="E16" s="505" t="s">
        <v>2409</v>
      </c>
      <c r="F16" s="291" t="s">
        <v>1876</v>
      </c>
      <c r="G16" s="505">
        <v>70</v>
      </c>
      <c r="H16" s="505">
        <v>0.13</v>
      </c>
      <c r="I16" s="505">
        <v>250</v>
      </c>
      <c r="J16" s="505">
        <v>0.65</v>
      </c>
      <c r="K16" s="505">
        <v>2</v>
      </c>
      <c r="L16" s="505">
        <v>0</v>
      </c>
      <c r="M16" s="505">
        <v>10</v>
      </c>
      <c r="N16" s="505">
        <v>0</v>
      </c>
      <c r="O16" s="505">
        <v>0</v>
      </c>
      <c r="P16" s="601">
        <v>5</v>
      </c>
      <c r="Q16" s="505">
        <v>0</v>
      </c>
    </row>
    <row r="17" spans="1:17" x14ac:dyDescent="0.2">
      <c r="A17" s="253" t="s">
        <v>1874</v>
      </c>
      <c r="B17" s="739" t="str" cm="1">
        <f t="array" ref="B17">IFERROR(INDEX(Nebenkultur[Nebenkultur],_xlfn.AGGREGATE(15,6,(ROW(Nebenkultur[Auswahl])-7)/(--(SEARCH("x",Nebenkultur[Auswahl])&gt;0)),ROW()-7),1),"")</f>
        <v>ZF: GPS Getreide</v>
      </c>
      <c r="C17" s="739" t="str">
        <f>IF(Nebenkultur[[#This Row],[Nebenkultur]]=$D$28,IF($D$4=0,0,"x"),IF($D$4=0,"x",Vorauswahl!AR22))</f>
        <v>x</v>
      </c>
      <c r="D17" s="1440" t="str">
        <f t="shared" si="2"/>
        <v>ZF: GPS Getreide</v>
      </c>
      <c r="E17" s="505" t="s">
        <v>1868</v>
      </c>
      <c r="F17" s="291" t="s">
        <v>1879</v>
      </c>
      <c r="G17" s="505">
        <v>70</v>
      </c>
      <c r="H17" s="505">
        <v>0.2</v>
      </c>
      <c r="I17" s="505">
        <v>250</v>
      </c>
      <c r="J17" s="505">
        <v>0</v>
      </c>
      <c r="K17" s="505">
        <v>1</v>
      </c>
      <c r="L17" s="505">
        <v>120</v>
      </c>
      <c r="M17" s="505">
        <v>10</v>
      </c>
      <c r="N17" s="505">
        <v>4.8</v>
      </c>
      <c r="O17" s="505">
        <v>0</v>
      </c>
      <c r="P17" s="601">
        <v>5</v>
      </c>
      <c r="Q17" s="505">
        <v>0</v>
      </c>
    </row>
    <row r="18" spans="1:17" x14ac:dyDescent="0.2">
      <c r="A18" s="253" t="s">
        <v>1869</v>
      </c>
      <c r="B18" s="739" t="str" cm="1">
        <f t="array" ref="B18">IFERROR(INDEX(Nebenkultur[Nebenkultur],_xlfn.AGGREGATE(15,6,(ROW(Nebenkultur[Auswahl])-7)/(--(SEARCH("x",Nebenkultur[Auswahl])&gt;0)),ROW()-7),1),"")</f>
        <v>ZF: Sonstige GPS, Hanf</v>
      </c>
      <c r="C18" s="739" t="str">
        <f>IF(Nebenkultur[[#This Row],[Nebenkultur]]=$D$28,IF($D$4=0,0,"x"),IF($D$4=0,"x",Vorauswahl!AR23))</f>
        <v>x</v>
      </c>
      <c r="D18" s="1440" t="str">
        <f t="shared" si="2"/>
        <v>ZF: Sonstige GPS, Hanf</v>
      </c>
      <c r="E18" s="505" t="s">
        <v>1869</v>
      </c>
      <c r="F18" s="1378" t="s">
        <v>1880</v>
      </c>
      <c r="G18" s="505">
        <v>70</v>
      </c>
      <c r="H18" s="505">
        <v>0.13</v>
      </c>
      <c r="I18" s="505">
        <v>200</v>
      </c>
      <c r="J18" s="505">
        <v>0</v>
      </c>
      <c r="K18" s="505">
        <v>1</v>
      </c>
      <c r="L18" s="505">
        <v>64</v>
      </c>
      <c r="M18" s="505">
        <v>10</v>
      </c>
      <c r="N18" s="505">
        <v>3.2</v>
      </c>
      <c r="O18" s="505">
        <v>0</v>
      </c>
      <c r="P18" s="601">
        <v>5</v>
      </c>
      <c r="Q18" s="505">
        <v>0</v>
      </c>
    </row>
    <row r="19" spans="1:17" x14ac:dyDescent="0.2">
      <c r="A19" s="253" t="s">
        <v>1875</v>
      </c>
      <c r="B19" s="739" t="str" cm="1">
        <f t="array" ref="B19">IFERROR(INDEX(Nebenkultur[Nebenkultur],_xlfn.AGGREGATE(15,6,(ROW(Nebenkultur[Auswahl])-7)/(--(SEARCH("x",Nebenkultur[Auswahl])&gt;0)),ROW()-7),1),"")</f>
        <v>ZF: Druschfr. max. 50 % Leg.</v>
      </c>
      <c r="C19" s="739" t="str">
        <f>IF(Nebenkultur[[#This Row],[Nebenkultur]]=$D$28,IF($D$4=0,0,"x"),IF($D$4=0,"x",Vorauswahl!AR24))</f>
        <v>x</v>
      </c>
      <c r="D19" s="1440" t="str">
        <f t="shared" si="2"/>
        <v>ZF: Druschfr. max. 50 % Leg.</v>
      </c>
      <c r="E19" s="505" t="s">
        <v>2410</v>
      </c>
      <c r="F19" s="1378" t="s">
        <v>1877</v>
      </c>
      <c r="G19" s="505">
        <v>70</v>
      </c>
      <c r="H19" s="505">
        <v>0.65</v>
      </c>
      <c r="I19" s="505">
        <v>25</v>
      </c>
      <c r="J19" s="505">
        <v>0</v>
      </c>
      <c r="K19" s="505">
        <v>1</v>
      </c>
      <c r="L19" s="505">
        <v>58</v>
      </c>
      <c r="M19" s="505">
        <v>5</v>
      </c>
      <c r="N19" s="505">
        <v>10</v>
      </c>
      <c r="O19" s="505">
        <v>0</v>
      </c>
      <c r="P19" s="601">
        <v>5</v>
      </c>
      <c r="Q19" s="505">
        <v>0</v>
      </c>
    </row>
    <row r="20" spans="1:17" x14ac:dyDescent="0.2">
      <c r="A20" s="1377" t="s">
        <v>1870</v>
      </c>
      <c r="B20" s="739" t="str" cm="1">
        <f t="array" ref="B20">IFERROR(INDEX(Nebenkultur[Nebenkultur],_xlfn.AGGREGATE(15,6,(ROW(Nebenkultur[Auswahl])-7)/(--(SEARCH("x",Nebenkultur[Auswahl])&gt;0)),ROW()-7),1),"")</f>
        <v>ZF: Küchenkräuter</v>
      </c>
      <c r="C20" s="739" t="str">
        <f>IF(Nebenkultur[[#This Row],[Nebenkultur]]=$D$28,IF($D$4=0,0,"x"),IF($D$4=0,"x",Vorauswahl!AR25))</f>
        <v>x</v>
      </c>
      <c r="D20" s="1440" t="str">
        <f t="shared" si="2"/>
        <v>ZF: Küchenkräuter</v>
      </c>
      <c r="E20" s="505" t="s">
        <v>1870</v>
      </c>
      <c r="F20" s="1378" t="s">
        <v>1878</v>
      </c>
      <c r="G20" s="505">
        <v>70</v>
      </c>
      <c r="H20" s="505">
        <v>9.1999999999999998E-2</v>
      </c>
      <c r="I20" s="505">
        <v>140</v>
      </c>
      <c r="J20" s="505">
        <v>0</v>
      </c>
      <c r="K20" s="505">
        <v>1</v>
      </c>
      <c r="L20" s="505">
        <v>90</v>
      </c>
      <c r="M20" s="505">
        <v>10</v>
      </c>
      <c r="N20" s="505">
        <v>5</v>
      </c>
      <c r="O20" s="505">
        <v>0</v>
      </c>
      <c r="P20" s="601">
        <v>1</v>
      </c>
      <c r="Q20" s="505">
        <v>0</v>
      </c>
    </row>
    <row r="21" spans="1:17" x14ac:dyDescent="0.2">
      <c r="B21" s="739" t="str" cm="1">
        <f t="array" ref="B21">IFERROR(INDEX(Nebenkultur[Nebenkultur],_xlfn.AGGREGATE(15,6,(ROW(Nebenkultur[Auswahl])-7)/(--(SEARCH("x",Nebenkultur[Auswahl])&gt;0)),ROW()-7),1),"")</f>
        <v/>
      </c>
      <c r="C21" s="739">
        <v>0</v>
      </c>
      <c r="D21" s="1430" t="str">
        <f>E21</f>
        <v xml:space="preserve"> +++ eigene Kulturen +++</v>
      </c>
      <c r="E21" s="1441" t="s">
        <v>519</v>
      </c>
      <c r="F21" s="1437"/>
      <c r="G21" s="505">
        <v>0</v>
      </c>
      <c r="H21" s="1436">
        <v>0</v>
      </c>
      <c r="I21" s="1437">
        <v>0</v>
      </c>
      <c r="J21" s="505">
        <v>0</v>
      </c>
      <c r="K21" s="129">
        <v>0</v>
      </c>
      <c r="L21" s="1438">
        <v>0</v>
      </c>
      <c r="M21" s="1438">
        <v>1</v>
      </c>
      <c r="N21" s="1438">
        <v>0</v>
      </c>
      <c r="O21" s="1438">
        <v>0</v>
      </c>
      <c r="P21" s="1431">
        <v>3</v>
      </c>
      <c r="Q21" s="505">
        <v>0</v>
      </c>
    </row>
    <row r="22" spans="1:17" x14ac:dyDescent="0.2">
      <c r="A22" s="1198"/>
      <c r="B22" s="739" t="str" cm="1">
        <f t="array" ref="B22">IFERROR(INDEX(Nebenkultur[Nebenkultur],_xlfn.AGGREGATE(15,6,(ROW(Nebenkultur[Auswahl])-7)/(--(SEARCH("x",Nebenkultur[Auswahl])&gt;0)),ROW()-7),1),"")</f>
        <v/>
      </c>
      <c r="C22" s="739" t="str">
        <f>Vorauswahl!AR32</f>
        <v/>
      </c>
      <c r="D22" s="1440" t="str">
        <f>IF(E22="#","#",CONCATENATE("Z",Vorauswahl!AQ32,": ",E22))</f>
        <v>#</v>
      </c>
      <c r="E22" s="1442" t="str">
        <f>IF(Vorauswahl!BB32="OK",Vorauswahl!AS32,"#")</f>
        <v>#</v>
      </c>
      <c r="F22" s="1431" t="s">
        <v>1098</v>
      </c>
      <c r="G22" s="505">
        <v>70</v>
      </c>
      <c r="H22" s="1437">
        <f>Vorauswahl!AY32</f>
        <v>0</v>
      </c>
      <c r="I22" s="1437">
        <f>Vorauswahl!AT32</f>
        <v>0</v>
      </c>
      <c r="J22" s="1443">
        <f>Vorauswahl!AZ32</f>
        <v>0</v>
      </c>
      <c r="K22" s="1437">
        <f>IF(Vorauswahl!BA32='#Boden'!$G$31,2,1)</f>
        <v>1</v>
      </c>
      <c r="L22" s="1437">
        <f>Vorauswahl!AU32</f>
        <v>0</v>
      </c>
      <c r="M22" s="1437">
        <f>IF(Vorauswahl!AV32="",10,Vorauswahl!AV32)</f>
        <v>10</v>
      </c>
      <c r="N22" s="1437">
        <f>Vorauswahl!AW32</f>
        <v>0</v>
      </c>
      <c r="O22" s="1437">
        <f>Vorauswahl!AX32</f>
        <v>0</v>
      </c>
      <c r="P22" s="1431">
        <v>3</v>
      </c>
      <c r="Q22" s="505">
        <v>0</v>
      </c>
    </row>
    <row r="23" spans="1:17" x14ac:dyDescent="0.2">
      <c r="B23" s="739" t="str" cm="1">
        <f t="array" ref="B23">IFERROR(INDEX(Nebenkultur[Nebenkultur],_xlfn.AGGREGATE(15,6,(ROW(Nebenkultur[Auswahl])-7)/(--(SEARCH("x",Nebenkultur[Auswahl])&gt;0)),ROW()-7),1),"")</f>
        <v/>
      </c>
      <c r="C23" s="739" t="str">
        <f>Vorauswahl!AR33</f>
        <v/>
      </c>
      <c r="D23" s="1440" t="str">
        <f>IF(E23="#","#",CONCATENATE("Z",Vorauswahl!AQ33,": ",E23))</f>
        <v>#</v>
      </c>
      <c r="E23" s="1442" t="str">
        <f>IF(Vorauswahl!BB33="OK",Vorauswahl!AS33,"#")</f>
        <v>#</v>
      </c>
      <c r="F23" s="1431" t="s">
        <v>1099</v>
      </c>
      <c r="G23" s="505">
        <v>70</v>
      </c>
      <c r="H23" s="1437">
        <f>Vorauswahl!AY33</f>
        <v>0</v>
      </c>
      <c r="I23" s="1437">
        <f>Vorauswahl!AT33</f>
        <v>0</v>
      </c>
      <c r="J23" s="1443">
        <f>Vorauswahl!AZ33</f>
        <v>0</v>
      </c>
      <c r="K23" s="1437">
        <f>IF(Vorauswahl!BA33='#Boden'!$G$31,2,1)</f>
        <v>1</v>
      </c>
      <c r="L23" s="1437">
        <f>Vorauswahl!AU33</f>
        <v>0</v>
      </c>
      <c r="M23" s="1437">
        <f>IF(Vorauswahl!AV33="",10,Vorauswahl!AV33)</f>
        <v>10</v>
      </c>
      <c r="N23" s="1437">
        <f>Vorauswahl!AW33</f>
        <v>0</v>
      </c>
      <c r="O23" s="1437">
        <f>Vorauswahl!AX33</f>
        <v>0</v>
      </c>
      <c r="P23" s="1431">
        <v>3</v>
      </c>
      <c r="Q23" s="505">
        <v>0</v>
      </c>
    </row>
    <row r="24" spans="1:17" x14ac:dyDescent="0.2">
      <c r="B24" s="739" t="str" cm="1">
        <f t="array" ref="B24">IFERROR(INDEX(Nebenkultur[Nebenkultur],_xlfn.AGGREGATE(15,6,(ROW(Nebenkultur[Auswahl])-7)/(--(SEARCH("x",Nebenkultur[Auswahl])&gt;0)),ROW()-7),1),"")</f>
        <v/>
      </c>
      <c r="C24" s="739" t="str">
        <f>Vorauswahl!AR34</f>
        <v/>
      </c>
      <c r="D24" s="1440" t="str">
        <f>IF(E24="#","#",CONCATENATE("Z",Vorauswahl!AQ34,": ",E24))</f>
        <v>#</v>
      </c>
      <c r="E24" s="1442" t="str">
        <f>IF(Vorauswahl!BB34="OK",Vorauswahl!AS34,"#")</f>
        <v>#</v>
      </c>
      <c r="F24" s="1431" t="s">
        <v>1100</v>
      </c>
      <c r="G24" s="505">
        <v>70</v>
      </c>
      <c r="H24" s="1437">
        <f>Vorauswahl!AY34</f>
        <v>0</v>
      </c>
      <c r="I24" s="1437">
        <f>Vorauswahl!AT34</f>
        <v>0</v>
      </c>
      <c r="J24" s="1443">
        <f>Vorauswahl!AZ34</f>
        <v>0</v>
      </c>
      <c r="K24" s="1437">
        <f>IF(Vorauswahl!BA34='#Boden'!$G$31,2,1)</f>
        <v>1</v>
      </c>
      <c r="L24" s="1437">
        <f>Vorauswahl!AU34</f>
        <v>0</v>
      </c>
      <c r="M24" s="1437">
        <f>IF(Vorauswahl!AV34="",10,Vorauswahl!AV34)</f>
        <v>10</v>
      </c>
      <c r="N24" s="1437">
        <f>Vorauswahl!AW34</f>
        <v>0</v>
      </c>
      <c r="O24" s="1437">
        <f>Vorauswahl!AX34</f>
        <v>0</v>
      </c>
      <c r="P24" s="1431">
        <v>3</v>
      </c>
      <c r="Q24" s="505">
        <v>0</v>
      </c>
    </row>
    <row r="25" spans="1:17" x14ac:dyDescent="0.2">
      <c r="B25" s="739" t="str" cm="1">
        <f t="array" ref="B25">IFERROR(INDEX(Nebenkultur[Nebenkultur],_xlfn.AGGREGATE(15,6,(ROW(Nebenkultur[Auswahl])-7)/(--(SEARCH("x",Nebenkultur[Auswahl])&gt;0)),ROW()-7),1),"")</f>
        <v/>
      </c>
      <c r="C25" s="739" t="str">
        <f>Vorauswahl!AR35</f>
        <v/>
      </c>
      <c r="D25" s="1440" t="str">
        <f>IF(E25="#","#",CONCATENATE("Z",Vorauswahl!AQ35,": ",E25))</f>
        <v>#</v>
      </c>
      <c r="E25" s="1442" t="str">
        <f>IF(Vorauswahl!BB35="OK",Vorauswahl!AS35,"#")</f>
        <v>#</v>
      </c>
      <c r="F25" s="1431" t="s">
        <v>1101</v>
      </c>
      <c r="G25" s="505">
        <v>70</v>
      </c>
      <c r="H25" s="1437">
        <f>Vorauswahl!AY35</f>
        <v>0</v>
      </c>
      <c r="I25" s="1437">
        <f>Vorauswahl!AT35</f>
        <v>0</v>
      </c>
      <c r="J25" s="1443">
        <f>Vorauswahl!AZ35</f>
        <v>0</v>
      </c>
      <c r="K25" s="1437">
        <f>IF(Vorauswahl!BA35='#Boden'!$G$31,2,1)</f>
        <v>1</v>
      </c>
      <c r="L25" s="1437">
        <f>Vorauswahl!AU35</f>
        <v>0</v>
      </c>
      <c r="M25" s="1437">
        <f>IF(Vorauswahl!AV35="",10,Vorauswahl!AV35)</f>
        <v>10</v>
      </c>
      <c r="N25" s="1437">
        <f>Vorauswahl!AW35</f>
        <v>0</v>
      </c>
      <c r="O25" s="1437">
        <f>Vorauswahl!AX35</f>
        <v>0</v>
      </c>
      <c r="P25" s="1431">
        <v>3</v>
      </c>
      <c r="Q25" s="505">
        <v>0</v>
      </c>
    </row>
    <row r="26" spans="1:17" x14ac:dyDescent="0.2">
      <c r="B26" s="739" t="str" cm="1">
        <f t="array" ref="B26">IFERROR(INDEX(Nebenkultur[Nebenkultur],_xlfn.AGGREGATE(15,6,(ROW(Nebenkultur[Auswahl])-7)/(--(SEARCH("x",Nebenkultur[Auswahl])&gt;0)),ROW()-7),1),"")</f>
        <v/>
      </c>
      <c r="C26" s="739" t="str">
        <f>Vorauswahl!AR36</f>
        <v/>
      </c>
      <c r="D26" s="1440" t="str">
        <f>IF(E26="#","#",CONCATENATE("Z",Vorauswahl!AQ36,": ",E26))</f>
        <v>#</v>
      </c>
      <c r="E26" s="1442" t="str">
        <f>IF(Vorauswahl!BB36="OK",Vorauswahl!AS36,"#")</f>
        <v>#</v>
      </c>
      <c r="F26" s="1431" t="s">
        <v>1102</v>
      </c>
      <c r="G26" s="505">
        <v>70</v>
      </c>
      <c r="H26" s="1437">
        <f>Vorauswahl!AY36</f>
        <v>0</v>
      </c>
      <c r="I26" s="1437">
        <f>Vorauswahl!AT36</f>
        <v>0</v>
      </c>
      <c r="J26" s="1443">
        <f>Vorauswahl!AZ36</f>
        <v>0</v>
      </c>
      <c r="K26" s="1437">
        <f>IF(Vorauswahl!BA36='#Boden'!$G$31,2,1)</f>
        <v>1</v>
      </c>
      <c r="L26" s="1437">
        <f>Vorauswahl!AU36</f>
        <v>0</v>
      </c>
      <c r="M26" s="1437">
        <f>IF(Vorauswahl!AV36="",10,Vorauswahl!AV36)</f>
        <v>10</v>
      </c>
      <c r="N26" s="1437">
        <f>Vorauswahl!AW36</f>
        <v>0</v>
      </c>
      <c r="O26" s="1437">
        <f>Vorauswahl!AX36</f>
        <v>0</v>
      </c>
      <c r="P26" s="1431">
        <v>3</v>
      </c>
      <c r="Q26" s="505">
        <v>0</v>
      </c>
    </row>
    <row r="27" spans="1:17" x14ac:dyDescent="0.2">
      <c r="B27" s="739" t="str" cm="1">
        <f t="array" ref="B27">IFERROR(INDEX(Nebenkultur[Nebenkultur],_xlfn.AGGREGATE(15,6,(ROW(Nebenkultur[Auswahl])-7)/(--(SEARCH("x",Nebenkultur[Auswahl])&gt;0)),ROW()-7),1),"")</f>
        <v/>
      </c>
      <c r="C27" s="739" t="str">
        <f>Vorauswahl!AR37</f>
        <v/>
      </c>
      <c r="D27" s="1440" t="str">
        <f>IF(E27="#","#",CONCATENATE("Z",Vorauswahl!AQ37,": ",E27))</f>
        <v>#</v>
      </c>
      <c r="E27" s="1442" t="str">
        <f>IF(Vorauswahl!BB37="OK",Vorauswahl!AS37,"#")</f>
        <v>#</v>
      </c>
      <c r="F27" s="1431" t="s">
        <v>1103</v>
      </c>
      <c r="G27" s="505">
        <v>70</v>
      </c>
      <c r="H27" s="1437">
        <f>Vorauswahl!AY37</f>
        <v>0</v>
      </c>
      <c r="I27" s="1437">
        <f>Vorauswahl!AT37</f>
        <v>0</v>
      </c>
      <c r="J27" s="1443">
        <f>Vorauswahl!AZ37</f>
        <v>0</v>
      </c>
      <c r="K27" s="1437">
        <f>IF(Vorauswahl!BA37='#Boden'!$G$31,2,1)</f>
        <v>1</v>
      </c>
      <c r="L27" s="1437">
        <f>Vorauswahl!AU37</f>
        <v>0</v>
      </c>
      <c r="M27" s="1437">
        <f>IF(Vorauswahl!AV37="",10,Vorauswahl!AV37)</f>
        <v>10</v>
      </c>
      <c r="N27" s="1437">
        <f>Vorauswahl!AW37</f>
        <v>0</v>
      </c>
      <c r="O27" s="1437">
        <f>Vorauswahl!AX37</f>
        <v>0</v>
      </c>
      <c r="P27" s="1431">
        <v>3</v>
      </c>
      <c r="Q27" s="505">
        <v>0</v>
      </c>
    </row>
    <row r="28" spans="1:17" x14ac:dyDescent="0.2">
      <c r="B28" s="739" t="str" cm="1">
        <f t="array" ref="B28">IFERROR(INDEX(Nebenkultur[Nebenkultur],_xlfn.AGGREGATE(15,6,(ROW(Nebenkultur[Auswahl])-7)/(--(SEARCH("x",Nebenkultur[Auswahl])&gt;0)),ROW()-7),1),"")</f>
        <v/>
      </c>
      <c r="C28" s="739">
        <f>IF(Nebenkultur[[#This Row],[Nebenkultur]]=$D$28,IF($D$4=0,0,"x"),IF($D$4=0,"x",Vorauswahl!AR33))</f>
        <v>0</v>
      </c>
      <c r="D28" s="1440" t="s">
        <v>1498</v>
      </c>
      <c r="E28" s="1442"/>
      <c r="F28" s="1431"/>
      <c r="G28" s="505">
        <v>70</v>
      </c>
      <c r="H28" s="1431">
        <v>0</v>
      </c>
      <c r="I28" s="1431">
        <v>0</v>
      </c>
      <c r="J28" s="1443">
        <v>0</v>
      </c>
      <c r="K28" s="1431">
        <v>1</v>
      </c>
      <c r="L28" s="1431">
        <v>0</v>
      </c>
      <c r="M28" s="1431">
        <v>10</v>
      </c>
      <c r="N28" s="1431">
        <v>0</v>
      </c>
      <c r="O28" s="1431">
        <v>0</v>
      </c>
      <c r="P28" s="1431">
        <v>3</v>
      </c>
      <c r="Q28" s="505">
        <v>0</v>
      </c>
    </row>
    <row r="29" spans="1:17" x14ac:dyDescent="0.2">
      <c r="B29" s="739"/>
      <c r="C29" s="739"/>
      <c r="D29" s="778"/>
      <c r="E29" s="777"/>
      <c r="F29" s="779"/>
      <c r="H29" s="739"/>
      <c r="I29" s="739"/>
      <c r="J29" s="367"/>
      <c r="K29" s="739"/>
      <c r="L29" s="739"/>
      <c r="M29" s="739"/>
      <c r="N29" s="739"/>
      <c r="O29" s="739"/>
      <c r="P29" s="739"/>
    </row>
    <row r="30" spans="1:17" x14ac:dyDescent="0.2">
      <c r="D30" s="19"/>
      <c r="F30" s="19"/>
      <c r="H30" s="16"/>
      <c r="I30" s="21"/>
      <c r="L30" s="21"/>
      <c r="M30" s="22"/>
      <c r="N30" s="22"/>
      <c r="O30" s="22"/>
    </row>
    <row r="31" spans="1:17" x14ac:dyDescent="0.2">
      <c r="D31" s="19"/>
      <c r="F31" s="19"/>
      <c r="H31" s="16"/>
      <c r="I31" s="21"/>
      <c r="L31" s="21"/>
      <c r="M31" s="22"/>
      <c r="N31" s="22"/>
      <c r="O31" s="22"/>
    </row>
    <row r="32" spans="1:17" x14ac:dyDescent="0.2">
      <c r="D32" s="19"/>
      <c r="E32" s="415"/>
      <c r="F32" s="19"/>
      <c r="H32" s="16"/>
      <c r="I32" s="21"/>
      <c r="L32" s="21"/>
      <c r="M32" s="22"/>
      <c r="N32" s="22"/>
      <c r="O32" s="22"/>
    </row>
    <row r="33" spans="4:15" x14ac:dyDescent="0.2">
      <c r="D33" s="19"/>
      <c r="F33" s="19"/>
      <c r="H33" s="16"/>
      <c r="I33" s="21"/>
      <c r="L33" s="21"/>
      <c r="M33" s="22"/>
      <c r="N33" s="22"/>
      <c r="O33" s="22"/>
    </row>
    <row r="34" spans="4:15" x14ac:dyDescent="0.2">
      <c r="D34" s="19"/>
      <c r="F34" s="19"/>
      <c r="H34" s="16"/>
      <c r="I34" s="21"/>
      <c r="L34" s="21"/>
      <c r="M34" s="22"/>
      <c r="N34" s="22"/>
      <c r="O34" s="22"/>
    </row>
    <row r="35" spans="4:15" x14ac:dyDescent="0.2">
      <c r="D35" s="19"/>
      <c r="F35" s="19"/>
      <c r="H35" s="16"/>
      <c r="I35" s="21"/>
      <c r="L35" s="21"/>
      <c r="M35" s="22"/>
      <c r="N35" s="22"/>
      <c r="O35" s="22"/>
    </row>
    <row r="36" spans="4:15" x14ac:dyDescent="0.2">
      <c r="D36" s="19"/>
      <c r="F36" s="19"/>
      <c r="H36" s="16"/>
      <c r="I36" s="21"/>
      <c r="L36" s="21"/>
      <c r="M36" s="22"/>
      <c r="N36" s="22"/>
      <c r="O36" s="22"/>
    </row>
    <row r="37" spans="4:15" x14ac:dyDescent="0.2">
      <c r="D37" s="19"/>
      <c r="F37" s="19"/>
      <c r="H37" s="16"/>
      <c r="I37" s="21"/>
      <c r="L37" s="21"/>
      <c r="M37" s="22"/>
      <c r="N37" s="22"/>
      <c r="O37" s="22"/>
    </row>
    <row r="38" spans="4:15" x14ac:dyDescent="0.2">
      <c r="D38" s="19"/>
      <c r="F38" s="19"/>
      <c r="H38" s="16"/>
      <c r="I38" s="21"/>
      <c r="L38" s="21"/>
      <c r="M38" s="22"/>
      <c r="N38" s="22"/>
      <c r="O38" s="22"/>
    </row>
    <row r="39" spans="4:15" x14ac:dyDescent="0.2">
      <c r="D39" s="19"/>
      <c r="F39" s="19"/>
      <c r="H39" s="16"/>
      <c r="I39" s="21"/>
      <c r="L39" s="21"/>
      <c r="M39" s="22"/>
      <c r="N39" s="22"/>
      <c r="O39" s="22"/>
    </row>
    <row r="40" spans="4:15" x14ac:dyDescent="0.2">
      <c r="D40" s="19"/>
      <c r="F40" s="19"/>
      <c r="H40" s="16"/>
      <c r="I40" s="21"/>
      <c r="L40" s="21"/>
      <c r="M40" s="22"/>
      <c r="N40" s="22"/>
      <c r="O40" s="22"/>
    </row>
    <row r="41" spans="4:15" x14ac:dyDescent="0.2">
      <c r="D41" s="19"/>
      <c r="F41" s="19"/>
      <c r="H41" s="16"/>
      <c r="I41" s="21"/>
      <c r="L41" s="21"/>
      <c r="M41" s="22"/>
      <c r="N41" s="22"/>
      <c r="O41" s="22"/>
    </row>
    <row r="42" spans="4:15" x14ac:dyDescent="0.2">
      <c r="D42" s="19"/>
      <c r="F42" s="19"/>
      <c r="H42" s="16"/>
      <c r="I42" s="21"/>
      <c r="L42" s="21"/>
      <c r="M42" s="22"/>
      <c r="N42" s="22"/>
      <c r="O42" s="22"/>
    </row>
    <row r="43" spans="4:15" x14ac:dyDescent="0.2">
      <c r="D43" s="19"/>
      <c r="F43" s="19"/>
      <c r="H43" s="16"/>
      <c r="I43" s="21"/>
      <c r="L43" s="21"/>
      <c r="M43" s="22"/>
      <c r="N43" s="22"/>
      <c r="O43" s="22"/>
    </row>
    <row r="44" spans="4:15" x14ac:dyDescent="0.2">
      <c r="D44" s="19"/>
      <c r="F44" s="19"/>
      <c r="H44" s="16"/>
      <c r="I44" s="21"/>
      <c r="L44" s="21"/>
      <c r="M44" s="22"/>
      <c r="N44" s="22"/>
      <c r="O44" s="22"/>
    </row>
    <row r="45" spans="4:15" x14ac:dyDescent="0.2">
      <c r="D45" s="19"/>
      <c r="F45" s="19"/>
      <c r="H45" s="16"/>
      <c r="I45" s="21"/>
      <c r="L45" s="21"/>
      <c r="M45" s="22"/>
      <c r="N45" s="22"/>
      <c r="O45" s="22"/>
    </row>
    <row r="46" spans="4:15" x14ac:dyDescent="0.2">
      <c r="D46" s="19"/>
      <c r="F46" s="19"/>
      <c r="H46" s="16"/>
      <c r="I46" s="21"/>
      <c r="L46" s="21"/>
      <c r="M46" s="22"/>
      <c r="N46" s="22"/>
      <c r="O46" s="22"/>
    </row>
    <row r="47" spans="4:15" x14ac:dyDescent="0.2">
      <c r="D47" s="19"/>
      <c r="F47" s="19"/>
      <c r="H47" s="16"/>
      <c r="I47" s="21"/>
      <c r="L47" s="21"/>
      <c r="M47" s="22"/>
      <c r="N47" s="22"/>
      <c r="O47" s="22"/>
    </row>
    <row r="48" spans="4:15" x14ac:dyDescent="0.2">
      <c r="D48" s="19"/>
      <c r="F48" s="24"/>
      <c r="H48" s="16"/>
      <c r="I48" s="21"/>
      <c r="L48" s="21"/>
      <c r="M48" s="22"/>
      <c r="N48" s="22"/>
      <c r="O48" s="22"/>
    </row>
    <row r="49" spans="4:15" x14ac:dyDescent="0.2">
      <c r="D49" s="19"/>
      <c r="F49" s="19"/>
      <c r="H49" s="16"/>
      <c r="I49" s="21"/>
      <c r="L49" s="21"/>
      <c r="M49" s="22"/>
      <c r="N49" s="22"/>
      <c r="O49" s="22"/>
    </row>
    <row r="50" spans="4:15" x14ac:dyDescent="0.2">
      <c r="D50" s="19"/>
      <c r="F50" s="19"/>
      <c r="H50" s="16"/>
      <c r="I50" s="21"/>
      <c r="L50" s="21"/>
      <c r="M50" s="22"/>
      <c r="N50" s="22"/>
      <c r="O50" s="22"/>
    </row>
    <row r="51" spans="4:15" x14ac:dyDescent="0.2">
      <c r="D51" s="19"/>
      <c r="F51" s="19"/>
      <c r="H51" s="16"/>
      <c r="I51" s="21"/>
      <c r="L51" s="21"/>
      <c r="M51" s="22"/>
      <c r="N51" s="22"/>
      <c r="O51" s="22"/>
    </row>
    <row r="52" spans="4:15" x14ac:dyDescent="0.2">
      <c r="D52" s="19"/>
      <c r="F52" s="19"/>
      <c r="H52" s="16"/>
      <c r="I52" s="21"/>
      <c r="L52" s="21"/>
      <c r="M52" s="22"/>
      <c r="N52" s="22"/>
      <c r="O52" s="22"/>
    </row>
    <row r="53" spans="4:15" x14ac:dyDescent="0.2">
      <c r="D53" s="19"/>
      <c r="F53" s="19"/>
      <c r="H53" s="16"/>
      <c r="I53" s="21"/>
      <c r="L53" s="21"/>
      <c r="M53" s="22"/>
      <c r="N53" s="22"/>
      <c r="O53" s="22"/>
    </row>
    <row r="54" spans="4:15" x14ac:dyDescent="0.2">
      <c r="D54" s="19"/>
      <c r="F54" s="24"/>
      <c r="H54" s="16"/>
      <c r="I54" s="21"/>
      <c r="L54" s="21"/>
      <c r="M54" s="22"/>
      <c r="N54" s="22"/>
      <c r="O54" s="22"/>
    </row>
    <row r="55" spans="4:15" x14ac:dyDescent="0.2">
      <c r="D55" s="19"/>
      <c r="F55" s="24"/>
      <c r="H55" s="16"/>
      <c r="I55" s="21"/>
      <c r="L55" s="21"/>
      <c r="M55" s="22"/>
      <c r="N55" s="22"/>
      <c r="O55" s="22"/>
    </row>
    <row r="56" spans="4:15" x14ac:dyDescent="0.2">
      <c r="D56" s="19"/>
      <c r="F56" s="24"/>
      <c r="H56" s="16"/>
      <c r="I56" s="21"/>
      <c r="L56" s="21"/>
      <c r="M56" s="22"/>
      <c r="N56" s="22"/>
      <c r="O56" s="22"/>
    </row>
    <row r="57" spans="4:15" x14ac:dyDescent="0.2">
      <c r="D57" s="19"/>
      <c r="F57" s="19"/>
      <c r="H57" s="16"/>
      <c r="I57" s="21"/>
      <c r="L57" s="21"/>
      <c r="M57" s="22"/>
      <c r="N57" s="22"/>
      <c r="O57" s="22"/>
    </row>
    <row r="58" spans="4:15" x14ac:dyDescent="0.2">
      <c r="D58" s="19"/>
      <c r="F58" s="19"/>
      <c r="H58" s="16"/>
      <c r="I58" s="21"/>
      <c r="L58" s="21"/>
      <c r="M58" s="22"/>
      <c r="N58" s="22"/>
      <c r="O58" s="22"/>
    </row>
    <row r="59" spans="4:15" x14ac:dyDescent="0.2">
      <c r="D59" s="19"/>
      <c r="F59" s="19"/>
      <c r="H59" s="16"/>
      <c r="I59" s="21"/>
      <c r="L59" s="21"/>
      <c r="M59" s="22"/>
      <c r="N59" s="22"/>
      <c r="O59" s="22"/>
    </row>
    <row r="60" spans="4:15" x14ac:dyDescent="0.2">
      <c r="D60" s="19"/>
      <c r="F60" s="19"/>
      <c r="H60" s="16"/>
      <c r="I60" s="21"/>
      <c r="L60" s="21"/>
      <c r="M60" s="22"/>
      <c r="N60" s="22"/>
      <c r="O60" s="22"/>
    </row>
    <row r="61" spans="4:15" x14ac:dyDescent="0.2">
      <c r="D61" s="19"/>
      <c r="F61" s="19"/>
      <c r="H61" s="16"/>
      <c r="I61" s="21"/>
      <c r="L61" s="21"/>
      <c r="M61" s="22"/>
      <c r="N61" s="22"/>
      <c r="O61" s="22"/>
    </row>
    <row r="62" spans="4:15" x14ac:dyDescent="0.2">
      <c r="D62" s="19"/>
      <c r="F62" s="19"/>
      <c r="H62" s="16"/>
      <c r="I62" s="21"/>
      <c r="L62" s="21"/>
      <c r="M62" s="22"/>
      <c r="N62" s="22"/>
      <c r="O62" s="22"/>
    </row>
    <row r="63" spans="4:15" x14ac:dyDescent="0.2">
      <c r="D63" s="19"/>
      <c r="F63" s="19"/>
      <c r="H63" s="16"/>
      <c r="I63" s="21"/>
      <c r="L63" s="21"/>
      <c r="M63" s="22"/>
      <c r="N63" s="22"/>
      <c r="O63" s="22"/>
    </row>
    <row r="64" spans="4:15" x14ac:dyDescent="0.2">
      <c r="D64" s="19"/>
      <c r="F64" s="19"/>
      <c r="H64" s="16"/>
      <c r="I64" s="21"/>
      <c r="L64" s="21"/>
      <c r="M64" s="22"/>
      <c r="N64" s="22"/>
      <c r="O64" s="22"/>
    </row>
    <row r="65" spans="4:15" x14ac:dyDescent="0.2">
      <c r="D65" s="19"/>
      <c r="F65" s="19"/>
      <c r="H65" s="16"/>
      <c r="I65" s="21"/>
      <c r="L65" s="21"/>
      <c r="M65" s="22"/>
      <c r="N65" s="22"/>
      <c r="O65" s="22"/>
    </row>
    <row r="66" spans="4:15" x14ac:dyDescent="0.2">
      <c r="D66" s="19"/>
      <c r="F66" s="19"/>
      <c r="H66" s="16"/>
      <c r="I66" s="21"/>
      <c r="L66" s="21"/>
      <c r="M66" s="22"/>
      <c r="N66" s="22"/>
      <c r="O66" s="22"/>
    </row>
    <row r="67" spans="4:15" x14ac:dyDescent="0.2">
      <c r="D67" s="19"/>
      <c r="F67" s="19"/>
      <c r="H67" s="16"/>
      <c r="I67" s="21"/>
      <c r="L67" s="21"/>
      <c r="M67" s="22"/>
      <c r="N67" s="22"/>
      <c r="O67" s="22"/>
    </row>
    <row r="68" spans="4:15" x14ac:dyDescent="0.2">
      <c r="D68" s="19"/>
      <c r="F68" s="19"/>
      <c r="H68" s="16"/>
      <c r="I68" s="21"/>
      <c r="L68" s="21"/>
      <c r="M68" s="22"/>
      <c r="N68" s="22"/>
      <c r="O68" s="22"/>
    </row>
    <row r="69" spans="4:15" x14ac:dyDescent="0.2">
      <c r="D69" s="19"/>
      <c r="F69" s="19"/>
      <c r="H69" s="16"/>
      <c r="I69" s="21"/>
      <c r="L69" s="21"/>
      <c r="M69" s="22"/>
      <c r="N69" s="22"/>
      <c r="O69" s="22"/>
    </row>
    <row r="70" spans="4:15" x14ac:dyDescent="0.2">
      <c r="D70" s="19"/>
      <c r="F70" s="19"/>
      <c r="H70" s="16"/>
      <c r="I70" s="21"/>
      <c r="L70" s="21"/>
      <c r="M70" s="22"/>
      <c r="N70" s="22"/>
      <c r="O70" s="22"/>
    </row>
    <row r="71" spans="4:15" x14ac:dyDescent="0.2">
      <c r="D71" s="19"/>
      <c r="F71" s="19"/>
      <c r="H71" s="16"/>
      <c r="I71" s="21"/>
      <c r="L71" s="21"/>
      <c r="M71" s="22"/>
      <c r="N71" s="22"/>
      <c r="O71" s="22"/>
    </row>
    <row r="72" spans="4:15" x14ac:dyDescent="0.2">
      <c r="D72" s="19"/>
      <c r="F72" s="19"/>
      <c r="H72" s="16"/>
      <c r="I72" s="21"/>
      <c r="L72" s="21"/>
      <c r="M72" s="22"/>
      <c r="N72" s="22"/>
      <c r="O72" s="22"/>
    </row>
    <row r="73" spans="4:15" x14ac:dyDescent="0.2">
      <c r="D73" s="19"/>
      <c r="F73" s="19"/>
      <c r="H73" s="16"/>
      <c r="I73" s="21"/>
      <c r="L73" s="21"/>
      <c r="M73" s="22"/>
      <c r="N73" s="22"/>
      <c r="O73" s="22"/>
    </row>
    <row r="74" spans="4:15" x14ac:dyDescent="0.2">
      <c r="D74" s="19"/>
      <c r="F74" s="19"/>
      <c r="H74" s="16"/>
      <c r="I74" s="21"/>
      <c r="L74" s="21"/>
      <c r="M74" s="22"/>
      <c r="N74" s="22"/>
      <c r="O74" s="22"/>
    </row>
    <row r="75" spans="4:15" x14ac:dyDescent="0.2">
      <c r="D75" s="19"/>
      <c r="F75" s="19"/>
      <c r="H75" s="16"/>
      <c r="I75" s="21"/>
      <c r="L75" s="21"/>
      <c r="M75" s="22"/>
      <c r="N75" s="22"/>
      <c r="O75" s="22"/>
    </row>
    <row r="76" spans="4:15" x14ac:dyDescent="0.2">
      <c r="D76" s="19"/>
      <c r="F76" s="19"/>
      <c r="H76" s="16"/>
      <c r="I76" s="21"/>
      <c r="L76" s="21"/>
      <c r="M76" s="22"/>
      <c r="N76" s="22"/>
      <c r="O76" s="22"/>
    </row>
    <row r="77" spans="4:15" x14ac:dyDescent="0.2">
      <c r="D77" s="19"/>
      <c r="F77" s="19"/>
      <c r="H77" s="16"/>
      <c r="I77" s="21"/>
      <c r="L77" s="21"/>
      <c r="M77" s="22"/>
      <c r="N77" s="22"/>
      <c r="O77" s="22"/>
    </row>
    <row r="78" spans="4:15" x14ac:dyDescent="0.2">
      <c r="D78" s="19"/>
      <c r="F78" s="19"/>
      <c r="H78" s="16"/>
      <c r="I78" s="21"/>
      <c r="L78" s="21"/>
      <c r="M78" s="22"/>
      <c r="N78" s="22"/>
      <c r="O78" s="22"/>
    </row>
    <row r="79" spans="4:15" x14ac:dyDescent="0.2">
      <c r="D79" s="19"/>
      <c r="F79" s="19"/>
      <c r="H79" s="16"/>
      <c r="I79" s="21"/>
      <c r="L79" s="21"/>
      <c r="M79" s="22"/>
      <c r="N79" s="22"/>
      <c r="O79" s="22"/>
    </row>
    <row r="80" spans="4:15" x14ac:dyDescent="0.2">
      <c r="D80" s="19"/>
      <c r="F80" s="19"/>
      <c r="H80" s="16"/>
      <c r="I80" s="21"/>
      <c r="L80" s="21"/>
      <c r="M80" s="22"/>
      <c r="N80" s="22"/>
      <c r="O80" s="22"/>
    </row>
    <row r="81" spans="4:15" x14ac:dyDescent="0.2">
      <c r="D81" s="19"/>
      <c r="F81" s="19"/>
      <c r="H81" s="16"/>
      <c r="I81" s="21"/>
      <c r="L81" s="21"/>
      <c r="M81" s="22"/>
      <c r="N81" s="22"/>
      <c r="O81" s="22"/>
    </row>
    <row r="82" spans="4:15" x14ac:dyDescent="0.2">
      <c r="D82" s="19"/>
      <c r="F82" s="19"/>
      <c r="H82" s="16"/>
      <c r="I82" s="21"/>
      <c r="L82" s="21"/>
      <c r="M82" s="22"/>
      <c r="N82" s="22"/>
      <c r="O82" s="22"/>
    </row>
    <row r="83" spans="4:15" x14ac:dyDescent="0.2">
      <c r="D83" s="19"/>
      <c r="F83" s="19"/>
      <c r="H83" s="16"/>
      <c r="I83" s="21"/>
      <c r="L83" s="21"/>
      <c r="M83" s="22"/>
      <c r="N83" s="22"/>
      <c r="O83" s="22"/>
    </row>
    <row r="84" spans="4:15" x14ac:dyDescent="0.2">
      <c r="D84" s="19"/>
      <c r="F84" s="19"/>
      <c r="H84" s="16"/>
      <c r="I84" s="21"/>
      <c r="L84" s="21"/>
      <c r="M84" s="22"/>
      <c r="N84" s="22"/>
      <c r="O84" s="22"/>
    </row>
    <row r="85" spans="4:15" x14ac:dyDescent="0.2">
      <c r="D85" s="19"/>
      <c r="F85" s="19"/>
      <c r="H85" s="16"/>
      <c r="I85" s="21"/>
      <c r="L85" s="21"/>
      <c r="M85" s="22"/>
      <c r="N85" s="22"/>
      <c r="O85" s="22"/>
    </row>
    <row r="86" spans="4:15" x14ac:dyDescent="0.2">
      <c r="D86" s="19"/>
      <c r="F86" s="19"/>
      <c r="H86" s="16"/>
      <c r="I86" s="21"/>
      <c r="L86" s="21"/>
      <c r="M86" s="22"/>
      <c r="N86" s="22"/>
      <c r="O86" s="22"/>
    </row>
    <row r="87" spans="4:15" x14ac:dyDescent="0.2">
      <c r="D87" s="19"/>
      <c r="F87" s="19"/>
      <c r="H87" s="16"/>
      <c r="I87" s="21"/>
      <c r="L87" s="21"/>
      <c r="M87" s="22"/>
      <c r="N87" s="22"/>
      <c r="O87" s="22"/>
    </row>
    <row r="88" spans="4:15" x14ac:dyDescent="0.2">
      <c r="D88" s="19"/>
      <c r="F88" s="19"/>
      <c r="H88" s="16"/>
      <c r="I88" s="21"/>
      <c r="L88" s="21"/>
      <c r="M88" s="22"/>
      <c r="N88" s="22"/>
      <c r="O88" s="22"/>
    </row>
    <row r="89" spans="4:15" x14ac:dyDescent="0.2">
      <c r="D89" s="19"/>
      <c r="F89" s="19"/>
      <c r="H89" s="16"/>
      <c r="I89" s="21"/>
      <c r="L89" s="21"/>
      <c r="M89" s="22"/>
      <c r="N89" s="22"/>
      <c r="O89" s="22"/>
    </row>
    <row r="90" spans="4:15" x14ac:dyDescent="0.2">
      <c r="D90" s="19"/>
      <c r="F90" s="19"/>
      <c r="H90" s="16"/>
      <c r="I90" s="21"/>
      <c r="L90" s="21"/>
      <c r="M90" s="22"/>
      <c r="N90" s="22"/>
      <c r="O90" s="22"/>
    </row>
    <row r="91" spans="4:15" x14ac:dyDescent="0.2">
      <c r="D91" s="19"/>
      <c r="F91" s="19"/>
      <c r="H91" s="16"/>
      <c r="I91" s="20"/>
      <c r="L91" s="21"/>
      <c r="M91" s="22"/>
      <c r="N91" s="22"/>
      <c r="O91" s="22"/>
    </row>
    <row r="92" spans="4:15" x14ac:dyDescent="0.2">
      <c r="D92" s="19"/>
      <c r="F92" s="19"/>
      <c r="H92" s="16"/>
      <c r="I92" s="21"/>
      <c r="L92" s="21"/>
      <c r="M92" s="22"/>
      <c r="N92" s="22"/>
      <c r="O92" s="22"/>
    </row>
    <row r="93" spans="4:15" x14ac:dyDescent="0.2">
      <c r="D93" s="19"/>
      <c r="F93" s="19"/>
      <c r="H93" s="16"/>
      <c r="I93" s="21"/>
      <c r="L93" s="21"/>
      <c r="M93" s="22"/>
      <c r="N93" s="22"/>
      <c r="O93" s="22"/>
    </row>
    <row r="94" spans="4:15" x14ac:dyDescent="0.2">
      <c r="D94" s="19"/>
      <c r="F94" s="19"/>
      <c r="H94" s="16"/>
      <c r="I94" s="21"/>
      <c r="L94" s="21"/>
      <c r="M94" s="22"/>
      <c r="N94" s="22"/>
      <c r="O94" s="22"/>
    </row>
    <row r="95" spans="4:15" x14ac:dyDescent="0.2">
      <c r="D95" s="19"/>
      <c r="F95" s="19"/>
      <c r="H95" s="16"/>
      <c r="I95" s="21"/>
      <c r="L95" s="21"/>
      <c r="M95" s="22"/>
      <c r="N95" s="22"/>
      <c r="O95" s="22"/>
    </row>
    <row r="96" spans="4:15" x14ac:dyDescent="0.2">
      <c r="D96" s="19"/>
      <c r="F96" s="19"/>
      <c r="H96" s="16"/>
      <c r="I96" s="21"/>
      <c r="L96" s="21"/>
      <c r="M96" s="22"/>
      <c r="N96" s="22"/>
      <c r="O96" s="22"/>
    </row>
    <row r="97" spans="4:15" x14ac:dyDescent="0.2">
      <c r="D97" s="19"/>
      <c r="F97" s="19"/>
      <c r="H97" s="16"/>
      <c r="I97" s="21"/>
      <c r="L97" s="21"/>
      <c r="M97" s="22"/>
      <c r="N97" s="22"/>
      <c r="O97" s="22"/>
    </row>
    <row r="98" spans="4:15" x14ac:dyDescent="0.2">
      <c r="D98" s="19"/>
      <c r="F98" s="19"/>
      <c r="H98" s="16"/>
      <c r="I98" s="21"/>
      <c r="L98" s="21"/>
      <c r="M98" s="22"/>
      <c r="N98" s="22"/>
      <c r="O98" s="22"/>
    </row>
    <row r="99" spans="4:15" x14ac:dyDescent="0.2">
      <c r="D99" s="24"/>
      <c r="F99" s="24"/>
      <c r="H99" s="16"/>
      <c r="I99" s="21"/>
      <c r="L99" s="21"/>
      <c r="M99" s="22"/>
      <c r="N99" s="22"/>
      <c r="O99" s="22"/>
    </row>
    <row r="100" spans="4:15" x14ac:dyDescent="0.2">
      <c r="D100" s="24"/>
      <c r="F100" s="24"/>
      <c r="H100" s="16"/>
      <c r="I100" s="21"/>
      <c r="L100" s="21"/>
      <c r="M100" s="22"/>
      <c r="N100" s="22"/>
      <c r="O100" s="22"/>
    </row>
    <row r="101" spans="4:15" x14ac:dyDescent="0.2">
      <c r="D101" s="24"/>
      <c r="F101" s="24"/>
      <c r="H101" s="16"/>
      <c r="I101" s="21"/>
      <c r="L101" s="21"/>
      <c r="M101" s="22"/>
      <c r="N101" s="22"/>
      <c r="O101" s="22"/>
    </row>
    <row r="102" spans="4:15" x14ac:dyDescent="0.2">
      <c r="D102" s="24"/>
      <c r="F102" s="24"/>
      <c r="H102" s="16"/>
      <c r="I102" s="21"/>
      <c r="L102" s="21"/>
      <c r="M102" s="22"/>
      <c r="N102" s="22"/>
      <c r="O102" s="22"/>
    </row>
    <row r="103" spans="4:15" x14ac:dyDescent="0.2">
      <c r="D103" s="24"/>
      <c r="F103" s="24"/>
      <c r="H103" s="16"/>
      <c r="I103" s="20"/>
      <c r="L103" s="21"/>
      <c r="M103" s="22"/>
      <c r="N103" s="22"/>
      <c r="O103" s="22"/>
    </row>
    <row r="104" spans="4:15" x14ac:dyDescent="0.2">
      <c r="D104" s="23"/>
      <c r="F104" s="23"/>
      <c r="H104" s="23"/>
      <c r="I104" s="23"/>
      <c r="L104" s="23"/>
      <c r="M104" s="23"/>
      <c r="N104" s="23"/>
      <c r="O104" s="23"/>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pageMargins left="0.7" right="0.7" top="0.78740157499999996" bottom="0.78740157499999996" header="0.3" footer="0.3"/>
  <pageSetup paperSize="9" orientation="portrait"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AE138"/>
  <sheetViews>
    <sheetView topLeftCell="A98" workbookViewId="0">
      <selection activeCell="D132" sqref="D132"/>
    </sheetView>
  </sheetViews>
  <sheetFormatPr baseColWidth="10" defaultRowHeight="12.75" x14ac:dyDescent="0.2"/>
  <cols>
    <col min="1" max="1" width="13.7109375" style="9" customWidth="1"/>
    <col min="2" max="2" width="11.140625" style="9" customWidth="1"/>
    <col min="3" max="3" width="13.7109375" style="9" customWidth="1"/>
    <col min="4" max="4" width="12.7109375" style="7" customWidth="1"/>
    <col min="5" max="5" width="12.7109375" style="7" bestFit="1" customWidth="1"/>
    <col min="6" max="6" width="19.7109375" style="7" customWidth="1"/>
    <col min="7" max="7" width="10" style="7" customWidth="1"/>
    <col min="8" max="11" width="10" style="8" customWidth="1"/>
    <col min="12" max="12" width="12.7109375" customWidth="1"/>
    <col min="14" max="14" width="11" style="1356" customWidth="1"/>
    <col min="15" max="15" width="5.85546875" style="10" customWidth="1"/>
    <col min="16" max="16" width="10" style="9" customWidth="1"/>
    <col min="17" max="20" width="10" style="7" customWidth="1"/>
    <col min="21" max="21" width="9.28515625" style="7" customWidth="1"/>
    <col min="22" max="22" width="10.28515625" customWidth="1"/>
    <col min="23" max="23" width="17.42578125" customWidth="1"/>
    <col min="24" max="24" width="11" customWidth="1"/>
    <col min="25" max="25" width="12.5703125" style="7" customWidth="1"/>
    <col min="26" max="26" width="15.28515625" style="7" customWidth="1"/>
    <col min="27" max="27" width="17.28515625" style="9" customWidth="1"/>
    <col min="28" max="28" width="13" style="9" customWidth="1"/>
    <col min="29" max="29" width="17.140625" style="8" customWidth="1"/>
    <col min="30" max="30" width="16.5703125" style="8" customWidth="1"/>
    <col min="31" max="31" width="11" style="30" customWidth="1"/>
  </cols>
  <sheetData>
    <row r="1" spans="1:31" s="137" customFormat="1" x14ac:dyDescent="0.2">
      <c r="A1" s="9" t="s">
        <v>1884</v>
      </c>
      <c r="B1" s="9"/>
      <c r="C1" s="9">
        <v>1</v>
      </c>
      <c r="D1" s="7">
        <f>COLUMN(D1)-COLUMN($C$1)+1</f>
        <v>2</v>
      </c>
      <c r="E1" s="7">
        <f>COLUMN(E1)-COLUMN($C$1)+1</f>
        <v>3</v>
      </c>
      <c r="F1" s="7">
        <f t="shared" ref="F1:AD1" si="0">COLUMN(F1)-COLUMN($C$1)+1</f>
        <v>4</v>
      </c>
      <c r="G1" s="7">
        <f t="shared" si="0"/>
        <v>5</v>
      </c>
      <c r="H1" s="7">
        <f t="shared" si="0"/>
        <v>6</v>
      </c>
      <c r="I1" s="7">
        <f t="shared" si="0"/>
        <v>7</v>
      </c>
      <c r="J1" s="7">
        <f t="shared" si="0"/>
        <v>8</v>
      </c>
      <c r="K1" s="7">
        <f t="shared" si="0"/>
        <v>9</v>
      </c>
      <c r="L1" s="7">
        <f t="shared" si="0"/>
        <v>10</v>
      </c>
      <c r="M1" s="7">
        <f t="shared" si="0"/>
        <v>11</v>
      </c>
      <c r="N1" s="7">
        <f t="shared" si="0"/>
        <v>12</v>
      </c>
      <c r="O1" s="7">
        <f t="shared" si="0"/>
        <v>13</v>
      </c>
      <c r="P1" s="7">
        <f t="shared" si="0"/>
        <v>14</v>
      </c>
      <c r="Q1" s="7">
        <f t="shared" si="0"/>
        <v>15</v>
      </c>
      <c r="R1" s="7">
        <f t="shared" si="0"/>
        <v>16</v>
      </c>
      <c r="S1" s="7">
        <f t="shared" si="0"/>
        <v>17</v>
      </c>
      <c r="T1" s="7">
        <f t="shared" si="0"/>
        <v>18</v>
      </c>
      <c r="U1" s="7">
        <f t="shared" si="0"/>
        <v>19</v>
      </c>
      <c r="V1" s="7">
        <f t="shared" si="0"/>
        <v>20</v>
      </c>
      <c r="W1" s="7">
        <f t="shared" si="0"/>
        <v>21</v>
      </c>
      <c r="X1" s="7">
        <f t="shared" si="0"/>
        <v>22</v>
      </c>
      <c r="Y1" s="7">
        <f t="shared" si="0"/>
        <v>23</v>
      </c>
      <c r="Z1" s="7">
        <f t="shared" si="0"/>
        <v>24</v>
      </c>
      <c r="AA1" s="7">
        <f t="shared" si="0"/>
        <v>25</v>
      </c>
      <c r="AB1" s="7">
        <f t="shared" si="0"/>
        <v>26</v>
      </c>
      <c r="AC1" s="7">
        <f t="shared" si="0"/>
        <v>27</v>
      </c>
      <c r="AD1" s="7">
        <f t="shared" si="0"/>
        <v>28</v>
      </c>
      <c r="AE1" s="7">
        <f>COLUMN(AE1)-COLUMN($C$1)+1</f>
        <v>29</v>
      </c>
    </row>
    <row r="2" spans="1:31" s="168" customFormat="1" x14ac:dyDescent="0.2">
      <c r="A2" s="9"/>
      <c r="B2" s="9"/>
      <c r="C2" s="9" t="s">
        <v>353</v>
      </c>
      <c r="D2" s="7"/>
      <c r="E2" s="7" t="s">
        <v>355</v>
      </c>
      <c r="F2" s="7" t="s">
        <v>460</v>
      </c>
      <c r="G2" s="7" t="s">
        <v>356</v>
      </c>
      <c r="H2" s="7" t="s">
        <v>358</v>
      </c>
      <c r="I2" s="7" t="s">
        <v>359</v>
      </c>
      <c r="J2" s="7" t="s">
        <v>361</v>
      </c>
      <c r="K2" s="7" t="s">
        <v>363</v>
      </c>
      <c r="L2" s="7" t="s">
        <v>70</v>
      </c>
      <c r="N2" s="9"/>
      <c r="O2" s="9" t="s">
        <v>124</v>
      </c>
      <c r="P2" s="7" t="s">
        <v>7</v>
      </c>
      <c r="Q2" s="9" t="s">
        <v>365</v>
      </c>
      <c r="R2" s="7" t="s">
        <v>0</v>
      </c>
      <c r="S2" s="7" t="s">
        <v>368</v>
      </c>
      <c r="T2" s="7" t="s">
        <v>367</v>
      </c>
      <c r="U2" s="7" t="s">
        <v>366</v>
      </c>
      <c r="V2" s="7" t="s">
        <v>369</v>
      </c>
      <c r="W2" s="7" t="s">
        <v>134</v>
      </c>
      <c r="X2" s="9"/>
      <c r="Y2" s="9"/>
      <c r="Z2" s="7"/>
      <c r="AA2" s="9"/>
      <c r="AB2" s="7"/>
      <c r="AC2" s="7"/>
      <c r="AD2" s="9"/>
      <c r="AE2" s="9" t="s">
        <v>364</v>
      </c>
    </row>
    <row r="3" spans="1:31" s="683" customFormat="1" x14ac:dyDescent="0.2">
      <c r="A3" s="9"/>
      <c r="B3" s="9" t="s">
        <v>1338</v>
      </c>
      <c r="C3" s="9"/>
      <c r="D3" s="7"/>
      <c r="E3" s="7"/>
      <c r="F3" s="7"/>
      <c r="G3" s="7"/>
      <c r="H3" s="7"/>
      <c r="I3" s="7"/>
      <c r="J3" s="7"/>
      <c r="K3" s="7"/>
      <c r="L3" s="7"/>
      <c r="N3" s="9" t="s">
        <v>1478</v>
      </c>
      <c r="O3" s="9"/>
      <c r="P3" s="7"/>
      <c r="Q3" s="9"/>
      <c r="R3" s="7"/>
      <c r="S3" s="7"/>
      <c r="T3" s="7"/>
      <c r="U3" s="7"/>
      <c r="V3" s="7"/>
      <c r="W3" s="7"/>
      <c r="X3" s="9"/>
      <c r="Y3" s="9"/>
      <c r="Z3" s="7"/>
      <c r="AA3" s="9"/>
      <c r="AB3" s="7"/>
      <c r="AC3" s="7"/>
      <c r="AD3" s="9"/>
      <c r="AE3" s="9"/>
    </row>
    <row r="4" spans="1:31" x14ac:dyDescent="0.2">
      <c r="A4" s="4"/>
      <c r="B4" s="4">
        <f>COUNTIF(Tabelle7[Auswahl],"x")</f>
        <v>0</v>
      </c>
      <c r="C4" s="1359"/>
      <c r="D4" s="6" t="s">
        <v>276</v>
      </c>
      <c r="E4" s="1360" t="s">
        <v>107</v>
      </c>
      <c r="F4" s="1360" t="s">
        <v>108</v>
      </c>
      <c r="G4" s="1360" t="s">
        <v>109</v>
      </c>
      <c r="H4" s="1361" t="s">
        <v>1830</v>
      </c>
      <c r="I4" s="1361" t="s">
        <v>1831</v>
      </c>
      <c r="J4" s="1361" t="s">
        <v>1832</v>
      </c>
      <c r="K4" s="1361" t="s">
        <v>1833</v>
      </c>
      <c r="L4" s="1362" t="s">
        <v>1834</v>
      </c>
      <c r="N4" s="1363" t="s">
        <v>1836</v>
      </c>
      <c r="O4" s="1364" t="s">
        <v>1837</v>
      </c>
      <c r="P4" s="1365" t="s">
        <v>12</v>
      </c>
      <c r="Q4" s="1361" t="s">
        <v>1240</v>
      </c>
      <c r="R4" s="1366" t="s">
        <v>6</v>
      </c>
      <c r="S4" s="1366" t="s">
        <v>1692</v>
      </c>
      <c r="T4" s="1366" t="s">
        <v>1838</v>
      </c>
      <c r="U4" s="1366" t="s">
        <v>1839</v>
      </c>
      <c r="V4" s="1362" t="s">
        <v>1840</v>
      </c>
      <c r="W4" s="1362" t="s">
        <v>1841</v>
      </c>
      <c r="X4" s="1362" t="s">
        <v>1842</v>
      </c>
      <c r="Y4" s="1367" t="s">
        <v>1693</v>
      </c>
      <c r="Z4" s="1367" t="s">
        <v>1688</v>
      </c>
      <c r="AA4" s="1365" t="s">
        <v>1843</v>
      </c>
      <c r="AB4" s="1365" t="s">
        <v>1844</v>
      </c>
      <c r="AC4" s="5"/>
      <c r="AD4" s="5"/>
      <c r="AE4" s="1363" t="s">
        <v>1835</v>
      </c>
    </row>
    <row r="5" spans="1:31" x14ac:dyDescent="0.2">
      <c r="A5" s="180"/>
      <c r="B5" s="180"/>
      <c r="C5" s="180" t="s">
        <v>370</v>
      </c>
      <c r="D5" s="180"/>
      <c r="E5" s="180" t="s">
        <v>371</v>
      </c>
      <c r="F5" s="115" t="s">
        <v>372</v>
      </c>
      <c r="G5" s="180" t="s">
        <v>373</v>
      </c>
      <c r="H5" s="180" t="s">
        <v>374</v>
      </c>
      <c r="I5" s="180" t="s">
        <v>375</v>
      </c>
      <c r="J5" s="180" t="s">
        <v>376</v>
      </c>
      <c r="K5" s="181" t="s">
        <v>377</v>
      </c>
      <c r="L5" s="181" t="s">
        <v>378</v>
      </c>
      <c r="M5" s="938" t="s">
        <v>379</v>
      </c>
      <c r="N5" s="938" t="s">
        <v>2426</v>
      </c>
      <c r="O5" s="180" t="s">
        <v>380</v>
      </c>
      <c r="P5" s="180" t="s">
        <v>381</v>
      </c>
      <c r="Q5" s="180" t="s">
        <v>382</v>
      </c>
      <c r="R5" s="180" t="s">
        <v>383</v>
      </c>
      <c r="S5" s="180" t="s">
        <v>384</v>
      </c>
      <c r="T5" s="180" t="s">
        <v>385</v>
      </c>
      <c r="U5" s="17" t="s">
        <v>386</v>
      </c>
      <c r="V5" s="181" t="s">
        <v>387</v>
      </c>
      <c r="W5" s="181" t="s">
        <v>388</v>
      </c>
      <c r="X5" s="181" t="s">
        <v>389</v>
      </c>
      <c r="Y5" s="180" t="s">
        <v>390</v>
      </c>
      <c r="Z5" s="181" t="s">
        <v>391</v>
      </c>
      <c r="AA5" s="181" t="s">
        <v>392</v>
      </c>
      <c r="AB5" s="17" t="s">
        <v>393</v>
      </c>
      <c r="AE5" s="17" t="s">
        <v>379</v>
      </c>
    </row>
    <row r="6" spans="1:31" s="332" customFormat="1" ht="60.75" customHeight="1" thickBot="1" x14ac:dyDescent="0.25">
      <c r="A6" s="183" t="s">
        <v>1337</v>
      </c>
      <c r="B6" s="709" t="s">
        <v>1261</v>
      </c>
      <c r="C6" s="330" t="s">
        <v>195</v>
      </c>
      <c r="D6" s="331" t="s">
        <v>1131</v>
      </c>
      <c r="E6" s="331" t="s">
        <v>719</v>
      </c>
      <c r="F6" s="183" t="s">
        <v>720</v>
      </c>
      <c r="G6" s="184" t="s">
        <v>354</v>
      </c>
      <c r="H6" s="184" t="s">
        <v>358</v>
      </c>
      <c r="I6" s="184" t="s">
        <v>357</v>
      </c>
      <c r="J6" s="184" t="s">
        <v>360</v>
      </c>
      <c r="K6" s="184" t="s">
        <v>362</v>
      </c>
      <c r="L6" s="184" t="s">
        <v>721</v>
      </c>
      <c r="M6" s="184" t="s">
        <v>722</v>
      </c>
      <c r="N6" s="184" t="s">
        <v>1829</v>
      </c>
      <c r="O6" s="327" t="s">
        <v>723</v>
      </c>
      <c r="P6" s="329" t="s">
        <v>724</v>
      </c>
      <c r="Q6" s="333" t="s">
        <v>725</v>
      </c>
      <c r="R6" s="328" t="s">
        <v>726</v>
      </c>
      <c r="S6" s="328" t="s">
        <v>727</v>
      </c>
      <c r="T6" s="184" t="s">
        <v>728</v>
      </c>
      <c r="U6" s="331" t="s">
        <v>730</v>
      </c>
      <c r="V6" s="331" t="s">
        <v>729</v>
      </c>
      <c r="W6" s="329" t="s">
        <v>731</v>
      </c>
      <c r="X6" s="184" t="s">
        <v>732</v>
      </c>
      <c r="Y6" s="331" t="s">
        <v>733</v>
      </c>
      <c r="Z6" s="331" t="s">
        <v>734</v>
      </c>
      <c r="AA6" s="331" t="s">
        <v>735</v>
      </c>
      <c r="AB6" s="183" t="s">
        <v>736</v>
      </c>
      <c r="AC6" s="183" t="s">
        <v>737</v>
      </c>
      <c r="AD6" s="183" t="s">
        <v>738</v>
      </c>
      <c r="AE6" s="183" t="s">
        <v>1867</v>
      </c>
    </row>
    <row r="7" spans="1:31" s="168" customFormat="1" ht="12.75" customHeight="1" x14ac:dyDescent="0.2">
      <c r="A7" s="324" t="s">
        <v>60</v>
      </c>
      <c r="B7" s="324" t="s">
        <v>315</v>
      </c>
      <c r="C7" s="324" t="s">
        <v>60</v>
      </c>
      <c r="D7" s="339" t="s">
        <v>60</v>
      </c>
      <c r="E7" s="226"/>
      <c r="F7" s="12"/>
      <c r="G7" s="11">
        <v>0</v>
      </c>
      <c r="H7" s="302">
        <v>0</v>
      </c>
      <c r="I7" s="302">
        <v>0</v>
      </c>
      <c r="J7" s="302">
        <v>0</v>
      </c>
      <c r="K7" s="302">
        <v>0</v>
      </c>
      <c r="L7" s="184">
        <v>0</v>
      </c>
      <c r="M7" s="302">
        <v>0</v>
      </c>
      <c r="N7" s="302">
        <v>0</v>
      </c>
      <c r="O7" s="50">
        <v>0</v>
      </c>
      <c r="P7" s="301">
        <v>0</v>
      </c>
      <c r="Q7" s="51">
        <v>0</v>
      </c>
      <c r="R7" s="51">
        <v>0</v>
      </c>
      <c r="S7" s="51">
        <v>0</v>
      </c>
      <c r="T7" s="11">
        <v>0</v>
      </c>
      <c r="U7" s="303">
        <v>0</v>
      </c>
      <c r="V7" s="227">
        <v>0</v>
      </c>
      <c r="W7" s="228">
        <v>0</v>
      </c>
      <c r="X7" s="229">
        <v>0</v>
      </c>
      <c r="Y7" s="12">
        <v>0</v>
      </c>
      <c r="Z7" s="227">
        <v>0</v>
      </c>
      <c r="AA7" s="227">
        <v>0</v>
      </c>
      <c r="AB7" s="12">
        <v>0</v>
      </c>
      <c r="AC7" s="32">
        <v>0</v>
      </c>
      <c r="AD7" s="40">
        <v>0</v>
      </c>
      <c r="AE7" s="302">
        <v>0</v>
      </c>
    </row>
    <row r="8" spans="1:31" s="168" customFormat="1" ht="12.75" customHeight="1" x14ac:dyDescent="0.2">
      <c r="A8" s="324" t="str" cm="1">
        <f t="array" ref="A8">IFERROR(INDEX(Tab_org21[Dünger],_xlfn.AGGREGATE(15,6,(ROW(Tab_org21[Auswahl])-6)/(--(SEARCH("x",Tab_org21[Auswahl])&gt;0)),ROW()-6),1),"")</f>
        <v xml:space="preserve"> +Rind+</v>
      </c>
      <c r="B8" s="324">
        <v>0</v>
      </c>
      <c r="C8" s="324" t="s">
        <v>1125</v>
      </c>
      <c r="D8" s="340" t="s">
        <v>489</v>
      </c>
      <c r="E8" s="226"/>
      <c r="F8" s="12"/>
      <c r="G8" s="11">
        <v>0</v>
      </c>
      <c r="H8" s="302">
        <v>0</v>
      </c>
      <c r="I8" s="302">
        <v>0</v>
      </c>
      <c r="J8" s="302">
        <v>0</v>
      </c>
      <c r="K8" s="302">
        <v>0</v>
      </c>
      <c r="L8" s="184">
        <v>0</v>
      </c>
      <c r="M8" s="302">
        <v>0</v>
      </c>
      <c r="N8" s="302">
        <v>0</v>
      </c>
      <c r="O8" s="50">
        <v>0</v>
      </c>
      <c r="P8" s="301">
        <v>0</v>
      </c>
      <c r="Q8" s="51">
        <v>0</v>
      </c>
      <c r="R8" s="51">
        <v>0</v>
      </c>
      <c r="S8" s="51">
        <v>0</v>
      </c>
      <c r="T8" s="11">
        <v>0</v>
      </c>
      <c r="U8" s="303">
        <v>0</v>
      </c>
      <c r="V8" s="227">
        <v>0</v>
      </c>
      <c r="W8" s="228">
        <v>0</v>
      </c>
      <c r="X8" s="229">
        <v>0</v>
      </c>
      <c r="Y8" s="12">
        <v>0</v>
      </c>
      <c r="Z8" s="227">
        <v>0</v>
      </c>
      <c r="AA8" s="227">
        <v>0</v>
      </c>
      <c r="AB8" s="12">
        <v>0</v>
      </c>
      <c r="AC8" s="32">
        <v>0</v>
      </c>
      <c r="AD8" s="40">
        <v>0</v>
      </c>
      <c r="AE8" s="302">
        <v>0</v>
      </c>
    </row>
    <row r="9" spans="1:31" s="169" customFormat="1" ht="12.75" customHeight="1" x14ac:dyDescent="0.2">
      <c r="A9" s="324" t="str" cm="1">
        <f t="array" ref="A9">IFERROR(INDEX(Tab_org21[Dünger],_xlfn.AGGREGATE(15,6,(ROW(Tab_org21[Auswahl])-6)/(--(SEARCH("x",Tab_org21[Auswahl])&gt;0)),ROW()-6),1),"")</f>
        <v>RG110</v>
      </c>
      <c r="B9" s="324" t="str">
        <f>Vorauswahl!S15</f>
        <v/>
      </c>
      <c r="C9" s="15" t="str">
        <f>IF(Vorauswahl!AB15="OK",CONCATENATE("*",Vorauswahl!R15," ",Vorauswahl!U15),"#")</f>
        <v>#</v>
      </c>
      <c r="D9" s="338" t="str">
        <f>CONCATENATE(Tab_org21[[#This Row],[Dünger]]," (",Tab_org21[[#This Row],[EDV Code]],", ",Vorauswahl!V15,")")</f>
        <v># (#, )</v>
      </c>
      <c r="E9" s="230" t="str">
        <f t="shared" ref="E9:E18" si="1">VLOOKUP($F9,$D$65:$AA$135,E$63,FALSE)</f>
        <v>#</v>
      </c>
      <c r="F9" s="14" t="str">
        <f>IF(OR(Vorauswahl!T15=$D$66,Vorauswahl!T15=""),"#",Vorauswahl!T15)</f>
        <v>#</v>
      </c>
      <c r="G9" s="27">
        <f t="shared" ref="G9:G18" si="2">VLOOKUP($F9,$D$65:$AA$135,G$63,FALSE)</f>
        <v>9.9999999999999995E-7</v>
      </c>
      <c r="H9" s="27">
        <f t="shared" ref="H9:M18" si="3">VLOOKUP($F9,$D$65:$AB$135,H$63,FALSE)</f>
        <v>9.9999999999999995E-7</v>
      </c>
      <c r="I9" s="27">
        <f t="shared" si="3"/>
        <v>9.9999999999999995E-7</v>
      </c>
      <c r="J9" s="27">
        <f t="shared" si="3"/>
        <v>9.9999999999999995E-7</v>
      </c>
      <c r="K9" s="27">
        <f t="shared" si="3"/>
        <v>9.9999999999999995E-7</v>
      </c>
      <c r="L9" s="27">
        <f t="shared" si="3"/>
        <v>9.9999999999999995E-7</v>
      </c>
      <c r="M9" s="27">
        <f t="shared" si="3"/>
        <v>1</v>
      </c>
      <c r="N9" s="27">
        <f t="shared" ref="N9:N18" si="4">VLOOKUP($F9,$D$65:$AB$135,$N$63,FALSE)</f>
        <v>1</v>
      </c>
      <c r="O9" s="231">
        <v>0</v>
      </c>
      <c r="P9" s="27">
        <f>IF(Z9=0.000001,100,Vorauswahl!W15)</f>
        <v>100</v>
      </c>
      <c r="Q9" s="27">
        <f>IF(Z9=0.000001,100,Vorauswahl!X15)</f>
        <v>100</v>
      </c>
      <c r="R9" s="27">
        <f>IF(Z9=0.000001,100,Vorauswahl!Y15)</f>
        <v>100</v>
      </c>
      <c r="S9" s="231">
        <v>0</v>
      </c>
      <c r="T9" s="231">
        <v>0</v>
      </c>
      <c r="U9" s="27">
        <f>IF(Tab_org21[[#This Row],[Nährstoffgehalt Ngesamt]]=0,0,Q9/P9*100)</f>
        <v>100</v>
      </c>
      <c r="V9" s="27">
        <f t="shared" ref="V9:V18" si="5">VLOOKUP($F9,$D$65:$AB$135,V$63,FALSE)</f>
        <v>9.9999999999999995E-7</v>
      </c>
      <c r="W9" s="27" t="str">
        <f>Vorauswahl!Z15</f>
        <v/>
      </c>
      <c r="X9" s="27" t="str">
        <f>Vorauswahl!AA15</f>
        <v/>
      </c>
      <c r="Y9" s="27">
        <f t="shared" ref="Y9:AA18" si="6">VLOOKUP($F9,$D$65:$AB$135,Y$63,FALSE)</f>
        <v>9.9999999999999995E-7</v>
      </c>
      <c r="Z9" s="27">
        <f t="shared" si="6"/>
        <v>9.9999999999999995E-7</v>
      </c>
      <c r="AA9" s="27">
        <f t="shared" si="6"/>
        <v>9.9999999999999995E-7</v>
      </c>
      <c r="AB9" s="231">
        <v>0</v>
      </c>
      <c r="AC9" s="32">
        <f>IF(Tab_org21[[#This Row],[Nährstoffgehalt Ngesamt]]=0,0,IF(Z9&gt;=(Q9/P9*100),P9*Z9/100,P9*Q9/P9))</f>
        <v>100</v>
      </c>
      <c r="AD9" s="40">
        <f>IF(Tab_org21[[#This Row],[Nährstoffgehalt Ngesamt]]=0,0,IF(AA9&gt;=(Q9/P9*100),P9*AA9/100,P9*Q9/P9))</f>
        <v>100</v>
      </c>
      <c r="AE9" s="27">
        <f>IF(Tab_org21[[#This Row],[Max. Herbstdüngemenge]]=5,3,Tab_org21[[#This Row],[Greift im Herbst 30/60 Regelung?]])</f>
        <v>1</v>
      </c>
    </row>
    <row r="10" spans="1:31" s="169" customFormat="1" ht="12.75" customHeight="1" x14ac:dyDescent="0.2">
      <c r="A10" s="324" t="str" cm="1">
        <f t="array" ref="A10">IFERROR(INDEX(Tab_org21[Dünger],_xlfn.AGGREGATE(15,6,(ROW(Tab_org21[Auswahl])-6)/(--(SEARCH("x",Tab_org21[Auswahl])&gt;0)),ROW()-6),1),"")</f>
        <v>RG120</v>
      </c>
      <c r="B10" s="324" t="str">
        <f>Vorauswahl!S16</f>
        <v/>
      </c>
      <c r="C10" s="15" t="str">
        <f>IF(Vorauswahl!AB16="OK",CONCATENATE("*",Vorauswahl!R16," ",Vorauswahl!U16),"#")</f>
        <v>#</v>
      </c>
      <c r="D10" s="338" t="str">
        <f>CONCATENATE(Tab_org21[[#This Row],[Dünger]]," (",Tab_org21[[#This Row],[EDV Code]],", ",Vorauswahl!V16,")")</f>
        <v># (#, )</v>
      </c>
      <c r="E10" s="230" t="str">
        <f t="shared" si="1"/>
        <v>#</v>
      </c>
      <c r="F10" s="14" t="str">
        <f>IF(OR(Vorauswahl!T16=$D$66,Vorauswahl!T16=""),"#",Vorauswahl!T16)</f>
        <v>#</v>
      </c>
      <c r="G10" s="27">
        <f t="shared" si="2"/>
        <v>9.9999999999999995E-7</v>
      </c>
      <c r="H10" s="27">
        <f t="shared" si="3"/>
        <v>9.9999999999999995E-7</v>
      </c>
      <c r="I10" s="27">
        <f t="shared" si="3"/>
        <v>9.9999999999999995E-7</v>
      </c>
      <c r="J10" s="27">
        <f t="shared" si="3"/>
        <v>9.9999999999999995E-7</v>
      </c>
      <c r="K10" s="27">
        <f t="shared" si="3"/>
        <v>9.9999999999999995E-7</v>
      </c>
      <c r="L10" s="27">
        <f t="shared" si="3"/>
        <v>9.9999999999999995E-7</v>
      </c>
      <c r="M10" s="27">
        <f t="shared" si="3"/>
        <v>1</v>
      </c>
      <c r="N10" s="27">
        <f t="shared" si="4"/>
        <v>1</v>
      </c>
      <c r="O10" s="231">
        <v>0</v>
      </c>
      <c r="P10" s="27">
        <f>IF(Z10=0.000001,100,Vorauswahl!W16)</f>
        <v>100</v>
      </c>
      <c r="Q10" s="27">
        <f>IF(Z10=0.000001,100,Vorauswahl!X16)</f>
        <v>100</v>
      </c>
      <c r="R10" s="27">
        <f>IF(Z10=0.000001,100,Vorauswahl!Y16)</f>
        <v>100</v>
      </c>
      <c r="S10" s="231">
        <v>0</v>
      </c>
      <c r="T10" s="231">
        <v>0</v>
      </c>
      <c r="U10" s="27">
        <f>IF(Tab_org21[[#This Row],[Nährstoffgehalt Ngesamt]]=0,0,Q10/P10*100)</f>
        <v>100</v>
      </c>
      <c r="V10" s="27">
        <f t="shared" si="5"/>
        <v>9.9999999999999995E-7</v>
      </c>
      <c r="W10" s="27" t="str">
        <f>Vorauswahl!Z16</f>
        <v/>
      </c>
      <c r="X10" s="27" t="str">
        <f>Vorauswahl!AA16</f>
        <v/>
      </c>
      <c r="Y10" s="27">
        <f t="shared" si="6"/>
        <v>9.9999999999999995E-7</v>
      </c>
      <c r="Z10" s="27">
        <f t="shared" si="6"/>
        <v>9.9999999999999995E-7</v>
      </c>
      <c r="AA10" s="27">
        <f t="shared" si="6"/>
        <v>9.9999999999999995E-7</v>
      </c>
      <c r="AB10" s="231">
        <v>0</v>
      </c>
      <c r="AC10" s="32">
        <f>IF(Tab_org21[[#This Row],[Nährstoffgehalt Ngesamt]]=0,0,IF(Z10&gt;=(Q10/P10*100),P10*Z10/100,P10*Q10/P10))</f>
        <v>100</v>
      </c>
      <c r="AD10" s="40">
        <f>IF(Tab_org21[[#This Row],[Nährstoffgehalt Ngesamt]]=0,0,IF(AA10&gt;=(Q10/P10*100),P10*AA10/100,P10*Q10/P10))</f>
        <v>100</v>
      </c>
      <c r="AE10" s="27">
        <f>IF(Tab_org21[[#This Row],[Max. Herbstdüngemenge]]=5,3,Tab_org21[[#This Row],[Greift im Herbst 30/60 Regelung?]])</f>
        <v>1</v>
      </c>
    </row>
    <row r="11" spans="1:31" s="169" customFormat="1" ht="12.75" customHeight="1" x14ac:dyDescent="0.2">
      <c r="A11" s="324" t="str" cm="1">
        <f t="array" ref="A11">IFERROR(INDEX(Tab_org21[Dünger],_xlfn.AGGREGATE(15,6,(ROW(Tab_org21[Auswahl])-6)/(--(SEARCH("x",Tab_org21[Auswahl])&gt;0)),ROW()-6),1),"")</f>
        <v>RG140</v>
      </c>
      <c r="B11" s="324" t="str">
        <f>Vorauswahl!S17</f>
        <v/>
      </c>
      <c r="C11" s="15" t="str">
        <f>IF(Vorauswahl!AB17="OK",CONCATENATE("*",Vorauswahl!R17," ",Vorauswahl!U17),"#")</f>
        <v>#</v>
      </c>
      <c r="D11" s="338" t="str">
        <f>CONCATENATE(Tab_org21[[#This Row],[Dünger]]," (",Tab_org21[[#This Row],[EDV Code]],", ",Vorauswahl!V17,")")</f>
        <v># (#, )</v>
      </c>
      <c r="E11" s="230" t="str">
        <f t="shared" si="1"/>
        <v>#</v>
      </c>
      <c r="F11" s="14" t="str">
        <f>IF(OR(Vorauswahl!T17=$D$66,Vorauswahl!T17=""),"#",Vorauswahl!T17)</f>
        <v>#</v>
      </c>
      <c r="G11" s="27">
        <f t="shared" si="2"/>
        <v>9.9999999999999995E-7</v>
      </c>
      <c r="H11" s="27">
        <f t="shared" si="3"/>
        <v>9.9999999999999995E-7</v>
      </c>
      <c r="I11" s="27">
        <f t="shared" si="3"/>
        <v>9.9999999999999995E-7</v>
      </c>
      <c r="J11" s="27">
        <f t="shared" si="3"/>
        <v>9.9999999999999995E-7</v>
      </c>
      <c r="K11" s="27">
        <f t="shared" si="3"/>
        <v>9.9999999999999995E-7</v>
      </c>
      <c r="L11" s="27">
        <f t="shared" si="3"/>
        <v>9.9999999999999995E-7</v>
      </c>
      <c r="M11" s="27">
        <f t="shared" si="3"/>
        <v>1</v>
      </c>
      <c r="N11" s="27">
        <f t="shared" si="4"/>
        <v>1</v>
      </c>
      <c r="O11" s="231">
        <v>0</v>
      </c>
      <c r="P11" s="27">
        <f>IF(Z11=0.000001,100,Vorauswahl!W17)</f>
        <v>100</v>
      </c>
      <c r="Q11" s="27">
        <f>IF(Z11=0.000001,100,Vorauswahl!X17)</f>
        <v>100</v>
      </c>
      <c r="R11" s="27">
        <f>IF(Z11=0.000001,100,Vorauswahl!Y17)</f>
        <v>100</v>
      </c>
      <c r="S11" s="231">
        <v>0</v>
      </c>
      <c r="T11" s="231">
        <v>0</v>
      </c>
      <c r="U11" s="27">
        <f>IF(Tab_org21[[#This Row],[Nährstoffgehalt Ngesamt]]=0,0,Q11/P11*100)</f>
        <v>100</v>
      </c>
      <c r="V11" s="27">
        <f t="shared" si="5"/>
        <v>9.9999999999999995E-7</v>
      </c>
      <c r="W11" s="27" t="str">
        <f>Vorauswahl!Z17</f>
        <v/>
      </c>
      <c r="X11" s="27" t="str">
        <f>Vorauswahl!AA17</f>
        <v/>
      </c>
      <c r="Y11" s="27">
        <f t="shared" si="6"/>
        <v>9.9999999999999995E-7</v>
      </c>
      <c r="Z11" s="27">
        <f t="shared" si="6"/>
        <v>9.9999999999999995E-7</v>
      </c>
      <c r="AA11" s="27">
        <f t="shared" si="6"/>
        <v>9.9999999999999995E-7</v>
      </c>
      <c r="AB11" s="231">
        <v>0</v>
      </c>
      <c r="AC11" s="32">
        <f>IF(Tab_org21[[#This Row],[Nährstoffgehalt Ngesamt]]=0,0,IF(Z11&gt;=(Q11/P11*100),P11*Z11/100,P11*Q11/P11))</f>
        <v>100</v>
      </c>
      <c r="AD11" s="40">
        <f>IF(Tab_org21[[#This Row],[Nährstoffgehalt Ngesamt]]=0,0,IF(AA11&gt;=(Q11/P11*100),P11*AA11/100,P11*Q11/P11))</f>
        <v>100</v>
      </c>
      <c r="AE11" s="27">
        <f>IF(Tab_org21[[#This Row],[Max. Herbstdüngemenge]]=5,3,Tab_org21[[#This Row],[Greift im Herbst 30/60 Regelung?]])</f>
        <v>1</v>
      </c>
    </row>
    <row r="12" spans="1:31" s="169" customFormat="1" ht="12.75" customHeight="1" x14ac:dyDescent="0.2">
      <c r="A12" s="324" t="str" cm="1">
        <f t="array" ref="A12">IFERROR(INDEX(Tab_org21[Dünger],_xlfn.AGGREGATE(15,6,(ROW(Tab_org21[Auswahl])-6)/(--(SEARCH("x",Tab_org21[Auswahl])&gt;0)),ROW()-6),1),"")</f>
        <v>RG150</v>
      </c>
      <c r="B12" s="324" t="str">
        <f>Vorauswahl!S18</f>
        <v/>
      </c>
      <c r="C12" s="15" t="str">
        <f>IF(Vorauswahl!AB18="OK",CONCATENATE("*",Vorauswahl!R18," ",Vorauswahl!U18),"#")</f>
        <v>#</v>
      </c>
      <c r="D12" s="338" t="str">
        <f>CONCATENATE(Tab_org21[[#This Row],[Dünger]]," (",Tab_org21[[#This Row],[EDV Code]],", ",Vorauswahl!V18,")")</f>
        <v># (#, )</v>
      </c>
      <c r="E12" s="230" t="str">
        <f t="shared" si="1"/>
        <v>#</v>
      </c>
      <c r="F12" s="14" t="str">
        <f>IF(OR(Vorauswahl!T18=$D$66,Vorauswahl!T18=""),"#",Vorauswahl!T18)</f>
        <v>#</v>
      </c>
      <c r="G12" s="27">
        <f t="shared" si="2"/>
        <v>9.9999999999999995E-7</v>
      </c>
      <c r="H12" s="27">
        <f t="shared" si="3"/>
        <v>9.9999999999999995E-7</v>
      </c>
      <c r="I12" s="27">
        <f t="shared" si="3"/>
        <v>9.9999999999999995E-7</v>
      </c>
      <c r="J12" s="27">
        <f t="shared" si="3"/>
        <v>9.9999999999999995E-7</v>
      </c>
      <c r="K12" s="27">
        <f t="shared" si="3"/>
        <v>9.9999999999999995E-7</v>
      </c>
      <c r="L12" s="27">
        <f t="shared" si="3"/>
        <v>9.9999999999999995E-7</v>
      </c>
      <c r="M12" s="27">
        <f t="shared" si="3"/>
        <v>1</v>
      </c>
      <c r="N12" s="27">
        <f t="shared" si="4"/>
        <v>1</v>
      </c>
      <c r="O12" s="231">
        <v>0</v>
      </c>
      <c r="P12" s="27">
        <f>IF(Z12=0.000001,100,Vorauswahl!W18)</f>
        <v>100</v>
      </c>
      <c r="Q12" s="27">
        <f>IF(Z12=0.000001,100,Vorauswahl!X18)</f>
        <v>100</v>
      </c>
      <c r="R12" s="27">
        <f>IF(Z12=0.000001,100,Vorauswahl!Y18)</f>
        <v>100</v>
      </c>
      <c r="S12" s="231">
        <v>0</v>
      </c>
      <c r="T12" s="231">
        <v>0</v>
      </c>
      <c r="U12" s="27">
        <f>IF(Tab_org21[[#This Row],[Nährstoffgehalt Ngesamt]]=0,0,Q12/P12*100)</f>
        <v>100</v>
      </c>
      <c r="V12" s="27">
        <f t="shared" si="5"/>
        <v>9.9999999999999995E-7</v>
      </c>
      <c r="W12" s="27" t="str">
        <f>Vorauswahl!Z18</f>
        <v/>
      </c>
      <c r="X12" s="27" t="str">
        <f>Vorauswahl!AA18</f>
        <v/>
      </c>
      <c r="Y12" s="27">
        <f t="shared" si="6"/>
        <v>9.9999999999999995E-7</v>
      </c>
      <c r="Z12" s="27">
        <f t="shared" si="6"/>
        <v>9.9999999999999995E-7</v>
      </c>
      <c r="AA12" s="27">
        <f t="shared" si="6"/>
        <v>9.9999999999999995E-7</v>
      </c>
      <c r="AB12" s="231">
        <v>0</v>
      </c>
      <c r="AC12" s="32">
        <f>IF(Tab_org21[[#This Row],[Nährstoffgehalt Ngesamt]]=0,0,IF(Z12&gt;=(Q12/P12*100),P12*Z12/100,P12*Q12/P12))</f>
        <v>100</v>
      </c>
      <c r="AD12" s="40">
        <f>IF(Tab_org21[[#This Row],[Nährstoffgehalt Ngesamt]]=0,0,IF(AA12&gt;=(Q12/P12*100),P12*AA12/100,P12*Q12/P12))</f>
        <v>100</v>
      </c>
      <c r="AE12" s="27">
        <f>IF(Tab_org21[[#This Row],[Max. Herbstdüngemenge]]=5,3,Tab_org21[[#This Row],[Greift im Herbst 30/60 Regelung?]])</f>
        <v>1</v>
      </c>
    </row>
    <row r="13" spans="1:31" s="304" customFormat="1" ht="12.75" customHeight="1" x14ac:dyDescent="0.2">
      <c r="A13" s="324" t="str" cm="1">
        <f t="array" ref="A13">IFERROR(INDEX(Tab_org21[Dünger],_xlfn.AGGREGATE(15,6,(ROW(Tab_org21[Auswahl])-6)/(--(SEARCH("x",Tab_org21[Auswahl])&gt;0)),ROW()-6),1),"")</f>
        <v>RG160</v>
      </c>
      <c r="B13" s="324" t="str">
        <f>Vorauswahl!S19</f>
        <v/>
      </c>
      <c r="C13" s="15" t="str">
        <f>IF(Vorauswahl!AB19="OK",CONCATENATE("*",Vorauswahl!R19," ",Vorauswahl!U19),"#")</f>
        <v>#</v>
      </c>
      <c r="D13" s="338" t="str">
        <f>CONCATENATE(Tab_org21[[#This Row],[Dünger]]," (",Tab_org21[[#This Row],[EDV Code]],", ",Vorauswahl!V19,")")</f>
        <v># (#, )</v>
      </c>
      <c r="E13" s="230" t="str">
        <f t="shared" si="1"/>
        <v>#</v>
      </c>
      <c r="F13" s="14" t="str">
        <f>IF(OR(Vorauswahl!T19=$D$66,Vorauswahl!T19=""),"#",Vorauswahl!T19)</f>
        <v>#</v>
      </c>
      <c r="G13" s="27">
        <f t="shared" si="2"/>
        <v>9.9999999999999995E-7</v>
      </c>
      <c r="H13" s="27">
        <f t="shared" si="3"/>
        <v>9.9999999999999995E-7</v>
      </c>
      <c r="I13" s="27">
        <f t="shared" si="3"/>
        <v>9.9999999999999995E-7</v>
      </c>
      <c r="J13" s="27">
        <f t="shared" si="3"/>
        <v>9.9999999999999995E-7</v>
      </c>
      <c r="K13" s="27">
        <f t="shared" si="3"/>
        <v>9.9999999999999995E-7</v>
      </c>
      <c r="L13" s="27">
        <f t="shared" si="3"/>
        <v>9.9999999999999995E-7</v>
      </c>
      <c r="M13" s="27">
        <f t="shared" si="3"/>
        <v>1</v>
      </c>
      <c r="N13" s="27">
        <f t="shared" si="4"/>
        <v>1</v>
      </c>
      <c r="O13" s="231">
        <v>0</v>
      </c>
      <c r="P13" s="27">
        <f>IF(Z13=0.000001,100,Vorauswahl!W19)</f>
        <v>100</v>
      </c>
      <c r="Q13" s="27">
        <f>IF(Z13=0.000001,100,Vorauswahl!X19)</f>
        <v>100</v>
      </c>
      <c r="R13" s="27">
        <f>IF(Z13=0.000001,100,Vorauswahl!Y19)</f>
        <v>100</v>
      </c>
      <c r="S13" s="231">
        <v>0</v>
      </c>
      <c r="T13" s="231">
        <v>0</v>
      </c>
      <c r="U13" s="27">
        <f>IF(Tab_org21[[#This Row],[Nährstoffgehalt Ngesamt]]=0,0,Q13/P13*100)</f>
        <v>100</v>
      </c>
      <c r="V13" s="27">
        <f t="shared" si="5"/>
        <v>9.9999999999999995E-7</v>
      </c>
      <c r="W13" s="27" t="str">
        <f>Vorauswahl!Z19</f>
        <v/>
      </c>
      <c r="X13" s="27" t="str">
        <f>Vorauswahl!AA19</f>
        <v/>
      </c>
      <c r="Y13" s="27">
        <f t="shared" si="6"/>
        <v>9.9999999999999995E-7</v>
      </c>
      <c r="Z13" s="27">
        <f t="shared" si="6"/>
        <v>9.9999999999999995E-7</v>
      </c>
      <c r="AA13" s="27">
        <f t="shared" si="6"/>
        <v>9.9999999999999995E-7</v>
      </c>
      <c r="AB13" s="231">
        <v>0</v>
      </c>
      <c r="AC13" s="32">
        <f>IF(Tab_org21[[#This Row],[Nährstoffgehalt Ngesamt]]=0,0,IF(Z13&gt;=(Q13/P13*100),P13*Z13/100,P13*Q13/P13))</f>
        <v>100</v>
      </c>
      <c r="AD13" s="40">
        <f>IF(Tab_org21[[#This Row],[Nährstoffgehalt Ngesamt]]=0,0,IF(AA13&gt;=(Q13/P13*100),P13*AA13/100,P13*Q13/P13))</f>
        <v>100</v>
      </c>
      <c r="AE13" s="27">
        <f>IF(Tab_org21[[#This Row],[Max. Herbstdüngemenge]]=5,3,Tab_org21[[#This Row],[Greift im Herbst 30/60 Regelung?]])</f>
        <v>1</v>
      </c>
    </row>
    <row r="14" spans="1:31" s="304" customFormat="1" ht="12.75" customHeight="1" x14ac:dyDescent="0.2">
      <c r="A14" s="324" t="str" cm="1">
        <f t="array" ref="A14">IFERROR(INDEX(Tab_org21[Dünger],_xlfn.AGGREGATE(15,6,(ROW(Tab_org21[Auswahl])-6)/(--(SEARCH("x",Tab_org21[Auswahl])&gt;0)),ROW()-6),1),"")</f>
        <v>RM170</v>
      </c>
      <c r="B14" s="324" t="str">
        <f>Vorauswahl!S20</f>
        <v/>
      </c>
      <c r="C14" s="15" t="str">
        <f>IF(Vorauswahl!AB20="OK",CONCATENATE("*",Vorauswahl!R20," ",Vorauswahl!U20),"#")</f>
        <v>#</v>
      </c>
      <c r="D14" s="338" t="str">
        <f>CONCATENATE(Tab_org21[[#This Row],[Dünger]]," (",Tab_org21[[#This Row],[EDV Code]],", ",Vorauswahl!V20,")")</f>
        <v># (#, )</v>
      </c>
      <c r="E14" s="230" t="str">
        <f t="shared" si="1"/>
        <v>#</v>
      </c>
      <c r="F14" s="14" t="str">
        <f>IF(OR(Vorauswahl!T20=$D$66,Vorauswahl!T20=""),"#",Vorauswahl!T20)</f>
        <v>#</v>
      </c>
      <c r="G14" s="27">
        <f t="shared" si="2"/>
        <v>9.9999999999999995E-7</v>
      </c>
      <c r="H14" s="27">
        <f t="shared" si="3"/>
        <v>9.9999999999999995E-7</v>
      </c>
      <c r="I14" s="27">
        <f t="shared" si="3"/>
        <v>9.9999999999999995E-7</v>
      </c>
      <c r="J14" s="27">
        <f t="shared" si="3"/>
        <v>9.9999999999999995E-7</v>
      </c>
      <c r="K14" s="27">
        <f t="shared" si="3"/>
        <v>9.9999999999999995E-7</v>
      </c>
      <c r="L14" s="27">
        <f t="shared" si="3"/>
        <v>9.9999999999999995E-7</v>
      </c>
      <c r="M14" s="27">
        <f t="shared" si="3"/>
        <v>1</v>
      </c>
      <c r="N14" s="27">
        <f t="shared" si="4"/>
        <v>1</v>
      </c>
      <c r="O14" s="231">
        <v>0</v>
      </c>
      <c r="P14" s="27">
        <f>IF(Z14=0.000001,100,Vorauswahl!W20)</f>
        <v>100</v>
      </c>
      <c r="Q14" s="27">
        <f>IF(Z14=0.000001,100,Vorauswahl!X20)</f>
        <v>100</v>
      </c>
      <c r="R14" s="27">
        <f>IF(Z14=0.000001,100,Vorauswahl!Y20)</f>
        <v>100</v>
      </c>
      <c r="S14" s="231">
        <v>0</v>
      </c>
      <c r="T14" s="231">
        <v>0</v>
      </c>
      <c r="U14" s="27">
        <f>IF(Tab_org21[[#This Row],[Nährstoffgehalt Ngesamt]]=0,0,Q14/P14*100)</f>
        <v>100</v>
      </c>
      <c r="V14" s="27">
        <f t="shared" si="5"/>
        <v>9.9999999999999995E-7</v>
      </c>
      <c r="W14" s="27" t="str">
        <f>Vorauswahl!Z20</f>
        <v/>
      </c>
      <c r="X14" s="27" t="str">
        <f>Vorauswahl!AA20</f>
        <v/>
      </c>
      <c r="Y14" s="27">
        <f t="shared" si="6"/>
        <v>9.9999999999999995E-7</v>
      </c>
      <c r="Z14" s="27">
        <f t="shared" si="6"/>
        <v>9.9999999999999995E-7</v>
      </c>
      <c r="AA14" s="27">
        <f t="shared" si="6"/>
        <v>9.9999999999999995E-7</v>
      </c>
      <c r="AB14" s="231">
        <v>0</v>
      </c>
      <c r="AC14" s="32">
        <f>IF(Tab_org21[[#This Row],[Nährstoffgehalt Ngesamt]]=0,0,IF(Z14&gt;=(Q14/P14*100),P14*Z14/100,P14*Q14/P14))</f>
        <v>100</v>
      </c>
      <c r="AD14" s="40">
        <f>IF(Tab_org21[[#This Row],[Nährstoffgehalt Ngesamt]]=0,0,IF(AA14&gt;=(Q14/P14*100),P14*AA14/100,P14*Q14/P14))</f>
        <v>100</v>
      </c>
      <c r="AE14" s="27">
        <f>IF(Tab_org21[[#This Row],[Max. Herbstdüngemenge]]=5,3,Tab_org21[[#This Row],[Greift im Herbst 30/60 Regelung?]])</f>
        <v>1</v>
      </c>
    </row>
    <row r="15" spans="1:31" s="304" customFormat="1" ht="12.75" customHeight="1" x14ac:dyDescent="0.2">
      <c r="A15" s="324" t="str" cm="1">
        <f t="array" ref="A15">IFERROR(INDEX(Tab_org21[Dünger],_xlfn.AGGREGATE(15,6,(ROW(Tab_org21[Auswahl])-6)/(--(SEARCH("x",Tab_org21[Auswahl])&gt;0)),ROW()-6),1),"")</f>
        <v>RM180</v>
      </c>
      <c r="B15" s="324" t="str">
        <f>Vorauswahl!S21</f>
        <v/>
      </c>
      <c r="C15" s="15" t="str">
        <f>IF(Vorauswahl!AB21="OK",CONCATENATE("*",Vorauswahl!R21," ",Vorauswahl!U21),"#")</f>
        <v>#</v>
      </c>
      <c r="D15" s="338" t="str">
        <f>CONCATENATE(Tab_org21[[#This Row],[Dünger]]," (",Tab_org21[[#This Row],[EDV Code]],", ",Vorauswahl!V21,")")</f>
        <v># (#, )</v>
      </c>
      <c r="E15" s="230" t="str">
        <f t="shared" si="1"/>
        <v>#</v>
      </c>
      <c r="F15" s="14" t="str">
        <f>IF(OR(Vorauswahl!T21=$D$66,Vorauswahl!T21=""),"#",Vorauswahl!T21)</f>
        <v>#</v>
      </c>
      <c r="G15" s="27">
        <f t="shared" si="2"/>
        <v>9.9999999999999995E-7</v>
      </c>
      <c r="H15" s="27">
        <f t="shared" si="3"/>
        <v>9.9999999999999995E-7</v>
      </c>
      <c r="I15" s="27">
        <f t="shared" si="3"/>
        <v>9.9999999999999995E-7</v>
      </c>
      <c r="J15" s="27">
        <f t="shared" si="3"/>
        <v>9.9999999999999995E-7</v>
      </c>
      <c r="K15" s="27">
        <f t="shared" si="3"/>
        <v>9.9999999999999995E-7</v>
      </c>
      <c r="L15" s="27">
        <f t="shared" si="3"/>
        <v>9.9999999999999995E-7</v>
      </c>
      <c r="M15" s="27">
        <f t="shared" si="3"/>
        <v>1</v>
      </c>
      <c r="N15" s="27">
        <f t="shared" si="4"/>
        <v>1</v>
      </c>
      <c r="O15" s="231">
        <v>0</v>
      </c>
      <c r="P15" s="27">
        <f>IF(Z15=0.000001,100,Vorauswahl!W21)</f>
        <v>100</v>
      </c>
      <c r="Q15" s="27">
        <f>IF(Z15=0.000001,100,Vorauswahl!X21)</f>
        <v>100</v>
      </c>
      <c r="R15" s="27">
        <f>IF(Z15=0.000001,100,Vorauswahl!Y21)</f>
        <v>100</v>
      </c>
      <c r="S15" s="231">
        <v>0</v>
      </c>
      <c r="T15" s="231">
        <v>0</v>
      </c>
      <c r="U15" s="27">
        <f>IF(Tab_org21[[#This Row],[Nährstoffgehalt Ngesamt]]=0,0,Q15/P15*100)</f>
        <v>100</v>
      </c>
      <c r="V15" s="27">
        <f t="shared" si="5"/>
        <v>9.9999999999999995E-7</v>
      </c>
      <c r="W15" s="27" t="str">
        <f>Vorauswahl!Z21</f>
        <v/>
      </c>
      <c r="X15" s="27" t="str">
        <f>Vorauswahl!AA21</f>
        <v/>
      </c>
      <c r="Y15" s="27">
        <f t="shared" si="6"/>
        <v>9.9999999999999995E-7</v>
      </c>
      <c r="Z15" s="27">
        <f t="shared" si="6"/>
        <v>9.9999999999999995E-7</v>
      </c>
      <c r="AA15" s="27">
        <f t="shared" si="6"/>
        <v>9.9999999999999995E-7</v>
      </c>
      <c r="AB15" s="231">
        <v>0</v>
      </c>
      <c r="AC15" s="32">
        <f>IF(Tab_org21[[#This Row],[Nährstoffgehalt Ngesamt]]=0,0,IF(Z15&gt;=(Q15/P15*100),P15*Z15/100,P15*Q15/P15))</f>
        <v>100</v>
      </c>
      <c r="AD15" s="40">
        <f>IF(Tab_org21[[#This Row],[Nährstoffgehalt Ngesamt]]=0,0,IF(AA15&gt;=(Q15/P15*100),P15*AA15/100,P15*Q15/P15))</f>
        <v>100</v>
      </c>
      <c r="AE15" s="27">
        <f>IF(Tab_org21[[#This Row],[Max. Herbstdüngemenge]]=5,3,Tab_org21[[#This Row],[Greift im Herbst 30/60 Regelung?]])</f>
        <v>1</v>
      </c>
    </row>
    <row r="16" spans="1:31" s="304" customFormat="1" ht="12.75" customHeight="1" x14ac:dyDescent="0.2">
      <c r="A16" s="324" t="str" cm="1">
        <f t="array" ref="A16">IFERROR(INDEX(Tab_org21[Dünger],_xlfn.AGGREGATE(15,6,(ROW(Tab_org21[Auswahl])-6)/(--(SEARCH("x",Tab_org21[Auswahl])&gt;0)),ROW()-6),1),"")</f>
        <v>RJ190</v>
      </c>
      <c r="B16" s="324" t="str">
        <f>Vorauswahl!S22</f>
        <v/>
      </c>
      <c r="C16" s="15" t="str">
        <f>IF(Vorauswahl!AB22="OK",CONCATENATE("*",Vorauswahl!R22," ",Vorauswahl!U22),"#")</f>
        <v>#</v>
      </c>
      <c r="D16" s="338" t="str">
        <f>CONCATENATE(Tab_org21[[#This Row],[Dünger]]," (",Tab_org21[[#This Row],[EDV Code]],", ",Vorauswahl!V22,")")</f>
        <v># (#, )</v>
      </c>
      <c r="E16" s="230" t="str">
        <f t="shared" si="1"/>
        <v>#</v>
      </c>
      <c r="F16" s="14" t="str">
        <f>IF(OR(Vorauswahl!T22=$D$66,Vorauswahl!T22=""),"#",Vorauswahl!T22)</f>
        <v>#</v>
      </c>
      <c r="G16" s="27">
        <f t="shared" si="2"/>
        <v>9.9999999999999995E-7</v>
      </c>
      <c r="H16" s="27">
        <f t="shared" si="3"/>
        <v>9.9999999999999995E-7</v>
      </c>
      <c r="I16" s="27">
        <f t="shared" si="3"/>
        <v>9.9999999999999995E-7</v>
      </c>
      <c r="J16" s="27">
        <f t="shared" si="3"/>
        <v>9.9999999999999995E-7</v>
      </c>
      <c r="K16" s="27">
        <f t="shared" si="3"/>
        <v>9.9999999999999995E-7</v>
      </c>
      <c r="L16" s="27">
        <f t="shared" si="3"/>
        <v>9.9999999999999995E-7</v>
      </c>
      <c r="M16" s="27">
        <f t="shared" si="3"/>
        <v>1</v>
      </c>
      <c r="N16" s="27">
        <f t="shared" si="4"/>
        <v>1</v>
      </c>
      <c r="O16" s="231">
        <v>0</v>
      </c>
      <c r="P16" s="27">
        <f>IF(Z16=0.000001,100,Vorauswahl!W22)</f>
        <v>100</v>
      </c>
      <c r="Q16" s="27">
        <f>IF(Z16=0.000001,100,Vorauswahl!X22)</f>
        <v>100</v>
      </c>
      <c r="R16" s="27">
        <f>IF(Z16=0.000001,100,Vorauswahl!Y22)</f>
        <v>100</v>
      </c>
      <c r="S16" s="231">
        <v>0</v>
      </c>
      <c r="T16" s="231">
        <v>0</v>
      </c>
      <c r="U16" s="27">
        <f>IF(Tab_org21[[#This Row],[Nährstoffgehalt Ngesamt]]=0,0,Q16/P16*100)</f>
        <v>100</v>
      </c>
      <c r="V16" s="27">
        <f t="shared" si="5"/>
        <v>9.9999999999999995E-7</v>
      </c>
      <c r="W16" s="27" t="str">
        <f>Vorauswahl!Z22</f>
        <v/>
      </c>
      <c r="X16" s="27" t="str">
        <f>Vorauswahl!AA22</f>
        <v/>
      </c>
      <c r="Y16" s="27">
        <f t="shared" si="6"/>
        <v>9.9999999999999995E-7</v>
      </c>
      <c r="Z16" s="27">
        <f t="shared" si="6"/>
        <v>9.9999999999999995E-7</v>
      </c>
      <c r="AA16" s="27">
        <f t="shared" si="6"/>
        <v>9.9999999999999995E-7</v>
      </c>
      <c r="AB16" s="231">
        <v>0</v>
      </c>
      <c r="AC16" s="32">
        <f>IF(Tab_org21[[#This Row],[Nährstoffgehalt Ngesamt]]=0,0,IF(Z16&gt;=(Q16/P16*100),P16*Z16/100,P16*Q16/P16))</f>
        <v>100</v>
      </c>
      <c r="AD16" s="40">
        <f>IF(Tab_org21[[#This Row],[Nährstoffgehalt Ngesamt]]=0,0,IF(AA16&gt;=(Q16/P16*100),P16*AA16/100,P16*Q16/P16))</f>
        <v>100</v>
      </c>
      <c r="AE16" s="27">
        <f>IF(Tab_org21[[#This Row],[Max. Herbstdüngemenge]]=5,3,Tab_org21[[#This Row],[Greift im Herbst 30/60 Regelung?]])</f>
        <v>1</v>
      </c>
    </row>
    <row r="17" spans="1:31" s="169" customFormat="1" ht="12.75" customHeight="1" x14ac:dyDescent="0.2">
      <c r="A17" s="324" t="str" cm="1">
        <f t="array" ref="A17">IFERROR(INDEX(Tab_org21[Dünger],_xlfn.AGGREGATE(15,6,(ROW(Tab_org21[Auswahl])-6)/(--(SEARCH("x",Tab_org21[Auswahl])&gt;0)),ROW()-6),1),"")</f>
        <v xml:space="preserve"> +Schw.+</v>
      </c>
      <c r="B17" s="324" t="str">
        <f>Vorauswahl!S23</f>
        <v/>
      </c>
      <c r="C17" s="15" t="str">
        <f>IF(Vorauswahl!AB23="OK",CONCATENATE("*",Vorauswahl!R23," ",Vorauswahl!U23),"#")</f>
        <v>#</v>
      </c>
      <c r="D17" s="338" t="str">
        <f>CONCATENATE(Tab_org21[[#This Row],[Dünger]]," (",Tab_org21[[#This Row],[EDV Code]],", ",Vorauswahl!V23,")")</f>
        <v># (#, )</v>
      </c>
      <c r="E17" s="230" t="str">
        <f t="shared" si="1"/>
        <v>#</v>
      </c>
      <c r="F17" s="14" t="str">
        <f>IF(OR(Vorauswahl!T23=$D$66,Vorauswahl!T23=""),"#",Vorauswahl!T23)</f>
        <v>#</v>
      </c>
      <c r="G17" s="27">
        <f t="shared" si="2"/>
        <v>9.9999999999999995E-7</v>
      </c>
      <c r="H17" s="27">
        <f t="shared" si="3"/>
        <v>9.9999999999999995E-7</v>
      </c>
      <c r="I17" s="27">
        <f t="shared" si="3"/>
        <v>9.9999999999999995E-7</v>
      </c>
      <c r="J17" s="27">
        <f t="shared" si="3"/>
        <v>9.9999999999999995E-7</v>
      </c>
      <c r="K17" s="27">
        <f t="shared" si="3"/>
        <v>9.9999999999999995E-7</v>
      </c>
      <c r="L17" s="27">
        <f t="shared" si="3"/>
        <v>9.9999999999999995E-7</v>
      </c>
      <c r="M17" s="27">
        <f t="shared" si="3"/>
        <v>1</v>
      </c>
      <c r="N17" s="27">
        <f t="shared" si="4"/>
        <v>1</v>
      </c>
      <c r="O17" s="231">
        <v>0</v>
      </c>
      <c r="P17" s="27">
        <f>IF(Z17=0.000001,100,Vorauswahl!W23)</f>
        <v>100</v>
      </c>
      <c r="Q17" s="27">
        <f>IF(Z17=0.000001,100,Vorauswahl!X23)</f>
        <v>100</v>
      </c>
      <c r="R17" s="27">
        <f>IF(Z17=0.000001,100,Vorauswahl!Y23)</f>
        <v>100</v>
      </c>
      <c r="S17" s="231">
        <v>0</v>
      </c>
      <c r="T17" s="231">
        <v>0</v>
      </c>
      <c r="U17" s="27">
        <f>IF(Tab_org21[[#This Row],[Nährstoffgehalt Ngesamt]]=0,0,Q17/P17*100)</f>
        <v>100</v>
      </c>
      <c r="V17" s="27">
        <f t="shared" si="5"/>
        <v>9.9999999999999995E-7</v>
      </c>
      <c r="W17" s="27" t="str">
        <f>Vorauswahl!Z23</f>
        <v/>
      </c>
      <c r="X17" s="27" t="str">
        <f>Vorauswahl!AA23</f>
        <v/>
      </c>
      <c r="Y17" s="27">
        <f t="shared" si="6"/>
        <v>9.9999999999999995E-7</v>
      </c>
      <c r="Z17" s="27">
        <f t="shared" si="6"/>
        <v>9.9999999999999995E-7</v>
      </c>
      <c r="AA17" s="27">
        <f t="shared" si="6"/>
        <v>9.9999999999999995E-7</v>
      </c>
      <c r="AB17" s="231">
        <v>0</v>
      </c>
      <c r="AC17" s="32">
        <f>IF(Tab_org21[[#This Row],[Nährstoffgehalt Ngesamt]]=0,0,IF(Z17&gt;=(Q17/P17*100),P17*Z17/100,P17*Q17/P17))</f>
        <v>100</v>
      </c>
      <c r="AD17" s="40">
        <f>IF(Tab_org21[[#This Row],[Nährstoffgehalt Ngesamt]]=0,0,IF(AA17&gt;=(Q17/P17*100),P17*AA17/100,P17*Q17/P17))</f>
        <v>100</v>
      </c>
      <c r="AE17" s="27">
        <f>IF(Tab_org21[[#This Row],[Max. Herbstdüngemenge]]=5,3,Tab_org21[[#This Row],[Greift im Herbst 30/60 Regelung?]])</f>
        <v>1</v>
      </c>
    </row>
    <row r="18" spans="1:31" s="169" customFormat="1" ht="12.75" customHeight="1" x14ac:dyDescent="0.2">
      <c r="A18" s="324" t="str" cm="1">
        <f t="array" ref="A18">IFERROR(INDEX(Tab_org21[Dünger],_xlfn.AGGREGATE(15,6,(ROW(Tab_org21[Auswahl])-6)/(--(SEARCH("x",Tab_org21[Auswahl])&gt;0)),ROW()-6),1),"")</f>
        <v>SG210</v>
      </c>
      <c r="B18" s="324" t="str">
        <f>Vorauswahl!S24</f>
        <v/>
      </c>
      <c r="C18" s="15" t="str">
        <f>IF(Vorauswahl!AB24="OK",CONCATENATE("*",Vorauswahl!R24," ",Vorauswahl!U24),"#")</f>
        <v>#</v>
      </c>
      <c r="D18" s="338" t="str">
        <f>CONCATENATE(Tab_org21[[#This Row],[Dünger]]," (",Tab_org21[[#This Row],[EDV Code]],", ",Vorauswahl!V24,")")</f>
        <v># (#, )</v>
      </c>
      <c r="E18" s="230" t="str">
        <f t="shared" si="1"/>
        <v>#</v>
      </c>
      <c r="F18" s="14" t="str">
        <f>IF(OR(Vorauswahl!T24=$D$66,Vorauswahl!T24=""),"#",Vorauswahl!T24)</f>
        <v>#</v>
      </c>
      <c r="G18" s="27">
        <f t="shared" si="2"/>
        <v>9.9999999999999995E-7</v>
      </c>
      <c r="H18" s="27">
        <f t="shared" si="3"/>
        <v>9.9999999999999995E-7</v>
      </c>
      <c r="I18" s="27">
        <f t="shared" si="3"/>
        <v>9.9999999999999995E-7</v>
      </c>
      <c r="J18" s="27">
        <f t="shared" si="3"/>
        <v>9.9999999999999995E-7</v>
      </c>
      <c r="K18" s="27">
        <f t="shared" si="3"/>
        <v>9.9999999999999995E-7</v>
      </c>
      <c r="L18" s="27">
        <f t="shared" si="3"/>
        <v>9.9999999999999995E-7</v>
      </c>
      <c r="M18" s="27">
        <f t="shared" si="3"/>
        <v>1</v>
      </c>
      <c r="N18" s="27">
        <f t="shared" si="4"/>
        <v>1</v>
      </c>
      <c r="O18" s="231">
        <v>0</v>
      </c>
      <c r="P18" s="27">
        <f>IF(Z18=0.000001,100,Vorauswahl!W24)</f>
        <v>100</v>
      </c>
      <c r="Q18" s="27">
        <f>IF(Z18=0.000001,100,Vorauswahl!X24)</f>
        <v>100</v>
      </c>
      <c r="R18" s="27">
        <f>IF(Z18=0.000001,100,Vorauswahl!Y24)</f>
        <v>100</v>
      </c>
      <c r="S18" s="231">
        <v>0</v>
      </c>
      <c r="T18" s="231">
        <v>0</v>
      </c>
      <c r="U18" s="27">
        <f>IF(Tab_org21[[#This Row],[Nährstoffgehalt Ngesamt]]=0,0,Q18/P18*100)</f>
        <v>100</v>
      </c>
      <c r="V18" s="27">
        <f t="shared" si="5"/>
        <v>9.9999999999999995E-7</v>
      </c>
      <c r="W18" s="27" t="str">
        <f>Vorauswahl!Z24</f>
        <v/>
      </c>
      <c r="X18" s="27" t="str">
        <f>Vorauswahl!AA24</f>
        <v/>
      </c>
      <c r="Y18" s="27">
        <f t="shared" si="6"/>
        <v>9.9999999999999995E-7</v>
      </c>
      <c r="Z18" s="27">
        <f t="shared" si="6"/>
        <v>9.9999999999999995E-7</v>
      </c>
      <c r="AA18" s="27">
        <f t="shared" si="6"/>
        <v>9.9999999999999995E-7</v>
      </c>
      <c r="AB18" s="231">
        <v>0</v>
      </c>
      <c r="AC18" s="32">
        <f>IF(Tab_org21[[#This Row],[Nährstoffgehalt Ngesamt]]=0,0,IF(Z18&gt;=(Q18/P18*100),P18*Z18/100,P18*Q18/P18))</f>
        <v>100</v>
      </c>
      <c r="AD18" s="40">
        <f>IF(Tab_org21[[#This Row],[Nährstoffgehalt Ngesamt]]=0,0,IF(AA18&gt;=(Q18/P18*100),P18*AA18/100,P18*Q18/P18))</f>
        <v>100</v>
      </c>
      <c r="AE18" s="27">
        <f>IF(Tab_org21[[#This Row],[Max. Herbstdüngemenge]]=5,3,Tab_org21[[#This Row],[Greift im Herbst 30/60 Regelung?]])</f>
        <v>1</v>
      </c>
    </row>
    <row r="19" spans="1:31" s="685" customFormat="1" ht="12.75" customHeight="1" thickBot="1" x14ac:dyDescent="0.25">
      <c r="A19" s="324" t="str" cm="1">
        <f t="array" ref="A19">IFERROR(INDEX(Tab_org21[Dünger],_xlfn.AGGREGATE(15,6,(ROW(Tab_org21[Auswahl])-6)/(--(SEARCH("x",Tab_org21[Auswahl])&gt;0)),ROW()-6),1),"")</f>
        <v>SG220</v>
      </c>
      <c r="B19" s="324" t="str">
        <f>Vorauswahl!S25</f>
        <v>Auswahl</v>
      </c>
      <c r="C19" s="15" t="s">
        <v>1538</v>
      </c>
      <c r="D19" s="710"/>
      <c r="E19" s="230"/>
      <c r="F19" s="14"/>
      <c r="G19" s="27">
        <v>0</v>
      </c>
      <c r="H19" s="27">
        <v>0</v>
      </c>
      <c r="I19" s="27">
        <v>0</v>
      </c>
      <c r="J19" s="27">
        <v>0</v>
      </c>
      <c r="K19" s="27">
        <v>0</v>
      </c>
      <c r="L19" s="27">
        <v>0</v>
      </c>
      <c r="M19" s="27">
        <v>0</v>
      </c>
      <c r="N19" s="27">
        <v>0</v>
      </c>
      <c r="O19" s="231">
        <v>0</v>
      </c>
      <c r="P19" s="27">
        <v>0</v>
      </c>
      <c r="Q19" s="27">
        <v>0</v>
      </c>
      <c r="R19" s="27">
        <v>0</v>
      </c>
      <c r="S19" s="231">
        <v>0</v>
      </c>
      <c r="T19" s="231">
        <v>0</v>
      </c>
      <c r="U19" s="27">
        <v>0</v>
      </c>
      <c r="V19" s="27">
        <v>0</v>
      </c>
      <c r="W19" s="27">
        <v>0</v>
      </c>
      <c r="X19" s="27">
        <v>0</v>
      </c>
      <c r="Y19" s="27">
        <v>0</v>
      </c>
      <c r="Z19" s="27">
        <v>0</v>
      </c>
      <c r="AA19" s="27">
        <v>0</v>
      </c>
      <c r="AB19" s="231">
        <v>0</v>
      </c>
      <c r="AC19" s="32">
        <v>0</v>
      </c>
      <c r="AD19" s="40">
        <v>0</v>
      </c>
      <c r="AE19" s="27">
        <f>IF(Tab_org21[[#This Row],[Max. Herbstdüngemenge]]=5,3,Tab_org21[[#This Row],[Greift im Herbst 30/60 Regelung?]])</f>
        <v>0</v>
      </c>
    </row>
    <row r="20" spans="1:31" ht="15" customHeight="1" x14ac:dyDescent="0.2">
      <c r="A20" s="324" t="str" cm="1">
        <f t="array" ref="A20">IFERROR(INDEX(Tab_org21[Dünger],_xlfn.AGGREGATE(15,6,(ROW(Tab_org21[Auswahl])-6)/(--(SEARCH("x",Tab_org21[Auswahl])&gt;0)),ROW()-6),1),"")</f>
        <v>SG230</v>
      </c>
      <c r="B20" s="324" t="str">
        <f>IF(Tab_org21[[#This Row],[Dünger]]=$C$60,IF($B$4=0,0,"x"),IF($B$4=0,"x",Vorauswahl!S26))</f>
        <v>x</v>
      </c>
      <c r="C20" s="323" t="s">
        <v>1124</v>
      </c>
      <c r="D20" s="337" t="s">
        <v>395</v>
      </c>
      <c r="E20" s="182"/>
      <c r="F20" s="310"/>
      <c r="G20" s="13">
        <v>0</v>
      </c>
      <c r="H20" s="311">
        <v>0</v>
      </c>
      <c r="I20" s="312">
        <v>0</v>
      </c>
      <c r="J20" s="312">
        <v>0</v>
      </c>
      <c r="K20" s="312">
        <v>0</v>
      </c>
      <c r="L20" s="312">
        <v>0</v>
      </c>
      <c r="M20" s="187">
        <v>0</v>
      </c>
      <c r="N20" s="187">
        <v>0</v>
      </c>
      <c r="O20" s="13">
        <v>0</v>
      </c>
      <c r="P20" s="315">
        <v>0</v>
      </c>
      <c r="Q20" s="316">
        <v>0</v>
      </c>
      <c r="R20" s="317">
        <v>0</v>
      </c>
      <c r="S20" s="317">
        <v>0</v>
      </c>
      <c r="T20" s="13">
        <v>0</v>
      </c>
      <c r="U20" s="318">
        <v>0</v>
      </c>
      <c r="V20" s="319">
        <v>0</v>
      </c>
      <c r="W20" s="320">
        <v>0</v>
      </c>
      <c r="X20" s="321">
        <v>0</v>
      </c>
      <c r="Y20" s="311">
        <v>0</v>
      </c>
      <c r="Z20" s="322">
        <v>0</v>
      </c>
      <c r="AA20" s="322">
        <v>0</v>
      </c>
      <c r="AB20" s="185">
        <v>0</v>
      </c>
      <c r="AC20" s="32">
        <v>0</v>
      </c>
      <c r="AD20" s="40">
        <v>0</v>
      </c>
      <c r="AE20" s="27">
        <f>IF(Tab_org21[[#This Row],[Max. Herbstdüngemenge]]=5,3,Tab_org21[[#This Row],[Greift im Herbst 30/60 Regelung?]])</f>
        <v>0</v>
      </c>
    </row>
    <row r="21" spans="1:31" x14ac:dyDescent="0.2">
      <c r="A21" s="324" t="str" cm="1">
        <f t="array" ref="A21">IFERROR(INDEX(Tab_org21[Dünger],_xlfn.AGGREGATE(15,6,(ROW(Tab_org21[Auswahl])-6)/(--(SEARCH("x",Tab_org21[Auswahl])&gt;0)),ROW()-6),1),"")</f>
        <v>SG240</v>
      </c>
      <c r="B21" s="324" t="str">
        <f>IF(Tab_org21[[#This Row],[Dünger]]=$C$60,IF($B$4=0,0,"x"),IF($B$4=0,"x",Vorauswahl!S27))</f>
        <v>x</v>
      </c>
      <c r="C21" s="186" t="s">
        <v>397</v>
      </c>
      <c r="D21" s="938" t="s">
        <v>396</v>
      </c>
      <c r="E21" s="938" t="s">
        <v>397</v>
      </c>
      <c r="F21" s="1031">
        <v>2</v>
      </c>
      <c r="G21" s="1031">
        <v>1</v>
      </c>
      <c r="H21" s="1031">
        <v>1</v>
      </c>
      <c r="I21" s="1031">
        <v>1</v>
      </c>
      <c r="J21" s="1031">
        <v>11</v>
      </c>
      <c r="K21" s="1031">
        <v>1</v>
      </c>
      <c r="L21" s="1031">
        <v>2</v>
      </c>
      <c r="M21" s="1031">
        <v>1</v>
      </c>
      <c r="N21" s="1031">
        <v>1</v>
      </c>
      <c r="O21" s="1031">
        <v>6</v>
      </c>
      <c r="P21" s="1031">
        <v>3.3</v>
      </c>
      <c r="Q21" s="1031">
        <v>1.65</v>
      </c>
      <c r="R21" s="1031">
        <v>1.4</v>
      </c>
      <c r="S21" s="1031">
        <v>4.2</v>
      </c>
      <c r="T21" s="1031">
        <v>1.1000000000000001</v>
      </c>
      <c r="U21" s="1031">
        <v>50</v>
      </c>
      <c r="V21" s="1031">
        <v>0</v>
      </c>
      <c r="W21" s="1031">
        <v>100</v>
      </c>
      <c r="X21" s="1031">
        <v>100</v>
      </c>
      <c r="Y21" s="1031">
        <v>15</v>
      </c>
      <c r="Z21" s="1031">
        <v>60</v>
      </c>
      <c r="AA21" s="1031">
        <v>50</v>
      </c>
      <c r="AB21" s="1031">
        <v>5.5</v>
      </c>
      <c r="AC21" s="32">
        <f t="shared" ref="AC21:AC28" si="7">IF(Z21&gt;=(Q21/P21*100),P21*Z21/100,P21*Q21/P21)</f>
        <v>1.98</v>
      </c>
      <c r="AD21" s="40">
        <f t="shared" ref="AD21:AD28" si="8">IF(AA21&gt;=(Q21/P21*100),P21*AA21/100,P21*Q21/P21)</f>
        <v>1.65</v>
      </c>
      <c r="AE21" s="27">
        <f>IF(Tab_org21[[#This Row],[Max. Herbstdüngemenge]]=5,3,Tab_org21[[#This Row],[Greift im Herbst 30/60 Regelung?]])</f>
        <v>1</v>
      </c>
    </row>
    <row r="22" spans="1:31" x14ac:dyDescent="0.2">
      <c r="A22" s="324" t="str" cm="1">
        <f t="array" ref="A22">IFERROR(INDEX(Tab_org21[Dünger],_xlfn.AGGREGATE(15,6,(ROW(Tab_org21[Auswahl])-6)/(--(SEARCH("x",Tab_org21[Auswahl])&gt;0)),ROW()-6),1),"")</f>
        <v>SG250</v>
      </c>
      <c r="B22" s="324" t="str">
        <f>IF(Tab_org21[[#This Row],[Dünger]]=$C$60,IF($B$4=0,0,"x"),IF($B$4=0,"x",Vorauswahl!S28))</f>
        <v>x</v>
      </c>
      <c r="C22" s="188" t="s">
        <v>399</v>
      </c>
      <c r="D22" s="938" t="s">
        <v>398</v>
      </c>
      <c r="E22" s="938" t="s">
        <v>399</v>
      </c>
      <c r="F22" s="1031">
        <v>2</v>
      </c>
      <c r="G22" s="1031">
        <v>1</v>
      </c>
      <c r="H22" s="1031">
        <v>1</v>
      </c>
      <c r="I22" s="1031">
        <v>1</v>
      </c>
      <c r="J22" s="1031">
        <v>11</v>
      </c>
      <c r="K22" s="1031">
        <v>1</v>
      </c>
      <c r="L22" s="1031">
        <v>2</v>
      </c>
      <c r="M22" s="1031">
        <v>1</v>
      </c>
      <c r="N22" s="1031">
        <v>1</v>
      </c>
      <c r="O22" s="1031">
        <v>7.5</v>
      </c>
      <c r="P22" s="1031">
        <v>4.0999999999999996</v>
      </c>
      <c r="Q22" s="1031">
        <v>2.0499999999999998</v>
      </c>
      <c r="R22" s="1031">
        <v>1.7</v>
      </c>
      <c r="S22" s="1031">
        <v>5.3</v>
      </c>
      <c r="T22" s="1031">
        <v>1.3</v>
      </c>
      <c r="U22" s="1031">
        <v>50</v>
      </c>
      <c r="V22" s="1031">
        <v>0</v>
      </c>
      <c r="W22" s="1031">
        <v>100</v>
      </c>
      <c r="X22" s="1031">
        <v>100</v>
      </c>
      <c r="Y22" s="1031">
        <v>15</v>
      </c>
      <c r="Z22" s="1031">
        <v>60</v>
      </c>
      <c r="AA22" s="1031">
        <v>50</v>
      </c>
      <c r="AB22" s="1031">
        <v>5.5</v>
      </c>
      <c r="AC22" s="32">
        <f t="shared" si="7"/>
        <v>2.4599999999999995</v>
      </c>
      <c r="AD22" s="40">
        <f t="shared" si="8"/>
        <v>2.0499999999999998</v>
      </c>
      <c r="AE22" s="27">
        <f>IF(Tab_org21[[#This Row],[Max. Herbstdüngemenge]]=5,3,Tab_org21[[#This Row],[Greift im Herbst 30/60 Regelung?]])</f>
        <v>1</v>
      </c>
    </row>
    <row r="23" spans="1:31" x14ac:dyDescent="0.2">
      <c r="A23" s="324" t="str" cm="1">
        <f t="array" ref="A23">IFERROR(INDEX(Tab_org21[Dünger],_xlfn.AGGREGATE(15,6,(ROW(Tab_org21[Auswahl])-6)/(--(SEARCH("x",Tab_org21[Auswahl])&gt;0)),ROW()-6),1),"")</f>
        <v>SG260</v>
      </c>
      <c r="B23" s="324" t="str">
        <f>IF(Tab_org21[[#This Row],[Dünger]]=$C$60,IF($B$4=0,0,"x"),IF($B$4=0,"x",Vorauswahl!S29))</f>
        <v>x</v>
      </c>
      <c r="C23" s="186" t="s">
        <v>401</v>
      </c>
      <c r="D23" s="938" t="s">
        <v>400</v>
      </c>
      <c r="E23" s="938" t="s">
        <v>401</v>
      </c>
      <c r="F23" s="1031">
        <v>2</v>
      </c>
      <c r="G23" s="1031">
        <v>1</v>
      </c>
      <c r="H23" s="1031">
        <v>1</v>
      </c>
      <c r="I23" s="1031">
        <v>1</v>
      </c>
      <c r="J23" s="1031">
        <v>11</v>
      </c>
      <c r="K23" s="1031">
        <v>1</v>
      </c>
      <c r="L23" s="1031">
        <v>2</v>
      </c>
      <c r="M23" s="1031">
        <v>1</v>
      </c>
      <c r="N23" s="1031">
        <v>1</v>
      </c>
      <c r="O23" s="1031">
        <v>6</v>
      </c>
      <c r="P23" s="1031">
        <v>3.1</v>
      </c>
      <c r="Q23" s="1031">
        <v>1.55</v>
      </c>
      <c r="R23" s="1031">
        <v>1.4</v>
      </c>
      <c r="S23" s="1031">
        <v>3.7</v>
      </c>
      <c r="T23" s="1031">
        <v>0.9</v>
      </c>
      <c r="U23" s="1031">
        <v>50</v>
      </c>
      <c r="V23" s="1031">
        <v>0</v>
      </c>
      <c r="W23" s="1031">
        <v>100</v>
      </c>
      <c r="X23" s="1031">
        <v>100</v>
      </c>
      <c r="Y23" s="1031">
        <v>15</v>
      </c>
      <c r="Z23" s="1031">
        <v>60</v>
      </c>
      <c r="AA23" s="1031">
        <v>50</v>
      </c>
      <c r="AB23" s="1031">
        <v>5.2</v>
      </c>
      <c r="AC23" s="32">
        <f t="shared" si="7"/>
        <v>1.86</v>
      </c>
      <c r="AD23" s="40">
        <f t="shared" si="8"/>
        <v>1.55</v>
      </c>
      <c r="AE23" s="27">
        <f>IF(Tab_org21[[#This Row],[Max. Herbstdüngemenge]]=5,3,Tab_org21[[#This Row],[Greift im Herbst 30/60 Regelung?]])</f>
        <v>1</v>
      </c>
    </row>
    <row r="24" spans="1:31" x14ac:dyDescent="0.2">
      <c r="A24" s="324" t="str" cm="1">
        <f t="array" ref="A24">IFERROR(INDEX(Tab_org21[Dünger],_xlfn.AGGREGATE(15,6,(ROW(Tab_org21[Auswahl])-6)/(--(SEARCH("x",Tab_org21[Auswahl])&gt;0)),ROW()-6),1),"")</f>
        <v>SM270</v>
      </c>
      <c r="B24" s="324" t="str">
        <f>IF(Tab_org21[[#This Row],[Dünger]]=$C$60,IF($B$4=0,0,"x"),IF($B$4=0,"x",Vorauswahl!S30))</f>
        <v>x</v>
      </c>
      <c r="C24" s="188" t="s">
        <v>403</v>
      </c>
      <c r="D24" s="938" t="s">
        <v>402</v>
      </c>
      <c r="E24" s="938" t="s">
        <v>403</v>
      </c>
      <c r="F24" s="1031">
        <v>2</v>
      </c>
      <c r="G24" s="1031">
        <v>1</v>
      </c>
      <c r="H24" s="1031">
        <v>1</v>
      </c>
      <c r="I24" s="1031">
        <v>1</v>
      </c>
      <c r="J24" s="1031">
        <v>11</v>
      </c>
      <c r="K24" s="1031">
        <v>1</v>
      </c>
      <c r="L24" s="1031">
        <v>2</v>
      </c>
      <c r="M24" s="1031">
        <v>1</v>
      </c>
      <c r="N24" s="1031">
        <v>1</v>
      </c>
      <c r="O24" s="1031">
        <v>7.5</v>
      </c>
      <c r="P24" s="1031">
        <v>3.9</v>
      </c>
      <c r="Q24" s="1031">
        <v>1.95</v>
      </c>
      <c r="R24" s="1031">
        <v>1.7</v>
      </c>
      <c r="S24" s="1031">
        <v>4.7</v>
      </c>
      <c r="T24" s="1031">
        <v>1.2</v>
      </c>
      <c r="U24" s="1031">
        <v>50</v>
      </c>
      <c r="V24" s="1031">
        <v>0</v>
      </c>
      <c r="W24" s="1031">
        <v>100</v>
      </c>
      <c r="X24" s="1031">
        <v>100</v>
      </c>
      <c r="Y24" s="1031">
        <v>15</v>
      </c>
      <c r="Z24" s="1031">
        <v>60</v>
      </c>
      <c r="AA24" s="1031">
        <v>50</v>
      </c>
      <c r="AB24" s="1031">
        <v>5.2</v>
      </c>
      <c r="AC24" s="32">
        <f t="shared" si="7"/>
        <v>2.34</v>
      </c>
      <c r="AD24" s="40">
        <f t="shared" si="8"/>
        <v>1.95</v>
      </c>
      <c r="AE24" s="27">
        <f>IF(Tab_org21[[#This Row],[Max. Herbstdüngemenge]]=5,3,Tab_org21[[#This Row],[Greift im Herbst 30/60 Regelung?]])</f>
        <v>1</v>
      </c>
    </row>
    <row r="25" spans="1:31" x14ac:dyDescent="0.2">
      <c r="A25" s="324" t="str" cm="1">
        <f t="array" ref="A25">IFERROR(INDEX(Tab_org21[Dünger],_xlfn.AGGREGATE(15,6,(ROW(Tab_org21[Auswahl])-6)/(--(SEARCH("x",Tab_org21[Auswahl])&gt;0)),ROW()-6),1),"")</f>
        <v>SM290</v>
      </c>
      <c r="B25" s="324" t="str">
        <f>IF(Tab_org21[[#This Row],[Dünger]]=$C$60,IF($B$4=0,0,"x"),IF($B$4=0,"x",Vorauswahl!S31))</f>
        <v>x</v>
      </c>
      <c r="C25" s="188" t="s">
        <v>405</v>
      </c>
      <c r="D25" s="938" t="s">
        <v>404</v>
      </c>
      <c r="E25" s="938" t="s">
        <v>405</v>
      </c>
      <c r="F25" s="1031">
        <v>2</v>
      </c>
      <c r="G25" s="1031">
        <v>1</v>
      </c>
      <c r="H25" s="1031">
        <v>1</v>
      </c>
      <c r="I25" s="1031">
        <v>1</v>
      </c>
      <c r="J25" s="1031">
        <v>11</v>
      </c>
      <c r="K25" s="1031">
        <v>1</v>
      </c>
      <c r="L25" s="1031">
        <v>2</v>
      </c>
      <c r="M25" s="1031">
        <v>1</v>
      </c>
      <c r="N25" s="1031">
        <v>1</v>
      </c>
      <c r="O25" s="1031">
        <v>7.5</v>
      </c>
      <c r="P25" s="1031">
        <v>4.0999999999999996</v>
      </c>
      <c r="Q25" s="1031">
        <v>2.0499999999999998</v>
      </c>
      <c r="R25" s="1031">
        <v>1.9</v>
      </c>
      <c r="S25" s="1031">
        <v>4</v>
      </c>
      <c r="T25" s="1031">
        <v>1</v>
      </c>
      <c r="U25" s="1031">
        <v>50</v>
      </c>
      <c r="V25" s="1031">
        <v>0</v>
      </c>
      <c r="W25" s="1031">
        <v>100</v>
      </c>
      <c r="X25" s="1031">
        <v>100</v>
      </c>
      <c r="Y25" s="1031">
        <v>15</v>
      </c>
      <c r="Z25" s="1031">
        <v>60</v>
      </c>
      <c r="AA25" s="1031">
        <v>50</v>
      </c>
      <c r="AB25" s="1031">
        <v>5.5</v>
      </c>
      <c r="AC25" s="32">
        <f t="shared" si="7"/>
        <v>2.4599999999999995</v>
      </c>
      <c r="AD25" s="40">
        <f t="shared" si="8"/>
        <v>2.0499999999999998</v>
      </c>
      <c r="AE25" s="27">
        <f>IF(Tab_org21[[#This Row],[Max. Herbstdüngemenge]]=5,3,Tab_org21[[#This Row],[Greift im Herbst 30/60 Regelung?]])</f>
        <v>1</v>
      </c>
    </row>
    <row r="26" spans="1:31" x14ac:dyDescent="0.2">
      <c r="A26" s="324" t="str" cm="1">
        <f t="array" ref="A26">IFERROR(INDEX(Tab_org21[Dünger],_xlfn.AGGREGATE(15,6,(ROW(Tab_org21[Auswahl])-6)/(--(SEARCH("x",Tab_org21[Auswahl])&gt;0)),ROW()-6),1),"")</f>
        <v>SJ280</v>
      </c>
      <c r="B26" s="324" t="str">
        <f>IF(Tab_org21[[#This Row],[Dünger]]=$C$60,IF($B$4=0,0,"x"),IF($B$4=0,"x",Vorauswahl!S32))</f>
        <v>x</v>
      </c>
      <c r="C26" s="188" t="s">
        <v>406</v>
      </c>
      <c r="D26" s="938" t="s">
        <v>1162</v>
      </c>
      <c r="E26" s="938" t="s">
        <v>406</v>
      </c>
      <c r="F26" s="1031">
        <v>2</v>
      </c>
      <c r="G26" s="1031">
        <v>2</v>
      </c>
      <c r="H26" s="1031">
        <v>1</v>
      </c>
      <c r="I26" s="1031">
        <v>2</v>
      </c>
      <c r="J26" s="1031">
        <v>12</v>
      </c>
      <c r="K26" s="1031">
        <v>1</v>
      </c>
      <c r="L26" s="1031">
        <v>2</v>
      </c>
      <c r="M26" s="1031">
        <v>2</v>
      </c>
      <c r="N26" s="1031">
        <v>2</v>
      </c>
      <c r="O26" s="1031">
        <v>18.5</v>
      </c>
      <c r="P26" s="1031">
        <v>3.7</v>
      </c>
      <c r="Q26" s="1031">
        <v>0.37</v>
      </c>
      <c r="R26" s="1031">
        <v>2.5</v>
      </c>
      <c r="S26" s="1031">
        <v>5.9</v>
      </c>
      <c r="T26" s="1031">
        <v>1.9</v>
      </c>
      <c r="U26" s="1031">
        <v>10</v>
      </c>
      <c r="V26" s="1031">
        <v>11.4</v>
      </c>
      <c r="W26" s="1031">
        <v>100</v>
      </c>
      <c r="X26" s="1031">
        <v>100</v>
      </c>
      <c r="Y26" s="1031">
        <v>30</v>
      </c>
      <c r="Z26" s="1031">
        <v>25</v>
      </c>
      <c r="AA26" s="1031">
        <v>25</v>
      </c>
      <c r="AB26" s="1031">
        <v>2</v>
      </c>
      <c r="AC26" s="32">
        <f t="shared" si="7"/>
        <v>0.92500000000000004</v>
      </c>
      <c r="AD26" s="40">
        <f t="shared" si="8"/>
        <v>0.92500000000000004</v>
      </c>
      <c r="AE26" s="27">
        <f>IF(Tab_org21[[#This Row],[Max. Herbstdüngemenge]]=5,3,Tab_org21[[#This Row],[Greift im Herbst 30/60 Regelung?]])</f>
        <v>2</v>
      </c>
    </row>
    <row r="27" spans="1:31" x14ac:dyDescent="0.2">
      <c r="A27" s="324" t="str" cm="1">
        <f t="array" ref="A27">IFERROR(INDEX(Tab_org21[Dünger],_xlfn.AGGREGATE(15,6,(ROW(Tab_org21[Auswahl])-6)/(--(SEARCH("x",Tab_org21[Auswahl])&gt;0)),ROW()-6),1),"")</f>
        <v xml:space="preserve"> +Gefl.+</v>
      </c>
      <c r="B27" s="324" t="str">
        <f>IF(Tab_org21[[#This Row],[Dünger]]=$C$60,IF($B$4=0,0,"x"),IF($B$4=0,"x",Vorauswahl!S33))</f>
        <v>x</v>
      </c>
      <c r="C27" s="188" t="s">
        <v>407</v>
      </c>
      <c r="D27" s="938" t="s">
        <v>1136</v>
      </c>
      <c r="E27" s="938" t="s">
        <v>407</v>
      </c>
      <c r="F27" s="1031">
        <v>2</v>
      </c>
      <c r="G27" s="1031">
        <v>2</v>
      </c>
      <c r="H27" s="1031">
        <v>1</v>
      </c>
      <c r="I27" s="1031">
        <v>2</v>
      </c>
      <c r="J27" s="1031">
        <v>12</v>
      </c>
      <c r="K27" s="1031">
        <v>1</v>
      </c>
      <c r="L27" s="1031">
        <v>2</v>
      </c>
      <c r="M27" s="1031">
        <v>2</v>
      </c>
      <c r="N27" s="1031">
        <v>2</v>
      </c>
      <c r="O27" s="1031">
        <v>23</v>
      </c>
      <c r="P27" s="1031">
        <v>4.0999999999999996</v>
      </c>
      <c r="Q27" s="1031">
        <v>0.41</v>
      </c>
      <c r="R27" s="1031">
        <v>2.1</v>
      </c>
      <c r="S27" s="1031">
        <v>8.1</v>
      </c>
      <c r="T27" s="1031">
        <v>1.7</v>
      </c>
      <c r="U27" s="1031">
        <v>10</v>
      </c>
      <c r="V27" s="1031">
        <v>22.7</v>
      </c>
      <c r="W27" s="1031">
        <v>100</v>
      </c>
      <c r="X27" s="1031">
        <v>100</v>
      </c>
      <c r="Y27" s="1031">
        <v>30</v>
      </c>
      <c r="Z27" s="1031">
        <v>25</v>
      </c>
      <c r="AA27" s="1031">
        <v>25</v>
      </c>
      <c r="AB27" s="1031">
        <v>1.8</v>
      </c>
      <c r="AC27" s="32">
        <f t="shared" si="7"/>
        <v>1.0249999999999999</v>
      </c>
      <c r="AD27" s="40">
        <f t="shared" si="8"/>
        <v>1.0249999999999999</v>
      </c>
      <c r="AE27" s="27">
        <f>IF(Tab_org21[[#This Row],[Max. Herbstdüngemenge]]=5,3,Tab_org21[[#This Row],[Greift im Herbst 30/60 Regelung?]])</f>
        <v>2</v>
      </c>
    </row>
    <row r="28" spans="1:31" x14ac:dyDescent="0.2">
      <c r="A28" s="324" t="str" cm="1">
        <f t="array" ref="A28">IFERROR(INDEX(Tab_org21[Dünger],_xlfn.AGGREGATE(15,6,(ROW(Tab_org21[Auswahl])-6)/(--(SEARCH("x",Tab_org21[Auswahl])&gt;0)),ROW()-6),1),"")</f>
        <v>GM310</v>
      </c>
      <c r="B28" s="324" t="str">
        <f>IF(Tab_org21[[#This Row],[Dünger]]=$C$60,IF($B$4=0,0,"x"),IF($B$4=0,"x",Vorauswahl!S34))</f>
        <v>x</v>
      </c>
      <c r="C28" s="186" t="s">
        <v>409</v>
      </c>
      <c r="D28" s="938" t="s">
        <v>408</v>
      </c>
      <c r="E28" s="938" t="s">
        <v>409</v>
      </c>
      <c r="F28" s="1031">
        <v>2</v>
      </c>
      <c r="G28" s="1031">
        <v>3</v>
      </c>
      <c r="H28" s="1031">
        <v>1</v>
      </c>
      <c r="I28" s="1031">
        <v>1</v>
      </c>
      <c r="J28" s="1031">
        <v>13</v>
      </c>
      <c r="K28" s="1031">
        <v>1</v>
      </c>
      <c r="L28" s="1031">
        <v>2</v>
      </c>
      <c r="M28" s="1031">
        <v>1</v>
      </c>
      <c r="N28" s="1031">
        <v>1</v>
      </c>
      <c r="O28" s="1031">
        <v>1.8</v>
      </c>
      <c r="P28" s="1031">
        <v>3.2</v>
      </c>
      <c r="Q28" s="1031">
        <v>2.88</v>
      </c>
      <c r="R28" s="1031">
        <v>0.2</v>
      </c>
      <c r="S28" s="1031">
        <v>7.9</v>
      </c>
      <c r="T28" s="1031">
        <v>0.2</v>
      </c>
      <c r="U28" s="1031">
        <v>90</v>
      </c>
      <c r="V28" s="1031">
        <v>0</v>
      </c>
      <c r="W28" s="1031">
        <v>100</v>
      </c>
      <c r="X28" s="1031">
        <v>100</v>
      </c>
      <c r="Y28" s="1031">
        <v>30</v>
      </c>
      <c r="Z28" s="1031">
        <v>90</v>
      </c>
      <c r="AA28" s="1031">
        <v>90</v>
      </c>
      <c r="AB28" s="1031">
        <v>17.8</v>
      </c>
      <c r="AC28" s="32">
        <f t="shared" si="7"/>
        <v>2.88</v>
      </c>
      <c r="AD28" s="40">
        <f t="shared" si="8"/>
        <v>2.88</v>
      </c>
      <c r="AE28" s="27">
        <f>IF(Tab_org21[[#This Row],[Max. Herbstdüngemenge]]=5,3,Tab_org21[[#This Row],[Greift im Herbst 30/60 Regelung?]])</f>
        <v>1</v>
      </c>
    </row>
    <row r="29" spans="1:31" s="70" customFormat="1" x14ac:dyDescent="0.2">
      <c r="A29" s="1369" t="str" cm="1">
        <f t="array" ref="A29">IFERROR(INDEX(Tab_org21[Dünger],_xlfn.AGGREGATE(15,6,(ROW(Tab_org21[Auswahl])-6)/(--(SEARCH("x",Tab_org21[Auswahl])&gt;0)),ROW()-6),1),"")</f>
        <v>GG320</v>
      </c>
      <c r="B29" s="324" t="str">
        <f>IF(Tab_org21[[#This Row],[Dünger]]=$C$60,IF($B$4=0,0,"x"),IF($B$4=0,"x",Vorauswahl!S35))</f>
        <v>x</v>
      </c>
      <c r="C29" s="1370" t="s">
        <v>1123</v>
      </c>
      <c r="D29" s="1371" t="s">
        <v>410</v>
      </c>
      <c r="E29" s="1372"/>
      <c r="F29" s="313"/>
      <c r="G29" s="190">
        <v>0</v>
      </c>
      <c r="H29" s="191">
        <v>0</v>
      </c>
      <c r="I29" s="192">
        <v>0</v>
      </c>
      <c r="J29" s="192">
        <v>0</v>
      </c>
      <c r="K29" s="192">
        <v>0</v>
      </c>
      <c r="L29" s="192">
        <v>0</v>
      </c>
      <c r="M29" s="193">
        <v>0</v>
      </c>
      <c r="N29" s="193">
        <v>0</v>
      </c>
      <c r="O29" s="190">
        <v>0</v>
      </c>
      <c r="P29" s="194">
        <v>0</v>
      </c>
      <c r="Q29" s="195">
        <v>0</v>
      </c>
      <c r="R29" s="196">
        <v>0</v>
      </c>
      <c r="S29" s="196">
        <v>0</v>
      </c>
      <c r="T29" s="197">
        <v>0</v>
      </c>
      <c r="U29" s="198">
        <v>0</v>
      </c>
      <c r="V29" s="199">
        <v>0</v>
      </c>
      <c r="W29" s="200">
        <v>0</v>
      </c>
      <c r="X29" s="201">
        <v>0</v>
      </c>
      <c r="Y29" s="497">
        <v>0</v>
      </c>
      <c r="Z29" s="202">
        <v>0</v>
      </c>
      <c r="AA29" s="202">
        <v>0</v>
      </c>
      <c r="AB29" s="203">
        <v>0</v>
      </c>
      <c r="AC29" s="32">
        <v>0</v>
      </c>
      <c r="AD29" s="40">
        <v>0</v>
      </c>
      <c r="AE29" s="27">
        <f>IF(Tab_org21[[#This Row],[Max. Herbstdüngemenge]]=5,3,Tab_org21[[#This Row],[Greift im Herbst 30/60 Regelung?]])</f>
        <v>0</v>
      </c>
    </row>
    <row r="30" spans="1:31" x14ac:dyDescent="0.2">
      <c r="A30" s="324" t="str" cm="1">
        <f t="array" ref="A30">IFERROR(INDEX(Tab_org21[Dünger],_xlfn.AGGREGATE(15,6,(ROW(Tab_org21[Auswahl])-6)/(--(SEARCH("x",Tab_org21[Auswahl])&gt;0)),ROW()-6),1),"")</f>
        <v>GM330</v>
      </c>
      <c r="B30" s="324" t="str">
        <f>IF(Tab_org21[[#This Row],[Dünger]]=$C$60,IF($B$4=0,0,"x"),IF($B$4=0,"x",Vorauswahl!S36))</f>
        <v>x</v>
      </c>
      <c r="C30" s="204" t="s">
        <v>411</v>
      </c>
      <c r="D30" s="938" t="s">
        <v>1163</v>
      </c>
      <c r="E30" s="938" t="s">
        <v>411</v>
      </c>
      <c r="F30" s="1031">
        <v>2</v>
      </c>
      <c r="G30" s="1031">
        <v>1</v>
      </c>
      <c r="H30" s="1031">
        <v>2</v>
      </c>
      <c r="I30" s="1031">
        <v>1</v>
      </c>
      <c r="J30" s="1031">
        <v>21</v>
      </c>
      <c r="K30" s="1031">
        <v>1</v>
      </c>
      <c r="L30" s="1031">
        <v>2</v>
      </c>
      <c r="M30" s="1031">
        <v>1</v>
      </c>
      <c r="N30" s="1031">
        <v>1</v>
      </c>
      <c r="O30" s="1031">
        <v>5</v>
      </c>
      <c r="P30" s="1031">
        <v>5.7</v>
      </c>
      <c r="Q30" s="1031">
        <v>3.42</v>
      </c>
      <c r="R30" s="1031">
        <v>3</v>
      </c>
      <c r="S30" s="1031">
        <v>3.5</v>
      </c>
      <c r="T30" s="1031">
        <v>1.3</v>
      </c>
      <c r="U30" s="1031">
        <v>60</v>
      </c>
      <c r="V30" s="1031">
        <v>0</v>
      </c>
      <c r="W30" s="1031">
        <v>100</v>
      </c>
      <c r="X30" s="1031">
        <v>100</v>
      </c>
      <c r="Y30" s="1031">
        <v>20</v>
      </c>
      <c r="Z30" s="1031">
        <v>70</v>
      </c>
      <c r="AA30" s="1031">
        <v>60</v>
      </c>
      <c r="AB30" s="1031">
        <v>11.4</v>
      </c>
      <c r="AC30" s="32">
        <f>IF(Z30&gt;=(Q30/P30*100),P30*Z30/100,P30*Q30/P30)</f>
        <v>3.99</v>
      </c>
      <c r="AD30" s="40">
        <f>IF(AA30&gt;=(Q30/P30*100),P30*AA30/100,P30*Q30/P30)</f>
        <v>3.42</v>
      </c>
      <c r="AE30" s="27">
        <f>IF(Tab_org21[[#This Row],[Max. Herbstdüngemenge]]=5,3,Tab_org21[[#This Row],[Greift im Herbst 30/60 Regelung?]])</f>
        <v>1</v>
      </c>
    </row>
    <row r="31" spans="1:31" x14ac:dyDescent="0.2">
      <c r="A31" s="324" t="str" cm="1">
        <f t="array" ref="A31">IFERROR(INDEX(Tab_org21[Dünger],_xlfn.AGGREGATE(15,6,(ROW(Tab_org21[Auswahl])-6)/(--(SEARCH("x",Tab_org21[Auswahl])&gt;0)),ROW()-6),1),"")</f>
        <v>GM340</v>
      </c>
      <c r="B31" s="324" t="str">
        <f>IF(Tab_org21[[#This Row],[Dünger]]=$C$60,IF($B$4=0,0,"x"),IF($B$4=0,"x",Vorauswahl!S37))</f>
        <v>x</v>
      </c>
      <c r="C31" s="204" t="s">
        <v>413</v>
      </c>
      <c r="D31" s="938" t="s">
        <v>412</v>
      </c>
      <c r="E31" s="938" t="s">
        <v>413</v>
      </c>
      <c r="F31" s="1031">
        <v>2</v>
      </c>
      <c r="G31" s="1031">
        <v>1</v>
      </c>
      <c r="H31" s="1031">
        <v>2</v>
      </c>
      <c r="I31" s="1031">
        <v>1</v>
      </c>
      <c r="J31" s="1031">
        <v>21</v>
      </c>
      <c r="K31" s="1031">
        <v>1</v>
      </c>
      <c r="L31" s="1031">
        <v>2</v>
      </c>
      <c r="M31" s="1031">
        <v>1</v>
      </c>
      <c r="N31" s="1031">
        <v>1</v>
      </c>
      <c r="O31" s="1031">
        <v>5</v>
      </c>
      <c r="P31" s="1031">
        <v>5.5</v>
      </c>
      <c r="Q31" s="1031">
        <v>3.3</v>
      </c>
      <c r="R31" s="1031">
        <v>2.6</v>
      </c>
      <c r="S31" s="1031">
        <v>3.4</v>
      </c>
      <c r="T31" s="1031">
        <v>1.2</v>
      </c>
      <c r="U31" s="1031">
        <v>60</v>
      </c>
      <c r="V31" s="1031">
        <v>0</v>
      </c>
      <c r="W31" s="1031">
        <v>100</v>
      </c>
      <c r="X31" s="1031">
        <v>100</v>
      </c>
      <c r="Y31" s="1031">
        <v>20</v>
      </c>
      <c r="Z31" s="1031">
        <v>70</v>
      </c>
      <c r="AA31" s="1031">
        <v>60</v>
      </c>
      <c r="AB31" s="1031">
        <v>11</v>
      </c>
      <c r="AC31" s="32">
        <f>IF(Z31&gt;=(Q31/P31*100),P31*Z31/100,P31*Q31/P31)</f>
        <v>3.85</v>
      </c>
      <c r="AD31" s="40">
        <f>IF(AA31&gt;=(Q31/P31*100),P31*AA31/100,P31*Q31/P31)</f>
        <v>3.3</v>
      </c>
      <c r="AE31" s="27">
        <f>IF(Tab_org21[[#This Row],[Max. Herbstdüngemenge]]=5,3,Tab_org21[[#This Row],[Greift im Herbst 30/60 Regelung?]])</f>
        <v>1</v>
      </c>
    </row>
    <row r="32" spans="1:31" s="127" customFormat="1" x14ac:dyDescent="0.2">
      <c r="A32" s="324" t="str" cm="1">
        <f t="array" ref="A32">IFERROR(INDEX(Tab_org21[Dünger],_xlfn.AGGREGATE(15,6,(ROW(Tab_org21[Auswahl])-6)/(--(SEARCH("x",Tab_org21[Auswahl])&gt;0)),ROW()-6),1),"")</f>
        <v>GM350</v>
      </c>
      <c r="B32" s="324" t="str">
        <f>IF(Tab_org21[[#This Row],[Dünger]]=$C$60,IF($B$4=0,0,"x"),IF($B$4=0,"x",Vorauswahl!S38))</f>
        <v>x</v>
      </c>
      <c r="C32" s="232" t="s">
        <v>415</v>
      </c>
      <c r="D32" s="938" t="s">
        <v>414</v>
      </c>
      <c r="E32" s="938" t="s">
        <v>415</v>
      </c>
      <c r="F32" s="1031">
        <v>2</v>
      </c>
      <c r="G32" s="1031">
        <v>1</v>
      </c>
      <c r="H32" s="1031">
        <v>2</v>
      </c>
      <c r="I32" s="1031">
        <v>1</v>
      </c>
      <c r="J32" s="1031">
        <v>21</v>
      </c>
      <c r="K32" s="1031">
        <v>1</v>
      </c>
      <c r="L32" s="1031">
        <v>2</v>
      </c>
      <c r="M32" s="1031">
        <v>1</v>
      </c>
      <c r="N32" s="1031">
        <v>1</v>
      </c>
      <c r="O32" s="1031">
        <v>5</v>
      </c>
      <c r="P32" s="1031">
        <v>5</v>
      </c>
      <c r="Q32" s="1031">
        <v>3</v>
      </c>
      <c r="R32" s="1031">
        <v>2.4</v>
      </c>
      <c r="S32" s="1031">
        <v>3.3</v>
      </c>
      <c r="T32" s="1031">
        <v>1.2</v>
      </c>
      <c r="U32" s="1031">
        <v>60</v>
      </c>
      <c r="V32" s="1031">
        <v>0</v>
      </c>
      <c r="W32" s="1031">
        <v>100</v>
      </c>
      <c r="X32" s="1031">
        <v>100</v>
      </c>
      <c r="Y32" s="1031">
        <v>20</v>
      </c>
      <c r="Z32" s="1031">
        <v>70</v>
      </c>
      <c r="AA32" s="1031">
        <v>60</v>
      </c>
      <c r="AB32" s="1031">
        <v>10</v>
      </c>
      <c r="AC32" s="233">
        <f t="shared" ref="AC32:AC59" si="9">IF(Z32&gt;=(Q32/P32*100),P32*Z32/100,P32*Q32/P32)</f>
        <v>3.5</v>
      </c>
      <c r="AD32" s="234">
        <f t="shared" ref="AD32:AD59" si="10">IF(AA32&gt;=(Q32/P32*100),P32*AA32/100,P32*Q32/P32)</f>
        <v>3</v>
      </c>
      <c r="AE32" s="27">
        <f>IF(Tab_org21[[#This Row],[Max. Herbstdüngemenge]]=5,3,Tab_org21[[#This Row],[Greift im Herbst 30/60 Regelung?]])</f>
        <v>1</v>
      </c>
    </row>
    <row r="33" spans="1:31" x14ac:dyDescent="0.2">
      <c r="A33" s="324" t="str" cm="1">
        <f t="array" ref="A33">IFERROR(INDEX(Tab_org21[Dünger],_xlfn.AGGREGATE(15,6,(ROW(Tab_org21[Auswahl])-6)/(--(SEARCH("x",Tab_org21[Auswahl])&gt;0)),ROW()-6),1),"")</f>
        <v>GM360</v>
      </c>
      <c r="B33" s="324" t="str">
        <f>IF(Tab_org21[[#This Row],[Dünger]]=$C$60,IF($B$4=0,0,"x"),IF($B$4=0,"x",Vorauswahl!S39))</f>
        <v>x</v>
      </c>
      <c r="C33" s="204" t="s">
        <v>417</v>
      </c>
      <c r="D33" s="938" t="s">
        <v>416</v>
      </c>
      <c r="E33" s="938" t="s">
        <v>417</v>
      </c>
      <c r="F33" s="1031">
        <v>2</v>
      </c>
      <c r="G33" s="1031">
        <v>1</v>
      </c>
      <c r="H33" s="1031">
        <v>2</v>
      </c>
      <c r="I33" s="1031">
        <v>1</v>
      </c>
      <c r="J33" s="1031">
        <v>21</v>
      </c>
      <c r="K33" s="1031">
        <v>1</v>
      </c>
      <c r="L33" s="1031">
        <v>2</v>
      </c>
      <c r="M33" s="1031">
        <v>1</v>
      </c>
      <c r="N33" s="1031">
        <v>1</v>
      </c>
      <c r="O33" s="1031">
        <v>5</v>
      </c>
      <c r="P33" s="1031">
        <v>4.5999999999999996</v>
      </c>
      <c r="Q33" s="1031">
        <v>2.76</v>
      </c>
      <c r="R33" s="1031">
        <v>2.5</v>
      </c>
      <c r="S33" s="1031">
        <v>2.9</v>
      </c>
      <c r="T33" s="1031">
        <v>1</v>
      </c>
      <c r="U33" s="1031">
        <v>60</v>
      </c>
      <c r="V33" s="1031">
        <v>0</v>
      </c>
      <c r="W33" s="1031">
        <v>100</v>
      </c>
      <c r="X33" s="1031">
        <v>100</v>
      </c>
      <c r="Y33" s="1031">
        <v>20</v>
      </c>
      <c r="Z33" s="1031">
        <v>70</v>
      </c>
      <c r="AA33" s="1031">
        <v>60</v>
      </c>
      <c r="AB33" s="1031">
        <v>9.1999999999999993</v>
      </c>
      <c r="AC33" s="32">
        <f t="shared" si="9"/>
        <v>3.22</v>
      </c>
      <c r="AD33" s="40">
        <f t="shared" si="10"/>
        <v>2.76</v>
      </c>
      <c r="AE33" s="27">
        <f>IF(Tab_org21[[#This Row],[Max. Herbstdüngemenge]]=5,3,Tab_org21[[#This Row],[Greift im Herbst 30/60 Regelung?]])</f>
        <v>1</v>
      </c>
    </row>
    <row r="34" spans="1:31" x14ac:dyDescent="0.2">
      <c r="A34" s="324" t="str" cm="1">
        <f t="array" ref="A34">IFERROR(INDEX(Tab_org21[Dünger],_xlfn.AGGREGATE(15,6,(ROW(Tab_org21[Auswahl])-6)/(--(SEARCH("x",Tab_org21[Auswahl])&gt;0)),ROW()-6),1),"")</f>
        <v xml:space="preserve"> +s.Tier+</v>
      </c>
      <c r="B34" s="324" t="str">
        <f>IF(Tab_org21[[#This Row],[Dünger]]=$C$60,IF($B$4=0,0,"x"),IF($B$4=0,"x",Vorauswahl!S40))</f>
        <v>x</v>
      </c>
      <c r="C34" s="204" t="s">
        <v>418</v>
      </c>
      <c r="D34" s="938" t="s">
        <v>1845</v>
      </c>
      <c r="E34" s="938" t="s">
        <v>418</v>
      </c>
      <c r="F34" s="1031">
        <v>2</v>
      </c>
      <c r="G34" s="1031">
        <v>1</v>
      </c>
      <c r="H34" s="1031">
        <v>2</v>
      </c>
      <c r="I34" s="1031">
        <v>1</v>
      </c>
      <c r="J34" s="1031">
        <v>21</v>
      </c>
      <c r="K34" s="1031">
        <v>1</v>
      </c>
      <c r="L34" s="1031">
        <v>2</v>
      </c>
      <c r="M34" s="1031">
        <v>1</v>
      </c>
      <c r="N34" s="1031">
        <v>1</v>
      </c>
      <c r="O34" s="1031">
        <v>5</v>
      </c>
      <c r="P34" s="1031">
        <v>4.0999999999999996</v>
      </c>
      <c r="Q34" s="1031">
        <v>2.46</v>
      </c>
      <c r="R34" s="1031">
        <v>2.2000000000000002</v>
      </c>
      <c r="S34" s="1031">
        <v>2.7</v>
      </c>
      <c r="T34" s="1031">
        <v>1</v>
      </c>
      <c r="U34" s="1031">
        <v>60</v>
      </c>
      <c r="V34" s="1031">
        <v>0</v>
      </c>
      <c r="W34" s="1031">
        <v>100</v>
      </c>
      <c r="X34" s="1031">
        <v>100</v>
      </c>
      <c r="Y34" s="1031">
        <v>20</v>
      </c>
      <c r="Z34" s="1031">
        <v>70</v>
      </c>
      <c r="AA34" s="1031">
        <v>60</v>
      </c>
      <c r="AB34" s="1031">
        <v>8.1999999999999993</v>
      </c>
      <c r="AC34" s="32">
        <f t="shared" si="9"/>
        <v>2.87</v>
      </c>
      <c r="AD34" s="40">
        <f t="shared" si="10"/>
        <v>2.4599999999999995</v>
      </c>
      <c r="AE34" s="27">
        <f>IF(Tab_org21[[#This Row],[Max. Herbstdüngemenge]]=5,3,Tab_org21[[#This Row],[Greift im Herbst 30/60 Regelung?]])</f>
        <v>1</v>
      </c>
    </row>
    <row r="35" spans="1:31" s="127" customFormat="1" x14ac:dyDescent="0.2">
      <c r="A35" s="324" t="str" cm="1">
        <f t="array" ref="A35">IFERROR(INDEX(Tab_org21[Dünger],_xlfn.AGGREGATE(15,6,(ROW(Tab_org21[Auswahl])-6)/(--(SEARCH("x",Tab_org21[Auswahl])&gt;0)),ROW()-6),1),"")</f>
        <v>AM410</v>
      </c>
      <c r="B35" s="324" t="str">
        <f>IF(Tab_org21[[#This Row],[Dünger]]=$C$60,IF($B$4=0,0,"x"),IF($B$4=0,"x",Vorauswahl!S41))</f>
        <v>x</v>
      </c>
      <c r="C35" s="232" t="s">
        <v>420</v>
      </c>
      <c r="D35" s="938" t="s">
        <v>419</v>
      </c>
      <c r="E35" s="938" t="s">
        <v>420</v>
      </c>
      <c r="F35" s="1031">
        <v>2</v>
      </c>
      <c r="G35" s="1031">
        <v>1</v>
      </c>
      <c r="H35" s="1031">
        <v>2</v>
      </c>
      <c r="I35" s="1031">
        <v>1</v>
      </c>
      <c r="J35" s="1031">
        <v>21</v>
      </c>
      <c r="K35" s="1031">
        <v>1</v>
      </c>
      <c r="L35" s="1031">
        <v>2</v>
      </c>
      <c r="M35" s="1031">
        <v>1</v>
      </c>
      <c r="N35" s="1031">
        <v>1</v>
      </c>
      <c r="O35" s="1031">
        <v>5</v>
      </c>
      <c r="P35" s="1031">
        <v>3.9</v>
      </c>
      <c r="Q35" s="1031">
        <v>2.34</v>
      </c>
      <c r="R35" s="1031">
        <v>2.1</v>
      </c>
      <c r="S35" s="1031">
        <v>2.7</v>
      </c>
      <c r="T35" s="1031">
        <v>1</v>
      </c>
      <c r="U35" s="1031">
        <v>60</v>
      </c>
      <c r="V35" s="1031">
        <v>0</v>
      </c>
      <c r="W35" s="1031">
        <v>100</v>
      </c>
      <c r="X35" s="1031">
        <v>100</v>
      </c>
      <c r="Y35" s="1031">
        <v>20</v>
      </c>
      <c r="Z35" s="1031">
        <v>70</v>
      </c>
      <c r="AA35" s="1031">
        <v>60</v>
      </c>
      <c r="AB35" s="1031">
        <v>7.8</v>
      </c>
      <c r="AC35" s="233">
        <f t="shared" si="9"/>
        <v>2.73</v>
      </c>
      <c r="AD35" s="234">
        <f t="shared" si="10"/>
        <v>2.34</v>
      </c>
      <c r="AE35" s="27">
        <f>IF(Tab_org21[[#This Row],[Max. Herbstdüngemenge]]=5,3,Tab_org21[[#This Row],[Greift im Herbst 30/60 Regelung?]])</f>
        <v>1</v>
      </c>
    </row>
    <row r="36" spans="1:31" x14ac:dyDescent="0.2">
      <c r="A36" s="324" t="str" cm="1">
        <f t="array" ref="A36">IFERROR(INDEX(Tab_org21[Dünger],_xlfn.AGGREGATE(15,6,(ROW(Tab_org21[Auswahl])-6)/(--(SEARCH("x",Tab_org21[Auswahl])&gt;0)),ROW()-6),1),"")</f>
        <v>AM420</v>
      </c>
      <c r="B36" s="324" t="str">
        <f>IF(Tab_org21[[#This Row],[Dünger]]=$C$60,IF($B$4=0,0,"x"),IF($B$4=0,"x",Vorauswahl!S42))</f>
        <v>x</v>
      </c>
      <c r="C36" s="186" t="s">
        <v>422</v>
      </c>
      <c r="D36" s="938" t="s">
        <v>421</v>
      </c>
      <c r="E36" s="938" t="s">
        <v>422</v>
      </c>
      <c r="F36" s="1031">
        <v>2</v>
      </c>
      <c r="G36" s="1031">
        <v>1</v>
      </c>
      <c r="H36" s="1031">
        <v>2</v>
      </c>
      <c r="I36" s="1031">
        <v>2</v>
      </c>
      <c r="J36" s="1031">
        <v>22</v>
      </c>
      <c r="K36" s="1031">
        <v>1</v>
      </c>
      <c r="L36" s="1031">
        <v>2</v>
      </c>
      <c r="M36" s="1031">
        <v>2</v>
      </c>
      <c r="N36" s="1031">
        <v>2</v>
      </c>
      <c r="O36" s="1031">
        <v>21</v>
      </c>
      <c r="P36" s="1031">
        <v>6</v>
      </c>
      <c r="Q36" s="1031">
        <v>0.6</v>
      </c>
      <c r="R36" s="1031">
        <v>4.3</v>
      </c>
      <c r="S36" s="1031">
        <v>6.2</v>
      </c>
      <c r="T36" s="1031">
        <v>2</v>
      </c>
      <c r="U36" s="1031">
        <v>10</v>
      </c>
      <c r="V36" s="1031">
        <v>10.7</v>
      </c>
      <c r="W36" s="1031">
        <v>100</v>
      </c>
      <c r="X36" s="1031">
        <v>100</v>
      </c>
      <c r="Y36" s="1031">
        <v>30</v>
      </c>
      <c r="Z36" s="1031">
        <v>30</v>
      </c>
      <c r="AA36" s="1031">
        <v>30</v>
      </c>
      <c r="AB36" s="1031">
        <v>2.9</v>
      </c>
      <c r="AC36" s="32">
        <f t="shared" si="9"/>
        <v>1.8</v>
      </c>
      <c r="AD36" s="40">
        <f t="shared" si="10"/>
        <v>1.8</v>
      </c>
      <c r="AE36" s="27">
        <f>IF(Tab_org21[[#This Row],[Max. Herbstdüngemenge]]=5,3,Tab_org21[[#This Row],[Greift im Herbst 30/60 Regelung?]])</f>
        <v>2</v>
      </c>
    </row>
    <row r="37" spans="1:31" x14ac:dyDescent="0.2">
      <c r="A37" s="324" t="str" cm="1">
        <f t="array" ref="A37">IFERROR(INDEX(Tab_org21[Dünger],_xlfn.AGGREGATE(15,6,(ROW(Tab_org21[Auswahl])-6)/(--(SEARCH("x",Tab_org21[Auswahl])&gt;0)),ROW()-6),1),"")</f>
        <v>AM430</v>
      </c>
      <c r="B37" s="324" t="str">
        <f>IF(Tab_org21[[#This Row],[Dünger]]=$C$60,IF($B$4=0,0,"x"),IF($B$4=0,"x",Vorauswahl!S43))</f>
        <v>x</v>
      </c>
      <c r="C37" s="186" t="s">
        <v>424</v>
      </c>
      <c r="D37" s="938" t="s">
        <v>423</v>
      </c>
      <c r="E37" s="938" t="s">
        <v>424</v>
      </c>
      <c r="F37" s="1031">
        <v>2</v>
      </c>
      <c r="G37" s="1031">
        <v>1</v>
      </c>
      <c r="H37" s="1031">
        <v>2</v>
      </c>
      <c r="I37" s="1031">
        <v>2</v>
      </c>
      <c r="J37" s="1031">
        <v>22</v>
      </c>
      <c r="K37" s="1031">
        <v>1</v>
      </c>
      <c r="L37" s="1031">
        <v>2</v>
      </c>
      <c r="M37" s="1031">
        <v>2</v>
      </c>
      <c r="N37" s="1031">
        <v>2</v>
      </c>
      <c r="O37" s="1031">
        <v>25</v>
      </c>
      <c r="P37" s="1031">
        <v>5.2</v>
      </c>
      <c r="Q37" s="1031">
        <v>0.52</v>
      </c>
      <c r="R37" s="1031">
        <v>2.9</v>
      </c>
      <c r="S37" s="1031">
        <v>7</v>
      </c>
      <c r="T37" s="1031">
        <v>1.5</v>
      </c>
      <c r="U37" s="1031">
        <v>10</v>
      </c>
      <c r="V37" s="1031">
        <v>23</v>
      </c>
      <c r="W37" s="1031">
        <v>100</v>
      </c>
      <c r="X37" s="1031">
        <v>100</v>
      </c>
      <c r="Y37" s="1031">
        <v>30</v>
      </c>
      <c r="Z37" s="1031">
        <v>30</v>
      </c>
      <c r="AA37" s="1031">
        <v>30</v>
      </c>
      <c r="AB37" s="1031">
        <v>2.1</v>
      </c>
      <c r="AC37" s="32">
        <f t="shared" si="9"/>
        <v>1.56</v>
      </c>
      <c r="AD37" s="40">
        <f t="shared" si="10"/>
        <v>1.56</v>
      </c>
      <c r="AE37" s="27">
        <f>IF(Tab_org21[[#This Row],[Max. Herbstdüngemenge]]=5,3,Tab_org21[[#This Row],[Greift im Herbst 30/60 Regelung?]])</f>
        <v>2</v>
      </c>
    </row>
    <row r="38" spans="1:31" x14ac:dyDescent="0.2">
      <c r="A38" s="324" t="str" cm="1">
        <f t="array" ref="A38">IFERROR(INDEX(Tab_org21[Dünger],_xlfn.AGGREGATE(15,6,(ROW(Tab_org21[Auswahl])-6)/(--(SEARCH("x",Tab_org21[Auswahl])&gt;0)),ROW()-6),1),"")</f>
        <v xml:space="preserve"> +s.Pfl.+</v>
      </c>
      <c r="B38" s="324" t="str">
        <f>IF(Tab_org21[[#This Row],[Dünger]]=$C$60,IF($B$4=0,0,"x"),IF($B$4=0,"x",Vorauswahl!S44))</f>
        <v>x</v>
      </c>
      <c r="C38" s="186" t="s">
        <v>426</v>
      </c>
      <c r="D38" s="938" t="s">
        <v>425</v>
      </c>
      <c r="E38" s="938" t="s">
        <v>426</v>
      </c>
      <c r="F38" s="1031">
        <v>2</v>
      </c>
      <c r="G38" s="1031">
        <v>3</v>
      </c>
      <c r="H38" s="1031">
        <v>2</v>
      </c>
      <c r="I38" s="1031">
        <v>1</v>
      </c>
      <c r="J38" s="1031">
        <v>23</v>
      </c>
      <c r="K38" s="1031">
        <v>1</v>
      </c>
      <c r="L38" s="1031">
        <v>2</v>
      </c>
      <c r="M38" s="1031">
        <v>1</v>
      </c>
      <c r="N38" s="1031">
        <v>1</v>
      </c>
      <c r="O38" s="1031">
        <v>1.8</v>
      </c>
      <c r="P38" s="1031">
        <v>3.3</v>
      </c>
      <c r="Q38" s="1031">
        <v>2.97</v>
      </c>
      <c r="R38" s="1031">
        <v>0.2</v>
      </c>
      <c r="S38" s="1031">
        <v>3.1</v>
      </c>
      <c r="T38" s="1031">
        <v>0.2</v>
      </c>
      <c r="U38" s="1031">
        <v>90</v>
      </c>
      <c r="V38" s="1031">
        <v>0</v>
      </c>
      <c r="W38" s="1031">
        <v>100</v>
      </c>
      <c r="X38" s="1031">
        <v>100</v>
      </c>
      <c r="Y38" s="1031">
        <v>30</v>
      </c>
      <c r="Z38" s="1031">
        <v>90</v>
      </c>
      <c r="AA38" s="1031">
        <v>90</v>
      </c>
      <c r="AB38" s="1031">
        <v>18.3</v>
      </c>
      <c r="AC38" s="32">
        <f t="shared" si="9"/>
        <v>2.97</v>
      </c>
      <c r="AD38" s="40">
        <f t="shared" si="10"/>
        <v>2.97</v>
      </c>
      <c r="AE38" s="27">
        <f>IF(Tab_org21[[#This Row],[Max. Herbstdüngemenge]]=5,3,Tab_org21[[#This Row],[Greift im Herbst 30/60 Regelung?]])</f>
        <v>1</v>
      </c>
    </row>
    <row r="39" spans="1:31" ht="38.25" x14ac:dyDescent="0.2">
      <c r="A39" s="324" t="str" cm="1">
        <f t="array" ref="A39">IFERROR(INDEX(Tab_org21[Dünger],_xlfn.AGGREGATE(15,6,(ROW(Tab_org21[Auswahl])-6)/(--(SEARCH("x",Tab_org21[Auswahl])&gt;0)),ROW()-6),1),"")</f>
        <v>STRO-G1</v>
      </c>
      <c r="B39" s="324" t="str">
        <f>IF(Tab_org21[[#This Row],[Dünger]]=$C$60,IF($B$4=0,0,"x"),IF($B$4=0,"x",Vorauswahl!S45))</f>
        <v>x</v>
      </c>
      <c r="C39" s="326" t="s">
        <v>1122</v>
      </c>
      <c r="D39" s="336" t="s">
        <v>427</v>
      </c>
      <c r="E39" s="206"/>
      <c r="F39" s="313">
        <v>2</v>
      </c>
      <c r="G39" s="207">
        <v>0</v>
      </c>
      <c r="H39" s="208">
        <v>0</v>
      </c>
      <c r="I39" s="209">
        <v>0</v>
      </c>
      <c r="J39" s="209">
        <v>0</v>
      </c>
      <c r="K39" s="209">
        <v>0</v>
      </c>
      <c r="L39" s="209">
        <v>0</v>
      </c>
      <c r="M39" s="193">
        <v>0</v>
      </c>
      <c r="N39" s="193">
        <v>0</v>
      </c>
      <c r="O39" s="190">
        <v>0</v>
      </c>
      <c r="P39" s="194">
        <v>0</v>
      </c>
      <c r="Q39" s="195">
        <v>0</v>
      </c>
      <c r="R39" s="196">
        <v>0</v>
      </c>
      <c r="S39" s="196">
        <v>0</v>
      </c>
      <c r="T39" s="197">
        <v>0</v>
      </c>
      <c r="U39" s="198">
        <v>0</v>
      </c>
      <c r="V39" s="199">
        <v>0</v>
      </c>
      <c r="W39" s="200">
        <v>0</v>
      </c>
      <c r="X39" s="201">
        <v>0</v>
      </c>
      <c r="Y39" s="497">
        <v>0</v>
      </c>
      <c r="Z39" s="202">
        <v>0</v>
      </c>
      <c r="AA39" s="202">
        <v>0</v>
      </c>
      <c r="AB39" s="203">
        <v>0</v>
      </c>
      <c r="AC39" s="32">
        <v>0</v>
      </c>
      <c r="AD39" s="40">
        <v>0</v>
      </c>
      <c r="AE39" s="27">
        <f>IF(Tab_org21[[#This Row],[Max. Herbstdüngemenge]]=5,3,Tab_org21[[#This Row],[Greift im Herbst 30/60 Regelung?]])</f>
        <v>0</v>
      </c>
    </row>
    <row r="40" spans="1:31" x14ac:dyDescent="0.2">
      <c r="A40" s="324" t="str" cm="1">
        <f t="array" ref="A40">IFERROR(INDEX(Tab_org21[Dünger],_xlfn.AGGREGATE(15,6,(ROW(Tab_org21[Auswahl])-6)/(--(SEARCH("x",Tab_org21[Auswahl])&gt;0)),ROW()-6),1),"")</f>
        <v>STRO-H1</v>
      </c>
      <c r="B40" s="324" t="str">
        <f>IF(Tab_org21[[#This Row],[Dünger]]=$C$60,IF($B$4=0,0,"x"),IF($B$4=0,"x",Vorauswahl!S46))</f>
        <v>x</v>
      </c>
      <c r="C40" s="188" t="s">
        <v>429</v>
      </c>
      <c r="D40" s="938" t="s">
        <v>428</v>
      </c>
      <c r="E40" s="938" t="s">
        <v>429</v>
      </c>
      <c r="F40" s="1031">
        <v>2</v>
      </c>
      <c r="G40" s="1031">
        <v>2</v>
      </c>
      <c r="H40" s="1031">
        <v>3</v>
      </c>
      <c r="I40" s="1031">
        <v>2</v>
      </c>
      <c r="J40" s="1031">
        <v>32</v>
      </c>
      <c r="K40" s="1031">
        <v>2</v>
      </c>
      <c r="L40" s="1031">
        <v>2</v>
      </c>
      <c r="M40" s="1031">
        <v>1</v>
      </c>
      <c r="N40" s="1031">
        <v>1</v>
      </c>
      <c r="O40" s="1031">
        <v>50</v>
      </c>
      <c r="P40" s="1031">
        <v>20.3</v>
      </c>
      <c r="Q40" s="1031">
        <v>9.14</v>
      </c>
      <c r="R40" s="1031">
        <v>16</v>
      </c>
      <c r="S40" s="1031">
        <v>18</v>
      </c>
      <c r="T40" s="1031">
        <v>6.9</v>
      </c>
      <c r="U40" s="1031">
        <v>45</v>
      </c>
      <c r="V40" s="1031">
        <v>1.4</v>
      </c>
      <c r="W40" s="1031">
        <v>100</v>
      </c>
      <c r="X40" s="1031">
        <v>100</v>
      </c>
      <c r="Y40" s="1031">
        <v>40</v>
      </c>
      <c r="Z40" s="1031">
        <v>30</v>
      </c>
      <c r="AA40" s="1031">
        <v>30</v>
      </c>
      <c r="AB40" s="1031">
        <v>4.0999999999999996</v>
      </c>
      <c r="AC40" s="32">
        <f t="shared" si="9"/>
        <v>9.14</v>
      </c>
      <c r="AD40" s="40">
        <f t="shared" si="10"/>
        <v>9.14</v>
      </c>
      <c r="AE40" s="27">
        <f>IF(Tab_org21[[#This Row],[Max. Herbstdüngemenge]]=5,3,Tab_org21[[#This Row],[Greift im Herbst 30/60 Regelung?]])</f>
        <v>1</v>
      </c>
    </row>
    <row r="41" spans="1:31" x14ac:dyDescent="0.2">
      <c r="A41" s="324" t="str" cm="1">
        <f t="array" ref="A41">IFERROR(INDEX(Tab_org21[Dünger],_xlfn.AGGREGATE(15,6,(ROW(Tab_org21[Auswahl])-6)/(--(SEARCH("x",Tab_org21[Auswahl])&gt;0)),ROW()-6),1),"")</f>
        <v>STRO-R1</v>
      </c>
      <c r="B41" s="324" t="str">
        <f>IF(Tab_org21[[#This Row],[Dünger]]=$C$60,IF($B$4=0,0,"x"),IF($B$4=0,"x",Vorauswahl!S47))</f>
        <v>x</v>
      </c>
      <c r="C41" s="188" t="s">
        <v>430</v>
      </c>
      <c r="D41" s="938" t="s">
        <v>1164</v>
      </c>
      <c r="E41" s="938" t="s">
        <v>430</v>
      </c>
      <c r="F41" s="1031">
        <v>2</v>
      </c>
      <c r="G41" s="1031">
        <v>1</v>
      </c>
      <c r="H41" s="1031">
        <v>3</v>
      </c>
      <c r="I41" s="1031">
        <v>2</v>
      </c>
      <c r="J41" s="1031">
        <v>31</v>
      </c>
      <c r="K41" s="1031">
        <v>2</v>
      </c>
      <c r="L41" s="1031">
        <v>2</v>
      </c>
      <c r="M41" s="1031">
        <v>1</v>
      </c>
      <c r="N41" s="1031">
        <v>1</v>
      </c>
      <c r="O41" s="1031">
        <v>50</v>
      </c>
      <c r="P41" s="1031">
        <v>22.1</v>
      </c>
      <c r="Q41" s="1031">
        <v>9.9499999999999993</v>
      </c>
      <c r="R41" s="1031">
        <v>17.5</v>
      </c>
      <c r="S41" s="1031">
        <v>18.899999999999999</v>
      </c>
      <c r="T41" s="1031">
        <v>7.5</v>
      </c>
      <c r="U41" s="1031">
        <v>45</v>
      </c>
      <c r="V41" s="1031">
        <v>0</v>
      </c>
      <c r="W41" s="1031">
        <v>100</v>
      </c>
      <c r="X41" s="1031">
        <v>100</v>
      </c>
      <c r="Y41" s="1031">
        <v>40</v>
      </c>
      <c r="Z41" s="1031">
        <v>60</v>
      </c>
      <c r="AA41" s="1031">
        <v>60</v>
      </c>
      <c r="AB41" s="1031">
        <v>4.4000000000000004</v>
      </c>
      <c r="AC41" s="32">
        <f t="shared" si="9"/>
        <v>13.26</v>
      </c>
      <c r="AD41" s="40">
        <f t="shared" si="10"/>
        <v>13.26</v>
      </c>
      <c r="AE41" s="27">
        <f>IF(Tab_org21[[#This Row],[Max. Herbstdüngemenge]]=5,3,Tab_org21[[#This Row],[Greift im Herbst 30/60 Regelung?]])</f>
        <v>1</v>
      </c>
    </row>
    <row r="42" spans="1:31" x14ac:dyDescent="0.2">
      <c r="A42" s="324" t="str" cm="1">
        <f t="array" ref="A42">IFERROR(INDEX(Tab_org21[Dünger],_xlfn.AGGREGATE(15,6,(ROW(Tab_org21[Auswahl])-6)/(--(SEARCH("x",Tab_org21[Auswahl])&gt;0)),ROW()-6),1),"")</f>
        <v>STRO-W1</v>
      </c>
      <c r="B42" s="324" t="str">
        <f>IF(Tab_org21[[#This Row],[Dünger]]=$C$60,IF($B$4=0,0,"x"),IF($B$4=0,"x",Vorauswahl!S48))</f>
        <v>x</v>
      </c>
      <c r="C42" s="188" t="s">
        <v>432</v>
      </c>
      <c r="D42" s="938" t="s">
        <v>431</v>
      </c>
      <c r="E42" s="938" t="s">
        <v>432</v>
      </c>
      <c r="F42" s="1031">
        <v>2</v>
      </c>
      <c r="G42" s="1031">
        <v>2</v>
      </c>
      <c r="H42" s="1031">
        <v>3</v>
      </c>
      <c r="I42" s="1031">
        <v>2</v>
      </c>
      <c r="J42" s="1031">
        <v>32</v>
      </c>
      <c r="K42" s="1031">
        <v>2</v>
      </c>
      <c r="L42" s="1031">
        <v>2</v>
      </c>
      <c r="M42" s="1031">
        <v>1</v>
      </c>
      <c r="N42" s="1031">
        <v>1</v>
      </c>
      <c r="O42" s="1031">
        <v>50</v>
      </c>
      <c r="P42" s="1031">
        <v>20.6</v>
      </c>
      <c r="Q42" s="1031">
        <v>9.27</v>
      </c>
      <c r="R42" s="1031">
        <v>19</v>
      </c>
      <c r="S42" s="1031">
        <v>13.6</v>
      </c>
      <c r="T42" s="1031">
        <v>5</v>
      </c>
      <c r="U42" s="1031">
        <v>45</v>
      </c>
      <c r="V42" s="1031">
        <v>2.5</v>
      </c>
      <c r="W42" s="1031">
        <v>100</v>
      </c>
      <c r="X42" s="1031">
        <v>100</v>
      </c>
      <c r="Y42" s="1031">
        <v>40</v>
      </c>
      <c r="Z42" s="1031">
        <v>30</v>
      </c>
      <c r="AA42" s="1031">
        <v>30</v>
      </c>
      <c r="AB42" s="1031">
        <v>4.0999999999999996</v>
      </c>
      <c r="AC42" s="32">
        <f t="shared" si="9"/>
        <v>9.27</v>
      </c>
      <c r="AD42" s="40">
        <f t="shared" si="10"/>
        <v>9.27</v>
      </c>
      <c r="AE42" s="27">
        <f>IF(Tab_org21[[#This Row],[Max. Herbstdüngemenge]]=5,3,Tab_org21[[#This Row],[Greift im Herbst 30/60 Regelung?]])</f>
        <v>1</v>
      </c>
    </row>
    <row r="43" spans="1:31" x14ac:dyDescent="0.2">
      <c r="A43" s="324" t="str" cm="1">
        <f t="array" ref="A43">IFERROR(INDEX(Tab_org21[Dünger],_xlfn.AGGREGATE(15,6,(ROW(Tab_org21[Auswahl])-6)/(--(SEARCH("x",Tab_org21[Auswahl])&gt;0)),ROW()-6),1),"")</f>
        <v>STRO-M1</v>
      </c>
      <c r="B43" s="324" t="str">
        <f>IF(Tab_org21[[#This Row],[Dünger]]=$C$60,IF($B$4=0,0,"x"),IF($B$4=0,"x",Vorauswahl!S49))</f>
        <v>x</v>
      </c>
      <c r="C43" s="188" t="s">
        <v>434</v>
      </c>
      <c r="D43" s="938" t="s">
        <v>433</v>
      </c>
      <c r="E43" s="938" t="s">
        <v>434</v>
      </c>
      <c r="F43" s="1031">
        <v>2</v>
      </c>
      <c r="G43" s="1031">
        <v>2</v>
      </c>
      <c r="H43" s="1031">
        <v>3</v>
      </c>
      <c r="I43" s="1031">
        <v>2</v>
      </c>
      <c r="J43" s="1031">
        <v>32</v>
      </c>
      <c r="K43" s="1031">
        <v>2</v>
      </c>
      <c r="L43" s="1031">
        <v>2</v>
      </c>
      <c r="M43" s="1031">
        <v>1</v>
      </c>
      <c r="N43" s="1031">
        <v>1</v>
      </c>
      <c r="O43" s="1031">
        <v>60</v>
      </c>
      <c r="P43" s="1031">
        <v>19.7</v>
      </c>
      <c r="Q43" s="1031">
        <v>8.8699999999999992</v>
      </c>
      <c r="R43" s="1031">
        <v>15.7</v>
      </c>
      <c r="S43" s="1031">
        <v>19.7</v>
      </c>
      <c r="T43" s="1031">
        <v>7.5</v>
      </c>
      <c r="U43" s="1031">
        <v>45</v>
      </c>
      <c r="V43" s="1031">
        <v>1.2</v>
      </c>
      <c r="W43" s="1031">
        <v>100</v>
      </c>
      <c r="X43" s="1031">
        <v>100</v>
      </c>
      <c r="Y43" s="1031">
        <v>40</v>
      </c>
      <c r="Z43" s="1031">
        <v>30</v>
      </c>
      <c r="AA43" s="1031">
        <v>30</v>
      </c>
      <c r="AB43" s="1031">
        <v>3.3</v>
      </c>
      <c r="AC43" s="32">
        <f t="shared" si="9"/>
        <v>8.8699999999999992</v>
      </c>
      <c r="AD43" s="40">
        <f t="shared" si="10"/>
        <v>8.8699999999999992</v>
      </c>
      <c r="AE43" s="27">
        <f>IF(Tab_org21[[#This Row],[Max. Herbstdüngemenge]]=5,3,Tab_org21[[#This Row],[Greift im Herbst 30/60 Regelung?]])</f>
        <v>1</v>
      </c>
    </row>
    <row r="44" spans="1:31" x14ac:dyDescent="0.2">
      <c r="A44" s="324" t="str" cm="1">
        <f t="array" ref="A44">IFERROR(INDEX(Tab_org21[Dünger],_xlfn.AGGREGATE(15,6,(ROW(Tab_org21[Auswahl])-6)/(--(SEARCH("x",Tab_org21[Auswahl])&gt;0)),ROW()-6),1),"")</f>
        <v>STREU1</v>
      </c>
      <c r="B44" s="324" t="str">
        <f>IF(Tab_org21[[#This Row],[Dünger]]=$C$60,IF($B$4=0,0,"x"),IF($B$4=0,"x",Vorauswahl!S50))</f>
        <v>x</v>
      </c>
      <c r="C44" s="186" t="s">
        <v>436</v>
      </c>
      <c r="D44" s="938" t="s">
        <v>435</v>
      </c>
      <c r="E44" s="938" t="s">
        <v>436</v>
      </c>
      <c r="F44" s="1031">
        <v>2</v>
      </c>
      <c r="G44" s="1031">
        <v>2</v>
      </c>
      <c r="H44" s="1031">
        <v>3</v>
      </c>
      <c r="I44" s="1031">
        <v>2</v>
      </c>
      <c r="J44" s="1031">
        <v>32</v>
      </c>
      <c r="K44" s="1031">
        <v>2</v>
      </c>
      <c r="L44" s="1031">
        <v>2</v>
      </c>
      <c r="M44" s="1031">
        <v>1</v>
      </c>
      <c r="N44" s="1031">
        <v>1</v>
      </c>
      <c r="O44" s="1031">
        <v>30</v>
      </c>
      <c r="P44" s="1031">
        <v>6.5</v>
      </c>
      <c r="Q44" s="1031">
        <v>2.93</v>
      </c>
      <c r="R44" s="1031">
        <v>6</v>
      </c>
      <c r="S44" s="1031">
        <v>6.2</v>
      </c>
      <c r="T44" s="1031">
        <v>2.2999999999999998</v>
      </c>
      <c r="U44" s="1031">
        <v>45.1</v>
      </c>
      <c r="V44" s="1031">
        <v>2.7</v>
      </c>
      <c r="W44" s="1031">
        <v>100</v>
      </c>
      <c r="X44" s="1031">
        <v>100</v>
      </c>
      <c r="Y44" s="1031">
        <v>40</v>
      </c>
      <c r="Z44" s="1031">
        <v>30</v>
      </c>
      <c r="AA44" s="1031">
        <v>30</v>
      </c>
      <c r="AB44" s="1031">
        <v>2.2000000000000002</v>
      </c>
      <c r="AC44" s="32">
        <f t="shared" si="9"/>
        <v>2.93</v>
      </c>
      <c r="AD44" s="40">
        <f t="shared" si="10"/>
        <v>2.93</v>
      </c>
      <c r="AE44" s="27">
        <f>IF(Tab_org21[[#This Row],[Max. Herbstdüngemenge]]=5,3,Tab_org21[[#This Row],[Greift im Herbst 30/60 Regelung?]])</f>
        <v>1</v>
      </c>
    </row>
    <row r="45" spans="1:31" x14ac:dyDescent="0.2">
      <c r="A45" s="324" t="str" cm="1">
        <f t="array" ref="A45">IFERROR(INDEX(Tab_org21[Dünger],_xlfn.AGGREGATE(15,6,(ROW(Tab_org21[Auswahl])-6)/(--(SEARCH("x",Tab_org21[Auswahl])&gt;0)),ROW()-6),1),"")</f>
        <v>P840</v>
      </c>
      <c r="B45" s="324" t="str">
        <f>IF(Tab_org21[[#This Row],[Dünger]]=$C$60,IF($B$4=0,0,"x"),IF($B$4=0,"x",Vorauswahl!S51))</f>
        <v>x</v>
      </c>
      <c r="C45" s="188" t="s">
        <v>438</v>
      </c>
      <c r="D45" s="938" t="s">
        <v>437</v>
      </c>
      <c r="E45" s="938" t="s">
        <v>438</v>
      </c>
      <c r="F45" s="1031">
        <v>2</v>
      </c>
      <c r="G45" s="1031">
        <v>2</v>
      </c>
      <c r="H45" s="1031">
        <v>3</v>
      </c>
      <c r="I45" s="1031">
        <v>2</v>
      </c>
      <c r="J45" s="1031">
        <v>32</v>
      </c>
      <c r="K45" s="1031">
        <v>2</v>
      </c>
      <c r="L45" s="1031">
        <v>2</v>
      </c>
      <c r="M45" s="1031">
        <v>1</v>
      </c>
      <c r="N45" s="1031">
        <v>1</v>
      </c>
      <c r="O45" s="1031">
        <v>30</v>
      </c>
      <c r="P45" s="1031">
        <v>7.8</v>
      </c>
      <c r="Q45" s="1031">
        <v>3.51</v>
      </c>
      <c r="R45" s="1031">
        <v>8.1</v>
      </c>
      <c r="S45" s="1031">
        <v>6.9</v>
      </c>
      <c r="T45" s="1031">
        <v>2.5</v>
      </c>
      <c r="U45" s="1031">
        <v>45</v>
      </c>
      <c r="V45" s="1031">
        <v>2.8</v>
      </c>
      <c r="W45" s="1031">
        <v>100</v>
      </c>
      <c r="X45" s="1031">
        <v>100</v>
      </c>
      <c r="Y45" s="1031">
        <v>40</v>
      </c>
      <c r="Z45" s="1031">
        <v>30</v>
      </c>
      <c r="AA45" s="1031">
        <v>30</v>
      </c>
      <c r="AB45" s="1031">
        <v>2.6</v>
      </c>
      <c r="AC45" s="32">
        <f t="shared" si="9"/>
        <v>3.51</v>
      </c>
      <c r="AD45" s="40">
        <f t="shared" si="10"/>
        <v>3.51</v>
      </c>
      <c r="AE45" s="27">
        <f>IF(Tab_org21[[#This Row],[Max. Herbstdüngemenge]]=5,3,Tab_org21[[#This Row],[Greift im Herbst 30/60 Regelung?]])</f>
        <v>1</v>
      </c>
    </row>
    <row r="46" spans="1:31" ht="38.25" x14ac:dyDescent="0.2">
      <c r="A46" s="324" t="str" cm="1">
        <f t="array" ref="A46">IFERROR(INDEX(Tab_org21[Dünger],_xlfn.AGGREGATE(15,6,(ROW(Tab_org21[Auswahl])-6)/(--(SEARCH("x",Tab_org21[Auswahl])&gt;0)),ROW()-6),1),"")</f>
        <v>HEILGEW-F</v>
      </c>
      <c r="B46" s="324" t="str">
        <f>IF(Tab_org21[[#This Row],[Dünger]]=$C$60,IF($B$4=0,0,"x"),IF($B$4=0,"x",Vorauswahl!S52))</f>
        <v>x</v>
      </c>
      <c r="C46" s="325" t="s">
        <v>1121</v>
      </c>
      <c r="D46" s="335" t="s">
        <v>439</v>
      </c>
      <c r="E46" s="189"/>
      <c r="F46" s="313"/>
      <c r="G46" s="190">
        <v>0</v>
      </c>
      <c r="H46" s="191">
        <v>0</v>
      </c>
      <c r="I46" s="192">
        <v>0</v>
      </c>
      <c r="J46" s="192">
        <v>0</v>
      </c>
      <c r="K46" s="192">
        <v>0</v>
      </c>
      <c r="L46" s="192">
        <v>0</v>
      </c>
      <c r="M46" s="193">
        <v>0</v>
      </c>
      <c r="N46" s="193">
        <v>0</v>
      </c>
      <c r="O46" s="190">
        <v>0</v>
      </c>
      <c r="P46" s="194">
        <v>0</v>
      </c>
      <c r="Q46" s="195">
        <v>0</v>
      </c>
      <c r="R46" s="196">
        <v>0</v>
      </c>
      <c r="S46" s="196">
        <v>0</v>
      </c>
      <c r="T46" s="197">
        <v>0</v>
      </c>
      <c r="U46" s="198">
        <v>0</v>
      </c>
      <c r="V46" s="199">
        <v>0</v>
      </c>
      <c r="W46" s="200">
        <v>0</v>
      </c>
      <c r="X46" s="201">
        <v>0</v>
      </c>
      <c r="Y46" s="497">
        <v>0</v>
      </c>
      <c r="Z46" s="210">
        <v>0</v>
      </c>
      <c r="AA46" s="210">
        <v>0</v>
      </c>
      <c r="AB46" s="203">
        <v>0</v>
      </c>
      <c r="AC46" s="32">
        <v>0</v>
      </c>
      <c r="AD46" s="40">
        <v>0</v>
      </c>
      <c r="AE46" s="27">
        <f>IF(Tab_org21[[#This Row],[Max. Herbstdüngemenge]]=5,3,Tab_org21[[#This Row],[Greift im Herbst 30/60 Regelung?]])</f>
        <v>0</v>
      </c>
    </row>
    <row r="47" spans="1:31" s="76" customFormat="1" x14ac:dyDescent="0.2">
      <c r="A47" s="324" t="str" cm="1">
        <f t="array" ref="A47">IFERROR(INDEX(Tab_org21[Dünger],_xlfn.AGGREGATE(15,6,(ROW(Tab_org21[Auswahl])-6)/(--(SEARCH("x",Tab_org21[Auswahl])&gt;0)),ROW()-6),1),"")</f>
        <v>HOPFR1</v>
      </c>
      <c r="B47" s="324" t="str">
        <f>IF(Tab_org21[[#This Row],[Dünger]]=$C$60,IF($B$4=0,0,"x"),IF($B$4=0,"x",Vorauswahl!S53))</f>
        <v>x</v>
      </c>
      <c r="C47" s="800" t="s">
        <v>441</v>
      </c>
      <c r="D47" s="938" t="s">
        <v>440</v>
      </c>
      <c r="E47" s="938" t="s">
        <v>441</v>
      </c>
      <c r="F47" s="1031">
        <v>2</v>
      </c>
      <c r="G47" s="1031">
        <v>2</v>
      </c>
      <c r="H47" s="1031">
        <v>4</v>
      </c>
      <c r="I47" s="1031">
        <v>2</v>
      </c>
      <c r="J47" s="1031">
        <v>45</v>
      </c>
      <c r="K47" s="1031">
        <v>1</v>
      </c>
      <c r="L47" s="1031">
        <v>2</v>
      </c>
      <c r="M47" s="1031">
        <v>2</v>
      </c>
      <c r="N47" s="1031">
        <v>2</v>
      </c>
      <c r="O47" s="1031">
        <v>30</v>
      </c>
      <c r="P47" s="1031">
        <v>3.6</v>
      </c>
      <c r="Q47" s="1031">
        <v>0.36</v>
      </c>
      <c r="R47" s="1031">
        <v>2.7</v>
      </c>
      <c r="S47" s="1031">
        <v>9.3000000000000007</v>
      </c>
      <c r="T47" s="1031">
        <v>1.9</v>
      </c>
      <c r="U47" s="1031">
        <v>10</v>
      </c>
      <c r="V47" s="1031">
        <v>27.1</v>
      </c>
      <c r="W47" s="1031">
        <v>100</v>
      </c>
      <c r="X47" s="1031">
        <v>100</v>
      </c>
      <c r="Y47" s="1031">
        <v>45</v>
      </c>
      <c r="Z47" s="1031">
        <v>25</v>
      </c>
      <c r="AA47" s="1031">
        <v>25</v>
      </c>
      <c r="AB47" s="1031">
        <v>1.2</v>
      </c>
      <c r="AC47" s="801">
        <f t="shared" si="9"/>
        <v>0.9</v>
      </c>
      <c r="AD47" s="802">
        <f t="shared" si="10"/>
        <v>0.9</v>
      </c>
      <c r="AE47" s="27">
        <f>IF(Tab_org21[[#This Row],[Max. Herbstdüngemenge]]=5,3,Tab_org21[[#This Row],[Greift im Herbst 30/60 Regelung?]])</f>
        <v>2</v>
      </c>
    </row>
    <row r="48" spans="1:31" x14ac:dyDescent="0.2">
      <c r="A48" s="324" t="str" cm="1">
        <f t="array" ref="A48">IFERROR(INDEX(Tab_org21[Dünger],_xlfn.AGGREGATE(15,6,(ROW(Tab_org21[Auswahl])-6)/(--(SEARCH("x",Tab_org21[Auswahl])&gt;0)),ROW()-6),1),"")</f>
        <v/>
      </c>
      <c r="B48" s="324" t="str">
        <f>IF(Tab_org21[[#This Row],[Dünger]]=$C$60,IF($B$4=0,0,"x"),IF($B$4=0,"x",Vorauswahl!S54))</f>
        <v>x</v>
      </c>
      <c r="C48" s="186" t="s">
        <v>443</v>
      </c>
      <c r="D48" s="938" t="s">
        <v>442</v>
      </c>
      <c r="E48" s="938" t="s">
        <v>443</v>
      </c>
      <c r="F48" s="1031">
        <v>2</v>
      </c>
      <c r="G48" s="1031">
        <v>2</v>
      </c>
      <c r="H48" s="1031">
        <v>4</v>
      </c>
      <c r="I48" s="1031">
        <v>2</v>
      </c>
      <c r="J48" s="1031">
        <v>45</v>
      </c>
      <c r="K48" s="1031">
        <v>1</v>
      </c>
      <c r="L48" s="1031">
        <v>2</v>
      </c>
      <c r="M48" s="1031">
        <v>2</v>
      </c>
      <c r="N48" s="1031">
        <v>2</v>
      </c>
      <c r="O48" s="1031">
        <v>30</v>
      </c>
      <c r="P48" s="1031">
        <v>5.9</v>
      </c>
      <c r="Q48" s="1031">
        <v>0.59</v>
      </c>
      <c r="R48" s="1031">
        <v>3.1</v>
      </c>
      <c r="S48" s="1031">
        <v>11.3</v>
      </c>
      <c r="T48" s="1031">
        <v>2.6</v>
      </c>
      <c r="U48" s="1031">
        <v>10</v>
      </c>
      <c r="V48" s="1031">
        <v>10.199999999999999</v>
      </c>
      <c r="W48" s="1031">
        <v>100</v>
      </c>
      <c r="X48" s="1031">
        <v>100</v>
      </c>
      <c r="Y48" s="1031">
        <v>45</v>
      </c>
      <c r="Z48" s="1031">
        <v>25</v>
      </c>
      <c r="AA48" s="1031">
        <v>25</v>
      </c>
      <c r="AB48" s="1031">
        <v>2</v>
      </c>
      <c r="AC48" s="32">
        <f t="shared" si="9"/>
        <v>1.4750000000000001</v>
      </c>
      <c r="AD48" s="40">
        <f t="shared" si="10"/>
        <v>1.4750000000000001</v>
      </c>
      <c r="AE48" s="27">
        <f>IF(Tab_org21[[#This Row],[Max. Herbstdüngemenge]]=5,3,Tab_org21[[#This Row],[Greift im Herbst 30/60 Regelung?]])</f>
        <v>2</v>
      </c>
    </row>
    <row r="49" spans="1:31" x14ac:dyDescent="0.2">
      <c r="A49" s="324" t="str" cm="1">
        <f t="array" ref="A49">IFERROR(INDEX(Tab_org21[Dünger],_xlfn.AGGREGATE(15,6,(ROW(Tab_org21[Auswahl])-6)/(--(SEARCH("x",Tab_org21[Auswahl])&gt;0)),ROW()-6),1),"")</f>
        <v/>
      </c>
      <c r="B49" s="324" t="str">
        <f>IF(Tab_org21[[#This Row],[Dünger]]=$C$60,IF($B$4=0,0,"x"),IF($B$4=0,"x",Vorauswahl!S55))</f>
        <v>x</v>
      </c>
      <c r="C49" s="188" t="s">
        <v>445</v>
      </c>
      <c r="D49" s="938" t="s">
        <v>444</v>
      </c>
      <c r="E49" s="938" t="s">
        <v>445</v>
      </c>
      <c r="F49" s="1031">
        <v>2</v>
      </c>
      <c r="G49" s="1031">
        <v>2</v>
      </c>
      <c r="H49" s="1031">
        <v>4</v>
      </c>
      <c r="I49" s="1031">
        <v>2</v>
      </c>
      <c r="J49" s="1031">
        <v>42</v>
      </c>
      <c r="K49" s="1031">
        <v>2</v>
      </c>
      <c r="L49" s="1031">
        <v>2</v>
      </c>
      <c r="M49" s="1031">
        <v>1</v>
      </c>
      <c r="N49" s="1031">
        <v>1</v>
      </c>
      <c r="O49" s="1031">
        <v>30</v>
      </c>
      <c r="P49" s="1031">
        <v>5.6</v>
      </c>
      <c r="Q49" s="1031">
        <v>0.56000000000000005</v>
      </c>
      <c r="R49" s="1031">
        <v>5.7</v>
      </c>
      <c r="S49" s="1031">
        <v>9.1999999999999993</v>
      </c>
      <c r="T49" s="1031">
        <v>2.1</v>
      </c>
      <c r="U49" s="1031">
        <v>10</v>
      </c>
      <c r="V49" s="1031">
        <v>8.6999999999999993</v>
      </c>
      <c r="W49" s="1031">
        <v>100</v>
      </c>
      <c r="X49" s="1031">
        <v>100</v>
      </c>
      <c r="Y49" s="1031">
        <v>45</v>
      </c>
      <c r="Z49" s="1031">
        <v>30</v>
      </c>
      <c r="AA49" s="1031">
        <v>30</v>
      </c>
      <c r="AB49" s="1031">
        <v>1.9</v>
      </c>
      <c r="AC49" s="32">
        <f t="shared" si="9"/>
        <v>1.68</v>
      </c>
      <c r="AD49" s="40">
        <f t="shared" si="10"/>
        <v>1.68</v>
      </c>
      <c r="AE49" s="27">
        <f>IF(Tab_org21[[#This Row],[Max. Herbstdüngemenge]]=5,3,Tab_org21[[#This Row],[Greift im Herbst 30/60 Regelung?]])</f>
        <v>1</v>
      </c>
    </row>
    <row r="50" spans="1:31" ht="38.25" x14ac:dyDescent="0.2">
      <c r="A50" s="324" t="str" cm="1">
        <f t="array" ref="A50">IFERROR(INDEX(Tab_org21[Dünger],_xlfn.AGGREGATE(15,6,(ROW(Tab_org21[Auswahl])-6)/(--(SEARCH("x",Tab_org21[Auswahl])&gt;0)),ROW()-6),1),"")</f>
        <v/>
      </c>
      <c r="B50" s="324" t="str">
        <f>IF(Tab_org21[[#This Row],[Dünger]]=$C$60,IF($B$4=0,0,"x"),IF($B$4=0,"x",Vorauswahl!S56))</f>
        <v>x</v>
      </c>
      <c r="C50" s="325" t="s">
        <v>1120</v>
      </c>
      <c r="D50" s="335" t="s">
        <v>446</v>
      </c>
      <c r="E50" s="189"/>
      <c r="F50" s="313">
        <v>2</v>
      </c>
      <c r="G50" s="190">
        <v>0</v>
      </c>
      <c r="H50" s="191">
        <v>0</v>
      </c>
      <c r="I50" s="192">
        <v>0</v>
      </c>
      <c r="J50" s="192">
        <v>0</v>
      </c>
      <c r="K50" s="192">
        <v>0</v>
      </c>
      <c r="L50" s="192">
        <v>0</v>
      </c>
      <c r="M50" s="193">
        <v>0</v>
      </c>
      <c r="N50" s="193">
        <v>0</v>
      </c>
      <c r="O50" s="190">
        <v>0</v>
      </c>
      <c r="P50" s="194">
        <v>0</v>
      </c>
      <c r="Q50" s="195">
        <v>0</v>
      </c>
      <c r="R50" s="196">
        <v>0</v>
      </c>
      <c r="S50" s="196">
        <v>0</v>
      </c>
      <c r="T50" s="197">
        <v>0</v>
      </c>
      <c r="U50" s="198">
        <v>0</v>
      </c>
      <c r="V50" s="198">
        <v>0</v>
      </c>
      <c r="W50" s="211">
        <v>0</v>
      </c>
      <c r="X50" s="212">
        <v>0</v>
      </c>
      <c r="Y50" s="497">
        <v>0</v>
      </c>
      <c r="Z50" s="191">
        <v>0</v>
      </c>
      <c r="AA50" s="191">
        <v>0</v>
      </c>
      <c r="AB50" s="203">
        <v>0</v>
      </c>
      <c r="AC50" s="32">
        <v>0</v>
      </c>
      <c r="AD50" s="40">
        <v>0</v>
      </c>
      <c r="AE50" s="27">
        <f>IF(Tab_org21[[#This Row],[Max. Herbstdüngemenge]]=5,3,Tab_org21[[#This Row],[Greift im Herbst 30/60 Regelung?]])</f>
        <v>0</v>
      </c>
    </row>
    <row r="51" spans="1:31" x14ac:dyDescent="0.2">
      <c r="A51" s="324" t="str" cm="1">
        <f t="array" ref="A51">IFERROR(INDEX(Tab_org21[Dünger],_xlfn.AGGREGATE(15,6,(ROW(Tab_org21[Auswahl])-6)/(--(SEARCH("x",Tab_org21[Auswahl])&gt;0)),ROW()-6),1),"")</f>
        <v/>
      </c>
      <c r="B51" s="324" t="str">
        <f>IF(Tab_org21[[#This Row],[Dünger]]=$C$60,IF($B$4=0,0,"x"),IF($B$4=0,"x",Vorauswahl!S57))</f>
        <v>x</v>
      </c>
      <c r="C51" s="188" t="s">
        <v>448</v>
      </c>
      <c r="D51" s="938" t="s">
        <v>447</v>
      </c>
      <c r="E51" s="938" t="s">
        <v>448</v>
      </c>
      <c r="F51" s="1031">
        <v>2</v>
      </c>
      <c r="G51" s="1031">
        <v>8</v>
      </c>
      <c r="H51" s="1031">
        <v>6</v>
      </c>
      <c r="I51" s="1031">
        <v>2</v>
      </c>
      <c r="J51" s="1031">
        <v>68</v>
      </c>
      <c r="K51" s="1031">
        <v>2</v>
      </c>
      <c r="L51" s="1031">
        <v>3</v>
      </c>
      <c r="M51" s="1031">
        <v>2</v>
      </c>
      <c r="N51" s="1031">
        <v>4</v>
      </c>
      <c r="O51" s="1031">
        <v>86</v>
      </c>
      <c r="P51" s="1031">
        <v>5</v>
      </c>
      <c r="Q51" s="1031">
        <v>0</v>
      </c>
      <c r="R51" s="1031">
        <v>3</v>
      </c>
      <c r="S51" s="1031">
        <v>17</v>
      </c>
      <c r="T51" s="1031">
        <v>1</v>
      </c>
      <c r="U51" s="1031">
        <v>0</v>
      </c>
      <c r="V51" s="1031">
        <v>100</v>
      </c>
      <c r="W51" s="1031">
        <v>0</v>
      </c>
      <c r="X51" s="1031">
        <v>0</v>
      </c>
      <c r="Y51" s="1031">
        <v>0</v>
      </c>
      <c r="Z51" s="1031">
        <v>0</v>
      </c>
      <c r="AA51" s="1031">
        <v>0</v>
      </c>
      <c r="AB51" s="1031">
        <v>0.6</v>
      </c>
      <c r="AC51" s="32">
        <f t="shared" si="9"/>
        <v>0</v>
      </c>
      <c r="AD51" s="40">
        <f t="shared" si="10"/>
        <v>0</v>
      </c>
      <c r="AE51" s="27">
        <f>IF(Tab_org21[[#This Row],[Max. Herbstdüngemenge]]=5,3,Tab_org21[[#This Row],[Greift im Herbst 30/60 Regelung?]])</f>
        <v>2</v>
      </c>
    </row>
    <row r="52" spans="1:31" x14ac:dyDescent="0.2">
      <c r="A52" s="324" t="str" cm="1">
        <f t="array" ref="A52">IFERROR(INDEX(Tab_org21[Dünger],_xlfn.AGGREGATE(15,6,(ROW(Tab_org21[Auswahl])-6)/(--(SEARCH("x",Tab_org21[Auswahl])&gt;0)),ROW()-6),1),"")</f>
        <v/>
      </c>
      <c r="B52" s="324" t="str">
        <f>IF(Tab_org21[[#This Row],[Dünger]]=$C$60,IF($B$4=0,0,"x"),IF($B$4=0,"x",Vorauswahl!S58))</f>
        <v>x</v>
      </c>
      <c r="C52" s="188" t="s">
        <v>449</v>
      </c>
      <c r="D52" s="938" t="s">
        <v>94</v>
      </c>
      <c r="E52" s="938" t="s">
        <v>449</v>
      </c>
      <c r="F52" s="1031">
        <v>2</v>
      </c>
      <c r="G52" s="1031">
        <v>8</v>
      </c>
      <c r="H52" s="1031">
        <v>6</v>
      </c>
      <c r="I52" s="1031">
        <v>2</v>
      </c>
      <c r="J52" s="1031">
        <v>68</v>
      </c>
      <c r="K52" s="1031">
        <v>2</v>
      </c>
      <c r="L52" s="1031">
        <v>3</v>
      </c>
      <c r="M52" s="1031">
        <v>2</v>
      </c>
      <c r="N52" s="1031">
        <v>4</v>
      </c>
      <c r="O52" s="1031">
        <v>86</v>
      </c>
      <c r="P52" s="1031">
        <v>5</v>
      </c>
      <c r="Q52" s="1031">
        <v>0</v>
      </c>
      <c r="R52" s="1031">
        <v>3</v>
      </c>
      <c r="S52" s="1031">
        <v>17</v>
      </c>
      <c r="T52" s="1031">
        <v>2</v>
      </c>
      <c r="U52" s="1031">
        <v>0</v>
      </c>
      <c r="V52" s="1031">
        <v>100</v>
      </c>
      <c r="W52" s="1031">
        <v>0</v>
      </c>
      <c r="X52" s="1031">
        <v>0</v>
      </c>
      <c r="Y52" s="1031">
        <v>0</v>
      </c>
      <c r="Z52" s="1031">
        <v>0</v>
      </c>
      <c r="AA52" s="1031">
        <v>0</v>
      </c>
      <c r="AB52" s="1031">
        <v>0.6</v>
      </c>
      <c r="AC52" s="32">
        <f t="shared" si="9"/>
        <v>0</v>
      </c>
      <c r="AD52" s="40">
        <f t="shared" si="10"/>
        <v>0</v>
      </c>
      <c r="AE52" s="27">
        <f>IF(Tab_org21[[#This Row],[Max. Herbstdüngemenge]]=5,3,Tab_org21[[#This Row],[Greift im Herbst 30/60 Regelung?]])</f>
        <v>2</v>
      </c>
    </row>
    <row r="53" spans="1:31" x14ac:dyDescent="0.2">
      <c r="A53" s="324" t="str" cm="1">
        <f t="array" ref="A53">IFERROR(INDEX(Tab_org21[Dünger],_xlfn.AGGREGATE(15,6,(ROW(Tab_org21[Auswahl])-6)/(--(SEARCH("x",Tab_org21[Auswahl])&gt;0)),ROW()-6),1),"")</f>
        <v/>
      </c>
      <c r="B53" s="324" t="str">
        <f>IF(Tab_org21[[#This Row],[Dünger]]=$C$60,IF($B$4=0,0,"x"),IF($B$4=0,"x",Vorauswahl!S59))</f>
        <v>x</v>
      </c>
      <c r="C53" s="188" t="s">
        <v>450</v>
      </c>
      <c r="D53" s="938" t="s">
        <v>95</v>
      </c>
      <c r="E53" s="938" t="s">
        <v>450</v>
      </c>
      <c r="F53" s="1031">
        <v>2</v>
      </c>
      <c r="G53" s="1031">
        <v>8</v>
      </c>
      <c r="H53" s="1031">
        <v>6</v>
      </c>
      <c r="I53" s="1031">
        <v>2</v>
      </c>
      <c r="J53" s="1031">
        <v>68</v>
      </c>
      <c r="K53" s="1031">
        <v>2</v>
      </c>
      <c r="L53" s="1031">
        <v>3</v>
      </c>
      <c r="M53" s="1031">
        <v>2</v>
      </c>
      <c r="N53" s="1031">
        <v>4</v>
      </c>
      <c r="O53" s="1031">
        <v>86</v>
      </c>
      <c r="P53" s="1031">
        <v>5</v>
      </c>
      <c r="Q53" s="1031">
        <v>0</v>
      </c>
      <c r="R53" s="1031">
        <v>3</v>
      </c>
      <c r="S53" s="1031">
        <v>20</v>
      </c>
      <c r="T53" s="1031">
        <v>2</v>
      </c>
      <c r="U53" s="1031">
        <v>0</v>
      </c>
      <c r="V53" s="1031">
        <v>100</v>
      </c>
      <c r="W53" s="1031">
        <v>0</v>
      </c>
      <c r="X53" s="1031">
        <v>0</v>
      </c>
      <c r="Y53" s="1031">
        <v>0</v>
      </c>
      <c r="Z53" s="1031">
        <v>0</v>
      </c>
      <c r="AA53" s="1031">
        <v>0</v>
      </c>
      <c r="AB53" s="1031">
        <v>0.6</v>
      </c>
      <c r="AC53" s="32">
        <f t="shared" si="9"/>
        <v>0</v>
      </c>
      <c r="AD53" s="40">
        <f t="shared" si="10"/>
        <v>0</v>
      </c>
      <c r="AE53" s="27">
        <f>IF(Tab_org21[[#This Row],[Max. Herbstdüngemenge]]=5,3,Tab_org21[[#This Row],[Greift im Herbst 30/60 Regelung?]])</f>
        <v>2</v>
      </c>
    </row>
    <row r="54" spans="1:31" x14ac:dyDescent="0.2">
      <c r="A54" s="324" t="str" cm="1">
        <f t="array" ref="A54">IFERROR(INDEX(Tab_org21[Dünger],_xlfn.AGGREGATE(15,6,(ROW(Tab_org21[Auswahl])-6)/(--(SEARCH("x",Tab_org21[Auswahl])&gt;0)),ROW()-6),1),"")</f>
        <v/>
      </c>
      <c r="B54" s="324" t="str">
        <f>IF(Tab_org21[[#This Row],[Dünger]]=$C$60,IF($B$4=0,0,"x"),IF($B$4=0,"x",Vorauswahl!S60))</f>
        <v>x</v>
      </c>
      <c r="C54" s="188" t="s">
        <v>451</v>
      </c>
      <c r="D54" s="938" t="s">
        <v>96</v>
      </c>
      <c r="E54" s="938" t="s">
        <v>451</v>
      </c>
      <c r="F54" s="1031">
        <v>2</v>
      </c>
      <c r="G54" s="1031">
        <v>8</v>
      </c>
      <c r="H54" s="1031">
        <v>6</v>
      </c>
      <c r="I54" s="1031">
        <v>2</v>
      </c>
      <c r="J54" s="1031">
        <v>68</v>
      </c>
      <c r="K54" s="1031">
        <v>2</v>
      </c>
      <c r="L54" s="1031">
        <v>3</v>
      </c>
      <c r="M54" s="1031">
        <v>2</v>
      </c>
      <c r="N54" s="1031">
        <v>4</v>
      </c>
      <c r="O54" s="1031">
        <v>86</v>
      </c>
      <c r="P54" s="1031">
        <v>5</v>
      </c>
      <c r="Q54" s="1031">
        <v>0</v>
      </c>
      <c r="R54" s="1031">
        <v>3</v>
      </c>
      <c r="S54" s="1031">
        <v>14</v>
      </c>
      <c r="T54" s="1031">
        <v>2</v>
      </c>
      <c r="U54" s="1031">
        <v>0</v>
      </c>
      <c r="V54" s="1031">
        <v>100</v>
      </c>
      <c r="W54" s="1031">
        <v>0</v>
      </c>
      <c r="X54" s="1031">
        <v>0</v>
      </c>
      <c r="Y54" s="1031">
        <v>0</v>
      </c>
      <c r="Z54" s="1031">
        <v>0</v>
      </c>
      <c r="AA54" s="1031">
        <v>0</v>
      </c>
      <c r="AB54" s="1031">
        <v>0.6</v>
      </c>
      <c r="AC54" s="32">
        <f t="shared" si="9"/>
        <v>0</v>
      </c>
      <c r="AD54" s="40">
        <f t="shared" si="10"/>
        <v>0</v>
      </c>
      <c r="AE54" s="27">
        <f>IF(Tab_org21[[#This Row],[Max. Herbstdüngemenge]]=5,3,Tab_org21[[#This Row],[Greift im Herbst 30/60 Regelung?]])</f>
        <v>2</v>
      </c>
    </row>
    <row r="55" spans="1:31" x14ac:dyDescent="0.2">
      <c r="A55" s="324" t="str" cm="1">
        <f t="array" ref="A55">IFERROR(INDEX(Tab_org21[Dünger],_xlfn.AGGREGATE(15,6,(ROW(Tab_org21[Auswahl])-6)/(--(SEARCH("x",Tab_org21[Auswahl])&gt;0)),ROW()-6),1),"")</f>
        <v/>
      </c>
      <c r="B55" s="324" t="str">
        <f>IF(Tab_org21[[#This Row],[Dünger]]=$C$60,IF($B$4=0,0,"x"),IF($B$4=0,"x",Vorauswahl!S61))</f>
        <v>x</v>
      </c>
      <c r="C55" s="186" t="s">
        <v>453</v>
      </c>
      <c r="D55" s="938" t="s">
        <v>452</v>
      </c>
      <c r="E55" s="938" t="s">
        <v>453</v>
      </c>
      <c r="F55" s="1031">
        <v>2</v>
      </c>
      <c r="G55" s="1031">
        <v>8</v>
      </c>
      <c r="H55" s="1031">
        <v>6</v>
      </c>
      <c r="I55" s="1031">
        <v>2</v>
      </c>
      <c r="J55" s="1031">
        <v>68</v>
      </c>
      <c r="K55" s="1031">
        <v>2</v>
      </c>
      <c r="L55" s="1031">
        <v>3</v>
      </c>
      <c r="M55" s="1031">
        <v>2</v>
      </c>
      <c r="N55" s="1031">
        <v>4</v>
      </c>
      <c r="O55" s="1031">
        <v>86</v>
      </c>
      <c r="P55" s="1031">
        <v>9</v>
      </c>
      <c r="Q55" s="1031">
        <v>0</v>
      </c>
      <c r="R55" s="1031">
        <v>2</v>
      </c>
      <c r="S55" s="1031">
        <v>20</v>
      </c>
      <c r="T55" s="1031">
        <v>4</v>
      </c>
      <c r="U55" s="1031">
        <v>0</v>
      </c>
      <c r="V55" s="1031">
        <v>100</v>
      </c>
      <c r="W55" s="1031">
        <v>0</v>
      </c>
      <c r="X55" s="1031">
        <v>0</v>
      </c>
      <c r="Y55" s="1031">
        <v>0</v>
      </c>
      <c r="Z55" s="1031">
        <v>0</v>
      </c>
      <c r="AA55" s="1031">
        <v>0</v>
      </c>
      <c r="AB55" s="1031">
        <v>1</v>
      </c>
      <c r="AC55" s="32">
        <f t="shared" si="9"/>
        <v>0</v>
      </c>
      <c r="AD55" s="40">
        <f t="shared" si="10"/>
        <v>0</v>
      </c>
      <c r="AE55" s="27">
        <f>IF(Tab_org21[[#This Row],[Max. Herbstdüngemenge]]=5,3,Tab_org21[[#This Row],[Greift im Herbst 30/60 Regelung?]])</f>
        <v>2</v>
      </c>
    </row>
    <row r="56" spans="1:31" x14ac:dyDescent="0.2">
      <c r="A56" s="324" t="str" cm="1">
        <f t="array" ref="A56">IFERROR(INDEX(Tab_org21[Dünger],_xlfn.AGGREGATE(15,6,(ROW(Tab_org21[Auswahl])-6)/(--(SEARCH("x",Tab_org21[Auswahl])&gt;0)),ROW()-6),1),"")</f>
        <v/>
      </c>
      <c r="B56" s="324" t="str">
        <f>IF(Tab_org21[[#This Row],[Dünger]]=$C$60,IF($B$4=0,0,"x"),IF($B$4=0,"x",Vorauswahl!S62))</f>
        <v>x</v>
      </c>
      <c r="C56" s="186" t="s">
        <v>454</v>
      </c>
      <c r="D56" s="938" t="s">
        <v>97</v>
      </c>
      <c r="E56" s="938" t="s">
        <v>454</v>
      </c>
      <c r="F56" s="1031">
        <v>2</v>
      </c>
      <c r="G56" s="1031">
        <v>8</v>
      </c>
      <c r="H56" s="1031">
        <v>6</v>
      </c>
      <c r="I56" s="1031">
        <v>2</v>
      </c>
      <c r="J56" s="1031">
        <v>68</v>
      </c>
      <c r="K56" s="1031">
        <v>2</v>
      </c>
      <c r="L56" s="1031">
        <v>3</v>
      </c>
      <c r="M56" s="1031">
        <v>2</v>
      </c>
      <c r="N56" s="1031">
        <v>4</v>
      </c>
      <c r="O56" s="1031">
        <v>86</v>
      </c>
      <c r="P56" s="1031">
        <v>11</v>
      </c>
      <c r="Q56" s="1031">
        <v>0</v>
      </c>
      <c r="R56" s="1031">
        <v>4</v>
      </c>
      <c r="S56" s="1031">
        <v>15.6</v>
      </c>
      <c r="T56" s="1031">
        <v>2.8</v>
      </c>
      <c r="U56" s="1031">
        <v>0</v>
      </c>
      <c r="V56" s="1031">
        <v>100</v>
      </c>
      <c r="W56" s="1031">
        <v>0</v>
      </c>
      <c r="X56" s="1031">
        <v>0</v>
      </c>
      <c r="Y56" s="1031">
        <v>0</v>
      </c>
      <c r="Z56" s="1031">
        <v>0</v>
      </c>
      <c r="AA56" s="1031">
        <v>0</v>
      </c>
      <c r="AB56" s="1031">
        <v>1.3</v>
      </c>
      <c r="AC56" s="32">
        <f t="shared" si="9"/>
        <v>0</v>
      </c>
      <c r="AD56" s="40">
        <f t="shared" si="10"/>
        <v>0</v>
      </c>
      <c r="AE56" s="27">
        <f>IF(Tab_org21[[#This Row],[Max. Herbstdüngemenge]]=5,3,Tab_org21[[#This Row],[Greift im Herbst 30/60 Regelung?]])</f>
        <v>2</v>
      </c>
    </row>
    <row r="57" spans="1:31" x14ac:dyDescent="0.2">
      <c r="A57" s="324" t="str" cm="1">
        <f t="array" ref="A57">IFERROR(INDEX(Tab_org21[Dünger],_xlfn.AGGREGATE(15,6,(ROW(Tab_org21[Auswahl])-6)/(--(SEARCH("x",Tab_org21[Auswahl])&gt;0)),ROW()-6),1),"")</f>
        <v/>
      </c>
      <c r="B57" s="324" t="str">
        <f>IF(Tab_org21[[#This Row],[Dünger]]=$C$60,IF($B$4=0,0,"x"),IF($B$4=0,"x",Vorauswahl!S63))</f>
        <v>x</v>
      </c>
      <c r="C57" s="186" t="s">
        <v>456</v>
      </c>
      <c r="D57" s="938" t="s">
        <v>455</v>
      </c>
      <c r="E57" s="938" t="s">
        <v>456</v>
      </c>
      <c r="F57" s="1031">
        <v>2</v>
      </c>
      <c r="G57" s="1031">
        <v>4</v>
      </c>
      <c r="H57" s="1031">
        <v>6</v>
      </c>
      <c r="I57" s="1031">
        <v>2</v>
      </c>
      <c r="J57" s="1031">
        <v>64</v>
      </c>
      <c r="K57" s="1031">
        <v>2</v>
      </c>
      <c r="L57" s="1031">
        <v>3</v>
      </c>
      <c r="M57" s="1031">
        <v>1</v>
      </c>
      <c r="N57" s="1031">
        <v>1</v>
      </c>
      <c r="O57" s="1031">
        <v>40</v>
      </c>
      <c r="P57" s="1031">
        <v>7.4</v>
      </c>
      <c r="Q57" s="1031">
        <v>0.2</v>
      </c>
      <c r="R57" s="1031">
        <v>2.2999999999999998</v>
      </c>
      <c r="S57" s="1031">
        <v>8</v>
      </c>
      <c r="T57" s="938">
        <v>0</v>
      </c>
      <c r="U57" s="1031">
        <v>2.7</v>
      </c>
      <c r="V57" s="1031">
        <v>0</v>
      </c>
      <c r="W57" s="1031">
        <v>0</v>
      </c>
      <c r="X57" s="1031">
        <v>0</v>
      </c>
      <c r="Y57" s="1031">
        <v>0</v>
      </c>
      <c r="Z57" s="1031">
        <v>20</v>
      </c>
      <c r="AA57" s="1031">
        <v>20</v>
      </c>
      <c r="AB57" s="1031">
        <v>1.9</v>
      </c>
      <c r="AC57" s="32">
        <f t="shared" si="9"/>
        <v>1.48</v>
      </c>
      <c r="AD57" s="40">
        <f t="shared" si="10"/>
        <v>1.48</v>
      </c>
      <c r="AE57" s="27">
        <f>IF(Tab_org21[[#This Row],[Max. Herbstdüngemenge]]=5,3,Tab_org21[[#This Row],[Greift im Herbst 30/60 Regelung?]])</f>
        <v>1</v>
      </c>
    </row>
    <row r="58" spans="1:31" x14ac:dyDescent="0.2">
      <c r="A58" s="324" t="str" cm="1">
        <f t="array" ref="A58">IFERROR(INDEX(Tab_org21[Dünger],_xlfn.AGGREGATE(15,6,(ROW(Tab_org21[Auswahl])-6)/(--(SEARCH("x",Tab_org21[Auswahl])&gt;0)),ROW()-6),1),"")</f>
        <v/>
      </c>
      <c r="B58" s="324" t="str">
        <f>IF(Tab_org21[[#This Row],[Dünger]]=$C$60,IF($B$4=0,0,"x"),IF($B$4=0,"x",Vorauswahl!S64))</f>
        <v>x</v>
      </c>
      <c r="C58" s="213" t="s">
        <v>457</v>
      </c>
      <c r="D58" s="938" t="s">
        <v>1846</v>
      </c>
      <c r="E58" s="938" t="s">
        <v>457</v>
      </c>
      <c r="F58" s="1031">
        <v>2</v>
      </c>
      <c r="G58" s="1031">
        <v>4</v>
      </c>
      <c r="H58" s="1031">
        <v>6</v>
      </c>
      <c r="I58" s="1031">
        <v>2</v>
      </c>
      <c r="J58" s="1031">
        <v>64</v>
      </c>
      <c r="K58" s="1031">
        <v>2</v>
      </c>
      <c r="L58" s="1031">
        <v>3</v>
      </c>
      <c r="M58" s="1031">
        <v>1</v>
      </c>
      <c r="N58" s="1031">
        <v>1</v>
      </c>
      <c r="O58" s="1031">
        <v>12</v>
      </c>
      <c r="P58" s="1031">
        <v>2.2999999999999998</v>
      </c>
      <c r="Q58" s="1031">
        <v>0</v>
      </c>
      <c r="R58" s="1031">
        <v>1.3</v>
      </c>
      <c r="S58" s="1031">
        <v>9.1999999999999993</v>
      </c>
      <c r="T58" s="1031">
        <v>0.6</v>
      </c>
      <c r="U58" s="1031">
        <v>0</v>
      </c>
      <c r="V58" s="1031">
        <v>0</v>
      </c>
      <c r="W58" s="1031">
        <v>0</v>
      </c>
      <c r="X58" s="1031">
        <v>0</v>
      </c>
      <c r="Y58" s="1031">
        <v>0</v>
      </c>
      <c r="Z58" s="1031">
        <v>10</v>
      </c>
      <c r="AA58" s="1031">
        <v>10</v>
      </c>
      <c r="AB58" s="1031">
        <v>1.9</v>
      </c>
      <c r="AC58" s="32">
        <f t="shared" si="9"/>
        <v>0.23</v>
      </c>
      <c r="AD58" s="40">
        <f t="shared" si="10"/>
        <v>0.23</v>
      </c>
      <c r="AE58" s="27">
        <f>IF(Tab_org21[[#This Row],[Max. Herbstdüngemenge]]=5,3,Tab_org21[[#This Row],[Greift im Herbst 30/60 Regelung?]])</f>
        <v>1</v>
      </c>
    </row>
    <row r="59" spans="1:31" x14ac:dyDescent="0.2">
      <c r="A59" s="324" t="str" cm="1">
        <f t="array" ref="A59">IFERROR(INDEX(Tab_org21[Dünger],_xlfn.AGGREGATE(15,6,(ROW(Tab_org21[Auswahl])-6)/(--(SEARCH("x",Tab_org21[Auswahl])&gt;0)),ROW()-6),1),"")</f>
        <v/>
      </c>
      <c r="B59" s="324" t="str">
        <f>IF(Tab_org21[[#This Row],[Dünger]]=$C$60,IF($B$4=0,0,"x"),IF($B$4=0,"x",Vorauswahl!S65))</f>
        <v>x</v>
      </c>
      <c r="C59" s="213" t="s">
        <v>459</v>
      </c>
      <c r="D59" s="938" t="s">
        <v>458</v>
      </c>
      <c r="E59" s="938" t="s">
        <v>459</v>
      </c>
      <c r="F59" s="1031">
        <v>2</v>
      </c>
      <c r="G59" s="1031">
        <v>9</v>
      </c>
      <c r="H59" s="1031">
        <v>6</v>
      </c>
      <c r="I59" s="1031">
        <v>2</v>
      </c>
      <c r="J59" s="1031">
        <v>69</v>
      </c>
      <c r="K59" s="1031">
        <v>2</v>
      </c>
      <c r="L59" s="1031">
        <v>3</v>
      </c>
      <c r="M59" s="1031">
        <v>2</v>
      </c>
      <c r="N59" s="1031">
        <v>5</v>
      </c>
      <c r="O59" s="1031">
        <v>27</v>
      </c>
      <c r="P59" s="1031">
        <v>6</v>
      </c>
      <c r="Q59" s="1031">
        <v>0</v>
      </c>
      <c r="R59" s="1031">
        <v>1.3</v>
      </c>
      <c r="S59" s="1031">
        <v>5.9</v>
      </c>
      <c r="T59" s="1031">
        <v>2.1</v>
      </c>
      <c r="U59" s="1031">
        <v>0</v>
      </c>
      <c r="V59" s="1031">
        <v>0</v>
      </c>
      <c r="W59" s="1031">
        <v>0</v>
      </c>
      <c r="X59" s="1031">
        <v>0</v>
      </c>
      <c r="Y59" s="1031">
        <v>0</v>
      </c>
      <c r="Z59" s="1031">
        <v>10</v>
      </c>
      <c r="AA59" s="1031">
        <v>10</v>
      </c>
      <c r="AB59" s="1031">
        <v>2.2000000000000002</v>
      </c>
      <c r="AC59" s="32">
        <f t="shared" si="9"/>
        <v>0.6</v>
      </c>
      <c r="AD59" s="40">
        <f t="shared" si="10"/>
        <v>0.6</v>
      </c>
      <c r="AE59" s="27">
        <f>IF(Tab_org21[[#This Row],[Max. Herbstdüngemenge]]=5,3,Tab_org21[[#This Row],[Greift im Herbst 30/60 Regelung?]])</f>
        <v>3</v>
      </c>
    </row>
    <row r="60" spans="1:31" ht="25.5" x14ac:dyDescent="0.2">
      <c r="A60" s="324" t="str" cm="1">
        <f t="array" ref="A60">IFERROR(INDEX(Tab_org21[Dünger],_xlfn.AGGREGATE(15,6,(ROW(Tab_org21[Auswahl])-6)/(--(SEARCH("x",Tab_org21[Auswahl])&gt;0)),ROW()-6),1),"")</f>
        <v/>
      </c>
      <c r="B60" s="324">
        <f>IF(Tab_org21[[#This Row],[Dünger]]=$C$60,IF($B$4=0,0,"x"),IF($B$4=0,"x",Vorauswahl!S66))</f>
        <v>0</v>
      </c>
      <c r="C60" s="803" t="s">
        <v>1498</v>
      </c>
      <c r="D60" s="186"/>
      <c r="E60" s="780"/>
      <c r="F60" s="781"/>
      <c r="G60" s="782">
        <v>0</v>
      </c>
      <c r="H60" s="783">
        <v>0</v>
      </c>
      <c r="I60" s="784">
        <v>0</v>
      </c>
      <c r="J60" s="784">
        <v>0</v>
      </c>
      <c r="K60" s="784">
        <v>0</v>
      </c>
      <c r="L60" s="785">
        <v>0</v>
      </c>
      <c r="M60">
        <v>0</v>
      </c>
      <c r="N60" s="786">
        <v>0</v>
      </c>
      <c r="O60" s="10">
        <v>0</v>
      </c>
      <c r="P60" s="9">
        <v>0</v>
      </c>
      <c r="Q60" s="7">
        <v>0</v>
      </c>
      <c r="R60" s="7">
        <v>0</v>
      </c>
      <c r="S60" s="7">
        <v>0</v>
      </c>
      <c r="T60" s="7">
        <v>0</v>
      </c>
      <c r="U60" s="787">
        <v>0</v>
      </c>
      <c r="V60" s="788">
        <v>0</v>
      </c>
      <c r="W60" s="789">
        <v>0</v>
      </c>
      <c r="X60" s="790">
        <v>0</v>
      </c>
      <c r="Y60" s="791">
        <v>0</v>
      </c>
      <c r="Z60" s="792">
        <v>0</v>
      </c>
      <c r="AA60" s="792">
        <v>0</v>
      </c>
      <c r="AB60" s="793">
        <v>0</v>
      </c>
      <c r="AC60" s="794">
        <v>0</v>
      </c>
      <c r="AD60" s="8">
        <v>0</v>
      </c>
      <c r="AE60" s="27">
        <f>IF(Tab_org21[[#This Row],[Max. Herbstdüngemenge]]=5,3,Tab_org21[[#This Row],[Greift im Herbst 30/60 Regelung?]])</f>
        <v>0</v>
      </c>
    </row>
    <row r="61" spans="1:31" x14ac:dyDescent="0.2">
      <c r="D61" s="307"/>
    </row>
    <row r="62" spans="1:31" x14ac:dyDescent="0.2">
      <c r="D62" s="307"/>
    </row>
    <row r="63" spans="1:31" x14ac:dyDescent="0.2">
      <c r="C63" s="9" t="s">
        <v>714</v>
      </c>
      <c r="D63" s="7">
        <f>COLUMN(D63)-COLUMN($D$63)+1</f>
        <v>1</v>
      </c>
      <c r="E63" s="7">
        <f>COLUMN(E63)-COLUMN($D$63)+1</f>
        <v>2</v>
      </c>
      <c r="F63" s="7">
        <f t="shared" ref="F63:AB63" si="11">COLUMN(F63)-COLUMN($D$63)+1</f>
        <v>3</v>
      </c>
      <c r="G63" s="7">
        <f t="shared" si="11"/>
        <v>4</v>
      </c>
      <c r="H63" s="7">
        <f t="shared" si="11"/>
        <v>5</v>
      </c>
      <c r="I63" s="7">
        <f t="shared" si="11"/>
        <v>6</v>
      </c>
      <c r="J63" s="7">
        <f t="shared" si="11"/>
        <v>7</v>
      </c>
      <c r="K63" s="7">
        <f t="shared" si="11"/>
        <v>8</v>
      </c>
      <c r="L63" s="7">
        <f t="shared" si="11"/>
        <v>9</v>
      </c>
      <c r="M63" s="7">
        <f t="shared" si="11"/>
        <v>10</v>
      </c>
      <c r="N63" s="7">
        <f t="shared" si="11"/>
        <v>11</v>
      </c>
      <c r="O63" s="7">
        <f t="shared" si="11"/>
        <v>12</v>
      </c>
      <c r="P63" s="7">
        <f t="shared" si="11"/>
        <v>13</v>
      </c>
      <c r="Q63" s="7">
        <f t="shared" si="11"/>
        <v>14</v>
      </c>
      <c r="R63" s="7">
        <f t="shared" si="11"/>
        <v>15</v>
      </c>
      <c r="S63" s="7">
        <f t="shared" si="11"/>
        <v>16</v>
      </c>
      <c r="T63" s="7">
        <f t="shared" si="11"/>
        <v>17</v>
      </c>
      <c r="U63" s="7">
        <f t="shared" si="11"/>
        <v>18</v>
      </c>
      <c r="V63" s="7">
        <f t="shared" si="11"/>
        <v>19</v>
      </c>
      <c r="W63" s="7">
        <f t="shared" si="11"/>
        <v>20</v>
      </c>
      <c r="X63" s="7">
        <f t="shared" si="11"/>
        <v>21</v>
      </c>
      <c r="Y63" s="7">
        <f t="shared" si="11"/>
        <v>22</v>
      </c>
      <c r="Z63" s="7">
        <f t="shared" si="11"/>
        <v>23</v>
      </c>
      <c r="AA63" s="7">
        <f t="shared" si="11"/>
        <v>24</v>
      </c>
      <c r="AB63" s="7">
        <f t="shared" si="11"/>
        <v>25</v>
      </c>
      <c r="AC63"/>
      <c r="AD63"/>
      <c r="AE63"/>
    </row>
    <row r="64" spans="1:31" x14ac:dyDescent="0.2">
      <c r="D64" s="307"/>
      <c r="AC64"/>
      <c r="AD64"/>
      <c r="AE64"/>
    </row>
    <row r="65" spans="1:31" s="532" customFormat="1" ht="14.25" x14ac:dyDescent="0.2">
      <c r="A65" s="9"/>
      <c r="B65" s="9"/>
      <c r="C65" s="9"/>
      <c r="D65" s="9" t="s">
        <v>334</v>
      </c>
      <c r="E65" s="83" t="s">
        <v>334</v>
      </c>
      <c r="F65" s="83">
        <v>9.9999999999999995E-7</v>
      </c>
      <c r="G65" s="83">
        <v>9.9999999999999995E-7</v>
      </c>
      <c r="H65" s="83">
        <v>9.9999999999999995E-7</v>
      </c>
      <c r="I65" s="83">
        <v>9.9999999999999995E-7</v>
      </c>
      <c r="J65" s="83">
        <v>9.9999999999999995E-7</v>
      </c>
      <c r="K65" s="83">
        <v>9.9999999999999995E-7</v>
      </c>
      <c r="L65" s="83">
        <v>9.9999999999999995E-7</v>
      </c>
      <c r="M65" s="1375">
        <v>1</v>
      </c>
      <c r="N65" s="83">
        <v>1</v>
      </c>
      <c r="O65" s="83">
        <v>9.9999999999999995E-7</v>
      </c>
      <c r="P65" s="83">
        <v>9.9999999999999995E-7</v>
      </c>
      <c r="Q65" s="83">
        <v>9.9999999999999995E-7</v>
      </c>
      <c r="R65" s="83">
        <v>9.9999999999999995E-7</v>
      </c>
      <c r="S65" s="83">
        <v>9.9999999999999995E-7</v>
      </c>
      <c r="T65" s="83">
        <v>9.9999999999999995E-7</v>
      </c>
      <c r="U65" s="83">
        <v>9.9999999999999995E-7</v>
      </c>
      <c r="V65" s="83">
        <v>9.9999999999999995E-7</v>
      </c>
      <c r="W65" s="83">
        <v>9.9999999999999995E-7</v>
      </c>
      <c r="X65" s="83">
        <v>9.9999999999999995E-7</v>
      </c>
      <c r="Y65" s="83">
        <v>9.9999999999999995E-7</v>
      </c>
      <c r="Z65" s="83">
        <v>9.9999999999999995E-7</v>
      </c>
      <c r="AA65" s="83">
        <v>9.9999999999999995E-7</v>
      </c>
      <c r="AB65" s="9"/>
    </row>
    <row r="66" spans="1:31" s="168" customFormat="1" ht="15" thickBot="1" x14ac:dyDescent="0.25">
      <c r="A66" s="9"/>
      <c r="B66" s="9"/>
      <c r="C66" s="9"/>
      <c r="D66" s="9" t="s">
        <v>60</v>
      </c>
      <c r="E66" s="83" t="s">
        <v>60</v>
      </c>
      <c r="F66" s="83">
        <v>9.9999999999999995E-7</v>
      </c>
      <c r="G66" s="83">
        <v>9.9999999999999995E-7</v>
      </c>
      <c r="H66" s="83">
        <v>9.9999999999999995E-7</v>
      </c>
      <c r="I66" s="83">
        <v>9.9999999999999995E-7</v>
      </c>
      <c r="J66" s="83">
        <v>9.9999999999999995E-7</v>
      </c>
      <c r="K66" s="83">
        <v>9.9999999999999995E-7</v>
      </c>
      <c r="L66" s="83">
        <v>9.9999999999999995E-7</v>
      </c>
      <c r="M66" s="1375">
        <v>1</v>
      </c>
      <c r="N66" s="83">
        <v>1</v>
      </c>
      <c r="O66" s="83">
        <v>9.9999999999999995E-7</v>
      </c>
      <c r="P66" s="83">
        <v>9.9999999999999995E-7</v>
      </c>
      <c r="Q66" s="83">
        <v>9.9999999999999995E-7</v>
      </c>
      <c r="R66" s="83">
        <v>9.9999999999999995E-7</v>
      </c>
      <c r="S66" s="83">
        <v>9.9999999999999995E-7</v>
      </c>
      <c r="T66" s="83">
        <v>9.9999999999999995E-7</v>
      </c>
      <c r="U66" s="83">
        <v>9.9999999999999995E-7</v>
      </c>
      <c r="V66" s="83">
        <v>9.9999999999999995E-7</v>
      </c>
      <c r="W66" s="83">
        <v>9.9999999999999995E-7</v>
      </c>
      <c r="X66" s="83">
        <v>9.9999999999999995E-7</v>
      </c>
      <c r="Y66" s="83">
        <v>9.9999999999999995E-7</v>
      </c>
      <c r="Z66" s="83">
        <v>9.9999999999999995E-7</v>
      </c>
      <c r="AA66" s="83">
        <v>9.9999999999999995E-7</v>
      </c>
      <c r="AB66" s="9"/>
    </row>
    <row r="67" spans="1:31" x14ac:dyDescent="0.2">
      <c r="A67" s="309"/>
      <c r="B67" s="309"/>
      <c r="C67" s="309"/>
      <c r="D67" s="309" t="s">
        <v>395</v>
      </c>
      <c r="E67" s="309" t="s">
        <v>395</v>
      </c>
      <c r="F67" s="310">
        <v>0</v>
      </c>
      <c r="G67" s="13">
        <v>0</v>
      </c>
      <c r="H67" s="311">
        <v>0</v>
      </c>
      <c r="I67" s="312">
        <v>0</v>
      </c>
      <c r="J67" s="312">
        <v>0</v>
      </c>
      <c r="K67" s="312">
        <v>0</v>
      </c>
      <c r="L67" s="312">
        <v>0</v>
      </c>
      <c r="M67" s="1393">
        <v>0</v>
      </c>
      <c r="N67" s="187">
        <v>0</v>
      </c>
      <c r="O67" s="13">
        <v>0</v>
      </c>
      <c r="P67" s="315">
        <v>0</v>
      </c>
      <c r="Q67" s="316">
        <v>0</v>
      </c>
      <c r="R67" s="317">
        <v>0</v>
      </c>
      <c r="S67" s="317">
        <v>0</v>
      </c>
      <c r="T67" s="13">
        <v>0</v>
      </c>
      <c r="U67" s="318">
        <v>0</v>
      </c>
      <c r="V67" s="319">
        <v>0</v>
      </c>
      <c r="W67" s="320">
        <v>0</v>
      </c>
      <c r="X67" s="321">
        <v>0</v>
      </c>
      <c r="Y67" s="311">
        <v>0</v>
      </c>
      <c r="Z67" s="322">
        <v>0</v>
      </c>
      <c r="AA67" s="322">
        <v>0</v>
      </c>
      <c r="AB67" s="310">
        <v>0</v>
      </c>
      <c r="AC67"/>
      <c r="AD67"/>
      <c r="AE67"/>
    </row>
    <row r="68" spans="1:31" x14ac:dyDescent="0.2">
      <c r="A68" s="186"/>
      <c r="B68" s="186"/>
      <c r="C68" s="186"/>
      <c r="D68" s="938" t="s">
        <v>396</v>
      </c>
      <c r="E68" s="938" t="s">
        <v>397</v>
      </c>
      <c r="F68" s="938">
        <v>2</v>
      </c>
      <c r="G68" s="938">
        <v>1</v>
      </c>
      <c r="H68" s="938">
        <v>1</v>
      </c>
      <c r="I68" s="938">
        <v>1</v>
      </c>
      <c r="J68" s="938">
        <v>11</v>
      </c>
      <c r="K68" s="938">
        <v>1</v>
      </c>
      <c r="L68" s="938">
        <v>2</v>
      </c>
      <c r="M68" s="938">
        <v>1</v>
      </c>
      <c r="N68" s="938">
        <v>1</v>
      </c>
      <c r="O68" s="938">
        <v>6</v>
      </c>
      <c r="P68" s="938">
        <v>3.3</v>
      </c>
      <c r="Q68" s="938">
        <v>1.65</v>
      </c>
      <c r="R68" s="938">
        <v>1.4</v>
      </c>
      <c r="S68" s="938">
        <v>4.2</v>
      </c>
      <c r="T68" s="938">
        <v>1.1000000000000001</v>
      </c>
      <c r="U68" s="938">
        <v>50</v>
      </c>
      <c r="V68" s="938">
        <v>0</v>
      </c>
      <c r="W68" s="938">
        <v>100</v>
      </c>
      <c r="X68" s="938">
        <v>100</v>
      </c>
      <c r="Y68" s="938">
        <v>15</v>
      </c>
      <c r="Z68" s="938">
        <v>60</v>
      </c>
      <c r="AA68" s="938">
        <v>50</v>
      </c>
      <c r="AB68" s="938">
        <v>5.5</v>
      </c>
      <c r="AC68"/>
      <c r="AD68"/>
      <c r="AE68"/>
    </row>
    <row r="69" spans="1:31" x14ac:dyDescent="0.2">
      <c r="A69" s="188"/>
      <c r="B69" s="188"/>
      <c r="C69" s="188"/>
      <c r="D69" s="938" t="s">
        <v>398</v>
      </c>
      <c r="E69" s="938" t="s">
        <v>399</v>
      </c>
      <c r="F69" s="938">
        <v>2</v>
      </c>
      <c r="G69" s="938">
        <v>1</v>
      </c>
      <c r="H69" s="938">
        <v>1</v>
      </c>
      <c r="I69" s="938">
        <v>1</v>
      </c>
      <c r="J69" s="938">
        <v>11</v>
      </c>
      <c r="K69" s="938">
        <v>1</v>
      </c>
      <c r="L69" s="938">
        <v>2</v>
      </c>
      <c r="M69" s="938">
        <v>1</v>
      </c>
      <c r="N69" s="938">
        <v>1</v>
      </c>
      <c r="O69" s="938">
        <v>7.5</v>
      </c>
      <c r="P69" s="938">
        <v>4.0999999999999996</v>
      </c>
      <c r="Q69" s="938">
        <v>2.0499999999999998</v>
      </c>
      <c r="R69" s="938">
        <v>1.7</v>
      </c>
      <c r="S69" s="938">
        <v>5.3</v>
      </c>
      <c r="T69" s="938">
        <v>1.3</v>
      </c>
      <c r="U69" s="938">
        <v>50</v>
      </c>
      <c r="V69" s="938">
        <v>0</v>
      </c>
      <c r="W69" s="938">
        <v>100</v>
      </c>
      <c r="X69" s="938">
        <v>100</v>
      </c>
      <c r="Y69" s="938">
        <v>15</v>
      </c>
      <c r="Z69" s="938">
        <v>60</v>
      </c>
      <c r="AA69" s="938">
        <v>50</v>
      </c>
      <c r="AB69" s="938">
        <v>5.5</v>
      </c>
      <c r="AC69"/>
      <c r="AD69"/>
      <c r="AE69"/>
    </row>
    <row r="70" spans="1:31" x14ac:dyDescent="0.2">
      <c r="A70" s="186"/>
      <c r="B70" s="186"/>
      <c r="C70" s="186"/>
      <c r="D70" s="938" t="s">
        <v>400</v>
      </c>
      <c r="E70" s="938" t="s">
        <v>401</v>
      </c>
      <c r="F70" s="938">
        <v>2</v>
      </c>
      <c r="G70" s="938">
        <v>1</v>
      </c>
      <c r="H70" s="938">
        <v>1</v>
      </c>
      <c r="I70" s="938">
        <v>1</v>
      </c>
      <c r="J70" s="938">
        <v>11</v>
      </c>
      <c r="K70" s="938">
        <v>1</v>
      </c>
      <c r="L70" s="938">
        <v>2</v>
      </c>
      <c r="M70" s="938">
        <v>1</v>
      </c>
      <c r="N70" s="938">
        <v>1</v>
      </c>
      <c r="O70" s="938">
        <v>6</v>
      </c>
      <c r="P70" s="938">
        <v>3.1</v>
      </c>
      <c r="Q70" s="938">
        <v>1.55</v>
      </c>
      <c r="R70" s="938">
        <v>1.4</v>
      </c>
      <c r="S70" s="938">
        <v>3.7</v>
      </c>
      <c r="T70" s="938">
        <v>0.9</v>
      </c>
      <c r="U70" s="938">
        <v>50</v>
      </c>
      <c r="V70" s="938">
        <v>0</v>
      </c>
      <c r="W70" s="938">
        <v>100</v>
      </c>
      <c r="X70" s="938">
        <v>100</v>
      </c>
      <c r="Y70" s="938">
        <v>15</v>
      </c>
      <c r="Z70" s="938">
        <v>60</v>
      </c>
      <c r="AA70" s="938">
        <v>50</v>
      </c>
      <c r="AB70" s="938">
        <v>5.2</v>
      </c>
      <c r="AC70"/>
      <c r="AD70"/>
      <c r="AE70"/>
    </row>
    <row r="71" spans="1:31" x14ac:dyDescent="0.2">
      <c r="A71" s="188"/>
      <c r="B71" s="188"/>
      <c r="C71" s="188"/>
      <c r="D71" s="938" t="s">
        <v>402</v>
      </c>
      <c r="E71" s="938" t="s">
        <v>403</v>
      </c>
      <c r="F71" s="938">
        <v>2</v>
      </c>
      <c r="G71" s="938">
        <v>1</v>
      </c>
      <c r="H71" s="938">
        <v>1</v>
      </c>
      <c r="I71" s="938">
        <v>1</v>
      </c>
      <c r="J71" s="938">
        <v>11</v>
      </c>
      <c r="K71" s="938">
        <v>1</v>
      </c>
      <c r="L71" s="938">
        <v>2</v>
      </c>
      <c r="M71" s="938">
        <v>1</v>
      </c>
      <c r="N71" s="938">
        <v>1</v>
      </c>
      <c r="O71" s="938">
        <v>7.5</v>
      </c>
      <c r="P71" s="938">
        <v>3.9</v>
      </c>
      <c r="Q71" s="938">
        <v>1.95</v>
      </c>
      <c r="R71" s="938">
        <v>1.7</v>
      </c>
      <c r="S71" s="938">
        <v>4.7</v>
      </c>
      <c r="T71" s="938">
        <v>1.2</v>
      </c>
      <c r="U71" s="938">
        <v>50</v>
      </c>
      <c r="V71" s="938">
        <v>0</v>
      </c>
      <c r="W71" s="938">
        <v>100</v>
      </c>
      <c r="X71" s="938">
        <v>100</v>
      </c>
      <c r="Y71" s="938">
        <v>15</v>
      </c>
      <c r="Z71" s="938">
        <v>60</v>
      </c>
      <c r="AA71" s="938">
        <v>50</v>
      </c>
      <c r="AB71" s="938">
        <v>5.2</v>
      </c>
      <c r="AC71"/>
      <c r="AD71"/>
      <c r="AE71"/>
    </row>
    <row r="72" spans="1:31" x14ac:dyDescent="0.2">
      <c r="A72" s="188"/>
      <c r="B72" s="188"/>
      <c r="C72" s="188"/>
      <c r="D72" s="938" t="s">
        <v>404</v>
      </c>
      <c r="E72" s="938" t="s">
        <v>405</v>
      </c>
      <c r="F72" s="938">
        <v>2</v>
      </c>
      <c r="G72" s="938">
        <v>1</v>
      </c>
      <c r="H72" s="938">
        <v>1</v>
      </c>
      <c r="I72" s="938">
        <v>1</v>
      </c>
      <c r="J72" s="938">
        <v>11</v>
      </c>
      <c r="K72" s="938">
        <v>1</v>
      </c>
      <c r="L72" s="938">
        <v>2</v>
      </c>
      <c r="M72" s="938">
        <v>1</v>
      </c>
      <c r="N72" s="938">
        <v>1</v>
      </c>
      <c r="O72" s="938">
        <v>7.5</v>
      </c>
      <c r="P72" s="938">
        <v>4.0999999999999996</v>
      </c>
      <c r="Q72" s="938">
        <v>2.0499999999999998</v>
      </c>
      <c r="R72" s="938">
        <v>1.9</v>
      </c>
      <c r="S72" s="938">
        <v>4</v>
      </c>
      <c r="T72" s="938">
        <v>1</v>
      </c>
      <c r="U72" s="938">
        <v>50</v>
      </c>
      <c r="V72" s="938">
        <v>0</v>
      </c>
      <c r="W72" s="938">
        <v>100</v>
      </c>
      <c r="X72" s="938">
        <v>100</v>
      </c>
      <c r="Y72" s="938">
        <v>15</v>
      </c>
      <c r="Z72" s="938">
        <v>60</v>
      </c>
      <c r="AA72" s="938">
        <v>50</v>
      </c>
      <c r="AB72" s="938">
        <v>5.5</v>
      </c>
      <c r="AC72"/>
      <c r="AD72"/>
      <c r="AE72"/>
    </row>
    <row r="73" spans="1:31" x14ac:dyDescent="0.2">
      <c r="A73" s="188"/>
      <c r="B73" s="188"/>
      <c r="C73" s="188"/>
      <c r="D73" s="938" t="s">
        <v>1162</v>
      </c>
      <c r="E73" s="938" t="s">
        <v>406</v>
      </c>
      <c r="F73" s="938">
        <v>2</v>
      </c>
      <c r="G73" s="938">
        <v>2</v>
      </c>
      <c r="H73" s="938">
        <v>1</v>
      </c>
      <c r="I73" s="938">
        <v>2</v>
      </c>
      <c r="J73" s="938">
        <v>12</v>
      </c>
      <c r="K73" s="938">
        <v>1</v>
      </c>
      <c r="L73" s="938">
        <v>2</v>
      </c>
      <c r="M73" s="938">
        <v>2</v>
      </c>
      <c r="N73" s="938">
        <v>2</v>
      </c>
      <c r="O73" s="938">
        <v>18.5</v>
      </c>
      <c r="P73" s="938">
        <v>3.7</v>
      </c>
      <c r="Q73" s="938">
        <v>0.37</v>
      </c>
      <c r="R73" s="938">
        <v>2.5</v>
      </c>
      <c r="S73" s="938">
        <v>5.9</v>
      </c>
      <c r="T73" s="938">
        <v>1.9</v>
      </c>
      <c r="U73" s="938">
        <v>10</v>
      </c>
      <c r="V73" s="938">
        <v>11.4</v>
      </c>
      <c r="W73" s="938">
        <v>100</v>
      </c>
      <c r="X73" s="938">
        <v>100</v>
      </c>
      <c r="Y73" s="938">
        <v>30</v>
      </c>
      <c r="Z73" s="938">
        <v>25</v>
      </c>
      <c r="AA73" s="938">
        <v>25</v>
      </c>
      <c r="AB73" s="938">
        <v>2</v>
      </c>
      <c r="AC73"/>
      <c r="AD73"/>
      <c r="AE73"/>
    </row>
    <row r="74" spans="1:31" x14ac:dyDescent="0.2">
      <c r="A74" s="188"/>
      <c r="B74" s="188"/>
      <c r="C74" s="188"/>
      <c r="D74" s="938" t="s">
        <v>1136</v>
      </c>
      <c r="E74" s="938" t="s">
        <v>407</v>
      </c>
      <c r="F74" s="938">
        <v>2</v>
      </c>
      <c r="G74" s="938">
        <v>2</v>
      </c>
      <c r="H74" s="938">
        <v>1</v>
      </c>
      <c r="I74" s="938">
        <v>2</v>
      </c>
      <c r="J74" s="938">
        <v>12</v>
      </c>
      <c r="K74" s="938">
        <v>1</v>
      </c>
      <c r="L74" s="938">
        <v>2</v>
      </c>
      <c r="M74" s="938">
        <v>2</v>
      </c>
      <c r="N74" s="938">
        <v>2</v>
      </c>
      <c r="O74" s="938">
        <v>23</v>
      </c>
      <c r="P74" s="938">
        <v>4.0999999999999996</v>
      </c>
      <c r="Q74" s="938">
        <v>0.41</v>
      </c>
      <c r="R74" s="938">
        <v>2.1</v>
      </c>
      <c r="S74" s="938">
        <v>8.1</v>
      </c>
      <c r="T74" s="938">
        <v>1.7</v>
      </c>
      <c r="U74" s="938">
        <v>10</v>
      </c>
      <c r="V74" s="938">
        <v>22.7</v>
      </c>
      <c r="W74" s="938">
        <v>100</v>
      </c>
      <c r="X74" s="938">
        <v>100</v>
      </c>
      <c r="Y74" s="938">
        <v>30</v>
      </c>
      <c r="Z74" s="938">
        <v>25</v>
      </c>
      <c r="AA74" s="938">
        <v>25</v>
      </c>
      <c r="AB74" s="938">
        <v>1.8</v>
      </c>
      <c r="AC74"/>
      <c r="AD74"/>
      <c r="AE74"/>
    </row>
    <row r="75" spans="1:31" x14ac:dyDescent="0.2">
      <c r="A75" s="186"/>
      <c r="B75" s="186"/>
      <c r="C75" s="186"/>
      <c r="D75" s="938" t="s">
        <v>408</v>
      </c>
      <c r="E75" s="938" t="s">
        <v>409</v>
      </c>
      <c r="F75" s="938">
        <v>2</v>
      </c>
      <c r="G75" s="938">
        <v>3</v>
      </c>
      <c r="H75" s="938">
        <v>1</v>
      </c>
      <c r="I75" s="938">
        <v>1</v>
      </c>
      <c r="J75" s="938">
        <v>13</v>
      </c>
      <c r="K75" s="938">
        <v>1</v>
      </c>
      <c r="L75" s="938">
        <v>2</v>
      </c>
      <c r="M75" s="938">
        <v>1</v>
      </c>
      <c r="N75" s="938">
        <v>1</v>
      </c>
      <c r="O75" s="938">
        <v>1.8</v>
      </c>
      <c r="P75" s="938">
        <v>3.2</v>
      </c>
      <c r="Q75" s="938">
        <v>2.88</v>
      </c>
      <c r="R75" s="938">
        <v>0.2</v>
      </c>
      <c r="S75" s="938">
        <v>7.9</v>
      </c>
      <c r="T75" s="938">
        <v>0.2</v>
      </c>
      <c r="U75" s="938">
        <v>90</v>
      </c>
      <c r="V75" s="938">
        <v>0</v>
      </c>
      <c r="W75" s="938">
        <v>100</v>
      </c>
      <c r="X75" s="938">
        <v>100</v>
      </c>
      <c r="Y75" s="938">
        <v>30</v>
      </c>
      <c r="Z75" s="938">
        <v>90</v>
      </c>
      <c r="AA75" s="938">
        <v>90</v>
      </c>
      <c r="AB75" s="938">
        <v>17.8</v>
      </c>
      <c r="AC75"/>
      <c r="AD75"/>
      <c r="AE75"/>
    </row>
    <row r="76" spans="1:31" ht="38.25" x14ac:dyDescent="0.2">
      <c r="A76" s="189"/>
      <c r="B76" s="189"/>
      <c r="C76" s="189"/>
      <c r="D76" s="189" t="s">
        <v>410</v>
      </c>
      <c r="E76" s="189" t="s">
        <v>410</v>
      </c>
      <c r="F76" s="313">
        <v>0</v>
      </c>
      <c r="G76" s="190">
        <v>0</v>
      </c>
      <c r="H76" s="191">
        <v>0</v>
      </c>
      <c r="I76" s="192">
        <v>0</v>
      </c>
      <c r="J76" s="192">
        <v>0</v>
      </c>
      <c r="K76" s="192">
        <v>0</v>
      </c>
      <c r="L76" s="192">
        <v>0</v>
      </c>
      <c r="M76" s="1393">
        <v>0</v>
      </c>
      <c r="N76" s="193">
        <v>0</v>
      </c>
      <c r="O76" s="190">
        <v>0</v>
      </c>
      <c r="P76" s="194">
        <v>0</v>
      </c>
      <c r="Q76" s="195">
        <v>0</v>
      </c>
      <c r="R76" s="196">
        <v>0</v>
      </c>
      <c r="S76" s="196">
        <v>0</v>
      </c>
      <c r="T76" s="197">
        <v>0</v>
      </c>
      <c r="U76" s="198">
        <v>0</v>
      </c>
      <c r="V76" s="199">
        <v>0</v>
      </c>
      <c r="W76" s="200">
        <v>0</v>
      </c>
      <c r="X76" s="201">
        <v>0</v>
      </c>
      <c r="Y76" s="497">
        <v>0</v>
      </c>
      <c r="Z76" s="202">
        <v>0</v>
      </c>
      <c r="AA76" s="202">
        <v>0</v>
      </c>
      <c r="AB76" s="203">
        <v>0</v>
      </c>
      <c r="AC76"/>
      <c r="AD76"/>
      <c r="AE76"/>
    </row>
    <row r="77" spans="1:31" x14ac:dyDescent="0.2">
      <c r="A77" s="204"/>
      <c r="B77" s="204"/>
      <c r="C77" s="204"/>
      <c r="D77" s="938" t="s">
        <v>1163</v>
      </c>
      <c r="E77" s="938" t="s">
        <v>411</v>
      </c>
      <c r="F77" s="938">
        <v>2</v>
      </c>
      <c r="G77" s="938">
        <v>1</v>
      </c>
      <c r="H77" s="938">
        <v>2</v>
      </c>
      <c r="I77" s="938">
        <v>1</v>
      </c>
      <c r="J77" s="938">
        <v>21</v>
      </c>
      <c r="K77" s="938">
        <v>1</v>
      </c>
      <c r="L77" s="938">
        <v>2</v>
      </c>
      <c r="M77" s="938">
        <v>1</v>
      </c>
      <c r="N77" s="938">
        <v>1</v>
      </c>
      <c r="O77" s="938">
        <v>5</v>
      </c>
      <c r="P77" s="938">
        <v>5.7</v>
      </c>
      <c r="Q77" s="938">
        <v>3.42</v>
      </c>
      <c r="R77" s="938">
        <v>3</v>
      </c>
      <c r="S77" s="938">
        <v>3.5</v>
      </c>
      <c r="T77" s="938">
        <v>1.3</v>
      </c>
      <c r="U77" s="938">
        <v>60</v>
      </c>
      <c r="V77" s="938">
        <v>0</v>
      </c>
      <c r="W77" s="938">
        <v>100</v>
      </c>
      <c r="X77" s="938">
        <v>100</v>
      </c>
      <c r="Y77" s="938">
        <v>20</v>
      </c>
      <c r="Z77" s="938">
        <v>70</v>
      </c>
      <c r="AA77" s="938">
        <v>60</v>
      </c>
      <c r="AB77" s="938">
        <v>11.4</v>
      </c>
      <c r="AC77"/>
      <c r="AD77"/>
      <c r="AE77"/>
    </row>
    <row r="78" spans="1:31" x14ac:dyDescent="0.2">
      <c r="A78" s="204"/>
      <c r="B78" s="204"/>
      <c r="C78" s="204"/>
      <c r="D78" s="938" t="s">
        <v>412</v>
      </c>
      <c r="E78" s="938" t="s">
        <v>413</v>
      </c>
      <c r="F78" s="938">
        <v>2</v>
      </c>
      <c r="G78" s="938">
        <v>1</v>
      </c>
      <c r="H78" s="938">
        <v>2</v>
      </c>
      <c r="I78" s="938">
        <v>1</v>
      </c>
      <c r="J78" s="938">
        <v>21</v>
      </c>
      <c r="K78" s="938">
        <v>1</v>
      </c>
      <c r="L78" s="938">
        <v>2</v>
      </c>
      <c r="M78" s="938">
        <v>1</v>
      </c>
      <c r="N78" s="938">
        <v>1</v>
      </c>
      <c r="O78" s="938">
        <v>5</v>
      </c>
      <c r="P78" s="938">
        <v>5.5</v>
      </c>
      <c r="Q78" s="938">
        <v>3.3</v>
      </c>
      <c r="R78" s="938">
        <v>2.6</v>
      </c>
      <c r="S78" s="938">
        <v>3.4</v>
      </c>
      <c r="T78" s="938">
        <v>1.2</v>
      </c>
      <c r="U78" s="938">
        <v>60</v>
      </c>
      <c r="V78" s="938">
        <v>0</v>
      </c>
      <c r="W78" s="938">
        <v>100</v>
      </c>
      <c r="X78" s="938">
        <v>100</v>
      </c>
      <c r="Y78" s="938">
        <v>20</v>
      </c>
      <c r="Z78" s="938">
        <v>70</v>
      </c>
      <c r="AA78" s="938">
        <v>60</v>
      </c>
      <c r="AB78" s="938">
        <v>11</v>
      </c>
      <c r="AC78"/>
      <c r="AD78"/>
      <c r="AE78"/>
    </row>
    <row r="79" spans="1:31" x14ac:dyDescent="0.2">
      <c r="A79" s="314"/>
      <c r="B79" s="314"/>
      <c r="C79" s="314"/>
      <c r="D79" s="938" t="s">
        <v>414</v>
      </c>
      <c r="E79" s="938" t="s">
        <v>415</v>
      </c>
      <c r="F79" s="938">
        <v>2</v>
      </c>
      <c r="G79" s="938">
        <v>1</v>
      </c>
      <c r="H79" s="938">
        <v>2</v>
      </c>
      <c r="I79" s="938">
        <v>1</v>
      </c>
      <c r="J79" s="938">
        <v>21</v>
      </c>
      <c r="K79" s="938">
        <v>1</v>
      </c>
      <c r="L79" s="938">
        <v>2</v>
      </c>
      <c r="M79" s="938">
        <v>1</v>
      </c>
      <c r="N79" s="938">
        <v>1</v>
      </c>
      <c r="O79" s="938">
        <v>5</v>
      </c>
      <c r="P79" s="938">
        <v>5</v>
      </c>
      <c r="Q79" s="938">
        <v>3</v>
      </c>
      <c r="R79" s="938">
        <v>2.4</v>
      </c>
      <c r="S79" s="938">
        <v>3.3</v>
      </c>
      <c r="T79" s="938">
        <v>1.2</v>
      </c>
      <c r="U79" s="938">
        <v>60</v>
      </c>
      <c r="V79" s="938">
        <v>0</v>
      </c>
      <c r="W79" s="938">
        <v>100</v>
      </c>
      <c r="X79" s="938">
        <v>100</v>
      </c>
      <c r="Y79" s="938">
        <v>20</v>
      </c>
      <c r="Z79" s="938">
        <v>70</v>
      </c>
      <c r="AA79" s="938">
        <v>60</v>
      </c>
      <c r="AB79" s="938">
        <v>10</v>
      </c>
      <c r="AC79"/>
      <c r="AD79"/>
      <c r="AE79"/>
    </row>
    <row r="80" spans="1:31" x14ac:dyDescent="0.2">
      <c r="A80" s="204"/>
      <c r="B80" s="204"/>
      <c r="C80" s="204"/>
      <c r="D80" s="938" t="s">
        <v>416</v>
      </c>
      <c r="E80" s="938" t="s">
        <v>417</v>
      </c>
      <c r="F80" s="938">
        <v>2</v>
      </c>
      <c r="G80" s="938">
        <v>1</v>
      </c>
      <c r="H80" s="938">
        <v>2</v>
      </c>
      <c r="I80" s="938">
        <v>1</v>
      </c>
      <c r="J80" s="938">
        <v>21</v>
      </c>
      <c r="K80" s="938">
        <v>1</v>
      </c>
      <c r="L80" s="938">
        <v>2</v>
      </c>
      <c r="M80" s="938">
        <v>1</v>
      </c>
      <c r="N80" s="938">
        <v>1</v>
      </c>
      <c r="O80" s="938">
        <v>5</v>
      </c>
      <c r="P80" s="938">
        <v>4.5999999999999996</v>
      </c>
      <c r="Q80" s="938">
        <v>2.76</v>
      </c>
      <c r="R80" s="938">
        <v>2.5</v>
      </c>
      <c r="S80" s="938">
        <v>2.9</v>
      </c>
      <c r="T80" s="938">
        <v>1</v>
      </c>
      <c r="U80" s="938">
        <v>60</v>
      </c>
      <c r="V80" s="938">
        <v>0</v>
      </c>
      <c r="W80" s="938">
        <v>100</v>
      </c>
      <c r="X80" s="938">
        <v>100</v>
      </c>
      <c r="Y80" s="938">
        <v>20</v>
      </c>
      <c r="Z80" s="938">
        <v>70</v>
      </c>
      <c r="AA80" s="938">
        <v>60</v>
      </c>
      <c r="AB80" s="938">
        <v>9.1999999999999993</v>
      </c>
      <c r="AC80"/>
      <c r="AD80"/>
      <c r="AE80"/>
    </row>
    <row r="81" spans="1:31" x14ac:dyDescent="0.2">
      <c r="A81" s="204"/>
      <c r="B81" s="204"/>
      <c r="C81" s="204"/>
      <c r="D81" s="938" t="s">
        <v>1845</v>
      </c>
      <c r="E81" s="938" t="s">
        <v>418</v>
      </c>
      <c r="F81" s="938">
        <v>2</v>
      </c>
      <c r="G81" s="938">
        <v>1</v>
      </c>
      <c r="H81" s="938">
        <v>2</v>
      </c>
      <c r="I81" s="938">
        <v>1</v>
      </c>
      <c r="J81" s="938">
        <v>21</v>
      </c>
      <c r="K81" s="938">
        <v>1</v>
      </c>
      <c r="L81" s="938">
        <v>2</v>
      </c>
      <c r="M81" s="938">
        <v>1</v>
      </c>
      <c r="N81" s="938">
        <v>1</v>
      </c>
      <c r="O81" s="938">
        <v>5</v>
      </c>
      <c r="P81" s="938">
        <v>4.0999999999999996</v>
      </c>
      <c r="Q81" s="938">
        <v>2.46</v>
      </c>
      <c r="R81" s="938">
        <v>2.2000000000000002</v>
      </c>
      <c r="S81" s="938">
        <v>2.7</v>
      </c>
      <c r="T81" s="938">
        <v>1</v>
      </c>
      <c r="U81" s="938">
        <v>60</v>
      </c>
      <c r="V81" s="938">
        <v>0</v>
      </c>
      <c r="W81" s="938">
        <v>100</v>
      </c>
      <c r="X81" s="938">
        <v>100</v>
      </c>
      <c r="Y81" s="938">
        <v>20</v>
      </c>
      <c r="Z81" s="938">
        <v>70</v>
      </c>
      <c r="AA81" s="938">
        <v>60</v>
      </c>
      <c r="AB81" s="938">
        <v>8.1999999999999993</v>
      </c>
      <c r="AC81"/>
      <c r="AD81"/>
      <c r="AE81"/>
    </row>
    <row r="82" spans="1:31" x14ac:dyDescent="0.2">
      <c r="A82" s="314"/>
      <c r="B82" s="314"/>
      <c r="C82" s="314"/>
      <c r="D82" s="938" t="s">
        <v>419</v>
      </c>
      <c r="E82" s="938" t="s">
        <v>420</v>
      </c>
      <c r="F82" s="938">
        <v>2</v>
      </c>
      <c r="G82" s="938">
        <v>1</v>
      </c>
      <c r="H82" s="938">
        <v>2</v>
      </c>
      <c r="I82" s="938">
        <v>1</v>
      </c>
      <c r="J82" s="938">
        <v>21</v>
      </c>
      <c r="K82" s="938">
        <v>1</v>
      </c>
      <c r="L82" s="938">
        <v>2</v>
      </c>
      <c r="M82" s="938">
        <v>1</v>
      </c>
      <c r="N82" s="938">
        <v>1</v>
      </c>
      <c r="O82" s="938">
        <v>5</v>
      </c>
      <c r="P82" s="938">
        <v>3.9</v>
      </c>
      <c r="Q82" s="938">
        <v>2.34</v>
      </c>
      <c r="R82" s="938">
        <v>2.1</v>
      </c>
      <c r="S82" s="938">
        <v>2.7</v>
      </c>
      <c r="T82" s="938">
        <v>1</v>
      </c>
      <c r="U82" s="938">
        <v>60</v>
      </c>
      <c r="V82" s="938">
        <v>0</v>
      </c>
      <c r="W82" s="938">
        <v>100</v>
      </c>
      <c r="X82" s="938">
        <v>100</v>
      </c>
      <c r="Y82" s="938">
        <v>20</v>
      </c>
      <c r="Z82" s="938">
        <v>70</v>
      </c>
      <c r="AA82" s="938">
        <v>60</v>
      </c>
      <c r="AB82" s="938">
        <v>7.8</v>
      </c>
      <c r="AC82"/>
      <c r="AD82"/>
      <c r="AE82"/>
    </row>
    <row r="83" spans="1:31" x14ac:dyDescent="0.2">
      <c r="A83" s="186"/>
      <c r="B83" s="186"/>
      <c r="C83" s="186"/>
      <c r="D83" s="938" t="s">
        <v>421</v>
      </c>
      <c r="E83" s="938" t="s">
        <v>422</v>
      </c>
      <c r="F83" s="938">
        <v>2</v>
      </c>
      <c r="G83" s="938">
        <v>1</v>
      </c>
      <c r="H83" s="938">
        <v>2</v>
      </c>
      <c r="I83" s="938">
        <v>2</v>
      </c>
      <c r="J83" s="938">
        <v>22</v>
      </c>
      <c r="K83" s="938">
        <v>1</v>
      </c>
      <c r="L83" s="938">
        <v>2</v>
      </c>
      <c r="M83" s="938">
        <v>2</v>
      </c>
      <c r="N83" s="938">
        <v>2</v>
      </c>
      <c r="O83" s="938">
        <v>21</v>
      </c>
      <c r="P83" s="938">
        <v>6</v>
      </c>
      <c r="Q83" s="938">
        <v>0.6</v>
      </c>
      <c r="R83" s="938">
        <v>4.3</v>
      </c>
      <c r="S83" s="938">
        <v>6.2</v>
      </c>
      <c r="T83" s="938">
        <v>2</v>
      </c>
      <c r="U83" s="938">
        <v>10</v>
      </c>
      <c r="V83" s="938">
        <v>10.7</v>
      </c>
      <c r="W83" s="938">
        <v>100</v>
      </c>
      <c r="X83" s="938">
        <v>100</v>
      </c>
      <c r="Y83" s="938">
        <v>30</v>
      </c>
      <c r="Z83" s="938">
        <v>30</v>
      </c>
      <c r="AA83" s="938">
        <v>30</v>
      </c>
      <c r="AB83" s="938">
        <v>2.9</v>
      </c>
      <c r="AC83"/>
      <c r="AD83"/>
      <c r="AE83"/>
    </row>
    <row r="84" spans="1:31" x14ac:dyDescent="0.2">
      <c r="A84" s="205"/>
      <c r="B84" s="205"/>
      <c r="C84" s="205"/>
      <c r="D84" s="938" t="s">
        <v>423</v>
      </c>
      <c r="E84" s="938" t="s">
        <v>424</v>
      </c>
      <c r="F84" s="938">
        <v>2</v>
      </c>
      <c r="G84" s="938">
        <v>1</v>
      </c>
      <c r="H84" s="938">
        <v>2</v>
      </c>
      <c r="I84" s="938">
        <v>2</v>
      </c>
      <c r="J84" s="938">
        <v>22</v>
      </c>
      <c r="K84" s="938">
        <v>1</v>
      </c>
      <c r="L84" s="938">
        <v>2</v>
      </c>
      <c r="M84" s="938">
        <v>2</v>
      </c>
      <c r="N84" s="938">
        <v>2</v>
      </c>
      <c r="O84" s="938">
        <v>25</v>
      </c>
      <c r="P84" s="938">
        <v>5.2</v>
      </c>
      <c r="Q84" s="938">
        <v>0.52</v>
      </c>
      <c r="R84" s="938">
        <v>2.9</v>
      </c>
      <c r="S84" s="938">
        <v>7</v>
      </c>
      <c r="T84" s="938">
        <v>1.5</v>
      </c>
      <c r="U84" s="938">
        <v>10</v>
      </c>
      <c r="V84" s="938">
        <v>23</v>
      </c>
      <c r="W84" s="938">
        <v>100</v>
      </c>
      <c r="X84" s="938">
        <v>100</v>
      </c>
      <c r="Y84" s="938">
        <v>30</v>
      </c>
      <c r="Z84" s="938">
        <v>30</v>
      </c>
      <c r="AA84" s="938">
        <v>30</v>
      </c>
      <c r="AB84" s="938">
        <v>2.1</v>
      </c>
      <c r="AC84"/>
      <c r="AD84"/>
      <c r="AE84"/>
    </row>
    <row r="85" spans="1:31" x14ac:dyDescent="0.2">
      <c r="A85" s="186"/>
      <c r="B85" s="186"/>
      <c r="C85" s="186"/>
      <c r="D85" s="938" t="s">
        <v>425</v>
      </c>
      <c r="E85" s="938" t="s">
        <v>426</v>
      </c>
      <c r="F85" s="938">
        <v>2</v>
      </c>
      <c r="G85" s="938">
        <v>3</v>
      </c>
      <c r="H85" s="938">
        <v>2</v>
      </c>
      <c r="I85" s="938">
        <v>1</v>
      </c>
      <c r="J85" s="938">
        <v>23</v>
      </c>
      <c r="K85" s="938">
        <v>1</v>
      </c>
      <c r="L85" s="938">
        <v>2</v>
      </c>
      <c r="M85" s="938">
        <v>1</v>
      </c>
      <c r="N85" s="938">
        <v>1</v>
      </c>
      <c r="O85" s="938">
        <v>1.8</v>
      </c>
      <c r="P85" s="938">
        <v>3.3</v>
      </c>
      <c r="Q85" s="938">
        <v>2.97</v>
      </c>
      <c r="R85" s="938">
        <v>0.2</v>
      </c>
      <c r="S85" s="938">
        <v>3.1</v>
      </c>
      <c r="T85" s="938">
        <v>0.2</v>
      </c>
      <c r="U85" s="938">
        <v>90</v>
      </c>
      <c r="V85" s="938">
        <v>0</v>
      </c>
      <c r="W85" s="938">
        <v>100</v>
      </c>
      <c r="X85" s="938">
        <v>100</v>
      </c>
      <c r="Y85" s="938">
        <v>30</v>
      </c>
      <c r="Z85" s="938">
        <v>90</v>
      </c>
      <c r="AA85" s="938">
        <v>90</v>
      </c>
      <c r="AB85" s="938">
        <v>18.3</v>
      </c>
      <c r="AC85"/>
      <c r="AD85"/>
      <c r="AE85"/>
    </row>
    <row r="86" spans="1:31" ht="38.25" x14ac:dyDescent="0.2">
      <c r="A86" s="206"/>
      <c r="B86" s="206"/>
      <c r="C86" s="206"/>
      <c r="D86" s="206" t="s">
        <v>427</v>
      </c>
      <c r="E86" s="206"/>
      <c r="F86" s="313">
        <v>2</v>
      </c>
      <c r="G86" s="207">
        <v>0</v>
      </c>
      <c r="H86" s="208">
        <v>0</v>
      </c>
      <c r="I86" s="209">
        <v>0</v>
      </c>
      <c r="J86" s="209">
        <v>0</v>
      </c>
      <c r="K86" s="209">
        <v>0</v>
      </c>
      <c r="L86" s="209">
        <v>0</v>
      </c>
      <c r="M86" s="1393">
        <v>0</v>
      </c>
      <c r="N86" s="193">
        <v>0</v>
      </c>
      <c r="O86" s="190">
        <v>0</v>
      </c>
      <c r="P86" s="194">
        <v>0</v>
      </c>
      <c r="Q86" s="195">
        <v>0</v>
      </c>
      <c r="R86" s="196">
        <v>0</v>
      </c>
      <c r="S86" s="196">
        <v>0</v>
      </c>
      <c r="T86" s="197">
        <v>0</v>
      </c>
      <c r="U86" s="198">
        <v>0</v>
      </c>
      <c r="V86" s="199">
        <v>0</v>
      </c>
      <c r="W86" s="200">
        <v>0</v>
      </c>
      <c r="X86" s="201">
        <v>0</v>
      </c>
      <c r="Y86" s="497">
        <v>0</v>
      </c>
      <c r="Z86" s="202">
        <v>0</v>
      </c>
      <c r="AA86" s="202">
        <v>0</v>
      </c>
      <c r="AB86" s="203">
        <v>0</v>
      </c>
      <c r="AC86"/>
      <c r="AD86"/>
      <c r="AE86"/>
    </row>
    <row r="87" spans="1:31" x14ac:dyDescent="0.2">
      <c r="A87" s="188"/>
      <c r="B87" s="188"/>
      <c r="C87" s="188"/>
      <c r="D87" s="938" t="s">
        <v>428</v>
      </c>
      <c r="E87" s="938" t="s">
        <v>429</v>
      </c>
      <c r="F87" s="938">
        <v>2</v>
      </c>
      <c r="G87" s="938">
        <v>2</v>
      </c>
      <c r="H87" s="938">
        <v>3</v>
      </c>
      <c r="I87" s="938">
        <v>2</v>
      </c>
      <c r="J87" s="938">
        <v>32</v>
      </c>
      <c r="K87" s="938">
        <v>2</v>
      </c>
      <c r="L87" s="938">
        <v>2</v>
      </c>
      <c r="M87" s="938">
        <v>1</v>
      </c>
      <c r="N87" s="938">
        <v>1</v>
      </c>
      <c r="O87" s="938">
        <v>50</v>
      </c>
      <c r="P87" s="938">
        <v>20.3</v>
      </c>
      <c r="Q87" s="938">
        <v>9.14</v>
      </c>
      <c r="R87" s="938">
        <v>16</v>
      </c>
      <c r="S87" s="938">
        <v>18</v>
      </c>
      <c r="T87" s="938">
        <v>6.9</v>
      </c>
      <c r="U87" s="938">
        <v>45</v>
      </c>
      <c r="V87" s="938">
        <v>1.4</v>
      </c>
      <c r="W87" s="938">
        <v>100</v>
      </c>
      <c r="X87" s="938">
        <v>100</v>
      </c>
      <c r="Y87" s="938">
        <v>40</v>
      </c>
      <c r="Z87" s="938">
        <v>30</v>
      </c>
      <c r="AA87" s="938">
        <v>30</v>
      </c>
      <c r="AB87" s="938">
        <v>4.0999999999999996</v>
      </c>
      <c r="AC87"/>
      <c r="AD87"/>
      <c r="AE87"/>
    </row>
    <row r="88" spans="1:31" x14ac:dyDescent="0.2">
      <c r="A88" s="188"/>
      <c r="B88" s="188"/>
      <c r="C88" s="188"/>
      <c r="D88" s="938" t="s">
        <v>1164</v>
      </c>
      <c r="E88" s="938" t="s">
        <v>430</v>
      </c>
      <c r="F88" s="938">
        <v>2</v>
      </c>
      <c r="G88" s="938">
        <v>1</v>
      </c>
      <c r="H88" s="938">
        <v>3</v>
      </c>
      <c r="I88" s="938">
        <v>2</v>
      </c>
      <c r="J88" s="938">
        <v>31</v>
      </c>
      <c r="K88" s="938">
        <v>2</v>
      </c>
      <c r="L88" s="938">
        <v>2</v>
      </c>
      <c r="M88" s="938">
        <v>1</v>
      </c>
      <c r="N88" s="938">
        <v>1</v>
      </c>
      <c r="O88" s="938">
        <v>50</v>
      </c>
      <c r="P88" s="938">
        <v>22.1</v>
      </c>
      <c r="Q88" s="938">
        <v>9.9499999999999993</v>
      </c>
      <c r="R88" s="938">
        <v>17.5</v>
      </c>
      <c r="S88" s="938">
        <v>18.899999999999999</v>
      </c>
      <c r="T88" s="938">
        <v>7.5</v>
      </c>
      <c r="U88" s="938">
        <v>45</v>
      </c>
      <c r="V88" s="938">
        <v>0</v>
      </c>
      <c r="W88" s="938">
        <v>100</v>
      </c>
      <c r="X88" s="938">
        <v>100</v>
      </c>
      <c r="Y88" s="938">
        <v>40</v>
      </c>
      <c r="Z88" s="938">
        <v>60</v>
      </c>
      <c r="AA88" s="938">
        <v>60</v>
      </c>
      <c r="AB88" s="938">
        <v>4.4000000000000004</v>
      </c>
      <c r="AC88"/>
      <c r="AD88"/>
      <c r="AE88"/>
    </row>
    <row r="89" spans="1:31" x14ac:dyDescent="0.2">
      <c r="A89" s="188"/>
      <c r="B89" s="188"/>
      <c r="C89" s="188"/>
      <c r="D89" s="938" t="s">
        <v>431</v>
      </c>
      <c r="E89" s="938" t="s">
        <v>432</v>
      </c>
      <c r="F89" s="938">
        <v>2</v>
      </c>
      <c r="G89" s="938">
        <v>2</v>
      </c>
      <c r="H89" s="938">
        <v>3</v>
      </c>
      <c r="I89" s="938">
        <v>2</v>
      </c>
      <c r="J89" s="938">
        <v>32</v>
      </c>
      <c r="K89" s="938">
        <v>2</v>
      </c>
      <c r="L89" s="938">
        <v>2</v>
      </c>
      <c r="M89" s="938">
        <v>1</v>
      </c>
      <c r="N89" s="938">
        <v>1</v>
      </c>
      <c r="O89" s="938">
        <v>50</v>
      </c>
      <c r="P89" s="938">
        <v>20.6</v>
      </c>
      <c r="Q89" s="938">
        <v>9.27</v>
      </c>
      <c r="R89" s="938">
        <v>19</v>
      </c>
      <c r="S89" s="938">
        <v>13.6</v>
      </c>
      <c r="T89" s="938">
        <v>5</v>
      </c>
      <c r="U89" s="938">
        <v>45</v>
      </c>
      <c r="V89" s="938">
        <v>2.5</v>
      </c>
      <c r="W89" s="938">
        <v>100</v>
      </c>
      <c r="X89" s="938">
        <v>100</v>
      </c>
      <c r="Y89" s="938">
        <v>40</v>
      </c>
      <c r="Z89" s="938">
        <v>30</v>
      </c>
      <c r="AA89" s="938">
        <v>30</v>
      </c>
      <c r="AB89" s="938">
        <v>4.0999999999999996</v>
      </c>
      <c r="AC89"/>
      <c r="AD89"/>
      <c r="AE89"/>
    </row>
    <row r="90" spans="1:31" x14ac:dyDescent="0.2">
      <c r="A90" s="188"/>
      <c r="B90" s="188"/>
      <c r="C90" s="188"/>
      <c r="D90" s="938" t="s">
        <v>433</v>
      </c>
      <c r="E90" s="938" t="s">
        <v>434</v>
      </c>
      <c r="F90" s="938">
        <v>2</v>
      </c>
      <c r="G90" s="938">
        <v>2</v>
      </c>
      <c r="H90" s="938">
        <v>3</v>
      </c>
      <c r="I90" s="938">
        <v>2</v>
      </c>
      <c r="J90" s="938">
        <v>32</v>
      </c>
      <c r="K90" s="938">
        <v>2</v>
      </c>
      <c r="L90" s="938">
        <v>2</v>
      </c>
      <c r="M90" s="938">
        <v>1</v>
      </c>
      <c r="N90" s="938">
        <v>1</v>
      </c>
      <c r="O90" s="938">
        <v>60</v>
      </c>
      <c r="P90" s="938">
        <v>19.7</v>
      </c>
      <c r="Q90" s="938">
        <v>8.8699999999999992</v>
      </c>
      <c r="R90" s="938">
        <v>15.7</v>
      </c>
      <c r="S90" s="938">
        <v>19.7</v>
      </c>
      <c r="T90" s="938">
        <v>7.5</v>
      </c>
      <c r="U90" s="938">
        <v>45</v>
      </c>
      <c r="V90" s="938">
        <v>1.2</v>
      </c>
      <c r="W90" s="938">
        <v>100</v>
      </c>
      <c r="X90" s="938">
        <v>100</v>
      </c>
      <c r="Y90" s="938">
        <v>40</v>
      </c>
      <c r="Z90" s="938">
        <v>30</v>
      </c>
      <c r="AA90" s="938">
        <v>30</v>
      </c>
      <c r="AB90" s="938">
        <v>3.3</v>
      </c>
      <c r="AC90"/>
      <c r="AD90"/>
      <c r="AE90"/>
    </row>
    <row r="91" spans="1:31" x14ac:dyDescent="0.2">
      <c r="A91" s="186"/>
      <c r="B91" s="186"/>
      <c r="C91" s="186"/>
      <c r="D91" s="938" t="s">
        <v>435</v>
      </c>
      <c r="E91" s="938" t="s">
        <v>436</v>
      </c>
      <c r="F91" s="938">
        <v>2</v>
      </c>
      <c r="G91" s="938">
        <v>2</v>
      </c>
      <c r="H91" s="938">
        <v>3</v>
      </c>
      <c r="I91" s="938">
        <v>2</v>
      </c>
      <c r="J91" s="938">
        <v>32</v>
      </c>
      <c r="K91" s="938">
        <v>2</v>
      </c>
      <c r="L91" s="938">
        <v>2</v>
      </c>
      <c r="M91" s="938">
        <v>1</v>
      </c>
      <c r="N91" s="938">
        <v>1</v>
      </c>
      <c r="O91" s="938">
        <v>30</v>
      </c>
      <c r="P91" s="938">
        <v>6.5</v>
      </c>
      <c r="Q91" s="938">
        <v>2.93</v>
      </c>
      <c r="R91" s="938">
        <v>6</v>
      </c>
      <c r="S91" s="938">
        <v>6.2</v>
      </c>
      <c r="T91" s="938">
        <v>2.2999999999999998</v>
      </c>
      <c r="U91" s="938">
        <v>45.1</v>
      </c>
      <c r="V91" s="938">
        <v>2.7</v>
      </c>
      <c r="W91" s="938">
        <v>100</v>
      </c>
      <c r="X91" s="938">
        <v>100</v>
      </c>
      <c r="Y91" s="938">
        <v>40</v>
      </c>
      <c r="Z91" s="938">
        <v>30</v>
      </c>
      <c r="AA91" s="938">
        <v>30</v>
      </c>
      <c r="AB91" s="938">
        <v>2.2000000000000002</v>
      </c>
      <c r="AC91"/>
      <c r="AD91"/>
      <c r="AE91"/>
    </row>
    <row r="92" spans="1:31" x14ac:dyDescent="0.2">
      <c r="A92" s="188"/>
      <c r="B92" s="188"/>
      <c r="C92" s="188"/>
      <c r="D92" s="938" t="s">
        <v>437</v>
      </c>
      <c r="E92" s="938" t="s">
        <v>438</v>
      </c>
      <c r="F92" s="938">
        <v>2</v>
      </c>
      <c r="G92" s="938">
        <v>2</v>
      </c>
      <c r="H92" s="938">
        <v>3</v>
      </c>
      <c r="I92" s="938">
        <v>2</v>
      </c>
      <c r="J92" s="938">
        <v>32</v>
      </c>
      <c r="K92" s="938">
        <v>2</v>
      </c>
      <c r="L92" s="938">
        <v>2</v>
      </c>
      <c r="M92" s="938">
        <v>1</v>
      </c>
      <c r="N92" s="938">
        <v>1</v>
      </c>
      <c r="O92" s="938">
        <v>30</v>
      </c>
      <c r="P92" s="938">
        <v>7.8</v>
      </c>
      <c r="Q92" s="938">
        <v>3.51</v>
      </c>
      <c r="R92" s="938">
        <v>8.1</v>
      </c>
      <c r="S92" s="938">
        <v>6.9</v>
      </c>
      <c r="T92" s="938">
        <v>2.5</v>
      </c>
      <c r="U92" s="938">
        <v>45</v>
      </c>
      <c r="V92" s="938">
        <v>2.8</v>
      </c>
      <c r="W92" s="938">
        <v>100</v>
      </c>
      <c r="X92" s="938">
        <v>100</v>
      </c>
      <c r="Y92" s="938">
        <v>40</v>
      </c>
      <c r="Z92" s="938">
        <v>30</v>
      </c>
      <c r="AA92" s="938">
        <v>30</v>
      </c>
      <c r="AB92" s="938">
        <v>2.6</v>
      </c>
      <c r="AC92"/>
      <c r="AD92"/>
      <c r="AE92"/>
    </row>
    <row r="93" spans="1:31" ht="38.25" x14ac:dyDescent="0.2">
      <c r="A93" s="189"/>
      <c r="B93" s="189"/>
      <c r="C93" s="189"/>
      <c r="D93" s="189" t="s">
        <v>439</v>
      </c>
      <c r="E93" s="189"/>
      <c r="F93" s="313">
        <v>0</v>
      </c>
      <c r="G93" s="190">
        <v>0</v>
      </c>
      <c r="H93" s="191">
        <v>0</v>
      </c>
      <c r="I93" s="192">
        <v>0</v>
      </c>
      <c r="J93" s="192">
        <v>0</v>
      </c>
      <c r="K93" s="192">
        <v>0</v>
      </c>
      <c r="L93" s="192">
        <v>0</v>
      </c>
      <c r="M93" s="1393">
        <v>0</v>
      </c>
      <c r="N93" s="193">
        <v>0</v>
      </c>
      <c r="O93" s="190">
        <v>0</v>
      </c>
      <c r="P93" s="194">
        <v>0</v>
      </c>
      <c r="Q93" s="195">
        <v>0</v>
      </c>
      <c r="R93" s="196">
        <v>0</v>
      </c>
      <c r="S93" s="196">
        <v>0</v>
      </c>
      <c r="T93" s="197">
        <v>0</v>
      </c>
      <c r="U93" s="198">
        <v>0</v>
      </c>
      <c r="V93" s="199">
        <v>0</v>
      </c>
      <c r="W93" s="200">
        <v>0</v>
      </c>
      <c r="X93" s="201">
        <v>0</v>
      </c>
      <c r="Y93" s="497">
        <v>0</v>
      </c>
      <c r="Z93" s="210">
        <v>0</v>
      </c>
      <c r="AA93" s="210">
        <v>0</v>
      </c>
      <c r="AB93" s="203">
        <v>0</v>
      </c>
      <c r="AC93"/>
      <c r="AD93"/>
      <c r="AE93"/>
    </row>
    <row r="94" spans="1:31" x14ac:dyDescent="0.2">
      <c r="A94" s="188"/>
      <c r="B94" s="188"/>
      <c r="C94" s="188"/>
      <c r="D94" s="938" t="s">
        <v>440</v>
      </c>
      <c r="E94" s="938" t="s">
        <v>441</v>
      </c>
      <c r="F94" s="938">
        <v>2</v>
      </c>
      <c r="G94" s="938">
        <v>2</v>
      </c>
      <c r="H94" s="938">
        <v>4</v>
      </c>
      <c r="I94" s="938">
        <v>2</v>
      </c>
      <c r="J94" s="938">
        <v>45</v>
      </c>
      <c r="K94" s="938">
        <v>1</v>
      </c>
      <c r="L94" s="938">
        <v>2</v>
      </c>
      <c r="M94" s="938">
        <v>2</v>
      </c>
      <c r="N94" s="938">
        <v>2</v>
      </c>
      <c r="O94" s="938">
        <v>30</v>
      </c>
      <c r="P94" s="938">
        <v>3.6</v>
      </c>
      <c r="Q94" s="938">
        <v>0.36</v>
      </c>
      <c r="R94" s="938">
        <v>2.7</v>
      </c>
      <c r="S94" s="938">
        <v>9.3000000000000007</v>
      </c>
      <c r="T94" s="938">
        <v>1.9</v>
      </c>
      <c r="U94" s="938">
        <v>10</v>
      </c>
      <c r="V94" s="938">
        <v>27.1</v>
      </c>
      <c r="W94" s="938">
        <v>100</v>
      </c>
      <c r="X94" s="938">
        <v>100</v>
      </c>
      <c r="Y94" s="938">
        <v>45</v>
      </c>
      <c r="Z94" s="938">
        <v>25</v>
      </c>
      <c r="AA94" s="938">
        <v>25</v>
      </c>
      <c r="AB94" s="938">
        <v>1.2</v>
      </c>
      <c r="AC94"/>
      <c r="AD94"/>
      <c r="AE94"/>
    </row>
    <row r="95" spans="1:31" x14ac:dyDescent="0.2">
      <c r="A95" s="186"/>
      <c r="B95" s="186"/>
      <c r="C95" s="186"/>
      <c r="D95" s="938" t="s">
        <v>442</v>
      </c>
      <c r="E95" s="938" t="s">
        <v>443</v>
      </c>
      <c r="F95" s="938">
        <v>2</v>
      </c>
      <c r="G95" s="938">
        <v>2</v>
      </c>
      <c r="H95" s="938">
        <v>4</v>
      </c>
      <c r="I95" s="938">
        <v>2</v>
      </c>
      <c r="J95" s="938">
        <v>45</v>
      </c>
      <c r="K95" s="938">
        <v>1</v>
      </c>
      <c r="L95" s="938">
        <v>2</v>
      </c>
      <c r="M95" s="938">
        <v>2</v>
      </c>
      <c r="N95" s="938">
        <v>2</v>
      </c>
      <c r="O95" s="938">
        <v>30</v>
      </c>
      <c r="P95" s="938">
        <v>5.9</v>
      </c>
      <c r="Q95" s="938">
        <v>0.59</v>
      </c>
      <c r="R95" s="938">
        <v>3.1</v>
      </c>
      <c r="S95" s="938">
        <v>11.3</v>
      </c>
      <c r="T95" s="938">
        <v>2.6</v>
      </c>
      <c r="U95" s="938">
        <v>10</v>
      </c>
      <c r="V95" s="938">
        <v>10.199999999999999</v>
      </c>
      <c r="W95" s="938">
        <v>100</v>
      </c>
      <c r="X95" s="938">
        <v>100</v>
      </c>
      <c r="Y95" s="938">
        <v>45</v>
      </c>
      <c r="Z95" s="938">
        <v>25</v>
      </c>
      <c r="AA95" s="938">
        <v>25</v>
      </c>
      <c r="AB95" s="938">
        <v>2</v>
      </c>
      <c r="AC95"/>
      <c r="AD95"/>
      <c r="AE95"/>
    </row>
    <row r="96" spans="1:31" x14ac:dyDescent="0.2">
      <c r="A96" s="188"/>
      <c r="B96" s="188"/>
      <c r="C96" s="188"/>
      <c r="D96" s="938" t="s">
        <v>444</v>
      </c>
      <c r="E96" s="938" t="s">
        <v>445</v>
      </c>
      <c r="F96" s="938">
        <v>2</v>
      </c>
      <c r="G96" s="938">
        <v>2</v>
      </c>
      <c r="H96" s="938">
        <v>4</v>
      </c>
      <c r="I96" s="938">
        <v>2</v>
      </c>
      <c r="J96" s="938">
        <v>42</v>
      </c>
      <c r="K96" s="938">
        <v>2</v>
      </c>
      <c r="L96" s="938">
        <v>2</v>
      </c>
      <c r="M96" s="938">
        <v>1</v>
      </c>
      <c r="N96" s="938">
        <v>1</v>
      </c>
      <c r="O96" s="938">
        <v>30</v>
      </c>
      <c r="P96" s="938">
        <v>5.6</v>
      </c>
      <c r="Q96" s="938">
        <v>0.56000000000000005</v>
      </c>
      <c r="R96" s="938">
        <v>5.7</v>
      </c>
      <c r="S96" s="938">
        <v>9.1999999999999993</v>
      </c>
      <c r="T96" s="938">
        <v>2.1</v>
      </c>
      <c r="U96" s="938">
        <v>10</v>
      </c>
      <c r="V96" s="938">
        <v>8.6999999999999993</v>
      </c>
      <c r="W96" s="938">
        <v>100</v>
      </c>
      <c r="X96" s="938">
        <v>100</v>
      </c>
      <c r="Y96" s="938">
        <v>45</v>
      </c>
      <c r="Z96" s="938">
        <v>30</v>
      </c>
      <c r="AA96" s="938">
        <v>30</v>
      </c>
      <c r="AB96" s="938">
        <v>1.9</v>
      </c>
      <c r="AC96"/>
      <c r="AD96"/>
      <c r="AE96"/>
    </row>
    <row r="97" spans="1:31" x14ac:dyDescent="0.2">
      <c r="A97" s="213"/>
      <c r="B97" s="213"/>
      <c r="C97" s="213"/>
      <c r="D97" s="938" t="s">
        <v>1187</v>
      </c>
      <c r="E97" s="938" t="s">
        <v>461</v>
      </c>
      <c r="F97" s="938">
        <v>1</v>
      </c>
      <c r="G97" s="938">
        <v>4</v>
      </c>
      <c r="H97" s="938">
        <v>4</v>
      </c>
      <c r="I97" s="938">
        <v>2</v>
      </c>
      <c r="J97" s="938">
        <v>56</v>
      </c>
      <c r="K97" s="938">
        <v>2</v>
      </c>
      <c r="L97" s="938">
        <v>3</v>
      </c>
      <c r="M97" s="938">
        <v>1</v>
      </c>
      <c r="N97" s="938">
        <v>1</v>
      </c>
      <c r="O97" s="938">
        <v>88</v>
      </c>
      <c r="P97" s="938">
        <v>140</v>
      </c>
      <c r="Q97" s="938">
        <v>1</v>
      </c>
      <c r="R97" s="938">
        <v>7.5</v>
      </c>
      <c r="S97" s="938">
        <v>1</v>
      </c>
      <c r="T97" s="938">
        <v>0.6</v>
      </c>
      <c r="U97" s="938">
        <v>0.7</v>
      </c>
      <c r="V97" s="938">
        <v>0</v>
      </c>
      <c r="W97" s="938">
        <v>100</v>
      </c>
      <c r="X97" s="938">
        <v>100</v>
      </c>
      <c r="Y97" s="938">
        <v>0</v>
      </c>
      <c r="Z97" s="938">
        <v>70</v>
      </c>
      <c r="AA97" s="938">
        <v>70</v>
      </c>
      <c r="AB97" s="938">
        <v>15.9</v>
      </c>
      <c r="AC97"/>
      <c r="AD97"/>
      <c r="AE97"/>
    </row>
    <row r="98" spans="1:31" x14ac:dyDescent="0.2">
      <c r="A98" s="213"/>
      <c r="B98" s="213"/>
      <c r="C98" s="213"/>
      <c r="D98" s="938" t="s">
        <v>1188</v>
      </c>
      <c r="E98" s="938" t="s">
        <v>462</v>
      </c>
      <c r="F98" s="938">
        <v>1</v>
      </c>
      <c r="G98" s="938">
        <v>4</v>
      </c>
      <c r="H98" s="938">
        <v>4</v>
      </c>
      <c r="I98" s="938">
        <v>2</v>
      </c>
      <c r="J98" s="938">
        <v>56</v>
      </c>
      <c r="K98" s="938">
        <v>2</v>
      </c>
      <c r="L98" s="938">
        <v>3</v>
      </c>
      <c r="M98" s="938">
        <v>1</v>
      </c>
      <c r="N98" s="938">
        <v>1</v>
      </c>
      <c r="O98" s="938">
        <v>95</v>
      </c>
      <c r="P98" s="938">
        <v>50</v>
      </c>
      <c r="Q98" s="938">
        <v>1.5</v>
      </c>
      <c r="R98" s="938">
        <v>165</v>
      </c>
      <c r="S98" s="938">
        <v>3.5</v>
      </c>
      <c r="T98" s="938">
        <v>4.9000000000000004</v>
      </c>
      <c r="U98" s="938">
        <v>3</v>
      </c>
      <c r="V98" s="938">
        <v>0</v>
      </c>
      <c r="W98" s="938">
        <v>100</v>
      </c>
      <c r="X98" s="938">
        <v>100</v>
      </c>
      <c r="Y98" s="938">
        <v>0</v>
      </c>
      <c r="Z98" s="938">
        <v>40</v>
      </c>
      <c r="AA98" s="938">
        <v>40</v>
      </c>
      <c r="AB98" s="938">
        <v>5.3</v>
      </c>
      <c r="AC98"/>
      <c r="AD98"/>
      <c r="AE98"/>
    </row>
    <row r="99" spans="1:31" x14ac:dyDescent="0.2">
      <c r="A99" s="186"/>
      <c r="B99" s="186"/>
      <c r="C99" s="186"/>
      <c r="D99" s="938" t="s">
        <v>1189</v>
      </c>
      <c r="E99" s="938" t="s">
        <v>463</v>
      </c>
      <c r="F99" s="938">
        <v>1</v>
      </c>
      <c r="G99" s="938">
        <v>4</v>
      </c>
      <c r="H99" s="938">
        <v>4</v>
      </c>
      <c r="I99" s="938">
        <v>2</v>
      </c>
      <c r="J99" s="938">
        <v>56</v>
      </c>
      <c r="K99" s="938">
        <v>2</v>
      </c>
      <c r="L99" s="938">
        <v>3</v>
      </c>
      <c r="M99" s="938">
        <v>1</v>
      </c>
      <c r="N99" s="938">
        <v>1</v>
      </c>
      <c r="O99" s="938">
        <v>30</v>
      </c>
      <c r="P99" s="938">
        <v>7.5</v>
      </c>
      <c r="Q99" s="938">
        <v>0</v>
      </c>
      <c r="R99" s="938">
        <v>3</v>
      </c>
      <c r="S99" s="938">
        <v>3</v>
      </c>
      <c r="T99" s="938">
        <v>1.5</v>
      </c>
      <c r="U99" s="938">
        <v>0</v>
      </c>
      <c r="V99" s="938">
        <v>0</v>
      </c>
      <c r="W99" s="938">
        <v>100</v>
      </c>
      <c r="X99" s="938">
        <v>100</v>
      </c>
      <c r="Y99" s="938">
        <v>0</v>
      </c>
      <c r="Z99" s="938">
        <v>40</v>
      </c>
      <c r="AA99" s="938">
        <v>40</v>
      </c>
      <c r="AB99" s="938">
        <v>2.5</v>
      </c>
      <c r="AC99"/>
      <c r="AD99"/>
      <c r="AE99"/>
    </row>
    <row r="100" spans="1:31" x14ac:dyDescent="0.2">
      <c r="A100" s="186"/>
      <c r="B100" s="186"/>
      <c r="C100" s="186"/>
      <c r="D100" s="938" t="s">
        <v>1190</v>
      </c>
      <c r="E100" s="938" t="s">
        <v>464</v>
      </c>
      <c r="F100" s="938">
        <v>1</v>
      </c>
      <c r="G100" s="938">
        <v>4</v>
      </c>
      <c r="H100" s="938">
        <v>4</v>
      </c>
      <c r="I100" s="938">
        <v>2</v>
      </c>
      <c r="J100" s="938">
        <v>56</v>
      </c>
      <c r="K100" s="938">
        <v>2</v>
      </c>
      <c r="L100" s="938">
        <v>3</v>
      </c>
      <c r="M100" s="938">
        <v>1</v>
      </c>
      <c r="N100" s="938">
        <v>1</v>
      </c>
      <c r="O100" s="938">
        <v>94</v>
      </c>
      <c r="P100" s="938">
        <v>133</v>
      </c>
      <c r="Q100" s="938">
        <v>8</v>
      </c>
      <c r="R100" s="938">
        <v>9</v>
      </c>
      <c r="S100" s="938">
        <v>5.7</v>
      </c>
      <c r="T100" s="938">
        <v>1.9</v>
      </c>
      <c r="U100" s="938">
        <v>6</v>
      </c>
      <c r="V100" s="938">
        <v>0</v>
      </c>
      <c r="W100" s="938">
        <v>100</v>
      </c>
      <c r="X100" s="938">
        <v>100</v>
      </c>
      <c r="Y100" s="938">
        <v>0</v>
      </c>
      <c r="Z100" s="938">
        <v>60</v>
      </c>
      <c r="AA100" s="938">
        <v>60</v>
      </c>
      <c r="AB100" s="938">
        <v>14.1</v>
      </c>
      <c r="AC100"/>
      <c r="AD100"/>
      <c r="AE100"/>
    </row>
    <row r="101" spans="1:31" x14ac:dyDescent="0.2">
      <c r="A101" s="186"/>
      <c r="B101" s="186"/>
      <c r="C101" s="186"/>
      <c r="D101" s="938" t="s">
        <v>1191</v>
      </c>
      <c r="E101" s="938" t="s">
        <v>465</v>
      </c>
      <c r="F101" s="938">
        <v>1</v>
      </c>
      <c r="G101" s="938">
        <v>4</v>
      </c>
      <c r="H101" s="938">
        <v>4</v>
      </c>
      <c r="I101" s="938">
        <v>2</v>
      </c>
      <c r="J101" s="938">
        <v>56</v>
      </c>
      <c r="K101" s="938">
        <v>2</v>
      </c>
      <c r="L101" s="938">
        <v>3</v>
      </c>
      <c r="M101" s="938">
        <v>1</v>
      </c>
      <c r="N101" s="938">
        <v>1</v>
      </c>
      <c r="O101" s="938">
        <v>92</v>
      </c>
      <c r="P101" s="938">
        <v>89</v>
      </c>
      <c r="Q101" s="938">
        <v>1.4</v>
      </c>
      <c r="R101" s="938">
        <v>69</v>
      </c>
      <c r="S101" s="938">
        <v>7.9</v>
      </c>
      <c r="T101" s="938">
        <v>4.5</v>
      </c>
      <c r="U101" s="938">
        <v>1.6</v>
      </c>
      <c r="V101" s="938">
        <v>0</v>
      </c>
      <c r="W101" s="938">
        <v>100</v>
      </c>
      <c r="X101" s="938">
        <v>100</v>
      </c>
      <c r="Y101" s="938">
        <v>0</v>
      </c>
      <c r="Z101" s="938">
        <v>60</v>
      </c>
      <c r="AA101" s="938">
        <v>60</v>
      </c>
      <c r="AB101" s="938">
        <v>9.6999999999999993</v>
      </c>
      <c r="AC101"/>
      <c r="AD101"/>
      <c r="AE101"/>
    </row>
    <row r="102" spans="1:31" x14ac:dyDescent="0.2">
      <c r="A102" s="186"/>
      <c r="B102" s="186"/>
      <c r="C102" s="186"/>
      <c r="D102" s="938" t="s">
        <v>1192</v>
      </c>
      <c r="E102" s="938" t="s">
        <v>466</v>
      </c>
      <c r="F102" s="938">
        <v>1</v>
      </c>
      <c r="G102" s="938">
        <v>4</v>
      </c>
      <c r="H102" s="938">
        <v>4</v>
      </c>
      <c r="I102" s="938">
        <v>1</v>
      </c>
      <c r="J102" s="938">
        <v>56</v>
      </c>
      <c r="K102" s="938">
        <v>2</v>
      </c>
      <c r="L102" s="938">
        <v>3</v>
      </c>
      <c r="M102" s="938">
        <v>1</v>
      </c>
      <c r="N102" s="938">
        <v>1</v>
      </c>
      <c r="O102" s="938">
        <v>23</v>
      </c>
      <c r="P102" s="938">
        <v>7.1</v>
      </c>
      <c r="Q102" s="938">
        <v>0.5</v>
      </c>
      <c r="R102" s="938">
        <v>3.6</v>
      </c>
      <c r="S102" s="938">
        <v>3.8</v>
      </c>
      <c r="T102" s="938">
        <v>9</v>
      </c>
      <c r="U102" s="938">
        <v>7</v>
      </c>
      <c r="V102" s="938">
        <v>0</v>
      </c>
      <c r="W102" s="938">
        <v>100</v>
      </c>
      <c r="X102" s="938">
        <v>100</v>
      </c>
      <c r="Y102" s="938">
        <v>0</v>
      </c>
      <c r="Z102" s="938">
        <v>60</v>
      </c>
      <c r="AA102" s="938">
        <v>60</v>
      </c>
      <c r="AB102" s="938">
        <v>3.1</v>
      </c>
      <c r="AC102"/>
      <c r="AD102"/>
      <c r="AE102"/>
    </row>
    <row r="103" spans="1:31" ht="38.25" x14ac:dyDescent="0.2">
      <c r="A103" s="214"/>
      <c r="B103" s="214"/>
      <c r="C103" s="214"/>
      <c r="D103" s="214" t="s">
        <v>467</v>
      </c>
      <c r="E103" s="214" t="s">
        <v>467</v>
      </c>
      <c r="F103" s="313">
        <v>1</v>
      </c>
      <c r="G103" s="215">
        <v>0</v>
      </c>
      <c r="H103" s="216">
        <v>0</v>
      </c>
      <c r="I103" s="216">
        <v>0</v>
      </c>
      <c r="J103" s="216">
        <v>0</v>
      </c>
      <c r="K103" s="216">
        <v>0</v>
      </c>
      <c r="L103" s="216">
        <v>0</v>
      </c>
      <c r="M103" s="1394">
        <v>0</v>
      </c>
      <c r="N103" s="217">
        <v>0</v>
      </c>
      <c r="O103" s="218">
        <v>0</v>
      </c>
      <c r="P103" s="219">
        <v>0</v>
      </c>
      <c r="Q103" s="220">
        <v>0</v>
      </c>
      <c r="R103" s="221">
        <v>0</v>
      </c>
      <c r="S103" s="221">
        <v>0</v>
      </c>
      <c r="T103" s="222">
        <v>0</v>
      </c>
      <c r="U103" s="198">
        <v>0</v>
      </c>
      <c r="V103" s="198">
        <v>0</v>
      </c>
      <c r="W103" s="211">
        <v>0</v>
      </c>
      <c r="X103" s="212">
        <v>0</v>
      </c>
      <c r="Y103" s="203">
        <v>0</v>
      </c>
      <c r="Z103" s="191">
        <v>0</v>
      </c>
      <c r="AA103" s="191">
        <v>0</v>
      </c>
      <c r="AB103" s="223">
        <v>0</v>
      </c>
      <c r="AC103"/>
      <c r="AD103"/>
      <c r="AE103"/>
    </row>
    <row r="104" spans="1:31" x14ac:dyDescent="0.2">
      <c r="A104" s="188"/>
      <c r="B104" s="188"/>
      <c r="C104" s="188"/>
      <c r="D104" s="882" t="s">
        <v>2436</v>
      </c>
      <c r="E104" s="938" t="s">
        <v>468</v>
      </c>
      <c r="F104" s="938">
        <v>1</v>
      </c>
      <c r="G104" s="938">
        <v>5</v>
      </c>
      <c r="H104" s="938">
        <v>5</v>
      </c>
      <c r="I104" s="938">
        <v>1</v>
      </c>
      <c r="J104" s="938">
        <v>55</v>
      </c>
      <c r="K104" s="938">
        <v>2</v>
      </c>
      <c r="L104" s="938">
        <v>3</v>
      </c>
      <c r="M104" s="938">
        <v>1</v>
      </c>
      <c r="N104" s="938">
        <v>1</v>
      </c>
      <c r="O104" s="938">
        <v>7.5</v>
      </c>
      <c r="P104" s="938">
        <v>6</v>
      </c>
      <c r="Q104" s="938">
        <v>3.6</v>
      </c>
      <c r="R104" s="938">
        <v>3</v>
      </c>
      <c r="S104" s="938">
        <v>5</v>
      </c>
      <c r="T104" s="938">
        <v>1.5</v>
      </c>
      <c r="U104" s="938">
        <v>60</v>
      </c>
      <c r="V104" s="938">
        <v>0</v>
      </c>
      <c r="W104" s="938">
        <v>40</v>
      </c>
      <c r="X104" s="938">
        <v>40</v>
      </c>
      <c r="Y104" s="938">
        <v>5</v>
      </c>
      <c r="Z104" s="938">
        <v>60</v>
      </c>
      <c r="AA104" s="938">
        <v>50</v>
      </c>
      <c r="AB104" s="938">
        <v>8</v>
      </c>
      <c r="AC104"/>
      <c r="AD104"/>
      <c r="AE104"/>
    </row>
    <row r="105" spans="1:31" x14ac:dyDescent="0.2">
      <c r="A105" s="188"/>
      <c r="B105" s="188"/>
      <c r="C105" s="188"/>
      <c r="D105" s="882" t="s">
        <v>2437</v>
      </c>
      <c r="E105" s="938" t="s">
        <v>469</v>
      </c>
      <c r="F105" s="938">
        <v>1</v>
      </c>
      <c r="G105" s="938">
        <v>5</v>
      </c>
      <c r="H105" s="938">
        <v>5</v>
      </c>
      <c r="I105" s="938">
        <v>2</v>
      </c>
      <c r="J105" s="938">
        <v>55</v>
      </c>
      <c r="K105" s="938">
        <v>2</v>
      </c>
      <c r="L105" s="938">
        <v>3</v>
      </c>
      <c r="M105" s="938">
        <v>1</v>
      </c>
      <c r="N105" s="938">
        <v>1</v>
      </c>
      <c r="O105" s="938">
        <v>25</v>
      </c>
      <c r="P105" s="938">
        <v>6</v>
      </c>
      <c r="Q105" s="938">
        <v>2.4</v>
      </c>
      <c r="R105" s="938">
        <v>5</v>
      </c>
      <c r="S105" s="938">
        <v>5</v>
      </c>
      <c r="T105" s="938">
        <v>1.5</v>
      </c>
      <c r="U105" s="938">
        <v>40</v>
      </c>
      <c r="V105" s="938">
        <v>0</v>
      </c>
      <c r="W105" s="938">
        <v>40</v>
      </c>
      <c r="X105" s="938">
        <v>40</v>
      </c>
      <c r="Y105" s="938">
        <v>5</v>
      </c>
      <c r="Z105" s="938">
        <v>30</v>
      </c>
      <c r="AA105" s="938">
        <v>30</v>
      </c>
      <c r="AB105" s="938">
        <v>2.4</v>
      </c>
      <c r="AC105"/>
      <c r="AD105"/>
      <c r="AE105"/>
    </row>
    <row r="106" spans="1:31" x14ac:dyDescent="0.2">
      <c r="A106" s="205"/>
      <c r="B106" s="205"/>
      <c r="C106" s="205"/>
      <c r="D106" s="882" t="s">
        <v>1193</v>
      </c>
      <c r="E106" s="938" t="s">
        <v>470</v>
      </c>
      <c r="F106" s="938">
        <v>1</v>
      </c>
      <c r="G106" s="938">
        <v>4</v>
      </c>
      <c r="H106" s="938">
        <v>6</v>
      </c>
      <c r="I106" s="938">
        <v>1</v>
      </c>
      <c r="J106" s="938">
        <v>56</v>
      </c>
      <c r="K106" s="938">
        <v>2</v>
      </c>
      <c r="L106" s="938">
        <v>3</v>
      </c>
      <c r="M106" s="938">
        <v>1</v>
      </c>
      <c r="N106" s="938">
        <v>1</v>
      </c>
      <c r="O106" s="938">
        <v>5</v>
      </c>
      <c r="P106" s="938">
        <v>1.8</v>
      </c>
      <c r="Q106" s="938">
        <v>0.18</v>
      </c>
      <c r="R106" s="938">
        <v>1.6</v>
      </c>
      <c r="S106" s="938">
        <v>0.2</v>
      </c>
      <c r="T106" s="938">
        <v>0.5</v>
      </c>
      <c r="U106" s="938">
        <v>10</v>
      </c>
      <c r="V106" s="938">
        <v>0</v>
      </c>
      <c r="W106" s="938">
        <v>0</v>
      </c>
      <c r="X106" s="938">
        <v>0</v>
      </c>
      <c r="Y106" s="938">
        <v>0</v>
      </c>
      <c r="Z106" s="938">
        <v>30</v>
      </c>
      <c r="AA106" s="938">
        <v>30</v>
      </c>
      <c r="AB106" s="938">
        <v>3.6</v>
      </c>
      <c r="AC106"/>
      <c r="AD106"/>
      <c r="AE106"/>
    </row>
    <row r="107" spans="1:31" x14ac:dyDescent="0.2">
      <c r="A107" s="205"/>
      <c r="B107" s="205"/>
      <c r="C107" s="205"/>
      <c r="D107" s="882" t="s">
        <v>1194</v>
      </c>
      <c r="E107" s="938" t="s">
        <v>471</v>
      </c>
      <c r="F107" s="938">
        <v>1</v>
      </c>
      <c r="G107" s="938">
        <v>4</v>
      </c>
      <c r="H107" s="938">
        <v>6</v>
      </c>
      <c r="I107" s="938">
        <v>2</v>
      </c>
      <c r="J107" s="938">
        <v>56</v>
      </c>
      <c r="K107" s="938">
        <v>2</v>
      </c>
      <c r="L107" s="938">
        <v>3</v>
      </c>
      <c r="M107" s="938">
        <v>1</v>
      </c>
      <c r="N107" s="938">
        <v>1</v>
      </c>
      <c r="O107" s="938">
        <v>50</v>
      </c>
      <c r="P107" s="938">
        <v>7.5</v>
      </c>
      <c r="Q107" s="938">
        <v>0.75</v>
      </c>
      <c r="R107" s="938">
        <v>12</v>
      </c>
      <c r="S107" s="938">
        <v>1</v>
      </c>
      <c r="T107" s="938">
        <v>4</v>
      </c>
      <c r="U107" s="938">
        <v>10</v>
      </c>
      <c r="V107" s="938">
        <v>0</v>
      </c>
      <c r="W107" s="938">
        <v>0</v>
      </c>
      <c r="X107" s="938">
        <v>0</v>
      </c>
      <c r="Y107" s="938">
        <v>0</v>
      </c>
      <c r="Z107" s="938">
        <v>25</v>
      </c>
      <c r="AA107" s="938">
        <v>25</v>
      </c>
      <c r="AB107" s="938">
        <v>1.5</v>
      </c>
      <c r="AC107"/>
      <c r="AD107"/>
      <c r="AE107"/>
    </row>
    <row r="108" spans="1:31" ht="38.25" x14ac:dyDescent="0.2">
      <c r="A108" s="189"/>
      <c r="B108" s="189"/>
      <c r="C108" s="189"/>
      <c r="D108" s="189" t="s">
        <v>446</v>
      </c>
      <c r="E108" s="189" t="s">
        <v>446</v>
      </c>
      <c r="F108" s="313">
        <v>2</v>
      </c>
      <c r="G108" s="190">
        <v>0</v>
      </c>
      <c r="H108" s="191">
        <v>0</v>
      </c>
      <c r="I108" s="192">
        <v>0</v>
      </c>
      <c r="J108" s="192">
        <v>0</v>
      </c>
      <c r="K108" s="192">
        <v>0</v>
      </c>
      <c r="L108" s="192">
        <v>0</v>
      </c>
      <c r="M108" s="1393">
        <v>0</v>
      </c>
      <c r="N108" s="193">
        <v>0</v>
      </c>
      <c r="O108" s="190">
        <v>0</v>
      </c>
      <c r="P108" s="194">
        <v>0</v>
      </c>
      <c r="Q108" s="195">
        <v>0</v>
      </c>
      <c r="R108" s="196">
        <v>0</v>
      </c>
      <c r="S108" s="196">
        <v>0</v>
      </c>
      <c r="T108" s="197">
        <v>0</v>
      </c>
      <c r="U108" s="198">
        <v>0</v>
      </c>
      <c r="V108" s="198">
        <v>0</v>
      </c>
      <c r="W108" s="211">
        <v>0</v>
      </c>
      <c r="X108" s="212">
        <v>0</v>
      </c>
      <c r="Y108" s="497">
        <v>0</v>
      </c>
      <c r="Z108" s="191">
        <v>0</v>
      </c>
      <c r="AA108" s="191">
        <v>0</v>
      </c>
      <c r="AB108" s="203">
        <v>0</v>
      </c>
      <c r="AC108"/>
      <c r="AD108"/>
      <c r="AE108"/>
    </row>
    <row r="109" spans="1:31" x14ac:dyDescent="0.2">
      <c r="A109" s="188"/>
      <c r="B109" s="188"/>
      <c r="C109" s="188"/>
      <c r="D109" s="938" t="s">
        <v>447</v>
      </c>
      <c r="E109" s="938" t="s">
        <v>448</v>
      </c>
      <c r="F109" s="938">
        <v>2</v>
      </c>
      <c r="G109" s="938">
        <v>8</v>
      </c>
      <c r="H109" s="938">
        <v>6</v>
      </c>
      <c r="I109" s="938">
        <v>2</v>
      </c>
      <c r="J109" s="938">
        <v>68</v>
      </c>
      <c r="K109" s="938">
        <v>2</v>
      </c>
      <c r="L109" s="938">
        <v>3</v>
      </c>
      <c r="M109" s="938">
        <v>2</v>
      </c>
      <c r="N109" s="938">
        <v>4</v>
      </c>
      <c r="O109" s="938">
        <v>86</v>
      </c>
      <c r="P109" s="938">
        <v>5</v>
      </c>
      <c r="Q109" s="938">
        <v>0</v>
      </c>
      <c r="R109" s="938">
        <v>3</v>
      </c>
      <c r="S109" s="938">
        <v>17</v>
      </c>
      <c r="T109" s="938">
        <v>1</v>
      </c>
      <c r="U109" s="938">
        <v>0</v>
      </c>
      <c r="V109" s="938">
        <v>100</v>
      </c>
      <c r="W109" s="938">
        <v>0</v>
      </c>
      <c r="X109" s="938">
        <v>0</v>
      </c>
      <c r="Y109" s="938">
        <v>0</v>
      </c>
      <c r="Z109" s="938">
        <v>0</v>
      </c>
      <c r="AA109" s="938">
        <v>0</v>
      </c>
      <c r="AB109" s="938">
        <v>0.6</v>
      </c>
      <c r="AC109"/>
      <c r="AD109"/>
      <c r="AE109"/>
    </row>
    <row r="110" spans="1:31" x14ac:dyDescent="0.2">
      <c r="A110" s="188"/>
      <c r="B110" s="188"/>
      <c r="C110" s="188"/>
      <c r="D110" s="938" t="s">
        <v>94</v>
      </c>
      <c r="E110" s="938" t="s">
        <v>449</v>
      </c>
      <c r="F110" s="938">
        <v>2</v>
      </c>
      <c r="G110" s="938">
        <v>8</v>
      </c>
      <c r="H110" s="938">
        <v>6</v>
      </c>
      <c r="I110" s="938">
        <v>2</v>
      </c>
      <c r="J110" s="938">
        <v>68</v>
      </c>
      <c r="K110" s="938">
        <v>2</v>
      </c>
      <c r="L110" s="938">
        <v>3</v>
      </c>
      <c r="M110" s="938">
        <v>2</v>
      </c>
      <c r="N110" s="938">
        <v>4</v>
      </c>
      <c r="O110" s="938">
        <v>86</v>
      </c>
      <c r="P110" s="938">
        <v>5</v>
      </c>
      <c r="Q110" s="938">
        <v>0</v>
      </c>
      <c r="R110" s="938">
        <v>3</v>
      </c>
      <c r="S110" s="938">
        <v>17</v>
      </c>
      <c r="T110" s="938">
        <v>2</v>
      </c>
      <c r="U110" s="938">
        <v>0</v>
      </c>
      <c r="V110" s="938">
        <v>100</v>
      </c>
      <c r="W110" s="938">
        <v>0</v>
      </c>
      <c r="X110" s="938">
        <v>0</v>
      </c>
      <c r="Y110" s="938">
        <v>0</v>
      </c>
      <c r="Z110" s="938">
        <v>0</v>
      </c>
      <c r="AA110" s="938">
        <v>0</v>
      </c>
      <c r="AB110" s="938">
        <v>0.6</v>
      </c>
      <c r="AC110"/>
      <c r="AD110"/>
      <c r="AE110"/>
    </row>
    <row r="111" spans="1:31" x14ac:dyDescent="0.2">
      <c r="A111" s="188"/>
      <c r="B111" s="188"/>
      <c r="C111" s="188"/>
      <c r="D111" s="938" t="s">
        <v>95</v>
      </c>
      <c r="E111" s="938" t="s">
        <v>450</v>
      </c>
      <c r="F111" s="938">
        <v>2</v>
      </c>
      <c r="G111" s="938">
        <v>8</v>
      </c>
      <c r="H111" s="938">
        <v>6</v>
      </c>
      <c r="I111" s="938">
        <v>2</v>
      </c>
      <c r="J111" s="938">
        <v>68</v>
      </c>
      <c r="K111" s="938">
        <v>2</v>
      </c>
      <c r="L111" s="938">
        <v>3</v>
      </c>
      <c r="M111" s="938">
        <v>2</v>
      </c>
      <c r="N111" s="938">
        <v>4</v>
      </c>
      <c r="O111" s="938">
        <v>86</v>
      </c>
      <c r="P111" s="938">
        <v>5</v>
      </c>
      <c r="Q111" s="938">
        <v>0</v>
      </c>
      <c r="R111" s="938">
        <v>3</v>
      </c>
      <c r="S111" s="938">
        <v>20</v>
      </c>
      <c r="T111" s="938">
        <v>2</v>
      </c>
      <c r="U111" s="938">
        <v>0</v>
      </c>
      <c r="V111" s="938">
        <v>100</v>
      </c>
      <c r="W111" s="938">
        <v>0</v>
      </c>
      <c r="X111" s="938">
        <v>0</v>
      </c>
      <c r="Y111" s="938">
        <v>0</v>
      </c>
      <c r="Z111" s="938">
        <v>0</v>
      </c>
      <c r="AA111" s="938">
        <v>0</v>
      </c>
      <c r="AB111" s="938">
        <v>0.6</v>
      </c>
      <c r="AC111"/>
      <c r="AD111"/>
      <c r="AE111"/>
    </row>
    <row r="112" spans="1:31" x14ac:dyDescent="0.2">
      <c r="A112" s="188"/>
      <c r="B112" s="188"/>
      <c r="C112" s="188"/>
      <c r="D112" s="938" t="s">
        <v>96</v>
      </c>
      <c r="E112" s="938" t="s">
        <v>451</v>
      </c>
      <c r="F112" s="938">
        <v>2</v>
      </c>
      <c r="G112" s="938">
        <v>8</v>
      </c>
      <c r="H112" s="938">
        <v>6</v>
      </c>
      <c r="I112" s="938">
        <v>2</v>
      </c>
      <c r="J112" s="938">
        <v>68</v>
      </c>
      <c r="K112" s="938">
        <v>2</v>
      </c>
      <c r="L112" s="938">
        <v>3</v>
      </c>
      <c r="M112" s="938">
        <v>2</v>
      </c>
      <c r="N112" s="938">
        <v>4</v>
      </c>
      <c r="O112" s="938">
        <v>86</v>
      </c>
      <c r="P112" s="938">
        <v>5</v>
      </c>
      <c r="Q112" s="938">
        <v>0</v>
      </c>
      <c r="R112" s="938">
        <v>3</v>
      </c>
      <c r="S112" s="938">
        <v>14</v>
      </c>
      <c r="T112" s="938">
        <v>2</v>
      </c>
      <c r="U112" s="938">
        <v>0</v>
      </c>
      <c r="V112" s="938">
        <v>100</v>
      </c>
      <c r="W112" s="938">
        <v>0</v>
      </c>
      <c r="X112" s="938">
        <v>0</v>
      </c>
      <c r="Y112" s="938">
        <v>0</v>
      </c>
      <c r="Z112" s="938">
        <v>0</v>
      </c>
      <c r="AA112" s="938">
        <v>0</v>
      </c>
      <c r="AB112" s="938">
        <v>0.6</v>
      </c>
      <c r="AC112"/>
      <c r="AD112"/>
      <c r="AE112"/>
    </row>
    <row r="113" spans="1:31" x14ac:dyDescent="0.2">
      <c r="A113" s="186"/>
      <c r="B113" s="186"/>
      <c r="C113" s="186"/>
      <c r="D113" s="938" t="s">
        <v>452</v>
      </c>
      <c r="E113" s="938" t="s">
        <v>453</v>
      </c>
      <c r="F113" s="938">
        <v>2</v>
      </c>
      <c r="G113" s="938">
        <v>8</v>
      </c>
      <c r="H113" s="938">
        <v>6</v>
      </c>
      <c r="I113" s="938">
        <v>2</v>
      </c>
      <c r="J113" s="938">
        <v>68</v>
      </c>
      <c r="K113" s="938">
        <v>2</v>
      </c>
      <c r="L113" s="938">
        <v>3</v>
      </c>
      <c r="M113" s="938">
        <v>2</v>
      </c>
      <c r="N113" s="938">
        <v>4</v>
      </c>
      <c r="O113" s="938">
        <v>86</v>
      </c>
      <c r="P113" s="938">
        <v>9</v>
      </c>
      <c r="Q113" s="938">
        <v>0</v>
      </c>
      <c r="R113" s="938">
        <v>2</v>
      </c>
      <c r="S113" s="938">
        <v>20</v>
      </c>
      <c r="T113" s="938">
        <v>4</v>
      </c>
      <c r="U113" s="938">
        <v>0</v>
      </c>
      <c r="V113" s="938">
        <v>100</v>
      </c>
      <c r="W113" s="938">
        <v>0</v>
      </c>
      <c r="X113" s="938">
        <v>0</v>
      </c>
      <c r="Y113" s="938">
        <v>0</v>
      </c>
      <c r="Z113" s="938">
        <v>0</v>
      </c>
      <c r="AA113" s="938">
        <v>0</v>
      </c>
      <c r="AB113" s="938">
        <v>1</v>
      </c>
      <c r="AC113"/>
      <c r="AD113"/>
      <c r="AE113"/>
    </row>
    <row r="114" spans="1:31" x14ac:dyDescent="0.2">
      <c r="A114" s="186"/>
      <c r="B114" s="186"/>
      <c r="C114" s="186"/>
      <c r="D114" s="938" t="s">
        <v>97</v>
      </c>
      <c r="E114" s="938" t="s">
        <v>454</v>
      </c>
      <c r="F114" s="938">
        <v>2</v>
      </c>
      <c r="G114" s="938">
        <v>8</v>
      </c>
      <c r="H114" s="938">
        <v>6</v>
      </c>
      <c r="I114" s="938">
        <v>2</v>
      </c>
      <c r="J114" s="938">
        <v>68</v>
      </c>
      <c r="K114" s="938">
        <v>2</v>
      </c>
      <c r="L114" s="938">
        <v>3</v>
      </c>
      <c r="M114" s="938">
        <v>2</v>
      </c>
      <c r="N114" s="938">
        <v>4</v>
      </c>
      <c r="O114" s="938">
        <v>86</v>
      </c>
      <c r="P114" s="938">
        <v>11</v>
      </c>
      <c r="Q114" s="938">
        <v>0</v>
      </c>
      <c r="R114" s="938">
        <v>4</v>
      </c>
      <c r="S114" s="938">
        <v>15.6</v>
      </c>
      <c r="T114" s="938">
        <v>2.8</v>
      </c>
      <c r="U114" s="938">
        <v>0</v>
      </c>
      <c r="V114" s="938">
        <v>100</v>
      </c>
      <c r="W114" s="938">
        <v>0</v>
      </c>
      <c r="X114" s="938">
        <v>0</v>
      </c>
      <c r="Y114" s="938">
        <v>0</v>
      </c>
      <c r="Z114" s="938">
        <v>0</v>
      </c>
      <c r="AA114" s="938">
        <v>0</v>
      </c>
      <c r="AB114" s="938">
        <v>1.3</v>
      </c>
      <c r="AC114"/>
      <c r="AD114"/>
      <c r="AE114"/>
    </row>
    <row r="115" spans="1:31" x14ac:dyDescent="0.2">
      <c r="A115" s="213"/>
      <c r="B115" s="213"/>
      <c r="C115" s="213"/>
      <c r="D115" s="882" t="s">
        <v>1195</v>
      </c>
      <c r="E115" s="938" t="s">
        <v>472</v>
      </c>
      <c r="F115" s="938">
        <v>1</v>
      </c>
      <c r="G115" s="938">
        <v>4</v>
      </c>
      <c r="H115" s="938">
        <v>6</v>
      </c>
      <c r="I115" s="938">
        <v>2</v>
      </c>
      <c r="J115" s="938">
        <v>68</v>
      </c>
      <c r="K115" s="938">
        <v>2</v>
      </c>
      <c r="L115" s="938">
        <v>3</v>
      </c>
      <c r="M115" s="938">
        <v>1</v>
      </c>
      <c r="N115" s="938">
        <v>1</v>
      </c>
      <c r="O115" s="938">
        <v>70</v>
      </c>
      <c r="P115" s="938">
        <v>0.5</v>
      </c>
      <c r="Q115" s="938">
        <v>0</v>
      </c>
      <c r="R115" s="938">
        <v>0.2</v>
      </c>
      <c r="S115" s="938">
        <v>0.5</v>
      </c>
      <c r="T115" s="938">
        <v>0.4</v>
      </c>
      <c r="U115" s="938">
        <v>0</v>
      </c>
      <c r="V115" s="938">
        <v>0</v>
      </c>
      <c r="W115" s="938">
        <v>0</v>
      </c>
      <c r="X115" s="938">
        <v>0</v>
      </c>
      <c r="Y115" s="938">
        <v>0</v>
      </c>
      <c r="Z115" s="938">
        <v>0</v>
      </c>
      <c r="AA115" s="938">
        <v>0</v>
      </c>
      <c r="AB115" s="938">
        <v>0.1</v>
      </c>
      <c r="AC115"/>
      <c r="AD115"/>
      <c r="AE115"/>
    </row>
    <row r="116" spans="1:31" x14ac:dyDescent="0.2">
      <c r="A116" s="224"/>
      <c r="B116" s="224"/>
      <c r="C116" s="224"/>
      <c r="D116" s="882" t="s">
        <v>1196</v>
      </c>
      <c r="E116" s="938" t="s">
        <v>473</v>
      </c>
      <c r="F116" s="938">
        <v>1</v>
      </c>
      <c r="G116" s="938">
        <v>4</v>
      </c>
      <c r="H116" s="938">
        <v>6</v>
      </c>
      <c r="I116" s="938">
        <v>2</v>
      </c>
      <c r="J116" s="938">
        <v>68</v>
      </c>
      <c r="K116" s="938">
        <v>2</v>
      </c>
      <c r="L116" s="938">
        <v>3</v>
      </c>
      <c r="M116" s="938">
        <v>1</v>
      </c>
      <c r="N116" s="938">
        <v>1</v>
      </c>
      <c r="O116" s="938">
        <v>60</v>
      </c>
      <c r="P116" s="938">
        <v>3.4</v>
      </c>
      <c r="Q116" s="938">
        <v>0</v>
      </c>
      <c r="R116" s="938">
        <v>0.8</v>
      </c>
      <c r="S116" s="938">
        <v>1.3</v>
      </c>
      <c r="T116" s="938">
        <v>1.2</v>
      </c>
      <c r="U116" s="938">
        <v>0</v>
      </c>
      <c r="V116" s="938">
        <v>0</v>
      </c>
      <c r="W116" s="938">
        <v>0</v>
      </c>
      <c r="X116" s="938">
        <v>0</v>
      </c>
      <c r="Y116" s="938">
        <v>0</v>
      </c>
      <c r="Z116" s="938">
        <v>0</v>
      </c>
      <c r="AA116" s="938">
        <v>0</v>
      </c>
      <c r="AB116" s="938">
        <v>0.6</v>
      </c>
      <c r="AC116"/>
      <c r="AD116"/>
      <c r="AE116"/>
    </row>
    <row r="117" spans="1:31" x14ac:dyDescent="0.2">
      <c r="A117" s="213"/>
      <c r="B117" s="213"/>
      <c r="C117" s="213"/>
      <c r="D117" s="882" t="s">
        <v>1864</v>
      </c>
      <c r="E117" s="938" t="s">
        <v>1863</v>
      </c>
      <c r="F117" s="938">
        <v>1</v>
      </c>
      <c r="G117" s="938">
        <v>4</v>
      </c>
      <c r="H117" s="938">
        <v>6</v>
      </c>
      <c r="I117" s="938">
        <v>2</v>
      </c>
      <c r="J117" s="938">
        <v>68</v>
      </c>
      <c r="K117" s="938">
        <v>2</v>
      </c>
      <c r="L117" s="938">
        <v>3</v>
      </c>
      <c r="M117" s="938">
        <v>1</v>
      </c>
      <c r="N117" s="938">
        <v>1</v>
      </c>
      <c r="O117" s="938">
        <v>70</v>
      </c>
      <c r="P117" s="938">
        <v>2.7</v>
      </c>
      <c r="Q117" s="938">
        <v>0</v>
      </c>
      <c r="R117" s="938">
        <v>0.5</v>
      </c>
      <c r="S117" s="938">
        <v>1.5</v>
      </c>
      <c r="T117" s="938">
        <v>0.6</v>
      </c>
      <c r="U117" s="938">
        <v>0</v>
      </c>
      <c r="V117" s="938">
        <v>0</v>
      </c>
      <c r="W117" s="938">
        <v>0</v>
      </c>
      <c r="X117" s="938">
        <v>0</v>
      </c>
      <c r="Y117" s="938">
        <v>0</v>
      </c>
      <c r="Z117" s="938">
        <v>0</v>
      </c>
      <c r="AA117" s="938">
        <v>0</v>
      </c>
      <c r="AB117" s="938">
        <v>0.4</v>
      </c>
      <c r="AC117"/>
      <c r="AD117"/>
      <c r="AE117"/>
    </row>
    <row r="118" spans="1:31" x14ac:dyDescent="0.2">
      <c r="A118" s="188"/>
      <c r="B118" s="188"/>
      <c r="C118" s="188"/>
      <c r="D118" s="882" t="s">
        <v>1865</v>
      </c>
      <c r="E118" s="938" t="s">
        <v>474</v>
      </c>
      <c r="F118" s="938">
        <v>1</v>
      </c>
      <c r="G118" s="938">
        <v>4</v>
      </c>
      <c r="H118" s="938">
        <v>6</v>
      </c>
      <c r="I118" s="938">
        <v>2</v>
      </c>
      <c r="J118" s="938">
        <v>56</v>
      </c>
      <c r="K118" s="938">
        <v>2</v>
      </c>
      <c r="L118" s="938">
        <v>3</v>
      </c>
      <c r="M118" s="938">
        <v>1</v>
      </c>
      <c r="N118" s="938">
        <v>1</v>
      </c>
      <c r="O118" s="938">
        <v>35</v>
      </c>
      <c r="P118" s="938">
        <v>16</v>
      </c>
      <c r="Q118" s="938">
        <v>0</v>
      </c>
      <c r="R118" s="938">
        <v>6</v>
      </c>
      <c r="S118" s="938">
        <v>24</v>
      </c>
      <c r="T118" s="938">
        <v>2.5</v>
      </c>
      <c r="U118" s="938">
        <v>0</v>
      </c>
      <c r="V118" s="938">
        <v>0</v>
      </c>
      <c r="W118" s="938">
        <v>0</v>
      </c>
      <c r="X118" s="938">
        <v>0</v>
      </c>
      <c r="Y118" s="938">
        <v>0</v>
      </c>
      <c r="Z118" s="938">
        <v>60</v>
      </c>
      <c r="AA118" s="938">
        <v>60</v>
      </c>
      <c r="AB118" s="938">
        <v>4.5999999999999996</v>
      </c>
      <c r="AC118"/>
      <c r="AD118"/>
      <c r="AE118"/>
    </row>
    <row r="119" spans="1:31" x14ac:dyDescent="0.2">
      <c r="A119" s="213"/>
      <c r="B119" s="213"/>
      <c r="C119" s="213"/>
      <c r="D119" s="882" t="s">
        <v>1197</v>
      </c>
      <c r="E119" s="938" t="s">
        <v>475</v>
      </c>
      <c r="F119" s="938">
        <v>1</v>
      </c>
      <c r="G119" s="938">
        <v>4</v>
      </c>
      <c r="H119" s="938">
        <v>6</v>
      </c>
      <c r="I119" s="938">
        <v>1</v>
      </c>
      <c r="J119" s="938">
        <v>64</v>
      </c>
      <c r="K119" s="938">
        <v>2</v>
      </c>
      <c r="L119" s="938">
        <v>3</v>
      </c>
      <c r="M119" s="938">
        <v>1</v>
      </c>
      <c r="N119" s="938">
        <v>1</v>
      </c>
      <c r="O119" s="938">
        <v>48</v>
      </c>
      <c r="P119" s="938">
        <v>22</v>
      </c>
      <c r="Q119" s="938">
        <v>0</v>
      </c>
      <c r="R119" s="938">
        <v>12</v>
      </c>
      <c r="S119" s="938">
        <v>80</v>
      </c>
      <c r="T119" s="938">
        <v>7</v>
      </c>
      <c r="U119" s="938">
        <v>0</v>
      </c>
      <c r="V119" s="938">
        <v>0</v>
      </c>
      <c r="W119" s="938">
        <v>0</v>
      </c>
      <c r="X119" s="938">
        <v>0</v>
      </c>
      <c r="Y119" s="938">
        <v>0</v>
      </c>
      <c r="Z119" s="938">
        <v>50</v>
      </c>
      <c r="AA119" s="938">
        <v>50</v>
      </c>
      <c r="AB119" s="938">
        <v>4.5999999999999996</v>
      </c>
      <c r="AC119"/>
      <c r="AD119"/>
      <c r="AE119"/>
    </row>
    <row r="120" spans="1:31" x14ac:dyDescent="0.2">
      <c r="A120" s="186"/>
      <c r="B120" s="186"/>
      <c r="C120" s="186"/>
      <c r="D120" s="882" t="s">
        <v>1198</v>
      </c>
      <c r="E120" s="938" t="s">
        <v>476</v>
      </c>
      <c r="F120" s="938">
        <v>1</v>
      </c>
      <c r="G120" s="938">
        <v>4</v>
      </c>
      <c r="H120" s="938">
        <v>6</v>
      </c>
      <c r="I120" s="938">
        <v>1</v>
      </c>
      <c r="J120" s="938">
        <v>64</v>
      </c>
      <c r="K120" s="938">
        <v>2</v>
      </c>
      <c r="L120" s="938">
        <v>3</v>
      </c>
      <c r="M120" s="938">
        <v>1</v>
      </c>
      <c r="N120" s="938">
        <v>1</v>
      </c>
      <c r="O120" s="938">
        <v>5</v>
      </c>
      <c r="P120" s="938">
        <v>2.8</v>
      </c>
      <c r="Q120" s="938">
        <v>0</v>
      </c>
      <c r="R120" s="938">
        <v>1.1000000000000001</v>
      </c>
      <c r="S120" s="938">
        <v>4.8</v>
      </c>
      <c r="T120" s="938">
        <v>0.5</v>
      </c>
      <c r="U120" s="938">
        <v>0</v>
      </c>
      <c r="V120" s="938">
        <v>0</v>
      </c>
      <c r="W120" s="938">
        <v>0</v>
      </c>
      <c r="X120" s="938">
        <v>0</v>
      </c>
      <c r="Y120" s="938">
        <v>0</v>
      </c>
      <c r="Z120" s="938">
        <v>50</v>
      </c>
      <c r="AA120" s="938">
        <v>50</v>
      </c>
      <c r="AB120" s="938">
        <v>5.6</v>
      </c>
      <c r="AC120"/>
      <c r="AD120"/>
      <c r="AE120"/>
    </row>
    <row r="121" spans="1:31" x14ac:dyDescent="0.2">
      <c r="A121" s="186"/>
      <c r="B121" s="186"/>
      <c r="C121" s="186"/>
      <c r="D121" s="938" t="s">
        <v>455</v>
      </c>
      <c r="E121" s="938" t="s">
        <v>456</v>
      </c>
      <c r="F121" s="938">
        <v>2</v>
      </c>
      <c r="G121" s="938">
        <v>4</v>
      </c>
      <c r="H121" s="938">
        <v>6</v>
      </c>
      <c r="I121" s="938">
        <v>2</v>
      </c>
      <c r="J121" s="938">
        <v>64</v>
      </c>
      <c r="K121" s="938">
        <v>2</v>
      </c>
      <c r="L121" s="938">
        <v>3</v>
      </c>
      <c r="M121" s="938">
        <v>1</v>
      </c>
      <c r="N121" s="938">
        <v>1</v>
      </c>
      <c r="O121" s="938">
        <v>40</v>
      </c>
      <c r="P121" s="938">
        <v>7.4</v>
      </c>
      <c r="Q121" s="938">
        <v>0.2</v>
      </c>
      <c r="R121" s="938">
        <v>2.2999999999999998</v>
      </c>
      <c r="S121" s="938">
        <v>8</v>
      </c>
      <c r="T121" s="938">
        <v>0</v>
      </c>
      <c r="U121" s="938">
        <v>2.7</v>
      </c>
      <c r="V121" s="938">
        <v>0</v>
      </c>
      <c r="W121" s="938">
        <v>0</v>
      </c>
      <c r="X121" s="938">
        <v>0</v>
      </c>
      <c r="Y121" s="938">
        <v>0</v>
      </c>
      <c r="Z121" s="938">
        <v>20</v>
      </c>
      <c r="AA121" s="938">
        <v>20</v>
      </c>
      <c r="AB121" s="938">
        <v>1.9</v>
      </c>
      <c r="AC121"/>
      <c r="AD121"/>
      <c r="AE121"/>
    </row>
    <row r="122" spans="1:31" x14ac:dyDescent="0.2">
      <c r="A122" s="186"/>
      <c r="B122" s="186"/>
      <c r="C122" s="186"/>
      <c r="D122" s="882" t="s">
        <v>1199</v>
      </c>
      <c r="E122" s="938" t="s">
        <v>477</v>
      </c>
      <c r="F122" s="938">
        <v>1</v>
      </c>
      <c r="G122" s="938">
        <v>4</v>
      </c>
      <c r="H122" s="938">
        <v>6</v>
      </c>
      <c r="I122" s="938">
        <v>1</v>
      </c>
      <c r="J122" s="938">
        <v>56</v>
      </c>
      <c r="K122" s="938">
        <v>2</v>
      </c>
      <c r="L122" s="938">
        <v>3</v>
      </c>
      <c r="M122" s="938">
        <v>1</v>
      </c>
      <c r="N122" s="938">
        <v>1</v>
      </c>
      <c r="O122" s="938">
        <v>20</v>
      </c>
      <c r="P122" s="938">
        <v>8</v>
      </c>
      <c r="Q122" s="938">
        <v>0.1</v>
      </c>
      <c r="R122" s="938">
        <v>3</v>
      </c>
      <c r="S122" s="938">
        <v>12</v>
      </c>
      <c r="T122" s="938">
        <v>0.3</v>
      </c>
      <c r="U122" s="938">
        <v>1.3</v>
      </c>
      <c r="V122" s="938">
        <v>0</v>
      </c>
      <c r="W122" s="938">
        <v>0</v>
      </c>
      <c r="X122" s="938">
        <v>0</v>
      </c>
      <c r="Y122" s="938">
        <v>0</v>
      </c>
      <c r="Z122" s="938">
        <v>60</v>
      </c>
      <c r="AA122" s="938">
        <v>60</v>
      </c>
      <c r="AB122" s="938">
        <v>4</v>
      </c>
      <c r="AC122"/>
      <c r="AD122"/>
      <c r="AE122"/>
    </row>
    <row r="123" spans="1:31" x14ac:dyDescent="0.2">
      <c r="A123" s="186"/>
      <c r="B123" s="186"/>
      <c r="C123" s="186"/>
      <c r="D123" s="882" t="s">
        <v>1200</v>
      </c>
      <c r="E123" s="938" t="s">
        <v>478</v>
      </c>
      <c r="F123" s="938">
        <v>1</v>
      </c>
      <c r="G123" s="938">
        <v>4</v>
      </c>
      <c r="H123" s="938">
        <v>6</v>
      </c>
      <c r="I123" s="938">
        <v>2</v>
      </c>
      <c r="J123" s="938">
        <v>64</v>
      </c>
      <c r="K123" s="938">
        <v>2</v>
      </c>
      <c r="L123" s="938">
        <v>3</v>
      </c>
      <c r="M123" s="938">
        <v>1</v>
      </c>
      <c r="N123" s="938">
        <v>1</v>
      </c>
      <c r="O123" s="938">
        <v>25</v>
      </c>
      <c r="P123" s="938">
        <v>3.3</v>
      </c>
      <c r="Q123" s="938">
        <v>0.3</v>
      </c>
      <c r="R123" s="938">
        <v>2</v>
      </c>
      <c r="S123" s="938">
        <v>3.5</v>
      </c>
      <c r="T123" s="938">
        <v>0.8</v>
      </c>
      <c r="U123" s="938">
        <v>9.1</v>
      </c>
      <c r="V123" s="938">
        <v>0</v>
      </c>
      <c r="W123" s="938">
        <v>0</v>
      </c>
      <c r="X123" s="938">
        <v>0</v>
      </c>
      <c r="Y123" s="938">
        <v>0</v>
      </c>
      <c r="Z123" s="938">
        <v>20</v>
      </c>
      <c r="AA123" s="938">
        <v>20</v>
      </c>
      <c r="AB123" s="938">
        <v>1.3</v>
      </c>
      <c r="AC123"/>
      <c r="AD123"/>
      <c r="AE123"/>
    </row>
    <row r="124" spans="1:31" x14ac:dyDescent="0.2">
      <c r="A124" s="188"/>
      <c r="B124" s="188"/>
      <c r="C124" s="188"/>
      <c r="D124" s="882" t="s">
        <v>1201</v>
      </c>
      <c r="E124" s="938" t="s">
        <v>479</v>
      </c>
      <c r="F124" s="938">
        <v>1</v>
      </c>
      <c r="G124" s="938">
        <v>4</v>
      </c>
      <c r="H124" s="938">
        <v>6</v>
      </c>
      <c r="I124" s="938">
        <v>2</v>
      </c>
      <c r="J124" s="938">
        <v>64</v>
      </c>
      <c r="K124" s="938">
        <v>2</v>
      </c>
      <c r="L124" s="938">
        <v>3</v>
      </c>
      <c r="M124" s="938">
        <v>1</v>
      </c>
      <c r="N124" s="938">
        <v>1</v>
      </c>
      <c r="O124" s="938">
        <v>78</v>
      </c>
      <c r="P124" s="938">
        <v>16.8</v>
      </c>
      <c r="Q124" s="938">
        <v>0</v>
      </c>
      <c r="R124" s="938">
        <v>0.9</v>
      </c>
      <c r="S124" s="938">
        <v>50.8</v>
      </c>
      <c r="T124" s="938">
        <v>0.3</v>
      </c>
      <c r="U124" s="938">
        <v>0</v>
      </c>
      <c r="V124" s="938">
        <v>0</v>
      </c>
      <c r="W124" s="938">
        <v>0</v>
      </c>
      <c r="X124" s="938">
        <v>0</v>
      </c>
      <c r="Y124" s="938">
        <v>0</v>
      </c>
      <c r="Z124" s="938">
        <v>20</v>
      </c>
      <c r="AA124" s="938">
        <v>20</v>
      </c>
      <c r="AB124" s="938">
        <v>2.2000000000000002</v>
      </c>
      <c r="AC124"/>
      <c r="AD124"/>
      <c r="AE124"/>
    </row>
    <row r="125" spans="1:31" x14ac:dyDescent="0.2">
      <c r="A125" s="224"/>
      <c r="B125" s="224"/>
      <c r="C125" s="224"/>
      <c r="D125" s="882" t="s">
        <v>1866</v>
      </c>
      <c r="E125" s="938" t="s">
        <v>480</v>
      </c>
      <c r="F125" s="938">
        <v>1</v>
      </c>
      <c r="G125" s="938">
        <v>6</v>
      </c>
      <c r="H125" s="938">
        <v>6</v>
      </c>
      <c r="I125" s="938">
        <v>2</v>
      </c>
      <c r="J125" s="938">
        <v>66</v>
      </c>
      <c r="K125" s="938">
        <v>2</v>
      </c>
      <c r="L125" s="938">
        <v>3</v>
      </c>
      <c r="M125" s="938">
        <v>2</v>
      </c>
      <c r="N125" s="938">
        <v>3</v>
      </c>
      <c r="O125" s="938">
        <v>33</v>
      </c>
      <c r="P125" s="938">
        <v>8.6</v>
      </c>
      <c r="Q125" s="938">
        <v>0.3</v>
      </c>
      <c r="R125" s="938">
        <v>4</v>
      </c>
      <c r="S125" s="938">
        <v>9</v>
      </c>
      <c r="T125" s="938">
        <v>3.7</v>
      </c>
      <c r="U125" s="938">
        <v>3.5</v>
      </c>
      <c r="V125" s="938">
        <v>0</v>
      </c>
      <c r="W125" s="938">
        <v>0</v>
      </c>
      <c r="X125" s="938">
        <v>0</v>
      </c>
      <c r="Y125" s="938">
        <v>0</v>
      </c>
      <c r="Z125" s="938">
        <v>10</v>
      </c>
      <c r="AA125" s="938">
        <v>10</v>
      </c>
      <c r="AB125" s="938">
        <v>2.6</v>
      </c>
      <c r="AC125"/>
      <c r="AD125"/>
      <c r="AE125"/>
    </row>
    <row r="126" spans="1:31" x14ac:dyDescent="0.2">
      <c r="A126" s="186"/>
      <c r="B126" s="186"/>
      <c r="C126" s="186"/>
      <c r="D126" s="882" t="s">
        <v>1202</v>
      </c>
      <c r="E126" s="938" t="s">
        <v>481</v>
      </c>
      <c r="F126" s="938">
        <v>1</v>
      </c>
      <c r="G126" s="938">
        <v>4</v>
      </c>
      <c r="H126" s="938">
        <v>6</v>
      </c>
      <c r="I126" s="938">
        <v>2</v>
      </c>
      <c r="J126" s="938">
        <v>64</v>
      </c>
      <c r="K126" s="938">
        <v>2</v>
      </c>
      <c r="L126" s="938">
        <v>3</v>
      </c>
      <c r="M126" s="938">
        <v>1</v>
      </c>
      <c r="N126" s="938">
        <v>1</v>
      </c>
      <c r="O126" s="938">
        <v>70</v>
      </c>
      <c r="P126" s="938">
        <v>57</v>
      </c>
      <c r="Q126" s="938">
        <v>2</v>
      </c>
      <c r="R126" s="938">
        <v>24</v>
      </c>
      <c r="S126" s="938">
        <v>14</v>
      </c>
      <c r="T126" s="938">
        <v>8</v>
      </c>
      <c r="U126" s="938">
        <v>3.5</v>
      </c>
      <c r="V126" s="938">
        <v>0</v>
      </c>
      <c r="W126" s="938">
        <v>0</v>
      </c>
      <c r="X126" s="938">
        <v>0</v>
      </c>
      <c r="Y126" s="938">
        <v>0</v>
      </c>
      <c r="Z126" s="938">
        <v>30</v>
      </c>
      <c r="AA126" s="938">
        <v>30</v>
      </c>
      <c r="AB126" s="938">
        <v>8.1</v>
      </c>
      <c r="AC126"/>
      <c r="AD126"/>
      <c r="AE126"/>
    </row>
    <row r="127" spans="1:31" x14ac:dyDescent="0.2">
      <c r="A127" s="186"/>
      <c r="B127" s="186"/>
      <c r="C127" s="186"/>
      <c r="D127" s="882" t="s">
        <v>1203</v>
      </c>
      <c r="E127" s="938" t="s">
        <v>482</v>
      </c>
      <c r="F127" s="938">
        <v>1</v>
      </c>
      <c r="G127" s="938">
        <v>6</v>
      </c>
      <c r="H127" s="938">
        <v>6</v>
      </c>
      <c r="I127" s="938">
        <v>2</v>
      </c>
      <c r="J127" s="938">
        <v>66</v>
      </c>
      <c r="K127" s="938">
        <v>2</v>
      </c>
      <c r="L127" s="938">
        <v>3</v>
      </c>
      <c r="M127" s="938">
        <v>2</v>
      </c>
      <c r="N127" s="938">
        <v>3</v>
      </c>
      <c r="O127" s="938">
        <v>60</v>
      </c>
      <c r="P127" s="938">
        <v>6.6</v>
      </c>
      <c r="Q127" s="938">
        <v>0.7</v>
      </c>
      <c r="R127" s="938">
        <v>3.9</v>
      </c>
      <c r="S127" s="938">
        <v>5.0999999999999996</v>
      </c>
      <c r="T127" s="938">
        <v>8.1999999999999993</v>
      </c>
      <c r="U127" s="938">
        <v>10.6</v>
      </c>
      <c r="V127" s="938">
        <v>0</v>
      </c>
      <c r="W127" s="938">
        <v>0</v>
      </c>
      <c r="X127" s="938">
        <v>0</v>
      </c>
      <c r="Y127" s="938">
        <v>0</v>
      </c>
      <c r="Z127" s="938">
        <v>3</v>
      </c>
      <c r="AA127" s="938">
        <v>3</v>
      </c>
      <c r="AB127" s="938">
        <v>1.1000000000000001</v>
      </c>
      <c r="AC127"/>
      <c r="AD127"/>
      <c r="AE127"/>
    </row>
    <row r="128" spans="1:31" x14ac:dyDescent="0.2">
      <c r="A128" s="186"/>
      <c r="B128" s="186"/>
      <c r="C128" s="186"/>
      <c r="D128" s="882" t="s">
        <v>1204</v>
      </c>
      <c r="E128" s="938" t="s">
        <v>483</v>
      </c>
      <c r="F128" s="938">
        <v>1</v>
      </c>
      <c r="G128" s="938">
        <v>6</v>
      </c>
      <c r="H128" s="938">
        <v>6</v>
      </c>
      <c r="I128" s="938">
        <v>2</v>
      </c>
      <c r="J128" s="938">
        <v>67</v>
      </c>
      <c r="K128" s="938">
        <v>2</v>
      </c>
      <c r="L128" s="938">
        <v>3</v>
      </c>
      <c r="M128" s="938">
        <v>2</v>
      </c>
      <c r="N128" s="938">
        <v>3</v>
      </c>
      <c r="O128" s="938">
        <v>60</v>
      </c>
      <c r="P128" s="938">
        <v>8.5</v>
      </c>
      <c r="Q128" s="938">
        <v>0.9</v>
      </c>
      <c r="R128" s="938">
        <v>5.4</v>
      </c>
      <c r="S128" s="938">
        <v>7.9</v>
      </c>
      <c r="T128" s="938">
        <v>10</v>
      </c>
      <c r="U128" s="938">
        <v>10.6</v>
      </c>
      <c r="V128" s="938">
        <v>0</v>
      </c>
      <c r="W128" s="938">
        <v>0</v>
      </c>
      <c r="X128" s="938">
        <v>0</v>
      </c>
      <c r="Y128" s="938">
        <v>0</v>
      </c>
      <c r="Z128" s="938">
        <v>5</v>
      </c>
      <c r="AA128" s="938">
        <v>5</v>
      </c>
      <c r="AB128" s="938">
        <v>1.4</v>
      </c>
      <c r="AC128"/>
      <c r="AD128"/>
      <c r="AE128"/>
    </row>
    <row r="129" spans="1:31" x14ac:dyDescent="0.2">
      <c r="A129" s="213"/>
      <c r="B129" s="213"/>
      <c r="C129" s="213"/>
      <c r="D129" s="882" t="s">
        <v>1205</v>
      </c>
      <c r="E129" s="938" t="s">
        <v>484</v>
      </c>
      <c r="F129" s="938">
        <v>1</v>
      </c>
      <c r="G129" s="938">
        <v>4</v>
      </c>
      <c r="H129" s="938">
        <v>6</v>
      </c>
      <c r="I129" s="938">
        <v>2</v>
      </c>
      <c r="J129" s="938">
        <v>64</v>
      </c>
      <c r="K129" s="938">
        <v>2</v>
      </c>
      <c r="L129" s="938">
        <v>3</v>
      </c>
      <c r="M129" s="938">
        <v>1</v>
      </c>
      <c r="N129" s="938">
        <v>1</v>
      </c>
      <c r="O129" s="938">
        <v>20</v>
      </c>
      <c r="P129" s="938">
        <v>5.2</v>
      </c>
      <c r="Q129" s="938">
        <v>0</v>
      </c>
      <c r="R129" s="938">
        <v>2.1</v>
      </c>
      <c r="S129" s="938">
        <v>6.1</v>
      </c>
      <c r="T129" s="938">
        <v>0.9</v>
      </c>
      <c r="U129" s="938">
        <v>0</v>
      </c>
      <c r="V129" s="938">
        <v>0</v>
      </c>
      <c r="W129" s="938">
        <v>0</v>
      </c>
      <c r="X129" s="938">
        <v>0</v>
      </c>
      <c r="Y129" s="938">
        <v>0</v>
      </c>
      <c r="Z129" s="938">
        <v>10</v>
      </c>
      <c r="AA129" s="938">
        <v>10</v>
      </c>
      <c r="AB129" s="938">
        <v>2.6</v>
      </c>
      <c r="AC129"/>
      <c r="AD129"/>
      <c r="AE129"/>
    </row>
    <row r="130" spans="1:31" x14ac:dyDescent="0.2">
      <c r="A130" s="213"/>
      <c r="B130" s="213"/>
      <c r="C130" s="213"/>
      <c r="D130" s="882" t="s">
        <v>1846</v>
      </c>
      <c r="E130" s="938" t="s">
        <v>457</v>
      </c>
      <c r="F130" s="938">
        <v>2</v>
      </c>
      <c r="G130" s="938">
        <v>4</v>
      </c>
      <c r="H130" s="938">
        <v>6</v>
      </c>
      <c r="I130" s="938">
        <v>2</v>
      </c>
      <c r="J130" s="938">
        <v>64</v>
      </c>
      <c r="K130" s="938">
        <v>2</v>
      </c>
      <c r="L130" s="938">
        <v>3</v>
      </c>
      <c r="M130" s="938">
        <v>1</v>
      </c>
      <c r="N130" s="938">
        <v>1</v>
      </c>
      <c r="O130" s="938">
        <v>12</v>
      </c>
      <c r="P130" s="938">
        <v>2.2999999999999998</v>
      </c>
      <c r="Q130" s="938">
        <v>0</v>
      </c>
      <c r="R130" s="938">
        <v>1.3</v>
      </c>
      <c r="S130" s="938">
        <v>9.1999999999999993</v>
      </c>
      <c r="T130" s="938">
        <v>0.6</v>
      </c>
      <c r="U130" s="938">
        <v>0</v>
      </c>
      <c r="V130" s="938">
        <v>0</v>
      </c>
      <c r="W130" s="938">
        <v>0</v>
      </c>
      <c r="X130" s="938">
        <v>0</v>
      </c>
      <c r="Y130" s="938">
        <v>0</v>
      </c>
      <c r="Z130" s="938">
        <v>10</v>
      </c>
      <c r="AA130" s="938">
        <v>10</v>
      </c>
      <c r="AB130" s="938">
        <v>1.9</v>
      </c>
      <c r="AC130"/>
      <c r="AD130"/>
      <c r="AE130"/>
    </row>
    <row r="131" spans="1:31" x14ac:dyDescent="0.2">
      <c r="A131" s="205"/>
      <c r="B131" s="205"/>
      <c r="C131" s="205"/>
      <c r="D131" s="938" t="s">
        <v>458</v>
      </c>
      <c r="E131" s="938" t="s">
        <v>459</v>
      </c>
      <c r="F131" s="938">
        <v>2</v>
      </c>
      <c r="G131" s="938">
        <v>9</v>
      </c>
      <c r="H131" s="938">
        <v>6</v>
      </c>
      <c r="I131" s="938">
        <v>2</v>
      </c>
      <c r="J131" s="938">
        <v>69</v>
      </c>
      <c r="K131" s="938">
        <v>2</v>
      </c>
      <c r="L131" s="938">
        <v>3</v>
      </c>
      <c r="M131" s="938">
        <v>2</v>
      </c>
      <c r="N131" s="938">
        <v>5</v>
      </c>
      <c r="O131" s="938">
        <v>27</v>
      </c>
      <c r="P131" s="938">
        <v>6</v>
      </c>
      <c r="Q131" s="938">
        <v>0</v>
      </c>
      <c r="R131" s="938">
        <v>1.3</v>
      </c>
      <c r="S131" s="938">
        <v>5.9</v>
      </c>
      <c r="T131" s="938">
        <v>2.1</v>
      </c>
      <c r="U131" s="938">
        <v>0</v>
      </c>
      <c r="V131" s="938">
        <v>0</v>
      </c>
      <c r="W131" s="938">
        <v>0</v>
      </c>
      <c r="X131" s="938">
        <v>0</v>
      </c>
      <c r="Y131" s="938">
        <v>0</v>
      </c>
      <c r="Z131" s="938">
        <v>10</v>
      </c>
      <c r="AA131" s="938">
        <v>10</v>
      </c>
      <c r="AB131" s="938">
        <v>2.2000000000000002</v>
      </c>
      <c r="AC131"/>
      <c r="AD131"/>
      <c r="AE131"/>
    </row>
    <row r="132" spans="1:31" x14ac:dyDescent="0.2">
      <c r="A132" s="213"/>
      <c r="B132" s="213"/>
      <c r="C132" s="213"/>
      <c r="D132" s="882" t="s">
        <v>1206</v>
      </c>
      <c r="E132" s="938" t="s">
        <v>485</v>
      </c>
      <c r="F132" s="938">
        <v>1</v>
      </c>
      <c r="G132" s="938">
        <v>7</v>
      </c>
      <c r="H132" s="938">
        <v>6</v>
      </c>
      <c r="I132" s="938">
        <v>2</v>
      </c>
      <c r="J132" s="938">
        <v>98</v>
      </c>
      <c r="K132" s="938">
        <v>2</v>
      </c>
      <c r="L132" s="938">
        <v>4</v>
      </c>
      <c r="M132" s="938">
        <v>2</v>
      </c>
      <c r="N132" s="938">
        <v>1</v>
      </c>
      <c r="O132" s="938">
        <v>0</v>
      </c>
      <c r="P132" s="938">
        <v>0</v>
      </c>
      <c r="Q132" s="938">
        <v>0</v>
      </c>
      <c r="R132" s="938">
        <v>0</v>
      </c>
      <c r="S132" s="938">
        <v>0</v>
      </c>
      <c r="T132" s="938">
        <v>0</v>
      </c>
      <c r="U132" s="938">
        <v>0</v>
      </c>
      <c r="V132" s="938">
        <v>0</v>
      </c>
      <c r="W132" s="938">
        <v>0</v>
      </c>
      <c r="X132" s="938">
        <v>0</v>
      </c>
      <c r="Y132" s="938">
        <v>0</v>
      </c>
      <c r="Z132" s="938">
        <v>10</v>
      </c>
      <c r="AA132" s="938">
        <v>10</v>
      </c>
      <c r="AB132" s="938">
        <v>0</v>
      </c>
      <c r="AC132"/>
      <c r="AD132"/>
      <c r="AE132"/>
    </row>
    <row r="133" spans="1:31" x14ac:dyDescent="0.2">
      <c r="A133" s="205"/>
      <c r="B133" s="205"/>
      <c r="C133" s="205"/>
      <c r="D133" s="882" t="s">
        <v>1207</v>
      </c>
      <c r="E133" s="938" t="s">
        <v>486</v>
      </c>
      <c r="F133" s="938">
        <v>1</v>
      </c>
      <c r="G133" s="938">
        <v>7</v>
      </c>
      <c r="H133" s="938">
        <v>6</v>
      </c>
      <c r="I133" s="938">
        <v>2</v>
      </c>
      <c r="J133" s="938">
        <v>98</v>
      </c>
      <c r="K133" s="938">
        <v>2</v>
      </c>
      <c r="L133" s="938">
        <v>5</v>
      </c>
      <c r="M133" s="938">
        <v>2</v>
      </c>
      <c r="N133" s="938">
        <v>1</v>
      </c>
      <c r="O133" s="938">
        <v>0</v>
      </c>
      <c r="P133" s="938">
        <v>0</v>
      </c>
      <c r="Q133" s="938">
        <v>0</v>
      </c>
      <c r="R133" s="938">
        <v>0</v>
      </c>
      <c r="S133" s="938">
        <v>0</v>
      </c>
      <c r="T133" s="938">
        <v>0</v>
      </c>
      <c r="U133" s="938">
        <v>0</v>
      </c>
      <c r="V133" s="938">
        <v>0</v>
      </c>
      <c r="W133" s="938">
        <v>0</v>
      </c>
      <c r="X133" s="938">
        <v>0</v>
      </c>
      <c r="Y133" s="938">
        <v>0</v>
      </c>
      <c r="Z133" s="938">
        <v>10</v>
      </c>
      <c r="AA133" s="938">
        <v>10</v>
      </c>
      <c r="AB133" s="938">
        <v>0</v>
      </c>
      <c r="AC133"/>
      <c r="AD133"/>
      <c r="AE133"/>
    </row>
    <row r="134" spans="1:31" x14ac:dyDescent="0.2">
      <c r="A134" s="205"/>
      <c r="B134" s="205"/>
      <c r="C134" s="205"/>
      <c r="D134" s="882" t="s">
        <v>1208</v>
      </c>
      <c r="E134" s="938" t="s">
        <v>487</v>
      </c>
      <c r="F134" s="938">
        <v>1</v>
      </c>
      <c r="G134" s="938">
        <v>7</v>
      </c>
      <c r="H134" s="938">
        <v>6</v>
      </c>
      <c r="I134" s="938">
        <v>2</v>
      </c>
      <c r="J134" s="938">
        <v>98</v>
      </c>
      <c r="K134" s="938">
        <v>2</v>
      </c>
      <c r="L134" s="938">
        <v>6</v>
      </c>
      <c r="M134" s="938">
        <v>2</v>
      </c>
      <c r="N134" s="938">
        <v>1</v>
      </c>
      <c r="O134" s="938">
        <v>0</v>
      </c>
      <c r="P134" s="938">
        <v>0</v>
      </c>
      <c r="Q134" s="938">
        <v>0</v>
      </c>
      <c r="R134" s="938">
        <v>0</v>
      </c>
      <c r="S134" s="938">
        <v>0</v>
      </c>
      <c r="T134" s="938">
        <v>0</v>
      </c>
      <c r="U134" s="938">
        <v>0</v>
      </c>
      <c r="V134" s="938">
        <v>0</v>
      </c>
      <c r="W134" s="938">
        <v>0</v>
      </c>
      <c r="X134" s="938">
        <v>0</v>
      </c>
      <c r="Y134" s="938">
        <v>0</v>
      </c>
      <c r="Z134" s="938">
        <v>10</v>
      </c>
      <c r="AA134" s="938">
        <v>10</v>
      </c>
      <c r="AB134" s="938">
        <v>0</v>
      </c>
      <c r="AC134"/>
      <c r="AD134"/>
      <c r="AE134"/>
    </row>
    <row r="135" spans="1:31" ht="13.5" thickBot="1" x14ac:dyDescent="0.25">
      <c r="A135" s="205"/>
      <c r="B135" s="205"/>
      <c r="C135" s="205"/>
      <c r="D135" s="882" t="s">
        <v>1209</v>
      </c>
      <c r="E135" s="938" t="s">
        <v>488</v>
      </c>
      <c r="F135" s="938">
        <v>1</v>
      </c>
      <c r="G135" s="938">
        <v>7</v>
      </c>
      <c r="H135" s="938">
        <v>6</v>
      </c>
      <c r="I135" s="938">
        <v>2</v>
      </c>
      <c r="J135" s="938">
        <v>99</v>
      </c>
      <c r="K135" s="938">
        <v>2</v>
      </c>
      <c r="L135" s="938">
        <v>7</v>
      </c>
      <c r="M135" s="938">
        <v>2</v>
      </c>
      <c r="N135" s="938">
        <v>1</v>
      </c>
      <c r="O135" s="938">
        <v>0</v>
      </c>
      <c r="P135" s="938">
        <v>0</v>
      </c>
      <c r="Q135" s="938">
        <v>0</v>
      </c>
      <c r="R135" s="938">
        <v>0</v>
      </c>
      <c r="S135" s="938">
        <v>0</v>
      </c>
      <c r="T135" s="938">
        <v>0</v>
      </c>
      <c r="U135" s="938">
        <v>0</v>
      </c>
      <c r="V135" s="938">
        <v>0</v>
      </c>
      <c r="W135" s="938">
        <v>0</v>
      </c>
      <c r="X135" s="938">
        <v>0</v>
      </c>
      <c r="Y135" s="938">
        <v>0</v>
      </c>
      <c r="Z135" s="938">
        <v>10</v>
      </c>
      <c r="AA135" s="938">
        <v>10</v>
      </c>
      <c r="AB135" s="938">
        <v>0</v>
      </c>
      <c r="AC135"/>
      <c r="AD135"/>
      <c r="AE135"/>
    </row>
    <row r="136" spans="1:31" x14ac:dyDescent="0.2">
      <c r="F136" s="493"/>
      <c r="G136" s="494"/>
      <c r="H136" s="495"/>
      <c r="I136" s="494"/>
      <c r="J136" s="494"/>
      <c r="K136" s="494"/>
      <c r="L136" s="494"/>
      <c r="N136" s="496"/>
      <c r="O136" s="494"/>
      <c r="P136" s="498"/>
      <c r="Q136" s="498"/>
      <c r="R136" s="498"/>
      <c r="S136" s="498"/>
      <c r="T136" s="498"/>
      <c r="U136" s="499"/>
      <c r="V136" s="500"/>
      <c r="W136" s="500"/>
      <c r="X136" s="500"/>
      <c r="Y136" s="501"/>
      <c r="AC136"/>
      <c r="AD136"/>
      <c r="AE136"/>
    </row>
    <row r="137" spans="1:31" x14ac:dyDescent="0.2">
      <c r="AC137"/>
      <c r="AD137"/>
      <c r="AE137"/>
    </row>
    <row r="138" spans="1:31" x14ac:dyDescent="0.2">
      <c r="AC138"/>
      <c r="AD138"/>
      <c r="AE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M82"/>
  <sheetViews>
    <sheetView topLeftCell="A16" workbookViewId="0"/>
  </sheetViews>
  <sheetFormatPr baseColWidth="10" defaultRowHeight="12.75" x14ac:dyDescent="0.2"/>
  <cols>
    <col min="1" max="1" width="35.140625" style="307" customWidth="1"/>
    <col min="2" max="3" width="14.7109375" style="714" customWidth="1"/>
    <col min="4" max="4" width="14.7109375" customWidth="1"/>
    <col min="5" max="5" width="14.7109375" style="252" customWidth="1"/>
    <col min="6" max="6" width="34.5703125" style="510" customWidth="1"/>
    <col min="7" max="13" width="14.7109375" customWidth="1"/>
  </cols>
  <sheetData>
    <row r="1" spans="1:13" s="137" customFormat="1" x14ac:dyDescent="0.2">
      <c r="A1" s="882" t="s">
        <v>1860</v>
      </c>
      <c r="B1" s="714"/>
      <c r="C1" s="714"/>
      <c r="D1" s="137">
        <v>1</v>
      </c>
      <c r="E1" s="252">
        <f>COLUMN(E1)-COLUMN($D$1)+1</f>
        <v>2</v>
      </c>
      <c r="F1" s="938">
        <f t="shared" ref="F1:M1" si="0">COLUMN(F1)-COLUMN($D$1)+1</f>
        <v>3</v>
      </c>
      <c r="G1" s="938">
        <f t="shared" si="0"/>
        <v>4</v>
      </c>
      <c r="H1" s="938">
        <f t="shared" si="0"/>
        <v>5</v>
      </c>
      <c r="I1" s="938">
        <f t="shared" si="0"/>
        <v>6</v>
      </c>
      <c r="J1" s="938">
        <f t="shared" si="0"/>
        <v>7</v>
      </c>
      <c r="K1" s="938">
        <f t="shared" si="0"/>
        <v>8</v>
      </c>
      <c r="L1" s="938">
        <f t="shared" si="0"/>
        <v>9</v>
      </c>
      <c r="M1" s="938">
        <f t="shared" si="0"/>
        <v>10</v>
      </c>
    </row>
    <row r="2" spans="1:13" s="714" customFormat="1" x14ac:dyDescent="0.2">
      <c r="C2" s="716" t="s">
        <v>1393</v>
      </c>
      <c r="D2" s="716"/>
    </row>
    <row r="3" spans="1:13" s="714" customFormat="1" x14ac:dyDescent="0.2">
      <c r="C3" s="714">
        <f>COUNTIF(Tabelle8[Auswahl],"x")</f>
        <v>0</v>
      </c>
      <c r="D3" s="716"/>
      <c r="G3" s="1362"/>
      <c r="H3" s="1362"/>
      <c r="I3" s="1362"/>
      <c r="J3" s="1362"/>
      <c r="K3" s="1362"/>
      <c r="L3" s="1362"/>
      <c r="M3" s="1362"/>
    </row>
    <row r="4" spans="1:13" s="252" customFormat="1" ht="13.5" thickBot="1" x14ac:dyDescent="0.25">
      <c r="A4" s="307"/>
      <c r="B4" s="714"/>
      <c r="C4" s="714"/>
      <c r="E4" s="1368" t="s">
        <v>371</v>
      </c>
      <c r="F4" s="1368"/>
      <c r="G4" s="274" t="s">
        <v>378</v>
      </c>
      <c r="H4" s="149" t="s">
        <v>634</v>
      </c>
      <c r="I4" s="149" t="s">
        <v>635</v>
      </c>
      <c r="J4" s="149" t="s">
        <v>636</v>
      </c>
      <c r="K4" s="149" t="s">
        <v>637</v>
      </c>
      <c r="L4" s="149" t="s">
        <v>638</v>
      </c>
      <c r="M4" s="257" t="s">
        <v>639</v>
      </c>
    </row>
    <row r="5" spans="1:13" s="332" customFormat="1" ht="48.75" customHeight="1" thickBot="1" x14ac:dyDescent="0.3">
      <c r="A5" s="341"/>
      <c r="B5" s="726" t="s">
        <v>1337</v>
      </c>
      <c r="C5" s="726" t="s">
        <v>1261</v>
      </c>
      <c r="D5" s="341" t="s">
        <v>270</v>
      </c>
      <c r="E5" s="342" t="s">
        <v>719</v>
      </c>
      <c r="F5" s="517" t="s">
        <v>1146</v>
      </c>
      <c r="G5" s="275" t="s">
        <v>828</v>
      </c>
      <c r="H5" s="343" t="s">
        <v>830</v>
      </c>
      <c r="I5" s="344" t="s">
        <v>831</v>
      </c>
      <c r="J5" s="344" t="s">
        <v>832</v>
      </c>
      <c r="K5" s="344" t="s">
        <v>833</v>
      </c>
      <c r="L5" s="345" t="s">
        <v>728</v>
      </c>
      <c r="M5" s="346" t="s">
        <v>829</v>
      </c>
    </row>
    <row r="6" spans="1:13" x14ac:dyDescent="0.2">
      <c r="A6" s="74"/>
      <c r="B6" s="74" t="s">
        <v>60</v>
      </c>
      <c r="C6" s="74" t="s">
        <v>315</v>
      </c>
      <c r="D6" s="74" t="s">
        <v>60</v>
      </c>
      <c r="E6" s="282"/>
      <c r="F6" s="74" t="str">
        <f>Tab_min[[#This Row],[Mineraldünger]]</f>
        <v xml:space="preserve"> --</v>
      </c>
      <c r="H6" s="151">
        <v>0</v>
      </c>
      <c r="I6" s="152">
        <v>0</v>
      </c>
      <c r="J6" s="153">
        <v>0</v>
      </c>
      <c r="K6" s="153">
        <v>0</v>
      </c>
      <c r="L6" s="152">
        <v>0</v>
      </c>
      <c r="M6" s="273">
        <v>0</v>
      </c>
    </row>
    <row r="7" spans="1:13" s="137" customFormat="1" x14ac:dyDescent="0.2">
      <c r="A7" s="74"/>
      <c r="B7" s="74" t="str" cm="1">
        <f t="array" ref="B7">IFERROR(INDEX(Tab_min[Mineraldünger],_xlfn.AGGREGATE(15,6,(ROW(Tab_min[Auswahl])-5)/(--(SEARCH("x",Tab_min[Auswahl])&gt;0)),ROW()-5),1),"")</f>
        <v xml:space="preserve"> +++min. Düng.++</v>
      </c>
      <c r="C7" s="74">
        <v>0</v>
      </c>
      <c r="D7" s="74" t="s">
        <v>1025</v>
      </c>
      <c r="E7" s="283"/>
      <c r="F7" s="74" t="str">
        <f>Tab_min[[#This Row],[Mineraldünger]]</f>
        <v xml:space="preserve"> +++eigene D.+++</v>
      </c>
      <c r="H7" s="151">
        <v>0</v>
      </c>
      <c r="I7" s="152">
        <v>0</v>
      </c>
      <c r="J7" s="153">
        <v>0</v>
      </c>
      <c r="K7" s="153">
        <v>0</v>
      </c>
      <c r="L7" s="152">
        <v>0</v>
      </c>
      <c r="M7" s="273">
        <v>0</v>
      </c>
    </row>
    <row r="8" spans="1:13" s="137" customFormat="1" x14ac:dyDescent="0.2">
      <c r="A8" s="74"/>
      <c r="B8" s="74" t="str" cm="1">
        <f t="array" ref="B8">IFERROR(INDEX(Tab_min[Mineraldünger],_xlfn.AGGREGATE(15,6,(ROW(Tab_min[Auswahl])-5)/(--(SEARCH("x",Tab_min[Auswahl])&gt;0)),ROW()-5),1),"")</f>
        <v>AHL28</v>
      </c>
      <c r="C8" s="74" t="str">
        <f>Vorauswahl!AG15</f>
        <v/>
      </c>
      <c r="D8" s="74" t="str">
        <f>IF(Vorauswahl!AL15="OK",CONCATENATE("*",Vorauswahl!AF15," ",Vorauswahl!AI15),"#")</f>
        <v>#</v>
      </c>
      <c r="E8" s="283" t="str">
        <f>IF(Vorauswahl!AH15="","#",VLOOKUP(Vorauswahl!AH15,$D$76:$G$82,2,FALSE))</f>
        <v>#</v>
      </c>
      <c r="F8" s="74" t="str">
        <f>CONCATENATE(Tab_min[[#This Row],[Mineraldünger]]," (",Tab_min[[#This Row],[EDV Code]],")")</f>
        <v># (#)</v>
      </c>
      <c r="G8" s="137">
        <f>IF(Vorauswahl!AH15="",0,VLOOKUP(Vorauswahl!AH15,$D$76:$G$82,4,FALSE))</f>
        <v>0</v>
      </c>
      <c r="H8" s="151">
        <f>Vorauswahl!AJ15</f>
        <v>0</v>
      </c>
      <c r="I8" s="290">
        <v>0</v>
      </c>
      <c r="J8" s="154">
        <f>Vorauswahl!AK15</f>
        <v>0</v>
      </c>
      <c r="K8" s="286">
        <v>0</v>
      </c>
      <c r="L8" s="287">
        <v>0</v>
      </c>
      <c r="M8" s="347">
        <v>0</v>
      </c>
    </row>
    <row r="9" spans="1:13" s="137" customFormat="1" x14ac:dyDescent="0.2">
      <c r="A9" s="74"/>
      <c r="B9" s="74" t="str" cm="1">
        <f t="array" ref="B9">IFERROR(INDEX(Tab_min[Mineraldünger],_xlfn.AGGREGATE(15,6,(ROW(Tab_min[Auswahl])-5)/(--(SEARCH("x",Tab_min[Auswahl])&gt;0)),ROW()-5),1),"")</f>
        <v>ALZONNEO</v>
      </c>
      <c r="C9" s="74" t="str">
        <f>Vorauswahl!AG16</f>
        <v/>
      </c>
      <c r="D9" s="74" t="str">
        <f>IF(Vorauswahl!AL16="OK",CONCATENATE("*",Vorauswahl!AF16," ",Vorauswahl!AI16),"#")</f>
        <v>#</v>
      </c>
      <c r="E9" s="283" t="str">
        <f>IF(Vorauswahl!AH16="","#",VLOOKUP(Vorauswahl!AH16,$D$76:$G$82,2,FALSE))</f>
        <v>#</v>
      </c>
      <c r="F9" s="74" t="str">
        <f>CONCATENATE(Tab_min[[#This Row],[Mineraldünger]]," (",Tab_min[[#This Row],[EDV Code]],")")</f>
        <v># (#)</v>
      </c>
      <c r="G9" s="714">
        <f>IF(Vorauswahl!AH16="",0,VLOOKUP(Vorauswahl!AH16,$D$76:$G$82,4,FALSE))</f>
        <v>0</v>
      </c>
      <c r="H9" s="151">
        <f>Vorauswahl!AJ16</f>
        <v>0</v>
      </c>
      <c r="I9" s="290">
        <v>0</v>
      </c>
      <c r="J9" s="154">
        <f>Vorauswahl!AK16</f>
        <v>0</v>
      </c>
      <c r="K9" s="288">
        <v>0</v>
      </c>
      <c r="L9" s="289">
        <v>0</v>
      </c>
      <c r="M9" s="348">
        <v>0</v>
      </c>
    </row>
    <row r="10" spans="1:13" s="137" customFormat="1" x14ac:dyDescent="0.2">
      <c r="A10" s="74"/>
      <c r="B10" s="74" t="str" cm="1">
        <f t="array" ref="B10">IFERROR(INDEX(Tab_min[Mineraldünger],_xlfn.AGGREGATE(15,6,(ROW(Tab_min[Auswahl])-5)/(--(SEARCH("x",Tab_min[Auswahl])&gt;0)),ROW()-5),1),"")</f>
        <v>SSA</v>
      </c>
      <c r="C10" s="74" t="str">
        <f>Vorauswahl!AG17</f>
        <v/>
      </c>
      <c r="D10" s="74" t="str">
        <f>IF(Vorauswahl!AL17="OK",CONCATENATE("*",Vorauswahl!AF17," ",Vorauswahl!AI17),"#")</f>
        <v>#</v>
      </c>
      <c r="E10" s="283" t="str">
        <f>IF(Vorauswahl!AH17="","#",VLOOKUP(Vorauswahl!AH17,$D$76:$G$82,2,FALSE))</f>
        <v>#</v>
      </c>
      <c r="F10" s="74" t="str">
        <f>CONCATENATE(Tab_min[[#This Row],[Mineraldünger]]," (",Tab_min[[#This Row],[EDV Code]],")")</f>
        <v># (#)</v>
      </c>
      <c r="G10" s="714">
        <f>IF(Vorauswahl!AH17="",0,VLOOKUP(Vorauswahl!AH17,$D$76:$G$82,4,FALSE))</f>
        <v>0</v>
      </c>
      <c r="H10" s="151">
        <f>Vorauswahl!AJ17</f>
        <v>0</v>
      </c>
      <c r="I10" s="290">
        <v>0</v>
      </c>
      <c r="J10" s="154">
        <f>Vorauswahl!AK17</f>
        <v>0</v>
      </c>
      <c r="K10" s="286">
        <v>0</v>
      </c>
      <c r="L10" s="287">
        <v>0</v>
      </c>
      <c r="M10" s="347">
        <v>0</v>
      </c>
    </row>
    <row r="11" spans="1:13" s="137" customFormat="1" x14ac:dyDescent="0.2">
      <c r="A11" s="74"/>
      <c r="B11" s="74" t="str" cm="1">
        <f t="array" ref="B11">IFERROR(INDEX(Tab_min[Mineraldünger],_xlfn.AGGREGATE(15,6,(ROW(Tab_min[Auswahl])-5)/(--(SEARCH("x",Tab_min[Auswahl])&gt;0)),ROW()-5),1),"")</f>
        <v>PIAMON-33S</v>
      </c>
      <c r="C11" s="74" t="str">
        <f>Vorauswahl!AG18</f>
        <v/>
      </c>
      <c r="D11" s="74" t="str">
        <f>IF(Vorauswahl!AL18="OK",CONCATENATE("*",Vorauswahl!AF18," ",Vorauswahl!AI18),"#")</f>
        <v>#</v>
      </c>
      <c r="E11" s="283" t="str">
        <f>IF(Vorauswahl!AH18="","#",VLOOKUP(Vorauswahl!AH18,$D$76:$G$82,2,FALSE))</f>
        <v>#</v>
      </c>
      <c r="F11" s="74" t="str">
        <f>CONCATENATE(Tab_min[[#This Row],[Mineraldünger]]," (",Tab_min[[#This Row],[EDV Code]],")")</f>
        <v># (#)</v>
      </c>
      <c r="G11" s="714">
        <f>IF(Vorauswahl!AH18="",0,VLOOKUP(Vorauswahl!AH18,$D$76:$G$82,4,FALSE))</f>
        <v>0</v>
      </c>
      <c r="H11" s="151">
        <f>Vorauswahl!AJ18</f>
        <v>0</v>
      </c>
      <c r="I11" s="290">
        <v>0</v>
      </c>
      <c r="J11" s="154">
        <f>Vorauswahl!AK18</f>
        <v>0</v>
      </c>
      <c r="K11" s="286">
        <v>0</v>
      </c>
      <c r="L11" s="287">
        <v>0</v>
      </c>
      <c r="M11" s="347">
        <v>0</v>
      </c>
    </row>
    <row r="12" spans="1:13" s="137" customFormat="1" x14ac:dyDescent="0.2">
      <c r="A12" s="74"/>
      <c r="B12" s="74" t="str" cm="1">
        <f t="array" ref="B12">IFERROR(INDEX(Tab_min[Mineraldünger],_xlfn.AGGREGATE(15,6,(ROW(Tab_min[Auswahl])-5)/(--(SEARCH("x",Tab_min[Auswahl])&gt;0)),ROW()-5),1),"")</f>
        <v>ASS</v>
      </c>
      <c r="C12" s="74" t="str">
        <f>Vorauswahl!AG19</f>
        <v/>
      </c>
      <c r="D12" s="74" t="str">
        <f>IF(Vorauswahl!AL19="OK",CONCATENATE("*",Vorauswahl!AF19," ",Vorauswahl!AI19),"#")</f>
        <v>#</v>
      </c>
      <c r="E12" s="283" t="str">
        <f>IF(Vorauswahl!AH19="","#",VLOOKUP(Vorauswahl!AH19,$D$76:$G$82,2,FALSE))</f>
        <v>#</v>
      </c>
      <c r="F12" s="74" t="str">
        <f>CONCATENATE(Tab_min[[#This Row],[Mineraldünger]]," (",Tab_min[[#This Row],[EDV Code]],")")</f>
        <v># (#)</v>
      </c>
      <c r="G12" s="714">
        <f>IF(Vorauswahl!AH19="",0,VLOOKUP(Vorauswahl!AH19,$D$76:$G$82,4,FALSE))</f>
        <v>0</v>
      </c>
      <c r="H12" s="151">
        <f>Vorauswahl!AJ19</f>
        <v>0</v>
      </c>
      <c r="I12" s="290">
        <v>0</v>
      </c>
      <c r="J12" s="154">
        <f>Vorauswahl!AK19</f>
        <v>0</v>
      </c>
      <c r="K12" s="286">
        <v>0</v>
      </c>
      <c r="L12" s="287">
        <v>0</v>
      </c>
      <c r="M12" s="347">
        <v>0</v>
      </c>
    </row>
    <row r="13" spans="1:13" s="137" customFormat="1" x14ac:dyDescent="0.2">
      <c r="A13" s="74"/>
      <c r="B13" s="74" t="str" cm="1">
        <f t="array" ref="B13">IFERROR(INDEX(Tab_min[Mineraldünger],_xlfn.AGGREGATE(15,6,(ROW(Tab_min[Auswahl])-5)/(--(SEARCH("x",Tab_min[Auswahl])&gt;0)),ROW()-5),1),"")</f>
        <v>CARBOKALK</v>
      </c>
      <c r="C13" s="74" t="str">
        <f>Vorauswahl!AG20</f>
        <v/>
      </c>
      <c r="D13" s="74" t="str">
        <f>IF(Vorauswahl!AL20="OK",CONCATENATE("*",Vorauswahl!AF20," ",Vorauswahl!AI20),"#")</f>
        <v>#</v>
      </c>
      <c r="E13" s="283" t="str">
        <f>IF(Vorauswahl!AH20="","#",VLOOKUP(Vorauswahl!AH20,$D$76:$G$82,2,FALSE))</f>
        <v>#</v>
      </c>
      <c r="F13" s="74" t="str">
        <f>CONCATENATE(Tab_min[[#This Row],[Mineraldünger]]," (",Tab_min[[#This Row],[EDV Code]],")")</f>
        <v># (#)</v>
      </c>
      <c r="G13" s="714">
        <f>IF(Vorauswahl!AH20="",0,VLOOKUP(Vorauswahl!AH20,$D$76:$G$82,4,FALSE))</f>
        <v>0</v>
      </c>
      <c r="H13" s="151">
        <f>Vorauswahl!AJ20</f>
        <v>0</v>
      </c>
      <c r="I13" s="290">
        <v>0</v>
      </c>
      <c r="J13" s="154">
        <f>Vorauswahl!AK20</f>
        <v>0</v>
      </c>
      <c r="K13" s="286">
        <v>0</v>
      </c>
      <c r="L13" s="287">
        <v>0</v>
      </c>
      <c r="M13" s="347">
        <v>0</v>
      </c>
    </row>
    <row r="14" spans="1:13" s="830" customFormat="1" x14ac:dyDescent="0.2">
      <c r="A14" s="74"/>
      <c r="B14" s="74" t="str" cm="1">
        <f t="array" ref="B14">IFERROR(INDEX(Tab_min[Mineraldünger],_xlfn.AGGREGATE(15,6,(ROW(Tab_min[Auswahl])-5)/(--(SEARCH("x",Tab_min[Auswahl])&gt;0)),ROW()-5),1),"")</f>
        <v>DOLOPH6</v>
      </c>
      <c r="C14" s="74"/>
      <c r="D14" s="74" t="str">
        <f>IF(Vorauswahl!AL21="OK",CONCATENATE("*",Vorauswahl!AF21," ",Vorauswahl!AI21),"#")</f>
        <v>#</v>
      </c>
      <c r="E14" s="283" t="str">
        <f>IF(Vorauswahl!AH21="","#",VLOOKUP(Vorauswahl!AH21,$D$76:$G$82,2,FALSE))</f>
        <v>#</v>
      </c>
      <c r="F14" s="74" t="str">
        <f>CONCATENATE(Tab_min[[#This Row],[Mineraldünger]]," (",Tab_min[[#This Row],[EDV Code]],")")</f>
        <v># (#)</v>
      </c>
      <c r="G14" s="830">
        <f>IF(Vorauswahl!AH21="",0,VLOOKUP(Vorauswahl!AH21,$D$76:$G$82,4,FALSE))</f>
        <v>0</v>
      </c>
      <c r="H14" s="151">
        <f>Vorauswahl!AJ21</f>
        <v>0</v>
      </c>
      <c r="I14" s="290">
        <v>0</v>
      </c>
      <c r="J14" s="154">
        <f>Vorauswahl!AK21</f>
        <v>0</v>
      </c>
      <c r="K14" s="286">
        <v>0</v>
      </c>
      <c r="L14" s="287">
        <v>0</v>
      </c>
      <c r="M14" s="347">
        <v>0</v>
      </c>
    </row>
    <row r="15" spans="1:13" s="830" customFormat="1" x14ac:dyDescent="0.2">
      <c r="A15" s="74"/>
      <c r="B15" s="74" t="str" cm="1">
        <f t="array" ref="B15">IFERROR(INDEX(Tab_min[Mineraldünger],_xlfn.AGGREGATE(15,6,(ROW(Tab_min[Auswahl])-5)/(--(SEARCH("x",Tab_min[Auswahl])&gt;0)),ROW()-5),1),"")</f>
        <v>DOLOPH15</v>
      </c>
      <c r="C15" s="74"/>
      <c r="D15" s="74" t="str">
        <f>IF(Vorauswahl!AL22="OK",CONCATENATE("*",Vorauswahl!AF22," ",Vorauswahl!AI22),"#")</f>
        <v>#</v>
      </c>
      <c r="E15" s="283" t="str">
        <f>IF(Vorauswahl!AH22="","#",VLOOKUP(Vorauswahl!AH22,$D$76:$G$82,2,FALSE))</f>
        <v>#</v>
      </c>
      <c r="F15" s="74" t="str">
        <f>CONCATENATE(Tab_min[[#This Row],[Mineraldünger]]," (",Tab_min[[#This Row],[EDV Code]],")")</f>
        <v># (#)</v>
      </c>
      <c r="G15" s="830">
        <f>IF(Vorauswahl!AH22="",0,VLOOKUP(Vorauswahl!AH22,$D$76:$G$82,4,FALSE))</f>
        <v>0</v>
      </c>
      <c r="H15" s="151">
        <f>Vorauswahl!AJ22</f>
        <v>0</v>
      </c>
      <c r="I15" s="290">
        <v>0</v>
      </c>
      <c r="J15" s="154">
        <f>Vorauswahl!AK22</f>
        <v>0</v>
      </c>
      <c r="K15" s="286">
        <v>0</v>
      </c>
      <c r="L15" s="287">
        <v>0</v>
      </c>
      <c r="M15" s="347">
        <v>0</v>
      </c>
    </row>
    <row r="16" spans="1:13" s="830" customFormat="1" x14ac:dyDescent="0.2">
      <c r="A16" s="74"/>
      <c r="B16" s="74" t="str" cm="1">
        <f t="array" ref="B16">IFERROR(INDEX(Tab_min[Mineraldünger],_xlfn.AGGREGATE(15,6,(ROW(Tab_min[Auswahl])-5)/(--(SEARCH("x",Tab_min[Auswahl])&gt;0)),ROW()-5),1),"")</f>
        <v>DOLOPH26</v>
      </c>
      <c r="C16" s="74"/>
      <c r="D16" s="74" t="str">
        <f>IF(Vorauswahl!AL23="OK",CONCATENATE("*",Vorauswahl!AF23," ",Vorauswahl!AI23),"#")</f>
        <v>#</v>
      </c>
      <c r="E16" s="283" t="str">
        <f>IF(Vorauswahl!AH23="","#",VLOOKUP(Vorauswahl!AH23,$D$76:$G$82,2,FALSE))</f>
        <v>#</v>
      </c>
      <c r="F16" s="74" t="str">
        <f>CONCATENATE(Tab_min[[#This Row],[Mineraldünger]]," (",Tab_min[[#This Row],[EDV Code]],")")</f>
        <v># (#)</v>
      </c>
      <c r="G16" s="830">
        <f>IF(Vorauswahl!AH23="",0,VLOOKUP(Vorauswahl!AH23,$D$76:$G$82,4,FALSE))</f>
        <v>0</v>
      </c>
      <c r="H16" s="151">
        <f>Vorauswahl!AJ23</f>
        <v>0</v>
      </c>
      <c r="I16" s="290">
        <v>0</v>
      </c>
      <c r="J16" s="154">
        <f>Vorauswahl!AK23</f>
        <v>0</v>
      </c>
      <c r="K16" s="286">
        <v>0</v>
      </c>
      <c r="L16" s="287">
        <v>0</v>
      </c>
      <c r="M16" s="347">
        <v>0</v>
      </c>
    </row>
    <row r="17" spans="1:13" s="830" customFormat="1" x14ac:dyDescent="0.2">
      <c r="A17" s="74"/>
      <c r="B17" s="74" t="str" cm="1">
        <f t="array" ref="B17">IFERROR(INDEX(Tab_min[Mineraldünger],_xlfn.AGGREGATE(15,6,(ROW(Tab_min[Auswahl])-5)/(--(SEARCH("x",Tab_min[Auswahl])&gt;0)),ROW()-5),1),"")</f>
        <v>ENTEC15-5-20</v>
      </c>
      <c r="C17" s="74"/>
      <c r="D17" s="74" t="str">
        <f>IF(Vorauswahl!AL24="OK",CONCATENATE("*",Vorauswahl!AF24," ",Vorauswahl!AI24),"#")</f>
        <v>#</v>
      </c>
      <c r="E17" s="283" t="str">
        <f>IF(Vorauswahl!AH24="","#",VLOOKUP(Vorauswahl!AH24,$D$76:$G$82,2,FALSE))</f>
        <v>#</v>
      </c>
      <c r="F17" s="74" t="str">
        <f>CONCATENATE(Tab_min[[#This Row],[Mineraldünger]]," (",Tab_min[[#This Row],[EDV Code]],")")</f>
        <v># (#)</v>
      </c>
      <c r="G17" s="830">
        <f>IF(Vorauswahl!AH24="",0,VLOOKUP(Vorauswahl!AH24,$D$76:$G$82,4,FALSE))</f>
        <v>0</v>
      </c>
      <c r="H17" s="151">
        <f>Vorauswahl!AJ24</f>
        <v>0</v>
      </c>
      <c r="I17" s="290">
        <v>0</v>
      </c>
      <c r="J17" s="154">
        <f>Vorauswahl!AK24</f>
        <v>0</v>
      </c>
      <c r="K17" s="286">
        <v>0</v>
      </c>
      <c r="L17" s="287">
        <v>0</v>
      </c>
      <c r="M17" s="347">
        <v>0</v>
      </c>
    </row>
    <row r="18" spans="1:13" s="351" customFormat="1" x14ac:dyDescent="0.2">
      <c r="A18" s="74"/>
      <c r="B18" s="74" t="str" cm="1">
        <f t="array" ref="B18">IFERROR(INDEX(Tab_min[Mineraldünger],_xlfn.AGGREGATE(15,6,(ROW(Tab_min[Auswahl])-5)/(--(SEARCH("x",Tab_min[Auswahl])&gt;0)),ROW()-5),1),"")</f>
        <v>ENTEC25-15</v>
      </c>
      <c r="C18" s="74" t="str">
        <f>IF(Tab_min[[#This Row],[Mineraldünger]]=$D$75,IF($C$3=0,0,"x"),IF($C$3=0,"x",Vorauswahl!AG25))</f>
        <v>x</v>
      </c>
      <c r="D18" s="74" t="s">
        <v>1024</v>
      </c>
      <c r="E18" s="283"/>
      <c r="F18" s="74"/>
      <c r="G18" s="830"/>
      <c r="H18" s="151">
        <v>0</v>
      </c>
      <c r="I18" s="290">
        <v>0</v>
      </c>
      <c r="J18" s="154">
        <v>0</v>
      </c>
      <c r="K18" s="286">
        <v>0</v>
      </c>
      <c r="L18" s="287">
        <v>0</v>
      </c>
      <c r="M18" s="347">
        <v>0</v>
      </c>
    </row>
    <row r="19" spans="1:13" s="137" customFormat="1" x14ac:dyDescent="0.2">
      <c r="A19" s="150"/>
      <c r="B19" s="74" t="str" cm="1">
        <f t="array" ref="B19">IFERROR(INDEX(Tab_min[Mineraldünger],_xlfn.AGGREGATE(15,6,(ROW(Tab_min[Auswahl])-5)/(--(SEARCH("x",Tab_min[Auswahl])&gt;0)),ROW()-5),1),"")</f>
        <v>HARN46</v>
      </c>
      <c r="C19" s="74" t="str">
        <f>IF(Tab_min[[#This Row],[Mineraldünger]]=$D$75,IF($C$3=0,0,"x"),IF($C$3=0,"x",Vorauswahl!AG26))</f>
        <v>x</v>
      </c>
      <c r="D19" s="938" t="s">
        <v>640</v>
      </c>
      <c r="E19" s="938" t="s">
        <v>640</v>
      </c>
      <c r="F19" s="938" t="s">
        <v>199</v>
      </c>
      <c r="G19" s="257">
        <v>1</v>
      </c>
      <c r="H19" s="1031">
        <v>28</v>
      </c>
      <c r="I19" s="1031">
        <v>7</v>
      </c>
      <c r="J19" s="938">
        <v>0</v>
      </c>
      <c r="K19" s="938">
        <v>0</v>
      </c>
      <c r="L19" s="938">
        <v>0</v>
      </c>
      <c r="M19" s="1031">
        <v>-28</v>
      </c>
    </row>
    <row r="20" spans="1:13" x14ac:dyDescent="0.2">
      <c r="A20" s="150"/>
      <c r="B20" s="74" t="str" cm="1">
        <f t="array" ref="B20">IFERROR(INDEX(Tab_min[Mineraldünger],_xlfn.AGGREGATE(15,6,(ROW(Tab_min[Auswahl])-5)/(--(SEARCH("x",Tab_min[Auswahl])&gt;0)),ROW()-5),1),"")</f>
        <v>HARN46-U</v>
      </c>
      <c r="C20" s="74" t="str">
        <f>IF(Tab_min[[#This Row],[Mineraldünger]]=$D$75,IF($C$3=0,0,"x"),IF($C$3=0,"x",Vorauswahl!AG27))</f>
        <v>x</v>
      </c>
      <c r="D20" s="938" t="s">
        <v>641</v>
      </c>
      <c r="E20" s="938" t="s">
        <v>641</v>
      </c>
      <c r="F20" s="938" t="s">
        <v>200</v>
      </c>
      <c r="G20" s="257">
        <v>1</v>
      </c>
      <c r="H20" s="1031">
        <v>46</v>
      </c>
      <c r="I20" s="938">
        <v>0</v>
      </c>
      <c r="J20" s="938">
        <v>0</v>
      </c>
      <c r="K20" s="938">
        <v>0</v>
      </c>
      <c r="L20" s="938">
        <v>0</v>
      </c>
      <c r="M20" s="1031">
        <v>-46</v>
      </c>
    </row>
    <row r="21" spans="1:13" x14ac:dyDescent="0.2">
      <c r="A21" s="150"/>
      <c r="B21" s="74" t="str" cm="1">
        <f t="array" ref="B21">IFERROR(INDEX(Tab_min[Mineraldünger],_xlfn.AGGREGATE(15,6,(ROW(Tab_min[Auswahl])-5)/(--(SEARCH("x",Tab_min[Auswahl])&gt;0)),ROW()-5),1),"")</f>
        <v>KALI60</v>
      </c>
      <c r="C21" s="74" t="str">
        <f>IF(Tab_min[[#This Row],[Mineraldünger]]=$D$75,IF($C$3=0,0,"x"),IF($C$3=0,"x",Vorauswahl!AG28))</f>
        <v>x</v>
      </c>
      <c r="D21" s="938" t="s">
        <v>642</v>
      </c>
      <c r="E21" s="938" t="s">
        <v>642</v>
      </c>
      <c r="F21" s="938" t="s">
        <v>317</v>
      </c>
      <c r="G21" s="257">
        <v>1</v>
      </c>
      <c r="H21" s="1031">
        <v>21</v>
      </c>
      <c r="I21" s="1031">
        <v>21</v>
      </c>
      <c r="J21" s="938">
        <v>0</v>
      </c>
      <c r="K21" s="938">
        <v>0</v>
      </c>
      <c r="L21" s="938">
        <v>0</v>
      </c>
      <c r="M21" s="1031">
        <v>-63</v>
      </c>
    </row>
    <row r="22" spans="1:13" x14ac:dyDescent="0.2">
      <c r="A22" s="148"/>
      <c r="B22" s="74" t="str" cm="1">
        <f t="array" ref="B22">IFERROR(INDEX(Tab_min[Mineraldünger],_xlfn.AGGREGATE(15,6,(ROW(Tab_min[Auswahl])-5)/(--(SEARCH("x",Tab_min[Auswahl])&gt;0)),ROW()-5),1),"")</f>
        <v>KALISOP</v>
      </c>
      <c r="C22" s="74" t="str">
        <f>IF(Tab_min[[#This Row],[Mineraldünger]]=$D$75,IF($C$3=0,0,"x"),IF($C$3=0,"x",Vorauswahl!AG29))</f>
        <v>x</v>
      </c>
      <c r="D22" s="938" t="s">
        <v>643</v>
      </c>
      <c r="E22" s="938" t="s">
        <v>643</v>
      </c>
      <c r="F22" s="938" t="s">
        <v>318</v>
      </c>
      <c r="G22" s="257">
        <v>1</v>
      </c>
      <c r="H22" s="1031">
        <v>33</v>
      </c>
      <c r="I22" s="1031">
        <v>10</v>
      </c>
      <c r="J22" s="938">
        <v>0</v>
      </c>
      <c r="K22" s="938">
        <v>0</v>
      </c>
      <c r="L22" s="938">
        <v>0</v>
      </c>
      <c r="M22" s="1031">
        <v>-54</v>
      </c>
    </row>
    <row r="23" spans="1:13" x14ac:dyDescent="0.2">
      <c r="A23" s="150"/>
      <c r="B23" s="74" t="str" cm="1">
        <f t="array" ref="B23">IFERROR(INDEX(Tab_min[Mineraldünger],_xlfn.AGGREGATE(15,6,(ROW(Tab_min[Auswahl])-5)/(--(SEARCH("x",Tab_min[Auswahl])&gt;0)),ROW()-5),1),"")</f>
        <v>KAS</v>
      </c>
      <c r="C23" s="74" t="str">
        <f>IF(Tab_min[[#This Row],[Mineraldünger]]=$D$75,IF($C$3=0,0,"x"),IF($C$3=0,"x",Vorauswahl!AG30))</f>
        <v>x</v>
      </c>
      <c r="D23" s="938" t="s">
        <v>644</v>
      </c>
      <c r="E23" s="938" t="s">
        <v>644</v>
      </c>
      <c r="F23" s="938" t="s">
        <v>201</v>
      </c>
      <c r="G23" s="257">
        <v>1</v>
      </c>
      <c r="H23" s="1031">
        <v>26</v>
      </c>
      <c r="I23" s="1031">
        <v>19</v>
      </c>
      <c r="J23" s="938">
        <v>0</v>
      </c>
      <c r="K23" s="938">
        <v>0</v>
      </c>
      <c r="L23" s="938">
        <v>0</v>
      </c>
      <c r="M23" s="1031">
        <v>-49</v>
      </c>
    </row>
    <row r="24" spans="1:13" x14ac:dyDescent="0.2">
      <c r="A24" s="150"/>
      <c r="B24" s="74" t="str" cm="1">
        <f t="array" ref="B24">IFERROR(INDEX(Tab_min[Mineraldünger],_xlfn.AGGREGATE(15,6,(ROW(Tab_min[Auswahl])-5)/(--(SEARCH("x",Tab_min[Auswahl])&gt;0)),ROW()-5),1),"")</f>
        <v>KAS-S</v>
      </c>
      <c r="C24" s="74" t="str">
        <f>IF(Tab_min[[#This Row],[Mineraldünger]]=$D$75,IF($C$3=0,0,"x"),IF($C$3=0,"x",Vorauswahl!AG31))</f>
        <v>x</v>
      </c>
      <c r="D24" s="938" t="s">
        <v>1857</v>
      </c>
      <c r="E24" s="938" t="s">
        <v>1857</v>
      </c>
      <c r="F24" s="938" t="s">
        <v>1848</v>
      </c>
      <c r="G24" s="257">
        <v>1</v>
      </c>
      <c r="H24" s="1031">
        <v>0.3</v>
      </c>
      <c r="I24" s="938">
        <v>0</v>
      </c>
      <c r="J24" s="1031">
        <v>1.4</v>
      </c>
      <c r="K24" s="1031">
        <v>0.1</v>
      </c>
      <c r="L24" s="1031">
        <v>1.7</v>
      </c>
      <c r="M24" s="1031">
        <v>27</v>
      </c>
    </row>
    <row r="25" spans="1:13" x14ac:dyDescent="0.2">
      <c r="A25" s="150"/>
      <c r="B25" s="74" t="str" cm="1">
        <f t="array" ref="B25">IFERROR(INDEX(Tab_min[Mineraldünger],_xlfn.AGGREGATE(15,6,(ROW(Tab_min[Auswahl])-5)/(--(SEARCH("x",Tab_min[Auswahl])&gt;0)),ROW()-5),1),"")</f>
        <v>PERLKA</v>
      </c>
      <c r="C25" s="74" t="str">
        <f>IF(Tab_min[[#This Row],[Mineraldünger]]=$D$75,IF($C$3=0,0,"x"),IF($C$3=0,"x",Vorauswahl!AG32))</f>
        <v>x</v>
      </c>
      <c r="D25" s="938" t="s">
        <v>645</v>
      </c>
      <c r="E25" s="938" t="s">
        <v>645</v>
      </c>
      <c r="F25" s="938" t="s">
        <v>202</v>
      </c>
      <c r="G25" s="257">
        <v>1</v>
      </c>
      <c r="H25" s="938">
        <v>0</v>
      </c>
      <c r="I25" s="938">
        <v>0</v>
      </c>
      <c r="J25" s="1031">
        <v>6</v>
      </c>
      <c r="K25" s="938">
        <v>0</v>
      </c>
      <c r="L25" s="1031">
        <v>10</v>
      </c>
      <c r="M25" s="1031">
        <v>36</v>
      </c>
    </row>
    <row r="26" spans="1:13" x14ac:dyDescent="0.2">
      <c r="A26" s="150"/>
      <c r="B26" s="74" t="str" cm="1">
        <f t="array" ref="B26">IFERROR(INDEX(Tab_min[Mineraldünger],_xlfn.AGGREGATE(15,6,(ROW(Tab_min[Auswahl])-5)/(--(SEARCH("x",Tab_min[Auswahl])&gt;0)),ROW()-5),1),"")</f>
        <v>KIESERIT-G</v>
      </c>
      <c r="C26" s="74" t="str">
        <f>IF(Tab_min[[#This Row],[Mineraldünger]]=$D$75,IF($C$3=0,0,"x"),IF($C$3=0,"x",Vorauswahl!AG33))</f>
        <v>x</v>
      </c>
      <c r="D26" s="938" t="s">
        <v>646</v>
      </c>
      <c r="E26" s="938" t="s">
        <v>646</v>
      </c>
      <c r="F26" s="938" t="s">
        <v>203</v>
      </c>
      <c r="G26" s="257">
        <v>1</v>
      </c>
      <c r="H26" s="938">
        <v>0</v>
      </c>
      <c r="I26" s="938">
        <v>0</v>
      </c>
      <c r="J26" s="1031">
        <v>15</v>
      </c>
      <c r="K26" s="938">
        <v>0</v>
      </c>
      <c r="L26" s="1031">
        <v>7</v>
      </c>
      <c r="M26" s="1031">
        <v>30</v>
      </c>
    </row>
    <row r="27" spans="1:13" x14ac:dyDescent="0.2">
      <c r="A27" s="150"/>
      <c r="B27" s="74" t="str" cm="1">
        <f t="array" ref="B27">IFERROR(INDEX(Tab_min[Mineraldünger],_xlfn.AGGREGATE(15,6,(ROW(Tab_min[Auswahl])-5)/(--(SEARCH("x",Tab_min[Auswahl])&gt;0)),ROW()-5),1),"")</f>
        <v>KORN-KALI</v>
      </c>
      <c r="C27" s="74" t="str">
        <f>IF(Tab_min[[#This Row],[Mineraldünger]]=$D$75,IF($C$3=0,0,"x"),IF($C$3=0,"x",Vorauswahl!AG34))</f>
        <v>x</v>
      </c>
      <c r="D27" s="938" t="s">
        <v>647</v>
      </c>
      <c r="E27" s="938" t="s">
        <v>647</v>
      </c>
      <c r="F27" s="938" t="s">
        <v>1172</v>
      </c>
      <c r="G27" s="257">
        <v>1</v>
      </c>
      <c r="H27" s="938">
        <v>0</v>
      </c>
      <c r="I27" s="938">
        <v>0</v>
      </c>
      <c r="J27" s="1031">
        <v>26</v>
      </c>
      <c r="K27" s="938">
        <v>0</v>
      </c>
      <c r="L27" s="1031">
        <v>3</v>
      </c>
      <c r="M27" s="1031">
        <v>10</v>
      </c>
    </row>
    <row r="28" spans="1:13" x14ac:dyDescent="0.2">
      <c r="A28" s="150"/>
      <c r="B28" s="74" t="str" cm="1">
        <f t="array" ref="B28">IFERROR(INDEX(Tab_min[Mineraldünger],_xlfn.AGGREGATE(15,6,(ROW(Tab_min[Auswahl])-5)/(--(SEARCH("x",Tab_min[Auswahl])&gt;0)),ROW()-5),1),"")</f>
        <v>LAT-12-12-17</v>
      </c>
      <c r="C28" s="74" t="str">
        <f>IF(Tab_min[[#This Row],[Mineraldünger]]=$D$75,IF($C$3=0,0,"x"),IF($C$3=0,"x",Vorauswahl!AG35))</f>
        <v>x</v>
      </c>
      <c r="D28" s="938" t="s">
        <v>648</v>
      </c>
      <c r="E28" s="938" t="s">
        <v>648</v>
      </c>
      <c r="F28" s="938" t="s">
        <v>319</v>
      </c>
      <c r="G28" s="257">
        <v>1</v>
      </c>
      <c r="H28" s="1031">
        <v>15</v>
      </c>
      <c r="I28" s="1031">
        <v>8</v>
      </c>
      <c r="J28" s="1031">
        <v>5</v>
      </c>
      <c r="K28" s="1031">
        <v>20</v>
      </c>
      <c r="L28" s="1031">
        <v>2</v>
      </c>
      <c r="M28" s="1031">
        <v>-16</v>
      </c>
    </row>
    <row r="29" spans="1:13" x14ac:dyDescent="0.2">
      <c r="A29" s="150"/>
      <c r="B29" s="74" t="str" cm="1">
        <f t="array" ref="B29">IFERROR(INDEX(Tab_min[Mineraldünger],_xlfn.AGGREGATE(15,6,(ROW(Tab_min[Auswahl])-5)/(--(SEARCH("x",Tab_min[Auswahl])&gt;0)),ROW()-5),1),"")</f>
        <v>LAT-14-10-20</v>
      </c>
      <c r="C29" s="74" t="str">
        <f>IF(Tab_min[[#This Row],[Mineraldünger]]=$D$75,IF($C$3=0,0,"x"),IF($C$3=0,"x",Vorauswahl!AG36))</f>
        <v>x</v>
      </c>
      <c r="D29" s="938" t="s">
        <v>649</v>
      </c>
      <c r="E29" s="938" t="s">
        <v>649</v>
      </c>
      <c r="F29" s="938" t="s">
        <v>204</v>
      </c>
      <c r="G29" s="257">
        <v>1</v>
      </c>
      <c r="H29" s="1031">
        <v>25</v>
      </c>
      <c r="I29" s="1031">
        <v>14</v>
      </c>
      <c r="J29" s="1031">
        <v>15</v>
      </c>
      <c r="K29" s="938">
        <v>0</v>
      </c>
      <c r="L29" s="938">
        <v>0</v>
      </c>
      <c r="M29" s="1031">
        <v>-31</v>
      </c>
    </row>
    <row r="30" spans="1:13" x14ac:dyDescent="0.2">
      <c r="A30" s="148"/>
      <c r="B30" s="74" t="str" cm="1">
        <f t="array" ref="B30">IFERROR(INDEX(Tab_min[Mineraldünger],_xlfn.AGGREGATE(15,6,(ROW(Tab_min[Auswahl])-5)/(--(SEARCH("x",Tab_min[Auswahl])&gt;0)),ROW()-5),1),"")</f>
        <v>LAT-20-20</v>
      </c>
      <c r="C30" s="74" t="str">
        <f>IF(Tab_min[[#This Row],[Mineraldünger]]=$D$75,IF($C$3=0,0,"x"),IF($C$3=0,"x",Vorauswahl!AG37))</f>
        <v>x</v>
      </c>
      <c r="D30" s="938" t="s">
        <v>650</v>
      </c>
      <c r="E30" s="938" t="s">
        <v>650</v>
      </c>
      <c r="F30" s="938" t="s">
        <v>205</v>
      </c>
      <c r="G30" s="257">
        <v>1</v>
      </c>
      <c r="H30" s="1031">
        <v>46</v>
      </c>
      <c r="I30" s="938">
        <v>0</v>
      </c>
      <c r="J30" s="938">
        <v>0</v>
      </c>
      <c r="K30" s="938">
        <v>0</v>
      </c>
      <c r="L30" s="938">
        <v>0</v>
      </c>
      <c r="M30" s="1031">
        <v>-46</v>
      </c>
    </row>
    <row r="31" spans="1:13" x14ac:dyDescent="0.2">
      <c r="A31" s="150"/>
      <c r="B31" s="74" t="str" cm="1">
        <f t="array" ref="B31">IFERROR(INDEX(Tab_min[Mineraldünger],_xlfn.AGGREGATE(15,6,(ROW(Tab_min[Auswahl])-5)/(--(SEARCH("x",Tab_min[Auswahl])&gt;0)),ROW()-5),1),"")</f>
        <v>LAT-20-10-8</v>
      </c>
      <c r="C31" s="74" t="str">
        <f>IF(Tab_min[[#This Row],[Mineraldünger]]=$D$75,IF($C$3=0,0,"x"),IF($C$3=0,"x",Vorauswahl!AG38))</f>
        <v>x</v>
      </c>
      <c r="D31" s="938" t="s">
        <v>651</v>
      </c>
      <c r="E31" s="938" t="s">
        <v>651</v>
      </c>
      <c r="F31" s="938" t="s">
        <v>320</v>
      </c>
      <c r="G31" s="257">
        <v>1</v>
      </c>
      <c r="H31" s="1031">
        <v>46</v>
      </c>
      <c r="I31" s="938">
        <v>0</v>
      </c>
      <c r="J31" s="938">
        <v>0</v>
      </c>
      <c r="K31" s="938">
        <v>0</v>
      </c>
      <c r="L31" s="938">
        <v>0</v>
      </c>
      <c r="M31" s="1031">
        <v>-46</v>
      </c>
    </row>
    <row r="32" spans="1:13" x14ac:dyDescent="0.2">
      <c r="A32" s="150"/>
      <c r="B32" s="74" t="str" cm="1">
        <f t="array" ref="B32">IFERROR(INDEX(Tab_min[Mineraldünger],_xlfn.AGGREGATE(15,6,(ROW(Tab_min[Auswahl])-5)/(--(SEARCH("x",Tab_min[Auswahl])&gt;0)),ROW()-5),1),"")</f>
        <v>LAT-24-14</v>
      </c>
      <c r="C32" s="74" t="str">
        <f>IF(Tab_min[[#This Row],[Mineraldünger]]=$D$75,IF($C$3=0,0,"x"),IF($C$3=0,"x",Vorauswahl!AG39))</f>
        <v>x</v>
      </c>
      <c r="D32" s="938" t="s">
        <v>652</v>
      </c>
      <c r="E32" s="938" t="s">
        <v>652</v>
      </c>
      <c r="F32" s="938" t="s">
        <v>206</v>
      </c>
      <c r="G32" s="257">
        <v>1</v>
      </c>
      <c r="H32" s="938">
        <v>0</v>
      </c>
      <c r="I32" s="938">
        <v>0</v>
      </c>
      <c r="J32" s="938">
        <v>0</v>
      </c>
      <c r="K32" s="1031">
        <v>60</v>
      </c>
      <c r="L32" s="938">
        <v>0</v>
      </c>
      <c r="M32" s="1031">
        <v>0</v>
      </c>
    </row>
    <row r="33" spans="1:13" x14ac:dyDescent="0.2">
      <c r="A33" s="150"/>
      <c r="B33" s="74" t="str" cm="1">
        <f t="array" ref="B33">IFERROR(INDEX(Tab_min[Mineraldünger],_xlfn.AGGREGATE(15,6,(ROW(Tab_min[Auswahl])-5)/(--(SEARCH("x",Tab_min[Auswahl])&gt;0)),ROW()-5),1),"")</f>
        <v>LAT-27</v>
      </c>
      <c r="C33" s="74" t="str">
        <f>IF(Tab_min[[#This Row],[Mineraldünger]]=$D$75,IF($C$3=0,0,"x"),IF($C$3=0,"x",Vorauswahl!AG40))</f>
        <v>x</v>
      </c>
      <c r="D33" s="938" t="s">
        <v>653</v>
      </c>
      <c r="E33" s="938" t="s">
        <v>653</v>
      </c>
      <c r="F33" s="938" t="s">
        <v>207</v>
      </c>
      <c r="G33" s="257">
        <v>1</v>
      </c>
      <c r="H33" s="938">
        <v>0</v>
      </c>
      <c r="I33" s="938">
        <v>0</v>
      </c>
      <c r="J33" s="938">
        <v>0</v>
      </c>
      <c r="K33" s="1031">
        <v>50</v>
      </c>
      <c r="L33" s="938">
        <v>0</v>
      </c>
      <c r="M33" s="1031">
        <v>0</v>
      </c>
    </row>
    <row r="34" spans="1:13" x14ac:dyDescent="0.2">
      <c r="A34" s="150"/>
      <c r="B34" s="74" t="str" cm="1">
        <f t="array" ref="B34">IFERROR(INDEX(Tab_min[Mineraldünger],_xlfn.AGGREGATE(15,6,(ROW(Tab_min[Auswahl])-5)/(--(SEARCH("x",Tab_min[Auswahl])&gt;0)),ROW()-5),1),"")</f>
        <v>MG-KAINIT</v>
      </c>
      <c r="C34" s="74" t="str">
        <f>IF(Tab_min[[#This Row],[Mineraldünger]]=$D$75,IF($C$3=0,0,"x"),IF($C$3=0,"x",Vorauswahl!AG41))</f>
        <v>x</v>
      </c>
      <c r="D34" s="938" t="s">
        <v>654</v>
      </c>
      <c r="E34" s="938" t="s">
        <v>654</v>
      </c>
      <c r="F34" s="938" t="s">
        <v>208</v>
      </c>
      <c r="G34" s="257">
        <v>1</v>
      </c>
      <c r="H34" s="1031">
        <v>27</v>
      </c>
      <c r="I34" s="1031">
        <v>13.5</v>
      </c>
      <c r="J34" s="938">
        <v>0</v>
      </c>
      <c r="K34" s="938">
        <v>0</v>
      </c>
      <c r="L34" s="938">
        <v>0</v>
      </c>
      <c r="M34" s="1031">
        <v>-15</v>
      </c>
    </row>
    <row r="35" spans="1:13" x14ac:dyDescent="0.2">
      <c r="A35" s="150"/>
      <c r="B35" s="74" t="str" cm="1">
        <f t="array" ref="B35">IFERROR(INDEX(Tab_min[Mineraldünger],_xlfn.AGGREGATE(15,6,(ROW(Tab_min[Auswahl])-5)/(--(SEARCH("x",Tab_min[Auswahl])&gt;0)),ROW()-5),1),"")</f>
        <v>NOVAPH23</v>
      </c>
      <c r="C35" s="74" t="str">
        <f>IF(Tab_min[[#This Row],[Mineraldünger]]=$D$75,IF($C$3=0,0,"x"),IF($C$3=0,"x",Vorauswahl!AG42))</f>
        <v>x</v>
      </c>
      <c r="D35" s="938" t="s">
        <v>655</v>
      </c>
      <c r="E35" s="938" t="s">
        <v>655</v>
      </c>
      <c r="F35" s="938" t="s">
        <v>209</v>
      </c>
      <c r="G35" s="257">
        <v>1</v>
      </c>
      <c r="H35" s="1031">
        <v>24</v>
      </c>
      <c r="I35" s="1031">
        <v>12</v>
      </c>
      <c r="J35" s="938">
        <v>0</v>
      </c>
      <c r="K35" s="938">
        <v>0</v>
      </c>
      <c r="L35" s="938">
        <v>0</v>
      </c>
      <c r="M35" s="1031">
        <v>-21</v>
      </c>
    </row>
    <row r="36" spans="1:13" x14ac:dyDescent="0.2">
      <c r="A36" s="150"/>
      <c r="B36" s="74" t="str" cm="1">
        <f t="array" ref="B36">IFERROR(INDEX(Tab_min[Mineraldünger],_xlfn.AGGREGATE(15,6,(ROW(Tab_min[Auswahl])-5)/(--(SEARCH("x",Tab_min[Auswahl])&gt;0)),ROW()-5),1),"")</f>
        <v>NP18-46</v>
      </c>
      <c r="C36" s="74" t="str">
        <f>IF(Tab_min[[#This Row],[Mineraldünger]]=$D$75,IF($C$3=0,0,"x"),IF($C$3=0,"x",Vorauswahl!AG43))</f>
        <v>x</v>
      </c>
      <c r="D36" s="938" t="s">
        <v>656</v>
      </c>
      <c r="E36" s="938" t="s">
        <v>656</v>
      </c>
      <c r="F36" s="938" t="s">
        <v>210</v>
      </c>
      <c r="G36" s="257">
        <v>1</v>
      </c>
      <c r="H36" s="1031">
        <v>19.8</v>
      </c>
      <c r="I36" s="938">
        <v>0</v>
      </c>
      <c r="J36" s="938">
        <v>0</v>
      </c>
      <c r="K36" s="938">
        <v>0</v>
      </c>
      <c r="L36" s="938">
        <v>0</v>
      </c>
      <c r="M36" s="1031">
        <v>30</v>
      </c>
    </row>
    <row r="37" spans="1:13" x14ac:dyDescent="0.2">
      <c r="A37" s="150"/>
      <c r="B37" s="74" t="str" cm="1">
        <f t="array" ref="B37">IFERROR(INDEX(Tab_min[Mineraldünger],_xlfn.AGGREGATE(15,6,(ROW(Tab_min[Auswahl])-5)/(--(SEARCH("x",Tab_min[Auswahl])&gt;0)),ROW()-5),1),"")</f>
        <v>NIPH12-12-17</v>
      </c>
      <c r="C37" s="74" t="str">
        <f>IF(Tab_min[[#This Row],[Mineraldünger]]=$D$75,IF($C$3=0,0,"x"),IF($C$3=0,"x",Vorauswahl!AG44))</f>
        <v>x</v>
      </c>
      <c r="D37" s="938" t="s">
        <v>657</v>
      </c>
      <c r="E37" s="938" t="s">
        <v>657</v>
      </c>
      <c r="F37" s="938" t="s">
        <v>321</v>
      </c>
      <c r="G37" s="257">
        <v>1</v>
      </c>
      <c r="H37" s="938">
        <v>0</v>
      </c>
      <c r="I37" s="938">
        <v>0</v>
      </c>
      <c r="J37" s="938">
        <v>0</v>
      </c>
      <c r="K37" s="938">
        <v>0</v>
      </c>
      <c r="L37" s="1031">
        <v>25</v>
      </c>
      <c r="M37" s="1031">
        <v>0</v>
      </c>
    </row>
    <row r="38" spans="1:13" x14ac:dyDescent="0.2">
      <c r="A38" s="150"/>
      <c r="B38" s="74" t="str" cm="1">
        <f t="array" ref="B38">IFERROR(INDEX(Tab_min[Mineraldünger],_xlfn.AGGREGATE(15,6,(ROW(Tab_min[Auswahl])-5)/(--(SEARCH("x",Tab_min[Auswahl])&gt;0)),ROW()-5),1),"")</f>
        <v>NPK12-12-17</v>
      </c>
      <c r="C38" s="74" t="str">
        <f>IF(Tab_min[[#This Row],[Mineraldünger]]=$D$75,IF($C$3=0,0,"x"),IF($C$3=0,"x",Vorauswahl!AG45))</f>
        <v>x</v>
      </c>
      <c r="D38" s="938" t="s">
        <v>658</v>
      </c>
      <c r="E38" s="938" t="s">
        <v>658</v>
      </c>
      <c r="F38" s="938" t="s">
        <v>211</v>
      </c>
      <c r="G38" s="257">
        <v>1</v>
      </c>
      <c r="H38" s="938">
        <v>0</v>
      </c>
      <c r="I38" s="938">
        <v>0</v>
      </c>
      <c r="J38" s="938">
        <v>0</v>
      </c>
      <c r="K38" s="1031">
        <v>40</v>
      </c>
      <c r="L38" s="1031">
        <v>6</v>
      </c>
      <c r="M38" s="1031">
        <v>0</v>
      </c>
    </row>
    <row r="39" spans="1:13" x14ac:dyDescent="0.2">
      <c r="A39" s="150"/>
      <c r="B39" s="74" t="str" cm="1">
        <f t="array" ref="B39">IFERROR(INDEX(Tab_min[Mineraldünger],_xlfn.AGGREGATE(15,6,(ROW(Tab_min[Auswahl])-5)/(--(SEARCH("x",Tab_min[Auswahl])&gt;0)),ROW()-5),1),"")</f>
        <v>NPK12-12-17-CL</v>
      </c>
      <c r="C39" s="74" t="str">
        <f>IF(Tab_min[[#This Row],[Mineraldünger]]=$D$75,IF($C$3=0,0,"x"),IF($C$3=0,"x",Vorauswahl!AG46))</f>
        <v>x</v>
      </c>
      <c r="D39" s="938" t="s">
        <v>659</v>
      </c>
      <c r="E39" s="938" t="s">
        <v>659</v>
      </c>
      <c r="F39" s="938" t="s">
        <v>1849</v>
      </c>
      <c r="G39" s="257">
        <v>1</v>
      </c>
      <c r="H39" s="1031">
        <v>12</v>
      </c>
      <c r="I39" s="1031">
        <v>7.1</v>
      </c>
      <c r="J39" s="1031">
        <v>12</v>
      </c>
      <c r="K39" s="1031">
        <v>17</v>
      </c>
      <c r="L39" s="1031">
        <v>2</v>
      </c>
      <c r="M39" s="1031">
        <v>-14</v>
      </c>
    </row>
    <row r="40" spans="1:13" x14ac:dyDescent="0.2">
      <c r="A40" s="150"/>
      <c r="B40" s="74" t="str" cm="1">
        <f t="array" ref="B40">IFERROR(INDEX(Tab_min[Mineraldünger],_xlfn.AGGREGATE(15,6,(ROW(Tab_min[Auswahl])-5)/(--(SEARCH("x",Tab_min[Auswahl])&gt;0)),ROW()-5),1),"")</f>
        <v>NPK13-9-16</v>
      </c>
      <c r="C40" s="74" t="str">
        <f>IF(Tab_min[[#This Row],[Mineraldünger]]=$D$75,IF($C$3=0,0,"x"),IF($C$3=0,"x",Vorauswahl!AG47))</f>
        <v>x</v>
      </c>
      <c r="D40" s="938" t="s">
        <v>660</v>
      </c>
      <c r="E40" s="938" t="s">
        <v>660</v>
      </c>
      <c r="F40" s="938" t="s">
        <v>1850</v>
      </c>
      <c r="G40" s="257">
        <v>1</v>
      </c>
      <c r="H40" s="1031">
        <v>14</v>
      </c>
      <c r="I40" s="1031">
        <v>8.5</v>
      </c>
      <c r="J40" s="1031">
        <v>10</v>
      </c>
      <c r="K40" s="1031">
        <v>20</v>
      </c>
      <c r="L40" s="938">
        <v>0</v>
      </c>
      <c r="M40" s="1031">
        <v>-22</v>
      </c>
    </row>
    <row r="41" spans="1:13" x14ac:dyDescent="0.2">
      <c r="A41" s="150"/>
      <c r="B41" s="74" t="str" cm="1">
        <f t="array" ref="B41">IFERROR(INDEX(Tab_min[Mineraldünger],_xlfn.AGGREGATE(15,6,(ROW(Tab_min[Auswahl])-5)/(--(SEARCH("x",Tab_min[Auswahl])&gt;0)),ROW()-5),1),"")</f>
        <v>NIPH15-13-13</v>
      </c>
      <c r="C41" s="74" t="str">
        <f>IF(Tab_min[[#This Row],[Mineraldünger]]=$D$75,IF($C$3=0,0,"x"),IF($C$3=0,"x",Vorauswahl!AG48))</f>
        <v>x</v>
      </c>
      <c r="D41" s="938" t="s">
        <v>661</v>
      </c>
      <c r="E41" s="938" t="s">
        <v>661</v>
      </c>
      <c r="F41" s="938" t="s">
        <v>1851</v>
      </c>
      <c r="G41" s="257">
        <v>1</v>
      </c>
      <c r="H41" s="1031">
        <v>20</v>
      </c>
      <c r="I41" s="1031">
        <v>12.5</v>
      </c>
      <c r="J41" s="1031">
        <v>20</v>
      </c>
      <c r="K41" s="938">
        <v>0</v>
      </c>
      <c r="L41" s="938">
        <v>0</v>
      </c>
      <c r="M41" s="1031">
        <v>-26</v>
      </c>
    </row>
    <row r="42" spans="1:13" x14ac:dyDescent="0.2">
      <c r="A42" s="150"/>
      <c r="B42" s="74" t="str" cm="1">
        <f t="array" ref="B42">IFERROR(INDEX(Tab_min[Mineraldünger],_xlfn.AGGREGATE(15,6,(ROW(Tab_min[Auswahl])-5)/(--(SEARCH("x",Tab_min[Auswahl])&gt;0)),ROW()-5),1),"")</f>
        <v>NPK15-15-15</v>
      </c>
      <c r="C42" s="74" t="str">
        <f>IF(Tab_min[[#This Row],[Mineraldünger]]=$D$75,IF($C$3=0,0,"x"),IF($C$3=0,"x",Vorauswahl!AG49))</f>
        <v>x</v>
      </c>
      <c r="D42" s="938" t="s">
        <v>662</v>
      </c>
      <c r="E42" s="938" t="s">
        <v>662</v>
      </c>
      <c r="F42" s="938" t="s">
        <v>1852</v>
      </c>
      <c r="G42" s="257">
        <v>1</v>
      </c>
      <c r="H42" s="1031">
        <v>20</v>
      </c>
      <c r="I42" s="1031">
        <v>12.2</v>
      </c>
      <c r="J42" s="1031">
        <v>10</v>
      </c>
      <c r="K42" s="1031">
        <v>8</v>
      </c>
      <c r="L42" s="938">
        <v>0</v>
      </c>
      <c r="M42" s="1031">
        <v>-28</v>
      </c>
    </row>
    <row r="43" spans="1:13" x14ac:dyDescent="0.2">
      <c r="A43" s="150"/>
      <c r="B43" s="74" t="str" cm="1">
        <f t="array" ref="B43">IFERROR(INDEX(Tab_min[Mineraldünger],_xlfn.AGGREGATE(15,6,(ROW(Tab_min[Auswahl])-5)/(--(SEARCH("x",Tab_min[Auswahl])&gt;0)),ROW()-5),1),"")</f>
        <v>NIPH15-5-20</v>
      </c>
      <c r="C43" s="74" t="str">
        <f>IF(Tab_min[[#This Row],[Mineraldünger]]=$D$75,IF($C$3=0,0,"x"),IF($C$3=0,"x",Vorauswahl!AG50))</f>
        <v>x</v>
      </c>
      <c r="D43" s="938" t="s">
        <v>663</v>
      </c>
      <c r="E43" s="938" t="s">
        <v>663</v>
      </c>
      <c r="F43" s="938" t="s">
        <v>1853</v>
      </c>
      <c r="G43" s="257">
        <v>1</v>
      </c>
      <c r="H43" s="1031">
        <v>24</v>
      </c>
      <c r="I43" s="1031">
        <v>14</v>
      </c>
      <c r="J43" s="1031">
        <v>14</v>
      </c>
      <c r="K43" s="938">
        <v>0</v>
      </c>
      <c r="L43" s="938">
        <v>0</v>
      </c>
      <c r="M43" s="1031">
        <v>-30</v>
      </c>
    </row>
    <row r="44" spans="1:13" x14ac:dyDescent="0.2">
      <c r="A44" s="150"/>
      <c r="B44" s="74" t="str" cm="1">
        <f t="array" ref="B44">IFERROR(INDEX(Tab_min[Mineraldünger],_xlfn.AGGREGATE(15,6,(ROW(Tab_min[Auswahl])-5)/(--(SEARCH("x",Tab_min[Auswahl])&gt;0)),ROW()-5),1),"")</f>
        <v>NPK20-8-8</v>
      </c>
      <c r="C44" s="74" t="str">
        <f>IF(Tab_min[[#This Row],[Mineraldünger]]=$D$75,IF($C$3=0,0,"x"),IF($C$3=0,"x",Vorauswahl!AG51))</f>
        <v>x</v>
      </c>
      <c r="D44" s="938" t="s">
        <v>664</v>
      </c>
      <c r="E44" s="938" t="s">
        <v>664</v>
      </c>
      <c r="F44" s="938" t="s">
        <v>322</v>
      </c>
      <c r="G44" s="257">
        <v>1</v>
      </c>
      <c r="H44" s="1031">
        <v>27</v>
      </c>
      <c r="I44" s="1031">
        <v>13.5</v>
      </c>
      <c r="J44" s="938">
        <v>0</v>
      </c>
      <c r="K44" s="938">
        <v>0</v>
      </c>
      <c r="L44" s="938">
        <v>0</v>
      </c>
      <c r="M44" s="1031">
        <v>-15</v>
      </c>
    </row>
    <row r="45" spans="1:13" x14ac:dyDescent="0.2">
      <c r="A45" s="150"/>
      <c r="B45" s="74" t="str" cm="1">
        <f t="array" ref="B45">IFERROR(INDEX(Tab_min[Mineraldünger],_xlfn.AGGREGATE(15,6,(ROW(Tab_min[Auswahl])-5)/(--(SEARCH("x",Tab_min[Auswahl])&gt;0)),ROW()-5),1),"")</f>
        <v>NIPH20-10-10</v>
      </c>
      <c r="C45" s="74" t="str">
        <f>IF(Tab_min[[#This Row],[Mineraldünger]]=$D$75,IF($C$3=0,0,"x"),IF($C$3=0,"x",Vorauswahl!AG52))</f>
        <v>x</v>
      </c>
      <c r="D45" s="938" t="s">
        <v>665</v>
      </c>
      <c r="E45" s="938" t="s">
        <v>665</v>
      </c>
      <c r="F45" s="938" t="s">
        <v>212</v>
      </c>
      <c r="G45" s="257">
        <v>1</v>
      </c>
      <c r="H45" s="938">
        <v>0</v>
      </c>
      <c r="I45" s="938">
        <v>0</v>
      </c>
      <c r="J45" s="938">
        <v>0</v>
      </c>
      <c r="K45" s="1031">
        <v>9</v>
      </c>
      <c r="L45" s="1031">
        <v>4</v>
      </c>
      <c r="M45" s="1031">
        <v>0</v>
      </c>
    </row>
    <row r="46" spans="1:13" x14ac:dyDescent="0.2">
      <c r="A46" s="150"/>
      <c r="B46" s="74" t="str" cm="1">
        <f t="array" ref="B46">IFERROR(INDEX(Tab_min[Mineraldünger],_xlfn.AGGREGATE(15,6,(ROW(Tab_min[Auswahl])-5)/(--(SEARCH("x",Tab_min[Auswahl])&gt;0)),ROW()-5),1),"")</f>
        <v>OEKOPH</v>
      </c>
      <c r="C46" s="74" t="str">
        <f>IF(Tab_min[[#This Row],[Mineraldünger]]=$D$75,IF($C$3=0,0,"x"),IF($C$3=0,"x",Vorauswahl!AG53))</f>
        <v>x</v>
      </c>
      <c r="D46" s="938" t="s">
        <v>666</v>
      </c>
      <c r="E46" s="938" t="s">
        <v>666</v>
      </c>
      <c r="F46" s="938" t="s">
        <v>213</v>
      </c>
      <c r="G46" s="257">
        <v>1</v>
      </c>
      <c r="H46" s="938">
        <v>0</v>
      </c>
      <c r="I46" s="938">
        <v>0</v>
      </c>
      <c r="J46" s="1031">
        <v>23</v>
      </c>
      <c r="K46" s="938">
        <v>0</v>
      </c>
      <c r="L46" s="938">
        <v>0</v>
      </c>
      <c r="M46" s="1031">
        <v>11</v>
      </c>
    </row>
    <row r="47" spans="1:13" x14ac:dyDescent="0.2">
      <c r="A47" s="150"/>
      <c r="B47" s="74" t="str" cm="1">
        <f t="array" ref="B47">IFERROR(INDEX(Tab_min[Mineraldünger],_xlfn.AGGREGATE(15,6,(ROW(Tab_min[Auswahl])-5)/(--(SEARCH("x",Tab_min[Auswahl])&gt;0)),ROW()-5),1),"")</f>
        <v>P-26</v>
      </c>
      <c r="C47" s="74" t="str">
        <f>IF(Tab_min[[#This Row],[Mineraldünger]]=$D$75,IF($C$3=0,0,"x"),IF($C$3=0,"x",Vorauswahl!AG54))</f>
        <v>x</v>
      </c>
      <c r="D47" s="938" t="s">
        <v>667</v>
      </c>
      <c r="E47" s="938" t="s">
        <v>667</v>
      </c>
      <c r="F47" s="938" t="s">
        <v>1854</v>
      </c>
      <c r="G47" s="257">
        <v>1</v>
      </c>
      <c r="H47" s="1031">
        <v>18</v>
      </c>
      <c r="I47" s="1031">
        <v>18</v>
      </c>
      <c r="J47" s="1031">
        <v>46</v>
      </c>
      <c r="K47" s="938">
        <v>0</v>
      </c>
      <c r="L47" s="938">
        <v>0</v>
      </c>
      <c r="M47" s="1031">
        <v>-34</v>
      </c>
    </row>
    <row r="48" spans="1:13" x14ac:dyDescent="0.2">
      <c r="A48" s="150"/>
      <c r="B48" s="74" t="str" cm="1">
        <f t="array" ref="B48">IFERROR(INDEX(Tab_min[Mineraldünger],_xlfn.AGGREGATE(15,6,(ROW(Tab_min[Auswahl])-5)/(--(SEARCH("x",Tab_min[Auswahl])&gt;0)),ROW()-5),1),"")</f>
        <v>POLY-SO4</v>
      </c>
      <c r="C48" s="74" t="str">
        <f>IF(Tab_min[[#This Row],[Mineraldünger]]=$D$75,IF($C$3=0,0,"x"),IF($C$3=0,"x",Vorauswahl!AG55))</f>
        <v>x</v>
      </c>
      <c r="D48" s="938" t="s">
        <v>668</v>
      </c>
      <c r="E48" s="938" t="s">
        <v>668</v>
      </c>
      <c r="F48" s="938" t="s">
        <v>1165</v>
      </c>
      <c r="G48" s="257">
        <v>1</v>
      </c>
      <c r="H48" s="1031">
        <v>12</v>
      </c>
      <c r="I48" s="1031">
        <v>7.2</v>
      </c>
      <c r="J48" s="1031">
        <v>12</v>
      </c>
      <c r="K48" s="1031">
        <v>17</v>
      </c>
      <c r="L48" s="1031">
        <v>2</v>
      </c>
      <c r="M48" s="1031">
        <v>-13</v>
      </c>
    </row>
    <row r="49" spans="1:13" x14ac:dyDescent="0.2">
      <c r="A49" s="150"/>
      <c r="B49" s="74" t="str" cm="1">
        <f t="array" ref="B49">IFERROR(INDEX(Tab_min[Mineraldünger],_xlfn.AGGREGATE(15,6,(ROW(Tab_min[Auswahl])-5)/(--(SEARCH("x",Tab_min[Auswahl])&gt;0)),ROW()-5),1),"")</f>
        <v>POTASHPLU</v>
      </c>
      <c r="C49" s="74" t="str">
        <f>IF(Tab_min[[#This Row],[Mineraldünger]]=$D$75,IF($C$3=0,0,"x"),IF($C$3=0,"x",Vorauswahl!AG56))</f>
        <v>x</v>
      </c>
      <c r="D49" s="938" t="s">
        <v>669</v>
      </c>
      <c r="E49" s="938" t="s">
        <v>669</v>
      </c>
      <c r="F49" s="938" t="s">
        <v>1166</v>
      </c>
      <c r="G49" s="257">
        <v>1</v>
      </c>
      <c r="H49" s="1031">
        <v>12</v>
      </c>
      <c r="I49" s="1031">
        <v>7</v>
      </c>
      <c r="J49" s="1031">
        <v>12</v>
      </c>
      <c r="K49" s="1031">
        <v>17</v>
      </c>
      <c r="L49" s="1031">
        <v>2</v>
      </c>
      <c r="M49" s="1031">
        <v>-13</v>
      </c>
    </row>
    <row r="50" spans="1:13" x14ac:dyDescent="0.2">
      <c r="A50" s="150"/>
      <c r="B50" s="74" t="str" cm="1">
        <f t="array" ref="B50">IFERROR(INDEX(Tab_min[Mineraldünger],_xlfn.AGGREGATE(15,6,(ROW(Tab_min[Auswahl])-5)/(--(SEARCH("x",Tab_min[Auswahl])&gt;0)),ROW()-5),1),"")</f>
        <v>KAMG</v>
      </c>
      <c r="C50" s="74" t="str">
        <f>IF(Tab_min[[#This Row],[Mineraldünger]]=$D$75,IF($C$3=0,0,"x"),IF($C$3=0,"x",Vorauswahl!AG57))</f>
        <v>x</v>
      </c>
      <c r="D50" s="938" t="s">
        <v>670</v>
      </c>
      <c r="E50" s="938" t="s">
        <v>670</v>
      </c>
      <c r="F50" s="938" t="s">
        <v>214</v>
      </c>
      <c r="G50" s="257">
        <v>1</v>
      </c>
      <c r="H50" s="1031">
        <v>12</v>
      </c>
      <c r="I50" s="1031">
        <v>8</v>
      </c>
      <c r="J50" s="1031">
        <v>12</v>
      </c>
      <c r="K50" s="1031">
        <v>17</v>
      </c>
      <c r="L50" s="1031">
        <v>2</v>
      </c>
      <c r="M50" s="1031">
        <v>-13</v>
      </c>
    </row>
    <row r="51" spans="1:13" x14ac:dyDescent="0.2">
      <c r="A51" s="150"/>
      <c r="B51" s="74" t="str" cm="1">
        <f t="array" ref="B51">IFERROR(INDEX(Tab_min[Mineraldünger],_xlfn.AGGREGATE(15,6,(ROW(Tab_min[Auswahl])-5)/(--(SEARCH("x",Tab_min[Auswahl])&gt;0)),ROW()-5),1),"")</f>
        <v>PKPLUS7-21</v>
      </c>
      <c r="C51" s="74" t="str">
        <f>IF(Tab_min[[#This Row],[Mineraldünger]]=$D$75,IF($C$3=0,0,"x"),IF($C$3=0,"x",Vorauswahl!AG58))</f>
        <v>x</v>
      </c>
      <c r="D51" s="938" t="s">
        <v>671</v>
      </c>
      <c r="E51" s="938" t="s">
        <v>671</v>
      </c>
      <c r="F51" s="938" t="s">
        <v>323</v>
      </c>
      <c r="G51" s="257">
        <v>1</v>
      </c>
      <c r="H51" s="1031">
        <v>13</v>
      </c>
      <c r="I51" s="1031">
        <v>9.1999999999999993</v>
      </c>
      <c r="J51" s="1031">
        <v>9</v>
      </c>
      <c r="K51" s="1031">
        <v>16</v>
      </c>
      <c r="L51" s="1031">
        <v>4</v>
      </c>
      <c r="M51" s="1031">
        <v>-14</v>
      </c>
    </row>
    <row r="52" spans="1:13" x14ac:dyDescent="0.2">
      <c r="A52" s="150"/>
      <c r="B52" s="74" t="str" cm="1">
        <f t="array" ref="B52">IFERROR(INDEX(Tab_min[Mineraldünger],_xlfn.AGGREGATE(15,6,(ROW(Tab_min[Auswahl])-5)/(--(SEARCH("x",Tab_min[Auswahl])&gt;0)),ROW()-5),1),"")</f>
        <v>PKPLUS12-24</v>
      </c>
      <c r="C52" s="74" t="str">
        <f>IF(Tab_min[[#This Row],[Mineraldünger]]=$D$75,IF($C$3=0,0,"x"),IF($C$3=0,"x",Vorauswahl!AG59))</f>
        <v>x</v>
      </c>
      <c r="D52" s="938" t="s">
        <v>672</v>
      </c>
      <c r="E52" s="938" t="s">
        <v>672</v>
      </c>
      <c r="F52" s="938" t="s">
        <v>215</v>
      </c>
      <c r="G52" s="257">
        <v>1</v>
      </c>
      <c r="H52" s="1031">
        <v>15</v>
      </c>
      <c r="I52" s="1031">
        <v>10.199999999999999</v>
      </c>
      <c r="J52" s="1031">
        <v>13</v>
      </c>
      <c r="K52" s="1031">
        <v>13</v>
      </c>
      <c r="L52" s="938">
        <v>0</v>
      </c>
      <c r="M52" s="1031">
        <v>-12</v>
      </c>
    </row>
    <row r="53" spans="1:13" x14ac:dyDescent="0.2">
      <c r="A53" s="150"/>
      <c r="B53" s="74" t="str" cm="1">
        <f t="array" ref="B53">IFERROR(INDEX(Tab_min[Mineraldünger],_xlfn.AGGREGATE(15,6,(ROW(Tab_min[Auswahl])-5)/(--(SEARCH("x",Tab_min[Auswahl])&gt;0)),ROW()-5),1),"")</f>
        <v>PKPLUS16-12</v>
      </c>
      <c r="C53" s="74" t="str">
        <f>IF(Tab_min[[#This Row],[Mineraldünger]]=$D$75,IF($C$3=0,0,"x"),IF($C$3=0,"x",Vorauswahl!AG60))</f>
        <v>x</v>
      </c>
      <c r="D53" s="938" t="s">
        <v>673</v>
      </c>
      <c r="E53" s="938" t="s">
        <v>673</v>
      </c>
      <c r="F53" s="938" t="s">
        <v>1167</v>
      </c>
      <c r="G53" s="257">
        <v>1</v>
      </c>
      <c r="H53" s="1031">
        <v>15</v>
      </c>
      <c r="I53" s="1031">
        <v>9</v>
      </c>
      <c r="J53" s="1031">
        <v>15</v>
      </c>
      <c r="K53" s="1031">
        <v>15</v>
      </c>
      <c r="L53" s="938">
        <v>0</v>
      </c>
      <c r="M53" s="1031">
        <v>-14</v>
      </c>
    </row>
    <row r="54" spans="1:13" x14ac:dyDescent="0.2">
      <c r="A54" s="150"/>
      <c r="B54" s="74" t="str" cm="1">
        <f t="array" ref="B54">IFERROR(INDEX(Tab_min[Mineraldünger],_xlfn.AGGREGATE(15,6,(ROW(Tab_min[Auswahl])-5)/(--(SEARCH("x",Tab_min[Auswahl])&gt;0)),ROW()-5),1),"")</f>
        <v>PKPLUS16-16</v>
      </c>
      <c r="C54" s="74" t="str">
        <f>IF(Tab_min[[#This Row],[Mineraldünger]]=$D$75,IF($C$3=0,0,"x"),IF($C$3=0,"x",Vorauswahl!AG61))</f>
        <v>x</v>
      </c>
      <c r="D54" s="938" t="s">
        <v>674</v>
      </c>
      <c r="E54" s="938" t="s">
        <v>674</v>
      </c>
      <c r="F54" s="938" t="s">
        <v>1168</v>
      </c>
      <c r="G54" s="257">
        <v>1</v>
      </c>
      <c r="H54" s="1031">
        <v>15</v>
      </c>
      <c r="I54" s="1031">
        <v>8</v>
      </c>
      <c r="J54" s="1031">
        <v>5</v>
      </c>
      <c r="K54" s="1031">
        <v>20</v>
      </c>
      <c r="L54" s="1031">
        <v>2</v>
      </c>
      <c r="M54" s="1031">
        <v>-14</v>
      </c>
    </row>
    <row r="55" spans="1:13" x14ac:dyDescent="0.2">
      <c r="A55" s="148"/>
      <c r="B55" s="74" t="str" cm="1">
        <f t="array" ref="B55">IFERROR(INDEX(Tab_min[Mineraldünger],_xlfn.AGGREGATE(15,6,(ROW(Tab_min[Auswahl])-5)/(--(SEARCH("x",Tab_min[Auswahl])&gt;0)),ROW()-5),1),"")</f>
        <v>SW-KALK</v>
      </c>
      <c r="C55" s="74" t="str">
        <f>IF(Tab_min[[#This Row],[Mineraldünger]]=$D$75,IF($C$3=0,0,"x"),IF($C$3=0,"x",Vorauswahl!AG62))</f>
        <v>x</v>
      </c>
      <c r="D55" s="938" t="s">
        <v>675</v>
      </c>
      <c r="E55" s="938" t="s">
        <v>675</v>
      </c>
      <c r="F55" s="938" t="s">
        <v>1169</v>
      </c>
      <c r="G55" s="257">
        <v>1</v>
      </c>
      <c r="H55" s="1031">
        <v>20</v>
      </c>
      <c r="I55" s="1031">
        <v>11.4</v>
      </c>
      <c r="J55" s="1031">
        <v>8</v>
      </c>
      <c r="K55" s="1031">
        <v>8</v>
      </c>
      <c r="L55" s="1031">
        <v>3</v>
      </c>
      <c r="M55" s="1031">
        <v>-18</v>
      </c>
    </row>
    <row r="56" spans="1:13" x14ac:dyDescent="0.2">
      <c r="A56" s="150"/>
      <c r="B56" s="74" t="str" cm="1">
        <f t="array" ref="B56">IFERROR(INDEX(Tab_min[Mineraldünger],_xlfn.AGGREGATE(15,6,(ROW(Tab_min[Auswahl])-5)/(--(SEARCH("x",Tab_min[Auswahl])&gt;0)),ROW()-5),1),"")</f>
        <v>TRIPLE-SP</v>
      </c>
      <c r="C56" s="74" t="str">
        <f>IF(Tab_min[[#This Row],[Mineraldünger]]=$D$75,IF($C$3=0,0,"x"),IF($C$3=0,"x",Vorauswahl!AG63))</f>
        <v>x</v>
      </c>
      <c r="D56" s="938" t="s">
        <v>676</v>
      </c>
      <c r="E56" s="938" t="s">
        <v>676</v>
      </c>
      <c r="F56" s="938" t="s">
        <v>324</v>
      </c>
      <c r="G56" s="257">
        <v>1</v>
      </c>
      <c r="H56" s="1031">
        <v>20</v>
      </c>
      <c r="I56" s="1031">
        <v>11.2</v>
      </c>
      <c r="J56" s="1031">
        <v>10</v>
      </c>
      <c r="K56" s="1031">
        <v>10</v>
      </c>
      <c r="L56" s="938">
        <v>0</v>
      </c>
      <c r="M56" s="1031">
        <v>-21</v>
      </c>
    </row>
    <row r="57" spans="1:13" x14ac:dyDescent="0.2">
      <c r="A57" s="150"/>
      <c r="B57" s="74" t="str" cm="1">
        <f t="array" ref="B57">IFERROR(INDEX(Tab_min[Mineraldünger],_xlfn.AGGREGATE(15,6,(ROW(Tab_min[Auswahl])-5)/(--(SEARCH("x",Tab_min[Auswahl])&gt;0)),ROW()-5),1),"")</f>
        <v>ROHP</v>
      </c>
      <c r="C57" s="74" t="str">
        <f>IF(Tab_min[[#This Row],[Mineraldünger]]=$D$75,IF($C$3=0,0,"x"),IF($C$3=0,"x",Vorauswahl!AG64))</f>
        <v>x</v>
      </c>
      <c r="D57" s="938" t="s">
        <v>677</v>
      </c>
      <c r="E57" s="938" t="s">
        <v>677</v>
      </c>
      <c r="F57" s="938" t="s">
        <v>325</v>
      </c>
      <c r="G57" s="257">
        <v>1</v>
      </c>
      <c r="H57" s="938">
        <v>0</v>
      </c>
      <c r="I57" s="938">
        <v>0</v>
      </c>
      <c r="J57" s="1031">
        <v>5</v>
      </c>
      <c r="K57" s="938">
        <v>0</v>
      </c>
      <c r="L57" s="1031">
        <v>7</v>
      </c>
      <c r="M57" s="1031">
        <v>31</v>
      </c>
    </row>
    <row r="58" spans="1:13" x14ac:dyDescent="0.2">
      <c r="A58" s="150"/>
      <c r="B58" s="74" t="str" cm="1">
        <f t="array" ref="B58">IFERROR(INDEX(Tab_min[Mineraldünger],_xlfn.AGGREGATE(15,6,(ROW(Tab_min[Auswahl])-5)/(--(SEARCH("x",Tab_min[Auswahl])&gt;0)),ROW()-5),1),"")</f>
        <v>Y-NITROMAG</v>
      </c>
      <c r="C58" s="74" t="str">
        <f>IF(Tab_min[[#This Row],[Mineraldünger]]=$D$75,IF($C$3=0,0,"x"),IF($C$3=0,"x",Vorauswahl!AG65))</f>
        <v>x</v>
      </c>
      <c r="D58" s="938" t="s">
        <v>678</v>
      </c>
      <c r="E58" s="938" t="s">
        <v>678</v>
      </c>
      <c r="F58" s="938" t="s">
        <v>216</v>
      </c>
      <c r="G58" s="257">
        <v>1</v>
      </c>
      <c r="H58" s="938">
        <v>0</v>
      </c>
      <c r="I58" s="938">
        <v>0</v>
      </c>
      <c r="J58" s="1031">
        <v>26</v>
      </c>
      <c r="K58" s="938">
        <v>0</v>
      </c>
      <c r="L58" s="938">
        <v>0</v>
      </c>
      <c r="M58" s="1031">
        <v>31</v>
      </c>
    </row>
    <row r="59" spans="1:13" x14ac:dyDescent="0.2">
      <c r="A59" s="150"/>
      <c r="B59" s="74" t="str" cm="1">
        <f t="array" ref="B59">IFERROR(INDEX(Tab_min[Mineraldünger],_xlfn.AGGREGATE(15,6,(ROW(Tab_min[Auswahl])-5)/(--(SEARCH("x",Tab_min[Auswahl])&gt;0)),ROW()-5),1),"")</f>
        <v>Y-SULFAN</v>
      </c>
      <c r="C59" s="74" t="str">
        <f>IF(Tab_min[[#This Row],[Mineraldünger]]=$D$75,IF($C$3=0,0,"x"),IF($C$3=0,"x",Vorauswahl!AG66))</f>
        <v>x</v>
      </c>
      <c r="D59" s="938" t="s">
        <v>679</v>
      </c>
      <c r="E59" s="938" t="s">
        <v>679</v>
      </c>
      <c r="F59" s="938" t="s">
        <v>1170</v>
      </c>
      <c r="G59" s="257">
        <v>1</v>
      </c>
      <c r="H59" s="938">
        <v>0</v>
      </c>
      <c r="I59" s="938">
        <v>0</v>
      </c>
      <c r="J59" s="938">
        <v>0</v>
      </c>
      <c r="K59" s="1031">
        <v>14</v>
      </c>
      <c r="L59" s="1031">
        <v>6</v>
      </c>
      <c r="M59" s="1031">
        <v>0</v>
      </c>
    </row>
    <row r="60" spans="1:13" x14ac:dyDescent="0.2">
      <c r="A60" s="150"/>
      <c r="B60" s="74" t="str" cm="1">
        <f t="array" ref="B60">IFERROR(INDEX(Tab_min[Mineraldünger],_xlfn.AGGREGATE(15,6,(ROW(Tab_min[Auswahl])-5)/(--(SEARCH("x",Tab_min[Auswahl])&gt;0)),ROW()-5),1),"")</f>
        <v>Y-WEIDE-S</v>
      </c>
      <c r="C60" s="74" t="str">
        <f>IF(Tab_min[[#This Row],[Mineraldünger]]=$D$75,IF($C$3=0,0,"x"),IF($C$3=0,"x",Vorauswahl!AG67))</f>
        <v>x</v>
      </c>
      <c r="D60" s="938" t="s">
        <v>680</v>
      </c>
      <c r="E60" s="938" t="s">
        <v>680</v>
      </c>
      <c r="F60" s="938" t="s">
        <v>326</v>
      </c>
      <c r="G60" s="257">
        <v>1</v>
      </c>
      <c r="H60" s="938">
        <v>0</v>
      </c>
      <c r="I60" s="938">
        <v>0</v>
      </c>
      <c r="J60" s="938">
        <v>0</v>
      </c>
      <c r="K60" s="1031">
        <v>37</v>
      </c>
      <c r="L60" s="1031">
        <v>2.8</v>
      </c>
      <c r="M60" s="1031">
        <v>0</v>
      </c>
    </row>
    <row r="61" spans="1:13" x14ac:dyDescent="0.2">
      <c r="A61" s="150"/>
      <c r="B61" s="74" t="str" cm="1">
        <f t="array" ref="B61">IFERROR(INDEX(Tab_min[Mineraldünger],_xlfn.AGGREGATE(15,6,(ROW(Tab_min[Auswahl])-5)/(--(SEARCH("x",Tab_min[Auswahl])&gt;0)),ROW()-5),1),"")</f>
        <v>Y-GETREIDE</v>
      </c>
      <c r="C61" s="74" t="str">
        <f>IF(Tab_min[[#This Row],[Mineraldünger]]=$D$75,IF($C$3=0,0,"x"),IF($C$3=0,"x",Vorauswahl!AG68))</f>
        <v>x</v>
      </c>
      <c r="D61" s="938" t="s">
        <v>681</v>
      </c>
      <c r="E61" s="938" t="s">
        <v>681</v>
      </c>
      <c r="F61" s="938" t="s">
        <v>217</v>
      </c>
      <c r="G61" s="257">
        <v>1</v>
      </c>
      <c r="H61" s="938">
        <v>0</v>
      </c>
      <c r="I61" s="938">
        <v>0</v>
      </c>
      <c r="J61" s="938">
        <v>0</v>
      </c>
      <c r="K61" s="1031">
        <v>30</v>
      </c>
      <c r="L61" s="1031">
        <v>10</v>
      </c>
      <c r="M61" s="1031">
        <v>0</v>
      </c>
    </row>
    <row r="62" spans="1:13" x14ac:dyDescent="0.2">
      <c r="A62" s="150"/>
      <c r="B62" s="74" t="str" cm="1">
        <f t="array" ref="B62">IFERROR(INDEX(Tab_min[Mineraldünger],_xlfn.AGGREGATE(15,6,(ROW(Tab_min[Auswahl])-5)/(--(SEARCH("x",Tab_min[Auswahl])&gt;0)),ROW()-5),1),"")</f>
        <v>Y-MAIS</v>
      </c>
      <c r="C62" s="74" t="str">
        <f>IF(Tab_min[[#This Row],[Mineraldünger]]=$D$75,IF($C$3=0,0,"x"),IF($C$3=0,"x",Vorauswahl!AG69))</f>
        <v>x</v>
      </c>
      <c r="D62" s="938" t="s">
        <v>682</v>
      </c>
      <c r="E62" s="938" t="s">
        <v>682</v>
      </c>
      <c r="F62" s="938" t="s">
        <v>218</v>
      </c>
      <c r="G62" s="257">
        <v>1</v>
      </c>
      <c r="H62" s="938">
        <v>0</v>
      </c>
      <c r="I62" s="938">
        <v>0</v>
      </c>
      <c r="J62" s="1031">
        <v>7</v>
      </c>
      <c r="K62" s="1031">
        <v>21</v>
      </c>
      <c r="L62" s="1031">
        <v>5</v>
      </c>
      <c r="M62" s="1031">
        <v>0</v>
      </c>
    </row>
    <row r="63" spans="1:13" x14ac:dyDescent="0.2">
      <c r="A63" s="150"/>
      <c r="B63" s="74" t="str" cm="1">
        <f t="array" ref="B63">IFERROR(INDEX(Tab_min[Mineraldünger],_xlfn.AGGREGATE(15,6,(ROW(Tab_min[Auswahl])-5)/(--(SEARCH("x",Tab_min[Auswahl])&gt;0)),ROW()-5),1),"")</f>
        <v>Y-UNIVERSAL</v>
      </c>
      <c r="C63" s="74" t="str">
        <f>IF(Tab_min[[#This Row],[Mineraldünger]]=$D$75,IF($C$3=0,0,"x"),IF($C$3=0,"x",Vorauswahl!AG70))</f>
        <v>x</v>
      </c>
      <c r="D63" s="938" t="s">
        <v>1171</v>
      </c>
      <c r="E63" s="938" t="s">
        <v>1171</v>
      </c>
      <c r="F63" s="938" t="s">
        <v>219</v>
      </c>
      <c r="G63" s="257">
        <v>1</v>
      </c>
      <c r="H63" s="938">
        <v>0</v>
      </c>
      <c r="I63" s="938">
        <v>0</v>
      </c>
      <c r="J63" s="1031">
        <v>12</v>
      </c>
      <c r="K63" s="1031">
        <v>24</v>
      </c>
      <c r="L63" s="1031">
        <v>2</v>
      </c>
      <c r="M63" s="1031">
        <v>0</v>
      </c>
    </row>
    <row r="64" spans="1:13" x14ac:dyDescent="0.2">
      <c r="A64" s="150"/>
      <c r="B64" s="74" t="str" cm="1">
        <f t="array" ref="B64">IFERROR(INDEX(Tab_min[Mineraldünger],_xlfn.AGGREGATE(15,6,(ROW(Tab_min[Auswahl])-5)/(--(SEARCH("x",Tab_min[Auswahl])&gt;0)),ROW()-5),1),"")</f>
        <v/>
      </c>
      <c r="C64" s="74" t="str">
        <f>IF(Tab_min[[#This Row],[Mineraldünger]]=$D$75,IF($C$3=0,0,"x"),IF($C$3=0,"x",Vorauswahl!AG71))</f>
        <v>x</v>
      </c>
      <c r="D64" s="938" t="s">
        <v>683</v>
      </c>
      <c r="E64" s="938" t="s">
        <v>683</v>
      </c>
      <c r="F64" s="938" t="s">
        <v>220</v>
      </c>
      <c r="G64" s="257">
        <v>1</v>
      </c>
      <c r="H64" s="938">
        <v>0</v>
      </c>
      <c r="I64" s="938">
        <v>0</v>
      </c>
      <c r="J64" s="1031">
        <v>16</v>
      </c>
      <c r="K64" s="1031">
        <v>12</v>
      </c>
      <c r="L64" s="1031">
        <v>2</v>
      </c>
      <c r="M64" s="1031">
        <v>0</v>
      </c>
    </row>
    <row r="65" spans="1:13" s="58" customFormat="1" x14ac:dyDescent="0.2">
      <c r="A65" s="798"/>
      <c r="B65" s="74" t="str" cm="1">
        <f t="array" ref="B65">IFERROR(INDEX(Tab_min[Mineraldünger],_xlfn.AGGREGATE(15,6,(ROW(Tab_min[Auswahl])-5)/(--(SEARCH("x",Tab_min[Auswahl])&gt;0)),ROW()-5),1),"")</f>
        <v/>
      </c>
      <c r="C65" s="74" t="str">
        <f>IF(Tab_min[[#This Row],[Mineraldünger]]=$D$75,IF($C$3=0,0,"x"),IF($C$3=0,"x",Vorauswahl!AG72))</f>
        <v>x</v>
      </c>
      <c r="D65" s="938" t="s">
        <v>684</v>
      </c>
      <c r="E65" s="938" t="s">
        <v>684</v>
      </c>
      <c r="F65" s="938" t="s">
        <v>221</v>
      </c>
      <c r="G65" s="799">
        <v>1</v>
      </c>
      <c r="H65" s="938">
        <v>0</v>
      </c>
      <c r="I65" s="938">
        <v>0</v>
      </c>
      <c r="J65" s="1031">
        <v>16</v>
      </c>
      <c r="K65" s="1031">
        <v>16</v>
      </c>
      <c r="L65" s="1031">
        <v>2</v>
      </c>
      <c r="M65" s="1031">
        <v>0</v>
      </c>
    </row>
    <row r="66" spans="1:13" x14ac:dyDescent="0.2">
      <c r="A66" s="150"/>
      <c r="B66" s="74" t="str" cm="1">
        <f t="array" ref="B66">IFERROR(INDEX(Tab_min[Mineraldünger],_xlfn.AGGREGATE(15,6,(ROW(Tab_min[Auswahl])-5)/(--(SEARCH("x",Tab_min[Auswahl])&gt;0)),ROW()-5),1),"")</f>
        <v/>
      </c>
      <c r="C66" s="74" t="str">
        <f>IF(Tab_min[[#This Row],[Mineraldünger]]=$D$75,IF($C$3=0,0,"x"),IF($C$3=0,"x",Vorauswahl!AG73))</f>
        <v>x</v>
      </c>
      <c r="D66" s="938" t="s">
        <v>1858</v>
      </c>
      <c r="E66" s="938" t="s">
        <v>1858</v>
      </c>
      <c r="F66" s="938" t="s">
        <v>1855</v>
      </c>
      <c r="G66" s="257">
        <v>1</v>
      </c>
      <c r="H66" s="1031">
        <v>0.8</v>
      </c>
      <c r="I66" s="938">
        <v>0</v>
      </c>
      <c r="J66" s="938">
        <v>0</v>
      </c>
      <c r="K66" s="938">
        <v>0</v>
      </c>
      <c r="L66" s="938">
        <v>0</v>
      </c>
      <c r="M66" s="1031">
        <v>37</v>
      </c>
    </row>
    <row r="67" spans="1:13" x14ac:dyDescent="0.2">
      <c r="A67" s="150"/>
      <c r="B67" s="74" t="str" cm="1">
        <f t="array" ref="B67">IFERROR(INDEX(Tab_min[Mineraldünger],_xlfn.AGGREGATE(15,6,(ROW(Tab_min[Auswahl])-5)/(--(SEARCH("x",Tab_min[Auswahl])&gt;0)),ROW()-5),1),"")</f>
        <v/>
      </c>
      <c r="C67" s="74" t="str">
        <f>IF(Tab_min[[#This Row],[Mineraldünger]]=$D$75,IF($C$3=0,0,"x"),IF($C$3=0,"x",Vorauswahl!AG74))</f>
        <v>x</v>
      </c>
      <c r="D67" s="938" t="s">
        <v>685</v>
      </c>
      <c r="E67" s="938" t="s">
        <v>685</v>
      </c>
      <c r="F67" s="938" t="s">
        <v>222</v>
      </c>
      <c r="G67" s="257">
        <v>1</v>
      </c>
      <c r="H67" s="938">
        <v>0</v>
      </c>
      <c r="I67" s="938">
        <v>0</v>
      </c>
      <c r="J67" s="1031">
        <v>45</v>
      </c>
      <c r="K67" s="938">
        <v>0</v>
      </c>
      <c r="L67" s="938">
        <v>0</v>
      </c>
      <c r="M67" s="1031">
        <v>-3</v>
      </c>
    </row>
    <row r="68" spans="1:13" x14ac:dyDescent="0.2">
      <c r="A68" s="150"/>
      <c r="B68" s="74" t="str" cm="1">
        <f t="array" ref="B68">IFERROR(INDEX(Tab_min[Mineraldünger],_xlfn.AGGREGATE(15,6,(ROW(Tab_min[Auswahl])-5)/(--(SEARCH("x",Tab_min[Auswahl])&gt;0)),ROW()-5),1),"")</f>
        <v/>
      </c>
      <c r="C68" s="74" t="str">
        <f>IF(Tab_min[[#This Row],[Mineraldünger]]=$D$75,IF($C$3=0,0,"x"),IF($C$3=0,"x",Vorauswahl!AG75))</f>
        <v>x</v>
      </c>
      <c r="D68" s="938" t="s">
        <v>686</v>
      </c>
      <c r="E68" s="938" t="s">
        <v>686</v>
      </c>
      <c r="F68" s="938" t="s">
        <v>223</v>
      </c>
      <c r="G68" s="257">
        <v>1</v>
      </c>
      <c r="H68" s="938">
        <v>0</v>
      </c>
      <c r="I68" s="938">
        <v>0</v>
      </c>
      <c r="J68" s="1031">
        <v>26</v>
      </c>
      <c r="K68" s="938">
        <v>0</v>
      </c>
      <c r="L68" s="938">
        <v>0</v>
      </c>
      <c r="M68" s="1031">
        <v>31</v>
      </c>
    </row>
    <row r="69" spans="1:13" x14ac:dyDescent="0.2">
      <c r="A69" s="150"/>
      <c r="B69" s="74" t="str" cm="1">
        <f t="array" ref="B69">IFERROR(INDEX(Tab_min[Mineraldünger],_xlfn.AGGREGATE(15,6,(ROW(Tab_min[Auswahl])-5)/(--(SEARCH("x",Tab_min[Auswahl])&gt;0)),ROW()-5),1),"")</f>
        <v/>
      </c>
      <c r="C69" s="74" t="str">
        <f>IF(Tab_min[[#This Row],[Mineraldünger]]=$D$75,IF($C$3=0,0,"x"),IF($C$3=0,"x",Vorauswahl!AG76))</f>
        <v>x</v>
      </c>
      <c r="D69" s="938" t="s">
        <v>687</v>
      </c>
      <c r="E69" s="938" t="s">
        <v>687</v>
      </c>
      <c r="F69" s="938" t="s">
        <v>327</v>
      </c>
      <c r="G69" s="257">
        <v>1</v>
      </c>
      <c r="H69" s="1031">
        <v>27</v>
      </c>
      <c r="I69" s="1031">
        <v>13.5</v>
      </c>
      <c r="J69" s="938">
        <v>0</v>
      </c>
      <c r="K69" s="938">
        <v>0</v>
      </c>
      <c r="L69" s="1031">
        <v>4</v>
      </c>
      <c r="M69" s="1031">
        <v>-14</v>
      </c>
    </row>
    <row r="70" spans="1:13" x14ac:dyDescent="0.2">
      <c r="A70" s="150"/>
      <c r="B70" s="74" t="str" cm="1">
        <f t="array" ref="B70">IFERROR(INDEX(Tab_min[Mineraldünger],_xlfn.AGGREGATE(15,6,(ROW(Tab_min[Auswahl])-5)/(--(SEARCH("x",Tab_min[Auswahl])&gt;0)),ROW()-5),1),"")</f>
        <v/>
      </c>
      <c r="C70" s="74" t="str">
        <f>IF(Tab_min[[#This Row],[Mineraldünger]]=$D$75,IF($C$3=0,0,"x"),IF($C$3=0,"x",Vorauswahl!AG77))</f>
        <v>x</v>
      </c>
      <c r="D70" s="938" t="s">
        <v>688</v>
      </c>
      <c r="E70" s="938" t="s">
        <v>688</v>
      </c>
      <c r="F70" s="938" t="s">
        <v>224</v>
      </c>
      <c r="G70" s="257">
        <v>1</v>
      </c>
      <c r="H70" s="1031">
        <v>24</v>
      </c>
      <c r="I70" s="1031">
        <v>12</v>
      </c>
      <c r="J70" s="938">
        <v>0</v>
      </c>
      <c r="K70" s="938">
        <v>0</v>
      </c>
      <c r="L70" s="938">
        <v>0</v>
      </c>
      <c r="M70" s="1031">
        <v>-21</v>
      </c>
    </row>
    <row r="71" spans="1:13" x14ac:dyDescent="0.2">
      <c r="A71" s="150"/>
      <c r="B71" s="74" t="str" cm="1">
        <f t="array" ref="B71">IFERROR(INDEX(Tab_min[Mineraldünger],_xlfn.AGGREGATE(15,6,(ROW(Tab_min[Auswahl])-5)/(--(SEARCH("x",Tab_min[Auswahl])&gt;0)),ROW()-5),1),"")</f>
        <v/>
      </c>
      <c r="C71" s="74" t="str">
        <f>IF(Tab_min[[#This Row],[Mineraldünger]]=$D$75,IF($C$3=0,0,"x"),IF($C$3=0,"x",Vorauswahl!AG78))</f>
        <v>x</v>
      </c>
      <c r="D71" s="938" t="s">
        <v>689</v>
      </c>
      <c r="E71" s="938" t="s">
        <v>689</v>
      </c>
      <c r="F71" s="938" t="s">
        <v>1856</v>
      </c>
      <c r="G71" s="257">
        <v>1</v>
      </c>
      <c r="H71" s="1031">
        <v>24</v>
      </c>
      <c r="I71" s="1031">
        <v>12</v>
      </c>
      <c r="J71" s="938">
        <v>0</v>
      </c>
      <c r="K71" s="938">
        <v>0</v>
      </c>
      <c r="L71" s="938">
        <v>0</v>
      </c>
      <c r="M71" s="1031">
        <v>-29</v>
      </c>
    </row>
    <row r="72" spans="1:13" x14ac:dyDescent="0.2">
      <c r="A72" s="150"/>
      <c r="B72" s="74" t="str" cm="1">
        <f t="array" ref="B72">IFERROR(INDEX(Tab_min[Mineraldünger],_xlfn.AGGREGATE(15,6,(ROW(Tab_min[Auswahl])-5)/(--(SEARCH("x",Tab_min[Auswahl])&gt;0)),ROW()-5),1),"")</f>
        <v/>
      </c>
      <c r="C72" s="74" t="str">
        <f>IF(Tab_min[[#This Row],[Mineraldünger]]=$D$75,IF($C$3=0,0,"x"),IF($C$3=0,"x",Vorauswahl!AG79))</f>
        <v>x</v>
      </c>
      <c r="D72" s="938" t="s">
        <v>690</v>
      </c>
      <c r="E72" s="938" t="s">
        <v>690</v>
      </c>
      <c r="F72" s="938" t="s">
        <v>328</v>
      </c>
      <c r="G72" s="257">
        <v>1</v>
      </c>
      <c r="H72" s="1031">
        <v>21</v>
      </c>
      <c r="I72" s="1031">
        <v>12</v>
      </c>
      <c r="J72" s="1031">
        <v>6</v>
      </c>
      <c r="K72" s="1031">
        <v>12</v>
      </c>
      <c r="L72" s="938">
        <v>0</v>
      </c>
      <c r="M72" s="1031">
        <v>-20</v>
      </c>
    </row>
    <row r="73" spans="1:13" ht="13.5" thickBot="1" x14ac:dyDescent="0.25">
      <c r="A73" s="155"/>
      <c r="B73" s="74" t="str" cm="1">
        <f t="array" ref="B73">IFERROR(INDEX(Tab_min[Mineraldünger],_xlfn.AGGREGATE(15,6,(ROW(Tab_min[Auswahl])-5)/(--(SEARCH("x",Tab_min[Auswahl])&gt;0)),ROW()-5),1),"")</f>
        <v/>
      </c>
      <c r="C73" s="74" t="str">
        <f>IF(Tab_min[[#This Row],[Mineraldünger]]=$D$75,IF($C$3=0,0,"x"),IF($C$3=0,"x",Vorauswahl!AG80))</f>
        <v>x</v>
      </c>
      <c r="D73" s="938" t="s">
        <v>691</v>
      </c>
      <c r="E73" s="938" t="s">
        <v>691</v>
      </c>
      <c r="F73" s="938" t="s">
        <v>329</v>
      </c>
      <c r="G73" s="291">
        <v>1</v>
      </c>
      <c r="H73" s="1031">
        <v>19</v>
      </c>
      <c r="I73" s="1031">
        <v>12.5</v>
      </c>
      <c r="J73" s="1031">
        <v>17.399999999999999</v>
      </c>
      <c r="K73" s="938">
        <v>0</v>
      </c>
      <c r="L73" s="1031">
        <v>4</v>
      </c>
      <c r="M73" s="1031">
        <v>-31</v>
      </c>
    </row>
    <row r="74" spans="1:13" s="938" customFormat="1" x14ac:dyDescent="0.2">
      <c r="A74" s="518"/>
      <c r="B74" s="74"/>
      <c r="C74" s="74" t="str">
        <f>IF(Tab_min[[#This Row],[Mineraldünger]]=$D$75,IF($C$3=0,0,"x"),IF($C$3=0,"x",Vorauswahl!AG81))</f>
        <v>x</v>
      </c>
      <c r="D74" s="938" t="s">
        <v>692</v>
      </c>
      <c r="E74" s="938" t="s">
        <v>692</v>
      </c>
      <c r="F74" s="938" t="s">
        <v>330</v>
      </c>
      <c r="G74" s="291">
        <v>1</v>
      </c>
      <c r="H74" s="1031">
        <v>16</v>
      </c>
      <c r="I74" s="1031">
        <v>9.8000000000000007</v>
      </c>
      <c r="J74" s="1031">
        <v>8</v>
      </c>
      <c r="K74" s="1031">
        <v>16</v>
      </c>
      <c r="L74" s="1031">
        <v>2</v>
      </c>
      <c r="M74" s="1031">
        <v>-16</v>
      </c>
    </row>
    <row r="75" spans="1:13" x14ac:dyDescent="0.2">
      <c r="B75" s="74" t="str" cm="1">
        <f t="array" ref="B75">IFERROR(INDEX(Tab_min[Mineraldünger],_xlfn.AGGREGATE(15,6,(ROW(Tab_min[Auswahl])-5)/(--(SEARCH("x",Tab_min[Auswahl])&gt;0)),ROW()-5),1),"")</f>
        <v/>
      </c>
      <c r="C75" s="74">
        <f>IF(Tab_min[[#This Row],[Mineraldünger]]=$D$75,IF($C$3=0,0,"x"),IF($C$3=0,"x",Vorauswahl!AG82))</f>
        <v>0</v>
      </c>
      <c r="D75" s="537" t="s">
        <v>1498</v>
      </c>
      <c r="E75" s="538"/>
      <c r="F75" s="938"/>
      <c r="G75" s="539"/>
      <c r="H75" s="795">
        <v>0</v>
      </c>
      <c r="I75" s="796">
        <v>0</v>
      </c>
      <c r="J75" s="775">
        <v>0</v>
      </c>
      <c r="K75" s="797">
        <v>0</v>
      </c>
      <c r="L75" s="796">
        <v>0</v>
      </c>
      <c r="M75" s="774">
        <v>0</v>
      </c>
    </row>
    <row r="76" spans="1:13" ht="13.5" thickBot="1" x14ac:dyDescent="0.25">
      <c r="B76" s="284"/>
      <c r="C76" s="284"/>
      <c r="D76" s="284" t="s">
        <v>60</v>
      </c>
      <c r="E76" s="284" t="s">
        <v>60</v>
      </c>
      <c r="F76" s="284"/>
      <c r="G76" s="285">
        <v>1</v>
      </c>
    </row>
    <row r="77" spans="1:13" x14ac:dyDescent="0.2">
      <c r="B77" s="518"/>
      <c r="C77" s="518"/>
      <c r="D77" s="147" t="s">
        <v>331</v>
      </c>
      <c r="E77" s="276" t="s">
        <v>693</v>
      </c>
      <c r="F77" s="519"/>
      <c r="G77" s="277">
        <v>1</v>
      </c>
      <c r="H77" s="278"/>
      <c r="I77" s="279"/>
      <c r="J77" s="280"/>
      <c r="K77" s="280"/>
      <c r="L77" s="279"/>
      <c r="M77" s="281"/>
    </row>
    <row r="78" spans="1:13" x14ac:dyDescent="0.2">
      <c r="B78" s="518"/>
      <c r="C78" s="518"/>
      <c r="D78" s="150" t="s">
        <v>1679</v>
      </c>
      <c r="E78" s="225" t="s">
        <v>694</v>
      </c>
      <c r="F78" s="518"/>
      <c r="G78" s="257">
        <v>4</v>
      </c>
      <c r="H78" s="278"/>
      <c r="I78" s="279"/>
      <c r="J78" s="280"/>
      <c r="K78" s="280"/>
      <c r="L78" s="279"/>
      <c r="M78" s="281"/>
    </row>
    <row r="79" spans="1:13" x14ac:dyDescent="0.2">
      <c r="B79" s="518"/>
      <c r="C79" s="518"/>
      <c r="D79" s="150" t="s">
        <v>332</v>
      </c>
      <c r="E79" s="225" t="s">
        <v>695</v>
      </c>
      <c r="F79" s="518"/>
      <c r="G79" s="257">
        <v>5</v>
      </c>
      <c r="H79" s="278"/>
      <c r="I79" s="279"/>
      <c r="J79" s="280"/>
      <c r="K79" s="280"/>
      <c r="L79" s="279"/>
      <c r="M79" s="281"/>
    </row>
    <row r="80" spans="1:13" x14ac:dyDescent="0.2">
      <c r="B80" s="518"/>
      <c r="C80" s="518"/>
      <c r="D80" s="150" t="s">
        <v>333</v>
      </c>
      <c r="E80" s="225" t="s">
        <v>696</v>
      </c>
      <c r="F80" s="518"/>
      <c r="G80" s="257">
        <v>6</v>
      </c>
      <c r="H80" s="278"/>
      <c r="I80" s="279"/>
      <c r="J80" s="280"/>
      <c r="K80" s="280"/>
      <c r="L80" s="279"/>
      <c r="M80" s="281"/>
    </row>
    <row r="81" spans="2:13" x14ac:dyDescent="0.2">
      <c r="B81" s="518"/>
      <c r="C81" s="518"/>
      <c r="D81" s="150" t="s">
        <v>698</v>
      </c>
      <c r="E81" s="225" t="s">
        <v>697</v>
      </c>
      <c r="F81" s="518"/>
      <c r="G81" s="257">
        <v>7</v>
      </c>
      <c r="H81" s="278"/>
      <c r="I81" s="279"/>
      <c r="J81" s="280"/>
      <c r="K81" s="280"/>
      <c r="L81" s="279"/>
      <c r="M81" s="281"/>
    </row>
    <row r="82" spans="2:13" x14ac:dyDescent="0.2">
      <c r="B82" s="284"/>
      <c r="C82" s="284"/>
      <c r="D82" s="537" t="s">
        <v>334</v>
      </c>
      <c r="E82" s="538" t="s">
        <v>334</v>
      </c>
      <c r="G82" s="539">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ignoredErrors>
    <ignoredError sqref="F34" calculatedColumn="1"/>
  </ignoredErrors>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F8F896"/>
  </sheetPr>
  <dimension ref="B1:CA392"/>
  <sheetViews>
    <sheetView showGridLines="0" workbookViewId="0">
      <selection activeCell="C20" sqref="C20"/>
    </sheetView>
  </sheetViews>
  <sheetFormatPr baseColWidth="10" defaultColWidth="11.42578125" defaultRowHeight="12.75" x14ac:dyDescent="0.2"/>
  <cols>
    <col min="1" max="1" width="1" style="300" customWidth="1"/>
    <col min="2" max="2" width="4.140625" style="300" customWidth="1"/>
    <col min="3" max="3" width="8.5703125" style="820" customWidth="1"/>
    <col min="4" max="4" width="26" style="300" customWidth="1"/>
    <col min="5" max="5" width="8.7109375" style="300" customWidth="1"/>
    <col min="6" max="6" width="11.140625" style="300" customWidth="1"/>
    <col min="7" max="7" width="8.42578125" style="300" customWidth="1"/>
    <col min="8" max="9" width="10" style="300" customWidth="1"/>
    <col min="10" max="10" width="8.28515625" style="300" customWidth="1"/>
    <col min="11" max="12" width="9.28515625" style="300" customWidth="1"/>
    <col min="13" max="13" width="11.7109375" style="300" customWidth="1"/>
    <col min="14" max="14" width="11.28515625" style="300" customWidth="1"/>
    <col min="15" max="15" width="1.140625" style="300" customWidth="1"/>
    <col min="16" max="16" width="14.85546875" style="300" customWidth="1"/>
    <col min="17" max="17" width="0.85546875" style="300" customWidth="1"/>
    <col min="18" max="18" width="4.140625" style="300" customWidth="1"/>
    <col min="19" max="19" width="8.5703125" style="300" customWidth="1"/>
    <col min="20" max="20" width="46.140625" style="300" customWidth="1"/>
    <col min="21" max="21" width="20.5703125" style="300" customWidth="1"/>
    <col min="22" max="22" width="16.7109375" style="300" customWidth="1"/>
    <col min="23" max="27" width="6.42578125" style="300" customWidth="1"/>
    <col min="28" max="28" width="10.5703125" style="300" customWidth="1"/>
    <col min="29" max="29" width="1.28515625" style="300" customWidth="1"/>
    <col min="30" max="30" width="7.42578125" style="300" customWidth="1"/>
    <col min="31" max="31" width="1.85546875" style="300" customWidth="1"/>
    <col min="32" max="32" width="4.140625" style="300" customWidth="1"/>
    <col min="33" max="33" width="8.5703125" style="300" customWidth="1"/>
    <col min="34" max="34" width="43" style="300" customWidth="1"/>
    <col min="35" max="35" width="20.28515625" style="300" customWidth="1"/>
    <col min="36" max="38" width="11.42578125" style="300"/>
    <col min="39" max="39" width="1.28515625" style="300" customWidth="1"/>
    <col min="40" max="41" width="11.42578125" style="300"/>
    <col min="42" max="42" width="1.140625" style="300" customWidth="1"/>
    <col min="43" max="43" width="4.140625" style="300" customWidth="1"/>
    <col min="44" max="44" width="8.5703125" style="300" customWidth="1"/>
    <col min="45" max="45" width="29.7109375" style="300" customWidth="1"/>
    <col min="46" max="46" width="9.5703125" style="300" customWidth="1"/>
    <col min="47" max="47" width="11.42578125" style="300"/>
    <col min="48" max="48" width="10" style="300" customWidth="1"/>
    <col min="49" max="49" width="11.42578125" style="300"/>
    <col min="50" max="50" width="10" style="300" customWidth="1"/>
    <col min="51" max="51" width="9.5703125" style="300" customWidth="1"/>
    <col min="52" max="52" width="9.42578125" style="300" customWidth="1"/>
    <col min="53" max="54" width="11.42578125" style="300"/>
    <col min="55" max="55" width="1" style="300" customWidth="1"/>
    <col min="56" max="57" width="11.42578125" style="300" customWidth="1"/>
    <col min="58" max="59" width="11.42578125" style="300" hidden="1" customWidth="1"/>
    <col min="60" max="60" width="11" style="361" hidden="1" customWidth="1"/>
    <col min="61" max="61" width="14.42578125" style="300" hidden="1" customWidth="1"/>
    <col min="62" max="72" width="11.42578125" style="300" hidden="1" customWidth="1"/>
    <col min="73" max="73" width="11.42578125" style="300" customWidth="1"/>
    <col min="74" max="16384" width="11.42578125" style="300"/>
  </cols>
  <sheetData>
    <row r="1" spans="2:79" ht="21.75" customHeight="1" x14ac:dyDescent="0.2">
      <c r="B1" s="1577" t="s">
        <v>1516</v>
      </c>
      <c r="C1" s="1577"/>
      <c r="D1" s="1577"/>
      <c r="E1" s="1577"/>
      <c r="F1" s="1577"/>
      <c r="G1" s="1577"/>
      <c r="H1" s="1577"/>
      <c r="I1" s="1577"/>
      <c r="J1" s="1577"/>
      <c r="K1" s="1577"/>
      <c r="L1" s="1577"/>
      <c r="M1" s="1577"/>
      <c r="N1" s="480"/>
      <c r="O1" s="480"/>
      <c r="P1" s="1041"/>
      <c r="Q1" s="1041"/>
      <c r="R1" s="1041"/>
      <c r="S1" s="1041"/>
      <c r="T1" s="1041"/>
      <c r="U1" s="1041"/>
      <c r="V1" s="1041"/>
      <c r="W1" s="1041"/>
      <c r="X1" s="1041"/>
      <c r="Y1" s="1041"/>
      <c r="Z1" s="1041"/>
      <c r="AA1" s="1041"/>
      <c r="AB1" s="1041"/>
      <c r="AD1" s="1041"/>
      <c r="AE1" s="1041"/>
      <c r="AF1" s="1041"/>
      <c r="AG1" s="1041"/>
      <c r="AH1" s="1041"/>
      <c r="AI1" s="1041"/>
      <c r="AJ1" s="1041"/>
      <c r="AK1" s="1041"/>
      <c r="AL1" s="1041"/>
      <c r="AO1" s="1041"/>
      <c r="AP1" s="1041"/>
      <c r="AQ1" s="1041"/>
      <c r="AR1" s="1041"/>
      <c r="AS1" s="1041"/>
      <c r="AT1" s="1041"/>
      <c r="AU1" s="1041"/>
      <c r="AV1" s="1041"/>
      <c r="AW1" s="1041"/>
      <c r="AX1" s="1041"/>
      <c r="AY1" s="1041"/>
      <c r="AZ1" s="1041"/>
      <c r="BA1" s="1041"/>
      <c r="BB1" s="1041"/>
      <c r="BG1" s="300" t="s">
        <v>67</v>
      </c>
      <c r="BH1" s="361" t="s">
        <v>1685</v>
      </c>
      <c r="BI1" s="300" t="s">
        <v>172</v>
      </c>
      <c r="BJ1" s="300" t="s">
        <v>1686</v>
      </c>
      <c r="BX1" s="417"/>
      <c r="BY1" s="417"/>
      <c r="BZ1" s="417"/>
      <c r="CA1" s="417"/>
    </row>
    <row r="2" spans="2:79" x14ac:dyDescent="0.2">
      <c r="B2" s="1578" t="s">
        <v>1678</v>
      </c>
      <c r="C2" s="1578"/>
      <c r="D2" s="1578"/>
      <c r="E2" s="1578"/>
      <c r="F2" s="1578"/>
      <c r="G2" s="1578"/>
      <c r="H2" s="1578"/>
      <c r="I2" s="1578"/>
      <c r="J2" s="1578"/>
      <c r="K2" s="1578"/>
      <c r="L2" s="1578"/>
      <c r="M2" s="1578"/>
      <c r="N2" s="481"/>
      <c r="O2" s="481"/>
      <c r="P2" s="1041"/>
      <c r="Q2" s="1041"/>
      <c r="R2" s="1041"/>
      <c r="S2" s="1041"/>
      <c r="T2" s="1041"/>
      <c r="U2" s="1041"/>
      <c r="V2" s="1041"/>
      <c r="W2" s="1041"/>
      <c r="X2" s="1041"/>
      <c r="Y2" s="1041"/>
      <c r="Z2" s="1041"/>
      <c r="AA2" s="1041"/>
      <c r="AB2" s="1041"/>
      <c r="AD2" s="1041"/>
      <c r="AE2" s="1041"/>
      <c r="AF2" s="1041"/>
      <c r="AG2" s="1041"/>
      <c r="AH2" s="1041"/>
      <c r="AI2" s="1041"/>
      <c r="AJ2" s="1041"/>
      <c r="AK2" s="1041"/>
      <c r="AL2" s="1041"/>
      <c r="AO2" s="1041"/>
      <c r="AP2" s="1041"/>
      <c r="AQ2" s="1041"/>
      <c r="AR2" s="1041"/>
      <c r="AS2" s="1041"/>
      <c r="AT2" s="1041"/>
      <c r="AU2" s="1041"/>
      <c r="AV2" s="1041"/>
      <c r="AW2" s="1041"/>
      <c r="AX2" s="1041"/>
      <c r="AY2" s="1041"/>
      <c r="AZ2" s="1041"/>
      <c r="BA2" s="1041"/>
      <c r="BB2" s="1041"/>
      <c r="BG2" s="300" t="str">
        <f>IF(COUNTIF(C378:C387,"x")&gt;0.1,$BG$3,"")</f>
        <v/>
      </c>
      <c r="BH2" s="361" t="str">
        <f>IF(COUNTIF(S15:S24,"x")&gt;0.1,$BH$3,"")</f>
        <v/>
      </c>
      <c r="BI2" s="300" t="str">
        <f>IF(COUNTIF(AG15:AG24,"x")&gt;0.1,$BI$3,"")</f>
        <v/>
      </c>
      <c r="BJ2" s="300" t="str">
        <f>IF(COUNTIF(AR32:AR37,"x")&gt;0.1,$BJ$3,"")</f>
        <v/>
      </c>
      <c r="BK2" s="300">
        <f>SUM(BG2:BJ2)</f>
        <v>0</v>
      </c>
    </row>
    <row r="3" spans="2:79" x14ac:dyDescent="0.2">
      <c r="B3" s="1041"/>
      <c r="C3" s="1042"/>
      <c r="D3" s="1043" t="s">
        <v>1056</v>
      </c>
      <c r="E3" s="1044" t="str">
        <f>IF(Betrieb!C8="","Bitte in ''Betrieb'' eintragen",CONCATENATE(Betrieb!B8,Betrieb!C8))</f>
        <v>Bitte in ''Betrieb'' eintragen</v>
      </c>
      <c r="F3" s="1041"/>
      <c r="G3" s="1041"/>
      <c r="H3" s="1041"/>
      <c r="I3" s="1041"/>
      <c r="J3" s="1041"/>
      <c r="K3" s="1041"/>
      <c r="L3" s="1041"/>
      <c r="M3" s="1041"/>
      <c r="P3" s="1041"/>
      <c r="Q3" s="1041"/>
      <c r="R3" s="1041"/>
      <c r="S3" s="1041"/>
      <c r="T3" s="1041"/>
      <c r="U3" s="1041"/>
      <c r="V3" s="1041"/>
      <c r="W3" s="1041"/>
      <c r="X3" s="1041"/>
      <c r="Y3" s="1041"/>
      <c r="Z3" s="1041"/>
      <c r="AA3" s="1041"/>
      <c r="AB3" s="1041"/>
      <c r="AD3" s="1041"/>
      <c r="AE3" s="1041"/>
      <c r="AF3" s="1041"/>
      <c r="AG3" s="1041"/>
      <c r="AH3" s="1041"/>
      <c r="AI3" s="1041"/>
      <c r="AJ3" s="1041"/>
      <c r="AK3" s="1041"/>
      <c r="AL3" s="1041"/>
      <c r="AO3" s="1041"/>
      <c r="AP3" s="1041"/>
      <c r="AQ3" s="1041"/>
      <c r="AR3" s="1041"/>
      <c r="AS3" s="1041"/>
      <c r="AT3" s="1041"/>
      <c r="AU3" s="1041"/>
      <c r="AV3" s="1041"/>
      <c r="AW3" s="1041"/>
      <c r="AX3" s="1041"/>
      <c r="AY3" s="1041"/>
      <c r="AZ3" s="1041"/>
      <c r="BA3" s="1041"/>
      <c r="BB3" s="1041"/>
      <c r="BF3" s="361" t="s">
        <v>715</v>
      </c>
      <c r="BG3" s="300">
        <v>1</v>
      </c>
      <c r="BH3" s="361">
        <v>3</v>
      </c>
      <c r="BI3" s="300">
        <v>5</v>
      </c>
      <c r="BJ3" s="300">
        <v>10</v>
      </c>
      <c r="BK3" s="416"/>
      <c r="BL3" s="416"/>
    </row>
    <row r="4" spans="2:79" x14ac:dyDescent="0.2">
      <c r="B4" s="1041"/>
      <c r="C4" s="1041"/>
      <c r="D4" s="1043" t="s">
        <v>64</v>
      </c>
      <c r="E4" s="1044" t="str">
        <f>IF(Betrieb!B9="","Bitte in ''Betrieb'' eintragen",Betrieb!B9)</f>
        <v>Bitte in ''Betrieb'' eintragen</v>
      </c>
      <c r="F4" s="1041"/>
      <c r="G4" s="1041"/>
      <c r="H4" s="1041"/>
      <c r="I4" s="1041"/>
      <c r="J4" s="1041"/>
      <c r="K4" s="1041"/>
      <c r="L4" s="1041"/>
      <c r="M4" s="1041"/>
      <c r="P4" s="1041"/>
      <c r="Q4" s="1041"/>
      <c r="R4" s="1041"/>
      <c r="S4" s="1041"/>
      <c r="T4" s="1041"/>
      <c r="U4" s="1041"/>
      <c r="V4" s="1041"/>
      <c r="W4" s="1041"/>
      <c r="X4" s="1041"/>
      <c r="Y4" s="1041"/>
      <c r="Z4" s="1041"/>
      <c r="AA4" s="1041"/>
      <c r="AB4" s="1041"/>
      <c r="AD4" s="1041"/>
      <c r="AE4" s="1041"/>
      <c r="AF4" s="1041"/>
      <c r="AG4" s="1041"/>
      <c r="AH4" s="1041"/>
      <c r="AI4" s="1041"/>
      <c r="AJ4" s="1041"/>
      <c r="AK4" s="1041"/>
      <c r="AL4" s="1041"/>
      <c r="AO4" s="1041"/>
      <c r="AP4" s="1041"/>
      <c r="AQ4" s="1041"/>
      <c r="AR4" s="1041"/>
      <c r="AS4" s="1041"/>
      <c r="AT4" s="1041"/>
      <c r="AU4" s="1041"/>
      <c r="AV4" s="1041"/>
      <c r="AW4" s="1041"/>
      <c r="AX4" s="1041"/>
      <c r="AY4" s="1041"/>
      <c r="AZ4" s="1041"/>
      <c r="BA4" s="1041"/>
      <c r="BB4" s="1041"/>
      <c r="BF4" s="361"/>
      <c r="BG4" s="361" t="s">
        <v>2430</v>
      </c>
      <c r="BH4" s="410" t="s">
        <v>1687</v>
      </c>
      <c r="BI4" s="300" t="s">
        <v>1684</v>
      </c>
      <c r="BJ4" s="361" t="s">
        <v>1883</v>
      </c>
      <c r="BK4" s="412"/>
      <c r="BL4" s="143"/>
    </row>
    <row r="5" spans="2:79" x14ac:dyDescent="0.2">
      <c r="B5" s="1041"/>
      <c r="C5" s="1042"/>
      <c r="D5" s="1043" t="s">
        <v>1050</v>
      </c>
      <c r="E5" s="1581">
        <f ca="1">TODAY()</f>
        <v>44551</v>
      </c>
      <c r="F5" s="1581"/>
      <c r="G5" s="1041"/>
      <c r="H5" s="1041"/>
      <c r="I5" s="1041"/>
      <c r="J5" s="1041"/>
      <c r="K5" s="1041"/>
      <c r="L5" s="1041"/>
      <c r="M5" s="1041"/>
      <c r="P5" s="1041"/>
      <c r="Q5" s="1041"/>
      <c r="R5" s="1041"/>
      <c r="S5" s="1041"/>
      <c r="T5" s="1041"/>
      <c r="U5" s="1041"/>
      <c r="V5" s="1041"/>
      <c r="W5" s="1041"/>
      <c r="X5" s="1041"/>
      <c r="Y5" s="1041"/>
      <c r="Z5" s="1041"/>
      <c r="AA5" s="1041"/>
      <c r="AB5" s="1041"/>
      <c r="AD5" s="1041"/>
      <c r="AE5" s="1041"/>
      <c r="AF5" s="1041"/>
      <c r="AG5" s="1041"/>
      <c r="AH5" s="1041"/>
      <c r="AI5" s="1041"/>
      <c r="AJ5" s="1041"/>
      <c r="AK5" s="1041"/>
      <c r="AL5" s="1041"/>
      <c r="AO5" s="1041"/>
      <c r="AP5" s="1041"/>
      <c r="AQ5" s="1041"/>
      <c r="AR5" s="1041"/>
      <c r="AS5" s="1041"/>
      <c r="AT5" s="1041"/>
      <c r="AU5" s="1041"/>
      <c r="AV5" s="1041"/>
      <c r="AW5" s="1041"/>
      <c r="AX5" s="1041"/>
      <c r="AY5" s="1041"/>
      <c r="AZ5" s="1041"/>
      <c r="BA5" s="1041"/>
      <c r="BB5" s="1041"/>
      <c r="BF5" s="361"/>
    </row>
    <row r="6" spans="2:79" ht="8.25" customHeight="1" x14ac:dyDescent="0.2">
      <c r="B6" s="1041"/>
      <c r="C6" s="1042"/>
      <c r="D6" s="1043"/>
      <c r="E6" s="1045"/>
      <c r="F6" s="1045"/>
      <c r="G6" s="1041"/>
      <c r="H6" s="1041"/>
      <c r="I6" s="1041"/>
      <c r="J6" s="1041"/>
      <c r="K6" s="1041"/>
      <c r="L6" s="1041"/>
      <c r="M6" s="1041"/>
      <c r="P6" s="1041"/>
      <c r="Q6" s="1041"/>
      <c r="R6" s="1041"/>
      <c r="S6" s="1041"/>
      <c r="T6" s="1041"/>
      <c r="U6" s="1041"/>
      <c r="V6" s="1041"/>
      <c r="W6" s="1041"/>
      <c r="X6" s="1041"/>
      <c r="Y6" s="1041"/>
      <c r="Z6" s="1041"/>
      <c r="AA6" s="1041"/>
      <c r="AB6" s="1041"/>
      <c r="AD6" s="1041"/>
      <c r="AE6" s="1041"/>
      <c r="AF6" s="1041"/>
      <c r="AG6" s="1041"/>
      <c r="AH6" s="1041"/>
      <c r="AI6" s="1041"/>
      <c r="AJ6" s="1041"/>
      <c r="AK6" s="1041"/>
      <c r="AL6" s="1041"/>
      <c r="AO6" s="1041"/>
      <c r="AP6" s="1041"/>
      <c r="AQ6" s="1041"/>
      <c r="AR6" s="1041"/>
      <c r="AS6" s="1041"/>
      <c r="AT6" s="1041"/>
      <c r="AU6" s="1041"/>
      <c r="AV6" s="1041"/>
      <c r="AW6" s="1041"/>
      <c r="AX6" s="1041"/>
      <c r="AY6" s="1041"/>
      <c r="AZ6" s="1041"/>
      <c r="BA6" s="1041"/>
      <c r="BB6" s="1041"/>
      <c r="BF6" s="361"/>
    </row>
    <row r="7" spans="2:79" ht="15" x14ac:dyDescent="0.25">
      <c r="B7" s="1046"/>
      <c r="C7" s="1047"/>
      <c r="D7" s="1046"/>
      <c r="E7" s="1046"/>
      <c r="F7" s="1046"/>
      <c r="G7" s="1046"/>
      <c r="H7" s="1047" t="s">
        <v>1497</v>
      </c>
      <c r="I7" s="1046"/>
      <c r="J7" s="1046"/>
      <c r="K7" s="1046"/>
      <c r="L7" s="1046"/>
      <c r="M7" s="1046"/>
      <c r="N7" s="590"/>
      <c r="O7" s="935"/>
      <c r="P7" s="1041"/>
      <c r="Q7" s="1041"/>
      <c r="R7" s="1541" t="s">
        <v>1178</v>
      </c>
      <c r="S7" s="1541"/>
      <c r="T7" s="1541"/>
      <c r="U7" s="1541"/>
      <c r="V7" s="1541"/>
      <c r="W7" s="1541"/>
      <c r="X7" s="1541"/>
      <c r="Y7" s="1541"/>
      <c r="Z7" s="1541"/>
      <c r="AA7" s="1541"/>
      <c r="AB7" s="1541"/>
      <c r="AC7" s="969"/>
      <c r="AD7" s="1041"/>
      <c r="AE7" s="1041"/>
      <c r="AF7" s="1541" t="s">
        <v>1177</v>
      </c>
      <c r="AG7" s="1541"/>
      <c r="AH7" s="1541"/>
      <c r="AI7" s="1541"/>
      <c r="AJ7" s="1541"/>
      <c r="AK7" s="1541"/>
      <c r="AL7" s="1541"/>
      <c r="AM7" s="935"/>
      <c r="AN7" s="935"/>
      <c r="AO7" s="1062"/>
      <c r="AP7" s="1041"/>
      <c r="AQ7" s="1541" t="s">
        <v>1181</v>
      </c>
      <c r="AR7" s="1541"/>
      <c r="AS7" s="1541"/>
      <c r="AT7" s="1541"/>
      <c r="AU7" s="1541"/>
      <c r="AV7" s="1541"/>
      <c r="AW7" s="1541"/>
      <c r="AX7" s="1541"/>
      <c r="AY7" s="1541"/>
      <c r="AZ7" s="1541"/>
      <c r="BA7" s="1541"/>
      <c r="BB7" s="1541"/>
      <c r="BF7" s="300" t="s">
        <v>1216</v>
      </c>
      <c r="BG7" s="361" t="s">
        <v>2454</v>
      </c>
    </row>
    <row r="8" spans="2:79" ht="8.25" customHeight="1" x14ac:dyDescent="0.25">
      <c r="B8" s="1041"/>
      <c r="C8" s="1042"/>
      <c r="D8" s="1043"/>
      <c r="E8" s="1045"/>
      <c r="F8" s="1045"/>
      <c r="G8" s="1041"/>
      <c r="H8" s="1041"/>
      <c r="I8" s="1041"/>
      <c r="J8" s="1041"/>
      <c r="K8" s="1041"/>
      <c r="L8" s="1041"/>
      <c r="M8" s="1041"/>
      <c r="P8" s="1041"/>
      <c r="Q8" s="1041"/>
      <c r="R8" s="1041"/>
      <c r="S8" s="1041"/>
      <c r="T8" s="1041"/>
      <c r="U8" s="1041"/>
      <c r="V8" s="1041"/>
      <c r="W8" s="1041"/>
      <c r="X8" s="1041"/>
      <c r="Y8" s="1041"/>
      <c r="Z8" s="1041"/>
      <c r="AA8" s="1041"/>
      <c r="AB8" s="1041"/>
      <c r="AD8" s="1041"/>
      <c r="AE8" s="1041"/>
      <c r="AF8" s="1041"/>
      <c r="AG8" s="1041"/>
      <c r="AH8" s="1041"/>
      <c r="AI8" s="1108"/>
      <c r="AJ8" s="1108"/>
      <c r="AK8" s="1108"/>
      <c r="AL8" s="1108"/>
      <c r="AM8" s="422"/>
      <c r="AN8" s="422"/>
      <c r="AO8" s="1057"/>
      <c r="AP8" s="1041"/>
      <c r="AQ8" s="1115"/>
      <c r="AR8" s="1115"/>
      <c r="AS8" s="1041"/>
      <c r="AT8" s="1041"/>
      <c r="AU8" s="1041"/>
      <c r="AV8" s="1041"/>
      <c r="AW8" s="1041"/>
      <c r="AX8" s="1041"/>
      <c r="AY8" s="1041"/>
      <c r="AZ8" s="1041"/>
      <c r="BA8" s="1041"/>
      <c r="BB8" s="1041"/>
    </row>
    <row r="9" spans="2:79" ht="28.15" customHeight="1" x14ac:dyDescent="0.2">
      <c r="B9" s="1041"/>
      <c r="C9" s="1042"/>
      <c r="D9" s="1043"/>
      <c r="E9" s="1045"/>
      <c r="F9" s="1045"/>
      <c r="G9" s="1041"/>
      <c r="H9" s="1041"/>
      <c r="I9" s="1041"/>
      <c r="J9" s="1041"/>
      <c r="K9" s="1041"/>
      <c r="L9" s="1041"/>
      <c r="M9" s="1041"/>
      <c r="P9" s="1041"/>
      <c r="Q9" s="1041"/>
      <c r="R9" s="1556" t="s">
        <v>1527</v>
      </c>
      <c r="S9" s="1556"/>
      <c r="T9" s="1556"/>
      <c r="U9" s="1556"/>
      <c r="V9" s="1556"/>
      <c r="W9" s="1556"/>
      <c r="X9" s="1556"/>
      <c r="Y9" s="1556"/>
      <c r="Z9" s="1556"/>
      <c r="AA9" s="1556"/>
      <c r="AB9" s="1556"/>
      <c r="AC9" s="970"/>
      <c r="AD9" s="1041"/>
      <c r="AE9" s="1041"/>
      <c r="AF9" s="1109" t="s">
        <v>1609</v>
      </c>
      <c r="AG9" s="1041"/>
      <c r="AH9" s="1041"/>
      <c r="AI9" s="1041"/>
      <c r="AJ9" s="1041"/>
      <c r="AK9" s="1110"/>
      <c r="AL9" s="1041"/>
      <c r="AO9" s="1041"/>
      <c r="AP9" s="1041"/>
      <c r="AQ9" s="1041"/>
      <c r="AR9" s="1041"/>
      <c r="AS9" s="1041"/>
      <c r="AT9" s="1041"/>
      <c r="AU9" s="1041"/>
      <c r="AV9" s="1041"/>
      <c r="AW9" s="1041"/>
      <c r="AX9" s="1041"/>
      <c r="AY9" s="1041"/>
      <c r="AZ9" s="1041"/>
      <c r="BA9" s="1041"/>
      <c r="BB9" s="1041"/>
      <c r="BF9" s="417" t="s">
        <v>351</v>
      </c>
      <c r="BG9" s="300" t="b">
        <v>1</v>
      </c>
      <c r="BH9" s="361" t="b">
        <v>0</v>
      </c>
    </row>
    <row r="10" spans="2:79" ht="14.25" customHeight="1" x14ac:dyDescent="0.25">
      <c r="B10" s="1041"/>
      <c r="C10" s="1042"/>
      <c r="D10" s="1043"/>
      <c r="E10" s="1045"/>
      <c r="F10" s="1045"/>
      <c r="G10" s="1041"/>
      <c r="H10" s="1041"/>
      <c r="I10" s="1041"/>
      <c r="J10" s="1041"/>
      <c r="K10" s="1041"/>
      <c r="L10" s="1041"/>
      <c r="M10" s="1041"/>
      <c r="P10" s="1041"/>
      <c r="Q10" s="1041"/>
      <c r="R10" s="1041"/>
      <c r="S10" s="1041"/>
      <c r="T10" s="1041"/>
      <c r="U10" s="1041"/>
      <c r="V10" s="1041"/>
      <c r="W10" s="1041"/>
      <c r="X10" s="1041"/>
      <c r="Y10" s="1087"/>
      <c r="Z10" s="1041"/>
      <c r="AA10" s="1041"/>
      <c r="AB10" s="1041"/>
      <c r="AD10" s="1041"/>
      <c r="AE10" s="1041"/>
      <c r="AF10" s="1041"/>
      <c r="AG10" s="1041"/>
      <c r="AH10" s="1041"/>
      <c r="AI10" s="1041"/>
      <c r="AJ10" s="1041"/>
      <c r="AK10" s="1041"/>
      <c r="AL10" s="1041"/>
      <c r="AO10" s="1041"/>
      <c r="AP10" s="1041"/>
      <c r="AQ10" s="1041"/>
      <c r="AR10" s="1544" t="s">
        <v>1254</v>
      </c>
      <c r="AS10" s="1116"/>
      <c r="AT10" s="1064" t="s">
        <v>131</v>
      </c>
      <c r="AU10" s="1117" t="s">
        <v>51</v>
      </c>
      <c r="AV10" s="1118" t="s">
        <v>52</v>
      </c>
      <c r="AW10" s="1562" t="s">
        <v>53</v>
      </c>
      <c r="AX10" s="1563"/>
      <c r="AY10" s="1065" t="s">
        <v>1026</v>
      </c>
      <c r="AZ10" s="1065" t="s">
        <v>51</v>
      </c>
      <c r="BA10" s="1119" t="s">
        <v>249</v>
      </c>
      <c r="BB10" s="1119"/>
      <c r="BE10" s="419"/>
      <c r="BF10" s="423" t="s">
        <v>1536</v>
      </c>
      <c r="BH10" s="300"/>
    </row>
    <row r="11" spans="2:79" ht="14.25" customHeight="1" x14ac:dyDescent="0.25">
      <c r="B11" s="1041"/>
      <c r="C11" s="1042"/>
      <c r="D11" s="1043"/>
      <c r="E11" s="1045"/>
      <c r="F11" s="1045"/>
      <c r="G11" s="1041"/>
      <c r="H11" s="1041"/>
      <c r="I11" s="1041"/>
      <c r="J11" s="1041"/>
      <c r="K11" s="1041"/>
      <c r="L11" s="1041"/>
      <c r="M11" s="1041"/>
      <c r="P11" s="1058"/>
      <c r="Q11" s="1058"/>
      <c r="R11" s="1553" t="s">
        <v>84</v>
      </c>
      <c r="S11" s="1544" t="s">
        <v>1254</v>
      </c>
      <c r="T11" s="1579" t="s">
        <v>70</v>
      </c>
      <c r="U11" s="1582" t="s">
        <v>1221</v>
      </c>
      <c r="V11" s="1544" t="s">
        <v>1682</v>
      </c>
      <c r="W11" s="1585" t="s">
        <v>1048</v>
      </c>
      <c r="X11" s="1586"/>
      <c r="Y11" s="1587"/>
      <c r="Z11" s="1573" t="s">
        <v>1042</v>
      </c>
      <c r="AA11" s="1574"/>
      <c r="AB11" s="1571" t="s">
        <v>1094</v>
      </c>
      <c r="AC11" s="972"/>
      <c r="AD11" s="1041"/>
      <c r="AE11" s="1041"/>
      <c r="AF11" s="1553" t="s">
        <v>84</v>
      </c>
      <c r="AG11" s="1542" t="s">
        <v>1254</v>
      </c>
      <c r="AH11" s="1553" t="s">
        <v>70</v>
      </c>
      <c r="AI11" s="1544" t="s">
        <v>1221</v>
      </c>
      <c r="AJ11" s="1567" t="s">
        <v>1049</v>
      </c>
      <c r="AK11" s="1568"/>
      <c r="AL11" s="1564" t="s">
        <v>1094</v>
      </c>
      <c r="AM11" s="934"/>
      <c r="AN11" s="75"/>
      <c r="AO11" s="1120"/>
      <c r="AP11" s="1041"/>
      <c r="AQ11" s="1041"/>
      <c r="AR11" s="1545"/>
      <c r="AS11" s="1121" t="s">
        <v>1534</v>
      </c>
      <c r="AT11" s="1068" t="s">
        <v>1017</v>
      </c>
      <c r="AU11" s="1122" t="s">
        <v>54</v>
      </c>
      <c r="AV11" s="1123" t="s">
        <v>55</v>
      </c>
      <c r="AW11" s="1123" t="s">
        <v>56</v>
      </c>
      <c r="AX11" s="1123" t="s">
        <v>57</v>
      </c>
      <c r="AY11" s="1071" t="s">
        <v>72</v>
      </c>
      <c r="AZ11" s="1124" t="s">
        <v>1028</v>
      </c>
      <c r="BA11" s="1125" t="s">
        <v>250</v>
      </c>
      <c r="BB11" s="1125" t="s">
        <v>1130</v>
      </c>
      <c r="BF11" s="361" t="s">
        <v>1083</v>
      </c>
      <c r="BG11" s="361" t="s">
        <v>7</v>
      </c>
      <c r="BH11" s="361" t="s">
        <v>197</v>
      </c>
      <c r="BI11" s="361" t="s">
        <v>6</v>
      </c>
      <c r="BJ11" s="361" t="s">
        <v>135</v>
      </c>
      <c r="BK11" s="361" t="s">
        <v>741</v>
      </c>
      <c r="BM11" s="419" t="s">
        <v>717</v>
      </c>
      <c r="BN11" s="419"/>
      <c r="BO11" s="418"/>
      <c r="BQ11" s="361" t="s">
        <v>1070</v>
      </c>
      <c r="BR11" s="361" t="s">
        <v>1605</v>
      </c>
    </row>
    <row r="12" spans="2:79" ht="14.25" customHeight="1" x14ac:dyDescent="0.25">
      <c r="B12" s="1041"/>
      <c r="C12" s="1042"/>
      <c r="D12" s="1043"/>
      <c r="E12" s="1045"/>
      <c r="F12" s="1045"/>
      <c r="G12" s="1041"/>
      <c r="H12" s="1041"/>
      <c r="I12" s="1041"/>
      <c r="J12" s="1041"/>
      <c r="K12" s="1041"/>
      <c r="L12" s="1041"/>
      <c r="M12" s="1041"/>
      <c r="P12" s="1059"/>
      <c r="Q12" s="1059"/>
      <c r="R12" s="1554"/>
      <c r="S12" s="1545"/>
      <c r="T12" s="1580"/>
      <c r="U12" s="1583"/>
      <c r="V12" s="1545"/>
      <c r="W12" s="1588"/>
      <c r="X12" s="1589"/>
      <c r="Y12" s="1590"/>
      <c r="Z12" s="1575"/>
      <c r="AA12" s="1576"/>
      <c r="AB12" s="1572"/>
      <c r="AC12" s="972"/>
      <c r="AD12" s="1041"/>
      <c r="AE12" s="1041"/>
      <c r="AF12" s="1554"/>
      <c r="AG12" s="1543"/>
      <c r="AH12" s="1554"/>
      <c r="AI12" s="1545"/>
      <c r="AJ12" s="1569"/>
      <c r="AK12" s="1570"/>
      <c r="AL12" s="1565"/>
      <c r="AM12" s="934"/>
      <c r="AN12" s="75"/>
      <c r="AO12" s="1120"/>
      <c r="AP12" s="1041"/>
      <c r="AQ12" s="1041"/>
      <c r="AR12" s="1126"/>
      <c r="AS12" s="1079" t="s">
        <v>1535</v>
      </c>
      <c r="AT12" s="1078" t="s">
        <v>58</v>
      </c>
      <c r="AU12" s="1127" t="s">
        <v>59</v>
      </c>
      <c r="AV12" s="1128" t="s">
        <v>58</v>
      </c>
      <c r="AW12" s="1128" t="s">
        <v>59</v>
      </c>
      <c r="AX12" s="1128" t="s">
        <v>59</v>
      </c>
      <c r="AY12" s="1080" t="s">
        <v>73</v>
      </c>
      <c r="AZ12" s="1078" t="s">
        <v>73</v>
      </c>
      <c r="BA12" s="1129"/>
      <c r="BB12" s="1129"/>
      <c r="BJ12" s="361" t="s">
        <v>1031</v>
      </c>
      <c r="BK12" s="361" t="s">
        <v>1030</v>
      </c>
      <c r="BM12" s="418"/>
      <c r="BN12" s="360"/>
      <c r="BO12" s="358"/>
      <c r="BP12" s="361" t="s">
        <v>1083</v>
      </c>
      <c r="BQ12" s="361" t="s">
        <v>1032</v>
      </c>
      <c r="BR12" s="361" t="s">
        <v>344</v>
      </c>
      <c r="BS12" s="361"/>
      <c r="BT12" s="361"/>
      <c r="BU12" s="361"/>
      <c r="BV12" s="361"/>
      <c r="BW12" s="361"/>
    </row>
    <row r="13" spans="2:79" ht="14.25" customHeight="1" x14ac:dyDescent="0.25">
      <c r="B13" s="1041"/>
      <c r="C13" s="1042"/>
      <c r="D13" s="1043"/>
      <c r="E13" s="1045"/>
      <c r="F13" s="1045"/>
      <c r="G13" s="1041"/>
      <c r="H13" s="1041"/>
      <c r="I13" s="1041"/>
      <c r="J13" s="1041"/>
      <c r="K13" s="1041"/>
      <c r="L13" s="1041"/>
      <c r="M13" s="1041"/>
      <c r="P13" s="1041"/>
      <c r="Q13" s="1041"/>
      <c r="R13" s="1560"/>
      <c r="S13" s="1555"/>
      <c r="T13" s="1088" t="str">
        <f>IF(BF26=BF25,"",BF11)</f>
        <v/>
      </c>
      <c r="U13" s="1584"/>
      <c r="V13" s="1555"/>
      <c r="W13" s="1089" t="s">
        <v>1043</v>
      </c>
      <c r="X13" s="1089" t="s">
        <v>1044</v>
      </c>
      <c r="Y13" s="1089" t="s">
        <v>1026</v>
      </c>
      <c r="Z13" s="1089" t="s">
        <v>12</v>
      </c>
      <c r="AA13" s="1089" t="s">
        <v>1026</v>
      </c>
      <c r="AB13" s="1572"/>
      <c r="AC13" s="972"/>
      <c r="AD13" s="1041"/>
      <c r="AE13" s="1041"/>
      <c r="AF13" s="1554"/>
      <c r="AG13" s="1543"/>
      <c r="AH13" s="1554"/>
      <c r="AI13" s="1545"/>
      <c r="AJ13" s="1546" t="s">
        <v>227</v>
      </c>
      <c r="AK13" s="1547"/>
      <c r="AL13" s="1565"/>
      <c r="AM13" s="934"/>
      <c r="AN13" s="75"/>
      <c r="AO13" s="75"/>
      <c r="AR13" s="756" t="s">
        <v>1261</v>
      </c>
      <c r="AS13" s="839" t="s">
        <v>76</v>
      </c>
      <c r="AT13" s="721" t="s">
        <v>13</v>
      </c>
      <c r="AU13" s="721" t="s">
        <v>1494</v>
      </c>
      <c r="AV13" s="721" t="s">
        <v>1036</v>
      </c>
      <c r="AW13" s="721" t="s">
        <v>1283</v>
      </c>
      <c r="AX13" s="721" t="s">
        <v>1284</v>
      </c>
      <c r="AY13" s="721" t="s">
        <v>0</v>
      </c>
      <c r="AZ13" s="721" t="s">
        <v>1492</v>
      </c>
      <c r="BA13" s="721" t="s">
        <v>1495</v>
      </c>
      <c r="BB13" s="721" t="s">
        <v>1130</v>
      </c>
      <c r="BF13" s="361" t="s">
        <v>70</v>
      </c>
      <c r="BM13" s="419" t="s">
        <v>1606</v>
      </c>
      <c r="BN13" s="360"/>
      <c r="BO13" s="419"/>
      <c r="BQ13" s="300">
        <v>1</v>
      </c>
      <c r="BR13" s="300">
        <v>2</v>
      </c>
    </row>
    <row r="14" spans="2:79" ht="14.25" customHeight="1" x14ac:dyDescent="0.25">
      <c r="B14" s="1041"/>
      <c r="C14" s="1042"/>
      <c r="D14" s="1041"/>
      <c r="E14" s="1041"/>
      <c r="F14" s="1041"/>
      <c r="G14" s="1041"/>
      <c r="H14" s="1041"/>
      <c r="I14" s="1041"/>
      <c r="J14" s="1041"/>
      <c r="K14" s="1041"/>
      <c r="L14" s="1041"/>
      <c r="M14" s="1041"/>
      <c r="P14" s="1041"/>
      <c r="Q14" s="1041"/>
      <c r="R14" s="1084"/>
      <c r="S14" s="842"/>
      <c r="T14" s="1090" t="s">
        <v>1449</v>
      </c>
      <c r="U14" s="823" t="s">
        <v>835</v>
      </c>
      <c r="V14" s="823" t="s">
        <v>1607</v>
      </c>
      <c r="W14" s="1488">
        <v>4.5</v>
      </c>
      <c r="X14" s="1489">
        <v>2.2000000000000002</v>
      </c>
      <c r="Y14" s="1488">
        <v>1.8</v>
      </c>
      <c r="Z14" s="823">
        <v>0</v>
      </c>
      <c r="AA14" s="1091">
        <v>0</v>
      </c>
      <c r="AB14" s="1085" t="s">
        <v>1039</v>
      </c>
      <c r="AC14" s="419"/>
      <c r="AD14" s="1041"/>
      <c r="AE14" s="1041"/>
      <c r="AF14" s="1560"/>
      <c r="AG14" s="1552"/>
      <c r="AH14" s="1111" t="str">
        <f>IF(BF44=BF43,"",BF11)</f>
        <v/>
      </c>
      <c r="AI14" s="1555"/>
      <c r="AJ14" s="1112" t="s">
        <v>1043</v>
      </c>
      <c r="AK14" s="1113" t="s">
        <v>1026</v>
      </c>
      <c r="AL14" s="1566"/>
      <c r="AM14" s="933"/>
      <c r="AN14" s="421"/>
      <c r="AO14" s="421"/>
      <c r="AQ14" s="417"/>
      <c r="AR14" s="840"/>
      <c r="AS14" s="844" t="s">
        <v>499</v>
      </c>
      <c r="AT14" s="741" t="s">
        <v>1859</v>
      </c>
      <c r="AU14" s="741"/>
      <c r="AV14" s="741"/>
      <c r="AW14" s="741"/>
      <c r="AX14" s="741"/>
      <c r="AY14" s="741"/>
      <c r="AZ14" s="741"/>
      <c r="BA14" s="741"/>
      <c r="BB14" s="1379"/>
      <c r="BH14" s="300"/>
      <c r="BM14" s="418"/>
      <c r="BN14" s="1561"/>
      <c r="BO14" s="1561"/>
    </row>
    <row r="15" spans="2:79" ht="14.25" customHeight="1" x14ac:dyDescent="0.25">
      <c r="B15" s="1041"/>
      <c r="C15" s="1042"/>
      <c r="D15" s="1041"/>
      <c r="E15" s="1041"/>
      <c r="F15" s="1041"/>
      <c r="G15" s="1041"/>
      <c r="H15" s="1041"/>
      <c r="I15" s="1041"/>
      <c r="J15" s="1041"/>
      <c r="K15" s="1041"/>
      <c r="L15" s="1041"/>
      <c r="M15" s="1041"/>
      <c r="P15" s="421"/>
      <c r="Q15" s="421"/>
      <c r="R15" s="1084">
        <v>1</v>
      </c>
      <c r="S15" s="823" t="str">
        <f>IF(AB15="OK","x","")</f>
        <v/>
      </c>
      <c r="T15" s="707"/>
      <c r="U15" s="708"/>
      <c r="V15" s="850"/>
      <c r="W15" s="1490"/>
      <c r="X15" s="1490"/>
      <c r="Y15" s="1490"/>
      <c r="Z15" s="482" t="str">
        <f>IF('#org22'!H9=6,0,IF(OR('#org22'!H9&lt;0.1,'#org22'!H9&gt;4),"",100))</f>
        <v/>
      </c>
      <c r="AA15" s="483" t="str">
        <f>IF('#org22'!H9=6,0,IF(OR('#org22'!H9&lt;0.1,'#org22'!H9&gt;4),"",100))</f>
        <v/>
      </c>
      <c r="AB15" s="1086" t="str">
        <f>IF(BM15&gt;6,"",IF(BM15-BP15-COUNTBLANK(U15:V15)&lt;0,$BF$11,IF(COUNT(BQ15:BR15)=0,"OK",TRIM(CONCATENATE($BQ$12," ",BQ15," ",BR15)))))</f>
        <v/>
      </c>
      <c r="AC15" s="973"/>
      <c r="AD15" s="1041"/>
      <c r="AE15" s="1041"/>
      <c r="AF15" s="1084">
        <v>1</v>
      </c>
      <c r="AG15" s="843" t="str">
        <f>IF(AL15="OK","x","")</f>
        <v/>
      </c>
      <c r="AH15" s="623"/>
      <c r="AI15" s="622"/>
      <c r="AJ15" s="470"/>
      <c r="AK15" s="470"/>
      <c r="AL15" s="1086" t="str">
        <f>IF(BM33&gt;2,"",IF(BM33-BP33-COUNTBLANK(AI15)&lt;0,$BF$11,IF(BQ33="","OK",TRIM(CONCATENATE($BQ$12," ",BQ33)))))</f>
        <v/>
      </c>
      <c r="AM15" s="421"/>
      <c r="AN15" s="421"/>
      <c r="AO15" s="421"/>
      <c r="AQ15" s="424"/>
      <c r="AR15" s="1506"/>
      <c r="AS15" s="1444" t="s">
        <v>2411</v>
      </c>
      <c r="AT15" s="845">
        <v>150</v>
      </c>
      <c r="AU15" s="846"/>
      <c r="AV15" s="847"/>
      <c r="AW15" s="847"/>
      <c r="AX15" s="847"/>
      <c r="AY15" s="845">
        <v>0.14000000000000001</v>
      </c>
      <c r="AZ15" s="848"/>
      <c r="BA15" s="419" t="s">
        <v>137</v>
      </c>
      <c r="BB15" s="847" t="s">
        <v>1105</v>
      </c>
      <c r="BF15" s="300">
        <f>IF(T15="",0,COUNTIF('#org22'!$D$66:$D$135,Vorauswahl!T15)+1)</f>
        <v>0</v>
      </c>
      <c r="BG15" s="300" t="b">
        <f t="shared" ref="BG15:BG24" si="0">ISNUMBER(W15)</f>
        <v>0</v>
      </c>
      <c r="BH15" s="300" t="b">
        <f t="shared" ref="BH15:BH24" si="1">ISNUMBER(X15)</f>
        <v>0</v>
      </c>
      <c r="BI15" s="300" t="b">
        <f t="shared" ref="BI15:BI24" si="2">ISNUMBER(Y15)</f>
        <v>0</v>
      </c>
      <c r="BJ15" s="300" t="b">
        <f t="shared" ref="BJ15:BJ24" si="3">ISNUMBER(Z15)</f>
        <v>0</v>
      </c>
      <c r="BK15" s="300" t="b">
        <f t="shared" ref="BK15:BK24" si="4">ISNUMBER(AA15)</f>
        <v>0</v>
      </c>
      <c r="BM15" s="418">
        <f>COUNTBLANK(T15:AA15)</f>
        <v>8</v>
      </c>
      <c r="BN15" s="360"/>
      <c r="BO15" s="419"/>
      <c r="BP15" s="300">
        <f>COUNTIF(BG15:BK15,$BH$9)+COUNTIF(BF15,"&lt;2")</f>
        <v>6</v>
      </c>
      <c r="BQ15" s="300">
        <f>IF(AND(BM15=0,T15&lt;&gt;'#org22'!$C$66),"",$BQ$13)</f>
        <v>1</v>
      </c>
      <c r="BR15" s="300" t="str">
        <f>IF(LEFT(T15,2)=" +",$BR$13,"")</f>
        <v/>
      </c>
    </row>
    <row r="16" spans="2:79" ht="14.25" customHeight="1" x14ac:dyDescent="0.25">
      <c r="C16" s="1550" t="s">
        <v>1254</v>
      </c>
      <c r="D16" s="1551" t="s">
        <v>1255</v>
      </c>
      <c r="E16" s="1041"/>
      <c r="F16" s="1041"/>
      <c r="G16" s="1450"/>
      <c r="H16" s="1450"/>
      <c r="I16" s="1450"/>
      <c r="J16" s="1450"/>
      <c r="K16" s="1450"/>
      <c r="L16" s="1041"/>
      <c r="M16" s="1041"/>
      <c r="N16" s="1041"/>
      <c r="P16" s="421"/>
      <c r="Q16" s="421"/>
      <c r="R16" s="1084">
        <v>2</v>
      </c>
      <c r="S16" s="823" t="str">
        <f t="shared" ref="S16:S24" si="5">IF(AB16="OK","x","")</f>
        <v/>
      </c>
      <c r="T16" s="707"/>
      <c r="U16" s="708"/>
      <c r="V16" s="850"/>
      <c r="W16" s="1490"/>
      <c r="X16" s="1490"/>
      <c r="Y16" s="1490"/>
      <c r="Z16" s="482" t="str">
        <f>IF('#org22'!H10=6,0,IF(OR('#org22'!H10&lt;0.1,'#org22'!H10&gt;4),"",100))</f>
        <v/>
      </c>
      <c r="AA16" s="483" t="str">
        <f>IF('#org22'!H10=6,0,IF(OR('#org22'!H10&lt;0.1,'#org22'!H10&gt;4),"",100))</f>
        <v/>
      </c>
      <c r="AB16" s="1086" t="str">
        <f t="shared" ref="AB16:AB24" si="6">IF(BM16&gt;6,"",IF(BM16-BP16-COUNTBLANK(U16:V16)&lt;0,$BF$11,IF(COUNT(BQ16:BR16)=0,"OK",TRIM(CONCATENATE($BQ$12," ",BQ16," ",BR16)))))</f>
        <v/>
      </c>
      <c r="AC16" s="973"/>
      <c r="AD16" s="1041"/>
      <c r="AE16" s="1041"/>
      <c r="AF16" s="1084">
        <v>2</v>
      </c>
      <c r="AG16" s="843" t="str">
        <f t="shared" ref="AG16:AG24" si="7">IF(AL16="OK","x","")</f>
        <v/>
      </c>
      <c r="AH16" s="623"/>
      <c r="AI16" s="622"/>
      <c r="AJ16" s="470"/>
      <c r="AK16" s="470"/>
      <c r="AL16" s="1086" t="str">
        <f t="shared" ref="AL16:AL24" si="8">IF(BM34&gt;2,"",IF(BM34-BP34-COUNTBLANK(AI16)&lt;0,$BF$11,IF(BQ34="","OK",TRIM(CONCATENATE($BQ$12," ",BQ34)))))</f>
        <v/>
      </c>
      <c r="AM16" s="421"/>
      <c r="AN16" s="421"/>
      <c r="AO16" s="421"/>
      <c r="AR16" s="1503"/>
      <c r="AS16" s="1444" t="s">
        <v>2412</v>
      </c>
      <c r="AT16" s="845">
        <v>150</v>
      </c>
      <c r="AU16" s="846"/>
      <c r="AV16" s="847"/>
      <c r="AW16" s="847"/>
      <c r="AX16" s="847"/>
      <c r="AY16" s="845">
        <v>0.14000000000000001</v>
      </c>
      <c r="AZ16" s="848">
        <v>0.19</v>
      </c>
      <c r="BA16" s="419" t="s">
        <v>137</v>
      </c>
      <c r="BB16" s="847" t="s">
        <v>1106</v>
      </c>
      <c r="BF16" s="300">
        <f>IF(T16="",0,COUNTIF('#org22'!$D$66:$D$135,Vorauswahl!T16)+1)</f>
        <v>0</v>
      </c>
      <c r="BG16" s="300" t="b">
        <f t="shared" si="0"/>
        <v>0</v>
      </c>
      <c r="BH16" s="300" t="b">
        <f t="shared" si="1"/>
        <v>0</v>
      </c>
      <c r="BI16" s="300" t="b">
        <f t="shared" si="2"/>
        <v>0</v>
      </c>
      <c r="BJ16" s="300" t="b">
        <f t="shared" si="3"/>
        <v>0</v>
      </c>
      <c r="BK16" s="300" t="b">
        <f t="shared" si="4"/>
        <v>0</v>
      </c>
      <c r="BM16" s="418">
        <f t="shared" ref="BM16:BM24" si="9">COUNTBLANK(T16:AA16)</f>
        <v>8</v>
      </c>
      <c r="BN16" s="360"/>
      <c r="BO16" s="419"/>
      <c r="BP16" s="300">
        <f>COUNTIF(BG16:BK16,$BH$9)+COUNTIF(BF16,"&lt;2")</f>
        <v>6</v>
      </c>
      <c r="BQ16" s="300">
        <f>IF(AND(BM16=0,T16&lt;&gt;'#org22'!$C$66),"",$BQ$13)</f>
        <v>1</v>
      </c>
      <c r="BR16" s="300">
        <f t="shared" ref="BR16:BR24" si="10">IF(BM16&gt;1,IF(U16="",$BR$13,""),IF(BN16=1,$BR$13,""))</f>
        <v>2</v>
      </c>
    </row>
    <row r="17" spans="2:75" ht="14.25" customHeight="1" x14ac:dyDescent="0.25">
      <c r="C17" s="1550"/>
      <c r="D17" s="1551"/>
      <c r="E17" s="1041"/>
      <c r="F17" s="1041"/>
      <c r="G17" s="1450"/>
      <c r="H17" s="1450"/>
      <c r="I17" s="1450"/>
      <c r="J17" s="1450"/>
      <c r="K17" s="1450"/>
      <c r="L17" s="1041"/>
      <c r="M17" s="1041"/>
      <c r="N17" s="1041"/>
      <c r="P17" s="421"/>
      <c r="Q17" s="421"/>
      <c r="R17" s="1084">
        <v>3</v>
      </c>
      <c r="S17" s="823" t="str">
        <f t="shared" si="5"/>
        <v/>
      </c>
      <c r="T17" s="707"/>
      <c r="U17" s="708"/>
      <c r="V17" s="850"/>
      <c r="W17" s="1490"/>
      <c r="X17" s="1490"/>
      <c r="Y17" s="1490"/>
      <c r="Z17" s="482" t="str">
        <f>IF('#org22'!H11=6,0,IF(OR('#org22'!H11&lt;0.1,'#org22'!H11&gt;4),"",100))</f>
        <v/>
      </c>
      <c r="AA17" s="483" t="str">
        <f>IF('#org22'!H11=6,0,IF(OR('#org22'!H11&lt;0.1,'#org22'!H11&gt;4),"",100))</f>
        <v/>
      </c>
      <c r="AB17" s="1086" t="str">
        <f t="shared" si="6"/>
        <v/>
      </c>
      <c r="AC17" s="973"/>
      <c r="AD17" s="1041"/>
      <c r="AE17" s="1041"/>
      <c r="AF17" s="1084">
        <v>3</v>
      </c>
      <c r="AG17" s="843" t="str">
        <f t="shared" si="7"/>
        <v/>
      </c>
      <c r="AH17" s="623"/>
      <c r="AI17" s="622"/>
      <c r="AJ17" s="470"/>
      <c r="AK17" s="470"/>
      <c r="AL17" s="1086" t="str">
        <f t="shared" si="8"/>
        <v/>
      </c>
      <c r="AM17" s="421"/>
      <c r="AN17" s="421"/>
      <c r="AO17" s="421"/>
      <c r="AR17" s="1503"/>
      <c r="AS17" s="1444" t="s">
        <v>2413</v>
      </c>
      <c r="AT17" s="845">
        <v>150</v>
      </c>
      <c r="AU17" s="846"/>
      <c r="AV17" s="847"/>
      <c r="AW17" s="847"/>
      <c r="AX17" s="847"/>
      <c r="AY17" s="845">
        <v>0.14000000000000001</v>
      </c>
      <c r="AZ17" s="848">
        <v>0.38</v>
      </c>
      <c r="BA17" s="419" t="s">
        <v>137</v>
      </c>
      <c r="BB17" s="847" t="s">
        <v>1107</v>
      </c>
      <c r="BF17" s="300">
        <f>IF(T17="",0,COUNTIF('#org22'!$D$66:$D$135,Vorauswahl!T17)+1)</f>
        <v>0</v>
      </c>
      <c r="BG17" s="300" t="b">
        <f t="shared" si="0"/>
        <v>0</v>
      </c>
      <c r="BH17" s="300" t="b">
        <f t="shared" si="1"/>
        <v>0</v>
      </c>
      <c r="BI17" s="300" t="b">
        <f t="shared" si="2"/>
        <v>0</v>
      </c>
      <c r="BJ17" s="300" t="b">
        <f t="shared" si="3"/>
        <v>0</v>
      </c>
      <c r="BK17" s="300" t="b">
        <f t="shared" si="4"/>
        <v>0</v>
      </c>
      <c r="BM17" s="418">
        <f t="shared" si="9"/>
        <v>8</v>
      </c>
      <c r="BN17" s="360"/>
      <c r="BO17" s="419"/>
      <c r="BP17" s="300">
        <f t="shared" ref="BP17:BP24" si="11">COUNTIF(BG17:BK17,$BH$9)+COUNTIF(BF17,"&lt;2")</f>
        <v>6</v>
      </c>
      <c r="BQ17" s="300">
        <f>IF(AND(BM17=0,T17&lt;&gt;'#org22'!$C$66),"",$BQ$13)</f>
        <v>1</v>
      </c>
      <c r="BR17" s="300">
        <f t="shared" si="10"/>
        <v>2</v>
      </c>
    </row>
    <row r="18" spans="2:75" ht="14.25" customHeight="1" x14ac:dyDescent="0.25">
      <c r="C18" s="755" t="s">
        <v>1261</v>
      </c>
      <c r="D18" s="1048" t="s">
        <v>1255</v>
      </c>
      <c r="E18" s="1049"/>
      <c r="F18" s="1049"/>
      <c r="G18" s="1450"/>
      <c r="H18" s="1450"/>
      <c r="I18" s="1450"/>
      <c r="J18" s="1450"/>
      <c r="K18" s="1450"/>
      <c r="L18" s="1049"/>
      <c r="M18" s="1049"/>
      <c r="N18" s="1050"/>
      <c r="O18" s="421"/>
      <c r="P18" s="421"/>
      <c r="Q18" s="421"/>
      <c r="R18" s="1084">
        <v>4</v>
      </c>
      <c r="S18" s="823" t="str">
        <f t="shared" si="5"/>
        <v/>
      </c>
      <c r="T18" s="707"/>
      <c r="U18" s="708"/>
      <c r="V18" s="850"/>
      <c r="W18" s="1490"/>
      <c r="X18" s="1490"/>
      <c r="Y18" s="1490"/>
      <c r="Z18" s="482" t="str">
        <f>IF('#org22'!H12=6,0,IF(OR('#org22'!H12&lt;0.1,'#org22'!H12&gt;4),"",100))</f>
        <v/>
      </c>
      <c r="AA18" s="483" t="str">
        <f>IF('#org22'!H12=6,0,IF(OR('#org22'!H12&lt;0.1,'#org22'!H12&gt;4),"",100))</f>
        <v/>
      </c>
      <c r="AB18" s="1086" t="str">
        <f t="shared" si="6"/>
        <v/>
      </c>
      <c r="AC18" s="973"/>
      <c r="AD18" s="1041"/>
      <c r="AE18" s="1041"/>
      <c r="AF18" s="1084">
        <v>4</v>
      </c>
      <c r="AG18" s="843" t="str">
        <f t="shared" si="7"/>
        <v/>
      </c>
      <c r="AH18" s="623"/>
      <c r="AI18" s="622"/>
      <c r="AJ18" s="470"/>
      <c r="AK18" s="470"/>
      <c r="AL18" s="1086" t="str">
        <f t="shared" si="8"/>
        <v/>
      </c>
      <c r="AM18" s="421"/>
      <c r="AN18" s="421"/>
      <c r="AO18" s="421"/>
      <c r="AR18" s="840"/>
      <c r="AS18" s="844" t="s">
        <v>1408</v>
      </c>
      <c r="AT18" s="741" t="s">
        <v>91</v>
      </c>
      <c r="AU18" s="741"/>
      <c r="AV18" s="741"/>
      <c r="AW18" s="741"/>
      <c r="AX18" s="741"/>
      <c r="AY18" s="741"/>
      <c r="AZ18" s="741"/>
      <c r="BA18" s="741"/>
      <c r="BB18" s="1380"/>
      <c r="BF18" s="300">
        <f>IF(T18="",0,COUNTIF('#org22'!$D$66:$D$135,Vorauswahl!T18)+1)</f>
        <v>0</v>
      </c>
      <c r="BG18" s="300" t="b">
        <f t="shared" si="0"/>
        <v>0</v>
      </c>
      <c r="BH18" s="300" t="b">
        <f t="shared" si="1"/>
        <v>0</v>
      </c>
      <c r="BI18" s="300" t="b">
        <f t="shared" si="2"/>
        <v>0</v>
      </c>
      <c r="BJ18" s="300" t="b">
        <f t="shared" si="3"/>
        <v>0</v>
      </c>
      <c r="BK18" s="300" t="b">
        <f t="shared" si="4"/>
        <v>0</v>
      </c>
      <c r="BM18" s="418">
        <f t="shared" si="9"/>
        <v>8</v>
      </c>
      <c r="BN18" s="360"/>
      <c r="BO18" s="419"/>
      <c r="BP18" s="300">
        <f t="shared" si="11"/>
        <v>6</v>
      </c>
      <c r="BQ18" s="300">
        <f>IF(AND(BM18=0,T18&lt;&gt;'#org22'!$C$66),"",$BQ$13)</f>
        <v>1</v>
      </c>
      <c r="BR18" s="300">
        <f t="shared" si="10"/>
        <v>2</v>
      </c>
    </row>
    <row r="19" spans="2:75" ht="14.25" customHeight="1" x14ac:dyDescent="0.25">
      <c r="C19" s="824"/>
      <c r="D19" s="1051" t="s">
        <v>1256</v>
      </c>
      <c r="E19" s="1052"/>
      <c r="F19" s="1052"/>
      <c r="G19" s="1053"/>
      <c r="H19" s="1052"/>
      <c r="I19" s="1052"/>
      <c r="J19" s="1052"/>
      <c r="K19" s="1052"/>
      <c r="L19" s="1052"/>
      <c r="M19" s="1052"/>
      <c r="N19" s="1041"/>
      <c r="P19" s="421"/>
      <c r="Q19" s="421"/>
      <c r="R19" s="1084">
        <v>5</v>
      </c>
      <c r="S19" s="823" t="str">
        <f t="shared" si="5"/>
        <v/>
      </c>
      <c r="T19" s="707"/>
      <c r="U19" s="708"/>
      <c r="V19" s="850"/>
      <c r="W19" s="1490"/>
      <c r="X19" s="1490"/>
      <c r="Y19" s="1490"/>
      <c r="Z19" s="482" t="str">
        <f>IF('#org22'!H13=6,0,IF(OR('#org22'!H13&lt;0.1,'#org22'!H13&gt;4),"",100))</f>
        <v/>
      </c>
      <c r="AA19" s="483" t="str">
        <f>IF('#org22'!H13=6,0,IF(OR('#org22'!H13&lt;0.1,'#org22'!H13&gt;4),"",100))</f>
        <v/>
      </c>
      <c r="AB19" s="1086" t="str">
        <f t="shared" si="6"/>
        <v/>
      </c>
      <c r="AC19" s="973"/>
      <c r="AD19" s="1041"/>
      <c r="AE19" s="1041"/>
      <c r="AF19" s="1084">
        <v>5</v>
      </c>
      <c r="AG19" s="843" t="str">
        <f t="shared" si="7"/>
        <v/>
      </c>
      <c r="AH19" s="623"/>
      <c r="AI19" s="622"/>
      <c r="AJ19" s="470"/>
      <c r="AK19" s="470"/>
      <c r="AL19" s="1086" t="str">
        <f t="shared" si="8"/>
        <v/>
      </c>
      <c r="AM19" s="421"/>
      <c r="AN19" s="421"/>
      <c r="AO19" s="421"/>
      <c r="AR19" s="1503"/>
      <c r="AS19" s="1493" t="s">
        <v>2407</v>
      </c>
      <c r="AT19" s="847">
        <v>250</v>
      </c>
      <c r="AU19" s="143">
        <v>133</v>
      </c>
      <c r="AV19" s="847">
        <v>10</v>
      </c>
      <c r="AW19" s="143">
        <v>5.3</v>
      </c>
      <c r="AX19" s="847">
        <v>0</v>
      </c>
      <c r="AY19" s="849">
        <v>0.16</v>
      </c>
      <c r="AZ19" s="847">
        <v>0</v>
      </c>
      <c r="BA19" s="419" t="s">
        <v>136</v>
      </c>
      <c r="BB19" s="847" t="s">
        <v>1109</v>
      </c>
      <c r="BF19" s="300">
        <f>IF(T19="",0,COUNTIF('#org22'!$D$66:$D$135,Vorauswahl!T19)+1)</f>
        <v>0</v>
      </c>
      <c r="BG19" s="300" t="b">
        <f t="shared" si="0"/>
        <v>0</v>
      </c>
      <c r="BH19" s="300" t="b">
        <f t="shared" si="1"/>
        <v>0</v>
      </c>
      <c r="BI19" s="300" t="b">
        <f t="shared" si="2"/>
        <v>0</v>
      </c>
      <c r="BJ19" s="300" t="b">
        <f t="shared" si="3"/>
        <v>0</v>
      </c>
      <c r="BK19" s="300" t="b">
        <f t="shared" si="4"/>
        <v>0</v>
      </c>
      <c r="BM19" s="418">
        <f t="shared" si="9"/>
        <v>8</v>
      </c>
      <c r="BN19" s="360"/>
      <c r="BO19" s="419"/>
      <c r="BP19" s="300">
        <f t="shared" si="11"/>
        <v>6</v>
      </c>
      <c r="BQ19" s="300">
        <f>IF(AND(BM19=0,T19&lt;&gt;'#org22'!$C$66),"",$BQ$13)</f>
        <v>1</v>
      </c>
      <c r="BR19" s="300">
        <f t="shared" si="10"/>
        <v>2</v>
      </c>
    </row>
    <row r="20" spans="2:75" ht="14.25" customHeight="1" x14ac:dyDescent="0.25">
      <c r="B20" s="417"/>
      <c r="C20" s="1502"/>
      <c r="D20" s="1054" t="s">
        <v>632</v>
      </c>
      <c r="E20" s="1055"/>
      <c r="F20" s="1055"/>
      <c r="G20" s="1056"/>
      <c r="H20" s="1055"/>
      <c r="I20" s="1055"/>
      <c r="J20" s="1055"/>
      <c r="K20" s="1055"/>
      <c r="L20" s="1055"/>
      <c r="M20" s="1055"/>
      <c r="N20" s="1041"/>
      <c r="P20" s="446"/>
      <c r="Q20" s="446"/>
      <c r="R20" s="1084">
        <v>6</v>
      </c>
      <c r="S20" s="823" t="str">
        <f t="shared" si="5"/>
        <v/>
      </c>
      <c r="T20" s="707"/>
      <c r="U20" s="708"/>
      <c r="V20" s="850"/>
      <c r="W20" s="1490"/>
      <c r="X20" s="1490"/>
      <c r="Y20" s="1490"/>
      <c r="Z20" s="482" t="str">
        <f>IF('#org22'!H14=6,0,IF(OR('#org22'!H14&lt;0.1,'#org22'!H14&gt;4),"",100))</f>
        <v/>
      </c>
      <c r="AA20" s="483" t="str">
        <f>IF('#org22'!H14=6,0,IF(OR('#org22'!H14&lt;0.1,'#org22'!H14&gt;4),"",100))</f>
        <v/>
      </c>
      <c r="AB20" s="1086" t="str">
        <f t="shared" si="6"/>
        <v/>
      </c>
      <c r="AC20" s="973"/>
      <c r="AD20" s="1041"/>
      <c r="AE20" s="1041"/>
      <c r="AF20" s="1084">
        <v>6</v>
      </c>
      <c r="AG20" s="843" t="str">
        <f t="shared" si="7"/>
        <v/>
      </c>
      <c r="AH20" s="723"/>
      <c r="AI20" s="724"/>
      <c r="AJ20" s="725"/>
      <c r="AK20" s="725"/>
      <c r="AL20" s="1086" t="str">
        <f t="shared" si="8"/>
        <v/>
      </c>
      <c r="AR20" s="1503"/>
      <c r="AS20" s="1493" t="s">
        <v>2408</v>
      </c>
      <c r="AT20" s="847">
        <v>250</v>
      </c>
      <c r="AU20" s="143">
        <v>145</v>
      </c>
      <c r="AV20" s="847">
        <v>10</v>
      </c>
      <c r="AW20" s="143">
        <v>5.8</v>
      </c>
      <c r="AX20" s="847">
        <v>0</v>
      </c>
      <c r="AY20" s="849">
        <v>0.14000000000000001</v>
      </c>
      <c r="AZ20" s="849">
        <v>0.33</v>
      </c>
      <c r="BA20" s="419" t="s">
        <v>136</v>
      </c>
      <c r="BB20" s="1494" t="s">
        <v>1220</v>
      </c>
      <c r="BF20" s="300">
        <f>IF(T20="",0,COUNTIF('#org22'!$D$66:$D$135,Vorauswahl!T20)+1)</f>
        <v>0</v>
      </c>
      <c r="BG20" s="300" t="b">
        <f t="shared" si="0"/>
        <v>0</v>
      </c>
      <c r="BH20" s="300" t="b">
        <f t="shared" si="1"/>
        <v>0</v>
      </c>
      <c r="BI20" s="300" t="b">
        <f t="shared" si="2"/>
        <v>0</v>
      </c>
      <c r="BJ20" s="300" t="b">
        <f t="shared" si="3"/>
        <v>0</v>
      </c>
      <c r="BK20" s="300" t="b">
        <f t="shared" si="4"/>
        <v>0</v>
      </c>
      <c r="BM20" s="418">
        <f t="shared" si="9"/>
        <v>8</v>
      </c>
      <c r="BN20" s="360"/>
      <c r="BO20" s="419"/>
      <c r="BP20" s="300">
        <f t="shared" si="11"/>
        <v>6</v>
      </c>
      <c r="BQ20" s="300">
        <f>IF(AND(BM20=0,T20&lt;&gt;'#org22'!$C$66),"",$BQ$13)</f>
        <v>1</v>
      </c>
      <c r="BR20" s="300">
        <f t="shared" si="10"/>
        <v>2</v>
      </c>
    </row>
    <row r="21" spans="2:75" ht="14.25" customHeight="1" x14ac:dyDescent="0.25">
      <c r="C21" s="1502"/>
      <c r="D21" s="1054" t="s">
        <v>1257</v>
      </c>
      <c r="E21" s="1055"/>
      <c r="F21" s="1055"/>
      <c r="G21" s="1056"/>
      <c r="H21" s="1055"/>
      <c r="I21" s="1055"/>
      <c r="J21" s="1055"/>
      <c r="K21" s="1055"/>
      <c r="L21" s="1055"/>
      <c r="M21" s="1055"/>
      <c r="N21" s="1041"/>
      <c r="P21" s="421"/>
      <c r="Q21" s="421"/>
      <c r="R21" s="1084">
        <v>7</v>
      </c>
      <c r="S21" s="823" t="str">
        <f t="shared" si="5"/>
        <v/>
      </c>
      <c r="T21" s="707"/>
      <c r="U21" s="708"/>
      <c r="V21" s="850"/>
      <c r="W21" s="1490"/>
      <c r="X21" s="1490"/>
      <c r="Y21" s="1490"/>
      <c r="Z21" s="482" t="str">
        <f>IF('#org22'!H15=6,0,IF(OR('#org22'!H15&lt;0.1,'#org22'!H15&gt;4),"",100))</f>
        <v/>
      </c>
      <c r="AA21" s="483" t="str">
        <f>IF('#org22'!H15=6,0,IF(OR('#org22'!H15&lt;0.1,'#org22'!H15&gt;4),"",100))</f>
        <v/>
      </c>
      <c r="AB21" s="1086" t="str">
        <f t="shared" si="6"/>
        <v/>
      </c>
      <c r="AC21" s="973"/>
      <c r="AD21" s="1041"/>
      <c r="AE21" s="1041"/>
      <c r="AF21" s="1084">
        <v>7</v>
      </c>
      <c r="AG21" s="843" t="str">
        <f t="shared" si="7"/>
        <v/>
      </c>
      <c r="AH21" s="623"/>
      <c r="AI21" s="622"/>
      <c r="AJ21" s="470"/>
      <c r="AK21" s="470"/>
      <c r="AL21" s="1086" t="str">
        <f t="shared" si="8"/>
        <v/>
      </c>
      <c r="AR21" s="1503"/>
      <c r="AS21" s="1493" t="s">
        <v>2409</v>
      </c>
      <c r="AT21" s="847">
        <v>250</v>
      </c>
      <c r="AU21" s="143">
        <v>0</v>
      </c>
      <c r="AV21" s="847">
        <v>10</v>
      </c>
      <c r="AW21" s="143">
        <v>0</v>
      </c>
      <c r="AX21" s="847">
        <v>0</v>
      </c>
      <c r="AY21" s="849">
        <v>0.13</v>
      </c>
      <c r="AZ21" s="849">
        <v>0.65</v>
      </c>
      <c r="BA21" s="419" t="s">
        <v>136</v>
      </c>
      <c r="BB21" s="1494" t="s">
        <v>1876</v>
      </c>
      <c r="BF21" s="300">
        <f>IF(T21="",0,COUNTIF('#org22'!$D$66:$D$135,Vorauswahl!T21)+1)</f>
        <v>0</v>
      </c>
      <c r="BG21" s="300" t="b">
        <f t="shared" si="0"/>
        <v>0</v>
      </c>
      <c r="BH21" s="300" t="b">
        <f t="shared" si="1"/>
        <v>0</v>
      </c>
      <c r="BI21" s="300" t="b">
        <f t="shared" si="2"/>
        <v>0</v>
      </c>
      <c r="BJ21" s="300" t="b">
        <f t="shared" si="3"/>
        <v>0</v>
      </c>
      <c r="BK21" s="300" t="b">
        <f t="shared" si="4"/>
        <v>0</v>
      </c>
      <c r="BM21" s="418">
        <f t="shared" si="9"/>
        <v>8</v>
      </c>
      <c r="BN21" s="360"/>
      <c r="BO21" s="419"/>
      <c r="BP21" s="300">
        <f t="shared" si="11"/>
        <v>6</v>
      </c>
      <c r="BQ21" s="300">
        <f>IF(AND(BM21=0,T21&lt;&gt;'#org22'!$C$66),"",$BQ$13)</f>
        <v>1</v>
      </c>
      <c r="BR21" s="300">
        <f t="shared" si="10"/>
        <v>2</v>
      </c>
    </row>
    <row r="22" spans="2:75" ht="14.25" customHeight="1" x14ac:dyDescent="0.25">
      <c r="C22" s="1502"/>
      <c r="D22" s="1054" t="s">
        <v>1484</v>
      </c>
      <c r="E22" s="1055"/>
      <c r="F22" s="1055"/>
      <c r="G22" s="1056"/>
      <c r="H22" s="1055"/>
      <c r="I22" s="1055"/>
      <c r="J22" s="1055"/>
      <c r="K22" s="1055"/>
      <c r="L22" s="1055"/>
      <c r="M22" s="1055"/>
      <c r="N22" s="1057"/>
      <c r="O22" s="422"/>
      <c r="P22" s="421"/>
      <c r="Q22" s="421"/>
      <c r="R22" s="1084">
        <v>8</v>
      </c>
      <c r="S22" s="823" t="str">
        <f t="shared" si="5"/>
        <v/>
      </c>
      <c r="T22" s="707"/>
      <c r="U22" s="708"/>
      <c r="V22" s="850"/>
      <c r="W22" s="1490"/>
      <c r="X22" s="1490"/>
      <c r="Y22" s="1490"/>
      <c r="Z22" s="482" t="str">
        <f>IF('#org22'!H16=6,0,IF(OR('#org22'!H16&lt;0.1,'#org22'!H16&gt;4),"",100))</f>
        <v/>
      </c>
      <c r="AA22" s="483" t="str">
        <f>IF('#org22'!H16=6,0,IF(OR('#org22'!H16&lt;0.1,'#org22'!H16&gt;4),"",100))</f>
        <v/>
      </c>
      <c r="AB22" s="1086" t="str">
        <f t="shared" si="6"/>
        <v/>
      </c>
      <c r="AC22" s="973"/>
      <c r="AD22" s="1041"/>
      <c r="AE22" s="1041"/>
      <c r="AF22" s="1084">
        <v>8</v>
      </c>
      <c r="AG22" s="843" t="str">
        <f t="shared" si="7"/>
        <v/>
      </c>
      <c r="AH22" s="723"/>
      <c r="AI22" s="724"/>
      <c r="AJ22" s="725"/>
      <c r="AK22" s="725"/>
      <c r="AL22" s="1086" t="str">
        <f t="shared" si="8"/>
        <v/>
      </c>
      <c r="AR22" s="1503"/>
      <c r="AS22" s="1493" t="s">
        <v>1868</v>
      </c>
      <c r="AT22" s="847">
        <v>250</v>
      </c>
      <c r="AU22" s="143">
        <v>120</v>
      </c>
      <c r="AV22" s="847">
        <v>10</v>
      </c>
      <c r="AW22" s="143">
        <v>4.8</v>
      </c>
      <c r="AX22" s="847">
        <v>0</v>
      </c>
      <c r="AY22" s="849">
        <v>0.2</v>
      </c>
      <c r="AZ22" s="1445">
        <v>0</v>
      </c>
      <c r="BA22" s="419" t="s">
        <v>136</v>
      </c>
      <c r="BB22" s="1494" t="s">
        <v>1879</v>
      </c>
      <c r="BF22" s="300">
        <f>IF(T22="",0,COUNTIF('#org22'!$D$66:$D$135,Vorauswahl!T22)+1)</f>
        <v>0</v>
      </c>
      <c r="BG22" s="300" t="b">
        <f t="shared" si="0"/>
        <v>0</v>
      </c>
      <c r="BH22" s="300" t="b">
        <f t="shared" si="1"/>
        <v>0</v>
      </c>
      <c r="BI22" s="300" t="b">
        <f t="shared" si="2"/>
        <v>0</v>
      </c>
      <c r="BJ22" s="300" t="b">
        <f t="shared" si="3"/>
        <v>0</v>
      </c>
      <c r="BK22" s="300" t="b">
        <f t="shared" si="4"/>
        <v>0</v>
      </c>
      <c r="BM22" s="418">
        <f t="shared" si="9"/>
        <v>8</v>
      </c>
      <c r="BN22" s="360"/>
      <c r="BO22" s="419"/>
      <c r="BP22" s="300">
        <f t="shared" si="11"/>
        <v>6</v>
      </c>
      <c r="BQ22" s="300">
        <f>IF(AND(BM22=0,T22&lt;&gt;'#org22'!$C$66),"",$BQ$13)</f>
        <v>1</v>
      </c>
      <c r="BR22" s="300">
        <f t="shared" si="10"/>
        <v>2</v>
      </c>
    </row>
    <row r="23" spans="2:75" ht="14.25" customHeight="1" x14ac:dyDescent="0.25">
      <c r="C23" s="1502"/>
      <c r="D23" s="1054" t="s">
        <v>1258</v>
      </c>
      <c r="E23" s="1055"/>
      <c r="F23" s="1055"/>
      <c r="G23" s="1056"/>
      <c r="H23" s="1055"/>
      <c r="I23" s="1055"/>
      <c r="J23" s="1055"/>
      <c r="K23" s="1055"/>
      <c r="L23" s="1055"/>
      <c r="M23" s="1055"/>
      <c r="N23" s="1041"/>
      <c r="P23" s="421"/>
      <c r="Q23" s="421"/>
      <c r="R23" s="1084">
        <v>9</v>
      </c>
      <c r="S23" s="823" t="str">
        <f t="shared" si="5"/>
        <v/>
      </c>
      <c r="T23" s="707"/>
      <c r="U23" s="708"/>
      <c r="V23" s="850"/>
      <c r="W23" s="1490"/>
      <c r="X23" s="1490"/>
      <c r="Y23" s="1490"/>
      <c r="Z23" s="482" t="str">
        <f>IF('#org22'!H17=6,0,IF(OR('#org22'!H17&lt;0.1,'#org22'!H17&gt;4),"",100))</f>
        <v/>
      </c>
      <c r="AA23" s="483" t="str">
        <f>IF('#org22'!H17=6,0,IF(OR('#org22'!H17&lt;0.1,'#org22'!H17&gt;4),"",100))</f>
        <v/>
      </c>
      <c r="AB23" s="1086" t="str">
        <f t="shared" si="6"/>
        <v/>
      </c>
      <c r="AC23" s="973"/>
      <c r="AD23" s="1041"/>
      <c r="AE23" s="1041"/>
      <c r="AF23" s="1084">
        <v>9</v>
      </c>
      <c r="AG23" s="843" t="str">
        <f t="shared" si="7"/>
        <v/>
      </c>
      <c r="AH23" s="623"/>
      <c r="AI23" s="622"/>
      <c r="AJ23" s="470"/>
      <c r="AK23" s="470"/>
      <c r="AL23" s="1086" t="str">
        <f t="shared" si="8"/>
        <v/>
      </c>
      <c r="AR23" s="1503"/>
      <c r="AS23" s="1493" t="s">
        <v>1869</v>
      </c>
      <c r="AT23" s="847">
        <v>200</v>
      </c>
      <c r="AU23" s="143">
        <v>64</v>
      </c>
      <c r="AV23" s="847">
        <v>10</v>
      </c>
      <c r="AW23" s="143">
        <v>3.2</v>
      </c>
      <c r="AX23" s="847">
        <v>0</v>
      </c>
      <c r="AY23" s="847">
        <v>0.13</v>
      </c>
      <c r="AZ23" s="846">
        <v>0</v>
      </c>
      <c r="BA23" s="419" t="s">
        <v>137</v>
      </c>
      <c r="BB23" s="847" t="s">
        <v>1880</v>
      </c>
      <c r="BF23" s="300">
        <f>IF(T23="",0,COUNTIF('#org22'!$D$66:$D$135,Vorauswahl!T23)+1)</f>
        <v>0</v>
      </c>
      <c r="BG23" s="300" t="b">
        <f t="shared" si="0"/>
        <v>0</v>
      </c>
      <c r="BH23" s="300" t="b">
        <f t="shared" si="1"/>
        <v>0</v>
      </c>
      <c r="BI23" s="300" t="b">
        <f t="shared" si="2"/>
        <v>0</v>
      </c>
      <c r="BJ23" s="300" t="b">
        <f t="shared" si="3"/>
        <v>0</v>
      </c>
      <c r="BK23" s="300" t="b">
        <f t="shared" si="4"/>
        <v>0</v>
      </c>
      <c r="BM23" s="418">
        <f t="shared" si="9"/>
        <v>8</v>
      </c>
      <c r="BN23" s="360"/>
      <c r="BO23" s="419"/>
      <c r="BP23" s="300">
        <f t="shared" si="11"/>
        <v>6</v>
      </c>
      <c r="BQ23" s="300">
        <f>IF(AND(BM23=0,T23&lt;&gt;'#org22'!$C$66),"",$BQ$13)</f>
        <v>1</v>
      </c>
      <c r="BR23" s="300">
        <f t="shared" si="10"/>
        <v>2</v>
      </c>
    </row>
    <row r="24" spans="2:75" ht="14.25" customHeight="1" x14ac:dyDescent="0.25">
      <c r="C24" s="1502"/>
      <c r="D24" s="1054" t="s">
        <v>1481</v>
      </c>
      <c r="E24" s="1055"/>
      <c r="F24" s="1055"/>
      <c r="G24" s="1056"/>
      <c r="H24" s="1055"/>
      <c r="I24" s="1055"/>
      <c r="J24" s="1055"/>
      <c r="K24" s="1055"/>
      <c r="L24" s="1055"/>
      <c r="M24" s="1055"/>
      <c r="N24" s="1041"/>
      <c r="P24" s="421"/>
      <c r="Q24" s="421"/>
      <c r="R24" s="1084">
        <v>10</v>
      </c>
      <c r="S24" s="823" t="str">
        <f t="shared" si="5"/>
        <v/>
      </c>
      <c r="T24" s="707"/>
      <c r="U24" s="708"/>
      <c r="V24" s="850"/>
      <c r="W24" s="1490"/>
      <c r="X24" s="1490"/>
      <c r="Y24" s="1490"/>
      <c r="Z24" s="482" t="str">
        <f>IF('#org22'!H18=6,0,IF(OR('#org22'!H18&lt;0.1,'#org22'!H18&gt;4),"",100))</f>
        <v/>
      </c>
      <c r="AA24" s="482" t="str">
        <f>IF('#org22'!H18=6,0,IF(OR('#org22'!H18&lt;0.1,'#org22'!H18&gt;4),"",100))</f>
        <v/>
      </c>
      <c r="AB24" s="1086" t="str">
        <f t="shared" si="6"/>
        <v/>
      </c>
      <c r="AC24" s="973"/>
      <c r="AD24" s="1041"/>
      <c r="AE24" s="1041"/>
      <c r="AF24" s="1084">
        <v>10</v>
      </c>
      <c r="AG24" s="843" t="str">
        <f t="shared" si="7"/>
        <v/>
      </c>
      <c r="AH24" s="623"/>
      <c r="AI24" s="622"/>
      <c r="AJ24" s="470"/>
      <c r="AK24" s="470"/>
      <c r="AL24" s="1086" t="str">
        <f t="shared" si="8"/>
        <v/>
      </c>
      <c r="AR24" s="1503"/>
      <c r="AS24" s="1493" t="s">
        <v>2410</v>
      </c>
      <c r="AT24" s="847">
        <v>25</v>
      </c>
      <c r="AU24" s="143">
        <v>58</v>
      </c>
      <c r="AV24" s="847">
        <v>5</v>
      </c>
      <c r="AW24" s="143">
        <v>10</v>
      </c>
      <c r="AX24" s="847">
        <v>0</v>
      </c>
      <c r="AY24" s="847">
        <v>0.65</v>
      </c>
      <c r="AZ24" s="846">
        <v>0</v>
      </c>
      <c r="BA24" s="419" t="s">
        <v>137</v>
      </c>
      <c r="BB24" s="847" t="s">
        <v>1877</v>
      </c>
      <c r="BF24" s="300">
        <f>IF(T24="",0,COUNTIF('#org22'!$D$66:$D$135,Vorauswahl!T24)+1)</f>
        <v>0</v>
      </c>
      <c r="BG24" s="300" t="b">
        <f t="shared" si="0"/>
        <v>0</v>
      </c>
      <c r="BH24" s="300" t="b">
        <f t="shared" si="1"/>
        <v>0</v>
      </c>
      <c r="BI24" s="300" t="b">
        <f t="shared" si="2"/>
        <v>0</v>
      </c>
      <c r="BJ24" s="300" t="b">
        <f t="shared" si="3"/>
        <v>0</v>
      </c>
      <c r="BK24" s="300" t="b">
        <f t="shared" si="4"/>
        <v>0</v>
      </c>
      <c r="BM24" s="418">
        <f t="shared" si="9"/>
        <v>8</v>
      </c>
      <c r="BN24" s="360"/>
      <c r="BO24" s="419"/>
      <c r="BP24" s="300">
        <f t="shared" si="11"/>
        <v>6</v>
      </c>
      <c r="BQ24" s="300">
        <f>IF(AND(BM24=0,T24&lt;&gt;'#org22'!$C$66),"",$BQ$13)</f>
        <v>1</v>
      </c>
      <c r="BR24" s="300">
        <f t="shared" si="10"/>
        <v>2</v>
      </c>
    </row>
    <row r="25" spans="2:75" ht="14.25" customHeight="1" x14ac:dyDescent="0.3">
      <c r="C25" s="1502"/>
      <c r="D25" s="1054" t="s">
        <v>2375</v>
      </c>
      <c r="E25" s="1055"/>
      <c r="F25" s="1055"/>
      <c r="G25" s="1056"/>
      <c r="H25" s="1055"/>
      <c r="I25" s="1055"/>
      <c r="J25" s="1055"/>
      <c r="K25" s="1055"/>
      <c r="L25" s="1055"/>
      <c r="M25" s="1055"/>
      <c r="N25" s="1041"/>
      <c r="S25" s="1014" t="s">
        <v>1261</v>
      </c>
      <c r="T25" s="1092" t="s">
        <v>1331</v>
      </c>
      <c r="U25" s="1092" t="s">
        <v>1332</v>
      </c>
      <c r="V25" s="1093" t="s">
        <v>1526</v>
      </c>
      <c r="W25" s="1093" t="s">
        <v>1334</v>
      </c>
      <c r="X25" s="1093" t="s">
        <v>1335</v>
      </c>
      <c r="Y25" s="1093" t="s">
        <v>1336</v>
      </c>
      <c r="Z25" s="1093" t="s">
        <v>1333</v>
      </c>
      <c r="AA25" s="1094" t="s">
        <v>1683</v>
      </c>
      <c r="AB25" s="1041"/>
      <c r="AG25" s="841" t="s">
        <v>1261</v>
      </c>
      <c r="AH25" s="1114" t="s">
        <v>1392</v>
      </c>
      <c r="AI25" s="300" t="s">
        <v>1332</v>
      </c>
      <c r="AJ25" s="721" t="s">
        <v>1493</v>
      </c>
      <c r="AK25" s="721" t="s">
        <v>0</v>
      </c>
      <c r="AR25" s="1503"/>
      <c r="AS25" s="1493" t="s">
        <v>1870</v>
      </c>
      <c r="AT25" s="847">
        <v>140</v>
      </c>
      <c r="AU25" s="143">
        <v>90</v>
      </c>
      <c r="AV25" s="847">
        <v>10</v>
      </c>
      <c r="AW25" s="143">
        <v>5</v>
      </c>
      <c r="AX25" s="847">
        <v>0</v>
      </c>
      <c r="AY25" s="847">
        <v>9.1999999999999998E-2</v>
      </c>
      <c r="AZ25" s="846">
        <v>0</v>
      </c>
      <c r="BA25" s="419" t="s">
        <v>137</v>
      </c>
      <c r="BB25" s="847" t="s">
        <v>1878</v>
      </c>
      <c r="BF25" s="300">
        <f>SUM(BF15:BF24)</f>
        <v>0</v>
      </c>
      <c r="BH25" s="300"/>
    </row>
    <row r="26" spans="2:75" ht="14.25" customHeight="1" x14ac:dyDescent="0.2">
      <c r="C26" s="1502"/>
      <c r="D26" s="1054" t="s">
        <v>2378</v>
      </c>
      <c r="E26" s="1055"/>
      <c r="F26" s="1055"/>
      <c r="G26" s="1056"/>
      <c r="H26" s="1055"/>
      <c r="I26" s="1055"/>
      <c r="J26" s="1055"/>
      <c r="K26" s="1055"/>
      <c r="L26" s="1055"/>
      <c r="M26" s="1055"/>
      <c r="N26" s="1041"/>
      <c r="S26" s="1015"/>
      <c r="T26" s="1051" t="s">
        <v>395</v>
      </c>
      <c r="U26" s="1051" t="s">
        <v>1124</v>
      </c>
      <c r="V26" s="1051"/>
      <c r="W26" s="1051"/>
      <c r="X26" s="1051"/>
      <c r="Y26" s="1051"/>
      <c r="Z26" s="1051"/>
      <c r="AA26" s="1051"/>
      <c r="AB26" s="1041"/>
      <c r="AF26" s="417"/>
      <c r="AG26" s="1503"/>
      <c r="AH26" s="938" t="s">
        <v>199</v>
      </c>
      <c r="AI26" s="938" t="s">
        <v>640</v>
      </c>
      <c r="AJ26" s="1374">
        <v>28</v>
      </c>
      <c r="AK26" s="173">
        <v>0</v>
      </c>
      <c r="AR26" s="72"/>
      <c r="BF26" s="300">
        <f>COUNTA(T15:T24)*2</f>
        <v>0</v>
      </c>
      <c r="BG26" s="361" t="s">
        <v>1537</v>
      </c>
      <c r="BI26" s="361"/>
      <c r="BP26" s="361"/>
    </row>
    <row r="27" spans="2:75" ht="14.25" customHeight="1" x14ac:dyDescent="0.2">
      <c r="C27" s="1502"/>
      <c r="D27" s="1054" t="s">
        <v>2379</v>
      </c>
      <c r="E27" s="1055"/>
      <c r="F27" s="1055"/>
      <c r="G27" s="1056"/>
      <c r="H27" s="1055"/>
      <c r="I27" s="1055"/>
      <c r="J27" s="1055"/>
      <c r="K27" s="1055"/>
      <c r="L27" s="1055"/>
      <c r="M27" s="1055"/>
      <c r="N27" s="1041"/>
      <c r="S27" s="1502"/>
      <c r="T27" s="938" t="s">
        <v>396</v>
      </c>
      <c r="U27" s="938" t="s">
        <v>397</v>
      </c>
      <c r="V27" s="1096"/>
      <c r="W27" s="1097">
        <v>3.3</v>
      </c>
      <c r="X27" s="1098">
        <v>1.65</v>
      </c>
      <c r="Y27" s="1097">
        <v>1.4</v>
      </c>
      <c r="Z27" s="1099">
        <v>100</v>
      </c>
      <c r="AA27" s="1099">
        <v>100</v>
      </c>
      <c r="AB27" s="1041"/>
      <c r="AF27" s="424"/>
      <c r="AG27" s="1506"/>
      <c r="AH27" s="938" t="s">
        <v>200</v>
      </c>
      <c r="AI27" s="938" t="s">
        <v>641</v>
      </c>
      <c r="AJ27" s="1374">
        <v>46</v>
      </c>
      <c r="AK27" s="173">
        <v>0</v>
      </c>
      <c r="AQ27" s="72" t="s">
        <v>1610</v>
      </c>
      <c r="AR27" s="1133"/>
      <c r="AS27" s="1041"/>
      <c r="AT27" s="1041"/>
      <c r="AU27" s="1041"/>
      <c r="AV27" s="1041"/>
      <c r="AW27" s="1041"/>
      <c r="AX27" s="1041"/>
      <c r="AY27" s="1041"/>
      <c r="AZ27" s="1041"/>
      <c r="BA27" s="1041"/>
    </row>
    <row r="28" spans="2:75" ht="14.25" customHeight="1" x14ac:dyDescent="0.2">
      <c r="C28" s="1502"/>
      <c r="D28" s="1054" t="s">
        <v>2380</v>
      </c>
      <c r="E28" s="1055"/>
      <c r="F28" s="1055"/>
      <c r="G28" s="1056"/>
      <c r="H28" s="1055"/>
      <c r="I28" s="1055"/>
      <c r="J28" s="1055"/>
      <c r="K28" s="1055"/>
      <c r="L28" s="1055"/>
      <c r="M28" s="1055"/>
      <c r="N28" s="1041"/>
      <c r="P28" s="422"/>
      <c r="Q28" s="422"/>
      <c r="S28" s="1502"/>
      <c r="T28" s="938" t="s">
        <v>398</v>
      </c>
      <c r="U28" s="938" t="s">
        <v>399</v>
      </c>
      <c r="V28" s="1096"/>
      <c r="W28" s="1097">
        <v>4.0999999999999996</v>
      </c>
      <c r="X28" s="1098">
        <v>2.0499999999999998</v>
      </c>
      <c r="Y28" s="1097">
        <v>1.7</v>
      </c>
      <c r="Z28" s="1099">
        <v>100</v>
      </c>
      <c r="AA28" s="1099">
        <v>100</v>
      </c>
      <c r="AB28" s="1041"/>
      <c r="AG28" s="1503"/>
      <c r="AH28" s="938" t="s">
        <v>317</v>
      </c>
      <c r="AI28" s="938" t="s">
        <v>642</v>
      </c>
      <c r="AJ28" s="1374">
        <v>21</v>
      </c>
      <c r="AK28" s="173">
        <v>0</v>
      </c>
      <c r="AQ28" s="354" t="s">
        <v>1228</v>
      </c>
      <c r="AR28" s="1115"/>
      <c r="AS28" s="1041"/>
      <c r="AT28" s="1041"/>
      <c r="AU28" s="1041"/>
      <c r="AV28" s="1041"/>
      <c r="AW28" s="1041"/>
      <c r="AX28" s="1041"/>
      <c r="AY28" s="1041"/>
      <c r="AZ28" s="1041"/>
      <c r="BA28" s="1041"/>
      <c r="BF28" s="423" t="s">
        <v>716</v>
      </c>
    </row>
    <row r="29" spans="2:75" ht="14.25" customHeight="1" x14ac:dyDescent="0.25">
      <c r="C29" s="1502"/>
      <c r="D29" s="1054" t="s">
        <v>1259</v>
      </c>
      <c r="E29" s="1055"/>
      <c r="F29" s="1055"/>
      <c r="G29" s="1056"/>
      <c r="H29" s="1055"/>
      <c r="I29" s="1055"/>
      <c r="J29" s="1055"/>
      <c r="K29" s="1055"/>
      <c r="L29" s="1055"/>
      <c r="M29" s="1055"/>
      <c r="N29" s="1058"/>
      <c r="O29" s="420"/>
      <c r="S29" s="1505"/>
      <c r="T29" s="938" t="s">
        <v>400</v>
      </c>
      <c r="U29" s="938" t="s">
        <v>401</v>
      </c>
      <c r="V29" s="1096"/>
      <c r="W29" s="1097">
        <v>3.1</v>
      </c>
      <c r="X29" s="1098">
        <v>1.55</v>
      </c>
      <c r="Y29" s="1097">
        <v>1.4</v>
      </c>
      <c r="Z29" s="1099">
        <v>100</v>
      </c>
      <c r="AA29" s="1099">
        <v>100</v>
      </c>
      <c r="AB29" s="1041"/>
      <c r="AG29" s="1503"/>
      <c r="AH29" s="938" t="s">
        <v>318</v>
      </c>
      <c r="AI29" s="938" t="s">
        <v>643</v>
      </c>
      <c r="AJ29" s="1374">
        <v>33</v>
      </c>
      <c r="AK29" s="173">
        <v>0</v>
      </c>
      <c r="AQ29" s="1553" t="s">
        <v>84</v>
      </c>
      <c r="AR29" s="1544" t="s">
        <v>1254</v>
      </c>
      <c r="AS29" s="1553" t="s">
        <v>494</v>
      </c>
      <c r="AT29" s="1064" t="s">
        <v>131</v>
      </c>
      <c r="AU29" s="1117" t="s">
        <v>51</v>
      </c>
      <c r="AV29" s="1118" t="s">
        <v>52</v>
      </c>
      <c r="AW29" s="1562" t="s">
        <v>53</v>
      </c>
      <c r="AX29" s="1563"/>
      <c r="AY29" s="1065" t="s">
        <v>1026</v>
      </c>
      <c r="AZ29" s="1065" t="s">
        <v>51</v>
      </c>
      <c r="BA29" s="1119" t="s">
        <v>249</v>
      </c>
      <c r="BB29" s="1130" t="s">
        <v>1033</v>
      </c>
      <c r="BM29" s="419" t="s">
        <v>717</v>
      </c>
      <c r="BN29" s="419"/>
      <c r="BO29" s="418"/>
    </row>
    <row r="30" spans="2:75" ht="14.25" customHeight="1" x14ac:dyDescent="0.2">
      <c r="C30" s="1502"/>
      <c r="D30" s="1054" t="s">
        <v>1485</v>
      </c>
      <c r="E30" s="1055"/>
      <c r="F30" s="1055"/>
      <c r="G30" s="1056"/>
      <c r="H30" s="1055"/>
      <c r="I30" s="1055"/>
      <c r="J30" s="1055"/>
      <c r="K30" s="1055"/>
      <c r="L30" s="1055"/>
      <c r="M30" s="1055"/>
      <c r="N30" s="1058"/>
      <c r="O30" s="420"/>
      <c r="P30" s="420"/>
      <c r="Q30" s="420"/>
      <c r="S30" s="1502"/>
      <c r="T30" s="938" t="s">
        <v>402</v>
      </c>
      <c r="U30" s="938" t="s">
        <v>403</v>
      </c>
      <c r="V30" s="1096"/>
      <c r="W30" s="1097">
        <v>3.9</v>
      </c>
      <c r="X30" s="1098">
        <v>1.95</v>
      </c>
      <c r="Y30" s="1097">
        <v>1.7</v>
      </c>
      <c r="Z30" s="1099">
        <v>100</v>
      </c>
      <c r="AA30" s="1099">
        <v>100</v>
      </c>
      <c r="AB30" s="1041"/>
      <c r="AG30" s="1503"/>
      <c r="AH30" s="938" t="s">
        <v>201</v>
      </c>
      <c r="AI30" s="938" t="s">
        <v>644</v>
      </c>
      <c r="AJ30" s="1374">
        <v>26</v>
      </c>
      <c r="AK30" s="173">
        <v>0</v>
      </c>
      <c r="AQ30" s="1554"/>
      <c r="AR30" s="1545"/>
      <c r="AS30" s="1554"/>
      <c r="AT30" s="1068" t="s">
        <v>1017</v>
      </c>
      <c r="AU30" s="1122" t="s">
        <v>54</v>
      </c>
      <c r="AV30" s="1123" t="s">
        <v>55</v>
      </c>
      <c r="AW30" s="1123" t="s">
        <v>56</v>
      </c>
      <c r="AX30" s="1123" t="s">
        <v>57</v>
      </c>
      <c r="AY30" s="1071" t="s">
        <v>72</v>
      </c>
      <c r="AZ30" s="1124" t="s">
        <v>1028</v>
      </c>
      <c r="BA30" s="1125" t="s">
        <v>250</v>
      </c>
      <c r="BB30" s="1131" t="s">
        <v>1034</v>
      </c>
      <c r="BE30" s="144"/>
      <c r="BL30" s="361"/>
      <c r="BM30" s="418"/>
      <c r="BN30" s="360"/>
      <c r="BO30" s="358"/>
    </row>
    <row r="31" spans="2:75" ht="14.25" customHeight="1" x14ac:dyDescent="0.2">
      <c r="C31" s="1502"/>
      <c r="D31" s="1054" t="s">
        <v>1480</v>
      </c>
      <c r="E31" s="1055"/>
      <c r="F31" s="1055"/>
      <c r="G31" s="1056"/>
      <c r="H31" s="1055"/>
      <c r="I31" s="1055"/>
      <c r="J31" s="1055"/>
      <c r="K31" s="1055"/>
      <c r="L31" s="1055"/>
      <c r="M31" s="1055"/>
      <c r="N31" s="1055"/>
      <c r="O31" s="144"/>
      <c r="P31" s="420"/>
      <c r="Q31" s="420"/>
      <c r="S31" s="1505"/>
      <c r="T31" s="938" t="s">
        <v>404</v>
      </c>
      <c r="U31" s="938" t="s">
        <v>405</v>
      </c>
      <c r="V31" s="1096"/>
      <c r="W31" s="1097">
        <v>4.0999999999999996</v>
      </c>
      <c r="X31" s="1098">
        <v>2.0499999999999998</v>
      </c>
      <c r="Y31" s="1097">
        <v>1.9</v>
      </c>
      <c r="Z31" s="1099">
        <v>100</v>
      </c>
      <c r="AA31" s="1099">
        <v>100</v>
      </c>
      <c r="AB31" s="1041"/>
      <c r="AG31" s="1503"/>
      <c r="AH31" s="938" t="s">
        <v>1848</v>
      </c>
      <c r="AI31" s="938" t="s">
        <v>1857</v>
      </c>
      <c r="AJ31" s="1374">
        <v>0.3</v>
      </c>
      <c r="AK31" s="1373">
        <v>1.4</v>
      </c>
      <c r="AQ31" s="1074"/>
      <c r="AR31" s="1126"/>
      <c r="AS31" s="1560"/>
      <c r="AT31" s="1078" t="s">
        <v>58</v>
      </c>
      <c r="AU31" s="1127" t="s">
        <v>59</v>
      </c>
      <c r="AV31" s="1128" t="s">
        <v>58</v>
      </c>
      <c r="AW31" s="1128" t="s">
        <v>59</v>
      </c>
      <c r="AX31" s="1128" t="s">
        <v>59</v>
      </c>
      <c r="AY31" s="1080" t="s">
        <v>73</v>
      </c>
      <c r="AZ31" s="1078" t="s">
        <v>73</v>
      </c>
      <c r="BA31" s="1129" t="str">
        <f>IF(BF77=BF76,"",BF11)</f>
        <v/>
      </c>
      <c r="BB31" s="1132"/>
      <c r="BE31" s="144"/>
      <c r="BH31" s="361" t="s">
        <v>197</v>
      </c>
      <c r="BI31" s="361" t="s">
        <v>6</v>
      </c>
      <c r="BL31" s="361"/>
      <c r="BM31" s="419" t="s">
        <v>1606</v>
      </c>
      <c r="BN31" s="360"/>
      <c r="BO31" s="419"/>
      <c r="BP31" s="361" t="s">
        <v>1083</v>
      </c>
      <c r="BQ31" s="300" t="s">
        <v>344</v>
      </c>
      <c r="BR31" s="361"/>
      <c r="BS31" s="361"/>
      <c r="BT31" s="361"/>
    </row>
    <row r="32" spans="2:75" ht="14.25" customHeight="1" x14ac:dyDescent="0.25">
      <c r="C32" s="1502"/>
      <c r="D32" s="1054" t="s">
        <v>1482</v>
      </c>
      <c r="E32" s="1055"/>
      <c r="F32" s="1055"/>
      <c r="G32" s="1053"/>
      <c r="H32" s="1055"/>
      <c r="I32" s="1055"/>
      <c r="J32" s="1055"/>
      <c r="K32" s="1055"/>
      <c r="L32" s="1055"/>
      <c r="M32" s="1055"/>
      <c r="N32" s="1050"/>
      <c r="O32" s="421"/>
      <c r="P32" s="144"/>
      <c r="Q32" s="144"/>
      <c r="S32" s="1502"/>
      <c r="T32" s="938" t="s">
        <v>1162</v>
      </c>
      <c r="U32" s="938" t="s">
        <v>406</v>
      </c>
      <c r="V32" s="1096"/>
      <c r="W32" s="1097">
        <v>3.7</v>
      </c>
      <c r="X32" s="1098">
        <v>0.37</v>
      </c>
      <c r="Y32" s="1097">
        <v>2.5</v>
      </c>
      <c r="Z32" s="1099">
        <v>100</v>
      </c>
      <c r="AA32" s="1099">
        <v>100</v>
      </c>
      <c r="AB32" s="1041"/>
      <c r="AG32" s="1503"/>
      <c r="AH32" s="938" t="s">
        <v>202</v>
      </c>
      <c r="AI32" s="938" t="s">
        <v>645</v>
      </c>
      <c r="AJ32" s="1357">
        <v>0</v>
      </c>
      <c r="AK32" s="1373">
        <v>6</v>
      </c>
      <c r="AQ32" s="1084">
        <v>1</v>
      </c>
      <c r="AR32" s="843" t="str">
        <f t="shared" ref="AR32:AR37" si="12">IF(BB32="OK","x","")</f>
        <v/>
      </c>
      <c r="AS32" s="626"/>
      <c r="AT32" s="471"/>
      <c r="AU32" s="471"/>
      <c r="AV32" s="471"/>
      <c r="AW32" s="471"/>
      <c r="AX32" s="471"/>
      <c r="AY32" s="472"/>
      <c r="AZ32" s="472"/>
      <c r="BA32" s="559"/>
      <c r="BB32" s="1083" t="str">
        <f t="shared" ref="BB32:BB37" si="13">IF(BP70&gt;8,"",IF(BP70-BQ70-COUNTBLANK(AS32)&lt;0,$BF$11,IF(BR70="","OK",TRIM(CONCATENATE($BQ$12," ",BR70)))))</f>
        <v/>
      </c>
      <c r="BE32" s="144"/>
      <c r="BM32" s="418"/>
      <c r="BN32" s="1561"/>
      <c r="BO32" s="1561"/>
      <c r="BQ32" s="300">
        <v>1</v>
      </c>
      <c r="BU32" s="361"/>
      <c r="BV32" s="361"/>
      <c r="BW32" s="361"/>
    </row>
    <row r="33" spans="3:71" ht="14.25" customHeight="1" x14ac:dyDescent="0.25">
      <c r="C33" s="1503"/>
      <c r="D33" s="1054" t="s">
        <v>1888</v>
      </c>
      <c r="E33" s="1055"/>
      <c r="F33" s="1055"/>
      <c r="G33" s="1056"/>
      <c r="H33" s="1055"/>
      <c r="I33" s="1055"/>
      <c r="J33" s="1055"/>
      <c r="K33" s="1055"/>
      <c r="L33" s="1055"/>
      <c r="M33" s="1055"/>
      <c r="N33" s="1050"/>
      <c r="O33" s="421"/>
      <c r="P33" s="421"/>
      <c r="Q33" s="421"/>
      <c r="S33" s="1502"/>
      <c r="T33" s="938" t="s">
        <v>1136</v>
      </c>
      <c r="U33" s="938" t="s">
        <v>407</v>
      </c>
      <c r="V33" s="1096"/>
      <c r="W33" s="1097">
        <v>4.0999999999999996</v>
      </c>
      <c r="X33" s="1098">
        <v>0.41</v>
      </c>
      <c r="Y33" s="1097">
        <v>2.1</v>
      </c>
      <c r="Z33" s="1099">
        <v>100</v>
      </c>
      <c r="AA33" s="1099">
        <v>100</v>
      </c>
      <c r="AB33" s="1041"/>
      <c r="AG33" s="1503"/>
      <c r="AH33" s="938" t="s">
        <v>203</v>
      </c>
      <c r="AI33" s="938" t="s">
        <v>646</v>
      </c>
      <c r="AJ33" s="1357">
        <v>0</v>
      </c>
      <c r="AK33" s="1373">
        <v>15</v>
      </c>
      <c r="AQ33" s="1084">
        <v>2</v>
      </c>
      <c r="AR33" s="843" t="str">
        <f t="shared" si="12"/>
        <v/>
      </c>
      <c r="AS33" s="626"/>
      <c r="AT33" s="471"/>
      <c r="AU33" s="471"/>
      <c r="AV33" s="471"/>
      <c r="AW33" s="471"/>
      <c r="AX33" s="471"/>
      <c r="AY33" s="472"/>
      <c r="AZ33" s="472"/>
      <c r="BA33" s="559"/>
      <c r="BB33" s="1083" t="str">
        <f t="shared" si="13"/>
        <v/>
      </c>
      <c r="BE33" s="144"/>
      <c r="BF33" s="300">
        <f>IF(AH15="",0,COUNTIF('#min'!$D$76:$D$81,Vorauswahl!AH15)+1)</f>
        <v>0</v>
      </c>
      <c r="BH33" s="300" t="b">
        <f t="shared" ref="BH33:BI38" si="14">ISNUMBER(AJ15)</f>
        <v>0</v>
      </c>
      <c r="BI33" s="300" t="b">
        <f t="shared" si="14"/>
        <v>0</v>
      </c>
      <c r="BM33" s="418">
        <f>COUNTBLANK(AH15:AK15)</f>
        <v>4</v>
      </c>
      <c r="BN33" s="360"/>
      <c r="BP33" s="300">
        <f>COUNTIF(BH33:BI33,$BH$9)+COUNTIF(BF33,"&lt;2")</f>
        <v>3</v>
      </c>
      <c r="BQ33" s="300">
        <f>IF(AND(BM33=0,AH15&lt;&gt;'#min'!$D$6),"",$BQ$32)</f>
        <v>1</v>
      </c>
    </row>
    <row r="34" spans="3:71" ht="14.25" customHeight="1" x14ac:dyDescent="0.25">
      <c r="C34" s="824"/>
      <c r="D34" s="1051" t="s">
        <v>1890</v>
      </c>
      <c r="E34" s="1052"/>
      <c r="F34" s="1052"/>
      <c r="G34" s="1056"/>
      <c r="H34" s="1052"/>
      <c r="I34" s="1052"/>
      <c r="J34" s="1052"/>
      <c r="K34" s="1052"/>
      <c r="L34" s="1052"/>
      <c r="M34" s="1052"/>
      <c r="N34" s="1050"/>
      <c r="O34" s="421"/>
      <c r="P34" s="421"/>
      <c r="Q34" s="421"/>
      <c r="S34" s="1505"/>
      <c r="T34" s="938" t="s">
        <v>408</v>
      </c>
      <c r="U34" s="938" t="s">
        <v>409</v>
      </c>
      <c r="V34" s="1096"/>
      <c r="W34" s="1097">
        <v>3.2</v>
      </c>
      <c r="X34" s="1098">
        <v>2.88</v>
      </c>
      <c r="Y34" s="1097">
        <v>0.2</v>
      </c>
      <c r="Z34" s="1099">
        <v>100</v>
      </c>
      <c r="AA34" s="1099">
        <v>100</v>
      </c>
      <c r="AB34" s="1041"/>
      <c r="AG34" s="1503"/>
      <c r="AH34" s="938" t="s">
        <v>1172</v>
      </c>
      <c r="AI34" s="938" t="s">
        <v>647</v>
      </c>
      <c r="AJ34" s="1357">
        <v>0</v>
      </c>
      <c r="AK34" s="1373">
        <v>26</v>
      </c>
      <c r="AQ34" s="1084">
        <v>3</v>
      </c>
      <c r="AR34" s="843" t="str">
        <f t="shared" si="12"/>
        <v/>
      </c>
      <c r="AS34" s="626"/>
      <c r="AT34" s="471"/>
      <c r="AU34" s="471"/>
      <c r="AV34" s="471"/>
      <c r="AW34" s="471"/>
      <c r="AX34" s="471"/>
      <c r="AY34" s="472"/>
      <c r="AZ34" s="472"/>
      <c r="BA34" s="559"/>
      <c r="BB34" s="1083" t="str">
        <f t="shared" si="13"/>
        <v/>
      </c>
      <c r="BE34" s="144"/>
      <c r="BF34" s="300">
        <f>IF(AH16="",0,COUNTIF('#min'!$D$76:$D$81,Vorauswahl!AH16)+1)</f>
        <v>0</v>
      </c>
      <c r="BH34" s="300" t="b">
        <f t="shared" si="14"/>
        <v>0</v>
      </c>
      <c r="BI34" s="300" t="b">
        <f t="shared" si="14"/>
        <v>0</v>
      </c>
      <c r="BM34" s="418">
        <f t="shared" ref="BM34:BM42" si="15">COUNTBLANK(AH16:AK16)</f>
        <v>4</v>
      </c>
      <c r="BN34" s="360"/>
      <c r="BP34" s="300">
        <f t="shared" ref="BP34:BP42" si="16">COUNTIF(BH34:BI34,$BH$9)+COUNTIF(BF34,"&lt;2")</f>
        <v>3</v>
      </c>
      <c r="BQ34" s="300">
        <f>IF(AND(BM34=0,AH16&lt;&gt;'#min'!$D$6),"",$BQ$32)</f>
        <v>1</v>
      </c>
    </row>
    <row r="35" spans="3:71" ht="14.25" customHeight="1" x14ac:dyDescent="0.25">
      <c r="C35" s="1502"/>
      <c r="D35" s="938" t="s">
        <v>88</v>
      </c>
      <c r="E35" s="1055"/>
      <c r="F35" s="1055"/>
      <c r="G35" s="1056"/>
      <c r="H35" s="1055"/>
      <c r="I35" s="1055"/>
      <c r="J35" s="1055"/>
      <c r="K35" s="1055"/>
      <c r="L35" s="1055"/>
      <c r="M35" s="1055"/>
      <c r="N35" s="1050"/>
      <c r="O35" s="421"/>
      <c r="P35" s="421"/>
      <c r="Q35" s="421"/>
      <c r="S35" s="1015"/>
      <c r="T35" s="1051" t="s">
        <v>410</v>
      </c>
      <c r="U35" s="1051" t="s">
        <v>1123</v>
      </c>
      <c r="V35" s="1051"/>
      <c r="W35" s="1051"/>
      <c r="X35" s="1051"/>
      <c r="Y35" s="1051"/>
      <c r="Z35" s="1051"/>
      <c r="AA35" s="1051"/>
      <c r="AB35" s="1041"/>
      <c r="AG35" s="1503"/>
      <c r="AH35" s="938" t="s">
        <v>319</v>
      </c>
      <c r="AI35" s="938" t="s">
        <v>648</v>
      </c>
      <c r="AJ35" s="1374">
        <v>15</v>
      </c>
      <c r="AK35" s="1373">
        <v>5</v>
      </c>
      <c r="AQ35" s="1084">
        <v>4</v>
      </c>
      <c r="AR35" s="843" t="str">
        <f t="shared" si="12"/>
        <v/>
      </c>
      <c r="AS35" s="626"/>
      <c r="AT35" s="471"/>
      <c r="AU35" s="471"/>
      <c r="AV35" s="471"/>
      <c r="AW35" s="471"/>
      <c r="AX35" s="471"/>
      <c r="AY35" s="472"/>
      <c r="AZ35" s="472"/>
      <c r="BA35" s="559"/>
      <c r="BB35" s="1083" t="str">
        <f t="shared" si="13"/>
        <v/>
      </c>
      <c r="BE35" s="144"/>
      <c r="BF35" s="300">
        <f>IF(AH17="",0,COUNTIF('#min'!$D$76:$D$81,Vorauswahl!AH17)+1)</f>
        <v>0</v>
      </c>
      <c r="BH35" s="300" t="b">
        <f t="shared" si="14"/>
        <v>0</v>
      </c>
      <c r="BI35" s="300" t="b">
        <f t="shared" si="14"/>
        <v>0</v>
      </c>
      <c r="BM35" s="418">
        <f t="shared" si="15"/>
        <v>4</v>
      </c>
      <c r="BN35" s="360"/>
      <c r="BP35" s="300">
        <f t="shared" si="16"/>
        <v>3</v>
      </c>
      <c r="BQ35" s="300">
        <f>IF(AND(BM35=0,AH17&lt;&gt;'#min'!$D$6),"",$BQ$32)</f>
        <v>1</v>
      </c>
    </row>
    <row r="36" spans="3:71" ht="14.25" customHeight="1" x14ac:dyDescent="0.25">
      <c r="C36" s="1502"/>
      <c r="D36" s="938" t="s">
        <v>89</v>
      </c>
      <c r="E36" s="1055"/>
      <c r="F36" s="1055"/>
      <c r="G36" s="1056"/>
      <c r="H36" s="1055"/>
      <c r="I36" s="1055"/>
      <c r="J36" s="1055"/>
      <c r="K36" s="1055"/>
      <c r="L36" s="1055"/>
      <c r="M36" s="1055"/>
      <c r="N36" s="1041"/>
      <c r="P36" s="421"/>
      <c r="Q36" s="421"/>
      <c r="S36" s="1502"/>
      <c r="T36" s="1095" t="s">
        <v>1163</v>
      </c>
      <c r="U36" s="1101" t="s">
        <v>411</v>
      </c>
      <c r="V36" s="1096"/>
      <c r="W36" s="1097">
        <v>5.7</v>
      </c>
      <c r="X36" s="1098">
        <v>3.42</v>
      </c>
      <c r="Y36" s="1097">
        <v>3</v>
      </c>
      <c r="Z36" s="1099">
        <v>100</v>
      </c>
      <c r="AA36" s="1099">
        <v>100</v>
      </c>
      <c r="AB36" s="1041"/>
      <c r="AG36" s="1503"/>
      <c r="AH36" s="938" t="s">
        <v>204</v>
      </c>
      <c r="AI36" s="938" t="s">
        <v>649</v>
      </c>
      <c r="AJ36" s="1374">
        <v>25</v>
      </c>
      <c r="AK36" s="1373">
        <v>15</v>
      </c>
      <c r="AQ36" s="1084">
        <v>5</v>
      </c>
      <c r="AR36" s="843" t="str">
        <f t="shared" si="12"/>
        <v/>
      </c>
      <c r="AS36" s="626"/>
      <c r="AT36" s="471"/>
      <c r="AU36" s="471"/>
      <c r="AV36" s="471"/>
      <c r="AW36" s="471"/>
      <c r="AX36" s="471"/>
      <c r="AY36" s="472"/>
      <c r="AZ36" s="472"/>
      <c r="BA36" s="559"/>
      <c r="BB36" s="1083" t="str">
        <f t="shared" si="13"/>
        <v/>
      </c>
      <c r="BE36" s="144"/>
      <c r="BF36" s="300">
        <f>IF(AH18="",0,COUNTIF('#min'!$D$76:$D$81,Vorauswahl!AH18)+1)</f>
        <v>0</v>
      </c>
      <c r="BH36" s="300" t="b">
        <f t="shared" si="14"/>
        <v>0</v>
      </c>
      <c r="BI36" s="300" t="b">
        <f t="shared" si="14"/>
        <v>0</v>
      </c>
      <c r="BM36" s="418">
        <f t="shared" si="15"/>
        <v>4</v>
      </c>
      <c r="BN36" s="360"/>
      <c r="BP36" s="300">
        <f t="shared" si="16"/>
        <v>3</v>
      </c>
      <c r="BQ36" s="300">
        <f>IF(AND(BM36=0,AH18&lt;&gt;'#min'!$D$6),"",$BQ$32)</f>
        <v>1</v>
      </c>
    </row>
    <row r="37" spans="3:71" ht="14.25" customHeight="1" x14ac:dyDescent="0.2">
      <c r="C37" s="1502"/>
      <c r="D37" s="938" t="s">
        <v>90</v>
      </c>
      <c r="E37" s="1055"/>
      <c r="F37" s="1055"/>
      <c r="G37" s="1056"/>
      <c r="H37" s="1055"/>
      <c r="I37" s="1055"/>
      <c r="J37" s="1055"/>
      <c r="K37" s="1055"/>
      <c r="L37" s="1055"/>
      <c r="M37" s="1059"/>
      <c r="N37" s="1041"/>
      <c r="S37" s="1505"/>
      <c r="T37" s="1095" t="s">
        <v>412</v>
      </c>
      <c r="U37" s="1101" t="s">
        <v>413</v>
      </c>
      <c r="V37" s="1096"/>
      <c r="W37" s="1097">
        <v>5.5</v>
      </c>
      <c r="X37" s="1098">
        <v>3.3</v>
      </c>
      <c r="Y37" s="1097">
        <v>2.6</v>
      </c>
      <c r="Z37" s="1099">
        <v>100</v>
      </c>
      <c r="AA37" s="1099">
        <v>100</v>
      </c>
      <c r="AB37" s="1041"/>
      <c r="AG37" s="1503"/>
      <c r="AH37" s="938" t="s">
        <v>205</v>
      </c>
      <c r="AI37" s="938" t="s">
        <v>650</v>
      </c>
      <c r="AJ37" s="1374">
        <v>46</v>
      </c>
      <c r="AK37" s="173">
        <v>0</v>
      </c>
      <c r="AQ37" s="1084">
        <v>6</v>
      </c>
      <c r="AR37" s="931" t="str">
        <f t="shared" si="12"/>
        <v/>
      </c>
      <c r="AS37" s="932"/>
      <c r="AT37" s="471"/>
      <c r="AU37" s="471"/>
      <c r="AV37" s="471"/>
      <c r="AW37" s="471"/>
      <c r="AX37" s="471"/>
      <c r="AY37" s="472"/>
      <c r="AZ37" s="472"/>
      <c r="BA37" s="546"/>
      <c r="BB37" s="1083" t="str">
        <f t="shared" si="13"/>
        <v/>
      </c>
      <c r="BF37" s="300">
        <f>IF(AH19="",0,COUNTIF('#min'!$D$76:$D$81,Vorauswahl!AH19)+1)</f>
        <v>0</v>
      </c>
      <c r="BH37" s="300" t="b">
        <f t="shared" si="14"/>
        <v>0</v>
      </c>
      <c r="BI37" s="300" t="b">
        <f t="shared" si="14"/>
        <v>0</v>
      </c>
      <c r="BM37" s="418">
        <f t="shared" si="15"/>
        <v>4</v>
      </c>
      <c r="BN37" s="360"/>
      <c r="BP37" s="300">
        <f t="shared" si="16"/>
        <v>3</v>
      </c>
      <c r="BQ37" s="300">
        <f>IF(AND(BM37=0,AH19&lt;&gt;'#min'!$D$6),"",$BQ$32)</f>
        <v>1</v>
      </c>
    </row>
    <row r="38" spans="3:71" ht="14.25" customHeight="1" x14ac:dyDescent="0.2">
      <c r="C38" s="1502"/>
      <c r="D38" s="938" t="s">
        <v>16</v>
      </c>
      <c r="E38" s="1055"/>
      <c r="F38" s="1055"/>
      <c r="G38" s="1056"/>
      <c r="H38" s="1055"/>
      <c r="I38" s="1055"/>
      <c r="J38" s="1055"/>
      <c r="K38" s="1055"/>
      <c r="L38" s="1055"/>
      <c r="M38" s="1055"/>
      <c r="N38" s="1041"/>
      <c r="S38" s="1505"/>
      <c r="T38" s="1095" t="s">
        <v>414</v>
      </c>
      <c r="U38" s="1101" t="s">
        <v>415</v>
      </c>
      <c r="V38" s="1096"/>
      <c r="W38" s="1097">
        <v>5</v>
      </c>
      <c r="X38" s="1098">
        <v>3</v>
      </c>
      <c r="Y38" s="1097">
        <v>2.4</v>
      </c>
      <c r="Z38" s="1099">
        <v>100</v>
      </c>
      <c r="AA38" s="1099">
        <v>100</v>
      </c>
      <c r="AB38" s="1041"/>
      <c r="AG38" s="1503"/>
      <c r="AH38" s="938" t="s">
        <v>320</v>
      </c>
      <c r="AI38" s="938" t="s">
        <v>651</v>
      </c>
      <c r="AJ38" s="1374">
        <v>46</v>
      </c>
      <c r="AK38" s="173">
        <v>0</v>
      </c>
      <c r="BF38" s="300">
        <f>IF(AH20="",0,COUNTIF('#min'!$D$76:$D$81,Vorauswahl!AH20)+1)</f>
        <v>0</v>
      </c>
      <c r="BH38" s="300" t="b">
        <f t="shared" si="14"/>
        <v>0</v>
      </c>
      <c r="BI38" s="300" t="b">
        <f t="shared" si="14"/>
        <v>0</v>
      </c>
      <c r="BM38" s="418">
        <f t="shared" si="15"/>
        <v>4</v>
      </c>
      <c r="BN38" s="360"/>
      <c r="BP38" s="300">
        <f t="shared" si="16"/>
        <v>3</v>
      </c>
      <c r="BQ38" s="300">
        <f>IF(AND(BM38=0,AH20&lt;&gt;'#min'!$D$6),"",$BQ$32)</f>
        <v>1</v>
      </c>
    </row>
    <row r="39" spans="3:71" ht="14.25" customHeight="1" x14ac:dyDescent="0.2">
      <c r="C39" s="1502"/>
      <c r="D39" s="938" t="s">
        <v>533</v>
      </c>
      <c r="E39" s="1055"/>
      <c r="F39" s="1055"/>
      <c r="G39" s="1053"/>
      <c r="H39" s="1055"/>
      <c r="I39" s="1055"/>
      <c r="J39" s="1055"/>
      <c r="K39" s="1055"/>
      <c r="L39" s="1055"/>
      <c r="M39" s="1058"/>
      <c r="N39" s="1041"/>
      <c r="S39" s="1505"/>
      <c r="T39" s="1095" t="s">
        <v>416</v>
      </c>
      <c r="U39" s="1101" t="s">
        <v>417</v>
      </c>
      <c r="V39" s="1096"/>
      <c r="W39" s="1097">
        <v>4.5999999999999996</v>
      </c>
      <c r="X39" s="1098">
        <v>2.76</v>
      </c>
      <c r="Y39" s="1097">
        <v>2.5</v>
      </c>
      <c r="Z39" s="1099">
        <v>100</v>
      </c>
      <c r="AA39" s="1099">
        <v>100</v>
      </c>
      <c r="AB39" s="1041"/>
      <c r="AG39" s="1503"/>
      <c r="AH39" s="938" t="s">
        <v>206</v>
      </c>
      <c r="AI39" s="938" t="s">
        <v>652</v>
      </c>
      <c r="AJ39" s="1357">
        <v>0</v>
      </c>
      <c r="AK39" s="173">
        <v>0</v>
      </c>
      <c r="BF39" s="300">
        <f>IF(AH21="",0,COUNTIF('#min'!$D$76:$D$81,Vorauswahl!AH21)+1)</f>
        <v>0</v>
      </c>
      <c r="BH39" s="300" t="b">
        <f t="shared" ref="BH39:BI42" si="17">ISNUMBER(AJ21)</f>
        <v>0</v>
      </c>
      <c r="BI39" s="300" t="b">
        <f t="shared" si="17"/>
        <v>0</v>
      </c>
      <c r="BM39" s="418">
        <f t="shared" si="15"/>
        <v>4</v>
      </c>
      <c r="BN39" s="360"/>
      <c r="BP39" s="300">
        <f t="shared" si="16"/>
        <v>3</v>
      </c>
      <c r="BQ39" s="300">
        <f>IF(AND(BM39=0,AH21&lt;&gt;'#min'!$D$6),"",$BQ$32)</f>
        <v>1</v>
      </c>
    </row>
    <row r="40" spans="3:71" ht="14.25" customHeight="1" x14ac:dyDescent="0.2">
      <c r="C40" s="1502"/>
      <c r="D40" s="938" t="s">
        <v>18</v>
      </c>
      <c r="E40" s="1055"/>
      <c r="F40" s="1055"/>
      <c r="G40" s="1056"/>
      <c r="H40" s="1055"/>
      <c r="I40" s="1055"/>
      <c r="J40" s="1055"/>
      <c r="K40" s="1055"/>
      <c r="L40" s="1055"/>
      <c r="M40" s="1058"/>
      <c r="N40" s="1041"/>
      <c r="S40" s="1505"/>
      <c r="T40" s="1095" t="s">
        <v>1845</v>
      </c>
      <c r="U40" s="1101" t="s">
        <v>418</v>
      </c>
      <c r="V40" s="1096"/>
      <c r="W40" s="1097">
        <v>4.0999999999999996</v>
      </c>
      <c r="X40" s="1098">
        <v>2.46</v>
      </c>
      <c r="Y40" s="1097">
        <v>2.2000000000000002</v>
      </c>
      <c r="Z40" s="1099">
        <v>100</v>
      </c>
      <c r="AA40" s="1099">
        <v>100</v>
      </c>
      <c r="AB40" s="1041"/>
      <c r="AG40" s="1503"/>
      <c r="AH40" s="938" t="s">
        <v>207</v>
      </c>
      <c r="AI40" s="938" t="s">
        <v>653</v>
      </c>
      <c r="AJ40" s="1357">
        <v>0</v>
      </c>
      <c r="AK40" s="173">
        <v>0</v>
      </c>
      <c r="BF40" s="300">
        <f>IF(AH22="",0,COUNTIF('#min'!$D$76:$D$81,Vorauswahl!AH22)+1)</f>
        <v>0</v>
      </c>
      <c r="BH40" s="300" t="b">
        <f t="shared" si="17"/>
        <v>0</v>
      </c>
      <c r="BI40" s="300" t="b">
        <f t="shared" si="17"/>
        <v>0</v>
      </c>
      <c r="BM40" s="418">
        <f t="shared" si="15"/>
        <v>4</v>
      </c>
      <c r="BN40" s="360"/>
      <c r="BP40" s="300">
        <f t="shared" si="16"/>
        <v>3</v>
      </c>
      <c r="BQ40" s="300">
        <f>IF(AND(BM40=0,AH22&lt;&gt;'#min'!$D$6),"",$BQ$32)</f>
        <v>1</v>
      </c>
    </row>
    <row r="41" spans="3:71" ht="14.25" customHeight="1" x14ac:dyDescent="0.2">
      <c r="C41" s="1502"/>
      <c r="D41" s="938" t="s">
        <v>17</v>
      </c>
      <c r="E41" s="1055"/>
      <c r="F41" s="1055"/>
      <c r="G41" s="1056"/>
      <c r="H41" s="1055"/>
      <c r="I41" s="1055"/>
      <c r="J41" s="1055"/>
      <c r="K41" s="1055"/>
      <c r="L41" s="1055"/>
      <c r="M41" s="1055"/>
      <c r="N41" s="1041"/>
      <c r="S41" s="1505"/>
      <c r="T41" s="1063" t="s">
        <v>419</v>
      </c>
      <c r="U41" s="1101" t="s">
        <v>420</v>
      </c>
      <c r="V41" s="1096"/>
      <c r="W41" s="1097">
        <v>3.9</v>
      </c>
      <c r="X41" s="1098">
        <v>2.34</v>
      </c>
      <c r="Y41" s="1097">
        <v>2.1</v>
      </c>
      <c r="Z41" s="1099">
        <v>100</v>
      </c>
      <c r="AA41" s="1099">
        <v>100</v>
      </c>
      <c r="AB41" s="1041"/>
      <c r="AG41" s="1503"/>
      <c r="AH41" s="938" t="s">
        <v>208</v>
      </c>
      <c r="AI41" s="938" t="s">
        <v>654</v>
      </c>
      <c r="AJ41" s="1374">
        <v>27</v>
      </c>
      <c r="AK41" s="173">
        <v>0</v>
      </c>
      <c r="BF41" s="300">
        <f>IF(AH23="",0,COUNTIF('#min'!$D$76:$D$81,Vorauswahl!AH23)+1)</f>
        <v>0</v>
      </c>
      <c r="BH41" s="300" t="b">
        <f t="shared" si="17"/>
        <v>0</v>
      </c>
      <c r="BI41" s="300" t="b">
        <f t="shared" si="17"/>
        <v>0</v>
      </c>
      <c r="BM41" s="418">
        <f t="shared" si="15"/>
        <v>4</v>
      </c>
      <c r="BN41" s="360"/>
      <c r="BP41" s="300">
        <f t="shared" si="16"/>
        <v>3</v>
      </c>
      <c r="BQ41" s="300">
        <f>IF(AND(BM41=0,AH23&lt;&gt;'#min'!$D$6),"",$BQ$32)</f>
        <v>1</v>
      </c>
    </row>
    <row r="42" spans="3:71" ht="14.25" customHeight="1" x14ac:dyDescent="0.25">
      <c r="C42" s="1502"/>
      <c r="D42" s="938" t="s">
        <v>1891</v>
      </c>
      <c r="E42" s="1055"/>
      <c r="F42" s="1055"/>
      <c r="G42" s="1390"/>
      <c r="H42" s="1055"/>
      <c r="I42" s="1055"/>
      <c r="J42" s="1055"/>
      <c r="K42" s="1055"/>
      <c r="L42" s="1055"/>
      <c r="M42" s="1050"/>
      <c r="N42" s="1041"/>
      <c r="S42" s="1505"/>
      <c r="T42" s="1063" t="s">
        <v>421</v>
      </c>
      <c r="U42" s="1096" t="s">
        <v>422</v>
      </c>
      <c r="V42" s="1096"/>
      <c r="W42" s="1097">
        <v>6</v>
      </c>
      <c r="X42" s="1098">
        <v>0.6</v>
      </c>
      <c r="Y42" s="1097">
        <v>4.3</v>
      </c>
      <c r="Z42" s="1099">
        <v>100</v>
      </c>
      <c r="AA42" s="1099">
        <v>100</v>
      </c>
      <c r="AB42" s="1041"/>
      <c r="AG42" s="1503"/>
      <c r="AH42" s="938" t="s">
        <v>209</v>
      </c>
      <c r="AI42" s="938" t="s">
        <v>655</v>
      </c>
      <c r="AJ42" s="1374">
        <v>24</v>
      </c>
      <c r="AK42" s="173">
        <v>0</v>
      </c>
      <c r="BF42" s="827">
        <f>IF(AH24="",0,COUNTIF('#min'!$D$76:$D$81,Vorauswahl!AH24)+1)</f>
        <v>0</v>
      </c>
      <c r="BH42" s="300" t="b">
        <f t="shared" si="17"/>
        <v>0</v>
      </c>
      <c r="BI42" s="300" t="b">
        <f t="shared" si="17"/>
        <v>0</v>
      </c>
      <c r="BM42" s="418">
        <f t="shared" si="15"/>
        <v>4</v>
      </c>
      <c r="BN42" s="360"/>
      <c r="BP42" s="300">
        <f t="shared" si="16"/>
        <v>3</v>
      </c>
      <c r="BQ42" s="300">
        <f>IF(AND(BM42=0,AH24&lt;&gt;'#min'!$D$6),"",$BQ$32)</f>
        <v>1</v>
      </c>
    </row>
    <row r="43" spans="3:71" ht="15" x14ac:dyDescent="0.25">
      <c r="C43" s="1502"/>
      <c r="D43" s="938" t="s">
        <v>19</v>
      </c>
      <c r="E43" s="1055"/>
      <c r="F43" s="1055"/>
      <c r="G43" s="1391"/>
      <c r="H43" s="1055"/>
      <c r="I43" s="1055"/>
      <c r="J43" s="1055"/>
      <c r="K43" s="1055"/>
      <c r="L43" s="1055"/>
      <c r="M43" s="1050"/>
      <c r="N43" s="1041"/>
      <c r="S43" s="1505"/>
      <c r="T43" s="1063" t="s">
        <v>423</v>
      </c>
      <c r="U43" s="1096" t="s">
        <v>424</v>
      </c>
      <c r="V43" s="1096"/>
      <c r="W43" s="1097">
        <v>5.2</v>
      </c>
      <c r="X43" s="1098">
        <v>0.52</v>
      </c>
      <c r="Y43" s="1097">
        <v>2.9</v>
      </c>
      <c r="Z43" s="1099">
        <v>100</v>
      </c>
      <c r="AA43" s="1099">
        <v>100</v>
      </c>
      <c r="AB43" s="1041"/>
      <c r="AG43" s="1503"/>
      <c r="AH43" s="938" t="s">
        <v>210</v>
      </c>
      <c r="AI43" s="938" t="s">
        <v>656</v>
      </c>
      <c r="AJ43" s="1374">
        <v>19.8</v>
      </c>
      <c r="AK43" s="173">
        <v>0</v>
      </c>
      <c r="BF43" s="300">
        <f>SUM(BF33:BF42)</f>
        <v>0</v>
      </c>
      <c r="BH43" s="300"/>
    </row>
    <row r="44" spans="3:71" ht="15" x14ac:dyDescent="0.25">
      <c r="C44" s="1502"/>
      <c r="D44" s="938" t="s">
        <v>20</v>
      </c>
      <c r="E44" s="1055"/>
      <c r="F44" s="1055"/>
      <c r="G44" s="1060"/>
      <c r="H44" s="1055"/>
      <c r="I44" s="1055"/>
      <c r="J44" s="1055"/>
      <c r="K44" s="1055"/>
      <c r="L44" s="1055"/>
      <c r="M44" s="1050"/>
      <c r="N44" s="1041"/>
      <c r="S44" s="1505"/>
      <c r="T44" s="1063" t="s">
        <v>425</v>
      </c>
      <c r="U44" s="1096" t="s">
        <v>426</v>
      </c>
      <c r="V44" s="1096"/>
      <c r="W44" s="1097">
        <v>3.3</v>
      </c>
      <c r="X44" s="1098">
        <v>2.97</v>
      </c>
      <c r="Y44" s="1097">
        <v>0.2</v>
      </c>
      <c r="Z44" s="1099">
        <v>100</v>
      </c>
      <c r="AA44" s="1099">
        <v>100</v>
      </c>
      <c r="AB44" s="1041"/>
      <c r="AG44" s="1503"/>
      <c r="AH44" s="938" t="s">
        <v>321</v>
      </c>
      <c r="AI44" s="938" t="s">
        <v>657</v>
      </c>
      <c r="AJ44" s="1357">
        <v>0</v>
      </c>
      <c r="AK44" s="173">
        <v>0</v>
      </c>
      <c r="BF44" s="300">
        <f>COUNTA(AH15:AH20)*2</f>
        <v>0</v>
      </c>
      <c r="BG44" s="361" t="s">
        <v>1537</v>
      </c>
      <c r="BH44" s="300"/>
      <c r="BP44" s="361"/>
    </row>
    <row r="45" spans="3:71" ht="14.25" customHeight="1" x14ac:dyDescent="0.25">
      <c r="C45" s="1502"/>
      <c r="D45" s="938" t="s">
        <v>21</v>
      </c>
      <c r="E45" s="1055"/>
      <c r="F45" s="1055"/>
      <c r="G45" s="1055"/>
      <c r="H45" s="1055"/>
      <c r="I45" s="1055"/>
      <c r="J45" s="1055"/>
      <c r="K45" s="1055"/>
      <c r="L45" s="1055"/>
      <c r="M45" s="1050"/>
      <c r="N45" s="1041"/>
      <c r="S45" s="1015"/>
      <c r="T45" s="1051" t="s">
        <v>427</v>
      </c>
      <c r="U45" s="1051" t="s">
        <v>1122</v>
      </c>
      <c r="V45" s="1051"/>
      <c r="W45" s="1051"/>
      <c r="X45" s="1051"/>
      <c r="Y45" s="1051"/>
      <c r="Z45" s="1051"/>
      <c r="AA45" s="1051"/>
      <c r="AB45" s="1041"/>
      <c r="AG45" s="1503"/>
      <c r="AH45" s="938" t="s">
        <v>211</v>
      </c>
      <c r="AI45" s="938" t="s">
        <v>658</v>
      </c>
      <c r="AJ45" s="1357">
        <v>0</v>
      </c>
      <c r="AK45" s="173">
        <v>0</v>
      </c>
      <c r="BH45" s="300"/>
    </row>
    <row r="46" spans="3:71" ht="14.25" customHeight="1" x14ac:dyDescent="0.2">
      <c r="C46" s="1502"/>
      <c r="D46" s="938" t="s">
        <v>22</v>
      </c>
      <c r="E46" s="1055"/>
      <c r="F46" s="1055"/>
      <c r="G46" s="1055"/>
      <c r="H46" s="1055"/>
      <c r="I46" s="1055"/>
      <c r="J46" s="1055"/>
      <c r="K46" s="1055"/>
      <c r="L46" s="1055"/>
      <c r="M46" s="1055"/>
      <c r="N46" s="1041"/>
      <c r="S46" s="1502"/>
      <c r="T46" s="1063" t="s">
        <v>428</v>
      </c>
      <c r="U46" s="1100" t="s">
        <v>429</v>
      </c>
      <c r="V46" s="1096"/>
      <c r="W46" s="1097">
        <v>20.3</v>
      </c>
      <c r="X46" s="1098">
        <v>9.14</v>
      </c>
      <c r="Y46" s="1097">
        <v>16</v>
      </c>
      <c r="Z46" s="1099">
        <v>100</v>
      </c>
      <c r="AA46" s="1099">
        <v>100</v>
      </c>
      <c r="AB46" s="1041"/>
      <c r="AG46" s="1503"/>
      <c r="AH46" s="938" t="s">
        <v>1849</v>
      </c>
      <c r="AI46" s="938" t="s">
        <v>659</v>
      </c>
      <c r="AJ46" s="1374">
        <v>12</v>
      </c>
      <c r="AK46" s="1373">
        <v>12</v>
      </c>
    </row>
    <row r="47" spans="3:71" ht="14.25" x14ac:dyDescent="0.2">
      <c r="C47" s="1502"/>
      <c r="D47" s="938" t="s">
        <v>2</v>
      </c>
      <c r="E47" s="1055"/>
      <c r="F47" s="1055"/>
      <c r="G47" s="1055"/>
      <c r="H47" s="1055"/>
      <c r="I47" s="1055"/>
      <c r="J47" s="1055"/>
      <c r="K47" s="1055"/>
      <c r="L47" s="1055"/>
      <c r="M47" s="1055"/>
      <c r="N47" s="1041"/>
      <c r="P47" s="299"/>
      <c r="Q47" s="299"/>
      <c r="S47" s="1505"/>
      <c r="T47" s="1063" t="s">
        <v>1164</v>
      </c>
      <c r="U47" s="1100" t="s">
        <v>430</v>
      </c>
      <c r="V47" s="1096"/>
      <c r="W47" s="1097">
        <v>22.1</v>
      </c>
      <c r="X47" s="1098">
        <v>9.9499999999999993</v>
      </c>
      <c r="Y47" s="1097">
        <v>17.5</v>
      </c>
      <c r="Z47" s="1099">
        <v>100</v>
      </c>
      <c r="AA47" s="1099">
        <v>100</v>
      </c>
      <c r="AB47" s="1041"/>
      <c r="AG47" s="1503"/>
      <c r="AH47" s="938" t="s">
        <v>1850</v>
      </c>
      <c r="AI47" s="938" t="s">
        <v>660</v>
      </c>
      <c r="AJ47" s="1374">
        <v>14</v>
      </c>
      <c r="AK47" s="1373">
        <v>10</v>
      </c>
      <c r="BF47" s="361" t="s">
        <v>1497</v>
      </c>
    </row>
    <row r="48" spans="3:71" ht="14.25" x14ac:dyDescent="0.2">
      <c r="C48" s="1502"/>
      <c r="D48" s="938" t="s">
        <v>3</v>
      </c>
      <c r="E48" s="1055"/>
      <c r="F48" s="1055"/>
      <c r="G48" s="1055"/>
      <c r="H48" s="1055"/>
      <c r="I48" s="1055"/>
      <c r="J48" s="1055"/>
      <c r="K48" s="1055"/>
      <c r="L48" s="1055"/>
      <c r="M48" s="1055"/>
      <c r="N48" s="1041"/>
      <c r="P48" s="299"/>
      <c r="Q48" s="299"/>
      <c r="S48" s="1502"/>
      <c r="T48" s="1063" t="s">
        <v>431</v>
      </c>
      <c r="U48" s="1100" t="s">
        <v>432</v>
      </c>
      <c r="V48" s="1096"/>
      <c r="W48" s="1097">
        <v>20.6</v>
      </c>
      <c r="X48" s="1098">
        <v>9.27</v>
      </c>
      <c r="Y48" s="1097">
        <v>19</v>
      </c>
      <c r="Z48" s="1099">
        <v>100</v>
      </c>
      <c r="AA48" s="1099">
        <v>100</v>
      </c>
      <c r="AB48" s="1041"/>
      <c r="AG48" s="1503"/>
      <c r="AH48" s="938" t="s">
        <v>1851</v>
      </c>
      <c r="AI48" s="938" t="s">
        <v>661</v>
      </c>
      <c r="AJ48" s="1374">
        <v>20</v>
      </c>
      <c r="AK48" s="1373">
        <v>20</v>
      </c>
      <c r="BQ48" s="361" t="s">
        <v>1606</v>
      </c>
      <c r="BR48" s="361" t="s">
        <v>1083</v>
      </c>
      <c r="BS48" s="300" t="s">
        <v>344</v>
      </c>
    </row>
    <row r="49" spans="3:71" ht="14.25" x14ac:dyDescent="0.2">
      <c r="C49" s="1502"/>
      <c r="D49" s="938" t="s">
        <v>543</v>
      </c>
      <c r="E49" s="1055"/>
      <c r="F49" s="1055"/>
      <c r="G49" s="1055"/>
      <c r="H49" s="1055"/>
      <c r="I49" s="1055"/>
      <c r="J49" s="1055"/>
      <c r="K49" s="1055"/>
      <c r="L49" s="1055"/>
      <c r="M49" s="1055"/>
      <c r="N49" s="1041"/>
      <c r="P49" s="299"/>
      <c r="Q49" s="299"/>
      <c r="S49" s="1505"/>
      <c r="T49" s="1063" t="s">
        <v>433</v>
      </c>
      <c r="U49" s="1100" t="s">
        <v>434</v>
      </c>
      <c r="V49" s="1096"/>
      <c r="W49" s="1097">
        <v>19.7</v>
      </c>
      <c r="X49" s="1098">
        <v>8.8699999999999992</v>
      </c>
      <c r="Y49" s="1097">
        <v>15.7</v>
      </c>
      <c r="Z49" s="1099">
        <v>100</v>
      </c>
      <c r="AA49" s="1099">
        <v>100</v>
      </c>
      <c r="AB49" s="1041"/>
      <c r="AG49" s="1503"/>
      <c r="AH49" s="938" t="s">
        <v>1852</v>
      </c>
      <c r="AI49" s="938" t="s">
        <v>662</v>
      </c>
      <c r="AJ49" s="1374">
        <v>20</v>
      </c>
      <c r="AK49" s="1373">
        <v>10</v>
      </c>
      <c r="BS49" s="300">
        <v>1</v>
      </c>
    </row>
    <row r="50" spans="3:71" ht="14.25" x14ac:dyDescent="0.2">
      <c r="C50" s="1502"/>
      <c r="D50" s="938" t="s">
        <v>23</v>
      </c>
      <c r="E50" s="1055"/>
      <c r="F50" s="1055"/>
      <c r="G50" s="1055"/>
      <c r="H50" s="1055"/>
      <c r="I50" s="1055"/>
      <c r="J50" s="1055"/>
      <c r="K50" s="1055"/>
      <c r="L50" s="1055"/>
      <c r="M50" s="1055"/>
      <c r="N50" s="1041"/>
      <c r="P50" s="299"/>
      <c r="Q50" s="299"/>
      <c r="S50" s="1505"/>
      <c r="T50" s="1063" t="s">
        <v>435</v>
      </c>
      <c r="U50" s="1096" t="s">
        <v>436</v>
      </c>
      <c r="V50" s="1096"/>
      <c r="W50" s="1097">
        <v>6.5</v>
      </c>
      <c r="X50" s="1098">
        <v>2.93</v>
      </c>
      <c r="Y50" s="1097">
        <v>6</v>
      </c>
      <c r="Z50" s="1099">
        <v>100</v>
      </c>
      <c r="AA50" s="1099">
        <v>100</v>
      </c>
      <c r="AB50" s="1041"/>
      <c r="AG50" s="1503"/>
      <c r="AH50" s="938" t="s">
        <v>1853</v>
      </c>
      <c r="AI50" s="938" t="s">
        <v>663</v>
      </c>
      <c r="AJ50" s="1374">
        <v>24</v>
      </c>
      <c r="AK50" s="1373">
        <v>14</v>
      </c>
      <c r="BF50" s="300">
        <f>IF(M378="",0,COUNTIF('#Boden'!$G$38:$G$41,M378)+1)</f>
        <v>0</v>
      </c>
      <c r="BG50" s="418"/>
      <c r="BH50" s="360" t="b">
        <f t="shared" ref="BH50:BH59" si="18">IF(AND(ISNUMBER(E378)=TRUE,E378&gt;=0),TRUE,FALSE)</f>
        <v>0</v>
      </c>
      <c r="BI50" s="360" t="b">
        <f t="shared" ref="BI50:BI59" si="19">ISNUMBER(F378)</f>
        <v>0</v>
      </c>
      <c r="BJ50" s="360" t="b">
        <f t="shared" ref="BJ50:BJ59" si="20">IF(AND(ISNUMBER(G378)=TRUE,G378&gt;0),TRUE,FALSE)</f>
        <v>0</v>
      </c>
      <c r="BK50" s="360" t="b">
        <f t="shared" ref="BK50:BK59" si="21">IF(AND(ISNUMBER(H378)=TRUE,H378&gt;=0),TRUE,FALSE)</f>
        <v>0</v>
      </c>
      <c r="BL50" s="360" t="b">
        <f t="shared" ref="BL50:BL59" si="22">IF(AND(ISNUMBER(I378)=TRUE,I378&gt;=0),TRUE,FALSE)</f>
        <v>0</v>
      </c>
      <c r="BM50" s="360" t="b">
        <f t="shared" ref="BM50:BM59" si="23">ISNUMBER(J378)</f>
        <v>0</v>
      </c>
      <c r="BN50" s="360" t="b">
        <f t="shared" ref="BN50:BN59" si="24">IF(AND(ISNUMBER(K378)=TRUE,K378&gt;=0),TRUE,FALSE)</f>
        <v>0</v>
      </c>
      <c r="BO50" s="360" t="b">
        <f t="shared" ref="BO50:BO59" si="25">IF(AND(ISNUMBER(L378),L378&gt;=0),TRUE,FALSE)</f>
        <v>0</v>
      </c>
      <c r="BQ50" s="359">
        <f t="shared" ref="BQ50:BQ59" si="26">COUNTBLANK(E378:M378)</f>
        <v>9</v>
      </c>
      <c r="BR50" s="300">
        <f>COUNTIF(BH50:BO50,FALSE)+COUNTIF(BF50,"&lt;2")</f>
        <v>9</v>
      </c>
      <c r="BS50" s="300">
        <f>IF(BQ50=0,"",BS$49)</f>
        <v>1</v>
      </c>
    </row>
    <row r="51" spans="3:71" ht="14.25" x14ac:dyDescent="0.2">
      <c r="C51" s="1502"/>
      <c r="D51" s="938" t="s">
        <v>24</v>
      </c>
      <c r="E51" s="1055"/>
      <c r="F51" s="1055"/>
      <c r="G51" s="1055"/>
      <c r="H51" s="1055"/>
      <c r="I51" s="1055"/>
      <c r="J51" s="1055"/>
      <c r="K51" s="1055"/>
      <c r="L51" s="1055"/>
      <c r="M51" s="1055"/>
      <c r="N51" s="1041"/>
      <c r="P51" s="299"/>
      <c r="Q51" s="299"/>
      <c r="S51" s="1505"/>
      <c r="T51" s="1063" t="s">
        <v>437</v>
      </c>
      <c r="U51" s="1100" t="s">
        <v>438</v>
      </c>
      <c r="V51" s="1096"/>
      <c r="W51" s="1097">
        <v>7.8</v>
      </c>
      <c r="X51" s="1098">
        <v>3.51</v>
      </c>
      <c r="Y51" s="1097">
        <v>8.1</v>
      </c>
      <c r="Z51" s="1099">
        <v>100</v>
      </c>
      <c r="AA51" s="1099">
        <v>100</v>
      </c>
      <c r="AB51" s="1041"/>
      <c r="AG51" s="1503"/>
      <c r="AH51" s="938" t="s">
        <v>322</v>
      </c>
      <c r="AI51" s="938" t="s">
        <v>664</v>
      </c>
      <c r="AJ51" s="1374">
        <v>27</v>
      </c>
      <c r="AK51" s="173">
        <v>0</v>
      </c>
      <c r="BF51" s="300">
        <f>IF(M379="",0,COUNTIF('#Boden'!$G$38:$G$41,M379)+1)</f>
        <v>0</v>
      </c>
      <c r="BG51" s="418"/>
      <c r="BH51" s="360" t="b">
        <f t="shared" si="18"/>
        <v>0</v>
      </c>
      <c r="BI51" s="360" t="b">
        <f t="shared" si="19"/>
        <v>0</v>
      </c>
      <c r="BJ51" s="360" t="b">
        <f t="shared" si="20"/>
        <v>0</v>
      </c>
      <c r="BK51" s="360" t="b">
        <f t="shared" si="21"/>
        <v>0</v>
      </c>
      <c r="BL51" s="360" t="b">
        <f t="shared" si="22"/>
        <v>0</v>
      </c>
      <c r="BM51" s="360" t="b">
        <f t="shared" si="23"/>
        <v>0</v>
      </c>
      <c r="BN51" s="360" t="b">
        <f t="shared" si="24"/>
        <v>0</v>
      </c>
      <c r="BO51" s="360" t="b">
        <f t="shared" si="25"/>
        <v>0</v>
      </c>
      <c r="BQ51" s="359">
        <f t="shared" si="26"/>
        <v>9</v>
      </c>
      <c r="BR51" s="300">
        <f t="shared" ref="BR51:BR58" si="27">COUNTIF(BH51:BO51,FALSE)+COUNTIF(BF51,"&lt;2")</f>
        <v>9</v>
      </c>
      <c r="BS51" s="300">
        <f t="shared" ref="BS51:BS59" si="28">IF(BQ51=0,"",BS$49)</f>
        <v>1</v>
      </c>
    </row>
    <row r="52" spans="3:71" ht="14.25" x14ac:dyDescent="0.2">
      <c r="C52" s="824"/>
      <c r="D52" s="1051" t="s">
        <v>1892</v>
      </c>
      <c r="E52" s="1055"/>
      <c r="F52" s="1055"/>
      <c r="G52" s="1055"/>
      <c r="H52" s="1055"/>
      <c r="I52" s="1055"/>
      <c r="J52" s="1055"/>
      <c r="K52" s="1055"/>
      <c r="L52" s="1055"/>
      <c r="M52" s="1055"/>
      <c r="N52" s="1041"/>
      <c r="P52" s="299"/>
      <c r="Q52" s="299"/>
      <c r="S52" s="1015"/>
      <c r="T52" s="1051" t="s">
        <v>439</v>
      </c>
      <c r="U52" s="1051" t="s">
        <v>1121</v>
      </c>
      <c r="V52" s="1051"/>
      <c r="W52" s="1051"/>
      <c r="X52" s="1051"/>
      <c r="Y52" s="1051"/>
      <c r="Z52" s="1051"/>
      <c r="AA52" s="1051"/>
      <c r="AB52" s="1041"/>
      <c r="AG52" s="1503"/>
      <c r="AH52" s="938" t="s">
        <v>212</v>
      </c>
      <c r="AI52" s="938" t="s">
        <v>665</v>
      </c>
      <c r="AJ52" s="1357">
        <v>0</v>
      </c>
      <c r="AK52" s="173">
        <v>0</v>
      </c>
      <c r="BF52" s="300">
        <f>IF(M380="",0,COUNTIF('#Boden'!$G$38:$G$41,M380)+1)</f>
        <v>0</v>
      </c>
      <c r="BG52" s="418"/>
      <c r="BH52" s="360" t="b">
        <f t="shared" si="18"/>
        <v>0</v>
      </c>
      <c r="BI52" s="360" t="b">
        <f t="shared" si="19"/>
        <v>0</v>
      </c>
      <c r="BJ52" s="360" t="b">
        <f t="shared" si="20"/>
        <v>0</v>
      </c>
      <c r="BK52" s="360" t="b">
        <f t="shared" si="21"/>
        <v>0</v>
      </c>
      <c r="BL52" s="360" t="b">
        <f t="shared" si="22"/>
        <v>0</v>
      </c>
      <c r="BM52" s="360" t="b">
        <f t="shared" si="23"/>
        <v>0</v>
      </c>
      <c r="BN52" s="360" t="b">
        <f t="shared" si="24"/>
        <v>0</v>
      </c>
      <c r="BO52" s="360" t="b">
        <f t="shared" si="25"/>
        <v>0</v>
      </c>
      <c r="BQ52" s="359">
        <f t="shared" si="26"/>
        <v>9</v>
      </c>
      <c r="BR52" s="300">
        <f t="shared" si="27"/>
        <v>9</v>
      </c>
      <c r="BS52" s="300">
        <f t="shared" si="28"/>
        <v>1</v>
      </c>
    </row>
    <row r="53" spans="3:71" ht="14.25" x14ac:dyDescent="0.2">
      <c r="C53" s="1504"/>
      <c r="D53" s="938" t="s">
        <v>1893</v>
      </c>
      <c r="E53" s="1052"/>
      <c r="F53" s="1052"/>
      <c r="G53" s="1052"/>
      <c r="H53" s="1052"/>
      <c r="I53" s="1052"/>
      <c r="J53" s="1052"/>
      <c r="K53" s="1052"/>
      <c r="L53" s="1052"/>
      <c r="M53" s="1052"/>
      <c r="N53" s="1041"/>
      <c r="P53" s="299"/>
      <c r="Q53" s="299"/>
      <c r="S53" s="1505"/>
      <c r="T53" s="1063" t="s">
        <v>440</v>
      </c>
      <c r="U53" s="1100" t="s">
        <v>441</v>
      </c>
      <c r="V53" s="1096"/>
      <c r="W53" s="1097">
        <v>3.6</v>
      </c>
      <c r="X53" s="1098">
        <v>0.36</v>
      </c>
      <c r="Y53" s="1097">
        <v>2.7</v>
      </c>
      <c r="Z53" s="1099">
        <v>100</v>
      </c>
      <c r="AA53" s="1099">
        <v>100</v>
      </c>
      <c r="AB53" s="1041"/>
      <c r="AG53" s="1503"/>
      <c r="AH53" s="938" t="s">
        <v>213</v>
      </c>
      <c r="AI53" s="938" t="s">
        <v>666</v>
      </c>
      <c r="AJ53" s="1357">
        <v>0</v>
      </c>
      <c r="AK53" s="1373">
        <v>23</v>
      </c>
      <c r="BF53" s="300">
        <f>IF(M381="",0,COUNTIF('#Boden'!$G$38:$G$41,M381)+1)</f>
        <v>0</v>
      </c>
      <c r="BG53" s="418"/>
      <c r="BH53" s="360" t="b">
        <f t="shared" si="18"/>
        <v>0</v>
      </c>
      <c r="BI53" s="360" t="b">
        <f t="shared" si="19"/>
        <v>0</v>
      </c>
      <c r="BJ53" s="360" t="b">
        <f t="shared" si="20"/>
        <v>0</v>
      </c>
      <c r="BK53" s="360" t="b">
        <f t="shared" si="21"/>
        <v>0</v>
      </c>
      <c r="BL53" s="360" t="b">
        <f t="shared" si="22"/>
        <v>0</v>
      </c>
      <c r="BM53" s="360" t="b">
        <f t="shared" si="23"/>
        <v>0</v>
      </c>
      <c r="BN53" s="360" t="b">
        <f t="shared" si="24"/>
        <v>0</v>
      </c>
      <c r="BO53" s="360" t="b">
        <f t="shared" si="25"/>
        <v>0</v>
      </c>
      <c r="BQ53" s="359">
        <f t="shared" si="26"/>
        <v>9</v>
      </c>
      <c r="BR53" s="300">
        <f t="shared" si="27"/>
        <v>9</v>
      </c>
      <c r="BS53" s="300">
        <f t="shared" si="28"/>
        <v>1</v>
      </c>
    </row>
    <row r="54" spans="3:71" ht="14.25" x14ac:dyDescent="0.2">
      <c r="C54" s="1502"/>
      <c r="D54" s="938" t="s">
        <v>26</v>
      </c>
      <c r="E54" s="1055"/>
      <c r="F54" s="1055"/>
      <c r="G54" s="1055"/>
      <c r="H54" s="1055"/>
      <c r="I54" s="1055"/>
      <c r="J54" s="1055"/>
      <c r="K54" s="1055"/>
      <c r="L54" s="1055"/>
      <c r="M54" s="1055"/>
      <c r="N54" s="1041"/>
      <c r="P54" s="299"/>
      <c r="Q54" s="299"/>
      <c r="S54" s="1505"/>
      <c r="T54" s="1063" t="s">
        <v>442</v>
      </c>
      <c r="U54" s="1096" t="s">
        <v>443</v>
      </c>
      <c r="V54" s="1096"/>
      <c r="W54" s="1097">
        <v>5.9</v>
      </c>
      <c r="X54" s="1098">
        <v>0.59</v>
      </c>
      <c r="Y54" s="1097">
        <v>3.1</v>
      </c>
      <c r="Z54" s="1099">
        <v>100</v>
      </c>
      <c r="AA54" s="1099">
        <v>100</v>
      </c>
      <c r="AB54" s="1041"/>
      <c r="AG54" s="1503"/>
      <c r="AH54" s="938" t="s">
        <v>1854</v>
      </c>
      <c r="AI54" s="938" t="s">
        <v>667</v>
      </c>
      <c r="AJ54" s="1374">
        <v>18</v>
      </c>
      <c r="AK54" s="1373">
        <v>46</v>
      </c>
      <c r="BF54" s="300">
        <f>IF(M382="",0,COUNTIF('#Boden'!$G$38:$G$41,M382)+1)</f>
        <v>0</v>
      </c>
      <c r="BG54" s="418"/>
      <c r="BH54" s="360" t="b">
        <f t="shared" si="18"/>
        <v>0</v>
      </c>
      <c r="BI54" s="360" t="b">
        <f t="shared" si="19"/>
        <v>0</v>
      </c>
      <c r="BJ54" s="360" t="b">
        <f t="shared" si="20"/>
        <v>0</v>
      </c>
      <c r="BK54" s="360" t="b">
        <f t="shared" si="21"/>
        <v>0</v>
      </c>
      <c r="BL54" s="360" t="b">
        <f t="shared" si="22"/>
        <v>0</v>
      </c>
      <c r="BM54" s="360" t="b">
        <f t="shared" si="23"/>
        <v>0</v>
      </c>
      <c r="BN54" s="360" t="b">
        <f t="shared" si="24"/>
        <v>0</v>
      </c>
      <c r="BO54" s="360" t="b">
        <f t="shared" si="25"/>
        <v>0</v>
      </c>
      <c r="BQ54" s="359">
        <f t="shared" si="26"/>
        <v>9</v>
      </c>
      <c r="BR54" s="300">
        <f t="shared" si="27"/>
        <v>9</v>
      </c>
      <c r="BS54" s="300">
        <f t="shared" si="28"/>
        <v>1</v>
      </c>
    </row>
    <row r="55" spans="3:71" ht="14.25" x14ac:dyDescent="0.2">
      <c r="C55" s="1502"/>
      <c r="D55" s="938" t="s">
        <v>549</v>
      </c>
      <c r="E55" s="1055"/>
      <c r="F55" s="1055"/>
      <c r="G55" s="1055"/>
      <c r="H55" s="1055"/>
      <c r="I55" s="1055"/>
      <c r="J55" s="1055"/>
      <c r="K55" s="1055"/>
      <c r="L55" s="1055"/>
      <c r="M55" s="1055"/>
      <c r="N55" s="1041"/>
      <c r="P55" s="299"/>
      <c r="Q55" s="299"/>
      <c r="S55" s="1505"/>
      <c r="T55" s="1063" t="s">
        <v>444</v>
      </c>
      <c r="U55" s="1100" t="s">
        <v>445</v>
      </c>
      <c r="V55" s="1096"/>
      <c r="W55" s="1097">
        <v>5.6</v>
      </c>
      <c r="X55" s="1098">
        <v>0.56000000000000005</v>
      </c>
      <c r="Y55" s="1102">
        <v>5.7</v>
      </c>
      <c r="Z55" s="1099">
        <v>100</v>
      </c>
      <c r="AA55" s="1099">
        <v>100</v>
      </c>
      <c r="AB55" s="1041"/>
      <c r="AG55" s="1503"/>
      <c r="AH55" s="938" t="s">
        <v>1165</v>
      </c>
      <c r="AI55" s="938" t="s">
        <v>668</v>
      </c>
      <c r="AJ55" s="1374">
        <v>12</v>
      </c>
      <c r="AK55" s="1373">
        <v>12</v>
      </c>
      <c r="BF55" s="300">
        <f>IF(M383="",0,COUNTIF('#Boden'!$G$38:$G$41,M383)+1)</f>
        <v>0</v>
      </c>
      <c r="BG55" s="418"/>
      <c r="BH55" s="360" t="b">
        <f t="shared" si="18"/>
        <v>0</v>
      </c>
      <c r="BI55" s="360" t="b">
        <f t="shared" si="19"/>
        <v>0</v>
      </c>
      <c r="BJ55" s="360" t="b">
        <f t="shared" si="20"/>
        <v>0</v>
      </c>
      <c r="BK55" s="360" t="b">
        <f t="shared" si="21"/>
        <v>0</v>
      </c>
      <c r="BL55" s="360" t="b">
        <f t="shared" si="22"/>
        <v>0</v>
      </c>
      <c r="BM55" s="360" t="b">
        <f t="shared" si="23"/>
        <v>0</v>
      </c>
      <c r="BN55" s="360" t="b">
        <f t="shared" si="24"/>
        <v>0</v>
      </c>
      <c r="BO55" s="360" t="b">
        <f t="shared" si="25"/>
        <v>0</v>
      </c>
      <c r="BQ55" s="359">
        <f t="shared" si="26"/>
        <v>9</v>
      </c>
      <c r="BR55" s="300">
        <f t="shared" si="27"/>
        <v>9</v>
      </c>
      <c r="BS55" s="300">
        <f t="shared" si="28"/>
        <v>1</v>
      </c>
    </row>
    <row r="56" spans="3:71" x14ac:dyDescent="0.2">
      <c r="C56" s="1502"/>
      <c r="D56" s="938" t="s">
        <v>25</v>
      </c>
      <c r="E56" s="1055"/>
      <c r="F56" s="1055"/>
      <c r="G56" s="1055"/>
      <c r="H56" s="1055"/>
      <c r="I56" s="1055"/>
      <c r="J56" s="1055"/>
      <c r="K56" s="1055"/>
      <c r="L56" s="1055"/>
      <c r="M56" s="1055"/>
      <c r="N56" s="1041"/>
      <c r="S56" s="1015"/>
      <c r="T56" s="1051" t="s">
        <v>446</v>
      </c>
      <c r="U56" s="1051" t="s">
        <v>1120</v>
      </c>
      <c r="V56" s="1051"/>
      <c r="W56" s="1051"/>
      <c r="X56" s="1051"/>
      <c r="Y56" s="1051"/>
      <c r="Z56" s="1051"/>
      <c r="AA56" s="1051"/>
      <c r="AB56" s="1041"/>
      <c r="AG56" s="1503"/>
      <c r="AH56" s="938" t="s">
        <v>1166</v>
      </c>
      <c r="AI56" s="938" t="s">
        <v>669</v>
      </c>
      <c r="AJ56" s="1374">
        <v>12</v>
      </c>
      <c r="AK56" s="1373">
        <v>12</v>
      </c>
      <c r="BF56" s="300">
        <f>IF(M384="",0,COUNTIF('#Boden'!$G$38:$G$41,M384)+1)</f>
        <v>0</v>
      </c>
      <c r="BG56" s="418"/>
      <c r="BH56" s="360" t="b">
        <f t="shared" si="18"/>
        <v>0</v>
      </c>
      <c r="BI56" s="360" t="b">
        <f t="shared" si="19"/>
        <v>0</v>
      </c>
      <c r="BJ56" s="360" t="b">
        <f t="shared" si="20"/>
        <v>0</v>
      </c>
      <c r="BK56" s="360" t="b">
        <f t="shared" si="21"/>
        <v>0</v>
      </c>
      <c r="BL56" s="360" t="b">
        <f t="shared" si="22"/>
        <v>0</v>
      </c>
      <c r="BM56" s="360" t="b">
        <f t="shared" si="23"/>
        <v>0</v>
      </c>
      <c r="BN56" s="360" t="b">
        <f t="shared" si="24"/>
        <v>0</v>
      </c>
      <c r="BO56" s="360" t="b">
        <f t="shared" si="25"/>
        <v>0</v>
      </c>
      <c r="BQ56" s="359">
        <f t="shared" si="26"/>
        <v>9</v>
      </c>
      <c r="BR56" s="300">
        <f t="shared" si="27"/>
        <v>9</v>
      </c>
      <c r="BS56" s="300">
        <f t="shared" si="28"/>
        <v>1</v>
      </c>
    </row>
    <row r="57" spans="3:71" x14ac:dyDescent="0.2">
      <c r="C57" s="1502"/>
      <c r="D57" s="938" t="s">
        <v>27</v>
      </c>
      <c r="E57" s="1055"/>
      <c r="F57" s="1055"/>
      <c r="G57" s="1055"/>
      <c r="H57" s="1055"/>
      <c r="I57" s="1055"/>
      <c r="J57" s="1055"/>
      <c r="K57" s="1055"/>
      <c r="L57" s="1055"/>
      <c r="M57" s="1055"/>
      <c r="N57" s="1041"/>
      <c r="S57" s="1502"/>
      <c r="T57" s="1063" t="s">
        <v>447</v>
      </c>
      <c r="U57" s="1100" t="s">
        <v>448</v>
      </c>
      <c r="V57" s="1096"/>
      <c r="W57" s="1097">
        <v>5</v>
      </c>
      <c r="X57" s="1098">
        <v>0</v>
      </c>
      <c r="Y57" s="1097">
        <v>3</v>
      </c>
      <c r="Z57" s="1099">
        <v>0</v>
      </c>
      <c r="AA57" s="1099">
        <v>0</v>
      </c>
      <c r="AB57" s="1041"/>
      <c r="AG57" s="1503"/>
      <c r="AH57" s="938" t="s">
        <v>214</v>
      </c>
      <c r="AI57" s="938" t="s">
        <v>670</v>
      </c>
      <c r="AJ57" s="1374">
        <v>12</v>
      </c>
      <c r="AK57" s="1373">
        <v>12</v>
      </c>
      <c r="BF57" s="300">
        <f>IF(M385="",0,COUNTIF('#Boden'!$G$38:$G$41,M385)+1)</f>
        <v>0</v>
      </c>
      <c r="BG57" s="418"/>
      <c r="BH57" s="360" t="b">
        <f t="shared" si="18"/>
        <v>0</v>
      </c>
      <c r="BI57" s="360" t="b">
        <f t="shared" si="19"/>
        <v>0</v>
      </c>
      <c r="BJ57" s="360" t="b">
        <f t="shared" si="20"/>
        <v>0</v>
      </c>
      <c r="BK57" s="360" t="b">
        <f t="shared" si="21"/>
        <v>0</v>
      </c>
      <c r="BL57" s="360" t="b">
        <f t="shared" si="22"/>
        <v>0</v>
      </c>
      <c r="BM57" s="360" t="b">
        <f t="shared" si="23"/>
        <v>0</v>
      </c>
      <c r="BN57" s="360" t="b">
        <f t="shared" si="24"/>
        <v>0</v>
      </c>
      <c r="BO57" s="360" t="b">
        <f t="shared" si="25"/>
        <v>0</v>
      </c>
      <c r="BQ57" s="359">
        <f t="shared" si="26"/>
        <v>9</v>
      </c>
      <c r="BR57" s="300">
        <f t="shared" si="27"/>
        <v>9</v>
      </c>
      <c r="BS57" s="300">
        <f t="shared" si="28"/>
        <v>1</v>
      </c>
    </row>
    <row r="58" spans="3:71" x14ac:dyDescent="0.2">
      <c r="C58" s="824"/>
      <c r="D58" s="1051" t="s">
        <v>1894</v>
      </c>
      <c r="E58" s="1052"/>
      <c r="F58" s="1052"/>
      <c r="G58" s="1052"/>
      <c r="H58" s="1052"/>
      <c r="I58" s="1052"/>
      <c r="J58" s="1052"/>
      <c r="K58" s="1052"/>
      <c r="L58" s="1052"/>
      <c r="M58" s="1052"/>
      <c r="N58" s="1041"/>
      <c r="S58" s="1505"/>
      <c r="T58" s="1063" t="s">
        <v>94</v>
      </c>
      <c r="U58" s="1100" t="s">
        <v>449</v>
      </c>
      <c r="V58" s="1096"/>
      <c r="W58" s="1103">
        <v>5</v>
      </c>
      <c r="X58" s="1098">
        <v>0</v>
      </c>
      <c r="Y58" s="1097">
        <v>3</v>
      </c>
      <c r="Z58" s="1099">
        <v>0</v>
      </c>
      <c r="AA58" s="1099">
        <v>0</v>
      </c>
      <c r="AB58" s="1041"/>
      <c r="AG58" s="1503"/>
      <c r="AH58" s="938" t="s">
        <v>323</v>
      </c>
      <c r="AI58" s="938" t="s">
        <v>671</v>
      </c>
      <c r="AJ58" s="1374">
        <v>13</v>
      </c>
      <c r="AK58" s="1373">
        <v>9</v>
      </c>
      <c r="BF58" s="300">
        <f>IF(M386="",0,COUNTIF('#Boden'!$G$38:$G$41,M386)+1)</f>
        <v>0</v>
      </c>
      <c r="BG58" s="418"/>
      <c r="BH58" s="360" t="b">
        <f t="shared" si="18"/>
        <v>0</v>
      </c>
      <c r="BI58" s="360" t="b">
        <f t="shared" si="19"/>
        <v>0</v>
      </c>
      <c r="BJ58" s="360" t="b">
        <f t="shared" si="20"/>
        <v>0</v>
      </c>
      <c r="BK58" s="360" t="b">
        <f t="shared" si="21"/>
        <v>0</v>
      </c>
      <c r="BL58" s="360" t="b">
        <f t="shared" si="22"/>
        <v>0</v>
      </c>
      <c r="BM58" s="360" t="b">
        <f t="shared" si="23"/>
        <v>0</v>
      </c>
      <c r="BN58" s="360" t="b">
        <f t="shared" si="24"/>
        <v>0</v>
      </c>
      <c r="BO58" s="360" t="b">
        <f t="shared" si="25"/>
        <v>0</v>
      </c>
      <c r="BQ58" s="359">
        <f t="shared" si="26"/>
        <v>9</v>
      </c>
      <c r="BR58" s="300">
        <f t="shared" si="27"/>
        <v>9</v>
      </c>
      <c r="BS58" s="300">
        <f t="shared" si="28"/>
        <v>1</v>
      </c>
    </row>
    <row r="59" spans="3:71" x14ac:dyDescent="0.2">
      <c r="C59" s="1502"/>
      <c r="D59" s="938" t="s">
        <v>85</v>
      </c>
      <c r="E59" s="1055"/>
      <c r="F59" s="1055"/>
      <c r="G59" s="1055"/>
      <c r="H59" s="1055"/>
      <c r="I59" s="1055"/>
      <c r="J59" s="1055"/>
      <c r="K59" s="1055"/>
      <c r="L59" s="1055"/>
      <c r="M59" s="1055"/>
      <c r="N59" s="1041"/>
      <c r="S59" s="1505"/>
      <c r="T59" s="1063" t="s">
        <v>95</v>
      </c>
      <c r="U59" s="1100" t="s">
        <v>450</v>
      </c>
      <c r="V59" s="1096"/>
      <c r="W59" s="1097">
        <v>5</v>
      </c>
      <c r="X59" s="1098">
        <v>0</v>
      </c>
      <c r="Y59" s="1097">
        <v>3</v>
      </c>
      <c r="Z59" s="1099">
        <v>0</v>
      </c>
      <c r="AA59" s="1099">
        <v>0</v>
      </c>
      <c r="AB59" s="1041"/>
      <c r="AG59" s="1503"/>
      <c r="AH59" s="938" t="s">
        <v>215</v>
      </c>
      <c r="AI59" s="938" t="s">
        <v>672</v>
      </c>
      <c r="AJ59" s="1374">
        <v>15</v>
      </c>
      <c r="AK59" s="1373">
        <v>13</v>
      </c>
      <c r="BF59" s="300">
        <f>IF(M387="",0,COUNTIF('#Boden'!$G$38:$G$41,M387)+1)</f>
        <v>0</v>
      </c>
      <c r="BG59" s="418"/>
      <c r="BH59" s="360" t="b">
        <f t="shared" si="18"/>
        <v>0</v>
      </c>
      <c r="BI59" s="360" t="b">
        <f t="shared" si="19"/>
        <v>0</v>
      </c>
      <c r="BJ59" s="360" t="b">
        <f t="shared" si="20"/>
        <v>0</v>
      </c>
      <c r="BK59" s="360" t="b">
        <f t="shared" si="21"/>
        <v>0</v>
      </c>
      <c r="BL59" s="360" t="b">
        <f t="shared" si="22"/>
        <v>0</v>
      </c>
      <c r="BM59" s="360" t="b">
        <f t="shared" si="23"/>
        <v>0</v>
      </c>
      <c r="BN59" s="360" t="b">
        <f t="shared" si="24"/>
        <v>0</v>
      </c>
      <c r="BO59" s="360" t="b">
        <f t="shared" si="25"/>
        <v>0</v>
      </c>
      <c r="BQ59" s="359">
        <f t="shared" si="26"/>
        <v>9</v>
      </c>
      <c r="BR59" s="300">
        <f>COUNTIF(BH59:BO59,FALSE)+COUNTIF(BF59,"&lt;2")</f>
        <v>9</v>
      </c>
      <c r="BS59" s="300">
        <f t="shared" si="28"/>
        <v>1</v>
      </c>
    </row>
    <row r="60" spans="3:71" x14ac:dyDescent="0.2">
      <c r="C60" s="1502"/>
      <c r="D60" s="938" t="s">
        <v>86</v>
      </c>
      <c r="E60" s="1055"/>
      <c r="F60" s="1055"/>
      <c r="G60" s="1055"/>
      <c r="H60" s="1055"/>
      <c r="I60" s="1055"/>
      <c r="J60" s="1055"/>
      <c r="K60" s="1055"/>
      <c r="L60" s="1055"/>
      <c r="M60" s="1055"/>
      <c r="N60" s="1041"/>
      <c r="S60" s="1505"/>
      <c r="T60" s="1063" t="s">
        <v>96</v>
      </c>
      <c r="U60" s="1100" t="s">
        <v>451</v>
      </c>
      <c r="V60" s="1096"/>
      <c r="W60" s="1097">
        <v>5</v>
      </c>
      <c r="X60" s="1098">
        <v>0</v>
      </c>
      <c r="Y60" s="1097">
        <v>3</v>
      </c>
      <c r="Z60" s="1099">
        <v>0</v>
      </c>
      <c r="AA60" s="1099">
        <v>0</v>
      </c>
      <c r="AB60" s="1041"/>
      <c r="AG60" s="1503"/>
      <c r="AH60" s="938" t="s">
        <v>1167</v>
      </c>
      <c r="AI60" s="938" t="s">
        <v>673</v>
      </c>
      <c r="AJ60" s="1374">
        <v>15</v>
      </c>
      <c r="AK60" s="1373">
        <v>15</v>
      </c>
      <c r="BF60" s="300">
        <f>SUM(BF50:BF59)</f>
        <v>0</v>
      </c>
      <c r="BG60" s="418"/>
      <c r="BH60" s="360"/>
      <c r="BQ60" s="361"/>
    </row>
    <row r="61" spans="3:71" x14ac:dyDescent="0.2">
      <c r="C61" s="1502"/>
      <c r="D61" s="938" t="s">
        <v>28</v>
      </c>
      <c r="E61" s="1055"/>
      <c r="F61" s="1055"/>
      <c r="G61" s="1055"/>
      <c r="H61" s="1055"/>
      <c r="I61" s="1055"/>
      <c r="J61" s="1055"/>
      <c r="K61" s="1055"/>
      <c r="L61" s="1055"/>
      <c r="M61" s="1055"/>
      <c r="N61" s="1041"/>
      <c r="S61" s="1505"/>
      <c r="T61" s="1063" t="s">
        <v>452</v>
      </c>
      <c r="U61" s="1096" t="s">
        <v>453</v>
      </c>
      <c r="V61" s="1096"/>
      <c r="W61" s="1097">
        <v>9</v>
      </c>
      <c r="X61" s="1098">
        <v>0</v>
      </c>
      <c r="Y61" s="1097">
        <v>2</v>
      </c>
      <c r="Z61" s="1099">
        <v>0</v>
      </c>
      <c r="AA61" s="1099">
        <v>0</v>
      </c>
      <c r="AB61" s="1041"/>
      <c r="AG61" s="1503"/>
      <c r="AH61" s="938" t="s">
        <v>1168</v>
      </c>
      <c r="AI61" s="938" t="s">
        <v>674</v>
      </c>
      <c r="AJ61" s="1374">
        <v>15</v>
      </c>
      <c r="AK61" s="1373">
        <v>5</v>
      </c>
      <c r="BF61" s="300">
        <f>COUNTA(M378:M387)*2</f>
        <v>0</v>
      </c>
      <c r="BG61" s="361" t="s">
        <v>1537</v>
      </c>
    </row>
    <row r="62" spans="3:71" x14ac:dyDescent="0.2">
      <c r="C62" s="1502"/>
      <c r="D62" s="938" t="s">
        <v>87</v>
      </c>
      <c r="E62" s="1055"/>
      <c r="F62" s="1055"/>
      <c r="G62" s="1055"/>
      <c r="H62" s="1055"/>
      <c r="I62" s="1055"/>
      <c r="J62" s="1055"/>
      <c r="K62" s="1055"/>
      <c r="L62" s="1055"/>
      <c r="M62" s="1055"/>
      <c r="N62" s="1041"/>
      <c r="S62" s="1505"/>
      <c r="T62" s="1063" t="s">
        <v>97</v>
      </c>
      <c r="U62" s="1096" t="s">
        <v>454</v>
      </c>
      <c r="V62" s="1096"/>
      <c r="W62" s="1097">
        <v>11</v>
      </c>
      <c r="X62" s="1098">
        <v>0</v>
      </c>
      <c r="Y62" s="1097">
        <v>4</v>
      </c>
      <c r="Z62" s="1099">
        <v>0</v>
      </c>
      <c r="AA62" s="1099">
        <v>0</v>
      </c>
      <c r="AB62" s="1041"/>
      <c r="AG62" s="1503"/>
      <c r="AH62" s="938" t="s">
        <v>1169</v>
      </c>
      <c r="AI62" s="938" t="s">
        <v>675</v>
      </c>
      <c r="AJ62" s="1374">
        <v>20</v>
      </c>
      <c r="AK62" s="1373">
        <v>8</v>
      </c>
    </row>
    <row r="63" spans="3:71" x14ac:dyDescent="0.2">
      <c r="C63" s="1502"/>
      <c r="D63" s="938" t="s">
        <v>29</v>
      </c>
      <c r="E63" s="1055"/>
      <c r="F63" s="1055"/>
      <c r="G63" s="1055"/>
      <c r="H63" s="1055"/>
      <c r="I63" s="1055"/>
      <c r="J63" s="1055"/>
      <c r="K63" s="1055"/>
      <c r="L63" s="1055"/>
      <c r="M63" s="1055"/>
      <c r="N63" s="1061"/>
      <c r="O63" s="425"/>
      <c r="S63" s="1505"/>
      <c r="T63" s="1063" t="s">
        <v>455</v>
      </c>
      <c r="U63" s="1096" t="s">
        <v>456</v>
      </c>
      <c r="V63" s="1096"/>
      <c r="W63" s="1103">
        <v>7.4</v>
      </c>
      <c r="X63" s="1104">
        <v>0.2</v>
      </c>
      <c r="Y63" s="1103">
        <v>2.2999999999999998</v>
      </c>
      <c r="Z63" s="1099">
        <v>0</v>
      </c>
      <c r="AA63" s="1099">
        <v>0</v>
      </c>
      <c r="AB63" s="1041"/>
      <c r="AG63" s="1503"/>
      <c r="AH63" s="938" t="s">
        <v>324</v>
      </c>
      <c r="AI63" s="938" t="s">
        <v>676</v>
      </c>
      <c r="AJ63" s="1374">
        <v>20</v>
      </c>
      <c r="AK63" s="1373">
        <v>10</v>
      </c>
    </row>
    <row r="64" spans="3:71" x14ac:dyDescent="0.2">
      <c r="C64" s="1502"/>
      <c r="D64" s="938" t="s">
        <v>30</v>
      </c>
      <c r="E64" s="1055"/>
      <c r="F64" s="1055"/>
      <c r="G64" s="1055"/>
      <c r="H64" s="1055"/>
      <c r="I64" s="1055"/>
      <c r="J64" s="1055"/>
      <c r="K64" s="1055"/>
      <c r="L64" s="1055"/>
      <c r="M64" s="1055"/>
      <c r="N64" s="1041"/>
      <c r="P64" s="425"/>
      <c r="Q64" s="425"/>
      <c r="S64" s="1505"/>
      <c r="T64" s="1063" t="s">
        <v>1846</v>
      </c>
      <c r="U64" s="1105" t="s">
        <v>457</v>
      </c>
      <c r="V64" s="1096"/>
      <c r="W64" s="1103">
        <v>2.2999999999999998</v>
      </c>
      <c r="X64" s="1104">
        <v>0</v>
      </c>
      <c r="Y64" s="1103">
        <v>1.3</v>
      </c>
      <c r="Z64" s="1099">
        <v>0</v>
      </c>
      <c r="AA64" s="1099">
        <v>0</v>
      </c>
      <c r="AB64" s="1041"/>
      <c r="AG64" s="1503"/>
      <c r="AH64" s="938" t="s">
        <v>325</v>
      </c>
      <c r="AI64" s="938" t="s">
        <v>677</v>
      </c>
      <c r="AJ64" s="1357">
        <v>0</v>
      </c>
      <c r="AK64" s="1373">
        <v>5</v>
      </c>
    </row>
    <row r="65" spans="3:78" ht="15" x14ac:dyDescent="0.25">
      <c r="C65" s="824"/>
      <c r="D65" s="1051" t="s">
        <v>1896</v>
      </c>
      <c r="E65" s="1052"/>
      <c r="F65" s="1052"/>
      <c r="G65" s="1052"/>
      <c r="H65" s="1052"/>
      <c r="I65" s="1052"/>
      <c r="J65" s="1052"/>
      <c r="K65" s="1052"/>
      <c r="L65" s="1052"/>
      <c r="M65" s="1052"/>
      <c r="N65" s="1050"/>
      <c r="O65" s="421"/>
      <c r="S65" s="1502"/>
      <c r="T65" s="1063" t="s">
        <v>458</v>
      </c>
      <c r="U65" s="1105" t="s">
        <v>459</v>
      </c>
      <c r="V65" s="1096"/>
      <c r="W65" s="1106">
        <v>6</v>
      </c>
      <c r="X65" s="1107">
        <v>0</v>
      </c>
      <c r="Y65" s="1106">
        <v>1.3</v>
      </c>
      <c r="Z65" s="1099">
        <v>0</v>
      </c>
      <c r="AA65" s="1099">
        <v>0</v>
      </c>
      <c r="AB65" s="1041"/>
      <c r="AG65" s="1503"/>
      <c r="AH65" s="938" t="s">
        <v>216</v>
      </c>
      <c r="AI65" s="938" t="s">
        <v>678</v>
      </c>
      <c r="AJ65" s="1357">
        <v>0</v>
      </c>
      <c r="AK65" s="1373">
        <v>26</v>
      </c>
    </row>
    <row r="66" spans="3:78" ht="15" x14ac:dyDescent="0.25">
      <c r="C66" s="1502"/>
      <c r="D66" s="938" t="s">
        <v>31</v>
      </c>
      <c r="E66" s="1055"/>
      <c r="F66" s="1055"/>
      <c r="G66" s="1055"/>
      <c r="H66" s="1055"/>
      <c r="I66" s="1055"/>
      <c r="J66" s="1055"/>
      <c r="K66" s="1055"/>
      <c r="L66" s="1055"/>
      <c r="M66" s="1055"/>
      <c r="N66" s="1050"/>
      <c r="O66" s="421"/>
      <c r="P66" s="421"/>
      <c r="Q66" s="421"/>
      <c r="AG66" s="1503"/>
      <c r="AH66" s="938" t="s">
        <v>1170</v>
      </c>
      <c r="AI66" s="938" t="s">
        <v>679</v>
      </c>
      <c r="AJ66" s="1357">
        <v>0</v>
      </c>
      <c r="AK66" s="173">
        <v>0</v>
      </c>
    </row>
    <row r="67" spans="3:78" ht="15" x14ac:dyDescent="0.25">
      <c r="C67" s="1502"/>
      <c r="D67" s="938" t="s">
        <v>32</v>
      </c>
      <c r="E67" s="1055"/>
      <c r="F67" s="1055"/>
      <c r="G67" s="1055"/>
      <c r="H67" s="1055"/>
      <c r="I67" s="1055"/>
      <c r="J67" s="1055"/>
      <c r="K67" s="1055"/>
      <c r="L67" s="1055"/>
      <c r="M67" s="1055"/>
      <c r="N67" s="1050"/>
      <c r="O67" s="421"/>
      <c r="P67" s="421"/>
      <c r="Q67" s="421"/>
      <c r="AG67" s="1503"/>
      <c r="AH67" s="938" t="s">
        <v>326</v>
      </c>
      <c r="AI67" s="938" t="s">
        <v>680</v>
      </c>
      <c r="AJ67" s="1357">
        <v>0</v>
      </c>
      <c r="AK67" s="173">
        <v>0</v>
      </c>
      <c r="BF67" s="361" t="s">
        <v>249</v>
      </c>
      <c r="BP67" s="358"/>
      <c r="BQ67" s="358"/>
      <c r="BR67" s="144"/>
      <c r="BS67" s="144"/>
      <c r="BT67" s="144"/>
      <c r="BU67" s="144"/>
      <c r="BV67" s="144"/>
      <c r="BW67" s="144"/>
      <c r="BX67" s="144"/>
      <c r="BY67" s="144"/>
      <c r="BZ67" s="144"/>
    </row>
    <row r="68" spans="3:78" ht="15" x14ac:dyDescent="0.25">
      <c r="C68" s="1502"/>
      <c r="D68" s="938" t="s">
        <v>33</v>
      </c>
      <c r="E68" s="1055"/>
      <c r="F68" s="1055"/>
      <c r="G68" s="1055"/>
      <c r="H68" s="1055"/>
      <c r="I68" s="1055"/>
      <c r="J68" s="1055"/>
      <c r="K68" s="1055"/>
      <c r="L68" s="1055"/>
      <c r="M68" s="1055"/>
      <c r="N68" s="1050"/>
      <c r="O68" s="421"/>
      <c r="P68" s="421"/>
      <c r="Q68" s="421"/>
      <c r="AG68" s="1503"/>
      <c r="AH68" s="938" t="s">
        <v>217</v>
      </c>
      <c r="AI68" s="938" t="s">
        <v>681</v>
      </c>
      <c r="AJ68" s="1357">
        <v>0</v>
      </c>
      <c r="AK68" s="173">
        <v>0</v>
      </c>
      <c r="BF68" s="361" t="s">
        <v>250</v>
      </c>
      <c r="BH68" s="359"/>
      <c r="BI68" s="144"/>
      <c r="BJ68" s="144"/>
      <c r="BK68" s="144"/>
      <c r="BL68" s="144"/>
      <c r="BM68" s="144"/>
      <c r="BN68" s="144"/>
      <c r="BO68" s="144"/>
      <c r="BP68" s="358" t="s">
        <v>1606</v>
      </c>
      <c r="BQ68" s="358" t="s">
        <v>1083</v>
      </c>
      <c r="BR68" s="358" t="s">
        <v>344</v>
      </c>
      <c r="BT68" s="144"/>
      <c r="BU68" s="144"/>
      <c r="BV68" s="144"/>
      <c r="BW68" s="144"/>
      <c r="BX68" s="144"/>
      <c r="BY68" s="144"/>
      <c r="BZ68" s="144"/>
    </row>
    <row r="69" spans="3:78" ht="15" x14ac:dyDescent="0.25">
      <c r="C69" s="1502"/>
      <c r="D69" s="938" t="s">
        <v>743</v>
      </c>
      <c r="E69" s="1055"/>
      <c r="F69" s="1055"/>
      <c r="G69" s="1055"/>
      <c r="H69" s="1055"/>
      <c r="I69" s="1055"/>
      <c r="J69" s="1055"/>
      <c r="K69" s="1055"/>
      <c r="L69" s="1055"/>
      <c r="M69" s="1055"/>
      <c r="N69" s="1050"/>
      <c r="O69" s="421"/>
      <c r="P69" s="421"/>
      <c r="Q69" s="421"/>
      <c r="AG69" s="1503"/>
      <c r="AH69" s="938" t="s">
        <v>218</v>
      </c>
      <c r="AI69" s="938" t="s">
        <v>682</v>
      </c>
      <c r="AJ69" s="1357">
        <v>0</v>
      </c>
      <c r="AK69" s="1373">
        <v>7</v>
      </c>
      <c r="BH69" s="359" t="s">
        <v>123</v>
      </c>
      <c r="BI69" s="358" t="s">
        <v>1035</v>
      </c>
      <c r="BJ69" s="358" t="s">
        <v>1036</v>
      </c>
      <c r="BK69" s="358" t="s">
        <v>56</v>
      </c>
      <c r="BL69" s="358" t="s">
        <v>57</v>
      </c>
      <c r="BM69" s="358" t="s">
        <v>1037</v>
      </c>
      <c r="BN69" s="358" t="s">
        <v>192</v>
      </c>
      <c r="BO69" s="144"/>
      <c r="BP69" s="144"/>
      <c r="BQ69" s="144"/>
      <c r="BR69" s="144">
        <v>1</v>
      </c>
      <c r="BS69" s="144"/>
      <c r="BT69" s="144"/>
      <c r="BU69" s="144"/>
      <c r="BV69" s="144"/>
      <c r="BW69" s="144"/>
      <c r="BX69" s="144"/>
      <c r="BY69" s="144"/>
      <c r="BZ69" s="144"/>
    </row>
    <row r="70" spans="3:78" ht="15" x14ac:dyDescent="0.25">
      <c r="C70" s="1502"/>
      <c r="D70" s="938" t="s">
        <v>4</v>
      </c>
      <c r="E70" s="1055"/>
      <c r="F70" s="1055"/>
      <c r="G70" s="1055"/>
      <c r="H70" s="1055"/>
      <c r="I70" s="1055"/>
      <c r="J70" s="1055"/>
      <c r="K70" s="1055"/>
      <c r="L70" s="1055"/>
      <c r="M70" s="1055"/>
      <c r="N70" s="1050"/>
      <c r="O70" s="421"/>
      <c r="P70" s="421"/>
      <c r="Q70" s="421"/>
      <c r="AG70" s="1503"/>
      <c r="AH70" s="938" t="s">
        <v>219</v>
      </c>
      <c r="AI70" s="938" t="s">
        <v>1171</v>
      </c>
      <c r="AJ70" s="1357">
        <v>0</v>
      </c>
      <c r="AK70" s="1373">
        <v>12</v>
      </c>
      <c r="BF70" s="300">
        <f>IF(BA32="",0,COUNTIF('#Boden'!$G$31:$G$32,BA32)+1)</f>
        <v>0</v>
      </c>
      <c r="BH70" s="360" t="b">
        <f t="shared" ref="BH70:BH75" si="29">IF(AND(ISNUMBER(AT32)=TRUE,AT32&gt;=0),TRUE,FALSE)</f>
        <v>0</v>
      </c>
      <c r="BI70" s="360" t="b">
        <f t="shared" ref="BI70:BI75" si="30">ISNUMBER(AU32)</f>
        <v>0</v>
      </c>
      <c r="BJ70" s="360" t="b">
        <f t="shared" ref="BJ70:BJ75" si="31">IF(AND(ISNUMBER(AV32)=TRUE,AV32&gt;0),TRUE,FALSE)</f>
        <v>0</v>
      </c>
      <c r="BK70" s="360" t="b">
        <f t="shared" ref="BK70:BK75" si="32">ISNUMBER(AW32)</f>
        <v>0</v>
      </c>
      <c r="BL70" s="360" t="b">
        <f t="shared" ref="BL70:BL75" si="33">IF(AND(ISNUMBER(AX32)=TRUE,AX32&gt;=0),TRUE,FALSE)</f>
        <v>0</v>
      </c>
      <c r="BM70" s="360" t="b">
        <f t="shared" ref="BM70:BM75" si="34">ISNUMBER(AY32)</f>
        <v>0</v>
      </c>
      <c r="BN70" s="360" t="b">
        <f t="shared" ref="BN70:BN75" si="35">IF(AND(ISNUMBER(AZ32)=TRUE,AZ32&gt;=0),TRUE,FALSE)</f>
        <v>0</v>
      </c>
      <c r="BP70" s="359">
        <f t="shared" ref="BP70:BP75" si="36">COUNTBLANK(AS32:BA32)</f>
        <v>9</v>
      </c>
      <c r="BQ70" s="300">
        <f t="shared" ref="BQ70:BQ75" si="37">COUNTIF(BH70:BN70,FALSE)+COUNTIF(BF70,"&lt;2")</f>
        <v>8</v>
      </c>
      <c r="BR70" s="300">
        <f t="shared" ref="BR70:BR75" si="38">IF(BP70=0,"",$BR$69)</f>
        <v>1</v>
      </c>
    </row>
    <row r="71" spans="3:78" ht="15" x14ac:dyDescent="0.25">
      <c r="C71" s="1502"/>
      <c r="D71" s="938" t="s">
        <v>744</v>
      </c>
      <c r="E71" s="1055"/>
      <c r="F71" s="1055"/>
      <c r="G71" s="1055"/>
      <c r="H71" s="1055"/>
      <c r="I71" s="1055"/>
      <c r="J71" s="1055"/>
      <c r="K71" s="1055"/>
      <c r="L71" s="1055"/>
      <c r="M71" s="1055"/>
      <c r="N71" s="1041"/>
      <c r="P71" s="421"/>
      <c r="Q71" s="421"/>
      <c r="AG71" s="1503"/>
      <c r="AH71" s="938" t="s">
        <v>220</v>
      </c>
      <c r="AI71" s="938" t="s">
        <v>683</v>
      </c>
      <c r="AJ71" s="1357">
        <v>0</v>
      </c>
      <c r="AK71" s="1373">
        <v>16</v>
      </c>
      <c r="BF71" s="300">
        <f>IF(BA33="",0,COUNTIF('#Boden'!$G$31:$G$32,BA33)+1)</f>
        <v>0</v>
      </c>
      <c r="BH71" s="360" t="b">
        <f t="shared" si="29"/>
        <v>0</v>
      </c>
      <c r="BI71" s="360" t="b">
        <f t="shared" si="30"/>
        <v>0</v>
      </c>
      <c r="BJ71" s="360" t="b">
        <f t="shared" si="31"/>
        <v>0</v>
      </c>
      <c r="BK71" s="360" t="b">
        <f t="shared" si="32"/>
        <v>0</v>
      </c>
      <c r="BL71" s="360" t="b">
        <f t="shared" si="33"/>
        <v>0</v>
      </c>
      <c r="BM71" s="360" t="b">
        <f t="shared" si="34"/>
        <v>0</v>
      </c>
      <c r="BN71" s="360" t="b">
        <f t="shared" si="35"/>
        <v>0</v>
      </c>
      <c r="BP71" s="359">
        <f t="shared" si="36"/>
        <v>9</v>
      </c>
      <c r="BQ71" s="300">
        <f t="shared" si="37"/>
        <v>8</v>
      </c>
      <c r="BR71" s="300">
        <f t="shared" si="38"/>
        <v>1</v>
      </c>
    </row>
    <row r="72" spans="3:78" x14ac:dyDescent="0.2">
      <c r="C72" s="1502"/>
      <c r="D72" s="938" t="s">
        <v>34</v>
      </c>
      <c r="E72" s="1055"/>
      <c r="F72" s="1055"/>
      <c r="G72" s="1055"/>
      <c r="H72" s="1055"/>
      <c r="I72" s="1055"/>
      <c r="J72" s="1055"/>
      <c r="K72" s="1055"/>
      <c r="L72" s="1055"/>
      <c r="M72" s="1055"/>
      <c r="N72" s="1041"/>
      <c r="AG72" s="1503"/>
      <c r="AH72" s="938" t="s">
        <v>221</v>
      </c>
      <c r="AI72" s="938" t="s">
        <v>684</v>
      </c>
      <c r="AJ72" s="1357">
        <v>0</v>
      </c>
      <c r="AK72" s="1373">
        <v>16</v>
      </c>
      <c r="BF72" s="300">
        <f>IF(BA34="",0,COUNTIF('#Boden'!$G$31:$G$32,BA34)+1)</f>
        <v>0</v>
      </c>
      <c r="BH72" s="360" t="b">
        <f t="shared" si="29"/>
        <v>0</v>
      </c>
      <c r="BI72" s="360" t="b">
        <f t="shared" si="30"/>
        <v>0</v>
      </c>
      <c r="BJ72" s="360" t="b">
        <f t="shared" si="31"/>
        <v>0</v>
      </c>
      <c r="BK72" s="360" t="b">
        <f t="shared" si="32"/>
        <v>0</v>
      </c>
      <c r="BL72" s="360" t="b">
        <f t="shared" si="33"/>
        <v>0</v>
      </c>
      <c r="BM72" s="360" t="b">
        <f t="shared" si="34"/>
        <v>0</v>
      </c>
      <c r="BN72" s="360" t="b">
        <f t="shared" si="35"/>
        <v>0</v>
      </c>
      <c r="BP72" s="359">
        <f t="shared" si="36"/>
        <v>9</v>
      </c>
      <c r="BQ72" s="300">
        <f t="shared" si="37"/>
        <v>8</v>
      </c>
      <c r="BR72" s="300">
        <f t="shared" si="38"/>
        <v>1</v>
      </c>
    </row>
    <row r="73" spans="3:78" x14ac:dyDescent="0.2">
      <c r="C73" s="1502"/>
      <c r="D73" s="938" t="s">
        <v>1899</v>
      </c>
      <c r="E73" s="1052"/>
      <c r="F73" s="1052"/>
      <c r="G73" s="1052"/>
      <c r="H73" s="1052"/>
      <c r="I73" s="1052"/>
      <c r="J73" s="1052"/>
      <c r="K73" s="1052"/>
      <c r="L73" s="1052"/>
      <c r="M73" s="1052"/>
      <c r="N73" s="1041"/>
      <c r="AG73" s="1503"/>
      <c r="AH73" s="938" t="s">
        <v>1855</v>
      </c>
      <c r="AI73" s="938" t="s">
        <v>1858</v>
      </c>
      <c r="AJ73" s="1374">
        <v>0.8</v>
      </c>
      <c r="AK73" s="173">
        <v>0</v>
      </c>
      <c r="BF73" s="300">
        <f>IF(BA35="",0,COUNTIF('#Boden'!$G$31:$G$32,BA35)+1)</f>
        <v>0</v>
      </c>
      <c r="BH73" s="360" t="b">
        <f t="shared" si="29"/>
        <v>0</v>
      </c>
      <c r="BI73" s="360" t="b">
        <f t="shared" si="30"/>
        <v>0</v>
      </c>
      <c r="BJ73" s="360" t="b">
        <f t="shared" si="31"/>
        <v>0</v>
      </c>
      <c r="BK73" s="360" t="b">
        <f t="shared" si="32"/>
        <v>0</v>
      </c>
      <c r="BL73" s="360" t="b">
        <f t="shared" si="33"/>
        <v>0</v>
      </c>
      <c r="BM73" s="360" t="b">
        <f t="shared" si="34"/>
        <v>0</v>
      </c>
      <c r="BN73" s="360" t="b">
        <f t="shared" si="35"/>
        <v>0</v>
      </c>
      <c r="BP73" s="359">
        <f t="shared" si="36"/>
        <v>9</v>
      </c>
      <c r="BQ73" s="300">
        <f t="shared" si="37"/>
        <v>8</v>
      </c>
      <c r="BR73" s="300">
        <f t="shared" si="38"/>
        <v>1</v>
      </c>
    </row>
    <row r="74" spans="3:78" x14ac:dyDescent="0.2">
      <c r="C74" s="824"/>
      <c r="D74" s="1051" t="s">
        <v>1901</v>
      </c>
      <c r="E74" s="1055"/>
      <c r="F74" s="1055"/>
      <c r="G74" s="1055"/>
      <c r="H74" s="1055"/>
      <c r="I74" s="1055"/>
      <c r="J74" s="1055"/>
      <c r="K74" s="1055"/>
      <c r="L74" s="1055"/>
      <c r="M74" s="1055"/>
      <c r="N74" s="1041"/>
      <c r="AG74" s="1503"/>
      <c r="AH74" s="938" t="s">
        <v>222</v>
      </c>
      <c r="AI74" s="938" t="s">
        <v>685</v>
      </c>
      <c r="AJ74" s="1357">
        <v>0</v>
      </c>
      <c r="AK74" s="1373">
        <v>45</v>
      </c>
      <c r="BF74" s="300">
        <f>IF(BA36="",0,COUNTIF('#Boden'!$G$31:$G$32,BA36)+1)</f>
        <v>0</v>
      </c>
      <c r="BH74" s="360" t="b">
        <f t="shared" si="29"/>
        <v>0</v>
      </c>
      <c r="BI74" s="360" t="b">
        <f t="shared" si="30"/>
        <v>0</v>
      </c>
      <c r="BJ74" s="360" t="b">
        <f t="shared" si="31"/>
        <v>0</v>
      </c>
      <c r="BK74" s="360" t="b">
        <f t="shared" si="32"/>
        <v>0</v>
      </c>
      <c r="BL74" s="360" t="b">
        <f t="shared" si="33"/>
        <v>0</v>
      </c>
      <c r="BM74" s="360" t="b">
        <f t="shared" si="34"/>
        <v>0</v>
      </c>
      <c r="BN74" s="360" t="b">
        <f t="shared" si="35"/>
        <v>0</v>
      </c>
      <c r="BP74" s="359">
        <f t="shared" si="36"/>
        <v>9</v>
      </c>
      <c r="BQ74" s="300">
        <f t="shared" si="37"/>
        <v>8</v>
      </c>
      <c r="BR74" s="300">
        <f t="shared" si="38"/>
        <v>1</v>
      </c>
    </row>
    <row r="75" spans="3:78" x14ac:dyDescent="0.2">
      <c r="C75" s="1502"/>
      <c r="D75" s="938" t="s">
        <v>35</v>
      </c>
      <c r="E75" s="1055"/>
      <c r="F75" s="1055"/>
      <c r="G75" s="1055"/>
      <c r="H75" s="1055"/>
      <c r="I75" s="1055"/>
      <c r="J75" s="1055"/>
      <c r="K75" s="1055"/>
      <c r="L75" s="1055"/>
      <c r="M75" s="1055"/>
      <c r="N75" s="1041"/>
      <c r="AG75" s="1503"/>
      <c r="AH75" s="938" t="s">
        <v>223</v>
      </c>
      <c r="AI75" s="938" t="s">
        <v>686</v>
      </c>
      <c r="AJ75" s="1357">
        <v>0</v>
      </c>
      <c r="AK75" s="1373">
        <v>26</v>
      </c>
      <c r="BF75" s="827">
        <f>IF(BA37="",0,COUNTIF('#Boden'!$G$31:$G$32,BA37)+1)</f>
        <v>0</v>
      </c>
      <c r="BH75" s="360" t="b">
        <f t="shared" si="29"/>
        <v>0</v>
      </c>
      <c r="BI75" s="360" t="b">
        <f t="shared" si="30"/>
        <v>0</v>
      </c>
      <c r="BJ75" s="360" t="b">
        <f t="shared" si="31"/>
        <v>0</v>
      </c>
      <c r="BK75" s="360" t="b">
        <f t="shared" si="32"/>
        <v>0</v>
      </c>
      <c r="BL75" s="360" t="b">
        <f t="shared" si="33"/>
        <v>0</v>
      </c>
      <c r="BM75" s="360" t="b">
        <f t="shared" si="34"/>
        <v>0</v>
      </c>
      <c r="BN75" s="360" t="b">
        <f t="shared" si="35"/>
        <v>0</v>
      </c>
      <c r="BP75" s="359">
        <f t="shared" si="36"/>
        <v>9</v>
      </c>
      <c r="BQ75" s="300">
        <f t="shared" si="37"/>
        <v>8</v>
      </c>
      <c r="BR75" s="300">
        <f t="shared" si="38"/>
        <v>1</v>
      </c>
    </row>
    <row r="76" spans="3:78" x14ac:dyDescent="0.2">
      <c r="C76" s="1502"/>
      <c r="D76" s="938" t="s">
        <v>5</v>
      </c>
      <c r="E76" s="1052"/>
      <c r="F76" s="1052"/>
      <c r="G76" s="1052"/>
      <c r="H76" s="1052"/>
      <c r="I76" s="1052"/>
      <c r="J76" s="1052"/>
      <c r="K76" s="1052"/>
      <c r="L76" s="1052"/>
      <c r="M76" s="1052"/>
      <c r="N76" s="1041"/>
      <c r="AG76" s="1503"/>
      <c r="AH76" s="938" t="s">
        <v>327</v>
      </c>
      <c r="AI76" s="938" t="s">
        <v>687</v>
      </c>
      <c r="AJ76" s="1374">
        <v>27</v>
      </c>
      <c r="AK76" s="173">
        <v>0</v>
      </c>
      <c r="BF76" s="300">
        <f>SUM(BF70:BF75)</f>
        <v>0</v>
      </c>
    </row>
    <row r="77" spans="3:78" x14ac:dyDescent="0.2">
      <c r="C77" s="824"/>
      <c r="D77" s="1051" t="s">
        <v>1902</v>
      </c>
      <c r="E77" s="1055"/>
      <c r="F77" s="1055"/>
      <c r="G77" s="1055"/>
      <c r="H77" s="1055"/>
      <c r="I77" s="1055"/>
      <c r="J77" s="1055"/>
      <c r="K77" s="1055"/>
      <c r="L77" s="1055"/>
      <c r="M77" s="1055"/>
      <c r="N77" s="1041"/>
      <c r="AG77" s="1503"/>
      <c r="AH77" s="938" t="s">
        <v>224</v>
      </c>
      <c r="AI77" s="938" t="s">
        <v>688</v>
      </c>
      <c r="AJ77" s="1374">
        <v>24</v>
      </c>
      <c r="AK77" s="173">
        <v>0</v>
      </c>
      <c r="BF77" s="300">
        <f>COUNTA(BA32:BA37)*2</f>
        <v>0</v>
      </c>
      <c r="BG77" s="361" t="s">
        <v>1537</v>
      </c>
      <c r="BP77" s="361"/>
    </row>
    <row r="78" spans="3:78" x14ac:dyDescent="0.2">
      <c r="C78" s="1502"/>
      <c r="D78" s="938" t="s">
        <v>563</v>
      </c>
      <c r="E78" s="1055"/>
      <c r="F78" s="1055"/>
      <c r="G78" s="1055"/>
      <c r="H78" s="1055"/>
      <c r="I78" s="1055"/>
      <c r="J78" s="1055"/>
      <c r="K78" s="1055"/>
      <c r="L78" s="1055"/>
      <c r="M78" s="1055"/>
      <c r="N78" s="1041"/>
      <c r="AG78" s="1503"/>
      <c r="AH78" s="938" t="s">
        <v>1856</v>
      </c>
      <c r="AI78" s="938" t="s">
        <v>689</v>
      </c>
      <c r="AJ78" s="1374">
        <v>24</v>
      </c>
      <c r="AK78" s="173">
        <v>0</v>
      </c>
    </row>
    <row r="79" spans="3:78" x14ac:dyDescent="0.2">
      <c r="C79" s="1502"/>
      <c r="D79" s="938" t="s">
        <v>79</v>
      </c>
      <c r="E79" s="1055"/>
      <c r="F79" s="1055"/>
      <c r="G79" s="1055"/>
      <c r="H79" s="1055"/>
      <c r="I79" s="1055"/>
      <c r="J79" s="1055"/>
      <c r="K79" s="1055"/>
      <c r="L79" s="1055"/>
      <c r="M79" s="1055"/>
      <c r="N79" s="1041"/>
      <c r="AG79" s="1503"/>
      <c r="AH79" s="938" t="s">
        <v>328</v>
      </c>
      <c r="AI79" s="938" t="s">
        <v>690</v>
      </c>
      <c r="AJ79" s="1374">
        <v>21</v>
      </c>
      <c r="AK79" s="1373">
        <v>6</v>
      </c>
    </row>
    <row r="80" spans="3:78" x14ac:dyDescent="0.2">
      <c r="C80" s="1502"/>
      <c r="D80" s="938" t="s">
        <v>36</v>
      </c>
      <c r="E80" s="1055"/>
      <c r="F80" s="1055"/>
      <c r="G80" s="1055"/>
      <c r="H80" s="1055"/>
      <c r="I80" s="1055"/>
      <c r="J80" s="1055"/>
      <c r="K80" s="1055"/>
      <c r="L80" s="1055"/>
      <c r="M80" s="1055"/>
      <c r="N80" s="1041"/>
      <c r="AG80" s="1503"/>
      <c r="AH80" s="938" t="s">
        <v>329</v>
      </c>
      <c r="AI80" s="938" t="s">
        <v>691</v>
      </c>
      <c r="AJ80" s="1374">
        <v>19</v>
      </c>
      <c r="AK80" s="1373">
        <v>17.399999999999999</v>
      </c>
    </row>
    <row r="81" spans="3:37" x14ac:dyDescent="0.2">
      <c r="C81" s="1502"/>
      <c r="D81" s="938" t="s">
        <v>567</v>
      </c>
      <c r="E81" s="1055"/>
      <c r="F81" s="1055"/>
      <c r="G81" s="1055"/>
      <c r="H81" s="1055"/>
      <c r="I81" s="1055"/>
      <c r="J81" s="1055"/>
      <c r="K81" s="1055"/>
      <c r="L81" s="1055"/>
      <c r="M81" s="1055"/>
      <c r="N81" s="1041"/>
      <c r="AG81" s="1507"/>
      <c r="AH81" s="938" t="s">
        <v>330</v>
      </c>
      <c r="AI81" s="938" t="s">
        <v>692</v>
      </c>
      <c r="AJ81" s="1374">
        <v>16</v>
      </c>
      <c r="AK81" s="1373">
        <v>8</v>
      </c>
    </row>
    <row r="82" spans="3:37" x14ac:dyDescent="0.2">
      <c r="C82" s="1502"/>
      <c r="D82" s="938" t="s">
        <v>569</v>
      </c>
      <c r="E82" s="1055"/>
      <c r="F82" s="1055"/>
      <c r="G82" s="1055"/>
      <c r="H82" s="1055"/>
      <c r="I82" s="1055"/>
      <c r="J82" s="1055"/>
      <c r="K82" s="1055"/>
      <c r="L82" s="1055"/>
      <c r="M82" s="1055"/>
      <c r="N82" s="1041"/>
    </row>
    <row r="83" spans="3:37" x14ac:dyDescent="0.2">
      <c r="C83" s="1502"/>
      <c r="D83" s="938" t="s">
        <v>571</v>
      </c>
      <c r="E83" s="1052"/>
      <c r="F83" s="1052"/>
      <c r="G83" s="1052"/>
      <c r="H83" s="1052"/>
      <c r="I83" s="1052"/>
      <c r="J83" s="1052"/>
      <c r="K83" s="1052"/>
      <c r="L83" s="1052"/>
      <c r="M83" s="1052"/>
      <c r="N83" s="1041"/>
    </row>
    <row r="84" spans="3:37" x14ac:dyDescent="0.2">
      <c r="C84" s="824"/>
      <c r="D84" s="1051" t="s">
        <v>1903</v>
      </c>
      <c r="E84" s="1055"/>
      <c r="F84" s="1055"/>
      <c r="G84" s="1055"/>
      <c r="H84" s="1055"/>
      <c r="I84" s="1055"/>
      <c r="J84" s="1055"/>
      <c r="K84" s="1055"/>
      <c r="L84" s="1055"/>
      <c r="M84" s="1055"/>
      <c r="N84" s="1041"/>
    </row>
    <row r="85" spans="3:37" x14ac:dyDescent="0.2">
      <c r="C85" s="1502"/>
      <c r="D85" s="938" t="s">
        <v>37</v>
      </c>
      <c r="E85" s="1055"/>
      <c r="F85" s="1055"/>
      <c r="G85" s="1055"/>
      <c r="H85" s="1055"/>
      <c r="I85" s="1055"/>
      <c r="J85" s="1055"/>
      <c r="K85" s="1055"/>
      <c r="L85" s="1055"/>
      <c r="M85" s="1055"/>
      <c r="N85" s="1041"/>
    </row>
    <row r="86" spans="3:37" x14ac:dyDescent="0.2">
      <c r="C86" s="1502"/>
      <c r="D86" s="938" t="s">
        <v>1904</v>
      </c>
      <c r="E86" s="1055"/>
      <c r="F86" s="1055"/>
      <c r="G86" s="1055"/>
      <c r="H86" s="1055"/>
      <c r="I86" s="1055"/>
      <c r="J86" s="1055"/>
      <c r="K86" s="1055"/>
      <c r="L86" s="1055"/>
      <c r="M86" s="1055"/>
      <c r="N86" s="1041"/>
    </row>
    <row r="87" spans="3:37" x14ac:dyDescent="0.2">
      <c r="C87" s="1502"/>
      <c r="D87" s="938" t="s">
        <v>2388</v>
      </c>
      <c r="E87" s="1055"/>
      <c r="F87" s="1055"/>
      <c r="G87" s="1055"/>
      <c r="H87" s="1055"/>
      <c r="I87" s="1055"/>
      <c r="J87" s="1055"/>
      <c r="K87" s="1055"/>
      <c r="L87" s="1055"/>
      <c r="M87" s="1055"/>
      <c r="N87" s="1041"/>
    </row>
    <row r="88" spans="3:37" x14ac:dyDescent="0.2">
      <c r="C88" s="1502"/>
      <c r="D88" s="938" t="s">
        <v>2389</v>
      </c>
      <c r="E88" s="1055"/>
      <c r="F88" s="1055"/>
      <c r="G88" s="1055"/>
      <c r="H88" s="1055"/>
      <c r="I88" s="1055"/>
      <c r="J88" s="1055"/>
      <c r="K88" s="1055"/>
      <c r="L88" s="1055"/>
      <c r="M88" s="1055"/>
      <c r="N88" s="1041"/>
    </row>
    <row r="89" spans="3:37" x14ac:dyDescent="0.2">
      <c r="C89" s="1502"/>
      <c r="D89" s="938" t="s">
        <v>2390</v>
      </c>
      <c r="E89" s="1055"/>
      <c r="F89" s="1055"/>
      <c r="G89" s="1055"/>
      <c r="H89" s="1055"/>
      <c r="I89" s="1055"/>
      <c r="J89" s="1055"/>
      <c r="K89" s="1055"/>
      <c r="L89" s="1055"/>
      <c r="M89" s="1055"/>
      <c r="N89" s="1041"/>
    </row>
    <row r="90" spans="3:37" x14ac:dyDescent="0.2">
      <c r="C90" s="1502"/>
      <c r="D90" s="938" t="s">
        <v>2391</v>
      </c>
      <c r="E90" s="1055"/>
      <c r="F90" s="1055"/>
      <c r="G90" s="1055"/>
      <c r="H90" s="1055"/>
      <c r="I90" s="1055"/>
      <c r="J90" s="1055"/>
      <c r="K90" s="1055"/>
      <c r="L90" s="1055"/>
      <c r="M90" s="1055"/>
      <c r="N90" s="1041"/>
    </row>
    <row r="91" spans="3:37" x14ac:dyDescent="0.2">
      <c r="C91" s="1502"/>
      <c r="D91" s="938" t="s">
        <v>2392</v>
      </c>
      <c r="E91" s="1055"/>
      <c r="F91" s="1055"/>
      <c r="G91" s="1055"/>
      <c r="H91" s="1055"/>
      <c r="I91" s="1055"/>
      <c r="J91" s="1055"/>
      <c r="K91" s="1055"/>
      <c r="L91" s="1055"/>
      <c r="M91" s="1055"/>
      <c r="N91" s="1041"/>
    </row>
    <row r="92" spans="3:37" x14ac:dyDescent="0.2">
      <c r="C92" s="1502"/>
      <c r="D92" s="938" t="s">
        <v>2393</v>
      </c>
      <c r="E92" s="1055"/>
      <c r="F92" s="1055"/>
      <c r="G92" s="1055"/>
      <c r="H92" s="1055"/>
      <c r="I92" s="1055"/>
      <c r="J92" s="1055"/>
      <c r="K92" s="1055"/>
      <c r="L92" s="1055"/>
      <c r="M92" s="1055"/>
      <c r="N92" s="1041"/>
    </row>
    <row r="93" spans="3:37" x14ac:dyDescent="0.2">
      <c r="C93" s="1502"/>
      <c r="D93" s="938" t="s">
        <v>619</v>
      </c>
      <c r="E93" s="1055"/>
      <c r="F93" s="1055"/>
      <c r="G93" s="1055"/>
      <c r="H93" s="1055"/>
      <c r="I93" s="1055"/>
      <c r="J93" s="1055"/>
      <c r="K93" s="1055"/>
      <c r="L93" s="1055"/>
      <c r="M93" s="1055"/>
      <c r="N93" s="1041"/>
    </row>
    <row r="94" spans="3:37" x14ac:dyDescent="0.2">
      <c r="C94" s="1502"/>
      <c r="D94" s="938" t="s">
        <v>621</v>
      </c>
      <c r="E94" s="1055"/>
      <c r="F94" s="1055"/>
      <c r="G94" s="1055"/>
      <c r="H94" s="1055"/>
      <c r="I94" s="1055"/>
      <c r="J94" s="1055"/>
      <c r="K94" s="1055"/>
      <c r="L94" s="1055"/>
      <c r="M94" s="1055"/>
      <c r="N94" s="1041"/>
    </row>
    <row r="95" spans="3:37" x14ac:dyDescent="0.2">
      <c r="C95" s="824"/>
      <c r="D95" s="1051" t="s">
        <v>1905</v>
      </c>
      <c r="E95" s="1055"/>
      <c r="F95" s="1055"/>
      <c r="G95" s="1055"/>
      <c r="H95" s="1055"/>
      <c r="I95" s="1055"/>
      <c r="J95" s="1055"/>
      <c r="K95" s="1055"/>
      <c r="L95" s="1055"/>
      <c r="M95" s="1055"/>
      <c r="N95" s="1041"/>
    </row>
    <row r="96" spans="3:37" x14ac:dyDescent="0.2">
      <c r="C96" s="1502"/>
      <c r="D96" s="882" t="s">
        <v>2441</v>
      </c>
      <c r="E96" s="1055"/>
      <c r="F96" s="1055"/>
      <c r="G96" s="1055"/>
      <c r="H96" s="1055"/>
      <c r="I96" s="1055"/>
      <c r="J96" s="1055"/>
      <c r="K96" s="1055"/>
      <c r="L96" s="1055"/>
      <c r="M96" s="1055"/>
      <c r="N96" s="1041"/>
    </row>
    <row r="97" spans="3:14" x14ac:dyDescent="0.2">
      <c r="C97" s="1502"/>
      <c r="D97" s="938" t="s">
        <v>573</v>
      </c>
      <c r="E97" s="1055"/>
      <c r="F97" s="1055"/>
      <c r="G97" s="1055"/>
      <c r="H97" s="1055"/>
      <c r="I97" s="1055"/>
      <c r="J97" s="1055"/>
      <c r="K97" s="1055"/>
      <c r="L97" s="1055"/>
      <c r="M97" s="1055"/>
      <c r="N97" s="1041"/>
    </row>
    <row r="98" spans="3:14" x14ac:dyDescent="0.2">
      <c r="C98" s="1502"/>
      <c r="D98" s="938" t="s">
        <v>575</v>
      </c>
      <c r="E98" s="1052"/>
      <c r="F98" s="1052"/>
      <c r="G98" s="1052"/>
      <c r="H98" s="1052"/>
      <c r="I98" s="1052"/>
      <c r="J98" s="1052"/>
      <c r="K98" s="1052"/>
      <c r="L98" s="1052"/>
      <c r="M98" s="1052"/>
      <c r="N98" s="1041"/>
    </row>
    <row r="99" spans="3:14" x14ac:dyDescent="0.2">
      <c r="C99" s="1502"/>
      <c r="D99" s="938" t="s">
        <v>577</v>
      </c>
      <c r="E99" s="1055"/>
      <c r="F99" s="1055"/>
      <c r="G99" s="1055"/>
      <c r="H99" s="1055"/>
      <c r="I99" s="1055"/>
      <c r="J99" s="1055"/>
      <c r="K99" s="1055"/>
      <c r="L99" s="1055"/>
      <c r="M99" s="1055"/>
      <c r="N99" s="1041"/>
    </row>
    <row r="100" spans="3:14" x14ac:dyDescent="0.2">
      <c r="C100" s="1502"/>
      <c r="D100" s="938" t="s">
        <v>579</v>
      </c>
      <c r="E100" s="1055"/>
      <c r="F100" s="1055"/>
      <c r="G100" s="1055"/>
      <c r="H100" s="1055"/>
      <c r="I100" s="1055"/>
      <c r="J100" s="1055"/>
      <c r="K100" s="1055"/>
      <c r="L100" s="1055"/>
      <c r="M100" s="1055"/>
      <c r="N100" s="1041"/>
    </row>
    <row r="101" spans="3:14" x14ac:dyDescent="0.2">
      <c r="C101" s="1502"/>
      <c r="D101" s="938" t="s">
        <v>581</v>
      </c>
      <c r="E101" s="1055"/>
      <c r="F101" s="1055"/>
      <c r="G101" s="1055"/>
      <c r="H101" s="1055"/>
      <c r="I101" s="1055"/>
      <c r="J101" s="1055"/>
      <c r="K101" s="1055"/>
      <c r="L101" s="1055"/>
      <c r="M101" s="1055"/>
      <c r="N101" s="1041"/>
    </row>
    <row r="102" spans="3:14" x14ac:dyDescent="0.2">
      <c r="C102" s="1502"/>
      <c r="D102" s="938" t="s">
        <v>1906</v>
      </c>
      <c r="E102" s="1055"/>
      <c r="F102" s="1055"/>
      <c r="G102" s="1055"/>
      <c r="H102" s="1055"/>
      <c r="I102" s="1055"/>
      <c r="J102" s="1055"/>
      <c r="K102" s="1055"/>
      <c r="L102" s="1055"/>
      <c r="M102" s="1055"/>
      <c r="N102" s="1041"/>
    </row>
    <row r="103" spans="3:14" x14ac:dyDescent="0.2">
      <c r="C103" s="1502"/>
      <c r="D103" s="938" t="s">
        <v>39</v>
      </c>
      <c r="E103" s="1055"/>
      <c r="F103" s="1055"/>
      <c r="G103" s="1055"/>
      <c r="H103" s="1055"/>
      <c r="I103" s="1055"/>
      <c r="J103" s="1055"/>
      <c r="K103" s="1055"/>
      <c r="L103" s="1055"/>
      <c r="M103" s="1055"/>
      <c r="N103" s="1041"/>
    </row>
    <row r="104" spans="3:14" x14ac:dyDescent="0.2">
      <c r="C104" s="1502"/>
      <c r="D104" s="938" t="s">
        <v>585</v>
      </c>
      <c r="E104" s="1055"/>
      <c r="F104" s="1055"/>
      <c r="G104" s="1055"/>
      <c r="H104" s="1055"/>
      <c r="I104" s="1055"/>
      <c r="J104" s="1055"/>
      <c r="K104" s="1055"/>
      <c r="L104" s="1055"/>
      <c r="M104" s="1055"/>
      <c r="N104" s="1041"/>
    </row>
    <row r="105" spans="3:14" x14ac:dyDescent="0.2">
      <c r="C105" s="1502"/>
      <c r="D105" s="938" t="s">
        <v>587</v>
      </c>
      <c r="E105" s="1055"/>
      <c r="F105" s="1055"/>
      <c r="G105" s="1055"/>
      <c r="H105" s="1055"/>
      <c r="I105" s="1055"/>
      <c r="J105" s="1055"/>
      <c r="K105" s="1055"/>
      <c r="L105" s="1055"/>
      <c r="M105" s="1055"/>
      <c r="N105" s="1041"/>
    </row>
    <row r="106" spans="3:14" x14ac:dyDescent="0.2">
      <c r="C106" s="1502"/>
      <c r="D106" s="938" t="s">
        <v>589</v>
      </c>
      <c r="E106" s="1055"/>
      <c r="F106" s="1055"/>
      <c r="G106" s="1055"/>
      <c r="H106" s="1055"/>
      <c r="I106" s="1055"/>
      <c r="J106" s="1055"/>
      <c r="K106" s="1055"/>
      <c r="L106" s="1055"/>
      <c r="M106" s="1055"/>
      <c r="N106" s="1041"/>
    </row>
    <row r="107" spans="3:14" x14ac:dyDescent="0.2">
      <c r="C107" s="1502"/>
      <c r="D107" s="938" t="s">
        <v>1907</v>
      </c>
      <c r="E107" s="1055"/>
      <c r="F107" s="1055"/>
      <c r="G107" s="1055"/>
      <c r="H107" s="1055"/>
      <c r="I107" s="1055"/>
      <c r="J107" s="1055"/>
      <c r="K107" s="1055"/>
      <c r="L107" s="1055"/>
      <c r="M107" s="1055"/>
      <c r="N107" s="1041"/>
    </row>
    <row r="108" spans="3:14" x14ac:dyDescent="0.2">
      <c r="C108" s="1502"/>
      <c r="D108" s="938" t="s">
        <v>1908</v>
      </c>
      <c r="E108" s="1055"/>
      <c r="F108" s="1055"/>
      <c r="G108" s="1055"/>
      <c r="H108" s="1055"/>
      <c r="I108" s="1055"/>
      <c r="J108" s="1055"/>
      <c r="K108" s="1055"/>
      <c r="L108" s="1055"/>
      <c r="M108" s="1055"/>
      <c r="N108" s="1041"/>
    </row>
    <row r="109" spans="3:14" x14ac:dyDescent="0.2">
      <c r="C109" s="1502"/>
      <c r="D109" s="938" t="s">
        <v>503</v>
      </c>
      <c r="E109" s="1055"/>
      <c r="F109" s="1055"/>
      <c r="G109" s="1055"/>
      <c r="H109" s="1055"/>
      <c r="I109" s="1055"/>
      <c r="J109" s="1055"/>
      <c r="K109" s="1055"/>
      <c r="L109" s="1055"/>
      <c r="M109" s="1055"/>
      <c r="N109" s="1041"/>
    </row>
    <row r="110" spans="3:14" x14ac:dyDescent="0.2">
      <c r="C110" s="824"/>
      <c r="D110" s="1051" t="s">
        <v>1909</v>
      </c>
      <c r="E110" s="1055"/>
      <c r="F110" s="1055"/>
      <c r="G110" s="1055"/>
      <c r="H110" s="1055"/>
      <c r="I110" s="1055"/>
      <c r="J110" s="1055"/>
      <c r="K110" s="1055"/>
      <c r="L110" s="1055"/>
      <c r="M110" s="1055"/>
      <c r="N110" s="1041"/>
    </row>
    <row r="111" spans="3:14" x14ac:dyDescent="0.2">
      <c r="C111" s="1502"/>
      <c r="D111" s="938" t="s">
        <v>2394</v>
      </c>
      <c r="E111" s="1055"/>
      <c r="F111" s="1055"/>
      <c r="G111" s="1055"/>
      <c r="H111" s="1055"/>
      <c r="I111" s="1055"/>
      <c r="J111" s="1055"/>
      <c r="K111" s="1055"/>
      <c r="L111" s="1055"/>
      <c r="M111" s="1055"/>
      <c r="N111" s="1041"/>
    </row>
    <row r="112" spans="3:14" x14ac:dyDescent="0.2">
      <c r="C112" s="1502"/>
      <c r="D112" s="938" t="s">
        <v>624</v>
      </c>
      <c r="E112" s="1052"/>
      <c r="F112" s="1052"/>
      <c r="G112" s="1052"/>
      <c r="H112" s="1052"/>
      <c r="I112" s="1052"/>
      <c r="J112" s="1052"/>
      <c r="K112" s="1052"/>
      <c r="L112" s="1052"/>
      <c r="M112" s="1052"/>
      <c r="N112" s="1041"/>
    </row>
    <row r="113" spans="3:14" x14ac:dyDescent="0.2">
      <c r="C113" s="1502"/>
      <c r="D113" s="938" t="s">
        <v>74</v>
      </c>
      <c r="E113" s="1055"/>
      <c r="F113" s="1055"/>
      <c r="G113" s="1055"/>
      <c r="H113" s="1055"/>
      <c r="I113" s="1055"/>
      <c r="J113" s="1055"/>
      <c r="K113" s="1055"/>
      <c r="L113" s="1055"/>
      <c r="M113" s="1055"/>
      <c r="N113" s="1041"/>
    </row>
    <row r="114" spans="3:14" x14ac:dyDescent="0.2">
      <c r="C114" s="1502"/>
      <c r="D114" s="938" t="s">
        <v>40</v>
      </c>
      <c r="E114" s="1055"/>
      <c r="F114" s="1055"/>
      <c r="G114" s="1055"/>
      <c r="H114" s="1055"/>
      <c r="I114" s="1055"/>
      <c r="J114" s="1055"/>
      <c r="K114" s="1055"/>
      <c r="L114" s="1055"/>
      <c r="M114" s="1055"/>
      <c r="N114" s="1041"/>
    </row>
    <row r="115" spans="3:14" x14ac:dyDescent="0.2">
      <c r="C115" s="1502"/>
      <c r="D115" s="938" t="s">
        <v>742</v>
      </c>
      <c r="E115" s="1055"/>
      <c r="F115" s="1055"/>
      <c r="G115" s="1055"/>
      <c r="H115" s="1055"/>
      <c r="I115" s="1055"/>
      <c r="J115" s="1055"/>
      <c r="K115" s="1055"/>
      <c r="L115" s="1055"/>
      <c r="M115" s="1055"/>
      <c r="N115" s="1041"/>
    </row>
    <row r="116" spans="3:14" x14ac:dyDescent="0.2">
      <c r="C116" s="1502"/>
      <c r="D116" s="938" t="s">
        <v>41</v>
      </c>
      <c r="E116" s="1055"/>
      <c r="F116" s="1055"/>
      <c r="G116" s="1055"/>
      <c r="H116" s="1055"/>
      <c r="I116" s="1055"/>
      <c r="J116" s="1055"/>
      <c r="K116" s="1055"/>
      <c r="L116" s="1055"/>
      <c r="M116" s="1055"/>
      <c r="N116" s="1041"/>
    </row>
    <row r="117" spans="3:14" x14ac:dyDescent="0.2">
      <c r="C117" s="1502"/>
      <c r="D117" s="938" t="s">
        <v>42</v>
      </c>
      <c r="E117" s="1055"/>
      <c r="F117" s="1055"/>
      <c r="G117" s="1055"/>
      <c r="H117" s="1055"/>
      <c r="I117" s="1055"/>
      <c r="J117" s="1055"/>
      <c r="K117" s="1055"/>
      <c r="L117" s="1055"/>
      <c r="M117" s="1055"/>
      <c r="N117" s="1041"/>
    </row>
    <row r="118" spans="3:14" x14ac:dyDescent="0.2">
      <c r="C118" s="1502"/>
      <c r="D118" s="938" t="s">
        <v>43</v>
      </c>
      <c r="E118" s="1055"/>
      <c r="F118" s="1055"/>
      <c r="G118" s="1055"/>
      <c r="H118" s="1055"/>
      <c r="I118" s="1055"/>
      <c r="J118" s="1055"/>
      <c r="K118" s="1055"/>
      <c r="L118" s="1055"/>
      <c r="M118" s="1055"/>
      <c r="N118" s="1041"/>
    </row>
    <row r="119" spans="3:14" x14ac:dyDescent="0.2">
      <c r="C119" s="1502"/>
      <c r="D119" s="938" t="s">
        <v>44</v>
      </c>
      <c r="E119" s="1052"/>
      <c r="F119" s="1052"/>
      <c r="G119" s="1052"/>
      <c r="H119" s="1052"/>
      <c r="I119" s="1052"/>
      <c r="J119" s="1052"/>
      <c r="K119" s="1052"/>
      <c r="L119" s="1052"/>
      <c r="M119" s="1052"/>
      <c r="N119" s="1041"/>
    </row>
    <row r="120" spans="3:14" x14ac:dyDescent="0.2">
      <c r="C120" s="1502"/>
      <c r="D120" s="938" t="s">
        <v>592</v>
      </c>
      <c r="E120" s="1055"/>
      <c r="F120" s="1055"/>
      <c r="G120" s="1055"/>
      <c r="H120" s="1055"/>
      <c r="I120" s="1055"/>
      <c r="J120" s="1055"/>
      <c r="K120" s="1055"/>
      <c r="L120" s="1055"/>
      <c r="M120" s="1055"/>
      <c r="N120" s="1041"/>
    </row>
    <row r="121" spans="3:14" x14ac:dyDescent="0.2">
      <c r="C121" s="1502"/>
      <c r="D121" s="938" t="s">
        <v>1910</v>
      </c>
      <c r="E121" s="1055"/>
      <c r="F121" s="1055"/>
      <c r="G121" s="1055"/>
      <c r="H121" s="1055"/>
      <c r="I121" s="1055"/>
      <c r="J121" s="1055"/>
      <c r="K121" s="1055"/>
      <c r="L121" s="1055"/>
      <c r="M121" s="1055"/>
      <c r="N121" s="1041"/>
    </row>
    <row r="122" spans="3:14" x14ac:dyDescent="0.2">
      <c r="C122" s="1502"/>
      <c r="D122" s="938" t="s">
        <v>45</v>
      </c>
      <c r="E122" s="1055"/>
      <c r="F122" s="1055"/>
      <c r="G122" s="1055"/>
      <c r="H122" s="1055"/>
      <c r="I122" s="1055"/>
      <c r="J122" s="1055"/>
      <c r="K122" s="1055"/>
      <c r="L122" s="1055"/>
      <c r="M122" s="1055"/>
      <c r="N122" s="1041"/>
    </row>
    <row r="123" spans="3:14" x14ac:dyDescent="0.2">
      <c r="C123" s="1502"/>
      <c r="D123" s="938" t="s">
        <v>1911</v>
      </c>
      <c r="E123" s="1055"/>
      <c r="F123" s="1055"/>
      <c r="G123" s="1055"/>
      <c r="H123" s="1055"/>
      <c r="I123" s="1055"/>
      <c r="J123" s="1055"/>
      <c r="K123" s="1055"/>
      <c r="L123" s="1055"/>
      <c r="M123" s="1055"/>
      <c r="N123" s="1041"/>
    </row>
    <row r="124" spans="3:14" x14ac:dyDescent="0.2">
      <c r="C124" s="824"/>
      <c r="D124" s="1051" t="s">
        <v>1912</v>
      </c>
      <c r="E124" s="1055"/>
      <c r="F124" s="1055"/>
      <c r="G124" s="1055"/>
      <c r="H124" s="1055"/>
      <c r="I124" s="1055"/>
      <c r="J124" s="1055"/>
      <c r="K124" s="1055"/>
      <c r="L124" s="1055"/>
      <c r="M124" s="1055"/>
      <c r="N124" s="1041"/>
    </row>
    <row r="125" spans="3:14" x14ac:dyDescent="0.2">
      <c r="C125" s="1502"/>
      <c r="D125" s="938" t="s">
        <v>46</v>
      </c>
      <c r="E125" s="1055"/>
      <c r="F125" s="1055"/>
      <c r="G125" s="1055"/>
      <c r="H125" s="1055"/>
      <c r="I125" s="1055"/>
      <c r="J125" s="1055"/>
      <c r="K125" s="1055"/>
      <c r="L125" s="1055"/>
      <c r="M125" s="1055"/>
      <c r="N125" s="1041"/>
    </row>
    <row r="126" spans="3:14" x14ac:dyDescent="0.2">
      <c r="C126" s="1502"/>
      <c r="D126" s="938" t="s">
        <v>47</v>
      </c>
      <c r="E126" s="1055"/>
      <c r="F126" s="1055"/>
      <c r="G126" s="1055"/>
      <c r="H126" s="1055"/>
      <c r="I126" s="1055"/>
      <c r="J126" s="1055"/>
      <c r="K126" s="1055"/>
      <c r="L126" s="1055"/>
      <c r="M126" s="1055"/>
      <c r="N126" s="1041"/>
    </row>
    <row r="127" spans="3:14" x14ac:dyDescent="0.2">
      <c r="C127" s="1502"/>
      <c r="D127" s="938" t="s">
        <v>48</v>
      </c>
      <c r="E127" s="1052"/>
      <c r="F127" s="1052"/>
      <c r="G127" s="1052"/>
      <c r="H127" s="1052"/>
      <c r="I127" s="1052"/>
      <c r="J127" s="1052"/>
      <c r="K127" s="1052"/>
      <c r="L127" s="1052"/>
      <c r="M127" s="1052"/>
      <c r="N127" s="1041"/>
    </row>
    <row r="128" spans="3:14" x14ac:dyDescent="0.2">
      <c r="C128" s="1502"/>
      <c r="D128" s="938" t="s">
        <v>49</v>
      </c>
      <c r="E128" s="1055"/>
      <c r="F128" s="1055"/>
      <c r="G128" s="1055"/>
      <c r="H128" s="1055"/>
      <c r="I128" s="1055"/>
      <c r="J128" s="1055"/>
      <c r="K128" s="1055"/>
      <c r="L128" s="1055"/>
      <c r="M128" s="1055"/>
      <c r="N128" s="1041"/>
    </row>
    <row r="129" spans="3:14" x14ac:dyDescent="0.2">
      <c r="C129" s="1502"/>
      <c r="D129" s="938" t="s">
        <v>604</v>
      </c>
      <c r="E129" s="1055"/>
      <c r="F129" s="1055"/>
      <c r="G129" s="1055"/>
      <c r="H129" s="1055"/>
      <c r="I129" s="1055"/>
      <c r="J129" s="1055"/>
      <c r="K129" s="1055"/>
      <c r="L129" s="1055"/>
      <c r="M129" s="1055"/>
      <c r="N129" s="1041"/>
    </row>
    <row r="130" spans="3:14" x14ac:dyDescent="0.2">
      <c r="C130" s="1502"/>
      <c r="D130" s="938" t="s">
        <v>606</v>
      </c>
      <c r="E130" s="1055"/>
      <c r="F130" s="1055"/>
      <c r="G130" s="1055"/>
      <c r="H130" s="1055"/>
      <c r="I130" s="1055"/>
      <c r="J130" s="1055"/>
      <c r="K130" s="1055"/>
      <c r="L130" s="1055"/>
      <c r="M130" s="1055"/>
      <c r="N130" s="1041"/>
    </row>
    <row r="131" spans="3:14" x14ac:dyDescent="0.2">
      <c r="C131" s="824"/>
      <c r="D131" s="1051" t="s">
        <v>1913</v>
      </c>
      <c r="E131" s="1055"/>
      <c r="F131" s="1055"/>
      <c r="G131" s="1055"/>
      <c r="H131" s="1055"/>
      <c r="I131" s="1055"/>
      <c r="J131" s="1055"/>
      <c r="K131" s="1055"/>
      <c r="L131" s="1055"/>
      <c r="M131" s="1055"/>
      <c r="N131" s="1041"/>
    </row>
    <row r="132" spans="3:14" x14ac:dyDescent="0.2">
      <c r="C132" s="1502"/>
      <c r="D132" s="938" t="s">
        <v>1018</v>
      </c>
      <c r="E132" s="1055"/>
      <c r="F132" s="1055"/>
      <c r="G132" s="1055"/>
      <c r="H132" s="1055"/>
      <c r="I132" s="1055"/>
      <c r="J132" s="1055"/>
      <c r="K132" s="1055"/>
      <c r="L132" s="1055"/>
      <c r="M132" s="1055"/>
      <c r="N132" s="1041"/>
    </row>
    <row r="133" spans="3:14" x14ac:dyDescent="0.2">
      <c r="C133" s="1502"/>
      <c r="D133" s="938" t="s">
        <v>1019</v>
      </c>
      <c r="E133" s="1055"/>
      <c r="F133" s="1055"/>
      <c r="G133" s="1055"/>
      <c r="H133" s="1055"/>
      <c r="I133" s="1055"/>
      <c r="J133" s="1055"/>
      <c r="K133" s="1055"/>
      <c r="L133" s="1055"/>
      <c r="M133" s="1055"/>
      <c r="N133" s="1041"/>
    </row>
    <row r="134" spans="3:14" x14ac:dyDescent="0.2">
      <c r="C134" s="1502"/>
      <c r="D134" s="938" t="s">
        <v>1914</v>
      </c>
      <c r="E134" s="1055"/>
      <c r="F134" s="1055"/>
      <c r="G134" s="1055"/>
      <c r="H134" s="1055"/>
      <c r="I134" s="1055"/>
      <c r="J134" s="1055"/>
      <c r="K134" s="1055"/>
      <c r="L134" s="1055"/>
      <c r="M134" s="1055"/>
      <c r="N134" s="1041"/>
    </row>
    <row r="135" spans="3:14" x14ac:dyDescent="0.2">
      <c r="C135" s="1502"/>
      <c r="D135" s="938" t="s">
        <v>50</v>
      </c>
      <c r="E135" s="1055"/>
      <c r="F135" s="1055"/>
      <c r="G135" s="1055"/>
      <c r="H135" s="1055"/>
      <c r="I135" s="1055"/>
      <c r="J135" s="1055"/>
      <c r="K135" s="1055"/>
      <c r="L135" s="1055"/>
      <c r="M135" s="1055"/>
      <c r="N135" s="1041"/>
    </row>
    <row r="136" spans="3:14" x14ac:dyDescent="0.2">
      <c r="C136" s="1502"/>
      <c r="D136" s="938" t="s">
        <v>75</v>
      </c>
      <c r="E136" s="1055"/>
      <c r="F136" s="1055"/>
      <c r="G136" s="1055"/>
      <c r="H136" s="1055"/>
      <c r="I136" s="1055"/>
      <c r="J136" s="1055"/>
      <c r="K136" s="1055"/>
      <c r="L136" s="1055"/>
      <c r="M136" s="1055"/>
      <c r="N136" s="1041"/>
    </row>
    <row r="137" spans="3:14" x14ac:dyDescent="0.2">
      <c r="C137" s="824"/>
      <c r="D137" s="1051" t="s">
        <v>1915</v>
      </c>
      <c r="E137" s="1055"/>
      <c r="F137" s="1055"/>
      <c r="G137" s="1055"/>
      <c r="H137" s="1055"/>
      <c r="I137" s="1055"/>
      <c r="J137" s="1055"/>
      <c r="K137" s="1055"/>
      <c r="L137" s="1055"/>
      <c r="M137" s="1055"/>
      <c r="N137" s="1041"/>
    </row>
    <row r="138" spans="3:14" x14ac:dyDescent="0.2">
      <c r="C138" s="1503"/>
      <c r="D138" s="938" t="s">
        <v>1916</v>
      </c>
      <c r="E138" s="1055"/>
      <c r="F138" s="1055"/>
      <c r="G138" s="1055"/>
      <c r="H138" s="1055"/>
      <c r="I138" s="1055"/>
      <c r="J138" s="1055"/>
      <c r="K138" s="1055"/>
      <c r="L138" s="1055"/>
      <c r="M138" s="1055"/>
      <c r="N138" s="1041"/>
    </row>
    <row r="139" spans="3:14" x14ac:dyDescent="0.2">
      <c r="C139" s="1503"/>
      <c r="D139" s="938" t="s">
        <v>1918</v>
      </c>
      <c r="E139" s="1052"/>
      <c r="F139" s="1052"/>
      <c r="G139" s="1052"/>
      <c r="H139" s="1052"/>
      <c r="I139" s="1052"/>
      <c r="J139" s="1052"/>
      <c r="K139" s="1052"/>
      <c r="L139" s="1052"/>
      <c r="M139" s="1052"/>
      <c r="N139" s="1041"/>
    </row>
    <row r="140" spans="3:14" x14ac:dyDescent="0.2">
      <c r="C140" s="1503"/>
      <c r="D140" s="938" t="s">
        <v>1920</v>
      </c>
      <c r="E140" s="1055"/>
      <c r="F140" s="1055"/>
      <c r="G140" s="1055"/>
      <c r="H140" s="1055"/>
      <c r="I140" s="1055"/>
      <c r="J140" s="1055"/>
      <c r="K140" s="1055"/>
      <c r="L140" s="1055"/>
      <c r="M140" s="1055"/>
      <c r="N140" s="1041"/>
    </row>
    <row r="141" spans="3:14" x14ac:dyDescent="0.2">
      <c r="C141" s="1503"/>
      <c r="D141" s="938" t="s">
        <v>1922</v>
      </c>
      <c r="E141" s="1055"/>
      <c r="F141" s="1055"/>
      <c r="G141" s="1055"/>
      <c r="H141" s="1055"/>
      <c r="I141" s="1055"/>
      <c r="J141" s="1055"/>
      <c r="K141" s="1055"/>
      <c r="L141" s="1055"/>
      <c r="M141" s="1055"/>
      <c r="N141" s="1041"/>
    </row>
    <row r="142" spans="3:14" x14ac:dyDescent="0.2">
      <c r="C142" s="1503"/>
      <c r="D142" s="938" t="s">
        <v>1924</v>
      </c>
      <c r="E142" s="1055"/>
      <c r="F142" s="1055"/>
      <c r="G142" s="1055"/>
      <c r="H142" s="1055"/>
      <c r="I142" s="1055"/>
      <c r="J142" s="1055"/>
      <c r="K142" s="1055"/>
      <c r="L142" s="1055"/>
      <c r="M142" s="1055"/>
      <c r="N142" s="1041"/>
    </row>
    <row r="143" spans="3:14" x14ac:dyDescent="0.2">
      <c r="C143" s="1503"/>
      <c r="D143" s="938" t="s">
        <v>1926</v>
      </c>
      <c r="E143" s="1055"/>
      <c r="F143" s="1055"/>
      <c r="G143" s="1055"/>
      <c r="H143" s="1055"/>
      <c r="I143" s="1055"/>
      <c r="J143" s="1055"/>
      <c r="K143" s="1055"/>
      <c r="L143" s="1055"/>
      <c r="M143" s="1055"/>
      <c r="N143" s="1041"/>
    </row>
    <row r="144" spans="3:14" x14ac:dyDescent="0.2">
      <c r="C144" s="1503"/>
      <c r="D144" s="938" t="s">
        <v>1928</v>
      </c>
      <c r="E144" s="1055"/>
      <c r="F144" s="1055"/>
      <c r="G144" s="1055"/>
      <c r="H144" s="1055"/>
      <c r="I144" s="1055"/>
      <c r="J144" s="1055"/>
      <c r="K144" s="1055"/>
      <c r="L144" s="1055"/>
      <c r="M144" s="1055"/>
      <c r="N144" s="1041"/>
    </row>
    <row r="145" spans="3:14" x14ac:dyDescent="0.2">
      <c r="C145" s="1503"/>
      <c r="D145" s="938" t="s">
        <v>1930</v>
      </c>
      <c r="E145" s="1055"/>
      <c r="F145" s="1055"/>
      <c r="G145" s="1055"/>
      <c r="H145" s="1055"/>
      <c r="I145" s="1055"/>
      <c r="J145" s="1055"/>
      <c r="K145" s="1055"/>
      <c r="L145" s="1055"/>
      <c r="M145" s="1055"/>
      <c r="N145" s="1041"/>
    </row>
    <row r="146" spans="3:14" x14ac:dyDescent="0.2">
      <c r="C146" s="1503"/>
      <c r="D146" s="938" t="s">
        <v>1932</v>
      </c>
      <c r="E146" s="1055"/>
      <c r="F146" s="1055"/>
      <c r="G146" s="1055"/>
      <c r="H146" s="1055"/>
      <c r="I146" s="1055"/>
      <c r="J146" s="1055"/>
      <c r="K146" s="1055"/>
      <c r="L146" s="1055"/>
      <c r="M146" s="1055"/>
      <c r="N146" s="1041"/>
    </row>
    <row r="147" spans="3:14" x14ac:dyDescent="0.2">
      <c r="C147" s="824"/>
      <c r="D147" s="1051" t="s">
        <v>1934</v>
      </c>
      <c r="E147" s="1055"/>
      <c r="F147" s="1055"/>
      <c r="G147" s="1055"/>
      <c r="H147" s="1055"/>
      <c r="I147" s="1055"/>
      <c r="J147" s="1055"/>
      <c r="K147" s="1055"/>
      <c r="L147" s="1055"/>
      <c r="M147" s="1055"/>
      <c r="N147" s="1041"/>
    </row>
    <row r="148" spans="3:14" x14ac:dyDescent="0.2">
      <c r="C148" s="1503"/>
      <c r="D148" s="938" t="s">
        <v>755</v>
      </c>
      <c r="E148" s="1055"/>
      <c r="F148" s="1055"/>
      <c r="G148" s="1055"/>
      <c r="H148" s="1055"/>
      <c r="I148" s="1055"/>
      <c r="J148" s="1055"/>
      <c r="K148" s="1055"/>
      <c r="L148" s="1055"/>
      <c r="M148" s="1055"/>
      <c r="N148" s="1041"/>
    </row>
    <row r="149" spans="3:14" x14ac:dyDescent="0.2">
      <c r="C149" s="1503"/>
      <c r="D149" s="938" t="s">
        <v>756</v>
      </c>
      <c r="E149" s="1055"/>
      <c r="F149" s="1055"/>
      <c r="G149" s="1055"/>
      <c r="H149" s="1055"/>
      <c r="I149" s="1055"/>
      <c r="J149" s="1055"/>
      <c r="K149" s="1055"/>
      <c r="L149" s="1055"/>
      <c r="M149" s="1055"/>
      <c r="N149" s="1041"/>
    </row>
    <row r="150" spans="3:14" x14ac:dyDescent="0.2">
      <c r="C150" s="1503"/>
      <c r="D150" s="938" t="s">
        <v>740</v>
      </c>
      <c r="E150" s="1055"/>
      <c r="F150" s="1055"/>
      <c r="G150" s="1055"/>
      <c r="H150" s="1055"/>
      <c r="I150" s="1055"/>
      <c r="J150" s="1055"/>
      <c r="K150" s="1055"/>
      <c r="L150" s="1055"/>
      <c r="M150" s="1055"/>
      <c r="N150" s="1041"/>
    </row>
    <row r="151" spans="3:14" x14ac:dyDescent="0.2">
      <c r="C151" s="1503"/>
      <c r="D151" s="938" t="s">
        <v>757</v>
      </c>
      <c r="E151" s="1055"/>
      <c r="F151" s="1055"/>
      <c r="G151" s="1055"/>
      <c r="H151" s="1055"/>
      <c r="I151" s="1055"/>
      <c r="J151" s="1055"/>
      <c r="K151" s="1055"/>
      <c r="L151" s="1055"/>
      <c r="M151" s="1055"/>
      <c r="N151" s="1041"/>
    </row>
    <row r="152" spans="3:14" x14ac:dyDescent="0.2">
      <c r="C152" s="1503"/>
      <c r="D152" s="938" t="s">
        <v>739</v>
      </c>
      <c r="E152" s="1055"/>
      <c r="F152" s="1055"/>
      <c r="G152" s="1055"/>
      <c r="H152" s="1055"/>
      <c r="I152" s="1055"/>
      <c r="J152" s="1055"/>
      <c r="K152" s="1055"/>
      <c r="L152" s="1055"/>
      <c r="M152" s="1055"/>
      <c r="N152" s="1041"/>
    </row>
    <row r="153" spans="3:14" x14ac:dyDescent="0.2">
      <c r="C153" s="1503"/>
      <c r="D153" s="938" t="s">
        <v>758</v>
      </c>
      <c r="E153" s="1055"/>
      <c r="F153" s="1055"/>
      <c r="G153" s="1055"/>
      <c r="H153" s="1055"/>
      <c r="I153" s="1055"/>
      <c r="J153" s="1055"/>
      <c r="K153" s="1055"/>
      <c r="L153" s="1055"/>
      <c r="M153" s="1055"/>
      <c r="N153" s="1041"/>
    </row>
    <row r="154" spans="3:14" x14ac:dyDescent="0.2">
      <c r="C154" s="1503"/>
      <c r="D154" s="938" t="s">
        <v>759</v>
      </c>
      <c r="E154" s="1055"/>
      <c r="F154" s="1055"/>
      <c r="G154" s="1055"/>
      <c r="H154" s="1055"/>
      <c r="I154" s="1055"/>
      <c r="J154" s="1055"/>
      <c r="K154" s="1055"/>
      <c r="L154" s="1055"/>
      <c r="M154" s="1055"/>
      <c r="N154" s="1041"/>
    </row>
    <row r="155" spans="3:14" x14ac:dyDescent="0.2">
      <c r="C155" s="1503"/>
      <c r="D155" s="938" t="s">
        <v>760</v>
      </c>
      <c r="E155" s="1055"/>
      <c r="F155" s="1055"/>
      <c r="G155" s="1055"/>
      <c r="H155" s="1055"/>
      <c r="I155" s="1055"/>
      <c r="J155" s="1055"/>
      <c r="K155" s="1055"/>
      <c r="L155" s="1055"/>
      <c r="M155" s="1055"/>
      <c r="N155" s="1041"/>
    </row>
    <row r="156" spans="3:14" x14ac:dyDescent="0.2">
      <c r="C156" s="1503"/>
      <c r="D156" s="938" t="s">
        <v>761</v>
      </c>
      <c r="E156" s="1055"/>
      <c r="F156" s="1055"/>
      <c r="G156" s="1055"/>
      <c r="H156" s="1055"/>
      <c r="I156" s="1055"/>
      <c r="J156" s="1055"/>
      <c r="K156" s="1055"/>
      <c r="L156" s="1055"/>
      <c r="M156" s="1055"/>
      <c r="N156" s="1041"/>
    </row>
    <row r="157" spans="3:14" x14ac:dyDescent="0.2">
      <c r="C157" s="1503"/>
      <c r="D157" s="938" t="s">
        <v>1935</v>
      </c>
      <c r="E157" s="1055"/>
      <c r="F157" s="1055"/>
      <c r="G157" s="1055"/>
      <c r="H157" s="1055"/>
      <c r="I157" s="1055"/>
      <c r="J157" s="1055"/>
      <c r="K157" s="1055"/>
      <c r="L157" s="1055"/>
      <c r="M157" s="1055"/>
      <c r="N157" s="1041"/>
    </row>
    <row r="158" spans="3:14" x14ac:dyDescent="0.2">
      <c r="C158" s="1503"/>
      <c r="D158" s="938" t="s">
        <v>762</v>
      </c>
      <c r="E158" s="1055"/>
      <c r="F158" s="1055"/>
      <c r="G158" s="1055"/>
      <c r="H158" s="1055"/>
      <c r="I158" s="1055"/>
      <c r="J158" s="1055"/>
      <c r="K158" s="1055"/>
      <c r="L158" s="1055"/>
      <c r="M158" s="1055"/>
      <c r="N158" s="1041"/>
    </row>
    <row r="159" spans="3:14" x14ac:dyDescent="0.2">
      <c r="C159" s="1503"/>
      <c r="D159" s="938" t="s">
        <v>763</v>
      </c>
      <c r="E159" s="1055"/>
      <c r="F159" s="1055"/>
      <c r="G159" s="1055"/>
      <c r="H159" s="1055"/>
      <c r="I159" s="1055"/>
      <c r="J159" s="1055"/>
      <c r="K159" s="1055"/>
      <c r="L159" s="1055"/>
      <c r="M159" s="1055"/>
      <c r="N159" s="1041"/>
    </row>
    <row r="160" spans="3:14" x14ac:dyDescent="0.2">
      <c r="C160" s="1503"/>
      <c r="D160" s="938" t="s">
        <v>764</v>
      </c>
      <c r="E160" s="1055"/>
      <c r="F160" s="1055"/>
      <c r="G160" s="1055"/>
      <c r="H160" s="1055"/>
      <c r="I160" s="1055"/>
      <c r="J160" s="1055"/>
      <c r="K160" s="1055"/>
      <c r="L160" s="1055"/>
      <c r="M160" s="1055"/>
      <c r="N160" s="1041"/>
    </row>
    <row r="161" spans="3:14" x14ac:dyDescent="0.2">
      <c r="C161" s="1503"/>
      <c r="D161" s="938" t="s">
        <v>765</v>
      </c>
      <c r="E161" s="1055"/>
      <c r="F161" s="1055"/>
      <c r="G161" s="1055"/>
      <c r="H161" s="1055"/>
      <c r="I161" s="1055"/>
      <c r="J161" s="1055"/>
      <c r="K161" s="1055"/>
      <c r="L161" s="1055"/>
      <c r="M161" s="1055"/>
      <c r="N161" s="1041"/>
    </row>
    <row r="162" spans="3:14" x14ac:dyDescent="0.2">
      <c r="C162" s="1503"/>
      <c r="D162" s="938" t="s">
        <v>766</v>
      </c>
      <c r="E162" s="1055"/>
      <c r="F162" s="1055"/>
      <c r="G162" s="1055"/>
      <c r="H162" s="1055"/>
      <c r="I162" s="1055"/>
      <c r="J162" s="1055"/>
      <c r="K162" s="1055"/>
      <c r="L162" s="1055"/>
      <c r="M162" s="1055"/>
      <c r="N162" s="1041"/>
    </row>
    <row r="163" spans="3:14" x14ac:dyDescent="0.2">
      <c r="C163" s="1503"/>
      <c r="D163" s="938" t="s">
        <v>767</v>
      </c>
      <c r="E163" s="1055"/>
      <c r="F163" s="1055"/>
      <c r="G163" s="1055"/>
      <c r="H163" s="1055"/>
      <c r="I163" s="1055"/>
      <c r="J163" s="1055"/>
      <c r="K163" s="1055"/>
      <c r="L163" s="1055"/>
      <c r="M163" s="1055"/>
      <c r="N163" s="1041"/>
    </row>
    <row r="164" spans="3:14" x14ac:dyDescent="0.2">
      <c r="C164" s="1503"/>
      <c r="D164" s="938" t="s">
        <v>768</v>
      </c>
      <c r="E164" s="1055"/>
      <c r="F164" s="1055"/>
      <c r="G164" s="1055"/>
      <c r="H164" s="1055"/>
      <c r="I164" s="1055"/>
      <c r="J164" s="1055"/>
      <c r="K164" s="1055"/>
      <c r="L164" s="1055"/>
      <c r="M164" s="1055"/>
      <c r="N164" s="1041"/>
    </row>
    <row r="165" spans="3:14" x14ac:dyDescent="0.2">
      <c r="C165" s="1503"/>
      <c r="D165" s="938" t="s">
        <v>769</v>
      </c>
      <c r="E165" s="1055"/>
      <c r="F165" s="1055"/>
      <c r="G165" s="1055"/>
      <c r="H165" s="1055"/>
      <c r="I165" s="1055"/>
      <c r="J165" s="1055"/>
      <c r="K165" s="1055"/>
      <c r="L165" s="1055"/>
      <c r="M165" s="1055"/>
      <c r="N165" s="1041"/>
    </row>
    <row r="166" spans="3:14" x14ac:dyDescent="0.2">
      <c r="C166" s="1503"/>
      <c r="D166" s="938" t="s">
        <v>1937</v>
      </c>
      <c r="E166" s="1055"/>
      <c r="F166" s="1055"/>
      <c r="G166" s="1055"/>
      <c r="H166" s="1055"/>
      <c r="I166" s="1055"/>
      <c r="J166" s="1055"/>
      <c r="K166" s="1055"/>
      <c r="L166" s="1055"/>
      <c r="M166" s="1055"/>
      <c r="N166" s="1041"/>
    </row>
    <row r="167" spans="3:14" x14ac:dyDescent="0.2">
      <c r="C167" s="1503"/>
      <c r="D167" s="938" t="s">
        <v>770</v>
      </c>
      <c r="E167" s="1055"/>
      <c r="F167" s="1055"/>
      <c r="G167" s="1055"/>
      <c r="H167" s="1055"/>
      <c r="I167" s="1055"/>
      <c r="J167" s="1055"/>
      <c r="K167" s="1055"/>
      <c r="L167" s="1055"/>
      <c r="M167" s="1055"/>
      <c r="N167" s="1041"/>
    </row>
    <row r="168" spans="3:14" x14ac:dyDescent="0.2">
      <c r="C168" s="1503"/>
      <c r="D168" s="938" t="s">
        <v>771</v>
      </c>
      <c r="E168" s="1055"/>
      <c r="F168" s="1055"/>
      <c r="G168" s="1055"/>
      <c r="H168" s="1055"/>
      <c r="I168" s="1055"/>
      <c r="J168" s="1055"/>
      <c r="K168" s="1055"/>
      <c r="L168" s="1055"/>
      <c r="M168" s="1055"/>
      <c r="N168" s="1041"/>
    </row>
    <row r="169" spans="3:14" x14ac:dyDescent="0.2">
      <c r="C169" s="1503"/>
      <c r="D169" s="938" t="s">
        <v>1939</v>
      </c>
      <c r="E169" s="1055"/>
      <c r="F169" s="1055"/>
      <c r="G169" s="1055"/>
      <c r="H169" s="1055"/>
      <c r="I169" s="1055"/>
      <c r="J169" s="1055"/>
      <c r="K169" s="1055"/>
      <c r="L169" s="1055"/>
      <c r="M169" s="1055"/>
      <c r="N169" s="1041"/>
    </row>
    <row r="170" spans="3:14" x14ac:dyDescent="0.2">
      <c r="C170" s="1503"/>
      <c r="D170" s="938" t="s">
        <v>772</v>
      </c>
      <c r="E170" s="1055"/>
      <c r="F170" s="1055"/>
      <c r="G170" s="1055"/>
      <c r="H170" s="1055"/>
      <c r="I170" s="1055"/>
      <c r="J170" s="1055"/>
      <c r="K170" s="1055"/>
      <c r="L170" s="1055"/>
      <c r="M170" s="1055"/>
      <c r="N170" s="1041"/>
    </row>
    <row r="171" spans="3:14" x14ac:dyDescent="0.2">
      <c r="C171" s="1503"/>
      <c r="D171" s="938" t="s">
        <v>1941</v>
      </c>
      <c r="E171" s="1055"/>
      <c r="F171" s="1055"/>
      <c r="G171" s="1055"/>
      <c r="H171" s="1055"/>
      <c r="I171" s="1055"/>
      <c r="J171" s="1055"/>
      <c r="K171" s="1055"/>
      <c r="L171" s="1055"/>
      <c r="M171" s="1055"/>
      <c r="N171" s="1041"/>
    </row>
    <row r="172" spans="3:14" x14ac:dyDescent="0.2">
      <c r="C172" s="1503"/>
      <c r="D172" s="938" t="s">
        <v>773</v>
      </c>
      <c r="E172" s="1055"/>
      <c r="F172" s="1055"/>
      <c r="G172" s="1055"/>
      <c r="H172" s="1055"/>
      <c r="I172" s="1055"/>
      <c r="J172" s="1055"/>
      <c r="K172" s="1055"/>
      <c r="L172" s="1055"/>
      <c r="M172" s="1055"/>
      <c r="N172" s="1041"/>
    </row>
    <row r="173" spans="3:14" x14ac:dyDescent="0.2">
      <c r="C173" s="1503"/>
      <c r="D173" s="938" t="s">
        <v>774</v>
      </c>
      <c r="E173" s="1055"/>
      <c r="F173" s="1055"/>
      <c r="G173" s="1055"/>
      <c r="H173" s="1055"/>
      <c r="I173" s="1055"/>
      <c r="J173" s="1055"/>
      <c r="K173" s="1055"/>
      <c r="L173" s="1055"/>
      <c r="M173" s="1055"/>
      <c r="N173" s="1041"/>
    </row>
    <row r="174" spans="3:14" x14ac:dyDescent="0.2">
      <c r="C174" s="1503"/>
      <c r="D174" s="938" t="s">
        <v>1943</v>
      </c>
      <c r="E174" s="1055"/>
      <c r="F174" s="1055"/>
      <c r="G174" s="1055"/>
      <c r="H174" s="1055"/>
      <c r="I174" s="1055"/>
      <c r="J174" s="1055"/>
      <c r="K174" s="1055"/>
      <c r="L174" s="1055"/>
      <c r="M174" s="1055"/>
      <c r="N174" s="1041"/>
    </row>
    <row r="175" spans="3:14" x14ac:dyDescent="0.2">
      <c r="C175" s="1503"/>
      <c r="D175" s="938" t="s">
        <v>1945</v>
      </c>
      <c r="E175" s="1055"/>
      <c r="F175" s="1055"/>
      <c r="G175" s="1055"/>
      <c r="H175" s="1055"/>
      <c r="I175" s="1055"/>
      <c r="J175" s="1055"/>
      <c r="K175" s="1055"/>
      <c r="L175" s="1055"/>
      <c r="M175" s="1055"/>
      <c r="N175" s="1041"/>
    </row>
    <row r="176" spans="3:14" x14ac:dyDescent="0.2">
      <c r="C176" s="1503"/>
      <c r="D176" s="938" t="s">
        <v>1947</v>
      </c>
      <c r="E176" s="1055"/>
      <c r="F176" s="1055"/>
      <c r="G176" s="1055"/>
      <c r="H176" s="1055"/>
      <c r="I176" s="1055"/>
      <c r="J176" s="1055"/>
      <c r="K176" s="1055"/>
      <c r="L176" s="1055"/>
      <c r="M176" s="1055"/>
      <c r="N176" s="1041"/>
    </row>
    <row r="177" spans="3:14" x14ac:dyDescent="0.2">
      <c r="C177" s="1503"/>
      <c r="D177" s="938" t="s">
        <v>775</v>
      </c>
      <c r="E177" s="1055"/>
      <c r="F177" s="1055"/>
      <c r="G177" s="1055"/>
      <c r="H177" s="1055"/>
      <c r="I177" s="1055"/>
      <c r="J177" s="1055"/>
      <c r="K177" s="1055"/>
      <c r="L177" s="1055"/>
      <c r="M177" s="1055"/>
      <c r="N177" s="1041"/>
    </row>
    <row r="178" spans="3:14" x14ac:dyDescent="0.2">
      <c r="C178" s="1503"/>
      <c r="D178" s="938" t="s">
        <v>1949</v>
      </c>
      <c r="E178" s="1055"/>
      <c r="F178" s="1055"/>
      <c r="G178" s="1055"/>
      <c r="H178" s="1055"/>
      <c r="I178" s="1055"/>
      <c r="J178" s="1055"/>
      <c r="K178" s="1055"/>
      <c r="L178" s="1055"/>
      <c r="M178" s="1055"/>
      <c r="N178" s="1041"/>
    </row>
    <row r="179" spans="3:14" x14ac:dyDescent="0.2">
      <c r="C179" s="1503"/>
      <c r="D179" s="938" t="s">
        <v>1951</v>
      </c>
      <c r="E179" s="1055"/>
      <c r="F179" s="1055"/>
      <c r="G179" s="1055"/>
      <c r="H179" s="1055"/>
      <c r="I179" s="1055"/>
      <c r="J179" s="1055"/>
      <c r="K179" s="1055"/>
      <c r="L179" s="1055"/>
      <c r="M179" s="1055"/>
      <c r="N179" s="1041"/>
    </row>
    <row r="180" spans="3:14" x14ac:dyDescent="0.2">
      <c r="C180" s="1503"/>
      <c r="D180" s="938" t="s">
        <v>776</v>
      </c>
      <c r="E180" s="1055"/>
      <c r="F180" s="1055"/>
      <c r="G180" s="1055"/>
      <c r="H180" s="1055"/>
      <c r="I180" s="1055"/>
      <c r="J180" s="1055"/>
      <c r="K180" s="1055"/>
      <c r="L180" s="1055"/>
      <c r="M180" s="1055"/>
      <c r="N180" s="1041"/>
    </row>
    <row r="181" spans="3:14" x14ac:dyDescent="0.2">
      <c r="C181" s="1503"/>
      <c r="D181" s="938" t="s">
        <v>777</v>
      </c>
      <c r="E181" s="1055"/>
      <c r="F181" s="1055"/>
      <c r="G181" s="1055"/>
      <c r="H181" s="1055"/>
      <c r="I181" s="1055"/>
      <c r="J181" s="1055"/>
      <c r="K181" s="1055"/>
      <c r="L181" s="1055"/>
      <c r="M181" s="1055"/>
      <c r="N181" s="1041"/>
    </row>
    <row r="182" spans="3:14" x14ac:dyDescent="0.2">
      <c r="C182" s="1503"/>
      <c r="D182" s="938" t="s">
        <v>778</v>
      </c>
      <c r="E182" s="1055"/>
      <c r="F182" s="1055"/>
      <c r="G182" s="1055"/>
      <c r="H182" s="1055"/>
      <c r="I182" s="1055"/>
      <c r="J182" s="1055"/>
      <c r="K182" s="1055"/>
      <c r="L182" s="1055"/>
      <c r="M182" s="1055"/>
      <c r="N182" s="1041"/>
    </row>
    <row r="183" spans="3:14" x14ac:dyDescent="0.2">
      <c r="C183" s="1503"/>
      <c r="D183" s="938" t="s">
        <v>1953</v>
      </c>
      <c r="E183" s="1055"/>
      <c r="F183" s="1055"/>
      <c r="G183" s="1055"/>
      <c r="H183" s="1055"/>
      <c r="I183" s="1055"/>
      <c r="J183" s="1055"/>
      <c r="K183" s="1055"/>
      <c r="L183" s="1055"/>
      <c r="M183" s="1055"/>
      <c r="N183" s="1041"/>
    </row>
    <row r="184" spans="3:14" x14ac:dyDescent="0.2">
      <c r="C184" s="1503"/>
      <c r="D184" s="938" t="s">
        <v>779</v>
      </c>
      <c r="E184" s="1055"/>
      <c r="F184" s="1055"/>
      <c r="G184" s="1055"/>
      <c r="H184" s="1055"/>
      <c r="I184" s="1055"/>
      <c r="J184" s="1055"/>
      <c r="K184" s="1055"/>
      <c r="L184" s="1055"/>
      <c r="M184" s="1055"/>
      <c r="N184" s="1041"/>
    </row>
    <row r="185" spans="3:14" x14ac:dyDescent="0.2">
      <c r="C185" s="1503"/>
      <c r="D185" s="938" t="s">
        <v>780</v>
      </c>
      <c r="E185" s="1055"/>
      <c r="F185" s="1055"/>
      <c r="G185" s="1055"/>
      <c r="H185" s="1055"/>
      <c r="I185" s="1055"/>
      <c r="J185" s="1055"/>
      <c r="K185" s="1055"/>
      <c r="L185" s="1055"/>
      <c r="M185" s="1055"/>
      <c r="N185" s="1041"/>
    </row>
    <row r="186" spans="3:14" x14ac:dyDescent="0.2">
      <c r="C186" s="1503"/>
      <c r="D186" s="938" t="s">
        <v>781</v>
      </c>
      <c r="E186" s="1055"/>
      <c r="F186" s="1055"/>
      <c r="G186" s="1055"/>
      <c r="H186" s="1055"/>
      <c r="I186" s="1055"/>
      <c r="J186" s="1055"/>
      <c r="K186" s="1055"/>
      <c r="L186" s="1055"/>
      <c r="M186" s="1055"/>
      <c r="N186" s="1041"/>
    </row>
    <row r="187" spans="3:14" x14ac:dyDescent="0.2">
      <c r="C187" s="1503"/>
      <c r="D187" s="938" t="s">
        <v>782</v>
      </c>
      <c r="E187" s="1055"/>
      <c r="F187" s="1055"/>
      <c r="G187" s="1055"/>
      <c r="H187" s="1055"/>
      <c r="I187" s="1055"/>
      <c r="J187" s="1055"/>
      <c r="K187" s="1055"/>
      <c r="L187" s="1055"/>
      <c r="M187" s="1055"/>
      <c r="N187" s="1041"/>
    </row>
    <row r="188" spans="3:14" x14ac:dyDescent="0.2">
      <c r="C188" s="1503"/>
      <c r="D188" s="938" t="s">
        <v>1955</v>
      </c>
      <c r="E188" s="1055"/>
      <c r="F188" s="1055"/>
      <c r="G188" s="1055"/>
      <c r="H188" s="1055"/>
      <c r="I188" s="1055"/>
      <c r="J188" s="1055"/>
      <c r="K188" s="1055"/>
      <c r="L188" s="1055"/>
      <c r="M188" s="1055"/>
      <c r="N188" s="1041"/>
    </row>
    <row r="189" spans="3:14" x14ac:dyDescent="0.2">
      <c r="C189" s="1503"/>
      <c r="D189" s="938" t="s">
        <v>1957</v>
      </c>
      <c r="E189" s="1055"/>
      <c r="F189" s="1055"/>
      <c r="G189" s="1055"/>
      <c r="H189" s="1055"/>
      <c r="I189" s="1055"/>
      <c r="J189" s="1055"/>
      <c r="K189" s="1055"/>
      <c r="L189" s="1055"/>
      <c r="M189" s="1055"/>
      <c r="N189" s="1041"/>
    </row>
    <row r="190" spans="3:14" x14ac:dyDescent="0.2">
      <c r="C190" s="1503"/>
      <c r="D190" s="938" t="s">
        <v>1959</v>
      </c>
      <c r="E190" s="1055"/>
      <c r="F190" s="1055"/>
      <c r="G190" s="1055"/>
      <c r="H190" s="1055"/>
      <c r="I190" s="1055"/>
      <c r="J190" s="1055"/>
      <c r="K190" s="1055"/>
      <c r="L190" s="1055"/>
      <c r="M190" s="1055"/>
      <c r="N190" s="1041"/>
    </row>
    <row r="191" spans="3:14" x14ac:dyDescent="0.2">
      <c r="C191" s="1503"/>
      <c r="D191" s="938" t="s">
        <v>1961</v>
      </c>
      <c r="E191" s="1055"/>
      <c r="F191" s="1055"/>
      <c r="G191" s="1055"/>
      <c r="H191" s="1055"/>
      <c r="I191" s="1055"/>
      <c r="J191" s="1055"/>
      <c r="K191" s="1055"/>
      <c r="L191" s="1055"/>
      <c r="M191" s="1055"/>
      <c r="N191" s="1041"/>
    </row>
    <row r="192" spans="3:14" x14ac:dyDescent="0.2">
      <c r="C192" s="1503"/>
      <c r="D192" s="938" t="s">
        <v>783</v>
      </c>
      <c r="E192" s="1055"/>
      <c r="F192" s="1055"/>
      <c r="G192" s="1055"/>
      <c r="H192" s="1055"/>
      <c r="I192" s="1055"/>
      <c r="J192" s="1055"/>
      <c r="K192" s="1055"/>
      <c r="L192" s="1055"/>
      <c r="M192" s="1055"/>
      <c r="N192" s="1041"/>
    </row>
    <row r="193" spans="3:14" x14ac:dyDescent="0.2">
      <c r="C193" s="1503"/>
      <c r="D193" s="938" t="s">
        <v>784</v>
      </c>
      <c r="E193" s="1055"/>
      <c r="F193" s="1055"/>
      <c r="G193" s="1055"/>
      <c r="H193" s="1055"/>
      <c r="I193" s="1055"/>
      <c r="J193" s="1055"/>
      <c r="K193" s="1055"/>
      <c r="L193" s="1055"/>
      <c r="M193" s="1055"/>
      <c r="N193" s="1041"/>
    </row>
    <row r="194" spans="3:14" x14ac:dyDescent="0.2">
      <c r="C194" s="1503"/>
      <c r="D194" s="938" t="s">
        <v>785</v>
      </c>
      <c r="E194" s="1055"/>
      <c r="F194" s="1055"/>
      <c r="G194" s="1055"/>
      <c r="H194" s="1055"/>
      <c r="I194" s="1055"/>
      <c r="J194" s="1055"/>
      <c r="K194" s="1055"/>
      <c r="L194" s="1055"/>
      <c r="M194" s="1055"/>
      <c r="N194" s="1041"/>
    </row>
    <row r="195" spans="3:14" x14ac:dyDescent="0.2">
      <c r="C195" s="1503"/>
      <c r="D195" s="938" t="s">
        <v>786</v>
      </c>
      <c r="E195" s="1055"/>
      <c r="F195" s="1055"/>
      <c r="G195" s="1055"/>
      <c r="H195" s="1055"/>
      <c r="I195" s="1055"/>
      <c r="J195" s="1055"/>
      <c r="K195" s="1055"/>
      <c r="L195" s="1055"/>
      <c r="M195" s="1055"/>
      <c r="N195" s="1041"/>
    </row>
    <row r="196" spans="3:14" x14ac:dyDescent="0.2">
      <c r="C196" s="1502"/>
      <c r="D196" s="938" t="s">
        <v>787</v>
      </c>
      <c r="E196" s="1055"/>
      <c r="F196" s="1055"/>
      <c r="G196" s="1055"/>
      <c r="H196" s="1055"/>
      <c r="I196" s="1055"/>
      <c r="J196" s="1055"/>
      <c r="K196" s="1055"/>
      <c r="L196" s="1055"/>
      <c r="M196" s="1055"/>
      <c r="N196" s="1041"/>
    </row>
    <row r="197" spans="3:14" x14ac:dyDescent="0.2">
      <c r="C197" s="1503"/>
      <c r="D197" s="938" t="s">
        <v>1963</v>
      </c>
      <c r="E197" s="1055"/>
      <c r="F197" s="1055"/>
      <c r="G197" s="1055"/>
      <c r="H197" s="1055"/>
      <c r="I197" s="1055"/>
      <c r="J197" s="1055"/>
      <c r="K197" s="1055"/>
      <c r="L197" s="1055"/>
      <c r="M197" s="1055"/>
      <c r="N197" s="1041"/>
    </row>
    <row r="198" spans="3:14" x14ac:dyDescent="0.2">
      <c r="C198" s="1503"/>
      <c r="D198" s="938" t="s">
        <v>1964</v>
      </c>
      <c r="E198" s="1055"/>
      <c r="F198" s="1055"/>
      <c r="G198" s="1055"/>
      <c r="H198" s="1055"/>
      <c r="I198" s="1055"/>
      <c r="J198" s="1055"/>
      <c r="K198" s="1055"/>
      <c r="L198" s="1055"/>
      <c r="M198" s="1055"/>
      <c r="N198" s="1041"/>
    </row>
    <row r="199" spans="3:14" x14ac:dyDescent="0.2">
      <c r="C199" s="1503"/>
      <c r="D199" s="938" t="s">
        <v>1965</v>
      </c>
      <c r="E199" s="1055"/>
      <c r="F199" s="1055"/>
      <c r="G199" s="1055"/>
      <c r="H199" s="1055"/>
      <c r="I199" s="1055"/>
      <c r="J199" s="1055"/>
      <c r="K199" s="1055"/>
      <c r="L199" s="1055"/>
      <c r="M199" s="1055"/>
      <c r="N199" s="1041"/>
    </row>
    <row r="200" spans="3:14" x14ac:dyDescent="0.2">
      <c r="C200" s="1503"/>
      <c r="D200" s="938" t="s">
        <v>1966</v>
      </c>
      <c r="E200" s="1055"/>
      <c r="F200" s="1055"/>
      <c r="G200" s="1055"/>
      <c r="H200" s="1055"/>
      <c r="I200" s="1055"/>
      <c r="J200" s="1055"/>
      <c r="K200" s="1055"/>
      <c r="L200" s="1055"/>
      <c r="M200" s="1055"/>
      <c r="N200" s="1041"/>
    </row>
    <row r="201" spans="3:14" x14ac:dyDescent="0.2">
      <c r="C201" s="1503"/>
      <c r="D201" s="938" t="s">
        <v>1967</v>
      </c>
      <c r="E201" s="1055"/>
      <c r="F201" s="1055"/>
      <c r="G201" s="1055"/>
      <c r="H201" s="1055"/>
      <c r="I201" s="1055"/>
      <c r="J201" s="1055"/>
      <c r="K201" s="1055"/>
      <c r="L201" s="1055"/>
      <c r="M201" s="1055"/>
      <c r="N201" s="1041"/>
    </row>
    <row r="202" spans="3:14" x14ac:dyDescent="0.2">
      <c r="C202" s="1503"/>
      <c r="D202" s="938" t="s">
        <v>1968</v>
      </c>
      <c r="E202" s="1055"/>
      <c r="F202" s="1055"/>
      <c r="G202" s="1055"/>
      <c r="H202" s="1055"/>
      <c r="I202" s="1055"/>
      <c r="J202" s="1055"/>
      <c r="K202" s="1055"/>
      <c r="L202" s="1055"/>
      <c r="M202" s="1055"/>
      <c r="N202" s="1041"/>
    </row>
    <row r="203" spans="3:14" x14ac:dyDescent="0.2">
      <c r="C203" s="1503"/>
      <c r="D203" s="938" t="s">
        <v>1969</v>
      </c>
      <c r="E203" s="1055"/>
      <c r="F203" s="1055"/>
      <c r="G203" s="1055"/>
      <c r="H203" s="1055"/>
      <c r="I203" s="1055"/>
      <c r="J203" s="1055"/>
      <c r="K203" s="1055"/>
      <c r="L203" s="1055"/>
      <c r="M203" s="1055"/>
      <c r="N203" s="1041"/>
    </row>
    <row r="204" spans="3:14" x14ac:dyDescent="0.2">
      <c r="C204" s="1503"/>
      <c r="D204" s="938" t="s">
        <v>788</v>
      </c>
      <c r="E204" s="1055"/>
      <c r="F204" s="1055"/>
      <c r="G204" s="1055"/>
      <c r="H204" s="1055"/>
      <c r="I204" s="1055"/>
      <c r="J204" s="1055"/>
      <c r="K204" s="1055"/>
      <c r="L204" s="1055"/>
      <c r="M204" s="1055"/>
      <c r="N204" s="1041"/>
    </row>
    <row r="205" spans="3:14" x14ac:dyDescent="0.2">
      <c r="C205" s="1503"/>
      <c r="D205" s="938" t="s">
        <v>789</v>
      </c>
      <c r="E205" s="1055"/>
      <c r="F205" s="1055"/>
      <c r="G205" s="1055"/>
      <c r="H205" s="1055"/>
      <c r="I205" s="1055"/>
      <c r="J205" s="1055"/>
      <c r="K205" s="1055"/>
      <c r="L205" s="1055"/>
      <c r="M205" s="1055"/>
      <c r="N205" s="1041"/>
    </row>
    <row r="206" spans="3:14" x14ac:dyDescent="0.2">
      <c r="C206" s="1503"/>
      <c r="D206" s="938" t="s">
        <v>790</v>
      </c>
      <c r="E206" s="1055"/>
      <c r="F206" s="1055"/>
      <c r="G206" s="1055"/>
      <c r="H206" s="1055"/>
      <c r="I206" s="1055"/>
      <c r="J206" s="1055"/>
      <c r="K206" s="1055"/>
      <c r="L206" s="1055"/>
      <c r="M206" s="1055"/>
      <c r="N206" s="1041"/>
    </row>
    <row r="207" spans="3:14" x14ac:dyDescent="0.2">
      <c r="C207" s="1503"/>
      <c r="D207" s="938" t="s">
        <v>791</v>
      </c>
      <c r="E207" s="1055"/>
      <c r="F207" s="1055"/>
      <c r="G207" s="1055"/>
      <c r="H207" s="1055"/>
      <c r="I207" s="1055"/>
      <c r="J207" s="1055"/>
      <c r="K207" s="1055"/>
      <c r="L207" s="1055"/>
      <c r="M207" s="1055"/>
      <c r="N207" s="1041"/>
    </row>
    <row r="208" spans="3:14" x14ac:dyDescent="0.2">
      <c r="C208" s="1503"/>
      <c r="D208" s="938" t="s">
        <v>792</v>
      </c>
      <c r="E208" s="1055"/>
      <c r="F208" s="1055"/>
      <c r="G208" s="1055"/>
      <c r="H208" s="1055"/>
      <c r="I208" s="1055"/>
      <c r="J208" s="1055"/>
      <c r="K208" s="1055"/>
      <c r="L208" s="1055"/>
      <c r="M208" s="1055"/>
      <c r="N208" s="1041"/>
    </row>
    <row r="209" spans="3:14" x14ac:dyDescent="0.2">
      <c r="C209" s="1503"/>
      <c r="D209" s="938" t="s">
        <v>793</v>
      </c>
      <c r="E209" s="1055"/>
      <c r="F209" s="1055"/>
      <c r="G209" s="1055"/>
      <c r="H209" s="1055"/>
      <c r="I209" s="1055"/>
      <c r="J209" s="1055"/>
      <c r="K209" s="1055"/>
      <c r="L209" s="1055"/>
      <c r="M209" s="1055"/>
      <c r="N209" s="1041"/>
    </row>
    <row r="210" spans="3:14" x14ac:dyDescent="0.2">
      <c r="C210" s="1503"/>
      <c r="D210" s="938" t="s">
        <v>794</v>
      </c>
      <c r="E210" s="1055"/>
      <c r="F210" s="1055"/>
      <c r="G210" s="1055"/>
      <c r="H210" s="1055"/>
      <c r="I210" s="1055"/>
      <c r="J210" s="1055"/>
      <c r="K210" s="1055"/>
      <c r="L210" s="1055"/>
      <c r="M210" s="1055"/>
      <c r="N210" s="1041"/>
    </row>
    <row r="211" spans="3:14" x14ac:dyDescent="0.2">
      <c r="C211" s="1503"/>
      <c r="D211" s="938" t="s">
        <v>795</v>
      </c>
      <c r="E211" s="1055"/>
      <c r="F211" s="1055"/>
      <c r="G211" s="1055"/>
      <c r="H211" s="1055"/>
      <c r="I211" s="1055"/>
      <c r="J211" s="1055"/>
      <c r="K211" s="1055"/>
      <c r="L211" s="1055"/>
      <c r="M211" s="1055"/>
      <c r="N211" s="1041"/>
    </row>
    <row r="212" spans="3:14" x14ac:dyDescent="0.2">
      <c r="C212" s="1503"/>
      <c r="D212" s="938" t="s">
        <v>796</v>
      </c>
      <c r="E212" s="1055"/>
      <c r="F212" s="1055"/>
      <c r="G212" s="1055"/>
      <c r="H212" s="1055"/>
      <c r="I212" s="1055"/>
      <c r="J212" s="1055"/>
      <c r="K212" s="1055"/>
      <c r="L212" s="1055"/>
      <c r="M212" s="1055"/>
      <c r="N212" s="1041"/>
    </row>
    <row r="213" spans="3:14" x14ac:dyDescent="0.2">
      <c r="C213" s="1503"/>
      <c r="D213" s="938" t="s">
        <v>797</v>
      </c>
      <c r="E213" s="1052"/>
      <c r="F213" s="1052"/>
      <c r="G213" s="1052"/>
      <c r="H213" s="1052"/>
      <c r="I213" s="1052"/>
      <c r="J213" s="1052"/>
      <c r="K213" s="1052"/>
      <c r="L213" s="1052"/>
      <c r="M213" s="1052"/>
      <c r="N213" s="1041"/>
    </row>
    <row r="214" spans="3:14" x14ac:dyDescent="0.2">
      <c r="C214" s="1503"/>
      <c r="D214" s="938" t="s">
        <v>798</v>
      </c>
      <c r="E214" s="1055"/>
      <c r="F214" s="1055"/>
      <c r="G214" s="1055"/>
      <c r="H214" s="1055"/>
      <c r="I214" s="1055"/>
      <c r="J214" s="1055"/>
      <c r="K214" s="1055"/>
      <c r="L214" s="1055"/>
      <c r="M214" s="1055"/>
      <c r="N214" s="1041"/>
    </row>
    <row r="215" spans="3:14" x14ac:dyDescent="0.2">
      <c r="C215" s="1503"/>
      <c r="D215" s="938" t="s">
        <v>799</v>
      </c>
      <c r="E215" s="1055"/>
      <c r="F215" s="1055"/>
      <c r="G215" s="1055"/>
      <c r="H215" s="1055"/>
      <c r="I215" s="1055"/>
      <c r="J215" s="1055"/>
      <c r="K215" s="1055"/>
      <c r="L215" s="1055"/>
      <c r="M215" s="1055"/>
      <c r="N215" s="1041"/>
    </row>
    <row r="216" spans="3:14" x14ac:dyDescent="0.2">
      <c r="C216" s="1503"/>
      <c r="D216" s="938" t="s">
        <v>1970</v>
      </c>
      <c r="E216" s="1055"/>
      <c r="F216" s="1055"/>
      <c r="G216" s="1055"/>
      <c r="H216" s="1055"/>
      <c r="I216" s="1055"/>
      <c r="J216" s="1055"/>
      <c r="K216" s="1055"/>
      <c r="L216" s="1055"/>
      <c r="M216" s="1055"/>
      <c r="N216" s="1041"/>
    </row>
    <row r="217" spans="3:14" x14ac:dyDescent="0.2">
      <c r="C217" s="1503"/>
      <c r="D217" s="938" t="s">
        <v>1971</v>
      </c>
      <c r="E217" s="1055"/>
      <c r="F217" s="1055"/>
      <c r="G217" s="1055"/>
      <c r="H217" s="1055"/>
      <c r="I217" s="1055"/>
      <c r="J217" s="1055"/>
      <c r="K217" s="1055"/>
      <c r="L217" s="1055"/>
      <c r="M217" s="1055"/>
      <c r="N217" s="1041"/>
    </row>
    <row r="218" spans="3:14" x14ac:dyDescent="0.2">
      <c r="C218" s="1503"/>
      <c r="D218" s="938" t="s">
        <v>1972</v>
      </c>
      <c r="E218" s="1055"/>
      <c r="F218" s="1055"/>
      <c r="G218" s="1055"/>
      <c r="H218" s="1055"/>
      <c r="I218" s="1055"/>
      <c r="J218" s="1055"/>
      <c r="K218" s="1055"/>
      <c r="L218" s="1055"/>
      <c r="M218" s="1055"/>
      <c r="N218" s="1041"/>
    </row>
    <row r="219" spans="3:14" x14ac:dyDescent="0.2">
      <c r="C219" s="1503"/>
      <c r="D219" s="938" t="s">
        <v>1973</v>
      </c>
      <c r="E219" s="1055"/>
      <c r="F219" s="1055"/>
      <c r="G219" s="1055"/>
      <c r="H219" s="1055"/>
      <c r="I219" s="1055"/>
      <c r="J219" s="1055"/>
      <c r="K219" s="1055"/>
      <c r="L219" s="1055"/>
      <c r="M219" s="1055"/>
      <c r="N219" s="1041"/>
    </row>
    <row r="220" spans="3:14" x14ac:dyDescent="0.2">
      <c r="C220" s="1503"/>
      <c r="D220" s="938" t="s">
        <v>1974</v>
      </c>
      <c r="E220" s="1055"/>
      <c r="F220" s="1055"/>
      <c r="G220" s="1055"/>
      <c r="H220" s="1055"/>
      <c r="I220" s="1055"/>
      <c r="J220" s="1055"/>
      <c r="K220" s="1055"/>
      <c r="L220" s="1055"/>
      <c r="M220" s="1055"/>
      <c r="N220" s="1041"/>
    </row>
    <row r="221" spans="3:14" x14ac:dyDescent="0.2">
      <c r="C221" s="1503"/>
      <c r="D221" s="938" t="s">
        <v>800</v>
      </c>
      <c r="E221" s="1055"/>
      <c r="F221" s="1055"/>
      <c r="G221" s="1055"/>
      <c r="H221" s="1055"/>
      <c r="I221" s="1055"/>
      <c r="J221" s="1055"/>
      <c r="K221" s="1055"/>
      <c r="L221" s="1055"/>
      <c r="M221" s="1055"/>
      <c r="N221" s="1041"/>
    </row>
    <row r="222" spans="3:14" x14ac:dyDescent="0.2">
      <c r="C222" s="1503"/>
      <c r="D222" s="938" t="s">
        <v>801</v>
      </c>
      <c r="E222" s="1055"/>
      <c r="F222" s="1055"/>
      <c r="G222" s="1055"/>
      <c r="H222" s="1055"/>
      <c r="I222" s="1055"/>
      <c r="J222" s="1055"/>
      <c r="K222" s="1055"/>
      <c r="L222" s="1055"/>
      <c r="M222" s="1055"/>
      <c r="N222" s="1041"/>
    </row>
    <row r="223" spans="3:14" x14ac:dyDescent="0.2">
      <c r="C223" s="1503"/>
      <c r="D223" s="938" t="s">
        <v>802</v>
      </c>
      <c r="E223" s="1055"/>
      <c r="F223" s="1055"/>
      <c r="G223" s="1055"/>
      <c r="H223" s="1055"/>
      <c r="I223" s="1055"/>
      <c r="J223" s="1055"/>
      <c r="K223" s="1055"/>
      <c r="L223" s="1055"/>
      <c r="M223" s="1055"/>
      <c r="N223" s="1041"/>
    </row>
    <row r="224" spans="3:14" x14ac:dyDescent="0.2">
      <c r="C224" s="1503"/>
      <c r="D224" s="938" t="s">
        <v>803</v>
      </c>
      <c r="E224" s="1055"/>
      <c r="F224" s="1055"/>
      <c r="G224" s="1055"/>
      <c r="H224" s="1055"/>
      <c r="I224" s="1055"/>
      <c r="J224" s="1055"/>
      <c r="K224" s="1055"/>
      <c r="L224" s="1055"/>
      <c r="M224" s="1055"/>
      <c r="N224" s="1041"/>
    </row>
    <row r="225" spans="3:14" x14ac:dyDescent="0.2">
      <c r="C225" s="1503"/>
      <c r="D225" s="938" t="s">
        <v>804</v>
      </c>
      <c r="E225" s="1055"/>
      <c r="F225" s="1055"/>
      <c r="G225" s="1055"/>
      <c r="H225" s="1055"/>
      <c r="I225" s="1055"/>
      <c r="J225" s="1055"/>
      <c r="K225" s="1055"/>
      <c r="L225" s="1055"/>
      <c r="M225" s="1055"/>
      <c r="N225" s="1041"/>
    </row>
    <row r="226" spans="3:14" x14ac:dyDescent="0.2">
      <c r="C226" s="1503"/>
      <c r="D226" s="938" t="s">
        <v>805</v>
      </c>
      <c r="E226" s="1055"/>
      <c r="F226" s="1055"/>
      <c r="G226" s="1055"/>
      <c r="H226" s="1055"/>
      <c r="I226" s="1055"/>
      <c r="J226" s="1055"/>
      <c r="K226" s="1055"/>
      <c r="L226" s="1055"/>
      <c r="M226" s="1055"/>
      <c r="N226" s="1041"/>
    </row>
    <row r="227" spans="3:14" x14ac:dyDescent="0.2">
      <c r="C227" s="1503"/>
      <c r="D227" s="938" t="s">
        <v>806</v>
      </c>
      <c r="E227" s="1055"/>
      <c r="F227" s="1055"/>
      <c r="G227" s="1055"/>
      <c r="H227" s="1055"/>
      <c r="I227" s="1055"/>
      <c r="J227" s="1055"/>
      <c r="K227" s="1055"/>
      <c r="L227" s="1055"/>
      <c r="M227" s="1055"/>
      <c r="N227" s="1041"/>
    </row>
    <row r="228" spans="3:14" x14ac:dyDescent="0.2">
      <c r="C228" s="1503"/>
      <c r="D228" s="938" t="s">
        <v>807</v>
      </c>
      <c r="E228" s="1055"/>
      <c r="F228" s="1055"/>
      <c r="G228" s="1055"/>
      <c r="H228" s="1055"/>
      <c r="I228" s="1055"/>
      <c r="J228" s="1055"/>
      <c r="K228" s="1055"/>
      <c r="L228" s="1055"/>
      <c r="M228" s="1055"/>
      <c r="N228" s="1041"/>
    </row>
    <row r="229" spans="3:14" x14ac:dyDescent="0.2">
      <c r="C229" s="1503"/>
      <c r="D229" s="938" t="s">
        <v>808</v>
      </c>
      <c r="E229" s="1055"/>
      <c r="F229" s="1055"/>
      <c r="G229" s="1055"/>
      <c r="H229" s="1055"/>
      <c r="I229" s="1055"/>
      <c r="J229" s="1055"/>
      <c r="K229" s="1055"/>
      <c r="L229" s="1055"/>
      <c r="M229" s="1055"/>
      <c r="N229" s="1041"/>
    </row>
    <row r="230" spans="3:14" x14ac:dyDescent="0.2">
      <c r="C230" s="1503"/>
      <c r="D230" s="938" t="s">
        <v>809</v>
      </c>
      <c r="E230" s="1055"/>
      <c r="F230" s="1055"/>
      <c r="G230" s="1055"/>
      <c r="H230" s="1055"/>
      <c r="I230" s="1055"/>
      <c r="J230" s="1055"/>
      <c r="K230" s="1055"/>
      <c r="L230" s="1055"/>
      <c r="M230" s="1055"/>
      <c r="N230" s="1041"/>
    </row>
    <row r="231" spans="3:14" x14ac:dyDescent="0.2">
      <c r="C231" s="1503"/>
      <c r="D231" s="938" t="s">
        <v>810</v>
      </c>
      <c r="E231" s="1055"/>
      <c r="F231" s="1055"/>
      <c r="G231" s="1055"/>
      <c r="H231" s="1055"/>
      <c r="I231" s="1055"/>
      <c r="J231" s="1055"/>
      <c r="K231" s="1055"/>
      <c r="L231" s="1055"/>
      <c r="M231" s="1055"/>
      <c r="N231" s="1041"/>
    </row>
    <row r="232" spans="3:14" x14ac:dyDescent="0.2">
      <c r="C232" s="1503"/>
      <c r="D232" s="938" t="s">
        <v>811</v>
      </c>
      <c r="E232" s="1055"/>
      <c r="F232" s="1055"/>
      <c r="G232" s="1055"/>
      <c r="H232" s="1055"/>
      <c r="I232" s="1055"/>
      <c r="J232" s="1055"/>
      <c r="K232" s="1055"/>
      <c r="L232" s="1055"/>
      <c r="M232" s="1055"/>
      <c r="N232" s="1041"/>
    </row>
    <row r="233" spans="3:14" x14ac:dyDescent="0.2">
      <c r="C233" s="1503"/>
      <c r="D233" s="938" t="s">
        <v>812</v>
      </c>
      <c r="E233" s="1055"/>
      <c r="F233" s="1055"/>
      <c r="G233" s="1055"/>
      <c r="H233" s="1055"/>
      <c r="I233" s="1055"/>
      <c r="J233" s="1055"/>
      <c r="K233" s="1055"/>
      <c r="L233" s="1055"/>
      <c r="M233" s="1055"/>
      <c r="N233" s="1041"/>
    </row>
    <row r="234" spans="3:14" x14ac:dyDescent="0.2">
      <c r="C234" s="1503"/>
      <c r="D234" s="938" t="s">
        <v>1975</v>
      </c>
      <c r="E234" s="1055"/>
      <c r="F234" s="1055"/>
      <c r="G234" s="1055"/>
      <c r="H234" s="1055"/>
      <c r="I234" s="1055"/>
      <c r="J234" s="1055"/>
      <c r="K234" s="1055"/>
      <c r="L234" s="1055"/>
      <c r="M234" s="1055"/>
      <c r="N234" s="1041"/>
    </row>
    <row r="235" spans="3:14" x14ac:dyDescent="0.2">
      <c r="C235" s="1503"/>
      <c r="D235" s="938" t="s">
        <v>813</v>
      </c>
      <c r="E235" s="1055"/>
      <c r="F235" s="1055"/>
      <c r="G235" s="1055"/>
      <c r="H235" s="1055"/>
      <c r="I235" s="1055"/>
      <c r="J235" s="1055"/>
      <c r="K235" s="1055"/>
      <c r="L235" s="1055"/>
      <c r="M235" s="1055"/>
      <c r="N235" s="1041"/>
    </row>
    <row r="236" spans="3:14" x14ac:dyDescent="0.2">
      <c r="C236" s="824"/>
      <c r="D236" s="1051" t="s">
        <v>1977</v>
      </c>
      <c r="E236" s="1055"/>
      <c r="F236" s="1055"/>
      <c r="G236" s="1055"/>
      <c r="H236" s="1055"/>
      <c r="I236" s="1055"/>
      <c r="J236" s="1055"/>
      <c r="K236" s="1055"/>
      <c r="L236" s="1055"/>
      <c r="M236" s="1055"/>
      <c r="N236" s="1041"/>
    </row>
    <row r="237" spans="3:14" x14ac:dyDescent="0.2">
      <c r="C237" s="1503"/>
      <c r="D237" s="938" t="s">
        <v>1978</v>
      </c>
      <c r="E237" s="1055"/>
      <c r="F237" s="1055"/>
      <c r="G237" s="1055"/>
      <c r="H237" s="1055"/>
      <c r="I237" s="1055"/>
      <c r="J237" s="1055"/>
      <c r="K237" s="1055"/>
      <c r="L237" s="1055"/>
      <c r="M237" s="1055"/>
      <c r="N237" s="1041"/>
    </row>
    <row r="238" spans="3:14" x14ac:dyDescent="0.2">
      <c r="C238" s="1503"/>
      <c r="D238" s="938" t="s">
        <v>1979</v>
      </c>
      <c r="E238" s="1055"/>
      <c r="F238" s="1055"/>
      <c r="G238" s="1055"/>
      <c r="H238" s="1055"/>
      <c r="I238" s="1055"/>
      <c r="J238" s="1055"/>
      <c r="K238" s="1055"/>
      <c r="L238" s="1055"/>
      <c r="M238" s="1055"/>
      <c r="N238" s="1041"/>
    </row>
    <row r="239" spans="3:14" x14ac:dyDescent="0.2">
      <c r="C239" s="1503"/>
      <c r="D239" s="938" t="s">
        <v>1981</v>
      </c>
      <c r="E239" s="1055"/>
      <c r="F239" s="1055"/>
      <c r="G239" s="1055"/>
      <c r="H239" s="1055"/>
      <c r="I239" s="1055"/>
      <c r="J239" s="1055"/>
      <c r="K239" s="1055"/>
      <c r="L239" s="1055"/>
      <c r="M239" s="1055"/>
      <c r="N239" s="1041"/>
    </row>
    <row r="240" spans="3:14" x14ac:dyDescent="0.2">
      <c r="C240" s="1503"/>
      <c r="D240" s="938" t="s">
        <v>1982</v>
      </c>
      <c r="E240" s="1055"/>
      <c r="F240" s="1055"/>
      <c r="G240" s="1055"/>
      <c r="H240" s="1055"/>
      <c r="I240" s="1055"/>
      <c r="J240" s="1055"/>
      <c r="K240" s="1055"/>
      <c r="L240" s="1055"/>
      <c r="M240" s="1055"/>
      <c r="N240" s="1041"/>
    </row>
    <row r="241" spans="3:14" x14ac:dyDescent="0.2">
      <c r="C241" s="1503"/>
      <c r="D241" s="938" t="s">
        <v>1983</v>
      </c>
      <c r="E241" s="1055"/>
      <c r="F241" s="1055"/>
      <c r="G241" s="1055"/>
      <c r="H241" s="1055"/>
      <c r="I241" s="1055"/>
      <c r="J241" s="1055"/>
      <c r="K241" s="1055"/>
      <c r="L241" s="1055"/>
      <c r="M241" s="1055"/>
      <c r="N241" s="1041"/>
    </row>
    <row r="242" spans="3:14" x14ac:dyDescent="0.2">
      <c r="C242" s="1503"/>
      <c r="D242" s="938" t="s">
        <v>1984</v>
      </c>
      <c r="E242" s="1055"/>
      <c r="F242" s="1055"/>
      <c r="G242" s="1055"/>
      <c r="H242" s="1055"/>
      <c r="I242" s="1055"/>
      <c r="J242" s="1055"/>
      <c r="K242" s="1055"/>
      <c r="L242" s="1055"/>
      <c r="M242" s="1055"/>
      <c r="N242" s="1041"/>
    </row>
    <row r="243" spans="3:14" x14ac:dyDescent="0.2">
      <c r="C243" s="1503"/>
      <c r="D243" s="938" t="s">
        <v>1985</v>
      </c>
      <c r="E243" s="1055"/>
      <c r="F243" s="1055"/>
      <c r="G243" s="1055"/>
      <c r="H243" s="1055"/>
      <c r="I243" s="1055"/>
      <c r="J243" s="1055"/>
      <c r="K243" s="1055"/>
      <c r="L243" s="1055"/>
      <c r="M243" s="1055"/>
      <c r="N243" s="1041"/>
    </row>
    <row r="244" spans="3:14" x14ac:dyDescent="0.2">
      <c r="C244" s="1503"/>
      <c r="D244" s="938" t="s">
        <v>814</v>
      </c>
      <c r="E244" s="1055"/>
      <c r="F244" s="1055"/>
      <c r="G244" s="1055"/>
      <c r="H244" s="1055"/>
      <c r="I244" s="1055"/>
      <c r="J244" s="1055"/>
      <c r="K244" s="1055"/>
      <c r="L244" s="1055"/>
      <c r="M244" s="1055"/>
      <c r="N244" s="1041"/>
    </row>
    <row r="245" spans="3:14" x14ac:dyDescent="0.2">
      <c r="C245" s="1503"/>
      <c r="D245" s="938" t="s">
        <v>1987</v>
      </c>
      <c r="E245" s="1055"/>
      <c r="F245" s="1055"/>
      <c r="G245" s="1055"/>
      <c r="H245" s="1055"/>
      <c r="I245" s="1055"/>
      <c r="J245" s="1055"/>
      <c r="K245" s="1055"/>
      <c r="L245" s="1055"/>
      <c r="M245" s="1055"/>
      <c r="N245" s="1041"/>
    </row>
    <row r="246" spans="3:14" x14ac:dyDescent="0.2">
      <c r="C246" s="1503"/>
      <c r="D246" s="938" t="s">
        <v>1988</v>
      </c>
      <c r="E246" s="1055"/>
      <c r="F246" s="1055"/>
      <c r="G246" s="1055"/>
      <c r="H246" s="1055"/>
      <c r="I246" s="1055"/>
      <c r="J246" s="1055"/>
      <c r="K246" s="1055"/>
      <c r="L246" s="1055"/>
      <c r="M246" s="1055"/>
      <c r="N246" s="1041"/>
    </row>
    <row r="247" spans="3:14" x14ac:dyDescent="0.2">
      <c r="C247" s="1503"/>
      <c r="D247" s="938" t="s">
        <v>1989</v>
      </c>
      <c r="E247" s="1055"/>
      <c r="F247" s="1055"/>
      <c r="G247" s="1055"/>
      <c r="H247" s="1055"/>
      <c r="I247" s="1055"/>
      <c r="J247" s="1055"/>
      <c r="K247" s="1055"/>
      <c r="L247" s="1055"/>
      <c r="M247" s="1055"/>
      <c r="N247" s="1041"/>
    </row>
    <row r="248" spans="3:14" x14ac:dyDescent="0.2">
      <c r="C248" s="1503"/>
      <c r="D248" s="938" t="s">
        <v>1990</v>
      </c>
      <c r="E248" s="1055"/>
      <c r="F248" s="1055"/>
      <c r="G248" s="1055"/>
      <c r="H248" s="1055"/>
      <c r="I248" s="1055"/>
      <c r="J248" s="1055"/>
      <c r="K248" s="1055"/>
      <c r="L248" s="1055"/>
      <c r="M248" s="1055"/>
      <c r="N248" s="1041"/>
    </row>
    <row r="249" spans="3:14" x14ac:dyDescent="0.2">
      <c r="C249" s="1503"/>
      <c r="D249" s="938" t="s">
        <v>1991</v>
      </c>
      <c r="E249" s="1055"/>
      <c r="F249" s="1055"/>
      <c r="G249" s="1055"/>
      <c r="H249" s="1055"/>
      <c r="I249" s="1055"/>
      <c r="J249" s="1055"/>
      <c r="K249" s="1055"/>
      <c r="L249" s="1055"/>
      <c r="M249" s="1055"/>
      <c r="N249" s="1041"/>
    </row>
    <row r="250" spans="3:14" x14ac:dyDescent="0.2">
      <c r="C250" s="1503"/>
      <c r="D250" s="938" t="s">
        <v>1993</v>
      </c>
      <c r="E250" s="1055"/>
      <c r="F250" s="1055"/>
      <c r="G250" s="1055"/>
      <c r="H250" s="1055"/>
      <c r="I250" s="1055"/>
      <c r="J250" s="1055"/>
      <c r="K250" s="1055"/>
      <c r="L250" s="1055"/>
      <c r="M250" s="1055"/>
      <c r="N250" s="1041"/>
    </row>
    <row r="251" spans="3:14" x14ac:dyDescent="0.2">
      <c r="C251" s="1503"/>
      <c r="D251" s="938" t="s">
        <v>1994</v>
      </c>
      <c r="E251" s="1055"/>
      <c r="F251" s="1055"/>
      <c r="G251" s="1055"/>
      <c r="H251" s="1055"/>
      <c r="I251" s="1055"/>
      <c r="J251" s="1055"/>
      <c r="K251" s="1055"/>
      <c r="L251" s="1055"/>
      <c r="M251" s="1055"/>
      <c r="N251" s="1041"/>
    </row>
    <row r="252" spans="3:14" x14ac:dyDescent="0.2">
      <c r="C252" s="1503"/>
      <c r="D252" s="938" t="s">
        <v>1995</v>
      </c>
      <c r="E252" s="1055"/>
      <c r="F252" s="1055"/>
      <c r="G252" s="1055"/>
      <c r="H252" s="1055"/>
      <c r="I252" s="1055"/>
      <c r="J252" s="1055"/>
      <c r="K252" s="1055"/>
      <c r="L252" s="1055"/>
      <c r="M252" s="1055"/>
      <c r="N252" s="1041"/>
    </row>
    <row r="253" spans="3:14" x14ac:dyDescent="0.2">
      <c r="C253" s="1503"/>
      <c r="D253" s="938" t="s">
        <v>1997</v>
      </c>
      <c r="E253" s="1055"/>
      <c r="F253" s="1055"/>
      <c r="G253" s="1055"/>
      <c r="H253" s="1055"/>
      <c r="I253" s="1055"/>
      <c r="J253" s="1055"/>
      <c r="K253" s="1055"/>
      <c r="L253" s="1055"/>
      <c r="M253" s="1055"/>
      <c r="N253" s="1041"/>
    </row>
    <row r="254" spans="3:14" x14ac:dyDescent="0.2">
      <c r="C254" s="1503"/>
      <c r="D254" s="938" t="s">
        <v>1998</v>
      </c>
      <c r="E254" s="1055"/>
      <c r="F254" s="1055"/>
      <c r="G254" s="1055"/>
      <c r="H254" s="1055"/>
      <c r="I254" s="1055"/>
      <c r="J254" s="1055"/>
      <c r="K254" s="1055"/>
      <c r="L254" s="1055"/>
      <c r="M254" s="1055"/>
      <c r="N254" s="1041"/>
    </row>
    <row r="255" spans="3:14" x14ac:dyDescent="0.2">
      <c r="C255" s="1503"/>
      <c r="D255" s="938" t="s">
        <v>815</v>
      </c>
      <c r="E255" s="1055"/>
      <c r="F255" s="1055"/>
      <c r="G255" s="1055"/>
      <c r="H255" s="1055"/>
      <c r="I255" s="1055"/>
      <c r="J255" s="1055"/>
      <c r="K255" s="1055"/>
      <c r="L255" s="1055"/>
      <c r="M255" s="1055"/>
      <c r="N255" s="1041"/>
    </row>
    <row r="256" spans="3:14" x14ac:dyDescent="0.2">
      <c r="C256" s="1503"/>
      <c r="D256" s="938" t="s">
        <v>2000</v>
      </c>
      <c r="E256" s="1055"/>
      <c r="F256" s="1055"/>
      <c r="G256" s="1055"/>
      <c r="H256" s="1055"/>
      <c r="I256" s="1055"/>
      <c r="J256" s="1055"/>
      <c r="K256" s="1055"/>
      <c r="L256" s="1055"/>
      <c r="M256" s="1055"/>
      <c r="N256" s="1041"/>
    </row>
    <row r="257" spans="3:14" x14ac:dyDescent="0.2">
      <c r="C257" s="1503"/>
      <c r="D257" s="938" t="s">
        <v>2001</v>
      </c>
      <c r="E257" s="1055"/>
      <c r="F257" s="1055"/>
      <c r="G257" s="1055"/>
      <c r="H257" s="1055"/>
      <c r="I257" s="1055"/>
      <c r="J257" s="1055"/>
      <c r="K257" s="1055"/>
      <c r="L257" s="1055"/>
      <c r="M257" s="1055"/>
      <c r="N257" s="1041"/>
    </row>
    <row r="258" spans="3:14" x14ac:dyDescent="0.2">
      <c r="C258" s="1503"/>
      <c r="D258" s="938" t="s">
        <v>2003</v>
      </c>
      <c r="E258" s="1055"/>
      <c r="F258" s="1055"/>
      <c r="G258" s="1055"/>
      <c r="H258" s="1055"/>
      <c r="I258" s="1055"/>
      <c r="J258" s="1055"/>
      <c r="K258" s="1055"/>
      <c r="L258" s="1055"/>
      <c r="M258" s="1055"/>
      <c r="N258" s="1041"/>
    </row>
    <row r="259" spans="3:14" x14ac:dyDescent="0.2">
      <c r="C259" s="1503"/>
      <c r="D259" s="938" t="s">
        <v>2004</v>
      </c>
      <c r="E259" s="1055"/>
      <c r="F259" s="1055"/>
      <c r="G259" s="1055"/>
      <c r="H259" s="1055"/>
      <c r="I259" s="1055"/>
      <c r="J259" s="1055"/>
      <c r="K259" s="1055"/>
      <c r="L259" s="1055"/>
      <c r="M259" s="1055"/>
      <c r="N259" s="1041"/>
    </row>
    <row r="260" spans="3:14" x14ac:dyDescent="0.2">
      <c r="C260" s="1503"/>
      <c r="D260" s="938" t="s">
        <v>816</v>
      </c>
      <c r="E260" s="1055"/>
      <c r="F260" s="1055"/>
      <c r="G260" s="1055"/>
      <c r="H260" s="1055"/>
      <c r="I260" s="1055"/>
      <c r="J260" s="1055"/>
      <c r="K260" s="1055"/>
      <c r="L260" s="1055"/>
      <c r="M260" s="1055"/>
      <c r="N260" s="1041"/>
    </row>
    <row r="261" spans="3:14" x14ac:dyDescent="0.2">
      <c r="C261" s="1503"/>
      <c r="D261" s="938" t="s">
        <v>2005</v>
      </c>
      <c r="E261" s="1055"/>
      <c r="F261" s="1055"/>
      <c r="G261" s="1055"/>
      <c r="H261" s="1055"/>
      <c r="I261" s="1055"/>
      <c r="J261" s="1055"/>
      <c r="K261" s="1055"/>
      <c r="L261" s="1055"/>
      <c r="M261" s="1055"/>
      <c r="N261" s="1041"/>
    </row>
    <row r="262" spans="3:14" x14ac:dyDescent="0.2">
      <c r="C262" s="1503"/>
      <c r="D262" s="938" t="s">
        <v>2006</v>
      </c>
      <c r="E262" s="1055"/>
      <c r="F262" s="1055"/>
      <c r="G262" s="1055"/>
      <c r="H262" s="1055"/>
      <c r="I262" s="1055"/>
      <c r="J262" s="1055"/>
      <c r="K262" s="1055"/>
      <c r="L262" s="1055"/>
      <c r="M262" s="1055"/>
      <c r="N262" s="1041"/>
    </row>
    <row r="263" spans="3:14" x14ac:dyDescent="0.2">
      <c r="C263" s="1503"/>
      <c r="D263" s="938" t="s">
        <v>2007</v>
      </c>
      <c r="E263" s="1055"/>
      <c r="F263" s="1055"/>
      <c r="G263" s="1055"/>
      <c r="H263" s="1055"/>
      <c r="I263" s="1055"/>
      <c r="J263" s="1055"/>
      <c r="K263" s="1055"/>
      <c r="L263" s="1055"/>
      <c r="M263" s="1055"/>
      <c r="N263" s="1041"/>
    </row>
    <row r="264" spans="3:14" x14ac:dyDescent="0.2">
      <c r="C264" s="1503"/>
      <c r="D264" s="938" t="s">
        <v>2008</v>
      </c>
      <c r="E264" s="1055"/>
      <c r="F264" s="1055"/>
      <c r="G264" s="1055"/>
      <c r="H264" s="1055"/>
      <c r="I264" s="1055"/>
      <c r="J264" s="1055"/>
      <c r="K264" s="1055"/>
      <c r="L264" s="1055"/>
      <c r="M264" s="1055"/>
      <c r="N264" s="1041"/>
    </row>
    <row r="265" spans="3:14" x14ac:dyDescent="0.2">
      <c r="C265" s="1503"/>
      <c r="D265" s="938" t="s">
        <v>2009</v>
      </c>
      <c r="E265" s="1055"/>
      <c r="F265" s="1055"/>
      <c r="G265" s="1055"/>
      <c r="H265" s="1055"/>
      <c r="I265" s="1055"/>
      <c r="J265" s="1055"/>
      <c r="K265" s="1055"/>
      <c r="L265" s="1055"/>
      <c r="M265" s="1055"/>
      <c r="N265" s="1041"/>
    </row>
    <row r="266" spans="3:14" x14ac:dyDescent="0.2">
      <c r="C266" s="1503"/>
      <c r="D266" s="938" t="s">
        <v>2010</v>
      </c>
      <c r="E266" s="1055"/>
      <c r="F266" s="1055"/>
      <c r="G266" s="1055"/>
      <c r="H266" s="1055"/>
      <c r="I266" s="1055"/>
      <c r="J266" s="1055"/>
      <c r="K266" s="1055"/>
      <c r="L266" s="1055"/>
      <c r="M266" s="1055"/>
      <c r="N266" s="1041"/>
    </row>
    <row r="267" spans="3:14" x14ac:dyDescent="0.2">
      <c r="C267" s="1503"/>
      <c r="D267" s="938" t="s">
        <v>2011</v>
      </c>
      <c r="E267" s="1055"/>
      <c r="F267" s="1055"/>
      <c r="G267" s="1055"/>
      <c r="H267" s="1055"/>
      <c r="I267" s="1055"/>
      <c r="J267" s="1055"/>
      <c r="K267" s="1055"/>
      <c r="L267" s="1055"/>
      <c r="M267" s="1055"/>
      <c r="N267" s="1041"/>
    </row>
    <row r="268" spans="3:14" x14ac:dyDescent="0.2">
      <c r="C268" s="1503"/>
      <c r="D268" s="938" t="s">
        <v>2012</v>
      </c>
      <c r="E268" s="1055"/>
      <c r="F268" s="1055"/>
      <c r="G268" s="1055"/>
      <c r="H268" s="1055"/>
      <c r="I268" s="1055"/>
      <c r="J268" s="1055"/>
      <c r="K268" s="1055"/>
      <c r="L268" s="1055"/>
      <c r="M268" s="1055"/>
      <c r="N268" s="1041"/>
    </row>
    <row r="269" spans="3:14" x14ac:dyDescent="0.2">
      <c r="C269" s="1503"/>
      <c r="D269" s="938" t="s">
        <v>718</v>
      </c>
      <c r="E269" s="1055"/>
      <c r="F269" s="1055"/>
      <c r="G269" s="1055"/>
      <c r="H269" s="1055"/>
      <c r="I269" s="1055"/>
      <c r="J269" s="1055"/>
      <c r="K269" s="1055"/>
      <c r="L269" s="1055"/>
      <c r="M269" s="1055"/>
      <c r="N269" s="1041"/>
    </row>
    <row r="270" spans="3:14" x14ac:dyDescent="0.2">
      <c r="C270" s="1503"/>
      <c r="D270" s="938" t="s">
        <v>2014</v>
      </c>
      <c r="E270" s="1055"/>
      <c r="F270" s="1055"/>
      <c r="G270" s="1055"/>
      <c r="H270" s="1055"/>
      <c r="I270" s="1055"/>
      <c r="J270" s="1055"/>
      <c r="K270" s="1055"/>
      <c r="L270" s="1055"/>
      <c r="M270" s="1055"/>
      <c r="N270" s="1041"/>
    </row>
    <row r="271" spans="3:14" x14ac:dyDescent="0.2">
      <c r="C271" s="1503"/>
      <c r="D271" s="938" t="s">
        <v>2015</v>
      </c>
      <c r="E271" s="1055"/>
      <c r="F271" s="1055"/>
      <c r="G271" s="1055"/>
      <c r="H271" s="1055"/>
      <c r="I271" s="1055"/>
      <c r="J271" s="1055"/>
      <c r="K271" s="1055"/>
      <c r="L271" s="1055"/>
      <c r="M271" s="1055"/>
      <c r="N271" s="1041"/>
    </row>
    <row r="272" spans="3:14" x14ac:dyDescent="0.2">
      <c r="C272" s="1503"/>
      <c r="D272" s="938" t="s">
        <v>2016</v>
      </c>
      <c r="E272" s="1055"/>
      <c r="F272" s="1055"/>
      <c r="G272" s="1055"/>
      <c r="H272" s="1055"/>
      <c r="I272" s="1055"/>
      <c r="J272" s="1055"/>
      <c r="K272" s="1055"/>
      <c r="L272" s="1055"/>
      <c r="M272" s="1055"/>
      <c r="N272" s="1041"/>
    </row>
    <row r="273" spans="3:14" x14ac:dyDescent="0.2">
      <c r="C273" s="1503"/>
      <c r="D273" s="938" t="s">
        <v>2018</v>
      </c>
      <c r="E273" s="1055"/>
      <c r="F273" s="1055"/>
      <c r="G273" s="1055"/>
      <c r="H273" s="1055"/>
      <c r="I273" s="1055"/>
      <c r="J273" s="1055"/>
      <c r="K273" s="1055"/>
      <c r="L273" s="1055"/>
      <c r="M273" s="1055"/>
      <c r="N273" s="1041"/>
    </row>
    <row r="274" spans="3:14" x14ac:dyDescent="0.2">
      <c r="C274" s="1503"/>
      <c r="D274" s="938" t="s">
        <v>2020</v>
      </c>
      <c r="E274" s="1055"/>
      <c r="F274" s="1055"/>
      <c r="G274" s="1055"/>
      <c r="H274" s="1055"/>
      <c r="I274" s="1055"/>
      <c r="J274" s="1055"/>
      <c r="K274" s="1055"/>
      <c r="L274" s="1055"/>
      <c r="M274" s="1055"/>
      <c r="N274" s="1041"/>
    </row>
    <row r="275" spans="3:14" x14ac:dyDescent="0.2">
      <c r="C275" s="1503"/>
      <c r="D275" s="938" t="s">
        <v>2021</v>
      </c>
      <c r="E275" s="1055"/>
      <c r="F275" s="1055"/>
      <c r="G275" s="1055"/>
      <c r="H275" s="1055"/>
      <c r="I275" s="1055"/>
      <c r="J275" s="1055"/>
      <c r="K275" s="1055"/>
      <c r="L275" s="1055"/>
      <c r="M275" s="1055"/>
      <c r="N275" s="1041"/>
    </row>
    <row r="276" spans="3:14" x14ac:dyDescent="0.2">
      <c r="C276" s="1503"/>
      <c r="D276" s="938" t="s">
        <v>2022</v>
      </c>
      <c r="E276" s="1055"/>
      <c r="F276" s="1055"/>
      <c r="G276" s="1055"/>
      <c r="H276" s="1055"/>
      <c r="I276" s="1055"/>
      <c r="J276" s="1055"/>
      <c r="K276" s="1055"/>
      <c r="L276" s="1055"/>
      <c r="M276" s="1055"/>
      <c r="N276" s="1041"/>
    </row>
    <row r="277" spans="3:14" x14ac:dyDescent="0.2">
      <c r="C277" s="1503"/>
      <c r="D277" s="938" t="s">
        <v>2023</v>
      </c>
      <c r="E277" s="1055"/>
      <c r="F277" s="1055"/>
      <c r="G277" s="1055"/>
      <c r="H277" s="1055"/>
      <c r="I277" s="1055"/>
      <c r="J277" s="1055"/>
      <c r="K277" s="1055"/>
      <c r="L277" s="1055"/>
      <c r="M277" s="1055"/>
      <c r="N277" s="1041"/>
    </row>
    <row r="278" spans="3:14" x14ac:dyDescent="0.2">
      <c r="C278" s="1503"/>
      <c r="D278" s="938" t="s">
        <v>98</v>
      </c>
      <c r="E278" s="1055"/>
      <c r="F278" s="1055"/>
      <c r="G278" s="1055"/>
      <c r="H278" s="1055"/>
      <c r="I278" s="1055"/>
      <c r="J278" s="1055"/>
      <c r="K278" s="1055"/>
      <c r="L278" s="1055"/>
      <c r="M278" s="1055"/>
      <c r="N278" s="1041"/>
    </row>
    <row r="279" spans="3:14" x14ac:dyDescent="0.2">
      <c r="C279" s="1503"/>
      <c r="D279" s="938" t="s">
        <v>2024</v>
      </c>
      <c r="E279" s="1055"/>
      <c r="F279" s="1055"/>
      <c r="G279" s="1055"/>
      <c r="H279" s="1055"/>
      <c r="I279" s="1055"/>
      <c r="J279" s="1055"/>
      <c r="K279" s="1055"/>
      <c r="L279" s="1055"/>
      <c r="M279" s="1055"/>
      <c r="N279" s="1041"/>
    </row>
    <row r="280" spans="3:14" x14ac:dyDescent="0.2">
      <c r="C280" s="1503"/>
      <c r="D280" s="938" t="s">
        <v>2025</v>
      </c>
      <c r="E280" s="1055"/>
      <c r="F280" s="1055"/>
      <c r="G280" s="1055"/>
      <c r="H280" s="1055"/>
      <c r="I280" s="1055"/>
      <c r="J280" s="1055"/>
      <c r="K280" s="1055"/>
      <c r="L280" s="1055"/>
      <c r="M280" s="1055"/>
      <c r="N280" s="1041"/>
    </row>
    <row r="281" spans="3:14" x14ac:dyDescent="0.2">
      <c r="C281" s="1503"/>
      <c r="D281" s="938" t="s">
        <v>817</v>
      </c>
      <c r="E281" s="1055"/>
      <c r="F281" s="1055"/>
      <c r="G281" s="1055"/>
      <c r="H281" s="1055"/>
      <c r="I281" s="1055"/>
      <c r="J281" s="1055"/>
      <c r="K281" s="1055"/>
      <c r="L281" s="1055"/>
      <c r="M281" s="1055"/>
      <c r="N281" s="1041"/>
    </row>
    <row r="282" spans="3:14" x14ac:dyDescent="0.2">
      <c r="C282" s="1503"/>
      <c r="D282" s="938" t="s">
        <v>2026</v>
      </c>
      <c r="E282" s="1055"/>
      <c r="F282" s="1055"/>
      <c r="G282" s="1055"/>
      <c r="H282" s="1055"/>
      <c r="I282" s="1055"/>
      <c r="J282" s="1055"/>
      <c r="K282" s="1055"/>
      <c r="L282" s="1055"/>
      <c r="M282" s="1055"/>
      <c r="N282" s="1041"/>
    </row>
    <row r="283" spans="3:14" x14ac:dyDescent="0.2">
      <c r="C283" s="1503"/>
      <c r="D283" s="938" t="s">
        <v>2028</v>
      </c>
      <c r="E283" s="1055"/>
      <c r="F283" s="1055"/>
      <c r="G283" s="1055"/>
      <c r="H283" s="1055"/>
      <c r="I283" s="1055"/>
      <c r="J283" s="1055"/>
      <c r="K283" s="1055"/>
      <c r="L283" s="1055"/>
      <c r="M283" s="1055"/>
      <c r="N283" s="1041"/>
    </row>
    <row r="284" spans="3:14" x14ac:dyDescent="0.2">
      <c r="C284" s="1503"/>
      <c r="D284" s="938" t="s">
        <v>2029</v>
      </c>
      <c r="E284" s="1055"/>
      <c r="F284" s="1055"/>
      <c r="G284" s="1055"/>
      <c r="H284" s="1055"/>
      <c r="I284" s="1055"/>
      <c r="J284" s="1055"/>
      <c r="K284" s="1055"/>
      <c r="L284" s="1055"/>
      <c r="M284" s="1055"/>
      <c r="N284" s="1041"/>
    </row>
    <row r="285" spans="3:14" x14ac:dyDescent="0.2">
      <c r="C285" s="1503"/>
      <c r="D285" s="938" t="s">
        <v>2030</v>
      </c>
      <c r="E285" s="1055"/>
      <c r="F285" s="1055"/>
      <c r="G285" s="1055"/>
      <c r="H285" s="1055"/>
      <c r="I285" s="1055"/>
      <c r="J285" s="1055"/>
      <c r="K285" s="1055"/>
      <c r="L285" s="1055"/>
      <c r="M285" s="1055"/>
      <c r="N285" s="1041"/>
    </row>
    <row r="286" spans="3:14" x14ac:dyDescent="0.2">
      <c r="C286" s="1503"/>
      <c r="D286" s="938" t="s">
        <v>2031</v>
      </c>
      <c r="E286" s="1055"/>
      <c r="F286" s="1055"/>
      <c r="G286" s="1055"/>
      <c r="H286" s="1055"/>
      <c r="I286" s="1055"/>
      <c r="J286" s="1055"/>
      <c r="K286" s="1055"/>
      <c r="L286" s="1055"/>
      <c r="M286" s="1055"/>
      <c r="N286" s="1041"/>
    </row>
    <row r="287" spans="3:14" x14ac:dyDescent="0.2">
      <c r="C287" s="1503"/>
      <c r="D287" s="938" t="s">
        <v>2032</v>
      </c>
      <c r="E287" s="1055"/>
      <c r="F287" s="1055"/>
      <c r="G287" s="1055"/>
      <c r="H287" s="1055"/>
      <c r="I287" s="1055"/>
      <c r="J287" s="1055"/>
      <c r="K287" s="1055"/>
      <c r="L287" s="1055"/>
      <c r="M287" s="1055"/>
      <c r="N287" s="1041"/>
    </row>
    <row r="288" spans="3:14" x14ac:dyDescent="0.2">
      <c r="C288" s="1503"/>
      <c r="D288" s="938" t="s">
        <v>2033</v>
      </c>
      <c r="E288" s="1055"/>
      <c r="F288" s="1055"/>
      <c r="G288" s="1055"/>
      <c r="H288" s="1055"/>
      <c r="I288" s="1055"/>
      <c r="J288" s="1055"/>
      <c r="K288" s="1055"/>
      <c r="L288" s="1055"/>
      <c r="M288" s="1055"/>
      <c r="N288" s="1041"/>
    </row>
    <row r="289" spans="3:14" x14ac:dyDescent="0.2">
      <c r="C289" s="1503"/>
      <c r="D289" s="938" t="s">
        <v>2034</v>
      </c>
      <c r="E289" s="1055"/>
      <c r="F289" s="1055"/>
      <c r="G289" s="1055"/>
      <c r="H289" s="1055"/>
      <c r="I289" s="1055"/>
      <c r="J289" s="1055"/>
      <c r="K289" s="1055"/>
      <c r="L289" s="1055"/>
      <c r="M289" s="1055"/>
      <c r="N289" s="1041"/>
    </row>
    <row r="290" spans="3:14" x14ac:dyDescent="0.2">
      <c r="C290" s="1503"/>
      <c r="D290" s="938" t="s">
        <v>2036</v>
      </c>
      <c r="E290" s="1055"/>
      <c r="F290" s="1055"/>
      <c r="G290" s="1055"/>
      <c r="H290" s="1055"/>
      <c r="I290" s="1055"/>
      <c r="J290" s="1055"/>
      <c r="K290" s="1055"/>
      <c r="L290" s="1055"/>
      <c r="M290" s="1055"/>
      <c r="N290" s="1041"/>
    </row>
    <row r="291" spans="3:14" x14ac:dyDescent="0.2">
      <c r="C291" s="1503"/>
      <c r="D291" s="938" t="s">
        <v>818</v>
      </c>
      <c r="E291" s="1055"/>
      <c r="F291" s="1055"/>
      <c r="G291" s="1055"/>
      <c r="H291" s="1055"/>
      <c r="I291" s="1055"/>
      <c r="J291" s="1055"/>
      <c r="K291" s="1055"/>
      <c r="L291" s="1055"/>
      <c r="M291" s="1055"/>
      <c r="N291" s="1041"/>
    </row>
    <row r="292" spans="3:14" x14ac:dyDescent="0.2">
      <c r="C292" s="1503"/>
      <c r="D292" s="938" t="s">
        <v>2038</v>
      </c>
      <c r="E292" s="1055"/>
      <c r="F292" s="1055"/>
      <c r="G292" s="1055"/>
      <c r="H292" s="1055"/>
      <c r="I292" s="1055"/>
      <c r="J292" s="1055"/>
      <c r="K292" s="1055"/>
      <c r="L292" s="1055"/>
      <c r="M292" s="1055"/>
      <c r="N292" s="1041"/>
    </row>
    <row r="293" spans="3:14" x14ac:dyDescent="0.2">
      <c r="C293" s="1503"/>
      <c r="D293" s="938" t="s">
        <v>2040</v>
      </c>
      <c r="E293" s="1055"/>
      <c r="F293" s="1055"/>
      <c r="G293" s="1055"/>
      <c r="H293" s="1055"/>
      <c r="I293" s="1055"/>
      <c r="J293" s="1055"/>
      <c r="K293" s="1055"/>
      <c r="L293" s="1055"/>
      <c r="M293" s="1055"/>
      <c r="N293" s="1041"/>
    </row>
    <row r="294" spans="3:14" x14ac:dyDescent="0.2">
      <c r="C294" s="1503"/>
      <c r="D294" s="938" t="s">
        <v>2042</v>
      </c>
      <c r="E294" s="1055"/>
      <c r="F294" s="1055"/>
      <c r="G294" s="1055"/>
      <c r="H294" s="1055"/>
      <c r="I294" s="1055"/>
      <c r="J294" s="1055"/>
      <c r="K294" s="1055"/>
      <c r="L294" s="1055"/>
      <c r="M294" s="1055"/>
      <c r="N294" s="1041"/>
    </row>
    <row r="295" spans="3:14" x14ac:dyDescent="0.2">
      <c r="C295" s="1503"/>
      <c r="D295" s="938" t="s">
        <v>2043</v>
      </c>
      <c r="E295" s="1055"/>
      <c r="F295" s="1055"/>
      <c r="G295" s="1055"/>
      <c r="H295" s="1055"/>
      <c r="I295" s="1055"/>
      <c r="J295" s="1055"/>
      <c r="K295" s="1055"/>
      <c r="L295" s="1055"/>
      <c r="M295" s="1055"/>
      <c r="N295" s="1041"/>
    </row>
    <row r="296" spans="3:14" x14ac:dyDescent="0.2">
      <c r="C296" s="1503"/>
      <c r="D296" s="938" t="s">
        <v>2045</v>
      </c>
      <c r="E296" s="1055"/>
      <c r="F296" s="1055"/>
      <c r="G296" s="1055"/>
      <c r="H296" s="1055"/>
      <c r="I296" s="1055"/>
      <c r="J296" s="1055"/>
      <c r="K296" s="1055"/>
      <c r="L296" s="1055"/>
      <c r="M296" s="1055"/>
      <c r="N296" s="1041"/>
    </row>
    <row r="297" spans="3:14" x14ac:dyDescent="0.2">
      <c r="C297" s="1503"/>
      <c r="D297" s="938" t="s">
        <v>2046</v>
      </c>
      <c r="E297" s="1055"/>
      <c r="F297" s="1055"/>
      <c r="G297" s="1055"/>
      <c r="H297" s="1055"/>
      <c r="I297" s="1055"/>
      <c r="J297" s="1055"/>
      <c r="K297" s="1055"/>
      <c r="L297" s="1055"/>
      <c r="M297" s="1055"/>
      <c r="N297" s="1041"/>
    </row>
    <row r="298" spans="3:14" x14ac:dyDescent="0.2">
      <c r="C298" s="1503"/>
      <c r="D298" s="938" t="s">
        <v>2047</v>
      </c>
      <c r="E298" s="1055"/>
      <c r="F298" s="1055"/>
      <c r="G298" s="1055"/>
      <c r="H298" s="1055"/>
      <c r="I298" s="1055"/>
      <c r="J298" s="1055"/>
      <c r="K298" s="1055"/>
      <c r="L298" s="1055"/>
      <c r="M298" s="1055"/>
      <c r="N298" s="1041"/>
    </row>
    <row r="299" spans="3:14" x14ac:dyDescent="0.2">
      <c r="C299" s="1503"/>
      <c r="D299" s="938" t="s">
        <v>2048</v>
      </c>
      <c r="E299" s="1055"/>
      <c r="F299" s="1055"/>
      <c r="G299" s="1055"/>
      <c r="H299" s="1055"/>
      <c r="I299" s="1055"/>
      <c r="J299" s="1055"/>
      <c r="K299" s="1055"/>
      <c r="L299" s="1055"/>
      <c r="M299" s="1055"/>
      <c r="N299" s="1041"/>
    </row>
    <row r="300" spans="3:14" x14ac:dyDescent="0.2">
      <c r="C300" s="1503"/>
      <c r="D300" s="938" t="s">
        <v>819</v>
      </c>
      <c r="E300" s="1055"/>
      <c r="F300" s="1055"/>
      <c r="G300" s="1055"/>
      <c r="H300" s="1055"/>
      <c r="I300" s="1055"/>
      <c r="J300" s="1055"/>
      <c r="K300" s="1055"/>
      <c r="L300" s="1055"/>
      <c r="M300" s="1055"/>
      <c r="N300" s="1041"/>
    </row>
    <row r="301" spans="3:14" x14ac:dyDescent="0.2">
      <c r="C301" s="1503"/>
      <c r="D301" s="938" t="s">
        <v>2049</v>
      </c>
      <c r="E301" s="1055"/>
      <c r="F301" s="1055"/>
      <c r="G301" s="1055"/>
      <c r="H301" s="1055"/>
      <c r="I301" s="1055"/>
      <c r="J301" s="1055"/>
      <c r="K301" s="1055"/>
      <c r="L301" s="1055"/>
      <c r="M301" s="1055"/>
      <c r="N301" s="1041"/>
    </row>
    <row r="302" spans="3:14" x14ac:dyDescent="0.2">
      <c r="C302" s="1503"/>
      <c r="D302" s="938" t="s">
        <v>2050</v>
      </c>
      <c r="E302" s="1055"/>
      <c r="F302" s="1055"/>
      <c r="G302" s="1055"/>
      <c r="H302" s="1055"/>
      <c r="I302" s="1055"/>
      <c r="J302" s="1055"/>
      <c r="K302" s="1055"/>
      <c r="L302" s="1055"/>
      <c r="M302" s="1055"/>
      <c r="N302" s="1041"/>
    </row>
    <row r="303" spans="3:14" x14ac:dyDescent="0.2">
      <c r="C303" s="1503"/>
      <c r="D303" s="938" t="s">
        <v>2051</v>
      </c>
      <c r="E303" s="1055"/>
      <c r="F303" s="1055"/>
      <c r="G303" s="1055"/>
      <c r="H303" s="1055"/>
      <c r="I303" s="1055"/>
      <c r="J303" s="1055"/>
      <c r="K303" s="1055"/>
      <c r="L303" s="1055"/>
      <c r="M303" s="1055"/>
      <c r="N303" s="1041"/>
    </row>
    <row r="304" spans="3:14" x14ac:dyDescent="0.2">
      <c r="C304" s="1503"/>
      <c r="D304" s="1388" t="s">
        <v>2053</v>
      </c>
      <c r="E304" s="1055"/>
      <c r="F304" s="1055"/>
      <c r="G304" s="1055"/>
      <c r="H304" s="1055"/>
      <c r="I304" s="1055"/>
      <c r="J304" s="1055"/>
      <c r="K304" s="1055"/>
      <c r="L304" s="1055"/>
      <c r="M304" s="1055"/>
      <c r="N304" s="1041"/>
    </row>
    <row r="305" spans="3:14" x14ac:dyDescent="0.2">
      <c r="C305" s="1503"/>
      <c r="D305" s="1388" t="s">
        <v>2054</v>
      </c>
      <c r="E305" s="1055"/>
      <c r="F305" s="1055"/>
      <c r="G305" s="1055"/>
      <c r="H305" s="1055"/>
      <c r="I305" s="1055"/>
      <c r="J305" s="1055"/>
      <c r="K305" s="1055"/>
      <c r="L305" s="1055"/>
      <c r="M305" s="1055"/>
      <c r="N305" s="1041"/>
    </row>
    <row r="306" spans="3:14" x14ac:dyDescent="0.2">
      <c r="C306" s="1503"/>
      <c r="D306" s="1388" t="s">
        <v>2056</v>
      </c>
      <c r="E306" s="1055"/>
      <c r="F306" s="1055"/>
      <c r="G306" s="1055"/>
      <c r="H306" s="1055"/>
      <c r="I306" s="1055"/>
      <c r="J306" s="1055"/>
      <c r="K306" s="1055"/>
      <c r="L306" s="1055"/>
      <c r="M306" s="1055"/>
      <c r="N306" s="1041"/>
    </row>
    <row r="307" spans="3:14" x14ac:dyDescent="0.2">
      <c r="C307" s="1503"/>
      <c r="D307" s="1388" t="s">
        <v>2058</v>
      </c>
      <c r="E307" s="1055"/>
      <c r="F307" s="1055"/>
      <c r="G307" s="1055"/>
      <c r="H307" s="1055"/>
      <c r="I307" s="1055"/>
      <c r="J307" s="1055"/>
      <c r="K307" s="1055"/>
      <c r="L307" s="1055"/>
      <c r="M307" s="1055"/>
      <c r="N307" s="1041"/>
    </row>
    <row r="308" spans="3:14" x14ac:dyDescent="0.2">
      <c r="C308" s="1503"/>
      <c r="D308" s="1388" t="s">
        <v>2060</v>
      </c>
      <c r="E308" s="1055"/>
      <c r="F308" s="1055"/>
      <c r="G308" s="1055"/>
      <c r="H308" s="1055"/>
      <c r="I308" s="1055"/>
      <c r="J308" s="1055"/>
      <c r="K308" s="1055"/>
      <c r="L308" s="1055"/>
      <c r="M308" s="1055"/>
      <c r="N308" s="1041"/>
    </row>
    <row r="309" spans="3:14" x14ac:dyDescent="0.2">
      <c r="C309" s="1503"/>
      <c r="D309" s="1388" t="s">
        <v>820</v>
      </c>
      <c r="E309" s="1055"/>
      <c r="F309" s="1055"/>
      <c r="G309" s="1055"/>
      <c r="H309" s="1055"/>
      <c r="I309" s="1055"/>
      <c r="J309" s="1055"/>
      <c r="K309" s="1055"/>
      <c r="L309" s="1055"/>
      <c r="M309" s="1055"/>
      <c r="N309" s="1041"/>
    </row>
    <row r="310" spans="3:14" x14ac:dyDescent="0.2">
      <c r="C310" s="1503"/>
      <c r="D310" s="1388" t="s">
        <v>2062</v>
      </c>
      <c r="E310" s="1055"/>
      <c r="F310" s="1055"/>
      <c r="G310" s="1055"/>
      <c r="H310" s="1055"/>
      <c r="I310" s="1055"/>
      <c r="J310" s="1055"/>
      <c r="K310" s="1055"/>
      <c r="L310" s="1055"/>
      <c r="M310" s="1055"/>
      <c r="N310" s="1041"/>
    </row>
    <row r="311" spans="3:14" x14ac:dyDescent="0.2">
      <c r="C311" s="1503"/>
      <c r="D311" s="1388" t="s">
        <v>2063</v>
      </c>
      <c r="E311" s="1055"/>
      <c r="F311" s="1055"/>
      <c r="G311" s="1055"/>
      <c r="H311" s="1055"/>
      <c r="I311" s="1055"/>
      <c r="J311" s="1055"/>
      <c r="K311" s="1055"/>
      <c r="L311" s="1055"/>
      <c r="M311" s="1055"/>
      <c r="N311" s="1041"/>
    </row>
    <row r="312" spans="3:14" x14ac:dyDescent="0.2">
      <c r="C312" s="1503"/>
      <c r="D312" s="1388" t="s">
        <v>2064</v>
      </c>
      <c r="E312" s="1055"/>
      <c r="F312" s="1055"/>
      <c r="G312" s="1055"/>
      <c r="H312" s="1055"/>
      <c r="I312" s="1055"/>
      <c r="J312" s="1055"/>
      <c r="K312" s="1055"/>
      <c r="L312" s="1055"/>
      <c r="M312" s="1055"/>
      <c r="N312" s="1041"/>
    </row>
    <row r="313" spans="3:14" x14ac:dyDescent="0.2">
      <c r="C313" s="1503"/>
      <c r="D313" s="1388" t="s">
        <v>2065</v>
      </c>
      <c r="E313" s="1055"/>
      <c r="F313" s="1055"/>
      <c r="G313" s="1055"/>
      <c r="H313" s="1055"/>
      <c r="I313" s="1055"/>
      <c r="J313" s="1055"/>
      <c r="K313" s="1055"/>
      <c r="L313" s="1055"/>
      <c r="M313" s="1055"/>
      <c r="N313" s="1041"/>
    </row>
    <row r="314" spans="3:14" x14ac:dyDescent="0.2">
      <c r="C314" s="1503"/>
      <c r="D314" s="1388" t="s">
        <v>2066</v>
      </c>
      <c r="E314" s="1055"/>
      <c r="F314" s="1055"/>
      <c r="G314" s="1055"/>
      <c r="H314" s="1055"/>
      <c r="I314" s="1055"/>
      <c r="J314" s="1055"/>
      <c r="K314" s="1055"/>
      <c r="L314" s="1055"/>
      <c r="M314" s="1055"/>
      <c r="N314" s="1041"/>
    </row>
    <row r="315" spans="3:14" x14ac:dyDescent="0.2">
      <c r="C315" s="1503"/>
      <c r="D315" s="1388" t="s">
        <v>2067</v>
      </c>
      <c r="E315" s="1055"/>
      <c r="F315" s="1055"/>
      <c r="G315" s="1055"/>
      <c r="H315" s="1055"/>
      <c r="I315" s="1055"/>
      <c r="J315" s="1055"/>
      <c r="K315" s="1055"/>
      <c r="L315" s="1055"/>
      <c r="M315" s="1055"/>
      <c r="N315" s="1041"/>
    </row>
    <row r="316" spans="3:14" x14ac:dyDescent="0.2">
      <c r="C316" s="1503"/>
      <c r="D316" s="1388" t="s">
        <v>2068</v>
      </c>
      <c r="E316" s="1055"/>
      <c r="F316" s="1055"/>
      <c r="G316" s="1055"/>
      <c r="H316" s="1055"/>
      <c r="I316" s="1055"/>
      <c r="J316" s="1055"/>
      <c r="K316" s="1055"/>
      <c r="L316" s="1055"/>
      <c r="M316" s="1055"/>
      <c r="N316" s="1041"/>
    </row>
    <row r="317" spans="3:14" x14ac:dyDescent="0.2">
      <c r="C317" s="1503"/>
      <c r="D317" s="1388" t="s">
        <v>2069</v>
      </c>
      <c r="E317" s="1055"/>
      <c r="F317" s="1055"/>
      <c r="G317" s="1055"/>
      <c r="H317" s="1055"/>
      <c r="I317" s="1055"/>
      <c r="J317" s="1055"/>
      <c r="K317" s="1055"/>
      <c r="L317" s="1055"/>
      <c r="M317" s="1055"/>
      <c r="N317" s="1041"/>
    </row>
    <row r="318" spans="3:14" ht="14.25" customHeight="1" x14ac:dyDescent="0.25">
      <c r="C318" s="1503"/>
      <c r="D318" s="1388" t="s">
        <v>821</v>
      </c>
      <c r="E318" s="1055"/>
      <c r="F318" s="1062"/>
      <c r="G318" s="1055"/>
      <c r="H318" s="1055"/>
      <c r="I318" s="1055"/>
      <c r="J318" s="1055"/>
      <c r="K318" s="1055"/>
      <c r="L318" s="1055"/>
      <c r="M318" s="1055"/>
      <c r="N318" s="1041"/>
    </row>
    <row r="319" spans="3:14" x14ac:dyDescent="0.2">
      <c r="C319" s="1503"/>
      <c r="D319" s="1388" t="s">
        <v>2071</v>
      </c>
      <c r="E319" s="1055"/>
      <c r="F319" s="1055"/>
      <c r="G319" s="1055"/>
      <c r="H319" s="1055"/>
      <c r="I319" s="1055"/>
      <c r="J319" s="1055"/>
      <c r="K319" s="1055"/>
      <c r="L319" s="1055"/>
      <c r="M319" s="1055"/>
      <c r="N319" s="1041"/>
    </row>
    <row r="320" spans="3:14" x14ac:dyDescent="0.2">
      <c r="C320" s="1503"/>
      <c r="D320" s="1388" t="s">
        <v>2072</v>
      </c>
      <c r="E320" s="1063"/>
      <c r="F320" s="1063"/>
      <c r="G320" s="1063"/>
      <c r="H320" s="1063"/>
      <c r="I320" s="1063"/>
      <c r="J320" s="1063"/>
      <c r="K320" s="1063"/>
      <c r="L320" s="1063"/>
      <c r="M320" s="1063"/>
      <c r="N320" s="1041"/>
    </row>
    <row r="321" spans="3:14" x14ac:dyDescent="0.2">
      <c r="C321" s="1503"/>
      <c r="D321" s="1388" t="s">
        <v>2074</v>
      </c>
      <c r="E321" s="1063"/>
      <c r="F321" s="1063"/>
      <c r="G321" s="1063"/>
      <c r="H321" s="1063"/>
      <c r="I321" s="1063"/>
      <c r="J321" s="1063"/>
      <c r="K321" s="1063"/>
      <c r="L321" s="1063"/>
      <c r="M321" s="1063"/>
      <c r="N321" s="1041"/>
    </row>
    <row r="322" spans="3:14" x14ac:dyDescent="0.2">
      <c r="C322" s="1503"/>
      <c r="D322" s="1388" t="s">
        <v>822</v>
      </c>
      <c r="E322" s="1063"/>
      <c r="F322" s="1063"/>
      <c r="G322" s="1063"/>
      <c r="H322" s="1063"/>
      <c r="I322" s="1063"/>
      <c r="J322" s="1063"/>
      <c r="K322" s="1063"/>
      <c r="L322" s="1063"/>
      <c r="M322" s="1063"/>
      <c r="N322" s="1041"/>
    </row>
    <row r="323" spans="3:14" x14ac:dyDescent="0.2">
      <c r="C323" s="1503"/>
      <c r="D323" s="1388" t="s">
        <v>2075</v>
      </c>
      <c r="E323" s="1063"/>
      <c r="F323" s="1063"/>
      <c r="G323" s="1063"/>
      <c r="H323" s="1063"/>
      <c r="I323" s="1063"/>
      <c r="J323" s="1063"/>
      <c r="K323" s="1063"/>
      <c r="L323" s="1063"/>
      <c r="M323" s="1063"/>
      <c r="N323" s="1041"/>
    </row>
    <row r="324" spans="3:14" x14ac:dyDescent="0.2">
      <c r="C324" s="1503"/>
      <c r="D324" s="1388" t="s">
        <v>2076</v>
      </c>
      <c r="E324" s="1063"/>
      <c r="F324" s="1063"/>
      <c r="G324" s="1063"/>
      <c r="H324" s="1063"/>
      <c r="I324" s="1063"/>
      <c r="J324" s="1063"/>
      <c r="K324" s="1063"/>
      <c r="L324" s="1063"/>
      <c r="M324" s="1063"/>
      <c r="N324" s="1041"/>
    </row>
    <row r="325" spans="3:14" x14ac:dyDescent="0.2">
      <c r="C325" s="1503"/>
      <c r="D325" s="1388" t="s">
        <v>2077</v>
      </c>
      <c r="E325" s="1063"/>
      <c r="F325" s="1063"/>
      <c r="G325" s="1063"/>
      <c r="H325" s="1063"/>
      <c r="I325" s="1063"/>
      <c r="J325" s="1063"/>
      <c r="K325" s="1063"/>
      <c r="L325" s="1063"/>
      <c r="M325" s="1063"/>
      <c r="N325" s="1041"/>
    </row>
    <row r="326" spans="3:14" x14ac:dyDescent="0.2">
      <c r="C326" s="1503"/>
      <c r="D326" s="1388" t="s">
        <v>823</v>
      </c>
      <c r="E326" s="1063"/>
      <c r="F326" s="1063"/>
      <c r="G326" s="1063"/>
      <c r="H326" s="1063"/>
      <c r="I326" s="1063"/>
      <c r="J326" s="1063"/>
      <c r="K326" s="1063"/>
      <c r="L326" s="1063"/>
      <c r="M326" s="1063"/>
      <c r="N326" s="1041"/>
    </row>
    <row r="327" spans="3:14" x14ac:dyDescent="0.2">
      <c r="C327" s="1503"/>
      <c r="D327" s="1388" t="s">
        <v>2078</v>
      </c>
      <c r="E327" s="1063"/>
      <c r="F327" s="1063"/>
      <c r="G327" s="1063"/>
      <c r="H327" s="1063"/>
      <c r="I327" s="1063"/>
      <c r="J327" s="1063"/>
      <c r="K327" s="1063"/>
      <c r="L327" s="1063"/>
      <c r="M327" s="1063"/>
      <c r="N327" s="1041"/>
    </row>
    <row r="328" spans="3:14" x14ac:dyDescent="0.2">
      <c r="C328" s="1503"/>
      <c r="D328" s="1388" t="s">
        <v>2080</v>
      </c>
      <c r="E328" s="1063"/>
      <c r="F328" s="1063"/>
      <c r="G328" s="1063"/>
      <c r="H328" s="1063"/>
      <c r="I328" s="1063"/>
      <c r="J328" s="1063"/>
      <c r="K328" s="1063"/>
      <c r="L328" s="1063"/>
      <c r="M328" s="1063"/>
      <c r="N328" s="1041"/>
    </row>
    <row r="329" spans="3:14" x14ac:dyDescent="0.2">
      <c r="C329" s="1503"/>
      <c r="D329" s="1388" t="s">
        <v>2082</v>
      </c>
      <c r="E329" s="1063"/>
      <c r="F329" s="1063"/>
      <c r="G329" s="1063"/>
      <c r="H329" s="1063"/>
      <c r="I329" s="1063"/>
      <c r="J329" s="1063"/>
      <c r="K329" s="1063"/>
      <c r="L329" s="1063"/>
      <c r="M329" s="1063"/>
      <c r="N329" s="1041"/>
    </row>
    <row r="330" spans="3:14" x14ac:dyDescent="0.2">
      <c r="C330" s="1503"/>
      <c r="D330" s="1388" t="s">
        <v>2083</v>
      </c>
      <c r="E330" s="1063"/>
      <c r="F330" s="1063"/>
      <c r="G330" s="1063"/>
      <c r="H330" s="1063"/>
      <c r="I330" s="1063"/>
      <c r="J330" s="1063"/>
      <c r="K330" s="1063"/>
      <c r="L330" s="1063"/>
      <c r="M330" s="1063"/>
      <c r="N330" s="1041"/>
    </row>
    <row r="331" spans="3:14" x14ac:dyDescent="0.2">
      <c r="C331" s="1503"/>
      <c r="D331" s="1388" t="s">
        <v>2084</v>
      </c>
      <c r="E331" s="1063"/>
      <c r="F331" s="1063"/>
      <c r="G331" s="1063"/>
      <c r="H331" s="1063"/>
      <c r="I331" s="1063"/>
      <c r="J331" s="1063"/>
      <c r="K331" s="1063"/>
      <c r="L331" s="1063"/>
      <c r="M331" s="1063"/>
      <c r="N331" s="1041"/>
    </row>
    <row r="332" spans="3:14" x14ac:dyDescent="0.2">
      <c r="C332" s="1503"/>
      <c r="D332" s="1388" t="s">
        <v>2085</v>
      </c>
      <c r="E332" s="1063"/>
      <c r="F332" s="1063"/>
      <c r="G332" s="1063"/>
      <c r="H332" s="1063"/>
      <c r="I332" s="1063"/>
      <c r="J332" s="1063"/>
      <c r="K332" s="1063"/>
      <c r="L332" s="1063"/>
      <c r="M332" s="1063"/>
      <c r="N332" s="1041"/>
    </row>
    <row r="333" spans="3:14" x14ac:dyDescent="0.2">
      <c r="C333" s="1503"/>
      <c r="D333" s="1388" t="s">
        <v>2086</v>
      </c>
      <c r="E333" s="1063"/>
      <c r="F333" s="1063"/>
      <c r="G333" s="1063"/>
      <c r="H333" s="1063"/>
      <c r="I333" s="1063"/>
      <c r="J333" s="1063"/>
      <c r="K333" s="1063"/>
      <c r="L333" s="1063"/>
      <c r="M333" s="1063"/>
      <c r="N333" s="1041"/>
    </row>
    <row r="334" spans="3:14" x14ac:dyDescent="0.2">
      <c r="C334" s="1503"/>
      <c r="D334" s="1388" t="s">
        <v>2087</v>
      </c>
      <c r="E334" s="1063"/>
      <c r="F334" s="1063"/>
      <c r="G334" s="1063"/>
      <c r="H334" s="1063"/>
      <c r="I334" s="1063"/>
      <c r="J334" s="1063"/>
      <c r="K334" s="1063"/>
      <c r="L334" s="1063"/>
      <c r="M334" s="1063"/>
      <c r="N334" s="1041"/>
    </row>
    <row r="335" spans="3:14" x14ac:dyDescent="0.2">
      <c r="C335" s="1503"/>
      <c r="D335" s="1388" t="s">
        <v>2088</v>
      </c>
      <c r="E335" s="1063"/>
      <c r="F335" s="1063"/>
      <c r="G335" s="1063"/>
      <c r="H335" s="1063"/>
      <c r="I335" s="1063"/>
      <c r="J335" s="1063"/>
      <c r="K335" s="1063"/>
      <c r="L335" s="1063"/>
      <c r="M335" s="1063"/>
      <c r="N335" s="1041"/>
    </row>
    <row r="336" spans="3:14" x14ac:dyDescent="0.2">
      <c r="C336" s="1503"/>
      <c r="D336" s="1388" t="s">
        <v>2090</v>
      </c>
      <c r="E336" s="1063"/>
      <c r="F336" s="1063"/>
      <c r="G336" s="1063"/>
      <c r="H336" s="1063"/>
      <c r="I336" s="1063"/>
      <c r="J336" s="1063"/>
      <c r="K336" s="1063"/>
      <c r="L336" s="1063"/>
      <c r="M336" s="1063"/>
      <c r="N336" s="1041"/>
    </row>
    <row r="337" spans="3:14" x14ac:dyDescent="0.2">
      <c r="C337" s="1503"/>
      <c r="D337" s="1388" t="s">
        <v>2091</v>
      </c>
      <c r="E337" s="1063"/>
      <c r="F337" s="1063"/>
      <c r="G337" s="1063"/>
      <c r="H337" s="1063"/>
      <c r="I337" s="1063"/>
      <c r="J337" s="1063"/>
      <c r="K337" s="1063"/>
      <c r="L337" s="1063"/>
      <c r="M337" s="1063"/>
      <c r="N337" s="1041"/>
    </row>
    <row r="338" spans="3:14" x14ac:dyDescent="0.2">
      <c r="C338" s="1503"/>
      <c r="D338" s="1388" t="s">
        <v>2092</v>
      </c>
      <c r="E338" s="1063"/>
      <c r="F338" s="1063"/>
      <c r="G338" s="1063"/>
      <c r="H338" s="1063"/>
      <c r="I338" s="1063"/>
      <c r="J338" s="1063"/>
      <c r="K338" s="1063"/>
      <c r="L338" s="1063"/>
      <c r="M338" s="1063"/>
      <c r="N338" s="1041"/>
    </row>
    <row r="339" spans="3:14" x14ac:dyDescent="0.2">
      <c r="C339" s="1503"/>
      <c r="D339" s="1388" t="s">
        <v>2093</v>
      </c>
      <c r="E339" s="1063"/>
      <c r="F339" s="1063"/>
      <c r="G339" s="1063"/>
      <c r="H339" s="1063"/>
      <c r="I339" s="1063"/>
      <c r="J339" s="1063"/>
      <c r="K339" s="1063"/>
      <c r="L339" s="1063"/>
      <c r="M339" s="1063"/>
      <c r="N339" s="1041"/>
    </row>
    <row r="340" spans="3:14" x14ac:dyDescent="0.2">
      <c r="C340" s="1503"/>
      <c r="D340" s="1388" t="s">
        <v>2094</v>
      </c>
      <c r="E340" s="1063"/>
      <c r="F340" s="1063"/>
      <c r="G340" s="1063"/>
      <c r="H340" s="1063"/>
      <c r="I340" s="1063"/>
      <c r="J340" s="1063"/>
      <c r="K340" s="1063"/>
      <c r="L340" s="1063"/>
      <c r="M340" s="1063"/>
      <c r="N340" s="1041"/>
    </row>
    <row r="341" spans="3:14" x14ac:dyDescent="0.2">
      <c r="C341" s="1503"/>
      <c r="D341" s="1388" t="s">
        <v>2095</v>
      </c>
      <c r="E341" s="1063"/>
      <c r="F341" s="1063"/>
      <c r="G341" s="1063"/>
      <c r="H341" s="1063"/>
      <c r="I341" s="1063"/>
      <c r="J341" s="1063"/>
      <c r="K341" s="1063"/>
      <c r="L341" s="1063"/>
      <c r="M341" s="1063"/>
      <c r="N341" s="1041"/>
    </row>
    <row r="342" spans="3:14" x14ac:dyDescent="0.2">
      <c r="C342" s="1503"/>
      <c r="D342" s="1388" t="s">
        <v>824</v>
      </c>
      <c r="E342" s="1063"/>
      <c r="F342" s="1063"/>
      <c r="G342" s="1063"/>
      <c r="H342" s="1063"/>
      <c r="I342" s="1063"/>
      <c r="J342" s="1063"/>
      <c r="K342" s="1063"/>
      <c r="L342" s="1063"/>
      <c r="M342" s="1063"/>
      <c r="N342" s="1041"/>
    </row>
    <row r="343" spans="3:14" x14ac:dyDescent="0.2">
      <c r="C343" s="1503"/>
      <c r="D343" s="1388" t="s">
        <v>2096</v>
      </c>
      <c r="E343" s="1063"/>
      <c r="F343" s="1063"/>
      <c r="G343" s="1063"/>
      <c r="H343" s="1063"/>
      <c r="I343" s="1063"/>
      <c r="J343" s="1063"/>
      <c r="K343" s="1063"/>
      <c r="L343" s="1063"/>
      <c r="M343" s="1063"/>
      <c r="N343" s="1041"/>
    </row>
    <row r="344" spans="3:14" x14ac:dyDescent="0.2">
      <c r="C344" s="1503"/>
      <c r="D344" s="1388" t="s">
        <v>2097</v>
      </c>
      <c r="E344" s="1063"/>
      <c r="F344" s="1063"/>
      <c r="G344" s="1063"/>
      <c r="H344" s="1063"/>
      <c r="I344" s="1063"/>
      <c r="J344" s="1063"/>
      <c r="K344" s="1063"/>
      <c r="L344" s="1063"/>
      <c r="M344" s="1063"/>
      <c r="N344" s="1041"/>
    </row>
    <row r="345" spans="3:14" x14ac:dyDescent="0.2">
      <c r="C345" s="1503"/>
      <c r="D345" s="1388" t="s">
        <v>2098</v>
      </c>
      <c r="E345" s="1063"/>
      <c r="F345" s="1063"/>
      <c r="G345" s="1063"/>
      <c r="H345" s="1063"/>
      <c r="I345" s="1063"/>
      <c r="J345" s="1063"/>
      <c r="K345" s="1063"/>
      <c r="L345" s="1063"/>
      <c r="M345" s="1063"/>
      <c r="N345" s="1041"/>
    </row>
    <row r="346" spans="3:14" x14ac:dyDescent="0.2">
      <c r="C346" s="1503"/>
      <c r="D346" s="1388" t="s">
        <v>2100</v>
      </c>
      <c r="E346" s="1063"/>
      <c r="F346" s="1063"/>
      <c r="G346" s="1063"/>
      <c r="H346" s="1063"/>
      <c r="I346" s="1063"/>
      <c r="J346" s="1063"/>
      <c r="K346" s="1063"/>
      <c r="L346" s="1063"/>
      <c r="M346" s="1063"/>
      <c r="N346" s="1041"/>
    </row>
    <row r="347" spans="3:14" x14ac:dyDescent="0.2">
      <c r="C347" s="1503"/>
      <c r="D347" s="1388" t="s">
        <v>2101</v>
      </c>
      <c r="E347" s="1063"/>
      <c r="F347" s="1063"/>
      <c r="G347" s="1063"/>
      <c r="H347" s="1063"/>
      <c r="I347" s="1063"/>
      <c r="J347" s="1063"/>
      <c r="K347" s="1063"/>
      <c r="L347" s="1063"/>
      <c r="M347" s="1063"/>
      <c r="N347" s="1041"/>
    </row>
    <row r="348" spans="3:14" x14ac:dyDescent="0.2">
      <c r="C348" s="1503"/>
      <c r="D348" s="1388" t="s">
        <v>2102</v>
      </c>
      <c r="E348" s="1063"/>
      <c r="F348" s="1063"/>
      <c r="G348" s="1063"/>
      <c r="H348" s="1063"/>
      <c r="I348" s="1063"/>
      <c r="J348" s="1063"/>
      <c r="K348" s="1063"/>
      <c r="L348" s="1063"/>
      <c r="M348" s="1063"/>
      <c r="N348" s="1041"/>
    </row>
    <row r="349" spans="3:14" x14ac:dyDescent="0.2">
      <c r="C349" s="1503"/>
      <c r="D349" s="1388" t="s">
        <v>2103</v>
      </c>
      <c r="E349" s="1063"/>
      <c r="F349" s="1063"/>
      <c r="G349" s="1063"/>
      <c r="H349" s="1063"/>
      <c r="I349" s="1063"/>
      <c r="J349" s="1063"/>
      <c r="K349" s="1063"/>
      <c r="L349" s="1063"/>
      <c r="M349" s="1063"/>
      <c r="N349" s="1041"/>
    </row>
    <row r="350" spans="3:14" x14ac:dyDescent="0.2">
      <c r="C350" s="1503"/>
      <c r="D350" s="1388" t="s">
        <v>2104</v>
      </c>
      <c r="E350" s="1063"/>
      <c r="F350" s="1063"/>
      <c r="G350" s="1063"/>
      <c r="H350" s="1063"/>
      <c r="I350" s="1063"/>
      <c r="J350" s="1063"/>
      <c r="K350" s="1063"/>
      <c r="L350" s="1063"/>
      <c r="M350" s="1063"/>
      <c r="N350" s="1041"/>
    </row>
    <row r="351" spans="3:14" x14ac:dyDescent="0.2">
      <c r="C351" s="1503"/>
      <c r="D351" s="1388" t="s">
        <v>2105</v>
      </c>
      <c r="E351" s="1063"/>
      <c r="F351" s="1063"/>
      <c r="G351" s="1063"/>
      <c r="H351" s="1063"/>
      <c r="I351" s="1063"/>
      <c r="J351" s="1063"/>
      <c r="K351" s="1063"/>
      <c r="L351" s="1063"/>
      <c r="M351" s="1063"/>
      <c r="N351" s="1041"/>
    </row>
    <row r="352" spans="3:14" x14ac:dyDescent="0.2">
      <c r="C352" s="1503"/>
      <c r="D352" s="1388" t="s">
        <v>827</v>
      </c>
      <c r="E352" s="1063"/>
      <c r="F352" s="1063"/>
      <c r="G352" s="1063"/>
      <c r="H352" s="1063"/>
      <c r="I352" s="1063"/>
      <c r="J352" s="1063"/>
      <c r="K352" s="1063"/>
      <c r="L352" s="1063"/>
      <c r="M352" s="1063"/>
      <c r="N352" s="1041"/>
    </row>
    <row r="353" spans="3:14" x14ac:dyDescent="0.2">
      <c r="C353" s="1503"/>
      <c r="D353" s="1388" t="s">
        <v>2106</v>
      </c>
      <c r="E353" s="1063"/>
      <c r="F353" s="1063"/>
      <c r="G353" s="1063"/>
      <c r="H353" s="1063"/>
      <c r="I353" s="1063"/>
      <c r="J353" s="1063"/>
      <c r="K353" s="1063"/>
      <c r="L353" s="1063"/>
      <c r="M353" s="1063"/>
      <c r="N353" s="1041"/>
    </row>
    <row r="354" spans="3:14" x14ac:dyDescent="0.2">
      <c r="C354" s="1503"/>
      <c r="D354" s="1388" t="s">
        <v>825</v>
      </c>
      <c r="E354" s="1063"/>
      <c r="F354" s="1063"/>
      <c r="G354" s="1063"/>
      <c r="H354" s="1063"/>
      <c r="I354" s="1063"/>
      <c r="J354" s="1063"/>
      <c r="K354" s="1063"/>
      <c r="L354" s="1063"/>
      <c r="M354" s="1063"/>
      <c r="N354" s="1041"/>
    </row>
    <row r="355" spans="3:14" x14ac:dyDescent="0.2">
      <c r="C355" s="1503"/>
      <c r="D355" s="1388" t="s">
        <v>826</v>
      </c>
      <c r="E355" s="1063"/>
      <c r="F355" s="1063"/>
      <c r="G355" s="1063"/>
      <c r="H355" s="1063"/>
      <c r="I355" s="1063"/>
      <c r="J355" s="1063"/>
      <c r="K355" s="1063"/>
      <c r="L355" s="1063"/>
      <c r="M355" s="1063"/>
      <c r="N355" s="1041"/>
    </row>
    <row r="356" spans="3:14" x14ac:dyDescent="0.2">
      <c r="C356" s="1503"/>
      <c r="D356" s="1388" t="s">
        <v>2107</v>
      </c>
      <c r="E356" s="1063"/>
      <c r="F356" s="1063"/>
      <c r="G356" s="1063"/>
      <c r="H356" s="1063"/>
      <c r="I356" s="1063"/>
      <c r="J356" s="1063"/>
      <c r="K356" s="1063"/>
      <c r="L356" s="1063"/>
      <c r="M356" s="1063"/>
      <c r="N356" s="1041"/>
    </row>
    <row r="357" spans="3:14" x14ac:dyDescent="0.2">
      <c r="C357" s="1503"/>
      <c r="D357" s="1388" t="s">
        <v>2109</v>
      </c>
      <c r="E357" s="1063"/>
      <c r="F357" s="1063"/>
      <c r="G357" s="1063"/>
      <c r="H357" s="1063"/>
      <c r="I357" s="1063"/>
      <c r="J357" s="1063"/>
      <c r="K357" s="1063"/>
      <c r="L357" s="1063"/>
      <c r="M357" s="1063"/>
      <c r="N357" s="1041"/>
    </row>
    <row r="358" spans="3:14" x14ac:dyDescent="0.2">
      <c r="C358" s="1503"/>
      <c r="D358" s="1388" t="s">
        <v>2110</v>
      </c>
      <c r="E358" s="1063"/>
      <c r="F358" s="1063"/>
      <c r="G358" s="1063"/>
      <c r="H358" s="1063"/>
      <c r="I358" s="1063"/>
      <c r="J358" s="1063"/>
      <c r="K358" s="1063"/>
      <c r="L358" s="1063"/>
      <c r="M358" s="1063"/>
      <c r="N358" s="1041"/>
    </row>
    <row r="359" spans="3:14" x14ac:dyDescent="0.2">
      <c r="C359" s="1503"/>
      <c r="D359" s="1388" t="s">
        <v>2111</v>
      </c>
      <c r="E359" s="1063"/>
      <c r="F359" s="1063"/>
      <c r="G359" s="1063"/>
      <c r="H359" s="1063"/>
      <c r="I359" s="1063"/>
      <c r="J359" s="1063"/>
      <c r="K359" s="1063"/>
      <c r="L359" s="1063"/>
      <c r="M359" s="1063"/>
      <c r="N359" s="1041"/>
    </row>
    <row r="360" spans="3:14" x14ac:dyDescent="0.2">
      <c r="C360" s="1503"/>
      <c r="D360" s="1388" t="s">
        <v>2112</v>
      </c>
      <c r="E360" s="1063"/>
      <c r="F360" s="1063"/>
      <c r="G360" s="1063"/>
      <c r="H360" s="1063"/>
      <c r="I360" s="1063"/>
      <c r="J360" s="1063"/>
      <c r="K360" s="1063"/>
      <c r="L360" s="1063"/>
      <c r="M360" s="1063"/>
      <c r="N360" s="1041"/>
    </row>
    <row r="361" spans="3:14" x14ac:dyDescent="0.2">
      <c r="C361" s="1503"/>
      <c r="D361" s="1388" t="s">
        <v>2113</v>
      </c>
      <c r="E361" s="1063"/>
      <c r="F361" s="1063"/>
      <c r="G361" s="1063"/>
      <c r="H361" s="1063"/>
      <c r="I361" s="1063"/>
      <c r="J361" s="1063"/>
      <c r="K361" s="1063"/>
      <c r="L361" s="1063"/>
      <c r="M361" s="1063"/>
      <c r="N361" s="1041"/>
    </row>
    <row r="362" spans="3:14" x14ac:dyDescent="0.2">
      <c r="C362" s="1503"/>
      <c r="D362" s="1388" t="s">
        <v>2114</v>
      </c>
      <c r="E362" s="1063"/>
      <c r="F362" s="1063"/>
      <c r="G362" s="1063"/>
      <c r="H362" s="1063"/>
      <c r="I362" s="1063"/>
      <c r="J362" s="1063"/>
      <c r="K362" s="1063"/>
      <c r="L362" s="1063"/>
      <c r="M362" s="1063"/>
      <c r="N362" s="1041"/>
    </row>
    <row r="363" spans="3:14" x14ac:dyDescent="0.2">
      <c r="C363" s="1503"/>
      <c r="D363" s="1388" t="s">
        <v>2115</v>
      </c>
      <c r="E363" s="1063"/>
      <c r="F363" s="1063"/>
      <c r="G363" s="1063"/>
      <c r="H363" s="1063"/>
      <c r="I363" s="1063"/>
      <c r="J363" s="1063"/>
      <c r="K363" s="1063"/>
      <c r="L363" s="1063"/>
      <c r="M363" s="1063"/>
      <c r="N363" s="1041"/>
    </row>
    <row r="364" spans="3:14" x14ac:dyDescent="0.2">
      <c r="C364" s="1503"/>
      <c r="D364" s="1388" t="s">
        <v>2117</v>
      </c>
      <c r="E364" s="1063"/>
      <c r="F364" s="1063"/>
      <c r="G364" s="1063"/>
      <c r="H364" s="1063"/>
      <c r="I364" s="1063"/>
      <c r="J364" s="1063"/>
      <c r="K364" s="1063"/>
      <c r="L364" s="1063"/>
      <c r="M364" s="1063"/>
      <c r="N364" s="1041"/>
    </row>
    <row r="365" spans="3:14" x14ac:dyDescent="0.2">
      <c r="C365" s="1503"/>
      <c r="D365" s="1388" t="s">
        <v>2118</v>
      </c>
      <c r="E365" s="1063"/>
      <c r="F365" s="1063"/>
      <c r="G365" s="1063"/>
      <c r="H365" s="1063"/>
      <c r="I365" s="1063"/>
      <c r="J365" s="1063"/>
      <c r="K365" s="1063"/>
      <c r="L365" s="1063"/>
      <c r="M365" s="1063"/>
      <c r="N365" s="1041"/>
    </row>
    <row r="366" spans="3:14" x14ac:dyDescent="0.2">
      <c r="C366" s="1503"/>
      <c r="D366" s="1388" t="s">
        <v>2119</v>
      </c>
      <c r="E366" s="1063"/>
      <c r="F366" s="1063"/>
      <c r="G366" s="1063"/>
      <c r="H366" s="1063"/>
      <c r="I366" s="1063"/>
      <c r="J366" s="1063"/>
      <c r="K366" s="1063"/>
      <c r="L366" s="1063"/>
      <c r="M366" s="1063"/>
      <c r="N366" s="1041"/>
    </row>
    <row r="367" spans="3:14" x14ac:dyDescent="0.2">
      <c r="C367" s="1503"/>
      <c r="D367" s="1388" t="s">
        <v>2120</v>
      </c>
      <c r="E367" s="1063"/>
      <c r="F367" s="1063"/>
      <c r="G367" s="1063"/>
      <c r="H367" s="1063"/>
      <c r="I367" s="1063"/>
      <c r="J367" s="1063"/>
      <c r="K367" s="1063"/>
      <c r="L367" s="1063"/>
      <c r="M367" s="1063"/>
      <c r="N367" s="1041"/>
    </row>
    <row r="368" spans="3:14" x14ac:dyDescent="0.2">
      <c r="C368" s="1503"/>
      <c r="D368" s="1388" t="s">
        <v>2121</v>
      </c>
      <c r="E368" s="1063"/>
      <c r="F368" s="1063"/>
      <c r="G368" s="1063"/>
      <c r="H368" s="1063"/>
      <c r="I368" s="1063"/>
      <c r="J368" s="1063"/>
      <c r="K368" s="1063"/>
      <c r="L368" s="1063"/>
      <c r="M368" s="1063"/>
      <c r="N368" s="1041"/>
    </row>
    <row r="369" spans="2:15" x14ac:dyDescent="0.2">
      <c r="C369" s="1503"/>
      <c r="D369" s="1388" t="s">
        <v>2122</v>
      </c>
      <c r="E369" s="1063"/>
      <c r="F369" s="1063"/>
      <c r="G369" s="1063"/>
      <c r="H369" s="1063"/>
      <c r="I369" s="1063"/>
      <c r="J369" s="1063"/>
      <c r="K369" s="1063"/>
      <c r="L369" s="1063"/>
      <c r="M369" s="1063"/>
      <c r="N369" s="1041"/>
    </row>
    <row r="370" spans="2:15" x14ac:dyDescent="0.2">
      <c r="C370" s="1503"/>
      <c r="D370" s="1388" t="s">
        <v>2123</v>
      </c>
      <c r="E370" s="1063"/>
      <c r="F370" s="1063"/>
      <c r="G370" s="1063"/>
      <c r="H370" s="1063"/>
      <c r="I370" s="1063"/>
      <c r="J370" s="1063"/>
      <c r="K370" s="1063"/>
      <c r="L370" s="1063"/>
      <c r="M370" s="1063"/>
      <c r="N370" s="1041"/>
    </row>
    <row r="371" spans="2:15" x14ac:dyDescent="0.2">
      <c r="C371" s="1503"/>
      <c r="D371" s="1388" t="s">
        <v>2124</v>
      </c>
      <c r="E371" s="1063"/>
      <c r="F371" s="1063"/>
      <c r="G371" s="1063"/>
      <c r="H371" s="1063"/>
      <c r="I371" s="1063"/>
      <c r="J371" s="1063"/>
      <c r="K371" s="1063"/>
      <c r="L371" s="1063"/>
      <c r="M371" s="1063"/>
      <c r="N371" s="1041"/>
    </row>
    <row r="372" spans="2:15" x14ac:dyDescent="0.2">
      <c r="C372" s="1389"/>
      <c r="D372" s="938"/>
      <c r="E372" s="1063"/>
      <c r="F372" s="1063"/>
      <c r="G372" s="1063"/>
      <c r="H372" s="1063"/>
      <c r="I372" s="1063"/>
      <c r="J372" s="1063"/>
      <c r="K372" s="1063"/>
      <c r="L372" s="1063"/>
      <c r="M372" s="1063"/>
      <c r="N372" s="1041"/>
    </row>
    <row r="373" spans="2:15" ht="28.5" customHeight="1" x14ac:dyDescent="0.2">
      <c r="B373" s="1591" t="s">
        <v>1608</v>
      </c>
      <c r="C373" s="1591"/>
      <c r="D373" s="1591"/>
      <c r="E373" s="1591"/>
      <c r="F373" s="1591"/>
      <c r="G373" s="1591"/>
      <c r="H373" s="1591"/>
      <c r="I373" s="1591"/>
      <c r="J373" s="1591"/>
      <c r="K373" s="1591"/>
      <c r="L373" s="1591"/>
      <c r="M373" s="1591"/>
      <c r="N373" s="1395"/>
      <c r="O373" s="971"/>
    </row>
    <row r="374" spans="2:15" x14ac:dyDescent="0.2">
      <c r="B374" s="1376"/>
      <c r="C374" s="1376"/>
      <c r="D374" s="1376"/>
      <c r="E374" s="1376"/>
      <c r="F374" s="1376"/>
      <c r="G374" s="1376"/>
      <c r="H374" s="1376"/>
      <c r="I374" s="1376"/>
      <c r="J374" s="1376"/>
      <c r="K374" s="1376"/>
      <c r="L374" s="1376"/>
      <c r="M374" s="1376"/>
      <c r="N374" s="1376"/>
      <c r="O374" s="974"/>
    </row>
    <row r="375" spans="2:15" ht="14.25" x14ac:dyDescent="0.25">
      <c r="B375" s="1553" t="s">
        <v>84</v>
      </c>
      <c r="C375" s="1544" t="s">
        <v>1254</v>
      </c>
      <c r="D375" s="1542" t="s">
        <v>1497</v>
      </c>
      <c r="E375" s="1064" t="s">
        <v>131</v>
      </c>
      <c r="F375" s="1064" t="s">
        <v>51</v>
      </c>
      <c r="G375" s="1064" t="s">
        <v>52</v>
      </c>
      <c r="H375" s="1548" t="s">
        <v>53</v>
      </c>
      <c r="I375" s="1549"/>
      <c r="J375" s="1065" t="s">
        <v>1026</v>
      </c>
      <c r="K375" s="1066" t="s">
        <v>1029</v>
      </c>
      <c r="L375" s="1067" t="s">
        <v>51</v>
      </c>
      <c r="M375" s="1066" t="s">
        <v>1067</v>
      </c>
      <c r="N375" s="1557" t="s">
        <v>1038</v>
      </c>
      <c r="O375" s="975"/>
    </row>
    <row r="376" spans="2:15" x14ac:dyDescent="0.2">
      <c r="B376" s="1554"/>
      <c r="C376" s="1545"/>
      <c r="D376" s="1543"/>
      <c r="E376" s="1068" t="s">
        <v>1017</v>
      </c>
      <c r="F376" s="1068" t="s">
        <v>54</v>
      </c>
      <c r="G376" s="1068" t="s">
        <v>132</v>
      </c>
      <c r="H376" s="1069" t="s">
        <v>56</v>
      </c>
      <c r="I376" s="1070" t="s">
        <v>57</v>
      </c>
      <c r="J376" s="1071" t="s">
        <v>72</v>
      </c>
      <c r="K376" s="1072" t="s">
        <v>1027</v>
      </c>
      <c r="L376" s="1072" t="s">
        <v>1028</v>
      </c>
      <c r="M376" s="1073" t="s">
        <v>300</v>
      </c>
      <c r="N376" s="1558"/>
      <c r="O376" s="975"/>
    </row>
    <row r="377" spans="2:15" x14ac:dyDescent="0.2">
      <c r="B377" s="1074"/>
      <c r="C377" s="1075"/>
      <c r="D377" s="1076"/>
      <c r="E377" s="1077" t="s">
        <v>58</v>
      </c>
      <c r="F377" s="1078" t="s">
        <v>59</v>
      </c>
      <c r="G377" s="1078" t="s">
        <v>58</v>
      </c>
      <c r="H377" s="1079" t="s">
        <v>59</v>
      </c>
      <c r="I377" s="1078" t="s">
        <v>59</v>
      </c>
      <c r="J377" s="1080" t="s">
        <v>73</v>
      </c>
      <c r="K377" s="1081" t="s">
        <v>78</v>
      </c>
      <c r="L377" s="1082" t="s">
        <v>73</v>
      </c>
      <c r="M377" s="1082"/>
      <c r="N377" s="1559"/>
      <c r="O377" s="975"/>
    </row>
    <row r="378" spans="2:15" ht="14.25" x14ac:dyDescent="0.2">
      <c r="B378" s="1084">
        <v>1</v>
      </c>
      <c r="C378" s="823" t="str">
        <f t="shared" ref="C378:C387" si="39">IF(N378="OK","x","")</f>
        <v/>
      </c>
      <c r="D378" s="626"/>
      <c r="E378" s="471"/>
      <c r="F378" s="471"/>
      <c r="G378" s="471"/>
      <c r="H378" s="471"/>
      <c r="I378" s="471"/>
      <c r="J378" s="472"/>
      <c r="K378" s="471"/>
      <c r="L378" s="546"/>
      <c r="M378" s="473"/>
      <c r="N378" s="1083" t="str">
        <f>IF(BQ50&gt;8,"",IF(BQ50-BR50&lt;0,$BF$11,IF(BS50="","OK",TRIM(CONCATENATE($BQ$12," ",BS50)))))</f>
        <v/>
      </c>
      <c r="O378" s="299"/>
    </row>
    <row r="379" spans="2:15" ht="14.25" x14ac:dyDescent="0.2">
      <c r="B379" s="1084">
        <v>2</v>
      </c>
      <c r="C379" s="823" t="str">
        <f t="shared" si="39"/>
        <v/>
      </c>
      <c r="D379" s="626"/>
      <c r="E379" s="471"/>
      <c r="F379" s="471"/>
      <c r="G379" s="471"/>
      <c r="H379" s="471"/>
      <c r="I379" s="471"/>
      <c r="J379" s="472"/>
      <c r="K379" s="471"/>
      <c r="L379" s="546"/>
      <c r="M379" s="473"/>
      <c r="N379" s="1083" t="str">
        <f t="shared" ref="N379:N387" si="40">IF(BQ51&gt;8,"",IF(BQ51-BR51&lt;0,$BF$11,IF(BS51="","OK",TRIM(CONCATENATE($BQ$12," ",BS51)))))</f>
        <v/>
      </c>
      <c r="O379" s="299"/>
    </row>
    <row r="380" spans="2:15" ht="14.25" x14ac:dyDescent="0.2">
      <c r="B380" s="1084">
        <v>3</v>
      </c>
      <c r="C380" s="823" t="str">
        <f t="shared" si="39"/>
        <v/>
      </c>
      <c r="D380" s="626"/>
      <c r="E380" s="471"/>
      <c r="F380" s="471"/>
      <c r="G380" s="471"/>
      <c r="H380" s="471"/>
      <c r="I380" s="471"/>
      <c r="J380" s="472"/>
      <c r="K380" s="471"/>
      <c r="L380" s="546"/>
      <c r="M380" s="473"/>
      <c r="N380" s="1083" t="str">
        <f t="shared" si="40"/>
        <v/>
      </c>
      <c r="O380" s="299"/>
    </row>
    <row r="381" spans="2:15" ht="14.25" x14ac:dyDescent="0.2">
      <c r="B381" s="1084">
        <v>4</v>
      </c>
      <c r="C381" s="823" t="str">
        <f t="shared" si="39"/>
        <v/>
      </c>
      <c r="D381" s="626"/>
      <c r="E381" s="471"/>
      <c r="F381" s="471"/>
      <c r="G381" s="471"/>
      <c r="H381" s="471"/>
      <c r="I381" s="471"/>
      <c r="J381" s="472"/>
      <c r="K381" s="471"/>
      <c r="L381" s="546"/>
      <c r="M381" s="473"/>
      <c r="N381" s="1083" t="str">
        <f t="shared" si="40"/>
        <v/>
      </c>
      <c r="O381" s="299"/>
    </row>
    <row r="382" spans="2:15" ht="14.25" x14ac:dyDescent="0.2">
      <c r="B382" s="1084">
        <v>5</v>
      </c>
      <c r="C382" s="823" t="str">
        <f t="shared" si="39"/>
        <v/>
      </c>
      <c r="D382" s="626"/>
      <c r="E382" s="471"/>
      <c r="F382" s="471"/>
      <c r="G382" s="471"/>
      <c r="H382" s="471"/>
      <c r="I382" s="471"/>
      <c r="J382" s="472"/>
      <c r="K382" s="471"/>
      <c r="L382" s="472"/>
      <c r="M382" s="473"/>
      <c r="N382" s="1083" t="str">
        <f t="shared" si="40"/>
        <v/>
      </c>
      <c r="O382" s="299"/>
    </row>
    <row r="383" spans="2:15" ht="14.25" x14ac:dyDescent="0.2">
      <c r="B383" s="1084">
        <v>6</v>
      </c>
      <c r="C383" s="823" t="str">
        <f t="shared" si="39"/>
        <v/>
      </c>
      <c r="D383" s="626"/>
      <c r="E383" s="471"/>
      <c r="F383" s="471"/>
      <c r="G383" s="471"/>
      <c r="H383" s="471"/>
      <c r="I383" s="471"/>
      <c r="J383" s="472"/>
      <c r="K383" s="471"/>
      <c r="L383" s="472"/>
      <c r="M383" s="473"/>
      <c r="N383" s="1083" t="str">
        <f t="shared" si="40"/>
        <v/>
      </c>
      <c r="O383" s="299"/>
    </row>
    <row r="384" spans="2:15" ht="14.25" x14ac:dyDescent="0.2">
      <c r="B384" s="1084">
        <v>7</v>
      </c>
      <c r="C384" s="823" t="str">
        <f t="shared" si="39"/>
        <v/>
      </c>
      <c r="D384" s="626"/>
      <c r="E384" s="471"/>
      <c r="F384" s="471"/>
      <c r="G384" s="471"/>
      <c r="H384" s="471"/>
      <c r="I384" s="471"/>
      <c r="J384" s="472"/>
      <c r="K384" s="471"/>
      <c r="L384" s="472"/>
      <c r="M384" s="473"/>
      <c r="N384" s="1083" t="str">
        <f t="shared" si="40"/>
        <v/>
      </c>
      <c r="O384" s="299"/>
    </row>
    <row r="385" spans="2:15" ht="14.25" x14ac:dyDescent="0.2">
      <c r="B385" s="1084">
        <v>8</v>
      </c>
      <c r="C385" s="823" t="str">
        <f t="shared" si="39"/>
        <v/>
      </c>
      <c r="D385" s="626"/>
      <c r="E385" s="471"/>
      <c r="F385" s="471"/>
      <c r="G385" s="471"/>
      <c r="H385" s="471"/>
      <c r="I385" s="471"/>
      <c r="J385" s="472"/>
      <c r="K385" s="471"/>
      <c r="L385" s="472"/>
      <c r="M385" s="473"/>
      <c r="N385" s="1083" t="str">
        <f t="shared" si="40"/>
        <v/>
      </c>
      <c r="O385" s="299"/>
    </row>
    <row r="386" spans="2:15" ht="14.25" x14ac:dyDescent="0.2">
      <c r="B386" s="1084">
        <v>9</v>
      </c>
      <c r="C386" s="823" t="str">
        <f t="shared" si="39"/>
        <v/>
      </c>
      <c r="D386" s="626"/>
      <c r="E386" s="471"/>
      <c r="F386" s="471"/>
      <c r="G386" s="471"/>
      <c r="H386" s="471"/>
      <c r="I386" s="471"/>
      <c r="J386" s="472"/>
      <c r="K386" s="471"/>
      <c r="L386" s="472"/>
      <c r="M386" s="473"/>
      <c r="N386" s="1083" t="str">
        <f t="shared" si="40"/>
        <v/>
      </c>
      <c r="O386" s="299"/>
    </row>
    <row r="387" spans="2:15" ht="14.25" x14ac:dyDescent="0.2">
      <c r="B387" s="1084">
        <v>10</v>
      </c>
      <c r="C387" s="823" t="str">
        <f t="shared" si="39"/>
        <v/>
      </c>
      <c r="D387" s="932"/>
      <c r="E387" s="471"/>
      <c r="F387" s="471"/>
      <c r="G387" s="471"/>
      <c r="H387" s="471"/>
      <c r="I387" s="471"/>
      <c r="J387" s="472"/>
      <c r="K387" s="471"/>
      <c r="L387" s="472"/>
      <c r="M387" s="473"/>
      <c r="N387" s="1083" t="str">
        <f t="shared" si="40"/>
        <v/>
      </c>
      <c r="O387" s="299"/>
    </row>
    <row r="388" spans="2:15" x14ac:dyDescent="0.2">
      <c r="N388" s="1041"/>
    </row>
    <row r="392" spans="2:15" ht="12.75" customHeight="1" x14ac:dyDescent="0.2"/>
  </sheetData>
  <sheetProtection algorithmName="SHA-512" hashValue="ZLmarhhoSDOGYxy3um16PSlSdXLMfsrkpaVLKVpttLBJ9QODfkS24Y+D42xpt6dgVk1TtWqvraPpSnOPspzmFQ==" saltValue="KyRyTMu8L7cjnjfLorLYhw=="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Z11:AA12"/>
    <mergeCell ref="B1:M1"/>
    <mergeCell ref="B2:M2"/>
    <mergeCell ref="B375:B376"/>
    <mergeCell ref="T11:T12"/>
    <mergeCell ref="R7:AB7"/>
    <mergeCell ref="E5:F5"/>
    <mergeCell ref="U11:U13"/>
    <mergeCell ref="V11:V13"/>
    <mergeCell ref="W11:Y12"/>
    <mergeCell ref="B373:M373"/>
    <mergeCell ref="AW10:AX10"/>
    <mergeCell ref="AL11:AL14"/>
    <mergeCell ref="AJ11:AK12"/>
    <mergeCell ref="AB11:AB13"/>
    <mergeCell ref="AF11:AF14"/>
    <mergeCell ref="BN32:BO32"/>
    <mergeCell ref="AQ29:AQ30"/>
    <mergeCell ref="BN14:BO14"/>
    <mergeCell ref="AR29:AR30"/>
    <mergeCell ref="AW29:AX29"/>
    <mergeCell ref="AS29:AS31"/>
    <mergeCell ref="AF7:AL7"/>
    <mergeCell ref="AQ7:BB7"/>
    <mergeCell ref="D375:D376"/>
    <mergeCell ref="C375:C376"/>
    <mergeCell ref="AJ13:AK13"/>
    <mergeCell ref="H375:I375"/>
    <mergeCell ref="C16:C17"/>
    <mergeCell ref="D16:D17"/>
    <mergeCell ref="AG11:AG14"/>
    <mergeCell ref="AH11:AH13"/>
    <mergeCell ref="AI11:AI14"/>
    <mergeCell ref="R9:AB9"/>
    <mergeCell ref="N375:N377"/>
    <mergeCell ref="S11:S13"/>
    <mergeCell ref="R11:R13"/>
    <mergeCell ref="AR10:AR11"/>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formula1>300.001</formula1>
    </dataValidation>
    <dataValidation type="textLength" allowBlank="1" showInputMessage="1" showErrorMessage="1" sqref="U14">
      <formula1>1</formula1>
      <formula2>10</formula2>
    </dataValidation>
    <dataValidation type="textLength" operator="lessThanOrEqual" allowBlank="1" showInputMessage="1" showErrorMessage="1" errorTitle="Textlänge überschritten" error="Bitte verwenden Sie maximal 21 Zeichen." sqref="AI15:AI24 U15:V24 D378:D387">
      <formula1>21</formula1>
    </dataValidation>
    <dataValidation type="textLength" operator="lessThanOrEqual" allowBlank="1" showInputMessage="1" showErrorMessage="1" errorTitle="Textlänge überschritten" error="Bitte verwenden Sie maximal 21 Zeichen._x000a_" sqref="AS32:AS37">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78:G387">
      <formula1>0</formula1>
    </dataValidation>
    <dataValidation type="decimal" allowBlank="1" showInputMessage="1" showErrorMessage="1" errorTitle="Fehlerhafte Eingabe" error="Hier dürfen nur Dezimalzahlen und Komma bis zu einem maximalen Wert von 300,0 eingegeben werden." sqref="W15:X24">
      <formula1>0</formula1>
      <formula2>300.1</formula2>
    </dataValidation>
    <dataValidation type="decimal" allowBlank="1" showInputMessage="1" showErrorMessage="1" errorTitle="Fehlerhafte Eingabe" error="Hier dürfen nur Dezimalzahlen und Komma bis zu einem maximalen Wert von 300 eingegeben werden." sqref="Y15:Y24">
      <formula1>0</formula1>
      <formula2>300.1</formula2>
    </dataValidation>
    <dataValidation type="whole" allowBlank="1" showInputMessage="1" showErrorMessage="1" errorTitle="Fehlerhafte Eingabe" error="Hier dürfen nur ganze Zahlen bis zu einem maximalen Wert von 100 eingegeben werden." sqref="Z15:AA24">
      <formula1>0</formula1>
      <formula2>100</formula2>
    </dataValidation>
    <dataValidation type="decimal" allowBlank="1" showInputMessage="1" showErrorMessage="1" errorTitle="Fehlerhafte Eingabe" error="Hier dürfen nur Dezimalzahlen und Komma bis zu einem maximalen Wert von 100_x000a_ eingegeben werden." sqref="AJ15">
      <formula1>0</formula1>
      <formula2>100</formula2>
    </dataValidation>
    <dataValidation type="whole" allowBlank="1" showInputMessage="1" showErrorMessage="1" errorTitle="Fehlerhafte Eingabe" error="Hier dürfen nur ganze Zahlen bis zu einem maximalen Wert von 2000 eingetragen werden." sqref="AT32:AT37 E378:E387">
      <formula1>0</formula1>
      <formula2>2000</formula2>
    </dataValidation>
    <dataValidation type="whole" allowBlank="1" showInputMessage="1" showErrorMessage="1" errorTitle="Fehlerhafte Eingabe" error="Hier dürfen nur ganze Zahlen bis zu einem maximalen Wert von 1000 eingegeben werden." sqref="AU32:AU37 F378:F387">
      <formula1>0</formula1>
      <formula2>1000</formula2>
    </dataValidation>
    <dataValidation type="decimal" allowBlank="1" showInputMessage="1" showErrorMessage="1" errorTitle="Fehlerhafte Eingabe" error="Hier dürfen nur Dezimalzahlen und Komma bis zu einem Wert von 100 eigegeben werden" sqref="AY32:AY37 J378:J387">
      <formula1>0</formula1>
      <formula2>100</formula2>
    </dataValidation>
    <dataValidation type="whole" operator="greaterThanOrEqual" allowBlank="1" showInputMessage="1" showErrorMessage="1" errorTitle="Fehlerhafte Eingabe" error="Hier dürfen nur positive ganze Zahlen eingegeben werden." sqref="K378:K387">
      <formula1>0</formula1>
    </dataValidation>
    <dataValidation type="decimal" operator="greaterThanOrEqual" allowBlank="1" showInputMessage="1" showErrorMessage="1" errorTitle="Fehlerhafte eingabe" error="Hier dürfen nur positive Dezimalzahlen mit Komma eingegeben werden." sqref="AW32:AX37 H378:I387">
      <formula1>0</formula1>
    </dataValidation>
    <dataValidation type="decimal" operator="greaterThanOrEqual" allowBlank="1" showInputMessage="1" showErrorMessage="1" errorTitle="Fehlerhafte Eingabe" error="Hier dürfen nur positive Dezimalzahlen und Komma eingegeben werden." sqref="L378:L381">
      <formula1>0</formula1>
    </dataValidation>
    <dataValidation type="decimal" allowBlank="1" showInputMessage="1" showErrorMessage="1" errorTitle="Fehlerhafte Eingabe" error="Hier dürfen nur Dezimalzahlen und Komma bis zu einem maximalen Wert von 100 eingegeben werden." sqref="AK15:AK24">
      <formula1>0</formula1>
      <formula2>100</formula2>
    </dataValidation>
    <dataValidation type="decimal" allowBlank="1" showInputMessage="1" showErrorMessage="1" errorTitle="Fehlerhafte Eingabe" error="Hier dürfen nur Dezimalzahlen und Komma bis einen maximalen Wert von 100,0 eingegeben werden." sqref="AJ16:AJ24">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Sr, Sp, Ka), Stand: 13.12.2021&amp;RSeite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14:formula1>
            <xm:f>'#Boden'!$G$31:$G$32</xm:f>
          </x14:formula1>
          <xm:sqref>BA32:BA37</xm:sqref>
        </x14:dataValidation>
        <x14:dataValidation type="list" allowBlank="1" showInputMessage="1" showErrorMessage="1">
          <x14:formula1>
            <xm:f>'#min'!$D$76:$D$81</xm:f>
          </x14:formula1>
          <xm:sqref>AH15:AH24</xm:sqref>
        </x14:dataValidation>
        <x14:dataValidation type="list" allowBlank="1" showDropDown="1" showInputMessage="1" showErrorMessage="1" errorTitle="Ungültige Eingabe" error="Auswahl mit dem Buchstaben x.">
          <x14:formula1>
            <xm:f>'#Boden'!$B$47</xm:f>
          </x14:formula1>
          <xm:sqref>AR14:AR25 S26:S65 AG26:AG81 C19:C372</xm:sqref>
        </x14:dataValidation>
        <x14:dataValidation type="list" allowBlank="1" showInputMessage="1" showErrorMessage="1" errorTitle="Fehlerhafte Eingabe" error="Bitte wählen Sie aus der Dropdown-Liste aus.">
          <x14:formula1>
            <xm:f>'#Boden'!$G$38:$G$41</xm:f>
          </x14:formula1>
          <xm:sqref>M378:M387</xm:sqref>
        </x14:dataValidation>
        <x14:dataValidation type="list" allowBlank="1" showInputMessage="1" showErrorMessage="1">
          <x14:formula1>
            <xm:f>'#org22'!$D$66:$D$135</xm:f>
          </x14:formula1>
          <xm:sqref>T15:T24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14</vt:i4>
      </vt:variant>
    </vt:vector>
  </HeadingPairs>
  <TitlesOfParts>
    <vt:vector size="39" baseType="lpstr">
      <vt:lpstr>Betrieb</vt:lpstr>
      <vt:lpstr>Daten aus 2021</vt:lpstr>
      <vt:lpstr>#Protokoll</vt:lpstr>
      <vt:lpstr>#Boden</vt:lpstr>
      <vt:lpstr>#Frucht</vt:lpstr>
      <vt:lpstr>#Zweitfr</vt:lpstr>
      <vt:lpstr>#org22</vt:lpstr>
      <vt:lpstr>#min</vt:lpstr>
      <vt:lpstr>Vorauswahl</vt:lpstr>
      <vt:lpstr>Flächen u. Kulturen</vt:lpstr>
      <vt:lpstr>#BerechnungDBE</vt:lpstr>
      <vt:lpstr>org. Düngung 22</vt:lpstr>
      <vt:lpstr>#orgDung</vt:lpstr>
      <vt:lpstr>min. Düngung 22</vt:lpstr>
      <vt:lpstr>#minDung</vt:lpstr>
      <vt:lpstr>Überblick 22</vt:lpstr>
      <vt:lpstr>Optimierung rote Flächen</vt:lpstr>
      <vt:lpstr>#Kürzungen</vt:lpstr>
      <vt:lpstr>DBE Zweitfrüchte</vt:lpstr>
      <vt:lpstr>DBE - N</vt:lpstr>
      <vt:lpstr>DBE - P</vt:lpstr>
      <vt:lpstr>Anlage 5 DüV</vt:lpstr>
      <vt:lpstr>Fehler_Hinweise</vt:lpstr>
      <vt:lpstr>Daten für 23</vt:lpstr>
      <vt:lpstr>Notizen</vt:lpstr>
      <vt:lpstr>Betrieb!Druckbereich</vt:lpstr>
      <vt:lpstr>'Daten aus 2021'!Druckbereich</vt:lpstr>
      <vt:lpstr>'Daten für 23'!Druckbereich</vt:lpstr>
      <vt:lpstr>Fehler_Hinweise!Druckbereich</vt:lpstr>
      <vt:lpstr>'Optimierung rote Flächen'!Druckbereich</vt:lpstr>
      <vt:lpstr>'Überblick 22'!Druckbereich</vt:lpstr>
      <vt:lpstr>'DBE - N'!Drucktitel</vt:lpstr>
      <vt:lpstr>'DBE - P'!Drucktitel</vt:lpstr>
      <vt:lpstr>'DBE Zweitfrüchte'!Drucktitel</vt:lpstr>
      <vt:lpstr>Fehler_Hinweise!Drucktitel</vt:lpstr>
      <vt:lpstr>'Flächen u. Kulturen'!Drucktitel</vt:lpstr>
      <vt:lpstr>'min. Düngung 22'!Drucktitel</vt:lpstr>
      <vt:lpstr>'org. Düngung 22'!Drucktitel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LfL-Düngebedarf_2022</dc:title>
  <dc:creator>msbo</dc:creator>
  <cp:lastModifiedBy>Ziesel, Michael [LRA Biberach]</cp:lastModifiedBy>
  <cp:lastPrinted>2021-12-09T15:47:23Z</cp:lastPrinted>
  <dcterms:created xsi:type="dcterms:W3CDTF">2009-12-01T05:13:08Z</dcterms:created>
  <dcterms:modified xsi:type="dcterms:W3CDTF">2021-12-21T09:53:31Z</dcterms:modified>
</cp:coreProperties>
</file>